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eedMohammed\AppData\Local\Microsoft\Windows\INetCache\Content.Outlook\IGVL0OXP\"/>
    </mc:Choice>
  </mc:AlternateContent>
  <xr:revisionPtr revIDLastSave="0" documentId="8_{E0AB1DC1-CAD1-45DF-9FD1-3329B4661754}" xr6:coauthVersionLast="47" xr6:coauthVersionMax="47" xr10:uidLastSave="{00000000-0000-0000-0000-000000000000}"/>
  <bookViews>
    <workbookView xWindow="-120" yWindow="-120" windowWidth="29040" windowHeight="15720" tabRatio="835" activeTab="6" xr2:uid="{00000000-000D-0000-FFFF-FFFF00000000}"/>
  </bookViews>
  <sheets>
    <sheet name="Summary" sheetId="13" r:id="rId1"/>
    <sheet name="Sales Dashboard" sheetId="2" r:id="rId2"/>
    <sheet name="Weekly Trend" sheetId="3" r:id="rId3"/>
    <sheet name="Staff Dashboard" sheetId="10" r:id="rId4"/>
    <sheet name="Staff Weekly Trend" sheetId="11" r:id="rId5"/>
    <sheet name="Conv &amp; ATV Progress" sheetId="16" r:id="rId6"/>
    <sheet name="Sales and count" sheetId="1" r:id="rId7"/>
    <sheet name="Makeup " sheetId="8" r:id="rId8"/>
    <sheet name="Footfall" sheetId="7" r:id="rId9"/>
    <sheet name="Staff Daily sales" sheetId="9" r:id="rId10"/>
    <sheet name="LY Sales " sheetId="4" r:id="rId11"/>
    <sheet name="LY Transaction" sheetId="5" r:id="rId12"/>
    <sheet name="TY Sales Target" sheetId="6" r:id="rId13"/>
    <sheet name="TY Beauty Target" sheetId="15" r:id="rId14"/>
    <sheet name="Sep sales " sheetId="14" state="hidden" r:id="rId15"/>
    <sheet name="Staff Calc" sheetId="12" r:id="rId16"/>
  </sheets>
  <definedNames>
    <definedName name="_xlnm._FilterDatabase" localSheetId="7" hidden="1">'Makeup '!$A$1:$F$114</definedName>
    <definedName name="_xlnm._FilterDatabase" localSheetId="6" hidden="1">'Sales and count'!$A$3:$BR$117</definedName>
    <definedName name="_xlnm._FilterDatabase" localSheetId="1" hidden="1">'Sales Dashboard'!$A$29:$CE$29</definedName>
    <definedName name="_xlnm._FilterDatabase" localSheetId="14" hidden="1">'Sep sales '!$A$2:$I$114</definedName>
    <definedName name="_xlnm._FilterDatabase" localSheetId="9" hidden="1">'Staff Daily sales'!$B$3:$BR$600</definedName>
    <definedName name="_xlnm._FilterDatabase" localSheetId="13" hidden="1">'TY Beauty Target'!$A$4:$AT$120</definedName>
    <definedName name="_xlnm._FilterDatabase" localSheetId="12" hidden="1">'TY Sales Target'!$A$4:$AS$120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" i="1" l="1"/>
  <c r="BE1" i="1"/>
  <c r="BF1" i="1"/>
  <c r="BR117" i="1"/>
  <c r="BQ117" i="1"/>
  <c r="BR116" i="1"/>
  <c r="BQ116" i="1"/>
  <c r="BR115" i="1"/>
  <c r="BQ115" i="1"/>
  <c r="BR114" i="1"/>
  <c r="BQ114" i="1"/>
  <c r="BR113" i="1"/>
  <c r="BQ113" i="1"/>
  <c r="BR112" i="1"/>
  <c r="BQ112" i="1"/>
  <c r="BR111" i="1"/>
  <c r="BQ111" i="1"/>
  <c r="BR110" i="1"/>
  <c r="BQ110" i="1"/>
  <c r="BR109" i="1"/>
  <c r="BQ109" i="1"/>
  <c r="BR108" i="1"/>
  <c r="BQ108" i="1"/>
  <c r="BR107" i="1"/>
  <c r="BQ107" i="1"/>
  <c r="BR106" i="1"/>
  <c r="BQ106" i="1"/>
  <c r="BR105" i="1"/>
  <c r="BQ105" i="1"/>
  <c r="BR104" i="1"/>
  <c r="BQ104" i="1"/>
  <c r="BR103" i="1"/>
  <c r="BQ103" i="1"/>
  <c r="BR102" i="1"/>
  <c r="BQ102" i="1"/>
  <c r="BR101" i="1"/>
  <c r="BQ101" i="1"/>
  <c r="BR100" i="1"/>
  <c r="BQ100" i="1"/>
  <c r="BR99" i="1"/>
  <c r="BQ99" i="1"/>
  <c r="BR98" i="1"/>
  <c r="BQ98" i="1"/>
  <c r="BR97" i="1"/>
  <c r="BQ97" i="1"/>
  <c r="BR96" i="1"/>
  <c r="BQ96" i="1"/>
  <c r="BR95" i="1"/>
  <c r="BQ95" i="1"/>
  <c r="BR94" i="1"/>
  <c r="BQ94" i="1"/>
  <c r="BR93" i="1"/>
  <c r="BQ93" i="1"/>
  <c r="BR92" i="1"/>
  <c r="BQ92" i="1"/>
  <c r="BR91" i="1"/>
  <c r="BQ91" i="1"/>
  <c r="BR90" i="1"/>
  <c r="BQ90" i="1"/>
  <c r="BR89" i="1"/>
  <c r="BQ89" i="1"/>
  <c r="BR88" i="1"/>
  <c r="BQ88" i="1"/>
  <c r="BR87" i="1"/>
  <c r="BQ87" i="1"/>
  <c r="BR86" i="1"/>
  <c r="BQ86" i="1"/>
  <c r="BR85" i="1"/>
  <c r="BQ85" i="1"/>
  <c r="BR84" i="1"/>
  <c r="BQ84" i="1"/>
  <c r="BR83" i="1"/>
  <c r="BQ83" i="1"/>
  <c r="BR82" i="1"/>
  <c r="BQ82" i="1"/>
  <c r="BR81" i="1"/>
  <c r="BQ81" i="1"/>
  <c r="BR80" i="1"/>
  <c r="BQ80" i="1"/>
  <c r="BR79" i="1"/>
  <c r="BQ79" i="1"/>
  <c r="BR78" i="1"/>
  <c r="BQ78" i="1"/>
  <c r="BR77" i="1"/>
  <c r="BQ77" i="1"/>
  <c r="BR76" i="1"/>
  <c r="BQ76" i="1"/>
  <c r="BR75" i="1"/>
  <c r="BQ75" i="1"/>
  <c r="BR74" i="1"/>
  <c r="BQ74" i="1"/>
  <c r="BR73" i="1"/>
  <c r="BQ73" i="1"/>
  <c r="BR72" i="1"/>
  <c r="BQ72" i="1"/>
  <c r="BR71" i="1"/>
  <c r="BQ71" i="1"/>
  <c r="BR70" i="1"/>
  <c r="BQ70" i="1"/>
  <c r="BR69" i="1"/>
  <c r="BQ69" i="1"/>
  <c r="BR68" i="1"/>
  <c r="BQ68" i="1"/>
  <c r="BR67" i="1"/>
  <c r="BQ67" i="1"/>
  <c r="BR66" i="1"/>
  <c r="BQ66" i="1"/>
  <c r="BR65" i="1"/>
  <c r="BQ65" i="1"/>
  <c r="BR64" i="1"/>
  <c r="BQ64" i="1"/>
  <c r="BR63" i="1"/>
  <c r="BQ63" i="1"/>
  <c r="BR62" i="1"/>
  <c r="BQ62" i="1"/>
  <c r="BR61" i="1"/>
  <c r="BQ61" i="1"/>
  <c r="BR60" i="1"/>
  <c r="BQ60" i="1"/>
  <c r="BR59" i="1"/>
  <c r="BQ59" i="1"/>
  <c r="BR58" i="1"/>
  <c r="BQ58" i="1"/>
  <c r="BR57" i="1"/>
  <c r="BQ57" i="1"/>
  <c r="BR56" i="1"/>
  <c r="BQ56" i="1"/>
  <c r="BR55" i="1"/>
  <c r="BQ55" i="1"/>
  <c r="BR54" i="1"/>
  <c r="BQ54" i="1"/>
  <c r="BR53" i="1"/>
  <c r="BQ53" i="1"/>
  <c r="BR52" i="1"/>
  <c r="BQ52" i="1"/>
  <c r="BR51" i="1"/>
  <c r="BQ51" i="1"/>
  <c r="BR50" i="1"/>
  <c r="BQ50" i="1"/>
  <c r="BR49" i="1"/>
  <c r="BQ49" i="1"/>
  <c r="BR48" i="1"/>
  <c r="BQ48" i="1"/>
  <c r="BR47" i="1"/>
  <c r="BQ47" i="1"/>
  <c r="BR46" i="1"/>
  <c r="BQ46" i="1"/>
  <c r="BR45" i="1"/>
  <c r="BQ45" i="1"/>
  <c r="BR44" i="1"/>
  <c r="BQ44" i="1"/>
  <c r="BR43" i="1"/>
  <c r="BQ43" i="1"/>
  <c r="BR42" i="1"/>
  <c r="BQ42" i="1"/>
  <c r="BR41" i="1"/>
  <c r="BQ41" i="1"/>
  <c r="BR40" i="1"/>
  <c r="BQ40" i="1"/>
  <c r="BR39" i="1"/>
  <c r="BQ39" i="1"/>
  <c r="BR38" i="1"/>
  <c r="BQ38" i="1"/>
  <c r="BR37" i="1"/>
  <c r="BQ37" i="1"/>
  <c r="BR36" i="1"/>
  <c r="BQ36" i="1"/>
  <c r="BR35" i="1"/>
  <c r="BQ35" i="1"/>
  <c r="BR34" i="1"/>
  <c r="BQ34" i="1"/>
  <c r="BR33" i="1"/>
  <c r="BQ33" i="1"/>
  <c r="BR32" i="1"/>
  <c r="BQ32" i="1"/>
  <c r="BR31" i="1"/>
  <c r="BQ31" i="1"/>
  <c r="BR30" i="1"/>
  <c r="BQ30" i="1"/>
  <c r="BR29" i="1"/>
  <c r="BQ29" i="1"/>
  <c r="BR28" i="1"/>
  <c r="BQ28" i="1"/>
  <c r="BR27" i="1"/>
  <c r="BQ27" i="1"/>
  <c r="BR26" i="1"/>
  <c r="BQ26" i="1"/>
  <c r="BR25" i="1"/>
  <c r="BQ25" i="1"/>
  <c r="BR24" i="1"/>
  <c r="BQ24" i="1"/>
  <c r="BR23" i="1"/>
  <c r="BQ23" i="1"/>
  <c r="BR22" i="1"/>
  <c r="BQ22" i="1"/>
  <c r="BR21" i="1"/>
  <c r="BQ21" i="1"/>
  <c r="BR20" i="1"/>
  <c r="BQ20" i="1"/>
  <c r="BR19" i="1"/>
  <c r="BQ19" i="1"/>
  <c r="BR18" i="1"/>
  <c r="BQ18" i="1"/>
  <c r="BR17" i="1"/>
  <c r="BQ17" i="1"/>
  <c r="BR16" i="1"/>
  <c r="BQ16" i="1"/>
  <c r="BR15" i="1"/>
  <c r="BQ15" i="1"/>
  <c r="BR14" i="1"/>
  <c r="BQ14" i="1"/>
  <c r="BR13" i="1"/>
  <c r="BQ13" i="1"/>
  <c r="BR12" i="1"/>
  <c r="BQ12" i="1"/>
  <c r="BR11" i="1"/>
  <c r="BQ11" i="1"/>
  <c r="BR10" i="1"/>
  <c r="BQ10" i="1"/>
  <c r="BR9" i="1"/>
  <c r="BQ9" i="1"/>
  <c r="BR8" i="1"/>
  <c r="BQ8" i="1"/>
  <c r="BR7" i="1"/>
  <c r="BQ7" i="1"/>
  <c r="BR6" i="1"/>
  <c r="BQ6" i="1"/>
  <c r="BR5" i="1"/>
  <c r="BQ5" i="1"/>
  <c r="BR4" i="1"/>
  <c r="BR600" i="9"/>
  <c r="BQ600" i="9"/>
  <c r="BR599" i="9"/>
  <c r="BQ599" i="9"/>
  <c r="BR598" i="9"/>
  <c r="BQ598" i="9"/>
  <c r="BR597" i="9"/>
  <c r="BQ597" i="9"/>
  <c r="BR596" i="9"/>
  <c r="BQ596" i="9"/>
  <c r="BR595" i="9"/>
  <c r="BQ595" i="9"/>
  <c r="BR594" i="9"/>
  <c r="BQ594" i="9"/>
  <c r="BR593" i="9"/>
  <c r="BQ593" i="9"/>
  <c r="BR592" i="9"/>
  <c r="BQ592" i="9"/>
  <c r="BR591" i="9"/>
  <c r="BQ591" i="9"/>
  <c r="BR590" i="9"/>
  <c r="BQ590" i="9"/>
  <c r="BR589" i="9"/>
  <c r="BQ589" i="9"/>
  <c r="BR588" i="9"/>
  <c r="BQ588" i="9"/>
  <c r="BR587" i="9"/>
  <c r="BQ587" i="9"/>
  <c r="BR586" i="9"/>
  <c r="BQ586" i="9"/>
  <c r="BR585" i="9"/>
  <c r="BQ585" i="9"/>
  <c r="BR584" i="9"/>
  <c r="BQ584" i="9"/>
  <c r="BR583" i="9"/>
  <c r="BQ583" i="9"/>
  <c r="BR582" i="9"/>
  <c r="BQ582" i="9"/>
  <c r="BR581" i="9"/>
  <c r="BQ581" i="9"/>
  <c r="BR580" i="9"/>
  <c r="BQ580" i="9"/>
  <c r="BR579" i="9"/>
  <c r="BQ579" i="9"/>
  <c r="BR578" i="9"/>
  <c r="BQ578" i="9"/>
  <c r="BR577" i="9"/>
  <c r="BQ577" i="9"/>
  <c r="BR576" i="9"/>
  <c r="BQ576" i="9"/>
  <c r="BR575" i="9"/>
  <c r="BQ575" i="9"/>
  <c r="BR574" i="9"/>
  <c r="BQ574" i="9"/>
  <c r="BR573" i="9"/>
  <c r="BQ573" i="9"/>
  <c r="BR572" i="9"/>
  <c r="BQ572" i="9"/>
  <c r="BR571" i="9"/>
  <c r="BQ571" i="9"/>
  <c r="BR570" i="9"/>
  <c r="BQ570" i="9"/>
  <c r="BR569" i="9"/>
  <c r="BQ569" i="9"/>
  <c r="BR568" i="9"/>
  <c r="BQ568" i="9"/>
  <c r="BR567" i="9"/>
  <c r="BQ567" i="9"/>
  <c r="BR566" i="9"/>
  <c r="BQ566" i="9"/>
  <c r="BR565" i="9"/>
  <c r="BQ565" i="9"/>
  <c r="BR564" i="9"/>
  <c r="BQ564" i="9"/>
  <c r="BR563" i="9"/>
  <c r="BQ563" i="9"/>
  <c r="BR562" i="9"/>
  <c r="BQ562" i="9"/>
  <c r="BR561" i="9"/>
  <c r="BQ561" i="9"/>
  <c r="BR560" i="9"/>
  <c r="BQ560" i="9"/>
  <c r="BR559" i="9"/>
  <c r="BQ559" i="9"/>
  <c r="BR558" i="9"/>
  <c r="BQ558" i="9"/>
  <c r="BR557" i="9"/>
  <c r="BQ557" i="9"/>
  <c r="BR556" i="9"/>
  <c r="BQ556" i="9"/>
  <c r="BR555" i="9"/>
  <c r="BQ555" i="9"/>
  <c r="BR554" i="9"/>
  <c r="BQ554" i="9"/>
  <c r="BR553" i="9"/>
  <c r="BQ553" i="9"/>
  <c r="BR552" i="9"/>
  <c r="BQ552" i="9"/>
  <c r="BR551" i="9"/>
  <c r="BQ551" i="9"/>
  <c r="BR550" i="9"/>
  <c r="BQ550" i="9"/>
  <c r="BR549" i="9"/>
  <c r="BQ549" i="9"/>
  <c r="BR548" i="9"/>
  <c r="BQ548" i="9"/>
  <c r="BR547" i="9"/>
  <c r="BQ547" i="9"/>
  <c r="BR546" i="9"/>
  <c r="BQ546" i="9"/>
  <c r="BR545" i="9"/>
  <c r="BQ545" i="9"/>
  <c r="BR544" i="9"/>
  <c r="BQ544" i="9"/>
  <c r="BR543" i="9"/>
  <c r="BQ543" i="9"/>
  <c r="BR542" i="9"/>
  <c r="BQ542" i="9"/>
  <c r="BR541" i="9"/>
  <c r="BQ541" i="9"/>
  <c r="BR540" i="9"/>
  <c r="BQ540" i="9"/>
  <c r="BR539" i="9"/>
  <c r="BQ539" i="9"/>
  <c r="BR538" i="9"/>
  <c r="BQ538" i="9"/>
  <c r="BR537" i="9"/>
  <c r="BQ537" i="9"/>
  <c r="BR536" i="9"/>
  <c r="BQ536" i="9"/>
  <c r="BR535" i="9"/>
  <c r="BQ535" i="9"/>
  <c r="BR534" i="9"/>
  <c r="BQ534" i="9"/>
  <c r="BR533" i="9"/>
  <c r="BQ533" i="9"/>
  <c r="BR532" i="9"/>
  <c r="BQ532" i="9"/>
  <c r="BR531" i="9"/>
  <c r="BQ531" i="9"/>
  <c r="BR530" i="9"/>
  <c r="BQ530" i="9"/>
  <c r="BR529" i="9"/>
  <c r="BQ529" i="9"/>
  <c r="BR528" i="9"/>
  <c r="BQ528" i="9"/>
  <c r="BR527" i="9"/>
  <c r="BQ527" i="9"/>
  <c r="BR526" i="9"/>
  <c r="BQ526" i="9"/>
  <c r="BR525" i="9"/>
  <c r="BQ525" i="9"/>
  <c r="BR524" i="9"/>
  <c r="BQ524" i="9"/>
  <c r="BR523" i="9"/>
  <c r="BQ523" i="9"/>
  <c r="BR522" i="9"/>
  <c r="BQ522" i="9"/>
  <c r="BR521" i="9"/>
  <c r="BQ521" i="9"/>
  <c r="BR520" i="9"/>
  <c r="BQ520" i="9"/>
  <c r="BR519" i="9"/>
  <c r="BQ519" i="9"/>
  <c r="BR518" i="9"/>
  <c r="BQ518" i="9"/>
  <c r="BR517" i="9"/>
  <c r="BQ517" i="9"/>
  <c r="BR516" i="9"/>
  <c r="BQ516" i="9"/>
  <c r="BR515" i="9"/>
  <c r="BQ515" i="9"/>
  <c r="BR514" i="9"/>
  <c r="BQ514" i="9"/>
  <c r="BR513" i="9"/>
  <c r="BQ513" i="9"/>
  <c r="BR512" i="9"/>
  <c r="BQ512" i="9"/>
  <c r="BR511" i="9"/>
  <c r="BQ511" i="9"/>
  <c r="BR510" i="9"/>
  <c r="BQ510" i="9"/>
  <c r="BR509" i="9"/>
  <c r="BQ509" i="9"/>
  <c r="BR508" i="9"/>
  <c r="BQ508" i="9"/>
  <c r="BR507" i="9"/>
  <c r="BQ507" i="9"/>
  <c r="BR506" i="9"/>
  <c r="BQ506" i="9"/>
  <c r="BR505" i="9"/>
  <c r="BQ505" i="9"/>
  <c r="BR504" i="9"/>
  <c r="BQ504" i="9"/>
  <c r="BR503" i="9"/>
  <c r="BQ503" i="9"/>
  <c r="BR502" i="9"/>
  <c r="BQ502" i="9"/>
  <c r="BR501" i="9"/>
  <c r="BQ501" i="9"/>
  <c r="BR500" i="9"/>
  <c r="BQ500" i="9"/>
  <c r="BR499" i="9"/>
  <c r="BQ499" i="9"/>
  <c r="BR498" i="9"/>
  <c r="BQ498" i="9"/>
  <c r="BR497" i="9"/>
  <c r="BQ497" i="9"/>
  <c r="BR496" i="9"/>
  <c r="BQ496" i="9"/>
  <c r="BR495" i="9"/>
  <c r="BQ495" i="9"/>
  <c r="BR494" i="9"/>
  <c r="BQ494" i="9"/>
  <c r="BR493" i="9"/>
  <c r="BQ493" i="9"/>
  <c r="BR492" i="9"/>
  <c r="BQ492" i="9"/>
  <c r="BR491" i="9"/>
  <c r="BQ491" i="9"/>
  <c r="BR490" i="9"/>
  <c r="BQ490" i="9"/>
  <c r="BR489" i="9"/>
  <c r="BQ489" i="9"/>
  <c r="BR488" i="9"/>
  <c r="BQ488" i="9"/>
  <c r="BR487" i="9"/>
  <c r="BQ487" i="9"/>
  <c r="BR486" i="9"/>
  <c r="BQ486" i="9"/>
  <c r="BR485" i="9"/>
  <c r="BQ485" i="9"/>
  <c r="BR484" i="9"/>
  <c r="BQ484" i="9"/>
  <c r="BR483" i="9"/>
  <c r="BQ483" i="9"/>
  <c r="BR482" i="9"/>
  <c r="BQ482" i="9"/>
  <c r="BR481" i="9"/>
  <c r="BQ481" i="9"/>
  <c r="BR480" i="9"/>
  <c r="BQ480" i="9"/>
  <c r="BR479" i="9"/>
  <c r="BQ479" i="9"/>
  <c r="BR478" i="9"/>
  <c r="BQ478" i="9"/>
  <c r="BR477" i="9"/>
  <c r="BQ477" i="9"/>
  <c r="BR476" i="9"/>
  <c r="BQ476" i="9"/>
  <c r="BR475" i="9"/>
  <c r="BQ475" i="9"/>
  <c r="BR474" i="9"/>
  <c r="BQ474" i="9"/>
  <c r="BR473" i="9"/>
  <c r="BQ473" i="9"/>
  <c r="BR472" i="9"/>
  <c r="BQ472" i="9"/>
  <c r="BR471" i="9"/>
  <c r="BQ471" i="9"/>
  <c r="BR470" i="9"/>
  <c r="BQ470" i="9"/>
  <c r="BR469" i="9"/>
  <c r="BQ469" i="9"/>
  <c r="BR468" i="9"/>
  <c r="BQ468" i="9"/>
  <c r="BR467" i="9"/>
  <c r="BQ467" i="9"/>
  <c r="BR466" i="9"/>
  <c r="BQ466" i="9"/>
  <c r="BR465" i="9"/>
  <c r="BQ465" i="9"/>
  <c r="BR464" i="9"/>
  <c r="BQ464" i="9"/>
  <c r="BR463" i="9"/>
  <c r="BQ463" i="9"/>
  <c r="BR462" i="9"/>
  <c r="BQ462" i="9"/>
  <c r="BR461" i="9"/>
  <c r="BQ461" i="9"/>
  <c r="BR460" i="9"/>
  <c r="BQ460" i="9"/>
  <c r="BR459" i="9"/>
  <c r="BQ459" i="9"/>
  <c r="BR458" i="9"/>
  <c r="BQ458" i="9"/>
  <c r="BR457" i="9"/>
  <c r="BQ457" i="9"/>
  <c r="BR456" i="9"/>
  <c r="BQ456" i="9"/>
  <c r="BR455" i="9"/>
  <c r="BQ455" i="9"/>
  <c r="BR454" i="9"/>
  <c r="BQ454" i="9"/>
  <c r="BR453" i="9"/>
  <c r="BQ453" i="9"/>
  <c r="BR452" i="9"/>
  <c r="BQ452" i="9"/>
  <c r="BR451" i="9"/>
  <c r="BQ451" i="9"/>
  <c r="BR450" i="9"/>
  <c r="BQ450" i="9"/>
  <c r="BR449" i="9"/>
  <c r="BQ449" i="9"/>
  <c r="BR448" i="9"/>
  <c r="BQ448" i="9"/>
  <c r="BR447" i="9"/>
  <c r="BQ447" i="9"/>
  <c r="BR446" i="9"/>
  <c r="BQ446" i="9"/>
  <c r="BR445" i="9"/>
  <c r="BQ445" i="9"/>
  <c r="BR444" i="9"/>
  <c r="BQ444" i="9"/>
  <c r="BR443" i="9"/>
  <c r="BQ443" i="9"/>
  <c r="BR442" i="9"/>
  <c r="BQ442" i="9"/>
  <c r="BR441" i="9"/>
  <c r="BQ441" i="9"/>
  <c r="BR440" i="9"/>
  <c r="BQ440" i="9"/>
  <c r="BR439" i="9"/>
  <c r="BQ439" i="9"/>
  <c r="BR438" i="9"/>
  <c r="BQ438" i="9"/>
  <c r="BR437" i="9"/>
  <c r="BQ437" i="9"/>
  <c r="BR436" i="9"/>
  <c r="BQ436" i="9"/>
  <c r="BR435" i="9"/>
  <c r="BQ435" i="9"/>
  <c r="BR434" i="9"/>
  <c r="BQ434" i="9"/>
  <c r="BR433" i="9"/>
  <c r="BQ433" i="9"/>
  <c r="BR432" i="9"/>
  <c r="BQ432" i="9"/>
  <c r="BR431" i="9"/>
  <c r="BQ431" i="9"/>
  <c r="BR430" i="9"/>
  <c r="BQ430" i="9"/>
  <c r="BR429" i="9"/>
  <c r="BQ429" i="9"/>
  <c r="BR428" i="9"/>
  <c r="BQ428" i="9"/>
  <c r="BR427" i="9"/>
  <c r="BQ427" i="9"/>
  <c r="BR426" i="9"/>
  <c r="BQ426" i="9"/>
  <c r="BR425" i="9"/>
  <c r="BQ425" i="9"/>
  <c r="BR424" i="9"/>
  <c r="BQ424" i="9"/>
  <c r="BR423" i="9"/>
  <c r="BQ423" i="9"/>
  <c r="BR422" i="9"/>
  <c r="BQ422" i="9"/>
  <c r="BR421" i="9"/>
  <c r="BQ421" i="9"/>
  <c r="BR420" i="9"/>
  <c r="BQ420" i="9"/>
  <c r="BR419" i="9"/>
  <c r="BQ419" i="9"/>
  <c r="BR418" i="9"/>
  <c r="BQ418" i="9"/>
  <c r="BR417" i="9"/>
  <c r="BQ417" i="9"/>
  <c r="BR416" i="9"/>
  <c r="BQ416" i="9"/>
  <c r="BR415" i="9"/>
  <c r="BQ415" i="9"/>
  <c r="BR414" i="9"/>
  <c r="BQ414" i="9"/>
  <c r="BR413" i="9"/>
  <c r="BQ413" i="9"/>
  <c r="BR412" i="9"/>
  <c r="BQ412" i="9"/>
  <c r="BR411" i="9"/>
  <c r="BQ411" i="9"/>
  <c r="BR410" i="9"/>
  <c r="BQ410" i="9"/>
  <c r="BR409" i="9"/>
  <c r="BQ409" i="9"/>
  <c r="BR408" i="9"/>
  <c r="BQ408" i="9"/>
  <c r="BR407" i="9"/>
  <c r="BQ407" i="9"/>
  <c r="BR406" i="9"/>
  <c r="BQ406" i="9"/>
  <c r="BR405" i="9"/>
  <c r="BQ405" i="9"/>
  <c r="BR404" i="9"/>
  <c r="BQ404" i="9"/>
  <c r="BR403" i="9"/>
  <c r="BQ403" i="9"/>
  <c r="BR402" i="9"/>
  <c r="BQ402" i="9"/>
  <c r="BR401" i="9"/>
  <c r="BQ401" i="9"/>
  <c r="BR400" i="9"/>
  <c r="BQ400" i="9"/>
  <c r="BR399" i="9"/>
  <c r="BQ399" i="9"/>
  <c r="BR398" i="9"/>
  <c r="BQ398" i="9"/>
  <c r="BR397" i="9"/>
  <c r="BQ397" i="9"/>
  <c r="BR396" i="9"/>
  <c r="BQ396" i="9"/>
  <c r="BR395" i="9"/>
  <c r="BQ395" i="9"/>
  <c r="BR394" i="9"/>
  <c r="BQ394" i="9"/>
  <c r="BR393" i="9"/>
  <c r="BQ393" i="9"/>
  <c r="BR392" i="9"/>
  <c r="BQ392" i="9"/>
  <c r="BR391" i="9"/>
  <c r="BQ391" i="9"/>
  <c r="BR390" i="9"/>
  <c r="BQ390" i="9"/>
  <c r="BR389" i="9"/>
  <c r="BQ389" i="9"/>
  <c r="BR388" i="9"/>
  <c r="BQ388" i="9"/>
  <c r="BR387" i="9"/>
  <c r="BQ387" i="9"/>
  <c r="BR386" i="9"/>
  <c r="BQ386" i="9"/>
  <c r="BR385" i="9"/>
  <c r="BQ385" i="9"/>
  <c r="BR384" i="9"/>
  <c r="BQ384" i="9"/>
  <c r="BR383" i="9"/>
  <c r="BQ383" i="9"/>
  <c r="BR382" i="9"/>
  <c r="BQ382" i="9"/>
  <c r="BR381" i="9"/>
  <c r="BQ381" i="9"/>
  <c r="BR380" i="9"/>
  <c r="BQ380" i="9"/>
  <c r="BR379" i="9"/>
  <c r="BQ379" i="9"/>
  <c r="BR378" i="9"/>
  <c r="BQ378" i="9"/>
  <c r="BR377" i="9"/>
  <c r="BQ377" i="9"/>
  <c r="BR376" i="9"/>
  <c r="BQ376" i="9"/>
  <c r="BR375" i="9"/>
  <c r="BQ375" i="9"/>
  <c r="BR374" i="9"/>
  <c r="BQ374" i="9"/>
  <c r="BR373" i="9"/>
  <c r="BQ373" i="9"/>
  <c r="BR372" i="9"/>
  <c r="BQ372" i="9"/>
  <c r="BR371" i="9"/>
  <c r="BQ371" i="9"/>
  <c r="BR370" i="9"/>
  <c r="BQ370" i="9"/>
  <c r="BR369" i="9"/>
  <c r="BQ369" i="9"/>
  <c r="BR368" i="9"/>
  <c r="BQ368" i="9"/>
  <c r="BR367" i="9"/>
  <c r="BQ367" i="9"/>
  <c r="BR366" i="9"/>
  <c r="BQ366" i="9"/>
  <c r="BR365" i="9"/>
  <c r="BQ365" i="9"/>
  <c r="BR364" i="9"/>
  <c r="BQ364" i="9"/>
  <c r="BR363" i="9"/>
  <c r="BQ363" i="9"/>
  <c r="BR362" i="9"/>
  <c r="BQ362" i="9"/>
  <c r="BR361" i="9"/>
  <c r="BQ361" i="9"/>
  <c r="BR360" i="9"/>
  <c r="BQ360" i="9"/>
  <c r="BR359" i="9"/>
  <c r="BQ359" i="9"/>
  <c r="BR358" i="9"/>
  <c r="BQ358" i="9"/>
  <c r="BR357" i="9"/>
  <c r="BQ357" i="9"/>
  <c r="BR356" i="9"/>
  <c r="BQ356" i="9"/>
  <c r="BR355" i="9"/>
  <c r="BQ355" i="9"/>
  <c r="BR354" i="9"/>
  <c r="BQ354" i="9"/>
  <c r="BR353" i="9"/>
  <c r="BQ353" i="9"/>
  <c r="BR352" i="9"/>
  <c r="BQ352" i="9"/>
  <c r="BR351" i="9"/>
  <c r="BQ351" i="9"/>
  <c r="BR350" i="9"/>
  <c r="BQ350" i="9"/>
  <c r="BR349" i="9"/>
  <c r="BQ349" i="9"/>
  <c r="BR348" i="9"/>
  <c r="BQ348" i="9"/>
  <c r="BR347" i="9"/>
  <c r="BQ347" i="9"/>
  <c r="BR346" i="9"/>
  <c r="BQ346" i="9"/>
  <c r="BR345" i="9"/>
  <c r="BQ345" i="9"/>
  <c r="BR344" i="9"/>
  <c r="BQ344" i="9"/>
  <c r="BR343" i="9"/>
  <c r="BQ343" i="9"/>
  <c r="BR342" i="9"/>
  <c r="BQ342" i="9"/>
  <c r="BR341" i="9"/>
  <c r="BQ341" i="9"/>
  <c r="BR340" i="9"/>
  <c r="BQ340" i="9"/>
  <c r="BR339" i="9"/>
  <c r="BQ339" i="9"/>
  <c r="BR338" i="9"/>
  <c r="BQ338" i="9"/>
  <c r="BR337" i="9"/>
  <c r="BQ337" i="9"/>
  <c r="BR336" i="9"/>
  <c r="BQ336" i="9"/>
  <c r="BR335" i="9"/>
  <c r="BQ335" i="9"/>
  <c r="BR334" i="9"/>
  <c r="BQ334" i="9"/>
  <c r="BR333" i="9"/>
  <c r="BQ333" i="9"/>
  <c r="BR332" i="9"/>
  <c r="BQ332" i="9"/>
  <c r="BR331" i="9"/>
  <c r="BQ331" i="9"/>
  <c r="BR330" i="9"/>
  <c r="BQ330" i="9"/>
  <c r="BR329" i="9"/>
  <c r="BQ329" i="9"/>
  <c r="BR328" i="9"/>
  <c r="BQ328" i="9"/>
  <c r="BR327" i="9"/>
  <c r="BQ327" i="9"/>
  <c r="BR326" i="9"/>
  <c r="BQ326" i="9"/>
  <c r="BR325" i="9"/>
  <c r="BQ325" i="9"/>
  <c r="BR324" i="9"/>
  <c r="BQ324" i="9"/>
  <c r="BR323" i="9"/>
  <c r="BQ323" i="9"/>
  <c r="BR322" i="9"/>
  <c r="BQ322" i="9"/>
  <c r="BR321" i="9"/>
  <c r="BQ321" i="9"/>
  <c r="BR320" i="9"/>
  <c r="BQ320" i="9"/>
  <c r="BR319" i="9"/>
  <c r="BQ319" i="9"/>
  <c r="BR318" i="9"/>
  <c r="BQ318" i="9"/>
  <c r="BR317" i="9"/>
  <c r="BQ317" i="9"/>
  <c r="BR316" i="9"/>
  <c r="BQ316" i="9"/>
  <c r="BR315" i="9"/>
  <c r="BQ315" i="9"/>
  <c r="BR314" i="9"/>
  <c r="BQ314" i="9"/>
  <c r="BR313" i="9"/>
  <c r="BQ313" i="9"/>
  <c r="BR312" i="9"/>
  <c r="BQ312" i="9"/>
  <c r="BR311" i="9"/>
  <c r="BQ311" i="9"/>
  <c r="BR310" i="9"/>
  <c r="BQ310" i="9"/>
  <c r="BR309" i="9"/>
  <c r="BQ309" i="9"/>
  <c r="BR308" i="9"/>
  <c r="BQ308" i="9"/>
  <c r="BR307" i="9"/>
  <c r="BQ307" i="9"/>
  <c r="BR306" i="9"/>
  <c r="BQ306" i="9"/>
  <c r="BR305" i="9"/>
  <c r="BQ305" i="9"/>
  <c r="BR304" i="9"/>
  <c r="BQ304" i="9"/>
  <c r="BR303" i="9"/>
  <c r="BQ303" i="9"/>
  <c r="BR302" i="9"/>
  <c r="BQ302" i="9"/>
  <c r="BR301" i="9"/>
  <c r="BQ301" i="9"/>
  <c r="BR300" i="9"/>
  <c r="BQ300" i="9"/>
  <c r="BR299" i="9"/>
  <c r="BQ299" i="9"/>
  <c r="BR298" i="9"/>
  <c r="BQ298" i="9"/>
  <c r="BR297" i="9"/>
  <c r="BQ297" i="9"/>
  <c r="BR296" i="9"/>
  <c r="BQ296" i="9"/>
  <c r="BR295" i="9"/>
  <c r="BQ295" i="9"/>
  <c r="BR294" i="9"/>
  <c r="BQ294" i="9"/>
  <c r="BR293" i="9"/>
  <c r="BQ293" i="9"/>
  <c r="BR292" i="9"/>
  <c r="BQ292" i="9"/>
  <c r="BR291" i="9"/>
  <c r="BQ291" i="9"/>
  <c r="BR290" i="9"/>
  <c r="BQ290" i="9"/>
  <c r="BR289" i="9"/>
  <c r="BQ289" i="9"/>
  <c r="BR288" i="9"/>
  <c r="BQ288" i="9"/>
  <c r="BR287" i="9"/>
  <c r="BQ287" i="9"/>
  <c r="BR286" i="9"/>
  <c r="BQ286" i="9"/>
  <c r="BR285" i="9"/>
  <c r="BQ285" i="9"/>
  <c r="BR284" i="9"/>
  <c r="BQ284" i="9"/>
  <c r="BR283" i="9"/>
  <c r="BQ283" i="9"/>
  <c r="BR282" i="9"/>
  <c r="BQ282" i="9"/>
  <c r="BR281" i="9"/>
  <c r="BQ281" i="9"/>
  <c r="BR280" i="9"/>
  <c r="BQ280" i="9"/>
  <c r="BR279" i="9"/>
  <c r="BQ279" i="9"/>
  <c r="BR278" i="9"/>
  <c r="BQ278" i="9"/>
  <c r="BR277" i="9"/>
  <c r="BQ277" i="9"/>
  <c r="BR276" i="9"/>
  <c r="BQ276" i="9"/>
  <c r="BR275" i="9"/>
  <c r="BQ275" i="9"/>
  <c r="BR274" i="9"/>
  <c r="BQ274" i="9"/>
  <c r="BR273" i="9"/>
  <c r="BQ273" i="9"/>
  <c r="BR272" i="9"/>
  <c r="BQ272" i="9"/>
  <c r="BR271" i="9"/>
  <c r="BQ271" i="9"/>
  <c r="BR270" i="9"/>
  <c r="BQ270" i="9"/>
  <c r="BR269" i="9"/>
  <c r="BQ269" i="9"/>
  <c r="BR268" i="9"/>
  <c r="BQ268" i="9"/>
  <c r="BR267" i="9"/>
  <c r="BQ267" i="9"/>
  <c r="BR266" i="9"/>
  <c r="BQ266" i="9"/>
  <c r="BR265" i="9"/>
  <c r="BQ265" i="9"/>
  <c r="BR264" i="9"/>
  <c r="BQ264" i="9"/>
  <c r="BR263" i="9"/>
  <c r="BQ263" i="9"/>
  <c r="BR262" i="9"/>
  <c r="BQ262" i="9"/>
  <c r="BR261" i="9"/>
  <c r="BQ261" i="9"/>
  <c r="BR260" i="9"/>
  <c r="BQ260" i="9"/>
  <c r="BR259" i="9"/>
  <c r="BQ259" i="9"/>
  <c r="BR258" i="9"/>
  <c r="BQ258" i="9"/>
  <c r="BR257" i="9"/>
  <c r="BQ257" i="9"/>
  <c r="BR256" i="9"/>
  <c r="BQ256" i="9"/>
  <c r="BR255" i="9"/>
  <c r="BQ255" i="9"/>
  <c r="BR254" i="9"/>
  <c r="BQ254" i="9"/>
  <c r="BR253" i="9"/>
  <c r="BQ253" i="9"/>
  <c r="BR252" i="9"/>
  <c r="BQ252" i="9"/>
  <c r="BQ4" i="9" s="1"/>
  <c r="BR251" i="9"/>
  <c r="BQ251" i="9"/>
  <c r="BR250" i="9"/>
  <c r="BQ250" i="9"/>
  <c r="BR249" i="9"/>
  <c r="BQ249" i="9"/>
  <c r="BR248" i="9"/>
  <c r="BQ248" i="9"/>
  <c r="BR247" i="9"/>
  <c r="BQ247" i="9"/>
  <c r="BR246" i="9"/>
  <c r="BQ246" i="9"/>
  <c r="BR245" i="9"/>
  <c r="BQ245" i="9"/>
  <c r="BR244" i="9"/>
  <c r="BQ244" i="9"/>
  <c r="BR243" i="9"/>
  <c r="BQ243" i="9"/>
  <c r="BR242" i="9"/>
  <c r="BQ242" i="9"/>
  <c r="BR241" i="9"/>
  <c r="BQ241" i="9"/>
  <c r="BR240" i="9"/>
  <c r="BQ240" i="9"/>
  <c r="BR239" i="9"/>
  <c r="BQ239" i="9"/>
  <c r="BR238" i="9"/>
  <c r="BQ238" i="9"/>
  <c r="BR237" i="9"/>
  <c r="BQ237" i="9"/>
  <c r="BR236" i="9"/>
  <c r="BQ236" i="9"/>
  <c r="BR235" i="9"/>
  <c r="BQ235" i="9"/>
  <c r="BR234" i="9"/>
  <c r="BQ234" i="9"/>
  <c r="BR233" i="9"/>
  <c r="BQ233" i="9"/>
  <c r="BR232" i="9"/>
  <c r="BQ232" i="9"/>
  <c r="BR231" i="9"/>
  <c r="BQ231" i="9"/>
  <c r="BR230" i="9"/>
  <c r="BQ230" i="9"/>
  <c r="BR229" i="9"/>
  <c r="BQ229" i="9"/>
  <c r="BR228" i="9"/>
  <c r="BQ228" i="9"/>
  <c r="BR227" i="9"/>
  <c r="BQ227" i="9"/>
  <c r="BR226" i="9"/>
  <c r="BQ226" i="9"/>
  <c r="BR225" i="9"/>
  <c r="BQ225" i="9"/>
  <c r="BR224" i="9"/>
  <c r="BQ224" i="9"/>
  <c r="BR223" i="9"/>
  <c r="BQ223" i="9"/>
  <c r="BR222" i="9"/>
  <c r="BQ222" i="9"/>
  <c r="BR221" i="9"/>
  <c r="BQ221" i="9"/>
  <c r="BR220" i="9"/>
  <c r="BQ220" i="9"/>
  <c r="BR219" i="9"/>
  <c r="BQ219" i="9"/>
  <c r="BR218" i="9"/>
  <c r="BQ218" i="9"/>
  <c r="BR217" i="9"/>
  <c r="BQ217" i="9"/>
  <c r="BR216" i="9"/>
  <c r="BQ216" i="9"/>
  <c r="BR215" i="9"/>
  <c r="BQ215" i="9"/>
  <c r="BR214" i="9"/>
  <c r="BQ214" i="9"/>
  <c r="BR213" i="9"/>
  <c r="BQ213" i="9"/>
  <c r="BR212" i="9"/>
  <c r="BQ212" i="9"/>
  <c r="BR211" i="9"/>
  <c r="BQ211" i="9"/>
  <c r="BR210" i="9"/>
  <c r="BQ210" i="9"/>
  <c r="BR209" i="9"/>
  <c r="BQ209" i="9"/>
  <c r="BR208" i="9"/>
  <c r="BQ208" i="9"/>
  <c r="BR207" i="9"/>
  <c r="BQ207" i="9"/>
  <c r="BR206" i="9"/>
  <c r="BQ206" i="9"/>
  <c r="BR205" i="9"/>
  <c r="BQ205" i="9"/>
  <c r="BR204" i="9"/>
  <c r="BQ204" i="9"/>
  <c r="BR203" i="9"/>
  <c r="BQ203" i="9"/>
  <c r="BR202" i="9"/>
  <c r="BQ202" i="9"/>
  <c r="BR201" i="9"/>
  <c r="BQ201" i="9"/>
  <c r="BR200" i="9"/>
  <c r="BQ200" i="9"/>
  <c r="BR199" i="9"/>
  <c r="BQ199" i="9"/>
  <c r="BR198" i="9"/>
  <c r="BQ198" i="9"/>
  <c r="BR197" i="9"/>
  <c r="BQ197" i="9"/>
  <c r="BR196" i="9"/>
  <c r="BQ196" i="9"/>
  <c r="BR195" i="9"/>
  <c r="BQ195" i="9"/>
  <c r="BR194" i="9"/>
  <c r="BQ194" i="9"/>
  <c r="BR193" i="9"/>
  <c r="BQ193" i="9"/>
  <c r="BR192" i="9"/>
  <c r="BQ192" i="9"/>
  <c r="BR191" i="9"/>
  <c r="BQ191" i="9"/>
  <c r="BR190" i="9"/>
  <c r="BQ190" i="9"/>
  <c r="BR189" i="9"/>
  <c r="BQ189" i="9"/>
  <c r="BR188" i="9"/>
  <c r="BQ188" i="9"/>
  <c r="BR187" i="9"/>
  <c r="BQ187" i="9"/>
  <c r="BR186" i="9"/>
  <c r="BQ186" i="9"/>
  <c r="BR185" i="9"/>
  <c r="BQ185" i="9"/>
  <c r="BR184" i="9"/>
  <c r="BQ184" i="9"/>
  <c r="BR183" i="9"/>
  <c r="BQ183" i="9"/>
  <c r="BR182" i="9"/>
  <c r="BQ182" i="9"/>
  <c r="BR181" i="9"/>
  <c r="BQ181" i="9"/>
  <c r="BR180" i="9"/>
  <c r="BQ180" i="9"/>
  <c r="BR179" i="9"/>
  <c r="BQ179" i="9"/>
  <c r="BR178" i="9"/>
  <c r="BQ178" i="9"/>
  <c r="BR177" i="9"/>
  <c r="BQ177" i="9"/>
  <c r="BR176" i="9"/>
  <c r="BQ176" i="9"/>
  <c r="BR175" i="9"/>
  <c r="BQ175" i="9"/>
  <c r="BR174" i="9"/>
  <c r="BQ174" i="9"/>
  <c r="BR173" i="9"/>
  <c r="BQ173" i="9"/>
  <c r="BR172" i="9"/>
  <c r="BQ172" i="9"/>
  <c r="BR171" i="9"/>
  <c r="BQ171" i="9"/>
  <c r="BR170" i="9"/>
  <c r="BQ170" i="9"/>
  <c r="BR169" i="9"/>
  <c r="BQ169" i="9"/>
  <c r="BR168" i="9"/>
  <c r="BQ168" i="9"/>
  <c r="BR167" i="9"/>
  <c r="BQ167" i="9"/>
  <c r="BR166" i="9"/>
  <c r="BQ166" i="9"/>
  <c r="BR165" i="9"/>
  <c r="BQ165" i="9"/>
  <c r="BR164" i="9"/>
  <c r="BQ164" i="9"/>
  <c r="BR163" i="9"/>
  <c r="BQ163" i="9"/>
  <c r="BR162" i="9"/>
  <c r="BQ162" i="9"/>
  <c r="BR161" i="9"/>
  <c r="BQ161" i="9"/>
  <c r="BR160" i="9"/>
  <c r="BQ160" i="9"/>
  <c r="BR159" i="9"/>
  <c r="BQ159" i="9"/>
  <c r="BR158" i="9"/>
  <c r="BQ158" i="9"/>
  <c r="BR157" i="9"/>
  <c r="BQ157" i="9"/>
  <c r="BR156" i="9"/>
  <c r="BQ156" i="9"/>
  <c r="BR155" i="9"/>
  <c r="BQ155" i="9"/>
  <c r="BR154" i="9"/>
  <c r="BQ154" i="9"/>
  <c r="BR153" i="9"/>
  <c r="BQ153" i="9"/>
  <c r="BR152" i="9"/>
  <c r="BQ152" i="9"/>
  <c r="BR151" i="9"/>
  <c r="BQ151" i="9"/>
  <c r="BR150" i="9"/>
  <c r="BQ150" i="9"/>
  <c r="BR149" i="9"/>
  <c r="BQ149" i="9"/>
  <c r="BR148" i="9"/>
  <c r="BQ148" i="9"/>
  <c r="BR147" i="9"/>
  <c r="BQ147" i="9"/>
  <c r="BR146" i="9"/>
  <c r="BQ146" i="9"/>
  <c r="BR145" i="9"/>
  <c r="BQ145" i="9"/>
  <c r="BR144" i="9"/>
  <c r="BQ144" i="9"/>
  <c r="BR143" i="9"/>
  <c r="BQ143" i="9"/>
  <c r="BR142" i="9"/>
  <c r="BQ142" i="9"/>
  <c r="BR141" i="9"/>
  <c r="BQ141" i="9"/>
  <c r="BR140" i="9"/>
  <c r="BQ140" i="9"/>
  <c r="BR139" i="9"/>
  <c r="BQ139" i="9"/>
  <c r="BR138" i="9"/>
  <c r="BQ138" i="9"/>
  <c r="BR137" i="9"/>
  <c r="BQ137" i="9"/>
  <c r="BR136" i="9"/>
  <c r="BQ136" i="9"/>
  <c r="BR135" i="9"/>
  <c r="BQ135" i="9"/>
  <c r="BR134" i="9"/>
  <c r="BQ134" i="9"/>
  <c r="BR133" i="9"/>
  <c r="BQ133" i="9"/>
  <c r="BR132" i="9"/>
  <c r="BQ132" i="9"/>
  <c r="BR131" i="9"/>
  <c r="BQ131" i="9"/>
  <c r="BR130" i="9"/>
  <c r="BQ130" i="9"/>
  <c r="BR129" i="9"/>
  <c r="BQ129" i="9"/>
  <c r="BR128" i="9"/>
  <c r="BQ128" i="9"/>
  <c r="BR127" i="9"/>
  <c r="BQ127" i="9"/>
  <c r="BR126" i="9"/>
  <c r="BQ126" i="9"/>
  <c r="BR125" i="9"/>
  <c r="BQ125" i="9"/>
  <c r="BR124" i="9"/>
  <c r="BQ124" i="9"/>
  <c r="BR123" i="9"/>
  <c r="BQ123" i="9"/>
  <c r="BR122" i="9"/>
  <c r="BQ122" i="9"/>
  <c r="BR121" i="9"/>
  <c r="BQ121" i="9"/>
  <c r="BR120" i="9"/>
  <c r="BQ120" i="9"/>
  <c r="BR119" i="9"/>
  <c r="BQ119" i="9"/>
  <c r="BR118" i="9"/>
  <c r="BQ118" i="9"/>
  <c r="BR117" i="9"/>
  <c r="BQ117" i="9"/>
  <c r="BR116" i="9"/>
  <c r="BQ116" i="9"/>
  <c r="BR115" i="9"/>
  <c r="BQ115" i="9"/>
  <c r="BR114" i="9"/>
  <c r="BQ114" i="9"/>
  <c r="BR113" i="9"/>
  <c r="BQ113" i="9"/>
  <c r="BR112" i="9"/>
  <c r="BQ112" i="9"/>
  <c r="BR111" i="9"/>
  <c r="BQ111" i="9"/>
  <c r="BR110" i="9"/>
  <c r="BQ110" i="9"/>
  <c r="BR109" i="9"/>
  <c r="BQ109" i="9"/>
  <c r="BR108" i="9"/>
  <c r="BQ108" i="9"/>
  <c r="BR107" i="9"/>
  <c r="BQ107" i="9"/>
  <c r="BR106" i="9"/>
  <c r="BQ106" i="9"/>
  <c r="BR105" i="9"/>
  <c r="BQ105" i="9"/>
  <c r="BR104" i="9"/>
  <c r="BQ104" i="9"/>
  <c r="BR103" i="9"/>
  <c r="BQ103" i="9"/>
  <c r="BR102" i="9"/>
  <c r="BQ102" i="9"/>
  <c r="BR101" i="9"/>
  <c r="BQ101" i="9"/>
  <c r="BR100" i="9"/>
  <c r="BQ100" i="9"/>
  <c r="BR99" i="9"/>
  <c r="BQ99" i="9"/>
  <c r="BR98" i="9"/>
  <c r="BQ98" i="9"/>
  <c r="BR97" i="9"/>
  <c r="BQ97" i="9"/>
  <c r="BR96" i="9"/>
  <c r="BQ96" i="9"/>
  <c r="BR95" i="9"/>
  <c r="BQ95" i="9"/>
  <c r="BR94" i="9"/>
  <c r="BQ94" i="9"/>
  <c r="BR93" i="9"/>
  <c r="BQ93" i="9"/>
  <c r="BR92" i="9"/>
  <c r="BQ92" i="9"/>
  <c r="BR91" i="9"/>
  <c r="BQ91" i="9"/>
  <c r="BR90" i="9"/>
  <c r="BQ90" i="9"/>
  <c r="BR89" i="9"/>
  <c r="BQ89" i="9"/>
  <c r="BR88" i="9"/>
  <c r="BQ88" i="9"/>
  <c r="BR87" i="9"/>
  <c r="BQ87" i="9"/>
  <c r="BR86" i="9"/>
  <c r="BQ86" i="9"/>
  <c r="BR85" i="9"/>
  <c r="BQ85" i="9"/>
  <c r="BR84" i="9"/>
  <c r="BQ84" i="9"/>
  <c r="BR83" i="9"/>
  <c r="BQ83" i="9"/>
  <c r="BR82" i="9"/>
  <c r="BQ82" i="9"/>
  <c r="BR81" i="9"/>
  <c r="BQ81" i="9"/>
  <c r="BR80" i="9"/>
  <c r="BQ80" i="9"/>
  <c r="BR79" i="9"/>
  <c r="BQ79" i="9"/>
  <c r="BR78" i="9"/>
  <c r="BQ78" i="9"/>
  <c r="BR77" i="9"/>
  <c r="BQ77" i="9"/>
  <c r="BR76" i="9"/>
  <c r="BQ76" i="9"/>
  <c r="BR75" i="9"/>
  <c r="BQ75" i="9"/>
  <c r="BR74" i="9"/>
  <c r="BQ74" i="9"/>
  <c r="BR73" i="9"/>
  <c r="BQ73" i="9"/>
  <c r="BR72" i="9"/>
  <c r="BQ72" i="9"/>
  <c r="BR71" i="9"/>
  <c r="BQ71" i="9"/>
  <c r="BR70" i="9"/>
  <c r="BQ70" i="9"/>
  <c r="BR69" i="9"/>
  <c r="BQ69" i="9"/>
  <c r="BR68" i="9"/>
  <c r="BQ68" i="9"/>
  <c r="BR67" i="9"/>
  <c r="BQ67" i="9"/>
  <c r="BR66" i="9"/>
  <c r="BQ66" i="9"/>
  <c r="BR65" i="9"/>
  <c r="BQ65" i="9"/>
  <c r="BR64" i="9"/>
  <c r="BQ64" i="9"/>
  <c r="BR63" i="9"/>
  <c r="BQ63" i="9"/>
  <c r="BR62" i="9"/>
  <c r="BQ62" i="9"/>
  <c r="BR61" i="9"/>
  <c r="BQ61" i="9"/>
  <c r="BR60" i="9"/>
  <c r="BQ60" i="9"/>
  <c r="BR59" i="9"/>
  <c r="BQ59" i="9"/>
  <c r="BR58" i="9"/>
  <c r="BQ58" i="9"/>
  <c r="BR57" i="9"/>
  <c r="BQ57" i="9"/>
  <c r="BR56" i="9"/>
  <c r="BQ56" i="9"/>
  <c r="BR55" i="9"/>
  <c r="BQ55" i="9"/>
  <c r="BR54" i="9"/>
  <c r="BQ54" i="9"/>
  <c r="BR53" i="9"/>
  <c r="BQ53" i="9"/>
  <c r="BR52" i="9"/>
  <c r="BQ52" i="9"/>
  <c r="BR51" i="9"/>
  <c r="BQ51" i="9"/>
  <c r="BR50" i="9"/>
  <c r="BQ50" i="9"/>
  <c r="BR49" i="9"/>
  <c r="BQ49" i="9"/>
  <c r="BR48" i="9"/>
  <c r="BQ48" i="9"/>
  <c r="BR47" i="9"/>
  <c r="BQ47" i="9"/>
  <c r="BR46" i="9"/>
  <c r="BQ46" i="9"/>
  <c r="BR45" i="9"/>
  <c r="BQ45" i="9"/>
  <c r="BR44" i="9"/>
  <c r="BQ44" i="9"/>
  <c r="BR43" i="9"/>
  <c r="BQ43" i="9"/>
  <c r="BR42" i="9"/>
  <c r="BQ42" i="9"/>
  <c r="BR41" i="9"/>
  <c r="BQ41" i="9"/>
  <c r="BR40" i="9"/>
  <c r="BQ40" i="9"/>
  <c r="BR39" i="9"/>
  <c r="BQ39" i="9"/>
  <c r="BR38" i="9"/>
  <c r="BQ38" i="9"/>
  <c r="BR37" i="9"/>
  <c r="BQ37" i="9"/>
  <c r="BR36" i="9"/>
  <c r="BQ36" i="9"/>
  <c r="BR35" i="9"/>
  <c r="BQ35" i="9"/>
  <c r="BR34" i="9"/>
  <c r="BQ34" i="9"/>
  <c r="BR33" i="9"/>
  <c r="BQ33" i="9"/>
  <c r="BR32" i="9"/>
  <c r="BQ32" i="9"/>
  <c r="BR31" i="9"/>
  <c r="BQ31" i="9"/>
  <c r="BR30" i="9"/>
  <c r="BQ30" i="9"/>
  <c r="BR29" i="9"/>
  <c r="BQ29" i="9"/>
  <c r="BR28" i="9"/>
  <c r="BQ28" i="9"/>
  <c r="BR27" i="9"/>
  <c r="BQ27" i="9"/>
  <c r="BR26" i="9"/>
  <c r="BQ26" i="9"/>
  <c r="BR25" i="9"/>
  <c r="BQ25" i="9"/>
  <c r="BR24" i="9"/>
  <c r="BQ24" i="9"/>
  <c r="BR23" i="9"/>
  <c r="BQ23" i="9"/>
  <c r="BR22" i="9"/>
  <c r="BQ22" i="9"/>
  <c r="BR21" i="9"/>
  <c r="BQ21" i="9"/>
  <c r="BR20" i="9"/>
  <c r="BQ20" i="9"/>
  <c r="BR19" i="9"/>
  <c r="BQ19" i="9"/>
  <c r="BR18" i="9"/>
  <c r="BQ18" i="9"/>
  <c r="BR17" i="9"/>
  <c r="BQ17" i="9"/>
  <c r="BR16" i="9"/>
  <c r="BQ16" i="9"/>
  <c r="BR15" i="9"/>
  <c r="BQ15" i="9"/>
  <c r="BR14" i="9"/>
  <c r="BQ14" i="9"/>
  <c r="BR13" i="9"/>
  <c r="BQ13" i="9"/>
  <c r="BR12" i="9"/>
  <c r="BQ12" i="9"/>
  <c r="BR11" i="9"/>
  <c r="BQ11" i="9"/>
  <c r="BR10" i="9"/>
  <c r="BQ10" i="9"/>
  <c r="BR9" i="9"/>
  <c r="BQ9" i="9"/>
  <c r="BR8" i="9"/>
  <c r="BQ8" i="9"/>
  <c r="BR7" i="9"/>
  <c r="BR4" i="9" s="1"/>
  <c r="BQ7" i="9"/>
  <c r="BR6" i="9"/>
  <c r="BQ6" i="9"/>
  <c r="BR5" i="9"/>
  <c r="BQ5" i="9"/>
  <c r="BF4" i="9"/>
  <c r="BP4" i="9"/>
  <c r="BO4" i="9"/>
  <c r="BN4" i="9"/>
  <c r="BM4" i="9"/>
  <c r="BL4" i="9"/>
  <c r="BK4" i="9"/>
  <c r="BJ4" i="9"/>
  <c r="BI4" i="9"/>
  <c r="BH4" i="9"/>
  <c r="BG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604" i="9"/>
  <c r="D619" i="12" s="1"/>
  <c r="E604" i="9"/>
  <c r="C619" i="12" s="1"/>
  <c r="F603" i="9"/>
  <c r="D618" i="12" s="1"/>
  <c r="E603" i="9"/>
  <c r="C618" i="12" s="1"/>
  <c r="F602" i="9"/>
  <c r="D617" i="12" s="1"/>
  <c r="E602" i="9"/>
  <c r="C617" i="12" s="1"/>
  <c r="F601" i="9"/>
  <c r="D616" i="12" s="1"/>
  <c r="E601" i="9"/>
  <c r="C616" i="12" s="1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AQ116" i="15"/>
  <c r="AQ115" i="15"/>
  <c r="AQ114" i="15"/>
  <c r="AQ113" i="15"/>
  <c r="AQ112" i="15"/>
  <c r="AQ111" i="15"/>
  <c r="AQ110" i="15"/>
  <c r="AQ109" i="15"/>
  <c r="AQ108" i="15"/>
  <c r="AQ107" i="15"/>
  <c r="AQ106" i="15"/>
  <c r="AQ105" i="15"/>
  <c r="AQ104" i="15"/>
  <c r="AQ103" i="15"/>
  <c r="AQ102" i="15"/>
  <c r="AQ101" i="15"/>
  <c r="AQ100" i="15"/>
  <c r="AQ99" i="15"/>
  <c r="AQ98" i="15"/>
  <c r="AQ97" i="15"/>
  <c r="AQ96" i="15"/>
  <c r="AQ95" i="15"/>
  <c r="AQ94" i="15"/>
  <c r="AQ93" i="15"/>
  <c r="AQ92" i="15"/>
  <c r="AQ91" i="15"/>
  <c r="AQ90" i="15"/>
  <c r="AQ89" i="15"/>
  <c r="AQ88" i="15"/>
  <c r="AQ87" i="15"/>
  <c r="AQ86" i="15"/>
  <c r="AQ85" i="15"/>
  <c r="AQ84" i="15"/>
  <c r="AQ83" i="15"/>
  <c r="AQ82" i="15"/>
  <c r="AQ81" i="15"/>
  <c r="AQ80" i="15"/>
  <c r="AQ79" i="15"/>
  <c r="AQ78" i="15"/>
  <c r="AQ77" i="15"/>
  <c r="AQ76" i="15"/>
  <c r="AQ75" i="15"/>
  <c r="AQ74" i="15"/>
  <c r="AQ73" i="15"/>
  <c r="AQ72" i="15"/>
  <c r="AQ71" i="15"/>
  <c r="AQ70" i="15"/>
  <c r="AQ69" i="15"/>
  <c r="AQ68" i="15"/>
  <c r="AQ67" i="15"/>
  <c r="AQ66" i="15"/>
  <c r="AQ65" i="15"/>
  <c r="AQ64" i="15"/>
  <c r="AQ63" i="15"/>
  <c r="AQ62" i="15"/>
  <c r="AQ61" i="15"/>
  <c r="AQ60" i="15"/>
  <c r="AQ59" i="15"/>
  <c r="AQ58" i="15"/>
  <c r="AQ57" i="15"/>
  <c r="AQ56" i="15"/>
  <c r="AQ55" i="15"/>
  <c r="AQ54" i="15"/>
  <c r="AQ53" i="15"/>
  <c r="AQ52" i="15"/>
  <c r="AQ51" i="15"/>
  <c r="AQ50" i="15"/>
  <c r="AQ49" i="15"/>
  <c r="AQ48" i="15"/>
  <c r="AQ47" i="15"/>
  <c r="AQ46" i="15"/>
  <c r="AQ45" i="15"/>
  <c r="AQ44" i="15"/>
  <c r="AQ43" i="15"/>
  <c r="AQ42" i="15"/>
  <c r="AQ41" i="15"/>
  <c r="AQ40" i="15"/>
  <c r="AQ39" i="15"/>
  <c r="AQ38" i="15"/>
  <c r="AQ37" i="15"/>
  <c r="AQ36" i="15"/>
  <c r="AQ35" i="15"/>
  <c r="AQ34" i="15"/>
  <c r="AQ33" i="15"/>
  <c r="AQ32" i="15"/>
  <c r="AQ31" i="15"/>
  <c r="AQ30" i="15"/>
  <c r="AQ29" i="15"/>
  <c r="AQ28" i="15"/>
  <c r="AQ27" i="15"/>
  <c r="AQ26" i="15"/>
  <c r="AQ25" i="15"/>
  <c r="AQ24" i="15"/>
  <c r="AQ23" i="15"/>
  <c r="AQ22" i="15"/>
  <c r="AQ21" i="15"/>
  <c r="AQ20" i="15"/>
  <c r="AQ19" i="15"/>
  <c r="AQ18" i="15"/>
  <c r="AQ17" i="15"/>
  <c r="AQ16" i="15"/>
  <c r="AQ15" i="15"/>
  <c r="AQ14" i="15"/>
  <c r="AQ13" i="15"/>
  <c r="AQ12" i="15"/>
  <c r="AQ11" i="15"/>
  <c r="AQ10" i="15"/>
  <c r="AQ9" i="15"/>
  <c r="AQ8" i="15"/>
  <c r="AQ7" i="15"/>
  <c r="AQ6" i="15"/>
  <c r="AQ5" i="15"/>
  <c r="A1" i="16"/>
  <c r="A46" i="16" a="1"/>
  <c r="CB6" i="16" a="1"/>
  <c r="B40" i="16"/>
  <c r="B39" i="16"/>
  <c r="B38" i="16"/>
  <c r="B37" i="16"/>
  <c r="B36" i="16"/>
  <c r="B35" i="16"/>
  <c r="B34" i="16"/>
  <c r="B33" i="16"/>
  <c r="B32" i="16"/>
  <c r="B31" i="16"/>
  <c r="AJ145" i="16" a="1"/>
  <c r="C145" i="16" a="1"/>
  <c r="B145" i="16" a="1"/>
  <c r="AJ144" i="16" a="1"/>
  <c r="C144" i="16" a="1"/>
  <c r="B144" i="16" a="1"/>
  <c r="AJ143" i="16" a="1"/>
  <c r="C143" i="16" a="1"/>
  <c r="B143" i="16" a="1"/>
  <c r="AJ142" i="16" a="1"/>
  <c r="C142" i="16" a="1"/>
  <c r="B142" i="16" a="1"/>
  <c r="AJ141" i="16" a="1"/>
  <c r="C141" i="16" a="1"/>
  <c r="B141" i="16" a="1"/>
  <c r="AJ140" i="16" a="1"/>
  <c r="C140" i="16" a="1"/>
  <c r="B140" i="16" a="1"/>
  <c r="AJ139" i="16" a="1"/>
  <c r="C139" i="16" a="1"/>
  <c r="B139" i="16" a="1"/>
  <c r="AJ138" i="16" a="1"/>
  <c r="C138" i="16" a="1"/>
  <c r="B138" i="16" a="1"/>
  <c r="AJ137" i="16" a="1"/>
  <c r="C137" i="16" a="1"/>
  <c r="B137" i="16" a="1"/>
  <c r="AJ136" i="16" a="1"/>
  <c r="C136" i="16" a="1"/>
  <c r="B136" i="16" a="1"/>
  <c r="AJ135" i="16" a="1"/>
  <c r="C135" i="16" a="1"/>
  <c r="B135" i="16" a="1"/>
  <c r="AJ134" i="16" a="1"/>
  <c r="C134" i="16" a="1"/>
  <c r="B134" i="16" a="1"/>
  <c r="AJ133" i="16" a="1"/>
  <c r="C133" i="16" a="1"/>
  <c r="B133" i="16" a="1"/>
  <c r="AJ132" i="16" a="1"/>
  <c r="C132" i="16" a="1"/>
  <c r="B132" i="16" a="1"/>
  <c r="AJ131" i="16" a="1"/>
  <c r="C131" i="16" a="1"/>
  <c r="B131" i="16" a="1"/>
  <c r="AJ130" i="16" a="1"/>
  <c r="C130" i="16" a="1"/>
  <c r="B130" i="16" a="1"/>
  <c r="AJ129" i="16" a="1"/>
  <c r="C129" i="16" a="1"/>
  <c r="B129" i="16" a="1"/>
  <c r="AJ128" i="16" a="1"/>
  <c r="C128" i="16" a="1"/>
  <c r="B128" i="16" a="1"/>
  <c r="AJ127" i="16" a="1"/>
  <c r="C127" i="16" a="1"/>
  <c r="B127" i="16" a="1"/>
  <c r="AJ126" i="16" a="1"/>
  <c r="C126" i="16" a="1"/>
  <c r="B126" i="16" a="1"/>
  <c r="AJ125" i="16" a="1"/>
  <c r="C125" i="16" a="1"/>
  <c r="B125" i="16" a="1"/>
  <c r="AJ124" i="16" a="1"/>
  <c r="C124" i="16" a="1"/>
  <c r="B124" i="16" a="1"/>
  <c r="AJ123" i="16" a="1"/>
  <c r="C123" i="16" a="1"/>
  <c r="B123" i="16" a="1"/>
  <c r="AJ122" i="16" a="1"/>
  <c r="C122" i="16" a="1"/>
  <c r="B122" i="16" a="1"/>
  <c r="AJ121" i="16" a="1"/>
  <c r="C121" i="16" a="1"/>
  <c r="B121" i="16" a="1"/>
  <c r="AJ120" i="16" a="1"/>
  <c r="C120" i="16" a="1"/>
  <c r="B120" i="16" a="1"/>
  <c r="AJ119" i="16" a="1"/>
  <c r="C119" i="16" a="1"/>
  <c r="B119" i="16" a="1"/>
  <c r="AJ118" i="16" a="1"/>
  <c r="C118" i="16" a="1"/>
  <c r="B118" i="16" a="1"/>
  <c r="AJ117" i="16" a="1"/>
  <c r="C117" i="16" a="1"/>
  <c r="B117" i="16" a="1"/>
  <c r="AJ116" i="16" a="1"/>
  <c r="C116" i="16" a="1"/>
  <c r="B116" i="16" a="1"/>
  <c r="AJ115" i="16" a="1"/>
  <c r="C115" i="16" a="1"/>
  <c r="B115" i="16" a="1"/>
  <c r="AJ114" i="16" a="1"/>
  <c r="C114" i="16" a="1"/>
  <c r="B114" i="16" a="1"/>
  <c r="B3" i="16"/>
  <c r="F600" i="9"/>
  <c r="D615" i="12" s="1"/>
  <c r="E600" i="9"/>
  <c r="C615" i="12" s="1"/>
  <c r="F599" i="9"/>
  <c r="D614" i="12" s="1"/>
  <c r="E599" i="9"/>
  <c r="C614" i="12" s="1"/>
  <c r="F598" i="9"/>
  <c r="D613" i="12" s="1"/>
  <c r="E598" i="9"/>
  <c r="C613" i="12" s="1"/>
  <c r="F597" i="9"/>
  <c r="D612" i="12" s="1"/>
  <c r="E597" i="9"/>
  <c r="C612" i="12" s="1"/>
  <c r="F596" i="9"/>
  <c r="D611" i="12" s="1"/>
  <c r="E596" i="9"/>
  <c r="C611" i="12" s="1"/>
  <c r="F595" i="9"/>
  <c r="D610" i="12" s="1"/>
  <c r="E595" i="9"/>
  <c r="C610" i="12" s="1"/>
  <c r="F594" i="9"/>
  <c r="D609" i="12" s="1"/>
  <c r="E594" i="9"/>
  <c r="C609" i="12" s="1"/>
  <c r="F593" i="9"/>
  <c r="D608" i="12" s="1"/>
  <c r="E593" i="9"/>
  <c r="C608" i="12" s="1"/>
  <c r="F592" i="9"/>
  <c r="D607" i="12" s="1"/>
  <c r="E592" i="9"/>
  <c r="C607" i="12" s="1"/>
  <c r="F591" i="9"/>
  <c r="D606" i="12" s="1"/>
  <c r="E591" i="9"/>
  <c r="C606" i="12" s="1"/>
  <c r="F590" i="9"/>
  <c r="D605" i="12" s="1"/>
  <c r="E590" i="9"/>
  <c r="C605" i="12" s="1"/>
  <c r="F589" i="9"/>
  <c r="D604" i="12" s="1"/>
  <c r="E589" i="9"/>
  <c r="C604" i="12" s="1"/>
  <c r="F588" i="9"/>
  <c r="D603" i="12" s="1"/>
  <c r="E588" i="9"/>
  <c r="C603" i="12" s="1"/>
  <c r="F587" i="9"/>
  <c r="D602" i="12" s="1"/>
  <c r="E587" i="9"/>
  <c r="C602" i="12" s="1"/>
  <c r="F586" i="9"/>
  <c r="D601" i="12" s="1"/>
  <c r="F585" i="9"/>
  <c r="D600" i="12" s="1"/>
  <c r="F584" i="9"/>
  <c r="D599" i="12" s="1"/>
  <c r="F583" i="9"/>
  <c r="D598" i="12" s="1"/>
  <c r="F582" i="9"/>
  <c r="D597" i="12" s="1"/>
  <c r="F581" i="9"/>
  <c r="D596" i="12" s="1"/>
  <c r="F580" i="9"/>
  <c r="D595" i="12" s="1"/>
  <c r="F579" i="9"/>
  <c r="D594" i="12" s="1"/>
  <c r="F578" i="9"/>
  <c r="D593" i="12" s="1"/>
  <c r="F577" i="9"/>
  <c r="D592" i="12" s="1"/>
  <c r="F576" i="9"/>
  <c r="D591" i="12" s="1"/>
  <c r="F575" i="9"/>
  <c r="D590" i="12" s="1"/>
  <c r="F574" i="9"/>
  <c r="D589" i="12" s="1"/>
  <c r="F573" i="9"/>
  <c r="D588" i="12" s="1"/>
  <c r="F572" i="9"/>
  <c r="D587" i="12" s="1"/>
  <c r="F571" i="9"/>
  <c r="D586" i="12" s="1"/>
  <c r="F570" i="9"/>
  <c r="D585" i="12" s="1"/>
  <c r="F569" i="9"/>
  <c r="E586" i="9"/>
  <c r="C601" i="12" s="1"/>
  <c r="E585" i="9"/>
  <c r="C600" i="12" s="1"/>
  <c r="E584" i="9"/>
  <c r="C599" i="12" s="1"/>
  <c r="E583" i="9"/>
  <c r="C598" i="12" s="1"/>
  <c r="E582" i="9"/>
  <c r="C597" i="12" s="1"/>
  <c r="E581" i="9"/>
  <c r="C596" i="12" s="1"/>
  <c r="E580" i="9"/>
  <c r="C595" i="12" s="1"/>
  <c r="E579" i="9"/>
  <c r="C594" i="12" s="1"/>
  <c r="E578" i="9"/>
  <c r="C593" i="12" s="1"/>
  <c r="E577" i="9"/>
  <c r="C592" i="12" s="1"/>
  <c r="E576" i="9"/>
  <c r="C591" i="12" s="1"/>
  <c r="E575" i="9"/>
  <c r="C590" i="12" s="1"/>
  <c r="E574" i="9"/>
  <c r="C589" i="12" s="1"/>
  <c r="E573" i="9"/>
  <c r="C588" i="12" s="1"/>
  <c r="E572" i="9"/>
  <c r="C587" i="12" s="1"/>
  <c r="E571" i="9"/>
  <c r="C586" i="12" s="1"/>
  <c r="E570" i="9"/>
  <c r="C585" i="12" s="1"/>
  <c r="E569" i="9"/>
  <c r="C584" i="12" s="1"/>
  <c r="J3" i="7"/>
  <c r="BQ4" i="1"/>
  <c r="BC1" i="1"/>
  <c r="AB190" i="2" a="1"/>
  <c r="AB191" i="2" a="1"/>
  <c r="AB192" i="2" a="1"/>
  <c r="AB193" i="2" a="1"/>
  <c r="AB194" i="2" a="1"/>
  <c r="AB195" i="2" a="1"/>
  <c r="AB196" i="2" a="1"/>
  <c r="AB197" i="2" a="1"/>
  <c r="AB198" i="2" a="1"/>
  <c r="AB199" i="2" a="1"/>
  <c r="AB200" i="2" a="1"/>
  <c r="AB201" i="2" a="1"/>
  <c r="AB202" i="2" a="1"/>
  <c r="AB203" i="2" a="1"/>
  <c r="AB204" i="2" a="1"/>
  <c r="AB205" i="2" a="1"/>
  <c r="AC205" i="2" s="1"/>
  <c r="AB206" i="2" a="1"/>
  <c r="AC206" i="2" s="1"/>
  <c r="AB207" i="2" a="1"/>
  <c r="AC207" i="2" s="1"/>
  <c r="AB208" i="2" a="1"/>
  <c r="AC208" i="2" s="1"/>
  <c r="AB209" i="2" a="1"/>
  <c r="AC209" i="2" s="1"/>
  <c r="AB210" i="2" a="1"/>
  <c r="AC210" i="2" s="1"/>
  <c r="AB211" i="2" a="1"/>
  <c r="AC211" i="2" s="1"/>
  <c r="AB212" i="2" a="1"/>
  <c r="AC212" i="2" s="1"/>
  <c r="AB213" i="2" a="1"/>
  <c r="AC213" i="2" s="1"/>
  <c r="AB214" i="2" a="1"/>
  <c r="AC214" i="2" s="1"/>
  <c r="AB215" i="2" a="1"/>
  <c r="AC215" i="2" s="1"/>
  <c r="AB216" i="2" a="1"/>
  <c r="AC216" i="2" s="1"/>
  <c r="AB217" i="2" a="1"/>
  <c r="AC217" i="2" s="1"/>
  <c r="AB218" i="2" a="1"/>
  <c r="AC218" i="2" s="1"/>
  <c r="AB219" i="2" a="1"/>
  <c r="AC219" i="2" s="1"/>
  <c r="AB220" i="2" a="1"/>
  <c r="AC220" i="2" s="1"/>
  <c r="AB221" i="2" a="1"/>
  <c r="AC221" i="2" s="1"/>
  <c r="AB222" i="2" a="1"/>
  <c r="AC222" i="2" s="1"/>
  <c r="AB223" i="2" a="1"/>
  <c r="AC223" i="2" s="1"/>
  <c r="AB224" i="2" a="1"/>
  <c r="AC224" i="2" s="1"/>
  <c r="AB225" i="2" a="1"/>
  <c r="AC225" i="2" s="1"/>
  <c r="AB226" i="2" a="1"/>
  <c r="AC226" i="2" s="1"/>
  <c r="AB227" i="2" a="1"/>
  <c r="AC227" i="2" s="1"/>
  <c r="AB228" i="2" a="1"/>
  <c r="AC228" i="2" s="1"/>
  <c r="AB229" i="2" a="1"/>
  <c r="AC229" i="2" s="1"/>
  <c r="AB230" i="2" a="1"/>
  <c r="AC230" i="2" s="1"/>
  <c r="AB231" i="2" a="1"/>
  <c r="AC231" i="2" s="1"/>
  <c r="AB232" i="2" a="1"/>
  <c r="AC232" i="2" s="1"/>
  <c r="AB233" i="2" a="1"/>
  <c r="AC233" i="2" s="1"/>
  <c r="AB234" i="2" a="1"/>
  <c r="AC234" i="2" s="1"/>
  <c r="AB235" i="2" a="1"/>
  <c r="AC235" i="2" s="1"/>
  <c r="AB236" i="2" a="1"/>
  <c r="AC236" i="2" s="1"/>
  <c r="AB237" i="2" a="1"/>
  <c r="AC237" i="2" s="1"/>
  <c r="AB238" i="2" a="1"/>
  <c r="AC238" i="2" s="1"/>
  <c r="AB239" i="2" a="1"/>
  <c r="AC239" i="2" s="1"/>
  <c r="AB240" i="2" a="1"/>
  <c r="AC240" i="2" s="1"/>
  <c r="AB241" i="2" a="1"/>
  <c r="AC241" i="2" s="1"/>
  <c r="AB242" i="2" a="1"/>
  <c r="AC242" i="2" s="1"/>
  <c r="AB243" i="2" a="1"/>
  <c r="AC243" i="2" s="1"/>
  <c r="AB244" i="2" a="1"/>
  <c r="AC244" i="2" s="1"/>
  <c r="AB245" i="2" a="1"/>
  <c r="AC245" i="2" s="1"/>
  <c r="AB246" i="2" a="1"/>
  <c r="AC246" i="2" s="1"/>
  <c r="AB247" i="2" a="1"/>
  <c r="AC247" i="2" s="1"/>
  <c r="AB248" i="2" a="1"/>
  <c r="AC248" i="2" s="1"/>
  <c r="AB249" i="2" a="1"/>
  <c r="AC249" i="2" s="1"/>
  <c r="AB250" i="2" a="1"/>
  <c r="AC250" i="2" s="1"/>
  <c r="AB251" i="2" a="1"/>
  <c r="AC251" i="2" s="1"/>
  <c r="AB252" i="2" a="1"/>
  <c r="AC252" i="2" s="1"/>
  <c r="AB253" i="2" a="1"/>
  <c r="AC253" i="2" s="1"/>
  <c r="AB254" i="2" a="1"/>
  <c r="AC254" i="2" s="1"/>
  <c r="AB255" i="2" a="1"/>
  <c r="AC255" i="2" s="1"/>
  <c r="AB256" i="2" a="1"/>
  <c r="AC256" i="2" s="1"/>
  <c r="AB257" i="2" a="1"/>
  <c r="AC257" i="2" s="1"/>
  <c r="AB258" i="2" a="1"/>
  <c r="AC258" i="2" s="1"/>
  <c r="AB259" i="2" a="1"/>
  <c r="AC259" i="2" s="1"/>
  <c r="AB260" i="2" a="1"/>
  <c r="AC260" i="2" s="1"/>
  <c r="AB261" i="2" a="1"/>
  <c r="AC261" i="2" s="1"/>
  <c r="AB262" i="2" a="1"/>
  <c r="AC262" i="2" s="1"/>
  <c r="AB263" i="2" a="1"/>
  <c r="AC263" i="2" s="1"/>
  <c r="AB264" i="2" a="1"/>
  <c r="AC264" i="2" s="1"/>
  <c r="AB265" i="2" a="1"/>
  <c r="AC265" i="2" s="1"/>
  <c r="AB266" i="2" a="1"/>
  <c r="AC266" i="2" s="1"/>
  <c r="AB267" i="2" a="1"/>
  <c r="AC267" i="2" s="1"/>
  <c r="AB268" i="2" a="1"/>
  <c r="AC268" i="2" s="1"/>
  <c r="AB269" i="2" a="1"/>
  <c r="AC269" i="2" s="1"/>
  <c r="AB270" i="2" a="1"/>
  <c r="AC270" i="2" s="1"/>
  <c r="AB271" i="2" a="1"/>
  <c r="AC271" i="2" s="1"/>
  <c r="AB272" i="2" a="1"/>
  <c r="AC272" i="2" s="1"/>
  <c r="AB273" i="2" a="1"/>
  <c r="AC273" i="2" s="1"/>
  <c r="AB274" i="2" a="1"/>
  <c r="AC274" i="2" s="1"/>
  <c r="AB275" i="2" a="1"/>
  <c r="AC275" i="2" s="1"/>
  <c r="AB276" i="2" a="1"/>
  <c r="AC276" i="2" s="1"/>
  <c r="AB277" i="2" a="1"/>
  <c r="AC277" i="2" s="1"/>
  <c r="AB278" i="2" a="1"/>
  <c r="AC278" i="2" s="1"/>
  <c r="AB279" i="2" a="1"/>
  <c r="AC279" i="2" s="1"/>
  <c r="AB280" i="2" a="1"/>
  <c r="AC280" i="2" s="1"/>
  <c r="AB281" i="2" a="1"/>
  <c r="AC281" i="2" s="1"/>
  <c r="AB282" i="2" a="1"/>
  <c r="AC282" i="2" s="1"/>
  <c r="AB283" i="2" a="1"/>
  <c r="AC283" i="2" s="1"/>
  <c r="AB284" i="2" a="1"/>
  <c r="AC284" i="2" s="1"/>
  <c r="AB285" i="2" a="1"/>
  <c r="AC285" i="2" s="1"/>
  <c r="AB286" i="2" a="1"/>
  <c r="AC286" i="2" s="1"/>
  <c r="AB287" i="2" a="1"/>
  <c r="AC287" i="2" s="1"/>
  <c r="AB288" i="2" a="1"/>
  <c r="AC288" i="2" s="1"/>
  <c r="AB289" i="2" a="1"/>
  <c r="AC289" i="2" s="1"/>
  <c r="AB290" i="2" a="1"/>
  <c r="AC290" i="2" s="1"/>
  <c r="AB291" i="2" a="1"/>
  <c r="AC291" i="2" s="1"/>
  <c r="AB292" i="2" a="1"/>
  <c r="AC292" i="2" s="1"/>
  <c r="AB293" i="2" a="1"/>
  <c r="AC293" i="2" s="1"/>
  <c r="AB294" i="2" a="1"/>
  <c r="AC294" i="2" s="1"/>
  <c r="AB295" i="2" a="1"/>
  <c r="AC295" i="2" s="1"/>
  <c r="AB296" i="2" a="1"/>
  <c r="AC296" i="2" s="1"/>
  <c r="AB297" i="2" a="1"/>
  <c r="AC297" i="2" s="1"/>
  <c r="AB298" i="2" a="1"/>
  <c r="AC298" i="2" s="1"/>
  <c r="AB299" i="2" a="1"/>
  <c r="AC299" i="2" s="1"/>
  <c r="AB300" i="2" a="1"/>
  <c r="AC300" i="2" s="1"/>
  <c r="AB301" i="2" a="1"/>
  <c r="AC301" i="2" s="1"/>
  <c r="AB302" i="2" a="1"/>
  <c r="AC302" i="2" s="1"/>
  <c r="N117" i="15"/>
  <c r="O117" i="15"/>
  <c r="P117" i="15"/>
  <c r="Q117" i="15"/>
  <c r="R117" i="15"/>
  <c r="S117" i="15"/>
  <c r="T117" i="15"/>
  <c r="U117" i="15"/>
  <c r="V117" i="15"/>
  <c r="W117" i="15"/>
  <c r="X117" i="15"/>
  <c r="Y117" i="15"/>
  <c r="Z117" i="15"/>
  <c r="AA117" i="15"/>
  <c r="AB117" i="15"/>
  <c r="AC117" i="15"/>
  <c r="AD117" i="15"/>
  <c r="AE117" i="15"/>
  <c r="AF117" i="15"/>
  <c r="AG117" i="15"/>
  <c r="AH117" i="15"/>
  <c r="AI117" i="15"/>
  <c r="AJ117" i="15"/>
  <c r="AK117" i="15"/>
  <c r="AL117" i="15"/>
  <c r="AM117" i="15"/>
  <c r="AN117" i="15"/>
  <c r="AO117" i="15"/>
  <c r="AP117" i="15"/>
  <c r="M117" i="15"/>
  <c r="L117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AP114" i="15"/>
  <c r="AO114" i="15"/>
  <c r="AN114" i="15"/>
  <c r="AM114" i="15"/>
  <c r="AL114" i="15"/>
  <c r="AK114" i="15"/>
  <c r="AJ114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AP113" i="15"/>
  <c r="AO113" i="15"/>
  <c r="AN113" i="15"/>
  <c r="AM113" i="15"/>
  <c r="AL113" i="15"/>
  <c r="AK113" i="15"/>
  <c r="AJ113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AP112" i="15"/>
  <c r="AO112" i="15"/>
  <c r="AN112" i="15"/>
  <c r="AM112" i="15"/>
  <c r="AL112" i="15"/>
  <c r="AK112" i="15"/>
  <c r="AJ112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AT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AP103" i="15"/>
  <c r="AO103" i="15"/>
  <c r="AN103" i="15"/>
  <c r="AM103" i="15"/>
  <c r="AL103" i="15"/>
  <c r="AK103" i="15"/>
  <c r="AJ103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AP102" i="15"/>
  <c r="AO102" i="15"/>
  <c r="AN102" i="15"/>
  <c r="AM102" i="15"/>
  <c r="AL102" i="15"/>
  <c r="AK102" i="15"/>
  <c r="AJ102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AP101" i="15"/>
  <c r="AO101" i="15"/>
  <c r="AN101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AP92" i="15"/>
  <c r="AO92" i="15"/>
  <c r="AN92" i="15"/>
  <c r="AM92" i="15"/>
  <c r="AL92" i="15"/>
  <c r="AK92" i="15"/>
  <c r="AJ92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AP91" i="15"/>
  <c r="AO91" i="15"/>
  <c r="AN91" i="15"/>
  <c r="AM91" i="15"/>
  <c r="AL91" i="15"/>
  <c r="AK91" i="15"/>
  <c r="AJ91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AT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AQ1" i="15"/>
  <c r="H1" i="15"/>
  <c r="E1" i="15"/>
  <c r="E2" i="15" s="1"/>
  <c r="I3" i="7"/>
  <c r="F177" i="3" a="1"/>
  <c r="E177" i="3" a="1"/>
  <c r="D177" i="3" a="1"/>
  <c r="C177" i="3" a="1"/>
  <c r="B177" i="3" a="1"/>
  <c r="F176" i="3" a="1"/>
  <c r="E176" i="3" a="1"/>
  <c r="D176" i="3" a="1"/>
  <c r="C176" i="3" a="1"/>
  <c r="B176" i="3" a="1"/>
  <c r="F175" i="3" a="1"/>
  <c r="E175" i="3" a="1"/>
  <c r="D175" i="3" a="1"/>
  <c r="C175" i="3" a="1"/>
  <c r="B175" i="3" a="1"/>
  <c r="F174" i="3" a="1"/>
  <c r="E174" i="3" a="1"/>
  <c r="D174" i="3" a="1"/>
  <c r="C174" i="3" a="1"/>
  <c r="B174" i="3" a="1"/>
  <c r="F137" i="3" a="1"/>
  <c r="E137" i="3" a="1"/>
  <c r="D137" i="3" a="1"/>
  <c r="C137" i="3" a="1"/>
  <c r="B137" i="3" a="1"/>
  <c r="F136" i="3" a="1"/>
  <c r="E136" i="3" a="1"/>
  <c r="D136" i="3" a="1"/>
  <c r="C136" i="3" a="1"/>
  <c r="B136" i="3" a="1"/>
  <c r="F135" i="3" a="1"/>
  <c r="E135" i="3" a="1"/>
  <c r="D135" i="3" a="1"/>
  <c r="C135" i="3" a="1"/>
  <c r="B135" i="3" a="1"/>
  <c r="F112" i="3" a="1"/>
  <c r="E112" i="3" a="1"/>
  <c r="C112" i="3" a="1"/>
  <c r="B112" i="3" a="1"/>
  <c r="F111" i="3" a="1"/>
  <c r="E111" i="3" a="1"/>
  <c r="C111" i="3" a="1"/>
  <c r="B111" i="3" a="1"/>
  <c r="F110" i="3" a="1"/>
  <c r="E110" i="3" a="1"/>
  <c r="C110" i="3" a="1"/>
  <c r="B110" i="3" a="1"/>
  <c r="F72" i="3" a="1"/>
  <c r="E72" i="3" a="1"/>
  <c r="C72" i="3" a="1"/>
  <c r="B72" i="3" a="1"/>
  <c r="F71" i="3" a="1"/>
  <c r="E71" i="3" a="1"/>
  <c r="C71" i="3" a="1"/>
  <c r="B71" i="3" a="1"/>
  <c r="F70" i="3" a="1"/>
  <c r="E70" i="3" a="1"/>
  <c r="C70" i="3" a="1"/>
  <c r="B70" i="3" a="1"/>
  <c r="BA1" i="1"/>
  <c r="BB1" i="1"/>
  <c r="H3" i="7"/>
  <c r="AY1" i="1"/>
  <c r="AZ1" i="1"/>
  <c r="G3" i="7"/>
  <c r="AW1" i="1"/>
  <c r="AX1" i="1"/>
  <c r="F3" i="7"/>
  <c r="I1" i="14"/>
  <c r="AU1" i="1"/>
  <c r="AV1" i="1"/>
  <c r="E3" i="7"/>
  <c r="AD190" i="2" a="1"/>
  <c r="AD191" i="2" a="1"/>
  <c r="AD192" i="2" a="1"/>
  <c r="AD193" i="2" a="1"/>
  <c r="AD194" i="2" a="1"/>
  <c r="AD195" i="2" a="1"/>
  <c r="AD196" i="2" a="1"/>
  <c r="AD197" i="2" a="1"/>
  <c r="AD198" i="2" a="1"/>
  <c r="AD199" i="2" a="1"/>
  <c r="AD200" i="2" a="1"/>
  <c r="AD201" i="2" a="1"/>
  <c r="AD202" i="2" a="1"/>
  <c r="AD203" i="2" a="1"/>
  <c r="AD204" i="2" a="1"/>
  <c r="A2" i="13"/>
  <c r="N29" i="13"/>
  <c r="F29" i="13"/>
  <c r="N15" i="13"/>
  <c r="F15" i="13"/>
  <c r="A7" i="13"/>
  <c r="A8" i="13"/>
  <c r="A9" i="13"/>
  <c r="A10" i="13"/>
  <c r="A11" i="13"/>
  <c r="A12" i="13"/>
  <c r="R6" i="13"/>
  <c r="Q6" i="13"/>
  <c r="C6" i="13"/>
  <c r="B6" i="13"/>
  <c r="T29" i="13"/>
  <c r="C29" i="13"/>
  <c r="D29" i="13"/>
  <c r="E28" i="13"/>
  <c r="T15" i="13"/>
  <c r="C15" i="13"/>
  <c r="D15" i="13"/>
  <c r="E14" i="13"/>
  <c r="AS1" i="1"/>
  <c r="AT1" i="1"/>
  <c r="C4" i="3"/>
  <c r="B4" i="12"/>
  <c r="B3" i="12"/>
  <c r="DF3" i="12"/>
  <c r="DF4" i="12" s="1"/>
  <c r="DE3" i="12"/>
  <c r="DE4" i="12" s="1"/>
  <c r="DD3" i="12"/>
  <c r="DD4" i="12" s="1"/>
  <c r="DC3" i="12"/>
  <c r="DC4" i="12" s="1"/>
  <c r="DB3" i="12"/>
  <c r="DB4" i="12" s="1"/>
  <c r="DA3" i="12"/>
  <c r="DA4" i="12" s="1"/>
  <c r="CZ3" i="12"/>
  <c r="CZ4" i="12" s="1"/>
  <c r="CY3" i="12"/>
  <c r="CY4" i="12" s="1"/>
  <c r="CX3" i="12"/>
  <c r="CX4" i="12" s="1"/>
  <c r="CW3" i="12"/>
  <c r="CW4" i="12" s="1"/>
  <c r="CV3" i="12"/>
  <c r="CV4" i="12" s="1"/>
  <c r="CU3" i="12"/>
  <c r="CU4" i="12" s="1"/>
  <c r="CT3" i="12"/>
  <c r="CT4" i="12" s="1"/>
  <c r="CS3" i="12"/>
  <c r="CS4" i="12" s="1"/>
  <c r="CR3" i="12"/>
  <c r="CR4" i="12" s="1"/>
  <c r="CQ3" i="12"/>
  <c r="CQ4" i="12" s="1"/>
  <c r="CP3" i="12"/>
  <c r="CP4" i="12" s="1"/>
  <c r="CO3" i="12"/>
  <c r="CO4" i="12" s="1"/>
  <c r="CN3" i="12"/>
  <c r="CN4" i="12" s="1"/>
  <c r="CM3" i="12"/>
  <c r="CM4" i="12" s="1"/>
  <c r="CL3" i="12"/>
  <c r="CL4" i="12" s="1"/>
  <c r="CK3" i="12"/>
  <c r="CK4" i="12" s="1"/>
  <c r="CJ3" i="12"/>
  <c r="CJ4" i="12" s="1"/>
  <c r="CI3" i="12"/>
  <c r="CI4" i="12" s="1"/>
  <c r="CH3" i="12"/>
  <c r="CH4" i="12" s="1"/>
  <c r="CG3" i="12"/>
  <c r="CG4" i="12" s="1"/>
  <c r="CF3" i="12"/>
  <c r="CF4" i="12" s="1"/>
  <c r="CE3" i="12"/>
  <c r="CE4" i="12" s="1"/>
  <c r="CD3" i="12"/>
  <c r="CD4" i="12" s="1"/>
  <c r="CC3" i="12"/>
  <c r="CC4" i="12" s="1"/>
  <c r="CB3" i="12"/>
  <c r="CB4" i="12" s="1"/>
  <c r="CA3" i="12"/>
  <c r="CA4" i="12" s="1"/>
  <c r="BZ3" i="12"/>
  <c r="BZ4" i="12" s="1"/>
  <c r="BY3" i="12"/>
  <c r="BY4" i="12" s="1"/>
  <c r="BX3" i="12"/>
  <c r="BX4" i="12" s="1"/>
  <c r="BW3" i="12"/>
  <c r="BW4" i="12" s="1"/>
  <c r="BV3" i="12"/>
  <c r="BV4" i="12" s="1"/>
  <c r="BU3" i="12"/>
  <c r="BU4" i="12" s="1"/>
  <c r="BT3" i="12"/>
  <c r="BT4" i="12" s="1"/>
  <c r="BS3" i="12"/>
  <c r="BS4" i="12" s="1"/>
  <c r="BR3" i="12"/>
  <c r="BR4" i="12" s="1"/>
  <c r="BQ3" i="12"/>
  <c r="BQ4" i="12" s="1"/>
  <c r="BP3" i="12"/>
  <c r="BP4" i="12" s="1"/>
  <c r="BO3" i="12"/>
  <c r="BO4" i="12" s="1"/>
  <c r="BN3" i="12"/>
  <c r="BN4" i="12" s="1"/>
  <c r="BM3" i="12"/>
  <c r="BM4" i="12" s="1"/>
  <c r="BL3" i="12"/>
  <c r="BL4" i="12" s="1"/>
  <c r="BK3" i="12"/>
  <c r="BK4" i="12" s="1"/>
  <c r="BJ3" i="12"/>
  <c r="BJ4" i="12" s="1"/>
  <c r="BI3" i="12"/>
  <c r="BI4" i="12" s="1"/>
  <c r="BH3" i="12"/>
  <c r="BH4" i="12" s="1"/>
  <c r="BG3" i="12"/>
  <c r="BG4" i="12" s="1"/>
  <c r="BF3" i="12"/>
  <c r="BF4" i="12" s="1"/>
  <c r="BE3" i="12"/>
  <c r="BE4" i="12" s="1"/>
  <c r="BD3" i="12"/>
  <c r="BD4" i="12" s="1"/>
  <c r="BC3" i="12"/>
  <c r="BC4" i="12" s="1"/>
  <c r="BB3" i="12"/>
  <c r="BB4" i="12" s="1"/>
  <c r="BA3" i="12"/>
  <c r="BA4" i="12" s="1"/>
  <c r="AZ3" i="12"/>
  <c r="AZ4" i="12" s="1"/>
  <c r="AY3" i="12"/>
  <c r="AY4" i="12" s="1"/>
  <c r="AX3" i="12"/>
  <c r="AX4" i="12" s="1"/>
  <c r="AW3" i="12"/>
  <c r="AW4" i="12" s="1"/>
  <c r="AV3" i="12"/>
  <c r="AV4" i="12" s="1"/>
  <c r="AU3" i="12"/>
  <c r="AU4" i="12" s="1"/>
  <c r="AT3" i="12"/>
  <c r="AT4" i="12" s="1"/>
  <c r="AS3" i="12"/>
  <c r="AS4" i="12" s="1"/>
  <c r="AR3" i="12"/>
  <c r="AR4" i="12" s="1"/>
  <c r="AQ3" i="12"/>
  <c r="AQ4" i="12" s="1"/>
  <c r="AP3" i="12"/>
  <c r="AP4" i="12" s="1"/>
  <c r="AO3" i="12"/>
  <c r="AO4" i="12" s="1"/>
  <c r="AN3" i="12"/>
  <c r="AN4" i="12" s="1"/>
  <c r="AM3" i="12"/>
  <c r="AM4" i="12" s="1"/>
  <c r="AL3" i="12"/>
  <c r="AL4" i="12" s="1"/>
  <c r="AK3" i="12"/>
  <c r="AK4" i="12" s="1"/>
  <c r="AJ3" i="12"/>
  <c r="AJ4" i="12" s="1"/>
  <c r="AI3" i="12"/>
  <c r="AI4" i="12" s="1"/>
  <c r="D3" i="7"/>
  <c r="C3" i="7"/>
  <c r="AQ1" i="1"/>
  <c r="AR1" i="1"/>
  <c r="E3" i="12"/>
  <c r="E4" i="12"/>
  <c r="A1513" i="12"/>
  <c r="B1513" i="12"/>
  <c r="C1513" i="12"/>
  <c r="D1513" i="12"/>
  <c r="A1514" i="12"/>
  <c r="DH1514" i="12" s="1" a="1"/>
  <c r="B1514" i="12"/>
  <c r="E1514" i="12" s="1"/>
  <c r="C1514" i="12"/>
  <c r="D1514" i="12"/>
  <c r="A1515" i="12"/>
  <c r="DH1515" i="12" s="1" a="1"/>
  <c r="B1515" i="12"/>
  <c r="C1515" i="12"/>
  <c r="D1515" i="12"/>
  <c r="E1515" i="12"/>
  <c r="K1515" i="12" s="1"/>
  <c r="M1515" i="12"/>
  <c r="N1515" i="12"/>
  <c r="O1515" i="12"/>
  <c r="P1515" i="12"/>
  <c r="Q1515" i="12"/>
  <c r="R1515" i="12"/>
  <c r="S1515" i="12"/>
  <c r="T1515" i="12"/>
  <c r="U1515" i="12"/>
  <c r="V1515" i="12"/>
  <c r="W1515" i="12"/>
  <c r="X1515" i="12"/>
  <c r="Y1515" i="12"/>
  <c r="Z1515" i="12"/>
  <c r="AA1515" i="12"/>
  <c r="AI1515" i="12"/>
  <c r="AJ1515" i="12"/>
  <c r="AK1515" i="12"/>
  <c r="AL1515" i="12"/>
  <c r="AM1515" i="12"/>
  <c r="A1499" i="12"/>
  <c r="DH1499" i="12" s="1" a="1"/>
  <c r="B1499" i="12"/>
  <c r="C1499" i="12"/>
  <c r="D1499" i="12"/>
  <c r="E1499" i="12"/>
  <c r="K1499" i="12"/>
  <c r="M1499" i="12"/>
  <c r="N1499" i="12"/>
  <c r="O1499" i="12"/>
  <c r="P1499" i="12"/>
  <c r="Q1499" i="12"/>
  <c r="R1499" i="12"/>
  <c r="S1499" i="12"/>
  <c r="T1499" i="12"/>
  <c r="U1499" i="12"/>
  <c r="V1499" i="12"/>
  <c r="W1499" i="12"/>
  <c r="X1499" i="12"/>
  <c r="Y1499" i="12"/>
  <c r="Z1499" i="12"/>
  <c r="AA1499" i="12"/>
  <c r="AI1499" i="12"/>
  <c r="AJ1499" i="12"/>
  <c r="AK1499" i="12"/>
  <c r="AL1499" i="12"/>
  <c r="AM1499" i="12"/>
  <c r="A1500" i="12"/>
  <c r="B1500" i="12"/>
  <c r="C1500" i="12"/>
  <c r="D1500" i="12"/>
  <c r="A1501" i="12"/>
  <c r="DH1501" i="12" s="1" a="1"/>
  <c r="B1501" i="12"/>
  <c r="C1501" i="12"/>
  <c r="D1501" i="12"/>
  <c r="E1501" i="12"/>
  <c r="H1501" i="12"/>
  <c r="I1501" i="12"/>
  <c r="J1501" i="12"/>
  <c r="K1501" i="12"/>
  <c r="M1501" i="12"/>
  <c r="N1501" i="12"/>
  <c r="O1501" i="12"/>
  <c r="P1501" i="12"/>
  <c r="Q1501" i="12"/>
  <c r="R1501" i="12"/>
  <c r="S1501" i="12"/>
  <c r="T1501" i="12"/>
  <c r="U1501" i="12"/>
  <c r="V1501" i="12"/>
  <c r="W1501" i="12"/>
  <c r="X1501" i="12"/>
  <c r="Y1501" i="12"/>
  <c r="Z1501" i="12"/>
  <c r="AA1501" i="12"/>
  <c r="AI1501" i="12"/>
  <c r="AJ1501" i="12"/>
  <c r="AK1501" i="12"/>
  <c r="AL1501" i="12"/>
  <c r="AM1501" i="12"/>
  <c r="A1502" i="12"/>
  <c r="B1502" i="12"/>
  <c r="C1502" i="12"/>
  <c r="D1502" i="12"/>
  <c r="A1503" i="12"/>
  <c r="DH1503" i="12" s="1" a="1"/>
  <c r="B1503" i="12"/>
  <c r="E1503" i="12" s="1"/>
  <c r="C1503" i="12"/>
  <c r="D1503" i="12"/>
  <c r="A1504" i="12"/>
  <c r="DH1504" i="12" s="1" a="1"/>
  <c r="B1504" i="12"/>
  <c r="C1504" i="12"/>
  <c r="D1504" i="12"/>
  <c r="E1504" i="12"/>
  <c r="U1504" i="12"/>
  <c r="V1504" i="12"/>
  <c r="W1504" i="12"/>
  <c r="X1504" i="12"/>
  <c r="Y1504" i="12"/>
  <c r="Z1504" i="12"/>
  <c r="AA1504" i="12"/>
  <c r="AI1504" i="12"/>
  <c r="AJ1504" i="12"/>
  <c r="AK1504" i="12"/>
  <c r="AL1504" i="12"/>
  <c r="AM1504" i="12"/>
  <c r="A1505" i="12"/>
  <c r="DH1505" i="12" s="1" a="1"/>
  <c r="B1505" i="12"/>
  <c r="C1505" i="12"/>
  <c r="D1505" i="12"/>
  <c r="E1505" i="12"/>
  <c r="K1505" i="12" s="1"/>
  <c r="M1505" i="12"/>
  <c r="N1505" i="12"/>
  <c r="O1505" i="12"/>
  <c r="P1505" i="12"/>
  <c r="Q1505" i="12"/>
  <c r="R1505" i="12"/>
  <c r="S1505" i="12"/>
  <c r="T1505" i="12"/>
  <c r="U1505" i="12"/>
  <c r="V1505" i="12"/>
  <c r="W1505" i="12"/>
  <c r="X1505" i="12"/>
  <c r="Y1505" i="12"/>
  <c r="Z1505" i="12"/>
  <c r="AA1505" i="12"/>
  <c r="AI1505" i="12"/>
  <c r="AJ1505" i="12"/>
  <c r="AK1505" i="12"/>
  <c r="AL1505" i="12"/>
  <c r="AM1505" i="12"/>
  <c r="A1506" i="12"/>
  <c r="B1506" i="12"/>
  <c r="C1506" i="12"/>
  <c r="D1506" i="12"/>
  <c r="A1507" i="12"/>
  <c r="B1507" i="12"/>
  <c r="C1507" i="12"/>
  <c r="D1507" i="12"/>
  <c r="A1508" i="12"/>
  <c r="DH1508" i="12" s="1" a="1"/>
  <c r="B1508" i="12"/>
  <c r="C1508" i="12"/>
  <c r="D1508" i="12"/>
  <c r="E1508" i="12"/>
  <c r="M1508" i="12"/>
  <c r="N1508" i="12"/>
  <c r="O1508" i="12"/>
  <c r="P1508" i="12"/>
  <c r="Q1508" i="12"/>
  <c r="R1508" i="12"/>
  <c r="S1508" i="12"/>
  <c r="T1508" i="12"/>
  <c r="U1508" i="12"/>
  <c r="V1508" i="12"/>
  <c r="W1508" i="12"/>
  <c r="X1508" i="12"/>
  <c r="Y1508" i="12"/>
  <c r="Z1508" i="12"/>
  <c r="AA1508" i="12"/>
  <c r="AI1508" i="12"/>
  <c r="AJ1508" i="12"/>
  <c r="AK1508" i="12"/>
  <c r="AL1508" i="12"/>
  <c r="AM1508" i="12"/>
  <c r="A1509" i="12"/>
  <c r="B1509" i="12"/>
  <c r="C1509" i="12"/>
  <c r="D1509" i="12"/>
  <c r="A1510" i="12"/>
  <c r="DH1510" i="12" s="1" a="1"/>
  <c r="B1510" i="12"/>
  <c r="C1510" i="12"/>
  <c r="D1510" i="12"/>
  <c r="E1510" i="12"/>
  <c r="J1510" i="12"/>
  <c r="K1510" i="12"/>
  <c r="M1510" i="12"/>
  <c r="N1510" i="12"/>
  <c r="O1510" i="12"/>
  <c r="P1510" i="12"/>
  <c r="Q1510" i="12"/>
  <c r="R1510" i="12"/>
  <c r="S1510" i="12"/>
  <c r="T1510" i="12"/>
  <c r="U1510" i="12"/>
  <c r="V1510" i="12"/>
  <c r="W1510" i="12"/>
  <c r="X1510" i="12"/>
  <c r="Y1510" i="12"/>
  <c r="Z1510" i="12"/>
  <c r="AA1510" i="12"/>
  <c r="AI1510" i="12"/>
  <c r="AJ1510" i="12"/>
  <c r="AK1510" i="12"/>
  <c r="AL1510" i="12"/>
  <c r="AM1510" i="12"/>
  <c r="A1511" i="12"/>
  <c r="B1511" i="12"/>
  <c r="C1511" i="12"/>
  <c r="D1511" i="12"/>
  <c r="A1512" i="12"/>
  <c r="DH1512" i="12" s="1" a="1"/>
  <c r="B1512" i="12"/>
  <c r="C1512" i="12"/>
  <c r="D1512" i="12"/>
  <c r="E1512" i="12"/>
  <c r="A1485" i="12"/>
  <c r="DH1485" i="12" s="1" a="1"/>
  <c r="B1485" i="12"/>
  <c r="C1485" i="12"/>
  <c r="D1485" i="12"/>
  <c r="E1485" i="12"/>
  <c r="F1485" i="12"/>
  <c r="G1485" i="12"/>
  <c r="AC1485" i="12" s="1"/>
  <c r="H1485" i="12"/>
  <c r="I1485" i="12"/>
  <c r="J1485" i="12"/>
  <c r="K1485" i="12"/>
  <c r="M1485" i="12"/>
  <c r="N1485" i="12"/>
  <c r="O1485" i="12"/>
  <c r="P1485" i="12"/>
  <c r="Q1485" i="12"/>
  <c r="R1485" i="12"/>
  <c r="S1485" i="12"/>
  <c r="T1485" i="12"/>
  <c r="U1485" i="12"/>
  <c r="V1485" i="12"/>
  <c r="W1485" i="12"/>
  <c r="X1485" i="12"/>
  <c r="Y1485" i="12"/>
  <c r="Z1485" i="12"/>
  <c r="AA1485" i="12"/>
  <c r="AI1485" i="12"/>
  <c r="AJ1485" i="12"/>
  <c r="AK1485" i="12"/>
  <c r="AL1485" i="12"/>
  <c r="AM1485" i="12"/>
  <c r="A1486" i="12"/>
  <c r="DH1486" i="12" s="1" a="1"/>
  <c r="B1486" i="12"/>
  <c r="C1486" i="12"/>
  <c r="D1486" i="12"/>
  <c r="E1486" i="12"/>
  <c r="F1486" i="12" s="1"/>
  <c r="G1486" i="12"/>
  <c r="H1486" i="12"/>
  <c r="I1486" i="12"/>
  <c r="J1486" i="12"/>
  <c r="K1486" i="12"/>
  <c r="M1486" i="12"/>
  <c r="N1486" i="12"/>
  <c r="O1486" i="12"/>
  <c r="P1486" i="12"/>
  <c r="Q1486" i="12"/>
  <c r="R1486" i="12"/>
  <c r="S1486" i="12"/>
  <c r="T1486" i="12"/>
  <c r="U1486" i="12"/>
  <c r="V1486" i="12"/>
  <c r="W1486" i="12"/>
  <c r="X1486" i="12"/>
  <c r="Y1486" i="12"/>
  <c r="Z1486" i="12"/>
  <c r="AA1486" i="12"/>
  <c r="AI1486" i="12"/>
  <c r="AJ1486" i="12"/>
  <c r="AK1486" i="12"/>
  <c r="AL1486" i="12"/>
  <c r="AM1486" i="12"/>
  <c r="A1487" i="12"/>
  <c r="B1487" i="12"/>
  <c r="C1487" i="12"/>
  <c r="D1487" i="12"/>
  <c r="A1488" i="12"/>
  <c r="DH1488" i="12" s="1" a="1"/>
  <c r="B1488" i="12"/>
  <c r="E1488" i="12" s="1"/>
  <c r="C1488" i="12"/>
  <c r="D1488" i="12"/>
  <c r="A1489" i="12"/>
  <c r="DH1489" i="12" s="1" a="1"/>
  <c r="B1489" i="12"/>
  <c r="E1489" i="12" s="1"/>
  <c r="C1489" i="12"/>
  <c r="D1489" i="12"/>
  <c r="A1490" i="12"/>
  <c r="B1490" i="12"/>
  <c r="C1490" i="12"/>
  <c r="D1490" i="12"/>
  <c r="A1491" i="12"/>
  <c r="DH1491" i="12" s="1" a="1"/>
  <c r="B1491" i="12"/>
  <c r="C1491" i="12"/>
  <c r="D1491" i="12"/>
  <c r="E1491" i="12"/>
  <c r="H1491" i="12" s="1"/>
  <c r="I1491" i="12"/>
  <c r="J1491" i="12"/>
  <c r="K1491" i="12"/>
  <c r="M1491" i="12"/>
  <c r="N1491" i="12"/>
  <c r="O1491" i="12"/>
  <c r="P1491" i="12"/>
  <c r="Q1491" i="12"/>
  <c r="R1491" i="12"/>
  <c r="S1491" i="12"/>
  <c r="T1491" i="12"/>
  <c r="U1491" i="12"/>
  <c r="V1491" i="12"/>
  <c r="W1491" i="12"/>
  <c r="X1491" i="12"/>
  <c r="Y1491" i="12"/>
  <c r="Z1491" i="12"/>
  <c r="AA1491" i="12"/>
  <c r="AI1491" i="12"/>
  <c r="AJ1491" i="12"/>
  <c r="AK1491" i="12"/>
  <c r="AL1491" i="12"/>
  <c r="AM1491" i="12"/>
  <c r="A1492" i="12"/>
  <c r="DH1492" i="12" s="1" a="1"/>
  <c r="B1492" i="12"/>
  <c r="C1492" i="12"/>
  <c r="D1492" i="12"/>
  <c r="E1492" i="12"/>
  <c r="Q1492" i="12"/>
  <c r="R1492" i="12"/>
  <c r="S1492" i="12"/>
  <c r="T1492" i="12"/>
  <c r="U1492" i="12"/>
  <c r="V1492" i="12"/>
  <c r="W1492" i="12"/>
  <c r="X1492" i="12"/>
  <c r="Y1492" i="12"/>
  <c r="Z1492" i="12"/>
  <c r="AA1492" i="12"/>
  <c r="AI1492" i="12"/>
  <c r="AJ1492" i="12"/>
  <c r="AK1492" i="12"/>
  <c r="AL1492" i="12"/>
  <c r="AM1492" i="12"/>
  <c r="A1493" i="12"/>
  <c r="DH1493" i="12" s="1" a="1"/>
  <c r="B1493" i="12"/>
  <c r="E1493" i="12" s="1"/>
  <c r="C1493" i="12"/>
  <c r="D1493" i="12"/>
  <c r="A1494" i="12"/>
  <c r="DH1494" i="12" s="1" a="1"/>
  <c r="B1494" i="12"/>
  <c r="C1494" i="12"/>
  <c r="D1494" i="12"/>
  <c r="E1494" i="12"/>
  <c r="N1494" i="12"/>
  <c r="O1494" i="12"/>
  <c r="P1494" i="12"/>
  <c r="Q1494" i="12"/>
  <c r="R1494" i="12"/>
  <c r="S1494" i="12"/>
  <c r="T1494" i="12"/>
  <c r="U1494" i="12"/>
  <c r="V1494" i="12"/>
  <c r="W1494" i="12"/>
  <c r="X1494" i="12"/>
  <c r="Y1494" i="12"/>
  <c r="Z1494" i="12"/>
  <c r="AA1494" i="12"/>
  <c r="AI1494" i="12"/>
  <c r="AJ1494" i="12"/>
  <c r="AK1494" i="12"/>
  <c r="AL1494" i="12"/>
  <c r="AM1494" i="12"/>
  <c r="A1495" i="12"/>
  <c r="DH1495" i="12" s="1" a="1"/>
  <c r="B1495" i="12"/>
  <c r="C1495" i="12"/>
  <c r="D1495" i="12"/>
  <c r="E1495" i="12"/>
  <c r="J1495" i="12"/>
  <c r="K1495" i="12"/>
  <c r="M1495" i="12"/>
  <c r="N1495" i="12"/>
  <c r="O1495" i="12"/>
  <c r="P1495" i="12"/>
  <c r="Q1495" i="12"/>
  <c r="R1495" i="12"/>
  <c r="S1495" i="12"/>
  <c r="T1495" i="12"/>
  <c r="U1495" i="12"/>
  <c r="A1496" i="12"/>
  <c r="DH1496" i="12" s="1" a="1"/>
  <c r="B1496" i="12"/>
  <c r="C1496" i="12"/>
  <c r="D1496" i="12"/>
  <c r="E1496" i="12"/>
  <c r="K1496" i="12"/>
  <c r="M1496" i="12"/>
  <c r="N1496" i="12"/>
  <c r="O1496" i="12"/>
  <c r="P1496" i="12"/>
  <c r="Q1496" i="12"/>
  <c r="R1496" i="12"/>
  <c r="S1496" i="12"/>
  <c r="T1496" i="12"/>
  <c r="U1496" i="12"/>
  <c r="V1496" i="12"/>
  <c r="W1496" i="12"/>
  <c r="X1496" i="12"/>
  <c r="Y1496" i="12"/>
  <c r="Z1496" i="12"/>
  <c r="AA1496" i="12"/>
  <c r="AI1496" i="12"/>
  <c r="AJ1496" i="12"/>
  <c r="AK1496" i="12"/>
  <c r="AL1496" i="12"/>
  <c r="AM1496" i="12"/>
  <c r="A1497" i="12"/>
  <c r="DH1497" i="12" s="1" a="1"/>
  <c r="B1497" i="12"/>
  <c r="C1497" i="12"/>
  <c r="D1497" i="12"/>
  <c r="E1497" i="12"/>
  <c r="K1497" i="12" s="1"/>
  <c r="M1497" i="12"/>
  <c r="N1497" i="12"/>
  <c r="O1497" i="12"/>
  <c r="P1497" i="12"/>
  <c r="Q1497" i="12"/>
  <c r="R1497" i="12"/>
  <c r="S1497" i="12"/>
  <c r="T1497" i="12"/>
  <c r="U1497" i="12"/>
  <c r="V1497" i="12"/>
  <c r="W1497" i="12"/>
  <c r="X1497" i="12"/>
  <c r="Y1497" i="12"/>
  <c r="Z1497" i="12"/>
  <c r="AA1497" i="12"/>
  <c r="AI1497" i="12"/>
  <c r="AJ1497" i="12"/>
  <c r="AK1497" i="12"/>
  <c r="AL1497" i="12"/>
  <c r="AM1497" i="12"/>
  <c r="A1498" i="12"/>
  <c r="DH1498" i="12" s="1" a="1"/>
  <c r="B1498" i="12"/>
  <c r="C1498" i="12"/>
  <c r="D1498" i="12"/>
  <c r="E1498" i="12"/>
  <c r="O1498" i="12"/>
  <c r="P1498" i="12"/>
  <c r="Q1498" i="12"/>
  <c r="R1498" i="12"/>
  <c r="S1498" i="12"/>
  <c r="T1498" i="12"/>
  <c r="U1498" i="12"/>
  <c r="V1498" i="12"/>
  <c r="W1498" i="12"/>
  <c r="X1498" i="12"/>
  <c r="Y1498" i="12"/>
  <c r="Z1498" i="12"/>
  <c r="AA1498" i="12"/>
  <c r="AI1498" i="12"/>
  <c r="AJ1498" i="12"/>
  <c r="AK1498" i="12"/>
  <c r="AL1498" i="12"/>
  <c r="AM1498" i="12"/>
  <c r="A1471" i="12"/>
  <c r="DH1471" i="12" s="1" a="1"/>
  <c r="B1471" i="12"/>
  <c r="C1471" i="12"/>
  <c r="D1471" i="12"/>
  <c r="E1471" i="12"/>
  <c r="H1471" i="12"/>
  <c r="J1471" i="12"/>
  <c r="K1471" i="12"/>
  <c r="M1471" i="12"/>
  <c r="N1471" i="12"/>
  <c r="O1471" i="12"/>
  <c r="P1471" i="12"/>
  <c r="Q1471" i="12"/>
  <c r="R1471" i="12"/>
  <c r="S1471" i="12"/>
  <c r="T1471" i="12"/>
  <c r="U1471" i="12"/>
  <c r="V1471" i="12"/>
  <c r="W1471" i="12"/>
  <c r="X1471" i="12"/>
  <c r="Y1471" i="12"/>
  <c r="Z1471" i="12"/>
  <c r="AA1471" i="12"/>
  <c r="AI1471" i="12"/>
  <c r="AJ1471" i="12"/>
  <c r="AK1471" i="12"/>
  <c r="AL1471" i="12"/>
  <c r="AM1471" i="12"/>
  <c r="A1472" i="12"/>
  <c r="DH1472" i="12" s="1" a="1"/>
  <c r="B1472" i="12"/>
  <c r="C1472" i="12"/>
  <c r="D1472" i="12"/>
  <c r="E1472" i="12"/>
  <c r="H1472" i="12" s="1"/>
  <c r="I1472" i="12"/>
  <c r="J1472" i="12"/>
  <c r="K1472" i="12"/>
  <c r="M1472" i="12"/>
  <c r="N1472" i="12"/>
  <c r="O1472" i="12"/>
  <c r="P1472" i="12"/>
  <c r="Q1472" i="12"/>
  <c r="R1472" i="12"/>
  <c r="S1472" i="12"/>
  <c r="T1472" i="12"/>
  <c r="U1472" i="12"/>
  <c r="V1472" i="12"/>
  <c r="W1472" i="12"/>
  <c r="X1472" i="12"/>
  <c r="Y1472" i="12"/>
  <c r="Z1472" i="12"/>
  <c r="AA1472" i="12"/>
  <c r="AI1472" i="12"/>
  <c r="AJ1472" i="12"/>
  <c r="AK1472" i="12"/>
  <c r="AL1472" i="12"/>
  <c r="AM1472" i="12"/>
  <c r="A1473" i="12"/>
  <c r="B1473" i="12"/>
  <c r="C1473" i="12"/>
  <c r="D1473" i="12"/>
  <c r="A1474" i="12"/>
  <c r="B1474" i="12"/>
  <c r="C1474" i="12"/>
  <c r="D1474" i="12"/>
  <c r="A1475" i="12"/>
  <c r="DH1475" i="12" s="1" a="1"/>
  <c r="B1475" i="12"/>
  <c r="C1475" i="12"/>
  <c r="D1475" i="12"/>
  <c r="E1475" i="12"/>
  <c r="R1475" i="12"/>
  <c r="S1475" i="12"/>
  <c r="T1475" i="12"/>
  <c r="U1475" i="12"/>
  <c r="V1475" i="12"/>
  <c r="W1475" i="12"/>
  <c r="X1475" i="12"/>
  <c r="Y1475" i="12"/>
  <c r="Z1475" i="12"/>
  <c r="AA1475" i="12"/>
  <c r="AI1475" i="12"/>
  <c r="AJ1475" i="12"/>
  <c r="AK1475" i="12"/>
  <c r="AL1475" i="12"/>
  <c r="AM1475" i="12"/>
  <c r="A1476" i="12"/>
  <c r="B1476" i="12"/>
  <c r="C1476" i="12"/>
  <c r="D1476" i="12"/>
  <c r="A1477" i="12"/>
  <c r="B1477" i="12"/>
  <c r="C1477" i="12"/>
  <c r="D1477" i="12"/>
  <c r="A1478" i="12"/>
  <c r="DH1478" i="12" s="1" a="1"/>
  <c r="B1478" i="12"/>
  <c r="C1478" i="12"/>
  <c r="D1478" i="12"/>
  <c r="E1478" i="12"/>
  <c r="O1478" i="12"/>
  <c r="R1478" i="12"/>
  <c r="S1478" i="12"/>
  <c r="T1478" i="12"/>
  <c r="U1478" i="12"/>
  <c r="V1478" i="12"/>
  <c r="W1478" i="12"/>
  <c r="X1478" i="12"/>
  <c r="Y1478" i="12"/>
  <c r="Z1478" i="12"/>
  <c r="AA1478" i="12"/>
  <c r="AI1478" i="12"/>
  <c r="AJ1478" i="12"/>
  <c r="AK1478" i="12"/>
  <c r="AL1478" i="12"/>
  <c r="AM1478" i="12"/>
  <c r="A1479" i="12"/>
  <c r="DH1479" i="12" s="1" a="1"/>
  <c r="B1479" i="12"/>
  <c r="C1479" i="12"/>
  <c r="D1479" i="12"/>
  <c r="E1479" i="12"/>
  <c r="J1479" i="12"/>
  <c r="K1479" i="12"/>
  <c r="M1479" i="12"/>
  <c r="N1479" i="12"/>
  <c r="O1479" i="12"/>
  <c r="P1479" i="12"/>
  <c r="Q1479" i="12"/>
  <c r="R1479" i="12"/>
  <c r="S1479" i="12"/>
  <c r="T1479" i="12"/>
  <c r="U1479" i="12"/>
  <c r="V1479" i="12"/>
  <c r="W1479" i="12"/>
  <c r="X1479" i="12"/>
  <c r="Y1479" i="12"/>
  <c r="Z1479" i="12"/>
  <c r="AA1479" i="12"/>
  <c r="AI1479" i="12"/>
  <c r="AJ1479" i="12"/>
  <c r="AK1479" i="12"/>
  <c r="AL1479" i="12"/>
  <c r="AM1479" i="12"/>
  <c r="A1480" i="12"/>
  <c r="B1480" i="12"/>
  <c r="C1480" i="12"/>
  <c r="D1480" i="12"/>
  <c r="A1481" i="12"/>
  <c r="B1481" i="12"/>
  <c r="C1481" i="12"/>
  <c r="D1481" i="12"/>
  <c r="A1482" i="12"/>
  <c r="DH1482" i="12" s="1" a="1"/>
  <c r="B1482" i="12"/>
  <c r="C1482" i="12"/>
  <c r="D1482" i="12"/>
  <c r="E1482" i="12"/>
  <c r="F1482" i="12" s="1"/>
  <c r="G1482" i="12"/>
  <c r="H1482" i="12"/>
  <c r="I1482" i="12"/>
  <c r="J1482" i="12"/>
  <c r="K1482" i="12"/>
  <c r="M1482" i="12"/>
  <c r="N1482" i="12"/>
  <c r="O1482" i="12"/>
  <c r="P1482" i="12"/>
  <c r="Q1482" i="12"/>
  <c r="R1482" i="12"/>
  <c r="S1482" i="12"/>
  <c r="T1482" i="12"/>
  <c r="U1482" i="12"/>
  <c r="V1482" i="12"/>
  <c r="W1482" i="12"/>
  <c r="X1482" i="12"/>
  <c r="Y1482" i="12"/>
  <c r="Z1482" i="12"/>
  <c r="AA1482" i="12"/>
  <c r="AI1482" i="12"/>
  <c r="AJ1482" i="12"/>
  <c r="AK1482" i="12"/>
  <c r="AL1482" i="12"/>
  <c r="AM1482" i="12"/>
  <c r="A1483" i="12"/>
  <c r="DH1483" i="12" s="1" a="1"/>
  <c r="B1483" i="12"/>
  <c r="C1483" i="12"/>
  <c r="D1483" i="12"/>
  <c r="E1483" i="12"/>
  <c r="F1483" i="12"/>
  <c r="G1483" i="12"/>
  <c r="H1483" i="12"/>
  <c r="I1483" i="12"/>
  <c r="J1483" i="12"/>
  <c r="K1483" i="12"/>
  <c r="M1483" i="12"/>
  <c r="N1483" i="12"/>
  <c r="O1483" i="12"/>
  <c r="P1483" i="12"/>
  <c r="Q1483" i="12"/>
  <c r="R1483" i="12"/>
  <c r="S1483" i="12"/>
  <c r="T1483" i="12"/>
  <c r="U1483" i="12"/>
  <c r="V1483" i="12"/>
  <c r="W1483" i="12"/>
  <c r="X1483" i="12"/>
  <c r="Y1483" i="12"/>
  <c r="Z1483" i="12"/>
  <c r="AA1483" i="12"/>
  <c r="AI1483" i="12"/>
  <c r="AJ1483" i="12"/>
  <c r="AK1483" i="12"/>
  <c r="AL1483" i="12"/>
  <c r="AM1483" i="12"/>
  <c r="A1484" i="12"/>
  <c r="DH1484" i="12" s="1" a="1"/>
  <c r="B1484" i="12"/>
  <c r="C1484" i="12"/>
  <c r="D1484" i="12"/>
  <c r="E1484" i="12"/>
  <c r="K1484" i="12"/>
  <c r="M1484" i="12"/>
  <c r="N1484" i="12"/>
  <c r="O1484" i="12"/>
  <c r="P1484" i="12"/>
  <c r="Q1484" i="12"/>
  <c r="R1484" i="12"/>
  <c r="S1484" i="12"/>
  <c r="T1484" i="12"/>
  <c r="U1484" i="12"/>
  <c r="V1484" i="12"/>
  <c r="W1484" i="12"/>
  <c r="X1484" i="12"/>
  <c r="Y1484" i="12"/>
  <c r="Z1484" i="12"/>
  <c r="AA1484" i="12"/>
  <c r="AI1484" i="12"/>
  <c r="AJ1484" i="12"/>
  <c r="AK1484" i="12"/>
  <c r="AL1484" i="12"/>
  <c r="AM1484" i="12"/>
  <c r="A1457" i="12"/>
  <c r="DH1457" i="12" s="1" a="1"/>
  <c r="B1457" i="12"/>
  <c r="C1457" i="12"/>
  <c r="D1457" i="12"/>
  <c r="E1457" i="12"/>
  <c r="F1457" i="12" s="1"/>
  <c r="G1457" i="12"/>
  <c r="H1457" i="12"/>
  <c r="I1457" i="12"/>
  <c r="J1457" i="12"/>
  <c r="K1457" i="12"/>
  <c r="M1457" i="12"/>
  <c r="N1457" i="12"/>
  <c r="O1457" i="12"/>
  <c r="P1457" i="12"/>
  <c r="Q1457" i="12"/>
  <c r="R1457" i="12"/>
  <c r="S1457" i="12"/>
  <c r="T1457" i="12"/>
  <c r="U1457" i="12"/>
  <c r="V1457" i="12"/>
  <c r="W1457" i="12"/>
  <c r="X1457" i="12"/>
  <c r="Y1457" i="12"/>
  <c r="Z1457" i="12"/>
  <c r="AA1457" i="12"/>
  <c r="AI1457" i="12"/>
  <c r="AJ1457" i="12"/>
  <c r="AK1457" i="12"/>
  <c r="AL1457" i="12"/>
  <c r="AM1457" i="12"/>
  <c r="A1458" i="12"/>
  <c r="DH1458" i="12" s="1" a="1"/>
  <c r="B1458" i="12"/>
  <c r="C1458" i="12"/>
  <c r="D1458" i="12"/>
  <c r="E1458" i="12"/>
  <c r="F1458" i="12" s="1"/>
  <c r="G1458" i="12"/>
  <c r="H1458" i="12"/>
  <c r="I1458" i="12"/>
  <c r="J1458" i="12"/>
  <c r="K1458" i="12"/>
  <c r="A1459" i="12"/>
  <c r="B1459" i="12"/>
  <c r="C1459" i="12"/>
  <c r="D1459" i="12"/>
  <c r="A1460" i="12"/>
  <c r="B1460" i="12"/>
  <c r="C1460" i="12"/>
  <c r="D1460" i="12"/>
  <c r="A1461" i="12"/>
  <c r="DH1461" i="12" s="1" a="1"/>
  <c r="B1461" i="12"/>
  <c r="C1461" i="12"/>
  <c r="D1461" i="12"/>
  <c r="E1461" i="12"/>
  <c r="O1461" i="12"/>
  <c r="P1461" i="12"/>
  <c r="Q1461" i="12"/>
  <c r="R1461" i="12"/>
  <c r="S1461" i="12"/>
  <c r="T1461" i="12"/>
  <c r="U1461" i="12"/>
  <c r="V1461" i="12"/>
  <c r="W1461" i="12"/>
  <c r="X1461" i="12"/>
  <c r="Y1461" i="12"/>
  <c r="Z1461" i="12"/>
  <c r="AA1461" i="12"/>
  <c r="AI1461" i="12"/>
  <c r="AJ1461" i="12"/>
  <c r="AK1461" i="12"/>
  <c r="AL1461" i="12"/>
  <c r="AM1461" i="12"/>
  <c r="A1462" i="12"/>
  <c r="DH1462" i="12" s="1" a="1"/>
  <c r="B1462" i="12"/>
  <c r="C1462" i="12"/>
  <c r="D1462" i="12"/>
  <c r="E1462" i="12"/>
  <c r="K1462" i="12" s="1"/>
  <c r="M1462" i="12"/>
  <c r="N1462" i="12"/>
  <c r="O1462" i="12"/>
  <c r="P1462" i="12"/>
  <c r="Q1462" i="12"/>
  <c r="R1462" i="12"/>
  <c r="S1462" i="12"/>
  <c r="T1462" i="12"/>
  <c r="U1462" i="12"/>
  <c r="V1462" i="12"/>
  <c r="W1462" i="12"/>
  <c r="X1462" i="12"/>
  <c r="Y1462" i="12"/>
  <c r="Z1462" i="12"/>
  <c r="AA1462" i="12"/>
  <c r="AI1462" i="12"/>
  <c r="AJ1462" i="12"/>
  <c r="AK1462" i="12"/>
  <c r="AL1462" i="12"/>
  <c r="AM1462" i="12"/>
  <c r="A1463" i="12"/>
  <c r="DH1463" i="12" s="1" a="1"/>
  <c r="B1463" i="12"/>
  <c r="C1463" i="12"/>
  <c r="D1463" i="12"/>
  <c r="E1463" i="12"/>
  <c r="S1463" i="12"/>
  <c r="T1463" i="12"/>
  <c r="U1463" i="12"/>
  <c r="V1463" i="12"/>
  <c r="W1463" i="12"/>
  <c r="X1463" i="12"/>
  <c r="Y1463" i="12"/>
  <c r="Z1463" i="12"/>
  <c r="AA1463" i="12"/>
  <c r="AI1463" i="12"/>
  <c r="AJ1463" i="12"/>
  <c r="AK1463" i="12"/>
  <c r="AL1463" i="12"/>
  <c r="AM1463" i="12"/>
  <c r="A1464" i="12"/>
  <c r="DH1464" i="12" s="1" a="1"/>
  <c r="B1464" i="12"/>
  <c r="C1464" i="12"/>
  <c r="D1464" i="12"/>
  <c r="E1464" i="12"/>
  <c r="N1464" i="12"/>
  <c r="O1464" i="12"/>
  <c r="P1464" i="12"/>
  <c r="Q1464" i="12"/>
  <c r="R1464" i="12"/>
  <c r="S1464" i="12"/>
  <c r="T1464" i="12"/>
  <c r="U1464" i="12"/>
  <c r="V1464" i="12"/>
  <c r="W1464" i="12"/>
  <c r="X1464" i="12"/>
  <c r="Y1464" i="12"/>
  <c r="Z1464" i="12"/>
  <c r="AA1464" i="12"/>
  <c r="AI1464" i="12"/>
  <c r="AJ1464" i="12"/>
  <c r="AK1464" i="12"/>
  <c r="AL1464" i="12"/>
  <c r="AM1464" i="12"/>
  <c r="A1465" i="12"/>
  <c r="DH1465" i="12" s="1" a="1"/>
  <c r="B1465" i="12"/>
  <c r="C1465" i="12"/>
  <c r="D1465" i="12"/>
  <c r="E1465" i="12"/>
  <c r="Q1465" i="12"/>
  <c r="R1465" i="12"/>
  <c r="S1465" i="12"/>
  <c r="T1465" i="12"/>
  <c r="U1465" i="12"/>
  <c r="V1465" i="12"/>
  <c r="W1465" i="12"/>
  <c r="X1465" i="12"/>
  <c r="Y1465" i="12"/>
  <c r="Z1465" i="12"/>
  <c r="AA1465" i="12"/>
  <c r="AI1465" i="12"/>
  <c r="AJ1465" i="12"/>
  <c r="AK1465" i="12"/>
  <c r="AL1465" i="12"/>
  <c r="AM1465" i="12"/>
  <c r="A1466" i="12"/>
  <c r="B1466" i="12"/>
  <c r="C1466" i="12"/>
  <c r="D1466" i="12"/>
  <c r="A1467" i="12"/>
  <c r="B1467" i="12"/>
  <c r="C1467" i="12"/>
  <c r="D1467" i="12"/>
  <c r="A1468" i="12"/>
  <c r="B1468" i="12"/>
  <c r="C1468" i="12"/>
  <c r="D1468" i="12"/>
  <c r="A1469" i="12"/>
  <c r="B1469" i="12"/>
  <c r="C1469" i="12"/>
  <c r="D1469" i="12"/>
  <c r="A1470" i="12"/>
  <c r="DH1470" i="12" s="1" a="1"/>
  <c r="B1470" i="12"/>
  <c r="E1470" i="12" s="1"/>
  <c r="C1470" i="12"/>
  <c r="D1470" i="12"/>
  <c r="A1443" i="12"/>
  <c r="DH1443" i="12" s="1" a="1"/>
  <c r="B1443" i="12"/>
  <c r="C1443" i="12"/>
  <c r="D1443" i="12"/>
  <c r="E1443" i="12"/>
  <c r="J1443" i="12"/>
  <c r="K1443" i="12"/>
  <c r="M1443" i="12"/>
  <c r="N1443" i="12"/>
  <c r="O1443" i="12"/>
  <c r="P1443" i="12"/>
  <c r="Q1443" i="12"/>
  <c r="R1443" i="12"/>
  <c r="S1443" i="12"/>
  <c r="T1443" i="12"/>
  <c r="U1443" i="12"/>
  <c r="V1443" i="12"/>
  <c r="W1443" i="12"/>
  <c r="X1443" i="12"/>
  <c r="Y1443" i="12"/>
  <c r="Z1443" i="12"/>
  <c r="AA1443" i="12"/>
  <c r="AI1443" i="12"/>
  <c r="AJ1443" i="12"/>
  <c r="AK1443" i="12"/>
  <c r="AL1443" i="12"/>
  <c r="AM1443" i="12"/>
  <c r="A1444" i="12"/>
  <c r="DH1444" i="12" s="1" a="1"/>
  <c r="B1444" i="12"/>
  <c r="C1444" i="12"/>
  <c r="D1444" i="12"/>
  <c r="E1444" i="12"/>
  <c r="K1444" i="12"/>
  <c r="M1444" i="12"/>
  <c r="N1444" i="12"/>
  <c r="O1444" i="12"/>
  <c r="A1445" i="12"/>
  <c r="B1445" i="12"/>
  <c r="C1445" i="12"/>
  <c r="D1445" i="12"/>
  <c r="A1446" i="12"/>
  <c r="DH1446" i="12" s="1" a="1"/>
  <c r="B1446" i="12"/>
  <c r="E1446" i="12" s="1"/>
  <c r="C1446" i="12"/>
  <c r="D1446" i="12"/>
  <c r="A1447" i="12"/>
  <c r="DH1447" i="12" s="1" a="1"/>
  <c r="B1447" i="12"/>
  <c r="C1447" i="12"/>
  <c r="D1447" i="12"/>
  <c r="E1447" i="12"/>
  <c r="N1447" i="12"/>
  <c r="O1447" i="12"/>
  <c r="A1448" i="12"/>
  <c r="B1448" i="12"/>
  <c r="C1448" i="12"/>
  <c r="D1448" i="12"/>
  <c r="A1449" i="12"/>
  <c r="B1449" i="12"/>
  <c r="C1449" i="12"/>
  <c r="D1449" i="12"/>
  <c r="A1450" i="12"/>
  <c r="DH1450" i="12" s="1" a="1"/>
  <c r="B1450" i="12"/>
  <c r="C1450" i="12"/>
  <c r="D1450" i="12"/>
  <c r="E1450" i="12"/>
  <c r="O1450" i="12"/>
  <c r="P1450" i="12"/>
  <c r="Q1450" i="12"/>
  <c r="R1450" i="12"/>
  <c r="S1450" i="12"/>
  <c r="T1450" i="12"/>
  <c r="U1450" i="12"/>
  <c r="V1450" i="12"/>
  <c r="W1450" i="12"/>
  <c r="X1450" i="12"/>
  <c r="Y1450" i="12"/>
  <c r="Z1450" i="12"/>
  <c r="AA1450" i="12"/>
  <c r="AI1450" i="12"/>
  <c r="AJ1450" i="12"/>
  <c r="AK1450" i="12"/>
  <c r="AL1450" i="12"/>
  <c r="AM1450" i="12"/>
  <c r="A1451" i="12"/>
  <c r="DH1451" i="12" s="1" a="1"/>
  <c r="B1451" i="12"/>
  <c r="E1451" i="12" s="1"/>
  <c r="C1451" i="12"/>
  <c r="D1451" i="12"/>
  <c r="A1452" i="12"/>
  <c r="DH1452" i="12" s="1" a="1"/>
  <c r="B1452" i="12"/>
  <c r="C1452" i="12"/>
  <c r="D1452" i="12"/>
  <c r="A1453" i="12"/>
  <c r="DH1453" i="12" s="1" a="1"/>
  <c r="B1453" i="12"/>
  <c r="C1453" i="12"/>
  <c r="D1453" i="12"/>
  <c r="E1453" i="12"/>
  <c r="I1453" i="12"/>
  <c r="J1453" i="12"/>
  <c r="K1453" i="12"/>
  <c r="M1453" i="12"/>
  <c r="N1453" i="12"/>
  <c r="O1453" i="12"/>
  <c r="P1453" i="12"/>
  <c r="Q1453" i="12"/>
  <c r="R1453" i="12"/>
  <c r="S1453" i="12"/>
  <c r="T1453" i="12"/>
  <c r="U1453" i="12"/>
  <c r="V1453" i="12"/>
  <c r="W1453" i="12"/>
  <c r="X1453" i="12"/>
  <c r="Y1453" i="12"/>
  <c r="Z1453" i="12"/>
  <c r="AA1453" i="12"/>
  <c r="AI1453" i="12"/>
  <c r="AJ1453" i="12"/>
  <c r="AK1453" i="12"/>
  <c r="AL1453" i="12"/>
  <c r="AM1453" i="12"/>
  <c r="A1454" i="12"/>
  <c r="DH1454" i="12" s="1" a="1"/>
  <c r="B1454" i="12"/>
  <c r="C1454" i="12"/>
  <c r="D1454" i="12"/>
  <c r="E1454" i="12"/>
  <c r="K1454" i="12"/>
  <c r="M1454" i="12"/>
  <c r="N1454" i="12"/>
  <c r="O1454" i="12"/>
  <c r="P1454" i="12"/>
  <c r="Q1454" i="12"/>
  <c r="R1454" i="12"/>
  <c r="S1454" i="12"/>
  <c r="T1454" i="12"/>
  <c r="U1454" i="12"/>
  <c r="V1454" i="12"/>
  <c r="W1454" i="12"/>
  <c r="X1454" i="12"/>
  <c r="Y1454" i="12"/>
  <c r="Z1454" i="12"/>
  <c r="AA1454" i="12"/>
  <c r="AI1454" i="12"/>
  <c r="AJ1454" i="12"/>
  <c r="AK1454" i="12"/>
  <c r="AL1454" i="12"/>
  <c r="AM1454" i="12"/>
  <c r="A1455" i="12"/>
  <c r="B1455" i="12"/>
  <c r="C1455" i="12"/>
  <c r="D1455" i="12"/>
  <c r="A1456" i="12"/>
  <c r="DH1456" i="12" s="1" a="1"/>
  <c r="B1456" i="12"/>
  <c r="C1456" i="12"/>
  <c r="D1456" i="12"/>
  <c r="E1456" i="12"/>
  <c r="O1456" i="12"/>
  <c r="P1456" i="12"/>
  <c r="Q1456" i="12"/>
  <c r="R1456" i="12"/>
  <c r="S1456" i="12"/>
  <c r="T1456" i="12"/>
  <c r="U1456" i="12"/>
  <c r="V1456" i="12"/>
  <c r="W1456" i="12"/>
  <c r="X1456" i="12"/>
  <c r="Y1456" i="12"/>
  <c r="Z1456" i="12"/>
  <c r="AA1456" i="12"/>
  <c r="AI1456" i="12"/>
  <c r="AJ1456" i="12"/>
  <c r="AK1456" i="12"/>
  <c r="AL1456" i="12"/>
  <c r="AM1456" i="12"/>
  <c r="A1429" i="12"/>
  <c r="DH1429" i="12" s="1" a="1"/>
  <c r="B1429" i="12"/>
  <c r="C1429" i="12"/>
  <c r="D1429" i="12"/>
  <c r="E1429" i="12"/>
  <c r="H1429" i="12"/>
  <c r="I1429" i="12"/>
  <c r="J1429" i="12"/>
  <c r="K1429" i="12"/>
  <c r="M1429" i="12"/>
  <c r="N1429" i="12"/>
  <c r="O1429" i="12"/>
  <c r="P1429" i="12"/>
  <c r="Q1429" i="12"/>
  <c r="R1429" i="12"/>
  <c r="S1429" i="12"/>
  <c r="T1429" i="12"/>
  <c r="U1429" i="12"/>
  <c r="V1429" i="12"/>
  <c r="W1429" i="12"/>
  <c r="X1429" i="12"/>
  <c r="Y1429" i="12"/>
  <c r="Z1429" i="12"/>
  <c r="AA1429" i="12"/>
  <c r="AI1429" i="12"/>
  <c r="AJ1429" i="12"/>
  <c r="AK1429" i="12"/>
  <c r="AL1429" i="12"/>
  <c r="AM1429" i="12"/>
  <c r="A1430" i="12"/>
  <c r="DH1430" i="12" s="1" a="1"/>
  <c r="B1430" i="12"/>
  <c r="C1430" i="12"/>
  <c r="D1430" i="12"/>
  <c r="E1430" i="12"/>
  <c r="H1430" i="12"/>
  <c r="I1430" i="12"/>
  <c r="J1430" i="12"/>
  <c r="K1430" i="12"/>
  <c r="M1430" i="12"/>
  <c r="N1430" i="12"/>
  <c r="O1430" i="12"/>
  <c r="P1430" i="12"/>
  <c r="Q1430" i="12"/>
  <c r="R1430" i="12"/>
  <c r="S1430" i="12"/>
  <c r="T1430" i="12"/>
  <c r="U1430" i="12"/>
  <c r="V1430" i="12"/>
  <c r="W1430" i="12"/>
  <c r="X1430" i="12"/>
  <c r="Y1430" i="12"/>
  <c r="Z1430" i="12"/>
  <c r="AA1430" i="12"/>
  <c r="AI1430" i="12"/>
  <c r="AJ1430" i="12"/>
  <c r="AK1430" i="12"/>
  <c r="AL1430" i="12"/>
  <c r="AM1430" i="12"/>
  <c r="A1431" i="12"/>
  <c r="B1431" i="12"/>
  <c r="C1431" i="12"/>
  <c r="D1431" i="12"/>
  <c r="A1432" i="12"/>
  <c r="DH1432" i="12" s="1" a="1"/>
  <c r="B1432" i="12"/>
  <c r="C1432" i="12"/>
  <c r="D1432" i="12"/>
  <c r="E1432" i="12"/>
  <c r="I1432" i="12"/>
  <c r="J1432" i="12"/>
  <c r="K1432" i="12"/>
  <c r="M1432" i="12"/>
  <c r="N1432" i="12"/>
  <c r="O1432" i="12"/>
  <c r="P1432" i="12"/>
  <c r="Q1432" i="12"/>
  <c r="R1432" i="12"/>
  <c r="S1432" i="12"/>
  <c r="T1432" i="12"/>
  <c r="U1432" i="12"/>
  <c r="V1432" i="12"/>
  <c r="W1432" i="12"/>
  <c r="X1432" i="12"/>
  <c r="Y1432" i="12"/>
  <c r="Z1432" i="12"/>
  <c r="AA1432" i="12"/>
  <c r="AI1432" i="12"/>
  <c r="AJ1432" i="12"/>
  <c r="AK1432" i="12"/>
  <c r="AL1432" i="12"/>
  <c r="AM1432" i="12"/>
  <c r="A1433" i="12"/>
  <c r="DH1433" i="12" s="1" a="1"/>
  <c r="B1433" i="12"/>
  <c r="E1433" i="12" s="1"/>
  <c r="C1433" i="12"/>
  <c r="D1433" i="12"/>
  <c r="A1434" i="12"/>
  <c r="DH1434" i="12" s="1" a="1"/>
  <c r="B1434" i="12"/>
  <c r="C1434" i="12"/>
  <c r="D1434" i="12"/>
  <c r="E1434" i="12"/>
  <c r="M1434" i="12"/>
  <c r="N1434" i="12"/>
  <c r="O1434" i="12"/>
  <c r="P1434" i="12"/>
  <c r="Q1434" i="12"/>
  <c r="R1434" i="12"/>
  <c r="S1434" i="12"/>
  <c r="T1434" i="12"/>
  <c r="U1434" i="12"/>
  <c r="V1434" i="12"/>
  <c r="W1434" i="12"/>
  <c r="X1434" i="12"/>
  <c r="Y1434" i="12"/>
  <c r="Z1434" i="12"/>
  <c r="AA1434" i="12"/>
  <c r="AI1434" i="12"/>
  <c r="AJ1434" i="12"/>
  <c r="AK1434" i="12"/>
  <c r="AL1434" i="12"/>
  <c r="AM1434" i="12"/>
  <c r="A1435" i="12"/>
  <c r="B1435" i="12"/>
  <c r="C1435" i="12"/>
  <c r="D1435" i="12"/>
  <c r="A1436" i="12"/>
  <c r="DH1436" i="12" s="1" a="1"/>
  <c r="B1436" i="12"/>
  <c r="C1436" i="12"/>
  <c r="D1436" i="12"/>
  <c r="E1436" i="12"/>
  <c r="P1436" i="12"/>
  <c r="Q1436" i="12"/>
  <c r="R1436" i="12"/>
  <c r="S1436" i="12"/>
  <c r="T1436" i="12"/>
  <c r="U1436" i="12"/>
  <c r="V1436" i="12"/>
  <c r="W1436" i="12"/>
  <c r="X1436" i="12"/>
  <c r="Y1436" i="12"/>
  <c r="Z1436" i="12"/>
  <c r="AA1436" i="12"/>
  <c r="AI1436" i="12"/>
  <c r="AJ1436" i="12"/>
  <c r="AK1436" i="12"/>
  <c r="AL1436" i="12"/>
  <c r="AM1436" i="12"/>
  <c r="A1437" i="12"/>
  <c r="DH1437" i="12" s="1" a="1"/>
  <c r="B1437" i="12"/>
  <c r="C1437" i="12"/>
  <c r="D1437" i="12"/>
  <c r="E1437" i="12"/>
  <c r="J1437" i="12"/>
  <c r="K1437" i="12"/>
  <c r="M1437" i="12"/>
  <c r="N1437" i="12"/>
  <c r="O1437" i="12"/>
  <c r="P1437" i="12"/>
  <c r="Q1437" i="12"/>
  <c r="R1437" i="12"/>
  <c r="S1437" i="12"/>
  <c r="T1437" i="12"/>
  <c r="U1437" i="12"/>
  <c r="V1437" i="12"/>
  <c r="W1437" i="12"/>
  <c r="X1437" i="12"/>
  <c r="Y1437" i="12"/>
  <c r="Z1437" i="12"/>
  <c r="AA1437" i="12"/>
  <c r="AI1437" i="12"/>
  <c r="AJ1437" i="12"/>
  <c r="AK1437" i="12"/>
  <c r="AL1437" i="12"/>
  <c r="AM1437" i="12"/>
  <c r="A1438" i="12"/>
  <c r="DH1438" i="12" s="1" a="1"/>
  <c r="B1438" i="12"/>
  <c r="C1438" i="12"/>
  <c r="D1438" i="12"/>
  <c r="A1439" i="12"/>
  <c r="DH1439" i="12" s="1" a="1"/>
  <c r="B1439" i="12"/>
  <c r="C1439" i="12"/>
  <c r="D1439" i="12"/>
  <c r="E1439" i="12"/>
  <c r="F1439" i="12" s="1"/>
  <c r="G1439" i="12"/>
  <c r="H1439" i="12"/>
  <c r="I1439" i="12"/>
  <c r="J1439" i="12"/>
  <c r="K1439" i="12"/>
  <c r="M1439" i="12"/>
  <c r="N1439" i="12"/>
  <c r="O1439" i="12"/>
  <c r="P1439" i="12"/>
  <c r="Q1439" i="12"/>
  <c r="R1439" i="12"/>
  <c r="S1439" i="12"/>
  <c r="T1439" i="12"/>
  <c r="U1439" i="12"/>
  <c r="V1439" i="12"/>
  <c r="W1439" i="12"/>
  <c r="X1439" i="12"/>
  <c r="Y1439" i="12"/>
  <c r="Z1439" i="12"/>
  <c r="AA1439" i="12"/>
  <c r="AI1439" i="12"/>
  <c r="AJ1439" i="12"/>
  <c r="AK1439" i="12"/>
  <c r="AL1439" i="12"/>
  <c r="AM1439" i="12"/>
  <c r="A1440" i="12"/>
  <c r="DH1440" i="12" s="1" a="1"/>
  <c r="B1440" i="12"/>
  <c r="C1440" i="12"/>
  <c r="D1440" i="12"/>
  <c r="E1440" i="12"/>
  <c r="M1440" i="12"/>
  <c r="N1440" i="12"/>
  <c r="O1440" i="12"/>
  <c r="P1440" i="12"/>
  <c r="Q1440" i="12"/>
  <c r="R1440" i="12"/>
  <c r="S1440" i="12"/>
  <c r="T1440" i="12"/>
  <c r="U1440" i="12"/>
  <c r="V1440" i="12"/>
  <c r="W1440" i="12"/>
  <c r="X1440" i="12"/>
  <c r="Y1440" i="12"/>
  <c r="Z1440" i="12"/>
  <c r="AA1440" i="12"/>
  <c r="AI1440" i="12"/>
  <c r="AJ1440" i="12"/>
  <c r="AK1440" i="12"/>
  <c r="AL1440" i="12"/>
  <c r="AM1440" i="12"/>
  <c r="A1441" i="12"/>
  <c r="DH1441" i="12" s="1" a="1"/>
  <c r="B1441" i="12"/>
  <c r="E1441" i="12" s="1"/>
  <c r="C1441" i="12"/>
  <c r="D1441" i="12"/>
  <c r="A1442" i="12"/>
  <c r="DH1442" i="12" s="1" a="1"/>
  <c r="B1442" i="12"/>
  <c r="C1442" i="12"/>
  <c r="D1442" i="12"/>
  <c r="E1442" i="12"/>
  <c r="F1442" i="12"/>
  <c r="G1442" i="12"/>
  <c r="H1442" i="12"/>
  <c r="I1442" i="12"/>
  <c r="J1442" i="12"/>
  <c r="K1442" i="12"/>
  <c r="M1442" i="12"/>
  <c r="N1442" i="12"/>
  <c r="O1442" i="12"/>
  <c r="P1442" i="12"/>
  <c r="Q1442" i="12"/>
  <c r="R1442" i="12"/>
  <c r="S1442" i="12"/>
  <c r="T1442" i="12"/>
  <c r="U1442" i="12"/>
  <c r="V1442" i="12"/>
  <c r="W1442" i="12"/>
  <c r="X1442" i="12"/>
  <c r="Y1442" i="12"/>
  <c r="Z1442" i="12"/>
  <c r="AA1442" i="12"/>
  <c r="AI1442" i="12"/>
  <c r="AJ1442" i="12"/>
  <c r="AK1442" i="12"/>
  <c r="AL1442" i="12"/>
  <c r="AM1442" i="12"/>
  <c r="A1415" i="12"/>
  <c r="DH1415" i="12" s="1" a="1"/>
  <c r="B1415" i="12"/>
  <c r="C1415" i="12"/>
  <c r="D1415" i="12"/>
  <c r="E1415" i="12"/>
  <c r="F1415" i="12"/>
  <c r="G1415" i="12"/>
  <c r="H1415" i="12"/>
  <c r="I1415" i="12"/>
  <c r="J1415" i="12"/>
  <c r="K1415" i="12"/>
  <c r="M1415" i="12"/>
  <c r="N1415" i="12"/>
  <c r="O1415" i="12"/>
  <c r="P1415" i="12"/>
  <c r="Q1415" i="12"/>
  <c r="R1415" i="12"/>
  <c r="S1415" i="12"/>
  <c r="T1415" i="12"/>
  <c r="U1415" i="12"/>
  <c r="V1415" i="12"/>
  <c r="W1415" i="12"/>
  <c r="X1415" i="12"/>
  <c r="Y1415" i="12"/>
  <c r="Z1415" i="12"/>
  <c r="AA1415" i="12"/>
  <c r="AI1415" i="12"/>
  <c r="AJ1415" i="12"/>
  <c r="AK1415" i="12"/>
  <c r="AL1415" i="12"/>
  <c r="AM1415" i="12"/>
  <c r="A1416" i="12"/>
  <c r="B1416" i="12"/>
  <c r="C1416" i="12"/>
  <c r="D1416" i="12"/>
  <c r="A1417" i="12"/>
  <c r="DH1417" i="12" s="1" a="1"/>
  <c r="B1417" i="12"/>
  <c r="C1417" i="12"/>
  <c r="D1417" i="12"/>
  <c r="E1417" i="12"/>
  <c r="H1417" i="12"/>
  <c r="I1417" i="12"/>
  <c r="J1417" i="12"/>
  <c r="K1417" i="12"/>
  <c r="M1417" i="12"/>
  <c r="N1417" i="12"/>
  <c r="O1417" i="12"/>
  <c r="P1417" i="12"/>
  <c r="Q1417" i="12"/>
  <c r="R1417" i="12"/>
  <c r="S1417" i="12"/>
  <c r="T1417" i="12"/>
  <c r="U1417" i="12"/>
  <c r="V1417" i="12"/>
  <c r="W1417" i="12"/>
  <c r="X1417" i="12"/>
  <c r="Y1417" i="12"/>
  <c r="Z1417" i="12"/>
  <c r="AA1417" i="12"/>
  <c r="AI1417" i="12"/>
  <c r="AJ1417" i="12"/>
  <c r="AK1417" i="12"/>
  <c r="AL1417" i="12"/>
  <c r="AM1417" i="12"/>
  <c r="A1418" i="12"/>
  <c r="DH1418" i="12" s="1" a="1"/>
  <c r="B1418" i="12"/>
  <c r="C1418" i="12"/>
  <c r="D1418" i="12"/>
  <c r="E1418" i="12"/>
  <c r="K1418" i="12"/>
  <c r="M1418" i="12"/>
  <c r="N1418" i="12"/>
  <c r="O1418" i="12"/>
  <c r="P1418" i="12"/>
  <c r="Q1418" i="12"/>
  <c r="R1418" i="12"/>
  <c r="S1418" i="12"/>
  <c r="T1418" i="12"/>
  <c r="U1418" i="12"/>
  <c r="V1418" i="12"/>
  <c r="W1418" i="12"/>
  <c r="X1418" i="12"/>
  <c r="Y1418" i="12"/>
  <c r="Z1418" i="12"/>
  <c r="AA1418" i="12"/>
  <c r="AI1418" i="12"/>
  <c r="AJ1418" i="12"/>
  <c r="AK1418" i="12"/>
  <c r="AL1418" i="12"/>
  <c r="AM1418" i="12"/>
  <c r="A1419" i="12"/>
  <c r="B1419" i="12"/>
  <c r="C1419" i="12"/>
  <c r="D1419" i="12"/>
  <c r="A1420" i="12"/>
  <c r="DH1420" i="12" s="1" a="1"/>
  <c r="B1420" i="12"/>
  <c r="C1420" i="12"/>
  <c r="D1420" i="12"/>
  <c r="A1421" i="12"/>
  <c r="DH1421" i="12" s="1" a="1"/>
  <c r="B1421" i="12"/>
  <c r="C1421" i="12"/>
  <c r="D1421" i="12"/>
  <c r="E1421" i="12"/>
  <c r="F1421" i="12" s="1"/>
  <c r="G1421" i="12"/>
  <c r="H1421" i="12"/>
  <c r="I1421" i="12"/>
  <c r="J1421" i="12"/>
  <c r="K1421" i="12"/>
  <c r="M1421" i="12"/>
  <c r="N1421" i="12"/>
  <c r="O1421" i="12"/>
  <c r="P1421" i="12"/>
  <c r="Q1421" i="12"/>
  <c r="R1421" i="12"/>
  <c r="S1421" i="12"/>
  <c r="T1421" i="12"/>
  <c r="U1421" i="12"/>
  <c r="V1421" i="12"/>
  <c r="W1421" i="12"/>
  <c r="X1421" i="12"/>
  <c r="Y1421" i="12"/>
  <c r="Z1421" i="12"/>
  <c r="AA1421" i="12"/>
  <c r="AI1421" i="12"/>
  <c r="AJ1421" i="12"/>
  <c r="AK1421" i="12"/>
  <c r="AL1421" i="12"/>
  <c r="AM1421" i="12"/>
  <c r="A1422" i="12"/>
  <c r="DH1422" i="12" s="1" a="1"/>
  <c r="B1422" i="12"/>
  <c r="C1422" i="12"/>
  <c r="D1422" i="12"/>
  <c r="E1422" i="12"/>
  <c r="N1422" i="12"/>
  <c r="O1422" i="12"/>
  <c r="P1422" i="12"/>
  <c r="Q1422" i="12"/>
  <c r="R1422" i="12"/>
  <c r="S1422" i="12"/>
  <c r="T1422" i="12"/>
  <c r="U1422" i="12"/>
  <c r="V1422" i="12"/>
  <c r="W1422" i="12"/>
  <c r="X1422" i="12"/>
  <c r="Y1422" i="12"/>
  <c r="Z1422" i="12"/>
  <c r="AA1422" i="12"/>
  <c r="AI1422" i="12"/>
  <c r="AJ1422" i="12"/>
  <c r="AK1422" i="12"/>
  <c r="AL1422" i="12"/>
  <c r="AM1422" i="12"/>
  <c r="A1423" i="12"/>
  <c r="DH1423" i="12" s="1" a="1"/>
  <c r="B1423" i="12"/>
  <c r="C1423" i="12"/>
  <c r="D1423" i="12"/>
  <c r="E1423" i="12"/>
  <c r="M1423" i="12"/>
  <c r="N1423" i="12"/>
  <c r="O1423" i="12"/>
  <c r="P1423" i="12"/>
  <c r="Q1423" i="12"/>
  <c r="R1423" i="12"/>
  <c r="S1423" i="12"/>
  <c r="T1423" i="12"/>
  <c r="U1423" i="12"/>
  <c r="V1423" i="12"/>
  <c r="W1423" i="12"/>
  <c r="X1423" i="12"/>
  <c r="Y1423" i="12"/>
  <c r="Z1423" i="12"/>
  <c r="AA1423" i="12"/>
  <c r="AI1423" i="12"/>
  <c r="AJ1423" i="12"/>
  <c r="AK1423" i="12"/>
  <c r="AL1423" i="12"/>
  <c r="AM1423" i="12"/>
  <c r="A1424" i="12"/>
  <c r="DH1424" i="12" s="1" a="1"/>
  <c r="B1424" i="12"/>
  <c r="E1424" i="12" s="1"/>
  <c r="C1424" i="12"/>
  <c r="D1424" i="12"/>
  <c r="A1425" i="12"/>
  <c r="DH1425" i="12" s="1" a="1"/>
  <c r="B1425" i="12"/>
  <c r="E1425" i="12" s="1"/>
  <c r="C1425" i="12"/>
  <c r="D1425" i="12"/>
  <c r="A1426" i="12"/>
  <c r="DH1426" i="12" s="1" a="1"/>
  <c r="B1426" i="12"/>
  <c r="C1426" i="12"/>
  <c r="D1426" i="12"/>
  <c r="E1426" i="12"/>
  <c r="H1426" i="12"/>
  <c r="I1426" i="12"/>
  <c r="J1426" i="12"/>
  <c r="K1426" i="12"/>
  <c r="M1426" i="12"/>
  <c r="N1426" i="12"/>
  <c r="O1426" i="12"/>
  <c r="P1426" i="12"/>
  <c r="Q1426" i="12"/>
  <c r="R1426" i="12"/>
  <c r="S1426" i="12"/>
  <c r="T1426" i="12"/>
  <c r="U1426" i="12"/>
  <c r="V1426" i="12"/>
  <c r="W1426" i="12"/>
  <c r="X1426" i="12"/>
  <c r="Y1426" i="12"/>
  <c r="Z1426" i="12"/>
  <c r="AA1426" i="12"/>
  <c r="AI1426" i="12"/>
  <c r="AJ1426" i="12"/>
  <c r="AK1426" i="12"/>
  <c r="AL1426" i="12"/>
  <c r="AM1426" i="12"/>
  <c r="A1427" i="12"/>
  <c r="B1427" i="12"/>
  <c r="C1427" i="12"/>
  <c r="D1427" i="12"/>
  <c r="A1428" i="12"/>
  <c r="DH1428" i="12" s="1" a="1"/>
  <c r="B1428" i="12"/>
  <c r="C1428" i="12"/>
  <c r="D1428" i="12"/>
  <c r="E1428" i="12"/>
  <c r="M1428" i="12"/>
  <c r="N1428" i="12"/>
  <c r="O1428" i="12"/>
  <c r="P1428" i="12"/>
  <c r="Q1428" i="12"/>
  <c r="R1428" i="12"/>
  <c r="S1428" i="12"/>
  <c r="T1428" i="12"/>
  <c r="U1428" i="12"/>
  <c r="V1428" i="12"/>
  <c r="W1428" i="12"/>
  <c r="X1428" i="12"/>
  <c r="Y1428" i="12"/>
  <c r="Z1428" i="12"/>
  <c r="AA1428" i="12"/>
  <c r="AI1428" i="12"/>
  <c r="AJ1428" i="12"/>
  <c r="AK1428" i="12"/>
  <c r="AL1428" i="12"/>
  <c r="AM1428" i="12"/>
  <c r="A1401" i="12"/>
  <c r="B1401" i="12"/>
  <c r="C1401" i="12"/>
  <c r="D1401" i="12"/>
  <c r="A1402" i="12"/>
  <c r="DH1402" i="12" s="1" a="1"/>
  <c r="B1402" i="12"/>
  <c r="C1402" i="12"/>
  <c r="D1402" i="12"/>
  <c r="A1403" i="12"/>
  <c r="DH1403" i="12" s="1" a="1"/>
  <c r="B1403" i="12"/>
  <c r="E1403" i="12" s="1"/>
  <c r="C1403" i="12"/>
  <c r="D1403" i="12"/>
  <c r="A1404" i="12"/>
  <c r="DH1404" i="12" s="1" a="1"/>
  <c r="B1404" i="12"/>
  <c r="E1404" i="12" s="1"/>
  <c r="C1404" i="12"/>
  <c r="D1404" i="12"/>
  <c r="A1405" i="12"/>
  <c r="DH1405" i="12" s="1" a="1"/>
  <c r="B1405" i="12"/>
  <c r="C1405" i="12"/>
  <c r="D1405" i="12"/>
  <c r="E1405" i="12"/>
  <c r="F1405" i="12"/>
  <c r="G1405" i="12"/>
  <c r="H1405" i="12"/>
  <c r="I1405" i="12"/>
  <c r="J1405" i="12"/>
  <c r="K1405" i="12"/>
  <c r="M1405" i="12"/>
  <c r="N1405" i="12"/>
  <c r="O1405" i="12"/>
  <c r="P1405" i="12"/>
  <c r="Q1405" i="12"/>
  <c r="R1405" i="12"/>
  <c r="S1405" i="12"/>
  <c r="T1405" i="12"/>
  <c r="U1405" i="12"/>
  <c r="V1405" i="12"/>
  <c r="W1405" i="12"/>
  <c r="X1405" i="12"/>
  <c r="Y1405" i="12"/>
  <c r="Z1405" i="12"/>
  <c r="AA1405" i="12"/>
  <c r="AI1405" i="12"/>
  <c r="AJ1405" i="12"/>
  <c r="AK1405" i="12"/>
  <c r="AL1405" i="12"/>
  <c r="AM1405" i="12"/>
  <c r="A1406" i="12"/>
  <c r="DH1406" i="12" s="1" a="1"/>
  <c r="B1406" i="12"/>
  <c r="C1406" i="12"/>
  <c r="D1406" i="12"/>
  <c r="E1406" i="12"/>
  <c r="F1406" i="12" s="1"/>
  <c r="G1406" i="12"/>
  <c r="H1406" i="12"/>
  <c r="I1406" i="12"/>
  <c r="J1406" i="12"/>
  <c r="K1406" i="12"/>
  <c r="M1406" i="12"/>
  <c r="N1406" i="12"/>
  <c r="O1406" i="12"/>
  <c r="P1406" i="12"/>
  <c r="Q1406" i="12"/>
  <c r="R1406" i="12"/>
  <c r="S1406" i="12"/>
  <c r="T1406" i="12"/>
  <c r="U1406" i="12"/>
  <c r="V1406" i="12"/>
  <c r="W1406" i="12"/>
  <c r="X1406" i="12"/>
  <c r="Y1406" i="12"/>
  <c r="Z1406" i="12"/>
  <c r="AA1406" i="12"/>
  <c r="AI1406" i="12"/>
  <c r="AJ1406" i="12"/>
  <c r="AK1406" i="12"/>
  <c r="AL1406" i="12"/>
  <c r="AM1406" i="12"/>
  <c r="A1407" i="12"/>
  <c r="DH1407" i="12" s="1" a="1"/>
  <c r="B1407" i="12"/>
  <c r="C1407" i="12"/>
  <c r="D1407" i="12"/>
  <c r="E1407" i="12"/>
  <c r="F1407" i="12" s="1"/>
  <c r="G1407" i="12"/>
  <c r="H1407" i="12"/>
  <c r="I1407" i="12"/>
  <c r="J1407" i="12"/>
  <c r="K1407" i="12"/>
  <c r="M1407" i="12"/>
  <c r="N1407" i="12"/>
  <c r="O1407" i="12"/>
  <c r="P1407" i="12"/>
  <c r="Q1407" i="12"/>
  <c r="R1407" i="12"/>
  <c r="S1407" i="12"/>
  <c r="T1407" i="12"/>
  <c r="U1407" i="12"/>
  <c r="V1407" i="12"/>
  <c r="W1407" i="12"/>
  <c r="X1407" i="12"/>
  <c r="Y1407" i="12"/>
  <c r="Z1407" i="12"/>
  <c r="AA1407" i="12"/>
  <c r="AI1407" i="12"/>
  <c r="AJ1407" i="12"/>
  <c r="AK1407" i="12"/>
  <c r="AL1407" i="12"/>
  <c r="AM1407" i="12"/>
  <c r="A1408" i="12"/>
  <c r="DH1408" i="12" s="1" a="1"/>
  <c r="B1408" i="12"/>
  <c r="C1408" i="12"/>
  <c r="D1408" i="12"/>
  <c r="E1408" i="12"/>
  <c r="I1408" i="12"/>
  <c r="J1408" i="12"/>
  <c r="K1408" i="12"/>
  <c r="M1408" i="12"/>
  <c r="N1408" i="12"/>
  <c r="O1408" i="12"/>
  <c r="P1408" i="12"/>
  <c r="Q1408" i="12"/>
  <c r="R1408" i="12"/>
  <c r="S1408" i="12"/>
  <c r="T1408" i="12"/>
  <c r="U1408" i="12"/>
  <c r="V1408" i="12"/>
  <c r="W1408" i="12"/>
  <c r="X1408" i="12"/>
  <c r="Y1408" i="12"/>
  <c r="Z1408" i="12"/>
  <c r="AA1408" i="12"/>
  <c r="AI1408" i="12"/>
  <c r="AJ1408" i="12"/>
  <c r="AK1408" i="12"/>
  <c r="AL1408" i="12"/>
  <c r="AM1408" i="12"/>
  <c r="A1409" i="12"/>
  <c r="B1409" i="12"/>
  <c r="C1409" i="12"/>
  <c r="D1409" i="12"/>
  <c r="A1410" i="12"/>
  <c r="B1410" i="12"/>
  <c r="C1410" i="12"/>
  <c r="D1410" i="12"/>
  <c r="A1411" i="12"/>
  <c r="B1411" i="12"/>
  <c r="C1411" i="12"/>
  <c r="D1411" i="12"/>
  <c r="A1412" i="12"/>
  <c r="DH1412" i="12" s="1" a="1"/>
  <c r="B1412" i="12"/>
  <c r="C1412" i="12"/>
  <c r="D1412" i="12"/>
  <c r="E1412" i="12"/>
  <c r="I1412" i="12"/>
  <c r="J1412" i="12"/>
  <c r="K1412" i="12"/>
  <c r="M1412" i="12"/>
  <c r="N1412" i="12"/>
  <c r="O1412" i="12"/>
  <c r="P1412" i="12"/>
  <c r="Q1412" i="12"/>
  <c r="R1412" i="12"/>
  <c r="S1412" i="12"/>
  <c r="T1412" i="12"/>
  <c r="U1412" i="12"/>
  <c r="V1412" i="12"/>
  <c r="W1412" i="12"/>
  <c r="X1412" i="12"/>
  <c r="Y1412" i="12"/>
  <c r="Z1412" i="12"/>
  <c r="AA1412" i="12"/>
  <c r="AI1412" i="12"/>
  <c r="AJ1412" i="12"/>
  <c r="AK1412" i="12"/>
  <c r="AL1412" i="12"/>
  <c r="AM1412" i="12"/>
  <c r="A1413" i="12"/>
  <c r="DH1413" i="12" s="1" a="1"/>
  <c r="B1413" i="12"/>
  <c r="C1413" i="12"/>
  <c r="D1413" i="12"/>
  <c r="E1413" i="12"/>
  <c r="F1413" i="12"/>
  <c r="G1413" i="12"/>
  <c r="H1413" i="12"/>
  <c r="I1413" i="12"/>
  <c r="J1413" i="12"/>
  <c r="K1413" i="12"/>
  <c r="M1413" i="12"/>
  <c r="N1413" i="12"/>
  <c r="O1413" i="12"/>
  <c r="P1413" i="12"/>
  <c r="Q1413" i="12"/>
  <c r="R1413" i="12"/>
  <c r="S1413" i="12"/>
  <c r="T1413" i="12"/>
  <c r="U1413" i="12"/>
  <c r="V1413" i="12"/>
  <c r="W1413" i="12"/>
  <c r="X1413" i="12"/>
  <c r="Y1413" i="12"/>
  <c r="Z1413" i="12"/>
  <c r="AA1413" i="12"/>
  <c r="AC1413" i="12"/>
  <c r="AI1413" i="12"/>
  <c r="AJ1413" i="12"/>
  <c r="AK1413" i="12"/>
  <c r="AL1413" i="12"/>
  <c r="AM1413" i="12"/>
  <c r="A1414" i="12"/>
  <c r="DH1414" i="12" s="1" a="1"/>
  <c r="B1414" i="12"/>
  <c r="C1414" i="12"/>
  <c r="D1414" i="12"/>
  <c r="E1414" i="12"/>
  <c r="K1414" i="12"/>
  <c r="M1414" i="12"/>
  <c r="N1414" i="12"/>
  <c r="O1414" i="12"/>
  <c r="P1414" i="12"/>
  <c r="Q1414" i="12"/>
  <c r="R1414" i="12"/>
  <c r="S1414" i="12"/>
  <c r="T1414" i="12"/>
  <c r="U1414" i="12"/>
  <c r="V1414" i="12"/>
  <c r="W1414" i="12"/>
  <c r="X1414" i="12"/>
  <c r="Y1414" i="12"/>
  <c r="Z1414" i="12"/>
  <c r="AA1414" i="12"/>
  <c r="AI1414" i="12"/>
  <c r="AJ1414" i="12"/>
  <c r="AK1414" i="12"/>
  <c r="AL1414" i="12"/>
  <c r="AM1414" i="12"/>
  <c r="A1387" i="12"/>
  <c r="DH1387" i="12" s="1" a="1"/>
  <c r="B1387" i="12"/>
  <c r="C1387" i="12"/>
  <c r="D1387" i="12"/>
  <c r="E1387" i="12"/>
  <c r="H1387" i="12"/>
  <c r="I1387" i="12"/>
  <c r="J1387" i="12"/>
  <c r="K1387" i="12"/>
  <c r="M1387" i="12"/>
  <c r="N1387" i="12"/>
  <c r="O1387" i="12"/>
  <c r="P1387" i="12"/>
  <c r="Q1387" i="12"/>
  <c r="R1387" i="12"/>
  <c r="S1387" i="12"/>
  <c r="T1387" i="12"/>
  <c r="U1387" i="12"/>
  <c r="V1387" i="12"/>
  <c r="W1387" i="12"/>
  <c r="X1387" i="12"/>
  <c r="Y1387" i="12"/>
  <c r="Z1387" i="12"/>
  <c r="AA1387" i="12"/>
  <c r="AI1387" i="12"/>
  <c r="AJ1387" i="12"/>
  <c r="AK1387" i="12"/>
  <c r="AL1387" i="12"/>
  <c r="AM1387" i="12"/>
  <c r="A1388" i="12"/>
  <c r="DH1388" i="12" s="1" a="1"/>
  <c r="B1388" i="12"/>
  <c r="C1388" i="12"/>
  <c r="D1388" i="12"/>
  <c r="E1388" i="12"/>
  <c r="F1388" i="12"/>
  <c r="G1388" i="12"/>
  <c r="H1388" i="12"/>
  <c r="I1388" i="12"/>
  <c r="J1388" i="12"/>
  <c r="K1388" i="12"/>
  <c r="M1388" i="12"/>
  <c r="N1388" i="12"/>
  <c r="O1388" i="12"/>
  <c r="P1388" i="12"/>
  <c r="Q1388" i="12"/>
  <c r="R1388" i="12"/>
  <c r="S1388" i="12"/>
  <c r="T1388" i="12"/>
  <c r="U1388" i="12"/>
  <c r="V1388" i="12"/>
  <c r="W1388" i="12"/>
  <c r="X1388" i="12"/>
  <c r="Y1388" i="12"/>
  <c r="Z1388" i="12"/>
  <c r="AA1388" i="12"/>
  <c r="AC1388" i="12"/>
  <c r="AI1388" i="12"/>
  <c r="AJ1388" i="12"/>
  <c r="AK1388" i="12"/>
  <c r="AL1388" i="12"/>
  <c r="AM1388" i="12"/>
  <c r="A1389" i="12"/>
  <c r="DH1389" i="12" s="1" a="1"/>
  <c r="B1389" i="12"/>
  <c r="C1389" i="12"/>
  <c r="D1389" i="12"/>
  <c r="E1389" i="12"/>
  <c r="A1390" i="12"/>
  <c r="DH1390" i="12" s="1" a="1"/>
  <c r="B1390" i="12"/>
  <c r="C1390" i="12"/>
  <c r="D1390" i="12"/>
  <c r="E1390" i="12"/>
  <c r="F1390" i="12"/>
  <c r="G1390" i="12"/>
  <c r="H1390" i="12"/>
  <c r="I1390" i="12"/>
  <c r="J1390" i="12"/>
  <c r="K1390" i="12"/>
  <c r="M1390" i="12"/>
  <c r="N1390" i="12"/>
  <c r="O1390" i="12"/>
  <c r="P1390" i="12"/>
  <c r="Q1390" i="12"/>
  <c r="R1390" i="12"/>
  <c r="S1390" i="12"/>
  <c r="T1390" i="12"/>
  <c r="U1390" i="12"/>
  <c r="V1390" i="12"/>
  <c r="W1390" i="12"/>
  <c r="X1390" i="12"/>
  <c r="Y1390" i="12"/>
  <c r="Z1390" i="12"/>
  <c r="AA1390" i="12"/>
  <c r="A1391" i="12"/>
  <c r="DH1391" i="12" s="1" a="1"/>
  <c r="B1391" i="12"/>
  <c r="C1391" i="12"/>
  <c r="D1391" i="12"/>
  <c r="E1391" i="12"/>
  <c r="F1391" i="12"/>
  <c r="G1391" i="12"/>
  <c r="H1391" i="12"/>
  <c r="A1392" i="12"/>
  <c r="DH1392" i="12" s="1" a="1"/>
  <c r="B1392" i="12"/>
  <c r="C1392" i="12"/>
  <c r="D1392" i="12"/>
  <c r="E1392" i="12"/>
  <c r="F1392" i="12"/>
  <c r="G1392" i="12"/>
  <c r="H1392" i="12"/>
  <c r="I1392" i="12"/>
  <c r="J1392" i="12"/>
  <c r="K1392" i="12"/>
  <c r="M1392" i="12"/>
  <c r="N1392" i="12"/>
  <c r="O1392" i="12"/>
  <c r="P1392" i="12"/>
  <c r="Q1392" i="12"/>
  <c r="R1392" i="12"/>
  <c r="S1392" i="12"/>
  <c r="T1392" i="12"/>
  <c r="U1392" i="12"/>
  <c r="V1392" i="12"/>
  <c r="W1392" i="12"/>
  <c r="X1392" i="12"/>
  <c r="Y1392" i="12"/>
  <c r="Z1392" i="12"/>
  <c r="AA1392" i="12"/>
  <c r="AI1392" i="12"/>
  <c r="AJ1392" i="12"/>
  <c r="AK1392" i="12"/>
  <c r="AL1392" i="12"/>
  <c r="AM1392" i="12"/>
  <c r="A1393" i="12"/>
  <c r="DH1393" i="12" s="1" a="1"/>
  <c r="B1393" i="12"/>
  <c r="C1393" i="12"/>
  <c r="D1393" i="12"/>
  <c r="E1393" i="12"/>
  <c r="F1393" i="12"/>
  <c r="G1393" i="12"/>
  <c r="H1393" i="12"/>
  <c r="I1393" i="12"/>
  <c r="J1393" i="12"/>
  <c r="K1393" i="12"/>
  <c r="M1393" i="12"/>
  <c r="N1393" i="12"/>
  <c r="O1393" i="12"/>
  <c r="P1393" i="12"/>
  <c r="Q1393" i="12"/>
  <c r="R1393" i="12"/>
  <c r="S1393" i="12"/>
  <c r="T1393" i="12"/>
  <c r="U1393" i="12"/>
  <c r="V1393" i="12"/>
  <c r="W1393" i="12"/>
  <c r="X1393" i="12"/>
  <c r="Y1393" i="12"/>
  <c r="Z1393" i="12"/>
  <c r="AA1393" i="12"/>
  <c r="AC1393" i="12"/>
  <c r="AI1393" i="12"/>
  <c r="AJ1393" i="12"/>
  <c r="AK1393" i="12"/>
  <c r="AL1393" i="12"/>
  <c r="AM1393" i="12"/>
  <c r="A1394" i="12"/>
  <c r="DH1394" i="12" s="1" a="1"/>
  <c r="B1394" i="12"/>
  <c r="C1394" i="12"/>
  <c r="D1394" i="12"/>
  <c r="E1394" i="12"/>
  <c r="F1394" i="12"/>
  <c r="G1394" i="12"/>
  <c r="H1394" i="12"/>
  <c r="I1394" i="12"/>
  <c r="J1394" i="12"/>
  <c r="K1394" i="12"/>
  <c r="M1394" i="12"/>
  <c r="N1394" i="12"/>
  <c r="O1394" i="12"/>
  <c r="P1394" i="12"/>
  <c r="Q1394" i="12"/>
  <c r="R1394" i="12"/>
  <c r="S1394" i="12"/>
  <c r="T1394" i="12"/>
  <c r="U1394" i="12"/>
  <c r="V1394" i="12"/>
  <c r="W1394" i="12"/>
  <c r="X1394" i="12"/>
  <c r="Y1394" i="12"/>
  <c r="Z1394" i="12"/>
  <c r="AA1394" i="12"/>
  <c r="AI1394" i="12"/>
  <c r="AJ1394" i="12"/>
  <c r="AK1394" i="12"/>
  <c r="AL1394" i="12"/>
  <c r="AM1394" i="12"/>
  <c r="A1395" i="12"/>
  <c r="DH1395" i="12" s="1" a="1"/>
  <c r="B1395" i="12"/>
  <c r="C1395" i="12"/>
  <c r="D1395" i="12"/>
  <c r="E1395" i="12"/>
  <c r="F1395" i="12"/>
  <c r="G1395" i="12"/>
  <c r="H1395" i="12"/>
  <c r="I1395" i="12"/>
  <c r="J1395" i="12"/>
  <c r="K1395" i="12"/>
  <c r="M1395" i="12"/>
  <c r="N1395" i="12"/>
  <c r="O1395" i="12"/>
  <c r="P1395" i="12"/>
  <c r="Q1395" i="12"/>
  <c r="R1395" i="12"/>
  <c r="S1395" i="12"/>
  <c r="T1395" i="12"/>
  <c r="U1395" i="12"/>
  <c r="V1395" i="12"/>
  <c r="W1395" i="12"/>
  <c r="X1395" i="12"/>
  <c r="Y1395" i="12"/>
  <c r="Z1395" i="12"/>
  <c r="AA1395" i="12"/>
  <c r="AI1395" i="12"/>
  <c r="AJ1395" i="12"/>
  <c r="AK1395" i="12"/>
  <c r="AL1395" i="12"/>
  <c r="AM1395" i="12"/>
  <c r="A1396" i="12"/>
  <c r="DH1396" i="12" s="1" a="1"/>
  <c r="B1396" i="12"/>
  <c r="C1396" i="12"/>
  <c r="D1396" i="12"/>
  <c r="E1396" i="12"/>
  <c r="F1396" i="12"/>
  <c r="G1396" i="12"/>
  <c r="H1396" i="12"/>
  <c r="I1396" i="12"/>
  <c r="J1396" i="12"/>
  <c r="K1396" i="12"/>
  <c r="M1396" i="12"/>
  <c r="N1396" i="12"/>
  <c r="O1396" i="12"/>
  <c r="P1396" i="12"/>
  <c r="Q1396" i="12"/>
  <c r="R1396" i="12"/>
  <c r="S1396" i="12"/>
  <c r="T1396" i="12"/>
  <c r="U1396" i="12"/>
  <c r="V1396" i="12"/>
  <c r="W1396" i="12"/>
  <c r="X1396" i="12"/>
  <c r="Y1396" i="12"/>
  <c r="Z1396" i="12"/>
  <c r="AA1396" i="12"/>
  <c r="AI1396" i="12"/>
  <c r="AJ1396" i="12"/>
  <c r="AK1396" i="12"/>
  <c r="AL1396" i="12"/>
  <c r="AM1396" i="12"/>
  <c r="A1397" i="12"/>
  <c r="DH1397" i="12" s="1" a="1"/>
  <c r="B1397" i="12"/>
  <c r="C1397" i="12"/>
  <c r="D1397" i="12"/>
  <c r="E1397" i="12"/>
  <c r="F1397" i="12"/>
  <c r="G1397" i="12"/>
  <c r="H1397" i="12"/>
  <c r="I1397" i="12"/>
  <c r="J1397" i="12"/>
  <c r="K1397" i="12"/>
  <c r="M1397" i="12"/>
  <c r="N1397" i="12"/>
  <c r="O1397" i="12"/>
  <c r="P1397" i="12"/>
  <c r="Q1397" i="12"/>
  <c r="R1397" i="12"/>
  <c r="S1397" i="12"/>
  <c r="T1397" i="12"/>
  <c r="U1397" i="12"/>
  <c r="V1397" i="12"/>
  <c r="W1397" i="12"/>
  <c r="X1397" i="12"/>
  <c r="Y1397" i="12"/>
  <c r="Z1397" i="12"/>
  <c r="AA1397" i="12"/>
  <c r="AC1397" i="12"/>
  <c r="AI1397" i="12"/>
  <c r="A1398" i="12"/>
  <c r="DH1398" i="12" s="1" a="1"/>
  <c r="B1398" i="12"/>
  <c r="C1398" i="12"/>
  <c r="D1398" i="12"/>
  <c r="E1398" i="12"/>
  <c r="F1398" i="12"/>
  <c r="G1398" i="12"/>
  <c r="H1398" i="12"/>
  <c r="I1398" i="12"/>
  <c r="J1398" i="12"/>
  <c r="K1398" i="12"/>
  <c r="M1398" i="12"/>
  <c r="N1398" i="12"/>
  <c r="O1398" i="12"/>
  <c r="P1398" i="12"/>
  <c r="Q1398" i="12"/>
  <c r="R1398" i="12"/>
  <c r="S1398" i="12"/>
  <c r="T1398" i="12"/>
  <c r="U1398" i="12"/>
  <c r="V1398" i="12"/>
  <c r="W1398" i="12"/>
  <c r="X1398" i="12"/>
  <c r="Y1398" i="12"/>
  <c r="Z1398" i="12"/>
  <c r="A1399" i="12"/>
  <c r="DH1399" i="12" s="1" a="1"/>
  <c r="B1399" i="12"/>
  <c r="C1399" i="12"/>
  <c r="D1399" i="12"/>
  <c r="E1399" i="12"/>
  <c r="F1399" i="12"/>
  <c r="G1399" i="12"/>
  <c r="H1399" i="12"/>
  <c r="I1399" i="12"/>
  <c r="J1399" i="12"/>
  <c r="K1399" i="12"/>
  <c r="M1399" i="12"/>
  <c r="N1399" i="12"/>
  <c r="O1399" i="12"/>
  <c r="P1399" i="12"/>
  <c r="Q1399" i="12"/>
  <c r="R1399" i="12"/>
  <c r="S1399" i="12"/>
  <c r="T1399" i="12"/>
  <c r="U1399" i="12"/>
  <c r="V1399" i="12"/>
  <c r="W1399" i="12"/>
  <c r="X1399" i="12"/>
  <c r="Y1399" i="12"/>
  <c r="Z1399" i="12"/>
  <c r="AA1399" i="12"/>
  <c r="AC1399" i="12"/>
  <c r="AI1399" i="12"/>
  <c r="AJ1399" i="12"/>
  <c r="AK1399" i="12"/>
  <c r="AL1399" i="12"/>
  <c r="AM1399" i="12"/>
  <c r="A1400" i="12"/>
  <c r="DH1400" i="12" s="1" a="1"/>
  <c r="B1400" i="12"/>
  <c r="C1400" i="12"/>
  <c r="D1400" i="12"/>
  <c r="E1400" i="12"/>
  <c r="F1400" i="12"/>
  <c r="G1400" i="12"/>
  <c r="H1400" i="12"/>
  <c r="I1400" i="12"/>
  <c r="J1400" i="12"/>
  <c r="K1400" i="12"/>
  <c r="M1400" i="12"/>
  <c r="N1400" i="12"/>
  <c r="O1400" i="12"/>
  <c r="P1400" i="12"/>
  <c r="Q1400" i="12"/>
  <c r="R1400" i="12"/>
  <c r="S1400" i="12"/>
  <c r="T1400" i="12"/>
  <c r="U1400" i="12"/>
  <c r="V1400" i="12"/>
  <c r="W1400" i="12"/>
  <c r="X1400" i="12"/>
  <c r="Y1400" i="12"/>
  <c r="Z1400" i="12"/>
  <c r="AA1400" i="12"/>
  <c r="AC1400" i="12"/>
  <c r="AI1400" i="12"/>
  <c r="AJ1400" i="12"/>
  <c r="AK1400" i="12"/>
  <c r="AL1400" i="12"/>
  <c r="AM1400" i="12"/>
  <c r="A1373" i="12"/>
  <c r="DH1373" i="12" s="1" a="1"/>
  <c r="B1373" i="12"/>
  <c r="C1373" i="12"/>
  <c r="D1373" i="12"/>
  <c r="E1373" i="12"/>
  <c r="F1373" i="12"/>
  <c r="G1373" i="12"/>
  <c r="H1373" i="12"/>
  <c r="I1373" i="12"/>
  <c r="J1373" i="12"/>
  <c r="K1373" i="12"/>
  <c r="M1373" i="12"/>
  <c r="N1373" i="12"/>
  <c r="O1373" i="12"/>
  <c r="P1373" i="12"/>
  <c r="Q1373" i="12"/>
  <c r="R1373" i="12"/>
  <c r="S1373" i="12"/>
  <c r="T1373" i="12"/>
  <c r="U1373" i="12"/>
  <c r="V1373" i="12"/>
  <c r="W1373" i="12"/>
  <c r="X1373" i="12"/>
  <c r="Y1373" i="12"/>
  <c r="Z1373" i="12"/>
  <c r="AA1373" i="12"/>
  <c r="A1374" i="12"/>
  <c r="DH1374" i="12" s="1" a="1"/>
  <c r="B1374" i="12"/>
  <c r="C1374" i="12"/>
  <c r="D1374" i="12"/>
  <c r="E1374" i="12"/>
  <c r="F1374" i="12"/>
  <c r="G1374" i="12"/>
  <c r="AC1374" i="12" s="1"/>
  <c r="H1374" i="12"/>
  <c r="I1374" i="12"/>
  <c r="J1374" i="12"/>
  <c r="K1374" i="12"/>
  <c r="M1374" i="12"/>
  <c r="N1374" i="12"/>
  <c r="O1374" i="12"/>
  <c r="P1374" i="12"/>
  <c r="Q1374" i="12"/>
  <c r="R1374" i="12"/>
  <c r="S1374" i="12"/>
  <c r="T1374" i="12"/>
  <c r="U1374" i="12"/>
  <c r="V1374" i="12"/>
  <c r="W1374" i="12"/>
  <c r="X1374" i="12"/>
  <c r="Y1374" i="12"/>
  <c r="Z1374" i="12"/>
  <c r="AA1374" i="12"/>
  <c r="AI1374" i="12"/>
  <c r="AJ1374" i="12"/>
  <c r="AK1374" i="12"/>
  <c r="AL1374" i="12"/>
  <c r="AM1374" i="12"/>
  <c r="A1375" i="12"/>
  <c r="DH1375" i="12" s="1" a="1"/>
  <c r="B1375" i="12"/>
  <c r="C1375" i="12"/>
  <c r="D1375" i="12"/>
  <c r="E1375" i="12"/>
  <c r="F1375" i="12"/>
  <c r="G1375" i="12"/>
  <c r="H1375" i="12"/>
  <c r="I1375" i="12"/>
  <c r="J1375" i="12"/>
  <c r="K1375" i="12"/>
  <c r="M1375" i="12"/>
  <c r="N1375" i="12"/>
  <c r="O1375" i="12"/>
  <c r="P1375" i="12"/>
  <c r="Q1375" i="12"/>
  <c r="R1375" i="12"/>
  <c r="S1375" i="12"/>
  <c r="T1375" i="12"/>
  <c r="U1375" i="12"/>
  <c r="V1375" i="12"/>
  <c r="W1375" i="12"/>
  <c r="X1375" i="12"/>
  <c r="Y1375" i="12"/>
  <c r="Z1375" i="12"/>
  <c r="AA1375" i="12"/>
  <c r="AI1375" i="12"/>
  <c r="AJ1375" i="12"/>
  <c r="AK1375" i="12"/>
  <c r="AL1375" i="12"/>
  <c r="AM1375" i="12"/>
  <c r="A1376" i="12"/>
  <c r="DH1376" i="12" s="1" a="1"/>
  <c r="B1376" i="12"/>
  <c r="C1376" i="12"/>
  <c r="D1376" i="12"/>
  <c r="E1376" i="12"/>
  <c r="F1376" i="12"/>
  <c r="G1376" i="12"/>
  <c r="H1376" i="12"/>
  <c r="I1376" i="12"/>
  <c r="J1376" i="12"/>
  <c r="K1376" i="12"/>
  <c r="M1376" i="12"/>
  <c r="N1376" i="12"/>
  <c r="O1376" i="12"/>
  <c r="P1376" i="12"/>
  <c r="Q1376" i="12"/>
  <c r="R1376" i="12"/>
  <c r="S1376" i="12"/>
  <c r="T1376" i="12"/>
  <c r="U1376" i="12"/>
  <c r="V1376" i="12"/>
  <c r="W1376" i="12"/>
  <c r="X1376" i="12"/>
  <c r="Y1376" i="12"/>
  <c r="Z1376" i="12"/>
  <c r="AA1376" i="12"/>
  <c r="AC1376" i="12"/>
  <c r="AI1376" i="12"/>
  <c r="AJ1376" i="12"/>
  <c r="AK1376" i="12"/>
  <c r="AL1376" i="12"/>
  <c r="AM1376" i="12"/>
  <c r="A1377" i="12"/>
  <c r="DH1377" i="12" s="1" a="1"/>
  <c r="B1377" i="12"/>
  <c r="C1377" i="12"/>
  <c r="D1377" i="12"/>
  <c r="E1377" i="12"/>
  <c r="F1377" i="12"/>
  <c r="G1377" i="12"/>
  <c r="H1377" i="12"/>
  <c r="I1377" i="12"/>
  <c r="J1377" i="12"/>
  <c r="K1377" i="12"/>
  <c r="M1377" i="12"/>
  <c r="N1377" i="12"/>
  <c r="O1377" i="12"/>
  <c r="P1377" i="12"/>
  <c r="Q1377" i="12"/>
  <c r="R1377" i="12"/>
  <c r="S1377" i="12"/>
  <c r="T1377" i="12"/>
  <c r="U1377" i="12"/>
  <c r="V1377" i="12"/>
  <c r="W1377" i="12"/>
  <c r="X1377" i="12"/>
  <c r="Y1377" i="12"/>
  <c r="Z1377" i="12"/>
  <c r="AA1377" i="12"/>
  <c r="AC1377" i="12"/>
  <c r="AI1377" i="12"/>
  <c r="AJ1377" i="12"/>
  <c r="AK1377" i="12"/>
  <c r="AL1377" i="12"/>
  <c r="AM1377" i="12"/>
  <c r="A1378" i="12"/>
  <c r="DH1378" i="12" s="1" a="1"/>
  <c r="B1378" i="12"/>
  <c r="C1378" i="12"/>
  <c r="D1378" i="12"/>
  <c r="E1378" i="12"/>
  <c r="F1378" i="12"/>
  <c r="G1378" i="12"/>
  <c r="H1378" i="12"/>
  <c r="I1378" i="12"/>
  <c r="J1378" i="12"/>
  <c r="K1378" i="12"/>
  <c r="M1378" i="12"/>
  <c r="N1378" i="12"/>
  <c r="O1378" i="12"/>
  <c r="P1378" i="12"/>
  <c r="Q1378" i="12"/>
  <c r="R1378" i="12"/>
  <c r="S1378" i="12"/>
  <c r="T1378" i="12"/>
  <c r="U1378" i="12"/>
  <c r="V1378" i="12"/>
  <c r="W1378" i="12"/>
  <c r="X1378" i="12"/>
  <c r="Y1378" i="12"/>
  <c r="Z1378" i="12"/>
  <c r="AA1378" i="12"/>
  <c r="AI1378" i="12"/>
  <c r="AJ1378" i="12"/>
  <c r="AK1378" i="12"/>
  <c r="AL1378" i="12"/>
  <c r="AM1378" i="12"/>
  <c r="A1379" i="12"/>
  <c r="DH1379" i="12" s="1" a="1"/>
  <c r="B1379" i="12"/>
  <c r="C1379" i="12"/>
  <c r="D1379" i="12"/>
  <c r="E1379" i="12"/>
  <c r="F1379" i="12"/>
  <c r="G1379" i="12"/>
  <c r="H1379" i="12"/>
  <c r="I1379" i="12"/>
  <c r="J1379" i="12"/>
  <c r="K1379" i="12"/>
  <c r="A1380" i="12"/>
  <c r="DH1380" i="12" s="1" a="1"/>
  <c r="B1380" i="12"/>
  <c r="C1380" i="12"/>
  <c r="D1380" i="12"/>
  <c r="E1380" i="12"/>
  <c r="F1380" i="12"/>
  <c r="G1380" i="12"/>
  <c r="H1380" i="12"/>
  <c r="I1380" i="12"/>
  <c r="J1380" i="12"/>
  <c r="K1380" i="12"/>
  <c r="M1380" i="12"/>
  <c r="N1380" i="12"/>
  <c r="O1380" i="12"/>
  <c r="P1380" i="12"/>
  <c r="Q1380" i="12"/>
  <c r="R1380" i="12"/>
  <c r="S1380" i="12"/>
  <c r="T1380" i="12"/>
  <c r="U1380" i="12"/>
  <c r="V1380" i="12"/>
  <c r="W1380" i="12"/>
  <c r="X1380" i="12"/>
  <c r="Y1380" i="12"/>
  <c r="Z1380" i="12"/>
  <c r="AA1380" i="12"/>
  <c r="AI1380" i="12"/>
  <c r="AJ1380" i="12"/>
  <c r="AK1380" i="12"/>
  <c r="AL1380" i="12"/>
  <c r="AM1380" i="12"/>
  <c r="A1381" i="12"/>
  <c r="DH1381" i="12" s="1" a="1"/>
  <c r="B1381" i="12"/>
  <c r="C1381" i="12"/>
  <c r="D1381" i="12"/>
  <c r="E1381" i="12"/>
  <c r="F1381" i="12"/>
  <c r="G1381" i="12"/>
  <c r="H1381" i="12"/>
  <c r="I1381" i="12"/>
  <c r="J1381" i="12"/>
  <c r="K1381" i="12"/>
  <c r="M1381" i="12"/>
  <c r="N1381" i="12"/>
  <c r="O1381" i="12"/>
  <c r="P1381" i="12"/>
  <c r="Q1381" i="12"/>
  <c r="R1381" i="12"/>
  <c r="S1381" i="12"/>
  <c r="T1381" i="12"/>
  <c r="U1381" i="12"/>
  <c r="V1381" i="12"/>
  <c r="W1381" i="12"/>
  <c r="X1381" i="12"/>
  <c r="Y1381" i="12"/>
  <c r="Z1381" i="12"/>
  <c r="AA1381" i="12"/>
  <c r="AC1381" i="12"/>
  <c r="AI1381" i="12"/>
  <c r="AJ1381" i="12"/>
  <c r="AK1381" i="12"/>
  <c r="AL1381" i="12"/>
  <c r="AM1381" i="12"/>
  <c r="A1382" i="12"/>
  <c r="DH1382" i="12" s="1" a="1"/>
  <c r="B1382" i="12"/>
  <c r="C1382" i="12"/>
  <c r="D1382" i="12"/>
  <c r="E1382" i="12"/>
  <c r="F1382" i="12"/>
  <c r="G1382" i="12"/>
  <c r="H1382" i="12"/>
  <c r="I1382" i="12"/>
  <c r="J1382" i="12"/>
  <c r="K1382" i="12"/>
  <c r="M1382" i="12"/>
  <c r="N1382" i="12"/>
  <c r="O1382" i="12"/>
  <c r="P1382" i="12"/>
  <c r="Q1382" i="12"/>
  <c r="R1382" i="12"/>
  <c r="S1382" i="12"/>
  <c r="T1382" i="12"/>
  <c r="U1382" i="12"/>
  <c r="V1382" i="12"/>
  <c r="W1382" i="12"/>
  <c r="X1382" i="12"/>
  <c r="Y1382" i="12"/>
  <c r="Z1382" i="12"/>
  <c r="AA1382" i="12"/>
  <c r="AI1382" i="12"/>
  <c r="AJ1382" i="12"/>
  <c r="AK1382" i="12"/>
  <c r="AL1382" i="12"/>
  <c r="AM1382" i="12"/>
  <c r="A1383" i="12"/>
  <c r="DH1383" i="12" s="1" a="1"/>
  <c r="B1383" i="12"/>
  <c r="C1383" i="12"/>
  <c r="D1383" i="12"/>
  <c r="E1383" i="12"/>
  <c r="F1383" i="12"/>
  <c r="G1383" i="12"/>
  <c r="H1383" i="12"/>
  <c r="I1383" i="12"/>
  <c r="J1383" i="12"/>
  <c r="K1383" i="12"/>
  <c r="M1383" i="12"/>
  <c r="N1383" i="12"/>
  <c r="O1383" i="12"/>
  <c r="P1383" i="12"/>
  <c r="Q1383" i="12"/>
  <c r="R1383" i="12"/>
  <c r="S1383" i="12"/>
  <c r="T1383" i="12"/>
  <c r="U1383" i="12"/>
  <c r="V1383" i="12"/>
  <c r="W1383" i="12"/>
  <c r="X1383" i="12"/>
  <c r="Y1383" i="12"/>
  <c r="Z1383" i="12"/>
  <c r="AA1383" i="12"/>
  <c r="AI1383" i="12"/>
  <c r="AJ1383" i="12"/>
  <c r="AK1383" i="12"/>
  <c r="AL1383" i="12"/>
  <c r="AM1383" i="12"/>
  <c r="A1384" i="12"/>
  <c r="DH1384" i="12" s="1" a="1"/>
  <c r="B1384" i="12"/>
  <c r="C1384" i="12"/>
  <c r="D1384" i="12"/>
  <c r="E1384" i="12"/>
  <c r="F1384" i="12"/>
  <c r="G1384" i="12"/>
  <c r="AC1384" i="12" s="1"/>
  <c r="H1384" i="12"/>
  <c r="I1384" i="12"/>
  <c r="J1384" i="12"/>
  <c r="K1384" i="12"/>
  <c r="M1384" i="12"/>
  <c r="N1384" i="12"/>
  <c r="O1384" i="12"/>
  <c r="P1384" i="12"/>
  <c r="Q1384" i="12"/>
  <c r="R1384" i="12"/>
  <c r="S1384" i="12"/>
  <c r="T1384" i="12"/>
  <c r="U1384" i="12"/>
  <c r="V1384" i="12"/>
  <c r="W1384" i="12"/>
  <c r="X1384" i="12"/>
  <c r="Y1384" i="12"/>
  <c r="Z1384" i="12"/>
  <c r="AA1384" i="12"/>
  <c r="AI1384" i="12"/>
  <c r="AJ1384" i="12"/>
  <c r="AK1384" i="12"/>
  <c r="AL1384" i="12"/>
  <c r="AM1384" i="12"/>
  <c r="A1385" i="12"/>
  <c r="DH1385" i="12" s="1" a="1"/>
  <c r="B1385" i="12"/>
  <c r="C1385" i="12"/>
  <c r="D1385" i="12"/>
  <c r="E1385" i="12"/>
  <c r="F1385" i="12"/>
  <c r="G1385" i="12"/>
  <c r="A1386" i="12"/>
  <c r="DH1386" i="12" s="1" a="1"/>
  <c r="B1386" i="12"/>
  <c r="C1386" i="12"/>
  <c r="D1386" i="12"/>
  <c r="E1386" i="12"/>
  <c r="F1386" i="12"/>
  <c r="G1386" i="12"/>
  <c r="AC1386" i="12" s="1"/>
  <c r="H1386" i="12"/>
  <c r="I1386" i="12"/>
  <c r="J1386" i="12"/>
  <c r="K1386" i="12"/>
  <c r="M1386" i="12"/>
  <c r="N1386" i="12"/>
  <c r="O1386" i="12"/>
  <c r="P1386" i="12"/>
  <c r="Q1386" i="12"/>
  <c r="R1386" i="12"/>
  <c r="S1386" i="12"/>
  <c r="T1386" i="12"/>
  <c r="U1386" i="12"/>
  <c r="V1386" i="12"/>
  <c r="W1386" i="12"/>
  <c r="X1386" i="12"/>
  <c r="Y1386" i="12"/>
  <c r="Z1386" i="12"/>
  <c r="AA1386" i="12"/>
  <c r="AI1386" i="12"/>
  <c r="AJ1386" i="12"/>
  <c r="AK1386" i="12"/>
  <c r="AL1386" i="12"/>
  <c r="AM1386" i="12"/>
  <c r="A1359" i="12"/>
  <c r="DH1359" i="12" s="1" a="1"/>
  <c r="B1359" i="12"/>
  <c r="C1359" i="12"/>
  <c r="D1359" i="12"/>
  <c r="E1359" i="12"/>
  <c r="F1359" i="12"/>
  <c r="G1359" i="12"/>
  <c r="H1359" i="12"/>
  <c r="I1359" i="12"/>
  <c r="J1359" i="12"/>
  <c r="K1359" i="12"/>
  <c r="M1359" i="12"/>
  <c r="N1359" i="12"/>
  <c r="O1359" i="12"/>
  <c r="P1359" i="12"/>
  <c r="Q1359" i="12"/>
  <c r="R1359" i="12"/>
  <c r="S1359" i="12"/>
  <c r="T1359" i="12"/>
  <c r="U1359" i="12"/>
  <c r="V1359" i="12"/>
  <c r="W1359" i="12"/>
  <c r="X1359" i="12"/>
  <c r="Y1359" i="12"/>
  <c r="Z1359" i="12"/>
  <c r="AA1359" i="12"/>
  <c r="AC1359" i="12"/>
  <c r="AI1359" i="12"/>
  <c r="AJ1359" i="12"/>
  <c r="AK1359" i="12"/>
  <c r="AL1359" i="12"/>
  <c r="AM1359" i="12"/>
  <c r="A1360" i="12"/>
  <c r="DH1360" i="12" s="1" a="1"/>
  <c r="B1360" i="12"/>
  <c r="C1360" i="12"/>
  <c r="D1360" i="12"/>
  <c r="E1360" i="12"/>
  <c r="F1360" i="12"/>
  <c r="G1360" i="12"/>
  <c r="H1360" i="12"/>
  <c r="I1360" i="12"/>
  <c r="J1360" i="12"/>
  <c r="K1360" i="12"/>
  <c r="M1360" i="12"/>
  <c r="N1360" i="12"/>
  <c r="O1360" i="12"/>
  <c r="P1360" i="12"/>
  <c r="Q1360" i="12"/>
  <c r="R1360" i="12"/>
  <c r="S1360" i="12"/>
  <c r="T1360" i="12"/>
  <c r="U1360" i="12"/>
  <c r="V1360" i="12"/>
  <c r="W1360" i="12"/>
  <c r="X1360" i="12"/>
  <c r="Y1360" i="12"/>
  <c r="Z1360" i="12"/>
  <c r="AA1360" i="12"/>
  <c r="AC1360" i="12"/>
  <c r="AI1360" i="12"/>
  <c r="AJ1360" i="12"/>
  <c r="AK1360" i="12"/>
  <c r="AL1360" i="12"/>
  <c r="AM1360" i="12"/>
  <c r="A1361" i="12"/>
  <c r="DH1361" i="12" s="1" a="1"/>
  <c r="B1361" i="12"/>
  <c r="C1361" i="12"/>
  <c r="D1361" i="12"/>
  <c r="E1361" i="12"/>
  <c r="F1361" i="12"/>
  <c r="G1361" i="12"/>
  <c r="H1361" i="12"/>
  <c r="I1361" i="12"/>
  <c r="J1361" i="12"/>
  <c r="K1361" i="12"/>
  <c r="M1361" i="12"/>
  <c r="N1361" i="12"/>
  <c r="O1361" i="12"/>
  <c r="P1361" i="12"/>
  <c r="Q1361" i="12"/>
  <c r="R1361" i="12"/>
  <c r="S1361" i="12"/>
  <c r="T1361" i="12"/>
  <c r="U1361" i="12"/>
  <c r="V1361" i="12"/>
  <c r="W1361" i="12"/>
  <c r="X1361" i="12"/>
  <c r="Y1361" i="12"/>
  <c r="Z1361" i="12"/>
  <c r="AA1361" i="12"/>
  <c r="AI1361" i="12"/>
  <c r="AJ1361" i="12"/>
  <c r="AK1361" i="12"/>
  <c r="AL1361" i="12"/>
  <c r="AM1361" i="12"/>
  <c r="A1362" i="12"/>
  <c r="DH1362" i="12" s="1" a="1"/>
  <c r="B1362" i="12"/>
  <c r="C1362" i="12"/>
  <c r="D1362" i="12"/>
  <c r="E1362" i="12"/>
  <c r="F1362" i="12"/>
  <c r="AC1362" i="12" s="1"/>
  <c r="G1362" i="12"/>
  <c r="H1362" i="12"/>
  <c r="I1362" i="12"/>
  <c r="J1362" i="12"/>
  <c r="K1362" i="12"/>
  <c r="M1362" i="12"/>
  <c r="N1362" i="12"/>
  <c r="O1362" i="12"/>
  <c r="P1362" i="12"/>
  <c r="Q1362" i="12"/>
  <c r="R1362" i="12"/>
  <c r="S1362" i="12"/>
  <c r="T1362" i="12"/>
  <c r="U1362" i="12"/>
  <c r="V1362" i="12"/>
  <c r="W1362" i="12"/>
  <c r="X1362" i="12"/>
  <c r="Y1362" i="12"/>
  <c r="Z1362" i="12"/>
  <c r="AA1362" i="12"/>
  <c r="AI1362" i="12"/>
  <c r="AJ1362" i="12"/>
  <c r="AK1362" i="12"/>
  <c r="AL1362" i="12"/>
  <c r="AM1362" i="12"/>
  <c r="A1363" i="12"/>
  <c r="DH1363" i="12" s="1" a="1"/>
  <c r="B1363" i="12"/>
  <c r="C1363" i="12"/>
  <c r="D1363" i="12"/>
  <c r="E1363" i="12"/>
  <c r="F1363" i="12"/>
  <c r="G1363" i="12"/>
  <c r="H1363" i="12"/>
  <c r="I1363" i="12"/>
  <c r="J1363" i="12"/>
  <c r="K1363" i="12"/>
  <c r="M1363" i="12"/>
  <c r="N1363" i="12"/>
  <c r="O1363" i="12"/>
  <c r="P1363" i="12"/>
  <c r="Q1363" i="12"/>
  <c r="R1363" i="12"/>
  <c r="S1363" i="12"/>
  <c r="T1363" i="12"/>
  <c r="U1363" i="12"/>
  <c r="V1363" i="12"/>
  <c r="W1363" i="12"/>
  <c r="X1363" i="12"/>
  <c r="Y1363" i="12"/>
  <c r="Z1363" i="12"/>
  <c r="AA1363" i="12"/>
  <c r="AC1363" i="12"/>
  <c r="AI1363" i="12"/>
  <c r="AJ1363" i="12"/>
  <c r="AK1363" i="12"/>
  <c r="AL1363" i="12"/>
  <c r="AM1363" i="12"/>
  <c r="A1364" i="12"/>
  <c r="DH1364" i="12" s="1" a="1"/>
  <c r="B1364" i="12"/>
  <c r="C1364" i="12"/>
  <c r="D1364" i="12"/>
  <c r="E1364" i="12"/>
  <c r="F1364" i="12"/>
  <c r="G1364" i="12"/>
  <c r="H1364" i="12"/>
  <c r="I1364" i="12"/>
  <c r="J1364" i="12"/>
  <c r="K1364" i="12"/>
  <c r="M1364" i="12"/>
  <c r="N1364" i="12"/>
  <c r="O1364" i="12"/>
  <c r="P1364" i="12"/>
  <c r="Q1364" i="12"/>
  <c r="R1364" i="12"/>
  <c r="S1364" i="12"/>
  <c r="T1364" i="12"/>
  <c r="U1364" i="12"/>
  <c r="V1364" i="12"/>
  <c r="W1364" i="12"/>
  <c r="X1364" i="12"/>
  <c r="Y1364" i="12"/>
  <c r="Z1364" i="12"/>
  <c r="AA1364" i="12"/>
  <c r="AI1364" i="12"/>
  <c r="AJ1364" i="12"/>
  <c r="AK1364" i="12"/>
  <c r="AL1364" i="12"/>
  <c r="AM1364" i="12"/>
  <c r="A1365" i="12"/>
  <c r="DH1365" i="12" s="1" a="1"/>
  <c r="B1365" i="12"/>
  <c r="C1365" i="12"/>
  <c r="D1365" i="12"/>
  <c r="E1365" i="12"/>
  <c r="F1365" i="12"/>
  <c r="G1365" i="12"/>
  <c r="H1365" i="12"/>
  <c r="I1365" i="12"/>
  <c r="J1365" i="12"/>
  <c r="K1365" i="12"/>
  <c r="M1365" i="12"/>
  <c r="N1365" i="12"/>
  <c r="O1365" i="12"/>
  <c r="P1365" i="12"/>
  <c r="Q1365" i="12"/>
  <c r="R1365" i="12"/>
  <c r="S1365" i="12"/>
  <c r="T1365" i="12"/>
  <c r="U1365" i="12"/>
  <c r="V1365" i="12"/>
  <c r="W1365" i="12"/>
  <c r="X1365" i="12"/>
  <c r="Y1365" i="12"/>
  <c r="Z1365" i="12"/>
  <c r="AA1365" i="12"/>
  <c r="AC1365" i="12"/>
  <c r="AI1365" i="12"/>
  <c r="AJ1365" i="12"/>
  <c r="AK1365" i="12"/>
  <c r="AL1365" i="12"/>
  <c r="AM1365" i="12"/>
  <c r="A1366" i="12"/>
  <c r="DH1366" i="12" s="1" a="1"/>
  <c r="B1366" i="12"/>
  <c r="C1366" i="12"/>
  <c r="D1366" i="12"/>
  <c r="E1366" i="12"/>
  <c r="F1366" i="12"/>
  <c r="G1366" i="12"/>
  <c r="H1366" i="12"/>
  <c r="I1366" i="12"/>
  <c r="J1366" i="12"/>
  <c r="K1366" i="12"/>
  <c r="M1366" i="12"/>
  <c r="N1366" i="12"/>
  <c r="O1366" i="12"/>
  <c r="P1366" i="12"/>
  <c r="Q1366" i="12"/>
  <c r="R1366" i="12"/>
  <c r="S1366" i="12"/>
  <c r="T1366" i="12"/>
  <c r="U1366" i="12"/>
  <c r="V1366" i="12"/>
  <c r="W1366" i="12"/>
  <c r="X1366" i="12"/>
  <c r="Y1366" i="12"/>
  <c r="Z1366" i="12"/>
  <c r="AA1366" i="12"/>
  <c r="AC1366" i="12"/>
  <c r="AI1366" i="12"/>
  <c r="AJ1366" i="12"/>
  <c r="AK1366" i="12"/>
  <c r="AL1366" i="12"/>
  <c r="AM1366" i="12"/>
  <c r="A1367" i="12"/>
  <c r="DH1367" i="12" s="1" a="1"/>
  <c r="B1367" i="12"/>
  <c r="C1367" i="12"/>
  <c r="D1367" i="12"/>
  <c r="E1367" i="12"/>
  <c r="F1367" i="12"/>
  <c r="G1367" i="12"/>
  <c r="H1367" i="12"/>
  <c r="I1367" i="12"/>
  <c r="J1367" i="12"/>
  <c r="K1367" i="12"/>
  <c r="M1367" i="12"/>
  <c r="N1367" i="12"/>
  <c r="O1367" i="12"/>
  <c r="P1367" i="12"/>
  <c r="Q1367" i="12"/>
  <c r="R1367" i="12"/>
  <c r="S1367" i="12"/>
  <c r="T1367" i="12"/>
  <c r="U1367" i="12"/>
  <c r="V1367" i="12"/>
  <c r="W1367" i="12"/>
  <c r="X1367" i="12"/>
  <c r="Y1367" i="12"/>
  <c r="Z1367" i="12"/>
  <c r="AA1367" i="12"/>
  <c r="AI1367" i="12"/>
  <c r="AJ1367" i="12"/>
  <c r="AK1367" i="12"/>
  <c r="AL1367" i="12"/>
  <c r="AM1367" i="12"/>
  <c r="A1368" i="12"/>
  <c r="DH1368" i="12" s="1" a="1"/>
  <c r="B1368" i="12"/>
  <c r="C1368" i="12"/>
  <c r="D1368" i="12"/>
  <c r="E1368" i="12"/>
  <c r="F1368" i="12"/>
  <c r="G1368" i="12"/>
  <c r="H1368" i="12"/>
  <c r="I1368" i="12"/>
  <c r="J1368" i="12"/>
  <c r="K1368" i="12"/>
  <c r="M1368" i="12"/>
  <c r="N1368" i="12"/>
  <c r="O1368" i="12"/>
  <c r="P1368" i="12"/>
  <c r="Q1368" i="12"/>
  <c r="R1368" i="12"/>
  <c r="S1368" i="12"/>
  <c r="T1368" i="12"/>
  <c r="U1368" i="12"/>
  <c r="V1368" i="12"/>
  <c r="W1368" i="12"/>
  <c r="X1368" i="12"/>
  <c r="Y1368" i="12"/>
  <c r="Z1368" i="12"/>
  <c r="AA1368" i="12"/>
  <c r="AI1368" i="12"/>
  <c r="AJ1368" i="12"/>
  <c r="AK1368" i="12"/>
  <c r="AL1368" i="12"/>
  <c r="AM1368" i="12"/>
  <c r="A1369" i="12"/>
  <c r="DH1369" i="12" s="1" a="1"/>
  <c r="B1369" i="12"/>
  <c r="C1369" i="12"/>
  <c r="D1369" i="12"/>
  <c r="E1369" i="12"/>
  <c r="F1369" i="12"/>
  <c r="G1369" i="12"/>
  <c r="H1369" i="12"/>
  <c r="I1369" i="12"/>
  <c r="J1369" i="12"/>
  <c r="K1369" i="12"/>
  <c r="M1369" i="12"/>
  <c r="N1369" i="12"/>
  <c r="O1369" i="12"/>
  <c r="P1369" i="12"/>
  <c r="Q1369" i="12"/>
  <c r="R1369" i="12"/>
  <c r="S1369" i="12"/>
  <c r="T1369" i="12"/>
  <c r="U1369" i="12"/>
  <c r="V1369" i="12"/>
  <c r="W1369" i="12"/>
  <c r="X1369" i="12"/>
  <c r="Y1369" i="12"/>
  <c r="Z1369" i="12"/>
  <c r="AA1369" i="12"/>
  <c r="AI1369" i="12"/>
  <c r="AJ1369" i="12"/>
  <c r="AK1369" i="12"/>
  <c r="AL1369" i="12"/>
  <c r="AM1369" i="12"/>
  <c r="A1370" i="12"/>
  <c r="DH1370" i="12" s="1" a="1"/>
  <c r="B1370" i="12"/>
  <c r="C1370" i="12"/>
  <c r="D1370" i="12"/>
  <c r="E1370" i="12"/>
  <c r="F1370" i="12"/>
  <c r="G1370" i="12"/>
  <c r="H1370" i="12"/>
  <c r="I1370" i="12"/>
  <c r="J1370" i="12"/>
  <c r="K1370" i="12"/>
  <c r="M1370" i="12"/>
  <c r="N1370" i="12"/>
  <c r="O1370" i="12"/>
  <c r="P1370" i="12"/>
  <c r="Q1370" i="12"/>
  <c r="R1370" i="12"/>
  <c r="S1370" i="12"/>
  <c r="T1370" i="12"/>
  <c r="U1370" i="12"/>
  <c r="V1370" i="12"/>
  <c r="W1370" i="12"/>
  <c r="X1370" i="12"/>
  <c r="Y1370" i="12"/>
  <c r="Z1370" i="12"/>
  <c r="AA1370" i="12"/>
  <c r="AI1370" i="12"/>
  <c r="AJ1370" i="12"/>
  <c r="AK1370" i="12"/>
  <c r="AL1370" i="12"/>
  <c r="AM1370" i="12"/>
  <c r="A1371" i="12"/>
  <c r="DH1371" i="12" s="1" a="1"/>
  <c r="B1371" i="12"/>
  <c r="C1371" i="12"/>
  <c r="D1371" i="12"/>
  <c r="E1371" i="12"/>
  <c r="F1371" i="12"/>
  <c r="G1371" i="12"/>
  <c r="H1371" i="12"/>
  <c r="I1371" i="12"/>
  <c r="J1371" i="12"/>
  <c r="K1371" i="12"/>
  <c r="M1371" i="12"/>
  <c r="N1371" i="12"/>
  <c r="O1371" i="12"/>
  <c r="P1371" i="12"/>
  <c r="Q1371" i="12"/>
  <c r="R1371" i="12"/>
  <c r="S1371" i="12"/>
  <c r="T1371" i="12"/>
  <c r="U1371" i="12"/>
  <c r="V1371" i="12"/>
  <c r="W1371" i="12"/>
  <c r="X1371" i="12"/>
  <c r="Y1371" i="12"/>
  <c r="Z1371" i="12"/>
  <c r="AA1371" i="12"/>
  <c r="AC1371" i="12"/>
  <c r="AI1371" i="12"/>
  <c r="AJ1371" i="12"/>
  <c r="AK1371" i="12"/>
  <c r="AL1371" i="12"/>
  <c r="AM1371" i="12"/>
  <c r="A1372" i="12"/>
  <c r="DH1372" i="12" s="1" a="1"/>
  <c r="B1372" i="12"/>
  <c r="C1372" i="12"/>
  <c r="D1372" i="12"/>
  <c r="E1372" i="12"/>
  <c r="F1372" i="12"/>
  <c r="G1372" i="12"/>
  <c r="H1372" i="12"/>
  <c r="I1372" i="12"/>
  <c r="J1372" i="12"/>
  <c r="K1372" i="12"/>
  <c r="M1372" i="12"/>
  <c r="N1372" i="12"/>
  <c r="O1372" i="12"/>
  <c r="P1372" i="12"/>
  <c r="Q1372" i="12"/>
  <c r="R1372" i="12"/>
  <c r="S1372" i="12"/>
  <c r="T1372" i="12"/>
  <c r="U1372" i="12"/>
  <c r="V1372" i="12"/>
  <c r="W1372" i="12"/>
  <c r="X1372" i="12"/>
  <c r="Y1372" i="12"/>
  <c r="Z1372" i="12"/>
  <c r="AA1372" i="12"/>
  <c r="AI1372" i="12"/>
  <c r="AJ1372" i="12"/>
  <c r="AK1372" i="12"/>
  <c r="AL1372" i="12"/>
  <c r="AM1372" i="12"/>
  <c r="A1345" i="12"/>
  <c r="DH1345" i="12" s="1" a="1"/>
  <c r="B1345" i="12"/>
  <c r="C1345" i="12"/>
  <c r="D1345" i="12"/>
  <c r="E1345" i="12"/>
  <c r="F1345" i="12"/>
  <c r="G1345" i="12"/>
  <c r="H1345" i="12"/>
  <c r="I1345" i="12"/>
  <c r="J1345" i="12"/>
  <c r="K1345" i="12"/>
  <c r="M1345" i="12"/>
  <c r="N1345" i="12"/>
  <c r="O1345" i="12"/>
  <c r="P1345" i="12"/>
  <c r="Q1345" i="12"/>
  <c r="R1345" i="12"/>
  <c r="S1345" i="12"/>
  <c r="T1345" i="12"/>
  <c r="U1345" i="12"/>
  <c r="V1345" i="12"/>
  <c r="W1345" i="12"/>
  <c r="X1345" i="12"/>
  <c r="Y1345" i="12"/>
  <c r="Z1345" i="12"/>
  <c r="AA1345" i="12"/>
  <c r="AC1345" i="12"/>
  <c r="AI1345" i="12"/>
  <c r="AJ1345" i="12"/>
  <c r="AK1345" i="12"/>
  <c r="AL1345" i="12"/>
  <c r="AM1345" i="12"/>
  <c r="A1346" i="12"/>
  <c r="DH1346" i="12" s="1" a="1"/>
  <c r="B1346" i="12"/>
  <c r="C1346" i="12"/>
  <c r="D1346" i="12"/>
  <c r="E1346" i="12"/>
  <c r="F1346" i="12"/>
  <c r="G1346" i="12"/>
  <c r="H1346" i="12"/>
  <c r="I1346" i="12"/>
  <c r="J1346" i="12"/>
  <c r="K1346" i="12"/>
  <c r="M1346" i="12"/>
  <c r="N1346" i="12"/>
  <c r="O1346" i="12"/>
  <c r="P1346" i="12"/>
  <c r="Q1346" i="12"/>
  <c r="R1346" i="12"/>
  <c r="S1346" i="12"/>
  <c r="T1346" i="12"/>
  <c r="U1346" i="12"/>
  <c r="V1346" i="12"/>
  <c r="W1346" i="12"/>
  <c r="X1346" i="12"/>
  <c r="Y1346" i="12"/>
  <c r="Z1346" i="12"/>
  <c r="AA1346" i="12"/>
  <c r="AC1346" i="12"/>
  <c r="AI1346" i="12"/>
  <c r="AJ1346" i="12"/>
  <c r="AK1346" i="12"/>
  <c r="AL1346" i="12"/>
  <c r="AM1346" i="12"/>
  <c r="A1347" i="12"/>
  <c r="DH1347" i="12" s="1" a="1"/>
  <c r="B1347" i="12"/>
  <c r="C1347" i="12"/>
  <c r="D1347" i="12"/>
  <c r="E1347" i="12"/>
  <c r="F1347" i="12" s="1"/>
  <c r="G1347" i="12"/>
  <c r="H1347" i="12"/>
  <c r="I1347" i="12"/>
  <c r="J1347" i="12"/>
  <c r="K1347" i="12"/>
  <c r="M1347" i="12"/>
  <c r="N1347" i="12"/>
  <c r="O1347" i="12"/>
  <c r="P1347" i="12"/>
  <c r="Q1347" i="12"/>
  <c r="R1347" i="12"/>
  <c r="S1347" i="12"/>
  <c r="T1347" i="12"/>
  <c r="U1347" i="12"/>
  <c r="V1347" i="12"/>
  <c r="W1347" i="12"/>
  <c r="X1347" i="12"/>
  <c r="Y1347" i="12"/>
  <c r="Z1347" i="12"/>
  <c r="AA1347" i="12"/>
  <c r="AI1347" i="12"/>
  <c r="AJ1347" i="12"/>
  <c r="AK1347" i="12"/>
  <c r="AL1347" i="12"/>
  <c r="AM1347" i="12"/>
  <c r="A1348" i="12"/>
  <c r="DH1348" i="12" s="1" a="1"/>
  <c r="B1348" i="12"/>
  <c r="C1348" i="12"/>
  <c r="D1348" i="12"/>
  <c r="E1348" i="12"/>
  <c r="H1348" i="12"/>
  <c r="I1348" i="12"/>
  <c r="J1348" i="12"/>
  <c r="K1348" i="12"/>
  <c r="M1348" i="12"/>
  <c r="N1348" i="12"/>
  <c r="O1348" i="12"/>
  <c r="P1348" i="12"/>
  <c r="Q1348" i="12"/>
  <c r="R1348" i="12"/>
  <c r="S1348" i="12"/>
  <c r="T1348" i="12"/>
  <c r="U1348" i="12"/>
  <c r="V1348" i="12"/>
  <c r="W1348" i="12"/>
  <c r="X1348" i="12"/>
  <c r="Y1348" i="12"/>
  <c r="Z1348" i="12"/>
  <c r="AA1348" i="12"/>
  <c r="AI1348" i="12"/>
  <c r="AJ1348" i="12"/>
  <c r="AK1348" i="12"/>
  <c r="AL1348" i="12"/>
  <c r="AM1348" i="12"/>
  <c r="A1349" i="12"/>
  <c r="DH1349" i="12" s="1" a="1"/>
  <c r="B1349" i="12"/>
  <c r="C1349" i="12"/>
  <c r="D1349" i="12"/>
  <c r="E1349" i="12"/>
  <c r="F1349" i="12" s="1"/>
  <c r="G1349" i="12"/>
  <c r="H1349" i="12"/>
  <c r="I1349" i="12"/>
  <c r="J1349" i="12"/>
  <c r="K1349" i="12"/>
  <c r="M1349" i="12"/>
  <c r="N1349" i="12"/>
  <c r="O1349" i="12"/>
  <c r="P1349" i="12"/>
  <c r="Q1349" i="12"/>
  <c r="R1349" i="12"/>
  <c r="S1349" i="12"/>
  <c r="T1349" i="12"/>
  <c r="U1349" i="12"/>
  <c r="V1349" i="12"/>
  <c r="W1349" i="12"/>
  <c r="X1349" i="12"/>
  <c r="Y1349" i="12"/>
  <c r="Z1349" i="12"/>
  <c r="AA1349" i="12"/>
  <c r="AI1349" i="12"/>
  <c r="AJ1349" i="12"/>
  <c r="AK1349" i="12"/>
  <c r="AL1349" i="12"/>
  <c r="AM1349" i="12"/>
  <c r="A1350" i="12"/>
  <c r="DH1350" i="12" s="1" a="1"/>
  <c r="B1350" i="12"/>
  <c r="C1350" i="12"/>
  <c r="D1350" i="12"/>
  <c r="E1350" i="12"/>
  <c r="I1350" i="12"/>
  <c r="J1350" i="12"/>
  <c r="K1350" i="12"/>
  <c r="M1350" i="12"/>
  <c r="N1350" i="12"/>
  <c r="O1350" i="12"/>
  <c r="P1350" i="12"/>
  <c r="Q1350" i="12"/>
  <c r="R1350" i="12"/>
  <c r="S1350" i="12"/>
  <c r="T1350" i="12"/>
  <c r="U1350" i="12"/>
  <c r="V1350" i="12"/>
  <c r="W1350" i="12"/>
  <c r="X1350" i="12"/>
  <c r="Y1350" i="12"/>
  <c r="Z1350" i="12"/>
  <c r="AA1350" i="12"/>
  <c r="AI1350" i="12"/>
  <c r="AJ1350" i="12"/>
  <c r="AK1350" i="12"/>
  <c r="AL1350" i="12"/>
  <c r="AM1350" i="12"/>
  <c r="A1351" i="12"/>
  <c r="DH1351" i="12" s="1" a="1"/>
  <c r="B1351" i="12"/>
  <c r="C1351" i="12"/>
  <c r="D1351" i="12"/>
  <c r="E1351" i="12"/>
  <c r="F1351" i="12" s="1"/>
  <c r="G1351" i="12"/>
  <c r="H1351" i="12"/>
  <c r="I1351" i="12"/>
  <c r="J1351" i="12"/>
  <c r="K1351" i="12"/>
  <c r="M1351" i="12"/>
  <c r="N1351" i="12"/>
  <c r="O1351" i="12"/>
  <c r="P1351" i="12"/>
  <c r="Q1351" i="12"/>
  <c r="R1351" i="12"/>
  <c r="S1351" i="12"/>
  <c r="T1351" i="12"/>
  <c r="A1352" i="12"/>
  <c r="DH1352" i="12" s="1" a="1"/>
  <c r="B1352" i="12"/>
  <c r="C1352" i="12"/>
  <c r="D1352" i="12"/>
  <c r="E1352" i="12"/>
  <c r="H1352" i="12"/>
  <c r="I1352" i="12"/>
  <c r="J1352" i="12"/>
  <c r="K1352" i="12"/>
  <c r="M1352" i="12"/>
  <c r="N1352" i="12"/>
  <c r="O1352" i="12"/>
  <c r="P1352" i="12"/>
  <c r="Q1352" i="12"/>
  <c r="R1352" i="12"/>
  <c r="S1352" i="12"/>
  <c r="T1352" i="12"/>
  <c r="U1352" i="12"/>
  <c r="V1352" i="12"/>
  <c r="W1352" i="12"/>
  <c r="X1352" i="12"/>
  <c r="Y1352" i="12"/>
  <c r="Z1352" i="12"/>
  <c r="AA1352" i="12"/>
  <c r="AI1352" i="12"/>
  <c r="AJ1352" i="12"/>
  <c r="AK1352" i="12"/>
  <c r="AL1352" i="12"/>
  <c r="AM1352" i="12"/>
  <c r="A1353" i="12"/>
  <c r="DH1353" i="12" s="1" a="1"/>
  <c r="B1353" i="12"/>
  <c r="C1353" i="12"/>
  <c r="D1353" i="12"/>
  <c r="E1353" i="12"/>
  <c r="F1353" i="12" s="1"/>
  <c r="G1353" i="12"/>
  <c r="H1353" i="12"/>
  <c r="I1353" i="12"/>
  <c r="J1353" i="12"/>
  <c r="K1353" i="12"/>
  <c r="M1353" i="12"/>
  <c r="N1353" i="12"/>
  <c r="O1353" i="12"/>
  <c r="P1353" i="12"/>
  <c r="Q1353" i="12"/>
  <c r="R1353" i="12"/>
  <c r="S1353" i="12"/>
  <c r="T1353" i="12"/>
  <c r="U1353" i="12"/>
  <c r="V1353" i="12"/>
  <c r="W1353" i="12"/>
  <c r="X1353" i="12"/>
  <c r="Y1353" i="12"/>
  <c r="A1354" i="12"/>
  <c r="DH1354" i="12" s="1" a="1"/>
  <c r="B1354" i="12"/>
  <c r="C1354" i="12"/>
  <c r="D1354" i="12"/>
  <c r="E1354" i="12"/>
  <c r="F1354" i="12"/>
  <c r="G1354" i="12"/>
  <c r="H1354" i="12"/>
  <c r="I1354" i="12"/>
  <c r="J1354" i="12"/>
  <c r="K1354" i="12"/>
  <c r="M1354" i="12"/>
  <c r="N1354" i="12"/>
  <c r="O1354" i="12"/>
  <c r="P1354" i="12"/>
  <c r="Q1354" i="12"/>
  <c r="R1354" i="12"/>
  <c r="S1354" i="12"/>
  <c r="T1354" i="12"/>
  <c r="U1354" i="12"/>
  <c r="V1354" i="12"/>
  <c r="W1354" i="12"/>
  <c r="X1354" i="12"/>
  <c r="Y1354" i="12"/>
  <c r="Z1354" i="12"/>
  <c r="AA1354" i="12"/>
  <c r="AI1354" i="12"/>
  <c r="AJ1354" i="12"/>
  <c r="AK1354" i="12"/>
  <c r="AL1354" i="12"/>
  <c r="AM1354" i="12"/>
  <c r="A1355" i="12"/>
  <c r="DH1355" i="12" s="1" a="1"/>
  <c r="B1355" i="12"/>
  <c r="C1355" i="12"/>
  <c r="D1355" i="12"/>
  <c r="E1355" i="12"/>
  <c r="F1355" i="12"/>
  <c r="G1355" i="12"/>
  <c r="H1355" i="12"/>
  <c r="I1355" i="12"/>
  <c r="J1355" i="12"/>
  <c r="K1355" i="12"/>
  <c r="M1355" i="12"/>
  <c r="N1355" i="12"/>
  <c r="O1355" i="12"/>
  <c r="P1355" i="12"/>
  <c r="Q1355" i="12"/>
  <c r="R1355" i="12"/>
  <c r="S1355" i="12"/>
  <c r="T1355" i="12"/>
  <c r="U1355" i="12"/>
  <c r="V1355" i="12"/>
  <c r="W1355" i="12"/>
  <c r="X1355" i="12"/>
  <c r="Y1355" i="12"/>
  <c r="Z1355" i="12"/>
  <c r="AA1355" i="12"/>
  <c r="AC1355" i="12"/>
  <c r="AI1355" i="12"/>
  <c r="AJ1355" i="12"/>
  <c r="AK1355" i="12"/>
  <c r="AL1355" i="12"/>
  <c r="AM1355" i="12"/>
  <c r="A1356" i="12"/>
  <c r="DH1356" i="12" s="1" a="1"/>
  <c r="B1356" i="12"/>
  <c r="C1356" i="12"/>
  <c r="D1356" i="12"/>
  <c r="E1356" i="12"/>
  <c r="I1356" i="12"/>
  <c r="J1356" i="12"/>
  <c r="K1356" i="12"/>
  <c r="M1356" i="12"/>
  <c r="N1356" i="12"/>
  <c r="O1356" i="12"/>
  <c r="P1356" i="12"/>
  <c r="Q1356" i="12"/>
  <c r="R1356" i="12"/>
  <c r="S1356" i="12"/>
  <c r="T1356" i="12"/>
  <c r="U1356" i="12"/>
  <c r="V1356" i="12"/>
  <c r="W1356" i="12"/>
  <c r="X1356" i="12"/>
  <c r="Y1356" i="12"/>
  <c r="Z1356" i="12"/>
  <c r="AA1356" i="12"/>
  <c r="AI1356" i="12"/>
  <c r="AJ1356" i="12"/>
  <c r="AK1356" i="12"/>
  <c r="AL1356" i="12"/>
  <c r="AM1356" i="12"/>
  <c r="A1357" i="12"/>
  <c r="B1357" i="12"/>
  <c r="C1357" i="12"/>
  <c r="D1357" i="12"/>
  <c r="A1358" i="12"/>
  <c r="DH1358" i="12" s="1" a="1"/>
  <c r="B1358" i="12"/>
  <c r="C1358" i="12"/>
  <c r="D1358" i="12"/>
  <c r="E1358" i="12"/>
  <c r="P1358" i="12"/>
  <c r="Q1358" i="12"/>
  <c r="R1358" i="12"/>
  <c r="S1358" i="12"/>
  <c r="T1358" i="12"/>
  <c r="U1358" i="12"/>
  <c r="V1358" i="12"/>
  <c r="W1358" i="12"/>
  <c r="X1358" i="12"/>
  <c r="Y1358" i="12"/>
  <c r="Z1358" i="12"/>
  <c r="AA1358" i="12"/>
  <c r="AI1358" i="12"/>
  <c r="AJ1358" i="12"/>
  <c r="AK1358" i="12"/>
  <c r="AL1358" i="12"/>
  <c r="AM1358" i="12"/>
  <c r="A1331" i="12"/>
  <c r="DH1331" i="12" s="1" a="1"/>
  <c r="B1331" i="12"/>
  <c r="C1331" i="12"/>
  <c r="D1331" i="12"/>
  <c r="E1331" i="12"/>
  <c r="F1331" i="12" s="1"/>
  <c r="G1331" i="12"/>
  <c r="H1331" i="12"/>
  <c r="I1331" i="12"/>
  <c r="J1331" i="12"/>
  <c r="K1331" i="12"/>
  <c r="M1331" i="12"/>
  <c r="N1331" i="12"/>
  <c r="O1331" i="12"/>
  <c r="P1331" i="12"/>
  <c r="Q1331" i="12"/>
  <c r="R1331" i="12"/>
  <c r="S1331" i="12"/>
  <c r="T1331" i="12"/>
  <c r="U1331" i="12"/>
  <c r="V1331" i="12"/>
  <c r="W1331" i="12"/>
  <c r="X1331" i="12"/>
  <c r="Y1331" i="12"/>
  <c r="Z1331" i="12"/>
  <c r="AA1331" i="12"/>
  <c r="AI1331" i="12"/>
  <c r="AJ1331" i="12"/>
  <c r="AK1331" i="12"/>
  <c r="AL1331" i="12"/>
  <c r="AM1331" i="12"/>
  <c r="A1332" i="12"/>
  <c r="DH1332" i="12" s="1" a="1"/>
  <c r="B1332" i="12"/>
  <c r="C1332" i="12"/>
  <c r="D1332" i="12"/>
  <c r="E1332" i="12"/>
  <c r="I1332" i="12"/>
  <c r="J1332" i="12"/>
  <c r="K1332" i="12"/>
  <c r="M1332" i="12"/>
  <c r="N1332" i="12"/>
  <c r="O1332" i="12"/>
  <c r="P1332" i="12"/>
  <c r="Q1332" i="12"/>
  <c r="R1332" i="12"/>
  <c r="S1332" i="12"/>
  <c r="T1332" i="12"/>
  <c r="U1332" i="12"/>
  <c r="V1332" i="12"/>
  <c r="W1332" i="12"/>
  <c r="A1333" i="12"/>
  <c r="DH1333" i="12" s="1" a="1"/>
  <c r="B1333" i="12"/>
  <c r="C1333" i="12"/>
  <c r="D1333" i="12"/>
  <c r="E1333" i="12"/>
  <c r="F1333" i="12" s="1"/>
  <c r="G1333" i="12"/>
  <c r="H1333" i="12"/>
  <c r="I1333" i="12"/>
  <c r="J1333" i="12"/>
  <c r="K1333" i="12"/>
  <c r="M1333" i="12"/>
  <c r="N1333" i="12"/>
  <c r="O1333" i="12"/>
  <c r="P1333" i="12"/>
  <c r="Q1333" i="12"/>
  <c r="R1333" i="12"/>
  <c r="S1333" i="12"/>
  <c r="T1333" i="12"/>
  <c r="U1333" i="12"/>
  <c r="V1333" i="12"/>
  <c r="W1333" i="12"/>
  <c r="X1333" i="12"/>
  <c r="Y1333" i="12"/>
  <c r="Z1333" i="12"/>
  <c r="AA1333" i="12"/>
  <c r="AI1333" i="12"/>
  <c r="AJ1333" i="12"/>
  <c r="AK1333" i="12"/>
  <c r="AL1333" i="12"/>
  <c r="AM1333" i="12"/>
  <c r="A1334" i="12"/>
  <c r="DH1334" i="12" s="1" a="1"/>
  <c r="B1334" i="12"/>
  <c r="C1334" i="12"/>
  <c r="D1334" i="12"/>
  <c r="E1334" i="12"/>
  <c r="H1334" i="12"/>
  <c r="I1334" i="12"/>
  <c r="J1334" i="12"/>
  <c r="K1334" i="12"/>
  <c r="M1334" i="12"/>
  <c r="N1334" i="12"/>
  <c r="O1334" i="12"/>
  <c r="P1334" i="12"/>
  <c r="Q1334" i="12"/>
  <c r="R1334" i="12"/>
  <c r="S1334" i="12"/>
  <c r="T1334" i="12"/>
  <c r="U1334" i="12"/>
  <c r="V1334" i="12"/>
  <c r="W1334" i="12"/>
  <c r="X1334" i="12"/>
  <c r="Y1334" i="12"/>
  <c r="Z1334" i="12"/>
  <c r="AA1334" i="12"/>
  <c r="AI1334" i="12"/>
  <c r="AJ1334" i="12"/>
  <c r="AK1334" i="12"/>
  <c r="AL1334" i="12"/>
  <c r="AM1334" i="12"/>
  <c r="A1335" i="12"/>
  <c r="DH1335" i="12" s="1" a="1"/>
  <c r="B1335" i="12"/>
  <c r="C1335" i="12"/>
  <c r="D1335" i="12"/>
  <c r="E1335" i="12"/>
  <c r="F1335" i="12"/>
  <c r="G1335" i="12"/>
  <c r="H1335" i="12"/>
  <c r="I1335" i="12"/>
  <c r="J1335" i="12"/>
  <c r="K1335" i="12"/>
  <c r="M1335" i="12"/>
  <c r="N1335" i="12"/>
  <c r="O1335" i="12"/>
  <c r="P1335" i="12"/>
  <c r="Q1335" i="12"/>
  <c r="R1335" i="12"/>
  <c r="S1335" i="12"/>
  <c r="T1335" i="12"/>
  <c r="U1335" i="12"/>
  <c r="V1335" i="12"/>
  <c r="W1335" i="12"/>
  <c r="X1335" i="12"/>
  <c r="Y1335" i="12"/>
  <c r="Z1335" i="12"/>
  <c r="AA1335" i="12"/>
  <c r="AC1335" i="12"/>
  <c r="AI1335" i="12"/>
  <c r="AJ1335" i="12"/>
  <c r="AK1335" i="12"/>
  <c r="AL1335" i="12"/>
  <c r="AM1335" i="12"/>
  <c r="A1336" i="12"/>
  <c r="DH1336" i="12" s="1" a="1"/>
  <c r="B1336" i="12"/>
  <c r="C1336" i="12"/>
  <c r="D1336" i="12"/>
  <c r="E1336" i="12"/>
  <c r="F1336" i="12"/>
  <c r="G1336" i="12"/>
  <c r="H1336" i="12"/>
  <c r="I1336" i="12"/>
  <c r="J1336" i="12"/>
  <c r="K1336" i="12"/>
  <c r="M1336" i="12"/>
  <c r="N1336" i="12"/>
  <c r="O1336" i="12"/>
  <c r="P1336" i="12"/>
  <c r="Q1336" i="12"/>
  <c r="R1336" i="12"/>
  <c r="S1336" i="12"/>
  <c r="T1336" i="12"/>
  <c r="U1336" i="12"/>
  <c r="V1336" i="12"/>
  <c r="W1336" i="12"/>
  <c r="X1336" i="12"/>
  <c r="Y1336" i="12"/>
  <c r="Z1336" i="12"/>
  <c r="AA1336" i="12"/>
  <c r="AC1336" i="12"/>
  <c r="AI1336" i="12"/>
  <c r="AJ1336" i="12"/>
  <c r="AK1336" i="12"/>
  <c r="AL1336" i="12"/>
  <c r="AM1336" i="12"/>
  <c r="A1337" i="12"/>
  <c r="DH1337" i="12" s="1" a="1"/>
  <c r="B1337" i="12"/>
  <c r="C1337" i="12"/>
  <c r="D1337" i="12"/>
  <c r="E1337" i="12"/>
  <c r="I1337" i="12"/>
  <c r="J1337" i="12"/>
  <c r="K1337" i="12"/>
  <c r="M1337" i="12"/>
  <c r="N1337" i="12"/>
  <c r="O1337" i="12"/>
  <c r="P1337" i="12"/>
  <c r="Q1337" i="12"/>
  <c r="R1337" i="12"/>
  <c r="S1337" i="12"/>
  <c r="T1337" i="12"/>
  <c r="U1337" i="12"/>
  <c r="V1337" i="12"/>
  <c r="W1337" i="12"/>
  <c r="X1337" i="12"/>
  <c r="Y1337" i="12"/>
  <c r="Z1337" i="12"/>
  <c r="AA1337" i="12"/>
  <c r="AI1337" i="12"/>
  <c r="AJ1337" i="12"/>
  <c r="AK1337" i="12"/>
  <c r="AL1337" i="12"/>
  <c r="AM1337" i="12"/>
  <c r="A1338" i="12"/>
  <c r="DH1338" i="12" s="1" a="1"/>
  <c r="B1338" i="12"/>
  <c r="C1338" i="12"/>
  <c r="D1338" i="12"/>
  <c r="E1338" i="12"/>
  <c r="F1338" i="12"/>
  <c r="G1338" i="12"/>
  <c r="H1338" i="12"/>
  <c r="I1338" i="12"/>
  <c r="J1338" i="12"/>
  <c r="K1338" i="12"/>
  <c r="M1338" i="12"/>
  <c r="N1338" i="12"/>
  <c r="O1338" i="12"/>
  <c r="P1338" i="12"/>
  <c r="Q1338" i="12"/>
  <c r="R1338" i="12"/>
  <c r="S1338" i="12"/>
  <c r="T1338" i="12"/>
  <c r="U1338" i="12"/>
  <c r="V1338" i="12"/>
  <c r="W1338" i="12"/>
  <c r="X1338" i="12"/>
  <c r="Y1338" i="12"/>
  <c r="Z1338" i="12"/>
  <c r="AA1338" i="12"/>
  <c r="AI1338" i="12"/>
  <c r="AJ1338" i="12"/>
  <c r="AK1338" i="12"/>
  <c r="AL1338" i="12"/>
  <c r="AM1338" i="12"/>
  <c r="A1339" i="12"/>
  <c r="DH1339" i="12" s="1" a="1"/>
  <c r="B1339" i="12"/>
  <c r="C1339" i="12"/>
  <c r="D1339" i="12"/>
  <c r="E1339" i="12"/>
  <c r="F1339" i="12"/>
  <c r="G1339" i="12"/>
  <c r="H1339" i="12"/>
  <c r="I1339" i="12"/>
  <c r="J1339" i="12"/>
  <c r="K1339" i="12"/>
  <c r="M1339" i="12"/>
  <c r="N1339" i="12"/>
  <c r="O1339" i="12"/>
  <c r="P1339" i="12"/>
  <c r="Q1339" i="12"/>
  <c r="R1339" i="12"/>
  <c r="S1339" i="12"/>
  <c r="T1339" i="12"/>
  <c r="U1339" i="12"/>
  <c r="V1339" i="12"/>
  <c r="W1339" i="12"/>
  <c r="X1339" i="12"/>
  <c r="Y1339" i="12"/>
  <c r="Z1339" i="12"/>
  <c r="AA1339" i="12"/>
  <c r="AC1339" i="12"/>
  <c r="AI1339" i="12"/>
  <c r="AJ1339" i="12"/>
  <c r="AK1339" i="12"/>
  <c r="AL1339" i="12"/>
  <c r="AM1339" i="12"/>
  <c r="A1340" i="12"/>
  <c r="DH1340" i="12" s="1" a="1"/>
  <c r="B1340" i="12"/>
  <c r="C1340" i="12"/>
  <c r="D1340" i="12"/>
  <c r="E1340" i="12"/>
  <c r="F1340" i="12"/>
  <c r="G1340" i="12"/>
  <c r="H1340" i="12"/>
  <c r="I1340" i="12"/>
  <c r="J1340" i="12"/>
  <c r="K1340" i="12"/>
  <c r="M1340" i="12"/>
  <c r="N1340" i="12"/>
  <c r="O1340" i="12"/>
  <c r="P1340" i="12"/>
  <c r="Q1340" i="12"/>
  <c r="R1340" i="12"/>
  <c r="S1340" i="12"/>
  <c r="T1340" i="12"/>
  <c r="U1340" i="12"/>
  <c r="V1340" i="12"/>
  <c r="W1340" i="12"/>
  <c r="X1340" i="12"/>
  <c r="Y1340" i="12"/>
  <c r="Z1340" i="12"/>
  <c r="AA1340" i="12"/>
  <c r="AI1340" i="12"/>
  <c r="AJ1340" i="12"/>
  <c r="AK1340" i="12"/>
  <c r="AL1340" i="12"/>
  <c r="AM1340" i="12"/>
  <c r="A1341" i="12"/>
  <c r="DH1341" i="12" s="1" a="1"/>
  <c r="B1341" i="12"/>
  <c r="C1341" i="12"/>
  <c r="D1341" i="12"/>
  <c r="E1341" i="12"/>
  <c r="F1341" i="12"/>
  <c r="G1341" i="12"/>
  <c r="H1341" i="12"/>
  <c r="I1341" i="12"/>
  <c r="J1341" i="12"/>
  <c r="K1341" i="12"/>
  <c r="M1341" i="12"/>
  <c r="N1341" i="12"/>
  <c r="O1341" i="12"/>
  <c r="P1341" i="12"/>
  <c r="Q1341" i="12"/>
  <c r="R1341" i="12"/>
  <c r="S1341" i="12"/>
  <c r="T1341" i="12"/>
  <c r="U1341" i="12"/>
  <c r="V1341" i="12"/>
  <c r="W1341" i="12"/>
  <c r="X1341" i="12"/>
  <c r="Y1341" i="12"/>
  <c r="Z1341" i="12"/>
  <c r="AA1341" i="12"/>
  <c r="AI1341" i="12"/>
  <c r="AJ1341" i="12"/>
  <c r="AK1341" i="12"/>
  <c r="AL1341" i="12"/>
  <c r="AM1341" i="12"/>
  <c r="A1342" i="12"/>
  <c r="DH1342" i="12" s="1" a="1"/>
  <c r="B1342" i="12"/>
  <c r="C1342" i="12"/>
  <c r="D1342" i="12"/>
  <c r="E1342" i="12"/>
  <c r="F1342" i="12"/>
  <c r="G1342" i="12"/>
  <c r="H1342" i="12"/>
  <c r="I1342" i="12"/>
  <c r="J1342" i="12"/>
  <c r="K1342" i="12"/>
  <c r="M1342" i="12"/>
  <c r="N1342" i="12"/>
  <c r="O1342" i="12"/>
  <c r="P1342" i="12"/>
  <c r="Q1342" i="12"/>
  <c r="R1342" i="12"/>
  <c r="S1342" i="12"/>
  <c r="T1342" i="12"/>
  <c r="U1342" i="12"/>
  <c r="V1342" i="12"/>
  <c r="W1342" i="12"/>
  <c r="X1342" i="12"/>
  <c r="Y1342" i="12"/>
  <c r="Z1342" i="12"/>
  <c r="AA1342" i="12"/>
  <c r="AI1342" i="12"/>
  <c r="AJ1342" i="12"/>
  <c r="AK1342" i="12"/>
  <c r="AL1342" i="12"/>
  <c r="AM1342" i="12"/>
  <c r="A1343" i="12"/>
  <c r="DH1343" i="12" s="1" a="1"/>
  <c r="B1343" i="12"/>
  <c r="C1343" i="12"/>
  <c r="D1343" i="12"/>
  <c r="E1343" i="12"/>
  <c r="F1343" i="12"/>
  <c r="G1343" i="12"/>
  <c r="H1343" i="12"/>
  <c r="I1343" i="12"/>
  <c r="J1343" i="12"/>
  <c r="K1343" i="12"/>
  <c r="M1343" i="12"/>
  <c r="N1343" i="12"/>
  <c r="O1343" i="12"/>
  <c r="P1343" i="12"/>
  <c r="Q1343" i="12"/>
  <c r="R1343" i="12"/>
  <c r="S1343" i="12"/>
  <c r="T1343" i="12"/>
  <c r="U1343" i="12"/>
  <c r="V1343" i="12"/>
  <c r="W1343" i="12"/>
  <c r="X1343" i="12"/>
  <c r="Y1343" i="12"/>
  <c r="Z1343" i="12"/>
  <c r="AA1343" i="12"/>
  <c r="AC1343" i="12"/>
  <c r="AI1343" i="12"/>
  <c r="AJ1343" i="12"/>
  <c r="AK1343" i="12"/>
  <c r="AL1343" i="12"/>
  <c r="AM1343" i="12"/>
  <c r="A1344" i="12"/>
  <c r="DH1344" i="12" s="1" a="1"/>
  <c r="B1344" i="12"/>
  <c r="C1344" i="12"/>
  <c r="D1344" i="12"/>
  <c r="E1344" i="12"/>
  <c r="I1344" i="12"/>
  <c r="J1344" i="12"/>
  <c r="K1344" i="12"/>
  <c r="M1344" i="12"/>
  <c r="N1344" i="12"/>
  <c r="O1344" i="12"/>
  <c r="P1344" i="12"/>
  <c r="Q1344" i="12"/>
  <c r="R1344" i="12"/>
  <c r="S1344" i="12"/>
  <c r="T1344" i="12"/>
  <c r="U1344" i="12"/>
  <c r="V1344" i="12"/>
  <c r="W1344" i="12"/>
  <c r="X1344" i="12"/>
  <c r="Y1344" i="12"/>
  <c r="Z1344" i="12"/>
  <c r="AA1344" i="12"/>
  <c r="AI1344" i="12"/>
  <c r="AJ1344" i="12"/>
  <c r="AK1344" i="12"/>
  <c r="AL1344" i="12"/>
  <c r="A1317" i="12"/>
  <c r="DH1317" i="12" s="1" a="1"/>
  <c r="B1317" i="12"/>
  <c r="C1317" i="12"/>
  <c r="D1317" i="12"/>
  <c r="E1317" i="12"/>
  <c r="F1317" i="12"/>
  <c r="G1317" i="12"/>
  <c r="H1317" i="12"/>
  <c r="I1317" i="12"/>
  <c r="J1317" i="12"/>
  <c r="K1317" i="12"/>
  <c r="M1317" i="12"/>
  <c r="N1317" i="12"/>
  <c r="O1317" i="12"/>
  <c r="P1317" i="12"/>
  <c r="Q1317" i="12"/>
  <c r="R1317" i="12"/>
  <c r="S1317" i="12"/>
  <c r="T1317" i="12"/>
  <c r="U1317" i="12"/>
  <c r="V1317" i="12"/>
  <c r="W1317" i="12"/>
  <c r="X1317" i="12"/>
  <c r="A1318" i="12"/>
  <c r="DH1318" i="12" s="1" a="1"/>
  <c r="B1318" i="12"/>
  <c r="C1318" i="12"/>
  <c r="D1318" i="12"/>
  <c r="E1318" i="12"/>
  <c r="F1318" i="12"/>
  <c r="G1318" i="12"/>
  <c r="H1318" i="12"/>
  <c r="I1318" i="12"/>
  <c r="J1318" i="12"/>
  <c r="K1318" i="12"/>
  <c r="M1318" i="12"/>
  <c r="N1318" i="12"/>
  <c r="O1318" i="12"/>
  <c r="P1318" i="12"/>
  <c r="Q1318" i="12"/>
  <c r="R1318" i="12"/>
  <c r="S1318" i="12"/>
  <c r="T1318" i="12"/>
  <c r="U1318" i="12"/>
  <c r="V1318" i="12"/>
  <c r="W1318" i="12"/>
  <c r="X1318" i="12"/>
  <c r="Y1318" i="12"/>
  <c r="Z1318" i="12"/>
  <c r="AA1318" i="12"/>
  <c r="AC1318" i="12"/>
  <c r="AI1318" i="12"/>
  <c r="AJ1318" i="12"/>
  <c r="AK1318" i="12"/>
  <c r="AL1318" i="12"/>
  <c r="AM1318" i="12"/>
  <c r="A1319" i="12"/>
  <c r="DH1319" i="12" s="1" a="1"/>
  <c r="B1319" i="12"/>
  <c r="C1319" i="12"/>
  <c r="D1319" i="12"/>
  <c r="E1319" i="12"/>
  <c r="F1319" i="12"/>
  <c r="G1319" i="12"/>
  <c r="AC1319" i="12" s="1"/>
  <c r="H1319" i="12"/>
  <c r="I1319" i="12"/>
  <c r="J1319" i="12"/>
  <c r="K1319" i="12"/>
  <c r="M1319" i="12"/>
  <c r="N1319" i="12"/>
  <c r="O1319" i="12"/>
  <c r="P1319" i="12"/>
  <c r="Q1319" i="12"/>
  <c r="R1319" i="12"/>
  <c r="S1319" i="12"/>
  <c r="T1319" i="12"/>
  <c r="U1319" i="12"/>
  <c r="V1319" i="12"/>
  <c r="W1319" i="12"/>
  <c r="X1319" i="12"/>
  <c r="Y1319" i="12"/>
  <c r="Z1319" i="12"/>
  <c r="AA1319" i="12"/>
  <c r="AI1319" i="12"/>
  <c r="AJ1319" i="12"/>
  <c r="AK1319" i="12"/>
  <c r="AL1319" i="12"/>
  <c r="AM1319" i="12"/>
  <c r="A1320" i="12"/>
  <c r="DH1320" i="12" s="1" a="1"/>
  <c r="B1320" i="12"/>
  <c r="C1320" i="12"/>
  <c r="D1320" i="12"/>
  <c r="E1320" i="12"/>
  <c r="H1320" i="12"/>
  <c r="I1320" i="12"/>
  <c r="J1320" i="12"/>
  <c r="K1320" i="12"/>
  <c r="M1320" i="12"/>
  <c r="N1320" i="12"/>
  <c r="O1320" i="12"/>
  <c r="P1320" i="12"/>
  <c r="Q1320" i="12"/>
  <c r="R1320" i="12"/>
  <c r="S1320" i="12"/>
  <c r="T1320" i="12"/>
  <c r="U1320" i="12"/>
  <c r="V1320" i="12"/>
  <c r="W1320" i="12"/>
  <c r="X1320" i="12"/>
  <c r="Y1320" i="12"/>
  <c r="Z1320" i="12"/>
  <c r="AA1320" i="12"/>
  <c r="AI1320" i="12"/>
  <c r="AJ1320" i="12"/>
  <c r="AK1320" i="12"/>
  <c r="AL1320" i="12"/>
  <c r="AM1320" i="12"/>
  <c r="A1321" i="12"/>
  <c r="DH1321" i="12" s="1" a="1"/>
  <c r="B1321" i="12"/>
  <c r="C1321" i="12"/>
  <c r="D1321" i="12"/>
  <c r="E1321" i="12"/>
  <c r="F1321" i="12"/>
  <c r="G1321" i="12"/>
  <c r="H1321" i="12"/>
  <c r="I1321" i="12"/>
  <c r="J1321" i="12"/>
  <c r="K1321" i="12"/>
  <c r="M1321" i="12"/>
  <c r="N1321" i="12"/>
  <c r="O1321" i="12"/>
  <c r="P1321" i="12"/>
  <c r="Q1321" i="12"/>
  <c r="R1321" i="12"/>
  <c r="S1321" i="12"/>
  <c r="T1321" i="12"/>
  <c r="U1321" i="12"/>
  <c r="V1321" i="12"/>
  <c r="W1321" i="12"/>
  <c r="X1321" i="12"/>
  <c r="Y1321" i="12"/>
  <c r="Z1321" i="12"/>
  <c r="AA1321" i="12"/>
  <c r="AC1321" i="12"/>
  <c r="AI1321" i="12"/>
  <c r="AJ1321" i="12"/>
  <c r="AK1321" i="12"/>
  <c r="AL1321" i="12"/>
  <c r="AM1321" i="12"/>
  <c r="A1322" i="12"/>
  <c r="DH1322" i="12" s="1" a="1"/>
  <c r="B1322" i="12"/>
  <c r="C1322" i="12"/>
  <c r="D1322" i="12"/>
  <c r="E1322" i="12"/>
  <c r="H1322" i="12"/>
  <c r="I1322" i="12"/>
  <c r="J1322" i="12"/>
  <c r="K1322" i="12"/>
  <c r="M1322" i="12"/>
  <c r="N1322" i="12"/>
  <c r="O1322" i="12"/>
  <c r="P1322" i="12"/>
  <c r="Q1322" i="12"/>
  <c r="R1322" i="12"/>
  <c r="S1322" i="12"/>
  <c r="T1322" i="12"/>
  <c r="U1322" i="12"/>
  <c r="V1322" i="12"/>
  <c r="W1322" i="12"/>
  <c r="X1322" i="12"/>
  <c r="Y1322" i="12"/>
  <c r="Z1322" i="12"/>
  <c r="AA1322" i="12"/>
  <c r="AI1322" i="12"/>
  <c r="AJ1322" i="12"/>
  <c r="AK1322" i="12"/>
  <c r="AL1322" i="12"/>
  <c r="AM1322" i="12"/>
  <c r="A1323" i="12"/>
  <c r="DH1323" i="12" s="1" a="1"/>
  <c r="B1323" i="12"/>
  <c r="C1323" i="12"/>
  <c r="D1323" i="12"/>
  <c r="E1323" i="12"/>
  <c r="F1323" i="12" s="1"/>
  <c r="G1323" i="12"/>
  <c r="H1323" i="12"/>
  <c r="I1323" i="12"/>
  <c r="J1323" i="12"/>
  <c r="K1323" i="12"/>
  <c r="M1323" i="12"/>
  <c r="N1323" i="12"/>
  <c r="O1323" i="12"/>
  <c r="P1323" i="12"/>
  <c r="Q1323" i="12"/>
  <c r="R1323" i="12"/>
  <c r="S1323" i="12"/>
  <c r="T1323" i="12"/>
  <c r="U1323" i="12"/>
  <c r="V1323" i="12"/>
  <c r="W1323" i="12"/>
  <c r="X1323" i="12"/>
  <c r="Y1323" i="12"/>
  <c r="Z1323" i="12"/>
  <c r="AA1323" i="12"/>
  <c r="AI1323" i="12"/>
  <c r="AJ1323" i="12"/>
  <c r="AK1323" i="12"/>
  <c r="AL1323" i="12"/>
  <c r="AM1323" i="12"/>
  <c r="A1324" i="12"/>
  <c r="DH1324" i="12" s="1" a="1"/>
  <c r="B1324" i="12"/>
  <c r="C1324" i="12"/>
  <c r="D1324" i="12"/>
  <c r="E1324" i="12"/>
  <c r="F1324" i="12"/>
  <c r="G1324" i="12"/>
  <c r="H1324" i="12"/>
  <c r="I1324" i="12"/>
  <c r="J1324" i="12"/>
  <c r="K1324" i="12"/>
  <c r="M1324" i="12"/>
  <c r="N1324" i="12"/>
  <c r="O1324" i="12"/>
  <c r="P1324" i="12"/>
  <c r="Q1324" i="12"/>
  <c r="R1324" i="12"/>
  <c r="S1324" i="12"/>
  <c r="T1324" i="12"/>
  <c r="U1324" i="12"/>
  <c r="V1324" i="12"/>
  <c r="W1324" i="12"/>
  <c r="X1324" i="12"/>
  <c r="Y1324" i="12"/>
  <c r="Z1324" i="12"/>
  <c r="AA1324" i="12"/>
  <c r="AC1324" i="12"/>
  <c r="AI1324" i="12"/>
  <c r="AJ1324" i="12"/>
  <c r="AK1324" i="12"/>
  <c r="AL1324" i="12"/>
  <c r="AM1324" i="12"/>
  <c r="A1325" i="12"/>
  <c r="DH1325" i="12" s="1" a="1"/>
  <c r="B1325" i="12"/>
  <c r="C1325" i="12"/>
  <c r="D1325" i="12"/>
  <c r="E1325" i="12"/>
  <c r="F1325" i="12"/>
  <c r="G1325" i="12"/>
  <c r="AC1325" i="12" s="1"/>
  <c r="H1325" i="12"/>
  <c r="I1325" i="12"/>
  <c r="J1325" i="12"/>
  <c r="K1325" i="12"/>
  <c r="M1325" i="12"/>
  <c r="N1325" i="12"/>
  <c r="O1325" i="12"/>
  <c r="P1325" i="12"/>
  <c r="Q1325" i="12"/>
  <c r="R1325" i="12"/>
  <c r="S1325" i="12"/>
  <c r="T1325" i="12"/>
  <c r="U1325" i="12"/>
  <c r="V1325" i="12"/>
  <c r="W1325" i="12"/>
  <c r="X1325" i="12"/>
  <c r="Y1325" i="12"/>
  <c r="Z1325" i="12"/>
  <c r="AA1325" i="12"/>
  <c r="AI1325" i="12"/>
  <c r="AJ1325" i="12"/>
  <c r="AK1325" i="12"/>
  <c r="AL1325" i="12"/>
  <c r="AM1325" i="12"/>
  <c r="A1326" i="12"/>
  <c r="DH1326" i="12" s="1" a="1"/>
  <c r="B1326" i="12"/>
  <c r="C1326" i="12"/>
  <c r="D1326" i="12"/>
  <c r="E1326" i="12"/>
  <c r="I1326" i="12"/>
  <c r="J1326" i="12"/>
  <c r="K1326" i="12"/>
  <c r="M1326" i="12"/>
  <c r="N1326" i="12"/>
  <c r="O1326" i="12"/>
  <c r="P1326" i="12"/>
  <c r="Q1326" i="12"/>
  <c r="R1326" i="12"/>
  <c r="S1326" i="12"/>
  <c r="T1326" i="12"/>
  <c r="U1326" i="12"/>
  <c r="V1326" i="12"/>
  <c r="W1326" i="12"/>
  <c r="X1326" i="12"/>
  <c r="Y1326" i="12"/>
  <c r="Z1326" i="12"/>
  <c r="AA1326" i="12"/>
  <c r="AI1326" i="12"/>
  <c r="AJ1326" i="12"/>
  <c r="AK1326" i="12"/>
  <c r="AL1326" i="12"/>
  <c r="AM1326" i="12"/>
  <c r="A1327" i="12"/>
  <c r="DH1327" i="12" s="1" a="1"/>
  <c r="B1327" i="12"/>
  <c r="C1327" i="12"/>
  <c r="D1327" i="12"/>
  <c r="E1327" i="12"/>
  <c r="F1327" i="12" s="1"/>
  <c r="G1327" i="12"/>
  <c r="H1327" i="12"/>
  <c r="I1327" i="12"/>
  <c r="J1327" i="12"/>
  <c r="K1327" i="12"/>
  <c r="M1327" i="12"/>
  <c r="N1327" i="12"/>
  <c r="O1327" i="12"/>
  <c r="P1327" i="12"/>
  <c r="Q1327" i="12"/>
  <c r="R1327" i="12"/>
  <c r="S1327" i="12"/>
  <c r="T1327" i="12"/>
  <c r="U1327" i="12"/>
  <c r="A1328" i="12"/>
  <c r="DH1328" i="12" s="1" a="1"/>
  <c r="B1328" i="12"/>
  <c r="C1328" i="12"/>
  <c r="D1328" i="12"/>
  <c r="E1328" i="12"/>
  <c r="K1328" i="12"/>
  <c r="M1328" i="12"/>
  <c r="N1328" i="12"/>
  <c r="O1328" i="12"/>
  <c r="P1328" i="12"/>
  <c r="Q1328" i="12"/>
  <c r="R1328" i="12"/>
  <c r="S1328" i="12"/>
  <c r="T1328" i="12"/>
  <c r="U1328" i="12"/>
  <c r="V1328" i="12"/>
  <c r="W1328" i="12"/>
  <c r="X1328" i="12"/>
  <c r="Y1328" i="12"/>
  <c r="Z1328" i="12"/>
  <c r="AA1328" i="12"/>
  <c r="AI1328" i="12"/>
  <c r="AJ1328" i="12"/>
  <c r="AK1328" i="12"/>
  <c r="AL1328" i="12"/>
  <c r="AM1328" i="12"/>
  <c r="A1329" i="12"/>
  <c r="DH1329" i="12" s="1" a="1"/>
  <c r="B1329" i="12"/>
  <c r="C1329" i="12"/>
  <c r="D1329" i="12"/>
  <c r="E1329" i="12"/>
  <c r="H1329" i="12"/>
  <c r="I1329" i="12"/>
  <c r="J1329" i="12"/>
  <c r="K1329" i="12"/>
  <c r="M1329" i="12"/>
  <c r="N1329" i="12"/>
  <c r="O1329" i="12"/>
  <c r="P1329" i="12"/>
  <c r="Q1329" i="12"/>
  <c r="R1329" i="12"/>
  <c r="S1329" i="12"/>
  <c r="T1329" i="12"/>
  <c r="U1329" i="12"/>
  <c r="V1329" i="12"/>
  <c r="W1329" i="12"/>
  <c r="X1329" i="12"/>
  <c r="Y1329" i="12"/>
  <c r="Z1329" i="12"/>
  <c r="AA1329" i="12"/>
  <c r="AI1329" i="12"/>
  <c r="AJ1329" i="12"/>
  <c r="AK1329" i="12"/>
  <c r="AL1329" i="12"/>
  <c r="AM1329" i="12"/>
  <c r="A1330" i="12"/>
  <c r="DH1330" i="12" s="1" a="1"/>
  <c r="B1330" i="12"/>
  <c r="C1330" i="12"/>
  <c r="D1330" i="12"/>
  <c r="E1330" i="12"/>
  <c r="F1330" i="12" s="1"/>
  <c r="G1330" i="12"/>
  <c r="H1330" i="12"/>
  <c r="I1330" i="12"/>
  <c r="J1330" i="12"/>
  <c r="K1330" i="12"/>
  <c r="M1330" i="12"/>
  <c r="N1330" i="12"/>
  <c r="O1330" i="12"/>
  <c r="P1330" i="12"/>
  <c r="Q1330" i="12"/>
  <c r="R1330" i="12"/>
  <c r="S1330" i="12"/>
  <c r="T1330" i="12"/>
  <c r="U1330" i="12"/>
  <c r="V1330" i="12"/>
  <c r="W1330" i="12"/>
  <c r="X1330" i="12"/>
  <c r="Y1330" i="12"/>
  <c r="Z1330" i="12"/>
  <c r="AA1330" i="12"/>
  <c r="AI1330" i="12"/>
  <c r="AJ1330" i="12"/>
  <c r="AK1330" i="12"/>
  <c r="AL1330" i="12"/>
  <c r="AM1330" i="12"/>
  <c r="A1303" i="12"/>
  <c r="DH1303" i="12" s="1" a="1"/>
  <c r="B1303" i="12"/>
  <c r="C1303" i="12"/>
  <c r="D1303" i="12"/>
  <c r="E1303" i="12"/>
  <c r="F1303" i="12" s="1"/>
  <c r="G1303" i="12"/>
  <c r="H1303" i="12"/>
  <c r="I1303" i="12"/>
  <c r="J1303" i="12"/>
  <c r="K1303" i="12"/>
  <c r="M1303" i="12"/>
  <c r="N1303" i="12"/>
  <c r="O1303" i="12"/>
  <c r="P1303" i="12"/>
  <c r="Q1303" i="12"/>
  <c r="R1303" i="12"/>
  <c r="S1303" i="12"/>
  <c r="T1303" i="12"/>
  <c r="U1303" i="12"/>
  <c r="V1303" i="12"/>
  <c r="W1303" i="12"/>
  <c r="X1303" i="12"/>
  <c r="Y1303" i="12"/>
  <c r="Z1303" i="12"/>
  <c r="AA1303" i="12"/>
  <c r="AI1303" i="12"/>
  <c r="AJ1303" i="12"/>
  <c r="AK1303" i="12"/>
  <c r="AL1303" i="12"/>
  <c r="AM1303" i="12"/>
  <c r="A1304" i="12"/>
  <c r="DH1304" i="12" s="1" a="1"/>
  <c r="B1304" i="12"/>
  <c r="C1304" i="12"/>
  <c r="D1304" i="12"/>
  <c r="E1304" i="12"/>
  <c r="F1304" i="12"/>
  <c r="G1304" i="12"/>
  <c r="H1304" i="12"/>
  <c r="I1304" i="12"/>
  <c r="J1304" i="12"/>
  <c r="K1304" i="12"/>
  <c r="M1304" i="12"/>
  <c r="N1304" i="12"/>
  <c r="O1304" i="12"/>
  <c r="P1304" i="12"/>
  <c r="Q1304" i="12"/>
  <c r="R1304" i="12"/>
  <c r="S1304" i="12"/>
  <c r="T1304" i="12"/>
  <c r="U1304" i="12"/>
  <c r="V1304" i="12"/>
  <c r="W1304" i="12"/>
  <c r="X1304" i="12"/>
  <c r="Y1304" i="12"/>
  <c r="Z1304" i="12"/>
  <c r="AA1304" i="12"/>
  <c r="A1305" i="12"/>
  <c r="DH1305" i="12" s="1" a="1"/>
  <c r="B1305" i="12"/>
  <c r="C1305" i="12"/>
  <c r="D1305" i="12"/>
  <c r="E1305" i="12"/>
  <c r="H1305" i="12" s="1"/>
  <c r="I1305" i="12"/>
  <c r="J1305" i="12"/>
  <c r="K1305" i="12"/>
  <c r="M1305" i="12"/>
  <c r="N1305" i="12"/>
  <c r="O1305" i="12"/>
  <c r="P1305" i="12"/>
  <c r="Q1305" i="12"/>
  <c r="R1305" i="12"/>
  <c r="S1305" i="12"/>
  <c r="T1305" i="12"/>
  <c r="U1305" i="12"/>
  <c r="V1305" i="12"/>
  <c r="W1305" i="12"/>
  <c r="X1305" i="12"/>
  <c r="Y1305" i="12"/>
  <c r="Z1305" i="12"/>
  <c r="AA1305" i="12"/>
  <c r="AI1305" i="12"/>
  <c r="AJ1305" i="12"/>
  <c r="AK1305" i="12"/>
  <c r="AL1305" i="12"/>
  <c r="AM1305" i="12"/>
  <c r="A1306" i="12"/>
  <c r="DH1306" i="12" s="1" a="1"/>
  <c r="B1306" i="12"/>
  <c r="C1306" i="12"/>
  <c r="D1306" i="12"/>
  <c r="E1306" i="12"/>
  <c r="F1306" i="12"/>
  <c r="G1306" i="12"/>
  <c r="H1306" i="12"/>
  <c r="I1306" i="12"/>
  <c r="J1306" i="12"/>
  <c r="K1306" i="12"/>
  <c r="M1306" i="12"/>
  <c r="N1306" i="12"/>
  <c r="O1306" i="12"/>
  <c r="P1306" i="12"/>
  <c r="Q1306" i="12"/>
  <c r="R1306" i="12"/>
  <c r="S1306" i="12"/>
  <c r="T1306" i="12"/>
  <c r="U1306" i="12"/>
  <c r="V1306" i="12"/>
  <c r="W1306" i="12"/>
  <c r="X1306" i="12"/>
  <c r="Y1306" i="12"/>
  <c r="Z1306" i="12"/>
  <c r="AA1306" i="12"/>
  <c r="AC1306" i="12"/>
  <c r="AI1306" i="12"/>
  <c r="AJ1306" i="12"/>
  <c r="AK1306" i="12"/>
  <c r="AL1306" i="12"/>
  <c r="AM1306" i="12"/>
  <c r="A1307" i="12"/>
  <c r="DH1307" i="12" s="1" a="1"/>
  <c r="B1307" i="12"/>
  <c r="C1307" i="12"/>
  <c r="D1307" i="12"/>
  <c r="E1307" i="12"/>
  <c r="F1307" i="12" s="1"/>
  <c r="G1307" i="12"/>
  <c r="H1307" i="12"/>
  <c r="I1307" i="12"/>
  <c r="J1307" i="12"/>
  <c r="K1307" i="12"/>
  <c r="M1307" i="12"/>
  <c r="N1307" i="12"/>
  <c r="O1307" i="12"/>
  <c r="P1307" i="12"/>
  <c r="Q1307" i="12"/>
  <c r="R1307" i="12"/>
  <c r="S1307" i="12"/>
  <c r="T1307" i="12"/>
  <c r="U1307" i="12"/>
  <c r="V1307" i="12"/>
  <c r="W1307" i="12"/>
  <c r="X1307" i="12"/>
  <c r="Y1307" i="12"/>
  <c r="Z1307" i="12"/>
  <c r="AA1307" i="12"/>
  <c r="AI1307" i="12"/>
  <c r="AJ1307" i="12"/>
  <c r="AK1307" i="12"/>
  <c r="AL1307" i="12"/>
  <c r="AM1307" i="12"/>
  <c r="A1308" i="12"/>
  <c r="DH1308" i="12" s="1" a="1"/>
  <c r="B1308" i="12"/>
  <c r="C1308" i="12"/>
  <c r="D1308" i="12"/>
  <c r="E1308" i="12"/>
  <c r="H1308" i="12"/>
  <c r="I1308" i="12"/>
  <c r="J1308" i="12"/>
  <c r="K1308" i="12"/>
  <c r="M1308" i="12"/>
  <c r="N1308" i="12"/>
  <c r="O1308" i="12"/>
  <c r="P1308" i="12"/>
  <c r="Q1308" i="12"/>
  <c r="R1308" i="12"/>
  <c r="S1308" i="12"/>
  <c r="A1309" i="12"/>
  <c r="DH1309" i="12" s="1" a="1"/>
  <c r="B1309" i="12"/>
  <c r="C1309" i="12"/>
  <c r="D1309" i="12"/>
  <c r="E1309" i="12"/>
  <c r="F1309" i="12"/>
  <c r="G1309" i="12"/>
  <c r="H1309" i="12"/>
  <c r="I1309" i="12"/>
  <c r="J1309" i="12"/>
  <c r="K1309" i="12"/>
  <c r="M1309" i="12"/>
  <c r="N1309" i="12"/>
  <c r="O1309" i="12"/>
  <c r="P1309" i="12"/>
  <c r="Q1309" i="12"/>
  <c r="R1309" i="12"/>
  <c r="S1309" i="12"/>
  <c r="T1309" i="12"/>
  <c r="U1309" i="12"/>
  <c r="V1309" i="12"/>
  <c r="W1309" i="12"/>
  <c r="X1309" i="12"/>
  <c r="Y1309" i="12"/>
  <c r="Z1309" i="12"/>
  <c r="AA1309" i="12"/>
  <c r="AC1309" i="12"/>
  <c r="AI1309" i="12"/>
  <c r="AJ1309" i="12"/>
  <c r="AK1309" i="12"/>
  <c r="AL1309" i="12"/>
  <c r="AM1309" i="12"/>
  <c r="A1310" i="12"/>
  <c r="DH1310" i="12" s="1" a="1"/>
  <c r="B1310" i="12"/>
  <c r="C1310" i="12"/>
  <c r="D1310" i="12"/>
  <c r="E1310" i="12"/>
  <c r="I1310" i="12" s="1"/>
  <c r="J1310" i="12"/>
  <c r="K1310" i="12"/>
  <c r="M1310" i="12"/>
  <c r="N1310" i="12"/>
  <c r="O1310" i="12"/>
  <c r="P1310" i="12"/>
  <c r="Q1310" i="12"/>
  <c r="R1310" i="12"/>
  <c r="S1310" i="12"/>
  <c r="T1310" i="12"/>
  <c r="U1310" i="12"/>
  <c r="V1310" i="12"/>
  <c r="W1310" i="12"/>
  <c r="X1310" i="12"/>
  <c r="Y1310" i="12"/>
  <c r="Z1310" i="12"/>
  <c r="AA1310" i="12"/>
  <c r="AI1310" i="12"/>
  <c r="AJ1310" i="12"/>
  <c r="AK1310" i="12"/>
  <c r="AL1310" i="12"/>
  <c r="AM1310" i="12"/>
  <c r="A1311" i="12"/>
  <c r="DH1311" i="12" s="1" a="1"/>
  <c r="B1311" i="12"/>
  <c r="C1311" i="12"/>
  <c r="D1311" i="12"/>
  <c r="E1311" i="12"/>
  <c r="I1311" i="12"/>
  <c r="J1311" i="12"/>
  <c r="K1311" i="12"/>
  <c r="M1311" i="12"/>
  <c r="N1311" i="12"/>
  <c r="O1311" i="12"/>
  <c r="P1311" i="12"/>
  <c r="Q1311" i="12"/>
  <c r="R1311" i="12"/>
  <c r="S1311" i="12"/>
  <c r="T1311" i="12"/>
  <c r="U1311" i="12"/>
  <c r="V1311" i="12"/>
  <c r="W1311" i="12"/>
  <c r="X1311" i="12"/>
  <c r="Y1311" i="12"/>
  <c r="Z1311" i="12"/>
  <c r="AA1311" i="12"/>
  <c r="AI1311" i="12"/>
  <c r="AJ1311" i="12"/>
  <c r="AK1311" i="12"/>
  <c r="AL1311" i="12"/>
  <c r="AM1311" i="12"/>
  <c r="A1312" i="12"/>
  <c r="DH1312" i="12" s="1" a="1"/>
  <c r="B1312" i="12"/>
  <c r="C1312" i="12"/>
  <c r="D1312" i="12"/>
  <c r="E1312" i="12"/>
  <c r="F1312" i="12"/>
  <c r="G1312" i="12"/>
  <c r="H1312" i="12"/>
  <c r="I1312" i="12"/>
  <c r="J1312" i="12"/>
  <c r="K1312" i="12"/>
  <c r="M1312" i="12"/>
  <c r="N1312" i="12"/>
  <c r="O1312" i="12"/>
  <c r="P1312" i="12"/>
  <c r="Q1312" i="12"/>
  <c r="R1312" i="12"/>
  <c r="S1312" i="12"/>
  <c r="T1312" i="12"/>
  <c r="U1312" i="12"/>
  <c r="V1312" i="12"/>
  <c r="W1312" i="12"/>
  <c r="X1312" i="12"/>
  <c r="Y1312" i="12"/>
  <c r="Z1312" i="12"/>
  <c r="AA1312" i="12"/>
  <c r="AC1312" i="12"/>
  <c r="AI1312" i="12"/>
  <c r="AJ1312" i="12"/>
  <c r="AK1312" i="12"/>
  <c r="AL1312" i="12"/>
  <c r="AM1312" i="12"/>
  <c r="A1313" i="12"/>
  <c r="DH1313" i="12" s="1" a="1"/>
  <c r="B1313" i="12"/>
  <c r="C1313" i="12"/>
  <c r="D1313" i="12"/>
  <c r="E1313" i="12"/>
  <c r="H1313" i="12"/>
  <c r="I1313" i="12"/>
  <c r="J1313" i="12"/>
  <c r="K1313" i="12"/>
  <c r="M1313" i="12"/>
  <c r="N1313" i="12"/>
  <c r="O1313" i="12"/>
  <c r="P1313" i="12"/>
  <c r="Q1313" i="12"/>
  <c r="R1313" i="12"/>
  <c r="S1313" i="12"/>
  <c r="T1313" i="12"/>
  <c r="U1313" i="12"/>
  <c r="V1313" i="12"/>
  <c r="W1313" i="12"/>
  <c r="X1313" i="12"/>
  <c r="Y1313" i="12"/>
  <c r="Z1313" i="12"/>
  <c r="AA1313" i="12"/>
  <c r="AI1313" i="12"/>
  <c r="AJ1313" i="12"/>
  <c r="AK1313" i="12"/>
  <c r="AL1313" i="12"/>
  <c r="AM1313" i="12"/>
  <c r="A1314" i="12"/>
  <c r="DH1314" i="12" s="1" a="1"/>
  <c r="B1314" i="12"/>
  <c r="C1314" i="12"/>
  <c r="D1314" i="12"/>
  <c r="E1314" i="12"/>
  <c r="F1314" i="12"/>
  <c r="G1314" i="12"/>
  <c r="H1314" i="12"/>
  <c r="I1314" i="12"/>
  <c r="J1314" i="12"/>
  <c r="K1314" i="12"/>
  <c r="M1314" i="12"/>
  <c r="N1314" i="12"/>
  <c r="O1314" i="12"/>
  <c r="P1314" i="12"/>
  <c r="Q1314" i="12"/>
  <c r="R1314" i="12"/>
  <c r="S1314" i="12"/>
  <c r="T1314" i="12"/>
  <c r="U1314" i="12"/>
  <c r="V1314" i="12"/>
  <c r="W1314" i="12"/>
  <c r="X1314" i="12"/>
  <c r="Y1314" i="12"/>
  <c r="Z1314" i="12"/>
  <c r="AA1314" i="12"/>
  <c r="AI1314" i="12"/>
  <c r="AJ1314" i="12"/>
  <c r="AK1314" i="12"/>
  <c r="AL1314" i="12"/>
  <c r="AM1314" i="12"/>
  <c r="A1315" i="12"/>
  <c r="DH1315" i="12" s="1" a="1"/>
  <c r="B1315" i="12"/>
  <c r="E1315" i="12" s="1"/>
  <c r="C1315" i="12"/>
  <c r="D1315" i="12"/>
  <c r="A1316" i="12"/>
  <c r="DH1316" i="12" s="1" a="1"/>
  <c r="B1316" i="12"/>
  <c r="C1316" i="12"/>
  <c r="D1316" i="12"/>
  <c r="E1316" i="12"/>
  <c r="J1316" i="12"/>
  <c r="K1316" i="12"/>
  <c r="M1316" i="12"/>
  <c r="N1316" i="12"/>
  <c r="O1316" i="12"/>
  <c r="P1316" i="12"/>
  <c r="Q1316" i="12"/>
  <c r="R1316" i="12"/>
  <c r="S1316" i="12"/>
  <c r="T1316" i="12"/>
  <c r="U1316" i="12"/>
  <c r="V1316" i="12"/>
  <c r="W1316" i="12"/>
  <c r="X1316" i="12"/>
  <c r="Y1316" i="12"/>
  <c r="Z1316" i="12"/>
  <c r="AA1316" i="12"/>
  <c r="AI1316" i="12"/>
  <c r="AJ1316" i="12"/>
  <c r="A1289" i="12"/>
  <c r="DH1289" i="12" s="1" a="1"/>
  <c r="B1289" i="12"/>
  <c r="C1289" i="12"/>
  <c r="D1289" i="12"/>
  <c r="E1289" i="12"/>
  <c r="F1289" i="12"/>
  <c r="G1289" i="12"/>
  <c r="H1289" i="12"/>
  <c r="I1289" i="12"/>
  <c r="J1289" i="12"/>
  <c r="K1289" i="12"/>
  <c r="M1289" i="12"/>
  <c r="N1289" i="12"/>
  <c r="O1289" i="12"/>
  <c r="P1289" i="12"/>
  <c r="Q1289" i="12"/>
  <c r="R1289" i="12"/>
  <c r="S1289" i="12"/>
  <c r="T1289" i="12"/>
  <c r="U1289" i="12"/>
  <c r="V1289" i="12"/>
  <c r="W1289" i="12"/>
  <c r="X1289" i="12"/>
  <c r="Y1289" i="12"/>
  <c r="Z1289" i="12"/>
  <c r="AA1289" i="12"/>
  <c r="AI1289" i="12"/>
  <c r="AJ1289" i="12"/>
  <c r="AK1289" i="12"/>
  <c r="AL1289" i="12"/>
  <c r="AM1289" i="12"/>
  <c r="A1290" i="12"/>
  <c r="DH1290" i="12" s="1" a="1"/>
  <c r="B1290" i="12"/>
  <c r="C1290" i="12"/>
  <c r="D1290" i="12"/>
  <c r="E1290" i="12"/>
  <c r="F1290" i="12" s="1"/>
  <c r="G1290" i="12"/>
  <c r="H1290" i="12"/>
  <c r="I1290" i="12"/>
  <c r="J1290" i="12"/>
  <c r="K1290" i="12"/>
  <c r="M1290" i="12"/>
  <c r="N1290" i="12"/>
  <c r="O1290" i="12"/>
  <c r="P1290" i="12"/>
  <c r="Q1290" i="12"/>
  <c r="R1290" i="12"/>
  <c r="S1290" i="12"/>
  <c r="T1290" i="12"/>
  <c r="U1290" i="12"/>
  <c r="V1290" i="12"/>
  <c r="W1290" i="12"/>
  <c r="X1290" i="12"/>
  <c r="Y1290" i="12"/>
  <c r="Z1290" i="12"/>
  <c r="AA1290" i="12"/>
  <c r="AI1290" i="12"/>
  <c r="AJ1290" i="12"/>
  <c r="AK1290" i="12"/>
  <c r="AL1290" i="12"/>
  <c r="AM1290" i="12"/>
  <c r="A1291" i="12"/>
  <c r="DH1291" i="12" s="1" a="1"/>
  <c r="B1291" i="12"/>
  <c r="C1291" i="12"/>
  <c r="D1291" i="12"/>
  <c r="E1291" i="12"/>
  <c r="H1291" i="12"/>
  <c r="I1291" i="12"/>
  <c r="J1291" i="12"/>
  <c r="K1291" i="12"/>
  <c r="M1291" i="12"/>
  <c r="N1291" i="12"/>
  <c r="O1291" i="12"/>
  <c r="P1291" i="12"/>
  <c r="Q1291" i="12"/>
  <c r="R1291" i="12"/>
  <c r="S1291" i="12"/>
  <c r="T1291" i="12"/>
  <c r="U1291" i="12"/>
  <c r="V1291" i="12"/>
  <c r="W1291" i="12"/>
  <c r="X1291" i="12"/>
  <c r="Y1291" i="12"/>
  <c r="Z1291" i="12"/>
  <c r="AA1291" i="12"/>
  <c r="AI1291" i="12"/>
  <c r="AJ1291" i="12"/>
  <c r="AK1291" i="12"/>
  <c r="AL1291" i="12"/>
  <c r="AM1291" i="12"/>
  <c r="A1292" i="12"/>
  <c r="DH1292" i="12" s="1" a="1"/>
  <c r="B1292" i="12"/>
  <c r="C1292" i="12"/>
  <c r="D1292" i="12"/>
  <c r="E1292" i="12"/>
  <c r="F1292" i="12" s="1"/>
  <c r="G1292" i="12"/>
  <c r="H1292" i="12"/>
  <c r="I1292" i="12"/>
  <c r="J1292" i="12"/>
  <c r="K1292" i="12"/>
  <c r="M1292" i="12"/>
  <c r="N1292" i="12"/>
  <c r="O1292" i="12"/>
  <c r="P1292" i="12"/>
  <c r="Q1292" i="12"/>
  <c r="R1292" i="12"/>
  <c r="S1292" i="12"/>
  <c r="T1292" i="12"/>
  <c r="U1292" i="12"/>
  <c r="V1292" i="12"/>
  <c r="W1292" i="12"/>
  <c r="X1292" i="12"/>
  <c r="Y1292" i="12"/>
  <c r="Z1292" i="12"/>
  <c r="AA1292" i="12"/>
  <c r="AI1292" i="12"/>
  <c r="AJ1292" i="12"/>
  <c r="AK1292" i="12"/>
  <c r="AL1292" i="12"/>
  <c r="AM1292" i="12"/>
  <c r="A1293" i="12"/>
  <c r="DH1293" i="12" s="1" a="1"/>
  <c r="B1293" i="12"/>
  <c r="C1293" i="12"/>
  <c r="D1293" i="12"/>
  <c r="E1293" i="12"/>
  <c r="F1293" i="12"/>
  <c r="G1293" i="12"/>
  <c r="H1293" i="12"/>
  <c r="I1293" i="12"/>
  <c r="J1293" i="12"/>
  <c r="K1293" i="12"/>
  <c r="M1293" i="12"/>
  <c r="N1293" i="12"/>
  <c r="O1293" i="12"/>
  <c r="P1293" i="12"/>
  <c r="Q1293" i="12"/>
  <c r="R1293" i="12"/>
  <c r="S1293" i="12"/>
  <c r="T1293" i="12"/>
  <c r="U1293" i="12"/>
  <c r="V1293" i="12"/>
  <c r="W1293" i="12"/>
  <c r="X1293" i="12"/>
  <c r="Y1293" i="12"/>
  <c r="Z1293" i="12"/>
  <c r="AA1293" i="12"/>
  <c r="AI1293" i="12"/>
  <c r="AJ1293" i="12"/>
  <c r="AK1293" i="12"/>
  <c r="AL1293" i="12"/>
  <c r="AM1293" i="12"/>
  <c r="A1294" i="12"/>
  <c r="DH1294" i="12" s="1" a="1"/>
  <c r="B1294" i="12"/>
  <c r="C1294" i="12"/>
  <c r="D1294" i="12"/>
  <c r="E1294" i="12"/>
  <c r="F1294" i="12" s="1"/>
  <c r="G1294" i="12"/>
  <c r="H1294" i="12"/>
  <c r="I1294" i="12"/>
  <c r="J1294" i="12"/>
  <c r="K1294" i="12"/>
  <c r="M1294" i="12"/>
  <c r="N1294" i="12"/>
  <c r="O1294" i="12"/>
  <c r="P1294" i="12"/>
  <c r="Q1294" i="12"/>
  <c r="R1294" i="12"/>
  <c r="S1294" i="12"/>
  <c r="T1294" i="12"/>
  <c r="U1294" i="12"/>
  <c r="V1294" i="12"/>
  <c r="W1294" i="12"/>
  <c r="X1294" i="12"/>
  <c r="Y1294" i="12"/>
  <c r="Z1294" i="12"/>
  <c r="AA1294" i="12"/>
  <c r="AI1294" i="12"/>
  <c r="AJ1294" i="12"/>
  <c r="AK1294" i="12"/>
  <c r="AL1294" i="12"/>
  <c r="AM1294" i="12"/>
  <c r="A1295" i="12"/>
  <c r="DH1295" i="12" s="1" a="1"/>
  <c r="B1295" i="12"/>
  <c r="C1295" i="12"/>
  <c r="D1295" i="12"/>
  <c r="E1295" i="12"/>
  <c r="F1295" i="12"/>
  <c r="G1295" i="12"/>
  <c r="H1295" i="12"/>
  <c r="I1295" i="12"/>
  <c r="J1295" i="12"/>
  <c r="K1295" i="12"/>
  <c r="M1295" i="12"/>
  <c r="N1295" i="12"/>
  <c r="O1295" i="12"/>
  <c r="P1295" i="12"/>
  <c r="Q1295" i="12"/>
  <c r="R1295" i="12"/>
  <c r="S1295" i="12"/>
  <c r="T1295" i="12"/>
  <c r="U1295" i="12"/>
  <c r="V1295" i="12"/>
  <c r="W1295" i="12"/>
  <c r="X1295" i="12"/>
  <c r="Y1295" i="12"/>
  <c r="Z1295" i="12"/>
  <c r="AA1295" i="12"/>
  <c r="AC1295" i="12"/>
  <c r="AI1295" i="12"/>
  <c r="AJ1295" i="12"/>
  <c r="AK1295" i="12"/>
  <c r="AL1295" i="12"/>
  <c r="AM1295" i="12"/>
  <c r="A1296" i="12"/>
  <c r="DH1296" i="12" s="1" a="1"/>
  <c r="B1296" i="12"/>
  <c r="C1296" i="12"/>
  <c r="D1296" i="12"/>
  <c r="E1296" i="12"/>
  <c r="I1296" i="12"/>
  <c r="J1296" i="12"/>
  <c r="K1296" i="12"/>
  <c r="M1296" i="12"/>
  <c r="N1296" i="12"/>
  <c r="O1296" i="12"/>
  <c r="P1296" i="12"/>
  <c r="Q1296" i="12"/>
  <c r="R1296" i="12"/>
  <c r="S1296" i="12"/>
  <c r="T1296" i="12"/>
  <c r="U1296" i="12"/>
  <c r="V1296" i="12"/>
  <c r="W1296" i="12"/>
  <c r="X1296" i="12"/>
  <c r="Y1296" i="12"/>
  <c r="Z1296" i="12"/>
  <c r="AA1296" i="12"/>
  <c r="AI1296" i="12"/>
  <c r="AJ1296" i="12"/>
  <c r="AK1296" i="12"/>
  <c r="AL1296" i="12"/>
  <c r="AM1296" i="12"/>
  <c r="A1297" i="12"/>
  <c r="DH1297" i="12" s="1" a="1"/>
  <c r="B1297" i="12"/>
  <c r="C1297" i="12"/>
  <c r="D1297" i="12"/>
  <c r="E1297" i="12"/>
  <c r="I1297" i="12"/>
  <c r="J1297" i="12"/>
  <c r="K1297" i="12"/>
  <c r="M1297" i="12"/>
  <c r="N1297" i="12"/>
  <c r="O1297" i="12"/>
  <c r="P1297" i="12"/>
  <c r="Q1297" i="12"/>
  <c r="R1297" i="12"/>
  <c r="S1297" i="12"/>
  <c r="T1297" i="12"/>
  <c r="U1297" i="12"/>
  <c r="V1297" i="12"/>
  <c r="W1297" i="12"/>
  <c r="X1297" i="12"/>
  <c r="Y1297" i="12"/>
  <c r="Z1297" i="12"/>
  <c r="AA1297" i="12"/>
  <c r="AI1297" i="12"/>
  <c r="AJ1297" i="12"/>
  <c r="AK1297" i="12"/>
  <c r="AL1297" i="12"/>
  <c r="AM1297" i="12"/>
  <c r="A1298" i="12"/>
  <c r="DH1298" i="12" s="1" a="1"/>
  <c r="B1298" i="12"/>
  <c r="C1298" i="12"/>
  <c r="D1298" i="12"/>
  <c r="E1298" i="12"/>
  <c r="F1298" i="12" s="1"/>
  <c r="G1298" i="12"/>
  <c r="H1298" i="12"/>
  <c r="I1298" i="12"/>
  <c r="J1298" i="12"/>
  <c r="K1298" i="12"/>
  <c r="M1298" i="12"/>
  <c r="N1298" i="12"/>
  <c r="O1298" i="12"/>
  <c r="P1298" i="12"/>
  <c r="Q1298" i="12"/>
  <c r="R1298" i="12"/>
  <c r="S1298" i="12"/>
  <c r="T1298" i="12"/>
  <c r="U1298" i="12"/>
  <c r="V1298" i="12"/>
  <c r="W1298" i="12"/>
  <c r="X1298" i="12"/>
  <c r="Y1298" i="12"/>
  <c r="Z1298" i="12"/>
  <c r="AA1298" i="12"/>
  <c r="AI1298" i="12"/>
  <c r="AJ1298" i="12"/>
  <c r="AK1298" i="12"/>
  <c r="AL1298" i="12"/>
  <c r="AM1298" i="12"/>
  <c r="A1299" i="12"/>
  <c r="DH1299" i="12" s="1" a="1"/>
  <c r="B1299" i="12"/>
  <c r="C1299" i="12"/>
  <c r="D1299" i="12"/>
  <c r="E1299" i="12"/>
  <c r="H1299" i="12"/>
  <c r="I1299" i="12"/>
  <c r="J1299" i="12"/>
  <c r="K1299" i="12"/>
  <c r="M1299" i="12"/>
  <c r="N1299" i="12"/>
  <c r="O1299" i="12"/>
  <c r="P1299" i="12"/>
  <c r="Q1299" i="12"/>
  <c r="R1299" i="12"/>
  <c r="S1299" i="12"/>
  <c r="T1299" i="12"/>
  <c r="U1299" i="12"/>
  <c r="V1299" i="12"/>
  <c r="W1299" i="12"/>
  <c r="X1299" i="12"/>
  <c r="Y1299" i="12"/>
  <c r="Z1299" i="12"/>
  <c r="AA1299" i="12"/>
  <c r="AI1299" i="12"/>
  <c r="AJ1299" i="12"/>
  <c r="AK1299" i="12"/>
  <c r="AL1299" i="12"/>
  <c r="AM1299" i="12"/>
  <c r="A1300" i="12"/>
  <c r="DH1300" i="12" s="1" a="1"/>
  <c r="B1300" i="12"/>
  <c r="C1300" i="12"/>
  <c r="D1300" i="12"/>
  <c r="E1300" i="12"/>
  <c r="H1300" i="12"/>
  <c r="I1300" i="12"/>
  <c r="J1300" i="12"/>
  <c r="K1300" i="12"/>
  <c r="M1300" i="12"/>
  <c r="N1300" i="12"/>
  <c r="O1300" i="12"/>
  <c r="P1300" i="12"/>
  <c r="Q1300" i="12"/>
  <c r="R1300" i="12"/>
  <c r="S1300" i="12"/>
  <c r="T1300" i="12"/>
  <c r="U1300" i="12"/>
  <c r="V1300" i="12"/>
  <c r="W1300" i="12"/>
  <c r="X1300" i="12"/>
  <c r="Y1300" i="12"/>
  <c r="Z1300" i="12"/>
  <c r="AA1300" i="12"/>
  <c r="AI1300" i="12"/>
  <c r="AJ1300" i="12"/>
  <c r="AK1300" i="12"/>
  <c r="AL1300" i="12"/>
  <c r="AM1300" i="12"/>
  <c r="A1301" i="12"/>
  <c r="DH1301" i="12" s="1" a="1"/>
  <c r="B1301" i="12"/>
  <c r="C1301" i="12"/>
  <c r="D1301" i="12"/>
  <c r="E1301" i="12"/>
  <c r="F1301" i="12" s="1"/>
  <c r="G1301" i="12"/>
  <c r="H1301" i="12"/>
  <c r="I1301" i="12"/>
  <c r="J1301" i="12"/>
  <c r="K1301" i="12"/>
  <c r="M1301" i="12"/>
  <c r="N1301" i="12"/>
  <c r="O1301" i="12"/>
  <c r="P1301" i="12"/>
  <c r="Q1301" i="12"/>
  <c r="R1301" i="12"/>
  <c r="S1301" i="12"/>
  <c r="T1301" i="12"/>
  <c r="U1301" i="12"/>
  <c r="V1301" i="12"/>
  <c r="W1301" i="12"/>
  <c r="X1301" i="12"/>
  <c r="Y1301" i="12"/>
  <c r="Z1301" i="12"/>
  <c r="AA1301" i="12"/>
  <c r="AI1301" i="12"/>
  <c r="AJ1301" i="12"/>
  <c r="AK1301" i="12"/>
  <c r="AL1301" i="12"/>
  <c r="AM1301" i="12"/>
  <c r="A1302" i="12"/>
  <c r="DH1302" i="12" s="1" a="1"/>
  <c r="B1302" i="12"/>
  <c r="C1302" i="12"/>
  <c r="D1302" i="12"/>
  <c r="E1302" i="12"/>
  <c r="H1302" i="12"/>
  <c r="I1302" i="12"/>
  <c r="J1302" i="12"/>
  <c r="K1302" i="12"/>
  <c r="M1302" i="12"/>
  <c r="N1302" i="12"/>
  <c r="O1302" i="12"/>
  <c r="P1302" i="12"/>
  <c r="Q1302" i="12"/>
  <c r="R1302" i="12"/>
  <c r="S1302" i="12"/>
  <c r="T1302" i="12"/>
  <c r="U1302" i="12"/>
  <c r="V1302" i="12"/>
  <c r="W1302" i="12"/>
  <c r="X1302" i="12"/>
  <c r="Y1302" i="12"/>
  <c r="Z1302" i="12"/>
  <c r="AA1302" i="12"/>
  <c r="AI1302" i="12"/>
  <c r="AJ1302" i="12"/>
  <c r="AK1302" i="12"/>
  <c r="AL1302" i="12"/>
  <c r="AM1302" i="12"/>
  <c r="A1275" i="12"/>
  <c r="DH1275" i="12" s="1" a="1"/>
  <c r="B1275" i="12"/>
  <c r="C1275" i="12"/>
  <c r="D1275" i="12"/>
  <c r="E1275" i="12"/>
  <c r="F1275" i="12" s="1"/>
  <c r="G1275" i="12"/>
  <c r="H1275" i="12"/>
  <c r="I1275" i="12"/>
  <c r="J1275" i="12"/>
  <c r="K1275" i="12"/>
  <c r="M1275" i="12"/>
  <c r="N1275" i="12"/>
  <c r="O1275" i="12"/>
  <c r="P1275" i="12"/>
  <c r="Q1275" i="12"/>
  <c r="R1275" i="12"/>
  <c r="S1275" i="12"/>
  <c r="T1275" i="12"/>
  <c r="U1275" i="12"/>
  <c r="V1275" i="12"/>
  <c r="W1275" i="12"/>
  <c r="X1275" i="12"/>
  <c r="Y1275" i="12"/>
  <c r="Z1275" i="12"/>
  <c r="AA1275" i="12"/>
  <c r="AI1275" i="12"/>
  <c r="AJ1275" i="12"/>
  <c r="AK1275" i="12"/>
  <c r="AL1275" i="12"/>
  <c r="AM1275" i="12"/>
  <c r="A1276" i="12"/>
  <c r="DH1276" i="12" s="1" a="1"/>
  <c r="B1276" i="12"/>
  <c r="C1276" i="12"/>
  <c r="D1276" i="12"/>
  <c r="E1276" i="12"/>
  <c r="F1276" i="12"/>
  <c r="G1276" i="12"/>
  <c r="H1276" i="12"/>
  <c r="I1276" i="12"/>
  <c r="J1276" i="12"/>
  <c r="K1276" i="12"/>
  <c r="M1276" i="12"/>
  <c r="N1276" i="12"/>
  <c r="O1276" i="12"/>
  <c r="P1276" i="12"/>
  <c r="Q1276" i="12"/>
  <c r="R1276" i="12"/>
  <c r="S1276" i="12"/>
  <c r="T1276" i="12"/>
  <c r="U1276" i="12"/>
  <c r="V1276" i="12"/>
  <c r="W1276" i="12"/>
  <c r="X1276" i="12"/>
  <c r="Y1276" i="12"/>
  <c r="Z1276" i="12"/>
  <c r="AA1276" i="12"/>
  <c r="AC1276" i="12"/>
  <c r="AI1276" i="12"/>
  <c r="AJ1276" i="12"/>
  <c r="AK1276" i="12"/>
  <c r="AL1276" i="12"/>
  <c r="AM1276" i="12"/>
  <c r="A1277" i="12"/>
  <c r="DH1277" i="12" s="1" a="1"/>
  <c r="B1277" i="12"/>
  <c r="C1277" i="12"/>
  <c r="D1277" i="12"/>
  <c r="E1277" i="12"/>
  <c r="H1277" i="12" s="1"/>
  <c r="I1277" i="12"/>
  <c r="J1277" i="12"/>
  <c r="K1277" i="12"/>
  <c r="M1277" i="12"/>
  <c r="N1277" i="12"/>
  <c r="O1277" i="12"/>
  <c r="P1277" i="12"/>
  <c r="Q1277" i="12"/>
  <c r="R1277" i="12"/>
  <c r="S1277" i="12"/>
  <c r="T1277" i="12"/>
  <c r="U1277" i="12"/>
  <c r="V1277" i="12"/>
  <c r="W1277" i="12"/>
  <c r="X1277" i="12"/>
  <c r="Y1277" i="12"/>
  <c r="Z1277" i="12"/>
  <c r="AA1277" i="12"/>
  <c r="AI1277" i="12"/>
  <c r="AJ1277" i="12"/>
  <c r="AK1277" i="12"/>
  <c r="AL1277" i="12"/>
  <c r="AM1277" i="12"/>
  <c r="A1278" i="12"/>
  <c r="DH1278" i="12" s="1" a="1"/>
  <c r="B1278" i="12"/>
  <c r="C1278" i="12"/>
  <c r="D1278" i="12"/>
  <c r="E1278" i="12"/>
  <c r="F1278" i="12"/>
  <c r="G1278" i="12"/>
  <c r="H1278" i="12"/>
  <c r="I1278" i="12"/>
  <c r="J1278" i="12"/>
  <c r="K1278" i="12"/>
  <c r="M1278" i="12"/>
  <c r="N1278" i="12"/>
  <c r="O1278" i="12"/>
  <c r="P1278" i="12"/>
  <c r="Q1278" i="12"/>
  <c r="R1278" i="12"/>
  <c r="S1278" i="12"/>
  <c r="T1278" i="12"/>
  <c r="U1278" i="12"/>
  <c r="V1278" i="12"/>
  <c r="W1278" i="12"/>
  <c r="X1278" i="12"/>
  <c r="Y1278" i="12"/>
  <c r="Z1278" i="12"/>
  <c r="AA1278" i="12"/>
  <c r="AC1278" i="12"/>
  <c r="AI1278" i="12"/>
  <c r="AJ1278" i="12"/>
  <c r="AK1278" i="12"/>
  <c r="AL1278" i="12"/>
  <c r="AM1278" i="12"/>
  <c r="A1279" i="12"/>
  <c r="DH1279" i="12" s="1" a="1"/>
  <c r="B1279" i="12"/>
  <c r="C1279" i="12"/>
  <c r="D1279" i="12"/>
  <c r="E1279" i="12"/>
  <c r="J1279" i="12"/>
  <c r="K1279" i="12"/>
  <c r="M1279" i="12"/>
  <c r="N1279" i="12"/>
  <c r="O1279" i="12"/>
  <c r="P1279" i="12"/>
  <c r="Q1279" i="12"/>
  <c r="R1279" i="12"/>
  <c r="S1279" i="12"/>
  <c r="T1279" i="12"/>
  <c r="U1279" i="12"/>
  <c r="V1279" i="12"/>
  <c r="W1279" i="12"/>
  <c r="X1279" i="12"/>
  <c r="Y1279" i="12"/>
  <c r="Z1279" i="12"/>
  <c r="AA1279" i="12"/>
  <c r="AI1279" i="12"/>
  <c r="AJ1279" i="12"/>
  <c r="AK1279" i="12"/>
  <c r="AL1279" i="12"/>
  <c r="AM1279" i="12"/>
  <c r="A1280" i="12"/>
  <c r="DH1280" i="12" s="1" a="1"/>
  <c r="B1280" i="12"/>
  <c r="C1280" i="12"/>
  <c r="D1280" i="12"/>
  <c r="E1280" i="12"/>
  <c r="F1280" i="12" s="1"/>
  <c r="G1280" i="12"/>
  <c r="H1280" i="12"/>
  <c r="I1280" i="12"/>
  <c r="J1280" i="12"/>
  <c r="K1280" i="12"/>
  <c r="M1280" i="12"/>
  <c r="N1280" i="12"/>
  <c r="O1280" i="12"/>
  <c r="P1280" i="12"/>
  <c r="Q1280" i="12"/>
  <c r="R1280" i="12"/>
  <c r="S1280" i="12"/>
  <c r="T1280" i="12"/>
  <c r="U1280" i="12"/>
  <c r="V1280" i="12"/>
  <c r="W1280" i="12"/>
  <c r="X1280" i="12"/>
  <c r="Y1280" i="12"/>
  <c r="Z1280" i="12"/>
  <c r="AA1280" i="12"/>
  <c r="AI1280" i="12"/>
  <c r="AJ1280" i="12"/>
  <c r="AK1280" i="12"/>
  <c r="AL1280" i="12"/>
  <c r="AM1280" i="12"/>
  <c r="A1281" i="12"/>
  <c r="DH1281" i="12" s="1" a="1"/>
  <c r="B1281" i="12"/>
  <c r="C1281" i="12"/>
  <c r="D1281" i="12"/>
  <c r="E1281" i="12"/>
  <c r="I1281" i="12"/>
  <c r="J1281" i="12"/>
  <c r="K1281" i="12"/>
  <c r="M1281" i="12"/>
  <c r="N1281" i="12"/>
  <c r="O1281" i="12"/>
  <c r="P1281" i="12"/>
  <c r="Q1281" i="12"/>
  <c r="R1281" i="12"/>
  <c r="S1281" i="12"/>
  <c r="T1281" i="12"/>
  <c r="U1281" i="12"/>
  <c r="V1281" i="12"/>
  <c r="W1281" i="12"/>
  <c r="X1281" i="12"/>
  <c r="Y1281" i="12"/>
  <c r="Z1281" i="12"/>
  <c r="AA1281" i="12"/>
  <c r="AI1281" i="12"/>
  <c r="AJ1281" i="12"/>
  <c r="AK1281" i="12"/>
  <c r="AL1281" i="12"/>
  <c r="AM1281" i="12"/>
  <c r="A1282" i="12"/>
  <c r="DH1282" i="12" s="1" a="1"/>
  <c r="B1282" i="12"/>
  <c r="C1282" i="12"/>
  <c r="D1282" i="12"/>
  <c r="E1282" i="12"/>
  <c r="F1282" i="12" s="1"/>
  <c r="G1282" i="12"/>
  <c r="H1282" i="12"/>
  <c r="I1282" i="12"/>
  <c r="J1282" i="12"/>
  <c r="A1283" i="12"/>
  <c r="DH1283" i="12" s="1" a="1"/>
  <c r="B1283" i="12"/>
  <c r="C1283" i="12"/>
  <c r="D1283" i="12"/>
  <c r="E1283" i="12"/>
  <c r="F1283" i="12" s="1"/>
  <c r="G1283" i="12"/>
  <c r="H1283" i="12"/>
  <c r="I1283" i="12"/>
  <c r="J1283" i="12"/>
  <c r="K1283" i="12"/>
  <c r="M1283" i="12"/>
  <c r="N1283" i="12"/>
  <c r="O1283" i="12"/>
  <c r="P1283" i="12"/>
  <c r="Q1283" i="12"/>
  <c r="R1283" i="12"/>
  <c r="S1283" i="12"/>
  <c r="T1283" i="12"/>
  <c r="U1283" i="12"/>
  <c r="V1283" i="12"/>
  <c r="W1283" i="12"/>
  <c r="X1283" i="12"/>
  <c r="Y1283" i="12"/>
  <c r="Z1283" i="12"/>
  <c r="AA1283" i="12"/>
  <c r="AI1283" i="12"/>
  <c r="AJ1283" i="12"/>
  <c r="AK1283" i="12"/>
  <c r="AL1283" i="12"/>
  <c r="AM1283" i="12"/>
  <c r="A1284" i="12"/>
  <c r="DH1284" i="12" s="1" a="1"/>
  <c r="B1284" i="12"/>
  <c r="C1284" i="12"/>
  <c r="D1284" i="12"/>
  <c r="E1284" i="12"/>
  <c r="F1284" i="12" s="1"/>
  <c r="G1284" i="12"/>
  <c r="H1284" i="12"/>
  <c r="I1284" i="12"/>
  <c r="J1284" i="12"/>
  <c r="K1284" i="12"/>
  <c r="M1284" i="12"/>
  <c r="N1284" i="12"/>
  <c r="O1284" i="12"/>
  <c r="P1284" i="12"/>
  <c r="Q1284" i="12"/>
  <c r="R1284" i="12"/>
  <c r="S1284" i="12"/>
  <c r="T1284" i="12"/>
  <c r="U1284" i="12"/>
  <c r="V1284" i="12"/>
  <c r="W1284" i="12"/>
  <c r="X1284" i="12"/>
  <c r="Y1284" i="12"/>
  <c r="Z1284" i="12"/>
  <c r="AA1284" i="12"/>
  <c r="AI1284" i="12"/>
  <c r="AJ1284" i="12"/>
  <c r="AK1284" i="12"/>
  <c r="AL1284" i="12"/>
  <c r="AM1284" i="12"/>
  <c r="A1285" i="12"/>
  <c r="DH1285" i="12" s="1" a="1"/>
  <c r="B1285" i="12"/>
  <c r="C1285" i="12"/>
  <c r="D1285" i="12"/>
  <c r="E1285" i="12"/>
  <c r="J1285" i="12"/>
  <c r="K1285" i="12"/>
  <c r="M1285" i="12"/>
  <c r="N1285" i="12"/>
  <c r="O1285" i="12"/>
  <c r="P1285" i="12"/>
  <c r="Q1285" i="12"/>
  <c r="R1285" i="12"/>
  <c r="S1285" i="12"/>
  <c r="T1285" i="12"/>
  <c r="U1285" i="12"/>
  <c r="V1285" i="12"/>
  <c r="A1286" i="12"/>
  <c r="DH1286" i="12" s="1" a="1"/>
  <c r="B1286" i="12"/>
  <c r="C1286" i="12"/>
  <c r="D1286" i="12"/>
  <c r="E1286" i="12"/>
  <c r="H1286" i="12"/>
  <c r="I1286" i="12"/>
  <c r="J1286" i="12"/>
  <c r="K1286" i="12"/>
  <c r="M1286" i="12"/>
  <c r="N1286" i="12"/>
  <c r="O1286" i="12"/>
  <c r="P1286" i="12"/>
  <c r="Q1286" i="12"/>
  <c r="R1286" i="12"/>
  <c r="S1286" i="12"/>
  <c r="T1286" i="12"/>
  <c r="U1286" i="12"/>
  <c r="V1286" i="12"/>
  <c r="W1286" i="12"/>
  <c r="X1286" i="12"/>
  <c r="Y1286" i="12"/>
  <c r="Z1286" i="12"/>
  <c r="AA1286" i="12"/>
  <c r="AI1286" i="12"/>
  <c r="AJ1286" i="12"/>
  <c r="AK1286" i="12"/>
  <c r="AL1286" i="12"/>
  <c r="AM1286" i="12"/>
  <c r="A1287" i="12"/>
  <c r="DH1287" i="12" s="1" a="1"/>
  <c r="B1287" i="12"/>
  <c r="C1287" i="12"/>
  <c r="D1287" i="12"/>
  <c r="E1287" i="12"/>
  <c r="F1287" i="12"/>
  <c r="G1287" i="12"/>
  <c r="H1287" i="12"/>
  <c r="I1287" i="12"/>
  <c r="J1287" i="12"/>
  <c r="K1287" i="12"/>
  <c r="M1287" i="12"/>
  <c r="N1287" i="12"/>
  <c r="O1287" i="12"/>
  <c r="P1287" i="12"/>
  <c r="Q1287" i="12"/>
  <c r="R1287" i="12"/>
  <c r="S1287" i="12"/>
  <c r="T1287" i="12"/>
  <c r="U1287" i="12"/>
  <c r="V1287" i="12"/>
  <c r="W1287" i="12"/>
  <c r="X1287" i="12"/>
  <c r="Y1287" i="12"/>
  <c r="Z1287" i="12"/>
  <c r="AA1287" i="12"/>
  <c r="AI1287" i="12"/>
  <c r="AJ1287" i="12"/>
  <c r="AK1287" i="12"/>
  <c r="AL1287" i="12"/>
  <c r="AM1287" i="12"/>
  <c r="A1288" i="12"/>
  <c r="DH1288" i="12" s="1" a="1"/>
  <c r="B1288" i="12"/>
  <c r="C1288" i="12"/>
  <c r="D1288" i="12"/>
  <c r="E1288" i="12"/>
  <c r="J1288" i="12"/>
  <c r="K1288" i="12"/>
  <c r="M1288" i="12"/>
  <c r="N1288" i="12"/>
  <c r="O1288" i="12"/>
  <c r="P1288" i="12"/>
  <c r="Q1288" i="12"/>
  <c r="R1288" i="12"/>
  <c r="S1288" i="12"/>
  <c r="T1288" i="12"/>
  <c r="U1288" i="12"/>
  <c r="V1288" i="12"/>
  <c r="W1288" i="12"/>
  <c r="X1288" i="12"/>
  <c r="Y1288" i="12"/>
  <c r="Z1288" i="12"/>
  <c r="AA1288" i="12"/>
  <c r="AI1288" i="12"/>
  <c r="AJ1288" i="12"/>
  <c r="AK1288" i="12"/>
  <c r="AL1288" i="12"/>
  <c r="AM1288" i="12"/>
  <c r="A1261" i="12"/>
  <c r="DH1261" i="12" s="1" a="1"/>
  <c r="B1261" i="12"/>
  <c r="C1261" i="12"/>
  <c r="D1261" i="12"/>
  <c r="E1261" i="12"/>
  <c r="F1261" i="12"/>
  <c r="G1261" i="12"/>
  <c r="H1261" i="12"/>
  <c r="I1261" i="12"/>
  <c r="J1261" i="12"/>
  <c r="K1261" i="12"/>
  <c r="M1261" i="12"/>
  <c r="N1261" i="12"/>
  <c r="O1261" i="12"/>
  <c r="P1261" i="12"/>
  <c r="Q1261" i="12"/>
  <c r="R1261" i="12"/>
  <c r="S1261" i="12"/>
  <c r="T1261" i="12"/>
  <c r="U1261" i="12"/>
  <c r="V1261" i="12"/>
  <c r="W1261" i="12"/>
  <c r="X1261" i="12"/>
  <c r="Y1261" i="12"/>
  <c r="Z1261" i="12"/>
  <c r="AA1261" i="12"/>
  <c r="AI1261" i="12"/>
  <c r="AJ1261" i="12"/>
  <c r="AK1261" i="12"/>
  <c r="AL1261" i="12"/>
  <c r="AM1261" i="12"/>
  <c r="A1262" i="12"/>
  <c r="DH1262" i="12" s="1" a="1"/>
  <c r="B1262" i="12"/>
  <c r="C1262" i="12"/>
  <c r="D1262" i="12"/>
  <c r="E1262" i="12"/>
  <c r="F1262" i="12"/>
  <c r="G1262" i="12"/>
  <c r="H1262" i="12"/>
  <c r="I1262" i="12"/>
  <c r="J1262" i="12"/>
  <c r="K1262" i="12"/>
  <c r="M1262" i="12"/>
  <c r="N1262" i="12"/>
  <c r="O1262" i="12"/>
  <c r="P1262" i="12"/>
  <c r="Q1262" i="12"/>
  <c r="R1262" i="12"/>
  <c r="S1262" i="12"/>
  <c r="A1263" i="12"/>
  <c r="DH1263" i="12" s="1" a="1"/>
  <c r="B1263" i="12"/>
  <c r="C1263" i="12"/>
  <c r="D1263" i="12"/>
  <c r="E1263" i="12"/>
  <c r="F1263" i="12"/>
  <c r="G1263" i="12"/>
  <c r="H1263" i="12"/>
  <c r="I1263" i="12"/>
  <c r="J1263" i="12"/>
  <c r="K1263" i="12"/>
  <c r="M1263" i="12"/>
  <c r="N1263" i="12"/>
  <c r="O1263" i="12"/>
  <c r="P1263" i="12"/>
  <c r="Q1263" i="12"/>
  <c r="R1263" i="12"/>
  <c r="S1263" i="12"/>
  <c r="T1263" i="12"/>
  <c r="U1263" i="12"/>
  <c r="V1263" i="12"/>
  <c r="W1263" i="12"/>
  <c r="X1263" i="12"/>
  <c r="Y1263" i="12"/>
  <c r="Z1263" i="12"/>
  <c r="AA1263" i="12"/>
  <c r="AC1263" i="12"/>
  <c r="AI1263" i="12"/>
  <c r="AJ1263" i="12"/>
  <c r="AK1263" i="12"/>
  <c r="AL1263" i="12"/>
  <c r="AM1263" i="12"/>
  <c r="A1264" i="12"/>
  <c r="B1264" i="12"/>
  <c r="C1264" i="12"/>
  <c r="D1264" i="12"/>
  <c r="A1265" i="12"/>
  <c r="DH1265" i="12" s="1" a="1"/>
  <c r="B1265" i="12"/>
  <c r="C1265" i="12"/>
  <c r="D1265" i="12"/>
  <c r="E1265" i="12"/>
  <c r="H1265" i="12"/>
  <c r="I1265" i="12"/>
  <c r="J1265" i="12"/>
  <c r="K1265" i="12"/>
  <c r="M1265" i="12"/>
  <c r="N1265" i="12"/>
  <c r="O1265" i="12"/>
  <c r="P1265" i="12"/>
  <c r="Q1265" i="12"/>
  <c r="R1265" i="12"/>
  <c r="S1265" i="12"/>
  <c r="T1265" i="12"/>
  <c r="U1265" i="12"/>
  <c r="V1265" i="12"/>
  <c r="W1265" i="12"/>
  <c r="X1265" i="12"/>
  <c r="Y1265" i="12"/>
  <c r="Z1265" i="12"/>
  <c r="AA1265" i="12"/>
  <c r="AI1265" i="12"/>
  <c r="AJ1265" i="12"/>
  <c r="AK1265" i="12"/>
  <c r="AL1265" i="12"/>
  <c r="AM1265" i="12"/>
  <c r="A1266" i="12"/>
  <c r="DH1266" i="12" s="1" a="1"/>
  <c r="B1266" i="12"/>
  <c r="C1266" i="12"/>
  <c r="D1266" i="12"/>
  <c r="E1266" i="12"/>
  <c r="F1266" i="12"/>
  <c r="G1266" i="12"/>
  <c r="H1266" i="12"/>
  <c r="I1266" i="12"/>
  <c r="J1266" i="12"/>
  <c r="K1266" i="12"/>
  <c r="M1266" i="12"/>
  <c r="N1266" i="12"/>
  <c r="O1266" i="12"/>
  <c r="P1266" i="12"/>
  <c r="Q1266" i="12"/>
  <c r="R1266" i="12"/>
  <c r="S1266" i="12"/>
  <c r="T1266" i="12"/>
  <c r="U1266" i="12"/>
  <c r="V1266" i="12"/>
  <c r="W1266" i="12"/>
  <c r="X1266" i="12"/>
  <c r="Y1266" i="12"/>
  <c r="Z1266" i="12"/>
  <c r="AA1266" i="12"/>
  <c r="AC1266" i="12"/>
  <c r="AI1266" i="12"/>
  <c r="AJ1266" i="12"/>
  <c r="AK1266" i="12"/>
  <c r="AL1266" i="12"/>
  <c r="AM1266" i="12"/>
  <c r="A1267" i="12"/>
  <c r="DH1267" i="12" s="1" a="1"/>
  <c r="B1267" i="12"/>
  <c r="C1267" i="12"/>
  <c r="D1267" i="12"/>
  <c r="E1267" i="12"/>
  <c r="F1267" i="12" s="1"/>
  <c r="G1267" i="12"/>
  <c r="H1267" i="12"/>
  <c r="I1267" i="12"/>
  <c r="J1267" i="12"/>
  <c r="K1267" i="12"/>
  <c r="M1267" i="12"/>
  <c r="N1267" i="12"/>
  <c r="O1267" i="12"/>
  <c r="P1267" i="12"/>
  <c r="Q1267" i="12"/>
  <c r="R1267" i="12"/>
  <c r="S1267" i="12"/>
  <c r="T1267" i="12"/>
  <c r="U1267" i="12"/>
  <c r="V1267" i="12"/>
  <c r="W1267" i="12"/>
  <c r="X1267" i="12"/>
  <c r="Y1267" i="12"/>
  <c r="Z1267" i="12"/>
  <c r="AA1267" i="12"/>
  <c r="AI1267" i="12"/>
  <c r="AJ1267" i="12"/>
  <c r="AK1267" i="12"/>
  <c r="AL1267" i="12"/>
  <c r="AM1267" i="12"/>
  <c r="A1268" i="12"/>
  <c r="DH1268" i="12" s="1" a="1"/>
  <c r="B1268" i="12"/>
  <c r="C1268" i="12"/>
  <c r="D1268" i="12"/>
  <c r="E1268" i="12"/>
  <c r="F1268" i="12"/>
  <c r="G1268" i="12"/>
  <c r="H1268" i="12"/>
  <c r="I1268" i="12"/>
  <c r="J1268" i="12"/>
  <c r="K1268" i="12"/>
  <c r="M1268" i="12"/>
  <c r="N1268" i="12"/>
  <c r="O1268" i="12"/>
  <c r="P1268" i="12"/>
  <c r="Q1268" i="12"/>
  <c r="R1268" i="12"/>
  <c r="S1268" i="12"/>
  <c r="T1268" i="12"/>
  <c r="U1268" i="12"/>
  <c r="V1268" i="12"/>
  <c r="W1268" i="12"/>
  <c r="X1268" i="12"/>
  <c r="Y1268" i="12"/>
  <c r="Z1268" i="12"/>
  <c r="AA1268" i="12"/>
  <c r="AC1268" i="12"/>
  <c r="AI1268" i="12"/>
  <c r="AJ1268" i="12"/>
  <c r="AK1268" i="12"/>
  <c r="AL1268" i="12"/>
  <c r="AM1268" i="12"/>
  <c r="A1269" i="12"/>
  <c r="DH1269" i="12" s="1" a="1"/>
  <c r="B1269" i="12"/>
  <c r="C1269" i="12"/>
  <c r="D1269" i="12"/>
  <c r="E1269" i="12"/>
  <c r="F1269" i="12" s="1"/>
  <c r="G1269" i="12"/>
  <c r="H1269" i="12"/>
  <c r="I1269" i="12"/>
  <c r="J1269" i="12"/>
  <c r="K1269" i="12"/>
  <c r="M1269" i="12"/>
  <c r="N1269" i="12"/>
  <c r="O1269" i="12"/>
  <c r="P1269" i="12"/>
  <c r="Q1269" i="12"/>
  <c r="A1270" i="12"/>
  <c r="DH1270" i="12" s="1" a="1"/>
  <c r="B1270" i="12"/>
  <c r="C1270" i="12"/>
  <c r="D1270" i="12"/>
  <c r="E1270" i="12"/>
  <c r="F1270" i="12"/>
  <c r="G1270" i="12"/>
  <c r="H1270" i="12"/>
  <c r="I1270" i="12"/>
  <c r="J1270" i="12"/>
  <c r="K1270" i="12"/>
  <c r="M1270" i="12"/>
  <c r="N1270" i="12"/>
  <c r="O1270" i="12"/>
  <c r="P1270" i="12"/>
  <c r="Q1270" i="12"/>
  <c r="R1270" i="12"/>
  <c r="S1270" i="12"/>
  <c r="T1270" i="12"/>
  <c r="U1270" i="12"/>
  <c r="V1270" i="12"/>
  <c r="W1270" i="12"/>
  <c r="X1270" i="12"/>
  <c r="Y1270" i="12"/>
  <c r="Z1270" i="12"/>
  <c r="AA1270" i="12"/>
  <c r="AI1270" i="12"/>
  <c r="AJ1270" i="12"/>
  <c r="AK1270" i="12"/>
  <c r="AL1270" i="12"/>
  <c r="AM1270" i="12"/>
  <c r="A1271" i="12"/>
  <c r="DH1271" i="12" s="1" a="1"/>
  <c r="B1271" i="12"/>
  <c r="C1271" i="12"/>
  <c r="D1271" i="12"/>
  <c r="E1271" i="12"/>
  <c r="F1271" i="12"/>
  <c r="G1271" i="12"/>
  <c r="H1271" i="12"/>
  <c r="I1271" i="12"/>
  <c r="J1271" i="12"/>
  <c r="K1271" i="12"/>
  <c r="M1271" i="12"/>
  <c r="N1271" i="12"/>
  <c r="O1271" i="12"/>
  <c r="P1271" i="12"/>
  <c r="Q1271" i="12"/>
  <c r="R1271" i="12"/>
  <c r="S1271" i="12"/>
  <c r="T1271" i="12"/>
  <c r="U1271" i="12"/>
  <c r="V1271" i="12"/>
  <c r="W1271" i="12"/>
  <c r="X1271" i="12"/>
  <c r="Y1271" i="12"/>
  <c r="Z1271" i="12"/>
  <c r="AA1271" i="12"/>
  <c r="AI1271" i="12"/>
  <c r="AJ1271" i="12"/>
  <c r="AK1271" i="12"/>
  <c r="AL1271" i="12"/>
  <c r="AM1271" i="12"/>
  <c r="A1272" i="12"/>
  <c r="DH1272" i="12" s="1" a="1"/>
  <c r="B1272" i="12"/>
  <c r="C1272" i="12"/>
  <c r="D1272" i="12"/>
  <c r="E1272" i="12"/>
  <c r="A1273" i="12"/>
  <c r="DH1273" i="12" s="1" a="1"/>
  <c r="B1273" i="12"/>
  <c r="C1273" i="12"/>
  <c r="D1273" i="12"/>
  <c r="E1273" i="12"/>
  <c r="K1273" i="12"/>
  <c r="M1273" i="12"/>
  <c r="N1273" i="12"/>
  <c r="O1273" i="12"/>
  <c r="P1273" i="12"/>
  <c r="Q1273" i="12"/>
  <c r="R1273" i="12"/>
  <c r="S1273" i="12"/>
  <c r="T1273" i="12"/>
  <c r="U1273" i="12"/>
  <c r="V1273" i="12"/>
  <c r="W1273" i="12"/>
  <c r="X1273" i="12"/>
  <c r="Y1273" i="12"/>
  <c r="Z1273" i="12"/>
  <c r="AA1273" i="12"/>
  <c r="AI1273" i="12"/>
  <c r="AJ1273" i="12"/>
  <c r="AK1273" i="12"/>
  <c r="AL1273" i="12"/>
  <c r="AM1273" i="12"/>
  <c r="A1274" i="12"/>
  <c r="DH1274" i="12" s="1" a="1"/>
  <c r="B1274" i="12"/>
  <c r="C1274" i="12"/>
  <c r="D1274" i="12"/>
  <c r="E1274" i="12"/>
  <c r="F1274" i="12" s="1"/>
  <c r="G1274" i="12"/>
  <c r="H1274" i="12"/>
  <c r="I1274" i="12"/>
  <c r="J1274" i="12"/>
  <c r="K1274" i="12"/>
  <c r="M1274" i="12"/>
  <c r="N1274" i="12"/>
  <c r="O1274" i="12"/>
  <c r="P1274" i="12"/>
  <c r="Q1274" i="12"/>
  <c r="R1274" i="12"/>
  <c r="S1274" i="12"/>
  <c r="T1274" i="12"/>
  <c r="U1274" i="12"/>
  <c r="V1274" i="12"/>
  <c r="W1274" i="12"/>
  <c r="X1274" i="12"/>
  <c r="Y1274" i="12"/>
  <c r="Z1274" i="12"/>
  <c r="AA1274" i="12"/>
  <c r="AI1274" i="12"/>
  <c r="AJ1274" i="12"/>
  <c r="AK1274" i="12"/>
  <c r="AL1274" i="12"/>
  <c r="AM1274" i="12"/>
  <c r="A1247" i="12"/>
  <c r="DH1247" i="12" s="1" a="1"/>
  <c r="B1247" i="12"/>
  <c r="C1247" i="12"/>
  <c r="D1247" i="12"/>
  <c r="E1247" i="12"/>
  <c r="F1247" i="12"/>
  <c r="G1247" i="12"/>
  <c r="AC1247" i="12" s="1"/>
  <c r="H1247" i="12"/>
  <c r="I1247" i="12"/>
  <c r="J1247" i="12"/>
  <c r="K1247" i="12"/>
  <c r="M1247" i="12"/>
  <c r="N1247" i="12"/>
  <c r="O1247" i="12"/>
  <c r="P1247" i="12"/>
  <c r="Q1247" i="12"/>
  <c r="R1247" i="12"/>
  <c r="S1247" i="12"/>
  <c r="T1247" i="12"/>
  <c r="U1247" i="12"/>
  <c r="V1247" i="12"/>
  <c r="W1247" i="12"/>
  <c r="X1247" i="12"/>
  <c r="Y1247" i="12"/>
  <c r="Z1247" i="12"/>
  <c r="AA1247" i="12"/>
  <c r="AI1247" i="12"/>
  <c r="AJ1247" i="12"/>
  <c r="AK1247" i="12"/>
  <c r="AL1247" i="12"/>
  <c r="AM1247" i="12"/>
  <c r="A1248" i="12"/>
  <c r="DH1248" i="12" s="1" a="1"/>
  <c r="B1248" i="12"/>
  <c r="C1248" i="12"/>
  <c r="D1248" i="12"/>
  <c r="E1248" i="12"/>
  <c r="F1248" i="12"/>
  <c r="G1248" i="12"/>
  <c r="H1248" i="12"/>
  <c r="I1248" i="12"/>
  <c r="J1248" i="12"/>
  <c r="K1248" i="12"/>
  <c r="M1248" i="12"/>
  <c r="N1248" i="12"/>
  <c r="O1248" i="12"/>
  <c r="P1248" i="12"/>
  <c r="Q1248" i="12"/>
  <c r="R1248" i="12"/>
  <c r="S1248" i="12"/>
  <c r="T1248" i="12"/>
  <c r="U1248" i="12"/>
  <c r="V1248" i="12"/>
  <c r="W1248" i="12"/>
  <c r="X1248" i="12"/>
  <c r="Y1248" i="12"/>
  <c r="Z1248" i="12"/>
  <c r="AA1248" i="12"/>
  <c r="AC1248" i="12"/>
  <c r="AI1248" i="12"/>
  <c r="AJ1248" i="12"/>
  <c r="AK1248" i="12"/>
  <c r="AL1248" i="12"/>
  <c r="AM1248" i="12"/>
  <c r="A1249" i="12"/>
  <c r="DH1249" i="12" s="1" a="1"/>
  <c r="B1249" i="12"/>
  <c r="C1249" i="12"/>
  <c r="D1249" i="12"/>
  <c r="E1249" i="12"/>
  <c r="F1249" i="12"/>
  <c r="G1249" i="12"/>
  <c r="H1249" i="12"/>
  <c r="I1249" i="12"/>
  <c r="J1249" i="12"/>
  <c r="K1249" i="12"/>
  <c r="M1249" i="12"/>
  <c r="N1249" i="12"/>
  <c r="O1249" i="12"/>
  <c r="P1249" i="12"/>
  <c r="Q1249" i="12"/>
  <c r="R1249" i="12"/>
  <c r="S1249" i="12"/>
  <c r="T1249" i="12"/>
  <c r="U1249" i="12"/>
  <c r="V1249" i="12"/>
  <c r="W1249" i="12"/>
  <c r="X1249" i="12"/>
  <c r="Y1249" i="12"/>
  <c r="Z1249" i="12"/>
  <c r="AA1249" i="12"/>
  <c r="AC1249" i="12"/>
  <c r="AI1249" i="12"/>
  <c r="AJ1249" i="12"/>
  <c r="AK1249" i="12"/>
  <c r="AL1249" i="12"/>
  <c r="AM1249" i="12"/>
  <c r="A1250" i="12"/>
  <c r="DH1250" i="12" s="1" a="1"/>
  <c r="B1250" i="12"/>
  <c r="C1250" i="12"/>
  <c r="D1250" i="12"/>
  <c r="E1250" i="12"/>
  <c r="F1250" i="12" s="1"/>
  <c r="G1250" i="12"/>
  <c r="H1250" i="12"/>
  <c r="I1250" i="12"/>
  <c r="J1250" i="12"/>
  <c r="K1250" i="12"/>
  <c r="M1250" i="12"/>
  <c r="N1250" i="12"/>
  <c r="O1250" i="12"/>
  <c r="P1250" i="12"/>
  <c r="Q1250" i="12"/>
  <c r="R1250" i="12"/>
  <c r="S1250" i="12"/>
  <c r="T1250" i="12"/>
  <c r="U1250" i="12"/>
  <c r="V1250" i="12"/>
  <c r="W1250" i="12"/>
  <c r="X1250" i="12"/>
  <c r="Y1250" i="12"/>
  <c r="Z1250" i="12"/>
  <c r="AA1250" i="12"/>
  <c r="AI1250" i="12"/>
  <c r="AJ1250" i="12"/>
  <c r="AK1250" i="12"/>
  <c r="AL1250" i="12"/>
  <c r="AM1250" i="12"/>
  <c r="A1251" i="12"/>
  <c r="DH1251" i="12" s="1" a="1"/>
  <c r="B1251" i="12"/>
  <c r="C1251" i="12"/>
  <c r="D1251" i="12"/>
  <c r="E1251" i="12"/>
  <c r="F1251" i="12"/>
  <c r="G1251" i="12"/>
  <c r="H1251" i="12"/>
  <c r="I1251" i="12"/>
  <c r="J1251" i="12"/>
  <c r="K1251" i="12"/>
  <c r="M1251" i="12"/>
  <c r="N1251" i="12"/>
  <c r="O1251" i="12"/>
  <c r="P1251" i="12"/>
  <c r="Q1251" i="12"/>
  <c r="R1251" i="12"/>
  <c r="S1251" i="12"/>
  <c r="T1251" i="12"/>
  <c r="U1251" i="12"/>
  <c r="V1251" i="12"/>
  <c r="W1251" i="12"/>
  <c r="X1251" i="12"/>
  <c r="Y1251" i="12"/>
  <c r="Z1251" i="12"/>
  <c r="AA1251" i="12"/>
  <c r="AI1251" i="12"/>
  <c r="AJ1251" i="12"/>
  <c r="AK1251" i="12"/>
  <c r="AL1251" i="12"/>
  <c r="AM1251" i="12"/>
  <c r="A1252" i="12"/>
  <c r="DH1252" i="12" s="1" a="1"/>
  <c r="B1252" i="12"/>
  <c r="C1252" i="12"/>
  <c r="D1252" i="12"/>
  <c r="E1252" i="12"/>
  <c r="F1252" i="12"/>
  <c r="G1252" i="12"/>
  <c r="H1252" i="12"/>
  <c r="I1252" i="12"/>
  <c r="J1252" i="12"/>
  <c r="K1252" i="12"/>
  <c r="M1252" i="12"/>
  <c r="N1252" i="12"/>
  <c r="O1252" i="12"/>
  <c r="P1252" i="12"/>
  <c r="Q1252" i="12"/>
  <c r="R1252" i="12"/>
  <c r="S1252" i="12"/>
  <c r="T1252" i="12"/>
  <c r="U1252" i="12"/>
  <c r="V1252" i="12"/>
  <c r="W1252" i="12"/>
  <c r="X1252" i="12"/>
  <c r="Y1252" i="12"/>
  <c r="Z1252" i="12"/>
  <c r="AA1252" i="12"/>
  <c r="AC1252" i="12"/>
  <c r="AI1252" i="12"/>
  <c r="AJ1252" i="12"/>
  <c r="AK1252" i="12"/>
  <c r="AL1252" i="12"/>
  <c r="AM1252" i="12"/>
  <c r="A1253" i="12"/>
  <c r="DH1253" i="12" s="1" a="1"/>
  <c r="B1253" i="12"/>
  <c r="C1253" i="12"/>
  <c r="D1253" i="12"/>
  <c r="E1253" i="12"/>
  <c r="F1253" i="12"/>
  <c r="G1253" i="12"/>
  <c r="H1253" i="12"/>
  <c r="I1253" i="12"/>
  <c r="J1253" i="12"/>
  <c r="K1253" i="12"/>
  <c r="M1253" i="12"/>
  <c r="N1253" i="12"/>
  <c r="O1253" i="12"/>
  <c r="P1253" i="12"/>
  <c r="Q1253" i="12"/>
  <c r="R1253" i="12"/>
  <c r="S1253" i="12"/>
  <c r="T1253" i="12"/>
  <c r="U1253" i="12"/>
  <c r="V1253" i="12"/>
  <c r="W1253" i="12"/>
  <c r="X1253" i="12"/>
  <c r="Y1253" i="12"/>
  <c r="A1254" i="12"/>
  <c r="DH1254" i="12" s="1" a="1"/>
  <c r="B1254" i="12"/>
  <c r="C1254" i="12"/>
  <c r="D1254" i="12"/>
  <c r="E1254" i="12"/>
  <c r="H1254" i="12"/>
  <c r="I1254" i="12"/>
  <c r="J1254" i="12"/>
  <c r="K1254" i="12"/>
  <c r="M1254" i="12"/>
  <c r="N1254" i="12"/>
  <c r="O1254" i="12"/>
  <c r="P1254" i="12"/>
  <c r="Q1254" i="12"/>
  <c r="R1254" i="12"/>
  <c r="S1254" i="12"/>
  <c r="T1254" i="12"/>
  <c r="U1254" i="12"/>
  <c r="V1254" i="12"/>
  <c r="W1254" i="12"/>
  <c r="X1254" i="12"/>
  <c r="Y1254" i="12"/>
  <c r="Z1254" i="12"/>
  <c r="AA1254" i="12"/>
  <c r="AI1254" i="12"/>
  <c r="AJ1254" i="12"/>
  <c r="AK1254" i="12"/>
  <c r="AL1254" i="12"/>
  <c r="AM1254" i="12"/>
  <c r="A1255" i="12"/>
  <c r="DH1255" i="12" s="1" a="1"/>
  <c r="B1255" i="12"/>
  <c r="C1255" i="12"/>
  <c r="D1255" i="12"/>
  <c r="E1255" i="12"/>
  <c r="F1255" i="12"/>
  <c r="G1255" i="12"/>
  <c r="H1255" i="12"/>
  <c r="I1255" i="12"/>
  <c r="J1255" i="12"/>
  <c r="K1255" i="12"/>
  <c r="M1255" i="12"/>
  <c r="N1255" i="12"/>
  <c r="O1255" i="12"/>
  <c r="P1255" i="12"/>
  <c r="Q1255" i="12"/>
  <c r="R1255" i="12"/>
  <c r="S1255" i="12"/>
  <c r="T1255" i="12"/>
  <c r="U1255" i="12"/>
  <c r="V1255" i="12"/>
  <c r="W1255" i="12"/>
  <c r="X1255" i="12"/>
  <c r="Y1255" i="12"/>
  <c r="Z1255" i="12"/>
  <c r="AA1255" i="12"/>
  <c r="AC1255" i="12"/>
  <c r="AI1255" i="12"/>
  <c r="AJ1255" i="12"/>
  <c r="AK1255" i="12"/>
  <c r="AL1255" i="12"/>
  <c r="AM1255" i="12"/>
  <c r="A1256" i="12"/>
  <c r="DH1256" i="12" s="1" a="1"/>
  <c r="B1256" i="12"/>
  <c r="C1256" i="12"/>
  <c r="D1256" i="12"/>
  <c r="E1256" i="12"/>
  <c r="I1256" i="12"/>
  <c r="J1256" i="12"/>
  <c r="K1256" i="12"/>
  <c r="M1256" i="12"/>
  <c r="N1256" i="12"/>
  <c r="O1256" i="12"/>
  <c r="P1256" i="12"/>
  <c r="Q1256" i="12"/>
  <c r="R1256" i="12"/>
  <c r="S1256" i="12"/>
  <c r="T1256" i="12"/>
  <c r="U1256" i="12"/>
  <c r="V1256" i="12"/>
  <c r="W1256" i="12"/>
  <c r="X1256" i="12"/>
  <c r="Y1256" i="12"/>
  <c r="Z1256" i="12"/>
  <c r="AA1256" i="12"/>
  <c r="AI1256" i="12"/>
  <c r="AJ1256" i="12"/>
  <c r="AK1256" i="12"/>
  <c r="AL1256" i="12"/>
  <c r="AM1256" i="12"/>
  <c r="A1257" i="12"/>
  <c r="DH1257" i="12" s="1" a="1"/>
  <c r="B1257" i="12"/>
  <c r="C1257" i="12"/>
  <c r="D1257" i="12"/>
  <c r="E1257" i="12"/>
  <c r="F1257" i="12"/>
  <c r="G1257" i="12"/>
  <c r="H1257" i="12"/>
  <c r="I1257" i="12"/>
  <c r="J1257" i="12"/>
  <c r="K1257" i="12"/>
  <c r="M1257" i="12"/>
  <c r="N1257" i="12"/>
  <c r="O1257" i="12"/>
  <c r="P1257" i="12"/>
  <c r="Q1257" i="12"/>
  <c r="R1257" i="12"/>
  <c r="S1257" i="12"/>
  <c r="T1257" i="12"/>
  <c r="U1257" i="12"/>
  <c r="V1257" i="12"/>
  <c r="W1257" i="12"/>
  <c r="X1257" i="12"/>
  <c r="Y1257" i="12"/>
  <c r="Z1257" i="12"/>
  <c r="AA1257" i="12"/>
  <c r="AI1257" i="12"/>
  <c r="AJ1257" i="12"/>
  <c r="AK1257" i="12"/>
  <c r="AL1257" i="12"/>
  <c r="AM1257" i="12"/>
  <c r="A1258" i="12"/>
  <c r="DH1258" i="12" s="1" a="1"/>
  <c r="B1258" i="12"/>
  <c r="C1258" i="12"/>
  <c r="D1258" i="12"/>
  <c r="E1258" i="12"/>
  <c r="F1258" i="12"/>
  <c r="G1258" i="12"/>
  <c r="H1258" i="12"/>
  <c r="I1258" i="12"/>
  <c r="J1258" i="12"/>
  <c r="K1258" i="12"/>
  <c r="M1258" i="12"/>
  <c r="N1258" i="12"/>
  <c r="O1258" i="12"/>
  <c r="P1258" i="12"/>
  <c r="Q1258" i="12"/>
  <c r="R1258" i="12"/>
  <c r="S1258" i="12"/>
  <c r="T1258" i="12"/>
  <c r="U1258" i="12"/>
  <c r="V1258" i="12"/>
  <c r="W1258" i="12"/>
  <c r="X1258" i="12"/>
  <c r="Y1258" i="12"/>
  <c r="Z1258" i="12"/>
  <c r="AA1258" i="12"/>
  <c r="AI1258" i="12"/>
  <c r="AJ1258" i="12"/>
  <c r="AK1258" i="12"/>
  <c r="AL1258" i="12"/>
  <c r="AM1258" i="12"/>
  <c r="A1259" i="12"/>
  <c r="DH1259" i="12" s="1" a="1"/>
  <c r="B1259" i="12"/>
  <c r="C1259" i="12"/>
  <c r="D1259" i="12"/>
  <c r="E1259" i="12"/>
  <c r="J1259" i="12"/>
  <c r="K1259" i="12"/>
  <c r="M1259" i="12"/>
  <c r="N1259" i="12"/>
  <c r="O1259" i="12"/>
  <c r="P1259" i="12"/>
  <c r="Q1259" i="12"/>
  <c r="R1259" i="12"/>
  <c r="S1259" i="12"/>
  <c r="T1259" i="12"/>
  <c r="U1259" i="12"/>
  <c r="V1259" i="12"/>
  <c r="W1259" i="12"/>
  <c r="X1259" i="12"/>
  <c r="Y1259" i="12"/>
  <c r="Z1259" i="12"/>
  <c r="AA1259" i="12"/>
  <c r="AI1259" i="12"/>
  <c r="AJ1259" i="12"/>
  <c r="AK1259" i="12"/>
  <c r="AL1259" i="12"/>
  <c r="AM1259" i="12"/>
  <c r="A1260" i="12"/>
  <c r="DH1260" i="12" s="1" a="1"/>
  <c r="B1260" i="12"/>
  <c r="C1260" i="12"/>
  <c r="D1260" i="12"/>
  <c r="E1260" i="12"/>
  <c r="H1260" i="12"/>
  <c r="I1260" i="12"/>
  <c r="J1260" i="12"/>
  <c r="K1260" i="12"/>
  <c r="M1260" i="12"/>
  <c r="N1260" i="12"/>
  <c r="O1260" i="12"/>
  <c r="P1260" i="12"/>
  <c r="Q1260" i="12"/>
  <c r="R1260" i="12"/>
  <c r="S1260" i="12"/>
  <c r="T1260" i="12"/>
  <c r="U1260" i="12"/>
  <c r="V1260" i="12"/>
  <c r="W1260" i="12"/>
  <c r="X1260" i="12"/>
  <c r="Y1260" i="12"/>
  <c r="Z1260" i="12"/>
  <c r="AA1260" i="12"/>
  <c r="AI1260" i="12"/>
  <c r="AJ1260" i="12"/>
  <c r="AK1260" i="12"/>
  <c r="AL1260" i="12"/>
  <c r="AM1260" i="12"/>
  <c r="A1233" i="12"/>
  <c r="DH1233" i="12" s="1" a="1"/>
  <c r="B1233" i="12"/>
  <c r="C1233" i="12"/>
  <c r="D1233" i="12"/>
  <c r="E1233" i="12"/>
  <c r="H1233" i="12"/>
  <c r="I1233" i="12"/>
  <c r="J1233" i="12"/>
  <c r="K1233" i="12"/>
  <c r="M1233" i="12"/>
  <c r="N1233" i="12"/>
  <c r="O1233" i="12"/>
  <c r="P1233" i="12"/>
  <c r="Q1233" i="12"/>
  <c r="R1233" i="12"/>
  <c r="S1233" i="12"/>
  <c r="T1233" i="12"/>
  <c r="U1233" i="12"/>
  <c r="V1233" i="12"/>
  <c r="W1233" i="12"/>
  <c r="X1233" i="12"/>
  <c r="Y1233" i="12"/>
  <c r="Z1233" i="12"/>
  <c r="AA1233" i="12"/>
  <c r="AI1233" i="12"/>
  <c r="AJ1233" i="12"/>
  <c r="AK1233" i="12"/>
  <c r="AL1233" i="12"/>
  <c r="AM1233" i="12"/>
  <c r="A1234" i="12"/>
  <c r="DH1234" i="12" s="1" a="1"/>
  <c r="B1234" i="12"/>
  <c r="C1234" i="12"/>
  <c r="D1234" i="12"/>
  <c r="E1234" i="12"/>
  <c r="I1234" i="12"/>
  <c r="J1234" i="12"/>
  <c r="K1234" i="12"/>
  <c r="M1234" i="12"/>
  <c r="N1234" i="12"/>
  <c r="O1234" i="12"/>
  <c r="P1234" i="12"/>
  <c r="Q1234" i="12"/>
  <c r="R1234" i="12"/>
  <c r="S1234" i="12"/>
  <c r="T1234" i="12"/>
  <c r="U1234" i="12"/>
  <c r="V1234" i="12"/>
  <c r="W1234" i="12"/>
  <c r="X1234" i="12"/>
  <c r="Y1234" i="12"/>
  <c r="Z1234" i="12"/>
  <c r="AA1234" i="12"/>
  <c r="AI1234" i="12"/>
  <c r="AJ1234" i="12"/>
  <c r="AK1234" i="12"/>
  <c r="AL1234" i="12"/>
  <c r="AM1234" i="12"/>
  <c r="A1235" i="12"/>
  <c r="DH1235" i="12" s="1" a="1"/>
  <c r="B1235" i="12"/>
  <c r="C1235" i="12"/>
  <c r="D1235" i="12"/>
  <c r="E1235" i="12"/>
  <c r="F1235" i="12" s="1"/>
  <c r="G1235" i="12"/>
  <c r="H1235" i="12"/>
  <c r="I1235" i="12"/>
  <c r="J1235" i="12"/>
  <c r="K1235" i="12"/>
  <c r="M1235" i="12"/>
  <c r="N1235" i="12"/>
  <c r="O1235" i="12"/>
  <c r="P1235" i="12"/>
  <c r="Q1235" i="12"/>
  <c r="R1235" i="12"/>
  <c r="S1235" i="12"/>
  <c r="T1235" i="12"/>
  <c r="U1235" i="12"/>
  <c r="V1235" i="12"/>
  <c r="W1235" i="12"/>
  <c r="X1235" i="12"/>
  <c r="Y1235" i="12"/>
  <c r="Z1235" i="12"/>
  <c r="AA1235" i="12"/>
  <c r="AI1235" i="12"/>
  <c r="AJ1235" i="12"/>
  <c r="AK1235" i="12"/>
  <c r="AL1235" i="12"/>
  <c r="AM1235" i="12"/>
  <c r="A1236" i="12"/>
  <c r="DH1236" i="12" s="1" a="1"/>
  <c r="B1236" i="12"/>
  <c r="C1236" i="12"/>
  <c r="D1236" i="12"/>
  <c r="E1236" i="12"/>
  <c r="I1236" i="12" s="1"/>
  <c r="J1236" i="12"/>
  <c r="K1236" i="12"/>
  <c r="M1236" i="12"/>
  <c r="N1236" i="12"/>
  <c r="O1236" i="12"/>
  <c r="P1236" i="12"/>
  <c r="Q1236" i="12"/>
  <c r="R1236" i="12"/>
  <c r="S1236" i="12"/>
  <c r="T1236" i="12"/>
  <c r="U1236" i="12"/>
  <c r="V1236" i="12"/>
  <c r="W1236" i="12"/>
  <c r="X1236" i="12"/>
  <c r="Y1236" i="12"/>
  <c r="Z1236" i="12"/>
  <c r="AA1236" i="12"/>
  <c r="AI1236" i="12"/>
  <c r="AJ1236" i="12"/>
  <c r="AK1236" i="12"/>
  <c r="AL1236" i="12"/>
  <c r="AM1236" i="12"/>
  <c r="A1237" i="12"/>
  <c r="DH1237" i="12" s="1" a="1"/>
  <c r="B1237" i="12"/>
  <c r="C1237" i="12"/>
  <c r="D1237" i="12"/>
  <c r="E1237" i="12"/>
  <c r="F1237" i="12" s="1"/>
  <c r="G1237" i="12"/>
  <c r="H1237" i="12"/>
  <c r="I1237" i="12"/>
  <c r="J1237" i="12"/>
  <c r="K1237" i="12"/>
  <c r="M1237" i="12"/>
  <c r="N1237" i="12"/>
  <c r="O1237" i="12"/>
  <c r="P1237" i="12"/>
  <c r="Q1237" i="12"/>
  <c r="R1237" i="12"/>
  <c r="S1237" i="12"/>
  <c r="T1237" i="12"/>
  <c r="U1237" i="12"/>
  <c r="V1237" i="12"/>
  <c r="W1237" i="12"/>
  <c r="X1237" i="12"/>
  <c r="Y1237" i="12"/>
  <c r="Z1237" i="12"/>
  <c r="AA1237" i="12"/>
  <c r="AI1237" i="12"/>
  <c r="AJ1237" i="12"/>
  <c r="AK1237" i="12"/>
  <c r="AL1237" i="12"/>
  <c r="AM1237" i="12"/>
  <c r="A1238" i="12"/>
  <c r="DH1238" i="12" s="1" a="1"/>
  <c r="B1238" i="12"/>
  <c r="C1238" i="12"/>
  <c r="D1238" i="12"/>
  <c r="E1238" i="12"/>
  <c r="F1238" i="12" s="1"/>
  <c r="G1238" i="12"/>
  <c r="H1238" i="12"/>
  <c r="I1238" i="12"/>
  <c r="J1238" i="12"/>
  <c r="K1238" i="12"/>
  <c r="M1238" i="12"/>
  <c r="N1238" i="12"/>
  <c r="O1238" i="12"/>
  <c r="P1238" i="12"/>
  <c r="Q1238" i="12"/>
  <c r="R1238" i="12"/>
  <c r="S1238" i="12"/>
  <c r="T1238" i="12"/>
  <c r="U1238" i="12"/>
  <c r="V1238" i="12"/>
  <c r="W1238" i="12"/>
  <c r="X1238" i="12"/>
  <c r="Y1238" i="12"/>
  <c r="Z1238" i="12"/>
  <c r="AA1238" i="12"/>
  <c r="AI1238" i="12"/>
  <c r="AJ1238" i="12"/>
  <c r="AK1238" i="12"/>
  <c r="AL1238" i="12"/>
  <c r="AM1238" i="12"/>
  <c r="A1239" i="12"/>
  <c r="DH1239" i="12" s="1" a="1"/>
  <c r="B1239" i="12"/>
  <c r="C1239" i="12"/>
  <c r="D1239" i="12"/>
  <c r="E1239" i="12"/>
  <c r="F1239" i="12" s="1"/>
  <c r="G1239" i="12"/>
  <c r="H1239" i="12"/>
  <c r="I1239" i="12"/>
  <c r="J1239" i="12"/>
  <c r="K1239" i="12"/>
  <c r="M1239" i="12"/>
  <c r="N1239" i="12"/>
  <c r="O1239" i="12"/>
  <c r="P1239" i="12"/>
  <c r="Q1239" i="12"/>
  <c r="R1239" i="12"/>
  <c r="S1239" i="12"/>
  <c r="T1239" i="12"/>
  <c r="U1239" i="12"/>
  <c r="V1239" i="12"/>
  <c r="W1239" i="12"/>
  <c r="X1239" i="12"/>
  <c r="Y1239" i="12"/>
  <c r="Z1239" i="12"/>
  <c r="AA1239" i="12"/>
  <c r="AI1239" i="12"/>
  <c r="AJ1239" i="12"/>
  <c r="AK1239" i="12"/>
  <c r="AL1239" i="12"/>
  <c r="AM1239" i="12"/>
  <c r="A1240" i="12"/>
  <c r="DH1240" i="12" s="1" a="1"/>
  <c r="B1240" i="12"/>
  <c r="C1240" i="12"/>
  <c r="D1240" i="12"/>
  <c r="E1240" i="12"/>
  <c r="F1240" i="12"/>
  <c r="G1240" i="12"/>
  <c r="H1240" i="12"/>
  <c r="I1240" i="12"/>
  <c r="J1240" i="12"/>
  <c r="K1240" i="12"/>
  <c r="M1240" i="12"/>
  <c r="N1240" i="12"/>
  <c r="O1240" i="12"/>
  <c r="P1240" i="12"/>
  <c r="Q1240" i="12"/>
  <c r="R1240" i="12"/>
  <c r="S1240" i="12"/>
  <c r="T1240" i="12"/>
  <c r="U1240" i="12"/>
  <c r="V1240" i="12"/>
  <c r="W1240" i="12"/>
  <c r="X1240" i="12"/>
  <c r="Y1240" i="12"/>
  <c r="Z1240" i="12"/>
  <c r="AA1240" i="12"/>
  <c r="AC1240" i="12"/>
  <c r="AI1240" i="12"/>
  <c r="AJ1240" i="12"/>
  <c r="AK1240" i="12"/>
  <c r="AL1240" i="12"/>
  <c r="AM1240" i="12"/>
  <c r="A1241" i="12"/>
  <c r="DH1241" i="12" s="1" a="1"/>
  <c r="B1241" i="12"/>
  <c r="C1241" i="12"/>
  <c r="D1241" i="12"/>
  <c r="E1241" i="12"/>
  <c r="H1241" i="12"/>
  <c r="I1241" i="12"/>
  <c r="J1241" i="12"/>
  <c r="K1241" i="12"/>
  <c r="M1241" i="12"/>
  <c r="N1241" i="12"/>
  <c r="O1241" i="12"/>
  <c r="P1241" i="12"/>
  <c r="Q1241" i="12"/>
  <c r="R1241" i="12"/>
  <c r="S1241" i="12"/>
  <c r="T1241" i="12"/>
  <c r="U1241" i="12"/>
  <c r="V1241" i="12"/>
  <c r="W1241" i="12"/>
  <c r="X1241" i="12"/>
  <c r="Y1241" i="12"/>
  <c r="Z1241" i="12"/>
  <c r="AA1241" i="12"/>
  <c r="AI1241" i="12"/>
  <c r="AJ1241" i="12"/>
  <c r="AK1241" i="12"/>
  <c r="AL1241" i="12"/>
  <c r="AM1241" i="12"/>
  <c r="A1242" i="12"/>
  <c r="DH1242" i="12" s="1" a="1"/>
  <c r="B1242" i="12"/>
  <c r="C1242" i="12"/>
  <c r="D1242" i="12"/>
  <c r="E1242" i="12"/>
  <c r="F1242" i="12"/>
  <c r="G1242" i="12"/>
  <c r="H1242" i="12"/>
  <c r="I1242" i="12"/>
  <c r="J1242" i="12"/>
  <c r="K1242" i="12"/>
  <c r="M1242" i="12"/>
  <c r="N1242" i="12"/>
  <c r="O1242" i="12"/>
  <c r="P1242" i="12"/>
  <c r="Q1242" i="12"/>
  <c r="R1242" i="12"/>
  <c r="S1242" i="12"/>
  <c r="T1242" i="12"/>
  <c r="U1242" i="12"/>
  <c r="V1242" i="12"/>
  <c r="W1242" i="12"/>
  <c r="X1242" i="12"/>
  <c r="Y1242" i="12"/>
  <c r="Z1242" i="12"/>
  <c r="AA1242" i="12"/>
  <c r="AC1242" i="12"/>
  <c r="AI1242" i="12"/>
  <c r="AJ1242" i="12"/>
  <c r="AK1242" i="12"/>
  <c r="AL1242" i="12"/>
  <c r="AM1242" i="12"/>
  <c r="A1243" i="12"/>
  <c r="DH1243" i="12" s="1" a="1"/>
  <c r="B1243" i="12"/>
  <c r="C1243" i="12"/>
  <c r="D1243" i="12"/>
  <c r="E1243" i="12"/>
  <c r="K1243" i="12"/>
  <c r="M1243" i="12"/>
  <c r="N1243" i="12"/>
  <c r="O1243" i="12"/>
  <c r="P1243" i="12"/>
  <c r="Q1243" i="12"/>
  <c r="R1243" i="12"/>
  <c r="S1243" i="12"/>
  <c r="T1243" i="12"/>
  <c r="U1243" i="12"/>
  <c r="V1243" i="12"/>
  <c r="W1243" i="12"/>
  <c r="X1243" i="12"/>
  <c r="Y1243" i="12"/>
  <c r="Z1243" i="12"/>
  <c r="AA1243" i="12"/>
  <c r="AI1243" i="12"/>
  <c r="AJ1243" i="12"/>
  <c r="AK1243" i="12"/>
  <c r="AL1243" i="12"/>
  <c r="AM1243" i="12"/>
  <c r="A1244" i="12"/>
  <c r="DH1244" i="12" s="1" a="1"/>
  <c r="B1244" i="12"/>
  <c r="C1244" i="12"/>
  <c r="D1244" i="12"/>
  <c r="E1244" i="12"/>
  <c r="H1244" i="12"/>
  <c r="I1244" i="12"/>
  <c r="J1244" i="12"/>
  <c r="K1244" i="12"/>
  <c r="M1244" i="12"/>
  <c r="N1244" i="12"/>
  <c r="O1244" i="12"/>
  <c r="P1244" i="12"/>
  <c r="Q1244" i="12"/>
  <c r="R1244" i="12"/>
  <c r="S1244" i="12"/>
  <c r="T1244" i="12"/>
  <c r="U1244" i="12"/>
  <c r="V1244" i="12"/>
  <c r="W1244" i="12"/>
  <c r="X1244" i="12"/>
  <c r="Y1244" i="12"/>
  <c r="Z1244" i="12"/>
  <c r="AA1244" i="12"/>
  <c r="AI1244" i="12"/>
  <c r="AJ1244" i="12"/>
  <c r="AK1244" i="12"/>
  <c r="AL1244" i="12"/>
  <c r="AM1244" i="12"/>
  <c r="A1245" i="12"/>
  <c r="DH1245" i="12" s="1" a="1"/>
  <c r="B1245" i="12"/>
  <c r="C1245" i="12"/>
  <c r="D1245" i="12"/>
  <c r="E1245" i="12"/>
  <c r="F1245" i="12" s="1"/>
  <c r="G1245" i="12"/>
  <c r="H1245" i="12"/>
  <c r="I1245" i="12"/>
  <c r="J1245" i="12"/>
  <c r="K1245" i="12"/>
  <c r="M1245" i="12"/>
  <c r="N1245" i="12"/>
  <c r="O1245" i="12"/>
  <c r="P1245" i="12"/>
  <c r="Q1245" i="12"/>
  <c r="R1245" i="12"/>
  <c r="S1245" i="12"/>
  <c r="T1245" i="12"/>
  <c r="U1245" i="12"/>
  <c r="V1245" i="12"/>
  <c r="W1245" i="12"/>
  <c r="X1245" i="12"/>
  <c r="Y1245" i="12"/>
  <c r="Z1245" i="12"/>
  <c r="AA1245" i="12"/>
  <c r="AI1245" i="12"/>
  <c r="AJ1245" i="12"/>
  <c r="AK1245" i="12"/>
  <c r="AL1245" i="12"/>
  <c r="AM1245" i="12"/>
  <c r="A1246" i="12"/>
  <c r="DH1246" i="12" s="1" a="1"/>
  <c r="B1246" i="12"/>
  <c r="C1246" i="12"/>
  <c r="D1246" i="12"/>
  <c r="E1246" i="12"/>
  <c r="H1246" i="12" s="1"/>
  <c r="I1246" i="12"/>
  <c r="J1246" i="12"/>
  <c r="K1246" i="12"/>
  <c r="M1246" i="12"/>
  <c r="N1246" i="12"/>
  <c r="O1246" i="12"/>
  <c r="P1246" i="12"/>
  <c r="Q1246" i="12"/>
  <c r="R1246" i="12"/>
  <c r="S1246" i="12"/>
  <c r="T1246" i="12"/>
  <c r="U1246" i="12"/>
  <c r="V1246" i="12"/>
  <c r="W1246" i="12"/>
  <c r="X1246" i="12"/>
  <c r="Y1246" i="12"/>
  <c r="Z1246" i="12"/>
  <c r="AA1246" i="12"/>
  <c r="AI1246" i="12"/>
  <c r="AJ1246" i="12"/>
  <c r="AK1246" i="12"/>
  <c r="AL1246" i="12"/>
  <c r="AM1246" i="12"/>
  <c r="A1219" i="12"/>
  <c r="B1219" i="12"/>
  <c r="C1219" i="12"/>
  <c r="D1219" i="12"/>
  <c r="A1220" i="12"/>
  <c r="DH1220" i="12" s="1" a="1"/>
  <c r="B1220" i="12"/>
  <c r="C1220" i="12"/>
  <c r="D1220" i="12"/>
  <c r="E1220" i="12"/>
  <c r="F1220" i="12"/>
  <c r="G1220" i="12"/>
  <c r="H1220" i="12"/>
  <c r="I1220" i="12"/>
  <c r="J1220" i="12"/>
  <c r="K1220" i="12"/>
  <c r="M1220" i="12"/>
  <c r="N1220" i="12"/>
  <c r="O1220" i="12"/>
  <c r="P1220" i="12"/>
  <c r="Q1220" i="12"/>
  <c r="R1220" i="12"/>
  <c r="S1220" i="12"/>
  <c r="T1220" i="12"/>
  <c r="U1220" i="12"/>
  <c r="V1220" i="12"/>
  <c r="W1220" i="12"/>
  <c r="X1220" i="12"/>
  <c r="Y1220" i="12"/>
  <c r="Z1220" i="12"/>
  <c r="AA1220" i="12"/>
  <c r="AC1220" i="12"/>
  <c r="AI1220" i="12"/>
  <c r="AJ1220" i="12"/>
  <c r="AK1220" i="12"/>
  <c r="AL1220" i="12"/>
  <c r="AM1220" i="12"/>
  <c r="A1221" i="12"/>
  <c r="DH1221" i="12" s="1" a="1"/>
  <c r="B1221" i="12"/>
  <c r="C1221" i="12"/>
  <c r="D1221" i="12"/>
  <c r="E1221" i="12"/>
  <c r="H1221" i="12"/>
  <c r="I1221" i="12"/>
  <c r="J1221" i="12"/>
  <c r="A1222" i="12"/>
  <c r="DH1222" i="12" s="1" a="1"/>
  <c r="B1222" i="12"/>
  <c r="C1222" i="12"/>
  <c r="D1222" i="12"/>
  <c r="E1222" i="12"/>
  <c r="F1222" i="12"/>
  <c r="G1222" i="12"/>
  <c r="H1222" i="12"/>
  <c r="I1222" i="12"/>
  <c r="J1222" i="12"/>
  <c r="K1222" i="12"/>
  <c r="M1222" i="12"/>
  <c r="N1222" i="12"/>
  <c r="O1222" i="12"/>
  <c r="P1222" i="12"/>
  <c r="Q1222" i="12"/>
  <c r="R1222" i="12"/>
  <c r="S1222" i="12"/>
  <c r="T1222" i="12"/>
  <c r="U1222" i="12"/>
  <c r="V1222" i="12"/>
  <c r="W1222" i="12"/>
  <c r="X1222" i="12"/>
  <c r="Y1222" i="12"/>
  <c r="Z1222" i="12"/>
  <c r="AA1222" i="12"/>
  <c r="AI1222" i="12"/>
  <c r="AJ1222" i="12"/>
  <c r="AK1222" i="12"/>
  <c r="AL1222" i="12"/>
  <c r="AM1222" i="12"/>
  <c r="A1223" i="12"/>
  <c r="DH1223" i="12" s="1" a="1"/>
  <c r="B1223" i="12"/>
  <c r="C1223" i="12"/>
  <c r="D1223" i="12"/>
  <c r="E1223" i="12"/>
  <c r="F1223" i="12"/>
  <c r="G1223" i="12"/>
  <c r="H1223" i="12"/>
  <c r="I1223" i="12"/>
  <c r="J1223" i="12"/>
  <c r="K1223" i="12"/>
  <c r="M1223" i="12"/>
  <c r="N1223" i="12"/>
  <c r="O1223" i="12"/>
  <c r="P1223" i="12"/>
  <c r="Q1223" i="12"/>
  <c r="R1223" i="12"/>
  <c r="S1223" i="12"/>
  <c r="T1223" i="12"/>
  <c r="U1223" i="12"/>
  <c r="V1223" i="12"/>
  <c r="W1223" i="12"/>
  <c r="X1223" i="12"/>
  <c r="Y1223" i="12"/>
  <c r="Z1223" i="12"/>
  <c r="AA1223" i="12"/>
  <c r="AC1223" i="12"/>
  <c r="AI1223" i="12"/>
  <c r="AJ1223" i="12"/>
  <c r="AK1223" i="12"/>
  <c r="AL1223" i="12"/>
  <c r="AM1223" i="12"/>
  <c r="A1224" i="12"/>
  <c r="DH1224" i="12" s="1" a="1"/>
  <c r="B1224" i="12"/>
  <c r="C1224" i="12"/>
  <c r="D1224" i="12"/>
  <c r="E1224" i="12"/>
  <c r="H1224" i="12"/>
  <c r="I1224" i="12"/>
  <c r="J1224" i="12"/>
  <c r="K1224" i="12"/>
  <c r="M1224" i="12"/>
  <c r="N1224" i="12"/>
  <c r="O1224" i="12"/>
  <c r="P1224" i="12"/>
  <c r="Q1224" i="12"/>
  <c r="R1224" i="12"/>
  <c r="S1224" i="12"/>
  <c r="T1224" i="12"/>
  <c r="U1224" i="12"/>
  <c r="V1224" i="12"/>
  <c r="W1224" i="12"/>
  <c r="X1224" i="12"/>
  <c r="Y1224" i="12"/>
  <c r="Z1224" i="12"/>
  <c r="AA1224" i="12"/>
  <c r="AI1224" i="12"/>
  <c r="AJ1224" i="12"/>
  <c r="AK1224" i="12"/>
  <c r="AL1224" i="12"/>
  <c r="AM1224" i="12"/>
  <c r="A1225" i="12"/>
  <c r="DH1225" i="12" s="1" a="1"/>
  <c r="B1225" i="12"/>
  <c r="C1225" i="12"/>
  <c r="D1225" i="12"/>
  <c r="E1225" i="12"/>
  <c r="I1225" i="12"/>
  <c r="J1225" i="12"/>
  <c r="K1225" i="12"/>
  <c r="M1225" i="12"/>
  <c r="N1225" i="12"/>
  <c r="O1225" i="12"/>
  <c r="P1225" i="12"/>
  <c r="Q1225" i="12"/>
  <c r="R1225" i="12"/>
  <c r="S1225" i="12"/>
  <c r="T1225" i="12"/>
  <c r="U1225" i="12"/>
  <c r="V1225" i="12"/>
  <c r="W1225" i="12"/>
  <c r="X1225" i="12"/>
  <c r="Y1225" i="12"/>
  <c r="Z1225" i="12"/>
  <c r="AA1225" i="12"/>
  <c r="AI1225" i="12"/>
  <c r="AJ1225" i="12"/>
  <c r="AK1225" i="12"/>
  <c r="AL1225" i="12"/>
  <c r="AM1225" i="12"/>
  <c r="A1226" i="12"/>
  <c r="DH1226" i="12" s="1" a="1"/>
  <c r="B1226" i="12"/>
  <c r="C1226" i="12"/>
  <c r="D1226" i="12"/>
  <c r="E1226" i="12"/>
  <c r="F1226" i="12"/>
  <c r="G1226" i="12"/>
  <c r="H1226" i="12"/>
  <c r="I1226" i="12"/>
  <c r="J1226" i="12"/>
  <c r="K1226" i="12"/>
  <c r="M1226" i="12"/>
  <c r="N1226" i="12"/>
  <c r="O1226" i="12"/>
  <c r="P1226" i="12"/>
  <c r="Q1226" i="12"/>
  <c r="R1226" i="12"/>
  <c r="S1226" i="12"/>
  <c r="T1226" i="12"/>
  <c r="U1226" i="12"/>
  <c r="V1226" i="12"/>
  <c r="W1226" i="12"/>
  <c r="X1226" i="12"/>
  <c r="Y1226" i="12"/>
  <c r="Z1226" i="12"/>
  <c r="AA1226" i="12"/>
  <c r="AC1226" i="12"/>
  <c r="AI1226" i="12"/>
  <c r="AJ1226" i="12"/>
  <c r="AK1226" i="12"/>
  <c r="AL1226" i="12"/>
  <c r="AM1226" i="12"/>
  <c r="A1227" i="12"/>
  <c r="DH1227" i="12" s="1" a="1"/>
  <c r="B1227" i="12"/>
  <c r="C1227" i="12"/>
  <c r="D1227" i="12"/>
  <c r="E1227" i="12"/>
  <c r="H1227" i="12"/>
  <c r="I1227" i="12"/>
  <c r="J1227" i="12"/>
  <c r="K1227" i="12"/>
  <c r="M1227" i="12"/>
  <c r="N1227" i="12"/>
  <c r="O1227" i="12"/>
  <c r="P1227" i="12"/>
  <c r="Q1227" i="12"/>
  <c r="R1227" i="12"/>
  <c r="S1227" i="12"/>
  <c r="T1227" i="12"/>
  <c r="U1227" i="12"/>
  <c r="V1227" i="12"/>
  <c r="W1227" i="12"/>
  <c r="X1227" i="12"/>
  <c r="Y1227" i="12"/>
  <c r="Z1227" i="12"/>
  <c r="AA1227" i="12"/>
  <c r="AI1227" i="12"/>
  <c r="AJ1227" i="12"/>
  <c r="AK1227" i="12"/>
  <c r="AL1227" i="12"/>
  <c r="AM1227" i="12"/>
  <c r="A1228" i="12"/>
  <c r="DH1228" i="12" s="1" a="1"/>
  <c r="B1228" i="12"/>
  <c r="C1228" i="12"/>
  <c r="D1228" i="12"/>
  <c r="E1228" i="12"/>
  <c r="F1228" i="12" s="1"/>
  <c r="G1228" i="12"/>
  <c r="H1228" i="12"/>
  <c r="I1228" i="12"/>
  <c r="J1228" i="12"/>
  <c r="K1228" i="12"/>
  <c r="M1228" i="12"/>
  <c r="N1228" i="12"/>
  <c r="O1228" i="12"/>
  <c r="P1228" i="12"/>
  <c r="Q1228" i="12"/>
  <c r="R1228" i="12"/>
  <c r="S1228" i="12"/>
  <c r="T1228" i="12"/>
  <c r="U1228" i="12"/>
  <c r="V1228" i="12"/>
  <c r="W1228" i="12"/>
  <c r="X1228" i="12"/>
  <c r="Y1228" i="12"/>
  <c r="Z1228" i="12"/>
  <c r="AA1228" i="12"/>
  <c r="AI1228" i="12"/>
  <c r="AJ1228" i="12"/>
  <c r="AK1228" i="12"/>
  <c r="AL1228" i="12"/>
  <c r="AM1228" i="12"/>
  <c r="A1229" i="12"/>
  <c r="DH1229" i="12" s="1" a="1"/>
  <c r="B1229" i="12"/>
  <c r="C1229" i="12"/>
  <c r="D1229" i="12"/>
  <c r="E1229" i="12"/>
  <c r="F1229" i="12" s="1"/>
  <c r="G1229" i="12"/>
  <c r="H1229" i="12"/>
  <c r="I1229" i="12"/>
  <c r="J1229" i="12"/>
  <c r="K1229" i="12"/>
  <c r="M1229" i="12"/>
  <c r="N1229" i="12"/>
  <c r="O1229" i="12"/>
  <c r="P1229" i="12"/>
  <c r="Q1229" i="12"/>
  <c r="R1229" i="12"/>
  <c r="S1229" i="12"/>
  <c r="T1229" i="12"/>
  <c r="U1229" i="12"/>
  <c r="V1229" i="12"/>
  <c r="W1229" i="12"/>
  <c r="X1229" i="12"/>
  <c r="Y1229" i="12"/>
  <c r="Z1229" i="12"/>
  <c r="AA1229" i="12"/>
  <c r="AI1229" i="12"/>
  <c r="AJ1229" i="12"/>
  <c r="AK1229" i="12"/>
  <c r="AL1229" i="12"/>
  <c r="AM1229" i="12"/>
  <c r="A1230" i="12"/>
  <c r="DH1230" i="12" s="1" a="1"/>
  <c r="B1230" i="12"/>
  <c r="C1230" i="12"/>
  <c r="D1230" i="12"/>
  <c r="E1230" i="12"/>
  <c r="F1230" i="12"/>
  <c r="G1230" i="12"/>
  <c r="H1230" i="12"/>
  <c r="I1230" i="12"/>
  <c r="J1230" i="12"/>
  <c r="K1230" i="12"/>
  <c r="M1230" i="12"/>
  <c r="N1230" i="12"/>
  <c r="O1230" i="12"/>
  <c r="P1230" i="12"/>
  <c r="Q1230" i="12"/>
  <c r="R1230" i="12"/>
  <c r="S1230" i="12"/>
  <c r="T1230" i="12"/>
  <c r="U1230" i="12"/>
  <c r="V1230" i="12"/>
  <c r="W1230" i="12"/>
  <c r="X1230" i="12"/>
  <c r="Y1230" i="12"/>
  <c r="Z1230" i="12"/>
  <c r="AA1230" i="12"/>
  <c r="AI1230" i="12"/>
  <c r="AJ1230" i="12"/>
  <c r="AK1230" i="12"/>
  <c r="AL1230" i="12"/>
  <c r="AM1230" i="12"/>
  <c r="A1231" i="12"/>
  <c r="DH1231" i="12" s="1" a="1"/>
  <c r="B1231" i="12"/>
  <c r="C1231" i="12"/>
  <c r="D1231" i="12"/>
  <c r="E1231" i="12"/>
  <c r="F1231" i="12"/>
  <c r="G1231" i="12"/>
  <c r="H1231" i="12"/>
  <c r="I1231" i="12"/>
  <c r="J1231" i="12"/>
  <c r="K1231" i="12"/>
  <c r="M1231" i="12"/>
  <c r="N1231" i="12"/>
  <c r="O1231" i="12"/>
  <c r="P1231" i="12"/>
  <c r="Q1231" i="12"/>
  <c r="R1231" i="12"/>
  <c r="S1231" i="12"/>
  <c r="T1231" i="12"/>
  <c r="U1231" i="12"/>
  <c r="V1231" i="12"/>
  <c r="W1231" i="12"/>
  <c r="X1231" i="12"/>
  <c r="Y1231" i="12"/>
  <c r="Z1231" i="12"/>
  <c r="AA1231" i="12"/>
  <c r="AC1231" i="12"/>
  <c r="AI1231" i="12"/>
  <c r="AJ1231" i="12"/>
  <c r="AK1231" i="12"/>
  <c r="AL1231" i="12"/>
  <c r="AM1231" i="12"/>
  <c r="A1232" i="12"/>
  <c r="DH1232" i="12" s="1" a="1"/>
  <c r="B1232" i="12"/>
  <c r="C1232" i="12"/>
  <c r="D1232" i="12"/>
  <c r="E1232" i="12"/>
  <c r="H1232" i="12"/>
  <c r="I1232" i="12"/>
  <c r="J1232" i="12"/>
  <c r="K1232" i="12"/>
  <c r="M1232" i="12"/>
  <c r="N1232" i="12"/>
  <c r="O1232" i="12"/>
  <c r="P1232" i="12"/>
  <c r="Q1232" i="12"/>
  <c r="R1232" i="12"/>
  <c r="S1232" i="12"/>
  <c r="T1232" i="12"/>
  <c r="U1232" i="12"/>
  <c r="V1232" i="12"/>
  <c r="W1232" i="12"/>
  <c r="X1232" i="12"/>
  <c r="Y1232" i="12"/>
  <c r="Z1232" i="12"/>
  <c r="AA1232" i="12"/>
  <c r="AI1232" i="12"/>
  <c r="AJ1232" i="12"/>
  <c r="AK1232" i="12"/>
  <c r="AL1232" i="12"/>
  <c r="AM1232" i="12"/>
  <c r="A1205" i="12"/>
  <c r="DH1205" i="12" s="1" a="1"/>
  <c r="B1205" i="12"/>
  <c r="C1205" i="12"/>
  <c r="D1205" i="12"/>
  <c r="E1205" i="12"/>
  <c r="J1205" i="12"/>
  <c r="K1205" i="12"/>
  <c r="M1205" i="12"/>
  <c r="N1205" i="12"/>
  <c r="O1205" i="12"/>
  <c r="P1205" i="12"/>
  <c r="Q1205" i="12"/>
  <c r="R1205" i="12"/>
  <c r="S1205" i="12"/>
  <c r="T1205" i="12"/>
  <c r="U1205" i="12"/>
  <c r="V1205" i="12"/>
  <c r="W1205" i="12"/>
  <c r="X1205" i="12"/>
  <c r="Y1205" i="12"/>
  <c r="Z1205" i="12"/>
  <c r="AA1205" i="12"/>
  <c r="AI1205" i="12"/>
  <c r="AJ1205" i="12"/>
  <c r="AK1205" i="12"/>
  <c r="AL1205" i="12"/>
  <c r="AM1205" i="12"/>
  <c r="A1206" i="12"/>
  <c r="DH1206" i="12" s="1" a="1"/>
  <c r="B1206" i="12"/>
  <c r="C1206" i="12"/>
  <c r="D1206" i="12"/>
  <c r="E1206" i="12"/>
  <c r="F1206" i="12"/>
  <c r="G1206" i="12"/>
  <c r="H1206" i="12"/>
  <c r="I1206" i="12"/>
  <c r="J1206" i="12"/>
  <c r="K1206" i="12"/>
  <c r="M1206" i="12"/>
  <c r="N1206" i="12"/>
  <c r="O1206" i="12"/>
  <c r="P1206" i="12"/>
  <c r="Q1206" i="12"/>
  <c r="R1206" i="12"/>
  <c r="S1206" i="12"/>
  <c r="T1206" i="12"/>
  <c r="U1206" i="12"/>
  <c r="V1206" i="12"/>
  <c r="W1206" i="12"/>
  <c r="X1206" i="12"/>
  <c r="Y1206" i="12"/>
  <c r="Z1206" i="12"/>
  <c r="AA1206" i="12"/>
  <c r="AI1206" i="12"/>
  <c r="AJ1206" i="12"/>
  <c r="AK1206" i="12"/>
  <c r="AL1206" i="12"/>
  <c r="AM1206" i="12"/>
  <c r="A1207" i="12"/>
  <c r="DH1207" i="12" s="1" a="1"/>
  <c r="B1207" i="12"/>
  <c r="C1207" i="12"/>
  <c r="D1207" i="12"/>
  <c r="E1207" i="12"/>
  <c r="F1207" i="12"/>
  <c r="G1207" i="12"/>
  <c r="H1207" i="12"/>
  <c r="I1207" i="12"/>
  <c r="J1207" i="12"/>
  <c r="K1207" i="12"/>
  <c r="M1207" i="12"/>
  <c r="N1207" i="12"/>
  <c r="O1207" i="12"/>
  <c r="P1207" i="12"/>
  <c r="Q1207" i="12"/>
  <c r="R1207" i="12"/>
  <c r="S1207" i="12"/>
  <c r="T1207" i="12"/>
  <c r="U1207" i="12"/>
  <c r="V1207" i="12"/>
  <c r="W1207" i="12"/>
  <c r="X1207" i="12"/>
  <c r="Y1207" i="12"/>
  <c r="Z1207" i="12"/>
  <c r="AA1207" i="12"/>
  <c r="AI1207" i="12"/>
  <c r="AJ1207" i="12"/>
  <c r="AK1207" i="12"/>
  <c r="AL1207" i="12"/>
  <c r="AM1207" i="12"/>
  <c r="A1208" i="12"/>
  <c r="DH1208" i="12" s="1" a="1"/>
  <c r="B1208" i="12"/>
  <c r="C1208" i="12"/>
  <c r="D1208" i="12"/>
  <c r="E1208" i="12"/>
  <c r="F1208" i="12" s="1"/>
  <c r="G1208" i="12"/>
  <c r="H1208" i="12"/>
  <c r="I1208" i="12"/>
  <c r="J1208" i="12"/>
  <c r="K1208" i="12"/>
  <c r="M1208" i="12"/>
  <c r="N1208" i="12"/>
  <c r="O1208" i="12"/>
  <c r="P1208" i="12"/>
  <c r="Q1208" i="12"/>
  <c r="R1208" i="12"/>
  <c r="S1208" i="12"/>
  <c r="T1208" i="12"/>
  <c r="U1208" i="12"/>
  <c r="V1208" i="12"/>
  <c r="W1208" i="12"/>
  <c r="X1208" i="12"/>
  <c r="Y1208" i="12"/>
  <c r="Z1208" i="12"/>
  <c r="AA1208" i="12"/>
  <c r="AI1208" i="12"/>
  <c r="AJ1208" i="12"/>
  <c r="AK1208" i="12"/>
  <c r="AL1208" i="12"/>
  <c r="AM1208" i="12"/>
  <c r="A1209" i="12"/>
  <c r="DH1209" i="12" s="1" a="1"/>
  <c r="B1209" i="12"/>
  <c r="C1209" i="12"/>
  <c r="D1209" i="12"/>
  <c r="E1209" i="12"/>
  <c r="H1209" i="12" s="1"/>
  <c r="I1209" i="12"/>
  <c r="J1209" i="12"/>
  <c r="K1209" i="12"/>
  <c r="M1209" i="12"/>
  <c r="N1209" i="12"/>
  <c r="O1209" i="12"/>
  <c r="P1209" i="12"/>
  <c r="Q1209" i="12"/>
  <c r="R1209" i="12"/>
  <c r="S1209" i="12"/>
  <c r="T1209" i="12"/>
  <c r="U1209" i="12"/>
  <c r="V1209" i="12"/>
  <c r="W1209" i="12"/>
  <c r="X1209" i="12"/>
  <c r="Y1209" i="12"/>
  <c r="Z1209" i="12"/>
  <c r="AA1209" i="12"/>
  <c r="AI1209" i="12"/>
  <c r="AJ1209" i="12"/>
  <c r="AK1209" i="12"/>
  <c r="AL1209" i="12"/>
  <c r="AM1209" i="12"/>
  <c r="A1210" i="12"/>
  <c r="DH1210" i="12" s="1" a="1"/>
  <c r="B1210" i="12"/>
  <c r="C1210" i="12"/>
  <c r="D1210" i="12"/>
  <c r="E1210" i="12"/>
  <c r="J1210" i="12"/>
  <c r="K1210" i="12"/>
  <c r="M1210" i="12"/>
  <c r="N1210" i="12"/>
  <c r="O1210" i="12"/>
  <c r="P1210" i="12"/>
  <c r="Q1210" i="12"/>
  <c r="R1210" i="12"/>
  <c r="S1210" i="12"/>
  <c r="T1210" i="12"/>
  <c r="U1210" i="12"/>
  <c r="V1210" i="12"/>
  <c r="W1210" i="12"/>
  <c r="X1210" i="12"/>
  <c r="Y1210" i="12"/>
  <c r="Z1210" i="12"/>
  <c r="AA1210" i="12"/>
  <c r="AI1210" i="12"/>
  <c r="AJ1210" i="12"/>
  <c r="AK1210" i="12"/>
  <c r="AL1210" i="12"/>
  <c r="AM1210" i="12"/>
  <c r="A1211" i="12"/>
  <c r="DH1211" i="12" s="1" a="1"/>
  <c r="B1211" i="12"/>
  <c r="C1211" i="12"/>
  <c r="D1211" i="12"/>
  <c r="E1211" i="12"/>
  <c r="N1211" i="12"/>
  <c r="O1211" i="12"/>
  <c r="P1211" i="12"/>
  <c r="Q1211" i="12"/>
  <c r="R1211" i="12"/>
  <c r="S1211" i="12"/>
  <c r="T1211" i="12"/>
  <c r="U1211" i="12"/>
  <c r="V1211" i="12"/>
  <c r="W1211" i="12"/>
  <c r="X1211" i="12"/>
  <c r="Y1211" i="12"/>
  <c r="Z1211" i="12"/>
  <c r="A1212" i="12"/>
  <c r="DH1212" i="12" s="1" a="1"/>
  <c r="B1212" i="12"/>
  <c r="C1212" i="12"/>
  <c r="D1212" i="12"/>
  <c r="E1212" i="12"/>
  <c r="H1212" i="12"/>
  <c r="I1212" i="12"/>
  <c r="J1212" i="12"/>
  <c r="K1212" i="12"/>
  <c r="M1212" i="12"/>
  <c r="N1212" i="12"/>
  <c r="O1212" i="12"/>
  <c r="P1212" i="12"/>
  <c r="Q1212" i="12"/>
  <c r="R1212" i="12"/>
  <c r="S1212" i="12"/>
  <c r="T1212" i="12"/>
  <c r="U1212" i="12"/>
  <c r="V1212" i="12"/>
  <c r="W1212" i="12"/>
  <c r="X1212" i="12"/>
  <c r="Y1212" i="12"/>
  <c r="Z1212" i="12"/>
  <c r="AA1212" i="12"/>
  <c r="AI1212" i="12"/>
  <c r="AJ1212" i="12"/>
  <c r="A1213" i="12"/>
  <c r="DH1213" i="12" s="1" a="1"/>
  <c r="B1213" i="12"/>
  <c r="C1213" i="12"/>
  <c r="D1213" i="12"/>
  <c r="E1213" i="12"/>
  <c r="M1213" i="12"/>
  <c r="N1213" i="12"/>
  <c r="O1213" i="12"/>
  <c r="P1213" i="12"/>
  <c r="Q1213" i="12"/>
  <c r="R1213" i="12"/>
  <c r="S1213" i="12"/>
  <c r="T1213" i="12"/>
  <c r="U1213" i="12"/>
  <c r="V1213" i="12"/>
  <c r="W1213" i="12"/>
  <c r="X1213" i="12"/>
  <c r="Y1213" i="12"/>
  <c r="Z1213" i="12"/>
  <c r="AA1213" i="12"/>
  <c r="AI1213" i="12"/>
  <c r="AJ1213" i="12"/>
  <c r="AK1213" i="12"/>
  <c r="AL1213" i="12"/>
  <c r="AM1213" i="12"/>
  <c r="A1214" i="12"/>
  <c r="DH1214" i="12" s="1" a="1"/>
  <c r="B1214" i="12"/>
  <c r="C1214" i="12"/>
  <c r="D1214" i="12"/>
  <c r="E1214" i="12"/>
  <c r="G1214" i="12"/>
  <c r="H1214" i="12"/>
  <c r="I1214" i="12"/>
  <c r="J1214" i="12"/>
  <c r="K1214" i="12"/>
  <c r="M1214" i="12"/>
  <c r="N1214" i="12"/>
  <c r="O1214" i="12"/>
  <c r="P1214" i="12"/>
  <c r="Q1214" i="12"/>
  <c r="R1214" i="12"/>
  <c r="S1214" i="12"/>
  <c r="T1214" i="12"/>
  <c r="U1214" i="12"/>
  <c r="V1214" i="12"/>
  <c r="W1214" i="12"/>
  <c r="X1214" i="12"/>
  <c r="Y1214" i="12"/>
  <c r="Z1214" i="12"/>
  <c r="AA1214" i="12"/>
  <c r="AI1214" i="12"/>
  <c r="A1215" i="12"/>
  <c r="DH1215" i="12" s="1" a="1"/>
  <c r="B1215" i="12"/>
  <c r="C1215" i="12"/>
  <c r="D1215" i="12"/>
  <c r="A1216" i="12"/>
  <c r="DH1216" i="12" s="1" a="1"/>
  <c r="B1216" i="12"/>
  <c r="C1216" i="12"/>
  <c r="D1216" i="12"/>
  <c r="E1216" i="12"/>
  <c r="H1216" i="12"/>
  <c r="I1216" i="12"/>
  <c r="J1216" i="12"/>
  <c r="K1216" i="12"/>
  <c r="M1216" i="12"/>
  <c r="N1216" i="12"/>
  <c r="O1216" i="12"/>
  <c r="P1216" i="12"/>
  <c r="Q1216" i="12"/>
  <c r="R1216" i="12"/>
  <c r="S1216" i="12"/>
  <c r="T1216" i="12"/>
  <c r="U1216" i="12"/>
  <c r="V1216" i="12"/>
  <c r="W1216" i="12"/>
  <c r="X1216" i="12"/>
  <c r="Y1216" i="12"/>
  <c r="Z1216" i="12"/>
  <c r="AA1216" i="12"/>
  <c r="AI1216" i="12"/>
  <c r="AJ1216" i="12"/>
  <c r="AK1216" i="12"/>
  <c r="AL1216" i="12"/>
  <c r="AM1216" i="12"/>
  <c r="A1217" i="12"/>
  <c r="DH1217" i="12" s="1" a="1"/>
  <c r="B1217" i="12"/>
  <c r="C1217" i="12"/>
  <c r="D1217" i="12"/>
  <c r="E1217" i="12"/>
  <c r="H1217" i="12"/>
  <c r="I1217" i="12"/>
  <c r="J1217" i="12"/>
  <c r="K1217" i="12"/>
  <c r="M1217" i="12"/>
  <c r="N1217" i="12"/>
  <c r="O1217" i="12"/>
  <c r="P1217" i="12"/>
  <c r="Q1217" i="12"/>
  <c r="R1217" i="12"/>
  <c r="S1217" i="12"/>
  <c r="T1217" i="12"/>
  <c r="U1217" i="12"/>
  <c r="V1217" i="12"/>
  <c r="W1217" i="12"/>
  <c r="X1217" i="12"/>
  <c r="Y1217" i="12"/>
  <c r="Z1217" i="12"/>
  <c r="AA1217" i="12"/>
  <c r="AI1217" i="12"/>
  <c r="AJ1217" i="12"/>
  <c r="AK1217" i="12"/>
  <c r="AL1217" i="12"/>
  <c r="AM1217" i="12"/>
  <c r="A1218" i="12"/>
  <c r="B1218" i="12"/>
  <c r="C1218" i="12"/>
  <c r="D1218" i="12"/>
  <c r="A1191" i="12"/>
  <c r="DH1191" i="12" s="1" a="1"/>
  <c r="B1191" i="12"/>
  <c r="C1191" i="12"/>
  <c r="D1191" i="12"/>
  <c r="E1191" i="12"/>
  <c r="F1191" i="12" s="1"/>
  <c r="G1191" i="12"/>
  <c r="H1191" i="12"/>
  <c r="I1191" i="12"/>
  <c r="J1191" i="12"/>
  <c r="K1191" i="12"/>
  <c r="M1191" i="12"/>
  <c r="N1191" i="12"/>
  <c r="O1191" i="12"/>
  <c r="P1191" i="12"/>
  <c r="Q1191" i="12"/>
  <c r="R1191" i="12"/>
  <c r="S1191" i="12"/>
  <c r="T1191" i="12"/>
  <c r="U1191" i="12"/>
  <c r="V1191" i="12"/>
  <c r="W1191" i="12"/>
  <c r="X1191" i="12"/>
  <c r="Y1191" i="12"/>
  <c r="Z1191" i="12"/>
  <c r="AA1191" i="12"/>
  <c r="AI1191" i="12"/>
  <c r="AJ1191" i="12"/>
  <c r="AK1191" i="12"/>
  <c r="AL1191" i="12"/>
  <c r="AM1191" i="12"/>
  <c r="A1192" i="12"/>
  <c r="DH1192" i="12" s="1" a="1"/>
  <c r="B1192" i="12"/>
  <c r="C1192" i="12"/>
  <c r="D1192" i="12"/>
  <c r="A1193" i="12"/>
  <c r="B1193" i="12"/>
  <c r="C1193" i="12"/>
  <c r="D1193" i="12"/>
  <c r="A1194" i="12"/>
  <c r="DH1194" i="12" s="1" a="1"/>
  <c r="B1194" i="12"/>
  <c r="E1194" i="12" s="1"/>
  <c r="C1194" i="12"/>
  <c r="D1194" i="12"/>
  <c r="A1195" i="12"/>
  <c r="DH1195" i="12" s="1" a="1"/>
  <c r="B1195" i="12"/>
  <c r="E1195" i="12" s="1"/>
  <c r="C1195" i="12"/>
  <c r="D1195" i="12"/>
  <c r="A1196" i="12"/>
  <c r="B1196" i="12"/>
  <c r="C1196" i="12"/>
  <c r="D1196" i="12"/>
  <c r="A1197" i="12"/>
  <c r="B1197" i="12"/>
  <c r="C1197" i="12"/>
  <c r="D1197" i="12"/>
  <c r="A1198" i="12"/>
  <c r="DH1198" i="12" s="1" a="1"/>
  <c r="B1198" i="12"/>
  <c r="C1198" i="12"/>
  <c r="D1198" i="12"/>
  <c r="E1198" i="12"/>
  <c r="H1198" i="12"/>
  <c r="I1198" i="12"/>
  <c r="J1198" i="12"/>
  <c r="K1198" i="12"/>
  <c r="M1198" i="12"/>
  <c r="N1198" i="12"/>
  <c r="O1198" i="12"/>
  <c r="P1198" i="12"/>
  <c r="Q1198" i="12"/>
  <c r="R1198" i="12"/>
  <c r="S1198" i="12"/>
  <c r="T1198" i="12"/>
  <c r="U1198" i="12"/>
  <c r="V1198" i="12"/>
  <c r="W1198" i="12"/>
  <c r="X1198" i="12"/>
  <c r="Y1198" i="12"/>
  <c r="Z1198" i="12"/>
  <c r="AA1198" i="12"/>
  <c r="AI1198" i="12"/>
  <c r="AJ1198" i="12"/>
  <c r="AK1198" i="12"/>
  <c r="AL1198" i="12"/>
  <c r="AM1198" i="12"/>
  <c r="A1199" i="12"/>
  <c r="DH1199" i="12" s="1" a="1"/>
  <c r="B1199" i="12"/>
  <c r="E1199" i="12" s="1"/>
  <c r="C1199" i="12"/>
  <c r="D1199" i="12"/>
  <c r="A1200" i="12"/>
  <c r="DH1200" i="12" s="1" a="1"/>
  <c r="B1200" i="12"/>
  <c r="C1200" i="12"/>
  <c r="D1200" i="12"/>
  <c r="E1200" i="12"/>
  <c r="F1200" i="12"/>
  <c r="G1200" i="12"/>
  <c r="H1200" i="12"/>
  <c r="I1200" i="12"/>
  <c r="J1200" i="12"/>
  <c r="K1200" i="12"/>
  <c r="M1200" i="12"/>
  <c r="N1200" i="12"/>
  <c r="O1200" i="12"/>
  <c r="P1200" i="12"/>
  <c r="Q1200" i="12"/>
  <c r="R1200" i="12"/>
  <c r="S1200" i="12"/>
  <c r="T1200" i="12"/>
  <c r="U1200" i="12"/>
  <c r="A1201" i="12"/>
  <c r="DH1201" i="12" s="1" a="1"/>
  <c r="B1201" i="12"/>
  <c r="C1201" i="12"/>
  <c r="D1201" i="12"/>
  <c r="E1201" i="12"/>
  <c r="F1201" i="12"/>
  <c r="G1201" i="12"/>
  <c r="AC1201" i="12" s="1"/>
  <c r="H1201" i="12"/>
  <c r="I1201" i="12"/>
  <c r="J1201" i="12"/>
  <c r="K1201" i="12"/>
  <c r="M1201" i="12"/>
  <c r="N1201" i="12"/>
  <c r="O1201" i="12"/>
  <c r="P1201" i="12"/>
  <c r="Q1201" i="12"/>
  <c r="R1201" i="12"/>
  <c r="S1201" i="12"/>
  <c r="T1201" i="12"/>
  <c r="U1201" i="12"/>
  <c r="V1201" i="12"/>
  <c r="W1201" i="12"/>
  <c r="X1201" i="12"/>
  <c r="Y1201" i="12"/>
  <c r="Z1201" i="12"/>
  <c r="AA1201" i="12"/>
  <c r="AI1201" i="12"/>
  <c r="AJ1201" i="12"/>
  <c r="AK1201" i="12"/>
  <c r="AL1201" i="12"/>
  <c r="AM1201" i="12"/>
  <c r="A1202" i="12"/>
  <c r="DH1202" i="12" s="1" a="1"/>
  <c r="B1202" i="12"/>
  <c r="C1202" i="12"/>
  <c r="D1202" i="12"/>
  <c r="E1202" i="12"/>
  <c r="H1202" i="12"/>
  <c r="I1202" i="12"/>
  <c r="J1202" i="12"/>
  <c r="K1202" i="12"/>
  <c r="M1202" i="12"/>
  <c r="N1202" i="12"/>
  <c r="O1202" i="12"/>
  <c r="P1202" i="12"/>
  <c r="Q1202" i="12"/>
  <c r="R1202" i="12"/>
  <c r="S1202" i="12"/>
  <c r="T1202" i="12"/>
  <c r="U1202" i="12"/>
  <c r="V1202" i="12"/>
  <c r="W1202" i="12"/>
  <c r="X1202" i="12"/>
  <c r="Y1202" i="12"/>
  <c r="Z1202" i="12"/>
  <c r="AA1202" i="12"/>
  <c r="AI1202" i="12"/>
  <c r="AJ1202" i="12"/>
  <c r="AK1202" i="12"/>
  <c r="AL1202" i="12"/>
  <c r="AM1202" i="12"/>
  <c r="A1203" i="12"/>
  <c r="DH1203" i="12" s="1" a="1"/>
  <c r="B1203" i="12"/>
  <c r="C1203" i="12"/>
  <c r="D1203" i="12"/>
  <c r="E1203" i="12"/>
  <c r="F1203" i="12" s="1"/>
  <c r="G1203" i="12"/>
  <c r="H1203" i="12"/>
  <c r="I1203" i="12"/>
  <c r="J1203" i="12"/>
  <c r="K1203" i="12"/>
  <c r="M1203" i="12"/>
  <c r="N1203" i="12"/>
  <c r="O1203" i="12"/>
  <c r="P1203" i="12"/>
  <c r="Q1203" i="12"/>
  <c r="R1203" i="12"/>
  <c r="S1203" i="12"/>
  <c r="T1203" i="12"/>
  <c r="U1203" i="12"/>
  <c r="V1203" i="12"/>
  <c r="W1203" i="12"/>
  <c r="X1203" i="12"/>
  <c r="Y1203" i="12"/>
  <c r="Z1203" i="12"/>
  <c r="AA1203" i="12"/>
  <c r="AI1203" i="12"/>
  <c r="AJ1203" i="12"/>
  <c r="AK1203" i="12"/>
  <c r="AL1203" i="12"/>
  <c r="AM1203" i="12"/>
  <c r="A1204" i="12"/>
  <c r="DH1204" i="12" s="1" a="1"/>
  <c r="B1204" i="12"/>
  <c r="C1204" i="12"/>
  <c r="D1204" i="12"/>
  <c r="E1204" i="12"/>
  <c r="M1204" i="12"/>
  <c r="N1204" i="12"/>
  <c r="O1204" i="12"/>
  <c r="P1204" i="12"/>
  <c r="Q1204" i="12"/>
  <c r="R1204" i="12"/>
  <c r="S1204" i="12"/>
  <c r="T1204" i="12"/>
  <c r="U1204" i="12"/>
  <c r="V1204" i="12"/>
  <c r="W1204" i="12"/>
  <c r="X1204" i="12"/>
  <c r="Y1204" i="12"/>
  <c r="Z1204" i="12"/>
  <c r="AA1204" i="12"/>
  <c r="AI1204" i="12"/>
  <c r="AJ1204" i="12"/>
  <c r="AK1204" i="12"/>
  <c r="AL1204" i="12"/>
  <c r="AM1204" i="12"/>
  <c r="A1177" i="12"/>
  <c r="DH1177" i="12" s="1" a="1"/>
  <c r="B1177" i="12"/>
  <c r="C1177" i="12"/>
  <c r="D1177" i="12"/>
  <c r="E1177" i="12"/>
  <c r="F1177" i="12" s="1"/>
  <c r="G1177" i="12"/>
  <c r="H1177" i="12"/>
  <c r="I1177" i="12"/>
  <c r="J1177" i="12"/>
  <c r="K1177" i="12"/>
  <c r="M1177" i="12"/>
  <c r="N1177" i="12"/>
  <c r="O1177" i="12"/>
  <c r="P1177" i="12"/>
  <c r="Q1177" i="12"/>
  <c r="R1177" i="12"/>
  <c r="S1177" i="12"/>
  <c r="T1177" i="12"/>
  <c r="U1177" i="12"/>
  <c r="V1177" i="12"/>
  <c r="W1177" i="12"/>
  <c r="X1177" i="12"/>
  <c r="Y1177" i="12"/>
  <c r="Z1177" i="12"/>
  <c r="AA1177" i="12"/>
  <c r="AI1177" i="12"/>
  <c r="AJ1177" i="12"/>
  <c r="AK1177" i="12"/>
  <c r="AL1177" i="12"/>
  <c r="AM1177" i="12"/>
  <c r="A1178" i="12"/>
  <c r="DH1178" i="12" s="1" a="1"/>
  <c r="B1178" i="12"/>
  <c r="C1178" i="12"/>
  <c r="D1178" i="12"/>
  <c r="E1178" i="12"/>
  <c r="F1178" i="12" s="1"/>
  <c r="G1178" i="12"/>
  <c r="H1178" i="12"/>
  <c r="I1178" i="12"/>
  <c r="J1178" i="12"/>
  <c r="K1178" i="12"/>
  <c r="M1178" i="12"/>
  <c r="N1178" i="12"/>
  <c r="O1178" i="12"/>
  <c r="P1178" i="12"/>
  <c r="Q1178" i="12"/>
  <c r="R1178" i="12"/>
  <c r="S1178" i="12"/>
  <c r="T1178" i="12"/>
  <c r="U1178" i="12"/>
  <c r="V1178" i="12"/>
  <c r="W1178" i="12"/>
  <c r="X1178" i="12"/>
  <c r="Y1178" i="12"/>
  <c r="Z1178" i="12"/>
  <c r="AA1178" i="12"/>
  <c r="AI1178" i="12"/>
  <c r="AJ1178" i="12"/>
  <c r="AK1178" i="12"/>
  <c r="AL1178" i="12"/>
  <c r="AM1178" i="12"/>
  <c r="A1179" i="12"/>
  <c r="DH1179" i="12" s="1" a="1"/>
  <c r="B1179" i="12"/>
  <c r="C1179" i="12"/>
  <c r="D1179" i="12"/>
  <c r="E1179" i="12"/>
  <c r="H1179" i="12"/>
  <c r="I1179" i="12"/>
  <c r="J1179" i="12"/>
  <c r="K1179" i="12"/>
  <c r="M1179" i="12"/>
  <c r="N1179" i="12"/>
  <c r="O1179" i="12"/>
  <c r="P1179" i="12"/>
  <c r="Q1179" i="12"/>
  <c r="R1179" i="12"/>
  <c r="S1179" i="12"/>
  <c r="T1179" i="12"/>
  <c r="U1179" i="12"/>
  <c r="V1179" i="12"/>
  <c r="W1179" i="12"/>
  <c r="X1179" i="12"/>
  <c r="Y1179" i="12"/>
  <c r="Z1179" i="12"/>
  <c r="AA1179" i="12"/>
  <c r="AI1179" i="12"/>
  <c r="AJ1179" i="12"/>
  <c r="AK1179" i="12"/>
  <c r="AL1179" i="12"/>
  <c r="AM1179" i="12"/>
  <c r="A1180" i="12"/>
  <c r="DH1180" i="12" s="1" a="1"/>
  <c r="B1180" i="12"/>
  <c r="C1180" i="12"/>
  <c r="D1180" i="12"/>
  <c r="E1180" i="12"/>
  <c r="H1180" i="12"/>
  <c r="I1180" i="12"/>
  <c r="J1180" i="12"/>
  <c r="K1180" i="12"/>
  <c r="M1180" i="12"/>
  <c r="N1180" i="12"/>
  <c r="O1180" i="12"/>
  <c r="P1180" i="12"/>
  <c r="Q1180" i="12"/>
  <c r="R1180" i="12"/>
  <c r="S1180" i="12"/>
  <c r="T1180" i="12"/>
  <c r="U1180" i="12"/>
  <c r="V1180" i="12"/>
  <c r="W1180" i="12"/>
  <c r="X1180" i="12"/>
  <c r="Y1180" i="12"/>
  <c r="Z1180" i="12"/>
  <c r="AA1180" i="12"/>
  <c r="AI1180" i="12"/>
  <c r="AJ1180" i="12"/>
  <c r="AK1180" i="12"/>
  <c r="AL1180" i="12"/>
  <c r="AM1180" i="12"/>
  <c r="A1181" i="12"/>
  <c r="DH1181" i="12" s="1" a="1"/>
  <c r="B1181" i="12"/>
  <c r="C1181" i="12"/>
  <c r="D1181" i="12"/>
  <c r="E1181" i="12"/>
  <c r="O1181" i="12"/>
  <c r="P1181" i="12"/>
  <c r="Q1181" i="12"/>
  <c r="R1181" i="12"/>
  <c r="S1181" i="12"/>
  <c r="T1181" i="12"/>
  <c r="U1181" i="12"/>
  <c r="V1181" i="12"/>
  <c r="W1181" i="12"/>
  <c r="X1181" i="12"/>
  <c r="Y1181" i="12"/>
  <c r="Z1181" i="12"/>
  <c r="AA1181" i="12"/>
  <c r="AI1181" i="12"/>
  <c r="AJ1181" i="12"/>
  <c r="AK1181" i="12"/>
  <c r="AL1181" i="12"/>
  <c r="AM1181" i="12"/>
  <c r="A1182" i="12"/>
  <c r="DH1182" i="12" s="1" a="1"/>
  <c r="B1182" i="12"/>
  <c r="C1182" i="12"/>
  <c r="D1182" i="12"/>
  <c r="E1182" i="12"/>
  <c r="F1182" i="12" s="1"/>
  <c r="G1182" i="12"/>
  <c r="H1182" i="12"/>
  <c r="I1182" i="12"/>
  <c r="J1182" i="12"/>
  <c r="K1182" i="12"/>
  <c r="M1182" i="12"/>
  <c r="N1182" i="12"/>
  <c r="O1182" i="12"/>
  <c r="P1182" i="12"/>
  <c r="Q1182" i="12"/>
  <c r="R1182" i="12"/>
  <c r="S1182" i="12"/>
  <c r="T1182" i="12"/>
  <c r="U1182" i="12"/>
  <c r="V1182" i="12"/>
  <c r="W1182" i="12"/>
  <c r="X1182" i="12"/>
  <c r="Y1182" i="12"/>
  <c r="Z1182" i="12"/>
  <c r="AA1182" i="12"/>
  <c r="AI1182" i="12"/>
  <c r="AJ1182" i="12"/>
  <c r="AK1182" i="12"/>
  <c r="AL1182" i="12"/>
  <c r="AM1182" i="12"/>
  <c r="A1183" i="12"/>
  <c r="DH1183" i="12" s="1" a="1"/>
  <c r="B1183" i="12"/>
  <c r="C1183" i="12"/>
  <c r="D1183" i="12"/>
  <c r="E1183" i="12"/>
  <c r="F1183" i="12" s="1"/>
  <c r="G1183" i="12"/>
  <c r="H1183" i="12"/>
  <c r="I1183" i="12"/>
  <c r="J1183" i="12"/>
  <c r="K1183" i="12"/>
  <c r="M1183" i="12"/>
  <c r="N1183" i="12"/>
  <c r="O1183" i="12"/>
  <c r="P1183" i="12"/>
  <c r="Q1183" i="12"/>
  <c r="R1183" i="12"/>
  <c r="S1183" i="12"/>
  <c r="T1183" i="12"/>
  <c r="U1183" i="12"/>
  <c r="V1183" i="12"/>
  <c r="W1183" i="12"/>
  <c r="X1183" i="12"/>
  <c r="Y1183" i="12"/>
  <c r="Z1183" i="12"/>
  <c r="AA1183" i="12"/>
  <c r="AI1183" i="12"/>
  <c r="AJ1183" i="12"/>
  <c r="AK1183" i="12"/>
  <c r="AL1183" i="12"/>
  <c r="AM1183" i="12"/>
  <c r="A1184" i="12"/>
  <c r="DH1184" i="12" s="1" a="1"/>
  <c r="B1184" i="12"/>
  <c r="C1184" i="12"/>
  <c r="D1184" i="12"/>
  <c r="E1184" i="12"/>
  <c r="K1184" i="12"/>
  <c r="M1184" i="12"/>
  <c r="N1184" i="12"/>
  <c r="O1184" i="12"/>
  <c r="P1184" i="12"/>
  <c r="Q1184" i="12"/>
  <c r="R1184" i="12"/>
  <c r="S1184" i="12"/>
  <c r="T1184" i="12"/>
  <c r="U1184" i="12"/>
  <c r="V1184" i="12"/>
  <c r="W1184" i="12"/>
  <c r="X1184" i="12"/>
  <c r="Y1184" i="12"/>
  <c r="Z1184" i="12"/>
  <c r="AA1184" i="12"/>
  <c r="AI1184" i="12"/>
  <c r="AJ1184" i="12"/>
  <c r="AK1184" i="12"/>
  <c r="AL1184" i="12"/>
  <c r="A1185" i="12"/>
  <c r="DH1185" i="12" s="1" a="1"/>
  <c r="B1185" i="12"/>
  <c r="C1185" i="12"/>
  <c r="D1185" i="12"/>
  <c r="E1185" i="12"/>
  <c r="N1185" i="12"/>
  <c r="O1185" i="12"/>
  <c r="P1185" i="12"/>
  <c r="Q1185" i="12"/>
  <c r="R1185" i="12"/>
  <c r="S1185" i="12"/>
  <c r="T1185" i="12"/>
  <c r="U1185" i="12"/>
  <c r="V1185" i="12"/>
  <c r="W1185" i="12"/>
  <c r="X1185" i="12"/>
  <c r="Y1185" i="12"/>
  <c r="Z1185" i="12"/>
  <c r="AA1185" i="12"/>
  <c r="AI1185" i="12"/>
  <c r="AJ1185" i="12"/>
  <c r="AK1185" i="12"/>
  <c r="AL1185" i="12"/>
  <c r="AM1185" i="12"/>
  <c r="A1186" i="12"/>
  <c r="DH1186" i="12" s="1" a="1"/>
  <c r="B1186" i="12"/>
  <c r="C1186" i="12"/>
  <c r="D1186" i="12"/>
  <c r="E1186" i="12"/>
  <c r="M1186" i="12"/>
  <c r="N1186" i="12"/>
  <c r="O1186" i="12"/>
  <c r="P1186" i="12"/>
  <c r="Q1186" i="12"/>
  <c r="R1186" i="12"/>
  <c r="S1186" i="12"/>
  <c r="T1186" i="12"/>
  <c r="U1186" i="12"/>
  <c r="V1186" i="12"/>
  <c r="W1186" i="12"/>
  <c r="X1186" i="12"/>
  <c r="Y1186" i="12"/>
  <c r="Z1186" i="12"/>
  <c r="AA1186" i="12"/>
  <c r="AI1186" i="12"/>
  <c r="A1187" i="12"/>
  <c r="DH1187" i="12" s="1" a="1"/>
  <c r="B1187" i="12"/>
  <c r="C1187" i="12"/>
  <c r="D1187" i="12"/>
  <c r="E1187" i="12"/>
  <c r="K1187" i="12"/>
  <c r="M1187" i="12"/>
  <c r="N1187" i="12"/>
  <c r="O1187" i="12"/>
  <c r="P1187" i="12"/>
  <c r="Q1187" i="12"/>
  <c r="R1187" i="12"/>
  <c r="S1187" i="12"/>
  <c r="T1187" i="12"/>
  <c r="U1187" i="12"/>
  <c r="V1187" i="12"/>
  <c r="W1187" i="12"/>
  <c r="X1187" i="12"/>
  <c r="Y1187" i="12"/>
  <c r="Z1187" i="12"/>
  <c r="AA1187" i="12"/>
  <c r="AI1187" i="12"/>
  <c r="AJ1187" i="12"/>
  <c r="AK1187" i="12"/>
  <c r="AL1187" i="12"/>
  <c r="AM1187" i="12"/>
  <c r="A1188" i="12"/>
  <c r="DH1188" i="12" s="1" a="1"/>
  <c r="B1188" i="12"/>
  <c r="C1188" i="12"/>
  <c r="D1188" i="12"/>
  <c r="E1188" i="12"/>
  <c r="F1188" i="12"/>
  <c r="G1188" i="12"/>
  <c r="H1188" i="12"/>
  <c r="I1188" i="12"/>
  <c r="J1188" i="12"/>
  <c r="K1188" i="12"/>
  <c r="M1188" i="12"/>
  <c r="N1188" i="12"/>
  <c r="O1188" i="12"/>
  <c r="P1188" i="12"/>
  <c r="Q1188" i="12"/>
  <c r="R1188" i="12"/>
  <c r="S1188" i="12"/>
  <c r="T1188" i="12"/>
  <c r="U1188" i="12"/>
  <c r="V1188" i="12"/>
  <c r="W1188" i="12"/>
  <c r="X1188" i="12"/>
  <c r="Y1188" i="12"/>
  <c r="Z1188" i="12"/>
  <c r="AA1188" i="12"/>
  <c r="AC1188" i="12"/>
  <c r="AI1188" i="12"/>
  <c r="AJ1188" i="12"/>
  <c r="AK1188" i="12"/>
  <c r="AL1188" i="12"/>
  <c r="AM1188" i="12"/>
  <c r="A1189" i="12"/>
  <c r="DH1189" i="12" s="1" a="1"/>
  <c r="B1189" i="12"/>
  <c r="C1189" i="12"/>
  <c r="D1189" i="12"/>
  <c r="E1189" i="12"/>
  <c r="F1189" i="12"/>
  <c r="G1189" i="12"/>
  <c r="H1189" i="12"/>
  <c r="I1189" i="12"/>
  <c r="J1189" i="12"/>
  <c r="K1189" i="12"/>
  <c r="M1189" i="12"/>
  <c r="N1189" i="12"/>
  <c r="O1189" i="12"/>
  <c r="P1189" i="12"/>
  <c r="Q1189" i="12"/>
  <c r="R1189" i="12"/>
  <c r="S1189" i="12"/>
  <c r="T1189" i="12"/>
  <c r="U1189" i="12"/>
  <c r="V1189" i="12"/>
  <c r="W1189" i="12"/>
  <c r="X1189" i="12"/>
  <c r="Y1189" i="12"/>
  <c r="Z1189" i="12"/>
  <c r="AA1189" i="12"/>
  <c r="AI1189" i="12"/>
  <c r="AJ1189" i="12"/>
  <c r="AK1189" i="12"/>
  <c r="AL1189" i="12"/>
  <c r="AM1189" i="12"/>
  <c r="A1190" i="12"/>
  <c r="DH1190" i="12" s="1" a="1"/>
  <c r="B1190" i="12"/>
  <c r="C1190" i="12"/>
  <c r="D1190" i="12"/>
  <c r="E1190" i="12"/>
  <c r="H1190" i="12"/>
  <c r="I1190" i="12"/>
  <c r="J1190" i="12"/>
  <c r="K1190" i="12"/>
  <c r="M1190" i="12"/>
  <c r="N1190" i="12"/>
  <c r="O1190" i="12"/>
  <c r="P1190" i="12"/>
  <c r="Q1190" i="12"/>
  <c r="R1190" i="12"/>
  <c r="S1190" i="12"/>
  <c r="T1190" i="12"/>
  <c r="U1190" i="12"/>
  <c r="V1190" i="12"/>
  <c r="W1190" i="12"/>
  <c r="X1190" i="12"/>
  <c r="Y1190" i="12"/>
  <c r="Z1190" i="12"/>
  <c r="AA1190" i="12"/>
  <c r="AI1190" i="12"/>
  <c r="AJ1190" i="12"/>
  <c r="AK1190" i="12"/>
  <c r="AL1190" i="12"/>
  <c r="AM1190" i="12"/>
  <c r="A1163" i="12"/>
  <c r="DH1163" i="12" s="1" a="1"/>
  <c r="B1163" i="12"/>
  <c r="C1163" i="12"/>
  <c r="D1163" i="12"/>
  <c r="E1163" i="12"/>
  <c r="I1163" i="12"/>
  <c r="J1163" i="12"/>
  <c r="K1163" i="12"/>
  <c r="M1163" i="12"/>
  <c r="N1163" i="12"/>
  <c r="O1163" i="12"/>
  <c r="P1163" i="12"/>
  <c r="Q1163" i="12"/>
  <c r="R1163" i="12"/>
  <c r="S1163" i="12"/>
  <c r="T1163" i="12"/>
  <c r="U1163" i="12"/>
  <c r="V1163" i="12"/>
  <c r="W1163" i="12"/>
  <c r="X1163" i="12"/>
  <c r="Y1163" i="12"/>
  <c r="Z1163" i="12"/>
  <c r="AA1163" i="12"/>
  <c r="AI1163" i="12"/>
  <c r="AJ1163" i="12"/>
  <c r="AK1163" i="12"/>
  <c r="AL1163" i="12"/>
  <c r="AM1163" i="12"/>
  <c r="A1164" i="12"/>
  <c r="DH1164" i="12" s="1" a="1"/>
  <c r="B1164" i="12"/>
  <c r="C1164" i="12"/>
  <c r="D1164" i="12"/>
  <c r="E1164" i="12"/>
  <c r="H1164" i="12"/>
  <c r="I1164" i="12"/>
  <c r="J1164" i="12"/>
  <c r="K1164" i="12"/>
  <c r="M1164" i="12"/>
  <c r="N1164" i="12"/>
  <c r="O1164" i="12"/>
  <c r="P1164" i="12"/>
  <c r="Q1164" i="12"/>
  <c r="R1164" i="12"/>
  <c r="S1164" i="12"/>
  <c r="T1164" i="12"/>
  <c r="U1164" i="12"/>
  <c r="V1164" i="12"/>
  <c r="W1164" i="12"/>
  <c r="X1164" i="12"/>
  <c r="Y1164" i="12"/>
  <c r="Z1164" i="12"/>
  <c r="AA1164" i="12"/>
  <c r="AI1164" i="12"/>
  <c r="AJ1164" i="12"/>
  <c r="AK1164" i="12"/>
  <c r="AL1164" i="12"/>
  <c r="AM1164" i="12"/>
  <c r="A1165" i="12"/>
  <c r="DH1165" i="12" s="1" a="1"/>
  <c r="B1165" i="12"/>
  <c r="C1165" i="12"/>
  <c r="D1165" i="12"/>
  <c r="E1165" i="12"/>
  <c r="K1165" i="12"/>
  <c r="M1165" i="12"/>
  <c r="N1165" i="12"/>
  <c r="O1165" i="12"/>
  <c r="P1165" i="12"/>
  <c r="Q1165" i="12"/>
  <c r="R1165" i="12"/>
  <c r="S1165" i="12"/>
  <c r="T1165" i="12"/>
  <c r="U1165" i="12"/>
  <c r="V1165" i="12"/>
  <c r="W1165" i="12"/>
  <c r="X1165" i="12"/>
  <c r="Y1165" i="12"/>
  <c r="Z1165" i="12"/>
  <c r="AA1165" i="12"/>
  <c r="AI1165" i="12"/>
  <c r="AJ1165" i="12"/>
  <c r="AK1165" i="12"/>
  <c r="AL1165" i="12"/>
  <c r="AM1165" i="12"/>
  <c r="A1166" i="12"/>
  <c r="DH1166" i="12" s="1" a="1"/>
  <c r="B1166" i="12"/>
  <c r="C1166" i="12"/>
  <c r="D1166" i="12"/>
  <c r="E1166" i="12"/>
  <c r="F1166" i="12" s="1"/>
  <c r="G1166" i="12"/>
  <c r="H1166" i="12"/>
  <c r="I1166" i="12"/>
  <c r="J1166" i="12"/>
  <c r="K1166" i="12"/>
  <c r="M1166" i="12"/>
  <c r="N1166" i="12"/>
  <c r="O1166" i="12"/>
  <c r="P1166" i="12"/>
  <c r="Q1166" i="12"/>
  <c r="R1166" i="12"/>
  <c r="S1166" i="12"/>
  <c r="T1166" i="12"/>
  <c r="U1166" i="12"/>
  <c r="V1166" i="12"/>
  <c r="W1166" i="12"/>
  <c r="X1166" i="12"/>
  <c r="Y1166" i="12"/>
  <c r="Z1166" i="12"/>
  <c r="AA1166" i="12"/>
  <c r="AI1166" i="12"/>
  <c r="AJ1166" i="12"/>
  <c r="AK1166" i="12"/>
  <c r="AL1166" i="12"/>
  <c r="AM1166" i="12"/>
  <c r="A1167" i="12"/>
  <c r="DH1167" i="12" s="1" a="1"/>
  <c r="B1167" i="12"/>
  <c r="C1167" i="12"/>
  <c r="D1167" i="12"/>
  <c r="E1167" i="12"/>
  <c r="I1167" i="12"/>
  <c r="J1167" i="12"/>
  <c r="K1167" i="12"/>
  <c r="A1168" i="12"/>
  <c r="DH1168" i="12" s="1" a="1"/>
  <c r="B1168" i="12"/>
  <c r="C1168" i="12"/>
  <c r="D1168" i="12"/>
  <c r="E1168" i="12"/>
  <c r="F1168" i="12" s="1"/>
  <c r="G1168" i="12"/>
  <c r="H1168" i="12"/>
  <c r="I1168" i="12"/>
  <c r="J1168" i="12"/>
  <c r="K1168" i="12"/>
  <c r="M1168" i="12"/>
  <c r="N1168" i="12"/>
  <c r="O1168" i="12"/>
  <c r="P1168" i="12"/>
  <c r="Q1168" i="12"/>
  <c r="R1168" i="12"/>
  <c r="S1168" i="12"/>
  <c r="T1168" i="12"/>
  <c r="U1168" i="12"/>
  <c r="V1168" i="12"/>
  <c r="W1168" i="12"/>
  <c r="X1168" i="12"/>
  <c r="Y1168" i="12"/>
  <c r="Z1168" i="12"/>
  <c r="AA1168" i="12"/>
  <c r="AI1168" i="12"/>
  <c r="AJ1168" i="12"/>
  <c r="AK1168" i="12"/>
  <c r="AL1168" i="12"/>
  <c r="AM1168" i="12"/>
  <c r="A1169" i="12"/>
  <c r="DH1169" i="12" s="1" a="1"/>
  <c r="B1169" i="12"/>
  <c r="C1169" i="12"/>
  <c r="D1169" i="12"/>
  <c r="E1169" i="12"/>
  <c r="I1169" i="12"/>
  <c r="J1169" i="12"/>
  <c r="K1169" i="12"/>
  <c r="M1169" i="12"/>
  <c r="N1169" i="12"/>
  <c r="O1169" i="12"/>
  <c r="P1169" i="12"/>
  <c r="Q1169" i="12"/>
  <c r="R1169" i="12"/>
  <c r="S1169" i="12"/>
  <c r="T1169" i="12"/>
  <c r="U1169" i="12"/>
  <c r="V1169" i="12"/>
  <c r="W1169" i="12"/>
  <c r="X1169" i="12"/>
  <c r="Y1169" i="12"/>
  <c r="Z1169" i="12"/>
  <c r="AA1169" i="12"/>
  <c r="AI1169" i="12"/>
  <c r="AJ1169" i="12"/>
  <c r="AK1169" i="12"/>
  <c r="AL1169" i="12"/>
  <c r="AM1169" i="12"/>
  <c r="A1170" i="12"/>
  <c r="DH1170" i="12" s="1" a="1"/>
  <c r="B1170" i="12"/>
  <c r="C1170" i="12"/>
  <c r="D1170" i="12"/>
  <c r="E1170" i="12"/>
  <c r="K1170" i="12" s="1"/>
  <c r="M1170" i="12"/>
  <c r="N1170" i="12"/>
  <c r="O1170" i="12"/>
  <c r="P1170" i="12"/>
  <c r="Q1170" i="12"/>
  <c r="R1170" i="12"/>
  <c r="S1170" i="12"/>
  <c r="T1170" i="12"/>
  <c r="U1170" i="12"/>
  <c r="V1170" i="12"/>
  <c r="W1170" i="12"/>
  <c r="X1170" i="12"/>
  <c r="Y1170" i="12"/>
  <c r="Z1170" i="12"/>
  <c r="AA1170" i="12"/>
  <c r="AI1170" i="12"/>
  <c r="AJ1170" i="12"/>
  <c r="AK1170" i="12"/>
  <c r="AL1170" i="12"/>
  <c r="AM1170" i="12"/>
  <c r="A1171" i="12"/>
  <c r="DH1171" i="12" s="1" a="1"/>
  <c r="B1171" i="12"/>
  <c r="C1171" i="12"/>
  <c r="D1171" i="12"/>
  <c r="E1171" i="12"/>
  <c r="K1171" i="12"/>
  <c r="M1171" i="12"/>
  <c r="N1171" i="12"/>
  <c r="O1171" i="12"/>
  <c r="P1171" i="12"/>
  <c r="Q1171" i="12"/>
  <c r="R1171" i="12"/>
  <c r="S1171" i="12"/>
  <c r="T1171" i="12"/>
  <c r="U1171" i="12"/>
  <c r="V1171" i="12"/>
  <c r="W1171" i="12"/>
  <c r="X1171" i="12"/>
  <c r="Y1171" i="12"/>
  <c r="Z1171" i="12"/>
  <c r="AA1171" i="12"/>
  <c r="AI1171" i="12"/>
  <c r="AJ1171" i="12"/>
  <c r="AK1171" i="12"/>
  <c r="AL1171" i="12"/>
  <c r="AM1171" i="12"/>
  <c r="A1172" i="12"/>
  <c r="DH1172" i="12" s="1" a="1"/>
  <c r="B1172" i="12"/>
  <c r="C1172" i="12"/>
  <c r="D1172" i="12"/>
  <c r="E1172" i="12"/>
  <c r="F1172" i="12" s="1"/>
  <c r="G1172" i="12"/>
  <c r="H1172" i="12"/>
  <c r="I1172" i="12"/>
  <c r="J1172" i="12"/>
  <c r="K1172" i="12"/>
  <c r="M1172" i="12"/>
  <c r="N1172" i="12"/>
  <c r="O1172" i="12"/>
  <c r="P1172" i="12"/>
  <c r="Q1172" i="12"/>
  <c r="R1172" i="12"/>
  <c r="S1172" i="12"/>
  <c r="T1172" i="12"/>
  <c r="U1172" i="12"/>
  <c r="V1172" i="12"/>
  <c r="W1172" i="12"/>
  <c r="X1172" i="12"/>
  <c r="Y1172" i="12"/>
  <c r="Z1172" i="12"/>
  <c r="AA1172" i="12"/>
  <c r="AI1172" i="12"/>
  <c r="AJ1172" i="12"/>
  <c r="AK1172" i="12"/>
  <c r="AL1172" i="12"/>
  <c r="AM1172" i="12"/>
  <c r="A1173" i="12"/>
  <c r="DH1173" i="12" s="1" a="1"/>
  <c r="B1173" i="12"/>
  <c r="C1173" i="12"/>
  <c r="D1173" i="12"/>
  <c r="E1173" i="12"/>
  <c r="F1173" i="12" s="1"/>
  <c r="G1173" i="12"/>
  <c r="H1173" i="12"/>
  <c r="I1173" i="12"/>
  <c r="J1173" i="12"/>
  <c r="K1173" i="12"/>
  <c r="M1173" i="12"/>
  <c r="N1173" i="12"/>
  <c r="O1173" i="12"/>
  <c r="P1173" i="12"/>
  <c r="Q1173" i="12"/>
  <c r="R1173" i="12"/>
  <c r="S1173" i="12"/>
  <c r="T1173" i="12"/>
  <c r="U1173" i="12"/>
  <c r="V1173" i="12"/>
  <c r="W1173" i="12"/>
  <c r="X1173" i="12"/>
  <c r="Y1173" i="12"/>
  <c r="Z1173" i="12"/>
  <c r="AA1173" i="12"/>
  <c r="AI1173" i="12"/>
  <c r="AJ1173" i="12"/>
  <c r="AK1173" i="12"/>
  <c r="AL1173" i="12"/>
  <c r="AM1173" i="12"/>
  <c r="A1174" i="12"/>
  <c r="DH1174" i="12" s="1" a="1"/>
  <c r="B1174" i="12"/>
  <c r="C1174" i="12"/>
  <c r="D1174" i="12"/>
  <c r="E1174" i="12"/>
  <c r="I1174" i="12"/>
  <c r="J1174" i="12"/>
  <c r="K1174" i="12"/>
  <c r="M1174" i="12"/>
  <c r="N1174" i="12"/>
  <c r="O1174" i="12"/>
  <c r="P1174" i="12"/>
  <c r="Q1174" i="12"/>
  <c r="R1174" i="12"/>
  <c r="S1174" i="12"/>
  <c r="T1174" i="12"/>
  <c r="U1174" i="12"/>
  <c r="V1174" i="12"/>
  <c r="W1174" i="12"/>
  <c r="X1174" i="12"/>
  <c r="Y1174" i="12"/>
  <c r="Z1174" i="12"/>
  <c r="AA1174" i="12"/>
  <c r="AI1174" i="12"/>
  <c r="AJ1174" i="12"/>
  <c r="AK1174" i="12"/>
  <c r="AL1174" i="12"/>
  <c r="AM1174" i="12"/>
  <c r="A1175" i="12"/>
  <c r="DH1175" i="12" s="1" a="1"/>
  <c r="B1175" i="12"/>
  <c r="C1175" i="12"/>
  <c r="D1175" i="12"/>
  <c r="E1175" i="12"/>
  <c r="I1175" i="12"/>
  <c r="J1175" i="12"/>
  <c r="K1175" i="12"/>
  <c r="M1175" i="12"/>
  <c r="N1175" i="12"/>
  <c r="O1175" i="12"/>
  <c r="P1175" i="12"/>
  <c r="Q1175" i="12"/>
  <c r="R1175" i="12"/>
  <c r="S1175" i="12"/>
  <c r="T1175" i="12"/>
  <c r="U1175" i="12"/>
  <c r="V1175" i="12"/>
  <c r="W1175" i="12"/>
  <c r="X1175" i="12"/>
  <c r="Y1175" i="12"/>
  <c r="A1176" i="12"/>
  <c r="DH1176" i="12" s="1" a="1"/>
  <c r="B1176" i="12"/>
  <c r="C1176" i="12"/>
  <c r="D1176" i="12"/>
  <c r="E1176" i="12"/>
  <c r="J1176" i="12"/>
  <c r="K1176" i="12"/>
  <c r="M1176" i="12"/>
  <c r="N1176" i="12"/>
  <c r="O1176" i="12"/>
  <c r="P1176" i="12"/>
  <c r="Q1176" i="12"/>
  <c r="R1176" i="12"/>
  <c r="S1176" i="12"/>
  <c r="T1176" i="12"/>
  <c r="U1176" i="12"/>
  <c r="V1176" i="12"/>
  <c r="W1176" i="12"/>
  <c r="X1176" i="12"/>
  <c r="Y1176" i="12"/>
  <c r="Z1176" i="12"/>
  <c r="AA1176" i="12"/>
  <c r="AI1176" i="12"/>
  <c r="AJ1176" i="12"/>
  <c r="AK1176" i="12"/>
  <c r="AL1176" i="12"/>
  <c r="AM1176" i="12"/>
  <c r="A1149" i="12"/>
  <c r="DH1149" i="12" s="1" a="1"/>
  <c r="B1149" i="12"/>
  <c r="C1149" i="12"/>
  <c r="D1149" i="12"/>
  <c r="E1149" i="12"/>
  <c r="F1149" i="12"/>
  <c r="G1149" i="12"/>
  <c r="H1149" i="12"/>
  <c r="I1149" i="12"/>
  <c r="J1149" i="12"/>
  <c r="K1149" i="12"/>
  <c r="M1149" i="12"/>
  <c r="N1149" i="12"/>
  <c r="O1149" i="12"/>
  <c r="P1149" i="12"/>
  <c r="Q1149" i="12"/>
  <c r="R1149" i="12"/>
  <c r="S1149" i="12"/>
  <c r="T1149" i="12"/>
  <c r="U1149" i="12"/>
  <c r="V1149" i="12"/>
  <c r="W1149" i="12"/>
  <c r="X1149" i="12"/>
  <c r="Y1149" i="12"/>
  <c r="Z1149" i="12"/>
  <c r="AA1149" i="12"/>
  <c r="AC1149" i="12"/>
  <c r="AI1149" i="12"/>
  <c r="AJ1149" i="12"/>
  <c r="AK1149" i="12"/>
  <c r="AL1149" i="12"/>
  <c r="AM1149" i="12"/>
  <c r="A1150" i="12"/>
  <c r="DH1150" i="12" s="1" a="1"/>
  <c r="B1150" i="12"/>
  <c r="C1150" i="12"/>
  <c r="D1150" i="12"/>
  <c r="E1150" i="12"/>
  <c r="G1150" i="12"/>
  <c r="H1150" i="12"/>
  <c r="I1150" i="12"/>
  <c r="J1150" i="12"/>
  <c r="K1150" i="12"/>
  <c r="M1150" i="12"/>
  <c r="N1150" i="12"/>
  <c r="O1150" i="12"/>
  <c r="P1150" i="12"/>
  <c r="Q1150" i="12"/>
  <c r="R1150" i="12"/>
  <c r="S1150" i="12"/>
  <c r="T1150" i="12"/>
  <c r="U1150" i="12"/>
  <c r="V1150" i="12"/>
  <c r="A1151" i="12"/>
  <c r="DH1151" i="12" s="1" a="1"/>
  <c r="B1151" i="12"/>
  <c r="C1151" i="12"/>
  <c r="D1151" i="12"/>
  <c r="E1151" i="12"/>
  <c r="J1151" i="12"/>
  <c r="K1151" i="12"/>
  <c r="M1151" i="12"/>
  <c r="N1151" i="12"/>
  <c r="O1151" i="12"/>
  <c r="P1151" i="12"/>
  <c r="Q1151" i="12"/>
  <c r="R1151" i="12"/>
  <c r="S1151" i="12"/>
  <c r="T1151" i="12"/>
  <c r="U1151" i="12"/>
  <c r="V1151" i="12"/>
  <c r="W1151" i="12"/>
  <c r="X1151" i="12"/>
  <c r="Y1151" i="12"/>
  <c r="Z1151" i="12"/>
  <c r="AA1151" i="12"/>
  <c r="AI1151" i="12"/>
  <c r="AJ1151" i="12"/>
  <c r="AK1151" i="12"/>
  <c r="AL1151" i="12"/>
  <c r="AM1151" i="12"/>
  <c r="A1152" i="12"/>
  <c r="DH1152" i="12" s="1" a="1"/>
  <c r="B1152" i="12"/>
  <c r="C1152" i="12"/>
  <c r="D1152" i="12"/>
  <c r="E1152" i="12"/>
  <c r="F1152" i="12"/>
  <c r="G1152" i="12"/>
  <c r="H1152" i="12"/>
  <c r="I1152" i="12"/>
  <c r="J1152" i="12"/>
  <c r="K1152" i="12"/>
  <c r="M1152" i="12"/>
  <c r="N1152" i="12"/>
  <c r="O1152" i="12"/>
  <c r="P1152" i="12"/>
  <c r="A1153" i="12"/>
  <c r="DH1153" i="12" s="1" a="1"/>
  <c r="B1153" i="12"/>
  <c r="C1153" i="12"/>
  <c r="D1153" i="12"/>
  <c r="E1153" i="12"/>
  <c r="I1153" i="12"/>
  <c r="J1153" i="12"/>
  <c r="K1153" i="12"/>
  <c r="M1153" i="12"/>
  <c r="N1153" i="12"/>
  <c r="O1153" i="12"/>
  <c r="P1153" i="12"/>
  <c r="Q1153" i="12"/>
  <c r="R1153" i="12"/>
  <c r="S1153" i="12"/>
  <c r="T1153" i="12"/>
  <c r="U1153" i="12"/>
  <c r="V1153" i="12"/>
  <c r="W1153" i="12"/>
  <c r="X1153" i="12"/>
  <c r="Y1153" i="12"/>
  <c r="Z1153" i="12"/>
  <c r="AA1153" i="12"/>
  <c r="A1154" i="12"/>
  <c r="DH1154" i="12" s="1" a="1"/>
  <c r="B1154" i="12"/>
  <c r="C1154" i="12"/>
  <c r="D1154" i="12"/>
  <c r="E1154" i="12"/>
  <c r="H1154" i="12"/>
  <c r="I1154" i="12"/>
  <c r="J1154" i="12"/>
  <c r="K1154" i="12"/>
  <c r="M1154" i="12"/>
  <c r="N1154" i="12"/>
  <c r="O1154" i="12"/>
  <c r="P1154" i="12"/>
  <c r="Q1154" i="12"/>
  <c r="R1154" i="12"/>
  <c r="S1154" i="12"/>
  <c r="T1154" i="12"/>
  <c r="U1154" i="12"/>
  <c r="V1154" i="12"/>
  <c r="W1154" i="12"/>
  <c r="X1154" i="12"/>
  <c r="Y1154" i="12"/>
  <c r="Z1154" i="12"/>
  <c r="AA1154" i="12"/>
  <c r="AI1154" i="12"/>
  <c r="AJ1154" i="12"/>
  <c r="AK1154" i="12"/>
  <c r="AL1154" i="12"/>
  <c r="AM1154" i="12"/>
  <c r="A1155" i="12"/>
  <c r="DH1155" i="12" s="1" a="1"/>
  <c r="B1155" i="12"/>
  <c r="C1155" i="12"/>
  <c r="D1155" i="12"/>
  <c r="E1155" i="12"/>
  <c r="K1155" i="12"/>
  <c r="M1155" i="12"/>
  <c r="N1155" i="12"/>
  <c r="O1155" i="12"/>
  <c r="P1155" i="12"/>
  <c r="Q1155" i="12"/>
  <c r="R1155" i="12"/>
  <c r="S1155" i="12"/>
  <c r="T1155" i="12"/>
  <c r="U1155" i="12"/>
  <c r="V1155" i="12"/>
  <c r="W1155" i="12"/>
  <c r="X1155" i="12"/>
  <c r="Y1155" i="12"/>
  <c r="Z1155" i="12"/>
  <c r="AA1155" i="12"/>
  <c r="AI1155" i="12"/>
  <c r="AJ1155" i="12"/>
  <c r="AK1155" i="12"/>
  <c r="AL1155" i="12"/>
  <c r="AM1155" i="12"/>
  <c r="A1156" i="12"/>
  <c r="DH1156" i="12" s="1" a="1"/>
  <c r="B1156" i="12"/>
  <c r="C1156" i="12"/>
  <c r="D1156" i="12"/>
  <c r="E1156" i="12"/>
  <c r="F1156" i="12" s="1"/>
  <c r="G1156" i="12"/>
  <c r="H1156" i="12"/>
  <c r="I1156" i="12"/>
  <c r="J1156" i="12"/>
  <c r="K1156" i="12"/>
  <c r="M1156" i="12"/>
  <c r="N1156" i="12"/>
  <c r="O1156" i="12"/>
  <c r="P1156" i="12"/>
  <c r="Q1156" i="12"/>
  <c r="R1156" i="12"/>
  <c r="S1156" i="12"/>
  <c r="T1156" i="12"/>
  <c r="U1156" i="12"/>
  <c r="V1156" i="12"/>
  <c r="W1156" i="12"/>
  <c r="X1156" i="12"/>
  <c r="Y1156" i="12"/>
  <c r="Z1156" i="12"/>
  <c r="AA1156" i="12"/>
  <c r="AI1156" i="12"/>
  <c r="AJ1156" i="12"/>
  <c r="AK1156" i="12"/>
  <c r="AL1156" i="12"/>
  <c r="AM1156" i="12"/>
  <c r="A1157" i="12"/>
  <c r="DH1157" i="12" s="1" a="1"/>
  <c r="B1157" i="12"/>
  <c r="C1157" i="12"/>
  <c r="D1157" i="12"/>
  <c r="E1157" i="12"/>
  <c r="F1157" i="12" s="1"/>
  <c r="G1157" i="12"/>
  <c r="H1157" i="12"/>
  <c r="I1157" i="12"/>
  <c r="J1157" i="12"/>
  <c r="K1157" i="12"/>
  <c r="M1157" i="12"/>
  <c r="N1157" i="12"/>
  <c r="O1157" i="12"/>
  <c r="P1157" i="12"/>
  <c r="Q1157" i="12"/>
  <c r="R1157" i="12"/>
  <c r="S1157" i="12"/>
  <c r="T1157" i="12"/>
  <c r="U1157" i="12"/>
  <c r="V1157" i="12"/>
  <c r="W1157" i="12"/>
  <c r="X1157" i="12"/>
  <c r="Y1157" i="12"/>
  <c r="Z1157" i="12"/>
  <c r="AA1157" i="12"/>
  <c r="AI1157" i="12"/>
  <c r="AJ1157" i="12"/>
  <c r="AK1157" i="12"/>
  <c r="AL1157" i="12"/>
  <c r="AM1157" i="12"/>
  <c r="A1158" i="12"/>
  <c r="DH1158" i="12" s="1" a="1"/>
  <c r="B1158" i="12"/>
  <c r="C1158" i="12"/>
  <c r="D1158" i="12"/>
  <c r="E1158" i="12"/>
  <c r="H1158" i="12"/>
  <c r="I1158" i="12"/>
  <c r="J1158" i="12"/>
  <c r="K1158" i="12"/>
  <c r="M1158" i="12"/>
  <c r="N1158" i="12"/>
  <c r="O1158" i="12"/>
  <c r="P1158" i="12"/>
  <c r="Q1158" i="12"/>
  <c r="R1158" i="12"/>
  <c r="S1158" i="12"/>
  <c r="T1158" i="12"/>
  <c r="U1158" i="12"/>
  <c r="V1158" i="12"/>
  <c r="W1158" i="12"/>
  <c r="X1158" i="12"/>
  <c r="Y1158" i="12"/>
  <c r="Z1158" i="12"/>
  <c r="AA1158" i="12"/>
  <c r="AI1158" i="12"/>
  <c r="AJ1158" i="12"/>
  <c r="AK1158" i="12"/>
  <c r="AL1158" i="12"/>
  <c r="AM1158" i="12"/>
  <c r="A1159" i="12"/>
  <c r="DH1159" i="12" s="1" a="1"/>
  <c r="B1159" i="12"/>
  <c r="C1159" i="12"/>
  <c r="D1159" i="12"/>
  <c r="E1159" i="12"/>
  <c r="K1159" i="12"/>
  <c r="M1159" i="12"/>
  <c r="N1159" i="12"/>
  <c r="O1159" i="12"/>
  <c r="P1159" i="12"/>
  <c r="Q1159" i="12"/>
  <c r="R1159" i="12"/>
  <c r="S1159" i="12"/>
  <c r="T1159" i="12"/>
  <c r="U1159" i="12"/>
  <c r="V1159" i="12"/>
  <c r="W1159" i="12"/>
  <c r="X1159" i="12"/>
  <c r="Y1159" i="12"/>
  <c r="Z1159" i="12"/>
  <c r="AA1159" i="12"/>
  <c r="AI1159" i="12"/>
  <c r="AJ1159" i="12"/>
  <c r="AK1159" i="12"/>
  <c r="AL1159" i="12"/>
  <c r="AM1159" i="12"/>
  <c r="A1160" i="12"/>
  <c r="DH1160" i="12" s="1" a="1"/>
  <c r="B1160" i="12"/>
  <c r="E1160" i="12" s="1"/>
  <c r="C1160" i="12"/>
  <c r="D1160" i="12"/>
  <c r="A1161" i="12"/>
  <c r="B1161" i="12"/>
  <c r="C1161" i="12"/>
  <c r="D1161" i="12"/>
  <c r="A1162" i="12"/>
  <c r="B1162" i="12"/>
  <c r="C1162" i="12"/>
  <c r="D1162" i="12"/>
  <c r="A1135" i="12"/>
  <c r="DH1135" i="12" s="1" a="1"/>
  <c r="B1135" i="12"/>
  <c r="C1135" i="12"/>
  <c r="D1135" i="12"/>
  <c r="E1135" i="12"/>
  <c r="N1135" i="12"/>
  <c r="O1135" i="12"/>
  <c r="P1135" i="12"/>
  <c r="Q1135" i="12"/>
  <c r="R1135" i="12"/>
  <c r="S1135" i="12"/>
  <c r="T1135" i="12"/>
  <c r="U1135" i="12"/>
  <c r="V1135" i="12"/>
  <c r="W1135" i="12"/>
  <c r="X1135" i="12"/>
  <c r="Y1135" i="12"/>
  <c r="Z1135" i="12"/>
  <c r="AA1135" i="12"/>
  <c r="AI1135" i="12"/>
  <c r="AJ1135" i="12"/>
  <c r="AK1135" i="12"/>
  <c r="AL1135" i="12"/>
  <c r="AM1135" i="12"/>
  <c r="A1136" i="12"/>
  <c r="B1136" i="12"/>
  <c r="C1136" i="12"/>
  <c r="D1136" i="12"/>
  <c r="A1137" i="12"/>
  <c r="DH1137" i="12" s="1" a="1"/>
  <c r="B1137" i="12"/>
  <c r="E1137" i="12" s="1"/>
  <c r="C1137" i="12"/>
  <c r="D1137" i="12"/>
  <c r="A1138" i="12"/>
  <c r="DH1138" i="12" s="1" a="1"/>
  <c r="B1138" i="12"/>
  <c r="C1138" i="12"/>
  <c r="D1138" i="12"/>
  <c r="E1138" i="12"/>
  <c r="F1138" i="12" s="1"/>
  <c r="G1138" i="12"/>
  <c r="H1138" i="12"/>
  <c r="I1138" i="12"/>
  <c r="J1138" i="12"/>
  <c r="K1138" i="12"/>
  <c r="M1138" i="12"/>
  <c r="N1138" i="12"/>
  <c r="O1138" i="12"/>
  <c r="P1138" i="12"/>
  <c r="Q1138" i="12"/>
  <c r="R1138" i="12"/>
  <c r="S1138" i="12"/>
  <c r="T1138" i="12"/>
  <c r="U1138" i="12"/>
  <c r="V1138" i="12"/>
  <c r="W1138" i="12"/>
  <c r="X1138" i="12"/>
  <c r="Y1138" i="12"/>
  <c r="Z1138" i="12"/>
  <c r="AA1138" i="12"/>
  <c r="AI1138" i="12"/>
  <c r="AJ1138" i="12"/>
  <c r="AK1138" i="12"/>
  <c r="AL1138" i="12"/>
  <c r="AM1138" i="12"/>
  <c r="A1139" i="12"/>
  <c r="B1139" i="12"/>
  <c r="C1139" i="12"/>
  <c r="D1139" i="12"/>
  <c r="A1140" i="12"/>
  <c r="DH1140" i="12" s="1" a="1"/>
  <c r="B1140" i="12"/>
  <c r="C1140" i="12"/>
  <c r="D1140" i="12"/>
  <c r="E1140" i="12"/>
  <c r="H1140" i="12"/>
  <c r="I1140" i="12"/>
  <c r="J1140" i="12"/>
  <c r="K1140" i="12"/>
  <c r="M1140" i="12"/>
  <c r="N1140" i="12"/>
  <c r="O1140" i="12"/>
  <c r="P1140" i="12"/>
  <c r="Q1140" i="12"/>
  <c r="A1141" i="12"/>
  <c r="DH1141" i="12" s="1" a="1"/>
  <c r="B1141" i="12"/>
  <c r="C1141" i="12"/>
  <c r="D1141" i="12"/>
  <c r="E1141" i="12"/>
  <c r="G1141" i="12"/>
  <c r="I1141" i="12"/>
  <c r="J1141" i="12"/>
  <c r="K1141" i="12"/>
  <c r="M1141" i="12"/>
  <c r="N1141" i="12"/>
  <c r="O1141" i="12"/>
  <c r="P1141" i="12"/>
  <c r="Q1141" i="12"/>
  <c r="R1141" i="12"/>
  <c r="S1141" i="12"/>
  <c r="T1141" i="12"/>
  <c r="U1141" i="12"/>
  <c r="V1141" i="12"/>
  <c r="W1141" i="12"/>
  <c r="X1141" i="12"/>
  <c r="Y1141" i="12"/>
  <c r="Z1141" i="12"/>
  <c r="AA1141" i="12"/>
  <c r="AI1141" i="12"/>
  <c r="AJ1141" i="12"/>
  <c r="AK1141" i="12"/>
  <c r="AL1141" i="12"/>
  <c r="AM1141" i="12"/>
  <c r="A1142" i="12"/>
  <c r="DH1142" i="12" s="1" a="1"/>
  <c r="B1142" i="12"/>
  <c r="E1142" i="12" s="1"/>
  <c r="C1142" i="12"/>
  <c r="D1142" i="12"/>
  <c r="A1143" i="12"/>
  <c r="B1143" i="12"/>
  <c r="C1143" i="12"/>
  <c r="D1143" i="12"/>
  <c r="A1144" i="12"/>
  <c r="DH1144" i="12" s="1" a="1"/>
  <c r="B1144" i="12"/>
  <c r="C1144" i="12"/>
  <c r="D1144" i="12"/>
  <c r="E1144" i="12"/>
  <c r="I1144" i="12"/>
  <c r="M1144" i="12"/>
  <c r="N1144" i="12"/>
  <c r="O1144" i="12"/>
  <c r="P1144" i="12"/>
  <c r="Q1144" i="12"/>
  <c r="R1144" i="12"/>
  <c r="S1144" i="12"/>
  <c r="T1144" i="12"/>
  <c r="U1144" i="12"/>
  <c r="V1144" i="12"/>
  <c r="W1144" i="12"/>
  <c r="X1144" i="12"/>
  <c r="Y1144" i="12"/>
  <c r="Z1144" i="12"/>
  <c r="AA1144" i="12"/>
  <c r="AI1144" i="12"/>
  <c r="AJ1144" i="12"/>
  <c r="AK1144" i="12"/>
  <c r="AL1144" i="12"/>
  <c r="AM1144" i="12"/>
  <c r="A1145" i="12"/>
  <c r="DH1145" i="12" s="1" a="1"/>
  <c r="B1145" i="12"/>
  <c r="C1145" i="12"/>
  <c r="D1145" i="12"/>
  <c r="A1146" i="12"/>
  <c r="DH1146" i="12" s="1" a="1"/>
  <c r="B1146" i="12"/>
  <c r="C1146" i="12"/>
  <c r="D1146" i="12"/>
  <c r="E1146" i="12"/>
  <c r="K1146" i="12"/>
  <c r="M1146" i="12"/>
  <c r="N1146" i="12"/>
  <c r="O1146" i="12"/>
  <c r="P1146" i="12"/>
  <c r="Q1146" i="12"/>
  <c r="R1146" i="12"/>
  <c r="S1146" i="12"/>
  <c r="T1146" i="12"/>
  <c r="U1146" i="12"/>
  <c r="V1146" i="12"/>
  <c r="W1146" i="12"/>
  <c r="X1146" i="12"/>
  <c r="Y1146" i="12"/>
  <c r="Z1146" i="12"/>
  <c r="AA1146" i="12"/>
  <c r="AI1146" i="12"/>
  <c r="AJ1146" i="12"/>
  <c r="AK1146" i="12"/>
  <c r="AL1146" i="12"/>
  <c r="AM1146" i="12"/>
  <c r="A1147" i="12"/>
  <c r="DH1147" i="12" s="1" a="1"/>
  <c r="B1147" i="12"/>
  <c r="C1147" i="12"/>
  <c r="D1147" i="12"/>
  <c r="A1148" i="12"/>
  <c r="DH1148" i="12" s="1" a="1"/>
  <c r="B1148" i="12"/>
  <c r="C1148" i="12"/>
  <c r="D1148" i="12"/>
  <c r="E1148" i="12"/>
  <c r="I1148" i="12"/>
  <c r="J1148" i="12"/>
  <c r="K1148" i="12"/>
  <c r="M1148" i="12"/>
  <c r="N1148" i="12"/>
  <c r="O1148" i="12"/>
  <c r="P1148" i="12"/>
  <c r="Q1148" i="12"/>
  <c r="R1148" i="12"/>
  <c r="S1148" i="12"/>
  <c r="T1148" i="12"/>
  <c r="U1148" i="12"/>
  <c r="V1148" i="12"/>
  <c r="W1148" i="12"/>
  <c r="X1148" i="12"/>
  <c r="Y1148" i="12"/>
  <c r="Z1148" i="12"/>
  <c r="AA1148" i="12"/>
  <c r="AI1148" i="12"/>
  <c r="AJ1148" i="12"/>
  <c r="AK1148" i="12"/>
  <c r="AL1148" i="12"/>
  <c r="AM1148" i="12"/>
  <c r="A1121" i="12"/>
  <c r="DH1121" i="12" s="1" a="1"/>
  <c r="B1121" i="12"/>
  <c r="C1121" i="12"/>
  <c r="D1121" i="12"/>
  <c r="E1121" i="12"/>
  <c r="N1121" i="12"/>
  <c r="O1121" i="12"/>
  <c r="P1121" i="12"/>
  <c r="Q1121" i="12"/>
  <c r="R1121" i="12"/>
  <c r="S1121" i="12"/>
  <c r="T1121" i="12"/>
  <c r="U1121" i="12"/>
  <c r="V1121" i="12"/>
  <c r="W1121" i="12"/>
  <c r="X1121" i="12"/>
  <c r="Y1121" i="12"/>
  <c r="Z1121" i="12"/>
  <c r="AA1121" i="12"/>
  <c r="AI1121" i="12"/>
  <c r="AJ1121" i="12"/>
  <c r="AK1121" i="12"/>
  <c r="AL1121" i="12"/>
  <c r="AM1121" i="12"/>
  <c r="A1122" i="12"/>
  <c r="DH1122" i="12" s="1" a="1"/>
  <c r="B1122" i="12"/>
  <c r="E1122" i="12" s="1"/>
  <c r="C1122" i="12"/>
  <c r="D1122" i="12"/>
  <c r="A1123" i="12"/>
  <c r="DH1123" i="12" s="1" a="1"/>
  <c r="B1123" i="12"/>
  <c r="E1123" i="12" s="1"/>
  <c r="C1123" i="12"/>
  <c r="D1123" i="12"/>
  <c r="A1124" i="12"/>
  <c r="DH1124" i="12" s="1" a="1"/>
  <c r="B1124" i="12"/>
  <c r="C1124" i="12"/>
  <c r="D1124" i="12"/>
  <c r="E1124" i="12"/>
  <c r="I1124" i="12"/>
  <c r="K1124" i="12"/>
  <c r="M1124" i="12"/>
  <c r="N1124" i="12"/>
  <c r="O1124" i="12"/>
  <c r="P1124" i="12"/>
  <c r="Q1124" i="12"/>
  <c r="R1124" i="12"/>
  <c r="S1124" i="12"/>
  <c r="T1124" i="12"/>
  <c r="U1124" i="12"/>
  <c r="V1124" i="12"/>
  <c r="W1124" i="12"/>
  <c r="X1124" i="12"/>
  <c r="Y1124" i="12"/>
  <c r="Z1124" i="12"/>
  <c r="AA1124" i="12"/>
  <c r="AI1124" i="12"/>
  <c r="AJ1124" i="12"/>
  <c r="AK1124" i="12"/>
  <c r="AL1124" i="12"/>
  <c r="AM1124" i="12"/>
  <c r="A1125" i="12"/>
  <c r="DH1125" i="12" s="1" a="1"/>
  <c r="B1125" i="12"/>
  <c r="C1125" i="12"/>
  <c r="D1125" i="12"/>
  <c r="E1125" i="12"/>
  <c r="K1125" i="12"/>
  <c r="M1125" i="12"/>
  <c r="N1125" i="12"/>
  <c r="O1125" i="12"/>
  <c r="P1125" i="12"/>
  <c r="Q1125" i="12"/>
  <c r="R1125" i="12"/>
  <c r="S1125" i="12"/>
  <c r="T1125" i="12"/>
  <c r="U1125" i="12"/>
  <c r="V1125" i="12"/>
  <c r="W1125" i="12"/>
  <c r="X1125" i="12"/>
  <c r="Y1125" i="12"/>
  <c r="Z1125" i="12"/>
  <c r="AA1125" i="12"/>
  <c r="AI1125" i="12"/>
  <c r="AJ1125" i="12"/>
  <c r="AK1125" i="12"/>
  <c r="AL1125" i="12"/>
  <c r="AM1125" i="12"/>
  <c r="A1126" i="12"/>
  <c r="B1126" i="12"/>
  <c r="C1126" i="12"/>
  <c r="D1126" i="12"/>
  <c r="A1127" i="12"/>
  <c r="B1127" i="12"/>
  <c r="C1127" i="12"/>
  <c r="D1127" i="12"/>
  <c r="A1128" i="12"/>
  <c r="B1128" i="12"/>
  <c r="C1128" i="12"/>
  <c r="D1128" i="12"/>
  <c r="A1129" i="12"/>
  <c r="DH1129" i="12" s="1" a="1"/>
  <c r="B1129" i="12"/>
  <c r="C1129" i="12"/>
  <c r="D1129" i="12"/>
  <c r="E1129" i="12"/>
  <c r="F1129" i="12" s="1"/>
  <c r="G1129" i="12"/>
  <c r="H1129" i="12"/>
  <c r="I1129" i="12"/>
  <c r="J1129" i="12"/>
  <c r="K1129" i="12"/>
  <c r="M1129" i="12"/>
  <c r="N1129" i="12"/>
  <c r="O1129" i="12"/>
  <c r="P1129" i="12"/>
  <c r="Q1129" i="12"/>
  <c r="R1129" i="12"/>
  <c r="S1129" i="12"/>
  <c r="T1129" i="12"/>
  <c r="U1129" i="12"/>
  <c r="V1129" i="12"/>
  <c r="W1129" i="12"/>
  <c r="X1129" i="12"/>
  <c r="Y1129" i="12"/>
  <c r="Z1129" i="12"/>
  <c r="AA1129" i="12"/>
  <c r="AI1129" i="12"/>
  <c r="AJ1129" i="12"/>
  <c r="AK1129" i="12"/>
  <c r="AL1129" i="12"/>
  <c r="AM1129" i="12"/>
  <c r="A1130" i="12"/>
  <c r="DH1130" i="12" s="1" a="1"/>
  <c r="B1130" i="12"/>
  <c r="C1130" i="12"/>
  <c r="D1130" i="12"/>
  <c r="E1130" i="12"/>
  <c r="K1130" i="12"/>
  <c r="M1130" i="12"/>
  <c r="N1130" i="12"/>
  <c r="O1130" i="12"/>
  <c r="A1131" i="12"/>
  <c r="DH1131" i="12" s="1" a="1"/>
  <c r="B1131" i="12"/>
  <c r="E1131" i="12" s="1"/>
  <c r="C1131" i="12"/>
  <c r="D1131" i="12"/>
  <c r="A1132" i="12"/>
  <c r="B1132" i="12"/>
  <c r="C1132" i="12"/>
  <c r="D1132" i="12"/>
  <c r="A1133" i="12"/>
  <c r="B1133" i="12"/>
  <c r="C1133" i="12"/>
  <c r="D1133" i="12"/>
  <c r="A1134" i="12"/>
  <c r="DH1134" i="12" s="1" a="1"/>
  <c r="B1134" i="12"/>
  <c r="C1134" i="12"/>
  <c r="D1134" i="12"/>
  <c r="E1134" i="12"/>
  <c r="I1134" i="12"/>
  <c r="J1134" i="12"/>
  <c r="K1134" i="12"/>
  <c r="M1134" i="12"/>
  <c r="N1134" i="12"/>
  <c r="O1134" i="12"/>
  <c r="P1134" i="12"/>
  <c r="Q1134" i="12"/>
  <c r="R1134" i="12"/>
  <c r="S1134" i="12"/>
  <c r="T1134" i="12"/>
  <c r="U1134" i="12"/>
  <c r="V1134" i="12"/>
  <c r="W1134" i="12"/>
  <c r="X1134" i="12"/>
  <c r="Y1134" i="12"/>
  <c r="Z1134" i="12"/>
  <c r="AA1134" i="12"/>
  <c r="AI1134" i="12"/>
  <c r="AJ1134" i="12"/>
  <c r="AK1134" i="12"/>
  <c r="AL1134" i="12"/>
  <c r="AM1134" i="12"/>
  <c r="A1107" i="12"/>
  <c r="B1107" i="12"/>
  <c r="C1107" i="12"/>
  <c r="D1107" i="12"/>
  <c r="A1108" i="12"/>
  <c r="DH1108" i="12" s="1" a="1"/>
  <c r="B1108" i="12"/>
  <c r="C1108" i="12"/>
  <c r="D1108" i="12"/>
  <c r="E1108" i="12"/>
  <c r="N1108" i="12"/>
  <c r="O1108" i="12"/>
  <c r="P1108" i="12"/>
  <c r="Q1108" i="12"/>
  <c r="R1108" i="12"/>
  <c r="S1108" i="12"/>
  <c r="T1108" i="12"/>
  <c r="U1108" i="12"/>
  <c r="V1108" i="12"/>
  <c r="W1108" i="12"/>
  <c r="X1108" i="12"/>
  <c r="Y1108" i="12"/>
  <c r="Z1108" i="12"/>
  <c r="AA1108" i="12"/>
  <c r="AI1108" i="12"/>
  <c r="AJ1108" i="12"/>
  <c r="AK1108" i="12"/>
  <c r="AL1108" i="12"/>
  <c r="AM1108" i="12"/>
  <c r="A1109" i="12"/>
  <c r="DH1109" i="12" s="1" a="1"/>
  <c r="B1109" i="12"/>
  <c r="C1109" i="12"/>
  <c r="D1109" i="12"/>
  <c r="E1109" i="12"/>
  <c r="P1109" i="12"/>
  <c r="Q1109" i="12"/>
  <c r="R1109" i="12"/>
  <c r="S1109" i="12"/>
  <c r="T1109" i="12"/>
  <c r="U1109" i="12"/>
  <c r="V1109" i="12"/>
  <c r="W1109" i="12"/>
  <c r="X1109" i="12"/>
  <c r="Y1109" i="12"/>
  <c r="Z1109" i="12"/>
  <c r="AA1109" i="12"/>
  <c r="AI1109" i="12"/>
  <c r="AJ1109" i="12"/>
  <c r="AK1109" i="12"/>
  <c r="AL1109" i="12"/>
  <c r="AM1109" i="12"/>
  <c r="A1110" i="12"/>
  <c r="DH1110" i="12" s="1" a="1"/>
  <c r="B1110" i="12"/>
  <c r="C1110" i="12"/>
  <c r="D1110" i="12"/>
  <c r="E1110" i="12"/>
  <c r="H1110" i="12"/>
  <c r="I1110" i="12"/>
  <c r="J1110" i="12"/>
  <c r="K1110" i="12"/>
  <c r="M1110" i="12"/>
  <c r="N1110" i="12"/>
  <c r="O1110" i="12"/>
  <c r="P1110" i="12"/>
  <c r="Q1110" i="12"/>
  <c r="R1110" i="12"/>
  <c r="S1110" i="12"/>
  <c r="T1110" i="12"/>
  <c r="U1110" i="12"/>
  <c r="V1110" i="12"/>
  <c r="W1110" i="12"/>
  <c r="X1110" i="12"/>
  <c r="Y1110" i="12"/>
  <c r="Z1110" i="12"/>
  <c r="AA1110" i="12"/>
  <c r="AI1110" i="12"/>
  <c r="AJ1110" i="12"/>
  <c r="AK1110" i="12"/>
  <c r="AL1110" i="12"/>
  <c r="AM1110" i="12"/>
  <c r="A1111" i="12"/>
  <c r="DH1111" i="12" s="1" a="1"/>
  <c r="B1111" i="12"/>
  <c r="C1111" i="12"/>
  <c r="D1111" i="12"/>
  <c r="E1111" i="12"/>
  <c r="G1111" i="12"/>
  <c r="I1111" i="12"/>
  <c r="J1111" i="12"/>
  <c r="K1111" i="12"/>
  <c r="M1111" i="12"/>
  <c r="N1111" i="12"/>
  <c r="O1111" i="12"/>
  <c r="P1111" i="12"/>
  <c r="Q1111" i="12"/>
  <c r="R1111" i="12"/>
  <c r="S1111" i="12"/>
  <c r="T1111" i="12"/>
  <c r="U1111" i="12"/>
  <c r="V1111" i="12"/>
  <c r="W1111" i="12"/>
  <c r="X1111" i="12"/>
  <c r="Y1111" i="12"/>
  <c r="Z1111" i="12"/>
  <c r="AA1111" i="12"/>
  <c r="AI1111" i="12"/>
  <c r="AJ1111" i="12"/>
  <c r="AK1111" i="12"/>
  <c r="AL1111" i="12"/>
  <c r="AM1111" i="12"/>
  <c r="A1112" i="12"/>
  <c r="B1112" i="12"/>
  <c r="C1112" i="12"/>
  <c r="D1112" i="12"/>
  <c r="A1113" i="12"/>
  <c r="B1113" i="12"/>
  <c r="C1113" i="12"/>
  <c r="D1113" i="12"/>
  <c r="A1114" i="12"/>
  <c r="B1114" i="12"/>
  <c r="C1114" i="12"/>
  <c r="D1114" i="12"/>
  <c r="A1115" i="12"/>
  <c r="DH1115" i="12" s="1" a="1"/>
  <c r="B1115" i="12"/>
  <c r="E1115" i="12" s="1"/>
  <c r="C1115" i="12"/>
  <c r="D1115" i="12"/>
  <c r="A1116" i="12"/>
  <c r="B1116" i="12"/>
  <c r="C1116" i="12"/>
  <c r="D1116" i="12"/>
  <c r="A1117" i="12"/>
  <c r="DH1117" i="12" s="1" a="1"/>
  <c r="B1117" i="12"/>
  <c r="C1117" i="12"/>
  <c r="D1117" i="12"/>
  <c r="E1117" i="12"/>
  <c r="P1117" i="12"/>
  <c r="Q1117" i="12"/>
  <c r="R1117" i="12"/>
  <c r="S1117" i="12"/>
  <c r="T1117" i="12"/>
  <c r="U1117" i="12"/>
  <c r="V1117" i="12"/>
  <c r="W1117" i="12"/>
  <c r="X1117" i="12"/>
  <c r="Y1117" i="12"/>
  <c r="Z1117" i="12"/>
  <c r="AA1117" i="12"/>
  <c r="AI1117" i="12"/>
  <c r="AJ1117" i="12"/>
  <c r="AK1117" i="12"/>
  <c r="AL1117" i="12"/>
  <c r="AM1117" i="12"/>
  <c r="A1118" i="12"/>
  <c r="DH1118" i="12" s="1" a="1"/>
  <c r="B1118" i="12"/>
  <c r="C1118" i="12"/>
  <c r="D1118" i="12"/>
  <c r="E1118" i="12"/>
  <c r="P1118" i="12"/>
  <c r="Q1118" i="12"/>
  <c r="R1118" i="12"/>
  <c r="S1118" i="12"/>
  <c r="T1118" i="12"/>
  <c r="U1118" i="12"/>
  <c r="V1118" i="12"/>
  <c r="W1118" i="12"/>
  <c r="X1118" i="12"/>
  <c r="Y1118" i="12"/>
  <c r="Z1118" i="12"/>
  <c r="AA1118" i="12"/>
  <c r="AI1118" i="12"/>
  <c r="AJ1118" i="12"/>
  <c r="AK1118" i="12"/>
  <c r="AL1118" i="12"/>
  <c r="AM1118" i="12"/>
  <c r="A1119" i="12"/>
  <c r="B1119" i="12"/>
  <c r="C1119" i="12"/>
  <c r="D1119" i="12"/>
  <c r="A1120" i="12"/>
  <c r="DH1120" i="12" s="1" a="1"/>
  <c r="B1120" i="12"/>
  <c r="C1120" i="12"/>
  <c r="D1120" i="12"/>
  <c r="E1120" i="12"/>
  <c r="M1120" i="12"/>
  <c r="N1120" i="12"/>
  <c r="O1120" i="12"/>
  <c r="P1120" i="12"/>
  <c r="Q1120" i="12"/>
  <c r="R1120" i="12"/>
  <c r="S1120" i="12"/>
  <c r="T1120" i="12"/>
  <c r="U1120" i="12"/>
  <c r="V1120" i="12"/>
  <c r="W1120" i="12"/>
  <c r="X1120" i="12"/>
  <c r="Y1120" i="12"/>
  <c r="Z1120" i="12"/>
  <c r="AA1120" i="12"/>
  <c r="AI1120" i="12"/>
  <c r="AJ1120" i="12"/>
  <c r="AK1120" i="12"/>
  <c r="AL1120" i="12"/>
  <c r="AM1120" i="12"/>
  <c r="A1093" i="12"/>
  <c r="DH1093" i="12" s="1" a="1"/>
  <c r="B1093" i="12"/>
  <c r="C1093" i="12"/>
  <c r="D1093" i="12"/>
  <c r="E1093" i="12"/>
  <c r="R1093" i="12"/>
  <c r="S1093" i="12"/>
  <c r="T1093" i="12"/>
  <c r="U1093" i="12"/>
  <c r="V1093" i="12"/>
  <c r="W1093" i="12"/>
  <c r="X1093" i="12"/>
  <c r="Y1093" i="12"/>
  <c r="Z1093" i="12"/>
  <c r="AA1093" i="12"/>
  <c r="AI1093" i="12"/>
  <c r="AJ1093" i="12"/>
  <c r="AK1093" i="12"/>
  <c r="AL1093" i="12"/>
  <c r="AM1093" i="12"/>
  <c r="A1094" i="12"/>
  <c r="B1094" i="12"/>
  <c r="C1094" i="12"/>
  <c r="D1094" i="12"/>
  <c r="A1095" i="12"/>
  <c r="B1095" i="12"/>
  <c r="C1095" i="12"/>
  <c r="D1095" i="12"/>
  <c r="A1096" i="12"/>
  <c r="DH1096" i="12" s="1" a="1"/>
  <c r="B1096" i="12"/>
  <c r="C1096" i="12"/>
  <c r="D1096" i="12"/>
  <c r="E1096" i="12"/>
  <c r="Y1096" i="12"/>
  <c r="Z1096" i="12"/>
  <c r="AA1096" i="12"/>
  <c r="AI1096" i="12"/>
  <c r="AJ1096" i="12"/>
  <c r="AK1096" i="12"/>
  <c r="AL1096" i="12"/>
  <c r="AM1096" i="12"/>
  <c r="A1097" i="12"/>
  <c r="DH1097" i="12" s="1" a="1"/>
  <c r="B1097" i="12"/>
  <c r="C1097" i="12"/>
  <c r="D1097" i="12"/>
  <c r="E1097" i="12"/>
  <c r="A1098" i="12"/>
  <c r="B1098" i="12"/>
  <c r="C1098" i="12"/>
  <c r="D1098" i="12"/>
  <c r="A1099" i="12"/>
  <c r="DH1099" i="12" s="1" a="1"/>
  <c r="B1099" i="12"/>
  <c r="E1099" i="12" s="1"/>
  <c r="C1099" i="12"/>
  <c r="D1099" i="12"/>
  <c r="A1100" i="12"/>
  <c r="B1100" i="12"/>
  <c r="C1100" i="12"/>
  <c r="D1100" i="12"/>
  <c r="A1101" i="12"/>
  <c r="DH1101" i="12" s="1" a="1"/>
  <c r="B1101" i="12"/>
  <c r="C1101" i="12"/>
  <c r="D1101" i="12"/>
  <c r="E1101" i="12"/>
  <c r="A1102" i="12"/>
  <c r="B1102" i="12"/>
  <c r="C1102" i="12"/>
  <c r="D1102" i="12"/>
  <c r="A1103" i="12"/>
  <c r="DH1103" i="12" s="1" a="1"/>
  <c r="B1103" i="12"/>
  <c r="C1103" i="12"/>
  <c r="D1103" i="12"/>
  <c r="E1103" i="12"/>
  <c r="F1103" i="12" s="1"/>
  <c r="G1103" i="12"/>
  <c r="H1103" i="12"/>
  <c r="I1103" i="12"/>
  <c r="J1103" i="12"/>
  <c r="K1103" i="12"/>
  <c r="M1103" i="12"/>
  <c r="N1103" i="12"/>
  <c r="O1103" i="12"/>
  <c r="P1103" i="12"/>
  <c r="Q1103" i="12"/>
  <c r="R1103" i="12"/>
  <c r="S1103" i="12"/>
  <c r="T1103" i="12"/>
  <c r="U1103" i="12"/>
  <c r="V1103" i="12"/>
  <c r="W1103" i="12"/>
  <c r="X1103" i="12"/>
  <c r="Y1103" i="12"/>
  <c r="Z1103" i="12"/>
  <c r="AA1103" i="12"/>
  <c r="AI1103" i="12"/>
  <c r="AJ1103" i="12"/>
  <c r="AK1103" i="12"/>
  <c r="AL1103" i="12"/>
  <c r="AM1103" i="12"/>
  <c r="A1104" i="12"/>
  <c r="DH1104" i="12" s="1" a="1"/>
  <c r="B1104" i="12"/>
  <c r="C1104" i="12"/>
  <c r="D1104" i="12"/>
  <c r="E1104" i="12"/>
  <c r="R1104" i="12"/>
  <c r="S1104" i="12"/>
  <c r="T1104" i="12"/>
  <c r="U1104" i="12"/>
  <c r="V1104" i="12"/>
  <c r="W1104" i="12"/>
  <c r="X1104" i="12"/>
  <c r="Y1104" i="12"/>
  <c r="Z1104" i="12"/>
  <c r="AA1104" i="12"/>
  <c r="AI1104" i="12"/>
  <c r="AJ1104" i="12"/>
  <c r="AK1104" i="12"/>
  <c r="AL1104" i="12"/>
  <c r="AM1104" i="12"/>
  <c r="A1105" i="12"/>
  <c r="DH1105" i="12" s="1" a="1"/>
  <c r="B1105" i="12"/>
  <c r="C1105" i="12"/>
  <c r="D1105" i="12"/>
  <c r="E1105" i="12"/>
  <c r="K1105" i="12"/>
  <c r="M1105" i="12"/>
  <c r="N1105" i="12"/>
  <c r="O1105" i="12"/>
  <c r="P1105" i="12"/>
  <c r="Q1105" i="12"/>
  <c r="R1105" i="12"/>
  <c r="S1105" i="12"/>
  <c r="T1105" i="12"/>
  <c r="U1105" i="12"/>
  <c r="V1105" i="12"/>
  <c r="W1105" i="12"/>
  <c r="X1105" i="12"/>
  <c r="Y1105" i="12"/>
  <c r="Z1105" i="12"/>
  <c r="AA1105" i="12"/>
  <c r="AI1105" i="12"/>
  <c r="AJ1105" i="12"/>
  <c r="AK1105" i="12"/>
  <c r="AL1105" i="12"/>
  <c r="AM1105" i="12"/>
  <c r="A1106" i="12"/>
  <c r="DH1106" i="12" s="1" a="1"/>
  <c r="B1106" i="12"/>
  <c r="C1106" i="12"/>
  <c r="D1106" i="12"/>
  <c r="E1106" i="12"/>
  <c r="I1106" i="12"/>
  <c r="J1106" i="12"/>
  <c r="K1106" i="12"/>
  <c r="M1106" i="12"/>
  <c r="N1106" i="12"/>
  <c r="O1106" i="12"/>
  <c r="P1106" i="12"/>
  <c r="Q1106" i="12"/>
  <c r="R1106" i="12"/>
  <c r="S1106" i="12"/>
  <c r="T1106" i="12"/>
  <c r="U1106" i="12"/>
  <c r="V1106" i="12"/>
  <c r="W1106" i="12"/>
  <c r="X1106" i="12"/>
  <c r="Y1106" i="12"/>
  <c r="Z1106" i="12"/>
  <c r="AA1106" i="12"/>
  <c r="AI1106" i="12"/>
  <c r="AJ1106" i="12"/>
  <c r="AK1106" i="12"/>
  <c r="AL1106" i="12"/>
  <c r="AM1106" i="12"/>
  <c r="A1079" i="12"/>
  <c r="DH1079" i="12" s="1" a="1"/>
  <c r="B1079" i="12"/>
  <c r="C1079" i="12"/>
  <c r="D1079" i="12"/>
  <c r="E1079" i="12"/>
  <c r="K1079" i="12"/>
  <c r="N1079" i="12"/>
  <c r="O1079" i="12"/>
  <c r="P1079" i="12"/>
  <c r="Q1079" i="12"/>
  <c r="R1079" i="12"/>
  <c r="S1079" i="12"/>
  <c r="T1079" i="12"/>
  <c r="U1079" i="12"/>
  <c r="V1079" i="12"/>
  <c r="W1079" i="12"/>
  <c r="X1079" i="12"/>
  <c r="Y1079" i="12"/>
  <c r="Z1079" i="12"/>
  <c r="AA1079" i="12"/>
  <c r="AI1079" i="12"/>
  <c r="AJ1079" i="12"/>
  <c r="AK1079" i="12"/>
  <c r="AL1079" i="12"/>
  <c r="AM1079" i="12"/>
  <c r="A1080" i="12"/>
  <c r="B1080" i="12"/>
  <c r="C1080" i="12"/>
  <c r="D1080" i="12"/>
  <c r="A1081" i="12"/>
  <c r="DH1081" i="12" s="1" a="1"/>
  <c r="B1081" i="12"/>
  <c r="E1081" i="12" s="1"/>
  <c r="C1081" i="12"/>
  <c r="D1081" i="12"/>
  <c r="A1082" i="12"/>
  <c r="B1082" i="12"/>
  <c r="C1082" i="12"/>
  <c r="D1082" i="12"/>
  <c r="A1083" i="12"/>
  <c r="B1083" i="12"/>
  <c r="C1083" i="12"/>
  <c r="D1083" i="12"/>
  <c r="A1084" i="12"/>
  <c r="B1084" i="12"/>
  <c r="C1084" i="12"/>
  <c r="D1084" i="12"/>
  <c r="A1085" i="12"/>
  <c r="DH1085" i="12" s="1" a="1"/>
  <c r="B1085" i="12"/>
  <c r="E1085" i="12" s="1"/>
  <c r="C1085" i="12"/>
  <c r="D1085" i="12"/>
  <c r="A1086" i="12"/>
  <c r="B1086" i="12"/>
  <c r="C1086" i="12"/>
  <c r="D1086" i="12"/>
  <c r="A1087" i="12"/>
  <c r="B1087" i="12"/>
  <c r="C1087" i="12"/>
  <c r="D1087" i="12"/>
  <c r="A1088" i="12"/>
  <c r="B1088" i="12"/>
  <c r="C1088" i="12"/>
  <c r="D1088" i="12"/>
  <c r="A1089" i="12"/>
  <c r="DH1089" i="12" s="1" a="1"/>
  <c r="B1089" i="12"/>
  <c r="E1089" i="12" s="1"/>
  <c r="C1089" i="12"/>
  <c r="D1089" i="12"/>
  <c r="A1090" i="12"/>
  <c r="DH1090" i="12" s="1" a="1"/>
  <c r="B1090" i="12"/>
  <c r="C1090" i="12"/>
  <c r="D1090" i="12"/>
  <c r="E1090" i="12"/>
  <c r="Q1090" i="12"/>
  <c r="R1090" i="12"/>
  <c r="S1090" i="12"/>
  <c r="T1090" i="12"/>
  <c r="U1090" i="12"/>
  <c r="V1090" i="12"/>
  <c r="W1090" i="12"/>
  <c r="X1090" i="12"/>
  <c r="Y1090" i="12"/>
  <c r="Z1090" i="12"/>
  <c r="AA1090" i="12"/>
  <c r="A1091" i="12"/>
  <c r="B1091" i="12"/>
  <c r="C1091" i="12"/>
  <c r="D1091" i="12"/>
  <c r="A1092" i="12"/>
  <c r="DH1092" i="12" s="1" a="1"/>
  <c r="B1092" i="12"/>
  <c r="E1092" i="12" s="1"/>
  <c r="C1092" i="12"/>
  <c r="D1092" i="12"/>
  <c r="A1065" i="12"/>
  <c r="DH1065" i="12" s="1" a="1"/>
  <c r="B1065" i="12"/>
  <c r="C1065" i="12"/>
  <c r="D1065" i="12"/>
  <c r="E1065" i="12"/>
  <c r="N1065" i="12"/>
  <c r="O1065" i="12"/>
  <c r="P1065" i="12"/>
  <c r="Q1065" i="12"/>
  <c r="R1065" i="12"/>
  <c r="S1065" i="12"/>
  <c r="T1065" i="12"/>
  <c r="U1065" i="12"/>
  <c r="V1065" i="12"/>
  <c r="W1065" i="12"/>
  <c r="A1066" i="12"/>
  <c r="B1066" i="12"/>
  <c r="C1066" i="12"/>
  <c r="D1066" i="12"/>
  <c r="A1067" i="12"/>
  <c r="DH1067" i="12" s="1" a="1"/>
  <c r="B1067" i="12"/>
  <c r="C1067" i="12"/>
  <c r="D1067" i="12"/>
  <c r="E1067" i="12"/>
  <c r="P1067" i="12"/>
  <c r="Q1067" i="12"/>
  <c r="R1067" i="12"/>
  <c r="S1067" i="12"/>
  <c r="T1067" i="12"/>
  <c r="U1067" i="12"/>
  <c r="V1067" i="12"/>
  <c r="W1067" i="12"/>
  <c r="X1067" i="12"/>
  <c r="Y1067" i="12"/>
  <c r="Z1067" i="12"/>
  <c r="AA1067" i="12"/>
  <c r="AI1067" i="12"/>
  <c r="AJ1067" i="12"/>
  <c r="AK1067" i="12"/>
  <c r="AL1067" i="12"/>
  <c r="AM1067" i="12"/>
  <c r="A1068" i="12"/>
  <c r="B1068" i="12"/>
  <c r="C1068" i="12"/>
  <c r="D1068" i="12"/>
  <c r="A1069" i="12"/>
  <c r="DH1069" i="12" s="1" a="1"/>
  <c r="B1069" i="12"/>
  <c r="C1069" i="12"/>
  <c r="D1069" i="12"/>
  <c r="E1069" i="12"/>
  <c r="Q1069" i="12"/>
  <c r="R1069" i="12"/>
  <c r="S1069" i="12"/>
  <c r="T1069" i="12"/>
  <c r="U1069" i="12"/>
  <c r="V1069" i="12"/>
  <c r="W1069" i="12"/>
  <c r="X1069" i="12"/>
  <c r="Y1069" i="12"/>
  <c r="Z1069" i="12"/>
  <c r="AA1069" i="12"/>
  <c r="AI1069" i="12"/>
  <c r="AJ1069" i="12"/>
  <c r="AK1069" i="12"/>
  <c r="AL1069" i="12"/>
  <c r="AM1069" i="12"/>
  <c r="A1070" i="12"/>
  <c r="B1070" i="12"/>
  <c r="C1070" i="12"/>
  <c r="D1070" i="12"/>
  <c r="A1071" i="12"/>
  <c r="DH1071" i="12" s="1" a="1"/>
  <c r="B1071" i="12"/>
  <c r="C1071" i="12"/>
  <c r="D1071" i="12"/>
  <c r="E1071" i="12"/>
  <c r="J1071" i="12" s="1"/>
  <c r="K1071" i="12"/>
  <c r="M1071" i="12"/>
  <c r="N1071" i="12"/>
  <c r="O1071" i="12"/>
  <c r="P1071" i="12"/>
  <c r="Q1071" i="12"/>
  <c r="R1071" i="12"/>
  <c r="S1071" i="12"/>
  <c r="T1071" i="12"/>
  <c r="U1071" i="12"/>
  <c r="V1071" i="12"/>
  <c r="W1071" i="12"/>
  <c r="X1071" i="12"/>
  <c r="Y1071" i="12"/>
  <c r="Z1071" i="12"/>
  <c r="AA1071" i="12"/>
  <c r="AI1071" i="12"/>
  <c r="AJ1071" i="12"/>
  <c r="AK1071" i="12"/>
  <c r="AL1071" i="12"/>
  <c r="AM1071" i="12"/>
  <c r="A1072" i="12"/>
  <c r="B1072" i="12"/>
  <c r="C1072" i="12"/>
  <c r="D1072" i="12"/>
  <c r="A1073" i="12"/>
  <c r="B1073" i="12"/>
  <c r="C1073" i="12"/>
  <c r="D1073" i="12"/>
  <c r="A1074" i="12"/>
  <c r="B1074" i="12"/>
  <c r="C1074" i="12"/>
  <c r="D1074" i="12"/>
  <c r="A1075" i="12"/>
  <c r="B1075" i="12"/>
  <c r="C1075" i="12"/>
  <c r="D1075" i="12"/>
  <c r="A1076" i="12"/>
  <c r="DH1076" i="12" s="1" a="1"/>
  <c r="B1076" i="12"/>
  <c r="C1076" i="12"/>
  <c r="D1076" i="12"/>
  <c r="E1076" i="12"/>
  <c r="H1076" i="12" s="1"/>
  <c r="I1076" i="12"/>
  <c r="J1076" i="12"/>
  <c r="K1076" i="12"/>
  <c r="M1076" i="12"/>
  <c r="N1076" i="12"/>
  <c r="O1076" i="12"/>
  <c r="P1076" i="12"/>
  <c r="Q1076" i="12"/>
  <c r="R1076" i="12"/>
  <c r="S1076" i="12"/>
  <c r="T1076" i="12"/>
  <c r="U1076" i="12"/>
  <c r="V1076" i="12"/>
  <c r="W1076" i="12"/>
  <c r="X1076" i="12"/>
  <c r="Y1076" i="12"/>
  <c r="Z1076" i="12"/>
  <c r="AA1076" i="12"/>
  <c r="AI1076" i="12"/>
  <c r="AJ1076" i="12"/>
  <c r="AK1076" i="12"/>
  <c r="AL1076" i="12"/>
  <c r="AM1076" i="12"/>
  <c r="A1077" i="12"/>
  <c r="DH1077" i="12" s="1" a="1"/>
  <c r="B1077" i="12"/>
  <c r="C1077" i="12"/>
  <c r="D1077" i="12"/>
  <c r="E1077" i="12"/>
  <c r="W1077" i="12"/>
  <c r="X1077" i="12"/>
  <c r="Y1077" i="12"/>
  <c r="Z1077" i="12"/>
  <c r="AA1077" i="12"/>
  <c r="AI1077" i="12"/>
  <c r="AJ1077" i="12"/>
  <c r="AK1077" i="12"/>
  <c r="AL1077" i="12"/>
  <c r="AM1077" i="12"/>
  <c r="A1078" i="12"/>
  <c r="DH1078" i="12" s="1" a="1"/>
  <c r="B1078" i="12"/>
  <c r="C1078" i="12"/>
  <c r="D1078" i="12"/>
  <c r="E1078" i="12"/>
  <c r="R1078" i="12"/>
  <c r="S1078" i="12"/>
  <c r="T1078" i="12"/>
  <c r="U1078" i="12"/>
  <c r="V1078" i="12"/>
  <c r="W1078" i="12"/>
  <c r="X1078" i="12"/>
  <c r="Y1078" i="12"/>
  <c r="Z1078" i="12"/>
  <c r="AA1078" i="12"/>
  <c r="AI1078" i="12"/>
  <c r="AJ1078" i="12"/>
  <c r="AK1078" i="12"/>
  <c r="AL1078" i="12"/>
  <c r="AM1078" i="12"/>
  <c r="A1051" i="12"/>
  <c r="DH1051" i="12" s="1" a="1"/>
  <c r="B1051" i="12"/>
  <c r="C1051" i="12"/>
  <c r="D1051" i="12"/>
  <c r="E1051" i="12"/>
  <c r="O1051" i="12"/>
  <c r="P1051" i="12"/>
  <c r="Q1051" i="12"/>
  <c r="R1051" i="12"/>
  <c r="S1051" i="12"/>
  <c r="T1051" i="12"/>
  <c r="U1051" i="12"/>
  <c r="V1051" i="12"/>
  <c r="W1051" i="12"/>
  <c r="X1051" i="12"/>
  <c r="Y1051" i="12"/>
  <c r="Z1051" i="12"/>
  <c r="AA1051" i="12"/>
  <c r="AI1051" i="12"/>
  <c r="AJ1051" i="12"/>
  <c r="AK1051" i="12"/>
  <c r="AL1051" i="12"/>
  <c r="AM1051" i="12"/>
  <c r="A1052" i="12"/>
  <c r="DH1052" i="12" s="1" a="1"/>
  <c r="B1052" i="12"/>
  <c r="C1052" i="12"/>
  <c r="D1052" i="12"/>
  <c r="E1052" i="12"/>
  <c r="O1052" i="12"/>
  <c r="P1052" i="12"/>
  <c r="Q1052" i="12"/>
  <c r="R1052" i="12"/>
  <c r="S1052" i="12"/>
  <c r="T1052" i="12"/>
  <c r="U1052" i="12"/>
  <c r="V1052" i="12"/>
  <c r="W1052" i="12"/>
  <c r="X1052" i="12"/>
  <c r="Y1052" i="12"/>
  <c r="Z1052" i="12"/>
  <c r="AA1052" i="12"/>
  <c r="AI1052" i="12"/>
  <c r="AJ1052" i="12"/>
  <c r="AK1052" i="12"/>
  <c r="AL1052" i="12"/>
  <c r="AM1052" i="12"/>
  <c r="A1053" i="12"/>
  <c r="DH1053" i="12" s="1" a="1"/>
  <c r="B1053" i="12"/>
  <c r="C1053" i="12"/>
  <c r="D1053" i="12"/>
  <c r="A1054" i="12"/>
  <c r="DH1054" i="12" s="1" a="1"/>
  <c r="B1054" i="12"/>
  <c r="C1054" i="12"/>
  <c r="D1054" i="12"/>
  <c r="E1054" i="12"/>
  <c r="S1054" i="12"/>
  <c r="T1054" i="12"/>
  <c r="U1054" i="12"/>
  <c r="V1054" i="12"/>
  <c r="W1054" i="12"/>
  <c r="X1054" i="12"/>
  <c r="Y1054" i="12"/>
  <c r="A1055" i="12"/>
  <c r="B1055" i="12"/>
  <c r="C1055" i="12"/>
  <c r="D1055" i="12"/>
  <c r="A1056" i="12"/>
  <c r="DH1056" i="12" s="1" a="1"/>
  <c r="B1056" i="12"/>
  <c r="C1056" i="12"/>
  <c r="D1056" i="12"/>
  <c r="E1056" i="12"/>
  <c r="A1057" i="12"/>
  <c r="B1057" i="12"/>
  <c r="C1057" i="12"/>
  <c r="D1057" i="12"/>
  <c r="A1058" i="12"/>
  <c r="DH1058" i="12" s="1" a="1"/>
  <c r="B1058" i="12"/>
  <c r="C1058" i="12"/>
  <c r="D1058" i="12"/>
  <c r="E1058" i="12"/>
  <c r="K1058" i="12"/>
  <c r="M1058" i="12"/>
  <c r="N1058" i="12"/>
  <c r="O1058" i="12"/>
  <c r="P1058" i="12"/>
  <c r="Q1058" i="12"/>
  <c r="R1058" i="12"/>
  <c r="S1058" i="12"/>
  <c r="T1058" i="12"/>
  <c r="U1058" i="12"/>
  <c r="V1058" i="12"/>
  <c r="W1058" i="12"/>
  <c r="X1058" i="12"/>
  <c r="Y1058" i="12"/>
  <c r="Z1058" i="12"/>
  <c r="AA1058" i="12"/>
  <c r="AI1058" i="12"/>
  <c r="AJ1058" i="12"/>
  <c r="AK1058" i="12"/>
  <c r="AL1058" i="12"/>
  <c r="AM1058" i="12"/>
  <c r="A1059" i="12"/>
  <c r="DH1059" i="12" s="1" a="1"/>
  <c r="B1059" i="12"/>
  <c r="C1059" i="12"/>
  <c r="D1059" i="12"/>
  <c r="E1059" i="12"/>
  <c r="W1059" i="12"/>
  <c r="X1059" i="12"/>
  <c r="Y1059" i="12"/>
  <c r="Z1059" i="12"/>
  <c r="AA1059" i="12"/>
  <c r="A1060" i="12"/>
  <c r="B1060" i="12"/>
  <c r="C1060" i="12"/>
  <c r="D1060" i="12"/>
  <c r="A1061" i="12"/>
  <c r="DH1061" i="12" s="1" a="1"/>
  <c r="B1061" i="12"/>
  <c r="C1061" i="12"/>
  <c r="D1061" i="12"/>
  <c r="A1062" i="12"/>
  <c r="DH1062" i="12" s="1" a="1"/>
  <c r="B1062" i="12"/>
  <c r="C1062" i="12"/>
  <c r="D1062" i="12"/>
  <c r="E1062" i="12"/>
  <c r="N1062" i="12"/>
  <c r="O1062" i="12"/>
  <c r="P1062" i="12"/>
  <c r="Q1062" i="12"/>
  <c r="R1062" i="12"/>
  <c r="S1062" i="12"/>
  <c r="T1062" i="12"/>
  <c r="U1062" i="12"/>
  <c r="V1062" i="12"/>
  <c r="W1062" i="12"/>
  <c r="X1062" i="12"/>
  <c r="Y1062" i="12"/>
  <c r="Z1062" i="12"/>
  <c r="AA1062" i="12"/>
  <c r="AI1062" i="12"/>
  <c r="AJ1062" i="12"/>
  <c r="AK1062" i="12"/>
  <c r="AL1062" i="12"/>
  <c r="AM1062" i="12"/>
  <c r="A1063" i="12"/>
  <c r="DH1063" i="12" s="1" a="1"/>
  <c r="B1063" i="12"/>
  <c r="C1063" i="12"/>
  <c r="D1063" i="12"/>
  <c r="E1063" i="12"/>
  <c r="J1063" i="12"/>
  <c r="K1063" i="12"/>
  <c r="M1063" i="12"/>
  <c r="N1063" i="12"/>
  <c r="O1063" i="12"/>
  <c r="P1063" i="12"/>
  <c r="Q1063" i="12"/>
  <c r="R1063" i="12"/>
  <c r="S1063" i="12"/>
  <c r="T1063" i="12"/>
  <c r="U1063" i="12"/>
  <c r="V1063" i="12"/>
  <c r="W1063" i="12"/>
  <c r="X1063" i="12"/>
  <c r="Y1063" i="12"/>
  <c r="Z1063" i="12"/>
  <c r="AA1063" i="12"/>
  <c r="AI1063" i="12"/>
  <c r="AJ1063" i="12"/>
  <c r="AK1063" i="12"/>
  <c r="AL1063" i="12"/>
  <c r="AM1063" i="12"/>
  <c r="A1064" i="12"/>
  <c r="DH1064" i="12" s="1" a="1"/>
  <c r="B1064" i="12"/>
  <c r="C1064" i="12"/>
  <c r="D1064" i="12"/>
  <c r="E1064" i="12"/>
  <c r="M1064" i="12"/>
  <c r="N1064" i="12"/>
  <c r="O1064" i="12"/>
  <c r="P1064" i="12"/>
  <c r="Q1064" i="12"/>
  <c r="R1064" i="12"/>
  <c r="S1064" i="12"/>
  <c r="T1064" i="12"/>
  <c r="U1064" i="12"/>
  <c r="V1064" i="12"/>
  <c r="W1064" i="12"/>
  <c r="X1064" i="12"/>
  <c r="Y1064" i="12"/>
  <c r="Z1064" i="12"/>
  <c r="AA1064" i="12"/>
  <c r="AI1064" i="12"/>
  <c r="AJ1064" i="12"/>
  <c r="AK1064" i="12"/>
  <c r="AL1064" i="12"/>
  <c r="AM1064" i="12"/>
  <c r="A1037" i="12"/>
  <c r="DH1037" i="12" s="1" a="1"/>
  <c r="B1037" i="12"/>
  <c r="C1037" i="12"/>
  <c r="D1037" i="12"/>
  <c r="E1037" i="12"/>
  <c r="H1037" i="12"/>
  <c r="I1037" i="12"/>
  <c r="J1037" i="12"/>
  <c r="K1037" i="12"/>
  <c r="M1037" i="12"/>
  <c r="N1037" i="12"/>
  <c r="O1037" i="12"/>
  <c r="P1037" i="12"/>
  <c r="Q1037" i="12"/>
  <c r="R1037" i="12"/>
  <c r="S1037" i="12"/>
  <c r="T1037" i="12"/>
  <c r="U1037" i="12"/>
  <c r="V1037" i="12"/>
  <c r="W1037" i="12"/>
  <c r="X1037" i="12"/>
  <c r="Y1037" i="12"/>
  <c r="Z1037" i="12"/>
  <c r="AA1037" i="12"/>
  <c r="AI1037" i="12"/>
  <c r="AJ1037" i="12"/>
  <c r="AK1037" i="12"/>
  <c r="AL1037" i="12"/>
  <c r="AM1037" i="12"/>
  <c r="A1038" i="12"/>
  <c r="DH1038" i="12" s="1" a="1"/>
  <c r="B1038" i="12"/>
  <c r="C1038" i="12"/>
  <c r="D1038" i="12"/>
  <c r="E1038" i="12"/>
  <c r="J1038" i="12"/>
  <c r="M1038" i="12"/>
  <c r="N1038" i="12"/>
  <c r="O1038" i="12"/>
  <c r="P1038" i="12"/>
  <c r="Q1038" i="12"/>
  <c r="R1038" i="12"/>
  <c r="S1038" i="12"/>
  <c r="T1038" i="12"/>
  <c r="U1038" i="12"/>
  <c r="V1038" i="12"/>
  <c r="W1038" i="12"/>
  <c r="X1038" i="12"/>
  <c r="Y1038" i="12"/>
  <c r="Z1038" i="12"/>
  <c r="AA1038" i="12"/>
  <c r="AI1038" i="12"/>
  <c r="AJ1038" i="12"/>
  <c r="AK1038" i="12"/>
  <c r="AL1038" i="12"/>
  <c r="AM1038" i="12"/>
  <c r="A1039" i="12"/>
  <c r="DH1039" i="12" s="1" a="1"/>
  <c r="B1039" i="12"/>
  <c r="C1039" i="12"/>
  <c r="D1039" i="12"/>
  <c r="E1039" i="12"/>
  <c r="M1039" i="12"/>
  <c r="N1039" i="12"/>
  <c r="P1039" i="12"/>
  <c r="Q1039" i="12"/>
  <c r="R1039" i="12"/>
  <c r="S1039" i="12"/>
  <c r="T1039" i="12"/>
  <c r="U1039" i="12"/>
  <c r="V1039" i="12"/>
  <c r="W1039" i="12"/>
  <c r="X1039" i="12"/>
  <c r="Y1039" i="12"/>
  <c r="Z1039" i="12"/>
  <c r="AA1039" i="12"/>
  <c r="AI1039" i="12"/>
  <c r="AJ1039" i="12"/>
  <c r="AK1039" i="12"/>
  <c r="AL1039" i="12"/>
  <c r="AM1039" i="12"/>
  <c r="A1040" i="12"/>
  <c r="DH1040" i="12" s="1" a="1"/>
  <c r="B1040" i="12"/>
  <c r="C1040" i="12"/>
  <c r="D1040" i="12"/>
  <c r="E1040" i="12"/>
  <c r="H1040" i="12"/>
  <c r="I1040" i="12"/>
  <c r="J1040" i="12"/>
  <c r="K1040" i="12"/>
  <c r="M1040" i="12"/>
  <c r="N1040" i="12"/>
  <c r="O1040" i="12"/>
  <c r="P1040" i="12"/>
  <c r="Q1040" i="12"/>
  <c r="R1040" i="12"/>
  <c r="S1040" i="12"/>
  <c r="T1040" i="12"/>
  <c r="U1040" i="12"/>
  <c r="V1040" i="12"/>
  <c r="W1040" i="12"/>
  <c r="X1040" i="12"/>
  <c r="Y1040" i="12"/>
  <c r="Z1040" i="12"/>
  <c r="AA1040" i="12"/>
  <c r="AI1040" i="12"/>
  <c r="AJ1040" i="12"/>
  <c r="AK1040" i="12"/>
  <c r="AL1040" i="12"/>
  <c r="AM1040" i="12"/>
  <c r="A1041" i="12"/>
  <c r="B1041" i="12"/>
  <c r="C1041" i="12"/>
  <c r="D1041" i="12"/>
  <c r="A1042" i="12"/>
  <c r="DH1042" i="12" s="1" a="1"/>
  <c r="B1042" i="12"/>
  <c r="C1042" i="12"/>
  <c r="D1042" i="12"/>
  <c r="E1042" i="12"/>
  <c r="N1042" i="12"/>
  <c r="O1042" i="12"/>
  <c r="P1042" i="12"/>
  <c r="Q1042" i="12"/>
  <c r="R1042" i="12"/>
  <c r="S1042" i="12"/>
  <c r="T1042" i="12"/>
  <c r="U1042" i="12"/>
  <c r="V1042" i="12"/>
  <c r="A1043" i="12"/>
  <c r="DH1043" i="12" s="1" a="1"/>
  <c r="B1043" i="12"/>
  <c r="C1043" i="12"/>
  <c r="D1043" i="12"/>
  <c r="E1043" i="12"/>
  <c r="I1043" i="12"/>
  <c r="J1043" i="12"/>
  <c r="K1043" i="12"/>
  <c r="M1043" i="12"/>
  <c r="N1043" i="12"/>
  <c r="O1043" i="12"/>
  <c r="P1043" i="12"/>
  <c r="Q1043" i="12"/>
  <c r="R1043" i="12"/>
  <c r="S1043" i="12"/>
  <c r="T1043" i="12"/>
  <c r="U1043" i="12"/>
  <c r="V1043" i="12"/>
  <c r="W1043" i="12"/>
  <c r="X1043" i="12"/>
  <c r="Y1043" i="12"/>
  <c r="Z1043" i="12"/>
  <c r="AA1043" i="12"/>
  <c r="AI1043" i="12"/>
  <c r="AJ1043" i="12"/>
  <c r="AK1043" i="12"/>
  <c r="AL1043" i="12"/>
  <c r="AM1043" i="12"/>
  <c r="A1044" i="12"/>
  <c r="DH1044" i="12" s="1" a="1"/>
  <c r="B1044" i="12"/>
  <c r="C1044" i="12"/>
  <c r="D1044" i="12"/>
  <c r="E1044" i="12"/>
  <c r="I1044" i="12"/>
  <c r="J1044" i="12"/>
  <c r="K1044" i="12"/>
  <c r="M1044" i="12"/>
  <c r="N1044" i="12"/>
  <c r="O1044" i="12"/>
  <c r="P1044" i="12"/>
  <c r="Q1044" i="12"/>
  <c r="R1044" i="12"/>
  <c r="S1044" i="12"/>
  <c r="T1044" i="12"/>
  <c r="U1044" i="12"/>
  <c r="V1044" i="12"/>
  <c r="W1044" i="12"/>
  <c r="X1044" i="12"/>
  <c r="Y1044" i="12"/>
  <c r="Z1044" i="12"/>
  <c r="AA1044" i="12"/>
  <c r="AI1044" i="12"/>
  <c r="AJ1044" i="12"/>
  <c r="AK1044" i="12"/>
  <c r="AL1044" i="12"/>
  <c r="AM1044" i="12"/>
  <c r="A1045" i="12"/>
  <c r="DH1045" i="12" s="1" a="1"/>
  <c r="B1045" i="12"/>
  <c r="C1045" i="12"/>
  <c r="D1045" i="12"/>
  <c r="E1045" i="12"/>
  <c r="I1045" i="12"/>
  <c r="J1045" i="12"/>
  <c r="K1045" i="12"/>
  <c r="M1045" i="12"/>
  <c r="N1045" i="12"/>
  <c r="O1045" i="12"/>
  <c r="P1045" i="12"/>
  <c r="Q1045" i="12"/>
  <c r="R1045" i="12"/>
  <c r="S1045" i="12"/>
  <c r="T1045" i="12"/>
  <c r="U1045" i="12"/>
  <c r="V1045" i="12"/>
  <c r="W1045" i="12"/>
  <c r="X1045" i="12"/>
  <c r="Y1045" i="12"/>
  <c r="Z1045" i="12"/>
  <c r="AA1045" i="12"/>
  <c r="AI1045" i="12"/>
  <c r="AJ1045" i="12"/>
  <c r="AK1045" i="12"/>
  <c r="AL1045" i="12"/>
  <c r="AM1045" i="12"/>
  <c r="A1046" i="12"/>
  <c r="DH1046" i="12" s="1" a="1"/>
  <c r="B1046" i="12"/>
  <c r="C1046" i="12"/>
  <c r="D1046" i="12"/>
  <c r="E1046" i="12"/>
  <c r="F1046" i="12"/>
  <c r="G1046" i="12"/>
  <c r="H1046" i="12"/>
  <c r="I1046" i="12"/>
  <c r="J1046" i="12"/>
  <c r="K1046" i="12"/>
  <c r="M1046" i="12"/>
  <c r="N1046" i="12"/>
  <c r="O1046" i="12"/>
  <c r="P1046" i="12"/>
  <c r="Q1046" i="12"/>
  <c r="R1046" i="12"/>
  <c r="S1046" i="12"/>
  <c r="T1046" i="12"/>
  <c r="U1046" i="12"/>
  <c r="V1046" i="12"/>
  <c r="W1046" i="12"/>
  <c r="X1046" i="12"/>
  <c r="Y1046" i="12"/>
  <c r="Z1046" i="12"/>
  <c r="AA1046" i="12"/>
  <c r="AC1046" i="12"/>
  <c r="AI1046" i="12"/>
  <c r="AJ1046" i="12"/>
  <c r="AK1046" i="12"/>
  <c r="AL1046" i="12"/>
  <c r="AM1046" i="12"/>
  <c r="A1047" i="12"/>
  <c r="DH1047" i="12" s="1" a="1"/>
  <c r="B1047" i="12"/>
  <c r="C1047" i="12"/>
  <c r="D1047" i="12"/>
  <c r="E1047" i="12"/>
  <c r="F1047" i="12" s="1"/>
  <c r="G1047" i="12"/>
  <c r="H1047" i="12"/>
  <c r="I1047" i="12"/>
  <c r="J1047" i="12"/>
  <c r="A1048" i="12"/>
  <c r="DH1048" i="12" s="1" a="1"/>
  <c r="B1048" i="12"/>
  <c r="C1048" i="12"/>
  <c r="D1048" i="12"/>
  <c r="E1048" i="12"/>
  <c r="M1048" i="12"/>
  <c r="N1048" i="12"/>
  <c r="O1048" i="12"/>
  <c r="P1048" i="12"/>
  <c r="Q1048" i="12"/>
  <c r="R1048" i="12"/>
  <c r="S1048" i="12"/>
  <c r="T1048" i="12"/>
  <c r="U1048" i="12"/>
  <c r="V1048" i="12"/>
  <c r="W1048" i="12"/>
  <c r="X1048" i="12"/>
  <c r="Y1048" i="12"/>
  <c r="Z1048" i="12"/>
  <c r="AA1048" i="12"/>
  <c r="AI1048" i="12"/>
  <c r="AJ1048" i="12"/>
  <c r="AK1048" i="12"/>
  <c r="AL1048" i="12"/>
  <c r="AM1048" i="12"/>
  <c r="A1049" i="12"/>
  <c r="DH1049" i="12" s="1" a="1"/>
  <c r="B1049" i="12"/>
  <c r="C1049" i="12"/>
  <c r="D1049" i="12"/>
  <c r="E1049" i="12"/>
  <c r="I1049" i="12"/>
  <c r="J1049" i="12"/>
  <c r="K1049" i="12"/>
  <c r="M1049" i="12"/>
  <c r="N1049" i="12"/>
  <c r="O1049" i="12"/>
  <c r="P1049" i="12"/>
  <c r="Q1049" i="12"/>
  <c r="R1049" i="12"/>
  <c r="S1049" i="12"/>
  <c r="T1049" i="12"/>
  <c r="U1049" i="12"/>
  <c r="V1049" i="12"/>
  <c r="W1049" i="12"/>
  <c r="X1049" i="12"/>
  <c r="Y1049" i="12"/>
  <c r="Z1049" i="12"/>
  <c r="AA1049" i="12"/>
  <c r="AI1049" i="12"/>
  <c r="AJ1049" i="12"/>
  <c r="AK1049" i="12"/>
  <c r="AL1049" i="12"/>
  <c r="AM1049" i="12"/>
  <c r="A1050" i="12"/>
  <c r="DH1050" i="12" s="1" a="1"/>
  <c r="B1050" i="12"/>
  <c r="C1050" i="12"/>
  <c r="D1050" i="12"/>
  <c r="E1050" i="12"/>
  <c r="I1050" i="12"/>
  <c r="K1050" i="12"/>
  <c r="M1050" i="12"/>
  <c r="N1050" i="12"/>
  <c r="O1050" i="12"/>
  <c r="P1050" i="12"/>
  <c r="Q1050" i="12"/>
  <c r="R1050" i="12"/>
  <c r="S1050" i="12"/>
  <c r="T1050" i="12"/>
  <c r="U1050" i="12"/>
  <c r="V1050" i="12"/>
  <c r="W1050" i="12"/>
  <c r="X1050" i="12"/>
  <c r="Y1050" i="12"/>
  <c r="Z1050" i="12"/>
  <c r="AA1050" i="12"/>
  <c r="AI1050" i="12"/>
  <c r="AJ1050" i="12"/>
  <c r="AK1050" i="12"/>
  <c r="AL1050" i="12"/>
  <c r="AM1050" i="12"/>
  <c r="A1023" i="12"/>
  <c r="DH1023" i="12" s="1" a="1"/>
  <c r="B1023" i="12"/>
  <c r="C1023" i="12"/>
  <c r="D1023" i="12"/>
  <c r="E1023" i="12"/>
  <c r="F1023" i="12" s="1"/>
  <c r="G1023" i="12"/>
  <c r="H1023" i="12"/>
  <c r="I1023" i="12"/>
  <c r="J1023" i="12"/>
  <c r="K1023" i="12"/>
  <c r="M1023" i="12"/>
  <c r="N1023" i="12"/>
  <c r="O1023" i="12"/>
  <c r="P1023" i="12"/>
  <c r="Q1023" i="12"/>
  <c r="R1023" i="12"/>
  <c r="S1023" i="12"/>
  <c r="T1023" i="12"/>
  <c r="U1023" i="12"/>
  <c r="V1023" i="12"/>
  <c r="W1023" i="12"/>
  <c r="X1023" i="12"/>
  <c r="Y1023" i="12"/>
  <c r="Z1023" i="12"/>
  <c r="AA1023" i="12"/>
  <c r="AI1023" i="12"/>
  <c r="AJ1023" i="12"/>
  <c r="AK1023" i="12"/>
  <c r="AL1023" i="12"/>
  <c r="AM1023" i="12"/>
  <c r="A1024" i="12"/>
  <c r="DH1024" i="12" s="1" a="1"/>
  <c r="B1024" i="12"/>
  <c r="C1024" i="12"/>
  <c r="D1024" i="12"/>
  <c r="E1024" i="12"/>
  <c r="F1024" i="12" s="1"/>
  <c r="G1024" i="12"/>
  <c r="H1024" i="12"/>
  <c r="I1024" i="12"/>
  <c r="J1024" i="12"/>
  <c r="K1024" i="12"/>
  <c r="M1024" i="12"/>
  <c r="N1024" i="12"/>
  <c r="O1024" i="12"/>
  <c r="P1024" i="12"/>
  <c r="Q1024" i="12"/>
  <c r="R1024" i="12"/>
  <c r="S1024" i="12"/>
  <c r="T1024" i="12"/>
  <c r="U1024" i="12"/>
  <c r="V1024" i="12"/>
  <c r="W1024" i="12"/>
  <c r="X1024" i="12"/>
  <c r="Y1024" i="12"/>
  <c r="Z1024" i="12"/>
  <c r="AA1024" i="12"/>
  <c r="AI1024" i="12"/>
  <c r="AJ1024" i="12"/>
  <c r="AK1024" i="12"/>
  <c r="AL1024" i="12"/>
  <c r="AM1024" i="12"/>
  <c r="A1025" i="12"/>
  <c r="DH1025" i="12" s="1" a="1"/>
  <c r="B1025" i="12"/>
  <c r="C1025" i="12"/>
  <c r="D1025" i="12"/>
  <c r="E1025" i="12"/>
  <c r="H1025" i="12"/>
  <c r="I1025" i="12"/>
  <c r="J1025" i="12"/>
  <c r="K1025" i="12"/>
  <c r="M1025" i="12"/>
  <c r="N1025" i="12"/>
  <c r="O1025" i="12"/>
  <c r="P1025" i="12"/>
  <c r="Q1025" i="12"/>
  <c r="R1025" i="12"/>
  <c r="S1025" i="12"/>
  <c r="T1025" i="12"/>
  <c r="U1025" i="12"/>
  <c r="V1025" i="12"/>
  <c r="W1025" i="12"/>
  <c r="X1025" i="12"/>
  <c r="Y1025" i="12"/>
  <c r="Z1025" i="12"/>
  <c r="AA1025" i="12"/>
  <c r="AI1025" i="12"/>
  <c r="AJ1025" i="12"/>
  <c r="AK1025" i="12"/>
  <c r="AL1025" i="12"/>
  <c r="AM1025" i="12"/>
  <c r="A1026" i="12"/>
  <c r="DH1026" i="12" s="1" a="1"/>
  <c r="B1026" i="12"/>
  <c r="C1026" i="12"/>
  <c r="D1026" i="12"/>
  <c r="E1026" i="12"/>
  <c r="I1026" i="12"/>
  <c r="J1026" i="12"/>
  <c r="K1026" i="12"/>
  <c r="M1026" i="12"/>
  <c r="N1026" i="12"/>
  <c r="O1026" i="12"/>
  <c r="P1026" i="12"/>
  <c r="Q1026" i="12"/>
  <c r="R1026" i="12"/>
  <c r="S1026" i="12"/>
  <c r="T1026" i="12"/>
  <c r="U1026" i="12"/>
  <c r="V1026" i="12"/>
  <c r="W1026" i="12"/>
  <c r="X1026" i="12"/>
  <c r="Y1026" i="12"/>
  <c r="Z1026" i="12"/>
  <c r="AA1026" i="12"/>
  <c r="AI1026" i="12"/>
  <c r="AJ1026" i="12"/>
  <c r="AK1026" i="12"/>
  <c r="AL1026" i="12"/>
  <c r="AM1026" i="12"/>
  <c r="A1027" i="12"/>
  <c r="DH1027" i="12" s="1" a="1"/>
  <c r="B1027" i="12"/>
  <c r="C1027" i="12"/>
  <c r="D1027" i="12"/>
  <c r="E1027" i="12"/>
  <c r="M1027" i="12"/>
  <c r="N1027" i="12"/>
  <c r="O1027" i="12"/>
  <c r="P1027" i="12"/>
  <c r="Q1027" i="12"/>
  <c r="R1027" i="12"/>
  <c r="S1027" i="12"/>
  <c r="T1027" i="12"/>
  <c r="U1027" i="12"/>
  <c r="V1027" i="12"/>
  <c r="W1027" i="12"/>
  <c r="X1027" i="12"/>
  <c r="Y1027" i="12"/>
  <c r="Z1027" i="12"/>
  <c r="AA1027" i="12"/>
  <c r="AI1027" i="12"/>
  <c r="AJ1027" i="12"/>
  <c r="AK1027" i="12"/>
  <c r="AL1027" i="12"/>
  <c r="AM1027" i="12"/>
  <c r="A1028" i="12"/>
  <c r="DH1028" i="12" s="1" a="1"/>
  <c r="B1028" i="12"/>
  <c r="C1028" i="12"/>
  <c r="D1028" i="12"/>
  <c r="E1028" i="12"/>
  <c r="F1028" i="12"/>
  <c r="G1028" i="12"/>
  <c r="H1028" i="12"/>
  <c r="I1028" i="12"/>
  <c r="J1028" i="12"/>
  <c r="K1028" i="12"/>
  <c r="M1028" i="12"/>
  <c r="N1028" i="12"/>
  <c r="O1028" i="12"/>
  <c r="P1028" i="12"/>
  <c r="Q1028" i="12"/>
  <c r="R1028" i="12"/>
  <c r="S1028" i="12"/>
  <c r="T1028" i="12"/>
  <c r="U1028" i="12"/>
  <c r="V1028" i="12"/>
  <c r="W1028" i="12"/>
  <c r="X1028" i="12"/>
  <c r="Y1028" i="12"/>
  <c r="Z1028" i="12"/>
  <c r="AA1028" i="12"/>
  <c r="AI1028" i="12"/>
  <c r="AJ1028" i="12"/>
  <c r="AK1028" i="12"/>
  <c r="AL1028" i="12"/>
  <c r="AM1028" i="12"/>
  <c r="A1029" i="12"/>
  <c r="DH1029" i="12" s="1" a="1"/>
  <c r="B1029" i="12"/>
  <c r="C1029" i="12"/>
  <c r="D1029" i="12"/>
  <c r="E1029" i="12"/>
  <c r="J1029" i="12"/>
  <c r="K1029" i="12"/>
  <c r="M1029" i="12"/>
  <c r="N1029" i="12"/>
  <c r="O1029" i="12"/>
  <c r="P1029" i="12"/>
  <c r="Q1029" i="12"/>
  <c r="R1029" i="12"/>
  <c r="S1029" i="12"/>
  <c r="T1029" i="12"/>
  <c r="U1029" i="12"/>
  <c r="V1029" i="12"/>
  <c r="W1029" i="12"/>
  <c r="X1029" i="12"/>
  <c r="Y1029" i="12"/>
  <c r="Z1029" i="12"/>
  <c r="A1030" i="12"/>
  <c r="DH1030" i="12" s="1" a="1"/>
  <c r="B1030" i="12"/>
  <c r="C1030" i="12"/>
  <c r="D1030" i="12"/>
  <c r="E1030" i="12"/>
  <c r="H1030" i="12"/>
  <c r="I1030" i="12"/>
  <c r="J1030" i="12"/>
  <c r="K1030" i="12"/>
  <c r="M1030" i="12"/>
  <c r="N1030" i="12"/>
  <c r="O1030" i="12"/>
  <c r="P1030" i="12"/>
  <c r="Q1030" i="12"/>
  <c r="R1030" i="12"/>
  <c r="S1030" i="12"/>
  <c r="T1030" i="12"/>
  <c r="U1030" i="12"/>
  <c r="V1030" i="12"/>
  <c r="W1030" i="12"/>
  <c r="X1030" i="12"/>
  <c r="Y1030" i="12"/>
  <c r="Z1030" i="12"/>
  <c r="AA1030" i="12"/>
  <c r="AI1030" i="12"/>
  <c r="AJ1030" i="12"/>
  <c r="AK1030" i="12"/>
  <c r="AL1030" i="12"/>
  <c r="AM1030" i="12"/>
  <c r="A1031" i="12"/>
  <c r="DH1031" i="12" s="1" a="1"/>
  <c r="B1031" i="12"/>
  <c r="C1031" i="12"/>
  <c r="D1031" i="12"/>
  <c r="A1032" i="12"/>
  <c r="DH1032" i="12" s="1" a="1"/>
  <c r="B1032" i="12"/>
  <c r="C1032" i="12"/>
  <c r="D1032" i="12"/>
  <c r="E1032" i="12"/>
  <c r="I1032" i="12"/>
  <c r="J1032" i="12"/>
  <c r="K1032" i="12"/>
  <c r="M1032" i="12"/>
  <c r="N1032" i="12"/>
  <c r="O1032" i="12"/>
  <c r="P1032" i="12"/>
  <c r="Q1032" i="12"/>
  <c r="R1032" i="12"/>
  <c r="S1032" i="12"/>
  <c r="T1032" i="12"/>
  <c r="U1032" i="12"/>
  <c r="V1032" i="12"/>
  <c r="W1032" i="12"/>
  <c r="X1032" i="12"/>
  <c r="Y1032" i="12"/>
  <c r="Z1032" i="12"/>
  <c r="AA1032" i="12"/>
  <c r="AI1032" i="12"/>
  <c r="AJ1032" i="12"/>
  <c r="AK1032" i="12"/>
  <c r="AL1032" i="12"/>
  <c r="AM1032" i="12"/>
  <c r="A1033" i="12"/>
  <c r="DH1033" i="12" s="1" a="1"/>
  <c r="B1033" i="12"/>
  <c r="C1033" i="12"/>
  <c r="D1033" i="12"/>
  <c r="E1033" i="12"/>
  <c r="M1033" i="12"/>
  <c r="N1033" i="12"/>
  <c r="O1033" i="12"/>
  <c r="P1033" i="12"/>
  <c r="Q1033" i="12"/>
  <c r="R1033" i="12"/>
  <c r="S1033" i="12"/>
  <c r="T1033" i="12"/>
  <c r="U1033" i="12"/>
  <c r="V1033" i="12"/>
  <c r="W1033" i="12"/>
  <c r="X1033" i="12"/>
  <c r="Y1033" i="12"/>
  <c r="Z1033" i="12"/>
  <c r="AA1033" i="12"/>
  <c r="AI1033" i="12"/>
  <c r="AJ1033" i="12"/>
  <c r="AK1033" i="12"/>
  <c r="AL1033" i="12"/>
  <c r="AM1033" i="12"/>
  <c r="A1034" i="12"/>
  <c r="DH1034" i="12" s="1" a="1"/>
  <c r="B1034" i="12"/>
  <c r="C1034" i="12"/>
  <c r="D1034" i="12"/>
  <c r="A1035" i="12"/>
  <c r="DH1035" i="12" s="1" a="1"/>
  <c r="B1035" i="12"/>
  <c r="C1035" i="12"/>
  <c r="D1035" i="12"/>
  <c r="E1035" i="12"/>
  <c r="Q1035" i="12"/>
  <c r="R1035" i="12"/>
  <c r="S1035" i="12"/>
  <c r="T1035" i="12"/>
  <c r="U1035" i="12"/>
  <c r="V1035" i="12"/>
  <c r="W1035" i="12"/>
  <c r="X1035" i="12"/>
  <c r="Y1035" i="12"/>
  <c r="Z1035" i="12"/>
  <c r="AA1035" i="12"/>
  <c r="AI1035" i="12"/>
  <c r="AJ1035" i="12"/>
  <c r="AK1035" i="12"/>
  <c r="AL1035" i="12"/>
  <c r="AM1035" i="12"/>
  <c r="A1036" i="12"/>
  <c r="DH1036" i="12" s="1" a="1"/>
  <c r="B1036" i="12"/>
  <c r="E1036" i="12" s="1"/>
  <c r="C1036" i="12"/>
  <c r="D1036" i="12"/>
  <c r="A1009" i="12"/>
  <c r="DH1009" i="12" s="1" a="1"/>
  <c r="B1009" i="12"/>
  <c r="E1009" i="12" s="1"/>
  <c r="C1009" i="12"/>
  <c r="D1009" i="12"/>
  <c r="A1010" i="12"/>
  <c r="DH1010" i="12" s="1" a="1"/>
  <c r="B1010" i="12"/>
  <c r="C1010" i="12"/>
  <c r="D1010" i="12"/>
  <c r="E1010" i="12"/>
  <c r="K1010" i="12"/>
  <c r="M1010" i="12"/>
  <c r="N1010" i="12"/>
  <c r="O1010" i="12"/>
  <c r="P1010" i="12"/>
  <c r="Q1010" i="12"/>
  <c r="R1010" i="12"/>
  <c r="S1010" i="12"/>
  <c r="T1010" i="12"/>
  <c r="U1010" i="12"/>
  <c r="V1010" i="12"/>
  <c r="W1010" i="12"/>
  <c r="X1010" i="12"/>
  <c r="Y1010" i="12"/>
  <c r="Z1010" i="12"/>
  <c r="AA1010" i="12"/>
  <c r="AI1010" i="12"/>
  <c r="AJ1010" i="12"/>
  <c r="AK1010" i="12"/>
  <c r="AL1010" i="12"/>
  <c r="AM1010" i="12"/>
  <c r="A1011" i="12"/>
  <c r="DH1011" i="12" s="1" a="1"/>
  <c r="B1011" i="12"/>
  <c r="C1011" i="12"/>
  <c r="D1011" i="12"/>
  <c r="A1012" i="12"/>
  <c r="DH1012" i="12" s="1" a="1"/>
  <c r="B1012" i="12"/>
  <c r="C1012" i="12"/>
  <c r="D1012" i="12"/>
  <c r="E1012" i="12"/>
  <c r="O1012" i="12"/>
  <c r="P1012" i="12"/>
  <c r="Q1012" i="12"/>
  <c r="R1012" i="12"/>
  <c r="S1012" i="12"/>
  <c r="T1012" i="12"/>
  <c r="U1012" i="12"/>
  <c r="V1012" i="12"/>
  <c r="W1012" i="12"/>
  <c r="X1012" i="12"/>
  <c r="Y1012" i="12"/>
  <c r="Z1012" i="12"/>
  <c r="AA1012" i="12"/>
  <c r="AI1012" i="12"/>
  <c r="AJ1012" i="12"/>
  <c r="AK1012" i="12"/>
  <c r="AL1012" i="12"/>
  <c r="AM1012" i="12"/>
  <c r="A1013" i="12"/>
  <c r="DH1013" i="12" s="1" a="1"/>
  <c r="B1013" i="12"/>
  <c r="E1013" i="12" s="1"/>
  <c r="C1013" i="12"/>
  <c r="D1013" i="12"/>
  <c r="A1014" i="12"/>
  <c r="DH1014" i="12" s="1" a="1"/>
  <c r="B1014" i="12"/>
  <c r="C1014" i="12"/>
  <c r="D1014" i="12"/>
  <c r="E1014" i="12"/>
  <c r="H1014" i="12"/>
  <c r="I1014" i="12"/>
  <c r="J1014" i="12"/>
  <c r="K1014" i="12"/>
  <c r="M1014" i="12"/>
  <c r="N1014" i="12"/>
  <c r="O1014" i="12"/>
  <c r="P1014" i="12"/>
  <c r="Q1014" i="12"/>
  <c r="R1014" i="12"/>
  <c r="S1014" i="12"/>
  <c r="T1014" i="12"/>
  <c r="U1014" i="12"/>
  <c r="V1014" i="12"/>
  <c r="W1014" i="12"/>
  <c r="X1014" i="12"/>
  <c r="Y1014" i="12"/>
  <c r="Z1014" i="12"/>
  <c r="AA1014" i="12"/>
  <c r="AI1014" i="12"/>
  <c r="AJ1014" i="12"/>
  <c r="AK1014" i="12"/>
  <c r="AL1014" i="12"/>
  <c r="AM1014" i="12"/>
  <c r="A1015" i="12"/>
  <c r="DH1015" i="12" s="1" a="1"/>
  <c r="B1015" i="12"/>
  <c r="C1015" i="12"/>
  <c r="D1015" i="12"/>
  <c r="E1015" i="12"/>
  <c r="M1015" i="12" s="1"/>
  <c r="N1015" i="12"/>
  <c r="O1015" i="12"/>
  <c r="P1015" i="12"/>
  <c r="Q1015" i="12"/>
  <c r="R1015" i="12"/>
  <c r="S1015" i="12"/>
  <c r="T1015" i="12"/>
  <c r="U1015" i="12"/>
  <c r="V1015" i="12"/>
  <c r="W1015" i="12"/>
  <c r="X1015" i="12"/>
  <c r="Y1015" i="12"/>
  <c r="Z1015" i="12"/>
  <c r="AA1015" i="12"/>
  <c r="AI1015" i="12"/>
  <c r="AJ1015" i="12"/>
  <c r="AK1015" i="12"/>
  <c r="AL1015" i="12"/>
  <c r="AM1015" i="12"/>
  <c r="A1016" i="12"/>
  <c r="DH1016" i="12" s="1" a="1"/>
  <c r="B1016" i="12"/>
  <c r="C1016" i="12"/>
  <c r="D1016" i="12"/>
  <c r="E1016" i="12"/>
  <c r="U1016" i="12"/>
  <c r="V1016" i="12"/>
  <c r="W1016" i="12"/>
  <c r="X1016" i="12"/>
  <c r="Y1016" i="12"/>
  <c r="Z1016" i="12"/>
  <c r="AA1016" i="12"/>
  <c r="AI1016" i="12"/>
  <c r="AJ1016" i="12"/>
  <c r="AK1016" i="12"/>
  <c r="AL1016" i="12"/>
  <c r="AM1016" i="12"/>
  <c r="A1017" i="12"/>
  <c r="DH1017" i="12" s="1" a="1"/>
  <c r="B1017" i="12"/>
  <c r="E1017" i="12" s="1"/>
  <c r="C1017" i="12"/>
  <c r="D1017" i="12"/>
  <c r="A1018" i="12"/>
  <c r="DH1018" i="12" s="1" a="1"/>
  <c r="B1018" i="12"/>
  <c r="C1018" i="12"/>
  <c r="D1018" i="12"/>
  <c r="A1019" i="12"/>
  <c r="DH1019" i="12" s="1" a="1"/>
  <c r="B1019" i="12"/>
  <c r="C1019" i="12"/>
  <c r="D1019" i="12"/>
  <c r="E1019" i="12"/>
  <c r="R1019" i="12"/>
  <c r="S1019" i="12"/>
  <c r="T1019" i="12"/>
  <c r="U1019" i="12"/>
  <c r="V1019" i="12"/>
  <c r="W1019" i="12"/>
  <c r="X1019" i="12"/>
  <c r="Y1019" i="12"/>
  <c r="Z1019" i="12"/>
  <c r="AA1019" i="12"/>
  <c r="AI1019" i="12"/>
  <c r="AJ1019" i="12"/>
  <c r="AK1019" i="12"/>
  <c r="AL1019" i="12"/>
  <c r="AM1019" i="12"/>
  <c r="A1020" i="12"/>
  <c r="DH1020" i="12" s="1" a="1"/>
  <c r="B1020" i="12"/>
  <c r="C1020" i="12"/>
  <c r="D1020" i="12"/>
  <c r="A1021" i="12"/>
  <c r="DH1021" i="12" s="1" a="1"/>
  <c r="B1021" i="12"/>
  <c r="C1021" i="12"/>
  <c r="D1021" i="12"/>
  <c r="E1021" i="12"/>
  <c r="H1021" i="12"/>
  <c r="I1021" i="12"/>
  <c r="J1021" i="12"/>
  <c r="K1021" i="12"/>
  <c r="M1021" i="12"/>
  <c r="N1021" i="12"/>
  <c r="O1021" i="12"/>
  <c r="P1021" i="12"/>
  <c r="Q1021" i="12"/>
  <c r="R1021" i="12"/>
  <c r="S1021" i="12"/>
  <c r="T1021" i="12"/>
  <c r="U1021" i="12"/>
  <c r="V1021" i="12"/>
  <c r="W1021" i="12"/>
  <c r="X1021" i="12"/>
  <c r="Y1021" i="12"/>
  <c r="Z1021" i="12"/>
  <c r="AA1021" i="12"/>
  <c r="AI1021" i="12"/>
  <c r="AJ1021" i="12"/>
  <c r="AK1021" i="12"/>
  <c r="AL1021" i="12"/>
  <c r="AM1021" i="12"/>
  <c r="A1022" i="12"/>
  <c r="DH1022" i="12" s="1" a="1"/>
  <c r="B1022" i="12"/>
  <c r="C1022" i="12"/>
  <c r="D1022" i="12"/>
  <c r="E1022" i="12"/>
  <c r="O1022" i="12"/>
  <c r="P1022" i="12"/>
  <c r="Q1022" i="12"/>
  <c r="R1022" i="12"/>
  <c r="S1022" i="12"/>
  <c r="T1022" i="12"/>
  <c r="U1022" i="12"/>
  <c r="V1022" i="12"/>
  <c r="W1022" i="12"/>
  <c r="X1022" i="12"/>
  <c r="Y1022" i="12"/>
  <c r="Z1022" i="12"/>
  <c r="AA1022" i="12"/>
  <c r="AI1022" i="12"/>
  <c r="AJ1022" i="12"/>
  <c r="AK1022" i="12"/>
  <c r="AL1022" i="12"/>
  <c r="AM1022" i="12"/>
  <c r="A995" i="12"/>
  <c r="DH995" i="12" s="1" a="1"/>
  <c r="B995" i="12"/>
  <c r="C995" i="12"/>
  <c r="D995" i="12"/>
  <c r="E995" i="12"/>
  <c r="N995" i="12" s="1"/>
  <c r="O995" i="12"/>
  <c r="P995" i="12"/>
  <c r="Q995" i="12"/>
  <c r="R995" i="12"/>
  <c r="S995" i="12"/>
  <c r="T995" i="12"/>
  <c r="U995" i="12"/>
  <c r="V995" i="12"/>
  <c r="W995" i="12"/>
  <c r="X995" i="12"/>
  <c r="Y995" i="12"/>
  <c r="Z995" i="12"/>
  <c r="AA995" i="12"/>
  <c r="AI995" i="12"/>
  <c r="AJ995" i="12"/>
  <c r="AK995" i="12"/>
  <c r="AL995" i="12"/>
  <c r="AM995" i="12"/>
  <c r="A996" i="12"/>
  <c r="DH996" i="12" s="1" a="1"/>
  <c r="B996" i="12"/>
  <c r="E996" i="12" s="1"/>
  <c r="C996" i="12"/>
  <c r="D996" i="12"/>
  <c r="A997" i="12"/>
  <c r="DH997" i="12" s="1" a="1"/>
  <c r="B997" i="12"/>
  <c r="C997" i="12"/>
  <c r="D997" i="12"/>
  <c r="A998" i="12"/>
  <c r="DH998" i="12" s="1" a="1"/>
  <c r="B998" i="12"/>
  <c r="E998" i="12" s="1"/>
  <c r="C998" i="12"/>
  <c r="D998" i="12"/>
  <c r="A999" i="12"/>
  <c r="DH999" i="12" s="1" a="1"/>
  <c r="B999" i="12"/>
  <c r="C999" i="12"/>
  <c r="D999" i="12"/>
  <c r="E999" i="12"/>
  <c r="P999" i="12"/>
  <c r="Q999" i="12"/>
  <c r="R999" i="12"/>
  <c r="S999" i="12"/>
  <c r="T999" i="12"/>
  <c r="U999" i="12"/>
  <c r="V999" i="12"/>
  <c r="W999" i="12"/>
  <c r="X999" i="12"/>
  <c r="Y999" i="12"/>
  <c r="Z999" i="12"/>
  <c r="AA999" i="12"/>
  <c r="AI999" i="12"/>
  <c r="AJ999" i="12"/>
  <c r="AK999" i="12"/>
  <c r="AL999" i="12"/>
  <c r="AM999" i="12"/>
  <c r="A1000" i="12"/>
  <c r="DH1000" i="12" s="1" a="1"/>
  <c r="B1000" i="12"/>
  <c r="C1000" i="12"/>
  <c r="D1000" i="12"/>
  <c r="E1000" i="12"/>
  <c r="Q1000" i="12" s="1"/>
  <c r="R1000" i="12"/>
  <c r="S1000" i="12"/>
  <c r="T1000" i="12"/>
  <c r="U1000" i="12"/>
  <c r="V1000" i="12"/>
  <c r="W1000" i="12"/>
  <c r="X1000" i="12"/>
  <c r="Y1000" i="12"/>
  <c r="Z1000" i="12"/>
  <c r="AA1000" i="12"/>
  <c r="AI1000" i="12"/>
  <c r="AJ1000" i="12"/>
  <c r="AK1000" i="12"/>
  <c r="AL1000" i="12"/>
  <c r="AM1000" i="12"/>
  <c r="A1001" i="12"/>
  <c r="DH1001" i="12" s="1" a="1"/>
  <c r="B1001" i="12"/>
  <c r="C1001" i="12"/>
  <c r="D1001" i="12"/>
  <c r="E1001" i="12"/>
  <c r="R1001" i="12" s="1"/>
  <c r="S1001" i="12"/>
  <c r="T1001" i="12"/>
  <c r="U1001" i="12"/>
  <c r="V1001" i="12"/>
  <c r="W1001" i="12"/>
  <c r="X1001" i="12"/>
  <c r="Y1001" i="12"/>
  <c r="Z1001" i="12"/>
  <c r="AA1001" i="12"/>
  <c r="AI1001" i="12"/>
  <c r="AJ1001" i="12"/>
  <c r="AK1001" i="12"/>
  <c r="AL1001" i="12"/>
  <c r="AM1001" i="12"/>
  <c r="A1002" i="12"/>
  <c r="DH1002" i="12" s="1" a="1"/>
  <c r="B1002" i="12"/>
  <c r="C1002" i="12"/>
  <c r="D1002" i="12"/>
  <c r="E1002" i="12"/>
  <c r="R1002" i="12"/>
  <c r="S1002" i="12"/>
  <c r="T1002" i="12"/>
  <c r="U1002" i="12"/>
  <c r="V1002" i="12"/>
  <c r="W1002" i="12"/>
  <c r="X1002" i="12"/>
  <c r="Y1002" i="12"/>
  <c r="Z1002" i="12"/>
  <c r="AA1002" i="12"/>
  <c r="AI1002" i="12"/>
  <c r="AJ1002" i="12"/>
  <c r="AK1002" i="12"/>
  <c r="AL1002" i="12"/>
  <c r="AM1002" i="12"/>
  <c r="A1003" i="12"/>
  <c r="DH1003" i="12" s="1" a="1"/>
  <c r="B1003" i="12"/>
  <c r="C1003" i="12"/>
  <c r="D1003" i="12"/>
  <c r="E1003" i="12"/>
  <c r="N1003" i="12"/>
  <c r="P1003" i="12"/>
  <c r="Q1003" i="12"/>
  <c r="R1003" i="12"/>
  <c r="S1003" i="12"/>
  <c r="T1003" i="12"/>
  <c r="U1003" i="12"/>
  <c r="V1003" i="12"/>
  <c r="W1003" i="12"/>
  <c r="X1003" i="12"/>
  <c r="Y1003" i="12"/>
  <c r="Z1003" i="12"/>
  <c r="AA1003" i="12"/>
  <c r="AI1003" i="12"/>
  <c r="AJ1003" i="12"/>
  <c r="AK1003" i="12"/>
  <c r="AL1003" i="12"/>
  <c r="AM1003" i="12"/>
  <c r="A1004" i="12"/>
  <c r="DH1004" i="12" s="1" a="1"/>
  <c r="B1004" i="12"/>
  <c r="C1004" i="12"/>
  <c r="D1004" i="12"/>
  <c r="A1005" i="12"/>
  <c r="DH1005" i="12" s="1" a="1"/>
  <c r="B1005" i="12"/>
  <c r="E1005" i="12" s="1"/>
  <c r="C1005" i="12"/>
  <c r="D1005" i="12"/>
  <c r="A1006" i="12"/>
  <c r="DH1006" i="12" s="1" a="1"/>
  <c r="B1006" i="12"/>
  <c r="E1006" i="12" s="1"/>
  <c r="C1006" i="12"/>
  <c r="D1006" i="12"/>
  <c r="A1007" i="12"/>
  <c r="DH1007" i="12" s="1" a="1"/>
  <c r="B1007" i="12"/>
  <c r="E1007" i="12" s="1"/>
  <c r="C1007" i="12"/>
  <c r="D1007" i="12"/>
  <c r="A1008" i="12"/>
  <c r="DH1008" i="12" s="1" a="1"/>
  <c r="B1008" i="12"/>
  <c r="C1008" i="12"/>
  <c r="D1008" i="12"/>
  <c r="E1008" i="12"/>
  <c r="V1008" i="12"/>
  <c r="W1008" i="12"/>
  <c r="X1008" i="12"/>
  <c r="Y1008" i="12"/>
  <c r="Z1008" i="12"/>
  <c r="AA1008" i="12"/>
  <c r="AI1008" i="12"/>
  <c r="AJ1008" i="12"/>
  <c r="AK1008" i="12"/>
  <c r="AL1008" i="12"/>
  <c r="AM1008" i="12"/>
  <c r="A981" i="12"/>
  <c r="DH981" i="12" s="1" a="1"/>
  <c r="B981" i="12"/>
  <c r="C981" i="12"/>
  <c r="D981" i="12"/>
  <c r="E981" i="12"/>
  <c r="W981" i="12" s="1"/>
  <c r="X981" i="12"/>
  <c r="Y981" i="12"/>
  <c r="Z981" i="12"/>
  <c r="AA981" i="12"/>
  <c r="AI981" i="12"/>
  <c r="AJ981" i="12"/>
  <c r="AK981" i="12"/>
  <c r="AL981" i="12"/>
  <c r="AM981" i="12"/>
  <c r="A982" i="12"/>
  <c r="DH982" i="12" s="1" a="1"/>
  <c r="B982" i="12"/>
  <c r="E982" i="12" s="1"/>
  <c r="C982" i="12"/>
  <c r="D982" i="12"/>
  <c r="A983" i="12"/>
  <c r="B983" i="12"/>
  <c r="C983" i="12"/>
  <c r="D983" i="12"/>
  <c r="A984" i="12"/>
  <c r="DH984" i="12" s="1" a="1"/>
  <c r="B984" i="12"/>
  <c r="E984" i="12" s="1"/>
  <c r="C984" i="12"/>
  <c r="D984" i="12"/>
  <c r="A985" i="12"/>
  <c r="DH985" i="12" s="1" a="1"/>
  <c r="B985" i="12"/>
  <c r="C985" i="12"/>
  <c r="D985" i="12"/>
  <c r="A986" i="12"/>
  <c r="DH986" i="12" s="1" a="1"/>
  <c r="B986" i="12"/>
  <c r="C986" i="12"/>
  <c r="D986" i="12"/>
  <c r="A987" i="12"/>
  <c r="DH987" i="12" s="1" a="1"/>
  <c r="B987" i="12"/>
  <c r="C987" i="12"/>
  <c r="D987" i="12"/>
  <c r="A988" i="12"/>
  <c r="DH988" i="12" s="1" a="1"/>
  <c r="B988" i="12"/>
  <c r="C988" i="12"/>
  <c r="D988" i="12"/>
  <c r="E988" i="12"/>
  <c r="U988" i="12" s="1"/>
  <c r="V988" i="12"/>
  <c r="W988" i="12"/>
  <c r="X988" i="12"/>
  <c r="Y988" i="12"/>
  <c r="Z988" i="12"/>
  <c r="AA988" i="12"/>
  <c r="AI988" i="12"/>
  <c r="AJ988" i="12"/>
  <c r="AK988" i="12"/>
  <c r="AL988" i="12"/>
  <c r="AM988" i="12"/>
  <c r="A989" i="12"/>
  <c r="DH989" i="12" s="1" a="1"/>
  <c r="B989" i="12"/>
  <c r="C989" i="12"/>
  <c r="D989" i="12"/>
  <c r="A990" i="12"/>
  <c r="DH990" i="12" s="1" a="1"/>
  <c r="B990" i="12"/>
  <c r="C990" i="12"/>
  <c r="D990" i="12"/>
  <c r="E990" i="12"/>
  <c r="M990" i="12" s="1"/>
  <c r="N990" i="12"/>
  <c r="O990" i="12"/>
  <c r="P990" i="12"/>
  <c r="Q990" i="12"/>
  <c r="R990" i="12"/>
  <c r="S990" i="12"/>
  <c r="T990" i="12"/>
  <c r="U990" i="12"/>
  <c r="V990" i="12"/>
  <c r="W990" i="12"/>
  <c r="X990" i="12"/>
  <c r="Y990" i="12"/>
  <c r="Z990" i="12"/>
  <c r="AA990" i="12"/>
  <c r="AI990" i="12"/>
  <c r="AJ990" i="12"/>
  <c r="AK990" i="12"/>
  <c r="AL990" i="12"/>
  <c r="AM990" i="12"/>
  <c r="A991" i="12"/>
  <c r="DH991" i="12" s="1" a="1"/>
  <c r="B991" i="12"/>
  <c r="C991" i="12"/>
  <c r="D991" i="12"/>
  <c r="A992" i="12"/>
  <c r="DH992" i="12" s="1" a="1"/>
  <c r="B992" i="12"/>
  <c r="E992" i="12" s="1"/>
  <c r="C992" i="12"/>
  <c r="D992" i="12"/>
  <c r="A993" i="12"/>
  <c r="DH993" i="12" s="1" a="1"/>
  <c r="B993" i="12"/>
  <c r="C993" i="12"/>
  <c r="D993" i="12"/>
  <c r="A994" i="12"/>
  <c r="B994" i="12"/>
  <c r="C994" i="12"/>
  <c r="D994" i="12"/>
  <c r="A967" i="12"/>
  <c r="DH967" i="12" s="1" a="1"/>
  <c r="B967" i="12"/>
  <c r="C967" i="12"/>
  <c r="D967" i="12"/>
  <c r="E967" i="12"/>
  <c r="Y967" i="12"/>
  <c r="Z967" i="12"/>
  <c r="AA967" i="12"/>
  <c r="AI967" i="12"/>
  <c r="AJ967" i="12"/>
  <c r="AK967" i="12"/>
  <c r="AL967" i="12"/>
  <c r="AM967" i="12"/>
  <c r="A968" i="12"/>
  <c r="DH968" i="12" s="1" a="1"/>
  <c r="B968" i="12"/>
  <c r="C968" i="12"/>
  <c r="D968" i="12"/>
  <c r="A969" i="12"/>
  <c r="B969" i="12"/>
  <c r="C969" i="12"/>
  <c r="D969" i="12"/>
  <c r="A970" i="12"/>
  <c r="B970" i="12"/>
  <c r="C970" i="12"/>
  <c r="D970" i="12"/>
  <c r="A971" i="12"/>
  <c r="DH971" i="12" s="1" a="1"/>
  <c r="B971" i="12"/>
  <c r="C971" i="12"/>
  <c r="D971" i="12"/>
  <c r="A972" i="12"/>
  <c r="DH972" i="12" s="1" a="1"/>
  <c r="B972" i="12"/>
  <c r="C972" i="12"/>
  <c r="D972" i="12"/>
  <c r="A973" i="12"/>
  <c r="DH973" i="12" s="1" a="1"/>
  <c r="B973" i="12"/>
  <c r="C973" i="12"/>
  <c r="D973" i="12"/>
  <c r="A974" i="12"/>
  <c r="DH974" i="12" s="1" a="1"/>
  <c r="B974" i="12"/>
  <c r="C974" i="12"/>
  <c r="D974" i="12"/>
  <c r="A975" i="12"/>
  <c r="DH975" i="12" s="1" a="1"/>
  <c r="B975" i="12"/>
  <c r="E975" i="12" s="1"/>
  <c r="C975" i="12"/>
  <c r="D975" i="12"/>
  <c r="A976" i="12"/>
  <c r="DH976" i="12" s="1" a="1"/>
  <c r="B976" i="12"/>
  <c r="E976" i="12" s="1"/>
  <c r="C976" i="12"/>
  <c r="D976" i="12"/>
  <c r="A977" i="12"/>
  <c r="DH977" i="12" s="1" a="1"/>
  <c r="B977" i="12"/>
  <c r="C977" i="12"/>
  <c r="D977" i="12"/>
  <c r="A978" i="12"/>
  <c r="DH978" i="12" s="1" a="1"/>
  <c r="B978" i="12"/>
  <c r="C978" i="12"/>
  <c r="D978" i="12"/>
  <c r="E978" i="12"/>
  <c r="V978" i="12"/>
  <c r="W978" i="12"/>
  <c r="X978" i="12"/>
  <c r="Y978" i="12"/>
  <c r="Z978" i="12"/>
  <c r="AA978" i="12"/>
  <c r="AI978" i="12"/>
  <c r="AJ978" i="12"/>
  <c r="AK978" i="12"/>
  <c r="AL978" i="12"/>
  <c r="AM978" i="12"/>
  <c r="A979" i="12"/>
  <c r="DH979" i="12" s="1" a="1"/>
  <c r="B979" i="12"/>
  <c r="E979" i="12" s="1"/>
  <c r="C979" i="12"/>
  <c r="D979" i="12"/>
  <c r="A980" i="12"/>
  <c r="DH980" i="12" s="1" a="1"/>
  <c r="B980" i="12"/>
  <c r="C980" i="12"/>
  <c r="D980" i="12"/>
  <c r="E980" i="12"/>
  <c r="Q980" i="12" s="1"/>
  <c r="R980" i="12"/>
  <c r="S980" i="12"/>
  <c r="T980" i="12"/>
  <c r="U980" i="12"/>
  <c r="V980" i="12"/>
  <c r="W980" i="12"/>
  <c r="X980" i="12"/>
  <c r="Y980" i="12"/>
  <c r="Z980" i="12"/>
  <c r="AA980" i="12"/>
  <c r="AI980" i="12"/>
  <c r="AJ980" i="12"/>
  <c r="AK980" i="12"/>
  <c r="AL980" i="12"/>
  <c r="AM980" i="12"/>
  <c r="A953" i="12"/>
  <c r="DH953" i="12" s="1" a="1"/>
  <c r="B953" i="12"/>
  <c r="C953" i="12"/>
  <c r="D953" i="12"/>
  <c r="E953" i="12"/>
  <c r="AM953" i="12"/>
  <c r="A954" i="12"/>
  <c r="DH954" i="12" s="1" a="1"/>
  <c r="B954" i="12"/>
  <c r="C954" i="12"/>
  <c r="D954" i="12"/>
  <c r="A955" i="12"/>
  <c r="B955" i="12"/>
  <c r="C955" i="12"/>
  <c r="D955" i="12"/>
  <c r="A956" i="12"/>
  <c r="DH956" i="12" s="1" a="1"/>
  <c r="B956" i="12"/>
  <c r="C956" i="12"/>
  <c r="D956" i="12"/>
  <c r="A957" i="12"/>
  <c r="DH957" i="12" s="1" a="1"/>
  <c r="B957" i="12"/>
  <c r="C957" i="12"/>
  <c r="D957" i="12"/>
  <c r="A958" i="12"/>
  <c r="DH958" i="12" s="1" a="1"/>
  <c r="B958" i="12"/>
  <c r="C958" i="12"/>
  <c r="D958" i="12"/>
  <c r="E958" i="12"/>
  <c r="P958" i="12"/>
  <c r="Q958" i="12"/>
  <c r="R958" i="12"/>
  <c r="S958" i="12"/>
  <c r="T958" i="12"/>
  <c r="U958" i="12"/>
  <c r="V958" i="12"/>
  <c r="W958" i="12"/>
  <c r="X958" i="12"/>
  <c r="Y958" i="12"/>
  <c r="Z958" i="12"/>
  <c r="AA958" i="12"/>
  <c r="AI958" i="12"/>
  <c r="AJ958" i="12"/>
  <c r="AK958" i="12"/>
  <c r="AL958" i="12"/>
  <c r="AM958" i="12"/>
  <c r="A959" i="12"/>
  <c r="B959" i="12"/>
  <c r="C959" i="12"/>
  <c r="D959" i="12"/>
  <c r="A960" i="12"/>
  <c r="B960" i="12"/>
  <c r="C960" i="12"/>
  <c r="D960" i="12"/>
  <c r="A961" i="12"/>
  <c r="DH961" i="12" s="1" a="1"/>
  <c r="B961" i="12"/>
  <c r="C961" i="12"/>
  <c r="D961" i="12"/>
  <c r="E961" i="12"/>
  <c r="V961" i="12"/>
  <c r="X961" i="12"/>
  <c r="Y961" i="12"/>
  <c r="Z961" i="12"/>
  <c r="AA961" i="12"/>
  <c r="AI961" i="12"/>
  <c r="AJ961" i="12"/>
  <c r="AK961" i="12"/>
  <c r="AL961" i="12"/>
  <c r="AM961" i="12"/>
  <c r="A962" i="12"/>
  <c r="DH962" i="12" s="1" a="1"/>
  <c r="B962" i="12"/>
  <c r="E962" i="12" s="1"/>
  <c r="C962" i="12"/>
  <c r="D962" i="12"/>
  <c r="A963" i="12"/>
  <c r="DH963" i="12" s="1" a="1"/>
  <c r="B963" i="12"/>
  <c r="C963" i="12"/>
  <c r="D963" i="12"/>
  <c r="E963" i="12"/>
  <c r="AA963" i="12"/>
  <c r="AI963" i="12"/>
  <c r="AJ963" i="12"/>
  <c r="AK963" i="12"/>
  <c r="AL963" i="12"/>
  <c r="AM963" i="12"/>
  <c r="A964" i="12"/>
  <c r="DH964" i="12" s="1" a="1"/>
  <c r="B964" i="12"/>
  <c r="C964" i="12"/>
  <c r="D964" i="12"/>
  <c r="A965" i="12"/>
  <c r="DH965" i="12" s="1" a="1"/>
  <c r="B965" i="12"/>
  <c r="C965" i="12"/>
  <c r="D965" i="12"/>
  <c r="A966" i="12"/>
  <c r="DH966" i="12" s="1" a="1"/>
  <c r="B966" i="12"/>
  <c r="C966" i="12"/>
  <c r="D966" i="12"/>
  <c r="A939" i="12"/>
  <c r="DH939" i="12" s="1" a="1"/>
  <c r="B939" i="12"/>
  <c r="C939" i="12"/>
  <c r="D939" i="12"/>
  <c r="E939" i="12"/>
  <c r="A940" i="12"/>
  <c r="DH940" i="12" s="1" a="1"/>
  <c r="B940" i="12"/>
  <c r="C940" i="12"/>
  <c r="D940" i="12"/>
  <c r="A941" i="12"/>
  <c r="DH941" i="12" s="1" a="1"/>
  <c r="B941" i="12"/>
  <c r="C941" i="12"/>
  <c r="D941" i="12"/>
  <c r="A942" i="12"/>
  <c r="B942" i="12"/>
  <c r="C942" i="12"/>
  <c r="D942" i="12"/>
  <c r="A943" i="12"/>
  <c r="DH943" i="12" s="1" a="1"/>
  <c r="B943" i="12"/>
  <c r="C943" i="12"/>
  <c r="D943" i="12"/>
  <c r="A944" i="12"/>
  <c r="DH944" i="12" s="1" a="1"/>
  <c r="B944" i="12"/>
  <c r="E944" i="12" s="1"/>
  <c r="C944" i="12"/>
  <c r="D944" i="12"/>
  <c r="A945" i="12"/>
  <c r="DH945" i="12" s="1" a="1"/>
  <c r="B945" i="12"/>
  <c r="C945" i="12"/>
  <c r="D945" i="12"/>
  <c r="A946" i="12"/>
  <c r="DH946" i="12" s="1" a="1"/>
  <c r="B946" i="12"/>
  <c r="E946" i="12" s="1"/>
  <c r="C946" i="12"/>
  <c r="D946" i="12"/>
  <c r="A947" i="12"/>
  <c r="DH947" i="12" s="1" a="1"/>
  <c r="B947" i="12"/>
  <c r="C947" i="12"/>
  <c r="D947" i="12"/>
  <c r="A948" i="12"/>
  <c r="DH948" i="12" s="1" a="1"/>
  <c r="B948" i="12"/>
  <c r="C948" i="12"/>
  <c r="D948" i="12"/>
  <c r="A949" i="12"/>
  <c r="DH949" i="12" s="1" a="1"/>
  <c r="B949" i="12"/>
  <c r="C949" i="12"/>
  <c r="D949" i="12"/>
  <c r="A950" i="12"/>
  <c r="DH950" i="12" s="1" a="1"/>
  <c r="B950" i="12"/>
  <c r="E950" i="12" s="1"/>
  <c r="C950" i="12"/>
  <c r="D950" i="12"/>
  <c r="A951" i="12"/>
  <c r="DH951" i="12" s="1" a="1"/>
  <c r="B951" i="12"/>
  <c r="E951" i="12" s="1"/>
  <c r="C951" i="12"/>
  <c r="D951" i="12"/>
  <c r="A952" i="12"/>
  <c r="DH952" i="12" s="1" a="1"/>
  <c r="B952" i="12"/>
  <c r="C952" i="12"/>
  <c r="D952" i="12"/>
  <c r="A925" i="12"/>
  <c r="DH925" i="12" s="1" a="1"/>
  <c r="B925" i="12"/>
  <c r="C925" i="12"/>
  <c r="D925" i="12"/>
  <c r="E925" i="12"/>
  <c r="AA925" i="12"/>
  <c r="AI925" i="12"/>
  <c r="AJ925" i="12"/>
  <c r="AK925" i="12"/>
  <c r="AL925" i="12"/>
  <c r="AM925" i="12"/>
  <c r="A926" i="12"/>
  <c r="DH926" i="12" s="1" a="1"/>
  <c r="B926" i="12"/>
  <c r="C926" i="12"/>
  <c r="D926" i="12"/>
  <c r="A927" i="12"/>
  <c r="DH927" i="12" s="1" a="1"/>
  <c r="B927" i="12"/>
  <c r="E927" i="12" s="1"/>
  <c r="C927" i="12"/>
  <c r="D927" i="12"/>
  <c r="A928" i="12"/>
  <c r="DH928" i="12" s="1" a="1"/>
  <c r="B928" i="12"/>
  <c r="E928" i="12" s="1"/>
  <c r="C928" i="12"/>
  <c r="D928" i="12"/>
  <c r="A929" i="12"/>
  <c r="DH929" i="12" s="1" a="1"/>
  <c r="B929" i="12"/>
  <c r="C929" i="12"/>
  <c r="D929" i="12"/>
  <c r="A930" i="12"/>
  <c r="DH930" i="12" s="1" a="1"/>
  <c r="B930" i="12"/>
  <c r="C930" i="12"/>
  <c r="D930" i="12"/>
  <c r="A931" i="12"/>
  <c r="DH931" i="12" s="1" a="1"/>
  <c r="B931" i="12"/>
  <c r="E931" i="12" s="1"/>
  <c r="C931" i="12"/>
  <c r="D931" i="12"/>
  <c r="A932" i="12"/>
  <c r="DH932" i="12" s="1" a="1"/>
  <c r="B932" i="12"/>
  <c r="C932" i="12"/>
  <c r="D932" i="12"/>
  <c r="A933" i="12"/>
  <c r="DH933" i="12" s="1" a="1"/>
  <c r="B933" i="12"/>
  <c r="E933" i="12" s="1"/>
  <c r="C933" i="12"/>
  <c r="D933" i="12"/>
  <c r="A934" i="12"/>
  <c r="DH934" i="12" s="1" a="1"/>
  <c r="B934" i="12"/>
  <c r="C934" i="12"/>
  <c r="D934" i="12"/>
  <c r="A935" i="12"/>
  <c r="DH935" i="12" s="1" a="1"/>
  <c r="B935" i="12"/>
  <c r="C935" i="12"/>
  <c r="D935" i="12"/>
  <c r="A936" i="12"/>
  <c r="DH936" i="12" s="1" a="1"/>
  <c r="B936" i="12"/>
  <c r="C936" i="12"/>
  <c r="D936" i="12"/>
  <c r="A937" i="12"/>
  <c r="DH937" i="12" s="1" a="1"/>
  <c r="B937" i="12"/>
  <c r="C937" i="12"/>
  <c r="D937" i="12"/>
  <c r="E937" i="12"/>
  <c r="Q937" i="12"/>
  <c r="R937" i="12"/>
  <c r="S937" i="12"/>
  <c r="T937" i="12"/>
  <c r="U937" i="12"/>
  <c r="V937" i="12"/>
  <c r="W937" i="12"/>
  <c r="X937" i="12"/>
  <c r="Y937" i="12"/>
  <c r="Z937" i="12"/>
  <c r="AA937" i="12"/>
  <c r="AI937" i="12"/>
  <c r="AJ937" i="12"/>
  <c r="AK937" i="12"/>
  <c r="AL937" i="12"/>
  <c r="AM937" i="12"/>
  <c r="A938" i="12"/>
  <c r="DH938" i="12" s="1" a="1"/>
  <c r="B938" i="12"/>
  <c r="C938" i="12"/>
  <c r="D938" i="12"/>
  <c r="E938" i="12"/>
  <c r="V938" i="12"/>
  <c r="X938" i="12"/>
  <c r="Y938" i="12"/>
  <c r="Z938" i="12"/>
  <c r="AA938" i="12"/>
  <c r="AI938" i="12"/>
  <c r="AJ938" i="12"/>
  <c r="AK938" i="12"/>
  <c r="AL938" i="12"/>
  <c r="AM938" i="12"/>
  <c r="A911" i="12"/>
  <c r="DH911" i="12" s="1" a="1"/>
  <c r="B911" i="12"/>
  <c r="E911" i="12" s="1"/>
  <c r="C911" i="12"/>
  <c r="D911" i="12"/>
  <c r="A912" i="12"/>
  <c r="DH912" i="12" s="1" a="1"/>
  <c r="B912" i="12"/>
  <c r="C912" i="12"/>
  <c r="D912" i="12"/>
  <c r="A913" i="12"/>
  <c r="DH913" i="12" s="1" a="1"/>
  <c r="B913" i="12"/>
  <c r="C913" i="12"/>
  <c r="D913" i="12"/>
  <c r="A914" i="12"/>
  <c r="DH914" i="12" s="1" a="1"/>
  <c r="B914" i="12"/>
  <c r="C914" i="12"/>
  <c r="D914" i="12"/>
  <c r="A915" i="12"/>
  <c r="DH915" i="12" s="1" a="1"/>
  <c r="B915" i="12"/>
  <c r="C915" i="12"/>
  <c r="D915" i="12"/>
  <c r="E915" i="12"/>
  <c r="P915" i="12"/>
  <c r="Q915" i="12"/>
  <c r="R915" i="12"/>
  <c r="S915" i="12"/>
  <c r="T915" i="12"/>
  <c r="U915" i="12"/>
  <c r="V915" i="12"/>
  <c r="W915" i="12"/>
  <c r="X915" i="12"/>
  <c r="Y915" i="12"/>
  <c r="Z915" i="12"/>
  <c r="AA915" i="12"/>
  <c r="AI915" i="12"/>
  <c r="AJ915" i="12"/>
  <c r="AK915" i="12"/>
  <c r="AL915" i="12"/>
  <c r="AM915" i="12"/>
  <c r="A916" i="12"/>
  <c r="DH916" i="12" s="1" a="1"/>
  <c r="B916" i="12"/>
  <c r="C916" i="12"/>
  <c r="D916" i="12"/>
  <c r="A917" i="12"/>
  <c r="DH917" i="12" s="1" a="1"/>
  <c r="B917" i="12"/>
  <c r="E917" i="12" s="1"/>
  <c r="C917" i="12"/>
  <c r="D917" i="12"/>
  <c r="A918" i="12"/>
  <c r="DH918" i="12" s="1" a="1"/>
  <c r="B918" i="12"/>
  <c r="C918" i="12"/>
  <c r="D918" i="12"/>
  <c r="A919" i="12"/>
  <c r="DH919" i="12" s="1" a="1"/>
  <c r="B919" i="12"/>
  <c r="C919" i="12"/>
  <c r="D919" i="12"/>
  <c r="A920" i="12"/>
  <c r="B920" i="12"/>
  <c r="C920" i="12"/>
  <c r="D920" i="12"/>
  <c r="A921" i="12"/>
  <c r="DH921" i="12" s="1" a="1"/>
  <c r="B921" i="12"/>
  <c r="C921" i="12"/>
  <c r="D921" i="12"/>
  <c r="A922" i="12"/>
  <c r="DH922" i="12" s="1" a="1"/>
  <c r="B922" i="12"/>
  <c r="C922" i="12"/>
  <c r="D922" i="12"/>
  <c r="E922" i="12"/>
  <c r="V922" i="12"/>
  <c r="W922" i="12"/>
  <c r="X922" i="12"/>
  <c r="Y922" i="12"/>
  <c r="Z922" i="12"/>
  <c r="AA922" i="12"/>
  <c r="AI922" i="12"/>
  <c r="AJ922" i="12"/>
  <c r="AK922" i="12"/>
  <c r="AL922" i="12"/>
  <c r="AM922" i="12"/>
  <c r="A923" i="12"/>
  <c r="DH923" i="12" s="1" a="1"/>
  <c r="B923" i="12"/>
  <c r="C923" i="12"/>
  <c r="D923" i="12"/>
  <c r="E923" i="12"/>
  <c r="Q923" i="12"/>
  <c r="R923" i="12"/>
  <c r="S923" i="12"/>
  <c r="T923" i="12"/>
  <c r="U923" i="12"/>
  <c r="V923" i="12"/>
  <c r="W923" i="12"/>
  <c r="X923" i="12"/>
  <c r="Y923" i="12"/>
  <c r="Z923" i="12"/>
  <c r="AA923" i="12"/>
  <c r="AI923" i="12"/>
  <c r="AJ923" i="12"/>
  <c r="AK923" i="12"/>
  <c r="AL923" i="12"/>
  <c r="AM923" i="12"/>
  <c r="A924" i="12"/>
  <c r="DH924" i="12" s="1" a="1"/>
  <c r="B924" i="12"/>
  <c r="E924" i="12" s="1"/>
  <c r="C924" i="12"/>
  <c r="D924" i="12"/>
  <c r="A897" i="12"/>
  <c r="DH897" i="12" s="1" a="1"/>
  <c r="B897" i="12"/>
  <c r="C897" i="12"/>
  <c r="D897" i="12"/>
  <c r="A898" i="12"/>
  <c r="DH898" i="12" s="1" a="1"/>
  <c r="B898" i="12"/>
  <c r="C898" i="12"/>
  <c r="D898" i="12"/>
  <c r="A899" i="12"/>
  <c r="DH899" i="12" s="1" a="1"/>
  <c r="B899" i="12"/>
  <c r="C899" i="12"/>
  <c r="D899" i="12"/>
  <c r="A900" i="12"/>
  <c r="DH900" i="12" s="1" a="1"/>
  <c r="B900" i="12"/>
  <c r="C900" i="12"/>
  <c r="D900" i="12"/>
  <c r="A901" i="12"/>
  <c r="DH901" i="12" s="1" a="1"/>
  <c r="B901" i="12"/>
  <c r="C901" i="12"/>
  <c r="D901" i="12"/>
  <c r="A902" i="12"/>
  <c r="DH902" i="12" s="1" a="1"/>
  <c r="B902" i="12"/>
  <c r="E902" i="12" s="1"/>
  <c r="C902" i="12"/>
  <c r="D902" i="12"/>
  <c r="A903" i="12"/>
  <c r="DH903" i="12" s="1" a="1"/>
  <c r="B903" i="12"/>
  <c r="E903" i="12" s="1"/>
  <c r="C903" i="12"/>
  <c r="D903" i="12"/>
  <c r="A904" i="12"/>
  <c r="DH904" i="12" s="1" a="1"/>
  <c r="B904" i="12"/>
  <c r="C904" i="12"/>
  <c r="D904" i="12"/>
  <c r="E904" i="12"/>
  <c r="K904" i="12"/>
  <c r="M904" i="12"/>
  <c r="N904" i="12"/>
  <c r="O904" i="12"/>
  <c r="P904" i="12"/>
  <c r="Q904" i="12"/>
  <c r="R904" i="12"/>
  <c r="S904" i="12"/>
  <c r="T904" i="12"/>
  <c r="U904" i="12"/>
  <c r="V904" i="12"/>
  <c r="W904" i="12"/>
  <c r="X904" i="12"/>
  <c r="Y904" i="12"/>
  <c r="Z904" i="12"/>
  <c r="AA904" i="12"/>
  <c r="AI904" i="12"/>
  <c r="AJ904" i="12"/>
  <c r="AK904" i="12"/>
  <c r="AL904" i="12"/>
  <c r="AM904" i="12"/>
  <c r="A905" i="12"/>
  <c r="DH905" i="12" s="1" a="1"/>
  <c r="B905" i="12"/>
  <c r="C905" i="12"/>
  <c r="D905" i="12"/>
  <c r="E905" i="12"/>
  <c r="N905" i="12"/>
  <c r="O905" i="12"/>
  <c r="P905" i="12"/>
  <c r="Q905" i="12"/>
  <c r="R905" i="12"/>
  <c r="S905" i="12"/>
  <c r="T905" i="12"/>
  <c r="U905" i="12"/>
  <c r="V905" i="12"/>
  <c r="W905" i="12"/>
  <c r="X905" i="12"/>
  <c r="Y905" i="12"/>
  <c r="Z905" i="12"/>
  <c r="AA905" i="12"/>
  <c r="AI905" i="12"/>
  <c r="AJ905" i="12"/>
  <c r="AK905" i="12"/>
  <c r="AL905" i="12"/>
  <c r="AM905" i="12"/>
  <c r="A906" i="12"/>
  <c r="B906" i="12"/>
  <c r="C906" i="12"/>
  <c r="D906" i="12"/>
  <c r="A907" i="12"/>
  <c r="DH907" i="12" s="1" a="1"/>
  <c r="B907" i="12"/>
  <c r="C907" i="12"/>
  <c r="D907" i="12"/>
  <c r="A908" i="12"/>
  <c r="DH908" i="12" s="1" a="1"/>
  <c r="B908" i="12"/>
  <c r="C908" i="12"/>
  <c r="D908" i="12"/>
  <c r="A909" i="12"/>
  <c r="DH909" i="12" s="1" a="1"/>
  <c r="B909" i="12"/>
  <c r="E909" i="12" s="1"/>
  <c r="C909" i="12"/>
  <c r="D909" i="12"/>
  <c r="A910" i="12"/>
  <c r="DH910" i="12" s="1" a="1"/>
  <c r="B910" i="12"/>
  <c r="E910" i="12" s="1"/>
  <c r="C910" i="12"/>
  <c r="D910" i="12"/>
  <c r="A883" i="12"/>
  <c r="DH883" i="12" s="1" a="1"/>
  <c r="B883" i="12"/>
  <c r="C883" i="12"/>
  <c r="D883" i="12"/>
  <c r="E883" i="12"/>
  <c r="T883" i="12"/>
  <c r="U883" i="12"/>
  <c r="V883" i="12"/>
  <c r="W883" i="12"/>
  <c r="X883" i="12"/>
  <c r="Y883" i="12"/>
  <c r="Z883" i="12"/>
  <c r="AA883" i="12"/>
  <c r="AI883" i="12"/>
  <c r="AJ883" i="12"/>
  <c r="AK883" i="12"/>
  <c r="AL883" i="12"/>
  <c r="AM883" i="12"/>
  <c r="A884" i="12"/>
  <c r="DH884" i="12" s="1" a="1"/>
  <c r="B884" i="12"/>
  <c r="C884" i="12"/>
  <c r="D884" i="12"/>
  <c r="A885" i="12"/>
  <c r="DH885" i="12" s="1" a="1"/>
  <c r="B885" i="12"/>
  <c r="C885" i="12"/>
  <c r="D885" i="12"/>
  <c r="A886" i="12"/>
  <c r="DH886" i="12" s="1" a="1"/>
  <c r="B886" i="12"/>
  <c r="E886" i="12" s="1"/>
  <c r="C886" i="12"/>
  <c r="D886" i="12"/>
  <c r="A887" i="12"/>
  <c r="DH887" i="12" s="1" a="1"/>
  <c r="B887" i="12"/>
  <c r="E887" i="12" s="1"/>
  <c r="C887" i="12"/>
  <c r="D887" i="12"/>
  <c r="A888" i="12"/>
  <c r="DH888" i="12" s="1" a="1"/>
  <c r="B888" i="12"/>
  <c r="C888" i="12"/>
  <c r="D888" i="12"/>
  <c r="E888" i="12"/>
  <c r="J888" i="12" s="1"/>
  <c r="A889" i="12"/>
  <c r="B889" i="12"/>
  <c r="C889" i="12"/>
  <c r="D889" i="12"/>
  <c r="A890" i="12"/>
  <c r="B890" i="12"/>
  <c r="C890" i="12"/>
  <c r="D890" i="12"/>
  <c r="A891" i="12"/>
  <c r="B891" i="12"/>
  <c r="C891" i="12"/>
  <c r="D891" i="12"/>
  <c r="A892" i="12"/>
  <c r="DH892" i="12" s="1" a="1"/>
  <c r="B892" i="12"/>
  <c r="C892" i="12"/>
  <c r="D892" i="12"/>
  <c r="E892" i="12"/>
  <c r="R892" i="12"/>
  <c r="S892" i="12"/>
  <c r="T892" i="12"/>
  <c r="U892" i="12"/>
  <c r="V892" i="12"/>
  <c r="W892" i="12"/>
  <c r="X892" i="12"/>
  <c r="Y892" i="12"/>
  <c r="Z892" i="12"/>
  <c r="AA892" i="12"/>
  <c r="AI892" i="12"/>
  <c r="AJ892" i="12"/>
  <c r="AK892" i="12"/>
  <c r="AL892" i="12"/>
  <c r="AM892" i="12"/>
  <c r="A893" i="12"/>
  <c r="DH893" i="12" s="1" a="1"/>
  <c r="B893" i="12"/>
  <c r="C893" i="12"/>
  <c r="D893" i="12"/>
  <c r="E893" i="12"/>
  <c r="P893" i="12" s="1"/>
  <c r="Q893" i="12"/>
  <c r="R893" i="12"/>
  <c r="S893" i="12"/>
  <c r="T893" i="12"/>
  <c r="U893" i="12"/>
  <c r="V893" i="12"/>
  <c r="W893" i="12"/>
  <c r="X893" i="12"/>
  <c r="Y893" i="12"/>
  <c r="Z893" i="12"/>
  <c r="AA893" i="12"/>
  <c r="AI893" i="12"/>
  <c r="AJ893" i="12"/>
  <c r="AK893" i="12"/>
  <c r="AL893" i="12"/>
  <c r="AM893" i="12"/>
  <c r="A894" i="12"/>
  <c r="B894" i="12"/>
  <c r="C894" i="12"/>
  <c r="D894" i="12"/>
  <c r="A895" i="12"/>
  <c r="DH895" i="12" s="1" a="1"/>
  <c r="B895" i="12"/>
  <c r="E895" i="12" s="1"/>
  <c r="C895" i="12"/>
  <c r="D895" i="12"/>
  <c r="A896" i="12"/>
  <c r="DH896" i="12" s="1" a="1"/>
  <c r="B896" i="12"/>
  <c r="C896" i="12"/>
  <c r="D896" i="12"/>
  <c r="E896" i="12"/>
  <c r="K896" i="12"/>
  <c r="M896" i="12"/>
  <c r="N896" i="12"/>
  <c r="O896" i="12"/>
  <c r="P896" i="12"/>
  <c r="Q896" i="12"/>
  <c r="R896" i="12"/>
  <c r="S896" i="12"/>
  <c r="T896" i="12"/>
  <c r="U896" i="12"/>
  <c r="V896" i="12"/>
  <c r="W896" i="12"/>
  <c r="X896" i="12"/>
  <c r="Y896" i="12"/>
  <c r="Z896" i="12"/>
  <c r="AA896" i="12"/>
  <c r="AI896" i="12"/>
  <c r="AJ896" i="12"/>
  <c r="AK896" i="12"/>
  <c r="AL896" i="12"/>
  <c r="AM896" i="12"/>
  <c r="A869" i="12"/>
  <c r="DH869" i="12" s="1" a="1"/>
  <c r="B869" i="12"/>
  <c r="C869" i="12"/>
  <c r="D869" i="12"/>
  <c r="E869" i="12"/>
  <c r="T869" i="12"/>
  <c r="U869" i="12"/>
  <c r="V869" i="12"/>
  <c r="W869" i="12"/>
  <c r="X869" i="12"/>
  <c r="Y869" i="12"/>
  <c r="Z869" i="12"/>
  <c r="AA869" i="12"/>
  <c r="AI869" i="12"/>
  <c r="AJ869" i="12"/>
  <c r="AK869" i="12"/>
  <c r="AL869" i="12"/>
  <c r="AM869" i="12"/>
  <c r="A870" i="12"/>
  <c r="B870" i="12"/>
  <c r="C870" i="12"/>
  <c r="D870" i="12"/>
  <c r="A871" i="12"/>
  <c r="DH871" i="12" s="1" a="1"/>
  <c r="B871" i="12"/>
  <c r="E871" i="12" s="1"/>
  <c r="C871" i="12"/>
  <c r="D871" i="12"/>
  <c r="A872" i="12"/>
  <c r="DH872" i="12" s="1" a="1"/>
  <c r="B872" i="12"/>
  <c r="E872" i="12" s="1"/>
  <c r="C872" i="12"/>
  <c r="D872" i="12"/>
  <c r="A873" i="12"/>
  <c r="B873" i="12"/>
  <c r="C873" i="12"/>
  <c r="D873" i="12"/>
  <c r="A874" i="12"/>
  <c r="B874" i="12"/>
  <c r="C874" i="12"/>
  <c r="D874" i="12"/>
  <c r="A875" i="12"/>
  <c r="DH875" i="12" s="1" a="1"/>
  <c r="B875" i="12"/>
  <c r="C875" i="12"/>
  <c r="D875" i="12"/>
  <c r="A876" i="12"/>
  <c r="DH876" i="12" s="1" a="1"/>
  <c r="B876" i="12"/>
  <c r="E876" i="12" s="1"/>
  <c r="C876" i="12"/>
  <c r="D876" i="12"/>
  <c r="A877" i="12"/>
  <c r="DH877" i="12" s="1" a="1"/>
  <c r="B877" i="12"/>
  <c r="C877" i="12"/>
  <c r="D877" i="12"/>
  <c r="A878" i="12"/>
  <c r="DH878" i="12" s="1" a="1"/>
  <c r="B878" i="12"/>
  <c r="C878" i="12"/>
  <c r="D878" i="12"/>
  <c r="E878" i="12"/>
  <c r="M878" i="12"/>
  <c r="N878" i="12"/>
  <c r="O878" i="12"/>
  <c r="P878" i="12"/>
  <c r="Q878" i="12"/>
  <c r="R878" i="12"/>
  <c r="S878" i="12"/>
  <c r="T878" i="12"/>
  <c r="U878" i="12"/>
  <c r="V878" i="12"/>
  <c r="W878" i="12"/>
  <c r="X878" i="12"/>
  <c r="Y878" i="12"/>
  <c r="Z878" i="12"/>
  <c r="AA878" i="12"/>
  <c r="AI878" i="12"/>
  <c r="AJ878" i="12"/>
  <c r="AK878" i="12"/>
  <c r="AL878" i="12"/>
  <c r="AM878" i="12"/>
  <c r="A879" i="12"/>
  <c r="DH879" i="12" s="1" a="1"/>
  <c r="B879" i="12"/>
  <c r="C879" i="12"/>
  <c r="D879" i="12"/>
  <c r="E879" i="12"/>
  <c r="S879" i="12"/>
  <c r="T879" i="12"/>
  <c r="U879" i="12"/>
  <c r="V879" i="12"/>
  <c r="W879" i="12"/>
  <c r="X879" i="12"/>
  <c r="Y879" i="12"/>
  <c r="Z879" i="12"/>
  <c r="AA879" i="12"/>
  <c r="AI879" i="12"/>
  <c r="AJ879" i="12"/>
  <c r="AK879" i="12"/>
  <c r="AL879" i="12"/>
  <c r="AM879" i="12"/>
  <c r="A880" i="12"/>
  <c r="B880" i="12"/>
  <c r="C880" i="12"/>
  <c r="D880" i="12"/>
  <c r="A881" i="12"/>
  <c r="B881" i="12"/>
  <c r="C881" i="12"/>
  <c r="D881" i="12"/>
  <c r="A882" i="12"/>
  <c r="DH882" i="12" s="1" a="1"/>
  <c r="B882" i="12"/>
  <c r="E882" i="12" s="1"/>
  <c r="C882" i="12"/>
  <c r="D882" i="12"/>
  <c r="A855" i="12"/>
  <c r="DH855" i="12" s="1" a="1"/>
  <c r="B855" i="12"/>
  <c r="C855" i="12"/>
  <c r="D855" i="12"/>
  <c r="E855" i="12"/>
  <c r="AM855" i="12"/>
  <c r="A856" i="12"/>
  <c r="B856" i="12"/>
  <c r="C856" i="12"/>
  <c r="D856" i="12"/>
  <c r="A857" i="12"/>
  <c r="B857" i="12"/>
  <c r="C857" i="12"/>
  <c r="D857" i="12"/>
  <c r="A858" i="12"/>
  <c r="B858" i="12"/>
  <c r="C858" i="12"/>
  <c r="D858" i="12"/>
  <c r="A859" i="12"/>
  <c r="DH859" i="12" s="1" a="1"/>
  <c r="B859" i="12"/>
  <c r="E859" i="12" s="1"/>
  <c r="C859" i="12"/>
  <c r="D859" i="12"/>
  <c r="A860" i="12"/>
  <c r="DH860" i="12" s="1" a="1"/>
  <c r="B860" i="12"/>
  <c r="C860" i="12"/>
  <c r="D860" i="12"/>
  <c r="E860" i="12"/>
  <c r="U860" i="12"/>
  <c r="V860" i="12"/>
  <c r="W860" i="12"/>
  <c r="X860" i="12"/>
  <c r="Y860" i="12"/>
  <c r="Z860" i="12"/>
  <c r="AA860" i="12"/>
  <c r="AI860" i="12"/>
  <c r="AJ860" i="12"/>
  <c r="AK860" i="12"/>
  <c r="AL860" i="12"/>
  <c r="AM860" i="12"/>
  <c r="A861" i="12"/>
  <c r="B861" i="12"/>
  <c r="C861" i="12"/>
  <c r="D861" i="12"/>
  <c r="A862" i="12"/>
  <c r="B862" i="12"/>
  <c r="C862" i="12"/>
  <c r="D862" i="12"/>
  <c r="A863" i="12"/>
  <c r="B863" i="12"/>
  <c r="C863" i="12"/>
  <c r="D863" i="12"/>
  <c r="A864" i="12"/>
  <c r="B864" i="12"/>
  <c r="C864" i="12"/>
  <c r="D864" i="12"/>
  <c r="A865" i="12"/>
  <c r="DH865" i="12" s="1" a="1"/>
  <c r="B865" i="12"/>
  <c r="C865" i="12"/>
  <c r="D865" i="12"/>
  <c r="E865" i="12"/>
  <c r="P865" i="12"/>
  <c r="Q865" i="12"/>
  <c r="R865" i="12"/>
  <c r="S865" i="12"/>
  <c r="T865" i="12"/>
  <c r="U865" i="12"/>
  <c r="V865" i="12"/>
  <c r="W865" i="12"/>
  <c r="X865" i="12"/>
  <c r="Y865" i="12"/>
  <c r="Z865" i="12"/>
  <c r="AA865" i="12"/>
  <c r="AI865" i="12"/>
  <c r="AJ865" i="12"/>
  <c r="AK865" i="12"/>
  <c r="AL865" i="12"/>
  <c r="AM865" i="12"/>
  <c r="A866" i="12"/>
  <c r="DH866" i="12" s="1" a="1"/>
  <c r="B866" i="12"/>
  <c r="C866" i="12"/>
  <c r="D866" i="12"/>
  <c r="A867" i="12"/>
  <c r="DH867" i="12" s="1" a="1"/>
  <c r="B867" i="12"/>
  <c r="C867" i="12"/>
  <c r="D867" i="12"/>
  <c r="E867" i="12"/>
  <c r="Y867" i="12"/>
  <c r="Z867" i="12"/>
  <c r="AA867" i="12"/>
  <c r="AI867" i="12"/>
  <c r="AJ867" i="12"/>
  <c r="AK867" i="12"/>
  <c r="AL867" i="12"/>
  <c r="AM867" i="12"/>
  <c r="A868" i="12"/>
  <c r="DH868" i="12" s="1" a="1"/>
  <c r="B868" i="12"/>
  <c r="C868" i="12"/>
  <c r="D868" i="12"/>
  <c r="A841" i="12"/>
  <c r="DH841" i="12" s="1" a="1"/>
  <c r="B841" i="12"/>
  <c r="C841" i="12"/>
  <c r="D841" i="12"/>
  <c r="E841" i="12"/>
  <c r="Q841" i="12"/>
  <c r="R841" i="12"/>
  <c r="S841" i="12"/>
  <c r="T841" i="12"/>
  <c r="U841" i="12"/>
  <c r="V841" i="12"/>
  <c r="W841" i="12"/>
  <c r="X841" i="12"/>
  <c r="Y841" i="12"/>
  <c r="Z841" i="12"/>
  <c r="AA841" i="12"/>
  <c r="AI841" i="12"/>
  <c r="AJ841" i="12"/>
  <c r="AK841" i="12"/>
  <c r="AL841" i="12"/>
  <c r="AM841" i="12"/>
  <c r="A842" i="12"/>
  <c r="B842" i="12"/>
  <c r="C842" i="12"/>
  <c r="D842" i="12"/>
  <c r="A843" i="12"/>
  <c r="B843" i="12"/>
  <c r="C843" i="12"/>
  <c r="D843" i="12"/>
  <c r="A844" i="12"/>
  <c r="B844" i="12"/>
  <c r="C844" i="12"/>
  <c r="D844" i="12"/>
  <c r="A845" i="12"/>
  <c r="B845" i="12"/>
  <c r="C845" i="12"/>
  <c r="D845" i="12"/>
  <c r="A846" i="12"/>
  <c r="DH846" i="12" s="1" a="1"/>
  <c r="B846" i="12"/>
  <c r="C846" i="12"/>
  <c r="D846" i="12"/>
  <c r="E846" i="12"/>
  <c r="N846" i="12"/>
  <c r="O846" i="12"/>
  <c r="P846" i="12"/>
  <c r="Q846" i="12"/>
  <c r="R846" i="12"/>
  <c r="S846" i="12"/>
  <c r="T846" i="12"/>
  <c r="U846" i="12"/>
  <c r="V846" i="12"/>
  <c r="W846" i="12"/>
  <c r="X846" i="12"/>
  <c r="Y846" i="12"/>
  <c r="Z846" i="12"/>
  <c r="AA846" i="12"/>
  <c r="AI846" i="12"/>
  <c r="AJ846" i="12"/>
  <c r="AK846" i="12"/>
  <c r="AL846" i="12"/>
  <c r="AM846" i="12"/>
  <c r="A847" i="12"/>
  <c r="DH847" i="12" s="1" a="1"/>
  <c r="B847" i="12"/>
  <c r="E847" i="12" s="1"/>
  <c r="C847" i="12"/>
  <c r="D847" i="12"/>
  <c r="A848" i="12"/>
  <c r="B848" i="12"/>
  <c r="C848" i="12"/>
  <c r="D848" i="12"/>
  <c r="A849" i="12"/>
  <c r="DH849" i="12" s="1" a="1"/>
  <c r="B849" i="12"/>
  <c r="C849" i="12"/>
  <c r="D849" i="12"/>
  <c r="A850" i="12"/>
  <c r="B850" i="12"/>
  <c r="C850" i="12"/>
  <c r="D850" i="12"/>
  <c r="A851" i="12"/>
  <c r="B851" i="12"/>
  <c r="C851" i="12"/>
  <c r="D851" i="12"/>
  <c r="A852" i="12"/>
  <c r="DH852" i="12" s="1" a="1"/>
  <c r="B852" i="12"/>
  <c r="E852" i="12" s="1"/>
  <c r="C852" i="12"/>
  <c r="D852" i="12"/>
  <c r="A853" i="12"/>
  <c r="DH853" i="12" s="1" a="1"/>
  <c r="B853" i="12"/>
  <c r="E853" i="12" s="1"/>
  <c r="C853" i="12"/>
  <c r="D853" i="12"/>
  <c r="A854" i="12"/>
  <c r="DH854" i="12" s="1" a="1"/>
  <c r="B854" i="12"/>
  <c r="C854" i="12"/>
  <c r="D854" i="12"/>
  <c r="A827" i="12"/>
  <c r="DH827" i="12" s="1" a="1"/>
  <c r="B827" i="12"/>
  <c r="E827" i="12" s="1"/>
  <c r="C827" i="12"/>
  <c r="D827" i="12"/>
  <c r="A828" i="12"/>
  <c r="DH828" i="12" s="1" a="1"/>
  <c r="B828" i="12"/>
  <c r="C828" i="12"/>
  <c r="D828" i="12"/>
  <c r="A829" i="12"/>
  <c r="DH829" i="12" s="1" a="1"/>
  <c r="B829" i="12"/>
  <c r="C829" i="12"/>
  <c r="D829" i="12"/>
  <c r="E829" i="12"/>
  <c r="T829" i="12"/>
  <c r="U829" i="12"/>
  <c r="V829" i="12"/>
  <c r="W829" i="12"/>
  <c r="X829" i="12"/>
  <c r="Y829" i="12"/>
  <c r="Z829" i="12"/>
  <c r="AA829" i="12"/>
  <c r="AI829" i="12"/>
  <c r="AJ829" i="12"/>
  <c r="AK829" i="12"/>
  <c r="AL829" i="12"/>
  <c r="AM829" i="12"/>
  <c r="A830" i="12"/>
  <c r="DH830" i="12" s="1" a="1"/>
  <c r="B830" i="12"/>
  <c r="C830" i="12"/>
  <c r="D830" i="12"/>
  <c r="E830" i="12"/>
  <c r="A831" i="12"/>
  <c r="DH831" i="12" s="1" a="1"/>
  <c r="B831" i="12"/>
  <c r="C831" i="12"/>
  <c r="D831" i="12"/>
  <c r="E831" i="12"/>
  <c r="T831" i="12" s="1"/>
  <c r="U831" i="12"/>
  <c r="V831" i="12"/>
  <c r="W831" i="12"/>
  <c r="X831" i="12"/>
  <c r="Y831" i="12"/>
  <c r="Z831" i="12"/>
  <c r="AA831" i="12"/>
  <c r="AI831" i="12"/>
  <c r="AJ831" i="12"/>
  <c r="AK831" i="12"/>
  <c r="AL831" i="12"/>
  <c r="AM831" i="12"/>
  <c r="A832" i="12"/>
  <c r="B832" i="12"/>
  <c r="C832" i="12"/>
  <c r="D832" i="12"/>
  <c r="A833" i="12"/>
  <c r="B833" i="12"/>
  <c r="C833" i="12"/>
  <c r="D833" i="12"/>
  <c r="A834" i="12"/>
  <c r="DH834" i="12" s="1" a="1"/>
  <c r="B834" i="12"/>
  <c r="C834" i="12"/>
  <c r="D834" i="12"/>
  <c r="A835" i="12"/>
  <c r="B835" i="12"/>
  <c r="C835" i="12"/>
  <c r="D835" i="12"/>
  <c r="A836" i="12"/>
  <c r="B836" i="12"/>
  <c r="C836" i="12"/>
  <c r="D836" i="12"/>
  <c r="A837" i="12"/>
  <c r="DH837" i="12" s="1" a="1"/>
  <c r="B837" i="12"/>
  <c r="C837" i="12"/>
  <c r="D837" i="12"/>
  <c r="A838" i="12"/>
  <c r="DH838" i="12" s="1" a="1"/>
  <c r="B838" i="12"/>
  <c r="C838" i="12"/>
  <c r="D838" i="12"/>
  <c r="A839" i="12"/>
  <c r="DH839" i="12" s="1" a="1"/>
  <c r="B839" i="12"/>
  <c r="C839" i="12"/>
  <c r="D839" i="12"/>
  <c r="E839" i="12"/>
  <c r="N839" i="12" s="1"/>
  <c r="O839" i="12"/>
  <c r="P839" i="12"/>
  <c r="Q839" i="12"/>
  <c r="R839" i="12"/>
  <c r="S839" i="12"/>
  <c r="T839" i="12"/>
  <c r="U839" i="12"/>
  <c r="V839" i="12"/>
  <c r="W839" i="12"/>
  <c r="X839" i="12"/>
  <c r="Y839" i="12"/>
  <c r="Z839" i="12"/>
  <c r="AA839" i="12"/>
  <c r="AI839" i="12"/>
  <c r="AJ839" i="12"/>
  <c r="AK839" i="12"/>
  <c r="AL839" i="12"/>
  <c r="AM839" i="12"/>
  <c r="A840" i="12"/>
  <c r="DH840" i="12" s="1" a="1"/>
  <c r="B840" i="12"/>
  <c r="C840" i="12"/>
  <c r="D840" i="12"/>
  <c r="E840" i="12"/>
  <c r="T840" i="12"/>
  <c r="U840" i="12"/>
  <c r="V840" i="12"/>
  <c r="W840" i="12"/>
  <c r="X840" i="12"/>
  <c r="Y840" i="12"/>
  <c r="Z840" i="12"/>
  <c r="AA840" i="12"/>
  <c r="AI840" i="12"/>
  <c r="AJ840" i="12"/>
  <c r="AK840" i="12"/>
  <c r="AL840" i="12"/>
  <c r="AM840" i="12"/>
  <c r="A813" i="12"/>
  <c r="B813" i="12"/>
  <c r="C813" i="12"/>
  <c r="D813" i="12"/>
  <c r="A814" i="12"/>
  <c r="B814" i="12"/>
  <c r="C814" i="12"/>
  <c r="D814" i="12"/>
  <c r="A815" i="12"/>
  <c r="DH815" i="12" s="1" a="1"/>
  <c r="B815" i="12"/>
  <c r="C815" i="12"/>
  <c r="D815" i="12"/>
  <c r="A816" i="12"/>
  <c r="DH816" i="12" s="1" a="1"/>
  <c r="B816" i="12"/>
  <c r="C816" i="12"/>
  <c r="D816" i="12"/>
  <c r="A817" i="12"/>
  <c r="B817" i="12"/>
  <c r="C817" i="12"/>
  <c r="D817" i="12"/>
  <c r="A818" i="12"/>
  <c r="DH818" i="12" s="1" a="1"/>
  <c r="B818" i="12"/>
  <c r="E818" i="12" s="1"/>
  <c r="C818" i="12"/>
  <c r="D818" i="12"/>
  <c r="A819" i="12"/>
  <c r="DH819" i="12" s="1" a="1"/>
  <c r="B819" i="12"/>
  <c r="E819" i="12" s="1"/>
  <c r="C819" i="12"/>
  <c r="D819" i="12"/>
  <c r="A820" i="12"/>
  <c r="B820" i="12"/>
  <c r="C820" i="12"/>
  <c r="D820" i="12"/>
  <c r="A821" i="12"/>
  <c r="DH821" i="12" s="1" a="1"/>
  <c r="B821" i="12"/>
  <c r="E821" i="12" s="1"/>
  <c r="C821" i="12"/>
  <c r="D821" i="12"/>
  <c r="A822" i="12"/>
  <c r="B822" i="12"/>
  <c r="C822" i="12"/>
  <c r="D822" i="12"/>
  <c r="A823" i="12"/>
  <c r="B823" i="12"/>
  <c r="C823" i="12"/>
  <c r="D823" i="12"/>
  <c r="A824" i="12"/>
  <c r="DH824" i="12" s="1" a="1"/>
  <c r="B824" i="12"/>
  <c r="C824" i="12"/>
  <c r="D824" i="12"/>
  <c r="E824" i="12"/>
  <c r="V824" i="12"/>
  <c r="W824" i="12"/>
  <c r="X824" i="12"/>
  <c r="Y824" i="12"/>
  <c r="Z824" i="12"/>
  <c r="AA824" i="12"/>
  <c r="AI824" i="12"/>
  <c r="AJ824" i="12"/>
  <c r="AK824" i="12"/>
  <c r="AL824" i="12"/>
  <c r="AM824" i="12"/>
  <c r="A825" i="12"/>
  <c r="DH825" i="12" s="1" a="1"/>
  <c r="B825" i="12"/>
  <c r="C825" i="12"/>
  <c r="D825" i="12"/>
  <c r="E825" i="12"/>
  <c r="O825" i="12"/>
  <c r="P825" i="12"/>
  <c r="Q825" i="12"/>
  <c r="R825" i="12"/>
  <c r="S825" i="12"/>
  <c r="T825" i="12"/>
  <c r="U825" i="12"/>
  <c r="V825" i="12"/>
  <c r="W825" i="12"/>
  <c r="X825" i="12"/>
  <c r="Y825" i="12"/>
  <c r="Z825" i="12"/>
  <c r="AA825" i="12"/>
  <c r="AI825" i="12"/>
  <c r="AJ825" i="12"/>
  <c r="AK825" i="12"/>
  <c r="AL825" i="12"/>
  <c r="AM825" i="12"/>
  <c r="A826" i="12"/>
  <c r="B826" i="12"/>
  <c r="C826" i="12"/>
  <c r="D826" i="12"/>
  <c r="A799" i="12"/>
  <c r="DH799" i="12" s="1" a="1"/>
  <c r="B799" i="12"/>
  <c r="C799" i="12"/>
  <c r="D799" i="12"/>
  <c r="E799" i="12"/>
  <c r="O799" i="12"/>
  <c r="P799" i="12"/>
  <c r="Q799" i="12"/>
  <c r="R799" i="12"/>
  <c r="S799" i="12"/>
  <c r="T799" i="12"/>
  <c r="U799" i="12"/>
  <c r="V799" i="12"/>
  <c r="W799" i="12"/>
  <c r="X799" i="12"/>
  <c r="Y799" i="12"/>
  <c r="Z799" i="12"/>
  <c r="AA799" i="12"/>
  <c r="AI799" i="12"/>
  <c r="AJ799" i="12"/>
  <c r="AK799" i="12"/>
  <c r="AL799" i="12"/>
  <c r="AM799" i="12"/>
  <c r="A800" i="12"/>
  <c r="DH800" i="12" s="1" a="1"/>
  <c r="B800" i="12"/>
  <c r="C800" i="12"/>
  <c r="D800" i="12"/>
  <c r="E800" i="12"/>
  <c r="T800" i="12"/>
  <c r="U800" i="12"/>
  <c r="V800" i="12"/>
  <c r="W800" i="12"/>
  <c r="X800" i="12"/>
  <c r="Y800" i="12"/>
  <c r="Z800" i="12"/>
  <c r="AA800" i="12"/>
  <c r="AI800" i="12"/>
  <c r="AJ800" i="12"/>
  <c r="AK800" i="12"/>
  <c r="AL800" i="12"/>
  <c r="AM800" i="12"/>
  <c r="A801" i="12"/>
  <c r="DH801" i="12" s="1" a="1"/>
  <c r="B801" i="12"/>
  <c r="C801" i="12"/>
  <c r="D801" i="12"/>
  <c r="E801" i="12"/>
  <c r="N801" i="12"/>
  <c r="O801" i="12"/>
  <c r="P801" i="12"/>
  <c r="Q801" i="12"/>
  <c r="R801" i="12"/>
  <c r="S801" i="12"/>
  <c r="T801" i="12"/>
  <c r="U801" i="12"/>
  <c r="V801" i="12"/>
  <c r="W801" i="12"/>
  <c r="X801" i="12"/>
  <c r="Y801" i="12"/>
  <c r="Z801" i="12"/>
  <c r="AA801" i="12"/>
  <c r="AI801" i="12"/>
  <c r="AJ801" i="12"/>
  <c r="AK801" i="12"/>
  <c r="AL801" i="12"/>
  <c r="AM801" i="12"/>
  <c r="A802" i="12"/>
  <c r="DH802" i="12" s="1" a="1"/>
  <c r="B802" i="12"/>
  <c r="C802" i="12"/>
  <c r="D802" i="12"/>
  <c r="E802" i="12"/>
  <c r="U802" i="12"/>
  <c r="V802" i="12"/>
  <c r="W802" i="12"/>
  <c r="X802" i="12"/>
  <c r="Y802" i="12"/>
  <c r="Z802" i="12"/>
  <c r="AA802" i="12"/>
  <c r="AI802" i="12"/>
  <c r="AJ802" i="12"/>
  <c r="AK802" i="12"/>
  <c r="AL802" i="12"/>
  <c r="AM802" i="12"/>
  <c r="A803" i="12"/>
  <c r="B803" i="12"/>
  <c r="C803" i="12"/>
  <c r="D803" i="12"/>
  <c r="A804" i="12"/>
  <c r="B804" i="12"/>
  <c r="C804" i="12"/>
  <c r="D804" i="12"/>
  <c r="A805" i="12"/>
  <c r="B805" i="12"/>
  <c r="C805" i="12"/>
  <c r="D805" i="12"/>
  <c r="A806" i="12"/>
  <c r="DH806" i="12" s="1" a="1"/>
  <c r="B806" i="12"/>
  <c r="C806" i="12"/>
  <c r="D806" i="12"/>
  <c r="E806" i="12"/>
  <c r="Q806" i="12"/>
  <c r="R806" i="12"/>
  <c r="S806" i="12"/>
  <c r="T806" i="12"/>
  <c r="U806" i="12"/>
  <c r="V806" i="12"/>
  <c r="W806" i="12"/>
  <c r="X806" i="12"/>
  <c r="Y806" i="12"/>
  <c r="Z806" i="12"/>
  <c r="AA806" i="12"/>
  <c r="AI806" i="12"/>
  <c r="AJ806" i="12"/>
  <c r="AK806" i="12"/>
  <c r="AL806" i="12"/>
  <c r="AM806" i="12"/>
  <c r="A807" i="12"/>
  <c r="B807" i="12"/>
  <c r="C807" i="12"/>
  <c r="D807" i="12"/>
  <c r="A808" i="12"/>
  <c r="DH808" i="12" s="1" a="1"/>
  <c r="B808" i="12"/>
  <c r="C808" i="12"/>
  <c r="D808" i="12"/>
  <c r="A809" i="12"/>
  <c r="B809" i="12"/>
  <c r="C809" i="12"/>
  <c r="D809" i="12"/>
  <c r="A810" i="12"/>
  <c r="DH810" i="12" s="1" a="1"/>
  <c r="B810" i="12"/>
  <c r="C810" i="12"/>
  <c r="D810" i="12"/>
  <c r="A811" i="12"/>
  <c r="B811" i="12"/>
  <c r="C811" i="12"/>
  <c r="D811" i="12"/>
  <c r="A812" i="12"/>
  <c r="DH812" i="12" s="1" a="1"/>
  <c r="B812" i="12"/>
  <c r="C812" i="12"/>
  <c r="D812" i="12"/>
  <c r="A785" i="12"/>
  <c r="B785" i="12"/>
  <c r="C785" i="12"/>
  <c r="D785" i="12"/>
  <c r="A786" i="12"/>
  <c r="B786" i="12"/>
  <c r="C786" i="12"/>
  <c r="D786" i="12"/>
  <c r="A787" i="12"/>
  <c r="B787" i="12"/>
  <c r="C787" i="12"/>
  <c r="D787" i="12"/>
  <c r="A788" i="12"/>
  <c r="DH788" i="12" s="1" a="1"/>
  <c r="B788" i="12"/>
  <c r="C788" i="12"/>
  <c r="D788" i="12"/>
  <c r="E788" i="12"/>
  <c r="T788" i="12"/>
  <c r="U788" i="12"/>
  <c r="V788" i="12"/>
  <c r="W788" i="12"/>
  <c r="X788" i="12"/>
  <c r="Y788" i="12"/>
  <c r="Z788" i="12"/>
  <c r="AA788" i="12"/>
  <c r="AI788" i="12"/>
  <c r="AJ788" i="12"/>
  <c r="AK788" i="12"/>
  <c r="AL788" i="12"/>
  <c r="AM788" i="12"/>
  <c r="A789" i="12"/>
  <c r="DH789" i="12" s="1" a="1"/>
  <c r="B789" i="12"/>
  <c r="C789" i="12"/>
  <c r="D789" i="12"/>
  <c r="E789" i="12"/>
  <c r="Z789" i="12"/>
  <c r="AA789" i="12"/>
  <c r="AI789" i="12"/>
  <c r="AJ789" i="12"/>
  <c r="AK789" i="12"/>
  <c r="AL789" i="12"/>
  <c r="AM789" i="12"/>
  <c r="A790" i="12"/>
  <c r="DH790" i="12" s="1" a="1"/>
  <c r="B790" i="12"/>
  <c r="C790" i="12"/>
  <c r="D790" i="12"/>
  <c r="A791" i="12"/>
  <c r="DH791" i="12" s="1" a="1"/>
  <c r="B791" i="12"/>
  <c r="C791" i="12"/>
  <c r="D791" i="12"/>
  <c r="E791" i="12"/>
  <c r="P791" i="12"/>
  <c r="Q791" i="12"/>
  <c r="R791" i="12"/>
  <c r="S791" i="12"/>
  <c r="T791" i="12"/>
  <c r="U791" i="12"/>
  <c r="V791" i="12"/>
  <c r="W791" i="12"/>
  <c r="X791" i="12"/>
  <c r="Y791" i="12"/>
  <c r="Z791" i="12"/>
  <c r="AA791" i="12"/>
  <c r="AI791" i="12"/>
  <c r="AJ791" i="12"/>
  <c r="AK791" i="12"/>
  <c r="AL791" i="12"/>
  <c r="AM791" i="12"/>
  <c r="A792" i="12"/>
  <c r="DH792" i="12" s="1" a="1"/>
  <c r="B792" i="12"/>
  <c r="C792" i="12"/>
  <c r="D792" i="12"/>
  <c r="A793" i="12"/>
  <c r="B793" i="12"/>
  <c r="C793" i="12"/>
  <c r="D793" i="12"/>
  <c r="A794" i="12"/>
  <c r="DH794" i="12" s="1" a="1"/>
  <c r="B794" i="12"/>
  <c r="C794" i="12"/>
  <c r="D794" i="12"/>
  <c r="E794" i="12"/>
  <c r="AI794" i="12"/>
  <c r="AJ794" i="12"/>
  <c r="AK794" i="12"/>
  <c r="AL794" i="12"/>
  <c r="AM794" i="12"/>
  <c r="A795" i="12"/>
  <c r="DH795" i="12" s="1" a="1"/>
  <c r="B795" i="12"/>
  <c r="C795" i="12"/>
  <c r="D795" i="12"/>
  <c r="E795" i="12"/>
  <c r="Y795" i="12"/>
  <c r="Z795" i="12"/>
  <c r="AA795" i="12"/>
  <c r="AI795" i="12"/>
  <c r="AJ795" i="12"/>
  <c r="AK795" i="12"/>
  <c r="AL795" i="12"/>
  <c r="AM795" i="12"/>
  <c r="A796" i="12"/>
  <c r="DH796" i="12" s="1" a="1"/>
  <c r="B796" i="12"/>
  <c r="C796" i="12"/>
  <c r="D796" i="12"/>
  <c r="A797" i="12"/>
  <c r="DH797" i="12" s="1" a="1"/>
  <c r="B797" i="12"/>
  <c r="C797" i="12"/>
  <c r="D797" i="12"/>
  <c r="A798" i="12"/>
  <c r="DH798" i="12" s="1" a="1"/>
  <c r="B798" i="12"/>
  <c r="C798" i="12"/>
  <c r="D798" i="12"/>
  <c r="A771" i="12"/>
  <c r="B771" i="12"/>
  <c r="C771" i="12"/>
  <c r="D771" i="12"/>
  <c r="A772" i="12"/>
  <c r="DH772" i="12" s="1" a="1"/>
  <c r="B772" i="12"/>
  <c r="E772" i="12" s="1"/>
  <c r="C772" i="12"/>
  <c r="D772" i="12"/>
  <c r="A773" i="12"/>
  <c r="DH773" i="12" s="1" a="1"/>
  <c r="B773" i="12"/>
  <c r="C773" i="12"/>
  <c r="D773" i="12"/>
  <c r="A774" i="12"/>
  <c r="B774" i="12"/>
  <c r="C774" i="12"/>
  <c r="D774" i="12"/>
  <c r="A775" i="12"/>
  <c r="DH775" i="12" s="1" a="1"/>
  <c r="B775" i="12"/>
  <c r="C775" i="12"/>
  <c r="D775" i="12"/>
  <c r="A776" i="12"/>
  <c r="DH776" i="12" s="1" a="1"/>
  <c r="B776" i="12"/>
  <c r="C776" i="12"/>
  <c r="D776" i="12"/>
  <c r="A777" i="12"/>
  <c r="DH777" i="12" s="1" a="1"/>
  <c r="B777" i="12"/>
  <c r="C777" i="12"/>
  <c r="D777" i="12"/>
  <c r="E777" i="12"/>
  <c r="Z777" i="12"/>
  <c r="AA777" i="12"/>
  <c r="AI777" i="12"/>
  <c r="AJ777" i="12"/>
  <c r="AK777" i="12"/>
  <c r="AL777" i="12"/>
  <c r="AM777" i="12"/>
  <c r="A778" i="12"/>
  <c r="DH778" i="12" s="1" a="1"/>
  <c r="B778" i="12"/>
  <c r="C778" i="12"/>
  <c r="D778" i="12"/>
  <c r="E778" i="12"/>
  <c r="R778" i="12"/>
  <c r="T778" i="12"/>
  <c r="U778" i="12"/>
  <c r="V778" i="12"/>
  <c r="W778" i="12"/>
  <c r="X778" i="12"/>
  <c r="Y778" i="12"/>
  <c r="Z778" i="12"/>
  <c r="AA778" i="12"/>
  <c r="AI778" i="12"/>
  <c r="AJ778" i="12"/>
  <c r="AK778" i="12"/>
  <c r="AL778" i="12"/>
  <c r="AM778" i="12"/>
  <c r="A779" i="12"/>
  <c r="DH779" i="12" s="1" a="1"/>
  <c r="B779" i="12"/>
  <c r="C779" i="12"/>
  <c r="D779" i="12"/>
  <c r="A780" i="12"/>
  <c r="DH780" i="12" s="1" a="1"/>
  <c r="B780" i="12"/>
  <c r="C780" i="12"/>
  <c r="D780" i="12"/>
  <c r="A781" i="12"/>
  <c r="B781" i="12"/>
  <c r="C781" i="12"/>
  <c r="D781" i="12"/>
  <c r="A782" i="12"/>
  <c r="DH782" i="12" s="1" a="1"/>
  <c r="B782" i="12"/>
  <c r="E782" i="12" s="1"/>
  <c r="C782" i="12"/>
  <c r="D782" i="12"/>
  <c r="A783" i="12"/>
  <c r="DH783" i="12" s="1" a="1"/>
  <c r="B783" i="12"/>
  <c r="C783" i="12"/>
  <c r="D783" i="12"/>
  <c r="A784" i="12"/>
  <c r="B784" i="12"/>
  <c r="C784" i="12"/>
  <c r="D784" i="12"/>
  <c r="A757" i="12"/>
  <c r="DH757" i="12" s="1" a="1"/>
  <c r="B757" i="12"/>
  <c r="E757" i="12" s="1"/>
  <c r="C757" i="12"/>
  <c r="D757" i="12"/>
  <c r="A758" i="12"/>
  <c r="DH758" i="12" s="1" a="1"/>
  <c r="B758" i="12"/>
  <c r="C758" i="12"/>
  <c r="D758" i="12"/>
  <c r="A759" i="12"/>
  <c r="DH759" i="12" s="1" a="1"/>
  <c r="B759" i="12"/>
  <c r="C759" i="12"/>
  <c r="D759" i="12"/>
  <c r="E759" i="12"/>
  <c r="N759" i="12" s="1"/>
  <c r="Q759" i="12"/>
  <c r="R759" i="12"/>
  <c r="S759" i="12"/>
  <c r="T759" i="12"/>
  <c r="U759" i="12"/>
  <c r="V759" i="12"/>
  <c r="W759" i="12"/>
  <c r="X759" i="12"/>
  <c r="Y759" i="12"/>
  <c r="Z759" i="12"/>
  <c r="AA759" i="12"/>
  <c r="AI759" i="12"/>
  <c r="AJ759" i="12"/>
  <c r="AK759" i="12"/>
  <c r="AL759" i="12"/>
  <c r="AM759" i="12"/>
  <c r="A760" i="12"/>
  <c r="DH760" i="12" s="1" a="1"/>
  <c r="B760" i="12"/>
  <c r="E760" i="12" s="1"/>
  <c r="C760" i="12"/>
  <c r="D760" i="12"/>
  <c r="A761" i="12"/>
  <c r="B761" i="12"/>
  <c r="C761" i="12"/>
  <c r="D761" i="12"/>
  <c r="A762" i="12"/>
  <c r="DH762" i="12" s="1" a="1"/>
  <c r="B762" i="12"/>
  <c r="C762" i="12"/>
  <c r="D762" i="12"/>
  <c r="A763" i="12"/>
  <c r="DH763" i="12" s="1" a="1"/>
  <c r="B763" i="12"/>
  <c r="C763" i="12"/>
  <c r="D763" i="12"/>
  <c r="A764" i="12"/>
  <c r="DH764" i="12" s="1" a="1"/>
  <c r="B764" i="12"/>
  <c r="C764" i="12"/>
  <c r="D764" i="12"/>
  <c r="E764" i="12"/>
  <c r="T764" i="12"/>
  <c r="V764" i="12"/>
  <c r="W764" i="12"/>
  <c r="X764" i="12"/>
  <c r="Y764" i="12"/>
  <c r="Z764" i="12"/>
  <c r="AA764" i="12"/>
  <c r="AI764" i="12"/>
  <c r="AJ764" i="12"/>
  <c r="AK764" i="12"/>
  <c r="AL764" i="12"/>
  <c r="AM764" i="12"/>
  <c r="A765" i="12"/>
  <c r="DH765" i="12" s="1" a="1"/>
  <c r="B765" i="12"/>
  <c r="C765" i="12"/>
  <c r="D765" i="12"/>
  <c r="A766" i="12"/>
  <c r="DH766" i="12" s="1" a="1"/>
  <c r="B766" i="12"/>
  <c r="C766" i="12"/>
  <c r="D766" i="12"/>
  <c r="A767" i="12"/>
  <c r="DH767" i="12" s="1" a="1"/>
  <c r="B767" i="12"/>
  <c r="C767" i="12"/>
  <c r="D767" i="12"/>
  <c r="A768" i="12"/>
  <c r="B768" i="12"/>
  <c r="C768" i="12"/>
  <c r="D768" i="12"/>
  <c r="A769" i="12"/>
  <c r="DH769" i="12" s="1" a="1"/>
  <c r="B769" i="12"/>
  <c r="E769" i="12" s="1"/>
  <c r="C769" i="12"/>
  <c r="D769" i="12"/>
  <c r="A770" i="12"/>
  <c r="DH770" i="12" s="1" a="1"/>
  <c r="B770" i="12"/>
  <c r="C770" i="12"/>
  <c r="D770" i="12"/>
  <c r="E770" i="12"/>
  <c r="Z770" i="12"/>
  <c r="AA770" i="12"/>
  <c r="AI770" i="12"/>
  <c r="AJ770" i="12"/>
  <c r="AK770" i="12"/>
  <c r="AL770" i="12"/>
  <c r="AM770" i="12"/>
  <c r="A743" i="12"/>
  <c r="DH743" i="12" s="1" a="1"/>
  <c r="B743" i="12"/>
  <c r="E743" i="12" s="1"/>
  <c r="C743" i="12"/>
  <c r="D743" i="12"/>
  <c r="A744" i="12"/>
  <c r="B744" i="12"/>
  <c r="C744" i="12"/>
  <c r="D744" i="12"/>
  <c r="A745" i="12"/>
  <c r="DH745" i="12" s="1" a="1"/>
  <c r="B745" i="12"/>
  <c r="C745" i="12"/>
  <c r="D745" i="12"/>
  <c r="A746" i="12"/>
  <c r="B746" i="12"/>
  <c r="C746" i="12"/>
  <c r="D746" i="12"/>
  <c r="A747" i="12"/>
  <c r="DH747" i="12" s="1" a="1"/>
  <c r="B747" i="12"/>
  <c r="C747" i="12"/>
  <c r="D747" i="12"/>
  <c r="A748" i="12"/>
  <c r="DH748" i="12" s="1" a="1"/>
  <c r="B748" i="12"/>
  <c r="E748" i="12" s="1"/>
  <c r="C748" i="12"/>
  <c r="D748" i="12"/>
  <c r="A749" i="12"/>
  <c r="DH749" i="12" s="1" a="1"/>
  <c r="B749" i="12"/>
  <c r="C749" i="12"/>
  <c r="D749" i="12"/>
  <c r="A750" i="12"/>
  <c r="DH750" i="12" s="1" a="1"/>
  <c r="B750" i="12"/>
  <c r="E750" i="12" s="1"/>
  <c r="C750" i="12"/>
  <c r="D750" i="12"/>
  <c r="A751" i="12"/>
  <c r="B751" i="12"/>
  <c r="C751" i="12"/>
  <c r="D751" i="12"/>
  <c r="A752" i="12"/>
  <c r="DH752" i="12" s="1" a="1"/>
  <c r="B752" i="12"/>
  <c r="C752" i="12"/>
  <c r="D752" i="12"/>
  <c r="E752" i="12"/>
  <c r="W752" i="12"/>
  <c r="X752" i="12"/>
  <c r="Y752" i="12"/>
  <c r="Z752" i="12"/>
  <c r="AA752" i="12"/>
  <c r="AI752" i="12"/>
  <c r="AJ752" i="12"/>
  <c r="AK752" i="12"/>
  <c r="AL752" i="12"/>
  <c r="AM752" i="12"/>
  <c r="A753" i="12"/>
  <c r="B753" i="12"/>
  <c r="C753" i="12"/>
  <c r="D753" i="12"/>
  <c r="A754" i="12"/>
  <c r="DH754" i="12" s="1" a="1"/>
  <c r="B754" i="12"/>
  <c r="E754" i="12" s="1"/>
  <c r="C754" i="12"/>
  <c r="D754" i="12"/>
  <c r="A755" i="12"/>
  <c r="DH755" i="12" s="1" a="1"/>
  <c r="B755" i="12"/>
  <c r="E755" i="12" s="1"/>
  <c r="C755" i="12"/>
  <c r="D755" i="12"/>
  <c r="A756" i="12"/>
  <c r="DH756" i="12" s="1" a="1"/>
  <c r="B756" i="12"/>
  <c r="C756" i="12"/>
  <c r="D756" i="12"/>
  <c r="E756" i="12"/>
  <c r="P756" i="12"/>
  <c r="Q756" i="12"/>
  <c r="R756" i="12"/>
  <c r="S756" i="12"/>
  <c r="T756" i="12"/>
  <c r="U756" i="12"/>
  <c r="V756" i="12"/>
  <c r="W756" i="12"/>
  <c r="X756" i="12"/>
  <c r="Y756" i="12"/>
  <c r="Z756" i="12"/>
  <c r="AA756" i="12"/>
  <c r="AI756" i="12"/>
  <c r="AJ756" i="12"/>
  <c r="AK756" i="12"/>
  <c r="AL756" i="12"/>
  <c r="AM756" i="12"/>
  <c r="A729" i="12"/>
  <c r="DH729" i="12" s="1" a="1"/>
  <c r="B729" i="12"/>
  <c r="C729" i="12"/>
  <c r="D729" i="12"/>
  <c r="E729" i="12"/>
  <c r="AI729" i="12"/>
  <c r="AK729" i="12"/>
  <c r="AL729" i="12"/>
  <c r="AM729" i="12"/>
  <c r="A730" i="12"/>
  <c r="DH730" i="12" s="1" a="1"/>
  <c r="B730" i="12"/>
  <c r="C730" i="12"/>
  <c r="D730" i="12"/>
  <c r="A731" i="12"/>
  <c r="DH731" i="12" s="1" a="1"/>
  <c r="B731" i="12"/>
  <c r="C731" i="12"/>
  <c r="D731" i="12"/>
  <c r="A732" i="12"/>
  <c r="DH732" i="12" s="1" a="1"/>
  <c r="B732" i="12"/>
  <c r="C732" i="12"/>
  <c r="D732" i="12"/>
  <c r="A733" i="12"/>
  <c r="B733" i="12"/>
  <c r="C733" i="12"/>
  <c r="D733" i="12"/>
  <c r="A734" i="12"/>
  <c r="B734" i="12"/>
  <c r="C734" i="12"/>
  <c r="D734" i="12"/>
  <c r="A735" i="12"/>
  <c r="DH735" i="12" s="1" a="1"/>
  <c r="B735" i="12"/>
  <c r="C735" i="12"/>
  <c r="D735" i="12"/>
  <c r="A736" i="12"/>
  <c r="DH736" i="12" s="1" a="1"/>
  <c r="B736" i="12"/>
  <c r="C736" i="12"/>
  <c r="D736" i="12"/>
  <c r="A737" i="12"/>
  <c r="DH737" i="12" s="1" a="1"/>
  <c r="B737" i="12"/>
  <c r="E737" i="12" s="1"/>
  <c r="C737" i="12"/>
  <c r="D737" i="12"/>
  <c r="A738" i="12"/>
  <c r="DH738" i="12" s="1" a="1"/>
  <c r="B738" i="12"/>
  <c r="C738" i="12"/>
  <c r="D738" i="12"/>
  <c r="A739" i="12"/>
  <c r="B739" i="12"/>
  <c r="C739" i="12"/>
  <c r="D739" i="12"/>
  <c r="A740" i="12"/>
  <c r="DH740" i="12" s="1" a="1"/>
  <c r="B740" i="12"/>
  <c r="C740" i="12"/>
  <c r="D740" i="12"/>
  <c r="A741" i="12"/>
  <c r="B741" i="12"/>
  <c r="C741" i="12"/>
  <c r="D741" i="12"/>
  <c r="A742" i="12"/>
  <c r="B742" i="12"/>
  <c r="C742" i="12"/>
  <c r="D742" i="12"/>
  <c r="A715" i="12"/>
  <c r="DH715" i="12" s="1" a="1"/>
  <c r="B715" i="12"/>
  <c r="C715" i="12"/>
  <c r="D715" i="12"/>
  <c r="E715" i="12"/>
  <c r="Y715" i="12" s="1"/>
  <c r="Z715" i="12"/>
  <c r="AA715" i="12"/>
  <c r="AI715" i="12"/>
  <c r="AJ715" i="12"/>
  <c r="AK715" i="12"/>
  <c r="AL715" i="12"/>
  <c r="AM715" i="12"/>
  <c r="A716" i="12"/>
  <c r="DH716" i="12" s="1" a="1"/>
  <c r="B716" i="12"/>
  <c r="E716" i="12" s="1"/>
  <c r="C716" i="12"/>
  <c r="D716" i="12"/>
  <c r="A717" i="12"/>
  <c r="B717" i="12"/>
  <c r="C717" i="12"/>
  <c r="D717" i="12"/>
  <c r="A718" i="12"/>
  <c r="DH718" i="12" s="1" a="1"/>
  <c r="B718" i="12"/>
  <c r="C718" i="12"/>
  <c r="D718" i="12"/>
  <c r="A719" i="12"/>
  <c r="DH719" i="12" s="1" a="1"/>
  <c r="B719" i="12"/>
  <c r="C719" i="12"/>
  <c r="D719" i="12"/>
  <c r="A720" i="12"/>
  <c r="DH720" i="12" s="1" a="1"/>
  <c r="B720" i="12"/>
  <c r="E720" i="12" s="1"/>
  <c r="C720" i="12"/>
  <c r="D720" i="12"/>
  <c r="A721" i="12"/>
  <c r="B721" i="12"/>
  <c r="C721" i="12"/>
  <c r="D721" i="12"/>
  <c r="A722" i="12"/>
  <c r="DH722" i="12" s="1" a="1"/>
  <c r="B722" i="12"/>
  <c r="C722" i="12"/>
  <c r="D722" i="12"/>
  <c r="E722" i="12"/>
  <c r="AA722" i="12"/>
  <c r="AI722" i="12"/>
  <c r="AJ722" i="12"/>
  <c r="AK722" i="12"/>
  <c r="AL722" i="12"/>
  <c r="AM722" i="12"/>
  <c r="A723" i="12"/>
  <c r="DH723" i="12" s="1" a="1"/>
  <c r="B723" i="12"/>
  <c r="E723" i="12" s="1"/>
  <c r="C723" i="12"/>
  <c r="D723" i="12"/>
  <c r="A724" i="12"/>
  <c r="DH724" i="12" s="1" a="1"/>
  <c r="B724" i="12"/>
  <c r="C724" i="12"/>
  <c r="D724" i="12"/>
  <c r="A725" i="12"/>
  <c r="DH725" i="12" s="1" a="1"/>
  <c r="B725" i="12"/>
  <c r="C725" i="12"/>
  <c r="D725" i="12"/>
  <c r="A726" i="12"/>
  <c r="DH726" i="12" s="1" a="1"/>
  <c r="B726" i="12"/>
  <c r="C726" i="12"/>
  <c r="D726" i="12"/>
  <c r="A727" i="12"/>
  <c r="DH727" i="12" s="1" a="1"/>
  <c r="B727" i="12"/>
  <c r="C727" i="12"/>
  <c r="D727" i="12"/>
  <c r="A728" i="12"/>
  <c r="DH728" i="12" s="1" a="1"/>
  <c r="B728" i="12"/>
  <c r="C728" i="12"/>
  <c r="D728" i="12"/>
  <c r="A701" i="12"/>
  <c r="DH701" i="12" s="1" a="1"/>
  <c r="B701" i="12"/>
  <c r="C701" i="12"/>
  <c r="D701" i="12"/>
  <c r="E701" i="12"/>
  <c r="AM701" i="12"/>
  <c r="A702" i="12"/>
  <c r="DH702" i="12" s="1" a="1"/>
  <c r="B702" i="12"/>
  <c r="C702" i="12"/>
  <c r="D702" i="12"/>
  <c r="A703" i="12"/>
  <c r="DH703" i="12" s="1" a="1"/>
  <c r="B703" i="12"/>
  <c r="C703" i="12"/>
  <c r="D703" i="12"/>
  <c r="A704" i="12"/>
  <c r="B704" i="12"/>
  <c r="C704" i="12"/>
  <c r="D704" i="12"/>
  <c r="A705" i="12"/>
  <c r="DH705" i="12" s="1" a="1"/>
  <c r="B705" i="12"/>
  <c r="E705" i="12" s="1"/>
  <c r="C705" i="12"/>
  <c r="D705" i="12"/>
  <c r="A706" i="12"/>
  <c r="DH706" i="12" s="1" a="1"/>
  <c r="B706" i="12"/>
  <c r="C706" i="12"/>
  <c r="D706" i="12"/>
  <c r="A707" i="12"/>
  <c r="DH707" i="12" s="1" a="1"/>
  <c r="B707" i="12"/>
  <c r="C707" i="12"/>
  <c r="D707" i="12"/>
  <c r="A708" i="12"/>
  <c r="DH708" i="12" s="1" a="1"/>
  <c r="B708" i="12"/>
  <c r="C708" i="12"/>
  <c r="D708" i="12"/>
  <c r="A709" i="12"/>
  <c r="DH709" i="12" s="1" a="1"/>
  <c r="B709" i="12"/>
  <c r="E709" i="12" s="1"/>
  <c r="C709" i="12"/>
  <c r="D709" i="12"/>
  <c r="A710" i="12"/>
  <c r="DH710" i="12" s="1" a="1"/>
  <c r="B710" i="12"/>
  <c r="C710" i="12"/>
  <c r="D710" i="12"/>
  <c r="A711" i="12"/>
  <c r="DH711" i="12" s="1" a="1"/>
  <c r="B711" i="12"/>
  <c r="C711" i="12"/>
  <c r="D711" i="12"/>
  <c r="A712" i="12"/>
  <c r="DH712" i="12" s="1" a="1"/>
  <c r="B712" i="12"/>
  <c r="E712" i="12" s="1"/>
  <c r="C712" i="12"/>
  <c r="D712" i="12"/>
  <c r="A713" i="12"/>
  <c r="DH713" i="12" s="1" a="1"/>
  <c r="B713" i="12"/>
  <c r="C713" i="12"/>
  <c r="D713" i="12"/>
  <c r="A714" i="12"/>
  <c r="DH714" i="12" s="1" a="1"/>
  <c r="B714" i="12"/>
  <c r="E714" i="12" s="1"/>
  <c r="C714" i="12"/>
  <c r="D714" i="12"/>
  <c r="A687" i="12"/>
  <c r="DH687" i="12" s="1" a="1"/>
  <c r="B687" i="12"/>
  <c r="C687" i="12"/>
  <c r="D687" i="12"/>
  <c r="A688" i="12"/>
  <c r="DH688" i="12" s="1" a="1"/>
  <c r="B688" i="12"/>
  <c r="C688" i="12"/>
  <c r="D688" i="12"/>
  <c r="A689" i="12"/>
  <c r="DH689" i="12" s="1" a="1"/>
  <c r="B689" i="12"/>
  <c r="C689" i="12"/>
  <c r="D689" i="12"/>
  <c r="A690" i="12"/>
  <c r="DH690" i="12" s="1" a="1"/>
  <c r="B690" i="12"/>
  <c r="C690" i="12"/>
  <c r="D690" i="12"/>
  <c r="A691" i="12"/>
  <c r="DH691" i="12" s="1" a="1"/>
  <c r="B691" i="12"/>
  <c r="C691" i="12"/>
  <c r="D691" i="12"/>
  <c r="A692" i="12"/>
  <c r="DH692" i="12" s="1" a="1"/>
  <c r="B692" i="12"/>
  <c r="C692" i="12"/>
  <c r="D692" i="12"/>
  <c r="A693" i="12"/>
  <c r="DH693" i="12" s="1" a="1"/>
  <c r="B693" i="12"/>
  <c r="E693" i="12" s="1"/>
  <c r="C693" i="12"/>
  <c r="D693" i="12"/>
  <c r="A694" i="12"/>
  <c r="DH694" i="12" s="1" a="1"/>
  <c r="B694" i="12"/>
  <c r="E694" i="12" s="1"/>
  <c r="C694" i="12"/>
  <c r="D694" i="12"/>
  <c r="A695" i="12"/>
  <c r="DH695" i="12" s="1" a="1"/>
  <c r="B695" i="12"/>
  <c r="C695" i="12"/>
  <c r="D695" i="12"/>
  <c r="A696" i="12"/>
  <c r="DH696" i="12" s="1" a="1"/>
  <c r="B696" i="12"/>
  <c r="E696" i="12" s="1"/>
  <c r="C696" i="12"/>
  <c r="D696" i="12"/>
  <c r="A697" i="12"/>
  <c r="DH697" i="12" s="1" a="1"/>
  <c r="B697" i="12"/>
  <c r="C697" i="12"/>
  <c r="D697" i="12"/>
  <c r="A698" i="12"/>
  <c r="DH698" i="12" s="1" a="1"/>
  <c r="B698" i="12"/>
  <c r="E698" i="12" s="1"/>
  <c r="C698" i="12"/>
  <c r="D698" i="12"/>
  <c r="A699" i="12"/>
  <c r="B699" i="12"/>
  <c r="C699" i="12"/>
  <c r="D699" i="12"/>
  <c r="A700" i="12"/>
  <c r="DH700" i="12" s="1" a="1"/>
  <c r="B700" i="12"/>
  <c r="E700" i="12" s="1"/>
  <c r="C700" i="12"/>
  <c r="D700" i="12"/>
  <c r="A673" i="12"/>
  <c r="DH673" i="12" s="1" a="1"/>
  <c r="B673" i="12"/>
  <c r="E673" i="12" s="1"/>
  <c r="C673" i="12"/>
  <c r="D673" i="12"/>
  <c r="A674" i="12"/>
  <c r="DH674" i="12" s="1" a="1"/>
  <c r="B674" i="12"/>
  <c r="C674" i="12"/>
  <c r="D674" i="12"/>
  <c r="A675" i="12"/>
  <c r="B675" i="12"/>
  <c r="C675" i="12"/>
  <c r="D675" i="12"/>
  <c r="A676" i="12"/>
  <c r="DH676" i="12" s="1" a="1"/>
  <c r="B676" i="12"/>
  <c r="C676" i="12"/>
  <c r="D676" i="12"/>
  <c r="A677" i="12"/>
  <c r="DH677" i="12" s="1" a="1"/>
  <c r="B677" i="12"/>
  <c r="C677" i="12"/>
  <c r="D677" i="12"/>
  <c r="A678" i="12"/>
  <c r="DH678" i="12" s="1" a="1"/>
  <c r="B678" i="12"/>
  <c r="C678" i="12"/>
  <c r="D678" i="12"/>
  <c r="E678" i="12"/>
  <c r="U678" i="12"/>
  <c r="V678" i="12"/>
  <c r="W678" i="12"/>
  <c r="X678" i="12"/>
  <c r="Y678" i="12"/>
  <c r="Z678" i="12"/>
  <c r="AA678" i="12"/>
  <c r="AI678" i="12"/>
  <c r="AJ678" i="12"/>
  <c r="AK678" i="12"/>
  <c r="AL678" i="12"/>
  <c r="AM678" i="12"/>
  <c r="A679" i="12"/>
  <c r="B679" i="12"/>
  <c r="C679" i="12"/>
  <c r="D679" i="12"/>
  <c r="A680" i="12"/>
  <c r="DH680" i="12" s="1" a="1"/>
  <c r="B680" i="12"/>
  <c r="C680" i="12"/>
  <c r="D680" i="12"/>
  <c r="E680" i="12"/>
  <c r="T680" i="12"/>
  <c r="U680" i="12"/>
  <c r="V680" i="12"/>
  <c r="W680" i="12"/>
  <c r="X680" i="12"/>
  <c r="Y680" i="12"/>
  <c r="Z680" i="12"/>
  <c r="AA680" i="12"/>
  <c r="AI680" i="12"/>
  <c r="AJ680" i="12"/>
  <c r="AK680" i="12"/>
  <c r="AL680" i="12"/>
  <c r="AM680" i="12"/>
  <c r="A681" i="12"/>
  <c r="DH681" i="12" s="1" a="1"/>
  <c r="B681" i="12"/>
  <c r="C681" i="12"/>
  <c r="D681" i="12"/>
  <c r="A682" i="12"/>
  <c r="DH682" i="12" s="1" a="1"/>
  <c r="B682" i="12"/>
  <c r="E682" i="12" s="1"/>
  <c r="C682" i="12"/>
  <c r="D682" i="12"/>
  <c r="A683" i="12"/>
  <c r="DH683" i="12" s="1" a="1"/>
  <c r="B683" i="12"/>
  <c r="C683" i="12"/>
  <c r="D683" i="12"/>
  <c r="A684" i="12"/>
  <c r="DH684" i="12" s="1" a="1"/>
  <c r="B684" i="12"/>
  <c r="C684" i="12"/>
  <c r="D684" i="12"/>
  <c r="A685" i="12"/>
  <c r="B685" i="12"/>
  <c r="C685" i="12"/>
  <c r="D685" i="12"/>
  <c r="A686" i="12"/>
  <c r="B686" i="12"/>
  <c r="C686" i="12"/>
  <c r="D686" i="12"/>
  <c r="A659" i="12"/>
  <c r="B659" i="12"/>
  <c r="C659" i="12"/>
  <c r="D659" i="12"/>
  <c r="A660" i="12"/>
  <c r="DH660" i="12" s="1" a="1"/>
  <c r="B660" i="12"/>
  <c r="C660" i="12"/>
  <c r="D660" i="12"/>
  <c r="A661" i="12"/>
  <c r="DH661" i="12" s="1" a="1"/>
  <c r="B661" i="12"/>
  <c r="E661" i="12" s="1"/>
  <c r="C661" i="12"/>
  <c r="D661" i="12"/>
  <c r="A662" i="12"/>
  <c r="DH662" i="12" s="1" a="1"/>
  <c r="B662" i="12"/>
  <c r="C662" i="12"/>
  <c r="D662" i="12"/>
  <c r="A663" i="12"/>
  <c r="DH663" i="12" s="1" a="1"/>
  <c r="B663" i="12"/>
  <c r="C663" i="12"/>
  <c r="D663" i="12"/>
  <c r="A664" i="12"/>
  <c r="B664" i="12"/>
  <c r="C664" i="12"/>
  <c r="D664" i="12"/>
  <c r="A665" i="12"/>
  <c r="DH665" i="12" s="1" a="1"/>
  <c r="B665" i="12"/>
  <c r="E665" i="12" s="1"/>
  <c r="C665" i="12"/>
  <c r="D665" i="12"/>
  <c r="A666" i="12"/>
  <c r="DH666" i="12" s="1" a="1"/>
  <c r="B666" i="12"/>
  <c r="E666" i="12" s="1"/>
  <c r="C666" i="12"/>
  <c r="D666" i="12"/>
  <c r="A667" i="12"/>
  <c r="DH667" i="12" s="1" a="1"/>
  <c r="B667" i="12"/>
  <c r="C667" i="12"/>
  <c r="D667" i="12"/>
  <c r="A668" i="12"/>
  <c r="B668" i="12"/>
  <c r="C668" i="12"/>
  <c r="D668" i="12"/>
  <c r="A669" i="12"/>
  <c r="DH669" i="12" s="1" a="1"/>
  <c r="B669" i="12"/>
  <c r="C669" i="12"/>
  <c r="D669" i="12"/>
  <c r="A670" i="12"/>
  <c r="DH670" i="12" s="1" a="1"/>
  <c r="B670" i="12"/>
  <c r="C670" i="12"/>
  <c r="D670" i="12"/>
  <c r="A671" i="12"/>
  <c r="DH671" i="12" s="1" a="1"/>
  <c r="B671" i="12"/>
  <c r="E671" i="12" s="1"/>
  <c r="C671" i="12"/>
  <c r="D671" i="12"/>
  <c r="A672" i="12"/>
  <c r="DH672" i="12" s="1" a="1"/>
  <c r="B672" i="12"/>
  <c r="C672" i="12"/>
  <c r="D672" i="12"/>
  <c r="A645" i="12"/>
  <c r="DH645" i="12" s="1" a="1"/>
  <c r="B645" i="12"/>
  <c r="C645" i="12"/>
  <c r="D645" i="12"/>
  <c r="E645" i="12"/>
  <c r="AJ645" i="12"/>
  <c r="AK645" i="12"/>
  <c r="AL645" i="12"/>
  <c r="AM645" i="12"/>
  <c r="A646" i="12"/>
  <c r="DH646" i="12" s="1" a="1"/>
  <c r="B646" i="12"/>
  <c r="C646" i="12"/>
  <c r="D646" i="12"/>
  <c r="A647" i="12"/>
  <c r="B647" i="12"/>
  <c r="C647" i="12"/>
  <c r="D647" i="12"/>
  <c r="A648" i="12"/>
  <c r="DH648" i="12" s="1" a="1"/>
  <c r="B648" i="12"/>
  <c r="E648" i="12" s="1"/>
  <c r="C648" i="12"/>
  <c r="D648" i="12"/>
  <c r="A649" i="12"/>
  <c r="DH649" i="12" s="1" a="1"/>
  <c r="B649" i="12"/>
  <c r="C649" i="12"/>
  <c r="D649" i="12"/>
  <c r="E649" i="12"/>
  <c r="AK649" i="12"/>
  <c r="AL649" i="12"/>
  <c r="AM649" i="12"/>
  <c r="A650" i="12"/>
  <c r="DH650" i="12" s="1" a="1"/>
  <c r="B650" i="12"/>
  <c r="C650" i="12"/>
  <c r="D650" i="12"/>
  <c r="A651" i="12"/>
  <c r="DH651" i="12" s="1" a="1"/>
  <c r="B651" i="12"/>
  <c r="C651" i="12"/>
  <c r="D651" i="12"/>
  <c r="A652" i="12"/>
  <c r="B652" i="12"/>
  <c r="C652" i="12"/>
  <c r="D652" i="12"/>
  <c r="A653" i="12"/>
  <c r="DH653" i="12" s="1" a="1"/>
  <c r="B653" i="12"/>
  <c r="C653" i="12"/>
  <c r="D653" i="12"/>
  <c r="A654" i="12"/>
  <c r="DH654" i="12" s="1" a="1"/>
  <c r="B654" i="12"/>
  <c r="C654" i="12"/>
  <c r="D654" i="12"/>
  <c r="A655" i="12"/>
  <c r="DH655" i="12" s="1" a="1"/>
  <c r="B655" i="12"/>
  <c r="C655" i="12"/>
  <c r="D655" i="12"/>
  <c r="A656" i="12"/>
  <c r="DH656" i="12" s="1" a="1"/>
  <c r="B656" i="12"/>
  <c r="C656" i="12"/>
  <c r="D656" i="12"/>
  <c r="A657" i="12"/>
  <c r="DH657" i="12" s="1" a="1"/>
  <c r="B657" i="12"/>
  <c r="C657" i="12"/>
  <c r="D657" i="12"/>
  <c r="A658" i="12"/>
  <c r="DH658" i="12" s="1" a="1"/>
  <c r="B658" i="12"/>
  <c r="C658" i="12"/>
  <c r="D658" i="12"/>
  <c r="A631" i="12"/>
  <c r="DH631" i="12" s="1" a="1"/>
  <c r="B631" i="12"/>
  <c r="E631" i="12" s="1"/>
  <c r="C631" i="12"/>
  <c r="D631" i="12"/>
  <c r="A632" i="12"/>
  <c r="DH632" i="12" s="1" a="1"/>
  <c r="B632" i="12"/>
  <c r="C632" i="12"/>
  <c r="D632" i="12"/>
  <c r="A633" i="12"/>
  <c r="DH633" i="12" s="1" a="1"/>
  <c r="B633" i="12"/>
  <c r="C633" i="12"/>
  <c r="D633" i="12"/>
  <c r="A634" i="12"/>
  <c r="DH634" i="12" s="1" a="1"/>
  <c r="B634" i="12"/>
  <c r="C634" i="12"/>
  <c r="D634" i="12"/>
  <c r="A635" i="12"/>
  <c r="DH635" i="12" s="1" a="1"/>
  <c r="B635" i="12"/>
  <c r="C635" i="12"/>
  <c r="D635" i="12"/>
  <c r="A636" i="12"/>
  <c r="DH636" i="12" s="1" a="1"/>
  <c r="B636" i="12"/>
  <c r="C636" i="12"/>
  <c r="D636" i="12"/>
  <c r="A637" i="12"/>
  <c r="B637" i="12"/>
  <c r="C637" i="12"/>
  <c r="D637" i="12"/>
  <c r="A638" i="12"/>
  <c r="B638" i="12"/>
  <c r="C638" i="12"/>
  <c r="D638" i="12"/>
  <c r="A639" i="12"/>
  <c r="DH639" i="12" s="1" a="1"/>
  <c r="B639" i="12"/>
  <c r="C639" i="12"/>
  <c r="D639" i="12"/>
  <c r="A640" i="12"/>
  <c r="DH640" i="12" s="1" a="1"/>
  <c r="B640" i="12"/>
  <c r="C640" i="12"/>
  <c r="D640" i="12"/>
  <c r="A641" i="12"/>
  <c r="B641" i="12"/>
  <c r="C641" i="12"/>
  <c r="D641" i="12"/>
  <c r="A642" i="12"/>
  <c r="DH642" i="12" s="1" a="1"/>
  <c r="B642" i="12"/>
  <c r="C642" i="12"/>
  <c r="D642" i="12"/>
  <c r="A643" i="12"/>
  <c r="DH643" i="12" s="1" a="1"/>
  <c r="B643" i="12"/>
  <c r="C643" i="12"/>
  <c r="D643" i="12"/>
  <c r="A644" i="12"/>
  <c r="DH644" i="12" s="1" a="1"/>
  <c r="B644" i="12"/>
  <c r="C644" i="12"/>
  <c r="D644" i="12"/>
  <c r="A617" i="12"/>
  <c r="DH617" i="12" s="1" a="1"/>
  <c r="B617" i="12"/>
  <c r="A618" i="12"/>
  <c r="B618" i="12"/>
  <c r="A619" i="12"/>
  <c r="DH619" i="12" s="1" a="1"/>
  <c r="B619" i="12"/>
  <c r="A620" i="12"/>
  <c r="B620" i="12"/>
  <c r="C620" i="12"/>
  <c r="D620" i="12"/>
  <c r="A621" i="12"/>
  <c r="DH621" i="12" s="1" a="1"/>
  <c r="B621" i="12"/>
  <c r="C621" i="12"/>
  <c r="D621" i="12"/>
  <c r="A622" i="12"/>
  <c r="DH622" i="12" s="1" a="1"/>
  <c r="B622" i="12"/>
  <c r="C622" i="12"/>
  <c r="D622" i="12"/>
  <c r="A623" i="12"/>
  <c r="DH623" i="12" s="1" a="1"/>
  <c r="B623" i="12"/>
  <c r="C623" i="12"/>
  <c r="D623" i="12"/>
  <c r="A624" i="12"/>
  <c r="DH624" i="12" s="1" a="1"/>
  <c r="B624" i="12"/>
  <c r="C624" i="12"/>
  <c r="D624" i="12"/>
  <c r="A625" i="12"/>
  <c r="B625" i="12"/>
  <c r="C625" i="12"/>
  <c r="D625" i="12"/>
  <c r="A626" i="12"/>
  <c r="DH626" i="12" s="1" a="1"/>
  <c r="B626" i="12"/>
  <c r="E626" i="12" s="1"/>
  <c r="C626" i="12"/>
  <c r="D626" i="12"/>
  <c r="A627" i="12"/>
  <c r="DH627" i="12" s="1" a="1"/>
  <c r="B627" i="12"/>
  <c r="C627" i="12"/>
  <c r="D627" i="12"/>
  <c r="A628" i="12"/>
  <c r="DH628" i="12" s="1" a="1"/>
  <c r="B628" i="12"/>
  <c r="C628" i="12"/>
  <c r="D628" i="12"/>
  <c r="A629" i="12"/>
  <c r="DH629" i="12" s="1" a="1"/>
  <c r="B629" i="12"/>
  <c r="C629" i="12"/>
  <c r="D629" i="12"/>
  <c r="A630" i="12"/>
  <c r="DH630" i="12" s="1" a="1"/>
  <c r="B630" i="12"/>
  <c r="E630" i="12" s="1"/>
  <c r="C630" i="12"/>
  <c r="D630" i="12"/>
  <c r="A603" i="12"/>
  <c r="DH603" i="12" s="1" a="1"/>
  <c r="B603" i="12"/>
  <c r="E603" i="12"/>
  <c r="A604" i="12"/>
  <c r="B604" i="12"/>
  <c r="A605" i="12"/>
  <c r="DH605" i="12" s="1" a="1"/>
  <c r="B605" i="12"/>
  <c r="A606" i="12"/>
  <c r="B606" i="12"/>
  <c r="A607" i="12"/>
  <c r="B607" i="12"/>
  <c r="A608" i="12"/>
  <c r="B608" i="12"/>
  <c r="A609" i="12"/>
  <c r="DH609" i="12" s="1" a="1"/>
  <c r="B609" i="12"/>
  <c r="A610" i="12"/>
  <c r="DH610" i="12" s="1" a="1"/>
  <c r="B610" i="12"/>
  <c r="A611" i="12"/>
  <c r="DH611" i="12" s="1" a="1"/>
  <c r="B611" i="12"/>
  <c r="A612" i="12"/>
  <c r="DH612" i="12" s="1" a="1"/>
  <c r="B612" i="12"/>
  <c r="A613" i="12"/>
  <c r="DH613" i="12" s="1" a="1"/>
  <c r="B613" i="12"/>
  <c r="A614" i="12"/>
  <c r="DH614" i="12" s="1" a="1"/>
  <c r="B614" i="12"/>
  <c r="A615" i="12"/>
  <c r="B615" i="12"/>
  <c r="A616" i="12"/>
  <c r="B616" i="12"/>
  <c r="A589" i="12"/>
  <c r="DH589" i="12" s="1" a="1"/>
  <c r="B589" i="12"/>
  <c r="E589" i="12" s="1"/>
  <c r="A590" i="12"/>
  <c r="DH590" i="12" s="1" a="1"/>
  <c r="B590" i="12"/>
  <c r="A591" i="12"/>
  <c r="DH591" i="12" s="1" a="1"/>
  <c r="B591" i="12"/>
  <c r="A592" i="12"/>
  <c r="DH592" i="12" s="1" a="1"/>
  <c r="B592" i="12"/>
  <c r="E592" i="12" s="1"/>
  <c r="A593" i="12"/>
  <c r="DH593" i="12" s="1" a="1"/>
  <c r="B593" i="12"/>
  <c r="E593" i="12" s="1"/>
  <c r="A594" i="12"/>
  <c r="B594" i="12"/>
  <c r="A595" i="12"/>
  <c r="DH595" i="12" s="1" a="1"/>
  <c r="B595" i="12"/>
  <c r="A596" i="12"/>
  <c r="DH596" i="12" s="1" a="1"/>
  <c r="B596" i="12"/>
  <c r="E596" i="12" s="1"/>
  <c r="A597" i="12"/>
  <c r="DH597" i="12" s="1" a="1"/>
  <c r="B597" i="12"/>
  <c r="A598" i="12"/>
  <c r="DH598" i="12" s="1" a="1"/>
  <c r="B598" i="12"/>
  <c r="A599" i="12"/>
  <c r="DH599" i="12" s="1" a="1"/>
  <c r="B599" i="12"/>
  <c r="A600" i="12"/>
  <c r="DH600" i="12" s="1" a="1"/>
  <c r="B600" i="12"/>
  <c r="A601" i="12"/>
  <c r="DH601" i="12" s="1" a="1"/>
  <c r="B601" i="12"/>
  <c r="A602" i="12"/>
  <c r="DH602" i="12" s="1" a="1"/>
  <c r="B602" i="12"/>
  <c r="A575" i="12"/>
  <c r="DH575" i="12" s="1" a="1"/>
  <c r="B575" i="12"/>
  <c r="C575" i="12"/>
  <c r="D575" i="12"/>
  <c r="A576" i="12"/>
  <c r="DH576" i="12" s="1" a="1"/>
  <c r="B576" i="12"/>
  <c r="C576" i="12"/>
  <c r="D576" i="12"/>
  <c r="A577" i="12"/>
  <c r="DH577" i="12" s="1" a="1"/>
  <c r="B577" i="12"/>
  <c r="C577" i="12"/>
  <c r="D577" i="12"/>
  <c r="A578" i="12"/>
  <c r="DH578" i="12" s="1" a="1"/>
  <c r="B578" i="12"/>
  <c r="C578" i="12"/>
  <c r="D578" i="12"/>
  <c r="A579" i="12"/>
  <c r="DH579" i="12" s="1" a="1"/>
  <c r="B579" i="12"/>
  <c r="C579" i="12"/>
  <c r="D579" i="12"/>
  <c r="A580" i="12"/>
  <c r="DH580" i="12" s="1" a="1"/>
  <c r="B580" i="12"/>
  <c r="C580" i="12"/>
  <c r="D580" i="12"/>
  <c r="A581" i="12"/>
  <c r="DH581" i="12" s="1" a="1"/>
  <c r="B581" i="12"/>
  <c r="C581" i="12"/>
  <c r="D581" i="12"/>
  <c r="A582" i="12"/>
  <c r="DH582" i="12" s="1" a="1"/>
  <c r="B582" i="12"/>
  <c r="C582" i="12"/>
  <c r="D582" i="12"/>
  <c r="A583" i="12"/>
  <c r="DH583" i="12" s="1" a="1"/>
  <c r="B583" i="12"/>
  <c r="C583" i="12"/>
  <c r="D583" i="12"/>
  <c r="A584" i="12"/>
  <c r="DH584" i="12" s="1" a="1"/>
  <c r="B584" i="12"/>
  <c r="D584" i="12"/>
  <c r="A585" i="12"/>
  <c r="DH585" i="12" s="1" a="1"/>
  <c r="B585" i="12"/>
  <c r="A586" i="12"/>
  <c r="DH586" i="12" s="1" a="1"/>
  <c r="B586" i="12"/>
  <c r="A587" i="12"/>
  <c r="DH587" i="12" s="1" a="1"/>
  <c r="B587" i="12"/>
  <c r="E587" i="12" s="1"/>
  <c r="A588" i="12"/>
  <c r="DH588" i="12" s="1" a="1"/>
  <c r="B588" i="12"/>
  <c r="A561" i="12"/>
  <c r="DH561" i="12" s="1" a="1"/>
  <c r="B561" i="12"/>
  <c r="C561" i="12"/>
  <c r="D561" i="12"/>
  <c r="A562" i="12"/>
  <c r="DH562" i="12" s="1" a="1"/>
  <c r="B562" i="12"/>
  <c r="C562" i="12"/>
  <c r="D562" i="12"/>
  <c r="A563" i="12"/>
  <c r="DH563" i="12" s="1" a="1"/>
  <c r="B563" i="12"/>
  <c r="C563" i="12"/>
  <c r="D563" i="12"/>
  <c r="A564" i="12"/>
  <c r="DH564" i="12" s="1" a="1"/>
  <c r="B564" i="12"/>
  <c r="C564" i="12"/>
  <c r="D564" i="12"/>
  <c r="A565" i="12"/>
  <c r="DH565" i="12" s="1" a="1"/>
  <c r="B565" i="12"/>
  <c r="C565" i="12"/>
  <c r="D565" i="12"/>
  <c r="A566" i="12"/>
  <c r="DH566" i="12" s="1" a="1"/>
  <c r="B566" i="12"/>
  <c r="C566" i="12"/>
  <c r="D566" i="12"/>
  <c r="A567" i="12"/>
  <c r="DH567" i="12" s="1" a="1"/>
  <c r="B567" i="12"/>
  <c r="E567" i="12" s="1"/>
  <c r="C567" i="12"/>
  <c r="D567" i="12"/>
  <c r="A568" i="12"/>
  <c r="DH568" i="12" s="1" a="1"/>
  <c r="B568" i="12"/>
  <c r="C568" i="12"/>
  <c r="D568" i="12"/>
  <c r="A569" i="12"/>
  <c r="DH569" i="12" s="1" a="1"/>
  <c r="B569" i="12"/>
  <c r="C569" i="12"/>
  <c r="D569" i="12"/>
  <c r="A570" i="12"/>
  <c r="DH570" i="12" s="1" a="1"/>
  <c r="B570" i="12"/>
  <c r="C570" i="12"/>
  <c r="D570" i="12"/>
  <c r="A571" i="12"/>
  <c r="DH571" i="12" s="1" a="1"/>
  <c r="B571" i="12"/>
  <c r="C571" i="12"/>
  <c r="D571" i="12"/>
  <c r="A572" i="12"/>
  <c r="DH572" i="12" s="1" a="1"/>
  <c r="B572" i="12"/>
  <c r="C572" i="12"/>
  <c r="D572" i="12"/>
  <c r="A573" i="12"/>
  <c r="DH573" i="12" s="1" a="1"/>
  <c r="B573" i="12"/>
  <c r="E573" i="12" s="1"/>
  <c r="C573" i="12"/>
  <c r="D573" i="12"/>
  <c r="A574" i="12"/>
  <c r="DH574" i="12" s="1" a="1"/>
  <c r="B574" i="12"/>
  <c r="C574" i="12"/>
  <c r="D574" i="12"/>
  <c r="A547" i="12"/>
  <c r="DH547" i="12" s="1" a="1"/>
  <c r="B547" i="12"/>
  <c r="C547" i="12"/>
  <c r="D547" i="12"/>
  <c r="A548" i="12"/>
  <c r="DH548" i="12" s="1" a="1"/>
  <c r="B548" i="12"/>
  <c r="C548" i="12"/>
  <c r="D548" i="12"/>
  <c r="A549" i="12"/>
  <c r="DH549" i="12" s="1" a="1"/>
  <c r="B549" i="12"/>
  <c r="C549" i="12"/>
  <c r="D549" i="12"/>
  <c r="A550" i="12"/>
  <c r="DH550" i="12" s="1" a="1"/>
  <c r="B550" i="12"/>
  <c r="C550" i="12"/>
  <c r="D550" i="12"/>
  <c r="A551" i="12"/>
  <c r="DH551" i="12" s="1" a="1"/>
  <c r="B551" i="12"/>
  <c r="C551" i="12"/>
  <c r="D551" i="12"/>
  <c r="A552" i="12"/>
  <c r="DH552" i="12" s="1" a="1"/>
  <c r="B552" i="12"/>
  <c r="C552" i="12"/>
  <c r="D552" i="12"/>
  <c r="A553" i="12"/>
  <c r="DH553" i="12" s="1" a="1"/>
  <c r="B553" i="12"/>
  <c r="C553" i="12"/>
  <c r="D553" i="12"/>
  <c r="A554" i="12"/>
  <c r="DH554" i="12" s="1" a="1"/>
  <c r="B554" i="12"/>
  <c r="C554" i="12"/>
  <c r="D554" i="12"/>
  <c r="A555" i="12"/>
  <c r="DH555" i="12" s="1" a="1"/>
  <c r="B555" i="12"/>
  <c r="E555" i="12" s="1"/>
  <c r="C555" i="12"/>
  <c r="D555" i="12"/>
  <c r="A556" i="12"/>
  <c r="DH556" i="12" s="1" a="1"/>
  <c r="B556" i="12"/>
  <c r="C556" i="12"/>
  <c r="D556" i="12"/>
  <c r="A557" i="12"/>
  <c r="DH557" i="12" s="1" a="1"/>
  <c r="B557" i="12"/>
  <c r="C557" i="12"/>
  <c r="D557" i="12"/>
  <c r="A558" i="12"/>
  <c r="DH558" i="12" s="1" a="1"/>
  <c r="B558" i="12"/>
  <c r="C558" i="12"/>
  <c r="D558" i="12"/>
  <c r="A559" i="12"/>
  <c r="DH559" i="12" s="1" a="1"/>
  <c r="B559" i="12"/>
  <c r="C559" i="12"/>
  <c r="D559" i="12"/>
  <c r="A560" i="12"/>
  <c r="DH560" i="12" s="1" a="1"/>
  <c r="B560" i="12"/>
  <c r="C560" i="12"/>
  <c r="D560" i="12"/>
  <c r="A533" i="12"/>
  <c r="DH533" i="12" s="1" a="1"/>
  <c r="B533" i="12"/>
  <c r="C533" i="12"/>
  <c r="D533" i="12"/>
  <c r="A534" i="12"/>
  <c r="DH534" i="12" s="1" a="1"/>
  <c r="B534" i="12"/>
  <c r="C534" i="12"/>
  <c r="D534" i="12"/>
  <c r="A535" i="12"/>
  <c r="DH535" i="12" s="1" a="1"/>
  <c r="B535" i="12"/>
  <c r="C535" i="12"/>
  <c r="D535" i="12"/>
  <c r="A536" i="12"/>
  <c r="DH536" i="12" s="1" a="1"/>
  <c r="B536" i="12"/>
  <c r="C536" i="12"/>
  <c r="D536" i="12"/>
  <c r="A537" i="12"/>
  <c r="DH537" i="12" s="1" a="1"/>
  <c r="B537" i="12"/>
  <c r="C537" i="12"/>
  <c r="D537" i="12"/>
  <c r="A538" i="12"/>
  <c r="DH538" i="12" s="1" a="1"/>
  <c r="B538" i="12"/>
  <c r="E538" i="12" s="1"/>
  <c r="C538" i="12"/>
  <c r="D538" i="12"/>
  <c r="A539" i="12"/>
  <c r="DH539" i="12" s="1" a="1"/>
  <c r="B539" i="12"/>
  <c r="C539" i="12"/>
  <c r="D539" i="12"/>
  <c r="A540" i="12"/>
  <c r="DH540" i="12" s="1" a="1"/>
  <c r="B540" i="12"/>
  <c r="C540" i="12"/>
  <c r="D540" i="12"/>
  <c r="A541" i="12"/>
  <c r="DH541" i="12" s="1" a="1"/>
  <c r="B541" i="12"/>
  <c r="E541" i="12" s="1"/>
  <c r="C541" i="12"/>
  <c r="D541" i="12"/>
  <c r="A542" i="12"/>
  <c r="DH542" i="12" s="1" a="1"/>
  <c r="B542" i="12"/>
  <c r="C542" i="12"/>
  <c r="D542" i="12"/>
  <c r="A543" i="12"/>
  <c r="DH543" i="12" s="1" a="1"/>
  <c r="B543" i="12"/>
  <c r="C543" i="12"/>
  <c r="D543" i="12"/>
  <c r="A544" i="12"/>
  <c r="DH544" i="12" s="1" a="1"/>
  <c r="B544" i="12"/>
  <c r="C544" i="12"/>
  <c r="D544" i="12"/>
  <c r="A545" i="12"/>
  <c r="DH545" i="12" s="1" a="1"/>
  <c r="B545" i="12"/>
  <c r="C545" i="12"/>
  <c r="D545" i="12"/>
  <c r="A546" i="12"/>
  <c r="DH546" i="12" s="1" a="1"/>
  <c r="B546" i="12"/>
  <c r="C546" i="12"/>
  <c r="D546" i="12"/>
  <c r="A519" i="12"/>
  <c r="DH519" i="12" s="1" a="1"/>
  <c r="B519" i="12"/>
  <c r="C519" i="12"/>
  <c r="D519" i="12"/>
  <c r="A520" i="12"/>
  <c r="DH520" i="12" s="1" a="1"/>
  <c r="B520" i="12"/>
  <c r="C520" i="12"/>
  <c r="D520" i="12"/>
  <c r="A521" i="12"/>
  <c r="DH521" i="12" s="1" a="1"/>
  <c r="B521" i="12"/>
  <c r="E521" i="12" s="1"/>
  <c r="C521" i="12"/>
  <c r="D521" i="12"/>
  <c r="A522" i="12"/>
  <c r="DH522" i="12" s="1" a="1"/>
  <c r="B522" i="12"/>
  <c r="C522" i="12"/>
  <c r="D522" i="12"/>
  <c r="A523" i="12"/>
  <c r="DH523" i="12" s="1" a="1"/>
  <c r="B523" i="12"/>
  <c r="C523" i="12"/>
  <c r="D523" i="12"/>
  <c r="A524" i="12"/>
  <c r="DH524" i="12" s="1" a="1"/>
  <c r="B524" i="12"/>
  <c r="C524" i="12"/>
  <c r="D524" i="12"/>
  <c r="A525" i="12"/>
  <c r="DH525" i="12" s="1" a="1"/>
  <c r="B525" i="12"/>
  <c r="C525" i="12"/>
  <c r="D525" i="12"/>
  <c r="A526" i="12"/>
  <c r="DH526" i="12" s="1" a="1"/>
  <c r="B526" i="12"/>
  <c r="C526" i="12"/>
  <c r="D526" i="12"/>
  <c r="A527" i="12"/>
  <c r="DH527" i="12" s="1" a="1"/>
  <c r="B527" i="12"/>
  <c r="C527" i="12"/>
  <c r="D527" i="12"/>
  <c r="A528" i="12"/>
  <c r="DH528" i="12" s="1" a="1"/>
  <c r="B528" i="12"/>
  <c r="E528" i="12" s="1"/>
  <c r="C528" i="12"/>
  <c r="D528" i="12"/>
  <c r="A529" i="12"/>
  <c r="DH529" i="12" s="1" a="1"/>
  <c r="B529" i="12"/>
  <c r="C529" i="12"/>
  <c r="D529" i="12"/>
  <c r="A530" i="12"/>
  <c r="DH530" i="12" s="1" a="1"/>
  <c r="B530" i="12"/>
  <c r="C530" i="12"/>
  <c r="D530" i="12"/>
  <c r="A531" i="12"/>
  <c r="DH531" i="12" s="1" a="1"/>
  <c r="B531" i="12"/>
  <c r="E531" i="12" s="1"/>
  <c r="C531" i="12"/>
  <c r="D531" i="12"/>
  <c r="A532" i="12"/>
  <c r="DH532" i="12" s="1" a="1"/>
  <c r="B532" i="12"/>
  <c r="C532" i="12"/>
  <c r="D532" i="12"/>
  <c r="A505" i="12"/>
  <c r="DH505" i="12" s="1" a="1"/>
  <c r="B505" i="12"/>
  <c r="C505" i="12"/>
  <c r="D505" i="12"/>
  <c r="A506" i="12"/>
  <c r="DH506" i="12" s="1" a="1"/>
  <c r="B506" i="12"/>
  <c r="C506" i="12"/>
  <c r="D506" i="12"/>
  <c r="A507" i="12"/>
  <c r="DH507" i="12" s="1" a="1"/>
  <c r="B507" i="12"/>
  <c r="C507" i="12"/>
  <c r="D507" i="12"/>
  <c r="A508" i="12"/>
  <c r="DH508" i="12" s="1" a="1"/>
  <c r="B508" i="12"/>
  <c r="E508" i="12" s="1"/>
  <c r="C508" i="12"/>
  <c r="D508" i="12"/>
  <c r="A509" i="12"/>
  <c r="DH509" i="12" s="1" a="1"/>
  <c r="B509" i="12"/>
  <c r="C509" i="12"/>
  <c r="D509" i="12"/>
  <c r="A510" i="12"/>
  <c r="DH510" i="12" s="1" a="1"/>
  <c r="B510" i="12"/>
  <c r="C510" i="12"/>
  <c r="D510" i="12"/>
  <c r="A511" i="12"/>
  <c r="DH511" i="12" s="1" a="1"/>
  <c r="B511" i="12"/>
  <c r="C511" i="12"/>
  <c r="D511" i="12"/>
  <c r="A512" i="12"/>
  <c r="DH512" i="12" s="1" a="1"/>
  <c r="B512" i="12"/>
  <c r="C512" i="12"/>
  <c r="D512" i="12"/>
  <c r="A513" i="12"/>
  <c r="DH513" i="12" s="1" a="1"/>
  <c r="B513" i="12"/>
  <c r="C513" i="12"/>
  <c r="D513" i="12"/>
  <c r="A514" i="12"/>
  <c r="DH514" i="12" s="1" a="1"/>
  <c r="B514" i="12"/>
  <c r="C514" i="12"/>
  <c r="D514" i="12"/>
  <c r="A515" i="12"/>
  <c r="DH515" i="12" s="1" a="1"/>
  <c r="B515" i="12"/>
  <c r="C515" i="12"/>
  <c r="D515" i="12"/>
  <c r="A516" i="12"/>
  <c r="B516" i="12"/>
  <c r="C516" i="12"/>
  <c r="D516" i="12"/>
  <c r="A517" i="12"/>
  <c r="DH517" i="12" s="1" a="1"/>
  <c r="B517" i="12"/>
  <c r="C517" i="12"/>
  <c r="D517" i="12"/>
  <c r="A518" i="12"/>
  <c r="DH518" i="12" s="1" a="1"/>
  <c r="B518" i="12"/>
  <c r="C518" i="12"/>
  <c r="D518" i="12"/>
  <c r="A491" i="12"/>
  <c r="DH491" i="12" s="1" a="1"/>
  <c r="B491" i="12"/>
  <c r="C491" i="12"/>
  <c r="D491" i="12"/>
  <c r="A492" i="12"/>
  <c r="DH492" i="12" s="1" a="1"/>
  <c r="B492" i="12"/>
  <c r="E492" i="12" s="1"/>
  <c r="C492" i="12"/>
  <c r="D492" i="12"/>
  <c r="A493" i="12"/>
  <c r="B493" i="12"/>
  <c r="C493" i="12"/>
  <c r="D493" i="12"/>
  <c r="A494" i="12"/>
  <c r="DH494" i="12" s="1" a="1"/>
  <c r="B494" i="12"/>
  <c r="C494" i="12"/>
  <c r="D494" i="12"/>
  <c r="A495" i="12"/>
  <c r="DH495" i="12" s="1" a="1"/>
  <c r="B495" i="12"/>
  <c r="C495" i="12"/>
  <c r="D495" i="12"/>
  <c r="A496" i="12"/>
  <c r="DH496" i="12" s="1" a="1"/>
  <c r="B496" i="12"/>
  <c r="C496" i="12"/>
  <c r="D496" i="12"/>
  <c r="A497" i="12"/>
  <c r="DH497" i="12" s="1" a="1"/>
  <c r="B497" i="12"/>
  <c r="C497" i="12"/>
  <c r="D497" i="12"/>
  <c r="A498" i="12"/>
  <c r="DH498" i="12" s="1" a="1"/>
  <c r="B498" i="12"/>
  <c r="C498" i="12"/>
  <c r="D498" i="12"/>
  <c r="A499" i="12"/>
  <c r="DH499" i="12" s="1" a="1"/>
  <c r="B499" i="12"/>
  <c r="C499" i="12"/>
  <c r="D499" i="12"/>
  <c r="A500" i="12"/>
  <c r="DH500" i="12" s="1" a="1"/>
  <c r="B500" i="12"/>
  <c r="C500" i="12"/>
  <c r="D500" i="12"/>
  <c r="A501" i="12"/>
  <c r="DH501" i="12" s="1" a="1"/>
  <c r="B501" i="12"/>
  <c r="C501" i="12"/>
  <c r="D501" i="12"/>
  <c r="A502" i="12"/>
  <c r="DH502" i="12" s="1" a="1"/>
  <c r="B502" i="12"/>
  <c r="C502" i="12"/>
  <c r="D502" i="12"/>
  <c r="A503" i="12"/>
  <c r="B503" i="12"/>
  <c r="C503" i="12"/>
  <c r="D503" i="12"/>
  <c r="A504" i="12"/>
  <c r="DH504" i="12" s="1" a="1"/>
  <c r="B504" i="12"/>
  <c r="C504" i="12"/>
  <c r="D504" i="12"/>
  <c r="A477" i="12"/>
  <c r="DH477" i="12" s="1" a="1"/>
  <c r="B477" i="12"/>
  <c r="C477" i="12"/>
  <c r="D477" i="12"/>
  <c r="A478" i="12"/>
  <c r="B478" i="12"/>
  <c r="C478" i="12"/>
  <c r="D478" i="12"/>
  <c r="A479" i="12"/>
  <c r="DH479" i="12" s="1" a="1"/>
  <c r="B479" i="12"/>
  <c r="C479" i="12"/>
  <c r="D479" i="12"/>
  <c r="A480" i="12"/>
  <c r="DH480" i="12" s="1" a="1"/>
  <c r="B480" i="12"/>
  <c r="C480" i="12"/>
  <c r="D480" i="12"/>
  <c r="A481" i="12"/>
  <c r="DH481" i="12" s="1" a="1"/>
  <c r="B481" i="12"/>
  <c r="C481" i="12"/>
  <c r="D481" i="12"/>
  <c r="A482" i="12"/>
  <c r="DH482" i="12" s="1" a="1"/>
  <c r="B482" i="12"/>
  <c r="C482" i="12"/>
  <c r="D482" i="12"/>
  <c r="A483" i="12"/>
  <c r="DH483" i="12" s="1" a="1"/>
  <c r="B483" i="12"/>
  <c r="C483" i="12"/>
  <c r="D483" i="12"/>
  <c r="A484" i="12"/>
  <c r="DH484" i="12" s="1" a="1"/>
  <c r="B484" i="12"/>
  <c r="C484" i="12"/>
  <c r="D484" i="12"/>
  <c r="A485" i="12"/>
  <c r="DH485" i="12" s="1" a="1"/>
  <c r="B485" i="12"/>
  <c r="C485" i="12"/>
  <c r="D485" i="12"/>
  <c r="A486" i="12"/>
  <c r="DH486" i="12" s="1" a="1"/>
  <c r="B486" i="12"/>
  <c r="C486" i="12"/>
  <c r="D486" i="12"/>
  <c r="A487" i="12"/>
  <c r="DH487" i="12" s="1" a="1"/>
  <c r="B487" i="12"/>
  <c r="C487" i="12"/>
  <c r="D487" i="12"/>
  <c r="A488" i="12"/>
  <c r="DH488" i="12" s="1" a="1"/>
  <c r="B488" i="12"/>
  <c r="E488" i="12" s="1"/>
  <c r="C488" i="12"/>
  <c r="D488" i="12"/>
  <c r="A489" i="12"/>
  <c r="DH489" i="12" s="1" a="1"/>
  <c r="B489" i="12"/>
  <c r="C489" i="12"/>
  <c r="D489" i="12"/>
  <c r="A490" i="12"/>
  <c r="DH490" i="12" s="1" a="1"/>
  <c r="B490" i="12"/>
  <c r="C490" i="12"/>
  <c r="D490" i="12"/>
  <c r="A463" i="12"/>
  <c r="DH463" i="12" s="1" a="1"/>
  <c r="B463" i="12"/>
  <c r="E463" i="12" s="1"/>
  <c r="C463" i="12"/>
  <c r="D463" i="12"/>
  <c r="A464" i="12"/>
  <c r="B464" i="12"/>
  <c r="C464" i="12"/>
  <c r="D464" i="12"/>
  <c r="A465" i="12"/>
  <c r="DH465" i="12" s="1" a="1"/>
  <c r="B465" i="12"/>
  <c r="C465" i="12"/>
  <c r="D465" i="12"/>
  <c r="A466" i="12"/>
  <c r="DH466" i="12" s="1" a="1"/>
  <c r="B466" i="12"/>
  <c r="C466" i="12"/>
  <c r="D466" i="12"/>
  <c r="A467" i="12"/>
  <c r="DH467" i="12" s="1" a="1"/>
  <c r="B467" i="12"/>
  <c r="C467" i="12"/>
  <c r="D467" i="12"/>
  <c r="A468" i="12"/>
  <c r="DH468" i="12" s="1" a="1"/>
  <c r="B468" i="12"/>
  <c r="C468" i="12"/>
  <c r="D468" i="12"/>
  <c r="A469" i="12"/>
  <c r="DH469" i="12" s="1" a="1"/>
  <c r="B469" i="12"/>
  <c r="C469" i="12"/>
  <c r="D469" i="12"/>
  <c r="A470" i="12"/>
  <c r="DH470" i="12" s="1" a="1"/>
  <c r="B470" i="12"/>
  <c r="E470" i="12" s="1"/>
  <c r="C470" i="12"/>
  <c r="D470" i="12"/>
  <c r="A471" i="12"/>
  <c r="DH471" i="12" s="1" a="1"/>
  <c r="B471" i="12"/>
  <c r="C471" i="12"/>
  <c r="D471" i="12"/>
  <c r="A472" i="12"/>
  <c r="DH472" i="12" s="1" a="1"/>
  <c r="B472" i="12"/>
  <c r="C472" i="12"/>
  <c r="D472" i="12"/>
  <c r="A473" i="12"/>
  <c r="DH473" i="12" s="1" a="1"/>
  <c r="B473" i="12"/>
  <c r="C473" i="12"/>
  <c r="D473" i="12"/>
  <c r="A474" i="12"/>
  <c r="DH474" i="12" s="1" a="1"/>
  <c r="B474" i="12"/>
  <c r="C474" i="12"/>
  <c r="D474" i="12"/>
  <c r="A475" i="12"/>
  <c r="DH475" i="12" s="1" a="1"/>
  <c r="B475" i="12"/>
  <c r="C475" i="12"/>
  <c r="D475" i="12"/>
  <c r="A476" i="12"/>
  <c r="DH476" i="12" s="1" a="1"/>
  <c r="B476" i="12"/>
  <c r="C476" i="12"/>
  <c r="D476" i="12"/>
  <c r="A449" i="12"/>
  <c r="DH449" i="12" s="1" a="1"/>
  <c r="B449" i="12"/>
  <c r="C449" i="12"/>
  <c r="D449" i="12"/>
  <c r="A450" i="12"/>
  <c r="DH450" i="12" s="1" a="1"/>
  <c r="B450" i="12"/>
  <c r="C450" i="12"/>
  <c r="D450" i="12"/>
  <c r="A451" i="12"/>
  <c r="DH451" i="12" s="1" a="1"/>
  <c r="B451" i="12"/>
  <c r="C451" i="12"/>
  <c r="D451" i="12"/>
  <c r="A452" i="12"/>
  <c r="DH452" i="12" s="1" a="1"/>
  <c r="B452" i="12"/>
  <c r="C452" i="12"/>
  <c r="D452" i="12"/>
  <c r="A453" i="12"/>
  <c r="DH453" i="12" s="1" a="1"/>
  <c r="B453" i="12"/>
  <c r="C453" i="12"/>
  <c r="D453" i="12"/>
  <c r="A454" i="12"/>
  <c r="DH454" i="12" s="1" a="1"/>
  <c r="B454" i="12"/>
  <c r="C454" i="12"/>
  <c r="D454" i="12"/>
  <c r="A455" i="12"/>
  <c r="DH455" i="12" s="1" a="1"/>
  <c r="B455" i="12"/>
  <c r="C455" i="12"/>
  <c r="D455" i="12"/>
  <c r="A456" i="12"/>
  <c r="DH456" i="12" s="1" a="1"/>
  <c r="B456" i="12"/>
  <c r="C456" i="12"/>
  <c r="D456" i="12"/>
  <c r="A457" i="12"/>
  <c r="DH457" i="12" s="1" a="1"/>
  <c r="B457" i="12"/>
  <c r="C457" i="12"/>
  <c r="D457" i="12"/>
  <c r="A458" i="12"/>
  <c r="DH458" i="12" s="1" a="1"/>
  <c r="B458" i="12"/>
  <c r="C458" i="12"/>
  <c r="D458" i="12"/>
  <c r="A459" i="12"/>
  <c r="DH459" i="12" s="1" a="1"/>
  <c r="B459" i="12"/>
  <c r="E459" i="12" s="1"/>
  <c r="C459" i="12"/>
  <c r="D459" i="12"/>
  <c r="A460" i="12"/>
  <c r="DH460" i="12" s="1" a="1"/>
  <c r="B460" i="12"/>
  <c r="C460" i="12"/>
  <c r="D460" i="12"/>
  <c r="A461" i="12"/>
  <c r="DH461" i="12" s="1" a="1"/>
  <c r="B461" i="12"/>
  <c r="C461" i="12"/>
  <c r="D461" i="12"/>
  <c r="A462" i="12"/>
  <c r="DH462" i="12" s="1" a="1"/>
  <c r="B462" i="12"/>
  <c r="C462" i="12"/>
  <c r="D462" i="12"/>
  <c r="A435" i="12"/>
  <c r="DH435" i="12" s="1" a="1"/>
  <c r="B435" i="12"/>
  <c r="C435" i="12"/>
  <c r="D435" i="12"/>
  <c r="A436" i="12"/>
  <c r="DH436" i="12" s="1" a="1"/>
  <c r="B436" i="12"/>
  <c r="C436" i="12"/>
  <c r="D436" i="12"/>
  <c r="A437" i="12"/>
  <c r="DH437" i="12" s="1" a="1"/>
  <c r="B437" i="12"/>
  <c r="C437" i="12"/>
  <c r="D437" i="12"/>
  <c r="A438" i="12"/>
  <c r="DH438" i="12" s="1" a="1"/>
  <c r="B438" i="12"/>
  <c r="E438" i="12" s="1"/>
  <c r="C438" i="12"/>
  <c r="D438" i="12"/>
  <c r="A439" i="12"/>
  <c r="DH439" i="12" s="1" a="1"/>
  <c r="B439" i="12"/>
  <c r="C439" i="12"/>
  <c r="D439" i="12"/>
  <c r="A440" i="12"/>
  <c r="DH440" i="12" s="1" a="1"/>
  <c r="B440" i="12"/>
  <c r="C440" i="12"/>
  <c r="D440" i="12"/>
  <c r="A441" i="12"/>
  <c r="DH441" i="12" s="1" a="1"/>
  <c r="B441" i="12"/>
  <c r="C441" i="12"/>
  <c r="D441" i="12"/>
  <c r="A442" i="12"/>
  <c r="DH442" i="12" s="1" a="1"/>
  <c r="B442" i="12"/>
  <c r="C442" i="12"/>
  <c r="D442" i="12"/>
  <c r="A443" i="12"/>
  <c r="DH443" i="12" s="1" a="1"/>
  <c r="B443" i="12"/>
  <c r="C443" i="12"/>
  <c r="D443" i="12"/>
  <c r="A444" i="12"/>
  <c r="DH444" i="12" s="1" a="1"/>
  <c r="B444" i="12"/>
  <c r="C444" i="12"/>
  <c r="D444" i="12"/>
  <c r="A445" i="12"/>
  <c r="DH445" i="12" s="1" a="1"/>
  <c r="B445" i="12"/>
  <c r="C445" i="12"/>
  <c r="D445" i="12"/>
  <c r="A446" i="12"/>
  <c r="DH446" i="12" s="1" a="1"/>
  <c r="B446" i="12"/>
  <c r="C446" i="12"/>
  <c r="D446" i="12"/>
  <c r="A447" i="12"/>
  <c r="DH447" i="12" s="1" a="1"/>
  <c r="B447" i="12"/>
  <c r="C447" i="12"/>
  <c r="D447" i="12"/>
  <c r="A448" i="12"/>
  <c r="DH448" i="12" s="1" a="1"/>
  <c r="B448" i="12"/>
  <c r="C448" i="12"/>
  <c r="D448" i="12"/>
  <c r="A421" i="12"/>
  <c r="DH421" i="12" s="1" a="1"/>
  <c r="B421" i="12"/>
  <c r="C421" i="12"/>
  <c r="D421" i="12"/>
  <c r="A422" i="12"/>
  <c r="DH422" i="12" s="1" a="1"/>
  <c r="B422" i="12"/>
  <c r="C422" i="12"/>
  <c r="D422" i="12"/>
  <c r="A423" i="12"/>
  <c r="DH423" i="12" s="1" a="1"/>
  <c r="B423" i="12"/>
  <c r="C423" i="12"/>
  <c r="D423" i="12"/>
  <c r="A424" i="12"/>
  <c r="DH424" i="12" s="1" a="1"/>
  <c r="B424" i="12"/>
  <c r="C424" i="12"/>
  <c r="D424" i="12"/>
  <c r="A425" i="12"/>
  <c r="DH425" i="12" s="1" a="1"/>
  <c r="B425" i="12"/>
  <c r="C425" i="12"/>
  <c r="D425" i="12"/>
  <c r="A426" i="12"/>
  <c r="DH426" i="12" s="1" a="1"/>
  <c r="B426" i="12"/>
  <c r="C426" i="12"/>
  <c r="D426" i="12"/>
  <c r="A427" i="12"/>
  <c r="DH427" i="12" s="1" a="1"/>
  <c r="B427" i="12"/>
  <c r="C427" i="12"/>
  <c r="D427" i="12"/>
  <c r="A428" i="12"/>
  <c r="DH428" i="12" s="1" a="1"/>
  <c r="B428" i="12"/>
  <c r="C428" i="12"/>
  <c r="D428" i="12"/>
  <c r="A429" i="12"/>
  <c r="DH429" i="12" s="1" a="1"/>
  <c r="B429" i="12"/>
  <c r="C429" i="12"/>
  <c r="D429" i="12"/>
  <c r="A430" i="12"/>
  <c r="DH430" i="12" s="1" a="1"/>
  <c r="B430" i="12"/>
  <c r="C430" i="12"/>
  <c r="D430" i="12"/>
  <c r="A431" i="12"/>
  <c r="DH431" i="12" s="1" a="1"/>
  <c r="B431" i="12"/>
  <c r="C431" i="12"/>
  <c r="D431" i="12"/>
  <c r="A432" i="12"/>
  <c r="DH432" i="12" s="1" a="1"/>
  <c r="B432" i="12"/>
  <c r="C432" i="12"/>
  <c r="D432" i="12"/>
  <c r="A433" i="12"/>
  <c r="DH433" i="12" s="1" a="1"/>
  <c r="B433" i="12"/>
  <c r="C433" i="12"/>
  <c r="D433" i="12"/>
  <c r="A434" i="12"/>
  <c r="DH434" i="12" s="1" a="1"/>
  <c r="B434" i="12"/>
  <c r="C434" i="12"/>
  <c r="D434" i="12"/>
  <c r="A407" i="12"/>
  <c r="DH407" i="12" s="1" a="1"/>
  <c r="B407" i="12"/>
  <c r="C407" i="12"/>
  <c r="D407" i="12"/>
  <c r="A408" i="12"/>
  <c r="DH408" i="12" s="1" a="1"/>
  <c r="B408" i="12"/>
  <c r="C408" i="12"/>
  <c r="D408" i="12"/>
  <c r="A409" i="12"/>
  <c r="DH409" i="12" s="1" a="1"/>
  <c r="B409" i="12"/>
  <c r="C409" i="12"/>
  <c r="D409" i="12"/>
  <c r="A410" i="12"/>
  <c r="DH410" i="12" s="1" a="1"/>
  <c r="B410" i="12"/>
  <c r="C410" i="12"/>
  <c r="D410" i="12"/>
  <c r="A411" i="12"/>
  <c r="DH411" i="12" s="1" a="1"/>
  <c r="B411" i="12"/>
  <c r="C411" i="12"/>
  <c r="D411" i="12"/>
  <c r="A412" i="12"/>
  <c r="DH412" i="12" s="1" a="1"/>
  <c r="B412" i="12"/>
  <c r="C412" i="12"/>
  <c r="D412" i="12"/>
  <c r="A413" i="12"/>
  <c r="DH413" i="12" s="1" a="1"/>
  <c r="B413" i="12"/>
  <c r="C413" i="12"/>
  <c r="D413" i="12"/>
  <c r="A414" i="12"/>
  <c r="DH414" i="12" s="1" a="1"/>
  <c r="B414" i="12"/>
  <c r="C414" i="12"/>
  <c r="D414" i="12"/>
  <c r="A415" i="12"/>
  <c r="DH415" i="12" s="1" a="1"/>
  <c r="B415" i="12"/>
  <c r="C415" i="12"/>
  <c r="D415" i="12"/>
  <c r="A416" i="12"/>
  <c r="DH416" i="12" s="1" a="1"/>
  <c r="B416" i="12"/>
  <c r="C416" i="12"/>
  <c r="D416" i="12"/>
  <c r="A417" i="12"/>
  <c r="DH417" i="12" s="1" a="1"/>
  <c r="B417" i="12"/>
  <c r="C417" i="12"/>
  <c r="D417" i="12"/>
  <c r="A418" i="12"/>
  <c r="DH418" i="12" s="1" a="1"/>
  <c r="B418" i="12"/>
  <c r="C418" i="12"/>
  <c r="D418" i="12"/>
  <c r="A419" i="12"/>
  <c r="DH419" i="12" s="1" a="1"/>
  <c r="B419" i="12"/>
  <c r="C419" i="12"/>
  <c r="D419" i="12"/>
  <c r="A420" i="12"/>
  <c r="DH420" i="12" s="1" a="1"/>
  <c r="B420" i="12"/>
  <c r="C420" i="12"/>
  <c r="D420" i="12"/>
  <c r="A393" i="12"/>
  <c r="DH393" i="12" s="1" a="1"/>
  <c r="B393" i="12"/>
  <c r="C393" i="12"/>
  <c r="D393" i="12"/>
  <c r="A394" i="12"/>
  <c r="DH394" i="12" s="1" a="1"/>
  <c r="B394" i="12"/>
  <c r="C394" i="12"/>
  <c r="D394" i="12"/>
  <c r="A395" i="12"/>
  <c r="DH395" i="12" s="1" a="1"/>
  <c r="B395" i="12"/>
  <c r="C395" i="12"/>
  <c r="D395" i="12"/>
  <c r="A396" i="12"/>
  <c r="DH396" i="12" s="1" a="1"/>
  <c r="B396" i="12"/>
  <c r="C396" i="12"/>
  <c r="D396" i="12"/>
  <c r="A397" i="12"/>
  <c r="DH397" i="12" s="1" a="1"/>
  <c r="B397" i="12"/>
  <c r="C397" i="12"/>
  <c r="D397" i="12"/>
  <c r="A398" i="12"/>
  <c r="DH398" i="12" s="1" a="1"/>
  <c r="B398" i="12"/>
  <c r="C398" i="12"/>
  <c r="D398" i="12"/>
  <c r="A399" i="12"/>
  <c r="DH399" i="12" s="1" a="1"/>
  <c r="B399" i="12"/>
  <c r="C399" i="12"/>
  <c r="D399" i="12"/>
  <c r="A400" i="12"/>
  <c r="DH400" i="12" s="1" a="1"/>
  <c r="B400" i="12"/>
  <c r="C400" i="12"/>
  <c r="D400" i="12"/>
  <c r="A401" i="12"/>
  <c r="DH401" i="12" s="1" a="1"/>
  <c r="B401" i="12"/>
  <c r="C401" i="12"/>
  <c r="D401" i="12"/>
  <c r="A402" i="12"/>
  <c r="DH402" i="12" s="1" a="1"/>
  <c r="B402" i="12"/>
  <c r="E402" i="12" s="1"/>
  <c r="C402" i="12"/>
  <c r="D402" i="12"/>
  <c r="A403" i="12"/>
  <c r="DH403" i="12" s="1" a="1"/>
  <c r="B403" i="12"/>
  <c r="C403" i="12"/>
  <c r="D403" i="12"/>
  <c r="A404" i="12"/>
  <c r="DH404" i="12" s="1" a="1"/>
  <c r="B404" i="12"/>
  <c r="C404" i="12"/>
  <c r="D404" i="12"/>
  <c r="A405" i="12"/>
  <c r="DH405" i="12" s="1" a="1"/>
  <c r="B405" i="12"/>
  <c r="C405" i="12"/>
  <c r="D405" i="12"/>
  <c r="A406" i="12"/>
  <c r="DH406" i="12" s="1" a="1"/>
  <c r="B406" i="12"/>
  <c r="C406" i="12"/>
  <c r="D406" i="12"/>
  <c r="A379" i="12"/>
  <c r="DH379" i="12" s="1" a="1"/>
  <c r="B379" i="12"/>
  <c r="C379" i="12"/>
  <c r="D379" i="12"/>
  <c r="A380" i="12"/>
  <c r="DH380" i="12" s="1" a="1"/>
  <c r="B380" i="12"/>
  <c r="C380" i="12"/>
  <c r="D380" i="12"/>
  <c r="A381" i="12"/>
  <c r="DH381" i="12" s="1" a="1"/>
  <c r="B381" i="12"/>
  <c r="C381" i="12"/>
  <c r="D381" i="12"/>
  <c r="A382" i="12"/>
  <c r="DH382" i="12" s="1" a="1"/>
  <c r="B382" i="12"/>
  <c r="C382" i="12"/>
  <c r="D382" i="12"/>
  <c r="A383" i="12"/>
  <c r="DH383" i="12" s="1" a="1"/>
  <c r="B383" i="12"/>
  <c r="C383" i="12"/>
  <c r="D383" i="12"/>
  <c r="A384" i="12"/>
  <c r="DH384" i="12" s="1" a="1"/>
  <c r="B384" i="12"/>
  <c r="C384" i="12"/>
  <c r="D384" i="12"/>
  <c r="A385" i="12"/>
  <c r="DH385" i="12" s="1" a="1"/>
  <c r="B385" i="12"/>
  <c r="C385" i="12"/>
  <c r="D385" i="12"/>
  <c r="A386" i="12"/>
  <c r="DH386" i="12" s="1" a="1"/>
  <c r="B386" i="12"/>
  <c r="C386" i="12"/>
  <c r="D386" i="12"/>
  <c r="A387" i="12"/>
  <c r="DH387" i="12" s="1" a="1"/>
  <c r="B387" i="12"/>
  <c r="E387" i="12" s="1"/>
  <c r="C387" i="12"/>
  <c r="D387" i="12"/>
  <c r="A388" i="12"/>
  <c r="DH388" i="12" s="1" a="1"/>
  <c r="B388" i="12"/>
  <c r="C388" i="12"/>
  <c r="D388" i="12"/>
  <c r="A389" i="12"/>
  <c r="DH389" i="12" s="1" a="1"/>
  <c r="B389" i="12"/>
  <c r="C389" i="12"/>
  <c r="D389" i="12"/>
  <c r="A390" i="12"/>
  <c r="DH390" i="12" s="1" a="1"/>
  <c r="B390" i="12"/>
  <c r="C390" i="12"/>
  <c r="D390" i="12"/>
  <c r="A391" i="12"/>
  <c r="DH391" i="12" s="1" a="1"/>
  <c r="B391" i="12"/>
  <c r="C391" i="12"/>
  <c r="D391" i="12"/>
  <c r="A392" i="12"/>
  <c r="DH392" i="12" s="1" a="1"/>
  <c r="B392" i="12"/>
  <c r="C392" i="12"/>
  <c r="D392" i="12"/>
  <c r="A365" i="12"/>
  <c r="DH365" i="12" s="1" a="1"/>
  <c r="B365" i="12"/>
  <c r="C365" i="12"/>
  <c r="D365" i="12"/>
  <c r="A366" i="12"/>
  <c r="DH366" i="12" s="1" a="1"/>
  <c r="B366" i="12"/>
  <c r="C366" i="12"/>
  <c r="D366" i="12"/>
  <c r="A367" i="12"/>
  <c r="DH367" i="12" s="1" a="1"/>
  <c r="B367" i="12"/>
  <c r="C367" i="12"/>
  <c r="D367" i="12"/>
  <c r="A368" i="12"/>
  <c r="DH368" i="12" s="1" a="1"/>
  <c r="B368" i="12"/>
  <c r="C368" i="12"/>
  <c r="D368" i="12"/>
  <c r="A369" i="12"/>
  <c r="DH369" i="12" s="1" a="1"/>
  <c r="B369" i="12"/>
  <c r="C369" i="12"/>
  <c r="D369" i="12"/>
  <c r="A370" i="12"/>
  <c r="DH370" i="12" s="1" a="1"/>
  <c r="B370" i="12"/>
  <c r="E370" i="12" s="1"/>
  <c r="C370" i="12"/>
  <c r="D370" i="12"/>
  <c r="A371" i="12"/>
  <c r="DH371" i="12" s="1" a="1"/>
  <c r="B371" i="12"/>
  <c r="C371" i="12"/>
  <c r="D371" i="12"/>
  <c r="A372" i="12"/>
  <c r="DH372" i="12" s="1" a="1"/>
  <c r="B372" i="12"/>
  <c r="C372" i="12"/>
  <c r="D372" i="12"/>
  <c r="A373" i="12"/>
  <c r="DH373" i="12" s="1" a="1"/>
  <c r="B373" i="12"/>
  <c r="C373" i="12"/>
  <c r="D373" i="12"/>
  <c r="A374" i="12"/>
  <c r="DH374" i="12" s="1" a="1"/>
  <c r="B374" i="12"/>
  <c r="C374" i="12"/>
  <c r="D374" i="12"/>
  <c r="A375" i="12"/>
  <c r="DH375" i="12" s="1" a="1"/>
  <c r="B375" i="12"/>
  <c r="C375" i="12"/>
  <c r="D375" i="12"/>
  <c r="A376" i="12"/>
  <c r="DH376" i="12" s="1" a="1"/>
  <c r="B376" i="12"/>
  <c r="E376" i="12" s="1"/>
  <c r="C376" i="12"/>
  <c r="D376" i="12"/>
  <c r="A377" i="12"/>
  <c r="DH377" i="12" s="1" a="1"/>
  <c r="B377" i="12"/>
  <c r="C377" i="12"/>
  <c r="D377" i="12"/>
  <c r="A378" i="12"/>
  <c r="DH378" i="12" s="1" a="1"/>
  <c r="B378" i="12"/>
  <c r="C378" i="12"/>
  <c r="D378" i="12"/>
  <c r="A351" i="12"/>
  <c r="DH351" i="12" s="1" a="1"/>
  <c r="B351" i="12"/>
  <c r="C351" i="12"/>
  <c r="D351" i="12"/>
  <c r="A352" i="12"/>
  <c r="DH352" i="12" s="1" a="1"/>
  <c r="B352" i="12"/>
  <c r="C352" i="12"/>
  <c r="D352" i="12"/>
  <c r="A353" i="12"/>
  <c r="DH353" i="12" s="1" a="1"/>
  <c r="B353" i="12"/>
  <c r="C353" i="12"/>
  <c r="D353" i="12"/>
  <c r="A354" i="12"/>
  <c r="DH354" i="12" s="1" a="1"/>
  <c r="B354" i="12"/>
  <c r="C354" i="12"/>
  <c r="D354" i="12"/>
  <c r="A355" i="12"/>
  <c r="DH355" i="12" s="1" a="1"/>
  <c r="B355" i="12"/>
  <c r="E355" i="12" s="1"/>
  <c r="C355" i="12"/>
  <c r="D355" i="12"/>
  <c r="A356" i="12"/>
  <c r="DH356" i="12" s="1" a="1"/>
  <c r="B356" i="12"/>
  <c r="E356" i="12" s="1"/>
  <c r="C356" i="12"/>
  <c r="D356" i="12"/>
  <c r="A357" i="12"/>
  <c r="DH357" i="12" s="1" a="1"/>
  <c r="B357" i="12"/>
  <c r="C357" i="12"/>
  <c r="D357" i="12"/>
  <c r="A358" i="12"/>
  <c r="DH358" i="12" s="1" a="1"/>
  <c r="B358" i="12"/>
  <c r="C358" i="12"/>
  <c r="D358" i="12"/>
  <c r="A359" i="12"/>
  <c r="DH359" i="12" s="1" a="1"/>
  <c r="B359" i="12"/>
  <c r="C359" i="12"/>
  <c r="D359" i="12"/>
  <c r="A360" i="12"/>
  <c r="DH360" i="12" s="1" a="1"/>
  <c r="B360" i="12"/>
  <c r="C360" i="12"/>
  <c r="D360" i="12"/>
  <c r="A361" i="12"/>
  <c r="DH361" i="12" s="1" a="1"/>
  <c r="B361" i="12"/>
  <c r="C361" i="12"/>
  <c r="D361" i="12"/>
  <c r="A362" i="12"/>
  <c r="DH362" i="12" s="1" a="1"/>
  <c r="B362" i="12"/>
  <c r="C362" i="12"/>
  <c r="D362" i="12"/>
  <c r="A363" i="12"/>
  <c r="DH363" i="12" s="1" a="1"/>
  <c r="B363" i="12"/>
  <c r="C363" i="12"/>
  <c r="D363" i="12"/>
  <c r="A364" i="12"/>
  <c r="DH364" i="12" s="1" a="1"/>
  <c r="B364" i="12"/>
  <c r="C364" i="12"/>
  <c r="D364" i="12"/>
  <c r="A337" i="12"/>
  <c r="DH337" i="12" s="1" a="1"/>
  <c r="B337" i="12"/>
  <c r="E337" i="12" s="1"/>
  <c r="C337" i="12"/>
  <c r="D337" i="12"/>
  <c r="A338" i="12"/>
  <c r="DH338" i="12" s="1" a="1"/>
  <c r="B338" i="12"/>
  <c r="E338" i="12" s="1"/>
  <c r="C338" i="12"/>
  <c r="D338" i="12"/>
  <c r="A339" i="12"/>
  <c r="DH339" i="12" s="1" a="1"/>
  <c r="B339" i="12"/>
  <c r="E339" i="12" s="1"/>
  <c r="C339" i="12"/>
  <c r="D339" i="12"/>
  <c r="A340" i="12"/>
  <c r="DH340" i="12" s="1" a="1"/>
  <c r="B340" i="12"/>
  <c r="C340" i="12"/>
  <c r="D340" i="12"/>
  <c r="A341" i="12"/>
  <c r="DH341" i="12" s="1" a="1"/>
  <c r="B341" i="12"/>
  <c r="E341" i="12" s="1"/>
  <c r="C341" i="12"/>
  <c r="D341" i="12"/>
  <c r="A342" i="12"/>
  <c r="DH342" i="12" s="1" a="1"/>
  <c r="B342" i="12"/>
  <c r="C342" i="12"/>
  <c r="D342" i="12"/>
  <c r="A343" i="12"/>
  <c r="DH343" i="12" s="1" a="1"/>
  <c r="B343" i="12"/>
  <c r="C343" i="12"/>
  <c r="D343" i="12"/>
  <c r="A344" i="12"/>
  <c r="DH344" i="12" s="1" a="1"/>
  <c r="B344" i="12"/>
  <c r="C344" i="12"/>
  <c r="D344" i="12"/>
  <c r="A345" i="12"/>
  <c r="DH345" i="12" s="1" a="1"/>
  <c r="B345" i="12"/>
  <c r="E345" i="12" s="1"/>
  <c r="C345" i="12"/>
  <c r="D345" i="12"/>
  <c r="A346" i="12"/>
  <c r="DH346" i="12" s="1" a="1"/>
  <c r="B346" i="12"/>
  <c r="E346" i="12" s="1"/>
  <c r="C346" i="12"/>
  <c r="D346" i="12"/>
  <c r="A347" i="12"/>
  <c r="DH347" i="12" s="1" a="1"/>
  <c r="B347" i="12"/>
  <c r="C347" i="12"/>
  <c r="D347" i="12"/>
  <c r="A348" i="12"/>
  <c r="DH348" i="12" s="1" a="1"/>
  <c r="B348" i="12"/>
  <c r="C348" i="12"/>
  <c r="D348" i="12"/>
  <c r="A349" i="12"/>
  <c r="DH349" i="12" s="1" a="1"/>
  <c r="B349" i="12"/>
  <c r="C349" i="12"/>
  <c r="D349" i="12"/>
  <c r="A350" i="12"/>
  <c r="DH350" i="12" s="1" a="1"/>
  <c r="B350" i="12"/>
  <c r="C350" i="12"/>
  <c r="D350" i="12"/>
  <c r="A323" i="12"/>
  <c r="DH323" i="12" s="1" a="1"/>
  <c r="B323" i="12"/>
  <c r="C323" i="12"/>
  <c r="D323" i="12"/>
  <c r="A324" i="12"/>
  <c r="DH324" i="12" s="1" a="1"/>
  <c r="B324" i="12"/>
  <c r="C324" i="12"/>
  <c r="D324" i="12"/>
  <c r="A325" i="12"/>
  <c r="DH325" i="12" s="1" a="1"/>
  <c r="B325" i="12"/>
  <c r="C325" i="12"/>
  <c r="D325" i="12"/>
  <c r="A326" i="12"/>
  <c r="DH326" i="12" s="1" a="1"/>
  <c r="B326" i="12"/>
  <c r="C326" i="12"/>
  <c r="D326" i="12"/>
  <c r="A327" i="12"/>
  <c r="DH327" i="12" s="1" a="1"/>
  <c r="B327" i="12"/>
  <c r="C327" i="12"/>
  <c r="D327" i="12"/>
  <c r="A328" i="12"/>
  <c r="DH328" i="12" s="1" a="1"/>
  <c r="B328" i="12"/>
  <c r="C328" i="12"/>
  <c r="D328" i="12"/>
  <c r="A329" i="12"/>
  <c r="DH329" i="12" s="1" a="1"/>
  <c r="B329" i="12"/>
  <c r="C329" i="12"/>
  <c r="D329" i="12"/>
  <c r="A330" i="12"/>
  <c r="DH330" i="12" s="1" a="1"/>
  <c r="B330" i="12"/>
  <c r="C330" i="12"/>
  <c r="D330" i="12"/>
  <c r="A331" i="12"/>
  <c r="DH331" i="12" s="1" a="1"/>
  <c r="B331" i="12"/>
  <c r="C331" i="12"/>
  <c r="D331" i="12"/>
  <c r="A332" i="12"/>
  <c r="DH332" i="12" s="1" a="1"/>
  <c r="B332" i="12"/>
  <c r="C332" i="12"/>
  <c r="D332" i="12"/>
  <c r="A333" i="12"/>
  <c r="DH333" i="12" s="1" a="1"/>
  <c r="B333" i="12"/>
  <c r="C333" i="12"/>
  <c r="D333" i="12"/>
  <c r="A334" i="12"/>
  <c r="DH334" i="12" s="1" a="1"/>
  <c r="B334" i="12"/>
  <c r="C334" i="12"/>
  <c r="D334" i="12"/>
  <c r="A335" i="12"/>
  <c r="DH335" i="12" s="1" a="1"/>
  <c r="B335" i="12"/>
  <c r="C335" i="12"/>
  <c r="D335" i="12"/>
  <c r="A336" i="12"/>
  <c r="DH336" i="12" s="1" a="1"/>
  <c r="B336" i="12"/>
  <c r="C336" i="12"/>
  <c r="D336" i="12"/>
  <c r="A309" i="12"/>
  <c r="DH309" i="12" s="1" a="1"/>
  <c r="B309" i="12"/>
  <c r="C309" i="12"/>
  <c r="D309" i="12"/>
  <c r="A310" i="12"/>
  <c r="DH310" i="12" s="1" a="1"/>
  <c r="B310" i="12"/>
  <c r="C310" i="12"/>
  <c r="D310" i="12"/>
  <c r="A311" i="12"/>
  <c r="DH311" i="12" s="1" a="1"/>
  <c r="B311" i="12"/>
  <c r="C311" i="12"/>
  <c r="D311" i="12"/>
  <c r="A312" i="12"/>
  <c r="DH312" i="12" s="1" a="1"/>
  <c r="B312" i="12"/>
  <c r="C312" i="12"/>
  <c r="D312" i="12"/>
  <c r="A313" i="12"/>
  <c r="DH313" i="12" s="1" a="1"/>
  <c r="B313" i="12"/>
  <c r="C313" i="12"/>
  <c r="D313" i="12"/>
  <c r="A314" i="12"/>
  <c r="DH314" i="12" s="1" a="1"/>
  <c r="B314" i="12"/>
  <c r="C314" i="12"/>
  <c r="D314" i="12"/>
  <c r="A315" i="12"/>
  <c r="DH315" i="12" s="1" a="1"/>
  <c r="B315" i="12"/>
  <c r="C315" i="12"/>
  <c r="D315" i="12"/>
  <c r="A316" i="12"/>
  <c r="DH316" i="12" s="1" a="1"/>
  <c r="B316" i="12"/>
  <c r="C316" i="12"/>
  <c r="D316" i="12"/>
  <c r="A317" i="12"/>
  <c r="DH317" i="12" s="1" a="1"/>
  <c r="B317" i="12"/>
  <c r="C317" i="12"/>
  <c r="D317" i="12"/>
  <c r="A318" i="12"/>
  <c r="DH318" i="12" s="1" a="1"/>
  <c r="B318" i="12"/>
  <c r="C318" i="12"/>
  <c r="D318" i="12"/>
  <c r="A319" i="12"/>
  <c r="DH319" i="12" s="1" a="1"/>
  <c r="B319" i="12"/>
  <c r="C319" i="12"/>
  <c r="D319" i="12"/>
  <c r="A320" i="12"/>
  <c r="DH320" i="12" s="1" a="1"/>
  <c r="B320" i="12"/>
  <c r="E320" i="12" s="1"/>
  <c r="C320" i="12"/>
  <c r="D320" i="12"/>
  <c r="A321" i="12"/>
  <c r="DH321" i="12" s="1" a="1"/>
  <c r="B321" i="12"/>
  <c r="E321" i="12" s="1"/>
  <c r="C321" i="12"/>
  <c r="D321" i="12"/>
  <c r="A322" i="12"/>
  <c r="DH322" i="12" s="1" a="1"/>
  <c r="B322" i="12"/>
  <c r="C322" i="12"/>
  <c r="D322" i="12"/>
  <c r="A295" i="12"/>
  <c r="DH295" i="12" s="1" a="1"/>
  <c r="B295" i="12"/>
  <c r="C295" i="12"/>
  <c r="D295" i="12"/>
  <c r="A296" i="12"/>
  <c r="DH296" i="12" s="1" a="1"/>
  <c r="B296" i="12"/>
  <c r="C296" i="12"/>
  <c r="D296" i="12"/>
  <c r="A297" i="12"/>
  <c r="DH297" i="12" s="1" a="1"/>
  <c r="B297" i="12"/>
  <c r="C297" i="12"/>
  <c r="D297" i="12"/>
  <c r="A298" i="12"/>
  <c r="DH298" i="12" s="1" a="1"/>
  <c r="B298" i="12"/>
  <c r="C298" i="12"/>
  <c r="D298" i="12"/>
  <c r="A299" i="12"/>
  <c r="DH299" i="12" s="1" a="1"/>
  <c r="B299" i="12"/>
  <c r="C299" i="12"/>
  <c r="D299" i="12"/>
  <c r="A300" i="12"/>
  <c r="DH300" i="12" s="1" a="1"/>
  <c r="B300" i="12"/>
  <c r="C300" i="12"/>
  <c r="D300" i="12"/>
  <c r="A301" i="12"/>
  <c r="DH301" i="12" s="1" a="1"/>
  <c r="B301" i="12"/>
  <c r="C301" i="12"/>
  <c r="D301" i="12"/>
  <c r="A302" i="12"/>
  <c r="DH302" i="12" s="1" a="1"/>
  <c r="B302" i="12"/>
  <c r="C302" i="12"/>
  <c r="D302" i="12"/>
  <c r="A303" i="12"/>
  <c r="DH303" i="12" s="1" a="1"/>
  <c r="B303" i="12"/>
  <c r="C303" i="12"/>
  <c r="D303" i="12"/>
  <c r="A304" i="12"/>
  <c r="DH304" i="12" s="1" a="1"/>
  <c r="B304" i="12"/>
  <c r="E304" i="12" s="1"/>
  <c r="C304" i="12"/>
  <c r="D304" i="12"/>
  <c r="A305" i="12"/>
  <c r="DH305" i="12" s="1" a="1"/>
  <c r="B305" i="12"/>
  <c r="C305" i="12"/>
  <c r="D305" i="12"/>
  <c r="A306" i="12"/>
  <c r="DH306" i="12" s="1" a="1"/>
  <c r="B306" i="12"/>
  <c r="E306" i="12" s="1"/>
  <c r="C306" i="12"/>
  <c r="D306" i="12"/>
  <c r="A307" i="12"/>
  <c r="DH307" i="12" s="1" a="1"/>
  <c r="B307" i="12"/>
  <c r="C307" i="12"/>
  <c r="D307" i="12"/>
  <c r="A308" i="12"/>
  <c r="DH308" i="12" s="1" a="1"/>
  <c r="B308" i="12"/>
  <c r="E308" i="12" s="1"/>
  <c r="C308" i="12"/>
  <c r="D308" i="12"/>
  <c r="A281" i="12"/>
  <c r="DH281" i="12" s="1" a="1"/>
  <c r="B281" i="12"/>
  <c r="C281" i="12"/>
  <c r="D281" i="12"/>
  <c r="A282" i="12"/>
  <c r="DH282" i="12" s="1" a="1"/>
  <c r="B282" i="12"/>
  <c r="C282" i="12"/>
  <c r="D282" i="12"/>
  <c r="A283" i="12"/>
  <c r="DH283" i="12" s="1" a="1"/>
  <c r="B283" i="12"/>
  <c r="C283" i="12"/>
  <c r="D283" i="12"/>
  <c r="A284" i="12"/>
  <c r="DH284" i="12" s="1" a="1"/>
  <c r="B284" i="12"/>
  <c r="C284" i="12"/>
  <c r="D284" i="12"/>
  <c r="A285" i="12"/>
  <c r="DH285" i="12" s="1" a="1"/>
  <c r="B285" i="12"/>
  <c r="C285" i="12"/>
  <c r="D285" i="12"/>
  <c r="A286" i="12"/>
  <c r="DH286" i="12" s="1" a="1"/>
  <c r="B286" i="12"/>
  <c r="C286" i="12"/>
  <c r="D286" i="12"/>
  <c r="A287" i="12"/>
  <c r="DH287" i="12" s="1" a="1"/>
  <c r="B287" i="12"/>
  <c r="C287" i="12"/>
  <c r="D287" i="12"/>
  <c r="A288" i="12"/>
  <c r="DH288" i="12" s="1" a="1"/>
  <c r="B288" i="12"/>
  <c r="E288" i="12" s="1"/>
  <c r="C288" i="12"/>
  <c r="D288" i="12"/>
  <c r="A289" i="12"/>
  <c r="DH289" i="12" s="1" a="1"/>
  <c r="B289" i="12"/>
  <c r="C289" i="12"/>
  <c r="D289" i="12"/>
  <c r="A290" i="12"/>
  <c r="DH290" i="12" s="1" a="1"/>
  <c r="B290" i="12"/>
  <c r="C290" i="12"/>
  <c r="D290" i="12"/>
  <c r="A291" i="12"/>
  <c r="DH291" i="12" s="1" a="1"/>
  <c r="B291" i="12"/>
  <c r="C291" i="12"/>
  <c r="D291" i="12"/>
  <c r="A292" i="12"/>
  <c r="DH292" i="12" s="1" a="1"/>
  <c r="B292" i="12"/>
  <c r="C292" i="12"/>
  <c r="D292" i="12"/>
  <c r="A293" i="12"/>
  <c r="DH293" i="12" s="1" a="1"/>
  <c r="B293" i="12"/>
  <c r="C293" i="12"/>
  <c r="D293" i="12"/>
  <c r="A294" i="12"/>
  <c r="DH294" i="12" s="1" a="1"/>
  <c r="B294" i="12"/>
  <c r="C294" i="12"/>
  <c r="D294" i="12"/>
  <c r="A267" i="12"/>
  <c r="DH267" i="12" s="1" a="1"/>
  <c r="B267" i="12"/>
  <c r="C267" i="12"/>
  <c r="D267" i="12"/>
  <c r="A268" i="12"/>
  <c r="B268" i="12"/>
  <c r="C268" i="12"/>
  <c r="D268" i="12"/>
  <c r="A269" i="12"/>
  <c r="DH269" i="12" s="1" a="1"/>
  <c r="B269" i="12"/>
  <c r="E269" i="12" s="1"/>
  <c r="C269" i="12"/>
  <c r="D269" i="12"/>
  <c r="A270" i="12"/>
  <c r="DH270" i="12" s="1" a="1"/>
  <c r="B270" i="12"/>
  <c r="E270" i="12" s="1"/>
  <c r="C270" i="12"/>
  <c r="D270" i="12"/>
  <c r="A271" i="12"/>
  <c r="DH271" i="12" s="1" a="1"/>
  <c r="B271" i="12"/>
  <c r="C271" i="12"/>
  <c r="D271" i="12"/>
  <c r="A272" i="12"/>
  <c r="DH272" i="12" s="1" a="1"/>
  <c r="B272" i="12"/>
  <c r="E272" i="12" s="1"/>
  <c r="C272" i="12"/>
  <c r="D272" i="12"/>
  <c r="A273" i="12"/>
  <c r="DH273" i="12" s="1" a="1"/>
  <c r="B273" i="12"/>
  <c r="C273" i="12"/>
  <c r="D273" i="12"/>
  <c r="A274" i="12"/>
  <c r="DH274" i="12" s="1" a="1"/>
  <c r="B274" i="12"/>
  <c r="C274" i="12"/>
  <c r="D274" i="12"/>
  <c r="A275" i="12"/>
  <c r="DH275" i="12" s="1" a="1"/>
  <c r="B275" i="12"/>
  <c r="C275" i="12"/>
  <c r="D275" i="12"/>
  <c r="A276" i="12"/>
  <c r="DH276" i="12" s="1" a="1"/>
  <c r="B276" i="12"/>
  <c r="C276" i="12"/>
  <c r="D276" i="12"/>
  <c r="A277" i="12"/>
  <c r="DH277" i="12" s="1" a="1"/>
  <c r="B277" i="12"/>
  <c r="C277" i="12"/>
  <c r="D277" i="12"/>
  <c r="A278" i="12"/>
  <c r="DH278" i="12" s="1" a="1"/>
  <c r="B278" i="12"/>
  <c r="E278" i="12" s="1"/>
  <c r="C278" i="12"/>
  <c r="D278" i="12"/>
  <c r="A279" i="12"/>
  <c r="DH279" i="12" s="1" a="1"/>
  <c r="B279" i="12"/>
  <c r="C279" i="12"/>
  <c r="D279" i="12"/>
  <c r="A280" i="12"/>
  <c r="DH280" i="12" s="1" a="1"/>
  <c r="B280" i="12"/>
  <c r="C280" i="12"/>
  <c r="D280" i="12"/>
  <c r="A253" i="12"/>
  <c r="DH253" i="12" s="1" a="1"/>
  <c r="B253" i="12"/>
  <c r="C253" i="12"/>
  <c r="D253" i="12"/>
  <c r="A254" i="12"/>
  <c r="DH254" i="12" s="1" a="1"/>
  <c r="B254" i="12"/>
  <c r="C254" i="12"/>
  <c r="D254" i="12"/>
  <c r="A255" i="12"/>
  <c r="DH255" i="12" s="1" a="1"/>
  <c r="B255" i="12"/>
  <c r="C255" i="12"/>
  <c r="D255" i="12"/>
  <c r="A256" i="12"/>
  <c r="DH256" i="12" s="1" a="1"/>
  <c r="B256" i="12"/>
  <c r="C256" i="12"/>
  <c r="D256" i="12"/>
  <c r="A257" i="12"/>
  <c r="DH257" i="12" s="1" a="1"/>
  <c r="B257" i="12"/>
  <c r="C257" i="12"/>
  <c r="D257" i="12"/>
  <c r="A258" i="12"/>
  <c r="DH258" i="12" s="1" a="1"/>
  <c r="B258" i="12"/>
  <c r="C258" i="12"/>
  <c r="D258" i="12"/>
  <c r="A259" i="12"/>
  <c r="DH259" i="12" s="1" a="1"/>
  <c r="B259" i="12"/>
  <c r="C259" i="12"/>
  <c r="D259" i="12"/>
  <c r="A260" i="12"/>
  <c r="B260" i="12"/>
  <c r="C260" i="12"/>
  <c r="D260" i="12"/>
  <c r="A261" i="12"/>
  <c r="DH261" i="12" s="1" a="1"/>
  <c r="B261" i="12"/>
  <c r="C261" i="12"/>
  <c r="D261" i="12"/>
  <c r="A262" i="12"/>
  <c r="DH262" i="12" s="1" a="1"/>
  <c r="B262" i="12"/>
  <c r="C262" i="12"/>
  <c r="D262" i="12"/>
  <c r="A263" i="12"/>
  <c r="DH263" i="12" s="1" a="1"/>
  <c r="B263" i="12"/>
  <c r="C263" i="12"/>
  <c r="D263" i="12"/>
  <c r="A264" i="12"/>
  <c r="DH264" i="12" s="1" a="1"/>
  <c r="B264" i="12"/>
  <c r="C264" i="12"/>
  <c r="D264" i="12"/>
  <c r="A265" i="12"/>
  <c r="DH265" i="12" s="1" a="1"/>
  <c r="B265" i="12"/>
  <c r="C265" i="12"/>
  <c r="D265" i="12"/>
  <c r="A266" i="12"/>
  <c r="DH266" i="12" s="1" a="1"/>
  <c r="B266" i="12"/>
  <c r="C266" i="12"/>
  <c r="D266" i="12"/>
  <c r="A239" i="12"/>
  <c r="DH239" i="12" s="1" a="1"/>
  <c r="B239" i="12"/>
  <c r="C239" i="12"/>
  <c r="D239" i="12"/>
  <c r="A240" i="12"/>
  <c r="DH240" i="12" s="1" a="1"/>
  <c r="B240" i="12"/>
  <c r="E240" i="12" s="1"/>
  <c r="C240" i="12"/>
  <c r="D240" i="12"/>
  <c r="A241" i="12"/>
  <c r="B241" i="12"/>
  <c r="C241" i="12"/>
  <c r="D241" i="12"/>
  <c r="A242" i="12"/>
  <c r="DH242" i="12" s="1" a="1"/>
  <c r="B242" i="12"/>
  <c r="E242" i="12" s="1"/>
  <c r="C242" i="12"/>
  <c r="D242" i="12"/>
  <c r="A243" i="12"/>
  <c r="DH243" i="12" s="1" a="1"/>
  <c r="B243" i="12"/>
  <c r="E243" i="12" s="1"/>
  <c r="C243" i="12"/>
  <c r="D243" i="12"/>
  <c r="A244" i="12"/>
  <c r="DH244" i="12" s="1" a="1"/>
  <c r="B244" i="12"/>
  <c r="C244" i="12"/>
  <c r="D244" i="12"/>
  <c r="A245" i="12"/>
  <c r="DH245" i="12" s="1" a="1"/>
  <c r="B245" i="12"/>
  <c r="C245" i="12"/>
  <c r="D245" i="12"/>
  <c r="A246" i="12"/>
  <c r="DH246" i="12" s="1" a="1"/>
  <c r="B246" i="12"/>
  <c r="C246" i="12"/>
  <c r="D246" i="12"/>
  <c r="A247" i="12"/>
  <c r="DH247" i="12" s="1" a="1"/>
  <c r="B247" i="12"/>
  <c r="C247" i="12"/>
  <c r="D247" i="12"/>
  <c r="A248" i="12"/>
  <c r="DH248" i="12" s="1" a="1"/>
  <c r="B248" i="12"/>
  <c r="C248" i="12"/>
  <c r="D248" i="12"/>
  <c r="A249" i="12"/>
  <c r="B249" i="12"/>
  <c r="C249" i="12"/>
  <c r="D249" i="12"/>
  <c r="A250" i="12"/>
  <c r="B250" i="12"/>
  <c r="C250" i="12"/>
  <c r="D250" i="12"/>
  <c r="A251" i="12"/>
  <c r="DH251" i="12" s="1" a="1"/>
  <c r="B251" i="12"/>
  <c r="C251" i="12"/>
  <c r="D251" i="12"/>
  <c r="A252" i="12"/>
  <c r="DH252" i="12" s="1" a="1"/>
  <c r="B252" i="12"/>
  <c r="C252" i="12"/>
  <c r="D252" i="12"/>
  <c r="A225" i="12"/>
  <c r="DH225" i="12" s="1" a="1"/>
  <c r="B225" i="12"/>
  <c r="C225" i="12"/>
  <c r="D225" i="12"/>
  <c r="A226" i="12"/>
  <c r="B226" i="12"/>
  <c r="C226" i="12"/>
  <c r="D226" i="12"/>
  <c r="A227" i="12"/>
  <c r="B227" i="12"/>
  <c r="C227" i="12"/>
  <c r="D227" i="12"/>
  <c r="A228" i="12"/>
  <c r="DH228" i="12" s="1" a="1"/>
  <c r="B228" i="12"/>
  <c r="E228" i="12" s="1"/>
  <c r="C228" i="12"/>
  <c r="D228" i="12"/>
  <c r="A229" i="12"/>
  <c r="DH229" i="12" s="1" a="1"/>
  <c r="B229" i="12"/>
  <c r="C229" i="12"/>
  <c r="D229" i="12"/>
  <c r="A230" i="12"/>
  <c r="B230" i="12"/>
  <c r="C230" i="12"/>
  <c r="D230" i="12"/>
  <c r="A231" i="12"/>
  <c r="DH231" i="12" s="1" a="1"/>
  <c r="B231" i="12"/>
  <c r="C231" i="12"/>
  <c r="D231" i="12"/>
  <c r="A232" i="12"/>
  <c r="DH232" i="12" s="1" a="1"/>
  <c r="B232" i="12"/>
  <c r="C232" i="12"/>
  <c r="D232" i="12"/>
  <c r="A233" i="12"/>
  <c r="DH233" i="12" s="1" a="1"/>
  <c r="B233" i="12"/>
  <c r="C233" i="12"/>
  <c r="D233" i="12"/>
  <c r="A234" i="12"/>
  <c r="DH234" i="12" s="1" a="1"/>
  <c r="B234" i="12"/>
  <c r="C234" i="12"/>
  <c r="D234" i="12"/>
  <c r="A235" i="12"/>
  <c r="DH235" i="12" s="1" a="1"/>
  <c r="B235" i="12"/>
  <c r="C235" i="12"/>
  <c r="D235" i="12"/>
  <c r="A236" i="12"/>
  <c r="B236" i="12"/>
  <c r="C236" i="12"/>
  <c r="D236" i="12"/>
  <c r="A237" i="12"/>
  <c r="B237" i="12"/>
  <c r="C237" i="12"/>
  <c r="D237" i="12"/>
  <c r="A238" i="12"/>
  <c r="DH238" i="12" s="1" a="1"/>
  <c r="B238" i="12"/>
  <c r="C238" i="12"/>
  <c r="D238" i="12"/>
  <c r="A211" i="12"/>
  <c r="DH211" i="12" s="1" a="1"/>
  <c r="B211" i="12"/>
  <c r="E211" i="12" s="1"/>
  <c r="C211" i="12"/>
  <c r="D211" i="12"/>
  <c r="A212" i="12"/>
  <c r="DH212" i="12" s="1" a="1"/>
  <c r="B212" i="12"/>
  <c r="C212" i="12"/>
  <c r="D212" i="12"/>
  <c r="A213" i="12"/>
  <c r="DH213" i="12" s="1" a="1"/>
  <c r="B213" i="12"/>
  <c r="C213" i="12"/>
  <c r="D213" i="12"/>
  <c r="A214" i="12"/>
  <c r="B214" i="12"/>
  <c r="C214" i="12"/>
  <c r="D214" i="12"/>
  <c r="A215" i="12"/>
  <c r="DH215" i="12" s="1" a="1"/>
  <c r="B215" i="12"/>
  <c r="C215" i="12"/>
  <c r="D215" i="12"/>
  <c r="A216" i="12"/>
  <c r="DH216" i="12" s="1" a="1"/>
  <c r="B216" i="12"/>
  <c r="C216" i="12"/>
  <c r="D216" i="12"/>
  <c r="A217" i="12"/>
  <c r="B217" i="12"/>
  <c r="C217" i="12"/>
  <c r="D217" i="12"/>
  <c r="A218" i="12"/>
  <c r="DH218" i="12" s="1" a="1"/>
  <c r="B218" i="12"/>
  <c r="C218" i="12"/>
  <c r="D218" i="12"/>
  <c r="A219" i="12"/>
  <c r="DH219" i="12" s="1" a="1"/>
  <c r="B219" i="12"/>
  <c r="C219" i="12"/>
  <c r="D219" i="12"/>
  <c r="A220" i="12"/>
  <c r="DH220" i="12" s="1" a="1"/>
  <c r="B220" i="12"/>
  <c r="C220" i="12"/>
  <c r="D220" i="12"/>
  <c r="A221" i="12"/>
  <c r="DH221" i="12" s="1" a="1"/>
  <c r="B221" i="12"/>
  <c r="E221" i="12" s="1"/>
  <c r="C221" i="12"/>
  <c r="D221" i="12"/>
  <c r="A222" i="12"/>
  <c r="B222" i="12"/>
  <c r="C222" i="12"/>
  <c r="D222" i="12"/>
  <c r="A223" i="12"/>
  <c r="DH223" i="12" s="1" a="1"/>
  <c r="B223" i="12"/>
  <c r="C223" i="12"/>
  <c r="D223" i="12"/>
  <c r="A224" i="12"/>
  <c r="DH224" i="12" s="1" a="1"/>
  <c r="B224" i="12"/>
  <c r="C224" i="12"/>
  <c r="D224" i="12"/>
  <c r="A197" i="12"/>
  <c r="B197" i="12"/>
  <c r="C197" i="12"/>
  <c r="D197" i="12"/>
  <c r="A198" i="12"/>
  <c r="DH198" i="12" s="1" a="1"/>
  <c r="B198" i="12"/>
  <c r="C198" i="12"/>
  <c r="D198" i="12"/>
  <c r="A199" i="12"/>
  <c r="DH199" i="12" s="1" a="1"/>
  <c r="B199" i="12"/>
  <c r="C199" i="12"/>
  <c r="D199" i="12"/>
  <c r="A200" i="12"/>
  <c r="DH200" i="12" s="1" a="1"/>
  <c r="B200" i="12"/>
  <c r="E200" i="12" s="1"/>
  <c r="C200" i="12"/>
  <c r="D200" i="12"/>
  <c r="A201" i="12"/>
  <c r="DH201" i="12" s="1" a="1"/>
  <c r="B201" i="12"/>
  <c r="E201" i="12" s="1"/>
  <c r="C201" i="12"/>
  <c r="D201" i="12"/>
  <c r="A202" i="12"/>
  <c r="B202" i="12"/>
  <c r="C202" i="12"/>
  <c r="D202" i="12"/>
  <c r="A203" i="12"/>
  <c r="DH203" i="12" s="1" a="1"/>
  <c r="B203" i="12"/>
  <c r="C203" i="12"/>
  <c r="D203" i="12"/>
  <c r="A204" i="12"/>
  <c r="DH204" i="12" s="1" a="1"/>
  <c r="B204" i="12"/>
  <c r="C204" i="12"/>
  <c r="D204" i="12"/>
  <c r="A205" i="12"/>
  <c r="DH205" i="12" s="1" a="1"/>
  <c r="B205" i="12"/>
  <c r="E205" i="12" s="1"/>
  <c r="C205" i="12"/>
  <c r="D205" i="12"/>
  <c r="A206" i="12"/>
  <c r="DH206" i="12" s="1" a="1"/>
  <c r="B206" i="12"/>
  <c r="C206" i="12"/>
  <c r="D206" i="12"/>
  <c r="A207" i="12"/>
  <c r="B207" i="12"/>
  <c r="C207" i="12"/>
  <c r="D207" i="12"/>
  <c r="A208" i="12"/>
  <c r="DH208" i="12" s="1" a="1"/>
  <c r="B208" i="12"/>
  <c r="C208" i="12"/>
  <c r="D208" i="12"/>
  <c r="A209" i="12"/>
  <c r="B209" i="12"/>
  <c r="C209" i="12"/>
  <c r="D209" i="12"/>
  <c r="A210" i="12"/>
  <c r="DH210" i="12" s="1" a="1"/>
  <c r="B210" i="12"/>
  <c r="C210" i="12"/>
  <c r="D210" i="12"/>
  <c r="A183" i="12"/>
  <c r="DH183" i="12" s="1" a="1"/>
  <c r="B183" i="12"/>
  <c r="C183" i="12"/>
  <c r="D183" i="12"/>
  <c r="A184" i="12"/>
  <c r="DH184" i="12" s="1" a="1"/>
  <c r="B184" i="12"/>
  <c r="C184" i="12"/>
  <c r="D184" i="12"/>
  <c r="A185" i="12"/>
  <c r="DH185" i="12" s="1" a="1"/>
  <c r="B185" i="12"/>
  <c r="C185" i="12"/>
  <c r="D185" i="12"/>
  <c r="A186" i="12"/>
  <c r="DH186" i="12" s="1" a="1"/>
  <c r="B186" i="12"/>
  <c r="C186" i="12"/>
  <c r="D186" i="12"/>
  <c r="A187" i="12"/>
  <c r="B187" i="12"/>
  <c r="C187" i="12"/>
  <c r="D187" i="12"/>
  <c r="A188" i="12"/>
  <c r="DH188" i="12" s="1" a="1"/>
  <c r="B188" i="12"/>
  <c r="C188" i="12"/>
  <c r="D188" i="12"/>
  <c r="A189" i="12"/>
  <c r="DH189" i="12" s="1" a="1"/>
  <c r="B189" i="12"/>
  <c r="C189" i="12"/>
  <c r="D189" i="12"/>
  <c r="A190" i="12"/>
  <c r="DH190" i="12" s="1" a="1"/>
  <c r="B190" i="12"/>
  <c r="C190" i="12"/>
  <c r="D190" i="12"/>
  <c r="A191" i="12"/>
  <c r="DH191" i="12" s="1" a="1"/>
  <c r="B191" i="12"/>
  <c r="E191" i="12" s="1"/>
  <c r="C191" i="12"/>
  <c r="D191" i="12"/>
  <c r="A192" i="12"/>
  <c r="DH192" i="12" s="1" a="1"/>
  <c r="B192" i="12"/>
  <c r="C192" i="12"/>
  <c r="D192" i="12"/>
  <c r="A193" i="12"/>
  <c r="DH193" i="12" s="1" a="1"/>
  <c r="B193" i="12"/>
  <c r="C193" i="12"/>
  <c r="D193" i="12"/>
  <c r="A194" i="12"/>
  <c r="DH194" i="12" s="1" a="1"/>
  <c r="B194" i="12"/>
  <c r="C194" i="12"/>
  <c r="D194" i="12"/>
  <c r="A195" i="12"/>
  <c r="DH195" i="12" s="1" a="1"/>
  <c r="B195" i="12"/>
  <c r="C195" i="12"/>
  <c r="D195" i="12"/>
  <c r="A196" i="12"/>
  <c r="DH196" i="12" s="1" a="1"/>
  <c r="B196" i="12"/>
  <c r="C196" i="12"/>
  <c r="D196" i="12"/>
  <c r="A169" i="12"/>
  <c r="DH169" i="12" s="1" a="1"/>
  <c r="B169" i="12"/>
  <c r="E169" i="12" s="1"/>
  <c r="C169" i="12"/>
  <c r="D169" i="12"/>
  <c r="A170" i="12"/>
  <c r="DH170" i="12" s="1" a="1"/>
  <c r="B170" i="12"/>
  <c r="C170" i="12"/>
  <c r="D170" i="12"/>
  <c r="A171" i="12"/>
  <c r="DH171" i="12" s="1" a="1"/>
  <c r="B171" i="12"/>
  <c r="E171" i="12" s="1"/>
  <c r="C171" i="12"/>
  <c r="D171" i="12"/>
  <c r="A172" i="12"/>
  <c r="B172" i="12"/>
  <c r="C172" i="12"/>
  <c r="D172" i="12"/>
  <c r="A173" i="12"/>
  <c r="DH173" i="12" s="1" a="1"/>
  <c r="B173" i="12"/>
  <c r="C173" i="12"/>
  <c r="D173" i="12"/>
  <c r="A174" i="12"/>
  <c r="B174" i="12"/>
  <c r="C174" i="12"/>
  <c r="D174" i="12"/>
  <c r="A175" i="12"/>
  <c r="DH175" i="12" s="1" a="1"/>
  <c r="B175" i="12"/>
  <c r="C175" i="12"/>
  <c r="D175" i="12"/>
  <c r="A176" i="12"/>
  <c r="DH176" i="12" s="1" a="1"/>
  <c r="B176" i="12"/>
  <c r="C176" i="12"/>
  <c r="D176" i="12"/>
  <c r="A177" i="12"/>
  <c r="DH177" i="12" s="1" a="1"/>
  <c r="B177" i="12"/>
  <c r="C177" i="12"/>
  <c r="D177" i="12"/>
  <c r="A178" i="12"/>
  <c r="DH178" i="12" s="1" a="1"/>
  <c r="B178" i="12"/>
  <c r="C178" i="12"/>
  <c r="D178" i="12"/>
  <c r="A179" i="12"/>
  <c r="DH179" i="12" s="1" a="1"/>
  <c r="B179" i="12"/>
  <c r="C179" i="12"/>
  <c r="D179" i="12"/>
  <c r="A180" i="12"/>
  <c r="DH180" i="12" s="1" a="1"/>
  <c r="B180" i="12"/>
  <c r="C180" i="12"/>
  <c r="D180" i="12"/>
  <c r="A181" i="12"/>
  <c r="B181" i="12"/>
  <c r="C181" i="12"/>
  <c r="D181" i="12"/>
  <c r="A182" i="12"/>
  <c r="DH182" i="12" s="1" a="1"/>
  <c r="B182" i="12"/>
  <c r="C182" i="12"/>
  <c r="D182" i="12"/>
  <c r="A155" i="12"/>
  <c r="B155" i="12"/>
  <c r="C155" i="12"/>
  <c r="D155" i="12"/>
  <c r="A156" i="12"/>
  <c r="DH156" i="12" s="1" a="1"/>
  <c r="B156" i="12"/>
  <c r="C156" i="12"/>
  <c r="D156" i="12"/>
  <c r="A157" i="12"/>
  <c r="DH157" i="12" s="1" a="1"/>
  <c r="B157" i="12"/>
  <c r="C157" i="12"/>
  <c r="D157" i="12"/>
  <c r="A158" i="12"/>
  <c r="DH158" i="12" s="1" a="1"/>
  <c r="B158" i="12"/>
  <c r="C158" i="12"/>
  <c r="D158" i="12"/>
  <c r="A159" i="12"/>
  <c r="B159" i="12"/>
  <c r="C159" i="12"/>
  <c r="D159" i="12"/>
  <c r="A160" i="12"/>
  <c r="DH160" i="12" s="1" a="1"/>
  <c r="B160" i="12"/>
  <c r="C160" i="12"/>
  <c r="D160" i="12"/>
  <c r="A161" i="12"/>
  <c r="DH161" i="12" s="1" a="1"/>
  <c r="B161" i="12"/>
  <c r="C161" i="12"/>
  <c r="D161" i="12"/>
  <c r="A162" i="12"/>
  <c r="B162" i="12"/>
  <c r="C162" i="12"/>
  <c r="D162" i="12"/>
  <c r="A163" i="12"/>
  <c r="DH163" i="12" s="1" a="1"/>
  <c r="B163" i="12"/>
  <c r="C163" i="12"/>
  <c r="D163" i="12"/>
  <c r="A164" i="12"/>
  <c r="DH164" i="12" s="1" a="1"/>
  <c r="B164" i="12"/>
  <c r="C164" i="12"/>
  <c r="D164" i="12"/>
  <c r="A165" i="12"/>
  <c r="B165" i="12"/>
  <c r="C165" i="12"/>
  <c r="D165" i="12"/>
  <c r="A166" i="12"/>
  <c r="DH166" i="12" s="1" a="1"/>
  <c r="B166" i="12"/>
  <c r="C166" i="12"/>
  <c r="D166" i="12"/>
  <c r="A167" i="12"/>
  <c r="DH167" i="12" s="1" a="1"/>
  <c r="B167" i="12"/>
  <c r="C167" i="12"/>
  <c r="D167" i="12"/>
  <c r="A168" i="12"/>
  <c r="DH168" i="12" s="1" a="1"/>
  <c r="B168" i="12"/>
  <c r="C168" i="12"/>
  <c r="D168" i="12"/>
  <c r="A141" i="12"/>
  <c r="DH141" i="12" s="1" a="1"/>
  <c r="B141" i="12"/>
  <c r="C141" i="12"/>
  <c r="D141" i="12"/>
  <c r="E141" i="12"/>
  <c r="A142" i="12"/>
  <c r="DH142" i="12" s="1" a="1"/>
  <c r="B142" i="12"/>
  <c r="E142" i="12" s="1"/>
  <c r="C142" i="12"/>
  <c r="D142" i="12"/>
  <c r="A143" i="12"/>
  <c r="DH143" i="12" s="1" a="1"/>
  <c r="B143" i="12"/>
  <c r="E143" i="12" s="1"/>
  <c r="C143" i="12"/>
  <c r="D143" i="12"/>
  <c r="A144" i="12"/>
  <c r="DH144" i="12" s="1" a="1"/>
  <c r="B144" i="12"/>
  <c r="E144" i="12" s="1"/>
  <c r="C144" i="12"/>
  <c r="D144" i="12"/>
  <c r="A145" i="12"/>
  <c r="DH145" i="12" s="1" a="1"/>
  <c r="B145" i="12"/>
  <c r="C145" i="12"/>
  <c r="D145" i="12"/>
  <c r="A146" i="12"/>
  <c r="DH146" i="12" s="1" a="1"/>
  <c r="B146" i="12"/>
  <c r="E146" i="12" s="1"/>
  <c r="C146" i="12"/>
  <c r="D146" i="12"/>
  <c r="A147" i="12"/>
  <c r="DH147" i="12" s="1" a="1"/>
  <c r="B147" i="12"/>
  <c r="E147" i="12" s="1"/>
  <c r="C147" i="12"/>
  <c r="D147" i="12"/>
  <c r="A148" i="12"/>
  <c r="DH148" i="12" s="1" a="1"/>
  <c r="B148" i="12"/>
  <c r="E148" i="12" s="1"/>
  <c r="C148" i="12"/>
  <c r="D148" i="12"/>
  <c r="A149" i="12"/>
  <c r="B149" i="12"/>
  <c r="C149" i="12"/>
  <c r="D149" i="12"/>
  <c r="A150" i="12"/>
  <c r="DH150" i="12" s="1" a="1"/>
  <c r="B150" i="12"/>
  <c r="C150" i="12"/>
  <c r="D150" i="12"/>
  <c r="A151" i="12"/>
  <c r="B151" i="12"/>
  <c r="C151" i="12"/>
  <c r="D151" i="12"/>
  <c r="A152" i="12"/>
  <c r="DH152" i="12" s="1" a="1"/>
  <c r="B152" i="12"/>
  <c r="C152" i="12"/>
  <c r="D152" i="12"/>
  <c r="A153" i="12"/>
  <c r="DH153" i="12" s="1" a="1"/>
  <c r="B153" i="12"/>
  <c r="C153" i="12"/>
  <c r="D153" i="12"/>
  <c r="A154" i="12"/>
  <c r="DH154" i="12" s="1" a="1"/>
  <c r="B154" i="12"/>
  <c r="C154" i="12"/>
  <c r="D154" i="12"/>
  <c r="A127" i="12"/>
  <c r="DH127" i="12" s="1" a="1"/>
  <c r="B127" i="12"/>
  <c r="C127" i="12"/>
  <c r="D127" i="12"/>
  <c r="A128" i="12"/>
  <c r="B128" i="12"/>
  <c r="C128" i="12"/>
  <c r="D128" i="12"/>
  <c r="A129" i="12"/>
  <c r="DH129" i="12" s="1" a="1"/>
  <c r="B129" i="12"/>
  <c r="C129" i="12"/>
  <c r="D129" i="12"/>
  <c r="A130" i="12"/>
  <c r="DH130" i="12" s="1" a="1"/>
  <c r="B130" i="12"/>
  <c r="C130" i="12"/>
  <c r="D130" i="12"/>
  <c r="A131" i="12"/>
  <c r="DH131" i="12" s="1" a="1"/>
  <c r="B131" i="12"/>
  <c r="C131" i="12"/>
  <c r="D131" i="12"/>
  <c r="A132" i="12"/>
  <c r="DH132" i="12" s="1" a="1"/>
  <c r="B132" i="12"/>
  <c r="C132" i="12"/>
  <c r="D132" i="12"/>
  <c r="A133" i="12"/>
  <c r="DH133" i="12" s="1" a="1"/>
  <c r="B133" i="12"/>
  <c r="C133" i="12"/>
  <c r="D133" i="12"/>
  <c r="A134" i="12"/>
  <c r="DH134" i="12" s="1" a="1"/>
  <c r="B134" i="12"/>
  <c r="C134" i="12"/>
  <c r="D134" i="12"/>
  <c r="A135" i="12"/>
  <c r="DH135" i="12" s="1" a="1"/>
  <c r="B135" i="12"/>
  <c r="C135" i="12"/>
  <c r="D135" i="12"/>
  <c r="A136" i="12"/>
  <c r="DH136" i="12" s="1" a="1"/>
  <c r="B136" i="12"/>
  <c r="C136" i="12"/>
  <c r="D136" i="12"/>
  <c r="A137" i="12"/>
  <c r="DH137" i="12" s="1" a="1"/>
  <c r="B137" i="12"/>
  <c r="C137" i="12"/>
  <c r="D137" i="12"/>
  <c r="A138" i="12"/>
  <c r="DH138" i="12" s="1" a="1"/>
  <c r="B138" i="12"/>
  <c r="C138" i="12"/>
  <c r="D138" i="12"/>
  <c r="A139" i="12"/>
  <c r="DH139" i="12" s="1" a="1"/>
  <c r="B139" i="12"/>
  <c r="E139" i="12" s="1"/>
  <c r="C139" i="12"/>
  <c r="D139" i="12"/>
  <c r="A140" i="12"/>
  <c r="DH140" i="12" s="1" a="1"/>
  <c r="B140" i="12"/>
  <c r="C140" i="12"/>
  <c r="D140" i="12"/>
  <c r="A113" i="12"/>
  <c r="DH113" i="12" s="1" a="1"/>
  <c r="B113" i="12"/>
  <c r="E113" i="12" s="1"/>
  <c r="C113" i="12"/>
  <c r="D113" i="12"/>
  <c r="A114" i="12"/>
  <c r="DH114" i="12" s="1" a="1"/>
  <c r="B114" i="12"/>
  <c r="C114" i="12"/>
  <c r="D114" i="12"/>
  <c r="A115" i="12"/>
  <c r="DH115" i="12" s="1" a="1"/>
  <c r="B115" i="12"/>
  <c r="C115" i="12"/>
  <c r="D115" i="12"/>
  <c r="A116" i="12"/>
  <c r="DH116" i="12" s="1" a="1"/>
  <c r="B116" i="12"/>
  <c r="E116" i="12" s="1"/>
  <c r="C116" i="12"/>
  <c r="D116" i="12"/>
  <c r="A117" i="12"/>
  <c r="DH117" i="12" s="1" a="1"/>
  <c r="B117" i="12"/>
  <c r="C117" i="12"/>
  <c r="D117" i="12"/>
  <c r="A118" i="12"/>
  <c r="DH118" i="12" s="1" a="1"/>
  <c r="B118" i="12"/>
  <c r="C118" i="12"/>
  <c r="D118" i="12"/>
  <c r="E118" i="12"/>
  <c r="A119" i="12"/>
  <c r="DH119" i="12" s="1" a="1"/>
  <c r="B119" i="12"/>
  <c r="C119" i="12"/>
  <c r="D119" i="12"/>
  <c r="A120" i="12"/>
  <c r="B120" i="12"/>
  <c r="C120" i="12"/>
  <c r="D120" i="12"/>
  <c r="A121" i="12"/>
  <c r="DH121" i="12" s="1" a="1"/>
  <c r="B121" i="12"/>
  <c r="C121" i="12"/>
  <c r="D121" i="12"/>
  <c r="E121" i="12"/>
  <c r="A122" i="12"/>
  <c r="DH122" i="12" s="1" a="1"/>
  <c r="B122" i="12"/>
  <c r="E122" i="12" s="1"/>
  <c r="C122" i="12"/>
  <c r="D122" i="12"/>
  <c r="A123" i="12"/>
  <c r="DH123" i="12" s="1" a="1"/>
  <c r="B123" i="12"/>
  <c r="C123" i="12"/>
  <c r="D123" i="12"/>
  <c r="A124" i="12"/>
  <c r="DH124" i="12" s="1" a="1"/>
  <c r="B124" i="12"/>
  <c r="C124" i="12"/>
  <c r="D124" i="12"/>
  <c r="A125" i="12"/>
  <c r="DH125" i="12" s="1" a="1"/>
  <c r="B125" i="12"/>
  <c r="C125" i="12"/>
  <c r="D125" i="12"/>
  <c r="A126" i="12"/>
  <c r="DH126" i="12" s="1" a="1"/>
  <c r="B126" i="12"/>
  <c r="C126" i="12"/>
  <c r="D126" i="12"/>
  <c r="A99" i="12"/>
  <c r="DH99" i="12" s="1" a="1"/>
  <c r="B99" i="12"/>
  <c r="C99" i="12"/>
  <c r="D99" i="12"/>
  <c r="A100" i="12"/>
  <c r="B100" i="12"/>
  <c r="C100" i="12"/>
  <c r="D100" i="12"/>
  <c r="A101" i="12"/>
  <c r="DH101" i="12" s="1" a="1"/>
  <c r="B101" i="12"/>
  <c r="C101" i="12"/>
  <c r="D101" i="12"/>
  <c r="A102" i="12"/>
  <c r="DH102" i="12" s="1" a="1"/>
  <c r="B102" i="12"/>
  <c r="C102" i="12"/>
  <c r="D102" i="12"/>
  <c r="A103" i="12"/>
  <c r="DH103" i="12" s="1" a="1"/>
  <c r="B103" i="12"/>
  <c r="C103" i="12"/>
  <c r="D103" i="12"/>
  <c r="A104" i="12"/>
  <c r="DH104" i="12" s="1" a="1"/>
  <c r="B104" i="12"/>
  <c r="E104" i="12" s="1"/>
  <c r="C104" i="12"/>
  <c r="D104" i="12"/>
  <c r="A105" i="12"/>
  <c r="DH105" i="12" s="1" a="1"/>
  <c r="B105" i="12"/>
  <c r="C105" i="12"/>
  <c r="D105" i="12"/>
  <c r="A106" i="12"/>
  <c r="DH106" i="12" s="1" a="1"/>
  <c r="B106" i="12"/>
  <c r="C106" i="12"/>
  <c r="D106" i="12"/>
  <c r="A107" i="12"/>
  <c r="DH107" i="12" s="1" a="1"/>
  <c r="B107" i="12"/>
  <c r="C107" i="12"/>
  <c r="D107" i="12"/>
  <c r="A108" i="12"/>
  <c r="DH108" i="12" s="1" a="1"/>
  <c r="B108" i="12"/>
  <c r="C108" i="12"/>
  <c r="D108" i="12"/>
  <c r="A109" i="12"/>
  <c r="DH109" i="12" s="1" a="1"/>
  <c r="B109" i="12"/>
  <c r="C109" i="12"/>
  <c r="D109" i="12"/>
  <c r="A110" i="12"/>
  <c r="DH110" i="12" s="1" a="1"/>
  <c r="B110" i="12"/>
  <c r="C110" i="12"/>
  <c r="D110" i="12"/>
  <c r="A111" i="12"/>
  <c r="DH111" i="12" s="1" a="1"/>
  <c r="B111" i="12"/>
  <c r="E111" i="12" s="1"/>
  <c r="C111" i="12"/>
  <c r="D111" i="12"/>
  <c r="A112" i="12"/>
  <c r="DH112" i="12" s="1" a="1"/>
  <c r="B112" i="12"/>
  <c r="C112" i="12"/>
  <c r="D112" i="12"/>
  <c r="A85" i="12"/>
  <c r="DH85" i="12" s="1" a="1"/>
  <c r="B85" i="12"/>
  <c r="C85" i="12"/>
  <c r="D85" i="12"/>
  <c r="E85" i="12"/>
  <c r="A86" i="12"/>
  <c r="B86" i="12"/>
  <c r="C86" i="12"/>
  <c r="D86" i="12"/>
  <c r="A87" i="12"/>
  <c r="DH87" i="12" s="1" a="1"/>
  <c r="B87" i="12"/>
  <c r="C87" i="12"/>
  <c r="D87" i="12"/>
  <c r="A88" i="12"/>
  <c r="DH88" i="12" s="1" a="1"/>
  <c r="B88" i="12"/>
  <c r="C88" i="12"/>
  <c r="D88" i="12"/>
  <c r="A89" i="12"/>
  <c r="DH89" i="12" s="1" a="1"/>
  <c r="B89" i="12"/>
  <c r="C89" i="12"/>
  <c r="D89" i="12"/>
  <c r="A90" i="12"/>
  <c r="B90" i="12"/>
  <c r="C90" i="12"/>
  <c r="D90" i="12"/>
  <c r="A91" i="12"/>
  <c r="DH91" i="12" s="1" a="1"/>
  <c r="B91" i="12"/>
  <c r="E91" i="12" s="1"/>
  <c r="C91" i="12"/>
  <c r="D91" i="12"/>
  <c r="A92" i="12"/>
  <c r="DH92" i="12" s="1" a="1"/>
  <c r="B92" i="12"/>
  <c r="C92" i="12"/>
  <c r="D92" i="12"/>
  <c r="A93" i="12"/>
  <c r="DH93" i="12" s="1" a="1"/>
  <c r="B93" i="12"/>
  <c r="E93" i="12" s="1"/>
  <c r="C93" i="12"/>
  <c r="D93" i="12"/>
  <c r="A94" i="12"/>
  <c r="B94" i="12"/>
  <c r="C94" i="12"/>
  <c r="D94" i="12"/>
  <c r="A95" i="12"/>
  <c r="B95" i="12"/>
  <c r="C95" i="12"/>
  <c r="D95" i="12"/>
  <c r="A96" i="12"/>
  <c r="DH96" i="12" s="1" a="1"/>
  <c r="B96" i="12"/>
  <c r="C96" i="12"/>
  <c r="D96" i="12"/>
  <c r="A97" i="12"/>
  <c r="B97" i="12"/>
  <c r="C97" i="12"/>
  <c r="D97" i="12"/>
  <c r="A98" i="12"/>
  <c r="DH98" i="12" s="1" a="1"/>
  <c r="B98" i="12"/>
  <c r="C98" i="12"/>
  <c r="D98" i="12"/>
  <c r="A71" i="12"/>
  <c r="DH71" i="12" s="1" a="1"/>
  <c r="B71" i="12"/>
  <c r="C71" i="12"/>
  <c r="D71" i="12"/>
  <c r="E71" i="12"/>
  <c r="A72" i="12"/>
  <c r="B72" i="12"/>
  <c r="C72" i="12"/>
  <c r="D72" i="12"/>
  <c r="A73" i="12"/>
  <c r="B73" i="12"/>
  <c r="C73" i="12"/>
  <c r="D73" i="12"/>
  <c r="A74" i="12"/>
  <c r="DH74" i="12" s="1" a="1"/>
  <c r="B74" i="12"/>
  <c r="C74" i="12"/>
  <c r="D74" i="12"/>
  <c r="A75" i="12"/>
  <c r="DH75" i="12" s="1" a="1"/>
  <c r="B75" i="12"/>
  <c r="C75" i="12"/>
  <c r="D75" i="12"/>
  <c r="A76" i="12"/>
  <c r="B76" i="12"/>
  <c r="C76" i="12"/>
  <c r="D76" i="12"/>
  <c r="A77" i="12"/>
  <c r="DH77" i="12" s="1" a="1"/>
  <c r="B77" i="12"/>
  <c r="E77" i="12" s="1"/>
  <c r="C77" i="12"/>
  <c r="D77" i="12"/>
  <c r="A78" i="12"/>
  <c r="DH78" i="12" s="1" a="1"/>
  <c r="B78" i="12"/>
  <c r="C78" i="12"/>
  <c r="D78" i="12"/>
  <c r="A79" i="12"/>
  <c r="DH79" i="12" s="1" a="1"/>
  <c r="B79" i="12"/>
  <c r="C79" i="12"/>
  <c r="D79" i="12"/>
  <c r="E79" i="12"/>
  <c r="A80" i="12"/>
  <c r="DH80" i="12" s="1" a="1"/>
  <c r="B80" i="12"/>
  <c r="C80" i="12"/>
  <c r="D80" i="12"/>
  <c r="A81" i="12"/>
  <c r="DH81" i="12" s="1" a="1"/>
  <c r="B81" i="12"/>
  <c r="C81" i="12"/>
  <c r="D81" i="12"/>
  <c r="A82" i="12"/>
  <c r="DH82" i="12" s="1" a="1"/>
  <c r="B82" i="12"/>
  <c r="E82" i="12" s="1"/>
  <c r="C82" i="12"/>
  <c r="D82" i="12"/>
  <c r="A83" i="12"/>
  <c r="DH83" i="12" s="1" a="1"/>
  <c r="B83" i="12"/>
  <c r="C83" i="12"/>
  <c r="D83" i="12"/>
  <c r="A84" i="12"/>
  <c r="DH84" i="12" s="1" a="1"/>
  <c r="B84" i="12"/>
  <c r="E84" i="12" s="1"/>
  <c r="C84" i="12"/>
  <c r="D84" i="12"/>
  <c r="A57" i="12"/>
  <c r="DH57" i="12" s="1" a="1"/>
  <c r="B57" i="12"/>
  <c r="C57" i="12"/>
  <c r="D57" i="12"/>
  <c r="A58" i="12"/>
  <c r="DH58" i="12" s="1" a="1"/>
  <c r="B58" i="12"/>
  <c r="C58" i="12"/>
  <c r="D58" i="12"/>
  <c r="A59" i="12"/>
  <c r="DH59" i="12" s="1" a="1"/>
  <c r="B59" i="12"/>
  <c r="C59" i="12"/>
  <c r="D59" i="12"/>
  <c r="A60" i="12"/>
  <c r="DH60" i="12" s="1" a="1"/>
  <c r="B60" i="12"/>
  <c r="C60" i="12"/>
  <c r="D60" i="12"/>
  <c r="A61" i="12"/>
  <c r="B61" i="12"/>
  <c r="C61" i="12"/>
  <c r="D61" i="12"/>
  <c r="A62" i="12"/>
  <c r="DH62" i="12" s="1" a="1"/>
  <c r="B62" i="12"/>
  <c r="C62" i="12"/>
  <c r="D62" i="12"/>
  <c r="A63" i="12"/>
  <c r="DH63" i="12" s="1" a="1"/>
  <c r="B63" i="12"/>
  <c r="C63" i="12"/>
  <c r="D63" i="12"/>
  <c r="A64" i="12"/>
  <c r="DH64" i="12" s="1" a="1"/>
  <c r="B64" i="12"/>
  <c r="C64" i="12"/>
  <c r="D64" i="12"/>
  <c r="A65" i="12"/>
  <c r="DH65" i="12" s="1" a="1"/>
  <c r="B65" i="12"/>
  <c r="C65" i="12"/>
  <c r="D65" i="12"/>
  <c r="A66" i="12"/>
  <c r="DH66" i="12" s="1" a="1"/>
  <c r="B66" i="12"/>
  <c r="C66" i="12"/>
  <c r="D66" i="12"/>
  <c r="A67" i="12"/>
  <c r="DH67" i="12" s="1" a="1"/>
  <c r="B67" i="12"/>
  <c r="C67" i="12"/>
  <c r="D67" i="12"/>
  <c r="A68" i="12"/>
  <c r="DH68" i="12" s="1" a="1"/>
  <c r="B68" i="12"/>
  <c r="C68" i="12"/>
  <c r="D68" i="12"/>
  <c r="A69" i="12"/>
  <c r="DH69" i="12" s="1" a="1"/>
  <c r="B69" i="12"/>
  <c r="C69" i="12"/>
  <c r="D69" i="12"/>
  <c r="A70" i="12"/>
  <c r="B70" i="12"/>
  <c r="C70" i="12"/>
  <c r="D70" i="12"/>
  <c r="A43" i="12"/>
  <c r="DH43" i="12" s="1" a="1"/>
  <c r="B43" i="12"/>
  <c r="E43" i="12" s="1"/>
  <c r="C43" i="12"/>
  <c r="D43" i="12"/>
  <c r="A44" i="12"/>
  <c r="B44" i="12"/>
  <c r="C44" i="12"/>
  <c r="D44" i="12"/>
  <c r="A45" i="12"/>
  <c r="DH45" i="12" s="1" a="1"/>
  <c r="B45" i="12"/>
  <c r="C45" i="12"/>
  <c r="D45" i="12"/>
  <c r="A46" i="12"/>
  <c r="DH46" i="12" s="1" a="1"/>
  <c r="B46" i="12"/>
  <c r="C46" i="12"/>
  <c r="D46" i="12"/>
  <c r="A47" i="12"/>
  <c r="B47" i="12"/>
  <c r="C47" i="12"/>
  <c r="D47" i="12"/>
  <c r="A48" i="12"/>
  <c r="DH48" i="12" s="1" a="1"/>
  <c r="B48" i="12"/>
  <c r="C48" i="12"/>
  <c r="D48" i="12"/>
  <c r="A49" i="12"/>
  <c r="DH49" i="12" s="1" a="1"/>
  <c r="B49" i="12"/>
  <c r="C49" i="12"/>
  <c r="D49" i="12"/>
  <c r="A50" i="12"/>
  <c r="DH50" i="12" s="1" a="1"/>
  <c r="B50" i="12"/>
  <c r="C50" i="12"/>
  <c r="D50" i="12"/>
  <c r="A51" i="12"/>
  <c r="B51" i="12"/>
  <c r="C51" i="12"/>
  <c r="D51" i="12"/>
  <c r="A52" i="12"/>
  <c r="DH52" i="12" s="1" a="1"/>
  <c r="B52" i="12"/>
  <c r="C52" i="12"/>
  <c r="D52" i="12"/>
  <c r="A53" i="12"/>
  <c r="DH53" i="12" s="1" a="1"/>
  <c r="B53" i="12"/>
  <c r="C53" i="12"/>
  <c r="D53" i="12"/>
  <c r="A54" i="12"/>
  <c r="DH54" i="12" s="1" a="1"/>
  <c r="B54" i="12"/>
  <c r="C54" i="12"/>
  <c r="D54" i="12"/>
  <c r="A55" i="12"/>
  <c r="DH55" i="12" s="1" a="1"/>
  <c r="B55" i="12"/>
  <c r="E55" i="12" s="1"/>
  <c r="C55" i="12"/>
  <c r="D55" i="12"/>
  <c r="A56" i="12"/>
  <c r="DH56" i="12" s="1" a="1"/>
  <c r="B56" i="12"/>
  <c r="E56" i="12" s="1"/>
  <c r="C56" i="12"/>
  <c r="D56" i="12"/>
  <c r="A29" i="12"/>
  <c r="DH29" i="12" s="1" a="1"/>
  <c r="B29" i="12"/>
  <c r="C29" i="12"/>
  <c r="D29" i="12"/>
  <c r="A30" i="12"/>
  <c r="DH30" i="12" s="1" a="1"/>
  <c r="B30" i="12"/>
  <c r="C30" i="12"/>
  <c r="D30" i="12"/>
  <c r="A31" i="12"/>
  <c r="DH31" i="12" s="1" a="1"/>
  <c r="B31" i="12"/>
  <c r="C31" i="12"/>
  <c r="D31" i="12"/>
  <c r="A32" i="12"/>
  <c r="B32" i="12"/>
  <c r="C32" i="12"/>
  <c r="D32" i="12"/>
  <c r="A33" i="12"/>
  <c r="DH33" i="12" s="1" a="1"/>
  <c r="B33" i="12"/>
  <c r="C33" i="12"/>
  <c r="D33" i="12"/>
  <c r="A34" i="12"/>
  <c r="DH34" i="12" s="1" a="1"/>
  <c r="B34" i="12"/>
  <c r="C34" i="12"/>
  <c r="D34" i="12"/>
  <c r="A35" i="12"/>
  <c r="DH35" i="12" s="1" a="1"/>
  <c r="B35" i="12"/>
  <c r="C35" i="12"/>
  <c r="D35" i="12"/>
  <c r="A36" i="12"/>
  <c r="DH36" i="12" s="1" a="1"/>
  <c r="B36" i="12"/>
  <c r="E36" i="12" s="1"/>
  <c r="C36" i="12"/>
  <c r="D36" i="12"/>
  <c r="A37" i="12"/>
  <c r="DH37" i="12" s="1" a="1"/>
  <c r="B37" i="12"/>
  <c r="C37" i="12"/>
  <c r="D37" i="12"/>
  <c r="A38" i="12"/>
  <c r="B38" i="12"/>
  <c r="C38" i="12"/>
  <c r="D38" i="12"/>
  <c r="A39" i="12"/>
  <c r="B39" i="12"/>
  <c r="C39" i="12"/>
  <c r="D39" i="12"/>
  <c r="A40" i="12"/>
  <c r="DH40" i="12" s="1" a="1"/>
  <c r="B40" i="12"/>
  <c r="C40" i="12"/>
  <c r="D40" i="12"/>
  <c r="A41" i="12"/>
  <c r="B41" i="12"/>
  <c r="C41" i="12"/>
  <c r="D41" i="12"/>
  <c r="A42" i="12"/>
  <c r="DH42" i="12" s="1" a="1"/>
  <c r="B42" i="12"/>
  <c r="C42" i="12"/>
  <c r="D42" i="12"/>
  <c r="A20" i="12"/>
  <c r="DH20" i="12" s="1" a="1"/>
  <c r="B20" i="12"/>
  <c r="C20" i="12"/>
  <c r="D20" i="12"/>
  <c r="A21" i="12"/>
  <c r="DH21" i="12" s="1" a="1"/>
  <c r="B21" i="12"/>
  <c r="C21" i="12"/>
  <c r="D21" i="12"/>
  <c r="A22" i="12"/>
  <c r="DH22" i="12" s="1" a="1"/>
  <c r="B22" i="12"/>
  <c r="E22" i="12" s="1"/>
  <c r="C22" i="12"/>
  <c r="D22" i="12"/>
  <c r="A23" i="12"/>
  <c r="DH23" i="12" s="1" a="1"/>
  <c r="B23" i="12"/>
  <c r="C23" i="12"/>
  <c r="D23" i="12"/>
  <c r="A24" i="12"/>
  <c r="DH24" i="12" s="1" a="1"/>
  <c r="B24" i="12"/>
  <c r="C24" i="12"/>
  <c r="D24" i="12"/>
  <c r="A25" i="12"/>
  <c r="DH25" i="12" s="1" a="1"/>
  <c r="B25" i="12"/>
  <c r="C25" i="12"/>
  <c r="D25" i="12"/>
  <c r="A26" i="12"/>
  <c r="DH26" i="12" s="1" a="1"/>
  <c r="B26" i="12"/>
  <c r="C26" i="12"/>
  <c r="D26" i="12"/>
  <c r="A27" i="12"/>
  <c r="DH27" i="12" s="1" a="1"/>
  <c r="B27" i="12"/>
  <c r="C27" i="12"/>
  <c r="D27" i="12"/>
  <c r="A28" i="12"/>
  <c r="DH28" i="12" s="1" a="1"/>
  <c r="B28" i="12"/>
  <c r="C28" i="12"/>
  <c r="D28" i="12"/>
  <c r="A7" i="12"/>
  <c r="B7" i="12"/>
  <c r="C7" i="12"/>
  <c r="A8" i="12"/>
  <c r="B8" i="12"/>
  <c r="C8" i="12"/>
  <c r="A9" i="12"/>
  <c r="B9" i="12"/>
  <c r="C9" i="12"/>
  <c r="A10" i="12"/>
  <c r="B10" i="12"/>
  <c r="C10" i="12"/>
  <c r="A11" i="12"/>
  <c r="B11" i="12"/>
  <c r="C11" i="12"/>
  <c r="AN1" i="1"/>
  <c r="AO1" i="1"/>
  <c r="AP1" i="1"/>
  <c r="B8" i="11"/>
  <c r="C8" i="11"/>
  <c r="D8" i="11"/>
  <c r="E8" i="11"/>
  <c r="F8" i="11"/>
  <c r="H12" i="10"/>
  <c r="G174" i="3"/>
  <c r="H174" i="3" a="1"/>
  <c r="G175" i="3"/>
  <c r="H175" i="3" a="1"/>
  <c r="G176" i="3"/>
  <c r="H176" i="3" a="1"/>
  <c r="G177" i="3"/>
  <c r="H177" i="3" a="1"/>
  <c r="B120" i="3"/>
  <c r="C120" i="3"/>
  <c r="B124" i="3" a="1"/>
  <c r="C124" i="3" a="1"/>
  <c r="D124" i="3" a="1"/>
  <c r="E124" i="3" a="1"/>
  <c r="F124" i="3" a="1"/>
  <c r="G135" i="3"/>
  <c r="H135" i="3" a="1"/>
  <c r="G136" i="3"/>
  <c r="H136" i="3" a="1"/>
  <c r="G137" i="3"/>
  <c r="H137" i="3" a="1"/>
  <c r="B141" i="3" a="1"/>
  <c r="C141" i="3" a="1"/>
  <c r="D141" i="3" a="1"/>
  <c r="E141" i="3" a="1"/>
  <c r="F141" i="3" a="1"/>
  <c r="B59" i="3"/>
  <c r="C59" i="3"/>
  <c r="E59" i="3"/>
  <c r="F59" i="3"/>
  <c r="H59" i="3"/>
  <c r="I59" i="3"/>
  <c r="K59" i="3"/>
  <c r="L59" i="3"/>
  <c r="D70" i="3"/>
  <c r="G70" i="3"/>
  <c r="H70" i="3"/>
  <c r="I70" i="3"/>
  <c r="J70" i="3"/>
  <c r="K70" i="3"/>
  <c r="L70" i="3"/>
  <c r="M70" i="3"/>
  <c r="D71" i="3"/>
  <c r="G71" i="3"/>
  <c r="H71" i="3"/>
  <c r="I71" i="3"/>
  <c r="J71" i="3"/>
  <c r="K71" i="3"/>
  <c r="L71" i="3"/>
  <c r="M71" i="3"/>
  <c r="D72" i="3"/>
  <c r="G72" i="3"/>
  <c r="H72" i="3"/>
  <c r="I72" i="3"/>
  <c r="J72" i="3"/>
  <c r="K72" i="3"/>
  <c r="L72" i="3"/>
  <c r="M72" i="3"/>
  <c r="B77" i="3"/>
  <c r="C77" i="3"/>
  <c r="E77" i="3"/>
  <c r="F77" i="3"/>
  <c r="H77" i="3"/>
  <c r="I77" i="3"/>
  <c r="K77" i="3"/>
  <c r="L77" i="3"/>
  <c r="D110" i="3"/>
  <c r="G110" i="3"/>
  <c r="H110" i="3"/>
  <c r="I110" i="3"/>
  <c r="J110" i="3"/>
  <c r="K110" i="3"/>
  <c r="L110" i="3"/>
  <c r="M110" i="3"/>
  <c r="D111" i="3"/>
  <c r="G111" i="3"/>
  <c r="H111" i="3"/>
  <c r="I111" i="3"/>
  <c r="J111" i="3"/>
  <c r="K111" i="3"/>
  <c r="L111" i="3"/>
  <c r="M111" i="3"/>
  <c r="D112" i="3"/>
  <c r="G112" i="3"/>
  <c r="H112" i="3"/>
  <c r="I112" i="3"/>
  <c r="J112" i="3"/>
  <c r="K112" i="3"/>
  <c r="L112" i="3"/>
  <c r="M112" i="3"/>
  <c r="B8" i="3" a="1"/>
  <c r="C8" i="3" a="1"/>
  <c r="D8" i="3" a="1"/>
  <c r="E8" i="3" a="1"/>
  <c r="F8" i="3" a="1"/>
  <c r="H8" i="3"/>
  <c r="E9" i="3"/>
  <c r="H9" i="3"/>
  <c r="E10" i="3"/>
  <c r="E11" i="3" s="1"/>
  <c r="H10" i="3"/>
  <c r="C45" i="3"/>
  <c r="D45" i="3"/>
  <c r="C46" i="3"/>
  <c r="D46" i="3"/>
  <c r="AI1" i="1"/>
  <c r="AJ1" i="1"/>
  <c r="AK1" i="1"/>
  <c r="AL1" i="1"/>
  <c r="F2" i="1"/>
  <c r="N9" i="2"/>
  <c r="AE1" i="1"/>
  <c r="AF1" i="1"/>
  <c r="AG1" i="1"/>
  <c r="AH1" i="1"/>
  <c r="Z190" i="2" a="1"/>
  <c r="Z191" i="2" a="1"/>
  <c r="Z192" i="2" a="1"/>
  <c r="Z193" i="2" a="1"/>
  <c r="Z194" i="2" a="1"/>
  <c r="Z195" i="2" a="1"/>
  <c r="Z196" i="2" a="1"/>
  <c r="Z197" i="2" a="1"/>
  <c r="Z198" i="2" a="1"/>
  <c r="Z199" i="2" a="1"/>
  <c r="Z200" i="2" a="1"/>
  <c r="Z201" i="2" a="1"/>
  <c r="Z202" i="2" a="1"/>
  <c r="Z203" i="2" a="1"/>
  <c r="Z204" i="2" a="1"/>
  <c r="BR5" i="2" a="1"/>
  <c r="AW6" i="2" s="1" a="1"/>
  <c r="M204" i="2" a="1"/>
  <c r="O204" i="2" s="1" a="1"/>
  <c r="L204" i="2" a="1"/>
  <c r="M203" i="2" a="1"/>
  <c r="O203" i="2" s="1" a="1"/>
  <c r="L203" i="2" a="1"/>
  <c r="M202" i="2" a="1"/>
  <c r="O202" i="2" s="1" a="1"/>
  <c r="L202" i="2" a="1"/>
  <c r="M201" i="2" a="1"/>
  <c r="O201" i="2" s="1" a="1"/>
  <c r="L201" i="2" a="1"/>
  <c r="M200" i="2" a="1"/>
  <c r="O200" i="2" s="1" a="1"/>
  <c r="L200" i="2" a="1"/>
  <c r="M199" i="2" a="1"/>
  <c r="O199" i="2" s="1" a="1"/>
  <c r="L199" i="2" a="1"/>
  <c r="M198" i="2" a="1"/>
  <c r="O198" i="2" s="1" a="1"/>
  <c r="L198" i="2" a="1"/>
  <c r="M197" i="2" a="1"/>
  <c r="O197" i="2" s="1" a="1"/>
  <c r="L197" i="2" a="1"/>
  <c r="M196" i="2" a="1"/>
  <c r="O196" i="2" s="1" a="1"/>
  <c r="L196" i="2" a="1"/>
  <c r="M195" i="2" a="1"/>
  <c r="O195" i="2" s="1" a="1"/>
  <c r="L195" i="2" a="1"/>
  <c r="M194" i="2" a="1"/>
  <c r="O194" i="2" s="1" a="1"/>
  <c r="L194" i="2" a="1"/>
  <c r="M193" i="2" a="1"/>
  <c r="O193" i="2" s="1" a="1"/>
  <c r="L193" i="2" a="1"/>
  <c r="M192" i="2" a="1"/>
  <c r="O192" i="2" s="1" a="1"/>
  <c r="L192" i="2" a="1"/>
  <c r="M191" i="2" a="1"/>
  <c r="O191" i="2" s="1" a="1"/>
  <c r="L191" i="2" a="1"/>
  <c r="BW5" i="2" a="1"/>
  <c r="Y204" i="2"/>
  <c r="X204" i="2" a="1"/>
  <c r="W204" i="2" a="1"/>
  <c r="Y203" i="2"/>
  <c r="X203" i="2" a="1"/>
  <c r="W203" i="2" a="1"/>
  <c r="Y202" i="2"/>
  <c r="X202" i="2" a="1"/>
  <c r="W202" i="2" a="1"/>
  <c r="Y201" i="2"/>
  <c r="X201" i="2" a="1"/>
  <c r="W201" i="2" a="1"/>
  <c r="Y200" i="2"/>
  <c r="X200" i="2" a="1"/>
  <c r="W200" i="2" a="1"/>
  <c r="Y199" i="2"/>
  <c r="X199" i="2" a="1"/>
  <c r="W199" i="2" a="1"/>
  <c r="Y198" i="2"/>
  <c r="X198" i="2" a="1"/>
  <c r="W198" i="2" a="1"/>
  <c r="Y197" i="2"/>
  <c r="X197" i="2" a="1"/>
  <c r="W197" i="2" a="1"/>
  <c r="Y196" i="2"/>
  <c r="X196" i="2" a="1"/>
  <c r="W196" i="2" a="1"/>
  <c r="Y195" i="2"/>
  <c r="X195" i="2" a="1"/>
  <c r="W195" i="2" a="1"/>
  <c r="Y194" i="2"/>
  <c r="X194" i="2" a="1"/>
  <c r="W194" i="2" a="1"/>
  <c r="Y193" i="2"/>
  <c r="X193" i="2" a="1"/>
  <c r="W193" i="2" a="1"/>
  <c r="Y192" i="2"/>
  <c r="X192" i="2" a="1"/>
  <c r="W192" i="2" a="1"/>
  <c r="Y191" i="2"/>
  <c r="X191" i="2" a="1"/>
  <c r="W191" i="2" a="1"/>
  <c r="BD1" i="2" a="1"/>
  <c r="BD2" i="2" a="1"/>
  <c r="AY6" i="2" a="1"/>
  <c r="A1" i="2"/>
  <c r="V4" i="2"/>
  <c r="U7" i="2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AO118" i="6"/>
  <c r="AN118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AS106" i="6"/>
  <c r="AS39" i="6" s="1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AO115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AO113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" i="6"/>
  <c r="AP1" i="6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A1" i="1"/>
  <c r="AB1" i="1"/>
  <c r="AC1" i="1"/>
  <c r="AD1" i="1"/>
  <c r="A191" i="2"/>
  <c r="B191" i="2" a="1"/>
  <c r="C191" i="2" a="1"/>
  <c r="D191" i="2" a="1"/>
  <c r="E191" i="2" a="1"/>
  <c r="F191" i="2"/>
  <c r="G191" i="2"/>
  <c r="H191" i="2" a="1"/>
  <c r="I191" i="2"/>
  <c r="J191" i="2"/>
  <c r="K191" i="2"/>
  <c r="P191" i="2" a="1"/>
  <c r="Q191" i="2" a="1"/>
  <c r="R191" i="2"/>
  <c r="S191" i="2"/>
  <c r="T191" i="2"/>
  <c r="U191" i="2"/>
  <c r="V191" i="2"/>
  <c r="AE191" i="2" a="1"/>
  <c r="AF191" i="2" a="1"/>
  <c r="AG191" i="2" a="1"/>
  <c r="AH191" i="2"/>
  <c r="A192" i="2"/>
  <c r="B192" i="2" a="1"/>
  <c r="C192" i="2" a="1"/>
  <c r="D192" i="2" a="1"/>
  <c r="E192" i="2" a="1"/>
  <c r="F192" i="2"/>
  <c r="G192" i="2"/>
  <c r="H192" i="2" a="1"/>
  <c r="I192" i="2"/>
  <c r="J192" i="2"/>
  <c r="K192" i="2"/>
  <c r="P192" i="2" a="1"/>
  <c r="Q192" i="2" a="1"/>
  <c r="R192" i="2"/>
  <c r="S192" i="2"/>
  <c r="T192" i="2"/>
  <c r="U192" i="2"/>
  <c r="V192" i="2"/>
  <c r="AE192" i="2" a="1"/>
  <c r="AF192" i="2" a="1"/>
  <c r="AG192" i="2" a="1"/>
  <c r="AH192" i="2"/>
  <c r="A193" i="2"/>
  <c r="B193" i="2" a="1"/>
  <c r="C193" i="2" a="1"/>
  <c r="D193" i="2" a="1"/>
  <c r="E193" i="2" a="1"/>
  <c r="F193" i="2"/>
  <c r="G193" i="2"/>
  <c r="H193" i="2" a="1"/>
  <c r="I193" i="2"/>
  <c r="J193" i="2"/>
  <c r="K193" i="2"/>
  <c r="P193" i="2" a="1"/>
  <c r="Q193" i="2" a="1"/>
  <c r="R193" i="2"/>
  <c r="S193" i="2"/>
  <c r="T193" i="2"/>
  <c r="U193" i="2"/>
  <c r="V193" i="2"/>
  <c r="AE193" i="2" a="1"/>
  <c r="AF193" i="2" a="1"/>
  <c r="AG193" i="2" a="1"/>
  <c r="AH193" i="2"/>
  <c r="A194" i="2"/>
  <c r="B194" i="2" a="1"/>
  <c r="C194" i="2" a="1"/>
  <c r="D194" i="2" a="1"/>
  <c r="E194" i="2" a="1"/>
  <c r="F194" i="2"/>
  <c r="G194" i="2"/>
  <c r="H194" i="2" a="1"/>
  <c r="I194" i="2"/>
  <c r="J194" i="2"/>
  <c r="K194" i="2"/>
  <c r="P194" i="2" a="1"/>
  <c r="Q194" i="2" a="1"/>
  <c r="R194" i="2"/>
  <c r="S194" i="2"/>
  <c r="T194" i="2"/>
  <c r="U194" i="2"/>
  <c r="V194" i="2"/>
  <c r="AE194" i="2" a="1"/>
  <c r="AF194" i="2" a="1"/>
  <c r="AG194" i="2" a="1"/>
  <c r="AH194" i="2"/>
  <c r="A195" i="2"/>
  <c r="B195" i="2" a="1"/>
  <c r="C195" i="2" a="1"/>
  <c r="D195" i="2" a="1"/>
  <c r="E195" i="2" a="1"/>
  <c r="F195" i="2"/>
  <c r="G195" i="2"/>
  <c r="H195" i="2" a="1"/>
  <c r="I195" i="2"/>
  <c r="J195" i="2"/>
  <c r="K195" i="2"/>
  <c r="P195" i="2" a="1"/>
  <c r="Q195" i="2" a="1"/>
  <c r="R195" i="2"/>
  <c r="S195" i="2"/>
  <c r="T195" i="2"/>
  <c r="U195" i="2"/>
  <c r="V195" i="2"/>
  <c r="AE195" i="2" a="1"/>
  <c r="AF195" i="2" a="1"/>
  <c r="AG195" i="2" a="1"/>
  <c r="AH195" i="2"/>
  <c r="A196" i="2"/>
  <c r="B196" i="2" a="1"/>
  <c r="C196" i="2" a="1"/>
  <c r="D196" i="2" a="1"/>
  <c r="E196" i="2" a="1"/>
  <c r="F196" i="2"/>
  <c r="G196" i="2"/>
  <c r="H196" i="2" a="1"/>
  <c r="I196" i="2"/>
  <c r="J196" i="2"/>
  <c r="K196" i="2"/>
  <c r="P196" i="2" a="1"/>
  <c r="Q196" i="2" a="1"/>
  <c r="R196" i="2"/>
  <c r="S196" i="2"/>
  <c r="T196" i="2"/>
  <c r="U196" i="2"/>
  <c r="V196" i="2"/>
  <c r="AE196" i="2" a="1"/>
  <c r="AF196" i="2" a="1"/>
  <c r="AG196" i="2" a="1"/>
  <c r="AH196" i="2"/>
  <c r="A197" i="2"/>
  <c r="B197" i="2" a="1"/>
  <c r="C197" i="2" a="1"/>
  <c r="D197" i="2" a="1"/>
  <c r="E197" i="2" a="1"/>
  <c r="F197" i="2"/>
  <c r="G197" i="2"/>
  <c r="H197" i="2" a="1"/>
  <c r="I197" i="2"/>
  <c r="J197" i="2"/>
  <c r="K197" i="2"/>
  <c r="P197" i="2" a="1"/>
  <c r="Q197" i="2" a="1"/>
  <c r="R197" i="2"/>
  <c r="S197" i="2"/>
  <c r="T197" i="2"/>
  <c r="U197" i="2"/>
  <c r="V197" i="2"/>
  <c r="AE197" i="2" a="1"/>
  <c r="AF197" i="2" a="1"/>
  <c r="AG197" i="2" a="1"/>
  <c r="AH197" i="2"/>
  <c r="A198" i="2"/>
  <c r="B198" i="2" a="1"/>
  <c r="C198" i="2" a="1"/>
  <c r="D198" i="2" a="1"/>
  <c r="E198" i="2" a="1"/>
  <c r="F198" i="2"/>
  <c r="G198" i="2"/>
  <c r="H198" i="2" a="1"/>
  <c r="I198" i="2"/>
  <c r="J198" i="2"/>
  <c r="K198" i="2"/>
  <c r="P198" i="2" a="1"/>
  <c r="Q198" i="2" a="1"/>
  <c r="R198" i="2"/>
  <c r="S198" i="2"/>
  <c r="T198" i="2"/>
  <c r="U198" i="2"/>
  <c r="V198" i="2"/>
  <c r="AE198" i="2" a="1"/>
  <c r="AF198" i="2" a="1"/>
  <c r="AG198" i="2" a="1"/>
  <c r="AH198" i="2"/>
  <c r="A199" i="2"/>
  <c r="B199" i="2" a="1"/>
  <c r="C199" i="2" a="1"/>
  <c r="D199" i="2" a="1"/>
  <c r="E199" i="2" a="1"/>
  <c r="F199" i="2"/>
  <c r="G199" i="2"/>
  <c r="H199" i="2" a="1"/>
  <c r="I199" i="2"/>
  <c r="J199" i="2"/>
  <c r="K199" i="2"/>
  <c r="P199" i="2" a="1"/>
  <c r="Q199" i="2" a="1"/>
  <c r="R199" i="2"/>
  <c r="S199" i="2"/>
  <c r="T199" i="2"/>
  <c r="U199" i="2"/>
  <c r="V199" i="2"/>
  <c r="AE199" i="2" a="1"/>
  <c r="AF199" i="2" a="1"/>
  <c r="AG199" i="2" a="1"/>
  <c r="AH199" i="2"/>
  <c r="A200" i="2"/>
  <c r="B200" i="2" a="1"/>
  <c r="C200" i="2" a="1"/>
  <c r="D200" i="2" a="1"/>
  <c r="E200" i="2" a="1"/>
  <c r="F200" i="2"/>
  <c r="G200" i="2"/>
  <c r="H200" i="2" a="1"/>
  <c r="I200" i="2"/>
  <c r="J200" i="2"/>
  <c r="K200" i="2"/>
  <c r="P200" i="2" a="1"/>
  <c r="Q200" i="2" a="1"/>
  <c r="R200" i="2"/>
  <c r="S200" i="2"/>
  <c r="T200" i="2"/>
  <c r="U200" i="2"/>
  <c r="V200" i="2"/>
  <c r="AE200" i="2" a="1"/>
  <c r="AF200" i="2" a="1"/>
  <c r="AG200" i="2" a="1"/>
  <c r="AH200" i="2"/>
  <c r="A201" i="2"/>
  <c r="B201" i="2" a="1"/>
  <c r="C201" i="2" a="1"/>
  <c r="D201" i="2" a="1"/>
  <c r="E201" i="2" a="1"/>
  <c r="F201" i="2"/>
  <c r="G201" i="2"/>
  <c r="H201" i="2" a="1"/>
  <c r="I201" i="2"/>
  <c r="J201" i="2"/>
  <c r="K201" i="2"/>
  <c r="P201" i="2" a="1"/>
  <c r="Q201" i="2" a="1"/>
  <c r="R201" i="2"/>
  <c r="S201" i="2"/>
  <c r="T201" i="2"/>
  <c r="U201" i="2"/>
  <c r="V201" i="2"/>
  <c r="AE201" i="2" a="1"/>
  <c r="AF201" i="2" a="1"/>
  <c r="AG201" i="2" a="1"/>
  <c r="AH201" i="2"/>
  <c r="A202" i="2"/>
  <c r="B202" i="2" a="1"/>
  <c r="C202" i="2" a="1"/>
  <c r="D202" i="2" a="1"/>
  <c r="E202" i="2" a="1"/>
  <c r="F202" i="2"/>
  <c r="G202" i="2"/>
  <c r="H202" i="2" a="1"/>
  <c r="I202" i="2"/>
  <c r="J202" i="2"/>
  <c r="K202" i="2"/>
  <c r="P202" i="2" a="1"/>
  <c r="Q202" i="2" a="1"/>
  <c r="R202" i="2"/>
  <c r="S202" i="2"/>
  <c r="T202" i="2"/>
  <c r="U202" i="2"/>
  <c r="V202" i="2"/>
  <c r="AE202" i="2" a="1"/>
  <c r="AF202" i="2" a="1"/>
  <c r="AG202" i="2" a="1"/>
  <c r="AH202" i="2"/>
  <c r="A203" i="2"/>
  <c r="B203" i="2" a="1"/>
  <c r="C203" i="2" a="1"/>
  <c r="D203" i="2" a="1"/>
  <c r="E203" i="2" a="1"/>
  <c r="F203" i="2"/>
  <c r="G203" i="2"/>
  <c r="H203" i="2" a="1"/>
  <c r="I203" i="2"/>
  <c r="J203" i="2"/>
  <c r="K203" i="2"/>
  <c r="P203" i="2" a="1"/>
  <c r="Q203" i="2" a="1"/>
  <c r="R203" i="2"/>
  <c r="S203" i="2"/>
  <c r="T203" i="2"/>
  <c r="U203" i="2"/>
  <c r="V203" i="2"/>
  <c r="AE203" i="2" a="1"/>
  <c r="AF203" i="2" a="1"/>
  <c r="AG203" i="2" a="1"/>
  <c r="AH203" i="2"/>
  <c r="A204" i="2"/>
  <c r="B204" i="2" a="1"/>
  <c r="C204" i="2" a="1"/>
  <c r="D204" i="2" a="1"/>
  <c r="E204" i="2" a="1"/>
  <c r="F204" i="2"/>
  <c r="G204" i="2"/>
  <c r="H204" i="2" a="1"/>
  <c r="I204" i="2"/>
  <c r="J204" i="2"/>
  <c r="K204" i="2"/>
  <c r="P204" i="2" a="1"/>
  <c r="Q204" i="2" a="1"/>
  <c r="R204" i="2"/>
  <c r="S204" i="2"/>
  <c r="T204" i="2"/>
  <c r="U204" i="2"/>
  <c r="V204" i="2"/>
  <c r="AE204" i="2" a="1"/>
  <c r="AF204" i="2" a="1"/>
  <c r="AG204" i="2" a="1"/>
  <c r="AH204" i="2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G1" i="1"/>
  <c r="AC198" i="2" l="1"/>
  <c r="K3" i="7"/>
  <c r="AC1405" i="12"/>
  <c r="AC1375" i="12"/>
  <c r="AC1342" i="12"/>
  <c r="D3" i="16" a="1"/>
  <c r="C112" i="16" a="1"/>
  <c r="B112" i="16" a="1"/>
  <c r="C110" i="16" a="1"/>
  <c r="B109" i="16" a="1"/>
  <c r="C107" i="16" a="1"/>
  <c r="C103" i="16" a="1"/>
  <c r="B101" i="16" a="1"/>
  <c r="B99" i="16" a="1"/>
  <c r="B98" i="16" a="1"/>
  <c r="AJ95" i="16" a="1"/>
  <c r="B93" i="16" a="1"/>
  <c r="C91" i="16" a="1"/>
  <c r="AJ89" i="16" a="1"/>
  <c r="AJ88" i="16" a="1"/>
  <c r="AJ86" i="16" a="1"/>
  <c r="C83" i="16" a="1"/>
  <c r="AJ81" i="16" a="1"/>
  <c r="AJ80" i="16" a="1"/>
  <c r="C79" i="16" a="1"/>
  <c r="AJ77" i="16" a="1"/>
  <c r="B75" i="16" a="1"/>
  <c r="AJ73" i="16" a="1"/>
  <c r="C71" i="16" a="1"/>
  <c r="AJ68" i="16" a="1"/>
  <c r="AJ65" i="16" a="1"/>
  <c r="C64" i="16" a="1"/>
  <c r="AJ62" i="16" a="1"/>
  <c r="AJ60" i="16" a="1"/>
  <c r="AJ58" i="16" a="1"/>
  <c r="B57" i="16" a="1"/>
  <c r="C55" i="16" a="1"/>
  <c r="B53" i="16" a="1"/>
  <c r="C51" i="16" a="1"/>
  <c r="C49" i="16" a="1"/>
  <c r="AJ47" i="16" a="1"/>
  <c r="AJ113" i="16" a="1"/>
  <c r="AJ110" i="16" a="1"/>
  <c r="AJ107" i="16" a="1"/>
  <c r="B106" i="16" a="1"/>
  <c r="C104" i="16" a="1"/>
  <c r="C102" i="16" a="1"/>
  <c r="C100" i="16" a="1"/>
  <c r="C96" i="16" a="1"/>
  <c r="C93" i="16" a="1"/>
  <c r="B92" i="16" a="1"/>
  <c r="C90" i="16" a="1"/>
  <c r="B88" i="16" a="1"/>
  <c r="C87" i="16" a="1"/>
  <c r="B86" i="16" a="1"/>
  <c r="B85" i="16" a="1"/>
  <c r="AJ83" i="16" a="1"/>
  <c r="C82" i="16" a="1"/>
  <c r="C81" i="16" a="1"/>
  <c r="B80" i="16" a="1"/>
  <c r="AJ78" i="16" a="1"/>
  <c r="B77" i="16" a="1"/>
  <c r="C75" i="16" a="1"/>
  <c r="C73" i="16" a="1"/>
  <c r="B72" i="16" a="1"/>
  <c r="AJ69" i="16" a="1"/>
  <c r="C68" i="16" a="1"/>
  <c r="AJ66" i="16" a="1"/>
  <c r="C65" i="16" a="1"/>
  <c r="AJ63" i="16" a="1"/>
  <c r="B62" i="16" a="1"/>
  <c r="B61" i="16" a="1"/>
  <c r="C59" i="16" a="1"/>
  <c r="B58" i="16" a="1"/>
  <c r="AJ55" i="16" a="1"/>
  <c r="B54" i="16" a="1"/>
  <c r="AJ51" i="16" a="1"/>
  <c r="B50" i="16" a="1"/>
  <c r="B49" i="16" a="1"/>
  <c r="B113" i="16" a="1"/>
  <c r="C111" i="16" a="1"/>
  <c r="C109" i="16" a="1"/>
  <c r="B108" i="16" a="1"/>
  <c r="AJ106" i="16" a="1"/>
  <c r="B105" i="16" a="1"/>
  <c r="AJ103" i="16" a="1"/>
  <c r="B102" i="16" a="1"/>
  <c r="AJ100" i="16" a="1"/>
  <c r="C97" i="16" a="1"/>
  <c r="B96" i="16" a="1"/>
  <c r="C94" i="16" a="1"/>
  <c r="AJ91" i="16" a="1"/>
  <c r="C89" i="16" a="1"/>
  <c r="C88" i="16" a="1"/>
  <c r="B87" i="16" a="1"/>
  <c r="AJ85" i="16" a="1"/>
  <c r="C84" i="16" a="1"/>
  <c r="AJ82" i="16" a="1"/>
  <c r="B81" i="16" a="1"/>
  <c r="AJ79" i="16" a="1"/>
  <c r="C78" i="16" a="1"/>
  <c r="C76" i="16" a="1"/>
  <c r="C74" i="16" a="1"/>
  <c r="AJ71" i="16" a="1"/>
  <c r="AJ70" i="16" a="1"/>
  <c r="C69" i="16" a="1"/>
  <c r="AJ67" i="16" a="1"/>
  <c r="B64" i="16" a="1"/>
  <c r="C62" i="16" a="1"/>
  <c r="B60" i="16" a="1"/>
  <c r="AJ56" i="16" a="1"/>
  <c r="AJ54" i="16" a="1"/>
  <c r="B52" i="16" a="1"/>
  <c r="AJ50" i="16" a="1"/>
  <c r="B48" i="16" a="1"/>
  <c r="C113" i="16" a="1"/>
  <c r="AJ111" i="16" a="1"/>
  <c r="B110" i="16" a="1"/>
  <c r="AJ108" i="16" a="1"/>
  <c r="C106" i="16" a="1"/>
  <c r="C105" i="16" a="1"/>
  <c r="B104" i="16" a="1"/>
  <c r="AJ102" i="16" a="1"/>
  <c r="AJ101" i="16" a="1"/>
  <c r="B100" i="16" a="1"/>
  <c r="C99" i="16" a="1"/>
  <c r="C98" i="16" a="1"/>
  <c r="B97" i="16" a="1"/>
  <c r="C95" i="16" a="1"/>
  <c r="AJ94" i="16" a="1"/>
  <c r="AJ93" i="16" a="1"/>
  <c r="AJ92" i="16" a="1"/>
  <c r="B91" i="16" a="1"/>
  <c r="AJ84" i="16" a="1"/>
  <c r="C77" i="16" a="1"/>
  <c r="B76" i="16" a="1"/>
  <c r="AJ74" i="16" a="1"/>
  <c r="B73" i="16" a="1"/>
  <c r="C72" i="16" a="1"/>
  <c r="B70" i="16" a="1"/>
  <c r="B68" i="16" a="1"/>
  <c r="B67" i="16" a="1"/>
  <c r="C66" i="16" a="1"/>
  <c r="AJ64" i="16" a="1"/>
  <c r="B63" i="16" a="1"/>
  <c r="AJ61" i="16" a="1"/>
  <c r="C60" i="16" a="1"/>
  <c r="B59" i="16" a="1"/>
  <c r="C58" i="16" a="1"/>
  <c r="AJ57" i="16" a="1"/>
  <c r="C56" i="16" a="1"/>
  <c r="B56" i="16" a="1"/>
  <c r="C54" i="16" a="1"/>
  <c r="C53" i="16" a="1"/>
  <c r="C52" i="16" a="1"/>
  <c r="B51" i="16" a="1"/>
  <c r="AJ49" i="16" a="1"/>
  <c r="C48" i="16" a="1"/>
  <c r="B47" i="16" a="1"/>
  <c r="AJ112" i="16" a="1"/>
  <c r="B111" i="16" a="1"/>
  <c r="AJ109" i="16" a="1"/>
  <c r="C108" i="16" a="1"/>
  <c r="B107" i="16" a="1"/>
  <c r="AJ105" i="16" a="1"/>
  <c r="AJ104" i="16" a="1"/>
  <c r="B103" i="16" a="1"/>
  <c r="C101" i="16" a="1"/>
  <c r="AJ99" i="16" a="1"/>
  <c r="AJ98" i="16" a="1"/>
  <c r="AJ97" i="16" a="1"/>
  <c r="AJ96" i="16" a="1"/>
  <c r="B95" i="16" a="1"/>
  <c r="B94" i="16" a="1"/>
  <c r="C92" i="16" a="1"/>
  <c r="AJ90" i="16" a="1"/>
  <c r="B90" i="16" a="1"/>
  <c r="B89" i="16" a="1"/>
  <c r="AJ87" i="16" a="1"/>
  <c r="C86" i="16" a="1"/>
  <c r="C85" i="16" a="1"/>
  <c r="B84" i="16" a="1"/>
  <c r="B83" i="16" a="1"/>
  <c r="B82" i="16" a="1"/>
  <c r="C80" i="16" a="1"/>
  <c r="B79" i="16" a="1"/>
  <c r="B78" i="16" a="1"/>
  <c r="AJ76" i="16" a="1"/>
  <c r="AJ75" i="16" a="1"/>
  <c r="B74" i="16" a="1"/>
  <c r="AJ72" i="16" a="1"/>
  <c r="B71" i="16" a="1"/>
  <c r="C70" i="16" a="1"/>
  <c r="B69" i="16" a="1"/>
  <c r="C67" i="16" a="1"/>
  <c r="B66" i="16" a="1"/>
  <c r="B65" i="16" a="1"/>
  <c r="C63" i="16" a="1"/>
  <c r="C61" i="16" a="1"/>
  <c r="AJ59" i="16" a="1"/>
  <c r="C57" i="16" a="1"/>
  <c r="B55" i="16" a="1"/>
  <c r="AJ53" i="16" a="1"/>
  <c r="AJ52" i="16" a="1"/>
  <c r="C50" i="16" a="1"/>
  <c r="AJ48" i="16" a="1"/>
  <c r="C47" i="16" a="1"/>
  <c r="C46" i="16" a="1"/>
  <c r="B46" i="16" a="1"/>
  <c r="AJ46" i="16" a="1"/>
  <c r="E196" i="12"/>
  <c r="AC1271" i="12"/>
  <c r="AC1189" i="12"/>
  <c r="AC1028" i="12"/>
  <c r="AC1378" i="12"/>
  <c r="AC1317" i="12"/>
  <c r="AC1251" i="12"/>
  <c r="AC1367" i="12"/>
  <c r="AC1222" i="12"/>
  <c r="AC1338" i="12"/>
  <c r="AC1415" i="12"/>
  <c r="AC1206" i="12"/>
  <c r="E875" i="12"/>
  <c r="E866" i="12"/>
  <c r="E792" i="12"/>
  <c r="E711" i="12"/>
  <c r="E602" i="12"/>
  <c r="F1214" i="12"/>
  <c r="AC1214" i="12" s="1"/>
  <c r="AJ1214" i="12"/>
  <c r="AK1214" i="12"/>
  <c r="AL1214" i="12"/>
  <c r="AM1214" i="12"/>
  <c r="F1150" i="12"/>
  <c r="AK1150" i="12"/>
  <c r="AL1150" i="12"/>
  <c r="AM1150" i="12"/>
  <c r="W1150" i="12"/>
  <c r="X1150" i="12"/>
  <c r="Y1150" i="12"/>
  <c r="Z1150" i="12"/>
  <c r="AA1150" i="12"/>
  <c r="AI1150" i="12"/>
  <c r="AJ1150" i="12"/>
  <c r="AK1090" i="12"/>
  <c r="AL1090" i="12"/>
  <c r="AM1090" i="12"/>
  <c r="P1090" i="12"/>
  <c r="AI1090" i="12"/>
  <c r="AJ1090" i="12"/>
  <c r="Y925" i="12"/>
  <c r="Z925" i="12"/>
  <c r="S922" i="12"/>
  <c r="T922" i="12"/>
  <c r="U922" i="12"/>
  <c r="J904" i="12"/>
  <c r="I904" i="12"/>
  <c r="H904" i="12"/>
  <c r="Q883" i="12"/>
  <c r="S883" i="12"/>
  <c r="S869" i="12"/>
  <c r="Q869" i="12"/>
  <c r="R869" i="12"/>
  <c r="R879" i="12"/>
  <c r="N879" i="12"/>
  <c r="O879" i="12"/>
  <c r="P879" i="12"/>
  <c r="Q879" i="12"/>
  <c r="AK855" i="12"/>
  <c r="Z855" i="12"/>
  <c r="AA855" i="12"/>
  <c r="AI855" i="12"/>
  <c r="AJ855" i="12"/>
  <c r="AL855" i="12"/>
  <c r="S860" i="12"/>
  <c r="T860" i="12"/>
  <c r="M846" i="12"/>
  <c r="K846" i="12"/>
  <c r="P800" i="12"/>
  <c r="Q800" i="12"/>
  <c r="R800" i="12"/>
  <c r="S800" i="12"/>
  <c r="M806" i="12"/>
  <c r="N806" i="12"/>
  <c r="P806" i="12"/>
  <c r="W789" i="12"/>
  <c r="X789" i="12"/>
  <c r="Y789" i="12"/>
  <c r="S789" i="12"/>
  <c r="T789" i="12"/>
  <c r="U789" i="12"/>
  <c r="V789" i="12"/>
  <c r="W795" i="12"/>
  <c r="X795" i="12"/>
  <c r="X777" i="12"/>
  <c r="Y777" i="12"/>
  <c r="S764" i="12"/>
  <c r="U764" i="12"/>
  <c r="Y729" i="12"/>
  <c r="Z729" i="12"/>
  <c r="AA729" i="12"/>
  <c r="AJ729" i="12"/>
  <c r="Z701" i="12"/>
  <c r="AI701" i="12"/>
  <c r="AJ701" i="12"/>
  <c r="AK701" i="12"/>
  <c r="AL701" i="12"/>
  <c r="Y645" i="12"/>
  <c r="Z645" i="12"/>
  <c r="AI645" i="12"/>
  <c r="AA649" i="12"/>
  <c r="AI649" i="12"/>
  <c r="AJ649" i="12"/>
  <c r="AC1364" i="12"/>
  <c r="E584" i="12"/>
  <c r="AC1483" i="12"/>
  <c r="AC1370" i="12"/>
  <c r="AC1392" i="12"/>
  <c r="AC1395" i="12"/>
  <c r="AC1380" i="12"/>
  <c r="AC1383" i="12"/>
  <c r="AC1178" i="12"/>
  <c r="AC1182" i="12"/>
  <c r="AC1183" i="12"/>
  <c r="AC1166" i="12"/>
  <c r="AC1172" i="12"/>
  <c r="AC1150" i="12"/>
  <c r="AC1156" i="12"/>
  <c r="AC1157" i="12"/>
  <c r="AC1103" i="12"/>
  <c r="AC1486" i="12"/>
  <c r="AC1457" i="12"/>
  <c r="AC1421" i="12"/>
  <c r="AC1406" i="12"/>
  <c r="AC1407" i="12"/>
  <c r="E877" i="12"/>
  <c r="E692" i="12"/>
  <c r="E655" i="12"/>
  <c r="E632" i="12"/>
  <c r="E1147" i="12"/>
  <c r="E901" i="12"/>
  <c r="E834" i="12"/>
  <c r="E808" i="12"/>
  <c r="E783" i="12"/>
  <c r="E727" i="12"/>
  <c r="E710" i="12"/>
  <c r="E650" i="12"/>
  <c r="E651" i="12"/>
  <c r="E656" i="12"/>
  <c r="E643" i="12"/>
  <c r="E600" i="12"/>
  <c r="E578" i="12"/>
  <c r="E854" i="12"/>
  <c r="AC1230" i="12"/>
  <c r="AC1138" i="12"/>
  <c r="E838" i="12"/>
  <c r="E736" i="12"/>
  <c r="E725" i="12"/>
  <c r="E684" i="12"/>
  <c r="E599" i="12"/>
  <c r="E342" i="12"/>
  <c r="E129" i="12"/>
  <c r="E224" i="12"/>
  <c r="AN20" i="12" a="1"/>
  <c r="E627" i="12"/>
  <c r="H1499" i="12"/>
  <c r="J1499" i="12"/>
  <c r="I1499" i="12"/>
  <c r="G1501" i="12"/>
  <c r="F1501" i="12"/>
  <c r="AK1503" i="12"/>
  <c r="AI1503" i="12"/>
  <c r="Z1503" i="12"/>
  <c r="X1503" i="12"/>
  <c r="T1503" i="12"/>
  <c r="R1503" i="12"/>
  <c r="P1503" i="12"/>
  <c r="J1503" i="12"/>
  <c r="AL1503" i="12"/>
  <c r="W1503" i="12"/>
  <c r="U1503" i="12"/>
  <c r="Q1503" i="12"/>
  <c r="N1503" i="12"/>
  <c r="I1503" i="12"/>
  <c r="F1503" i="12"/>
  <c r="AJ1503" i="12"/>
  <c r="Y1503" i="12"/>
  <c r="M1503" i="12"/>
  <c r="H1503" i="12"/>
  <c r="AM1503" i="12"/>
  <c r="AA1503" i="12"/>
  <c r="V1503" i="12"/>
  <c r="S1503" i="12"/>
  <c r="O1503" i="12"/>
  <c r="K1503" i="12"/>
  <c r="G1503" i="12"/>
  <c r="S1504" i="12"/>
  <c r="T1504" i="12"/>
  <c r="N1504" i="12"/>
  <c r="M1504" i="12"/>
  <c r="R1504" i="12"/>
  <c r="O1504" i="12"/>
  <c r="P1504" i="12"/>
  <c r="Q1504" i="12"/>
  <c r="O1512" i="12"/>
  <c r="S1512" i="12"/>
  <c r="V1512" i="12"/>
  <c r="Y1512" i="12"/>
  <c r="R1512" i="12"/>
  <c r="P1512" i="12"/>
  <c r="W1512" i="12"/>
  <c r="N1512" i="12"/>
  <c r="Q1512" i="12"/>
  <c r="T1512" i="12"/>
  <c r="U1512" i="12"/>
  <c r="Z1512" i="12"/>
  <c r="X1512" i="12"/>
  <c r="DH1487" i="12" a="1"/>
  <c r="E1487" i="12"/>
  <c r="AI1488" i="12"/>
  <c r="Z1488" i="12"/>
  <c r="W1488" i="12"/>
  <c r="T1488" i="12"/>
  <c r="Q1488" i="12"/>
  <c r="N1488" i="12"/>
  <c r="AJ1488" i="12"/>
  <c r="AM1488" i="12"/>
  <c r="X1488" i="12"/>
  <c r="U1488" i="12"/>
  <c r="P1488" i="12"/>
  <c r="K1488" i="12"/>
  <c r="AL1488" i="12"/>
  <c r="AK1488" i="12"/>
  <c r="AA1488" i="12"/>
  <c r="Y1488" i="12"/>
  <c r="V1488" i="12"/>
  <c r="S1488" i="12"/>
  <c r="R1488" i="12"/>
  <c r="O1488" i="12"/>
  <c r="M1488" i="12"/>
  <c r="J1488" i="12"/>
  <c r="AL1489" i="12"/>
  <c r="AJ1489" i="12"/>
  <c r="Y1489" i="12"/>
  <c r="S1489" i="12"/>
  <c r="Q1489" i="12"/>
  <c r="Z1489" i="12"/>
  <c r="W1489" i="12"/>
  <c r="R1489" i="12"/>
  <c r="O1489" i="12"/>
  <c r="AA1489" i="12"/>
  <c r="U1489" i="12"/>
  <c r="AM1489" i="12"/>
  <c r="AK1489" i="12"/>
  <c r="AI1489" i="12"/>
  <c r="X1489" i="12"/>
  <c r="V1489" i="12"/>
  <c r="T1489" i="12"/>
  <c r="P1489" i="12"/>
  <c r="N1489" i="12"/>
  <c r="M1489" i="12"/>
  <c r="K1489" i="12"/>
  <c r="J1489" i="12"/>
  <c r="I1489" i="12"/>
  <c r="DH1490" i="12" a="1"/>
  <c r="E1490" i="12"/>
  <c r="H1492" i="12"/>
  <c r="M1492" i="12"/>
  <c r="O1492" i="12"/>
  <c r="N1492" i="12"/>
  <c r="I1492" i="12"/>
  <c r="P1492" i="12"/>
  <c r="K1492" i="12"/>
  <c r="J1492" i="12"/>
  <c r="AI1493" i="12"/>
  <c r="W1493" i="12"/>
  <c r="T1493" i="12"/>
  <c r="R1493" i="12"/>
  <c r="P1493" i="12"/>
  <c r="M1493" i="12"/>
  <c r="H1493" i="12"/>
  <c r="G1493" i="12"/>
  <c r="Y1493" i="12"/>
  <c r="U1493" i="12"/>
  <c r="AL1493" i="12"/>
  <c r="AA1493" i="12"/>
  <c r="X1493" i="12"/>
  <c r="Q1493" i="12"/>
  <c r="J1493" i="12"/>
  <c r="AM1493" i="12"/>
  <c r="AK1493" i="12"/>
  <c r="AJ1493" i="12"/>
  <c r="Z1493" i="12"/>
  <c r="V1493" i="12"/>
  <c r="S1493" i="12"/>
  <c r="O1493" i="12"/>
  <c r="N1493" i="12"/>
  <c r="K1493" i="12"/>
  <c r="I1493" i="12"/>
  <c r="F1493" i="12"/>
  <c r="J1494" i="12"/>
  <c r="M1494" i="12"/>
  <c r="K1494" i="12"/>
  <c r="I1494" i="12"/>
  <c r="I1495" i="12"/>
  <c r="H1495" i="12"/>
  <c r="N1498" i="12"/>
  <c r="K1498" i="12"/>
  <c r="M1498" i="12"/>
  <c r="F1471" i="12"/>
  <c r="G1471" i="12"/>
  <c r="I1471" i="12"/>
  <c r="DH1473" i="12" a="1"/>
  <c r="E1473" i="12"/>
  <c r="DH1474" i="12" a="1"/>
  <c r="E1474" i="12"/>
  <c r="F1475" i="12"/>
  <c r="O1475" i="12"/>
  <c r="Q1475" i="12"/>
  <c r="J1475" i="12"/>
  <c r="P1475" i="12"/>
  <c r="G1475" i="12"/>
  <c r="I1475" i="12"/>
  <c r="K1475" i="12"/>
  <c r="N1475" i="12"/>
  <c r="H1475" i="12"/>
  <c r="M1475" i="12"/>
  <c r="DH1476" i="12" a="1"/>
  <c r="E1476" i="12"/>
  <c r="H1478" i="12"/>
  <c r="Q1478" i="12"/>
  <c r="M1478" i="12"/>
  <c r="I1478" i="12"/>
  <c r="K1478" i="12"/>
  <c r="N1478" i="12"/>
  <c r="P1478" i="12"/>
  <c r="J1478" i="12"/>
  <c r="I1479" i="12"/>
  <c r="H1479" i="12"/>
  <c r="DH1480" i="12" a="1"/>
  <c r="E1480" i="12"/>
  <c r="DH1481" i="12" a="1"/>
  <c r="E1481" i="12"/>
  <c r="I1484" i="12"/>
  <c r="J1484" i="12"/>
  <c r="DH1459" i="12" a="1"/>
  <c r="E1459" i="12"/>
  <c r="J1461" i="12"/>
  <c r="M1461" i="12"/>
  <c r="N1461" i="12"/>
  <c r="K1461" i="12"/>
  <c r="O1463" i="12"/>
  <c r="M1463" i="12"/>
  <c r="N1463" i="12"/>
  <c r="Q1463" i="12"/>
  <c r="R1463" i="12"/>
  <c r="P1463" i="12"/>
  <c r="K1464" i="12"/>
  <c r="M1464" i="12"/>
  <c r="K1465" i="12"/>
  <c r="M1465" i="12"/>
  <c r="N1465" i="12"/>
  <c r="P1465" i="12"/>
  <c r="O1465" i="12"/>
  <c r="DH1466" i="12" a="1"/>
  <c r="E1466" i="12"/>
  <c r="DH1467" i="12" a="1"/>
  <c r="E1467" i="12"/>
  <c r="DH1468" i="12" a="1"/>
  <c r="E1468" i="12"/>
  <c r="DH1469" i="12" a="1"/>
  <c r="E1469" i="12"/>
  <c r="AM1470" i="12"/>
  <c r="Z1470" i="12"/>
  <c r="X1470" i="12"/>
  <c r="R1470" i="12"/>
  <c r="N1470" i="12"/>
  <c r="AJ1470" i="12"/>
  <c r="V1470" i="12"/>
  <c r="O1470" i="12"/>
  <c r="AI1470" i="12"/>
  <c r="W1470" i="12"/>
  <c r="Q1470" i="12"/>
  <c r="M1470" i="12"/>
  <c r="AL1470" i="12"/>
  <c r="AK1470" i="12"/>
  <c r="AA1470" i="12"/>
  <c r="Y1470" i="12"/>
  <c r="U1470" i="12"/>
  <c r="T1470" i="12"/>
  <c r="S1470" i="12"/>
  <c r="P1470" i="12"/>
  <c r="K1470" i="12"/>
  <c r="J1470" i="12"/>
  <c r="F1443" i="12"/>
  <c r="G1443" i="12"/>
  <c r="I1443" i="12"/>
  <c r="H1443" i="12"/>
  <c r="F1444" i="12"/>
  <c r="G1444" i="12"/>
  <c r="AC1444" i="12" s="1"/>
  <c r="H1444" i="12"/>
  <c r="I1444" i="12"/>
  <c r="J1444" i="12"/>
  <c r="DH1445" i="12" a="1"/>
  <c r="E1445" i="12"/>
  <c r="J1447" i="12"/>
  <c r="M1447" i="12"/>
  <c r="K1447" i="12"/>
  <c r="I1447" i="12"/>
  <c r="H1447" i="12"/>
  <c r="G1447" i="12"/>
  <c r="DH1448" i="12" a="1"/>
  <c r="E1448" i="12"/>
  <c r="DH1449" i="12" a="1"/>
  <c r="E1449" i="12"/>
  <c r="F1450" i="12"/>
  <c r="H1450" i="12"/>
  <c r="I1450" i="12"/>
  <c r="M1450" i="12"/>
  <c r="K1450" i="12"/>
  <c r="N1450" i="12"/>
  <c r="G1450" i="12"/>
  <c r="AC1450" i="12" s="1"/>
  <c r="J1450" i="12"/>
  <c r="AM1451" i="12"/>
  <c r="Y1451" i="12"/>
  <c r="U1451" i="12"/>
  <c r="O1451" i="12"/>
  <c r="K1451" i="12"/>
  <c r="W1451" i="12"/>
  <c r="R1451" i="12"/>
  <c r="N1451" i="12"/>
  <c r="J1451" i="12"/>
  <c r="AA1451" i="12"/>
  <c r="V1451" i="12"/>
  <c r="Q1451" i="12"/>
  <c r="AL1451" i="12"/>
  <c r="AK1451" i="12"/>
  <c r="AJ1451" i="12"/>
  <c r="AI1451" i="12"/>
  <c r="Z1451" i="12"/>
  <c r="X1451" i="12"/>
  <c r="T1451" i="12"/>
  <c r="S1451" i="12"/>
  <c r="P1451" i="12"/>
  <c r="M1451" i="12"/>
  <c r="I1451" i="12"/>
  <c r="G1453" i="12"/>
  <c r="F1453" i="12"/>
  <c r="H1453" i="12"/>
  <c r="F1454" i="12"/>
  <c r="H1454" i="12"/>
  <c r="I1454" i="12"/>
  <c r="J1454" i="12"/>
  <c r="G1454" i="12"/>
  <c r="AC1454" i="12" s="1"/>
  <c r="DH1455" i="12" a="1"/>
  <c r="E1455" i="12"/>
  <c r="F1456" i="12"/>
  <c r="G1456" i="12"/>
  <c r="H1456" i="12"/>
  <c r="J1456" i="12"/>
  <c r="K1456" i="12"/>
  <c r="N1456" i="12"/>
  <c r="I1456" i="12"/>
  <c r="M1456" i="12"/>
  <c r="G1430" i="12"/>
  <c r="F1430" i="12"/>
  <c r="DH1431" i="12" a="1"/>
  <c r="E1431" i="12"/>
  <c r="F1432" i="12"/>
  <c r="G1432" i="12"/>
  <c r="H1432" i="12"/>
  <c r="Y1433" i="12"/>
  <c r="V1433" i="12"/>
  <c r="R1433" i="12"/>
  <c r="P1433" i="12"/>
  <c r="I1433" i="12"/>
  <c r="T1433" i="12"/>
  <c r="M1433" i="12"/>
  <c r="W1433" i="12"/>
  <c r="U1433" i="12"/>
  <c r="O1433" i="12"/>
  <c r="K1433" i="12"/>
  <c r="G1433" i="12"/>
  <c r="AM1433" i="12"/>
  <c r="AL1433" i="12"/>
  <c r="AK1433" i="12"/>
  <c r="AJ1433" i="12"/>
  <c r="AI1433" i="12"/>
  <c r="AA1433" i="12"/>
  <c r="Z1433" i="12"/>
  <c r="X1433" i="12"/>
  <c r="S1433" i="12"/>
  <c r="Q1433" i="12"/>
  <c r="N1433" i="12"/>
  <c r="J1433" i="12"/>
  <c r="H1433" i="12"/>
  <c r="F1433" i="12"/>
  <c r="AC1433" i="12" s="1"/>
  <c r="K1434" i="12"/>
  <c r="J1434" i="12"/>
  <c r="H1434" i="12"/>
  <c r="I1434" i="12"/>
  <c r="F1434" i="12"/>
  <c r="G1434" i="12"/>
  <c r="DH1435" i="12" a="1"/>
  <c r="E1435" i="12"/>
  <c r="M1436" i="12"/>
  <c r="O1436" i="12"/>
  <c r="N1436" i="12"/>
  <c r="K1436" i="12"/>
  <c r="I1436" i="12"/>
  <c r="J1436" i="12"/>
  <c r="K1440" i="12"/>
  <c r="H1440" i="12"/>
  <c r="F1440" i="12"/>
  <c r="I1440" i="12"/>
  <c r="G1440" i="12"/>
  <c r="J1440" i="12"/>
  <c r="AM1441" i="12"/>
  <c r="AK1441" i="12"/>
  <c r="AA1441" i="12"/>
  <c r="Y1441" i="12"/>
  <c r="U1441" i="12"/>
  <c r="S1441" i="12"/>
  <c r="P1441" i="12"/>
  <c r="N1441" i="12"/>
  <c r="I1441" i="12"/>
  <c r="R1441" i="12"/>
  <c r="O1441" i="12"/>
  <c r="X1441" i="12"/>
  <c r="T1441" i="12"/>
  <c r="Q1441" i="12"/>
  <c r="J1441" i="12"/>
  <c r="F1441" i="12"/>
  <c r="AL1441" i="12"/>
  <c r="AJ1441" i="12"/>
  <c r="AI1441" i="12"/>
  <c r="Z1441" i="12"/>
  <c r="W1441" i="12"/>
  <c r="V1441" i="12"/>
  <c r="M1441" i="12"/>
  <c r="K1441" i="12"/>
  <c r="H1441" i="12"/>
  <c r="G1441" i="12"/>
  <c r="DH1416" i="12" a="1"/>
  <c r="E1416" i="12"/>
  <c r="F1417" i="12"/>
  <c r="G1417" i="12"/>
  <c r="G1418" i="12"/>
  <c r="H1418" i="12"/>
  <c r="I1418" i="12"/>
  <c r="J1418" i="12"/>
  <c r="F1418" i="12"/>
  <c r="AC1418" i="12" s="1"/>
  <c r="DH1419" i="12" a="1"/>
  <c r="E1419" i="12"/>
  <c r="M1422" i="12"/>
  <c r="J1422" i="12"/>
  <c r="H1422" i="12"/>
  <c r="F1422" i="12"/>
  <c r="I1422" i="12"/>
  <c r="G1422" i="12"/>
  <c r="K1422" i="12"/>
  <c r="J1423" i="12"/>
  <c r="I1423" i="12"/>
  <c r="G1423" i="12"/>
  <c r="F1423" i="12"/>
  <c r="H1423" i="12"/>
  <c r="K1423" i="12"/>
  <c r="AL1424" i="12"/>
  <c r="X1424" i="12"/>
  <c r="W1424" i="12"/>
  <c r="U1424" i="12"/>
  <c r="T1424" i="12"/>
  <c r="N1424" i="12"/>
  <c r="K1424" i="12"/>
  <c r="AM1424" i="12"/>
  <c r="AI1424" i="12"/>
  <c r="Z1424" i="12"/>
  <c r="R1424" i="12"/>
  <c r="M1424" i="12"/>
  <c r="AK1424" i="12"/>
  <c r="AA1424" i="12"/>
  <c r="P1424" i="12"/>
  <c r="J1424" i="12"/>
  <c r="AJ1424" i="12"/>
  <c r="Y1424" i="12"/>
  <c r="V1424" i="12"/>
  <c r="S1424" i="12"/>
  <c r="Q1424" i="12"/>
  <c r="O1424" i="12"/>
  <c r="I1424" i="12"/>
  <c r="H1424" i="12"/>
  <c r="G1424" i="12"/>
  <c r="F1424" i="12"/>
  <c r="AC1424" i="12" s="1"/>
  <c r="AM1425" i="12"/>
  <c r="AA1425" i="12"/>
  <c r="T1425" i="12"/>
  <c r="P1425" i="12"/>
  <c r="M1425" i="12"/>
  <c r="I1425" i="12"/>
  <c r="F1425" i="12"/>
  <c r="Y1425" i="12"/>
  <c r="S1425" i="12"/>
  <c r="O1425" i="12"/>
  <c r="J1425" i="12"/>
  <c r="Z1425" i="12"/>
  <c r="U1425" i="12"/>
  <c r="R1425" i="12"/>
  <c r="AL1425" i="12"/>
  <c r="AK1425" i="12"/>
  <c r="AJ1425" i="12"/>
  <c r="AI1425" i="12"/>
  <c r="X1425" i="12"/>
  <c r="W1425" i="12"/>
  <c r="V1425" i="12"/>
  <c r="Q1425" i="12"/>
  <c r="N1425" i="12"/>
  <c r="K1425" i="12"/>
  <c r="H1425" i="12"/>
  <c r="G1425" i="12"/>
  <c r="G1426" i="12"/>
  <c r="F1426" i="12"/>
  <c r="AC1426" i="12" s="1"/>
  <c r="DH1427" i="12" a="1"/>
  <c r="E1427" i="12"/>
  <c r="K1428" i="12"/>
  <c r="J1428" i="12"/>
  <c r="G1428" i="12"/>
  <c r="I1428" i="12"/>
  <c r="H1428" i="12"/>
  <c r="F1428" i="12"/>
  <c r="AC1428" i="12" s="1"/>
  <c r="DH1401" i="12" a="1"/>
  <c r="E1401" i="12"/>
  <c r="AM1403" i="12"/>
  <c r="AK1403" i="12"/>
  <c r="AI1403" i="12"/>
  <c r="T1403" i="12"/>
  <c r="S1403" i="12"/>
  <c r="Q1403" i="12"/>
  <c r="N1403" i="12"/>
  <c r="K1403" i="12"/>
  <c r="G1403" i="12"/>
  <c r="Y1403" i="12"/>
  <c r="O1403" i="12"/>
  <c r="W1403" i="12"/>
  <c r="AL1403" i="12"/>
  <c r="AJ1403" i="12"/>
  <c r="AA1403" i="12"/>
  <c r="Z1403" i="12"/>
  <c r="X1403" i="12"/>
  <c r="V1403" i="12"/>
  <c r="U1403" i="12"/>
  <c r="R1403" i="12"/>
  <c r="P1403" i="12"/>
  <c r="M1403" i="12"/>
  <c r="J1403" i="12"/>
  <c r="I1403" i="12"/>
  <c r="H1403" i="12"/>
  <c r="F1403" i="12"/>
  <c r="AC1403" i="12" s="1"/>
  <c r="AJ1404" i="12"/>
  <c r="X1404" i="12"/>
  <c r="R1404" i="12"/>
  <c r="N1404" i="12"/>
  <c r="K1404" i="12"/>
  <c r="G1404" i="12"/>
  <c r="AK1404" i="12"/>
  <c r="AA1404" i="12"/>
  <c r="T1404" i="12"/>
  <c r="AM1404" i="12"/>
  <c r="AI1404" i="12"/>
  <c r="Z1404" i="12"/>
  <c r="W1404" i="12"/>
  <c r="O1404" i="12"/>
  <c r="F1404" i="12"/>
  <c r="AC1404" i="12" s="1"/>
  <c r="AL1404" i="12"/>
  <c r="Y1404" i="12"/>
  <c r="V1404" i="12"/>
  <c r="U1404" i="12"/>
  <c r="S1404" i="12"/>
  <c r="Q1404" i="12"/>
  <c r="P1404" i="12"/>
  <c r="M1404" i="12"/>
  <c r="J1404" i="12"/>
  <c r="I1404" i="12"/>
  <c r="H1404" i="12"/>
  <c r="F1408" i="12"/>
  <c r="G1408" i="12"/>
  <c r="H1408" i="12"/>
  <c r="DH1409" i="12" a="1"/>
  <c r="E1409" i="12"/>
  <c r="DH1410" i="12" a="1"/>
  <c r="E1410" i="12"/>
  <c r="DH1411" i="12" a="1"/>
  <c r="E1411" i="12"/>
  <c r="F1412" i="12"/>
  <c r="H1412" i="12"/>
  <c r="G1412" i="12"/>
  <c r="AC1412" i="12" s="1"/>
  <c r="F1414" i="12"/>
  <c r="H1414" i="12"/>
  <c r="J1414" i="12"/>
  <c r="G1414" i="12"/>
  <c r="I1414" i="12"/>
  <c r="F1387" i="12"/>
  <c r="G1387" i="12"/>
  <c r="F1389" i="12"/>
  <c r="G1389" i="12"/>
  <c r="Q1391" i="12"/>
  <c r="R1391" i="12"/>
  <c r="S1391" i="12"/>
  <c r="T1391" i="12"/>
  <c r="U1391" i="12"/>
  <c r="V1391" i="12"/>
  <c r="W1391" i="12"/>
  <c r="X1391" i="12"/>
  <c r="Y1391" i="12"/>
  <c r="Z1391" i="12"/>
  <c r="AA1391" i="12"/>
  <c r="AC1391" i="12"/>
  <c r="AJ1391" i="12"/>
  <c r="AK1391" i="12"/>
  <c r="AL1391" i="12"/>
  <c r="AM1391" i="12"/>
  <c r="O1391" i="12"/>
  <c r="P1391" i="12"/>
  <c r="AI1391" i="12"/>
  <c r="I1391" i="12"/>
  <c r="J1391" i="12"/>
  <c r="N1391" i="12"/>
  <c r="M1391" i="12"/>
  <c r="K1391" i="12"/>
  <c r="AL1304" i="12"/>
  <c r="AI1304" i="12"/>
  <c r="AM1304" i="12"/>
  <c r="AC1304" i="12"/>
  <c r="AJ1304" i="12"/>
  <c r="AK1304" i="12"/>
  <c r="J1204" i="12"/>
  <c r="K1204" i="12"/>
  <c r="G1179" i="12"/>
  <c r="F1179" i="12"/>
  <c r="J1181" i="12"/>
  <c r="K1181" i="12"/>
  <c r="M1181" i="12"/>
  <c r="N1181" i="12"/>
  <c r="H1184" i="12"/>
  <c r="J1184" i="12"/>
  <c r="I1184" i="12"/>
  <c r="G1184" i="12"/>
  <c r="M1185" i="12"/>
  <c r="H1185" i="12"/>
  <c r="I1185" i="12"/>
  <c r="J1185" i="12"/>
  <c r="K1185" i="12"/>
  <c r="H1186" i="12"/>
  <c r="I1186" i="12"/>
  <c r="K1186" i="12"/>
  <c r="J1186" i="12"/>
  <c r="G1186" i="12"/>
  <c r="F1187" i="12"/>
  <c r="H1187" i="12"/>
  <c r="J1187" i="12"/>
  <c r="I1187" i="12"/>
  <c r="G1187" i="12"/>
  <c r="G1190" i="12"/>
  <c r="F1190" i="12"/>
  <c r="AC1190" i="12" s="1"/>
  <c r="G1164" i="12"/>
  <c r="F1164" i="12"/>
  <c r="AC1164" i="12" s="1"/>
  <c r="J1165" i="12"/>
  <c r="I1165" i="12"/>
  <c r="G1165" i="12"/>
  <c r="F1165" i="12"/>
  <c r="H1165" i="12"/>
  <c r="H1167" i="12"/>
  <c r="G1167" i="12"/>
  <c r="F1167" i="12"/>
  <c r="F1169" i="12"/>
  <c r="G1169" i="12"/>
  <c r="H1169" i="12"/>
  <c r="G1171" i="12"/>
  <c r="F1171" i="12"/>
  <c r="J1171" i="12"/>
  <c r="I1171" i="12"/>
  <c r="H1171" i="12"/>
  <c r="F1174" i="12"/>
  <c r="G1174" i="12"/>
  <c r="H1174" i="12"/>
  <c r="F1175" i="12"/>
  <c r="G1175" i="12"/>
  <c r="H1175" i="12"/>
  <c r="F1151" i="12"/>
  <c r="G1151" i="12"/>
  <c r="H1151" i="12"/>
  <c r="I1151" i="12"/>
  <c r="F1153" i="12"/>
  <c r="G1153" i="12"/>
  <c r="H1153" i="12"/>
  <c r="F1154" i="12"/>
  <c r="G1154" i="12"/>
  <c r="F1155" i="12"/>
  <c r="G1155" i="12"/>
  <c r="H1155" i="12"/>
  <c r="I1155" i="12"/>
  <c r="J1155" i="12"/>
  <c r="G1158" i="12"/>
  <c r="F1158" i="12"/>
  <c r="AC1158" i="12" s="1"/>
  <c r="H1159" i="12"/>
  <c r="G1159" i="12"/>
  <c r="I1159" i="12"/>
  <c r="J1159" i="12"/>
  <c r="F1159" i="12"/>
  <c r="Y1160" i="12"/>
  <c r="S1160" i="12"/>
  <c r="I1160" i="12"/>
  <c r="F1160" i="12"/>
  <c r="AM1160" i="12"/>
  <c r="AA1160" i="12"/>
  <c r="W1160" i="12"/>
  <c r="Q1160" i="12"/>
  <c r="Z1160" i="12"/>
  <c r="T1160" i="12"/>
  <c r="P1160" i="12"/>
  <c r="M1160" i="12"/>
  <c r="X1160" i="12"/>
  <c r="U1160" i="12"/>
  <c r="R1160" i="12"/>
  <c r="O1160" i="12"/>
  <c r="AJ1160" i="12"/>
  <c r="N1160" i="12"/>
  <c r="K1160" i="12"/>
  <c r="G1160" i="12"/>
  <c r="AL1160" i="12"/>
  <c r="AK1160" i="12"/>
  <c r="AI1160" i="12"/>
  <c r="V1160" i="12"/>
  <c r="J1160" i="12"/>
  <c r="H1160" i="12"/>
  <c r="DH1161" i="12" a="1"/>
  <c r="E1161" i="12"/>
  <c r="DH1162" i="12" a="1"/>
  <c r="E1162" i="12"/>
  <c r="K1135" i="12"/>
  <c r="G1135" i="12"/>
  <c r="M1135" i="12"/>
  <c r="J1135" i="12"/>
  <c r="I1135" i="12"/>
  <c r="H1135" i="12"/>
  <c r="F1135" i="12"/>
  <c r="AC1135" i="12" s="1"/>
  <c r="DH1136" i="12" a="1"/>
  <c r="E1136" i="12"/>
  <c r="W1137" i="12"/>
  <c r="U1137" i="12"/>
  <c r="F1137" i="12"/>
  <c r="AJ1137" i="12"/>
  <c r="AA1137" i="12"/>
  <c r="Z1137" i="12"/>
  <c r="X1137" i="12"/>
  <c r="T1137" i="12"/>
  <c r="S1137" i="12"/>
  <c r="N1137" i="12"/>
  <c r="M1137" i="12"/>
  <c r="K1137" i="12"/>
  <c r="H1137" i="12"/>
  <c r="G1137" i="12"/>
  <c r="AC1137" i="12" s="1"/>
  <c r="V1137" i="12"/>
  <c r="P1137" i="12"/>
  <c r="AK1137" i="12"/>
  <c r="Y1137" i="12"/>
  <c r="O1137" i="12"/>
  <c r="I1137" i="12"/>
  <c r="AL1137" i="12"/>
  <c r="AI1137" i="12"/>
  <c r="R1137" i="12"/>
  <c r="J1137" i="12"/>
  <c r="AM1137" i="12"/>
  <c r="Q1137" i="12"/>
  <c r="F1140" i="12"/>
  <c r="G1140" i="12"/>
  <c r="F1141" i="12"/>
  <c r="AC1141" i="12" s="1"/>
  <c r="H1141" i="12"/>
  <c r="DH1143" i="12" a="1"/>
  <c r="E1143" i="12"/>
  <c r="K1144" i="12"/>
  <c r="J1144" i="12"/>
  <c r="H1144" i="12"/>
  <c r="J1146" i="12"/>
  <c r="I1146" i="12"/>
  <c r="H1146" i="12"/>
  <c r="H1148" i="12"/>
  <c r="F1148" i="12"/>
  <c r="G1148" i="12"/>
  <c r="J1121" i="12"/>
  <c r="K1121" i="12"/>
  <c r="I1121" i="12"/>
  <c r="F1121" i="12"/>
  <c r="M1121" i="12"/>
  <c r="H1121" i="12"/>
  <c r="G1121" i="12"/>
  <c r="J1122" i="12"/>
  <c r="AK1122" i="12"/>
  <c r="K1122" i="12"/>
  <c r="F1122" i="12"/>
  <c r="AJ1122" i="12"/>
  <c r="AA1122" i="12"/>
  <c r="Y1122" i="12"/>
  <c r="X1122" i="12"/>
  <c r="W1122" i="12"/>
  <c r="U1122" i="12"/>
  <c r="Q1122" i="12"/>
  <c r="O1122" i="12"/>
  <c r="M1122" i="12"/>
  <c r="V1122" i="12"/>
  <c r="T1122" i="12"/>
  <c r="P1122" i="12"/>
  <c r="AM1122" i="12"/>
  <c r="AI1122" i="12"/>
  <c r="Z1122" i="12"/>
  <c r="R1122" i="12"/>
  <c r="N1122" i="12"/>
  <c r="I1122" i="12"/>
  <c r="G1122" i="12"/>
  <c r="AC1122" i="12" s="1"/>
  <c r="AL1122" i="12"/>
  <c r="S1122" i="12"/>
  <c r="H1122" i="12"/>
  <c r="T1123" i="12"/>
  <c r="Q1123" i="12"/>
  <c r="O1123" i="12"/>
  <c r="AK1123" i="12"/>
  <c r="U1123" i="12"/>
  <c r="R1123" i="12"/>
  <c r="J1123" i="12"/>
  <c r="AL1123" i="12"/>
  <c r="AI1123" i="12"/>
  <c r="Z1123" i="12"/>
  <c r="Y1123" i="12"/>
  <c r="W1123" i="12"/>
  <c r="S1123" i="12"/>
  <c r="P1123" i="12"/>
  <c r="N1123" i="12"/>
  <c r="M1123" i="12"/>
  <c r="G1123" i="12"/>
  <c r="AA1123" i="12"/>
  <c r="I1123" i="12"/>
  <c r="AJ1123" i="12"/>
  <c r="V1123" i="12"/>
  <c r="H1123" i="12"/>
  <c r="F1123" i="12"/>
  <c r="AM1123" i="12"/>
  <c r="X1123" i="12"/>
  <c r="K1123" i="12"/>
  <c r="H1124" i="12"/>
  <c r="G1124" i="12"/>
  <c r="J1124" i="12"/>
  <c r="F1124" i="12"/>
  <c r="AC1124" i="12" s="1"/>
  <c r="F1125" i="12"/>
  <c r="I1125" i="12"/>
  <c r="G1125" i="12"/>
  <c r="J1125" i="12"/>
  <c r="H1125" i="12"/>
  <c r="DH1126" i="12" a="1"/>
  <c r="E1126" i="12"/>
  <c r="DH1127" i="12" a="1"/>
  <c r="E1127" i="12"/>
  <c r="DH1128" i="12" a="1"/>
  <c r="E1128" i="12"/>
  <c r="F1130" i="12"/>
  <c r="G1130" i="12"/>
  <c r="AC1130" i="12" s="1"/>
  <c r="J1130" i="12"/>
  <c r="H1130" i="12"/>
  <c r="I1130" i="12"/>
  <c r="Z1131" i="12"/>
  <c r="X1131" i="12"/>
  <c r="U1131" i="12"/>
  <c r="J1131" i="12"/>
  <c r="H1131" i="12"/>
  <c r="F1131" i="12"/>
  <c r="AK1131" i="12"/>
  <c r="AJ1131" i="12"/>
  <c r="T1131" i="12"/>
  <c r="R1131" i="12"/>
  <c r="P1131" i="12"/>
  <c r="N1131" i="12"/>
  <c r="K1131" i="12"/>
  <c r="G1131" i="12"/>
  <c r="AL1131" i="12"/>
  <c r="W1131" i="12"/>
  <c r="S1131" i="12"/>
  <c r="O1131" i="12"/>
  <c r="M1131" i="12"/>
  <c r="AM1131" i="12"/>
  <c r="AI1131" i="12"/>
  <c r="AA1131" i="12"/>
  <c r="Y1131" i="12"/>
  <c r="V1131" i="12"/>
  <c r="Q1131" i="12"/>
  <c r="I1131" i="12"/>
  <c r="DH1132" i="12" a="1"/>
  <c r="E1132" i="12"/>
  <c r="DH1133" i="12" a="1"/>
  <c r="E1133" i="12"/>
  <c r="F1134" i="12"/>
  <c r="H1134" i="12"/>
  <c r="G1134" i="12"/>
  <c r="AC1134" i="12" s="1"/>
  <c r="DH1107" i="12" a="1"/>
  <c r="E1107" i="12"/>
  <c r="H1108" i="12"/>
  <c r="G1108" i="12"/>
  <c r="I1108" i="12"/>
  <c r="F1108" i="12"/>
  <c r="AC1108" i="12" s="1"/>
  <c r="K1108" i="12"/>
  <c r="J1108" i="12"/>
  <c r="M1108" i="12"/>
  <c r="J1109" i="12"/>
  <c r="G1109" i="12"/>
  <c r="F1109" i="12"/>
  <c r="AC1109" i="12" s="1"/>
  <c r="I1109" i="12"/>
  <c r="K1109" i="12"/>
  <c r="O1109" i="12"/>
  <c r="N1109" i="12"/>
  <c r="H1109" i="12"/>
  <c r="M1109" i="12"/>
  <c r="F1110" i="12"/>
  <c r="G1110" i="12"/>
  <c r="F1111" i="12"/>
  <c r="AC1111" i="12" s="1"/>
  <c r="H1111" i="12"/>
  <c r="DH1112" i="12" a="1"/>
  <c r="E1112" i="12"/>
  <c r="DH1113" i="12" a="1"/>
  <c r="E1113" i="12"/>
  <c r="DH1114" i="12" a="1"/>
  <c r="E1114" i="12"/>
  <c r="J1117" i="12"/>
  <c r="K1117" i="12"/>
  <c r="O1117" i="12"/>
  <c r="N1117" i="12"/>
  <c r="M1117" i="12"/>
  <c r="N1118" i="12"/>
  <c r="O1118" i="12"/>
  <c r="M1118" i="12"/>
  <c r="J1120" i="12"/>
  <c r="K1120" i="12"/>
  <c r="M1093" i="12"/>
  <c r="P1093" i="12"/>
  <c r="Q1093" i="12"/>
  <c r="O1093" i="12"/>
  <c r="U1096" i="12"/>
  <c r="X1096" i="12"/>
  <c r="W1096" i="12"/>
  <c r="V1096" i="12"/>
  <c r="DH1098" i="12" a="1"/>
  <c r="E1098" i="12"/>
  <c r="P1104" i="12"/>
  <c r="Q1104" i="12"/>
  <c r="O1104" i="12"/>
  <c r="F1105" i="12"/>
  <c r="G1105" i="12"/>
  <c r="J1105" i="12"/>
  <c r="I1105" i="12"/>
  <c r="H1105" i="12"/>
  <c r="H1079" i="12"/>
  <c r="G1079" i="12"/>
  <c r="I1079" i="12"/>
  <c r="M1079" i="12"/>
  <c r="F1079" i="12"/>
  <c r="J1079" i="12"/>
  <c r="DH1080" i="12" a="1"/>
  <c r="E1080" i="12"/>
  <c r="DH1083" i="12" a="1"/>
  <c r="E1083" i="12"/>
  <c r="AA1089" i="12"/>
  <c r="V1089" i="12"/>
  <c r="AM1089" i="12"/>
  <c r="AJ1089" i="12"/>
  <c r="S1089" i="12"/>
  <c r="Q1089" i="12"/>
  <c r="AL1089" i="12"/>
  <c r="W1089" i="12"/>
  <c r="Y1089" i="12"/>
  <c r="U1089" i="12"/>
  <c r="O1089" i="12"/>
  <c r="AK1089" i="12"/>
  <c r="AI1089" i="12"/>
  <c r="Z1089" i="12"/>
  <c r="X1089" i="12"/>
  <c r="T1089" i="12"/>
  <c r="R1089" i="12"/>
  <c r="P1089" i="12"/>
  <c r="O1090" i="12"/>
  <c r="M1090" i="12"/>
  <c r="K1090" i="12"/>
  <c r="J1090" i="12"/>
  <c r="N1090" i="12"/>
  <c r="AI1065" i="12"/>
  <c r="M1065" i="12"/>
  <c r="AJ1065" i="12"/>
  <c r="AM1065" i="12"/>
  <c r="AL1065" i="12"/>
  <c r="Z1065" i="12"/>
  <c r="AK1065" i="12"/>
  <c r="X1065" i="12"/>
  <c r="Y1065" i="12"/>
  <c r="AA1065" i="12"/>
  <c r="M937" i="12"/>
  <c r="P937" i="12"/>
  <c r="O937" i="12"/>
  <c r="Q938" i="12"/>
  <c r="P938" i="12"/>
  <c r="R938" i="12"/>
  <c r="T938" i="12"/>
  <c r="U938" i="12"/>
  <c r="W938" i="12"/>
  <c r="S938" i="12"/>
  <c r="N915" i="12"/>
  <c r="O915" i="12"/>
  <c r="M915" i="12"/>
  <c r="AL917" i="12"/>
  <c r="AA917" i="12"/>
  <c r="AI917" i="12"/>
  <c r="AJ917" i="12"/>
  <c r="Y917" i="12"/>
  <c r="W917" i="12"/>
  <c r="AM917" i="12"/>
  <c r="AK917" i="12"/>
  <c r="Z917" i="12"/>
  <c r="X917" i="12"/>
  <c r="V917" i="12"/>
  <c r="J922" i="12"/>
  <c r="M922" i="12"/>
  <c r="P922" i="12"/>
  <c r="N922" i="12"/>
  <c r="K922" i="12"/>
  <c r="R922" i="12"/>
  <c r="O922" i="12"/>
  <c r="Q922" i="12"/>
  <c r="O923" i="12"/>
  <c r="P923" i="12"/>
  <c r="M923" i="12"/>
  <c r="N923" i="12"/>
  <c r="AL924" i="12"/>
  <c r="AK924" i="12"/>
  <c r="AI924" i="12"/>
  <c r="Z924" i="12"/>
  <c r="X924" i="12"/>
  <c r="V924" i="12"/>
  <c r="T924" i="12"/>
  <c r="R924" i="12"/>
  <c r="O924" i="12"/>
  <c r="AJ924" i="12"/>
  <c r="AA924" i="12"/>
  <c r="K924" i="12"/>
  <c r="AM924" i="12"/>
  <c r="Y924" i="12"/>
  <c r="W924" i="12"/>
  <c r="U924" i="12"/>
  <c r="S924" i="12"/>
  <c r="Q924" i="12"/>
  <c r="P924" i="12"/>
  <c r="N924" i="12"/>
  <c r="M924" i="12"/>
  <c r="J924" i="12"/>
  <c r="I924" i="12"/>
  <c r="F904" i="12"/>
  <c r="G904" i="12"/>
  <c r="AC904" i="12" s="1"/>
  <c r="M905" i="12"/>
  <c r="K905" i="12"/>
  <c r="DH906" i="12" a="1"/>
  <c r="E906" i="12"/>
  <c r="P883" i="12"/>
  <c r="R883" i="12"/>
  <c r="DH889" i="12" a="1"/>
  <c r="E889" i="12"/>
  <c r="DH891" i="12" a="1"/>
  <c r="E891" i="12"/>
  <c r="P892" i="12"/>
  <c r="Q892" i="12"/>
  <c r="O892" i="12"/>
  <c r="N892" i="12"/>
  <c r="M892" i="12"/>
  <c r="I893" i="12"/>
  <c r="M893" i="12"/>
  <c r="N893" i="12"/>
  <c r="O893" i="12"/>
  <c r="K893" i="12"/>
  <c r="J893" i="12"/>
  <c r="DH894" i="12" a="1"/>
  <c r="E894" i="12"/>
  <c r="J896" i="12"/>
  <c r="I896" i="12"/>
  <c r="H896" i="12"/>
  <c r="N869" i="12"/>
  <c r="O869" i="12"/>
  <c r="K869" i="12"/>
  <c r="M869" i="12"/>
  <c r="P869" i="12"/>
  <c r="AL872" i="12"/>
  <c r="Z872" i="12"/>
  <c r="P872" i="12"/>
  <c r="M872" i="12"/>
  <c r="K872" i="12"/>
  <c r="W872" i="12"/>
  <c r="U872" i="12"/>
  <c r="S872" i="12"/>
  <c r="O872" i="12"/>
  <c r="I872" i="12"/>
  <c r="H872" i="12"/>
  <c r="AK872" i="12"/>
  <c r="AI872" i="12"/>
  <c r="Y872" i="12"/>
  <c r="V872" i="12"/>
  <c r="R872" i="12"/>
  <c r="Q872" i="12"/>
  <c r="J872" i="12"/>
  <c r="AM872" i="12"/>
  <c r="AJ872" i="12"/>
  <c r="AA872" i="12"/>
  <c r="X872" i="12"/>
  <c r="T872" i="12"/>
  <c r="N872" i="12"/>
  <c r="AL876" i="12"/>
  <c r="AI876" i="12"/>
  <c r="AA876" i="12"/>
  <c r="Z876" i="12"/>
  <c r="Y876" i="12"/>
  <c r="W876" i="12"/>
  <c r="Q876" i="12"/>
  <c r="P876" i="12"/>
  <c r="N876" i="12"/>
  <c r="AK876" i="12"/>
  <c r="X876" i="12"/>
  <c r="U876" i="12"/>
  <c r="O876" i="12"/>
  <c r="S876" i="12"/>
  <c r="AM876" i="12"/>
  <c r="AJ876" i="12"/>
  <c r="T876" i="12"/>
  <c r="K876" i="12"/>
  <c r="V876" i="12"/>
  <c r="R876" i="12"/>
  <c r="M876" i="12"/>
  <c r="J878" i="12"/>
  <c r="K878" i="12"/>
  <c r="I878" i="12"/>
  <c r="M879" i="12"/>
  <c r="K879" i="12"/>
  <c r="J879" i="12"/>
  <c r="AJ882" i="12"/>
  <c r="AA882" i="12"/>
  <c r="Y882" i="12"/>
  <c r="X882" i="12"/>
  <c r="S882" i="12"/>
  <c r="AM882" i="12"/>
  <c r="AL882" i="12"/>
  <c r="AI882" i="12"/>
  <c r="W882" i="12"/>
  <c r="U882" i="12"/>
  <c r="Q882" i="12"/>
  <c r="AK882" i="12"/>
  <c r="Z882" i="12"/>
  <c r="T882" i="12"/>
  <c r="R882" i="12"/>
  <c r="V882" i="12"/>
  <c r="U855" i="12"/>
  <c r="X855" i="12"/>
  <c r="Y855" i="12"/>
  <c r="W855" i="12"/>
  <c r="S855" i="12"/>
  <c r="T855" i="12"/>
  <c r="V855" i="12"/>
  <c r="AI859" i="12"/>
  <c r="Y859" i="12"/>
  <c r="T859" i="12"/>
  <c r="AL859" i="12"/>
  <c r="AJ859" i="12"/>
  <c r="X859" i="12"/>
  <c r="W859" i="12"/>
  <c r="AM859" i="12"/>
  <c r="AK859" i="12"/>
  <c r="AA859" i="12"/>
  <c r="Z859" i="12"/>
  <c r="V859" i="12"/>
  <c r="U859" i="12"/>
  <c r="S859" i="12"/>
  <c r="R859" i="12"/>
  <c r="Q859" i="12"/>
  <c r="AL866" i="12"/>
  <c r="AI866" i="12"/>
  <c r="Z866" i="12"/>
  <c r="U866" i="12"/>
  <c r="Q866" i="12"/>
  <c r="M866" i="12"/>
  <c r="I866" i="12"/>
  <c r="AM866" i="12"/>
  <c r="AK866" i="12"/>
  <c r="AA866" i="12"/>
  <c r="Y866" i="12"/>
  <c r="W866" i="12"/>
  <c r="S866" i="12"/>
  <c r="P866" i="12"/>
  <c r="AJ866" i="12"/>
  <c r="X866" i="12"/>
  <c r="T866" i="12"/>
  <c r="O866" i="12"/>
  <c r="V866" i="12"/>
  <c r="R866" i="12"/>
  <c r="N866" i="12"/>
  <c r="J866" i="12"/>
  <c r="K866" i="12"/>
  <c r="H866" i="12"/>
  <c r="Q867" i="12"/>
  <c r="X867" i="12"/>
  <c r="T867" i="12"/>
  <c r="V867" i="12"/>
  <c r="O867" i="12"/>
  <c r="R867" i="12"/>
  <c r="S867" i="12"/>
  <c r="U867" i="12"/>
  <c r="W867" i="12"/>
  <c r="N841" i="12"/>
  <c r="P841" i="12"/>
  <c r="M841" i="12"/>
  <c r="J841" i="12"/>
  <c r="O841" i="12"/>
  <c r="K841" i="12"/>
  <c r="DH842" i="12" a="1"/>
  <c r="E842" i="12"/>
  <c r="I846" i="12"/>
  <c r="J846" i="12"/>
  <c r="DH848" i="12" a="1"/>
  <c r="E848" i="12"/>
  <c r="R829" i="12"/>
  <c r="O829" i="12"/>
  <c r="P829" i="12"/>
  <c r="S829" i="12"/>
  <c r="Q829" i="12"/>
  <c r="Q831" i="12"/>
  <c r="S831" i="12"/>
  <c r="O831" i="12"/>
  <c r="R831" i="12"/>
  <c r="P831" i="12"/>
  <c r="N831" i="12"/>
  <c r="K840" i="12"/>
  <c r="N840" i="12"/>
  <c r="S840" i="12"/>
  <c r="M840" i="12"/>
  <c r="R840" i="12"/>
  <c r="P840" i="12"/>
  <c r="Q840" i="12"/>
  <c r="O840" i="12"/>
  <c r="DH813" i="12" a="1"/>
  <c r="E813" i="12"/>
  <c r="DH817" i="12" a="1"/>
  <c r="E817" i="12"/>
  <c r="Y819" i="12"/>
  <c r="AL819" i="12"/>
  <c r="X819" i="12"/>
  <c r="T819" i="12"/>
  <c r="S819" i="12"/>
  <c r="P819" i="12"/>
  <c r="AK819" i="12"/>
  <c r="AA819" i="12"/>
  <c r="U819" i="12"/>
  <c r="AJ819" i="12"/>
  <c r="Z819" i="12"/>
  <c r="V819" i="12"/>
  <c r="R819" i="12"/>
  <c r="Q819" i="12"/>
  <c r="AM819" i="12"/>
  <c r="AI819" i="12"/>
  <c r="W819" i="12"/>
  <c r="AM821" i="12"/>
  <c r="AL821" i="12"/>
  <c r="Y821" i="12"/>
  <c r="U821" i="12"/>
  <c r="N821" i="12"/>
  <c r="T821" i="12"/>
  <c r="AK821" i="12"/>
  <c r="AJ821" i="12"/>
  <c r="AI821" i="12"/>
  <c r="Z821" i="12"/>
  <c r="Q821" i="12"/>
  <c r="O821" i="12"/>
  <c r="AA821" i="12"/>
  <c r="V821" i="12"/>
  <c r="R821" i="12"/>
  <c r="M821" i="12"/>
  <c r="X821" i="12"/>
  <c r="S821" i="12"/>
  <c r="W821" i="12"/>
  <c r="P821" i="12"/>
  <c r="DH822" i="12" a="1"/>
  <c r="E822" i="12"/>
  <c r="S824" i="12"/>
  <c r="Q824" i="12"/>
  <c r="T824" i="12"/>
  <c r="U824" i="12"/>
  <c r="R824" i="12"/>
  <c r="K825" i="12"/>
  <c r="N825" i="12"/>
  <c r="M825" i="12"/>
  <c r="K799" i="12"/>
  <c r="M799" i="12"/>
  <c r="N799" i="12"/>
  <c r="I800" i="12"/>
  <c r="J800" i="12"/>
  <c r="N800" i="12"/>
  <c r="K800" i="12"/>
  <c r="O800" i="12"/>
  <c r="M800" i="12"/>
  <c r="I801" i="12"/>
  <c r="J801" i="12"/>
  <c r="M801" i="12"/>
  <c r="K801" i="12"/>
  <c r="P802" i="12"/>
  <c r="N802" i="12"/>
  <c r="S802" i="12"/>
  <c r="O802" i="12"/>
  <c r="Q802" i="12"/>
  <c r="T802" i="12"/>
  <c r="R802" i="12"/>
  <c r="DH804" i="12" a="1"/>
  <c r="E804" i="12"/>
  <c r="J806" i="12"/>
  <c r="K806" i="12"/>
  <c r="O806" i="12"/>
  <c r="I806" i="12"/>
  <c r="DH785" i="12" a="1"/>
  <c r="E785" i="12"/>
  <c r="DH787" i="12" a="1"/>
  <c r="E787" i="12"/>
  <c r="O788" i="12"/>
  <c r="Q788" i="12"/>
  <c r="N788" i="12"/>
  <c r="P788" i="12"/>
  <c r="S788" i="12"/>
  <c r="M788" i="12"/>
  <c r="R788" i="12"/>
  <c r="P789" i="12"/>
  <c r="O789" i="12"/>
  <c r="Q789" i="12"/>
  <c r="R789" i="12"/>
  <c r="K791" i="12"/>
  <c r="N791" i="12"/>
  <c r="O791" i="12"/>
  <c r="M791" i="12"/>
  <c r="Q794" i="12"/>
  <c r="O794" i="12"/>
  <c r="P794" i="12"/>
  <c r="T794" i="12"/>
  <c r="V794" i="12"/>
  <c r="Y794" i="12"/>
  <c r="W794" i="12"/>
  <c r="AA794" i="12"/>
  <c r="X794" i="12"/>
  <c r="S794" i="12"/>
  <c r="N794" i="12"/>
  <c r="R794" i="12"/>
  <c r="U794" i="12"/>
  <c r="Z794" i="12"/>
  <c r="V795" i="12"/>
  <c r="T795" i="12"/>
  <c r="R795" i="12"/>
  <c r="Q795" i="12"/>
  <c r="U795" i="12"/>
  <c r="S795" i="12"/>
  <c r="P777" i="12"/>
  <c r="R777" i="12"/>
  <c r="Q777" i="12"/>
  <c r="T777" i="12"/>
  <c r="W777" i="12"/>
  <c r="S777" i="12"/>
  <c r="V777" i="12"/>
  <c r="U777" i="12"/>
  <c r="O778" i="12"/>
  <c r="S778" i="12"/>
  <c r="AL782" i="12"/>
  <c r="S782" i="12"/>
  <c r="Q782" i="12"/>
  <c r="AM782" i="12"/>
  <c r="AJ782" i="12"/>
  <c r="Y782" i="12"/>
  <c r="W782" i="12"/>
  <c r="U782" i="12"/>
  <c r="O782" i="12"/>
  <c r="AK782" i="12"/>
  <c r="AI782" i="12"/>
  <c r="Z782" i="12"/>
  <c r="V782" i="12"/>
  <c r="T782" i="12"/>
  <c r="X782" i="12"/>
  <c r="AA782" i="12"/>
  <c r="P782" i="12"/>
  <c r="R782" i="12"/>
  <c r="Q764" i="12"/>
  <c r="O764" i="12"/>
  <c r="N764" i="12"/>
  <c r="R764" i="12"/>
  <c r="P764" i="12"/>
  <c r="Q770" i="12"/>
  <c r="P770" i="12"/>
  <c r="T770" i="12"/>
  <c r="V770" i="12"/>
  <c r="X770" i="12"/>
  <c r="S770" i="12"/>
  <c r="R770" i="12"/>
  <c r="Y770" i="12"/>
  <c r="W770" i="12"/>
  <c r="U770" i="12"/>
  <c r="O770" i="12"/>
  <c r="T752" i="12"/>
  <c r="V752" i="12"/>
  <c r="S752" i="12"/>
  <c r="U752" i="12"/>
  <c r="N756" i="12"/>
  <c r="O756" i="12"/>
  <c r="V729" i="12"/>
  <c r="T729" i="12"/>
  <c r="U729" i="12"/>
  <c r="S729" i="12"/>
  <c r="W729" i="12"/>
  <c r="X729" i="12"/>
  <c r="DH734" i="12" a="1"/>
  <c r="E734" i="12"/>
  <c r="R715" i="12"/>
  <c r="X715" i="12"/>
  <c r="U715" i="12"/>
  <c r="V715" i="12"/>
  <c r="T715" i="12"/>
  <c r="S715" i="12"/>
  <c r="W715" i="12"/>
  <c r="AI720" i="12"/>
  <c r="Z720" i="12"/>
  <c r="Y720" i="12"/>
  <c r="R720" i="12"/>
  <c r="AM720" i="12"/>
  <c r="AL720" i="12"/>
  <c r="AA720" i="12"/>
  <c r="X720" i="12"/>
  <c r="U720" i="12"/>
  <c r="V720" i="12"/>
  <c r="AK720" i="12"/>
  <c r="AJ720" i="12"/>
  <c r="W720" i="12"/>
  <c r="T720" i="12"/>
  <c r="V722" i="12"/>
  <c r="T722" i="12"/>
  <c r="X722" i="12"/>
  <c r="Y722" i="12"/>
  <c r="W722" i="12"/>
  <c r="U722" i="12"/>
  <c r="Z722" i="12"/>
  <c r="AA701" i="12"/>
  <c r="Y701" i="12"/>
  <c r="Y709" i="12"/>
  <c r="V709" i="12"/>
  <c r="T709" i="12"/>
  <c r="S709" i="12"/>
  <c r="AL709" i="12"/>
  <c r="AK709" i="12"/>
  <c r="AJ709" i="12"/>
  <c r="AI709" i="12"/>
  <c r="Z709" i="12"/>
  <c r="X709" i="12"/>
  <c r="U709" i="12"/>
  <c r="R709" i="12"/>
  <c r="AM709" i="12"/>
  <c r="AA709" i="12"/>
  <c r="W709" i="12"/>
  <c r="S678" i="12"/>
  <c r="T678" i="12"/>
  <c r="P678" i="12"/>
  <c r="Q678" i="12"/>
  <c r="S680" i="12"/>
  <c r="R680" i="12"/>
  <c r="DH659" i="12" a="1"/>
  <c r="E659" i="12"/>
  <c r="DH647" i="12" a="1"/>
  <c r="E647" i="12"/>
  <c r="R649" i="12"/>
  <c r="X649" i="12"/>
  <c r="Y649" i="12"/>
  <c r="V649" i="12"/>
  <c r="Z649" i="12"/>
  <c r="U649" i="12"/>
  <c r="T649" i="12"/>
  <c r="W649" i="12"/>
  <c r="S649" i="12"/>
  <c r="DH641" i="12" a="1"/>
  <c r="E641" i="12"/>
  <c r="DH615" i="12" a="1"/>
  <c r="E615" i="12"/>
  <c r="CK6" i="2" a="1"/>
  <c r="E239" i="12"/>
  <c r="E558" i="12"/>
  <c r="AC1314" i="12"/>
  <c r="E255" i="12"/>
  <c r="E251" i="12"/>
  <c r="E474" i="12"/>
  <c r="E456" i="12"/>
  <c r="DH51" i="12" a="1"/>
  <c r="E51" i="12"/>
  <c r="E293" i="12"/>
  <c r="AC1257" i="12"/>
  <c r="E506" i="12"/>
  <c r="E505" i="12"/>
  <c r="AC1267" i="12"/>
  <c r="AC1250" i="12"/>
  <c r="AC1239" i="12"/>
  <c r="AC1245" i="12"/>
  <c r="E484" i="12"/>
  <c r="AC196" i="2"/>
  <c r="AC199" i="2"/>
  <c r="AC201" i="2"/>
  <c r="AC203" i="2"/>
  <c r="AC193" i="2"/>
  <c r="AC197" i="2"/>
  <c r="AC202" i="2"/>
  <c r="AC204" i="2"/>
  <c r="AC200" i="2"/>
  <c r="AB29" i="2"/>
  <c r="AB17" i="2"/>
  <c r="AB12" i="2"/>
  <c r="AC190" i="2"/>
  <c r="AC191" i="2"/>
  <c r="AC192" i="2"/>
  <c r="AC194" i="2"/>
  <c r="AC195" i="2"/>
  <c r="AL41" i="15"/>
  <c r="AD41" i="15"/>
  <c r="AM41" i="15"/>
  <c r="AN41" i="15"/>
  <c r="AO41" i="15"/>
  <c r="AP41" i="15"/>
  <c r="N41" i="15"/>
  <c r="L41" i="15"/>
  <c r="M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E41" i="15"/>
  <c r="AF41" i="15"/>
  <c r="AG41" i="15"/>
  <c r="AH41" i="15"/>
  <c r="AI41" i="15"/>
  <c r="AJ41" i="15"/>
  <c r="AK41" i="15"/>
  <c r="M42" i="15"/>
  <c r="AK42" i="15"/>
  <c r="AL42" i="15"/>
  <c r="AM42" i="15"/>
  <c r="AN42" i="15"/>
  <c r="AO42" i="15"/>
  <c r="L42" i="15"/>
  <c r="V42" i="15"/>
  <c r="N42" i="15"/>
  <c r="O42" i="15"/>
  <c r="P42" i="15"/>
  <c r="Q42" i="15"/>
  <c r="R42" i="15"/>
  <c r="S42" i="15"/>
  <c r="T42" i="15"/>
  <c r="U42" i="15"/>
  <c r="AP42" i="15"/>
  <c r="W42" i="15"/>
  <c r="X42" i="15"/>
  <c r="Y42" i="15"/>
  <c r="Z42" i="15"/>
  <c r="AA42" i="15"/>
  <c r="AB42" i="15"/>
  <c r="AD42" i="15"/>
  <c r="AC42" i="15"/>
  <c r="AE42" i="15"/>
  <c r="AF42" i="15"/>
  <c r="AG42" i="15"/>
  <c r="AH42" i="15"/>
  <c r="AI42" i="15"/>
  <c r="AJ42" i="15"/>
  <c r="AL43" i="15"/>
  <c r="AM43" i="15"/>
  <c r="AN43" i="15"/>
  <c r="AO43" i="15"/>
  <c r="AP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N44" i="15"/>
  <c r="S44" i="15"/>
  <c r="T44" i="15"/>
  <c r="AK44" i="15"/>
  <c r="L44" i="15"/>
  <c r="AG44" i="15"/>
  <c r="AF44" i="15"/>
  <c r="AE44" i="15"/>
  <c r="AD44" i="15"/>
  <c r="AC44" i="15"/>
  <c r="AB44" i="15"/>
  <c r="V44" i="15"/>
  <c r="AA44" i="15"/>
  <c r="Z44" i="15"/>
  <c r="Y44" i="15"/>
  <c r="X44" i="15"/>
  <c r="M44" i="15"/>
  <c r="U44" i="15"/>
  <c r="O44" i="15"/>
  <c r="P44" i="15"/>
  <c r="Q44" i="15"/>
  <c r="R44" i="15"/>
  <c r="W44" i="15"/>
  <c r="AH44" i="15"/>
  <c r="AI44" i="15"/>
  <c r="AJ44" i="15"/>
  <c r="AL44" i="15"/>
  <c r="AM44" i="15"/>
  <c r="AN44" i="15"/>
  <c r="AO44" i="15"/>
  <c r="AP44" i="15"/>
  <c r="AM45" i="15"/>
  <c r="AL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W45" i="15"/>
  <c r="AK45" i="15"/>
  <c r="R45" i="15"/>
  <c r="X45" i="15"/>
  <c r="S45" i="15"/>
  <c r="V45" i="15"/>
  <c r="T45" i="15"/>
  <c r="AP45" i="15"/>
  <c r="AO45" i="15"/>
  <c r="AN45" i="15"/>
  <c r="U45" i="15"/>
  <c r="L45" i="15"/>
  <c r="M45" i="15"/>
  <c r="N45" i="15"/>
  <c r="O45" i="15"/>
  <c r="P45" i="15"/>
  <c r="Q45" i="15"/>
  <c r="O46" i="15"/>
  <c r="Q46" i="15"/>
  <c r="R46" i="15"/>
  <c r="S46" i="15"/>
  <c r="T46" i="15"/>
  <c r="U46" i="15"/>
  <c r="V46" i="15"/>
  <c r="P46" i="15"/>
  <c r="L46" i="15"/>
  <c r="M46" i="15"/>
  <c r="N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M47" i="15"/>
  <c r="AN47" i="15"/>
  <c r="AO47" i="15"/>
  <c r="AP47" i="15"/>
  <c r="AL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B48" i="15"/>
  <c r="AA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AP48" i="15"/>
  <c r="Z48" i="15"/>
  <c r="AK48" i="15"/>
  <c r="AO48" i="15"/>
  <c r="AN48" i="15"/>
  <c r="AM48" i="15"/>
  <c r="AL48" i="15"/>
  <c r="AJ48" i="15"/>
  <c r="AI48" i="15"/>
  <c r="AH48" i="15"/>
  <c r="AG48" i="15"/>
  <c r="AF48" i="15"/>
  <c r="AE48" i="15"/>
  <c r="AD48" i="15"/>
  <c r="AC48" i="15"/>
  <c r="AL49" i="15"/>
  <c r="AM49" i="15"/>
  <c r="AN49" i="15"/>
  <c r="AO49" i="15"/>
  <c r="AP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R50" i="15"/>
  <c r="AG50" i="15"/>
  <c r="AH50" i="15"/>
  <c r="AI50" i="15"/>
  <c r="AJ50" i="15"/>
  <c r="AK50" i="15"/>
  <c r="AL50" i="15"/>
  <c r="AD50" i="15"/>
  <c r="N50" i="15"/>
  <c r="AP50" i="15"/>
  <c r="AO50" i="15"/>
  <c r="AN50" i="15"/>
  <c r="AM50" i="15"/>
  <c r="L50" i="15"/>
  <c r="M50" i="15"/>
  <c r="O50" i="15"/>
  <c r="P50" i="15"/>
  <c r="Q50" i="15"/>
  <c r="S50" i="15"/>
  <c r="T50" i="15"/>
  <c r="U50" i="15"/>
  <c r="V50" i="15"/>
  <c r="W50" i="15"/>
  <c r="X50" i="15"/>
  <c r="Y50" i="15"/>
  <c r="Z50" i="15"/>
  <c r="AA50" i="15"/>
  <c r="AB50" i="15"/>
  <c r="AC50" i="15"/>
  <c r="AE50" i="15"/>
  <c r="AF50" i="15"/>
  <c r="AJ51" i="15"/>
  <c r="AK51" i="15"/>
  <c r="AI51" i="15"/>
  <c r="AH51" i="15"/>
  <c r="AG51" i="15"/>
  <c r="AF51" i="15"/>
  <c r="AE51" i="15"/>
  <c r="L51" i="15"/>
  <c r="AD51" i="15"/>
  <c r="AB51" i="15"/>
  <c r="AA51" i="15"/>
  <c r="AC51" i="15"/>
  <c r="Z51" i="15"/>
  <c r="Y51" i="15"/>
  <c r="X51" i="15"/>
  <c r="W51" i="15"/>
  <c r="V51" i="15"/>
  <c r="U51" i="15"/>
  <c r="T51" i="15"/>
  <c r="R51" i="15"/>
  <c r="Q51" i="15"/>
  <c r="P51" i="15"/>
  <c r="O51" i="15"/>
  <c r="S51" i="15"/>
  <c r="N51" i="15"/>
  <c r="M51" i="15"/>
  <c r="AL51" i="15"/>
  <c r="AM51" i="15"/>
  <c r="AN51" i="15"/>
  <c r="AO51" i="15"/>
  <c r="AP51" i="15"/>
  <c r="V52" i="15"/>
  <c r="AL52" i="15"/>
  <c r="AM52" i="15"/>
  <c r="AN52" i="15"/>
  <c r="AO52" i="15"/>
  <c r="AP52" i="15"/>
  <c r="L52" i="15"/>
  <c r="M52" i="15"/>
  <c r="N52" i="15"/>
  <c r="O52" i="15"/>
  <c r="P52" i="15"/>
  <c r="Q52" i="15"/>
  <c r="R52" i="15"/>
  <c r="S52" i="15"/>
  <c r="T52" i="15"/>
  <c r="U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U53" i="15"/>
  <c r="Z53" i="15"/>
  <c r="Y53" i="15"/>
  <c r="X53" i="15"/>
  <c r="W53" i="15"/>
  <c r="V53" i="15"/>
  <c r="T53" i="15"/>
  <c r="AP53" i="15"/>
  <c r="S53" i="15"/>
  <c r="R53" i="15"/>
  <c r="Q53" i="15"/>
  <c r="P53" i="15"/>
  <c r="O53" i="15"/>
  <c r="N53" i="15"/>
  <c r="M53" i="15"/>
  <c r="L53" i="15"/>
  <c r="AL54" i="15"/>
  <c r="AM54" i="15"/>
  <c r="AN54" i="15"/>
  <c r="AO54" i="15"/>
  <c r="AP54" i="15"/>
  <c r="L54" i="15"/>
  <c r="AR54" i="15" s="1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V55" i="15"/>
  <c r="AO55" i="15"/>
  <c r="AM55" i="15"/>
  <c r="L55" i="15"/>
  <c r="M55" i="15"/>
  <c r="N55" i="15"/>
  <c r="O55" i="15"/>
  <c r="P55" i="15"/>
  <c r="Q55" i="15"/>
  <c r="R55" i="15"/>
  <c r="S55" i="15"/>
  <c r="T55" i="15"/>
  <c r="U55" i="15"/>
  <c r="AN55" i="15"/>
  <c r="W55" i="15"/>
  <c r="AL55" i="15"/>
  <c r="X55" i="15"/>
  <c r="Y55" i="15"/>
  <c r="Z55" i="15"/>
  <c r="AA55" i="15"/>
  <c r="AB55" i="15"/>
  <c r="AC55" i="15"/>
  <c r="AD55" i="15"/>
  <c r="AP55" i="15"/>
  <c r="AE55" i="15"/>
  <c r="AF55" i="15"/>
  <c r="AG55" i="15"/>
  <c r="AH55" i="15"/>
  <c r="AI55" i="15"/>
  <c r="AJ55" i="15"/>
  <c r="AK55" i="15"/>
  <c r="AH56" i="15"/>
  <c r="AI56" i="15"/>
  <c r="AM56" i="15"/>
  <c r="AL56" i="15"/>
  <c r="AK56" i="15"/>
  <c r="AO56" i="15"/>
  <c r="AN56" i="15"/>
  <c r="AP56" i="15"/>
  <c r="AJ56" i="15"/>
  <c r="L56" i="15"/>
  <c r="Q56" i="15"/>
  <c r="M56" i="15"/>
  <c r="N56" i="15"/>
  <c r="O56" i="15"/>
  <c r="P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Z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AM57" i="15"/>
  <c r="AN57" i="15"/>
  <c r="AO57" i="15"/>
  <c r="AP57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O59" i="15"/>
  <c r="AP59" i="15"/>
  <c r="AL59" i="15"/>
  <c r="AM59" i="15"/>
  <c r="AN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L60" i="15"/>
  <c r="AF60" i="15"/>
  <c r="AP60" i="15"/>
  <c r="AO60" i="15"/>
  <c r="AN60" i="15"/>
  <c r="AM60" i="15"/>
  <c r="AL60" i="15"/>
  <c r="AK60" i="15"/>
  <c r="AJ60" i="15"/>
  <c r="AI60" i="15"/>
  <c r="AH60" i="15"/>
  <c r="AG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P61" i="15"/>
  <c r="O61" i="15"/>
  <c r="N61" i="15"/>
  <c r="M61" i="15"/>
  <c r="L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Y62" i="15"/>
  <c r="X62" i="15"/>
  <c r="W62" i="15"/>
  <c r="U62" i="15"/>
  <c r="V62" i="15"/>
  <c r="L62" i="15"/>
  <c r="M62" i="15"/>
  <c r="N62" i="15"/>
  <c r="O62" i="15"/>
  <c r="P62" i="15"/>
  <c r="Q62" i="15"/>
  <c r="AG62" i="15"/>
  <c r="R62" i="15"/>
  <c r="S62" i="15"/>
  <c r="T62" i="15"/>
  <c r="AP62" i="15"/>
  <c r="AO62" i="15"/>
  <c r="AN62" i="15"/>
  <c r="AM62" i="15"/>
  <c r="AL62" i="15"/>
  <c r="AK62" i="15"/>
  <c r="AJ62" i="15"/>
  <c r="AI62" i="15"/>
  <c r="AH62" i="15"/>
  <c r="AF62" i="15"/>
  <c r="AE62" i="15"/>
  <c r="AD62" i="15"/>
  <c r="AC62" i="15"/>
  <c r="AB62" i="15"/>
  <c r="AA62" i="15"/>
  <c r="Z62" i="15"/>
  <c r="AD63" i="15"/>
  <c r="AL63" i="15"/>
  <c r="AM63" i="15"/>
  <c r="AN63" i="15"/>
  <c r="AO63" i="15"/>
  <c r="AP63" i="15"/>
  <c r="AC63" i="15"/>
  <c r="AE63" i="15"/>
  <c r="AF63" i="15"/>
  <c r="AG63" i="15"/>
  <c r="AH63" i="15"/>
  <c r="AI63" i="15"/>
  <c r="AJ63" i="15"/>
  <c r="AK63" i="15"/>
  <c r="M63" i="15"/>
  <c r="Z63" i="15"/>
  <c r="L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AA63" i="15"/>
  <c r="AB63" i="15"/>
  <c r="L64" i="15"/>
  <c r="M64" i="15"/>
  <c r="N64" i="15"/>
  <c r="O64" i="15"/>
  <c r="P64" i="15"/>
  <c r="R64" i="15"/>
  <c r="S64" i="15"/>
  <c r="T64" i="15"/>
  <c r="AK64" i="15"/>
  <c r="AJ64" i="15"/>
  <c r="AI64" i="15"/>
  <c r="AH64" i="15"/>
  <c r="AG64" i="15"/>
  <c r="AF64" i="15"/>
  <c r="AE64" i="15"/>
  <c r="AD64" i="15"/>
  <c r="AN64" i="15"/>
  <c r="AC64" i="15"/>
  <c r="AB64" i="15"/>
  <c r="Q64" i="15"/>
  <c r="AA64" i="15"/>
  <c r="Z64" i="15"/>
  <c r="Y64" i="15"/>
  <c r="AP64" i="15"/>
  <c r="X64" i="15"/>
  <c r="W64" i="15"/>
  <c r="V64" i="15"/>
  <c r="U64" i="15"/>
  <c r="AM64" i="15"/>
  <c r="AO64" i="15"/>
  <c r="AL64" i="15"/>
  <c r="AL65" i="15"/>
  <c r="AM65" i="15"/>
  <c r="AN65" i="15"/>
  <c r="AO65" i="15"/>
  <c r="AP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N66" i="15"/>
  <c r="S66" i="15"/>
  <c r="T66" i="15"/>
  <c r="V66" i="15"/>
  <c r="L66" i="15"/>
  <c r="AH66" i="15"/>
  <c r="AF66" i="15"/>
  <c r="AE66" i="15"/>
  <c r="AD66" i="15"/>
  <c r="AC66" i="15"/>
  <c r="AB66" i="15"/>
  <c r="AG66" i="15"/>
  <c r="AA66" i="15"/>
  <c r="Z66" i="15"/>
  <c r="Y66" i="15"/>
  <c r="X66" i="15"/>
  <c r="M66" i="15"/>
  <c r="U66" i="15"/>
  <c r="O66" i="15"/>
  <c r="P66" i="15"/>
  <c r="Q66" i="15"/>
  <c r="R66" i="15"/>
  <c r="W66" i="15"/>
  <c r="AI66" i="15"/>
  <c r="AJ66" i="15"/>
  <c r="AO66" i="15"/>
  <c r="AK66" i="15"/>
  <c r="AL66" i="15"/>
  <c r="AM66" i="15"/>
  <c r="AN66" i="15"/>
  <c r="AP66" i="15"/>
  <c r="AM67" i="15"/>
  <c r="AL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AK67" i="15"/>
  <c r="W67" i="15"/>
  <c r="R67" i="15"/>
  <c r="S67" i="15"/>
  <c r="T67" i="15"/>
  <c r="U67" i="15"/>
  <c r="AP67" i="15"/>
  <c r="AO67" i="15"/>
  <c r="AN67" i="15"/>
  <c r="V67" i="15"/>
  <c r="L67" i="15"/>
  <c r="M67" i="15"/>
  <c r="N67" i="15"/>
  <c r="O67" i="15"/>
  <c r="P67" i="15"/>
  <c r="Q67" i="15"/>
  <c r="O68" i="15"/>
  <c r="Q68" i="15"/>
  <c r="R68" i="15"/>
  <c r="S68" i="15"/>
  <c r="T68" i="15"/>
  <c r="U68" i="15"/>
  <c r="P68" i="15"/>
  <c r="V68" i="15"/>
  <c r="L68" i="15"/>
  <c r="M68" i="15"/>
  <c r="N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M69" i="15"/>
  <c r="AN69" i="15"/>
  <c r="AO69" i="15"/>
  <c r="AP69" i="15"/>
  <c r="AL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B70" i="15"/>
  <c r="AA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AP70" i="15"/>
  <c r="Z70" i="15"/>
  <c r="AN70" i="15"/>
  <c r="AO70" i="15"/>
  <c r="AM70" i="15"/>
  <c r="AL70" i="15"/>
  <c r="AK70" i="15"/>
  <c r="AJ70" i="15"/>
  <c r="AI70" i="15"/>
  <c r="AH70" i="15"/>
  <c r="AG70" i="15"/>
  <c r="AF70" i="15"/>
  <c r="AE70" i="15"/>
  <c r="AD70" i="15"/>
  <c r="AC70" i="15"/>
  <c r="AL71" i="15"/>
  <c r="AM71" i="15"/>
  <c r="AN71" i="15"/>
  <c r="AO71" i="15"/>
  <c r="AP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Z72" i="15"/>
  <c r="Y72" i="15"/>
  <c r="X72" i="15"/>
  <c r="U72" i="15"/>
  <c r="W72" i="15"/>
  <c r="L72" i="15"/>
  <c r="M72" i="15"/>
  <c r="N72" i="15"/>
  <c r="O72" i="15"/>
  <c r="P72" i="15"/>
  <c r="Q72" i="15"/>
  <c r="V72" i="15"/>
  <c r="R72" i="15"/>
  <c r="S72" i="15"/>
  <c r="T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AM73" i="15"/>
  <c r="AL73" i="15"/>
  <c r="AC73" i="15"/>
  <c r="AN73" i="15"/>
  <c r="AO73" i="15"/>
  <c r="AP73" i="15"/>
  <c r="AD73" i="15"/>
  <c r="AE73" i="15"/>
  <c r="AF73" i="15"/>
  <c r="AG73" i="15"/>
  <c r="AH73" i="15"/>
  <c r="AI73" i="15"/>
  <c r="AJ73" i="15"/>
  <c r="AK73" i="15"/>
  <c r="M73" i="15"/>
  <c r="Z73" i="15"/>
  <c r="L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AA73" i="15"/>
  <c r="AB73" i="15"/>
  <c r="AP74" i="15"/>
  <c r="L74" i="15"/>
  <c r="M74" i="15"/>
  <c r="N74" i="15"/>
  <c r="O74" i="15"/>
  <c r="P74" i="15"/>
  <c r="R74" i="15"/>
  <c r="S74" i="15"/>
  <c r="T74" i="15"/>
  <c r="AK74" i="15"/>
  <c r="AJ74" i="15"/>
  <c r="AI74" i="15"/>
  <c r="AH74" i="15"/>
  <c r="AG74" i="15"/>
  <c r="AF74" i="15"/>
  <c r="AE74" i="15"/>
  <c r="AD74" i="15"/>
  <c r="AC74" i="15"/>
  <c r="AB74" i="15"/>
  <c r="Q74" i="15"/>
  <c r="AA74" i="15"/>
  <c r="Z74" i="15"/>
  <c r="Y74" i="15"/>
  <c r="X74" i="15"/>
  <c r="W74" i="15"/>
  <c r="V74" i="15"/>
  <c r="U74" i="15"/>
  <c r="AN74" i="15"/>
  <c r="AO74" i="15"/>
  <c r="AM74" i="15"/>
  <c r="AL74" i="15"/>
  <c r="AL75" i="15"/>
  <c r="AM75" i="15"/>
  <c r="AN75" i="15"/>
  <c r="AO75" i="15"/>
  <c r="AP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N76" i="15"/>
  <c r="AL76" i="15"/>
  <c r="AM76" i="15"/>
  <c r="AD76" i="15"/>
  <c r="AN76" i="15"/>
  <c r="AP76" i="15"/>
  <c r="AO76" i="15"/>
  <c r="L76" i="15"/>
  <c r="M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E76" i="15"/>
  <c r="AF76" i="15"/>
  <c r="AG76" i="15"/>
  <c r="AH76" i="15"/>
  <c r="AI76" i="15"/>
  <c r="AJ76" i="15"/>
  <c r="AK76" i="15"/>
  <c r="AK77" i="15"/>
  <c r="L77" i="15"/>
  <c r="AP77" i="15"/>
  <c r="AO77" i="15"/>
  <c r="AN77" i="15"/>
  <c r="AM77" i="15"/>
  <c r="AL77" i="15"/>
  <c r="M77" i="15"/>
  <c r="AJ77" i="15"/>
  <c r="AH77" i="15"/>
  <c r="AG77" i="15"/>
  <c r="AF77" i="15"/>
  <c r="AE77" i="15"/>
  <c r="AD77" i="15"/>
  <c r="AI77" i="15"/>
  <c r="AC77" i="15"/>
  <c r="AB77" i="15"/>
  <c r="AA77" i="15"/>
  <c r="Z77" i="15"/>
  <c r="Y77" i="15"/>
  <c r="X77" i="15"/>
  <c r="W77" i="15"/>
  <c r="V77" i="15"/>
  <c r="T77" i="15"/>
  <c r="U77" i="15"/>
  <c r="S77" i="15"/>
  <c r="R77" i="15"/>
  <c r="Q77" i="15"/>
  <c r="P77" i="15"/>
  <c r="O77" i="15"/>
  <c r="N77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Z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V82" i="15"/>
  <c r="W82" i="15"/>
  <c r="X82" i="15"/>
  <c r="Y82" i="15"/>
  <c r="Z82" i="15"/>
  <c r="L82" i="15"/>
  <c r="M82" i="15"/>
  <c r="N82" i="15"/>
  <c r="O82" i="15"/>
  <c r="P82" i="15"/>
  <c r="Q82" i="15"/>
  <c r="R82" i="15"/>
  <c r="S82" i="15"/>
  <c r="T82" i="15"/>
  <c r="U82" i="15"/>
  <c r="L83" i="15"/>
  <c r="M83" i="15"/>
  <c r="N83" i="15"/>
  <c r="O83" i="15"/>
  <c r="P83" i="15"/>
  <c r="AM120" i="15"/>
  <c r="AP120" i="15"/>
  <c r="AL120" i="15"/>
  <c r="AK120" i="15"/>
  <c r="AI120" i="15"/>
  <c r="AF120" i="15"/>
  <c r="AD120" i="15"/>
  <c r="AB120" i="15"/>
  <c r="Z120" i="15"/>
  <c r="Y120" i="15"/>
  <c r="W120" i="15"/>
  <c r="U120" i="15"/>
  <c r="S120" i="15"/>
  <c r="P120" i="15"/>
  <c r="N120" i="15"/>
  <c r="AN120" i="15"/>
  <c r="AJ120" i="15"/>
  <c r="AH120" i="15"/>
  <c r="AG120" i="15"/>
  <c r="AE120" i="15"/>
  <c r="AC120" i="15"/>
  <c r="AA120" i="15"/>
  <c r="X120" i="15"/>
  <c r="V120" i="15"/>
  <c r="T120" i="15"/>
  <c r="R120" i="15"/>
  <c r="Q120" i="15"/>
  <c r="O120" i="15"/>
  <c r="M120" i="15"/>
  <c r="L120" i="15"/>
  <c r="AO120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3" i="15"/>
  <c r="AR119" i="15"/>
  <c r="AQ119" i="15"/>
  <c r="AR118" i="15"/>
  <c r="AQ118" i="15"/>
  <c r="AR116" i="15"/>
  <c r="AR115" i="15"/>
  <c r="AR114" i="15"/>
  <c r="AR113" i="15"/>
  <c r="AR112" i="15"/>
  <c r="AR111" i="15"/>
  <c r="AR110" i="15"/>
  <c r="AR109" i="15"/>
  <c r="AR108" i="15"/>
  <c r="AR107" i="15"/>
  <c r="AR106" i="15"/>
  <c r="AR105" i="15"/>
  <c r="AR104" i="15"/>
  <c r="AR103" i="15"/>
  <c r="AR102" i="15"/>
  <c r="AR101" i="15"/>
  <c r="AR100" i="15"/>
  <c r="AR99" i="15"/>
  <c r="AR98" i="15"/>
  <c r="AR97" i="15"/>
  <c r="AR96" i="15"/>
  <c r="AR95" i="15"/>
  <c r="AR94" i="15"/>
  <c r="AR93" i="15"/>
  <c r="AR92" i="15"/>
  <c r="AR91" i="15"/>
  <c r="AR90" i="15"/>
  <c r="AR89" i="15"/>
  <c r="AR88" i="15"/>
  <c r="AR87" i="15"/>
  <c r="AR86" i="15"/>
  <c r="AR85" i="15"/>
  <c r="AR84" i="15"/>
  <c r="AR76" i="15"/>
  <c r="AR75" i="15"/>
  <c r="AR74" i="15"/>
  <c r="AR73" i="15"/>
  <c r="AR72" i="15"/>
  <c r="AR40" i="15"/>
  <c r="AR39" i="15"/>
  <c r="AR38" i="15"/>
  <c r="AR37" i="15"/>
  <c r="AR36" i="15"/>
  <c r="AR35" i="15"/>
  <c r="AR34" i="15"/>
  <c r="AR33" i="15"/>
  <c r="AR32" i="15"/>
  <c r="AR31" i="15"/>
  <c r="AR30" i="15"/>
  <c r="AR29" i="15"/>
  <c r="AR28" i="15"/>
  <c r="AR27" i="15"/>
  <c r="AR26" i="15"/>
  <c r="AR25" i="15"/>
  <c r="AR24" i="15"/>
  <c r="AR23" i="15"/>
  <c r="AR22" i="15"/>
  <c r="AR21" i="15"/>
  <c r="AR20" i="15"/>
  <c r="AR19" i="15"/>
  <c r="AR18" i="15"/>
  <c r="AR17" i="15"/>
  <c r="AR16" i="15"/>
  <c r="AR15" i="15"/>
  <c r="AR14" i="15"/>
  <c r="AR13" i="15"/>
  <c r="AR12" i="15"/>
  <c r="AR11" i="15"/>
  <c r="AR10" i="15"/>
  <c r="AR9" i="15"/>
  <c r="AR8" i="15"/>
  <c r="AR7" i="15"/>
  <c r="AR6" i="15"/>
  <c r="AC1298" i="12"/>
  <c r="AC1333" i="12"/>
  <c r="AC1292" i="12"/>
  <c r="AC1301" i="12"/>
  <c r="AC1284" i="12"/>
  <c r="E849" i="12"/>
  <c r="E815" i="12"/>
  <c r="DH1477" i="12" a="1"/>
  <c r="E1477" i="12"/>
  <c r="DH1357" i="12" a="1"/>
  <c r="E1357" i="12"/>
  <c r="O1358" i="12"/>
  <c r="N1358" i="12"/>
  <c r="M1358" i="12"/>
  <c r="J1358" i="12"/>
  <c r="K1358" i="12"/>
  <c r="F1358" i="12"/>
  <c r="G1358" i="12"/>
  <c r="H1358" i="12"/>
  <c r="I1358" i="12"/>
  <c r="F1334" i="12"/>
  <c r="G1334" i="12"/>
  <c r="G1337" i="12"/>
  <c r="H1337" i="12"/>
  <c r="F1337" i="12"/>
  <c r="AM1344" i="12"/>
  <c r="G1344" i="12"/>
  <c r="F1344" i="12"/>
  <c r="H1344" i="12"/>
  <c r="G1320" i="12"/>
  <c r="F1320" i="12"/>
  <c r="F1322" i="12"/>
  <c r="G1322" i="12"/>
  <c r="G1326" i="12"/>
  <c r="H1326" i="12"/>
  <c r="F1326" i="12"/>
  <c r="AC1326" i="12" s="1"/>
  <c r="G1329" i="12"/>
  <c r="F1329" i="12"/>
  <c r="G1308" i="12"/>
  <c r="F1308" i="12"/>
  <c r="F1311" i="12"/>
  <c r="H1311" i="12"/>
  <c r="G1311" i="12"/>
  <c r="F1313" i="12"/>
  <c r="G1313" i="12"/>
  <c r="F1316" i="12"/>
  <c r="G1316" i="12"/>
  <c r="I1316" i="12"/>
  <c r="H1316" i="12"/>
  <c r="F1291" i="12"/>
  <c r="G1291" i="12"/>
  <c r="F1296" i="12"/>
  <c r="H1296" i="12"/>
  <c r="G1296" i="12"/>
  <c r="G1300" i="12"/>
  <c r="F1300" i="12"/>
  <c r="AC1300" i="12" s="1"/>
  <c r="F1279" i="12"/>
  <c r="G1279" i="12"/>
  <c r="H1279" i="12"/>
  <c r="I1279" i="12"/>
  <c r="F1281" i="12"/>
  <c r="G1281" i="12"/>
  <c r="H1281" i="12"/>
  <c r="F1285" i="12"/>
  <c r="I1285" i="12"/>
  <c r="G1285" i="12"/>
  <c r="H1285" i="12"/>
  <c r="I1288" i="12"/>
  <c r="H1288" i="12"/>
  <c r="F1265" i="12"/>
  <c r="G1265" i="12"/>
  <c r="G1273" i="12"/>
  <c r="J1273" i="12"/>
  <c r="I1273" i="12"/>
  <c r="F1273" i="12"/>
  <c r="AC1273" i="12" s="1"/>
  <c r="H1273" i="12"/>
  <c r="G1254" i="12"/>
  <c r="F1254" i="12"/>
  <c r="F1256" i="12"/>
  <c r="H1256" i="12"/>
  <c r="G1256" i="12"/>
  <c r="F1259" i="12"/>
  <c r="G1259" i="12"/>
  <c r="H1259" i="12"/>
  <c r="I1259" i="12"/>
  <c r="F1260" i="12"/>
  <c r="G1260" i="12"/>
  <c r="F1233" i="12"/>
  <c r="G1233" i="12"/>
  <c r="F1234" i="12"/>
  <c r="H1234" i="12"/>
  <c r="G1234" i="12"/>
  <c r="G1241" i="12"/>
  <c r="F1241" i="12"/>
  <c r="J1243" i="12"/>
  <c r="I1243" i="12"/>
  <c r="DH1219" i="12" a="1"/>
  <c r="E1219" i="12"/>
  <c r="AJ1175" i="12"/>
  <c r="Z1175" i="12"/>
  <c r="AI1175" i="12"/>
  <c r="AA1175" i="12"/>
  <c r="AM1175" i="12"/>
  <c r="AL1175" i="12"/>
  <c r="AK1175" i="12"/>
  <c r="AJ1080" i="12"/>
  <c r="AK1080" i="12"/>
  <c r="AL1080" i="12"/>
  <c r="AM1080" i="12"/>
  <c r="P1080" i="12"/>
  <c r="M1080" i="12"/>
  <c r="N1080" i="12"/>
  <c r="O1080" i="12"/>
  <c r="Q1080" i="12"/>
  <c r="R1080" i="12"/>
  <c r="S1080" i="12"/>
  <c r="T1080" i="12"/>
  <c r="U1080" i="12"/>
  <c r="V1080" i="12"/>
  <c r="W1080" i="12"/>
  <c r="X1080" i="12"/>
  <c r="Y1080" i="12"/>
  <c r="Z1080" i="12"/>
  <c r="AA1080" i="12"/>
  <c r="AI1080" i="12"/>
  <c r="J1033" i="12"/>
  <c r="K1033" i="12"/>
  <c r="O1035" i="12"/>
  <c r="P1035" i="12"/>
  <c r="P1016" i="12"/>
  <c r="Q1016" i="12"/>
  <c r="R1016" i="12"/>
  <c r="S1016" i="12"/>
  <c r="T1016" i="12"/>
  <c r="M1019" i="12"/>
  <c r="O1019" i="12"/>
  <c r="P1019" i="12"/>
  <c r="Q1019" i="12"/>
  <c r="M1022" i="12"/>
  <c r="N1022" i="12"/>
  <c r="N999" i="12"/>
  <c r="O999" i="12"/>
  <c r="M999" i="12"/>
  <c r="P1002" i="12"/>
  <c r="Q1002" i="12"/>
  <c r="U1008" i="12"/>
  <c r="T1008" i="12"/>
  <c r="S1008" i="12"/>
  <c r="X967" i="12"/>
  <c r="W967" i="12"/>
  <c r="P860" i="12"/>
  <c r="Q860" i="12"/>
  <c r="R860" i="12"/>
  <c r="J865" i="12"/>
  <c r="M865" i="12"/>
  <c r="O865" i="12"/>
  <c r="K865" i="12"/>
  <c r="N865" i="12"/>
  <c r="DH843" i="12" a="1"/>
  <c r="E843" i="12"/>
  <c r="K829" i="12"/>
  <c r="N829" i="12"/>
  <c r="M829" i="12"/>
  <c r="K831" i="12"/>
  <c r="M831" i="12"/>
  <c r="N819" i="12"/>
  <c r="O819" i="12"/>
  <c r="J819" i="12"/>
  <c r="M819" i="12"/>
  <c r="K819" i="12"/>
  <c r="I821" i="12"/>
  <c r="J821" i="12"/>
  <c r="K821" i="12"/>
  <c r="K824" i="12"/>
  <c r="M824" i="12"/>
  <c r="N824" i="12"/>
  <c r="O824" i="12"/>
  <c r="P824" i="12"/>
  <c r="AC1340" i="12"/>
  <c r="V7" i="2"/>
  <c r="BB6" i="2" a="1"/>
  <c r="BG6" i="2" a="1"/>
  <c r="CH6" i="2" a="1"/>
  <c r="BF6" i="2" a="1"/>
  <c r="CJ6" i="2" a="1"/>
  <c r="AT6" i="2" a="1"/>
  <c r="AQ6" i="2" s="1"/>
  <c r="CB6" i="2" a="1"/>
  <c r="AU6" i="2" a="1"/>
  <c r="AC1368" i="12"/>
  <c r="AC1289" i="12"/>
  <c r="AC1287" i="12"/>
  <c r="AC1341" i="12"/>
  <c r="AC1322" i="12"/>
  <c r="AC1261" i="12"/>
  <c r="AA190" i="2"/>
  <c r="AA192" i="2"/>
  <c r="AA194" i="2"/>
  <c r="AA196" i="2"/>
  <c r="AA198" i="2"/>
  <c r="AA200" i="2"/>
  <c r="AA201" i="2"/>
  <c r="AA202" i="2"/>
  <c r="AA204" i="2"/>
  <c r="AA191" i="2"/>
  <c r="AA193" i="2"/>
  <c r="AA195" i="2"/>
  <c r="AA199" i="2"/>
  <c r="AA203" i="2"/>
  <c r="AA197" i="2"/>
  <c r="V15" i="13"/>
  <c r="Q29" i="13"/>
  <c r="U15" i="13"/>
  <c r="Q28" i="13"/>
  <c r="S15" i="13"/>
  <c r="Q15" i="13"/>
  <c r="X29" i="13"/>
  <c r="Q14" i="13"/>
  <c r="W29" i="13"/>
  <c r="V29" i="13"/>
  <c r="U29" i="13"/>
  <c r="X15" i="13"/>
  <c r="S29" i="13"/>
  <c r="R29" i="13"/>
  <c r="R15" i="13"/>
  <c r="W15" i="13"/>
  <c r="A1" i="13"/>
  <c r="AC1369" i="12"/>
  <c r="AC1290" i="12"/>
  <c r="AC1396" i="12"/>
  <c r="AC1207" i="12"/>
  <c r="AC1323" i="12"/>
  <c r="AC1330" i="12"/>
  <c r="AC1303" i="12"/>
  <c r="AC1307" i="12"/>
  <c r="AC1275" i="12"/>
  <c r="AC1280" i="12"/>
  <c r="AC1129" i="12"/>
  <c r="AC1228" i="12"/>
  <c r="AC1229" i="12"/>
  <c r="E989" i="12"/>
  <c r="E634" i="12"/>
  <c r="E628" i="12"/>
  <c r="AC1398" i="12"/>
  <c r="AI1398" i="12"/>
  <c r="AJ1398" i="12"/>
  <c r="AM1398" i="12"/>
  <c r="AL1398" i="12"/>
  <c r="AK1398" i="12"/>
  <c r="AA1398" i="12"/>
  <c r="F1328" i="12"/>
  <c r="I1328" i="12"/>
  <c r="G1328" i="12"/>
  <c r="J1328" i="12"/>
  <c r="H1328" i="12"/>
  <c r="F1305" i="12"/>
  <c r="G1305" i="12"/>
  <c r="H1310" i="12"/>
  <c r="F1310" i="12"/>
  <c r="G1310" i="12"/>
  <c r="AK1315" i="12"/>
  <c r="AA1315" i="12"/>
  <c r="W1315" i="12"/>
  <c r="U1315" i="12"/>
  <c r="N1315" i="12"/>
  <c r="J1315" i="12"/>
  <c r="F1315" i="12"/>
  <c r="AM1315" i="12"/>
  <c r="AJ1315" i="12"/>
  <c r="Y1315" i="12"/>
  <c r="V1315" i="12"/>
  <c r="R1315" i="12"/>
  <c r="O1315" i="12"/>
  <c r="AL1315" i="12"/>
  <c r="AI1315" i="12"/>
  <c r="Z1315" i="12"/>
  <c r="X1315" i="12"/>
  <c r="T1315" i="12"/>
  <c r="S1315" i="12"/>
  <c r="Q1315" i="12"/>
  <c r="P1315" i="12"/>
  <c r="M1315" i="12"/>
  <c r="K1315" i="12"/>
  <c r="I1315" i="12"/>
  <c r="H1315" i="12"/>
  <c r="G1315" i="12"/>
  <c r="F1297" i="12"/>
  <c r="G1297" i="12"/>
  <c r="H1297" i="12"/>
  <c r="F1299" i="12"/>
  <c r="G1299" i="12"/>
  <c r="F1302" i="12"/>
  <c r="G1302" i="12"/>
  <c r="G1286" i="12"/>
  <c r="F1286" i="12"/>
  <c r="G1288" i="12"/>
  <c r="F1288" i="12"/>
  <c r="DH1264" i="12" a="1"/>
  <c r="E1264" i="12"/>
  <c r="M1211" i="12"/>
  <c r="AJ1211" i="12"/>
  <c r="AA1211" i="12"/>
  <c r="AI1211" i="12"/>
  <c r="AK1211" i="12"/>
  <c r="AL1211" i="12"/>
  <c r="AM1211" i="12"/>
  <c r="DH1139" i="12" a="1"/>
  <c r="E1139" i="12"/>
  <c r="M1104" i="12"/>
  <c r="N1104" i="12"/>
  <c r="H1104" i="12"/>
  <c r="I1104" i="12"/>
  <c r="J1104" i="12"/>
  <c r="K1104" i="12"/>
  <c r="AM1081" i="12"/>
  <c r="AK1081" i="12"/>
  <c r="Y1081" i="12"/>
  <c r="Q1081" i="12"/>
  <c r="N1081" i="12"/>
  <c r="AA1081" i="12"/>
  <c r="W1081" i="12"/>
  <c r="M1081" i="12"/>
  <c r="I1081" i="12"/>
  <c r="G1081" i="12"/>
  <c r="F1081" i="12"/>
  <c r="AC1081" i="12" s="1"/>
  <c r="AI1081" i="12"/>
  <c r="U1081" i="12"/>
  <c r="O1081" i="12"/>
  <c r="H1081" i="12"/>
  <c r="AJ1081" i="12"/>
  <c r="Z1081" i="12"/>
  <c r="V1081" i="12"/>
  <c r="T1081" i="12"/>
  <c r="R1081" i="12"/>
  <c r="P1081" i="12"/>
  <c r="K1081" i="12"/>
  <c r="AL1081" i="12"/>
  <c r="X1081" i="12"/>
  <c r="S1081" i="12"/>
  <c r="J1081" i="12"/>
  <c r="DH1082" i="12" a="1"/>
  <c r="E1082" i="12"/>
  <c r="J1089" i="12"/>
  <c r="K1089" i="12"/>
  <c r="N1089" i="12"/>
  <c r="M1089" i="12"/>
  <c r="H1090" i="12"/>
  <c r="I1090" i="12"/>
  <c r="P1092" i="12"/>
  <c r="K1092" i="12"/>
  <c r="AL1092" i="12"/>
  <c r="AA1092" i="12"/>
  <c r="X1092" i="12"/>
  <c r="V1092" i="12"/>
  <c r="T1092" i="12"/>
  <c r="Q1092" i="12"/>
  <c r="N1092" i="12"/>
  <c r="M1092" i="12"/>
  <c r="H1092" i="12"/>
  <c r="AM1092" i="12"/>
  <c r="AJ1092" i="12"/>
  <c r="Z1092" i="12"/>
  <c r="S1092" i="12"/>
  <c r="J1092" i="12"/>
  <c r="I1092" i="12"/>
  <c r="Y1092" i="12"/>
  <c r="O1092" i="12"/>
  <c r="AK1092" i="12"/>
  <c r="AI1092" i="12"/>
  <c r="W1092" i="12"/>
  <c r="U1092" i="12"/>
  <c r="R1092" i="12"/>
  <c r="G1092" i="12"/>
  <c r="F1092" i="12"/>
  <c r="K1065" i="12"/>
  <c r="J1065" i="12"/>
  <c r="N1067" i="12"/>
  <c r="O1067" i="12"/>
  <c r="N1069" i="12"/>
  <c r="O1069" i="12"/>
  <c r="P1069" i="12"/>
  <c r="DH1072" i="12" a="1"/>
  <c r="E1072" i="12"/>
  <c r="Q1077" i="12"/>
  <c r="U1077" i="12"/>
  <c r="S1077" i="12"/>
  <c r="O1077" i="12"/>
  <c r="P1077" i="12"/>
  <c r="R1077" i="12"/>
  <c r="T1077" i="12"/>
  <c r="V1077" i="12"/>
  <c r="P1078" i="12"/>
  <c r="Q1078" i="12"/>
  <c r="J1051" i="12"/>
  <c r="M1051" i="12"/>
  <c r="K1051" i="12"/>
  <c r="N1051" i="12"/>
  <c r="N1052" i="12"/>
  <c r="M1052" i="12"/>
  <c r="N1054" i="12"/>
  <c r="Q1054" i="12"/>
  <c r="O1054" i="12"/>
  <c r="P1054" i="12"/>
  <c r="R1054" i="12"/>
  <c r="Z1054" i="12"/>
  <c r="AA1054" i="12"/>
  <c r="AI1054" i="12"/>
  <c r="AJ1054" i="12"/>
  <c r="AK1054" i="12"/>
  <c r="AL1054" i="12"/>
  <c r="AM1054" i="12"/>
  <c r="M1003" i="12"/>
  <c r="O1003" i="12"/>
  <c r="N1008" i="12"/>
  <c r="O1008" i="12"/>
  <c r="R1008" i="12"/>
  <c r="Q1008" i="12"/>
  <c r="P1008" i="12"/>
  <c r="S981" i="12"/>
  <c r="V981" i="12"/>
  <c r="Q981" i="12"/>
  <c r="T981" i="12"/>
  <c r="R981" i="12"/>
  <c r="U981" i="12"/>
  <c r="DH983" i="12" a="1"/>
  <c r="E983" i="12"/>
  <c r="Z984" i="12"/>
  <c r="V984" i="12"/>
  <c r="O984" i="12"/>
  <c r="AM984" i="12"/>
  <c r="AL984" i="12"/>
  <c r="AJ984" i="12"/>
  <c r="Y984" i="12"/>
  <c r="U984" i="12"/>
  <c r="S984" i="12"/>
  <c r="Q984" i="12"/>
  <c r="N984" i="12"/>
  <c r="X984" i="12"/>
  <c r="AK984" i="12"/>
  <c r="AI984" i="12"/>
  <c r="AA984" i="12"/>
  <c r="W984" i="12"/>
  <c r="R984" i="12"/>
  <c r="T984" i="12"/>
  <c r="P984" i="12"/>
  <c r="M984" i="12"/>
  <c r="T988" i="12"/>
  <c r="S988" i="12"/>
  <c r="DH994" i="12" a="1"/>
  <c r="E994" i="12"/>
  <c r="T967" i="12"/>
  <c r="R967" i="12"/>
  <c r="S967" i="12"/>
  <c r="V967" i="12"/>
  <c r="Q967" i="12"/>
  <c r="U967" i="12"/>
  <c r="DH969" i="12" a="1"/>
  <c r="E969" i="12"/>
  <c r="DH970" i="12" a="1"/>
  <c r="E970" i="12"/>
  <c r="R978" i="12"/>
  <c r="S978" i="12"/>
  <c r="U978" i="12"/>
  <c r="T978" i="12"/>
  <c r="AI953" i="12"/>
  <c r="AA953" i="12"/>
  <c r="AK953" i="12"/>
  <c r="AL953" i="12"/>
  <c r="AJ953" i="12"/>
  <c r="Y963" i="12"/>
  <c r="Z963" i="12"/>
  <c r="W925" i="12"/>
  <c r="X925" i="12"/>
  <c r="V925" i="12"/>
  <c r="AL700" i="12"/>
  <c r="AA700" i="12"/>
  <c r="U700" i="12"/>
  <c r="AJ700" i="12"/>
  <c r="W700" i="12"/>
  <c r="AM700" i="12"/>
  <c r="AI700" i="12"/>
  <c r="AK700" i="12"/>
  <c r="V700" i="12"/>
  <c r="Y700" i="12"/>
  <c r="Z700" i="12"/>
  <c r="Q700" i="12"/>
  <c r="X700" i="12"/>
  <c r="M678" i="12"/>
  <c r="R678" i="12"/>
  <c r="O678" i="12"/>
  <c r="N678" i="12"/>
  <c r="AM661" i="12"/>
  <c r="AA661" i="12"/>
  <c r="Y661" i="12"/>
  <c r="V661" i="12"/>
  <c r="Z661" i="12"/>
  <c r="AJ661" i="12"/>
  <c r="X661" i="12"/>
  <c r="W661" i="12"/>
  <c r="AK661" i="12"/>
  <c r="AI661" i="12"/>
  <c r="AL661" i="12"/>
  <c r="U661" i="12"/>
  <c r="DH664" i="12" a="1"/>
  <c r="E664" i="12"/>
  <c r="AA645" i="12"/>
  <c r="T645" i="12"/>
  <c r="S645" i="12"/>
  <c r="X645" i="12"/>
  <c r="W645" i="12"/>
  <c r="U645" i="12"/>
  <c r="V645" i="12"/>
  <c r="P649" i="12"/>
  <c r="O649" i="12"/>
  <c r="Q649" i="12"/>
  <c r="DH652" i="12" a="1"/>
  <c r="E652" i="12"/>
  <c r="AA631" i="12"/>
  <c r="AI631" i="12"/>
  <c r="AJ631" i="12"/>
  <c r="AL631" i="12"/>
  <c r="AK631" i="12"/>
  <c r="AM631" i="12"/>
  <c r="AI630" i="12"/>
  <c r="AA630" i="12"/>
  <c r="U630" i="12"/>
  <c r="Z630" i="12"/>
  <c r="R630" i="12"/>
  <c r="AJ630" i="12"/>
  <c r="AK630" i="12"/>
  <c r="T630" i="12"/>
  <c r="AM630" i="12"/>
  <c r="V630" i="12"/>
  <c r="Y630" i="12"/>
  <c r="W630" i="12"/>
  <c r="S630" i="12"/>
  <c r="AL630" i="12"/>
  <c r="X630" i="12"/>
  <c r="C10" i="3"/>
  <c r="C9" i="3"/>
  <c r="AC1482" i="12"/>
  <c r="E119" i="12"/>
  <c r="AC1191" i="12"/>
  <c r="AC1203" i="12"/>
  <c r="E954" i="12"/>
  <c r="E479" i="12"/>
  <c r="J1498" i="12"/>
  <c r="I1498" i="12"/>
  <c r="H1498" i="12"/>
  <c r="G1498" i="12"/>
  <c r="F1498" i="12"/>
  <c r="G1472" i="12"/>
  <c r="F1472" i="12"/>
  <c r="H1465" i="12"/>
  <c r="I1465" i="12"/>
  <c r="J1465" i="12"/>
  <c r="F1470" i="12"/>
  <c r="G1470" i="12"/>
  <c r="H1470" i="12"/>
  <c r="I1470" i="12"/>
  <c r="AM1447" i="12"/>
  <c r="P1447" i="12"/>
  <c r="AK1447" i="12"/>
  <c r="F1447" i="12"/>
  <c r="Z1447" i="12"/>
  <c r="AA1447" i="12"/>
  <c r="AI1447" i="12"/>
  <c r="AJ1447" i="12"/>
  <c r="AL1447" i="12"/>
  <c r="Q1447" i="12"/>
  <c r="R1447" i="12"/>
  <c r="S1447" i="12"/>
  <c r="T1447" i="12"/>
  <c r="U1447" i="12"/>
  <c r="V1447" i="12"/>
  <c r="W1447" i="12"/>
  <c r="X1447" i="12"/>
  <c r="Y1447" i="12"/>
  <c r="AL1397" i="12"/>
  <c r="AK1397" i="12"/>
  <c r="AJ1397" i="12"/>
  <c r="AM1397" i="12"/>
  <c r="Z1317" i="12"/>
  <c r="Y1317" i="12"/>
  <c r="AM1317" i="12"/>
  <c r="AL1317" i="12"/>
  <c r="AK1317" i="12"/>
  <c r="AJ1317" i="12"/>
  <c r="AI1317" i="12"/>
  <c r="AA1317" i="12"/>
  <c r="G1225" i="12"/>
  <c r="F1225" i="12"/>
  <c r="H1225" i="12"/>
  <c r="F1227" i="12"/>
  <c r="G1227" i="12"/>
  <c r="F1232" i="12"/>
  <c r="G1232" i="12"/>
  <c r="H1205" i="12"/>
  <c r="I1205" i="12"/>
  <c r="H1210" i="12"/>
  <c r="I1210" i="12"/>
  <c r="AM1212" i="12"/>
  <c r="AK1212" i="12"/>
  <c r="AL1212" i="12"/>
  <c r="S1140" i="12"/>
  <c r="T1140" i="12"/>
  <c r="U1140" i="12"/>
  <c r="V1140" i="12"/>
  <c r="W1140" i="12"/>
  <c r="Y1140" i="12"/>
  <c r="Z1140" i="12"/>
  <c r="AA1140" i="12"/>
  <c r="AJ1140" i="12"/>
  <c r="AK1140" i="12"/>
  <c r="AL1140" i="12"/>
  <c r="AM1140" i="12"/>
  <c r="X1140" i="12"/>
  <c r="AI1140" i="12"/>
  <c r="R1140" i="12"/>
  <c r="I1052" i="12"/>
  <c r="K1052" i="12"/>
  <c r="J1052" i="12"/>
  <c r="M1054" i="12"/>
  <c r="K1054" i="12"/>
  <c r="DH1055" i="12" a="1"/>
  <c r="E1055" i="12"/>
  <c r="Q1056" i="12"/>
  <c r="U1056" i="12"/>
  <c r="S1056" i="12"/>
  <c r="T1056" i="12"/>
  <c r="Y1056" i="12"/>
  <c r="V1056" i="12"/>
  <c r="W1056" i="12"/>
  <c r="X1056" i="12"/>
  <c r="Z1056" i="12"/>
  <c r="AA1056" i="12"/>
  <c r="AI1056" i="12"/>
  <c r="AJ1056" i="12"/>
  <c r="M1056" i="12"/>
  <c r="AK1056" i="12"/>
  <c r="AL1056" i="12"/>
  <c r="R1056" i="12"/>
  <c r="AM1056" i="12"/>
  <c r="N1056" i="12"/>
  <c r="O1056" i="12"/>
  <c r="P1056" i="12"/>
  <c r="AI979" i="12"/>
  <c r="X979" i="12"/>
  <c r="Z979" i="12"/>
  <c r="P979" i="12"/>
  <c r="AA979" i="12"/>
  <c r="U979" i="12"/>
  <c r="Q979" i="12"/>
  <c r="AL979" i="12"/>
  <c r="AJ979" i="12"/>
  <c r="Y979" i="12"/>
  <c r="T979" i="12"/>
  <c r="AM979" i="12"/>
  <c r="AK979" i="12"/>
  <c r="V979" i="12"/>
  <c r="R979" i="12"/>
  <c r="W979" i="12"/>
  <c r="S979" i="12"/>
  <c r="O980" i="12"/>
  <c r="N980" i="12"/>
  <c r="P980" i="12"/>
  <c r="W953" i="12"/>
  <c r="Y953" i="12"/>
  <c r="Z953" i="12"/>
  <c r="X953" i="12"/>
  <c r="DH955" i="12" a="1"/>
  <c r="E955" i="12"/>
  <c r="DH959" i="12" a="1"/>
  <c r="E959" i="12"/>
  <c r="DH960" i="12" a="1"/>
  <c r="E960" i="12"/>
  <c r="S961" i="12"/>
  <c r="W961" i="12"/>
  <c r="U961" i="12"/>
  <c r="T961" i="12"/>
  <c r="Y962" i="12"/>
  <c r="AL962" i="12"/>
  <c r="AM962" i="12"/>
  <c r="AK962" i="12"/>
  <c r="AA962" i="12"/>
  <c r="AI962" i="12"/>
  <c r="X962" i="12"/>
  <c r="AJ962" i="12"/>
  <c r="Z962" i="12"/>
  <c r="V963" i="12"/>
  <c r="X963" i="12"/>
  <c r="W963" i="12"/>
  <c r="AM939" i="12"/>
  <c r="AL939" i="12"/>
  <c r="DH807" i="12" a="1"/>
  <c r="E807" i="12"/>
  <c r="E173" i="12"/>
  <c r="E728" i="12"/>
  <c r="E1192" i="12"/>
  <c r="E837" i="12"/>
  <c r="E726" i="12"/>
  <c r="E334" i="12"/>
  <c r="F1499" i="12"/>
  <c r="G1499" i="12"/>
  <c r="AC1499" i="12" s="1"/>
  <c r="I1488" i="12"/>
  <c r="H1488" i="12"/>
  <c r="F1489" i="12"/>
  <c r="H1489" i="12"/>
  <c r="G1489" i="12"/>
  <c r="F1496" i="12"/>
  <c r="G1496" i="12"/>
  <c r="H1496" i="12"/>
  <c r="I1496" i="12"/>
  <c r="J1496" i="12"/>
  <c r="DH1460" i="12" a="1"/>
  <c r="E1460" i="12"/>
  <c r="I1461" i="12"/>
  <c r="H1461" i="12"/>
  <c r="J1462" i="12"/>
  <c r="I1462" i="12"/>
  <c r="J1463" i="12"/>
  <c r="K1463" i="12"/>
  <c r="I1464" i="12"/>
  <c r="H1464" i="12"/>
  <c r="J1464" i="12"/>
  <c r="G1465" i="12"/>
  <c r="F1465" i="12"/>
  <c r="AI1444" i="12"/>
  <c r="AA1444" i="12"/>
  <c r="Y1444" i="12"/>
  <c r="W1444" i="12"/>
  <c r="V1444" i="12"/>
  <c r="T1444" i="12"/>
  <c r="S1444" i="12"/>
  <c r="R1444" i="12"/>
  <c r="Q1444" i="12"/>
  <c r="P1444" i="12"/>
  <c r="X1444" i="12"/>
  <c r="U1444" i="12"/>
  <c r="Z1444" i="12"/>
  <c r="AM1444" i="12"/>
  <c r="AL1444" i="12"/>
  <c r="AK1444" i="12"/>
  <c r="AJ1444" i="12"/>
  <c r="AC1373" i="12"/>
  <c r="AI1373" i="12"/>
  <c r="AJ1373" i="12"/>
  <c r="AK1373" i="12"/>
  <c r="AL1373" i="12"/>
  <c r="AM1373" i="12"/>
  <c r="AK1327" i="12"/>
  <c r="AJ1327" i="12"/>
  <c r="AI1327" i="12"/>
  <c r="AC1327" i="12"/>
  <c r="AA1327" i="12"/>
  <c r="V1327" i="12"/>
  <c r="W1327" i="12"/>
  <c r="AL1327" i="12"/>
  <c r="Y1327" i="12"/>
  <c r="Z1327" i="12"/>
  <c r="AM1327" i="12"/>
  <c r="X1327" i="12"/>
  <c r="AJ1253" i="12"/>
  <c r="AK1253" i="12"/>
  <c r="AL1253" i="12"/>
  <c r="AM1253" i="12"/>
  <c r="Z1253" i="12"/>
  <c r="AI1253" i="12"/>
  <c r="AA1253" i="12"/>
  <c r="F1209" i="12"/>
  <c r="G1209" i="12"/>
  <c r="AC1209" i="12" s="1"/>
  <c r="J1211" i="12"/>
  <c r="K1211" i="12"/>
  <c r="F1212" i="12"/>
  <c r="G1212" i="12"/>
  <c r="F1202" i="12"/>
  <c r="G1202" i="12"/>
  <c r="F1180" i="12"/>
  <c r="G1180" i="12"/>
  <c r="AM1184" i="12"/>
  <c r="F1184" i="12"/>
  <c r="G1185" i="12"/>
  <c r="F1185" i="12"/>
  <c r="AK1186" i="12"/>
  <c r="AL1186" i="12"/>
  <c r="F1186" i="12"/>
  <c r="AM1186" i="12"/>
  <c r="AJ1186" i="12"/>
  <c r="AK1115" i="12"/>
  <c r="T1115" i="12"/>
  <c r="P1115" i="12"/>
  <c r="I1115" i="12"/>
  <c r="AI1115" i="12"/>
  <c r="Z1115" i="12"/>
  <c r="V1115" i="12"/>
  <c r="R1115" i="12"/>
  <c r="K1115" i="12"/>
  <c r="AL1115" i="12"/>
  <c r="AJ1115" i="12"/>
  <c r="U1115" i="12"/>
  <c r="Q1115" i="12"/>
  <c r="AM1115" i="12"/>
  <c r="X1115" i="12"/>
  <c r="O1115" i="12"/>
  <c r="M1115" i="12"/>
  <c r="J1115" i="12"/>
  <c r="AA1115" i="12"/>
  <c r="Y1115" i="12"/>
  <c r="W1115" i="12"/>
  <c r="S1115" i="12"/>
  <c r="N1115" i="12"/>
  <c r="H1115" i="12"/>
  <c r="G1115" i="12"/>
  <c r="F1115" i="12"/>
  <c r="DH1116" i="12" a="1"/>
  <c r="E1116" i="12"/>
  <c r="H1117" i="12"/>
  <c r="G1117" i="12"/>
  <c r="F1117" i="12"/>
  <c r="AC1117" i="12" s="1"/>
  <c r="I1117" i="12"/>
  <c r="K1118" i="12"/>
  <c r="J1118" i="12"/>
  <c r="DH1119" i="12" a="1"/>
  <c r="E1119" i="12"/>
  <c r="F1120" i="12"/>
  <c r="G1120" i="12"/>
  <c r="I1120" i="12"/>
  <c r="H1120" i="12"/>
  <c r="F1093" i="12"/>
  <c r="I1093" i="12"/>
  <c r="G1093" i="12"/>
  <c r="AC1093" i="12" s="1"/>
  <c r="J1093" i="12"/>
  <c r="H1093" i="12"/>
  <c r="N1093" i="12"/>
  <c r="K1093" i="12"/>
  <c r="DH1094" i="12" a="1"/>
  <c r="E1094" i="12"/>
  <c r="DH1095" i="12" a="1"/>
  <c r="E1095" i="12"/>
  <c r="R1096" i="12"/>
  <c r="M1096" i="12"/>
  <c r="O1096" i="12"/>
  <c r="Q1096" i="12"/>
  <c r="T1096" i="12"/>
  <c r="S1096" i="12"/>
  <c r="P1096" i="12"/>
  <c r="N1096" i="12"/>
  <c r="I1097" i="12"/>
  <c r="J1097" i="12"/>
  <c r="H1097" i="12"/>
  <c r="AA1099" i="12"/>
  <c r="W1099" i="12"/>
  <c r="T1099" i="12"/>
  <c r="R1099" i="12"/>
  <c r="P1099" i="12"/>
  <c r="K1099" i="12"/>
  <c r="AJ1099" i="12"/>
  <c r="X1099" i="12"/>
  <c r="S1099" i="12"/>
  <c r="O1099" i="12"/>
  <c r="H1099" i="12"/>
  <c r="AM1099" i="12"/>
  <c r="AI1099" i="12"/>
  <c r="Z1099" i="12"/>
  <c r="N1099" i="12"/>
  <c r="J1099" i="12"/>
  <c r="F1099" i="12"/>
  <c r="AK1099" i="12"/>
  <c r="V1099" i="12"/>
  <c r="AL1099" i="12"/>
  <c r="Y1099" i="12"/>
  <c r="U1099" i="12"/>
  <c r="Q1099" i="12"/>
  <c r="M1099" i="12"/>
  <c r="I1099" i="12"/>
  <c r="G1099" i="12"/>
  <c r="DH1100" i="12" a="1"/>
  <c r="E1100" i="12"/>
  <c r="J1101" i="12"/>
  <c r="H1101" i="12"/>
  <c r="K1101" i="12"/>
  <c r="G1101" i="12"/>
  <c r="F1101" i="12"/>
  <c r="AC1101" i="12" s="1"/>
  <c r="I1101" i="12"/>
  <c r="DH1102" i="12" a="1"/>
  <c r="E1102" i="12"/>
  <c r="F1104" i="12"/>
  <c r="G1104" i="12"/>
  <c r="F1106" i="12"/>
  <c r="G1106" i="12"/>
  <c r="H1106" i="12"/>
  <c r="DH1084" i="12" a="1"/>
  <c r="E1084" i="12"/>
  <c r="AI1085" i="12"/>
  <c r="X1085" i="12"/>
  <c r="T1085" i="12"/>
  <c r="O1085" i="12"/>
  <c r="K1085" i="12"/>
  <c r="I1085" i="12"/>
  <c r="G1085" i="12"/>
  <c r="F1085" i="12"/>
  <c r="AM1085" i="12"/>
  <c r="AK1085" i="12"/>
  <c r="AA1085" i="12"/>
  <c r="Z1085" i="12"/>
  <c r="V1085" i="12"/>
  <c r="R1085" i="12"/>
  <c r="AJ1085" i="12"/>
  <c r="AC1085" i="12"/>
  <c r="Y1085" i="12"/>
  <c r="S1085" i="12"/>
  <c r="Q1085" i="12"/>
  <c r="P1085" i="12"/>
  <c r="M1085" i="12"/>
  <c r="AL1085" i="12"/>
  <c r="W1085" i="12"/>
  <c r="N1085" i="12"/>
  <c r="U1085" i="12"/>
  <c r="J1085" i="12"/>
  <c r="H1085" i="12"/>
  <c r="DH1086" i="12" a="1"/>
  <c r="E1086" i="12"/>
  <c r="DH1087" i="12" a="1"/>
  <c r="E1087" i="12"/>
  <c r="DH1088" i="12" a="1"/>
  <c r="E1088" i="12"/>
  <c r="G1089" i="12"/>
  <c r="F1089" i="12"/>
  <c r="AC1089" i="12" s="1"/>
  <c r="H1089" i="12"/>
  <c r="I1089" i="12"/>
  <c r="F1090" i="12"/>
  <c r="G1090" i="12"/>
  <c r="DH1091" i="12" a="1"/>
  <c r="E1091" i="12"/>
  <c r="G1065" i="12"/>
  <c r="F1065" i="12"/>
  <c r="AC1065" i="12" s="1"/>
  <c r="I1065" i="12"/>
  <c r="H1065" i="12"/>
  <c r="DH1066" i="12" a="1"/>
  <c r="E1066" i="12"/>
  <c r="G1067" i="12"/>
  <c r="I1067" i="12"/>
  <c r="M1067" i="12"/>
  <c r="J1067" i="12"/>
  <c r="H1067" i="12"/>
  <c r="F1067" i="12"/>
  <c r="AC1067" i="12" s="1"/>
  <c r="K1067" i="12"/>
  <c r="DH1068" i="12" a="1"/>
  <c r="E1068" i="12"/>
  <c r="M1069" i="12"/>
  <c r="H1069" i="12"/>
  <c r="F1069" i="12"/>
  <c r="G1069" i="12"/>
  <c r="I1069" i="12"/>
  <c r="K1069" i="12"/>
  <c r="J1069" i="12"/>
  <c r="DH1070" i="12" a="1"/>
  <c r="E1070" i="12"/>
  <c r="I1071" i="12"/>
  <c r="F1071" i="12"/>
  <c r="G1071" i="12"/>
  <c r="H1071" i="12"/>
  <c r="DH1073" i="12" a="1"/>
  <c r="E1073" i="12"/>
  <c r="DH1074" i="12" a="1"/>
  <c r="E1074" i="12"/>
  <c r="DH1075" i="12" a="1"/>
  <c r="E1075" i="12"/>
  <c r="I1077" i="12"/>
  <c r="K1077" i="12"/>
  <c r="M1077" i="12"/>
  <c r="J1077" i="12"/>
  <c r="N1077" i="12"/>
  <c r="N1078" i="12"/>
  <c r="O1078" i="12"/>
  <c r="F1051" i="12"/>
  <c r="G1051" i="12"/>
  <c r="I1051" i="12"/>
  <c r="H1051" i="12"/>
  <c r="F1052" i="12"/>
  <c r="G1052" i="12"/>
  <c r="H1052" i="12"/>
  <c r="J1056" i="12"/>
  <c r="K1056" i="12"/>
  <c r="H1056" i="12"/>
  <c r="I1056" i="12"/>
  <c r="DH1057" i="12" a="1"/>
  <c r="E1057" i="12"/>
  <c r="F1058" i="12"/>
  <c r="G1058" i="12"/>
  <c r="I1058" i="12"/>
  <c r="H1058" i="12"/>
  <c r="J1058" i="12"/>
  <c r="M1059" i="12"/>
  <c r="V1059" i="12"/>
  <c r="G1059" i="12"/>
  <c r="R1059" i="12"/>
  <c r="P1059" i="12"/>
  <c r="K1059" i="12"/>
  <c r="O1059" i="12"/>
  <c r="I1059" i="12"/>
  <c r="T1059" i="12"/>
  <c r="S1059" i="12"/>
  <c r="U1059" i="12"/>
  <c r="H1059" i="12"/>
  <c r="J1059" i="12"/>
  <c r="N1059" i="12"/>
  <c r="Q1059" i="12"/>
  <c r="DH1060" i="12" a="1"/>
  <c r="E1060" i="12"/>
  <c r="F1062" i="12"/>
  <c r="J1062" i="12"/>
  <c r="I1062" i="12"/>
  <c r="K1062" i="12"/>
  <c r="M1062" i="12"/>
  <c r="G1062" i="12"/>
  <c r="AC1062" i="12" s="1"/>
  <c r="H1062" i="12"/>
  <c r="H1063" i="12"/>
  <c r="I1063" i="12"/>
  <c r="F1064" i="12"/>
  <c r="K1064" i="12"/>
  <c r="I1064" i="12"/>
  <c r="G1064" i="12"/>
  <c r="AC1064" i="12" s="1"/>
  <c r="H1064" i="12"/>
  <c r="J1064" i="12"/>
  <c r="F1037" i="12"/>
  <c r="G1037" i="12"/>
  <c r="AC1037" i="12" s="1"/>
  <c r="F1038" i="12"/>
  <c r="K1038" i="12"/>
  <c r="H1038" i="12"/>
  <c r="G1038" i="12"/>
  <c r="I1038" i="12"/>
  <c r="I1039" i="12"/>
  <c r="K1039" i="12"/>
  <c r="O1039" i="12"/>
  <c r="J1039" i="12"/>
  <c r="F1040" i="12"/>
  <c r="G1040" i="12"/>
  <c r="E1041" i="12"/>
  <c r="DH1041" i="12" a="1"/>
  <c r="H1042" i="12"/>
  <c r="G1042" i="12"/>
  <c r="F1042" i="12"/>
  <c r="AC1042" i="12" s="1"/>
  <c r="X1042" i="12"/>
  <c r="W1042" i="12"/>
  <c r="AA1042" i="12"/>
  <c r="Z1042" i="12"/>
  <c r="Y1042" i="12"/>
  <c r="M1042" i="12"/>
  <c r="J1042" i="12"/>
  <c r="AI1042" i="12"/>
  <c r="AJ1042" i="12"/>
  <c r="AK1042" i="12"/>
  <c r="AL1042" i="12"/>
  <c r="AM1042" i="12"/>
  <c r="K1042" i="12"/>
  <c r="I1042" i="12"/>
  <c r="O883" i="12"/>
  <c r="K883" i="12"/>
  <c r="N883" i="12"/>
  <c r="M883" i="12"/>
  <c r="J883" i="12"/>
  <c r="DH890" i="12" a="1"/>
  <c r="E890" i="12"/>
  <c r="K892" i="12"/>
  <c r="H892" i="12"/>
  <c r="F892" i="12"/>
  <c r="J892" i="12"/>
  <c r="G892" i="12"/>
  <c r="I892" i="12"/>
  <c r="F893" i="12"/>
  <c r="H893" i="12"/>
  <c r="G893" i="12"/>
  <c r="S895" i="12"/>
  <c r="Q895" i="12"/>
  <c r="M895" i="12"/>
  <c r="K895" i="12"/>
  <c r="I895" i="12"/>
  <c r="G895" i="12"/>
  <c r="AM895" i="12"/>
  <c r="AK895" i="12"/>
  <c r="AI895" i="12"/>
  <c r="X895" i="12"/>
  <c r="U895" i="12"/>
  <c r="AJ895" i="12"/>
  <c r="J895" i="12"/>
  <c r="H895" i="12"/>
  <c r="F895" i="12"/>
  <c r="AA895" i="12"/>
  <c r="W895" i="12"/>
  <c r="P895" i="12"/>
  <c r="Z895" i="12"/>
  <c r="V895" i="12"/>
  <c r="R895" i="12"/>
  <c r="O895" i="12"/>
  <c r="AL895" i="12"/>
  <c r="AC895" i="12"/>
  <c r="Y895" i="12"/>
  <c r="T895" i="12"/>
  <c r="N895" i="12"/>
  <c r="F896" i="12"/>
  <c r="G896" i="12"/>
  <c r="F869" i="12"/>
  <c r="J869" i="12"/>
  <c r="I869" i="12"/>
  <c r="G869" i="12"/>
  <c r="H869" i="12"/>
  <c r="DH870" i="12" a="1"/>
  <c r="E870" i="12"/>
  <c r="AL871" i="12"/>
  <c r="AA871" i="12"/>
  <c r="U871" i="12"/>
  <c r="Q871" i="12"/>
  <c r="K871" i="12"/>
  <c r="G871" i="12"/>
  <c r="O871" i="12"/>
  <c r="I871" i="12"/>
  <c r="F871" i="12"/>
  <c r="AJ871" i="12"/>
  <c r="Y871" i="12"/>
  <c r="W871" i="12"/>
  <c r="P871" i="12"/>
  <c r="J871" i="12"/>
  <c r="AM871" i="12"/>
  <c r="AI871" i="12"/>
  <c r="Z871" i="12"/>
  <c r="X871" i="12"/>
  <c r="V871" i="12"/>
  <c r="H871" i="12"/>
  <c r="S871" i="12"/>
  <c r="M871" i="12"/>
  <c r="AK871" i="12"/>
  <c r="AC871" i="12"/>
  <c r="T871" i="12"/>
  <c r="R871" i="12"/>
  <c r="N871" i="12"/>
  <c r="F872" i="12"/>
  <c r="G872" i="12"/>
  <c r="DH873" i="12" a="1"/>
  <c r="E873" i="12"/>
  <c r="DH874" i="12" a="1"/>
  <c r="E874" i="12"/>
  <c r="AI875" i="12"/>
  <c r="U875" i="12"/>
  <c r="R875" i="12"/>
  <c r="P875" i="12"/>
  <c r="AA875" i="12"/>
  <c r="S875" i="12"/>
  <c r="Q875" i="12"/>
  <c r="K875" i="12"/>
  <c r="I875" i="12"/>
  <c r="AJ875" i="12"/>
  <c r="Z875" i="12"/>
  <c r="V875" i="12"/>
  <c r="T875" i="12"/>
  <c r="Y875" i="12"/>
  <c r="AK875" i="12"/>
  <c r="J875" i="12"/>
  <c r="H875" i="12"/>
  <c r="F875" i="12"/>
  <c r="AL875" i="12"/>
  <c r="X875" i="12"/>
  <c r="N875" i="12"/>
  <c r="M875" i="12"/>
  <c r="G875" i="12"/>
  <c r="AC875" i="12" s="1"/>
  <c r="AM875" i="12"/>
  <c r="W875" i="12"/>
  <c r="O875" i="12"/>
  <c r="I876" i="12"/>
  <c r="F876" i="12"/>
  <c r="H876" i="12"/>
  <c r="J876" i="12"/>
  <c r="G876" i="12"/>
  <c r="H878" i="12"/>
  <c r="F878" i="12"/>
  <c r="G878" i="12"/>
  <c r="G879" i="12"/>
  <c r="F879" i="12"/>
  <c r="AC879" i="12" s="1"/>
  <c r="I879" i="12"/>
  <c r="H879" i="12"/>
  <c r="DH880" i="12" a="1"/>
  <c r="E880" i="12"/>
  <c r="DH881" i="12" a="1"/>
  <c r="E881" i="12"/>
  <c r="P882" i="12"/>
  <c r="M882" i="12"/>
  <c r="O882" i="12"/>
  <c r="N882" i="12"/>
  <c r="N855" i="12"/>
  <c r="K855" i="12"/>
  <c r="O855" i="12"/>
  <c r="M855" i="12"/>
  <c r="R855" i="12"/>
  <c r="P855" i="12"/>
  <c r="Q855" i="12"/>
  <c r="DH856" i="12" a="1"/>
  <c r="E856" i="12"/>
  <c r="DH857" i="12" a="1"/>
  <c r="E857" i="12"/>
  <c r="DH858" i="12" a="1"/>
  <c r="E858" i="12"/>
  <c r="O859" i="12"/>
  <c r="N859" i="12"/>
  <c r="P859" i="12"/>
  <c r="J860" i="12"/>
  <c r="N860" i="12"/>
  <c r="O860" i="12"/>
  <c r="M860" i="12"/>
  <c r="I860" i="12"/>
  <c r="K860" i="12"/>
  <c r="DH861" i="12" a="1"/>
  <c r="E861" i="12"/>
  <c r="DH862" i="12" a="1"/>
  <c r="E862" i="12"/>
  <c r="DH863" i="12" a="1"/>
  <c r="E863" i="12"/>
  <c r="DH864" i="12" a="1"/>
  <c r="E864" i="12"/>
  <c r="F865" i="12"/>
  <c r="I865" i="12"/>
  <c r="G865" i="12"/>
  <c r="AC865" i="12" s="1"/>
  <c r="H865" i="12"/>
  <c r="G866" i="12"/>
  <c r="F866" i="12"/>
  <c r="AC866" i="12" s="1"/>
  <c r="N867" i="12"/>
  <c r="P867" i="12"/>
  <c r="I841" i="12"/>
  <c r="H841" i="12"/>
  <c r="F841" i="12"/>
  <c r="G841" i="12"/>
  <c r="DH844" i="12" a="1"/>
  <c r="E844" i="12"/>
  <c r="DH845" i="12" a="1"/>
  <c r="E845" i="12"/>
  <c r="G846" i="12"/>
  <c r="H846" i="12"/>
  <c r="F846" i="12"/>
  <c r="AI847" i="12"/>
  <c r="W847" i="12"/>
  <c r="AA847" i="12"/>
  <c r="R847" i="12"/>
  <c r="K847" i="12"/>
  <c r="X847" i="12"/>
  <c r="U847" i="12"/>
  <c r="I847" i="12"/>
  <c r="G847" i="12"/>
  <c r="AM847" i="12"/>
  <c r="P847" i="12"/>
  <c r="N847" i="12"/>
  <c r="H847" i="12"/>
  <c r="F847" i="12"/>
  <c r="AC847" i="12" s="1"/>
  <c r="AL847" i="12"/>
  <c r="S847" i="12"/>
  <c r="O847" i="12"/>
  <c r="AJ847" i="12"/>
  <c r="Y847" i="12"/>
  <c r="V847" i="12"/>
  <c r="Q847" i="12"/>
  <c r="J847" i="12"/>
  <c r="AK847" i="12"/>
  <c r="Z847" i="12"/>
  <c r="T847" i="12"/>
  <c r="M847" i="12"/>
  <c r="DH850" i="12" a="1"/>
  <c r="E850" i="12"/>
  <c r="J850" i="12" s="1"/>
  <c r="DH851" i="12" a="1"/>
  <c r="E851" i="12"/>
  <c r="M852" i="12"/>
  <c r="AA852" i="12"/>
  <c r="T852" i="12"/>
  <c r="Q852" i="12"/>
  <c r="AL852" i="12"/>
  <c r="AJ852" i="12"/>
  <c r="W852" i="12"/>
  <c r="V852" i="12"/>
  <c r="J852" i="12"/>
  <c r="H852" i="12"/>
  <c r="Y852" i="12"/>
  <c r="S852" i="12"/>
  <c r="P852" i="12"/>
  <c r="X852" i="12"/>
  <c r="O852" i="12"/>
  <c r="AM852" i="12"/>
  <c r="AK852" i="12"/>
  <c r="AI852" i="12"/>
  <c r="Z852" i="12"/>
  <c r="U852" i="12"/>
  <c r="R852" i="12"/>
  <c r="K852" i="12"/>
  <c r="I852" i="12"/>
  <c r="N852" i="12"/>
  <c r="AI853" i="12"/>
  <c r="X853" i="12"/>
  <c r="S853" i="12"/>
  <c r="P853" i="12"/>
  <c r="K853" i="12"/>
  <c r="U853" i="12"/>
  <c r="Y853" i="12"/>
  <c r="R853" i="12"/>
  <c r="O853" i="12"/>
  <c r="M853" i="12"/>
  <c r="J853" i="12"/>
  <c r="I853" i="12"/>
  <c r="AM853" i="12"/>
  <c r="AK853" i="12"/>
  <c r="Z853" i="12"/>
  <c r="Q853" i="12"/>
  <c r="AJ853" i="12"/>
  <c r="AA853" i="12"/>
  <c r="W853" i="12"/>
  <c r="T853" i="12"/>
  <c r="AL853" i="12"/>
  <c r="V853" i="12"/>
  <c r="N853" i="12"/>
  <c r="M830" i="12"/>
  <c r="P830" i="12"/>
  <c r="Q830" i="12"/>
  <c r="O830" i="12"/>
  <c r="N830" i="12"/>
  <c r="I831" i="12"/>
  <c r="J831" i="12"/>
  <c r="H831" i="12"/>
  <c r="F831" i="12"/>
  <c r="G831" i="12"/>
  <c r="DH832" i="12" a="1"/>
  <c r="E832" i="12"/>
  <c r="DH833" i="12" a="1"/>
  <c r="E833" i="12"/>
  <c r="DH835" i="12" a="1"/>
  <c r="E835" i="12"/>
  <c r="DH836" i="12" a="1"/>
  <c r="E836" i="12"/>
  <c r="H839" i="12"/>
  <c r="M839" i="12"/>
  <c r="I839" i="12"/>
  <c r="K839" i="12"/>
  <c r="J839" i="12"/>
  <c r="I840" i="12"/>
  <c r="G840" i="12"/>
  <c r="J840" i="12"/>
  <c r="DH814" i="12" a="1"/>
  <c r="E814" i="12"/>
  <c r="I819" i="12"/>
  <c r="F819" i="12"/>
  <c r="H819" i="12"/>
  <c r="G819" i="12"/>
  <c r="DH820" i="12" a="1"/>
  <c r="E820" i="12"/>
  <c r="H821" i="12"/>
  <c r="F821" i="12"/>
  <c r="G821" i="12"/>
  <c r="DH823" i="12" a="1"/>
  <c r="E823" i="12"/>
  <c r="J824" i="12"/>
  <c r="G824" i="12"/>
  <c r="I824" i="12"/>
  <c r="F824" i="12"/>
  <c r="AC824" i="12" s="1"/>
  <c r="H824" i="12"/>
  <c r="H825" i="12"/>
  <c r="I825" i="12"/>
  <c r="G825" i="12"/>
  <c r="J825" i="12"/>
  <c r="F825" i="12"/>
  <c r="AC825" i="12" s="1"/>
  <c r="DH826" i="12" a="1"/>
  <c r="E826" i="12"/>
  <c r="H799" i="12"/>
  <c r="G799" i="12"/>
  <c r="J799" i="12"/>
  <c r="I799" i="12"/>
  <c r="F799" i="12"/>
  <c r="AC799" i="12" s="1"/>
  <c r="H800" i="12"/>
  <c r="G800" i="12"/>
  <c r="F800" i="12"/>
  <c r="F801" i="12"/>
  <c r="H801" i="12"/>
  <c r="G801" i="12"/>
  <c r="M802" i="12"/>
  <c r="G802" i="12"/>
  <c r="H802" i="12"/>
  <c r="J802" i="12"/>
  <c r="I802" i="12"/>
  <c r="F802" i="12"/>
  <c r="K802" i="12"/>
  <c r="DH803" i="12" a="1"/>
  <c r="E803" i="12"/>
  <c r="DH805" i="12" a="1"/>
  <c r="E805" i="12"/>
  <c r="G806" i="12"/>
  <c r="F806" i="12"/>
  <c r="AC806" i="12" s="1"/>
  <c r="H806" i="12"/>
  <c r="DH809" i="12" a="1"/>
  <c r="E809" i="12"/>
  <c r="DH811" i="12" a="1"/>
  <c r="E811" i="12"/>
  <c r="DH786" i="12" a="1"/>
  <c r="E786" i="12"/>
  <c r="J788" i="12"/>
  <c r="K788" i="12"/>
  <c r="I788" i="12"/>
  <c r="AA792" i="12"/>
  <c r="W792" i="12"/>
  <c r="K792" i="12"/>
  <c r="Z792" i="12"/>
  <c r="V792" i="12"/>
  <c r="S792" i="12"/>
  <c r="AL792" i="12"/>
  <c r="AI792" i="12"/>
  <c r="T792" i="12"/>
  <c r="Q792" i="12"/>
  <c r="N792" i="12"/>
  <c r="J792" i="12"/>
  <c r="AM792" i="12"/>
  <c r="AJ792" i="12"/>
  <c r="Y792" i="12"/>
  <c r="U792" i="12"/>
  <c r="R792" i="12"/>
  <c r="AK792" i="12"/>
  <c r="X792" i="12"/>
  <c r="P792" i="12"/>
  <c r="O792" i="12"/>
  <c r="M792" i="12"/>
  <c r="DH793" i="12" a="1"/>
  <c r="E793" i="12"/>
  <c r="K794" i="12"/>
  <c r="J794" i="12"/>
  <c r="M794" i="12"/>
  <c r="J795" i="12"/>
  <c r="P795" i="12"/>
  <c r="O795" i="12"/>
  <c r="N795" i="12"/>
  <c r="K795" i="12"/>
  <c r="M795" i="12"/>
  <c r="N782" i="12"/>
  <c r="M782" i="12"/>
  <c r="M764" i="12"/>
  <c r="K764" i="12"/>
  <c r="K770" i="12"/>
  <c r="M770" i="12"/>
  <c r="N770" i="12"/>
  <c r="M752" i="12"/>
  <c r="O752" i="12"/>
  <c r="N752" i="12"/>
  <c r="P752" i="12"/>
  <c r="Q752" i="12"/>
  <c r="R752" i="12"/>
  <c r="Q729" i="12"/>
  <c r="N729" i="12"/>
  <c r="R729" i="12"/>
  <c r="M729" i="12"/>
  <c r="P729" i="12"/>
  <c r="DH739" i="12" a="1"/>
  <c r="E739" i="12"/>
  <c r="Q715" i="12"/>
  <c r="P715" i="12"/>
  <c r="O715" i="12"/>
  <c r="Q722" i="12"/>
  <c r="P722" i="12"/>
  <c r="N722" i="12"/>
  <c r="R722" i="12"/>
  <c r="S722" i="12"/>
  <c r="Q701" i="12"/>
  <c r="V701" i="12"/>
  <c r="R701" i="12"/>
  <c r="W701" i="12"/>
  <c r="S701" i="12"/>
  <c r="U701" i="12"/>
  <c r="X701" i="12"/>
  <c r="T701" i="12"/>
  <c r="O709" i="12"/>
  <c r="Q709" i="12"/>
  <c r="T700" i="12"/>
  <c r="P700" i="12"/>
  <c r="R700" i="12"/>
  <c r="S700" i="12"/>
  <c r="Q680" i="12"/>
  <c r="P680" i="12"/>
  <c r="DH685" i="12" a="1"/>
  <c r="E685" i="12"/>
  <c r="R645" i="12"/>
  <c r="Q645" i="12"/>
  <c r="S631" i="12"/>
  <c r="X631" i="12"/>
  <c r="V631" i="12"/>
  <c r="U631" i="12"/>
  <c r="Z631" i="12"/>
  <c r="T631" i="12"/>
  <c r="Y631" i="12"/>
  <c r="W631" i="12"/>
  <c r="DH638" i="12" a="1"/>
  <c r="E638" i="12"/>
  <c r="AI626" i="12"/>
  <c r="Z626" i="12"/>
  <c r="U626" i="12"/>
  <c r="P626" i="12"/>
  <c r="AL626" i="12"/>
  <c r="W626" i="12"/>
  <c r="S626" i="12"/>
  <c r="O626" i="12"/>
  <c r="AA626" i="12"/>
  <c r="X626" i="12"/>
  <c r="R626" i="12"/>
  <c r="Y626" i="12"/>
  <c r="T626" i="12"/>
  <c r="Q626" i="12"/>
  <c r="AM626" i="12"/>
  <c r="AJ626" i="12"/>
  <c r="AK626" i="12"/>
  <c r="V626" i="12"/>
  <c r="M630" i="12"/>
  <c r="P630" i="12"/>
  <c r="N630" i="12"/>
  <c r="Q630" i="12"/>
  <c r="O630" i="12"/>
  <c r="DH606" i="12" a="1"/>
  <c r="E606" i="12"/>
  <c r="DH616" i="12" a="1"/>
  <c r="E616" i="12"/>
  <c r="E1402" i="12"/>
  <c r="AC1347" i="12"/>
  <c r="AC1349" i="12"/>
  <c r="AC1351" i="12"/>
  <c r="AC1331" i="12"/>
  <c r="E677" i="12"/>
  <c r="E918" i="12"/>
  <c r="E935" i="12"/>
  <c r="E936" i="12"/>
  <c r="E916" i="12"/>
  <c r="E1061" i="12"/>
  <c r="E956" i="12"/>
  <c r="E930" i="12"/>
  <c r="E738" i="12"/>
  <c r="AK1458" i="12"/>
  <c r="M1458" i="12"/>
  <c r="N1458" i="12"/>
  <c r="AA1458" i="12"/>
  <c r="Z1458" i="12"/>
  <c r="Y1458" i="12"/>
  <c r="X1458" i="12"/>
  <c r="W1458" i="12"/>
  <c r="AI1458" i="12"/>
  <c r="AJ1458" i="12"/>
  <c r="AL1458" i="12"/>
  <c r="V1458" i="12"/>
  <c r="AM1458" i="12"/>
  <c r="T1458" i="12"/>
  <c r="S1458" i="12"/>
  <c r="AC1458" i="12"/>
  <c r="R1458" i="12"/>
  <c r="Q1458" i="12"/>
  <c r="U1458" i="12"/>
  <c r="P1458" i="12"/>
  <c r="O1458" i="12"/>
  <c r="AJ1389" i="12"/>
  <c r="W1389" i="12"/>
  <c r="V1389" i="12"/>
  <c r="M1389" i="12"/>
  <c r="N1389" i="12"/>
  <c r="AI1389" i="12"/>
  <c r="O1389" i="12"/>
  <c r="P1389" i="12"/>
  <c r="Q1389" i="12"/>
  <c r="R1389" i="12"/>
  <c r="S1389" i="12"/>
  <c r="T1389" i="12"/>
  <c r="U1389" i="12"/>
  <c r="H1389" i="12"/>
  <c r="I1389" i="12"/>
  <c r="J1389" i="12"/>
  <c r="X1389" i="12"/>
  <c r="AA1389" i="12"/>
  <c r="Z1389" i="12"/>
  <c r="Y1389" i="12"/>
  <c r="AM1389" i="12"/>
  <c r="AL1389" i="12"/>
  <c r="K1389" i="12"/>
  <c r="AK1389" i="12"/>
  <c r="G1272" i="12"/>
  <c r="F1272" i="12"/>
  <c r="AC1272" i="12" s="1"/>
  <c r="Z1272" i="12"/>
  <c r="AM1272" i="12"/>
  <c r="AL1272" i="12"/>
  <c r="AK1272" i="12"/>
  <c r="AJ1272" i="12"/>
  <c r="AI1272" i="12"/>
  <c r="AA1272" i="12"/>
  <c r="Y1272" i="12"/>
  <c r="X1272" i="12"/>
  <c r="W1272" i="12"/>
  <c r="V1272" i="12"/>
  <c r="U1272" i="12"/>
  <c r="T1272" i="12"/>
  <c r="S1272" i="12"/>
  <c r="R1272" i="12"/>
  <c r="Q1272" i="12"/>
  <c r="P1272" i="12"/>
  <c r="O1272" i="12"/>
  <c r="N1272" i="12"/>
  <c r="M1272" i="12"/>
  <c r="K1272" i="12"/>
  <c r="J1272" i="12"/>
  <c r="I1272" i="12"/>
  <c r="H1272" i="12"/>
  <c r="F1210" i="12"/>
  <c r="G1210" i="12"/>
  <c r="I1211" i="12"/>
  <c r="H1211" i="12"/>
  <c r="K1213" i="12"/>
  <c r="J1213" i="12"/>
  <c r="F1216" i="12"/>
  <c r="G1216" i="12"/>
  <c r="G1217" i="12"/>
  <c r="F1217" i="12"/>
  <c r="DH1218" i="12" a="1"/>
  <c r="E1218" i="12"/>
  <c r="E1193" i="12"/>
  <c r="DH1193" i="12" a="1"/>
  <c r="H1194" i="12"/>
  <c r="F1194" i="12"/>
  <c r="G1194" i="12"/>
  <c r="AM1195" i="12"/>
  <c r="Z1195" i="12"/>
  <c r="X1195" i="12"/>
  <c r="T1195" i="12"/>
  <c r="M1195" i="12"/>
  <c r="I1195" i="12"/>
  <c r="G1195" i="12"/>
  <c r="AK1195" i="12"/>
  <c r="AI1195" i="12"/>
  <c r="Y1195" i="12"/>
  <c r="V1195" i="12"/>
  <c r="S1195" i="12"/>
  <c r="Q1195" i="12"/>
  <c r="N1195" i="12"/>
  <c r="K1195" i="12"/>
  <c r="AL1195" i="12"/>
  <c r="O1195" i="12"/>
  <c r="J1195" i="12"/>
  <c r="H1195" i="12"/>
  <c r="AJ1195" i="12"/>
  <c r="AA1195" i="12"/>
  <c r="W1195" i="12"/>
  <c r="U1195" i="12"/>
  <c r="R1195" i="12"/>
  <c r="P1195" i="12"/>
  <c r="F1195" i="12"/>
  <c r="AC1195" i="12" s="1"/>
  <c r="E1196" i="12"/>
  <c r="DH1196" i="12" a="1"/>
  <c r="E1197" i="12"/>
  <c r="DH1197" i="12" a="1"/>
  <c r="G1198" i="12"/>
  <c r="F1198" i="12"/>
  <c r="AC1198" i="12" s="1"/>
  <c r="AM1199" i="12"/>
  <c r="AK1199" i="12"/>
  <c r="AA1199" i="12"/>
  <c r="U1199" i="12"/>
  <c r="S1199" i="12"/>
  <c r="Q1199" i="12"/>
  <c r="M1199" i="12"/>
  <c r="I1199" i="12"/>
  <c r="P1199" i="12"/>
  <c r="K1199" i="12"/>
  <c r="AI1199" i="12"/>
  <c r="Z1199" i="12"/>
  <c r="X1199" i="12"/>
  <c r="V1199" i="12"/>
  <c r="T1199" i="12"/>
  <c r="O1199" i="12"/>
  <c r="AL1199" i="12"/>
  <c r="AJ1199" i="12"/>
  <c r="Y1199" i="12"/>
  <c r="W1199" i="12"/>
  <c r="R1199" i="12"/>
  <c r="N1199" i="12"/>
  <c r="J1199" i="12"/>
  <c r="H1199" i="12"/>
  <c r="AJ1200" i="12"/>
  <c r="AK1200" i="12"/>
  <c r="AL1200" i="12"/>
  <c r="AM1200" i="12"/>
  <c r="V1200" i="12"/>
  <c r="W1200" i="12"/>
  <c r="X1200" i="12"/>
  <c r="Y1200" i="12"/>
  <c r="Z1200" i="12"/>
  <c r="AA1200" i="12"/>
  <c r="AC1200" i="12"/>
  <c r="AI1200" i="12"/>
  <c r="S1130" i="12"/>
  <c r="R1130" i="12"/>
  <c r="Q1130" i="12"/>
  <c r="P1130" i="12"/>
  <c r="AM1130" i="12"/>
  <c r="AL1130" i="12"/>
  <c r="AK1130" i="12"/>
  <c r="AJ1130" i="12"/>
  <c r="AI1130" i="12"/>
  <c r="AA1130" i="12"/>
  <c r="Z1130" i="12"/>
  <c r="Y1130" i="12"/>
  <c r="X1130" i="12"/>
  <c r="W1130" i="12"/>
  <c r="V1130" i="12"/>
  <c r="U1130" i="12"/>
  <c r="T1130" i="12"/>
  <c r="M1078" i="12"/>
  <c r="K1078" i="12"/>
  <c r="F1059" i="12"/>
  <c r="AM1059" i="12"/>
  <c r="AL1059" i="12"/>
  <c r="AK1059" i="12"/>
  <c r="AJ1059" i="12"/>
  <c r="AI1059" i="12"/>
  <c r="E942" i="12"/>
  <c r="DH942" i="12" a="1"/>
  <c r="T917" i="12"/>
  <c r="S917" i="12"/>
  <c r="R917" i="12"/>
  <c r="Q917" i="12"/>
  <c r="U917" i="12"/>
  <c r="E920" i="12"/>
  <c r="DH920" i="12" a="1"/>
  <c r="M789" i="12"/>
  <c r="N789" i="12"/>
  <c r="AL698" i="12"/>
  <c r="AI698" i="12"/>
  <c r="Z698" i="12"/>
  <c r="S698" i="12"/>
  <c r="W698" i="12"/>
  <c r="T698" i="12"/>
  <c r="AK698" i="12"/>
  <c r="X698" i="12"/>
  <c r="Q698" i="12"/>
  <c r="U698" i="12"/>
  <c r="P698" i="12"/>
  <c r="AJ698" i="12"/>
  <c r="R698" i="12"/>
  <c r="AM698" i="12"/>
  <c r="AA698" i="12"/>
  <c r="Y698" i="12"/>
  <c r="V698" i="12"/>
  <c r="N700" i="12"/>
  <c r="O700" i="12"/>
  <c r="J680" i="12"/>
  <c r="K680" i="12"/>
  <c r="O680" i="12"/>
  <c r="M680" i="12"/>
  <c r="N680" i="12"/>
  <c r="R661" i="12"/>
  <c r="T661" i="12"/>
  <c r="S661" i="12"/>
  <c r="J665" i="12"/>
  <c r="K665" i="12"/>
  <c r="M665" i="12"/>
  <c r="N665" i="12"/>
  <c r="O665" i="12"/>
  <c r="P665" i="12"/>
  <c r="Q665" i="12"/>
  <c r="R665" i="12"/>
  <c r="S665" i="12"/>
  <c r="T665" i="12"/>
  <c r="U665" i="12"/>
  <c r="V665" i="12"/>
  <c r="W665" i="12"/>
  <c r="X665" i="12"/>
  <c r="Y665" i="12"/>
  <c r="Z665" i="12"/>
  <c r="AA665" i="12"/>
  <c r="AI665" i="12"/>
  <c r="AJ665" i="12"/>
  <c r="AK665" i="12"/>
  <c r="AL665" i="12"/>
  <c r="AM665" i="12"/>
  <c r="E1420" i="12"/>
  <c r="E653" i="12"/>
  <c r="AC1294" i="12"/>
  <c r="E941" i="12"/>
  <c r="E576" i="12"/>
  <c r="E1215" i="12"/>
  <c r="E1145" i="12"/>
  <c r="E663" i="12"/>
  <c r="E590" i="12"/>
  <c r="E1053" i="12"/>
  <c r="E977" i="12"/>
  <c r="E934" i="12"/>
  <c r="E718" i="12"/>
  <c r="K718" i="12" s="1"/>
  <c r="E657" i="12"/>
  <c r="E868" i="12"/>
  <c r="E828" i="12"/>
  <c r="E747" i="12"/>
  <c r="E658" i="12"/>
  <c r="I1505" i="12"/>
  <c r="J1505" i="12"/>
  <c r="J1512" i="12"/>
  <c r="K1512" i="12"/>
  <c r="M1512" i="12"/>
  <c r="G1488" i="12"/>
  <c r="F1488" i="12"/>
  <c r="G1491" i="12"/>
  <c r="F1491" i="12"/>
  <c r="G1492" i="12"/>
  <c r="F1492" i="12"/>
  <c r="G1494" i="12"/>
  <c r="F1494" i="12"/>
  <c r="H1494" i="12"/>
  <c r="F1495" i="12"/>
  <c r="G1495" i="12"/>
  <c r="X1495" i="12"/>
  <c r="V1495" i="12"/>
  <c r="W1495" i="12"/>
  <c r="Y1495" i="12"/>
  <c r="Z1495" i="12"/>
  <c r="AI1495" i="12"/>
  <c r="AJ1495" i="12"/>
  <c r="AK1495" i="12"/>
  <c r="AL1495" i="12"/>
  <c r="AM1495" i="12"/>
  <c r="AA1495" i="12"/>
  <c r="G1348" i="12"/>
  <c r="F1348" i="12"/>
  <c r="F1350" i="12"/>
  <c r="G1350" i="12"/>
  <c r="H1350" i="12"/>
  <c r="G1352" i="12"/>
  <c r="F1352" i="12"/>
  <c r="G1356" i="12"/>
  <c r="F1356" i="12"/>
  <c r="H1356" i="12"/>
  <c r="Y1332" i="12"/>
  <c r="X1332" i="12"/>
  <c r="H1332" i="12"/>
  <c r="AI1332" i="12"/>
  <c r="AA1332" i="12"/>
  <c r="AM1332" i="12"/>
  <c r="AL1332" i="12"/>
  <c r="AK1332" i="12"/>
  <c r="AJ1332" i="12"/>
  <c r="G1332" i="12"/>
  <c r="F1332" i="12"/>
  <c r="AC1332" i="12" s="1"/>
  <c r="Z1332" i="12"/>
  <c r="AL1262" i="12"/>
  <c r="W1262" i="12"/>
  <c r="V1262" i="12"/>
  <c r="U1262" i="12"/>
  <c r="T1262" i="12"/>
  <c r="AI1262" i="12"/>
  <c r="AC1262" i="12"/>
  <c r="AA1262" i="12"/>
  <c r="Z1262" i="12"/>
  <c r="Y1262" i="12"/>
  <c r="AK1262" i="12"/>
  <c r="X1262" i="12"/>
  <c r="AM1262" i="12"/>
  <c r="AJ1262" i="12"/>
  <c r="I1194" i="12"/>
  <c r="J1194" i="12"/>
  <c r="K1194" i="12"/>
  <c r="M1194" i="12"/>
  <c r="N1194" i="12"/>
  <c r="P1194" i="12"/>
  <c r="R1194" i="12"/>
  <c r="S1194" i="12"/>
  <c r="T1194" i="12"/>
  <c r="U1194" i="12"/>
  <c r="V1194" i="12"/>
  <c r="W1194" i="12"/>
  <c r="X1194" i="12"/>
  <c r="Y1194" i="12"/>
  <c r="Q1194" i="12"/>
  <c r="Z1194" i="12"/>
  <c r="O1194" i="12"/>
  <c r="AA1194" i="12"/>
  <c r="AI1194" i="12"/>
  <c r="AJ1194" i="12"/>
  <c r="AK1194" i="12"/>
  <c r="AL1194" i="12"/>
  <c r="AM1194" i="12"/>
  <c r="J999" i="12"/>
  <c r="K999" i="12"/>
  <c r="O1000" i="12"/>
  <c r="P1000" i="12"/>
  <c r="P981" i="12"/>
  <c r="O981" i="12"/>
  <c r="O967" i="12"/>
  <c r="P967" i="12"/>
  <c r="AM976" i="12"/>
  <c r="AL976" i="12"/>
  <c r="AJ976" i="12"/>
  <c r="Z976" i="12"/>
  <c r="AK976" i="12"/>
  <c r="AI976" i="12"/>
  <c r="AA976" i="12"/>
  <c r="Y976" i="12"/>
  <c r="P978" i="12"/>
  <c r="Q978" i="12"/>
  <c r="M979" i="12"/>
  <c r="O979" i="12"/>
  <c r="N979" i="12"/>
  <c r="J980" i="12"/>
  <c r="M980" i="12"/>
  <c r="K980" i="12"/>
  <c r="Q953" i="12"/>
  <c r="V953" i="12"/>
  <c r="T953" i="12"/>
  <c r="O958" i="12"/>
  <c r="N958" i="12"/>
  <c r="V962" i="12"/>
  <c r="W962" i="12"/>
  <c r="T963" i="12"/>
  <c r="S963" i="12"/>
  <c r="U963" i="12"/>
  <c r="AI939" i="12"/>
  <c r="AA939" i="12"/>
  <c r="Z939" i="12"/>
  <c r="AK939" i="12"/>
  <c r="AJ939" i="12"/>
  <c r="Y939" i="12"/>
  <c r="U925" i="12"/>
  <c r="R925" i="12"/>
  <c r="S925" i="12"/>
  <c r="T925" i="12"/>
  <c r="O938" i="12"/>
  <c r="N938" i="12"/>
  <c r="M938" i="12"/>
  <c r="AK911" i="12"/>
  <c r="AA911" i="12"/>
  <c r="V911" i="12"/>
  <c r="T911" i="12"/>
  <c r="P911" i="12"/>
  <c r="N911" i="12"/>
  <c r="AL911" i="12"/>
  <c r="AJ911" i="12"/>
  <c r="Y911" i="12"/>
  <c r="W911" i="12"/>
  <c r="S911" i="12"/>
  <c r="AI911" i="12"/>
  <c r="X911" i="12"/>
  <c r="Z911" i="12"/>
  <c r="U911" i="12"/>
  <c r="R911" i="12"/>
  <c r="M911" i="12"/>
  <c r="AM911" i="12"/>
  <c r="Q911" i="12"/>
  <c r="O911" i="12"/>
  <c r="J915" i="12"/>
  <c r="I915" i="12"/>
  <c r="K915" i="12"/>
  <c r="M917" i="12"/>
  <c r="O917" i="12"/>
  <c r="P917" i="12"/>
  <c r="N917" i="12"/>
  <c r="K917" i="12"/>
  <c r="E771" i="12"/>
  <c r="DH771" i="12" a="1"/>
  <c r="E774" i="12"/>
  <c r="DH774" i="12" a="1"/>
  <c r="M777" i="12"/>
  <c r="O777" i="12"/>
  <c r="N777" i="12"/>
  <c r="N778" i="12"/>
  <c r="K778" i="12"/>
  <c r="Q778" i="12"/>
  <c r="M778" i="12"/>
  <c r="P778" i="12"/>
  <c r="E781" i="12"/>
  <c r="DH781" i="12" a="1"/>
  <c r="J782" i="12"/>
  <c r="K782" i="12"/>
  <c r="DH784" i="12" a="1"/>
  <c r="E784" i="12"/>
  <c r="Y757" i="12"/>
  <c r="X757" i="12"/>
  <c r="Q757" i="12"/>
  <c r="AK757" i="12"/>
  <c r="AI757" i="12"/>
  <c r="N757" i="12"/>
  <c r="AM757" i="12"/>
  <c r="Z757" i="12"/>
  <c r="U757" i="12"/>
  <c r="O757" i="12"/>
  <c r="W757" i="12"/>
  <c r="T757" i="12"/>
  <c r="M757" i="12"/>
  <c r="AL757" i="12"/>
  <c r="AJ757" i="12"/>
  <c r="V757" i="12"/>
  <c r="S757" i="12"/>
  <c r="AA757" i="12"/>
  <c r="R757" i="12"/>
  <c r="P757" i="12"/>
  <c r="J759" i="12"/>
  <c r="K759" i="12"/>
  <c r="O759" i="12"/>
  <c r="P759" i="12"/>
  <c r="M759" i="12"/>
  <c r="DH761" i="12" a="1"/>
  <c r="E761" i="12"/>
  <c r="J764" i="12"/>
  <c r="I764" i="12"/>
  <c r="H764" i="12"/>
  <c r="DH768" i="12" a="1"/>
  <c r="E768" i="12"/>
  <c r="AK769" i="12"/>
  <c r="AI769" i="12"/>
  <c r="V769" i="12"/>
  <c r="T769" i="12"/>
  <c r="M769" i="12"/>
  <c r="J769" i="12"/>
  <c r="Y769" i="12"/>
  <c r="W769" i="12"/>
  <c r="P769" i="12"/>
  <c r="AM769" i="12"/>
  <c r="K769" i="12"/>
  <c r="AL769" i="12"/>
  <c r="AJ769" i="12"/>
  <c r="U769" i="12"/>
  <c r="N769" i="12"/>
  <c r="R769" i="12"/>
  <c r="I769" i="12"/>
  <c r="AA769" i="12"/>
  <c r="Z769" i="12"/>
  <c r="X769" i="12"/>
  <c r="S769" i="12"/>
  <c r="Q769" i="12"/>
  <c r="O769" i="12"/>
  <c r="Z743" i="12"/>
  <c r="AL743" i="12"/>
  <c r="AI743" i="12"/>
  <c r="AA743" i="12"/>
  <c r="S743" i="12"/>
  <c r="X743" i="12"/>
  <c r="U743" i="12"/>
  <c r="P743" i="12"/>
  <c r="M743" i="12"/>
  <c r="W743" i="12"/>
  <c r="R743" i="12"/>
  <c r="AK743" i="12"/>
  <c r="Y743" i="12"/>
  <c r="Q743" i="12"/>
  <c r="AM743" i="12"/>
  <c r="AJ743" i="12"/>
  <c r="V743" i="12"/>
  <c r="N743" i="12"/>
  <c r="T743" i="12"/>
  <c r="O743" i="12"/>
  <c r="E744" i="12"/>
  <c r="DH744" i="12" a="1"/>
  <c r="E746" i="12"/>
  <c r="DH746" i="12" a="1"/>
  <c r="AK748" i="12"/>
  <c r="AJ748" i="12"/>
  <c r="Z748" i="12"/>
  <c r="X748" i="12"/>
  <c r="W748" i="12"/>
  <c r="AM748" i="12"/>
  <c r="V748" i="12"/>
  <c r="P748" i="12"/>
  <c r="M748" i="12"/>
  <c r="K748" i="12"/>
  <c r="T748" i="12"/>
  <c r="AA748" i="12"/>
  <c r="R748" i="12"/>
  <c r="AI748" i="12"/>
  <c r="Y748" i="12"/>
  <c r="O748" i="12"/>
  <c r="N748" i="12"/>
  <c r="AL748" i="12"/>
  <c r="U748" i="12"/>
  <c r="S748" i="12"/>
  <c r="Q748" i="12"/>
  <c r="DH751" i="12" a="1"/>
  <c r="E751" i="12"/>
  <c r="DH753" i="12" a="1"/>
  <c r="E753" i="12"/>
  <c r="AK755" i="12"/>
  <c r="R755" i="12"/>
  <c r="AM755" i="12"/>
  <c r="W755" i="12"/>
  <c r="Z755" i="12"/>
  <c r="X755" i="12"/>
  <c r="U755" i="12"/>
  <c r="S755" i="12"/>
  <c r="AI755" i="12"/>
  <c r="P755" i="12"/>
  <c r="N755" i="12"/>
  <c r="Y755" i="12"/>
  <c r="T755" i="12"/>
  <c r="AL755" i="12"/>
  <c r="AJ755" i="12"/>
  <c r="AA755" i="12"/>
  <c r="V755" i="12"/>
  <c r="Q755" i="12"/>
  <c r="O755" i="12"/>
  <c r="M755" i="12"/>
  <c r="M756" i="12"/>
  <c r="K756" i="12"/>
  <c r="J756" i="12"/>
  <c r="I729" i="12"/>
  <c r="H729" i="12"/>
  <c r="J729" i="12"/>
  <c r="O729" i="12"/>
  <c r="K729" i="12"/>
  <c r="DH733" i="12" a="1"/>
  <c r="E733" i="12"/>
  <c r="DH741" i="12" a="1"/>
  <c r="E741" i="12"/>
  <c r="H741" i="12" s="1"/>
  <c r="E742" i="12"/>
  <c r="DH742" i="12" a="1"/>
  <c r="N715" i="12"/>
  <c r="K715" i="12"/>
  <c r="M715" i="12"/>
  <c r="DH717" i="12" a="1"/>
  <c r="E717" i="12"/>
  <c r="S720" i="12"/>
  <c r="P720" i="12"/>
  <c r="DH721" i="12" a="1"/>
  <c r="E721" i="12"/>
  <c r="M722" i="12"/>
  <c r="O722" i="12"/>
  <c r="DH704" i="12" a="1"/>
  <c r="E704" i="12"/>
  <c r="AI712" i="12"/>
  <c r="V712" i="12"/>
  <c r="S712" i="12"/>
  <c r="Q712" i="12"/>
  <c r="P712" i="12"/>
  <c r="N712" i="12"/>
  <c r="AL712" i="12"/>
  <c r="O712" i="12"/>
  <c r="I712" i="12"/>
  <c r="AK712" i="12"/>
  <c r="AM712" i="12"/>
  <c r="Y712" i="12"/>
  <c r="Z712" i="12"/>
  <c r="M712" i="12"/>
  <c r="AJ712" i="12"/>
  <c r="J712" i="12"/>
  <c r="AA712" i="12"/>
  <c r="W712" i="12"/>
  <c r="U712" i="12"/>
  <c r="T712" i="12"/>
  <c r="R712" i="12"/>
  <c r="K712" i="12"/>
  <c r="X712" i="12"/>
  <c r="X696" i="12"/>
  <c r="Q696" i="12"/>
  <c r="N696" i="12"/>
  <c r="AM696" i="12"/>
  <c r="AK696" i="12"/>
  <c r="W696" i="12"/>
  <c r="S696" i="12"/>
  <c r="V696" i="12"/>
  <c r="R696" i="12"/>
  <c r="M696" i="12"/>
  <c r="AL696" i="12"/>
  <c r="AJ696" i="12"/>
  <c r="AA696" i="12"/>
  <c r="AI696" i="12"/>
  <c r="Y696" i="12"/>
  <c r="T696" i="12"/>
  <c r="O696" i="12"/>
  <c r="Z696" i="12"/>
  <c r="U696" i="12"/>
  <c r="P696" i="12"/>
  <c r="M698" i="12"/>
  <c r="N698" i="12"/>
  <c r="O698" i="12"/>
  <c r="E699" i="12"/>
  <c r="DH699" i="12" a="1"/>
  <c r="M700" i="12"/>
  <c r="K700" i="12"/>
  <c r="E675" i="12"/>
  <c r="DH675" i="12" a="1"/>
  <c r="DH679" i="12" a="1"/>
  <c r="E679" i="12"/>
  <c r="X682" i="12"/>
  <c r="R682" i="12"/>
  <c r="N682" i="12"/>
  <c r="AK682" i="12"/>
  <c r="Z682" i="12"/>
  <c r="W682" i="12"/>
  <c r="U682" i="12"/>
  <c r="S682" i="12"/>
  <c r="Q682" i="12"/>
  <c r="O682" i="12"/>
  <c r="AL682" i="12"/>
  <c r="AJ682" i="12"/>
  <c r="Y682" i="12"/>
  <c r="V682" i="12"/>
  <c r="AM682" i="12"/>
  <c r="AI682" i="12"/>
  <c r="T682" i="12"/>
  <c r="P682" i="12"/>
  <c r="AA682" i="12"/>
  <c r="DH686" i="12" a="1"/>
  <c r="E686" i="12"/>
  <c r="AM666" i="12"/>
  <c r="AK666" i="12"/>
  <c r="Z666" i="12"/>
  <c r="X666" i="12"/>
  <c r="R666" i="12"/>
  <c r="AI666" i="12"/>
  <c r="P666" i="12"/>
  <c r="Q666" i="12"/>
  <c r="V666" i="12"/>
  <c r="N666" i="12"/>
  <c r="AA666" i="12"/>
  <c r="AJ666" i="12"/>
  <c r="U666" i="12"/>
  <c r="T666" i="12"/>
  <c r="O666" i="12"/>
  <c r="M666" i="12"/>
  <c r="AL666" i="12"/>
  <c r="Y666" i="12"/>
  <c r="W666" i="12"/>
  <c r="S666" i="12"/>
  <c r="E668" i="12"/>
  <c r="DH668" i="12" a="1"/>
  <c r="AL671" i="12"/>
  <c r="Q671" i="12"/>
  <c r="N671" i="12"/>
  <c r="K671" i="12"/>
  <c r="AM671" i="12"/>
  <c r="Y671" i="12"/>
  <c r="S671" i="12"/>
  <c r="M671" i="12"/>
  <c r="J671" i="12"/>
  <c r="Z671" i="12"/>
  <c r="X671" i="12"/>
  <c r="R671" i="12"/>
  <c r="AK671" i="12"/>
  <c r="V671" i="12"/>
  <c r="P671" i="12"/>
  <c r="AJ671" i="12"/>
  <c r="W671" i="12"/>
  <c r="AI671" i="12"/>
  <c r="T671" i="12"/>
  <c r="AA671" i="12"/>
  <c r="U671" i="12"/>
  <c r="O671" i="12"/>
  <c r="P645" i="12"/>
  <c r="O645" i="12"/>
  <c r="N645" i="12"/>
  <c r="AJ648" i="12"/>
  <c r="Y648" i="12"/>
  <c r="V648" i="12"/>
  <c r="R648" i="12"/>
  <c r="K648" i="12"/>
  <c r="U648" i="12"/>
  <c r="N648" i="12"/>
  <c r="AM648" i="12"/>
  <c r="AL648" i="12"/>
  <c r="AA648" i="12"/>
  <c r="W648" i="12"/>
  <c r="P648" i="12"/>
  <c r="X648" i="12"/>
  <c r="Q648" i="12"/>
  <c r="O648" i="12"/>
  <c r="AI648" i="12"/>
  <c r="S648" i="12"/>
  <c r="M648" i="12"/>
  <c r="AK648" i="12"/>
  <c r="Z648" i="12"/>
  <c r="T648" i="12"/>
  <c r="N649" i="12"/>
  <c r="K649" i="12"/>
  <c r="M649" i="12"/>
  <c r="Q631" i="12"/>
  <c r="R631" i="12"/>
  <c r="E637" i="12"/>
  <c r="DH637" i="12" a="1"/>
  <c r="E618" i="12"/>
  <c r="DH618" i="12" a="1"/>
  <c r="DH620" i="12" a="1"/>
  <c r="E620" i="12"/>
  <c r="DH625" i="12" a="1"/>
  <c r="E625" i="12"/>
  <c r="M626" i="12"/>
  <c r="N626" i="12"/>
  <c r="DH604" i="12" a="1"/>
  <c r="E604" i="12"/>
  <c r="DH607" i="12" a="1"/>
  <c r="E607" i="12"/>
  <c r="DH608" i="12" a="1"/>
  <c r="E608" i="12"/>
  <c r="DH594" i="12" a="1"/>
  <c r="E594" i="12"/>
  <c r="E516" i="12"/>
  <c r="DH516" i="12" a="1"/>
  <c r="E493" i="12"/>
  <c r="DH493" i="12" a="1"/>
  <c r="E503" i="12"/>
  <c r="DH503" i="12" a="1"/>
  <c r="E478" i="12"/>
  <c r="DH478" i="12" a="1"/>
  <c r="E464" i="12"/>
  <c r="DH464" i="12" a="1"/>
  <c r="E965" i="12"/>
  <c r="E949" i="12"/>
  <c r="E964" i="12"/>
  <c r="E940" i="12"/>
  <c r="E943" i="12"/>
  <c r="E926" i="12"/>
  <c r="E929" i="12"/>
  <c r="E932" i="12"/>
  <c r="E912" i="12"/>
  <c r="E919" i="12"/>
  <c r="E921" i="12"/>
  <c r="E898" i="12"/>
  <c r="E899" i="12"/>
  <c r="E900" i="12"/>
  <c r="E907" i="12"/>
  <c r="E884" i="12"/>
  <c r="E885" i="12"/>
  <c r="E816" i="12"/>
  <c r="E551" i="12"/>
  <c r="E523" i="12"/>
  <c r="E524" i="12"/>
  <c r="E525" i="12"/>
  <c r="E529" i="12"/>
  <c r="E517" i="12"/>
  <c r="E495" i="12"/>
  <c r="E482" i="12"/>
  <c r="E483" i="12"/>
  <c r="E248" i="12"/>
  <c r="E233" i="12"/>
  <c r="E220" i="12"/>
  <c r="E185" i="12"/>
  <c r="E189" i="12"/>
  <c r="E195" i="12"/>
  <c r="E157" i="12"/>
  <c r="E167" i="12"/>
  <c r="E145" i="12"/>
  <c r="E154" i="12"/>
  <c r="E130" i="12"/>
  <c r="E87" i="12"/>
  <c r="E89" i="12"/>
  <c r="E98" i="12"/>
  <c r="E60" i="12"/>
  <c r="E64" i="12"/>
  <c r="E30" i="12"/>
  <c r="E724" i="12"/>
  <c r="E707" i="12"/>
  <c r="E654" i="12"/>
  <c r="E636" i="12"/>
  <c r="E642" i="12"/>
  <c r="E609" i="12"/>
  <c r="E614" i="12"/>
  <c r="E595" i="12"/>
  <c r="E598" i="12"/>
  <c r="E588" i="12"/>
  <c r="E570" i="12"/>
  <c r="E572" i="12"/>
  <c r="E554" i="12"/>
  <c r="E534" i="12"/>
  <c r="E540" i="12"/>
  <c r="E519" i="12"/>
  <c r="E532" i="12"/>
  <c r="E510" i="12"/>
  <c r="E514" i="12"/>
  <c r="E477" i="12"/>
  <c r="E486" i="12"/>
  <c r="E489" i="12"/>
  <c r="E490" i="12"/>
  <c r="E279" i="12"/>
  <c r="E245" i="12"/>
  <c r="E212" i="12"/>
  <c r="E199" i="12"/>
  <c r="E178" i="12"/>
  <c r="E164" i="12"/>
  <c r="E166" i="12"/>
  <c r="E168" i="12"/>
  <c r="E152" i="12"/>
  <c r="E105" i="12"/>
  <c r="E83" i="12"/>
  <c r="E63" i="12"/>
  <c r="E69" i="12"/>
  <c r="E52" i="12"/>
  <c r="L52" i="12" s="1"/>
  <c r="E33" i="12"/>
  <c r="E34" i="12"/>
  <c r="E40" i="12"/>
  <c r="E27" i="12"/>
  <c r="E465" i="12"/>
  <c r="E467" i="12"/>
  <c r="E469" i="12"/>
  <c r="E471" i="12"/>
  <c r="E472" i="12"/>
  <c r="E476" i="12"/>
  <c r="E449" i="12"/>
  <c r="E451" i="12"/>
  <c r="E455" i="12"/>
  <c r="E458" i="12"/>
  <c r="E462" i="12"/>
  <c r="E436" i="12"/>
  <c r="E437" i="12"/>
  <c r="E440" i="12"/>
  <c r="E442" i="12"/>
  <c r="E444" i="12"/>
  <c r="E446" i="12"/>
  <c r="E447" i="12"/>
  <c r="E422" i="12"/>
  <c r="E423" i="12"/>
  <c r="E426" i="12"/>
  <c r="E427" i="12"/>
  <c r="E428" i="12"/>
  <c r="E429" i="12"/>
  <c r="E434" i="12"/>
  <c r="E407" i="12"/>
  <c r="E408" i="12"/>
  <c r="E409" i="12"/>
  <c r="E410" i="12"/>
  <c r="E411" i="12"/>
  <c r="E412" i="12"/>
  <c r="E413" i="12"/>
  <c r="E415" i="12"/>
  <c r="E416" i="12"/>
  <c r="E418" i="12"/>
  <c r="E419" i="12"/>
  <c r="E420" i="12"/>
  <c r="E394" i="12"/>
  <c r="E396" i="12"/>
  <c r="E397" i="12"/>
  <c r="E399" i="12"/>
  <c r="E400" i="12"/>
  <c r="E404" i="12"/>
  <c r="E406" i="12"/>
  <c r="E380" i="12"/>
  <c r="E382" i="12"/>
  <c r="E383" i="12"/>
  <c r="E385" i="12"/>
  <c r="E386" i="12"/>
  <c r="E388" i="12"/>
  <c r="E389" i="12"/>
  <c r="E365" i="12"/>
  <c r="E366" i="12"/>
  <c r="E368" i="12"/>
  <c r="E377" i="12"/>
  <c r="E378" i="12"/>
  <c r="E352" i="12"/>
  <c r="E357" i="12"/>
  <c r="E359" i="12"/>
  <c r="E360" i="12"/>
  <c r="E361" i="12"/>
  <c r="E363" i="12"/>
  <c r="E364" i="12"/>
  <c r="E343" i="12"/>
  <c r="E349" i="12"/>
  <c r="E350" i="12"/>
  <c r="E323" i="12"/>
  <c r="E324" i="12"/>
  <c r="E325" i="12"/>
  <c r="E327" i="12"/>
  <c r="E330" i="12"/>
  <c r="E331" i="12"/>
  <c r="E332" i="12"/>
  <c r="E311" i="12"/>
  <c r="E314" i="12"/>
  <c r="E315" i="12"/>
  <c r="E316" i="12"/>
  <c r="E319" i="12"/>
  <c r="E295" i="12"/>
  <c r="E296" i="12"/>
  <c r="E299" i="12"/>
  <c r="E302" i="12"/>
  <c r="E303" i="12"/>
  <c r="E286" i="12"/>
  <c r="E289" i="12"/>
  <c r="E291" i="12"/>
  <c r="E267" i="12"/>
  <c r="E271" i="12"/>
  <c r="E275" i="12"/>
  <c r="E277" i="12"/>
  <c r="E254" i="12"/>
  <c r="E231" i="12"/>
  <c r="E213" i="12"/>
  <c r="E218" i="12"/>
  <c r="E219" i="12"/>
  <c r="E203" i="12"/>
  <c r="E177" i="12"/>
  <c r="E150" i="12"/>
  <c r="E153" i="12"/>
  <c r="E127" i="12"/>
  <c r="E132" i="12"/>
  <c r="E140" i="12"/>
  <c r="E110" i="12"/>
  <c r="E88" i="12"/>
  <c r="E80" i="12"/>
  <c r="E81" i="12"/>
  <c r="E65" i="12"/>
  <c r="DH1513" i="12" a="1"/>
  <c r="E1513" i="12"/>
  <c r="AJ1514" i="12"/>
  <c r="R1514" i="12"/>
  <c r="O1514" i="12"/>
  <c r="AM1514" i="12"/>
  <c r="X1514" i="12"/>
  <c r="P1514" i="12"/>
  <c r="N1514" i="12"/>
  <c r="K1514" i="12"/>
  <c r="H1514" i="12"/>
  <c r="AK1514" i="12"/>
  <c r="G1514" i="12"/>
  <c r="U1514" i="12"/>
  <c r="AA1514" i="12"/>
  <c r="S1514" i="12"/>
  <c r="J1514" i="12"/>
  <c r="AL1514" i="12"/>
  <c r="F1514" i="12"/>
  <c r="AC1514" i="12" s="1"/>
  <c r="AI1514" i="12"/>
  <c r="Z1514" i="12"/>
  <c r="W1514" i="12"/>
  <c r="M1514" i="12"/>
  <c r="I1514" i="12"/>
  <c r="Y1514" i="12"/>
  <c r="V1514" i="12"/>
  <c r="T1514" i="12"/>
  <c r="Q1514" i="12"/>
  <c r="H1515" i="12"/>
  <c r="G1515" i="12"/>
  <c r="J1515" i="12"/>
  <c r="F1515" i="12"/>
  <c r="I1515" i="12"/>
  <c r="DH1500" i="12" a="1"/>
  <c r="E1500" i="12"/>
  <c r="E1502" i="12"/>
  <c r="DH1502" i="12" a="1"/>
  <c r="H1504" i="12"/>
  <c r="K1504" i="12"/>
  <c r="I1504" i="12"/>
  <c r="J1504" i="12"/>
  <c r="G1504" i="12"/>
  <c r="F1504" i="12"/>
  <c r="F1505" i="12"/>
  <c r="G1505" i="12"/>
  <c r="H1505" i="12"/>
  <c r="E1506" i="12"/>
  <c r="DH1506" i="12" a="1"/>
  <c r="E1507" i="12"/>
  <c r="DH1507" i="12" a="1"/>
  <c r="I1508" i="12"/>
  <c r="F1508" i="12"/>
  <c r="H1508" i="12"/>
  <c r="G1508" i="12"/>
  <c r="J1508" i="12"/>
  <c r="K1508" i="12"/>
  <c r="E1509" i="12"/>
  <c r="DH1509" i="12" a="1"/>
  <c r="G1510" i="12"/>
  <c r="I1510" i="12"/>
  <c r="F1510" i="12"/>
  <c r="AC1510" i="12" s="1"/>
  <c r="H1510" i="12"/>
  <c r="DH1511" i="12" a="1"/>
  <c r="E1511" i="12"/>
  <c r="AJ1512" i="12"/>
  <c r="AM1512" i="12"/>
  <c r="AI1512" i="12"/>
  <c r="H1512" i="12"/>
  <c r="AA1512" i="12"/>
  <c r="G1512" i="12"/>
  <c r="AL1512" i="12"/>
  <c r="AK1512" i="12"/>
  <c r="I1512" i="12"/>
  <c r="F1512" i="12"/>
  <c r="AM1351" i="12"/>
  <c r="AL1351" i="12"/>
  <c r="X1351" i="12"/>
  <c r="Y1351" i="12"/>
  <c r="AK1351" i="12"/>
  <c r="AA1351" i="12"/>
  <c r="AI1351" i="12"/>
  <c r="AJ1351" i="12"/>
  <c r="U1351" i="12"/>
  <c r="V1351" i="12"/>
  <c r="W1351" i="12"/>
  <c r="Z1351" i="12"/>
  <c r="F1277" i="12"/>
  <c r="G1277" i="12"/>
  <c r="AL1282" i="12"/>
  <c r="AK1282" i="12"/>
  <c r="AJ1282" i="12"/>
  <c r="AI1282" i="12"/>
  <c r="AA1282" i="12"/>
  <c r="Z1282" i="12"/>
  <c r="Y1282" i="12"/>
  <c r="X1282" i="12"/>
  <c r="W1282" i="12"/>
  <c r="V1282" i="12"/>
  <c r="U1282" i="12"/>
  <c r="T1282" i="12"/>
  <c r="Q1282" i="12"/>
  <c r="AC1282" i="12"/>
  <c r="S1282" i="12"/>
  <c r="K1282" i="12"/>
  <c r="M1282" i="12"/>
  <c r="N1282" i="12"/>
  <c r="O1282" i="12"/>
  <c r="P1282" i="12"/>
  <c r="R1282" i="12"/>
  <c r="AM1282" i="12"/>
  <c r="Z1142" i="12"/>
  <c r="R1142" i="12"/>
  <c r="AM1142" i="12"/>
  <c r="AK1142" i="12"/>
  <c r="AI1142" i="12"/>
  <c r="AA1142" i="12"/>
  <c r="Y1142" i="12"/>
  <c r="W1142" i="12"/>
  <c r="U1142" i="12"/>
  <c r="Q1142" i="12"/>
  <c r="O1142" i="12"/>
  <c r="M1142" i="12"/>
  <c r="I1142" i="12"/>
  <c r="G1142" i="12"/>
  <c r="F1142" i="12"/>
  <c r="AL1142" i="12"/>
  <c r="T1142" i="12"/>
  <c r="K1142" i="12"/>
  <c r="AJ1142" i="12"/>
  <c r="AC1142" i="12"/>
  <c r="X1142" i="12"/>
  <c r="V1142" i="12"/>
  <c r="S1142" i="12"/>
  <c r="P1142" i="12"/>
  <c r="N1142" i="12"/>
  <c r="J1142" i="12"/>
  <c r="H1142" i="12"/>
  <c r="G1144" i="12"/>
  <c r="F1144" i="12"/>
  <c r="P1145" i="12"/>
  <c r="G1145" i="12"/>
  <c r="AJ1145" i="12"/>
  <c r="Z1145" i="12"/>
  <c r="U1145" i="12"/>
  <c r="R1145" i="12"/>
  <c r="O1145" i="12"/>
  <c r="J1145" i="12"/>
  <c r="H1145" i="12"/>
  <c r="X1145" i="12"/>
  <c r="T1145" i="12"/>
  <c r="M1145" i="12"/>
  <c r="AM1145" i="12"/>
  <c r="AK1145" i="12"/>
  <c r="AI1145" i="12"/>
  <c r="AA1145" i="12"/>
  <c r="W1145" i="12"/>
  <c r="S1145" i="12"/>
  <c r="Q1145" i="12"/>
  <c r="N1145" i="12"/>
  <c r="K1145" i="12"/>
  <c r="I1145" i="12"/>
  <c r="F1145" i="12"/>
  <c r="AC1145" i="12" s="1"/>
  <c r="G1146" i="12"/>
  <c r="F1146" i="12"/>
  <c r="AM1053" i="12"/>
  <c r="AL1053" i="12"/>
  <c r="AK1053" i="12"/>
  <c r="AJ1053" i="12"/>
  <c r="AI1053" i="12"/>
  <c r="AA1053" i="12"/>
  <c r="Z1053" i="12"/>
  <c r="Y1053" i="12"/>
  <c r="X1053" i="12"/>
  <c r="W1053" i="12"/>
  <c r="V1053" i="12"/>
  <c r="U1053" i="12"/>
  <c r="T1053" i="12"/>
  <c r="S1053" i="12"/>
  <c r="R1053" i="12"/>
  <c r="Q1053" i="12"/>
  <c r="P1053" i="12"/>
  <c r="O1053" i="12"/>
  <c r="N1053" i="12"/>
  <c r="M1053" i="12"/>
  <c r="K1053" i="12"/>
  <c r="J1053" i="12"/>
  <c r="I1053" i="12"/>
  <c r="H1053" i="12"/>
  <c r="G1053" i="12"/>
  <c r="F1053" i="12"/>
  <c r="Q963" i="12"/>
  <c r="R963" i="12"/>
  <c r="AM936" i="12"/>
  <c r="AL936" i="12"/>
  <c r="AK936" i="12"/>
  <c r="AJ936" i="12"/>
  <c r="AI936" i="12"/>
  <c r="AA936" i="12"/>
  <c r="Z936" i="12"/>
  <c r="Y936" i="12"/>
  <c r="X936" i="12"/>
  <c r="W936" i="12"/>
  <c r="V936" i="12"/>
  <c r="U936" i="12"/>
  <c r="T936" i="12"/>
  <c r="S936" i="12"/>
  <c r="R936" i="12"/>
  <c r="Q936" i="12"/>
  <c r="P936" i="12"/>
  <c r="O936" i="12"/>
  <c r="N936" i="12"/>
  <c r="M936" i="12"/>
  <c r="K882" i="12"/>
  <c r="H882" i="12"/>
  <c r="J882" i="12"/>
  <c r="I882" i="12"/>
  <c r="G882" i="12"/>
  <c r="F882" i="12"/>
  <c r="AC882" i="12" s="1"/>
  <c r="H855" i="12"/>
  <c r="I855" i="12"/>
  <c r="F855" i="12"/>
  <c r="G855" i="12"/>
  <c r="J855" i="12"/>
  <c r="G859" i="12"/>
  <c r="I859" i="12"/>
  <c r="H859" i="12"/>
  <c r="J859" i="12"/>
  <c r="M859" i="12"/>
  <c r="K859" i="12"/>
  <c r="F859" i="12"/>
  <c r="AC859" i="12" s="1"/>
  <c r="F860" i="12"/>
  <c r="H860" i="12"/>
  <c r="G860" i="12"/>
  <c r="H863" i="12"/>
  <c r="G863" i="12"/>
  <c r="F863" i="12"/>
  <c r="H867" i="12"/>
  <c r="I867" i="12"/>
  <c r="K867" i="12"/>
  <c r="G867" i="12"/>
  <c r="M867" i="12"/>
  <c r="J867" i="12"/>
  <c r="F867" i="12"/>
  <c r="AC867" i="12" s="1"/>
  <c r="H848" i="12"/>
  <c r="G848" i="12"/>
  <c r="I848" i="12"/>
  <c r="N848" i="12"/>
  <c r="K848" i="12"/>
  <c r="F848" i="12"/>
  <c r="AC848" i="12" s="1"/>
  <c r="M848" i="12"/>
  <c r="J848" i="12"/>
  <c r="G850" i="12"/>
  <c r="I850" i="12"/>
  <c r="K850" i="12"/>
  <c r="H850" i="12"/>
  <c r="F850" i="12"/>
  <c r="AC850" i="12" s="1"/>
  <c r="F852" i="12"/>
  <c r="G852" i="12"/>
  <c r="G853" i="12"/>
  <c r="H853" i="12"/>
  <c r="F853" i="12"/>
  <c r="AI827" i="12"/>
  <c r="X827" i="12"/>
  <c r="S827" i="12"/>
  <c r="Q827" i="12"/>
  <c r="N827" i="12"/>
  <c r="I827" i="12"/>
  <c r="AL827" i="12"/>
  <c r="K827" i="12"/>
  <c r="AM827" i="12"/>
  <c r="AK827" i="12"/>
  <c r="AA827" i="12"/>
  <c r="Y827" i="12"/>
  <c r="W827" i="12"/>
  <c r="U827" i="12"/>
  <c r="T827" i="12"/>
  <c r="P827" i="12"/>
  <c r="H827" i="12"/>
  <c r="F827" i="12"/>
  <c r="Z827" i="12"/>
  <c r="V827" i="12"/>
  <c r="O827" i="12"/>
  <c r="J827" i="12"/>
  <c r="G827" i="12"/>
  <c r="AJ827" i="12"/>
  <c r="R827" i="12"/>
  <c r="M827" i="12"/>
  <c r="H829" i="12"/>
  <c r="I829" i="12"/>
  <c r="G829" i="12"/>
  <c r="J829" i="12"/>
  <c r="F829" i="12"/>
  <c r="AC829" i="12" s="1"/>
  <c r="Z830" i="12"/>
  <c r="Y830" i="12"/>
  <c r="X830" i="12"/>
  <c r="W830" i="12"/>
  <c r="V830" i="12"/>
  <c r="U830" i="12"/>
  <c r="T830" i="12"/>
  <c r="S830" i="12"/>
  <c r="R830" i="12"/>
  <c r="J830" i="12"/>
  <c r="F830" i="12"/>
  <c r="K830" i="12"/>
  <c r="H830" i="12"/>
  <c r="AI830" i="12"/>
  <c r="AM830" i="12"/>
  <c r="AL830" i="12"/>
  <c r="AK830" i="12"/>
  <c r="I830" i="12"/>
  <c r="G830" i="12"/>
  <c r="AJ830" i="12"/>
  <c r="AA830" i="12"/>
  <c r="E268" i="12"/>
  <c r="DH268" i="12" a="1"/>
  <c r="E260" i="12"/>
  <c r="DH260" i="12" a="1"/>
  <c r="E241" i="12"/>
  <c r="DH241" i="12" a="1"/>
  <c r="E249" i="12"/>
  <c r="DH249" i="12" a="1"/>
  <c r="E250" i="12"/>
  <c r="DH250" i="12" a="1"/>
  <c r="E226" i="12"/>
  <c r="DH226" i="12" a="1"/>
  <c r="E227" i="12"/>
  <c r="DH227" i="12" a="1"/>
  <c r="E230" i="12"/>
  <c r="DH230" i="12" a="1"/>
  <c r="E236" i="12"/>
  <c r="DH236" i="12" a="1"/>
  <c r="E237" i="12"/>
  <c r="DH237" i="12" a="1"/>
  <c r="E214" i="12"/>
  <c r="DH214" i="12" a="1"/>
  <c r="E217" i="12"/>
  <c r="DH217" i="12" a="1"/>
  <c r="E222" i="12"/>
  <c r="DH222" i="12" a="1"/>
  <c r="E197" i="12"/>
  <c r="DH197" i="12" a="1"/>
  <c r="E202" i="12"/>
  <c r="DH202" i="12" a="1"/>
  <c r="E207" i="12"/>
  <c r="DH207" i="12" a="1"/>
  <c r="E209" i="12"/>
  <c r="DH209" i="12" a="1"/>
  <c r="E187" i="12"/>
  <c r="DH187" i="12" a="1"/>
  <c r="E172" i="12"/>
  <c r="DH172" i="12" a="1"/>
  <c r="E174" i="12"/>
  <c r="DH174" i="12" a="1"/>
  <c r="E181" i="12"/>
  <c r="DH181" i="12" a="1"/>
  <c r="E155" i="12"/>
  <c r="DH155" i="12" a="1"/>
  <c r="E159" i="12"/>
  <c r="DH159" i="12" a="1"/>
  <c r="E162" i="12"/>
  <c r="DH162" i="12" a="1"/>
  <c r="E165" i="12"/>
  <c r="DH165" i="12" a="1"/>
  <c r="E149" i="12"/>
  <c r="DH149" i="12" a="1"/>
  <c r="E151" i="12"/>
  <c r="DH151" i="12" a="1"/>
  <c r="E128" i="12"/>
  <c r="DH128" i="12" a="1"/>
  <c r="E120" i="12"/>
  <c r="DH120" i="12" a="1"/>
  <c r="E100" i="12"/>
  <c r="DH100" i="12" a="1"/>
  <c r="E86" i="12"/>
  <c r="DH86" i="12" a="1"/>
  <c r="E90" i="12"/>
  <c r="DH90" i="12" a="1"/>
  <c r="E94" i="12"/>
  <c r="DH94" i="12" a="1"/>
  <c r="E95" i="12"/>
  <c r="DH95" i="12" a="1"/>
  <c r="E97" i="12"/>
  <c r="DH97" i="12" a="1"/>
  <c r="E72" i="12"/>
  <c r="DH72" i="12" a="1"/>
  <c r="E73" i="12"/>
  <c r="DH73" i="12" a="1"/>
  <c r="E76" i="12"/>
  <c r="DH76" i="12" a="1"/>
  <c r="E61" i="12"/>
  <c r="DH61" i="12" a="1"/>
  <c r="E70" i="12"/>
  <c r="DH70" i="12" a="1"/>
  <c r="E44" i="12"/>
  <c r="DH44" i="12" a="1"/>
  <c r="E47" i="12"/>
  <c r="DH47" i="12" a="1"/>
  <c r="E32" i="12"/>
  <c r="DH32" i="12" a="1"/>
  <c r="E38" i="12"/>
  <c r="DH38" i="12" a="1"/>
  <c r="E39" i="12"/>
  <c r="DH39" i="12" a="1"/>
  <c r="E41" i="12"/>
  <c r="DH41" i="12" a="1"/>
  <c r="B9" i="3"/>
  <c r="B10" i="3"/>
  <c r="D10" i="3"/>
  <c r="D9" i="3"/>
  <c r="F9" i="3"/>
  <c r="F10" i="3"/>
  <c r="F11" i="3" s="1"/>
  <c r="AB21" i="12"/>
  <c r="L21" i="12"/>
  <c r="AB22" i="12"/>
  <c r="L22" i="12"/>
  <c r="AB23" i="12"/>
  <c r="L23" i="12"/>
  <c r="AB24" i="12"/>
  <c r="L24" i="12"/>
  <c r="AB25" i="12"/>
  <c r="L25" i="12"/>
  <c r="AB26" i="12"/>
  <c r="L26" i="12"/>
  <c r="AB27" i="12"/>
  <c r="L27" i="12"/>
  <c r="AB28" i="12"/>
  <c r="L28" i="12"/>
  <c r="AB29" i="12"/>
  <c r="L29" i="12"/>
  <c r="AB30" i="12"/>
  <c r="L30" i="12"/>
  <c r="AB33" i="12"/>
  <c r="L33" i="12"/>
  <c r="AB34" i="12"/>
  <c r="L34" i="12"/>
  <c r="AB36" i="12"/>
  <c r="L36" i="12"/>
  <c r="AB40" i="12"/>
  <c r="L40" i="12"/>
  <c r="AB42" i="12"/>
  <c r="L42" i="12"/>
  <c r="AB43" i="12"/>
  <c r="L43" i="12"/>
  <c r="AB52" i="12"/>
  <c r="AB55" i="12"/>
  <c r="L55" i="12"/>
  <c r="L56" i="12"/>
  <c r="AB56" i="12"/>
  <c r="AB71" i="12"/>
  <c r="L71" i="12"/>
  <c r="AB77" i="12"/>
  <c r="L77" i="12"/>
  <c r="AB79" i="12"/>
  <c r="L79" i="12"/>
  <c r="AB82" i="12"/>
  <c r="L82" i="12"/>
  <c r="AB84" i="12"/>
  <c r="L84" i="12"/>
  <c r="AB85" i="12"/>
  <c r="L85" i="12"/>
  <c r="AB91" i="12"/>
  <c r="L91" i="12"/>
  <c r="AB93" i="12"/>
  <c r="L93" i="12"/>
  <c r="AB104" i="12"/>
  <c r="L104" i="12"/>
  <c r="AB111" i="12"/>
  <c r="L111" i="12"/>
  <c r="L113" i="12"/>
  <c r="AB113" i="12"/>
  <c r="L116" i="12"/>
  <c r="AB116" i="12"/>
  <c r="AB118" i="12"/>
  <c r="L118" i="12"/>
  <c r="AB121" i="12"/>
  <c r="L121" i="12"/>
  <c r="L122" i="12"/>
  <c r="AB122" i="12"/>
  <c r="L139" i="12"/>
  <c r="AB139" i="12"/>
  <c r="AB141" i="12"/>
  <c r="L141" i="12"/>
  <c r="L142" i="12"/>
  <c r="AB142" i="12"/>
  <c r="AB143" i="12"/>
  <c r="L143" i="12"/>
  <c r="AB144" i="12"/>
  <c r="L144" i="12"/>
  <c r="L146" i="12"/>
  <c r="AB146" i="12"/>
  <c r="AB147" i="12"/>
  <c r="L147" i="12"/>
  <c r="L148" i="12"/>
  <c r="AB148" i="12"/>
  <c r="L169" i="12"/>
  <c r="AB169" i="12"/>
  <c r="AB171" i="12"/>
  <c r="L171" i="12"/>
  <c r="AB191" i="12"/>
  <c r="L191" i="12"/>
  <c r="AB200" i="12"/>
  <c r="L200" i="12"/>
  <c r="AB201" i="12"/>
  <c r="L201" i="12"/>
  <c r="AB205" i="12"/>
  <c r="L205" i="12"/>
  <c r="AB211" i="12"/>
  <c r="L211" i="12"/>
  <c r="AB221" i="12"/>
  <c r="L221" i="12"/>
  <c r="L228" i="12"/>
  <c r="AB228" i="12"/>
  <c r="AB240" i="12"/>
  <c r="L240" i="12"/>
  <c r="AB242" i="12"/>
  <c r="L242" i="12"/>
  <c r="L243" i="12"/>
  <c r="AB243" i="12"/>
  <c r="L269" i="12"/>
  <c r="AB269" i="12"/>
  <c r="AB270" i="12"/>
  <c r="L270" i="12"/>
  <c r="L272" i="12"/>
  <c r="AB272" i="12"/>
  <c r="AB278" i="12"/>
  <c r="L278" i="12"/>
  <c r="AB288" i="12"/>
  <c r="L288" i="12"/>
  <c r="L304" i="12"/>
  <c r="AB304" i="12"/>
  <c r="AB306" i="12"/>
  <c r="L306" i="12"/>
  <c r="L308" i="12"/>
  <c r="AB308" i="12"/>
  <c r="AB320" i="12"/>
  <c r="L320" i="12"/>
  <c r="AB321" i="12"/>
  <c r="L321" i="12"/>
  <c r="AB337" i="12"/>
  <c r="L337" i="12"/>
  <c r="L338" i="12"/>
  <c r="AB338" i="12"/>
  <c r="L339" i="12"/>
  <c r="AB339" i="12"/>
  <c r="L341" i="12"/>
  <c r="AB341" i="12"/>
  <c r="AB345" i="12"/>
  <c r="L345" i="12"/>
  <c r="AB346" i="12"/>
  <c r="L346" i="12"/>
  <c r="L355" i="12"/>
  <c r="AB355" i="12"/>
  <c r="AB356" i="12"/>
  <c r="L356" i="12"/>
  <c r="AB370" i="12"/>
  <c r="L370" i="12"/>
  <c r="AB376" i="12"/>
  <c r="L376" i="12"/>
  <c r="L387" i="12"/>
  <c r="AB387" i="12"/>
  <c r="L402" i="12"/>
  <c r="AB402" i="12"/>
  <c r="L438" i="12"/>
  <c r="AB438" i="12"/>
  <c r="L459" i="12"/>
  <c r="AB459" i="12"/>
  <c r="AB463" i="12"/>
  <c r="L463" i="12"/>
  <c r="L470" i="12"/>
  <c r="AB470" i="12"/>
  <c r="L488" i="12"/>
  <c r="AB488" i="12"/>
  <c r="L492" i="12"/>
  <c r="AB492" i="12"/>
  <c r="AB508" i="12"/>
  <c r="L508" i="12"/>
  <c r="AB521" i="12"/>
  <c r="L521" i="12"/>
  <c r="AB528" i="12"/>
  <c r="L528" i="12"/>
  <c r="AB531" i="12"/>
  <c r="L531" i="12"/>
  <c r="AB538" i="12"/>
  <c r="L538" i="12"/>
  <c r="AB541" i="12"/>
  <c r="L541" i="12"/>
  <c r="AB555" i="12"/>
  <c r="L555" i="12"/>
  <c r="AB567" i="12"/>
  <c r="L567" i="12"/>
  <c r="L573" i="12"/>
  <c r="AB573" i="12"/>
  <c r="L587" i="12"/>
  <c r="AB587" i="12"/>
  <c r="AB589" i="12"/>
  <c r="L589" i="12"/>
  <c r="AB592" i="12"/>
  <c r="L592" i="12"/>
  <c r="AB593" i="12"/>
  <c r="L593" i="12"/>
  <c r="AB596" i="12"/>
  <c r="L596" i="12"/>
  <c r="AB603" i="12"/>
  <c r="L603" i="12"/>
  <c r="L626" i="12"/>
  <c r="AB626" i="12"/>
  <c r="AB630" i="12"/>
  <c r="L630" i="12"/>
  <c r="AB631" i="12"/>
  <c r="L631" i="12"/>
  <c r="L638" i="12"/>
  <c r="AB638" i="12"/>
  <c r="L645" i="12"/>
  <c r="AB645" i="12"/>
  <c r="L648" i="12"/>
  <c r="AB648" i="12"/>
  <c r="L649" i="12"/>
  <c r="AB649" i="12"/>
  <c r="L661" i="12"/>
  <c r="AB661" i="12"/>
  <c r="L665" i="12"/>
  <c r="AB665" i="12"/>
  <c r="AB666" i="12"/>
  <c r="L666" i="12"/>
  <c r="AB671" i="12"/>
  <c r="L671" i="12"/>
  <c r="L673" i="12"/>
  <c r="AB673" i="12"/>
  <c r="AB678" i="12"/>
  <c r="L678" i="12"/>
  <c r="L680" i="12"/>
  <c r="AB680" i="12"/>
  <c r="L682" i="12"/>
  <c r="AB682" i="12"/>
  <c r="L693" i="12"/>
  <c r="AB693" i="12"/>
  <c r="L694" i="12"/>
  <c r="AB694" i="12"/>
  <c r="L696" i="12"/>
  <c r="AB696" i="12"/>
  <c r="AB698" i="12"/>
  <c r="L698" i="12"/>
  <c r="AB700" i="12"/>
  <c r="L700" i="12"/>
  <c r="L701" i="12"/>
  <c r="AB701" i="12"/>
  <c r="AB705" i="12"/>
  <c r="L705" i="12"/>
  <c r="L709" i="12"/>
  <c r="AB709" i="12"/>
  <c r="AB711" i="12"/>
  <c r="L711" i="12"/>
  <c r="L712" i="12"/>
  <c r="AB712" i="12"/>
  <c r="AB714" i="12"/>
  <c r="L714" i="12"/>
  <c r="AB715" i="12"/>
  <c r="L715" i="12"/>
  <c r="L716" i="12"/>
  <c r="AB716" i="12"/>
  <c r="AB720" i="12"/>
  <c r="L720" i="12"/>
  <c r="AB722" i="12"/>
  <c r="L722" i="12"/>
  <c r="AB723" i="12"/>
  <c r="L723" i="12"/>
  <c r="L729" i="12"/>
  <c r="AB729" i="12"/>
  <c r="AB737" i="12"/>
  <c r="L737" i="12"/>
  <c r="L743" i="12"/>
  <c r="AB743" i="12"/>
  <c r="L748" i="12"/>
  <c r="AB748" i="12"/>
  <c r="AB750" i="12"/>
  <c r="L750" i="12"/>
  <c r="AB752" i="12"/>
  <c r="L752" i="12"/>
  <c r="L754" i="12"/>
  <c r="AB754" i="12"/>
  <c r="L755" i="12"/>
  <c r="AB755" i="12"/>
  <c r="AB756" i="12"/>
  <c r="L756" i="12"/>
  <c r="AB757" i="12"/>
  <c r="L757" i="12"/>
  <c r="AB759" i="12"/>
  <c r="L759" i="12"/>
  <c r="L760" i="12"/>
  <c r="AB760" i="12"/>
  <c r="L764" i="12"/>
  <c r="AB764" i="12"/>
  <c r="L769" i="12"/>
  <c r="AB769" i="12"/>
  <c r="AB770" i="12"/>
  <c r="L770" i="12"/>
  <c r="L772" i="12"/>
  <c r="AB772" i="12"/>
  <c r="AB777" i="12"/>
  <c r="L777" i="12"/>
  <c r="L778" i="12"/>
  <c r="AB778" i="12"/>
  <c r="AB782" i="12"/>
  <c r="L782" i="12"/>
  <c r="L788" i="12"/>
  <c r="AB788" i="12"/>
  <c r="AB789" i="12"/>
  <c r="L789" i="12"/>
  <c r="L791" i="12"/>
  <c r="AB791" i="12"/>
  <c r="L792" i="12"/>
  <c r="AB792" i="12"/>
  <c r="AB793" i="12"/>
  <c r="L793" i="12"/>
  <c r="L794" i="12"/>
  <c r="AB794" i="12"/>
  <c r="L795" i="12"/>
  <c r="AB795" i="12"/>
  <c r="L799" i="12"/>
  <c r="AB799" i="12"/>
  <c r="L800" i="12"/>
  <c r="AB800" i="12"/>
  <c r="AB801" i="12"/>
  <c r="L801" i="12"/>
  <c r="L802" i="12"/>
  <c r="AB802" i="12"/>
  <c r="L803" i="12"/>
  <c r="AB803" i="12"/>
  <c r="AB805" i="12"/>
  <c r="L805" i="12"/>
  <c r="L806" i="12"/>
  <c r="AB806" i="12"/>
  <c r="L818" i="12"/>
  <c r="AB818" i="12"/>
  <c r="L819" i="12"/>
  <c r="AB819" i="12"/>
  <c r="L821" i="12"/>
  <c r="AB821" i="12"/>
  <c r="AB824" i="12"/>
  <c r="L824" i="12"/>
  <c r="L825" i="12"/>
  <c r="AB825" i="12"/>
  <c r="L827" i="12"/>
  <c r="AB827" i="12"/>
  <c r="L829" i="12"/>
  <c r="AB829" i="12"/>
  <c r="AB830" i="12"/>
  <c r="L830" i="12"/>
  <c r="AB831" i="12"/>
  <c r="L831" i="12"/>
  <c r="AB839" i="12"/>
  <c r="L839" i="12"/>
  <c r="L840" i="12"/>
  <c r="AB840" i="12"/>
  <c r="AB841" i="12"/>
  <c r="L841" i="12"/>
  <c r="AB846" i="12"/>
  <c r="L846" i="12"/>
  <c r="AB847" i="12"/>
  <c r="L847" i="12"/>
  <c r="L852" i="12"/>
  <c r="AB852" i="12"/>
  <c r="L853" i="12"/>
  <c r="AB853" i="12"/>
  <c r="AB855" i="12"/>
  <c r="L855" i="12"/>
  <c r="L859" i="12"/>
  <c r="AB859" i="12"/>
  <c r="AB860" i="12"/>
  <c r="L860" i="12"/>
  <c r="L865" i="12"/>
  <c r="AB865" i="12"/>
  <c r="AB866" i="12"/>
  <c r="L866" i="12"/>
  <c r="AB867" i="12"/>
  <c r="L867" i="12"/>
  <c r="L869" i="12"/>
  <c r="AB869" i="12"/>
  <c r="AB871" i="12"/>
  <c r="L871" i="12"/>
  <c r="AB872" i="12"/>
  <c r="L872" i="12"/>
  <c r="L875" i="12"/>
  <c r="AB875" i="12"/>
  <c r="L876" i="12"/>
  <c r="AB876" i="12"/>
  <c r="AB878" i="12"/>
  <c r="L878" i="12"/>
  <c r="AB879" i="12"/>
  <c r="L879" i="12"/>
  <c r="L882" i="12"/>
  <c r="AB882" i="12"/>
  <c r="L883" i="12"/>
  <c r="AB883" i="12"/>
  <c r="L886" i="12"/>
  <c r="AB886" i="12"/>
  <c r="L887" i="12"/>
  <c r="AB887" i="12"/>
  <c r="AB888" i="12"/>
  <c r="L888" i="12"/>
  <c r="AB892" i="12"/>
  <c r="L892" i="12"/>
  <c r="L893" i="12"/>
  <c r="AB893" i="12"/>
  <c r="L895" i="12"/>
  <c r="AB895" i="12"/>
  <c r="L896" i="12"/>
  <c r="AB896" i="12"/>
  <c r="AB902" i="12"/>
  <c r="L902" i="12"/>
  <c r="AB903" i="12"/>
  <c r="L903" i="12"/>
  <c r="L904" i="12"/>
  <c r="AB904" i="12"/>
  <c r="AB905" i="12"/>
  <c r="L905" i="12"/>
  <c r="AB909" i="12"/>
  <c r="L909" i="12"/>
  <c r="L910" i="12"/>
  <c r="AB910" i="12"/>
  <c r="AB911" i="12"/>
  <c r="L911" i="12"/>
  <c r="AB915" i="12"/>
  <c r="L915" i="12"/>
  <c r="L917" i="12"/>
  <c r="AB917" i="12"/>
  <c r="AB922" i="12"/>
  <c r="L922" i="12"/>
  <c r="L923" i="12"/>
  <c r="AB923" i="12"/>
  <c r="L924" i="12"/>
  <c r="AB924" i="12"/>
  <c r="L925" i="12"/>
  <c r="AB925" i="12"/>
  <c r="AB927" i="12"/>
  <c r="L927" i="12"/>
  <c r="L928" i="12"/>
  <c r="AB928" i="12"/>
  <c r="L931" i="12"/>
  <c r="AB931" i="12"/>
  <c r="L933" i="12"/>
  <c r="AB933" i="12"/>
  <c r="AB937" i="12"/>
  <c r="L937" i="12"/>
  <c r="L938" i="12"/>
  <c r="AB938" i="12"/>
  <c r="L939" i="12"/>
  <c r="AB939" i="12"/>
  <c r="L944" i="12"/>
  <c r="AB944" i="12"/>
  <c r="AB946" i="12"/>
  <c r="L946" i="12"/>
  <c r="L950" i="12"/>
  <c r="AB950" i="12"/>
  <c r="L951" i="12"/>
  <c r="AB951" i="12"/>
  <c r="AB953" i="12"/>
  <c r="L953" i="12"/>
  <c r="L958" i="12"/>
  <c r="AB958" i="12"/>
  <c r="L961" i="12"/>
  <c r="AB961" i="12"/>
  <c r="AB962" i="12"/>
  <c r="L962" i="12"/>
  <c r="L963" i="12"/>
  <c r="AB963" i="12"/>
  <c r="AB967" i="12"/>
  <c r="L967" i="12"/>
  <c r="L975" i="12"/>
  <c r="AB975" i="12"/>
  <c r="L976" i="12"/>
  <c r="AB976" i="12"/>
  <c r="AB978" i="12"/>
  <c r="L978" i="12"/>
  <c r="AB979" i="12"/>
  <c r="L979" i="12"/>
  <c r="L980" i="12"/>
  <c r="AB980" i="12"/>
  <c r="L981" i="12"/>
  <c r="AB981" i="12"/>
  <c r="L982" i="12"/>
  <c r="AB982" i="12"/>
  <c r="AB984" i="12"/>
  <c r="L984" i="12"/>
  <c r="AB988" i="12"/>
  <c r="L988" i="12"/>
  <c r="AB990" i="12"/>
  <c r="L990" i="12"/>
  <c r="AB992" i="12"/>
  <c r="L992" i="12"/>
  <c r="AB995" i="12"/>
  <c r="L995" i="12"/>
  <c r="AB996" i="12"/>
  <c r="L996" i="12"/>
  <c r="AB998" i="12"/>
  <c r="L998" i="12"/>
  <c r="L999" i="12"/>
  <c r="AB999" i="12"/>
  <c r="AB1000" i="12"/>
  <c r="L1000" i="12"/>
  <c r="L1001" i="12"/>
  <c r="AB1001" i="12"/>
  <c r="L1002" i="12"/>
  <c r="AB1002" i="12"/>
  <c r="L1003" i="12"/>
  <c r="AB1003" i="12"/>
  <c r="L1005" i="12"/>
  <c r="AB1005" i="12"/>
  <c r="AB1006" i="12"/>
  <c r="L1006" i="12"/>
  <c r="L1007" i="12"/>
  <c r="AB1007" i="12"/>
  <c r="L1008" i="12"/>
  <c r="AB1008" i="12"/>
  <c r="L1009" i="12"/>
  <c r="AB1009" i="12"/>
  <c r="L1010" i="12"/>
  <c r="AB1010" i="12"/>
  <c r="AB1012" i="12"/>
  <c r="L1012" i="12"/>
  <c r="AB1013" i="12"/>
  <c r="L1013" i="12"/>
  <c r="L1014" i="12"/>
  <c r="AB1014" i="12"/>
  <c r="AB1015" i="12"/>
  <c r="L1015" i="12"/>
  <c r="AB1016" i="12"/>
  <c r="L1016" i="12"/>
  <c r="AB1017" i="12"/>
  <c r="L1017" i="12"/>
  <c r="AB1019" i="12"/>
  <c r="L1019" i="12"/>
  <c r="L1021" i="12"/>
  <c r="AB1021" i="12"/>
  <c r="L1022" i="12"/>
  <c r="AB1022" i="12"/>
  <c r="AB1023" i="12"/>
  <c r="L1023" i="12"/>
  <c r="AB1024" i="12"/>
  <c r="L1024" i="12"/>
  <c r="AB1025" i="12"/>
  <c r="L1025" i="12"/>
  <c r="AB1026" i="12"/>
  <c r="L1026" i="12"/>
  <c r="AB1027" i="12"/>
  <c r="L1027" i="12"/>
  <c r="AB1028" i="12"/>
  <c r="L1028" i="12"/>
  <c r="AB1029" i="12"/>
  <c r="L1029" i="12"/>
  <c r="AB1030" i="12"/>
  <c r="L1030" i="12"/>
  <c r="AB1032" i="12"/>
  <c r="L1032" i="12"/>
  <c r="L1033" i="12"/>
  <c r="AB1033" i="12"/>
  <c r="L1035" i="12"/>
  <c r="AB1035" i="12"/>
  <c r="AB1036" i="12"/>
  <c r="L1036" i="12"/>
  <c r="L1037" i="12"/>
  <c r="AB1037" i="12"/>
  <c r="L1038" i="12"/>
  <c r="AB1038" i="12"/>
  <c r="L1039" i="12"/>
  <c r="AB1039" i="12"/>
  <c r="AB1040" i="12"/>
  <c r="L1040" i="12"/>
  <c r="AB1042" i="12"/>
  <c r="L1042" i="12"/>
  <c r="AB1043" i="12"/>
  <c r="L1043" i="12"/>
  <c r="AB1044" i="12"/>
  <c r="L1044" i="12"/>
  <c r="AB1045" i="12"/>
  <c r="L1045" i="12"/>
  <c r="AB1046" i="12"/>
  <c r="L1046" i="12"/>
  <c r="AB1047" i="12"/>
  <c r="L1047" i="12"/>
  <c r="AB1048" i="12"/>
  <c r="L1048" i="12"/>
  <c r="AB1049" i="12"/>
  <c r="L1049" i="12"/>
  <c r="L1050" i="12"/>
  <c r="AB1050" i="12"/>
  <c r="AB1051" i="12"/>
  <c r="L1051" i="12"/>
  <c r="L1052" i="12"/>
  <c r="AB1052" i="12"/>
  <c r="L1054" i="12"/>
  <c r="AB1054" i="12"/>
  <c r="L1056" i="12"/>
  <c r="AB1056" i="12"/>
  <c r="AB1058" i="12"/>
  <c r="L1058" i="12"/>
  <c r="AB1059" i="12"/>
  <c r="L1059" i="12"/>
  <c r="AB1062" i="12"/>
  <c r="L1062" i="12"/>
  <c r="AB1063" i="12"/>
  <c r="L1063" i="12"/>
  <c r="AB1064" i="12"/>
  <c r="L1064" i="12"/>
  <c r="AB1065" i="12"/>
  <c r="L1065" i="12"/>
  <c r="L1067" i="12"/>
  <c r="AB1067" i="12"/>
  <c r="AB1069" i="12"/>
  <c r="L1069" i="12"/>
  <c r="L1071" i="12"/>
  <c r="AB1071" i="12"/>
  <c r="AB1076" i="12"/>
  <c r="L1076" i="12"/>
  <c r="AB1077" i="12"/>
  <c r="L1077" i="12"/>
  <c r="AB1078" i="12"/>
  <c r="L1078" i="12"/>
  <c r="L1079" i="12"/>
  <c r="AB1079" i="12"/>
  <c r="L1081" i="12"/>
  <c r="AB1081" i="12"/>
  <c r="AB1085" i="12"/>
  <c r="L1085" i="12"/>
  <c r="L1089" i="12"/>
  <c r="AB1089" i="12"/>
  <c r="L1090" i="12"/>
  <c r="AB1090" i="12"/>
  <c r="L1092" i="12"/>
  <c r="AB1092" i="12"/>
  <c r="AB1093" i="12"/>
  <c r="L1093" i="12"/>
  <c r="L1096" i="12"/>
  <c r="AB1096" i="12"/>
  <c r="L1097" i="12"/>
  <c r="AB1097" i="12"/>
  <c r="AB1099" i="12"/>
  <c r="L1099" i="12"/>
  <c r="AB1101" i="12"/>
  <c r="L1101" i="12"/>
  <c r="L1103" i="12"/>
  <c r="AB1103" i="12"/>
  <c r="L1104" i="12"/>
  <c r="AB1104" i="12"/>
  <c r="L1105" i="12"/>
  <c r="AB1105" i="12"/>
  <c r="L1106" i="12"/>
  <c r="AB1106" i="12"/>
  <c r="L1108" i="12"/>
  <c r="AB1108" i="12"/>
  <c r="L1109" i="12"/>
  <c r="AB1109" i="12"/>
  <c r="AB1110" i="12"/>
  <c r="L1110" i="12"/>
  <c r="AB1111" i="12"/>
  <c r="L1111" i="12"/>
  <c r="L1115" i="12"/>
  <c r="AB1115" i="12"/>
  <c r="L1117" i="12"/>
  <c r="AB1117" i="12"/>
  <c r="AB1118" i="12"/>
  <c r="L1118" i="12"/>
  <c r="L1120" i="12"/>
  <c r="AB1120" i="12"/>
  <c r="AB1121" i="12"/>
  <c r="L1121" i="12"/>
  <c r="AB1122" i="12"/>
  <c r="L1122" i="12"/>
  <c r="AB1123" i="12"/>
  <c r="L1123" i="12"/>
  <c r="AB1124" i="12"/>
  <c r="L1124" i="12"/>
  <c r="AB1125" i="12"/>
  <c r="L1125" i="12"/>
  <c r="L1129" i="12"/>
  <c r="AB1129" i="12"/>
  <c r="L1130" i="12"/>
  <c r="AB1130" i="12"/>
  <c r="L1131" i="12"/>
  <c r="AB1131" i="12"/>
  <c r="L1134" i="12"/>
  <c r="AB1134" i="12"/>
  <c r="L1135" i="12"/>
  <c r="AB1135" i="12"/>
  <c r="L1137" i="12"/>
  <c r="AB1137" i="12"/>
  <c r="L1138" i="12"/>
  <c r="AB1138" i="12"/>
  <c r="L1140" i="12"/>
  <c r="AB1140" i="12"/>
  <c r="L1141" i="12"/>
  <c r="AB1141" i="12"/>
  <c r="L1142" i="12"/>
  <c r="AB1142" i="12"/>
  <c r="L1144" i="12"/>
  <c r="AB1144" i="12"/>
  <c r="AB1146" i="12"/>
  <c r="L1146" i="12"/>
  <c r="AB1148" i="12"/>
  <c r="L1148" i="12"/>
  <c r="L1149" i="12"/>
  <c r="AB1149" i="12"/>
  <c r="AB1150" i="12"/>
  <c r="L1150" i="12"/>
  <c r="L1151" i="12"/>
  <c r="AB1151" i="12"/>
  <c r="L1152" i="12"/>
  <c r="AB1152" i="12"/>
  <c r="L1153" i="12"/>
  <c r="AB1153" i="12"/>
  <c r="L1154" i="12"/>
  <c r="AB1154" i="12"/>
  <c r="L1155" i="12"/>
  <c r="AB1155" i="12"/>
  <c r="L1156" i="12"/>
  <c r="AB1156" i="12"/>
  <c r="L1157" i="12"/>
  <c r="AB1157" i="12"/>
  <c r="L1158" i="12"/>
  <c r="AB1158" i="12"/>
  <c r="L1159" i="12"/>
  <c r="AB1159" i="12"/>
  <c r="L1160" i="12"/>
  <c r="AB1160" i="12"/>
  <c r="AB1163" i="12"/>
  <c r="L1163" i="12"/>
  <c r="AB1164" i="12"/>
  <c r="L1164" i="12"/>
  <c r="AB1165" i="12"/>
  <c r="L1165" i="12"/>
  <c r="L1166" i="12"/>
  <c r="AB1166" i="12"/>
  <c r="AB1167" i="12"/>
  <c r="L1167" i="12"/>
  <c r="AB1168" i="12"/>
  <c r="L1168" i="12"/>
  <c r="AB1169" i="12"/>
  <c r="L1169" i="12"/>
  <c r="AB1170" i="12"/>
  <c r="L1170" i="12"/>
  <c r="AB1171" i="12"/>
  <c r="L1171" i="12"/>
  <c r="L1172" i="12"/>
  <c r="AB1172" i="12"/>
  <c r="AB1173" i="12"/>
  <c r="L1173" i="12"/>
  <c r="L1174" i="12"/>
  <c r="AB1174" i="12"/>
  <c r="L1175" i="12"/>
  <c r="AB1175" i="12"/>
  <c r="L1176" i="12"/>
  <c r="AB1176" i="12"/>
  <c r="L1177" i="12"/>
  <c r="AB1177" i="12"/>
  <c r="L1178" i="12"/>
  <c r="AB1178" i="12"/>
  <c r="L1179" i="12"/>
  <c r="AB1179" i="12"/>
  <c r="AB1180" i="12"/>
  <c r="L1180" i="12"/>
  <c r="AB1181" i="12"/>
  <c r="L1181" i="12"/>
  <c r="AB1182" i="12"/>
  <c r="L1182" i="12"/>
  <c r="AB1183" i="12"/>
  <c r="L1183" i="12"/>
  <c r="AB1184" i="12"/>
  <c r="L1184" i="12"/>
  <c r="AB1185" i="12"/>
  <c r="L1185" i="12"/>
  <c r="L1186" i="12"/>
  <c r="AB1186" i="12"/>
  <c r="L1187" i="12"/>
  <c r="AB1187" i="12"/>
  <c r="AB1188" i="12"/>
  <c r="L1188" i="12"/>
  <c r="L1189" i="12"/>
  <c r="AB1189" i="12"/>
  <c r="AB1190" i="12"/>
  <c r="L1190" i="12"/>
  <c r="AB1191" i="12"/>
  <c r="L1191" i="12"/>
  <c r="AB1194" i="12"/>
  <c r="L1194" i="12"/>
  <c r="L1195" i="12"/>
  <c r="AB1195" i="12"/>
  <c r="L1198" i="12"/>
  <c r="AB1198" i="12"/>
  <c r="AB1199" i="12"/>
  <c r="L1199" i="12"/>
  <c r="AB1200" i="12"/>
  <c r="L1200" i="12"/>
  <c r="L1201" i="12"/>
  <c r="AB1201" i="12"/>
  <c r="AB1202" i="12"/>
  <c r="L1202" i="12"/>
  <c r="AB1203" i="12"/>
  <c r="L1203" i="12"/>
  <c r="AB1204" i="12"/>
  <c r="L1204" i="12"/>
  <c r="L1205" i="12"/>
  <c r="AB1205" i="12"/>
  <c r="AB1206" i="12"/>
  <c r="L1206" i="12"/>
  <c r="AB1207" i="12"/>
  <c r="L1207" i="12"/>
  <c r="L1208" i="12"/>
  <c r="AB1208" i="12"/>
  <c r="L1209" i="12"/>
  <c r="AB1209" i="12"/>
  <c r="L1210" i="12"/>
  <c r="AB1210" i="12"/>
  <c r="AB1211" i="12"/>
  <c r="L1211" i="12"/>
  <c r="L1212" i="12"/>
  <c r="AB1212" i="12"/>
  <c r="AB1213" i="12"/>
  <c r="L1213" i="12"/>
  <c r="AB1214" i="12"/>
  <c r="L1214" i="12"/>
  <c r="AB1216" i="12"/>
  <c r="L1216" i="12"/>
  <c r="AB1217" i="12"/>
  <c r="L1217" i="12"/>
  <c r="L1220" i="12"/>
  <c r="AB1220" i="12"/>
  <c r="AB1221" i="12"/>
  <c r="L1221" i="12"/>
  <c r="AB1222" i="12"/>
  <c r="L1222" i="12"/>
  <c r="AB1223" i="12"/>
  <c r="L1223" i="12"/>
  <c r="AB1224" i="12"/>
  <c r="L1224" i="12"/>
  <c r="L1225" i="12"/>
  <c r="AB1225" i="12"/>
  <c r="L1226" i="12"/>
  <c r="AB1226" i="12"/>
  <c r="L1227" i="12"/>
  <c r="AB1227" i="12"/>
  <c r="L1228" i="12"/>
  <c r="AB1228" i="12"/>
  <c r="AB1229" i="12"/>
  <c r="L1229" i="12"/>
  <c r="AB1230" i="12"/>
  <c r="L1230" i="12"/>
  <c r="AB1231" i="12"/>
  <c r="L1231" i="12"/>
  <c r="L1232" i="12"/>
  <c r="AB1232" i="12"/>
  <c r="AB1233" i="12"/>
  <c r="L1233" i="12"/>
  <c r="L1234" i="12"/>
  <c r="AB1234" i="12"/>
  <c r="L1235" i="12"/>
  <c r="AB1235" i="12"/>
  <c r="L1236" i="12"/>
  <c r="AB1236" i="12"/>
  <c r="L1237" i="12"/>
  <c r="AB1237" i="12"/>
  <c r="L1238" i="12"/>
  <c r="AB1238" i="12"/>
  <c r="AB1239" i="12"/>
  <c r="L1239" i="12"/>
  <c r="AB1240" i="12"/>
  <c r="L1240" i="12"/>
  <c r="AB1241" i="12"/>
  <c r="L1241" i="12"/>
  <c r="AB1242" i="12"/>
  <c r="L1242" i="12"/>
  <c r="AB1243" i="12"/>
  <c r="L1243" i="12"/>
  <c r="AB1244" i="12"/>
  <c r="L1244" i="12"/>
  <c r="AB1245" i="12"/>
  <c r="L1245" i="12"/>
  <c r="L1246" i="12"/>
  <c r="AB1246" i="12"/>
  <c r="AB1247" i="12"/>
  <c r="L1247" i="12"/>
  <c r="L1248" i="12"/>
  <c r="AB1248" i="12"/>
  <c r="AB1249" i="12"/>
  <c r="L1249" i="12"/>
  <c r="AB1250" i="12"/>
  <c r="L1250" i="12"/>
  <c r="AB1251" i="12"/>
  <c r="L1251" i="12"/>
  <c r="AB1252" i="12"/>
  <c r="L1252" i="12"/>
  <c r="L1253" i="12"/>
  <c r="AB1253" i="12"/>
  <c r="AB1254" i="12"/>
  <c r="L1254" i="12"/>
  <c r="AB1255" i="12"/>
  <c r="L1255" i="12"/>
  <c r="AB1256" i="12"/>
  <c r="L1256" i="12"/>
  <c r="L1257" i="12"/>
  <c r="AB1257" i="12"/>
  <c r="AB1258" i="12"/>
  <c r="L1258" i="12"/>
  <c r="AB1259" i="12"/>
  <c r="L1259" i="12"/>
  <c r="L1260" i="12"/>
  <c r="AB1260" i="12"/>
  <c r="AB1261" i="12"/>
  <c r="L1261" i="12"/>
  <c r="L1262" i="12"/>
  <c r="AB1262" i="12"/>
  <c r="L1263" i="12"/>
  <c r="AB1263" i="12"/>
  <c r="AB1265" i="12"/>
  <c r="L1265" i="12"/>
  <c r="L1266" i="12"/>
  <c r="AB1266" i="12"/>
  <c r="AB1267" i="12"/>
  <c r="L1267" i="12"/>
  <c r="L1268" i="12"/>
  <c r="AB1268" i="12"/>
  <c r="AB1269" i="12"/>
  <c r="L1269" i="12"/>
  <c r="AB1270" i="12"/>
  <c r="L1270" i="12"/>
  <c r="AB1271" i="12"/>
  <c r="L1271" i="12"/>
  <c r="AB1272" i="12"/>
  <c r="L1272" i="12"/>
  <c r="AB1273" i="12"/>
  <c r="L1273" i="12"/>
  <c r="L1274" i="12"/>
  <c r="AB1274" i="12"/>
  <c r="AB1275" i="12"/>
  <c r="L1275" i="12"/>
  <c r="AB1276" i="12"/>
  <c r="L1276" i="12"/>
  <c r="L1277" i="12"/>
  <c r="AB1277" i="12"/>
  <c r="AB1278" i="12"/>
  <c r="L1278" i="12"/>
  <c r="L1279" i="12"/>
  <c r="AB1279" i="12"/>
  <c r="AB1280" i="12"/>
  <c r="L1280" i="12"/>
  <c r="AB1281" i="12"/>
  <c r="L1281" i="12"/>
  <c r="AB1282" i="12"/>
  <c r="L1282" i="12"/>
  <c r="L1283" i="12"/>
  <c r="AB1283" i="12"/>
  <c r="AB1284" i="12"/>
  <c r="L1284" i="12"/>
  <c r="L1285" i="12"/>
  <c r="AB1285" i="12"/>
  <c r="AB1286" i="12"/>
  <c r="L1286" i="12"/>
  <c r="AB1287" i="12"/>
  <c r="L1287" i="12"/>
  <c r="AB1288" i="12"/>
  <c r="L1288" i="12"/>
  <c r="AB1289" i="12"/>
  <c r="L1289" i="12"/>
  <c r="L1290" i="12"/>
  <c r="AB1290" i="12"/>
  <c r="AB1291" i="12"/>
  <c r="L1291" i="12"/>
  <c r="L1292" i="12"/>
  <c r="AB1292" i="12"/>
  <c r="AB1293" i="12"/>
  <c r="L1293" i="12"/>
  <c r="L1294" i="12"/>
  <c r="AB1294" i="12"/>
  <c r="L1295" i="12"/>
  <c r="AB1295" i="12"/>
  <c r="L1296" i="12"/>
  <c r="AB1296" i="12"/>
  <c r="AB1297" i="12"/>
  <c r="L1297" i="12"/>
  <c r="L1298" i="12"/>
  <c r="AB1298" i="12"/>
  <c r="AB1299" i="12"/>
  <c r="L1299" i="12"/>
  <c r="L1300" i="12"/>
  <c r="AB1300" i="12"/>
  <c r="AB1301" i="12"/>
  <c r="L1301" i="12"/>
  <c r="AB1302" i="12"/>
  <c r="L1302" i="12"/>
  <c r="AB1303" i="12"/>
  <c r="L1303" i="12"/>
  <c r="AB1304" i="12"/>
  <c r="L1304" i="12"/>
  <c r="L1305" i="12"/>
  <c r="AB1305" i="12"/>
  <c r="AB1306" i="12"/>
  <c r="L1306" i="12"/>
  <c r="AB1307" i="12"/>
  <c r="L1307" i="12"/>
  <c r="AB1308" i="12"/>
  <c r="L1308" i="12"/>
  <c r="AB1309" i="12"/>
  <c r="L1309" i="12"/>
  <c r="L1310" i="12"/>
  <c r="AB1310" i="12"/>
  <c r="AB1311" i="12"/>
  <c r="L1311" i="12"/>
  <c r="AB1312" i="12"/>
  <c r="L1312" i="12"/>
  <c r="AB1313" i="12"/>
  <c r="L1313" i="12"/>
  <c r="AB1314" i="12"/>
  <c r="L1314" i="12"/>
  <c r="AB1315" i="12"/>
  <c r="L1315" i="12"/>
  <c r="AB1316" i="12"/>
  <c r="L1316" i="12"/>
  <c r="AB1317" i="12"/>
  <c r="L1317" i="12"/>
  <c r="L1318" i="12"/>
  <c r="AB1318" i="12"/>
  <c r="L1319" i="12"/>
  <c r="AB1319" i="12"/>
  <c r="L1320" i="12"/>
  <c r="AB1320" i="12"/>
  <c r="L1321" i="12"/>
  <c r="AB1321" i="12"/>
  <c r="L1322" i="12"/>
  <c r="AB1322" i="12"/>
  <c r="L1323" i="12"/>
  <c r="AB1323" i="12"/>
  <c r="AB1324" i="12"/>
  <c r="L1324" i="12"/>
  <c r="AB1325" i="12"/>
  <c r="L1325" i="12"/>
  <c r="AB1326" i="12"/>
  <c r="L1326" i="12"/>
  <c r="L1327" i="12"/>
  <c r="AB1327" i="12"/>
  <c r="L1328" i="12"/>
  <c r="AB1328" i="12"/>
  <c r="AB1329" i="12"/>
  <c r="L1329" i="12"/>
  <c r="AB1330" i="12"/>
  <c r="L1330" i="12"/>
  <c r="L1331" i="12"/>
  <c r="AB1331" i="12"/>
  <c r="L1332" i="12"/>
  <c r="AB1332" i="12"/>
  <c r="L1333" i="12"/>
  <c r="AB1333" i="12"/>
  <c r="L1334" i="12"/>
  <c r="AB1334" i="12"/>
  <c r="AB1335" i="12"/>
  <c r="L1335" i="12"/>
  <c r="AB1336" i="12"/>
  <c r="L1336" i="12"/>
  <c r="AB1337" i="12"/>
  <c r="L1337" i="12"/>
  <c r="L1338" i="12"/>
  <c r="AB1338" i="12"/>
  <c r="L1339" i="12"/>
  <c r="AB1339" i="12"/>
  <c r="L1340" i="12"/>
  <c r="AB1340" i="12"/>
  <c r="L1341" i="12"/>
  <c r="AB1341" i="12"/>
  <c r="L1342" i="12"/>
  <c r="AB1342" i="12"/>
  <c r="AB1343" i="12"/>
  <c r="L1343" i="12"/>
  <c r="L1344" i="12"/>
  <c r="AB1344" i="12"/>
  <c r="AB1345" i="12"/>
  <c r="L1345" i="12"/>
  <c r="AB1346" i="12"/>
  <c r="L1346" i="12"/>
  <c r="L1347" i="12"/>
  <c r="AB1347" i="12"/>
  <c r="L1348" i="12"/>
  <c r="AB1348" i="12"/>
  <c r="L1349" i="12"/>
  <c r="AB1349" i="12"/>
  <c r="L1350" i="12"/>
  <c r="AB1350" i="12"/>
  <c r="L1351" i="12"/>
  <c r="AB1351" i="12"/>
  <c r="AB1352" i="12"/>
  <c r="L1352" i="12"/>
  <c r="L1353" i="12"/>
  <c r="AB1353" i="12"/>
  <c r="L1354" i="12"/>
  <c r="AB1354" i="12"/>
  <c r="L1355" i="12"/>
  <c r="AB1355" i="12"/>
  <c r="L1356" i="12"/>
  <c r="AB1356" i="12"/>
  <c r="L1358" i="12"/>
  <c r="AB1358" i="12"/>
  <c r="AB1359" i="12"/>
  <c r="L1359" i="12"/>
  <c r="L1360" i="12"/>
  <c r="AB1360" i="12"/>
  <c r="L1361" i="12"/>
  <c r="AB1361" i="12"/>
  <c r="AB1362" i="12"/>
  <c r="L1362" i="12"/>
  <c r="AB1363" i="12"/>
  <c r="L1363" i="12"/>
  <c r="AB1364" i="12"/>
  <c r="L1364" i="12"/>
  <c r="AB1365" i="12"/>
  <c r="L1365" i="12"/>
  <c r="L1366" i="12"/>
  <c r="AB1366" i="12"/>
  <c r="AB1367" i="12"/>
  <c r="L1367" i="12"/>
  <c r="AB1368" i="12"/>
  <c r="L1368" i="12"/>
  <c r="L1369" i="12"/>
  <c r="AB1369" i="12"/>
  <c r="L1370" i="12"/>
  <c r="AB1370" i="12"/>
  <c r="AB1371" i="12"/>
  <c r="L1371" i="12"/>
  <c r="AB1372" i="12"/>
  <c r="L1372" i="12"/>
  <c r="L1373" i="12"/>
  <c r="AB1373" i="12"/>
  <c r="L1374" i="12"/>
  <c r="AB1374" i="12"/>
  <c r="L1375" i="12"/>
  <c r="AB1375" i="12"/>
  <c r="AB1376" i="12"/>
  <c r="L1376" i="12"/>
  <c r="AB1377" i="12"/>
  <c r="L1377" i="12"/>
  <c r="L1378" i="12"/>
  <c r="AB1378" i="12"/>
  <c r="L1379" i="12"/>
  <c r="AB1379" i="12"/>
  <c r="L1380" i="12"/>
  <c r="AB1380" i="12"/>
  <c r="L1381" i="12"/>
  <c r="AB1381" i="12"/>
  <c r="L1382" i="12"/>
  <c r="AB1382" i="12"/>
  <c r="AB1383" i="12"/>
  <c r="L1383" i="12"/>
  <c r="L1384" i="12"/>
  <c r="AB1384" i="12"/>
  <c r="AB1385" i="12"/>
  <c r="L1385" i="12"/>
  <c r="AB1386" i="12"/>
  <c r="L1386" i="12"/>
  <c r="AB1387" i="12"/>
  <c r="L1387" i="12"/>
  <c r="AB1388" i="12"/>
  <c r="L1388" i="12"/>
  <c r="L1389" i="12"/>
  <c r="AB1389" i="12"/>
  <c r="L1390" i="12"/>
  <c r="AB1390" i="12"/>
  <c r="L1391" i="12"/>
  <c r="AB1391" i="12"/>
  <c r="L1392" i="12"/>
  <c r="AB1392" i="12"/>
  <c r="AB1393" i="12"/>
  <c r="L1393" i="12"/>
  <c r="AB1394" i="12"/>
  <c r="L1394" i="12"/>
  <c r="L1395" i="12"/>
  <c r="AB1395" i="12"/>
  <c r="AB1396" i="12"/>
  <c r="L1396" i="12"/>
  <c r="AB1397" i="12"/>
  <c r="L1397" i="12"/>
  <c r="L1398" i="12"/>
  <c r="AB1398" i="12"/>
  <c r="AB1399" i="12"/>
  <c r="L1399" i="12"/>
  <c r="AB1400" i="12"/>
  <c r="L1400" i="12"/>
  <c r="L1403" i="12"/>
  <c r="AB1403" i="12"/>
  <c r="AB1404" i="12"/>
  <c r="L1404" i="12"/>
  <c r="L1405" i="12"/>
  <c r="AB1405" i="12"/>
  <c r="AB1406" i="12"/>
  <c r="L1406" i="12"/>
  <c r="AB1407" i="12"/>
  <c r="L1407" i="12"/>
  <c r="AB1408" i="12"/>
  <c r="L1408" i="12"/>
  <c r="L1412" i="12"/>
  <c r="AB1412" i="12"/>
  <c r="AB1413" i="12"/>
  <c r="L1413" i="12"/>
  <c r="L1414" i="12"/>
  <c r="AB1414" i="12"/>
  <c r="AB1415" i="12"/>
  <c r="L1415" i="12"/>
  <c r="AB1417" i="12"/>
  <c r="L1417" i="12"/>
  <c r="AB1418" i="12"/>
  <c r="L1418" i="12"/>
  <c r="AB1421" i="12"/>
  <c r="L1421" i="12"/>
  <c r="L1422" i="12"/>
  <c r="AB1422" i="12"/>
  <c r="AB1423" i="12"/>
  <c r="L1423" i="12"/>
  <c r="L1424" i="12"/>
  <c r="AB1424" i="12"/>
  <c r="AB1425" i="12"/>
  <c r="L1425" i="12"/>
  <c r="AB1426" i="12"/>
  <c r="L1426" i="12"/>
  <c r="AB1428" i="12"/>
  <c r="L1428" i="12"/>
  <c r="L1429" i="12"/>
  <c r="AB1429" i="12"/>
  <c r="AB1430" i="12"/>
  <c r="L1430" i="12"/>
  <c r="AB1432" i="12"/>
  <c r="L1432" i="12"/>
  <c r="AB1433" i="12"/>
  <c r="L1433" i="12"/>
  <c r="AB1434" i="12"/>
  <c r="L1434" i="12"/>
  <c r="AB1436" i="12"/>
  <c r="L1436" i="12"/>
  <c r="AB1437" i="12"/>
  <c r="L1437" i="12"/>
  <c r="L1439" i="12"/>
  <c r="AB1439" i="12"/>
  <c r="L1440" i="12"/>
  <c r="AB1440" i="12"/>
  <c r="L1441" i="12"/>
  <c r="AB1441" i="12"/>
  <c r="L1442" i="12"/>
  <c r="AB1442" i="12"/>
  <c r="AB1443" i="12"/>
  <c r="L1443" i="12"/>
  <c r="L1444" i="12"/>
  <c r="AB1444" i="12"/>
  <c r="AB1446" i="12"/>
  <c r="L1446" i="12"/>
  <c r="AB1447" i="12"/>
  <c r="L1447" i="12"/>
  <c r="L1450" i="12"/>
  <c r="AB1450" i="12"/>
  <c r="AB1451" i="12"/>
  <c r="L1451" i="12"/>
  <c r="AB1453" i="12"/>
  <c r="L1453" i="12"/>
  <c r="L1454" i="12"/>
  <c r="AB1454" i="12"/>
  <c r="AB1456" i="12"/>
  <c r="L1456" i="12"/>
  <c r="L1457" i="12"/>
  <c r="AB1457" i="12"/>
  <c r="L1458" i="12"/>
  <c r="AB1458" i="12"/>
  <c r="L1460" i="12"/>
  <c r="AB1460" i="12"/>
  <c r="L1461" i="12"/>
  <c r="AB1461" i="12"/>
  <c r="L1462" i="12"/>
  <c r="AB1462" i="12"/>
  <c r="L1463" i="12"/>
  <c r="AB1463" i="12"/>
  <c r="AB1464" i="12"/>
  <c r="L1464" i="12"/>
  <c r="L1465" i="12"/>
  <c r="AB1465" i="12"/>
  <c r="L1470" i="12"/>
  <c r="AB1470" i="12"/>
  <c r="L1471" i="12"/>
  <c r="AB1471" i="12"/>
  <c r="AB1472" i="12"/>
  <c r="L1472" i="12"/>
  <c r="L1475" i="12"/>
  <c r="AB1475" i="12"/>
  <c r="L1478" i="12"/>
  <c r="AB1478" i="12"/>
  <c r="AB1479" i="12"/>
  <c r="L1479" i="12"/>
  <c r="AB1482" i="12"/>
  <c r="L1482" i="12"/>
  <c r="AB1483" i="12"/>
  <c r="L1483" i="12"/>
  <c r="AB1484" i="12"/>
  <c r="L1484" i="12"/>
  <c r="L1485" i="12"/>
  <c r="AB1485" i="12"/>
  <c r="L1486" i="12"/>
  <c r="AB1486" i="12"/>
  <c r="AB1488" i="12"/>
  <c r="L1488" i="12"/>
  <c r="L1489" i="12"/>
  <c r="AB1489" i="12"/>
  <c r="L1491" i="12"/>
  <c r="AB1491" i="12"/>
  <c r="L1492" i="12"/>
  <c r="AB1492" i="12"/>
  <c r="AB1493" i="12"/>
  <c r="L1493" i="12"/>
  <c r="AB1494" i="12"/>
  <c r="L1494" i="12"/>
  <c r="AB1495" i="12"/>
  <c r="L1495" i="12"/>
  <c r="AB1496" i="12"/>
  <c r="L1496" i="12"/>
  <c r="AB1497" i="12"/>
  <c r="L1497" i="12"/>
  <c r="L1498" i="12"/>
  <c r="AB1498" i="12"/>
  <c r="AB1499" i="12"/>
  <c r="L1499" i="12"/>
  <c r="AB1501" i="12"/>
  <c r="L1501" i="12"/>
  <c r="AB1503" i="12"/>
  <c r="L1503" i="12"/>
  <c r="L1504" i="12"/>
  <c r="AB1504" i="12"/>
  <c r="L1505" i="12"/>
  <c r="AB1505" i="12"/>
  <c r="L1508" i="12"/>
  <c r="AB1508" i="12"/>
  <c r="L1510" i="12"/>
  <c r="AB1510" i="12"/>
  <c r="AB1512" i="12"/>
  <c r="L1512" i="12"/>
  <c r="L1514" i="12"/>
  <c r="AB1514" i="12"/>
  <c r="AB1515" i="12"/>
  <c r="L1515" i="12"/>
  <c r="AC1372" i="12"/>
  <c r="AC1208" i="12"/>
  <c r="AC1177" i="12"/>
  <c r="E611" i="12"/>
  <c r="E539" i="12"/>
  <c r="E452" i="12"/>
  <c r="E435" i="12"/>
  <c r="E425" i="12"/>
  <c r="E414" i="12"/>
  <c r="E371" i="12"/>
  <c r="E305" i="12"/>
  <c r="E284" i="12"/>
  <c r="E264" i="12"/>
  <c r="E247" i="12"/>
  <c r="E206" i="12"/>
  <c r="E184" i="12"/>
  <c r="E126" i="12"/>
  <c r="E74" i="12"/>
  <c r="E57" i="12"/>
  <c r="E62" i="12"/>
  <c r="E67" i="12"/>
  <c r="E37" i="12"/>
  <c r="E1452" i="12"/>
  <c r="E563" i="12"/>
  <c r="E513" i="12"/>
  <c r="E501" i="12"/>
  <c r="E103" i="12"/>
  <c r="E545" i="12"/>
  <c r="E500" i="12"/>
  <c r="E421" i="12"/>
  <c r="E192" i="12"/>
  <c r="E96" i="12"/>
  <c r="E75" i="12"/>
  <c r="E58" i="12"/>
  <c r="E908" i="12"/>
  <c r="E552" i="12"/>
  <c r="E530" i="12"/>
  <c r="E468" i="12"/>
  <c r="E297" i="12"/>
  <c r="E263" i="12"/>
  <c r="E238" i="12"/>
  <c r="E186" i="12"/>
  <c r="E193" i="12"/>
  <c r="E114" i="12"/>
  <c r="E59" i="12"/>
  <c r="E49" i="12"/>
  <c r="E35" i="12"/>
  <c r="E347" i="12"/>
  <c r="E309" i="12"/>
  <c r="E947" i="12"/>
  <c r="E913" i="12"/>
  <c r="E897" i="12"/>
  <c r="E559" i="12"/>
  <c r="E520" i="12"/>
  <c r="E515" i="12"/>
  <c r="E499" i="12"/>
  <c r="E487" i="12"/>
  <c r="E461" i="12"/>
  <c r="E441" i="12"/>
  <c r="E424" i="12"/>
  <c r="E398" i="12"/>
  <c r="E329" i="12"/>
  <c r="E283" i="12"/>
  <c r="E280" i="12"/>
  <c r="E259" i="12"/>
  <c r="E262" i="12"/>
  <c r="E244" i="12"/>
  <c r="E235" i="12"/>
  <c r="E183" i="12"/>
  <c r="E188" i="12"/>
  <c r="E115" i="12"/>
  <c r="E102" i="12"/>
  <c r="E46" i="12"/>
  <c r="E48" i="12"/>
  <c r="E31" i="12"/>
  <c r="AC1023" i="12"/>
  <c r="E957" i="12"/>
  <c r="E948" i="12"/>
  <c r="E952" i="12"/>
  <c r="E623" i="12"/>
  <c r="E610" i="12"/>
  <c r="E612" i="12"/>
  <c r="E543" i="12"/>
  <c r="E509" i="12"/>
  <c r="E518" i="12"/>
  <c r="E473" i="12"/>
  <c r="E317" i="12"/>
  <c r="E322" i="12"/>
  <c r="E290" i="12"/>
  <c r="E216" i="12"/>
  <c r="E101" i="12"/>
  <c r="E112" i="12"/>
  <c r="E68" i="12"/>
  <c r="E45" i="12"/>
  <c r="E50" i="12"/>
  <c r="E1031" i="12"/>
  <c r="E1034" i="12"/>
  <c r="E1011" i="12"/>
  <c r="E1018" i="12"/>
  <c r="E1020" i="12"/>
  <c r="E997" i="12"/>
  <c r="E985" i="12"/>
  <c r="E986" i="12"/>
  <c r="E987" i="12"/>
  <c r="E991" i="12"/>
  <c r="E968" i="12"/>
  <c r="E972" i="12"/>
  <c r="E336" i="12"/>
  <c r="E225" i="12"/>
  <c r="E190" i="12"/>
  <c r="E66" i="12"/>
  <c r="E702" i="12"/>
  <c r="E258" i="12"/>
  <c r="E182" i="12"/>
  <c r="E131" i="12"/>
  <c r="E78" i="12"/>
  <c r="E740" i="12"/>
  <c r="E312" i="12"/>
  <c r="E274" i="12"/>
  <c r="E369" i="12"/>
  <c r="E215" i="12"/>
  <c r="E117" i="12"/>
  <c r="R1379" i="12"/>
  <c r="S1379" i="12"/>
  <c r="T1379" i="12"/>
  <c r="U1379" i="12"/>
  <c r="V1379" i="12"/>
  <c r="W1379" i="12"/>
  <c r="X1379" i="12"/>
  <c r="Y1379" i="12"/>
  <c r="Z1379" i="12"/>
  <c r="AA1379" i="12"/>
  <c r="AI1379" i="12"/>
  <c r="AJ1379" i="12"/>
  <c r="AK1379" i="12"/>
  <c r="AL1379" i="12"/>
  <c r="AM1379" i="12"/>
  <c r="M1379" i="12"/>
  <c r="N1379" i="12"/>
  <c r="O1379" i="12"/>
  <c r="P1379" i="12"/>
  <c r="Q1379" i="12"/>
  <c r="X1308" i="12"/>
  <c r="Y1308" i="12"/>
  <c r="Z1308" i="12"/>
  <c r="AI1308" i="12"/>
  <c r="AJ1308" i="12"/>
  <c r="AK1308" i="12"/>
  <c r="AL1308" i="12"/>
  <c r="AM1308" i="12"/>
  <c r="AA1308" i="12"/>
  <c r="T1308" i="12"/>
  <c r="U1308" i="12"/>
  <c r="V1308" i="12"/>
  <c r="W1308" i="12"/>
  <c r="G1224" i="12"/>
  <c r="F1224" i="12"/>
  <c r="G1205" i="12"/>
  <c r="F1205" i="12"/>
  <c r="AC1205" i="12" s="1"/>
  <c r="F1211" i="12"/>
  <c r="G1211" i="12"/>
  <c r="F1213" i="12"/>
  <c r="G1213" i="12"/>
  <c r="H1213" i="12"/>
  <c r="I1213" i="12"/>
  <c r="I1197" i="12"/>
  <c r="F1197" i="12"/>
  <c r="G1197" i="12"/>
  <c r="H1197" i="12"/>
  <c r="F1199" i="12"/>
  <c r="G1199" i="12"/>
  <c r="F1204" i="12"/>
  <c r="G1204" i="12"/>
  <c r="H1204" i="12"/>
  <c r="I1204" i="12"/>
  <c r="F1181" i="12"/>
  <c r="G1181" i="12"/>
  <c r="H1181" i="12"/>
  <c r="I1181" i="12"/>
  <c r="F1163" i="12"/>
  <c r="G1163" i="12"/>
  <c r="H1163" i="12"/>
  <c r="AK1167" i="12"/>
  <c r="AL1167" i="12"/>
  <c r="N1167" i="12"/>
  <c r="O1167" i="12"/>
  <c r="P1167" i="12"/>
  <c r="Q1167" i="12"/>
  <c r="R1167" i="12"/>
  <c r="S1167" i="12"/>
  <c r="T1167" i="12"/>
  <c r="U1167" i="12"/>
  <c r="V1167" i="12"/>
  <c r="W1167" i="12"/>
  <c r="X1167" i="12"/>
  <c r="Y1167" i="12"/>
  <c r="AM1167" i="12"/>
  <c r="Z1167" i="12"/>
  <c r="AA1167" i="12"/>
  <c r="AI1167" i="12"/>
  <c r="AJ1167" i="12"/>
  <c r="M1167" i="12"/>
  <c r="I1096" i="12"/>
  <c r="J1096" i="12"/>
  <c r="K1096" i="12"/>
  <c r="K1097" i="12"/>
  <c r="M1097" i="12"/>
  <c r="N1097" i="12"/>
  <c r="O1097" i="12"/>
  <c r="Q1097" i="12"/>
  <c r="R1097" i="12"/>
  <c r="S1097" i="12"/>
  <c r="T1097" i="12"/>
  <c r="U1097" i="12"/>
  <c r="V1097" i="12"/>
  <c r="W1097" i="12"/>
  <c r="X1097" i="12"/>
  <c r="Y1097" i="12"/>
  <c r="Z1097" i="12"/>
  <c r="AA1097" i="12"/>
  <c r="AI1097" i="12"/>
  <c r="AJ1097" i="12"/>
  <c r="AK1097" i="12"/>
  <c r="AL1097" i="12"/>
  <c r="AM1097" i="12"/>
  <c r="P1097" i="12"/>
  <c r="F1097" i="12"/>
  <c r="G1097" i="12"/>
  <c r="AM1029" i="12"/>
  <c r="I1029" i="12"/>
  <c r="AA1029" i="12"/>
  <c r="AJ1029" i="12"/>
  <c r="AI1029" i="12"/>
  <c r="AL1029" i="12"/>
  <c r="AK1029" i="12"/>
  <c r="S976" i="12"/>
  <c r="V976" i="12"/>
  <c r="W976" i="12"/>
  <c r="T976" i="12"/>
  <c r="X976" i="12"/>
  <c r="U976" i="12"/>
  <c r="R976" i="12"/>
  <c r="K978" i="12"/>
  <c r="N978" i="12"/>
  <c r="O978" i="12"/>
  <c r="M978" i="12"/>
  <c r="N953" i="12"/>
  <c r="R953" i="12"/>
  <c r="P953" i="12"/>
  <c r="U953" i="12"/>
  <c r="S953" i="12"/>
  <c r="O953" i="12"/>
  <c r="M958" i="12"/>
  <c r="K958" i="12"/>
  <c r="R961" i="12"/>
  <c r="P961" i="12"/>
  <c r="O961" i="12"/>
  <c r="Q961" i="12"/>
  <c r="P962" i="12"/>
  <c r="T962" i="12"/>
  <c r="O962" i="12"/>
  <c r="Q962" i="12"/>
  <c r="S962" i="12"/>
  <c r="R962" i="12"/>
  <c r="U962" i="12"/>
  <c r="M963" i="12"/>
  <c r="O963" i="12"/>
  <c r="P963" i="12"/>
  <c r="N963" i="12"/>
  <c r="U939" i="12"/>
  <c r="V939" i="12"/>
  <c r="S939" i="12"/>
  <c r="R939" i="12"/>
  <c r="X939" i="12"/>
  <c r="W939" i="12"/>
  <c r="Q939" i="12"/>
  <c r="T939" i="12"/>
  <c r="AK950" i="12"/>
  <c r="AA950" i="12"/>
  <c r="T950" i="12"/>
  <c r="N950" i="12"/>
  <c r="AM950" i="12"/>
  <c r="Z950" i="12"/>
  <c r="V950" i="12"/>
  <c r="S950" i="12"/>
  <c r="Q950" i="12"/>
  <c r="AI950" i="12"/>
  <c r="W950" i="12"/>
  <c r="R950" i="12"/>
  <c r="AL950" i="12"/>
  <c r="Y950" i="12"/>
  <c r="O950" i="12"/>
  <c r="AJ950" i="12"/>
  <c r="X950" i="12"/>
  <c r="U950" i="12"/>
  <c r="P950" i="12"/>
  <c r="Q925" i="12"/>
  <c r="N925" i="12"/>
  <c r="P925" i="12"/>
  <c r="O925" i="12"/>
  <c r="M925" i="12"/>
  <c r="O933" i="12"/>
  <c r="P933" i="12"/>
  <c r="K937" i="12"/>
  <c r="J937" i="12"/>
  <c r="I937" i="12"/>
  <c r="N937" i="12"/>
  <c r="K938" i="12"/>
  <c r="H938" i="12"/>
  <c r="J938" i="12"/>
  <c r="I938" i="12"/>
  <c r="H911" i="12"/>
  <c r="J911" i="12"/>
  <c r="I911" i="12"/>
  <c r="K911" i="12"/>
  <c r="F915" i="12"/>
  <c r="G915" i="12"/>
  <c r="H915" i="12"/>
  <c r="J917" i="12"/>
  <c r="H917" i="12"/>
  <c r="I917" i="12"/>
  <c r="I922" i="12"/>
  <c r="G922" i="12"/>
  <c r="H923" i="12"/>
  <c r="I923" i="12"/>
  <c r="J923" i="12"/>
  <c r="K923" i="12"/>
  <c r="U902" i="12"/>
  <c r="O902" i="12"/>
  <c r="K902" i="12"/>
  <c r="AM902" i="12"/>
  <c r="AL902" i="12"/>
  <c r="X902" i="12"/>
  <c r="Q902" i="12"/>
  <c r="AI902" i="12"/>
  <c r="Z902" i="12"/>
  <c r="T902" i="12"/>
  <c r="P902" i="12"/>
  <c r="AJ902" i="12"/>
  <c r="V902" i="12"/>
  <c r="R902" i="12"/>
  <c r="N902" i="12"/>
  <c r="M902" i="12"/>
  <c r="Y902" i="12"/>
  <c r="S902" i="12"/>
  <c r="AK902" i="12"/>
  <c r="AA902" i="12"/>
  <c r="W902" i="12"/>
  <c r="I905" i="12"/>
  <c r="J905" i="12"/>
  <c r="H905" i="12"/>
  <c r="I883" i="12"/>
  <c r="H883" i="12"/>
  <c r="G883" i="12"/>
  <c r="F883" i="12"/>
  <c r="AJ886" i="12"/>
  <c r="W886" i="12"/>
  <c r="U886" i="12"/>
  <c r="S886" i="12"/>
  <c r="G886" i="12"/>
  <c r="F886" i="12"/>
  <c r="H886" i="12"/>
  <c r="AM886" i="12"/>
  <c r="I886" i="12"/>
  <c r="AL886" i="12"/>
  <c r="Y886" i="12"/>
  <c r="T886" i="12"/>
  <c r="Q886" i="12"/>
  <c r="O886" i="12"/>
  <c r="AA886" i="12"/>
  <c r="V886" i="12"/>
  <c r="N886" i="12"/>
  <c r="AK886" i="12"/>
  <c r="AI886" i="12"/>
  <c r="Z886" i="12"/>
  <c r="R886" i="12"/>
  <c r="P886" i="12"/>
  <c r="M886" i="12"/>
  <c r="J886" i="12"/>
  <c r="X886" i="12"/>
  <c r="K886" i="12"/>
  <c r="K887" i="12"/>
  <c r="AL887" i="12"/>
  <c r="Z887" i="12"/>
  <c r="X887" i="12"/>
  <c r="U887" i="12"/>
  <c r="Q887" i="12"/>
  <c r="M887" i="12"/>
  <c r="T887" i="12"/>
  <c r="AI887" i="12"/>
  <c r="V887" i="12"/>
  <c r="G887" i="12"/>
  <c r="F887" i="12"/>
  <c r="AC887" i="12" s="1"/>
  <c r="AM887" i="12"/>
  <c r="AK887" i="12"/>
  <c r="Y887" i="12"/>
  <c r="R887" i="12"/>
  <c r="P887" i="12"/>
  <c r="J887" i="12"/>
  <c r="H887" i="12"/>
  <c r="AJ887" i="12"/>
  <c r="AA887" i="12"/>
  <c r="W887" i="12"/>
  <c r="S887" i="12"/>
  <c r="O887" i="12"/>
  <c r="N887" i="12"/>
  <c r="I887" i="12"/>
  <c r="Q888" i="12"/>
  <c r="R888" i="12"/>
  <c r="S888" i="12"/>
  <c r="T888" i="12"/>
  <c r="U888" i="12"/>
  <c r="V888" i="12"/>
  <c r="F888" i="12"/>
  <c r="H888" i="12"/>
  <c r="W888" i="12"/>
  <c r="X888" i="12"/>
  <c r="Y888" i="12"/>
  <c r="Z888" i="12"/>
  <c r="AA888" i="12"/>
  <c r="G888" i="12"/>
  <c r="P888" i="12"/>
  <c r="AI888" i="12"/>
  <c r="I888" i="12"/>
  <c r="AK888" i="12"/>
  <c r="AL888" i="12"/>
  <c r="AM888" i="12"/>
  <c r="AJ888" i="12"/>
  <c r="K888" i="12"/>
  <c r="M888" i="12"/>
  <c r="N888" i="12"/>
  <c r="O888" i="12"/>
  <c r="S818" i="12"/>
  <c r="T818" i="12"/>
  <c r="Q818" i="12"/>
  <c r="J818" i="12"/>
  <c r="AM818" i="12"/>
  <c r="AL818" i="12"/>
  <c r="AK818" i="12"/>
  <c r="AJ818" i="12"/>
  <c r="AI818" i="12"/>
  <c r="AA818" i="12"/>
  <c r="K818" i="12"/>
  <c r="G818" i="12"/>
  <c r="Y818" i="12"/>
  <c r="W818" i="12"/>
  <c r="U818" i="12"/>
  <c r="M818" i="12"/>
  <c r="X818" i="12"/>
  <c r="V818" i="12"/>
  <c r="O818" i="12"/>
  <c r="H818" i="12"/>
  <c r="F818" i="12"/>
  <c r="AC818" i="12" s="1"/>
  <c r="Z818" i="12"/>
  <c r="R818" i="12"/>
  <c r="P818" i="12"/>
  <c r="N818" i="12"/>
  <c r="I818" i="12"/>
  <c r="K722" i="12"/>
  <c r="M701" i="12"/>
  <c r="P701" i="12"/>
  <c r="N709" i="12"/>
  <c r="P709" i="12"/>
  <c r="P631" i="12"/>
  <c r="M631" i="12"/>
  <c r="O631" i="12"/>
  <c r="K630" i="12"/>
  <c r="I630" i="12"/>
  <c r="AC1379" i="12"/>
  <c r="AC1235" i="12"/>
  <c r="AC1024" i="12"/>
  <c r="AC1237" i="12"/>
  <c r="AC1258" i="12"/>
  <c r="AC1238" i="12"/>
  <c r="E547" i="12"/>
  <c r="E546" i="12"/>
  <c r="E522" i="12"/>
  <c r="E512" i="12"/>
  <c r="E491" i="12"/>
  <c r="E498" i="12"/>
  <c r="E432" i="12"/>
  <c r="E417" i="12"/>
  <c r="E310" i="12"/>
  <c r="E176" i="12"/>
  <c r="E160" i="12"/>
  <c r="E1438" i="12"/>
  <c r="E565" i="12"/>
  <c r="E430" i="12"/>
  <c r="E381" i="12"/>
  <c r="E384" i="12"/>
  <c r="E208" i="12"/>
  <c r="E993" i="12"/>
  <c r="E974" i="12"/>
  <c r="E568" i="12"/>
  <c r="E571" i="12"/>
  <c r="E550" i="12"/>
  <c r="E537" i="12"/>
  <c r="E527" i="12"/>
  <c r="E507" i="12"/>
  <c r="E453" i="12"/>
  <c r="E395" i="12"/>
  <c r="E401" i="12"/>
  <c r="E358" i="12"/>
  <c r="E362" i="12"/>
  <c r="E234" i="12"/>
  <c r="E158" i="12"/>
  <c r="E548" i="12"/>
  <c r="E560" i="12"/>
  <c r="E496" i="12"/>
  <c r="E502" i="12"/>
  <c r="E300" i="12"/>
  <c r="E294" i="12"/>
  <c r="E971" i="12"/>
  <c r="E973" i="12"/>
  <c r="E564" i="12"/>
  <c r="E535" i="12"/>
  <c r="E391" i="12"/>
  <c r="E282" i="12"/>
  <c r="E135" i="12"/>
  <c r="E1004" i="12"/>
  <c r="E966" i="12"/>
  <c r="E945" i="12"/>
  <c r="E719" i="12"/>
  <c r="E549" i="12"/>
  <c r="E553" i="12"/>
  <c r="E557" i="12"/>
  <c r="E533" i="12"/>
  <c r="E526" i="12"/>
  <c r="E497" i="12"/>
  <c r="E454" i="12"/>
  <c r="E460" i="12"/>
  <c r="E439" i="12"/>
  <c r="E445" i="12"/>
  <c r="E431" i="12"/>
  <c r="E393" i="12"/>
  <c r="E390" i="12"/>
  <c r="E392" i="12"/>
  <c r="E373" i="12"/>
  <c r="E354" i="12"/>
  <c r="E313" i="12"/>
  <c r="E307" i="12"/>
  <c r="E285" i="12"/>
  <c r="E261" i="12"/>
  <c r="E266" i="12"/>
  <c r="E246" i="12"/>
  <c r="E229" i="12"/>
  <c r="E210" i="12"/>
  <c r="E180" i="12"/>
  <c r="E161" i="12"/>
  <c r="E163" i="12"/>
  <c r="E137" i="12"/>
  <c r="E433" i="12"/>
  <c r="E318" i="12"/>
  <c r="E281" i="12"/>
  <c r="E287" i="12"/>
  <c r="E340" i="12"/>
  <c r="E223" i="12"/>
  <c r="E156" i="12"/>
  <c r="E810" i="12"/>
  <c r="E812" i="12"/>
  <c r="E790" i="12"/>
  <c r="E796" i="12"/>
  <c r="E797" i="12"/>
  <c r="E798" i="12"/>
  <c r="E773" i="12"/>
  <c r="E775" i="12"/>
  <c r="E776" i="12"/>
  <c r="E779" i="12"/>
  <c r="E780" i="12"/>
  <c r="E758" i="12"/>
  <c r="E762" i="12"/>
  <c r="E763" i="12"/>
  <c r="E765" i="12"/>
  <c r="E766" i="12"/>
  <c r="E767" i="12"/>
  <c r="E745" i="12"/>
  <c r="E749" i="12"/>
  <c r="E730" i="12"/>
  <c r="E731" i="12"/>
  <c r="E732" i="12"/>
  <c r="E735" i="12"/>
  <c r="E481" i="12"/>
  <c r="E367" i="12"/>
  <c r="E333" i="12"/>
  <c r="E298" i="12"/>
  <c r="E703" i="12"/>
  <c r="E706" i="12"/>
  <c r="E708" i="12"/>
  <c r="E713" i="12"/>
  <c r="E687" i="12"/>
  <c r="E688" i="12"/>
  <c r="E689" i="12"/>
  <c r="E690" i="12"/>
  <c r="E691" i="12"/>
  <c r="E695" i="12"/>
  <c r="E697" i="12"/>
  <c r="E674" i="12"/>
  <c r="E676" i="12"/>
  <c r="E681" i="12"/>
  <c r="E683" i="12"/>
  <c r="E660" i="12"/>
  <c r="E662" i="12"/>
  <c r="E667" i="12"/>
  <c r="E669" i="12"/>
  <c r="E670" i="12"/>
  <c r="E672" i="12"/>
  <c r="E646" i="12"/>
  <c r="E633" i="12"/>
  <c r="E635" i="12"/>
  <c r="E639" i="12"/>
  <c r="E640" i="12"/>
  <c r="E644" i="12"/>
  <c r="E617" i="12"/>
  <c r="E619" i="12"/>
  <c r="E621" i="12"/>
  <c r="E622" i="12"/>
  <c r="E624" i="12"/>
  <c r="E629" i="12"/>
  <c r="E605" i="12"/>
  <c r="E613" i="12"/>
  <c r="E591" i="12"/>
  <c r="E597" i="12"/>
  <c r="E601" i="12"/>
  <c r="E575" i="12"/>
  <c r="E577" i="12"/>
  <c r="E579" i="12"/>
  <c r="E581" i="12"/>
  <c r="E585" i="12"/>
  <c r="E586" i="12"/>
  <c r="E561" i="12"/>
  <c r="E562" i="12"/>
  <c r="E566" i="12"/>
  <c r="E574" i="12"/>
  <c r="E536" i="12"/>
  <c r="E504" i="12"/>
  <c r="E475" i="12"/>
  <c r="E450" i="12"/>
  <c r="E443" i="12"/>
  <c r="E448" i="12"/>
  <c r="E405" i="12"/>
  <c r="E372" i="12"/>
  <c r="E335" i="12"/>
  <c r="E301" i="12"/>
  <c r="E292" i="12"/>
  <c r="E232" i="12"/>
  <c r="E198" i="12"/>
  <c r="E175" i="12"/>
  <c r="U1385" i="12"/>
  <c r="K1385" i="12"/>
  <c r="J1385" i="12"/>
  <c r="I1385" i="12"/>
  <c r="H1385" i="12"/>
  <c r="V1385" i="12"/>
  <c r="Y1385" i="12"/>
  <c r="Z1385" i="12"/>
  <c r="W1385" i="12"/>
  <c r="AA1385" i="12"/>
  <c r="X1385" i="12"/>
  <c r="AC1385" i="12"/>
  <c r="AI1385" i="12"/>
  <c r="AJ1385" i="12"/>
  <c r="AK1385" i="12"/>
  <c r="AL1385" i="12"/>
  <c r="AM1385" i="12"/>
  <c r="P1385" i="12"/>
  <c r="O1385" i="12"/>
  <c r="N1385" i="12"/>
  <c r="M1385" i="12"/>
  <c r="R1385" i="12"/>
  <c r="T1385" i="12"/>
  <c r="S1385" i="12"/>
  <c r="Q1385" i="12"/>
  <c r="AK1316" i="12"/>
  <c r="AL1316" i="12"/>
  <c r="AM1316" i="12"/>
  <c r="F1236" i="12"/>
  <c r="G1236" i="12"/>
  <c r="H1236" i="12"/>
  <c r="G1243" i="12"/>
  <c r="H1243" i="12"/>
  <c r="F1243" i="12"/>
  <c r="AC1243" i="12" s="1"/>
  <c r="G1244" i="12"/>
  <c r="F1244" i="12"/>
  <c r="G1246" i="12"/>
  <c r="F1246" i="12"/>
  <c r="O1221" i="12"/>
  <c r="Z1221" i="12"/>
  <c r="Y1221" i="12"/>
  <c r="X1221" i="12"/>
  <c r="W1221" i="12"/>
  <c r="V1221" i="12"/>
  <c r="U1221" i="12"/>
  <c r="T1221" i="12"/>
  <c r="S1221" i="12"/>
  <c r="R1221" i="12"/>
  <c r="Q1221" i="12"/>
  <c r="P1221" i="12"/>
  <c r="N1221" i="12"/>
  <c r="M1221" i="12"/>
  <c r="K1221" i="12"/>
  <c r="F1221" i="12"/>
  <c r="G1221" i="12"/>
  <c r="AC1221" i="12" s="1"/>
  <c r="AL1221" i="12"/>
  <c r="AM1221" i="12"/>
  <c r="AI1221" i="12"/>
  <c r="AA1221" i="12"/>
  <c r="AK1221" i="12"/>
  <c r="AJ1221" i="12"/>
  <c r="AI1153" i="12"/>
  <c r="AJ1153" i="12"/>
  <c r="AK1153" i="12"/>
  <c r="AL1153" i="12"/>
  <c r="AM1153" i="12"/>
  <c r="G1076" i="12"/>
  <c r="F1076" i="12"/>
  <c r="H1077" i="12"/>
  <c r="G1077" i="12"/>
  <c r="F1077" i="12"/>
  <c r="AC1077" i="12" s="1"/>
  <c r="F1078" i="12"/>
  <c r="I1078" i="12"/>
  <c r="J1078" i="12"/>
  <c r="H1078" i="12"/>
  <c r="G1078" i="12"/>
  <c r="F1054" i="12"/>
  <c r="G1054" i="12"/>
  <c r="I1054" i="12"/>
  <c r="J1054" i="12"/>
  <c r="H1054" i="12"/>
  <c r="G1056" i="12"/>
  <c r="F1056" i="12"/>
  <c r="AC1056" i="12" s="1"/>
  <c r="G1063" i="12"/>
  <c r="F1063" i="12"/>
  <c r="AC1063" i="12" s="1"/>
  <c r="H1039" i="12"/>
  <c r="G1039" i="12"/>
  <c r="F1039" i="12"/>
  <c r="G1043" i="12"/>
  <c r="H1043" i="12"/>
  <c r="F1043" i="12"/>
  <c r="G1044" i="12"/>
  <c r="H1044" i="12"/>
  <c r="F1044" i="12"/>
  <c r="H1045" i="12"/>
  <c r="G1045" i="12"/>
  <c r="F1045" i="12"/>
  <c r="K1048" i="12"/>
  <c r="H1048" i="12"/>
  <c r="J1048" i="12"/>
  <c r="G1048" i="12"/>
  <c r="F1048" i="12"/>
  <c r="I1048" i="12"/>
  <c r="F1049" i="12"/>
  <c r="G1049" i="12"/>
  <c r="H1049" i="12"/>
  <c r="H1050" i="12"/>
  <c r="G1050" i="12"/>
  <c r="F1050" i="12"/>
  <c r="AC1050" i="12" s="1"/>
  <c r="J1050" i="12"/>
  <c r="F1025" i="12"/>
  <c r="G1025" i="12"/>
  <c r="F1026" i="12"/>
  <c r="H1026" i="12"/>
  <c r="G1026" i="12"/>
  <c r="K1027" i="12"/>
  <c r="J1027" i="12"/>
  <c r="I1027" i="12"/>
  <c r="H1027" i="12"/>
  <c r="F1027" i="12"/>
  <c r="G1027" i="12"/>
  <c r="H1029" i="12"/>
  <c r="F1029" i="12"/>
  <c r="G1029" i="12"/>
  <c r="G1030" i="12"/>
  <c r="F1030" i="12"/>
  <c r="G1032" i="12"/>
  <c r="H1032" i="12"/>
  <c r="F1032" i="12"/>
  <c r="AC1032" i="12" s="1"/>
  <c r="F1033" i="12"/>
  <c r="G1033" i="12"/>
  <c r="I1033" i="12"/>
  <c r="H1033" i="12"/>
  <c r="N1035" i="12"/>
  <c r="AJ1036" i="12"/>
  <c r="Z1036" i="12"/>
  <c r="S1036" i="12"/>
  <c r="X1036" i="12"/>
  <c r="P1036" i="12"/>
  <c r="AI1036" i="12"/>
  <c r="V1036" i="12"/>
  <c r="Q1036" i="12"/>
  <c r="K1036" i="12"/>
  <c r="AL1036" i="12"/>
  <c r="AK1036" i="12"/>
  <c r="AA1036" i="12"/>
  <c r="Y1036" i="12"/>
  <c r="T1036" i="12"/>
  <c r="R1036" i="12"/>
  <c r="O1036" i="12"/>
  <c r="M1036" i="12"/>
  <c r="AM1036" i="12"/>
  <c r="W1036" i="12"/>
  <c r="U1036" i="12"/>
  <c r="N1036" i="12"/>
  <c r="F1010" i="12"/>
  <c r="J1010" i="12"/>
  <c r="I1010" i="12"/>
  <c r="G1010" i="12"/>
  <c r="H1010" i="12"/>
  <c r="M1012" i="12"/>
  <c r="J1012" i="12"/>
  <c r="N1012" i="12"/>
  <c r="K1012" i="12"/>
  <c r="AM1013" i="12"/>
  <c r="X1013" i="12"/>
  <c r="Q1013" i="12"/>
  <c r="N1013" i="12"/>
  <c r="AK1013" i="12"/>
  <c r="AA1013" i="12"/>
  <c r="R1013" i="12"/>
  <c r="V1013" i="12"/>
  <c r="O1013" i="12"/>
  <c r="K1013" i="12"/>
  <c r="J1013" i="12"/>
  <c r="Z1013" i="12"/>
  <c r="S1013" i="12"/>
  <c r="AL1013" i="12"/>
  <c r="AJ1013" i="12"/>
  <c r="AI1013" i="12"/>
  <c r="Y1013" i="12"/>
  <c r="W1013" i="12"/>
  <c r="U1013" i="12"/>
  <c r="T1013" i="12"/>
  <c r="P1013" i="12"/>
  <c r="M1013" i="12"/>
  <c r="F1014" i="12"/>
  <c r="G1014" i="12"/>
  <c r="O1016" i="12"/>
  <c r="N1016" i="12"/>
  <c r="AK1017" i="12"/>
  <c r="AI1017" i="12"/>
  <c r="X1017" i="12"/>
  <c r="T1017" i="12"/>
  <c r="Y1017" i="12"/>
  <c r="V1017" i="12"/>
  <c r="N1017" i="12"/>
  <c r="M1017" i="12"/>
  <c r="K1017" i="12"/>
  <c r="AL1017" i="12"/>
  <c r="Z1017" i="12"/>
  <c r="R1017" i="12"/>
  <c r="S1017" i="12"/>
  <c r="Q1017" i="12"/>
  <c r="AM1017" i="12"/>
  <c r="AJ1017" i="12"/>
  <c r="AA1017" i="12"/>
  <c r="W1017" i="12"/>
  <c r="U1017" i="12"/>
  <c r="P1017" i="12"/>
  <c r="O1017" i="12"/>
  <c r="N1019" i="12"/>
  <c r="K1019" i="12"/>
  <c r="J1019" i="12"/>
  <c r="I1019" i="12"/>
  <c r="F1021" i="12"/>
  <c r="G1021" i="12"/>
  <c r="H1022" i="12"/>
  <c r="K1022" i="12"/>
  <c r="I1022" i="12"/>
  <c r="J1022" i="12"/>
  <c r="M995" i="12"/>
  <c r="J995" i="12"/>
  <c r="K995" i="12"/>
  <c r="I995" i="12"/>
  <c r="AL996" i="12"/>
  <c r="AA996" i="12"/>
  <c r="Y996" i="12"/>
  <c r="T996" i="12"/>
  <c r="Q996" i="12"/>
  <c r="V996" i="12"/>
  <c r="O996" i="12"/>
  <c r="F996" i="12"/>
  <c r="P996" i="12"/>
  <c r="N996" i="12"/>
  <c r="K996" i="12"/>
  <c r="H996" i="12"/>
  <c r="AI996" i="12"/>
  <c r="X996" i="12"/>
  <c r="S996" i="12"/>
  <c r="M996" i="12"/>
  <c r="I996" i="12"/>
  <c r="G996" i="12"/>
  <c r="AK996" i="12"/>
  <c r="R996" i="12"/>
  <c r="AM996" i="12"/>
  <c r="AJ996" i="12"/>
  <c r="Z996" i="12"/>
  <c r="W996" i="12"/>
  <c r="U996" i="12"/>
  <c r="J996" i="12"/>
  <c r="K1000" i="12"/>
  <c r="N1000" i="12"/>
  <c r="M1000" i="12"/>
  <c r="O1001" i="12"/>
  <c r="P1001" i="12"/>
  <c r="J1001" i="12"/>
  <c r="M1001" i="12"/>
  <c r="Q1001" i="12"/>
  <c r="N1001" i="12"/>
  <c r="M1002" i="12"/>
  <c r="O1002" i="12"/>
  <c r="K1002" i="12"/>
  <c r="N1002" i="12"/>
  <c r="F1003" i="12"/>
  <c r="J1003" i="12"/>
  <c r="G1003" i="12"/>
  <c r="K1003" i="12"/>
  <c r="H1003" i="12"/>
  <c r="I1003" i="12"/>
  <c r="M1008" i="12"/>
  <c r="K1008" i="12"/>
  <c r="M981" i="12"/>
  <c r="K981" i="12"/>
  <c r="N981" i="12"/>
  <c r="J984" i="12"/>
  <c r="H984" i="12"/>
  <c r="I984" i="12"/>
  <c r="K984" i="12"/>
  <c r="Q988" i="12"/>
  <c r="R988" i="12"/>
  <c r="J990" i="12"/>
  <c r="K990" i="12"/>
  <c r="M967" i="12"/>
  <c r="N967" i="12"/>
  <c r="K967" i="12"/>
  <c r="P976" i="12"/>
  <c r="O976" i="12"/>
  <c r="Q976" i="12"/>
  <c r="K979" i="12"/>
  <c r="H980" i="12"/>
  <c r="I980" i="12"/>
  <c r="K953" i="12"/>
  <c r="M953" i="12"/>
  <c r="J958" i="12"/>
  <c r="I958" i="12"/>
  <c r="N961" i="12"/>
  <c r="K961" i="12"/>
  <c r="M961" i="12"/>
  <c r="K962" i="12"/>
  <c r="M962" i="12"/>
  <c r="N962" i="12"/>
  <c r="K963" i="12"/>
  <c r="O939" i="12"/>
  <c r="N939" i="12"/>
  <c r="P939" i="12"/>
  <c r="M939" i="12"/>
  <c r="M950" i="12"/>
  <c r="K950" i="12"/>
  <c r="J950" i="12"/>
  <c r="K925" i="12"/>
  <c r="M933" i="12"/>
  <c r="N933" i="12"/>
  <c r="G937" i="12"/>
  <c r="F937" i="12"/>
  <c r="H937" i="12"/>
  <c r="G938" i="12"/>
  <c r="F938" i="12"/>
  <c r="G917" i="12"/>
  <c r="F917" i="12"/>
  <c r="H922" i="12"/>
  <c r="F922" i="12"/>
  <c r="F923" i="12"/>
  <c r="G923" i="12"/>
  <c r="G924" i="12"/>
  <c r="F924" i="12"/>
  <c r="AC924" i="12" s="1"/>
  <c r="H924" i="12"/>
  <c r="F902" i="12"/>
  <c r="H902" i="12"/>
  <c r="J902" i="12"/>
  <c r="G902" i="12"/>
  <c r="I902" i="12"/>
  <c r="AL903" i="12"/>
  <c r="Y903" i="12"/>
  <c r="W903" i="12"/>
  <c r="I903" i="12"/>
  <c r="G903" i="12"/>
  <c r="AM903" i="12"/>
  <c r="AI903" i="12"/>
  <c r="Z903" i="12"/>
  <c r="V903" i="12"/>
  <c r="AK903" i="12"/>
  <c r="AA903" i="12"/>
  <c r="U903" i="12"/>
  <c r="R903" i="12"/>
  <c r="P903" i="12"/>
  <c r="K903" i="12"/>
  <c r="X903" i="12"/>
  <c r="Q903" i="12"/>
  <c r="H903" i="12"/>
  <c r="AJ903" i="12"/>
  <c r="O903" i="12"/>
  <c r="M903" i="12"/>
  <c r="T903" i="12"/>
  <c r="N903" i="12"/>
  <c r="F903" i="12"/>
  <c r="S903" i="12"/>
  <c r="J903" i="12"/>
  <c r="F905" i="12"/>
  <c r="G905" i="12"/>
  <c r="S909" i="12"/>
  <c r="G909" i="12"/>
  <c r="AK909" i="12"/>
  <c r="N909" i="12"/>
  <c r="AI909" i="12"/>
  <c r="Y909" i="12"/>
  <c r="V909" i="12"/>
  <c r="J909" i="12"/>
  <c r="F909" i="12"/>
  <c r="AC909" i="12" s="1"/>
  <c r="U909" i="12"/>
  <c r="I909" i="12"/>
  <c r="AM909" i="12"/>
  <c r="Z909" i="12"/>
  <c r="W909" i="12"/>
  <c r="R909" i="12"/>
  <c r="O909" i="12"/>
  <c r="X909" i="12"/>
  <c r="Q909" i="12"/>
  <c r="AL909" i="12"/>
  <c r="AJ909" i="12"/>
  <c r="AA909" i="12"/>
  <c r="T909" i="12"/>
  <c r="P909" i="12"/>
  <c r="M909" i="12"/>
  <c r="K909" i="12"/>
  <c r="H909" i="12"/>
  <c r="S910" i="12"/>
  <c r="AI910" i="12"/>
  <c r="AJ910" i="12"/>
  <c r="AK910" i="12"/>
  <c r="AL910" i="12"/>
  <c r="K910" i="12"/>
  <c r="N910" i="12"/>
  <c r="M910" i="12"/>
  <c r="O910" i="12"/>
  <c r="J910" i="12"/>
  <c r="I910" i="12"/>
  <c r="H910" i="12"/>
  <c r="AM910" i="12"/>
  <c r="P910" i="12"/>
  <c r="G910" i="12"/>
  <c r="F910" i="12"/>
  <c r="Q910" i="12"/>
  <c r="R910" i="12"/>
  <c r="T910" i="12"/>
  <c r="U910" i="12"/>
  <c r="V910" i="12"/>
  <c r="W910" i="12"/>
  <c r="X910" i="12"/>
  <c r="Y910" i="12"/>
  <c r="Z910" i="12"/>
  <c r="AA910" i="12"/>
  <c r="F839" i="12"/>
  <c r="G839" i="12"/>
  <c r="F840" i="12"/>
  <c r="H840" i="12"/>
  <c r="I715" i="12"/>
  <c r="J715" i="12"/>
  <c r="N720" i="12"/>
  <c r="Q720" i="12"/>
  <c r="M720" i="12"/>
  <c r="O720" i="12"/>
  <c r="I722" i="12"/>
  <c r="J722" i="12"/>
  <c r="H722" i="12"/>
  <c r="O701" i="12"/>
  <c r="N701" i="12"/>
  <c r="DF5" i="12"/>
  <c r="DF6" i="12"/>
  <c r="DE5" i="12"/>
  <c r="DE6" i="12"/>
  <c r="DD5" i="12"/>
  <c r="DD6" i="12"/>
  <c r="DC5" i="12"/>
  <c r="DC6" i="12"/>
  <c r="DB5" i="12"/>
  <c r="DB6" i="12"/>
  <c r="DA5" i="12"/>
  <c r="DA6" i="12"/>
  <c r="CZ5" i="12"/>
  <c r="CZ6" i="12"/>
  <c r="CY5" i="12"/>
  <c r="CY6" i="12"/>
  <c r="CX5" i="12"/>
  <c r="CX6" i="12"/>
  <c r="CW5" i="12"/>
  <c r="CW6" i="12"/>
  <c r="CV5" i="12"/>
  <c r="CV6" i="12"/>
  <c r="CU5" i="12"/>
  <c r="CU6" i="12"/>
  <c r="CT5" i="12"/>
  <c r="CT6" i="12"/>
  <c r="CS5" i="12"/>
  <c r="CS6" i="12"/>
  <c r="CR5" i="12"/>
  <c r="CR6" i="12"/>
  <c r="CQ5" i="12"/>
  <c r="CQ6" i="12"/>
  <c r="CP5" i="12"/>
  <c r="CP6" i="12"/>
  <c r="CO5" i="12"/>
  <c r="CO6" i="12"/>
  <c r="CN5" i="12"/>
  <c r="CN6" i="12"/>
  <c r="CM5" i="12"/>
  <c r="CM6" i="12"/>
  <c r="CL5" i="12"/>
  <c r="CL6" i="12"/>
  <c r="CK5" i="12"/>
  <c r="CK6" i="12"/>
  <c r="CJ5" i="12"/>
  <c r="CJ6" i="12"/>
  <c r="CI5" i="12"/>
  <c r="CI6" i="12"/>
  <c r="CH5" i="12"/>
  <c r="CH6" i="12"/>
  <c r="CG5" i="12"/>
  <c r="CG6" i="12"/>
  <c r="CF5" i="12"/>
  <c r="CF6" i="12"/>
  <c r="CE5" i="12"/>
  <c r="CE6" i="12"/>
  <c r="CD5" i="12"/>
  <c r="CD6" i="12"/>
  <c r="CC5" i="12"/>
  <c r="CC6" i="12"/>
  <c r="CB5" i="12"/>
  <c r="CB6" i="12"/>
  <c r="CA5" i="12"/>
  <c r="CA6" i="12"/>
  <c r="BZ5" i="12"/>
  <c r="BZ6" i="12"/>
  <c r="BY5" i="12"/>
  <c r="BY6" i="12"/>
  <c r="BX5" i="12"/>
  <c r="BX6" i="12"/>
  <c r="BW5" i="12"/>
  <c r="BW6" i="12"/>
  <c r="BV5" i="12"/>
  <c r="BV6" i="12"/>
  <c r="BU5" i="12"/>
  <c r="BU6" i="12"/>
  <c r="BT5" i="12"/>
  <c r="BT6" i="12"/>
  <c r="BS5" i="12"/>
  <c r="BS6" i="12"/>
  <c r="BR5" i="12"/>
  <c r="BR6" i="12"/>
  <c r="BQ5" i="12"/>
  <c r="BQ6" i="12"/>
  <c r="BP5" i="12"/>
  <c r="BP6" i="12"/>
  <c r="BO5" i="12"/>
  <c r="BO6" i="12"/>
  <c r="BN5" i="12"/>
  <c r="BN6" i="12"/>
  <c r="BM5" i="12"/>
  <c r="BM6" i="12"/>
  <c r="BL5" i="12"/>
  <c r="BL6" i="12"/>
  <c r="BK5" i="12"/>
  <c r="BK6" i="12"/>
  <c r="BJ5" i="12"/>
  <c r="BJ6" i="12"/>
  <c r="BI5" i="12"/>
  <c r="BI6" i="12"/>
  <c r="BH5" i="12"/>
  <c r="BH6" i="12"/>
  <c r="BG5" i="12"/>
  <c r="BG6" i="12"/>
  <c r="BF5" i="12"/>
  <c r="BF6" i="12"/>
  <c r="BE5" i="12"/>
  <c r="BE6" i="12"/>
  <c r="BD5" i="12"/>
  <c r="BD6" i="12"/>
  <c r="BC5" i="12"/>
  <c r="BC6" i="12"/>
  <c r="BB5" i="12"/>
  <c r="BB6" i="12"/>
  <c r="BA5" i="12"/>
  <c r="BA6" i="12"/>
  <c r="AZ5" i="12"/>
  <c r="AZ6" i="12"/>
  <c r="AY5" i="12"/>
  <c r="AY6" i="12"/>
  <c r="AX5" i="12"/>
  <c r="AX6" i="12"/>
  <c r="AW5" i="12"/>
  <c r="AW6" i="12"/>
  <c r="AV5" i="12"/>
  <c r="AV6" i="12"/>
  <c r="AU5" i="12"/>
  <c r="AU6" i="12"/>
  <c r="AT5" i="12"/>
  <c r="AT6" i="12"/>
  <c r="AS5" i="12"/>
  <c r="AS6" i="12"/>
  <c r="AR5" i="12"/>
  <c r="AR6" i="12"/>
  <c r="AQ5" i="12"/>
  <c r="AQ6" i="12"/>
  <c r="AP5" i="12"/>
  <c r="AP6" i="12"/>
  <c r="AO5" i="12"/>
  <c r="AO6" i="12"/>
  <c r="AN5" i="12"/>
  <c r="AN6" i="12"/>
  <c r="AM5" i="12"/>
  <c r="AM6" i="12"/>
  <c r="AL5" i="12"/>
  <c r="AL6" i="12"/>
  <c r="AK5" i="12"/>
  <c r="AK6" i="12"/>
  <c r="AJ5" i="12"/>
  <c r="AJ6" i="12"/>
  <c r="AC1253" i="12"/>
  <c r="AC1361" i="12"/>
  <c r="AC1293" i="12"/>
  <c r="E466" i="12"/>
  <c r="E583" i="12"/>
  <c r="E353" i="12"/>
  <c r="E344" i="12"/>
  <c r="E257" i="12"/>
  <c r="E179" i="12"/>
  <c r="E580" i="12"/>
  <c r="E582" i="12"/>
  <c r="E485" i="12"/>
  <c r="E374" i="12"/>
  <c r="E351" i="12"/>
  <c r="E348" i="12"/>
  <c r="E326" i="12"/>
  <c r="E253" i="12"/>
  <c r="E170" i="12"/>
  <c r="E569" i="12"/>
  <c r="E511" i="12"/>
  <c r="E457" i="12"/>
  <c r="E403" i="12"/>
  <c r="E375" i="12"/>
  <c r="E273" i="12"/>
  <c r="E256" i="12"/>
  <c r="E265" i="12"/>
  <c r="E194" i="12"/>
  <c r="E556" i="12"/>
  <c r="E494" i="12"/>
  <c r="E480" i="12"/>
  <c r="E542" i="12"/>
  <c r="E914" i="12"/>
  <c r="E379" i="12"/>
  <c r="E328" i="12"/>
  <c r="E276" i="12"/>
  <c r="E252" i="12"/>
  <c r="E204" i="12"/>
  <c r="E133" i="12"/>
  <c r="E134" i="12"/>
  <c r="E136" i="12"/>
  <c r="E138" i="12"/>
  <c r="E123" i="12"/>
  <c r="E124" i="12"/>
  <c r="E125" i="12"/>
  <c r="E99" i="12"/>
  <c r="E106" i="12"/>
  <c r="E107" i="12"/>
  <c r="E108" i="12"/>
  <c r="E109" i="12"/>
  <c r="E92" i="12"/>
  <c r="E53" i="12"/>
  <c r="E54" i="12"/>
  <c r="E29" i="12"/>
  <c r="E42" i="12"/>
  <c r="E21" i="12"/>
  <c r="E23" i="12"/>
  <c r="E24" i="12"/>
  <c r="E25" i="12"/>
  <c r="E26" i="12"/>
  <c r="E28" i="12"/>
  <c r="B48" i="3"/>
  <c r="H48" i="3" s="1"/>
  <c r="C48" i="3"/>
  <c r="I48" i="3" s="1"/>
  <c r="AI3" i="5"/>
  <c r="AH3" i="5"/>
  <c r="E544" i="12"/>
  <c r="G1497" i="12"/>
  <c r="F1497" i="12"/>
  <c r="H1497" i="12"/>
  <c r="I1497" i="12"/>
  <c r="J1497" i="12"/>
  <c r="F1478" i="12"/>
  <c r="G1478" i="12"/>
  <c r="F1479" i="12"/>
  <c r="G1479" i="12"/>
  <c r="F1484" i="12"/>
  <c r="G1484" i="12"/>
  <c r="H1484" i="12"/>
  <c r="G1461" i="12"/>
  <c r="F1461" i="12"/>
  <c r="H1462" i="12"/>
  <c r="G1462" i="12"/>
  <c r="F1462" i="12"/>
  <c r="F1463" i="12"/>
  <c r="G1463" i="12"/>
  <c r="H1463" i="12"/>
  <c r="I1463" i="12"/>
  <c r="F1464" i="12"/>
  <c r="G1464" i="12"/>
  <c r="AL1446" i="12"/>
  <c r="AJ1446" i="12"/>
  <c r="Z1446" i="12"/>
  <c r="X1446" i="12"/>
  <c r="V1446" i="12"/>
  <c r="S1446" i="12"/>
  <c r="Q1446" i="12"/>
  <c r="O1446" i="12"/>
  <c r="I1446" i="12"/>
  <c r="AM1446" i="12"/>
  <c r="AK1446" i="12"/>
  <c r="AI1446" i="12"/>
  <c r="AA1446" i="12"/>
  <c r="Y1446" i="12"/>
  <c r="W1446" i="12"/>
  <c r="U1446" i="12"/>
  <c r="T1446" i="12"/>
  <c r="R1446" i="12"/>
  <c r="P1446" i="12"/>
  <c r="N1446" i="12"/>
  <c r="M1446" i="12"/>
  <c r="K1446" i="12"/>
  <c r="J1446" i="12"/>
  <c r="H1446" i="12"/>
  <c r="G1446" i="12"/>
  <c r="F1446" i="12"/>
  <c r="F1451" i="12"/>
  <c r="G1451" i="12"/>
  <c r="H1451" i="12"/>
  <c r="G1429" i="12"/>
  <c r="F1429" i="12"/>
  <c r="H1436" i="12"/>
  <c r="G1436" i="12"/>
  <c r="F1436" i="12"/>
  <c r="H1437" i="12"/>
  <c r="G1437" i="12"/>
  <c r="F1437" i="12"/>
  <c r="I1437" i="12"/>
  <c r="Z1353" i="12"/>
  <c r="AA1353" i="12"/>
  <c r="AC1353" i="12"/>
  <c r="AJ1353" i="12"/>
  <c r="AK1353" i="12"/>
  <c r="AL1353" i="12"/>
  <c r="AM1353" i="12"/>
  <c r="AI1353" i="12"/>
  <c r="AA1269" i="12"/>
  <c r="Z1269" i="12"/>
  <c r="Y1269" i="12"/>
  <c r="X1269" i="12"/>
  <c r="AM1269" i="12"/>
  <c r="AL1269" i="12"/>
  <c r="U1269" i="12"/>
  <c r="T1269" i="12"/>
  <c r="S1269" i="12"/>
  <c r="R1269" i="12"/>
  <c r="V1269" i="12"/>
  <c r="AK1269" i="12"/>
  <c r="AJ1269" i="12"/>
  <c r="AI1269" i="12"/>
  <c r="AC1269" i="12"/>
  <c r="W1269" i="12"/>
  <c r="G1118" i="12"/>
  <c r="I1118" i="12"/>
  <c r="H1118" i="12"/>
  <c r="F1118" i="12"/>
  <c r="F1096" i="12"/>
  <c r="G1096" i="12"/>
  <c r="H1096" i="12"/>
  <c r="AA1101" i="12"/>
  <c r="O1101" i="12"/>
  <c r="P1101" i="12"/>
  <c r="Z1101" i="12"/>
  <c r="AJ1101" i="12"/>
  <c r="Q1101" i="12"/>
  <c r="R1101" i="12"/>
  <c r="S1101" i="12"/>
  <c r="T1101" i="12"/>
  <c r="U1101" i="12"/>
  <c r="W1101" i="12"/>
  <c r="AM1101" i="12"/>
  <c r="AK1101" i="12"/>
  <c r="V1101" i="12"/>
  <c r="Y1101" i="12"/>
  <c r="X1101" i="12"/>
  <c r="AI1101" i="12"/>
  <c r="AL1101" i="12"/>
  <c r="M1101" i="12"/>
  <c r="N1101" i="12"/>
  <c r="F1035" i="12"/>
  <c r="M1035" i="12"/>
  <c r="G1035" i="12"/>
  <c r="H1035" i="12"/>
  <c r="I1035" i="12"/>
  <c r="K1035" i="12"/>
  <c r="J1035" i="12"/>
  <c r="F1036" i="12"/>
  <c r="G1036" i="12"/>
  <c r="H1036" i="12"/>
  <c r="I1036" i="12"/>
  <c r="J1036" i="12"/>
  <c r="AK1009" i="12"/>
  <c r="AJ1009" i="12"/>
  <c r="AA1009" i="12"/>
  <c r="W1009" i="12"/>
  <c r="R1009" i="12"/>
  <c r="O1009" i="12"/>
  <c r="M1009" i="12"/>
  <c r="AM1009" i="12"/>
  <c r="AI1009" i="12"/>
  <c r="Y1009" i="12"/>
  <c r="U1009" i="12"/>
  <c r="S1009" i="12"/>
  <c r="Q1009" i="12"/>
  <c r="N1009" i="12"/>
  <c r="K1009" i="12"/>
  <c r="I1009" i="12"/>
  <c r="H1009" i="12"/>
  <c r="F1009" i="12"/>
  <c r="AL1009" i="12"/>
  <c r="Z1009" i="12"/>
  <c r="X1009" i="12"/>
  <c r="V1009" i="12"/>
  <c r="T1009" i="12"/>
  <c r="P1009" i="12"/>
  <c r="J1009" i="12"/>
  <c r="G1009" i="12"/>
  <c r="F1012" i="12"/>
  <c r="G1012" i="12"/>
  <c r="H1012" i="12"/>
  <c r="I1012" i="12"/>
  <c r="H1013" i="12"/>
  <c r="G1013" i="12"/>
  <c r="I1013" i="12"/>
  <c r="F1013" i="12"/>
  <c r="AC1013" i="12" s="1"/>
  <c r="K1015" i="12"/>
  <c r="I1015" i="12"/>
  <c r="G1015" i="12"/>
  <c r="F1015" i="12"/>
  <c r="AC1015" i="12" s="1"/>
  <c r="H1015" i="12"/>
  <c r="J1015" i="12"/>
  <c r="I1016" i="12"/>
  <c r="F1016" i="12"/>
  <c r="H1016" i="12"/>
  <c r="K1016" i="12"/>
  <c r="M1016" i="12"/>
  <c r="J1016" i="12"/>
  <c r="G1016" i="12"/>
  <c r="F1017" i="12"/>
  <c r="H1017" i="12"/>
  <c r="J1017" i="12"/>
  <c r="I1017" i="12"/>
  <c r="G1017" i="12"/>
  <c r="F1019" i="12"/>
  <c r="G1019" i="12"/>
  <c r="H1019" i="12"/>
  <c r="F1022" i="12"/>
  <c r="G1022" i="12"/>
  <c r="F995" i="12"/>
  <c r="H995" i="12"/>
  <c r="G995" i="12"/>
  <c r="AM998" i="12"/>
  <c r="V998" i="12"/>
  <c r="R998" i="12"/>
  <c r="P998" i="12"/>
  <c r="M998" i="12"/>
  <c r="H998" i="12"/>
  <c r="AL998" i="12"/>
  <c r="I998" i="12"/>
  <c r="Z998" i="12"/>
  <c r="X998" i="12"/>
  <c r="U998" i="12"/>
  <c r="O998" i="12"/>
  <c r="K998" i="12"/>
  <c r="F998" i="12"/>
  <c r="AK998" i="12"/>
  <c r="AJ998" i="12"/>
  <c r="AI998" i="12"/>
  <c r="AA998" i="12"/>
  <c r="Y998" i="12"/>
  <c r="W998" i="12"/>
  <c r="T998" i="12"/>
  <c r="S998" i="12"/>
  <c r="Q998" i="12"/>
  <c r="N998" i="12"/>
  <c r="J998" i="12"/>
  <c r="G998" i="12"/>
  <c r="I999" i="12"/>
  <c r="H999" i="12"/>
  <c r="G999" i="12"/>
  <c r="F999" i="12"/>
  <c r="H1000" i="12"/>
  <c r="G1000" i="12"/>
  <c r="J1000" i="12"/>
  <c r="F1000" i="12"/>
  <c r="AC1000" i="12" s="1"/>
  <c r="I1000" i="12"/>
  <c r="I1001" i="12"/>
  <c r="G1001" i="12"/>
  <c r="K1001" i="12"/>
  <c r="F1001" i="12"/>
  <c r="H1001" i="12"/>
  <c r="F1002" i="12"/>
  <c r="G1002" i="12"/>
  <c r="H1002" i="12"/>
  <c r="J1002" i="12"/>
  <c r="I1002" i="12"/>
  <c r="AA1005" i="12"/>
  <c r="W1005" i="12"/>
  <c r="P1005" i="12"/>
  <c r="N1005" i="12"/>
  <c r="K1005" i="12"/>
  <c r="G1005" i="12"/>
  <c r="AK1005" i="12"/>
  <c r="Z1005" i="12"/>
  <c r="U1005" i="12"/>
  <c r="S1005" i="12"/>
  <c r="Q1005" i="12"/>
  <c r="O1005" i="12"/>
  <c r="I1005" i="12"/>
  <c r="H1005" i="12"/>
  <c r="AL1005" i="12"/>
  <c r="AJ1005" i="12"/>
  <c r="AM1005" i="12"/>
  <c r="AI1005" i="12"/>
  <c r="Y1005" i="12"/>
  <c r="V1005" i="12"/>
  <c r="R1005" i="12"/>
  <c r="J1005" i="12"/>
  <c r="X1005" i="12"/>
  <c r="T1005" i="12"/>
  <c r="M1005" i="12"/>
  <c r="F1005" i="12"/>
  <c r="AC1005" i="12" s="1"/>
  <c r="AL1006" i="12"/>
  <c r="X1006" i="12"/>
  <c r="V1006" i="12"/>
  <c r="R1006" i="12"/>
  <c r="H1006" i="12"/>
  <c r="AM1006" i="12"/>
  <c r="Z1006" i="12"/>
  <c r="AI1006" i="12"/>
  <c r="Y1006" i="12"/>
  <c r="W1006" i="12"/>
  <c r="U1006" i="12"/>
  <c r="P1006" i="12"/>
  <c r="N1006" i="12"/>
  <c r="M1006" i="12"/>
  <c r="K1006" i="12"/>
  <c r="AJ1006" i="12"/>
  <c r="AK1006" i="12"/>
  <c r="AA1006" i="12"/>
  <c r="T1006" i="12"/>
  <c r="S1006" i="12"/>
  <c r="Q1006" i="12"/>
  <c r="O1006" i="12"/>
  <c r="J1006" i="12"/>
  <c r="I1006" i="12"/>
  <c r="G1006" i="12"/>
  <c r="F1006" i="12"/>
  <c r="U1007" i="12"/>
  <c r="R1007" i="12"/>
  <c r="V1007" i="12"/>
  <c r="J1007" i="12"/>
  <c r="H1007" i="12"/>
  <c r="G1007" i="12"/>
  <c r="F1007" i="12"/>
  <c r="AL1007" i="12"/>
  <c r="Z1007" i="12"/>
  <c r="X1007" i="12"/>
  <c r="T1007" i="12"/>
  <c r="S1007" i="12"/>
  <c r="O1007" i="12"/>
  <c r="M1007" i="12"/>
  <c r="AM1007" i="12"/>
  <c r="AJ1007" i="12"/>
  <c r="AA1007" i="12"/>
  <c r="W1007" i="12"/>
  <c r="Q1007" i="12"/>
  <c r="N1007" i="12"/>
  <c r="K1007" i="12"/>
  <c r="AK1007" i="12"/>
  <c r="AI1007" i="12"/>
  <c r="Y1007" i="12"/>
  <c r="P1007" i="12"/>
  <c r="I1007" i="12"/>
  <c r="I1008" i="12"/>
  <c r="F1008" i="12"/>
  <c r="H1008" i="12"/>
  <c r="J1008" i="12"/>
  <c r="G1008" i="12"/>
  <c r="G981" i="12"/>
  <c r="J981" i="12"/>
  <c r="H981" i="12"/>
  <c r="I981" i="12"/>
  <c r="F981" i="12"/>
  <c r="AC981" i="12" s="1"/>
  <c r="AM982" i="12"/>
  <c r="W982" i="12"/>
  <c r="U982" i="12"/>
  <c r="Q982" i="12"/>
  <c r="N982" i="12"/>
  <c r="AL982" i="12"/>
  <c r="AJ982" i="12"/>
  <c r="AA982" i="12"/>
  <c r="M982" i="12"/>
  <c r="I982" i="12"/>
  <c r="G982" i="12"/>
  <c r="F982" i="12"/>
  <c r="AI982" i="12"/>
  <c r="Y982" i="12"/>
  <c r="S982" i="12"/>
  <c r="K982" i="12"/>
  <c r="J982" i="12"/>
  <c r="Z982" i="12"/>
  <c r="V982" i="12"/>
  <c r="R982" i="12"/>
  <c r="O982" i="12"/>
  <c r="AK982" i="12"/>
  <c r="X982" i="12"/>
  <c r="T982" i="12"/>
  <c r="P982" i="12"/>
  <c r="H982" i="12"/>
  <c r="G984" i="12"/>
  <c r="F984" i="12"/>
  <c r="AC984" i="12" s="1"/>
  <c r="G988" i="12"/>
  <c r="I988" i="12"/>
  <c r="K988" i="12"/>
  <c r="M988" i="12"/>
  <c r="O988" i="12"/>
  <c r="H988" i="12"/>
  <c r="J988" i="12"/>
  <c r="P988" i="12"/>
  <c r="N988" i="12"/>
  <c r="F988" i="12"/>
  <c r="AC988" i="12" s="1"/>
  <c r="G990" i="12"/>
  <c r="F990" i="12"/>
  <c r="H990" i="12"/>
  <c r="I990" i="12"/>
  <c r="AJ992" i="12"/>
  <c r="Y992" i="12"/>
  <c r="W992" i="12"/>
  <c r="K992" i="12"/>
  <c r="H992" i="12"/>
  <c r="AA992" i="12"/>
  <c r="X992" i="12"/>
  <c r="U992" i="12"/>
  <c r="S992" i="12"/>
  <c r="N992" i="12"/>
  <c r="AM992" i="12"/>
  <c r="AK992" i="12"/>
  <c r="AI992" i="12"/>
  <c r="T992" i="12"/>
  <c r="Q992" i="12"/>
  <c r="O992" i="12"/>
  <c r="M992" i="12"/>
  <c r="V992" i="12"/>
  <c r="R992" i="12"/>
  <c r="P992" i="12"/>
  <c r="I992" i="12"/>
  <c r="F992" i="12"/>
  <c r="AL992" i="12"/>
  <c r="Z992" i="12"/>
  <c r="J992" i="12"/>
  <c r="G992" i="12"/>
  <c r="G967" i="12"/>
  <c r="I967" i="12"/>
  <c r="H967" i="12"/>
  <c r="J967" i="12"/>
  <c r="F967" i="12"/>
  <c r="AC967" i="12" s="1"/>
  <c r="AL975" i="12"/>
  <c r="W975" i="12"/>
  <c r="S975" i="12"/>
  <c r="Q975" i="12"/>
  <c r="J975" i="12"/>
  <c r="H975" i="12"/>
  <c r="AA975" i="12"/>
  <c r="X975" i="12"/>
  <c r="U975" i="12"/>
  <c r="N975" i="12"/>
  <c r="K975" i="12"/>
  <c r="AJ975" i="12"/>
  <c r="Y975" i="12"/>
  <c r="V975" i="12"/>
  <c r="O975" i="12"/>
  <c r="AM975" i="12"/>
  <c r="AK975" i="12"/>
  <c r="F975" i="12"/>
  <c r="AI975" i="12"/>
  <c r="Z975" i="12"/>
  <c r="T975" i="12"/>
  <c r="R975" i="12"/>
  <c r="P975" i="12"/>
  <c r="M975" i="12"/>
  <c r="I975" i="12"/>
  <c r="G975" i="12"/>
  <c r="G976" i="12"/>
  <c r="I976" i="12"/>
  <c r="M976" i="12"/>
  <c r="N976" i="12"/>
  <c r="J976" i="12"/>
  <c r="H976" i="12"/>
  <c r="F976" i="12"/>
  <c r="AC976" i="12" s="1"/>
  <c r="K976" i="12"/>
  <c r="I978" i="12"/>
  <c r="H978" i="12"/>
  <c r="G978" i="12"/>
  <c r="F978" i="12"/>
  <c r="AC978" i="12" s="1"/>
  <c r="J978" i="12"/>
  <c r="J979" i="12"/>
  <c r="G979" i="12"/>
  <c r="H979" i="12"/>
  <c r="F979" i="12"/>
  <c r="AC979" i="12" s="1"/>
  <c r="I979" i="12"/>
  <c r="G980" i="12"/>
  <c r="F980" i="12"/>
  <c r="H953" i="12"/>
  <c r="I953" i="12"/>
  <c r="F953" i="12"/>
  <c r="G953" i="12"/>
  <c r="J953" i="12"/>
  <c r="H958" i="12"/>
  <c r="G958" i="12"/>
  <c r="F958" i="12"/>
  <c r="H961" i="12"/>
  <c r="I961" i="12"/>
  <c r="J961" i="12"/>
  <c r="F961" i="12"/>
  <c r="G961" i="12"/>
  <c r="G962" i="12"/>
  <c r="F962" i="12"/>
  <c r="I962" i="12"/>
  <c r="J962" i="12"/>
  <c r="H962" i="12"/>
  <c r="G963" i="12"/>
  <c r="I963" i="12"/>
  <c r="J963" i="12"/>
  <c r="H963" i="12"/>
  <c r="F963" i="12"/>
  <c r="AC963" i="12" s="1"/>
  <c r="I939" i="12"/>
  <c r="F939" i="12"/>
  <c r="K939" i="12"/>
  <c r="H939" i="12"/>
  <c r="J939" i="12"/>
  <c r="G939" i="12"/>
  <c r="AL944" i="12"/>
  <c r="AI944" i="12"/>
  <c r="Y944" i="12"/>
  <c r="U944" i="12"/>
  <c r="X944" i="12"/>
  <c r="AK944" i="12"/>
  <c r="O944" i="12"/>
  <c r="M944" i="12"/>
  <c r="K944" i="12"/>
  <c r="Z944" i="12"/>
  <c r="V944" i="12"/>
  <c r="T944" i="12"/>
  <c r="R944" i="12"/>
  <c r="P944" i="12"/>
  <c r="N944" i="12"/>
  <c r="AM944" i="12"/>
  <c r="AJ944" i="12"/>
  <c r="AA944" i="12"/>
  <c r="W944" i="12"/>
  <c r="S944" i="12"/>
  <c r="Q944" i="12"/>
  <c r="J944" i="12"/>
  <c r="AM946" i="12"/>
  <c r="AI946" i="12"/>
  <c r="Y946" i="12"/>
  <c r="R946" i="12"/>
  <c r="W946" i="12"/>
  <c r="U946" i="12"/>
  <c r="P946" i="12"/>
  <c r="N946" i="12"/>
  <c r="AJ946" i="12"/>
  <c r="T946" i="12"/>
  <c r="O946" i="12"/>
  <c r="G946" i="12"/>
  <c r="AL946" i="12"/>
  <c r="AA946" i="12"/>
  <c r="Z946" i="12"/>
  <c r="X946" i="12"/>
  <c r="S946" i="12"/>
  <c r="Q946" i="12"/>
  <c r="M946" i="12"/>
  <c r="J946" i="12"/>
  <c r="H946" i="12"/>
  <c r="AK946" i="12"/>
  <c r="V946" i="12"/>
  <c r="K946" i="12"/>
  <c r="I946" i="12"/>
  <c r="F946" i="12"/>
  <c r="AC946" i="12" s="1"/>
  <c r="H950" i="12"/>
  <c r="F950" i="12"/>
  <c r="G950" i="12"/>
  <c r="I950" i="12"/>
  <c r="AK951" i="12"/>
  <c r="AA951" i="12"/>
  <c r="Y951" i="12"/>
  <c r="X951" i="12"/>
  <c r="V951" i="12"/>
  <c r="T951" i="12"/>
  <c r="Q951" i="12"/>
  <c r="N951" i="12"/>
  <c r="G951" i="12"/>
  <c r="AL951" i="12"/>
  <c r="AJ951" i="12"/>
  <c r="Z951" i="12"/>
  <c r="R951" i="12"/>
  <c r="P951" i="12"/>
  <c r="O951" i="12"/>
  <c r="M951" i="12"/>
  <c r="J951" i="12"/>
  <c r="AM951" i="12"/>
  <c r="S951" i="12"/>
  <c r="I951" i="12"/>
  <c r="AI951" i="12"/>
  <c r="W951" i="12"/>
  <c r="U951" i="12"/>
  <c r="K951" i="12"/>
  <c r="H951" i="12"/>
  <c r="F951" i="12"/>
  <c r="J925" i="12"/>
  <c r="F925" i="12"/>
  <c r="I925" i="12"/>
  <c r="G925" i="12"/>
  <c r="H925" i="12"/>
  <c r="AI927" i="12"/>
  <c r="Z927" i="12"/>
  <c r="U927" i="12"/>
  <c r="P927" i="12"/>
  <c r="M927" i="12"/>
  <c r="Y927" i="12"/>
  <c r="W927" i="12"/>
  <c r="S927" i="12"/>
  <c r="O927" i="12"/>
  <c r="AM927" i="12"/>
  <c r="AK927" i="12"/>
  <c r="AA927" i="12"/>
  <c r="V927" i="12"/>
  <c r="R927" i="12"/>
  <c r="K927" i="12"/>
  <c r="AL927" i="12"/>
  <c r="AJ927" i="12"/>
  <c r="I927" i="12"/>
  <c r="H927" i="12"/>
  <c r="G927" i="12"/>
  <c r="F927" i="12"/>
  <c r="X927" i="12"/>
  <c r="T927" i="12"/>
  <c r="Q927" i="12"/>
  <c r="N927" i="12"/>
  <c r="J927" i="12"/>
  <c r="AJ928" i="12"/>
  <c r="X928" i="12"/>
  <c r="V928" i="12"/>
  <c r="O928" i="12"/>
  <c r="AL928" i="12"/>
  <c r="AI928" i="12"/>
  <c r="Y928" i="12"/>
  <c r="W928" i="12"/>
  <c r="S928" i="12"/>
  <c r="P928" i="12"/>
  <c r="M928" i="12"/>
  <c r="I928" i="12"/>
  <c r="AK928" i="12"/>
  <c r="Z928" i="12"/>
  <c r="Q928" i="12"/>
  <c r="K928" i="12"/>
  <c r="H928" i="12"/>
  <c r="AM928" i="12"/>
  <c r="AA928" i="12"/>
  <c r="U928" i="12"/>
  <c r="T928" i="12"/>
  <c r="R928" i="12"/>
  <c r="N928" i="12"/>
  <c r="J928" i="12"/>
  <c r="G928" i="12"/>
  <c r="F928" i="12"/>
  <c r="AK931" i="12"/>
  <c r="Z931" i="12"/>
  <c r="S931" i="12"/>
  <c r="M931" i="12"/>
  <c r="K931" i="12"/>
  <c r="AM931" i="12"/>
  <c r="Q931" i="12"/>
  <c r="N931" i="12"/>
  <c r="I931" i="12"/>
  <c r="AL931" i="12"/>
  <c r="AJ931" i="12"/>
  <c r="W931" i="12"/>
  <c r="O931" i="12"/>
  <c r="H931" i="12"/>
  <c r="AI931" i="12"/>
  <c r="AA931" i="12"/>
  <c r="Y931" i="12"/>
  <c r="V931" i="12"/>
  <c r="R931" i="12"/>
  <c r="X931" i="12"/>
  <c r="U931" i="12"/>
  <c r="T931" i="12"/>
  <c r="P931" i="12"/>
  <c r="J931" i="12"/>
  <c r="S933" i="12"/>
  <c r="I933" i="12"/>
  <c r="G933" i="12"/>
  <c r="Z933" i="12"/>
  <c r="AI933" i="12"/>
  <c r="AA933" i="12"/>
  <c r="K933" i="12"/>
  <c r="Y933" i="12"/>
  <c r="AJ933" i="12"/>
  <c r="J933" i="12"/>
  <c r="H933" i="12"/>
  <c r="AK933" i="12"/>
  <c r="AM933" i="12"/>
  <c r="AL933" i="12"/>
  <c r="W933" i="12"/>
  <c r="V933" i="12"/>
  <c r="U933" i="12"/>
  <c r="F933" i="12"/>
  <c r="Q933" i="12"/>
  <c r="X933" i="12"/>
  <c r="R933" i="12"/>
  <c r="T933" i="12"/>
  <c r="G788" i="12"/>
  <c r="H788" i="12"/>
  <c r="F788" i="12"/>
  <c r="AC788" i="12" s="1"/>
  <c r="G789" i="12"/>
  <c r="J789" i="12"/>
  <c r="I789" i="12"/>
  <c r="F789" i="12"/>
  <c r="AC789" i="12" s="1"/>
  <c r="K789" i="12"/>
  <c r="H789" i="12"/>
  <c r="H791" i="12"/>
  <c r="G791" i="12"/>
  <c r="I791" i="12"/>
  <c r="F791" i="12"/>
  <c r="J791" i="12"/>
  <c r="I792" i="12"/>
  <c r="H792" i="12"/>
  <c r="F792" i="12"/>
  <c r="G792" i="12"/>
  <c r="F794" i="12"/>
  <c r="G794" i="12"/>
  <c r="I794" i="12"/>
  <c r="H794" i="12"/>
  <c r="G795" i="12"/>
  <c r="F795" i="12"/>
  <c r="AC795" i="12" s="1"/>
  <c r="I795" i="12"/>
  <c r="H795" i="12"/>
  <c r="AL772" i="12"/>
  <c r="X772" i="12"/>
  <c r="H772" i="12"/>
  <c r="AI772" i="12"/>
  <c r="V772" i="12"/>
  <c r="R772" i="12"/>
  <c r="W772" i="12"/>
  <c r="S772" i="12"/>
  <c r="Q772" i="12"/>
  <c r="O772" i="12"/>
  <c r="K772" i="12"/>
  <c r="AM772" i="12"/>
  <c r="Z772" i="12"/>
  <c r="N772" i="12"/>
  <c r="J772" i="12"/>
  <c r="AJ772" i="12"/>
  <c r="AA772" i="12"/>
  <c r="P772" i="12"/>
  <c r="M772" i="12"/>
  <c r="I772" i="12"/>
  <c r="Y772" i="12"/>
  <c r="T772" i="12"/>
  <c r="G772" i="12"/>
  <c r="F772" i="12"/>
  <c r="AC772" i="12" s="1"/>
  <c r="AK772" i="12"/>
  <c r="U772" i="12"/>
  <c r="K777" i="12"/>
  <c r="I777" i="12"/>
  <c r="G777" i="12"/>
  <c r="J777" i="12"/>
  <c r="F777" i="12"/>
  <c r="AC777" i="12" s="1"/>
  <c r="H777" i="12"/>
  <c r="F778" i="12"/>
  <c r="H778" i="12"/>
  <c r="I778" i="12"/>
  <c r="J778" i="12"/>
  <c r="G778" i="12"/>
  <c r="H782" i="12"/>
  <c r="I782" i="12"/>
  <c r="G782" i="12"/>
  <c r="F782" i="12"/>
  <c r="AC782" i="12" s="1"/>
  <c r="H757" i="12"/>
  <c r="I757" i="12"/>
  <c r="J757" i="12"/>
  <c r="K757" i="12"/>
  <c r="F757" i="12"/>
  <c r="G757" i="12"/>
  <c r="F759" i="12"/>
  <c r="G759" i="12"/>
  <c r="H759" i="12"/>
  <c r="I759" i="12"/>
  <c r="R760" i="12"/>
  <c r="AK760" i="12"/>
  <c r="AI760" i="12"/>
  <c r="AA760" i="12"/>
  <c r="W760" i="12"/>
  <c r="T760" i="12"/>
  <c r="N760" i="12"/>
  <c r="M760" i="12"/>
  <c r="K760" i="12"/>
  <c r="F760" i="12"/>
  <c r="U760" i="12"/>
  <c r="Q760" i="12"/>
  <c r="O760" i="12"/>
  <c r="Z760" i="12"/>
  <c r="J760" i="12"/>
  <c r="G760" i="12"/>
  <c r="AC760" i="12" s="1"/>
  <c r="Y760" i="12"/>
  <c r="S760" i="12"/>
  <c r="AM760" i="12"/>
  <c r="AL760" i="12"/>
  <c r="AJ760" i="12"/>
  <c r="X760" i="12"/>
  <c r="V760" i="12"/>
  <c r="P760" i="12"/>
  <c r="H760" i="12"/>
  <c r="I760" i="12"/>
  <c r="G764" i="12"/>
  <c r="F764" i="12"/>
  <c r="H769" i="12"/>
  <c r="F769" i="12"/>
  <c r="G769" i="12"/>
  <c r="J770" i="12"/>
  <c r="F770" i="12"/>
  <c r="G770" i="12"/>
  <c r="H770" i="12"/>
  <c r="I770" i="12"/>
  <c r="J743" i="12"/>
  <c r="K743" i="12"/>
  <c r="H743" i="12"/>
  <c r="I743" i="12"/>
  <c r="G743" i="12"/>
  <c r="F743" i="12"/>
  <c r="AC743" i="12" s="1"/>
  <c r="H748" i="12"/>
  <c r="J748" i="12"/>
  <c r="F748" i="12"/>
  <c r="G748" i="12"/>
  <c r="I748" i="12"/>
  <c r="AM750" i="12"/>
  <c r="O750" i="12"/>
  <c r="F750" i="12"/>
  <c r="AI750" i="12"/>
  <c r="K750" i="12"/>
  <c r="Z750" i="12"/>
  <c r="M750" i="12"/>
  <c r="J750" i="12"/>
  <c r="H750" i="12"/>
  <c r="S750" i="12"/>
  <c r="Q750" i="12"/>
  <c r="N750" i="12"/>
  <c r="Y750" i="12"/>
  <c r="V750" i="12"/>
  <c r="AL750" i="12"/>
  <c r="W750" i="12"/>
  <c r="T750" i="12"/>
  <c r="G750" i="12"/>
  <c r="AK750" i="12"/>
  <c r="AJ750" i="12"/>
  <c r="AA750" i="12"/>
  <c r="U750" i="12"/>
  <c r="R750" i="12"/>
  <c r="P750" i="12"/>
  <c r="X750" i="12"/>
  <c r="I750" i="12"/>
  <c r="F752" i="12"/>
  <c r="J752" i="12"/>
  <c r="H752" i="12"/>
  <c r="I752" i="12"/>
  <c r="G752" i="12"/>
  <c r="K752" i="12"/>
  <c r="AK754" i="12"/>
  <c r="X754" i="12"/>
  <c r="R754" i="12"/>
  <c r="P754" i="12"/>
  <c r="H754" i="12"/>
  <c r="F754" i="12"/>
  <c r="AM754" i="12"/>
  <c r="Z754" i="12"/>
  <c r="O754" i="12"/>
  <c r="M754" i="12"/>
  <c r="K754" i="12"/>
  <c r="AA754" i="12"/>
  <c r="W754" i="12"/>
  <c r="S754" i="12"/>
  <c r="I754" i="12"/>
  <c r="AJ754" i="12"/>
  <c r="AI754" i="12"/>
  <c r="Y754" i="12"/>
  <c r="T754" i="12"/>
  <c r="Q754" i="12"/>
  <c r="V754" i="12"/>
  <c r="J754" i="12"/>
  <c r="G754" i="12"/>
  <c r="AL754" i="12"/>
  <c r="U754" i="12"/>
  <c r="N754" i="12"/>
  <c r="K755" i="12"/>
  <c r="H755" i="12"/>
  <c r="J755" i="12"/>
  <c r="I755" i="12"/>
  <c r="F755" i="12"/>
  <c r="G755" i="12"/>
  <c r="F756" i="12"/>
  <c r="I756" i="12"/>
  <c r="G756" i="12"/>
  <c r="H756" i="12"/>
  <c r="F729" i="12"/>
  <c r="G729" i="12"/>
  <c r="AM737" i="12"/>
  <c r="W737" i="12"/>
  <c r="T737" i="12"/>
  <c r="M737" i="12"/>
  <c r="K737" i="12"/>
  <c r="AL737" i="12"/>
  <c r="AK737" i="12"/>
  <c r="AI737" i="12"/>
  <c r="AA737" i="12"/>
  <c r="X737" i="12"/>
  <c r="R737" i="12"/>
  <c r="N737" i="12"/>
  <c r="I737" i="12"/>
  <c r="H737" i="12"/>
  <c r="U737" i="12"/>
  <c r="P737" i="12"/>
  <c r="J737" i="12"/>
  <c r="F737" i="12"/>
  <c r="V737" i="12"/>
  <c r="Q737" i="12"/>
  <c r="Z737" i="12"/>
  <c r="O737" i="12"/>
  <c r="G737" i="12"/>
  <c r="AJ737" i="12"/>
  <c r="Y737" i="12"/>
  <c r="S737" i="12"/>
  <c r="F715" i="12"/>
  <c r="G715" i="12"/>
  <c r="H715" i="12"/>
  <c r="AM716" i="12"/>
  <c r="AL716" i="12"/>
  <c r="Z716" i="12"/>
  <c r="W716" i="12"/>
  <c r="P716" i="12"/>
  <c r="N716" i="12"/>
  <c r="M716" i="12"/>
  <c r="J716" i="12"/>
  <c r="G716" i="12"/>
  <c r="AK716" i="12"/>
  <c r="Y716" i="12"/>
  <c r="T716" i="12"/>
  <c r="R716" i="12"/>
  <c r="AI716" i="12"/>
  <c r="K716" i="12"/>
  <c r="AA716" i="12"/>
  <c r="U716" i="12"/>
  <c r="X716" i="12"/>
  <c r="I716" i="12"/>
  <c r="F716" i="12"/>
  <c r="AC716" i="12" s="1"/>
  <c r="O716" i="12"/>
  <c r="H716" i="12"/>
  <c r="AJ716" i="12"/>
  <c r="V716" i="12"/>
  <c r="S716" i="12"/>
  <c r="Q716" i="12"/>
  <c r="F720" i="12"/>
  <c r="K720" i="12"/>
  <c r="I720" i="12"/>
  <c r="H720" i="12"/>
  <c r="G720" i="12"/>
  <c r="J720" i="12"/>
  <c r="F722" i="12"/>
  <c r="G722" i="12"/>
  <c r="U723" i="12"/>
  <c r="P723" i="12"/>
  <c r="I723" i="12"/>
  <c r="X723" i="12"/>
  <c r="O723" i="12"/>
  <c r="M723" i="12"/>
  <c r="G723" i="12"/>
  <c r="AK723" i="12"/>
  <c r="AA723" i="12"/>
  <c r="R723" i="12"/>
  <c r="N723" i="12"/>
  <c r="AL723" i="12"/>
  <c r="T723" i="12"/>
  <c r="K723" i="12"/>
  <c r="AM723" i="12"/>
  <c r="Z723" i="12"/>
  <c r="S723" i="12"/>
  <c r="J723" i="12"/>
  <c r="H723" i="12"/>
  <c r="F723" i="12"/>
  <c r="AJ723" i="12"/>
  <c r="Y723" i="12"/>
  <c r="V723" i="12"/>
  <c r="Q723" i="12"/>
  <c r="AI723" i="12"/>
  <c r="W723" i="12"/>
  <c r="K701" i="12"/>
  <c r="H701" i="12"/>
  <c r="I701" i="12"/>
  <c r="G701" i="12"/>
  <c r="J701" i="12"/>
  <c r="F701" i="12"/>
  <c r="AC701" i="12" s="1"/>
  <c r="AK705" i="12"/>
  <c r="AA705" i="12"/>
  <c r="S705" i="12"/>
  <c r="N705" i="12"/>
  <c r="I705" i="12"/>
  <c r="F705" i="12"/>
  <c r="X705" i="12"/>
  <c r="M705" i="12"/>
  <c r="H705" i="12"/>
  <c r="AI705" i="12"/>
  <c r="Y705" i="12"/>
  <c r="U705" i="12"/>
  <c r="G705" i="12"/>
  <c r="AM705" i="12"/>
  <c r="R705" i="12"/>
  <c r="P705" i="12"/>
  <c r="K705" i="12"/>
  <c r="AJ705" i="12"/>
  <c r="V705" i="12"/>
  <c r="T705" i="12"/>
  <c r="AL705" i="12"/>
  <c r="Z705" i="12"/>
  <c r="W705" i="12"/>
  <c r="Q705" i="12"/>
  <c r="O705" i="12"/>
  <c r="J705" i="12"/>
  <c r="F709" i="12"/>
  <c r="H709" i="12"/>
  <c r="K709" i="12"/>
  <c r="M709" i="12"/>
  <c r="I709" i="12"/>
  <c r="G709" i="12"/>
  <c r="J709" i="12"/>
  <c r="AL711" i="12"/>
  <c r="X711" i="12"/>
  <c r="AK711" i="12"/>
  <c r="AA711" i="12"/>
  <c r="U711" i="12"/>
  <c r="W711" i="12"/>
  <c r="T711" i="12"/>
  <c r="AI711" i="12"/>
  <c r="Y711" i="12"/>
  <c r="S711" i="12"/>
  <c r="Q711" i="12"/>
  <c r="O711" i="12"/>
  <c r="M711" i="12"/>
  <c r="K711" i="12"/>
  <c r="I711" i="12"/>
  <c r="AJ711" i="12"/>
  <c r="J711" i="12"/>
  <c r="N711" i="12"/>
  <c r="V711" i="12"/>
  <c r="R711" i="12"/>
  <c r="AM711" i="12"/>
  <c r="Z711" i="12"/>
  <c r="P711" i="12"/>
  <c r="G712" i="12"/>
  <c r="H712" i="12"/>
  <c r="F712" i="12"/>
  <c r="Y714" i="12"/>
  <c r="O714" i="12"/>
  <c r="AK714" i="12"/>
  <c r="V714" i="12"/>
  <c r="R714" i="12"/>
  <c r="T714" i="12"/>
  <c r="I714" i="12"/>
  <c r="AL714" i="12"/>
  <c r="AI714" i="12"/>
  <c r="AA714" i="12"/>
  <c r="W714" i="12"/>
  <c r="U714" i="12"/>
  <c r="P714" i="12"/>
  <c r="K714" i="12"/>
  <c r="AM714" i="12"/>
  <c r="AJ714" i="12"/>
  <c r="Z714" i="12"/>
  <c r="X714" i="12"/>
  <c r="S714" i="12"/>
  <c r="Q714" i="12"/>
  <c r="N714" i="12"/>
  <c r="J714" i="12"/>
  <c r="H714" i="12"/>
  <c r="M714" i="12"/>
  <c r="V693" i="12"/>
  <c r="AK693" i="12"/>
  <c r="Y693" i="12"/>
  <c r="Q693" i="12"/>
  <c r="AM693" i="12"/>
  <c r="R693" i="12"/>
  <c r="AJ693" i="12"/>
  <c r="U693" i="12"/>
  <c r="O693" i="12"/>
  <c r="M693" i="12"/>
  <c r="K693" i="12"/>
  <c r="H693" i="12"/>
  <c r="G693" i="12"/>
  <c r="AL693" i="12"/>
  <c r="W693" i="12"/>
  <c r="N693" i="12"/>
  <c r="J693" i="12"/>
  <c r="AI693" i="12"/>
  <c r="AA693" i="12"/>
  <c r="Z693" i="12"/>
  <c r="X693" i="12"/>
  <c r="T693" i="12"/>
  <c r="S693" i="12"/>
  <c r="P693" i="12"/>
  <c r="I693" i="12"/>
  <c r="F693" i="12"/>
  <c r="AL694" i="12"/>
  <c r="N694" i="12"/>
  <c r="H694" i="12"/>
  <c r="AM694" i="12"/>
  <c r="AI694" i="12"/>
  <c r="Z694" i="12"/>
  <c r="P694" i="12"/>
  <c r="Y694" i="12"/>
  <c r="U694" i="12"/>
  <c r="S694" i="12"/>
  <c r="Q694" i="12"/>
  <c r="M694" i="12"/>
  <c r="K694" i="12"/>
  <c r="J694" i="12"/>
  <c r="T694" i="12"/>
  <c r="O694" i="12"/>
  <c r="G694" i="12"/>
  <c r="AK694" i="12"/>
  <c r="AA694" i="12"/>
  <c r="X694" i="12"/>
  <c r="V694" i="12"/>
  <c r="I694" i="12"/>
  <c r="F694" i="12"/>
  <c r="AJ694" i="12"/>
  <c r="W694" i="12"/>
  <c r="R694" i="12"/>
  <c r="J696" i="12"/>
  <c r="K696" i="12"/>
  <c r="H696" i="12"/>
  <c r="G696" i="12"/>
  <c r="I696" i="12"/>
  <c r="F696" i="12"/>
  <c r="K698" i="12"/>
  <c r="J698" i="12"/>
  <c r="I698" i="12"/>
  <c r="F700" i="12"/>
  <c r="H700" i="12"/>
  <c r="G700" i="12"/>
  <c r="J700" i="12"/>
  <c r="I700" i="12"/>
  <c r="U673" i="12"/>
  <c r="O673" i="12"/>
  <c r="H673" i="12"/>
  <c r="F673" i="12"/>
  <c r="V673" i="12"/>
  <c r="R673" i="12"/>
  <c r="AI673" i="12"/>
  <c r="P673" i="12"/>
  <c r="AJ673" i="12"/>
  <c r="M673" i="12"/>
  <c r="G673" i="12"/>
  <c r="AC673" i="12" s="1"/>
  <c r="AK673" i="12"/>
  <c r="N673" i="12"/>
  <c r="K673" i="12"/>
  <c r="I673" i="12"/>
  <c r="AL673" i="12"/>
  <c r="Y673" i="12"/>
  <c r="S673" i="12"/>
  <c r="AM673" i="12"/>
  <c r="AA673" i="12"/>
  <c r="X673" i="12"/>
  <c r="T673" i="12"/>
  <c r="Z673" i="12"/>
  <c r="W673" i="12"/>
  <c r="Q673" i="12"/>
  <c r="J673" i="12"/>
  <c r="G678" i="12"/>
  <c r="J678" i="12"/>
  <c r="I678" i="12"/>
  <c r="F678" i="12"/>
  <c r="K678" i="12"/>
  <c r="H678" i="12"/>
  <c r="G680" i="12"/>
  <c r="H680" i="12"/>
  <c r="I680" i="12"/>
  <c r="F680" i="12"/>
  <c r="I682" i="12"/>
  <c r="F682" i="12"/>
  <c r="H682" i="12"/>
  <c r="M682" i="12"/>
  <c r="K682" i="12"/>
  <c r="G682" i="12"/>
  <c r="J682" i="12"/>
  <c r="K661" i="12"/>
  <c r="O661" i="12"/>
  <c r="I661" i="12"/>
  <c r="M661" i="12"/>
  <c r="Q661" i="12"/>
  <c r="H661" i="12"/>
  <c r="G661" i="12"/>
  <c r="J661" i="12"/>
  <c r="N661" i="12"/>
  <c r="P661" i="12"/>
  <c r="F661" i="12"/>
  <c r="AC661" i="12" s="1"/>
  <c r="F665" i="12"/>
  <c r="H665" i="12"/>
  <c r="G665" i="12"/>
  <c r="I665" i="12"/>
  <c r="I666" i="12"/>
  <c r="G666" i="12"/>
  <c r="H666" i="12"/>
  <c r="J666" i="12"/>
  <c r="F666" i="12"/>
  <c r="AC666" i="12" s="1"/>
  <c r="K666" i="12"/>
  <c r="G671" i="12"/>
  <c r="F671" i="12"/>
  <c r="H671" i="12"/>
  <c r="I671" i="12"/>
  <c r="J645" i="12"/>
  <c r="F645" i="12"/>
  <c r="I645" i="12"/>
  <c r="M645" i="12"/>
  <c r="H645" i="12"/>
  <c r="G645" i="12"/>
  <c r="K645" i="12"/>
  <c r="G648" i="12"/>
  <c r="I648" i="12"/>
  <c r="H648" i="12"/>
  <c r="J648" i="12"/>
  <c r="F648" i="12"/>
  <c r="H649" i="12"/>
  <c r="I649" i="12"/>
  <c r="J649" i="12"/>
  <c r="F649" i="12"/>
  <c r="G649" i="12"/>
  <c r="F631" i="12"/>
  <c r="G631" i="12"/>
  <c r="H631" i="12"/>
  <c r="N631" i="12"/>
  <c r="I631" i="12"/>
  <c r="J631" i="12"/>
  <c r="K631" i="12"/>
  <c r="K626" i="12"/>
  <c r="F626" i="12"/>
  <c r="J626" i="12"/>
  <c r="I626" i="12"/>
  <c r="G626" i="12"/>
  <c r="H626" i="12"/>
  <c r="H630" i="12"/>
  <c r="J630" i="12"/>
  <c r="G630" i="12"/>
  <c r="F630" i="12"/>
  <c r="G3" i="12"/>
  <c r="AF20" i="12" a="1"/>
  <c r="AC1382" i="12"/>
  <c r="AC1394" i="12"/>
  <c r="AC1354" i="12"/>
  <c r="AC1283" i="12"/>
  <c r="AC1270" i="12"/>
  <c r="F4" i="11"/>
  <c r="D8" i="12"/>
  <c r="D9" i="12"/>
  <c r="D10" i="12"/>
  <c r="D11" i="12"/>
  <c r="D7" i="12"/>
  <c r="E9" i="12"/>
  <c r="E10" i="12"/>
  <c r="E8" i="12"/>
  <c r="E11" i="12"/>
  <c r="E7" i="12"/>
  <c r="AC1439" i="12"/>
  <c r="AC1442" i="12"/>
  <c r="AC1274" i="12"/>
  <c r="AC1168" i="12"/>
  <c r="AC1173" i="12"/>
  <c r="AI1390" i="12"/>
  <c r="AM1390" i="12"/>
  <c r="AL1390" i="12"/>
  <c r="AK1390" i="12"/>
  <c r="AJ1390" i="12"/>
  <c r="AC1390" i="12"/>
  <c r="AI1285" i="12"/>
  <c r="AA1285" i="12"/>
  <c r="AJ1285" i="12"/>
  <c r="Z1285" i="12"/>
  <c r="AM1285" i="12"/>
  <c r="Y1285" i="12"/>
  <c r="X1285" i="12"/>
  <c r="W1285" i="12"/>
  <c r="AL1285" i="12"/>
  <c r="AK1285" i="12"/>
  <c r="F1170" i="12"/>
  <c r="I1170" i="12"/>
  <c r="G1170" i="12"/>
  <c r="J1170" i="12"/>
  <c r="H1170" i="12"/>
  <c r="I1176" i="12"/>
  <c r="G1176" i="12"/>
  <c r="H1176" i="12"/>
  <c r="F1176" i="12"/>
  <c r="AA1152" i="12"/>
  <c r="AJ1152" i="12"/>
  <c r="Y1152" i="12"/>
  <c r="S1152" i="12"/>
  <c r="AL1152" i="12"/>
  <c r="R1152" i="12"/>
  <c r="Q1152" i="12"/>
  <c r="Z1152" i="12"/>
  <c r="T1152" i="12"/>
  <c r="U1152" i="12"/>
  <c r="AK1152" i="12"/>
  <c r="AI1152" i="12"/>
  <c r="AC1152" i="12"/>
  <c r="W1152" i="12"/>
  <c r="X1152" i="12"/>
  <c r="V1152" i="12"/>
  <c r="AM1152" i="12"/>
  <c r="AL1047" i="12"/>
  <c r="W1047" i="12"/>
  <c r="AC1047" i="12"/>
  <c r="AK1047" i="12"/>
  <c r="X1047" i="12"/>
  <c r="V1047" i="12"/>
  <c r="U1047" i="12"/>
  <c r="T1047" i="12"/>
  <c r="Q1047" i="12"/>
  <c r="AA1047" i="12"/>
  <c r="S1047" i="12"/>
  <c r="R1047" i="12"/>
  <c r="AM1047" i="12"/>
  <c r="Z1047" i="12"/>
  <c r="P1047" i="12"/>
  <c r="AI1047" i="12"/>
  <c r="O1047" i="12"/>
  <c r="AJ1047" i="12"/>
  <c r="N1047" i="12"/>
  <c r="K1047" i="12"/>
  <c r="M1047" i="12"/>
  <c r="Y1047" i="12"/>
  <c r="H944" i="12"/>
  <c r="F944" i="12"/>
  <c r="I944" i="12"/>
  <c r="G944" i="12"/>
  <c r="F931" i="12"/>
  <c r="G931" i="12"/>
  <c r="G911" i="12"/>
  <c r="F911" i="12"/>
  <c r="F711" i="12"/>
  <c r="H711" i="12"/>
  <c r="G711" i="12"/>
  <c r="F714" i="12"/>
  <c r="G714" i="12"/>
  <c r="F698" i="12"/>
  <c r="H698" i="12"/>
  <c r="G698" i="12"/>
  <c r="E20" i="12"/>
  <c r="H11" i="3"/>
  <c r="AH33" i="11"/>
  <c r="AB33" i="11"/>
  <c r="D33" i="11"/>
  <c r="V33" i="11"/>
  <c r="P33" i="11"/>
  <c r="J33" i="11"/>
  <c r="AI33" i="11"/>
  <c r="AC33" i="11"/>
  <c r="E33" i="11"/>
  <c r="W33" i="11"/>
  <c r="K33" i="11"/>
  <c r="Q33" i="11"/>
  <c r="AD33" i="11"/>
  <c r="X33" i="11"/>
  <c r="R33" i="11"/>
  <c r="L33" i="11"/>
  <c r="F33" i="11"/>
  <c r="AJ33" i="11"/>
  <c r="S33" i="11"/>
  <c r="M33" i="11"/>
  <c r="Y33" i="11"/>
  <c r="AE33" i="11"/>
  <c r="G33" i="11"/>
  <c r="AK33" i="11"/>
  <c r="T33" i="11"/>
  <c r="Z33" i="11"/>
  <c r="AF33" i="11"/>
  <c r="H33" i="11"/>
  <c r="AL33" i="11"/>
  <c r="N33" i="11"/>
  <c r="AM1" i="1"/>
  <c r="N197" i="2"/>
  <c r="F4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N199" i="2"/>
  <c r="N194" i="2"/>
  <c r="N192" i="2"/>
  <c r="N198" i="2"/>
  <c r="N203" i="2"/>
  <c r="N196" i="2"/>
  <c r="N201" i="2"/>
  <c r="AZ6" i="2" a="1"/>
  <c r="AO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N195" i="2"/>
  <c r="N200" i="2"/>
  <c r="N204" i="2"/>
  <c r="N191" i="2"/>
  <c r="N202" i="2"/>
  <c r="N193" i="2"/>
  <c r="AW5" i="2" a="1"/>
  <c r="AW7" i="2" a="1"/>
  <c r="AW302" i="2" a="1"/>
  <c r="AW301" i="2" a="1"/>
  <c r="AW300" i="2" a="1"/>
  <c r="AW299" i="2" a="1"/>
  <c r="AW298" i="2" a="1"/>
  <c r="AW297" i="2" a="1"/>
  <c r="AW296" i="2" a="1"/>
  <c r="AW295" i="2" a="1"/>
  <c r="AW294" i="2" a="1"/>
  <c r="AW293" i="2" a="1"/>
  <c r="AW292" i="2" a="1"/>
  <c r="AW291" i="2" a="1"/>
  <c r="AW290" i="2" a="1"/>
  <c r="AW289" i="2" a="1"/>
  <c r="AW288" i="2" a="1"/>
  <c r="AW287" i="2" a="1"/>
  <c r="AW286" i="2" a="1"/>
  <c r="AW285" i="2" a="1"/>
  <c r="AW284" i="2" a="1"/>
  <c r="AW283" i="2" a="1"/>
  <c r="AW282" i="2" a="1"/>
  <c r="AW281" i="2" a="1"/>
  <c r="AW280" i="2" a="1"/>
  <c r="AW279" i="2" a="1"/>
  <c r="AW278" i="2" a="1"/>
  <c r="AW277" i="2" a="1"/>
  <c r="AW276" i="2" a="1"/>
  <c r="AW275" i="2" a="1"/>
  <c r="AW274" i="2" a="1"/>
  <c r="AW273" i="2" a="1"/>
  <c r="AW272" i="2" a="1"/>
  <c r="AW271" i="2" a="1"/>
  <c r="AW270" i="2" a="1"/>
  <c r="AW269" i="2" a="1"/>
  <c r="AW268" i="2" a="1"/>
  <c r="AW267" i="2" a="1"/>
  <c r="AW266" i="2" a="1"/>
  <c r="AW265" i="2" a="1"/>
  <c r="AW264" i="2" a="1"/>
  <c r="AW263" i="2" a="1"/>
  <c r="AW262" i="2" a="1"/>
  <c r="AW261" i="2" a="1"/>
  <c r="AW260" i="2" a="1"/>
  <c r="AW259" i="2" a="1"/>
  <c r="AW258" i="2" a="1"/>
  <c r="AW257" i="2" a="1"/>
  <c r="AW256" i="2" a="1"/>
  <c r="AW255" i="2" a="1"/>
  <c r="AW254" i="2" a="1"/>
  <c r="AW253" i="2" a="1"/>
  <c r="AW252" i="2" a="1"/>
  <c r="AW251" i="2" a="1"/>
  <c r="AW250" i="2" a="1"/>
  <c r="AW249" i="2" a="1"/>
  <c r="AW248" i="2" a="1"/>
  <c r="AW247" i="2" a="1"/>
  <c r="AW246" i="2" a="1"/>
  <c r="AW245" i="2" a="1"/>
  <c r="AW244" i="2" a="1"/>
  <c r="AW243" i="2" a="1"/>
  <c r="AW242" i="2" a="1"/>
  <c r="AW241" i="2" a="1"/>
  <c r="AW240" i="2" a="1"/>
  <c r="AW239" i="2" a="1"/>
  <c r="AW238" i="2" a="1"/>
  <c r="AW237" i="2" a="1"/>
  <c r="AW236" i="2" a="1"/>
  <c r="AW235" i="2" a="1"/>
  <c r="AW234" i="2" a="1"/>
  <c r="AW233" i="2" a="1"/>
  <c r="AW232" i="2" a="1"/>
  <c r="AW231" i="2" a="1"/>
  <c r="AW230" i="2" a="1"/>
  <c r="AW229" i="2" a="1"/>
  <c r="AW228" i="2" a="1"/>
  <c r="AW227" i="2" a="1"/>
  <c r="AW226" i="2" a="1"/>
  <c r="AW225" i="2" a="1"/>
  <c r="AW224" i="2" a="1"/>
  <c r="AW223" i="2" a="1"/>
  <c r="AW222" i="2" a="1"/>
  <c r="AW221" i="2" a="1"/>
  <c r="AW220" i="2" a="1"/>
  <c r="AW219" i="2" a="1"/>
  <c r="AW218" i="2" a="1"/>
  <c r="AW217" i="2" a="1"/>
  <c r="AW216" i="2" a="1"/>
  <c r="AW215" i="2" a="1"/>
  <c r="AW214" i="2" a="1"/>
  <c r="AW213" i="2" a="1"/>
  <c r="AW212" i="2" a="1"/>
  <c r="AW211" i="2" a="1"/>
  <c r="AW210" i="2" a="1"/>
  <c r="AW209" i="2" a="1"/>
  <c r="AW208" i="2" a="1"/>
  <c r="AW207" i="2" a="1"/>
  <c r="AW206" i="2" a="1"/>
  <c r="AW205" i="2" a="1"/>
  <c r="AW204" i="2" a="1"/>
  <c r="AW203" i="2" a="1"/>
  <c r="AW202" i="2" a="1"/>
  <c r="AW201" i="2" a="1"/>
  <c r="AW200" i="2" a="1"/>
  <c r="AW199" i="2" a="1"/>
  <c r="AW198" i="2" a="1"/>
  <c r="AW197" i="2" a="1"/>
  <c r="AW196" i="2" a="1"/>
  <c r="AW195" i="2" a="1"/>
  <c r="AW194" i="2" a="1"/>
  <c r="AW193" i="2" a="1"/>
  <c r="AW192" i="2" a="1"/>
  <c r="AW191" i="2" a="1"/>
  <c r="AW190" i="2" a="1"/>
  <c r="AW189" i="2" a="1"/>
  <c r="AW188" i="2" a="1"/>
  <c r="AW187" i="2" a="1"/>
  <c r="AW186" i="2" a="1"/>
  <c r="AW185" i="2" a="1"/>
  <c r="AW184" i="2" a="1"/>
  <c r="AW183" i="2" a="1"/>
  <c r="AW182" i="2" a="1"/>
  <c r="AW181" i="2" a="1"/>
  <c r="AW180" i="2" a="1"/>
  <c r="AW179" i="2" a="1"/>
  <c r="AW178" i="2" a="1"/>
  <c r="AW177" i="2" a="1"/>
  <c r="AW176" i="2" a="1"/>
  <c r="AW175" i="2" a="1"/>
  <c r="AW174" i="2" a="1"/>
  <c r="AW173" i="2" a="1"/>
  <c r="AW172" i="2" a="1"/>
  <c r="AW171" i="2" a="1"/>
  <c r="AW170" i="2" a="1"/>
  <c r="AW169" i="2" a="1"/>
  <c r="AW168" i="2" a="1"/>
  <c r="AW167" i="2" a="1"/>
  <c r="AW166" i="2" a="1"/>
  <c r="AW165" i="2" a="1"/>
  <c r="AW164" i="2" a="1"/>
  <c r="AW163" i="2" a="1"/>
  <c r="AW162" i="2" a="1"/>
  <c r="AW161" i="2" a="1"/>
  <c r="AW160" i="2" a="1"/>
  <c r="AW159" i="2" a="1"/>
  <c r="AW158" i="2" a="1"/>
  <c r="AW157" i="2" a="1"/>
  <c r="AW156" i="2" a="1"/>
  <c r="AW155" i="2" a="1"/>
  <c r="AW154" i="2" a="1"/>
  <c r="AW153" i="2" a="1"/>
  <c r="AW152" i="2" a="1"/>
  <c r="AW151" i="2" a="1"/>
  <c r="AW150" i="2" a="1"/>
  <c r="AW149" i="2" a="1"/>
  <c r="AW148" i="2" a="1"/>
  <c r="AW147" i="2" a="1"/>
  <c r="AW146" i="2" a="1"/>
  <c r="AW145" i="2" a="1"/>
  <c r="AW144" i="2" a="1"/>
  <c r="AW143" i="2" a="1"/>
  <c r="AW142" i="2" a="1"/>
  <c r="AW141" i="2" a="1"/>
  <c r="AW140" i="2" a="1"/>
  <c r="AW139" i="2" a="1"/>
  <c r="AW138" i="2" a="1"/>
  <c r="AW137" i="2" a="1"/>
  <c r="AW136" i="2" a="1"/>
  <c r="AW135" i="2" a="1"/>
  <c r="AW134" i="2" a="1"/>
  <c r="AW133" i="2" a="1"/>
  <c r="AW132" i="2" a="1"/>
  <c r="AW131" i="2" a="1"/>
  <c r="AW130" i="2" a="1"/>
  <c r="AW129" i="2" a="1"/>
  <c r="AW128" i="2" a="1"/>
  <c r="AW127" i="2" a="1"/>
  <c r="AW126" i="2" a="1"/>
  <c r="AW125" i="2" a="1"/>
  <c r="AW124" i="2" a="1"/>
  <c r="AW123" i="2" a="1"/>
  <c r="AW122" i="2" a="1"/>
  <c r="AW121" i="2" a="1"/>
  <c r="AW120" i="2" a="1"/>
  <c r="AW119" i="2" a="1"/>
  <c r="AW118" i="2" a="1"/>
  <c r="AW117" i="2" a="1"/>
  <c r="AW116" i="2" a="1"/>
  <c r="AW115" i="2" a="1"/>
  <c r="AW114" i="2" a="1"/>
  <c r="AW113" i="2" a="1"/>
  <c r="AW112" i="2" a="1"/>
  <c r="AW111" i="2" a="1"/>
  <c r="AW110" i="2" a="1"/>
  <c r="AW109" i="2" a="1"/>
  <c r="AW108" i="2" a="1"/>
  <c r="AW107" i="2" a="1"/>
  <c r="AW106" i="2" a="1"/>
  <c r="AW105" i="2" a="1"/>
  <c r="AW104" i="2" a="1"/>
  <c r="AW103" i="2" a="1"/>
  <c r="AW102" i="2" a="1"/>
  <c r="AW101" i="2" a="1"/>
  <c r="AW100" i="2" a="1"/>
  <c r="AW99" i="2" a="1"/>
  <c r="AW98" i="2" a="1"/>
  <c r="AW97" i="2" a="1"/>
  <c r="AW96" i="2" a="1"/>
  <c r="AW95" i="2" a="1"/>
  <c r="AW94" i="2" a="1"/>
  <c r="AW93" i="2" a="1"/>
  <c r="AW92" i="2" a="1"/>
  <c r="AW91" i="2" a="1"/>
  <c r="AW90" i="2" a="1"/>
  <c r="AW89" i="2" a="1"/>
  <c r="AW88" i="2" a="1"/>
  <c r="AW87" i="2" a="1"/>
  <c r="AW86" i="2" a="1"/>
  <c r="AW85" i="2" a="1"/>
  <c r="AW84" i="2" a="1"/>
  <c r="AW83" i="2" a="1"/>
  <c r="AW82" i="2" a="1"/>
  <c r="AW81" i="2" a="1"/>
  <c r="AW80" i="2" a="1"/>
  <c r="AW79" i="2" a="1"/>
  <c r="AW78" i="2" a="1"/>
  <c r="AW77" i="2" a="1"/>
  <c r="AW76" i="2" a="1"/>
  <c r="AW75" i="2" a="1"/>
  <c r="AW74" i="2" a="1"/>
  <c r="AW73" i="2" a="1"/>
  <c r="AW72" i="2" a="1"/>
  <c r="AW71" i="2" a="1"/>
  <c r="AW70" i="2" a="1"/>
  <c r="AW69" i="2" a="1"/>
  <c r="AW68" i="2" a="1"/>
  <c r="AW67" i="2" a="1"/>
  <c r="AW66" i="2" a="1"/>
  <c r="AW65" i="2" a="1"/>
  <c r="AW64" i="2" a="1"/>
  <c r="AW63" i="2" a="1"/>
  <c r="AW62" i="2" a="1"/>
  <c r="AW61" i="2" a="1"/>
  <c r="AW60" i="2" a="1"/>
  <c r="AW59" i="2" a="1"/>
  <c r="AW58" i="2" a="1"/>
  <c r="AW57" i="2" a="1"/>
  <c r="AW56" i="2" a="1"/>
  <c r="AW55" i="2" a="1"/>
  <c r="AW54" i="2" a="1"/>
  <c r="AW53" i="2" a="1"/>
  <c r="AW52" i="2" a="1"/>
  <c r="AW51" i="2" a="1"/>
  <c r="AW50" i="2" a="1"/>
  <c r="AW49" i="2" a="1"/>
  <c r="AW48" i="2" a="1"/>
  <c r="AW47" i="2" a="1"/>
  <c r="AW46" i="2" a="1"/>
  <c r="AW45" i="2" a="1"/>
  <c r="AW44" i="2" a="1"/>
  <c r="AW43" i="2" a="1"/>
  <c r="AW42" i="2" a="1"/>
  <c r="AW41" i="2" a="1"/>
  <c r="AW40" i="2" a="1"/>
  <c r="AW39" i="2" a="1"/>
  <c r="AW38" i="2" a="1"/>
  <c r="AW37" i="2" a="1"/>
  <c r="AW36" i="2" a="1"/>
  <c r="AW35" i="2" a="1"/>
  <c r="AW34" i="2" a="1"/>
  <c r="AW33" i="2" a="1"/>
  <c r="AW32" i="2" a="1"/>
  <c r="AW31" i="2" a="1"/>
  <c r="AW30" i="2" a="1"/>
  <c r="AW29" i="2" a="1"/>
  <c r="AW28" i="2" a="1"/>
  <c r="AW27" i="2" a="1"/>
  <c r="AW26" i="2" a="1"/>
  <c r="AW25" i="2" a="1"/>
  <c r="AW24" i="2" a="1"/>
  <c r="AW23" i="2" a="1"/>
  <c r="AW22" i="2" a="1"/>
  <c r="AW21" i="2" a="1"/>
  <c r="AW20" i="2" a="1"/>
  <c r="AW19" i="2" a="1"/>
  <c r="AW18" i="2" a="1"/>
  <c r="AW17" i="2" a="1"/>
  <c r="AW16" i="2" a="1"/>
  <c r="AW15" i="2" a="1"/>
  <c r="AW14" i="2" a="1"/>
  <c r="AW13" i="2" a="1"/>
  <c r="AW12" i="2" a="1"/>
  <c r="AW11" i="2" a="1"/>
  <c r="AW10" i="2" a="1"/>
  <c r="AW9" i="2" a="1"/>
  <c r="AW8" i="2" a="1"/>
  <c r="AN3" i="6"/>
  <c r="A2" i="2"/>
  <c r="H12" i="2"/>
  <c r="H29" i="2"/>
  <c r="H17" i="2"/>
  <c r="AQ120" i="6"/>
  <c r="AP120" i="6"/>
  <c r="AQ114" i="6"/>
  <c r="AP118" i="6"/>
  <c r="AQ118" i="6"/>
  <c r="AQ51" i="6"/>
  <c r="AQ112" i="6"/>
  <c r="AQ50" i="6"/>
  <c r="AQ39" i="6"/>
  <c r="AQ106" i="6"/>
  <c r="AQ93" i="6"/>
  <c r="AQ109" i="6"/>
  <c r="AQ90" i="6"/>
  <c r="AQ75" i="6"/>
  <c r="AQ89" i="6"/>
  <c r="AQ19" i="6"/>
  <c r="AQ52" i="6"/>
  <c r="AQ77" i="6"/>
  <c r="AQ37" i="6"/>
  <c r="AQ66" i="6"/>
  <c r="AQ46" i="6"/>
  <c r="AQ49" i="6"/>
  <c r="AQ96" i="6"/>
  <c r="AQ80" i="6"/>
  <c r="AQ104" i="6"/>
  <c r="AQ87" i="6"/>
  <c r="AQ47" i="6"/>
  <c r="AQ108" i="6"/>
  <c r="AQ71" i="6"/>
  <c r="AQ42" i="6"/>
  <c r="AQ69" i="6"/>
  <c r="AQ18" i="6"/>
  <c r="AQ15" i="6"/>
  <c r="AQ65" i="6"/>
  <c r="AQ55" i="6"/>
  <c r="AQ41" i="6"/>
  <c r="AQ10" i="6"/>
  <c r="AQ8" i="6"/>
  <c r="AQ20" i="6"/>
  <c r="AQ14" i="6"/>
  <c r="AQ92" i="6"/>
  <c r="AQ30" i="6"/>
  <c r="AQ36" i="6"/>
  <c r="AQ95" i="6"/>
  <c r="AQ33" i="6"/>
  <c r="AQ116" i="6"/>
  <c r="AQ119" i="6"/>
  <c r="AP119" i="6"/>
  <c r="AQ97" i="6"/>
  <c r="AQ25" i="6"/>
  <c r="AQ73" i="6"/>
  <c r="AQ82" i="6"/>
  <c r="AQ21" i="6"/>
  <c r="AQ81" i="6"/>
  <c r="AQ9" i="6"/>
  <c r="AQ5" i="6"/>
  <c r="AQ103" i="6"/>
  <c r="AQ7" i="6"/>
  <c r="AQ115" i="6"/>
  <c r="AQ98" i="6"/>
  <c r="AQ22" i="6"/>
  <c r="AQ28" i="6"/>
  <c r="AQ85" i="6"/>
  <c r="AQ38" i="6"/>
  <c r="AQ102" i="6"/>
  <c r="AQ40" i="6"/>
  <c r="AQ62" i="6"/>
  <c r="AQ84" i="6"/>
  <c r="AQ70" i="6"/>
  <c r="AQ11" i="6"/>
  <c r="AQ72" i="6"/>
  <c r="AQ94" i="6"/>
  <c r="AQ113" i="6"/>
  <c r="AQ29" i="6"/>
  <c r="AQ27" i="6"/>
  <c r="AQ64" i="6"/>
  <c r="AQ107" i="6"/>
  <c r="AQ61" i="6"/>
  <c r="AQ17" i="6"/>
  <c r="AQ83" i="6"/>
  <c r="AQ56" i="6"/>
  <c r="AQ60" i="6"/>
  <c r="AQ43" i="6"/>
  <c r="AQ53" i="6"/>
  <c r="AQ76" i="6"/>
  <c r="AQ34" i="6"/>
  <c r="AQ54" i="6"/>
  <c r="AQ16" i="6"/>
  <c r="AQ67" i="6"/>
  <c r="AQ86" i="6"/>
  <c r="AQ78" i="6"/>
  <c r="AQ79" i="6"/>
  <c r="AQ12" i="6"/>
  <c r="AQ58" i="6"/>
  <c r="AQ13" i="6"/>
  <c r="AQ44" i="6"/>
  <c r="AQ68" i="6"/>
  <c r="AQ100" i="6"/>
  <c r="AQ105" i="6"/>
  <c r="AQ111" i="6"/>
  <c r="AQ88" i="6"/>
  <c r="AQ57" i="6"/>
  <c r="AQ63" i="6"/>
  <c r="AQ110" i="6"/>
  <c r="AQ74" i="6"/>
  <c r="AQ35" i="6"/>
  <c r="AQ45" i="6"/>
  <c r="AQ48" i="6"/>
  <c r="AQ99" i="6"/>
  <c r="AQ59" i="6"/>
  <c r="AQ101" i="6"/>
  <c r="AQ6" i="6"/>
  <c r="AQ23" i="6"/>
  <c r="AQ31" i="6"/>
  <c r="AQ24" i="6"/>
  <c r="AQ91" i="6"/>
  <c r="AQ26" i="6"/>
  <c r="AQ32" i="6"/>
  <c r="H2" i="6"/>
  <c r="H1" i="6"/>
  <c r="E1" i="6" s="1"/>
  <c r="E2" i="6" s="1"/>
  <c r="G2" i="6" s="1"/>
  <c r="BQ1" i="1"/>
  <c r="BR1" i="1"/>
  <c r="BC6" i="2" l="1" a="1"/>
  <c r="AQ6" i="16" a="1"/>
  <c r="AQ7" i="16" s="1" a="1"/>
  <c r="O6" i="16" a="1"/>
  <c r="BZ6" i="16" a="1"/>
  <c r="M6" i="16" a="1"/>
  <c r="BC6" i="16" a="1"/>
  <c r="BC7" i="16" s="1" a="1"/>
  <c r="U6" i="16" a="1"/>
  <c r="U7" i="16" s="1" a="1"/>
  <c r="BX6" i="16" a="1"/>
  <c r="AS6" i="16" a="1"/>
  <c r="AS7" i="16" s="1" a="1"/>
  <c r="E6" i="16" a="1"/>
  <c r="E7" i="16" s="1" a="1"/>
  <c r="BF6" i="16" a="1"/>
  <c r="BF7" i="16" s="1" a="1"/>
  <c r="AL6" i="16" a="1"/>
  <c r="AL7" i="16" s="1" a="1"/>
  <c r="L6" i="16" a="1"/>
  <c r="L7" i="16" s="1" a="1"/>
  <c r="AR6" i="16" a="1"/>
  <c r="AR7" i="16" s="1" a="1"/>
  <c r="BV6" i="16" a="1"/>
  <c r="BE6" i="16" a="1"/>
  <c r="BE7" i="16" s="1" a="1"/>
  <c r="X6" i="16" a="1"/>
  <c r="X7" i="16" s="1" a="1"/>
  <c r="BT6" i="16" a="1"/>
  <c r="BT7" i="16" s="1" a="1"/>
  <c r="H6" i="16" a="1"/>
  <c r="H7" i="16" s="1" a="1"/>
  <c r="BU6" i="16" a="1"/>
  <c r="AA6" i="16" a="1"/>
  <c r="AA7" i="16" s="1" a="1"/>
  <c r="BN6" i="16" a="1"/>
  <c r="BN7" i="16" s="1" a="1"/>
  <c r="AP6" i="16" a="1"/>
  <c r="AP7" i="16" s="1" a="1"/>
  <c r="BM6" i="16" a="1"/>
  <c r="AV6" i="16" a="1"/>
  <c r="BH6" i="16" a="1"/>
  <c r="AE6" i="16" a="1"/>
  <c r="BP6" i="16" a="1"/>
  <c r="BP7" i="16" s="1" a="1"/>
  <c r="AF6" i="16" a="1"/>
  <c r="I6" i="16" a="1"/>
  <c r="I7" i="16" s="1" a="1"/>
  <c r="BD6" i="16" a="1"/>
  <c r="BD7" i="16" s="1" a="1"/>
  <c r="K6" i="16" a="1"/>
  <c r="K7" i="16" s="1" a="1"/>
  <c r="BY6" i="16" a="1"/>
  <c r="AT6" i="16" a="1"/>
  <c r="G6" i="16" a="1"/>
  <c r="G7" i="16" s="1" a="1"/>
  <c r="F6" i="16" a="1"/>
  <c r="F7" i="16" s="1" a="1"/>
  <c r="BA6" i="16" a="1"/>
  <c r="BA7" i="16" s="1" a="1"/>
  <c r="Q6" i="16" a="1"/>
  <c r="BK6" i="16" a="1"/>
  <c r="BS6" i="16" a="1"/>
  <c r="BS7" i="16" s="1" a="1"/>
  <c r="BQ6" i="16" a="1"/>
  <c r="BQ7" i="16" s="1" a="1"/>
  <c r="V6" i="16" a="1"/>
  <c r="V7" i="16" s="1" a="1"/>
  <c r="BG6" i="16" a="1"/>
  <c r="BG7" i="16" s="1" a="1"/>
  <c r="AM6" i="16" a="1"/>
  <c r="AM7" i="16" s="1" a="1"/>
  <c r="P6" i="16" a="1"/>
  <c r="BJ6" i="16" a="1"/>
  <c r="AN6" i="16" a="1"/>
  <c r="AN7" i="16" s="1" a="1"/>
  <c r="AY6" i="16" a="1"/>
  <c r="AY7" i="16" s="1" a="1"/>
  <c r="BB6" i="16" a="1"/>
  <c r="BB7" i="16" s="1" a="1"/>
  <c r="AC6" i="16" a="1"/>
  <c r="BI6" i="16" a="1"/>
  <c r="N6" i="16" a="1"/>
  <c r="AW6" i="16" a="1"/>
  <c r="J6" i="16" a="1"/>
  <c r="J7" i="16" s="1" a="1"/>
  <c r="AZ6" i="16" a="1"/>
  <c r="AZ7" i="16" s="1" a="1"/>
  <c r="AU6" i="16" a="1"/>
  <c r="BW6" i="16" a="1"/>
  <c r="AX6" i="16" a="1"/>
  <c r="Y6" i="16" a="1"/>
  <c r="Y7" i="16" s="1" a="1"/>
  <c r="D6" i="16" a="1"/>
  <c r="D7" i="16" s="1" a="1"/>
  <c r="AG6" i="16" a="1"/>
  <c r="T6" i="16" a="1"/>
  <c r="T7" i="16" s="1" a="1"/>
  <c r="BO6" i="16" a="1"/>
  <c r="BO7" i="16" s="1" a="1"/>
  <c r="AO6" i="16" a="1"/>
  <c r="AO7" i="16" s="1" a="1"/>
  <c r="W6" i="16" a="1"/>
  <c r="W7" i="16" s="1" a="1"/>
  <c r="Z6" i="16" a="1"/>
  <c r="Z7" i="16" s="1" a="1"/>
  <c r="BL6" i="16" a="1"/>
  <c r="AD6" i="16" a="1"/>
  <c r="AK6" i="16" a="1"/>
  <c r="AB6" i="16" a="1"/>
  <c r="AB7" i="16" s="1" a="1"/>
  <c r="BR6" i="16" a="1"/>
  <c r="BR7" i="16" s="1" a="1"/>
  <c r="AC1176" i="12"/>
  <c r="AC1212" i="12"/>
  <c r="AC1456" i="12"/>
  <c r="AC1430" i="12"/>
  <c r="AC1171" i="12"/>
  <c r="AC886" i="12"/>
  <c r="AC1344" i="12"/>
  <c r="L616" i="12"/>
  <c r="AB616" i="12"/>
  <c r="A11" i="16" a="1"/>
  <c r="B11" i="16" s="1"/>
  <c r="BZ38" i="16"/>
  <c r="BZ34" i="16"/>
  <c r="BZ36" i="16"/>
  <c r="BZ40" i="16"/>
  <c r="BZ33" i="16"/>
  <c r="BZ32" i="16"/>
  <c r="BZ35" i="16"/>
  <c r="BZ37" i="16"/>
  <c r="BS32" i="16"/>
  <c r="BS33" i="16"/>
  <c r="BS36" i="16"/>
  <c r="BS34" i="16"/>
  <c r="BS39" i="16"/>
  <c r="BS35" i="16"/>
  <c r="BS31" i="16"/>
  <c r="BS37" i="16"/>
  <c r="BS40" i="16"/>
  <c r="BS38" i="16"/>
  <c r="BR37" i="16"/>
  <c r="BR36" i="16"/>
  <c r="BR38" i="16"/>
  <c r="BR33" i="16"/>
  <c r="BR40" i="16"/>
  <c r="BR31" i="16"/>
  <c r="BR34" i="16"/>
  <c r="BR39" i="16"/>
  <c r="BR32" i="16"/>
  <c r="BR35" i="16"/>
  <c r="BQ38" i="16"/>
  <c r="BQ39" i="16"/>
  <c r="BQ33" i="16"/>
  <c r="BQ36" i="16"/>
  <c r="BQ31" i="16"/>
  <c r="BQ35" i="16"/>
  <c r="BQ34" i="16"/>
  <c r="BQ40" i="16"/>
  <c r="BQ37" i="16"/>
  <c r="BQ32" i="16"/>
  <c r="BH31" i="16"/>
  <c r="AC31" i="16" s="1"/>
  <c r="BH40" i="16"/>
  <c r="AC40" i="16" s="1"/>
  <c r="BH38" i="16"/>
  <c r="AC38" i="16" s="1"/>
  <c r="BH39" i="16"/>
  <c r="AC39" i="16" s="1"/>
  <c r="BH33" i="16"/>
  <c r="AC33" i="16" s="1"/>
  <c r="BH41" i="16"/>
  <c r="AC41" i="16" s="1"/>
  <c r="BH34" i="16"/>
  <c r="AC34" i="16" s="1"/>
  <c r="BH36" i="16"/>
  <c r="AC36" i="16" s="1"/>
  <c r="BH35" i="16"/>
  <c r="AC35" i="16" s="1"/>
  <c r="BH37" i="16"/>
  <c r="AC37" i="16" s="1"/>
  <c r="BH32" i="16"/>
  <c r="AC32" i="16" s="1"/>
  <c r="AU46" i="16" a="1"/>
  <c r="N46" i="16" s="1"/>
  <c r="AU31" i="16"/>
  <c r="N31" i="16" s="1"/>
  <c r="AU143" i="16" a="1"/>
  <c r="AU32" i="16"/>
  <c r="N32" i="16" s="1"/>
  <c r="AU35" i="16"/>
  <c r="N35" i="16" s="1"/>
  <c r="AU126" i="16" a="1"/>
  <c r="AU144" i="16" a="1"/>
  <c r="AU140" i="16" a="1"/>
  <c r="AU41" i="16"/>
  <c r="N41" i="16" s="1"/>
  <c r="AU114" i="16" a="1"/>
  <c r="AU138" i="16" a="1"/>
  <c r="AU127" i="16" a="1"/>
  <c r="AU37" i="16"/>
  <c r="N37" i="16" s="1"/>
  <c r="AU145" i="16" a="1"/>
  <c r="AU113" i="16" a="1"/>
  <c r="AU50" i="16" a="1"/>
  <c r="AU102" i="16" a="1"/>
  <c r="AU65" i="16" a="1"/>
  <c r="AU79" i="16" a="1"/>
  <c r="AU54" i="16" a="1"/>
  <c r="AU49" i="16" a="1"/>
  <c r="AU110" i="16" a="1"/>
  <c r="AU85" i="16" a="1"/>
  <c r="AU52" i="16" a="1"/>
  <c r="AU58" i="16" a="1"/>
  <c r="AU121" i="16" a="1"/>
  <c r="AU40" i="16"/>
  <c r="N40" i="16" s="1"/>
  <c r="AU84" i="16" a="1"/>
  <c r="AU87" i="16" a="1"/>
  <c r="AU90" i="16" a="1"/>
  <c r="AU80" i="16" a="1"/>
  <c r="AU76" i="16" a="1"/>
  <c r="AU77" i="16" a="1"/>
  <c r="AU119" i="16" a="1"/>
  <c r="AU62" i="16" a="1"/>
  <c r="AU91" i="16" a="1"/>
  <c r="AU104" i="16" a="1"/>
  <c r="AU92" i="16" a="1"/>
  <c r="AU71" i="16" a="1"/>
  <c r="AU98" i="16" a="1"/>
  <c r="AU57" i="16" a="1"/>
  <c r="AU103" i="16" a="1"/>
  <c r="AU70" i="16" a="1"/>
  <c r="AU75" i="16" a="1"/>
  <c r="AU117" i="16" a="1"/>
  <c r="AU66" i="16" a="1"/>
  <c r="AU99" i="16" a="1"/>
  <c r="AU122" i="16" a="1"/>
  <c r="AU129" i="16" a="1"/>
  <c r="AU61" i="16" a="1"/>
  <c r="AU131" i="16" a="1"/>
  <c r="AU116" i="16" a="1"/>
  <c r="AU109" i="16" a="1"/>
  <c r="AU39" i="16"/>
  <c r="N39" i="16" s="1"/>
  <c r="AU83" i="16" a="1"/>
  <c r="AU56" i="16" a="1"/>
  <c r="AU88" i="16" a="1"/>
  <c r="AU142" i="16" a="1"/>
  <c r="AU112" i="16" a="1"/>
  <c r="AU60" i="16" a="1"/>
  <c r="AU94" i="16" a="1"/>
  <c r="AU108" i="16" a="1"/>
  <c r="AU73" i="16" a="1"/>
  <c r="AU64" i="16" a="1"/>
  <c r="AU47" i="16" a="1"/>
  <c r="AU68" i="16" a="1"/>
  <c r="AU69" i="16" a="1"/>
  <c r="AU33" i="16"/>
  <c r="N33" i="16" s="1"/>
  <c r="AU100" i="16" a="1"/>
  <c r="AU72" i="16" a="1"/>
  <c r="AU107" i="16" a="1"/>
  <c r="AU53" i="16" a="1"/>
  <c r="AU38" i="16"/>
  <c r="N38" i="16" s="1"/>
  <c r="AU78" i="16" a="1"/>
  <c r="AU82" i="16" a="1"/>
  <c r="AU74" i="16" a="1"/>
  <c r="AU101" i="16" a="1"/>
  <c r="AU125" i="16" a="1"/>
  <c r="AU111" i="16" a="1"/>
  <c r="AU97" i="16" a="1"/>
  <c r="AU81" i="16" a="1"/>
  <c r="AU93" i="16" a="1"/>
  <c r="AU130" i="16" a="1"/>
  <c r="AU141" i="16" a="1"/>
  <c r="AU48" i="16" a="1"/>
  <c r="AU51" i="16" a="1"/>
  <c r="AU55" i="16" a="1"/>
  <c r="AU59" i="16" a="1"/>
  <c r="AU136" i="16" a="1"/>
  <c r="AU63" i="16" a="1"/>
  <c r="AU67" i="16" a="1"/>
  <c r="AU96" i="16" a="1"/>
  <c r="AU135" i="16" a="1"/>
  <c r="AU86" i="16" a="1"/>
  <c r="AU89" i="16" a="1"/>
  <c r="AU95" i="16" a="1"/>
  <c r="AU134" i="16" a="1"/>
  <c r="AU105" i="16" a="1"/>
  <c r="AU137" i="16" a="1"/>
  <c r="AU106" i="16" a="1"/>
  <c r="AU115" i="16" a="1"/>
  <c r="AU133" i="16" a="1"/>
  <c r="AU118" i="16" a="1"/>
  <c r="AU139" i="16" a="1"/>
  <c r="AU124" i="16" a="1"/>
  <c r="AU128" i="16" a="1"/>
  <c r="AU132" i="16" a="1"/>
  <c r="AU123" i="16" a="1"/>
  <c r="AU120" i="16" a="1"/>
  <c r="AU34" i="16"/>
  <c r="N34" i="16" s="1"/>
  <c r="AU36" i="16"/>
  <c r="N36" i="16" s="1"/>
  <c r="BW32" i="16"/>
  <c r="BW38" i="16"/>
  <c r="BW35" i="16"/>
  <c r="BW37" i="16"/>
  <c r="BW36" i="16"/>
  <c r="BW31" i="16"/>
  <c r="BW41" i="16"/>
  <c r="BW39" i="16"/>
  <c r="BW40" i="16"/>
  <c r="BW34" i="16"/>
  <c r="BW33" i="16"/>
  <c r="BP32" i="16"/>
  <c r="BP37" i="16"/>
  <c r="BP40" i="16"/>
  <c r="BP35" i="16"/>
  <c r="BP38" i="16"/>
  <c r="BP36" i="16"/>
  <c r="BP34" i="16"/>
  <c r="BP31" i="16"/>
  <c r="BP33" i="16"/>
  <c r="BP39" i="16"/>
  <c r="BG34" i="16"/>
  <c r="AB34" i="16" s="1"/>
  <c r="BG38" i="16"/>
  <c r="AB38" i="16" s="1"/>
  <c r="BG32" i="16"/>
  <c r="AB32" i="16" s="1"/>
  <c r="BG39" i="16"/>
  <c r="AB39" i="16" s="1"/>
  <c r="BG40" i="16"/>
  <c r="AB40" i="16" s="1"/>
  <c r="BG36" i="16"/>
  <c r="AB36" i="16" s="1"/>
  <c r="BG33" i="16"/>
  <c r="AB33" i="16" s="1"/>
  <c r="BG35" i="16"/>
  <c r="AB35" i="16" s="1"/>
  <c r="BG37" i="16"/>
  <c r="AB37" i="16" s="1"/>
  <c r="BG31" i="16"/>
  <c r="AB31" i="16" s="1"/>
  <c r="BC40" i="16"/>
  <c r="X40" i="16" s="1"/>
  <c r="BC35" i="16"/>
  <c r="X35" i="16" s="1"/>
  <c r="BC37" i="16"/>
  <c r="X37" i="16" s="1"/>
  <c r="BC33" i="16"/>
  <c r="X33" i="16" s="1"/>
  <c r="BC39" i="16"/>
  <c r="X39" i="16" s="1"/>
  <c r="BC38" i="16"/>
  <c r="X38" i="16" s="1"/>
  <c r="BC31" i="16"/>
  <c r="X31" i="16" s="1"/>
  <c r="BC32" i="16"/>
  <c r="X32" i="16" s="1"/>
  <c r="BC36" i="16"/>
  <c r="X36" i="16" s="1"/>
  <c r="BC34" i="16"/>
  <c r="X34" i="16" s="1"/>
  <c r="AX115" i="16" a="1"/>
  <c r="AX81" i="16" a="1"/>
  <c r="AX52" i="16" a="1"/>
  <c r="AX65" i="16" a="1"/>
  <c r="AX80" i="16" a="1"/>
  <c r="AX57" i="16" a="1"/>
  <c r="AX79" i="16" a="1"/>
  <c r="AX49" i="16" a="1"/>
  <c r="AX84" i="16" a="1"/>
  <c r="AX31" i="16"/>
  <c r="Q31" i="16" s="1"/>
  <c r="AX33" i="16"/>
  <c r="Q33" i="16" s="1"/>
  <c r="AX34" i="16"/>
  <c r="Q34" i="16" s="1"/>
  <c r="AX141" i="16" a="1"/>
  <c r="AX128" i="16" a="1"/>
  <c r="AX121" i="16" a="1"/>
  <c r="AX126" i="16" a="1"/>
  <c r="AX114" i="16" a="1"/>
  <c r="AX53" i="16" a="1"/>
  <c r="AX107" i="16" a="1"/>
  <c r="AX100" i="16" a="1"/>
  <c r="AX96" i="16" a="1"/>
  <c r="AX93" i="16" a="1"/>
  <c r="AX111" i="16" a="1"/>
  <c r="AX47" i="16" a="1"/>
  <c r="AX108" i="16" a="1"/>
  <c r="AX88" i="16" a="1"/>
  <c r="AX103" i="16" a="1"/>
  <c r="AX55" i="16" a="1"/>
  <c r="AX83" i="16" a="1"/>
  <c r="AX56" i="16" a="1"/>
  <c r="AX99" i="16" a="1"/>
  <c r="AX61" i="16" a="1"/>
  <c r="AX75" i="16" a="1"/>
  <c r="AX66" i="16" a="1"/>
  <c r="AX70" i="16" a="1"/>
  <c r="AX90" i="16" a="1"/>
  <c r="AX92" i="16" a="1"/>
  <c r="AX101" i="16" a="1"/>
  <c r="AX71" i="16" a="1"/>
  <c r="AX109" i="16" a="1"/>
  <c r="AX69" i="16" a="1"/>
  <c r="AX76" i="16" a="1"/>
  <c r="AX87" i="16" a="1"/>
  <c r="AX67" i="16" a="1"/>
  <c r="AX85" i="16" a="1"/>
  <c r="AX138" i="16" a="1"/>
  <c r="AX102" i="16" a="1"/>
  <c r="AX117" i="16" a="1"/>
  <c r="AX123" i="16" a="1"/>
  <c r="AX137" i="16" a="1"/>
  <c r="AX140" i="16" a="1"/>
  <c r="AX48" i="16" a="1"/>
  <c r="AX46" i="16" a="1"/>
  <c r="AX37" i="16"/>
  <c r="Q37" i="16" s="1"/>
  <c r="AX130" i="16" a="1"/>
  <c r="AX51" i="16" a="1"/>
  <c r="AX35" i="16"/>
  <c r="Q35" i="16" s="1"/>
  <c r="AX41" i="16"/>
  <c r="Q41" i="16" s="1"/>
  <c r="AX136" i="16" a="1"/>
  <c r="AX59" i="16" a="1"/>
  <c r="AX129" i="16" a="1"/>
  <c r="AX119" i="16" a="1"/>
  <c r="AX125" i="16" a="1"/>
  <c r="AX127" i="16" a="1"/>
  <c r="AX63" i="16" a="1"/>
  <c r="AX50" i="16" a="1"/>
  <c r="AX139" i="16" a="1"/>
  <c r="AX135" i="16" a="1"/>
  <c r="AX110" i="16" a="1"/>
  <c r="AX54" i="16" a="1"/>
  <c r="AX40" i="16"/>
  <c r="Q40" i="16" s="1"/>
  <c r="AX58" i="16" a="1"/>
  <c r="AX62" i="16" a="1"/>
  <c r="AX89" i="16" a="1"/>
  <c r="AX120" i="16" a="1"/>
  <c r="AX77" i="16" a="1"/>
  <c r="AX36" i="16"/>
  <c r="Q36" i="16" s="1"/>
  <c r="AX134" i="16" a="1"/>
  <c r="AX95" i="16" a="1"/>
  <c r="AX91" i="16" a="1"/>
  <c r="AX142" i="16" a="1"/>
  <c r="AX98" i="16" a="1"/>
  <c r="AX105" i="16" a="1"/>
  <c r="AX116" i="16" a="1"/>
  <c r="AX106" i="16" a="1"/>
  <c r="AX112" i="16" a="1"/>
  <c r="AX113" i="16" a="1"/>
  <c r="AX133" i="16" a="1"/>
  <c r="AX124" i="16" a="1"/>
  <c r="AX39" i="16"/>
  <c r="Q39" i="16" s="1"/>
  <c r="AX144" i="16" a="1"/>
  <c r="AX94" i="16" a="1"/>
  <c r="AX118" i="16" a="1"/>
  <c r="AX122" i="16" a="1"/>
  <c r="AX78" i="16" a="1"/>
  <c r="AX73" i="16" a="1"/>
  <c r="AX60" i="16" a="1"/>
  <c r="AX64" i="16" a="1"/>
  <c r="AX132" i="16" a="1"/>
  <c r="AX97" i="16" a="1"/>
  <c r="AX68" i="16" a="1"/>
  <c r="AX143" i="16" a="1"/>
  <c r="AX38" i="16"/>
  <c r="Q38" i="16" s="1"/>
  <c r="AX72" i="16" a="1"/>
  <c r="AX82" i="16" a="1"/>
  <c r="AX145" i="16" a="1"/>
  <c r="AX32" i="16"/>
  <c r="Q32" i="16" s="1"/>
  <c r="AX74" i="16" a="1"/>
  <c r="AX131" i="16" a="1"/>
  <c r="AX104" i="16" a="1"/>
  <c r="AX86" i="16" a="1"/>
  <c r="AQ97" i="16" a="1"/>
  <c r="AQ84" i="16" a="1"/>
  <c r="AQ62" i="16" a="1"/>
  <c r="AQ110" i="16" a="1"/>
  <c r="AQ58" i="16" a="1"/>
  <c r="AQ65" i="16" a="1"/>
  <c r="AQ91" i="16" a="1"/>
  <c r="AQ102" i="16" a="1"/>
  <c r="AQ111" i="16" a="1"/>
  <c r="AQ118" i="16" a="1"/>
  <c r="AQ36" i="16"/>
  <c r="J36" i="16" s="1"/>
  <c r="AQ50" i="16" a="1"/>
  <c r="AQ37" i="16"/>
  <c r="J37" i="16" s="1"/>
  <c r="AQ55" i="16" a="1"/>
  <c r="AQ85" i="16" a="1"/>
  <c r="AQ121" i="16" a="1"/>
  <c r="AQ138" i="16" a="1"/>
  <c r="AQ119" i="16" a="1"/>
  <c r="AQ31" i="16"/>
  <c r="J31" i="16" s="1"/>
  <c r="AQ49" i="16" a="1"/>
  <c r="AQ131" i="16" a="1"/>
  <c r="AQ33" i="16"/>
  <c r="J33" i="16" s="1"/>
  <c r="AQ127" i="16" a="1"/>
  <c r="AQ72" i="16" a="1"/>
  <c r="AQ69" i="16" a="1"/>
  <c r="AQ47" i="16" a="1"/>
  <c r="AQ46" i="16" a="1"/>
  <c r="AQ68" i="16" a="1"/>
  <c r="AQ51" i="16" a="1"/>
  <c r="AQ141" i="16" a="1"/>
  <c r="AQ137" i="16" a="1"/>
  <c r="AQ57" i="16" a="1"/>
  <c r="AQ94" i="16" a="1"/>
  <c r="AQ112" i="16" a="1"/>
  <c r="AQ48" i="16" a="1"/>
  <c r="AQ59" i="16" a="1"/>
  <c r="AQ56" i="16" a="1"/>
  <c r="AQ81" i="16" a="1"/>
  <c r="AQ64" i="16" a="1"/>
  <c r="AQ123" i="16" a="1"/>
  <c r="AQ125" i="16" a="1"/>
  <c r="AQ63" i="16" a="1"/>
  <c r="AQ107" i="16" a="1"/>
  <c r="AQ143" i="16" a="1"/>
  <c r="AQ136" i="16" a="1"/>
  <c r="AQ38" i="16"/>
  <c r="J38" i="16" s="1"/>
  <c r="AQ108" i="16" a="1"/>
  <c r="AQ117" i="16" a="1"/>
  <c r="AQ67" i="16" a="1"/>
  <c r="AQ39" i="16"/>
  <c r="J39" i="16" s="1"/>
  <c r="AQ74" i="16" a="1"/>
  <c r="AQ104" i="16" a="1"/>
  <c r="AQ140" i="16" a="1"/>
  <c r="AQ86" i="16" a="1"/>
  <c r="AQ82" i="16" a="1"/>
  <c r="AQ80" i="16" a="1"/>
  <c r="AQ79" i="16" a="1"/>
  <c r="AQ103" i="16" a="1"/>
  <c r="AQ135" i="16" a="1"/>
  <c r="AQ54" i="16" a="1"/>
  <c r="AQ60" i="16" a="1"/>
  <c r="AQ130" i="16" a="1"/>
  <c r="AQ95" i="16" a="1"/>
  <c r="AQ61" i="16" a="1"/>
  <c r="AQ83" i="16" a="1"/>
  <c r="AQ34" i="16"/>
  <c r="J34" i="16" s="1"/>
  <c r="AQ96" i="16" a="1"/>
  <c r="AQ105" i="16" a="1"/>
  <c r="AQ128" i="16" a="1"/>
  <c r="AQ122" i="16" a="1"/>
  <c r="AQ66" i="16" a="1"/>
  <c r="AQ100" i="16" a="1"/>
  <c r="AQ134" i="16" a="1"/>
  <c r="AQ106" i="16" a="1"/>
  <c r="AQ32" i="16"/>
  <c r="J32" i="16" s="1"/>
  <c r="AQ126" i="16" a="1"/>
  <c r="AQ99" i="16" a="1"/>
  <c r="AQ113" i="16" a="1"/>
  <c r="AQ35" i="16"/>
  <c r="J35" i="16" s="1"/>
  <c r="AQ70" i="16" a="1"/>
  <c r="AQ114" i="16" a="1"/>
  <c r="AQ116" i="16" a="1"/>
  <c r="AQ101" i="16" a="1"/>
  <c r="AQ75" i="16" a="1"/>
  <c r="AQ89" i="16" a="1"/>
  <c r="AQ90" i="16" a="1"/>
  <c r="AQ133" i="16" a="1"/>
  <c r="AQ93" i="16" a="1"/>
  <c r="AQ115" i="16" a="1"/>
  <c r="AQ145" i="16" a="1"/>
  <c r="AQ129" i="16" a="1"/>
  <c r="AQ109" i="16" a="1"/>
  <c r="AQ124" i="16" a="1"/>
  <c r="AQ52" i="16" a="1"/>
  <c r="AQ92" i="16" a="1"/>
  <c r="AQ139" i="16" a="1"/>
  <c r="AQ98" i="16" a="1"/>
  <c r="AQ142" i="16" a="1"/>
  <c r="AQ87" i="16" a="1"/>
  <c r="AQ53" i="16" a="1"/>
  <c r="AQ132" i="16" a="1"/>
  <c r="AQ144" i="16" a="1"/>
  <c r="AQ73" i="16" a="1"/>
  <c r="AQ71" i="16" a="1"/>
  <c r="AQ76" i="16" a="1"/>
  <c r="AQ88" i="16" a="1"/>
  <c r="AQ77" i="16" a="1"/>
  <c r="AQ78" i="16" a="1"/>
  <c r="AQ120" i="16" a="1"/>
  <c r="AQ40" i="16"/>
  <c r="J40" i="16" s="1"/>
  <c r="AM34" i="16"/>
  <c r="F34" i="16" s="1"/>
  <c r="AM117" i="16" a="1"/>
  <c r="AM109" i="16" a="1"/>
  <c r="AM37" i="16"/>
  <c r="F37" i="16" s="1"/>
  <c r="AM94" i="16" a="1"/>
  <c r="AM78" i="16" a="1"/>
  <c r="AM46" i="16" a="1"/>
  <c r="AM74" i="16" a="1"/>
  <c r="AM52" i="16" a="1"/>
  <c r="AM49" i="16" a="1"/>
  <c r="AM82" i="16" a="1"/>
  <c r="AM131" i="16" a="1"/>
  <c r="AM71" i="16" a="1"/>
  <c r="AM125" i="16" a="1"/>
  <c r="AM116" i="16" a="1"/>
  <c r="AM112" i="16" a="1"/>
  <c r="AM108" i="16" a="1"/>
  <c r="AM36" i="16"/>
  <c r="F36" i="16" s="1"/>
  <c r="AM93" i="16" a="1"/>
  <c r="AM85" i="16" a="1"/>
  <c r="AM67" i="16" a="1"/>
  <c r="AM35" i="16"/>
  <c r="F35" i="16" s="1"/>
  <c r="AM126" i="16" a="1"/>
  <c r="AM47" i="16" a="1"/>
  <c r="AM77" i="16" a="1"/>
  <c r="AM119" i="16" a="1"/>
  <c r="AM51" i="16" a="1"/>
  <c r="AM81" i="16" a="1"/>
  <c r="AM57" i="16" a="1"/>
  <c r="AM101" i="16" a="1"/>
  <c r="AM90" i="16" a="1"/>
  <c r="AM128" i="16" a="1"/>
  <c r="AM33" i="16"/>
  <c r="F33" i="16" s="1"/>
  <c r="AM138" i="16" a="1"/>
  <c r="AM104" i="16" a="1"/>
  <c r="AM72" i="16" a="1"/>
  <c r="AM68" i="16" a="1"/>
  <c r="AM64" i="16" a="1"/>
  <c r="AM143" i="16" a="1"/>
  <c r="AM139" i="16" a="1"/>
  <c r="AM80" i="16" a="1"/>
  <c r="AM130" i="16" a="1"/>
  <c r="AM127" i="16" a="1"/>
  <c r="AM122" i="16" a="1"/>
  <c r="AM137" i="16" a="1"/>
  <c r="AM118" i="16" a="1"/>
  <c r="AM98" i="16" a="1"/>
  <c r="AM91" i="16" a="1"/>
  <c r="AM87" i="16" a="1"/>
  <c r="AM58" i="16" a="1"/>
  <c r="AM40" i="16"/>
  <c r="F40" i="16" s="1"/>
  <c r="AM50" i="16" a="1"/>
  <c r="AM32" i="16"/>
  <c r="F32" i="16" s="1"/>
  <c r="AM110" i="16" a="1"/>
  <c r="AM79" i="16" a="1"/>
  <c r="AM141" i="16" a="1"/>
  <c r="AM140" i="16" a="1"/>
  <c r="AM129" i="16" a="1"/>
  <c r="AM31" i="16"/>
  <c r="F31" i="16" s="1"/>
  <c r="AM136" i="16" a="1"/>
  <c r="AM56" i="16" a="1"/>
  <c r="AM144" i="16" a="1"/>
  <c r="AM107" i="16" a="1"/>
  <c r="AM142" i="16" a="1"/>
  <c r="AM121" i="16" a="1"/>
  <c r="AM120" i="16" a="1"/>
  <c r="AM113" i="16" a="1"/>
  <c r="AM106" i="16" a="1"/>
  <c r="AM105" i="16" a="1"/>
  <c r="AM92" i="16" a="1"/>
  <c r="AM111" i="16" a="1"/>
  <c r="AM135" i="16" a="1"/>
  <c r="AM89" i="16" a="1"/>
  <c r="AM86" i="16" a="1"/>
  <c r="AM63" i="16" a="1"/>
  <c r="AM59" i="16" a="1"/>
  <c r="AM100" i="16" a="1"/>
  <c r="AM55" i="16" a="1"/>
  <c r="AM145" i="16" a="1"/>
  <c r="AM124" i="16" a="1"/>
  <c r="AM39" i="16"/>
  <c r="F39" i="16" s="1"/>
  <c r="AM123" i="16" a="1"/>
  <c r="AM96" i="16" a="1"/>
  <c r="AM102" i="16" a="1"/>
  <c r="AM134" i="16" a="1"/>
  <c r="AM95" i="16" a="1"/>
  <c r="AM88" i="16" a="1"/>
  <c r="AM84" i="16" a="1"/>
  <c r="AM115" i="16" a="1"/>
  <c r="AM76" i="16" a="1"/>
  <c r="AM114" i="16" a="1"/>
  <c r="AM69" i="16" a="1"/>
  <c r="AM62" i="16" a="1"/>
  <c r="AM54" i="16" a="1"/>
  <c r="AM97" i="16" a="1"/>
  <c r="AM133" i="16" a="1"/>
  <c r="AM70" i="16" a="1"/>
  <c r="AM66" i="16" a="1"/>
  <c r="AM83" i="16" a="1"/>
  <c r="AM61" i="16" a="1"/>
  <c r="AM73" i="16" a="1"/>
  <c r="AM60" i="16" a="1"/>
  <c r="AM103" i="16" a="1"/>
  <c r="AM99" i="16" a="1"/>
  <c r="AM53" i="16" a="1"/>
  <c r="AM48" i="16" a="1"/>
  <c r="AM65" i="16" a="1"/>
  <c r="AM132" i="16" a="1"/>
  <c r="AM38" i="16"/>
  <c r="F38" i="16" s="1"/>
  <c r="AM75" i="16" a="1"/>
  <c r="BX36" i="16"/>
  <c r="BX31" i="16"/>
  <c r="BX41" i="16"/>
  <c r="BX32" i="16"/>
  <c r="BX35" i="16"/>
  <c r="BX34" i="16"/>
  <c r="BX33" i="16"/>
  <c r="BX37" i="16"/>
  <c r="BX40" i="16"/>
  <c r="BX39" i="16"/>
  <c r="BX38" i="16"/>
  <c r="BJ40" i="16"/>
  <c r="AE40" i="16" s="1"/>
  <c r="BJ37" i="16"/>
  <c r="AE37" i="16" s="1"/>
  <c r="BJ39" i="16"/>
  <c r="AE39" i="16" s="1"/>
  <c r="BJ38" i="16"/>
  <c r="AE38" i="16" s="1"/>
  <c r="BJ32" i="16"/>
  <c r="AE32" i="16" s="1"/>
  <c r="BJ33" i="16"/>
  <c r="AE33" i="16" s="1"/>
  <c r="BJ31" i="16"/>
  <c r="AE31" i="16" s="1"/>
  <c r="BJ41" i="16"/>
  <c r="AE41" i="16" s="1"/>
  <c r="BJ36" i="16"/>
  <c r="AE36" i="16" s="1"/>
  <c r="BJ34" i="16"/>
  <c r="AE34" i="16" s="1"/>
  <c r="BJ35" i="16"/>
  <c r="AE35" i="16" s="1"/>
  <c r="BD39" i="16"/>
  <c r="Y39" i="16" s="1"/>
  <c r="BD40" i="16"/>
  <c r="Y40" i="16" s="1"/>
  <c r="BD38" i="16"/>
  <c r="Y38" i="16" s="1"/>
  <c r="BD33" i="16"/>
  <c r="Y33" i="16" s="1"/>
  <c r="BD34" i="16"/>
  <c r="Y34" i="16" s="1"/>
  <c r="BD31" i="16"/>
  <c r="Y31" i="16" s="1"/>
  <c r="BD35" i="16"/>
  <c r="Y35" i="16" s="1"/>
  <c r="BD32" i="16"/>
  <c r="Y32" i="16" s="1"/>
  <c r="BD36" i="16"/>
  <c r="Y36" i="16" s="1"/>
  <c r="BD37" i="16"/>
  <c r="Y37" i="16" s="1"/>
  <c r="AS104" i="16" a="1"/>
  <c r="AS55" i="16" a="1"/>
  <c r="AS34" i="16"/>
  <c r="L34" i="16" s="1"/>
  <c r="AS127" i="16" a="1"/>
  <c r="AS142" i="16" a="1"/>
  <c r="AS48" i="16" a="1"/>
  <c r="AS46" i="16" a="1"/>
  <c r="AS31" i="16"/>
  <c r="L31" i="16" s="1"/>
  <c r="AS33" i="16"/>
  <c r="L33" i="16" s="1"/>
  <c r="AS143" i="16" a="1"/>
  <c r="AS47" i="16" a="1"/>
  <c r="AS51" i="16" a="1"/>
  <c r="AS68" i="16" a="1"/>
  <c r="AS140" i="16" a="1"/>
  <c r="AS137" i="16" a="1"/>
  <c r="AS90" i="16" a="1"/>
  <c r="AS139" i="16" a="1"/>
  <c r="AS111" i="16" a="1"/>
  <c r="AS115" i="16" a="1"/>
  <c r="AS130" i="16" a="1"/>
  <c r="AS49" i="16" a="1"/>
  <c r="AS69" i="16" a="1"/>
  <c r="AS91" i="16" a="1"/>
  <c r="AS126" i="16" a="1"/>
  <c r="AS93" i="16" a="1"/>
  <c r="AS85" i="16" a="1"/>
  <c r="AS84" i="16" a="1"/>
  <c r="AS87" i="16" a="1"/>
  <c r="AS136" i="16" a="1"/>
  <c r="AS52" i="16" a="1"/>
  <c r="AS141" i="16" a="1"/>
  <c r="AS57" i="16" a="1"/>
  <c r="AS77" i="16" a="1"/>
  <c r="AS76" i="16" a="1"/>
  <c r="AS117" i="16" a="1"/>
  <c r="AS62" i="16" a="1"/>
  <c r="AS97" i="16" a="1"/>
  <c r="AS40" i="16"/>
  <c r="L40" i="16" s="1"/>
  <c r="AS82" i="16" a="1"/>
  <c r="AS70" i="16" a="1"/>
  <c r="AS74" i="16" a="1"/>
  <c r="AS99" i="16" a="1"/>
  <c r="AS66" i="16" a="1"/>
  <c r="AS64" i="16" a="1"/>
  <c r="AS135" i="16" a="1"/>
  <c r="AS61" i="16" a="1"/>
  <c r="AS56" i="16" a="1"/>
  <c r="AS124" i="16" a="1"/>
  <c r="AS102" i="16" a="1"/>
  <c r="AS134" i="16" a="1"/>
  <c r="AS108" i="16" a="1"/>
  <c r="AS133" i="16" a="1"/>
  <c r="AS32" i="16"/>
  <c r="L32" i="16" s="1"/>
  <c r="AS118" i="16" a="1"/>
  <c r="AS132" i="16" a="1"/>
  <c r="AS60" i="16" a="1"/>
  <c r="AS110" i="16" a="1"/>
  <c r="AS107" i="16" a="1"/>
  <c r="AS131" i="16" a="1"/>
  <c r="AS50" i="16" a="1"/>
  <c r="AS129" i="16" a="1"/>
  <c r="AS65" i="16" a="1"/>
  <c r="AS128" i="16" a="1"/>
  <c r="AS123" i="16" a="1"/>
  <c r="AS39" i="16"/>
  <c r="L39" i="16" s="1"/>
  <c r="AS88" i="16" a="1"/>
  <c r="AS54" i="16" a="1"/>
  <c r="AS112" i="16" a="1"/>
  <c r="AS80" i="16" a="1"/>
  <c r="AS94" i="16" a="1"/>
  <c r="AS35" i="16"/>
  <c r="L35" i="16" s="1"/>
  <c r="AS83" i="16" a="1"/>
  <c r="AS101" i="16" a="1"/>
  <c r="AS78" i="16" a="1"/>
  <c r="AS53" i="16" a="1"/>
  <c r="AS100" i="16" a="1"/>
  <c r="AS103" i="16" a="1"/>
  <c r="AS58" i="16" a="1"/>
  <c r="AS96" i="16" a="1"/>
  <c r="AS125" i="16" a="1"/>
  <c r="AS81" i="16" a="1"/>
  <c r="AS122" i="16" a="1"/>
  <c r="AS75" i="16" a="1"/>
  <c r="AS116" i="16" a="1"/>
  <c r="AS73" i="16" a="1"/>
  <c r="AS38" i="16"/>
  <c r="L38" i="16" s="1"/>
  <c r="AS72" i="16" a="1"/>
  <c r="AS109" i="16" a="1"/>
  <c r="AS36" i="16"/>
  <c r="L36" i="16" s="1"/>
  <c r="AS121" i="16" a="1"/>
  <c r="AS120" i="16" a="1"/>
  <c r="AS71" i="16" a="1"/>
  <c r="AS113" i="16" a="1"/>
  <c r="AS119" i="16" a="1"/>
  <c r="AS106" i="16" a="1"/>
  <c r="AS105" i="16" a="1"/>
  <c r="AS95" i="16" a="1"/>
  <c r="AS92" i="16" a="1"/>
  <c r="AS89" i="16" a="1"/>
  <c r="AS37" i="16"/>
  <c r="L37" i="16" s="1"/>
  <c r="AS86" i="16" a="1"/>
  <c r="AS67" i="16" a="1"/>
  <c r="AS79" i="16" a="1"/>
  <c r="AS98" i="16" a="1"/>
  <c r="AS63" i="16" a="1"/>
  <c r="AS114" i="16" a="1"/>
  <c r="AS138" i="16" a="1"/>
  <c r="AS59" i="16" a="1"/>
  <c r="AS145" i="16" a="1"/>
  <c r="AS144" i="16" a="1"/>
  <c r="AN48" i="16" a="1"/>
  <c r="AN136" i="16" a="1"/>
  <c r="AN68" i="16" a="1"/>
  <c r="AN96" i="16" a="1"/>
  <c r="AN76" i="16" a="1"/>
  <c r="AN49" i="16" a="1"/>
  <c r="AN62" i="16" a="1"/>
  <c r="AN46" i="16" a="1"/>
  <c r="AN72" i="16" a="1"/>
  <c r="AN120" i="16" a="1"/>
  <c r="AN124" i="16" a="1"/>
  <c r="AN86" i="16" a="1"/>
  <c r="AN126" i="16" a="1"/>
  <c r="AN75" i="16" a="1"/>
  <c r="AN140" i="16" a="1"/>
  <c r="AN60" i="16" a="1"/>
  <c r="AN89" i="16" a="1"/>
  <c r="AN121" i="16" a="1"/>
  <c r="AN57" i="16" a="1"/>
  <c r="AN129" i="16" a="1"/>
  <c r="AN47" i="16" a="1"/>
  <c r="AN37" i="16"/>
  <c r="G37" i="16" s="1"/>
  <c r="AN88" i="16" a="1"/>
  <c r="AN117" i="16" a="1"/>
  <c r="AN142" i="16" a="1"/>
  <c r="AN141" i="16" a="1"/>
  <c r="AN50" i="16" a="1"/>
  <c r="AN78" i="16" a="1"/>
  <c r="AN71" i="16" a="1"/>
  <c r="AN82" i="16" a="1"/>
  <c r="AN145" i="16" a="1"/>
  <c r="AN66" i="16" a="1"/>
  <c r="AN40" i="16"/>
  <c r="G40" i="16" s="1"/>
  <c r="AN69" i="16" a="1"/>
  <c r="AN83" i="16" a="1"/>
  <c r="AN131" i="16" a="1"/>
  <c r="AN59" i="16" a="1"/>
  <c r="AN127" i="16" a="1"/>
  <c r="AN65" i="16" a="1"/>
  <c r="AN80" i="16" a="1"/>
  <c r="AN33" i="16"/>
  <c r="G33" i="16" s="1"/>
  <c r="AN52" i="16" a="1"/>
  <c r="AN91" i="16" a="1"/>
  <c r="AN123" i="16" a="1"/>
  <c r="AN85" i="16" a="1"/>
  <c r="AN87" i="16" a="1"/>
  <c r="AN97" i="16" a="1"/>
  <c r="AN84" i="16" a="1"/>
  <c r="AN54" i="16" a="1"/>
  <c r="AN133" i="16" a="1"/>
  <c r="AN38" i="16"/>
  <c r="G38" i="16" s="1"/>
  <c r="AN35" i="16"/>
  <c r="G35" i="16" s="1"/>
  <c r="AN93" i="16" a="1"/>
  <c r="AN39" i="16"/>
  <c r="G39" i="16" s="1"/>
  <c r="AN73" i="16" a="1"/>
  <c r="AN92" i="16" a="1"/>
  <c r="AN58" i="16" a="1"/>
  <c r="AN36" i="16"/>
  <c r="G36" i="16" s="1"/>
  <c r="AN109" i="16" a="1"/>
  <c r="AN101" i="16" a="1"/>
  <c r="AN100" i="16" a="1"/>
  <c r="AN114" i="16" a="1"/>
  <c r="AN118" i="16" a="1"/>
  <c r="AN79" i="16" a="1"/>
  <c r="AN90" i="16" a="1"/>
  <c r="AN74" i="16" a="1"/>
  <c r="AN95" i="16" a="1"/>
  <c r="AN67" i="16" a="1"/>
  <c r="AN110" i="16" a="1"/>
  <c r="AN99" i="16" a="1"/>
  <c r="AN64" i="16" a="1"/>
  <c r="AN81" i="16" a="1"/>
  <c r="AN70" i="16" a="1"/>
  <c r="AN61" i="16" a="1"/>
  <c r="AN112" i="16" a="1"/>
  <c r="AN135" i="16" a="1"/>
  <c r="AN56" i="16" a="1"/>
  <c r="AN55" i="16" a="1"/>
  <c r="AN113" i="16" a="1"/>
  <c r="AN51" i="16" a="1"/>
  <c r="AN125" i="16" a="1"/>
  <c r="AN105" i="16" a="1"/>
  <c r="AN138" i="16" a="1"/>
  <c r="AN31" i="16"/>
  <c r="G31" i="16" s="1"/>
  <c r="AN134" i="16" a="1"/>
  <c r="AN130" i="16" a="1"/>
  <c r="AN34" i="16"/>
  <c r="G34" i="16" s="1"/>
  <c r="AN104" i="16" a="1"/>
  <c r="AN106" i="16" a="1"/>
  <c r="AN32" i="16"/>
  <c r="G32" i="16" s="1"/>
  <c r="AN102" i="16" a="1"/>
  <c r="AN53" i="16" a="1"/>
  <c r="AN116" i="16" a="1"/>
  <c r="AN77" i="16" a="1"/>
  <c r="AN143" i="16" a="1"/>
  <c r="AN119" i="16" a="1"/>
  <c r="AN122" i="16" a="1"/>
  <c r="AN103" i="16" a="1"/>
  <c r="AN137" i="16" a="1"/>
  <c r="AN132" i="16" a="1"/>
  <c r="AN115" i="16" a="1"/>
  <c r="AN128" i="16" a="1"/>
  <c r="AN111" i="16" a="1"/>
  <c r="AN144" i="16" a="1"/>
  <c r="AN139" i="16" a="1"/>
  <c r="AN107" i="16" a="1"/>
  <c r="AN108" i="16" a="1"/>
  <c r="AN94" i="16" a="1"/>
  <c r="AN63" i="16" a="1"/>
  <c r="AN98" i="16" a="1"/>
  <c r="AY34" i="16"/>
  <c r="T34" i="16" s="1"/>
  <c r="AY40" i="16"/>
  <c r="T40" i="16" s="1"/>
  <c r="AY33" i="16"/>
  <c r="T33" i="16" s="1"/>
  <c r="AY31" i="16"/>
  <c r="T31" i="16" s="1"/>
  <c r="AY38" i="16"/>
  <c r="T38" i="16" s="1"/>
  <c r="AY32" i="16"/>
  <c r="T32" i="16" s="1"/>
  <c r="AY36" i="16"/>
  <c r="T36" i="16" s="1"/>
  <c r="AY37" i="16"/>
  <c r="T37" i="16" s="1"/>
  <c r="AY35" i="16"/>
  <c r="T35" i="16" s="1"/>
  <c r="AY39" i="16"/>
  <c r="T39" i="16" s="1"/>
  <c r="BY41" i="16"/>
  <c r="BY40" i="16"/>
  <c r="BY36" i="16"/>
  <c r="BY39" i="16"/>
  <c r="BY31" i="16"/>
  <c r="BY38" i="16"/>
  <c r="BY33" i="16"/>
  <c r="BY34" i="16"/>
  <c r="BY32" i="16"/>
  <c r="BY35" i="16"/>
  <c r="BY37" i="16"/>
  <c r="BO33" i="16"/>
  <c r="BO40" i="16"/>
  <c r="BO38" i="16"/>
  <c r="BO32" i="16"/>
  <c r="BO39" i="16"/>
  <c r="BO31" i="16"/>
  <c r="BO34" i="16"/>
  <c r="BO36" i="16"/>
  <c r="BO37" i="16"/>
  <c r="BO35" i="16"/>
  <c r="BF34" i="16"/>
  <c r="AA34" i="16" s="1"/>
  <c r="BF32" i="16"/>
  <c r="AA32" i="16" s="1"/>
  <c r="BF36" i="16"/>
  <c r="AA36" i="16" s="1"/>
  <c r="BF31" i="16"/>
  <c r="AA31" i="16" s="1"/>
  <c r="BF37" i="16"/>
  <c r="AA37" i="16" s="1"/>
  <c r="BF40" i="16"/>
  <c r="AA40" i="16" s="1"/>
  <c r="BF38" i="16"/>
  <c r="AA38" i="16" s="1"/>
  <c r="BF39" i="16"/>
  <c r="AA39" i="16" s="1"/>
  <c r="BF33" i="16"/>
  <c r="AA33" i="16" s="1"/>
  <c r="BF35" i="16"/>
  <c r="AA35" i="16" s="1"/>
  <c r="BB36" i="16"/>
  <c r="W36" i="16" s="1"/>
  <c r="BB34" i="16"/>
  <c r="W34" i="16" s="1"/>
  <c r="BB39" i="16"/>
  <c r="W39" i="16" s="1"/>
  <c r="BB35" i="16"/>
  <c r="W35" i="16" s="1"/>
  <c r="BB31" i="16"/>
  <c r="W31" i="16" s="1"/>
  <c r="BB40" i="16"/>
  <c r="W40" i="16" s="1"/>
  <c r="BB38" i="16"/>
  <c r="W38" i="16" s="1"/>
  <c r="BB37" i="16"/>
  <c r="W37" i="16" s="1"/>
  <c r="BB32" i="16"/>
  <c r="W32" i="16" s="1"/>
  <c r="BB33" i="16"/>
  <c r="W33" i="16" s="1"/>
  <c r="AT31" i="16"/>
  <c r="M31" i="16" s="1"/>
  <c r="AT143" i="16" a="1"/>
  <c r="AT82" i="16" a="1"/>
  <c r="AT119" i="16" a="1"/>
  <c r="AT112" i="16" a="1"/>
  <c r="AT145" i="16" a="1"/>
  <c r="AT140" i="16" a="1"/>
  <c r="AT109" i="16" a="1"/>
  <c r="AT96" i="16" a="1"/>
  <c r="AT77" i="16" a="1"/>
  <c r="AT83" i="16" a="1"/>
  <c r="AT75" i="16" a="1"/>
  <c r="AT98" i="16" a="1"/>
  <c r="AT71" i="16" a="1"/>
  <c r="AT67" i="16" a="1"/>
  <c r="AT138" i="16" a="1"/>
  <c r="AT137" i="16" a="1"/>
  <c r="AT64" i="16" a="1"/>
  <c r="AT104" i="16" a="1"/>
  <c r="AT129" i="16" a="1"/>
  <c r="AT136" i="16" a="1"/>
  <c r="AT62" i="16" a="1"/>
  <c r="AT135" i="16" a="1"/>
  <c r="AT97" i="16" a="1"/>
  <c r="AT54" i="16" a="1"/>
  <c r="AT110" i="16" a="1"/>
  <c r="AT53" i="16" a="1"/>
  <c r="AT80" i="16" a="1"/>
  <c r="AT134" i="16" a="1"/>
  <c r="AT87" i="16" a="1"/>
  <c r="AT107" i="16" a="1"/>
  <c r="AT100" i="16" a="1"/>
  <c r="AT58" i="16" a="1"/>
  <c r="AT74" i="16" a="1"/>
  <c r="AT123" i="16" a="1"/>
  <c r="AT78" i="16" a="1"/>
  <c r="AT93" i="16" a="1"/>
  <c r="AT73" i="16" a="1"/>
  <c r="AT132" i="16" a="1"/>
  <c r="AT65" i="16" a="1"/>
  <c r="AT141" i="16" a="1"/>
  <c r="AT85" i="16" a="1"/>
  <c r="AT128" i="16" a="1"/>
  <c r="AT117" i="16" a="1"/>
  <c r="AT116" i="16" a="1"/>
  <c r="AT35" i="16"/>
  <c r="M35" i="16" s="1"/>
  <c r="AT81" i="16" a="1"/>
  <c r="AT106" i="16" a="1"/>
  <c r="AT105" i="16" a="1"/>
  <c r="AT36" i="16"/>
  <c r="M36" i="16" s="1"/>
  <c r="AT95" i="16" a="1"/>
  <c r="AT91" i="16" a="1"/>
  <c r="AT89" i="16" a="1"/>
  <c r="AT131" i="16" a="1"/>
  <c r="AT86" i="16" a="1"/>
  <c r="AT63" i="16" a="1"/>
  <c r="AT59" i="16" a="1"/>
  <c r="AT88" i="16" a="1"/>
  <c r="AT50" i="16" a="1"/>
  <c r="AT68" i="16" a="1"/>
  <c r="AT48" i="16" a="1"/>
  <c r="AT142" i="16" a="1"/>
  <c r="AT139" i="16" a="1"/>
  <c r="AT127" i="16" a="1"/>
  <c r="AT126" i="16" a="1"/>
  <c r="AT122" i="16" a="1"/>
  <c r="AT102" i="16" a="1"/>
  <c r="AT46" i="16" a="1"/>
  <c r="AT76" i="16" a="1"/>
  <c r="AT130" i="16" a="1"/>
  <c r="AT72" i="16" a="1"/>
  <c r="AT41" i="16"/>
  <c r="M41" i="16" s="1"/>
  <c r="AT84" i="16" a="1"/>
  <c r="AT133" i="16" a="1"/>
  <c r="AT52" i="16" a="1"/>
  <c r="AT125" i="16" a="1"/>
  <c r="AT94" i="16" a="1"/>
  <c r="AT47" i="16" a="1"/>
  <c r="AT144" i="16" a="1"/>
  <c r="AT69" i="16" a="1"/>
  <c r="AT40" i="16"/>
  <c r="M40" i="16" s="1"/>
  <c r="AT118" i="16" a="1"/>
  <c r="AT57" i="16" a="1"/>
  <c r="AT114" i="16" a="1"/>
  <c r="AT92" i="16" a="1"/>
  <c r="AT34" i="16"/>
  <c r="M34" i="16" s="1"/>
  <c r="AT101" i="16" a="1"/>
  <c r="AT39" i="16"/>
  <c r="M39" i="16" s="1"/>
  <c r="AT32" i="16"/>
  <c r="M32" i="16" s="1"/>
  <c r="AT113" i="16" a="1"/>
  <c r="AT90" i="16" a="1"/>
  <c r="AT38" i="16"/>
  <c r="M38" i="16" s="1"/>
  <c r="AT121" i="16" a="1"/>
  <c r="AT70" i="16" a="1"/>
  <c r="AT33" i="16"/>
  <c r="M33" i="16" s="1"/>
  <c r="AT66" i="16" a="1"/>
  <c r="AT124" i="16" a="1"/>
  <c r="AT99" i="16" a="1"/>
  <c r="AT108" i="16" a="1"/>
  <c r="AT61" i="16" a="1"/>
  <c r="AT49" i="16" a="1"/>
  <c r="AT37" i="16"/>
  <c r="M37" i="16" s="1"/>
  <c r="AT60" i="16" a="1"/>
  <c r="AT103" i="16" a="1"/>
  <c r="AT56" i="16" a="1"/>
  <c r="AT111" i="16" a="1"/>
  <c r="AT79" i="16" a="1"/>
  <c r="AT55" i="16" a="1"/>
  <c r="AT120" i="16" a="1"/>
  <c r="AT51" i="16" a="1"/>
  <c r="AT115" i="16" a="1"/>
  <c r="AO89" i="16" a="1"/>
  <c r="AO34" i="16"/>
  <c r="H34" i="16" s="1"/>
  <c r="AO119" i="16" a="1"/>
  <c r="AO86" i="16" a="1"/>
  <c r="AO65" i="16" a="1"/>
  <c r="AO39" i="16"/>
  <c r="H39" i="16" s="1"/>
  <c r="AO67" i="16" a="1"/>
  <c r="AO135" i="16" a="1"/>
  <c r="AO51" i="16" a="1"/>
  <c r="AO111" i="16" a="1"/>
  <c r="AO63" i="16" a="1"/>
  <c r="AO52" i="16" a="1"/>
  <c r="AO48" i="16" a="1"/>
  <c r="AO75" i="16" a="1"/>
  <c r="AO131" i="16" a="1"/>
  <c r="AO81" i="16" a="1"/>
  <c r="AO94" i="16" a="1"/>
  <c r="AO113" i="16" a="1"/>
  <c r="AO40" i="16"/>
  <c r="H40" i="16" s="1"/>
  <c r="AO55" i="16" a="1"/>
  <c r="AO136" i="16" a="1"/>
  <c r="AO82" i="16" a="1"/>
  <c r="AO137" i="16" a="1"/>
  <c r="AO57" i="16" a="1"/>
  <c r="AO107" i="16" a="1"/>
  <c r="AO101" i="16" a="1"/>
  <c r="AO140" i="16" a="1"/>
  <c r="AO56" i="16" a="1"/>
  <c r="AO97" i="16" a="1"/>
  <c r="AO129" i="16" a="1"/>
  <c r="AO83" i="16" a="1"/>
  <c r="AO127" i="16" a="1"/>
  <c r="AO98" i="16" a="1"/>
  <c r="AO78" i="16" a="1"/>
  <c r="AO139" i="16" a="1"/>
  <c r="AO49" i="16" a="1"/>
  <c r="AO123" i="16" a="1"/>
  <c r="AO109" i="16" a="1"/>
  <c r="AO122" i="16" a="1"/>
  <c r="AO128" i="16" a="1"/>
  <c r="AO115" i="16" a="1"/>
  <c r="AO106" i="16" a="1"/>
  <c r="AO61" i="16" a="1"/>
  <c r="AO92" i="16" a="1"/>
  <c r="AO130" i="16" a="1"/>
  <c r="AO102" i="16" a="1"/>
  <c r="AO100" i="16" a="1"/>
  <c r="AO93" i="16" a="1"/>
  <c r="AO114" i="16" a="1"/>
  <c r="AO125" i="16" a="1"/>
  <c r="AO124" i="16" a="1"/>
  <c r="AO145" i="16" a="1"/>
  <c r="AO58" i="16" a="1"/>
  <c r="AO126" i="16" a="1"/>
  <c r="AO138" i="16" a="1"/>
  <c r="AO31" i="16"/>
  <c r="H31" i="16" s="1"/>
  <c r="AO84" i="16" a="1"/>
  <c r="AO50" i="16" a="1"/>
  <c r="AO87" i="16" a="1"/>
  <c r="AO77" i="16" a="1"/>
  <c r="AO88" i="16" a="1"/>
  <c r="AO121" i="16" a="1"/>
  <c r="AO132" i="16" a="1"/>
  <c r="AO76" i="16" a="1"/>
  <c r="AO120" i="16" a="1"/>
  <c r="AO53" i="16" a="1"/>
  <c r="AO74" i="16" a="1"/>
  <c r="AO69" i="16" a="1"/>
  <c r="AO108" i="16" a="1"/>
  <c r="AO47" i="16" a="1"/>
  <c r="AO110" i="16" a="1"/>
  <c r="AO116" i="16" a="1"/>
  <c r="AO144" i="16" a="1"/>
  <c r="AO62" i="16" a="1"/>
  <c r="AO38" i="16"/>
  <c r="H38" i="16" s="1"/>
  <c r="AO35" i="16"/>
  <c r="H35" i="16" s="1"/>
  <c r="AO72" i="16" a="1"/>
  <c r="AO112" i="16" a="1"/>
  <c r="AO143" i="16" a="1"/>
  <c r="AO96" i="16" a="1"/>
  <c r="AO90" i="16" a="1"/>
  <c r="AO80" i="16" a="1"/>
  <c r="AO134" i="16" a="1"/>
  <c r="AO99" i="16" a="1"/>
  <c r="AO46" i="16" a="1"/>
  <c r="AO54" i="16" a="1"/>
  <c r="AO70" i="16" a="1"/>
  <c r="AO33" i="16"/>
  <c r="H33" i="16" s="1"/>
  <c r="AO64" i="16" a="1"/>
  <c r="AO118" i="16" a="1"/>
  <c r="AO37" i="16"/>
  <c r="H37" i="16" s="1"/>
  <c r="AO32" i="16"/>
  <c r="H32" i="16" s="1"/>
  <c r="AO66" i="16" a="1"/>
  <c r="AO105" i="16" a="1"/>
  <c r="AO36" i="16"/>
  <c r="H36" i="16" s="1"/>
  <c r="AO91" i="16" a="1"/>
  <c r="AO142" i="16" a="1"/>
  <c r="AO104" i="16" a="1"/>
  <c r="AO68" i="16" a="1"/>
  <c r="AO103" i="16" a="1"/>
  <c r="AO60" i="16" a="1"/>
  <c r="AO85" i="16" a="1"/>
  <c r="AO117" i="16" a="1"/>
  <c r="AO95" i="16" a="1"/>
  <c r="AO73" i="16" a="1"/>
  <c r="AO79" i="16" a="1"/>
  <c r="AO141" i="16" a="1"/>
  <c r="AO133" i="16" a="1"/>
  <c r="AO71" i="16" a="1"/>
  <c r="AO59" i="16" a="1"/>
  <c r="AL144" i="16" a="1"/>
  <c r="AL142" i="16" a="1"/>
  <c r="AL39" i="16"/>
  <c r="E39" i="16" s="1"/>
  <c r="AL32" i="16"/>
  <c r="E32" i="16" s="1"/>
  <c r="AL36" i="16"/>
  <c r="E36" i="16" s="1"/>
  <c r="AL31" i="16"/>
  <c r="E31" i="16" s="1"/>
  <c r="AL60" i="16" a="1"/>
  <c r="AL128" i="16" a="1"/>
  <c r="AL139" i="16" a="1"/>
  <c r="AL49" i="16" a="1"/>
  <c r="AL72" i="16" a="1"/>
  <c r="AL127" i="16" a="1"/>
  <c r="AL145" i="16" a="1"/>
  <c r="AL125" i="16" a="1"/>
  <c r="AL107" i="16" a="1"/>
  <c r="AL92" i="16" a="1"/>
  <c r="AL83" i="16" a="1"/>
  <c r="AL71" i="16" a="1"/>
  <c r="AL111" i="16" a="1"/>
  <c r="AL138" i="16" a="1"/>
  <c r="AL137" i="16" a="1"/>
  <c r="AL119" i="16" a="1"/>
  <c r="AL118" i="16" a="1"/>
  <c r="AL79" i="16" a="1"/>
  <c r="AL116" i="16" a="1"/>
  <c r="AL136" i="16" a="1"/>
  <c r="AL76" i="16" a="1"/>
  <c r="AL135" i="16" a="1"/>
  <c r="AL97" i="16" a="1"/>
  <c r="AL117" i="16" a="1"/>
  <c r="AL134" i="16" a="1"/>
  <c r="AL38" i="16"/>
  <c r="E38" i="16" s="1"/>
  <c r="AL102" i="16" a="1"/>
  <c r="AL133" i="16" a="1"/>
  <c r="AL50" i="16" a="1"/>
  <c r="AL132" i="16" a="1"/>
  <c r="AL91" i="16" a="1"/>
  <c r="AL131" i="16" a="1"/>
  <c r="AL87" i="16" a="1"/>
  <c r="AL114" i="16" a="1"/>
  <c r="AL54" i="16" a="1"/>
  <c r="AL143" i="16" a="1"/>
  <c r="AL121" i="16" a="1"/>
  <c r="AL112" i="16" a="1"/>
  <c r="AL124" i="16" a="1"/>
  <c r="AL47" i="16" a="1"/>
  <c r="AL110" i="16" a="1"/>
  <c r="AL104" i="16" a="1"/>
  <c r="AL103" i="16" a="1"/>
  <c r="AL77" i="16" a="1"/>
  <c r="AL88" i="16" a="1"/>
  <c r="AL96" i="16" a="1"/>
  <c r="AL89" i="16" a="1"/>
  <c r="AL106" i="16" a="1"/>
  <c r="AL85" i="16" a="1"/>
  <c r="AL62" i="16" a="1"/>
  <c r="AL69" i="16" a="1"/>
  <c r="AL73" i="16" a="1"/>
  <c r="AL65" i="16" a="1"/>
  <c r="AL100" i="16" a="1"/>
  <c r="AL82" i="16" a="1"/>
  <c r="AL105" i="16" a="1"/>
  <c r="AL66" i="16" a="1"/>
  <c r="AL115" i="16" a="1"/>
  <c r="AL81" i="16" a="1"/>
  <c r="AL58" i="16" a="1"/>
  <c r="AL80" i="16" a="1"/>
  <c r="AL120" i="16" a="1"/>
  <c r="AL75" i="16" a="1"/>
  <c r="AL84" i="16" a="1"/>
  <c r="AL95" i="16" a="1"/>
  <c r="AL101" i="16" a="1"/>
  <c r="AL126" i="16" a="1"/>
  <c r="AL122" i="16" a="1"/>
  <c r="AL93" i="16" a="1"/>
  <c r="AL99" i="16" a="1"/>
  <c r="AL98" i="16" a="1"/>
  <c r="AL108" i="16" a="1"/>
  <c r="AL130" i="16" a="1"/>
  <c r="AL86" i="16" a="1"/>
  <c r="AL37" i="16"/>
  <c r="E37" i="16" s="1"/>
  <c r="AL68" i="16" a="1"/>
  <c r="AL109" i="16" a="1"/>
  <c r="AL35" i="16"/>
  <c r="E35" i="16" s="1"/>
  <c r="AL70" i="16" a="1"/>
  <c r="AL141" i="16" a="1"/>
  <c r="AL67" i="16" a="1"/>
  <c r="AL33" i="16"/>
  <c r="E33" i="16" s="1"/>
  <c r="AL123" i="16" a="1"/>
  <c r="AL52" i="16" a="1"/>
  <c r="AL48" i="16" a="1"/>
  <c r="AL94" i="16" a="1"/>
  <c r="AL63" i="16" a="1"/>
  <c r="AL57" i="16" a="1"/>
  <c r="AL53" i="16" a="1"/>
  <c r="AL129" i="16" a="1"/>
  <c r="AL90" i="16" a="1"/>
  <c r="AL113" i="16" a="1"/>
  <c r="AL78" i="16" a="1"/>
  <c r="AL61" i="16" a="1"/>
  <c r="AL59" i="16" a="1"/>
  <c r="AL74" i="16" a="1"/>
  <c r="AL56" i="16" a="1"/>
  <c r="AL46" i="16" a="1"/>
  <c r="AL140" i="16" a="1"/>
  <c r="AL55" i="16" a="1"/>
  <c r="AL40" i="16"/>
  <c r="E40" i="16" s="1"/>
  <c r="AL34" i="16"/>
  <c r="E34" i="16" s="1"/>
  <c r="AL51" i="16" a="1"/>
  <c r="AL64" i="16" a="1"/>
  <c r="BU38" i="16"/>
  <c r="BU40" i="16"/>
  <c r="BU32" i="16"/>
  <c r="BU36" i="16"/>
  <c r="BU33" i="16"/>
  <c r="BU37" i="16"/>
  <c r="BU34" i="16"/>
  <c r="BU35" i="16"/>
  <c r="BU39" i="16"/>
  <c r="BU31" i="16"/>
  <c r="BI36" i="16"/>
  <c r="AD36" i="16" s="1"/>
  <c r="BI31" i="16"/>
  <c r="AD31" i="16" s="1"/>
  <c r="BI37" i="16"/>
  <c r="AD37" i="16" s="1"/>
  <c r="BI41" i="16"/>
  <c r="AD41" i="16" s="1"/>
  <c r="BI34" i="16"/>
  <c r="AD34" i="16" s="1"/>
  <c r="BI33" i="16"/>
  <c r="AD33" i="16" s="1"/>
  <c r="BI40" i="16"/>
  <c r="AD40" i="16" s="1"/>
  <c r="BI35" i="16"/>
  <c r="AD35" i="16" s="1"/>
  <c r="BI32" i="16"/>
  <c r="AD32" i="16" s="1"/>
  <c r="BI39" i="16"/>
  <c r="AD39" i="16" s="1"/>
  <c r="BI38" i="16"/>
  <c r="AD38" i="16" s="1"/>
  <c r="AR105" i="16" a="1"/>
  <c r="AR36" i="16"/>
  <c r="K36" i="16" s="1"/>
  <c r="AR114" i="16" a="1"/>
  <c r="AR130" i="16" a="1"/>
  <c r="AR64" i="16" a="1"/>
  <c r="AR138" i="16" a="1"/>
  <c r="AR100" i="16" a="1"/>
  <c r="AR107" i="16" a="1"/>
  <c r="AR113" i="16" a="1"/>
  <c r="AR139" i="16" a="1"/>
  <c r="AR95" i="16" a="1"/>
  <c r="AR70" i="16" a="1"/>
  <c r="AR117" i="16" a="1"/>
  <c r="AR141" i="16" a="1"/>
  <c r="AR99" i="16" a="1"/>
  <c r="AR116" i="16" a="1"/>
  <c r="AR67" i="16" a="1"/>
  <c r="AR89" i="16" a="1"/>
  <c r="AR143" i="16" a="1"/>
  <c r="AR128" i="16" a="1"/>
  <c r="AR96" i="16" a="1"/>
  <c r="AR71" i="16" a="1"/>
  <c r="AR111" i="16" a="1"/>
  <c r="AR61" i="16" a="1"/>
  <c r="AR32" i="16"/>
  <c r="K32" i="16" s="1"/>
  <c r="AR35" i="16"/>
  <c r="K35" i="16" s="1"/>
  <c r="AR112" i="16" a="1"/>
  <c r="AR120" i="16" a="1"/>
  <c r="AR63" i="16" a="1"/>
  <c r="AR75" i="16" a="1"/>
  <c r="AR62" i="16" a="1"/>
  <c r="AR49" i="16" a="1"/>
  <c r="AR103" i="16" a="1"/>
  <c r="AR122" i="16" a="1"/>
  <c r="AR82" i="16" a="1"/>
  <c r="AR59" i="16" a="1"/>
  <c r="AR77" i="16" a="1"/>
  <c r="AR37" i="16"/>
  <c r="K37" i="16" s="1"/>
  <c r="AR33" i="16"/>
  <c r="K33" i="16" s="1"/>
  <c r="AR48" i="16" a="1"/>
  <c r="AR38" i="16"/>
  <c r="K38" i="16" s="1"/>
  <c r="AR56" i="16" a="1"/>
  <c r="AR106" i="16" a="1"/>
  <c r="AR55" i="16" a="1"/>
  <c r="AR83" i="16" a="1"/>
  <c r="AR92" i="16" a="1"/>
  <c r="AR142" i="16" a="1"/>
  <c r="AR73" i="16" a="1"/>
  <c r="AR39" i="16"/>
  <c r="K39" i="16" s="1"/>
  <c r="AR51" i="16" a="1"/>
  <c r="AR93" i="16" a="1"/>
  <c r="AR129" i="16" a="1"/>
  <c r="AR109" i="16" a="1"/>
  <c r="AR119" i="16" a="1"/>
  <c r="AR47" i="16" a="1"/>
  <c r="AR115" i="16" a="1"/>
  <c r="AR31" i="16"/>
  <c r="K31" i="16" s="1"/>
  <c r="AR123" i="16" a="1"/>
  <c r="AR34" i="16"/>
  <c r="K34" i="16" s="1"/>
  <c r="AR52" i="16" a="1"/>
  <c r="AR40" i="16"/>
  <c r="K40" i="16" s="1"/>
  <c r="AR121" i="16" a="1"/>
  <c r="AR57" i="16" a="1"/>
  <c r="AR145" i="16" a="1"/>
  <c r="AR85" i="16" a="1"/>
  <c r="AR79" i="16" a="1"/>
  <c r="AR126" i="16" a="1"/>
  <c r="AR87" i="16" a="1"/>
  <c r="AR102" i="16" a="1"/>
  <c r="AR76" i="16" a="1"/>
  <c r="AR68" i="16" a="1"/>
  <c r="AR60" i="16" a="1"/>
  <c r="AR90" i="16" a="1"/>
  <c r="AR88" i="16" a="1"/>
  <c r="AR58" i="16" a="1"/>
  <c r="AR104" i="16" a="1"/>
  <c r="AR86" i="16" a="1"/>
  <c r="AR53" i="16" a="1"/>
  <c r="AR78" i="16" a="1"/>
  <c r="AR84" i="16" a="1"/>
  <c r="AR110" i="16" a="1"/>
  <c r="AR54" i="16" a="1"/>
  <c r="AR118" i="16" a="1"/>
  <c r="AR46" i="16" a="1"/>
  <c r="AR91" i="16" a="1"/>
  <c r="AR131" i="16" a="1"/>
  <c r="AR65" i="16" a="1"/>
  <c r="AR50" i="16" a="1"/>
  <c r="AR125" i="16" a="1"/>
  <c r="AR72" i="16" a="1"/>
  <c r="AR132" i="16" a="1"/>
  <c r="AR133" i="16" a="1"/>
  <c r="AR80" i="16" a="1"/>
  <c r="AR69" i="16" a="1"/>
  <c r="AR140" i="16" a="1"/>
  <c r="AR134" i="16" a="1"/>
  <c r="AR108" i="16" a="1"/>
  <c r="AR66" i="16" a="1"/>
  <c r="AR81" i="16" a="1"/>
  <c r="AR135" i="16" a="1"/>
  <c r="AR127" i="16" a="1"/>
  <c r="AR136" i="16" a="1"/>
  <c r="AR137" i="16" a="1"/>
  <c r="AR101" i="16" a="1"/>
  <c r="AR94" i="16" a="1"/>
  <c r="AR124" i="16" a="1"/>
  <c r="AR98" i="16" a="1"/>
  <c r="AR97" i="16" a="1"/>
  <c r="AR74" i="16" a="1"/>
  <c r="AR144" i="16" a="1"/>
  <c r="BV40" i="16"/>
  <c r="BV34" i="16"/>
  <c r="BV37" i="16"/>
  <c r="BV35" i="16"/>
  <c r="BV36" i="16"/>
  <c r="BV38" i="16"/>
  <c r="BV41" i="16"/>
  <c r="BV33" i="16"/>
  <c r="BV32" i="16"/>
  <c r="BV31" i="16"/>
  <c r="BV39" i="16"/>
  <c r="BN31" i="16"/>
  <c r="BN38" i="16"/>
  <c r="BN33" i="16"/>
  <c r="BN34" i="16"/>
  <c r="BN32" i="16"/>
  <c r="BN39" i="16"/>
  <c r="BN37" i="16"/>
  <c r="BN40" i="16"/>
  <c r="BN35" i="16"/>
  <c r="BN36" i="16"/>
  <c r="BL34" i="16"/>
  <c r="AG34" i="16" s="1"/>
  <c r="BL35" i="16"/>
  <c r="AG35" i="16" s="1"/>
  <c r="BL36" i="16"/>
  <c r="AG36" i="16" s="1"/>
  <c r="BL31" i="16"/>
  <c r="AG31" i="16" s="1"/>
  <c r="BL32" i="16"/>
  <c r="AG32" i="16" s="1"/>
  <c r="BL33" i="16"/>
  <c r="AG33" i="16" s="1"/>
  <c r="BL39" i="16"/>
  <c r="AG39" i="16" s="1"/>
  <c r="BL40" i="16"/>
  <c r="AG40" i="16" s="1"/>
  <c r="BL38" i="16"/>
  <c r="AG38" i="16" s="1"/>
  <c r="BL41" i="16"/>
  <c r="AG41" i="16" s="1"/>
  <c r="BL37" i="16"/>
  <c r="AG37" i="16" s="1"/>
  <c r="BE37" i="16"/>
  <c r="Z37" i="16" s="1"/>
  <c r="BE39" i="16"/>
  <c r="Z39" i="16" s="1"/>
  <c r="BE40" i="16"/>
  <c r="Z40" i="16" s="1"/>
  <c r="BE38" i="16"/>
  <c r="Z38" i="16" s="1"/>
  <c r="BE32" i="16"/>
  <c r="Z32" i="16" s="1"/>
  <c r="BE36" i="16"/>
  <c r="Z36" i="16" s="1"/>
  <c r="BE35" i="16"/>
  <c r="Z35" i="16" s="1"/>
  <c r="BE34" i="16"/>
  <c r="Z34" i="16" s="1"/>
  <c r="BE31" i="16"/>
  <c r="Z31" i="16" s="1"/>
  <c r="BE33" i="16"/>
  <c r="Z33" i="16" s="1"/>
  <c r="BA34" i="16"/>
  <c r="V34" i="16" s="1"/>
  <c r="BA38" i="16"/>
  <c r="V38" i="16" s="1"/>
  <c r="BA39" i="16"/>
  <c r="V39" i="16" s="1"/>
  <c r="BA35" i="16"/>
  <c r="V35" i="16" s="1"/>
  <c r="BA37" i="16"/>
  <c r="V37" i="16" s="1"/>
  <c r="BA36" i="16"/>
  <c r="V36" i="16" s="1"/>
  <c r="BA33" i="16"/>
  <c r="V33" i="16" s="1"/>
  <c r="BA40" i="16"/>
  <c r="V40" i="16" s="1"/>
  <c r="BA32" i="16"/>
  <c r="V32" i="16" s="1"/>
  <c r="BA31" i="16"/>
  <c r="V31" i="16" s="1"/>
  <c r="AW106" i="16" a="1"/>
  <c r="AW57" i="16" a="1"/>
  <c r="AW93" i="16" a="1"/>
  <c r="AW90" i="16" a="1"/>
  <c r="AW78" i="16" a="1"/>
  <c r="AW95" i="16" a="1"/>
  <c r="AW65" i="16" a="1"/>
  <c r="AW91" i="16" a="1"/>
  <c r="AW52" i="16" a="1"/>
  <c r="AW144" i="16" a="1"/>
  <c r="AW101" i="16" a="1"/>
  <c r="AW100" i="16" a="1"/>
  <c r="AW74" i="16" a="1"/>
  <c r="AW77" i="16" a="1"/>
  <c r="AW76" i="16" a="1"/>
  <c r="AW85" i="16" a="1"/>
  <c r="AW72" i="16" a="1"/>
  <c r="AW111" i="16" a="1"/>
  <c r="AW68" i="16" a="1"/>
  <c r="AW89" i="16" a="1"/>
  <c r="AW84" i="16" a="1"/>
  <c r="AW64" i="16" a="1"/>
  <c r="AW145" i="16" a="1"/>
  <c r="AW94" i="16" a="1"/>
  <c r="AW53" i="16" a="1"/>
  <c r="AW120" i="16" a="1"/>
  <c r="AW86" i="16" a="1"/>
  <c r="AW109" i="16" a="1"/>
  <c r="AW98" i="16" a="1"/>
  <c r="AW118" i="16" a="1"/>
  <c r="AW37" i="16"/>
  <c r="P37" i="16" s="1"/>
  <c r="AW87" i="16" a="1"/>
  <c r="AW67" i="16" a="1"/>
  <c r="AW62" i="16" a="1"/>
  <c r="AW58" i="16" a="1"/>
  <c r="AW54" i="16" a="1"/>
  <c r="AW124" i="16" a="1"/>
  <c r="AW88" i="16" a="1"/>
  <c r="AW50" i="16" a="1"/>
  <c r="AW97" i="16" a="1"/>
  <c r="AW69" i="16" a="1"/>
  <c r="AW63" i="16" a="1"/>
  <c r="AW127" i="16" a="1"/>
  <c r="AW31" i="16"/>
  <c r="P31" i="16" s="1"/>
  <c r="AW36" i="16"/>
  <c r="P36" i="16" s="1"/>
  <c r="AW34" i="16"/>
  <c r="P34" i="16" s="1"/>
  <c r="AW141" i="16" a="1"/>
  <c r="AW46" i="16" a="1"/>
  <c r="AW41" i="16"/>
  <c r="P41" i="16" s="1"/>
  <c r="AW59" i="16" a="1"/>
  <c r="AW40" i="16"/>
  <c r="P40" i="16" s="1"/>
  <c r="AW123" i="16" a="1"/>
  <c r="AW39" i="16"/>
  <c r="P39" i="16" s="1"/>
  <c r="AW92" i="16" a="1"/>
  <c r="AW38" i="16"/>
  <c r="P38" i="16" s="1"/>
  <c r="AW122" i="16" a="1"/>
  <c r="AW117" i="16" a="1"/>
  <c r="AW96" i="16" a="1"/>
  <c r="AW119" i="16" a="1"/>
  <c r="AW55" i="16" a="1"/>
  <c r="AW83" i="16" a="1"/>
  <c r="AW75" i="16" a="1"/>
  <c r="AW71" i="16" a="1"/>
  <c r="AW138" i="16" a="1"/>
  <c r="AW137" i="16" a="1"/>
  <c r="AW70" i="16" a="1"/>
  <c r="AW51" i="16" a="1"/>
  <c r="AW136" i="16" a="1"/>
  <c r="AW135" i="16" a="1"/>
  <c r="AW134" i="16" a="1"/>
  <c r="AW142" i="16" a="1"/>
  <c r="AW133" i="16" a="1"/>
  <c r="AW132" i="16" a="1"/>
  <c r="AW48" i="16" a="1"/>
  <c r="AW66" i="16" a="1"/>
  <c r="AW131" i="16" a="1"/>
  <c r="AW115" i="16" a="1"/>
  <c r="AW139" i="16" a="1"/>
  <c r="AW128" i="16" a="1"/>
  <c r="AW113" i="16" a="1"/>
  <c r="AW110" i="16" a="1"/>
  <c r="AW61" i="16" a="1"/>
  <c r="AW99" i="16" a="1"/>
  <c r="AW104" i="16" a="1"/>
  <c r="AW103" i="16" a="1"/>
  <c r="AW73" i="16" a="1"/>
  <c r="AW82" i="16" a="1"/>
  <c r="AW81" i="16" a="1"/>
  <c r="AW60" i="16" a="1"/>
  <c r="AW80" i="16" a="1"/>
  <c r="AW79" i="16" a="1"/>
  <c r="AW143" i="16" a="1"/>
  <c r="AW129" i="16" a="1"/>
  <c r="AW56" i="16" a="1"/>
  <c r="AW126" i="16" a="1"/>
  <c r="AW116" i="16" a="1"/>
  <c r="AW107" i="16" a="1"/>
  <c r="AW108" i="16" a="1"/>
  <c r="AW47" i="16" a="1"/>
  <c r="AW112" i="16" a="1"/>
  <c r="AW121" i="16" a="1"/>
  <c r="AW125" i="16" a="1"/>
  <c r="AW105" i="16" a="1"/>
  <c r="AW35" i="16"/>
  <c r="P35" i="16" s="1"/>
  <c r="AW130" i="16" a="1"/>
  <c r="AW140" i="16" a="1"/>
  <c r="AW114" i="16" a="1"/>
  <c r="AW33" i="16"/>
  <c r="P33" i="16" s="1"/>
  <c r="AW49" i="16" a="1"/>
  <c r="AW32" i="16"/>
  <c r="P32" i="16" s="1"/>
  <c r="AW102" i="16" a="1"/>
  <c r="AP40" i="16"/>
  <c r="I40" i="16" s="1"/>
  <c r="AP47" i="16" a="1"/>
  <c r="AP58" i="16" a="1"/>
  <c r="AP143" i="16" a="1"/>
  <c r="AP46" i="16" a="1"/>
  <c r="AP87" i="16" a="1"/>
  <c r="AP34" i="16"/>
  <c r="I34" i="16" s="1"/>
  <c r="AP63" i="16" a="1"/>
  <c r="AP100" i="16" a="1"/>
  <c r="AP33" i="16"/>
  <c r="I33" i="16" s="1"/>
  <c r="AP51" i="16" a="1"/>
  <c r="AP64" i="16" a="1"/>
  <c r="AP113" i="16" a="1"/>
  <c r="AP104" i="16" a="1"/>
  <c r="AP123" i="16" a="1"/>
  <c r="AP118" i="16" a="1"/>
  <c r="AP74" i="16" a="1"/>
  <c r="AP55" i="16" a="1"/>
  <c r="AP114" i="16" a="1"/>
  <c r="AP68" i="16" a="1"/>
  <c r="AP122" i="16" a="1"/>
  <c r="AP84" i="16" a="1"/>
  <c r="AP93" i="16" a="1"/>
  <c r="AP119" i="16" a="1"/>
  <c r="AP60" i="16" a="1"/>
  <c r="AP85" i="16" a="1"/>
  <c r="AP129" i="16" a="1"/>
  <c r="AP135" i="16" a="1"/>
  <c r="AP56" i="16" a="1"/>
  <c r="AP139" i="16" a="1"/>
  <c r="AP107" i="16" a="1"/>
  <c r="AP145" i="16" a="1"/>
  <c r="AP39" i="16"/>
  <c r="I39" i="16" s="1"/>
  <c r="AP121" i="16" a="1"/>
  <c r="AP144" i="16" a="1"/>
  <c r="AP109" i="16" a="1"/>
  <c r="AP48" i="16" a="1"/>
  <c r="AP115" i="16" a="1"/>
  <c r="AP65" i="16" a="1"/>
  <c r="AP35" i="16"/>
  <c r="I35" i="16" s="1"/>
  <c r="AP36" i="16"/>
  <c r="I36" i="16" s="1"/>
  <c r="AP61" i="16" a="1"/>
  <c r="AP86" i="16" a="1"/>
  <c r="AP38" i="16"/>
  <c r="I38" i="16" s="1"/>
  <c r="AP59" i="16" a="1"/>
  <c r="AP124" i="16" a="1"/>
  <c r="AP125" i="16" a="1"/>
  <c r="AP127" i="16" a="1"/>
  <c r="AP136" i="16" a="1"/>
  <c r="AP90" i="16" a="1"/>
  <c r="AP101" i="16" a="1"/>
  <c r="AP78" i="16" a="1"/>
  <c r="AP79" i="16" a="1"/>
  <c r="AP57" i="16" a="1"/>
  <c r="AP106" i="16" a="1"/>
  <c r="AP128" i="16" a="1"/>
  <c r="AP73" i="16" a="1"/>
  <c r="AP52" i="16" a="1"/>
  <c r="AP130" i="16" a="1"/>
  <c r="AP70" i="16" a="1"/>
  <c r="AP88" i="16" a="1"/>
  <c r="AP99" i="16" a="1"/>
  <c r="AP31" i="16"/>
  <c r="I31" i="16" s="1"/>
  <c r="AP126" i="16" a="1"/>
  <c r="AP80" i="16" a="1"/>
  <c r="AP72" i="16" a="1"/>
  <c r="AP105" i="16" a="1"/>
  <c r="AP134" i="16" a="1"/>
  <c r="AP91" i="16" a="1"/>
  <c r="AP49" i="16" a="1"/>
  <c r="AP66" i="16" a="1"/>
  <c r="AP110" i="16" a="1"/>
  <c r="AP97" i="16" a="1"/>
  <c r="AP111" i="16" a="1"/>
  <c r="AP116" i="16" a="1"/>
  <c r="AP96" i="16" a="1"/>
  <c r="AP81" i="16" a="1"/>
  <c r="AP77" i="16" a="1"/>
  <c r="AP95" i="16" a="1"/>
  <c r="AP120" i="16" a="1"/>
  <c r="AP53" i="16" a="1"/>
  <c r="AP32" i="16"/>
  <c r="I32" i="16" s="1"/>
  <c r="AP133" i="16" a="1"/>
  <c r="AP92" i="16" a="1"/>
  <c r="AP142" i="16" a="1"/>
  <c r="AP54" i="16" a="1"/>
  <c r="AP140" i="16" a="1"/>
  <c r="AP76" i="16" a="1"/>
  <c r="AP102" i="16" a="1"/>
  <c r="AP62" i="16" a="1"/>
  <c r="AP83" i="16" a="1"/>
  <c r="AP94" i="16" a="1"/>
  <c r="AP89" i="16" a="1"/>
  <c r="AP132" i="16" a="1"/>
  <c r="AP103" i="16" a="1"/>
  <c r="AP37" i="16"/>
  <c r="I37" i="16" s="1"/>
  <c r="AP69" i="16" a="1"/>
  <c r="AP75" i="16" a="1"/>
  <c r="AP117" i="16" a="1"/>
  <c r="AP71" i="16" a="1"/>
  <c r="AP50" i="16" a="1"/>
  <c r="AP67" i="16" a="1"/>
  <c r="AP138" i="16" a="1"/>
  <c r="AP112" i="16" a="1"/>
  <c r="AP98" i="16" a="1"/>
  <c r="AP82" i="16" a="1"/>
  <c r="AP131" i="16" a="1"/>
  <c r="AP137" i="16" a="1"/>
  <c r="AP108" i="16" a="1"/>
  <c r="AP141" i="16" a="1"/>
  <c r="BM40" i="16"/>
  <c r="BM39" i="16"/>
  <c r="BM35" i="16"/>
  <c r="BM37" i="16"/>
  <c r="BM36" i="16"/>
  <c r="BM34" i="16"/>
  <c r="BM33" i="16"/>
  <c r="AC1165" i="12"/>
  <c r="AB196" i="12"/>
  <c r="L196" i="12"/>
  <c r="AB602" i="12"/>
  <c r="L602" i="12"/>
  <c r="AB584" i="12"/>
  <c r="L584" i="12"/>
  <c r="AC1044" i="12"/>
  <c r="AC1048" i="12"/>
  <c r="AC1465" i="12"/>
  <c r="AC1115" i="12"/>
  <c r="AC1492" i="12"/>
  <c r="AC1423" i="12"/>
  <c r="AC846" i="12"/>
  <c r="AC1225" i="12"/>
  <c r="AC1493" i="12"/>
  <c r="AC1160" i="12"/>
  <c r="AC723" i="12"/>
  <c r="AC1123" i="12"/>
  <c r="AC1045" i="12"/>
  <c r="AC764" i="12"/>
  <c r="AC1118" i="12"/>
  <c r="AC1501" i="12"/>
  <c r="AB606" i="12"/>
  <c r="L606" i="12"/>
  <c r="AC1131" i="12"/>
  <c r="AC1471" i="12"/>
  <c r="AC1315" i="12"/>
  <c r="AC1092" i="12"/>
  <c r="AC1120" i="12"/>
  <c r="AC1488" i="12"/>
  <c r="AC1515" i="12"/>
  <c r="AC680" i="12"/>
  <c r="K842" i="12"/>
  <c r="J842" i="12"/>
  <c r="M842" i="12"/>
  <c r="I842" i="12"/>
  <c r="R848" i="12"/>
  <c r="Q848" i="12"/>
  <c r="N817" i="12"/>
  <c r="O817" i="12"/>
  <c r="G785" i="12"/>
  <c r="J785" i="12"/>
  <c r="F785" i="12"/>
  <c r="AC785" i="12" s="1"/>
  <c r="I785" i="12"/>
  <c r="K785" i="12"/>
  <c r="G787" i="12"/>
  <c r="F787" i="12"/>
  <c r="I787" i="12"/>
  <c r="H787" i="12"/>
  <c r="J734" i="12"/>
  <c r="H734" i="12"/>
  <c r="F734" i="12"/>
  <c r="G734" i="12"/>
  <c r="I734" i="12"/>
  <c r="K659" i="12"/>
  <c r="F659" i="12"/>
  <c r="G659" i="12"/>
  <c r="M659" i="12"/>
  <c r="H659" i="12"/>
  <c r="J659" i="12"/>
  <c r="I659" i="12"/>
  <c r="O647" i="12"/>
  <c r="P647" i="12"/>
  <c r="X641" i="12"/>
  <c r="S641" i="12"/>
  <c r="R641" i="12"/>
  <c r="U641" i="12"/>
  <c r="W641" i="12"/>
  <c r="T641" i="12"/>
  <c r="V641" i="12"/>
  <c r="L837" i="12"/>
  <c r="AB837" i="12"/>
  <c r="AB832" i="12"/>
  <c r="L832" i="12"/>
  <c r="AB833" i="12"/>
  <c r="L833" i="12"/>
  <c r="AB835" i="12"/>
  <c r="L835" i="12"/>
  <c r="AB836" i="12"/>
  <c r="L836" i="12"/>
  <c r="L814" i="12"/>
  <c r="AB814" i="12"/>
  <c r="L820" i="12"/>
  <c r="AB820" i="12"/>
  <c r="AB823" i="12"/>
  <c r="L823" i="12"/>
  <c r="L826" i="12"/>
  <c r="AB826" i="12"/>
  <c r="AB809" i="12"/>
  <c r="L809" i="12"/>
  <c r="AB811" i="12"/>
  <c r="L811" i="12"/>
  <c r="L37" i="12"/>
  <c r="AB37" i="12"/>
  <c r="AB49" i="12"/>
  <c r="L49" i="12"/>
  <c r="AB35" i="12"/>
  <c r="L35" i="12"/>
  <c r="L46" i="12"/>
  <c r="AB46" i="12"/>
  <c r="L48" i="12"/>
  <c r="AB48" i="12"/>
  <c r="L31" i="12"/>
  <c r="AB31" i="12"/>
  <c r="AB45" i="12"/>
  <c r="L45" i="12"/>
  <c r="AB50" i="12"/>
  <c r="L50" i="12"/>
  <c r="AC1443" i="12"/>
  <c r="AC1497" i="12"/>
  <c r="AC1169" i="12"/>
  <c r="AC1174" i="12"/>
  <c r="AC1110" i="12"/>
  <c r="AC1470" i="12"/>
  <c r="AC800" i="12"/>
  <c r="AC1144" i="12"/>
  <c r="AC696" i="12"/>
  <c r="AC1288" i="12"/>
  <c r="AC910" i="12"/>
  <c r="AC1167" i="12"/>
  <c r="AC1159" i="12"/>
  <c r="AC1505" i="12"/>
  <c r="AC1053" i="12"/>
  <c r="AC962" i="12"/>
  <c r="AC1006" i="12"/>
  <c r="AC1254" i="12"/>
  <c r="AC1329" i="12"/>
  <c r="AC1414" i="12"/>
  <c r="AC1179" i="12"/>
  <c r="AC1039" i="12"/>
  <c r="AC1076" i="12"/>
  <c r="AC1217" i="12"/>
  <c r="AC1308" i="12"/>
  <c r="AC1286" i="12"/>
  <c r="AC1429" i="12"/>
  <c r="AC1491" i="12"/>
  <c r="AC999" i="12"/>
  <c r="AC1320" i="12"/>
  <c r="AC1155" i="12"/>
  <c r="AC1105" i="12"/>
  <c r="AC903" i="12"/>
  <c r="AC1475" i="12"/>
  <c r="AC1453" i="12"/>
  <c r="AC1241" i="12"/>
  <c r="AC1425" i="12"/>
  <c r="AC1447" i="12"/>
  <c r="AC1422" i="12"/>
  <c r="AC1387" i="12"/>
  <c r="AC1187" i="12"/>
  <c r="AC1175" i="12"/>
  <c r="AC1148" i="12"/>
  <c r="AC1503" i="12"/>
  <c r="AC1432" i="12"/>
  <c r="AC1440" i="12"/>
  <c r="AC1441" i="12"/>
  <c r="AC1389" i="12"/>
  <c r="AC1151" i="12"/>
  <c r="AC1153" i="12"/>
  <c r="AC1154" i="12"/>
  <c r="AC1140" i="12"/>
  <c r="AC1121" i="12"/>
  <c r="AC1311" i="12"/>
  <c r="AC1313" i="12"/>
  <c r="AC1291" i="12"/>
  <c r="AC1296" i="12"/>
  <c r="AC1281" i="12"/>
  <c r="AC1285" i="12"/>
  <c r="AL1487" i="12"/>
  <c r="AJ1487" i="12"/>
  <c r="Y1487" i="12"/>
  <c r="U1487" i="12"/>
  <c r="AM1487" i="12"/>
  <c r="AK1487" i="12"/>
  <c r="Z1487" i="12"/>
  <c r="R1487" i="12"/>
  <c r="AI1487" i="12"/>
  <c r="W1487" i="12"/>
  <c r="T1487" i="12"/>
  <c r="O1487" i="12"/>
  <c r="AA1487" i="12"/>
  <c r="X1487" i="12"/>
  <c r="V1487" i="12"/>
  <c r="S1487" i="12"/>
  <c r="Q1487" i="12"/>
  <c r="P1487" i="12"/>
  <c r="N1487" i="12"/>
  <c r="M1487" i="12"/>
  <c r="K1487" i="12"/>
  <c r="J1487" i="12"/>
  <c r="I1487" i="12"/>
  <c r="AK1490" i="12"/>
  <c r="AI1490" i="12"/>
  <c r="Z1490" i="12"/>
  <c r="V1490" i="12"/>
  <c r="T1490" i="12"/>
  <c r="R1490" i="12"/>
  <c r="O1490" i="12"/>
  <c r="M1490" i="12"/>
  <c r="J1490" i="12"/>
  <c r="AM1490" i="12"/>
  <c r="AJ1490" i="12"/>
  <c r="Y1490" i="12"/>
  <c r="U1490" i="12"/>
  <c r="Q1490" i="12"/>
  <c r="AL1490" i="12"/>
  <c r="AA1490" i="12"/>
  <c r="X1490" i="12"/>
  <c r="W1490" i="12"/>
  <c r="S1490" i="12"/>
  <c r="P1490" i="12"/>
  <c r="N1490" i="12"/>
  <c r="K1490" i="12"/>
  <c r="I1490" i="12"/>
  <c r="H1490" i="12"/>
  <c r="G1490" i="12"/>
  <c r="F1490" i="12"/>
  <c r="AC1490" i="12" s="1"/>
  <c r="AK1473" i="12"/>
  <c r="X1473" i="12"/>
  <c r="V1473" i="12"/>
  <c r="T1473" i="12"/>
  <c r="AI1473" i="12"/>
  <c r="AM1473" i="12"/>
  <c r="AJ1473" i="12"/>
  <c r="Z1473" i="12"/>
  <c r="AL1473" i="12"/>
  <c r="AA1473" i="12"/>
  <c r="Y1473" i="12"/>
  <c r="W1473" i="12"/>
  <c r="U1473" i="12"/>
  <c r="S1473" i="12"/>
  <c r="R1473" i="12"/>
  <c r="Q1473" i="12"/>
  <c r="P1473" i="12"/>
  <c r="O1473" i="12"/>
  <c r="N1473" i="12"/>
  <c r="M1473" i="12"/>
  <c r="K1473" i="12"/>
  <c r="J1473" i="12"/>
  <c r="I1473" i="12"/>
  <c r="AM1474" i="12"/>
  <c r="AA1474" i="12"/>
  <c r="Z1474" i="12"/>
  <c r="X1474" i="12"/>
  <c r="Q1474" i="12"/>
  <c r="O1474" i="12"/>
  <c r="AL1474" i="12"/>
  <c r="AI1474" i="12"/>
  <c r="U1474" i="12"/>
  <c r="P1474" i="12"/>
  <c r="AJ1474" i="12"/>
  <c r="Y1474" i="12"/>
  <c r="R1474" i="12"/>
  <c r="AK1474" i="12"/>
  <c r="W1474" i="12"/>
  <c r="V1474" i="12"/>
  <c r="T1474" i="12"/>
  <c r="S1474" i="12"/>
  <c r="N1474" i="12"/>
  <c r="M1474" i="12"/>
  <c r="K1474" i="12"/>
  <c r="J1474" i="12"/>
  <c r="I1474" i="12"/>
  <c r="H1474" i="12"/>
  <c r="G1474" i="12"/>
  <c r="F1474" i="12"/>
  <c r="AA1476" i="12"/>
  <c r="Y1476" i="12"/>
  <c r="V1476" i="12"/>
  <c r="T1476" i="12"/>
  <c r="R1476" i="12"/>
  <c r="P1476" i="12"/>
  <c r="N1476" i="12"/>
  <c r="AM1476" i="12"/>
  <c r="AI1476" i="12"/>
  <c r="AK1476" i="12"/>
  <c r="X1476" i="12"/>
  <c r="AL1476" i="12"/>
  <c r="AJ1476" i="12"/>
  <c r="Z1476" i="12"/>
  <c r="W1476" i="12"/>
  <c r="U1476" i="12"/>
  <c r="S1476" i="12"/>
  <c r="Q1476" i="12"/>
  <c r="O1476" i="12"/>
  <c r="M1476" i="12"/>
  <c r="K1476" i="12"/>
  <c r="J1476" i="12"/>
  <c r="I1476" i="12"/>
  <c r="AJ1480" i="12"/>
  <c r="W1480" i="12"/>
  <c r="U1480" i="12"/>
  <c r="R1480" i="12"/>
  <c r="AL1480" i="12"/>
  <c r="Y1480" i="12"/>
  <c r="S1480" i="12"/>
  <c r="P1480" i="12"/>
  <c r="AM1480" i="12"/>
  <c r="AI1480" i="12"/>
  <c r="Q1480" i="12"/>
  <c r="AK1480" i="12"/>
  <c r="AA1480" i="12"/>
  <c r="Z1480" i="12"/>
  <c r="X1480" i="12"/>
  <c r="V1480" i="12"/>
  <c r="T1480" i="12"/>
  <c r="O1480" i="12"/>
  <c r="N1480" i="12"/>
  <c r="M1480" i="12"/>
  <c r="K1480" i="12"/>
  <c r="J1480" i="12"/>
  <c r="I1480" i="12"/>
  <c r="H1480" i="12"/>
  <c r="G1480" i="12"/>
  <c r="F1480" i="12"/>
  <c r="AM1481" i="12"/>
  <c r="AK1481" i="12"/>
  <c r="AA1481" i="12"/>
  <c r="Q1481" i="12"/>
  <c r="K1481" i="12"/>
  <c r="AL1481" i="12"/>
  <c r="AI1481" i="12"/>
  <c r="X1481" i="12"/>
  <c r="AJ1481" i="12"/>
  <c r="Z1481" i="12"/>
  <c r="Y1481" i="12"/>
  <c r="W1481" i="12"/>
  <c r="U1481" i="12"/>
  <c r="S1481" i="12"/>
  <c r="R1481" i="12"/>
  <c r="P1481" i="12"/>
  <c r="N1481" i="12"/>
  <c r="M1481" i="12"/>
  <c r="J1481" i="12"/>
  <c r="H1481" i="12"/>
  <c r="V1481" i="12"/>
  <c r="T1481" i="12"/>
  <c r="O1481" i="12"/>
  <c r="I1481" i="12"/>
  <c r="G1481" i="12"/>
  <c r="F1481" i="12"/>
  <c r="AJ1459" i="12"/>
  <c r="AA1459" i="12"/>
  <c r="Y1459" i="12"/>
  <c r="T1459" i="12"/>
  <c r="P1459" i="12"/>
  <c r="N1459" i="12"/>
  <c r="AL1459" i="12"/>
  <c r="R1459" i="12"/>
  <c r="AM1459" i="12"/>
  <c r="AK1459" i="12"/>
  <c r="AI1459" i="12"/>
  <c r="Z1459" i="12"/>
  <c r="X1459" i="12"/>
  <c r="W1459" i="12"/>
  <c r="V1459" i="12"/>
  <c r="U1459" i="12"/>
  <c r="S1459" i="12"/>
  <c r="Q1459" i="12"/>
  <c r="O1459" i="12"/>
  <c r="M1459" i="12"/>
  <c r="K1459" i="12"/>
  <c r="J1459" i="12"/>
  <c r="I1459" i="12"/>
  <c r="H1459" i="12"/>
  <c r="AM1466" i="12"/>
  <c r="AJ1466" i="12"/>
  <c r="AA1466" i="12"/>
  <c r="W1466" i="12"/>
  <c r="S1466" i="12"/>
  <c r="AK1466" i="12"/>
  <c r="Y1466" i="12"/>
  <c r="U1466" i="12"/>
  <c r="AI1466" i="12"/>
  <c r="AL1466" i="12"/>
  <c r="Z1466" i="12"/>
  <c r="X1466" i="12"/>
  <c r="V1466" i="12"/>
  <c r="T1466" i="12"/>
  <c r="R1466" i="12"/>
  <c r="Q1466" i="12"/>
  <c r="P1466" i="12"/>
  <c r="O1466" i="12"/>
  <c r="N1466" i="12"/>
  <c r="M1466" i="12"/>
  <c r="K1466" i="12"/>
  <c r="J1466" i="12"/>
  <c r="V1467" i="12"/>
  <c r="Q1467" i="12"/>
  <c r="O1467" i="12"/>
  <c r="AJ1467" i="12"/>
  <c r="U1467" i="12"/>
  <c r="AM1467" i="12"/>
  <c r="AK1467" i="12"/>
  <c r="AA1467" i="12"/>
  <c r="Y1467" i="12"/>
  <c r="W1467" i="12"/>
  <c r="S1467" i="12"/>
  <c r="P1467" i="12"/>
  <c r="M1467" i="12"/>
  <c r="K1467" i="12"/>
  <c r="I1467" i="12"/>
  <c r="G1467" i="12"/>
  <c r="AL1467" i="12"/>
  <c r="AI1467" i="12"/>
  <c r="Z1467" i="12"/>
  <c r="X1467" i="12"/>
  <c r="T1467" i="12"/>
  <c r="R1467" i="12"/>
  <c r="N1467" i="12"/>
  <c r="J1467" i="12"/>
  <c r="H1467" i="12"/>
  <c r="F1467" i="12"/>
  <c r="AM1468" i="12"/>
  <c r="AJ1468" i="12"/>
  <c r="Y1468" i="12"/>
  <c r="W1468" i="12"/>
  <c r="T1468" i="12"/>
  <c r="AL1468" i="12"/>
  <c r="U1468" i="12"/>
  <c r="AK1468" i="12"/>
  <c r="AI1468" i="12"/>
  <c r="AA1468" i="12"/>
  <c r="Z1468" i="12"/>
  <c r="X1468" i="12"/>
  <c r="V1468" i="12"/>
  <c r="S1468" i="12"/>
  <c r="R1468" i="12"/>
  <c r="Q1468" i="12"/>
  <c r="P1468" i="12"/>
  <c r="O1468" i="12"/>
  <c r="N1468" i="12"/>
  <c r="M1468" i="12"/>
  <c r="K1468" i="12"/>
  <c r="J1468" i="12"/>
  <c r="I1468" i="12"/>
  <c r="H1468" i="12"/>
  <c r="X1469" i="12"/>
  <c r="V1469" i="12"/>
  <c r="T1469" i="12"/>
  <c r="Q1469" i="12"/>
  <c r="O1469" i="12"/>
  <c r="K1469" i="12"/>
  <c r="I1469" i="12"/>
  <c r="AJ1469" i="12"/>
  <c r="S1469" i="12"/>
  <c r="P1469" i="12"/>
  <c r="AL1469" i="12"/>
  <c r="Z1469" i="12"/>
  <c r="AM1469" i="12"/>
  <c r="AK1469" i="12"/>
  <c r="AI1469" i="12"/>
  <c r="AA1469" i="12"/>
  <c r="Y1469" i="12"/>
  <c r="W1469" i="12"/>
  <c r="U1469" i="12"/>
  <c r="R1469" i="12"/>
  <c r="N1469" i="12"/>
  <c r="M1469" i="12"/>
  <c r="J1469" i="12"/>
  <c r="H1469" i="12"/>
  <c r="G1469" i="12"/>
  <c r="F1469" i="12"/>
  <c r="Z1445" i="12"/>
  <c r="V1445" i="12"/>
  <c r="W1445" i="12"/>
  <c r="O1445" i="12"/>
  <c r="AL1445" i="12"/>
  <c r="AJ1445" i="12"/>
  <c r="AA1445" i="12"/>
  <c r="X1445" i="12"/>
  <c r="T1445" i="12"/>
  <c r="S1445" i="12"/>
  <c r="Q1445" i="12"/>
  <c r="M1445" i="12"/>
  <c r="K1445" i="12"/>
  <c r="I1445" i="12"/>
  <c r="G1445" i="12"/>
  <c r="F1445" i="12"/>
  <c r="AM1445" i="12"/>
  <c r="AK1445" i="12"/>
  <c r="AI1445" i="12"/>
  <c r="Y1445" i="12"/>
  <c r="U1445" i="12"/>
  <c r="R1445" i="12"/>
  <c r="P1445" i="12"/>
  <c r="N1445" i="12"/>
  <c r="J1445" i="12"/>
  <c r="H1445" i="12"/>
  <c r="Q1448" i="12"/>
  <c r="M1448" i="12"/>
  <c r="R1448" i="12"/>
  <c r="O1448" i="12"/>
  <c r="P1448" i="12"/>
  <c r="N1448" i="12"/>
  <c r="K1448" i="12"/>
  <c r="J1448" i="12"/>
  <c r="I1448" i="12"/>
  <c r="H1448" i="12"/>
  <c r="G1448" i="12"/>
  <c r="F1448" i="12"/>
  <c r="AA1449" i="12"/>
  <c r="Z1449" i="12"/>
  <c r="X1449" i="12"/>
  <c r="U1449" i="12"/>
  <c r="R1449" i="12"/>
  <c r="AI1449" i="12"/>
  <c r="T1449" i="12"/>
  <c r="P1449" i="12"/>
  <c r="Y1449" i="12"/>
  <c r="V1449" i="12"/>
  <c r="W1449" i="12"/>
  <c r="S1449" i="12"/>
  <c r="Q1449" i="12"/>
  <c r="O1449" i="12"/>
  <c r="N1449" i="12"/>
  <c r="M1449" i="12"/>
  <c r="K1449" i="12"/>
  <c r="J1449" i="12"/>
  <c r="I1449" i="12"/>
  <c r="H1449" i="12"/>
  <c r="G1449" i="12"/>
  <c r="F1449" i="12"/>
  <c r="AL1455" i="12"/>
  <c r="AI1455" i="12"/>
  <c r="Y1455" i="12"/>
  <c r="U1455" i="12"/>
  <c r="S1455" i="12"/>
  <c r="Q1455" i="12"/>
  <c r="O1455" i="12"/>
  <c r="AM1455" i="12"/>
  <c r="AA1455" i="12"/>
  <c r="AK1455" i="12"/>
  <c r="Z1455" i="12"/>
  <c r="V1455" i="12"/>
  <c r="AJ1455" i="12"/>
  <c r="X1455" i="12"/>
  <c r="W1455" i="12"/>
  <c r="T1455" i="12"/>
  <c r="R1455" i="12"/>
  <c r="P1455" i="12"/>
  <c r="N1455" i="12"/>
  <c r="M1455" i="12"/>
  <c r="K1455" i="12"/>
  <c r="AK1431" i="12"/>
  <c r="Z1431" i="12"/>
  <c r="S1431" i="12"/>
  <c r="Y1431" i="12"/>
  <c r="U1431" i="12"/>
  <c r="R1431" i="12"/>
  <c r="O1431" i="12"/>
  <c r="J1431" i="12"/>
  <c r="AM1431" i="12"/>
  <c r="AL1431" i="12"/>
  <c r="AJ1431" i="12"/>
  <c r="AA1431" i="12"/>
  <c r="X1431" i="12"/>
  <c r="V1431" i="12"/>
  <c r="Q1431" i="12"/>
  <c r="M1431" i="12"/>
  <c r="K1431" i="12"/>
  <c r="H1431" i="12"/>
  <c r="G1431" i="12"/>
  <c r="AI1431" i="12"/>
  <c r="W1431" i="12"/>
  <c r="T1431" i="12"/>
  <c r="P1431" i="12"/>
  <c r="N1431" i="12"/>
  <c r="I1431" i="12"/>
  <c r="F1431" i="12"/>
  <c r="AC1431" i="12" s="1"/>
  <c r="AK1435" i="12"/>
  <c r="Z1435" i="12"/>
  <c r="T1435" i="12"/>
  <c r="P1435" i="12"/>
  <c r="N1435" i="12"/>
  <c r="AM1435" i="12"/>
  <c r="AJ1435" i="12"/>
  <c r="X1435" i="12"/>
  <c r="O1435" i="12"/>
  <c r="AA1435" i="12"/>
  <c r="V1435" i="12"/>
  <c r="AL1435" i="12"/>
  <c r="AI1435" i="12"/>
  <c r="Y1435" i="12"/>
  <c r="W1435" i="12"/>
  <c r="U1435" i="12"/>
  <c r="S1435" i="12"/>
  <c r="R1435" i="12"/>
  <c r="Q1435" i="12"/>
  <c r="M1435" i="12"/>
  <c r="K1435" i="12"/>
  <c r="J1435" i="12"/>
  <c r="I1435" i="12"/>
  <c r="H1435" i="12"/>
  <c r="G1435" i="12"/>
  <c r="F1435" i="12"/>
  <c r="R1416" i="12"/>
  <c r="Z1416" i="12"/>
  <c r="AM1416" i="12"/>
  <c r="AK1416" i="12"/>
  <c r="AI1416" i="12"/>
  <c r="Y1416" i="12"/>
  <c r="X1416" i="12"/>
  <c r="W1416" i="12"/>
  <c r="U1416" i="12"/>
  <c r="S1416" i="12"/>
  <c r="Q1416" i="12"/>
  <c r="O1416" i="12"/>
  <c r="M1416" i="12"/>
  <c r="J1416" i="12"/>
  <c r="I1416" i="12"/>
  <c r="G1416" i="12"/>
  <c r="AL1416" i="12"/>
  <c r="AJ1416" i="12"/>
  <c r="AA1416" i="12"/>
  <c r="V1416" i="12"/>
  <c r="T1416" i="12"/>
  <c r="P1416" i="12"/>
  <c r="N1416" i="12"/>
  <c r="K1416" i="12"/>
  <c r="H1416" i="12"/>
  <c r="F1416" i="12"/>
  <c r="AL1419" i="12"/>
  <c r="V1419" i="12"/>
  <c r="AK1419" i="12"/>
  <c r="AI1419" i="12"/>
  <c r="Z1419" i="12"/>
  <c r="X1419" i="12"/>
  <c r="U1419" i="12"/>
  <c r="R1419" i="12"/>
  <c r="N1419" i="12"/>
  <c r="AJ1419" i="12"/>
  <c r="AA1419" i="12"/>
  <c r="Y1419" i="12"/>
  <c r="T1419" i="12"/>
  <c r="Q1419" i="12"/>
  <c r="O1419" i="12"/>
  <c r="M1419" i="12"/>
  <c r="J1419" i="12"/>
  <c r="H1419" i="12"/>
  <c r="F1419" i="12"/>
  <c r="AM1419" i="12"/>
  <c r="W1419" i="12"/>
  <c r="S1419" i="12"/>
  <c r="P1419" i="12"/>
  <c r="K1419" i="12"/>
  <c r="I1419" i="12"/>
  <c r="G1419" i="12"/>
  <c r="AK1427" i="12"/>
  <c r="AI1427" i="12"/>
  <c r="Y1427" i="12"/>
  <c r="W1427" i="12"/>
  <c r="U1427" i="12"/>
  <c r="AJ1427" i="12"/>
  <c r="Q1427" i="12"/>
  <c r="AL1427" i="12"/>
  <c r="T1427" i="12"/>
  <c r="AM1427" i="12"/>
  <c r="AA1427" i="12"/>
  <c r="Z1427" i="12"/>
  <c r="X1427" i="12"/>
  <c r="V1427" i="12"/>
  <c r="S1427" i="12"/>
  <c r="R1427" i="12"/>
  <c r="P1427" i="12"/>
  <c r="O1427" i="12"/>
  <c r="N1427" i="12"/>
  <c r="M1427" i="12"/>
  <c r="K1427" i="12"/>
  <c r="J1427" i="12"/>
  <c r="I1427" i="12"/>
  <c r="H1427" i="12"/>
  <c r="G1427" i="12"/>
  <c r="F1427" i="12"/>
  <c r="AM1401" i="12"/>
  <c r="AK1401" i="12"/>
  <c r="Z1401" i="12"/>
  <c r="W1401" i="12"/>
  <c r="T1401" i="12"/>
  <c r="R1401" i="12"/>
  <c r="N1401" i="12"/>
  <c r="I1401" i="12"/>
  <c r="AI1401" i="12"/>
  <c r="X1401" i="12"/>
  <c r="O1401" i="12"/>
  <c r="AJ1401" i="12"/>
  <c r="V1401" i="12"/>
  <c r="AL1401" i="12"/>
  <c r="AA1401" i="12"/>
  <c r="Y1401" i="12"/>
  <c r="U1401" i="12"/>
  <c r="S1401" i="12"/>
  <c r="Q1401" i="12"/>
  <c r="P1401" i="12"/>
  <c r="M1401" i="12"/>
  <c r="K1401" i="12"/>
  <c r="J1401" i="12"/>
  <c r="H1401" i="12"/>
  <c r="G1401" i="12"/>
  <c r="F1401" i="12"/>
  <c r="AC1401" i="12" s="1"/>
  <c r="AM1409" i="12"/>
  <c r="AI1409" i="12"/>
  <c r="Z1409" i="12"/>
  <c r="S1409" i="12"/>
  <c r="Q1409" i="12"/>
  <c r="N1409" i="12"/>
  <c r="AL1409" i="12"/>
  <c r="AJ1409" i="12"/>
  <c r="AA1409" i="12"/>
  <c r="W1409" i="12"/>
  <c r="AK1409" i="12"/>
  <c r="Y1409" i="12"/>
  <c r="V1409" i="12"/>
  <c r="X1409" i="12"/>
  <c r="U1409" i="12"/>
  <c r="T1409" i="12"/>
  <c r="R1409" i="12"/>
  <c r="P1409" i="12"/>
  <c r="O1409" i="12"/>
  <c r="M1409" i="12"/>
  <c r="K1409" i="12"/>
  <c r="J1409" i="12"/>
  <c r="I1409" i="12"/>
  <c r="H1409" i="12"/>
  <c r="G1409" i="12"/>
  <c r="F1409" i="12"/>
  <c r="AA1410" i="12"/>
  <c r="V1410" i="12"/>
  <c r="T1410" i="12"/>
  <c r="R1410" i="12"/>
  <c r="AJ1410" i="12"/>
  <c r="Y1410" i="12"/>
  <c r="S1410" i="12"/>
  <c r="AM1410" i="12"/>
  <c r="AL1410" i="12"/>
  <c r="AK1410" i="12"/>
  <c r="AI1410" i="12"/>
  <c r="Z1410" i="12"/>
  <c r="X1410" i="12"/>
  <c r="W1410" i="12"/>
  <c r="U1410" i="12"/>
  <c r="Q1410" i="12"/>
  <c r="P1410" i="12"/>
  <c r="O1410" i="12"/>
  <c r="N1410" i="12"/>
  <c r="M1410" i="12"/>
  <c r="K1410" i="12"/>
  <c r="J1410" i="12"/>
  <c r="I1410" i="12"/>
  <c r="H1410" i="12"/>
  <c r="G1410" i="12"/>
  <c r="F1410" i="12"/>
  <c r="AJ1411" i="12"/>
  <c r="Z1411" i="12"/>
  <c r="X1411" i="12"/>
  <c r="R1411" i="12"/>
  <c r="I1411" i="12"/>
  <c r="H1411" i="12"/>
  <c r="AM1411" i="12"/>
  <c r="W1411" i="12"/>
  <c r="O1411" i="12"/>
  <c r="K1411" i="12"/>
  <c r="AL1411" i="12"/>
  <c r="T1411" i="12"/>
  <c r="Q1411" i="12"/>
  <c r="AK1411" i="12"/>
  <c r="AI1411" i="12"/>
  <c r="AA1411" i="12"/>
  <c r="Y1411" i="12"/>
  <c r="V1411" i="12"/>
  <c r="U1411" i="12"/>
  <c r="S1411" i="12"/>
  <c r="P1411" i="12"/>
  <c r="N1411" i="12"/>
  <c r="M1411" i="12"/>
  <c r="J1411" i="12"/>
  <c r="G1411" i="12"/>
  <c r="F1411" i="12"/>
  <c r="AI1161" i="12"/>
  <c r="W1161" i="12"/>
  <c r="S1161" i="12"/>
  <c r="P1161" i="12"/>
  <c r="AM1161" i="12"/>
  <c r="AJ1161" i="12"/>
  <c r="Y1161" i="12"/>
  <c r="O1161" i="12"/>
  <c r="N1161" i="12"/>
  <c r="M1161" i="12"/>
  <c r="F1161" i="12"/>
  <c r="AA1161" i="12"/>
  <c r="R1161" i="12"/>
  <c r="K1161" i="12"/>
  <c r="G1161" i="12"/>
  <c r="AK1161" i="12"/>
  <c r="Z1161" i="12"/>
  <c r="U1161" i="12"/>
  <c r="Q1161" i="12"/>
  <c r="J1161" i="12"/>
  <c r="I1161" i="12"/>
  <c r="AL1161" i="12"/>
  <c r="X1161" i="12"/>
  <c r="V1161" i="12"/>
  <c r="T1161" i="12"/>
  <c r="H1161" i="12"/>
  <c r="AI1162" i="12"/>
  <c r="W1162" i="12"/>
  <c r="R1162" i="12"/>
  <c r="N1162" i="12"/>
  <c r="V1162" i="12"/>
  <c r="AM1162" i="12"/>
  <c r="Z1162" i="12"/>
  <c r="T1162" i="12"/>
  <c r="K1162" i="12"/>
  <c r="F1162" i="12"/>
  <c r="AL1162" i="12"/>
  <c r="AK1162" i="12"/>
  <c r="AA1162" i="12"/>
  <c r="X1162" i="12"/>
  <c r="U1162" i="12"/>
  <c r="S1162" i="12"/>
  <c r="Q1162" i="12"/>
  <c r="P1162" i="12"/>
  <c r="I1162" i="12"/>
  <c r="G1162" i="12"/>
  <c r="AJ1162" i="12"/>
  <c r="Y1162" i="12"/>
  <c r="O1162" i="12"/>
  <c r="M1162" i="12"/>
  <c r="J1162" i="12"/>
  <c r="H1162" i="12"/>
  <c r="Z1136" i="12"/>
  <c r="U1136" i="12"/>
  <c r="P1136" i="12"/>
  <c r="J1136" i="12"/>
  <c r="X1136" i="12"/>
  <c r="O1136" i="12"/>
  <c r="AA1136" i="12"/>
  <c r="V1136" i="12"/>
  <c r="K1136" i="12"/>
  <c r="AM1136" i="12"/>
  <c r="W1136" i="12"/>
  <c r="R1136" i="12"/>
  <c r="I1136" i="12"/>
  <c r="F1136" i="12"/>
  <c r="AL1136" i="12"/>
  <c r="AK1136" i="12"/>
  <c r="AI1136" i="12"/>
  <c r="T1136" i="12"/>
  <c r="Q1136" i="12"/>
  <c r="N1136" i="12"/>
  <c r="AJ1136" i="12"/>
  <c r="Y1136" i="12"/>
  <c r="S1136" i="12"/>
  <c r="M1136" i="12"/>
  <c r="H1136" i="12"/>
  <c r="G1136" i="12"/>
  <c r="AC1136" i="12" s="1"/>
  <c r="X1143" i="12"/>
  <c r="S1143" i="12"/>
  <c r="AL1143" i="12"/>
  <c r="AK1143" i="12"/>
  <c r="AA1143" i="12"/>
  <c r="Z1143" i="12"/>
  <c r="U1143" i="12"/>
  <c r="Q1143" i="12"/>
  <c r="P1143" i="12"/>
  <c r="M1143" i="12"/>
  <c r="AJ1143" i="12"/>
  <c r="N1143" i="12"/>
  <c r="J1143" i="12"/>
  <c r="AI1143" i="12"/>
  <c r="Y1143" i="12"/>
  <c r="V1143" i="12"/>
  <c r="T1143" i="12"/>
  <c r="K1143" i="12"/>
  <c r="AM1143" i="12"/>
  <c r="W1143" i="12"/>
  <c r="R1143" i="12"/>
  <c r="O1143" i="12"/>
  <c r="I1143" i="12"/>
  <c r="AI1126" i="12"/>
  <c r="Z1126" i="12"/>
  <c r="S1126" i="12"/>
  <c r="M1126" i="12"/>
  <c r="J1126" i="12"/>
  <c r="H1126" i="12"/>
  <c r="F1126" i="12"/>
  <c r="AJ1126" i="12"/>
  <c r="Y1126" i="12"/>
  <c r="W1126" i="12"/>
  <c r="T1126" i="12"/>
  <c r="X1126" i="12"/>
  <c r="V1126" i="12"/>
  <c r="P1126" i="12"/>
  <c r="N1126" i="12"/>
  <c r="K1126" i="12"/>
  <c r="G1126" i="12"/>
  <c r="AM1126" i="12"/>
  <c r="AK1126" i="12"/>
  <c r="AA1126" i="12"/>
  <c r="U1126" i="12"/>
  <c r="Q1126" i="12"/>
  <c r="AL1126" i="12"/>
  <c r="R1126" i="12"/>
  <c r="O1126" i="12"/>
  <c r="I1126" i="12"/>
  <c r="Z1127" i="12"/>
  <c r="R1127" i="12"/>
  <c r="K1127" i="12"/>
  <c r="AL1127" i="12"/>
  <c r="Y1127" i="12"/>
  <c r="Q1127" i="12"/>
  <c r="I1127" i="12"/>
  <c r="H1127" i="12"/>
  <c r="AJ1127" i="12"/>
  <c r="X1127" i="12"/>
  <c r="S1127" i="12"/>
  <c r="P1127" i="12"/>
  <c r="AA1127" i="12"/>
  <c r="V1127" i="12"/>
  <c r="N1127" i="12"/>
  <c r="J1127" i="12"/>
  <c r="G1127" i="12"/>
  <c r="AI1127" i="12"/>
  <c r="W1127" i="12"/>
  <c r="U1127" i="12"/>
  <c r="AK1127" i="12"/>
  <c r="T1127" i="12"/>
  <c r="O1127" i="12"/>
  <c r="M1127" i="12"/>
  <c r="AJ1128" i="12"/>
  <c r="W1128" i="12"/>
  <c r="Q1128" i="12"/>
  <c r="I1128" i="12"/>
  <c r="AM1128" i="12"/>
  <c r="AA1128" i="12"/>
  <c r="V1128" i="12"/>
  <c r="R1128" i="12"/>
  <c r="P1128" i="12"/>
  <c r="K1128" i="12"/>
  <c r="AI1128" i="12"/>
  <c r="Z1128" i="12"/>
  <c r="X1128" i="12"/>
  <c r="U1128" i="12"/>
  <c r="H1128" i="12"/>
  <c r="S1128" i="12"/>
  <c r="N1128" i="12"/>
  <c r="J1128" i="12"/>
  <c r="AL1128" i="12"/>
  <c r="Y1128" i="12"/>
  <c r="O1128" i="12"/>
  <c r="AK1128" i="12"/>
  <c r="T1128" i="12"/>
  <c r="M1128" i="12"/>
  <c r="G1128" i="12"/>
  <c r="F1128" i="12"/>
  <c r="AM1132" i="12"/>
  <c r="T1132" i="12"/>
  <c r="N1132" i="12"/>
  <c r="J1132" i="12"/>
  <c r="AA1132" i="12"/>
  <c r="K1132" i="12"/>
  <c r="AK1132" i="12"/>
  <c r="Y1132" i="12"/>
  <c r="X1132" i="12"/>
  <c r="W1132" i="12"/>
  <c r="U1132" i="12"/>
  <c r="S1132" i="12"/>
  <c r="Q1132" i="12"/>
  <c r="O1132" i="12"/>
  <c r="M1132" i="12"/>
  <c r="AI1132" i="12"/>
  <c r="R1132" i="12"/>
  <c r="P1132" i="12"/>
  <c r="AL1132" i="12"/>
  <c r="Z1132" i="12"/>
  <c r="H1132" i="12"/>
  <c r="AJ1132" i="12"/>
  <c r="V1132" i="12"/>
  <c r="I1132" i="12"/>
  <c r="AL1133" i="12"/>
  <c r="AJ1133" i="12"/>
  <c r="AI1133" i="12"/>
  <c r="Z1133" i="12"/>
  <c r="V1133" i="12"/>
  <c r="K1133" i="12"/>
  <c r="J1133" i="12"/>
  <c r="I1133" i="12"/>
  <c r="G1133" i="12"/>
  <c r="X1133" i="12"/>
  <c r="T1133" i="12"/>
  <c r="S1133" i="12"/>
  <c r="P1133" i="12"/>
  <c r="M1133" i="12"/>
  <c r="AK1133" i="12"/>
  <c r="W1133" i="12"/>
  <c r="R1133" i="12"/>
  <c r="O1133" i="12"/>
  <c r="AA1133" i="12"/>
  <c r="AM1133" i="12"/>
  <c r="Q1133" i="12"/>
  <c r="Y1133" i="12"/>
  <c r="U1133" i="12"/>
  <c r="N1133" i="12"/>
  <c r="H1133" i="12"/>
  <c r="F1133" i="12"/>
  <c r="AC1133" i="12" s="1"/>
  <c r="AJ1107" i="12"/>
  <c r="Y1107" i="12"/>
  <c r="V1107" i="12"/>
  <c r="I1107" i="12"/>
  <c r="AM1107" i="12"/>
  <c r="X1107" i="12"/>
  <c r="W1107" i="12"/>
  <c r="U1107" i="12"/>
  <c r="T1107" i="12"/>
  <c r="R1107" i="12"/>
  <c r="J1107" i="12"/>
  <c r="F1107" i="12"/>
  <c r="AL1107" i="12"/>
  <c r="S1107" i="12"/>
  <c r="P1107" i="12"/>
  <c r="N1107" i="12"/>
  <c r="G1107" i="12"/>
  <c r="Z1107" i="12"/>
  <c r="M1107" i="12"/>
  <c r="AI1107" i="12"/>
  <c r="AK1107" i="12"/>
  <c r="AC1107" i="12"/>
  <c r="AA1107" i="12"/>
  <c r="Q1107" i="12"/>
  <c r="O1107" i="12"/>
  <c r="K1107" i="12"/>
  <c r="H1107" i="12"/>
  <c r="AJ1112" i="12"/>
  <c r="Z1112" i="12"/>
  <c r="U1112" i="12"/>
  <c r="AM1112" i="12"/>
  <c r="Y1112" i="12"/>
  <c r="Q1112" i="12"/>
  <c r="AK1112" i="12"/>
  <c r="AI1112" i="12"/>
  <c r="W1112" i="12"/>
  <c r="R1112" i="12"/>
  <c r="P1112" i="12"/>
  <c r="M1112" i="12"/>
  <c r="AL1112" i="12"/>
  <c r="X1112" i="12"/>
  <c r="V1112" i="12"/>
  <c r="T1112" i="12"/>
  <c r="S1112" i="12"/>
  <c r="AA1112" i="12"/>
  <c r="O1112" i="12"/>
  <c r="N1112" i="12"/>
  <c r="J1112" i="12"/>
  <c r="I1112" i="12"/>
  <c r="K1112" i="12"/>
  <c r="AM1113" i="12"/>
  <c r="AJ1113" i="12"/>
  <c r="Z1113" i="12"/>
  <c r="X1113" i="12"/>
  <c r="AL1113" i="12"/>
  <c r="AK1113" i="12"/>
  <c r="AI1113" i="12"/>
  <c r="AA1113" i="12"/>
  <c r="V1113" i="12"/>
  <c r="Q1113" i="12"/>
  <c r="N1113" i="12"/>
  <c r="Y1113" i="12"/>
  <c r="U1113" i="12"/>
  <c r="T1113" i="12"/>
  <c r="S1113" i="12"/>
  <c r="R1113" i="12"/>
  <c r="P1113" i="12"/>
  <c r="M1113" i="12"/>
  <c r="K1113" i="12"/>
  <c r="J1113" i="12"/>
  <c r="H1113" i="12"/>
  <c r="W1113" i="12"/>
  <c r="O1113" i="12"/>
  <c r="I1113" i="12"/>
  <c r="G1113" i="12"/>
  <c r="F1113" i="12"/>
  <c r="AI1114" i="12"/>
  <c r="Z1114" i="12"/>
  <c r="AM1114" i="12"/>
  <c r="AJ1114" i="12"/>
  <c r="AA1114" i="12"/>
  <c r="Y1114" i="12"/>
  <c r="X1114" i="12"/>
  <c r="V1114" i="12"/>
  <c r="T1114" i="12"/>
  <c r="R1114" i="12"/>
  <c r="AK1114" i="12"/>
  <c r="AL1114" i="12"/>
  <c r="W1114" i="12"/>
  <c r="U1114" i="12"/>
  <c r="S1114" i="12"/>
  <c r="Q1114" i="12"/>
  <c r="AA1098" i="12"/>
  <c r="X1098" i="12"/>
  <c r="T1098" i="12"/>
  <c r="P1098" i="12"/>
  <c r="AM1098" i="12"/>
  <c r="AJ1098" i="12"/>
  <c r="Y1098" i="12"/>
  <c r="K1098" i="12"/>
  <c r="AK1098" i="12"/>
  <c r="AI1098" i="12"/>
  <c r="Z1098" i="12"/>
  <c r="U1098" i="12"/>
  <c r="N1098" i="12"/>
  <c r="S1098" i="12"/>
  <c r="AL1098" i="12"/>
  <c r="W1098" i="12"/>
  <c r="V1098" i="12"/>
  <c r="R1098" i="12"/>
  <c r="Q1098" i="12"/>
  <c r="O1098" i="12"/>
  <c r="M1098" i="12"/>
  <c r="J1098" i="12"/>
  <c r="J1080" i="12"/>
  <c r="G1080" i="12"/>
  <c r="K1080" i="12"/>
  <c r="I1080" i="12"/>
  <c r="V1083" i="12"/>
  <c r="AM1083" i="12"/>
  <c r="AK1083" i="12"/>
  <c r="X1083" i="12"/>
  <c r="T1083" i="12"/>
  <c r="R1083" i="12"/>
  <c r="P1083" i="12"/>
  <c r="M1083" i="12"/>
  <c r="J1083" i="12"/>
  <c r="AA1083" i="12"/>
  <c r="U1083" i="12"/>
  <c r="Q1083" i="12"/>
  <c r="O1083" i="12"/>
  <c r="AL1083" i="12"/>
  <c r="AJ1083" i="12"/>
  <c r="AI1083" i="12"/>
  <c r="Z1083" i="12"/>
  <c r="Y1083" i="12"/>
  <c r="W1083" i="12"/>
  <c r="S1083" i="12"/>
  <c r="N1083" i="12"/>
  <c r="K1083" i="12"/>
  <c r="AM906" i="12"/>
  <c r="T906" i="12"/>
  <c r="R906" i="12"/>
  <c r="Z906" i="12"/>
  <c r="K906" i="12"/>
  <c r="AJ906" i="12"/>
  <c r="AL906" i="12"/>
  <c r="AK906" i="12"/>
  <c r="AI906" i="12"/>
  <c r="AA906" i="12"/>
  <c r="W906" i="12"/>
  <c r="P906" i="12"/>
  <c r="M906" i="12"/>
  <c r="S906" i="12"/>
  <c r="Q906" i="12"/>
  <c r="Y906" i="12"/>
  <c r="X906" i="12"/>
  <c r="V906" i="12"/>
  <c r="U906" i="12"/>
  <c r="O906" i="12"/>
  <c r="N906" i="12"/>
  <c r="J906" i="12"/>
  <c r="AL889" i="12"/>
  <c r="W889" i="12"/>
  <c r="AA889" i="12"/>
  <c r="AI889" i="12"/>
  <c r="Z889" i="12"/>
  <c r="U889" i="12"/>
  <c r="T889" i="12"/>
  <c r="R889" i="12"/>
  <c r="Q889" i="12"/>
  <c r="O889" i="12"/>
  <c r="F889" i="12"/>
  <c r="X889" i="12"/>
  <c r="M889" i="12"/>
  <c r="J889" i="12"/>
  <c r="AM889" i="12"/>
  <c r="AK889" i="12"/>
  <c r="AJ889" i="12"/>
  <c r="Y889" i="12"/>
  <c r="V889" i="12"/>
  <c r="S889" i="12"/>
  <c r="P889" i="12"/>
  <c r="N889" i="12"/>
  <c r="K889" i="12"/>
  <c r="I889" i="12"/>
  <c r="AM891" i="12"/>
  <c r="P891" i="12"/>
  <c r="H891" i="12"/>
  <c r="AK891" i="12"/>
  <c r="AA891" i="12"/>
  <c r="Y891" i="12"/>
  <c r="X891" i="12"/>
  <c r="S891" i="12"/>
  <c r="O891" i="12"/>
  <c r="N891" i="12"/>
  <c r="M891" i="12"/>
  <c r="G891" i="12"/>
  <c r="AI891" i="12"/>
  <c r="Z891" i="12"/>
  <c r="V891" i="12"/>
  <c r="R891" i="12"/>
  <c r="K891" i="12"/>
  <c r="W891" i="12"/>
  <c r="T891" i="12"/>
  <c r="J891" i="12"/>
  <c r="AL891" i="12"/>
  <c r="AJ891" i="12"/>
  <c r="U891" i="12"/>
  <c r="Q891" i="12"/>
  <c r="I891" i="12"/>
  <c r="F891" i="12"/>
  <c r="T894" i="12"/>
  <c r="M894" i="12"/>
  <c r="H894" i="12"/>
  <c r="V894" i="12"/>
  <c r="X894" i="12"/>
  <c r="K894" i="12"/>
  <c r="AI894" i="12"/>
  <c r="Z894" i="12"/>
  <c r="Q894" i="12"/>
  <c r="J894" i="12"/>
  <c r="AK894" i="12"/>
  <c r="AA894" i="12"/>
  <c r="S894" i="12"/>
  <c r="O894" i="12"/>
  <c r="AM894" i="12"/>
  <c r="AL894" i="12"/>
  <c r="AJ894" i="12"/>
  <c r="Y894" i="12"/>
  <c r="W894" i="12"/>
  <c r="U894" i="12"/>
  <c r="R894" i="12"/>
  <c r="P894" i="12"/>
  <c r="N894" i="12"/>
  <c r="I894" i="12"/>
  <c r="G894" i="12"/>
  <c r="F894" i="12"/>
  <c r="AC894" i="12" s="1"/>
  <c r="AI842" i="12"/>
  <c r="Z842" i="12"/>
  <c r="Y842" i="12"/>
  <c r="U842" i="12"/>
  <c r="AM842" i="12"/>
  <c r="X842" i="12"/>
  <c r="V842" i="12"/>
  <c r="AL842" i="12"/>
  <c r="AJ842" i="12"/>
  <c r="R842" i="12"/>
  <c r="N842" i="12"/>
  <c r="W842" i="12"/>
  <c r="O842" i="12"/>
  <c r="AK842" i="12"/>
  <c r="AA842" i="12"/>
  <c r="T842" i="12"/>
  <c r="S842" i="12"/>
  <c r="Q842" i="12"/>
  <c r="P842" i="12"/>
  <c r="AI848" i="12"/>
  <c r="Z848" i="12"/>
  <c r="AA848" i="12"/>
  <c r="V848" i="12"/>
  <c r="S848" i="12"/>
  <c r="AJ848" i="12"/>
  <c r="X848" i="12"/>
  <c r="W848" i="12"/>
  <c r="AL848" i="12"/>
  <c r="Y848" i="12"/>
  <c r="AK848" i="12"/>
  <c r="AM848" i="12"/>
  <c r="U848" i="12"/>
  <c r="T848" i="12"/>
  <c r="U813" i="12"/>
  <c r="R813" i="12"/>
  <c r="Q813" i="12"/>
  <c r="S813" i="12"/>
  <c r="T813" i="12"/>
  <c r="P813" i="12"/>
  <c r="Z817" i="12"/>
  <c r="V817" i="12"/>
  <c r="X817" i="12"/>
  <c r="AM817" i="12"/>
  <c r="AL817" i="12"/>
  <c r="AJ817" i="12"/>
  <c r="AA817" i="12"/>
  <c r="Y817" i="12"/>
  <c r="U817" i="12"/>
  <c r="S817" i="12"/>
  <c r="Q817" i="12"/>
  <c r="AK817" i="12"/>
  <c r="AI817" i="12"/>
  <c r="W817" i="12"/>
  <c r="T817" i="12"/>
  <c r="R817" i="12"/>
  <c r="P817" i="12"/>
  <c r="AL822" i="12"/>
  <c r="Z822" i="12"/>
  <c r="X822" i="12"/>
  <c r="M822" i="12"/>
  <c r="W822" i="12"/>
  <c r="S822" i="12"/>
  <c r="N822" i="12"/>
  <c r="AM822" i="12"/>
  <c r="AK822" i="12"/>
  <c r="AA822" i="12"/>
  <c r="U822" i="12"/>
  <c r="P822" i="12"/>
  <c r="O822" i="12"/>
  <c r="G822" i="12"/>
  <c r="AJ822" i="12"/>
  <c r="AI822" i="12"/>
  <c r="Y822" i="12"/>
  <c r="T822" i="12"/>
  <c r="Q822" i="12"/>
  <c r="V822" i="12"/>
  <c r="I822" i="12"/>
  <c r="R822" i="12"/>
  <c r="J822" i="12"/>
  <c r="K822" i="12"/>
  <c r="AM804" i="12"/>
  <c r="AK804" i="12"/>
  <c r="AA804" i="12"/>
  <c r="Z804" i="12"/>
  <c r="X804" i="12"/>
  <c r="V804" i="12"/>
  <c r="T804" i="12"/>
  <c r="N804" i="12"/>
  <c r="Y804" i="12"/>
  <c r="R804" i="12"/>
  <c r="P804" i="12"/>
  <c r="K804" i="12"/>
  <c r="AI804" i="12"/>
  <c r="Q804" i="12"/>
  <c r="AL804" i="12"/>
  <c r="AJ804" i="12"/>
  <c r="W804" i="12"/>
  <c r="U804" i="12"/>
  <c r="S804" i="12"/>
  <c r="O804" i="12"/>
  <c r="M804" i="12"/>
  <c r="AL785" i="12"/>
  <c r="Z785" i="12"/>
  <c r="V785" i="12"/>
  <c r="H785" i="12"/>
  <c r="AI785" i="12"/>
  <c r="X785" i="12"/>
  <c r="AK785" i="12"/>
  <c r="Y785" i="12"/>
  <c r="T785" i="12"/>
  <c r="R785" i="12"/>
  <c r="P785" i="12"/>
  <c r="AJ785" i="12"/>
  <c r="W785" i="12"/>
  <c r="U785" i="12"/>
  <c r="AM785" i="12"/>
  <c r="AA785" i="12"/>
  <c r="S785" i="12"/>
  <c r="Q785" i="12"/>
  <c r="U787" i="12"/>
  <c r="W787" i="12"/>
  <c r="V787" i="12"/>
  <c r="T787" i="12"/>
  <c r="S787" i="12"/>
  <c r="AL659" i="12"/>
  <c r="AM659" i="12"/>
  <c r="AM647" i="12"/>
  <c r="AJ647" i="12"/>
  <c r="Z647" i="12"/>
  <c r="U647" i="12"/>
  <c r="S647" i="12"/>
  <c r="Q647" i="12"/>
  <c r="AL647" i="12"/>
  <c r="AK647" i="12"/>
  <c r="Y647" i="12"/>
  <c r="W647" i="12"/>
  <c r="AA647" i="12"/>
  <c r="AI647" i="12"/>
  <c r="X647" i="12"/>
  <c r="V647" i="12"/>
  <c r="T647" i="12"/>
  <c r="R647" i="12"/>
  <c r="AM641" i="12"/>
  <c r="AJ641" i="12"/>
  <c r="Z641" i="12"/>
  <c r="AL641" i="12"/>
  <c r="AI641" i="12"/>
  <c r="Y641" i="12"/>
  <c r="AA641" i="12"/>
  <c r="AK641" i="12"/>
  <c r="AC1184" i="12"/>
  <c r="AC1186" i="12"/>
  <c r="AC1434" i="12"/>
  <c r="AC990" i="12"/>
  <c r="AC1408" i="12"/>
  <c r="AC1125" i="12"/>
  <c r="AC1079" i="12"/>
  <c r="AC1417" i="12"/>
  <c r="G877" i="12"/>
  <c r="S877" i="12"/>
  <c r="AA877" i="12"/>
  <c r="AL877" i="12"/>
  <c r="J877" i="12"/>
  <c r="Q877" i="12"/>
  <c r="T877" i="12"/>
  <c r="W877" i="12"/>
  <c r="L877" i="12"/>
  <c r="X877" i="12"/>
  <c r="H877" i="12"/>
  <c r="AK877" i="12"/>
  <c r="N877" i="12"/>
  <c r="Z877" i="12"/>
  <c r="R877" i="12"/>
  <c r="AJ877" i="12"/>
  <c r="F877" i="12"/>
  <c r="AC877" i="12" s="1"/>
  <c r="I877" i="12"/>
  <c r="K877" i="12"/>
  <c r="O877" i="12"/>
  <c r="U877" i="12"/>
  <c r="Y877" i="12"/>
  <c r="AI877" i="12"/>
  <c r="M877" i="12"/>
  <c r="P877" i="12"/>
  <c r="V877" i="12"/>
  <c r="AM877" i="12"/>
  <c r="AB877" i="12"/>
  <c r="H692" i="12"/>
  <c r="AL692" i="12"/>
  <c r="Z692" i="12"/>
  <c r="N692" i="12"/>
  <c r="AM692" i="12"/>
  <c r="Y692" i="12"/>
  <c r="O692" i="12"/>
  <c r="W692" i="12"/>
  <c r="AI692" i="12"/>
  <c r="P692" i="12"/>
  <c r="K692" i="12"/>
  <c r="U692" i="12"/>
  <c r="AJ692" i="12"/>
  <c r="T692" i="12"/>
  <c r="I692" i="12"/>
  <c r="F692" i="12"/>
  <c r="X692" i="12"/>
  <c r="J692" i="12"/>
  <c r="R692" i="12"/>
  <c r="G692" i="12"/>
  <c r="AA692" i="12"/>
  <c r="AB692" i="12"/>
  <c r="V692" i="12"/>
  <c r="Q692" i="12"/>
  <c r="L692" i="12"/>
  <c r="S692" i="12"/>
  <c r="AK692" i="12"/>
  <c r="M692" i="12"/>
  <c r="J655" i="12"/>
  <c r="U655" i="12"/>
  <c r="AJ655" i="12"/>
  <c r="I655" i="12"/>
  <c r="G655" i="12"/>
  <c r="N655" i="12"/>
  <c r="AA655" i="12"/>
  <c r="P655" i="12"/>
  <c r="K655" i="12"/>
  <c r="M655" i="12"/>
  <c r="O655" i="12"/>
  <c r="S655" i="12"/>
  <c r="Y655" i="12"/>
  <c r="AI655" i="12"/>
  <c r="H655" i="12"/>
  <c r="Q655" i="12"/>
  <c r="F655" i="12"/>
  <c r="L655" i="12"/>
  <c r="W655" i="12"/>
  <c r="Z655" i="12"/>
  <c r="AL655" i="12"/>
  <c r="AM655" i="12"/>
  <c r="AK655" i="12"/>
  <c r="X655" i="12"/>
  <c r="V655" i="12"/>
  <c r="T655" i="12"/>
  <c r="R655" i="12"/>
  <c r="AB655" i="12"/>
  <c r="Z632" i="12"/>
  <c r="M632" i="12"/>
  <c r="N632" i="12"/>
  <c r="T632" i="12"/>
  <c r="G632" i="12"/>
  <c r="U632" i="12"/>
  <c r="K632" i="12"/>
  <c r="AB632" i="12"/>
  <c r="L632" i="12"/>
  <c r="W632" i="12"/>
  <c r="AL632" i="12"/>
  <c r="Q632" i="12"/>
  <c r="S632" i="12"/>
  <c r="O632" i="12"/>
  <c r="Y632" i="12"/>
  <c r="AJ632" i="12"/>
  <c r="P632" i="12"/>
  <c r="V632" i="12"/>
  <c r="AK632" i="12"/>
  <c r="J632" i="12"/>
  <c r="F632" i="12"/>
  <c r="AC632" i="12" s="1"/>
  <c r="H632" i="12"/>
  <c r="I632" i="12"/>
  <c r="AM632" i="12"/>
  <c r="AI632" i="12"/>
  <c r="R632" i="12"/>
  <c r="X632" i="12"/>
  <c r="AA632" i="12"/>
  <c r="P1147" i="12"/>
  <c r="Q1147" i="12"/>
  <c r="AB1147" i="12"/>
  <c r="L1147" i="12"/>
  <c r="W1147" i="12"/>
  <c r="U1147" i="12"/>
  <c r="AA1147" i="12"/>
  <c r="AM1147" i="12"/>
  <c r="G1147" i="12"/>
  <c r="M1147" i="12"/>
  <c r="J1147" i="12"/>
  <c r="Y1147" i="12"/>
  <c r="AJ1147" i="12"/>
  <c r="AK1147" i="12"/>
  <c r="F1147" i="12"/>
  <c r="N1147" i="12"/>
  <c r="I1147" i="12"/>
  <c r="R1147" i="12"/>
  <c r="T1147" i="12"/>
  <c r="S1147" i="12"/>
  <c r="K1147" i="12"/>
  <c r="H1147" i="12"/>
  <c r="AL1147" i="12"/>
  <c r="AI1147" i="12"/>
  <c r="Z1147" i="12"/>
  <c r="X1147" i="12"/>
  <c r="V1147" i="12"/>
  <c r="O1147" i="12"/>
  <c r="Z901" i="12"/>
  <c r="Q901" i="12"/>
  <c r="F901" i="12"/>
  <c r="AB901" i="12"/>
  <c r="X901" i="12"/>
  <c r="J901" i="12"/>
  <c r="M901" i="12"/>
  <c r="V901" i="12"/>
  <c r="AM901" i="12"/>
  <c r="G901" i="12"/>
  <c r="H901" i="12"/>
  <c r="S901" i="12"/>
  <c r="P901" i="12"/>
  <c r="N901" i="12"/>
  <c r="I901" i="12"/>
  <c r="Y901" i="12"/>
  <c r="T901" i="12"/>
  <c r="O901" i="12"/>
  <c r="U901" i="12"/>
  <c r="AI901" i="12"/>
  <c r="W901" i="12"/>
  <c r="R901" i="12"/>
  <c r="K901" i="12"/>
  <c r="L901" i="12"/>
  <c r="AL901" i="12"/>
  <c r="AA901" i="12"/>
  <c r="AJ901" i="12"/>
  <c r="AK901" i="12"/>
  <c r="H834" i="12"/>
  <c r="S834" i="12"/>
  <c r="AB834" i="12"/>
  <c r="L834" i="12"/>
  <c r="AL834" i="12"/>
  <c r="Q834" i="12"/>
  <c r="J834" i="12"/>
  <c r="AJ834" i="12"/>
  <c r="X834" i="12"/>
  <c r="U834" i="12"/>
  <c r="M834" i="12"/>
  <c r="V834" i="12"/>
  <c r="O834" i="12"/>
  <c r="F834" i="12"/>
  <c r="AA834" i="12"/>
  <c r="W834" i="12"/>
  <c r="R834" i="12"/>
  <c r="N834" i="12"/>
  <c r="I834" i="12"/>
  <c r="AK834" i="12"/>
  <c r="Z834" i="12"/>
  <c r="T834" i="12"/>
  <c r="AM834" i="12"/>
  <c r="Y834" i="12"/>
  <c r="K834" i="12"/>
  <c r="G834" i="12"/>
  <c r="AI834" i="12"/>
  <c r="P834" i="12"/>
  <c r="AJ808" i="12"/>
  <c r="Q808" i="12"/>
  <c r="S808" i="12"/>
  <c r="W808" i="12"/>
  <c r="AI808" i="12"/>
  <c r="Z808" i="12"/>
  <c r="V808" i="12"/>
  <c r="P808" i="12"/>
  <c r="J808" i="12"/>
  <c r="O808" i="12"/>
  <c r="AK808" i="12"/>
  <c r="F808" i="12"/>
  <c r="U808" i="12"/>
  <c r="R808" i="12"/>
  <c r="N808" i="12"/>
  <c r="AA808" i="12"/>
  <c r="T808" i="12"/>
  <c r="M808" i="12"/>
  <c r="Y808" i="12"/>
  <c r="X808" i="12"/>
  <c r="AL808" i="12"/>
  <c r="L808" i="12"/>
  <c r="AB808" i="12"/>
  <c r="I808" i="12"/>
  <c r="AM808" i="12"/>
  <c r="G808" i="12"/>
  <c r="K808" i="12"/>
  <c r="H808" i="12"/>
  <c r="Y783" i="12"/>
  <c r="G783" i="12"/>
  <c r="AJ783" i="12"/>
  <c r="K783" i="12"/>
  <c r="U783" i="12"/>
  <c r="S783" i="12"/>
  <c r="AI783" i="12"/>
  <c r="N783" i="12"/>
  <c r="AK783" i="12"/>
  <c r="L783" i="12"/>
  <c r="W783" i="12"/>
  <c r="M783" i="12"/>
  <c r="AB783" i="12"/>
  <c r="AM783" i="12"/>
  <c r="H783" i="12"/>
  <c r="J783" i="12"/>
  <c r="Q783" i="12"/>
  <c r="AL783" i="12"/>
  <c r="P783" i="12"/>
  <c r="V783" i="12"/>
  <c r="I783" i="12"/>
  <c r="X783" i="12"/>
  <c r="AA783" i="12"/>
  <c r="T783" i="12"/>
  <c r="Z783" i="12"/>
  <c r="O783" i="12"/>
  <c r="F783" i="12"/>
  <c r="R783" i="12"/>
  <c r="T727" i="12"/>
  <c r="F727" i="12"/>
  <c r="S727" i="12"/>
  <c r="V727" i="12"/>
  <c r="AM727" i="12"/>
  <c r="I727" i="12"/>
  <c r="N727" i="12"/>
  <c r="O727" i="12"/>
  <c r="U727" i="12"/>
  <c r="J727" i="12"/>
  <c r="X727" i="12"/>
  <c r="Q727" i="12"/>
  <c r="AB727" i="12"/>
  <c r="AA727" i="12"/>
  <c r="L727" i="12"/>
  <c r="AK727" i="12"/>
  <c r="P727" i="12"/>
  <c r="R727" i="12"/>
  <c r="W727" i="12"/>
  <c r="Z727" i="12"/>
  <c r="AJ727" i="12"/>
  <c r="AL727" i="12"/>
  <c r="K727" i="12"/>
  <c r="M727" i="12"/>
  <c r="Y727" i="12"/>
  <c r="AI727" i="12"/>
  <c r="H727" i="12"/>
  <c r="G727" i="12"/>
  <c r="AI710" i="12"/>
  <c r="M710" i="12"/>
  <c r="Y710" i="12"/>
  <c r="Q710" i="12"/>
  <c r="AA710" i="12"/>
  <c r="AJ710" i="12"/>
  <c r="L710" i="12"/>
  <c r="J710" i="12"/>
  <c r="AK710" i="12"/>
  <c r="AL710" i="12"/>
  <c r="I710" i="12"/>
  <c r="H710" i="12"/>
  <c r="F710" i="12"/>
  <c r="K710" i="12"/>
  <c r="AB710" i="12"/>
  <c r="G710" i="12"/>
  <c r="P710" i="12"/>
  <c r="T710" i="12"/>
  <c r="O710" i="12"/>
  <c r="Z710" i="12"/>
  <c r="V710" i="12"/>
  <c r="AM710" i="12"/>
  <c r="X710" i="12"/>
  <c r="R710" i="12"/>
  <c r="U710" i="12"/>
  <c r="W710" i="12"/>
  <c r="S710" i="12"/>
  <c r="N710" i="12"/>
  <c r="AJ650" i="12"/>
  <c r="N650" i="12"/>
  <c r="AL650" i="12"/>
  <c r="P650" i="12"/>
  <c r="K650" i="12"/>
  <c r="O650" i="12"/>
  <c r="Q650" i="12"/>
  <c r="G650" i="12"/>
  <c r="M650" i="12"/>
  <c r="U650" i="12"/>
  <c r="W650" i="12"/>
  <c r="Y650" i="12"/>
  <c r="AA650" i="12"/>
  <c r="AI650" i="12"/>
  <c r="R650" i="12"/>
  <c r="AM650" i="12"/>
  <c r="AK650" i="12"/>
  <c r="V650" i="12"/>
  <c r="AB650" i="12"/>
  <c r="L650" i="12"/>
  <c r="F650" i="12"/>
  <c r="AC650" i="12" s="1"/>
  <c r="H650" i="12"/>
  <c r="J650" i="12"/>
  <c r="T650" i="12"/>
  <c r="X650" i="12"/>
  <c r="Z650" i="12"/>
  <c r="I650" i="12"/>
  <c r="S650" i="12"/>
  <c r="J651" i="12"/>
  <c r="AI651" i="12"/>
  <c r="O651" i="12"/>
  <c r="AM651" i="12"/>
  <c r="AA651" i="12"/>
  <c r="AL651" i="12"/>
  <c r="Y651" i="12"/>
  <c r="M651" i="12"/>
  <c r="P651" i="12"/>
  <c r="G651" i="12"/>
  <c r="N651" i="12"/>
  <c r="K651" i="12"/>
  <c r="H651" i="12"/>
  <c r="I651" i="12"/>
  <c r="U651" i="12"/>
  <c r="R651" i="12"/>
  <c r="Z651" i="12"/>
  <c r="S651" i="12"/>
  <c r="T651" i="12"/>
  <c r="AJ651" i="12"/>
  <c r="V651" i="12"/>
  <c r="X651" i="12"/>
  <c r="L651" i="12"/>
  <c r="AB651" i="12"/>
  <c r="W651" i="12"/>
  <c r="AK651" i="12"/>
  <c r="F651" i="12"/>
  <c r="AC651" i="12" s="1"/>
  <c r="Q651" i="12"/>
  <c r="S656" i="12"/>
  <c r="Q656" i="12"/>
  <c r="J656" i="12"/>
  <c r="AA656" i="12"/>
  <c r="M656" i="12"/>
  <c r="O656" i="12"/>
  <c r="V656" i="12"/>
  <c r="AJ656" i="12"/>
  <c r="P656" i="12"/>
  <c r="G656" i="12"/>
  <c r="AI656" i="12"/>
  <c r="X656" i="12"/>
  <c r="L656" i="12"/>
  <c r="K656" i="12"/>
  <c r="AM656" i="12"/>
  <c r="W656" i="12"/>
  <c r="R656" i="12"/>
  <c r="AL656" i="12"/>
  <c r="F656" i="12"/>
  <c r="AC656" i="12" s="1"/>
  <c r="Y656" i="12"/>
  <c r="AB656" i="12"/>
  <c r="U656" i="12"/>
  <c r="N656" i="12"/>
  <c r="I656" i="12"/>
  <c r="H656" i="12"/>
  <c r="AK656" i="12"/>
  <c r="Z656" i="12"/>
  <c r="T656" i="12"/>
  <c r="X643" i="12"/>
  <c r="W643" i="12"/>
  <c r="R643" i="12"/>
  <c r="J643" i="12"/>
  <c r="T643" i="12"/>
  <c r="S643" i="12"/>
  <c r="AJ643" i="12"/>
  <c r="P643" i="12"/>
  <c r="Q643" i="12"/>
  <c r="L643" i="12"/>
  <c r="AB643" i="12"/>
  <c r="AL643" i="12"/>
  <c r="Z643" i="12"/>
  <c r="V643" i="12"/>
  <c r="U643" i="12"/>
  <c r="AM643" i="12"/>
  <c r="N643" i="12"/>
  <c r="M643" i="12"/>
  <c r="H643" i="12"/>
  <c r="AA643" i="12"/>
  <c r="F643" i="12"/>
  <c r="I643" i="12"/>
  <c r="G643" i="12"/>
  <c r="O643" i="12"/>
  <c r="K643" i="12"/>
  <c r="Y643" i="12"/>
  <c r="AK643" i="12"/>
  <c r="AI643" i="12"/>
  <c r="L600" i="12"/>
  <c r="AB600" i="12"/>
  <c r="AB578" i="12"/>
  <c r="L578" i="12"/>
  <c r="R854" i="12"/>
  <c r="AJ854" i="12"/>
  <c r="AA854" i="12"/>
  <c r="P854" i="12"/>
  <c r="AL854" i="12"/>
  <c r="S854" i="12"/>
  <c r="Q854" i="12"/>
  <c r="I854" i="12"/>
  <c r="H854" i="12"/>
  <c r="V854" i="12"/>
  <c r="F854" i="12"/>
  <c r="K854" i="12"/>
  <c r="T854" i="12"/>
  <c r="M854" i="12"/>
  <c r="AK854" i="12"/>
  <c r="AI854" i="12"/>
  <c r="W854" i="12"/>
  <c r="X854" i="12"/>
  <c r="U854" i="12"/>
  <c r="AB854" i="12"/>
  <c r="L854" i="12"/>
  <c r="O854" i="12"/>
  <c r="G854" i="12"/>
  <c r="N854" i="12"/>
  <c r="AM854" i="12"/>
  <c r="J854" i="12"/>
  <c r="Y854" i="12"/>
  <c r="Z854" i="12"/>
  <c r="O838" i="12"/>
  <c r="X838" i="12"/>
  <c r="AB838" i="12"/>
  <c r="J838" i="12"/>
  <c r="Q838" i="12"/>
  <c r="Y838" i="12"/>
  <c r="AJ838" i="12"/>
  <c r="F838" i="12"/>
  <c r="AM838" i="12"/>
  <c r="K838" i="12"/>
  <c r="M838" i="12"/>
  <c r="U838" i="12"/>
  <c r="V838" i="12"/>
  <c r="P838" i="12"/>
  <c r="S838" i="12"/>
  <c r="W838" i="12"/>
  <c r="L838" i="12"/>
  <c r="AI838" i="12"/>
  <c r="I838" i="12"/>
  <c r="N838" i="12"/>
  <c r="AK838" i="12"/>
  <c r="R838" i="12"/>
  <c r="H838" i="12"/>
  <c r="AA838" i="12"/>
  <c r="T838" i="12"/>
  <c r="Z838" i="12"/>
  <c r="G838" i="12"/>
  <c r="AC838" i="12" s="1"/>
  <c r="AL838" i="12"/>
  <c r="U736" i="12"/>
  <c r="Z736" i="12"/>
  <c r="R736" i="12"/>
  <c r="O736" i="12"/>
  <c r="AA736" i="12"/>
  <c r="S736" i="12"/>
  <c r="N736" i="12"/>
  <c r="K736" i="12"/>
  <c r="AL736" i="12"/>
  <c r="AJ736" i="12"/>
  <c r="X736" i="12"/>
  <c r="P736" i="12"/>
  <c r="F736" i="12"/>
  <c r="T736" i="12"/>
  <c r="V736" i="12"/>
  <c r="W736" i="12"/>
  <c r="M736" i="12"/>
  <c r="I736" i="12"/>
  <c r="AI736" i="12"/>
  <c r="AM736" i="12"/>
  <c r="G736" i="12"/>
  <c r="Q736" i="12"/>
  <c r="AB736" i="12"/>
  <c r="L736" i="12"/>
  <c r="AK736" i="12"/>
  <c r="H736" i="12"/>
  <c r="J736" i="12"/>
  <c r="Y736" i="12"/>
  <c r="N725" i="12"/>
  <c r="S725" i="12"/>
  <c r="P725" i="12"/>
  <c r="AB725" i="12"/>
  <c r="O725" i="12"/>
  <c r="L725" i="12"/>
  <c r="H725" i="12"/>
  <c r="K725" i="12"/>
  <c r="W725" i="12"/>
  <c r="M725" i="12"/>
  <c r="AM725" i="12"/>
  <c r="AI725" i="12"/>
  <c r="G725" i="12"/>
  <c r="X725" i="12"/>
  <c r="AK725" i="12"/>
  <c r="AJ725" i="12"/>
  <c r="Q725" i="12"/>
  <c r="U725" i="12"/>
  <c r="T725" i="12"/>
  <c r="R725" i="12"/>
  <c r="Z725" i="12"/>
  <c r="V725" i="12"/>
  <c r="AA725" i="12"/>
  <c r="Y725" i="12"/>
  <c r="J725" i="12"/>
  <c r="F725" i="12"/>
  <c r="AC725" i="12" s="1"/>
  <c r="I725" i="12"/>
  <c r="AL725" i="12"/>
  <c r="U684" i="12"/>
  <c r="P684" i="12"/>
  <c r="AK684" i="12"/>
  <c r="Z684" i="12"/>
  <c r="V684" i="12"/>
  <c r="N684" i="12"/>
  <c r="G684" i="12"/>
  <c r="AB684" i="12"/>
  <c r="AM684" i="12"/>
  <c r="X684" i="12"/>
  <c r="R684" i="12"/>
  <c r="AA684" i="12"/>
  <c r="L684" i="12"/>
  <c r="AI684" i="12"/>
  <c r="M684" i="12"/>
  <c r="J684" i="12"/>
  <c r="Q684" i="12"/>
  <c r="AL684" i="12"/>
  <c r="Y684" i="12"/>
  <c r="H684" i="12"/>
  <c r="T684" i="12"/>
  <c r="W684" i="12"/>
  <c r="S684" i="12"/>
  <c r="F684" i="12"/>
  <c r="AC684" i="12" s="1"/>
  <c r="K684" i="12"/>
  <c r="O684" i="12"/>
  <c r="AJ684" i="12"/>
  <c r="I684" i="12"/>
  <c r="L599" i="12"/>
  <c r="AB599" i="12"/>
  <c r="AB342" i="12"/>
  <c r="L342" i="12"/>
  <c r="L129" i="12"/>
  <c r="AB129" i="12"/>
  <c r="AB224" i="12"/>
  <c r="L224" i="12"/>
  <c r="I627" i="12"/>
  <c r="Y627" i="12"/>
  <c r="T627" i="12"/>
  <c r="K627" i="12"/>
  <c r="G627" i="12"/>
  <c r="J627" i="12"/>
  <c r="F627" i="12"/>
  <c r="AC627" i="12" s="1"/>
  <c r="H627" i="12"/>
  <c r="AM627" i="12"/>
  <c r="AA627" i="12"/>
  <c r="W627" i="12"/>
  <c r="U627" i="12"/>
  <c r="Q627" i="12"/>
  <c r="AK627" i="12"/>
  <c r="AI627" i="12"/>
  <c r="Z627" i="12"/>
  <c r="V627" i="12"/>
  <c r="X627" i="12"/>
  <c r="S627" i="12"/>
  <c r="N627" i="12"/>
  <c r="P627" i="12"/>
  <c r="L627" i="12"/>
  <c r="AB627" i="12"/>
  <c r="AJ627" i="12"/>
  <c r="M627" i="12"/>
  <c r="AL627" i="12"/>
  <c r="R627" i="12"/>
  <c r="O627" i="12"/>
  <c r="F1487" i="12"/>
  <c r="H1487" i="12"/>
  <c r="AB1487" i="12"/>
  <c r="L1487" i="12"/>
  <c r="G1487" i="12"/>
  <c r="AB1490" i="12"/>
  <c r="L1490" i="12"/>
  <c r="G1473" i="12"/>
  <c r="H1473" i="12"/>
  <c r="F1473" i="12"/>
  <c r="AB1473" i="12"/>
  <c r="L1473" i="12"/>
  <c r="AB1474" i="12"/>
  <c r="L1474" i="12"/>
  <c r="AB1476" i="12"/>
  <c r="L1476" i="12"/>
  <c r="H1476" i="12"/>
  <c r="G1476" i="12"/>
  <c r="F1476" i="12"/>
  <c r="AB1480" i="12"/>
  <c r="L1480" i="12"/>
  <c r="AB1481" i="12"/>
  <c r="L1481" i="12"/>
  <c r="L1459" i="12"/>
  <c r="AB1459" i="12"/>
  <c r="F1459" i="12"/>
  <c r="G1459" i="12"/>
  <c r="L1466" i="12"/>
  <c r="AB1466" i="12"/>
  <c r="I1466" i="12"/>
  <c r="H1466" i="12"/>
  <c r="F1466" i="12"/>
  <c r="G1466" i="12"/>
  <c r="AB1467" i="12"/>
  <c r="L1467" i="12"/>
  <c r="L1468" i="12"/>
  <c r="G1468" i="12"/>
  <c r="AB1468" i="12"/>
  <c r="F1468" i="12"/>
  <c r="AC1468" i="12" s="1"/>
  <c r="L1469" i="12"/>
  <c r="AB1469" i="12"/>
  <c r="AB1445" i="12"/>
  <c r="L1445" i="12"/>
  <c r="AK1448" i="12"/>
  <c r="AL1448" i="12"/>
  <c r="S1448" i="12"/>
  <c r="T1448" i="12"/>
  <c r="U1448" i="12"/>
  <c r="V1448" i="12"/>
  <c r="X1448" i="12"/>
  <c r="Y1448" i="12"/>
  <c r="W1448" i="12"/>
  <c r="AB1448" i="12"/>
  <c r="L1448" i="12"/>
  <c r="AA1448" i="12"/>
  <c r="AM1448" i="12"/>
  <c r="Z1448" i="12"/>
  <c r="AI1448" i="12"/>
  <c r="AJ1448" i="12"/>
  <c r="AJ1449" i="12"/>
  <c r="AB1449" i="12"/>
  <c r="L1449" i="12"/>
  <c r="AL1449" i="12"/>
  <c r="AM1449" i="12"/>
  <c r="AK1449" i="12"/>
  <c r="L1455" i="12"/>
  <c r="I1455" i="12"/>
  <c r="H1455" i="12"/>
  <c r="F1455" i="12"/>
  <c r="J1455" i="12"/>
  <c r="G1455" i="12"/>
  <c r="AB1455" i="12"/>
  <c r="L1431" i="12"/>
  <c r="AB1431" i="12"/>
  <c r="AB1435" i="12"/>
  <c r="L1435" i="12"/>
  <c r="L1416" i="12"/>
  <c r="AB1416" i="12"/>
  <c r="L1419" i="12"/>
  <c r="AB1419" i="12"/>
  <c r="L1427" i="12"/>
  <c r="AB1427" i="12"/>
  <c r="L1401" i="12"/>
  <c r="AB1401" i="12"/>
  <c r="L1409" i="12"/>
  <c r="AB1409" i="12"/>
  <c r="L1410" i="12"/>
  <c r="AB1410" i="12"/>
  <c r="AB1411" i="12"/>
  <c r="L1411" i="12"/>
  <c r="AB1161" i="12"/>
  <c r="L1161" i="12"/>
  <c r="L1162" i="12"/>
  <c r="AB1162" i="12"/>
  <c r="L1136" i="12"/>
  <c r="AB1136" i="12"/>
  <c r="F1143" i="12"/>
  <c r="H1143" i="12"/>
  <c r="G1143" i="12"/>
  <c r="L1143" i="12"/>
  <c r="AB1143" i="12"/>
  <c r="AB1126" i="12"/>
  <c r="L1126" i="12"/>
  <c r="L1127" i="12"/>
  <c r="AM1127" i="12"/>
  <c r="AB1127" i="12"/>
  <c r="F1127" i="12"/>
  <c r="L1128" i="12"/>
  <c r="AB1128" i="12"/>
  <c r="F1132" i="12"/>
  <c r="G1132" i="12"/>
  <c r="AB1132" i="12"/>
  <c r="L1132" i="12"/>
  <c r="AB1133" i="12"/>
  <c r="L1133" i="12"/>
  <c r="AB1107" i="12"/>
  <c r="L1107" i="12"/>
  <c r="F1112" i="12"/>
  <c r="G1112" i="12"/>
  <c r="H1112" i="12"/>
  <c r="AB1112" i="12"/>
  <c r="L1112" i="12"/>
  <c r="AB1113" i="12"/>
  <c r="L1113" i="12"/>
  <c r="AB1114" i="12"/>
  <c r="P1114" i="12"/>
  <c r="K1114" i="12"/>
  <c r="I1114" i="12"/>
  <c r="N1114" i="12"/>
  <c r="F1114" i="12"/>
  <c r="G1114" i="12"/>
  <c r="J1114" i="12"/>
  <c r="O1114" i="12"/>
  <c r="H1114" i="12"/>
  <c r="M1114" i="12"/>
  <c r="L1114" i="12"/>
  <c r="I1098" i="12"/>
  <c r="H1098" i="12"/>
  <c r="L1098" i="12"/>
  <c r="AB1098" i="12"/>
  <c r="F1098" i="12"/>
  <c r="G1098" i="12"/>
  <c r="AB1080" i="12"/>
  <c r="L1080" i="12"/>
  <c r="H1080" i="12"/>
  <c r="F1080" i="12"/>
  <c r="I1083" i="12"/>
  <c r="L1083" i="12"/>
  <c r="AB1083" i="12"/>
  <c r="F1083" i="12"/>
  <c r="H1083" i="12"/>
  <c r="G1083" i="12"/>
  <c r="H906" i="12"/>
  <c r="AB906" i="12"/>
  <c r="L906" i="12"/>
  <c r="G906" i="12"/>
  <c r="I906" i="12"/>
  <c r="F906" i="12"/>
  <c r="AB889" i="12"/>
  <c r="L889" i="12"/>
  <c r="H889" i="12"/>
  <c r="G889" i="12"/>
  <c r="AB891" i="12"/>
  <c r="L891" i="12"/>
  <c r="AB894" i="12"/>
  <c r="L894" i="12"/>
  <c r="H842" i="12"/>
  <c r="L842" i="12"/>
  <c r="G842" i="12"/>
  <c r="AB842" i="12"/>
  <c r="F842" i="12"/>
  <c r="AB848" i="12"/>
  <c r="L848" i="12"/>
  <c r="O848" i="12"/>
  <c r="P848" i="12"/>
  <c r="Y813" i="12"/>
  <c r="AB813" i="12"/>
  <c r="L813" i="12"/>
  <c r="G813" i="12"/>
  <c r="H813" i="12"/>
  <c r="AJ813" i="12"/>
  <c r="Z813" i="12"/>
  <c r="K813" i="12"/>
  <c r="O813" i="12"/>
  <c r="AL813" i="12"/>
  <c r="J813" i="12"/>
  <c r="M813" i="12"/>
  <c r="F813" i="12"/>
  <c r="AC813" i="12" s="1"/>
  <c r="W813" i="12"/>
  <c r="AI813" i="12"/>
  <c r="AK813" i="12"/>
  <c r="X813" i="12"/>
  <c r="I813" i="12"/>
  <c r="AM813" i="12"/>
  <c r="V813" i="12"/>
  <c r="N813" i="12"/>
  <c r="AA813" i="12"/>
  <c r="H817" i="12"/>
  <c r="F817" i="12"/>
  <c r="G817" i="12"/>
  <c r="L817" i="12"/>
  <c r="AB817" i="12"/>
  <c r="M817" i="12"/>
  <c r="I817" i="12"/>
  <c r="K817" i="12"/>
  <c r="J817" i="12"/>
  <c r="F822" i="12"/>
  <c r="L822" i="12"/>
  <c r="AB822" i="12"/>
  <c r="H822" i="12"/>
  <c r="L804" i="12"/>
  <c r="J804" i="12"/>
  <c r="AB804" i="12"/>
  <c r="I804" i="12"/>
  <c r="G804" i="12"/>
  <c r="F804" i="12"/>
  <c r="H804" i="12"/>
  <c r="N785" i="12"/>
  <c r="M785" i="12"/>
  <c r="AB785" i="12"/>
  <c r="L785" i="12"/>
  <c r="O785" i="12"/>
  <c r="X787" i="12"/>
  <c r="AA787" i="12"/>
  <c r="AK787" i="12"/>
  <c r="AL787" i="12"/>
  <c r="R787" i="12"/>
  <c r="AB787" i="12"/>
  <c r="AM787" i="12"/>
  <c r="J787" i="12"/>
  <c r="AJ787" i="12"/>
  <c r="P787" i="12"/>
  <c r="L787" i="12"/>
  <c r="K787" i="12"/>
  <c r="M787" i="12"/>
  <c r="Q787" i="12"/>
  <c r="N787" i="12"/>
  <c r="O787" i="12"/>
  <c r="AI787" i="12"/>
  <c r="Z787" i="12"/>
  <c r="Y787" i="12"/>
  <c r="X734" i="12"/>
  <c r="AM734" i="12"/>
  <c r="U734" i="12"/>
  <c r="AK734" i="12"/>
  <c r="Z734" i="12"/>
  <c r="Q734" i="12"/>
  <c r="Y734" i="12"/>
  <c r="AI734" i="12"/>
  <c r="L734" i="12"/>
  <c r="S734" i="12"/>
  <c r="P734" i="12"/>
  <c r="AB734" i="12"/>
  <c r="N734" i="12"/>
  <c r="V734" i="12"/>
  <c r="T734" i="12"/>
  <c r="AL734" i="12"/>
  <c r="W734" i="12"/>
  <c r="K734" i="12"/>
  <c r="AJ734" i="12"/>
  <c r="R734" i="12"/>
  <c r="O734" i="12"/>
  <c r="M734" i="12"/>
  <c r="AA734" i="12"/>
  <c r="W659" i="12"/>
  <c r="S659" i="12"/>
  <c r="O659" i="12"/>
  <c r="AI659" i="12"/>
  <c r="AA659" i="12"/>
  <c r="AJ659" i="12"/>
  <c r="AK659" i="12"/>
  <c r="R659" i="12"/>
  <c r="V659" i="12"/>
  <c r="U659" i="12"/>
  <c r="AB659" i="12"/>
  <c r="L659" i="12"/>
  <c r="Q659" i="12"/>
  <c r="N659" i="12"/>
  <c r="T659" i="12"/>
  <c r="Z659" i="12"/>
  <c r="P659" i="12"/>
  <c r="Y659" i="12"/>
  <c r="X659" i="12"/>
  <c r="F647" i="12"/>
  <c r="N647" i="12"/>
  <c r="M647" i="12"/>
  <c r="K647" i="12"/>
  <c r="G647" i="12"/>
  <c r="H647" i="12"/>
  <c r="AB647" i="12"/>
  <c r="I647" i="12"/>
  <c r="J647" i="12"/>
  <c r="L647" i="12"/>
  <c r="J641" i="12"/>
  <c r="M641" i="12"/>
  <c r="O641" i="12"/>
  <c r="N641" i="12"/>
  <c r="Q641" i="12"/>
  <c r="H641" i="12"/>
  <c r="I641" i="12"/>
  <c r="G641" i="12"/>
  <c r="F641" i="12"/>
  <c r="P641" i="12"/>
  <c r="AB641" i="12"/>
  <c r="L641" i="12"/>
  <c r="K641" i="12"/>
  <c r="L615" i="12"/>
  <c r="AB615" i="12"/>
  <c r="AB239" i="12"/>
  <c r="L239" i="12"/>
  <c r="AB558" i="12"/>
  <c r="L558" i="12"/>
  <c r="AB255" i="12"/>
  <c r="L255" i="12"/>
  <c r="AB251" i="12"/>
  <c r="L251" i="12"/>
  <c r="AB474" i="12"/>
  <c r="L474" i="12"/>
  <c r="AB456" i="12"/>
  <c r="L456" i="12"/>
  <c r="AB51" i="12"/>
  <c r="L51" i="12"/>
  <c r="L293" i="12"/>
  <c r="AB293" i="12"/>
  <c r="L506" i="12"/>
  <c r="AB506" i="12"/>
  <c r="AB505" i="12"/>
  <c r="L505" i="12"/>
  <c r="L484" i="12"/>
  <c r="AB484" i="12"/>
  <c r="AM849" i="12"/>
  <c r="V849" i="12"/>
  <c r="AB849" i="12"/>
  <c r="L849" i="12"/>
  <c r="R849" i="12"/>
  <c r="J849" i="12"/>
  <c r="Y849" i="12"/>
  <c r="AJ849" i="12"/>
  <c r="M849" i="12"/>
  <c r="U849" i="12"/>
  <c r="AA849" i="12"/>
  <c r="G849" i="12"/>
  <c r="W849" i="12"/>
  <c r="K849" i="12"/>
  <c r="Q849" i="12"/>
  <c r="F849" i="12"/>
  <c r="AC849" i="12" s="1"/>
  <c r="X849" i="12"/>
  <c r="T849" i="12"/>
  <c r="H849" i="12"/>
  <c r="AK849" i="12"/>
  <c r="Z849" i="12"/>
  <c r="P849" i="12"/>
  <c r="I849" i="12"/>
  <c r="S849" i="12"/>
  <c r="AI849" i="12"/>
  <c r="O849" i="12"/>
  <c r="AL849" i="12"/>
  <c r="N849" i="12"/>
  <c r="Y815" i="12"/>
  <c r="AJ815" i="12"/>
  <c r="AB815" i="12"/>
  <c r="AM815" i="12"/>
  <c r="L815" i="12"/>
  <c r="H815" i="12"/>
  <c r="K815" i="12"/>
  <c r="T815" i="12"/>
  <c r="W815" i="12"/>
  <c r="Z815" i="12"/>
  <c r="AI815" i="12"/>
  <c r="AA815" i="12"/>
  <c r="AL815" i="12"/>
  <c r="F815" i="12"/>
  <c r="I815" i="12"/>
  <c r="J815" i="12"/>
  <c r="N815" i="12"/>
  <c r="P815" i="12"/>
  <c r="R815" i="12"/>
  <c r="S815" i="12"/>
  <c r="X815" i="12"/>
  <c r="G815" i="12"/>
  <c r="M815" i="12"/>
  <c r="O815" i="12"/>
  <c r="V815" i="12"/>
  <c r="AK815" i="12"/>
  <c r="Q815" i="12"/>
  <c r="U815" i="12"/>
  <c r="AB1477" i="12"/>
  <c r="G1477" i="12"/>
  <c r="L1477" i="12"/>
  <c r="F1477" i="12"/>
  <c r="H1357" i="12"/>
  <c r="F1357" i="12"/>
  <c r="G1357" i="12"/>
  <c r="L1357" i="12"/>
  <c r="AB1357" i="12"/>
  <c r="G1219" i="12"/>
  <c r="AB1219" i="12"/>
  <c r="F1219" i="12"/>
  <c r="L1219" i="12"/>
  <c r="G843" i="12"/>
  <c r="H843" i="12"/>
  <c r="I843" i="12"/>
  <c r="F843" i="12"/>
  <c r="AC843" i="12" s="1"/>
  <c r="L119" i="12"/>
  <c r="AB119" i="12"/>
  <c r="AB1215" i="12"/>
  <c r="L1215" i="12"/>
  <c r="L590" i="12"/>
  <c r="AB590" i="12"/>
  <c r="AB668" i="12"/>
  <c r="L668" i="12"/>
  <c r="L637" i="12"/>
  <c r="AB637" i="12"/>
  <c r="L625" i="12"/>
  <c r="AB625" i="12"/>
  <c r="L594" i="12"/>
  <c r="AB594" i="12"/>
  <c r="L150" i="12"/>
  <c r="AB150" i="12"/>
  <c r="AB153" i="12"/>
  <c r="L153" i="12"/>
  <c r="AB993" i="12"/>
  <c r="L993" i="12"/>
  <c r="L158" i="12"/>
  <c r="AB158" i="12"/>
  <c r="AB135" i="12"/>
  <c r="L135" i="12"/>
  <c r="L1004" i="12"/>
  <c r="AB1004" i="12"/>
  <c r="L156" i="12"/>
  <c r="AB156" i="12"/>
  <c r="AB633" i="12"/>
  <c r="L633" i="12"/>
  <c r="L635" i="12"/>
  <c r="AB635" i="12"/>
  <c r="AB639" i="12"/>
  <c r="L639" i="12"/>
  <c r="L617" i="12"/>
  <c r="AB617" i="12"/>
  <c r="AB619" i="12"/>
  <c r="L619" i="12"/>
  <c r="L621" i="12"/>
  <c r="AB621" i="12"/>
  <c r="AB622" i="12"/>
  <c r="L622" i="12"/>
  <c r="L624" i="12"/>
  <c r="AB624" i="12"/>
  <c r="L629" i="12"/>
  <c r="AB629" i="12"/>
  <c r="AB605" i="12"/>
  <c r="L605" i="12"/>
  <c r="AB613" i="12"/>
  <c r="L613" i="12"/>
  <c r="L591" i="12"/>
  <c r="AB591" i="12"/>
  <c r="AB597" i="12"/>
  <c r="L597" i="12"/>
  <c r="L601" i="12"/>
  <c r="AB601" i="12"/>
  <c r="AR41" i="15"/>
  <c r="AR42" i="15"/>
  <c r="AR43" i="15"/>
  <c r="AR44" i="15"/>
  <c r="AR45" i="15"/>
  <c r="AR46" i="15"/>
  <c r="AR47" i="15"/>
  <c r="AR48" i="15"/>
  <c r="AR49" i="15"/>
  <c r="AR50" i="15"/>
  <c r="AR51" i="15"/>
  <c r="AR52" i="15"/>
  <c r="AR53" i="15"/>
  <c r="AB1041" i="12"/>
  <c r="L1041" i="12"/>
  <c r="L618" i="12"/>
  <c r="AB618" i="12"/>
  <c r="L620" i="12"/>
  <c r="AB620" i="12"/>
  <c r="AB604" i="12"/>
  <c r="L604" i="12"/>
  <c r="AB607" i="12"/>
  <c r="L607" i="12"/>
  <c r="L608" i="12"/>
  <c r="AB608" i="12"/>
  <c r="L786" i="12"/>
  <c r="AB786" i="12"/>
  <c r="L739" i="12"/>
  <c r="AB739" i="12"/>
  <c r="AC1504" i="12"/>
  <c r="L1066" i="12"/>
  <c r="AB1066" i="12"/>
  <c r="AB1068" i="12"/>
  <c r="L1068" i="12"/>
  <c r="AB1070" i="12"/>
  <c r="L1070" i="12"/>
  <c r="L1073" i="12"/>
  <c r="AB1073" i="12"/>
  <c r="L1074" i="12"/>
  <c r="AB1074" i="12"/>
  <c r="AB1075" i="12"/>
  <c r="L1075" i="12"/>
  <c r="L1057" i="12"/>
  <c r="AB1057" i="12"/>
  <c r="AB1060" i="12"/>
  <c r="L1060" i="12"/>
  <c r="AB576" i="12"/>
  <c r="L576" i="12"/>
  <c r="AB547" i="12"/>
  <c r="L547" i="12"/>
  <c r="AB546" i="12"/>
  <c r="L546" i="12"/>
  <c r="AB522" i="12"/>
  <c r="L522" i="12"/>
  <c r="AB512" i="12"/>
  <c r="L512" i="12"/>
  <c r="AB565" i="12"/>
  <c r="L565" i="12"/>
  <c r="AB568" i="12"/>
  <c r="L568" i="12"/>
  <c r="L571" i="12"/>
  <c r="AB571" i="12"/>
  <c r="L550" i="12"/>
  <c r="AB550" i="12"/>
  <c r="AB537" i="12"/>
  <c r="L537" i="12"/>
  <c r="AB548" i="12"/>
  <c r="L548" i="12"/>
  <c r="AB560" i="12"/>
  <c r="L560" i="12"/>
  <c r="L564" i="12"/>
  <c r="AB564" i="12"/>
  <c r="L549" i="12"/>
  <c r="AB549" i="12"/>
  <c r="L553" i="12"/>
  <c r="AB553" i="12"/>
  <c r="AB557" i="12"/>
  <c r="L557" i="12"/>
  <c r="AJ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AC802" i="12"/>
  <c r="AC1233" i="12"/>
  <c r="AC1256" i="12"/>
  <c r="AC1259" i="12"/>
  <c r="AC1234" i="12"/>
  <c r="AC1489" i="12"/>
  <c r="AC853" i="12"/>
  <c r="CJ5" i="2" a="1"/>
  <c r="CK5" i="2" a="1"/>
  <c r="CJ7" i="2" a="1"/>
  <c r="CK7" i="2" a="1"/>
  <c r="CJ302" i="2" a="1"/>
  <c r="CK302" i="2" a="1"/>
  <c r="CJ301" i="2" a="1"/>
  <c r="CK301" i="2" a="1"/>
  <c r="CJ300" i="2" a="1"/>
  <c r="CK300" i="2" a="1"/>
  <c r="CJ299" i="2" a="1"/>
  <c r="CK299" i="2" a="1"/>
  <c r="CJ298" i="2" a="1"/>
  <c r="CK298" i="2" a="1"/>
  <c r="CJ297" i="2" a="1"/>
  <c r="CK297" i="2" a="1"/>
  <c r="CJ296" i="2" a="1"/>
  <c r="CK296" i="2" a="1"/>
  <c r="CJ295" i="2" a="1"/>
  <c r="CK295" i="2" a="1"/>
  <c r="CJ294" i="2" a="1"/>
  <c r="CK294" i="2" a="1"/>
  <c r="CJ293" i="2" a="1"/>
  <c r="CK293" i="2" a="1"/>
  <c r="CJ292" i="2" a="1"/>
  <c r="CK292" i="2" a="1"/>
  <c r="CJ291" i="2" a="1"/>
  <c r="CK291" i="2" a="1"/>
  <c r="CJ290" i="2" a="1"/>
  <c r="CK290" i="2" a="1"/>
  <c r="CJ289" i="2" a="1"/>
  <c r="CK289" i="2" a="1"/>
  <c r="CJ288" i="2" a="1"/>
  <c r="CK288" i="2" a="1"/>
  <c r="CJ287" i="2" a="1"/>
  <c r="CK287" i="2" a="1"/>
  <c r="CJ286" i="2" a="1"/>
  <c r="CK286" i="2" a="1"/>
  <c r="CJ285" i="2" a="1"/>
  <c r="CK285" i="2" a="1"/>
  <c r="CJ284" i="2" a="1"/>
  <c r="CK284" i="2" a="1"/>
  <c r="CJ283" i="2" a="1"/>
  <c r="CK283" i="2" a="1"/>
  <c r="CJ282" i="2" a="1"/>
  <c r="CK282" i="2" a="1"/>
  <c r="CJ281" i="2" a="1"/>
  <c r="CK281" i="2" a="1"/>
  <c r="CJ280" i="2" a="1"/>
  <c r="CK280" i="2" a="1"/>
  <c r="CJ279" i="2" a="1"/>
  <c r="CK279" i="2" a="1"/>
  <c r="CJ278" i="2" a="1"/>
  <c r="CK278" i="2" a="1"/>
  <c r="CJ277" i="2" a="1"/>
  <c r="CK277" i="2" a="1"/>
  <c r="CJ276" i="2" a="1"/>
  <c r="CK276" i="2" a="1"/>
  <c r="CJ275" i="2" a="1"/>
  <c r="CK275" i="2" a="1"/>
  <c r="CJ274" i="2" a="1"/>
  <c r="CK274" i="2" a="1"/>
  <c r="CJ273" i="2" a="1"/>
  <c r="CK273" i="2" a="1"/>
  <c r="CJ272" i="2" a="1"/>
  <c r="CK272" i="2" a="1"/>
  <c r="CJ271" i="2" a="1"/>
  <c r="CK271" i="2" a="1"/>
  <c r="CJ270" i="2" a="1"/>
  <c r="CK270" i="2" a="1"/>
  <c r="CJ269" i="2" a="1"/>
  <c r="CK269" i="2" a="1"/>
  <c r="CJ268" i="2" a="1"/>
  <c r="CK268" i="2" a="1"/>
  <c r="CJ267" i="2" a="1"/>
  <c r="CK267" i="2" a="1"/>
  <c r="CJ266" i="2" a="1"/>
  <c r="CK266" i="2" a="1"/>
  <c r="CJ265" i="2" a="1"/>
  <c r="CK265" i="2" a="1"/>
  <c r="CJ264" i="2" a="1"/>
  <c r="CK264" i="2" a="1"/>
  <c r="CJ263" i="2" a="1"/>
  <c r="CK263" i="2" a="1"/>
  <c r="CJ262" i="2" a="1"/>
  <c r="CK262" i="2" a="1"/>
  <c r="CJ261" i="2" a="1"/>
  <c r="CK261" i="2" a="1"/>
  <c r="CJ260" i="2" a="1"/>
  <c r="CK260" i="2" a="1"/>
  <c r="CJ259" i="2" a="1"/>
  <c r="CK259" i="2" a="1"/>
  <c r="CJ258" i="2" a="1"/>
  <c r="CK258" i="2" a="1"/>
  <c r="CJ257" i="2" a="1"/>
  <c r="CK257" i="2" a="1"/>
  <c r="CJ256" i="2" a="1"/>
  <c r="CK256" i="2" a="1"/>
  <c r="CJ255" i="2" a="1"/>
  <c r="CK255" i="2" a="1"/>
  <c r="CJ254" i="2" a="1"/>
  <c r="CK254" i="2" a="1"/>
  <c r="CJ253" i="2" a="1"/>
  <c r="CK253" i="2" a="1"/>
  <c r="CJ252" i="2" a="1"/>
  <c r="CK252" i="2" a="1"/>
  <c r="CJ251" i="2" a="1"/>
  <c r="CK251" i="2" a="1"/>
  <c r="CJ250" i="2" a="1"/>
  <c r="CK250" i="2" a="1"/>
  <c r="CJ249" i="2" a="1"/>
  <c r="CK249" i="2" a="1"/>
  <c r="CJ248" i="2" a="1"/>
  <c r="CK248" i="2" a="1"/>
  <c r="CJ247" i="2" a="1"/>
  <c r="CK247" i="2" a="1"/>
  <c r="CJ246" i="2" a="1"/>
  <c r="CK246" i="2" a="1"/>
  <c r="CJ245" i="2" a="1"/>
  <c r="CK245" i="2" a="1"/>
  <c r="CJ244" i="2" a="1"/>
  <c r="CK244" i="2" a="1"/>
  <c r="CJ243" i="2" a="1"/>
  <c r="CK243" i="2" a="1"/>
  <c r="CJ242" i="2" a="1"/>
  <c r="CK242" i="2" a="1"/>
  <c r="CJ241" i="2" a="1"/>
  <c r="CK241" i="2" a="1"/>
  <c r="CJ240" i="2" a="1"/>
  <c r="CK240" i="2" a="1"/>
  <c r="CJ239" i="2" a="1"/>
  <c r="CK239" i="2" a="1"/>
  <c r="CJ238" i="2" a="1"/>
  <c r="CK238" i="2" a="1"/>
  <c r="CJ237" i="2" a="1"/>
  <c r="CK237" i="2" a="1"/>
  <c r="CJ236" i="2" a="1"/>
  <c r="CK236" i="2" a="1"/>
  <c r="CJ235" i="2" a="1"/>
  <c r="CK235" i="2" a="1"/>
  <c r="CJ234" i="2" a="1"/>
  <c r="CK234" i="2" a="1"/>
  <c r="CJ233" i="2" a="1"/>
  <c r="CK233" i="2" a="1"/>
  <c r="CJ232" i="2" a="1"/>
  <c r="CK232" i="2" a="1"/>
  <c r="CJ231" i="2" a="1"/>
  <c r="CK231" i="2" a="1"/>
  <c r="CJ230" i="2" a="1"/>
  <c r="CK230" i="2" a="1"/>
  <c r="CJ229" i="2" a="1"/>
  <c r="CK229" i="2" a="1"/>
  <c r="CJ228" i="2" a="1"/>
  <c r="CK228" i="2" a="1"/>
  <c r="CJ227" i="2" a="1"/>
  <c r="CK227" i="2" a="1"/>
  <c r="CJ226" i="2" a="1"/>
  <c r="CK226" i="2" a="1"/>
  <c r="CJ225" i="2" a="1"/>
  <c r="CK225" i="2" a="1"/>
  <c r="CJ224" i="2" a="1"/>
  <c r="CK224" i="2" a="1"/>
  <c r="CJ223" i="2" a="1"/>
  <c r="CK223" i="2" a="1"/>
  <c r="CJ222" i="2" a="1"/>
  <c r="CK222" i="2" a="1"/>
  <c r="CJ221" i="2" a="1"/>
  <c r="CK221" i="2" a="1"/>
  <c r="CJ220" i="2" a="1"/>
  <c r="CK220" i="2" a="1"/>
  <c r="CJ219" i="2" a="1"/>
  <c r="CK219" i="2" a="1"/>
  <c r="CJ218" i="2" a="1"/>
  <c r="CK218" i="2" a="1"/>
  <c r="CJ217" i="2" a="1"/>
  <c r="CK217" i="2" a="1"/>
  <c r="CJ216" i="2" a="1"/>
  <c r="CK216" i="2" a="1"/>
  <c r="CJ215" i="2" a="1"/>
  <c r="CK215" i="2" a="1"/>
  <c r="CJ214" i="2" a="1"/>
  <c r="CK214" i="2" a="1"/>
  <c r="CJ213" i="2" a="1"/>
  <c r="CK213" i="2" a="1"/>
  <c r="CJ212" i="2" a="1"/>
  <c r="CK212" i="2" a="1"/>
  <c r="CJ211" i="2" a="1"/>
  <c r="CK211" i="2" a="1"/>
  <c r="CJ210" i="2" a="1"/>
  <c r="CK210" i="2" a="1"/>
  <c r="CJ209" i="2" a="1"/>
  <c r="CK209" i="2" a="1"/>
  <c r="CJ208" i="2" a="1"/>
  <c r="CK208" i="2" a="1"/>
  <c r="CJ207" i="2" a="1"/>
  <c r="CK207" i="2" a="1"/>
  <c r="CJ206" i="2" a="1"/>
  <c r="CK206" i="2" a="1"/>
  <c r="CJ205" i="2" a="1"/>
  <c r="CK205" i="2" a="1"/>
  <c r="CJ204" i="2" a="1"/>
  <c r="CK204" i="2" a="1"/>
  <c r="CJ203" i="2" a="1"/>
  <c r="CK203" i="2" a="1"/>
  <c r="CJ202" i="2" a="1"/>
  <c r="CK202" i="2" a="1"/>
  <c r="CJ201" i="2" a="1"/>
  <c r="CK201" i="2" a="1"/>
  <c r="CJ200" i="2" a="1"/>
  <c r="CK200" i="2" a="1"/>
  <c r="CJ199" i="2" a="1"/>
  <c r="CK199" i="2" a="1"/>
  <c r="CJ198" i="2" a="1"/>
  <c r="CK198" i="2" a="1"/>
  <c r="CJ197" i="2" a="1"/>
  <c r="CK197" i="2" a="1"/>
  <c r="CJ196" i="2" a="1"/>
  <c r="CK196" i="2" a="1"/>
  <c r="CJ195" i="2" a="1"/>
  <c r="CK195" i="2" a="1"/>
  <c r="CJ194" i="2" a="1"/>
  <c r="CK194" i="2" a="1"/>
  <c r="CJ193" i="2" a="1"/>
  <c r="CK193" i="2" a="1"/>
  <c r="CJ192" i="2" a="1"/>
  <c r="CK192" i="2" a="1"/>
  <c r="CJ191" i="2" a="1"/>
  <c r="CK191" i="2" a="1"/>
  <c r="CJ190" i="2" a="1"/>
  <c r="CK190" i="2" a="1"/>
  <c r="CJ189" i="2" a="1"/>
  <c r="CK189" i="2" a="1"/>
  <c r="CJ188" i="2" a="1"/>
  <c r="CK188" i="2" a="1"/>
  <c r="CJ187" i="2" a="1"/>
  <c r="CK187" i="2" a="1"/>
  <c r="CJ186" i="2" a="1"/>
  <c r="CK186" i="2" a="1"/>
  <c r="CJ185" i="2" a="1"/>
  <c r="CK185" i="2" a="1"/>
  <c r="CJ184" i="2" a="1"/>
  <c r="CK184" i="2" a="1"/>
  <c r="CJ183" i="2" a="1"/>
  <c r="CK183" i="2" a="1"/>
  <c r="CJ182" i="2" a="1"/>
  <c r="CK182" i="2" a="1"/>
  <c r="CJ181" i="2" a="1"/>
  <c r="CK181" i="2" a="1"/>
  <c r="CJ180" i="2" a="1"/>
  <c r="CK180" i="2" a="1"/>
  <c r="CJ179" i="2" a="1"/>
  <c r="CK179" i="2" a="1"/>
  <c r="CJ178" i="2" a="1"/>
  <c r="CK178" i="2" a="1"/>
  <c r="CJ177" i="2" a="1"/>
  <c r="CK177" i="2" a="1"/>
  <c r="CJ176" i="2" a="1"/>
  <c r="CK176" i="2" a="1"/>
  <c r="CJ175" i="2" a="1"/>
  <c r="CK175" i="2" a="1"/>
  <c r="CJ174" i="2" a="1"/>
  <c r="CK174" i="2" a="1"/>
  <c r="CJ173" i="2" a="1"/>
  <c r="CK173" i="2" a="1"/>
  <c r="CJ172" i="2" a="1"/>
  <c r="CK172" i="2" a="1"/>
  <c r="CJ171" i="2" a="1"/>
  <c r="CK171" i="2" a="1"/>
  <c r="CJ170" i="2" a="1"/>
  <c r="CK170" i="2" a="1"/>
  <c r="CJ169" i="2" a="1"/>
  <c r="CK169" i="2" a="1"/>
  <c r="CJ168" i="2" a="1"/>
  <c r="CK168" i="2" a="1"/>
  <c r="CJ167" i="2" a="1"/>
  <c r="CK167" i="2" a="1"/>
  <c r="CJ166" i="2" a="1"/>
  <c r="CK166" i="2" a="1"/>
  <c r="CJ165" i="2" a="1"/>
  <c r="CK165" i="2" a="1"/>
  <c r="CJ164" i="2" a="1"/>
  <c r="CK164" i="2" a="1"/>
  <c r="CJ163" i="2" a="1"/>
  <c r="CK163" i="2" a="1"/>
  <c r="CJ162" i="2" a="1"/>
  <c r="CK162" i="2" a="1"/>
  <c r="CJ161" i="2" a="1"/>
  <c r="CK161" i="2" a="1"/>
  <c r="CJ160" i="2" a="1"/>
  <c r="CK160" i="2" a="1"/>
  <c r="CJ159" i="2" a="1"/>
  <c r="CK159" i="2" a="1"/>
  <c r="CJ158" i="2" a="1"/>
  <c r="CK158" i="2" a="1"/>
  <c r="CJ157" i="2" a="1"/>
  <c r="CK157" i="2" a="1"/>
  <c r="CJ156" i="2" a="1"/>
  <c r="CK156" i="2" a="1"/>
  <c r="CJ155" i="2" a="1"/>
  <c r="CK155" i="2" a="1"/>
  <c r="CJ154" i="2" a="1"/>
  <c r="CK154" i="2" a="1"/>
  <c r="CJ153" i="2" a="1"/>
  <c r="CK153" i="2" a="1"/>
  <c r="CJ152" i="2" a="1"/>
  <c r="CK152" i="2" a="1"/>
  <c r="CJ151" i="2" a="1"/>
  <c r="CK151" i="2" a="1"/>
  <c r="CJ150" i="2" a="1"/>
  <c r="CK150" i="2" a="1"/>
  <c r="CJ149" i="2" a="1"/>
  <c r="CK149" i="2" a="1"/>
  <c r="CJ148" i="2" a="1"/>
  <c r="CK148" i="2" a="1"/>
  <c r="CJ147" i="2" a="1"/>
  <c r="CK147" i="2" a="1"/>
  <c r="CJ146" i="2" a="1"/>
  <c r="CK146" i="2" a="1"/>
  <c r="CJ145" i="2" a="1"/>
  <c r="CK145" i="2" a="1"/>
  <c r="CJ144" i="2" a="1"/>
  <c r="CK144" i="2" a="1"/>
  <c r="CJ143" i="2" a="1"/>
  <c r="CK143" i="2" a="1"/>
  <c r="CJ142" i="2" a="1"/>
  <c r="CK142" i="2" a="1"/>
  <c r="CJ141" i="2" a="1"/>
  <c r="CK141" i="2" a="1"/>
  <c r="CJ140" i="2" a="1"/>
  <c r="CK140" i="2" a="1"/>
  <c r="CJ139" i="2" a="1"/>
  <c r="CK139" i="2" a="1"/>
  <c r="CJ138" i="2" a="1"/>
  <c r="CK138" i="2" a="1"/>
  <c r="CJ137" i="2" a="1"/>
  <c r="CK137" i="2" a="1"/>
  <c r="CJ136" i="2" a="1"/>
  <c r="CK136" i="2" a="1"/>
  <c r="CJ135" i="2" a="1"/>
  <c r="CK135" i="2" a="1"/>
  <c r="CJ134" i="2" a="1"/>
  <c r="CK134" i="2" a="1"/>
  <c r="CJ133" i="2" a="1"/>
  <c r="CK133" i="2" a="1"/>
  <c r="CJ132" i="2" a="1"/>
  <c r="CK132" i="2" a="1"/>
  <c r="CJ131" i="2" a="1"/>
  <c r="CK131" i="2" a="1"/>
  <c r="CJ130" i="2" a="1"/>
  <c r="CK130" i="2" a="1"/>
  <c r="CJ129" i="2" a="1"/>
  <c r="CK129" i="2" a="1"/>
  <c r="CJ128" i="2" a="1"/>
  <c r="CK128" i="2" a="1"/>
  <c r="CJ127" i="2" a="1"/>
  <c r="CK127" i="2" a="1"/>
  <c r="CJ126" i="2" a="1"/>
  <c r="CK126" i="2" a="1"/>
  <c r="CJ125" i="2" a="1"/>
  <c r="CK125" i="2" a="1"/>
  <c r="CJ124" i="2" a="1"/>
  <c r="CK124" i="2" a="1"/>
  <c r="CJ123" i="2" a="1"/>
  <c r="CK123" i="2" a="1"/>
  <c r="CJ122" i="2" a="1"/>
  <c r="CK122" i="2" a="1"/>
  <c r="CJ121" i="2" a="1"/>
  <c r="CK121" i="2" a="1"/>
  <c r="CJ120" i="2" a="1"/>
  <c r="CK120" i="2" a="1"/>
  <c r="CJ119" i="2" a="1"/>
  <c r="CK119" i="2" a="1"/>
  <c r="CJ118" i="2" a="1"/>
  <c r="CK118" i="2" a="1"/>
  <c r="CJ117" i="2" a="1"/>
  <c r="CK117" i="2" a="1"/>
  <c r="CJ116" i="2" a="1"/>
  <c r="CK116" i="2" a="1"/>
  <c r="CJ115" i="2" a="1"/>
  <c r="CK115" i="2" a="1"/>
  <c r="CJ114" i="2" a="1"/>
  <c r="CK114" i="2" a="1"/>
  <c r="CJ113" i="2" a="1"/>
  <c r="CK113" i="2" a="1"/>
  <c r="CJ112" i="2" a="1"/>
  <c r="CK112" i="2" a="1"/>
  <c r="CJ111" i="2" a="1"/>
  <c r="CK111" i="2" a="1"/>
  <c r="CJ110" i="2" a="1"/>
  <c r="CK110" i="2" a="1"/>
  <c r="CJ109" i="2" a="1"/>
  <c r="CK109" i="2" a="1"/>
  <c r="CJ108" i="2" a="1"/>
  <c r="CK108" i="2" a="1"/>
  <c r="CJ107" i="2" a="1"/>
  <c r="CK107" i="2" a="1"/>
  <c r="CJ106" i="2" a="1"/>
  <c r="CK106" i="2" a="1"/>
  <c r="CJ105" i="2" a="1"/>
  <c r="CK105" i="2" a="1"/>
  <c r="CJ104" i="2" a="1"/>
  <c r="CK104" i="2" a="1"/>
  <c r="CJ103" i="2" a="1"/>
  <c r="CK103" i="2" a="1"/>
  <c r="CJ102" i="2" a="1"/>
  <c r="CK102" i="2" a="1"/>
  <c r="CJ101" i="2" a="1"/>
  <c r="CK101" i="2" a="1"/>
  <c r="CJ100" i="2" a="1"/>
  <c r="CK100" i="2" a="1"/>
  <c r="CJ99" i="2" a="1"/>
  <c r="CK99" i="2" a="1"/>
  <c r="CJ98" i="2" a="1"/>
  <c r="CK98" i="2" a="1"/>
  <c r="CJ97" i="2" a="1"/>
  <c r="CK97" i="2" a="1"/>
  <c r="CJ96" i="2" a="1"/>
  <c r="CK96" i="2" a="1"/>
  <c r="CJ95" i="2" a="1"/>
  <c r="CK95" i="2" a="1"/>
  <c r="CJ94" i="2" a="1"/>
  <c r="CK94" i="2" a="1"/>
  <c r="CJ93" i="2" a="1"/>
  <c r="CK93" i="2" a="1"/>
  <c r="CJ92" i="2" a="1"/>
  <c r="CK92" i="2" a="1"/>
  <c r="CJ91" i="2" a="1"/>
  <c r="CK91" i="2" a="1"/>
  <c r="CJ90" i="2" a="1"/>
  <c r="CK90" i="2" a="1"/>
  <c r="CJ89" i="2" a="1"/>
  <c r="CK89" i="2" a="1"/>
  <c r="CJ88" i="2" a="1"/>
  <c r="CK88" i="2" a="1"/>
  <c r="CJ87" i="2" a="1"/>
  <c r="CK87" i="2" a="1"/>
  <c r="CJ86" i="2" a="1"/>
  <c r="CK86" i="2" a="1"/>
  <c r="CJ85" i="2" a="1"/>
  <c r="CK85" i="2" a="1"/>
  <c r="CJ84" i="2" a="1"/>
  <c r="CK84" i="2" a="1"/>
  <c r="CJ83" i="2" a="1"/>
  <c r="CK83" i="2" a="1"/>
  <c r="CJ82" i="2" a="1"/>
  <c r="CK82" i="2" a="1"/>
  <c r="CJ81" i="2" a="1"/>
  <c r="CK81" i="2" a="1"/>
  <c r="CJ80" i="2" a="1"/>
  <c r="CK80" i="2" a="1"/>
  <c r="CJ79" i="2" a="1"/>
  <c r="CK79" i="2" a="1"/>
  <c r="CJ78" i="2" a="1"/>
  <c r="CK78" i="2" a="1"/>
  <c r="CJ77" i="2" a="1"/>
  <c r="CK77" i="2" a="1"/>
  <c r="CJ76" i="2" a="1"/>
  <c r="CK76" i="2" a="1"/>
  <c r="CJ75" i="2" a="1"/>
  <c r="CK75" i="2" a="1"/>
  <c r="CJ74" i="2" a="1"/>
  <c r="CK74" i="2" a="1"/>
  <c r="CJ73" i="2" a="1"/>
  <c r="CK73" i="2" a="1"/>
  <c r="CJ72" i="2" a="1"/>
  <c r="CK72" i="2" a="1"/>
  <c r="CJ71" i="2" a="1"/>
  <c r="CK71" i="2" a="1"/>
  <c r="CJ70" i="2" a="1"/>
  <c r="CK70" i="2" a="1"/>
  <c r="CJ69" i="2" a="1"/>
  <c r="CK69" i="2" a="1"/>
  <c r="CJ68" i="2" a="1"/>
  <c r="CK68" i="2" a="1"/>
  <c r="CJ67" i="2" a="1"/>
  <c r="CK67" i="2" a="1"/>
  <c r="CJ66" i="2" a="1"/>
  <c r="CK66" i="2" a="1"/>
  <c r="CJ65" i="2" a="1"/>
  <c r="CK65" i="2" a="1"/>
  <c r="CJ64" i="2" a="1"/>
  <c r="CK64" i="2" a="1"/>
  <c r="CJ63" i="2" a="1"/>
  <c r="CK63" i="2" a="1"/>
  <c r="CJ62" i="2" a="1"/>
  <c r="CK62" i="2" a="1"/>
  <c r="CJ61" i="2" a="1"/>
  <c r="CK61" i="2" a="1"/>
  <c r="CJ60" i="2" a="1"/>
  <c r="CK60" i="2" a="1"/>
  <c r="CJ59" i="2" a="1"/>
  <c r="CK59" i="2" a="1"/>
  <c r="CJ58" i="2" a="1"/>
  <c r="CK58" i="2" a="1"/>
  <c r="CJ57" i="2" a="1"/>
  <c r="CK57" i="2" a="1"/>
  <c r="CJ56" i="2" a="1"/>
  <c r="CK56" i="2" a="1"/>
  <c r="CJ55" i="2" a="1"/>
  <c r="CK55" i="2" a="1"/>
  <c r="CJ54" i="2" a="1"/>
  <c r="CK54" i="2" a="1"/>
  <c r="CJ53" i="2" a="1"/>
  <c r="CK53" i="2" a="1"/>
  <c r="CJ52" i="2" a="1"/>
  <c r="CK52" i="2" a="1"/>
  <c r="CJ51" i="2" a="1"/>
  <c r="CK51" i="2" a="1"/>
  <c r="CJ50" i="2" a="1"/>
  <c r="CK50" i="2" a="1"/>
  <c r="CJ49" i="2" a="1"/>
  <c r="CK49" i="2" a="1"/>
  <c r="CJ48" i="2" a="1"/>
  <c r="CK48" i="2" a="1"/>
  <c r="CJ47" i="2" a="1"/>
  <c r="CK47" i="2" a="1"/>
  <c r="CJ46" i="2" a="1"/>
  <c r="CK46" i="2" a="1"/>
  <c r="CJ45" i="2" a="1"/>
  <c r="CK45" i="2" a="1"/>
  <c r="CJ44" i="2" a="1"/>
  <c r="CK44" i="2" a="1"/>
  <c r="CJ43" i="2" a="1"/>
  <c r="CK43" i="2" a="1"/>
  <c r="CJ42" i="2" a="1"/>
  <c r="CK42" i="2" a="1"/>
  <c r="CJ41" i="2" a="1"/>
  <c r="CK41" i="2" a="1"/>
  <c r="CJ40" i="2" a="1"/>
  <c r="CK40" i="2" a="1"/>
  <c r="CJ39" i="2" a="1"/>
  <c r="CK39" i="2" a="1"/>
  <c r="CJ38" i="2" a="1"/>
  <c r="CK38" i="2" a="1"/>
  <c r="CJ37" i="2" a="1"/>
  <c r="CK37" i="2" a="1"/>
  <c r="CJ36" i="2" a="1"/>
  <c r="CK36" i="2" a="1"/>
  <c r="CJ35" i="2" a="1"/>
  <c r="CK35" i="2" a="1"/>
  <c r="CJ34" i="2" a="1"/>
  <c r="CK34" i="2" a="1"/>
  <c r="CJ33" i="2" a="1"/>
  <c r="CK33" i="2" a="1"/>
  <c r="CJ32" i="2" a="1"/>
  <c r="CK32" i="2" a="1"/>
  <c r="CJ31" i="2" a="1"/>
  <c r="CK31" i="2" a="1"/>
  <c r="CJ30" i="2" a="1"/>
  <c r="CK30" i="2" a="1"/>
  <c r="CJ29" i="2" a="1"/>
  <c r="CK29" i="2" a="1"/>
  <c r="CJ28" i="2" a="1"/>
  <c r="CK28" i="2" a="1"/>
  <c r="CJ27" i="2" a="1"/>
  <c r="CK27" i="2" a="1"/>
  <c r="CJ26" i="2" a="1"/>
  <c r="CK26" i="2" a="1"/>
  <c r="CJ25" i="2" a="1"/>
  <c r="CK25" i="2" a="1"/>
  <c r="CJ24" i="2" a="1"/>
  <c r="CK24" i="2" a="1"/>
  <c r="CJ23" i="2" a="1"/>
  <c r="CK23" i="2" a="1"/>
  <c r="CJ22" i="2" a="1"/>
  <c r="CK22" i="2" a="1"/>
  <c r="CJ21" i="2" a="1"/>
  <c r="CK21" i="2" a="1"/>
  <c r="CJ20" i="2" a="1"/>
  <c r="CK20" i="2" a="1"/>
  <c r="CJ19" i="2" a="1"/>
  <c r="CK19" i="2" a="1"/>
  <c r="CJ18" i="2" a="1"/>
  <c r="CK18" i="2" a="1"/>
  <c r="CJ17" i="2" a="1"/>
  <c r="CK17" i="2" a="1"/>
  <c r="CJ16" i="2" a="1"/>
  <c r="CK16" i="2" a="1"/>
  <c r="CJ15" i="2" a="1"/>
  <c r="CK15" i="2" a="1"/>
  <c r="CJ14" i="2" a="1"/>
  <c r="CK14" i="2" a="1"/>
  <c r="CJ13" i="2" a="1"/>
  <c r="CK13" i="2" a="1"/>
  <c r="CJ12" i="2" a="1"/>
  <c r="CK12" i="2" a="1"/>
  <c r="CJ11" i="2" a="1"/>
  <c r="CK11" i="2" a="1"/>
  <c r="CJ10" i="2" a="1"/>
  <c r="CK10" i="2" a="1"/>
  <c r="CJ9" i="2" a="1"/>
  <c r="CK9" i="2" a="1"/>
  <c r="CJ8" i="2" a="1"/>
  <c r="CK8" i="2" a="1"/>
  <c r="AP3" i="15"/>
  <c r="AO3" i="15"/>
  <c r="AN3" i="15"/>
  <c r="AM3" i="15"/>
  <c r="AL3" i="15"/>
  <c r="AK3" i="15"/>
  <c r="AI3" i="15"/>
  <c r="AH3" i="15"/>
  <c r="AG3" i="15"/>
  <c r="AR55" i="15"/>
  <c r="AR56" i="15"/>
  <c r="AR57" i="15"/>
  <c r="AR58" i="15"/>
  <c r="AR59" i="15"/>
  <c r="AR60" i="15"/>
  <c r="AR61" i="15"/>
  <c r="AR62" i="15"/>
  <c r="AR63" i="15"/>
  <c r="AR64" i="15"/>
  <c r="AR65" i="15"/>
  <c r="AR66" i="15"/>
  <c r="AR67" i="15"/>
  <c r="AR68" i="15"/>
  <c r="AR69" i="15"/>
  <c r="AR70" i="15"/>
  <c r="AR71" i="15"/>
  <c r="AR77" i="15"/>
  <c r="AR78" i="15"/>
  <c r="AR79" i="15"/>
  <c r="AR80" i="15"/>
  <c r="AR81" i="15"/>
  <c r="AR82" i="15"/>
  <c r="AR83" i="15"/>
  <c r="AR120" i="15"/>
  <c r="AQ120" i="15"/>
  <c r="AR5" i="15"/>
  <c r="AR3" i="15" s="1"/>
  <c r="L3" i="15"/>
  <c r="AQ3" i="15"/>
  <c r="G2" i="15"/>
  <c r="H2" i="15"/>
  <c r="AC933" i="12"/>
  <c r="AC671" i="12"/>
  <c r="AC1498" i="12"/>
  <c r="AC1352" i="12"/>
  <c r="AM1477" i="12"/>
  <c r="AL1477" i="12"/>
  <c r="AK1477" i="12"/>
  <c r="AJ1477" i="12"/>
  <c r="AI1477" i="12"/>
  <c r="AA1477" i="12"/>
  <c r="Z1477" i="12"/>
  <c r="Y1477" i="12"/>
  <c r="X1477" i="12"/>
  <c r="W1477" i="12"/>
  <c r="V1477" i="12"/>
  <c r="U1477" i="12"/>
  <c r="T1477" i="12"/>
  <c r="S1477" i="12"/>
  <c r="R1477" i="12"/>
  <c r="Q1477" i="12"/>
  <c r="P1477" i="12"/>
  <c r="O1477" i="12"/>
  <c r="N1477" i="12"/>
  <c r="M1477" i="12"/>
  <c r="K1477" i="12"/>
  <c r="J1477" i="12"/>
  <c r="I1477" i="12"/>
  <c r="H1477" i="12"/>
  <c r="AM1357" i="12"/>
  <c r="AL1357" i="12"/>
  <c r="AK1357" i="12"/>
  <c r="AJ1357" i="12"/>
  <c r="AI1357" i="12"/>
  <c r="AA1357" i="12"/>
  <c r="Z1357" i="12"/>
  <c r="Y1357" i="12"/>
  <c r="X1357" i="12"/>
  <c r="W1357" i="12"/>
  <c r="V1357" i="12"/>
  <c r="U1357" i="12"/>
  <c r="T1357" i="12"/>
  <c r="S1357" i="12"/>
  <c r="R1357" i="12"/>
  <c r="Q1357" i="12"/>
  <c r="P1357" i="12"/>
  <c r="O1357" i="12"/>
  <c r="N1357" i="12"/>
  <c r="M1357" i="12"/>
  <c r="K1357" i="12"/>
  <c r="J1357" i="12"/>
  <c r="I1357" i="12"/>
  <c r="AM1219" i="12"/>
  <c r="AL1219" i="12"/>
  <c r="AK1219" i="12"/>
  <c r="AJ1219" i="12"/>
  <c r="AI1219" i="12"/>
  <c r="AA1219" i="12"/>
  <c r="Z1219" i="12"/>
  <c r="Y1219" i="12"/>
  <c r="X1219" i="12"/>
  <c r="W1219" i="12"/>
  <c r="V1219" i="12"/>
  <c r="U1219" i="12"/>
  <c r="T1219" i="12"/>
  <c r="S1219" i="12"/>
  <c r="R1219" i="12"/>
  <c r="Q1219" i="12"/>
  <c r="P1219" i="12"/>
  <c r="O1219" i="12"/>
  <c r="N1219" i="12"/>
  <c r="M1219" i="12"/>
  <c r="K1219" i="12"/>
  <c r="J1219" i="12"/>
  <c r="I1219" i="12"/>
  <c r="H1219" i="12"/>
  <c r="AJ843" i="12"/>
  <c r="AA843" i="12"/>
  <c r="U843" i="12"/>
  <c r="O843" i="12"/>
  <c r="M843" i="12"/>
  <c r="J843" i="12"/>
  <c r="AM843" i="12"/>
  <c r="V843" i="12"/>
  <c r="AL843" i="12"/>
  <c r="AI843" i="12"/>
  <c r="Y843" i="12"/>
  <c r="W843" i="12"/>
  <c r="T843" i="12"/>
  <c r="Q843" i="12"/>
  <c r="AK843" i="12"/>
  <c r="Z843" i="12"/>
  <c r="X843" i="12"/>
  <c r="S843" i="12"/>
  <c r="R843" i="12"/>
  <c r="P843" i="12"/>
  <c r="N843" i="12"/>
  <c r="K843" i="12"/>
  <c r="AC1358" i="12"/>
  <c r="AC1334" i="12"/>
  <c r="AC1337" i="12"/>
  <c r="AC1316" i="12"/>
  <c r="AC1279" i="12"/>
  <c r="AC1265" i="12"/>
  <c r="AC1260" i="12"/>
  <c r="C11" i="3"/>
  <c r="L843" i="12"/>
  <c r="AB843" i="12"/>
  <c r="AL1264" i="12"/>
  <c r="AM1264" i="12"/>
  <c r="AK1264" i="12"/>
  <c r="AB1264" i="12"/>
  <c r="L1264" i="12"/>
  <c r="I1116" i="12"/>
  <c r="G1116" i="12"/>
  <c r="F1116" i="12"/>
  <c r="H1116" i="12"/>
  <c r="M1094" i="12"/>
  <c r="H1094" i="12"/>
  <c r="J1094" i="12"/>
  <c r="I1094" i="12"/>
  <c r="K1094" i="12"/>
  <c r="F1094" i="12"/>
  <c r="G1094" i="12"/>
  <c r="K1095" i="12"/>
  <c r="N1095" i="12"/>
  <c r="I1095" i="12"/>
  <c r="M1095" i="12"/>
  <c r="J1095" i="12"/>
  <c r="H1095" i="12"/>
  <c r="G1095" i="12"/>
  <c r="F1095" i="12"/>
  <c r="L890" i="12"/>
  <c r="AB890" i="12"/>
  <c r="AB870" i="12"/>
  <c r="L870" i="12"/>
  <c r="AB873" i="12"/>
  <c r="L873" i="12"/>
  <c r="AB874" i="12"/>
  <c r="L874" i="12"/>
  <c r="AB880" i="12"/>
  <c r="L880" i="12"/>
  <c r="AB881" i="12"/>
  <c r="L881" i="12"/>
  <c r="AB856" i="12"/>
  <c r="L856" i="12"/>
  <c r="L857" i="12"/>
  <c r="AB857" i="12"/>
  <c r="L858" i="12"/>
  <c r="AB858" i="12"/>
  <c r="AB861" i="12"/>
  <c r="L861" i="12"/>
  <c r="AB862" i="12"/>
  <c r="L862" i="12"/>
  <c r="L863" i="12"/>
  <c r="AB863" i="12"/>
  <c r="AB864" i="12"/>
  <c r="L864" i="12"/>
  <c r="AB844" i="12"/>
  <c r="L844" i="12"/>
  <c r="L845" i="12"/>
  <c r="AB845" i="12"/>
  <c r="AB850" i="12"/>
  <c r="L850" i="12"/>
  <c r="L851" i="12"/>
  <c r="AB851" i="12"/>
  <c r="AB1402" i="12"/>
  <c r="L1402" i="12"/>
  <c r="H918" i="12"/>
  <c r="AB918" i="12"/>
  <c r="L918" i="12"/>
  <c r="I918" i="12"/>
  <c r="AB935" i="12"/>
  <c r="L935" i="12"/>
  <c r="L936" i="12"/>
  <c r="AB936" i="12"/>
  <c r="K936" i="12"/>
  <c r="L916" i="12"/>
  <c r="AB916" i="12"/>
  <c r="AB1061" i="12"/>
  <c r="L1061" i="12"/>
  <c r="Q956" i="12"/>
  <c r="T956" i="12"/>
  <c r="AB956" i="12"/>
  <c r="I956" i="12"/>
  <c r="L956" i="12"/>
  <c r="H956" i="12"/>
  <c r="G956" i="12"/>
  <c r="J956" i="12"/>
  <c r="F956" i="12"/>
  <c r="AC956" i="12" s="1"/>
  <c r="R956" i="12"/>
  <c r="S956" i="12"/>
  <c r="U956" i="12"/>
  <c r="P956" i="12"/>
  <c r="L930" i="12"/>
  <c r="K930" i="12"/>
  <c r="F930" i="12"/>
  <c r="M930" i="12"/>
  <c r="AB930" i="12"/>
  <c r="H930" i="12"/>
  <c r="G930" i="12"/>
  <c r="V942" i="12"/>
  <c r="AM942" i="12"/>
  <c r="AA942" i="12"/>
  <c r="AB942" i="12"/>
  <c r="Z942" i="12"/>
  <c r="U942" i="12"/>
  <c r="S942" i="12"/>
  <c r="Q942" i="12"/>
  <c r="AK942" i="12"/>
  <c r="X942" i="12"/>
  <c r="T942" i="12"/>
  <c r="R942" i="12"/>
  <c r="AL942" i="12"/>
  <c r="Y942" i="12"/>
  <c r="P942" i="12"/>
  <c r="N942" i="12"/>
  <c r="J942" i="12"/>
  <c r="M942" i="12"/>
  <c r="F942" i="12"/>
  <c r="AJ942" i="12"/>
  <c r="W942" i="12"/>
  <c r="O942" i="12"/>
  <c r="K942" i="12"/>
  <c r="I942" i="12"/>
  <c r="G942" i="12"/>
  <c r="AC942" i="12" s="1"/>
  <c r="L942" i="12"/>
  <c r="AI942" i="12"/>
  <c r="H942" i="12"/>
  <c r="L920" i="12"/>
  <c r="AB920" i="12"/>
  <c r="G941" i="12"/>
  <c r="F941" i="12"/>
  <c r="AC941" i="12" s="1"/>
  <c r="AB941" i="12"/>
  <c r="L941" i="12"/>
  <c r="L1053" i="12"/>
  <c r="AB1053" i="12"/>
  <c r="L977" i="12"/>
  <c r="AB977" i="12"/>
  <c r="G934" i="12"/>
  <c r="L934" i="12"/>
  <c r="F934" i="12"/>
  <c r="AC934" i="12" s="1"/>
  <c r="AB934" i="12"/>
  <c r="L868" i="12"/>
  <c r="AB868" i="12"/>
  <c r="F706" i="12"/>
  <c r="G706" i="12"/>
  <c r="H706" i="12"/>
  <c r="F713" i="12"/>
  <c r="G713" i="12"/>
  <c r="G689" i="12"/>
  <c r="H689" i="12"/>
  <c r="F689" i="12"/>
  <c r="AC689" i="12" s="1"/>
  <c r="F690" i="12"/>
  <c r="G690" i="12"/>
  <c r="F691" i="12"/>
  <c r="G691" i="12"/>
  <c r="F674" i="12"/>
  <c r="G674" i="12"/>
  <c r="L914" i="12"/>
  <c r="AB914" i="12"/>
  <c r="AC1512" i="12"/>
  <c r="AC1356" i="12"/>
  <c r="AC1146" i="12"/>
  <c r="AC937" i="12"/>
  <c r="AC1348" i="12"/>
  <c r="AC1043" i="12"/>
  <c r="BH6" i="2" a="1"/>
  <c r="AV6" i="2" a="1"/>
  <c r="AS6" i="2" a="1"/>
  <c r="AR6" i="2" a="1"/>
  <c r="CI6" i="2" s="1"/>
  <c r="AN6" i="2" a="1"/>
  <c r="CF6" i="2" a="1"/>
  <c r="AO6" i="2" a="1"/>
  <c r="AC1461" i="12"/>
  <c r="AC958" i="12"/>
  <c r="AC712" i="12"/>
  <c r="AC915" i="12"/>
  <c r="AC980" i="12"/>
  <c r="AB807" i="12"/>
  <c r="L807" i="12"/>
  <c r="CH5" i="2" a="1"/>
  <c r="AB7" i="13"/>
  <c r="CB5" i="2" a="1"/>
  <c r="CH7" i="2" a="1"/>
  <c r="CB7" i="2" a="1"/>
  <c r="AB8" i="13"/>
  <c r="CH302" i="2" a="1"/>
  <c r="AB303" i="13"/>
  <c r="CB302" i="2" a="1"/>
  <c r="CH301" i="2" a="1"/>
  <c r="CB301" i="2" a="1"/>
  <c r="AB302" i="13"/>
  <c r="CH300" i="2" a="1"/>
  <c r="AB301" i="13"/>
  <c r="CB300" i="2" a="1"/>
  <c r="CH299" i="2" a="1"/>
  <c r="AB300" i="13"/>
  <c r="CB299" i="2" a="1"/>
  <c r="CH298" i="2" a="1"/>
  <c r="CB298" i="2" a="1"/>
  <c r="AB299" i="13"/>
  <c r="CH297" i="2" a="1"/>
  <c r="CB297" i="2" a="1"/>
  <c r="AB298" i="13"/>
  <c r="CH296" i="2" a="1"/>
  <c r="CB296" i="2" a="1"/>
  <c r="AB297" i="13"/>
  <c r="CH295" i="2" a="1"/>
  <c r="CB295" i="2" a="1"/>
  <c r="AB296" i="13"/>
  <c r="CH294" i="2" a="1"/>
  <c r="CB294" i="2" a="1"/>
  <c r="AB295" i="13"/>
  <c r="CB293" i="2" a="1"/>
  <c r="AB294" i="13"/>
  <c r="CH293" i="2" a="1"/>
  <c r="CB292" i="2" a="1"/>
  <c r="AB293" i="13"/>
  <c r="CH292" i="2" a="1"/>
  <c r="CB291" i="2" a="1"/>
  <c r="AB292" i="13"/>
  <c r="CH291" i="2" a="1"/>
  <c r="CH290" i="2" a="1"/>
  <c r="AB291" i="13"/>
  <c r="CB290" i="2" a="1"/>
  <c r="CB289" i="2" a="1"/>
  <c r="CH289" i="2" a="1"/>
  <c r="AB290" i="13"/>
  <c r="CH288" i="2" a="1"/>
  <c r="AB289" i="13"/>
  <c r="CB288" i="2" a="1"/>
  <c r="CH287" i="2" a="1"/>
  <c r="AB288" i="13"/>
  <c r="CB287" i="2" a="1"/>
  <c r="CH286" i="2" a="1"/>
  <c r="CB286" i="2" a="1"/>
  <c r="AB287" i="13"/>
  <c r="CH285" i="2" a="1"/>
  <c r="CB285" i="2" a="1"/>
  <c r="AB286" i="13"/>
  <c r="CH284" i="2" a="1"/>
  <c r="CB284" i="2" a="1"/>
  <c r="AB285" i="13"/>
  <c r="CH283" i="2" a="1"/>
  <c r="CB283" i="2" a="1"/>
  <c r="AB284" i="13"/>
  <c r="CH282" i="2" a="1"/>
  <c r="CB282" i="2" a="1"/>
  <c r="AB283" i="13"/>
  <c r="CH281" i="2" a="1"/>
  <c r="CB281" i="2" a="1"/>
  <c r="AB282" i="13"/>
  <c r="CH280" i="2" a="1"/>
  <c r="CB280" i="2" a="1"/>
  <c r="AB281" i="13"/>
  <c r="CH279" i="2" a="1"/>
  <c r="CB279" i="2" a="1"/>
  <c r="AB280" i="13"/>
  <c r="AB279" i="13"/>
  <c r="CB278" i="2" a="1"/>
  <c r="CH278" i="2" a="1"/>
  <c r="CB277" i="2" a="1"/>
  <c r="AB278" i="13"/>
  <c r="CH277" i="2" a="1"/>
  <c r="CB276" i="2" a="1"/>
  <c r="AB277" i="13"/>
  <c r="CH276" i="2" a="1"/>
  <c r="CB275" i="2" a="1"/>
  <c r="AB276" i="13"/>
  <c r="CH275" i="2" a="1"/>
  <c r="CH274" i="2" a="1"/>
  <c r="CB274" i="2" a="1"/>
  <c r="AB275" i="13"/>
  <c r="CB273" i="2" a="1"/>
  <c r="AB274" i="13"/>
  <c r="CH273" i="2" a="1"/>
  <c r="CB272" i="2" a="1"/>
  <c r="AB273" i="13"/>
  <c r="CH272" i="2" a="1"/>
  <c r="CB271" i="2" a="1"/>
  <c r="CH271" i="2" a="1"/>
  <c r="AB272" i="13"/>
  <c r="CB270" i="2" a="1"/>
  <c r="CH270" i="2" a="1"/>
  <c r="AB271" i="13"/>
  <c r="AB270" i="13"/>
  <c r="CB269" i="2" a="1"/>
  <c r="CH269" i="2" a="1"/>
  <c r="AB269" i="13"/>
  <c r="CB268" i="2" a="1"/>
  <c r="CH268" i="2" a="1"/>
  <c r="CH267" i="2" a="1"/>
  <c r="CB267" i="2" a="1"/>
  <c r="AB268" i="13"/>
  <c r="CB266" i="2" a="1"/>
  <c r="CH266" i="2" a="1"/>
  <c r="AB267" i="13"/>
  <c r="CB265" i="2" a="1"/>
  <c r="CH265" i="2" a="1"/>
  <c r="AB266" i="13"/>
  <c r="CH264" i="2" a="1"/>
  <c r="AB265" i="13"/>
  <c r="CB264" i="2" a="1"/>
  <c r="CH263" i="2" a="1"/>
  <c r="CB263" i="2" a="1"/>
  <c r="AB264" i="13"/>
  <c r="CH262" i="2" a="1"/>
  <c r="CB262" i="2" a="1"/>
  <c r="AB263" i="13"/>
  <c r="CH261" i="2" a="1"/>
  <c r="CB261" i="2" a="1"/>
  <c r="AB262" i="13"/>
  <c r="CH260" i="2" a="1"/>
  <c r="CB260" i="2" a="1"/>
  <c r="AB261" i="13"/>
  <c r="CH259" i="2" a="1"/>
  <c r="CB259" i="2" a="1"/>
  <c r="AB260" i="13"/>
  <c r="CH258" i="2" a="1"/>
  <c r="AB259" i="13"/>
  <c r="CB258" i="2" a="1"/>
  <c r="CH257" i="2" a="1"/>
  <c r="CB257" i="2" a="1"/>
  <c r="AB258" i="13"/>
  <c r="CH256" i="2" a="1"/>
  <c r="AB257" i="13"/>
  <c r="CB256" i="2" a="1"/>
  <c r="CH255" i="2" a="1"/>
  <c r="AB256" i="13"/>
  <c r="CB255" i="2" a="1"/>
  <c r="CH254" i="2" a="1"/>
  <c r="AB255" i="13"/>
  <c r="CB254" i="2" a="1"/>
  <c r="AB254" i="13"/>
  <c r="CB253" i="2" a="1"/>
  <c r="CH253" i="2" a="1"/>
  <c r="CB252" i="2" a="1"/>
  <c r="CH252" i="2" a="1"/>
  <c r="AB253" i="13"/>
  <c r="AB252" i="13"/>
  <c r="CH251" i="2" a="1"/>
  <c r="CB251" i="2" a="1"/>
  <c r="CH250" i="2" a="1"/>
  <c r="CB250" i="2" a="1"/>
  <c r="AB251" i="13"/>
  <c r="AB250" i="13"/>
  <c r="CH249" i="2" a="1"/>
  <c r="CB249" i="2" a="1"/>
  <c r="CH248" i="2" a="1"/>
  <c r="CB248" i="2" a="1"/>
  <c r="AB249" i="13"/>
  <c r="CH247" i="2" a="1"/>
  <c r="AB248" i="13"/>
  <c r="CB247" i="2" a="1"/>
  <c r="CH246" i="2" a="1"/>
  <c r="CB246" i="2" a="1"/>
  <c r="AB247" i="13"/>
  <c r="CH245" i="2" a="1"/>
  <c r="AB246" i="13"/>
  <c r="CB245" i="2" a="1"/>
  <c r="CH244" i="2" a="1"/>
  <c r="AB245" i="13"/>
  <c r="CB244" i="2" a="1"/>
  <c r="CH243" i="2" a="1"/>
  <c r="AB244" i="13"/>
  <c r="CB243" i="2" a="1"/>
  <c r="CH242" i="2" a="1"/>
  <c r="CB242" i="2" a="1"/>
  <c r="AB243" i="13"/>
  <c r="CH241" i="2" a="1"/>
  <c r="CB241" i="2" a="1"/>
  <c r="AB242" i="13"/>
  <c r="CH240" i="2" a="1"/>
  <c r="CB240" i="2" a="1"/>
  <c r="AB241" i="13"/>
  <c r="CH239" i="2" a="1"/>
  <c r="AB240" i="13"/>
  <c r="CB239" i="2" a="1"/>
  <c r="CH238" i="2" a="1"/>
  <c r="AB239" i="13"/>
  <c r="CB238" i="2" a="1"/>
  <c r="CH237" i="2" a="1"/>
  <c r="AB238" i="13"/>
  <c r="CB237" i="2" a="1"/>
  <c r="CH236" i="2" a="1"/>
  <c r="AB237" i="13"/>
  <c r="CB236" i="2" a="1"/>
  <c r="CB235" i="2" a="1"/>
  <c r="AB236" i="13"/>
  <c r="CH235" i="2" a="1"/>
  <c r="AB235" i="13"/>
  <c r="CB234" i="2" a="1"/>
  <c r="CH234" i="2" a="1"/>
  <c r="AB234" i="13"/>
  <c r="CB233" i="2" a="1"/>
  <c r="CH233" i="2" a="1"/>
  <c r="AB233" i="13"/>
  <c r="CB232" i="2" a="1"/>
  <c r="CH232" i="2" a="1"/>
  <c r="CH231" i="2" a="1"/>
  <c r="AB232" i="13"/>
  <c r="CB231" i="2" a="1"/>
  <c r="CH230" i="2" a="1"/>
  <c r="AB231" i="13"/>
  <c r="CB230" i="2" a="1"/>
  <c r="CH229" i="2" a="1"/>
  <c r="AB230" i="13"/>
  <c r="CB229" i="2" a="1"/>
  <c r="AB229" i="13"/>
  <c r="CH228" i="2" a="1"/>
  <c r="CB228" i="2" a="1"/>
  <c r="AB228" i="13"/>
  <c r="CB227" i="2" a="1"/>
  <c r="CH227" i="2" a="1"/>
  <c r="CH226" i="2" a="1"/>
  <c r="AB227" i="13"/>
  <c r="CB226" i="2" a="1"/>
  <c r="CB225" i="2" a="1"/>
  <c r="AB226" i="13"/>
  <c r="CH225" i="2" a="1"/>
  <c r="CH224" i="2" a="1"/>
  <c r="CB224" i="2" a="1"/>
  <c r="AB225" i="13"/>
  <c r="CH223" i="2" a="1"/>
  <c r="CB223" i="2" a="1"/>
  <c r="AB224" i="13"/>
  <c r="CB222" i="2" a="1"/>
  <c r="AB223" i="13"/>
  <c r="CH222" i="2" a="1"/>
  <c r="CB221" i="2" a="1"/>
  <c r="CH221" i="2" a="1"/>
  <c r="AB222" i="13"/>
  <c r="AB221" i="13"/>
  <c r="CB220" i="2" a="1"/>
  <c r="CH220" i="2" a="1"/>
  <c r="CB219" i="2" a="1"/>
  <c r="AB220" i="13"/>
  <c r="CH219" i="2" a="1"/>
  <c r="AB219" i="13"/>
  <c r="CB218" i="2" a="1"/>
  <c r="CH218" i="2" a="1"/>
  <c r="CB217" i="2" a="1"/>
  <c r="AB218" i="13"/>
  <c r="CH217" i="2" a="1"/>
  <c r="AB217" i="13"/>
  <c r="CB216" i="2" a="1"/>
  <c r="CH216" i="2" a="1"/>
  <c r="AB216" i="13"/>
  <c r="CB215" i="2" a="1"/>
  <c r="CH215" i="2" a="1"/>
  <c r="CB214" i="2" a="1"/>
  <c r="CH214" i="2" a="1"/>
  <c r="AB215" i="13"/>
  <c r="CH213" i="2" a="1"/>
  <c r="CB213" i="2" a="1"/>
  <c r="AB214" i="13"/>
  <c r="AB213" i="13"/>
  <c r="CH212" i="2" a="1"/>
  <c r="CB212" i="2" a="1"/>
  <c r="CH211" i="2" a="1"/>
  <c r="AB212" i="13"/>
  <c r="CB211" i="2" a="1"/>
  <c r="CH210" i="2" a="1"/>
  <c r="AB211" i="13"/>
  <c r="CB210" i="2" a="1"/>
  <c r="CB209" i="2" a="1"/>
  <c r="CH209" i="2" a="1"/>
  <c r="AB210" i="13"/>
  <c r="CB208" i="2" a="1"/>
  <c r="CH208" i="2" a="1"/>
  <c r="AB209" i="13"/>
  <c r="CH207" i="2" a="1"/>
  <c r="CB207" i="2" a="1"/>
  <c r="AB208" i="13"/>
  <c r="CB206" i="2" a="1"/>
  <c r="CH206" i="2" a="1"/>
  <c r="AB207" i="13"/>
  <c r="CB205" i="2" a="1"/>
  <c r="CH205" i="2" a="1"/>
  <c r="AB206" i="13"/>
  <c r="CB204" i="2" a="1"/>
  <c r="CH204" i="2" a="1"/>
  <c r="AB205" i="13"/>
  <c r="CH203" i="2" a="1"/>
  <c r="CB203" i="2" a="1"/>
  <c r="AB204" i="13"/>
  <c r="CH202" i="2" a="1"/>
  <c r="CB202" i="2" a="1"/>
  <c r="AB203" i="13"/>
  <c r="AB202" i="13"/>
  <c r="CH201" i="2" a="1"/>
  <c r="CB201" i="2" a="1"/>
  <c r="CB200" i="2" a="1"/>
  <c r="CH200" i="2" a="1"/>
  <c r="AB201" i="13"/>
  <c r="AB200" i="13"/>
  <c r="CB199" i="2" a="1"/>
  <c r="CH199" i="2" a="1"/>
  <c r="CH198" i="2" a="1"/>
  <c r="CB198" i="2" a="1"/>
  <c r="AB199" i="13"/>
  <c r="CH197" i="2" a="1"/>
  <c r="CB197" i="2" a="1"/>
  <c r="AB198" i="13"/>
  <c r="CB196" i="2" a="1"/>
  <c r="CH196" i="2" a="1"/>
  <c r="AB197" i="13"/>
  <c r="CH195" i="2" a="1"/>
  <c r="CB195" i="2" a="1"/>
  <c r="AB196" i="13"/>
  <c r="CH194" i="2" a="1"/>
  <c r="CB194" i="2" a="1"/>
  <c r="AB195" i="13"/>
  <c r="CH193" i="2" a="1"/>
  <c r="CB193" i="2" a="1"/>
  <c r="AB194" i="13"/>
  <c r="CH192" i="2" a="1"/>
  <c r="CB192" i="2" a="1"/>
  <c r="AB193" i="13"/>
  <c r="CH191" i="2" a="1"/>
  <c r="AB192" i="13"/>
  <c r="CB191" i="2" a="1"/>
  <c r="CH190" i="2" a="1"/>
  <c r="CB190" i="2" a="1"/>
  <c r="AB191" i="13"/>
  <c r="CH189" i="2" a="1"/>
  <c r="AB190" i="13"/>
  <c r="CB189" i="2" a="1"/>
  <c r="CH188" i="2" a="1"/>
  <c r="AB189" i="13"/>
  <c r="CB188" i="2" a="1"/>
  <c r="CH187" i="2" a="1"/>
  <c r="CB187" i="2" a="1"/>
  <c r="AB188" i="13"/>
  <c r="CH186" i="2" a="1"/>
  <c r="AB187" i="13"/>
  <c r="CB186" i="2" a="1"/>
  <c r="CH185" i="2" a="1"/>
  <c r="CB185" i="2" a="1"/>
  <c r="AB186" i="13"/>
  <c r="CH184" i="2" a="1"/>
  <c r="AB185" i="13"/>
  <c r="CB184" i="2" a="1"/>
  <c r="CH183" i="2" a="1"/>
  <c r="AB184" i="13"/>
  <c r="CB183" i="2" a="1"/>
  <c r="CH182" i="2" a="1"/>
  <c r="AB183" i="13"/>
  <c r="CB182" i="2" a="1"/>
  <c r="CH181" i="2" a="1"/>
  <c r="AB182" i="13"/>
  <c r="CB181" i="2" a="1"/>
  <c r="CB180" i="2" a="1"/>
  <c r="AB181" i="13"/>
  <c r="CH180" i="2" a="1"/>
  <c r="AB180" i="13"/>
  <c r="CH179" i="2" a="1"/>
  <c r="CB179" i="2" a="1"/>
  <c r="CB178" i="2" a="1"/>
  <c r="AB179" i="13"/>
  <c r="CH178" i="2" a="1"/>
  <c r="CB177" i="2" a="1"/>
  <c r="CH177" i="2" a="1"/>
  <c r="AB178" i="13"/>
  <c r="CH176" i="2" a="1"/>
  <c r="CB176" i="2" a="1"/>
  <c r="AB177" i="13"/>
  <c r="CH175" i="2" a="1"/>
  <c r="AB176" i="13"/>
  <c r="CB175" i="2" a="1"/>
  <c r="CH174" i="2" a="1"/>
  <c r="CB174" i="2" a="1"/>
  <c r="AB175" i="13"/>
  <c r="CH173" i="2" a="1"/>
  <c r="CB173" i="2" a="1"/>
  <c r="AB174" i="13"/>
  <c r="CH172" i="2" a="1"/>
  <c r="AB173" i="13"/>
  <c r="CB172" i="2" a="1"/>
  <c r="CH171" i="2" a="1"/>
  <c r="AB172" i="13"/>
  <c r="CB171" i="2" a="1"/>
  <c r="CH170" i="2" a="1"/>
  <c r="AB171" i="13"/>
  <c r="CB170" i="2" a="1"/>
  <c r="CH169" i="2" a="1"/>
  <c r="AB170" i="13"/>
  <c r="CB169" i="2" a="1"/>
  <c r="CH168" i="2" a="1"/>
  <c r="AB169" i="13"/>
  <c r="CB168" i="2" a="1"/>
  <c r="CH167" i="2" a="1"/>
  <c r="AB168" i="13"/>
  <c r="CB167" i="2" a="1"/>
  <c r="CB166" i="2" a="1"/>
  <c r="AB167" i="13"/>
  <c r="CH166" i="2" a="1"/>
  <c r="CB165" i="2" a="1"/>
  <c r="CH165" i="2" a="1"/>
  <c r="AB166" i="13"/>
  <c r="CB164" i="2" a="1"/>
  <c r="CH164" i="2" a="1"/>
  <c r="AB165" i="13"/>
  <c r="CH163" i="2" a="1"/>
  <c r="CB163" i="2" a="1"/>
  <c r="AB164" i="13"/>
  <c r="CH162" i="2" a="1"/>
  <c r="AB163" i="13"/>
  <c r="CB162" i="2" a="1"/>
  <c r="CB161" i="2" a="1"/>
  <c r="CH161" i="2" a="1"/>
  <c r="AB162" i="13"/>
  <c r="AB161" i="13"/>
  <c r="CB160" i="2" a="1"/>
  <c r="CH160" i="2" a="1"/>
  <c r="CB159" i="2" a="1"/>
  <c r="AB160" i="13"/>
  <c r="CH159" i="2" a="1"/>
  <c r="AB159" i="13"/>
  <c r="CH158" i="2" a="1"/>
  <c r="CB158" i="2" a="1"/>
  <c r="AB158" i="13"/>
  <c r="CB157" i="2" a="1"/>
  <c r="CH157" i="2" a="1"/>
  <c r="CH156" i="2" a="1"/>
  <c r="AB157" i="13"/>
  <c r="CB156" i="2" a="1"/>
  <c r="CB155" i="2" a="1"/>
  <c r="AB156" i="13"/>
  <c r="CH155" i="2" a="1"/>
  <c r="CB154" i="2" a="1"/>
  <c r="CH154" i="2" a="1"/>
  <c r="AB155" i="13"/>
  <c r="CB153" i="2" a="1"/>
  <c r="CH153" i="2" a="1"/>
  <c r="AB154" i="13"/>
  <c r="CB152" i="2" a="1"/>
  <c r="CH152" i="2" a="1"/>
  <c r="AB153" i="13"/>
  <c r="CH151" i="2" a="1"/>
  <c r="AB152" i="13"/>
  <c r="CB151" i="2" a="1"/>
  <c r="CH150" i="2" a="1"/>
  <c r="CB150" i="2" a="1"/>
  <c r="AB151" i="13"/>
  <c r="CH149" i="2" a="1"/>
  <c r="CB149" i="2" a="1"/>
  <c r="AB150" i="13"/>
  <c r="AB149" i="13"/>
  <c r="CH148" i="2" a="1"/>
  <c r="CB148" i="2" a="1"/>
  <c r="AB148" i="13"/>
  <c r="CB147" i="2" a="1"/>
  <c r="CH147" i="2" a="1"/>
  <c r="AB147" i="13"/>
  <c r="CH146" i="2" a="1"/>
  <c r="CB146" i="2" a="1"/>
  <c r="AB146" i="13"/>
  <c r="CB145" i="2" a="1"/>
  <c r="CH145" i="2" a="1"/>
  <c r="CH144" i="2" a="1"/>
  <c r="AB145" i="13"/>
  <c r="CB144" i="2" a="1"/>
  <c r="CH143" i="2" a="1"/>
  <c r="AB144" i="13"/>
  <c r="CB143" i="2" a="1"/>
  <c r="AB143" i="13"/>
  <c r="CH142" i="2" a="1"/>
  <c r="CB142" i="2" a="1"/>
  <c r="CH141" i="2" a="1"/>
  <c r="AB142" i="13"/>
  <c r="CB141" i="2" a="1"/>
  <c r="CH140" i="2" a="1"/>
  <c r="AB141" i="13"/>
  <c r="CB140" i="2" a="1"/>
  <c r="CB139" i="2" a="1"/>
  <c r="CH139" i="2" a="1"/>
  <c r="AB140" i="13"/>
  <c r="CB138" i="2" a="1"/>
  <c r="AB139" i="13"/>
  <c r="CH138" i="2" a="1"/>
  <c r="CB137" i="2" a="1"/>
  <c r="CH137" i="2" a="1"/>
  <c r="AB138" i="13"/>
  <c r="AB137" i="13"/>
  <c r="CB136" i="2" a="1"/>
  <c r="CH136" i="2" a="1"/>
  <c r="AB136" i="13"/>
  <c r="CB135" i="2" a="1"/>
  <c r="CH135" i="2" a="1"/>
  <c r="AB135" i="13"/>
  <c r="CB134" i="2" a="1"/>
  <c r="CH134" i="2" a="1"/>
  <c r="AB134" i="13"/>
  <c r="CB133" i="2" a="1"/>
  <c r="CH133" i="2" a="1"/>
  <c r="AB133" i="13"/>
  <c r="CB132" i="2" a="1"/>
  <c r="CH132" i="2" a="1"/>
  <c r="CB131" i="2" a="1"/>
  <c r="CH131" i="2" a="1"/>
  <c r="AB132" i="13"/>
  <c r="CB130" i="2" a="1"/>
  <c r="CH130" i="2" a="1"/>
  <c r="AB131" i="13"/>
  <c r="AB130" i="13"/>
  <c r="CB129" i="2" a="1"/>
  <c r="CH129" i="2" a="1"/>
  <c r="CB128" i="2" a="1"/>
  <c r="CH128" i="2" a="1"/>
  <c r="AB129" i="13"/>
  <c r="CB127" i="2" a="1"/>
  <c r="AB128" i="13"/>
  <c r="CH127" i="2" a="1"/>
  <c r="CB126" i="2" a="1"/>
  <c r="CH126" i="2" a="1"/>
  <c r="AB127" i="13"/>
  <c r="CB125" i="2" a="1"/>
  <c r="CH125" i="2" a="1"/>
  <c r="AB126" i="13"/>
  <c r="CB124" i="2" a="1"/>
  <c r="CH124" i="2" a="1"/>
  <c r="AB125" i="13"/>
  <c r="CB123" i="2" a="1"/>
  <c r="AB124" i="13"/>
  <c r="CH123" i="2" a="1"/>
  <c r="CH122" i="2" a="1"/>
  <c r="AB123" i="13"/>
  <c r="CB122" i="2" a="1"/>
  <c r="CB121" i="2" a="1"/>
  <c r="CH121" i="2" a="1"/>
  <c r="AB122" i="13"/>
  <c r="CH120" i="2" a="1"/>
  <c r="AB121" i="13"/>
  <c r="CB120" i="2" a="1"/>
  <c r="CH119" i="2" a="1"/>
  <c r="AB120" i="13"/>
  <c r="CB119" i="2" a="1"/>
  <c r="CH118" i="2" a="1"/>
  <c r="AB119" i="13"/>
  <c r="CB118" i="2" a="1"/>
  <c r="CH117" i="2" a="1"/>
  <c r="AB118" i="13"/>
  <c r="CB117" i="2" a="1"/>
  <c r="CH116" i="2" a="1"/>
  <c r="AB117" i="13"/>
  <c r="CB116" i="2" a="1"/>
  <c r="CH115" i="2" a="1"/>
  <c r="AB116" i="13"/>
  <c r="CB115" i="2" a="1"/>
  <c r="CH114" i="2" a="1"/>
  <c r="AB115" i="13"/>
  <c r="CB114" i="2" a="1"/>
  <c r="CH113" i="2" a="1"/>
  <c r="AB114" i="13"/>
  <c r="CB113" i="2" a="1"/>
  <c r="CH112" i="2" a="1"/>
  <c r="AB113" i="13"/>
  <c r="CB112" i="2" a="1"/>
  <c r="CH111" i="2" a="1"/>
  <c r="AB112" i="13"/>
  <c r="CB111" i="2" a="1"/>
  <c r="CH110" i="2" a="1"/>
  <c r="AB111" i="13"/>
  <c r="CB110" i="2" a="1"/>
  <c r="CH109" i="2" a="1"/>
  <c r="CB109" i="2" a="1"/>
  <c r="AB110" i="13"/>
  <c r="CH108" i="2" a="1"/>
  <c r="CB108" i="2" a="1"/>
  <c r="AB109" i="13"/>
  <c r="CH107" i="2" a="1"/>
  <c r="CB107" i="2" a="1"/>
  <c r="AB108" i="13"/>
  <c r="CH106" i="2" a="1"/>
  <c r="AB107" i="13"/>
  <c r="CB106" i="2" a="1"/>
  <c r="CH105" i="2" a="1"/>
  <c r="AB106" i="13"/>
  <c r="CB105" i="2" a="1"/>
  <c r="CH104" i="2" a="1"/>
  <c r="AB105" i="13"/>
  <c r="CB104" i="2" a="1"/>
  <c r="CH103" i="2" a="1"/>
  <c r="AB104" i="13"/>
  <c r="CB103" i="2" a="1"/>
  <c r="CH102" i="2" a="1"/>
  <c r="CB102" i="2" a="1"/>
  <c r="AB103" i="13"/>
  <c r="CH101" i="2" a="1"/>
  <c r="AB102" i="13"/>
  <c r="CB101" i="2" a="1"/>
  <c r="CH100" i="2" a="1"/>
  <c r="AB101" i="13"/>
  <c r="CB100" i="2" a="1"/>
  <c r="AB100" i="13"/>
  <c r="CH99" i="2" a="1"/>
  <c r="CB99" i="2" a="1"/>
  <c r="AB99" i="13"/>
  <c r="CB98" i="2" a="1"/>
  <c r="CH98" i="2" a="1"/>
  <c r="AB98" i="13"/>
  <c r="CH97" i="2" a="1"/>
  <c r="CB97" i="2" a="1"/>
  <c r="AB97" i="13"/>
  <c r="CH96" i="2" a="1"/>
  <c r="CB96" i="2" a="1"/>
  <c r="AB96" i="13"/>
  <c r="CH95" i="2" a="1"/>
  <c r="CB95" i="2" a="1"/>
  <c r="CH94" i="2" a="1"/>
  <c r="CB94" i="2" a="1"/>
  <c r="AB95" i="13"/>
  <c r="CH93" i="2" a="1"/>
  <c r="CB93" i="2" a="1"/>
  <c r="AB94" i="13"/>
  <c r="CH92" i="2" a="1"/>
  <c r="AB93" i="13"/>
  <c r="CB92" i="2" a="1"/>
  <c r="AB92" i="13"/>
  <c r="CH91" i="2" a="1"/>
  <c r="CB91" i="2" a="1"/>
  <c r="CH90" i="2" a="1"/>
  <c r="AB91" i="13"/>
  <c r="CB90" i="2" a="1"/>
  <c r="AB90" i="13"/>
  <c r="CH89" i="2" a="1"/>
  <c r="CB89" i="2" a="1"/>
  <c r="CH88" i="2" a="1"/>
  <c r="CB88" i="2" a="1"/>
  <c r="AB89" i="13"/>
  <c r="AB88" i="13"/>
  <c r="CH87" i="2" a="1"/>
  <c r="CB87" i="2" a="1"/>
  <c r="CH86" i="2" a="1"/>
  <c r="AB87" i="13"/>
  <c r="CB86" i="2" a="1"/>
  <c r="AB86" i="13"/>
  <c r="CB85" i="2" a="1"/>
  <c r="CH85" i="2" a="1"/>
  <c r="AB85" i="13"/>
  <c r="CB84" i="2" a="1"/>
  <c r="CH84" i="2" a="1"/>
  <c r="CH83" i="2" a="1"/>
  <c r="CB83" i="2" a="1"/>
  <c r="AB84" i="13"/>
  <c r="CH82" i="2" a="1"/>
  <c r="AB83" i="13"/>
  <c r="CB82" i="2" a="1"/>
  <c r="AB82" i="13"/>
  <c r="CH81" i="2" a="1"/>
  <c r="CB81" i="2" a="1"/>
  <c r="AB81" i="13"/>
  <c r="CH80" i="2" a="1"/>
  <c r="CB80" i="2" a="1"/>
  <c r="AB80" i="13"/>
  <c r="CH79" i="2" a="1"/>
  <c r="CB79" i="2" a="1"/>
  <c r="AB79" i="13"/>
  <c r="CH78" i="2" a="1"/>
  <c r="CB78" i="2" a="1"/>
  <c r="CB77" i="2" a="1"/>
  <c r="AB78" i="13"/>
  <c r="CH77" i="2" a="1"/>
  <c r="CB76" i="2" a="1"/>
  <c r="AB77" i="13"/>
  <c r="CH76" i="2" a="1"/>
  <c r="CH75" i="2" a="1"/>
  <c r="CB75" i="2" a="1"/>
  <c r="AB76" i="13"/>
  <c r="CH74" i="2" a="1"/>
  <c r="AB75" i="13"/>
  <c r="CB74" i="2" a="1"/>
  <c r="AB74" i="13"/>
  <c r="CB73" i="2" a="1"/>
  <c r="CH73" i="2" a="1"/>
  <c r="CB72" i="2" a="1"/>
  <c r="CH72" i="2" a="1"/>
  <c r="AB73" i="13"/>
  <c r="CB71" i="2" a="1"/>
  <c r="CH71" i="2" a="1"/>
  <c r="AB72" i="13"/>
  <c r="CB70" i="2" a="1"/>
  <c r="AB71" i="13"/>
  <c r="CH70" i="2" a="1"/>
  <c r="CH69" i="2" a="1"/>
  <c r="AB70" i="13"/>
  <c r="CB69" i="2" a="1"/>
  <c r="CH68" i="2" a="1"/>
  <c r="AB69" i="13"/>
  <c r="CB68" i="2" a="1"/>
  <c r="CH67" i="2" a="1"/>
  <c r="AB68" i="13"/>
  <c r="CB67" i="2" a="1"/>
  <c r="CH66" i="2" a="1"/>
  <c r="AB67" i="13"/>
  <c r="CB66" i="2" a="1"/>
  <c r="AB66" i="13"/>
  <c r="CH65" i="2" a="1"/>
  <c r="CB65" i="2" a="1"/>
  <c r="CB64" i="2" a="1"/>
  <c r="CH64" i="2" a="1"/>
  <c r="AB65" i="13"/>
  <c r="CB63" i="2" a="1"/>
  <c r="CH63" i="2" a="1"/>
  <c r="AB64" i="13"/>
  <c r="CH62" i="2" a="1"/>
  <c r="CB62" i="2" a="1"/>
  <c r="AB63" i="13"/>
  <c r="CH61" i="2" a="1"/>
  <c r="CB61" i="2" a="1"/>
  <c r="AB62" i="13"/>
  <c r="CH60" i="2" a="1"/>
  <c r="AB61" i="13"/>
  <c r="CB60" i="2" a="1"/>
  <c r="CH59" i="2" a="1"/>
  <c r="AB60" i="13"/>
  <c r="CB59" i="2" a="1"/>
  <c r="AB59" i="13"/>
  <c r="CB58" i="2" a="1"/>
  <c r="CH58" i="2" a="1"/>
  <c r="AB58" i="13"/>
  <c r="CH57" i="2" a="1"/>
  <c r="CB57" i="2" a="1"/>
  <c r="CH56" i="2" a="1"/>
  <c r="CB56" i="2" a="1"/>
  <c r="AB57" i="13"/>
  <c r="AB56" i="13"/>
  <c r="CH55" i="2" a="1"/>
  <c r="CB55" i="2" a="1"/>
  <c r="CH54" i="2" a="1"/>
  <c r="CB54" i="2" a="1"/>
  <c r="AB55" i="13"/>
  <c r="CB53" i="2" a="1"/>
  <c r="AB54" i="13"/>
  <c r="CH53" i="2" a="1"/>
  <c r="CB52" i="2" a="1"/>
  <c r="AB53" i="13"/>
  <c r="CH52" i="2" a="1"/>
  <c r="AB52" i="13"/>
  <c r="CH51" i="2" a="1"/>
  <c r="CB51" i="2" a="1"/>
  <c r="CH50" i="2" a="1"/>
  <c r="CB50" i="2" a="1"/>
  <c r="AB51" i="13"/>
  <c r="CH49" i="2" a="1"/>
  <c r="CB49" i="2" a="1"/>
  <c r="AB50" i="13"/>
  <c r="AB49" i="13"/>
  <c r="CH48" i="2" a="1"/>
  <c r="CB48" i="2" a="1"/>
  <c r="AB48" i="13"/>
  <c r="CH47" i="2" a="1"/>
  <c r="CB47" i="2" a="1"/>
  <c r="AB47" i="13"/>
  <c r="CB46" i="2" a="1"/>
  <c r="CH46" i="2" a="1"/>
  <c r="AB46" i="13"/>
  <c r="CH45" i="2" a="1"/>
  <c r="CB45" i="2" a="1"/>
  <c r="AB45" i="13"/>
  <c r="CB44" i="2" a="1"/>
  <c r="CH44" i="2" a="1"/>
  <c r="CH43" i="2" a="1"/>
  <c r="AB44" i="13"/>
  <c r="CB43" i="2" a="1"/>
  <c r="AB43" i="13"/>
  <c r="CH42" i="2" a="1"/>
  <c r="CB42" i="2" a="1"/>
  <c r="AB42" i="13"/>
  <c r="CH41" i="2" a="1"/>
  <c r="CB41" i="2" a="1"/>
  <c r="CH40" i="2" a="1"/>
  <c r="AB41" i="13"/>
  <c r="CB40" i="2" a="1"/>
  <c r="CH39" i="2" a="1"/>
  <c r="AB40" i="13"/>
  <c r="CB39" i="2" a="1"/>
  <c r="CH38" i="2" a="1"/>
  <c r="AB39" i="13"/>
  <c r="CB38" i="2" a="1"/>
  <c r="CH37" i="2" a="1"/>
  <c r="AB38" i="13"/>
  <c r="CB37" i="2" a="1"/>
  <c r="CH36" i="2" a="1"/>
  <c r="CB36" i="2" a="1"/>
  <c r="AB37" i="13"/>
  <c r="AB36" i="13"/>
  <c r="CB35" i="2" a="1"/>
  <c r="CH35" i="2" a="1"/>
  <c r="CH34" i="2" a="1"/>
  <c r="AB35" i="13"/>
  <c r="CB34" i="2" a="1"/>
  <c r="CH33" i="2" a="1"/>
  <c r="CB33" i="2" a="1"/>
  <c r="AB34" i="13"/>
  <c r="AB33" i="13"/>
  <c r="CH32" i="2" a="1"/>
  <c r="CB32" i="2" a="1"/>
  <c r="CH31" i="2" a="1"/>
  <c r="CB31" i="2" a="1"/>
  <c r="AB32" i="13"/>
  <c r="CH30" i="2" a="1"/>
  <c r="AB31" i="13"/>
  <c r="CB30" i="2" a="1"/>
  <c r="CH29" i="2" a="1"/>
  <c r="AB30" i="13"/>
  <c r="CB29" i="2" a="1"/>
  <c r="CH28" i="2" a="1"/>
  <c r="CB28" i="2" a="1"/>
  <c r="AB29" i="13"/>
  <c r="CH27" i="2" a="1"/>
  <c r="AB28" i="13"/>
  <c r="CB27" i="2" a="1"/>
  <c r="CH26" i="2" a="1"/>
  <c r="AB27" i="13"/>
  <c r="CB26" i="2" a="1"/>
  <c r="CH25" i="2" a="1"/>
  <c r="AB26" i="13"/>
  <c r="CB25" i="2" a="1"/>
  <c r="CH24" i="2" a="1"/>
  <c r="AB25" i="13"/>
  <c r="CB24" i="2" a="1"/>
  <c r="CH23" i="2" a="1"/>
  <c r="AB24" i="13"/>
  <c r="CB23" i="2" a="1"/>
  <c r="CH22" i="2" a="1"/>
  <c r="AB23" i="13"/>
  <c r="CB22" i="2" a="1"/>
  <c r="CH21" i="2" a="1"/>
  <c r="AB22" i="13"/>
  <c r="CB21" i="2" a="1"/>
  <c r="CH20" i="2" a="1"/>
  <c r="AB21" i="13"/>
  <c r="CB20" i="2" a="1"/>
  <c r="CH19" i="2" a="1"/>
  <c r="CB19" i="2" a="1"/>
  <c r="AB20" i="13"/>
  <c r="CH18" i="2" a="1"/>
  <c r="CB18" i="2" a="1"/>
  <c r="AB19" i="13"/>
  <c r="CH17" i="2" a="1"/>
  <c r="AB18" i="13"/>
  <c r="CB17" i="2" a="1"/>
  <c r="CH16" i="2" a="1"/>
  <c r="AB17" i="13"/>
  <c r="CB16" i="2" a="1"/>
  <c r="AB16" i="13"/>
  <c r="CB15" i="2" a="1"/>
  <c r="CH15" i="2" a="1"/>
  <c r="CH14" i="2" a="1"/>
  <c r="AB15" i="13"/>
  <c r="CB14" i="2" a="1"/>
  <c r="CH13" i="2" a="1"/>
  <c r="AB14" i="13"/>
  <c r="CB13" i="2" a="1"/>
  <c r="CH12" i="2" a="1"/>
  <c r="AB13" i="13"/>
  <c r="CB12" i="2" a="1"/>
  <c r="CH11" i="2" a="1"/>
  <c r="AB12" i="13"/>
  <c r="CB11" i="2" a="1"/>
  <c r="AB11" i="13"/>
  <c r="CH10" i="2" a="1"/>
  <c r="CB10" i="2" a="1"/>
  <c r="AB10" i="13"/>
  <c r="CH9" i="2" a="1"/>
  <c r="CB9" i="2" a="1"/>
  <c r="CH8" i="2" a="1"/>
  <c r="AB9" i="13"/>
  <c r="CB8" i="2" a="1"/>
  <c r="H4" i="13"/>
  <c r="AU6" i="13" a="1"/>
  <c r="AC1437" i="12"/>
  <c r="AC1058" i="12"/>
  <c r="AC830" i="12"/>
  <c r="AC1244" i="12"/>
  <c r="AC1436" i="12"/>
  <c r="AC982" i="12"/>
  <c r="AC1246" i="12"/>
  <c r="AC1185" i="12"/>
  <c r="AC693" i="12"/>
  <c r="AC1227" i="12"/>
  <c r="AC1232" i="12"/>
  <c r="AC1495" i="12"/>
  <c r="AC1030" i="12"/>
  <c r="AC1224" i="12"/>
  <c r="AC883" i="12"/>
  <c r="AC1496" i="12"/>
  <c r="AJ1264" i="12"/>
  <c r="AI1264" i="12"/>
  <c r="AA1264" i="12"/>
  <c r="Z1264" i="12"/>
  <c r="Y1264" i="12"/>
  <c r="X1264" i="12"/>
  <c r="W1264" i="12"/>
  <c r="V1264" i="12"/>
  <c r="U1264" i="12"/>
  <c r="T1264" i="12"/>
  <c r="S1264" i="12"/>
  <c r="R1264" i="12"/>
  <c r="Q1264" i="12"/>
  <c r="P1264" i="12"/>
  <c r="O1264" i="12"/>
  <c r="N1264" i="12"/>
  <c r="M1264" i="12"/>
  <c r="K1264" i="12"/>
  <c r="J1264" i="12"/>
  <c r="I1264" i="12"/>
  <c r="H1264" i="12"/>
  <c r="G1264" i="12"/>
  <c r="F1264" i="12"/>
  <c r="AC1264" i="12" s="1"/>
  <c r="AM1139" i="12"/>
  <c r="AL1139" i="12"/>
  <c r="AK1139" i="12"/>
  <c r="AJ1139" i="12"/>
  <c r="AI1139" i="12"/>
  <c r="AA1139" i="12"/>
  <c r="Z1139" i="12"/>
  <c r="Y1139" i="12"/>
  <c r="X1139" i="12"/>
  <c r="W1139" i="12"/>
  <c r="V1139" i="12"/>
  <c r="U1139" i="12"/>
  <c r="T1139" i="12"/>
  <c r="S1139" i="12"/>
  <c r="R1139" i="12"/>
  <c r="Q1139" i="12"/>
  <c r="P1139" i="12"/>
  <c r="O1139" i="12"/>
  <c r="N1139" i="12"/>
  <c r="M1139" i="12"/>
  <c r="K1139" i="12"/>
  <c r="J1139" i="12"/>
  <c r="I1139" i="12"/>
  <c r="H1139" i="12"/>
  <c r="G1139" i="12"/>
  <c r="F1139" i="12"/>
  <c r="AC1139" i="12" s="1"/>
  <c r="AL1082" i="12"/>
  <c r="U1082" i="12"/>
  <c r="N1082" i="12"/>
  <c r="I1082" i="12"/>
  <c r="AJ1082" i="12"/>
  <c r="AA1082" i="12"/>
  <c r="Y1082" i="12"/>
  <c r="S1082" i="12"/>
  <c r="AI1082" i="12"/>
  <c r="W1082" i="12"/>
  <c r="AM1082" i="12"/>
  <c r="AK1082" i="12"/>
  <c r="Z1082" i="12"/>
  <c r="X1082" i="12"/>
  <c r="V1082" i="12"/>
  <c r="T1082" i="12"/>
  <c r="R1082" i="12"/>
  <c r="Q1082" i="12"/>
  <c r="O1082" i="12"/>
  <c r="M1082" i="12"/>
  <c r="J1082" i="12"/>
  <c r="H1082" i="12"/>
  <c r="G1082" i="12"/>
  <c r="P1082" i="12"/>
  <c r="K1082" i="12"/>
  <c r="F1082" i="12"/>
  <c r="AC1082" i="12" s="1"/>
  <c r="AI1072" i="12"/>
  <c r="Y1072" i="12"/>
  <c r="T1072" i="12"/>
  <c r="O1072" i="12"/>
  <c r="M1072" i="12"/>
  <c r="AK1072" i="12"/>
  <c r="V1072" i="12"/>
  <c r="Q1072" i="12"/>
  <c r="N1072" i="12"/>
  <c r="J1072" i="12"/>
  <c r="H1072" i="12"/>
  <c r="AM1072" i="12"/>
  <c r="Z1072" i="12"/>
  <c r="X1072" i="12"/>
  <c r="R1072" i="12"/>
  <c r="K1072" i="12"/>
  <c r="AL1072" i="12"/>
  <c r="AJ1072" i="12"/>
  <c r="AA1072" i="12"/>
  <c r="W1072" i="12"/>
  <c r="U1072" i="12"/>
  <c r="S1072" i="12"/>
  <c r="P1072" i="12"/>
  <c r="I1072" i="12"/>
  <c r="AI983" i="12"/>
  <c r="T983" i="12"/>
  <c r="Q983" i="12"/>
  <c r="AA983" i="12"/>
  <c r="Y983" i="12"/>
  <c r="W983" i="12"/>
  <c r="AK983" i="12"/>
  <c r="X983" i="12"/>
  <c r="AL983" i="12"/>
  <c r="V983" i="12"/>
  <c r="R983" i="12"/>
  <c r="O983" i="12"/>
  <c r="AM983" i="12"/>
  <c r="AJ983" i="12"/>
  <c r="Z983" i="12"/>
  <c r="U983" i="12"/>
  <c r="S983" i="12"/>
  <c r="P983" i="12"/>
  <c r="N983" i="12"/>
  <c r="AK994" i="12"/>
  <c r="AA994" i="12"/>
  <c r="W994" i="12"/>
  <c r="U994" i="12"/>
  <c r="N994" i="12"/>
  <c r="AJ994" i="12"/>
  <c r="X994" i="12"/>
  <c r="Q994" i="12"/>
  <c r="AM994" i="12"/>
  <c r="Y994" i="12"/>
  <c r="T994" i="12"/>
  <c r="O994" i="12"/>
  <c r="Z994" i="12"/>
  <c r="P994" i="12"/>
  <c r="AL994" i="12"/>
  <c r="AI994" i="12"/>
  <c r="V994" i="12"/>
  <c r="R994" i="12"/>
  <c r="S994" i="12"/>
  <c r="M994" i="12"/>
  <c r="K994" i="12"/>
  <c r="AM969" i="12"/>
  <c r="Y969" i="12"/>
  <c r="S969" i="12"/>
  <c r="AA969" i="12"/>
  <c r="W969" i="12"/>
  <c r="AK969" i="12"/>
  <c r="AI969" i="12"/>
  <c r="Z969" i="12"/>
  <c r="X969" i="12"/>
  <c r="V969" i="12"/>
  <c r="R969" i="12"/>
  <c r="O969" i="12"/>
  <c r="AL969" i="12"/>
  <c r="Q969" i="12"/>
  <c r="AJ969" i="12"/>
  <c r="T969" i="12"/>
  <c r="U969" i="12"/>
  <c r="P969" i="12"/>
  <c r="AI970" i="12"/>
  <c r="W970" i="12"/>
  <c r="Q970" i="12"/>
  <c r="AM970" i="12"/>
  <c r="AL970" i="12"/>
  <c r="AA970" i="12"/>
  <c r="V970" i="12"/>
  <c r="S970" i="12"/>
  <c r="T970" i="12"/>
  <c r="O970" i="12"/>
  <c r="X970" i="12"/>
  <c r="P970" i="12"/>
  <c r="AK970" i="12"/>
  <c r="AJ970" i="12"/>
  <c r="Z970" i="12"/>
  <c r="Y970" i="12"/>
  <c r="U970" i="12"/>
  <c r="R970" i="12"/>
  <c r="N970" i="12"/>
  <c r="AA664" i="12"/>
  <c r="AI664" i="12"/>
  <c r="X664" i="12"/>
  <c r="T664" i="12"/>
  <c r="AK664" i="12"/>
  <c r="S664" i="12"/>
  <c r="Z664" i="12"/>
  <c r="AM664" i="12"/>
  <c r="AJ664" i="12"/>
  <c r="Y664" i="12"/>
  <c r="Q664" i="12"/>
  <c r="V664" i="12"/>
  <c r="AL664" i="12"/>
  <c r="W664" i="12"/>
  <c r="U664" i="12"/>
  <c r="Z652" i="12"/>
  <c r="AJ652" i="12"/>
  <c r="Y652" i="12"/>
  <c r="U652" i="12"/>
  <c r="W652" i="12"/>
  <c r="AM652" i="12"/>
  <c r="AI652" i="12"/>
  <c r="AK652" i="12"/>
  <c r="AA652" i="12"/>
  <c r="X652" i="12"/>
  <c r="T652" i="12"/>
  <c r="Q652" i="12"/>
  <c r="AL652" i="12"/>
  <c r="R652" i="12"/>
  <c r="V652" i="12"/>
  <c r="S652" i="12"/>
  <c r="AC1328" i="12"/>
  <c r="AC1305" i="12"/>
  <c r="AC1310" i="12"/>
  <c r="AC1297" i="12"/>
  <c r="AC1299" i="12"/>
  <c r="AC1302" i="12"/>
  <c r="AC863" i="12"/>
  <c r="AC1026" i="12"/>
  <c r="AC951" i="12"/>
  <c r="AB989" i="12"/>
  <c r="R989" i="12"/>
  <c r="AJ989" i="12"/>
  <c r="AA989" i="12"/>
  <c r="Z989" i="12"/>
  <c r="S989" i="12"/>
  <c r="X989" i="12"/>
  <c r="K989" i="12"/>
  <c r="AK989" i="12"/>
  <c r="V989" i="12"/>
  <c r="AI989" i="12"/>
  <c r="Q989" i="12"/>
  <c r="O989" i="12"/>
  <c r="J989" i="12"/>
  <c r="H989" i="12"/>
  <c r="F989" i="12"/>
  <c r="W989" i="12"/>
  <c r="U989" i="12"/>
  <c r="N989" i="12"/>
  <c r="AL989" i="12"/>
  <c r="G989" i="12"/>
  <c r="I989" i="12"/>
  <c r="AM989" i="12"/>
  <c r="Y989" i="12"/>
  <c r="P989" i="12"/>
  <c r="M989" i="12"/>
  <c r="T989" i="12"/>
  <c r="L989" i="12"/>
  <c r="K634" i="12"/>
  <c r="M634" i="12"/>
  <c r="N634" i="12"/>
  <c r="L634" i="12"/>
  <c r="AB634" i="12"/>
  <c r="W634" i="12"/>
  <c r="G634" i="12"/>
  <c r="H634" i="12"/>
  <c r="P634" i="12"/>
  <c r="U634" i="12"/>
  <c r="Y634" i="12"/>
  <c r="V634" i="12"/>
  <c r="T634" i="12"/>
  <c r="O634" i="12"/>
  <c r="R634" i="12"/>
  <c r="X634" i="12"/>
  <c r="Z634" i="12"/>
  <c r="AJ634" i="12"/>
  <c r="AL634" i="12"/>
  <c r="AI634" i="12"/>
  <c r="S634" i="12"/>
  <c r="F634" i="12"/>
  <c r="AK634" i="12"/>
  <c r="AM634" i="12"/>
  <c r="AC634" i="12"/>
  <c r="AA634" i="12"/>
  <c r="Q634" i="12"/>
  <c r="J634" i="12"/>
  <c r="I634" i="12"/>
  <c r="P628" i="12"/>
  <c r="U628" i="12"/>
  <c r="AJ628" i="12"/>
  <c r="X628" i="12"/>
  <c r="Q628" i="12"/>
  <c r="AM628" i="12"/>
  <c r="N628" i="12"/>
  <c r="T628" i="12"/>
  <c r="AA628" i="12"/>
  <c r="V628" i="12"/>
  <c r="S628" i="12"/>
  <c r="R628" i="12"/>
  <c r="O628" i="12"/>
  <c r="K628" i="12"/>
  <c r="G628" i="12"/>
  <c r="M628" i="12"/>
  <c r="L628" i="12"/>
  <c r="AB628" i="12"/>
  <c r="Y628" i="12"/>
  <c r="Z628" i="12"/>
  <c r="AK628" i="12"/>
  <c r="W628" i="12"/>
  <c r="AL628" i="12"/>
  <c r="AI628" i="12"/>
  <c r="I628" i="12"/>
  <c r="F628" i="12"/>
  <c r="H628" i="12"/>
  <c r="J628" i="12"/>
  <c r="AB1139" i="12"/>
  <c r="L1139" i="12"/>
  <c r="L1082" i="12"/>
  <c r="AB1082" i="12"/>
  <c r="F1072" i="12"/>
  <c r="AB1072" i="12"/>
  <c r="G1072" i="12"/>
  <c r="L1072" i="12"/>
  <c r="F983" i="12"/>
  <c r="H983" i="12"/>
  <c r="I983" i="12"/>
  <c r="K983" i="12"/>
  <c r="M983" i="12"/>
  <c r="J983" i="12"/>
  <c r="AB983" i="12"/>
  <c r="L983" i="12"/>
  <c r="G983" i="12"/>
  <c r="L994" i="12"/>
  <c r="F994" i="12"/>
  <c r="H994" i="12"/>
  <c r="J994" i="12"/>
  <c r="I994" i="12"/>
  <c r="G994" i="12"/>
  <c r="AB994" i="12"/>
  <c r="N969" i="12"/>
  <c r="F969" i="12"/>
  <c r="G969" i="12"/>
  <c r="H969" i="12"/>
  <c r="I969" i="12"/>
  <c r="J969" i="12"/>
  <c r="M969" i="12"/>
  <c r="K969" i="12"/>
  <c r="AB969" i="12"/>
  <c r="L969" i="12"/>
  <c r="L970" i="12"/>
  <c r="G970" i="12"/>
  <c r="I970" i="12"/>
  <c r="H970" i="12"/>
  <c r="F970" i="12"/>
  <c r="AC970" i="12" s="1"/>
  <c r="J970" i="12"/>
  <c r="M970" i="12"/>
  <c r="K970" i="12"/>
  <c r="AB970" i="12"/>
  <c r="K664" i="12"/>
  <c r="I664" i="12"/>
  <c r="J664" i="12"/>
  <c r="F664" i="12"/>
  <c r="N664" i="12"/>
  <c r="H664" i="12"/>
  <c r="AB664" i="12"/>
  <c r="G664" i="12"/>
  <c r="AC664" i="12" s="1"/>
  <c r="P664" i="12"/>
  <c r="R664" i="12"/>
  <c r="L664" i="12"/>
  <c r="M664" i="12"/>
  <c r="O664" i="12"/>
  <c r="G652" i="12"/>
  <c r="N652" i="12"/>
  <c r="O652" i="12"/>
  <c r="P652" i="12"/>
  <c r="J652" i="12"/>
  <c r="AB652" i="12"/>
  <c r="L652" i="12"/>
  <c r="M652" i="12"/>
  <c r="K652" i="12"/>
  <c r="I652" i="12"/>
  <c r="H652" i="12"/>
  <c r="F652" i="12"/>
  <c r="AC652" i="12" s="1"/>
  <c r="Q954" i="12"/>
  <c r="U954" i="12"/>
  <c r="O954" i="12"/>
  <c r="AM954" i="12"/>
  <c r="AK954" i="12"/>
  <c r="W954" i="12"/>
  <c r="Y954" i="12"/>
  <c r="V954" i="12"/>
  <c r="AI954" i="12"/>
  <c r="T954" i="12"/>
  <c r="R954" i="12"/>
  <c r="P954" i="12"/>
  <c r="M954" i="12"/>
  <c r="K954" i="12"/>
  <c r="I954" i="12"/>
  <c r="AB954" i="12"/>
  <c r="Z954" i="12"/>
  <c r="H954" i="12"/>
  <c r="F954" i="12"/>
  <c r="S954" i="12"/>
  <c r="AJ954" i="12"/>
  <c r="G954" i="12"/>
  <c r="J954" i="12"/>
  <c r="N954" i="12"/>
  <c r="AL954" i="12"/>
  <c r="X954" i="12"/>
  <c r="AA954" i="12"/>
  <c r="L954" i="12"/>
  <c r="L479" i="12"/>
  <c r="AB479" i="12"/>
  <c r="L1055" i="12"/>
  <c r="AB1055" i="12"/>
  <c r="G1055" i="12"/>
  <c r="H1055" i="12"/>
  <c r="I1055" i="12"/>
  <c r="F1055" i="12"/>
  <c r="AC1055" i="12" s="1"/>
  <c r="G955" i="12"/>
  <c r="F955" i="12"/>
  <c r="AC955" i="12" s="1"/>
  <c r="M955" i="12"/>
  <c r="N955" i="12"/>
  <c r="P955" i="12"/>
  <c r="AB955" i="12"/>
  <c r="L955" i="12"/>
  <c r="P959" i="12"/>
  <c r="O959" i="12"/>
  <c r="M959" i="12"/>
  <c r="I959" i="12"/>
  <c r="J959" i="12"/>
  <c r="N959" i="12"/>
  <c r="AB959" i="12"/>
  <c r="L959" i="12"/>
  <c r="K959" i="12"/>
  <c r="N960" i="12"/>
  <c r="H960" i="12"/>
  <c r="G960" i="12"/>
  <c r="F960" i="12"/>
  <c r="L960" i="12"/>
  <c r="AB960" i="12"/>
  <c r="M960" i="12"/>
  <c r="N807" i="12"/>
  <c r="M807" i="12"/>
  <c r="K807" i="12"/>
  <c r="AB173" i="12"/>
  <c r="L173" i="12"/>
  <c r="L728" i="12"/>
  <c r="AB728" i="12"/>
  <c r="AB726" i="12"/>
  <c r="L726" i="12"/>
  <c r="L334" i="12"/>
  <c r="AB334" i="12"/>
  <c r="F1460" i="12"/>
  <c r="G1460" i="12"/>
  <c r="F1100" i="12"/>
  <c r="G1100" i="12"/>
  <c r="Y814" i="12"/>
  <c r="R814" i="12"/>
  <c r="T814" i="12"/>
  <c r="U814" i="12"/>
  <c r="V814" i="12"/>
  <c r="W814" i="12"/>
  <c r="S814" i="12"/>
  <c r="P814" i="12"/>
  <c r="AM814" i="12"/>
  <c r="Q814" i="12"/>
  <c r="X814" i="12"/>
  <c r="AL814" i="12"/>
  <c r="AJ814" i="12"/>
  <c r="AK814" i="12"/>
  <c r="AI814" i="12"/>
  <c r="AA814" i="12"/>
  <c r="Z814" i="12"/>
  <c r="J920" i="12"/>
  <c r="K920" i="12"/>
  <c r="J977" i="12"/>
  <c r="G977" i="12"/>
  <c r="AK977" i="12"/>
  <c r="AI977" i="12"/>
  <c r="Z977" i="12"/>
  <c r="S977" i="12"/>
  <c r="P977" i="12"/>
  <c r="H977" i="12"/>
  <c r="AM977" i="12"/>
  <c r="X977" i="12"/>
  <c r="U977" i="12"/>
  <c r="K977" i="12"/>
  <c r="M977" i="12"/>
  <c r="F977" i="12"/>
  <c r="AC977" i="12" s="1"/>
  <c r="N977" i="12"/>
  <c r="AL977" i="12"/>
  <c r="AJ977" i="12"/>
  <c r="AA977" i="12"/>
  <c r="Y977" i="12"/>
  <c r="W977" i="12"/>
  <c r="T977" i="12"/>
  <c r="Q977" i="12"/>
  <c r="O977" i="12"/>
  <c r="I977" i="12"/>
  <c r="V977" i="12"/>
  <c r="R977" i="12"/>
  <c r="AB203" i="12"/>
  <c r="L203" i="12"/>
  <c r="L177" i="12"/>
  <c r="AB177" i="12"/>
  <c r="AB491" i="12"/>
  <c r="L491" i="12"/>
  <c r="L498" i="12"/>
  <c r="AB498" i="12"/>
  <c r="L176" i="12"/>
  <c r="AB176" i="12"/>
  <c r="L160" i="12"/>
  <c r="AB160" i="12"/>
  <c r="AB974" i="12"/>
  <c r="L974" i="12"/>
  <c r="L527" i="12"/>
  <c r="AB527" i="12"/>
  <c r="AB507" i="12"/>
  <c r="L507" i="12"/>
  <c r="AB496" i="12"/>
  <c r="L496" i="12"/>
  <c r="AB502" i="12"/>
  <c r="L502" i="12"/>
  <c r="L971" i="12"/>
  <c r="AB971" i="12"/>
  <c r="AB973" i="12"/>
  <c r="L973" i="12"/>
  <c r="L535" i="12"/>
  <c r="AB535" i="12"/>
  <c r="L966" i="12"/>
  <c r="AB966" i="12"/>
  <c r="G945" i="12"/>
  <c r="AB945" i="12"/>
  <c r="N945" i="12"/>
  <c r="L945" i="12"/>
  <c r="P945" i="12"/>
  <c r="J945" i="12"/>
  <c r="AI945" i="12"/>
  <c r="U945" i="12"/>
  <c r="R945" i="12"/>
  <c r="Z945" i="12"/>
  <c r="F945" i="12"/>
  <c r="AC945" i="12" s="1"/>
  <c r="AL945" i="12"/>
  <c r="AA945" i="12"/>
  <c r="V945" i="12"/>
  <c r="Q945" i="12"/>
  <c r="I945" i="12"/>
  <c r="AM945" i="12"/>
  <c r="AK945" i="12"/>
  <c r="W945" i="12"/>
  <c r="S945" i="12"/>
  <c r="H945" i="12"/>
  <c r="AJ945" i="12"/>
  <c r="Y945" i="12"/>
  <c r="X945" i="12"/>
  <c r="T945" i="12"/>
  <c r="O945" i="12"/>
  <c r="M945" i="12"/>
  <c r="K945" i="12"/>
  <c r="AB533" i="12"/>
  <c r="L533" i="12"/>
  <c r="L526" i="12"/>
  <c r="AB526" i="12"/>
  <c r="L497" i="12"/>
  <c r="AB497" i="12"/>
  <c r="AB180" i="12"/>
  <c r="L180" i="12"/>
  <c r="L161" i="12"/>
  <c r="AB161" i="12"/>
  <c r="AB163" i="12"/>
  <c r="L163" i="12"/>
  <c r="AB575" i="12"/>
  <c r="L575" i="12"/>
  <c r="L577" i="12"/>
  <c r="AB577" i="12"/>
  <c r="L579" i="12"/>
  <c r="AB579" i="12"/>
  <c r="AB581" i="12"/>
  <c r="L581" i="12"/>
  <c r="AB585" i="12"/>
  <c r="L585" i="12"/>
  <c r="AB586" i="12"/>
  <c r="L586" i="12"/>
  <c r="AB561" i="12"/>
  <c r="L561" i="12"/>
  <c r="L562" i="12"/>
  <c r="AB562" i="12"/>
  <c r="L566" i="12"/>
  <c r="AB566" i="12"/>
  <c r="L574" i="12"/>
  <c r="AB574" i="12"/>
  <c r="L198" i="12"/>
  <c r="AB198" i="12"/>
  <c r="AB175" i="12"/>
  <c r="L175" i="12"/>
  <c r="AB179" i="12"/>
  <c r="L179" i="12"/>
  <c r="AB194" i="12"/>
  <c r="L194" i="12"/>
  <c r="AB204" i="12"/>
  <c r="L204" i="12"/>
  <c r="AK1055" i="12"/>
  <c r="T1055" i="12"/>
  <c r="AL1055" i="12"/>
  <c r="AI1055" i="12"/>
  <c r="X1055" i="12"/>
  <c r="S1055" i="12"/>
  <c r="Z1055" i="12"/>
  <c r="W1055" i="12"/>
  <c r="Q1055" i="12"/>
  <c r="N1055" i="12"/>
  <c r="K1055" i="12"/>
  <c r="AM1055" i="12"/>
  <c r="AA1055" i="12"/>
  <c r="Y1055" i="12"/>
  <c r="V1055" i="12"/>
  <c r="R1055" i="12"/>
  <c r="P1055" i="12"/>
  <c r="M1055" i="12"/>
  <c r="AJ1055" i="12"/>
  <c r="U1055" i="12"/>
  <c r="O1055" i="12"/>
  <c r="J1055" i="12"/>
  <c r="AJ955" i="12"/>
  <c r="Y955" i="12"/>
  <c r="T955" i="12"/>
  <c r="O955" i="12"/>
  <c r="AK955" i="12"/>
  <c r="AA955" i="12"/>
  <c r="S955" i="12"/>
  <c r="AI955" i="12"/>
  <c r="X955" i="12"/>
  <c r="V955" i="12"/>
  <c r="AM955" i="12"/>
  <c r="Z955" i="12"/>
  <c r="W955" i="12"/>
  <c r="Q955" i="12"/>
  <c r="AL955" i="12"/>
  <c r="U955" i="12"/>
  <c r="R955" i="12"/>
  <c r="AL959" i="12"/>
  <c r="AI959" i="12"/>
  <c r="X959" i="12"/>
  <c r="AA959" i="12"/>
  <c r="W959" i="12"/>
  <c r="T959" i="12"/>
  <c r="AK959" i="12"/>
  <c r="Z959" i="12"/>
  <c r="U959" i="12"/>
  <c r="Q959" i="12"/>
  <c r="AJ959" i="12"/>
  <c r="Y959" i="12"/>
  <c r="R959" i="12"/>
  <c r="AM959" i="12"/>
  <c r="V959" i="12"/>
  <c r="S959" i="12"/>
  <c r="AA960" i="12"/>
  <c r="X960" i="12"/>
  <c r="T960" i="12"/>
  <c r="Q960" i="12"/>
  <c r="AJ960" i="12"/>
  <c r="AK960" i="12"/>
  <c r="Z960" i="12"/>
  <c r="V960" i="12"/>
  <c r="S960" i="12"/>
  <c r="P960" i="12"/>
  <c r="AL960" i="12"/>
  <c r="Y960" i="12"/>
  <c r="AM960" i="12"/>
  <c r="AI960" i="12"/>
  <c r="W960" i="12"/>
  <c r="U960" i="12"/>
  <c r="R960" i="12"/>
  <c r="O960" i="12"/>
  <c r="AM807" i="12"/>
  <c r="AL807" i="12"/>
  <c r="AK807" i="12"/>
  <c r="AJ807" i="12"/>
  <c r="AI807" i="12"/>
  <c r="AA807" i="12"/>
  <c r="Z807" i="12"/>
  <c r="Y807" i="12"/>
  <c r="X807" i="12"/>
  <c r="W807" i="12"/>
  <c r="V807" i="12"/>
  <c r="U807" i="12"/>
  <c r="T807" i="12"/>
  <c r="S807" i="12"/>
  <c r="R807" i="12"/>
  <c r="Q807" i="12"/>
  <c r="P807" i="12"/>
  <c r="O807" i="12"/>
  <c r="AC1472" i="12"/>
  <c r="AC1099" i="12"/>
  <c r="AC1059" i="12"/>
  <c r="AC1216" i="12"/>
  <c r="AC1194" i="12"/>
  <c r="AC840" i="12"/>
  <c r="J955" i="12"/>
  <c r="K955" i="12"/>
  <c r="I955" i="12"/>
  <c r="H955" i="12"/>
  <c r="H959" i="12"/>
  <c r="F959" i="12"/>
  <c r="G959" i="12"/>
  <c r="J960" i="12"/>
  <c r="K960" i="12"/>
  <c r="I960" i="12"/>
  <c r="H807" i="12"/>
  <c r="J807" i="12"/>
  <c r="I807" i="12"/>
  <c r="F807" i="12"/>
  <c r="G807" i="12"/>
  <c r="O726" i="12"/>
  <c r="Y726" i="12"/>
  <c r="R726" i="12"/>
  <c r="P726" i="12"/>
  <c r="M726" i="12"/>
  <c r="AM726" i="12"/>
  <c r="H726" i="12"/>
  <c r="AI726" i="12"/>
  <c r="X726" i="12"/>
  <c r="V726" i="12"/>
  <c r="Q726" i="12"/>
  <c r="U726" i="12"/>
  <c r="F726" i="12"/>
  <c r="AL726" i="12"/>
  <c r="T726" i="12"/>
  <c r="AA726" i="12"/>
  <c r="N726" i="12"/>
  <c r="K726" i="12"/>
  <c r="W726" i="12"/>
  <c r="J726" i="12"/>
  <c r="AK726" i="12"/>
  <c r="AJ726" i="12"/>
  <c r="S726" i="12"/>
  <c r="Z726" i="12"/>
  <c r="L1116" i="12"/>
  <c r="AB1116" i="12"/>
  <c r="AB1119" i="12"/>
  <c r="L1119" i="12"/>
  <c r="AB1094" i="12"/>
  <c r="L1094" i="12"/>
  <c r="AB1095" i="12"/>
  <c r="L1095" i="12"/>
  <c r="AB1100" i="12"/>
  <c r="L1100" i="12"/>
  <c r="L1102" i="12"/>
  <c r="AB1102" i="12"/>
  <c r="L1084" i="12"/>
  <c r="AB1084" i="12"/>
  <c r="L1086" i="12"/>
  <c r="AB1086" i="12"/>
  <c r="AB1087" i="12"/>
  <c r="L1087" i="12"/>
  <c r="L1088" i="12"/>
  <c r="AB1088" i="12"/>
  <c r="AB1091" i="12"/>
  <c r="L1091" i="12"/>
  <c r="F809" i="12"/>
  <c r="G809" i="12"/>
  <c r="H809" i="12"/>
  <c r="H811" i="12"/>
  <c r="F811" i="12"/>
  <c r="I811" i="12"/>
  <c r="G811" i="12"/>
  <c r="K811" i="12"/>
  <c r="J811" i="12"/>
  <c r="G786" i="12"/>
  <c r="H786" i="12"/>
  <c r="I786" i="12"/>
  <c r="F786" i="12"/>
  <c r="AC786" i="12" s="1"/>
  <c r="N793" i="12"/>
  <c r="G793" i="12"/>
  <c r="M793" i="12"/>
  <c r="H793" i="12"/>
  <c r="K793" i="12"/>
  <c r="F793" i="12"/>
  <c r="AC793" i="12" s="1"/>
  <c r="O793" i="12"/>
  <c r="J793" i="12"/>
  <c r="I793" i="12"/>
  <c r="J739" i="12"/>
  <c r="I739" i="12"/>
  <c r="K739" i="12"/>
  <c r="X685" i="12"/>
  <c r="W685" i="12"/>
  <c r="L685" i="12"/>
  <c r="AB685" i="12"/>
  <c r="M638" i="12"/>
  <c r="K638" i="12"/>
  <c r="AB677" i="12"/>
  <c r="L677" i="12"/>
  <c r="AB653" i="12"/>
  <c r="L653" i="12"/>
  <c r="K941" i="12"/>
  <c r="AL941" i="12"/>
  <c r="S941" i="12"/>
  <c r="V941" i="12"/>
  <c r="O941" i="12"/>
  <c r="H941" i="12"/>
  <c r="AI941" i="12"/>
  <c r="M941" i="12"/>
  <c r="T941" i="12"/>
  <c r="AJ941" i="12"/>
  <c r="Y941" i="12"/>
  <c r="R941" i="12"/>
  <c r="P941" i="12"/>
  <c r="I941" i="12"/>
  <c r="AA941" i="12"/>
  <c r="W941" i="12"/>
  <c r="U941" i="12"/>
  <c r="Q941" i="12"/>
  <c r="N941" i="12"/>
  <c r="J941" i="12"/>
  <c r="AM941" i="12"/>
  <c r="AK941" i="12"/>
  <c r="Z941" i="12"/>
  <c r="X941" i="12"/>
  <c r="L663" i="12"/>
  <c r="AB663" i="12"/>
  <c r="W934" i="12"/>
  <c r="AM934" i="12"/>
  <c r="AK934" i="12"/>
  <c r="X934" i="12"/>
  <c r="O934" i="12"/>
  <c r="J934" i="12"/>
  <c r="AI934" i="12"/>
  <c r="Z934" i="12"/>
  <c r="U934" i="12"/>
  <c r="AL934" i="12"/>
  <c r="V934" i="12"/>
  <c r="R934" i="12"/>
  <c r="M934" i="12"/>
  <c r="K934" i="12"/>
  <c r="AA934" i="12"/>
  <c r="S934" i="12"/>
  <c r="H934" i="12"/>
  <c r="Q934" i="12"/>
  <c r="AJ934" i="12"/>
  <c r="Y934" i="12"/>
  <c r="T934" i="12"/>
  <c r="P934" i="12"/>
  <c r="I934" i="12"/>
  <c r="N934" i="12"/>
  <c r="L657" i="12"/>
  <c r="AB657" i="12"/>
  <c r="AB658" i="12"/>
  <c r="L658" i="12"/>
  <c r="H771" i="12"/>
  <c r="F771" i="12"/>
  <c r="M771" i="12"/>
  <c r="G771" i="12"/>
  <c r="N771" i="12"/>
  <c r="J771" i="12"/>
  <c r="K771" i="12"/>
  <c r="I771" i="12"/>
  <c r="I774" i="12"/>
  <c r="H774" i="12"/>
  <c r="L675" i="12"/>
  <c r="AB675" i="12"/>
  <c r="L674" i="12"/>
  <c r="AB674" i="12"/>
  <c r="AB676" i="12"/>
  <c r="L676" i="12"/>
  <c r="AB660" i="12"/>
  <c r="L660" i="12"/>
  <c r="AB662" i="12"/>
  <c r="L662" i="12"/>
  <c r="AB667" i="12"/>
  <c r="L667" i="12"/>
  <c r="AB669" i="12"/>
  <c r="L669" i="12"/>
  <c r="L670" i="12"/>
  <c r="AB670" i="12"/>
  <c r="L672" i="12"/>
  <c r="AB672" i="12"/>
  <c r="AB646" i="12"/>
  <c r="L646" i="12"/>
  <c r="AB640" i="12"/>
  <c r="L640" i="12"/>
  <c r="AB644" i="12"/>
  <c r="L644" i="12"/>
  <c r="AL1460" i="12"/>
  <c r="AI1460" i="12"/>
  <c r="Y1460" i="12"/>
  <c r="V1460" i="12"/>
  <c r="R1460" i="12"/>
  <c r="Q1460" i="12"/>
  <c r="N1460" i="12"/>
  <c r="AM1460" i="12"/>
  <c r="AJ1460" i="12"/>
  <c r="Z1460" i="12"/>
  <c r="X1460" i="12"/>
  <c r="U1460" i="12"/>
  <c r="S1460" i="12"/>
  <c r="O1460" i="12"/>
  <c r="J1460" i="12"/>
  <c r="AK1460" i="12"/>
  <c r="AA1460" i="12"/>
  <c r="W1460" i="12"/>
  <c r="T1460" i="12"/>
  <c r="P1460" i="12"/>
  <c r="M1460" i="12"/>
  <c r="K1460" i="12"/>
  <c r="I1460" i="12"/>
  <c r="H1460" i="12"/>
  <c r="AJ1116" i="12"/>
  <c r="AI1116" i="12"/>
  <c r="X1116" i="12"/>
  <c r="V1116" i="12"/>
  <c r="N1116" i="12"/>
  <c r="Y1116" i="12"/>
  <c r="U1116" i="12"/>
  <c r="Q1116" i="12"/>
  <c r="K1116" i="12"/>
  <c r="AM1116" i="12"/>
  <c r="AK1116" i="12"/>
  <c r="AA1116" i="12"/>
  <c r="Z1116" i="12"/>
  <c r="W1116" i="12"/>
  <c r="T1116" i="12"/>
  <c r="R1116" i="12"/>
  <c r="P1116" i="12"/>
  <c r="J1116" i="12"/>
  <c r="AL1116" i="12"/>
  <c r="S1116" i="12"/>
  <c r="O1116" i="12"/>
  <c r="M1116" i="12"/>
  <c r="AK1119" i="12"/>
  <c r="AI1119" i="12"/>
  <c r="Y1119" i="12"/>
  <c r="P1119" i="12"/>
  <c r="K1119" i="12"/>
  <c r="I1119" i="12"/>
  <c r="Z1119" i="12"/>
  <c r="Q1119" i="12"/>
  <c r="O1119" i="12"/>
  <c r="J1119" i="12"/>
  <c r="AM1119" i="12"/>
  <c r="AJ1119" i="12"/>
  <c r="X1119" i="12"/>
  <c r="V1119" i="12"/>
  <c r="S1119" i="12"/>
  <c r="M1119" i="12"/>
  <c r="AL1119" i="12"/>
  <c r="AA1119" i="12"/>
  <c r="W1119" i="12"/>
  <c r="U1119" i="12"/>
  <c r="T1119" i="12"/>
  <c r="R1119" i="12"/>
  <c r="N1119" i="12"/>
  <c r="H1119" i="12"/>
  <c r="G1119" i="12"/>
  <c r="F1119" i="12"/>
  <c r="AC1119" i="12" s="1"/>
  <c r="AM1094" i="12"/>
  <c r="Y1094" i="12"/>
  <c r="U1094" i="12"/>
  <c r="S1094" i="12"/>
  <c r="O1094" i="12"/>
  <c r="AI1094" i="12"/>
  <c r="W1094" i="12"/>
  <c r="T1094" i="12"/>
  <c r="AK1094" i="12"/>
  <c r="AJ1094" i="12"/>
  <c r="AA1094" i="12"/>
  <c r="X1094" i="12"/>
  <c r="Q1094" i="12"/>
  <c r="AL1094" i="12"/>
  <c r="Z1094" i="12"/>
  <c r="V1094" i="12"/>
  <c r="R1094" i="12"/>
  <c r="P1094" i="12"/>
  <c r="N1094" i="12"/>
  <c r="AJ1095" i="12"/>
  <c r="Z1095" i="12"/>
  <c r="Q1095" i="12"/>
  <c r="O1095" i="12"/>
  <c r="AL1095" i="12"/>
  <c r="AM1095" i="12"/>
  <c r="AI1095" i="12"/>
  <c r="Y1095" i="12"/>
  <c r="AA1095" i="12"/>
  <c r="X1095" i="12"/>
  <c r="V1095" i="12"/>
  <c r="T1095" i="12"/>
  <c r="S1095" i="12"/>
  <c r="AK1095" i="12"/>
  <c r="W1095" i="12"/>
  <c r="U1095" i="12"/>
  <c r="R1095" i="12"/>
  <c r="P1095" i="12"/>
  <c r="AL1100" i="12"/>
  <c r="AJ1100" i="12"/>
  <c r="W1100" i="12"/>
  <c r="X1100" i="12"/>
  <c r="V1100" i="12"/>
  <c r="R1100" i="12"/>
  <c r="Q1100" i="12"/>
  <c r="O1100" i="12"/>
  <c r="K1100" i="12"/>
  <c r="H1100" i="12"/>
  <c r="AA1100" i="12"/>
  <c r="T1100" i="12"/>
  <c r="N1100" i="12"/>
  <c r="I1100" i="12"/>
  <c r="AM1100" i="12"/>
  <c r="AI1100" i="12"/>
  <c r="Y1100" i="12"/>
  <c r="S1100" i="12"/>
  <c r="P1100" i="12"/>
  <c r="AK1100" i="12"/>
  <c r="Z1100" i="12"/>
  <c r="U1100" i="12"/>
  <c r="M1100" i="12"/>
  <c r="J1100" i="12"/>
  <c r="AM1102" i="12"/>
  <c r="AL1102" i="12"/>
  <c r="AI1102" i="12"/>
  <c r="Z1102" i="12"/>
  <c r="X1102" i="12"/>
  <c r="U1102" i="12"/>
  <c r="S1102" i="12"/>
  <c r="Q1102" i="12"/>
  <c r="K1102" i="12"/>
  <c r="I1102" i="12"/>
  <c r="G1102" i="12"/>
  <c r="V1102" i="12"/>
  <c r="T1102" i="12"/>
  <c r="R1102" i="12"/>
  <c r="O1102" i="12"/>
  <c r="M1102" i="12"/>
  <c r="H1102" i="12"/>
  <c r="F1102" i="12"/>
  <c r="AC1102" i="12" s="1"/>
  <c r="AK1102" i="12"/>
  <c r="AA1102" i="12"/>
  <c r="AJ1102" i="12"/>
  <c r="Y1102" i="12"/>
  <c r="W1102" i="12"/>
  <c r="P1102" i="12"/>
  <c r="N1102" i="12"/>
  <c r="J1102" i="12"/>
  <c r="AM1084" i="12"/>
  <c r="AK1084" i="12"/>
  <c r="AA1084" i="12"/>
  <c r="Q1084" i="12"/>
  <c r="J1084" i="12"/>
  <c r="G1084" i="12"/>
  <c r="AI1084" i="12"/>
  <c r="W1084" i="12"/>
  <c r="S1084" i="12"/>
  <c r="N1084" i="12"/>
  <c r="AJ1084" i="12"/>
  <c r="Z1084" i="12"/>
  <c r="T1084" i="12"/>
  <c r="Y1084" i="12"/>
  <c r="U1084" i="12"/>
  <c r="O1084" i="12"/>
  <c r="M1084" i="12"/>
  <c r="AL1084" i="12"/>
  <c r="X1084" i="12"/>
  <c r="V1084" i="12"/>
  <c r="R1084" i="12"/>
  <c r="P1084" i="12"/>
  <c r="K1084" i="12"/>
  <c r="I1084" i="12"/>
  <c r="H1084" i="12"/>
  <c r="F1084" i="12"/>
  <c r="W1086" i="12"/>
  <c r="U1086" i="12"/>
  <c r="S1086" i="12"/>
  <c r="Q1086" i="12"/>
  <c r="M1086" i="12"/>
  <c r="J1086" i="12"/>
  <c r="H1086" i="12"/>
  <c r="F1086" i="12"/>
  <c r="T1086" i="12"/>
  <c r="P1086" i="12"/>
  <c r="N1086" i="12"/>
  <c r="K1086" i="12"/>
  <c r="X1086" i="12"/>
  <c r="V1086" i="12"/>
  <c r="R1086" i="12"/>
  <c r="O1086" i="12"/>
  <c r="I1086" i="12"/>
  <c r="G1086" i="12"/>
  <c r="AJ1087" i="12"/>
  <c r="Y1087" i="12"/>
  <c r="R1087" i="12"/>
  <c r="AI1087" i="12"/>
  <c r="W1087" i="12"/>
  <c r="S1087" i="12"/>
  <c r="O1087" i="12"/>
  <c r="Z1087" i="12"/>
  <c r="V1087" i="12"/>
  <c r="T1087" i="12"/>
  <c r="N1087" i="12"/>
  <c r="AM1087" i="12"/>
  <c r="AK1087" i="12"/>
  <c r="X1087" i="12"/>
  <c r="Q1087" i="12"/>
  <c r="M1087" i="12"/>
  <c r="K1087" i="12"/>
  <c r="I1087" i="12"/>
  <c r="H1087" i="12"/>
  <c r="F1087" i="12"/>
  <c r="AL1087" i="12"/>
  <c r="AA1087" i="12"/>
  <c r="U1087" i="12"/>
  <c r="P1087" i="12"/>
  <c r="J1087" i="12"/>
  <c r="G1087" i="12"/>
  <c r="AJ1088" i="12"/>
  <c r="AI1088" i="12"/>
  <c r="AA1088" i="12"/>
  <c r="Y1088" i="12"/>
  <c r="W1088" i="12"/>
  <c r="T1088" i="12"/>
  <c r="R1088" i="12"/>
  <c r="O1088" i="12"/>
  <c r="AM1088" i="12"/>
  <c r="AL1088" i="12"/>
  <c r="AK1088" i="12"/>
  <c r="Z1088" i="12"/>
  <c r="U1088" i="12"/>
  <c r="S1088" i="12"/>
  <c r="P1088" i="12"/>
  <c r="N1088" i="12"/>
  <c r="M1088" i="12"/>
  <c r="J1088" i="12"/>
  <c r="H1088" i="12"/>
  <c r="F1088" i="12"/>
  <c r="X1088" i="12"/>
  <c r="Q1088" i="12"/>
  <c r="V1088" i="12"/>
  <c r="K1088" i="12"/>
  <c r="I1088" i="12"/>
  <c r="G1088" i="12"/>
  <c r="AK1091" i="12"/>
  <c r="AI1091" i="12"/>
  <c r="AA1091" i="12"/>
  <c r="X1091" i="12"/>
  <c r="V1091" i="12"/>
  <c r="R1091" i="12"/>
  <c r="Q1091" i="12"/>
  <c r="I1091" i="12"/>
  <c r="H1091" i="12"/>
  <c r="F1091" i="12"/>
  <c r="AL1091" i="12"/>
  <c r="AJ1091" i="12"/>
  <c r="W1091" i="12"/>
  <c r="U1091" i="12"/>
  <c r="S1091" i="12"/>
  <c r="M1091" i="12"/>
  <c r="AM1091" i="12"/>
  <c r="Z1091" i="12"/>
  <c r="N1091" i="12"/>
  <c r="Y1091" i="12"/>
  <c r="P1091" i="12"/>
  <c r="T1091" i="12"/>
  <c r="O1091" i="12"/>
  <c r="K1091" i="12"/>
  <c r="J1091" i="12"/>
  <c r="G1091" i="12"/>
  <c r="AM1066" i="12"/>
  <c r="V1066" i="12"/>
  <c r="S1066" i="12"/>
  <c r="Q1066" i="12"/>
  <c r="M1066" i="12"/>
  <c r="J1066" i="12"/>
  <c r="AK1066" i="12"/>
  <c r="AJ1066" i="12"/>
  <c r="Y1066" i="12"/>
  <c r="W1066" i="12"/>
  <c r="U1066" i="12"/>
  <c r="P1066" i="12"/>
  <c r="N1066" i="12"/>
  <c r="K1066" i="12"/>
  <c r="Z1066" i="12"/>
  <c r="AL1066" i="12"/>
  <c r="AA1066" i="12"/>
  <c r="X1066" i="12"/>
  <c r="R1066" i="12"/>
  <c r="O1066" i="12"/>
  <c r="AI1066" i="12"/>
  <c r="T1066" i="12"/>
  <c r="I1066" i="12"/>
  <c r="H1066" i="12"/>
  <c r="G1066" i="12"/>
  <c r="F1066" i="12"/>
  <c r="AC1066" i="12" s="1"/>
  <c r="AL1068" i="12"/>
  <c r="V1068" i="12"/>
  <c r="P1068" i="12"/>
  <c r="X1068" i="12"/>
  <c r="R1068" i="12"/>
  <c r="K1068" i="12"/>
  <c r="H1068" i="12"/>
  <c r="Y1068" i="12"/>
  <c r="W1068" i="12"/>
  <c r="T1068" i="12"/>
  <c r="N1068" i="12"/>
  <c r="AK1068" i="12"/>
  <c r="AI1068" i="12"/>
  <c r="Z1068" i="12"/>
  <c r="Q1068" i="12"/>
  <c r="J1068" i="12"/>
  <c r="AM1068" i="12"/>
  <c r="AJ1068" i="12"/>
  <c r="AA1068" i="12"/>
  <c r="U1068" i="12"/>
  <c r="S1068" i="12"/>
  <c r="O1068" i="12"/>
  <c r="M1068" i="12"/>
  <c r="I1068" i="12"/>
  <c r="G1068" i="12"/>
  <c r="F1068" i="12"/>
  <c r="AA1070" i="12"/>
  <c r="X1070" i="12"/>
  <c r="V1070" i="12"/>
  <c r="AK1070" i="12"/>
  <c r="W1070" i="12"/>
  <c r="S1070" i="12"/>
  <c r="AJ1070" i="12"/>
  <c r="Y1070" i="12"/>
  <c r="U1070" i="12"/>
  <c r="Q1070" i="12"/>
  <c r="O1070" i="12"/>
  <c r="J1070" i="12"/>
  <c r="H1070" i="12"/>
  <c r="AM1070" i="12"/>
  <c r="P1070" i="12"/>
  <c r="AL1070" i="12"/>
  <c r="AI1070" i="12"/>
  <c r="Z1070" i="12"/>
  <c r="T1070" i="12"/>
  <c r="R1070" i="12"/>
  <c r="N1070" i="12"/>
  <c r="M1070" i="12"/>
  <c r="K1070" i="12"/>
  <c r="I1070" i="12"/>
  <c r="AL1073" i="12"/>
  <c r="AI1073" i="12"/>
  <c r="Y1073" i="12"/>
  <c r="T1073" i="12"/>
  <c r="AM1073" i="12"/>
  <c r="AJ1073" i="12"/>
  <c r="X1073" i="12"/>
  <c r="V1073" i="12"/>
  <c r="M1073" i="12"/>
  <c r="Z1073" i="12"/>
  <c r="U1073" i="12"/>
  <c r="S1073" i="12"/>
  <c r="Q1073" i="12"/>
  <c r="O1073" i="12"/>
  <c r="K1073" i="12"/>
  <c r="I1073" i="12"/>
  <c r="G1073" i="12"/>
  <c r="R1073" i="12"/>
  <c r="P1073" i="12"/>
  <c r="N1073" i="12"/>
  <c r="J1073" i="12"/>
  <c r="H1073" i="12"/>
  <c r="AK1073" i="12"/>
  <c r="AA1073" i="12"/>
  <c r="W1073" i="12"/>
  <c r="F1073" i="12"/>
  <c r="AI1074" i="12"/>
  <c r="R1074" i="12"/>
  <c r="G1074" i="12"/>
  <c r="AA1074" i="12"/>
  <c r="T1074" i="12"/>
  <c r="O1074" i="12"/>
  <c r="H1074" i="12"/>
  <c r="AJ1074" i="12"/>
  <c r="Z1074" i="12"/>
  <c r="X1074" i="12"/>
  <c r="V1074" i="12"/>
  <c r="N1074" i="12"/>
  <c r="M1074" i="12"/>
  <c r="K1074" i="12"/>
  <c r="I1074" i="12"/>
  <c r="AK1074" i="12"/>
  <c r="Y1074" i="12"/>
  <c r="U1074" i="12"/>
  <c r="Q1074" i="12"/>
  <c r="AM1074" i="12"/>
  <c r="AL1074" i="12"/>
  <c r="W1074" i="12"/>
  <c r="S1074" i="12"/>
  <c r="P1074" i="12"/>
  <c r="J1074" i="12"/>
  <c r="F1074" i="12"/>
  <c r="AC1074" i="12" s="1"/>
  <c r="AK1075" i="12"/>
  <c r="AA1075" i="12"/>
  <c r="Y1075" i="12"/>
  <c r="U1075" i="12"/>
  <c r="S1075" i="12"/>
  <c r="AL1075" i="12"/>
  <c r="AJ1075" i="12"/>
  <c r="Z1075" i="12"/>
  <c r="X1075" i="12"/>
  <c r="V1075" i="12"/>
  <c r="R1075" i="12"/>
  <c r="N1075" i="12"/>
  <c r="K1075" i="12"/>
  <c r="I1075" i="12"/>
  <c r="G1075" i="12"/>
  <c r="T1075" i="12"/>
  <c r="P1075" i="12"/>
  <c r="AM1075" i="12"/>
  <c r="AI1075" i="12"/>
  <c r="W1075" i="12"/>
  <c r="Q1075" i="12"/>
  <c r="O1075" i="12"/>
  <c r="M1075" i="12"/>
  <c r="J1075" i="12"/>
  <c r="H1075" i="12"/>
  <c r="F1075" i="12"/>
  <c r="AC1075" i="12" s="1"/>
  <c r="AL1057" i="12"/>
  <c r="S1057" i="12"/>
  <c r="Q1057" i="12"/>
  <c r="O1057" i="12"/>
  <c r="AM1057" i="12"/>
  <c r="R1057" i="12"/>
  <c r="P1057" i="12"/>
  <c r="N1057" i="12"/>
  <c r="J1057" i="12"/>
  <c r="H1057" i="12"/>
  <c r="AK1057" i="12"/>
  <c r="Z1057" i="12"/>
  <c r="Y1057" i="12"/>
  <c r="X1057" i="12"/>
  <c r="W1057" i="12"/>
  <c r="V1057" i="12"/>
  <c r="T1057" i="12"/>
  <c r="M1057" i="12"/>
  <c r="G1057" i="12"/>
  <c r="AI1057" i="12"/>
  <c r="U1057" i="12"/>
  <c r="AJ1057" i="12"/>
  <c r="AA1057" i="12"/>
  <c r="K1057" i="12"/>
  <c r="I1057" i="12"/>
  <c r="F1057" i="12"/>
  <c r="AC1057" i="12" s="1"/>
  <c r="Z1060" i="12"/>
  <c r="Q1060" i="12"/>
  <c r="P1060" i="12"/>
  <c r="AL1060" i="12"/>
  <c r="AJ1060" i="12"/>
  <c r="AI1060" i="12"/>
  <c r="Y1060" i="12"/>
  <c r="N1060" i="12"/>
  <c r="K1060" i="12"/>
  <c r="I1060" i="12"/>
  <c r="G1060" i="12"/>
  <c r="AA1060" i="12"/>
  <c r="V1060" i="12"/>
  <c r="R1060" i="12"/>
  <c r="X1060" i="12"/>
  <c r="T1060" i="12"/>
  <c r="AM1060" i="12"/>
  <c r="AK1060" i="12"/>
  <c r="W1060" i="12"/>
  <c r="U1060" i="12"/>
  <c r="S1060" i="12"/>
  <c r="O1060" i="12"/>
  <c r="M1060" i="12"/>
  <c r="J1060" i="12"/>
  <c r="H1060" i="12"/>
  <c r="F1060" i="12"/>
  <c r="AC1060" i="12" s="1"/>
  <c r="AL1041" i="12"/>
  <c r="X1041" i="12"/>
  <c r="U1041" i="12"/>
  <c r="AM1041" i="12"/>
  <c r="AI1041" i="12"/>
  <c r="Z1041" i="12"/>
  <c r="S1041" i="12"/>
  <c r="N1041" i="12"/>
  <c r="H1041" i="12"/>
  <c r="AJ1041" i="12"/>
  <c r="W1041" i="12"/>
  <c r="Q1041" i="12"/>
  <c r="J1041" i="12"/>
  <c r="AK1041" i="12"/>
  <c r="AA1041" i="12"/>
  <c r="Y1041" i="12"/>
  <c r="T1041" i="12"/>
  <c r="R1041" i="12"/>
  <c r="M1041" i="12"/>
  <c r="I1041" i="12"/>
  <c r="F1041" i="12"/>
  <c r="P1041" i="12"/>
  <c r="V1041" i="12"/>
  <c r="O1041" i="12"/>
  <c r="K1041" i="12"/>
  <c r="G1041" i="12"/>
  <c r="AI890" i="12"/>
  <c r="N890" i="12"/>
  <c r="I890" i="12"/>
  <c r="F890" i="12"/>
  <c r="AJ890" i="12"/>
  <c r="M890" i="12"/>
  <c r="H890" i="12"/>
  <c r="AK890" i="12"/>
  <c r="Z890" i="12"/>
  <c r="T890" i="12"/>
  <c r="P890" i="12"/>
  <c r="AL890" i="12"/>
  <c r="X890" i="12"/>
  <c r="W890" i="12"/>
  <c r="S890" i="12"/>
  <c r="K890" i="12"/>
  <c r="AM890" i="12"/>
  <c r="AA890" i="12"/>
  <c r="Y890" i="12"/>
  <c r="V890" i="12"/>
  <c r="U890" i="12"/>
  <c r="Q890" i="12"/>
  <c r="O890" i="12"/>
  <c r="J890" i="12"/>
  <c r="G890" i="12"/>
  <c r="AC890" i="12" s="1"/>
  <c r="R890" i="12"/>
  <c r="AL870" i="12"/>
  <c r="T870" i="12"/>
  <c r="P870" i="12"/>
  <c r="I870" i="12"/>
  <c r="H870" i="12"/>
  <c r="AK870" i="12"/>
  <c r="AA870" i="12"/>
  <c r="G870" i="12"/>
  <c r="F870" i="12"/>
  <c r="AJ870" i="12"/>
  <c r="Z870" i="12"/>
  <c r="W870" i="12"/>
  <c r="U870" i="12"/>
  <c r="Q870" i="12"/>
  <c r="N870" i="12"/>
  <c r="AM870" i="12"/>
  <c r="AI870" i="12"/>
  <c r="Y870" i="12"/>
  <c r="R870" i="12"/>
  <c r="K870" i="12"/>
  <c r="X870" i="12"/>
  <c r="V870" i="12"/>
  <c r="S870" i="12"/>
  <c r="O870" i="12"/>
  <c r="M870" i="12"/>
  <c r="J870" i="12"/>
  <c r="AM873" i="12"/>
  <c r="AA873" i="12"/>
  <c r="Q873" i="12"/>
  <c r="M873" i="12"/>
  <c r="V873" i="12"/>
  <c r="F873" i="12"/>
  <c r="X873" i="12"/>
  <c r="U873" i="12"/>
  <c r="AL873" i="12"/>
  <c r="AI873" i="12"/>
  <c r="Y873" i="12"/>
  <c r="W873" i="12"/>
  <c r="R873" i="12"/>
  <c r="P873" i="12"/>
  <c r="N873" i="12"/>
  <c r="K873" i="12"/>
  <c r="H873" i="12"/>
  <c r="AK873" i="12"/>
  <c r="T873" i="12"/>
  <c r="J873" i="12"/>
  <c r="I873" i="12"/>
  <c r="G873" i="12"/>
  <c r="AJ873" i="12"/>
  <c r="Z873" i="12"/>
  <c r="S873" i="12"/>
  <c r="O873" i="12"/>
  <c r="AK874" i="12"/>
  <c r="Z874" i="12"/>
  <c r="I874" i="12"/>
  <c r="AL874" i="12"/>
  <c r="AA874" i="12"/>
  <c r="U874" i="12"/>
  <c r="O874" i="12"/>
  <c r="K874" i="12"/>
  <c r="Y874" i="12"/>
  <c r="AI874" i="12"/>
  <c r="V874" i="12"/>
  <c r="T874" i="12"/>
  <c r="Q874" i="12"/>
  <c r="N874" i="12"/>
  <c r="M874" i="12"/>
  <c r="J874" i="12"/>
  <c r="AM874" i="12"/>
  <c r="F874" i="12"/>
  <c r="X874" i="12"/>
  <c r="S874" i="12"/>
  <c r="AJ874" i="12"/>
  <c r="W874" i="12"/>
  <c r="R874" i="12"/>
  <c r="P874" i="12"/>
  <c r="H874" i="12"/>
  <c r="G874" i="12"/>
  <c r="AJ880" i="12"/>
  <c r="Z880" i="12"/>
  <c r="W880" i="12"/>
  <c r="U880" i="12"/>
  <c r="G880" i="12"/>
  <c r="AL880" i="12"/>
  <c r="Y880" i="12"/>
  <c r="X880" i="12"/>
  <c r="V880" i="12"/>
  <c r="Q880" i="12"/>
  <c r="N880" i="12"/>
  <c r="AK880" i="12"/>
  <c r="AA880" i="12"/>
  <c r="S880" i="12"/>
  <c r="P880" i="12"/>
  <c r="K880" i="12"/>
  <c r="J880" i="12"/>
  <c r="H880" i="12"/>
  <c r="F880" i="12"/>
  <c r="AC880" i="12" s="1"/>
  <c r="AI880" i="12"/>
  <c r="T880" i="12"/>
  <c r="AM880" i="12"/>
  <c r="R880" i="12"/>
  <c r="O880" i="12"/>
  <c r="M880" i="12"/>
  <c r="I880" i="12"/>
  <c r="AM881" i="12"/>
  <c r="AA881" i="12"/>
  <c r="Y881" i="12"/>
  <c r="W881" i="12"/>
  <c r="Q881" i="12"/>
  <c r="O881" i="12"/>
  <c r="J881" i="12"/>
  <c r="AL881" i="12"/>
  <c r="AI881" i="12"/>
  <c r="Z881" i="12"/>
  <c r="T881" i="12"/>
  <c r="S881" i="12"/>
  <c r="M881" i="12"/>
  <c r="I881" i="12"/>
  <c r="G881" i="12"/>
  <c r="AJ881" i="12"/>
  <c r="V881" i="12"/>
  <c r="R881" i="12"/>
  <c r="AK881" i="12"/>
  <c r="X881" i="12"/>
  <c r="U881" i="12"/>
  <c r="P881" i="12"/>
  <c r="N881" i="12"/>
  <c r="K881" i="12"/>
  <c r="H881" i="12"/>
  <c r="F881" i="12"/>
  <c r="AC881" i="12" s="1"/>
  <c r="Y856" i="12"/>
  <c r="AL856" i="12"/>
  <c r="AJ856" i="12"/>
  <c r="U856" i="12"/>
  <c r="P856" i="12"/>
  <c r="Z856" i="12"/>
  <c r="V856" i="12"/>
  <c r="R856" i="12"/>
  <c r="Q856" i="12"/>
  <c r="J856" i="12"/>
  <c r="AM856" i="12"/>
  <c r="T856" i="12"/>
  <c r="W856" i="12"/>
  <c r="N856" i="12"/>
  <c r="H856" i="12"/>
  <c r="G856" i="12"/>
  <c r="AI856" i="12"/>
  <c r="X856" i="12"/>
  <c r="S856" i="12"/>
  <c r="O856" i="12"/>
  <c r="K856" i="12"/>
  <c r="F856" i="12"/>
  <c r="AC856" i="12" s="1"/>
  <c r="AK856" i="12"/>
  <c r="AA856" i="12"/>
  <c r="M856" i="12"/>
  <c r="I856" i="12"/>
  <c r="AL857" i="12"/>
  <c r="Y857" i="12"/>
  <c r="V857" i="12"/>
  <c r="N857" i="12"/>
  <c r="J857" i="12"/>
  <c r="G857" i="12"/>
  <c r="AK857" i="12"/>
  <c r="W857" i="12"/>
  <c r="Q857" i="12"/>
  <c r="O857" i="12"/>
  <c r="M857" i="12"/>
  <c r="K857" i="12"/>
  <c r="I857" i="12"/>
  <c r="AM857" i="12"/>
  <c r="AI857" i="12"/>
  <c r="X857" i="12"/>
  <c r="P857" i="12"/>
  <c r="AJ857" i="12"/>
  <c r="AA857" i="12"/>
  <c r="Z857" i="12"/>
  <c r="T857" i="12"/>
  <c r="S857" i="12"/>
  <c r="U857" i="12"/>
  <c r="R857" i="12"/>
  <c r="H857" i="12"/>
  <c r="F857" i="12"/>
  <c r="AC857" i="12" s="1"/>
  <c r="Q858" i="12"/>
  <c r="F858" i="12"/>
  <c r="AJ858" i="12"/>
  <c r="X858" i="12"/>
  <c r="T858" i="12"/>
  <c r="R858" i="12"/>
  <c r="V858" i="12"/>
  <c r="P858" i="12"/>
  <c r="J858" i="12"/>
  <c r="AL858" i="12"/>
  <c r="Z858" i="12"/>
  <c r="AM858" i="12"/>
  <c r="AI858" i="12"/>
  <c r="AA858" i="12"/>
  <c r="Y858" i="12"/>
  <c r="U858" i="12"/>
  <c r="S858" i="12"/>
  <c r="O858" i="12"/>
  <c r="M858" i="12"/>
  <c r="H858" i="12"/>
  <c r="AK858" i="12"/>
  <c r="W858" i="12"/>
  <c r="N858" i="12"/>
  <c r="K858" i="12"/>
  <c r="I858" i="12"/>
  <c r="G858" i="12"/>
  <c r="AC858" i="12" s="1"/>
  <c r="Y861" i="12"/>
  <c r="P861" i="12"/>
  <c r="J861" i="12"/>
  <c r="F861" i="12"/>
  <c r="AM861" i="12"/>
  <c r="AI861" i="12"/>
  <c r="Z861" i="12"/>
  <c r="K861" i="12"/>
  <c r="H861" i="12"/>
  <c r="W861" i="12"/>
  <c r="T861" i="12"/>
  <c r="AK861" i="12"/>
  <c r="U861" i="12"/>
  <c r="R861" i="12"/>
  <c r="O861" i="12"/>
  <c r="S861" i="12"/>
  <c r="Q861" i="12"/>
  <c r="AJ861" i="12"/>
  <c r="AA861" i="12"/>
  <c r="M861" i="12"/>
  <c r="AL861" i="12"/>
  <c r="X861" i="12"/>
  <c r="V861" i="12"/>
  <c r="N861" i="12"/>
  <c r="I861" i="12"/>
  <c r="G861" i="12"/>
  <c r="AC861" i="12" s="1"/>
  <c r="V862" i="12"/>
  <c r="T862" i="12"/>
  <c r="O862" i="12"/>
  <c r="J862" i="12"/>
  <c r="H862" i="12"/>
  <c r="F862" i="12"/>
  <c r="AK862" i="12"/>
  <c r="AI862" i="12"/>
  <c r="Y862" i="12"/>
  <c r="Q862" i="12"/>
  <c r="M862" i="12"/>
  <c r="I862" i="12"/>
  <c r="AJ862" i="12"/>
  <c r="AA862" i="12"/>
  <c r="W862" i="12"/>
  <c r="S862" i="12"/>
  <c r="AL862" i="12"/>
  <c r="U862" i="12"/>
  <c r="R862" i="12"/>
  <c r="N862" i="12"/>
  <c r="AM862" i="12"/>
  <c r="Z862" i="12"/>
  <c r="X862" i="12"/>
  <c r="P862" i="12"/>
  <c r="K862" i="12"/>
  <c r="G862" i="12"/>
  <c r="AM863" i="12"/>
  <c r="Z863" i="12"/>
  <c r="S863" i="12"/>
  <c r="J863" i="12"/>
  <c r="I863" i="12"/>
  <c r="P863" i="12"/>
  <c r="M863" i="12"/>
  <c r="AJ863" i="12"/>
  <c r="W863" i="12"/>
  <c r="T863" i="12"/>
  <c r="O863" i="12"/>
  <c r="AL863" i="12"/>
  <c r="Y863" i="12"/>
  <c r="AI863" i="12"/>
  <c r="X863" i="12"/>
  <c r="AK863" i="12"/>
  <c r="U863" i="12"/>
  <c r="Q863" i="12"/>
  <c r="AA863" i="12"/>
  <c r="V863" i="12"/>
  <c r="R863" i="12"/>
  <c r="N863" i="12"/>
  <c r="K863" i="12"/>
  <c r="X864" i="12"/>
  <c r="V864" i="12"/>
  <c r="P864" i="12"/>
  <c r="AM864" i="12"/>
  <c r="AJ864" i="12"/>
  <c r="AA864" i="12"/>
  <c r="Y864" i="12"/>
  <c r="Z864" i="12"/>
  <c r="S864" i="12"/>
  <c r="N864" i="12"/>
  <c r="M864" i="12"/>
  <c r="F864" i="12"/>
  <c r="AK864" i="12"/>
  <c r="U864" i="12"/>
  <c r="R864" i="12"/>
  <c r="Q864" i="12"/>
  <c r="J864" i="12"/>
  <c r="H864" i="12"/>
  <c r="AL864" i="12"/>
  <c r="W864" i="12"/>
  <c r="O864" i="12"/>
  <c r="K864" i="12"/>
  <c r="I864" i="12"/>
  <c r="AI864" i="12"/>
  <c r="T864" i="12"/>
  <c r="G864" i="12"/>
  <c r="T844" i="12"/>
  <c r="Q844" i="12"/>
  <c r="O844" i="12"/>
  <c r="AK844" i="12"/>
  <c r="AA844" i="12"/>
  <c r="X844" i="12"/>
  <c r="AM844" i="12"/>
  <c r="M844" i="12"/>
  <c r="AI844" i="12"/>
  <c r="Z844" i="12"/>
  <c r="V844" i="12"/>
  <c r="R844" i="12"/>
  <c r="K844" i="12"/>
  <c r="G844" i="12"/>
  <c r="W844" i="12"/>
  <c r="U844" i="12"/>
  <c r="J844" i="12"/>
  <c r="AL844" i="12"/>
  <c r="Y844" i="12"/>
  <c r="I844" i="12"/>
  <c r="AJ844" i="12"/>
  <c r="S844" i="12"/>
  <c r="P844" i="12"/>
  <c r="N844" i="12"/>
  <c r="H844" i="12"/>
  <c r="F844" i="12"/>
  <c r="X845" i="12"/>
  <c r="U845" i="12"/>
  <c r="AM845" i="12"/>
  <c r="V845" i="12"/>
  <c r="AL845" i="12"/>
  <c r="AJ845" i="12"/>
  <c r="Z845" i="12"/>
  <c r="T845" i="12"/>
  <c r="Q845" i="12"/>
  <c r="O845" i="12"/>
  <c r="F845" i="12"/>
  <c r="AA845" i="12"/>
  <c r="M845" i="12"/>
  <c r="G845" i="12"/>
  <c r="AK845" i="12"/>
  <c r="W845" i="12"/>
  <c r="P845" i="12"/>
  <c r="N845" i="12"/>
  <c r="AI845" i="12"/>
  <c r="AC845" i="12"/>
  <c r="Y845" i="12"/>
  <c r="R845" i="12"/>
  <c r="K845" i="12"/>
  <c r="I845" i="12"/>
  <c r="H845" i="12"/>
  <c r="S845" i="12"/>
  <c r="J845" i="12"/>
  <c r="AA850" i="12"/>
  <c r="V850" i="12"/>
  <c r="AJ850" i="12"/>
  <c r="O850" i="12"/>
  <c r="M850" i="12"/>
  <c r="X850" i="12"/>
  <c r="U850" i="12"/>
  <c r="S850" i="12"/>
  <c r="T850" i="12"/>
  <c r="Q850" i="12"/>
  <c r="N850" i="12"/>
  <c r="AM850" i="12"/>
  <c r="AK850" i="12"/>
  <c r="Z850" i="12"/>
  <c r="R850" i="12"/>
  <c r="P850" i="12"/>
  <c r="AL850" i="12"/>
  <c r="AI850" i="12"/>
  <c r="Y850" i="12"/>
  <c r="W850" i="12"/>
  <c r="AM851" i="12"/>
  <c r="X851" i="12"/>
  <c r="AI851" i="12"/>
  <c r="Z851" i="12"/>
  <c r="R851" i="12"/>
  <c r="AA851" i="12"/>
  <c r="U851" i="12"/>
  <c r="K851" i="12"/>
  <c r="I851" i="12"/>
  <c r="F851" i="12"/>
  <c r="V851" i="12"/>
  <c r="T851" i="12"/>
  <c r="P851" i="12"/>
  <c r="M851" i="12"/>
  <c r="H851" i="12"/>
  <c r="AK851" i="12"/>
  <c r="W851" i="12"/>
  <c r="S851" i="12"/>
  <c r="Q851" i="12"/>
  <c r="O851" i="12"/>
  <c r="N851" i="12"/>
  <c r="G851" i="12"/>
  <c r="AL851" i="12"/>
  <c r="AJ851" i="12"/>
  <c r="Y851" i="12"/>
  <c r="J851" i="12"/>
  <c r="U832" i="12"/>
  <c r="W832" i="12"/>
  <c r="M832" i="12"/>
  <c r="H832" i="12"/>
  <c r="AK832" i="12"/>
  <c r="AA832" i="12"/>
  <c r="AM832" i="12"/>
  <c r="AI832" i="12"/>
  <c r="Z832" i="12"/>
  <c r="X832" i="12"/>
  <c r="T832" i="12"/>
  <c r="P832" i="12"/>
  <c r="K832" i="12"/>
  <c r="F832" i="12"/>
  <c r="AL832" i="12"/>
  <c r="S832" i="12"/>
  <c r="N832" i="12"/>
  <c r="AJ832" i="12"/>
  <c r="Y832" i="12"/>
  <c r="Q832" i="12"/>
  <c r="J832" i="12"/>
  <c r="G832" i="12"/>
  <c r="V832" i="12"/>
  <c r="R832" i="12"/>
  <c r="O832" i="12"/>
  <c r="I832" i="12"/>
  <c r="K833" i="12"/>
  <c r="G833" i="12"/>
  <c r="AJ833" i="12"/>
  <c r="U833" i="12"/>
  <c r="S833" i="12"/>
  <c r="O833" i="12"/>
  <c r="J833" i="12"/>
  <c r="AL833" i="12"/>
  <c r="AK833" i="12"/>
  <c r="AA833" i="12"/>
  <c r="V833" i="12"/>
  <c r="Y833" i="12"/>
  <c r="W833" i="12"/>
  <c r="R833" i="12"/>
  <c r="N833" i="12"/>
  <c r="M833" i="12"/>
  <c r="AM833" i="12"/>
  <c r="Z833" i="12"/>
  <c r="X833" i="12"/>
  <c r="P833" i="12"/>
  <c r="H833" i="12"/>
  <c r="F833" i="12"/>
  <c r="AC833" i="12" s="1"/>
  <c r="AI833" i="12"/>
  <c r="T833" i="12"/>
  <c r="Q833" i="12"/>
  <c r="I833" i="12"/>
  <c r="AM835" i="12"/>
  <c r="Z835" i="12"/>
  <c r="V835" i="12"/>
  <c r="P835" i="12"/>
  <c r="M835" i="12"/>
  <c r="AJ835" i="12"/>
  <c r="U835" i="12"/>
  <c r="Q835" i="12"/>
  <c r="Y835" i="12"/>
  <c r="R835" i="12"/>
  <c r="AK835" i="12"/>
  <c r="AA835" i="12"/>
  <c r="K835" i="12"/>
  <c r="J835" i="12"/>
  <c r="G835" i="12"/>
  <c r="AI835" i="12"/>
  <c r="T835" i="12"/>
  <c r="N835" i="12"/>
  <c r="H835" i="12"/>
  <c r="F835" i="12"/>
  <c r="AC835" i="12" s="1"/>
  <c r="X835" i="12"/>
  <c r="AL835" i="12"/>
  <c r="W835" i="12"/>
  <c r="S835" i="12"/>
  <c r="O835" i="12"/>
  <c r="I835" i="12"/>
  <c r="V836" i="12"/>
  <c r="S836" i="12"/>
  <c r="M836" i="12"/>
  <c r="AK836" i="12"/>
  <c r="Y836" i="12"/>
  <c r="W836" i="12"/>
  <c r="T836" i="12"/>
  <c r="Q836" i="12"/>
  <c r="K836" i="12"/>
  <c r="G836" i="12"/>
  <c r="AL836" i="12"/>
  <c r="AA836" i="12"/>
  <c r="X836" i="12"/>
  <c r="P836" i="12"/>
  <c r="I836" i="12"/>
  <c r="H836" i="12"/>
  <c r="AM836" i="12"/>
  <c r="AI836" i="12"/>
  <c r="O836" i="12"/>
  <c r="J836" i="12"/>
  <c r="F836" i="12"/>
  <c r="AC836" i="12" s="1"/>
  <c r="U836" i="12"/>
  <c r="R836" i="12"/>
  <c r="AJ836" i="12"/>
  <c r="Z836" i="12"/>
  <c r="N836" i="12"/>
  <c r="K814" i="12"/>
  <c r="H814" i="12"/>
  <c r="N814" i="12"/>
  <c r="I814" i="12"/>
  <c r="G814" i="12"/>
  <c r="M814" i="12"/>
  <c r="J814" i="12"/>
  <c r="F814" i="12"/>
  <c r="AC814" i="12" s="1"/>
  <c r="O814" i="12"/>
  <c r="AM820" i="12"/>
  <c r="Z820" i="12"/>
  <c r="R820" i="12"/>
  <c r="Q820" i="12"/>
  <c r="H820" i="12"/>
  <c r="F820" i="12"/>
  <c r="W820" i="12"/>
  <c r="U820" i="12"/>
  <c r="O820" i="12"/>
  <c r="G820" i="12"/>
  <c r="AK820" i="12"/>
  <c r="M820" i="12"/>
  <c r="K820" i="12"/>
  <c r="AC820" i="12"/>
  <c r="Y820" i="12"/>
  <c r="V820" i="12"/>
  <c r="S820" i="12"/>
  <c r="N820" i="12"/>
  <c r="AL820" i="12"/>
  <c r="AI820" i="12"/>
  <c r="AA820" i="12"/>
  <c r="X820" i="12"/>
  <c r="T820" i="12"/>
  <c r="AJ820" i="12"/>
  <c r="P820" i="12"/>
  <c r="J820" i="12"/>
  <c r="I820" i="12"/>
  <c r="U823" i="12"/>
  <c r="Z823" i="12"/>
  <c r="V823" i="12"/>
  <c r="S823" i="12"/>
  <c r="AK823" i="12"/>
  <c r="W823" i="12"/>
  <c r="R823" i="12"/>
  <c r="Q823" i="12"/>
  <c r="M823" i="12"/>
  <c r="J823" i="12"/>
  <c r="I823" i="12"/>
  <c r="H823" i="12"/>
  <c r="F823" i="12"/>
  <c r="AL823" i="12"/>
  <c r="Y823" i="12"/>
  <c r="O823" i="12"/>
  <c r="K823" i="12"/>
  <c r="AM823" i="12"/>
  <c r="AI823" i="12"/>
  <c r="AA823" i="12"/>
  <c r="X823" i="12"/>
  <c r="AJ823" i="12"/>
  <c r="T823" i="12"/>
  <c r="P823" i="12"/>
  <c r="N823" i="12"/>
  <c r="G823" i="12"/>
  <c r="AI826" i="12"/>
  <c r="Y826" i="12"/>
  <c r="V826" i="12"/>
  <c r="J826" i="12"/>
  <c r="X826" i="12"/>
  <c r="S826" i="12"/>
  <c r="O826" i="12"/>
  <c r="AL826" i="12"/>
  <c r="W826" i="12"/>
  <c r="T826" i="12"/>
  <c r="P826" i="12"/>
  <c r="AK826" i="12"/>
  <c r="AA826" i="12"/>
  <c r="U826" i="12"/>
  <c r="Q826" i="12"/>
  <c r="N826" i="12"/>
  <c r="K826" i="12"/>
  <c r="H826" i="12"/>
  <c r="F826" i="12"/>
  <c r="AM826" i="12"/>
  <c r="Z826" i="12"/>
  <c r="R826" i="12"/>
  <c r="I826" i="12"/>
  <c r="AJ826" i="12"/>
  <c r="M826" i="12"/>
  <c r="G826" i="12"/>
  <c r="AK803" i="12"/>
  <c r="X803" i="12"/>
  <c r="Q803" i="12"/>
  <c r="O803" i="12"/>
  <c r="V803" i="12"/>
  <c r="M803" i="12"/>
  <c r="AM803" i="12"/>
  <c r="AL803" i="12"/>
  <c r="AJ803" i="12"/>
  <c r="W803" i="12"/>
  <c r="Y803" i="12"/>
  <c r="T803" i="12"/>
  <c r="S803" i="12"/>
  <c r="P803" i="12"/>
  <c r="J803" i="12"/>
  <c r="H803" i="12"/>
  <c r="AI803" i="12"/>
  <c r="AA803" i="12"/>
  <c r="U803" i="12"/>
  <c r="I803" i="12"/>
  <c r="F803" i="12"/>
  <c r="Z803" i="12"/>
  <c r="R803" i="12"/>
  <c r="N803" i="12"/>
  <c r="K803" i="12"/>
  <c r="G803" i="12"/>
  <c r="AM805" i="12"/>
  <c r="AA805" i="12"/>
  <c r="Y805" i="12"/>
  <c r="S805" i="12"/>
  <c r="V805" i="12"/>
  <c r="AK805" i="12"/>
  <c r="M805" i="12"/>
  <c r="I805" i="12"/>
  <c r="AL805" i="12"/>
  <c r="AI805" i="12"/>
  <c r="X805" i="12"/>
  <c r="U805" i="12"/>
  <c r="P805" i="12"/>
  <c r="K805" i="12"/>
  <c r="Z805" i="12"/>
  <c r="T805" i="12"/>
  <c r="R805" i="12"/>
  <c r="O805" i="12"/>
  <c r="N805" i="12"/>
  <c r="F805" i="12"/>
  <c r="AJ805" i="12"/>
  <c r="W805" i="12"/>
  <c r="Q805" i="12"/>
  <c r="J805" i="12"/>
  <c r="H805" i="12"/>
  <c r="G805" i="12"/>
  <c r="W809" i="12"/>
  <c r="S809" i="12"/>
  <c r="Q809" i="12"/>
  <c r="M809" i="12"/>
  <c r="X809" i="12"/>
  <c r="U809" i="12"/>
  <c r="R809" i="12"/>
  <c r="N809" i="12"/>
  <c r="K809" i="12"/>
  <c r="I809" i="12"/>
  <c r="AK809" i="12"/>
  <c r="AA809" i="12"/>
  <c r="P809" i="12"/>
  <c r="AI809" i="12"/>
  <c r="AM809" i="12"/>
  <c r="AL809" i="12"/>
  <c r="AJ809" i="12"/>
  <c r="Y809" i="12"/>
  <c r="V809" i="12"/>
  <c r="Z809" i="12"/>
  <c r="O809" i="12"/>
  <c r="T809" i="12"/>
  <c r="J809" i="12"/>
  <c r="O811" i="12"/>
  <c r="M811" i="12"/>
  <c r="AJ811" i="12"/>
  <c r="AI811" i="12"/>
  <c r="V811" i="12"/>
  <c r="T811" i="12"/>
  <c r="AM811" i="12"/>
  <c r="Y811" i="12"/>
  <c r="R811" i="12"/>
  <c r="AK811" i="12"/>
  <c r="Z811" i="12"/>
  <c r="AL811" i="12"/>
  <c r="AA811" i="12"/>
  <c r="X811" i="12"/>
  <c r="W811" i="12"/>
  <c r="U811" i="12"/>
  <c r="S811" i="12"/>
  <c r="Q811" i="12"/>
  <c r="P811" i="12"/>
  <c r="N811" i="12"/>
  <c r="AJ786" i="12"/>
  <c r="Y786" i="12"/>
  <c r="S786" i="12"/>
  <c r="P786" i="12"/>
  <c r="N786" i="12"/>
  <c r="K786" i="12"/>
  <c r="AK786" i="12"/>
  <c r="X786" i="12"/>
  <c r="O786" i="12"/>
  <c r="J786" i="12"/>
  <c r="AL786" i="12"/>
  <c r="AA786" i="12"/>
  <c r="W786" i="12"/>
  <c r="M786" i="12"/>
  <c r="AI786" i="12"/>
  <c r="T786" i="12"/>
  <c r="R786" i="12"/>
  <c r="AM786" i="12"/>
  <c r="Z786" i="12"/>
  <c r="V786" i="12"/>
  <c r="U786" i="12"/>
  <c r="Q786" i="12"/>
  <c r="AM793" i="12"/>
  <c r="AL793" i="12"/>
  <c r="Z793" i="12"/>
  <c r="V793" i="12"/>
  <c r="R793" i="12"/>
  <c r="AI793" i="12"/>
  <c r="X793" i="12"/>
  <c r="T793" i="12"/>
  <c r="AK793" i="12"/>
  <c r="AJ793" i="12"/>
  <c r="Y793" i="12"/>
  <c r="AA793" i="12"/>
  <c r="W793" i="12"/>
  <c r="U793" i="12"/>
  <c r="S793" i="12"/>
  <c r="Q793" i="12"/>
  <c r="P793" i="12"/>
  <c r="Y739" i="12"/>
  <c r="AJ739" i="12"/>
  <c r="Z739" i="12"/>
  <c r="W739" i="12"/>
  <c r="Q739" i="12"/>
  <c r="AL739" i="12"/>
  <c r="V739" i="12"/>
  <c r="T739" i="12"/>
  <c r="P739" i="12"/>
  <c r="AK739" i="12"/>
  <c r="AA739" i="12"/>
  <c r="X739" i="12"/>
  <c r="S739" i="12"/>
  <c r="O739" i="12"/>
  <c r="AI739" i="12"/>
  <c r="AM739" i="12"/>
  <c r="M739" i="12"/>
  <c r="U739" i="12"/>
  <c r="R739" i="12"/>
  <c r="N739" i="12"/>
  <c r="AI685" i="12"/>
  <c r="AA685" i="12"/>
  <c r="Y685" i="12"/>
  <c r="AL685" i="12"/>
  <c r="AJ685" i="12"/>
  <c r="Z685" i="12"/>
  <c r="AM685" i="12"/>
  <c r="AK685" i="12"/>
  <c r="AI638" i="12"/>
  <c r="X638" i="12"/>
  <c r="U638" i="12"/>
  <c r="Q638" i="12"/>
  <c r="AK638" i="12"/>
  <c r="T638" i="12"/>
  <c r="AA638" i="12"/>
  <c r="W638" i="12"/>
  <c r="V638" i="12"/>
  <c r="S638" i="12"/>
  <c r="P638" i="12"/>
  <c r="AL638" i="12"/>
  <c r="Y638" i="12"/>
  <c r="AM638" i="12"/>
  <c r="AJ638" i="12"/>
  <c r="Z638" i="12"/>
  <c r="R638" i="12"/>
  <c r="AC1202" i="12"/>
  <c r="AC1180" i="12"/>
  <c r="AC1104" i="12"/>
  <c r="AC1106" i="12"/>
  <c r="AC1090" i="12"/>
  <c r="AC1069" i="12"/>
  <c r="AC1071" i="12"/>
  <c r="AC1051" i="12"/>
  <c r="AC1052" i="12"/>
  <c r="AC1038" i="12"/>
  <c r="AC1040" i="12"/>
  <c r="AC892" i="12"/>
  <c r="AC893" i="12"/>
  <c r="AC896" i="12"/>
  <c r="AC869" i="12"/>
  <c r="AC872" i="12"/>
  <c r="AC876" i="12"/>
  <c r="AC878" i="12"/>
  <c r="AC841" i="12"/>
  <c r="AC831" i="12"/>
  <c r="AC819" i="12"/>
  <c r="AC821" i="12"/>
  <c r="AC801" i="12"/>
  <c r="AB207" i="12"/>
  <c r="AC678" i="12"/>
  <c r="R728" i="12"/>
  <c r="G728" i="12"/>
  <c r="U728" i="12"/>
  <c r="I728" i="12"/>
  <c r="V728" i="12"/>
  <c r="S728" i="12"/>
  <c r="T728" i="12"/>
  <c r="P728" i="12"/>
  <c r="AI728" i="12"/>
  <c r="AA728" i="12"/>
  <c r="X728" i="12"/>
  <c r="Q728" i="12"/>
  <c r="Z728" i="12"/>
  <c r="AJ728" i="12"/>
  <c r="O728" i="12"/>
  <c r="F728" i="12"/>
  <c r="K728" i="12"/>
  <c r="AL728" i="12"/>
  <c r="Y728" i="12"/>
  <c r="N728" i="12"/>
  <c r="J728" i="12"/>
  <c r="H728" i="12"/>
  <c r="AM728" i="12"/>
  <c r="AK728" i="12"/>
  <c r="M728" i="12"/>
  <c r="W728" i="12"/>
  <c r="H1192" i="12"/>
  <c r="L1192" i="12"/>
  <c r="G1192" i="12"/>
  <c r="F1192" i="12"/>
  <c r="I1192" i="12"/>
  <c r="AB1192" i="12"/>
  <c r="AM1192" i="12"/>
  <c r="AJ1192" i="12"/>
  <c r="W1192" i="12"/>
  <c r="S1192" i="12"/>
  <c r="Q1192" i="12"/>
  <c r="N1192" i="12"/>
  <c r="K1192" i="12"/>
  <c r="AL1192" i="12"/>
  <c r="AA1192" i="12"/>
  <c r="Y1192" i="12"/>
  <c r="T1192" i="12"/>
  <c r="P1192" i="12"/>
  <c r="AK1192" i="12"/>
  <c r="AI1192" i="12"/>
  <c r="V1192" i="12"/>
  <c r="R1192" i="12"/>
  <c r="O1192" i="12"/>
  <c r="M1192" i="12"/>
  <c r="Z1192" i="12"/>
  <c r="X1192" i="12"/>
  <c r="U1192" i="12"/>
  <c r="J1192" i="12"/>
  <c r="H837" i="12"/>
  <c r="AK837" i="12"/>
  <c r="R837" i="12"/>
  <c r="P837" i="12"/>
  <c r="N837" i="12"/>
  <c r="M837" i="12"/>
  <c r="K837" i="12"/>
  <c r="Y837" i="12"/>
  <c r="S837" i="12"/>
  <c r="AM837" i="12"/>
  <c r="AA837" i="12"/>
  <c r="AI837" i="12"/>
  <c r="O837" i="12"/>
  <c r="V837" i="12"/>
  <c r="J837" i="12"/>
  <c r="I837" i="12"/>
  <c r="F837" i="12"/>
  <c r="G837" i="12"/>
  <c r="Z837" i="12"/>
  <c r="T837" i="12"/>
  <c r="AJ837" i="12"/>
  <c r="X837" i="12"/>
  <c r="AL837" i="12"/>
  <c r="Q837" i="12"/>
  <c r="W837" i="12"/>
  <c r="U837" i="12"/>
  <c r="G726" i="12"/>
  <c r="I726" i="12"/>
  <c r="Y1086" i="12"/>
  <c r="Z1086" i="12"/>
  <c r="AM1086" i="12"/>
  <c r="AL1086" i="12"/>
  <c r="AJ1086" i="12"/>
  <c r="AI1086" i="12"/>
  <c r="AA1086" i="12"/>
  <c r="AK1086" i="12"/>
  <c r="G1070" i="12"/>
  <c r="F1070" i="12"/>
  <c r="F739" i="12"/>
  <c r="H739" i="12"/>
  <c r="G739" i="12"/>
  <c r="T685" i="12"/>
  <c r="Q685" i="12"/>
  <c r="V685" i="12"/>
  <c r="U685" i="12"/>
  <c r="I685" i="12"/>
  <c r="N685" i="12"/>
  <c r="H685" i="12"/>
  <c r="S685" i="12"/>
  <c r="J685" i="12"/>
  <c r="F685" i="12"/>
  <c r="P685" i="12"/>
  <c r="K685" i="12"/>
  <c r="O685" i="12"/>
  <c r="R685" i="12"/>
  <c r="M685" i="12"/>
  <c r="G685" i="12"/>
  <c r="N638" i="12"/>
  <c r="O638" i="12"/>
  <c r="G638" i="12"/>
  <c r="I638" i="12"/>
  <c r="J638" i="12"/>
  <c r="F638" i="12"/>
  <c r="AC638" i="12" s="1"/>
  <c r="H638" i="12"/>
  <c r="AM1402" i="12"/>
  <c r="Z1402" i="12"/>
  <c r="AA1402" i="12"/>
  <c r="AI1402" i="12"/>
  <c r="AJ1402" i="12"/>
  <c r="AK1402" i="12"/>
  <c r="AL1402" i="12"/>
  <c r="F1402" i="12"/>
  <c r="R1402" i="12"/>
  <c r="G1402" i="12"/>
  <c r="Q1402" i="12"/>
  <c r="H1402" i="12"/>
  <c r="I1402" i="12"/>
  <c r="J1402" i="12"/>
  <c r="K1402" i="12"/>
  <c r="M1402" i="12"/>
  <c r="N1402" i="12"/>
  <c r="O1402" i="12"/>
  <c r="P1402" i="12"/>
  <c r="S1402" i="12"/>
  <c r="T1402" i="12"/>
  <c r="U1402" i="12"/>
  <c r="V1402" i="12"/>
  <c r="W1402" i="12"/>
  <c r="X1402" i="12"/>
  <c r="Y1402" i="12"/>
  <c r="W677" i="12"/>
  <c r="S677" i="12"/>
  <c r="M677" i="12"/>
  <c r="Y677" i="12"/>
  <c r="U677" i="12"/>
  <c r="Q677" i="12"/>
  <c r="N677" i="12"/>
  <c r="K677" i="12"/>
  <c r="G677" i="12"/>
  <c r="AL677" i="12"/>
  <c r="AJ677" i="12"/>
  <c r="AI677" i="12"/>
  <c r="Z677" i="12"/>
  <c r="X677" i="12"/>
  <c r="V677" i="12"/>
  <c r="AA677" i="12"/>
  <c r="AM677" i="12"/>
  <c r="H677" i="12"/>
  <c r="R677" i="12"/>
  <c r="AK677" i="12"/>
  <c r="O677" i="12"/>
  <c r="F677" i="12"/>
  <c r="AC677" i="12" s="1"/>
  <c r="I677" i="12"/>
  <c r="J677" i="12"/>
  <c r="T677" i="12"/>
  <c r="P677" i="12"/>
  <c r="AK918" i="12"/>
  <c r="X918" i="12"/>
  <c r="AA918" i="12"/>
  <c r="V918" i="12"/>
  <c r="O918" i="12"/>
  <c r="M918" i="12"/>
  <c r="J918" i="12"/>
  <c r="AM918" i="12"/>
  <c r="AL918" i="12"/>
  <c r="Z918" i="12"/>
  <c r="U918" i="12"/>
  <c r="AI918" i="12"/>
  <c r="T918" i="12"/>
  <c r="Q918" i="12"/>
  <c r="F918" i="12"/>
  <c r="K918" i="12"/>
  <c r="G918" i="12"/>
  <c r="S918" i="12"/>
  <c r="Y918" i="12"/>
  <c r="N918" i="12"/>
  <c r="P918" i="12"/>
  <c r="W918" i="12"/>
  <c r="AJ918" i="12"/>
  <c r="R918" i="12"/>
  <c r="AA935" i="12"/>
  <c r="Y935" i="12"/>
  <c r="V935" i="12"/>
  <c r="T935" i="12"/>
  <c r="Q935" i="12"/>
  <c r="M935" i="12"/>
  <c r="S935" i="12"/>
  <c r="N935" i="12"/>
  <c r="AM935" i="12"/>
  <c r="X935" i="12"/>
  <c r="W935" i="12"/>
  <c r="R935" i="12"/>
  <c r="O935" i="12"/>
  <c r="K935" i="12"/>
  <c r="J935" i="12"/>
  <c r="I935" i="12"/>
  <c r="AL935" i="12"/>
  <c r="AJ935" i="12"/>
  <c r="Z935" i="12"/>
  <c r="AK935" i="12"/>
  <c r="AI935" i="12"/>
  <c r="U935" i="12"/>
  <c r="P935" i="12"/>
  <c r="H935" i="12"/>
  <c r="G935" i="12"/>
  <c r="F935" i="12"/>
  <c r="AC935" i="12" s="1"/>
  <c r="G936" i="12"/>
  <c r="F936" i="12"/>
  <c r="AC936" i="12" s="1"/>
  <c r="H936" i="12"/>
  <c r="I936" i="12"/>
  <c r="J936" i="12"/>
  <c r="Q916" i="12"/>
  <c r="P916" i="12"/>
  <c r="H916" i="12"/>
  <c r="I916" i="12"/>
  <c r="K916" i="12"/>
  <c r="O916" i="12"/>
  <c r="W916" i="12"/>
  <c r="AK916" i="12"/>
  <c r="N916" i="12"/>
  <c r="T916" i="12"/>
  <c r="V916" i="12"/>
  <c r="Z916" i="12"/>
  <c r="AI916" i="12"/>
  <c r="AM916" i="12"/>
  <c r="G916" i="12"/>
  <c r="S916" i="12"/>
  <c r="X916" i="12"/>
  <c r="AL916" i="12"/>
  <c r="J916" i="12"/>
  <c r="M916" i="12"/>
  <c r="Y916" i="12"/>
  <c r="AJ916" i="12"/>
  <c r="AA916" i="12"/>
  <c r="U916" i="12"/>
  <c r="F916" i="12"/>
  <c r="AC916" i="12" s="1"/>
  <c r="R916" i="12"/>
  <c r="K1061" i="12"/>
  <c r="J1061" i="12"/>
  <c r="I1061" i="12"/>
  <c r="H1061" i="12"/>
  <c r="G1061" i="12"/>
  <c r="AM1061" i="12"/>
  <c r="AL1061" i="12"/>
  <c r="AK1061" i="12"/>
  <c r="AJ1061" i="12"/>
  <c r="Z1061" i="12"/>
  <c r="AI1061" i="12"/>
  <c r="AA1061" i="12"/>
  <c r="F1061" i="12"/>
  <c r="AC1061" i="12" s="1"/>
  <c r="Y1061" i="12"/>
  <c r="X1061" i="12"/>
  <c r="W1061" i="12"/>
  <c r="V1061" i="12"/>
  <c r="U1061" i="12"/>
  <c r="T1061" i="12"/>
  <c r="S1061" i="12"/>
  <c r="R1061" i="12"/>
  <c r="Q1061" i="12"/>
  <c r="P1061" i="12"/>
  <c r="O1061" i="12"/>
  <c r="N1061" i="12"/>
  <c r="M1061" i="12"/>
  <c r="AA956" i="12"/>
  <c r="K956" i="12"/>
  <c r="O956" i="12"/>
  <c r="AI956" i="12"/>
  <c r="X956" i="12"/>
  <c r="N956" i="12"/>
  <c r="AK956" i="12"/>
  <c r="Z956" i="12"/>
  <c r="AL956" i="12"/>
  <c r="M956" i="12"/>
  <c r="Y956" i="12"/>
  <c r="V956" i="12"/>
  <c r="AJ956" i="12"/>
  <c r="AM956" i="12"/>
  <c r="W956" i="12"/>
  <c r="AA930" i="12"/>
  <c r="R930" i="12"/>
  <c r="AK930" i="12"/>
  <c r="AL930" i="12"/>
  <c r="Z930" i="12"/>
  <c r="AM930" i="12"/>
  <c r="P930" i="12"/>
  <c r="X930" i="12"/>
  <c r="S930" i="12"/>
  <c r="N930" i="12"/>
  <c r="AI930" i="12"/>
  <c r="W930" i="12"/>
  <c r="U930" i="12"/>
  <c r="Q930" i="12"/>
  <c r="O930" i="12"/>
  <c r="Y930" i="12"/>
  <c r="V930" i="12"/>
  <c r="T930" i="12"/>
  <c r="AJ930" i="12"/>
  <c r="I930" i="12"/>
  <c r="J930" i="12"/>
  <c r="H738" i="12"/>
  <c r="U738" i="12"/>
  <c r="G738" i="12"/>
  <c r="K738" i="12"/>
  <c r="W738" i="12"/>
  <c r="AL738" i="12"/>
  <c r="X738" i="12"/>
  <c r="AA738" i="12"/>
  <c r="P738" i="12"/>
  <c r="I738" i="12"/>
  <c r="Z738" i="12"/>
  <c r="O738" i="12"/>
  <c r="V738" i="12"/>
  <c r="Q738" i="12"/>
  <c r="S738" i="12"/>
  <c r="T738" i="12"/>
  <c r="AJ738" i="12"/>
  <c r="AM738" i="12"/>
  <c r="J738" i="12"/>
  <c r="AI738" i="12"/>
  <c r="F738" i="12"/>
  <c r="M738" i="12"/>
  <c r="AK738" i="12"/>
  <c r="Y738" i="12"/>
  <c r="R738" i="12"/>
  <c r="N738" i="12"/>
  <c r="AB1218" i="12"/>
  <c r="L1218" i="12"/>
  <c r="AB1193" i="12"/>
  <c r="L1193" i="12"/>
  <c r="L1196" i="12"/>
  <c r="AB1196" i="12"/>
  <c r="AB1197" i="12"/>
  <c r="L1197" i="12"/>
  <c r="G920" i="12"/>
  <c r="I920" i="12"/>
  <c r="H920" i="12"/>
  <c r="F920" i="12"/>
  <c r="AC920" i="12" s="1"/>
  <c r="AJ663" i="12"/>
  <c r="AI663" i="12"/>
  <c r="Z663" i="12"/>
  <c r="W663" i="12"/>
  <c r="Q663" i="12"/>
  <c r="O663" i="12"/>
  <c r="K663" i="12"/>
  <c r="F663" i="12"/>
  <c r="AL663" i="12"/>
  <c r="V663" i="12"/>
  <c r="U663" i="12"/>
  <c r="M663" i="12"/>
  <c r="J663" i="12"/>
  <c r="P663" i="12"/>
  <c r="I663" i="12"/>
  <c r="R663" i="12"/>
  <c r="T663" i="12"/>
  <c r="N663" i="12"/>
  <c r="G663" i="12"/>
  <c r="AA663" i="12"/>
  <c r="X663" i="12"/>
  <c r="H663" i="12"/>
  <c r="AK663" i="12"/>
  <c r="AC663" i="12"/>
  <c r="Y663" i="12"/>
  <c r="S663" i="12"/>
  <c r="AM663" i="12"/>
  <c r="K747" i="12"/>
  <c r="AM747" i="12"/>
  <c r="M747" i="12"/>
  <c r="R747" i="12"/>
  <c r="Z747" i="12"/>
  <c r="O747" i="12"/>
  <c r="S747" i="12"/>
  <c r="J747" i="12"/>
  <c r="T747" i="12"/>
  <c r="I747" i="12"/>
  <c r="V747" i="12"/>
  <c r="X747" i="12"/>
  <c r="AK747" i="12"/>
  <c r="H747" i="12"/>
  <c r="N747" i="12"/>
  <c r="Q747" i="12"/>
  <c r="W747" i="12"/>
  <c r="Y747" i="12"/>
  <c r="AL747" i="12"/>
  <c r="U747" i="12"/>
  <c r="AA747" i="12"/>
  <c r="G747" i="12"/>
  <c r="P747" i="12"/>
  <c r="AI747" i="12"/>
  <c r="F747" i="12"/>
  <c r="AC747" i="12" s="1"/>
  <c r="AJ747" i="12"/>
  <c r="F774" i="12"/>
  <c r="G774" i="12"/>
  <c r="K781" i="12"/>
  <c r="J781" i="12"/>
  <c r="H781" i="12"/>
  <c r="I781" i="12"/>
  <c r="G781" i="12"/>
  <c r="F781" i="12"/>
  <c r="G784" i="12"/>
  <c r="F784" i="12"/>
  <c r="AC784" i="12" s="1"/>
  <c r="H784" i="12"/>
  <c r="G761" i="12"/>
  <c r="H761" i="12"/>
  <c r="F761" i="12"/>
  <c r="J768" i="12"/>
  <c r="G768" i="12"/>
  <c r="F768" i="12"/>
  <c r="I768" i="12"/>
  <c r="H768" i="12"/>
  <c r="I744" i="12"/>
  <c r="G744" i="12"/>
  <c r="F744" i="12"/>
  <c r="J744" i="12"/>
  <c r="H744" i="12"/>
  <c r="F746" i="12"/>
  <c r="G746" i="12"/>
  <c r="I746" i="12"/>
  <c r="H746" i="12"/>
  <c r="J746" i="12"/>
  <c r="H675" i="12"/>
  <c r="G675" i="12"/>
  <c r="AA675" i="12"/>
  <c r="AK675" i="12"/>
  <c r="F675" i="12"/>
  <c r="AC675" i="12" s="1"/>
  <c r="AJ675" i="12"/>
  <c r="AI675" i="12"/>
  <c r="AM675" i="12"/>
  <c r="I675" i="12"/>
  <c r="AL675" i="12"/>
  <c r="AK1218" i="12"/>
  <c r="Q1218" i="12"/>
  <c r="I1218" i="12"/>
  <c r="AL1218" i="12"/>
  <c r="AA1218" i="12"/>
  <c r="W1218" i="12"/>
  <c r="U1218" i="12"/>
  <c r="R1218" i="12"/>
  <c r="N1218" i="12"/>
  <c r="J1218" i="12"/>
  <c r="AJ1218" i="12"/>
  <c r="Z1218" i="12"/>
  <c r="X1218" i="12"/>
  <c r="S1218" i="12"/>
  <c r="O1218" i="12"/>
  <c r="K1218" i="12"/>
  <c r="G1218" i="12"/>
  <c r="AM1218" i="12"/>
  <c r="AI1218" i="12"/>
  <c r="Y1218" i="12"/>
  <c r="V1218" i="12"/>
  <c r="T1218" i="12"/>
  <c r="P1218" i="12"/>
  <c r="M1218" i="12"/>
  <c r="H1218" i="12"/>
  <c r="F1218" i="12"/>
  <c r="AC1218" i="12" s="1"/>
  <c r="AL1193" i="12"/>
  <c r="AA1193" i="12"/>
  <c r="X1193" i="12"/>
  <c r="V1193" i="12"/>
  <c r="R1193" i="12"/>
  <c r="M1193" i="12"/>
  <c r="H1193" i="12"/>
  <c r="G1193" i="12"/>
  <c r="AM1193" i="12"/>
  <c r="AI1193" i="12"/>
  <c r="Y1193" i="12"/>
  <c r="S1193" i="12"/>
  <c r="O1193" i="12"/>
  <c r="J1193" i="12"/>
  <c r="AJ1193" i="12"/>
  <c r="Z1193" i="12"/>
  <c r="T1193" i="12"/>
  <c r="P1193" i="12"/>
  <c r="K1193" i="12"/>
  <c r="AK1193" i="12"/>
  <c r="W1193" i="12"/>
  <c r="U1193" i="12"/>
  <c r="Q1193" i="12"/>
  <c r="N1193" i="12"/>
  <c r="I1193" i="12"/>
  <c r="F1193" i="12"/>
  <c r="AL1196" i="12"/>
  <c r="AI1196" i="12"/>
  <c r="W1196" i="12"/>
  <c r="S1196" i="12"/>
  <c r="P1196" i="12"/>
  <c r="J1196" i="12"/>
  <c r="H1196" i="12"/>
  <c r="AM1196" i="12"/>
  <c r="Z1196" i="12"/>
  <c r="X1196" i="12"/>
  <c r="T1196" i="12"/>
  <c r="Q1196" i="12"/>
  <c r="N1196" i="12"/>
  <c r="I1196" i="12"/>
  <c r="G1196" i="12"/>
  <c r="AJ1196" i="12"/>
  <c r="V1196" i="12"/>
  <c r="R1196" i="12"/>
  <c r="M1196" i="12"/>
  <c r="AK1196" i="12"/>
  <c r="AA1196" i="12"/>
  <c r="Y1196" i="12"/>
  <c r="U1196" i="12"/>
  <c r="O1196" i="12"/>
  <c r="K1196" i="12"/>
  <c r="F1196" i="12"/>
  <c r="AC1196" i="12" s="1"/>
  <c r="AL1197" i="12"/>
  <c r="Y1197" i="12"/>
  <c r="W1197" i="12"/>
  <c r="R1197" i="12"/>
  <c r="O1197" i="12"/>
  <c r="J1197" i="12"/>
  <c r="AJ1197" i="12"/>
  <c r="AA1197" i="12"/>
  <c r="X1197" i="12"/>
  <c r="U1197" i="12"/>
  <c r="P1197" i="12"/>
  <c r="M1197" i="12"/>
  <c r="AK1197" i="12"/>
  <c r="AI1197" i="12"/>
  <c r="S1197" i="12"/>
  <c r="Q1197" i="12"/>
  <c r="N1197" i="12"/>
  <c r="AM1197" i="12"/>
  <c r="Z1197" i="12"/>
  <c r="V1197" i="12"/>
  <c r="T1197" i="12"/>
  <c r="K1197" i="12"/>
  <c r="AM920" i="12"/>
  <c r="AL920" i="12"/>
  <c r="AK920" i="12"/>
  <c r="AJ920" i="12"/>
  <c r="AI920" i="12"/>
  <c r="AA920" i="12"/>
  <c r="Y920" i="12"/>
  <c r="S920" i="12"/>
  <c r="O920" i="12"/>
  <c r="V920" i="12"/>
  <c r="R920" i="12"/>
  <c r="Q920" i="12"/>
  <c r="Z920" i="12"/>
  <c r="T920" i="12"/>
  <c r="P920" i="12"/>
  <c r="X920" i="12"/>
  <c r="U920" i="12"/>
  <c r="M920" i="12"/>
  <c r="W920" i="12"/>
  <c r="N920" i="12"/>
  <c r="AC1210" i="12"/>
  <c r="AC1277" i="12"/>
  <c r="AC855" i="12"/>
  <c r="L207" i="12"/>
  <c r="AC1197" i="12"/>
  <c r="AC750" i="12"/>
  <c r="L738" i="12"/>
  <c r="AB738" i="12"/>
  <c r="AM1420" i="12"/>
  <c r="AL1420" i="12"/>
  <c r="AK1420" i="12"/>
  <c r="AJ1420" i="12"/>
  <c r="AI1420" i="12"/>
  <c r="AA1420" i="12"/>
  <c r="Z1420" i="12"/>
  <c r="Y1420" i="12"/>
  <c r="X1420" i="12"/>
  <c r="W1420" i="12"/>
  <c r="V1420" i="12"/>
  <c r="U1420" i="12"/>
  <c r="T1420" i="12"/>
  <c r="S1420" i="12"/>
  <c r="R1420" i="12"/>
  <c r="Q1420" i="12"/>
  <c r="P1420" i="12"/>
  <c r="O1420" i="12"/>
  <c r="N1420" i="12"/>
  <c r="M1420" i="12"/>
  <c r="K1420" i="12"/>
  <c r="J1420" i="12"/>
  <c r="I1420" i="12"/>
  <c r="H1420" i="12"/>
  <c r="G1420" i="12"/>
  <c r="F1420" i="12"/>
  <c r="AC1420" i="12" s="1"/>
  <c r="AB1420" i="12"/>
  <c r="L1420" i="12"/>
  <c r="AM1215" i="12"/>
  <c r="AL1215" i="12"/>
  <c r="AK1215" i="12"/>
  <c r="AJ1215" i="12"/>
  <c r="AI1215" i="12"/>
  <c r="AA1215" i="12"/>
  <c r="Z1215" i="12"/>
  <c r="Y1215" i="12"/>
  <c r="X1215" i="12"/>
  <c r="R1215" i="12"/>
  <c r="Q1215" i="12"/>
  <c r="P1215" i="12"/>
  <c r="O1215" i="12"/>
  <c r="N1215" i="12"/>
  <c r="M1215" i="12"/>
  <c r="K1215" i="12"/>
  <c r="J1215" i="12"/>
  <c r="I1215" i="12"/>
  <c r="H1215" i="12"/>
  <c r="G1215" i="12"/>
  <c r="F1215" i="12"/>
  <c r="U1215" i="12"/>
  <c r="S1215" i="12"/>
  <c r="V1215" i="12"/>
  <c r="W1215" i="12"/>
  <c r="T1215" i="12"/>
  <c r="V1145" i="12"/>
  <c r="AL1145" i="12"/>
  <c r="Y1145" i="12"/>
  <c r="AB828" i="12"/>
  <c r="L828" i="12"/>
  <c r="Z658" i="12"/>
  <c r="U658" i="12"/>
  <c r="T658" i="12"/>
  <c r="Q658" i="12"/>
  <c r="I751" i="12"/>
  <c r="G751" i="12"/>
  <c r="F751" i="12"/>
  <c r="J751" i="12"/>
  <c r="H751" i="12"/>
  <c r="H753" i="12"/>
  <c r="F753" i="12"/>
  <c r="G753" i="12"/>
  <c r="G733" i="12"/>
  <c r="F733" i="12"/>
  <c r="AC733" i="12" s="1"/>
  <c r="I733" i="12"/>
  <c r="H733" i="12"/>
  <c r="AB704" i="12"/>
  <c r="L704" i="12"/>
  <c r="L699" i="12"/>
  <c r="AB699" i="12"/>
  <c r="AB679" i="12"/>
  <c r="L679" i="12"/>
  <c r="L686" i="12"/>
  <c r="AB686" i="12"/>
  <c r="F637" i="12"/>
  <c r="J637" i="12"/>
  <c r="K637" i="12"/>
  <c r="G637" i="12"/>
  <c r="H637" i="12"/>
  <c r="I637" i="12"/>
  <c r="I620" i="12"/>
  <c r="J620" i="12"/>
  <c r="H620" i="12"/>
  <c r="K620" i="12"/>
  <c r="F620" i="12"/>
  <c r="G620" i="12"/>
  <c r="F625" i="12"/>
  <c r="K625" i="12"/>
  <c r="H625" i="12"/>
  <c r="G625" i="12"/>
  <c r="I625" i="12"/>
  <c r="V964" i="12"/>
  <c r="AL964" i="12"/>
  <c r="U964" i="12"/>
  <c r="Y964" i="12"/>
  <c r="Z964" i="12"/>
  <c r="N964" i="12"/>
  <c r="R964" i="12"/>
  <c r="AI964" i="12"/>
  <c r="AM964" i="12"/>
  <c r="X964" i="12"/>
  <c r="P964" i="12"/>
  <c r="O964" i="12"/>
  <c r="Q964" i="12"/>
  <c r="S964" i="12"/>
  <c r="W964" i="12"/>
  <c r="AJ964" i="12"/>
  <c r="AA964" i="12"/>
  <c r="AK964" i="12"/>
  <c r="T964" i="12"/>
  <c r="Q940" i="12"/>
  <c r="X940" i="12"/>
  <c r="AK940" i="12"/>
  <c r="U940" i="12"/>
  <c r="S940" i="12"/>
  <c r="AA940" i="12"/>
  <c r="O940" i="12"/>
  <c r="T940" i="12"/>
  <c r="W940" i="12"/>
  <c r="P940" i="12"/>
  <c r="AI940" i="12"/>
  <c r="R940" i="12"/>
  <c r="Y940" i="12"/>
  <c r="AJ940" i="12"/>
  <c r="AM940" i="12"/>
  <c r="V940" i="12"/>
  <c r="Z940" i="12"/>
  <c r="AL940" i="12"/>
  <c r="Y898" i="12"/>
  <c r="AK898" i="12"/>
  <c r="P898" i="12"/>
  <c r="R898" i="12"/>
  <c r="AA898" i="12"/>
  <c r="AJ898" i="12"/>
  <c r="J898" i="12"/>
  <c r="N898" i="12"/>
  <c r="V898" i="12"/>
  <c r="Q898" i="12"/>
  <c r="U898" i="12"/>
  <c r="Z898" i="12"/>
  <c r="AI898" i="12"/>
  <c r="X898" i="12"/>
  <c r="AL898" i="12"/>
  <c r="K898" i="12"/>
  <c r="M898" i="12"/>
  <c r="T898" i="12"/>
  <c r="W898" i="12"/>
  <c r="AM898" i="12"/>
  <c r="O898" i="12"/>
  <c r="S898" i="12"/>
  <c r="S907" i="12"/>
  <c r="N907" i="12"/>
  <c r="I907" i="12"/>
  <c r="U907" i="12"/>
  <c r="AK907" i="12"/>
  <c r="J907" i="12"/>
  <c r="V907" i="12"/>
  <c r="AA907" i="12"/>
  <c r="AI907" i="12"/>
  <c r="AM907" i="12"/>
  <c r="X907" i="12"/>
  <c r="W907" i="12"/>
  <c r="R907" i="12"/>
  <c r="K907" i="12"/>
  <c r="M907" i="12"/>
  <c r="T907" i="12"/>
  <c r="Y907" i="12"/>
  <c r="AJ907" i="12"/>
  <c r="AL907" i="12"/>
  <c r="Q907" i="12"/>
  <c r="Z907" i="12"/>
  <c r="O907" i="12"/>
  <c r="P907" i="12"/>
  <c r="W884" i="12"/>
  <c r="U884" i="12"/>
  <c r="F884" i="12"/>
  <c r="P884" i="12"/>
  <c r="J884" i="12"/>
  <c r="O884" i="12"/>
  <c r="AM884" i="12"/>
  <c r="R884" i="12"/>
  <c r="G884" i="12"/>
  <c r="AK884" i="12"/>
  <c r="AA884" i="12"/>
  <c r="N884" i="12"/>
  <c r="K884" i="12"/>
  <c r="AI884" i="12"/>
  <c r="X884" i="12"/>
  <c r="V884" i="12"/>
  <c r="T884" i="12"/>
  <c r="Q884" i="12"/>
  <c r="AL884" i="12"/>
  <c r="H884" i="12"/>
  <c r="AJ884" i="12"/>
  <c r="Z884" i="12"/>
  <c r="M884" i="12"/>
  <c r="I884" i="12"/>
  <c r="S884" i="12"/>
  <c r="Y884" i="12"/>
  <c r="AI885" i="12"/>
  <c r="G885" i="12"/>
  <c r="S885" i="12"/>
  <c r="Q885" i="12"/>
  <c r="W885" i="12"/>
  <c r="AK885" i="12"/>
  <c r="J885" i="12"/>
  <c r="F885" i="12"/>
  <c r="H885" i="12"/>
  <c r="P885" i="12"/>
  <c r="AJ885" i="12"/>
  <c r="M885" i="12"/>
  <c r="Z885" i="12"/>
  <c r="T885" i="12"/>
  <c r="AL885" i="12"/>
  <c r="AM885" i="12"/>
  <c r="Y885" i="12"/>
  <c r="I885" i="12"/>
  <c r="N885" i="12"/>
  <c r="R885" i="12"/>
  <c r="AA885" i="12"/>
  <c r="X885" i="12"/>
  <c r="V885" i="12"/>
  <c r="U885" i="12"/>
  <c r="AB185" i="12"/>
  <c r="L185" i="12"/>
  <c r="AB189" i="12"/>
  <c r="L189" i="12"/>
  <c r="AB195" i="12"/>
  <c r="L195" i="12"/>
  <c r="AB157" i="12"/>
  <c r="L157" i="12"/>
  <c r="L167" i="12"/>
  <c r="AB167" i="12"/>
  <c r="L145" i="12"/>
  <c r="AB145" i="12"/>
  <c r="AB154" i="12"/>
  <c r="L154" i="12"/>
  <c r="L130" i="12"/>
  <c r="AB130" i="12"/>
  <c r="AB87" i="12"/>
  <c r="L87" i="12"/>
  <c r="L89" i="12"/>
  <c r="AB89" i="12"/>
  <c r="AB98" i="12"/>
  <c r="L98" i="12"/>
  <c r="L60" i="12"/>
  <c r="AB60" i="12"/>
  <c r="L64" i="12"/>
  <c r="AB64" i="12"/>
  <c r="L199" i="12"/>
  <c r="AB199" i="12"/>
  <c r="L178" i="12"/>
  <c r="AB178" i="12"/>
  <c r="L164" i="12"/>
  <c r="AB164" i="12"/>
  <c r="AB166" i="12"/>
  <c r="L166" i="12"/>
  <c r="AB168" i="12"/>
  <c r="L168" i="12"/>
  <c r="L152" i="12"/>
  <c r="AB152" i="12"/>
  <c r="L105" i="12"/>
  <c r="AB105" i="12"/>
  <c r="L83" i="12"/>
  <c r="AB83" i="12"/>
  <c r="L63" i="12"/>
  <c r="AB63" i="12"/>
  <c r="L69" i="12"/>
  <c r="AB69" i="12"/>
  <c r="AB127" i="12"/>
  <c r="L127" i="12"/>
  <c r="AB132" i="12"/>
  <c r="L132" i="12"/>
  <c r="AB140" i="12"/>
  <c r="L140" i="12"/>
  <c r="AB110" i="12"/>
  <c r="L110" i="12"/>
  <c r="AB88" i="12"/>
  <c r="L88" i="12"/>
  <c r="L80" i="12"/>
  <c r="AB80" i="12"/>
  <c r="L81" i="12"/>
  <c r="AB81" i="12"/>
  <c r="L65" i="12"/>
  <c r="AB65" i="12"/>
  <c r="L197" i="12"/>
  <c r="AB197" i="12"/>
  <c r="AB202" i="12"/>
  <c r="L202" i="12"/>
  <c r="AB187" i="12"/>
  <c r="L187" i="12"/>
  <c r="L172" i="12"/>
  <c r="AB172" i="12"/>
  <c r="L174" i="12"/>
  <c r="AB174" i="12"/>
  <c r="AB181" i="12"/>
  <c r="L181" i="12"/>
  <c r="AB155" i="12"/>
  <c r="L155" i="12"/>
  <c r="L159" i="12"/>
  <c r="AB159" i="12"/>
  <c r="L162" i="12"/>
  <c r="AB162" i="12"/>
  <c r="L165" i="12"/>
  <c r="AB165" i="12"/>
  <c r="L149" i="12"/>
  <c r="AB149" i="12"/>
  <c r="AB151" i="12"/>
  <c r="L151" i="12"/>
  <c r="AB128" i="12"/>
  <c r="L128" i="12"/>
  <c r="AB120" i="12"/>
  <c r="L120" i="12"/>
  <c r="L100" i="12"/>
  <c r="AB100" i="12"/>
  <c r="AB86" i="12"/>
  <c r="L86" i="12"/>
  <c r="AB90" i="12"/>
  <c r="L90" i="12"/>
  <c r="AB94" i="12"/>
  <c r="L94" i="12"/>
  <c r="AB95" i="12"/>
  <c r="L95" i="12"/>
  <c r="AB97" i="12"/>
  <c r="L97" i="12"/>
  <c r="AB72" i="12"/>
  <c r="L72" i="12"/>
  <c r="AB61" i="12"/>
  <c r="L61" i="12"/>
  <c r="AB206" i="12"/>
  <c r="L206" i="12"/>
  <c r="L184" i="12"/>
  <c r="AB184" i="12"/>
  <c r="AB126" i="12"/>
  <c r="L126" i="12"/>
  <c r="AB74" i="12"/>
  <c r="L74" i="12"/>
  <c r="AB57" i="12"/>
  <c r="L57" i="12"/>
  <c r="AB62" i="12"/>
  <c r="L62" i="12"/>
  <c r="L67" i="12"/>
  <c r="AB67" i="12"/>
  <c r="L103" i="12"/>
  <c r="AB103" i="12"/>
  <c r="AB192" i="12"/>
  <c r="L192" i="12"/>
  <c r="AB96" i="12"/>
  <c r="L96" i="12"/>
  <c r="AB75" i="12"/>
  <c r="L75" i="12"/>
  <c r="AB58" i="12"/>
  <c r="L58" i="12"/>
  <c r="AB186" i="12"/>
  <c r="L186" i="12"/>
  <c r="AB193" i="12"/>
  <c r="L193" i="12"/>
  <c r="L114" i="12"/>
  <c r="AB114" i="12"/>
  <c r="AB59" i="12"/>
  <c r="L59" i="12"/>
  <c r="L183" i="12"/>
  <c r="AB183" i="12"/>
  <c r="L188" i="12"/>
  <c r="AB188" i="12"/>
  <c r="L115" i="12"/>
  <c r="AB115" i="12"/>
  <c r="AB102" i="12"/>
  <c r="L102" i="12"/>
  <c r="L101" i="12"/>
  <c r="AB101" i="12"/>
  <c r="AB112" i="12"/>
  <c r="L112" i="12"/>
  <c r="L68" i="12"/>
  <c r="AB68" i="12"/>
  <c r="AB190" i="12"/>
  <c r="L190" i="12"/>
  <c r="L66" i="12"/>
  <c r="AB66" i="12"/>
  <c r="L182" i="12"/>
  <c r="AB182" i="12"/>
  <c r="AB131" i="12"/>
  <c r="L131" i="12"/>
  <c r="AB78" i="12"/>
  <c r="L78" i="12"/>
  <c r="L117" i="12"/>
  <c r="AB117" i="12"/>
  <c r="L1438" i="12"/>
  <c r="AB1438" i="12"/>
  <c r="L137" i="12"/>
  <c r="AB137" i="12"/>
  <c r="AB703" i="12"/>
  <c r="L703" i="12"/>
  <c r="L706" i="12"/>
  <c r="AB706" i="12"/>
  <c r="AB708" i="12"/>
  <c r="L708" i="12"/>
  <c r="AB713" i="12"/>
  <c r="L713" i="12"/>
  <c r="L687" i="12"/>
  <c r="AB687" i="12"/>
  <c r="L688" i="12"/>
  <c r="AB688" i="12"/>
  <c r="AB689" i="12"/>
  <c r="L689" i="12"/>
  <c r="AB690" i="12"/>
  <c r="L690" i="12"/>
  <c r="L691" i="12"/>
  <c r="AB691" i="12"/>
  <c r="AB695" i="12"/>
  <c r="L695" i="12"/>
  <c r="L697" i="12"/>
  <c r="AB697" i="12"/>
  <c r="AB681" i="12"/>
  <c r="L681" i="12"/>
  <c r="L683" i="12"/>
  <c r="AB683" i="12"/>
  <c r="L170" i="12"/>
  <c r="AB170" i="12"/>
  <c r="L133" i="12"/>
  <c r="AB133" i="12"/>
  <c r="L134" i="12"/>
  <c r="AB134" i="12"/>
  <c r="L136" i="12"/>
  <c r="AB136" i="12"/>
  <c r="L138" i="12"/>
  <c r="AB138" i="12"/>
  <c r="L123" i="12"/>
  <c r="AB123" i="12"/>
  <c r="AB124" i="12"/>
  <c r="L124" i="12"/>
  <c r="L125" i="12"/>
  <c r="AB125" i="12"/>
  <c r="L99" i="12"/>
  <c r="AB99" i="12"/>
  <c r="AB106" i="12"/>
  <c r="L106" i="12"/>
  <c r="AB107" i="12"/>
  <c r="L107" i="12"/>
  <c r="AB108" i="12"/>
  <c r="L108" i="12"/>
  <c r="L109" i="12"/>
  <c r="AB109" i="12"/>
  <c r="AB92" i="12"/>
  <c r="L92" i="12"/>
  <c r="L53" i="12"/>
  <c r="AB53" i="12"/>
  <c r="AB54" i="12"/>
  <c r="L54" i="12"/>
  <c r="L20" i="12"/>
  <c r="AB20" i="12"/>
  <c r="AI771" i="12"/>
  <c r="T771" i="12"/>
  <c r="W771" i="12"/>
  <c r="R771" i="12"/>
  <c r="O771" i="12"/>
  <c r="AJ771" i="12"/>
  <c r="Z771" i="12"/>
  <c r="P771" i="12"/>
  <c r="AM771" i="12"/>
  <c r="U771" i="12"/>
  <c r="AL771" i="12"/>
  <c r="Y771" i="12"/>
  <c r="V771" i="12"/>
  <c r="AK771" i="12"/>
  <c r="AA771" i="12"/>
  <c r="S771" i="12"/>
  <c r="X771" i="12"/>
  <c r="Q771" i="12"/>
  <c r="N774" i="12"/>
  <c r="X774" i="12"/>
  <c r="AK774" i="12"/>
  <c r="Y774" i="12"/>
  <c r="P774" i="12"/>
  <c r="M774" i="12"/>
  <c r="AJ774" i="12"/>
  <c r="AL774" i="12"/>
  <c r="Z774" i="12"/>
  <c r="U774" i="12"/>
  <c r="T774" i="12"/>
  <c r="R774" i="12"/>
  <c r="AM774" i="12"/>
  <c r="W774" i="12"/>
  <c r="AI774" i="12"/>
  <c r="V774" i="12"/>
  <c r="K774" i="12"/>
  <c r="AA774" i="12"/>
  <c r="S774" i="12"/>
  <c r="Q774" i="12"/>
  <c r="O774" i="12"/>
  <c r="J774" i="12"/>
  <c r="X781" i="12"/>
  <c r="AK781" i="12"/>
  <c r="M781" i="12"/>
  <c r="AJ781" i="12"/>
  <c r="U781" i="12"/>
  <c r="R781" i="12"/>
  <c r="AL781" i="12"/>
  <c r="AI781" i="12"/>
  <c r="Z781" i="12"/>
  <c r="P781" i="12"/>
  <c r="AM781" i="12"/>
  <c r="AA781" i="12"/>
  <c r="T781" i="12"/>
  <c r="O781" i="12"/>
  <c r="V781" i="12"/>
  <c r="Y781" i="12"/>
  <c r="W781" i="12"/>
  <c r="S781" i="12"/>
  <c r="Q781" i="12"/>
  <c r="N781" i="12"/>
  <c r="AL784" i="12"/>
  <c r="AA784" i="12"/>
  <c r="V784" i="12"/>
  <c r="S784" i="12"/>
  <c r="P784" i="12"/>
  <c r="K784" i="12"/>
  <c r="AM784" i="12"/>
  <c r="AJ784" i="12"/>
  <c r="U784" i="12"/>
  <c r="M784" i="12"/>
  <c r="I784" i="12"/>
  <c r="AI784" i="12"/>
  <c r="R784" i="12"/>
  <c r="Z784" i="12"/>
  <c r="X784" i="12"/>
  <c r="Q784" i="12"/>
  <c r="N784" i="12"/>
  <c r="J784" i="12"/>
  <c r="Y784" i="12"/>
  <c r="W784" i="12"/>
  <c r="T784" i="12"/>
  <c r="O784" i="12"/>
  <c r="AK784" i="12"/>
  <c r="AJ761" i="12"/>
  <c r="S761" i="12"/>
  <c r="N761" i="12"/>
  <c r="V761" i="12"/>
  <c r="T761" i="12"/>
  <c r="R761" i="12"/>
  <c r="K761" i="12"/>
  <c r="I761" i="12"/>
  <c r="AL761" i="12"/>
  <c r="Z761" i="12"/>
  <c r="Q761" i="12"/>
  <c r="X761" i="12"/>
  <c r="AM761" i="12"/>
  <c r="AA761" i="12"/>
  <c r="U761" i="12"/>
  <c r="P761" i="12"/>
  <c r="M761" i="12"/>
  <c r="AK761" i="12"/>
  <c r="AI761" i="12"/>
  <c r="Y761" i="12"/>
  <c r="W761" i="12"/>
  <c r="O761" i="12"/>
  <c r="J761" i="12"/>
  <c r="Y768" i="12"/>
  <c r="V768" i="12"/>
  <c r="S768" i="12"/>
  <c r="AL768" i="12"/>
  <c r="AI768" i="12"/>
  <c r="W768" i="12"/>
  <c r="T768" i="12"/>
  <c r="Q768" i="12"/>
  <c r="M768" i="12"/>
  <c r="U768" i="12"/>
  <c r="O768" i="12"/>
  <c r="AA768" i="12"/>
  <c r="K768" i="12"/>
  <c r="P768" i="12"/>
  <c r="AM768" i="12"/>
  <c r="AJ768" i="12"/>
  <c r="Z768" i="12"/>
  <c r="X768" i="12"/>
  <c r="R768" i="12"/>
  <c r="AK768" i="12"/>
  <c r="N768" i="12"/>
  <c r="Z744" i="12"/>
  <c r="V744" i="12"/>
  <c r="AL744" i="12"/>
  <c r="U744" i="12"/>
  <c r="Q744" i="12"/>
  <c r="N744" i="12"/>
  <c r="M744" i="12"/>
  <c r="AI744" i="12"/>
  <c r="K744" i="12"/>
  <c r="X744" i="12"/>
  <c r="S744" i="12"/>
  <c r="AK744" i="12"/>
  <c r="Y744" i="12"/>
  <c r="P744" i="12"/>
  <c r="AM744" i="12"/>
  <c r="W744" i="12"/>
  <c r="AJ744" i="12"/>
  <c r="AA744" i="12"/>
  <c r="R744" i="12"/>
  <c r="O744" i="12"/>
  <c r="T744" i="12"/>
  <c r="U746" i="12"/>
  <c r="P746" i="12"/>
  <c r="M746" i="12"/>
  <c r="AK746" i="12"/>
  <c r="AI746" i="12"/>
  <c r="V746" i="12"/>
  <c r="W746" i="12"/>
  <c r="R746" i="12"/>
  <c r="AJ746" i="12"/>
  <c r="Z746" i="12"/>
  <c r="Q746" i="12"/>
  <c r="K746" i="12"/>
  <c r="S746" i="12"/>
  <c r="O746" i="12"/>
  <c r="AL746" i="12"/>
  <c r="AA746" i="12"/>
  <c r="X746" i="12"/>
  <c r="AM746" i="12"/>
  <c r="Y746" i="12"/>
  <c r="T746" i="12"/>
  <c r="N746" i="12"/>
  <c r="AM751" i="12"/>
  <c r="Z751" i="12"/>
  <c r="T751" i="12"/>
  <c r="R751" i="12"/>
  <c r="N751" i="12"/>
  <c r="AI751" i="12"/>
  <c r="X751" i="12"/>
  <c r="U751" i="12"/>
  <c r="O751" i="12"/>
  <c r="AL751" i="12"/>
  <c r="K751" i="12"/>
  <c r="AA751" i="12"/>
  <c r="V751" i="12"/>
  <c r="S751" i="12"/>
  <c r="Y751" i="12"/>
  <c r="W751" i="12"/>
  <c r="AK751" i="12"/>
  <c r="AJ751" i="12"/>
  <c r="Q751" i="12"/>
  <c r="P751" i="12"/>
  <c r="M751" i="12"/>
  <c r="AM753" i="12"/>
  <c r="AL753" i="12"/>
  <c r="AI753" i="12"/>
  <c r="Z753" i="12"/>
  <c r="I753" i="12"/>
  <c r="AJ753" i="12"/>
  <c r="X753" i="12"/>
  <c r="T753" i="12"/>
  <c r="O753" i="12"/>
  <c r="K753" i="12"/>
  <c r="V753" i="12"/>
  <c r="AK753" i="12"/>
  <c r="N753" i="12"/>
  <c r="M753" i="12"/>
  <c r="R753" i="12"/>
  <c r="AA753" i="12"/>
  <c r="Y753" i="12"/>
  <c r="W753" i="12"/>
  <c r="U753" i="12"/>
  <c r="S753" i="12"/>
  <c r="Q753" i="12"/>
  <c r="P753" i="12"/>
  <c r="J753" i="12"/>
  <c r="AL733" i="12"/>
  <c r="T733" i="12"/>
  <c r="AI733" i="12"/>
  <c r="Y733" i="12"/>
  <c r="AJ733" i="12"/>
  <c r="AM733" i="12"/>
  <c r="U733" i="12"/>
  <c r="AK733" i="12"/>
  <c r="R733" i="12"/>
  <c r="P733" i="12"/>
  <c r="O733" i="12"/>
  <c r="K733" i="12"/>
  <c r="Z733" i="12"/>
  <c r="V733" i="12"/>
  <c r="J733" i="12"/>
  <c r="W733" i="12"/>
  <c r="S733" i="12"/>
  <c r="Q733" i="12"/>
  <c r="M733" i="12"/>
  <c r="AA733" i="12"/>
  <c r="X733" i="12"/>
  <c r="N733" i="12"/>
  <c r="AM741" i="12"/>
  <c r="AK741" i="12"/>
  <c r="V741" i="12"/>
  <c r="R741" i="12"/>
  <c r="Q741" i="12"/>
  <c r="O741" i="12"/>
  <c r="M741" i="12"/>
  <c r="U741" i="12"/>
  <c r="X741" i="12"/>
  <c r="AJ741" i="12"/>
  <c r="AA741" i="12"/>
  <c r="AL741" i="12"/>
  <c r="AI741" i="12"/>
  <c r="W741" i="12"/>
  <c r="T741" i="12"/>
  <c r="Z741" i="12"/>
  <c r="Y741" i="12"/>
  <c r="S741" i="12"/>
  <c r="P741" i="12"/>
  <c r="N741" i="12"/>
  <c r="V742" i="12"/>
  <c r="S742" i="12"/>
  <c r="K742" i="12"/>
  <c r="AJ742" i="12"/>
  <c r="Y742" i="12"/>
  <c r="W742" i="12"/>
  <c r="T742" i="12"/>
  <c r="Q742" i="12"/>
  <c r="AL742" i="12"/>
  <c r="Z742" i="12"/>
  <c r="U742" i="12"/>
  <c r="R742" i="12"/>
  <c r="AI742" i="12"/>
  <c r="O742" i="12"/>
  <c r="AA742" i="12"/>
  <c r="M742" i="12"/>
  <c r="AM742" i="12"/>
  <c r="AK742" i="12"/>
  <c r="X742" i="12"/>
  <c r="P742" i="12"/>
  <c r="N742" i="12"/>
  <c r="J742" i="12"/>
  <c r="AM717" i="12"/>
  <c r="X717" i="12"/>
  <c r="U717" i="12"/>
  <c r="AJ717" i="12"/>
  <c r="Z717" i="12"/>
  <c r="O717" i="12"/>
  <c r="AK717" i="12"/>
  <c r="AI717" i="12"/>
  <c r="V717" i="12"/>
  <c r="T717" i="12"/>
  <c r="Q717" i="12"/>
  <c r="W717" i="12"/>
  <c r="P717" i="12"/>
  <c r="AL717" i="12"/>
  <c r="Y717" i="12"/>
  <c r="R717" i="12"/>
  <c r="M717" i="12"/>
  <c r="S717" i="12"/>
  <c r="AA717" i="12"/>
  <c r="N717" i="12"/>
  <c r="V721" i="12"/>
  <c r="AM721" i="12"/>
  <c r="X721" i="12"/>
  <c r="U721" i="12"/>
  <c r="Q721" i="12"/>
  <c r="AI721" i="12"/>
  <c r="AL721" i="12"/>
  <c r="Z721" i="12"/>
  <c r="AK721" i="12"/>
  <c r="AJ721" i="12"/>
  <c r="Y721" i="12"/>
  <c r="W721" i="12"/>
  <c r="T721" i="12"/>
  <c r="S721" i="12"/>
  <c r="P721" i="12"/>
  <c r="AA721" i="12"/>
  <c r="R721" i="12"/>
  <c r="M704" i="12"/>
  <c r="X704" i="12"/>
  <c r="V704" i="12"/>
  <c r="AM704" i="12"/>
  <c r="AK704" i="12"/>
  <c r="AI704" i="12"/>
  <c r="Z704" i="12"/>
  <c r="Q704" i="12"/>
  <c r="AJ704" i="12"/>
  <c r="U704" i="12"/>
  <c r="R704" i="12"/>
  <c r="Y704" i="12"/>
  <c r="W704" i="12"/>
  <c r="S704" i="12"/>
  <c r="P704" i="12"/>
  <c r="AL704" i="12"/>
  <c r="AA704" i="12"/>
  <c r="T704" i="12"/>
  <c r="O704" i="12"/>
  <c r="N704" i="12"/>
  <c r="AA699" i="12"/>
  <c r="W699" i="12"/>
  <c r="U699" i="12"/>
  <c r="AJ699" i="12"/>
  <c r="AK699" i="12"/>
  <c r="Z699" i="12"/>
  <c r="V699" i="12"/>
  <c r="R699" i="12"/>
  <c r="J699" i="12"/>
  <c r="P699" i="12"/>
  <c r="K699" i="12"/>
  <c r="X699" i="12"/>
  <c r="O699" i="12"/>
  <c r="M699" i="12"/>
  <c r="AM699" i="12"/>
  <c r="Y699" i="12"/>
  <c r="T699" i="12"/>
  <c r="N699" i="12"/>
  <c r="AL699" i="12"/>
  <c r="AI699" i="12"/>
  <c r="S699" i="12"/>
  <c r="Q699" i="12"/>
  <c r="Y675" i="12"/>
  <c r="Z675" i="12"/>
  <c r="R675" i="12"/>
  <c r="S675" i="12"/>
  <c r="X675" i="12"/>
  <c r="Q675" i="12"/>
  <c r="U675" i="12"/>
  <c r="T675" i="12"/>
  <c r="N675" i="12"/>
  <c r="W675" i="12"/>
  <c r="O675" i="12"/>
  <c r="V675" i="12"/>
  <c r="P675" i="12"/>
  <c r="Q679" i="12"/>
  <c r="N679" i="12"/>
  <c r="AI679" i="12"/>
  <c r="T679" i="12"/>
  <c r="I679" i="12"/>
  <c r="AL679" i="12"/>
  <c r="Z679" i="12"/>
  <c r="W679" i="12"/>
  <c r="S679" i="12"/>
  <c r="O679" i="12"/>
  <c r="K679" i="12"/>
  <c r="AM679" i="12"/>
  <c r="AK679" i="12"/>
  <c r="AA679" i="12"/>
  <c r="V679" i="12"/>
  <c r="R679" i="12"/>
  <c r="P679" i="12"/>
  <c r="J679" i="12"/>
  <c r="Y679" i="12"/>
  <c r="U679" i="12"/>
  <c r="M679" i="12"/>
  <c r="AJ679" i="12"/>
  <c r="X679" i="12"/>
  <c r="AL686" i="12"/>
  <c r="Y686" i="12"/>
  <c r="O686" i="12"/>
  <c r="AJ686" i="12"/>
  <c r="S686" i="12"/>
  <c r="Q686" i="12"/>
  <c r="AA686" i="12"/>
  <c r="X686" i="12"/>
  <c r="AK686" i="12"/>
  <c r="W686" i="12"/>
  <c r="U686" i="12"/>
  <c r="P686" i="12"/>
  <c r="AM686" i="12"/>
  <c r="AI686" i="12"/>
  <c r="Z686" i="12"/>
  <c r="V686" i="12"/>
  <c r="T686" i="12"/>
  <c r="R686" i="12"/>
  <c r="X637" i="12"/>
  <c r="N637" i="12"/>
  <c r="AM637" i="12"/>
  <c r="AJ637" i="12"/>
  <c r="W637" i="12"/>
  <c r="Q637" i="12"/>
  <c r="R637" i="12"/>
  <c r="AK637" i="12"/>
  <c r="V637" i="12"/>
  <c r="Z637" i="12"/>
  <c r="M637" i="12"/>
  <c r="AA637" i="12"/>
  <c r="Y637" i="12"/>
  <c r="U637" i="12"/>
  <c r="S637" i="12"/>
  <c r="P637" i="12"/>
  <c r="O637" i="12"/>
  <c r="AL637" i="12"/>
  <c r="AI637" i="12"/>
  <c r="T637" i="12"/>
  <c r="Z620" i="12"/>
  <c r="U620" i="12"/>
  <c r="AL620" i="12"/>
  <c r="AK620" i="12"/>
  <c r="AI620" i="12"/>
  <c r="T620" i="12"/>
  <c r="R620" i="12"/>
  <c r="P620" i="12"/>
  <c r="AJ620" i="12"/>
  <c r="V620" i="12"/>
  <c r="X620" i="12"/>
  <c r="AM620" i="12"/>
  <c r="Y620" i="12"/>
  <c r="N620" i="12"/>
  <c r="M620" i="12"/>
  <c r="AA620" i="12"/>
  <c r="W620" i="12"/>
  <c r="Q620" i="12"/>
  <c r="S620" i="12"/>
  <c r="O620" i="12"/>
  <c r="AJ625" i="12"/>
  <c r="P625" i="12"/>
  <c r="AK625" i="12"/>
  <c r="Q625" i="12"/>
  <c r="O625" i="12"/>
  <c r="Z625" i="12"/>
  <c r="X625" i="12"/>
  <c r="U625" i="12"/>
  <c r="R625" i="12"/>
  <c r="AM625" i="12"/>
  <c r="AA625" i="12"/>
  <c r="W625" i="12"/>
  <c r="T625" i="12"/>
  <c r="S625" i="12"/>
  <c r="N625" i="12"/>
  <c r="J625" i="12"/>
  <c r="AL625" i="12"/>
  <c r="AI625" i="12"/>
  <c r="Y625" i="12"/>
  <c r="V625" i="12"/>
  <c r="M625" i="12"/>
  <c r="AC1494" i="12"/>
  <c r="AC1350" i="12"/>
  <c r="AC852" i="12"/>
  <c r="AC827" i="12"/>
  <c r="AC1446" i="12"/>
  <c r="G9" i="3"/>
  <c r="D11" i="3"/>
  <c r="AJ653" i="12"/>
  <c r="Y653" i="12"/>
  <c r="P653" i="12"/>
  <c r="J653" i="12"/>
  <c r="AM653" i="12"/>
  <c r="H653" i="12"/>
  <c r="AL653" i="12"/>
  <c r="F653" i="12"/>
  <c r="Q653" i="12"/>
  <c r="O653" i="12"/>
  <c r="K653" i="12"/>
  <c r="X653" i="12"/>
  <c r="S653" i="12"/>
  <c r="T653" i="12"/>
  <c r="I653" i="12"/>
  <c r="W653" i="12"/>
  <c r="G653" i="12"/>
  <c r="AC653" i="12" s="1"/>
  <c r="AK653" i="12"/>
  <c r="AI653" i="12"/>
  <c r="Z653" i="12"/>
  <c r="U653" i="12"/>
  <c r="AA653" i="12"/>
  <c r="V653" i="12"/>
  <c r="R653" i="12"/>
  <c r="M653" i="12"/>
  <c r="N653" i="12"/>
  <c r="AB1145" i="12"/>
  <c r="L1145" i="12"/>
  <c r="W718" i="12"/>
  <c r="V718" i="12"/>
  <c r="U718" i="12"/>
  <c r="T718" i="12"/>
  <c r="S718" i="12"/>
  <c r="Q718" i="12"/>
  <c r="P718" i="12"/>
  <c r="O718" i="12"/>
  <c r="N718" i="12"/>
  <c r="M718" i="12"/>
  <c r="R718" i="12"/>
  <c r="J718" i="12"/>
  <c r="G718" i="12"/>
  <c r="I718" i="12"/>
  <c r="F718" i="12"/>
  <c r="H718" i="12"/>
  <c r="AB718" i="12"/>
  <c r="L718" i="12"/>
  <c r="AM718" i="12"/>
  <c r="AL718" i="12"/>
  <c r="AK718" i="12"/>
  <c r="AJ718" i="12"/>
  <c r="AI718" i="12"/>
  <c r="AA718" i="12"/>
  <c r="Z718" i="12"/>
  <c r="Y718" i="12"/>
  <c r="X718" i="12"/>
  <c r="R657" i="12"/>
  <c r="AK657" i="12"/>
  <c r="V657" i="12"/>
  <c r="F657" i="12"/>
  <c r="AA657" i="12"/>
  <c r="W657" i="12"/>
  <c r="N657" i="12"/>
  <c r="AJ657" i="12"/>
  <c r="M657" i="12"/>
  <c r="O657" i="12"/>
  <c r="J657" i="12"/>
  <c r="AL657" i="12"/>
  <c r="P657" i="12"/>
  <c r="AI657" i="12"/>
  <c r="S657" i="12"/>
  <c r="Y657" i="12"/>
  <c r="T657" i="12"/>
  <c r="Z657" i="12"/>
  <c r="G657" i="12"/>
  <c r="AC657" i="12" s="1"/>
  <c r="I657" i="12"/>
  <c r="K657" i="12"/>
  <c r="Q657" i="12"/>
  <c r="U657" i="12"/>
  <c r="X657" i="12"/>
  <c r="AM657" i="12"/>
  <c r="H657" i="12"/>
  <c r="V868" i="12"/>
  <c r="F868" i="12"/>
  <c r="AL868" i="12"/>
  <c r="AI868" i="12"/>
  <c r="AA868" i="12"/>
  <c r="X868" i="12"/>
  <c r="U868" i="12"/>
  <c r="S868" i="12"/>
  <c r="P868" i="12"/>
  <c r="N868" i="12"/>
  <c r="K868" i="12"/>
  <c r="I868" i="12"/>
  <c r="AM868" i="12"/>
  <c r="Z868" i="12"/>
  <c r="W868" i="12"/>
  <c r="R868" i="12"/>
  <c r="J868" i="12"/>
  <c r="H868" i="12"/>
  <c r="M868" i="12"/>
  <c r="O868" i="12"/>
  <c r="Q868" i="12"/>
  <c r="T868" i="12"/>
  <c r="Y868" i="12"/>
  <c r="AJ868" i="12"/>
  <c r="AK868" i="12"/>
  <c r="G868" i="12"/>
  <c r="O828" i="12"/>
  <c r="T828" i="12"/>
  <c r="X828" i="12"/>
  <c r="AA828" i="12"/>
  <c r="F828" i="12"/>
  <c r="M828" i="12"/>
  <c r="AI828" i="12"/>
  <c r="AM828" i="12"/>
  <c r="R828" i="12"/>
  <c r="N828" i="12"/>
  <c r="J828" i="12"/>
  <c r="Y828" i="12"/>
  <c r="G828" i="12"/>
  <c r="I828" i="12"/>
  <c r="AK828" i="12"/>
  <c r="V828" i="12"/>
  <c r="P828" i="12"/>
  <c r="U828" i="12"/>
  <c r="AL828" i="12"/>
  <c r="W828" i="12"/>
  <c r="S828" i="12"/>
  <c r="K828" i="12"/>
  <c r="H828" i="12"/>
  <c r="AJ828" i="12"/>
  <c r="Z828" i="12"/>
  <c r="Q828" i="12"/>
  <c r="L747" i="12"/>
  <c r="AB747" i="12"/>
  <c r="AA658" i="12"/>
  <c r="J658" i="12"/>
  <c r="K658" i="12"/>
  <c r="F658" i="12"/>
  <c r="H658" i="12"/>
  <c r="AI658" i="12"/>
  <c r="AM658" i="12"/>
  <c r="G658" i="12"/>
  <c r="W658" i="12"/>
  <c r="AL658" i="12"/>
  <c r="P658" i="12"/>
  <c r="I658" i="12"/>
  <c r="M658" i="12"/>
  <c r="X658" i="12"/>
  <c r="S658" i="12"/>
  <c r="N658" i="12"/>
  <c r="O658" i="12"/>
  <c r="AJ658" i="12"/>
  <c r="AK658" i="12"/>
  <c r="V658" i="12"/>
  <c r="R658" i="12"/>
  <c r="Y658" i="12"/>
  <c r="L771" i="12"/>
  <c r="AB771" i="12"/>
  <c r="AB774" i="12"/>
  <c r="L774" i="12"/>
  <c r="AB781" i="12"/>
  <c r="L781" i="12"/>
  <c r="L784" i="12"/>
  <c r="AB784" i="12"/>
  <c r="AB761" i="12"/>
  <c r="L761" i="12"/>
  <c r="AB768" i="12"/>
  <c r="L768" i="12"/>
  <c r="AB744" i="12"/>
  <c r="L744" i="12"/>
  <c r="AB746" i="12"/>
  <c r="L746" i="12"/>
  <c r="L751" i="12"/>
  <c r="AB751" i="12"/>
  <c r="L753" i="12"/>
  <c r="AB753" i="12"/>
  <c r="L733" i="12"/>
  <c r="AB733" i="12"/>
  <c r="J741" i="12"/>
  <c r="AB741" i="12"/>
  <c r="I741" i="12"/>
  <c r="K741" i="12"/>
  <c r="F741" i="12"/>
  <c r="G741" i="12"/>
  <c r="L741" i="12"/>
  <c r="AB742" i="12"/>
  <c r="L742" i="12"/>
  <c r="F742" i="12"/>
  <c r="I742" i="12"/>
  <c r="H742" i="12"/>
  <c r="G742" i="12"/>
  <c r="F717" i="12"/>
  <c r="J717" i="12"/>
  <c r="I717" i="12"/>
  <c r="K717" i="12"/>
  <c r="AB717" i="12"/>
  <c r="L717" i="12"/>
  <c r="G717" i="12"/>
  <c r="H717" i="12"/>
  <c r="K721" i="12"/>
  <c r="L721" i="12"/>
  <c r="J721" i="12"/>
  <c r="I721" i="12"/>
  <c r="H721" i="12"/>
  <c r="F721" i="12"/>
  <c r="G721" i="12"/>
  <c r="AB721" i="12"/>
  <c r="O721" i="12"/>
  <c r="M721" i="12"/>
  <c r="N721" i="12"/>
  <c r="G704" i="12"/>
  <c r="I704" i="12"/>
  <c r="F704" i="12"/>
  <c r="AC704" i="12" s="1"/>
  <c r="J704" i="12"/>
  <c r="K704" i="12"/>
  <c r="H704" i="12"/>
  <c r="H699" i="12"/>
  <c r="I699" i="12"/>
  <c r="G699" i="12"/>
  <c r="F699" i="12"/>
  <c r="M675" i="12"/>
  <c r="J675" i="12"/>
  <c r="K675" i="12"/>
  <c r="F679" i="12"/>
  <c r="G679" i="12"/>
  <c r="H679" i="12"/>
  <c r="N686" i="12"/>
  <c r="M686" i="12"/>
  <c r="J686" i="12"/>
  <c r="I686" i="12"/>
  <c r="F686" i="12"/>
  <c r="G686" i="12"/>
  <c r="H686" i="12"/>
  <c r="K686" i="12"/>
  <c r="AM668" i="12"/>
  <c r="X668" i="12"/>
  <c r="S668" i="12"/>
  <c r="K668" i="12"/>
  <c r="H668" i="12"/>
  <c r="Z668" i="12"/>
  <c r="T668" i="12"/>
  <c r="V668" i="12"/>
  <c r="M668" i="12"/>
  <c r="W668" i="12"/>
  <c r="F668" i="12"/>
  <c r="AK668" i="12"/>
  <c r="U668" i="12"/>
  <c r="R668" i="12"/>
  <c r="Q668" i="12"/>
  <c r="I668" i="12"/>
  <c r="O668" i="12"/>
  <c r="P668" i="12"/>
  <c r="AA668" i="12"/>
  <c r="AJ668" i="12"/>
  <c r="Y668" i="12"/>
  <c r="N668" i="12"/>
  <c r="AL668" i="12"/>
  <c r="G668" i="12"/>
  <c r="J668" i="12"/>
  <c r="AI668" i="12"/>
  <c r="L516" i="12"/>
  <c r="AB516" i="12"/>
  <c r="AB493" i="12"/>
  <c r="L493" i="12"/>
  <c r="AB503" i="12"/>
  <c r="L503" i="12"/>
  <c r="AB478" i="12"/>
  <c r="L478" i="12"/>
  <c r="AB464" i="12"/>
  <c r="L464" i="12"/>
  <c r="K885" i="12"/>
  <c r="O885" i="12"/>
  <c r="L248" i="12"/>
  <c r="AB248" i="12"/>
  <c r="AB233" i="12"/>
  <c r="L233" i="12"/>
  <c r="AB220" i="12"/>
  <c r="L220" i="12"/>
  <c r="AB707" i="12"/>
  <c r="L707" i="12"/>
  <c r="L279" i="12"/>
  <c r="AB279" i="12"/>
  <c r="L245" i="12"/>
  <c r="AB245" i="12"/>
  <c r="AB212" i="12"/>
  <c r="L212" i="12"/>
  <c r="AB323" i="12"/>
  <c r="L323" i="12"/>
  <c r="L324" i="12"/>
  <c r="AB324" i="12"/>
  <c r="AB325" i="12"/>
  <c r="L325" i="12"/>
  <c r="L327" i="12"/>
  <c r="AB327" i="12"/>
  <c r="L330" i="12"/>
  <c r="AB330" i="12"/>
  <c r="L331" i="12"/>
  <c r="AB331" i="12"/>
  <c r="AB332" i="12"/>
  <c r="L332" i="12"/>
  <c r="AB311" i="12"/>
  <c r="L311" i="12"/>
  <c r="L314" i="12"/>
  <c r="AB314" i="12"/>
  <c r="AB315" i="12"/>
  <c r="L315" i="12"/>
  <c r="L316" i="12"/>
  <c r="AB316" i="12"/>
  <c r="L319" i="12"/>
  <c r="AB319" i="12"/>
  <c r="AB295" i="12"/>
  <c r="L295" i="12"/>
  <c r="AB296" i="12"/>
  <c r="L296" i="12"/>
  <c r="L299" i="12"/>
  <c r="AB299" i="12"/>
  <c r="AB302" i="12"/>
  <c r="L302" i="12"/>
  <c r="AB303" i="12"/>
  <c r="L303" i="12"/>
  <c r="L286" i="12"/>
  <c r="AB286" i="12"/>
  <c r="AB289" i="12"/>
  <c r="L289" i="12"/>
  <c r="L291" i="12"/>
  <c r="AB291" i="12"/>
  <c r="AB267" i="12"/>
  <c r="L267" i="12"/>
  <c r="L271" i="12"/>
  <c r="AB271" i="12"/>
  <c r="AB275" i="12"/>
  <c r="L275" i="12"/>
  <c r="L277" i="12"/>
  <c r="AB277" i="12"/>
  <c r="L254" i="12"/>
  <c r="AB254" i="12"/>
  <c r="AB231" i="12"/>
  <c r="L231" i="12"/>
  <c r="L213" i="12"/>
  <c r="AB213" i="12"/>
  <c r="AB218" i="12"/>
  <c r="L218" i="12"/>
  <c r="AB219" i="12"/>
  <c r="L219" i="12"/>
  <c r="AB268" i="12"/>
  <c r="L268" i="12"/>
  <c r="L260" i="12"/>
  <c r="AB260" i="12"/>
  <c r="L241" i="12"/>
  <c r="AB241" i="12"/>
  <c r="AB249" i="12"/>
  <c r="L249" i="12"/>
  <c r="L250" i="12"/>
  <c r="AB250" i="12"/>
  <c r="L226" i="12"/>
  <c r="AB226" i="12"/>
  <c r="L227" i="12"/>
  <c r="AB227" i="12"/>
  <c r="AB230" i="12"/>
  <c r="L230" i="12"/>
  <c r="AB236" i="12"/>
  <c r="L236" i="12"/>
  <c r="AB237" i="12"/>
  <c r="L237" i="12"/>
  <c r="AB214" i="12"/>
  <c r="L214" i="12"/>
  <c r="AB217" i="12"/>
  <c r="L217" i="12"/>
  <c r="AB222" i="12"/>
  <c r="L222" i="12"/>
  <c r="L209" i="12"/>
  <c r="AB209" i="12"/>
  <c r="AB73" i="12"/>
  <c r="L73" i="12"/>
  <c r="AB76" i="12"/>
  <c r="L76" i="12"/>
  <c r="L44" i="12"/>
  <c r="AB44" i="12"/>
  <c r="AB305" i="12"/>
  <c r="L305" i="12"/>
  <c r="L284" i="12"/>
  <c r="AB284" i="12"/>
  <c r="L264" i="12"/>
  <c r="AB264" i="12"/>
  <c r="AB247" i="12"/>
  <c r="L247" i="12"/>
  <c r="AB297" i="12"/>
  <c r="L297" i="12"/>
  <c r="AB263" i="12"/>
  <c r="L263" i="12"/>
  <c r="AB238" i="12"/>
  <c r="L238" i="12"/>
  <c r="AB309" i="12"/>
  <c r="L309" i="12"/>
  <c r="AB329" i="12"/>
  <c r="L329" i="12"/>
  <c r="L283" i="12"/>
  <c r="AB283" i="12"/>
  <c r="AB280" i="12"/>
  <c r="L280" i="12"/>
  <c r="L259" i="12"/>
  <c r="AB259" i="12"/>
  <c r="L262" i="12"/>
  <c r="AB262" i="12"/>
  <c r="L244" i="12"/>
  <c r="AB244" i="12"/>
  <c r="L235" i="12"/>
  <c r="AB235" i="12"/>
  <c r="L317" i="12"/>
  <c r="AB317" i="12"/>
  <c r="L322" i="12"/>
  <c r="AB322" i="12"/>
  <c r="AB290" i="12"/>
  <c r="L290" i="12"/>
  <c r="L216" i="12"/>
  <c r="AB216" i="12"/>
  <c r="L336" i="12"/>
  <c r="AB336" i="12"/>
  <c r="AB225" i="12"/>
  <c r="L225" i="12"/>
  <c r="L258" i="12"/>
  <c r="AB258" i="12"/>
  <c r="L312" i="12"/>
  <c r="AB312" i="12"/>
  <c r="AB274" i="12"/>
  <c r="L274" i="12"/>
  <c r="L215" i="12"/>
  <c r="AB215" i="12"/>
  <c r="L310" i="12"/>
  <c r="AB310" i="12"/>
  <c r="L208" i="12"/>
  <c r="AB208" i="12"/>
  <c r="AB234" i="12"/>
  <c r="L234" i="12"/>
  <c r="L300" i="12"/>
  <c r="AB300" i="12"/>
  <c r="AB294" i="12"/>
  <c r="L294" i="12"/>
  <c r="AB282" i="12"/>
  <c r="L282" i="12"/>
  <c r="L313" i="12"/>
  <c r="AB313" i="12"/>
  <c r="AB307" i="12"/>
  <c r="L307" i="12"/>
  <c r="AB285" i="12"/>
  <c r="L285" i="12"/>
  <c r="L261" i="12"/>
  <c r="AB261" i="12"/>
  <c r="L266" i="12"/>
  <c r="AB266" i="12"/>
  <c r="AB246" i="12"/>
  <c r="L246" i="12"/>
  <c r="AB229" i="12"/>
  <c r="L229" i="12"/>
  <c r="L210" i="12"/>
  <c r="AB210" i="12"/>
  <c r="L318" i="12"/>
  <c r="AB318" i="12"/>
  <c r="L281" i="12"/>
  <c r="AB281" i="12"/>
  <c r="L287" i="12"/>
  <c r="AB287" i="12"/>
  <c r="AB340" i="12"/>
  <c r="L340" i="12"/>
  <c r="AB223" i="12"/>
  <c r="L223" i="12"/>
  <c r="AB333" i="12"/>
  <c r="L333" i="12"/>
  <c r="L298" i="12"/>
  <c r="AB298" i="12"/>
  <c r="Y660" i="12"/>
  <c r="AJ660" i="12"/>
  <c r="W660" i="12"/>
  <c r="S660" i="12"/>
  <c r="Q660" i="12"/>
  <c r="U660" i="12"/>
  <c r="P660" i="12"/>
  <c r="AK660" i="12"/>
  <c r="AA660" i="12"/>
  <c r="X660" i="12"/>
  <c r="Z660" i="12"/>
  <c r="T660" i="12"/>
  <c r="M660" i="12"/>
  <c r="F660" i="12"/>
  <c r="AL660" i="12"/>
  <c r="O660" i="12"/>
  <c r="N660" i="12"/>
  <c r="J660" i="12"/>
  <c r="H660" i="12"/>
  <c r="G660" i="12"/>
  <c r="I660" i="12"/>
  <c r="K660" i="12"/>
  <c r="R660" i="12"/>
  <c r="AI660" i="12"/>
  <c r="V660" i="12"/>
  <c r="AC660" i="12"/>
  <c r="AM660" i="12"/>
  <c r="Q662" i="12"/>
  <c r="N662" i="12"/>
  <c r="I662" i="12"/>
  <c r="S662" i="12"/>
  <c r="P662" i="12"/>
  <c r="X662" i="12"/>
  <c r="V662" i="12"/>
  <c r="O662" i="12"/>
  <c r="J662" i="12"/>
  <c r="Z662" i="12"/>
  <c r="AL662" i="12"/>
  <c r="W662" i="12"/>
  <c r="R662" i="12"/>
  <c r="M662" i="12"/>
  <c r="K662" i="12"/>
  <c r="AJ662" i="12"/>
  <c r="G662" i="12"/>
  <c r="AA662" i="12"/>
  <c r="U662" i="12"/>
  <c r="Y662" i="12"/>
  <c r="T662" i="12"/>
  <c r="H662" i="12"/>
  <c r="F662" i="12"/>
  <c r="AC662" i="12" s="1"/>
  <c r="AK662" i="12"/>
  <c r="AI662" i="12"/>
  <c r="AM662" i="12"/>
  <c r="G667" i="12"/>
  <c r="K667" i="12"/>
  <c r="N667" i="12"/>
  <c r="R667" i="12"/>
  <c r="U667" i="12"/>
  <c r="T667" i="12"/>
  <c r="V667" i="12"/>
  <c r="Y667" i="12"/>
  <c r="AA667" i="12"/>
  <c r="AK667" i="12"/>
  <c r="F667" i="12"/>
  <c r="AC667" i="12" s="1"/>
  <c r="O667" i="12"/>
  <c r="AI667" i="12"/>
  <c r="AB536" i="12"/>
  <c r="L536" i="12"/>
  <c r="AB335" i="12"/>
  <c r="L335" i="12"/>
  <c r="L301" i="12"/>
  <c r="AB301" i="12"/>
  <c r="L292" i="12"/>
  <c r="AB292" i="12"/>
  <c r="AB232" i="12"/>
  <c r="L232" i="12"/>
  <c r="AB466" i="12"/>
  <c r="L466" i="12"/>
  <c r="L583" i="12"/>
  <c r="AB583" i="12"/>
  <c r="AB257" i="12"/>
  <c r="L257" i="12"/>
  <c r="AB580" i="12"/>
  <c r="L580" i="12"/>
  <c r="AB582" i="12"/>
  <c r="L582" i="12"/>
  <c r="AB485" i="12"/>
  <c r="L485" i="12"/>
  <c r="L326" i="12"/>
  <c r="AB326" i="12"/>
  <c r="L253" i="12"/>
  <c r="AB253" i="12"/>
  <c r="AB569" i="12"/>
  <c r="L569" i="12"/>
  <c r="L511" i="12"/>
  <c r="AB511" i="12"/>
  <c r="AB273" i="12"/>
  <c r="L273" i="12"/>
  <c r="L256" i="12"/>
  <c r="AB256" i="12"/>
  <c r="L265" i="12"/>
  <c r="AB265" i="12"/>
  <c r="AB556" i="12"/>
  <c r="L556" i="12"/>
  <c r="L494" i="12"/>
  <c r="AB494" i="12"/>
  <c r="AB480" i="12"/>
  <c r="L480" i="12"/>
  <c r="L542" i="12"/>
  <c r="AB542" i="12"/>
  <c r="AB328" i="12"/>
  <c r="L328" i="12"/>
  <c r="L276" i="12"/>
  <c r="AB276" i="12"/>
  <c r="AB252" i="12"/>
  <c r="L252" i="12"/>
  <c r="L544" i="12"/>
  <c r="AB544" i="12"/>
  <c r="J1513" i="12"/>
  <c r="W1513" i="12"/>
  <c r="M1513" i="12"/>
  <c r="G1513" i="12"/>
  <c r="F1513" i="12"/>
  <c r="AC1513" i="12" s="1"/>
  <c r="AK1513" i="12"/>
  <c r="V1513" i="12"/>
  <c r="AL1513" i="12"/>
  <c r="AJ1513" i="12"/>
  <c r="T1513" i="12"/>
  <c r="R1513" i="12"/>
  <c r="Z1513" i="12"/>
  <c r="X1513" i="12"/>
  <c r="U1513" i="12"/>
  <c r="P1513" i="12"/>
  <c r="Y1513" i="12"/>
  <c r="S1513" i="12"/>
  <c r="Q1513" i="12"/>
  <c r="O1513" i="12"/>
  <c r="K1513" i="12"/>
  <c r="H1513" i="12"/>
  <c r="AM1513" i="12"/>
  <c r="AI1513" i="12"/>
  <c r="AA1513" i="12"/>
  <c r="N1513" i="12"/>
  <c r="I1513" i="12"/>
  <c r="AI1500" i="12"/>
  <c r="Y1500" i="12"/>
  <c r="M1500" i="12"/>
  <c r="U1500" i="12"/>
  <c r="F1500" i="12"/>
  <c r="AJ1500" i="12"/>
  <c r="J1500" i="12"/>
  <c r="V1500" i="12"/>
  <c r="K1500" i="12"/>
  <c r="W1500" i="12"/>
  <c r="H1500" i="12"/>
  <c r="AK1500" i="12"/>
  <c r="O1500" i="12"/>
  <c r="AA1500" i="12"/>
  <c r="T1500" i="12"/>
  <c r="S1500" i="12"/>
  <c r="N1500" i="12"/>
  <c r="Z1500" i="12"/>
  <c r="Q1500" i="12"/>
  <c r="AM1500" i="12"/>
  <c r="AL1500" i="12"/>
  <c r="X1500" i="12"/>
  <c r="R1500" i="12"/>
  <c r="P1500" i="12"/>
  <c r="I1500" i="12"/>
  <c r="G1500" i="12"/>
  <c r="U1502" i="12"/>
  <c r="Y1502" i="12"/>
  <c r="F1502" i="12"/>
  <c r="Q1502" i="12"/>
  <c r="AA1502" i="12"/>
  <c r="X1502" i="12"/>
  <c r="AM1502" i="12"/>
  <c r="P1502" i="12"/>
  <c r="Z1502" i="12"/>
  <c r="N1502" i="12"/>
  <c r="AL1502" i="12"/>
  <c r="V1502" i="12"/>
  <c r="T1502" i="12"/>
  <c r="M1502" i="12"/>
  <c r="AJ1502" i="12"/>
  <c r="AI1502" i="12"/>
  <c r="S1502" i="12"/>
  <c r="J1502" i="12"/>
  <c r="I1502" i="12"/>
  <c r="G1502" i="12"/>
  <c r="R1502" i="12"/>
  <c r="K1502" i="12"/>
  <c r="AK1502" i="12"/>
  <c r="W1502" i="12"/>
  <c r="O1502" i="12"/>
  <c r="H1502" i="12"/>
  <c r="AM1506" i="12"/>
  <c r="V1506" i="12"/>
  <c r="S1506" i="12"/>
  <c r="H1506" i="12"/>
  <c r="Z1506" i="12"/>
  <c r="R1506" i="12"/>
  <c r="P1506" i="12"/>
  <c r="AA1506" i="12"/>
  <c r="U1506" i="12"/>
  <c r="AK1506" i="12"/>
  <c r="X1506" i="12"/>
  <c r="T1506" i="12"/>
  <c r="J1506" i="12"/>
  <c r="AL1506" i="12"/>
  <c r="Y1506" i="12"/>
  <c r="Q1506" i="12"/>
  <c r="AJ1506" i="12"/>
  <c r="W1506" i="12"/>
  <c r="AI1506" i="12"/>
  <c r="N1506" i="12"/>
  <c r="K1506" i="12"/>
  <c r="O1506" i="12"/>
  <c r="M1506" i="12"/>
  <c r="I1506" i="12"/>
  <c r="G1506" i="12"/>
  <c r="F1506" i="12"/>
  <c r="AA1507" i="12"/>
  <c r="Z1507" i="12"/>
  <c r="J1507" i="12"/>
  <c r="AK1507" i="12"/>
  <c r="V1507" i="12"/>
  <c r="Y1507" i="12"/>
  <c r="U1507" i="12"/>
  <c r="H1507" i="12"/>
  <c r="AL1507" i="12"/>
  <c r="AI1507" i="12"/>
  <c r="T1507" i="12"/>
  <c r="R1507" i="12"/>
  <c r="P1507" i="12"/>
  <c r="I1507" i="12"/>
  <c r="M1507" i="12"/>
  <c r="AM1507" i="12"/>
  <c r="Q1507" i="12"/>
  <c r="N1507" i="12"/>
  <c r="K1507" i="12"/>
  <c r="S1507" i="12"/>
  <c r="O1507" i="12"/>
  <c r="G1507" i="12"/>
  <c r="W1507" i="12"/>
  <c r="X1507" i="12"/>
  <c r="AJ1507" i="12"/>
  <c r="F1507" i="12"/>
  <c r="AC1507" i="12" s="1"/>
  <c r="AJ1509" i="12"/>
  <c r="J1509" i="12"/>
  <c r="U1509" i="12"/>
  <c r="H1509" i="12"/>
  <c r="K1509" i="12"/>
  <c r="AI1509" i="12"/>
  <c r="Y1509" i="12"/>
  <c r="W1509" i="12"/>
  <c r="S1509" i="12"/>
  <c r="N1509" i="12"/>
  <c r="AL1509" i="12"/>
  <c r="Q1509" i="12"/>
  <c r="O1509" i="12"/>
  <c r="AM1509" i="12"/>
  <c r="AK1509" i="12"/>
  <c r="V1509" i="12"/>
  <c r="T1509" i="12"/>
  <c r="P1509" i="12"/>
  <c r="I1509" i="12"/>
  <c r="AA1509" i="12"/>
  <c r="Z1509" i="12"/>
  <c r="M1509" i="12"/>
  <c r="F1509" i="12"/>
  <c r="R1509" i="12"/>
  <c r="G1509" i="12"/>
  <c r="X1509" i="12"/>
  <c r="AJ1511" i="12"/>
  <c r="Z1511" i="12"/>
  <c r="V1511" i="12"/>
  <c r="J1511" i="12"/>
  <c r="T1511" i="12"/>
  <c r="H1511" i="12"/>
  <c r="P1511" i="12"/>
  <c r="Q1511" i="12"/>
  <c r="O1511" i="12"/>
  <c r="W1511" i="12"/>
  <c r="Y1511" i="12"/>
  <c r="X1511" i="12"/>
  <c r="AM1511" i="12"/>
  <c r="AK1511" i="12"/>
  <c r="AI1511" i="12"/>
  <c r="U1511" i="12"/>
  <c r="K1511" i="12"/>
  <c r="F1511" i="12"/>
  <c r="AL1511" i="12"/>
  <c r="AA1511" i="12"/>
  <c r="R1511" i="12"/>
  <c r="N1511" i="12"/>
  <c r="S1511" i="12"/>
  <c r="M1511" i="12"/>
  <c r="I1511" i="12"/>
  <c r="G1511" i="12"/>
  <c r="AC1511" i="12" s="1"/>
  <c r="G10" i="3"/>
  <c r="G12" i="3" s="1"/>
  <c r="B11" i="3"/>
  <c r="AC1014" i="12"/>
  <c r="AC1508" i="12"/>
  <c r="AC860" i="12"/>
  <c r="V965" i="12"/>
  <c r="N965" i="12"/>
  <c r="K965" i="12"/>
  <c r="T965" i="12"/>
  <c r="Z965" i="12"/>
  <c r="AK965" i="12"/>
  <c r="G965" i="12"/>
  <c r="M965" i="12"/>
  <c r="Y965" i="12"/>
  <c r="P965" i="12"/>
  <c r="AA965" i="12"/>
  <c r="O965" i="12"/>
  <c r="S965" i="12"/>
  <c r="F965" i="12"/>
  <c r="AC965" i="12" s="1"/>
  <c r="Q965" i="12"/>
  <c r="J965" i="12"/>
  <c r="U965" i="12"/>
  <c r="AI965" i="12"/>
  <c r="R965" i="12"/>
  <c r="AL965" i="12"/>
  <c r="X965" i="12"/>
  <c r="AB965" i="12"/>
  <c r="L965" i="12"/>
  <c r="W965" i="12"/>
  <c r="AJ965" i="12"/>
  <c r="AM965" i="12"/>
  <c r="I965" i="12"/>
  <c r="H965" i="12"/>
  <c r="V949" i="12"/>
  <c r="AI949" i="12"/>
  <c r="M949" i="12"/>
  <c r="R949" i="12"/>
  <c r="U949" i="12"/>
  <c r="X949" i="12"/>
  <c r="AK949" i="12"/>
  <c r="G949" i="12"/>
  <c r="I949" i="12"/>
  <c r="K949" i="12"/>
  <c r="Z949" i="12"/>
  <c r="J949" i="12"/>
  <c r="O949" i="12"/>
  <c r="Q949" i="12"/>
  <c r="W949" i="12"/>
  <c r="Y949" i="12"/>
  <c r="AA949" i="12"/>
  <c r="AJ949" i="12"/>
  <c r="AL949" i="12"/>
  <c r="AM949" i="12"/>
  <c r="T949" i="12"/>
  <c r="L949" i="12"/>
  <c r="AB949" i="12"/>
  <c r="N949" i="12"/>
  <c r="F949" i="12"/>
  <c r="AC949" i="12" s="1"/>
  <c r="P949" i="12"/>
  <c r="S949" i="12"/>
  <c r="H949" i="12"/>
  <c r="H964" i="12"/>
  <c r="G964" i="12"/>
  <c r="J964" i="12"/>
  <c r="I964" i="12"/>
  <c r="F964" i="12"/>
  <c r="AC964" i="12" s="1"/>
  <c r="M964" i="12"/>
  <c r="L964" i="12"/>
  <c r="AB964" i="12"/>
  <c r="K964" i="12"/>
  <c r="AB940" i="12"/>
  <c r="M940" i="12"/>
  <c r="F940" i="12"/>
  <c r="I940" i="12"/>
  <c r="N940" i="12"/>
  <c r="L940" i="12"/>
  <c r="G940" i="12"/>
  <c r="K940" i="12"/>
  <c r="J940" i="12"/>
  <c r="H940" i="12"/>
  <c r="Z943" i="12"/>
  <c r="T943" i="12"/>
  <c r="AM943" i="12"/>
  <c r="K943" i="12"/>
  <c r="P943" i="12"/>
  <c r="G943" i="12"/>
  <c r="AL943" i="12"/>
  <c r="I943" i="12"/>
  <c r="L943" i="12"/>
  <c r="AB943" i="12"/>
  <c r="S943" i="12"/>
  <c r="H943" i="12"/>
  <c r="F943" i="12"/>
  <c r="AC943" i="12" s="1"/>
  <c r="Q943" i="12"/>
  <c r="N943" i="12"/>
  <c r="J943" i="12"/>
  <c r="AK943" i="12"/>
  <c r="V943" i="12"/>
  <c r="X943" i="12"/>
  <c r="W943" i="12"/>
  <c r="AA943" i="12"/>
  <c r="AI943" i="12"/>
  <c r="AJ943" i="12"/>
  <c r="M943" i="12"/>
  <c r="Y943" i="12"/>
  <c r="U943" i="12"/>
  <c r="R943" i="12"/>
  <c r="O943" i="12"/>
  <c r="R926" i="12"/>
  <c r="X926" i="12"/>
  <c r="O926" i="12"/>
  <c r="T926" i="12"/>
  <c r="W926" i="12"/>
  <c r="L926" i="12"/>
  <c r="J926" i="12"/>
  <c r="AM926" i="12"/>
  <c r="H926" i="12"/>
  <c r="K926" i="12"/>
  <c r="F926" i="12"/>
  <c r="N926" i="12"/>
  <c r="P926" i="12"/>
  <c r="Q926" i="12"/>
  <c r="G926" i="12"/>
  <c r="I926" i="12"/>
  <c r="M926" i="12"/>
  <c r="S926" i="12"/>
  <c r="AA926" i="12"/>
  <c r="AJ926" i="12"/>
  <c r="U926" i="12"/>
  <c r="Z926" i="12"/>
  <c r="AI926" i="12"/>
  <c r="AL926" i="12"/>
  <c r="AB926" i="12"/>
  <c r="V926" i="12"/>
  <c r="Y926" i="12"/>
  <c r="AK926" i="12"/>
  <c r="AM929" i="12"/>
  <c r="M929" i="12"/>
  <c r="AL929" i="12"/>
  <c r="F929" i="12"/>
  <c r="H929" i="12"/>
  <c r="I929" i="12"/>
  <c r="AA929" i="12"/>
  <c r="AK929" i="12"/>
  <c r="N929" i="12"/>
  <c r="V929" i="12"/>
  <c r="U929" i="12"/>
  <c r="K929" i="12"/>
  <c r="O929" i="12"/>
  <c r="S929" i="12"/>
  <c r="G929" i="12"/>
  <c r="AI929" i="12"/>
  <c r="X929" i="12"/>
  <c r="P929" i="12"/>
  <c r="AJ929" i="12"/>
  <c r="Y929" i="12"/>
  <c r="W929" i="12"/>
  <c r="L929" i="12"/>
  <c r="AB929" i="12"/>
  <c r="T929" i="12"/>
  <c r="Z929" i="12"/>
  <c r="J929" i="12"/>
  <c r="R929" i="12"/>
  <c r="Q929" i="12"/>
  <c r="M932" i="12"/>
  <c r="J932" i="12"/>
  <c r="H932" i="12"/>
  <c r="V932" i="12"/>
  <c r="R932" i="12"/>
  <c r="L932" i="12"/>
  <c r="AB932" i="12"/>
  <c r="U932" i="12"/>
  <c r="Q932" i="12"/>
  <c r="T932" i="12"/>
  <c r="W932" i="12"/>
  <c r="AK932" i="12"/>
  <c r="O932" i="12"/>
  <c r="N932" i="12"/>
  <c r="K932" i="12"/>
  <c r="G932" i="12"/>
  <c r="Y932" i="12"/>
  <c r="F932" i="12"/>
  <c r="AC932" i="12" s="1"/>
  <c r="I932" i="12"/>
  <c r="AL932" i="12"/>
  <c r="AI932" i="12"/>
  <c r="X932" i="12"/>
  <c r="AA932" i="12"/>
  <c r="AJ932" i="12"/>
  <c r="P932" i="12"/>
  <c r="AM932" i="12"/>
  <c r="S932" i="12"/>
  <c r="Z932" i="12"/>
  <c r="AK912" i="12"/>
  <c r="F912" i="12"/>
  <c r="G912" i="12"/>
  <c r="AI912" i="12"/>
  <c r="T912" i="12"/>
  <c r="Z912" i="12"/>
  <c r="Y912" i="12"/>
  <c r="AM912" i="12"/>
  <c r="N912" i="12"/>
  <c r="P912" i="12"/>
  <c r="W912" i="12"/>
  <c r="AL912" i="12"/>
  <c r="K912" i="12"/>
  <c r="M912" i="12"/>
  <c r="O912" i="12"/>
  <c r="Q912" i="12"/>
  <c r="R912" i="12"/>
  <c r="H912" i="12"/>
  <c r="AJ912" i="12"/>
  <c r="U912" i="12"/>
  <c r="S912" i="12"/>
  <c r="X912" i="12"/>
  <c r="V912" i="12"/>
  <c r="AA912" i="12"/>
  <c r="J912" i="12"/>
  <c r="I912" i="12"/>
  <c r="L912" i="12"/>
  <c r="AB912" i="12"/>
  <c r="K919" i="12"/>
  <c r="S919" i="12"/>
  <c r="F919" i="12"/>
  <c r="L919" i="12"/>
  <c r="J919" i="12"/>
  <c r="AB919" i="12"/>
  <c r="AL919" i="12"/>
  <c r="Z919" i="12"/>
  <c r="R919" i="12"/>
  <c r="X919" i="12"/>
  <c r="V919" i="12"/>
  <c r="Y919" i="12"/>
  <c r="U919" i="12"/>
  <c r="AK919" i="12"/>
  <c r="M919" i="12"/>
  <c r="AA919" i="12"/>
  <c r="I919" i="12"/>
  <c r="N919" i="12"/>
  <c r="Q919" i="12"/>
  <c r="T919" i="12"/>
  <c r="AI919" i="12"/>
  <c r="AJ919" i="12"/>
  <c r="G919" i="12"/>
  <c r="P919" i="12"/>
  <c r="AM919" i="12"/>
  <c r="H919" i="12"/>
  <c r="O919" i="12"/>
  <c r="W919" i="12"/>
  <c r="AL921" i="12"/>
  <c r="AJ921" i="12"/>
  <c r="L921" i="12"/>
  <c r="P921" i="12"/>
  <c r="J921" i="12"/>
  <c r="G921" i="12"/>
  <c r="F921" i="12"/>
  <c r="K921" i="12"/>
  <c r="W921" i="12"/>
  <c r="S921" i="12"/>
  <c r="N921" i="12"/>
  <c r="AB921" i="12"/>
  <c r="Q921" i="12"/>
  <c r="AI921" i="12"/>
  <c r="H921" i="12"/>
  <c r="O921" i="12"/>
  <c r="I921" i="12"/>
  <c r="M921" i="12"/>
  <c r="V921" i="12"/>
  <c r="X921" i="12"/>
  <c r="Y921" i="12"/>
  <c r="AA921" i="12"/>
  <c r="AM921" i="12"/>
  <c r="AK921" i="12"/>
  <c r="Z921" i="12"/>
  <c r="U921" i="12"/>
  <c r="T921" i="12"/>
  <c r="R921" i="12"/>
  <c r="AB898" i="12"/>
  <c r="I898" i="12"/>
  <c r="G898" i="12"/>
  <c r="F898" i="12"/>
  <c r="AC898" i="12" s="1"/>
  <c r="H898" i="12"/>
  <c r="L898" i="12"/>
  <c r="O899" i="12"/>
  <c r="N899" i="12"/>
  <c r="S899" i="12"/>
  <c r="W899" i="12"/>
  <c r="X899" i="12"/>
  <c r="AJ899" i="12"/>
  <c r="F899" i="12"/>
  <c r="H899" i="12"/>
  <c r="K899" i="12"/>
  <c r="Q899" i="12"/>
  <c r="AM899" i="12"/>
  <c r="R899" i="12"/>
  <c r="AI899" i="12"/>
  <c r="P899" i="12"/>
  <c r="Y899" i="12"/>
  <c r="AL899" i="12"/>
  <c r="G899" i="12"/>
  <c r="AC899" i="12" s="1"/>
  <c r="T899" i="12"/>
  <c r="V899" i="12"/>
  <c r="U899" i="12"/>
  <c r="J899" i="12"/>
  <c r="AB899" i="12"/>
  <c r="Z899" i="12"/>
  <c r="AA899" i="12"/>
  <c r="L899" i="12"/>
  <c r="AK899" i="12"/>
  <c r="I899" i="12"/>
  <c r="M899" i="12"/>
  <c r="H900" i="12"/>
  <c r="I900" i="12"/>
  <c r="AM900" i="12"/>
  <c r="M900" i="12"/>
  <c r="O900" i="12"/>
  <c r="T900" i="12"/>
  <c r="AL900" i="12"/>
  <c r="AI900" i="12"/>
  <c r="Z900" i="12"/>
  <c r="U900" i="12"/>
  <c r="R900" i="12"/>
  <c r="AK900" i="12"/>
  <c r="F900" i="12"/>
  <c r="K900" i="12"/>
  <c r="AA900" i="12"/>
  <c r="Y900" i="12"/>
  <c r="V900" i="12"/>
  <c r="S900" i="12"/>
  <c r="AB900" i="12"/>
  <c r="X900" i="12"/>
  <c r="P900" i="12"/>
  <c r="G900" i="12"/>
  <c r="W900" i="12"/>
  <c r="J900" i="12"/>
  <c r="N900" i="12"/>
  <c r="L900" i="12"/>
  <c r="Q900" i="12"/>
  <c r="AJ900" i="12"/>
  <c r="F907" i="12"/>
  <c r="G907" i="12"/>
  <c r="AB907" i="12"/>
  <c r="L907" i="12"/>
  <c r="H907" i="12"/>
  <c r="AB884" i="12"/>
  <c r="L884" i="12"/>
  <c r="AB885" i="12"/>
  <c r="L885" i="12"/>
  <c r="AB816" i="12"/>
  <c r="Q816" i="12"/>
  <c r="T816" i="12"/>
  <c r="L816" i="12"/>
  <c r="X816" i="12"/>
  <c r="O816" i="12"/>
  <c r="AJ816" i="12"/>
  <c r="W816" i="12"/>
  <c r="M816" i="12"/>
  <c r="K816" i="12"/>
  <c r="Y816" i="12"/>
  <c r="G816" i="12"/>
  <c r="R816" i="12"/>
  <c r="F816" i="12"/>
  <c r="AC816" i="12" s="1"/>
  <c r="S816" i="12"/>
  <c r="V816" i="12"/>
  <c r="U816" i="12"/>
  <c r="Z816" i="12"/>
  <c r="AM816" i="12"/>
  <c r="H816" i="12"/>
  <c r="J816" i="12"/>
  <c r="AA816" i="12"/>
  <c r="AL816" i="12"/>
  <c r="P816" i="12"/>
  <c r="AI816" i="12"/>
  <c r="AK816" i="12"/>
  <c r="I816" i="12"/>
  <c r="N816" i="12"/>
  <c r="AB551" i="12"/>
  <c r="L551" i="12"/>
  <c r="L523" i="12"/>
  <c r="AB523" i="12"/>
  <c r="AB524" i="12"/>
  <c r="L524" i="12"/>
  <c r="AB525" i="12"/>
  <c r="L525" i="12"/>
  <c r="L529" i="12"/>
  <c r="AB529" i="12"/>
  <c r="L517" i="12"/>
  <c r="AB517" i="12"/>
  <c r="AB495" i="12"/>
  <c r="L495" i="12"/>
  <c r="L482" i="12"/>
  <c r="AB482" i="12"/>
  <c r="AB483" i="12"/>
  <c r="L483" i="12"/>
  <c r="P724" i="12"/>
  <c r="U724" i="12"/>
  <c r="F724" i="12"/>
  <c r="H724" i="12"/>
  <c r="M724" i="12"/>
  <c r="K724" i="12"/>
  <c r="AB724" i="12"/>
  <c r="Q724" i="12"/>
  <c r="L724" i="12"/>
  <c r="W724" i="12"/>
  <c r="Z724" i="12"/>
  <c r="T724" i="12"/>
  <c r="AL724" i="12"/>
  <c r="S724" i="12"/>
  <c r="N724" i="12"/>
  <c r="R724" i="12"/>
  <c r="X724" i="12"/>
  <c r="Y724" i="12"/>
  <c r="AJ724" i="12"/>
  <c r="AA724" i="12"/>
  <c r="O724" i="12"/>
  <c r="V724" i="12"/>
  <c r="AI724" i="12"/>
  <c r="AK724" i="12"/>
  <c r="AM724" i="12"/>
  <c r="G724" i="12"/>
  <c r="J724" i="12"/>
  <c r="I724" i="12"/>
  <c r="AA707" i="12"/>
  <c r="AK707" i="12"/>
  <c r="AI707" i="12"/>
  <c r="X707" i="12"/>
  <c r="Y707" i="12"/>
  <c r="V707" i="12"/>
  <c r="I707" i="12"/>
  <c r="G707" i="12"/>
  <c r="F707" i="12"/>
  <c r="AC707" i="12" s="1"/>
  <c r="Z707" i="12"/>
  <c r="N707" i="12"/>
  <c r="J707" i="12"/>
  <c r="M707" i="12"/>
  <c r="S707" i="12"/>
  <c r="Q707" i="12"/>
  <c r="O707" i="12"/>
  <c r="AL707" i="12"/>
  <c r="AJ707" i="12"/>
  <c r="W707" i="12"/>
  <c r="U707" i="12"/>
  <c r="R707" i="12"/>
  <c r="H707" i="12"/>
  <c r="P707" i="12"/>
  <c r="T707" i="12"/>
  <c r="AM707" i="12"/>
  <c r="K707" i="12"/>
  <c r="T654" i="12"/>
  <c r="L654" i="12"/>
  <c r="AB654" i="12"/>
  <c r="J654" i="12"/>
  <c r="X654" i="12"/>
  <c r="U654" i="12"/>
  <c r="S654" i="12"/>
  <c r="Q654" i="12"/>
  <c r="N654" i="12"/>
  <c r="I654" i="12"/>
  <c r="W654" i="12"/>
  <c r="M654" i="12"/>
  <c r="K654" i="12"/>
  <c r="Z654" i="12"/>
  <c r="R654" i="12"/>
  <c r="AL654" i="12"/>
  <c r="AJ654" i="12"/>
  <c r="AK654" i="12"/>
  <c r="Y654" i="12"/>
  <c r="O654" i="12"/>
  <c r="AM654" i="12"/>
  <c r="AA654" i="12"/>
  <c r="V654" i="12"/>
  <c r="AI654" i="12"/>
  <c r="P654" i="12"/>
  <c r="F654" i="12"/>
  <c r="G654" i="12"/>
  <c r="H654" i="12"/>
  <c r="AL636" i="12"/>
  <c r="W636" i="12"/>
  <c r="Z636" i="12"/>
  <c r="Q636" i="12"/>
  <c r="V636" i="12"/>
  <c r="J636" i="12"/>
  <c r="T636" i="12"/>
  <c r="M636" i="12"/>
  <c r="U636" i="12"/>
  <c r="AM636" i="12"/>
  <c r="AK636" i="12"/>
  <c r="AI636" i="12"/>
  <c r="R636" i="12"/>
  <c r="N636" i="12"/>
  <c r="L636" i="12"/>
  <c r="P636" i="12"/>
  <c r="I636" i="12"/>
  <c r="K636" i="12"/>
  <c r="Y636" i="12"/>
  <c r="AJ636" i="12"/>
  <c r="O636" i="12"/>
  <c r="S636" i="12"/>
  <c r="X636" i="12"/>
  <c r="AB636" i="12"/>
  <c r="AA636" i="12"/>
  <c r="G636" i="12"/>
  <c r="H636" i="12"/>
  <c r="F636" i="12"/>
  <c r="AC636" i="12" s="1"/>
  <c r="R642" i="12"/>
  <c r="V642" i="12"/>
  <c r="X642" i="12"/>
  <c r="P642" i="12"/>
  <c r="N642" i="12"/>
  <c r="AB642" i="12"/>
  <c r="L642" i="12"/>
  <c r="Z642" i="12"/>
  <c r="O642" i="12"/>
  <c r="AL642" i="12"/>
  <c r="T642" i="12"/>
  <c r="U642" i="12"/>
  <c r="M642" i="12"/>
  <c r="Q642" i="12"/>
  <c r="S642" i="12"/>
  <c r="W642" i="12"/>
  <c r="Y642" i="12"/>
  <c r="AA642" i="12"/>
  <c r="AI642" i="12"/>
  <c r="AM642" i="12"/>
  <c r="AK642" i="12"/>
  <c r="AJ642" i="12"/>
  <c r="I642" i="12"/>
  <c r="F642" i="12"/>
  <c r="K642" i="12"/>
  <c r="G642" i="12"/>
  <c r="H642" i="12"/>
  <c r="J642" i="12"/>
  <c r="L609" i="12"/>
  <c r="AB609" i="12"/>
  <c r="AB614" i="12"/>
  <c r="L614" i="12"/>
  <c r="L595" i="12"/>
  <c r="AB595" i="12"/>
  <c r="L598" i="12"/>
  <c r="AB598" i="12"/>
  <c r="L588" i="12"/>
  <c r="AB588" i="12"/>
  <c r="L570" i="12"/>
  <c r="AB570" i="12"/>
  <c r="AB572" i="12"/>
  <c r="L572" i="12"/>
  <c r="AB554" i="12"/>
  <c r="L554" i="12"/>
  <c r="L534" i="12"/>
  <c r="AB534" i="12"/>
  <c r="AB540" i="12"/>
  <c r="L540" i="12"/>
  <c r="AB519" i="12"/>
  <c r="L519" i="12"/>
  <c r="AB532" i="12"/>
  <c r="L532" i="12"/>
  <c r="AB510" i="12"/>
  <c r="L510" i="12"/>
  <c r="L514" i="12"/>
  <c r="AB514" i="12"/>
  <c r="AB477" i="12"/>
  <c r="L477" i="12"/>
  <c r="L486" i="12"/>
  <c r="AB486" i="12"/>
  <c r="AB489" i="12"/>
  <c r="L489" i="12"/>
  <c r="L490" i="12"/>
  <c r="AB490" i="12"/>
  <c r="AG20" i="12" a="1"/>
  <c r="DJ20" i="12" a="1"/>
  <c r="AE20" i="12" a="1"/>
  <c r="AB465" i="12"/>
  <c r="L465" i="12"/>
  <c r="L467" i="12"/>
  <c r="AB467" i="12"/>
  <c r="L469" i="12"/>
  <c r="AB469" i="12"/>
  <c r="AB471" i="12"/>
  <c r="L471" i="12"/>
  <c r="AB472" i="12"/>
  <c r="L472" i="12"/>
  <c r="L476" i="12"/>
  <c r="AB476" i="12"/>
  <c r="L449" i="12"/>
  <c r="AB449" i="12"/>
  <c r="L451" i="12"/>
  <c r="AB451" i="12"/>
  <c r="L455" i="12"/>
  <c r="AB455" i="12"/>
  <c r="AB458" i="12"/>
  <c r="L458" i="12"/>
  <c r="L462" i="12"/>
  <c r="AB462" i="12"/>
  <c r="AB436" i="12"/>
  <c r="L436" i="12"/>
  <c r="AB437" i="12"/>
  <c r="L437" i="12"/>
  <c r="AB440" i="12"/>
  <c r="L440" i="12"/>
  <c r="AB442" i="12"/>
  <c r="L442" i="12"/>
  <c r="L444" i="12"/>
  <c r="AB444" i="12"/>
  <c r="AB446" i="12"/>
  <c r="L446" i="12"/>
  <c r="AB447" i="12"/>
  <c r="L447" i="12"/>
  <c r="L422" i="12"/>
  <c r="AB422" i="12"/>
  <c r="AB423" i="12"/>
  <c r="L423" i="12"/>
  <c r="L426" i="12"/>
  <c r="AB426" i="12"/>
  <c r="L427" i="12"/>
  <c r="AB427" i="12"/>
  <c r="L428" i="12"/>
  <c r="AB428" i="12"/>
  <c r="AB429" i="12"/>
  <c r="L429" i="12"/>
  <c r="AB434" i="12"/>
  <c r="L434" i="12"/>
  <c r="AB407" i="12"/>
  <c r="L407" i="12"/>
  <c r="L408" i="12"/>
  <c r="AB408" i="12"/>
  <c r="AB409" i="12"/>
  <c r="L409" i="12"/>
  <c r="AB410" i="12"/>
  <c r="L410" i="12"/>
  <c r="AB411" i="12"/>
  <c r="L411" i="12"/>
  <c r="AB412" i="12"/>
  <c r="L412" i="12"/>
  <c r="L413" i="12"/>
  <c r="AB413" i="12"/>
  <c r="L415" i="12"/>
  <c r="AB415" i="12"/>
  <c r="L416" i="12"/>
  <c r="AB416" i="12"/>
  <c r="AB418" i="12"/>
  <c r="L418" i="12"/>
  <c r="AB419" i="12"/>
  <c r="L419" i="12"/>
  <c r="L420" i="12"/>
  <c r="AB420" i="12"/>
  <c r="L394" i="12"/>
  <c r="AB394" i="12"/>
  <c r="AB396" i="12"/>
  <c r="L396" i="12"/>
  <c r="AB397" i="12"/>
  <c r="L397" i="12"/>
  <c r="AB399" i="12"/>
  <c r="L399" i="12"/>
  <c r="AB400" i="12"/>
  <c r="L400" i="12"/>
  <c r="AB404" i="12"/>
  <c r="L404" i="12"/>
  <c r="L406" i="12"/>
  <c r="AB406" i="12"/>
  <c r="L380" i="12"/>
  <c r="AB380" i="12"/>
  <c r="AB382" i="12"/>
  <c r="L382" i="12"/>
  <c r="AB383" i="12"/>
  <c r="L383" i="12"/>
  <c r="AB385" i="12"/>
  <c r="L385" i="12"/>
  <c r="AB386" i="12"/>
  <c r="L386" i="12"/>
  <c r="AB388" i="12"/>
  <c r="L388" i="12"/>
  <c r="L389" i="12"/>
  <c r="AB389" i="12"/>
  <c r="AB365" i="12"/>
  <c r="L365" i="12"/>
  <c r="L366" i="12"/>
  <c r="AB366" i="12"/>
  <c r="L368" i="12"/>
  <c r="AB368" i="12"/>
  <c r="L377" i="12"/>
  <c r="AB377" i="12"/>
  <c r="L378" i="12"/>
  <c r="AB378" i="12"/>
  <c r="AB352" i="12"/>
  <c r="L352" i="12"/>
  <c r="L357" i="12"/>
  <c r="AB357" i="12"/>
  <c r="AB359" i="12"/>
  <c r="L359" i="12"/>
  <c r="AB360" i="12"/>
  <c r="L360" i="12"/>
  <c r="AB361" i="12"/>
  <c r="L361" i="12"/>
  <c r="L363" i="12"/>
  <c r="AB363" i="12"/>
  <c r="L364" i="12"/>
  <c r="AB364" i="12"/>
  <c r="L343" i="12"/>
  <c r="AB343" i="12"/>
  <c r="AB349" i="12"/>
  <c r="L349" i="12"/>
  <c r="L350" i="12"/>
  <c r="AB350" i="12"/>
  <c r="AB1513" i="12"/>
  <c r="L1513" i="12"/>
  <c r="L1500" i="12"/>
  <c r="AB1500" i="12"/>
  <c r="AB1502" i="12"/>
  <c r="L1502" i="12"/>
  <c r="AB1506" i="12"/>
  <c r="L1506" i="12"/>
  <c r="L1507" i="12"/>
  <c r="AB1507" i="12"/>
  <c r="AB1509" i="12"/>
  <c r="L1509" i="12"/>
  <c r="AB1511" i="12"/>
  <c r="L1511" i="12"/>
  <c r="AB70" i="12"/>
  <c r="L70" i="12"/>
  <c r="AB47" i="12"/>
  <c r="L47" i="12"/>
  <c r="L32" i="12"/>
  <c r="AB32" i="12"/>
  <c r="L38" i="12"/>
  <c r="AB38" i="12"/>
  <c r="L39" i="12"/>
  <c r="AB39" i="12"/>
  <c r="L41" i="12"/>
  <c r="AB41" i="12"/>
  <c r="L611" i="12"/>
  <c r="AB611" i="12"/>
  <c r="L539" i="12"/>
  <c r="AB539" i="12"/>
  <c r="L452" i="12"/>
  <c r="AB452" i="12"/>
  <c r="AB435" i="12"/>
  <c r="L435" i="12"/>
  <c r="AB425" i="12"/>
  <c r="L425" i="12"/>
  <c r="AB414" i="12"/>
  <c r="L414" i="12"/>
  <c r="L371" i="12"/>
  <c r="AB371" i="12"/>
  <c r="U1452" i="12"/>
  <c r="V1452" i="12"/>
  <c r="W1452" i="12"/>
  <c r="X1452" i="12"/>
  <c r="Z1452" i="12"/>
  <c r="AA1452" i="12"/>
  <c r="AI1452" i="12"/>
  <c r="AJ1452" i="12"/>
  <c r="AK1452" i="12"/>
  <c r="AL1452" i="12"/>
  <c r="AM1452" i="12"/>
  <c r="Y1452" i="12"/>
  <c r="L1452" i="12"/>
  <c r="AB1452" i="12"/>
  <c r="I1452" i="12"/>
  <c r="F1452" i="12"/>
  <c r="G1452" i="12"/>
  <c r="H1452" i="12"/>
  <c r="J1452" i="12"/>
  <c r="K1452" i="12"/>
  <c r="M1452" i="12"/>
  <c r="N1452" i="12"/>
  <c r="O1452" i="12"/>
  <c r="P1452" i="12"/>
  <c r="Q1452" i="12"/>
  <c r="R1452" i="12"/>
  <c r="S1452" i="12"/>
  <c r="T1452" i="12"/>
  <c r="L563" i="12"/>
  <c r="AB563" i="12"/>
  <c r="L513" i="12"/>
  <c r="AB513" i="12"/>
  <c r="AB501" i="12"/>
  <c r="L501" i="12"/>
  <c r="AB545" i="12"/>
  <c r="L545" i="12"/>
  <c r="L500" i="12"/>
  <c r="AB500" i="12"/>
  <c r="AB421" i="12"/>
  <c r="L421" i="12"/>
  <c r="Q908" i="12"/>
  <c r="N908" i="12"/>
  <c r="M908" i="12"/>
  <c r="H908" i="12"/>
  <c r="J908" i="12"/>
  <c r="F908" i="12"/>
  <c r="AJ908" i="12"/>
  <c r="AI908" i="12"/>
  <c r="AA908" i="12"/>
  <c r="T908" i="12"/>
  <c r="S908" i="12"/>
  <c r="R908" i="12"/>
  <c r="O908" i="12"/>
  <c r="K908" i="12"/>
  <c r="I908" i="12"/>
  <c r="AL908" i="12"/>
  <c r="Z908" i="12"/>
  <c r="AB908" i="12"/>
  <c r="X908" i="12"/>
  <c r="U908" i="12"/>
  <c r="L908" i="12"/>
  <c r="G908" i="12"/>
  <c r="W908" i="12"/>
  <c r="P908" i="12"/>
  <c r="AK908" i="12"/>
  <c r="AM908" i="12"/>
  <c r="Y908" i="12"/>
  <c r="V908" i="12"/>
  <c r="AB552" i="12"/>
  <c r="L552" i="12"/>
  <c r="AB530" i="12"/>
  <c r="L530" i="12"/>
  <c r="L468" i="12"/>
  <c r="AB468" i="12"/>
  <c r="L347" i="12"/>
  <c r="AB347" i="12"/>
  <c r="M947" i="12"/>
  <c r="R947" i="12"/>
  <c r="Y947" i="12"/>
  <c r="AA947" i="12"/>
  <c r="P947" i="12"/>
  <c r="AB947" i="12"/>
  <c r="L947" i="12"/>
  <c r="W947" i="12"/>
  <c r="AL947" i="12"/>
  <c r="J947" i="12"/>
  <c r="S947" i="12"/>
  <c r="U947" i="12"/>
  <c r="H947" i="12"/>
  <c r="I947" i="12"/>
  <c r="N947" i="12"/>
  <c r="T947" i="12"/>
  <c r="X947" i="12"/>
  <c r="Z947" i="12"/>
  <c r="AI947" i="12"/>
  <c r="AK947" i="12"/>
  <c r="F947" i="12"/>
  <c r="G947" i="12"/>
  <c r="K947" i="12"/>
  <c r="O947" i="12"/>
  <c r="Q947" i="12"/>
  <c r="V947" i="12"/>
  <c r="AJ947" i="12"/>
  <c r="AM947" i="12"/>
  <c r="N913" i="12"/>
  <c r="AL913" i="12"/>
  <c r="Z913" i="12"/>
  <c r="V913" i="12"/>
  <c r="O913" i="12"/>
  <c r="F913" i="12"/>
  <c r="AM913" i="12"/>
  <c r="AJ913" i="12"/>
  <c r="P913" i="12"/>
  <c r="G913" i="12"/>
  <c r="AA913" i="12"/>
  <c r="H913" i="12"/>
  <c r="L913" i="12"/>
  <c r="T913" i="12"/>
  <c r="AB913" i="12"/>
  <c r="AK913" i="12"/>
  <c r="AI913" i="12"/>
  <c r="X913" i="12"/>
  <c r="S913" i="12"/>
  <c r="K913" i="12"/>
  <c r="Y913" i="12"/>
  <c r="M913" i="12"/>
  <c r="I913" i="12"/>
  <c r="R913" i="12"/>
  <c r="J913" i="12"/>
  <c r="W913" i="12"/>
  <c r="U913" i="12"/>
  <c r="Q913" i="12"/>
  <c r="N897" i="12"/>
  <c r="J897" i="12"/>
  <c r="O897" i="12"/>
  <c r="Q897" i="12"/>
  <c r="L897" i="12"/>
  <c r="Y897" i="12"/>
  <c r="H897" i="12"/>
  <c r="AJ897" i="12"/>
  <c r="AI897" i="12"/>
  <c r="AK897" i="12"/>
  <c r="AB897" i="12"/>
  <c r="G897" i="12"/>
  <c r="M897" i="12"/>
  <c r="AM897" i="12"/>
  <c r="S897" i="12"/>
  <c r="P897" i="12"/>
  <c r="V897" i="12"/>
  <c r="Z897" i="12"/>
  <c r="R897" i="12"/>
  <c r="I897" i="12"/>
  <c r="AL897" i="12"/>
  <c r="K897" i="12"/>
  <c r="X897" i="12"/>
  <c r="F897" i="12"/>
  <c r="U897" i="12"/>
  <c r="T897" i="12"/>
  <c r="AA897" i="12"/>
  <c r="W897" i="12"/>
  <c r="L559" i="12"/>
  <c r="AB559" i="12"/>
  <c r="AB520" i="12"/>
  <c r="L520" i="12"/>
  <c r="AB515" i="12"/>
  <c r="L515" i="12"/>
  <c r="AB499" i="12"/>
  <c r="L499" i="12"/>
  <c r="AB487" i="12"/>
  <c r="L487" i="12"/>
  <c r="L461" i="12"/>
  <c r="AB461" i="12"/>
  <c r="L441" i="12"/>
  <c r="AB441" i="12"/>
  <c r="AB424" i="12"/>
  <c r="L424" i="12"/>
  <c r="L398" i="12"/>
  <c r="AB398" i="12"/>
  <c r="DI20" i="12" a="1"/>
  <c r="DK20" i="12" a="1"/>
  <c r="H957" i="12"/>
  <c r="F957" i="12"/>
  <c r="AB957" i="12"/>
  <c r="U957" i="12"/>
  <c r="Q957" i="12"/>
  <c r="G957" i="12"/>
  <c r="AI957" i="12"/>
  <c r="Y957" i="12"/>
  <c r="W957" i="12"/>
  <c r="M957" i="12"/>
  <c r="I957" i="12"/>
  <c r="AK957" i="12"/>
  <c r="R957" i="12"/>
  <c r="K957" i="12"/>
  <c r="AJ957" i="12"/>
  <c r="AA957" i="12"/>
  <c r="Z957" i="12"/>
  <c r="X957" i="12"/>
  <c r="V957" i="12"/>
  <c r="T957" i="12"/>
  <c r="P957" i="12"/>
  <c r="L957" i="12"/>
  <c r="N957" i="12"/>
  <c r="AM957" i="12"/>
  <c r="AL957" i="12"/>
  <c r="S957" i="12"/>
  <c r="O957" i="12"/>
  <c r="J957" i="12"/>
  <c r="O948" i="12"/>
  <c r="H948" i="12"/>
  <c r="G948" i="12"/>
  <c r="I948" i="12"/>
  <c r="J948" i="12"/>
  <c r="K948" i="12"/>
  <c r="AM948" i="12"/>
  <c r="Z948" i="12"/>
  <c r="V948" i="12"/>
  <c r="U948" i="12"/>
  <c r="R948" i="12"/>
  <c r="M948" i="12"/>
  <c r="AI948" i="12"/>
  <c r="X948" i="12"/>
  <c r="F948" i="12"/>
  <c r="S948" i="12"/>
  <c r="P948" i="12"/>
  <c r="AL948" i="12"/>
  <c r="AK948" i="12"/>
  <c r="W948" i="12"/>
  <c r="Q948" i="12"/>
  <c r="N948" i="12"/>
  <c r="Y948" i="12"/>
  <c r="AB948" i="12"/>
  <c r="L948" i="12"/>
  <c r="AJ948" i="12"/>
  <c r="AA948" i="12"/>
  <c r="T948" i="12"/>
  <c r="G952" i="12"/>
  <c r="AK952" i="12"/>
  <c r="N952" i="12"/>
  <c r="U952" i="12"/>
  <c r="AJ952" i="12"/>
  <c r="J952" i="12"/>
  <c r="K952" i="12"/>
  <c r="R952" i="12"/>
  <c r="W952" i="12"/>
  <c r="X952" i="12"/>
  <c r="Z952" i="12"/>
  <c r="AL952" i="12"/>
  <c r="L952" i="12"/>
  <c r="AB952" i="12"/>
  <c r="H952" i="12"/>
  <c r="M952" i="12"/>
  <c r="P952" i="12"/>
  <c r="Q952" i="12"/>
  <c r="AM952" i="12"/>
  <c r="I952" i="12"/>
  <c r="O952" i="12"/>
  <c r="T952" i="12"/>
  <c r="Y952" i="12"/>
  <c r="F952" i="12"/>
  <c r="AI952" i="12"/>
  <c r="S952" i="12"/>
  <c r="V952" i="12"/>
  <c r="AA952" i="12"/>
  <c r="AB623" i="12"/>
  <c r="L623" i="12"/>
  <c r="L610" i="12"/>
  <c r="AB610" i="12"/>
  <c r="L612" i="12"/>
  <c r="AB612" i="12"/>
  <c r="AB543" i="12"/>
  <c r="L543" i="12"/>
  <c r="L509" i="12"/>
  <c r="AB509" i="12"/>
  <c r="AB518" i="12"/>
  <c r="L518" i="12"/>
  <c r="L473" i="12"/>
  <c r="AB473" i="12"/>
  <c r="O1031" i="12"/>
  <c r="Q1031" i="12"/>
  <c r="V1031" i="12"/>
  <c r="Z1031" i="12"/>
  <c r="AL1031" i="12"/>
  <c r="M1031" i="12"/>
  <c r="X1031" i="12"/>
  <c r="N1031" i="12"/>
  <c r="T1031" i="12"/>
  <c r="AJ1031" i="12"/>
  <c r="Y1031" i="12"/>
  <c r="AM1031" i="12"/>
  <c r="K1031" i="12"/>
  <c r="P1031" i="12"/>
  <c r="F1031" i="12"/>
  <c r="H1031" i="12"/>
  <c r="R1031" i="12"/>
  <c r="U1031" i="12"/>
  <c r="W1031" i="12"/>
  <c r="AA1031" i="12"/>
  <c r="AI1031" i="12"/>
  <c r="AK1031" i="12"/>
  <c r="S1031" i="12"/>
  <c r="L1031" i="12"/>
  <c r="AB1031" i="12"/>
  <c r="G1031" i="12"/>
  <c r="AC1031" i="12" s="1"/>
  <c r="I1031" i="12"/>
  <c r="J1031" i="12"/>
  <c r="R1034" i="12"/>
  <c r="X1034" i="12"/>
  <c r="AA1034" i="12"/>
  <c r="AM1034" i="12"/>
  <c r="AK1034" i="12"/>
  <c r="H1034" i="12"/>
  <c r="Q1034" i="12"/>
  <c r="F1034" i="12"/>
  <c r="M1034" i="12"/>
  <c r="G1034" i="12"/>
  <c r="K1034" i="12"/>
  <c r="P1034" i="12"/>
  <c r="Y1034" i="12"/>
  <c r="T1034" i="12"/>
  <c r="W1034" i="12"/>
  <c r="V1034" i="12"/>
  <c r="Z1034" i="12"/>
  <c r="AJ1034" i="12"/>
  <c r="J1034" i="12"/>
  <c r="N1034" i="12"/>
  <c r="O1034" i="12"/>
  <c r="S1034" i="12"/>
  <c r="U1034" i="12"/>
  <c r="AL1034" i="12"/>
  <c r="L1034" i="12"/>
  <c r="I1034" i="12"/>
  <c r="AB1034" i="12"/>
  <c r="AI1034" i="12"/>
  <c r="V1011" i="12"/>
  <c r="Z1011" i="12"/>
  <c r="AJ1011" i="12"/>
  <c r="J1011" i="12"/>
  <c r="N1011" i="12"/>
  <c r="Q1011" i="12"/>
  <c r="W1011" i="12"/>
  <c r="Y1011" i="12"/>
  <c r="AI1011" i="12"/>
  <c r="AM1011" i="12"/>
  <c r="P1011" i="12"/>
  <c r="L1011" i="12"/>
  <c r="AB1011" i="12"/>
  <c r="H1011" i="12"/>
  <c r="R1011" i="12"/>
  <c r="AA1011" i="12"/>
  <c r="AK1011" i="12"/>
  <c r="U1011" i="12"/>
  <c r="X1011" i="12"/>
  <c r="I1011" i="12"/>
  <c r="M1011" i="12"/>
  <c r="O1011" i="12"/>
  <c r="S1011" i="12"/>
  <c r="AL1011" i="12"/>
  <c r="K1011" i="12"/>
  <c r="T1011" i="12"/>
  <c r="L1018" i="12"/>
  <c r="AB1018" i="12"/>
  <c r="S1020" i="12"/>
  <c r="AM1020" i="12"/>
  <c r="T1020" i="12"/>
  <c r="V1020" i="12"/>
  <c r="P1020" i="12"/>
  <c r="AL1020" i="12"/>
  <c r="X1020" i="12"/>
  <c r="AK1020" i="12"/>
  <c r="AB1020" i="12"/>
  <c r="L1020" i="12"/>
  <c r="U1020" i="12"/>
  <c r="O1020" i="12"/>
  <c r="K1020" i="12"/>
  <c r="Z1020" i="12"/>
  <c r="R1020" i="12"/>
  <c r="N1020" i="12"/>
  <c r="AI1020" i="12"/>
  <c r="AA1020" i="12"/>
  <c r="W1020" i="12"/>
  <c r="Q1020" i="12"/>
  <c r="M1020" i="12"/>
  <c r="J1020" i="12"/>
  <c r="AJ1020" i="12"/>
  <c r="Y1020" i="12"/>
  <c r="AB997" i="12"/>
  <c r="L997" i="12"/>
  <c r="L985" i="12"/>
  <c r="AB985" i="12"/>
  <c r="L986" i="12"/>
  <c r="AB986" i="12"/>
  <c r="L987" i="12"/>
  <c r="AB987" i="12"/>
  <c r="J991" i="12"/>
  <c r="AK991" i="12"/>
  <c r="X991" i="12"/>
  <c r="T991" i="12"/>
  <c r="P991" i="12"/>
  <c r="N991" i="12"/>
  <c r="H991" i="12"/>
  <c r="F991" i="12"/>
  <c r="AM991" i="12"/>
  <c r="L991" i="12"/>
  <c r="AB991" i="12"/>
  <c r="V991" i="12"/>
  <c r="W991" i="12"/>
  <c r="AA991" i="12"/>
  <c r="AL991" i="12"/>
  <c r="O991" i="12"/>
  <c r="R991" i="12"/>
  <c r="U991" i="12"/>
  <c r="AI991" i="12"/>
  <c r="I991" i="12"/>
  <c r="G991" i="12"/>
  <c r="K991" i="12"/>
  <c r="M991" i="12"/>
  <c r="Q991" i="12"/>
  <c r="S991" i="12"/>
  <c r="Y991" i="12"/>
  <c r="Z991" i="12"/>
  <c r="AJ991" i="12"/>
  <c r="Q968" i="12"/>
  <c r="O968" i="12"/>
  <c r="AJ968" i="12"/>
  <c r="V968" i="12"/>
  <c r="P968" i="12"/>
  <c r="M968" i="12"/>
  <c r="H968" i="12"/>
  <c r="AK968" i="12"/>
  <c r="AA968" i="12"/>
  <c r="Y968" i="12"/>
  <c r="W968" i="12"/>
  <c r="T968" i="12"/>
  <c r="R968" i="12"/>
  <c r="N968" i="12"/>
  <c r="K968" i="12"/>
  <c r="G968" i="12"/>
  <c r="AI968" i="12"/>
  <c r="L968" i="12"/>
  <c r="I968" i="12"/>
  <c r="AB968" i="12"/>
  <c r="S968" i="12"/>
  <c r="X968" i="12"/>
  <c r="F968" i="12"/>
  <c r="J968" i="12"/>
  <c r="U968" i="12"/>
  <c r="Z968" i="12"/>
  <c r="AM968" i="12"/>
  <c r="AL968" i="12"/>
  <c r="AJ972" i="12"/>
  <c r="AL972" i="12"/>
  <c r="Z972" i="12"/>
  <c r="T972" i="12"/>
  <c r="Q972" i="12"/>
  <c r="H972" i="12"/>
  <c r="F972" i="12"/>
  <c r="K972" i="12"/>
  <c r="L972" i="12"/>
  <c r="J972" i="12"/>
  <c r="AB972" i="12"/>
  <c r="AI972" i="12"/>
  <c r="AM972" i="12"/>
  <c r="M972" i="12"/>
  <c r="X972" i="12"/>
  <c r="W972" i="12"/>
  <c r="S972" i="12"/>
  <c r="N972" i="12"/>
  <c r="Y972" i="12"/>
  <c r="G972" i="12"/>
  <c r="V972" i="12"/>
  <c r="P972" i="12"/>
  <c r="AA972" i="12"/>
  <c r="R972" i="12"/>
  <c r="U972" i="12"/>
  <c r="I972" i="12"/>
  <c r="AK972" i="12"/>
  <c r="O972" i="12"/>
  <c r="AB702" i="12"/>
  <c r="L702" i="12"/>
  <c r="L740" i="12"/>
  <c r="AB740" i="12"/>
  <c r="AB369" i="12"/>
  <c r="L369" i="12"/>
  <c r="AB432" i="12"/>
  <c r="L432" i="12"/>
  <c r="AB417" i="12"/>
  <c r="L417" i="12"/>
  <c r="AB430" i="12"/>
  <c r="L430" i="12"/>
  <c r="AB381" i="12"/>
  <c r="L381" i="12"/>
  <c r="L384" i="12"/>
  <c r="AB384" i="12"/>
  <c r="AI974" i="12"/>
  <c r="O974" i="12"/>
  <c r="W974" i="12"/>
  <c r="N974" i="12"/>
  <c r="AL974" i="12"/>
  <c r="S974" i="12"/>
  <c r="P974" i="12"/>
  <c r="Z974" i="12"/>
  <c r="Q974" i="12"/>
  <c r="AM974" i="12"/>
  <c r="AA974" i="12"/>
  <c r="V974" i="12"/>
  <c r="M974" i="12"/>
  <c r="AJ974" i="12"/>
  <c r="R974" i="12"/>
  <c r="I974" i="12"/>
  <c r="G974" i="12"/>
  <c r="Y974" i="12"/>
  <c r="X974" i="12"/>
  <c r="U974" i="12"/>
  <c r="F974" i="12"/>
  <c r="AC974" i="12" s="1"/>
  <c r="J974" i="12"/>
  <c r="AK974" i="12"/>
  <c r="T974" i="12"/>
  <c r="H974" i="12"/>
  <c r="K974" i="12"/>
  <c r="AB453" i="12"/>
  <c r="L453" i="12"/>
  <c r="L395" i="12"/>
  <c r="AB395" i="12"/>
  <c r="L401" i="12"/>
  <c r="AB401" i="12"/>
  <c r="L358" i="12"/>
  <c r="AB358" i="12"/>
  <c r="L362" i="12"/>
  <c r="AB362" i="12"/>
  <c r="H971" i="12"/>
  <c r="G971" i="12"/>
  <c r="F971" i="12"/>
  <c r="Z971" i="12"/>
  <c r="K971" i="12"/>
  <c r="I971" i="12"/>
  <c r="V971" i="12"/>
  <c r="AI971" i="12"/>
  <c r="AA971" i="12"/>
  <c r="T971" i="12"/>
  <c r="AK971" i="12"/>
  <c r="Y971" i="12"/>
  <c r="Q971" i="12"/>
  <c r="O971" i="12"/>
  <c r="S971" i="12"/>
  <c r="W971" i="12"/>
  <c r="AJ971" i="12"/>
  <c r="AL971" i="12"/>
  <c r="M971" i="12"/>
  <c r="J971" i="12"/>
  <c r="AM971" i="12"/>
  <c r="N971" i="12"/>
  <c r="R971" i="12"/>
  <c r="U971" i="12"/>
  <c r="X971" i="12"/>
  <c r="P971" i="12"/>
  <c r="S973" i="12"/>
  <c r="I973" i="12"/>
  <c r="Y973" i="12"/>
  <c r="R973" i="12"/>
  <c r="P973" i="12"/>
  <c r="Z973" i="12"/>
  <c r="AA973" i="12"/>
  <c r="T973" i="12"/>
  <c r="V973" i="12"/>
  <c r="Q973" i="12"/>
  <c r="M973" i="12"/>
  <c r="X973" i="12"/>
  <c r="AI973" i="12"/>
  <c r="AK973" i="12"/>
  <c r="AM973" i="12"/>
  <c r="AJ973" i="12"/>
  <c r="AL973" i="12"/>
  <c r="J973" i="12"/>
  <c r="N973" i="12"/>
  <c r="U973" i="12"/>
  <c r="K973" i="12"/>
  <c r="O973" i="12"/>
  <c r="W973" i="12"/>
  <c r="F973" i="12"/>
  <c r="G973" i="12"/>
  <c r="H973" i="12"/>
  <c r="L391" i="12"/>
  <c r="AB391" i="12"/>
  <c r="K966" i="12"/>
  <c r="G966" i="12"/>
  <c r="R966" i="12"/>
  <c r="T966" i="12"/>
  <c r="P966" i="12"/>
  <c r="X966" i="12"/>
  <c r="Z966" i="12"/>
  <c r="AJ966" i="12"/>
  <c r="N966" i="12"/>
  <c r="AL966" i="12"/>
  <c r="AM966" i="12"/>
  <c r="V966" i="12"/>
  <c r="J966" i="12"/>
  <c r="U966" i="12"/>
  <c r="W966" i="12"/>
  <c r="F966" i="12"/>
  <c r="AC966" i="12" s="1"/>
  <c r="AA966" i="12"/>
  <c r="Y966" i="12"/>
  <c r="AK966" i="12"/>
  <c r="I966" i="12"/>
  <c r="M966" i="12"/>
  <c r="S966" i="12"/>
  <c r="Q966" i="12"/>
  <c r="O966" i="12"/>
  <c r="H966" i="12"/>
  <c r="AI966" i="12"/>
  <c r="AB719" i="12"/>
  <c r="L719" i="12"/>
  <c r="L454" i="12"/>
  <c r="AB454" i="12"/>
  <c r="AB460" i="12"/>
  <c r="L460" i="12"/>
  <c r="L439" i="12"/>
  <c r="AB439" i="12"/>
  <c r="AB445" i="12"/>
  <c r="L445" i="12"/>
  <c r="L431" i="12"/>
  <c r="AB431" i="12"/>
  <c r="L393" i="12"/>
  <c r="AB393" i="12"/>
  <c r="L390" i="12"/>
  <c r="AB390" i="12"/>
  <c r="AB392" i="12"/>
  <c r="L392" i="12"/>
  <c r="AB373" i="12"/>
  <c r="L373" i="12"/>
  <c r="AB354" i="12"/>
  <c r="L354" i="12"/>
  <c r="AB433" i="12"/>
  <c r="L433" i="12"/>
  <c r="L810" i="12"/>
  <c r="AB810" i="12"/>
  <c r="AB812" i="12"/>
  <c r="L812" i="12"/>
  <c r="AB790" i="12"/>
  <c r="L790" i="12"/>
  <c r="L796" i="12"/>
  <c r="AB796" i="12"/>
  <c r="L797" i="12"/>
  <c r="AB797" i="12"/>
  <c r="AB798" i="12"/>
  <c r="L798" i="12"/>
  <c r="N773" i="12"/>
  <c r="F773" i="12"/>
  <c r="O773" i="12"/>
  <c r="H773" i="12"/>
  <c r="AB773" i="12"/>
  <c r="W773" i="12"/>
  <c r="AK773" i="12"/>
  <c r="Y773" i="12"/>
  <c r="U773" i="12"/>
  <c r="Q773" i="12"/>
  <c r="K773" i="12"/>
  <c r="Z773" i="12"/>
  <c r="T773" i="12"/>
  <c r="J773" i="12"/>
  <c r="R773" i="12"/>
  <c r="G773" i="12"/>
  <c r="AL773" i="12"/>
  <c r="M773" i="12"/>
  <c r="I773" i="12"/>
  <c r="AM773" i="12"/>
  <c r="X773" i="12"/>
  <c r="AI773" i="12"/>
  <c r="L773" i="12"/>
  <c r="AA773" i="12"/>
  <c r="S773" i="12"/>
  <c r="AJ773" i="12"/>
  <c r="V773" i="12"/>
  <c r="P773" i="12"/>
  <c r="AM775" i="12"/>
  <c r="AJ775" i="12"/>
  <c r="Z775" i="12"/>
  <c r="I775" i="12"/>
  <c r="AA775" i="12"/>
  <c r="U775" i="12"/>
  <c r="S775" i="12"/>
  <c r="O775" i="12"/>
  <c r="N775" i="12"/>
  <c r="K775" i="12"/>
  <c r="R775" i="12"/>
  <c r="AL775" i="12"/>
  <c r="F775" i="12"/>
  <c r="V775" i="12"/>
  <c r="T775" i="12"/>
  <c r="Q775" i="12"/>
  <c r="P775" i="12"/>
  <c r="G775" i="12"/>
  <c r="AI775" i="12"/>
  <c r="J775" i="12"/>
  <c r="H775" i="12"/>
  <c r="W775" i="12"/>
  <c r="AK775" i="12"/>
  <c r="X775" i="12"/>
  <c r="M775" i="12"/>
  <c r="AB775" i="12"/>
  <c r="L775" i="12"/>
  <c r="Y775" i="12"/>
  <c r="AB776" i="12"/>
  <c r="AJ776" i="12"/>
  <c r="Y776" i="12"/>
  <c r="V776" i="12"/>
  <c r="Q776" i="12"/>
  <c r="M776" i="12"/>
  <c r="K776" i="12"/>
  <c r="AL776" i="12"/>
  <c r="AK776" i="12"/>
  <c r="Z776" i="12"/>
  <c r="P776" i="12"/>
  <c r="N776" i="12"/>
  <c r="S776" i="12"/>
  <c r="J776" i="12"/>
  <c r="X776" i="12"/>
  <c r="U776" i="12"/>
  <c r="R776" i="12"/>
  <c r="I776" i="12"/>
  <c r="F776" i="12"/>
  <c r="G776" i="12"/>
  <c r="O776" i="12"/>
  <c r="H776" i="12"/>
  <c r="AM776" i="12"/>
  <c r="AI776" i="12"/>
  <c r="AA776" i="12"/>
  <c r="W776" i="12"/>
  <c r="T776" i="12"/>
  <c r="L776" i="12"/>
  <c r="L779" i="12"/>
  <c r="AB779" i="12"/>
  <c r="AB780" i="12"/>
  <c r="L780" i="12"/>
  <c r="AB758" i="12"/>
  <c r="L758" i="12"/>
  <c r="L762" i="12"/>
  <c r="AB762" i="12"/>
  <c r="L763" i="12"/>
  <c r="AB763" i="12"/>
  <c r="L765" i="12"/>
  <c r="AB765" i="12"/>
  <c r="L766" i="12"/>
  <c r="AB766" i="12"/>
  <c r="AB767" i="12"/>
  <c r="L767" i="12"/>
  <c r="L745" i="12"/>
  <c r="AB745" i="12"/>
  <c r="L749" i="12"/>
  <c r="AB749" i="12"/>
  <c r="L730" i="12"/>
  <c r="AB730" i="12"/>
  <c r="AB731" i="12"/>
  <c r="L731" i="12"/>
  <c r="AB732" i="12"/>
  <c r="L732" i="12"/>
  <c r="L735" i="12"/>
  <c r="AB735" i="12"/>
  <c r="L481" i="12"/>
  <c r="AB481" i="12"/>
  <c r="AB367" i="12"/>
  <c r="L367" i="12"/>
  <c r="L504" i="12"/>
  <c r="AB504" i="12"/>
  <c r="AB475" i="12"/>
  <c r="L475" i="12"/>
  <c r="L450" i="12"/>
  <c r="AB450" i="12"/>
  <c r="AB443" i="12"/>
  <c r="L443" i="12"/>
  <c r="AB448" i="12"/>
  <c r="L448" i="12"/>
  <c r="AB405" i="12"/>
  <c r="L405" i="12"/>
  <c r="AB372" i="12"/>
  <c r="L372" i="12"/>
  <c r="L353" i="12"/>
  <c r="AB353" i="12"/>
  <c r="L344" i="12"/>
  <c r="AB344" i="12"/>
  <c r="AB374" i="12"/>
  <c r="L374" i="12"/>
  <c r="L351" i="12"/>
  <c r="AB351" i="12"/>
  <c r="L348" i="12"/>
  <c r="AB348" i="12"/>
  <c r="AB457" i="12"/>
  <c r="L457" i="12"/>
  <c r="L403" i="12"/>
  <c r="AB403" i="12"/>
  <c r="L375" i="12"/>
  <c r="AB375" i="12"/>
  <c r="L379" i="12"/>
  <c r="AB379" i="12"/>
  <c r="AC1003" i="12"/>
  <c r="AC694" i="12"/>
  <c r="AC630" i="12"/>
  <c r="AC1211" i="12"/>
  <c r="AC1213" i="12"/>
  <c r="AC1199" i="12"/>
  <c r="AC1204" i="12"/>
  <c r="AC1181" i="12"/>
  <c r="AC1163" i="12"/>
  <c r="AC1097" i="12"/>
  <c r="AC888" i="12"/>
  <c r="AC922" i="12"/>
  <c r="AC791" i="12"/>
  <c r="AC754" i="12"/>
  <c r="H623" i="12"/>
  <c r="V623" i="12"/>
  <c r="Q623" i="12"/>
  <c r="X623" i="12"/>
  <c r="Y623" i="12"/>
  <c r="AA623" i="12"/>
  <c r="AL623" i="12"/>
  <c r="I623" i="12"/>
  <c r="K623" i="12"/>
  <c r="N623" i="12"/>
  <c r="O623" i="12"/>
  <c r="W623" i="12"/>
  <c r="Z623" i="12"/>
  <c r="AK623" i="12"/>
  <c r="AM623" i="12"/>
  <c r="F623" i="12"/>
  <c r="AI623" i="12"/>
  <c r="S623" i="12"/>
  <c r="M623" i="12"/>
  <c r="R623" i="12"/>
  <c r="G623" i="12"/>
  <c r="P623" i="12"/>
  <c r="U623" i="12"/>
  <c r="AJ623" i="12"/>
  <c r="J623" i="12"/>
  <c r="T623" i="12"/>
  <c r="G1011" i="12"/>
  <c r="F1011" i="12"/>
  <c r="N1018" i="12"/>
  <c r="H1018" i="12"/>
  <c r="G1018" i="12"/>
  <c r="F1018" i="12"/>
  <c r="I1018" i="12"/>
  <c r="AJ1018" i="12"/>
  <c r="Z1018" i="12"/>
  <c r="Q1018" i="12"/>
  <c r="P1018" i="12"/>
  <c r="J1018" i="12"/>
  <c r="AM1018" i="12"/>
  <c r="AK1018" i="12"/>
  <c r="AI1018" i="12"/>
  <c r="X1018" i="12"/>
  <c r="U1018" i="12"/>
  <c r="S1018" i="12"/>
  <c r="R1018" i="12"/>
  <c r="AL1018" i="12"/>
  <c r="W1018" i="12"/>
  <c r="T1018" i="12"/>
  <c r="AA1018" i="12"/>
  <c r="Y1018" i="12"/>
  <c r="V1018" i="12"/>
  <c r="O1018" i="12"/>
  <c r="M1018" i="12"/>
  <c r="K1018" i="12"/>
  <c r="F1020" i="12"/>
  <c r="I1020" i="12"/>
  <c r="H1020" i="12"/>
  <c r="G1020" i="12"/>
  <c r="AM997" i="12"/>
  <c r="AK997" i="12"/>
  <c r="Q997" i="12"/>
  <c r="I997" i="12"/>
  <c r="F997" i="12"/>
  <c r="G997" i="12"/>
  <c r="S997" i="12"/>
  <c r="U997" i="12"/>
  <c r="AL997" i="12"/>
  <c r="J997" i="12"/>
  <c r="R997" i="12"/>
  <c r="V997" i="12"/>
  <c r="AA997" i="12"/>
  <c r="O997" i="12"/>
  <c r="AI997" i="12"/>
  <c r="K997" i="12"/>
  <c r="M997" i="12"/>
  <c r="P997" i="12"/>
  <c r="AJ997" i="12"/>
  <c r="H997" i="12"/>
  <c r="W997" i="12"/>
  <c r="Z997" i="12"/>
  <c r="N997" i="12"/>
  <c r="T997" i="12"/>
  <c r="X997" i="12"/>
  <c r="Y997" i="12"/>
  <c r="I985" i="12"/>
  <c r="G985" i="12"/>
  <c r="F985" i="12"/>
  <c r="AC985" i="12" s="1"/>
  <c r="Y985" i="12"/>
  <c r="W985" i="12"/>
  <c r="S985" i="12"/>
  <c r="V985" i="12"/>
  <c r="T985" i="12"/>
  <c r="N985" i="12"/>
  <c r="H985" i="12"/>
  <c r="X985" i="12"/>
  <c r="M985" i="12"/>
  <c r="J985" i="12"/>
  <c r="Z985" i="12"/>
  <c r="U985" i="12"/>
  <c r="AL985" i="12"/>
  <c r="R985" i="12"/>
  <c r="P985" i="12"/>
  <c r="AJ985" i="12"/>
  <c r="O985" i="12"/>
  <c r="K985" i="12"/>
  <c r="AM985" i="12"/>
  <c r="AA985" i="12"/>
  <c r="AK985" i="12"/>
  <c r="AI985" i="12"/>
  <c r="Q985" i="12"/>
  <c r="O986" i="12"/>
  <c r="M986" i="12"/>
  <c r="F986" i="12"/>
  <c r="N986" i="12"/>
  <c r="T986" i="12"/>
  <c r="P986" i="12"/>
  <c r="J986" i="12"/>
  <c r="AL986" i="12"/>
  <c r="AI986" i="12"/>
  <c r="V986" i="12"/>
  <c r="H986" i="12"/>
  <c r="AM986" i="12"/>
  <c r="AJ986" i="12"/>
  <c r="Y986" i="12"/>
  <c r="X986" i="12"/>
  <c r="U986" i="12"/>
  <c r="Q986" i="12"/>
  <c r="K986" i="12"/>
  <c r="I986" i="12"/>
  <c r="G986" i="12"/>
  <c r="AK986" i="12"/>
  <c r="Z986" i="12"/>
  <c r="W986" i="12"/>
  <c r="S986" i="12"/>
  <c r="R986" i="12"/>
  <c r="AA986" i="12"/>
  <c r="N987" i="12"/>
  <c r="H987" i="12"/>
  <c r="F987" i="12"/>
  <c r="I987" i="12"/>
  <c r="M987" i="12"/>
  <c r="Q987" i="12"/>
  <c r="X987" i="12"/>
  <c r="W987" i="12"/>
  <c r="G987" i="12"/>
  <c r="AM987" i="12"/>
  <c r="O987" i="12"/>
  <c r="S987" i="12"/>
  <c r="U987" i="12"/>
  <c r="Y987" i="12"/>
  <c r="AI987" i="12"/>
  <c r="AJ987" i="12"/>
  <c r="J987" i="12"/>
  <c r="P987" i="12"/>
  <c r="V987" i="12"/>
  <c r="AA987" i="12"/>
  <c r="AL987" i="12"/>
  <c r="K987" i="12"/>
  <c r="R987" i="12"/>
  <c r="T987" i="12"/>
  <c r="Z987" i="12"/>
  <c r="AK987" i="12"/>
  <c r="S702" i="12"/>
  <c r="M702" i="12"/>
  <c r="J702" i="12"/>
  <c r="G702" i="12"/>
  <c r="AI702" i="12"/>
  <c r="Y702" i="12"/>
  <c r="O702" i="12"/>
  <c r="AM702" i="12"/>
  <c r="AL702" i="12"/>
  <c r="AJ702" i="12"/>
  <c r="V702" i="12"/>
  <c r="Q702" i="12"/>
  <c r="F702" i="12"/>
  <c r="AC702" i="12" s="1"/>
  <c r="P702" i="12"/>
  <c r="T702" i="12"/>
  <c r="I702" i="12"/>
  <c r="AA702" i="12"/>
  <c r="X702" i="12"/>
  <c r="R702" i="12"/>
  <c r="N702" i="12"/>
  <c r="K702" i="12"/>
  <c r="AK702" i="12"/>
  <c r="U702" i="12"/>
  <c r="H702" i="12"/>
  <c r="Z702" i="12"/>
  <c r="W702" i="12"/>
  <c r="AM740" i="12"/>
  <c r="Z740" i="12"/>
  <c r="S740" i="12"/>
  <c r="AK740" i="12"/>
  <c r="H740" i="12"/>
  <c r="K740" i="12"/>
  <c r="P740" i="12"/>
  <c r="R740" i="12"/>
  <c r="W740" i="12"/>
  <c r="AJ740" i="12"/>
  <c r="AL740" i="12"/>
  <c r="J740" i="12"/>
  <c r="O740" i="12"/>
  <c r="AI740" i="12"/>
  <c r="F740" i="12"/>
  <c r="AA740" i="12"/>
  <c r="Q740" i="12"/>
  <c r="U740" i="12"/>
  <c r="Y740" i="12"/>
  <c r="I740" i="12"/>
  <c r="T740" i="12"/>
  <c r="X740" i="12"/>
  <c r="G740" i="12"/>
  <c r="N740" i="12"/>
  <c r="V740" i="12"/>
  <c r="M740" i="12"/>
  <c r="AL719" i="12"/>
  <c r="AA719" i="12"/>
  <c r="S719" i="12"/>
  <c r="G719" i="12"/>
  <c r="AI719" i="12"/>
  <c r="Y719" i="12"/>
  <c r="U719" i="12"/>
  <c r="Q719" i="12"/>
  <c r="P719" i="12"/>
  <c r="N719" i="12"/>
  <c r="K719" i="12"/>
  <c r="I719" i="12"/>
  <c r="AJ719" i="12"/>
  <c r="T719" i="12"/>
  <c r="M719" i="12"/>
  <c r="Z719" i="12"/>
  <c r="W719" i="12"/>
  <c r="AM719" i="12"/>
  <c r="J719" i="12"/>
  <c r="F719" i="12"/>
  <c r="AC719" i="12" s="1"/>
  <c r="AK719" i="12"/>
  <c r="R719" i="12"/>
  <c r="V719" i="12"/>
  <c r="H719" i="12"/>
  <c r="X719" i="12"/>
  <c r="O719" i="12"/>
  <c r="H703" i="12"/>
  <c r="O703" i="12"/>
  <c r="Q703" i="12"/>
  <c r="W703" i="12"/>
  <c r="F703" i="12"/>
  <c r="R703" i="12"/>
  <c r="AI703" i="12"/>
  <c r="AL703" i="12"/>
  <c r="AM703" i="12"/>
  <c r="M703" i="12"/>
  <c r="S703" i="12"/>
  <c r="T703" i="12"/>
  <c r="Y703" i="12"/>
  <c r="AA703" i="12"/>
  <c r="K703" i="12"/>
  <c r="P703" i="12"/>
  <c r="V703" i="12"/>
  <c r="AJ703" i="12"/>
  <c r="Z703" i="12"/>
  <c r="X703" i="12"/>
  <c r="U703" i="12"/>
  <c r="N703" i="12"/>
  <c r="J703" i="12"/>
  <c r="I703" i="12"/>
  <c r="G703" i="12"/>
  <c r="AC703" i="12" s="1"/>
  <c r="AK703" i="12"/>
  <c r="AJ706" i="12"/>
  <c r="X706" i="12"/>
  <c r="K706" i="12"/>
  <c r="S706" i="12"/>
  <c r="V706" i="12"/>
  <c r="W706" i="12"/>
  <c r="N706" i="12"/>
  <c r="AK706" i="12"/>
  <c r="Z706" i="12"/>
  <c r="T706" i="12"/>
  <c r="R706" i="12"/>
  <c r="AL706" i="12"/>
  <c r="AA706" i="12"/>
  <c r="Q706" i="12"/>
  <c r="M706" i="12"/>
  <c r="I706" i="12"/>
  <c r="AM706" i="12"/>
  <c r="AI706" i="12"/>
  <c r="Y706" i="12"/>
  <c r="U706" i="12"/>
  <c r="P706" i="12"/>
  <c r="J706" i="12"/>
  <c r="O706" i="12"/>
  <c r="Y708" i="12"/>
  <c r="R708" i="12"/>
  <c r="K708" i="12"/>
  <c r="O708" i="12"/>
  <c r="X708" i="12"/>
  <c r="AA708" i="12"/>
  <c r="AI708" i="12"/>
  <c r="G708" i="12"/>
  <c r="M708" i="12"/>
  <c r="T708" i="12"/>
  <c r="V708" i="12"/>
  <c r="AJ708" i="12"/>
  <c r="AK708" i="12"/>
  <c r="Q708" i="12"/>
  <c r="Z708" i="12"/>
  <c r="AM708" i="12"/>
  <c r="H708" i="12"/>
  <c r="I708" i="12"/>
  <c r="F708" i="12"/>
  <c r="AL708" i="12"/>
  <c r="W708" i="12"/>
  <c r="P708" i="12"/>
  <c r="N708" i="12"/>
  <c r="J708" i="12"/>
  <c r="S708" i="12"/>
  <c r="AC708" i="12"/>
  <c r="U708" i="12"/>
  <c r="S713" i="12"/>
  <c r="U713" i="12"/>
  <c r="Q713" i="12"/>
  <c r="I713" i="12"/>
  <c r="AJ713" i="12"/>
  <c r="Y713" i="12"/>
  <c r="W713" i="12"/>
  <c r="O713" i="12"/>
  <c r="K713" i="12"/>
  <c r="AM713" i="12"/>
  <c r="P713" i="12"/>
  <c r="N713" i="12"/>
  <c r="J713" i="12"/>
  <c r="H713" i="12"/>
  <c r="Z713" i="12"/>
  <c r="X713" i="12"/>
  <c r="V713" i="12"/>
  <c r="T713" i="12"/>
  <c r="R713" i="12"/>
  <c r="AA713" i="12"/>
  <c r="AL713" i="12"/>
  <c r="M713" i="12"/>
  <c r="AI713" i="12"/>
  <c r="AK713" i="12"/>
  <c r="K687" i="12"/>
  <c r="AM687" i="12"/>
  <c r="Y687" i="12"/>
  <c r="O687" i="12"/>
  <c r="I687" i="12"/>
  <c r="AJ687" i="12"/>
  <c r="AA687" i="12"/>
  <c r="Z687" i="12"/>
  <c r="T687" i="12"/>
  <c r="N687" i="12"/>
  <c r="V687" i="12"/>
  <c r="Q687" i="12"/>
  <c r="F687" i="12"/>
  <c r="M687" i="12"/>
  <c r="X687" i="12"/>
  <c r="U687" i="12"/>
  <c r="R687" i="12"/>
  <c r="J687" i="12"/>
  <c r="G687" i="12"/>
  <c r="AI687" i="12"/>
  <c r="AL687" i="12"/>
  <c r="W687" i="12"/>
  <c r="S687" i="12"/>
  <c r="P687" i="12"/>
  <c r="H687" i="12"/>
  <c r="AK687" i="12"/>
  <c r="AI688" i="12"/>
  <c r="N688" i="12"/>
  <c r="J688" i="12"/>
  <c r="Y688" i="12"/>
  <c r="U688" i="12"/>
  <c r="R688" i="12"/>
  <c r="AM688" i="12"/>
  <c r="Z688" i="12"/>
  <c r="X688" i="12"/>
  <c r="T688" i="12"/>
  <c r="P688" i="12"/>
  <c r="G688" i="12"/>
  <c r="K676" i="12"/>
  <c r="I676" i="12"/>
  <c r="F676" i="12"/>
  <c r="AM676" i="12"/>
  <c r="AI676" i="12"/>
  <c r="M676" i="12"/>
  <c r="H676" i="12"/>
  <c r="G676" i="12"/>
  <c r="U676" i="12"/>
  <c r="Q676" i="12"/>
  <c r="P676" i="12"/>
  <c r="H681" i="12"/>
  <c r="AJ681" i="12"/>
  <c r="Z681" i="12"/>
  <c r="R681" i="12"/>
  <c r="P681" i="12"/>
  <c r="N681" i="12"/>
  <c r="K681" i="12"/>
  <c r="I681" i="12"/>
  <c r="AM681" i="12"/>
  <c r="AI681" i="12"/>
  <c r="S681" i="12"/>
  <c r="M681" i="12"/>
  <c r="G681" i="12"/>
  <c r="X681" i="12"/>
  <c r="AL681" i="12"/>
  <c r="AA681" i="12"/>
  <c r="F681" i="12"/>
  <c r="AC681" i="12" s="1"/>
  <c r="Y681" i="12"/>
  <c r="V681" i="12"/>
  <c r="T681" i="12"/>
  <c r="O681" i="12"/>
  <c r="J681" i="12"/>
  <c r="U681" i="12"/>
  <c r="W681" i="12"/>
  <c r="Q681" i="12"/>
  <c r="AK681" i="12"/>
  <c r="AK683" i="12"/>
  <c r="Y683" i="12"/>
  <c r="X683" i="12"/>
  <c r="S683" i="12"/>
  <c r="P683" i="12"/>
  <c r="M683" i="12"/>
  <c r="K683" i="12"/>
  <c r="AJ683" i="12"/>
  <c r="H683" i="12"/>
  <c r="U683" i="12"/>
  <c r="Q683" i="12"/>
  <c r="N683" i="12"/>
  <c r="AA683" i="12"/>
  <c r="J683" i="12"/>
  <c r="Z683" i="12"/>
  <c r="T683" i="12"/>
  <c r="O683" i="12"/>
  <c r="F683" i="12"/>
  <c r="AL683" i="12"/>
  <c r="V683" i="12"/>
  <c r="G683" i="12"/>
  <c r="AM683" i="12"/>
  <c r="AI683" i="12"/>
  <c r="R683" i="12"/>
  <c r="I683" i="12"/>
  <c r="W683" i="12"/>
  <c r="AL635" i="12"/>
  <c r="AJ635" i="12"/>
  <c r="AI635" i="12"/>
  <c r="Y635" i="12"/>
  <c r="V635" i="12"/>
  <c r="P635" i="12"/>
  <c r="K635" i="12"/>
  <c r="I635" i="12"/>
  <c r="M635" i="12"/>
  <c r="H635" i="12"/>
  <c r="T635" i="12"/>
  <c r="AK635" i="12"/>
  <c r="Z635" i="12"/>
  <c r="O635" i="12"/>
  <c r="U635" i="12"/>
  <c r="AA635" i="12"/>
  <c r="W635" i="12"/>
  <c r="S635" i="12"/>
  <c r="Q635" i="12"/>
  <c r="J635" i="12"/>
  <c r="F635" i="12"/>
  <c r="X635" i="12"/>
  <c r="R635" i="12"/>
  <c r="N635" i="12"/>
  <c r="G635" i="12"/>
  <c r="AM635" i="12"/>
  <c r="Q639" i="12"/>
  <c r="I639" i="12"/>
  <c r="Y639" i="12"/>
  <c r="F639" i="12"/>
  <c r="AL639" i="12"/>
  <c r="T639" i="12"/>
  <c r="AI639" i="12"/>
  <c r="P639" i="12"/>
  <c r="G639" i="12"/>
  <c r="Z639" i="12"/>
  <c r="V639" i="12"/>
  <c r="U639" i="12"/>
  <c r="H639" i="12"/>
  <c r="R639" i="12"/>
  <c r="O639" i="12"/>
  <c r="S639" i="12"/>
  <c r="X639" i="12"/>
  <c r="AJ639" i="12"/>
  <c r="AM639" i="12"/>
  <c r="K639" i="12"/>
  <c r="M639" i="12"/>
  <c r="N639" i="12"/>
  <c r="W639" i="12"/>
  <c r="AA639" i="12"/>
  <c r="J639" i="12"/>
  <c r="AK639" i="12"/>
  <c r="AA640" i="12"/>
  <c r="M640" i="12"/>
  <c r="J640" i="12"/>
  <c r="O640" i="12"/>
  <c r="I640" i="12"/>
  <c r="H640" i="12"/>
  <c r="AM640" i="12"/>
  <c r="AK640" i="12"/>
  <c r="AL640" i="12"/>
  <c r="AI640" i="12"/>
  <c r="Z640" i="12"/>
  <c r="P640" i="12"/>
  <c r="K640" i="12"/>
  <c r="S640" i="12"/>
  <c r="F640" i="12"/>
  <c r="R640" i="12"/>
  <c r="Q640" i="12"/>
  <c r="T640" i="12"/>
  <c r="U640" i="12"/>
  <c r="W640" i="12"/>
  <c r="X640" i="12"/>
  <c r="AJ640" i="12"/>
  <c r="N640" i="12"/>
  <c r="V640" i="12"/>
  <c r="Y640" i="12"/>
  <c r="G640" i="12"/>
  <c r="G644" i="12"/>
  <c r="N644" i="12"/>
  <c r="V644" i="12"/>
  <c r="P644" i="12"/>
  <c r="M644" i="12"/>
  <c r="J644" i="12"/>
  <c r="H644" i="12"/>
  <c r="F644" i="12"/>
  <c r="AM644" i="12"/>
  <c r="S644" i="12"/>
  <c r="K644" i="12"/>
  <c r="AI644" i="12"/>
  <c r="Z644" i="12"/>
  <c r="U644" i="12"/>
  <c r="AL644" i="12"/>
  <c r="AJ644" i="12"/>
  <c r="T644" i="12"/>
  <c r="R644" i="12"/>
  <c r="AA644" i="12"/>
  <c r="W644" i="12"/>
  <c r="Q644" i="12"/>
  <c r="O644" i="12"/>
  <c r="I644" i="12"/>
  <c r="AK644" i="12"/>
  <c r="X644" i="12"/>
  <c r="Y644" i="12"/>
  <c r="AC1010" i="12"/>
  <c r="AC1001" i="12"/>
  <c r="AC1027" i="12"/>
  <c r="AC996" i="12"/>
  <c r="AC1236" i="12"/>
  <c r="AC1078" i="12"/>
  <c r="AC1054" i="12"/>
  <c r="AC1049" i="12"/>
  <c r="AC1025" i="12"/>
  <c r="AC1029" i="12"/>
  <c r="AC1033" i="12"/>
  <c r="AC1021" i="12"/>
  <c r="AC938" i="12"/>
  <c r="AC917" i="12"/>
  <c r="AC923" i="12"/>
  <c r="AC902" i="12"/>
  <c r="AC905" i="12"/>
  <c r="AC839" i="12"/>
  <c r="AC705" i="12"/>
  <c r="P1438" i="12"/>
  <c r="O1438" i="12"/>
  <c r="N1438" i="12"/>
  <c r="M1438" i="12"/>
  <c r="K1438" i="12"/>
  <c r="J1438" i="12"/>
  <c r="I1438" i="12"/>
  <c r="H1438" i="12"/>
  <c r="G1438" i="12"/>
  <c r="F1438" i="12"/>
  <c r="AC1438" i="12" s="1"/>
  <c r="AM1438" i="12"/>
  <c r="AL1438" i="12"/>
  <c r="AK1438" i="12"/>
  <c r="AJ1438" i="12"/>
  <c r="AI1438" i="12"/>
  <c r="AA1438" i="12"/>
  <c r="Z1438" i="12"/>
  <c r="Y1438" i="12"/>
  <c r="X1438" i="12"/>
  <c r="W1438" i="12"/>
  <c r="V1438" i="12"/>
  <c r="U1438" i="12"/>
  <c r="T1438" i="12"/>
  <c r="S1438" i="12"/>
  <c r="R1438" i="12"/>
  <c r="Q1438" i="12"/>
  <c r="AM993" i="12"/>
  <c r="P993" i="12"/>
  <c r="X993" i="12"/>
  <c r="Z993" i="12"/>
  <c r="V993" i="12"/>
  <c r="AL993" i="12"/>
  <c r="I993" i="12"/>
  <c r="R993" i="12"/>
  <c r="H993" i="12"/>
  <c r="Y993" i="12"/>
  <c r="AI993" i="12"/>
  <c r="AK993" i="12"/>
  <c r="M993" i="12"/>
  <c r="Q993" i="12"/>
  <c r="S993" i="12"/>
  <c r="O993" i="12"/>
  <c r="J993" i="12"/>
  <c r="U993" i="12"/>
  <c r="W993" i="12"/>
  <c r="N993" i="12"/>
  <c r="T993" i="12"/>
  <c r="AJ993" i="12"/>
  <c r="AA993" i="12"/>
  <c r="F993" i="12"/>
  <c r="K993" i="12"/>
  <c r="G993" i="12"/>
  <c r="U1004" i="12"/>
  <c r="AM1004" i="12"/>
  <c r="AK1004" i="12"/>
  <c r="V1004" i="12"/>
  <c r="S1004" i="12"/>
  <c r="O1004" i="12"/>
  <c r="G1004" i="12"/>
  <c r="F1004" i="12"/>
  <c r="AJ1004" i="12"/>
  <c r="Z1004" i="12"/>
  <c r="R1004" i="12"/>
  <c r="Y1004" i="12"/>
  <c r="W1004" i="12"/>
  <c r="Q1004" i="12"/>
  <c r="K1004" i="12"/>
  <c r="I1004" i="12"/>
  <c r="AL1004" i="12"/>
  <c r="AI1004" i="12"/>
  <c r="X1004" i="12"/>
  <c r="P1004" i="12"/>
  <c r="AC1004" i="12"/>
  <c r="AA1004" i="12"/>
  <c r="T1004" i="12"/>
  <c r="N1004" i="12"/>
  <c r="M1004" i="12"/>
  <c r="J1004" i="12"/>
  <c r="H1004" i="12"/>
  <c r="V810" i="12"/>
  <c r="AL810" i="12"/>
  <c r="Y810" i="12"/>
  <c r="W810" i="12"/>
  <c r="S810" i="12"/>
  <c r="X810" i="12"/>
  <c r="H810" i="12"/>
  <c r="G810" i="12"/>
  <c r="F810" i="12"/>
  <c r="AM810" i="12"/>
  <c r="AJ810" i="12"/>
  <c r="U810" i="12"/>
  <c r="Q810" i="12"/>
  <c r="O810" i="12"/>
  <c r="M810" i="12"/>
  <c r="J810" i="12"/>
  <c r="K810" i="12"/>
  <c r="AI810" i="12"/>
  <c r="AA810" i="12"/>
  <c r="AK810" i="12"/>
  <c r="Z810" i="12"/>
  <c r="T810" i="12"/>
  <c r="P810" i="12"/>
  <c r="N810" i="12"/>
  <c r="I810" i="12"/>
  <c r="R810" i="12"/>
  <c r="J812" i="12"/>
  <c r="AL812" i="12"/>
  <c r="O812" i="12"/>
  <c r="K812" i="12"/>
  <c r="G812" i="12"/>
  <c r="F812" i="12"/>
  <c r="AJ812" i="12"/>
  <c r="T812" i="12"/>
  <c r="S812" i="12"/>
  <c r="P812" i="12"/>
  <c r="AI812" i="12"/>
  <c r="Z812" i="12"/>
  <c r="U812" i="12"/>
  <c r="R812" i="12"/>
  <c r="I812" i="12"/>
  <c r="AK812" i="12"/>
  <c r="Y812" i="12"/>
  <c r="X812" i="12"/>
  <c r="V812" i="12"/>
  <c r="Q812" i="12"/>
  <c r="M812" i="12"/>
  <c r="H812" i="12"/>
  <c r="AM812" i="12"/>
  <c r="AA812" i="12"/>
  <c r="W812" i="12"/>
  <c r="N812" i="12"/>
  <c r="X790" i="12"/>
  <c r="U790" i="12"/>
  <c r="P790" i="12"/>
  <c r="M790" i="12"/>
  <c r="K790" i="12"/>
  <c r="H790" i="12"/>
  <c r="O790" i="12"/>
  <c r="Q790" i="12"/>
  <c r="AJ790" i="12"/>
  <c r="AA790" i="12"/>
  <c r="Y790" i="12"/>
  <c r="V790" i="12"/>
  <c r="G790" i="12"/>
  <c r="AL790" i="12"/>
  <c r="W790" i="12"/>
  <c r="N790" i="12"/>
  <c r="I790" i="12"/>
  <c r="F790" i="12"/>
  <c r="AC790" i="12" s="1"/>
  <c r="AK790" i="12"/>
  <c r="S790" i="12"/>
  <c r="J790" i="12"/>
  <c r="AM790" i="12"/>
  <c r="Z790" i="12"/>
  <c r="T790" i="12"/>
  <c r="R790" i="12"/>
  <c r="AI790" i="12"/>
  <c r="J796" i="12"/>
  <c r="K796" i="12"/>
  <c r="I796" i="12"/>
  <c r="Z796" i="12"/>
  <c r="W796" i="12"/>
  <c r="AM796" i="12"/>
  <c r="N796" i="12"/>
  <c r="F796" i="12"/>
  <c r="AK796" i="12"/>
  <c r="X796" i="12"/>
  <c r="Q796" i="12"/>
  <c r="V796" i="12"/>
  <c r="P796" i="12"/>
  <c r="G796" i="12"/>
  <c r="AC796" i="12" s="1"/>
  <c r="AL796" i="12"/>
  <c r="AJ796" i="12"/>
  <c r="S796" i="12"/>
  <c r="O796" i="12"/>
  <c r="M796" i="12"/>
  <c r="Y796" i="12"/>
  <c r="H796" i="12"/>
  <c r="AI796" i="12"/>
  <c r="AA796" i="12"/>
  <c r="U796" i="12"/>
  <c r="T796" i="12"/>
  <c r="R796" i="12"/>
  <c r="AK797" i="12"/>
  <c r="AA797" i="12"/>
  <c r="Y797" i="12"/>
  <c r="V797" i="12"/>
  <c r="R797" i="12"/>
  <c r="M797" i="12"/>
  <c r="U797" i="12"/>
  <c r="S797" i="12"/>
  <c r="K797" i="12"/>
  <c r="I797" i="12"/>
  <c r="G797" i="12"/>
  <c r="F797" i="12"/>
  <c r="AM797" i="12"/>
  <c r="J797" i="12"/>
  <c r="H797" i="12"/>
  <c r="W797" i="12"/>
  <c r="P797" i="12"/>
  <c r="T797" i="12"/>
  <c r="N797" i="12"/>
  <c r="AL797" i="12"/>
  <c r="AJ797" i="12"/>
  <c r="AI797" i="12"/>
  <c r="Z797" i="12"/>
  <c r="X797" i="12"/>
  <c r="Q797" i="12"/>
  <c r="O797" i="12"/>
  <c r="V798" i="12"/>
  <c r="Z798" i="12"/>
  <c r="H798" i="12"/>
  <c r="R798" i="12"/>
  <c r="O798" i="12"/>
  <c r="I798" i="12"/>
  <c r="S798" i="12"/>
  <c r="P798" i="12"/>
  <c r="J798" i="12"/>
  <c r="AL798" i="12"/>
  <c r="X798" i="12"/>
  <c r="N798" i="12"/>
  <c r="M798" i="12"/>
  <c r="AJ798" i="12"/>
  <c r="G798" i="12"/>
  <c r="AI798" i="12"/>
  <c r="Y798" i="12"/>
  <c r="AA798" i="12"/>
  <c r="T798" i="12"/>
  <c r="K798" i="12"/>
  <c r="AM798" i="12"/>
  <c r="W798" i="12"/>
  <c r="AK798" i="12"/>
  <c r="U798" i="12"/>
  <c r="Q798" i="12"/>
  <c r="F798" i="12"/>
  <c r="AC798" i="12" s="1"/>
  <c r="K779" i="12"/>
  <c r="Y779" i="12"/>
  <c r="V779" i="12"/>
  <c r="G779" i="12"/>
  <c r="Q779" i="12"/>
  <c r="I779" i="12"/>
  <c r="U779" i="12"/>
  <c r="N779" i="12"/>
  <c r="H779" i="12"/>
  <c r="AM779" i="12"/>
  <c r="Z779" i="12"/>
  <c r="W779" i="12"/>
  <c r="AJ779" i="12"/>
  <c r="S779" i="12"/>
  <c r="T779" i="12"/>
  <c r="AK779" i="12"/>
  <c r="AI779" i="12"/>
  <c r="O779" i="12"/>
  <c r="M779" i="12"/>
  <c r="J779" i="12"/>
  <c r="F779" i="12"/>
  <c r="AC779" i="12" s="1"/>
  <c r="AL779" i="12"/>
  <c r="AA779" i="12"/>
  <c r="X779" i="12"/>
  <c r="R779" i="12"/>
  <c r="P779" i="12"/>
  <c r="I780" i="12"/>
  <c r="AM780" i="12"/>
  <c r="AJ780" i="12"/>
  <c r="W780" i="12"/>
  <c r="T780" i="12"/>
  <c r="P780" i="12"/>
  <c r="AL780" i="12"/>
  <c r="AI780" i="12"/>
  <c r="R780" i="12"/>
  <c r="Y780" i="12"/>
  <c r="O780" i="12"/>
  <c r="H780" i="12"/>
  <c r="Z780" i="12"/>
  <c r="V780" i="12"/>
  <c r="Q780" i="12"/>
  <c r="M780" i="12"/>
  <c r="K780" i="12"/>
  <c r="N780" i="12"/>
  <c r="G780" i="12"/>
  <c r="AK780" i="12"/>
  <c r="X780" i="12"/>
  <c r="U780" i="12"/>
  <c r="S780" i="12"/>
  <c r="AA780" i="12"/>
  <c r="F780" i="12"/>
  <c r="J780" i="12"/>
  <c r="F758" i="12"/>
  <c r="AM758" i="12"/>
  <c r="Z758" i="12"/>
  <c r="J758" i="12"/>
  <c r="AL758" i="12"/>
  <c r="T758" i="12"/>
  <c r="N758" i="12"/>
  <c r="M758" i="12"/>
  <c r="AA758" i="12"/>
  <c r="P758" i="12"/>
  <c r="AK758" i="12"/>
  <c r="Y758" i="12"/>
  <c r="S758" i="12"/>
  <c r="I758" i="12"/>
  <c r="W758" i="12"/>
  <c r="AI758" i="12"/>
  <c r="R758" i="12"/>
  <c r="K758" i="12"/>
  <c r="H758" i="12"/>
  <c r="AJ758" i="12"/>
  <c r="X758" i="12"/>
  <c r="U758" i="12"/>
  <c r="O758" i="12"/>
  <c r="G758" i="12"/>
  <c r="V758" i="12"/>
  <c r="Q758" i="12"/>
  <c r="K762" i="12"/>
  <c r="AL762" i="12"/>
  <c r="Z762" i="12"/>
  <c r="X762" i="12"/>
  <c r="I762" i="12"/>
  <c r="G762" i="12"/>
  <c r="AM762" i="12"/>
  <c r="AK762" i="12"/>
  <c r="AJ762" i="12"/>
  <c r="S762" i="12"/>
  <c r="N762" i="12"/>
  <c r="AA762" i="12"/>
  <c r="AI762" i="12"/>
  <c r="U762" i="12"/>
  <c r="R762" i="12"/>
  <c r="J762" i="12"/>
  <c r="F762" i="12"/>
  <c r="AC762" i="12" s="1"/>
  <c r="T762" i="12"/>
  <c r="O762" i="12"/>
  <c r="V762" i="12"/>
  <c r="P762" i="12"/>
  <c r="H762" i="12"/>
  <c r="Y762" i="12"/>
  <c r="W762" i="12"/>
  <c r="Q762" i="12"/>
  <c r="M762" i="12"/>
  <c r="X763" i="12"/>
  <c r="S763" i="12"/>
  <c r="O763" i="12"/>
  <c r="J763" i="12"/>
  <c r="AM763" i="12"/>
  <c r="AK763" i="12"/>
  <c r="V763" i="12"/>
  <c r="Q763" i="12"/>
  <c r="H763" i="12"/>
  <c r="F763" i="12"/>
  <c r="AJ763" i="12"/>
  <c r="AL763" i="12"/>
  <c r="AA763" i="12"/>
  <c r="I763" i="12"/>
  <c r="T763" i="12"/>
  <c r="R763" i="12"/>
  <c r="M763" i="12"/>
  <c r="K763" i="12"/>
  <c r="Z763" i="12"/>
  <c r="U763" i="12"/>
  <c r="P763" i="12"/>
  <c r="G763" i="12"/>
  <c r="AC763" i="12" s="1"/>
  <c r="AI763" i="12"/>
  <c r="Y763" i="12"/>
  <c r="W763" i="12"/>
  <c r="N763" i="12"/>
  <c r="H765" i="12"/>
  <c r="Z765" i="12"/>
  <c r="Q765" i="12"/>
  <c r="O765" i="12"/>
  <c r="K765" i="12"/>
  <c r="U765" i="12"/>
  <c r="AM765" i="12"/>
  <c r="V765" i="12"/>
  <c r="N765" i="12"/>
  <c r="I765" i="12"/>
  <c r="F765" i="12"/>
  <c r="R765" i="12"/>
  <c r="G765" i="12"/>
  <c r="AK765" i="12"/>
  <c r="X765" i="12"/>
  <c r="S765" i="12"/>
  <c r="AL765" i="12"/>
  <c r="W765" i="12"/>
  <c r="P765" i="12"/>
  <c r="M765" i="12"/>
  <c r="AI765" i="12"/>
  <c r="Y765" i="12"/>
  <c r="T765" i="12"/>
  <c r="J765" i="12"/>
  <c r="AJ765" i="12"/>
  <c r="AA765" i="12"/>
  <c r="J766" i="12"/>
  <c r="AI766" i="12"/>
  <c r="X766" i="12"/>
  <c r="R766" i="12"/>
  <c r="O766" i="12"/>
  <c r="K766" i="12"/>
  <c r="F766" i="12"/>
  <c r="AL766" i="12"/>
  <c r="H766" i="12"/>
  <c r="G766" i="12"/>
  <c r="AJ766" i="12"/>
  <c r="T766" i="12"/>
  <c r="Q766" i="12"/>
  <c r="N766" i="12"/>
  <c r="AM766" i="12"/>
  <c r="V766" i="12"/>
  <c r="I766" i="12"/>
  <c r="AK766" i="12"/>
  <c r="AC766" i="12"/>
  <c r="AA766" i="12"/>
  <c r="Z766" i="12"/>
  <c r="U766" i="12"/>
  <c r="M766" i="12"/>
  <c r="Y766" i="12"/>
  <c r="S766" i="12"/>
  <c r="W766" i="12"/>
  <c r="P766" i="12"/>
  <c r="AK767" i="12"/>
  <c r="AI767" i="12"/>
  <c r="U767" i="12"/>
  <c r="R767" i="12"/>
  <c r="M767" i="12"/>
  <c r="AJ767" i="12"/>
  <c r="S767" i="12"/>
  <c r="O767" i="12"/>
  <c r="J767" i="12"/>
  <c r="Y767" i="12"/>
  <c r="Q767" i="12"/>
  <c r="P767" i="12"/>
  <c r="N767" i="12"/>
  <c r="H767" i="12"/>
  <c r="F767" i="12"/>
  <c r="X767" i="12"/>
  <c r="T767" i="12"/>
  <c r="K767" i="12"/>
  <c r="I767" i="12"/>
  <c r="AM767" i="12"/>
  <c r="Z767" i="12"/>
  <c r="AA767" i="12"/>
  <c r="W767" i="12"/>
  <c r="V767" i="12"/>
  <c r="G767" i="12"/>
  <c r="AL767" i="12"/>
  <c r="F745" i="12"/>
  <c r="AL745" i="12"/>
  <c r="X745" i="12"/>
  <c r="O745" i="12"/>
  <c r="AM745" i="12"/>
  <c r="W745" i="12"/>
  <c r="S745" i="12"/>
  <c r="Q745" i="12"/>
  <c r="N745" i="12"/>
  <c r="J745" i="12"/>
  <c r="U745" i="12"/>
  <c r="R745" i="12"/>
  <c r="I745" i="12"/>
  <c r="AJ745" i="12"/>
  <c r="AI745" i="12"/>
  <c r="T745" i="12"/>
  <c r="G745" i="12"/>
  <c r="Y745" i="12"/>
  <c r="AK745" i="12"/>
  <c r="AA745" i="12"/>
  <c r="P745" i="12"/>
  <c r="M745" i="12"/>
  <c r="H745" i="12"/>
  <c r="Z745" i="12"/>
  <c r="V745" i="12"/>
  <c r="K745" i="12"/>
  <c r="I749" i="12"/>
  <c r="AL749" i="12"/>
  <c r="T749" i="12"/>
  <c r="K749" i="12"/>
  <c r="U749" i="12"/>
  <c r="M749" i="12"/>
  <c r="G749" i="12"/>
  <c r="AK749" i="12"/>
  <c r="W749" i="12"/>
  <c r="R749" i="12"/>
  <c r="J749" i="12"/>
  <c r="AM749" i="12"/>
  <c r="AA749" i="12"/>
  <c r="V749" i="12"/>
  <c r="P749" i="12"/>
  <c r="H749" i="12"/>
  <c r="F749" i="12"/>
  <c r="AC749" i="12" s="1"/>
  <c r="Q749" i="12"/>
  <c r="O749" i="12"/>
  <c r="AI749" i="12"/>
  <c r="X749" i="12"/>
  <c r="N749" i="12"/>
  <c r="AJ749" i="12"/>
  <c r="Z749" i="12"/>
  <c r="Y749" i="12"/>
  <c r="S749" i="12"/>
  <c r="AI730" i="12"/>
  <c r="T730" i="12"/>
  <c r="O730" i="12"/>
  <c r="G730" i="12"/>
  <c r="V730" i="12"/>
  <c r="AM730" i="12"/>
  <c r="M730" i="12"/>
  <c r="H730" i="12"/>
  <c r="J730" i="12"/>
  <c r="F730" i="12"/>
  <c r="AC730" i="12" s="1"/>
  <c r="Z730" i="12"/>
  <c r="R730" i="12"/>
  <c r="P730" i="12"/>
  <c r="AK730" i="12"/>
  <c r="Q730" i="12"/>
  <c r="K730" i="12"/>
  <c r="AL730" i="12"/>
  <c r="AJ730" i="12"/>
  <c r="I730" i="12"/>
  <c r="AA730" i="12"/>
  <c r="Y730" i="12"/>
  <c r="W730" i="12"/>
  <c r="U730" i="12"/>
  <c r="S730" i="12"/>
  <c r="N730" i="12"/>
  <c r="X730" i="12"/>
  <c r="K731" i="12"/>
  <c r="AA731" i="12"/>
  <c r="Y731" i="12"/>
  <c r="S731" i="12"/>
  <c r="G731" i="12"/>
  <c r="AK731" i="12"/>
  <c r="Z731" i="12"/>
  <c r="X731" i="12"/>
  <c r="T731" i="12"/>
  <c r="N731" i="12"/>
  <c r="J731" i="12"/>
  <c r="H731" i="12"/>
  <c r="AM731" i="12"/>
  <c r="AL731" i="12"/>
  <c r="AJ731" i="12"/>
  <c r="W731" i="12"/>
  <c r="U731" i="12"/>
  <c r="P731" i="12"/>
  <c r="I731" i="12"/>
  <c r="AI731" i="12"/>
  <c r="O731" i="12"/>
  <c r="F731" i="12"/>
  <c r="AC731" i="12" s="1"/>
  <c r="R731" i="12"/>
  <c r="M731" i="12"/>
  <c r="V731" i="12"/>
  <c r="Q731" i="12"/>
  <c r="K732" i="12"/>
  <c r="AM732" i="12"/>
  <c r="W732" i="12"/>
  <c r="P732" i="12"/>
  <c r="G732" i="12"/>
  <c r="X732" i="12"/>
  <c r="S732" i="12"/>
  <c r="AJ732" i="12"/>
  <c r="Z732" i="12"/>
  <c r="Q732" i="12"/>
  <c r="M732" i="12"/>
  <c r="AK732" i="12"/>
  <c r="T732" i="12"/>
  <c r="R732" i="12"/>
  <c r="AL732" i="12"/>
  <c r="AA732" i="12"/>
  <c r="V732" i="12"/>
  <c r="J732" i="12"/>
  <c r="Y732" i="12"/>
  <c r="N732" i="12"/>
  <c r="H732" i="12"/>
  <c r="AI732" i="12"/>
  <c r="O732" i="12"/>
  <c r="I732" i="12"/>
  <c r="F732" i="12"/>
  <c r="AC732" i="12" s="1"/>
  <c r="U732" i="12"/>
  <c r="G735" i="12"/>
  <c r="T735" i="12"/>
  <c r="AL735" i="12"/>
  <c r="Z735" i="12"/>
  <c r="O735" i="12"/>
  <c r="K735" i="12"/>
  <c r="H735" i="12"/>
  <c r="F735" i="12"/>
  <c r="AM735" i="12"/>
  <c r="AI735" i="12"/>
  <c r="X735" i="12"/>
  <c r="S735" i="12"/>
  <c r="P735" i="12"/>
  <c r="N735" i="12"/>
  <c r="AK735" i="12"/>
  <c r="V735" i="12"/>
  <c r="Q735" i="12"/>
  <c r="M735" i="12"/>
  <c r="AJ735" i="12"/>
  <c r="AA735" i="12"/>
  <c r="Y735" i="12"/>
  <c r="W735" i="12"/>
  <c r="U735" i="12"/>
  <c r="R735" i="12"/>
  <c r="I735" i="12"/>
  <c r="J735" i="12"/>
  <c r="AA688" i="12"/>
  <c r="W688" i="12"/>
  <c r="O688" i="12"/>
  <c r="AK688" i="12"/>
  <c r="S688" i="12"/>
  <c r="I688" i="12"/>
  <c r="H688" i="12"/>
  <c r="Q688" i="12"/>
  <c r="K688" i="12"/>
  <c r="V688" i="12"/>
  <c r="M688" i="12"/>
  <c r="F688" i="12"/>
  <c r="AJ688" i="12"/>
  <c r="AL688" i="12"/>
  <c r="T689" i="12"/>
  <c r="AJ689" i="12"/>
  <c r="AA689" i="12"/>
  <c r="Y689" i="12"/>
  <c r="S689" i="12"/>
  <c r="Q689" i="12"/>
  <c r="O689" i="12"/>
  <c r="AK689" i="12"/>
  <c r="M689" i="12"/>
  <c r="I689" i="12"/>
  <c r="Z689" i="12"/>
  <c r="K689" i="12"/>
  <c r="AM689" i="12"/>
  <c r="W689" i="12"/>
  <c r="P689" i="12"/>
  <c r="AI689" i="12"/>
  <c r="U689" i="12"/>
  <c r="X689" i="12"/>
  <c r="V689" i="12"/>
  <c r="R689" i="12"/>
  <c r="N689" i="12"/>
  <c r="J689" i="12"/>
  <c r="AL689" i="12"/>
  <c r="AM690" i="12"/>
  <c r="V690" i="12"/>
  <c r="P690" i="12"/>
  <c r="Y690" i="12"/>
  <c r="S690" i="12"/>
  <c r="K690" i="12"/>
  <c r="I690" i="12"/>
  <c r="AL690" i="12"/>
  <c r="U690" i="12"/>
  <c r="Q690" i="12"/>
  <c r="N690" i="12"/>
  <c r="O690" i="12"/>
  <c r="J690" i="12"/>
  <c r="AJ690" i="12"/>
  <c r="AK690" i="12"/>
  <c r="AI690" i="12"/>
  <c r="H690" i="12"/>
  <c r="AA690" i="12"/>
  <c r="M690" i="12"/>
  <c r="X690" i="12"/>
  <c r="T690" i="12"/>
  <c r="Z690" i="12"/>
  <c r="W690" i="12"/>
  <c r="R690" i="12"/>
  <c r="Q691" i="12"/>
  <c r="AM691" i="12"/>
  <c r="Y691" i="12"/>
  <c r="R691" i="12"/>
  <c r="I691" i="12"/>
  <c r="V691" i="12"/>
  <c r="S691" i="12"/>
  <c r="AK691" i="12"/>
  <c r="AA691" i="12"/>
  <c r="H691" i="12"/>
  <c r="AL691" i="12"/>
  <c r="AI691" i="12"/>
  <c r="J691" i="12"/>
  <c r="X691" i="12"/>
  <c r="T691" i="12"/>
  <c r="P691" i="12"/>
  <c r="N691" i="12"/>
  <c r="K691" i="12"/>
  <c r="O691" i="12"/>
  <c r="M691" i="12"/>
  <c r="AJ691" i="12"/>
  <c r="Z691" i="12"/>
  <c r="W691" i="12"/>
  <c r="U691" i="12"/>
  <c r="AK695" i="12"/>
  <c r="AL695" i="12"/>
  <c r="X695" i="12"/>
  <c r="V695" i="12"/>
  <c r="S695" i="12"/>
  <c r="R695" i="12"/>
  <c r="AM695" i="12"/>
  <c r="AI695" i="12"/>
  <c r="Y695" i="12"/>
  <c r="U695" i="12"/>
  <c r="Q695" i="12"/>
  <c r="M695" i="12"/>
  <c r="I695" i="12"/>
  <c r="G695" i="12"/>
  <c r="F695" i="12"/>
  <c r="AC695" i="12" s="1"/>
  <c r="K695" i="12"/>
  <c r="AJ695" i="12"/>
  <c r="Z695" i="12"/>
  <c r="N695" i="12"/>
  <c r="J695" i="12"/>
  <c r="AA695" i="12"/>
  <c r="P695" i="12"/>
  <c r="H695" i="12"/>
  <c r="W695" i="12"/>
  <c r="T695" i="12"/>
  <c r="O695" i="12"/>
  <c r="Y697" i="12"/>
  <c r="V697" i="12"/>
  <c r="AA697" i="12"/>
  <c r="U697" i="12"/>
  <c r="Z697" i="12"/>
  <c r="F697" i="12"/>
  <c r="O697" i="12"/>
  <c r="T697" i="12"/>
  <c r="W697" i="12"/>
  <c r="X697" i="12"/>
  <c r="AK697" i="12"/>
  <c r="K697" i="12"/>
  <c r="R697" i="12"/>
  <c r="AI697" i="12"/>
  <c r="G697" i="12"/>
  <c r="N697" i="12"/>
  <c r="Q697" i="12"/>
  <c r="S697" i="12"/>
  <c r="P697" i="12"/>
  <c r="AJ697" i="12"/>
  <c r="AM697" i="12"/>
  <c r="J697" i="12"/>
  <c r="I697" i="12"/>
  <c r="AL697" i="12"/>
  <c r="H697" i="12"/>
  <c r="M697" i="12"/>
  <c r="V674" i="12"/>
  <c r="P674" i="12"/>
  <c r="AM674" i="12"/>
  <c r="AK674" i="12"/>
  <c r="S674" i="12"/>
  <c r="Q674" i="12"/>
  <c r="M674" i="12"/>
  <c r="K674" i="12"/>
  <c r="I674" i="12"/>
  <c r="H674" i="12"/>
  <c r="Z674" i="12"/>
  <c r="N674" i="12"/>
  <c r="AJ674" i="12"/>
  <c r="W674" i="12"/>
  <c r="R674" i="12"/>
  <c r="AL674" i="12"/>
  <c r="U674" i="12"/>
  <c r="T674" i="12"/>
  <c r="J674" i="12"/>
  <c r="AA674" i="12"/>
  <c r="O674" i="12"/>
  <c r="AI674" i="12"/>
  <c r="Y674" i="12"/>
  <c r="X674" i="12"/>
  <c r="X676" i="12"/>
  <c r="V676" i="12"/>
  <c r="J676" i="12"/>
  <c r="N676" i="12"/>
  <c r="R676" i="12"/>
  <c r="AA676" i="12"/>
  <c r="AK676" i="12"/>
  <c r="Z676" i="12"/>
  <c r="T676" i="12"/>
  <c r="O676" i="12"/>
  <c r="Y676" i="12"/>
  <c r="AJ676" i="12"/>
  <c r="S676" i="12"/>
  <c r="W676" i="12"/>
  <c r="AL676" i="12"/>
  <c r="AJ667" i="12"/>
  <c r="J667" i="12"/>
  <c r="M667" i="12"/>
  <c r="AL667" i="12"/>
  <c r="Q667" i="12"/>
  <c r="S667" i="12"/>
  <c r="X667" i="12"/>
  <c r="AM667" i="12"/>
  <c r="I667" i="12"/>
  <c r="P667" i="12"/>
  <c r="W667" i="12"/>
  <c r="Z667" i="12"/>
  <c r="H667" i="12"/>
  <c r="N669" i="12"/>
  <c r="J669" i="12"/>
  <c r="Y669" i="12"/>
  <c r="F669" i="12"/>
  <c r="Z669" i="12"/>
  <c r="AL669" i="12"/>
  <c r="AJ669" i="12"/>
  <c r="V669" i="12"/>
  <c r="T669" i="12"/>
  <c r="S669" i="12"/>
  <c r="R669" i="12"/>
  <c r="K669" i="12"/>
  <c r="M669" i="12"/>
  <c r="Q669" i="12"/>
  <c r="W669" i="12"/>
  <c r="G669" i="12"/>
  <c r="I669" i="12"/>
  <c r="O669" i="12"/>
  <c r="AI669" i="12"/>
  <c r="H669" i="12"/>
  <c r="AM669" i="12"/>
  <c r="P669" i="12"/>
  <c r="U669" i="12"/>
  <c r="X669" i="12"/>
  <c r="AA669" i="12"/>
  <c r="AK669" i="12"/>
  <c r="AJ670" i="12"/>
  <c r="X670" i="12"/>
  <c r="I670" i="12"/>
  <c r="V670" i="12"/>
  <c r="R670" i="12"/>
  <c r="AI670" i="12"/>
  <c r="M670" i="12"/>
  <c r="T670" i="12"/>
  <c r="AA670" i="12"/>
  <c r="W670" i="12"/>
  <c r="S670" i="12"/>
  <c r="Q670" i="12"/>
  <c r="O670" i="12"/>
  <c r="J670" i="12"/>
  <c r="H670" i="12"/>
  <c r="F670" i="12"/>
  <c r="Z670" i="12"/>
  <c r="Y670" i="12"/>
  <c r="N670" i="12"/>
  <c r="U670" i="12"/>
  <c r="K670" i="12"/>
  <c r="G670" i="12"/>
  <c r="AL670" i="12"/>
  <c r="P670" i="12"/>
  <c r="AM670" i="12"/>
  <c r="AK670" i="12"/>
  <c r="K672" i="12"/>
  <c r="AK672" i="12"/>
  <c r="G672" i="12"/>
  <c r="X672" i="12"/>
  <c r="I672" i="12"/>
  <c r="N672" i="12"/>
  <c r="S672" i="12"/>
  <c r="Z672" i="12"/>
  <c r="P672" i="12"/>
  <c r="Y672" i="12"/>
  <c r="Q672" i="12"/>
  <c r="V672" i="12"/>
  <c r="U672" i="12"/>
  <c r="T672" i="12"/>
  <c r="M672" i="12"/>
  <c r="J672" i="12"/>
  <c r="H672" i="12"/>
  <c r="AI672" i="12"/>
  <c r="AL672" i="12"/>
  <c r="AA672" i="12"/>
  <c r="W672" i="12"/>
  <c r="O672" i="12"/>
  <c r="F672" i="12"/>
  <c r="AJ672" i="12"/>
  <c r="R672" i="12"/>
  <c r="AM672" i="12"/>
  <c r="W646" i="12"/>
  <c r="J646" i="12"/>
  <c r="AK646" i="12"/>
  <c r="AI646" i="12"/>
  <c r="AA646" i="12"/>
  <c r="Z646" i="12"/>
  <c r="Q646" i="12"/>
  <c r="U646" i="12"/>
  <c r="T646" i="12"/>
  <c r="N646" i="12"/>
  <c r="K646" i="12"/>
  <c r="G646" i="12"/>
  <c r="Y646" i="12"/>
  <c r="P646" i="12"/>
  <c r="I646" i="12"/>
  <c r="AL646" i="12"/>
  <c r="X646" i="12"/>
  <c r="V646" i="12"/>
  <c r="S646" i="12"/>
  <c r="O646" i="12"/>
  <c r="R646" i="12"/>
  <c r="M646" i="12"/>
  <c r="H646" i="12"/>
  <c r="F646" i="12"/>
  <c r="AM646" i="12"/>
  <c r="AJ646" i="12"/>
  <c r="O633" i="12"/>
  <c r="S633" i="12"/>
  <c r="AA633" i="12"/>
  <c r="AL633" i="12"/>
  <c r="N633" i="12"/>
  <c r="AK633" i="12"/>
  <c r="G633" i="12"/>
  <c r="R633" i="12"/>
  <c r="X633" i="12"/>
  <c r="Z633" i="12"/>
  <c r="Y633" i="12"/>
  <c r="W633" i="12"/>
  <c r="U633" i="12"/>
  <c r="M633" i="12"/>
  <c r="J633" i="12"/>
  <c r="V633" i="12"/>
  <c r="K633" i="12"/>
  <c r="T633" i="12"/>
  <c r="I633" i="12"/>
  <c r="AM633" i="12"/>
  <c r="AI633" i="12"/>
  <c r="Q633" i="12"/>
  <c r="P633" i="12"/>
  <c r="H633" i="12"/>
  <c r="F633" i="12"/>
  <c r="AJ633" i="12"/>
  <c r="V621" i="12"/>
  <c r="T621" i="12"/>
  <c r="G621" i="12"/>
  <c r="AK621" i="12"/>
  <c r="AA621" i="12"/>
  <c r="M621" i="12"/>
  <c r="J621" i="12"/>
  <c r="AJ621" i="12"/>
  <c r="Z621" i="12"/>
  <c r="I621" i="12"/>
  <c r="U621" i="12"/>
  <c r="P621" i="12"/>
  <c r="O621" i="12"/>
  <c r="R621" i="12"/>
  <c r="K621" i="12"/>
  <c r="AI621" i="12"/>
  <c r="AL621" i="12"/>
  <c r="H621" i="12"/>
  <c r="X621" i="12"/>
  <c r="F621" i="12"/>
  <c r="Y621" i="12"/>
  <c r="W621" i="12"/>
  <c r="S621" i="12"/>
  <c r="Q621" i="12"/>
  <c r="N621" i="12"/>
  <c r="AM621" i="12"/>
  <c r="P622" i="12"/>
  <c r="M622" i="12"/>
  <c r="X622" i="12"/>
  <c r="U622" i="12"/>
  <c r="K622" i="12"/>
  <c r="AL622" i="12"/>
  <c r="AK622" i="12"/>
  <c r="AJ622" i="12"/>
  <c r="AI622" i="12"/>
  <c r="Z622" i="12"/>
  <c r="V622" i="12"/>
  <c r="Q622" i="12"/>
  <c r="O622" i="12"/>
  <c r="F622" i="12"/>
  <c r="W622" i="12"/>
  <c r="N622" i="12"/>
  <c r="H622" i="12"/>
  <c r="AM622" i="12"/>
  <c r="J622" i="12"/>
  <c r="Y622" i="12"/>
  <c r="S622" i="12"/>
  <c r="I622" i="12"/>
  <c r="G622" i="12"/>
  <c r="T622" i="12"/>
  <c r="AA622" i="12"/>
  <c r="R622" i="12"/>
  <c r="P624" i="12"/>
  <c r="J624" i="12"/>
  <c r="F624" i="12"/>
  <c r="AK624" i="12"/>
  <c r="AI624" i="12"/>
  <c r="Z624" i="12"/>
  <c r="W624" i="12"/>
  <c r="V624" i="12"/>
  <c r="R624" i="12"/>
  <c r="M624" i="12"/>
  <c r="G624" i="12"/>
  <c r="AM624" i="12"/>
  <c r="S624" i="12"/>
  <c r="I624" i="12"/>
  <c r="H624" i="12"/>
  <c r="X624" i="12"/>
  <c r="N624" i="12"/>
  <c r="K624" i="12"/>
  <c r="T624" i="12"/>
  <c r="Q624" i="12"/>
  <c r="AA624" i="12"/>
  <c r="O624" i="12"/>
  <c r="U624" i="12"/>
  <c r="AL624" i="12"/>
  <c r="AJ624" i="12"/>
  <c r="Y624" i="12"/>
  <c r="AL629" i="12"/>
  <c r="Z629" i="12"/>
  <c r="V629" i="12"/>
  <c r="O629" i="12"/>
  <c r="AM629" i="12"/>
  <c r="U629" i="12"/>
  <c r="N629" i="12"/>
  <c r="AI629" i="12"/>
  <c r="Q629" i="12"/>
  <c r="X629" i="12"/>
  <c r="T629" i="12"/>
  <c r="AJ629" i="12"/>
  <c r="K629" i="12"/>
  <c r="AK629" i="12"/>
  <c r="AA629" i="12"/>
  <c r="W629" i="12"/>
  <c r="S629" i="12"/>
  <c r="I629" i="12"/>
  <c r="F629" i="12"/>
  <c r="Y629" i="12"/>
  <c r="M629" i="12"/>
  <c r="H629" i="12"/>
  <c r="P629" i="12"/>
  <c r="J629" i="12"/>
  <c r="G629" i="12"/>
  <c r="R629" i="12"/>
  <c r="N914" i="12"/>
  <c r="G914" i="12"/>
  <c r="F914" i="12"/>
  <c r="AC914" i="12" s="1"/>
  <c r="AK914" i="12"/>
  <c r="X914" i="12"/>
  <c r="O914" i="12"/>
  <c r="Y914" i="12"/>
  <c r="P914" i="12"/>
  <c r="W914" i="12"/>
  <c r="S914" i="12"/>
  <c r="Q914" i="12"/>
  <c r="AJ914" i="12"/>
  <c r="H914" i="12"/>
  <c r="R914" i="12"/>
  <c r="AA914" i="12"/>
  <c r="Z914" i="12"/>
  <c r="AL914" i="12"/>
  <c r="K914" i="12"/>
  <c r="AM914" i="12"/>
  <c r="J914" i="12"/>
  <c r="I914" i="12"/>
  <c r="AI914" i="12"/>
  <c r="U914" i="12"/>
  <c r="T914" i="12"/>
  <c r="V914" i="12"/>
  <c r="M914" i="12"/>
  <c r="AR10" i="12"/>
  <c r="BS9" i="12"/>
  <c r="BT10" i="12"/>
  <c r="AU9" i="12"/>
  <c r="AU10" i="12"/>
  <c r="BJ9" i="12"/>
  <c r="BJ10" i="12"/>
  <c r="DF9" i="12"/>
  <c r="DF10" i="12"/>
  <c r="CQ9" i="12"/>
  <c r="CM10" i="12"/>
  <c r="BT9" i="12"/>
  <c r="BU10" i="12"/>
  <c r="BU9" i="12"/>
  <c r="BV10" i="12"/>
  <c r="BI9" i="12"/>
  <c r="BI10" i="12"/>
  <c r="AT9" i="12"/>
  <c r="AT10" i="12"/>
  <c r="BV9" i="12"/>
  <c r="BW10" i="12"/>
  <c r="DE9" i="12"/>
  <c r="DE10" i="12"/>
  <c r="CR10" i="12"/>
  <c r="CX9" i="12"/>
  <c r="BH9" i="12"/>
  <c r="BH10" i="12"/>
  <c r="BW9" i="12"/>
  <c r="BX10" i="12"/>
  <c r="AS9" i="12"/>
  <c r="AS10" i="12"/>
  <c r="BX9" i="12"/>
  <c r="BY10" i="12"/>
  <c r="BY9" i="12"/>
  <c r="BZ10" i="12"/>
  <c r="BG9" i="12"/>
  <c r="BG10" i="12"/>
  <c r="DD9" i="12"/>
  <c r="DD10" i="12"/>
  <c r="CX10" i="12"/>
  <c r="CV9" i="12"/>
  <c r="AR9" i="12"/>
  <c r="BZ9" i="12"/>
  <c r="CA10" i="12"/>
  <c r="CA9" i="12"/>
  <c r="BF9" i="12"/>
  <c r="BF10" i="12"/>
  <c r="CB10" i="12"/>
  <c r="CB9" i="12"/>
  <c r="CC10" i="12"/>
  <c r="DC9" i="12"/>
  <c r="DC10" i="12"/>
  <c r="CU9" i="12"/>
  <c r="AQ9" i="12"/>
  <c r="AQ10" i="12"/>
  <c r="BE9" i="12"/>
  <c r="BE10" i="12"/>
  <c r="CR9" i="12"/>
  <c r="CC9" i="12"/>
  <c r="CD10" i="12"/>
  <c r="CD9" i="12"/>
  <c r="CE10" i="12"/>
  <c r="CE9" i="12"/>
  <c r="DB9" i="12"/>
  <c r="BD9" i="12"/>
  <c r="BD10" i="12"/>
  <c r="AP9" i="12"/>
  <c r="AP10" i="12"/>
  <c r="DB10" i="12"/>
  <c r="CS10" i="12"/>
  <c r="CS9" i="12"/>
  <c r="CF10" i="12"/>
  <c r="CF9" i="12"/>
  <c r="CG10" i="12"/>
  <c r="BC9" i="12"/>
  <c r="BC10" i="12"/>
  <c r="CG9" i="12"/>
  <c r="CH10" i="12"/>
  <c r="AO9" i="12"/>
  <c r="AO10" i="12"/>
  <c r="CH9" i="12"/>
  <c r="DA9" i="12"/>
  <c r="DA10" i="12"/>
  <c r="CT10" i="12"/>
  <c r="BB9" i="12"/>
  <c r="BB10" i="12"/>
  <c r="CT9" i="12"/>
  <c r="CI10" i="12"/>
  <c r="CI9" i="12"/>
  <c r="CJ10" i="12"/>
  <c r="AN9" i="12"/>
  <c r="AN10" i="12"/>
  <c r="CJ9" i="12"/>
  <c r="CK10" i="12"/>
  <c r="BA9" i="12"/>
  <c r="BA10" i="12"/>
  <c r="CK9" i="12"/>
  <c r="CZ9" i="12"/>
  <c r="CZ10" i="12"/>
  <c r="CU10" i="12"/>
  <c r="CW9" i="12"/>
  <c r="CL10" i="12"/>
  <c r="AM9" i="12"/>
  <c r="AM10" i="12"/>
  <c r="AZ9" i="12"/>
  <c r="AZ10" i="12"/>
  <c r="CL9" i="12"/>
  <c r="CM9" i="12"/>
  <c r="CN10" i="12"/>
  <c r="CN9" i="12"/>
  <c r="CO10" i="12"/>
  <c r="CY9" i="12"/>
  <c r="CY10" i="12"/>
  <c r="BK10" i="12"/>
  <c r="AY9" i="12"/>
  <c r="AY10" i="12"/>
  <c r="AL9" i="12"/>
  <c r="AL10" i="12"/>
  <c r="CW10" i="12"/>
  <c r="CV10" i="12"/>
  <c r="BK9" i="12"/>
  <c r="BL10" i="12"/>
  <c r="BL9" i="12"/>
  <c r="BM10" i="12"/>
  <c r="AX9" i="12"/>
  <c r="AX10" i="12"/>
  <c r="BM9" i="12"/>
  <c r="BN10" i="12"/>
  <c r="AK9" i="12"/>
  <c r="AK10" i="12"/>
  <c r="CO9" i="12"/>
  <c r="CP10" i="12"/>
  <c r="BN9" i="12"/>
  <c r="BO10" i="12"/>
  <c r="AW9" i="12"/>
  <c r="AW10" i="12"/>
  <c r="BO9" i="12"/>
  <c r="BP10" i="12"/>
  <c r="BP9" i="12"/>
  <c r="BQ10" i="12"/>
  <c r="AJ9" i="12"/>
  <c r="AJ10" i="12"/>
  <c r="CP9" i="12"/>
  <c r="CQ10" i="12"/>
  <c r="AV9" i="12"/>
  <c r="AV10" i="12"/>
  <c r="BQ9" i="12"/>
  <c r="BR10" i="12"/>
  <c r="BR9" i="12"/>
  <c r="BS10" i="12"/>
  <c r="CC12" i="12"/>
  <c r="AR11" i="12"/>
  <c r="AR12" i="12"/>
  <c r="CB11" i="12"/>
  <c r="CB12" i="12"/>
  <c r="CA11" i="12"/>
  <c r="BJ11" i="12"/>
  <c r="BJ12" i="12"/>
  <c r="CA12" i="12"/>
  <c r="BZ11" i="12"/>
  <c r="BZ12" i="12"/>
  <c r="AQ11" i="12"/>
  <c r="AQ12" i="12"/>
  <c r="BY11" i="12"/>
  <c r="BI11" i="12"/>
  <c r="BI12" i="12"/>
  <c r="BY12" i="12"/>
  <c r="BX11" i="12"/>
  <c r="BX12" i="12"/>
  <c r="BW11" i="12"/>
  <c r="BW12" i="12"/>
  <c r="AP11" i="12"/>
  <c r="BH11" i="12"/>
  <c r="BH12" i="12"/>
  <c r="AP12" i="12"/>
  <c r="BV11" i="12"/>
  <c r="BV12" i="12"/>
  <c r="BU11" i="12"/>
  <c r="BU12" i="12"/>
  <c r="BT11" i="12"/>
  <c r="BG11" i="12"/>
  <c r="BG12" i="12"/>
  <c r="BT12" i="12"/>
  <c r="AO11" i="12"/>
  <c r="AO12" i="12"/>
  <c r="BS11" i="12"/>
  <c r="BS12" i="12"/>
  <c r="BR11" i="12"/>
  <c r="BF11" i="12"/>
  <c r="BF12" i="12"/>
  <c r="BR12" i="12"/>
  <c r="BQ11" i="12"/>
  <c r="BQ12" i="12"/>
  <c r="AN11" i="12"/>
  <c r="AN12" i="12"/>
  <c r="BP11" i="12"/>
  <c r="BE11" i="12"/>
  <c r="BE12" i="12"/>
  <c r="BP12" i="12"/>
  <c r="BO11" i="12"/>
  <c r="BO12" i="12"/>
  <c r="BN11" i="12"/>
  <c r="BN12" i="12"/>
  <c r="AM11" i="12"/>
  <c r="BD11" i="12"/>
  <c r="BD12" i="12"/>
  <c r="AM12" i="12"/>
  <c r="BM11" i="12"/>
  <c r="BM12" i="12"/>
  <c r="BL11" i="12"/>
  <c r="BL12" i="12"/>
  <c r="BK11" i="12"/>
  <c r="BC11" i="12"/>
  <c r="BC12" i="12"/>
  <c r="AL11" i="12"/>
  <c r="AL12" i="12"/>
  <c r="AK11" i="12"/>
  <c r="AK12" i="12"/>
  <c r="AJ11" i="12"/>
  <c r="AJ12" i="12"/>
  <c r="BB11" i="12"/>
  <c r="BB12" i="12"/>
  <c r="DF11" i="12"/>
  <c r="DE11" i="12"/>
  <c r="DE12" i="12"/>
  <c r="BK12" i="12"/>
  <c r="DD11" i="12"/>
  <c r="DD12" i="12"/>
  <c r="BA11" i="12"/>
  <c r="BA12" i="12"/>
  <c r="DC11" i="12"/>
  <c r="DC12" i="12"/>
  <c r="DB11" i="12"/>
  <c r="DB12" i="12"/>
  <c r="DA11" i="12"/>
  <c r="DA12" i="12"/>
  <c r="AZ11" i="12"/>
  <c r="AZ12" i="12"/>
  <c r="CZ11" i="12"/>
  <c r="CZ12" i="12"/>
  <c r="CY11" i="12"/>
  <c r="CY12" i="12"/>
  <c r="CX11" i="12"/>
  <c r="CX12" i="12"/>
  <c r="AY11" i="12"/>
  <c r="AY12" i="12"/>
  <c r="CW11" i="12"/>
  <c r="CW12" i="12"/>
  <c r="DF12" i="12"/>
  <c r="CV11" i="12"/>
  <c r="CV12" i="12"/>
  <c r="CU11" i="12"/>
  <c r="AX11" i="12"/>
  <c r="AX12" i="12"/>
  <c r="CU12" i="12"/>
  <c r="CT11" i="12"/>
  <c r="CT12" i="12"/>
  <c r="CS11" i="12"/>
  <c r="CS12" i="12"/>
  <c r="CR11" i="12"/>
  <c r="AW11" i="12"/>
  <c r="AW12" i="12"/>
  <c r="CR12" i="12"/>
  <c r="CQ11" i="12"/>
  <c r="CQ12" i="12"/>
  <c r="CP11" i="12"/>
  <c r="CP12" i="12"/>
  <c r="CO11" i="12"/>
  <c r="AV11" i="12"/>
  <c r="AV12" i="12"/>
  <c r="CO12" i="12"/>
  <c r="CN11" i="12"/>
  <c r="CN12" i="12"/>
  <c r="CM11" i="12"/>
  <c r="CM12" i="12"/>
  <c r="CL11" i="12"/>
  <c r="AU11" i="12"/>
  <c r="AU12" i="12"/>
  <c r="CL12" i="12"/>
  <c r="CK11" i="12"/>
  <c r="CK12" i="12"/>
  <c r="CJ11" i="12"/>
  <c r="CJ12" i="12"/>
  <c r="CI11" i="12"/>
  <c r="AT11" i="12"/>
  <c r="AT12" i="12"/>
  <c r="CI12" i="12"/>
  <c r="CH11" i="12"/>
  <c r="CH12" i="12"/>
  <c r="CG11" i="12"/>
  <c r="CG12" i="12"/>
  <c r="CF11" i="12"/>
  <c r="AS11" i="12"/>
  <c r="AS12" i="12"/>
  <c r="CF12" i="12"/>
  <c r="CE11" i="12"/>
  <c r="CE12" i="12"/>
  <c r="CD11" i="12"/>
  <c r="CD12" i="12"/>
  <c r="CC11" i="12"/>
  <c r="BK13" i="12"/>
  <c r="BK14" i="12"/>
  <c r="CO13" i="12"/>
  <c r="CO14" i="12"/>
  <c r="AL13" i="12"/>
  <c r="BL14" i="12"/>
  <c r="BJ13" i="12"/>
  <c r="BJ14" i="12"/>
  <c r="CJ13" i="12"/>
  <c r="CJ14" i="12"/>
  <c r="BL13" i="12"/>
  <c r="CY13" i="12"/>
  <c r="BI13" i="12"/>
  <c r="BI14" i="12"/>
  <c r="BZ13" i="12"/>
  <c r="DD13" i="12"/>
  <c r="AL14" i="12"/>
  <c r="BM14" i="12"/>
  <c r="BH13" i="12"/>
  <c r="BH14" i="12"/>
  <c r="CA14" i="12"/>
  <c r="CG14" i="12"/>
  <c r="BM13" i="12"/>
  <c r="BN14" i="12"/>
  <c r="BG13" i="12"/>
  <c r="BG14" i="12"/>
  <c r="CU13" i="12"/>
  <c r="CU14" i="12"/>
  <c r="BN13" i="12"/>
  <c r="AK13" i="12"/>
  <c r="BF13" i="12"/>
  <c r="BF14" i="12"/>
  <c r="CN13" i="12"/>
  <c r="CN14" i="12"/>
  <c r="BO14" i="12"/>
  <c r="BO13" i="12"/>
  <c r="BE13" i="12"/>
  <c r="BE14" i="12"/>
  <c r="CH14" i="12"/>
  <c r="CF14" i="12"/>
  <c r="CP14" i="12"/>
  <c r="CP13" i="12"/>
  <c r="BD13" i="12"/>
  <c r="BD14" i="12"/>
  <c r="CA13" i="12"/>
  <c r="CX13" i="12"/>
  <c r="AK14" i="12"/>
  <c r="BP14" i="12"/>
  <c r="BC13" i="12"/>
  <c r="BC14" i="12"/>
  <c r="CF13" i="12"/>
  <c r="DA14" i="12"/>
  <c r="BP13" i="12"/>
  <c r="CW13" i="12"/>
  <c r="BB13" i="12"/>
  <c r="BB14" i="12"/>
  <c r="DA13" i="12"/>
  <c r="BQ14" i="12"/>
  <c r="BQ13" i="12"/>
  <c r="BA13" i="12"/>
  <c r="BA14" i="12"/>
  <c r="CB14" i="12"/>
  <c r="CM13" i="12"/>
  <c r="CY14" i="12"/>
  <c r="AJ13" i="12"/>
  <c r="AZ13" i="12"/>
  <c r="AZ14" i="12"/>
  <c r="CM14" i="12"/>
  <c r="CT13" i="12"/>
  <c r="BR14" i="12"/>
  <c r="BR13" i="12"/>
  <c r="AY13" i="12"/>
  <c r="AY14" i="12"/>
  <c r="CT14" i="12"/>
  <c r="DD14" i="12"/>
  <c r="AJ14" i="12"/>
  <c r="BS14" i="12"/>
  <c r="AX13" i="12"/>
  <c r="AX14" i="12"/>
  <c r="CB13" i="12"/>
  <c r="CZ14" i="12"/>
  <c r="BS13" i="12"/>
  <c r="BT14" i="12"/>
  <c r="AW13" i="12"/>
  <c r="AW14" i="12"/>
  <c r="CZ13" i="12"/>
  <c r="CC14" i="12"/>
  <c r="BT13" i="12"/>
  <c r="CQ14" i="12"/>
  <c r="AV13" i="12"/>
  <c r="AV14" i="12"/>
  <c r="CC13" i="12"/>
  <c r="CL13" i="12"/>
  <c r="CQ13" i="12"/>
  <c r="DF13" i="12"/>
  <c r="AU13" i="12"/>
  <c r="AU14" i="12"/>
  <c r="CL14" i="12"/>
  <c r="CI13" i="12"/>
  <c r="CD14" i="12"/>
  <c r="BU14" i="12"/>
  <c r="AT13" i="12"/>
  <c r="AT14" i="12"/>
  <c r="CI14" i="12"/>
  <c r="DC13" i="12"/>
  <c r="BU13" i="12"/>
  <c r="DF14" i="12"/>
  <c r="AS13" i="12"/>
  <c r="AS14" i="12"/>
  <c r="DC14" i="12"/>
  <c r="CD13" i="12"/>
  <c r="BV14" i="12"/>
  <c r="BV13" i="12"/>
  <c r="CS14" i="12"/>
  <c r="AR13" i="12"/>
  <c r="AR14" i="12"/>
  <c r="CS13" i="12"/>
  <c r="CG13" i="12"/>
  <c r="BW14" i="12"/>
  <c r="BW13" i="12"/>
  <c r="AQ13" i="12"/>
  <c r="AQ14" i="12"/>
  <c r="CK13" i="12"/>
  <c r="CK14" i="12"/>
  <c r="DE13" i="12"/>
  <c r="BX14" i="12"/>
  <c r="AP13" i="12"/>
  <c r="AP14" i="12"/>
  <c r="CH13" i="12"/>
  <c r="CX14" i="12"/>
  <c r="BX13" i="12"/>
  <c r="DE14" i="12"/>
  <c r="AO13" i="12"/>
  <c r="AO14" i="12"/>
  <c r="CE14" i="12"/>
  <c r="CE13" i="12"/>
  <c r="BY14" i="12"/>
  <c r="BY13" i="12"/>
  <c r="AN13" i="12"/>
  <c r="AN14" i="12"/>
  <c r="DB13" i="12"/>
  <c r="DB14" i="12"/>
  <c r="CR14" i="12"/>
  <c r="CR13" i="12"/>
  <c r="AM13" i="12"/>
  <c r="AM14" i="12"/>
  <c r="CV14" i="12"/>
  <c r="CV13" i="12"/>
  <c r="BZ14" i="12"/>
  <c r="CW14" i="12"/>
  <c r="BK15" i="12"/>
  <c r="BK16" i="12"/>
  <c r="BJ15" i="12"/>
  <c r="BJ16" i="12"/>
  <c r="BI15" i="12"/>
  <c r="BI16" i="12"/>
  <c r="BH15" i="12"/>
  <c r="BH16" i="12"/>
  <c r="BG15" i="12"/>
  <c r="BG16" i="12"/>
  <c r="BF15" i="12"/>
  <c r="BF16" i="12"/>
  <c r="BE15" i="12"/>
  <c r="BE16" i="12"/>
  <c r="BD15" i="12"/>
  <c r="BD16" i="12"/>
  <c r="BC15" i="12"/>
  <c r="BC16" i="12"/>
  <c r="BB15" i="12"/>
  <c r="BA15" i="12"/>
  <c r="BA16" i="12"/>
  <c r="AZ15" i="12"/>
  <c r="AZ16" i="12"/>
  <c r="AY15" i="12"/>
  <c r="AY16" i="12"/>
  <c r="AX15" i="12"/>
  <c r="AX16" i="12"/>
  <c r="AW15" i="12"/>
  <c r="AW16" i="12"/>
  <c r="AV15" i="12"/>
  <c r="AV16" i="12"/>
  <c r="AU15" i="12"/>
  <c r="AU16" i="12"/>
  <c r="AT15" i="12"/>
  <c r="AT16" i="12"/>
  <c r="AS15" i="12"/>
  <c r="AS16" i="12"/>
  <c r="BB16" i="12"/>
  <c r="AR15" i="12"/>
  <c r="AR16" i="12"/>
  <c r="AQ15" i="12"/>
  <c r="AQ16" i="12"/>
  <c r="AP15" i="12"/>
  <c r="AP16" i="12"/>
  <c r="AO15" i="12"/>
  <c r="AO16" i="12"/>
  <c r="AN15" i="12"/>
  <c r="AN16" i="12"/>
  <c r="AM15" i="12"/>
  <c r="AM16" i="12"/>
  <c r="CO15" i="12"/>
  <c r="CO16" i="12"/>
  <c r="CZ16" i="12"/>
  <c r="CN15" i="12"/>
  <c r="CN16" i="12"/>
  <c r="CZ15" i="12"/>
  <c r="CW16" i="12"/>
  <c r="CU15" i="12"/>
  <c r="CM15" i="12"/>
  <c r="CM16" i="12"/>
  <c r="CL15" i="12"/>
  <c r="CL16" i="12"/>
  <c r="CX16" i="12"/>
  <c r="CK15" i="12"/>
  <c r="CK16" i="12"/>
  <c r="DA16" i="12"/>
  <c r="DA15" i="12"/>
  <c r="CJ15" i="12"/>
  <c r="CJ16" i="12"/>
  <c r="CI15" i="12"/>
  <c r="CI16" i="12"/>
  <c r="CT15" i="12"/>
  <c r="CT16" i="12"/>
  <c r="CH15" i="12"/>
  <c r="CH16" i="12"/>
  <c r="CU16" i="12"/>
  <c r="DB16" i="12"/>
  <c r="DB15" i="12"/>
  <c r="CG15" i="12"/>
  <c r="CG16" i="12"/>
  <c r="CX15" i="12"/>
  <c r="CF15" i="12"/>
  <c r="CF16" i="12"/>
  <c r="CE15" i="12"/>
  <c r="CE16" i="12"/>
  <c r="DC16" i="12"/>
  <c r="DC15" i="12"/>
  <c r="CD15" i="12"/>
  <c r="CD16" i="12"/>
  <c r="CS15" i="12"/>
  <c r="CS16" i="12"/>
  <c r="CC15" i="12"/>
  <c r="CC16" i="12"/>
  <c r="DD16" i="12"/>
  <c r="CB15" i="12"/>
  <c r="CB16" i="12"/>
  <c r="DD15" i="12"/>
  <c r="CA15" i="12"/>
  <c r="CA16" i="12"/>
  <c r="CV15" i="12"/>
  <c r="CV16" i="12"/>
  <c r="BZ15" i="12"/>
  <c r="BZ16" i="12"/>
  <c r="DE16" i="12"/>
  <c r="BY15" i="12"/>
  <c r="BY16" i="12"/>
  <c r="DE15" i="12"/>
  <c r="CR15" i="12"/>
  <c r="CR16" i="12"/>
  <c r="BX15" i="12"/>
  <c r="BX16" i="12"/>
  <c r="BW15" i="12"/>
  <c r="BW16" i="12"/>
  <c r="DF16" i="12"/>
  <c r="CY16" i="12"/>
  <c r="BV15" i="12"/>
  <c r="BV16" i="12"/>
  <c r="DF15" i="12"/>
  <c r="BU15" i="12"/>
  <c r="BU16" i="12"/>
  <c r="BT15" i="12"/>
  <c r="BT16" i="12"/>
  <c r="AJ16" i="12"/>
  <c r="CQ15" i="12"/>
  <c r="CQ16" i="12"/>
  <c r="BS15" i="12"/>
  <c r="BS16" i="12"/>
  <c r="AJ15" i="12"/>
  <c r="BR15" i="12"/>
  <c r="BR16" i="12"/>
  <c r="CY15" i="12"/>
  <c r="BQ15" i="12"/>
  <c r="BQ16" i="12"/>
  <c r="AK16" i="12"/>
  <c r="BP15" i="12"/>
  <c r="BP16" i="12"/>
  <c r="AK15" i="12"/>
  <c r="BO15" i="12"/>
  <c r="BO16" i="12"/>
  <c r="CP15" i="12"/>
  <c r="CP16" i="12"/>
  <c r="BN15" i="12"/>
  <c r="BN16" i="12"/>
  <c r="AL16" i="12"/>
  <c r="BM15" i="12"/>
  <c r="BM16" i="12"/>
  <c r="AL15" i="12"/>
  <c r="BL15" i="12"/>
  <c r="BL16" i="12"/>
  <c r="CW15" i="12"/>
  <c r="CN7" i="12"/>
  <c r="AL7" i="12"/>
  <c r="CJ7" i="12"/>
  <c r="CS8" i="12"/>
  <c r="BY7" i="12"/>
  <c r="BY8" i="12"/>
  <c r="DD7" i="12"/>
  <c r="CF7" i="12"/>
  <c r="AM8" i="12"/>
  <c r="AM7" i="12"/>
  <c r="AN8" i="12"/>
  <c r="AN7" i="12"/>
  <c r="CD7" i="12"/>
  <c r="CD8" i="12"/>
  <c r="BX7" i="12"/>
  <c r="BX8" i="12"/>
  <c r="CF8" i="12"/>
  <c r="AO8" i="12"/>
  <c r="DA8" i="12"/>
  <c r="CW7" i="12"/>
  <c r="AO7" i="12"/>
  <c r="AP8" i="12"/>
  <c r="CZ7" i="12"/>
  <c r="CZ8" i="12"/>
  <c r="BW7" i="12"/>
  <c r="BW8" i="12"/>
  <c r="AP7" i="12"/>
  <c r="DE8" i="12"/>
  <c r="CQ7" i="12"/>
  <c r="CQ8" i="12"/>
  <c r="AQ8" i="12"/>
  <c r="AQ7" i="12"/>
  <c r="CK8" i="12"/>
  <c r="CH8" i="12"/>
  <c r="BV7" i="12"/>
  <c r="BV8" i="12"/>
  <c r="DE7" i="12"/>
  <c r="CG7" i="12"/>
  <c r="CX7" i="12"/>
  <c r="CC7" i="12"/>
  <c r="AR8" i="12"/>
  <c r="AR7" i="12"/>
  <c r="CC8" i="12"/>
  <c r="CK7" i="12"/>
  <c r="BU7" i="12"/>
  <c r="BU8" i="12"/>
  <c r="DC8" i="12"/>
  <c r="AS8" i="12"/>
  <c r="CU7" i="12"/>
  <c r="CU8" i="12"/>
  <c r="AS7" i="12"/>
  <c r="AT8" i="12"/>
  <c r="CH7" i="12"/>
  <c r="CI8" i="12"/>
  <c r="BT7" i="12"/>
  <c r="AT7" i="12"/>
  <c r="AU8" i="12"/>
  <c r="DF8" i="12"/>
  <c r="AU7" i="12"/>
  <c r="AV8" i="12"/>
  <c r="AV7" i="12"/>
  <c r="AW8" i="12"/>
  <c r="CT8" i="12"/>
  <c r="CT7" i="12"/>
  <c r="BS7" i="12"/>
  <c r="BS8" i="12"/>
  <c r="DF7" i="12"/>
  <c r="CI7" i="12"/>
  <c r="DA7" i="12"/>
  <c r="CB7" i="12"/>
  <c r="AW7" i="12"/>
  <c r="AX8" i="12"/>
  <c r="CB8" i="12"/>
  <c r="DC7" i="12"/>
  <c r="BR7" i="12"/>
  <c r="BR8" i="12"/>
  <c r="CS7" i="12"/>
  <c r="AX7" i="12"/>
  <c r="CP7" i="12"/>
  <c r="CP8" i="12"/>
  <c r="AY8" i="12"/>
  <c r="AY7" i="12"/>
  <c r="CR7" i="12"/>
  <c r="CR8" i="12"/>
  <c r="BQ7" i="12"/>
  <c r="BQ8" i="12"/>
  <c r="AZ8" i="12"/>
  <c r="AJ8" i="12"/>
  <c r="CL8" i="12"/>
  <c r="AZ7" i="12"/>
  <c r="BA8" i="12"/>
  <c r="BA7" i="12"/>
  <c r="CG8" i="12"/>
  <c r="CE7" i="12"/>
  <c r="BP7" i="12"/>
  <c r="BP8" i="12"/>
  <c r="AJ7" i="12"/>
  <c r="CE8" i="12"/>
  <c r="BB8" i="12"/>
  <c r="CW8" i="12"/>
  <c r="BB7" i="12"/>
  <c r="BC8" i="12"/>
  <c r="CA7" i="12"/>
  <c r="CA8" i="12"/>
  <c r="BO7" i="12"/>
  <c r="BO8" i="12"/>
  <c r="DB8" i="12"/>
  <c r="BC7" i="12"/>
  <c r="BD8" i="12"/>
  <c r="BD7" i="12"/>
  <c r="BE8" i="12"/>
  <c r="BE7" i="12"/>
  <c r="CL7" i="12"/>
  <c r="CM8" i="12"/>
  <c r="BN7" i="12"/>
  <c r="BN8" i="12"/>
  <c r="BF8" i="12"/>
  <c r="AK8" i="12"/>
  <c r="CX8" i="12"/>
  <c r="CM7" i="12"/>
  <c r="BF7" i="12"/>
  <c r="BG8" i="12"/>
  <c r="CY7" i="12"/>
  <c r="DB7" i="12"/>
  <c r="BM7" i="12"/>
  <c r="BM8" i="12"/>
  <c r="AK7" i="12"/>
  <c r="CV8" i="12"/>
  <c r="CO7" i="12"/>
  <c r="CO8" i="12"/>
  <c r="BG7" i="12"/>
  <c r="BH8" i="12"/>
  <c r="BZ7" i="12"/>
  <c r="BZ8" i="12"/>
  <c r="BL7" i="12"/>
  <c r="BL8" i="12"/>
  <c r="CN8" i="12"/>
  <c r="BH7" i="12"/>
  <c r="BI8" i="12"/>
  <c r="CY8" i="12"/>
  <c r="BI7" i="12"/>
  <c r="BJ8" i="12"/>
  <c r="DD8" i="12"/>
  <c r="CV7" i="12"/>
  <c r="BK7" i="12"/>
  <c r="BK8" i="12"/>
  <c r="BJ7" i="12"/>
  <c r="AL8" i="12"/>
  <c r="CJ8" i="12"/>
  <c r="BT8" i="12"/>
  <c r="AC648" i="12"/>
  <c r="AC709" i="12"/>
  <c r="AC927" i="12"/>
  <c r="AC645" i="12"/>
  <c r="AC631" i="12"/>
  <c r="AC928" i="12"/>
  <c r="AC700" i="12"/>
  <c r="AC682" i="12"/>
  <c r="AC1009" i="12"/>
  <c r="AC1002" i="12"/>
  <c r="AC752" i="12"/>
  <c r="AC755" i="12"/>
  <c r="AC729" i="12"/>
  <c r="AC737" i="12"/>
  <c r="AC715" i="12"/>
  <c r="AC722" i="12"/>
  <c r="AC1464" i="12"/>
  <c r="AC998" i="12"/>
  <c r="AC992" i="12"/>
  <c r="AC975" i="12"/>
  <c r="AC1478" i="12"/>
  <c r="AC1479" i="12"/>
  <c r="AC1484" i="12"/>
  <c r="AC1462" i="12"/>
  <c r="AC1463" i="12"/>
  <c r="AC1451" i="12"/>
  <c r="AC1096" i="12"/>
  <c r="AC1035" i="12"/>
  <c r="AC1036" i="12"/>
  <c r="AC1012" i="12"/>
  <c r="AC1016" i="12"/>
  <c r="AC1017" i="12"/>
  <c r="AC1019" i="12"/>
  <c r="AC1022" i="12"/>
  <c r="AC995" i="12"/>
  <c r="AC720" i="12"/>
  <c r="AC1007" i="12"/>
  <c r="AC1008" i="12"/>
  <c r="AC950" i="12"/>
  <c r="AC925" i="12"/>
  <c r="AC792" i="12"/>
  <c r="AC794" i="12"/>
  <c r="AC953" i="12"/>
  <c r="AC961" i="12"/>
  <c r="AC939" i="12"/>
  <c r="AC778" i="12"/>
  <c r="AC757" i="12"/>
  <c r="AC759" i="12"/>
  <c r="AC769" i="12"/>
  <c r="AC770" i="12"/>
  <c r="AC748" i="12"/>
  <c r="AC756" i="12"/>
  <c r="AC665" i="12"/>
  <c r="AC649" i="12"/>
  <c r="AC626" i="12"/>
  <c r="CF302" i="2" a="1"/>
  <c r="CF301" i="2" a="1"/>
  <c r="CF300" i="2" a="1"/>
  <c r="CF299" i="2" a="1"/>
  <c r="CF298" i="2" a="1"/>
  <c r="CF297" i="2" a="1"/>
  <c r="CF296" i="2" a="1"/>
  <c r="CF295" i="2" a="1"/>
  <c r="CF294" i="2" a="1"/>
  <c r="CF293" i="2" a="1"/>
  <c r="CF292" i="2" a="1"/>
  <c r="CF291" i="2" a="1"/>
  <c r="CF290" i="2" a="1"/>
  <c r="CF289" i="2" a="1"/>
  <c r="CF288" i="2" a="1"/>
  <c r="CF287" i="2" a="1"/>
  <c r="CF286" i="2" a="1"/>
  <c r="CF285" i="2" a="1"/>
  <c r="CF284" i="2" a="1"/>
  <c r="CF283" i="2" a="1"/>
  <c r="CF282" i="2" a="1"/>
  <c r="CF281" i="2" a="1"/>
  <c r="CF280" i="2" a="1"/>
  <c r="CF279" i="2" a="1"/>
  <c r="CF278" i="2" a="1"/>
  <c r="CF277" i="2" a="1"/>
  <c r="CF276" i="2" a="1"/>
  <c r="CF275" i="2" a="1"/>
  <c r="CF274" i="2" a="1"/>
  <c r="CF273" i="2" a="1"/>
  <c r="CF272" i="2" a="1"/>
  <c r="CF271" i="2" a="1"/>
  <c r="CF270" i="2" a="1"/>
  <c r="CF269" i="2" a="1"/>
  <c r="CF268" i="2" a="1"/>
  <c r="CF267" i="2" a="1"/>
  <c r="CF266" i="2" a="1"/>
  <c r="CF265" i="2" a="1"/>
  <c r="CF264" i="2" a="1"/>
  <c r="CF263" i="2" a="1"/>
  <c r="CF262" i="2" a="1"/>
  <c r="CF261" i="2" a="1"/>
  <c r="CF260" i="2" a="1"/>
  <c r="CF259" i="2" a="1"/>
  <c r="CF258" i="2" a="1"/>
  <c r="CF257" i="2" a="1"/>
  <c r="CF256" i="2" a="1"/>
  <c r="CF255" i="2" a="1"/>
  <c r="CF254" i="2" a="1"/>
  <c r="CF253" i="2" a="1"/>
  <c r="CF252" i="2" a="1"/>
  <c r="CF251" i="2" a="1"/>
  <c r="CF250" i="2" a="1"/>
  <c r="CF249" i="2" a="1"/>
  <c r="CF248" i="2" a="1"/>
  <c r="CF247" i="2" a="1"/>
  <c r="CF246" i="2" a="1"/>
  <c r="CF245" i="2" a="1"/>
  <c r="CF244" i="2" a="1"/>
  <c r="CF243" i="2" a="1"/>
  <c r="CF242" i="2" a="1"/>
  <c r="CF241" i="2" a="1"/>
  <c r="CF240" i="2" a="1"/>
  <c r="CF239" i="2" a="1"/>
  <c r="CF238" i="2" a="1"/>
  <c r="CF237" i="2" a="1"/>
  <c r="CF236" i="2" a="1"/>
  <c r="CF235" i="2" a="1"/>
  <c r="CF234" i="2" a="1"/>
  <c r="CF233" i="2" a="1"/>
  <c r="CF232" i="2" a="1"/>
  <c r="CF231" i="2" a="1"/>
  <c r="CF230" i="2" a="1"/>
  <c r="CF229" i="2" a="1"/>
  <c r="CF228" i="2" a="1"/>
  <c r="CF227" i="2" a="1"/>
  <c r="CF226" i="2" a="1"/>
  <c r="CF225" i="2" a="1"/>
  <c r="CF224" i="2" a="1"/>
  <c r="CF223" i="2" a="1"/>
  <c r="CF222" i="2" a="1"/>
  <c r="CF221" i="2" a="1"/>
  <c r="CF220" i="2" a="1"/>
  <c r="CF219" i="2" a="1"/>
  <c r="CF218" i="2" a="1"/>
  <c r="CF217" i="2" a="1"/>
  <c r="CF216" i="2" a="1"/>
  <c r="CF215" i="2" a="1"/>
  <c r="CF214" i="2" a="1"/>
  <c r="CF213" i="2" a="1"/>
  <c r="CF212" i="2" a="1"/>
  <c r="CF211" i="2" a="1"/>
  <c r="CF210" i="2" a="1"/>
  <c r="CF209" i="2" a="1"/>
  <c r="CF208" i="2" a="1"/>
  <c r="CF207" i="2" a="1"/>
  <c r="CF206" i="2" a="1"/>
  <c r="CF205" i="2" a="1"/>
  <c r="CF204" i="2" a="1"/>
  <c r="CF203" i="2" a="1"/>
  <c r="CF202" i="2" a="1"/>
  <c r="CF201" i="2" a="1"/>
  <c r="CF200" i="2" a="1"/>
  <c r="CF199" i="2" a="1"/>
  <c r="CF198" i="2" a="1"/>
  <c r="CF197" i="2" a="1"/>
  <c r="CF196" i="2" a="1"/>
  <c r="CF195" i="2" a="1"/>
  <c r="CF194" i="2" a="1"/>
  <c r="CF193" i="2" a="1"/>
  <c r="CF192" i="2" a="1"/>
  <c r="CF191" i="2" a="1"/>
  <c r="CF190" i="2" a="1"/>
  <c r="CF189" i="2" a="1"/>
  <c r="CF188" i="2" a="1"/>
  <c r="CF187" i="2" a="1"/>
  <c r="CF186" i="2" a="1"/>
  <c r="CF185" i="2" a="1"/>
  <c r="CF184" i="2" a="1"/>
  <c r="CF183" i="2" a="1"/>
  <c r="CF182" i="2" a="1"/>
  <c r="CF181" i="2" a="1"/>
  <c r="CF180" i="2" a="1"/>
  <c r="CF179" i="2" a="1"/>
  <c r="CF178" i="2" a="1"/>
  <c r="CF177" i="2" a="1"/>
  <c r="CF176" i="2" a="1"/>
  <c r="CF175" i="2" a="1"/>
  <c r="CF174" i="2" a="1"/>
  <c r="CF173" i="2" a="1"/>
  <c r="CF172" i="2" a="1"/>
  <c r="CF171" i="2" a="1"/>
  <c r="CF170" i="2" a="1"/>
  <c r="CF169" i="2" a="1"/>
  <c r="CF168" i="2" a="1"/>
  <c r="CF167" i="2" a="1"/>
  <c r="CF166" i="2" a="1"/>
  <c r="CF165" i="2" a="1"/>
  <c r="CF164" i="2" a="1"/>
  <c r="CF163" i="2" a="1"/>
  <c r="CF162" i="2" a="1"/>
  <c r="CF161" i="2" a="1"/>
  <c r="CF160" i="2" a="1"/>
  <c r="CF159" i="2" a="1"/>
  <c r="CF158" i="2" a="1"/>
  <c r="CF157" i="2" a="1"/>
  <c r="CF156" i="2" a="1"/>
  <c r="CF155" i="2" a="1"/>
  <c r="CF154" i="2" a="1"/>
  <c r="CF153" i="2" a="1"/>
  <c r="CF152" i="2" a="1"/>
  <c r="CF151" i="2" a="1"/>
  <c r="CF150" i="2" a="1"/>
  <c r="CF149" i="2" a="1"/>
  <c r="CF148" i="2" a="1"/>
  <c r="CF147" i="2" a="1"/>
  <c r="CF146" i="2" a="1"/>
  <c r="CF145" i="2" a="1"/>
  <c r="CF144" i="2" a="1"/>
  <c r="CF143" i="2" a="1"/>
  <c r="CF142" i="2" a="1"/>
  <c r="CF141" i="2" a="1"/>
  <c r="CF140" i="2" a="1"/>
  <c r="CF139" i="2" a="1"/>
  <c r="CF138" i="2" a="1"/>
  <c r="CF137" i="2" a="1"/>
  <c r="CF136" i="2" a="1"/>
  <c r="CF135" i="2" a="1"/>
  <c r="CF134" i="2" a="1"/>
  <c r="CF133" i="2" a="1"/>
  <c r="CF132" i="2" a="1"/>
  <c r="CF131" i="2" a="1"/>
  <c r="CF130" i="2" a="1"/>
  <c r="CF129" i="2" a="1"/>
  <c r="CF128" i="2" a="1"/>
  <c r="CF127" i="2" a="1"/>
  <c r="CF126" i="2" a="1"/>
  <c r="CF125" i="2" a="1"/>
  <c r="CF124" i="2" a="1"/>
  <c r="CF123" i="2" a="1"/>
  <c r="AC911" i="12"/>
  <c r="AI10" i="12"/>
  <c r="AI9" i="12"/>
  <c r="C9" i="11"/>
  <c r="C10" i="11"/>
  <c r="AI12" i="12"/>
  <c r="AI11" i="12"/>
  <c r="D9" i="11"/>
  <c r="D10" i="11"/>
  <c r="AI14" i="12"/>
  <c r="AI13" i="12"/>
  <c r="E9" i="11"/>
  <c r="E10" i="11"/>
  <c r="AI16" i="12"/>
  <c r="AI15" i="12"/>
  <c r="F9" i="11"/>
  <c r="F10" i="11"/>
  <c r="AI8" i="12"/>
  <c r="AI7" i="12"/>
  <c r="B9" i="11"/>
  <c r="B10" i="11"/>
  <c r="AD20" i="12" a="1"/>
  <c r="AC1170" i="12"/>
  <c r="AC944" i="12"/>
  <c r="AC931" i="12"/>
  <c r="AC711" i="12"/>
  <c r="AC714" i="12"/>
  <c r="AC698" i="12"/>
  <c r="BZ6" i="2"/>
  <c r="D117" i="3"/>
  <c r="A2" i="3"/>
  <c r="E12" i="3"/>
  <c r="D116" i="3"/>
  <c r="B12" i="3"/>
  <c r="D12" i="3"/>
  <c r="E45" i="3"/>
  <c r="D115" i="3"/>
  <c r="F12" i="3"/>
  <c r="E46" i="3"/>
  <c r="D118" i="3"/>
  <c r="D119" i="3"/>
  <c r="C12" i="3"/>
  <c r="H12" i="3"/>
  <c r="BF5" i="2" a="1"/>
  <c r="BF7" i="2" a="1"/>
  <c r="BF302" i="2" a="1"/>
  <c r="AS302" i="2" s="1" a="1"/>
  <c r="AN302" i="2" a="1"/>
  <c r="AO302" i="2" a="1"/>
  <c r="AO301" i="2" a="1"/>
  <c r="AN301" i="2" a="1"/>
  <c r="AA301" i="3" s="1"/>
  <c r="BF301" i="2" a="1"/>
  <c r="AS301" i="2" s="1" a="1"/>
  <c r="AO300" i="2" a="1"/>
  <c r="BF300" i="2" a="1"/>
  <c r="AS300" i="2" s="1" a="1"/>
  <c r="AN300" i="2" a="1"/>
  <c r="AA300" i="3" s="1"/>
  <c r="BF299" i="2" a="1"/>
  <c r="AS299" i="2" s="1" a="1"/>
  <c r="AO299" i="2" a="1"/>
  <c r="AN299" i="2" a="1"/>
  <c r="AA299" i="3" s="1"/>
  <c r="AN298" i="2" a="1"/>
  <c r="AA298" i="3" s="1"/>
  <c r="AO298" i="2" a="1"/>
  <c r="BF298" i="2" a="1"/>
  <c r="AS298" i="2" s="1" a="1"/>
  <c r="BF297" i="2" a="1"/>
  <c r="AS297" i="2" s="1" a="1"/>
  <c r="AN297" i="2" a="1"/>
  <c r="AA297" i="3" s="1"/>
  <c r="AO297" i="2" a="1"/>
  <c r="AO296" i="2" a="1"/>
  <c r="BF296" i="2" a="1"/>
  <c r="AS296" i="2" s="1" a="1"/>
  <c r="AN296" i="2" a="1"/>
  <c r="AA296" i="3" s="1"/>
  <c r="AO295" i="2" a="1"/>
  <c r="AN295" i="2" a="1"/>
  <c r="AA295" i="3" s="1"/>
  <c r="BF295" i="2" a="1"/>
  <c r="AS295" i="2" s="1" a="1"/>
  <c r="AN294" i="2" a="1"/>
  <c r="AA294" i="3" s="1"/>
  <c r="BF294" i="2" a="1"/>
  <c r="AS294" i="2" s="1" a="1"/>
  <c r="AO294" i="2" a="1"/>
  <c r="AO293" i="2" a="1"/>
  <c r="BF293" i="2" a="1"/>
  <c r="AS293" i="2" s="1" a="1"/>
  <c r="AN293" i="2" a="1"/>
  <c r="AA293" i="3" s="1"/>
  <c r="AN292" i="2" a="1"/>
  <c r="AA292" i="3" s="1"/>
  <c r="AO292" i="2" a="1"/>
  <c r="BF292" i="2" a="1"/>
  <c r="AS292" i="2" s="1" a="1"/>
  <c r="AN291" i="2" a="1"/>
  <c r="AA291" i="3" s="1"/>
  <c r="AO291" i="2" a="1"/>
  <c r="BF291" i="2" a="1"/>
  <c r="AS291" i="2" s="1" a="1"/>
  <c r="AO290" i="2" a="1"/>
  <c r="AN290" i="2" a="1"/>
  <c r="AA290" i="3" s="1"/>
  <c r="BF290" i="2" a="1"/>
  <c r="AS290" i="2" s="1" a="1"/>
  <c r="AO289" i="2" a="1"/>
  <c r="BF289" i="2" a="1"/>
  <c r="AS289" i="2" s="1" a="1"/>
  <c r="AN289" i="2" a="1"/>
  <c r="AA289" i="3" s="1"/>
  <c r="BF288" i="2" a="1"/>
  <c r="AS288" i="2" s="1" a="1"/>
  <c r="AO288" i="2" a="1"/>
  <c r="AN288" i="2" a="1"/>
  <c r="AA288" i="3" s="1"/>
  <c r="BF287" i="2" a="1"/>
  <c r="AS287" i="2" s="1" a="1"/>
  <c r="AO287" i="2" a="1"/>
  <c r="AN287" i="2" a="1"/>
  <c r="AA287" i="3" s="1"/>
  <c r="AO286" i="2" a="1"/>
  <c r="BF286" i="2" a="1"/>
  <c r="AS286" i="2" s="1" a="1"/>
  <c r="AN286" i="2" a="1"/>
  <c r="AA286" i="3" s="1"/>
  <c r="BF285" i="2" a="1"/>
  <c r="AS285" i="2" s="1" a="1"/>
  <c r="AO285" i="2" a="1"/>
  <c r="AN285" i="2" a="1"/>
  <c r="AA285" i="3" s="1"/>
  <c r="BF284" i="2" a="1"/>
  <c r="AS284" i="2" s="1" a="1"/>
  <c r="AO284" i="2" a="1"/>
  <c r="AN284" i="2" a="1"/>
  <c r="AA284" i="3" s="1"/>
  <c r="BF283" i="2" a="1"/>
  <c r="AS283" i="2" s="1" a="1"/>
  <c r="AO283" i="2" a="1"/>
  <c r="AN283" i="2" a="1"/>
  <c r="AA283" i="3" s="1"/>
  <c r="BF282" i="2" a="1"/>
  <c r="AS282" i="2" s="1" a="1"/>
  <c r="AN282" i="2" a="1"/>
  <c r="AA282" i="3" s="1"/>
  <c r="AO282" i="2" a="1"/>
  <c r="BF281" i="2" a="1"/>
  <c r="AS281" i="2" s="1" a="1"/>
  <c r="AO281" i="2" a="1"/>
  <c r="AN281" i="2" a="1"/>
  <c r="AA281" i="3" s="1"/>
  <c r="BF280" i="2" a="1"/>
  <c r="AS280" i="2" s="1" a="1"/>
  <c r="AO280" i="2" a="1"/>
  <c r="AN280" i="2" a="1"/>
  <c r="AA280" i="3" s="1"/>
  <c r="BF279" i="2" a="1"/>
  <c r="AS279" i="2" s="1" a="1"/>
  <c r="AO279" i="2" a="1"/>
  <c r="AN279" i="2" a="1"/>
  <c r="AA279" i="3" s="1"/>
  <c r="BF278" i="2" a="1"/>
  <c r="AS278" i="2" s="1" a="1"/>
  <c r="AO278" i="2" a="1"/>
  <c r="AN278" i="2" a="1"/>
  <c r="AA278" i="3" s="1"/>
  <c r="BF277" i="2" a="1"/>
  <c r="AS277" i="2" s="1" a="1"/>
  <c r="AO277" i="2" a="1"/>
  <c r="AN277" i="2" a="1"/>
  <c r="AA277" i="3" s="1"/>
  <c r="BF276" i="2" a="1"/>
  <c r="AS276" i="2" s="1" a="1"/>
  <c r="AO276" i="2" a="1"/>
  <c r="AN276" i="2" a="1"/>
  <c r="AA276" i="3" s="1"/>
  <c r="BF275" i="2" a="1"/>
  <c r="AS275" i="2" s="1" a="1"/>
  <c r="AO275" i="2" a="1"/>
  <c r="AN275" i="2" a="1"/>
  <c r="AA275" i="3" s="1"/>
  <c r="BF274" i="2" a="1"/>
  <c r="AS274" i="2" s="1" a="1"/>
  <c r="AO274" i="2" a="1"/>
  <c r="AN274" i="2" a="1"/>
  <c r="AA274" i="3" s="1"/>
  <c r="BF273" i="2" a="1"/>
  <c r="AS273" i="2" s="1" a="1"/>
  <c r="AO273" i="2" a="1"/>
  <c r="AN273" i="2" a="1"/>
  <c r="AA273" i="3" s="1"/>
  <c r="BF272" i="2" a="1"/>
  <c r="AS272" i="2" s="1" a="1"/>
  <c r="AO272" i="2" a="1"/>
  <c r="AN272" i="2" a="1"/>
  <c r="AA272" i="3" s="1"/>
  <c r="BF271" i="2" a="1"/>
  <c r="AS271" i="2" s="1" a="1"/>
  <c r="AO271" i="2" a="1"/>
  <c r="AN271" i="2" a="1"/>
  <c r="AA271" i="3" s="1"/>
  <c r="BF270" i="2" a="1"/>
  <c r="AS270" i="2" s="1" a="1"/>
  <c r="AO270" i="2" a="1"/>
  <c r="AN270" i="2" a="1"/>
  <c r="AA270" i="3" s="1"/>
  <c r="BF269" i="2" a="1"/>
  <c r="AS269" i="2" s="1" a="1"/>
  <c r="AO269" i="2" a="1"/>
  <c r="AN269" i="2" a="1"/>
  <c r="AA269" i="3" s="1"/>
  <c r="BF268" i="2" a="1"/>
  <c r="AS268" i="2" s="1" a="1"/>
  <c r="AO268" i="2" a="1"/>
  <c r="AN268" i="2" a="1"/>
  <c r="AA268" i="3" s="1"/>
  <c r="BF267" i="2" a="1"/>
  <c r="AS267" i="2" s="1" a="1"/>
  <c r="AO267" i="2" a="1"/>
  <c r="AN267" i="2" a="1"/>
  <c r="AA267" i="3" s="1"/>
  <c r="BF266" i="2" a="1"/>
  <c r="AS266" i="2" s="1" a="1"/>
  <c r="AO266" i="2" a="1"/>
  <c r="AN266" i="2" a="1"/>
  <c r="AA266" i="3" s="1"/>
  <c r="BF265" i="2" a="1"/>
  <c r="AS265" i="2" s="1" a="1"/>
  <c r="AO265" i="2" a="1"/>
  <c r="AN265" i="2" a="1"/>
  <c r="AA265" i="3" s="1"/>
  <c r="BF264" i="2" a="1"/>
  <c r="AS264" i="2" s="1" a="1"/>
  <c r="AO264" i="2" a="1"/>
  <c r="AN264" i="2" a="1"/>
  <c r="AA264" i="3" s="1"/>
  <c r="BF263" i="2" a="1"/>
  <c r="AS263" i="2" s="1" a="1"/>
  <c r="AO263" i="2" a="1"/>
  <c r="AN263" i="2" a="1"/>
  <c r="AA263" i="3" s="1"/>
  <c r="BF262" i="2" a="1"/>
  <c r="AS262" i="2" s="1" a="1"/>
  <c r="AO262" i="2" a="1"/>
  <c r="AN262" i="2" a="1"/>
  <c r="AA262" i="3" s="1"/>
  <c r="BF261" i="2" a="1"/>
  <c r="AS261" i="2" s="1" a="1"/>
  <c r="AO261" i="2" a="1"/>
  <c r="AN261" i="2" a="1"/>
  <c r="AA261" i="3" s="1"/>
  <c r="BF260" i="2" a="1"/>
  <c r="AS260" i="2" s="1" a="1"/>
  <c r="AO260" i="2" a="1"/>
  <c r="AN260" i="2" a="1"/>
  <c r="AA260" i="3" s="1"/>
  <c r="BF259" i="2" a="1"/>
  <c r="AS259" i="2" s="1" a="1"/>
  <c r="AO259" i="2" a="1"/>
  <c r="AN259" i="2" a="1"/>
  <c r="AA259" i="3" s="1"/>
  <c r="BF258" i="2" a="1"/>
  <c r="AS258" i="2" s="1" a="1"/>
  <c r="AO258" i="2" a="1"/>
  <c r="AN258" i="2" a="1"/>
  <c r="AA258" i="3" s="1"/>
  <c r="AN257" i="2" a="1"/>
  <c r="AA257" i="3" s="1"/>
  <c r="AO257" i="2" a="1"/>
  <c r="BF257" i="2" a="1"/>
  <c r="AS257" i="2" s="1" a="1"/>
  <c r="AN256" i="2" a="1"/>
  <c r="AA256" i="3" s="1"/>
  <c r="AO256" i="2" a="1"/>
  <c r="BF256" i="2" a="1"/>
  <c r="AS256" i="2" s="1" a="1"/>
  <c r="AN255" i="2" a="1"/>
  <c r="AA255" i="3" s="1"/>
  <c r="AO255" i="2" a="1"/>
  <c r="BF255" i="2" a="1"/>
  <c r="AS255" i="2" s="1" a="1"/>
  <c r="AN254" i="2" a="1"/>
  <c r="AA254" i="3" s="1"/>
  <c r="AO254" i="2" a="1"/>
  <c r="BF254" i="2" a="1"/>
  <c r="AS254" i="2" s="1" a="1"/>
  <c r="AN253" i="2" a="1"/>
  <c r="AA253" i="3" s="1"/>
  <c r="AO253" i="2" a="1"/>
  <c r="BF253" i="2" a="1"/>
  <c r="AS253" i="2" s="1" a="1"/>
  <c r="BF252" i="2" a="1"/>
  <c r="AS252" i="2" s="1" a="1"/>
  <c r="AN252" i="2" a="1"/>
  <c r="AA252" i="3" s="1"/>
  <c r="AO252" i="2" a="1"/>
  <c r="BF251" i="2" a="1"/>
  <c r="AS251" i="2" s="1" a="1"/>
  <c r="AO251" i="2" a="1"/>
  <c r="AN251" i="2" a="1"/>
  <c r="BF250" i="2" a="1"/>
  <c r="AS250" i="2" s="1" a="1"/>
  <c r="AN250" i="2" a="1"/>
  <c r="AO250" i="2" a="1"/>
  <c r="AO249" i="2" a="1"/>
  <c r="BF249" i="2" a="1"/>
  <c r="AS249" i="2" s="1" a="1"/>
  <c r="AN249" i="2" a="1"/>
  <c r="AN248" i="2" a="1"/>
  <c r="AO248" i="2" a="1"/>
  <c r="BF248" i="2" a="1"/>
  <c r="AS248" i="2" s="1" a="1"/>
  <c r="AN247" i="2" a="1"/>
  <c r="BF247" i="2" a="1"/>
  <c r="AS247" i="2" s="1" a="1"/>
  <c r="AO247" i="2" a="1"/>
  <c r="AN246" i="2" a="1"/>
  <c r="BF246" i="2" a="1"/>
  <c r="AS246" i="2" s="1" a="1"/>
  <c r="AO246" i="2" a="1"/>
  <c r="AO245" i="2" a="1"/>
  <c r="AN245" i="2" a="1"/>
  <c r="BF245" i="2" a="1"/>
  <c r="AS245" i="2" s="1" a="1"/>
  <c r="AN244" i="2" a="1"/>
  <c r="AO244" i="2" a="1"/>
  <c r="BF244" i="2" a="1"/>
  <c r="AS244" i="2" s="1" a="1"/>
  <c r="AN243" i="2" a="1"/>
  <c r="AO243" i="2" a="1"/>
  <c r="BF243" i="2" a="1"/>
  <c r="AS243" i="2" s="1" a="1"/>
  <c r="BF242" i="2" a="1"/>
  <c r="AS242" i="2" s="1" a="1"/>
  <c r="AO242" i="2" a="1"/>
  <c r="AN242" i="2" a="1"/>
  <c r="BF241" i="2" a="1"/>
  <c r="AS241" i="2" s="1" a="1"/>
  <c r="AN241" i="2" a="1"/>
  <c r="AO241" i="2" a="1"/>
  <c r="BF240" i="2" a="1"/>
  <c r="AS240" i="2" s="1" a="1"/>
  <c r="AO240" i="2" a="1"/>
  <c r="AN240" i="2" a="1"/>
  <c r="AO239" i="2" a="1"/>
  <c r="AN239" i="2" a="1"/>
  <c r="BF239" i="2" a="1"/>
  <c r="AS239" i="2" s="1" a="1"/>
  <c r="AN238" i="2" a="1"/>
  <c r="AO238" i="2" a="1"/>
  <c r="BF238" i="2" a="1"/>
  <c r="AS238" i="2" s="1" a="1"/>
  <c r="AN237" i="2" a="1"/>
  <c r="BF237" i="2" a="1"/>
  <c r="AS237" i="2" s="1" a="1"/>
  <c r="AO237" i="2" a="1"/>
  <c r="AN236" i="2" a="1"/>
  <c r="AO236" i="2" a="1"/>
  <c r="BF236" i="2" a="1"/>
  <c r="AS236" i="2" s="1" a="1"/>
  <c r="BF235" i="2" a="1"/>
  <c r="AS235" i="2" s="1" a="1"/>
  <c r="AN235" i="2" a="1"/>
  <c r="AO235" i="2" a="1"/>
  <c r="AO234" i="2" a="1"/>
  <c r="AN234" i="2" a="1"/>
  <c r="BF234" i="2" a="1"/>
  <c r="AS234" i="2" s="1" a="1"/>
  <c r="BF233" i="2" a="1"/>
  <c r="AS233" i="2" s="1" a="1"/>
  <c r="AO233" i="2" a="1"/>
  <c r="AN233" i="2" a="1"/>
  <c r="BF232" i="2" a="1"/>
  <c r="AS232" i="2" s="1" a="1"/>
  <c r="AO232" i="2" a="1"/>
  <c r="AN232" i="2" a="1"/>
  <c r="BF231" i="2" a="1"/>
  <c r="AS231" i="2" s="1" a="1"/>
  <c r="AO231" i="2" a="1"/>
  <c r="AN231" i="2" a="1"/>
  <c r="AN230" i="2" a="1"/>
  <c r="AO230" i="2" a="1"/>
  <c r="BF230" i="2" a="1"/>
  <c r="AS230" i="2" s="1" a="1"/>
  <c r="AO229" i="2" a="1"/>
  <c r="AN229" i="2" a="1"/>
  <c r="BF229" i="2" a="1"/>
  <c r="AS229" i="2" s="1" a="1"/>
  <c r="AN228" i="2" a="1"/>
  <c r="AO228" i="2" a="1"/>
  <c r="BF228" i="2" a="1"/>
  <c r="AS228" i="2" s="1" a="1"/>
  <c r="AN227" i="2" a="1"/>
  <c r="AO227" i="2" a="1"/>
  <c r="BF227" i="2" a="1"/>
  <c r="AS227" i="2" s="1" a="1"/>
  <c r="AN226" i="2" a="1"/>
  <c r="AO226" i="2" a="1"/>
  <c r="BF226" i="2" a="1"/>
  <c r="AS226" i="2" s="1" a="1"/>
  <c r="AN225" i="2" a="1"/>
  <c r="AO225" i="2" a="1"/>
  <c r="BF225" i="2" a="1"/>
  <c r="AS225" i="2" s="1" a="1"/>
  <c r="AN224" i="2" a="1"/>
  <c r="AO224" i="2" a="1"/>
  <c r="BF224" i="2" a="1"/>
  <c r="AS224" i="2" s="1" a="1"/>
  <c r="AN223" i="2" a="1"/>
  <c r="BF223" i="2" a="1"/>
  <c r="AS223" i="2" s="1" a="1"/>
  <c r="AO223" i="2" a="1"/>
  <c r="BF222" i="2" a="1"/>
  <c r="AS222" i="2" s="1" a="1"/>
  <c r="AO222" i="2" a="1"/>
  <c r="AN222" i="2" a="1"/>
  <c r="AO221" i="2" a="1"/>
  <c r="AN221" i="2" a="1"/>
  <c r="BF221" i="2" a="1"/>
  <c r="AS221" i="2" s="1" a="1"/>
  <c r="AN220" i="2" a="1"/>
  <c r="AO220" i="2" a="1"/>
  <c r="BF220" i="2" a="1"/>
  <c r="AS220" i="2" s="1" a="1"/>
  <c r="AO219" i="2" a="1"/>
  <c r="BF219" i="2" a="1"/>
  <c r="AS219" i="2" s="1" a="1"/>
  <c r="AN219" i="2" a="1"/>
  <c r="AN218" i="2" a="1"/>
  <c r="AO218" i="2" a="1"/>
  <c r="BF218" i="2" a="1"/>
  <c r="AS218" i="2" s="1" a="1"/>
  <c r="AN217" i="2" a="1"/>
  <c r="BF217" i="2" a="1"/>
  <c r="AS217" i="2" s="1" a="1"/>
  <c r="AO217" i="2" a="1"/>
  <c r="AN216" i="2" a="1"/>
  <c r="AO216" i="2" a="1"/>
  <c r="BF216" i="2" a="1"/>
  <c r="AS216" i="2" s="1" a="1"/>
  <c r="AN215" i="2" a="1"/>
  <c r="AO215" i="2" a="1"/>
  <c r="BF215" i="2" a="1"/>
  <c r="AS215" i="2" s="1" a="1"/>
  <c r="AN214" i="2" a="1"/>
  <c r="AA214" i="3" s="1"/>
  <c r="AO214" i="2" a="1"/>
  <c r="BF214" i="2" a="1"/>
  <c r="AS214" i="2" s="1" a="1"/>
  <c r="AN213" i="2" a="1"/>
  <c r="AA213" i="3" s="1"/>
  <c r="AO213" i="2" a="1"/>
  <c r="BF213" i="2" a="1"/>
  <c r="AS213" i="2" s="1" a="1"/>
  <c r="AO212" i="2" a="1"/>
  <c r="AN212" i="2" a="1"/>
  <c r="AA212" i="3" s="1"/>
  <c r="BF212" i="2" a="1"/>
  <c r="AS212" i="2" s="1" a="1"/>
  <c r="BF211" i="2" a="1"/>
  <c r="AS211" i="2" s="1" a="1"/>
  <c r="AO211" i="2" a="1"/>
  <c r="AN211" i="2" a="1"/>
  <c r="AA211" i="3" s="1"/>
  <c r="AO210" i="2" a="1"/>
  <c r="AN210" i="2" a="1"/>
  <c r="AA210" i="3" s="1"/>
  <c r="BF210" i="2" a="1"/>
  <c r="AS210" i="2" s="1" a="1"/>
  <c r="AN209" i="2" a="1"/>
  <c r="AA209" i="3" s="1"/>
  <c r="AO209" i="2" a="1"/>
  <c r="BF209" i="2" a="1"/>
  <c r="AS209" i="2" s="1" a="1"/>
  <c r="BF208" i="2" a="1"/>
  <c r="AS208" i="2" s="1" a="1"/>
  <c r="AO208" i="2" a="1"/>
  <c r="AN208" i="2" a="1"/>
  <c r="AA208" i="3" s="1"/>
  <c r="BF207" i="2" a="1"/>
  <c r="AS207" i="2" s="1" a="1"/>
  <c r="AN207" i="2" a="1"/>
  <c r="AA207" i="3" s="1"/>
  <c r="AO207" i="2" a="1"/>
  <c r="AO206" i="2" a="1"/>
  <c r="AN206" i="2" a="1"/>
  <c r="AA206" i="3" s="1"/>
  <c r="BF206" i="2" a="1"/>
  <c r="AS206" i="2" s="1" a="1"/>
  <c r="BF205" i="2" a="1"/>
  <c r="AS205" i="2" s="1" a="1"/>
  <c r="AN205" i="2" a="1"/>
  <c r="AA205" i="3" s="1"/>
  <c r="AO205" i="2" a="1"/>
  <c r="AO204" i="2" a="1"/>
  <c r="AN204" i="2" a="1"/>
  <c r="AA204" i="3" s="1"/>
  <c r="BF204" i="2" a="1"/>
  <c r="AS204" i="2" s="1" a="1"/>
  <c r="AN203" i="2" a="1"/>
  <c r="AA203" i="3" s="1"/>
  <c r="AO203" i="2" a="1"/>
  <c r="BF203" i="2" a="1"/>
  <c r="AS203" i="2" s="1" a="1"/>
  <c r="AN202" i="2" a="1"/>
  <c r="AA202" i="3" s="1"/>
  <c r="BF202" i="2" a="1"/>
  <c r="AS202" i="2" s="1" a="1"/>
  <c r="AO202" i="2" a="1"/>
  <c r="AN201" i="2" a="1"/>
  <c r="AA201" i="3" s="1"/>
  <c r="AO201" i="2" a="1"/>
  <c r="BF201" i="2" a="1"/>
  <c r="AS201" i="2" s="1" a="1"/>
  <c r="AN200" i="2" a="1"/>
  <c r="AA200" i="3" s="1"/>
  <c r="AO200" i="2" a="1"/>
  <c r="BF200" i="2" a="1"/>
  <c r="AS200" i="2" s="1" a="1"/>
  <c r="AO199" i="2" a="1"/>
  <c r="AN199" i="2" a="1"/>
  <c r="AA199" i="3" s="1"/>
  <c r="BF199" i="2" a="1"/>
  <c r="AS199" i="2" s="1" a="1"/>
  <c r="BF198" i="2" a="1"/>
  <c r="AS198" i="2" s="1" a="1"/>
  <c r="AO198" i="2" a="1"/>
  <c r="AN198" i="2" a="1"/>
  <c r="AA198" i="3" s="1"/>
  <c r="BF197" i="2" a="1"/>
  <c r="AS197" i="2" s="1" a="1"/>
  <c r="AO197" i="2" a="1"/>
  <c r="AN197" i="2" a="1"/>
  <c r="AA197" i="3" s="1"/>
  <c r="AN196" i="2" a="1"/>
  <c r="AA196" i="3" s="1"/>
  <c r="AO196" i="2" a="1"/>
  <c r="BF196" i="2" a="1"/>
  <c r="AS196" i="2" s="1" a="1"/>
  <c r="AN195" i="2" a="1"/>
  <c r="AA195" i="3" s="1"/>
  <c r="AO195" i="2" a="1"/>
  <c r="BF195" i="2" a="1"/>
  <c r="AS195" i="2" s="1" a="1"/>
  <c r="BF194" i="2" a="1"/>
  <c r="AS194" i="2" s="1" a="1"/>
  <c r="AN194" i="2" a="1"/>
  <c r="AA194" i="3" s="1"/>
  <c r="AO194" i="2" a="1"/>
  <c r="AO193" i="2" a="1"/>
  <c r="AN193" i="2" a="1"/>
  <c r="AA193" i="3" s="1"/>
  <c r="BF193" i="2" a="1"/>
  <c r="AS193" i="2" s="1" a="1"/>
  <c r="BF192" i="2" a="1"/>
  <c r="AS192" i="2" s="1" a="1"/>
  <c r="AO192" i="2" a="1"/>
  <c r="AN192" i="2" a="1"/>
  <c r="AA192" i="3" s="1"/>
  <c r="BF191" i="2" a="1"/>
  <c r="AS191" i="2" s="1" a="1"/>
  <c r="AO191" i="2" a="1"/>
  <c r="AN191" i="2" a="1"/>
  <c r="AA191" i="3" s="1"/>
  <c r="BF190" i="2" a="1"/>
  <c r="AS190" i="2" s="1" a="1"/>
  <c r="AO190" i="2" a="1"/>
  <c r="AN190" i="2" a="1"/>
  <c r="AA190" i="3" s="1"/>
  <c r="BF189" i="2" a="1"/>
  <c r="AS189" i="2" s="1" a="1"/>
  <c r="AO189" i="2" a="1"/>
  <c r="AN189" i="2" a="1"/>
  <c r="AA189" i="3" s="1"/>
  <c r="BF188" i="2" a="1"/>
  <c r="AS188" i="2" s="1" a="1"/>
  <c r="AO188" i="2" a="1"/>
  <c r="AN188" i="2" a="1"/>
  <c r="AA188" i="3" s="1"/>
  <c r="BF187" i="2" a="1"/>
  <c r="AS187" i="2" s="1" a="1"/>
  <c r="AO187" i="2" a="1"/>
  <c r="AN187" i="2" a="1"/>
  <c r="AA187" i="3" s="1"/>
  <c r="AO186" i="2" a="1"/>
  <c r="AN186" i="2" a="1"/>
  <c r="AA186" i="3" s="1"/>
  <c r="BF186" i="2" a="1"/>
  <c r="AS186" i="2" s="1" a="1"/>
  <c r="AU185" i="2" a="1"/>
  <c r="BF185" i="2" a="1"/>
  <c r="AS185" i="2" s="1" a="1"/>
  <c r="AN185" i="2" a="1"/>
  <c r="AA185" i="3" s="1"/>
  <c r="AO185" i="2" a="1"/>
  <c r="AN184" i="2" a="1"/>
  <c r="AA184" i="3" s="1"/>
  <c r="BF184" i="2" a="1"/>
  <c r="AS184" i="2" s="1" a="1"/>
  <c r="AO184" i="2" a="1"/>
  <c r="BF183" i="2" a="1"/>
  <c r="AS183" i="2" s="1" a="1"/>
  <c r="AO183" i="2" a="1"/>
  <c r="AN183" i="2" a="1"/>
  <c r="AA183" i="3" s="1"/>
  <c r="BF182" i="2" a="1"/>
  <c r="AS182" i="2" s="1" a="1"/>
  <c r="AO182" i="2" a="1"/>
  <c r="AN182" i="2" a="1"/>
  <c r="AA182" i="3" s="1"/>
  <c r="BF181" i="2" a="1"/>
  <c r="AS181" i="2" s="1" a="1"/>
  <c r="AO181" i="2" a="1"/>
  <c r="AN181" i="2" a="1"/>
  <c r="AA181" i="3" s="1"/>
  <c r="BF180" i="2" a="1"/>
  <c r="AS180" i="2" s="1" a="1"/>
  <c r="AO180" i="2" a="1"/>
  <c r="AN180" i="2" a="1"/>
  <c r="AA180" i="3" s="1"/>
  <c r="AN179" i="2" a="1"/>
  <c r="AA179" i="3" s="1"/>
  <c r="AO179" i="2" a="1"/>
  <c r="BF179" i="2" a="1"/>
  <c r="AS179" i="2" s="1" a="1"/>
  <c r="BF178" i="2" a="1"/>
  <c r="AS178" i="2" s="1" a="1"/>
  <c r="AO178" i="2" a="1"/>
  <c r="AN178" i="2" a="1"/>
  <c r="AA178" i="3" s="1"/>
  <c r="BF177" i="2" a="1"/>
  <c r="AS177" i="2" s="1" a="1"/>
  <c r="AO177" i="2" a="1"/>
  <c r="AN177" i="2" a="1"/>
  <c r="AA177" i="3" s="1"/>
  <c r="AN176" i="2" a="1"/>
  <c r="AA176" i="3" s="1"/>
  <c r="AO176" i="2" a="1"/>
  <c r="BF176" i="2" a="1"/>
  <c r="AS176" i="2" s="1" a="1"/>
  <c r="BF175" i="2" a="1"/>
  <c r="AS175" i="2" s="1" a="1"/>
  <c r="AO175" i="2" a="1"/>
  <c r="AN175" i="2" a="1"/>
  <c r="AA175" i="3" s="1"/>
  <c r="BF174" i="2" a="1"/>
  <c r="AS174" i="2" s="1" a="1"/>
  <c r="AO174" i="2" a="1"/>
  <c r="AN174" i="2" a="1"/>
  <c r="AA174" i="3" s="1"/>
  <c r="AO173" i="2" a="1"/>
  <c r="AN173" i="2" a="1"/>
  <c r="AA173" i="3" s="1"/>
  <c r="BF173" i="2" a="1"/>
  <c r="AS173" i="2" s="1" a="1"/>
  <c r="BF172" i="2" a="1"/>
  <c r="AS172" i="2" s="1" a="1"/>
  <c r="AO172" i="2" a="1"/>
  <c r="AN172" i="2" a="1"/>
  <c r="AA172" i="3" s="1"/>
  <c r="AO171" i="2" a="1"/>
  <c r="BF171" i="2" a="1"/>
  <c r="AS171" i="2" s="1" a="1"/>
  <c r="AN171" i="2" a="1"/>
  <c r="AA171" i="3" s="1"/>
  <c r="BF170" i="2" a="1"/>
  <c r="AS170" i="2" s="1" a="1"/>
  <c r="AN170" i="2" a="1"/>
  <c r="AA170" i="3" s="1"/>
  <c r="AO170" i="2" a="1"/>
  <c r="AN169" i="2" a="1"/>
  <c r="AA169" i="3" s="1"/>
  <c r="AO169" i="2" a="1"/>
  <c r="BF169" i="2" a="1"/>
  <c r="AS169" i="2" s="1" a="1"/>
  <c r="AN168" i="2" a="1"/>
  <c r="AA168" i="3" s="1"/>
  <c r="AO168" i="2" a="1"/>
  <c r="BF168" i="2" a="1"/>
  <c r="AS168" i="2" s="1" a="1"/>
  <c r="AO167" i="2" a="1"/>
  <c r="AN167" i="2" a="1"/>
  <c r="AA167" i="3" s="1"/>
  <c r="BF167" i="2" a="1"/>
  <c r="AS167" i="2" s="1" a="1"/>
  <c r="AN166" i="2" a="1"/>
  <c r="AA166" i="3" s="1"/>
  <c r="BF166" i="2" a="1"/>
  <c r="AS166" i="2" s="1" a="1"/>
  <c r="AO166" i="2" a="1"/>
  <c r="AO165" i="2" a="1"/>
  <c r="AN165" i="2" a="1"/>
  <c r="AA165" i="3" s="1"/>
  <c r="BF165" i="2" a="1"/>
  <c r="AS165" i="2" s="1" a="1"/>
  <c r="BF164" i="2" a="1"/>
  <c r="AS164" i="2" s="1" a="1"/>
  <c r="AO164" i="2" a="1"/>
  <c r="AN164" i="2" a="1"/>
  <c r="AA164" i="3" s="1"/>
  <c r="BF163" i="2" a="1"/>
  <c r="AS163" i="2" s="1" a="1"/>
  <c r="AO163" i="2" a="1"/>
  <c r="AN163" i="2" a="1"/>
  <c r="AA163" i="3" s="1"/>
  <c r="BF162" i="2" a="1"/>
  <c r="AS162" i="2" s="1" a="1"/>
  <c r="AO162" i="2" a="1"/>
  <c r="AN162" i="2" a="1"/>
  <c r="AA162" i="3" s="1"/>
  <c r="AN161" i="2" a="1"/>
  <c r="AA161" i="3" s="1"/>
  <c r="AO161" i="2" a="1"/>
  <c r="BF161" i="2" a="1"/>
  <c r="AS161" i="2" s="1" a="1"/>
  <c r="AO160" i="2" a="1"/>
  <c r="AN160" i="2" a="1"/>
  <c r="AA160" i="3" s="1"/>
  <c r="BF160" i="2" a="1"/>
  <c r="AS160" i="2" s="1" a="1"/>
  <c r="AN159" i="2" a="1"/>
  <c r="AA159" i="3" s="1"/>
  <c r="AO159" i="2" a="1"/>
  <c r="BF159" i="2" a="1"/>
  <c r="AS159" i="2" s="1" a="1"/>
  <c r="AN158" i="2" a="1"/>
  <c r="AA158" i="3" s="1"/>
  <c r="AO158" i="2" a="1"/>
  <c r="BF158" i="2" a="1"/>
  <c r="AS158" i="2" s="1" a="1"/>
  <c r="AN157" i="2" a="1"/>
  <c r="AA157" i="3" s="1"/>
  <c r="AO157" i="2" a="1"/>
  <c r="BF157" i="2" a="1"/>
  <c r="AS157" i="2" s="1" a="1"/>
  <c r="AN156" i="2" a="1"/>
  <c r="AA156" i="3" s="1"/>
  <c r="AO156" i="2" a="1"/>
  <c r="BF156" i="2" a="1"/>
  <c r="AS156" i="2" s="1" a="1"/>
  <c r="AN155" i="2" a="1"/>
  <c r="AA155" i="3" s="1"/>
  <c r="AO155" i="2" a="1"/>
  <c r="BF155" i="2" a="1"/>
  <c r="AS155" i="2" s="1" a="1"/>
  <c r="AN154" i="2" a="1"/>
  <c r="AA154" i="3" s="1"/>
  <c r="BF154" i="2" a="1"/>
  <c r="AS154" i="2" s="1" a="1"/>
  <c r="AO154" i="2" a="1"/>
  <c r="BF153" i="2" a="1"/>
  <c r="AS153" i="2" s="1" a="1"/>
  <c r="AO153" i="2" a="1"/>
  <c r="AN153" i="2" a="1"/>
  <c r="AA153" i="3" s="1"/>
  <c r="AO152" i="2" a="1"/>
  <c r="AN152" i="2" a="1"/>
  <c r="AA152" i="3" s="1"/>
  <c r="BF152" i="2" a="1"/>
  <c r="AS152" i="2" s="1" a="1"/>
  <c r="BF151" i="2" a="1"/>
  <c r="AS151" i="2" s="1" a="1"/>
  <c r="AN151" i="2" a="1"/>
  <c r="AA151" i="3" s="1"/>
  <c r="AO151" i="2" a="1"/>
  <c r="AO150" i="2" a="1"/>
  <c r="BF150" i="2" a="1"/>
  <c r="AS150" i="2" s="1" a="1"/>
  <c r="AN150" i="2" a="1"/>
  <c r="AA150" i="3" s="1"/>
  <c r="AN149" i="2" a="1"/>
  <c r="AA149" i="3" s="1"/>
  <c r="AO149" i="2" a="1"/>
  <c r="BF149" i="2" a="1"/>
  <c r="AS149" i="2" s="1" a="1"/>
  <c r="AN148" i="2" a="1"/>
  <c r="AA148" i="3" s="1"/>
  <c r="BF148" i="2" a="1"/>
  <c r="AS148" i="2" s="1" a="1"/>
  <c r="AO148" i="2" a="1"/>
  <c r="AN147" i="2" a="1"/>
  <c r="AA147" i="3" s="1"/>
  <c r="AO147" i="2" a="1"/>
  <c r="BF147" i="2" a="1"/>
  <c r="AS147" i="2" s="1" a="1"/>
  <c r="AN146" i="2" a="1"/>
  <c r="AA146" i="3" s="1"/>
  <c r="AO146" i="2" a="1"/>
  <c r="BF146" i="2" a="1"/>
  <c r="AS146" i="2" s="1" a="1"/>
  <c r="AN145" i="2" a="1"/>
  <c r="AA145" i="3" s="1"/>
  <c r="AO145" i="2" a="1"/>
  <c r="BF145" i="2" a="1"/>
  <c r="AS145" i="2" s="1" a="1"/>
  <c r="AO144" i="2" a="1"/>
  <c r="AN144" i="2" a="1"/>
  <c r="AA144" i="3" s="1"/>
  <c r="BF144" i="2" a="1"/>
  <c r="AS144" i="2" s="1" a="1"/>
  <c r="AO143" i="2" a="1"/>
  <c r="AN143" i="2" a="1"/>
  <c r="AA143" i="3" s="1"/>
  <c r="BF143" i="2" a="1"/>
  <c r="AS143" i="2" s="1" a="1"/>
  <c r="BF142" i="2" a="1"/>
  <c r="AS142" i="2" s="1" a="1"/>
  <c r="AO142" i="2" a="1"/>
  <c r="AN142" i="2" a="1"/>
  <c r="AA142" i="3" s="1"/>
  <c r="AN141" i="2" a="1"/>
  <c r="AA141" i="3" s="1"/>
  <c r="BF141" i="2" a="1"/>
  <c r="AS141" i="2" s="1" a="1"/>
  <c r="AO141" i="2" a="1"/>
  <c r="BF140" i="2" a="1"/>
  <c r="AS140" i="2" s="1" a="1"/>
  <c r="AO140" i="2" a="1"/>
  <c r="AN140" i="2" a="1"/>
  <c r="AA140" i="3" s="1"/>
  <c r="BF139" i="2" a="1"/>
  <c r="AS139" i="2" s="1" a="1"/>
  <c r="AO139" i="2" a="1"/>
  <c r="AN139" i="2" a="1"/>
  <c r="AA139" i="3" s="1"/>
  <c r="BF138" i="2" a="1"/>
  <c r="AS138" i="2" s="1" a="1"/>
  <c r="AO138" i="2" a="1"/>
  <c r="AN138" i="2" a="1"/>
  <c r="AA138" i="3" s="1"/>
  <c r="BF137" i="2" a="1"/>
  <c r="AS137" i="2" s="1" a="1"/>
  <c r="AO137" i="2" a="1"/>
  <c r="AN137" i="2" a="1"/>
  <c r="BF136" i="2" a="1"/>
  <c r="AS136" i="2" s="1" a="1"/>
  <c r="AO136" i="2" a="1"/>
  <c r="AN136" i="2" a="1"/>
  <c r="BF135" i="2" a="1"/>
  <c r="AS135" i="2" s="1" a="1"/>
  <c r="AO135" i="2" a="1"/>
  <c r="AN135" i="2" a="1"/>
  <c r="BF134" i="2" a="1"/>
  <c r="AS134" i="2" s="1" a="1"/>
  <c r="AO134" i="2" a="1"/>
  <c r="AN134" i="2" a="1"/>
  <c r="BB133" i="2" a="1"/>
  <c r="BF133" i="2" a="1"/>
  <c r="AS133" i="2" s="1" a="1"/>
  <c r="AO133" i="2" a="1"/>
  <c r="AN133" i="2" a="1"/>
  <c r="AO132" i="2" a="1"/>
  <c r="AN132" i="2" a="1"/>
  <c r="BF132" i="2" a="1"/>
  <c r="AS132" i="2" s="1" a="1"/>
  <c r="BF131" i="2" a="1"/>
  <c r="AS131" i="2" s="1" a="1"/>
  <c r="AO131" i="2" a="1"/>
  <c r="AN131" i="2" a="1"/>
  <c r="AO130" i="2" a="1"/>
  <c r="AN130" i="2" a="1"/>
  <c r="BF130" i="2" a="1"/>
  <c r="AS130" i="2" s="1" a="1"/>
  <c r="BF129" i="2" a="1"/>
  <c r="AS129" i="2" s="1" a="1"/>
  <c r="AO129" i="2" a="1"/>
  <c r="AN129" i="2" a="1"/>
  <c r="BF128" i="2" a="1"/>
  <c r="AS128" i="2" s="1" a="1"/>
  <c r="AO128" i="2" a="1"/>
  <c r="AN128" i="2" a="1"/>
  <c r="AO127" i="2" a="1"/>
  <c r="AN127" i="2" a="1"/>
  <c r="BF127" i="2" a="1"/>
  <c r="AS127" i="2" s="1" a="1"/>
  <c r="BF126" i="2" a="1"/>
  <c r="AS126" i="2" s="1" a="1"/>
  <c r="AO126" i="2" a="1"/>
  <c r="AN126" i="2" a="1"/>
  <c r="AO125" i="2" a="1"/>
  <c r="AN125" i="2" a="1"/>
  <c r="BF125" i="2" a="1"/>
  <c r="AS125" i="2" s="1" a="1"/>
  <c r="AO124" i="2" a="1"/>
  <c r="AN124" i="2" a="1"/>
  <c r="BF124" i="2" a="1"/>
  <c r="AS124" i="2" s="1" a="1"/>
  <c r="BF123" i="2" a="1"/>
  <c r="AS123" i="2" s="1" a="1"/>
  <c r="BF122" i="2" a="1"/>
  <c r="BF121" i="2" a="1"/>
  <c r="BF120" i="2" a="1"/>
  <c r="BF119" i="2" a="1"/>
  <c r="BF118" i="2" a="1"/>
  <c r="BF117" i="2" a="1"/>
  <c r="BF116" i="2" a="1"/>
  <c r="BF115" i="2" a="1"/>
  <c r="BF114" i="2" a="1"/>
  <c r="BF113" i="2" a="1"/>
  <c r="BF112" i="2" a="1"/>
  <c r="BF111" i="2" a="1"/>
  <c r="BF110" i="2" a="1"/>
  <c r="BF109" i="2" a="1"/>
  <c r="BF108" i="2" a="1"/>
  <c r="BF107" i="2" a="1"/>
  <c r="BF106" i="2" a="1"/>
  <c r="BF105" i="2" a="1"/>
  <c r="BF104" i="2" a="1"/>
  <c r="BF103" i="2" a="1"/>
  <c r="BF102" i="2" a="1"/>
  <c r="BF101" i="2" a="1"/>
  <c r="BF100" i="2" a="1"/>
  <c r="BF99" i="2" a="1"/>
  <c r="BF98" i="2" a="1"/>
  <c r="BF97" i="2" a="1"/>
  <c r="BF96" i="2" a="1"/>
  <c r="BF95" i="2" a="1"/>
  <c r="BF94" i="2" a="1"/>
  <c r="BF93" i="2" a="1"/>
  <c r="BF92" i="2" a="1"/>
  <c r="BF91" i="2" a="1"/>
  <c r="BF90" i="2" a="1"/>
  <c r="BF89" i="2" a="1"/>
  <c r="BF88" i="2" a="1"/>
  <c r="BF87" i="2" a="1"/>
  <c r="BF86" i="2" a="1"/>
  <c r="BF85" i="2" a="1"/>
  <c r="BF84" i="2" a="1"/>
  <c r="BF83" i="2" a="1"/>
  <c r="BF82" i="2" a="1"/>
  <c r="BF81" i="2" a="1"/>
  <c r="BF80" i="2" a="1"/>
  <c r="BF79" i="2" a="1"/>
  <c r="BF78" i="2" a="1"/>
  <c r="BF77" i="2" a="1"/>
  <c r="BF76" i="2" a="1"/>
  <c r="BF75" i="2" a="1"/>
  <c r="BF74" i="2" a="1"/>
  <c r="BF73" i="2" a="1"/>
  <c r="BF72" i="2" a="1"/>
  <c r="BF71" i="2" a="1"/>
  <c r="BF70" i="2" a="1"/>
  <c r="BF69" i="2" a="1"/>
  <c r="BF68" i="2" a="1"/>
  <c r="BF67" i="2" a="1"/>
  <c r="BF66" i="2" a="1"/>
  <c r="BF65" i="2" a="1"/>
  <c r="BF64" i="2" a="1"/>
  <c r="BF63" i="2" a="1"/>
  <c r="BF62" i="2" a="1"/>
  <c r="BF61" i="2" a="1"/>
  <c r="BF60" i="2" a="1"/>
  <c r="BF59" i="2" a="1"/>
  <c r="BF58" i="2" a="1"/>
  <c r="BF57" i="2" a="1"/>
  <c r="BF56" i="2" a="1"/>
  <c r="BF55" i="2" a="1"/>
  <c r="BF54" i="2" a="1"/>
  <c r="BF53" i="2" a="1"/>
  <c r="BF52" i="2" a="1"/>
  <c r="BF51" i="2" a="1"/>
  <c r="BF50" i="2" a="1"/>
  <c r="BF49" i="2" a="1"/>
  <c r="BF48" i="2" a="1"/>
  <c r="BF47" i="2" a="1"/>
  <c r="BF46" i="2" a="1"/>
  <c r="BF45" i="2" a="1"/>
  <c r="BF44" i="2" a="1"/>
  <c r="BF43" i="2" a="1"/>
  <c r="BF42" i="2" a="1"/>
  <c r="BF41" i="2" a="1"/>
  <c r="BF40" i="2" a="1"/>
  <c r="BF39" i="2" a="1"/>
  <c r="BF38" i="2" a="1"/>
  <c r="BF37" i="2" a="1"/>
  <c r="BF36" i="2" a="1"/>
  <c r="BF35" i="2" a="1"/>
  <c r="BF34" i="2" a="1"/>
  <c r="BF33" i="2" a="1"/>
  <c r="BF32" i="2" a="1"/>
  <c r="BF31" i="2" a="1"/>
  <c r="BF30" i="2" a="1"/>
  <c r="BF29" i="2" a="1"/>
  <c r="BF28" i="2" a="1"/>
  <c r="BF27" i="2" a="1"/>
  <c r="BF26" i="2" a="1"/>
  <c r="BF25" i="2" a="1"/>
  <c r="BF24" i="2" a="1"/>
  <c r="BF23" i="2" a="1"/>
  <c r="BF22" i="2" a="1"/>
  <c r="BF21" i="2" a="1"/>
  <c r="BF20" i="2" a="1"/>
  <c r="BF19" i="2" a="1"/>
  <c r="BF18" i="2" a="1"/>
  <c r="BF17" i="2" a="1"/>
  <c r="BF16" i="2" a="1"/>
  <c r="BF15" i="2" a="1"/>
  <c r="BF14" i="2" a="1"/>
  <c r="BF13" i="2" a="1"/>
  <c r="BF12" i="2" a="1"/>
  <c r="BF11" i="2" a="1"/>
  <c r="BF10" i="2" a="1"/>
  <c r="BF9" i="2" a="1"/>
  <c r="BF8" i="2" a="1"/>
  <c r="AU286" i="2" a="1"/>
  <c r="BB286" i="2" a="1"/>
  <c r="BC286" i="2" s="1" a="1"/>
  <c r="AT286" i="2" a="1"/>
  <c r="AQ286" i="2" s="1"/>
  <c r="BB285" i="2" a="1"/>
  <c r="BC285" i="2" s="1" a="1"/>
  <c r="AU285" i="2" a="1"/>
  <c r="AT285" i="2" a="1"/>
  <c r="AQ285" i="2" s="1"/>
  <c r="BB155" i="2" a="1"/>
  <c r="BC155" i="2" s="1" a="1"/>
  <c r="AU155" i="2" a="1"/>
  <c r="AT155" i="2" a="1"/>
  <c r="AQ155" i="2" s="1"/>
  <c r="AT154" i="2" a="1"/>
  <c r="AQ154" i="2" s="1"/>
  <c r="AU154" i="2" a="1"/>
  <c r="BB154" i="2" a="1"/>
  <c r="BC154" i="2" s="1" a="1"/>
  <c r="AU153" i="2" a="1"/>
  <c r="AT153" i="2" a="1"/>
  <c r="AQ153" i="2" s="1"/>
  <c r="BB153" i="2" a="1"/>
  <c r="BC153" i="2" s="1" a="1"/>
  <c r="AU152" i="2" a="1"/>
  <c r="AT152" i="2" a="1"/>
  <c r="AQ152" i="2" s="1"/>
  <c r="BB152" i="2" a="1"/>
  <c r="BC152" i="2" s="1" a="1"/>
  <c r="BB151" i="2" a="1"/>
  <c r="BC151" i="2" s="1" a="1"/>
  <c r="AU151" i="2" a="1"/>
  <c r="AT151" i="2" a="1"/>
  <c r="AQ151" i="2" s="1"/>
  <c r="AT150" i="2" a="1"/>
  <c r="AQ150" i="2" s="1"/>
  <c r="BB150" i="2" a="1"/>
  <c r="BC150" i="2" s="1" a="1"/>
  <c r="AU150" i="2" a="1"/>
  <c r="AT149" i="2" a="1"/>
  <c r="AQ149" i="2" s="1"/>
  <c r="AU149" i="2" a="1"/>
  <c r="BB149" i="2" a="1"/>
  <c r="BC149" i="2" s="1" a="1"/>
  <c r="BB148" i="2" a="1"/>
  <c r="BC148" i="2" s="1" a="1"/>
  <c r="AT148" i="2" a="1"/>
  <c r="AQ148" i="2" s="1"/>
  <c r="AU148" i="2" a="1"/>
  <c r="AU147" i="2" a="1"/>
  <c r="AT147" i="2" a="1"/>
  <c r="AQ147" i="2" s="1"/>
  <c r="BB147" i="2" a="1"/>
  <c r="BC147" i="2" s="1" a="1"/>
  <c r="AU146" i="2" a="1"/>
  <c r="BB146" i="2" a="1"/>
  <c r="BC146" i="2" s="1" a="1"/>
  <c r="AT146" i="2" a="1"/>
  <c r="AQ146" i="2" s="1"/>
  <c r="AU145" i="2" a="1"/>
  <c r="AT145" i="2" a="1"/>
  <c r="AQ145" i="2" s="1"/>
  <c r="BB145" i="2" a="1"/>
  <c r="BC145" i="2" s="1" a="1"/>
  <c r="AU144" i="2" a="1"/>
  <c r="AT144" i="2" a="1"/>
  <c r="AQ144" i="2" s="1"/>
  <c r="BB144" i="2" a="1"/>
  <c r="BC144" i="2" s="1" a="1"/>
  <c r="AU143" i="2" a="1"/>
  <c r="AT143" i="2" a="1"/>
  <c r="AQ143" i="2" s="1"/>
  <c r="BB143" i="2" a="1"/>
  <c r="BC143" i="2" s="1" a="1"/>
  <c r="AU142" i="2" a="1"/>
  <c r="AT142" i="2" a="1"/>
  <c r="AQ142" i="2" s="1"/>
  <c r="BB142" i="2" a="1"/>
  <c r="BC142" i="2" s="1" a="1"/>
  <c r="AT141" i="2" a="1"/>
  <c r="AQ141" i="2" s="1"/>
  <c r="AU141" i="2" a="1"/>
  <c r="BB141" i="2" a="1"/>
  <c r="BC141" i="2" s="1" a="1"/>
  <c r="AU140" i="2" a="1"/>
  <c r="AT140" i="2" a="1"/>
  <c r="AQ140" i="2" s="1"/>
  <c r="BB140" i="2" a="1"/>
  <c r="BC140" i="2" s="1" a="1"/>
  <c r="AU139" i="2" a="1"/>
  <c r="AT139" i="2" a="1"/>
  <c r="AQ139" i="2" s="1"/>
  <c r="BB139" i="2" a="1"/>
  <c r="BC139" i="2" s="1" a="1"/>
  <c r="AU138" i="2" a="1"/>
  <c r="AT138" i="2" a="1"/>
  <c r="AQ138" i="2" s="1"/>
  <c r="BB138" i="2" a="1"/>
  <c r="BC138" i="2" s="1" a="1"/>
  <c r="AU137" i="2" a="1"/>
  <c r="AT137" i="2" a="1"/>
  <c r="AQ137" i="2" s="1"/>
  <c r="BB137" i="2" a="1"/>
  <c r="BC137" i="2" s="1" a="1"/>
  <c r="AU136" i="2" a="1"/>
  <c r="AT136" i="2" a="1"/>
  <c r="AQ136" i="2" s="1"/>
  <c r="BB136" i="2" a="1"/>
  <c r="BC136" i="2" s="1" a="1"/>
  <c r="BB135" i="2" a="1"/>
  <c r="BC135" i="2" s="1" a="1"/>
  <c r="AU135" i="2" a="1"/>
  <c r="AT135" i="2" a="1"/>
  <c r="AQ135" i="2" s="1"/>
  <c r="BB134" i="2" a="1"/>
  <c r="BC134" i="2" s="1" a="1"/>
  <c r="AU134" i="2" a="1"/>
  <c r="AT134" i="2" a="1"/>
  <c r="AQ134" i="2" s="1"/>
  <c r="AU133" i="2" a="1"/>
  <c r="AT133" i="2" a="1"/>
  <c r="AQ133" i="2" s="1"/>
  <c r="BB132" i="2" a="1"/>
  <c r="BC132" i="2" s="1" a="1"/>
  <c r="AU132" i="2" a="1"/>
  <c r="AT132" i="2" a="1"/>
  <c r="AQ132" i="2" s="1"/>
  <c r="AT131" i="2" a="1"/>
  <c r="AQ131" i="2" s="1"/>
  <c r="AU131" i="2" a="1"/>
  <c r="BB131" i="2" a="1"/>
  <c r="BC131" i="2" s="1" a="1"/>
  <c r="AT130" i="2" a="1"/>
  <c r="AQ130" i="2" s="1"/>
  <c r="AU130" i="2" a="1"/>
  <c r="BB130" i="2" a="1"/>
  <c r="BC130" i="2" s="1" a="1"/>
  <c r="AT129" i="2" a="1"/>
  <c r="AQ129" i="2" s="1"/>
  <c r="AU129" i="2" a="1"/>
  <c r="BB129" i="2" a="1"/>
  <c r="BC129" i="2" s="1" a="1"/>
  <c r="AT128" i="2" a="1"/>
  <c r="AQ128" i="2" s="1"/>
  <c r="BB128" i="2" a="1"/>
  <c r="BC128" i="2" s="1" a="1"/>
  <c r="AU128" i="2" a="1"/>
  <c r="AU127" i="2" a="1"/>
  <c r="BB127" i="2" a="1"/>
  <c r="BC127" i="2" s="1" a="1"/>
  <c r="AT127" i="2" a="1"/>
  <c r="AQ127" i="2" s="1"/>
  <c r="BB126" i="2" a="1"/>
  <c r="BC126" i="2" s="1" a="1"/>
  <c r="AT126" i="2" a="1"/>
  <c r="AQ126" i="2" s="1"/>
  <c r="AU126" i="2" a="1"/>
  <c r="BB125" i="2" a="1"/>
  <c r="BC125" i="2" s="1" a="1"/>
  <c r="AT125" i="2" a="1"/>
  <c r="AQ125" i="2" s="1"/>
  <c r="AU125" i="2" a="1"/>
  <c r="AT124" i="2" a="1"/>
  <c r="AQ124" i="2" s="1"/>
  <c r="BB124" i="2" a="1"/>
  <c r="BC124" i="2" s="1" a="1"/>
  <c r="AU124" i="2" a="1"/>
  <c r="BB123" i="2" a="1"/>
  <c r="BC123" i="2" s="1" a="1"/>
  <c r="AT123" i="2" a="1"/>
  <c r="AQ123" i="2" s="1"/>
  <c r="AU123" i="2" a="1"/>
  <c r="AU122" i="2" a="1"/>
  <c r="AT122" i="2" a="1"/>
  <c r="AQ122" i="2" s="1"/>
  <c r="BB122" i="2" a="1"/>
  <c r="BC122" i="2" s="1" a="1"/>
  <c r="AU121" i="2" a="1"/>
  <c r="AT121" i="2" a="1"/>
  <c r="AQ121" i="2" s="1"/>
  <c r="BB121" i="2" a="1"/>
  <c r="BC121" i="2" s="1" a="1"/>
  <c r="AU120" i="2" a="1"/>
  <c r="AT120" i="2" a="1"/>
  <c r="AQ120" i="2" s="1"/>
  <c r="BB120" i="2" a="1"/>
  <c r="AU119" i="2" a="1"/>
  <c r="AT119" i="2" a="1"/>
  <c r="AQ119" i="2" s="1"/>
  <c r="BB119" i="2" a="1"/>
  <c r="BC119" i="2" s="1" a="1"/>
  <c r="AT118" i="2" a="1"/>
  <c r="AQ118" i="2" s="1"/>
  <c r="AU118" i="2" a="1"/>
  <c r="BB118" i="2" a="1"/>
  <c r="BC118" i="2" s="1" a="1"/>
  <c r="AT117" i="2" a="1"/>
  <c r="AQ117" i="2" s="1"/>
  <c r="AU117" i="2" a="1"/>
  <c r="BB117" i="2" a="1"/>
  <c r="BC117" i="2" s="1" a="1"/>
  <c r="AT116" i="2" a="1"/>
  <c r="AQ116" i="2" s="1"/>
  <c r="AU116" i="2" a="1"/>
  <c r="BB116" i="2" a="1"/>
  <c r="BC116" i="2" s="1" a="1"/>
  <c r="AT115" i="2" a="1"/>
  <c r="AQ115" i="2" s="1"/>
  <c r="AU115" i="2" a="1"/>
  <c r="BB115" i="2" a="1"/>
  <c r="BC115" i="2" s="1" a="1"/>
  <c r="BB114" i="2" a="1"/>
  <c r="BC114" i="2" s="1" a="1"/>
  <c r="AT114" i="2" a="1"/>
  <c r="AQ114" i="2" s="1"/>
  <c r="AU114" i="2" a="1"/>
  <c r="AU113" i="2" a="1"/>
  <c r="AT113" i="2" a="1"/>
  <c r="AQ113" i="2" s="1"/>
  <c r="BB113" i="2" a="1"/>
  <c r="BC113" i="2" s="1" a="1"/>
  <c r="AU112" i="2" a="1"/>
  <c r="AT112" i="2" a="1"/>
  <c r="AQ112" i="2" s="1"/>
  <c r="BB112" i="2" a="1"/>
  <c r="BC112" i="2" s="1" a="1"/>
  <c r="AU111" i="2" a="1"/>
  <c r="AT111" i="2" a="1"/>
  <c r="AQ111" i="2" s="1"/>
  <c r="BB111" i="2" a="1"/>
  <c r="BC111" i="2" s="1" a="1"/>
  <c r="AU110" i="2" a="1"/>
  <c r="AT110" i="2" a="1"/>
  <c r="AQ110" i="2" s="1"/>
  <c r="BB110" i="2" a="1"/>
  <c r="BC110" i="2" s="1" a="1"/>
  <c r="AT105" i="2" a="1"/>
  <c r="AQ105" i="2" s="1"/>
  <c r="AU105" i="2" a="1"/>
  <c r="BB105" i="2" a="1"/>
  <c r="BC105" i="2" s="1" a="1"/>
  <c r="AU104" i="2" a="1"/>
  <c r="AT104" i="2" a="1"/>
  <c r="AQ104" i="2" s="1"/>
  <c r="BB104" i="2" a="1"/>
  <c r="BC104" i="2" s="1" a="1"/>
  <c r="AT103" i="2" a="1"/>
  <c r="AQ103" i="2" s="1"/>
  <c r="AU103" i="2" a="1"/>
  <c r="BB103" i="2" a="1"/>
  <c r="BC103" i="2" s="1" a="1"/>
  <c r="AU102" i="2" a="1"/>
  <c r="AT102" i="2" a="1"/>
  <c r="AQ102" i="2" s="1"/>
  <c r="BB102" i="2" a="1"/>
  <c r="BC102" i="2" s="1" a="1"/>
  <c r="AU101" i="2" a="1"/>
  <c r="AT101" i="2" a="1"/>
  <c r="AQ101" i="2" s="1"/>
  <c r="BB101" i="2" a="1"/>
  <c r="BC101" i="2" s="1" a="1"/>
  <c r="AT100" i="2" a="1"/>
  <c r="AQ100" i="2" s="1"/>
  <c r="BB100" i="2" a="1"/>
  <c r="BC100" i="2" s="1" a="1"/>
  <c r="AU100" i="2" a="1"/>
  <c r="AT99" i="2" a="1"/>
  <c r="AQ99" i="2" s="1"/>
  <c r="AU99" i="2" a="1"/>
  <c r="BB99" i="2" a="1"/>
  <c r="BC99" i="2" s="1" a="1"/>
  <c r="AT98" i="2" a="1"/>
  <c r="AQ98" i="2" s="1"/>
  <c r="AU98" i="2" a="1"/>
  <c r="BB98" i="2" a="1"/>
  <c r="BC98" i="2" s="1" a="1"/>
  <c r="AT97" i="2" a="1"/>
  <c r="AQ97" i="2" s="1"/>
  <c r="AU97" i="2" a="1"/>
  <c r="BB97" i="2" a="1"/>
  <c r="BC97" i="2" s="1" a="1"/>
  <c r="AT96" i="2" a="1"/>
  <c r="AQ96" i="2" s="1"/>
  <c r="AU96" i="2" a="1"/>
  <c r="BB96" i="2" a="1"/>
  <c r="BC96" i="2" s="1" a="1"/>
  <c r="AU95" i="2" a="1"/>
  <c r="AT95" i="2" a="1"/>
  <c r="AQ95" i="2" s="1"/>
  <c r="BB95" i="2" a="1"/>
  <c r="BC95" i="2" s="1" a="1"/>
  <c r="AT94" i="2" a="1"/>
  <c r="AQ94" i="2" s="1"/>
  <c r="AU94" i="2" a="1"/>
  <c r="BB94" i="2" a="1"/>
  <c r="BC94" i="2" s="1" a="1"/>
  <c r="AT93" i="2" a="1"/>
  <c r="AQ93" i="2" s="1"/>
  <c r="AU93" i="2" a="1"/>
  <c r="BB93" i="2" a="1"/>
  <c r="BC93" i="2" s="1" a="1"/>
  <c r="AU92" i="2" a="1"/>
  <c r="AT92" i="2" a="1"/>
  <c r="AQ92" i="2" s="1"/>
  <c r="BB92" i="2" a="1"/>
  <c r="BC92" i="2" s="1" a="1"/>
  <c r="BB91" i="2" a="1"/>
  <c r="BC91" i="2" s="1" a="1"/>
  <c r="AU91" i="2" a="1"/>
  <c r="AT91" i="2" a="1"/>
  <c r="AQ91" i="2" s="1"/>
  <c r="AT5" i="2" a="1"/>
  <c r="AQ5" i="2" s="1"/>
  <c r="AU5" i="2" a="1"/>
  <c r="AU7" i="2" a="1"/>
  <c r="AT7" i="2" a="1"/>
  <c r="AQ7" i="2" s="1"/>
  <c r="AT90" i="2" a="1"/>
  <c r="AQ90" i="2" s="1"/>
  <c r="AU90" i="2" a="1"/>
  <c r="BB90" i="2" a="1"/>
  <c r="BC90" i="2" s="1" a="1"/>
  <c r="AU89" i="2" a="1"/>
  <c r="AT89" i="2" a="1"/>
  <c r="AQ89" i="2" s="1"/>
  <c r="BB89" i="2" a="1"/>
  <c r="BC89" i="2" s="1" a="1"/>
  <c r="AT88" i="2" a="1"/>
  <c r="AQ88" i="2" s="1"/>
  <c r="AU88" i="2" a="1"/>
  <c r="BB88" i="2" a="1"/>
  <c r="BC88" i="2" s="1" a="1"/>
  <c r="AT87" i="2" a="1"/>
  <c r="AQ87" i="2" s="1"/>
  <c r="AU87" i="2" a="1"/>
  <c r="BB87" i="2" a="1"/>
  <c r="BC87" i="2" s="1" a="1"/>
  <c r="AU86" i="2" a="1"/>
  <c r="AT86" i="2" a="1"/>
  <c r="AQ86" i="2" s="1"/>
  <c r="BB86" i="2" a="1"/>
  <c r="BC86" i="2" s="1" a="1"/>
  <c r="BB85" i="2" a="1"/>
  <c r="BC85" i="2" s="1" a="1"/>
  <c r="AU85" i="2" a="1"/>
  <c r="AT85" i="2" a="1"/>
  <c r="AQ85" i="2" s="1"/>
  <c r="AT84" i="2" a="1"/>
  <c r="AQ84" i="2" s="1"/>
  <c r="BB84" i="2" a="1"/>
  <c r="BC84" i="2" s="1" a="1"/>
  <c r="AU84" i="2" a="1"/>
  <c r="AU83" i="2" a="1"/>
  <c r="AT83" i="2" a="1"/>
  <c r="AQ83" i="2" s="1"/>
  <c r="BB83" i="2" a="1"/>
  <c r="BC83" i="2" s="1" a="1"/>
  <c r="AT82" i="2" a="1"/>
  <c r="AQ82" i="2" s="1"/>
  <c r="AU82" i="2" a="1"/>
  <c r="BB82" i="2" a="1"/>
  <c r="BC82" i="2" s="1" a="1"/>
  <c r="AT81" i="2" a="1"/>
  <c r="AQ81" i="2" s="1"/>
  <c r="AU81" i="2" a="1"/>
  <c r="BB81" i="2" a="1"/>
  <c r="BC81" i="2" s="1" a="1"/>
  <c r="BB80" i="2" a="1"/>
  <c r="BC80" i="2" s="1" a="1"/>
  <c r="AU80" i="2" a="1"/>
  <c r="AT80" i="2" a="1"/>
  <c r="AQ80" i="2" s="1"/>
  <c r="AT79" i="2" a="1"/>
  <c r="AQ79" i="2" s="1"/>
  <c r="AU79" i="2" a="1"/>
  <c r="BB79" i="2" a="1"/>
  <c r="BC79" i="2" s="1" a="1"/>
  <c r="AT78" i="2" a="1"/>
  <c r="AQ78" i="2" s="1"/>
  <c r="BB78" i="2" a="1"/>
  <c r="BC78" i="2" s="1" a="1"/>
  <c r="AU78" i="2" a="1"/>
  <c r="AU77" i="2" a="1"/>
  <c r="AT77" i="2" a="1"/>
  <c r="AQ77" i="2" s="1"/>
  <c r="BB77" i="2" a="1"/>
  <c r="BC77" i="2" s="1" a="1"/>
  <c r="BB76" i="2" a="1"/>
  <c r="BC76" i="2" s="1" a="1"/>
  <c r="AU76" i="2" a="1"/>
  <c r="AT76" i="2" a="1"/>
  <c r="AQ76" i="2" s="1"/>
  <c r="BG5" i="2" a="1"/>
  <c r="BB5" i="2" a="1"/>
  <c r="BC5" i="2" s="1" a="1"/>
  <c r="BG7" i="2" a="1"/>
  <c r="BB7" i="2" a="1"/>
  <c r="BC7" i="2" s="1" a="1"/>
  <c r="BG302" i="2" a="1"/>
  <c r="BJ302" i="2" a="1"/>
  <c r="BK302" i="2" a="1"/>
  <c r="BL302" i="2" a="1"/>
  <c r="BO302" i="2" a="1"/>
  <c r="BP302" i="2"/>
  <c r="BB302" i="2" a="1"/>
  <c r="BC302" i="2" s="1" a="1"/>
  <c r="AU302" i="2" a="1"/>
  <c r="AT302" i="2" a="1"/>
  <c r="AQ302" i="2" s="1"/>
  <c r="BG301" i="2" a="1"/>
  <c r="BJ301" i="2" a="1"/>
  <c r="BK301" i="2" a="1"/>
  <c r="BL301" i="2" a="1"/>
  <c r="BO301" i="2" a="1"/>
  <c r="BP301" i="2"/>
  <c r="BB301" i="2" a="1"/>
  <c r="BC301" i="2" s="1" a="1"/>
  <c r="AU301" i="2" a="1"/>
  <c r="AT301" i="2" a="1"/>
  <c r="AQ301" i="2" s="1"/>
  <c r="BG300" i="2" a="1"/>
  <c r="BJ300" i="2" a="1"/>
  <c r="BK300" i="2" a="1"/>
  <c r="BL300" i="2" a="1"/>
  <c r="BO300" i="2" a="1"/>
  <c r="BP300" i="2"/>
  <c r="BB300" i="2" a="1"/>
  <c r="AU300" i="2" a="1"/>
  <c r="AT300" i="2" a="1"/>
  <c r="AQ300" i="2" s="1"/>
  <c r="BG299" i="2" a="1"/>
  <c r="BJ299" i="2" a="1"/>
  <c r="BK299" i="2" a="1"/>
  <c r="BL299" i="2" a="1"/>
  <c r="BO299" i="2" a="1"/>
  <c r="BP299" i="2"/>
  <c r="BB299" i="2" a="1"/>
  <c r="AU299" i="2" a="1"/>
  <c r="AT299" i="2" a="1"/>
  <c r="AQ299" i="2" s="1"/>
  <c r="BG298" i="2" a="1"/>
  <c r="BJ298" i="2" a="1"/>
  <c r="BK298" i="2" a="1"/>
  <c r="BL298" i="2" a="1"/>
  <c r="BO298" i="2" a="1"/>
  <c r="BP298" i="2"/>
  <c r="BB298" i="2" a="1"/>
  <c r="AU298" i="2" a="1"/>
  <c r="AT298" i="2" a="1"/>
  <c r="AQ298" i="2" s="1"/>
  <c r="BG297" i="2" a="1"/>
  <c r="BJ297" i="2" a="1"/>
  <c r="BK297" i="2" a="1"/>
  <c r="BL297" i="2" a="1"/>
  <c r="BO297" i="2" a="1"/>
  <c r="BP297" i="2"/>
  <c r="BB297" i="2" a="1"/>
  <c r="AU297" i="2" a="1"/>
  <c r="AT297" i="2" a="1"/>
  <c r="AQ297" i="2" s="1"/>
  <c r="BG296" i="2" a="1"/>
  <c r="BJ296" i="2" a="1"/>
  <c r="BK296" i="2" a="1"/>
  <c r="BL296" i="2" a="1"/>
  <c r="BO296" i="2" a="1"/>
  <c r="BP296" i="2"/>
  <c r="BB296" i="2" a="1"/>
  <c r="BC296" i="2" s="1" a="1"/>
  <c r="AU296" i="2" a="1"/>
  <c r="AT296" i="2" a="1"/>
  <c r="AQ296" i="2" s="1"/>
  <c r="BG295" i="2" a="1"/>
  <c r="BJ295" i="2" a="1"/>
  <c r="BK295" i="2" a="1"/>
  <c r="BL295" i="2" a="1"/>
  <c r="BO295" i="2" a="1"/>
  <c r="BP295" i="2"/>
  <c r="BB295" i="2" a="1"/>
  <c r="BC295" i="2" s="1" a="1"/>
  <c r="AU295" i="2" a="1"/>
  <c r="AT295" i="2" a="1"/>
  <c r="AQ295" i="2" s="1"/>
  <c r="BG294" i="2" a="1"/>
  <c r="BJ294" i="2" a="1"/>
  <c r="BK294" i="2" a="1"/>
  <c r="BL294" i="2" a="1"/>
  <c r="BO294" i="2" a="1"/>
  <c r="BP294" i="2"/>
  <c r="BB294" i="2" a="1"/>
  <c r="BC294" i="2" s="1" a="1"/>
  <c r="AU294" i="2" a="1"/>
  <c r="AT294" i="2" a="1"/>
  <c r="AQ294" i="2" s="1"/>
  <c r="BG293" i="2" a="1"/>
  <c r="BJ293" i="2" a="1"/>
  <c r="BK293" i="2" a="1"/>
  <c r="BL293" i="2" a="1"/>
  <c r="BO293" i="2" a="1"/>
  <c r="BP293" i="2"/>
  <c r="BB293" i="2" a="1"/>
  <c r="AU293" i="2" a="1"/>
  <c r="AT293" i="2" a="1"/>
  <c r="AQ293" i="2" s="1"/>
  <c r="BG292" i="2" a="1"/>
  <c r="BJ292" i="2" a="1"/>
  <c r="BK292" i="2" a="1"/>
  <c r="BL292" i="2" a="1"/>
  <c r="BO292" i="2" a="1"/>
  <c r="BP292" i="2"/>
  <c r="BB292" i="2" a="1"/>
  <c r="AU292" i="2" a="1"/>
  <c r="AT292" i="2" a="1"/>
  <c r="AQ292" i="2" s="1"/>
  <c r="BG291" i="2" a="1"/>
  <c r="BJ291" i="2" a="1"/>
  <c r="BK291" i="2" a="1"/>
  <c r="BL291" i="2" a="1"/>
  <c r="BO291" i="2" a="1"/>
  <c r="BP291" i="2"/>
  <c r="BB291" i="2" a="1"/>
  <c r="AU291" i="2" a="1"/>
  <c r="AT291" i="2" a="1"/>
  <c r="AQ291" i="2" s="1"/>
  <c r="BG290" i="2" a="1"/>
  <c r="BJ290" i="2" a="1"/>
  <c r="BK290" i="2" a="1"/>
  <c r="BL290" i="2" a="1"/>
  <c r="BO290" i="2" a="1"/>
  <c r="BP290" i="2"/>
  <c r="BB290" i="2" a="1"/>
  <c r="AU290" i="2" a="1"/>
  <c r="AT290" i="2" a="1"/>
  <c r="AQ290" i="2" s="1"/>
  <c r="BG289" i="2" a="1"/>
  <c r="BJ289" i="2" a="1"/>
  <c r="BK289" i="2" a="1"/>
  <c r="BL289" i="2" a="1"/>
  <c r="BO289" i="2" a="1"/>
  <c r="BP289" i="2"/>
  <c r="BB289" i="2" a="1"/>
  <c r="AU289" i="2" a="1"/>
  <c r="AT289" i="2" a="1"/>
  <c r="AQ289" i="2" s="1"/>
  <c r="BG288" i="2" a="1"/>
  <c r="BJ288" i="2" a="1"/>
  <c r="BK288" i="2" a="1"/>
  <c r="BL288" i="2" a="1"/>
  <c r="BO288" i="2" a="1"/>
  <c r="BP288" i="2"/>
  <c r="BB288" i="2" a="1"/>
  <c r="AU288" i="2" a="1"/>
  <c r="AT288" i="2" a="1"/>
  <c r="AQ288" i="2" s="1"/>
  <c r="BG287" i="2" a="1"/>
  <c r="BJ287" i="2" a="1"/>
  <c r="BK287" i="2" a="1"/>
  <c r="BL287" i="2" a="1"/>
  <c r="BO287" i="2" a="1"/>
  <c r="BP287" i="2"/>
  <c r="BB287" i="2" a="1"/>
  <c r="BG286" i="2" a="1"/>
  <c r="BJ286" i="2" a="1"/>
  <c r="BK286" i="2" a="1"/>
  <c r="BL286" i="2" a="1"/>
  <c r="BO286" i="2" a="1"/>
  <c r="BP286" i="2"/>
  <c r="BG285" i="2" a="1"/>
  <c r="BJ285" i="2" a="1"/>
  <c r="BK285" i="2" a="1"/>
  <c r="BL285" i="2" a="1"/>
  <c r="BO285" i="2" a="1"/>
  <c r="BP285" i="2"/>
  <c r="BG284" i="2" a="1"/>
  <c r="BJ284" i="2" a="1"/>
  <c r="BK284" i="2" a="1"/>
  <c r="BL284" i="2" a="1"/>
  <c r="BO284" i="2" a="1"/>
  <c r="BP284" i="2"/>
  <c r="BB284" i="2" a="1"/>
  <c r="AU284" i="2" a="1"/>
  <c r="AT284" i="2" a="1"/>
  <c r="AQ284" i="2" s="1"/>
  <c r="BG283" i="2" a="1"/>
  <c r="BJ283" i="2" a="1"/>
  <c r="BK283" i="2" a="1"/>
  <c r="BL283" i="2" a="1"/>
  <c r="BO283" i="2" a="1"/>
  <c r="BP283" i="2"/>
  <c r="BB283" i="2" a="1"/>
  <c r="AU283" i="2" a="1"/>
  <c r="AT283" i="2" a="1"/>
  <c r="AQ283" i="2" s="1"/>
  <c r="BG282" i="2" a="1"/>
  <c r="BJ282" i="2" a="1"/>
  <c r="BK282" i="2" a="1"/>
  <c r="BL282" i="2" a="1"/>
  <c r="BO282" i="2" a="1"/>
  <c r="BP282" i="2"/>
  <c r="BB282" i="2" a="1"/>
  <c r="AU282" i="2" a="1"/>
  <c r="AT282" i="2" a="1"/>
  <c r="AQ282" i="2" s="1"/>
  <c r="BG281" i="2" a="1"/>
  <c r="BJ281" i="2" a="1"/>
  <c r="BK281" i="2" a="1"/>
  <c r="BL281" i="2" a="1"/>
  <c r="BO281" i="2" a="1"/>
  <c r="BP281" i="2"/>
  <c r="BB281" i="2" a="1"/>
  <c r="AU281" i="2" a="1"/>
  <c r="AT281" i="2" a="1"/>
  <c r="AQ281" i="2" s="1"/>
  <c r="BG280" i="2" a="1"/>
  <c r="BJ280" i="2" a="1"/>
  <c r="BK280" i="2" a="1"/>
  <c r="BL280" i="2" a="1"/>
  <c r="BO280" i="2" a="1"/>
  <c r="BP280" i="2"/>
  <c r="BB280" i="2" a="1"/>
  <c r="AU280" i="2" a="1"/>
  <c r="AT280" i="2" a="1"/>
  <c r="AQ280" i="2" s="1"/>
  <c r="BG279" i="2" a="1"/>
  <c r="BJ279" i="2" a="1"/>
  <c r="BK279" i="2" a="1"/>
  <c r="BL279" i="2" a="1"/>
  <c r="BO279" i="2" a="1"/>
  <c r="BP279" i="2"/>
  <c r="BB279" i="2" a="1"/>
  <c r="AU279" i="2" a="1"/>
  <c r="AT279" i="2" a="1"/>
  <c r="AQ279" i="2" s="1"/>
  <c r="BG278" i="2" a="1"/>
  <c r="BJ278" i="2" a="1"/>
  <c r="BK278" i="2" a="1"/>
  <c r="BL278" i="2" a="1"/>
  <c r="BO278" i="2" a="1"/>
  <c r="BP278" i="2"/>
  <c r="BB278" i="2" a="1"/>
  <c r="AU278" i="2" a="1"/>
  <c r="AT278" i="2" a="1"/>
  <c r="AQ278" i="2" s="1"/>
  <c r="BG277" i="2" a="1"/>
  <c r="BJ277" i="2" a="1"/>
  <c r="BK277" i="2" a="1"/>
  <c r="BL277" i="2" a="1"/>
  <c r="BO277" i="2" a="1"/>
  <c r="BP277" i="2"/>
  <c r="BB277" i="2" a="1"/>
  <c r="AU277" i="2" a="1"/>
  <c r="AT277" i="2" a="1"/>
  <c r="AQ277" i="2" s="1"/>
  <c r="BG276" i="2" a="1"/>
  <c r="BJ276" i="2" a="1"/>
  <c r="BK276" i="2" a="1"/>
  <c r="BL276" i="2" a="1"/>
  <c r="BO276" i="2" a="1"/>
  <c r="BP276" i="2"/>
  <c r="BB276" i="2" a="1"/>
  <c r="AU276" i="2" a="1"/>
  <c r="AT276" i="2" a="1"/>
  <c r="AQ276" i="2" s="1"/>
  <c r="BG275" i="2" a="1"/>
  <c r="BJ275" i="2" a="1"/>
  <c r="BK275" i="2" a="1"/>
  <c r="BL275" i="2" a="1"/>
  <c r="BO275" i="2" a="1"/>
  <c r="BP275" i="2"/>
  <c r="BB275" i="2" a="1"/>
  <c r="AU275" i="2" a="1"/>
  <c r="AT275" i="2" a="1"/>
  <c r="AQ275" i="2" s="1"/>
  <c r="BG274" i="2" a="1"/>
  <c r="BJ274" i="2" a="1"/>
  <c r="BK274" i="2" a="1"/>
  <c r="BL274" i="2" a="1"/>
  <c r="BO274" i="2" a="1"/>
  <c r="BP274" i="2"/>
  <c r="BB274" i="2" a="1"/>
  <c r="AU274" i="2" a="1"/>
  <c r="AT274" i="2" a="1"/>
  <c r="AQ274" i="2" s="1"/>
  <c r="BG273" i="2" a="1"/>
  <c r="BJ273" i="2" a="1"/>
  <c r="BK273" i="2" a="1"/>
  <c r="BL273" i="2" a="1"/>
  <c r="BO273" i="2" a="1"/>
  <c r="BP273" i="2"/>
  <c r="BB273" i="2" a="1"/>
  <c r="AU273" i="2" a="1"/>
  <c r="AT273" i="2" a="1"/>
  <c r="AQ273" i="2" s="1"/>
  <c r="BG272" i="2" a="1"/>
  <c r="BJ272" i="2" a="1"/>
  <c r="BK272" i="2" a="1"/>
  <c r="BL272" i="2" a="1"/>
  <c r="BO272" i="2" a="1"/>
  <c r="BP272" i="2"/>
  <c r="BB272" i="2" a="1"/>
  <c r="AU272" i="2" a="1"/>
  <c r="AT272" i="2" a="1"/>
  <c r="AQ272" i="2" s="1"/>
  <c r="BG271" i="2" a="1"/>
  <c r="BJ271" i="2" a="1"/>
  <c r="BK271" i="2" a="1"/>
  <c r="BL271" i="2" a="1"/>
  <c r="BO271" i="2" a="1"/>
  <c r="BP271" i="2"/>
  <c r="BB271" i="2" a="1"/>
  <c r="AU271" i="2" a="1"/>
  <c r="AT271" i="2" a="1"/>
  <c r="AQ271" i="2" s="1"/>
  <c r="BG270" i="2" a="1"/>
  <c r="BJ270" i="2" a="1"/>
  <c r="BK270" i="2" a="1"/>
  <c r="BL270" i="2" a="1"/>
  <c r="BO270" i="2" a="1"/>
  <c r="BP270" i="2"/>
  <c r="BB270" i="2" a="1"/>
  <c r="AU270" i="2" a="1"/>
  <c r="AT270" i="2" a="1"/>
  <c r="AQ270" i="2" s="1"/>
  <c r="BG269" i="2" a="1"/>
  <c r="BJ269" i="2" a="1"/>
  <c r="BK269" i="2" a="1"/>
  <c r="BL269" i="2" a="1"/>
  <c r="BO269" i="2" a="1"/>
  <c r="BP269" i="2"/>
  <c r="BB269" i="2" a="1"/>
  <c r="AU269" i="2" a="1"/>
  <c r="AT269" i="2" a="1"/>
  <c r="AQ269" i="2" s="1"/>
  <c r="BG268" i="2" a="1"/>
  <c r="BJ268" i="2" a="1"/>
  <c r="BK268" i="2" a="1"/>
  <c r="BL268" i="2" a="1"/>
  <c r="BO268" i="2" a="1"/>
  <c r="BP268" i="2"/>
  <c r="BB268" i="2" a="1"/>
  <c r="AU268" i="2" a="1"/>
  <c r="AT268" i="2" a="1"/>
  <c r="AQ268" i="2" s="1"/>
  <c r="BG267" i="2" a="1"/>
  <c r="BJ267" i="2" a="1"/>
  <c r="BK267" i="2" a="1"/>
  <c r="BL267" i="2" a="1"/>
  <c r="BO267" i="2" a="1"/>
  <c r="BP267" i="2"/>
  <c r="BB267" i="2" a="1"/>
  <c r="AU267" i="2" a="1"/>
  <c r="AT267" i="2" a="1"/>
  <c r="AQ267" i="2" s="1"/>
  <c r="BG266" i="2" a="1"/>
  <c r="BJ266" i="2" a="1"/>
  <c r="BK266" i="2" a="1"/>
  <c r="BL266" i="2" a="1"/>
  <c r="BO266" i="2" a="1"/>
  <c r="BP266" i="2"/>
  <c r="BB266" i="2" a="1"/>
  <c r="AU266" i="2" a="1"/>
  <c r="AT266" i="2" a="1"/>
  <c r="AQ266" i="2" s="1"/>
  <c r="BG265" i="2" a="1"/>
  <c r="BJ265" i="2" a="1"/>
  <c r="BK265" i="2" a="1"/>
  <c r="BL265" i="2" a="1"/>
  <c r="BO265" i="2" a="1"/>
  <c r="BP265" i="2"/>
  <c r="BB265" i="2" a="1"/>
  <c r="AU265" i="2" a="1"/>
  <c r="AT265" i="2" a="1"/>
  <c r="AQ265" i="2" s="1"/>
  <c r="BG264" i="2" a="1"/>
  <c r="BJ264" i="2" a="1"/>
  <c r="BK264" i="2" a="1"/>
  <c r="BL264" i="2" a="1"/>
  <c r="BO264" i="2" a="1"/>
  <c r="BP264" i="2"/>
  <c r="BB264" i="2" a="1"/>
  <c r="AU264" i="2" a="1"/>
  <c r="AT264" i="2" a="1"/>
  <c r="AQ264" i="2" s="1"/>
  <c r="BG263" i="2" a="1"/>
  <c r="BJ263" i="2" a="1"/>
  <c r="BK263" i="2" a="1"/>
  <c r="BL263" i="2" a="1"/>
  <c r="BO263" i="2" a="1"/>
  <c r="BP263" i="2"/>
  <c r="BB263" i="2" a="1"/>
  <c r="AU263" i="2" a="1"/>
  <c r="AT263" i="2" a="1"/>
  <c r="AQ263" i="2" s="1"/>
  <c r="BG262" i="2" a="1"/>
  <c r="BJ262" i="2" a="1"/>
  <c r="BK262" i="2" a="1"/>
  <c r="BL262" i="2" a="1"/>
  <c r="BO262" i="2" a="1"/>
  <c r="BP262" i="2"/>
  <c r="BB262" i="2" a="1"/>
  <c r="AU262" i="2" a="1"/>
  <c r="AT262" i="2" a="1"/>
  <c r="AQ262" i="2" s="1"/>
  <c r="BG261" i="2" a="1"/>
  <c r="BJ261" i="2" a="1"/>
  <c r="BK261" i="2" a="1"/>
  <c r="BL261" i="2" a="1"/>
  <c r="BO261" i="2" a="1"/>
  <c r="BP261" i="2"/>
  <c r="BB261" i="2" a="1"/>
  <c r="AU261" i="2" a="1"/>
  <c r="AT261" i="2" a="1"/>
  <c r="AQ261" i="2" s="1"/>
  <c r="BG260" i="2" a="1"/>
  <c r="BJ260" i="2" a="1"/>
  <c r="BK260" i="2" a="1"/>
  <c r="BL260" i="2" a="1"/>
  <c r="BO260" i="2" a="1"/>
  <c r="BP260" i="2"/>
  <c r="BB260" i="2" a="1"/>
  <c r="AU260" i="2" a="1"/>
  <c r="AT260" i="2" a="1"/>
  <c r="AQ260" i="2" s="1"/>
  <c r="BG259" i="2" a="1"/>
  <c r="BJ259" i="2" a="1"/>
  <c r="BK259" i="2" a="1"/>
  <c r="BL259" i="2" a="1"/>
  <c r="BO259" i="2" a="1"/>
  <c r="BP259" i="2"/>
  <c r="BB259" i="2" a="1"/>
  <c r="AU259" i="2" a="1"/>
  <c r="AT259" i="2" a="1"/>
  <c r="AQ259" i="2" s="1"/>
  <c r="BG258" i="2" a="1"/>
  <c r="BJ258" i="2" a="1"/>
  <c r="BK258" i="2" a="1"/>
  <c r="BL258" i="2" a="1"/>
  <c r="BO258" i="2" a="1"/>
  <c r="BP258" i="2"/>
  <c r="BB258" i="2" a="1"/>
  <c r="AU258" i="2" a="1"/>
  <c r="AT258" i="2" a="1"/>
  <c r="AQ258" i="2" s="1"/>
  <c r="BG257" i="2" a="1"/>
  <c r="BJ257" i="2" a="1"/>
  <c r="BK257" i="2" a="1"/>
  <c r="BL257" i="2" a="1"/>
  <c r="BO257" i="2" a="1"/>
  <c r="BP257" i="2"/>
  <c r="BB257" i="2" a="1"/>
  <c r="AU257" i="2" a="1"/>
  <c r="AT257" i="2" a="1"/>
  <c r="AQ257" i="2" s="1"/>
  <c r="BG256" i="2" a="1"/>
  <c r="BJ256" i="2" a="1"/>
  <c r="BK256" i="2" a="1"/>
  <c r="BL256" i="2" a="1"/>
  <c r="BO256" i="2" a="1"/>
  <c r="BP256" i="2"/>
  <c r="BB256" i="2" a="1"/>
  <c r="AU256" i="2" a="1"/>
  <c r="AT256" i="2" a="1"/>
  <c r="AQ256" i="2" s="1"/>
  <c r="BG255" i="2" a="1"/>
  <c r="BJ255" i="2" a="1"/>
  <c r="BK255" i="2" a="1"/>
  <c r="BL255" i="2" a="1"/>
  <c r="BO255" i="2" a="1"/>
  <c r="BP255" i="2"/>
  <c r="BB255" i="2" a="1"/>
  <c r="AU255" i="2" a="1"/>
  <c r="AT255" i="2" a="1"/>
  <c r="AQ255" i="2" s="1"/>
  <c r="BG254" i="2" a="1"/>
  <c r="BJ254" i="2" a="1"/>
  <c r="BK254" i="2" a="1"/>
  <c r="BL254" i="2" a="1"/>
  <c r="BO254" i="2" a="1"/>
  <c r="BP254" i="2"/>
  <c r="BB254" i="2" a="1"/>
  <c r="AU254" i="2" a="1"/>
  <c r="AT254" i="2" a="1"/>
  <c r="AQ254" i="2" s="1"/>
  <c r="BG253" i="2" a="1"/>
  <c r="BJ253" i="2" a="1"/>
  <c r="BK253" i="2" a="1"/>
  <c r="BL253" i="2" a="1"/>
  <c r="BO253" i="2" a="1"/>
  <c r="BP253" i="2"/>
  <c r="BB253" i="2" a="1"/>
  <c r="AU253" i="2" a="1"/>
  <c r="AT253" i="2" a="1"/>
  <c r="AQ253" i="2" s="1"/>
  <c r="BG252" i="2" a="1"/>
  <c r="BJ252" i="2" a="1"/>
  <c r="BK252" i="2" a="1"/>
  <c r="BL252" i="2" a="1"/>
  <c r="BO252" i="2" a="1"/>
  <c r="BP252" i="2"/>
  <c r="BB252" i="2" a="1"/>
  <c r="AU252" i="2" a="1"/>
  <c r="AT252" i="2" a="1"/>
  <c r="AQ252" i="2" s="1"/>
  <c r="BG251" i="2" a="1"/>
  <c r="BJ251" i="2" a="1"/>
  <c r="BK251" i="2" a="1"/>
  <c r="BL251" i="2" a="1"/>
  <c r="BO251" i="2" a="1"/>
  <c r="BP251" i="2"/>
  <c r="BB251" i="2" a="1"/>
  <c r="AU251" i="2" a="1"/>
  <c r="AT251" i="2" a="1"/>
  <c r="AQ251" i="2" s="1"/>
  <c r="BG250" i="2" a="1"/>
  <c r="BJ250" i="2" a="1"/>
  <c r="BK250" i="2" a="1"/>
  <c r="BL250" i="2" a="1"/>
  <c r="BO250" i="2" a="1"/>
  <c r="BP250" i="2"/>
  <c r="BB250" i="2" a="1"/>
  <c r="AU250" i="2" a="1"/>
  <c r="AT250" i="2" a="1"/>
  <c r="AQ250" i="2" s="1"/>
  <c r="BG249" i="2" a="1"/>
  <c r="BJ249" i="2" a="1"/>
  <c r="BK249" i="2" a="1"/>
  <c r="BL249" i="2" a="1"/>
  <c r="BO249" i="2" a="1"/>
  <c r="BP249" i="2"/>
  <c r="BB249" i="2" a="1"/>
  <c r="AU249" i="2" a="1"/>
  <c r="AT249" i="2" a="1"/>
  <c r="AQ249" i="2" s="1"/>
  <c r="BG248" i="2" a="1"/>
  <c r="BJ248" i="2" a="1"/>
  <c r="BK248" i="2" a="1"/>
  <c r="BL248" i="2" a="1"/>
  <c r="BO248" i="2" a="1"/>
  <c r="BP248" i="2"/>
  <c r="BB248" i="2" a="1"/>
  <c r="AU248" i="2" a="1"/>
  <c r="AT248" i="2" a="1"/>
  <c r="AQ248" i="2" s="1"/>
  <c r="BG247" i="2" a="1"/>
  <c r="BJ247" i="2" a="1"/>
  <c r="BK247" i="2" a="1"/>
  <c r="BL247" i="2" a="1"/>
  <c r="BO247" i="2" a="1"/>
  <c r="BP247" i="2"/>
  <c r="BB247" i="2" a="1"/>
  <c r="AU247" i="2" a="1"/>
  <c r="AT247" i="2" a="1"/>
  <c r="AQ247" i="2" s="1"/>
  <c r="BG246" i="2" a="1"/>
  <c r="BJ246" i="2" a="1"/>
  <c r="BK246" i="2" a="1"/>
  <c r="BL246" i="2" a="1"/>
  <c r="BO246" i="2" a="1"/>
  <c r="BP246" i="2"/>
  <c r="BB246" i="2" a="1"/>
  <c r="AU246" i="2" a="1"/>
  <c r="AT246" i="2" a="1"/>
  <c r="AQ246" i="2" s="1"/>
  <c r="BG245" i="2" a="1"/>
  <c r="BJ245" i="2" a="1"/>
  <c r="BK245" i="2" a="1"/>
  <c r="BL245" i="2" a="1"/>
  <c r="BO245" i="2" a="1"/>
  <c r="BP245" i="2"/>
  <c r="BB245" i="2" a="1"/>
  <c r="AU245" i="2" a="1"/>
  <c r="AT245" i="2" a="1"/>
  <c r="AQ245" i="2" s="1"/>
  <c r="BG244" i="2" a="1"/>
  <c r="BJ244" i="2" a="1"/>
  <c r="BK244" i="2" a="1"/>
  <c r="BL244" i="2" a="1"/>
  <c r="BO244" i="2" a="1"/>
  <c r="BP244" i="2"/>
  <c r="BB244" i="2" a="1"/>
  <c r="AU244" i="2" a="1"/>
  <c r="AT244" i="2" a="1"/>
  <c r="AQ244" i="2" s="1"/>
  <c r="BG243" i="2" a="1"/>
  <c r="BJ243" i="2" a="1"/>
  <c r="BK243" i="2" a="1"/>
  <c r="BL243" i="2" a="1"/>
  <c r="BO243" i="2" a="1"/>
  <c r="BP243" i="2"/>
  <c r="BB243" i="2" a="1"/>
  <c r="AU243" i="2" a="1"/>
  <c r="AT243" i="2" a="1"/>
  <c r="AQ243" i="2" s="1"/>
  <c r="BG242" i="2" a="1"/>
  <c r="BJ242" i="2" a="1"/>
  <c r="BK242" i="2" a="1"/>
  <c r="BL242" i="2" a="1"/>
  <c r="BO242" i="2" a="1"/>
  <c r="BP242" i="2"/>
  <c r="BB242" i="2" a="1"/>
  <c r="AU242" i="2" a="1"/>
  <c r="AT242" i="2" a="1"/>
  <c r="AQ242" i="2" s="1"/>
  <c r="BG241" i="2" a="1"/>
  <c r="BJ241" i="2" a="1"/>
  <c r="BK241" i="2" a="1"/>
  <c r="BL241" i="2" a="1"/>
  <c r="BO241" i="2" a="1"/>
  <c r="BP241" i="2"/>
  <c r="BB241" i="2" a="1"/>
  <c r="AU241" i="2" a="1"/>
  <c r="AT241" i="2" a="1"/>
  <c r="AQ241" i="2" s="1"/>
  <c r="BP240" i="2"/>
  <c r="BL240" i="2" a="1"/>
  <c r="BO240" i="2" a="1"/>
  <c r="BB240" i="2" a="1"/>
  <c r="BK240" i="2" a="1"/>
  <c r="BG240" i="2" a="1"/>
  <c r="BJ240" i="2" a="1"/>
  <c r="AU240" i="2" a="1"/>
  <c r="AT240" i="2" a="1"/>
  <c r="AQ240" i="2" s="1"/>
  <c r="BG239" i="2" a="1"/>
  <c r="BJ239" i="2" a="1"/>
  <c r="BP239" i="2"/>
  <c r="BK239" i="2" a="1"/>
  <c r="BB239" i="2" a="1"/>
  <c r="BL239" i="2" a="1"/>
  <c r="BO239" i="2" a="1"/>
  <c r="AU239" i="2" a="1"/>
  <c r="AT239" i="2" a="1"/>
  <c r="AQ239" i="2" s="1"/>
  <c r="BJ238" i="2" a="1"/>
  <c r="BO238" i="2" a="1"/>
  <c r="BL238" i="2" a="1"/>
  <c r="BG238" i="2" a="1"/>
  <c r="BK238" i="2" a="1"/>
  <c r="BP238" i="2"/>
  <c r="BB238" i="2" a="1"/>
  <c r="AU238" i="2" a="1"/>
  <c r="AT238" i="2" a="1"/>
  <c r="AQ238" i="2" s="1"/>
  <c r="BG237" i="2" a="1"/>
  <c r="BJ237" i="2" a="1"/>
  <c r="BP237" i="2"/>
  <c r="BB237" i="2" a="1"/>
  <c r="BL237" i="2" a="1"/>
  <c r="BO237" i="2" a="1"/>
  <c r="BK237" i="2" a="1"/>
  <c r="AU237" i="2" a="1"/>
  <c r="AT237" i="2" a="1"/>
  <c r="AQ237" i="2" s="1"/>
  <c r="BP236" i="2"/>
  <c r="BG236" i="2" a="1"/>
  <c r="BJ236" i="2" a="1"/>
  <c r="BL236" i="2" a="1"/>
  <c r="BO236" i="2" a="1"/>
  <c r="BK236" i="2" a="1"/>
  <c r="BB236" i="2" a="1"/>
  <c r="AU236" i="2" a="1"/>
  <c r="AT236" i="2" a="1"/>
  <c r="AQ236" i="2" s="1"/>
  <c r="BO235" i="2" a="1"/>
  <c r="BK235" i="2" a="1"/>
  <c r="BP235" i="2"/>
  <c r="BB235" i="2" a="1"/>
  <c r="BG235" i="2" a="1"/>
  <c r="BJ235" i="2" a="1"/>
  <c r="BL235" i="2" a="1"/>
  <c r="AU235" i="2" a="1"/>
  <c r="AT235" i="2" a="1"/>
  <c r="AQ235" i="2" s="1"/>
  <c r="BG234" i="2" a="1"/>
  <c r="BJ234" i="2" a="1"/>
  <c r="BL234" i="2" a="1"/>
  <c r="BO234" i="2" a="1"/>
  <c r="BB234" i="2" a="1"/>
  <c r="BK234" i="2" a="1"/>
  <c r="BP234" i="2"/>
  <c r="AU234" i="2" a="1"/>
  <c r="AT234" i="2" a="1"/>
  <c r="AQ234" i="2" s="1"/>
  <c r="BK233" i="2" a="1"/>
  <c r="BP233" i="2"/>
  <c r="BG233" i="2" a="1"/>
  <c r="BJ233" i="2" a="1"/>
  <c r="BL233" i="2" a="1"/>
  <c r="BO233" i="2" a="1"/>
  <c r="BB233" i="2" a="1"/>
  <c r="AU233" i="2" a="1"/>
  <c r="AT233" i="2" a="1"/>
  <c r="AQ233" i="2" s="1"/>
  <c r="BG232" i="2" a="1"/>
  <c r="BJ232" i="2" a="1"/>
  <c r="BL232" i="2" a="1"/>
  <c r="BO232" i="2" a="1"/>
  <c r="BB232" i="2" a="1"/>
  <c r="BK232" i="2" a="1"/>
  <c r="BP232" i="2"/>
  <c r="AU232" i="2" a="1"/>
  <c r="AT232" i="2" a="1"/>
  <c r="AQ232" i="2" s="1"/>
  <c r="BK231" i="2" a="1"/>
  <c r="BB231" i="2" a="1"/>
  <c r="BG231" i="2" a="1"/>
  <c r="BJ231" i="2" a="1"/>
  <c r="BP231" i="2"/>
  <c r="BL231" i="2" a="1"/>
  <c r="BO231" i="2" a="1"/>
  <c r="AU231" i="2" a="1"/>
  <c r="AT231" i="2" a="1"/>
  <c r="AQ231" i="2" s="1"/>
  <c r="BG230" i="2" a="1"/>
  <c r="BJ230" i="2" a="1"/>
  <c r="BP230" i="2"/>
  <c r="BL230" i="2" a="1"/>
  <c r="BO230" i="2" a="1"/>
  <c r="BB230" i="2" a="1"/>
  <c r="BK230" i="2" a="1"/>
  <c r="AU230" i="2" a="1"/>
  <c r="AT230" i="2" a="1"/>
  <c r="AQ230" i="2" s="1"/>
  <c r="BK229" i="2" a="1"/>
  <c r="BL229" i="2" a="1"/>
  <c r="BO229" i="2" a="1"/>
  <c r="BG229" i="2" a="1"/>
  <c r="BJ229" i="2" a="1"/>
  <c r="BP229" i="2"/>
  <c r="BB229" i="2" a="1"/>
  <c r="AU229" i="2" a="1"/>
  <c r="AT229" i="2" a="1"/>
  <c r="AQ229" i="2" s="1"/>
  <c r="BG228" i="2" a="1"/>
  <c r="BJ228" i="2" a="1"/>
  <c r="BP228" i="2"/>
  <c r="BB228" i="2" a="1"/>
  <c r="BL228" i="2" a="1"/>
  <c r="BO228" i="2" a="1"/>
  <c r="BK228" i="2" a="1"/>
  <c r="AU228" i="2" a="1"/>
  <c r="AT228" i="2" a="1"/>
  <c r="AQ228" i="2" s="1"/>
  <c r="BL227" i="2" a="1"/>
  <c r="BO227" i="2" a="1"/>
  <c r="BG227" i="2" a="1"/>
  <c r="BJ227" i="2" a="1"/>
  <c r="BP227" i="2"/>
  <c r="BK227" i="2" a="1"/>
  <c r="BB227" i="2" a="1"/>
  <c r="AU227" i="2" a="1"/>
  <c r="AT227" i="2" a="1"/>
  <c r="AQ227" i="2" s="1"/>
  <c r="BG226" i="2" a="1"/>
  <c r="BJ226" i="2" a="1"/>
  <c r="BP226" i="2"/>
  <c r="BK226" i="2" a="1"/>
  <c r="BL226" i="2" a="1"/>
  <c r="BO226" i="2" a="1"/>
  <c r="BB226" i="2" a="1"/>
  <c r="AU226" i="2" a="1"/>
  <c r="AT226" i="2" a="1"/>
  <c r="AQ226" i="2" s="1"/>
  <c r="BG225" i="2" a="1"/>
  <c r="BJ225" i="2" a="1"/>
  <c r="BO225" i="2" a="1"/>
  <c r="BB225" i="2" a="1"/>
  <c r="BK225" i="2" a="1"/>
  <c r="BP225" i="2"/>
  <c r="BL225" i="2" a="1"/>
  <c r="AU225" i="2" a="1"/>
  <c r="AT225" i="2" a="1"/>
  <c r="AQ225" i="2" s="1"/>
  <c r="BG224" i="2" a="1"/>
  <c r="BJ224" i="2" a="1"/>
  <c r="BK224" i="2" a="1"/>
  <c r="BL224" i="2" a="1"/>
  <c r="BO224" i="2" a="1"/>
  <c r="BP224" i="2"/>
  <c r="BB224" i="2" a="1"/>
  <c r="AU224" i="2" a="1"/>
  <c r="AT224" i="2" a="1"/>
  <c r="AQ224" i="2" s="1"/>
  <c r="BG223" i="2" a="1"/>
  <c r="BJ223" i="2" a="1"/>
  <c r="BK223" i="2" a="1"/>
  <c r="BL223" i="2" a="1"/>
  <c r="BO223" i="2" a="1"/>
  <c r="BP223" i="2"/>
  <c r="BB223" i="2" a="1"/>
  <c r="AU223" i="2" a="1"/>
  <c r="AT223" i="2" a="1"/>
  <c r="AQ223" i="2" s="1"/>
  <c r="BG222" i="2" a="1"/>
  <c r="BJ222" i="2" a="1"/>
  <c r="BK222" i="2" a="1"/>
  <c r="BL222" i="2" a="1"/>
  <c r="BO222" i="2" a="1"/>
  <c r="BP222" i="2"/>
  <c r="AU222" i="2" a="1"/>
  <c r="AT222" i="2" a="1"/>
  <c r="AQ222" i="2" s="1"/>
  <c r="BB222" i="2" a="1"/>
  <c r="BG221" i="2" a="1"/>
  <c r="BJ221" i="2" a="1"/>
  <c r="BK221" i="2" a="1"/>
  <c r="BL221" i="2" a="1"/>
  <c r="BO221" i="2" a="1"/>
  <c r="BP221" i="2"/>
  <c r="AU221" i="2" a="1"/>
  <c r="AT221" i="2" a="1"/>
  <c r="AQ221" i="2" s="1"/>
  <c r="BB221" i="2" a="1"/>
  <c r="BG220" i="2" a="1"/>
  <c r="BJ220" i="2" a="1"/>
  <c r="BK220" i="2" a="1"/>
  <c r="BL220" i="2" a="1"/>
  <c r="BO220" i="2" a="1"/>
  <c r="BP220" i="2"/>
  <c r="AU220" i="2" a="1"/>
  <c r="AT220" i="2" a="1"/>
  <c r="AQ220" i="2" s="1"/>
  <c r="BB220" i="2" a="1"/>
  <c r="BG219" i="2" a="1"/>
  <c r="BJ219" i="2" a="1"/>
  <c r="BK219" i="2" a="1"/>
  <c r="BL219" i="2" a="1"/>
  <c r="BO219" i="2" a="1"/>
  <c r="BP219" i="2"/>
  <c r="AU219" i="2" a="1"/>
  <c r="AT219" i="2" a="1"/>
  <c r="AQ219" i="2" s="1"/>
  <c r="BB219" i="2" a="1"/>
  <c r="BG218" i="2" a="1"/>
  <c r="BJ218" i="2" a="1"/>
  <c r="BK218" i="2" a="1"/>
  <c r="BL218" i="2" a="1"/>
  <c r="BO218" i="2" a="1"/>
  <c r="BP218" i="2"/>
  <c r="AU218" i="2" a="1"/>
  <c r="AT218" i="2" a="1"/>
  <c r="AQ218" i="2" s="1"/>
  <c r="BB218" i="2" a="1"/>
  <c r="BG217" i="2" a="1"/>
  <c r="BJ217" i="2" a="1"/>
  <c r="BK217" i="2" a="1"/>
  <c r="BL217" i="2" a="1"/>
  <c r="BO217" i="2" a="1"/>
  <c r="BP217" i="2"/>
  <c r="AU217" i="2" a="1"/>
  <c r="AT217" i="2" a="1"/>
  <c r="AQ217" i="2" s="1"/>
  <c r="BB217" i="2" a="1"/>
  <c r="BG216" i="2" a="1"/>
  <c r="BJ216" i="2" a="1"/>
  <c r="BK216" i="2" a="1"/>
  <c r="BL216" i="2" a="1"/>
  <c r="BO216" i="2" a="1"/>
  <c r="BP216" i="2"/>
  <c r="AU216" i="2" a="1"/>
  <c r="AT216" i="2" a="1"/>
  <c r="AQ216" i="2" s="1"/>
  <c r="BB216" i="2" a="1"/>
  <c r="BG215" i="2" a="1"/>
  <c r="BJ215" i="2" a="1"/>
  <c r="BK215" i="2" a="1"/>
  <c r="BL215" i="2" a="1"/>
  <c r="BO215" i="2" a="1"/>
  <c r="BP215" i="2"/>
  <c r="AU215" i="2" a="1"/>
  <c r="AT215" i="2" a="1"/>
  <c r="AQ215" i="2" s="1"/>
  <c r="BB215" i="2" a="1"/>
  <c r="BG214" i="2" a="1"/>
  <c r="BJ214" i="2" a="1"/>
  <c r="BK214" i="2" a="1"/>
  <c r="BL214" i="2" a="1"/>
  <c r="BO214" i="2" a="1"/>
  <c r="BP214" i="2"/>
  <c r="AU214" i="2" a="1"/>
  <c r="AT214" i="2" a="1"/>
  <c r="AQ214" i="2" s="1"/>
  <c r="BB214" i="2" a="1"/>
  <c r="BG213" i="2" a="1"/>
  <c r="BJ213" i="2" a="1"/>
  <c r="BK213" i="2" a="1"/>
  <c r="BL213" i="2" a="1"/>
  <c r="BO213" i="2" a="1"/>
  <c r="BP213" i="2"/>
  <c r="AU213" i="2" a="1"/>
  <c r="AT213" i="2" a="1"/>
  <c r="AQ213" i="2" s="1"/>
  <c r="BB213" i="2" a="1"/>
  <c r="BG212" i="2" a="1"/>
  <c r="BJ212" i="2" a="1"/>
  <c r="BK212" i="2" a="1"/>
  <c r="BL212" i="2" a="1"/>
  <c r="BO212" i="2" a="1"/>
  <c r="BP212" i="2"/>
  <c r="AU212" i="2" a="1"/>
  <c r="AT212" i="2" a="1"/>
  <c r="AQ212" i="2" s="1"/>
  <c r="BB212" i="2" a="1"/>
  <c r="BG211" i="2" a="1"/>
  <c r="BJ211" i="2" a="1"/>
  <c r="BK211" i="2" a="1"/>
  <c r="BL211" i="2" a="1"/>
  <c r="BO211" i="2" a="1"/>
  <c r="BP211" i="2"/>
  <c r="AU211" i="2" a="1"/>
  <c r="AT211" i="2" a="1"/>
  <c r="AQ211" i="2" s="1"/>
  <c r="BB211" i="2" a="1"/>
  <c r="BG210" i="2" a="1"/>
  <c r="BJ210" i="2" a="1"/>
  <c r="BK210" i="2" a="1"/>
  <c r="BL210" i="2" a="1"/>
  <c r="BO210" i="2" a="1"/>
  <c r="BP210" i="2"/>
  <c r="AU210" i="2" a="1"/>
  <c r="AT210" i="2" a="1"/>
  <c r="AQ210" i="2" s="1"/>
  <c r="BB210" i="2" a="1"/>
  <c r="BG209" i="2" a="1"/>
  <c r="BJ209" i="2" a="1"/>
  <c r="BK209" i="2" a="1"/>
  <c r="BL209" i="2" a="1"/>
  <c r="BO209" i="2" a="1"/>
  <c r="BP209" i="2"/>
  <c r="AU209" i="2" a="1"/>
  <c r="AT209" i="2" a="1"/>
  <c r="AQ209" i="2" s="1"/>
  <c r="BB209" i="2" a="1"/>
  <c r="BG208" i="2" a="1"/>
  <c r="BJ208" i="2" a="1"/>
  <c r="BK208" i="2" a="1"/>
  <c r="BL208" i="2" a="1"/>
  <c r="BO208" i="2" a="1"/>
  <c r="BP208" i="2"/>
  <c r="AU208" i="2" a="1"/>
  <c r="AT208" i="2" a="1"/>
  <c r="AQ208" i="2" s="1"/>
  <c r="BB208" i="2" a="1"/>
  <c r="BG207" i="2" a="1"/>
  <c r="BJ207" i="2" a="1"/>
  <c r="BK207" i="2" a="1"/>
  <c r="BL207" i="2" a="1"/>
  <c r="BO207" i="2" a="1"/>
  <c r="BP207" i="2"/>
  <c r="AU207" i="2" a="1"/>
  <c r="AT207" i="2" a="1"/>
  <c r="AQ207" i="2" s="1"/>
  <c r="BB207" i="2" a="1"/>
  <c r="BG206" i="2" a="1"/>
  <c r="BJ206" i="2" a="1"/>
  <c r="BK206" i="2" a="1"/>
  <c r="BL206" i="2" a="1"/>
  <c r="BO206" i="2" a="1"/>
  <c r="BP206" i="2"/>
  <c r="AU206" i="2" a="1"/>
  <c r="AT206" i="2" a="1"/>
  <c r="AQ206" i="2" s="1"/>
  <c r="BB206" i="2" a="1"/>
  <c r="BG205" i="2" a="1"/>
  <c r="BJ205" i="2" a="1"/>
  <c r="BK205" i="2" a="1"/>
  <c r="BL205" i="2" a="1"/>
  <c r="BO205" i="2" a="1"/>
  <c r="BP205" i="2"/>
  <c r="AU205" i="2" a="1"/>
  <c r="AT205" i="2" a="1"/>
  <c r="AQ205" i="2" s="1"/>
  <c r="BB205" i="2" a="1"/>
  <c r="BG204" i="2" a="1"/>
  <c r="BJ204" i="2" a="1"/>
  <c r="BK204" i="2" a="1"/>
  <c r="BL204" i="2" a="1"/>
  <c r="BO204" i="2" a="1"/>
  <c r="BP204" i="2"/>
  <c r="AU204" i="2" a="1"/>
  <c r="AT204" i="2" a="1"/>
  <c r="AQ204" i="2" s="1"/>
  <c r="BB204" i="2" a="1"/>
  <c r="BG203" i="2" a="1"/>
  <c r="BJ203" i="2" a="1"/>
  <c r="BK203" i="2" a="1"/>
  <c r="BL203" i="2" a="1"/>
  <c r="BO203" i="2" a="1"/>
  <c r="BP203" i="2"/>
  <c r="AU203" i="2" a="1"/>
  <c r="AT203" i="2" a="1"/>
  <c r="AQ203" i="2" s="1"/>
  <c r="BB203" i="2" a="1"/>
  <c r="BG202" i="2" a="1"/>
  <c r="BJ202" i="2" a="1"/>
  <c r="BK202" i="2" a="1"/>
  <c r="BL202" i="2" a="1"/>
  <c r="BO202" i="2" a="1"/>
  <c r="BP202" i="2"/>
  <c r="AU202" i="2" a="1"/>
  <c r="AT202" i="2" a="1"/>
  <c r="AQ202" i="2" s="1"/>
  <c r="BB202" i="2" a="1"/>
  <c r="BG201" i="2" a="1"/>
  <c r="BJ201" i="2" a="1"/>
  <c r="BK201" i="2" a="1"/>
  <c r="BL201" i="2" a="1"/>
  <c r="BO201" i="2" a="1"/>
  <c r="BP201" i="2"/>
  <c r="AU201" i="2" a="1"/>
  <c r="AT201" i="2" a="1"/>
  <c r="AQ201" i="2" s="1"/>
  <c r="BB201" i="2" a="1"/>
  <c r="BG200" i="2" a="1"/>
  <c r="BJ200" i="2" a="1"/>
  <c r="BK200" i="2" a="1"/>
  <c r="BL200" i="2" a="1"/>
  <c r="BO200" i="2" a="1"/>
  <c r="BP200" i="2"/>
  <c r="AU200" i="2" a="1"/>
  <c r="AT200" i="2" a="1"/>
  <c r="AQ200" i="2" s="1"/>
  <c r="BB200" i="2" a="1"/>
  <c r="BG199" i="2" a="1"/>
  <c r="BJ199" i="2" a="1"/>
  <c r="BK199" i="2" a="1"/>
  <c r="BL199" i="2" a="1"/>
  <c r="BO199" i="2" a="1"/>
  <c r="BP199" i="2"/>
  <c r="AU199" i="2" a="1"/>
  <c r="AT199" i="2" a="1"/>
  <c r="AQ199" i="2" s="1"/>
  <c r="BB199" i="2" a="1"/>
  <c r="BG198" i="2" a="1"/>
  <c r="BJ198" i="2" a="1"/>
  <c r="BK198" i="2" a="1"/>
  <c r="BL198" i="2" a="1"/>
  <c r="BO198" i="2" a="1"/>
  <c r="BP198" i="2"/>
  <c r="AU198" i="2" a="1"/>
  <c r="AT198" i="2" a="1"/>
  <c r="AQ198" i="2" s="1"/>
  <c r="BB198" i="2" a="1"/>
  <c r="BG197" i="2" a="1"/>
  <c r="BJ197" i="2" a="1"/>
  <c r="BK197" i="2" a="1"/>
  <c r="BL197" i="2" a="1"/>
  <c r="BO197" i="2" a="1"/>
  <c r="BP197" i="2"/>
  <c r="AU197" i="2" a="1"/>
  <c r="AT197" i="2" a="1"/>
  <c r="AQ197" i="2" s="1"/>
  <c r="BB197" i="2" a="1"/>
  <c r="BG196" i="2" a="1"/>
  <c r="BJ196" i="2" a="1"/>
  <c r="BK196" i="2" a="1"/>
  <c r="BL196" i="2" a="1"/>
  <c r="BO196" i="2" a="1"/>
  <c r="BP196" i="2"/>
  <c r="AU196" i="2" a="1"/>
  <c r="AT196" i="2" a="1"/>
  <c r="AQ196" i="2" s="1"/>
  <c r="BB196" i="2" a="1"/>
  <c r="BG195" i="2" a="1"/>
  <c r="BJ195" i="2" a="1"/>
  <c r="BK195" i="2" a="1"/>
  <c r="BL195" i="2" a="1"/>
  <c r="BO195" i="2" a="1"/>
  <c r="BP195" i="2"/>
  <c r="AU195" i="2" a="1"/>
  <c r="AT195" i="2" a="1"/>
  <c r="AQ195" i="2" s="1"/>
  <c r="BB195" i="2" a="1"/>
  <c r="BG194" i="2" a="1"/>
  <c r="BJ194" i="2" a="1"/>
  <c r="BK194" i="2" a="1"/>
  <c r="BL194" i="2" a="1"/>
  <c r="BO194" i="2" a="1"/>
  <c r="BP194" i="2"/>
  <c r="AU194" i="2" a="1"/>
  <c r="AT194" i="2" a="1"/>
  <c r="AQ194" i="2" s="1"/>
  <c r="BB194" i="2" a="1"/>
  <c r="BG193" i="2" a="1"/>
  <c r="BJ193" i="2" a="1"/>
  <c r="BK193" i="2" a="1"/>
  <c r="BL193" i="2" a="1"/>
  <c r="BO193" i="2" a="1"/>
  <c r="BP193" i="2"/>
  <c r="AU193" i="2" a="1"/>
  <c r="AT193" i="2" a="1"/>
  <c r="AQ193" i="2" s="1"/>
  <c r="BB193" i="2" a="1"/>
  <c r="BG192" i="2" a="1"/>
  <c r="BJ192" i="2" a="1"/>
  <c r="BK192" i="2" a="1"/>
  <c r="BL192" i="2" a="1"/>
  <c r="BO192" i="2" a="1"/>
  <c r="BP192" i="2"/>
  <c r="AU192" i="2" a="1"/>
  <c r="AT192" i="2" a="1"/>
  <c r="AQ192" i="2" s="1"/>
  <c r="BB192" i="2" a="1"/>
  <c r="BG191" i="2" a="1"/>
  <c r="BJ191" i="2" a="1"/>
  <c r="BK191" i="2" a="1"/>
  <c r="BL191" i="2" a="1"/>
  <c r="BO191" i="2" a="1"/>
  <c r="BP191" i="2"/>
  <c r="AU191" i="2" a="1"/>
  <c r="AT191" i="2" a="1"/>
  <c r="AQ191" i="2" s="1"/>
  <c r="BB191" i="2" a="1"/>
  <c r="BG190" i="2" a="1"/>
  <c r="BJ190" i="2" a="1"/>
  <c r="BK190" i="2" a="1"/>
  <c r="BL190" i="2" a="1"/>
  <c r="BO190" i="2" a="1"/>
  <c r="BP190" i="2"/>
  <c r="AU190" i="2" a="1"/>
  <c r="AT190" i="2" a="1"/>
  <c r="AQ190" i="2" s="1"/>
  <c r="BB190" i="2" a="1"/>
  <c r="BG189" i="2" a="1"/>
  <c r="BJ189" i="2" a="1"/>
  <c r="BK189" i="2" a="1"/>
  <c r="BL189" i="2" a="1"/>
  <c r="BO189" i="2" a="1"/>
  <c r="BP189" i="2"/>
  <c r="AU189" i="2" a="1"/>
  <c r="AT189" i="2" a="1"/>
  <c r="AQ189" i="2" s="1"/>
  <c r="BB189" i="2" a="1"/>
  <c r="BG188" i="2" a="1"/>
  <c r="BJ188" i="2" a="1"/>
  <c r="BK188" i="2" a="1"/>
  <c r="BL188" i="2" a="1"/>
  <c r="BO188" i="2" a="1"/>
  <c r="BP188" i="2"/>
  <c r="AU188" i="2" a="1"/>
  <c r="AT188" i="2" a="1"/>
  <c r="AQ188" i="2" s="1"/>
  <c r="BB188" i="2" a="1"/>
  <c r="BG187" i="2" a="1"/>
  <c r="BJ187" i="2" a="1"/>
  <c r="BK187" i="2" a="1"/>
  <c r="BL187" i="2" a="1"/>
  <c r="BO187" i="2" a="1"/>
  <c r="BP187" i="2"/>
  <c r="AU187" i="2" a="1"/>
  <c r="AT187" i="2" a="1"/>
  <c r="AQ187" i="2" s="1"/>
  <c r="BB187" i="2" a="1"/>
  <c r="BG186" i="2" a="1"/>
  <c r="BJ186" i="2" a="1"/>
  <c r="BK186" i="2" a="1"/>
  <c r="BL186" i="2" a="1"/>
  <c r="BO186" i="2" a="1"/>
  <c r="BP186" i="2"/>
  <c r="AU186" i="2" a="1"/>
  <c r="AT186" i="2" a="1"/>
  <c r="AQ186" i="2" s="1"/>
  <c r="BB186" i="2" a="1"/>
  <c r="BG185" i="2" a="1"/>
  <c r="BJ185" i="2" a="1"/>
  <c r="BK185" i="2" a="1"/>
  <c r="BL185" i="2" a="1"/>
  <c r="BO185" i="2" a="1"/>
  <c r="BP185" i="2"/>
  <c r="AT185" i="2" a="1"/>
  <c r="AQ185" i="2" s="1"/>
  <c r="BB185" i="2" a="1"/>
  <c r="BG184" i="2" a="1"/>
  <c r="BJ184" i="2" a="1"/>
  <c r="BK184" i="2" a="1"/>
  <c r="BL184" i="2" a="1"/>
  <c r="BO184" i="2" a="1"/>
  <c r="BP184" i="2"/>
  <c r="AU184" i="2" a="1"/>
  <c r="AT184" i="2" a="1"/>
  <c r="AQ184" i="2" s="1"/>
  <c r="BB184" i="2" a="1"/>
  <c r="BG183" i="2" a="1"/>
  <c r="BJ183" i="2" a="1"/>
  <c r="BK183" i="2" a="1"/>
  <c r="BL183" i="2" a="1"/>
  <c r="BO183" i="2" a="1"/>
  <c r="BP183" i="2"/>
  <c r="AU183" i="2" a="1"/>
  <c r="AT183" i="2" a="1"/>
  <c r="AQ183" i="2" s="1"/>
  <c r="BB183" i="2" a="1"/>
  <c r="BG182" i="2" a="1"/>
  <c r="BJ182" i="2" a="1"/>
  <c r="BK182" i="2" a="1"/>
  <c r="BL182" i="2" a="1"/>
  <c r="BO182" i="2" a="1"/>
  <c r="BP182" i="2"/>
  <c r="AU182" i="2" a="1"/>
  <c r="AT182" i="2" a="1"/>
  <c r="AQ182" i="2" s="1"/>
  <c r="BB182" i="2" a="1"/>
  <c r="BG181" i="2" a="1"/>
  <c r="BJ181" i="2" a="1"/>
  <c r="BK181" i="2" a="1"/>
  <c r="BL181" i="2" a="1"/>
  <c r="BO181" i="2" a="1"/>
  <c r="BP181" i="2"/>
  <c r="AU181" i="2" a="1"/>
  <c r="AT181" i="2" a="1"/>
  <c r="AQ181" i="2" s="1"/>
  <c r="BB181" i="2" a="1"/>
  <c r="BG180" i="2" a="1"/>
  <c r="BJ180" i="2" a="1"/>
  <c r="BK180" i="2" a="1"/>
  <c r="BL180" i="2" a="1"/>
  <c r="BO180" i="2" a="1"/>
  <c r="BP180" i="2"/>
  <c r="AU180" i="2" a="1"/>
  <c r="AT180" i="2" a="1"/>
  <c r="AQ180" i="2" s="1"/>
  <c r="BB180" i="2" a="1"/>
  <c r="BG179" i="2" a="1"/>
  <c r="BJ179" i="2" a="1"/>
  <c r="BK179" i="2" a="1"/>
  <c r="BL179" i="2" a="1"/>
  <c r="BO179" i="2" a="1"/>
  <c r="BP179" i="2"/>
  <c r="AU179" i="2" a="1"/>
  <c r="AT179" i="2" a="1"/>
  <c r="AQ179" i="2" s="1"/>
  <c r="BB179" i="2" a="1"/>
  <c r="BG178" i="2" a="1"/>
  <c r="BJ178" i="2" a="1"/>
  <c r="BK178" i="2" a="1"/>
  <c r="BL178" i="2" a="1"/>
  <c r="BO178" i="2" a="1"/>
  <c r="BP178" i="2"/>
  <c r="AU178" i="2" a="1"/>
  <c r="AT178" i="2" a="1"/>
  <c r="AQ178" i="2" s="1"/>
  <c r="BB178" i="2" a="1"/>
  <c r="BG177" i="2" a="1"/>
  <c r="BJ177" i="2" a="1"/>
  <c r="BK177" i="2" a="1"/>
  <c r="BL177" i="2" a="1"/>
  <c r="BO177" i="2" a="1"/>
  <c r="BP177" i="2"/>
  <c r="AU177" i="2" a="1"/>
  <c r="AT177" i="2" a="1"/>
  <c r="AQ177" i="2" s="1"/>
  <c r="BB177" i="2" a="1"/>
  <c r="BG176" i="2" a="1"/>
  <c r="BJ176" i="2" a="1"/>
  <c r="BK176" i="2" a="1"/>
  <c r="BL176" i="2" a="1"/>
  <c r="BO176" i="2" a="1"/>
  <c r="BP176" i="2"/>
  <c r="AU176" i="2" a="1"/>
  <c r="AT176" i="2" a="1"/>
  <c r="AQ176" i="2" s="1"/>
  <c r="BB176" i="2" a="1"/>
  <c r="BG175" i="2" a="1"/>
  <c r="BJ175" i="2" a="1"/>
  <c r="BK175" i="2" a="1"/>
  <c r="BL175" i="2" a="1"/>
  <c r="BO175" i="2" a="1"/>
  <c r="BP175" i="2"/>
  <c r="AU175" i="2" a="1"/>
  <c r="AT175" i="2" a="1"/>
  <c r="AQ175" i="2" s="1"/>
  <c r="BB175" i="2" a="1"/>
  <c r="BG174" i="2" a="1"/>
  <c r="BJ174" i="2" a="1"/>
  <c r="BK174" i="2" a="1"/>
  <c r="BL174" i="2" a="1"/>
  <c r="BO174" i="2" a="1"/>
  <c r="BP174" i="2"/>
  <c r="AU174" i="2" a="1"/>
  <c r="AT174" i="2" a="1"/>
  <c r="AQ174" i="2" s="1"/>
  <c r="BB174" i="2" a="1"/>
  <c r="BG173" i="2" a="1"/>
  <c r="BJ173" i="2" a="1"/>
  <c r="BK173" i="2" a="1"/>
  <c r="BL173" i="2" a="1"/>
  <c r="BO173" i="2" a="1"/>
  <c r="BP173" i="2"/>
  <c r="AU173" i="2" a="1"/>
  <c r="AT173" i="2" a="1"/>
  <c r="AQ173" i="2" s="1"/>
  <c r="BB173" i="2" a="1"/>
  <c r="BG172" i="2" a="1"/>
  <c r="BJ172" i="2" a="1"/>
  <c r="BK172" i="2" a="1"/>
  <c r="BL172" i="2" a="1"/>
  <c r="BO172" i="2" a="1"/>
  <c r="BP172" i="2"/>
  <c r="AU172" i="2" a="1"/>
  <c r="AT172" i="2" a="1"/>
  <c r="AQ172" i="2" s="1"/>
  <c r="BB172" i="2" a="1"/>
  <c r="BG171" i="2" a="1"/>
  <c r="BJ171" i="2" a="1"/>
  <c r="BK171" i="2" a="1"/>
  <c r="BL171" i="2" a="1"/>
  <c r="BO171" i="2" a="1"/>
  <c r="BP171" i="2"/>
  <c r="AU171" i="2" a="1"/>
  <c r="AT171" i="2" a="1"/>
  <c r="AQ171" i="2" s="1"/>
  <c r="BB171" i="2" a="1"/>
  <c r="BG170" i="2" a="1"/>
  <c r="BJ170" i="2" a="1"/>
  <c r="BK170" i="2" a="1"/>
  <c r="BL170" i="2" a="1"/>
  <c r="BO170" i="2" a="1"/>
  <c r="BP170" i="2"/>
  <c r="AU170" i="2" a="1"/>
  <c r="AT170" i="2" a="1"/>
  <c r="AQ170" i="2" s="1"/>
  <c r="BB170" i="2" a="1"/>
  <c r="BG169" i="2" a="1"/>
  <c r="BJ169" i="2" a="1"/>
  <c r="BK169" i="2" a="1"/>
  <c r="BL169" i="2" a="1"/>
  <c r="BO169" i="2" a="1"/>
  <c r="BP169" i="2"/>
  <c r="AU169" i="2" a="1"/>
  <c r="AT169" i="2" a="1"/>
  <c r="AQ169" i="2" s="1"/>
  <c r="BB169" i="2" a="1"/>
  <c r="BG168" i="2" a="1"/>
  <c r="BJ168" i="2" a="1"/>
  <c r="BK168" i="2" a="1"/>
  <c r="BL168" i="2" a="1"/>
  <c r="BO168" i="2" a="1"/>
  <c r="BP168" i="2"/>
  <c r="AU168" i="2" a="1"/>
  <c r="AT168" i="2" a="1"/>
  <c r="AQ168" i="2" s="1"/>
  <c r="BB168" i="2" a="1"/>
  <c r="BG167" i="2" a="1"/>
  <c r="BJ167" i="2" a="1"/>
  <c r="BK167" i="2" a="1"/>
  <c r="BL167" i="2" a="1"/>
  <c r="BO167" i="2" a="1"/>
  <c r="BP167" i="2"/>
  <c r="AU167" i="2" a="1"/>
  <c r="AT167" i="2" a="1"/>
  <c r="AQ167" i="2" s="1"/>
  <c r="BB167" i="2" a="1"/>
  <c r="BG166" i="2" a="1"/>
  <c r="BJ166" i="2" a="1"/>
  <c r="BK166" i="2" a="1"/>
  <c r="BL166" i="2" a="1"/>
  <c r="BO166" i="2" a="1"/>
  <c r="BP166" i="2"/>
  <c r="AU166" i="2" a="1"/>
  <c r="AT166" i="2" a="1"/>
  <c r="AQ166" i="2" s="1"/>
  <c r="BB166" i="2" a="1"/>
  <c r="BG165" i="2" a="1"/>
  <c r="BJ165" i="2" a="1"/>
  <c r="BK165" i="2" a="1"/>
  <c r="BL165" i="2" a="1"/>
  <c r="BO165" i="2" a="1"/>
  <c r="BP165" i="2"/>
  <c r="AU165" i="2" a="1"/>
  <c r="AT165" i="2" a="1"/>
  <c r="AQ165" i="2" s="1"/>
  <c r="BB165" i="2" a="1"/>
  <c r="BG164" i="2" a="1"/>
  <c r="BJ164" i="2" a="1"/>
  <c r="BK164" i="2" a="1"/>
  <c r="BL164" i="2" a="1"/>
  <c r="BO164" i="2" a="1"/>
  <c r="BP164" i="2"/>
  <c r="AU164" i="2" a="1"/>
  <c r="AT164" i="2" a="1"/>
  <c r="AQ164" i="2" s="1"/>
  <c r="BB164" i="2" a="1"/>
  <c r="BG163" i="2" a="1"/>
  <c r="BJ163" i="2" a="1"/>
  <c r="BK163" i="2" a="1"/>
  <c r="BL163" i="2" a="1"/>
  <c r="BO163" i="2" a="1"/>
  <c r="BP163" i="2"/>
  <c r="AU163" i="2" a="1"/>
  <c r="AT163" i="2" a="1"/>
  <c r="AQ163" i="2" s="1"/>
  <c r="BB163" i="2" a="1"/>
  <c r="BG162" i="2" a="1"/>
  <c r="BJ162" i="2" a="1"/>
  <c r="BK162" i="2" a="1"/>
  <c r="BL162" i="2" a="1"/>
  <c r="BO162" i="2" a="1"/>
  <c r="BP162" i="2"/>
  <c r="AU162" i="2" a="1"/>
  <c r="AT162" i="2" a="1"/>
  <c r="AQ162" i="2" s="1"/>
  <c r="BB162" i="2" a="1"/>
  <c r="BG161" i="2" a="1"/>
  <c r="BJ161" i="2" a="1"/>
  <c r="BK161" i="2" a="1"/>
  <c r="BL161" i="2" a="1"/>
  <c r="BO161" i="2" a="1"/>
  <c r="BP161" i="2"/>
  <c r="AU161" i="2" a="1"/>
  <c r="AT161" i="2" a="1"/>
  <c r="AQ161" i="2" s="1"/>
  <c r="BB161" i="2" a="1"/>
  <c r="BG160" i="2" a="1"/>
  <c r="BJ160" i="2" a="1"/>
  <c r="BK160" i="2" a="1"/>
  <c r="BL160" i="2" a="1"/>
  <c r="BO160" i="2" a="1"/>
  <c r="BP160" i="2"/>
  <c r="AU160" i="2" a="1"/>
  <c r="AT160" i="2" a="1"/>
  <c r="AQ160" i="2" s="1"/>
  <c r="BB160" i="2" a="1"/>
  <c r="BG159" i="2" a="1"/>
  <c r="BJ159" i="2" a="1"/>
  <c r="BK159" i="2" a="1"/>
  <c r="BL159" i="2" a="1"/>
  <c r="BO159" i="2" a="1"/>
  <c r="BP159" i="2"/>
  <c r="AU159" i="2" a="1"/>
  <c r="AT159" i="2" a="1"/>
  <c r="AQ159" i="2" s="1"/>
  <c r="BB159" i="2" a="1"/>
  <c r="BG158" i="2" a="1"/>
  <c r="BJ158" i="2" a="1"/>
  <c r="BK158" i="2" a="1"/>
  <c r="BL158" i="2" a="1"/>
  <c r="BO158" i="2" a="1"/>
  <c r="BP158" i="2"/>
  <c r="AU158" i="2" a="1"/>
  <c r="AT158" i="2" a="1"/>
  <c r="AQ158" i="2" s="1"/>
  <c r="BB158" i="2" a="1"/>
  <c r="BG157" i="2" a="1"/>
  <c r="BJ157" i="2" a="1"/>
  <c r="BK157" i="2" a="1"/>
  <c r="BL157" i="2" a="1"/>
  <c r="BO157" i="2" a="1"/>
  <c r="BP157" i="2"/>
  <c r="AU157" i="2" a="1"/>
  <c r="AT157" i="2" a="1"/>
  <c r="AQ157" i="2" s="1"/>
  <c r="BB157" i="2" a="1"/>
  <c r="BG156" i="2" a="1"/>
  <c r="BJ156" i="2" a="1"/>
  <c r="BK156" i="2" a="1"/>
  <c r="BL156" i="2" a="1"/>
  <c r="BO156" i="2" a="1"/>
  <c r="BP156" i="2"/>
  <c r="AU156" i="2" a="1"/>
  <c r="AT156" i="2" a="1"/>
  <c r="AQ156" i="2" s="1"/>
  <c r="BB156" i="2" a="1"/>
  <c r="BG155" i="2" a="1"/>
  <c r="BJ155" i="2" a="1"/>
  <c r="BK155" i="2" a="1"/>
  <c r="BL155" i="2" a="1"/>
  <c r="BO155" i="2" a="1"/>
  <c r="BP155" i="2"/>
  <c r="BG154" i="2" a="1"/>
  <c r="BJ154" i="2" a="1"/>
  <c r="BK154" i="2" a="1"/>
  <c r="BL154" i="2" a="1"/>
  <c r="BO154" i="2" a="1"/>
  <c r="BP154" i="2"/>
  <c r="BG153" i="2" a="1"/>
  <c r="BJ153" i="2" a="1"/>
  <c r="BK153" i="2" a="1"/>
  <c r="BL153" i="2" a="1"/>
  <c r="BO153" i="2" a="1"/>
  <c r="BP153" i="2"/>
  <c r="BG152" i="2" a="1"/>
  <c r="BJ152" i="2" a="1"/>
  <c r="BK152" i="2" a="1"/>
  <c r="BL152" i="2" a="1"/>
  <c r="BO152" i="2" a="1"/>
  <c r="BP152" i="2"/>
  <c r="BG151" i="2" a="1"/>
  <c r="BJ151" i="2" a="1"/>
  <c r="BK151" i="2" a="1"/>
  <c r="BL151" i="2" a="1"/>
  <c r="BO151" i="2" a="1"/>
  <c r="BP151" i="2"/>
  <c r="BG150" i="2" a="1"/>
  <c r="BJ150" i="2" a="1"/>
  <c r="BK150" i="2" a="1"/>
  <c r="BL150" i="2" a="1"/>
  <c r="BO150" i="2" a="1"/>
  <c r="BP150" i="2"/>
  <c r="BG149" i="2" a="1"/>
  <c r="BJ149" i="2" a="1"/>
  <c r="BK149" i="2" a="1"/>
  <c r="BL149" i="2" a="1"/>
  <c r="BO149" i="2" a="1"/>
  <c r="BP149" i="2"/>
  <c r="BG148" i="2" a="1"/>
  <c r="BJ148" i="2" a="1"/>
  <c r="BK148" i="2" a="1"/>
  <c r="BL148" i="2" a="1"/>
  <c r="BO148" i="2" a="1"/>
  <c r="BP148" i="2"/>
  <c r="BG147" i="2" a="1"/>
  <c r="BJ147" i="2" a="1"/>
  <c r="BK147" i="2" a="1"/>
  <c r="BL147" i="2" a="1"/>
  <c r="BO147" i="2" a="1"/>
  <c r="BP147" i="2"/>
  <c r="BG146" i="2" a="1"/>
  <c r="BJ146" i="2" a="1"/>
  <c r="BK146" i="2" a="1"/>
  <c r="BL146" i="2" a="1"/>
  <c r="BO146" i="2" a="1"/>
  <c r="BP146" i="2"/>
  <c r="BG145" i="2" a="1"/>
  <c r="BJ145" i="2" a="1"/>
  <c r="BK145" i="2" a="1"/>
  <c r="BL145" i="2" a="1"/>
  <c r="BO145" i="2" a="1"/>
  <c r="BP145" i="2"/>
  <c r="BG144" i="2" a="1"/>
  <c r="BJ144" i="2" a="1"/>
  <c r="BK144" i="2" a="1"/>
  <c r="BL144" i="2" a="1"/>
  <c r="BO144" i="2" a="1"/>
  <c r="BP144" i="2"/>
  <c r="BG143" i="2" a="1"/>
  <c r="BJ143" i="2" a="1"/>
  <c r="BK143" i="2" a="1"/>
  <c r="BL143" i="2" a="1"/>
  <c r="BO143" i="2" a="1"/>
  <c r="BP143" i="2"/>
  <c r="BG142" i="2" a="1"/>
  <c r="BJ142" i="2" a="1"/>
  <c r="BK142" i="2" a="1"/>
  <c r="BL142" i="2" a="1"/>
  <c r="BO142" i="2" a="1"/>
  <c r="BP142" i="2"/>
  <c r="BG141" i="2" a="1"/>
  <c r="BJ141" i="2" a="1"/>
  <c r="BK141" i="2" a="1"/>
  <c r="BL141" i="2" a="1"/>
  <c r="BO141" i="2" a="1"/>
  <c r="BP141" i="2"/>
  <c r="BG140" i="2" a="1"/>
  <c r="BJ140" i="2" a="1"/>
  <c r="BK140" i="2" a="1"/>
  <c r="BL140" i="2" a="1"/>
  <c r="BO140" i="2" a="1"/>
  <c r="BP140" i="2"/>
  <c r="BG139" i="2" a="1"/>
  <c r="BJ139" i="2" a="1"/>
  <c r="BK139" i="2" a="1"/>
  <c r="BL139" i="2" a="1"/>
  <c r="BO139" i="2" a="1"/>
  <c r="BP139" i="2"/>
  <c r="BG138" i="2" a="1"/>
  <c r="BJ138" i="2" a="1"/>
  <c r="BK138" i="2" a="1"/>
  <c r="BL138" i="2" a="1"/>
  <c r="BO138" i="2" a="1"/>
  <c r="BP138" i="2"/>
  <c r="BG137" i="2" a="1"/>
  <c r="BJ137" i="2" a="1"/>
  <c r="BK137" i="2" a="1"/>
  <c r="BL137" i="2" a="1"/>
  <c r="BO137" i="2" a="1"/>
  <c r="BP137" i="2"/>
  <c r="BG136" i="2" a="1"/>
  <c r="BJ136" i="2" a="1"/>
  <c r="BK136" i="2" a="1"/>
  <c r="BL136" i="2" a="1"/>
  <c r="BO136" i="2" a="1"/>
  <c r="BP136" i="2"/>
  <c r="BG135" i="2" a="1"/>
  <c r="BJ135" i="2" a="1"/>
  <c r="BK135" i="2" a="1"/>
  <c r="BL135" i="2" a="1"/>
  <c r="BO135" i="2" a="1"/>
  <c r="BP135" i="2"/>
  <c r="BG134" i="2" a="1"/>
  <c r="BJ134" i="2" a="1"/>
  <c r="BK134" i="2" a="1"/>
  <c r="BL134" i="2" a="1"/>
  <c r="BO134" i="2" a="1"/>
  <c r="BP134" i="2"/>
  <c r="BG133" i="2" a="1"/>
  <c r="BJ133" i="2" a="1"/>
  <c r="BK133" i="2" a="1"/>
  <c r="BL133" i="2" a="1"/>
  <c r="BO133" i="2" a="1"/>
  <c r="BP133" i="2"/>
  <c r="BG132" i="2" a="1"/>
  <c r="BJ132" i="2" a="1"/>
  <c r="BK132" i="2" a="1"/>
  <c r="BL132" i="2" a="1"/>
  <c r="BO132" i="2" a="1"/>
  <c r="BP132" i="2"/>
  <c r="BG131" i="2" a="1"/>
  <c r="BJ131" i="2" a="1"/>
  <c r="BK131" i="2" a="1"/>
  <c r="BL131" i="2" a="1"/>
  <c r="BO131" i="2" a="1"/>
  <c r="BP131" i="2"/>
  <c r="BG130" i="2" a="1"/>
  <c r="BJ130" i="2" a="1"/>
  <c r="BK130" i="2" a="1"/>
  <c r="BL130" i="2" a="1"/>
  <c r="BO130" i="2" a="1"/>
  <c r="BP130" i="2"/>
  <c r="BG129" i="2" a="1"/>
  <c r="BJ129" i="2" a="1"/>
  <c r="BK129" i="2" a="1"/>
  <c r="BL129" i="2" a="1"/>
  <c r="BO129" i="2" a="1"/>
  <c r="BP129" i="2"/>
  <c r="BG128" i="2" a="1"/>
  <c r="BJ128" i="2" a="1"/>
  <c r="BK128" i="2" a="1"/>
  <c r="BL128" i="2" a="1"/>
  <c r="BO128" i="2" a="1"/>
  <c r="BP128" i="2"/>
  <c r="BG127" i="2" a="1"/>
  <c r="BJ127" i="2" a="1"/>
  <c r="BK127" i="2" a="1"/>
  <c r="BL127" i="2" a="1"/>
  <c r="BO127" i="2" a="1"/>
  <c r="BP127" i="2"/>
  <c r="BG126" i="2" a="1"/>
  <c r="BJ126" i="2" a="1"/>
  <c r="BK126" i="2" a="1"/>
  <c r="BL126" i="2" a="1"/>
  <c r="BO126" i="2" a="1"/>
  <c r="BP126" i="2"/>
  <c r="BG125" i="2" a="1"/>
  <c r="BJ125" i="2" a="1"/>
  <c r="BK125" i="2" a="1"/>
  <c r="BL125" i="2" a="1"/>
  <c r="BO125" i="2" a="1"/>
  <c r="BP125" i="2"/>
  <c r="BG124" i="2" a="1"/>
  <c r="BJ124" i="2" a="1"/>
  <c r="BK124" i="2" a="1"/>
  <c r="BL124" i="2" a="1"/>
  <c r="BG123" i="2" a="1"/>
  <c r="BG122" i="2" a="1"/>
  <c r="BG121" i="2" a="1"/>
  <c r="BG120" i="2" a="1"/>
  <c r="BG119" i="2" a="1"/>
  <c r="BG118" i="2" a="1"/>
  <c r="BG117" i="2" a="1"/>
  <c r="BG116" i="2" a="1"/>
  <c r="BG115" i="2" a="1"/>
  <c r="BG114" i="2" a="1"/>
  <c r="BG113" i="2" a="1"/>
  <c r="BG112" i="2" a="1"/>
  <c r="BG111" i="2" a="1"/>
  <c r="BG110" i="2" a="1"/>
  <c r="BG109" i="2" a="1"/>
  <c r="BG108" i="2" a="1"/>
  <c r="BG107" i="2" a="1"/>
  <c r="BG106" i="2" a="1"/>
  <c r="AT106" i="2" a="1"/>
  <c r="AQ106" i="2" s="1"/>
  <c r="BG105" i="2" a="1"/>
  <c r="BG104" i="2" a="1"/>
  <c r="BG103" i="2" a="1"/>
  <c r="BG102" i="2" a="1"/>
  <c r="BG101" i="2" a="1"/>
  <c r="BG100" i="2" a="1"/>
  <c r="BG99" i="2" a="1"/>
  <c r="BG98" i="2" a="1"/>
  <c r="BG97" i="2" a="1"/>
  <c r="BG96" i="2" a="1"/>
  <c r="BG95" i="2" a="1"/>
  <c r="BG94" i="2" a="1"/>
  <c r="BG93" i="2" a="1"/>
  <c r="BG92" i="2" a="1"/>
  <c r="BG91" i="2" a="1"/>
  <c r="BG90" i="2" a="1"/>
  <c r="BG89" i="2" a="1"/>
  <c r="BG88" i="2" a="1"/>
  <c r="BG87" i="2" a="1"/>
  <c r="BG86" i="2" a="1"/>
  <c r="BG85" i="2" a="1"/>
  <c r="BG84" i="2" a="1"/>
  <c r="BG83" i="2" a="1"/>
  <c r="BG82" i="2" a="1"/>
  <c r="BG81" i="2" a="1"/>
  <c r="BG80" i="2" a="1"/>
  <c r="BG79" i="2" a="1"/>
  <c r="BG78" i="2" a="1"/>
  <c r="BG77" i="2" a="1"/>
  <c r="BG76" i="2" a="1"/>
  <c r="BG75" i="2" a="1"/>
  <c r="BB75" i="2" a="1"/>
  <c r="BC75" i="2" s="1" a="1"/>
  <c r="AU75" i="2" a="1"/>
  <c r="AT75" i="2" a="1"/>
  <c r="AQ75" i="2" s="1"/>
  <c r="BG74" i="2" a="1"/>
  <c r="BB74" i="2" a="1"/>
  <c r="BC74" i="2" s="1" a="1"/>
  <c r="AU74" i="2" a="1"/>
  <c r="AT74" i="2" a="1"/>
  <c r="AQ74" i="2" s="1"/>
  <c r="BG73" i="2" a="1"/>
  <c r="BB73" i="2" a="1"/>
  <c r="BC73" i="2" s="1" a="1"/>
  <c r="AU73" i="2" a="1"/>
  <c r="AT73" i="2" a="1"/>
  <c r="AQ73" i="2" s="1"/>
  <c r="BG72" i="2" a="1"/>
  <c r="BB72" i="2" a="1"/>
  <c r="BC72" i="2" s="1" a="1"/>
  <c r="AU72" i="2" a="1"/>
  <c r="AT72" i="2" a="1"/>
  <c r="AQ72" i="2" s="1"/>
  <c r="BG71" i="2" a="1"/>
  <c r="BB71" i="2" a="1"/>
  <c r="BC71" i="2" s="1" a="1"/>
  <c r="AU71" i="2" a="1"/>
  <c r="AT71" i="2" a="1"/>
  <c r="AQ71" i="2" s="1"/>
  <c r="BG70" i="2" a="1"/>
  <c r="BB70" i="2" a="1"/>
  <c r="BC70" i="2" s="1" a="1"/>
  <c r="AU70" i="2" a="1"/>
  <c r="AT70" i="2" a="1"/>
  <c r="AQ70" i="2" s="1"/>
  <c r="BG69" i="2" a="1"/>
  <c r="BB69" i="2" a="1"/>
  <c r="BC69" i="2" s="1" a="1"/>
  <c r="AU69" i="2" a="1"/>
  <c r="AT69" i="2" a="1"/>
  <c r="AQ69" i="2" s="1"/>
  <c r="BG68" i="2" a="1"/>
  <c r="BB68" i="2" a="1"/>
  <c r="BC68" i="2" s="1" a="1"/>
  <c r="AU68" i="2" a="1"/>
  <c r="AT68" i="2" a="1"/>
  <c r="AQ68" i="2" s="1"/>
  <c r="BG67" i="2" a="1"/>
  <c r="BB67" i="2" a="1"/>
  <c r="BC67" i="2" s="1" a="1"/>
  <c r="AU67" i="2" a="1"/>
  <c r="AT67" i="2" a="1"/>
  <c r="AQ67" i="2" s="1"/>
  <c r="BG66" i="2" a="1"/>
  <c r="BB66" i="2" a="1"/>
  <c r="BC66" i="2" s="1" a="1"/>
  <c r="AU66" i="2" a="1"/>
  <c r="AT66" i="2" a="1"/>
  <c r="AQ66" i="2" s="1"/>
  <c r="BG65" i="2" a="1"/>
  <c r="BB65" i="2" a="1"/>
  <c r="BC65" i="2" s="1" a="1"/>
  <c r="AU65" i="2" a="1"/>
  <c r="AT65" i="2" a="1"/>
  <c r="AQ65" i="2" s="1"/>
  <c r="BG64" i="2" a="1"/>
  <c r="BB64" i="2" a="1"/>
  <c r="BC64" i="2" s="1" a="1"/>
  <c r="AU64" i="2" a="1"/>
  <c r="AT64" i="2" a="1"/>
  <c r="AQ64" i="2" s="1"/>
  <c r="BG63" i="2" a="1"/>
  <c r="BB63" i="2" a="1"/>
  <c r="BC63" i="2" s="1" a="1"/>
  <c r="AU63" i="2" a="1"/>
  <c r="AT63" i="2" a="1"/>
  <c r="AQ63" i="2" s="1"/>
  <c r="BG62" i="2" a="1"/>
  <c r="BB62" i="2" a="1"/>
  <c r="BC62" i="2" s="1" a="1"/>
  <c r="AU62" i="2" a="1"/>
  <c r="AT62" i="2" a="1"/>
  <c r="AQ62" i="2" s="1"/>
  <c r="BG61" i="2" a="1"/>
  <c r="BB61" i="2" a="1"/>
  <c r="BC61" i="2" s="1" a="1"/>
  <c r="AU61" i="2" a="1"/>
  <c r="AT61" i="2" a="1"/>
  <c r="AQ61" i="2" s="1"/>
  <c r="BG60" i="2" a="1"/>
  <c r="BB60" i="2" a="1"/>
  <c r="BC60" i="2" s="1" a="1"/>
  <c r="AU60" i="2" a="1"/>
  <c r="AT60" i="2" a="1"/>
  <c r="AQ60" i="2" s="1"/>
  <c r="BG59" i="2" a="1"/>
  <c r="BB59" i="2" a="1"/>
  <c r="BC59" i="2" s="1" a="1"/>
  <c r="AU59" i="2" a="1"/>
  <c r="AT59" i="2" a="1"/>
  <c r="AQ59" i="2" s="1"/>
  <c r="BG58" i="2" a="1"/>
  <c r="BB58" i="2" a="1"/>
  <c r="BC58" i="2" s="1" a="1"/>
  <c r="AU58" i="2" a="1"/>
  <c r="AT58" i="2" a="1"/>
  <c r="AQ58" i="2" s="1"/>
  <c r="BG57" i="2" a="1"/>
  <c r="BB57" i="2" a="1"/>
  <c r="BC57" i="2" s="1" a="1"/>
  <c r="AU57" i="2" a="1"/>
  <c r="AT57" i="2" a="1"/>
  <c r="AQ57" i="2" s="1"/>
  <c r="BG56" i="2" a="1"/>
  <c r="BB56" i="2" a="1"/>
  <c r="BC56" i="2" s="1" a="1"/>
  <c r="AU56" i="2" a="1"/>
  <c r="AT56" i="2" a="1"/>
  <c r="AQ56" i="2" s="1"/>
  <c r="BG55" i="2" a="1"/>
  <c r="BB55" i="2" a="1"/>
  <c r="BC55" i="2" s="1" a="1"/>
  <c r="AU55" i="2" a="1"/>
  <c r="AT55" i="2" a="1"/>
  <c r="AQ55" i="2" s="1"/>
  <c r="BG54" i="2" a="1"/>
  <c r="BB54" i="2" a="1"/>
  <c r="BC54" i="2" s="1" a="1"/>
  <c r="AU54" i="2" a="1"/>
  <c r="AT54" i="2" a="1"/>
  <c r="AQ54" i="2" s="1"/>
  <c r="BG53" i="2" a="1"/>
  <c r="BB53" i="2" a="1"/>
  <c r="BC53" i="2" s="1" a="1"/>
  <c r="AU53" i="2" a="1"/>
  <c r="AT53" i="2" a="1"/>
  <c r="AQ53" i="2" s="1"/>
  <c r="BG52" i="2" a="1"/>
  <c r="BB52" i="2" a="1"/>
  <c r="BC52" i="2" s="1" a="1"/>
  <c r="AU52" i="2" a="1"/>
  <c r="AT52" i="2" a="1"/>
  <c r="AQ52" i="2" s="1"/>
  <c r="BG51" i="2" a="1"/>
  <c r="BB51" i="2" a="1"/>
  <c r="BC51" i="2" s="1" a="1"/>
  <c r="AU51" i="2" a="1"/>
  <c r="AT51" i="2" a="1"/>
  <c r="AQ51" i="2" s="1"/>
  <c r="BG50" i="2" a="1"/>
  <c r="BB50" i="2" a="1"/>
  <c r="BC50" i="2" s="1" a="1"/>
  <c r="AU50" i="2" a="1"/>
  <c r="AT50" i="2" a="1"/>
  <c r="AQ50" i="2" s="1"/>
  <c r="BG49" i="2" a="1"/>
  <c r="BB49" i="2" a="1"/>
  <c r="BC49" i="2" s="1" a="1"/>
  <c r="AU49" i="2" a="1"/>
  <c r="AT49" i="2" a="1"/>
  <c r="AQ49" i="2" s="1"/>
  <c r="BG48" i="2" a="1"/>
  <c r="BB48" i="2" a="1"/>
  <c r="BC48" i="2" s="1" a="1"/>
  <c r="AU48" i="2" a="1"/>
  <c r="AT48" i="2" a="1"/>
  <c r="AQ48" i="2" s="1"/>
  <c r="BG47" i="2" a="1"/>
  <c r="BB47" i="2" a="1"/>
  <c r="BC47" i="2" s="1" a="1"/>
  <c r="AU47" i="2" a="1"/>
  <c r="AT47" i="2" a="1"/>
  <c r="AQ47" i="2" s="1"/>
  <c r="BG46" i="2" a="1"/>
  <c r="BB46" i="2" a="1"/>
  <c r="BC46" i="2" s="1" a="1"/>
  <c r="AU46" i="2" a="1"/>
  <c r="AT46" i="2" a="1"/>
  <c r="AQ46" i="2" s="1"/>
  <c r="BG45" i="2" a="1"/>
  <c r="BB45" i="2" a="1"/>
  <c r="BC45" i="2" s="1" a="1"/>
  <c r="AU45" i="2" a="1"/>
  <c r="AT45" i="2" a="1"/>
  <c r="AQ45" i="2" s="1"/>
  <c r="BG44" i="2" a="1"/>
  <c r="BB44" i="2" a="1"/>
  <c r="BC44" i="2" s="1" a="1"/>
  <c r="AU44" i="2" a="1"/>
  <c r="AT44" i="2" a="1"/>
  <c r="AQ44" i="2" s="1"/>
  <c r="BG43" i="2" a="1"/>
  <c r="BB43" i="2" a="1"/>
  <c r="BC43" i="2" s="1" a="1"/>
  <c r="AU43" i="2" a="1"/>
  <c r="AT43" i="2" a="1"/>
  <c r="AQ43" i="2" s="1"/>
  <c r="BG42" i="2" a="1"/>
  <c r="BB42" i="2" a="1"/>
  <c r="BC42" i="2" s="1" a="1"/>
  <c r="AU42" i="2" a="1"/>
  <c r="AT42" i="2" a="1"/>
  <c r="AQ42" i="2" s="1"/>
  <c r="BG41" i="2" a="1"/>
  <c r="BB41" i="2" a="1"/>
  <c r="BC41" i="2" s="1" a="1"/>
  <c r="AU41" i="2" a="1"/>
  <c r="AT41" i="2" a="1"/>
  <c r="AQ41" i="2" s="1"/>
  <c r="BG40" i="2" a="1"/>
  <c r="BB40" i="2" a="1"/>
  <c r="BC40" i="2" s="1" a="1"/>
  <c r="AU40" i="2" a="1"/>
  <c r="AT40" i="2" a="1"/>
  <c r="AQ40" i="2" s="1"/>
  <c r="BG39" i="2" a="1"/>
  <c r="BB39" i="2" a="1"/>
  <c r="BC39" i="2" s="1" a="1"/>
  <c r="AU39" i="2" a="1"/>
  <c r="AT39" i="2" a="1"/>
  <c r="AQ39" i="2" s="1"/>
  <c r="BG38" i="2" a="1"/>
  <c r="BB38" i="2" a="1"/>
  <c r="BC38" i="2" s="1" a="1"/>
  <c r="AU38" i="2" a="1"/>
  <c r="AT38" i="2" a="1"/>
  <c r="AQ38" i="2" s="1"/>
  <c r="BG37" i="2" a="1"/>
  <c r="BB37" i="2" a="1"/>
  <c r="BC37" i="2" s="1" a="1"/>
  <c r="AU37" i="2" a="1"/>
  <c r="AT37" i="2" a="1"/>
  <c r="AQ37" i="2" s="1"/>
  <c r="BG36" i="2" a="1"/>
  <c r="BB36" i="2" a="1"/>
  <c r="BC36" i="2" s="1" a="1"/>
  <c r="AU36" i="2" a="1"/>
  <c r="AT36" i="2" a="1"/>
  <c r="AQ36" i="2" s="1"/>
  <c r="BG35" i="2" a="1"/>
  <c r="BB35" i="2" a="1"/>
  <c r="BC35" i="2" s="1" a="1"/>
  <c r="AU35" i="2" a="1"/>
  <c r="AT35" i="2" a="1"/>
  <c r="AQ35" i="2" s="1"/>
  <c r="BG34" i="2" a="1"/>
  <c r="BB34" i="2" a="1"/>
  <c r="BC34" i="2" s="1" a="1"/>
  <c r="AU34" i="2" a="1"/>
  <c r="AT34" i="2" a="1"/>
  <c r="AQ34" i="2" s="1"/>
  <c r="BG33" i="2" a="1"/>
  <c r="BB33" i="2" a="1"/>
  <c r="BC33" i="2" s="1" a="1"/>
  <c r="AU33" i="2" a="1"/>
  <c r="AT33" i="2" a="1"/>
  <c r="AQ33" i="2" s="1"/>
  <c r="BG32" i="2" a="1"/>
  <c r="BB32" i="2" a="1"/>
  <c r="BC32" i="2" s="1" a="1"/>
  <c r="AU32" i="2" a="1"/>
  <c r="AT32" i="2" a="1"/>
  <c r="AQ32" i="2" s="1"/>
  <c r="BG31" i="2" a="1"/>
  <c r="BB31" i="2" a="1"/>
  <c r="BC31" i="2" s="1" a="1"/>
  <c r="AU31" i="2" a="1"/>
  <c r="AT31" i="2" a="1"/>
  <c r="AQ31" i="2" s="1"/>
  <c r="BG30" i="2" a="1"/>
  <c r="BB30" i="2" a="1"/>
  <c r="BC30" i="2" s="1" a="1"/>
  <c r="BG29" i="2" a="1"/>
  <c r="BB29" i="2" a="1"/>
  <c r="BC29" i="2" s="1" a="1"/>
  <c r="BG28" i="2" a="1"/>
  <c r="BB28" i="2" a="1"/>
  <c r="BC28" i="2" s="1" a="1"/>
  <c r="AU28" i="2" a="1"/>
  <c r="AT28" i="2" a="1"/>
  <c r="AQ28" i="2" s="1"/>
  <c r="BG27" i="2" a="1"/>
  <c r="BB27" i="2" a="1"/>
  <c r="BC27" i="2" s="1" a="1"/>
  <c r="AU27" i="2" a="1"/>
  <c r="AT27" i="2" a="1"/>
  <c r="AQ27" i="2" s="1"/>
  <c r="BG26" i="2" a="1"/>
  <c r="BB26" i="2" a="1"/>
  <c r="BC26" i="2" s="1" a="1"/>
  <c r="AU26" i="2" a="1"/>
  <c r="AT26" i="2" a="1"/>
  <c r="AQ26" i="2" s="1"/>
  <c r="BG25" i="2" a="1"/>
  <c r="BB25" i="2" a="1"/>
  <c r="BC25" i="2" s="1" a="1"/>
  <c r="AU25" i="2" a="1"/>
  <c r="AT25" i="2" a="1"/>
  <c r="AQ25" i="2" s="1"/>
  <c r="BG24" i="2" a="1"/>
  <c r="BB24" i="2" a="1"/>
  <c r="BC24" i="2" s="1" a="1"/>
  <c r="AU24" i="2" a="1"/>
  <c r="AT24" i="2" a="1"/>
  <c r="AQ24" i="2" s="1"/>
  <c r="BG23" i="2" a="1"/>
  <c r="BB23" i="2" a="1"/>
  <c r="BC23" i="2" s="1" a="1"/>
  <c r="AU23" i="2" a="1"/>
  <c r="AT23" i="2" a="1"/>
  <c r="AQ23" i="2" s="1"/>
  <c r="BG22" i="2" a="1"/>
  <c r="BB22" i="2" a="1"/>
  <c r="BC22" i="2" s="1" a="1"/>
  <c r="AU22" i="2" a="1"/>
  <c r="AT22" i="2" a="1"/>
  <c r="AQ22" i="2" s="1"/>
  <c r="BG21" i="2" a="1"/>
  <c r="BB21" i="2" a="1"/>
  <c r="BC21" i="2" s="1" a="1"/>
  <c r="AU21" i="2" a="1"/>
  <c r="AT21" i="2" a="1"/>
  <c r="AQ21" i="2" s="1"/>
  <c r="BG20" i="2" a="1"/>
  <c r="BB20" i="2" a="1"/>
  <c r="BC20" i="2" s="1" a="1"/>
  <c r="AU20" i="2" a="1"/>
  <c r="AT20" i="2" a="1"/>
  <c r="AQ20" i="2" s="1"/>
  <c r="BG19" i="2" a="1"/>
  <c r="BB19" i="2" a="1"/>
  <c r="BC19" i="2" s="1" a="1"/>
  <c r="AU19" i="2" a="1"/>
  <c r="AT19" i="2" a="1"/>
  <c r="AQ19" i="2" s="1"/>
  <c r="BG18" i="2" a="1"/>
  <c r="BB18" i="2" a="1"/>
  <c r="BC18" i="2" s="1" a="1"/>
  <c r="AU18" i="2" a="1"/>
  <c r="AT18" i="2" a="1"/>
  <c r="AQ18" i="2" s="1"/>
  <c r="BG17" i="2" a="1"/>
  <c r="BB17" i="2" a="1"/>
  <c r="BC17" i="2" s="1" a="1"/>
  <c r="AU17" i="2" a="1"/>
  <c r="AT17" i="2" a="1"/>
  <c r="AQ17" i="2" s="1"/>
  <c r="BG16" i="2" a="1"/>
  <c r="BB16" i="2" a="1"/>
  <c r="BC16" i="2" s="1" a="1"/>
  <c r="AU16" i="2" a="1"/>
  <c r="AT16" i="2" a="1"/>
  <c r="AQ16" i="2" s="1"/>
  <c r="BG15" i="2" a="1"/>
  <c r="BB15" i="2" a="1"/>
  <c r="BC15" i="2" s="1" a="1"/>
  <c r="AU15" i="2" a="1"/>
  <c r="AT15" i="2" a="1"/>
  <c r="AQ15" i="2" s="1"/>
  <c r="BG14" i="2" a="1"/>
  <c r="BB14" i="2" a="1"/>
  <c r="BC14" i="2" s="1" a="1"/>
  <c r="AU14" i="2" a="1"/>
  <c r="AT14" i="2" a="1"/>
  <c r="AQ14" i="2" s="1"/>
  <c r="BG13" i="2" a="1"/>
  <c r="BB13" i="2" a="1"/>
  <c r="BC13" i="2" s="1" a="1"/>
  <c r="AU13" i="2" a="1"/>
  <c r="AT13" i="2" a="1"/>
  <c r="AQ13" i="2" s="1"/>
  <c r="BG12" i="2" a="1"/>
  <c r="BB12" i="2" a="1"/>
  <c r="BC12" i="2" s="1" a="1"/>
  <c r="AU12" i="2" a="1"/>
  <c r="AT12" i="2" a="1"/>
  <c r="AQ12" i="2" s="1"/>
  <c r="BG11" i="2" a="1"/>
  <c r="BB11" i="2" a="1"/>
  <c r="BC11" i="2" s="1" a="1"/>
  <c r="AU11" i="2" a="1"/>
  <c r="AT11" i="2" a="1"/>
  <c r="AQ11" i="2" s="1"/>
  <c r="BG10" i="2" a="1"/>
  <c r="BB10" i="2" a="1"/>
  <c r="BC10" i="2" s="1" a="1"/>
  <c r="AU10" i="2" a="1"/>
  <c r="AT10" i="2" a="1"/>
  <c r="AQ10" i="2" s="1"/>
  <c r="BG9" i="2" a="1"/>
  <c r="BB9" i="2" a="1"/>
  <c r="BC9" i="2" s="1" a="1"/>
  <c r="AU9" i="2" a="1"/>
  <c r="AT9" i="2" a="1"/>
  <c r="AQ9" i="2" s="1"/>
  <c r="BG8" i="2" a="1"/>
  <c r="BB8" i="2" a="1"/>
  <c r="BC8" i="2" s="1" a="1"/>
  <c r="AU8" i="2" a="1"/>
  <c r="AT8" i="2" a="1"/>
  <c r="AQ8" i="2" s="1"/>
  <c r="AT287" i="2" a="1"/>
  <c r="AQ287" i="2" s="1"/>
  <c r="AU287" i="2" a="1"/>
  <c r="BB109" i="2" a="1"/>
  <c r="BC109" i="2" s="1" a="1"/>
  <c r="AT109" i="2" a="1"/>
  <c r="AQ109" i="2" s="1"/>
  <c r="AU109" i="2" a="1"/>
  <c r="BB108" i="2" a="1"/>
  <c r="BC108" i="2" s="1" a="1"/>
  <c r="AT108" i="2" a="1"/>
  <c r="AQ108" i="2" s="1"/>
  <c r="AU108" i="2" a="1"/>
  <c r="BB107" i="2" a="1"/>
  <c r="BC107" i="2" s="1" a="1"/>
  <c r="AT107" i="2" a="1"/>
  <c r="AQ107" i="2" s="1"/>
  <c r="AU107" i="2" a="1"/>
  <c r="BB106" i="2" a="1"/>
  <c r="BC106" i="2" s="1" a="1"/>
  <c r="AU106" i="2" a="1"/>
  <c r="AU30" i="2" a="1"/>
  <c r="AT30" i="2" a="1"/>
  <c r="AQ30" i="2" s="1"/>
  <c r="AT29" i="2" a="1"/>
  <c r="AQ29" i="2" s="1"/>
  <c r="AU29" i="2" a="1"/>
  <c r="AM3" i="6"/>
  <c r="AQ3" i="6"/>
  <c r="AP3" i="6"/>
  <c r="V5" i="2"/>
  <c r="O7" i="16" l="1" a="1"/>
  <c r="O10" i="16"/>
  <c r="O45" i="16"/>
  <c r="BM7" i="16" a="1"/>
  <c r="BM31" i="16"/>
  <c r="BM38" i="16"/>
  <c r="BM32" i="16"/>
  <c r="AK46" i="16" a="1"/>
  <c r="AK129" i="16" a="1"/>
  <c r="AK124" i="16" a="1"/>
  <c r="AK101" i="16" a="1"/>
  <c r="AK104" i="16" a="1"/>
  <c r="AK64" i="16" a="1"/>
  <c r="BZ31" i="16"/>
  <c r="BZ39" i="16"/>
  <c r="BZ41" i="16"/>
  <c r="AV45" i="16"/>
  <c r="AV7" i="16" a="1"/>
  <c r="AV10" i="16"/>
  <c r="Q10" i="16"/>
  <c r="Q7" i="16" a="1"/>
  <c r="Q45" i="16"/>
  <c r="BK7" i="16" a="1"/>
  <c r="BK10" i="16"/>
  <c r="BK45" i="16"/>
  <c r="AK87" i="16" a="1"/>
  <c r="AK79" i="16" a="1"/>
  <c r="AK125" i="16" a="1"/>
  <c r="AK72" i="16" a="1"/>
  <c r="AK60" i="16" a="1"/>
  <c r="AK74" i="16" a="1"/>
  <c r="AK109" i="16" a="1"/>
  <c r="AK63" i="16" a="1"/>
  <c r="AK144" i="16" a="1"/>
  <c r="AK140" i="16" a="1"/>
  <c r="AK86" i="16" a="1"/>
  <c r="AK89" i="16" a="1"/>
  <c r="AK128" i="16" a="1"/>
  <c r="AK57" i="16" a="1"/>
  <c r="AK126" i="16" a="1"/>
  <c r="AK106" i="16" a="1"/>
  <c r="AK65" i="16" a="1"/>
  <c r="AK52" i="16" a="1"/>
  <c r="AK114" i="16" a="1"/>
  <c r="AK33" i="16"/>
  <c r="D33" i="16" s="1"/>
  <c r="AK94" i="16" a="1"/>
  <c r="AK105" i="16" a="1"/>
  <c r="AK120" i="16" a="1"/>
  <c r="AK32" i="16"/>
  <c r="D32" i="16" s="1"/>
  <c r="AK116" i="16" a="1"/>
  <c r="AK115" i="16" a="1"/>
  <c r="AK34" i="16"/>
  <c r="D34" i="16" s="1"/>
  <c r="AK85" i="16" a="1"/>
  <c r="AK37" i="16"/>
  <c r="D37" i="16" s="1"/>
  <c r="AK36" i="16"/>
  <c r="D36" i="16" s="1"/>
  <c r="AK102" i="16" a="1"/>
  <c r="AK117" i="16" a="1"/>
  <c r="AK47" i="16" a="1"/>
  <c r="AK118" i="16" a="1"/>
  <c r="AK51" i="16" a="1"/>
  <c r="AK93" i="16" a="1"/>
  <c r="AK98" i="16" a="1"/>
  <c r="AK107" i="16" a="1"/>
  <c r="AK48" i="16" a="1"/>
  <c r="AK112" i="16" a="1"/>
  <c r="AK91" i="16" a="1"/>
  <c r="AK56" i="16" a="1"/>
  <c r="BZ45" i="16"/>
  <c r="BZ10" i="16"/>
  <c r="BZ11" i="16"/>
  <c r="BZ7" i="16" a="1"/>
  <c r="M45" i="16"/>
  <c r="M7" i="16" a="1"/>
  <c r="M10" i="16"/>
  <c r="BX45" i="16"/>
  <c r="BX10" i="16"/>
  <c r="BX7" i="16" a="1"/>
  <c r="BX11" i="16"/>
  <c r="BV11" i="16"/>
  <c r="BV7" i="16" a="1"/>
  <c r="BV10" i="16"/>
  <c r="BV45" i="16"/>
  <c r="BT31" i="16"/>
  <c r="BT36" i="16"/>
  <c r="BT33" i="16"/>
  <c r="BT32" i="16"/>
  <c r="BT34" i="16"/>
  <c r="BT35" i="16"/>
  <c r="BT40" i="16"/>
  <c r="BT39" i="16"/>
  <c r="BT37" i="16"/>
  <c r="BT38" i="16"/>
  <c r="BU7" i="16" a="1"/>
  <c r="AV47" i="16" a="1"/>
  <c r="AV67" i="16" a="1"/>
  <c r="AV73" i="16" a="1"/>
  <c r="AV71" i="16" a="1"/>
  <c r="AV125" i="16" a="1"/>
  <c r="AV54" i="16" a="1"/>
  <c r="AV98" i="16" a="1"/>
  <c r="AV69" i="16" a="1"/>
  <c r="AV86" i="16" a="1"/>
  <c r="AV75" i="16" a="1"/>
  <c r="AV72" i="16" a="1"/>
  <c r="AV33" i="16"/>
  <c r="O33" i="16" s="1"/>
  <c r="AV82" i="16" a="1"/>
  <c r="AV131" i="16" a="1"/>
  <c r="AV140" i="16" a="1"/>
  <c r="AV102" i="16" a="1"/>
  <c r="AV127" i="16" a="1"/>
  <c r="AV89" i="16" a="1"/>
  <c r="AV142" i="16" a="1"/>
  <c r="AV81" i="16" a="1"/>
  <c r="AV115" i="16" a="1"/>
  <c r="AV92" i="16" a="1"/>
  <c r="AV113" i="16" a="1"/>
  <c r="AV62" i="16" a="1"/>
  <c r="AV132" i="16" a="1"/>
  <c r="AV126" i="16" a="1"/>
  <c r="AV143" i="16" a="1"/>
  <c r="AV97" i="16" a="1"/>
  <c r="AV119" i="16" a="1"/>
  <c r="AV53" i="16" a="1"/>
  <c r="AV111" i="16" a="1"/>
  <c r="AV145" i="16" a="1"/>
  <c r="AV90" i="16" a="1"/>
  <c r="AV116" i="16" a="1"/>
  <c r="AV49" i="16" a="1"/>
  <c r="AV104" i="16" a="1"/>
  <c r="AV96" i="16" a="1"/>
  <c r="AV118" i="16" a="1"/>
  <c r="AV144" i="16" a="1"/>
  <c r="AV117" i="16" a="1"/>
  <c r="AV70" i="16" a="1"/>
  <c r="AV31" i="16"/>
  <c r="O31" i="16" s="1"/>
  <c r="AV120" i="16" a="1"/>
  <c r="AV32" i="16"/>
  <c r="O32" i="16" s="1"/>
  <c r="AV134" i="16" a="1"/>
  <c r="AV105" i="16" a="1"/>
  <c r="AV123" i="16" a="1"/>
  <c r="AV110" i="16" a="1"/>
  <c r="AV85" i="16" a="1"/>
  <c r="AV114" i="16" a="1"/>
  <c r="AV135" i="16" a="1"/>
  <c r="AV91" i="16" a="1"/>
  <c r="AV124" i="16" a="1"/>
  <c r="AV64" i="16" a="1"/>
  <c r="AV66" i="16" a="1"/>
  <c r="AV36" i="16"/>
  <c r="O36" i="16" s="1"/>
  <c r="AV59" i="16" a="1"/>
  <c r="AV37" i="16"/>
  <c r="O37" i="16" s="1"/>
  <c r="AV87" i="16" a="1"/>
  <c r="AV122" i="16" a="1"/>
  <c r="AV57" i="16" a="1"/>
  <c r="AV99" i="16" a="1"/>
  <c r="AV106" i="16" a="1"/>
  <c r="AV61" i="16" a="1"/>
  <c r="AV52" i="16" a="1"/>
  <c r="AV38" i="16"/>
  <c r="O38" i="16" s="1"/>
  <c r="AV84" i="16" a="1"/>
  <c r="AV112" i="16" a="1"/>
  <c r="AV133" i="16" a="1"/>
  <c r="AV109" i="16" a="1"/>
  <c r="AV65" i="16" a="1"/>
  <c r="AV107" i="16" a="1"/>
  <c r="AV80" i="16" a="1"/>
  <c r="AV35" i="16"/>
  <c r="O35" i="16" s="1"/>
  <c r="AV60" i="16" a="1"/>
  <c r="AV128" i="16" a="1"/>
  <c r="AV139" i="16" a="1"/>
  <c r="AV141" i="16" a="1"/>
  <c r="AV108" i="16" a="1"/>
  <c r="AV121" i="16" a="1"/>
  <c r="AV39" i="16"/>
  <c r="O39" i="16" s="1"/>
  <c r="AV56" i="16" a="1"/>
  <c r="AV78" i="16" a="1"/>
  <c r="AV40" i="16"/>
  <c r="O40" i="16" s="1"/>
  <c r="AV51" i="16" a="1"/>
  <c r="AV58" i="16" a="1"/>
  <c r="AV46" i="16" a="1"/>
  <c r="AV34" i="16"/>
  <c r="O34" i="16" s="1"/>
  <c r="AV100" i="16" a="1"/>
  <c r="AV137" i="16" a="1"/>
  <c r="AV50" i="16" a="1"/>
  <c r="AV41" i="16"/>
  <c r="O41" i="16" s="1"/>
  <c r="AV129" i="16" a="1"/>
  <c r="AV79" i="16" a="1"/>
  <c r="AV83" i="16" a="1"/>
  <c r="AV11" i="16"/>
  <c r="O11" i="16" s="1"/>
  <c r="AV101" i="16" a="1"/>
  <c r="AV95" i="16" a="1"/>
  <c r="O95" i="16" s="1"/>
  <c r="AV74" i="16" a="1"/>
  <c r="AV136" i="16" a="1"/>
  <c r="AV93" i="16" a="1"/>
  <c r="AV63" i="16" a="1"/>
  <c r="AV68" i="16" a="1"/>
  <c r="AV94" i="16" a="1"/>
  <c r="AV77" i="16" a="1"/>
  <c r="AV103" i="16" a="1"/>
  <c r="AV55" i="16" a="1"/>
  <c r="AV88" i="16" a="1"/>
  <c r="AV48" i="16" a="1"/>
  <c r="AV138" i="16" a="1"/>
  <c r="O138" i="16" s="1"/>
  <c r="AV76" i="16" a="1"/>
  <c r="O76" i="16" s="1"/>
  <c r="AV130" i="16" a="1"/>
  <c r="O130" i="16" s="1"/>
  <c r="BH10" i="16"/>
  <c r="BH45" i="16"/>
  <c r="BH11" i="16"/>
  <c r="AC11" i="16" s="1"/>
  <c r="BH7" i="16" a="1"/>
  <c r="AE7" i="16" a="1"/>
  <c r="AE10" i="16"/>
  <c r="AE45" i="16"/>
  <c r="AF45" i="16"/>
  <c r="AF7" i="16" a="1"/>
  <c r="AF10" i="16"/>
  <c r="BY45" i="16"/>
  <c r="BY11" i="16"/>
  <c r="BY7" i="16" a="1"/>
  <c r="BY10" i="16"/>
  <c r="AT11" i="16"/>
  <c r="M11" i="16" s="1"/>
  <c r="AT45" i="16"/>
  <c r="AT10" i="16"/>
  <c r="AT7" i="16" a="1"/>
  <c r="BK36" i="16"/>
  <c r="AF36" i="16" s="1"/>
  <c r="BK31" i="16"/>
  <c r="AF31" i="16" s="1"/>
  <c r="BK40" i="16"/>
  <c r="AF40" i="16" s="1"/>
  <c r="BK41" i="16"/>
  <c r="AF41" i="16" s="1"/>
  <c r="BK35" i="16"/>
  <c r="AF35" i="16" s="1"/>
  <c r="BK32" i="16"/>
  <c r="AF32" i="16" s="1"/>
  <c r="BK39" i="16"/>
  <c r="AF39" i="16" s="1"/>
  <c r="BK33" i="16"/>
  <c r="AF33" i="16" s="1"/>
  <c r="BK37" i="16"/>
  <c r="AF37" i="16" s="1"/>
  <c r="BK38" i="16"/>
  <c r="AF38" i="16" s="1"/>
  <c r="BK11" i="16"/>
  <c r="AF11" i="16" s="1"/>
  <c r="BK34" i="16"/>
  <c r="AF34" i="16" s="1"/>
  <c r="P45" i="16"/>
  <c r="P7" i="16" a="1"/>
  <c r="P10" i="16"/>
  <c r="BJ7" i="16" a="1"/>
  <c r="BJ10" i="16"/>
  <c r="BJ45" i="16"/>
  <c r="BJ11" i="16"/>
  <c r="AE11" i="16" s="1"/>
  <c r="AC7" i="16" a="1"/>
  <c r="AC10" i="16"/>
  <c r="AC45" i="16"/>
  <c r="BI11" i="16"/>
  <c r="AD11" i="16" s="1"/>
  <c r="BI10" i="16"/>
  <c r="BI7" i="16" a="1"/>
  <c r="BI45" i="16"/>
  <c r="N7" i="16" a="1"/>
  <c r="N10" i="16"/>
  <c r="N45" i="16"/>
  <c r="AW11" i="16"/>
  <c r="P11" i="16" s="1"/>
  <c r="AW7" i="16" a="1"/>
  <c r="AW45" i="16"/>
  <c r="AW10" i="16"/>
  <c r="AZ38" i="16"/>
  <c r="U38" i="16" s="1"/>
  <c r="AZ39" i="16"/>
  <c r="U39" i="16" s="1"/>
  <c r="AZ34" i="16"/>
  <c r="U34" i="16" s="1"/>
  <c r="AZ32" i="16"/>
  <c r="U32" i="16" s="1"/>
  <c r="AZ40" i="16"/>
  <c r="U40" i="16" s="1"/>
  <c r="AZ36" i="16"/>
  <c r="U36" i="16" s="1"/>
  <c r="AZ33" i="16"/>
  <c r="U33" i="16" s="1"/>
  <c r="AZ31" i="16"/>
  <c r="U31" i="16" s="1"/>
  <c r="AZ37" i="16"/>
  <c r="U37" i="16" s="1"/>
  <c r="AZ35" i="16"/>
  <c r="U35" i="16" s="1"/>
  <c r="AU7" i="16" a="1"/>
  <c r="AU10" i="16"/>
  <c r="AU45" i="16"/>
  <c r="AU11" i="16"/>
  <c r="N11" i="16" s="1"/>
  <c r="BW11" i="16"/>
  <c r="BW45" i="16"/>
  <c r="BW10" i="16"/>
  <c r="BW7" i="16" a="1"/>
  <c r="AX45" i="16"/>
  <c r="AX10" i="16"/>
  <c r="AX7" i="16" a="1"/>
  <c r="AX11" i="16"/>
  <c r="Q11" i="16" s="1"/>
  <c r="AG10" i="16"/>
  <c r="AG45" i="16"/>
  <c r="AG7" i="16" a="1"/>
  <c r="BL7" i="16" a="1"/>
  <c r="BL10" i="16"/>
  <c r="BL45" i="16"/>
  <c r="BL11" i="16"/>
  <c r="AG11" i="16" s="1"/>
  <c r="AD7" i="16" a="1"/>
  <c r="AD10" i="16"/>
  <c r="AD45" i="16"/>
  <c r="AK59" i="16" a="1"/>
  <c r="AK80" i="16" a="1"/>
  <c r="AK7" i="16" a="1"/>
  <c r="AS45" i="16"/>
  <c r="AS10" i="16"/>
  <c r="AB10" i="16"/>
  <c r="AB45" i="16"/>
  <c r="AK55" i="16" a="1"/>
  <c r="AK81" i="16" a="1"/>
  <c r="AK31" i="16"/>
  <c r="D31" i="16" s="1"/>
  <c r="R31" i="16" s="1" a="1"/>
  <c r="AK122" i="16" a="1"/>
  <c r="D122" i="16" s="1"/>
  <c r="R122" i="16" s="1" a="1"/>
  <c r="AK90" i="16" a="1"/>
  <c r="AK38" i="16"/>
  <c r="D38" i="16" s="1"/>
  <c r="R38" i="16" s="1" a="1"/>
  <c r="AK113" i="16" a="1"/>
  <c r="AK70" i="16" a="1"/>
  <c r="AK66" i="16" a="1"/>
  <c r="AK103" i="16" a="1"/>
  <c r="AK61" i="16" a="1"/>
  <c r="AK39" i="16"/>
  <c r="D39" i="16" s="1"/>
  <c r="R39" i="16" s="1" a="1"/>
  <c r="AK35" i="16"/>
  <c r="D35" i="16" s="1"/>
  <c r="R35" i="16" s="1" a="1"/>
  <c r="AK40" i="16"/>
  <c r="D40" i="16" s="1"/>
  <c r="R40" i="16" s="1" a="1"/>
  <c r="AK53" i="16" a="1"/>
  <c r="AK97" i="16" a="1"/>
  <c r="AK121" i="16" a="1"/>
  <c r="D121" i="16" s="1"/>
  <c r="R121" i="16" s="1" a="1"/>
  <c r="AK73" i="16" a="1"/>
  <c r="AK143" i="16" a="1"/>
  <c r="D143" i="16" s="1"/>
  <c r="R143" i="16" s="1" a="1"/>
  <c r="AK82" i="16" a="1"/>
  <c r="AK141" i="16" a="1"/>
  <c r="D141" i="16" s="1"/>
  <c r="R141" i="16" s="1" a="1"/>
  <c r="AK49" i="16" a="1"/>
  <c r="AK77" i="16" a="1"/>
  <c r="AK139" i="16" a="1"/>
  <c r="D139" i="16" s="1"/>
  <c r="R139" i="16" s="1" a="1"/>
  <c r="AK130" i="16" a="1"/>
  <c r="D130" i="16" s="1"/>
  <c r="R130" i="16" s="1" a="1"/>
  <c r="AK78" i="16" a="1"/>
  <c r="AK100" i="16" a="1"/>
  <c r="AK123" i="16" a="1"/>
  <c r="D123" i="16" s="1"/>
  <c r="R123" i="16" s="1" a="1"/>
  <c r="AK110" i="16" a="1"/>
  <c r="AK58" i="16" a="1"/>
  <c r="AK135" i="16" a="1"/>
  <c r="D135" i="16" s="1"/>
  <c r="R135" i="16" s="1" a="1"/>
  <c r="AK111" i="16" a="1"/>
  <c r="AK68" i="16" a="1"/>
  <c r="AK76" i="16" a="1"/>
  <c r="AK131" i="16" a="1"/>
  <c r="D131" i="16" s="1"/>
  <c r="R131" i="16" s="1" a="1"/>
  <c r="AK132" i="16" a="1"/>
  <c r="D132" i="16" s="1"/>
  <c r="R132" i="16" s="1" a="1"/>
  <c r="AK133" i="16" a="1"/>
  <c r="D133" i="16" s="1"/>
  <c r="R133" i="16" s="1" a="1"/>
  <c r="AK50" i="16" a="1"/>
  <c r="AK108" i="16" a="1"/>
  <c r="AK95" i="16" a="1"/>
  <c r="AK134" i="16" a="1"/>
  <c r="D134" i="16" s="1"/>
  <c r="R134" i="16" s="1" a="1"/>
  <c r="AK127" i="16" a="1"/>
  <c r="D127" i="16" s="1"/>
  <c r="R127" i="16" s="1" a="1"/>
  <c r="AK136" i="16" a="1"/>
  <c r="D136" i="16" s="1"/>
  <c r="R136" i="16" s="1" a="1"/>
  <c r="AK137" i="16" a="1"/>
  <c r="D137" i="16" s="1"/>
  <c r="R137" i="16" s="1" a="1"/>
  <c r="AK84" i="16" a="1"/>
  <c r="AK138" i="16" a="1"/>
  <c r="D138" i="16" s="1"/>
  <c r="R138" i="16" s="1" a="1"/>
  <c r="AK67" i="16" a="1"/>
  <c r="AK71" i="16" a="1"/>
  <c r="AK75" i="16" a="1"/>
  <c r="AK92" i="16" a="1"/>
  <c r="AK83" i="16" a="1"/>
  <c r="AK69" i="16" a="1"/>
  <c r="AK142" i="16" a="1"/>
  <c r="D142" i="16" s="1"/>
  <c r="R142" i="16" s="1" a="1"/>
  <c r="AK62" i="16" a="1"/>
  <c r="AK54" i="16" a="1"/>
  <c r="AK145" i="16" a="1"/>
  <c r="D145" i="16" s="1"/>
  <c r="R145" i="16" s="1" a="1"/>
  <c r="AK88" i="16" a="1"/>
  <c r="AK96" i="16" a="1"/>
  <c r="AK99" i="16" a="1"/>
  <c r="AK119" i="16" a="1"/>
  <c r="D119" i="16" s="1"/>
  <c r="R119" i="16" s="1" a="1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BC120" i="2" a="1"/>
  <c r="AC1116" i="12"/>
  <c r="AC1070" i="12"/>
  <c r="AC744" i="12"/>
  <c r="P617" i="12"/>
  <c r="P619" i="12"/>
  <c r="P616" i="12"/>
  <c r="P618" i="12"/>
  <c r="O616" i="12"/>
  <c r="O617" i="12"/>
  <c r="O619" i="12"/>
  <c r="O618" i="12"/>
  <c r="R618" i="12"/>
  <c r="R617" i="12"/>
  <c r="R619" i="12"/>
  <c r="R616" i="12"/>
  <c r="Q616" i="12"/>
  <c r="Q617" i="12"/>
  <c r="Q619" i="12"/>
  <c r="Q618" i="12"/>
  <c r="T617" i="12"/>
  <c r="T619" i="12"/>
  <c r="T616" i="12"/>
  <c r="T618" i="12"/>
  <c r="S617" i="12"/>
  <c r="S619" i="12"/>
  <c r="S616" i="12"/>
  <c r="S618" i="12"/>
  <c r="V618" i="12"/>
  <c r="V616" i="12"/>
  <c r="V617" i="12"/>
  <c r="V619" i="12"/>
  <c r="U619" i="12"/>
  <c r="U616" i="12"/>
  <c r="U618" i="12"/>
  <c r="U617" i="12"/>
  <c r="N619" i="12"/>
  <c r="N616" i="12"/>
  <c r="N617" i="12"/>
  <c r="N618" i="12"/>
  <c r="M618" i="12"/>
  <c r="M619" i="12"/>
  <c r="M616" i="12"/>
  <c r="M617" i="12"/>
  <c r="AS11" i="16"/>
  <c r="BG45" i="16"/>
  <c r="BG10" i="16"/>
  <c r="L45" i="16"/>
  <c r="L10" i="16"/>
  <c r="BY19" i="16"/>
  <c r="BV29" i="16"/>
  <c r="AU26" i="16"/>
  <c r="N26" i="16" s="1"/>
  <c r="AT25" i="16"/>
  <c r="M25" i="16" s="1"/>
  <c r="BX24" i="16"/>
  <c r="AU24" i="16"/>
  <c r="N24" i="16" s="1"/>
  <c r="BY23" i="16"/>
  <c r="BV23" i="16"/>
  <c r="AU23" i="16"/>
  <c r="N23" i="16" s="1"/>
  <c r="BY22" i="16"/>
  <c r="AW22" i="16"/>
  <c r="P22" i="16" s="1"/>
  <c r="AS22" i="16"/>
  <c r="BK21" i="16"/>
  <c r="AF21" i="16" s="1"/>
  <c r="AX21" i="16"/>
  <c r="Q21" i="16" s="1"/>
  <c r="BV20" i="16"/>
  <c r="AW20" i="16"/>
  <c r="P20" i="16" s="1"/>
  <c r="BL18" i="16"/>
  <c r="AG18" i="16" s="1"/>
  <c r="AU18" i="16"/>
  <c r="N18" i="16" s="1"/>
  <c r="BW17" i="16"/>
  <c r="BV17" i="16"/>
  <c r="BL17" i="16"/>
  <c r="AG17" i="16" s="1"/>
  <c r="BJ17" i="16"/>
  <c r="AE17" i="16" s="1"/>
  <c r="BX16" i="16"/>
  <c r="BV16" i="16"/>
  <c r="BL16" i="16"/>
  <c r="AG16" i="16" s="1"/>
  <c r="AX16" i="16"/>
  <c r="Q16" i="16" s="1"/>
  <c r="AV16" i="16"/>
  <c r="O16" i="16" s="1"/>
  <c r="AT16" i="16"/>
  <c r="M16" i="16" s="1"/>
  <c r="BW30" i="16"/>
  <c r="AX30" i="16"/>
  <c r="Q30" i="16" s="1"/>
  <c r="BY29" i="16"/>
  <c r="BW29" i="16"/>
  <c r="AW29" i="16"/>
  <c r="P29" i="16" s="1"/>
  <c r="AS29" i="16"/>
  <c r="BW28" i="16"/>
  <c r="BL28" i="16"/>
  <c r="AG28" i="16" s="1"/>
  <c r="AV28" i="16"/>
  <c r="O28" i="16" s="1"/>
  <c r="AS28" i="16"/>
  <c r="B28" i="16"/>
  <c r="BJ27" i="16"/>
  <c r="AE27" i="16" s="1"/>
  <c r="BV26" i="16"/>
  <c r="BL26" i="16"/>
  <c r="AG26" i="16" s="1"/>
  <c r="BH26" i="16"/>
  <c r="AC26" i="16" s="1"/>
  <c r="AW26" i="16"/>
  <c r="P26" i="16" s="1"/>
  <c r="AT26" i="16"/>
  <c r="M26" i="16" s="1"/>
  <c r="B26" i="16"/>
  <c r="BK25" i="16"/>
  <c r="AF25" i="16" s="1"/>
  <c r="BH25" i="16"/>
  <c r="AC25" i="16" s="1"/>
  <c r="B25" i="16"/>
  <c r="BL24" i="16"/>
  <c r="AG24" i="16" s="1"/>
  <c r="AX24" i="16"/>
  <c r="Q24" i="16" s="1"/>
  <c r="AT24" i="16"/>
  <c r="M24" i="16" s="1"/>
  <c r="BW23" i="16"/>
  <c r="AW23" i="16"/>
  <c r="P23" i="16" s="1"/>
  <c r="BJ22" i="16"/>
  <c r="AE22" i="16" s="1"/>
  <c r="AT22" i="16"/>
  <c r="M22" i="16" s="1"/>
  <c r="AT21" i="16"/>
  <c r="M21" i="16" s="1"/>
  <c r="BJ20" i="16"/>
  <c r="AE20" i="16" s="1"/>
  <c r="BJ19" i="16"/>
  <c r="AE19" i="16" s="1"/>
  <c r="BJ18" i="16"/>
  <c r="AE18" i="16" s="1"/>
  <c r="BI17" i="16"/>
  <c r="AD17" i="16" s="1"/>
  <c r="AV15" i="16"/>
  <c r="O15" i="16" s="1"/>
  <c r="B15" i="16"/>
  <c r="BV13" i="16"/>
  <c r="BJ13" i="16"/>
  <c r="AE13" i="16" s="1"/>
  <c r="BH13" i="16"/>
  <c r="AC13" i="16" s="1"/>
  <c r="BZ12" i="16"/>
  <c r="AU15" i="16"/>
  <c r="N15" i="16" s="1"/>
  <c r="BZ13" i="16"/>
  <c r="AS12" i="16"/>
  <c r="BL30" i="16"/>
  <c r="AG30" i="16" s="1"/>
  <c r="AV30" i="16"/>
  <c r="O30" i="16" s="1"/>
  <c r="BI29" i="16"/>
  <c r="AD29" i="16" s="1"/>
  <c r="AW28" i="16"/>
  <c r="P28" i="16" s="1"/>
  <c r="BY26" i="16"/>
  <c r="BJ23" i="16"/>
  <c r="AE23" i="16" s="1"/>
  <c r="BV12" i="16"/>
  <c r="BV22" i="16"/>
  <c r="AS30" i="16"/>
  <c r="AV29" i="16"/>
  <c r="O29" i="16" s="1"/>
  <c r="AU27" i="16"/>
  <c r="N27" i="16" s="1"/>
  <c r="AS19" i="16"/>
  <c r="BK14" i="16"/>
  <c r="AF14" i="16" s="1"/>
  <c r="AX22" i="16"/>
  <c r="Q22" i="16" s="1"/>
  <c r="AW21" i="16"/>
  <c r="P21" i="16" s="1"/>
  <c r="BX20" i="16"/>
  <c r="AS20" i="16"/>
  <c r="AU19" i="16"/>
  <c r="N19" i="16" s="1"/>
  <c r="BZ17" i="16"/>
  <c r="AT17" i="16"/>
  <c r="M17" i="16" s="1"/>
  <c r="BK16" i="16"/>
  <c r="AF16" i="16" s="1"/>
  <c r="B30" i="16"/>
  <c r="BX27" i="16"/>
  <c r="BK27" i="16"/>
  <c r="AF27" i="16" s="1"/>
  <c r="BY25" i="16"/>
  <c r="AS25" i="16"/>
  <c r="AT20" i="16"/>
  <c r="M20" i="16" s="1"/>
  <c r="AT19" i="16"/>
  <c r="M19" i="16" s="1"/>
  <c r="AW18" i="16"/>
  <c r="P18" i="16" s="1"/>
  <c r="BH16" i="16"/>
  <c r="AC16" i="16" s="1"/>
  <c r="AS14" i="16"/>
  <c r="BX12" i="16"/>
  <c r="AW12" i="16"/>
  <c r="P12" i="16" s="1"/>
  <c r="BL14" i="16"/>
  <c r="AG14" i="16" s="1"/>
  <c r="AX13" i="16"/>
  <c r="Q13" i="16" s="1"/>
  <c r="BV28" i="16"/>
  <c r="AX26" i="16"/>
  <c r="Q26" i="16" s="1"/>
  <c r="AU25" i="16"/>
  <c r="N25" i="16" s="1"/>
  <c r="B24" i="16"/>
  <c r="BL22" i="16"/>
  <c r="AG22" i="16" s="1"/>
  <c r="AW17" i="16"/>
  <c r="P17" i="16" s="1"/>
  <c r="BJ16" i="16"/>
  <c r="AE16" i="16" s="1"/>
  <c r="BY14" i="16"/>
  <c r="BI23" i="16"/>
  <c r="AD23" i="16" s="1"/>
  <c r="BY15" i="16"/>
  <c r="BJ14" i="16"/>
  <c r="AE14" i="16" s="1"/>
  <c r="B13" i="16"/>
  <c r="AU12" i="16"/>
  <c r="N12" i="16" s="1"/>
  <c r="AU29" i="16"/>
  <c r="N29" i="16" s="1"/>
  <c r="BW27" i="16"/>
  <c r="BW26" i="16"/>
  <c r="BK23" i="16"/>
  <c r="AF23" i="16" s="1"/>
  <c r="BW22" i="16"/>
  <c r="BH20" i="16"/>
  <c r="AC20" i="16" s="1"/>
  <c r="AW19" i="16"/>
  <c r="P19" i="16" s="1"/>
  <c r="AX18" i="16"/>
  <c r="Q18" i="16" s="1"/>
  <c r="BX17" i="16"/>
  <c r="BH17" i="16"/>
  <c r="AC17" i="16" s="1"/>
  <c r="AV17" i="16"/>
  <c r="O17" i="16" s="1"/>
  <c r="B17" i="16"/>
  <c r="AS16" i="16"/>
  <c r="BZ15" i="16"/>
  <c r="BX15" i="16"/>
  <c r="BK15" i="16"/>
  <c r="AF15" i="16" s="1"/>
  <c r="BI15" i="16"/>
  <c r="AD15" i="16" s="1"/>
  <c r="AW15" i="16"/>
  <c r="P15" i="16" s="1"/>
  <c r="AS15" i="16"/>
  <c r="BZ14" i="16"/>
  <c r="BV14" i="16"/>
  <c r="BL13" i="16"/>
  <c r="AG13" i="16" s="1"/>
  <c r="AV13" i="16"/>
  <c r="O13" i="16" s="1"/>
  <c r="BX14" i="16"/>
  <c r="AV14" i="16"/>
  <c r="O14" i="16" s="1"/>
  <c r="BX13" i="16"/>
  <c r="AT13" i="16"/>
  <c r="M13" i="16" s="1"/>
  <c r="BV30" i="16"/>
  <c r="BL29" i="16"/>
  <c r="AG29" i="16" s="1"/>
  <c r="BI28" i="16"/>
  <c r="AD28" i="16" s="1"/>
  <c r="BV27" i="16"/>
  <c r="AX27" i="16"/>
  <c r="Q27" i="16" s="1"/>
  <c r="BW25" i="16"/>
  <c r="AV25" i="16"/>
  <c r="O25" i="16" s="1"/>
  <c r="BI24" i="16"/>
  <c r="AD24" i="16" s="1"/>
  <c r="AT23" i="16"/>
  <c r="M23" i="16" s="1"/>
  <c r="AW13" i="16"/>
  <c r="P13" i="16" s="1"/>
  <c r="AX12" i="16"/>
  <c r="Q12" i="16" s="1"/>
  <c r="BH23" i="16"/>
  <c r="AC23" i="16" s="1"/>
  <c r="AV23" i="16"/>
  <c r="O23" i="16" s="1"/>
  <c r="BH30" i="16"/>
  <c r="AC30" i="16" s="1"/>
  <c r="BJ25" i="16"/>
  <c r="AE25" i="16" s="1"/>
  <c r="BV24" i="16"/>
  <c r="BH21" i="16"/>
  <c r="AC21" i="16" s="1"/>
  <c r="BW19" i="16"/>
  <c r="BX18" i="16"/>
  <c r="B16" i="16"/>
  <c r="BK22" i="16"/>
  <c r="AF22" i="16" s="1"/>
  <c r="BY21" i="16"/>
  <c r="AU21" i="16"/>
  <c r="N21" i="16" s="1"/>
  <c r="BL20" i="16"/>
  <c r="AG20" i="16" s="1"/>
  <c r="AV18" i="16"/>
  <c r="O18" i="16" s="1"/>
  <c r="AS17" i="16"/>
  <c r="BI16" i="16"/>
  <c r="AD16" i="16" s="1"/>
  <c r="BV15" i="16"/>
  <c r="BY28" i="16"/>
  <c r="AX28" i="16"/>
  <c r="Q28" i="16" s="1"/>
  <c r="AS26" i="16"/>
  <c r="L26" i="16" s="1"/>
  <c r="AV22" i="16"/>
  <c r="O22" i="16" s="1"/>
  <c r="BK20" i="16"/>
  <c r="AF20" i="16" s="1"/>
  <c r="BK19" i="16"/>
  <c r="AF19" i="16" s="1"/>
  <c r="BH18" i="16"/>
  <c r="AC18" i="16" s="1"/>
  <c r="AU17" i="16"/>
  <c r="N17" i="16" s="1"/>
  <c r="AW14" i="16"/>
  <c r="P14" i="16" s="1"/>
  <c r="BK12" i="16"/>
  <c r="AF12" i="16" s="1"/>
  <c r="BY13" i="16"/>
  <c r="BH12" i="16"/>
  <c r="AC12" i="16" s="1"/>
  <c r="AS23" i="16"/>
  <c r="AU30" i="16"/>
  <c r="N30" i="16" s="1"/>
  <c r="BI27" i="16"/>
  <c r="AD27" i="16" s="1"/>
  <c r="B27" i="16"/>
  <c r="BK26" i="16"/>
  <c r="AF26" i="16" s="1"/>
  <c r="AV26" i="16"/>
  <c r="O26" i="16" s="1"/>
  <c r="AX25" i="16"/>
  <c r="Q25" i="16" s="1"/>
  <c r="AW24" i="16"/>
  <c r="P24" i="16" s="1"/>
  <c r="BX22" i="16"/>
  <c r="BZ21" i="16"/>
  <c r="BY20" i="16"/>
  <c r="AU20" i="16"/>
  <c r="N20" i="16" s="1"/>
  <c r="BH19" i="16"/>
  <c r="AC19" i="16" s="1"/>
  <c r="AT14" i="16"/>
  <c r="M14" i="16" s="1"/>
  <c r="B14" i="16"/>
  <c r="BI13" i="16"/>
  <c r="AD13" i="16" s="1"/>
  <c r="BJ12" i="16"/>
  <c r="AE12" i="16" s="1"/>
  <c r="AT30" i="16"/>
  <c r="M30" i="16" s="1"/>
  <c r="BH29" i="16"/>
  <c r="AC29" i="16" s="1"/>
  <c r="AU28" i="16"/>
  <c r="N28" i="16" s="1"/>
  <c r="BX26" i="16"/>
  <c r="BY24" i="16"/>
  <c r="BH24" i="16"/>
  <c r="AC24" i="16" s="1"/>
  <c r="BZ22" i="16"/>
  <c r="BX21" i="16"/>
  <c r="BI21" i="16"/>
  <c r="AD21" i="16" s="1"/>
  <c r="AX20" i="16"/>
  <c r="Q20" i="16" s="1"/>
  <c r="B19" i="16"/>
  <c r="BI25" i="16"/>
  <c r="AD25" i="16" s="1"/>
  <c r="BI20" i="16"/>
  <c r="AD20" i="16" s="1"/>
  <c r="BL15" i="16"/>
  <c r="AG15" i="16" s="1"/>
  <c r="BY27" i="16"/>
  <c r="AW25" i="16"/>
  <c r="P25" i="16" s="1"/>
  <c r="BZ20" i="16"/>
  <c r="BW14" i="16"/>
  <c r="BW13" i="16"/>
  <c r="BV25" i="16"/>
  <c r="BV21" i="16"/>
  <c r="AW16" i="16"/>
  <c r="P16" i="16" s="1"/>
  <c r="AS13" i="16"/>
  <c r="B12" i="16"/>
  <c r="BH14" i="16"/>
  <c r="AC14" i="16" s="1"/>
  <c r="BK13" i="16"/>
  <c r="AF13" i="16" s="1"/>
  <c r="BY30" i="16"/>
  <c r="AW30" i="16"/>
  <c r="P30" i="16" s="1"/>
  <c r="AT29" i="16"/>
  <c r="M29" i="16" s="1"/>
  <c r="AT28" i="16"/>
  <c r="M28" i="16" s="1"/>
  <c r="BJ26" i="16"/>
  <c r="AE26" i="16" s="1"/>
  <c r="BZ24" i="16"/>
  <c r="AV24" i="16"/>
  <c r="O24" i="16" s="1"/>
  <c r="BZ18" i="16"/>
  <c r="AT12" i="16"/>
  <c r="M12" i="16" s="1"/>
  <c r="AX23" i="16"/>
  <c r="Q23" i="16" s="1"/>
  <c r="BK30" i="16"/>
  <c r="AF30" i="16" s="1"/>
  <c r="BZ29" i="16"/>
  <c r="BJ29" i="16"/>
  <c r="AE29" i="16" s="1"/>
  <c r="B29" i="16"/>
  <c r="B20" i="16"/>
  <c r="BI18" i="16"/>
  <c r="AD18" i="16" s="1"/>
  <c r="AU14" i="16"/>
  <c r="N14" i="16" s="1"/>
  <c r="BW21" i="16"/>
  <c r="B21" i="16"/>
  <c r="AX19" i="16"/>
  <c r="Q19" i="16" s="1"/>
  <c r="BV18" i="16"/>
  <c r="BK17" i="16"/>
  <c r="AF17" i="16" s="1"/>
  <c r="BZ16" i="16"/>
  <c r="BW15" i="16"/>
  <c r="BK28" i="16"/>
  <c r="AF28" i="16" s="1"/>
  <c r="BH27" i="16"/>
  <c r="AC27" i="16" s="1"/>
  <c r="BW18" i="16"/>
  <c r="BI14" i="16"/>
  <c r="AD14" i="16" s="1"/>
  <c r="BJ30" i="16"/>
  <c r="AE30" i="16" s="1"/>
  <c r="BH28" i="16"/>
  <c r="AC28" i="16" s="1"/>
  <c r="BX25" i="16"/>
  <c r="BL23" i="16"/>
  <c r="AG23" i="16" s="1"/>
  <c r="BH22" i="16"/>
  <c r="AC22" i="16" s="1"/>
  <c r="BJ21" i="16"/>
  <c r="AE21" i="16" s="1"/>
  <c r="BW20" i="16"/>
  <c r="BX19" i="16"/>
  <c r="BY17" i="16"/>
  <c r="AU16" i="16"/>
  <c r="N16" i="16" s="1"/>
  <c r="BJ15" i="16"/>
  <c r="AE15" i="16" s="1"/>
  <c r="AX14" i="16"/>
  <c r="Q14" i="16" s="1"/>
  <c r="AV27" i="16"/>
  <c r="O27" i="16" s="1"/>
  <c r="BL25" i="16"/>
  <c r="AG25" i="16" s="1"/>
  <c r="BI22" i="16"/>
  <c r="AD22" i="16" s="1"/>
  <c r="AT18" i="16"/>
  <c r="M18" i="16" s="1"/>
  <c r="BH15" i="16"/>
  <c r="AC15" i="16" s="1"/>
  <c r="BI12" i="16"/>
  <c r="AD12" i="16" s="1"/>
  <c r="AV12" i="16"/>
  <c r="O12" i="16" s="1"/>
  <c r="BI30" i="16"/>
  <c r="AD30" i="16" s="1"/>
  <c r="BZ28" i="16"/>
  <c r="BJ28" i="16"/>
  <c r="AE28" i="16" s="1"/>
  <c r="AS27" i="16"/>
  <c r="BZ25" i="16"/>
  <c r="B22" i="16"/>
  <c r="AV20" i="16"/>
  <c r="O20" i="16" s="1"/>
  <c r="AS18" i="16"/>
  <c r="BK18" i="16"/>
  <c r="AF18" i="16" s="1"/>
  <c r="BX30" i="16"/>
  <c r="BZ27" i="16"/>
  <c r="AT27" i="16"/>
  <c r="M27" i="16" s="1"/>
  <c r="BW24" i="16"/>
  <c r="BX23" i="16"/>
  <c r="AU22" i="16"/>
  <c r="N22" i="16" s="1"/>
  <c r="BV19" i="16"/>
  <c r="B18" i="16"/>
  <c r="AT15" i="16"/>
  <c r="M15" i="16" s="1"/>
  <c r="BI26" i="16"/>
  <c r="AD26" i="16" s="1"/>
  <c r="BY16" i="16"/>
  <c r="BL12" i="16"/>
  <c r="AG12" i="16" s="1"/>
  <c r="BY12" i="16"/>
  <c r="BX28" i="16"/>
  <c r="AS24" i="16"/>
  <c r="AX17" i="16"/>
  <c r="Q17" i="16" s="1"/>
  <c r="BZ30" i="16"/>
  <c r="AX29" i="16"/>
  <c r="Q29" i="16" s="1"/>
  <c r="BZ26" i="16"/>
  <c r="BJ24" i="16"/>
  <c r="AE24" i="16" s="1"/>
  <c r="BI19" i="16"/>
  <c r="AD19" i="16" s="1"/>
  <c r="BW12" i="16"/>
  <c r="AV19" i="16"/>
  <c r="O19" i="16" s="1"/>
  <c r="BX29" i="16"/>
  <c r="AW27" i="16"/>
  <c r="P27" i="16" s="1"/>
  <c r="BK24" i="16"/>
  <c r="AF24" i="16" s="1"/>
  <c r="BZ23" i="16"/>
  <c r="BL21" i="16"/>
  <c r="AG21" i="16" s="1"/>
  <c r="AS21" i="16"/>
  <c r="BZ19" i="16"/>
  <c r="BY18" i="16"/>
  <c r="BW16" i="16"/>
  <c r="B23" i="16"/>
  <c r="AX15" i="16"/>
  <c r="Q15" i="16" s="1"/>
  <c r="AU13" i="16"/>
  <c r="N13" i="16" s="1"/>
  <c r="BK29" i="16"/>
  <c r="AF29" i="16" s="1"/>
  <c r="BL27" i="16"/>
  <c r="AG27" i="16" s="1"/>
  <c r="AV21" i="16"/>
  <c r="O21" i="16" s="1"/>
  <c r="BL19" i="16"/>
  <c r="AG19" i="16" s="1"/>
  <c r="BI46" i="16" a="1"/>
  <c r="AD46" i="16" s="1"/>
  <c r="BW46" i="16" a="1"/>
  <c r="BW143" i="16" a="1"/>
  <c r="BI143" i="16" a="1"/>
  <c r="AD143" i="16" s="1"/>
  <c r="BI126" i="16" a="1"/>
  <c r="AD126" i="16" s="1"/>
  <c r="BW126" i="16" a="1"/>
  <c r="BI144" i="16" a="1"/>
  <c r="AD144" i="16" s="1"/>
  <c r="BW144" i="16" a="1"/>
  <c r="BI140" i="16" a="1"/>
  <c r="AD140" i="16" s="1"/>
  <c r="BW140" i="16" a="1"/>
  <c r="BW114" i="16" a="1"/>
  <c r="BI114" i="16" a="1"/>
  <c r="AD114" i="16" s="1"/>
  <c r="BW138" i="16" a="1"/>
  <c r="BI138" i="16" a="1"/>
  <c r="AD138" i="16" s="1"/>
  <c r="BW127" i="16" a="1"/>
  <c r="BI127" i="16" a="1"/>
  <c r="AD127" i="16" s="1"/>
  <c r="BW145" i="16" a="1"/>
  <c r="BI145" i="16" a="1"/>
  <c r="AD145" i="16" s="1"/>
  <c r="BW113" i="16" a="1"/>
  <c r="BI113" i="16" a="1"/>
  <c r="AD113" i="16" s="1"/>
  <c r="BI50" i="16" a="1"/>
  <c r="AD50" i="16" s="1"/>
  <c r="BW50" i="16" a="1"/>
  <c r="BI102" i="16" a="1"/>
  <c r="AD102" i="16" s="1"/>
  <c r="BW102" i="16" a="1"/>
  <c r="BW65" i="16" a="1"/>
  <c r="BI65" i="16" a="1"/>
  <c r="AD65" i="16" s="1"/>
  <c r="BI79" i="16" a="1"/>
  <c r="AD79" i="16" s="1"/>
  <c r="BW79" i="16" a="1"/>
  <c r="BI54" i="16" a="1"/>
  <c r="AD54" i="16" s="1"/>
  <c r="BW54" i="16" a="1"/>
  <c r="BI49" i="16" a="1"/>
  <c r="AD49" i="16" s="1"/>
  <c r="BW49" i="16" a="1"/>
  <c r="BI110" i="16" a="1"/>
  <c r="AD110" i="16" s="1"/>
  <c r="BW110" i="16" a="1"/>
  <c r="BW85" i="16" a="1"/>
  <c r="BI85" i="16" a="1"/>
  <c r="AD85" i="16" s="1"/>
  <c r="BW52" i="16" a="1"/>
  <c r="BI52" i="16" a="1"/>
  <c r="AD52" i="16" s="1"/>
  <c r="BI58" i="16" a="1"/>
  <c r="AD58" i="16" s="1"/>
  <c r="BW58" i="16" a="1"/>
  <c r="BW121" i="16" a="1"/>
  <c r="BI121" i="16" a="1"/>
  <c r="AD121" i="16" s="1"/>
  <c r="BI84" i="16" a="1"/>
  <c r="AD84" i="16" s="1"/>
  <c r="BW84" i="16" a="1"/>
  <c r="BI87" i="16" a="1"/>
  <c r="AD87" i="16" s="1"/>
  <c r="BW87" i="16" a="1"/>
  <c r="BW90" i="16" a="1"/>
  <c r="BI90" i="16" a="1"/>
  <c r="AD90" i="16" s="1"/>
  <c r="BI80" i="16" a="1"/>
  <c r="AD80" i="16" s="1"/>
  <c r="BW80" i="16" a="1"/>
  <c r="BI76" i="16" a="1"/>
  <c r="AD76" i="16" s="1"/>
  <c r="BW76" i="16" a="1"/>
  <c r="BW77" i="16" a="1"/>
  <c r="BI77" i="16" a="1"/>
  <c r="AD77" i="16" s="1"/>
  <c r="BW119" i="16" a="1"/>
  <c r="BI119" i="16" a="1"/>
  <c r="AD119" i="16" s="1"/>
  <c r="BW62" i="16" a="1"/>
  <c r="BI62" i="16" a="1"/>
  <c r="AD62" i="16" s="1"/>
  <c r="BI91" i="16" a="1"/>
  <c r="AD91" i="16" s="1"/>
  <c r="BW91" i="16" a="1"/>
  <c r="BI104" i="16" a="1"/>
  <c r="AD104" i="16" s="1"/>
  <c r="BW104" i="16" a="1"/>
  <c r="BI92" i="16" a="1"/>
  <c r="AD92" i="16" s="1"/>
  <c r="BW92" i="16" a="1"/>
  <c r="BI71" i="16" a="1"/>
  <c r="AD71" i="16" s="1"/>
  <c r="BW71" i="16" a="1"/>
  <c r="BW98" i="16" a="1"/>
  <c r="BI98" i="16" a="1"/>
  <c r="AD98" i="16" s="1"/>
  <c r="BW57" i="16" a="1"/>
  <c r="BI57" i="16" a="1"/>
  <c r="AD57" i="16" s="1"/>
  <c r="BW103" i="16" a="1"/>
  <c r="BI103" i="16" a="1"/>
  <c r="AD103" i="16" s="1"/>
  <c r="BW70" i="16" a="1"/>
  <c r="BI70" i="16" a="1"/>
  <c r="AD70" i="16" s="1"/>
  <c r="BW75" i="16" a="1"/>
  <c r="BI75" i="16" a="1"/>
  <c r="AD75" i="16" s="1"/>
  <c r="BW117" i="16" a="1"/>
  <c r="BI117" i="16" a="1"/>
  <c r="AD117" i="16" s="1"/>
  <c r="BI66" i="16" a="1"/>
  <c r="AD66" i="16" s="1"/>
  <c r="BW66" i="16" a="1"/>
  <c r="BW99" i="16" a="1"/>
  <c r="BI99" i="16" a="1"/>
  <c r="AD99" i="16" s="1"/>
  <c r="BI122" i="16" a="1"/>
  <c r="AD122" i="16" s="1"/>
  <c r="BW122" i="16" a="1"/>
  <c r="BI129" i="16" a="1"/>
  <c r="AD129" i="16" s="1"/>
  <c r="BW129" i="16" a="1"/>
  <c r="BI61" i="16" a="1"/>
  <c r="AD61" i="16" s="1"/>
  <c r="BW61" i="16" a="1"/>
  <c r="BW131" i="16" a="1"/>
  <c r="BI131" i="16" a="1"/>
  <c r="AD131" i="16" s="1"/>
  <c r="BW116" i="16" a="1"/>
  <c r="BI116" i="16" a="1"/>
  <c r="AD116" i="16" s="1"/>
  <c r="BI109" i="16" a="1"/>
  <c r="AD109" i="16" s="1"/>
  <c r="BW109" i="16" a="1"/>
  <c r="BW83" i="16" a="1"/>
  <c r="BI83" i="16" a="1"/>
  <c r="AD83" i="16" s="1"/>
  <c r="BW56" i="16" a="1"/>
  <c r="BI56" i="16" a="1"/>
  <c r="AD56" i="16" s="1"/>
  <c r="BI88" i="16" a="1"/>
  <c r="AD88" i="16" s="1"/>
  <c r="BW88" i="16" a="1"/>
  <c r="BW142" i="16" a="1"/>
  <c r="BI142" i="16" a="1"/>
  <c r="AD142" i="16" s="1"/>
  <c r="BI112" i="16" a="1"/>
  <c r="AD112" i="16" s="1"/>
  <c r="BW112" i="16" a="1"/>
  <c r="BI60" i="16" a="1"/>
  <c r="AD60" i="16" s="1"/>
  <c r="BW60" i="16" a="1"/>
  <c r="BW94" i="16" a="1"/>
  <c r="BI94" i="16" a="1"/>
  <c r="AD94" i="16" s="1"/>
  <c r="BW108" i="16" a="1"/>
  <c r="BI108" i="16" a="1"/>
  <c r="AD108" i="16" s="1"/>
  <c r="BW73" i="16" a="1"/>
  <c r="BI73" i="16" a="1"/>
  <c r="AD73" i="16" s="1"/>
  <c r="BW64" i="16" a="1"/>
  <c r="BI64" i="16" a="1"/>
  <c r="AD64" i="16" s="1"/>
  <c r="BI47" i="16" a="1"/>
  <c r="AD47" i="16" s="1"/>
  <c r="BW47" i="16" a="1"/>
  <c r="BW68" i="16" a="1"/>
  <c r="BI68" i="16" a="1"/>
  <c r="AD68" i="16" s="1"/>
  <c r="BI69" i="16" a="1"/>
  <c r="AD69" i="16" s="1"/>
  <c r="BW69" i="16" a="1"/>
  <c r="BW100" i="16" a="1"/>
  <c r="BI100" i="16" a="1"/>
  <c r="AD100" i="16" s="1"/>
  <c r="BI72" i="16" a="1"/>
  <c r="AD72" i="16" s="1"/>
  <c r="BW72" i="16" a="1"/>
  <c r="BW107" i="16" a="1"/>
  <c r="BI107" i="16" a="1"/>
  <c r="AD107" i="16" s="1"/>
  <c r="BI53" i="16" a="1"/>
  <c r="AD53" i="16" s="1"/>
  <c r="BW53" i="16" a="1"/>
  <c r="BI78" i="16" a="1"/>
  <c r="AD78" i="16" s="1"/>
  <c r="BW78" i="16" a="1"/>
  <c r="BI82" i="16" a="1"/>
  <c r="AD82" i="16" s="1"/>
  <c r="BW82" i="16" a="1"/>
  <c r="BI74" i="16" a="1"/>
  <c r="AD74" i="16" s="1"/>
  <c r="BW74" i="16" a="1"/>
  <c r="BW101" i="16" a="1"/>
  <c r="BI101" i="16" a="1"/>
  <c r="AD101" i="16" s="1"/>
  <c r="BI125" i="16" a="1"/>
  <c r="AD125" i="16" s="1"/>
  <c r="BW125" i="16" a="1"/>
  <c r="BW111" i="16" a="1"/>
  <c r="BI111" i="16" a="1"/>
  <c r="AD111" i="16" s="1"/>
  <c r="BI97" i="16" a="1"/>
  <c r="AD97" i="16" s="1"/>
  <c r="BW97" i="16" a="1"/>
  <c r="BW81" i="16" a="1"/>
  <c r="BI81" i="16" a="1"/>
  <c r="AD81" i="16" s="1"/>
  <c r="BW93" i="16" a="1"/>
  <c r="BI93" i="16" a="1"/>
  <c r="AD93" i="16" s="1"/>
  <c r="BW130" i="16" a="1"/>
  <c r="BI130" i="16" a="1"/>
  <c r="AD130" i="16" s="1"/>
  <c r="BW141" i="16" a="1"/>
  <c r="BI141" i="16" a="1"/>
  <c r="AD141" i="16" s="1"/>
  <c r="BW48" i="16" a="1"/>
  <c r="BI48" i="16" a="1"/>
  <c r="AD48" i="16" s="1"/>
  <c r="BW51" i="16" a="1"/>
  <c r="BI51" i="16" a="1"/>
  <c r="AD51" i="16" s="1"/>
  <c r="BI55" i="16" a="1"/>
  <c r="AD55" i="16" s="1"/>
  <c r="BW55" i="16" a="1"/>
  <c r="BI59" i="16" a="1"/>
  <c r="AD59" i="16" s="1"/>
  <c r="BW59" i="16" a="1"/>
  <c r="BI136" i="16" a="1"/>
  <c r="AD136" i="16" s="1"/>
  <c r="BW136" i="16" a="1"/>
  <c r="BW63" i="16" a="1"/>
  <c r="BI63" i="16" a="1"/>
  <c r="AD63" i="16" s="1"/>
  <c r="BW67" i="16" a="1"/>
  <c r="BI67" i="16" a="1"/>
  <c r="AD67" i="16" s="1"/>
  <c r="BI96" i="16" a="1"/>
  <c r="AD96" i="16" s="1"/>
  <c r="BW96" i="16" a="1"/>
  <c r="BI135" i="16" a="1"/>
  <c r="AD135" i="16" s="1"/>
  <c r="BW135" i="16" a="1"/>
  <c r="BI86" i="16" a="1"/>
  <c r="AD86" i="16" s="1"/>
  <c r="BW86" i="16" a="1"/>
  <c r="BI89" i="16" a="1"/>
  <c r="AD89" i="16" s="1"/>
  <c r="BW89" i="16" a="1"/>
  <c r="BI95" i="16" a="1"/>
  <c r="AD95" i="16" s="1"/>
  <c r="BW95" i="16" a="1"/>
  <c r="BI134" i="16" a="1"/>
  <c r="AD134" i="16" s="1"/>
  <c r="BW134" i="16" a="1"/>
  <c r="BW105" i="16" a="1"/>
  <c r="BI105" i="16" a="1"/>
  <c r="AD105" i="16" s="1"/>
  <c r="BW137" i="16" a="1"/>
  <c r="BI137" i="16" a="1"/>
  <c r="AD137" i="16" s="1"/>
  <c r="BI106" i="16" a="1"/>
  <c r="AD106" i="16" s="1"/>
  <c r="BW106" i="16" a="1"/>
  <c r="BI115" i="16" a="1"/>
  <c r="AD115" i="16" s="1"/>
  <c r="BW115" i="16" a="1"/>
  <c r="BI133" i="16" a="1"/>
  <c r="AD133" i="16" s="1"/>
  <c r="BW133" i="16" a="1"/>
  <c r="BI118" i="16" a="1"/>
  <c r="AD118" i="16" s="1"/>
  <c r="BW118" i="16" a="1"/>
  <c r="BW139" i="16" a="1"/>
  <c r="BI139" i="16" a="1"/>
  <c r="AD139" i="16" s="1"/>
  <c r="BW124" i="16" a="1"/>
  <c r="BI124" i="16" a="1"/>
  <c r="AD124" i="16" s="1"/>
  <c r="BI128" i="16" a="1"/>
  <c r="AD128" i="16" s="1"/>
  <c r="BW128" i="16" a="1"/>
  <c r="BI132" i="16" a="1"/>
  <c r="AD132" i="16" s="1"/>
  <c r="BW132" i="16" a="1"/>
  <c r="BW123" i="16" a="1"/>
  <c r="BI123" i="16" a="1"/>
  <c r="AD123" i="16" s="1"/>
  <c r="BI120" i="16" a="1"/>
  <c r="AD120" i="16" s="1"/>
  <c r="BW120" i="16" a="1"/>
  <c r="BL115" i="16" a="1"/>
  <c r="AG115" i="16" s="1"/>
  <c r="BZ115" i="16" a="1"/>
  <c r="BL81" i="16" a="1"/>
  <c r="AG81" i="16" s="1"/>
  <c r="BZ81" i="16" a="1"/>
  <c r="BZ52" i="16" a="1"/>
  <c r="BL52" i="16" a="1"/>
  <c r="AG52" i="16" s="1"/>
  <c r="BL65" i="16" a="1"/>
  <c r="AG65" i="16" s="1"/>
  <c r="BZ65" i="16" a="1"/>
  <c r="BL80" i="16" a="1"/>
  <c r="AG80" i="16" s="1"/>
  <c r="BZ80" i="16" a="1"/>
  <c r="BL57" i="16" a="1"/>
  <c r="AG57" i="16" s="1"/>
  <c r="BZ57" i="16" a="1"/>
  <c r="BL79" i="16" a="1"/>
  <c r="AG79" i="16" s="1"/>
  <c r="BZ79" i="16" a="1"/>
  <c r="BL49" i="16" a="1"/>
  <c r="AG49" i="16" s="1"/>
  <c r="BZ49" i="16" a="1"/>
  <c r="BL84" i="16" a="1"/>
  <c r="AG84" i="16" s="1"/>
  <c r="BZ84" i="16" a="1"/>
  <c r="BL141" i="16" a="1"/>
  <c r="AG141" i="16" s="1"/>
  <c r="BZ141" i="16" a="1"/>
  <c r="BL128" i="16" a="1"/>
  <c r="AG128" i="16" s="1"/>
  <c r="BZ128" i="16" a="1"/>
  <c r="BL121" i="16" a="1"/>
  <c r="AG121" i="16" s="1"/>
  <c r="BZ121" i="16" a="1"/>
  <c r="BL126" i="16" a="1"/>
  <c r="AG126" i="16" s="1"/>
  <c r="BZ126" i="16" a="1"/>
  <c r="BL114" i="16" a="1"/>
  <c r="AG114" i="16" s="1"/>
  <c r="BZ114" i="16" a="1"/>
  <c r="BZ53" i="16" a="1"/>
  <c r="BL53" i="16" a="1"/>
  <c r="AG53" i="16" s="1"/>
  <c r="BL107" i="16" a="1"/>
  <c r="AG107" i="16" s="1"/>
  <c r="BZ107" i="16" a="1"/>
  <c r="BL100" i="16" a="1"/>
  <c r="AG100" i="16" s="1"/>
  <c r="BZ100" i="16" a="1"/>
  <c r="BL96" i="16" a="1"/>
  <c r="AG96" i="16" s="1"/>
  <c r="BZ96" i="16" a="1"/>
  <c r="BZ93" i="16" a="1"/>
  <c r="BL93" i="16" a="1"/>
  <c r="AG93" i="16" s="1"/>
  <c r="BZ111" i="16" a="1"/>
  <c r="BL111" i="16" a="1"/>
  <c r="AG111" i="16" s="1"/>
  <c r="BZ47" i="16" a="1"/>
  <c r="BL47" i="16" a="1"/>
  <c r="AG47" i="16" s="1"/>
  <c r="BL108" i="16" a="1"/>
  <c r="AG108" i="16" s="1"/>
  <c r="BZ108" i="16" a="1"/>
  <c r="BZ88" i="16" a="1"/>
  <c r="BL88" i="16" a="1"/>
  <c r="AG88" i="16" s="1"/>
  <c r="BL103" i="16" a="1"/>
  <c r="AG103" i="16" s="1"/>
  <c r="BZ103" i="16" a="1"/>
  <c r="BL55" i="16" a="1"/>
  <c r="AG55" i="16" s="1"/>
  <c r="BZ55" i="16" a="1"/>
  <c r="BL83" i="16" a="1"/>
  <c r="AG83" i="16" s="1"/>
  <c r="BZ83" i="16" a="1"/>
  <c r="BL56" i="16" a="1"/>
  <c r="AG56" i="16" s="1"/>
  <c r="BZ56" i="16" a="1"/>
  <c r="BZ99" i="16" a="1"/>
  <c r="BL99" i="16" a="1"/>
  <c r="AG99" i="16" s="1"/>
  <c r="BL61" i="16" a="1"/>
  <c r="AG61" i="16" s="1"/>
  <c r="BZ61" i="16" a="1"/>
  <c r="BL75" i="16" a="1"/>
  <c r="AG75" i="16" s="1"/>
  <c r="BZ75" i="16" a="1"/>
  <c r="BZ66" i="16" a="1"/>
  <c r="BL66" i="16" a="1"/>
  <c r="AG66" i="16" s="1"/>
  <c r="BL70" i="16" a="1"/>
  <c r="AG70" i="16" s="1"/>
  <c r="BZ70" i="16" a="1"/>
  <c r="BL90" i="16" a="1"/>
  <c r="AG90" i="16" s="1"/>
  <c r="BZ90" i="16" a="1"/>
  <c r="BZ92" i="16" a="1"/>
  <c r="BL92" i="16" a="1"/>
  <c r="AG92" i="16" s="1"/>
  <c r="BL101" i="16" a="1"/>
  <c r="AG101" i="16" s="1"/>
  <c r="BZ101" i="16" a="1"/>
  <c r="BL71" i="16" a="1"/>
  <c r="AG71" i="16" s="1"/>
  <c r="BZ71" i="16" a="1"/>
  <c r="BL109" i="16" a="1"/>
  <c r="AG109" i="16" s="1"/>
  <c r="BZ109" i="16" a="1"/>
  <c r="BZ69" i="16" a="1"/>
  <c r="BL69" i="16" a="1"/>
  <c r="AG69" i="16" s="1"/>
  <c r="BZ76" i="16" a="1"/>
  <c r="BL76" i="16" a="1"/>
  <c r="AG76" i="16" s="1"/>
  <c r="BL87" i="16" a="1"/>
  <c r="AG87" i="16" s="1"/>
  <c r="BZ87" i="16" a="1"/>
  <c r="BL67" i="16" a="1"/>
  <c r="AG67" i="16" s="1"/>
  <c r="BZ67" i="16" a="1"/>
  <c r="BZ85" i="16" a="1"/>
  <c r="BL85" i="16" a="1"/>
  <c r="AG85" i="16" s="1"/>
  <c r="BZ138" i="16" a="1"/>
  <c r="BL138" i="16" a="1"/>
  <c r="AG138" i="16" s="1"/>
  <c r="BZ102" i="16" a="1"/>
  <c r="BL102" i="16" a="1"/>
  <c r="AG102" i="16" s="1"/>
  <c r="BZ117" i="16" a="1"/>
  <c r="BL117" i="16" a="1"/>
  <c r="AG117" i="16" s="1"/>
  <c r="BL123" i="16" a="1"/>
  <c r="AG123" i="16" s="1"/>
  <c r="BZ123" i="16" a="1"/>
  <c r="BZ137" i="16" a="1"/>
  <c r="BL137" i="16" a="1"/>
  <c r="AG137" i="16" s="1"/>
  <c r="BL140" i="16" a="1"/>
  <c r="AG140" i="16" s="1"/>
  <c r="BZ140" i="16" a="1"/>
  <c r="BL48" i="16" a="1"/>
  <c r="AG48" i="16" s="1"/>
  <c r="BZ48" i="16" a="1"/>
  <c r="BZ46" i="16" a="1"/>
  <c r="BL46" i="16" a="1"/>
  <c r="AG46" i="16" s="1"/>
  <c r="BL130" i="16" a="1"/>
  <c r="AG130" i="16" s="1"/>
  <c r="BZ130" i="16" a="1"/>
  <c r="BL51" i="16" a="1"/>
  <c r="AG51" i="16" s="1"/>
  <c r="BZ51" i="16" a="1"/>
  <c r="BZ136" i="16" a="1"/>
  <c r="BL136" i="16" a="1"/>
  <c r="AG136" i="16" s="1"/>
  <c r="BZ59" i="16" a="1"/>
  <c r="BL59" i="16" a="1"/>
  <c r="AG59" i="16" s="1"/>
  <c r="BL129" i="16" a="1"/>
  <c r="AG129" i="16" s="1"/>
  <c r="BZ129" i="16" a="1"/>
  <c r="BZ119" i="16" a="1"/>
  <c r="BL119" i="16" a="1"/>
  <c r="AG119" i="16" s="1"/>
  <c r="BZ125" i="16" a="1"/>
  <c r="BL125" i="16" a="1"/>
  <c r="AG125" i="16" s="1"/>
  <c r="BZ127" i="16" a="1"/>
  <c r="BL127" i="16" a="1"/>
  <c r="AG127" i="16" s="1"/>
  <c r="BZ63" i="16" a="1"/>
  <c r="BL63" i="16" a="1"/>
  <c r="AG63" i="16" s="1"/>
  <c r="BL50" i="16" a="1"/>
  <c r="AG50" i="16" s="1"/>
  <c r="BZ50" i="16" a="1"/>
  <c r="BZ139" i="16" a="1"/>
  <c r="BL139" i="16" a="1"/>
  <c r="AG139" i="16" s="1"/>
  <c r="BL135" i="16" a="1"/>
  <c r="AG135" i="16" s="1"/>
  <c r="BZ135" i="16" a="1"/>
  <c r="BZ110" i="16" a="1"/>
  <c r="BL110" i="16" a="1"/>
  <c r="AG110" i="16" s="1"/>
  <c r="BZ54" i="16" a="1"/>
  <c r="BL54" i="16" a="1"/>
  <c r="AG54" i="16" s="1"/>
  <c r="BZ58" i="16" a="1"/>
  <c r="BL58" i="16" a="1"/>
  <c r="AG58" i="16" s="1"/>
  <c r="BZ62" i="16" a="1"/>
  <c r="BL62" i="16" a="1"/>
  <c r="AG62" i="16" s="1"/>
  <c r="BZ89" i="16" a="1"/>
  <c r="BL89" i="16" a="1"/>
  <c r="AG89" i="16" s="1"/>
  <c r="BZ120" i="16" a="1"/>
  <c r="BL120" i="16" a="1"/>
  <c r="AG120" i="16" s="1"/>
  <c r="BL77" i="16" a="1"/>
  <c r="AG77" i="16" s="1"/>
  <c r="BZ77" i="16" a="1"/>
  <c r="BL134" i="16" a="1"/>
  <c r="AG134" i="16" s="1"/>
  <c r="BZ134" i="16" a="1"/>
  <c r="BZ95" i="16" a="1"/>
  <c r="BL95" i="16" a="1"/>
  <c r="AG95" i="16" s="1"/>
  <c r="BZ91" i="16" a="1"/>
  <c r="BL91" i="16" a="1"/>
  <c r="AG91" i="16" s="1"/>
  <c r="BL142" i="16" a="1"/>
  <c r="AG142" i="16" s="1"/>
  <c r="BZ142" i="16" a="1"/>
  <c r="BL98" i="16" a="1"/>
  <c r="AG98" i="16" s="1"/>
  <c r="BZ98" i="16" a="1"/>
  <c r="BL105" i="16" a="1"/>
  <c r="AG105" i="16" s="1"/>
  <c r="BZ105" i="16" a="1"/>
  <c r="BL116" i="16" a="1"/>
  <c r="AG116" i="16" s="1"/>
  <c r="BZ116" i="16" a="1"/>
  <c r="BZ106" i="16" a="1"/>
  <c r="BL106" i="16" a="1"/>
  <c r="AG106" i="16" s="1"/>
  <c r="BL112" i="16" a="1"/>
  <c r="AG112" i="16" s="1"/>
  <c r="BZ112" i="16" a="1"/>
  <c r="BL113" i="16" a="1"/>
  <c r="AG113" i="16" s="1"/>
  <c r="BZ113" i="16" a="1"/>
  <c r="BZ133" i="16" a="1"/>
  <c r="BL133" i="16" a="1"/>
  <c r="AG133" i="16" s="1"/>
  <c r="BZ124" i="16" a="1"/>
  <c r="BL124" i="16" a="1"/>
  <c r="AG124" i="16" s="1"/>
  <c r="BL144" i="16" a="1"/>
  <c r="AG144" i="16" s="1"/>
  <c r="BZ144" i="16" a="1"/>
  <c r="BZ94" i="16" a="1"/>
  <c r="BL94" i="16" a="1"/>
  <c r="AG94" i="16" s="1"/>
  <c r="BZ118" i="16" a="1"/>
  <c r="BL118" i="16" a="1"/>
  <c r="AG118" i="16" s="1"/>
  <c r="BL122" i="16" a="1"/>
  <c r="AG122" i="16" s="1"/>
  <c r="BZ122" i="16" a="1"/>
  <c r="BZ78" i="16" a="1"/>
  <c r="BL78" i="16" a="1"/>
  <c r="AG78" i="16" s="1"/>
  <c r="BL73" i="16" a="1"/>
  <c r="AG73" i="16" s="1"/>
  <c r="BZ73" i="16" a="1"/>
  <c r="BL60" i="16" a="1"/>
  <c r="AG60" i="16" s="1"/>
  <c r="BZ60" i="16" a="1"/>
  <c r="BL64" i="16" a="1"/>
  <c r="AG64" i="16" s="1"/>
  <c r="BZ64" i="16" a="1"/>
  <c r="BL132" i="16" a="1"/>
  <c r="AG132" i="16" s="1"/>
  <c r="BZ132" i="16" a="1"/>
  <c r="BZ97" i="16" a="1"/>
  <c r="BL97" i="16" a="1"/>
  <c r="AG97" i="16" s="1"/>
  <c r="BL68" i="16" a="1"/>
  <c r="AG68" i="16" s="1"/>
  <c r="BZ68" i="16" a="1"/>
  <c r="BL143" i="16" a="1"/>
  <c r="AG143" i="16" s="1"/>
  <c r="BZ143" i="16" a="1"/>
  <c r="BZ72" i="16" a="1"/>
  <c r="BL72" i="16" a="1"/>
  <c r="AG72" i="16" s="1"/>
  <c r="BZ82" i="16" a="1"/>
  <c r="BL82" i="16" a="1"/>
  <c r="AG82" i="16" s="1"/>
  <c r="BZ145" i="16" a="1"/>
  <c r="BL145" i="16" a="1"/>
  <c r="AG145" i="16" s="1"/>
  <c r="BZ74" i="16" a="1"/>
  <c r="BL74" i="16" a="1"/>
  <c r="AG74" i="16" s="1"/>
  <c r="BZ131" i="16" a="1"/>
  <c r="BL131" i="16" a="1"/>
  <c r="AG131" i="16" s="1"/>
  <c r="BZ104" i="16" a="1"/>
  <c r="BL104" i="16" a="1"/>
  <c r="AG104" i="16" s="1"/>
  <c r="BL86" i="16" a="1"/>
  <c r="AG86" i="16" s="1"/>
  <c r="BZ86" i="16" a="1"/>
  <c r="BE97" i="16" a="1"/>
  <c r="BS97" i="16" a="1"/>
  <c r="BS84" i="16" a="1"/>
  <c r="BE84" i="16" a="1"/>
  <c r="BS62" i="16" a="1"/>
  <c r="BE62" i="16" a="1"/>
  <c r="BS110" i="16" a="1"/>
  <c r="BE110" i="16" a="1"/>
  <c r="BS58" i="16" a="1"/>
  <c r="BE58" i="16" a="1"/>
  <c r="BS65" i="16" a="1"/>
  <c r="BE65" i="16" a="1"/>
  <c r="BS91" i="16" a="1"/>
  <c r="BE91" i="16" a="1"/>
  <c r="BS102" i="16" a="1"/>
  <c r="BE102" i="16" a="1"/>
  <c r="BE111" i="16" a="1"/>
  <c r="BS111" i="16" a="1"/>
  <c r="BS118" i="16" a="1"/>
  <c r="BE118" i="16" a="1"/>
  <c r="Z118" i="16" s="1"/>
  <c r="BS50" i="16" a="1"/>
  <c r="BE50" i="16" a="1"/>
  <c r="BS55" i="16" a="1"/>
  <c r="BE55" i="16" a="1"/>
  <c r="BE85" i="16" a="1"/>
  <c r="BS85" i="16" a="1"/>
  <c r="BS121" i="16" a="1"/>
  <c r="BE121" i="16" a="1"/>
  <c r="Z121" i="16" s="1"/>
  <c r="BE138" i="16" a="1"/>
  <c r="Z138" i="16" s="1"/>
  <c r="BS138" i="16" a="1"/>
  <c r="BS119" i="16" a="1"/>
  <c r="BE119" i="16" a="1"/>
  <c r="Z119" i="16" s="1"/>
  <c r="BS49" i="16" a="1"/>
  <c r="BE49" i="16" a="1"/>
  <c r="BE131" i="16" a="1"/>
  <c r="Z131" i="16" s="1"/>
  <c r="BS131" i="16" a="1"/>
  <c r="BE127" i="16" a="1"/>
  <c r="Z127" i="16" s="1"/>
  <c r="BS127" i="16" a="1"/>
  <c r="BS72" i="16" a="1"/>
  <c r="BE72" i="16" a="1"/>
  <c r="BS69" i="16" a="1"/>
  <c r="BE69" i="16" a="1"/>
  <c r="BS47" i="16" a="1"/>
  <c r="BE47" i="16" a="1"/>
  <c r="BS46" i="16" a="1"/>
  <c r="BE46" i="16" a="1"/>
  <c r="BS68" i="16" a="1"/>
  <c r="BE68" i="16" a="1"/>
  <c r="BE51" i="16" a="1"/>
  <c r="BS51" i="16" a="1"/>
  <c r="BE141" i="16" a="1"/>
  <c r="Z141" i="16" s="1"/>
  <c r="BS141" i="16" a="1"/>
  <c r="BS137" i="16" a="1"/>
  <c r="BE137" i="16" a="1"/>
  <c r="Z137" i="16" s="1"/>
  <c r="BE57" i="16" a="1"/>
  <c r="BS57" i="16" a="1"/>
  <c r="BE94" i="16" a="1"/>
  <c r="BS94" i="16" a="1"/>
  <c r="BS112" i="16" a="1"/>
  <c r="BE112" i="16" a="1"/>
  <c r="BS48" i="16" a="1"/>
  <c r="BE48" i="16" a="1"/>
  <c r="BE59" i="16" a="1"/>
  <c r="BS59" i="16" a="1"/>
  <c r="BE56" i="16" a="1"/>
  <c r="BS56" i="16" a="1"/>
  <c r="BE81" i="16" a="1"/>
  <c r="BS81" i="16" a="1"/>
  <c r="BE64" i="16" a="1"/>
  <c r="BS64" i="16" a="1"/>
  <c r="BE123" i="16" a="1"/>
  <c r="Z123" i="16" s="1"/>
  <c r="BS123" i="16" a="1"/>
  <c r="BE125" i="16" a="1"/>
  <c r="Z125" i="16" s="1"/>
  <c r="BS125" i="16" a="1"/>
  <c r="BE63" i="16" a="1"/>
  <c r="BS63" i="16" a="1"/>
  <c r="BS107" i="16" a="1"/>
  <c r="BE107" i="16" a="1"/>
  <c r="BE143" i="16" a="1"/>
  <c r="Z143" i="16" s="1"/>
  <c r="BS143" i="16" a="1"/>
  <c r="BS136" i="16" a="1"/>
  <c r="BE136" i="16" a="1"/>
  <c r="Z136" i="16" s="1"/>
  <c r="BS108" i="16" a="1"/>
  <c r="BE108" i="16" a="1"/>
  <c r="BS117" i="16" a="1"/>
  <c r="BE117" i="16" a="1"/>
  <c r="Z117" i="16" s="1"/>
  <c r="BS67" i="16" a="1"/>
  <c r="BE67" i="16" a="1"/>
  <c r="BS74" i="16" a="1"/>
  <c r="BE74" i="16" a="1"/>
  <c r="BS104" i="16" a="1"/>
  <c r="BE104" i="16" a="1"/>
  <c r="BE140" i="16" a="1"/>
  <c r="Z140" i="16" s="1"/>
  <c r="BS140" i="16" a="1"/>
  <c r="BS86" i="16" a="1"/>
  <c r="BE86" i="16" a="1"/>
  <c r="BE82" i="16" a="1"/>
  <c r="BS82" i="16" a="1"/>
  <c r="BS80" i="16" a="1"/>
  <c r="BE80" i="16" a="1"/>
  <c r="BE79" i="16" a="1"/>
  <c r="BS79" i="16" a="1"/>
  <c r="BS103" i="16" a="1"/>
  <c r="BE103" i="16" a="1"/>
  <c r="BE135" i="16" a="1"/>
  <c r="Z135" i="16" s="1"/>
  <c r="BS135" i="16" a="1"/>
  <c r="BE54" i="16" a="1"/>
  <c r="BS54" i="16" a="1"/>
  <c r="BE60" i="16" a="1"/>
  <c r="BS60" i="16" a="1"/>
  <c r="BE130" i="16" a="1"/>
  <c r="Z130" i="16" s="1"/>
  <c r="BS130" i="16" a="1"/>
  <c r="BS95" i="16" a="1"/>
  <c r="BE95" i="16" a="1"/>
  <c r="BS61" i="16" a="1"/>
  <c r="BE61" i="16" a="1"/>
  <c r="BE83" i="16" a="1"/>
  <c r="BS83" i="16" a="1"/>
  <c r="BE96" i="16" a="1"/>
  <c r="BS96" i="16" a="1"/>
  <c r="BS105" i="16" a="1"/>
  <c r="BE105" i="16" a="1"/>
  <c r="BE128" i="16" a="1"/>
  <c r="Z128" i="16" s="1"/>
  <c r="BS128" i="16" a="1"/>
  <c r="BE122" i="16" a="1"/>
  <c r="Z122" i="16" s="1"/>
  <c r="BS122" i="16" a="1"/>
  <c r="BS66" i="16" a="1"/>
  <c r="BE66" i="16" a="1"/>
  <c r="BE100" i="16" a="1"/>
  <c r="BS100" i="16" a="1"/>
  <c r="BS134" i="16" a="1"/>
  <c r="BE134" i="16" a="1"/>
  <c r="Z134" i="16" s="1"/>
  <c r="AQ27" i="16"/>
  <c r="J27" i="16" s="1"/>
  <c r="BS106" i="16" a="1"/>
  <c r="BS27" i="16" s="1"/>
  <c r="BE106" i="16" a="1"/>
  <c r="BE27" i="16" s="1"/>
  <c r="BS126" i="16" a="1"/>
  <c r="BE126" i="16" a="1"/>
  <c r="Z126" i="16" s="1"/>
  <c r="BE99" i="16" a="1"/>
  <c r="BS99" i="16" a="1"/>
  <c r="AQ30" i="16"/>
  <c r="BE113" i="16" a="1"/>
  <c r="BS113" i="16" a="1"/>
  <c r="BS70" i="16" a="1"/>
  <c r="BE70" i="16" a="1"/>
  <c r="BE114" i="16" a="1"/>
  <c r="Z114" i="16" s="1"/>
  <c r="BS114" i="16" a="1"/>
  <c r="BE116" i="16" a="1"/>
  <c r="Z116" i="16" s="1"/>
  <c r="BS116" i="16" a="1"/>
  <c r="BE101" i="16" a="1"/>
  <c r="BS101" i="16" a="1"/>
  <c r="BE75" i="16" a="1"/>
  <c r="BS75" i="16" a="1"/>
  <c r="BS89" i="16" a="1"/>
  <c r="BE89" i="16" a="1"/>
  <c r="AQ24" i="16"/>
  <c r="BS90" i="16" a="1"/>
  <c r="BE90" i="16" a="1"/>
  <c r="BE133" i="16" a="1"/>
  <c r="Z133" i="16" s="1"/>
  <c r="BS133" i="16" a="1"/>
  <c r="BE93" i="16" a="1"/>
  <c r="BS93" i="16" a="1"/>
  <c r="BE115" i="16" a="1"/>
  <c r="Z115" i="16" s="1"/>
  <c r="BS115" i="16" a="1"/>
  <c r="BS145" i="16" a="1"/>
  <c r="BE145" i="16" a="1"/>
  <c r="Z145" i="16" s="1"/>
  <c r="BS129" i="16" a="1"/>
  <c r="BE129" i="16" a="1"/>
  <c r="Z129" i="16" s="1"/>
  <c r="BE109" i="16" a="1"/>
  <c r="BS109" i="16" a="1"/>
  <c r="BS124" i="16" a="1"/>
  <c r="BE124" i="16" a="1"/>
  <c r="Z124" i="16" s="1"/>
  <c r="BS52" i="16" a="1"/>
  <c r="BE52" i="16" a="1"/>
  <c r="BE92" i="16" a="1"/>
  <c r="BS92" i="16" a="1"/>
  <c r="BS139" i="16" a="1"/>
  <c r="BE139" i="16" a="1"/>
  <c r="Z139" i="16" s="1"/>
  <c r="BE98" i="16" a="1"/>
  <c r="BS98" i="16" a="1"/>
  <c r="BS142" i="16" a="1"/>
  <c r="BE142" i="16" a="1"/>
  <c r="Z142" i="16" s="1"/>
  <c r="BS87" i="16" a="1"/>
  <c r="BE87" i="16" a="1"/>
  <c r="BE53" i="16" a="1"/>
  <c r="BS53" i="16" a="1"/>
  <c r="BS132" i="16" a="1"/>
  <c r="BE132" i="16" a="1"/>
  <c r="Z132" i="16" s="1"/>
  <c r="BS144" i="16" a="1"/>
  <c r="BE144" i="16" a="1"/>
  <c r="Z144" i="16" s="1"/>
  <c r="BE73" i="16" a="1"/>
  <c r="BS73" i="16" a="1"/>
  <c r="BE71" i="16" a="1"/>
  <c r="BS71" i="16" a="1"/>
  <c r="BS76" i="16" a="1"/>
  <c r="BE76" i="16" a="1"/>
  <c r="BS88" i="16" a="1"/>
  <c r="BE88" i="16" a="1"/>
  <c r="BE77" i="16" a="1"/>
  <c r="BS77" i="16" a="1"/>
  <c r="BE78" i="16" a="1"/>
  <c r="BS78" i="16" a="1"/>
  <c r="BE120" i="16" a="1"/>
  <c r="Z120" i="16" s="1"/>
  <c r="BS120" i="16" a="1"/>
  <c r="BO117" i="16" a="1"/>
  <c r="BA117" i="16" a="1"/>
  <c r="V117" i="16" s="1"/>
  <c r="BA109" i="16" a="1"/>
  <c r="BO109" i="16" a="1"/>
  <c r="BA94" i="16" a="1"/>
  <c r="BO94" i="16" a="1"/>
  <c r="BA78" i="16" a="1"/>
  <c r="BO78" i="16" a="1"/>
  <c r="BA46" i="16" a="1"/>
  <c r="BO46" i="16" a="1"/>
  <c r="BA74" i="16" a="1"/>
  <c r="BO74" i="16" a="1"/>
  <c r="BO52" i="16" a="1"/>
  <c r="BA52" i="16" a="1"/>
  <c r="BO49" i="16" a="1"/>
  <c r="BA49" i="16" a="1"/>
  <c r="BO82" i="16" a="1"/>
  <c r="BA82" i="16" a="1"/>
  <c r="BA131" i="16" a="1"/>
  <c r="V131" i="16" s="1"/>
  <c r="BO131" i="16" a="1"/>
  <c r="BO71" i="16" a="1"/>
  <c r="BA71" i="16" a="1"/>
  <c r="BO125" i="16" a="1"/>
  <c r="BA125" i="16" a="1"/>
  <c r="V125" i="16" s="1"/>
  <c r="BO116" i="16" a="1"/>
  <c r="BA116" i="16" a="1"/>
  <c r="V116" i="16" s="1"/>
  <c r="BO112" i="16" a="1"/>
  <c r="BA112" i="16" a="1"/>
  <c r="BO108" i="16" a="1"/>
  <c r="BA108" i="16" a="1"/>
  <c r="BO93" i="16" a="1"/>
  <c r="BA93" i="16" a="1"/>
  <c r="BA85" i="16" a="1"/>
  <c r="BO85" i="16" a="1"/>
  <c r="BA67" i="16" a="1"/>
  <c r="BO67" i="16" a="1"/>
  <c r="BA126" i="16" a="1"/>
  <c r="V126" i="16" s="1"/>
  <c r="BO126" i="16" a="1"/>
  <c r="BO47" i="16" a="1"/>
  <c r="BA47" i="16" a="1"/>
  <c r="BA77" i="16" a="1"/>
  <c r="BO77" i="16" a="1"/>
  <c r="BA119" i="16" a="1"/>
  <c r="V119" i="16" s="1"/>
  <c r="BO119" i="16" a="1"/>
  <c r="BO51" i="16" a="1"/>
  <c r="BA51" i="16" a="1"/>
  <c r="BA81" i="16" a="1"/>
  <c r="BO81" i="16" a="1"/>
  <c r="BA57" i="16" a="1"/>
  <c r="BO57" i="16" a="1"/>
  <c r="BO101" i="16" a="1"/>
  <c r="BA101" i="16" a="1"/>
  <c r="BA90" i="16" a="1"/>
  <c r="BO90" i="16" a="1"/>
  <c r="BO128" i="16" a="1"/>
  <c r="BA128" i="16" a="1"/>
  <c r="V128" i="16" s="1"/>
  <c r="BO138" i="16" a="1"/>
  <c r="BA138" i="16" a="1"/>
  <c r="V138" i="16" s="1"/>
  <c r="BA104" i="16" a="1"/>
  <c r="BO104" i="16" a="1"/>
  <c r="BO72" i="16" a="1"/>
  <c r="BA72" i="16" a="1"/>
  <c r="BA68" i="16" a="1"/>
  <c r="BO68" i="16" a="1"/>
  <c r="BO64" i="16" a="1"/>
  <c r="BA64" i="16" a="1"/>
  <c r="BO143" i="16" a="1"/>
  <c r="BA143" i="16" a="1"/>
  <c r="V143" i="16" s="1"/>
  <c r="BA139" i="16" a="1"/>
  <c r="V139" i="16" s="1"/>
  <c r="BO139" i="16" a="1"/>
  <c r="BO80" i="16" a="1"/>
  <c r="BA80" i="16" a="1"/>
  <c r="BA130" i="16" a="1"/>
  <c r="V130" i="16" s="1"/>
  <c r="BO130" i="16" a="1"/>
  <c r="BA127" i="16" a="1"/>
  <c r="V127" i="16" s="1"/>
  <c r="BO127" i="16" a="1"/>
  <c r="BA122" i="16" a="1"/>
  <c r="V122" i="16" s="1"/>
  <c r="BO122" i="16" a="1"/>
  <c r="BO137" i="16" a="1"/>
  <c r="BA137" i="16" a="1"/>
  <c r="V137" i="16" s="1"/>
  <c r="BO118" i="16" a="1"/>
  <c r="BA118" i="16" a="1"/>
  <c r="V118" i="16" s="1"/>
  <c r="BA98" i="16" a="1"/>
  <c r="BO98" i="16" a="1"/>
  <c r="BA91" i="16" a="1"/>
  <c r="BO91" i="16" a="1"/>
  <c r="BO87" i="16" a="1"/>
  <c r="BA87" i="16" a="1"/>
  <c r="BA58" i="16" a="1"/>
  <c r="BO58" i="16" a="1"/>
  <c r="BA50" i="16" a="1"/>
  <c r="BO50" i="16" a="1"/>
  <c r="BA110" i="16" a="1"/>
  <c r="BO110" i="16" a="1"/>
  <c r="BO79" i="16" a="1"/>
  <c r="BA79" i="16" a="1"/>
  <c r="BO141" i="16" a="1"/>
  <c r="BA141" i="16" a="1"/>
  <c r="V141" i="16" s="1"/>
  <c r="BO140" i="16" a="1"/>
  <c r="BA140" i="16" a="1"/>
  <c r="V140" i="16" s="1"/>
  <c r="BA129" i="16" a="1"/>
  <c r="V129" i="16" s="1"/>
  <c r="BO129" i="16" a="1"/>
  <c r="BA136" i="16" a="1"/>
  <c r="V136" i="16" s="1"/>
  <c r="BO136" i="16" a="1"/>
  <c r="BO56" i="16" a="1"/>
  <c r="BA56" i="16" a="1"/>
  <c r="BO144" i="16" a="1"/>
  <c r="BA144" i="16" a="1"/>
  <c r="V144" i="16" s="1"/>
  <c r="BO107" i="16" a="1"/>
  <c r="BA107" i="16" a="1"/>
  <c r="BO142" i="16" a="1"/>
  <c r="BA142" i="16" a="1"/>
  <c r="V142" i="16" s="1"/>
  <c r="BO121" i="16" a="1"/>
  <c r="BA121" i="16" a="1"/>
  <c r="V121" i="16" s="1"/>
  <c r="BA120" i="16" a="1"/>
  <c r="V120" i="16" s="1"/>
  <c r="BO120" i="16" a="1"/>
  <c r="BO113" i="16" a="1"/>
  <c r="BA113" i="16" a="1"/>
  <c r="BA106" i="16" a="1"/>
  <c r="BO106" i="16" a="1"/>
  <c r="BO105" i="16" a="1"/>
  <c r="BA105" i="16" a="1"/>
  <c r="BA92" i="16" a="1"/>
  <c r="BO92" i="16" a="1"/>
  <c r="BO111" i="16" a="1"/>
  <c r="BA111" i="16" a="1"/>
  <c r="BA135" i="16" a="1"/>
  <c r="V135" i="16" s="1"/>
  <c r="BO135" i="16" a="1"/>
  <c r="BA89" i="16" a="1"/>
  <c r="BO89" i="16" a="1"/>
  <c r="BO86" i="16" a="1"/>
  <c r="BA86" i="16" a="1"/>
  <c r="BO63" i="16" a="1"/>
  <c r="BA63" i="16" a="1"/>
  <c r="BA59" i="16" a="1"/>
  <c r="BO59" i="16" a="1"/>
  <c r="BO100" i="16" a="1"/>
  <c r="BA100" i="16" a="1"/>
  <c r="BO55" i="16" a="1"/>
  <c r="BA55" i="16" a="1"/>
  <c r="BA145" i="16" a="1"/>
  <c r="V145" i="16" s="1"/>
  <c r="BO145" i="16" a="1"/>
  <c r="BA124" i="16" a="1"/>
  <c r="V124" i="16" s="1"/>
  <c r="BO124" i="16" a="1"/>
  <c r="BA123" i="16" a="1"/>
  <c r="V123" i="16" s="1"/>
  <c r="BO123" i="16" a="1"/>
  <c r="BO96" i="16" a="1"/>
  <c r="BA96" i="16" a="1"/>
  <c r="BO102" i="16" a="1"/>
  <c r="BA102" i="16" a="1"/>
  <c r="BO134" i="16" a="1"/>
  <c r="BA134" i="16" a="1"/>
  <c r="V134" i="16" s="1"/>
  <c r="BA95" i="16" a="1"/>
  <c r="BO95" i="16" a="1"/>
  <c r="BO88" i="16" a="1"/>
  <c r="BA88" i="16" a="1"/>
  <c r="BA84" i="16" a="1"/>
  <c r="BO84" i="16" a="1"/>
  <c r="BA115" i="16" a="1"/>
  <c r="V115" i="16" s="1"/>
  <c r="BO115" i="16" a="1"/>
  <c r="BA76" i="16" a="1"/>
  <c r="BO76" i="16" a="1"/>
  <c r="BO114" i="16" a="1"/>
  <c r="BA114" i="16" a="1"/>
  <c r="V114" i="16" s="1"/>
  <c r="BA69" i="16" a="1"/>
  <c r="BO69" i="16" a="1"/>
  <c r="BA62" i="16" a="1"/>
  <c r="BO62" i="16" a="1"/>
  <c r="BO54" i="16" a="1"/>
  <c r="BA54" i="16" a="1"/>
  <c r="BO97" i="16" a="1"/>
  <c r="BA97" i="16" a="1"/>
  <c r="BO133" i="16" a="1"/>
  <c r="BA133" i="16" a="1"/>
  <c r="V133" i="16" s="1"/>
  <c r="BA70" i="16" a="1"/>
  <c r="BO70" i="16" a="1"/>
  <c r="BO66" i="16" a="1"/>
  <c r="BA66" i="16" a="1"/>
  <c r="BO83" i="16" a="1"/>
  <c r="BA83" i="16" a="1"/>
  <c r="BA61" i="16" a="1"/>
  <c r="BO61" i="16" a="1"/>
  <c r="BA73" i="16" a="1"/>
  <c r="BO73" i="16" a="1"/>
  <c r="BA60" i="16" a="1"/>
  <c r="BO60" i="16" a="1"/>
  <c r="BO103" i="16" a="1"/>
  <c r="BA103" i="16" a="1"/>
  <c r="BA99" i="16" a="1"/>
  <c r="BO99" i="16" a="1"/>
  <c r="BA53" i="16" a="1"/>
  <c r="BO53" i="16" a="1"/>
  <c r="BA48" i="16" a="1"/>
  <c r="BO48" i="16" a="1"/>
  <c r="BA65" i="16" a="1"/>
  <c r="BO65" i="16" a="1"/>
  <c r="BO132" i="16" a="1"/>
  <c r="BA132" i="16" a="1"/>
  <c r="V132" i="16" s="1"/>
  <c r="BA75" i="16" a="1"/>
  <c r="BO75" i="16" a="1"/>
  <c r="BG104" i="16" a="1"/>
  <c r="BU104" i="16" a="1"/>
  <c r="BG55" i="16" a="1"/>
  <c r="BU55" i="16" a="1"/>
  <c r="BU17" i="16" s="1"/>
  <c r="BU127" i="16" a="1"/>
  <c r="BG127" i="16" a="1"/>
  <c r="AB127" i="16" s="1"/>
  <c r="BG142" i="16" a="1"/>
  <c r="AB142" i="16" s="1"/>
  <c r="BU142" i="16" a="1"/>
  <c r="BG48" i="16" a="1"/>
  <c r="L48" i="16" s="1"/>
  <c r="BU48" i="16" a="1"/>
  <c r="BU46" i="16" a="1"/>
  <c r="BG46" i="16" a="1"/>
  <c r="L46" i="16" s="1"/>
  <c r="BU143" i="16" a="1"/>
  <c r="BG143" i="16" a="1"/>
  <c r="AB143" i="16" s="1"/>
  <c r="BU47" i="16" a="1"/>
  <c r="BG47" i="16" a="1"/>
  <c r="L47" i="16" s="1"/>
  <c r="BG51" i="16" a="1"/>
  <c r="L51" i="16" s="1"/>
  <c r="BU51" i="16" a="1"/>
  <c r="BU68" i="16" a="1"/>
  <c r="BG68" i="16" a="1"/>
  <c r="L68" i="16" s="1"/>
  <c r="BG140" i="16" a="1"/>
  <c r="AB140" i="16" s="1"/>
  <c r="BU140" i="16" a="1"/>
  <c r="BG137" i="16" a="1"/>
  <c r="AB137" i="16" s="1"/>
  <c r="BU137" i="16" a="1"/>
  <c r="BG90" i="16" a="1"/>
  <c r="BG139" i="16" a="1"/>
  <c r="AB139" i="16" s="1"/>
  <c r="BU139" i="16" a="1"/>
  <c r="BG111" i="16" a="1"/>
  <c r="BU115" i="16" a="1"/>
  <c r="BG115" i="16" a="1"/>
  <c r="AB115" i="16" s="1"/>
  <c r="BG130" i="16" a="1"/>
  <c r="AB130" i="16" s="1"/>
  <c r="BU130" i="16" a="1"/>
  <c r="BG49" i="16" a="1"/>
  <c r="L49" i="16" s="1"/>
  <c r="BU69" i="16" a="1"/>
  <c r="BG69" i="16" a="1"/>
  <c r="L69" i="16" s="1"/>
  <c r="BG91" i="16" a="1"/>
  <c r="L91" i="16" s="1"/>
  <c r="BU91" i="16" a="1"/>
  <c r="BU126" i="16" a="1"/>
  <c r="BG126" i="16" a="1"/>
  <c r="AB126" i="16" s="1"/>
  <c r="BG93" i="16" a="1"/>
  <c r="BU93" i="16" a="1"/>
  <c r="BU85" i="16" a="1"/>
  <c r="BG85" i="16" a="1"/>
  <c r="L85" i="16" s="1"/>
  <c r="BU84" i="16" a="1"/>
  <c r="BG84" i="16" a="1"/>
  <c r="L84" i="16" s="1"/>
  <c r="BU87" i="16" a="1"/>
  <c r="BG87" i="16" a="1"/>
  <c r="BU136" i="16" a="1"/>
  <c r="BG136" i="16" a="1"/>
  <c r="AB136" i="16" s="1"/>
  <c r="BU52" i="16" a="1"/>
  <c r="BU14" i="16" s="1"/>
  <c r="BG52" i="16" a="1"/>
  <c r="BU141" i="16" a="1"/>
  <c r="BG141" i="16" a="1"/>
  <c r="AB141" i="16" s="1"/>
  <c r="BU57" i="16" a="1"/>
  <c r="BG57" i="16" a="1"/>
  <c r="L57" i="16" s="1"/>
  <c r="BU77" i="16" a="1"/>
  <c r="BG77" i="16" a="1"/>
  <c r="L77" i="16" s="1"/>
  <c r="BG76" i="16" a="1"/>
  <c r="BU76" i="16" a="1"/>
  <c r="BG117" i="16" a="1"/>
  <c r="AB117" i="16" s="1"/>
  <c r="BU117" i="16" a="1"/>
  <c r="BU62" i="16" a="1"/>
  <c r="BG62" i="16" a="1"/>
  <c r="BG97" i="16" a="1"/>
  <c r="L97" i="16" s="1"/>
  <c r="BU97" i="16" a="1"/>
  <c r="BU82" i="16" a="1"/>
  <c r="BG82" i="16" a="1"/>
  <c r="L82" i="16" s="1"/>
  <c r="BU70" i="16" a="1"/>
  <c r="BG70" i="16" a="1"/>
  <c r="L70" i="16" s="1"/>
  <c r="BG74" i="16" a="1"/>
  <c r="L74" i="16" s="1"/>
  <c r="BU74" i="16" a="1"/>
  <c r="BU99" i="16" a="1"/>
  <c r="BG99" i="16" a="1"/>
  <c r="L99" i="16" s="1"/>
  <c r="BG66" i="16" a="1"/>
  <c r="L66" i="16" s="1"/>
  <c r="BU66" i="16" a="1"/>
  <c r="BG64" i="16" a="1"/>
  <c r="L64" i="16" s="1"/>
  <c r="BU64" i="16" a="1"/>
  <c r="BG135" i="16" a="1"/>
  <c r="AB135" i="16" s="1"/>
  <c r="BU135" i="16" a="1"/>
  <c r="BU61" i="16" a="1"/>
  <c r="BG61" i="16" a="1"/>
  <c r="L61" i="16" s="1"/>
  <c r="BG56" i="16" a="1"/>
  <c r="L56" i="16" s="1"/>
  <c r="BU56" i="16" a="1"/>
  <c r="BG124" i="16" a="1"/>
  <c r="AB124" i="16" s="1"/>
  <c r="BU124" i="16" a="1"/>
  <c r="BU102" i="16" a="1"/>
  <c r="BG102" i="16" a="1"/>
  <c r="L102" i="16" s="1"/>
  <c r="BU134" i="16" a="1"/>
  <c r="BG134" i="16" a="1"/>
  <c r="AB134" i="16" s="1"/>
  <c r="BG108" i="16" a="1"/>
  <c r="L108" i="16" s="1"/>
  <c r="BU108" i="16" a="1"/>
  <c r="BU133" i="16" a="1"/>
  <c r="BG133" i="16" a="1"/>
  <c r="AB133" i="16" s="1"/>
  <c r="BU118" i="16" a="1"/>
  <c r="BG118" i="16" a="1"/>
  <c r="AB118" i="16" s="1"/>
  <c r="BU132" i="16" a="1"/>
  <c r="BG132" i="16" a="1"/>
  <c r="AB132" i="16" s="1"/>
  <c r="BU60" i="16" a="1"/>
  <c r="BG60" i="16" a="1"/>
  <c r="BG110" i="16" a="1"/>
  <c r="L110" i="16" s="1"/>
  <c r="BU110" i="16" a="1"/>
  <c r="BG107" i="16" a="1"/>
  <c r="BU107" i="16" a="1"/>
  <c r="BU28" i="16" s="1"/>
  <c r="BG131" i="16" a="1"/>
  <c r="AB131" i="16" s="1"/>
  <c r="BU131" i="16" a="1"/>
  <c r="BG50" i="16" a="1"/>
  <c r="BU50" i="16" a="1"/>
  <c r="BU13" i="16" s="1"/>
  <c r="BU129" i="16" a="1"/>
  <c r="BG129" i="16" a="1"/>
  <c r="AB129" i="16" s="1"/>
  <c r="BU65" i="16" a="1"/>
  <c r="BG65" i="16" a="1"/>
  <c r="L65" i="16" s="1"/>
  <c r="BU128" i="16" a="1"/>
  <c r="BG128" i="16" a="1"/>
  <c r="AB128" i="16" s="1"/>
  <c r="BG123" i="16" a="1"/>
  <c r="AB123" i="16" s="1"/>
  <c r="BU123" i="16" a="1"/>
  <c r="BG88" i="16" a="1"/>
  <c r="L88" i="16" s="1"/>
  <c r="BU88" i="16" a="1"/>
  <c r="BU54" i="16" a="1"/>
  <c r="BU16" i="16" s="1"/>
  <c r="BG54" i="16" a="1"/>
  <c r="L54" i="16" s="1"/>
  <c r="BG112" i="16" a="1"/>
  <c r="L112" i="16" s="1"/>
  <c r="BU112" i="16" a="1"/>
  <c r="BG80" i="16" a="1"/>
  <c r="L80" i="16" s="1"/>
  <c r="BU80" i="16" a="1"/>
  <c r="BG94" i="16" a="1"/>
  <c r="L94" i="16" s="1"/>
  <c r="BU94" i="16" a="1"/>
  <c r="BU83" i="16" a="1"/>
  <c r="BG83" i="16" a="1"/>
  <c r="L83" i="16" s="1"/>
  <c r="BU101" i="16" a="1"/>
  <c r="BG101" i="16" a="1"/>
  <c r="BU78" i="16" a="1"/>
  <c r="BG78" i="16" a="1"/>
  <c r="BG53" i="16" a="1"/>
  <c r="L53" i="16" s="1"/>
  <c r="BU53" i="16" a="1"/>
  <c r="BU15" i="16" s="1"/>
  <c r="BU100" i="16" a="1"/>
  <c r="BG100" i="16" a="1"/>
  <c r="L100" i="16" s="1"/>
  <c r="BU103" i="16" a="1"/>
  <c r="BG103" i="16" a="1"/>
  <c r="L103" i="16" s="1"/>
  <c r="BU58" i="16" a="1"/>
  <c r="BG58" i="16" a="1"/>
  <c r="BU96" i="16" a="1"/>
  <c r="BG96" i="16" a="1"/>
  <c r="BG125" i="16" a="1"/>
  <c r="AB125" i="16" s="1"/>
  <c r="BU125" i="16" a="1"/>
  <c r="BG81" i="16" a="1"/>
  <c r="L81" i="16" s="1"/>
  <c r="BU81" i="16" a="1"/>
  <c r="BU122" i="16" a="1"/>
  <c r="BG122" i="16" a="1"/>
  <c r="AB122" i="16" s="1"/>
  <c r="BG75" i="16" a="1"/>
  <c r="BU75" i="16" a="1"/>
  <c r="BG116" i="16" a="1"/>
  <c r="AB116" i="16" s="1"/>
  <c r="BU116" i="16" a="1"/>
  <c r="BG73" i="16" a="1"/>
  <c r="L73" i="16" s="1"/>
  <c r="BU73" i="16" a="1"/>
  <c r="BU72" i="16" a="1"/>
  <c r="BG72" i="16" a="1"/>
  <c r="BU109" i="16" a="1"/>
  <c r="BG109" i="16" a="1"/>
  <c r="L109" i="16" s="1"/>
  <c r="BU121" i="16" a="1"/>
  <c r="BG121" i="16" a="1"/>
  <c r="AB121" i="16" s="1"/>
  <c r="BU120" i="16" a="1"/>
  <c r="BG120" i="16" a="1"/>
  <c r="AB120" i="16" s="1"/>
  <c r="BU71" i="16" a="1"/>
  <c r="BG71" i="16" a="1"/>
  <c r="BU113" i="16" a="1"/>
  <c r="BU30" i="16" s="1"/>
  <c r="BG113" i="16" a="1"/>
  <c r="L113" i="16" s="1"/>
  <c r="BG119" i="16" a="1"/>
  <c r="AB119" i="16" s="1"/>
  <c r="BU119" i="16" a="1"/>
  <c r="BG106" i="16" a="1"/>
  <c r="L106" i="16" s="1"/>
  <c r="BU106" i="16" a="1"/>
  <c r="BU27" i="16" s="1"/>
  <c r="BU105" i="16" a="1"/>
  <c r="BU26" i="16" s="1"/>
  <c r="BG105" i="16" a="1"/>
  <c r="BG95" i="16" a="1"/>
  <c r="L95" i="16" s="1"/>
  <c r="BU95" i="16" a="1"/>
  <c r="BG92" i="16" a="1"/>
  <c r="BU92" i="16" a="1"/>
  <c r="BG89" i="16" a="1"/>
  <c r="L89" i="16" s="1"/>
  <c r="BU89" i="16" a="1"/>
  <c r="BG86" i="16" a="1"/>
  <c r="L86" i="16" s="1"/>
  <c r="BU86" i="16" a="1"/>
  <c r="BG67" i="16" a="1"/>
  <c r="L67" i="16" s="1"/>
  <c r="BU67" i="16" a="1"/>
  <c r="BG79" i="16" a="1"/>
  <c r="L79" i="16" s="1"/>
  <c r="BU79" i="16" a="1"/>
  <c r="BU98" i="16" a="1"/>
  <c r="BG98" i="16" a="1"/>
  <c r="L98" i="16" s="1"/>
  <c r="BU63" i="16" a="1"/>
  <c r="BG63" i="16" a="1"/>
  <c r="BU114" i="16" a="1"/>
  <c r="BG114" i="16" a="1"/>
  <c r="AB114" i="16" s="1"/>
  <c r="BG138" i="16" a="1"/>
  <c r="AB138" i="16" s="1"/>
  <c r="BU138" i="16" a="1"/>
  <c r="BG59" i="16" a="1"/>
  <c r="L59" i="16" s="1"/>
  <c r="BU59" i="16" a="1"/>
  <c r="BU145" i="16" a="1"/>
  <c r="BG145" i="16" a="1"/>
  <c r="AB145" i="16" s="1"/>
  <c r="BU144" i="16" a="1"/>
  <c r="BG144" i="16" a="1"/>
  <c r="AB144" i="16" s="1"/>
  <c r="BP48" i="16" a="1"/>
  <c r="BB48" i="16" a="1"/>
  <c r="BB136" i="16" a="1"/>
  <c r="W136" i="16" s="1"/>
  <c r="BP136" i="16" a="1"/>
  <c r="BB68" i="16" a="1"/>
  <c r="BP68" i="16" a="1"/>
  <c r="BB96" i="16" a="1"/>
  <c r="BP96" i="16" a="1"/>
  <c r="BP76" i="16" a="1"/>
  <c r="BB76" i="16" a="1"/>
  <c r="BB49" i="16" a="1"/>
  <c r="BP49" i="16" a="1"/>
  <c r="BB62" i="16" a="1"/>
  <c r="BP62" i="16" a="1"/>
  <c r="BB46" i="16" a="1"/>
  <c r="BP46" i="16" a="1"/>
  <c r="BP72" i="16" a="1"/>
  <c r="BB72" i="16" a="1"/>
  <c r="BP120" i="16" a="1"/>
  <c r="BB120" i="16" a="1"/>
  <c r="W120" i="16" s="1"/>
  <c r="BB124" i="16" a="1"/>
  <c r="W124" i="16" s="1"/>
  <c r="BP124" i="16" a="1"/>
  <c r="BP86" i="16" a="1"/>
  <c r="BB86" i="16" a="1"/>
  <c r="BB126" i="16" a="1"/>
  <c r="W126" i="16" s="1"/>
  <c r="BP126" i="16" a="1"/>
  <c r="BP75" i="16" a="1"/>
  <c r="BB75" i="16" a="1"/>
  <c r="BP140" i="16" a="1"/>
  <c r="BB140" i="16" a="1"/>
  <c r="W140" i="16" s="1"/>
  <c r="BB60" i="16" a="1"/>
  <c r="BP60" i="16" a="1"/>
  <c r="BB89" i="16" a="1"/>
  <c r="BP89" i="16" a="1"/>
  <c r="BP121" i="16" a="1"/>
  <c r="BB121" i="16" a="1"/>
  <c r="W121" i="16" s="1"/>
  <c r="BP57" i="16" a="1"/>
  <c r="BB57" i="16" a="1"/>
  <c r="BP129" i="16" a="1"/>
  <c r="BB129" i="16" a="1"/>
  <c r="W129" i="16" s="1"/>
  <c r="BB47" i="16" a="1"/>
  <c r="BP47" i="16" a="1"/>
  <c r="BB88" i="16" a="1"/>
  <c r="BP88" i="16" a="1"/>
  <c r="BP117" i="16" a="1"/>
  <c r="BB117" i="16" a="1"/>
  <c r="W117" i="16" s="1"/>
  <c r="BP142" i="16" a="1"/>
  <c r="BB142" i="16" a="1"/>
  <c r="W142" i="16" s="1"/>
  <c r="BP141" i="16" a="1"/>
  <c r="BB141" i="16" a="1"/>
  <c r="W141" i="16" s="1"/>
  <c r="BP50" i="16" a="1"/>
  <c r="BB50" i="16" a="1"/>
  <c r="BP78" i="16" a="1"/>
  <c r="BB78" i="16" a="1"/>
  <c r="BB71" i="16" a="1"/>
  <c r="BP71" i="16" a="1"/>
  <c r="BP82" i="16" a="1"/>
  <c r="BB82" i="16" a="1"/>
  <c r="BP145" i="16" a="1"/>
  <c r="BB145" i="16" a="1"/>
  <c r="W145" i="16" s="1"/>
  <c r="BB66" i="16" a="1"/>
  <c r="BP66" i="16" a="1"/>
  <c r="BB69" i="16" a="1"/>
  <c r="BP69" i="16" a="1"/>
  <c r="BB83" i="16" a="1"/>
  <c r="BP83" i="16" a="1"/>
  <c r="BP131" i="16" a="1"/>
  <c r="BB131" i="16" a="1"/>
  <c r="W131" i="16" s="1"/>
  <c r="BP59" i="16" a="1"/>
  <c r="BB59" i="16" a="1"/>
  <c r="BP127" i="16" a="1"/>
  <c r="BB127" i="16" a="1"/>
  <c r="W127" i="16" s="1"/>
  <c r="BB65" i="16" a="1"/>
  <c r="BP65" i="16" a="1"/>
  <c r="BB80" i="16" a="1"/>
  <c r="BP80" i="16" a="1"/>
  <c r="BP52" i="16" a="1"/>
  <c r="BB52" i="16" a="1"/>
  <c r="BB91" i="16" a="1"/>
  <c r="BP91" i="16" a="1"/>
  <c r="BB123" i="16" a="1"/>
  <c r="W123" i="16" s="1"/>
  <c r="BP123" i="16" a="1"/>
  <c r="BP85" i="16" a="1"/>
  <c r="BB85" i="16" a="1"/>
  <c r="BB87" i="16" a="1"/>
  <c r="BP87" i="16" a="1"/>
  <c r="BB97" i="16" a="1"/>
  <c r="BP97" i="16" a="1"/>
  <c r="BB84" i="16" a="1"/>
  <c r="BP84" i="16" a="1"/>
  <c r="BB54" i="16" a="1"/>
  <c r="BP54" i="16" a="1"/>
  <c r="BP133" i="16" a="1"/>
  <c r="BB133" i="16" a="1"/>
  <c r="W133" i="16" s="1"/>
  <c r="BP93" i="16" a="1"/>
  <c r="BB93" i="16" a="1"/>
  <c r="BB73" i="16" a="1"/>
  <c r="BP73" i="16" a="1"/>
  <c r="BP92" i="16" a="1"/>
  <c r="BB92" i="16" a="1"/>
  <c r="BP58" i="16" a="1"/>
  <c r="BB58" i="16" a="1"/>
  <c r="BP109" i="16" a="1"/>
  <c r="BB109" i="16" a="1"/>
  <c r="BB101" i="16" a="1"/>
  <c r="BP101" i="16" a="1"/>
  <c r="BB100" i="16" a="1"/>
  <c r="BP100" i="16" a="1"/>
  <c r="BP114" i="16" a="1"/>
  <c r="BB114" i="16" a="1"/>
  <c r="W114" i="16" s="1"/>
  <c r="BP118" i="16" a="1"/>
  <c r="BB118" i="16" a="1"/>
  <c r="W118" i="16" s="1"/>
  <c r="BP79" i="16" a="1"/>
  <c r="BB79" i="16" a="1"/>
  <c r="BB90" i="16" a="1"/>
  <c r="BP90" i="16" a="1"/>
  <c r="BB74" i="16" a="1"/>
  <c r="BP74" i="16" a="1"/>
  <c r="BP95" i="16" a="1"/>
  <c r="BB95" i="16" a="1"/>
  <c r="BB67" i="16" a="1"/>
  <c r="BP67" i="16" a="1"/>
  <c r="BB110" i="16" a="1"/>
  <c r="BP110" i="16" a="1"/>
  <c r="BP99" i="16" a="1"/>
  <c r="BB99" i="16" a="1"/>
  <c r="BP64" i="16" a="1"/>
  <c r="BB64" i="16" a="1"/>
  <c r="BB81" i="16" a="1"/>
  <c r="BP81" i="16" a="1"/>
  <c r="BB70" i="16" a="1"/>
  <c r="BP70" i="16" a="1"/>
  <c r="BP61" i="16" a="1"/>
  <c r="BB61" i="16" a="1"/>
  <c r="BB112" i="16" a="1"/>
  <c r="BP112" i="16" a="1"/>
  <c r="BP135" i="16" a="1"/>
  <c r="BB135" i="16" a="1"/>
  <c r="W135" i="16" s="1"/>
  <c r="BB56" i="16" a="1"/>
  <c r="BP56" i="16" a="1"/>
  <c r="BB55" i="16" a="1"/>
  <c r="BP55" i="16" a="1"/>
  <c r="BP113" i="16" a="1"/>
  <c r="BB113" i="16" a="1"/>
  <c r="BP51" i="16" a="1"/>
  <c r="BB51" i="16" a="1"/>
  <c r="BP125" i="16" a="1"/>
  <c r="BB125" i="16" a="1"/>
  <c r="W125" i="16" s="1"/>
  <c r="BP105" i="16" a="1"/>
  <c r="BB105" i="16" a="1"/>
  <c r="BP138" i="16" a="1"/>
  <c r="BB138" i="16" a="1"/>
  <c r="W138" i="16" s="1"/>
  <c r="BP134" i="16" a="1"/>
  <c r="BB134" i="16" a="1"/>
  <c r="W134" i="16" s="1"/>
  <c r="BB130" i="16" a="1"/>
  <c r="W130" i="16" s="1"/>
  <c r="BP130" i="16" a="1"/>
  <c r="BB104" i="16" a="1"/>
  <c r="BP104" i="16" a="1"/>
  <c r="BB106" i="16" a="1"/>
  <c r="BP106" i="16" a="1"/>
  <c r="BB102" i="16" a="1"/>
  <c r="BP102" i="16" a="1"/>
  <c r="BB53" i="16" a="1"/>
  <c r="BP53" i="16" a="1"/>
  <c r="BP116" i="16" a="1"/>
  <c r="BB116" i="16" a="1"/>
  <c r="W116" i="16" s="1"/>
  <c r="BP77" i="16" a="1"/>
  <c r="BB77" i="16" a="1"/>
  <c r="BB143" i="16" a="1"/>
  <c r="W143" i="16" s="1"/>
  <c r="BP143" i="16" a="1"/>
  <c r="BB119" i="16" a="1"/>
  <c r="W119" i="16" s="1"/>
  <c r="BP119" i="16" a="1"/>
  <c r="BP122" i="16" a="1"/>
  <c r="BB122" i="16" a="1"/>
  <c r="W122" i="16" s="1"/>
  <c r="BB103" i="16" a="1"/>
  <c r="BP103" i="16" a="1"/>
  <c r="BP137" i="16" a="1"/>
  <c r="BB137" i="16" a="1"/>
  <c r="W137" i="16" s="1"/>
  <c r="BP132" i="16" a="1"/>
  <c r="BB132" i="16" a="1"/>
  <c r="W132" i="16" s="1"/>
  <c r="BP115" i="16" a="1"/>
  <c r="BB115" i="16" a="1"/>
  <c r="W115" i="16" s="1"/>
  <c r="BP128" i="16" a="1"/>
  <c r="BB128" i="16" a="1"/>
  <c r="W128" i="16" s="1"/>
  <c r="BB111" i="16" a="1"/>
  <c r="BP111" i="16" a="1"/>
  <c r="BP144" i="16" a="1"/>
  <c r="BB144" i="16" a="1"/>
  <c r="W144" i="16" s="1"/>
  <c r="BB139" i="16" a="1"/>
  <c r="W139" i="16" s="1"/>
  <c r="BP139" i="16" a="1"/>
  <c r="BB107" i="16" a="1"/>
  <c r="BP107" i="16" a="1"/>
  <c r="BP108" i="16" a="1"/>
  <c r="BB108" i="16" a="1"/>
  <c r="BP94" i="16" a="1"/>
  <c r="BB94" i="16" a="1"/>
  <c r="BB63" i="16" a="1"/>
  <c r="BP63" i="16" a="1"/>
  <c r="BP98" i="16" a="1"/>
  <c r="BB98" i="16" a="1"/>
  <c r="BV143" i="16" a="1"/>
  <c r="BH143" i="16" a="1"/>
  <c r="AC143" i="16" s="1"/>
  <c r="BH82" i="16" a="1"/>
  <c r="AC82" i="16" s="1"/>
  <c r="BV82" i="16" a="1"/>
  <c r="BV119" i="16" a="1"/>
  <c r="BH119" i="16" a="1"/>
  <c r="AC119" i="16" s="1"/>
  <c r="BV112" i="16" a="1"/>
  <c r="BH112" i="16" a="1"/>
  <c r="AC112" i="16" s="1"/>
  <c r="BV145" i="16" a="1"/>
  <c r="BH145" i="16" a="1"/>
  <c r="AC145" i="16" s="1"/>
  <c r="BV140" i="16" a="1"/>
  <c r="BH140" i="16" a="1"/>
  <c r="AC140" i="16" s="1"/>
  <c r="BH109" i="16" a="1"/>
  <c r="AC109" i="16" s="1"/>
  <c r="BV109" i="16" a="1"/>
  <c r="BH96" i="16" a="1"/>
  <c r="AC96" i="16" s="1"/>
  <c r="BV96" i="16" a="1"/>
  <c r="BH77" i="16" a="1"/>
  <c r="AC77" i="16" s="1"/>
  <c r="BV77" i="16" a="1"/>
  <c r="BV83" i="16" a="1"/>
  <c r="BH83" i="16" a="1"/>
  <c r="AC83" i="16" s="1"/>
  <c r="BH75" i="16" a="1"/>
  <c r="AC75" i="16" s="1"/>
  <c r="BV75" i="16" a="1"/>
  <c r="BH98" i="16" a="1"/>
  <c r="AC98" i="16" s="1"/>
  <c r="BV98" i="16" a="1"/>
  <c r="BH71" i="16" a="1"/>
  <c r="AC71" i="16" s="1"/>
  <c r="BV71" i="16" a="1"/>
  <c r="BV67" i="16" a="1"/>
  <c r="BH67" i="16" a="1"/>
  <c r="AC67" i="16" s="1"/>
  <c r="BV138" i="16" a="1"/>
  <c r="BH138" i="16" a="1"/>
  <c r="AC138" i="16" s="1"/>
  <c r="BH137" i="16" a="1"/>
  <c r="AC137" i="16" s="1"/>
  <c r="BV137" i="16" a="1"/>
  <c r="BV64" i="16" a="1"/>
  <c r="BH64" i="16" a="1"/>
  <c r="AC64" i="16" s="1"/>
  <c r="BH104" i="16" a="1"/>
  <c r="AC104" i="16" s="1"/>
  <c r="BV104" i="16" a="1"/>
  <c r="BH129" i="16" a="1"/>
  <c r="AC129" i="16" s="1"/>
  <c r="BV129" i="16" a="1"/>
  <c r="BV136" i="16" a="1"/>
  <c r="BH136" i="16" a="1"/>
  <c r="AC136" i="16" s="1"/>
  <c r="BH62" i="16" a="1"/>
  <c r="AC62" i="16" s="1"/>
  <c r="BV62" i="16" a="1"/>
  <c r="BV135" i="16" a="1"/>
  <c r="BH135" i="16" a="1"/>
  <c r="AC135" i="16" s="1"/>
  <c r="BV97" i="16" a="1"/>
  <c r="BH97" i="16" a="1"/>
  <c r="AC97" i="16" s="1"/>
  <c r="BH54" i="16" a="1"/>
  <c r="AC54" i="16" s="1"/>
  <c r="BV54" i="16" a="1"/>
  <c r="BV110" i="16" a="1"/>
  <c r="BH110" i="16" a="1"/>
  <c r="AC110" i="16" s="1"/>
  <c r="BV53" i="16" a="1"/>
  <c r="BH53" i="16" a="1"/>
  <c r="AC53" i="16" s="1"/>
  <c r="BV80" i="16" a="1"/>
  <c r="BH80" i="16" a="1"/>
  <c r="AC80" i="16" s="1"/>
  <c r="BH134" i="16" a="1"/>
  <c r="AC134" i="16" s="1"/>
  <c r="BV134" i="16" a="1"/>
  <c r="BV87" i="16" a="1"/>
  <c r="BH87" i="16" a="1"/>
  <c r="AC87" i="16" s="1"/>
  <c r="BV107" i="16" a="1"/>
  <c r="BH107" i="16" a="1"/>
  <c r="AC107" i="16" s="1"/>
  <c r="BV100" i="16" a="1"/>
  <c r="BH100" i="16" a="1"/>
  <c r="AC100" i="16" s="1"/>
  <c r="BV58" i="16" a="1"/>
  <c r="BH58" i="16" a="1"/>
  <c r="AC58" i="16" s="1"/>
  <c r="BH74" i="16" a="1"/>
  <c r="AC74" i="16" s="1"/>
  <c r="BV74" i="16" a="1"/>
  <c r="BH123" i="16" a="1"/>
  <c r="AC123" i="16" s="1"/>
  <c r="BV123" i="16" a="1"/>
  <c r="BH78" i="16" a="1"/>
  <c r="AC78" i="16" s="1"/>
  <c r="BV78" i="16" a="1"/>
  <c r="BH93" i="16" a="1"/>
  <c r="AC93" i="16" s="1"/>
  <c r="BV93" i="16" a="1"/>
  <c r="BH73" i="16" a="1"/>
  <c r="AC73" i="16" s="1"/>
  <c r="BV73" i="16" a="1"/>
  <c r="BV132" i="16" a="1"/>
  <c r="BH132" i="16" a="1"/>
  <c r="AC132" i="16" s="1"/>
  <c r="BV65" i="16" a="1"/>
  <c r="BH65" i="16" a="1"/>
  <c r="AC65" i="16" s="1"/>
  <c r="BH141" i="16" a="1"/>
  <c r="AC141" i="16" s="1"/>
  <c r="BV141" i="16" a="1"/>
  <c r="BH85" i="16" a="1"/>
  <c r="AC85" i="16" s="1"/>
  <c r="BV85" i="16" a="1"/>
  <c r="BH128" i="16" a="1"/>
  <c r="AC128" i="16" s="1"/>
  <c r="BV128" i="16" a="1"/>
  <c r="BV117" i="16" a="1"/>
  <c r="BH117" i="16" a="1"/>
  <c r="AC117" i="16" s="1"/>
  <c r="BH116" i="16" a="1"/>
  <c r="AC116" i="16" s="1"/>
  <c r="BV116" i="16" a="1"/>
  <c r="BV81" i="16" a="1"/>
  <c r="BH81" i="16" a="1"/>
  <c r="AC81" i="16" s="1"/>
  <c r="BV106" i="16" a="1"/>
  <c r="BH106" i="16" a="1"/>
  <c r="AC106" i="16" s="1"/>
  <c r="BH105" i="16" a="1"/>
  <c r="AC105" i="16" s="1"/>
  <c r="BV105" i="16" a="1"/>
  <c r="BV95" i="16" a="1"/>
  <c r="BH95" i="16" a="1"/>
  <c r="AC95" i="16" s="1"/>
  <c r="BV91" i="16" a="1"/>
  <c r="BH91" i="16" a="1"/>
  <c r="AC91" i="16" s="1"/>
  <c r="BV89" i="16" a="1"/>
  <c r="BH89" i="16" a="1"/>
  <c r="AC89" i="16" s="1"/>
  <c r="BH131" i="16" a="1"/>
  <c r="AC131" i="16" s="1"/>
  <c r="BV131" i="16" a="1"/>
  <c r="BH86" i="16" a="1"/>
  <c r="AC86" i="16" s="1"/>
  <c r="BV86" i="16" a="1"/>
  <c r="BH63" i="16" a="1"/>
  <c r="AC63" i="16" s="1"/>
  <c r="BV63" i="16" a="1"/>
  <c r="BV59" i="16" a="1"/>
  <c r="BH59" i="16" a="1"/>
  <c r="AC59" i="16" s="1"/>
  <c r="BV88" i="16" a="1"/>
  <c r="BH88" i="16" a="1"/>
  <c r="AC88" i="16" s="1"/>
  <c r="BH50" i="16" a="1"/>
  <c r="AC50" i="16" s="1"/>
  <c r="BV50" i="16" a="1"/>
  <c r="BV68" i="16" a="1"/>
  <c r="BH68" i="16" a="1"/>
  <c r="AC68" i="16" s="1"/>
  <c r="BH48" i="16" a="1"/>
  <c r="AC48" i="16" s="1"/>
  <c r="BV48" i="16" a="1"/>
  <c r="BV142" i="16" a="1"/>
  <c r="BH142" i="16" a="1"/>
  <c r="AC142" i="16" s="1"/>
  <c r="BV139" i="16" a="1"/>
  <c r="BH139" i="16" a="1"/>
  <c r="AC139" i="16" s="1"/>
  <c r="BV127" i="16" a="1"/>
  <c r="BH127" i="16" a="1"/>
  <c r="AC127" i="16" s="1"/>
  <c r="BH126" i="16" a="1"/>
  <c r="AC126" i="16" s="1"/>
  <c r="BV126" i="16" a="1"/>
  <c r="BH122" i="16" a="1"/>
  <c r="AC122" i="16" s="1"/>
  <c r="BV122" i="16" a="1"/>
  <c r="BV102" i="16" a="1"/>
  <c r="BH102" i="16" a="1"/>
  <c r="AC102" i="16" s="1"/>
  <c r="BH46" i="16" a="1"/>
  <c r="AC46" i="16" s="1"/>
  <c r="BV46" i="16" a="1"/>
  <c r="BV76" i="16" a="1"/>
  <c r="BH76" i="16" a="1"/>
  <c r="AC76" i="16" s="1"/>
  <c r="BH130" i="16" a="1"/>
  <c r="AC130" i="16" s="1"/>
  <c r="BV130" i="16" a="1"/>
  <c r="BV72" i="16" a="1"/>
  <c r="BH72" i="16" a="1"/>
  <c r="AC72" i="16" s="1"/>
  <c r="BH84" i="16" a="1"/>
  <c r="AC84" i="16" s="1"/>
  <c r="BV84" i="16" a="1"/>
  <c r="BH133" i="16" a="1"/>
  <c r="AC133" i="16" s="1"/>
  <c r="BV133" i="16" a="1"/>
  <c r="BV52" i="16" a="1"/>
  <c r="BH52" i="16" a="1"/>
  <c r="AC52" i="16" s="1"/>
  <c r="BH125" i="16" a="1"/>
  <c r="AC125" i="16" s="1"/>
  <c r="BV125" i="16" a="1"/>
  <c r="BH94" i="16" a="1"/>
  <c r="AC94" i="16" s="1"/>
  <c r="BV94" i="16" a="1"/>
  <c r="BH47" i="16" a="1"/>
  <c r="AC47" i="16" s="1"/>
  <c r="BV47" i="16" a="1"/>
  <c r="BH144" i="16" a="1"/>
  <c r="AC144" i="16" s="1"/>
  <c r="BV144" i="16" a="1"/>
  <c r="BV69" i="16" a="1"/>
  <c r="BH69" i="16" a="1"/>
  <c r="AC69" i="16" s="1"/>
  <c r="BH118" i="16" a="1"/>
  <c r="AC118" i="16" s="1"/>
  <c r="BV118" i="16" a="1"/>
  <c r="BV57" i="16" a="1"/>
  <c r="BH57" i="16" a="1"/>
  <c r="AC57" i="16" s="1"/>
  <c r="BH114" i="16" a="1"/>
  <c r="AC114" i="16" s="1"/>
  <c r="BV114" i="16" a="1"/>
  <c r="BV92" i="16" a="1"/>
  <c r="BH92" i="16" a="1"/>
  <c r="AC92" i="16" s="1"/>
  <c r="BV101" i="16" a="1"/>
  <c r="BH101" i="16" a="1"/>
  <c r="AC101" i="16" s="1"/>
  <c r="BH113" i="16" a="1"/>
  <c r="AC113" i="16" s="1"/>
  <c r="BV113" i="16" a="1"/>
  <c r="BH90" i="16" a="1"/>
  <c r="AC90" i="16" s="1"/>
  <c r="BV90" i="16" a="1"/>
  <c r="BH121" i="16" a="1"/>
  <c r="AC121" i="16" s="1"/>
  <c r="BV121" i="16" a="1"/>
  <c r="BV70" i="16" a="1"/>
  <c r="BH70" i="16" a="1"/>
  <c r="AC70" i="16" s="1"/>
  <c r="BH66" i="16" a="1"/>
  <c r="AC66" i="16" s="1"/>
  <c r="BV66" i="16" a="1"/>
  <c r="BH124" i="16" a="1"/>
  <c r="AC124" i="16" s="1"/>
  <c r="BV124" i="16" a="1"/>
  <c r="BV99" i="16" a="1"/>
  <c r="BH99" i="16" a="1"/>
  <c r="AC99" i="16" s="1"/>
  <c r="BH108" i="16" a="1"/>
  <c r="AC108" i="16" s="1"/>
  <c r="BV108" i="16" a="1"/>
  <c r="BH61" i="16" a="1"/>
  <c r="AC61" i="16" s="1"/>
  <c r="BV61" i="16" a="1"/>
  <c r="BH49" i="16" a="1"/>
  <c r="AC49" i="16" s="1"/>
  <c r="BV49" i="16" a="1"/>
  <c r="BV60" i="16" a="1"/>
  <c r="BH60" i="16" a="1"/>
  <c r="AC60" i="16" s="1"/>
  <c r="BV103" i="16" a="1"/>
  <c r="BH103" i="16" a="1"/>
  <c r="AC103" i="16" s="1"/>
  <c r="BV56" i="16" a="1"/>
  <c r="BH56" i="16" a="1"/>
  <c r="AC56" i="16" s="1"/>
  <c r="BH111" i="16" a="1"/>
  <c r="AC111" i="16" s="1"/>
  <c r="BV111" i="16" a="1"/>
  <c r="BH79" i="16" a="1"/>
  <c r="AC79" i="16" s="1"/>
  <c r="BV79" i="16" a="1"/>
  <c r="BH55" i="16" a="1"/>
  <c r="AC55" i="16" s="1"/>
  <c r="BV55" i="16" a="1"/>
  <c r="BH120" i="16" a="1"/>
  <c r="AC120" i="16" s="1"/>
  <c r="BV120" i="16" a="1"/>
  <c r="BV51" i="16" a="1"/>
  <c r="BH51" i="16" a="1"/>
  <c r="AC51" i="16" s="1"/>
  <c r="BH115" i="16" a="1"/>
  <c r="AC115" i="16" s="1"/>
  <c r="BV115" i="16" a="1"/>
  <c r="BQ89" i="16" a="1"/>
  <c r="BC89" i="16" a="1"/>
  <c r="BQ119" i="16" a="1"/>
  <c r="BC119" i="16" a="1"/>
  <c r="X119" i="16" s="1"/>
  <c r="BQ86" i="16" a="1"/>
  <c r="BC86" i="16" a="1"/>
  <c r="BQ65" i="16" a="1"/>
  <c r="BC65" i="16" a="1"/>
  <c r="BQ67" i="16" a="1"/>
  <c r="BC67" i="16" a="1"/>
  <c r="BQ135" i="16" a="1"/>
  <c r="BC135" i="16" a="1"/>
  <c r="X135" i="16" s="1"/>
  <c r="BQ51" i="16" a="1"/>
  <c r="BC51" i="16" a="1"/>
  <c r="BC111" i="16" a="1"/>
  <c r="BQ111" i="16" a="1"/>
  <c r="BC63" i="16" a="1"/>
  <c r="BQ63" i="16" a="1"/>
  <c r="BC52" i="16" a="1"/>
  <c r="BQ52" i="16" a="1"/>
  <c r="BC48" i="16" a="1"/>
  <c r="BQ48" i="16" a="1"/>
  <c r="BC75" i="16" a="1"/>
  <c r="BQ75" i="16" a="1"/>
  <c r="BC131" i="16" a="1"/>
  <c r="X131" i="16" s="1"/>
  <c r="BQ131" i="16" a="1"/>
  <c r="BC81" i="16" a="1"/>
  <c r="BQ81" i="16" a="1"/>
  <c r="BQ94" i="16" a="1"/>
  <c r="BC94" i="16" a="1"/>
  <c r="AO30" i="16"/>
  <c r="BQ113" i="16" a="1"/>
  <c r="BC113" i="16" a="1"/>
  <c r="BQ55" i="16" a="1"/>
  <c r="BC55" i="16" a="1"/>
  <c r="BQ136" i="16" a="1"/>
  <c r="BC136" i="16" a="1"/>
  <c r="X136" i="16" s="1"/>
  <c r="BQ82" i="16" a="1"/>
  <c r="BC82" i="16" a="1"/>
  <c r="BC137" i="16" a="1"/>
  <c r="X137" i="16" s="1"/>
  <c r="BQ137" i="16" a="1"/>
  <c r="BC57" i="16" a="1"/>
  <c r="BQ57" i="16" a="1"/>
  <c r="BQ107" i="16" a="1"/>
  <c r="BC107" i="16" a="1"/>
  <c r="BQ101" i="16" a="1"/>
  <c r="BC101" i="16" a="1"/>
  <c r="BQ140" i="16" a="1"/>
  <c r="BC140" i="16" a="1"/>
  <c r="X140" i="16" s="1"/>
  <c r="BQ56" i="16" a="1"/>
  <c r="BC56" i="16" a="1"/>
  <c r="BC97" i="16" a="1"/>
  <c r="BQ97" i="16" a="1"/>
  <c r="BQ129" i="16" a="1"/>
  <c r="BC129" i="16" a="1"/>
  <c r="X129" i="16" s="1"/>
  <c r="BQ83" i="16" a="1"/>
  <c r="BC83" i="16" a="1"/>
  <c r="BQ127" i="16" a="1"/>
  <c r="BC127" i="16" a="1"/>
  <c r="X127" i="16" s="1"/>
  <c r="BQ98" i="16" a="1"/>
  <c r="BC98" i="16" a="1"/>
  <c r="BC78" i="16" a="1"/>
  <c r="BQ78" i="16" a="1"/>
  <c r="BQ139" i="16" a="1"/>
  <c r="BC139" i="16" a="1"/>
  <c r="X139" i="16" s="1"/>
  <c r="BC49" i="16" a="1"/>
  <c r="BQ49" i="16" a="1"/>
  <c r="BQ123" i="16" a="1"/>
  <c r="BC123" i="16" a="1"/>
  <c r="X123" i="16" s="1"/>
  <c r="BQ109" i="16" a="1"/>
  <c r="BC109" i="16" a="1"/>
  <c r="BQ122" i="16" a="1"/>
  <c r="BC122" i="16" a="1"/>
  <c r="X122" i="16" s="1"/>
  <c r="BQ128" i="16" a="1"/>
  <c r="BC128" i="16" a="1"/>
  <c r="X128" i="16" s="1"/>
  <c r="BC115" i="16" a="1"/>
  <c r="X115" i="16" s="1"/>
  <c r="BQ115" i="16" a="1"/>
  <c r="BQ106" i="16" a="1"/>
  <c r="BC106" i="16" a="1"/>
  <c r="BC61" i="16" a="1"/>
  <c r="BQ61" i="16" a="1"/>
  <c r="BQ92" i="16" a="1"/>
  <c r="BC92" i="16" a="1"/>
  <c r="BC130" i="16" a="1"/>
  <c r="X130" i="16" s="1"/>
  <c r="BQ130" i="16" a="1"/>
  <c r="BC102" i="16" a="1"/>
  <c r="BQ102" i="16" a="1"/>
  <c r="BQ100" i="16" a="1"/>
  <c r="BC100" i="16" a="1"/>
  <c r="BC93" i="16" a="1"/>
  <c r="BQ93" i="16" a="1"/>
  <c r="BQ114" i="16" a="1"/>
  <c r="BC114" i="16" a="1"/>
  <c r="X114" i="16" s="1"/>
  <c r="BQ125" i="16" a="1"/>
  <c r="BC125" i="16" a="1"/>
  <c r="X125" i="16" s="1"/>
  <c r="BQ124" i="16" a="1"/>
  <c r="BC124" i="16" a="1"/>
  <c r="X124" i="16" s="1"/>
  <c r="BQ145" i="16" a="1"/>
  <c r="BC145" i="16" a="1"/>
  <c r="X145" i="16" s="1"/>
  <c r="BC58" i="16" a="1"/>
  <c r="BQ58" i="16" a="1"/>
  <c r="BQ126" i="16" a="1"/>
  <c r="BC126" i="16" a="1"/>
  <c r="X126" i="16" s="1"/>
  <c r="BQ138" i="16" a="1"/>
  <c r="BC138" i="16" a="1"/>
  <c r="X138" i="16" s="1"/>
  <c r="BQ84" i="16" a="1"/>
  <c r="BC84" i="16" a="1"/>
  <c r="BQ50" i="16" a="1"/>
  <c r="BC50" i="16" a="1"/>
  <c r="BQ87" i="16" a="1"/>
  <c r="BC87" i="16" a="1"/>
  <c r="BC77" i="16" a="1"/>
  <c r="BQ77" i="16" a="1"/>
  <c r="BC88" i="16" a="1"/>
  <c r="BQ88" i="16" a="1"/>
  <c r="BQ121" i="16" a="1"/>
  <c r="BC121" i="16" a="1"/>
  <c r="X121" i="16" s="1"/>
  <c r="BQ132" i="16" a="1"/>
  <c r="BC132" i="16" a="1"/>
  <c r="X132" i="16" s="1"/>
  <c r="BQ76" i="16" a="1"/>
  <c r="BC76" i="16" a="1"/>
  <c r="BC120" i="16" a="1"/>
  <c r="X120" i="16" s="1"/>
  <c r="BQ120" i="16" a="1"/>
  <c r="BQ53" i="16" a="1"/>
  <c r="BC53" i="16" a="1"/>
  <c r="BC74" i="16" a="1"/>
  <c r="BQ74" i="16" a="1"/>
  <c r="BC69" i="16" a="1"/>
  <c r="BQ69" i="16" a="1"/>
  <c r="BQ108" i="16" a="1"/>
  <c r="BC108" i="16" a="1"/>
  <c r="BQ47" i="16" a="1"/>
  <c r="BC47" i="16" a="1"/>
  <c r="BC110" i="16" a="1"/>
  <c r="BQ110" i="16" a="1"/>
  <c r="BC116" i="16" a="1"/>
  <c r="X116" i="16" s="1"/>
  <c r="BQ116" i="16" a="1"/>
  <c r="BC144" i="16" a="1"/>
  <c r="X144" i="16" s="1"/>
  <c r="BQ144" i="16" a="1"/>
  <c r="BC62" i="16" a="1"/>
  <c r="BQ62" i="16" a="1"/>
  <c r="BC72" i="16" a="1"/>
  <c r="BQ72" i="16" a="1"/>
  <c r="BC112" i="16" a="1"/>
  <c r="BQ112" i="16" a="1"/>
  <c r="BC143" i="16" a="1"/>
  <c r="X143" i="16" s="1"/>
  <c r="BQ143" i="16" a="1"/>
  <c r="BC96" i="16" a="1"/>
  <c r="BQ96" i="16" a="1"/>
  <c r="BQ90" i="16" a="1"/>
  <c r="BC90" i="16" a="1"/>
  <c r="BC80" i="16" a="1"/>
  <c r="BQ80" i="16" a="1"/>
  <c r="BQ134" i="16" a="1"/>
  <c r="BC134" i="16" a="1"/>
  <c r="X134" i="16" s="1"/>
  <c r="BQ99" i="16" a="1"/>
  <c r="BC99" i="16" a="1"/>
  <c r="BQ46" i="16" a="1"/>
  <c r="BC46" i="16" a="1"/>
  <c r="BC54" i="16" a="1"/>
  <c r="BQ54" i="16" a="1"/>
  <c r="BC70" i="16" a="1"/>
  <c r="BQ70" i="16" a="1"/>
  <c r="BQ64" i="16" a="1"/>
  <c r="BC64" i="16" a="1"/>
  <c r="BC118" i="16" a="1"/>
  <c r="X118" i="16" s="1"/>
  <c r="BQ118" i="16" a="1"/>
  <c r="BC66" i="16" a="1"/>
  <c r="BQ66" i="16" a="1"/>
  <c r="BC105" i="16" a="1"/>
  <c r="BQ105" i="16" a="1"/>
  <c r="BQ91" i="16" a="1"/>
  <c r="BC91" i="16" a="1"/>
  <c r="BQ142" i="16" a="1"/>
  <c r="BC142" i="16" a="1"/>
  <c r="X142" i="16" s="1"/>
  <c r="BC104" i="16" a="1"/>
  <c r="BQ104" i="16" a="1"/>
  <c r="BC68" i="16" a="1"/>
  <c r="BQ68" i="16" a="1"/>
  <c r="BC103" i="16" a="1"/>
  <c r="BQ103" i="16" a="1"/>
  <c r="BQ60" i="16" a="1"/>
  <c r="BC60" i="16" a="1"/>
  <c r="BC85" i="16" a="1"/>
  <c r="BQ85" i="16" a="1"/>
  <c r="BQ117" i="16" a="1"/>
  <c r="BC117" i="16" a="1"/>
  <c r="X117" i="16" s="1"/>
  <c r="BQ95" i="16" a="1"/>
  <c r="BC95" i="16" a="1"/>
  <c r="BC73" i="16" a="1"/>
  <c r="BQ73" i="16" a="1"/>
  <c r="BC79" i="16" a="1"/>
  <c r="BQ79" i="16" a="1"/>
  <c r="BQ141" i="16" a="1"/>
  <c r="BC141" i="16" a="1"/>
  <c r="X141" i="16" s="1"/>
  <c r="BC133" i="16" a="1"/>
  <c r="X133" i="16" s="1"/>
  <c r="BQ133" i="16" a="1"/>
  <c r="BQ71" i="16" a="1"/>
  <c r="BC71" i="16" a="1"/>
  <c r="BQ59" i="16" a="1"/>
  <c r="BC59" i="16" a="1"/>
  <c r="BN144" i="16" a="1"/>
  <c r="AZ144" i="16" a="1"/>
  <c r="U144" i="16" s="1"/>
  <c r="AZ142" i="16" a="1"/>
  <c r="U142" i="16" s="1"/>
  <c r="BN142" i="16" a="1"/>
  <c r="AZ60" i="16" a="1"/>
  <c r="BN60" i="16" a="1"/>
  <c r="BN128" i="16" a="1"/>
  <c r="AZ128" i="16" a="1"/>
  <c r="U128" i="16" s="1"/>
  <c r="BN139" i="16" a="1"/>
  <c r="AZ139" i="16" a="1"/>
  <c r="U139" i="16" s="1"/>
  <c r="BN49" i="16" a="1"/>
  <c r="AZ49" i="16" a="1"/>
  <c r="BN72" i="16" a="1"/>
  <c r="AZ72" i="16" a="1"/>
  <c r="AZ127" i="16" a="1"/>
  <c r="U127" i="16" s="1"/>
  <c r="BN127" i="16" a="1"/>
  <c r="AZ145" i="16" a="1"/>
  <c r="U145" i="16" s="1"/>
  <c r="BN145" i="16" a="1"/>
  <c r="AZ125" i="16" a="1"/>
  <c r="U125" i="16" s="1"/>
  <c r="BN125" i="16" a="1"/>
  <c r="BN107" i="16" a="1"/>
  <c r="AZ107" i="16" a="1"/>
  <c r="BN92" i="16" a="1"/>
  <c r="AZ92" i="16" a="1"/>
  <c r="BN83" i="16" a="1"/>
  <c r="AZ83" i="16" a="1"/>
  <c r="AZ71" i="16" a="1"/>
  <c r="BN71" i="16" a="1"/>
  <c r="BN111" i="16" a="1"/>
  <c r="AZ111" i="16" a="1"/>
  <c r="BN138" i="16" a="1"/>
  <c r="AZ138" i="16" a="1"/>
  <c r="U138" i="16" s="1"/>
  <c r="AZ137" i="16" a="1"/>
  <c r="U137" i="16" s="1"/>
  <c r="BN137" i="16" a="1"/>
  <c r="BN119" i="16" a="1"/>
  <c r="AZ119" i="16" a="1"/>
  <c r="U119" i="16" s="1"/>
  <c r="AZ118" i="16" a="1"/>
  <c r="U118" i="16" s="1"/>
  <c r="BN118" i="16" a="1"/>
  <c r="AZ79" i="16" a="1"/>
  <c r="BN79" i="16" a="1"/>
  <c r="BN116" i="16" a="1"/>
  <c r="AZ116" i="16" a="1"/>
  <c r="U116" i="16" s="1"/>
  <c r="BN136" i="16" a="1"/>
  <c r="AZ136" i="16" a="1"/>
  <c r="U136" i="16" s="1"/>
  <c r="BN76" i="16" a="1"/>
  <c r="AZ76" i="16" a="1"/>
  <c r="BN135" i="16" a="1"/>
  <c r="AZ135" i="16" a="1"/>
  <c r="U135" i="16" s="1"/>
  <c r="BN97" i="16" a="1"/>
  <c r="AZ97" i="16" a="1"/>
  <c r="AZ117" i="16" a="1"/>
  <c r="U117" i="16" s="1"/>
  <c r="BN117" i="16" a="1"/>
  <c r="BN134" i="16" a="1"/>
  <c r="AZ134" i="16" a="1"/>
  <c r="U134" i="16" s="1"/>
  <c r="BN102" i="16" a="1"/>
  <c r="AZ102" i="16" a="1"/>
  <c r="BN133" i="16" a="1"/>
  <c r="AZ133" i="16" a="1"/>
  <c r="U133" i="16" s="1"/>
  <c r="AZ50" i="16" a="1"/>
  <c r="BN50" i="16" a="1"/>
  <c r="AZ132" i="16" a="1"/>
  <c r="U132" i="16" s="1"/>
  <c r="BN132" i="16" a="1"/>
  <c r="BN91" i="16" a="1"/>
  <c r="AZ91" i="16" a="1"/>
  <c r="BN131" i="16" a="1"/>
  <c r="AZ131" i="16" a="1"/>
  <c r="U131" i="16" s="1"/>
  <c r="AZ87" i="16" a="1"/>
  <c r="BN87" i="16" a="1"/>
  <c r="AZ114" i="16" a="1"/>
  <c r="U114" i="16" s="1"/>
  <c r="BN114" i="16" a="1"/>
  <c r="BN54" i="16" a="1"/>
  <c r="AZ54" i="16" a="1"/>
  <c r="AZ143" i="16" a="1"/>
  <c r="U143" i="16" s="1"/>
  <c r="BN143" i="16" a="1"/>
  <c r="AZ121" i="16" a="1"/>
  <c r="U121" i="16" s="1"/>
  <c r="BN121" i="16" a="1"/>
  <c r="AZ112" i="16" a="1"/>
  <c r="BN112" i="16" a="1"/>
  <c r="AZ124" i="16" a="1"/>
  <c r="U124" i="16" s="1"/>
  <c r="BN124" i="16" a="1"/>
  <c r="AZ47" i="16" a="1"/>
  <c r="BN47" i="16" a="1"/>
  <c r="AZ110" i="16" a="1"/>
  <c r="BN110" i="16" a="1"/>
  <c r="BN104" i="16" a="1"/>
  <c r="AZ104" i="16" a="1"/>
  <c r="AZ103" i="16" a="1"/>
  <c r="BN103" i="16" a="1"/>
  <c r="AZ77" i="16" a="1"/>
  <c r="BN77" i="16" a="1"/>
  <c r="BN88" i="16" a="1"/>
  <c r="AZ88" i="16" a="1"/>
  <c r="AZ96" i="16" a="1"/>
  <c r="BN96" i="16" a="1"/>
  <c r="AZ89" i="16" a="1"/>
  <c r="BN89" i="16" a="1"/>
  <c r="AZ106" i="16" a="1"/>
  <c r="BN106" i="16" a="1"/>
  <c r="BN85" i="16" a="1"/>
  <c r="AZ85" i="16" a="1"/>
  <c r="BN62" i="16" a="1"/>
  <c r="AZ62" i="16" a="1"/>
  <c r="BN69" i="16" a="1"/>
  <c r="AZ69" i="16" a="1"/>
  <c r="BN73" i="16" a="1"/>
  <c r="AZ73" i="16" a="1"/>
  <c r="BN65" i="16" a="1"/>
  <c r="AZ65" i="16" a="1"/>
  <c r="BN100" i="16" a="1"/>
  <c r="AZ100" i="16" a="1"/>
  <c r="AZ82" i="16" a="1"/>
  <c r="BN82" i="16" a="1"/>
  <c r="BN105" i="16" a="1"/>
  <c r="AZ105" i="16" a="1"/>
  <c r="AZ66" i="16" a="1"/>
  <c r="BN66" i="16" a="1"/>
  <c r="BN115" i="16" a="1"/>
  <c r="AZ115" i="16" a="1"/>
  <c r="U115" i="16" s="1"/>
  <c r="BN81" i="16" a="1"/>
  <c r="AZ81" i="16" a="1"/>
  <c r="BN58" i="16" a="1"/>
  <c r="AZ58" i="16" a="1"/>
  <c r="BN80" i="16" a="1"/>
  <c r="AZ80" i="16" a="1"/>
  <c r="BN120" i="16" a="1"/>
  <c r="AZ120" i="16" a="1"/>
  <c r="U120" i="16" s="1"/>
  <c r="AZ75" i="16" a="1"/>
  <c r="BN75" i="16" a="1"/>
  <c r="BN84" i="16" a="1"/>
  <c r="AZ84" i="16" a="1"/>
  <c r="AZ95" i="16" a="1"/>
  <c r="BN95" i="16" a="1"/>
  <c r="AZ101" i="16" a="1"/>
  <c r="BN101" i="16" a="1"/>
  <c r="BN126" i="16" a="1"/>
  <c r="AZ126" i="16" a="1"/>
  <c r="U126" i="16" s="1"/>
  <c r="BN122" i="16" a="1"/>
  <c r="AZ122" i="16" a="1"/>
  <c r="U122" i="16" s="1"/>
  <c r="AZ93" i="16" a="1"/>
  <c r="BN93" i="16" a="1"/>
  <c r="AZ99" i="16" a="1"/>
  <c r="BN99" i="16" a="1"/>
  <c r="BN98" i="16" a="1"/>
  <c r="AZ98" i="16" a="1"/>
  <c r="BN108" i="16" a="1"/>
  <c r="AZ108" i="16" a="1"/>
  <c r="AZ130" i="16" a="1"/>
  <c r="U130" i="16" s="1"/>
  <c r="BN130" i="16" a="1"/>
  <c r="BN86" i="16" a="1"/>
  <c r="AZ86" i="16" a="1"/>
  <c r="AZ68" i="16" a="1"/>
  <c r="BN68" i="16" a="1"/>
  <c r="AZ109" i="16" a="1"/>
  <c r="BN109" i="16" a="1"/>
  <c r="BN70" i="16" a="1"/>
  <c r="AZ70" i="16" a="1"/>
  <c r="BN141" i="16" a="1"/>
  <c r="AZ141" i="16" a="1"/>
  <c r="U141" i="16" s="1"/>
  <c r="AZ67" i="16" a="1"/>
  <c r="BN67" i="16" a="1"/>
  <c r="BN123" i="16" a="1"/>
  <c r="AZ123" i="16" a="1"/>
  <c r="U123" i="16" s="1"/>
  <c r="BN52" i="16" a="1"/>
  <c r="AZ52" i="16" a="1"/>
  <c r="BN48" i="16" a="1"/>
  <c r="AZ48" i="16" a="1"/>
  <c r="BN94" i="16" a="1"/>
  <c r="AZ94" i="16" a="1"/>
  <c r="AZ63" i="16" a="1"/>
  <c r="BN63" i="16" a="1"/>
  <c r="AZ57" i="16" a="1"/>
  <c r="BN57" i="16" a="1"/>
  <c r="AZ53" i="16" a="1"/>
  <c r="BN53" i="16" a="1"/>
  <c r="BN129" i="16" a="1"/>
  <c r="AZ129" i="16" a="1"/>
  <c r="U129" i="16" s="1"/>
  <c r="AZ90" i="16" a="1"/>
  <c r="BN90" i="16" a="1"/>
  <c r="BN113" i="16" a="1"/>
  <c r="AZ113" i="16" a="1"/>
  <c r="BN78" i="16" a="1"/>
  <c r="AZ78" i="16" a="1"/>
  <c r="AZ61" i="16" a="1"/>
  <c r="BN61" i="16" a="1"/>
  <c r="AZ59" i="16" a="1"/>
  <c r="BN59" i="16" a="1"/>
  <c r="AZ74" i="16" a="1"/>
  <c r="BN74" i="16" a="1"/>
  <c r="BN56" i="16" a="1"/>
  <c r="AZ56" i="16" a="1"/>
  <c r="BN46" i="16" a="1"/>
  <c r="AZ46" i="16" a="1"/>
  <c r="BN140" i="16" a="1"/>
  <c r="AZ140" i="16" a="1"/>
  <c r="U140" i="16" s="1"/>
  <c r="BN55" i="16" a="1"/>
  <c r="AZ55" i="16" a="1"/>
  <c r="AZ51" i="16" a="1"/>
  <c r="BN51" i="16" a="1"/>
  <c r="BN64" i="16" a="1"/>
  <c r="AZ64" i="16" a="1"/>
  <c r="AR26" i="16"/>
  <c r="K26" i="16" s="1"/>
  <c r="BF105" i="16" a="1"/>
  <c r="BF26" i="16" s="1"/>
  <c r="BT105" i="16" a="1"/>
  <c r="BT26" i="16" s="1"/>
  <c r="BF114" i="16" a="1"/>
  <c r="AA114" i="16" s="1"/>
  <c r="BT114" i="16" a="1"/>
  <c r="BT130" i="16" a="1"/>
  <c r="BF130" i="16" a="1"/>
  <c r="AA130" i="16" s="1"/>
  <c r="BT64" i="16" a="1"/>
  <c r="BF64" i="16" a="1"/>
  <c r="BT138" i="16" a="1"/>
  <c r="BF138" i="16" a="1"/>
  <c r="AA138" i="16" s="1"/>
  <c r="BF100" i="16" a="1"/>
  <c r="BT100" i="16" a="1"/>
  <c r="BF107" i="16" a="1"/>
  <c r="BT107" i="16" a="1"/>
  <c r="AR30" i="16"/>
  <c r="BF113" i="16" a="1"/>
  <c r="BT113" i="16" a="1"/>
  <c r="BF139" i="16" a="1"/>
  <c r="AA139" i="16" s="1"/>
  <c r="BT139" i="16" a="1"/>
  <c r="BT95" i="16" a="1"/>
  <c r="BF95" i="16" a="1"/>
  <c r="BF70" i="16" a="1"/>
  <c r="BT70" i="16" a="1"/>
  <c r="BF117" i="16" a="1"/>
  <c r="AA117" i="16" s="1"/>
  <c r="BT117" i="16" a="1"/>
  <c r="BF141" i="16" a="1"/>
  <c r="AA141" i="16" s="1"/>
  <c r="BT141" i="16" a="1"/>
  <c r="BF99" i="16" a="1"/>
  <c r="BT99" i="16" a="1"/>
  <c r="BF116" i="16" a="1"/>
  <c r="AA116" i="16" s="1"/>
  <c r="BT116" i="16" a="1"/>
  <c r="BT67" i="16" a="1"/>
  <c r="BF67" i="16" a="1"/>
  <c r="BT89" i="16" a="1"/>
  <c r="BF89" i="16" a="1"/>
  <c r="BF143" i="16" a="1"/>
  <c r="AA143" i="16" s="1"/>
  <c r="BT143" i="16" a="1"/>
  <c r="BF128" i="16" a="1"/>
  <c r="AA128" i="16" s="1"/>
  <c r="BT128" i="16" a="1"/>
  <c r="BF96" i="16" a="1"/>
  <c r="BT96" i="16" a="1"/>
  <c r="BT71" i="16" a="1"/>
  <c r="BF71" i="16" a="1"/>
  <c r="BT111" i="16" a="1"/>
  <c r="BF111" i="16" a="1"/>
  <c r="BT61" i="16" a="1"/>
  <c r="BF61" i="16" a="1"/>
  <c r="BF112" i="16" a="1"/>
  <c r="BT112" i="16" a="1"/>
  <c r="BF120" i="16" a="1"/>
  <c r="AA120" i="16" s="1"/>
  <c r="BT120" i="16" a="1"/>
  <c r="BF63" i="16" a="1"/>
  <c r="BT63" i="16" a="1"/>
  <c r="BT75" i="16" a="1"/>
  <c r="BF75" i="16" a="1"/>
  <c r="BT62" i="16" a="1"/>
  <c r="BF62" i="16" a="1"/>
  <c r="BF49" i="16" a="1"/>
  <c r="BT49" i="16" a="1"/>
  <c r="BF103" i="16" a="1"/>
  <c r="BT103" i="16" a="1"/>
  <c r="BT122" i="16" a="1"/>
  <c r="BF122" i="16" a="1"/>
  <c r="AA122" i="16" s="1"/>
  <c r="BT82" i="16" a="1"/>
  <c r="BF82" i="16" a="1"/>
  <c r="BF59" i="16" a="1"/>
  <c r="BT59" i="16" a="1"/>
  <c r="BT77" i="16" a="1"/>
  <c r="BF77" i="16" a="1"/>
  <c r="BT48" i="16" a="1"/>
  <c r="BF48" i="16" a="1"/>
  <c r="BT56" i="16" a="1"/>
  <c r="BF56" i="16" a="1"/>
  <c r="BF106" i="16" a="1"/>
  <c r="BT106" i="16" a="1"/>
  <c r="BT55" i="16" a="1"/>
  <c r="BF55" i="16" a="1"/>
  <c r="BT83" i="16" a="1"/>
  <c r="BF83" i="16" a="1"/>
  <c r="BT92" i="16" a="1"/>
  <c r="BF92" i="16" a="1"/>
  <c r="BT142" i="16" a="1"/>
  <c r="BF142" i="16" a="1"/>
  <c r="AA142" i="16" s="1"/>
  <c r="BT73" i="16" a="1"/>
  <c r="BF73" i="16" a="1"/>
  <c r="BT51" i="16" a="1"/>
  <c r="BF51" i="16" a="1"/>
  <c r="BF93" i="16" a="1"/>
  <c r="BT93" i="16" a="1"/>
  <c r="BF129" i="16" a="1"/>
  <c r="AA129" i="16" s="1"/>
  <c r="BT129" i="16" a="1"/>
  <c r="BF109" i="16" a="1"/>
  <c r="BT109" i="16" a="1"/>
  <c r="BF119" i="16" a="1"/>
  <c r="AA119" i="16" s="1"/>
  <c r="BT119" i="16" a="1"/>
  <c r="BT47" i="16" a="1"/>
  <c r="BF47" i="16" a="1"/>
  <c r="BT115" i="16" a="1"/>
  <c r="BF115" i="16" a="1"/>
  <c r="AA115" i="16" s="1"/>
  <c r="BT123" i="16" a="1"/>
  <c r="BF123" i="16" a="1"/>
  <c r="AA123" i="16" s="1"/>
  <c r="BF52" i="16" a="1"/>
  <c r="BT52" i="16" a="1"/>
  <c r="BF121" i="16" a="1"/>
  <c r="AA121" i="16" s="1"/>
  <c r="BT121" i="16" a="1"/>
  <c r="BF57" i="16" a="1"/>
  <c r="BT57" i="16" a="1"/>
  <c r="BF145" i="16" a="1"/>
  <c r="AA145" i="16" s="1"/>
  <c r="BT145" i="16" a="1"/>
  <c r="BF85" i="16" a="1"/>
  <c r="BT85" i="16" a="1"/>
  <c r="BF79" i="16" a="1"/>
  <c r="BT79" i="16" a="1"/>
  <c r="BT126" i="16" a="1"/>
  <c r="BF126" i="16" a="1"/>
  <c r="AA126" i="16" s="1"/>
  <c r="BF87" i="16" a="1"/>
  <c r="BT87" i="16" a="1"/>
  <c r="BF102" i="16" a="1"/>
  <c r="BT102" i="16" a="1"/>
  <c r="BT76" i="16" a="1"/>
  <c r="BF76" i="16" a="1"/>
  <c r="BT68" i="16" a="1"/>
  <c r="BF68" i="16" a="1"/>
  <c r="BF60" i="16" a="1"/>
  <c r="BT60" i="16" a="1"/>
  <c r="BT90" i="16" a="1"/>
  <c r="BF90" i="16" a="1"/>
  <c r="BF88" i="16" a="1"/>
  <c r="BT88" i="16" a="1"/>
  <c r="BT58" i="16" a="1"/>
  <c r="BF58" i="16" a="1"/>
  <c r="BF104" i="16" a="1"/>
  <c r="BT104" i="16" a="1"/>
  <c r="BF86" i="16" a="1"/>
  <c r="BT86" i="16" a="1"/>
  <c r="BT53" i="16" a="1"/>
  <c r="BF53" i="16" a="1"/>
  <c r="BF78" i="16" a="1"/>
  <c r="BT78" i="16" a="1"/>
  <c r="BF84" i="16" a="1"/>
  <c r="BT84" i="16" a="1"/>
  <c r="BF110" i="16" a="1"/>
  <c r="BT110" i="16" a="1"/>
  <c r="BF54" i="16" a="1"/>
  <c r="BT54" i="16" a="1"/>
  <c r="BT118" i="16" a="1"/>
  <c r="BF118" i="16" a="1"/>
  <c r="AA118" i="16" s="1"/>
  <c r="BF46" i="16" a="1"/>
  <c r="BT46" i="16" a="1"/>
  <c r="BF91" i="16" a="1"/>
  <c r="BT91" i="16" a="1"/>
  <c r="BF131" i="16" a="1"/>
  <c r="AA131" i="16" s="1"/>
  <c r="BT131" i="16" a="1"/>
  <c r="BF65" i="16" a="1"/>
  <c r="BT65" i="16" a="1"/>
  <c r="BT50" i="16" a="1"/>
  <c r="BF50" i="16" a="1"/>
  <c r="BF125" i="16" a="1"/>
  <c r="AA125" i="16" s="1"/>
  <c r="BT125" i="16" a="1"/>
  <c r="AR20" i="16"/>
  <c r="BT72" i="16" a="1"/>
  <c r="BF72" i="16" a="1"/>
  <c r="BT132" i="16" a="1"/>
  <c r="BF132" i="16" a="1"/>
  <c r="AA132" i="16" s="1"/>
  <c r="BF133" i="16" a="1"/>
  <c r="AA133" i="16" s="1"/>
  <c r="BT133" i="16" a="1"/>
  <c r="BF80" i="16" a="1"/>
  <c r="BT80" i="16" a="1"/>
  <c r="BT69" i="16" a="1"/>
  <c r="BF69" i="16" a="1"/>
  <c r="BF140" i="16" a="1"/>
  <c r="AA140" i="16" s="1"/>
  <c r="BT140" i="16" a="1"/>
  <c r="BF134" i="16" a="1"/>
  <c r="AA134" i="16" s="1"/>
  <c r="BT134" i="16" a="1"/>
  <c r="BT108" i="16" a="1"/>
  <c r="BF108" i="16" a="1"/>
  <c r="BF66" i="16" a="1"/>
  <c r="BT66" i="16" a="1"/>
  <c r="BF81" i="16" a="1"/>
  <c r="BT81" i="16" a="1"/>
  <c r="BT135" i="16" a="1"/>
  <c r="BF135" i="16" a="1"/>
  <c r="AA135" i="16" s="1"/>
  <c r="BF127" i="16" a="1"/>
  <c r="AA127" i="16" s="1"/>
  <c r="BT127" i="16" a="1"/>
  <c r="BF136" i="16" a="1"/>
  <c r="AA136" i="16" s="1"/>
  <c r="BT136" i="16" a="1"/>
  <c r="BF137" i="16" a="1"/>
  <c r="AA137" i="16" s="1"/>
  <c r="BT137" i="16" a="1"/>
  <c r="BF101" i="16" a="1"/>
  <c r="BT101" i="16" a="1"/>
  <c r="BF94" i="16" a="1"/>
  <c r="BT94" i="16" a="1"/>
  <c r="BF124" i="16" a="1"/>
  <c r="AA124" i="16" s="1"/>
  <c r="BT124" i="16" a="1"/>
  <c r="BT98" i="16" a="1"/>
  <c r="BF98" i="16" a="1"/>
  <c r="BT97" i="16" a="1"/>
  <c r="BF97" i="16" a="1"/>
  <c r="BT74" i="16" a="1"/>
  <c r="BF74" i="16" a="1"/>
  <c r="BF144" i="16" a="1"/>
  <c r="AA144" i="16" s="1"/>
  <c r="BT144" i="16" a="1"/>
  <c r="BK106" i="16" a="1"/>
  <c r="AF106" i="16" s="1"/>
  <c r="BY106" i="16" a="1"/>
  <c r="BY57" i="16" a="1"/>
  <c r="BK57" i="16" a="1"/>
  <c r="AF57" i="16" s="1"/>
  <c r="BK93" i="16" a="1"/>
  <c r="AF93" i="16" s="1"/>
  <c r="BY93" i="16" a="1"/>
  <c r="BK90" i="16" a="1"/>
  <c r="AF90" i="16" s="1"/>
  <c r="BY90" i="16" a="1"/>
  <c r="BK78" i="16" a="1"/>
  <c r="AF78" i="16" s="1"/>
  <c r="BY78" i="16" a="1"/>
  <c r="BY95" i="16" a="1"/>
  <c r="BK95" i="16" a="1"/>
  <c r="AF95" i="16" s="1"/>
  <c r="BK65" i="16" a="1"/>
  <c r="AF65" i="16" s="1"/>
  <c r="BY65" i="16" a="1"/>
  <c r="BK91" i="16" a="1"/>
  <c r="AF91" i="16" s="1"/>
  <c r="BY91" i="16" a="1"/>
  <c r="BY52" i="16" a="1"/>
  <c r="BK52" i="16" a="1"/>
  <c r="AF52" i="16" s="1"/>
  <c r="BY144" i="16" a="1"/>
  <c r="BK144" i="16" a="1"/>
  <c r="AF144" i="16" s="1"/>
  <c r="BK101" i="16" a="1"/>
  <c r="AF101" i="16" s="1"/>
  <c r="BY101" i="16" a="1"/>
  <c r="BK100" i="16" a="1"/>
  <c r="AF100" i="16" s="1"/>
  <c r="BY100" i="16" a="1"/>
  <c r="BK74" i="16" a="1"/>
  <c r="AF74" i="16" s="1"/>
  <c r="BY74" i="16" a="1"/>
  <c r="BY77" i="16" a="1"/>
  <c r="BK77" i="16" a="1"/>
  <c r="AF77" i="16" s="1"/>
  <c r="BY76" i="16" a="1"/>
  <c r="BK76" i="16" a="1"/>
  <c r="AF76" i="16" s="1"/>
  <c r="BK85" i="16" a="1"/>
  <c r="AF85" i="16" s="1"/>
  <c r="BY85" i="16" a="1"/>
  <c r="BK72" i="16" a="1"/>
  <c r="AF72" i="16" s="1"/>
  <c r="BY72" i="16" a="1"/>
  <c r="BY111" i="16" a="1"/>
  <c r="BK111" i="16" a="1"/>
  <c r="AF111" i="16" s="1"/>
  <c r="BK68" i="16" a="1"/>
  <c r="AF68" i="16" s="1"/>
  <c r="BY68" i="16" a="1"/>
  <c r="BK89" i="16" a="1"/>
  <c r="AF89" i="16" s="1"/>
  <c r="BY89" i="16" a="1"/>
  <c r="BY84" i="16" a="1"/>
  <c r="BK84" i="16" a="1"/>
  <c r="AF84" i="16" s="1"/>
  <c r="BY64" i="16" a="1"/>
  <c r="BK64" i="16" a="1"/>
  <c r="AF64" i="16" s="1"/>
  <c r="BY145" i="16" a="1"/>
  <c r="BK145" i="16" a="1"/>
  <c r="AF145" i="16" s="1"/>
  <c r="BY94" i="16" a="1"/>
  <c r="BK94" i="16" a="1"/>
  <c r="AF94" i="16" s="1"/>
  <c r="BY53" i="16" a="1"/>
  <c r="BK53" i="16" a="1"/>
  <c r="AF53" i="16" s="1"/>
  <c r="BK120" i="16" a="1"/>
  <c r="AF120" i="16" s="1"/>
  <c r="BY120" i="16" a="1"/>
  <c r="BK86" i="16" a="1"/>
  <c r="AF86" i="16" s="1"/>
  <c r="BY86" i="16" a="1"/>
  <c r="BY109" i="16" a="1"/>
  <c r="BK109" i="16" a="1"/>
  <c r="AF109" i="16" s="1"/>
  <c r="BY98" i="16" a="1"/>
  <c r="BK98" i="16" a="1"/>
  <c r="AF98" i="16" s="1"/>
  <c r="BK118" i="16" a="1"/>
  <c r="AF118" i="16" s="1"/>
  <c r="BY118" i="16" a="1"/>
  <c r="BK87" i="16" a="1"/>
  <c r="AF87" i="16" s="1"/>
  <c r="BY87" i="16" a="1"/>
  <c r="BK67" i="16" a="1"/>
  <c r="AF67" i="16" s="1"/>
  <c r="BY67" i="16" a="1"/>
  <c r="BY62" i="16" a="1"/>
  <c r="BK62" i="16" a="1"/>
  <c r="AF62" i="16" s="1"/>
  <c r="BK58" i="16" a="1"/>
  <c r="AF58" i="16" s="1"/>
  <c r="BY58" i="16" a="1"/>
  <c r="BK54" i="16" a="1"/>
  <c r="AF54" i="16" s="1"/>
  <c r="BY54" i="16" a="1"/>
  <c r="BK124" i="16" a="1"/>
  <c r="AF124" i="16" s="1"/>
  <c r="BY124" i="16" a="1"/>
  <c r="BY88" i="16" a="1"/>
  <c r="BK88" i="16" a="1"/>
  <c r="AF88" i="16" s="1"/>
  <c r="BY50" i="16" a="1"/>
  <c r="BK50" i="16" a="1"/>
  <c r="AF50" i="16" s="1"/>
  <c r="BK97" i="16" a="1"/>
  <c r="AF97" i="16" s="1"/>
  <c r="BY97" i="16" a="1"/>
  <c r="BK69" i="16" a="1"/>
  <c r="AF69" i="16" s="1"/>
  <c r="BY69" i="16" a="1"/>
  <c r="BY63" i="16" a="1"/>
  <c r="BK63" i="16" a="1"/>
  <c r="AF63" i="16" s="1"/>
  <c r="BY127" i="16" a="1"/>
  <c r="BK127" i="16" a="1"/>
  <c r="AF127" i="16" s="1"/>
  <c r="BY141" i="16" a="1"/>
  <c r="BK141" i="16" a="1"/>
  <c r="AF141" i="16" s="1"/>
  <c r="BY46" i="16" a="1"/>
  <c r="BK46" i="16" a="1"/>
  <c r="AF46" i="16" s="1"/>
  <c r="BY59" i="16" a="1"/>
  <c r="BK59" i="16" a="1"/>
  <c r="AF59" i="16" s="1"/>
  <c r="BK123" i="16" a="1"/>
  <c r="AF123" i="16" s="1"/>
  <c r="BY123" i="16" a="1"/>
  <c r="BK92" i="16" a="1"/>
  <c r="AF92" i="16" s="1"/>
  <c r="BY92" i="16" a="1"/>
  <c r="BY122" i="16" a="1"/>
  <c r="BK122" i="16" a="1"/>
  <c r="AF122" i="16" s="1"/>
  <c r="BY117" i="16" a="1"/>
  <c r="BK117" i="16" a="1"/>
  <c r="AF117" i="16" s="1"/>
  <c r="BY96" i="16" a="1"/>
  <c r="BK96" i="16" a="1"/>
  <c r="AF96" i="16" s="1"/>
  <c r="BK119" i="16" a="1"/>
  <c r="AF119" i="16" s="1"/>
  <c r="BY119" i="16" a="1"/>
  <c r="BY55" i="16" a="1"/>
  <c r="BK55" i="16" a="1"/>
  <c r="AF55" i="16" s="1"/>
  <c r="BK83" i="16" a="1"/>
  <c r="AF83" i="16" s="1"/>
  <c r="BY83" i="16" a="1"/>
  <c r="BK75" i="16" a="1"/>
  <c r="AF75" i="16" s="1"/>
  <c r="BY75" i="16" a="1"/>
  <c r="BK71" i="16" a="1"/>
  <c r="AF71" i="16" s="1"/>
  <c r="BY71" i="16" a="1"/>
  <c r="BY138" i="16" a="1"/>
  <c r="BK138" i="16" a="1"/>
  <c r="AF138" i="16" s="1"/>
  <c r="BK137" i="16" a="1"/>
  <c r="AF137" i="16" s="1"/>
  <c r="BY137" i="16" a="1"/>
  <c r="BK70" i="16" a="1"/>
  <c r="AF70" i="16" s="1"/>
  <c r="BY70" i="16" a="1"/>
  <c r="BK51" i="16" a="1"/>
  <c r="AF51" i="16" s="1"/>
  <c r="BY51" i="16" a="1"/>
  <c r="BY136" i="16" a="1"/>
  <c r="BK136" i="16" a="1"/>
  <c r="AF136" i="16" s="1"/>
  <c r="BK135" i="16" a="1"/>
  <c r="AF135" i="16" s="1"/>
  <c r="BY135" i="16" a="1"/>
  <c r="BK134" i="16" a="1"/>
  <c r="AF134" i="16" s="1"/>
  <c r="BY134" i="16" a="1"/>
  <c r="BY142" i="16" a="1"/>
  <c r="BK142" i="16" a="1"/>
  <c r="AF142" i="16" s="1"/>
  <c r="BK133" i="16" a="1"/>
  <c r="AF133" i="16" s="1"/>
  <c r="BY133" i="16" a="1"/>
  <c r="BY132" i="16" a="1"/>
  <c r="BK132" i="16" a="1"/>
  <c r="AF132" i="16" s="1"/>
  <c r="BY48" i="16" a="1"/>
  <c r="BK48" i="16" a="1"/>
  <c r="AF48" i="16" s="1"/>
  <c r="BK66" i="16" a="1"/>
  <c r="AF66" i="16" s="1"/>
  <c r="BY66" i="16" a="1"/>
  <c r="BK131" i="16" a="1"/>
  <c r="AF131" i="16" s="1"/>
  <c r="BY131" i="16" a="1"/>
  <c r="BY115" i="16" a="1"/>
  <c r="BK115" i="16" a="1"/>
  <c r="AF115" i="16" s="1"/>
  <c r="BY139" i="16" a="1"/>
  <c r="BK139" i="16" a="1"/>
  <c r="AF139" i="16" s="1"/>
  <c r="BK128" i="16" a="1"/>
  <c r="AF128" i="16" s="1"/>
  <c r="BY128" i="16" a="1"/>
  <c r="BK113" i="16" a="1"/>
  <c r="AF113" i="16" s="1"/>
  <c r="BY113" i="16" a="1"/>
  <c r="BK110" i="16" a="1"/>
  <c r="AF110" i="16" s="1"/>
  <c r="BY110" i="16" a="1"/>
  <c r="BY61" i="16" a="1"/>
  <c r="BK61" i="16" a="1"/>
  <c r="AF61" i="16" s="1"/>
  <c r="BY99" i="16" a="1"/>
  <c r="BK99" i="16" a="1"/>
  <c r="AF99" i="16" s="1"/>
  <c r="BY104" i="16" a="1"/>
  <c r="BK104" i="16" a="1"/>
  <c r="AF104" i="16" s="1"/>
  <c r="BK103" i="16" a="1"/>
  <c r="AF103" i="16" s="1"/>
  <c r="BY103" i="16" a="1"/>
  <c r="BY73" i="16" a="1"/>
  <c r="BK73" i="16" a="1"/>
  <c r="AF73" i="16" s="1"/>
  <c r="BK82" i="16" a="1"/>
  <c r="AF82" i="16" s="1"/>
  <c r="BY82" i="16" a="1"/>
  <c r="BK81" i="16" a="1"/>
  <c r="AF81" i="16" s="1"/>
  <c r="BY81" i="16" a="1"/>
  <c r="BK60" i="16" a="1"/>
  <c r="AF60" i="16" s="1"/>
  <c r="BY60" i="16" a="1"/>
  <c r="BY80" i="16" a="1"/>
  <c r="BK80" i="16" a="1"/>
  <c r="AF80" i="16" s="1"/>
  <c r="BY79" i="16" a="1"/>
  <c r="BK79" i="16" a="1"/>
  <c r="AF79" i="16" s="1"/>
  <c r="BY143" i="16" a="1"/>
  <c r="BK143" i="16" a="1"/>
  <c r="AF143" i="16" s="1"/>
  <c r="BK129" i="16" a="1"/>
  <c r="AF129" i="16" s="1"/>
  <c r="BY129" i="16" a="1"/>
  <c r="BK56" i="16" a="1"/>
  <c r="AF56" i="16" s="1"/>
  <c r="BY56" i="16" a="1"/>
  <c r="BY126" i="16" a="1"/>
  <c r="BK126" i="16" a="1"/>
  <c r="AF126" i="16" s="1"/>
  <c r="BY116" i="16" a="1"/>
  <c r="BK116" i="16" a="1"/>
  <c r="AF116" i="16" s="1"/>
  <c r="BK107" i="16" a="1"/>
  <c r="AF107" i="16" s="1"/>
  <c r="BY107" i="16" a="1"/>
  <c r="BK108" i="16" a="1"/>
  <c r="AF108" i="16" s="1"/>
  <c r="BY108" i="16" a="1"/>
  <c r="BY47" i="16" a="1"/>
  <c r="BK47" i="16" a="1"/>
  <c r="AF47" i="16" s="1"/>
  <c r="BK112" i="16" a="1"/>
  <c r="AF112" i="16" s="1"/>
  <c r="BY112" i="16" a="1"/>
  <c r="BY121" i="16" a="1"/>
  <c r="BK121" i="16" a="1"/>
  <c r="AF121" i="16" s="1"/>
  <c r="BK125" i="16" a="1"/>
  <c r="AF125" i="16" s="1"/>
  <c r="BY125" i="16" a="1"/>
  <c r="BK105" i="16" a="1"/>
  <c r="AF105" i="16" s="1"/>
  <c r="BY105" i="16" a="1"/>
  <c r="BK130" i="16" a="1"/>
  <c r="AF130" i="16" s="1"/>
  <c r="BY130" i="16" a="1"/>
  <c r="BY140" i="16" a="1"/>
  <c r="BK140" i="16" a="1"/>
  <c r="AF140" i="16" s="1"/>
  <c r="BY114" i="16" a="1"/>
  <c r="BK114" i="16" a="1"/>
  <c r="AF114" i="16" s="1"/>
  <c r="BY49" i="16" a="1"/>
  <c r="BK49" i="16" a="1"/>
  <c r="AF49" i="16" s="1"/>
  <c r="BY102" i="16" a="1"/>
  <c r="BK102" i="16" a="1"/>
  <c r="AF102" i="16" s="1"/>
  <c r="BR47" i="16" a="1"/>
  <c r="BD47" i="16" a="1"/>
  <c r="BD58" i="16" a="1"/>
  <c r="BR58" i="16" a="1"/>
  <c r="BD143" i="16" a="1"/>
  <c r="Y143" i="16" s="1"/>
  <c r="BR143" i="16" a="1"/>
  <c r="BD46" i="16" a="1"/>
  <c r="BR46" i="16" a="1"/>
  <c r="BR87" i="16" a="1"/>
  <c r="BD87" i="16" a="1"/>
  <c r="BR63" i="16" a="1"/>
  <c r="BD63" i="16" a="1"/>
  <c r="BR100" i="16" a="1"/>
  <c r="BD100" i="16" a="1"/>
  <c r="BD51" i="16" a="1"/>
  <c r="BR51" i="16" a="1"/>
  <c r="BD64" i="16" a="1"/>
  <c r="BR64" i="16" a="1"/>
  <c r="AP30" i="16"/>
  <c r="BD113" i="16" a="1"/>
  <c r="BR113" i="16" a="1"/>
  <c r="BR104" i="16" a="1"/>
  <c r="BD104" i="16" a="1"/>
  <c r="BD123" i="16" a="1"/>
  <c r="Y123" i="16" s="1"/>
  <c r="BR123" i="16" a="1"/>
  <c r="BD118" i="16" a="1"/>
  <c r="Y118" i="16" s="1"/>
  <c r="BR118" i="16" a="1"/>
  <c r="BR74" i="16" a="1"/>
  <c r="BD74" i="16" a="1"/>
  <c r="BD55" i="16" a="1"/>
  <c r="BR55" i="16" a="1"/>
  <c r="BD114" i="16" a="1"/>
  <c r="Y114" i="16" s="1"/>
  <c r="BR114" i="16" a="1"/>
  <c r="BR68" i="16" a="1"/>
  <c r="BD68" i="16" a="1"/>
  <c r="BR122" i="16" a="1"/>
  <c r="BD122" i="16" a="1"/>
  <c r="Y122" i="16" s="1"/>
  <c r="BD84" i="16" a="1"/>
  <c r="BR84" i="16" a="1"/>
  <c r="BR93" i="16" a="1"/>
  <c r="BD93" i="16" a="1"/>
  <c r="BD119" i="16" a="1"/>
  <c r="Y119" i="16" s="1"/>
  <c r="BR119" i="16" a="1"/>
  <c r="BR60" i="16" a="1"/>
  <c r="BD60" i="16" a="1"/>
  <c r="BD85" i="16" a="1"/>
  <c r="BR85" i="16" a="1"/>
  <c r="BD129" i="16" a="1"/>
  <c r="Y129" i="16" s="1"/>
  <c r="BR129" i="16" a="1"/>
  <c r="BD135" i="16" a="1"/>
  <c r="Y135" i="16" s="1"/>
  <c r="BR135" i="16" a="1"/>
  <c r="BR56" i="16" a="1"/>
  <c r="BD56" i="16" a="1"/>
  <c r="BR139" i="16" a="1"/>
  <c r="BD139" i="16" a="1"/>
  <c r="Y139" i="16" s="1"/>
  <c r="BR107" i="16" a="1"/>
  <c r="BD107" i="16" a="1"/>
  <c r="BD145" i="16" a="1"/>
  <c r="Y145" i="16" s="1"/>
  <c r="BR145" i="16" a="1"/>
  <c r="BD121" i="16" a="1"/>
  <c r="Y121" i="16" s="1"/>
  <c r="BR121" i="16" a="1"/>
  <c r="BD144" i="16" a="1"/>
  <c r="Y144" i="16" s="1"/>
  <c r="BR144" i="16" a="1"/>
  <c r="BR109" i="16" a="1"/>
  <c r="BD109" i="16" a="1"/>
  <c r="BR48" i="16" a="1"/>
  <c r="BD48" i="16" a="1"/>
  <c r="BR115" i="16" a="1"/>
  <c r="BD115" i="16" a="1"/>
  <c r="Y115" i="16" s="1"/>
  <c r="BD65" i="16" a="1"/>
  <c r="BR65" i="16" a="1"/>
  <c r="BD61" i="16" a="1"/>
  <c r="BR61" i="16" a="1"/>
  <c r="BR86" i="16" a="1"/>
  <c r="BD86" i="16" a="1"/>
  <c r="BD59" i="16" a="1"/>
  <c r="BR59" i="16" a="1"/>
  <c r="BR124" i="16" a="1"/>
  <c r="BD124" i="16" a="1"/>
  <c r="Y124" i="16" s="1"/>
  <c r="BD125" i="16" a="1"/>
  <c r="Y125" i="16" s="1"/>
  <c r="BR125" i="16" a="1"/>
  <c r="BR127" i="16" a="1"/>
  <c r="BD127" i="16" a="1"/>
  <c r="Y127" i="16" s="1"/>
  <c r="BD136" i="16" a="1"/>
  <c r="Y136" i="16" s="1"/>
  <c r="BR136" i="16" a="1"/>
  <c r="BR90" i="16" a="1"/>
  <c r="BD90" i="16" a="1"/>
  <c r="BD101" i="16" a="1"/>
  <c r="BR101" i="16" a="1"/>
  <c r="BD78" i="16" a="1"/>
  <c r="BR78" i="16" a="1"/>
  <c r="BR79" i="16" a="1"/>
  <c r="BD79" i="16" a="1"/>
  <c r="BD57" i="16" a="1"/>
  <c r="BR57" i="16" a="1"/>
  <c r="AP27" i="16"/>
  <c r="BR106" i="16" a="1"/>
  <c r="BR27" i="16" s="1"/>
  <c r="BD106" i="16" a="1"/>
  <c r="BD128" i="16" a="1"/>
  <c r="Y128" i="16" s="1"/>
  <c r="BR128" i="16" a="1"/>
  <c r="BR73" i="16" a="1"/>
  <c r="BD73" i="16" a="1"/>
  <c r="BD52" i="16" a="1"/>
  <c r="BR52" i="16" a="1"/>
  <c r="BR130" i="16" a="1"/>
  <c r="BD130" i="16" a="1"/>
  <c r="Y130" i="16" s="1"/>
  <c r="BD70" i="16" a="1"/>
  <c r="BR70" i="16" a="1"/>
  <c r="BR88" i="16" a="1"/>
  <c r="BD88" i="16" a="1"/>
  <c r="BR99" i="16" a="1"/>
  <c r="BD99" i="16" a="1"/>
  <c r="BR126" i="16" a="1"/>
  <c r="BD126" i="16" a="1"/>
  <c r="Y126" i="16" s="1"/>
  <c r="BD80" i="16" a="1"/>
  <c r="BR80" i="16" a="1"/>
  <c r="BD72" i="16" a="1"/>
  <c r="BR72" i="16" a="1"/>
  <c r="BR105" i="16" a="1"/>
  <c r="BD105" i="16" a="1"/>
  <c r="BD134" i="16" a="1"/>
  <c r="Y134" i="16" s="1"/>
  <c r="BR134" i="16" a="1"/>
  <c r="BR91" i="16" a="1"/>
  <c r="BD91" i="16" a="1"/>
  <c r="BR49" i="16" a="1"/>
  <c r="BD49" i="16" a="1"/>
  <c r="BD66" i="16" a="1"/>
  <c r="BR66" i="16" a="1"/>
  <c r="BD110" i="16" a="1"/>
  <c r="BR110" i="16" a="1"/>
  <c r="BR97" i="16" a="1"/>
  <c r="BD97" i="16" a="1"/>
  <c r="BR111" i="16" a="1"/>
  <c r="BD111" i="16" a="1"/>
  <c r="BD116" i="16" a="1"/>
  <c r="Y116" i="16" s="1"/>
  <c r="BR116" i="16" a="1"/>
  <c r="BR96" i="16" a="1"/>
  <c r="BD96" i="16" a="1"/>
  <c r="BR81" i="16" a="1"/>
  <c r="BD81" i="16" a="1"/>
  <c r="BD77" i="16" a="1"/>
  <c r="BR77" i="16" a="1"/>
  <c r="BD95" i="16" a="1"/>
  <c r="BR95" i="16" a="1"/>
  <c r="BR120" i="16" a="1"/>
  <c r="BD120" i="16" a="1"/>
  <c r="Y120" i="16" s="1"/>
  <c r="BD53" i="16" a="1"/>
  <c r="BR53" i="16" a="1"/>
  <c r="BR133" i="16" a="1"/>
  <c r="BD133" i="16" a="1"/>
  <c r="Y133" i="16" s="1"/>
  <c r="BR92" i="16" a="1"/>
  <c r="BD92" i="16" a="1"/>
  <c r="BD142" i="16" a="1"/>
  <c r="Y142" i="16" s="1"/>
  <c r="BR142" i="16" a="1"/>
  <c r="BD54" i="16" a="1"/>
  <c r="BR54" i="16" a="1"/>
  <c r="BR140" i="16" a="1"/>
  <c r="BD140" i="16" a="1"/>
  <c r="Y140" i="16" s="1"/>
  <c r="BD76" i="16" a="1"/>
  <c r="BR76" i="16" a="1"/>
  <c r="BR102" i="16" a="1"/>
  <c r="BD102" i="16" a="1"/>
  <c r="BD62" i="16" a="1"/>
  <c r="BR62" i="16" a="1"/>
  <c r="BR83" i="16" a="1"/>
  <c r="BD83" i="16" a="1"/>
  <c r="BD94" i="16" a="1"/>
  <c r="BR94" i="16" a="1"/>
  <c r="BR89" i="16" a="1"/>
  <c r="BD89" i="16" a="1"/>
  <c r="BR132" i="16" a="1"/>
  <c r="BD132" i="16" a="1"/>
  <c r="Y132" i="16" s="1"/>
  <c r="BR103" i="16" a="1"/>
  <c r="BD103" i="16" a="1"/>
  <c r="BR69" i="16" a="1"/>
  <c r="BD69" i="16" a="1"/>
  <c r="BD75" i="16" a="1"/>
  <c r="BR75" i="16" a="1"/>
  <c r="BD117" i="16" a="1"/>
  <c r="Y117" i="16" s="1"/>
  <c r="BR117" i="16" a="1"/>
  <c r="BR71" i="16" a="1"/>
  <c r="BD71" i="16" a="1"/>
  <c r="BR50" i="16" a="1"/>
  <c r="BD50" i="16" a="1"/>
  <c r="BR67" i="16" a="1"/>
  <c r="BD67" i="16" a="1"/>
  <c r="BD138" i="16" a="1"/>
  <c r="Y138" i="16" s="1"/>
  <c r="BR138" i="16" a="1"/>
  <c r="BD112" i="16" a="1"/>
  <c r="BR112" i="16" a="1"/>
  <c r="BR98" i="16" a="1"/>
  <c r="BD98" i="16" a="1"/>
  <c r="BR82" i="16" a="1"/>
  <c r="BD82" i="16" a="1"/>
  <c r="BD131" i="16" a="1"/>
  <c r="Y131" i="16" s="1"/>
  <c r="BR131" i="16" a="1"/>
  <c r="BD137" i="16" a="1"/>
  <c r="Y137" i="16" s="1"/>
  <c r="BR137" i="16" a="1"/>
  <c r="BR108" i="16" a="1"/>
  <c r="BD108" i="16" a="1"/>
  <c r="BD141" i="16" a="1"/>
  <c r="Y141" i="16" s="1"/>
  <c r="BR141" i="16" a="1"/>
  <c r="U45" i="16"/>
  <c r="U10" i="16"/>
  <c r="AO12" i="16"/>
  <c r="AQ29" i="16"/>
  <c r="BS10" i="16"/>
  <c r="BS45" i="16"/>
  <c r="BR10" i="16"/>
  <c r="BR45" i="16"/>
  <c r="Y45" i="16"/>
  <c r="Y10" i="16"/>
  <c r="AA10" i="16"/>
  <c r="AA45" i="16"/>
  <c r="K45" i="16"/>
  <c r="K10" i="16"/>
  <c r="E45" i="16"/>
  <c r="E10" i="16"/>
  <c r="AY10" i="16"/>
  <c r="AY45" i="16"/>
  <c r="BF10" i="16"/>
  <c r="BF45" i="16"/>
  <c r="AL45" i="16"/>
  <c r="AL10" i="16"/>
  <c r="N143" i="16"/>
  <c r="N126" i="16"/>
  <c r="N144" i="16"/>
  <c r="N140" i="16"/>
  <c r="N114" i="16"/>
  <c r="N138" i="16"/>
  <c r="N127" i="16"/>
  <c r="N145" i="16"/>
  <c r="N113" i="16"/>
  <c r="N50" i="16"/>
  <c r="N102" i="16"/>
  <c r="N65" i="16"/>
  <c r="N79" i="16"/>
  <c r="N54" i="16"/>
  <c r="N49" i="16"/>
  <c r="N110" i="16"/>
  <c r="N85" i="16"/>
  <c r="N52" i="16"/>
  <c r="N58" i="16"/>
  <c r="N121" i="16"/>
  <c r="N84" i="16"/>
  <c r="N87" i="16"/>
  <c r="N90" i="16"/>
  <c r="N80" i="16"/>
  <c r="N76" i="16"/>
  <c r="N77" i="16"/>
  <c r="N119" i="16"/>
  <c r="N62" i="16"/>
  <c r="N91" i="16"/>
  <c r="N104" i="16"/>
  <c r="N92" i="16"/>
  <c r="N71" i="16"/>
  <c r="N98" i="16"/>
  <c r="N57" i="16"/>
  <c r="N103" i="16"/>
  <c r="N70" i="16"/>
  <c r="N75" i="16"/>
  <c r="N117" i="16"/>
  <c r="N66" i="16"/>
  <c r="N99" i="16"/>
  <c r="N122" i="16"/>
  <c r="N129" i="16"/>
  <c r="N61" i="16"/>
  <c r="N131" i="16"/>
  <c r="N116" i="16"/>
  <c r="N109" i="16"/>
  <c r="N83" i="16"/>
  <c r="N56" i="16"/>
  <c r="N88" i="16"/>
  <c r="N142" i="16"/>
  <c r="N112" i="16"/>
  <c r="N60" i="16"/>
  <c r="N94" i="16"/>
  <c r="N108" i="16"/>
  <c r="N73" i="16"/>
  <c r="N64" i="16"/>
  <c r="N47" i="16"/>
  <c r="N68" i="16"/>
  <c r="N69" i="16"/>
  <c r="N100" i="16"/>
  <c r="N72" i="16"/>
  <c r="N107" i="16"/>
  <c r="N53" i="16"/>
  <c r="N78" i="16"/>
  <c r="N82" i="16"/>
  <c r="N74" i="16"/>
  <c r="N101" i="16"/>
  <c r="N125" i="16"/>
  <c r="N111" i="16"/>
  <c r="N97" i="16"/>
  <c r="N81" i="16"/>
  <c r="N93" i="16"/>
  <c r="N130" i="16"/>
  <c r="N141" i="16"/>
  <c r="N48" i="16"/>
  <c r="N51" i="16"/>
  <c r="N55" i="16"/>
  <c r="N59" i="16"/>
  <c r="N136" i="16"/>
  <c r="N63" i="16"/>
  <c r="N67" i="16"/>
  <c r="N96" i="16"/>
  <c r="N135" i="16"/>
  <c r="N86" i="16"/>
  <c r="N89" i="16"/>
  <c r="N95" i="16"/>
  <c r="N134" i="16"/>
  <c r="N105" i="16"/>
  <c r="N137" i="16"/>
  <c r="N106" i="16"/>
  <c r="N115" i="16"/>
  <c r="N133" i="16"/>
  <c r="N118" i="16"/>
  <c r="N139" i="16"/>
  <c r="N124" i="16"/>
  <c r="N128" i="16"/>
  <c r="N132" i="16"/>
  <c r="N123" i="16"/>
  <c r="N120" i="16"/>
  <c r="Q115" i="16"/>
  <c r="Q81" i="16"/>
  <c r="Q52" i="16"/>
  <c r="Q65" i="16"/>
  <c r="Q80" i="16"/>
  <c r="Q57" i="16"/>
  <c r="Q79" i="16"/>
  <c r="Q49" i="16"/>
  <c r="Q84" i="16"/>
  <c r="Q141" i="16"/>
  <c r="Q128" i="16"/>
  <c r="Q121" i="16"/>
  <c r="Q126" i="16"/>
  <c r="Q114" i="16"/>
  <c r="Q53" i="16"/>
  <c r="Q107" i="16"/>
  <c r="Q100" i="16"/>
  <c r="Q96" i="16"/>
  <c r="Q93" i="16"/>
  <c r="Q111" i="16"/>
  <c r="Q47" i="16"/>
  <c r="Q108" i="16"/>
  <c r="Q88" i="16"/>
  <c r="Q103" i="16"/>
  <c r="Q55" i="16"/>
  <c r="Q83" i="16"/>
  <c r="Q56" i="16"/>
  <c r="Q99" i="16"/>
  <c r="Q61" i="16"/>
  <c r="Q75" i="16"/>
  <c r="Q66" i="16"/>
  <c r="Q70" i="16"/>
  <c r="Q90" i="16"/>
  <c r="Q92" i="16"/>
  <c r="Q101" i="16"/>
  <c r="Q71" i="16"/>
  <c r="Q109" i="16"/>
  <c r="Q69" i="16"/>
  <c r="Q76" i="16"/>
  <c r="Q87" i="16"/>
  <c r="Q67" i="16"/>
  <c r="Q85" i="16"/>
  <c r="Q138" i="16"/>
  <c r="Q102" i="16"/>
  <c r="Q117" i="16"/>
  <c r="Q123" i="16"/>
  <c r="Q137" i="16"/>
  <c r="Q140" i="16"/>
  <c r="Q48" i="16"/>
  <c r="Q46" i="16"/>
  <c r="Q130" i="16"/>
  <c r="Q51" i="16"/>
  <c r="Q136" i="16"/>
  <c r="Q59" i="16"/>
  <c r="Q129" i="16"/>
  <c r="Q119" i="16"/>
  <c r="Q125" i="16"/>
  <c r="Q127" i="16"/>
  <c r="Q63" i="16"/>
  <c r="Q50" i="16"/>
  <c r="Q139" i="16"/>
  <c r="Q135" i="16"/>
  <c r="Q110" i="16"/>
  <c r="Q54" i="16"/>
  <c r="Q58" i="16"/>
  <c r="Q62" i="16"/>
  <c r="Q89" i="16"/>
  <c r="Q120" i="16"/>
  <c r="Q77" i="16"/>
  <c r="Q134" i="16"/>
  <c r="Q95" i="16"/>
  <c r="Q91" i="16"/>
  <c r="Q142" i="16"/>
  <c r="Q98" i="16"/>
  <c r="Q105" i="16"/>
  <c r="Q116" i="16"/>
  <c r="Q106" i="16"/>
  <c r="Q112" i="16"/>
  <c r="Q113" i="16"/>
  <c r="Q133" i="16"/>
  <c r="Q124" i="16"/>
  <c r="Q144" i="16"/>
  <c r="Q94" i="16"/>
  <c r="Q118" i="16"/>
  <c r="Q122" i="16"/>
  <c r="Q78" i="16"/>
  <c r="Q73" i="16"/>
  <c r="Q60" i="16"/>
  <c r="Q64" i="16"/>
  <c r="Q132" i="16"/>
  <c r="Q97" i="16"/>
  <c r="Q68" i="16"/>
  <c r="Q143" i="16"/>
  <c r="Q72" i="16"/>
  <c r="Q82" i="16"/>
  <c r="Q145" i="16"/>
  <c r="Q74" i="16"/>
  <c r="Q131" i="16"/>
  <c r="Q104" i="16"/>
  <c r="Q86" i="16"/>
  <c r="J118" i="16"/>
  <c r="J121" i="16"/>
  <c r="J138" i="16"/>
  <c r="J119" i="16"/>
  <c r="J131" i="16"/>
  <c r="J127" i="16"/>
  <c r="J141" i="16"/>
  <c r="J137" i="16"/>
  <c r="J123" i="16"/>
  <c r="J125" i="16"/>
  <c r="J63" i="16"/>
  <c r="J143" i="16"/>
  <c r="J136" i="16"/>
  <c r="J117" i="16"/>
  <c r="J140" i="16"/>
  <c r="J86" i="16"/>
  <c r="J135" i="16"/>
  <c r="J130" i="16"/>
  <c r="J128" i="16"/>
  <c r="J122" i="16"/>
  <c r="J134" i="16"/>
  <c r="J106" i="16"/>
  <c r="J126" i="16"/>
  <c r="J114" i="16"/>
  <c r="J116" i="16"/>
  <c r="J133" i="16"/>
  <c r="J115" i="16"/>
  <c r="J145" i="16"/>
  <c r="J129" i="16"/>
  <c r="J124" i="16"/>
  <c r="J139" i="16"/>
  <c r="J142" i="16"/>
  <c r="J132" i="16"/>
  <c r="J144" i="16"/>
  <c r="J120" i="16"/>
  <c r="F117" i="16"/>
  <c r="F131" i="16"/>
  <c r="F125" i="16"/>
  <c r="F116" i="16"/>
  <c r="F126" i="16"/>
  <c r="F119" i="16"/>
  <c r="F128" i="16"/>
  <c r="F138" i="16"/>
  <c r="F143" i="16"/>
  <c r="F139" i="16"/>
  <c r="F130" i="16"/>
  <c r="F127" i="16"/>
  <c r="F122" i="16"/>
  <c r="F137" i="16"/>
  <c r="F118" i="16"/>
  <c r="F141" i="16"/>
  <c r="F140" i="16"/>
  <c r="F129" i="16"/>
  <c r="F136" i="16"/>
  <c r="F144" i="16"/>
  <c r="F142" i="16"/>
  <c r="F121" i="16"/>
  <c r="F120" i="16"/>
  <c r="F135" i="16"/>
  <c r="F86" i="16"/>
  <c r="F63" i="16"/>
  <c r="F145" i="16"/>
  <c r="F124" i="16"/>
  <c r="F123" i="16"/>
  <c r="F134" i="16"/>
  <c r="F115" i="16"/>
  <c r="F114" i="16"/>
  <c r="F133" i="16"/>
  <c r="F132" i="16"/>
  <c r="L127" i="16"/>
  <c r="L142" i="16"/>
  <c r="L143" i="16"/>
  <c r="L140" i="16"/>
  <c r="L137" i="16"/>
  <c r="L139" i="16"/>
  <c r="L111" i="16"/>
  <c r="L115" i="16"/>
  <c r="L130" i="16"/>
  <c r="L126" i="16"/>
  <c r="L136" i="16"/>
  <c r="L141" i="16"/>
  <c r="L117" i="16"/>
  <c r="L135" i="16"/>
  <c r="L124" i="16"/>
  <c r="L134" i="16"/>
  <c r="L133" i="16"/>
  <c r="L118" i="16"/>
  <c r="L132" i="16"/>
  <c r="L131" i="16"/>
  <c r="L129" i="16"/>
  <c r="L128" i="16"/>
  <c r="L123" i="16"/>
  <c r="L78" i="16"/>
  <c r="L125" i="16"/>
  <c r="L122" i="16"/>
  <c r="L75" i="16"/>
  <c r="L116" i="16"/>
  <c r="L72" i="16"/>
  <c r="L121" i="16"/>
  <c r="L120" i="16"/>
  <c r="L119" i="16"/>
  <c r="L105" i="16"/>
  <c r="L92" i="16"/>
  <c r="L63" i="16"/>
  <c r="L114" i="16"/>
  <c r="L138" i="16"/>
  <c r="L145" i="16"/>
  <c r="L144" i="16"/>
  <c r="G136" i="16"/>
  <c r="G120" i="16"/>
  <c r="G124" i="16"/>
  <c r="G86" i="16"/>
  <c r="G126" i="16"/>
  <c r="G140" i="16"/>
  <c r="G121" i="16"/>
  <c r="G129" i="16"/>
  <c r="G117" i="16"/>
  <c r="G142" i="16"/>
  <c r="G141" i="16"/>
  <c r="G145" i="16"/>
  <c r="G131" i="16"/>
  <c r="G127" i="16"/>
  <c r="G123" i="16"/>
  <c r="G133" i="16"/>
  <c r="G114" i="16"/>
  <c r="G118" i="16"/>
  <c r="G135" i="16"/>
  <c r="G125" i="16"/>
  <c r="G138" i="16"/>
  <c r="G134" i="16"/>
  <c r="G130" i="16"/>
  <c r="G116" i="16"/>
  <c r="G143" i="16"/>
  <c r="G119" i="16"/>
  <c r="G122" i="16"/>
  <c r="G137" i="16"/>
  <c r="G132" i="16"/>
  <c r="G115" i="16"/>
  <c r="G128" i="16"/>
  <c r="G144" i="16"/>
  <c r="G139" i="16"/>
  <c r="G63" i="16"/>
  <c r="M143" i="16"/>
  <c r="M82" i="16"/>
  <c r="M119" i="16"/>
  <c r="M112" i="16"/>
  <c r="M145" i="16"/>
  <c r="M140" i="16"/>
  <c r="M109" i="16"/>
  <c r="M96" i="16"/>
  <c r="M77" i="16"/>
  <c r="M83" i="16"/>
  <c r="M75" i="16"/>
  <c r="M98" i="16"/>
  <c r="M71" i="16"/>
  <c r="M67" i="16"/>
  <c r="M138" i="16"/>
  <c r="M137" i="16"/>
  <c r="M64" i="16"/>
  <c r="M104" i="16"/>
  <c r="M129" i="16"/>
  <c r="M136" i="16"/>
  <c r="M62" i="16"/>
  <c r="M135" i="16"/>
  <c r="M97" i="16"/>
  <c r="M54" i="16"/>
  <c r="M110" i="16"/>
  <c r="M53" i="16"/>
  <c r="M80" i="16"/>
  <c r="M134" i="16"/>
  <c r="M87" i="16"/>
  <c r="M107" i="16"/>
  <c r="M100" i="16"/>
  <c r="M58" i="16"/>
  <c r="M74" i="16"/>
  <c r="M123" i="16"/>
  <c r="M78" i="16"/>
  <c r="M93" i="16"/>
  <c r="M73" i="16"/>
  <c r="M132" i="16"/>
  <c r="M65" i="16"/>
  <c r="M141" i="16"/>
  <c r="M85" i="16"/>
  <c r="M128" i="16"/>
  <c r="M117" i="16"/>
  <c r="M116" i="16"/>
  <c r="M81" i="16"/>
  <c r="M106" i="16"/>
  <c r="M105" i="16"/>
  <c r="M95" i="16"/>
  <c r="M91" i="16"/>
  <c r="M89" i="16"/>
  <c r="M131" i="16"/>
  <c r="M86" i="16"/>
  <c r="M63" i="16"/>
  <c r="M59" i="16"/>
  <c r="M88" i="16"/>
  <c r="M50" i="16"/>
  <c r="M68" i="16"/>
  <c r="M48" i="16"/>
  <c r="M142" i="16"/>
  <c r="M139" i="16"/>
  <c r="M127" i="16"/>
  <c r="M126" i="16"/>
  <c r="M122" i="16"/>
  <c r="M102" i="16"/>
  <c r="M46" i="16"/>
  <c r="M76" i="16"/>
  <c r="M130" i="16"/>
  <c r="M72" i="16"/>
  <c r="M84" i="16"/>
  <c r="M133" i="16"/>
  <c r="M52" i="16"/>
  <c r="M125" i="16"/>
  <c r="M94" i="16"/>
  <c r="M47" i="16"/>
  <c r="M144" i="16"/>
  <c r="M69" i="16"/>
  <c r="M118" i="16"/>
  <c r="M57" i="16"/>
  <c r="M114" i="16"/>
  <c r="M92" i="16"/>
  <c r="M101" i="16"/>
  <c r="M113" i="16"/>
  <c r="M90" i="16"/>
  <c r="M121" i="16"/>
  <c r="M70" i="16"/>
  <c r="M66" i="16"/>
  <c r="M124" i="16"/>
  <c r="M99" i="16"/>
  <c r="M108" i="16"/>
  <c r="M61" i="16"/>
  <c r="M49" i="16"/>
  <c r="M60" i="16"/>
  <c r="M103" i="16"/>
  <c r="M56" i="16"/>
  <c r="M111" i="16"/>
  <c r="M79" i="16"/>
  <c r="M55" i="16"/>
  <c r="M120" i="16"/>
  <c r="M51" i="16"/>
  <c r="M115" i="16"/>
  <c r="H119" i="16"/>
  <c r="H86" i="16"/>
  <c r="H135" i="16"/>
  <c r="H63" i="16"/>
  <c r="H131" i="16"/>
  <c r="H136" i="16"/>
  <c r="H137" i="16"/>
  <c r="H140" i="16"/>
  <c r="H129" i="16"/>
  <c r="H127" i="16"/>
  <c r="H139" i="16"/>
  <c r="H123" i="16"/>
  <c r="H122" i="16"/>
  <c r="H128" i="16"/>
  <c r="H115" i="16"/>
  <c r="H92" i="16"/>
  <c r="H130" i="16"/>
  <c r="H114" i="16"/>
  <c r="H125" i="16"/>
  <c r="H124" i="16"/>
  <c r="H145" i="16"/>
  <c r="H126" i="16"/>
  <c r="H138" i="16"/>
  <c r="H121" i="16"/>
  <c r="H132" i="16"/>
  <c r="H120" i="16"/>
  <c r="H116" i="16"/>
  <c r="H144" i="16"/>
  <c r="H143" i="16"/>
  <c r="H134" i="16"/>
  <c r="H118" i="16"/>
  <c r="H142" i="16"/>
  <c r="H117" i="16"/>
  <c r="H141" i="16"/>
  <c r="H133" i="16"/>
  <c r="E144" i="16"/>
  <c r="E142" i="16"/>
  <c r="E128" i="16"/>
  <c r="E139" i="16"/>
  <c r="E127" i="16"/>
  <c r="E145" i="16"/>
  <c r="E125" i="16"/>
  <c r="E92" i="16"/>
  <c r="E138" i="16"/>
  <c r="E137" i="16"/>
  <c r="E119" i="16"/>
  <c r="E118" i="16"/>
  <c r="E116" i="16"/>
  <c r="E136" i="16"/>
  <c r="E135" i="16"/>
  <c r="E117" i="16"/>
  <c r="E134" i="16"/>
  <c r="E133" i="16"/>
  <c r="E132" i="16"/>
  <c r="E131" i="16"/>
  <c r="E114" i="16"/>
  <c r="E143" i="16"/>
  <c r="E121" i="16"/>
  <c r="E124" i="16"/>
  <c r="E115" i="16"/>
  <c r="E120" i="16"/>
  <c r="E126" i="16"/>
  <c r="E122" i="16"/>
  <c r="E130" i="16"/>
  <c r="E86" i="16"/>
  <c r="E141" i="16"/>
  <c r="E123" i="16"/>
  <c r="E129" i="16"/>
  <c r="E140" i="16"/>
  <c r="K105" i="16"/>
  <c r="K114" i="16"/>
  <c r="K130" i="16"/>
  <c r="K138" i="16"/>
  <c r="K139" i="16"/>
  <c r="K117" i="16"/>
  <c r="K141" i="16"/>
  <c r="K116" i="16"/>
  <c r="K143" i="16"/>
  <c r="K128" i="16"/>
  <c r="K111" i="16"/>
  <c r="K120" i="16"/>
  <c r="K63" i="16"/>
  <c r="K75" i="16"/>
  <c r="K122" i="16"/>
  <c r="K92" i="16"/>
  <c r="K142" i="16"/>
  <c r="K129" i="16"/>
  <c r="K119" i="16"/>
  <c r="K115" i="16"/>
  <c r="K123" i="16"/>
  <c r="K121" i="16"/>
  <c r="K145" i="16"/>
  <c r="K126" i="16"/>
  <c r="K78" i="16"/>
  <c r="K118" i="16"/>
  <c r="K131" i="16"/>
  <c r="K125" i="16"/>
  <c r="K72" i="16"/>
  <c r="K132" i="16"/>
  <c r="K133" i="16"/>
  <c r="K140" i="16"/>
  <c r="K134" i="16"/>
  <c r="K135" i="16"/>
  <c r="K127" i="16"/>
  <c r="K136" i="16"/>
  <c r="K137" i="16"/>
  <c r="K124" i="16"/>
  <c r="K144" i="16"/>
  <c r="P106" i="16"/>
  <c r="P57" i="16"/>
  <c r="P93" i="16"/>
  <c r="P90" i="16"/>
  <c r="P78" i="16"/>
  <c r="P95" i="16"/>
  <c r="P65" i="16"/>
  <c r="P91" i="16"/>
  <c r="P52" i="16"/>
  <c r="P144" i="16"/>
  <c r="P101" i="16"/>
  <c r="P100" i="16"/>
  <c r="P74" i="16"/>
  <c r="P77" i="16"/>
  <c r="P76" i="16"/>
  <c r="P85" i="16"/>
  <c r="P72" i="16"/>
  <c r="P111" i="16"/>
  <c r="P68" i="16"/>
  <c r="P89" i="16"/>
  <c r="P84" i="16"/>
  <c r="P64" i="16"/>
  <c r="P145" i="16"/>
  <c r="P94" i="16"/>
  <c r="P53" i="16"/>
  <c r="P120" i="16"/>
  <c r="P86" i="16"/>
  <c r="P109" i="16"/>
  <c r="P98" i="16"/>
  <c r="P118" i="16"/>
  <c r="P87" i="16"/>
  <c r="P67" i="16"/>
  <c r="P62" i="16"/>
  <c r="P58" i="16"/>
  <c r="P54" i="16"/>
  <c r="P124" i="16"/>
  <c r="P88" i="16"/>
  <c r="P50" i="16"/>
  <c r="P97" i="16"/>
  <c r="P69" i="16"/>
  <c r="P63" i="16"/>
  <c r="P127" i="16"/>
  <c r="P141" i="16"/>
  <c r="P46" i="16"/>
  <c r="P59" i="16"/>
  <c r="P123" i="16"/>
  <c r="P92" i="16"/>
  <c r="P122" i="16"/>
  <c r="P117" i="16"/>
  <c r="P96" i="16"/>
  <c r="P119" i="16"/>
  <c r="P55" i="16"/>
  <c r="P83" i="16"/>
  <c r="P75" i="16"/>
  <c r="P71" i="16"/>
  <c r="P138" i="16"/>
  <c r="P137" i="16"/>
  <c r="P70" i="16"/>
  <c r="P51" i="16"/>
  <c r="P136" i="16"/>
  <c r="P135" i="16"/>
  <c r="P134" i="16"/>
  <c r="P142" i="16"/>
  <c r="P133" i="16"/>
  <c r="P132" i="16"/>
  <c r="P48" i="16"/>
  <c r="P66" i="16"/>
  <c r="P131" i="16"/>
  <c r="P115" i="16"/>
  <c r="P139" i="16"/>
  <c r="P128" i="16"/>
  <c r="P113" i="16"/>
  <c r="P110" i="16"/>
  <c r="P61" i="16"/>
  <c r="P99" i="16"/>
  <c r="P104" i="16"/>
  <c r="P103" i="16"/>
  <c r="P73" i="16"/>
  <c r="P82" i="16"/>
  <c r="P81" i="16"/>
  <c r="P60" i="16"/>
  <c r="P80" i="16"/>
  <c r="P79" i="16"/>
  <c r="P143" i="16"/>
  <c r="P129" i="16"/>
  <c r="P56" i="16"/>
  <c r="P126" i="16"/>
  <c r="P116" i="16"/>
  <c r="P107" i="16"/>
  <c r="P108" i="16"/>
  <c r="P47" i="16"/>
  <c r="P112" i="16"/>
  <c r="P121" i="16"/>
  <c r="P125" i="16"/>
  <c r="P105" i="16"/>
  <c r="P130" i="16"/>
  <c r="P140" i="16"/>
  <c r="P114" i="16"/>
  <c r="P49" i="16"/>
  <c r="P102" i="16"/>
  <c r="I143" i="16"/>
  <c r="I63" i="16"/>
  <c r="I123" i="16"/>
  <c r="I118" i="16"/>
  <c r="I114" i="16"/>
  <c r="I122" i="16"/>
  <c r="I119" i="16"/>
  <c r="I129" i="16"/>
  <c r="I135" i="16"/>
  <c r="I139" i="16"/>
  <c r="I145" i="16"/>
  <c r="I121" i="16"/>
  <c r="I144" i="16"/>
  <c r="I115" i="16"/>
  <c r="I86" i="16"/>
  <c r="I124" i="16"/>
  <c r="I125" i="16"/>
  <c r="I127" i="16"/>
  <c r="I136" i="16"/>
  <c r="I106" i="16"/>
  <c r="I128" i="16"/>
  <c r="I130" i="16"/>
  <c r="I126" i="16"/>
  <c r="I134" i="16"/>
  <c r="I116" i="16"/>
  <c r="I120" i="16"/>
  <c r="I133" i="16"/>
  <c r="I92" i="16"/>
  <c r="I142" i="16"/>
  <c r="I140" i="16"/>
  <c r="I132" i="16"/>
  <c r="I117" i="16"/>
  <c r="I138" i="16"/>
  <c r="I131" i="16"/>
  <c r="I137" i="16"/>
  <c r="I141" i="16"/>
  <c r="D129" i="16"/>
  <c r="R129" i="16" s="1" a="1"/>
  <c r="D124" i="16"/>
  <c r="R124" i="16" s="1" a="1"/>
  <c r="D125" i="16"/>
  <c r="R125" i="16" s="1" a="1"/>
  <c r="D144" i="16"/>
  <c r="R144" i="16" s="1" a="1"/>
  <c r="D140" i="16"/>
  <c r="R140" i="16" s="1" a="1"/>
  <c r="D128" i="16"/>
  <c r="R128" i="16" s="1" a="1"/>
  <c r="D126" i="16"/>
  <c r="R126" i="16" s="1" a="1"/>
  <c r="D114" i="16"/>
  <c r="R114" i="16" s="1" a="1"/>
  <c r="AH33" i="16" a="1"/>
  <c r="R33" i="16" a="1"/>
  <c r="D120" i="16"/>
  <c r="R120" i="16" s="1" a="1"/>
  <c r="R32" i="16" a="1"/>
  <c r="AH32" i="16" a="1"/>
  <c r="D116" i="16"/>
  <c r="R116" i="16" s="1" a="1"/>
  <c r="D115" i="16"/>
  <c r="R115" i="16" s="1" a="1"/>
  <c r="R34" i="16" a="1"/>
  <c r="AH34" i="16" a="1"/>
  <c r="R37" i="16" a="1"/>
  <c r="AH37" i="16" a="1"/>
  <c r="AH36" i="16" a="1"/>
  <c r="R36" i="16" a="1"/>
  <c r="D117" i="16"/>
  <c r="R117" i="16" s="1" a="1"/>
  <c r="D118" i="16"/>
  <c r="R118" i="16" s="1" a="1"/>
  <c r="AH31" i="16" a="1"/>
  <c r="AH38" i="16" a="1"/>
  <c r="AH39" i="16" a="1"/>
  <c r="AH35" i="16" a="1"/>
  <c r="AH40" i="16" a="1"/>
  <c r="O47" i="16"/>
  <c r="O67" i="16"/>
  <c r="O73" i="16"/>
  <c r="O71" i="16"/>
  <c r="O125" i="16"/>
  <c r="O54" i="16"/>
  <c r="O98" i="16"/>
  <c r="O69" i="16"/>
  <c r="O86" i="16"/>
  <c r="O75" i="16"/>
  <c r="O72" i="16"/>
  <c r="O82" i="16"/>
  <c r="O131" i="16"/>
  <c r="O140" i="16"/>
  <c r="O102" i="16"/>
  <c r="O127" i="16"/>
  <c r="O89" i="16"/>
  <c r="O142" i="16"/>
  <c r="O81" i="16"/>
  <c r="O115" i="16"/>
  <c r="O92" i="16"/>
  <c r="O113" i="16"/>
  <c r="O62" i="16"/>
  <c r="O132" i="16"/>
  <c r="O126" i="16"/>
  <c r="O143" i="16"/>
  <c r="O97" i="16"/>
  <c r="O53" i="16"/>
  <c r="O111" i="16"/>
  <c r="O145" i="16"/>
  <c r="O90" i="16"/>
  <c r="O116" i="16"/>
  <c r="O49" i="16"/>
  <c r="O104" i="16"/>
  <c r="O96" i="16"/>
  <c r="O118" i="16"/>
  <c r="O144" i="16"/>
  <c r="O117" i="16"/>
  <c r="O70" i="16"/>
  <c r="O120" i="16"/>
  <c r="O134" i="16"/>
  <c r="O105" i="16"/>
  <c r="O123" i="16"/>
  <c r="O110" i="16"/>
  <c r="O85" i="16"/>
  <c r="O114" i="16"/>
  <c r="O135" i="16"/>
  <c r="O91" i="16"/>
  <c r="O124" i="16"/>
  <c r="O64" i="16"/>
  <c r="O66" i="16"/>
  <c r="O59" i="16"/>
  <c r="O87" i="16"/>
  <c r="O122" i="16"/>
  <c r="O57" i="16"/>
  <c r="O48" i="16"/>
  <c r="O99" i="16"/>
  <c r="O106" i="16"/>
  <c r="O61" i="16"/>
  <c r="O52" i="16"/>
  <c r="O84" i="16"/>
  <c r="O112" i="16"/>
  <c r="O133" i="16"/>
  <c r="O109" i="16"/>
  <c r="O65" i="16"/>
  <c r="O107" i="16"/>
  <c r="O80" i="16"/>
  <c r="O60" i="16"/>
  <c r="O128" i="16"/>
  <c r="O139" i="16"/>
  <c r="O141" i="16"/>
  <c r="O108" i="16"/>
  <c r="O121" i="16"/>
  <c r="O56" i="16"/>
  <c r="O78" i="16"/>
  <c r="O136" i="16"/>
  <c r="O93" i="16"/>
  <c r="O63" i="16"/>
  <c r="O68" i="16"/>
  <c r="O94" i="16"/>
  <c r="O77" i="16"/>
  <c r="O103" i="16"/>
  <c r="O55" i="16"/>
  <c r="O88" i="16"/>
  <c r="O101" i="16"/>
  <c r="O119" i="16"/>
  <c r="O74" i="16"/>
  <c r="O51" i="16"/>
  <c r="O58" i="16"/>
  <c r="O100" i="16"/>
  <c r="O137" i="16"/>
  <c r="O50" i="16"/>
  <c r="O129" i="16"/>
  <c r="O79" i="16"/>
  <c r="O83" i="16"/>
  <c r="AQ25" i="16"/>
  <c r="AQ13" i="16"/>
  <c r="AQ17" i="16"/>
  <c r="AQ20" i="16"/>
  <c r="AQ19" i="16"/>
  <c r="AQ11" i="16"/>
  <c r="AQ12" i="16"/>
  <c r="AQ18" i="16"/>
  <c r="AQ28" i="16"/>
  <c r="AQ21" i="16"/>
  <c r="AQ16" i="16"/>
  <c r="AQ23" i="16"/>
  <c r="AQ26" i="16"/>
  <c r="AQ14" i="16"/>
  <c r="AQ15" i="16"/>
  <c r="AQ22" i="16"/>
  <c r="AM29" i="16"/>
  <c r="AM11" i="16"/>
  <c r="AM21" i="16"/>
  <c r="AM14" i="16"/>
  <c r="AM22" i="16"/>
  <c r="AM24" i="16"/>
  <c r="AM20" i="16"/>
  <c r="AM25" i="16"/>
  <c r="AM13" i="16"/>
  <c r="AM18" i="16"/>
  <c r="AM28" i="16"/>
  <c r="AM30" i="16"/>
  <c r="AM27" i="16"/>
  <c r="AM26" i="16"/>
  <c r="AM17" i="16"/>
  <c r="AM19" i="16"/>
  <c r="AM16" i="16"/>
  <c r="AM23" i="16"/>
  <c r="AM15" i="16"/>
  <c r="AM12" i="16"/>
  <c r="AN12" i="16"/>
  <c r="AN11" i="16"/>
  <c r="AN20" i="16"/>
  <c r="AN13" i="16"/>
  <c r="AN19" i="16"/>
  <c r="AN23" i="16"/>
  <c r="AN14" i="16"/>
  <c r="AN25" i="16"/>
  <c r="AN16" i="16"/>
  <c r="AN29" i="16"/>
  <c r="AN24" i="16"/>
  <c r="AN21" i="16"/>
  <c r="AN18" i="16"/>
  <c r="AN17" i="16"/>
  <c r="AN30" i="16"/>
  <c r="AN26" i="16"/>
  <c r="AN27" i="16"/>
  <c r="AN15" i="16"/>
  <c r="AN22" i="16"/>
  <c r="AN28" i="16"/>
  <c r="AO14" i="16"/>
  <c r="AO17" i="16"/>
  <c r="AO28" i="16"/>
  <c r="AO18" i="16"/>
  <c r="AO23" i="16"/>
  <c r="AO29" i="16"/>
  <c r="AO27" i="16"/>
  <c r="AO13" i="16"/>
  <c r="AO22" i="16"/>
  <c r="AO15" i="16"/>
  <c r="AO21" i="16"/>
  <c r="AO19" i="16"/>
  <c r="AO20" i="16"/>
  <c r="AO24" i="16"/>
  <c r="AO11" i="16"/>
  <c r="AO16" i="16"/>
  <c r="AO26" i="16"/>
  <c r="AO25" i="16"/>
  <c r="AL20" i="16"/>
  <c r="AL28" i="16"/>
  <c r="AL23" i="16"/>
  <c r="AL13" i="16"/>
  <c r="AL25" i="16"/>
  <c r="AL16" i="16"/>
  <c r="AL22" i="16"/>
  <c r="AL27" i="16"/>
  <c r="AL19" i="16"/>
  <c r="AL26" i="16"/>
  <c r="AL29" i="16"/>
  <c r="AL14" i="16"/>
  <c r="AL12" i="16"/>
  <c r="AL15" i="16"/>
  <c r="AL24" i="16"/>
  <c r="AL30" i="16"/>
  <c r="AL21" i="16"/>
  <c r="AL18" i="16"/>
  <c r="AL11" i="16"/>
  <c r="AL17" i="16"/>
  <c r="AR28" i="16"/>
  <c r="AR22" i="16"/>
  <c r="AR12" i="16"/>
  <c r="AR18" i="16"/>
  <c r="AR27" i="16"/>
  <c r="AR17" i="16"/>
  <c r="AR23" i="16"/>
  <c r="AR29" i="16"/>
  <c r="AR14" i="16"/>
  <c r="AR24" i="16"/>
  <c r="AR15" i="16"/>
  <c r="AR16" i="16"/>
  <c r="AR11" i="16"/>
  <c r="AR25" i="16"/>
  <c r="AR13" i="16"/>
  <c r="AR19" i="16"/>
  <c r="AR21" i="16"/>
  <c r="AP11" i="16"/>
  <c r="AP21" i="16"/>
  <c r="AP17" i="16"/>
  <c r="AP18" i="16"/>
  <c r="AP28" i="16"/>
  <c r="AP29" i="16"/>
  <c r="AP12" i="16"/>
  <c r="AP24" i="16"/>
  <c r="AP14" i="16"/>
  <c r="AP20" i="16"/>
  <c r="AP26" i="16"/>
  <c r="AP25" i="16"/>
  <c r="AP22" i="16"/>
  <c r="AP15" i="16"/>
  <c r="AP16" i="16"/>
  <c r="AP23" i="16"/>
  <c r="AP19" i="16"/>
  <c r="AP13" i="16"/>
  <c r="AK20" i="16"/>
  <c r="AK21" i="16"/>
  <c r="AK29" i="16"/>
  <c r="AK27" i="16"/>
  <c r="AK26" i="16"/>
  <c r="AK28" i="16"/>
  <c r="AK12" i="16"/>
  <c r="AK25" i="16"/>
  <c r="AK18" i="16"/>
  <c r="AK17" i="16"/>
  <c r="AK22" i="16"/>
  <c r="AK13" i="16"/>
  <c r="AK23" i="16"/>
  <c r="AK19" i="16"/>
  <c r="AK16" i="16"/>
  <c r="AK24" i="16"/>
  <c r="AK30" i="16"/>
  <c r="AK15" i="16"/>
  <c r="O46" i="16"/>
  <c r="X10" i="16"/>
  <c r="X45" i="16"/>
  <c r="AN41" i="16"/>
  <c r="AL41" i="16"/>
  <c r="AM41" i="16"/>
  <c r="BQ45" i="16"/>
  <c r="BQ10" i="16"/>
  <c r="V45" i="16"/>
  <c r="V10" i="16"/>
  <c r="BP45" i="16"/>
  <c r="BP10" i="16"/>
  <c r="BC10" i="16"/>
  <c r="BC45" i="16"/>
  <c r="AQ45" i="16"/>
  <c r="AQ10" i="16"/>
  <c r="AM45" i="16"/>
  <c r="AM10" i="16"/>
  <c r="I45" i="16"/>
  <c r="I10" i="16"/>
  <c r="D10" i="16"/>
  <c r="D45" i="16"/>
  <c r="BD45" i="16"/>
  <c r="BD10" i="16"/>
  <c r="AN45" i="16"/>
  <c r="AN10" i="16"/>
  <c r="T45" i="16"/>
  <c r="T10" i="16"/>
  <c r="BO10" i="16"/>
  <c r="BO45" i="16"/>
  <c r="BB45" i="16"/>
  <c r="BB10" i="16"/>
  <c r="AO10" i="16"/>
  <c r="AO45" i="16"/>
  <c r="W10" i="16"/>
  <c r="W45" i="16"/>
  <c r="G45" i="16"/>
  <c r="G10" i="16"/>
  <c r="AR10" i="16"/>
  <c r="AR45" i="16"/>
  <c r="Z45" i="16"/>
  <c r="Z10" i="16"/>
  <c r="F10" i="16"/>
  <c r="F45" i="16"/>
  <c r="BN45" i="16"/>
  <c r="BN10" i="16"/>
  <c r="BE10" i="16"/>
  <c r="BE45" i="16"/>
  <c r="BA45" i="16"/>
  <c r="BA10" i="16"/>
  <c r="AP10" i="16"/>
  <c r="AP45" i="16"/>
  <c r="J45" i="16"/>
  <c r="J10" i="16"/>
  <c r="BM45" i="16"/>
  <c r="BM10" i="16"/>
  <c r="AK10" i="16"/>
  <c r="AK45" i="16"/>
  <c r="BT10" i="16"/>
  <c r="BT45" i="16"/>
  <c r="AZ45" i="16"/>
  <c r="AZ10" i="16"/>
  <c r="H45" i="16"/>
  <c r="H10" i="16"/>
  <c r="AC891" i="12"/>
  <c r="AC804" i="12"/>
  <c r="AC1474" i="12"/>
  <c r="AC1192" i="12"/>
  <c r="AC885" i="12"/>
  <c r="AC644" i="12"/>
  <c r="AC1445" i="12"/>
  <c r="AC1095" i="12"/>
  <c r="AC1416" i="12"/>
  <c r="AC1410" i="12"/>
  <c r="AC1467" i="12"/>
  <c r="AC787" i="12"/>
  <c r="AC1476" i="12"/>
  <c r="AC906" i="12"/>
  <c r="AC844" i="12"/>
  <c r="AC1435" i="12"/>
  <c r="AC960" i="12"/>
  <c r="AC1072" i="12"/>
  <c r="AC734" i="12"/>
  <c r="AC659" i="12"/>
  <c r="AC1480" i="12"/>
  <c r="AC1449" i="12"/>
  <c r="AC1409" i="12"/>
  <c r="AC1126" i="12"/>
  <c r="AC948" i="12"/>
  <c r="AC1098" i="12"/>
  <c r="AC628" i="12"/>
  <c r="AC1473" i="12"/>
  <c r="AC633" i="12"/>
  <c r="AC1128" i="12"/>
  <c r="AC783" i="12"/>
  <c r="AC1411" i="12"/>
  <c r="AC1487" i="12"/>
  <c r="AC1113" i="12"/>
  <c r="AC971" i="12"/>
  <c r="AC1469" i="12"/>
  <c r="AC1427" i="12"/>
  <c r="AC738" i="12"/>
  <c r="AC1481" i="12"/>
  <c r="AC699" i="12"/>
  <c r="AC812" i="12"/>
  <c r="AC1215" i="12"/>
  <c r="AC1011" i="12"/>
  <c r="AC641" i="12"/>
  <c r="AC646" i="12"/>
  <c r="AC854" i="12"/>
  <c r="AC1083" i="12"/>
  <c r="AC1219" i="12"/>
  <c r="AC834" i="12"/>
  <c r="AC901" i="12"/>
  <c r="AC808" i="12"/>
  <c r="AC710" i="12"/>
  <c r="AC643" i="12"/>
  <c r="AC1459" i="12"/>
  <c r="AC1466" i="12"/>
  <c r="AC1455" i="12"/>
  <c r="AC1143" i="12"/>
  <c r="AC1114" i="12"/>
  <c r="AC1080" i="12"/>
  <c r="AC889" i="12"/>
  <c r="AC817" i="12"/>
  <c r="AC822" i="12"/>
  <c r="AC647" i="12"/>
  <c r="AC870" i="12"/>
  <c r="AC1162" i="12"/>
  <c r="AC1419" i="12"/>
  <c r="AC692" i="12"/>
  <c r="AC655" i="12"/>
  <c r="AC1147" i="12"/>
  <c r="AC727" i="12"/>
  <c r="AC736" i="12"/>
  <c r="AC1127" i="12"/>
  <c r="AC1132" i="12"/>
  <c r="AC1112" i="12"/>
  <c r="AC842" i="12"/>
  <c r="AC815" i="12"/>
  <c r="AC1477" i="12"/>
  <c r="AC1357" i="12"/>
  <c r="AC1448" i="12"/>
  <c r="AC1068" i="12"/>
  <c r="AC761" i="12"/>
  <c r="AC768" i="12"/>
  <c r="AC751" i="12"/>
  <c r="AC1161" i="12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BC293" i="2" a="1"/>
  <c r="BC292" i="2" a="1"/>
  <c r="BC291" i="2" a="1"/>
  <c r="BC290" i="2" a="1"/>
  <c r="BC289" i="2" a="1"/>
  <c r="BC288" i="2" a="1"/>
  <c r="BC287" i="2" a="1"/>
  <c r="BC284" i="2" a="1"/>
  <c r="BC283" i="2" a="1"/>
  <c r="BC282" i="2" a="1"/>
  <c r="BC281" i="2" a="1"/>
  <c r="AC1084" i="12"/>
  <c r="AC758" i="12"/>
  <c r="AC706" i="12"/>
  <c r="AC713" i="12"/>
  <c r="AC690" i="12"/>
  <c r="AC674" i="12"/>
  <c r="AC1500" i="12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BC300" i="2" a="1"/>
  <c r="BC299" i="2" a="1"/>
  <c r="BC298" i="2" a="1"/>
  <c r="BC297" i="2" a="1"/>
  <c r="AC1094" i="12"/>
  <c r="AC930" i="12"/>
  <c r="AC691" i="12"/>
  <c r="AC952" i="12"/>
  <c r="BC133" i="2" a="1"/>
  <c r="AA6" i="3"/>
  <c r="AP6" i="2"/>
  <c r="C30" i="3"/>
  <c r="AC672" i="12"/>
  <c r="BC280" i="2" a="1"/>
  <c r="BC279" i="2" a="1"/>
  <c r="BC278" i="2" a="1"/>
  <c r="BC277" i="2" a="1"/>
  <c r="BC276" i="2" a="1"/>
  <c r="BC275" i="2" a="1"/>
  <c r="BC274" i="2" a="1"/>
  <c r="BC273" i="2" a="1"/>
  <c r="BC272" i="2" a="1"/>
  <c r="BC271" i="2" a="1"/>
  <c r="BC270" i="2" a="1"/>
  <c r="BC269" i="2" a="1"/>
  <c r="BC268" i="2" a="1"/>
  <c r="BC267" i="2" a="1"/>
  <c r="BC266" i="2" a="1"/>
  <c r="BC265" i="2" a="1"/>
  <c r="BC264" i="2" a="1"/>
  <c r="BC263" i="2" a="1"/>
  <c r="BC262" i="2" a="1"/>
  <c r="BC261" i="2" a="1"/>
  <c r="BC260" i="2" a="1"/>
  <c r="BC259" i="2" a="1"/>
  <c r="BC258" i="2" a="1"/>
  <c r="BC257" i="2" a="1"/>
  <c r="BC256" i="2" a="1"/>
  <c r="BC255" i="2" a="1"/>
  <c r="BC254" i="2" a="1"/>
  <c r="BC253" i="2" a="1"/>
  <c r="BC252" i="2" a="1"/>
  <c r="BC251" i="2" a="1"/>
  <c r="BC250" i="2" a="1"/>
  <c r="BC249" i="2" a="1"/>
  <c r="BC248" i="2" a="1"/>
  <c r="BC247" i="2" a="1"/>
  <c r="BC246" i="2" a="1"/>
  <c r="BC245" i="2" a="1"/>
  <c r="BC244" i="2" a="1"/>
  <c r="BC243" i="2" a="1"/>
  <c r="BC242" i="2" a="1"/>
  <c r="BC241" i="2" a="1"/>
  <c r="BC240" i="2" a="1"/>
  <c r="BC239" i="2" a="1"/>
  <c r="BC238" i="2" a="1"/>
  <c r="BC237" i="2" a="1"/>
  <c r="BC236" i="2" a="1"/>
  <c r="BC235" i="2" a="1"/>
  <c r="BC234" i="2" a="1"/>
  <c r="BC233" i="2" a="1"/>
  <c r="BC232" i="2" a="1"/>
  <c r="BC231" i="2" a="1"/>
  <c r="BC230" i="2" a="1"/>
  <c r="BC229" i="2" a="1"/>
  <c r="BC228" i="2" a="1"/>
  <c r="BC227" i="2" a="1"/>
  <c r="BC226" i="2" a="1"/>
  <c r="BC225" i="2" a="1"/>
  <c r="BC224" i="2" a="1"/>
  <c r="BC223" i="2" a="1"/>
  <c r="BC222" i="2" a="1"/>
  <c r="BC221" i="2" a="1"/>
  <c r="BC220" i="2" a="1"/>
  <c r="BC219" i="2" a="1"/>
  <c r="BC218" i="2" a="1"/>
  <c r="BC217" i="2" a="1"/>
  <c r="BC216" i="2" a="1"/>
  <c r="BC215" i="2" a="1"/>
  <c r="BC214" i="2" a="1"/>
  <c r="BC213" i="2" a="1"/>
  <c r="BC212" i="2" a="1"/>
  <c r="BC211" i="2" a="1"/>
  <c r="BC210" i="2" a="1"/>
  <c r="BC209" i="2" a="1"/>
  <c r="BC208" i="2" a="1"/>
  <c r="BC207" i="2" a="1"/>
  <c r="BC206" i="2" a="1"/>
  <c r="BC205" i="2" a="1"/>
  <c r="BC204" i="2" a="1"/>
  <c r="BC203" i="2" a="1"/>
  <c r="BC202" i="2" a="1"/>
  <c r="BC201" i="2" a="1"/>
  <c r="BC200" i="2" a="1"/>
  <c r="BC199" i="2" a="1"/>
  <c r="BC198" i="2" a="1"/>
  <c r="BC197" i="2" a="1"/>
  <c r="BC196" i="2" a="1"/>
  <c r="BC195" i="2" a="1"/>
  <c r="BC194" i="2" a="1"/>
  <c r="BC193" i="2" a="1"/>
  <c r="AC718" i="12"/>
  <c r="AF7" i="13" a="1"/>
  <c r="AH7" i="13" s="1"/>
  <c r="AG7" i="13" a="1"/>
  <c r="AJ7" i="13" s="1"/>
  <c r="AE7" i="13" a="1"/>
  <c r="AN7" i="13" a="1"/>
  <c r="AP7" i="13" s="1"/>
  <c r="AM7" i="13" a="1"/>
  <c r="AO7" i="13" a="1"/>
  <c r="AR7" i="13" s="1"/>
  <c r="AG8" i="13" a="1"/>
  <c r="AJ8" i="13" s="1"/>
  <c r="AF8" i="13" a="1"/>
  <c r="AH8" i="13" s="1"/>
  <c r="AE8" i="13" a="1"/>
  <c r="AM8" i="13" a="1"/>
  <c r="AN8" i="13" a="1"/>
  <c r="AP8" i="13" s="1"/>
  <c r="AO8" i="13" a="1"/>
  <c r="AR8" i="13" s="1"/>
  <c r="AC303" i="13"/>
  <c r="AL303" i="13" s="1"/>
  <c r="AD303" i="13"/>
  <c r="AE303" i="13" a="1"/>
  <c r="AF303" i="13" a="1"/>
  <c r="AH303" i="13" s="1"/>
  <c r="AG303" i="13" a="1"/>
  <c r="AJ303" i="13" s="1"/>
  <c r="AM303" i="13" a="1"/>
  <c r="AN303" i="13" a="1"/>
  <c r="AP303" i="13" s="1"/>
  <c r="AO303" i="13" a="1"/>
  <c r="AR303" i="13" s="1"/>
  <c r="AC302" i="13"/>
  <c r="AL302" i="13" s="1"/>
  <c r="AD302" i="13"/>
  <c r="AE302" i="13" a="1"/>
  <c r="AF302" i="13" a="1"/>
  <c r="AH302" i="13" s="1"/>
  <c r="AG302" i="13" a="1"/>
  <c r="AJ302" i="13" s="1"/>
  <c r="AM302" i="13" a="1"/>
  <c r="AN302" i="13" a="1"/>
  <c r="AP302" i="13" s="1"/>
  <c r="AO302" i="13" a="1"/>
  <c r="AR302" i="13" s="1"/>
  <c r="AE301" i="13" a="1"/>
  <c r="AC301" i="13"/>
  <c r="AL301" i="13" s="1"/>
  <c r="AD301" i="13"/>
  <c r="AF301" i="13" a="1"/>
  <c r="AH301" i="13" s="1"/>
  <c r="AG301" i="13" a="1"/>
  <c r="AJ301" i="13" s="1"/>
  <c r="AM301" i="13" a="1"/>
  <c r="AN301" i="13" a="1"/>
  <c r="AP301" i="13" s="1"/>
  <c r="AO301" i="13" a="1"/>
  <c r="AR301" i="13" s="1"/>
  <c r="AD300" i="13"/>
  <c r="AF300" i="13" a="1"/>
  <c r="AH300" i="13" s="1"/>
  <c r="AC300" i="13"/>
  <c r="AL300" i="13" s="1"/>
  <c r="AE300" i="13" a="1"/>
  <c r="AG300" i="13" a="1"/>
  <c r="AJ300" i="13" s="1"/>
  <c r="AM300" i="13" a="1"/>
  <c r="AN300" i="13" a="1"/>
  <c r="AP300" i="13" s="1"/>
  <c r="AO300" i="13" a="1"/>
  <c r="AR300" i="13" s="1"/>
  <c r="AF299" i="13" a="1"/>
  <c r="AH299" i="13" s="1"/>
  <c r="AD299" i="13"/>
  <c r="AG299" i="13" a="1"/>
  <c r="AJ299" i="13" s="1"/>
  <c r="AC299" i="13"/>
  <c r="AL299" i="13" s="1"/>
  <c r="AE299" i="13" a="1"/>
  <c r="AM299" i="13" a="1"/>
  <c r="AN299" i="13" a="1"/>
  <c r="AP299" i="13" s="1"/>
  <c r="AO299" i="13" a="1"/>
  <c r="AR299" i="13" s="1"/>
  <c r="AF298" i="13" a="1"/>
  <c r="AH298" i="13" s="1"/>
  <c r="AD298" i="13"/>
  <c r="AG298" i="13" a="1"/>
  <c r="AJ298" i="13" s="1"/>
  <c r="AC298" i="13"/>
  <c r="AL298" i="13" s="1"/>
  <c r="AE298" i="13" a="1"/>
  <c r="AM298" i="13" a="1"/>
  <c r="AN298" i="13" a="1"/>
  <c r="AP298" i="13" s="1"/>
  <c r="AO298" i="13" a="1"/>
  <c r="AR298" i="13" s="1"/>
  <c r="AF297" i="13" a="1"/>
  <c r="AH297" i="13" s="1"/>
  <c r="AD297" i="13"/>
  <c r="AE297" i="13" a="1"/>
  <c r="AG297" i="13" a="1"/>
  <c r="AJ297" i="13" s="1"/>
  <c r="AC297" i="13"/>
  <c r="AL297" i="13" s="1"/>
  <c r="AM297" i="13" a="1"/>
  <c r="AN297" i="13" a="1"/>
  <c r="AP297" i="13" s="1"/>
  <c r="AO297" i="13" a="1"/>
  <c r="AR297" i="13" s="1"/>
  <c r="AF296" i="13" a="1"/>
  <c r="AH296" i="13" s="1"/>
  <c r="AC296" i="13"/>
  <c r="AL296" i="13" s="1"/>
  <c r="AD296" i="13"/>
  <c r="AE296" i="13" a="1"/>
  <c r="AG296" i="13" a="1"/>
  <c r="AJ296" i="13" s="1"/>
  <c r="AM296" i="13" a="1"/>
  <c r="AN296" i="13" a="1"/>
  <c r="AP296" i="13" s="1"/>
  <c r="AO296" i="13" a="1"/>
  <c r="AR296" i="13" s="1"/>
  <c r="AE295" i="13" a="1"/>
  <c r="AG295" i="13" a="1"/>
  <c r="AJ295" i="13" s="1"/>
  <c r="AC295" i="13"/>
  <c r="AL295" i="13" s="1"/>
  <c r="AD295" i="13"/>
  <c r="AF295" i="13" a="1"/>
  <c r="AH295" i="13" s="1"/>
  <c r="AM295" i="13" a="1"/>
  <c r="AN295" i="13" a="1"/>
  <c r="AP295" i="13" s="1"/>
  <c r="AO295" i="13" a="1"/>
  <c r="AR295" i="13" s="1"/>
  <c r="AD294" i="13"/>
  <c r="AG294" i="13" a="1"/>
  <c r="AJ294" i="13" s="1"/>
  <c r="AE294" i="13" a="1"/>
  <c r="AC294" i="13"/>
  <c r="AL294" i="13" s="1"/>
  <c r="AF294" i="13" a="1"/>
  <c r="AH294" i="13" s="1"/>
  <c r="AM294" i="13" a="1"/>
  <c r="AN294" i="13" a="1"/>
  <c r="AP294" i="13" s="1"/>
  <c r="AO294" i="13" a="1"/>
  <c r="AR294" i="13" s="1"/>
  <c r="AE293" i="13" a="1"/>
  <c r="AF293" i="13" a="1"/>
  <c r="AH293" i="13" s="1"/>
  <c r="AC293" i="13"/>
  <c r="AL293" i="13" s="1"/>
  <c r="AD293" i="13"/>
  <c r="AG293" i="13" a="1"/>
  <c r="AJ293" i="13" s="1"/>
  <c r="AM293" i="13" a="1"/>
  <c r="AN293" i="13" a="1"/>
  <c r="AP293" i="13" s="1"/>
  <c r="AO293" i="13" a="1"/>
  <c r="AR293" i="13" s="1"/>
  <c r="AG292" i="13" a="1"/>
  <c r="AJ292" i="13" s="1"/>
  <c r="AC292" i="13"/>
  <c r="AL292" i="13" s="1"/>
  <c r="AD292" i="13"/>
  <c r="AF292" i="13" a="1"/>
  <c r="AH292" i="13" s="1"/>
  <c r="AE292" i="13" a="1"/>
  <c r="AM292" i="13" a="1"/>
  <c r="AN292" i="13" a="1"/>
  <c r="AP292" i="13" s="1"/>
  <c r="AO292" i="13" a="1"/>
  <c r="AR292" i="13" s="1"/>
  <c r="AC291" i="13"/>
  <c r="AL291" i="13" s="1"/>
  <c r="AE291" i="13" a="1"/>
  <c r="AD291" i="13"/>
  <c r="AF291" i="13" a="1"/>
  <c r="AH291" i="13" s="1"/>
  <c r="AG291" i="13" a="1"/>
  <c r="AJ291" i="13" s="1"/>
  <c r="AM291" i="13" a="1"/>
  <c r="AN291" i="13" a="1"/>
  <c r="AP291" i="13" s="1"/>
  <c r="AO291" i="13" a="1"/>
  <c r="AR291" i="13" s="1"/>
  <c r="AC290" i="13"/>
  <c r="AL290" i="13" s="1"/>
  <c r="AF290" i="13" a="1"/>
  <c r="AH290" i="13" s="1"/>
  <c r="AG290" i="13" a="1"/>
  <c r="AJ290" i="13" s="1"/>
  <c r="AD290" i="13"/>
  <c r="AE290" i="13" a="1"/>
  <c r="AM290" i="13" a="1"/>
  <c r="AN290" i="13" a="1"/>
  <c r="AP290" i="13" s="1"/>
  <c r="AO290" i="13" a="1"/>
  <c r="AR290" i="13" s="1"/>
  <c r="AD289" i="13"/>
  <c r="AF289" i="13" a="1"/>
  <c r="AH289" i="13" s="1"/>
  <c r="AG289" i="13" a="1"/>
  <c r="AJ289" i="13" s="1"/>
  <c r="AE289" i="13" a="1"/>
  <c r="AC289" i="13"/>
  <c r="AL289" i="13" s="1"/>
  <c r="AM289" i="13" a="1"/>
  <c r="AN289" i="13" a="1"/>
  <c r="AP289" i="13" s="1"/>
  <c r="AO289" i="13" a="1"/>
  <c r="AR289" i="13" s="1"/>
  <c r="AG288" i="13" a="1"/>
  <c r="AJ288" i="13" s="1"/>
  <c r="AD288" i="13"/>
  <c r="AE288" i="13" a="1"/>
  <c r="AC288" i="13"/>
  <c r="AL288" i="13" s="1"/>
  <c r="AF288" i="13" a="1"/>
  <c r="AH288" i="13" s="1"/>
  <c r="AM288" i="13" a="1"/>
  <c r="AN288" i="13" a="1"/>
  <c r="AP288" i="13" s="1"/>
  <c r="AO288" i="13" a="1"/>
  <c r="AR288" i="13" s="1"/>
  <c r="AE287" i="13" a="1"/>
  <c r="AG287" i="13" a="1"/>
  <c r="AJ287" i="13" s="1"/>
  <c r="AC287" i="13"/>
  <c r="AL287" i="13" s="1"/>
  <c r="AD287" i="13"/>
  <c r="AF287" i="13" a="1"/>
  <c r="AH287" i="13" s="1"/>
  <c r="AM287" i="13" a="1"/>
  <c r="AN287" i="13" a="1"/>
  <c r="AP287" i="13" s="1"/>
  <c r="AO287" i="13" a="1"/>
  <c r="AR287" i="13" s="1"/>
  <c r="AE286" i="13" a="1"/>
  <c r="AD286" i="13"/>
  <c r="AG286" i="13" a="1"/>
  <c r="AJ286" i="13" s="1"/>
  <c r="AC286" i="13"/>
  <c r="AL286" i="13" s="1"/>
  <c r="AF286" i="13" a="1"/>
  <c r="AH286" i="13" s="1"/>
  <c r="AM286" i="13" a="1"/>
  <c r="AN286" i="13" a="1"/>
  <c r="AP286" i="13" s="1"/>
  <c r="AO286" i="13" a="1"/>
  <c r="AR286" i="13" s="1"/>
  <c r="AF285" i="13" a="1"/>
  <c r="AH285" i="13" s="1"/>
  <c r="AG285" i="13" a="1"/>
  <c r="AJ285" i="13" s="1"/>
  <c r="AE285" i="13" a="1"/>
  <c r="AC285" i="13"/>
  <c r="AL285" i="13" s="1"/>
  <c r="AD285" i="13"/>
  <c r="AM285" i="13" a="1"/>
  <c r="AN285" i="13" a="1"/>
  <c r="AP285" i="13" s="1"/>
  <c r="AO285" i="13" a="1"/>
  <c r="AR285" i="13" s="1"/>
  <c r="AG284" i="13" a="1"/>
  <c r="AJ284" i="13" s="1"/>
  <c r="AD284" i="13"/>
  <c r="AC284" i="13"/>
  <c r="AL284" i="13" s="1"/>
  <c r="AE284" i="13" a="1"/>
  <c r="AF284" i="13" a="1"/>
  <c r="AH284" i="13" s="1"/>
  <c r="AM284" i="13" a="1"/>
  <c r="AN284" i="13" a="1"/>
  <c r="AP284" i="13" s="1"/>
  <c r="AO284" i="13" a="1"/>
  <c r="AR284" i="13" s="1"/>
  <c r="AD283" i="13"/>
  <c r="AC283" i="13"/>
  <c r="AL283" i="13" s="1"/>
  <c r="AF283" i="13" a="1"/>
  <c r="AH283" i="13" s="1"/>
  <c r="AE283" i="13" a="1"/>
  <c r="AG283" i="13" a="1"/>
  <c r="AJ283" i="13" s="1"/>
  <c r="AM283" i="13" a="1"/>
  <c r="AN283" i="13" a="1"/>
  <c r="AP283" i="13" s="1"/>
  <c r="AO283" i="13" a="1"/>
  <c r="AR283" i="13" s="1"/>
  <c r="AC282" i="13"/>
  <c r="AL282" i="13" s="1"/>
  <c r="AF282" i="13" a="1"/>
  <c r="AH282" i="13" s="1"/>
  <c r="AD282" i="13"/>
  <c r="AE282" i="13" a="1"/>
  <c r="AG282" i="13" a="1"/>
  <c r="AJ282" i="13" s="1"/>
  <c r="AM282" i="13" a="1"/>
  <c r="AN282" i="13" a="1"/>
  <c r="AP282" i="13" s="1"/>
  <c r="AO282" i="13" a="1"/>
  <c r="AR282" i="13" s="1"/>
  <c r="AE281" i="13" a="1"/>
  <c r="AC281" i="13"/>
  <c r="AL281" i="13" s="1"/>
  <c r="AD281" i="13"/>
  <c r="AF281" i="13" a="1"/>
  <c r="AH281" i="13" s="1"/>
  <c r="AG281" i="13" a="1"/>
  <c r="AJ281" i="13" s="1"/>
  <c r="AM281" i="13" a="1"/>
  <c r="AN281" i="13" a="1"/>
  <c r="AP281" i="13" s="1"/>
  <c r="AO281" i="13" a="1"/>
  <c r="AR281" i="13" s="1"/>
  <c r="AC280" i="13"/>
  <c r="AL280" i="13" s="1"/>
  <c r="AE280" i="13" a="1"/>
  <c r="AG280" i="13" a="1"/>
  <c r="AJ280" i="13" s="1"/>
  <c r="AF280" i="13" a="1"/>
  <c r="AH280" i="13" s="1"/>
  <c r="AD280" i="13"/>
  <c r="AM280" i="13" a="1"/>
  <c r="AN280" i="13" a="1"/>
  <c r="AP280" i="13" s="1"/>
  <c r="AO280" i="13" a="1"/>
  <c r="AR280" i="13" s="1"/>
  <c r="AD279" i="13"/>
  <c r="AF279" i="13" a="1"/>
  <c r="AH279" i="13" s="1"/>
  <c r="AE279" i="13" a="1"/>
  <c r="AC279" i="13"/>
  <c r="AL279" i="13" s="1"/>
  <c r="AG279" i="13" a="1"/>
  <c r="AJ279" i="13" s="1"/>
  <c r="AM279" i="13" a="1"/>
  <c r="AN279" i="13" a="1"/>
  <c r="AP279" i="13" s="1"/>
  <c r="AO279" i="13" a="1"/>
  <c r="AR279" i="13" s="1"/>
  <c r="AE278" i="13" a="1"/>
  <c r="AF278" i="13" a="1"/>
  <c r="AH278" i="13" s="1"/>
  <c r="AD278" i="13"/>
  <c r="AC278" i="13"/>
  <c r="AL278" i="13" s="1"/>
  <c r="AG278" i="13" a="1"/>
  <c r="AJ278" i="13" s="1"/>
  <c r="AM278" i="13" a="1"/>
  <c r="AN278" i="13" a="1"/>
  <c r="AP278" i="13" s="1"/>
  <c r="AO278" i="13" a="1"/>
  <c r="AR278" i="13" s="1"/>
  <c r="AE277" i="13" a="1"/>
  <c r="AD277" i="13"/>
  <c r="AC277" i="13"/>
  <c r="AL277" i="13" s="1"/>
  <c r="AG277" i="13" a="1"/>
  <c r="AJ277" i="13" s="1"/>
  <c r="AF277" i="13" a="1"/>
  <c r="AH277" i="13" s="1"/>
  <c r="AM277" i="13" a="1"/>
  <c r="AN277" i="13" a="1"/>
  <c r="AP277" i="13" s="1"/>
  <c r="AO277" i="13" a="1"/>
  <c r="AR277" i="13" s="1"/>
  <c r="AG276" i="13" a="1"/>
  <c r="AJ276" i="13" s="1"/>
  <c r="AC276" i="13"/>
  <c r="AL276" i="13" s="1"/>
  <c r="AF276" i="13" a="1"/>
  <c r="AH276" i="13" s="1"/>
  <c r="AD276" i="13"/>
  <c r="AE276" i="13" a="1"/>
  <c r="AM276" i="13" a="1"/>
  <c r="AN276" i="13" a="1"/>
  <c r="AP276" i="13" s="1"/>
  <c r="AO276" i="13" a="1"/>
  <c r="AR276" i="13" s="1"/>
  <c r="AE275" i="13" a="1"/>
  <c r="AG275" i="13" a="1"/>
  <c r="AJ275" i="13" s="1"/>
  <c r="AF275" i="13" a="1"/>
  <c r="AH275" i="13" s="1"/>
  <c r="AD275" i="13"/>
  <c r="AC275" i="13"/>
  <c r="AL275" i="13" s="1"/>
  <c r="AM275" i="13" a="1"/>
  <c r="AN275" i="13" a="1"/>
  <c r="AP275" i="13" s="1"/>
  <c r="AO275" i="13" a="1"/>
  <c r="AR275" i="13" s="1"/>
  <c r="AE274" i="13" a="1"/>
  <c r="AG274" i="13" a="1"/>
  <c r="AJ274" i="13" s="1"/>
  <c r="AC274" i="13"/>
  <c r="AL274" i="13" s="1"/>
  <c r="AF274" i="13" a="1"/>
  <c r="AH274" i="13" s="1"/>
  <c r="AD274" i="13"/>
  <c r="AM274" i="13" a="1"/>
  <c r="AN274" i="13" a="1"/>
  <c r="AP274" i="13" s="1"/>
  <c r="AO274" i="13" a="1"/>
  <c r="AR274" i="13" s="1"/>
  <c r="AD273" i="13"/>
  <c r="AC273" i="13"/>
  <c r="AL273" i="13" s="1"/>
  <c r="AE273" i="13" a="1"/>
  <c r="AF273" i="13" a="1"/>
  <c r="AH273" i="13" s="1"/>
  <c r="AG273" i="13" a="1"/>
  <c r="AJ273" i="13" s="1"/>
  <c r="AM273" i="13" a="1"/>
  <c r="AN273" i="13" a="1"/>
  <c r="AP273" i="13" s="1"/>
  <c r="AO273" i="13" a="1"/>
  <c r="AR273" i="13" s="1"/>
  <c r="AD272" i="13"/>
  <c r="AG272" i="13" a="1"/>
  <c r="AJ272" i="13" s="1"/>
  <c r="AC272" i="13"/>
  <c r="AL272" i="13" s="1"/>
  <c r="AE272" i="13" a="1"/>
  <c r="AF272" i="13" a="1"/>
  <c r="AH272" i="13" s="1"/>
  <c r="AM272" i="13" a="1"/>
  <c r="AN272" i="13" a="1"/>
  <c r="AP272" i="13" s="1"/>
  <c r="AO272" i="13" a="1"/>
  <c r="AR272" i="13" s="1"/>
  <c r="AG271" i="13" a="1"/>
  <c r="AJ271" i="13" s="1"/>
  <c r="AF271" i="13" a="1"/>
  <c r="AH271" i="13" s="1"/>
  <c r="AC271" i="13"/>
  <c r="AL271" i="13" s="1"/>
  <c r="AD271" i="13"/>
  <c r="AM271" i="13" a="1"/>
  <c r="AN271" i="13" a="1"/>
  <c r="AP271" i="13" s="1"/>
  <c r="AO271" i="13" a="1"/>
  <c r="AR271" i="13" s="1"/>
  <c r="AE271" i="13" a="1"/>
  <c r="AE270" i="13" a="1"/>
  <c r="AC270" i="13"/>
  <c r="AL270" i="13" s="1"/>
  <c r="AG270" i="13" a="1"/>
  <c r="AJ270" i="13" s="1"/>
  <c r="AD270" i="13"/>
  <c r="AF270" i="13" a="1"/>
  <c r="AH270" i="13" s="1"/>
  <c r="AM270" i="13" a="1"/>
  <c r="AN270" i="13" a="1"/>
  <c r="AP270" i="13" s="1"/>
  <c r="AO270" i="13" a="1"/>
  <c r="AR270" i="13" s="1"/>
  <c r="AF269" i="13" a="1"/>
  <c r="AH269" i="13" s="1"/>
  <c r="AC269" i="13"/>
  <c r="AL269" i="13" s="1"/>
  <c r="AE269" i="13" a="1"/>
  <c r="AD269" i="13"/>
  <c r="AG269" i="13" a="1"/>
  <c r="AJ269" i="13" s="1"/>
  <c r="AM269" i="13" a="1"/>
  <c r="AN269" i="13" a="1"/>
  <c r="AP269" i="13" s="1"/>
  <c r="AO269" i="13" a="1"/>
  <c r="AR269" i="13" s="1"/>
  <c r="AE268" i="13" a="1"/>
  <c r="AF268" i="13" a="1"/>
  <c r="AH268" i="13" s="1"/>
  <c r="AD268" i="13"/>
  <c r="AC268" i="13"/>
  <c r="AL268" i="13" s="1"/>
  <c r="AG268" i="13" a="1"/>
  <c r="AJ268" i="13" s="1"/>
  <c r="AM268" i="13" a="1"/>
  <c r="AN268" i="13" a="1"/>
  <c r="AP268" i="13" s="1"/>
  <c r="AO268" i="13" a="1"/>
  <c r="AR268" i="13" s="1"/>
  <c r="AG267" i="13" a="1"/>
  <c r="AJ267" i="13" s="1"/>
  <c r="AF267" i="13" a="1"/>
  <c r="AH267" i="13" s="1"/>
  <c r="AC267" i="13"/>
  <c r="AL267" i="13" s="1"/>
  <c r="AD267" i="13"/>
  <c r="AE267" i="13" a="1"/>
  <c r="AM267" i="13" a="1"/>
  <c r="AN267" i="13" a="1"/>
  <c r="AP267" i="13" s="1"/>
  <c r="AO267" i="13" a="1"/>
  <c r="AR267" i="13" s="1"/>
  <c r="AG266" i="13" a="1"/>
  <c r="AJ266" i="13" s="1"/>
  <c r="AE266" i="13" a="1"/>
  <c r="AD266" i="13"/>
  <c r="AF266" i="13" a="1"/>
  <c r="AH266" i="13" s="1"/>
  <c r="AC266" i="13"/>
  <c r="AL266" i="13" s="1"/>
  <c r="AM266" i="13" a="1"/>
  <c r="AN266" i="13" a="1"/>
  <c r="AP266" i="13" s="1"/>
  <c r="AO266" i="13" a="1"/>
  <c r="AR266" i="13" s="1"/>
  <c r="AD265" i="13"/>
  <c r="AC265" i="13"/>
  <c r="AL265" i="13" s="1"/>
  <c r="AF265" i="13" a="1"/>
  <c r="AH265" i="13" s="1"/>
  <c r="AG265" i="13" a="1"/>
  <c r="AJ265" i="13" s="1"/>
  <c r="AE265" i="13" a="1"/>
  <c r="AM265" i="13" a="1"/>
  <c r="AN265" i="13" a="1"/>
  <c r="AP265" i="13" s="1"/>
  <c r="AO265" i="13" a="1"/>
  <c r="AR265" i="13" s="1"/>
  <c r="AC264" i="13"/>
  <c r="AL264" i="13" s="1"/>
  <c r="AD264" i="13"/>
  <c r="AF264" i="13" a="1"/>
  <c r="AH264" i="13" s="1"/>
  <c r="AG264" i="13" a="1"/>
  <c r="AJ264" i="13" s="1"/>
  <c r="AM264" i="13" a="1"/>
  <c r="AN264" i="13" a="1"/>
  <c r="AP264" i="13" s="1"/>
  <c r="AO264" i="13" a="1"/>
  <c r="AR264" i="13" s="1"/>
  <c r="AE264" i="13" a="1"/>
  <c r="AG263" i="13" a="1"/>
  <c r="AJ263" i="13" s="1"/>
  <c r="AD263" i="13"/>
  <c r="AF263" i="13" a="1"/>
  <c r="AH263" i="13" s="1"/>
  <c r="AE263" i="13" a="1"/>
  <c r="AC263" i="13"/>
  <c r="AL263" i="13" s="1"/>
  <c r="AM263" i="13" a="1"/>
  <c r="AN263" i="13" a="1"/>
  <c r="AP263" i="13" s="1"/>
  <c r="AO263" i="13" a="1"/>
  <c r="AR263" i="13" s="1"/>
  <c r="AC262" i="13"/>
  <c r="AL262" i="13" s="1"/>
  <c r="AG262" i="13" a="1"/>
  <c r="AJ262" i="13" s="1"/>
  <c r="AD262" i="13"/>
  <c r="AE262" i="13" a="1"/>
  <c r="AF262" i="13" a="1"/>
  <c r="AH262" i="13" s="1"/>
  <c r="AM262" i="13" a="1"/>
  <c r="AN262" i="13" a="1"/>
  <c r="AP262" i="13" s="1"/>
  <c r="AO262" i="13" a="1"/>
  <c r="AR262" i="13" s="1"/>
  <c r="AG261" i="13" a="1"/>
  <c r="AJ261" i="13" s="1"/>
  <c r="AF261" i="13" a="1"/>
  <c r="AH261" i="13" s="1"/>
  <c r="AC261" i="13"/>
  <c r="AL261" i="13" s="1"/>
  <c r="AD261" i="13"/>
  <c r="AE261" i="13" a="1"/>
  <c r="AM261" i="13" a="1"/>
  <c r="AN261" i="13" a="1"/>
  <c r="AP261" i="13" s="1"/>
  <c r="AO261" i="13" a="1"/>
  <c r="AR261" i="13" s="1"/>
  <c r="AC260" i="13"/>
  <c r="AL260" i="13" s="1"/>
  <c r="AE260" i="13" a="1"/>
  <c r="AG260" i="13" a="1"/>
  <c r="AJ260" i="13" s="1"/>
  <c r="AD260" i="13"/>
  <c r="AM260" i="13" a="1"/>
  <c r="AN260" i="13" a="1"/>
  <c r="AP260" i="13" s="1"/>
  <c r="AO260" i="13" a="1"/>
  <c r="AR260" i="13" s="1"/>
  <c r="AF260" i="13" a="1"/>
  <c r="AH260" i="13" s="1"/>
  <c r="AE259" i="13" a="1"/>
  <c r="AD259" i="13"/>
  <c r="AG259" i="13" a="1"/>
  <c r="AJ259" i="13" s="1"/>
  <c r="AF259" i="13" a="1"/>
  <c r="AH259" i="13" s="1"/>
  <c r="AC259" i="13"/>
  <c r="AL259" i="13" s="1"/>
  <c r="AM259" i="13" a="1"/>
  <c r="AN259" i="13" a="1"/>
  <c r="AP259" i="13" s="1"/>
  <c r="AO259" i="13" a="1"/>
  <c r="AR259" i="13" s="1"/>
  <c r="AC258" i="13"/>
  <c r="AL258" i="13" s="1"/>
  <c r="AF258" i="13" a="1"/>
  <c r="AH258" i="13" s="1"/>
  <c r="AD258" i="13"/>
  <c r="AE258" i="13" a="1"/>
  <c r="AG258" i="13" a="1"/>
  <c r="AJ258" i="13" s="1"/>
  <c r="AM258" i="13" a="1"/>
  <c r="AN258" i="13" a="1"/>
  <c r="AP258" i="13" s="1"/>
  <c r="AO258" i="13" a="1"/>
  <c r="AR258" i="13" s="1"/>
  <c r="AF257" i="13" a="1"/>
  <c r="AH257" i="13" s="1"/>
  <c r="AE257" i="13" a="1"/>
  <c r="AC257" i="13"/>
  <c r="AL257" i="13" s="1"/>
  <c r="AG257" i="13" a="1"/>
  <c r="AJ257" i="13" s="1"/>
  <c r="AD257" i="13"/>
  <c r="AM257" i="13" a="1"/>
  <c r="AN257" i="13" a="1"/>
  <c r="AP257" i="13" s="1"/>
  <c r="AO257" i="13" a="1"/>
  <c r="AR257" i="13" s="1"/>
  <c r="AD256" i="13"/>
  <c r="AG256" i="13" a="1"/>
  <c r="AJ256" i="13" s="1"/>
  <c r="AC256" i="13"/>
  <c r="AL256" i="13" s="1"/>
  <c r="AE256" i="13" a="1"/>
  <c r="AF256" i="13" a="1"/>
  <c r="AH256" i="13" s="1"/>
  <c r="AM256" i="13" a="1"/>
  <c r="AN256" i="13" a="1"/>
  <c r="AP256" i="13" s="1"/>
  <c r="AO256" i="13" a="1"/>
  <c r="AR256" i="13" s="1"/>
  <c r="AD255" i="13"/>
  <c r="AC255" i="13"/>
  <c r="AL255" i="13" s="1"/>
  <c r="AG255" i="13" a="1"/>
  <c r="AJ255" i="13" s="1"/>
  <c r="AF255" i="13" a="1"/>
  <c r="AH255" i="13" s="1"/>
  <c r="AE255" i="13" a="1"/>
  <c r="AM255" i="13" a="1"/>
  <c r="AN255" i="13" a="1"/>
  <c r="AP255" i="13" s="1"/>
  <c r="AO255" i="13" a="1"/>
  <c r="AR255" i="13" s="1"/>
  <c r="AG254" i="13" a="1"/>
  <c r="AJ254" i="13" s="1"/>
  <c r="AD254" i="13"/>
  <c r="AE254" i="13" a="1"/>
  <c r="AF254" i="13" a="1"/>
  <c r="AH254" i="13" s="1"/>
  <c r="AC254" i="13"/>
  <c r="AL254" i="13" s="1"/>
  <c r="AM254" i="13" a="1"/>
  <c r="AN254" i="13" a="1"/>
  <c r="AP254" i="13" s="1"/>
  <c r="AO254" i="13" a="1"/>
  <c r="AR254" i="13" s="1"/>
  <c r="AG253" i="13" a="1"/>
  <c r="AJ253" i="13" s="1"/>
  <c r="AF253" i="13" a="1"/>
  <c r="AH253" i="13" s="1"/>
  <c r="AC253" i="13"/>
  <c r="AL253" i="13" s="1"/>
  <c r="AE253" i="13" a="1"/>
  <c r="AD253" i="13"/>
  <c r="AM253" i="13" a="1"/>
  <c r="AN253" i="13" a="1"/>
  <c r="AP253" i="13" s="1"/>
  <c r="AO253" i="13" a="1"/>
  <c r="AR253" i="13" s="1"/>
  <c r="AD252" i="13"/>
  <c r="AE252" i="13" a="1"/>
  <c r="AF252" i="13" a="1"/>
  <c r="AH252" i="13" s="1"/>
  <c r="AC252" i="13"/>
  <c r="AL252" i="13" s="1"/>
  <c r="AG252" i="13" a="1"/>
  <c r="AJ252" i="13" s="1"/>
  <c r="AM252" i="13" a="1"/>
  <c r="AN252" i="13" a="1"/>
  <c r="AP252" i="13" s="1"/>
  <c r="AO252" i="13" a="1"/>
  <c r="AR252" i="13" s="1"/>
  <c r="AD251" i="13"/>
  <c r="AG251" i="13" a="1"/>
  <c r="AJ251" i="13" s="1"/>
  <c r="AF251" i="13" a="1"/>
  <c r="AH251" i="13" s="1"/>
  <c r="AC251" i="13"/>
  <c r="AL251" i="13" s="1"/>
  <c r="AE251" i="13" a="1"/>
  <c r="AM251" i="13" a="1"/>
  <c r="AN251" i="13" a="1"/>
  <c r="AP251" i="13" s="1"/>
  <c r="AO251" i="13" a="1"/>
  <c r="AR251" i="13" s="1"/>
  <c r="AC250" i="13"/>
  <c r="AL250" i="13" s="1"/>
  <c r="AE250" i="13" a="1"/>
  <c r="AD250" i="13"/>
  <c r="AG250" i="13" a="1"/>
  <c r="AJ250" i="13" s="1"/>
  <c r="AF250" i="13" a="1"/>
  <c r="AH250" i="13" s="1"/>
  <c r="AM250" i="13" a="1"/>
  <c r="AN250" i="13" a="1"/>
  <c r="AP250" i="13" s="1"/>
  <c r="AO250" i="13" a="1"/>
  <c r="AR250" i="13" s="1"/>
  <c r="AD249" i="13"/>
  <c r="AF249" i="13" a="1"/>
  <c r="AH249" i="13" s="1"/>
  <c r="AC249" i="13"/>
  <c r="AL249" i="13" s="1"/>
  <c r="AE249" i="13" a="1"/>
  <c r="AG249" i="13" a="1"/>
  <c r="AJ249" i="13" s="1"/>
  <c r="AM249" i="13" a="1"/>
  <c r="AN249" i="13" a="1"/>
  <c r="AP249" i="13" s="1"/>
  <c r="AO249" i="13" a="1"/>
  <c r="AR249" i="13" s="1"/>
  <c r="AE248" i="13" a="1"/>
  <c r="AD248" i="13"/>
  <c r="AG248" i="13" a="1"/>
  <c r="AJ248" i="13" s="1"/>
  <c r="AC248" i="13"/>
  <c r="AL248" i="13" s="1"/>
  <c r="AF248" i="13" a="1"/>
  <c r="AH248" i="13" s="1"/>
  <c r="AM248" i="13" a="1"/>
  <c r="AN248" i="13" a="1"/>
  <c r="AP248" i="13" s="1"/>
  <c r="AO248" i="13" a="1"/>
  <c r="AR248" i="13" s="1"/>
  <c r="AF247" i="13" a="1"/>
  <c r="AH247" i="13" s="1"/>
  <c r="AE247" i="13" a="1"/>
  <c r="AD247" i="13"/>
  <c r="AC247" i="13"/>
  <c r="AL247" i="13" s="1"/>
  <c r="AG247" i="13" a="1"/>
  <c r="AJ247" i="13" s="1"/>
  <c r="AM247" i="13" a="1"/>
  <c r="AN247" i="13" a="1"/>
  <c r="AP247" i="13" s="1"/>
  <c r="AO247" i="13" a="1"/>
  <c r="AR247" i="13" s="1"/>
  <c r="AE246" i="13" a="1"/>
  <c r="AF246" i="13" a="1"/>
  <c r="AH246" i="13" s="1"/>
  <c r="AD246" i="13"/>
  <c r="AG246" i="13" a="1"/>
  <c r="AJ246" i="13" s="1"/>
  <c r="AC246" i="13"/>
  <c r="AL246" i="13" s="1"/>
  <c r="AM246" i="13" a="1"/>
  <c r="AN246" i="13" a="1"/>
  <c r="AP246" i="13" s="1"/>
  <c r="AO246" i="13" a="1"/>
  <c r="AR246" i="13" s="1"/>
  <c r="AG245" i="13" a="1"/>
  <c r="AJ245" i="13" s="1"/>
  <c r="AD245" i="13"/>
  <c r="AC245" i="13"/>
  <c r="AL245" i="13" s="1"/>
  <c r="AE245" i="13" a="1"/>
  <c r="AF245" i="13" a="1"/>
  <c r="AH245" i="13" s="1"/>
  <c r="AM245" i="13" a="1"/>
  <c r="AN245" i="13" a="1"/>
  <c r="AP245" i="13" s="1"/>
  <c r="AO245" i="13" a="1"/>
  <c r="AR245" i="13" s="1"/>
  <c r="AE244" i="13" a="1"/>
  <c r="AF244" i="13" a="1"/>
  <c r="AH244" i="13" s="1"/>
  <c r="AG244" i="13" a="1"/>
  <c r="AJ244" i="13" s="1"/>
  <c r="AC244" i="13"/>
  <c r="AL244" i="13" s="1"/>
  <c r="AD244" i="13"/>
  <c r="AM244" i="13" a="1"/>
  <c r="AN244" i="13" a="1"/>
  <c r="AP244" i="13" s="1"/>
  <c r="AO244" i="13" a="1"/>
  <c r="AR244" i="13" s="1"/>
  <c r="AE243" i="13" a="1"/>
  <c r="AD243" i="13"/>
  <c r="AF243" i="13" a="1"/>
  <c r="AH243" i="13" s="1"/>
  <c r="AC243" i="13"/>
  <c r="AL243" i="13" s="1"/>
  <c r="AG243" i="13" a="1"/>
  <c r="AJ243" i="13" s="1"/>
  <c r="AM243" i="13" a="1"/>
  <c r="AN243" i="13" a="1"/>
  <c r="AP243" i="13" s="1"/>
  <c r="AO243" i="13" a="1"/>
  <c r="AR243" i="13" s="1"/>
  <c r="AE242" i="13" a="1"/>
  <c r="AD242" i="13"/>
  <c r="AC242" i="13"/>
  <c r="AL242" i="13" s="1"/>
  <c r="AF242" i="13" a="1"/>
  <c r="AH242" i="13" s="1"/>
  <c r="AG242" i="13" a="1"/>
  <c r="AJ242" i="13" s="1"/>
  <c r="AM242" i="13" a="1"/>
  <c r="AN242" i="13" a="1"/>
  <c r="AP242" i="13" s="1"/>
  <c r="AO242" i="13" a="1"/>
  <c r="AR242" i="13" s="1"/>
  <c r="AF241" i="13" a="1"/>
  <c r="AH241" i="13" s="1"/>
  <c r="AC241" i="13"/>
  <c r="AL241" i="13" s="1"/>
  <c r="AE241" i="13" a="1"/>
  <c r="AD241" i="13"/>
  <c r="AG241" i="13" a="1"/>
  <c r="AJ241" i="13" s="1"/>
  <c r="AM241" i="13" a="1"/>
  <c r="AN241" i="13" a="1"/>
  <c r="AP241" i="13" s="1"/>
  <c r="AO241" i="13" a="1"/>
  <c r="AR241" i="13" s="1"/>
  <c r="AC240" i="13"/>
  <c r="AL240" i="13" s="1"/>
  <c r="AG240" i="13" a="1"/>
  <c r="AJ240" i="13" s="1"/>
  <c r="AE240" i="13" a="1"/>
  <c r="AD240" i="13"/>
  <c r="AF240" i="13" a="1"/>
  <c r="AH240" i="13" s="1"/>
  <c r="AM240" i="13" a="1"/>
  <c r="AN240" i="13" a="1"/>
  <c r="AP240" i="13" s="1"/>
  <c r="AO240" i="13" a="1"/>
  <c r="AR240" i="13" s="1"/>
  <c r="AF239" i="13" a="1"/>
  <c r="AH239" i="13" s="1"/>
  <c r="AC239" i="13"/>
  <c r="AL239" i="13" s="1"/>
  <c r="AG239" i="13" a="1"/>
  <c r="AJ239" i="13" s="1"/>
  <c r="AE239" i="13" a="1"/>
  <c r="AD239" i="13"/>
  <c r="AM239" i="13" a="1"/>
  <c r="AN239" i="13" a="1"/>
  <c r="AP239" i="13" s="1"/>
  <c r="AO239" i="13" a="1"/>
  <c r="AR239" i="13" s="1"/>
  <c r="AG238" i="13" a="1"/>
  <c r="AJ238" i="13" s="1"/>
  <c r="AF238" i="13" a="1"/>
  <c r="AH238" i="13" s="1"/>
  <c r="AD238" i="13"/>
  <c r="AE238" i="13" a="1"/>
  <c r="AC238" i="13"/>
  <c r="AL238" i="13" s="1"/>
  <c r="AM238" i="13" a="1"/>
  <c r="AN238" i="13" a="1"/>
  <c r="AP238" i="13" s="1"/>
  <c r="AO238" i="13" a="1"/>
  <c r="AR238" i="13" s="1"/>
  <c r="AE237" i="13" a="1"/>
  <c r="AF237" i="13" a="1"/>
  <c r="AH237" i="13" s="1"/>
  <c r="AD237" i="13"/>
  <c r="AC237" i="13"/>
  <c r="AL237" i="13" s="1"/>
  <c r="AG237" i="13" a="1"/>
  <c r="AJ237" i="13" s="1"/>
  <c r="AM237" i="13" a="1"/>
  <c r="AN237" i="13" a="1"/>
  <c r="AP237" i="13" s="1"/>
  <c r="AO237" i="13" a="1"/>
  <c r="AR237" i="13" s="1"/>
  <c r="AE236" i="13" a="1"/>
  <c r="AC236" i="13"/>
  <c r="AL236" i="13" s="1"/>
  <c r="AF236" i="13" a="1"/>
  <c r="AH236" i="13" s="1"/>
  <c r="AD236" i="13"/>
  <c r="AM236" i="13" a="1"/>
  <c r="AN236" i="13" a="1"/>
  <c r="AP236" i="13" s="1"/>
  <c r="AO236" i="13" a="1"/>
  <c r="AR236" i="13" s="1"/>
  <c r="AG236" i="13" a="1"/>
  <c r="AJ236" i="13" s="1"/>
  <c r="AC235" i="13"/>
  <c r="AL235" i="13" s="1"/>
  <c r="AE235" i="13" a="1"/>
  <c r="AD235" i="13"/>
  <c r="AF235" i="13" a="1"/>
  <c r="AH235" i="13" s="1"/>
  <c r="AG235" i="13" a="1"/>
  <c r="AJ235" i="13" s="1"/>
  <c r="AM235" i="13" a="1"/>
  <c r="AN235" i="13" a="1"/>
  <c r="AP235" i="13" s="1"/>
  <c r="AO235" i="13" a="1"/>
  <c r="AR235" i="13" s="1"/>
  <c r="AC234" i="13"/>
  <c r="AL234" i="13" s="1"/>
  <c r="AG234" i="13" a="1"/>
  <c r="AJ234" i="13" s="1"/>
  <c r="AD234" i="13"/>
  <c r="AE234" i="13" a="1"/>
  <c r="AF234" i="13" a="1"/>
  <c r="AH234" i="13" s="1"/>
  <c r="AM234" i="13" a="1"/>
  <c r="AN234" i="13" a="1"/>
  <c r="AP234" i="13" s="1"/>
  <c r="AO234" i="13" a="1"/>
  <c r="AR234" i="13" s="1"/>
  <c r="AF233" i="13" a="1"/>
  <c r="AH233" i="13" s="1"/>
  <c r="AG233" i="13" a="1"/>
  <c r="AJ233" i="13" s="1"/>
  <c r="AC233" i="13"/>
  <c r="AL233" i="13" s="1"/>
  <c r="AD233" i="13"/>
  <c r="AE233" i="13" a="1"/>
  <c r="AM233" i="13" a="1"/>
  <c r="AN233" i="13" a="1"/>
  <c r="AP233" i="13" s="1"/>
  <c r="AO233" i="13" a="1"/>
  <c r="AR233" i="13" s="1"/>
  <c r="AG232" i="13" a="1"/>
  <c r="AJ232" i="13" s="1"/>
  <c r="AD232" i="13"/>
  <c r="AC232" i="13"/>
  <c r="AL232" i="13" s="1"/>
  <c r="AE232" i="13" a="1"/>
  <c r="AF232" i="13" a="1"/>
  <c r="AH232" i="13" s="1"/>
  <c r="AM232" i="13" a="1"/>
  <c r="AN232" i="13" a="1"/>
  <c r="AP232" i="13" s="1"/>
  <c r="AO232" i="13" a="1"/>
  <c r="AR232" i="13" s="1"/>
  <c r="AD231" i="13"/>
  <c r="AE231" i="13" a="1"/>
  <c r="AF231" i="13" a="1"/>
  <c r="AH231" i="13" s="1"/>
  <c r="AG231" i="13" a="1"/>
  <c r="AJ231" i="13" s="1"/>
  <c r="AC231" i="13"/>
  <c r="AL231" i="13" s="1"/>
  <c r="AM231" i="13" a="1"/>
  <c r="AN231" i="13" a="1"/>
  <c r="AP231" i="13" s="1"/>
  <c r="AO231" i="13" a="1"/>
  <c r="AR231" i="13" s="1"/>
  <c r="AG230" i="13" a="1"/>
  <c r="AJ230" i="13" s="1"/>
  <c r="AC230" i="13"/>
  <c r="AL230" i="13" s="1"/>
  <c r="AF230" i="13" a="1"/>
  <c r="AH230" i="13" s="1"/>
  <c r="AE230" i="13" a="1"/>
  <c r="AD230" i="13"/>
  <c r="AM230" i="13" a="1"/>
  <c r="AN230" i="13" a="1"/>
  <c r="AP230" i="13" s="1"/>
  <c r="AO230" i="13" a="1"/>
  <c r="AR230" i="13" s="1"/>
  <c r="AD229" i="13"/>
  <c r="AF229" i="13" a="1"/>
  <c r="AH229" i="13" s="1"/>
  <c r="AE229" i="13" a="1"/>
  <c r="AG229" i="13" a="1"/>
  <c r="AJ229" i="13" s="1"/>
  <c r="AC229" i="13"/>
  <c r="AL229" i="13" s="1"/>
  <c r="AM229" i="13" a="1"/>
  <c r="AN229" i="13" a="1"/>
  <c r="AP229" i="13" s="1"/>
  <c r="AO229" i="13" a="1"/>
  <c r="AR229" i="13" s="1"/>
  <c r="AG228" i="13" a="1"/>
  <c r="AJ228" i="13" s="1"/>
  <c r="AD228" i="13"/>
  <c r="AE228" i="13" a="1"/>
  <c r="AF228" i="13" a="1"/>
  <c r="AH228" i="13" s="1"/>
  <c r="AC228" i="13"/>
  <c r="AL228" i="13" s="1"/>
  <c r="AM228" i="13" a="1"/>
  <c r="AN228" i="13" a="1"/>
  <c r="AP228" i="13" s="1"/>
  <c r="AO228" i="13" a="1"/>
  <c r="AR228" i="13" s="1"/>
  <c r="AE227" i="13" a="1"/>
  <c r="AF227" i="13" a="1"/>
  <c r="AH227" i="13" s="1"/>
  <c r="AD227" i="13"/>
  <c r="AG227" i="13" a="1"/>
  <c r="AJ227" i="13" s="1"/>
  <c r="AC227" i="13"/>
  <c r="AL227" i="13" s="1"/>
  <c r="AM227" i="13" a="1"/>
  <c r="AN227" i="13" a="1"/>
  <c r="AP227" i="13" s="1"/>
  <c r="AO227" i="13" a="1"/>
  <c r="AR227" i="13" s="1"/>
  <c r="AD226" i="13"/>
  <c r="AF226" i="13" a="1"/>
  <c r="AH226" i="13" s="1"/>
  <c r="AE226" i="13" a="1"/>
  <c r="AG226" i="13" a="1"/>
  <c r="AJ226" i="13" s="1"/>
  <c r="AC226" i="13"/>
  <c r="AL226" i="13" s="1"/>
  <c r="AM226" i="13" a="1"/>
  <c r="AN226" i="13" a="1"/>
  <c r="AP226" i="13" s="1"/>
  <c r="AO226" i="13" a="1"/>
  <c r="AR226" i="13" s="1"/>
  <c r="AD225" i="13"/>
  <c r="AC225" i="13"/>
  <c r="AL225" i="13" s="1"/>
  <c r="AF225" i="13" a="1"/>
  <c r="AH225" i="13" s="1"/>
  <c r="AG225" i="13" a="1"/>
  <c r="AJ225" i="13" s="1"/>
  <c r="AE225" i="13" a="1"/>
  <c r="AM225" i="13" a="1"/>
  <c r="AN225" i="13" a="1"/>
  <c r="AP225" i="13" s="1"/>
  <c r="AO225" i="13" a="1"/>
  <c r="AR225" i="13" s="1"/>
  <c r="AC224" i="13"/>
  <c r="AL224" i="13" s="1"/>
  <c r="AF224" i="13" a="1"/>
  <c r="AH224" i="13" s="1"/>
  <c r="AE224" i="13" a="1"/>
  <c r="AG224" i="13" a="1"/>
  <c r="AJ224" i="13" s="1"/>
  <c r="AD224" i="13"/>
  <c r="AM224" i="13" a="1"/>
  <c r="AN224" i="13" a="1"/>
  <c r="AP224" i="13" s="1"/>
  <c r="AO224" i="13" a="1"/>
  <c r="AR224" i="13" s="1"/>
  <c r="AD223" i="13"/>
  <c r="AE223" i="13" a="1"/>
  <c r="AG223" i="13" a="1"/>
  <c r="AJ223" i="13" s="1"/>
  <c r="AF223" i="13" a="1"/>
  <c r="AH223" i="13" s="1"/>
  <c r="AC223" i="13"/>
  <c r="AL223" i="13" s="1"/>
  <c r="AM223" i="13" a="1"/>
  <c r="AN223" i="13" a="1"/>
  <c r="AP223" i="13" s="1"/>
  <c r="AO223" i="13" a="1"/>
  <c r="AR223" i="13" s="1"/>
  <c r="AC222" i="13"/>
  <c r="AL222" i="13" s="1"/>
  <c r="AE222" i="13" a="1"/>
  <c r="AF222" i="13" a="1"/>
  <c r="AH222" i="13" s="1"/>
  <c r="AG222" i="13" a="1"/>
  <c r="AJ222" i="13" s="1"/>
  <c r="AD222" i="13"/>
  <c r="AM222" i="13" a="1"/>
  <c r="AN222" i="13" a="1"/>
  <c r="AP222" i="13" s="1"/>
  <c r="AO222" i="13" a="1"/>
  <c r="AR222" i="13" s="1"/>
  <c r="AG221" i="13" a="1"/>
  <c r="AJ221" i="13" s="1"/>
  <c r="AE221" i="13" a="1"/>
  <c r="AC221" i="13"/>
  <c r="AL221" i="13" s="1"/>
  <c r="AD221" i="13"/>
  <c r="AF221" i="13" a="1"/>
  <c r="AH221" i="13" s="1"/>
  <c r="AM221" i="13" a="1"/>
  <c r="AN221" i="13" a="1"/>
  <c r="AP221" i="13" s="1"/>
  <c r="AO221" i="13" a="1"/>
  <c r="AR221" i="13" s="1"/>
  <c r="AF220" i="13" a="1"/>
  <c r="AH220" i="13" s="1"/>
  <c r="AE220" i="13" a="1"/>
  <c r="AD220" i="13"/>
  <c r="AC220" i="13"/>
  <c r="AL220" i="13" s="1"/>
  <c r="AG220" i="13" a="1"/>
  <c r="AJ220" i="13" s="1"/>
  <c r="AM220" i="13" a="1"/>
  <c r="AN220" i="13" a="1"/>
  <c r="AP220" i="13" s="1"/>
  <c r="AO220" i="13" a="1"/>
  <c r="AR220" i="13" s="1"/>
  <c r="AE219" i="13" a="1"/>
  <c r="AG219" i="13" a="1"/>
  <c r="AJ219" i="13" s="1"/>
  <c r="AD219" i="13"/>
  <c r="AC219" i="13"/>
  <c r="AL219" i="13" s="1"/>
  <c r="AF219" i="13" a="1"/>
  <c r="AH219" i="13" s="1"/>
  <c r="AM219" i="13" a="1"/>
  <c r="AN219" i="13" a="1"/>
  <c r="AP219" i="13" s="1"/>
  <c r="AO219" i="13" a="1"/>
  <c r="AR219" i="13" s="1"/>
  <c r="AD218" i="13"/>
  <c r="AG218" i="13" a="1"/>
  <c r="AJ218" i="13" s="1"/>
  <c r="AF218" i="13" a="1"/>
  <c r="AH218" i="13" s="1"/>
  <c r="AC218" i="13"/>
  <c r="AL218" i="13" s="1"/>
  <c r="AE218" i="13" a="1"/>
  <c r="AM218" i="13" a="1"/>
  <c r="AN218" i="13" a="1"/>
  <c r="AP218" i="13" s="1"/>
  <c r="AO218" i="13" a="1"/>
  <c r="AR218" i="13" s="1"/>
  <c r="AE217" i="13" a="1"/>
  <c r="AF217" i="13" a="1"/>
  <c r="AH217" i="13" s="1"/>
  <c r="AC217" i="13"/>
  <c r="AL217" i="13" s="1"/>
  <c r="AG217" i="13" a="1"/>
  <c r="AJ217" i="13" s="1"/>
  <c r="AD217" i="13"/>
  <c r="AM217" i="13" a="1"/>
  <c r="AN217" i="13" a="1"/>
  <c r="AP217" i="13" s="1"/>
  <c r="AO217" i="13" a="1"/>
  <c r="AR217" i="13" s="1"/>
  <c r="AC216" i="13"/>
  <c r="AL216" i="13" s="1"/>
  <c r="AE216" i="13" a="1"/>
  <c r="AG216" i="13" a="1"/>
  <c r="AJ216" i="13" s="1"/>
  <c r="AF216" i="13" a="1"/>
  <c r="AH216" i="13" s="1"/>
  <c r="AD216" i="13"/>
  <c r="AM216" i="13" a="1"/>
  <c r="AN216" i="13" a="1"/>
  <c r="AP216" i="13" s="1"/>
  <c r="AO216" i="13" a="1"/>
  <c r="AR216" i="13" s="1"/>
  <c r="AF215" i="13" a="1"/>
  <c r="AH215" i="13" s="1"/>
  <c r="AD215" i="13"/>
  <c r="AE215" i="13" a="1"/>
  <c r="AC215" i="13"/>
  <c r="AL215" i="13" s="1"/>
  <c r="AG215" i="13" a="1"/>
  <c r="AJ215" i="13" s="1"/>
  <c r="AM215" i="13" a="1"/>
  <c r="AN215" i="13" a="1"/>
  <c r="AP215" i="13" s="1"/>
  <c r="AO215" i="13" a="1"/>
  <c r="AR215" i="13" s="1"/>
  <c r="AE214" i="13" a="1"/>
  <c r="AG214" i="13" a="1"/>
  <c r="AJ214" i="13" s="1"/>
  <c r="AC214" i="13"/>
  <c r="AL214" i="13" s="1"/>
  <c r="AF214" i="13" a="1"/>
  <c r="AH214" i="13" s="1"/>
  <c r="AD214" i="13"/>
  <c r="AM214" i="13" a="1"/>
  <c r="AN214" i="13" a="1"/>
  <c r="AP214" i="13" s="1"/>
  <c r="AO214" i="13" a="1"/>
  <c r="AR214" i="13" s="1"/>
  <c r="AD213" i="13"/>
  <c r="AE213" i="13" a="1"/>
  <c r="AF213" i="13" a="1"/>
  <c r="AH213" i="13" s="1"/>
  <c r="AG213" i="13" a="1"/>
  <c r="AJ213" i="13" s="1"/>
  <c r="AC213" i="13"/>
  <c r="AL213" i="13" s="1"/>
  <c r="AM213" i="13" a="1"/>
  <c r="AN213" i="13" a="1"/>
  <c r="AP213" i="13" s="1"/>
  <c r="AO213" i="13" a="1"/>
  <c r="AR213" i="13" s="1"/>
  <c r="AF212" i="13" a="1"/>
  <c r="AH212" i="13" s="1"/>
  <c r="AC212" i="13"/>
  <c r="AL212" i="13" s="1"/>
  <c r="AE212" i="13" a="1"/>
  <c r="AG212" i="13" a="1"/>
  <c r="AJ212" i="13" s="1"/>
  <c r="AD212" i="13"/>
  <c r="AM212" i="13" a="1"/>
  <c r="AN212" i="13" a="1"/>
  <c r="AP212" i="13" s="1"/>
  <c r="AO212" i="13" a="1"/>
  <c r="AR212" i="13" s="1"/>
  <c r="AC211" i="13"/>
  <c r="AL211" i="13" s="1"/>
  <c r="AG211" i="13" a="1"/>
  <c r="AJ211" i="13" s="1"/>
  <c r="AF211" i="13" a="1"/>
  <c r="AH211" i="13" s="1"/>
  <c r="AD211" i="13"/>
  <c r="AE211" i="13" a="1"/>
  <c r="AM211" i="13" a="1"/>
  <c r="AN211" i="13" a="1"/>
  <c r="AP211" i="13" s="1"/>
  <c r="AO211" i="13" a="1"/>
  <c r="AR211" i="13" s="1"/>
  <c r="AF210" i="13" a="1"/>
  <c r="AH210" i="13" s="1"/>
  <c r="AC210" i="13"/>
  <c r="AL210" i="13" s="1"/>
  <c r="AG210" i="13" a="1"/>
  <c r="AJ210" i="13" s="1"/>
  <c r="AD210" i="13"/>
  <c r="AE210" i="13" a="1"/>
  <c r="AM210" i="13" a="1"/>
  <c r="AN210" i="13" a="1"/>
  <c r="AP210" i="13" s="1"/>
  <c r="AO210" i="13" a="1"/>
  <c r="AR210" i="13" s="1"/>
  <c r="AF209" i="13" a="1"/>
  <c r="AH209" i="13" s="1"/>
  <c r="AG209" i="13" a="1"/>
  <c r="AJ209" i="13" s="1"/>
  <c r="AE209" i="13" a="1"/>
  <c r="AD209" i="13"/>
  <c r="AC209" i="13"/>
  <c r="AL209" i="13" s="1"/>
  <c r="AM209" i="13" a="1"/>
  <c r="AN209" i="13" a="1"/>
  <c r="AP209" i="13" s="1"/>
  <c r="AO209" i="13" a="1"/>
  <c r="AR209" i="13" s="1"/>
  <c r="AC208" i="13"/>
  <c r="AL208" i="13" s="1"/>
  <c r="AE208" i="13" a="1"/>
  <c r="AG208" i="13" a="1"/>
  <c r="AJ208" i="13" s="1"/>
  <c r="AD208" i="13"/>
  <c r="AF208" i="13" a="1"/>
  <c r="AH208" i="13" s="1"/>
  <c r="AM208" i="13" a="1"/>
  <c r="AN208" i="13" a="1"/>
  <c r="AP208" i="13" s="1"/>
  <c r="AO208" i="13" a="1"/>
  <c r="AR208" i="13" s="1"/>
  <c r="AC207" i="13"/>
  <c r="AL207" i="13" s="1"/>
  <c r="AG207" i="13" a="1"/>
  <c r="AJ207" i="13" s="1"/>
  <c r="AD207" i="13"/>
  <c r="AE207" i="13" a="1"/>
  <c r="AF207" i="13" a="1"/>
  <c r="AH207" i="13" s="1"/>
  <c r="AM207" i="13" a="1"/>
  <c r="AN207" i="13" a="1"/>
  <c r="AP207" i="13" s="1"/>
  <c r="AO207" i="13" a="1"/>
  <c r="AR207" i="13" s="1"/>
  <c r="AE206" i="13" a="1"/>
  <c r="AG206" i="13" a="1"/>
  <c r="AJ206" i="13" s="1"/>
  <c r="AD206" i="13"/>
  <c r="AF206" i="13" a="1"/>
  <c r="AH206" i="13" s="1"/>
  <c r="AC206" i="13"/>
  <c r="AL206" i="13" s="1"/>
  <c r="AM206" i="13" a="1"/>
  <c r="AN206" i="13" a="1"/>
  <c r="AP206" i="13" s="1"/>
  <c r="AO206" i="13" a="1"/>
  <c r="AR206" i="13" s="1"/>
  <c r="AF205" i="13" a="1"/>
  <c r="AH205" i="13" s="1"/>
  <c r="AE205" i="13" a="1"/>
  <c r="AD205" i="13"/>
  <c r="AC205" i="13"/>
  <c r="AL205" i="13" s="1"/>
  <c r="AG205" i="13" a="1"/>
  <c r="AJ205" i="13" s="1"/>
  <c r="AM205" i="13" a="1"/>
  <c r="AN205" i="13" a="1"/>
  <c r="AP205" i="13" s="1"/>
  <c r="AO205" i="13" a="1"/>
  <c r="AR205" i="13" s="1"/>
  <c r="AF204" i="13" a="1"/>
  <c r="AH204" i="13" s="1"/>
  <c r="AC204" i="13"/>
  <c r="AL204" i="13" s="1"/>
  <c r="AD204" i="13"/>
  <c r="AG204" i="13" a="1"/>
  <c r="AJ204" i="13" s="1"/>
  <c r="AE204" i="13" a="1"/>
  <c r="AM204" i="13" a="1"/>
  <c r="AN204" i="13" a="1"/>
  <c r="AP204" i="13" s="1"/>
  <c r="AO204" i="13" a="1"/>
  <c r="AR204" i="13" s="1"/>
  <c r="AF203" i="13" a="1"/>
  <c r="AH203" i="13" s="1"/>
  <c r="AE203" i="13" a="1"/>
  <c r="AG203" i="13" a="1"/>
  <c r="AJ203" i="13" s="1"/>
  <c r="AC203" i="13"/>
  <c r="AL203" i="13" s="1"/>
  <c r="AD203" i="13"/>
  <c r="AM203" i="13" a="1"/>
  <c r="AN203" i="13" a="1"/>
  <c r="AP203" i="13" s="1"/>
  <c r="AO203" i="13" a="1"/>
  <c r="AR203" i="13" s="1"/>
  <c r="AF202" i="13" a="1"/>
  <c r="AH202" i="13" s="1"/>
  <c r="AD202" i="13"/>
  <c r="AC202" i="13"/>
  <c r="AL202" i="13" s="1"/>
  <c r="AE202" i="13" a="1"/>
  <c r="AG202" i="13" a="1"/>
  <c r="AJ202" i="13" s="1"/>
  <c r="AM202" i="13" a="1"/>
  <c r="AN202" i="13" a="1"/>
  <c r="AP202" i="13" s="1"/>
  <c r="AO202" i="13" a="1"/>
  <c r="AR202" i="13" s="1"/>
  <c r="AE201" i="13" a="1"/>
  <c r="AG201" i="13" a="1"/>
  <c r="AJ201" i="13" s="1"/>
  <c r="AC201" i="13"/>
  <c r="AL201" i="13" s="1"/>
  <c r="AD201" i="13"/>
  <c r="AF201" i="13" a="1"/>
  <c r="AH201" i="13" s="1"/>
  <c r="AM201" i="13" a="1"/>
  <c r="AN201" i="13" a="1"/>
  <c r="AP201" i="13" s="1"/>
  <c r="AO201" i="13" a="1"/>
  <c r="AR201" i="13" s="1"/>
  <c r="AD200" i="13"/>
  <c r="AF200" i="13" a="1"/>
  <c r="AH200" i="13" s="1"/>
  <c r="AC200" i="13"/>
  <c r="AL200" i="13" s="1"/>
  <c r="AE200" i="13" a="1"/>
  <c r="AG200" i="13" a="1"/>
  <c r="AJ200" i="13" s="1"/>
  <c r="AM200" i="13" a="1"/>
  <c r="AN200" i="13" a="1"/>
  <c r="AP200" i="13" s="1"/>
  <c r="AO200" i="13" a="1"/>
  <c r="AR200" i="13" s="1"/>
  <c r="AF199" i="13" a="1"/>
  <c r="AH199" i="13" s="1"/>
  <c r="AE199" i="13" a="1"/>
  <c r="AG199" i="13" a="1"/>
  <c r="AJ199" i="13" s="1"/>
  <c r="AD199" i="13"/>
  <c r="AC199" i="13"/>
  <c r="AL199" i="13" s="1"/>
  <c r="AM199" i="13" a="1"/>
  <c r="AN199" i="13" a="1"/>
  <c r="AP199" i="13" s="1"/>
  <c r="AO199" i="13" a="1"/>
  <c r="AR199" i="13" s="1"/>
  <c r="AE198" i="13" a="1"/>
  <c r="AD198" i="13"/>
  <c r="AF198" i="13" a="1"/>
  <c r="AH198" i="13" s="1"/>
  <c r="AC198" i="13"/>
  <c r="AL198" i="13" s="1"/>
  <c r="AG198" i="13" a="1"/>
  <c r="AJ198" i="13" s="1"/>
  <c r="AM198" i="13" a="1"/>
  <c r="AN198" i="13" a="1"/>
  <c r="AP198" i="13" s="1"/>
  <c r="AO198" i="13" a="1"/>
  <c r="AR198" i="13" s="1"/>
  <c r="AF197" i="13" a="1"/>
  <c r="AH197" i="13" s="1"/>
  <c r="AD197" i="13"/>
  <c r="AG197" i="13" a="1"/>
  <c r="AJ197" i="13" s="1"/>
  <c r="AC197" i="13"/>
  <c r="AL197" i="13" s="1"/>
  <c r="AE197" i="13" a="1"/>
  <c r="AM197" i="13" a="1"/>
  <c r="AN197" i="13" a="1"/>
  <c r="AP197" i="13" s="1"/>
  <c r="AO197" i="13" a="1"/>
  <c r="AR197" i="13" s="1"/>
  <c r="AE196" i="13" a="1"/>
  <c r="AG196" i="13" a="1"/>
  <c r="AJ196" i="13" s="1"/>
  <c r="AD196" i="13"/>
  <c r="AC196" i="13"/>
  <c r="AL196" i="13" s="1"/>
  <c r="AF196" i="13" a="1"/>
  <c r="AH196" i="13" s="1"/>
  <c r="AM196" i="13" a="1"/>
  <c r="AN196" i="13" a="1"/>
  <c r="AP196" i="13" s="1"/>
  <c r="AO196" i="13" a="1"/>
  <c r="AR196" i="13" s="1"/>
  <c r="AG195" i="13" a="1"/>
  <c r="AJ195" i="13" s="1"/>
  <c r="AE195" i="13" a="1"/>
  <c r="AD195" i="13"/>
  <c r="AF195" i="13" a="1"/>
  <c r="AH195" i="13" s="1"/>
  <c r="AC195" i="13"/>
  <c r="AL195" i="13" s="1"/>
  <c r="AM195" i="13" a="1"/>
  <c r="AN195" i="13" a="1"/>
  <c r="AP195" i="13" s="1"/>
  <c r="AO195" i="13" a="1"/>
  <c r="AR195" i="13" s="1"/>
  <c r="AD194" i="13"/>
  <c r="AF194" i="13" a="1"/>
  <c r="AH194" i="13" s="1"/>
  <c r="AG194" i="13" a="1"/>
  <c r="AJ194" i="13" s="1"/>
  <c r="AE194" i="13" a="1"/>
  <c r="AC194" i="13"/>
  <c r="AL194" i="13" s="1"/>
  <c r="AM194" i="13" a="1"/>
  <c r="AN194" i="13" a="1"/>
  <c r="AP194" i="13" s="1"/>
  <c r="AO194" i="13" a="1"/>
  <c r="AR194" i="13" s="1"/>
  <c r="AD193" i="13"/>
  <c r="AG193" i="13" a="1"/>
  <c r="AJ193" i="13" s="1"/>
  <c r="AE193" i="13" a="1"/>
  <c r="AC193" i="13"/>
  <c r="AL193" i="13" s="1"/>
  <c r="AF193" i="13" a="1"/>
  <c r="AH193" i="13" s="1"/>
  <c r="AM193" i="13" a="1"/>
  <c r="AN193" i="13" a="1"/>
  <c r="AP193" i="13" s="1"/>
  <c r="AO193" i="13" a="1"/>
  <c r="AR193" i="13" s="1"/>
  <c r="AG192" i="13" a="1"/>
  <c r="AJ192" i="13" s="1"/>
  <c r="AC192" i="13"/>
  <c r="AL192" i="13" s="1"/>
  <c r="AE192" i="13" a="1"/>
  <c r="AD192" i="13"/>
  <c r="AF192" i="13" a="1"/>
  <c r="AH192" i="13" s="1"/>
  <c r="AM192" i="13" a="1"/>
  <c r="AN192" i="13" a="1"/>
  <c r="AP192" i="13" s="1"/>
  <c r="AO192" i="13" a="1"/>
  <c r="AR192" i="13" s="1"/>
  <c r="AC191" i="13"/>
  <c r="AL191" i="13" s="1"/>
  <c r="AE191" i="13" a="1"/>
  <c r="AG191" i="13" a="1"/>
  <c r="AJ191" i="13" s="1"/>
  <c r="AD191" i="13"/>
  <c r="AF191" i="13" a="1"/>
  <c r="AH191" i="13" s="1"/>
  <c r="AM191" i="13" a="1"/>
  <c r="AN191" i="13" a="1"/>
  <c r="AP191" i="13" s="1"/>
  <c r="AO191" i="13" a="1"/>
  <c r="AR191" i="13" s="1"/>
  <c r="AD190" i="13"/>
  <c r="AG190" i="13" a="1"/>
  <c r="AJ190" i="13" s="1"/>
  <c r="AC190" i="13"/>
  <c r="AL190" i="13" s="1"/>
  <c r="AF190" i="13" a="1"/>
  <c r="AH190" i="13" s="1"/>
  <c r="AE190" i="13" a="1"/>
  <c r="AM190" i="13" a="1"/>
  <c r="AN190" i="13" a="1"/>
  <c r="AP190" i="13" s="1"/>
  <c r="AO190" i="13" a="1"/>
  <c r="AR190" i="13" s="1"/>
  <c r="AC189" i="13"/>
  <c r="AL189" i="13" s="1"/>
  <c r="AG189" i="13" a="1"/>
  <c r="AJ189" i="13" s="1"/>
  <c r="AD189" i="13"/>
  <c r="AF189" i="13" a="1"/>
  <c r="AH189" i="13" s="1"/>
  <c r="AE189" i="13" a="1"/>
  <c r="AM189" i="13" a="1"/>
  <c r="AN189" i="13" a="1"/>
  <c r="AP189" i="13" s="1"/>
  <c r="AO189" i="13" a="1"/>
  <c r="AR189" i="13" s="1"/>
  <c r="AG188" i="13" a="1"/>
  <c r="AJ188" i="13" s="1"/>
  <c r="AD188" i="13"/>
  <c r="AE188" i="13" a="1"/>
  <c r="AF188" i="13" a="1"/>
  <c r="AH188" i="13" s="1"/>
  <c r="AC188" i="13"/>
  <c r="AL188" i="13" s="1"/>
  <c r="AM188" i="13" a="1"/>
  <c r="AN188" i="13" a="1"/>
  <c r="AP188" i="13" s="1"/>
  <c r="AO188" i="13" a="1"/>
  <c r="AR188" i="13" s="1"/>
  <c r="AF187" i="13" a="1"/>
  <c r="AH187" i="13" s="1"/>
  <c r="AC187" i="13"/>
  <c r="AL187" i="13" s="1"/>
  <c r="AG187" i="13" a="1"/>
  <c r="AJ187" i="13" s="1"/>
  <c r="AE187" i="13" a="1"/>
  <c r="AM187" i="13" a="1"/>
  <c r="AN187" i="13" a="1"/>
  <c r="AP187" i="13" s="1"/>
  <c r="AO187" i="13" a="1"/>
  <c r="AR187" i="13" s="1"/>
  <c r="AD187" i="13"/>
  <c r="AG186" i="13" a="1"/>
  <c r="AJ186" i="13" s="1"/>
  <c r="AF186" i="13" a="1"/>
  <c r="AH186" i="13" s="1"/>
  <c r="AC186" i="13"/>
  <c r="AL186" i="13" s="1"/>
  <c r="AD186" i="13"/>
  <c r="AE186" i="13" a="1"/>
  <c r="AM186" i="13" a="1"/>
  <c r="AN186" i="13" a="1"/>
  <c r="AP186" i="13" s="1"/>
  <c r="AO186" i="13" a="1"/>
  <c r="AR186" i="13" s="1"/>
  <c r="AE185" i="13" a="1"/>
  <c r="AD185" i="13"/>
  <c r="AG185" i="13" a="1"/>
  <c r="AJ185" i="13" s="1"/>
  <c r="AF185" i="13" a="1"/>
  <c r="AH185" i="13" s="1"/>
  <c r="AC185" i="13"/>
  <c r="AL185" i="13" s="1"/>
  <c r="AM185" i="13" a="1"/>
  <c r="AN185" i="13" a="1"/>
  <c r="AP185" i="13" s="1"/>
  <c r="AO185" i="13" a="1"/>
  <c r="AR185" i="13" s="1"/>
  <c r="AF184" i="13" a="1"/>
  <c r="AH184" i="13" s="1"/>
  <c r="AG184" i="13" a="1"/>
  <c r="AJ184" i="13" s="1"/>
  <c r="AD184" i="13"/>
  <c r="AC184" i="13"/>
  <c r="AL184" i="13" s="1"/>
  <c r="AE184" i="13" a="1"/>
  <c r="AM184" i="13" a="1"/>
  <c r="AN184" i="13" a="1"/>
  <c r="AP184" i="13" s="1"/>
  <c r="AO184" i="13" a="1"/>
  <c r="AR184" i="13" s="1"/>
  <c r="AC183" i="13"/>
  <c r="AL183" i="13" s="1"/>
  <c r="AG183" i="13" a="1"/>
  <c r="AJ183" i="13" s="1"/>
  <c r="AE183" i="13" a="1"/>
  <c r="AD183" i="13"/>
  <c r="AF183" i="13" a="1"/>
  <c r="AH183" i="13" s="1"/>
  <c r="AM183" i="13" a="1"/>
  <c r="AN183" i="13" a="1"/>
  <c r="AP183" i="13" s="1"/>
  <c r="AO183" i="13" a="1"/>
  <c r="AR183" i="13" s="1"/>
  <c r="AE182" i="13" a="1"/>
  <c r="AF182" i="13" a="1"/>
  <c r="AH182" i="13" s="1"/>
  <c r="AC182" i="13"/>
  <c r="AL182" i="13" s="1"/>
  <c r="AD182" i="13"/>
  <c r="AG182" i="13" a="1"/>
  <c r="AJ182" i="13" s="1"/>
  <c r="AM182" i="13" a="1"/>
  <c r="AN182" i="13" a="1"/>
  <c r="AP182" i="13" s="1"/>
  <c r="AO182" i="13" a="1"/>
  <c r="AR182" i="13" s="1"/>
  <c r="AC181" i="13"/>
  <c r="AL181" i="13" s="1"/>
  <c r="AG181" i="13" a="1"/>
  <c r="AJ181" i="13" s="1"/>
  <c r="AD181" i="13"/>
  <c r="AE181" i="13" a="1"/>
  <c r="AF181" i="13" a="1"/>
  <c r="AH181" i="13" s="1"/>
  <c r="AM181" i="13" a="1"/>
  <c r="AN181" i="13" a="1"/>
  <c r="AP181" i="13" s="1"/>
  <c r="AO181" i="13" a="1"/>
  <c r="AR181" i="13" s="1"/>
  <c r="AG180" i="13" a="1"/>
  <c r="AJ180" i="13" s="1"/>
  <c r="AC180" i="13"/>
  <c r="AL180" i="13" s="1"/>
  <c r="AE180" i="13" a="1"/>
  <c r="AF180" i="13" a="1"/>
  <c r="AH180" i="13" s="1"/>
  <c r="AD180" i="13"/>
  <c r="AM180" i="13" a="1"/>
  <c r="AN180" i="13" a="1"/>
  <c r="AP180" i="13" s="1"/>
  <c r="AO180" i="13" a="1"/>
  <c r="AR180" i="13" s="1"/>
  <c r="AC179" i="13"/>
  <c r="AL179" i="13" s="1"/>
  <c r="AG179" i="13" a="1"/>
  <c r="AJ179" i="13" s="1"/>
  <c r="AF179" i="13" a="1"/>
  <c r="AH179" i="13" s="1"/>
  <c r="AD179" i="13"/>
  <c r="AE179" i="13" a="1"/>
  <c r="AM179" i="13" a="1"/>
  <c r="AN179" i="13" a="1"/>
  <c r="AP179" i="13" s="1"/>
  <c r="AO179" i="13" a="1"/>
  <c r="AR179" i="13" s="1"/>
  <c r="AD178" i="13"/>
  <c r="AG178" i="13" a="1"/>
  <c r="AJ178" i="13" s="1"/>
  <c r="AF178" i="13" a="1"/>
  <c r="AH178" i="13" s="1"/>
  <c r="AE178" i="13" a="1"/>
  <c r="AC178" i="13"/>
  <c r="AL178" i="13" s="1"/>
  <c r="AM178" i="13" a="1"/>
  <c r="AN178" i="13" a="1"/>
  <c r="AP178" i="13" s="1"/>
  <c r="AO178" i="13" a="1"/>
  <c r="AR178" i="13" s="1"/>
  <c r="AC177" i="13"/>
  <c r="AL177" i="13" s="1"/>
  <c r="AF177" i="13" a="1"/>
  <c r="AH177" i="13" s="1"/>
  <c r="AD177" i="13"/>
  <c r="AE177" i="13" a="1"/>
  <c r="AG177" i="13" a="1"/>
  <c r="AJ177" i="13" s="1"/>
  <c r="AM177" i="13" a="1"/>
  <c r="AN177" i="13" a="1"/>
  <c r="AP177" i="13" s="1"/>
  <c r="AO177" i="13" a="1"/>
  <c r="AR177" i="13" s="1"/>
  <c r="AC176" i="13"/>
  <c r="AL176" i="13" s="1"/>
  <c r="AD176" i="13"/>
  <c r="AG176" i="13" a="1"/>
  <c r="AJ176" i="13" s="1"/>
  <c r="AF176" i="13" a="1"/>
  <c r="AH176" i="13" s="1"/>
  <c r="AE176" i="13" a="1"/>
  <c r="AM176" i="13" a="1"/>
  <c r="AN176" i="13" a="1"/>
  <c r="AP176" i="13" s="1"/>
  <c r="AO176" i="13" a="1"/>
  <c r="AR176" i="13" s="1"/>
  <c r="AC175" i="13"/>
  <c r="AL175" i="13" s="1"/>
  <c r="AF175" i="13" a="1"/>
  <c r="AH175" i="13" s="1"/>
  <c r="AE175" i="13" a="1"/>
  <c r="AD175" i="13"/>
  <c r="AG175" i="13" a="1"/>
  <c r="AJ175" i="13" s="1"/>
  <c r="AM175" i="13" a="1"/>
  <c r="AN175" i="13" a="1"/>
  <c r="AP175" i="13" s="1"/>
  <c r="AO175" i="13" a="1"/>
  <c r="AR175" i="13" s="1"/>
  <c r="AE174" i="13" a="1"/>
  <c r="AC174" i="13"/>
  <c r="AL174" i="13" s="1"/>
  <c r="AG174" i="13" a="1"/>
  <c r="AJ174" i="13" s="1"/>
  <c r="AF174" i="13" a="1"/>
  <c r="AH174" i="13" s="1"/>
  <c r="AD174" i="13"/>
  <c r="AM174" i="13" a="1"/>
  <c r="AN174" i="13" a="1"/>
  <c r="AP174" i="13" s="1"/>
  <c r="AO174" i="13" a="1"/>
  <c r="AR174" i="13" s="1"/>
  <c r="AE173" i="13" a="1"/>
  <c r="AF173" i="13" a="1"/>
  <c r="AH173" i="13" s="1"/>
  <c r="AC173" i="13"/>
  <c r="AL173" i="13" s="1"/>
  <c r="AD173" i="13"/>
  <c r="AG173" i="13" a="1"/>
  <c r="AJ173" i="13" s="1"/>
  <c r="AM173" i="13" a="1"/>
  <c r="AN173" i="13" a="1"/>
  <c r="AP173" i="13" s="1"/>
  <c r="AO173" i="13" a="1"/>
  <c r="AR173" i="13" s="1"/>
  <c r="AG172" i="13" a="1"/>
  <c r="AJ172" i="13" s="1"/>
  <c r="AD172" i="13"/>
  <c r="AF172" i="13" a="1"/>
  <c r="AH172" i="13" s="1"/>
  <c r="AE172" i="13" a="1"/>
  <c r="AC172" i="13"/>
  <c r="AL172" i="13" s="1"/>
  <c r="AM172" i="13" a="1"/>
  <c r="AN172" i="13" a="1"/>
  <c r="AP172" i="13" s="1"/>
  <c r="AO172" i="13" a="1"/>
  <c r="AR172" i="13" s="1"/>
  <c r="AC171" i="13"/>
  <c r="AL171" i="13" s="1"/>
  <c r="AE171" i="13" a="1"/>
  <c r="AG171" i="13" a="1"/>
  <c r="AJ171" i="13" s="1"/>
  <c r="AF171" i="13" a="1"/>
  <c r="AH171" i="13" s="1"/>
  <c r="AD171" i="13"/>
  <c r="AM171" i="13" a="1"/>
  <c r="AN171" i="13" a="1"/>
  <c r="AP171" i="13" s="1"/>
  <c r="AO171" i="13" a="1"/>
  <c r="AR171" i="13" s="1"/>
  <c r="AC170" i="13"/>
  <c r="AL170" i="13" s="1"/>
  <c r="AE170" i="13" a="1"/>
  <c r="AF170" i="13" a="1"/>
  <c r="AH170" i="13" s="1"/>
  <c r="AG170" i="13" a="1"/>
  <c r="AJ170" i="13" s="1"/>
  <c r="AD170" i="13"/>
  <c r="AM170" i="13" a="1"/>
  <c r="AN170" i="13" a="1"/>
  <c r="AP170" i="13" s="1"/>
  <c r="AO170" i="13" a="1"/>
  <c r="AR170" i="13" s="1"/>
  <c r="AD169" i="13"/>
  <c r="AG169" i="13" a="1"/>
  <c r="AJ169" i="13" s="1"/>
  <c r="AF169" i="13" a="1"/>
  <c r="AH169" i="13" s="1"/>
  <c r="AC169" i="13"/>
  <c r="AL169" i="13" s="1"/>
  <c r="AM169" i="13" a="1"/>
  <c r="AN169" i="13" a="1"/>
  <c r="AP169" i="13" s="1"/>
  <c r="AO169" i="13" a="1"/>
  <c r="AR169" i="13" s="1"/>
  <c r="AE169" i="13" a="1"/>
  <c r="AF168" i="13" a="1"/>
  <c r="AH168" i="13" s="1"/>
  <c r="AD168" i="13"/>
  <c r="AG168" i="13" a="1"/>
  <c r="AJ168" i="13" s="1"/>
  <c r="AC168" i="13"/>
  <c r="AL168" i="13" s="1"/>
  <c r="AE168" i="13" a="1"/>
  <c r="AM168" i="13" a="1"/>
  <c r="AN168" i="13" a="1"/>
  <c r="AP168" i="13" s="1"/>
  <c r="AO168" i="13" a="1"/>
  <c r="AR168" i="13" s="1"/>
  <c r="AD167" i="13"/>
  <c r="AF167" i="13" a="1"/>
  <c r="AH167" i="13" s="1"/>
  <c r="AG167" i="13" a="1"/>
  <c r="AJ167" i="13" s="1"/>
  <c r="AE167" i="13" a="1"/>
  <c r="AC167" i="13"/>
  <c r="AL167" i="13" s="1"/>
  <c r="AM167" i="13" a="1"/>
  <c r="AN167" i="13" a="1"/>
  <c r="AP167" i="13" s="1"/>
  <c r="AO167" i="13" a="1"/>
  <c r="AR167" i="13" s="1"/>
  <c r="AC166" i="13"/>
  <c r="AL166" i="13" s="1"/>
  <c r="AG166" i="13" a="1"/>
  <c r="AJ166" i="13" s="1"/>
  <c r="AF166" i="13" a="1"/>
  <c r="AH166" i="13" s="1"/>
  <c r="AE166" i="13" a="1"/>
  <c r="AD166" i="13"/>
  <c r="AM166" i="13" a="1"/>
  <c r="AN166" i="13" a="1"/>
  <c r="AP166" i="13" s="1"/>
  <c r="AO166" i="13" a="1"/>
  <c r="AR166" i="13" s="1"/>
  <c r="AC165" i="13"/>
  <c r="AL165" i="13" s="1"/>
  <c r="AF165" i="13" a="1"/>
  <c r="AH165" i="13" s="1"/>
  <c r="AD165" i="13"/>
  <c r="AE165" i="13" a="1"/>
  <c r="AG165" i="13" a="1"/>
  <c r="AJ165" i="13" s="1"/>
  <c r="AM165" i="13" a="1"/>
  <c r="AN165" i="13" a="1"/>
  <c r="AP165" i="13" s="1"/>
  <c r="AO165" i="13" a="1"/>
  <c r="AR165" i="13" s="1"/>
  <c r="AC164" i="13"/>
  <c r="AL164" i="13" s="1"/>
  <c r="AD164" i="13"/>
  <c r="AF164" i="13" a="1"/>
  <c r="AH164" i="13" s="1"/>
  <c r="AG164" i="13" a="1"/>
  <c r="AJ164" i="13" s="1"/>
  <c r="AE164" i="13" a="1"/>
  <c r="AM164" i="13" a="1"/>
  <c r="AN164" i="13" a="1"/>
  <c r="AP164" i="13" s="1"/>
  <c r="AO164" i="13" a="1"/>
  <c r="AR164" i="13" s="1"/>
  <c r="AE163" i="13" a="1"/>
  <c r="AD163" i="13"/>
  <c r="AG163" i="13" a="1"/>
  <c r="AJ163" i="13" s="1"/>
  <c r="AF163" i="13" a="1"/>
  <c r="AH163" i="13" s="1"/>
  <c r="AC163" i="13"/>
  <c r="AL163" i="13" s="1"/>
  <c r="AM163" i="13" a="1"/>
  <c r="AN163" i="13" a="1"/>
  <c r="AP163" i="13" s="1"/>
  <c r="AO163" i="13" a="1"/>
  <c r="AR163" i="13" s="1"/>
  <c r="AE162" i="13" a="1"/>
  <c r="AG162" i="13" a="1"/>
  <c r="AJ162" i="13" s="1"/>
  <c r="AC162" i="13"/>
  <c r="AL162" i="13" s="1"/>
  <c r="AD162" i="13"/>
  <c r="AF162" i="13" a="1"/>
  <c r="AH162" i="13" s="1"/>
  <c r="AM162" i="13" a="1"/>
  <c r="AN162" i="13" a="1"/>
  <c r="AP162" i="13" s="1"/>
  <c r="AO162" i="13" a="1"/>
  <c r="AR162" i="13" s="1"/>
  <c r="AD161" i="13"/>
  <c r="AF161" i="13" a="1"/>
  <c r="AH161" i="13" s="1"/>
  <c r="AC161" i="13"/>
  <c r="AL161" i="13" s="1"/>
  <c r="AG161" i="13" a="1"/>
  <c r="AJ161" i="13" s="1"/>
  <c r="AE161" i="13" a="1"/>
  <c r="AM161" i="13" a="1"/>
  <c r="AN161" i="13" a="1"/>
  <c r="AP161" i="13" s="1"/>
  <c r="AO161" i="13" a="1"/>
  <c r="AR161" i="13" s="1"/>
  <c r="AE160" i="13" a="1"/>
  <c r="AG160" i="13" a="1"/>
  <c r="AJ160" i="13" s="1"/>
  <c r="AD160" i="13"/>
  <c r="AC160" i="13"/>
  <c r="AL160" i="13" s="1"/>
  <c r="AF160" i="13" a="1"/>
  <c r="AH160" i="13" s="1"/>
  <c r="AM160" i="13" a="1"/>
  <c r="AN160" i="13" a="1"/>
  <c r="AP160" i="13" s="1"/>
  <c r="AO160" i="13" a="1"/>
  <c r="AR160" i="13" s="1"/>
  <c r="AG159" i="13" a="1"/>
  <c r="AJ159" i="13" s="1"/>
  <c r="AE159" i="13" a="1"/>
  <c r="AC159" i="13"/>
  <c r="AL159" i="13" s="1"/>
  <c r="AD159" i="13"/>
  <c r="AF159" i="13" a="1"/>
  <c r="AH159" i="13" s="1"/>
  <c r="AM159" i="13" a="1"/>
  <c r="AN159" i="13" a="1"/>
  <c r="AP159" i="13" s="1"/>
  <c r="AO159" i="13" a="1"/>
  <c r="AR159" i="13" s="1"/>
  <c r="AC158" i="13"/>
  <c r="AL158" i="13" s="1"/>
  <c r="AD158" i="13"/>
  <c r="AG158" i="13" a="1"/>
  <c r="AJ158" i="13" s="1"/>
  <c r="AE158" i="13" a="1"/>
  <c r="AF158" i="13" a="1"/>
  <c r="AH158" i="13" s="1"/>
  <c r="AM158" i="13" a="1"/>
  <c r="AN158" i="13" a="1"/>
  <c r="AP158" i="13" s="1"/>
  <c r="AO158" i="13" a="1"/>
  <c r="AR158" i="13" s="1"/>
  <c r="AC157" i="13"/>
  <c r="AL157" i="13" s="1"/>
  <c r="AG157" i="13" a="1"/>
  <c r="AJ157" i="13" s="1"/>
  <c r="AD157" i="13"/>
  <c r="AF157" i="13" a="1"/>
  <c r="AH157" i="13" s="1"/>
  <c r="AE157" i="13" a="1"/>
  <c r="AM157" i="13" a="1"/>
  <c r="AN157" i="13" a="1"/>
  <c r="AP157" i="13" s="1"/>
  <c r="AO157" i="13" a="1"/>
  <c r="AR157" i="13" s="1"/>
  <c r="AD156" i="13"/>
  <c r="AE156" i="13" a="1"/>
  <c r="AG156" i="13" a="1"/>
  <c r="AJ156" i="13" s="1"/>
  <c r="AC156" i="13"/>
  <c r="AL156" i="13" s="1"/>
  <c r="AF156" i="13" a="1"/>
  <c r="AH156" i="13" s="1"/>
  <c r="AM156" i="13" a="1"/>
  <c r="AN156" i="13" a="1"/>
  <c r="AP156" i="13" s="1"/>
  <c r="AO156" i="13" a="1"/>
  <c r="AR156" i="13" s="1"/>
  <c r="AE155" i="13" a="1"/>
  <c r="AC155" i="13"/>
  <c r="AL155" i="13" s="1"/>
  <c r="AD155" i="13"/>
  <c r="AF155" i="13" a="1"/>
  <c r="AH155" i="13" s="1"/>
  <c r="AG155" i="13" a="1"/>
  <c r="AJ155" i="13" s="1"/>
  <c r="AM155" i="13" a="1"/>
  <c r="AN155" i="13" a="1"/>
  <c r="AP155" i="13" s="1"/>
  <c r="AO155" i="13" a="1"/>
  <c r="AR155" i="13" s="1"/>
  <c r="AF154" i="13" a="1"/>
  <c r="AH154" i="13" s="1"/>
  <c r="AE154" i="13" a="1"/>
  <c r="AG154" i="13" a="1"/>
  <c r="AJ154" i="13" s="1"/>
  <c r="AD154" i="13"/>
  <c r="AC154" i="13"/>
  <c r="AL154" i="13" s="1"/>
  <c r="AM154" i="13" a="1"/>
  <c r="AN154" i="13" a="1"/>
  <c r="AP154" i="13" s="1"/>
  <c r="AO154" i="13" a="1"/>
  <c r="AR154" i="13" s="1"/>
  <c r="AG153" i="13" a="1"/>
  <c r="AJ153" i="13" s="1"/>
  <c r="AC153" i="13"/>
  <c r="AL153" i="13" s="1"/>
  <c r="AE153" i="13" a="1"/>
  <c r="AF153" i="13" a="1"/>
  <c r="AH153" i="13" s="1"/>
  <c r="AD153" i="13"/>
  <c r="AM153" i="13" a="1"/>
  <c r="AN153" i="13" a="1"/>
  <c r="AP153" i="13" s="1"/>
  <c r="AO153" i="13" a="1"/>
  <c r="AR153" i="13" s="1"/>
  <c r="AF152" i="13" a="1"/>
  <c r="AH152" i="13" s="1"/>
  <c r="AC152" i="13"/>
  <c r="AL152" i="13" s="1"/>
  <c r="AG152" i="13" a="1"/>
  <c r="AJ152" i="13" s="1"/>
  <c r="AE152" i="13" a="1"/>
  <c r="AD152" i="13"/>
  <c r="AM152" i="13" a="1"/>
  <c r="AN152" i="13" a="1"/>
  <c r="AP152" i="13" s="1"/>
  <c r="AO152" i="13" a="1"/>
  <c r="AR152" i="13" s="1"/>
  <c r="AG151" i="13" a="1"/>
  <c r="AJ151" i="13" s="1"/>
  <c r="AE151" i="13" a="1"/>
  <c r="AD151" i="13"/>
  <c r="AC151" i="13"/>
  <c r="AL151" i="13" s="1"/>
  <c r="AF151" i="13" a="1"/>
  <c r="AH151" i="13" s="1"/>
  <c r="AM151" i="13" a="1"/>
  <c r="AN151" i="13" a="1"/>
  <c r="AP151" i="13" s="1"/>
  <c r="AO151" i="13" a="1"/>
  <c r="AR151" i="13" s="1"/>
  <c r="AE150" i="13" a="1"/>
  <c r="AF150" i="13" a="1"/>
  <c r="AH150" i="13" s="1"/>
  <c r="AG150" i="13" a="1"/>
  <c r="AJ150" i="13" s="1"/>
  <c r="AD150" i="13"/>
  <c r="AC150" i="13"/>
  <c r="AL150" i="13" s="1"/>
  <c r="AM150" i="13" a="1"/>
  <c r="AN150" i="13" a="1"/>
  <c r="AP150" i="13" s="1"/>
  <c r="AO150" i="13" a="1"/>
  <c r="AR150" i="13" s="1"/>
  <c r="AF149" i="13" a="1"/>
  <c r="AH149" i="13" s="1"/>
  <c r="AE149" i="13" a="1"/>
  <c r="AC149" i="13"/>
  <c r="AL149" i="13" s="1"/>
  <c r="AD149" i="13"/>
  <c r="AG149" i="13" a="1"/>
  <c r="AJ149" i="13" s="1"/>
  <c r="AM149" i="13" a="1"/>
  <c r="AN149" i="13" a="1"/>
  <c r="AP149" i="13" s="1"/>
  <c r="AO149" i="13" a="1"/>
  <c r="AR149" i="13" s="1"/>
  <c r="AD148" i="13"/>
  <c r="AE148" i="13" a="1"/>
  <c r="AG148" i="13" a="1"/>
  <c r="AJ148" i="13" s="1"/>
  <c r="AC148" i="13"/>
  <c r="AL148" i="13" s="1"/>
  <c r="AF148" i="13" a="1"/>
  <c r="AH148" i="13" s="1"/>
  <c r="AM148" i="13" a="1"/>
  <c r="AN148" i="13" a="1"/>
  <c r="AP148" i="13" s="1"/>
  <c r="AO148" i="13" a="1"/>
  <c r="AR148" i="13" s="1"/>
  <c r="AE147" i="13" a="1"/>
  <c r="AD147" i="13"/>
  <c r="AG147" i="13" a="1"/>
  <c r="AJ147" i="13" s="1"/>
  <c r="AC147" i="13"/>
  <c r="AL147" i="13" s="1"/>
  <c r="AF147" i="13" a="1"/>
  <c r="AH147" i="13" s="1"/>
  <c r="AM147" i="13" a="1"/>
  <c r="AN147" i="13" a="1"/>
  <c r="AP147" i="13" s="1"/>
  <c r="AO147" i="13" a="1"/>
  <c r="AR147" i="13" s="1"/>
  <c r="AF146" i="13" a="1"/>
  <c r="AH146" i="13" s="1"/>
  <c r="AE146" i="13" a="1"/>
  <c r="AC146" i="13"/>
  <c r="AL146" i="13" s="1"/>
  <c r="AD146" i="13"/>
  <c r="AG146" i="13" a="1"/>
  <c r="AJ146" i="13" s="1"/>
  <c r="AM146" i="13" a="1"/>
  <c r="AN146" i="13" a="1"/>
  <c r="AP146" i="13" s="1"/>
  <c r="AO146" i="13" a="1"/>
  <c r="AR146" i="13" s="1"/>
  <c r="AD145" i="13"/>
  <c r="AF145" i="13" a="1"/>
  <c r="AH145" i="13" s="1"/>
  <c r="AE145" i="13" a="1"/>
  <c r="AC145" i="13"/>
  <c r="AL145" i="13" s="1"/>
  <c r="AG145" i="13" a="1"/>
  <c r="AJ145" i="13" s="1"/>
  <c r="AM145" i="13" a="1"/>
  <c r="AN145" i="13" a="1"/>
  <c r="AP145" i="13" s="1"/>
  <c r="AO145" i="13" a="1"/>
  <c r="AR145" i="13" s="1"/>
  <c r="AF144" i="13" a="1"/>
  <c r="AH144" i="13" s="1"/>
  <c r="AE144" i="13" a="1"/>
  <c r="AG144" i="13" a="1"/>
  <c r="AJ144" i="13" s="1"/>
  <c r="AC144" i="13"/>
  <c r="AL144" i="13" s="1"/>
  <c r="AD144" i="13"/>
  <c r="AM144" i="13" a="1"/>
  <c r="AN144" i="13" a="1"/>
  <c r="AP144" i="13" s="1"/>
  <c r="AO144" i="13" a="1"/>
  <c r="AR144" i="13" s="1"/>
  <c r="AD143" i="13"/>
  <c r="AF143" i="13" a="1"/>
  <c r="AH143" i="13" s="1"/>
  <c r="AG143" i="13" a="1"/>
  <c r="AJ143" i="13" s="1"/>
  <c r="AC143" i="13"/>
  <c r="AL143" i="13" s="1"/>
  <c r="AE143" i="13" a="1"/>
  <c r="AM143" i="13" a="1"/>
  <c r="AN143" i="13" a="1"/>
  <c r="AP143" i="13" s="1"/>
  <c r="AO143" i="13" a="1"/>
  <c r="AR143" i="13" s="1"/>
  <c r="AC142" i="13"/>
  <c r="AL142" i="13" s="1"/>
  <c r="AE142" i="13" a="1"/>
  <c r="AD142" i="13"/>
  <c r="AF142" i="13" a="1"/>
  <c r="AH142" i="13" s="1"/>
  <c r="AG142" i="13" a="1"/>
  <c r="AJ142" i="13" s="1"/>
  <c r="AM142" i="13" a="1"/>
  <c r="AN142" i="13" a="1"/>
  <c r="AP142" i="13" s="1"/>
  <c r="AO142" i="13" a="1"/>
  <c r="AR142" i="13" s="1"/>
  <c r="AG141" i="13" a="1"/>
  <c r="AJ141" i="13" s="1"/>
  <c r="AD141" i="13"/>
  <c r="AE141" i="13" a="1"/>
  <c r="AF141" i="13" a="1"/>
  <c r="AH141" i="13" s="1"/>
  <c r="AC141" i="13"/>
  <c r="AL141" i="13" s="1"/>
  <c r="AM141" i="13" a="1"/>
  <c r="AN141" i="13" a="1"/>
  <c r="AP141" i="13" s="1"/>
  <c r="AO141" i="13" a="1"/>
  <c r="AR141" i="13" s="1"/>
  <c r="AG140" i="13" a="1"/>
  <c r="AJ140" i="13" s="1"/>
  <c r="AE140" i="13" a="1"/>
  <c r="AD140" i="13"/>
  <c r="AF140" i="13" a="1"/>
  <c r="AH140" i="13" s="1"/>
  <c r="AC140" i="13"/>
  <c r="AL140" i="13" s="1"/>
  <c r="AM140" i="13" a="1"/>
  <c r="AN140" i="13" a="1"/>
  <c r="AP140" i="13" s="1"/>
  <c r="AO140" i="13" a="1"/>
  <c r="AR140" i="13" s="1"/>
  <c r="AC139" i="13"/>
  <c r="AL139" i="13" s="1"/>
  <c r="AD139" i="13"/>
  <c r="AG139" i="13" a="1"/>
  <c r="AJ139" i="13" s="1"/>
  <c r="AE139" i="13" a="1"/>
  <c r="AF139" i="13" a="1"/>
  <c r="AH139" i="13" s="1"/>
  <c r="AM139" i="13" a="1"/>
  <c r="AN139" i="13" a="1"/>
  <c r="AP139" i="13" s="1"/>
  <c r="AO139" i="13" a="1"/>
  <c r="AR139" i="13" s="1"/>
  <c r="AD138" i="13"/>
  <c r="AG138" i="13" a="1"/>
  <c r="AJ138" i="13" s="1"/>
  <c r="AC138" i="13"/>
  <c r="AL138" i="13" s="1"/>
  <c r="AF138" i="13" a="1"/>
  <c r="AH138" i="13" s="1"/>
  <c r="AE138" i="13" a="1"/>
  <c r="AM138" i="13" a="1"/>
  <c r="AN138" i="13" a="1"/>
  <c r="AP138" i="13" s="1"/>
  <c r="AO138" i="13" a="1"/>
  <c r="AR138" i="13" s="1"/>
  <c r="AE137" i="13" a="1"/>
  <c r="AD137" i="13"/>
  <c r="AG137" i="13" a="1"/>
  <c r="AJ137" i="13" s="1"/>
  <c r="AC137" i="13"/>
  <c r="AL137" i="13" s="1"/>
  <c r="AF137" i="13" a="1"/>
  <c r="AH137" i="13" s="1"/>
  <c r="AM137" i="13" a="1"/>
  <c r="AN137" i="13" a="1"/>
  <c r="AP137" i="13" s="1"/>
  <c r="AO137" i="13" a="1"/>
  <c r="AR137" i="13" s="1"/>
  <c r="AE136" i="13" a="1"/>
  <c r="AF136" i="13" a="1"/>
  <c r="AH136" i="13" s="1"/>
  <c r="AC136" i="13"/>
  <c r="AL136" i="13" s="1"/>
  <c r="AG136" i="13" a="1"/>
  <c r="AJ136" i="13" s="1"/>
  <c r="AD136" i="13"/>
  <c r="AM136" i="13" a="1"/>
  <c r="AN136" i="13" a="1"/>
  <c r="AP136" i="13" s="1"/>
  <c r="AO136" i="13" a="1"/>
  <c r="AR136" i="13" s="1"/>
  <c r="AC135" i="13"/>
  <c r="AL135" i="13" s="1"/>
  <c r="AE135" i="13" a="1"/>
  <c r="AD135" i="13"/>
  <c r="AF135" i="13" a="1"/>
  <c r="AH135" i="13" s="1"/>
  <c r="AG135" i="13" a="1"/>
  <c r="AJ135" i="13" s="1"/>
  <c r="AM135" i="13" a="1"/>
  <c r="AN135" i="13" a="1"/>
  <c r="AP135" i="13" s="1"/>
  <c r="AO135" i="13" a="1"/>
  <c r="AR135" i="13" s="1"/>
  <c r="AF134" i="13" a="1"/>
  <c r="AH134" i="13" s="1"/>
  <c r="AG134" i="13" a="1"/>
  <c r="AJ134" i="13" s="1"/>
  <c r="AD134" i="13"/>
  <c r="AC134" i="13"/>
  <c r="AL134" i="13" s="1"/>
  <c r="AE134" i="13" a="1"/>
  <c r="AM134" i="13" a="1"/>
  <c r="AN134" i="13" a="1"/>
  <c r="AP134" i="13" s="1"/>
  <c r="AO134" i="13" a="1"/>
  <c r="AR134" i="13" s="1"/>
  <c r="AE133" i="13" a="1"/>
  <c r="AD133" i="13"/>
  <c r="AG133" i="13" a="1"/>
  <c r="AJ133" i="13" s="1"/>
  <c r="AC133" i="13"/>
  <c r="AL133" i="13" s="1"/>
  <c r="AF133" i="13" a="1"/>
  <c r="AH133" i="13" s="1"/>
  <c r="AM133" i="13" a="1"/>
  <c r="AN133" i="13" a="1"/>
  <c r="AP133" i="13" s="1"/>
  <c r="AO133" i="13" a="1"/>
  <c r="AR133" i="13" s="1"/>
  <c r="AG132" i="13" a="1"/>
  <c r="AJ132" i="13" s="1"/>
  <c r="AE132" i="13" a="1"/>
  <c r="AD132" i="13"/>
  <c r="AC132" i="13"/>
  <c r="AL132" i="13" s="1"/>
  <c r="AF132" i="13" a="1"/>
  <c r="AH132" i="13" s="1"/>
  <c r="AM132" i="13" a="1"/>
  <c r="AN132" i="13" a="1"/>
  <c r="AP132" i="13" s="1"/>
  <c r="AO132" i="13" a="1"/>
  <c r="AR132" i="13" s="1"/>
  <c r="AE131" i="13" a="1"/>
  <c r="AD131" i="13"/>
  <c r="AG131" i="13" a="1"/>
  <c r="AJ131" i="13" s="1"/>
  <c r="AC131" i="13"/>
  <c r="AL131" i="13" s="1"/>
  <c r="AF131" i="13" a="1"/>
  <c r="AH131" i="13" s="1"/>
  <c r="AM131" i="13" a="1"/>
  <c r="AN131" i="13" a="1"/>
  <c r="AP131" i="13" s="1"/>
  <c r="AO131" i="13" a="1"/>
  <c r="AR131" i="13" s="1"/>
  <c r="AE130" i="13" a="1"/>
  <c r="AF130" i="13" a="1"/>
  <c r="AH130" i="13" s="1"/>
  <c r="AC130" i="13"/>
  <c r="AL130" i="13" s="1"/>
  <c r="AG130" i="13" a="1"/>
  <c r="AJ130" i="13" s="1"/>
  <c r="AD130" i="13"/>
  <c r="AM130" i="13" a="1"/>
  <c r="AN130" i="13" a="1"/>
  <c r="AP130" i="13" s="1"/>
  <c r="AO130" i="13" a="1"/>
  <c r="AR130" i="13" s="1"/>
  <c r="AE129" i="13" a="1"/>
  <c r="AC129" i="13"/>
  <c r="AL129" i="13" s="1"/>
  <c r="AG129" i="13" a="1"/>
  <c r="AJ129" i="13" s="1"/>
  <c r="AF129" i="13" a="1"/>
  <c r="AH129" i="13" s="1"/>
  <c r="AD129" i="13"/>
  <c r="AM129" i="13" a="1"/>
  <c r="AN129" i="13" a="1"/>
  <c r="AP129" i="13" s="1"/>
  <c r="AO129" i="13" a="1"/>
  <c r="AR129" i="13" s="1"/>
  <c r="AG128" i="13" a="1"/>
  <c r="AJ128" i="13" s="1"/>
  <c r="AE128" i="13" a="1"/>
  <c r="AF128" i="13" a="1"/>
  <c r="AH128" i="13" s="1"/>
  <c r="AD128" i="13"/>
  <c r="AC128" i="13"/>
  <c r="AL128" i="13" s="1"/>
  <c r="AM128" i="13" a="1"/>
  <c r="AN128" i="13" a="1"/>
  <c r="AP128" i="13" s="1"/>
  <c r="AO128" i="13" a="1"/>
  <c r="AR128" i="13" s="1"/>
  <c r="AD127" i="13"/>
  <c r="AC127" i="13"/>
  <c r="AL127" i="13" s="1"/>
  <c r="AF127" i="13" a="1"/>
  <c r="AH127" i="13" s="1"/>
  <c r="AG127" i="13" a="1"/>
  <c r="AJ127" i="13" s="1"/>
  <c r="AE127" i="13" a="1"/>
  <c r="AM127" i="13" a="1"/>
  <c r="AN127" i="13" a="1"/>
  <c r="AP127" i="13" s="1"/>
  <c r="AO127" i="13" a="1"/>
  <c r="AR127" i="13" s="1"/>
  <c r="AE126" i="13" a="1"/>
  <c r="AC126" i="13"/>
  <c r="AL126" i="13" s="1"/>
  <c r="AD126" i="13"/>
  <c r="AF126" i="13" a="1"/>
  <c r="AH126" i="13" s="1"/>
  <c r="AG126" i="13" a="1"/>
  <c r="AJ126" i="13" s="1"/>
  <c r="AM126" i="13" a="1"/>
  <c r="AN126" i="13" a="1"/>
  <c r="AP126" i="13" s="1"/>
  <c r="AO126" i="13" a="1"/>
  <c r="AR126" i="13" s="1"/>
  <c r="AE125" i="13" a="1"/>
  <c r="AC125" i="13"/>
  <c r="AL125" i="13" s="1"/>
  <c r="AD125" i="13"/>
  <c r="AG125" i="13" a="1"/>
  <c r="AJ125" i="13" s="1"/>
  <c r="AF125" i="13" a="1"/>
  <c r="AH125" i="13" s="1"/>
  <c r="AM125" i="13" a="1"/>
  <c r="AN125" i="13" a="1"/>
  <c r="AP125" i="13" s="1"/>
  <c r="AO125" i="13" a="1"/>
  <c r="AR125" i="13" s="1"/>
  <c r="AE124" i="13" a="1"/>
  <c r="AG124" i="13" a="1"/>
  <c r="AJ124" i="13" s="1"/>
  <c r="AD124" i="13"/>
  <c r="AF124" i="13" a="1"/>
  <c r="AH124" i="13" s="1"/>
  <c r="AC124" i="13"/>
  <c r="AL124" i="13" s="1"/>
  <c r="AM124" i="13" a="1"/>
  <c r="AN124" i="13" a="1"/>
  <c r="AP124" i="13" s="1"/>
  <c r="AO124" i="13" a="1"/>
  <c r="AR124" i="13" s="1"/>
  <c r="AE123" i="13" a="1"/>
  <c r="AF123" i="13" a="1"/>
  <c r="AH123" i="13" s="1"/>
  <c r="AG123" i="13" a="1"/>
  <c r="AJ123" i="13" s="1"/>
  <c r="AN123" i="13" a="1"/>
  <c r="AP123" i="13" s="1"/>
  <c r="AO123" i="13" a="1"/>
  <c r="AR123" i="13" s="1"/>
  <c r="AM123" i="13" a="1"/>
  <c r="AG122" i="13" a="1"/>
  <c r="AJ122" i="13" s="1"/>
  <c r="AF122" i="13" a="1"/>
  <c r="AH122" i="13" s="1"/>
  <c r="AE122" i="13" a="1"/>
  <c r="AO122" i="13" a="1"/>
  <c r="AR122" i="13" s="1"/>
  <c r="AN122" i="13" a="1"/>
  <c r="AP122" i="13" s="1"/>
  <c r="AM122" i="13" a="1"/>
  <c r="AG121" i="13" a="1"/>
  <c r="AJ121" i="13" s="1"/>
  <c r="AE121" i="13" a="1"/>
  <c r="AF121" i="13" a="1"/>
  <c r="AH121" i="13" s="1"/>
  <c r="AO121" i="13" a="1"/>
  <c r="AR121" i="13" s="1"/>
  <c r="AN121" i="13" a="1"/>
  <c r="AP121" i="13" s="1"/>
  <c r="AM121" i="13" a="1"/>
  <c r="AG120" i="13" a="1"/>
  <c r="AJ120" i="13" s="1"/>
  <c r="AE120" i="13" a="1"/>
  <c r="AF120" i="13" a="1"/>
  <c r="AH120" i="13" s="1"/>
  <c r="AM120" i="13" a="1"/>
  <c r="AO120" i="13" a="1"/>
  <c r="AR120" i="13" s="1"/>
  <c r="AN120" i="13" a="1"/>
  <c r="AP120" i="13" s="1"/>
  <c r="AG119" i="13" a="1"/>
  <c r="AJ119" i="13" s="1"/>
  <c r="AE119" i="13" a="1"/>
  <c r="AF119" i="13" a="1"/>
  <c r="AH119" i="13" s="1"/>
  <c r="AM119" i="13" a="1"/>
  <c r="AO119" i="13" a="1"/>
  <c r="AR119" i="13" s="1"/>
  <c r="AN119" i="13" a="1"/>
  <c r="AP119" i="13" s="1"/>
  <c r="AG118" i="13" a="1"/>
  <c r="AJ118" i="13" s="1"/>
  <c r="AF118" i="13" a="1"/>
  <c r="AH118" i="13" s="1"/>
  <c r="AE118" i="13" a="1"/>
  <c r="AM118" i="13" a="1"/>
  <c r="AN118" i="13" a="1"/>
  <c r="AP118" i="13" s="1"/>
  <c r="AO118" i="13" a="1"/>
  <c r="AR118" i="13" s="1"/>
  <c r="AE117" i="13" a="1"/>
  <c r="AF117" i="13" a="1"/>
  <c r="AH117" i="13" s="1"/>
  <c r="AG117" i="13" a="1"/>
  <c r="AJ117" i="13" s="1"/>
  <c r="AM117" i="13" a="1"/>
  <c r="AN117" i="13" a="1"/>
  <c r="AP117" i="13" s="1"/>
  <c r="AO117" i="13" a="1"/>
  <c r="AR117" i="13" s="1"/>
  <c r="AF116" i="13" a="1"/>
  <c r="AH116" i="13" s="1"/>
  <c r="AE116" i="13" a="1"/>
  <c r="AG116" i="13" a="1"/>
  <c r="AJ116" i="13" s="1"/>
  <c r="AM116" i="13" a="1"/>
  <c r="AO116" i="13" a="1"/>
  <c r="AR116" i="13" s="1"/>
  <c r="AN116" i="13" a="1"/>
  <c r="AP116" i="13" s="1"/>
  <c r="AE115" i="13" a="1"/>
  <c r="AF115" i="13" a="1"/>
  <c r="AH115" i="13" s="1"/>
  <c r="AG115" i="13" a="1"/>
  <c r="AJ115" i="13" s="1"/>
  <c r="AM115" i="13" a="1"/>
  <c r="AN115" i="13" a="1"/>
  <c r="AP115" i="13" s="1"/>
  <c r="AO115" i="13" a="1"/>
  <c r="AR115" i="13" s="1"/>
  <c r="AE114" i="13" a="1"/>
  <c r="AF114" i="13" a="1"/>
  <c r="AH114" i="13" s="1"/>
  <c r="AG114" i="13" a="1"/>
  <c r="AJ114" i="13" s="1"/>
  <c r="AO114" i="13" a="1"/>
  <c r="AR114" i="13" s="1"/>
  <c r="AN114" i="13" a="1"/>
  <c r="AP114" i="13" s="1"/>
  <c r="AM114" i="13" a="1"/>
  <c r="AE113" i="13" a="1"/>
  <c r="AF113" i="13" a="1"/>
  <c r="AH113" i="13" s="1"/>
  <c r="AG113" i="13" a="1"/>
  <c r="AJ113" i="13" s="1"/>
  <c r="AO113" i="13" a="1"/>
  <c r="AR113" i="13" s="1"/>
  <c r="AM113" i="13" a="1"/>
  <c r="AN113" i="13" a="1"/>
  <c r="AP113" i="13" s="1"/>
  <c r="AE112" i="13" a="1"/>
  <c r="AF112" i="13" a="1"/>
  <c r="AH112" i="13" s="1"/>
  <c r="AG112" i="13" a="1"/>
  <c r="AJ112" i="13" s="1"/>
  <c r="AM112" i="13" a="1"/>
  <c r="AN112" i="13" a="1"/>
  <c r="AP112" i="13" s="1"/>
  <c r="AO112" i="13" a="1"/>
  <c r="AR112" i="13" s="1"/>
  <c r="AF111" i="13" a="1"/>
  <c r="AH111" i="13" s="1"/>
  <c r="AE111" i="13" a="1"/>
  <c r="AG111" i="13" a="1"/>
  <c r="AJ111" i="13" s="1"/>
  <c r="AM111" i="13" a="1"/>
  <c r="AN111" i="13" a="1"/>
  <c r="AP111" i="13" s="1"/>
  <c r="AO111" i="13" a="1"/>
  <c r="AR111" i="13" s="1"/>
  <c r="AE110" i="13" a="1"/>
  <c r="AF110" i="13" a="1"/>
  <c r="AH110" i="13" s="1"/>
  <c r="AG110" i="13" a="1"/>
  <c r="AJ110" i="13" s="1"/>
  <c r="AO110" i="13" a="1"/>
  <c r="AR110" i="13" s="1"/>
  <c r="AM110" i="13" a="1"/>
  <c r="AN110" i="13" a="1"/>
  <c r="AP110" i="13" s="1"/>
  <c r="AE109" i="13" a="1"/>
  <c r="AF109" i="13" a="1"/>
  <c r="AH109" i="13" s="1"/>
  <c r="AG109" i="13" a="1"/>
  <c r="AJ109" i="13" s="1"/>
  <c r="AM109" i="13" a="1"/>
  <c r="AN109" i="13" a="1"/>
  <c r="AP109" i="13" s="1"/>
  <c r="AO109" i="13" a="1"/>
  <c r="AR109" i="13" s="1"/>
  <c r="AE108" i="13" a="1"/>
  <c r="AF108" i="13" a="1"/>
  <c r="AH108" i="13" s="1"/>
  <c r="AG108" i="13" a="1"/>
  <c r="AJ108" i="13" s="1"/>
  <c r="AO108" i="13" a="1"/>
  <c r="AR108" i="13" s="1"/>
  <c r="AM108" i="13" a="1"/>
  <c r="AN108" i="13" a="1"/>
  <c r="AP108" i="13" s="1"/>
  <c r="AG107" i="13" a="1"/>
  <c r="AJ107" i="13" s="1"/>
  <c r="AE107" i="13" a="1"/>
  <c r="AF107" i="13" a="1"/>
  <c r="AH107" i="13" s="1"/>
  <c r="AM107" i="13" a="1"/>
  <c r="AN107" i="13" a="1"/>
  <c r="AP107" i="13" s="1"/>
  <c r="AO107" i="13" a="1"/>
  <c r="AR107" i="13" s="1"/>
  <c r="AG106" i="13" a="1"/>
  <c r="AJ106" i="13" s="1"/>
  <c r="AF106" i="13" a="1"/>
  <c r="AH106" i="13" s="1"/>
  <c r="AE106" i="13" a="1"/>
  <c r="AO106" i="13" a="1"/>
  <c r="AR106" i="13" s="1"/>
  <c r="AM106" i="13" a="1"/>
  <c r="AN106" i="13" a="1"/>
  <c r="AP106" i="13" s="1"/>
  <c r="AE105" i="13" a="1"/>
  <c r="AF105" i="13" a="1"/>
  <c r="AH105" i="13" s="1"/>
  <c r="AG105" i="13" a="1"/>
  <c r="AJ105" i="13" s="1"/>
  <c r="AN105" i="13" a="1"/>
  <c r="AP105" i="13" s="1"/>
  <c r="AO105" i="13" a="1"/>
  <c r="AR105" i="13" s="1"/>
  <c r="AM105" i="13" a="1"/>
  <c r="AG104" i="13" a="1"/>
  <c r="AJ104" i="13" s="1"/>
  <c r="AF104" i="13" a="1"/>
  <c r="AH104" i="13" s="1"/>
  <c r="AE104" i="13" a="1"/>
  <c r="AO104" i="13" a="1"/>
  <c r="AR104" i="13" s="1"/>
  <c r="AM104" i="13" a="1"/>
  <c r="AN104" i="13" a="1"/>
  <c r="AP104" i="13" s="1"/>
  <c r="AG103" i="13" a="1"/>
  <c r="AJ103" i="13" s="1"/>
  <c r="AF103" i="13" a="1"/>
  <c r="AH103" i="13" s="1"/>
  <c r="AE103" i="13" a="1"/>
  <c r="AM103" i="13" a="1"/>
  <c r="AN103" i="13" a="1"/>
  <c r="AP103" i="13" s="1"/>
  <c r="AO103" i="13" a="1"/>
  <c r="AR103" i="13" s="1"/>
  <c r="AG102" i="13" a="1"/>
  <c r="AJ102" i="13" s="1"/>
  <c r="AF102" i="13" a="1"/>
  <c r="AH102" i="13" s="1"/>
  <c r="AE102" i="13" a="1"/>
  <c r="AM102" i="13" a="1"/>
  <c r="AN102" i="13" a="1"/>
  <c r="AP102" i="13" s="1"/>
  <c r="AO102" i="13" a="1"/>
  <c r="AR102" i="13" s="1"/>
  <c r="AG101" i="13" a="1"/>
  <c r="AJ101" i="13" s="1"/>
  <c r="AE101" i="13" a="1"/>
  <c r="AF101" i="13" a="1"/>
  <c r="AH101" i="13" s="1"/>
  <c r="AO101" i="13" a="1"/>
  <c r="AR101" i="13" s="1"/>
  <c r="AM101" i="13" a="1"/>
  <c r="AN101" i="13" a="1"/>
  <c r="AP101" i="13" s="1"/>
  <c r="AE100" i="13" a="1"/>
  <c r="AF100" i="13" a="1"/>
  <c r="AH100" i="13" s="1"/>
  <c r="AG100" i="13" a="1"/>
  <c r="AJ100" i="13" s="1"/>
  <c r="AM100" i="13" a="1"/>
  <c r="AN100" i="13" a="1"/>
  <c r="AP100" i="13" s="1"/>
  <c r="AO100" i="13" a="1"/>
  <c r="AR100" i="13" s="1"/>
  <c r="AE99" i="13" a="1"/>
  <c r="AF99" i="13" a="1"/>
  <c r="AH99" i="13" s="1"/>
  <c r="AG99" i="13" a="1"/>
  <c r="AJ99" i="13" s="1"/>
  <c r="AM99" i="13" a="1"/>
  <c r="AO99" i="13" a="1"/>
  <c r="AR99" i="13" s="1"/>
  <c r="AN99" i="13" a="1"/>
  <c r="AP99" i="13" s="1"/>
  <c r="AE98" i="13" a="1"/>
  <c r="AG98" i="13" a="1"/>
  <c r="AJ98" i="13" s="1"/>
  <c r="AF98" i="13" a="1"/>
  <c r="AH98" i="13" s="1"/>
  <c r="AO98" i="13" a="1"/>
  <c r="AR98" i="13" s="1"/>
  <c r="AM98" i="13" a="1"/>
  <c r="AN98" i="13" a="1"/>
  <c r="AP98" i="13" s="1"/>
  <c r="AE97" i="13" a="1"/>
  <c r="AF97" i="13" a="1"/>
  <c r="AH97" i="13" s="1"/>
  <c r="AG97" i="13" a="1"/>
  <c r="AJ97" i="13" s="1"/>
  <c r="AN97" i="13" a="1"/>
  <c r="AP97" i="13" s="1"/>
  <c r="AO97" i="13" a="1"/>
  <c r="AR97" i="13" s="1"/>
  <c r="AM97" i="13" a="1"/>
  <c r="AG96" i="13" a="1"/>
  <c r="AJ96" i="13" s="1"/>
  <c r="AE96" i="13" a="1"/>
  <c r="AF96" i="13" a="1"/>
  <c r="AH96" i="13" s="1"/>
  <c r="AM96" i="13" a="1"/>
  <c r="AO96" i="13" a="1"/>
  <c r="AR96" i="13" s="1"/>
  <c r="AN96" i="13" a="1"/>
  <c r="AP96" i="13" s="1"/>
  <c r="AE95" i="13" a="1"/>
  <c r="AF95" i="13" a="1"/>
  <c r="AH95" i="13" s="1"/>
  <c r="AG95" i="13" a="1"/>
  <c r="AJ95" i="13" s="1"/>
  <c r="AM95" i="13" a="1"/>
  <c r="AO95" i="13" a="1"/>
  <c r="AR95" i="13" s="1"/>
  <c r="AN95" i="13" a="1"/>
  <c r="AP95" i="13" s="1"/>
  <c r="AE94" i="13" a="1"/>
  <c r="AF94" i="13" a="1"/>
  <c r="AH94" i="13" s="1"/>
  <c r="AG94" i="13" a="1"/>
  <c r="AJ94" i="13" s="1"/>
  <c r="AM94" i="13" a="1"/>
  <c r="AN94" i="13" a="1"/>
  <c r="AP94" i="13" s="1"/>
  <c r="AO94" i="13" a="1"/>
  <c r="AR94" i="13" s="1"/>
  <c r="AE93" i="13" a="1"/>
  <c r="AF93" i="13" a="1"/>
  <c r="AH93" i="13" s="1"/>
  <c r="AG93" i="13" a="1"/>
  <c r="AJ93" i="13" s="1"/>
  <c r="AO93" i="13" a="1"/>
  <c r="AR93" i="13" s="1"/>
  <c r="AM93" i="13" a="1"/>
  <c r="AN93" i="13" a="1"/>
  <c r="AP93" i="13" s="1"/>
  <c r="AF92" i="13" a="1"/>
  <c r="AH92" i="13" s="1"/>
  <c r="AG92" i="13" a="1"/>
  <c r="AJ92" i="13" s="1"/>
  <c r="AE92" i="13" a="1"/>
  <c r="AM92" i="13" a="1"/>
  <c r="AN92" i="13" a="1"/>
  <c r="AP92" i="13" s="1"/>
  <c r="AO92" i="13" a="1"/>
  <c r="AR92" i="13" s="1"/>
  <c r="AF91" i="13" a="1"/>
  <c r="AH91" i="13" s="1"/>
  <c r="AE91" i="13" a="1"/>
  <c r="AG91" i="13" a="1"/>
  <c r="AJ91" i="13" s="1"/>
  <c r="AM91" i="13" a="1"/>
  <c r="AN91" i="13" a="1"/>
  <c r="AP91" i="13" s="1"/>
  <c r="AO91" i="13" a="1"/>
  <c r="AR91" i="13" s="1"/>
  <c r="AF90" i="13" a="1"/>
  <c r="AH90" i="13" s="1"/>
  <c r="AE90" i="13" a="1"/>
  <c r="AG90" i="13" a="1"/>
  <c r="AJ90" i="13" s="1"/>
  <c r="AM90" i="13" a="1"/>
  <c r="AN90" i="13" a="1"/>
  <c r="AP90" i="13" s="1"/>
  <c r="AO90" i="13" a="1"/>
  <c r="AR90" i="13" s="1"/>
  <c r="AE89" i="13" a="1"/>
  <c r="AG89" i="13" a="1"/>
  <c r="AJ89" i="13" s="1"/>
  <c r="AF89" i="13" a="1"/>
  <c r="AH89" i="13" s="1"/>
  <c r="AM89" i="13" a="1"/>
  <c r="AN89" i="13" a="1"/>
  <c r="AP89" i="13" s="1"/>
  <c r="AO89" i="13" a="1"/>
  <c r="AR89" i="13" s="1"/>
  <c r="AE88" i="13" a="1"/>
  <c r="AF88" i="13" a="1"/>
  <c r="AH88" i="13" s="1"/>
  <c r="AG88" i="13" a="1"/>
  <c r="AJ88" i="13" s="1"/>
  <c r="AO88" i="13" a="1"/>
  <c r="AR88" i="13" s="1"/>
  <c r="AM88" i="13" a="1"/>
  <c r="AN88" i="13" a="1"/>
  <c r="AP88" i="13" s="1"/>
  <c r="AE87" i="13" a="1"/>
  <c r="AG87" i="13" a="1"/>
  <c r="AJ87" i="13" s="1"/>
  <c r="AF87" i="13" a="1"/>
  <c r="AH87" i="13" s="1"/>
  <c r="AO87" i="13" a="1"/>
  <c r="AR87" i="13" s="1"/>
  <c r="AM87" i="13" a="1"/>
  <c r="AN87" i="13" a="1"/>
  <c r="AP87" i="13" s="1"/>
  <c r="AG86" i="13" a="1"/>
  <c r="AJ86" i="13" s="1"/>
  <c r="AE86" i="13" a="1"/>
  <c r="AF86" i="13" a="1"/>
  <c r="AH86" i="13" s="1"/>
  <c r="AO86" i="13" a="1"/>
  <c r="AR86" i="13" s="1"/>
  <c r="AM86" i="13" a="1"/>
  <c r="AN86" i="13" a="1"/>
  <c r="AP86" i="13" s="1"/>
  <c r="AG85" i="13" a="1"/>
  <c r="AJ85" i="13" s="1"/>
  <c r="AE85" i="13" a="1"/>
  <c r="AF85" i="13" a="1"/>
  <c r="AH85" i="13" s="1"/>
  <c r="AO85" i="13" a="1"/>
  <c r="AR85" i="13" s="1"/>
  <c r="AM85" i="13" a="1"/>
  <c r="AN85" i="13" a="1"/>
  <c r="AP85" i="13" s="1"/>
  <c r="AG84" i="13" a="1"/>
  <c r="AJ84" i="13" s="1"/>
  <c r="AF84" i="13" a="1"/>
  <c r="AH84" i="13" s="1"/>
  <c r="AE84" i="13" a="1"/>
  <c r="AM84" i="13" a="1"/>
  <c r="AN84" i="13" a="1"/>
  <c r="AP84" i="13" s="1"/>
  <c r="AO84" i="13" a="1"/>
  <c r="AR84" i="13" s="1"/>
  <c r="AG83" i="13" a="1"/>
  <c r="AJ83" i="13" s="1"/>
  <c r="AF83" i="13" a="1"/>
  <c r="AH83" i="13" s="1"/>
  <c r="AE83" i="13" a="1"/>
  <c r="AM83" i="13" a="1"/>
  <c r="AN83" i="13" a="1"/>
  <c r="AP83" i="13" s="1"/>
  <c r="AO83" i="13" a="1"/>
  <c r="AR83" i="13" s="1"/>
  <c r="AE82" i="13" a="1"/>
  <c r="AF82" i="13" a="1"/>
  <c r="AH82" i="13" s="1"/>
  <c r="AG82" i="13" a="1"/>
  <c r="AJ82" i="13" s="1"/>
  <c r="AM82" i="13" a="1"/>
  <c r="AN82" i="13" a="1"/>
  <c r="AP82" i="13" s="1"/>
  <c r="AO82" i="13" a="1"/>
  <c r="AR82" i="13" s="1"/>
  <c r="AE81" i="13" a="1"/>
  <c r="AF81" i="13" a="1"/>
  <c r="AH81" i="13" s="1"/>
  <c r="AG81" i="13" a="1"/>
  <c r="AJ81" i="13" s="1"/>
  <c r="AN81" i="13" a="1"/>
  <c r="AP81" i="13" s="1"/>
  <c r="AM81" i="13" a="1"/>
  <c r="AO81" i="13" a="1"/>
  <c r="AR81" i="13" s="1"/>
  <c r="AG80" i="13" a="1"/>
  <c r="AJ80" i="13" s="1"/>
  <c r="AF80" i="13" a="1"/>
  <c r="AH80" i="13" s="1"/>
  <c r="AE80" i="13" a="1"/>
  <c r="AO80" i="13" a="1"/>
  <c r="AR80" i="13" s="1"/>
  <c r="AM80" i="13" a="1"/>
  <c r="AN80" i="13" a="1"/>
  <c r="AP80" i="13" s="1"/>
  <c r="AE79" i="13" a="1"/>
  <c r="AF79" i="13" a="1"/>
  <c r="AH79" i="13" s="1"/>
  <c r="AG79" i="13" a="1"/>
  <c r="AJ79" i="13" s="1"/>
  <c r="AM79" i="13" a="1"/>
  <c r="AN79" i="13" a="1"/>
  <c r="AP79" i="13" s="1"/>
  <c r="AO79" i="13" a="1"/>
  <c r="AR79" i="13" s="1"/>
  <c r="AG78" i="13" a="1"/>
  <c r="AJ78" i="13" s="1"/>
  <c r="AF78" i="13" a="1"/>
  <c r="AH78" i="13" s="1"/>
  <c r="AE78" i="13" a="1"/>
  <c r="AO78" i="13" a="1"/>
  <c r="AR78" i="13" s="1"/>
  <c r="AM78" i="13" a="1"/>
  <c r="AN78" i="13" a="1"/>
  <c r="AP78" i="13" s="1"/>
  <c r="AG77" i="13" a="1"/>
  <c r="AJ77" i="13" s="1"/>
  <c r="AE77" i="13" a="1"/>
  <c r="AF77" i="13" a="1"/>
  <c r="AH77" i="13" s="1"/>
  <c r="AO77" i="13" a="1"/>
  <c r="AR77" i="13" s="1"/>
  <c r="AM77" i="13" a="1"/>
  <c r="AN77" i="13" a="1"/>
  <c r="AP77" i="13" s="1"/>
  <c r="AF76" i="13" a="1"/>
  <c r="AH76" i="13" s="1"/>
  <c r="AG76" i="13" a="1"/>
  <c r="AJ76" i="13" s="1"/>
  <c r="AE76" i="13" a="1"/>
  <c r="AO76" i="13" a="1"/>
  <c r="AR76" i="13" s="1"/>
  <c r="AM76" i="13" a="1"/>
  <c r="AN76" i="13" a="1"/>
  <c r="AP76" i="13" s="1"/>
  <c r="AG75" i="13" a="1"/>
  <c r="AJ75" i="13" s="1"/>
  <c r="AF75" i="13" a="1"/>
  <c r="AH75" i="13" s="1"/>
  <c r="AE75" i="13" a="1"/>
  <c r="AM75" i="13" a="1"/>
  <c r="AO75" i="13" a="1"/>
  <c r="AR75" i="13" s="1"/>
  <c r="AN75" i="13" a="1"/>
  <c r="AP75" i="13" s="1"/>
  <c r="AG74" i="13" a="1"/>
  <c r="AJ74" i="13" s="1"/>
  <c r="AE74" i="13" a="1"/>
  <c r="AF74" i="13" a="1"/>
  <c r="AH74" i="13" s="1"/>
  <c r="AM74" i="13" a="1"/>
  <c r="AN74" i="13" a="1"/>
  <c r="AP74" i="13" s="1"/>
  <c r="AO74" i="13" a="1"/>
  <c r="AR74" i="13" s="1"/>
  <c r="AG73" i="13" a="1"/>
  <c r="AJ73" i="13" s="1"/>
  <c r="AF73" i="13" a="1"/>
  <c r="AH73" i="13" s="1"/>
  <c r="AE73" i="13" a="1"/>
  <c r="AO73" i="13" a="1"/>
  <c r="AR73" i="13" s="1"/>
  <c r="AM73" i="13" a="1"/>
  <c r="AN73" i="13" a="1"/>
  <c r="AP73" i="13" s="1"/>
  <c r="AE72" i="13" a="1"/>
  <c r="AF72" i="13" a="1"/>
  <c r="AH72" i="13" s="1"/>
  <c r="AG72" i="13" a="1"/>
  <c r="AJ72" i="13" s="1"/>
  <c r="AM72" i="13" a="1"/>
  <c r="AN72" i="13" a="1"/>
  <c r="AP72" i="13" s="1"/>
  <c r="AO72" i="13" a="1"/>
  <c r="AR72" i="13" s="1"/>
  <c r="AE71" i="13" a="1"/>
  <c r="AF71" i="13" a="1"/>
  <c r="AH71" i="13" s="1"/>
  <c r="AG71" i="13" a="1"/>
  <c r="AJ71" i="13" s="1"/>
  <c r="AM71" i="13" a="1"/>
  <c r="AN71" i="13" a="1"/>
  <c r="AP71" i="13" s="1"/>
  <c r="AO71" i="13" a="1"/>
  <c r="AR71" i="13" s="1"/>
  <c r="AF70" i="13" a="1"/>
  <c r="AH70" i="13" s="1"/>
  <c r="AG70" i="13" a="1"/>
  <c r="AJ70" i="13" s="1"/>
  <c r="AE70" i="13" a="1"/>
  <c r="AM70" i="13" a="1"/>
  <c r="AN70" i="13" a="1"/>
  <c r="AP70" i="13" s="1"/>
  <c r="AO70" i="13" a="1"/>
  <c r="AR70" i="13" s="1"/>
  <c r="AF69" i="13" a="1"/>
  <c r="AH69" i="13" s="1"/>
  <c r="AE69" i="13" a="1"/>
  <c r="AG69" i="13" a="1"/>
  <c r="AJ69" i="13" s="1"/>
  <c r="AO69" i="13" a="1"/>
  <c r="AR69" i="13" s="1"/>
  <c r="AM69" i="13" a="1"/>
  <c r="AN69" i="13" a="1"/>
  <c r="AP69" i="13" s="1"/>
  <c r="AG68" i="13" a="1"/>
  <c r="AJ68" i="13" s="1"/>
  <c r="AF68" i="13" a="1"/>
  <c r="AH68" i="13" s="1"/>
  <c r="AE68" i="13" a="1"/>
  <c r="AN68" i="13" a="1"/>
  <c r="AP68" i="13" s="1"/>
  <c r="AM68" i="13" a="1"/>
  <c r="AO68" i="13" a="1"/>
  <c r="AR68" i="13" s="1"/>
  <c r="AF67" i="13" a="1"/>
  <c r="AH67" i="13" s="1"/>
  <c r="AG67" i="13" a="1"/>
  <c r="AJ67" i="13" s="1"/>
  <c r="AE67" i="13" a="1"/>
  <c r="AM67" i="13" a="1"/>
  <c r="AN67" i="13" a="1"/>
  <c r="AP67" i="13" s="1"/>
  <c r="AO67" i="13" a="1"/>
  <c r="AR67" i="13" s="1"/>
  <c r="AE66" i="13" a="1"/>
  <c r="AG66" i="13" a="1"/>
  <c r="AJ66" i="13" s="1"/>
  <c r="AF66" i="13" a="1"/>
  <c r="AH66" i="13" s="1"/>
  <c r="AN66" i="13" a="1"/>
  <c r="AP66" i="13" s="1"/>
  <c r="AO66" i="13" a="1"/>
  <c r="AR66" i="13" s="1"/>
  <c r="AM66" i="13" a="1"/>
  <c r="AE65" i="13" a="1"/>
  <c r="AG65" i="13" a="1"/>
  <c r="AJ65" i="13" s="1"/>
  <c r="AF65" i="13" a="1"/>
  <c r="AH65" i="13" s="1"/>
  <c r="AO65" i="13" a="1"/>
  <c r="AR65" i="13" s="1"/>
  <c r="AM65" i="13" a="1"/>
  <c r="AN65" i="13" a="1"/>
  <c r="AP65" i="13" s="1"/>
  <c r="AE64" i="13" a="1"/>
  <c r="AF64" i="13" a="1"/>
  <c r="AH64" i="13" s="1"/>
  <c r="AG64" i="13" a="1"/>
  <c r="AJ64" i="13" s="1"/>
  <c r="AM64" i="13" a="1"/>
  <c r="AN64" i="13" a="1"/>
  <c r="AP64" i="13" s="1"/>
  <c r="AO64" i="13" a="1"/>
  <c r="AR64" i="13" s="1"/>
  <c r="AE63" i="13" a="1"/>
  <c r="AF63" i="13" a="1"/>
  <c r="AH63" i="13" s="1"/>
  <c r="AG63" i="13" a="1"/>
  <c r="AJ63" i="13" s="1"/>
  <c r="AO63" i="13" a="1"/>
  <c r="AR63" i="13" s="1"/>
  <c r="AN63" i="13" a="1"/>
  <c r="AP63" i="13" s="1"/>
  <c r="AM63" i="13" a="1"/>
  <c r="AG62" i="13" a="1"/>
  <c r="AJ62" i="13" s="1"/>
  <c r="AE62" i="13" a="1"/>
  <c r="AF62" i="13" a="1"/>
  <c r="AH62" i="13" s="1"/>
  <c r="AN62" i="13" a="1"/>
  <c r="AP62" i="13" s="1"/>
  <c r="AO62" i="13" a="1"/>
  <c r="AR62" i="13" s="1"/>
  <c r="AM62" i="13" a="1"/>
  <c r="AG61" i="13" a="1"/>
  <c r="AJ61" i="13" s="1"/>
  <c r="AF61" i="13" a="1"/>
  <c r="AH61" i="13" s="1"/>
  <c r="AE61" i="13" a="1"/>
  <c r="AO61" i="13" a="1"/>
  <c r="AR61" i="13" s="1"/>
  <c r="AM61" i="13" a="1"/>
  <c r="AN61" i="13" a="1"/>
  <c r="AP61" i="13" s="1"/>
  <c r="AF60" i="13" a="1"/>
  <c r="AH60" i="13" s="1"/>
  <c r="AG60" i="13" a="1"/>
  <c r="AJ60" i="13" s="1"/>
  <c r="AE60" i="13" a="1"/>
  <c r="AO60" i="13" a="1"/>
  <c r="AR60" i="13" s="1"/>
  <c r="AM60" i="13" a="1"/>
  <c r="AN60" i="13" a="1"/>
  <c r="AP60" i="13" s="1"/>
  <c r="AF59" i="13" a="1"/>
  <c r="AH59" i="13" s="1"/>
  <c r="AE59" i="13" a="1"/>
  <c r="AG59" i="13" a="1"/>
  <c r="AJ59" i="13" s="1"/>
  <c r="AO59" i="13" a="1"/>
  <c r="AR59" i="13" s="1"/>
  <c r="AM59" i="13" a="1"/>
  <c r="AN59" i="13" a="1"/>
  <c r="AP59" i="13" s="1"/>
  <c r="AF58" i="13" a="1"/>
  <c r="AH58" i="13" s="1"/>
  <c r="AE58" i="13" a="1"/>
  <c r="AG58" i="13" a="1"/>
  <c r="AJ58" i="13" s="1"/>
  <c r="AN58" i="13" a="1"/>
  <c r="AP58" i="13" s="1"/>
  <c r="AM58" i="13" a="1"/>
  <c r="AO58" i="13" a="1"/>
  <c r="AR58" i="13" s="1"/>
  <c r="AE57" i="13" a="1"/>
  <c r="AG57" i="13" a="1"/>
  <c r="AJ57" i="13" s="1"/>
  <c r="AF57" i="13" a="1"/>
  <c r="AH57" i="13" s="1"/>
  <c r="AM57" i="13" a="1"/>
  <c r="AO57" i="13" a="1"/>
  <c r="AR57" i="13" s="1"/>
  <c r="AN57" i="13" a="1"/>
  <c r="AP57" i="13" s="1"/>
  <c r="AE56" i="13" a="1"/>
  <c r="AF56" i="13" a="1"/>
  <c r="AH56" i="13" s="1"/>
  <c r="AG56" i="13" a="1"/>
  <c r="AJ56" i="13" s="1"/>
  <c r="AN56" i="13" a="1"/>
  <c r="AP56" i="13" s="1"/>
  <c r="AM56" i="13" a="1"/>
  <c r="AO56" i="13" a="1"/>
  <c r="AR56" i="13" s="1"/>
  <c r="AG55" i="13" a="1"/>
  <c r="AJ55" i="13" s="1"/>
  <c r="AE55" i="13" a="1"/>
  <c r="AF55" i="13" a="1"/>
  <c r="AH55" i="13" s="1"/>
  <c r="AN55" i="13" a="1"/>
  <c r="AP55" i="13" s="1"/>
  <c r="AO55" i="13" a="1"/>
  <c r="AR55" i="13" s="1"/>
  <c r="AM55" i="13" a="1"/>
  <c r="AF54" i="13" a="1"/>
  <c r="AH54" i="13" s="1"/>
  <c r="AG54" i="13" a="1"/>
  <c r="AJ54" i="13" s="1"/>
  <c r="AE54" i="13" a="1"/>
  <c r="AM54" i="13" a="1"/>
  <c r="AN54" i="13" a="1"/>
  <c r="AP54" i="13" s="1"/>
  <c r="AO54" i="13" a="1"/>
  <c r="AR54" i="13" s="1"/>
  <c r="AG53" i="13" a="1"/>
  <c r="AJ53" i="13" s="1"/>
  <c r="AF53" i="13" a="1"/>
  <c r="AH53" i="13" s="1"/>
  <c r="AE53" i="13" a="1"/>
  <c r="AO53" i="13" a="1"/>
  <c r="AR53" i="13" s="1"/>
  <c r="AM53" i="13" a="1"/>
  <c r="AN53" i="13" a="1"/>
  <c r="AP53" i="13" s="1"/>
  <c r="AG52" i="13" a="1"/>
  <c r="AJ52" i="13" s="1"/>
  <c r="AF52" i="13" a="1"/>
  <c r="AH52" i="13" s="1"/>
  <c r="AE52" i="13" a="1"/>
  <c r="AN52" i="13" a="1"/>
  <c r="AP52" i="13" s="1"/>
  <c r="AM52" i="13" a="1"/>
  <c r="AO52" i="13" a="1"/>
  <c r="AR52" i="13" s="1"/>
  <c r="AE51" i="13" a="1"/>
  <c r="AF51" i="13" a="1"/>
  <c r="AH51" i="13" s="1"/>
  <c r="AG51" i="13" a="1"/>
  <c r="AJ51" i="13" s="1"/>
  <c r="AN51" i="13" a="1"/>
  <c r="AP51" i="13" s="1"/>
  <c r="AM51" i="13" a="1"/>
  <c r="AO51" i="13" a="1"/>
  <c r="AR51" i="13" s="1"/>
  <c r="AF50" i="13" a="1"/>
  <c r="AH50" i="13" s="1"/>
  <c r="AG50" i="13" a="1"/>
  <c r="AJ50" i="13" s="1"/>
  <c r="AE50" i="13" a="1"/>
  <c r="AM50" i="13" a="1"/>
  <c r="AN50" i="13" a="1"/>
  <c r="AP50" i="13" s="1"/>
  <c r="AO50" i="13" a="1"/>
  <c r="AR50" i="13" s="1"/>
  <c r="AE49" i="13" a="1"/>
  <c r="AF49" i="13" a="1"/>
  <c r="AH49" i="13" s="1"/>
  <c r="AG49" i="13" a="1"/>
  <c r="AJ49" i="13" s="1"/>
  <c r="AO49" i="13" a="1"/>
  <c r="AR49" i="13" s="1"/>
  <c r="AN49" i="13" a="1"/>
  <c r="AP49" i="13" s="1"/>
  <c r="AM49" i="13" a="1"/>
  <c r="AE48" i="13" a="1"/>
  <c r="AG48" i="13" a="1"/>
  <c r="AJ48" i="13" s="1"/>
  <c r="AF48" i="13" a="1"/>
  <c r="AH48" i="13" s="1"/>
  <c r="AM48" i="13" a="1"/>
  <c r="AN48" i="13" a="1"/>
  <c r="AP48" i="13" s="1"/>
  <c r="AO48" i="13" a="1"/>
  <c r="AR48" i="13" s="1"/>
  <c r="AF47" i="13" a="1"/>
  <c r="AH47" i="13" s="1"/>
  <c r="AG47" i="13" a="1"/>
  <c r="AJ47" i="13" s="1"/>
  <c r="AE47" i="13" a="1"/>
  <c r="AO47" i="13" a="1"/>
  <c r="AR47" i="13" s="1"/>
  <c r="AM47" i="13" a="1"/>
  <c r="AN47" i="13" a="1"/>
  <c r="AP47" i="13" s="1"/>
  <c r="AF46" i="13" a="1"/>
  <c r="AH46" i="13" s="1"/>
  <c r="AE46" i="13" a="1"/>
  <c r="AG46" i="13" a="1"/>
  <c r="AJ46" i="13" s="1"/>
  <c r="AO46" i="13" a="1"/>
  <c r="AR46" i="13" s="1"/>
  <c r="AM46" i="13" a="1"/>
  <c r="AN46" i="13" a="1"/>
  <c r="AP46" i="13" s="1"/>
  <c r="AE45" i="13" a="1"/>
  <c r="AF45" i="13" a="1"/>
  <c r="AH45" i="13" s="1"/>
  <c r="AG45" i="13" a="1"/>
  <c r="AJ45" i="13" s="1"/>
  <c r="AO45" i="13" a="1"/>
  <c r="AR45" i="13" s="1"/>
  <c r="AM45" i="13" a="1"/>
  <c r="AN45" i="13" a="1"/>
  <c r="AP45" i="13" s="1"/>
  <c r="AG44" i="13" a="1"/>
  <c r="AJ44" i="13" s="1"/>
  <c r="AF44" i="13" a="1"/>
  <c r="AH44" i="13" s="1"/>
  <c r="AE44" i="13" a="1"/>
  <c r="AM44" i="13" a="1"/>
  <c r="AN44" i="13" a="1"/>
  <c r="AP44" i="13" s="1"/>
  <c r="AO44" i="13" a="1"/>
  <c r="AR44" i="13" s="1"/>
  <c r="AE43" i="13" a="1"/>
  <c r="AG43" i="13" a="1"/>
  <c r="AJ43" i="13" s="1"/>
  <c r="AF43" i="13" a="1"/>
  <c r="AH43" i="13" s="1"/>
  <c r="AM43" i="13" a="1"/>
  <c r="AO43" i="13" a="1"/>
  <c r="AR43" i="13" s="1"/>
  <c r="AN43" i="13" a="1"/>
  <c r="AP43" i="13" s="1"/>
  <c r="AF42" i="13" a="1"/>
  <c r="AH42" i="13" s="1"/>
  <c r="AG42" i="13" a="1"/>
  <c r="AJ42" i="13" s="1"/>
  <c r="AE42" i="13" a="1"/>
  <c r="AM42" i="13" a="1"/>
  <c r="AN42" i="13" a="1"/>
  <c r="AP42" i="13" s="1"/>
  <c r="AO42" i="13" a="1"/>
  <c r="AR42" i="13" s="1"/>
  <c r="AG41" i="13" a="1"/>
  <c r="AJ41" i="13" s="1"/>
  <c r="AE41" i="13" a="1"/>
  <c r="AF41" i="13" a="1"/>
  <c r="AH41" i="13" s="1"/>
  <c r="AM41" i="13" a="1"/>
  <c r="AN41" i="13" a="1"/>
  <c r="AP41" i="13" s="1"/>
  <c r="AO41" i="13" a="1"/>
  <c r="AR41" i="13" s="1"/>
  <c r="AF40" i="13" a="1"/>
  <c r="AH40" i="13" s="1"/>
  <c r="AG40" i="13" a="1"/>
  <c r="AJ40" i="13" s="1"/>
  <c r="AE40" i="13" a="1"/>
  <c r="AO40" i="13" a="1"/>
  <c r="AR40" i="13" s="1"/>
  <c r="AM40" i="13" a="1"/>
  <c r="AN40" i="13" a="1"/>
  <c r="AP40" i="13" s="1"/>
  <c r="AG39" i="13" a="1"/>
  <c r="AJ39" i="13" s="1"/>
  <c r="AE39" i="13" a="1"/>
  <c r="AF39" i="13" a="1"/>
  <c r="AH39" i="13" s="1"/>
  <c r="AN39" i="13" a="1"/>
  <c r="AP39" i="13" s="1"/>
  <c r="AM39" i="13" a="1"/>
  <c r="AO39" i="13" a="1"/>
  <c r="AR39" i="13" s="1"/>
  <c r="AE38" i="13" a="1"/>
  <c r="AF38" i="13" a="1"/>
  <c r="AH38" i="13" s="1"/>
  <c r="AG38" i="13" a="1"/>
  <c r="AJ38" i="13" s="1"/>
  <c r="AM38" i="13" a="1"/>
  <c r="AN38" i="13" a="1"/>
  <c r="AP38" i="13" s="1"/>
  <c r="AO38" i="13" a="1"/>
  <c r="AR38" i="13" s="1"/>
  <c r="AE37" i="13" a="1"/>
  <c r="AF37" i="13" a="1"/>
  <c r="AH37" i="13" s="1"/>
  <c r="AG37" i="13" a="1"/>
  <c r="AJ37" i="13" s="1"/>
  <c r="AM37" i="13" a="1"/>
  <c r="AN37" i="13" a="1"/>
  <c r="AP37" i="13" s="1"/>
  <c r="AO37" i="13" a="1"/>
  <c r="AR37" i="13" s="1"/>
  <c r="AG36" i="13" a="1"/>
  <c r="AJ36" i="13" s="1"/>
  <c r="AE36" i="13" a="1"/>
  <c r="AF36" i="13" a="1"/>
  <c r="AH36" i="13" s="1"/>
  <c r="AO36" i="13" a="1"/>
  <c r="AR36" i="13" s="1"/>
  <c r="AN36" i="13" a="1"/>
  <c r="AP36" i="13" s="1"/>
  <c r="AM36" i="13" a="1"/>
  <c r="AG35" i="13" a="1"/>
  <c r="AJ35" i="13" s="1"/>
  <c r="AE35" i="13" a="1"/>
  <c r="AF35" i="13" a="1"/>
  <c r="AH35" i="13" s="1"/>
  <c r="AM35" i="13" a="1"/>
  <c r="AN35" i="13" a="1"/>
  <c r="AP35" i="13" s="1"/>
  <c r="AO35" i="13" a="1"/>
  <c r="AR35" i="13" s="1"/>
  <c r="AE34" i="13" a="1"/>
  <c r="AF34" i="13" a="1"/>
  <c r="AH34" i="13" s="1"/>
  <c r="AG34" i="13" a="1"/>
  <c r="AJ34" i="13" s="1"/>
  <c r="AM34" i="13" a="1"/>
  <c r="AN34" i="13" a="1"/>
  <c r="AP34" i="13" s="1"/>
  <c r="AO34" i="13" a="1"/>
  <c r="AR34" i="13" s="1"/>
  <c r="AG33" i="13" a="1"/>
  <c r="AJ33" i="13" s="1"/>
  <c r="AE33" i="13" a="1"/>
  <c r="AF33" i="13" a="1"/>
  <c r="AH33" i="13" s="1"/>
  <c r="AO33" i="13" a="1"/>
  <c r="AR33" i="13" s="1"/>
  <c r="AN33" i="13" a="1"/>
  <c r="AP33" i="13" s="1"/>
  <c r="AM33" i="13" a="1"/>
  <c r="AG32" i="13" a="1"/>
  <c r="AJ32" i="13" s="1"/>
  <c r="AE32" i="13" a="1"/>
  <c r="AF32" i="13" a="1"/>
  <c r="AH32" i="13" s="1"/>
  <c r="AN32" i="13" a="1"/>
  <c r="AP32" i="13" s="1"/>
  <c r="AO32" i="13" a="1"/>
  <c r="AR32" i="13" s="1"/>
  <c r="AM32" i="13" a="1"/>
  <c r="AE31" i="13" a="1"/>
  <c r="AF31" i="13" a="1"/>
  <c r="AH31" i="13" s="1"/>
  <c r="AG31" i="13" a="1"/>
  <c r="AJ31" i="13" s="1"/>
  <c r="AN31" i="13" a="1"/>
  <c r="AP31" i="13" s="1"/>
  <c r="AO31" i="13" a="1"/>
  <c r="AR31" i="13" s="1"/>
  <c r="AM31" i="13" a="1"/>
  <c r="AF30" i="13" a="1"/>
  <c r="AH30" i="13" s="1"/>
  <c r="AG30" i="13" a="1"/>
  <c r="AJ30" i="13" s="1"/>
  <c r="AE30" i="13" a="1"/>
  <c r="AN30" i="13" a="1"/>
  <c r="AP30" i="13" s="1"/>
  <c r="AO30" i="13" a="1"/>
  <c r="AR30" i="13" s="1"/>
  <c r="AM30" i="13" a="1"/>
  <c r="AF29" i="13" a="1"/>
  <c r="AH29" i="13" s="1"/>
  <c r="AG29" i="13" a="1"/>
  <c r="AJ29" i="13" s="1"/>
  <c r="AE29" i="13" a="1"/>
  <c r="AM29" i="13" a="1"/>
  <c r="AN29" i="13" a="1"/>
  <c r="AP29" i="13" s="1"/>
  <c r="AO29" i="13" a="1"/>
  <c r="AR29" i="13" s="1"/>
  <c r="AG28" i="13" a="1"/>
  <c r="AJ28" i="13" s="1"/>
  <c r="AF28" i="13" a="1"/>
  <c r="AH28" i="13" s="1"/>
  <c r="AE28" i="13" a="1"/>
  <c r="AM28" i="13" a="1"/>
  <c r="AN28" i="13" a="1"/>
  <c r="AP28" i="13" s="1"/>
  <c r="AO28" i="13" a="1"/>
  <c r="AR28" i="13" s="1"/>
  <c r="AF27" i="13" a="1"/>
  <c r="AH27" i="13" s="1"/>
  <c r="AG27" i="13" a="1"/>
  <c r="AJ27" i="13" s="1"/>
  <c r="AE27" i="13" a="1"/>
  <c r="AM27" i="13" a="1"/>
  <c r="AO27" i="13" a="1"/>
  <c r="AR27" i="13" s="1"/>
  <c r="AN27" i="13" a="1"/>
  <c r="AP27" i="13" s="1"/>
  <c r="AF26" i="13" a="1"/>
  <c r="AH26" i="13" s="1"/>
  <c r="AE26" i="13" a="1"/>
  <c r="AG26" i="13" a="1"/>
  <c r="AJ26" i="13" s="1"/>
  <c r="AM26" i="13" a="1"/>
  <c r="AO26" i="13" a="1"/>
  <c r="AR26" i="13" s="1"/>
  <c r="AN26" i="13" a="1"/>
  <c r="AP26" i="13" s="1"/>
  <c r="AG25" i="13" a="1"/>
  <c r="AJ25" i="13" s="1"/>
  <c r="AE25" i="13" a="1"/>
  <c r="AF25" i="13" a="1"/>
  <c r="AH25" i="13" s="1"/>
  <c r="AM25" i="13" a="1"/>
  <c r="AN25" i="13" a="1"/>
  <c r="AP25" i="13" s="1"/>
  <c r="AO25" i="13" a="1"/>
  <c r="AR25" i="13" s="1"/>
  <c r="AE24" i="13" a="1"/>
  <c r="AF24" i="13" a="1"/>
  <c r="AH24" i="13" s="1"/>
  <c r="AG24" i="13" a="1"/>
  <c r="AJ24" i="13" s="1"/>
  <c r="AN24" i="13" a="1"/>
  <c r="AP24" i="13" s="1"/>
  <c r="AM24" i="13" a="1"/>
  <c r="AO24" i="13" a="1"/>
  <c r="AR24" i="13" s="1"/>
  <c r="AF23" i="13" a="1"/>
  <c r="AH23" i="13" s="1"/>
  <c r="AG23" i="13" a="1"/>
  <c r="AJ23" i="13" s="1"/>
  <c r="AE23" i="13" a="1"/>
  <c r="AN23" i="13" a="1"/>
  <c r="AP23" i="13" s="1"/>
  <c r="AM23" i="13" a="1"/>
  <c r="AO23" i="13" a="1"/>
  <c r="AR23" i="13" s="1"/>
  <c r="AE22" i="13" a="1"/>
  <c r="AG22" i="13" a="1"/>
  <c r="AJ22" i="13" s="1"/>
  <c r="AF22" i="13" a="1"/>
  <c r="AH22" i="13" s="1"/>
  <c r="AN22" i="13" a="1"/>
  <c r="AP22" i="13" s="1"/>
  <c r="AM22" i="13" a="1"/>
  <c r="AO22" i="13" a="1"/>
  <c r="AR22" i="13" s="1"/>
  <c r="AE21" i="13" a="1"/>
  <c r="AG21" i="13" a="1"/>
  <c r="AJ21" i="13" s="1"/>
  <c r="AF21" i="13" a="1"/>
  <c r="AH21" i="13" s="1"/>
  <c r="AN21" i="13" a="1"/>
  <c r="AP21" i="13" s="1"/>
  <c r="AO21" i="13" a="1"/>
  <c r="AR21" i="13" s="1"/>
  <c r="AM21" i="13" a="1"/>
  <c r="AE20" i="13" a="1"/>
  <c r="AF20" i="13" a="1"/>
  <c r="AH20" i="13" s="1"/>
  <c r="AG20" i="13" a="1"/>
  <c r="AJ20" i="13" s="1"/>
  <c r="AN20" i="13" a="1"/>
  <c r="AP20" i="13" s="1"/>
  <c r="AM20" i="13" a="1"/>
  <c r="AO20" i="13" a="1"/>
  <c r="AR20" i="13" s="1"/>
  <c r="AG19" i="13" a="1"/>
  <c r="AJ19" i="13" s="1"/>
  <c r="AE19" i="13" a="1"/>
  <c r="AF19" i="13" a="1"/>
  <c r="AH19" i="13" s="1"/>
  <c r="AM19" i="13" a="1"/>
  <c r="AN19" i="13" a="1"/>
  <c r="AP19" i="13" s="1"/>
  <c r="AO19" i="13" a="1"/>
  <c r="AR19" i="13" s="1"/>
  <c r="AF18" i="13" a="1"/>
  <c r="AH18" i="13" s="1"/>
  <c r="AE18" i="13" a="1"/>
  <c r="AG18" i="13" a="1"/>
  <c r="AJ18" i="13" s="1"/>
  <c r="AM18" i="13" a="1"/>
  <c r="AN18" i="13" a="1"/>
  <c r="AP18" i="13" s="1"/>
  <c r="AO18" i="13" a="1"/>
  <c r="AR18" i="13" s="1"/>
  <c r="AG17" i="13" a="1"/>
  <c r="AJ17" i="13" s="1"/>
  <c r="AE17" i="13" a="1"/>
  <c r="AF17" i="13" a="1"/>
  <c r="AH17" i="13" s="1"/>
  <c r="AM17" i="13" a="1"/>
  <c r="AN17" i="13" a="1"/>
  <c r="AP17" i="13" s="1"/>
  <c r="AO17" i="13" a="1"/>
  <c r="AR17" i="13" s="1"/>
  <c r="AG16" i="13" a="1"/>
  <c r="AJ16" i="13" s="1"/>
  <c r="AF16" i="13" a="1"/>
  <c r="AH16" i="13" s="1"/>
  <c r="AE16" i="13" a="1"/>
  <c r="AM16" i="13" a="1"/>
  <c r="AN16" i="13" a="1"/>
  <c r="AP16" i="13" s="1"/>
  <c r="AO16" i="13" a="1"/>
  <c r="AR16" i="13" s="1"/>
  <c r="AF15" i="13" a="1"/>
  <c r="AH15" i="13" s="1"/>
  <c r="AE15" i="13" a="1"/>
  <c r="AG15" i="13" a="1"/>
  <c r="AJ15" i="13" s="1"/>
  <c r="AM15" i="13" a="1"/>
  <c r="AN15" i="13" a="1"/>
  <c r="AP15" i="13" s="1"/>
  <c r="AO15" i="13" a="1"/>
  <c r="AR15" i="13" s="1"/>
  <c r="AF14" i="13" a="1"/>
  <c r="AH14" i="13" s="1"/>
  <c r="AE14" i="13" a="1"/>
  <c r="AG14" i="13" a="1"/>
  <c r="AJ14" i="13" s="1"/>
  <c r="AM14" i="13" a="1"/>
  <c r="AN14" i="13" a="1"/>
  <c r="AP14" i="13" s="1"/>
  <c r="AO14" i="13" a="1"/>
  <c r="AR14" i="13" s="1"/>
  <c r="AF13" i="13" a="1"/>
  <c r="AH13" i="13" s="1"/>
  <c r="AG13" i="13" a="1"/>
  <c r="AJ13" i="13" s="1"/>
  <c r="AE13" i="13" a="1"/>
  <c r="AM13" i="13" a="1"/>
  <c r="AN13" i="13" a="1"/>
  <c r="AP13" i="13" s="1"/>
  <c r="AO13" i="13" a="1"/>
  <c r="AR13" i="13" s="1"/>
  <c r="AG12" i="13" a="1"/>
  <c r="AJ12" i="13" s="1"/>
  <c r="AF12" i="13" a="1"/>
  <c r="AH12" i="13" s="1"/>
  <c r="AE12" i="13" a="1"/>
  <c r="AM12" i="13" a="1"/>
  <c r="AN12" i="13" a="1"/>
  <c r="AP12" i="13" s="1"/>
  <c r="AO12" i="13" a="1"/>
  <c r="AR12" i="13" s="1"/>
  <c r="AG11" i="13" a="1"/>
  <c r="AJ11" i="13" s="1"/>
  <c r="AE11" i="13" a="1"/>
  <c r="AF11" i="13" a="1"/>
  <c r="AH11" i="13" s="1"/>
  <c r="AM11" i="13" a="1"/>
  <c r="AN11" i="13" a="1"/>
  <c r="AP11" i="13" s="1"/>
  <c r="AO11" i="13" a="1"/>
  <c r="AR11" i="13" s="1"/>
  <c r="AF10" i="13" a="1"/>
  <c r="AH10" i="13" s="1"/>
  <c r="AE10" i="13" a="1"/>
  <c r="AG10" i="13" a="1"/>
  <c r="AJ10" i="13" s="1"/>
  <c r="AM10" i="13" a="1"/>
  <c r="AN10" i="13" a="1"/>
  <c r="AP10" i="13" s="1"/>
  <c r="AO10" i="13" a="1"/>
  <c r="AR10" i="13" s="1"/>
  <c r="AG9" i="13" a="1"/>
  <c r="AJ9" i="13" s="1"/>
  <c r="AE9" i="13" a="1"/>
  <c r="AF9" i="13" a="1"/>
  <c r="AH9" i="13" s="1"/>
  <c r="AM9" i="13" a="1"/>
  <c r="AN9" i="13" a="1"/>
  <c r="AP9" i="13" s="1"/>
  <c r="AO9" i="13" a="1"/>
  <c r="AR9" i="13" s="1"/>
  <c r="BC192" i="2" a="1"/>
  <c r="BC191" i="2" a="1"/>
  <c r="BC190" i="2" a="1"/>
  <c r="BC189" i="2" a="1"/>
  <c r="BC188" i="2" a="1"/>
  <c r="BC187" i="2" a="1"/>
  <c r="BC186" i="2" a="1"/>
  <c r="BC185" i="2" a="1"/>
  <c r="BC184" i="2" a="1"/>
  <c r="BC183" i="2" a="1"/>
  <c r="BC182" i="2" a="1"/>
  <c r="BC181" i="2" a="1"/>
  <c r="BC180" i="2" a="1"/>
  <c r="BC179" i="2" a="1"/>
  <c r="BC178" i="2" a="1"/>
  <c r="BC177" i="2" a="1"/>
  <c r="BC176" i="2" a="1"/>
  <c r="BC175" i="2" a="1"/>
  <c r="BC174" i="2" a="1"/>
  <c r="BC173" i="2" a="1"/>
  <c r="BC172" i="2" a="1"/>
  <c r="BC171" i="2" a="1"/>
  <c r="BC170" i="2" a="1"/>
  <c r="BC169" i="2" a="1"/>
  <c r="BC168" i="2" a="1"/>
  <c r="BC167" i="2" a="1"/>
  <c r="BC166" i="2" a="1"/>
  <c r="BC165" i="2" a="1"/>
  <c r="BC164" i="2" a="1"/>
  <c r="BC163" i="2" a="1"/>
  <c r="BC162" i="2" a="1"/>
  <c r="BC161" i="2" a="1"/>
  <c r="BC160" i="2" a="1"/>
  <c r="BC159" i="2" a="1"/>
  <c r="BC158" i="2" a="1"/>
  <c r="BC157" i="2" a="1"/>
  <c r="BC156" i="2" a="1"/>
  <c r="AC774" i="12"/>
  <c r="AC753" i="12"/>
  <c r="AC620" i="12"/>
  <c r="AC1502" i="12"/>
  <c r="AC797" i="12"/>
  <c r="AC994" i="12"/>
  <c r="AC1460" i="12"/>
  <c r="AC726" i="12"/>
  <c r="AC837" i="12"/>
  <c r="AC809" i="12"/>
  <c r="AC811" i="12"/>
  <c r="AC771" i="12"/>
  <c r="AC1018" i="12"/>
  <c r="AC989" i="12"/>
  <c r="AC983" i="12"/>
  <c r="AC969" i="12"/>
  <c r="AC954" i="12"/>
  <c r="AC1100" i="12"/>
  <c r="AC781" i="12"/>
  <c r="AC1193" i="12"/>
  <c r="AC658" i="12"/>
  <c r="AC1506" i="12"/>
  <c r="AC959" i="12"/>
  <c r="AC807" i="12"/>
  <c r="AC1086" i="12"/>
  <c r="AC1087" i="12"/>
  <c r="AC1088" i="12"/>
  <c r="AC1041" i="12"/>
  <c r="AC873" i="12"/>
  <c r="AC874" i="12"/>
  <c r="AC862" i="12"/>
  <c r="AC851" i="12"/>
  <c r="AC823" i="12"/>
  <c r="AC826" i="12"/>
  <c r="AC803" i="12"/>
  <c r="AC805" i="12"/>
  <c r="AC1091" i="12"/>
  <c r="AC1073" i="12"/>
  <c r="AC864" i="12"/>
  <c r="AC832" i="12"/>
  <c r="AC728" i="12"/>
  <c r="AC739" i="12"/>
  <c r="AC685" i="12"/>
  <c r="AC1402" i="12"/>
  <c r="AC918" i="12"/>
  <c r="AC746" i="12"/>
  <c r="AC776" i="12"/>
  <c r="AC637" i="12"/>
  <c r="AC625" i="12"/>
  <c r="AC884" i="12"/>
  <c r="AC828" i="12"/>
  <c r="AC741" i="12"/>
  <c r="AC717" i="12"/>
  <c r="AC686" i="12"/>
  <c r="AC654" i="12"/>
  <c r="AC642" i="12"/>
  <c r="AC868" i="12"/>
  <c r="AC742" i="12"/>
  <c r="AC721" i="12"/>
  <c r="AC679" i="12"/>
  <c r="AC668" i="12"/>
  <c r="AC1509" i="12"/>
  <c r="G11" i="3"/>
  <c r="AC929" i="12"/>
  <c r="AC947" i="12"/>
  <c r="AC913" i="12"/>
  <c r="AC897" i="12"/>
  <c r="AC991" i="12"/>
  <c r="AC972" i="12"/>
  <c r="AC773" i="12"/>
  <c r="B30" i="3"/>
  <c r="AC940" i="12"/>
  <c r="AC926" i="12"/>
  <c r="AC912" i="12"/>
  <c r="AC919" i="12"/>
  <c r="AC921" i="12"/>
  <c r="AC900" i="12"/>
  <c r="AC907" i="12"/>
  <c r="AC724" i="12"/>
  <c r="AC1452" i="12"/>
  <c r="AC908" i="12"/>
  <c r="AC957" i="12"/>
  <c r="AC1034" i="12"/>
  <c r="AC968" i="12"/>
  <c r="AC973" i="12"/>
  <c r="AC775" i="12"/>
  <c r="AC640" i="12"/>
  <c r="AC623" i="12"/>
  <c r="AC1020" i="12"/>
  <c r="AC687" i="12"/>
  <c r="AC676" i="12"/>
  <c r="AC683" i="12"/>
  <c r="AC635" i="12"/>
  <c r="AC740" i="12"/>
  <c r="AC639" i="12"/>
  <c r="AC780" i="12"/>
  <c r="AC997" i="12"/>
  <c r="AC986" i="12"/>
  <c r="AC987" i="12"/>
  <c r="AC688" i="12"/>
  <c r="AC765" i="12"/>
  <c r="AC767" i="12"/>
  <c r="AC745" i="12"/>
  <c r="AC697" i="12"/>
  <c r="AC624" i="12"/>
  <c r="AC629" i="12"/>
  <c r="AC993" i="12"/>
  <c r="AC810" i="12"/>
  <c r="AC735" i="12"/>
  <c r="AC669" i="12"/>
  <c r="AC670" i="12"/>
  <c r="AC621" i="12"/>
  <c r="AC622" i="12"/>
  <c r="AS42" i="2" a="1"/>
  <c r="CF42" i="2" a="1"/>
  <c r="AS5" i="2" a="1"/>
  <c r="CF5" i="2" a="1"/>
  <c r="AS7" i="2" a="1"/>
  <c r="CF7" i="2" a="1"/>
  <c r="AS122" i="2" a="1"/>
  <c r="CF122" i="2" a="1"/>
  <c r="AS121" i="2" a="1"/>
  <c r="CF121" i="2" a="1"/>
  <c r="AS120" i="2" a="1"/>
  <c r="CF120" i="2" a="1"/>
  <c r="AS119" i="2" a="1"/>
  <c r="CF119" i="2" a="1"/>
  <c r="AS118" i="2" a="1"/>
  <c r="CF118" i="2" a="1"/>
  <c r="AS117" i="2" a="1"/>
  <c r="CF117" i="2" a="1"/>
  <c r="AS116" i="2" a="1"/>
  <c r="CF116" i="2" a="1"/>
  <c r="AS115" i="2" a="1"/>
  <c r="CF115" i="2" a="1"/>
  <c r="AS114" i="2" a="1"/>
  <c r="CF114" i="2" a="1"/>
  <c r="AS113" i="2" a="1"/>
  <c r="CF113" i="2" a="1"/>
  <c r="AS112" i="2" a="1"/>
  <c r="CF112" i="2" a="1"/>
  <c r="AS111" i="2" a="1"/>
  <c r="CF111" i="2" a="1"/>
  <c r="AS110" i="2" a="1"/>
  <c r="CF110" i="2" a="1"/>
  <c r="AS109" i="2" a="1"/>
  <c r="CF109" i="2" a="1"/>
  <c r="AS108" i="2" a="1"/>
  <c r="CF108" i="2" a="1"/>
  <c r="AS107" i="2" a="1"/>
  <c r="CF107" i="2" a="1"/>
  <c r="AS106" i="2" a="1"/>
  <c r="CF106" i="2" a="1"/>
  <c r="AS105" i="2" a="1"/>
  <c r="CF105" i="2" a="1"/>
  <c r="AS104" i="2" a="1"/>
  <c r="CF104" i="2" a="1"/>
  <c r="AS103" i="2" a="1"/>
  <c r="CF103" i="2" a="1"/>
  <c r="AS102" i="2" a="1"/>
  <c r="CF102" i="2" a="1"/>
  <c r="AS101" i="2" a="1"/>
  <c r="CF101" i="2" a="1"/>
  <c r="AS100" i="2" a="1"/>
  <c r="CF100" i="2" a="1"/>
  <c r="AS99" i="2" a="1"/>
  <c r="CF99" i="2" a="1"/>
  <c r="AS98" i="2" a="1"/>
  <c r="CF98" i="2" a="1"/>
  <c r="AS97" i="2" a="1"/>
  <c r="CF97" i="2" a="1"/>
  <c r="AS96" i="2" a="1"/>
  <c r="CF96" i="2" a="1"/>
  <c r="AS95" i="2" a="1"/>
  <c r="CF95" i="2" a="1"/>
  <c r="AS94" i="2" a="1"/>
  <c r="CF94" i="2" a="1"/>
  <c r="AS93" i="2" a="1"/>
  <c r="CF93" i="2" a="1"/>
  <c r="AS92" i="2" a="1"/>
  <c r="CF92" i="2" a="1"/>
  <c r="AS91" i="2" a="1"/>
  <c r="CF91" i="2" a="1"/>
  <c r="AS90" i="2" a="1"/>
  <c r="CF90" i="2" a="1"/>
  <c r="AS89" i="2" a="1"/>
  <c r="CF89" i="2" a="1"/>
  <c r="AS88" i="2" a="1"/>
  <c r="CF88" i="2" a="1"/>
  <c r="AS87" i="2" a="1"/>
  <c r="CF87" i="2" a="1"/>
  <c r="AS86" i="2" a="1"/>
  <c r="CF86" i="2" a="1"/>
  <c r="AS85" i="2" a="1"/>
  <c r="CF85" i="2" a="1"/>
  <c r="AS84" i="2" a="1"/>
  <c r="CF84" i="2" a="1"/>
  <c r="AS83" i="2" a="1"/>
  <c r="CF83" i="2" a="1"/>
  <c r="AS82" i="2" a="1"/>
  <c r="CF82" i="2" a="1"/>
  <c r="AS81" i="2" a="1"/>
  <c r="CF81" i="2" a="1"/>
  <c r="AS80" i="2" a="1"/>
  <c r="CF80" i="2" a="1"/>
  <c r="AS79" i="2" a="1"/>
  <c r="CF79" i="2" a="1"/>
  <c r="AS78" i="2" a="1"/>
  <c r="CF78" i="2" a="1"/>
  <c r="AS77" i="2" a="1"/>
  <c r="CF77" i="2" a="1"/>
  <c r="AS76" i="2" a="1"/>
  <c r="CF76" i="2" a="1"/>
  <c r="AS75" i="2" a="1"/>
  <c r="CF75" i="2" a="1"/>
  <c r="AS74" i="2" a="1"/>
  <c r="CF74" i="2" a="1"/>
  <c r="AS73" i="2" a="1"/>
  <c r="CF73" i="2" a="1"/>
  <c r="AS72" i="2" a="1"/>
  <c r="CF72" i="2" a="1"/>
  <c r="AS71" i="2" a="1"/>
  <c r="CF71" i="2" a="1"/>
  <c r="AS70" i="2" a="1"/>
  <c r="CF70" i="2" a="1"/>
  <c r="AS69" i="2" a="1"/>
  <c r="CF69" i="2" a="1"/>
  <c r="AS68" i="2" a="1"/>
  <c r="CF68" i="2" a="1"/>
  <c r="AS67" i="2" a="1"/>
  <c r="CF67" i="2" a="1"/>
  <c r="AS66" i="2" a="1"/>
  <c r="CF66" i="2" a="1"/>
  <c r="AS65" i="2" a="1"/>
  <c r="CF65" i="2" a="1"/>
  <c r="AS64" i="2" a="1"/>
  <c r="CF64" i="2" a="1"/>
  <c r="AS63" i="2" a="1"/>
  <c r="CF63" i="2" a="1"/>
  <c r="AS62" i="2" a="1"/>
  <c r="CF62" i="2" a="1"/>
  <c r="AS61" i="2" a="1"/>
  <c r="CF61" i="2" a="1"/>
  <c r="AS60" i="2" a="1"/>
  <c r="CF60" i="2" a="1"/>
  <c r="AS59" i="2" a="1"/>
  <c r="CF59" i="2" a="1"/>
  <c r="AS58" i="2" a="1"/>
  <c r="CF58" i="2" a="1"/>
  <c r="AS57" i="2" a="1"/>
  <c r="CF57" i="2" a="1"/>
  <c r="AS56" i="2" a="1"/>
  <c r="CF56" i="2" a="1"/>
  <c r="AS55" i="2" a="1"/>
  <c r="CF55" i="2" a="1"/>
  <c r="AS54" i="2" a="1"/>
  <c r="CF54" i="2" a="1"/>
  <c r="AS53" i="2" a="1"/>
  <c r="CF53" i="2" a="1"/>
  <c r="AS52" i="2" a="1"/>
  <c r="CF52" i="2" a="1"/>
  <c r="AS51" i="2" a="1"/>
  <c r="CF51" i="2" a="1"/>
  <c r="AS50" i="2" a="1"/>
  <c r="CF50" i="2" a="1"/>
  <c r="AS49" i="2" a="1"/>
  <c r="CF49" i="2" a="1"/>
  <c r="AS48" i="2" a="1"/>
  <c r="CF48" i="2" a="1"/>
  <c r="AS47" i="2" a="1"/>
  <c r="CF47" i="2" a="1"/>
  <c r="AS46" i="2" a="1"/>
  <c r="CF46" i="2" a="1"/>
  <c r="AS45" i="2" a="1"/>
  <c r="CF45" i="2" a="1"/>
  <c r="AS44" i="2" a="1"/>
  <c r="CF44" i="2" a="1"/>
  <c r="AS43" i="2" a="1"/>
  <c r="CF43" i="2" a="1"/>
  <c r="AS41" i="2" a="1"/>
  <c r="CF41" i="2" a="1"/>
  <c r="AS40" i="2" a="1"/>
  <c r="CF40" i="2" a="1"/>
  <c r="AS39" i="2" a="1"/>
  <c r="CF39" i="2" a="1"/>
  <c r="AS38" i="2" a="1"/>
  <c r="CF38" i="2" a="1"/>
  <c r="AS37" i="2" a="1"/>
  <c r="CF37" i="2" a="1"/>
  <c r="AS36" i="2" a="1"/>
  <c r="CF36" i="2" a="1"/>
  <c r="AS35" i="2" a="1"/>
  <c r="CF35" i="2" a="1"/>
  <c r="AS34" i="2" a="1"/>
  <c r="CF34" i="2" a="1"/>
  <c r="AS33" i="2" a="1"/>
  <c r="CF33" i="2" a="1"/>
  <c r="AS32" i="2" a="1"/>
  <c r="CF32" i="2" a="1"/>
  <c r="AS31" i="2" a="1"/>
  <c r="CF31" i="2" a="1"/>
  <c r="AS30" i="2" a="1"/>
  <c r="CF30" i="2" a="1"/>
  <c r="AS29" i="2" a="1"/>
  <c r="CF29" i="2" a="1"/>
  <c r="AS28" i="2" a="1"/>
  <c r="CF28" i="2" a="1"/>
  <c r="AS27" i="2" a="1"/>
  <c r="CF27" i="2" a="1"/>
  <c r="AS26" i="2" a="1"/>
  <c r="CF26" i="2" a="1"/>
  <c r="AS25" i="2" a="1"/>
  <c r="CF25" i="2" a="1"/>
  <c r="AS24" i="2" a="1"/>
  <c r="CF24" i="2" a="1"/>
  <c r="AS23" i="2" a="1"/>
  <c r="CF23" i="2" a="1"/>
  <c r="AS22" i="2" a="1"/>
  <c r="CF22" i="2" a="1"/>
  <c r="AS21" i="2" a="1"/>
  <c r="CF21" i="2" a="1"/>
  <c r="AS20" i="2" a="1"/>
  <c r="CF20" i="2" a="1"/>
  <c r="AS19" i="2" a="1"/>
  <c r="CF19" i="2" a="1"/>
  <c r="AS18" i="2" a="1"/>
  <c r="CF18" i="2" a="1"/>
  <c r="AS17" i="2" a="1"/>
  <c r="CF17" i="2" a="1"/>
  <c r="AS16" i="2" a="1"/>
  <c r="CF16" i="2" a="1"/>
  <c r="AS15" i="2" a="1"/>
  <c r="CF15" i="2" a="1"/>
  <c r="AS14" i="2" a="1"/>
  <c r="CF14" i="2" a="1"/>
  <c r="AS13" i="2" a="1"/>
  <c r="CF13" i="2" a="1"/>
  <c r="AS12" i="2" a="1"/>
  <c r="CF12" i="2" a="1"/>
  <c r="AS11" i="2" a="1"/>
  <c r="CF11" i="2" a="1"/>
  <c r="AS10" i="2" a="1"/>
  <c r="CF10" i="2" a="1"/>
  <c r="AS9" i="2" a="1"/>
  <c r="CF9" i="2" a="1"/>
  <c r="AS8" i="2" a="1"/>
  <c r="CF8" i="2" a="1"/>
  <c r="G9" i="11"/>
  <c r="G10" i="11"/>
  <c r="G20" i="11" a="1"/>
  <c r="BZ5" i="2"/>
  <c r="BZ7" i="2"/>
  <c r="B49" i="3"/>
  <c r="F45" i="3"/>
  <c r="C49" i="3"/>
  <c r="D49" i="3" s="1"/>
  <c r="F46" i="3"/>
  <c r="D120" i="3"/>
  <c r="AO60" i="2" a="1"/>
  <c r="AD61" i="13" s="1"/>
  <c r="AO33" i="2" a="1"/>
  <c r="AD34" i="13" s="1"/>
  <c r="AN60" i="2" a="1"/>
  <c r="AC61" i="13" s="1"/>
  <c r="AL61" i="13" s="1"/>
  <c r="AN33" i="2" a="1"/>
  <c r="AC34" i="13" s="1"/>
  <c r="AL34" i="13" s="1"/>
  <c r="AR5" i="2" a="1"/>
  <c r="CI5" i="2" s="1"/>
  <c r="AR7" i="2" a="1"/>
  <c r="CI7" i="2" s="1"/>
  <c r="BI302" i="2" a="1"/>
  <c r="AR302" i="2" a="1"/>
  <c r="CI302" i="2" s="1"/>
  <c r="BI301" i="2" a="1"/>
  <c r="AR301" i="2" a="1"/>
  <c r="CI301" i="2" s="1"/>
  <c r="BI300" i="2" a="1"/>
  <c r="AR300" i="2" a="1"/>
  <c r="CI300" i="2" s="1"/>
  <c r="BI299" i="2" a="1"/>
  <c r="AR299" i="2" a="1"/>
  <c r="CI299" i="2" s="1"/>
  <c r="BI298" i="2" a="1"/>
  <c r="AR298" i="2" a="1"/>
  <c r="CI298" i="2" s="1"/>
  <c r="AR297" i="2" a="1"/>
  <c r="CI297" i="2" s="1"/>
  <c r="BI297" i="2" a="1"/>
  <c r="AR296" i="2" a="1"/>
  <c r="CI296" i="2" s="1"/>
  <c r="BI296" i="2" a="1"/>
  <c r="BI295" i="2" a="1"/>
  <c r="AR295" i="2" a="1"/>
  <c r="CI295" i="2" s="1"/>
  <c r="AR294" i="2" a="1"/>
  <c r="CI294" i="2" s="1"/>
  <c r="BI294" i="2" a="1"/>
  <c r="BI293" i="2" a="1"/>
  <c r="AR293" i="2" a="1"/>
  <c r="CI293" i="2" s="1"/>
  <c r="BI292" i="2" a="1"/>
  <c r="AR292" i="2" a="1"/>
  <c r="CI292" i="2" s="1"/>
  <c r="BI291" i="2" a="1"/>
  <c r="AR291" i="2" a="1"/>
  <c r="CI291" i="2" s="1"/>
  <c r="BI290" i="2" a="1"/>
  <c r="AR290" i="2" a="1"/>
  <c r="CI290" i="2" s="1"/>
  <c r="BI289" i="2" a="1"/>
  <c r="AR289" i="2" a="1"/>
  <c r="CI289" i="2" s="1"/>
  <c r="BI288" i="2" a="1"/>
  <c r="AR288" i="2" a="1"/>
  <c r="CI288" i="2" s="1"/>
  <c r="BI287" i="2" a="1"/>
  <c r="AR287" i="2" a="1"/>
  <c r="CI287" i="2" s="1"/>
  <c r="BI286" i="2" a="1"/>
  <c r="AR286" i="2" a="1"/>
  <c r="CI286" i="2" s="1"/>
  <c r="BI285" i="2" a="1"/>
  <c r="AR285" i="2" a="1"/>
  <c r="CI285" i="2" s="1"/>
  <c r="BI284" i="2" a="1"/>
  <c r="AR284" i="2" a="1"/>
  <c r="CI284" i="2" s="1"/>
  <c r="BI283" i="2" a="1"/>
  <c r="AR283" i="2" a="1"/>
  <c r="CI283" i="2" s="1"/>
  <c r="BI282" i="2" a="1"/>
  <c r="AR282" i="2" a="1"/>
  <c r="CI282" i="2" s="1"/>
  <c r="BI281" i="2" a="1"/>
  <c r="AR281" i="2" a="1"/>
  <c r="CI281" i="2" s="1"/>
  <c r="BI280" i="2" a="1"/>
  <c r="AR280" i="2" a="1"/>
  <c r="CI280" i="2" s="1"/>
  <c r="BI279" i="2" a="1"/>
  <c r="AR279" i="2" a="1"/>
  <c r="CI279" i="2" s="1"/>
  <c r="BI278" i="2" a="1"/>
  <c r="AR278" i="2" a="1"/>
  <c r="CI278" i="2" s="1"/>
  <c r="BI277" i="2" a="1"/>
  <c r="AR277" i="2" a="1"/>
  <c r="CI277" i="2" s="1"/>
  <c r="BI276" i="2" a="1"/>
  <c r="AR276" i="2" a="1"/>
  <c r="CI276" i="2" s="1"/>
  <c r="BI275" i="2" a="1"/>
  <c r="AR275" i="2" a="1"/>
  <c r="CI275" i="2" s="1"/>
  <c r="BI274" i="2" a="1"/>
  <c r="AR274" i="2" a="1"/>
  <c r="CI274" i="2" s="1"/>
  <c r="BI273" i="2" a="1"/>
  <c r="AR273" i="2" a="1"/>
  <c r="CI273" i="2" s="1"/>
  <c r="BI272" i="2" a="1"/>
  <c r="AR272" i="2" a="1"/>
  <c r="CI272" i="2" s="1"/>
  <c r="BI271" i="2" a="1"/>
  <c r="AR271" i="2" a="1"/>
  <c r="CI271" i="2" s="1"/>
  <c r="BI270" i="2" a="1"/>
  <c r="AR270" i="2" a="1"/>
  <c r="CI270" i="2" s="1"/>
  <c r="BI269" i="2" a="1"/>
  <c r="AR269" i="2" a="1"/>
  <c r="CI269" i="2" s="1"/>
  <c r="BI268" i="2" a="1"/>
  <c r="AR268" i="2" a="1"/>
  <c r="CI268" i="2" s="1"/>
  <c r="BI267" i="2" a="1"/>
  <c r="AR267" i="2" a="1"/>
  <c r="CI267" i="2" s="1"/>
  <c r="BI266" i="2" a="1"/>
  <c r="AR266" i="2" a="1"/>
  <c r="CI266" i="2" s="1"/>
  <c r="BI265" i="2" a="1"/>
  <c r="AR265" i="2" a="1"/>
  <c r="CI265" i="2" s="1"/>
  <c r="BI264" i="2" a="1"/>
  <c r="AR264" i="2" a="1"/>
  <c r="CI264" i="2" s="1"/>
  <c r="BI263" i="2" a="1"/>
  <c r="AR263" i="2" a="1"/>
  <c r="CI263" i="2" s="1"/>
  <c r="BI262" i="2" a="1"/>
  <c r="AR262" i="2" a="1"/>
  <c r="CI262" i="2" s="1"/>
  <c r="BI261" i="2" a="1"/>
  <c r="AR261" i="2" a="1"/>
  <c r="CI261" i="2" s="1"/>
  <c r="BI260" i="2" a="1"/>
  <c r="AR260" i="2" a="1"/>
  <c r="CI260" i="2" s="1"/>
  <c r="BI259" i="2" a="1"/>
  <c r="AR259" i="2" a="1"/>
  <c r="CI259" i="2" s="1"/>
  <c r="BI258" i="2" a="1"/>
  <c r="AR258" i="2" a="1"/>
  <c r="CI258" i="2" s="1"/>
  <c r="BI257" i="2" a="1"/>
  <c r="AR257" i="2" a="1"/>
  <c r="CI257" i="2" s="1"/>
  <c r="BI256" i="2" a="1"/>
  <c r="AR256" i="2" a="1"/>
  <c r="CI256" i="2" s="1"/>
  <c r="BI255" i="2" a="1"/>
  <c r="AR255" i="2" a="1"/>
  <c r="CI255" i="2" s="1"/>
  <c r="BI254" i="2" a="1"/>
  <c r="AR254" i="2" a="1"/>
  <c r="CI254" i="2" s="1"/>
  <c r="BI253" i="2" a="1"/>
  <c r="AR253" i="2" a="1"/>
  <c r="CI253" i="2" s="1"/>
  <c r="BI252" i="2" a="1"/>
  <c r="AR252" i="2" a="1"/>
  <c r="CI252" i="2" s="1"/>
  <c r="BI251" i="2" a="1"/>
  <c r="AR251" i="2" a="1"/>
  <c r="CI251" i="2" s="1"/>
  <c r="BI250" i="2" a="1"/>
  <c r="AR250" i="2" a="1"/>
  <c r="CI250" i="2" s="1"/>
  <c r="BI249" i="2" a="1"/>
  <c r="AR249" i="2" a="1"/>
  <c r="CI249" i="2" s="1"/>
  <c r="BI248" i="2" a="1"/>
  <c r="AR248" i="2" a="1"/>
  <c r="CI248" i="2" s="1"/>
  <c r="BI247" i="2" a="1"/>
  <c r="AR247" i="2" a="1"/>
  <c r="CI247" i="2" s="1"/>
  <c r="BI246" i="2" a="1"/>
  <c r="AR246" i="2" a="1"/>
  <c r="CI246" i="2" s="1"/>
  <c r="BI245" i="2" a="1"/>
  <c r="AR245" i="2" a="1"/>
  <c r="CI245" i="2" s="1"/>
  <c r="BI244" i="2" a="1"/>
  <c r="AR244" i="2" a="1"/>
  <c r="CI244" i="2" s="1"/>
  <c r="BI243" i="2" a="1"/>
  <c r="AR243" i="2" a="1"/>
  <c r="CI243" i="2" s="1"/>
  <c r="BI242" i="2" a="1"/>
  <c r="AR242" i="2" a="1"/>
  <c r="CI242" i="2" s="1"/>
  <c r="BI241" i="2" a="1"/>
  <c r="AR241" i="2" a="1"/>
  <c r="CI241" i="2" s="1"/>
  <c r="BI240" i="2" a="1"/>
  <c r="AR240" i="2" a="1"/>
  <c r="CI240" i="2" s="1"/>
  <c r="BI239" i="2" a="1"/>
  <c r="AR239" i="2" a="1"/>
  <c r="CI239" i="2" s="1"/>
  <c r="BI238" i="2" a="1"/>
  <c r="AR238" i="2" a="1"/>
  <c r="CI238" i="2" s="1"/>
  <c r="BI237" i="2" a="1"/>
  <c r="AR237" i="2" a="1"/>
  <c r="CI237" i="2" s="1"/>
  <c r="BI236" i="2" a="1"/>
  <c r="AR236" i="2" a="1"/>
  <c r="CI236" i="2" s="1"/>
  <c r="BI235" i="2" a="1"/>
  <c r="AR235" i="2" a="1"/>
  <c r="CI235" i="2" s="1"/>
  <c r="BI234" i="2" a="1"/>
  <c r="AR234" i="2" a="1"/>
  <c r="CI234" i="2" s="1"/>
  <c r="BI233" i="2" a="1"/>
  <c r="AR233" i="2" a="1"/>
  <c r="CI233" i="2" s="1"/>
  <c r="BI232" i="2" a="1"/>
  <c r="AR232" i="2" a="1"/>
  <c r="CI232" i="2" s="1"/>
  <c r="BI231" i="2" a="1"/>
  <c r="AR231" i="2" a="1"/>
  <c r="CI231" i="2" s="1"/>
  <c r="BI230" i="2" a="1"/>
  <c r="AR230" i="2" a="1"/>
  <c r="CI230" i="2" s="1"/>
  <c r="BI229" i="2" a="1"/>
  <c r="AR229" i="2" a="1"/>
  <c r="CI229" i="2" s="1"/>
  <c r="BI228" i="2" a="1"/>
  <c r="AR228" i="2" a="1"/>
  <c r="CI228" i="2" s="1"/>
  <c r="BI227" i="2" a="1"/>
  <c r="AR227" i="2" a="1"/>
  <c r="CI227" i="2" s="1"/>
  <c r="BI226" i="2" a="1"/>
  <c r="AR226" i="2" a="1"/>
  <c r="CI226" i="2" s="1"/>
  <c r="BI225" i="2" a="1"/>
  <c r="AR225" i="2" a="1"/>
  <c r="CI225" i="2" s="1"/>
  <c r="BI224" i="2" a="1"/>
  <c r="AR224" i="2" a="1"/>
  <c r="CI224" i="2" s="1"/>
  <c r="BI223" i="2" a="1"/>
  <c r="AR223" i="2" a="1"/>
  <c r="CI223" i="2" s="1"/>
  <c r="BI222" i="2" a="1"/>
  <c r="AR222" i="2" a="1"/>
  <c r="CI222" i="2" s="1"/>
  <c r="BI221" i="2" a="1"/>
  <c r="AR221" i="2" a="1"/>
  <c r="CI221" i="2" s="1"/>
  <c r="BI220" i="2" a="1"/>
  <c r="AR220" i="2" a="1"/>
  <c r="CI220" i="2" s="1"/>
  <c r="BI219" i="2" a="1"/>
  <c r="AR219" i="2" a="1"/>
  <c r="CI219" i="2" s="1"/>
  <c r="BI218" i="2" a="1"/>
  <c r="AR218" i="2" a="1"/>
  <c r="CI218" i="2" s="1"/>
  <c r="BI217" i="2" a="1"/>
  <c r="AR217" i="2" a="1"/>
  <c r="CI217" i="2" s="1"/>
  <c r="BI216" i="2" a="1"/>
  <c r="AR216" i="2" a="1"/>
  <c r="CI216" i="2" s="1"/>
  <c r="BI215" i="2" a="1"/>
  <c r="AR215" i="2" a="1"/>
  <c r="CI215" i="2" s="1"/>
  <c r="BI214" i="2" a="1"/>
  <c r="AR214" i="2" a="1"/>
  <c r="CI214" i="2" s="1"/>
  <c r="BI213" i="2" a="1"/>
  <c r="AR213" i="2" a="1"/>
  <c r="CI213" i="2" s="1"/>
  <c r="BI212" i="2" a="1"/>
  <c r="AR212" i="2" a="1"/>
  <c r="CI212" i="2" s="1"/>
  <c r="BI211" i="2" a="1"/>
  <c r="AR211" i="2" a="1"/>
  <c r="CI211" i="2" s="1"/>
  <c r="BI210" i="2" a="1"/>
  <c r="AR210" i="2" a="1"/>
  <c r="CI210" i="2" s="1"/>
  <c r="BI209" i="2" a="1"/>
  <c r="AR209" i="2" a="1"/>
  <c r="CI209" i="2" s="1"/>
  <c r="BI208" i="2" a="1"/>
  <c r="AR208" i="2" a="1"/>
  <c r="CI208" i="2" s="1"/>
  <c r="BI207" i="2" a="1"/>
  <c r="AR207" i="2" a="1"/>
  <c r="CI207" i="2" s="1"/>
  <c r="BI206" i="2" a="1"/>
  <c r="AR206" i="2" a="1"/>
  <c r="CI206" i="2" s="1"/>
  <c r="BI205" i="2" a="1"/>
  <c r="AR205" i="2" a="1"/>
  <c r="CI205" i="2" s="1"/>
  <c r="BI204" i="2" a="1"/>
  <c r="AR204" i="2" a="1"/>
  <c r="CI204" i="2" s="1"/>
  <c r="BI203" i="2" a="1"/>
  <c r="AR203" i="2" a="1"/>
  <c r="CI203" i="2" s="1"/>
  <c r="BI202" i="2" a="1"/>
  <c r="AR202" i="2" a="1"/>
  <c r="CI202" i="2" s="1"/>
  <c r="BI201" i="2" a="1"/>
  <c r="AR201" i="2" a="1"/>
  <c r="CI201" i="2" s="1"/>
  <c r="BI200" i="2" a="1"/>
  <c r="AR200" i="2" a="1"/>
  <c r="CI200" i="2" s="1"/>
  <c r="BI199" i="2" a="1"/>
  <c r="AR199" i="2" a="1"/>
  <c r="CI199" i="2" s="1"/>
  <c r="BI198" i="2" a="1"/>
  <c r="AR198" i="2" a="1"/>
  <c r="CI198" i="2" s="1"/>
  <c r="BI197" i="2" a="1"/>
  <c r="AR197" i="2" a="1"/>
  <c r="CI197" i="2" s="1"/>
  <c r="BI196" i="2" a="1"/>
  <c r="AR196" i="2" a="1"/>
  <c r="CI196" i="2" s="1"/>
  <c r="BI195" i="2" a="1"/>
  <c r="AR195" i="2" a="1"/>
  <c r="CI195" i="2" s="1"/>
  <c r="BI194" i="2" a="1"/>
  <c r="AR194" i="2" a="1"/>
  <c r="CI194" i="2" s="1"/>
  <c r="BI193" i="2" a="1"/>
  <c r="AR193" i="2" a="1"/>
  <c r="CI193" i="2" s="1"/>
  <c r="BI192" i="2" a="1"/>
  <c r="AR192" i="2" a="1"/>
  <c r="CI192" i="2" s="1"/>
  <c r="BI191" i="2" a="1"/>
  <c r="AR191" i="2" a="1"/>
  <c r="CI191" i="2" s="1"/>
  <c r="BI190" i="2" a="1"/>
  <c r="AR190" i="2" a="1"/>
  <c r="CI190" i="2" s="1"/>
  <c r="BI189" i="2" a="1"/>
  <c r="AR189" i="2" a="1"/>
  <c r="CI189" i="2" s="1"/>
  <c r="BI188" i="2" a="1"/>
  <c r="AR188" i="2" a="1"/>
  <c r="CI188" i="2" s="1"/>
  <c r="BI187" i="2" a="1"/>
  <c r="AR187" i="2" a="1"/>
  <c r="CI187" i="2" s="1"/>
  <c r="BI186" i="2" a="1"/>
  <c r="AR186" i="2" a="1"/>
  <c r="CI186" i="2" s="1"/>
  <c r="BI185" i="2" a="1"/>
  <c r="AR185" i="2" a="1"/>
  <c r="CI185" i="2" s="1"/>
  <c r="BI184" i="2" a="1"/>
  <c r="AR184" i="2" a="1"/>
  <c r="CI184" i="2" s="1"/>
  <c r="BI183" i="2" a="1"/>
  <c r="AR183" i="2" a="1"/>
  <c r="CI183" i="2" s="1"/>
  <c r="BI182" i="2" a="1"/>
  <c r="AR182" i="2" a="1"/>
  <c r="CI182" i="2" s="1"/>
  <c r="BI181" i="2" a="1"/>
  <c r="AR181" i="2" a="1"/>
  <c r="CI181" i="2" s="1"/>
  <c r="BI180" i="2" a="1"/>
  <c r="AR180" i="2" a="1"/>
  <c r="CI180" i="2" s="1"/>
  <c r="BI179" i="2" a="1"/>
  <c r="AR179" i="2" a="1"/>
  <c r="CI179" i="2" s="1"/>
  <c r="BI178" i="2" a="1"/>
  <c r="AR178" i="2" a="1"/>
  <c r="CI178" i="2" s="1"/>
  <c r="BI177" i="2" a="1"/>
  <c r="AR177" i="2" a="1"/>
  <c r="CI177" i="2" s="1"/>
  <c r="BI176" i="2" a="1"/>
  <c r="AR176" i="2" a="1"/>
  <c r="CI176" i="2" s="1"/>
  <c r="BI175" i="2" a="1"/>
  <c r="AR175" i="2" a="1"/>
  <c r="CI175" i="2" s="1"/>
  <c r="BI174" i="2" a="1"/>
  <c r="AR174" i="2" a="1"/>
  <c r="CI174" i="2" s="1"/>
  <c r="BI173" i="2" a="1"/>
  <c r="AR173" i="2" a="1"/>
  <c r="CI173" i="2" s="1"/>
  <c r="BI172" i="2" a="1"/>
  <c r="AR172" i="2" a="1"/>
  <c r="CI172" i="2" s="1"/>
  <c r="BI171" i="2" a="1"/>
  <c r="AR171" i="2" a="1"/>
  <c r="CI171" i="2" s="1"/>
  <c r="BI170" i="2" a="1"/>
  <c r="AR170" i="2" a="1"/>
  <c r="CI170" i="2" s="1"/>
  <c r="BI169" i="2" a="1"/>
  <c r="AR169" i="2" a="1"/>
  <c r="CI169" i="2" s="1"/>
  <c r="BI168" i="2" a="1"/>
  <c r="AR168" i="2" a="1"/>
  <c r="CI168" i="2" s="1"/>
  <c r="BI167" i="2" a="1"/>
  <c r="AR167" i="2" a="1"/>
  <c r="CI167" i="2" s="1"/>
  <c r="BI166" i="2" a="1"/>
  <c r="AR166" i="2" a="1"/>
  <c r="CI166" i="2" s="1"/>
  <c r="BI165" i="2" a="1"/>
  <c r="AR165" i="2" a="1"/>
  <c r="CI165" i="2" s="1"/>
  <c r="BI164" i="2" a="1"/>
  <c r="AR164" i="2" a="1"/>
  <c r="CI164" i="2" s="1"/>
  <c r="BI163" i="2" a="1"/>
  <c r="AR163" i="2" a="1"/>
  <c r="CI163" i="2" s="1"/>
  <c r="BI162" i="2" a="1"/>
  <c r="AR162" i="2" a="1"/>
  <c r="CI162" i="2" s="1"/>
  <c r="BI161" i="2" a="1"/>
  <c r="AR161" i="2" a="1"/>
  <c r="CI161" i="2" s="1"/>
  <c r="BI160" i="2" a="1"/>
  <c r="AR160" i="2" a="1"/>
  <c r="CI160" i="2" s="1"/>
  <c r="BI159" i="2" a="1"/>
  <c r="AR159" i="2" a="1"/>
  <c r="CI159" i="2" s="1"/>
  <c r="BI158" i="2" a="1"/>
  <c r="AR158" i="2" a="1"/>
  <c r="CI158" i="2" s="1"/>
  <c r="BI157" i="2" a="1"/>
  <c r="AR157" i="2" a="1"/>
  <c r="CI157" i="2" s="1"/>
  <c r="BI156" i="2" a="1"/>
  <c r="AR156" i="2" a="1"/>
  <c r="CI156" i="2" s="1"/>
  <c r="BI155" i="2" a="1"/>
  <c r="AR155" i="2" a="1"/>
  <c r="CI155" i="2" s="1"/>
  <c r="BI154" i="2" a="1"/>
  <c r="AR154" i="2" a="1"/>
  <c r="CI154" i="2" s="1"/>
  <c r="BI153" i="2" a="1"/>
  <c r="AR153" i="2" a="1"/>
  <c r="CI153" i="2" s="1"/>
  <c r="BI152" i="2" a="1"/>
  <c r="AR152" i="2" a="1"/>
  <c r="CI152" i="2" s="1"/>
  <c r="BI151" i="2" a="1"/>
  <c r="AR151" i="2" a="1"/>
  <c r="CI151" i="2" s="1"/>
  <c r="BI150" i="2" a="1"/>
  <c r="AR150" i="2" a="1"/>
  <c r="CI150" i="2" s="1"/>
  <c r="BI149" i="2" a="1"/>
  <c r="AR149" i="2" a="1"/>
  <c r="CI149" i="2" s="1"/>
  <c r="BI148" i="2" a="1"/>
  <c r="AR148" i="2" a="1"/>
  <c r="CI148" i="2" s="1"/>
  <c r="BI147" i="2" a="1"/>
  <c r="AR147" i="2" a="1"/>
  <c r="CI147" i="2" s="1"/>
  <c r="BI146" i="2" a="1"/>
  <c r="AR146" i="2" a="1"/>
  <c r="CI146" i="2" s="1"/>
  <c r="BI145" i="2" a="1"/>
  <c r="AR145" i="2" a="1"/>
  <c r="CI145" i="2" s="1"/>
  <c r="BI144" i="2" a="1"/>
  <c r="AR144" i="2" a="1"/>
  <c r="CI144" i="2" s="1"/>
  <c r="BI143" i="2" a="1"/>
  <c r="AR143" i="2" a="1"/>
  <c r="CI143" i="2" s="1"/>
  <c r="BI142" i="2" a="1"/>
  <c r="AR142" i="2" a="1"/>
  <c r="CI142" i="2" s="1"/>
  <c r="BI141" i="2" a="1"/>
  <c r="AR141" i="2" a="1"/>
  <c r="CI141" i="2" s="1"/>
  <c r="BI140" i="2" a="1"/>
  <c r="AR140" i="2" a="1"/>
  <c r="CI140" i="2" s="1"/>
  <c r="BI139" i="2" a="1"/>
  <c r="AR139" i="2" a="1"/>
  <c r="CI139" i="2" s="1"/>
  <c r="BI138" i="2" a="1"/>
  <c r="AR138" i="2" a="1"/>
  <c r="CI138" i="2" s="1"/>
  <c r="BI137" i="2" a="1"/>
  <c r="AR137" i="2" a="1"/>
  <c r="CI137" i="2" s="1"/>
  <c r="BI136" i="2" a="1"/>
  <c r="AR136" i="2" a="1"/>
  <c r="CI136" i="2" s="1"/>
  <c r="BI135" i="2" a="1"/>
  <c r="AR135" i="2" a="1"/>
  <c r="CI135" i="2" s="1"/>
  <c r="BI134" i="2" a="1"/>
  <c r="AR134" i="2" a="1"/>
  <c r="CI134" i="2" s="1"/>
  <c r="BI133" i="2" a="1"/>
  <c r="AR133" i="2" a="1"/>
  <c r="CI133" i="2" s="1"/>
  <c r="BI132" i="2" a="1"/>
  <c r="AR132" i="2" a="1"/>
  <c r="CI132" i="2" s="1"/>
  <c r="BI131" i="2" a="1"/>
  <c r="AR131" i="2" a="1"/>
  <c r="CI131" i="2" s="1"/>
  <c r="BI130" i="2" a="1"/>
  <c r="AR130" i="2" a="1"/>
  <c r="CI130" i="2" s="1"/>
  <c r="BI129" i="2" a="1"/>
  <c r="AR129" i="2" a="1"/>
  <c r="CI129" i="2" s="1"/>
  <c r="BI128" i="2" a="1"/>
  <c r="AR128" i="2" a="1"/>
  <c r="CI128" i="2" s="1"/>
  <c r="BI127" i="2" a="1"/>
  <c r="AR127" i="2" a="1"/>
  <c r="CI127" i="2" s="1"/>
  <c r="BI126" i="2" a="1"/>
  <c r="AR126" i="2" a="1"/>
  <c r="CI126" i="2" s="1"/>
  <c r="BI125" i="2" a="1"/>
  <c r="AR125" i="2" a="1"/>
  <c r="CI125" i="2" s="1"/>
  <c r="BI124" i="2" a="1"/>
  <c r="AR124" i="2" a="1"/>
  <c r="CI124" i="2" s="1"/>
  <c r="BI123" i="2" a="1"/>
  <c r="AR123" i="2" a="1"/>
  <c r="CI123" i="2" s="1"/>
  <c r="BI122" i="2" a="1"/>
  <c r="AR122" i="2" a="1"/>
  <c r="CI122" i="2" s="1"/>
  <c r="BI121" i="2" a="1"/>
  <c r="AR121" i="2" a="1"/>
  <c r="CI121" i="2" s="1"/>
  <c r="BI120" i="2" a="1"/>
  <c r="AR120" i="2" a="1"/>
  <c r="CI120" i="2" s="1"/>
  <c r="AR119" i="2" a="1"/>
  <c r="CI119" i="2" s="1"/>
  <c r="AR118" i="2" a="1"/>
  <c r="CI118" i="2" s="1"/>
  <c r="AR117" i="2" a="1"/>
  <c r="CI117" i="2" s="1"/>
  <c r="AR116" i="2" a="1"/>
  <c r="CI116" i="2" s="1"/>
  <c r="AR115" i="2" a="1"/>
  <c r="CI115" i="2" s="1"/>
  <c r="AR114" i="2" a="1"/>
  <c r="CI114" i="2" s="1"/>
  <c r="AR113" i="2" a="1"/>
  <c r="CI113" i="2" s="1"/>
  <c r="AR112" i="2" a="1"/>
  <c r="CI112" i="2" s="1"/>
  <c r="AR111" i="2" a="1"/>
  <c r="CI111" i="2" s="1"/>
  <c r="AR110" i="2" a="1"/>
  <c r="CI110" i="2" s="1"/>
  <c r="AR109" i="2" a="1"/>
  <c r="CI109" i="2" s="1"/>
  <c r="AR108" i="2" a="1"/>
  <c r="CI108" i="2" s="1"/>
  <c r="AR107" i="2" a="1"/>
  <c r="CI107" i="2" s="1"/>
  <c r="AR106" i="2" a="1"/>
  <c r="CI106" i="2" s="1"/>
  <c r="AR105" i="2" a="1"/>
  <c r="CI105" i="2" s="1"/>
  <c r="AR104" i="2" a="1"/>
  <c r="CI104" i="2" s="1"/>
  <c r="AR103" i="2" a="1"/>
  <c r="CI103" i="2" s="1"/>
  <c r="AR102" i="2" a="1"/>
  <c r="CI102" i="2" s="1"/>
  <c r="AR101" i="2" a="1"/>
  <c r="CI101" i="2" s="1"/>
  <c r="AR100" i="2" a="1"/>
  <c r="CI100" i="2" s="1"/>
  <c r="AR99" i="2" a="1"/>
  <c r="CI99" i="2" s="1"/>
  <c r="AR98" i="2" a="1"/>
  <c r="CI98" i="2" s="1"/>
  <c r="AR97" i="2" a="1"/>
  <c r="CI97" i="2" s="1"/>
  <c r="AR96" i="2" a="1"/>
  <c r="CI96" i="2" s="1"/>
  <c r="AR95" i="2" a="1"/>
  <c r="CI95" i="2" s="1"/>
  <c r="AR94" i="2" a="1"/>
  <c r="CI94" i="2" s="1"/>
  <c r="AR93" i="2" a="1"/>
  <c r="CI93" i="2" s="1"/>
  <c r="AR92" i="2" a="1"/>
  <c r="CI92" i="2" s="1"/>
  <c r="AR91" i="2" a="1"/>
  <c r="CI91" i="2" s="1"/>
  <c r="AR90" i="2" a="1"/>
  <c r="CI90" i="2" s="1"/>
  <c r="AR89" i="2" a="1"/>
  <c r="CI89" i="2" s="1"/>
  <c r="AR88" i="2" a="1"/>
  <c r="CI88" i="2" s="1"/>
  <c r="AR87" i="2" a="1"/>
  <c r="CI87" i="2" s="1"/>
  <c r="AR86" i="2" a="1"/>
  <c r="CI86" i="2" s="1"/>
  <c r="AR85" i="2" a="1"/>
  <c r="CI85" i="2" s="1"/>
  <c r="AR84" i="2" a="1"/>
  <c r="CI84" i="2" s="1"/>
  <c r="AR83" i="2" a="1"/>
  <c r="CI83" i="2" s="1"/>
  <c r="AR82" i="2" a="1"/>
  <c r="CI82" i="2" s="1"/>
  <c r="AR81" i="2" a="1"/>
  <c r="CI81" i="2" s="1"/>
  <c r="AR80" i="2" a="1"/>
  <c r="CI80" i="2" s="1"/>
  <c r="AR79" i="2" a="1"/>
  <c r="CI79" i="2" s="1"/>
  <c r="AR78" i="2" a="1"/>
  <c r="CI78" i="2" s="1"/>
  <c r="AR77" i="2" a="1"/>
  <c r="CI77" i="2" s="1"/>
  <c r="AR76" i="2" a="1"/>
  <c r="CI76" i="2" s="1"/>
  <c r="AR75" i="2" a="1"/>
  <c r="CI75" i="2" s="1"/>
  <c r="AR74" i="2" a="1"/>
  <c r="CI74" i="2" s="1"/>
  <c r="AR73" i="2" a="1"/>
  <c r="CI73" i="2" s="1"/>
  <c r="AR72" i="2" a="1"/>
  <c r="CI72" i="2" s="1"/>
  <c r="AR71" i="2" a="1"/>
  <c r="CI71" i="2" s="1"/>
  <c r="AR70" i="2" a="1"/>
  <c r="CI70" i="2" s="1"/>
  <c r="AR69" i="2" a="1"/>
  <c r="CI69" i="2" s="1"/>
  <c r="AR68" i="2" a="1"/>
  <c r="CI68" i="2" s="1"/>
  <c r="AR67" i="2" a="1"/>
  <c r="CI67" i="2" s="1"/>
  <c r="AR66" i="2" a="1"/>
  <c r="CI66" i="2" s="1"/>
  <c r="AR65" i="2" a="1"/>
  <c r="CI65" i="2" s="1"/>
  <c r="AR64" i="2" a="1"/>
  <c r="CI64" i="2" s="1"/>
  <c r="AR63" i="2" a="1"/>
  <c r="CI63" i="2" s="1"/>
  <c r="AR62" i="2" a="1"/>
  <c r="CI62" i="2" s="1"/>
  <c r="AR61" i="2" a="1"/>
  <c r="CI61" i="2" s="1"/>
  <c r="AR60" i="2" a="1"/>
  <c r="CI60" i="2" s="1"/>
  <c r="AR59" i="2" a="1"/>
  <c r="CI59" i="2" s="1"/>
  <c r="AR58" i="2" a="1"/>
  <c r="CI58" i="2" s="1"/>
  <c r="AR57" i="2" a="1"/>
  <c r="CI57" i="2" s="1"/>
  <c r="AR56" i="2" a="1"/>
  <c r="CI56" i="2" s="1"/>
  <c r="AR55" i="2" a="1"/>
  <c r="CI55" i="2" s="1"/>
  <c r="AR54" i="2" a="1"/>
  <c r="CI54" i="2" s="1"/>
  <c r="AR53" i="2" a="1"/>
  <c r="CI53" i="2" s="1"/>
  <c r="AR52" i="2" a="1"/>
  <c r="CI52" i="2" s="1"/>
  <c r="AR51" i="2" a="1"/>
  <c r="CI51" i="2" s="1"/>
  <c r="AR50" i="2" a="1"/>
  <c r="CI50" i="2" s="1"/>
  <c r="AR49" i="2" a="1"/>
  <c r="CI49" i="2" s="1"/>
  <c r="AR48" i="2" a="1"/>
  <c r="CI48" i="2" s="1"/>
  <c r="AR47" i="2" a="1"/>
  <c r="CI47" i="2" s="1"/>
  <c r="AR46" i="2" a="1"/>
  <c r="CI46" i="2" s="1"/>
  <c r="AR45" i="2" a="1"/>
  <c r="CI45" i="2" s="1"/>
  <c r="AR44" i="2" a="1"/>
  <c r="CI44" i="2" s="1"/>
  <c r="AR43" i="2" a="1"/>
  <c r="CI43" i="2" s="1"/>
  <c r="AR42" i="2" a="1"/>
  <c r="CI42" i="2" s="1"/>
  <c r="AR41" i="2" a="1"/>
  <c r="CI41" i="2" s="1"/>
  <c r="AR40" i="2" a="1"/>
  <c r="CI40" i="2" s="1"/>
  <c r="AR39" i="2" a="1"/>
  <c r="CI39" i="2" s="1"/>
  <c r="AR38" i="2" a="1"/>
  <c r="CI38" i="2" s="1"/>
  <c r="AR37" i="2" a="1"/>
  <c r="CI37" i="2" s="1"/>
  <c r="AR36" i="2" a="1"/>
  <c r="CI36" i="2" s="1"/>
  <c r="AR35" i="2" a="1"/>
  <c r="CI35" i="2" s="1"/>
  <c r="AR34" i="2" a="1"/>
  <c r="CI34" i="2" s="1"/>
  <c r="AR33" i="2" a="1"/>
  <c r="CI33" i="2" s="1"/>
  <c r="AR32" i="2" a="1"/>
  <c r="CI32" i="2" s="1"/>
  <c r="AR31" i="2" a="1"/>
  <c r="CI31" i="2" s="1"/>
  <c r="AR30" i="2" a="1"/>
  <c r="CI30" i="2" s="1"/>
  <c r="AR29" i="2" a="1"/>
  <c r="CI29" i="2" s="1"/>
  <c r="AR28" i="2" a="1"/>
  <c r="CI28" i="2" s="1"/>
  <c r="AR27" i="2" a="1"/>
  <c r="CI27" i="2" s="1"/>
  <c r="AR26" i="2" a="1"/>
  <c r="CI26" i="2" s="1"/>
  <c r="AR25" i="2" a="1"/>
  <c r="CI25" i="2" s="1"/>
  <c r="AR24" i="2" a="1"/>
  <c r="CI24" i="2" s="1"/>
  <c r="AR23" i="2" a="1"/>
  <c r="CI23" i="2" s="1"/>
  <c r="AR22" i="2" a="1"/>
  <c r="CI22" i="2" s="1"/>
  <c r="AR21" i="2" a="1"/>
  <c r="CI21" i="2" s="1"/>
  <c r="AR20" i="2" a="1"/>
  <c r="CI20" i="2" s="1"/>
  <c r="AR19" i="2" a="1"/>
  <c r="CI19" i="2" s="1"/>
  <c r="AR18" i="2" a="1"/>
  <c r="CI18" i="2" s="1"/>
  <c r="AR17" i="2" a="1"/>
  <c r="CI17" i="2" s="1"/>
  <c r="AR16" i="2" a="1"/>
  <c r="CI16" i="2" s="1"/>
  <c r="AR15" i="2" a="1"/>
  <c r="CI15" i="2" s="1"/>
  <c r="AR14" i="2" a="1"/>
  <c r="CI14" i="2" s="1"/>
  <c r="AR13" i="2" a="1"/>
  <c r="CI13" i="2" s="1"/>
  <c r="AR12" i="2" a="1"/>
  <c r="CI12" i="2" s="1"/>
  <c r="AR11" i="2" a="1"/>
  <c r="CI11" i="2" s="1"/>
  <c r="AR10" i="2" a="1"/>
  <c r="CI10" i="2" s="1"/>
  <c r="AR9" i="2" a="1"/>
  <c r="CI9" i="2" s="1"/>
  <c r="AR8" i="2" a="1"/>
  <c r="CI8" i="2" s="1"/>
  <c r="AO5" i="2" a="1"/>
  <c r="AN5" i="2" a="1"/>
  <c r="AO7" i="2" a="1"/>
  <c r="AD8" i="13" s="1"/>
  <c r="AN7" i="2" a="1"/>
  <c r="AN122" i="2" a="1"/>
  <c r="AO122" i="2" a="1"/>
  <c r="AD123" i="13" s="1"/>
  <c r="AO120" i="2" a="1"/>
  <c r="AD121" i="13" s="1"/>
  <c r="AN120" i="2" a="1"/>
  <c r="AN119" i="2" a="1"/>
  <c r="AO119" i="2" a="1"/>
  <c r="AD120" i="13" s="1"/>
  <c r="AN118" i="2" a="1"/>
  <c r="AO118" i="2" a="1"/>
  <c r="AD119" i="13" s="1"/>
  <c r="AO117" i="2" a="1"/>
  <c r="AD118" i="13" s="1"/>
  <c r="AN117" i="2" a="1"/>
  <c r="AO116" i="2" a="1"/>
  <c r="AD117" i="13" s="1"/>
  <c r="AN116" i="2" a="1"/>
  <c r="AN115" i="2" a="1"/>
  <c r="AO115" i="2" a="1"/>
  <c r="AD116" i="13" s="1"/>
  <c r="AN114" i="2" a="1"/>
  <c r="AO114" i="2" a="1"/>
  <c r="AD115" i="13" s="1"/>
  <c r="AO113" i="2" a="1"/>
  <c r="AD114" i="13" s="1"/>
  <c r="AN113" i="2" a="1"/>
  <c r="AO112" i="2" a="1"/>
  <c r="AD113" i="13" s="1"/>
  <c r="AN112" i="2" a="1"/>
  <c r="AO110" i="2" a="1"/>
  <c r="AD111" i="13" s="1"/>
  <c r="AN110" i="2" a="1"/>
  <c r="AO109" i="2" a="1"/>
  <c r="AD110" i="13" s="1"/>
  <c r="AN109" i="2" a="1"/>
  <c r="AO108" i="2" a="1"/>
  <c r="AD109" i="13" s="1"/>
  <c r="AN108" i="2" a="1"/>
  <c r="AO107" i="2" a="1"/>
  <c r="AD108" i="13" s="1"/>
  <c r="AN107" i="2" a="1"/>
  <c r="AN106" i="2" a="1"/>
  <c r="AO106" i="2" a="1"/>
  <c r="AD107" i="13" s="1"/>
  <c r="AN105" i="2" a="1"/>
  <c r="AO105" i="2" a="1"/>
  <c r="AD106" i="13" s="1"/>
  <c r="AN104" i="2" a="1"/>
  <c r="AO104" i="2" a="1"/>
  <c r="AD105" i="13" s="1"/>
  <c r="AO103" i="2" a="1"/>
  <c r="AD104" i="13" s="1"/>
  <c r="AN103" i="2" a="1"/>
  <c r="AN102" i="2" a="1"/>
  <c r="AO102" i="2" a="1"/>
  <c r="AD103" i="13" s="1"/>
  <c r="AO101" i="2" a="1"/>
  <c r="AD102" i="13" s="1"/>
  <c r="AN101" i="2" a="1"/>
  <c r="AO100" i="2" a="1"/>
  <c r="AD101" i="13" s="1"/>
  <c r="AN100" i="2" a="1"/>
  <c r="AC101" i="13" s="1"/>
  <c r="AL101" i="13" s="1"/>
  <c r="AN99" i="2" a="1"/>
  <c r="AC100" i="13" s="1"/>
  <c r="AL100" i="13" s="1"/>
  <c r="AO99" i="2" a="1"/>
  <c r="AD100" i="13" s="1"/>
  <c r="AO98" i="2" a="1"/>
  <c r="AD99" i="13" s="1"/>
  <c r="AN98" i="2" a="1"/>
  <c r="AC99" i="13" s="1"/>
  <c r="AL99" i="13" s="1"/>
  <c r="AN97" i="2" a="1"/>
  <c r="AC98" i="13" s="1"/>
  <c r="AL98" i="13" s="1"/>
  <c r="AO97" i="2" a="1"/>
  <c r="AD98" i="13" s="1"/>
  <c r="AN96" i="2" a="1"/>
  <c r="AC97" i="13" s="1"/>
  <c r="AL97" i="13" s="1"/>
  <c r="AO96" i="2" a="1"/>
  <c r="AD97" i="13" s="1"/>
  <c r="AO95" i="2" a="1"/>
  <c r="AD96" i="13" s="1"/>
  <c r="AN95" i="2" a="1"/>
  <c r="AC96" i="13" s="1"/>
  <c r="AL96" i="13" s="1"/>
  <c r="AO94" i="2" a="1"/>
  <c r="AD95" i="13" s="1"/>
  <c r="AN94" i="2" a="1"/>
  <c r="AC95" i="13" s="1"/>
  <c r="AL95" i="13" s="1"/>
  <c r="AN93" i="2" a="1"/>
  <c r="AC94" i="13" s="1"/>
  <c r="AL94" i="13" s="1"/>
  <c r="AO93" i="2" a="1"/>
  <c r="AD94" i="13" s="1"/>
  <c r="AO92" i="2" a="1"/>
  <c r="AD93" i="13" s="1"/>
  <c r="AN92" i="2" a="1"/>
  <c r="AC93" i="13" s="1"/>
  <c r="AL93" i="13" s="1"/>
  <c r="AO91" i="2" a="1"/>
  <c r="AD92" i="13" s="1"/>
  <c r="AN91" i="2" a="1"/>
  <c r="AC92" i="13" s="1"/>
  <c r="AL92" i="13" s="1"/>
  <c r="AN90" i="2" a="1"/>
  <c r="AC91" i="13" s="1"/>
  <c r="AL91" i="13" s="1"/>
  <c r="AO90" i="2" a="1"/>
  <c r="AD91" i="13" s="1"/>
  <c r="AO89" i="2" a="1"/>
  <c r="AD90" i="13" s="1"/>
  <c r="AN89" i="2" a="1"/>
  <c r="AC90" i="13" s="1"/>
  <c r="AL90" i="13" s="1"/>
  <c r="AO88" i="2" a="1"/>
  <c r="AD89" i="13" s="1"/>
  <c r="AN88" i="2" a="1"/>
  <c r="AC89" i="13" s="1"/>
  <c r="AL89" i="13" s="1"/>
  <c r="AN87" i="2" a="1"/>
  <c r="AC88" i="13" s="1"/>
  <c r="AL88" i="13" s="1"/>
  <c r="AO87" i="2" a="1"/>
  <c r="AD88" i="13" s="1"/>
  <c r="AO86" i="2" a="1"/>
  <c r="AD87" i="13" s="1"/>
  <c r="AN86" i="2" a="1"/>
  <c r="AC87" i="13" s="1"/>
  <c r="AL87" i="13" s="1"/>
  <c r="AO85" i="2" a="1"/>
  <c r="AD86" i="13" s="1"/>
  <c r="AN85" i="2" a="1"/>
  <c r="AC86" i="13" s="1"/>
  <c r="AL86" i="13" s="1"/>
  <c r="AO84" i="2" a="1"/>
  <c r="AD85" i="13" s="1"/>
  <c r="AN84" i="2" a="1"/>
  <c r="AC85" i="13" s="1"/>
  <c r="AL85" i="13" s="1"/>
  <c r="AN83" i="2" a="1"/>
  <c r="AC84" i="13" s="1"/>
  <c r="AL84" i="13" s="1"/>
  <c r="AO83" i="2" a="1"/>
  <c r="AD84" i="13" s="1"/>
  <c r="AN82" i="2" a="1"/>
  <c r="AC83" i="13" s="1"/>
  <c r="AL83" i="13" s="1"/>
  <c r="AO82" i="2" a="1"/>
  <c r="AD83" i="13" s="1"/>
  <c r="AN81" i="2" a="1"/>
  <c r="AC82" i="13" s="1"/>
  <c r="AL82" i="13" s="1"/>
  <c r="AO81" i="2" a="1"/>
  <c r="AD82" i="13" s="1"/>
  <c r="AN80" i="2" a="1"/>
  <c r="AC81" i="13" s="1"/>
  <c r="AL81" i="13" s="1"/>
  <c r="AO80" i="2" a="1"/>
  <c r="AD81" i="13" s="1"/>
  <c r="AO79" i="2" a="1"/>
  <c r="AD80" i="13" s="1"/>
  <c r="AN79" i="2" a="1"/>
  <c r="AC80" i="13" s="1"/>
  <c r="AL80" i="13" s="1"/>
  <c r="AO78" i="2" a="1"/>
  <c r="AD79" i="13" s="1"/>
  <c r="AN78" i="2" a="1"/>
  <c r="AC79" i="13" s="1"/>
  <c r="AL79" i="13" s="1"/>
  <c r="AO77" i="2" a="1"/>
  <c r="AD78" i="13" s="1"/>
  <c r="AN77" i="2" a="1"/>
  <c r="AC78" i="13" s="1"/>
  <c r="AL78" i="13" s="1"/>
  <c r="AO76" i="2" a="1"/>
  <c r="AD77" i="13" s="1"/>
  <c r="AN76" i="2" a="1"/>
  <c r="AC77" i="13" s="1"/>
  <c r="AL77" i="13" s="1"/>
  <c r="AO75" i="2" a="1"/>
  <c r="AD76" i="13" s="1"/>
  <c r="AN75" i="2" a="1"/>
  <c r="AC76" i="13" s="1"/>
  <c r="AL76" i="13" s="1"/>
  <c r="AN74" i="2" a="1"/>
  <c r="AC75" i="13" s="1"/>
  <c r="AL75" i="13" s="1"/>
  <c r="AO74" i="2" a="1"/>
  <c r="AD75" i="13" s="1"/>
  <c r="AN73" i="2" a="1"/>
  <c r="AC74" i="13" s="1"/>
  <c r="AL74" i="13" s="1"/>
  <c r="AO73" i="2" a="1"/>
  <c r="AD74" i="13" s="1"/>
  <c r="AN72" i="2" a="1"/>
  <c r="AC73" i="13" s="1"/>
  <c r="AL73" i="13" s="1"/>
  <c r="AO72" i="2" a="1"/>
  <c r="AD73" i="13" s="1"/>
  <c r="AN71" i="2" a="1"/>
  <c r="AC72" i="13" s="1"/>
  <c r="AL72" i="13" s="1"/>
  <c r="AO71" i="2" a="1"/>
  <c r="AD72" i="13" s="1"/>
  <c r="AO70" i="2" a="1"/>
  <c r="AD71" i="13" s="1"/>
  <c r="AN70" i="2" a="1"/>
  <c r="AC71" i="13" s="1"/>
  <c r="AL71" i="13" s="1"/>
  <c r="AN68" i="2" a="1"/>
  <c r="AC69" i="13" s="1"/>
  <c r="AL69" i="13" s="1"/>
  <c r="AO68" i="2" a="1"/>
  <c r="AD69" i="13" s="1"/>
  <c r="AO67" i="2" a="1"/>
  <c r="AD68" i="13" s="1"/>
  <c r="AN67" i="2" a="1"/>
  <c r="AN66" i="2" a="1"/>
  <c r="AC67" i="13" s="1"/>
  <c r="AL67" i="13" s="1"/>
  <c r="AO66" i="2" a="1"/>
  <c r="AD67" i="13" s="1"/>
  <c r="AN65" i="2" a="1"/>
  <c r="AC66" i="13" s="1"/>
  <c r="AL66" i="13" s="1"/>
  <c r="AO65" i="2" a="1"/>
  <c r="AD66" i="13" s="1"/>
  <c r="AN64" i="2" a="1"/>
  <c r="AC65" i="13" s="1"/>
  <c r="AL65" i="13" s="1"/>
  <c r="AO64" i="2" a="1"/>
  <c r="AD65" i="13" s="1"/>
  <c r="AO63" i="2" a="1"/>
  <c r="AD64" i="13" s="1"/>
  <c r="AN63" i="2" a="1"/>
  <c r="AC64" i="13" s="1"/>
  <c r="AL64" i="13" s="1"/>
  <c r="AN62" i="2" a="1"/>
  <c r="AC63" i="13" s="1"/>
  <c r="AL63" i="13" s="1"/>
  <c r="AO62" i="2" a="1"/>
  <c r="AD63" i="13" s="1"/>
  <c r="AO61" i="2" a="1"/>
  <c r="AD62" i="13" s="1"/>
  <c r="AN61" i="2" a="1"/>
  <c r="AC62" i="13" s="1"/>
  <c r="AL62" i="13" s="1"/>
  <c r="AO59" i="2" a="1"/>
  <c r="AD60" i="13" s="1"/>
  <c r="AN59" i="2" a="1"/>
  <c r="AO58" i="2" a="1"/>
  <c r="AD59" i="13" s="1"/>
  <c r="AN58" i="2" a="1"/>
  <c r="AN57" i="2" a="1"/>
  <c r="AO57" i="2" a="1"/>
  <c r="AD58" i="13" s="1"/>
  <c r="AN56" i="2" a="1"/>
  <c r="AO56" i="2" a="1"/>
  <c r="AD57" i="13" s="1"/>
  <c r="AN55" i="2" a="1"/>
  <c r="AO55" i="2" a="1"/>
  <c r="AD56" i="13" s="1"/>
  <c r="AN54" i="2" a="1"/>
  <c r="AO54" i="2" a="1"/>
  <c r="AD55" i="13" s="1"/>
  <c r="AO53" i="2" a="1"/>
  <c r="AD54" i="13" s="1"/>
  <c r="AN53" i="2" a="1"/>
  <c r="AC54" i="13" s="1"/>
  <c r="AL54" i="13" s="1"/>
  <c r="AO52" i="2" a="1"/>
  <c r="AD53" i="13" s="1"/>
  <c r="AN52" i="2" a="1"/>
  <c r="AC53" i="13" s="1"/>
  <c r="AL53" i="13" s="1"/>
  <c r="AN51" i="2" a="1"/>
  <c r="AC52" i="13" s="1"/>
  <c r="AL52" i="13" s="1"/>
  <c r="AO51" i="2" a="1"/>
  <c r="AD52" i="13" s="1"/>
  <c r="AO50" i="2" a="1"/>
  <c r="AD51" i="13" s="1"/>
  <c r="AN50" i="2" a="1"/>
  <c r="AC51" i="13" s="1"/>
  <c r="AL51" i="13" s="1"/>
  <c r="AO49" i="2" a="1"/>
  <c r="AD50" i="13" s="1"/>
  <c r="AN49" i="2" a="1"/>
  <c r="AC50" i="13" s="1"/>
  <c r="AL50" i="13" s="1"/>
  <c r="AO48" i="2" a="1"/>
  <c r="AD49" i="13" s="1"/>
  <c r="AN48" i="2" a="1"/>
  <c r="AC49" i="13" s="1"/>
  <c r="AL49" i="13" s="1"/>
  <c r="AO47" i="2" a="1"/>
  <c r="AD48" i="13" s="1"/>
  <c r="AN47" i="2" a="1"/>
  <c r="AC48" i="13" s="1"/>
  <c r="AL48" i="13" s="1"/>
  <c r="AO46" i="2" a="1"/>
  <c r="AD47" i="13" s="1"/>
  <c r="AN46" i="2" a="1"/>
  <c r="AC47" i="13" s="1"/>
  <c r="AL47" i="13" s="1"/>
  <c r="AO45" i="2" a="1"/>
  <c r="AD46" i="13" s="1"/>
  <c r="AN45" i="2" a="1"/>
  <c r="AC46" i="13" s="1"/>
  <c r="AL46" i="13" s="1"/>
  <c r="AO44" i="2" a="1"/>
  <c r="AD45" i="13" s="1"/>
  <c r="AN44" i="2" a="1"/>
  <c r="AC45" i="13" s="1"/>
  <c r="AL45" i="13" s="1"/>
  <c r="AO43" i="2" a="1"/>
  <c r="AD44" i="13" s="1"/>
  <c r="AN43" i="2" a="1"/>
  <c r="AC44" i="13" s="1"/>
  <c r="AL44" i="13" s="1"/>
  <c r="AO42" i="2" a="1"/>
  <c r="AD43" i="13" s="1"/>
  <c r="AN42" i="2" a="1"/>
  <c r="AC43" i="13" s="1"/>
  <c r="AL43" i="13" s="1"/>
  <c r="AN41" i="2" a="1"/>
  <c r="AC42" i="13" s="1"/>
  <c r="AL42" i="13" s="1"/>
  <c r="AO41" i="2" a="1"/>
  <c r="AD42" i="13" s="1"/>
  <c r="AO40" i="2" a="1"/>
  <c r="AD41" i="13" s="1"/>
  <c r="AN40" i="2" a="1"/>
  <c r="AC41" i="13" s="1"/>
  <c r="AL41" i="13" s="1"/>
  <c r="AO39" i="2" a="1"/>
  <c r="AD40" i="13" s="1"/>
  <c r="AN39" i="2" a="1"/>
  <c r="AC40" i="13" s="1"/>
  <c r="AL40" i="13" s="1"/>
  <c r="AN38" i="2" a="1"/>
  <c r="AC39" i="13" s="1"/>
  <c r="AL39" i="13" s="1"/>
  <c r="AO38" i="2" a="1"/>
  <c r="AD39" i="13" s="1"/>
  <c r="AO37" i="2" a="1"/>
  <c r="AD38" i="13" s="1"/>
  <c r="AN37" i="2" a="1"/>
  <c r="AC38" i="13" s="1"/>
  <c r="AL38" i="13" s="1"/>
  <c r="AN36" i="2" a="1"/>
  <c r="AC37" i="13" s="1"/>
  <c r="AL37" i="13" s="1"/>
  <c r="AO36" i="2" a="1"/>
  <c r="AD37" i="13" s="1"/>
  <c r="AN35" i="2" a="1"/>
  <c r="AC36" i="13" s="1"/>
  <c r="AL36" i="13" s="1"/>
  <c r="AO35" i="2" a="1"/>
  <c r="AD36" i="13" s="1"/>
  <c r="AO34" i="2" a="1"/>
  <c r="AD35" i="13" s="1"/>
  <c r="AN34" i="2" a="1"/>
  <c r="AC35" i="13" s="1"/>
  <c r="AL35" i="13" s="1"/>
  <c r="AO32" i="2" a="1"/>
  <c r="AD33" i="13" s="1"/>
  <c r="AN32" i="2" a="1"/>
  <c r="AC33" i="13" s="1"/>
  <c r="AL33" i="13" s="1"/>
  <c r="AN31" i="2" a="1"/>
  <c r="AC32" i="13" s="1"/>
  <c r="AL32" i="13" s="1"/>
  <c r="AO31" i="2" a="1"/>
  <c r="AD32" i="13" s="1"/>
  <c r="AN30" i="2" a="1"/>
  <c r="AC31" i="13" s="1"/>
  <c r="AL31" i="13" s="1"/>
  <c r="AO30" i="2" a="1"/>
  <c r="AD31" i="13" s="1"/>
  <c r="AO29" i="2" a="1"/>
  <c r="AD30" i="13" s="1"/>
  <c r="AN29" i="2" a="1"/>
  <c r="AC30" i="13" s="1"/>
  <c r="AL30" i="13" s="1"/>
  <c r="AO28" i="2" a="1"/>
  <c r="AD29" i="13" s="1"/>
  <c r="AN28" i="2" a="1"/>
  <c r="AC29" i="13" s="1"/>
  <c r="AL29" i="13" s="1"/>
  <c r="AO27" i="2" a="1"/>
  <c r="AD28" i="13" s="1"/>
  <c r="AN27" i="2" a="1"/>
  <c r="AC28" i="13" s="1"/>
  <c r="AL28" i="13" s="1"/>
  <c r="AN26" i="2" a="1"/>
  <c r="AC27" i="13" s="1"/>
  <c r="AL27" i="13" s="1"/>
  <c r="AO26" i="2" a="1"/>
  <c r="AD27" i="13" s="1"/>
  <c r="AO25" i="2" a="1"/>
  <c r="AD26" i="13" s="1"/>
  <c r="AN25" i="2" a="1"/>
  <c r="AC26" i="13" s="1"/>
  <c r="AL26" i="13" s="1"/>
  <c r="AO24" i="2" a="1"/>
  <c r="AD25" i="13" s="1"/>
  <c r="AN24" i="2" a="1"/>
  <c r="AC25" i="13" s="1"/>
  <c r="AL25" i="13" s="1"/>
  <c r="AN23" i="2" a="1"/>
  <c r="AC24" i="13" s="1"/>
  <c r="AL24" i="13" s="1"/>
  <c r="AO23" i="2" a="1"/>
  <c r="AD24" i="13" s="1"/>
  <c r="AO22" i="2" a="1"/>
  <c r="AD23" i="13" s="1"/>
  <c r="AN22" i="2" a="1"/>
  <c r="AC23" i="13" s="1"/>
  <c r="AL23" i="13" s="1"/>
  <c r="AO21" i="2" a="1"/>
  <c r="AD22" i="13" s="1"/>
  <c r="AN21" i="2" a="1"/>
  <c r="AC22" i="13" s="1"/>
  <c r="AL22" i="13" s="1"/>
  <c r="AN20" i="2" a="1"/>
  <c r="AC21" i="13" s="1"/>
  <c r="AL21" i="13" s="1"/>
  <c r="AO20" i="2" a="1"/>
  <c r="AD21" i="13" s="1"/>
  <c r="AN19" i="2" a="1"/>
  <c r="AC20" i="13" s="1"/>
  <c r="AL20" i="13" s="1"/>
  <c r="AO19" i="2" a="1"/>
  <c r="AD20" i="13" s="1"/>
  <c r="AN18" i="2" a="1"/>
  <c r="AC19" i="13" s="1"/>
  <c r="AL19" i="13" s="1"/>
  <c r="AO18" i="2" a="1"/>
  <c r="AD19" i="13" s="1"/>
  <c r="AN17" i="2" a="1"/>
  <c r="AC18" i="13" s="1"/>
  <c r="AL18" i="13" s="1"/>
  <c r="AO17" i="2" a="1"/>
  <c r="AD18" i="13" s="1"/>
  <c r="AO16" i="2" a="1"/>
  <c r="AD17" i="13" s="1"/>
  <c r="AN16" i="2" a="1"/>
  <c r="AC17" i="13" s="1"/>
  <c r="AL17" i="13" s="1"/>
  <c r="AO15" i="2" a="1"/>
  <c r="AD16" i="13" s="1"/>
  <c r="AN15" i="2" a="1"/>
  <c r="AC16" i="13" s="1"/>
  <c r="AL16" i="13" s="1"/>
  <c r="AO14" i="2" a="1"/>
  <c r="AD15" i="13" s="1"/>
  <c r="AN14" i="2" a="1"/>
  <c r="AC15" i="13" s="1"/>
  <c r="AL15" i="13" s="1"/>
  <c r="AN13" i="2" a="1"/>
  <c r="AC14" i="13" s="1"/>
  <c r="AL14" i="13" s="1"/>
  <c r="AO13" i="2" a="1"/>
  <c r="AD14" i="13" s="1"/>
  <c r="AN12" i="2" a="1"/>
  <c r="AC13" i="13" s="1"/>
  <c r="AL13" i="13" s="1"/>
  <c r="AO12" i="2" a="1"/>
  <c r="AD13" i="13" s="1"/>
  <c r="AN11" i="2" a="1"/>
  <c r="AC12" i="13" s="1"/>
  <c r="AL12" i="13" s="1"/>
  <c r="AO11" i="2" a="1"/>
  <c r="AD12" i="13" s="1"/>
  <c r="AO10" i="2" a="1"/>
  <c r="AD11" i="13" s="1"/>
  <c r="AN10" i="2" a="1"/>
  <c r="AC11" i="13" s="1"/>
  <c r="AL11" i="13" s="1"/>
  <c r="AN9" i="2" a="1"/>
  <c r="AC10" i="13" s="1"/>
  <c r="AL10" i="13" s="1"/>
  <c r="AO9" i="2" a="1"/>
  <c r="AD10" i="13" s="1"/>
  <c r="AN8" i="2" a="1"/>
  <c r="AC9" i="13" s="1"/>
  <c r="AL9" i="13" s="1"/>
  <c r="AO8" i="2" a="1"/>
  <c r="AD9" i="13" s="1"/>
  <c r="AO123" i="2" a="1"/>
  <c r="AN123" i="2" a="1"/>
  <c r="AO121" i="2" a="1"/>
  <c r="AD122" i="13" s="1"/>
  <c r="AN121" i="2" a="1"/>
  <c r="AN111" i="2" a="1"/>
  <c r="AO111" i="2" a="1"/>
  <c r="AD112" i="13" s="1"/>
  <c r="AN69" i="2" a="1"/>
  <c r="AC70" i="13" s="1"/>
  <c r="AL70" i="13" s="1"/>
  <c r="AO69" i="2" a="1"/>
  <c r="AD70" i="13" s="1"/>
  <c r="BL123" i="2" a="1"/>
  <c r="BJ123" i="2" a="1"/>
  <c r="BK123" i="2" a="1"/>
  <c r="AV5" i="2" a="1"/>
  <c r="BH5" i="2" a="1"/>
  <c r="BH7" i="2" a="1"/>
  <c r="AV7" i="2" a="1"/>
  <c r="BH302" i="2" a="1"/>
  <c r="AP302" i="2" s="1"/>
  <c r="BM302" i="2" a="1"/>
  <c r="BN302" i="2" a="1"/>
  <c r="AV302" i="2" a="1"/>
  <c r="BH301" i="2" a="1"/>
  <c r="AP301" i="2" s="1"/>
  <c r="BM301" i="2" a="1"/>
  <c r="BN301" i="2" a="1"/>
  <c r="AV301" i="2" a="1"/>
  <c r="BH300" i="2" a="1"/>
  <c r="AP300" i="2" s="1"/>
  <c r="BM300" i="2" a="1"/>
  <c r="BN300" i="2" a="1"/>
  <c r="AV300" i="2" a="1"/>
  <c r="BH299" i="2" a="1"/>
  <c r="AP299" i="2" s="1"/>
  <c r="BM299" i="2" a="1"/>
  <c r="BN299" i="2" a="1"/>
  <c r="AV299" i="2" a="1"/>
  <c r="BH298" i="2" a="1"/>
  <c r="AP298" i="2" s="1"/>
  <c r="BM298" i="2" a="1"/>
  <c r="BN298" i="2" a="1"/>
  <c r="AV298" i="2" a="1"/>
  <c r="BH297" i="2" a="1"/>
  <c r="AP297" i="2" s="1"/>
  <c r="BM297" i="2" a="1"/>
  <c r="BN297" i="2" a="1"/>
  <c r="AV297" i="2" a="1"/>
  <c r="BH296" i="2" a="1"/>
  <c r="AP296" i="2" s="1"/>
  <c r="BM296" i="2" a="1"/>
  <c r="BN296" i="2" a="1"/>
  <c r="AV296" i="2" a="1"/>
  <c r="BH295" i="2" a="1"/>
  <c r="AP295" i="2" s="1"/>
  <c r="BM295" i="2" a="1"/>
  <c r="BN295" i="2" a="1"/>
  <c r="AV295" i="2" a="1"/>
  <c r="BH294" i="2" a="1"/>
  <c r="AP294" i="2" s="1"/>
  <c r="BM294" i="2" a="1"/>
  <c r="BN294" i="2" a="1"/>
  <c r="AV294" i="2" a="1"/>
  <c r="BH293" i="2" a="1"/>
  <c r="AP293" i="2" s="1"/>
  <c r="BM293" i="2" a="1"/>
  <c r="BN293" i="2" a="1"/>
  <c r="AV293" i="2" a="1"/>
  <c r="BH292" i="2" a="1"/>
  <c r="AP292" i="2" s="1"/>
  <c r="BM292" i="2" a="1"/>
  <c r="BN292" i="2" a="1"/>
  <c r="AV292" i="2" a="1"/>
  <c r="BH291" i="2" a="1"/>
  <c r="AP291" i="2" s="1"/>
  <c r="BM291" i="2" a="1"/>
  <c r="BN291" i="2" a="1"/>
  <c r="AV291" i="2" a="1"/>
  <c r="BH290" i="2" a="1"/>
  <c r="AP290" i="2" s="1"/>
  <c r="BM290" i="2" a="1"/>
  <c r="BN290" i="2" a="1"/>
  <c r="AV290" i="2" a="1"/>
  <c r="BH289" i="2" a="1"/>
  <c r="AP289" i="2" s="1"/>
  <c r="BM289" i="2" a="1"/>
  <c r="BN289" i="2" a="1"/>
  <c r="AV289" i="2" a="1"/>
  <c r="BH288" i="2" a="1"/>
  <c r="AP288" i="2" s="1"/>
  <c r="BM288" i="2" a="1"/>
  <c r="BN288" i="2" a="1"/>
  <c r="AV288" i="2" a="1"/>
  <c r="BH287" i="2" a="1"/>
  <c r="AP287" i="2" s="1"/>
  <c r="BM287" i="2" a="1"/>
  <c r="BN287" i="2" a="1"/>
  <c r="AV287" i="2" a="1"/>
  <c r="BH286" i="2" a="1"/>
  <c r="AP286" i="2" s="1"/>
  <c r="BM286" i="2" a="1"/>
  <c r="BN286" i="2" a="1"/>
  <c r="AV286" i="2" a="1"/>
  <c r="BH285" i="2" a="1"/>
  <c r="AP285" i="2" s="1"/>
  <c r="BM285" i="2" a="1"/>
  <c r="BN285" i="2" a="1"/>
  <c r="AV285" i="2" a="1"/>
  <c r="BH284" i="2" a="1"/>
  <c r="AP284" i="2" s="1"/>
  <c r="BM284" i="2" a="1"/>
  <c r="BN284" i="2" a="1"/>
  <c r="AV284" i="2" a="1"/>
  <c r="BH283" i="2" a="1"/>
  <c r="AP283" i="2" s="1"/>
  <c r="BM283" i="2" a="1"/>
  <c r="BN283" i="2" a="1"/>
  <c r="AV283" i="2" a="1"/>
  <c r="BH282" i="2" a="1"/>
  <c r="AP282" i="2" s="1"/>
  <c r="BM282" i="2" a="1"/>
  <c r="BN282" i="2" a="1"/>
  <c r="AV282" i="2" a="1"/>
  <c r="BH281" i="2" a="1"/>
  <c r="AP281" i="2" s="1"/>
  <c r="BM281" i="2" a="1"/>
  <c r="BN281" i="2" a="1"/>
  <c r="AV281" i="2" a="1"/>
  <c r="BH280" i="2" a="1"/>
  <c r="AP280" i="2" s="1"/>
  <c r="BM280" i="2" a="1"/>
  <c r="BN280" i="2" a="1"/>
  <c r="AV280" i="2" a="1"/>
  <c r="BH279" i="2" a="1"/>
  <c r="AP279" i="2" s="1"/>
  <c r="BM279" i="2" a="1"/>
  <c r="BN279" i="2" a="1"/>
  <c r="AV279" i="2" a="1"/>
  <c r="BH278" i="2" a="1"/>
  <c r="AP278" i="2" s="1"/>
  <c r="BM278" i="2" a="1"/>
  <c r="BN278" i="2" a="1"/>
  <c r="AV278" i="2" a="1"/>
  <c r="BH277" i="2" a="1"/>
  <c r="AP277" i="2" s="1"/>
  <c r="BM277" i="2" a="1"/>
  <c r="BN277" i="2" a="1"/>
  <c r="AV277" i="2" a="1"/>
  <c r="BH276" i="2" a="1"/>
  <c r="AP276" i="2" s="1"/>
  <c r="BM276" i="2" a="1"/>
  <c r="BN276" i="2" a="1"/>
  <c r="AV276" i="2" a="1"/>
  <c r="BH275" i="2" a="1"/>
  <c r="AP275" i="2" s="1"/>
  <c r="BM275" i="2" a="1"/>
  <c r="BN275" i="2" a="1"/>
  <c r="AV275" i="2" a="1"/>
  <c r="BH274" i="2" a="1"/>
  <c r="AP274" i="2" s="1"/>
  <c r="BM274" i="2" a="1"/>
  <c r="BN274" i="2" a="1"/>
  <c r="AV274" i="2" a="1"/>
  <c r="BH273" i="2" a="1"/>
  <c r="AP273" i="2" s="1"/>
  <c r="BM273" i="2" a="1"/>
  <c r="BN273" i="2" a="1"/>
  <c r="AV273" i="2" a="1"/>
  <c r="BH272" i="2" a="1"/>
  <c r="AP272" i="2" s="1"/>
  <c r="BM272" i="2" a="1"/>
  <c r="BN272" i="2" a="1"/>
  <c r="AV272" i="2" a="1"/>
  <c r="BH271" i="2" a="1"/>
  <c r="AP271" i="2" s="1"/>
  <c r="BM271" i="2" a="1"/>
  <c r="BN271" i="2" a="1"/>
  <c r="AV271" i="2" a="1"/>
  <c r="BH270" i="2" a="1"/>
  <c r="AP270" i="2" s="1"/>
  <c r="BM270" i="2" a="1"/>
  <c r="BN270" i="2" a="1"/>
  <c r="AV270" i="2" a="1"/>
  <c r="BH269" i="2" a="1"/>
  <c r="AP269" i="2" s="1"/>
  <c r="BM269" i="2" a="1"/>
  <c r="BN269" i="2" a="1"/>
  <c r="AV269" i="2" a="1"/>
  <c r="BH268" i="2" a="1"/>
  <c r="AP268" i="2" s="1"/>
  <c r="BM268" i="2" a="1"/>
  <c r="BN268" i="2" a="1"/>
  <c r="AV268" i="2" a="1"/>
  <c r="BH267" i="2" a="1"/>
  <c r="AP267" i="2" s="1"/>
  <c r="BM267" i="2" a="1"/>
  <c r="BN267" i="2" a="1"/>
  <c r="AV267" i="2" a="1"/>
  <c r="BH266" i="2" a="1"/>
  <c r="AP266" i="2" s="1"/>
  <c r="BM266" i="2" a="1"/>
  <c r="BN266" i="2" a="1"/>
  <c r="AV266" i="2" a="1"/>
  <c r="BH265" i="2" a="1"/>
  <c r="AP265" i="2" s="1"/>
  <c r="BM265" i="2" a="1"/>
  <c r="BN265" i="2" a="1"/>
  <c r="AV265" i="2" a="1"/>
  <c r="BH264" i="2" a="1"/>
  <c r="AP264" i="2" s="1"/>
  <c r="BM264" i="2" a="1"/>
  <c r="BN264" i="2" a="1"/>
  <c r="AV264" i="2" a="1"/>
  <c r="BH263" i="2" a="1"/>
  <c r="AP263" i="2" s="1"/>
  <c r="BM263" i="2" a="1"/>
  <c r="BN263" i="2" a="1"/>
  <c r="AV263" i="2" a="1"/>
  <c r="BH262" i="2" a="1"/>
  <c r="AP262" i="2" s="1"/>
  <c r="BM262" i="2" a="1"/>
  <c r="BN262" i="2" a="1"/>
  <c r="AV262" i="2" a="1"/>
  <c r="BH261" i="2" a="1"/>
  <c r="AP261" i="2" s="1"/>
  <c r="BM261" i="2" a="1"/>
  <c r="BN261" i="2" a="1"/>
  <c r="AV261" i="2" a="1"/>
  <c r="BH260" i="2" a="1"/>
  <c r="AP260" i="2" s="1"/>
  <c r="BM260" i="2" a="1"/>
  <c r="BN260" i="2" a="1"/>
  <c r="AV260" i="2" a="1"/>
  <c r="BH259" i="2" a="1"/>
  <c r="AP259" i="2" s="1"/>
  <c r="BM259" i="2" a="1"/>
  <c r="BN259" i="2" a="1"/>
  <c r="AV259" i="2" a="1"/>
  <c r="BH258" i="2" a="1"/>
  <c r="AP258" i="2" s="1"/>
  <c r="BM258" i="2" a="1"/>
  <c r="BN258" i="2" a="1"/>
  <c r="AV258" i="2" a="1"/>
  <c r="BH257" i="2" a="1"/>
  <c r="AP257" i="2" s="1"/>
  <c r="BM257" i="2" a="1"/>
  <c r="BN257" i="2" a="1"/>
  <c r="AV257" i="2" a="1"/>
  <c r="BH256" i="2" a="1"/>
  <c r="AP256" i="2" s="1"/>
  <c r="BM256" i="2" a="1"/>
  <c r="BN256" i="2" a="1"/>
  <c r="AV256" i="2" a="1"/>
  <c r="BH255" i="2" a="1"/>
  <c r="AP255" i="2" s="1"/>
  <c r="BM255" i="2" a="1"/>
  <c r="BN255" i="2" a="1"/>
  <c r="AV255" i="2" a="1"/>
  <c r="BH254" i="2" a="1"/>
  <c r="AP254" i="2" s="1"/>
  <c r="BM254" i="2" a="1"/>
  <c r="BN254" i="2" a="1"/>
  <c r="AV254" i="2" a="1"/>
  <c r="BH253" i="2" a="1"/>
  <c r="AP253" i="2" s="1"/>
  <c r="BM253" i="2" a="1"/>
  <c r="BN253" i="2" a="1"/>
  <c r="AV253" i="2" a="1"/>
  <c r="BH252" i="2" a="1"/>
  <c r="AP252" i="2" s="1"/>
  <c r="BM252" i="2" a="1"/>
  <c r="BN252" i="2" a="1"/>
  <c r="AV252" i="2" a="1"/>
  <c r="BH251" i="2" a="1"/>
  <c r="AP251" i="2" s="1"/>
  <c r="BM251" i="2" a="1"/>
  <c r="BN251" i="2" a="1"/>
  <c r="AV251" i="2" a="1"/>
  <c r="BH250" i="2" a="1"/>
  <c r="AP250" i="2" s="1"/>
  <c r="BM250" i="2" a="1"/>
  <c r="BN250" i="2" a="1"/>
  <c r="AV250" i="2" a="1"/>
  <c r="BH249" i="2" a="1"/>
  <c r="AP249" i="2" s="1"/>
  <c r="BM249" i="2" a="1"/>
  <c r="BN249" i="2" a="1"/>
  <c r="AV249" i="2" a="1"/>
  <c r="BH248" i="2" a="1"/>
  <c r="AP248" i="2" s="1"/>
  <c r="BM248" i="2" a="1"/>
  <c r="BN248" i="2" a="1"/>
  <c r="AV248" i="2" a="1"/>
  <c r="BH247" i="2" a="1"/>
  <c r="AP247" i="2" s="1"/>
  <c r="BM247" i="2" a="1"/>
  <c r="BN247" i="2" a="1"/>
  <c r="AV247" i="2" a="1"/>
  <c r="BH246" i="2" a="1"/>
  <c r="AP246" i="2" s="1"/>
  <c r="BM246" i="2" a="1"/>
  <c r="BN246" i="2" a="1"/>
  <c r="AV246" i="2" a="1"/>
  <c r="BH245" i="2" a="1"/>
  <c r="AP245" i="2" s="1"/>
  <c r="BM245" i="2" a="1"/>
  <c r="BN245" i="2" a="1"/>
  <c r="AV245" i="2" a="1"/>
  <c r="BH244" i="2" a="1"/>
  <c r="AP244" i="2" s="1"/>
  <c r="BM244" i="2" a="1"/>
  <c r="BN244" i="2" a="1"/>
  <c r="AV244" i="2" a="1"/>
  <c r="BH243" i="2" a="1"/>
  <c r="AP243" i="2" s="1"/>
  <c r="BM243" i="2" a="1"/>
  <c r="BN243" i="2" a="1"/>
  <c r="AV243" i="2" a="1"/>
  <c r="BH242" i="2" a="1"/>
  <c r="AP242" i="2" s="1"/>
  <c r="BM242" i="2" a="1"/>
  <c r="BN242" i="2" a="1"/>
  <c r="AV242" i="2" a="1"/>
  <c r="BH241" i="2" a="1"/>
  <c r="AP241" i="2" s="1"/>
  <c r="BM241" i="2" a="1"/>
  <c r="BN241" i="2" a="1"/>
  <c r="AV241" i="2" a="1"/>
  <c r="BM240" i="2" a="1"/>
  <c r="AV240" i="2" a="1"/>
  <c r="BH240" i="2" a="1"/>
  <c r="AP240" i="2" s="1"/>
  <c r="BN240" i="2" a="1"/>
  <c r="BM239" i="2" a="1"/>
  <c r="BH239" i="2" a="1"/>
  <c r="AP239" i="2" s="1"/>
  <c r="BN239" i="2" a="1"/>
  <c r="AV239" i="2" a="1"/>
  <c r="AV238" i="2" a="1"/>
  <c r="BH238" i="2" a="1"/>
  <c r="AP238" i="2" s="1"/>
  <c r="BM238" i="2" a="1"/>
  <c r="BN238" i="2" a="1"/>
  <c r="BM237" i="2" a="1"/>
  <c r="BH237" i="2" a="1"/>
  <c r="AP237" i="2" s="1"/>
  <c r="BN237" i="2" a="1"/>
  <c r="AV237" i="2" a="1"/>
  <c r="BH236" i="2" a="1"/>
  <c r="AP236" i="2" s="1"/>
  <c r="BN236" i="2" a="1"/>
  <c r="AV236" i="2" a="1"/>
  <c r="BM236" i="2" a="1"/>
  <c r="BN235" i="2" a="1"/>
  <c r="AV235" i="2" a="1"/>
  <c r="BM235" i="2" a="1"/>
  <c r="BH235" i="2" a="1"/>
  <c r="AP235" i="2" s="1"/>
  <c r="BN234" i="2" a="1"/>
  <c r="BH234" i="2" a="1"/>
  <c r="AP234" i="2" s="1"/>
  <c r="BM234" i="2" a="1"/>
  <c r="AV234" i="2" a="1"/>
  <c r="BH233" i="2" a="1"/>
  <c r="AP233" i="2" s="1"/>
  <c r="BN233" i="2" a="1"/>
  <c r="AV233" i="2" a="1"/>
  <c r="BM233" i="2" a="1"/>
  <c r="BN232" i="2" a="1"/>
  <c r="AV232" i="2" a="1"/>
  <c r="BH232" i="2" a="1"/>
  <c r="AP232" i="2" s="1"/>
  <c r="BM232" i="2" a="1"/>
  <c r="BN231" i="2" a="1"/>
  <c r="AV231" i="2" a="1"/>
  <c r="BH231" i="2" a="1"/>
  <c r="AP231" i="2" s="1"/>
  <c r="BM231" i="2" a="1"/>
  <c r="BM230" i="2" a="1"/>
  <c r="BH230" i="2" a="1"/>
  <c r="AP230" i="2" s="1"/>
  <c r="BN230" i="2" a="1"/>
  <c r="AV230" i="2" a="1"/>
  <c r="BM229" i="2" a="1"/>
  <c r="AV229" i="2" a="1"/>
  <c r="BH229" i="2" a="1"/>
  <c r="AP229" i="2" s="1"/>
  <c r="BN229" i="2" a="1"/>
  <c r="BM228" i="2" a="1"/>
  <c r="BH228" i="2" a="1"/>
  <c r="AP228" i="2" s="1"/>
  <c r="BN228" i="2" a="1"/>
  <c r="AV228" i="2" a="1"/>
  <c r="BM227" i="2" a="1"/>
  <c r="BN227" i="2" a="1"/>
  <c r="AV227" i="2" a="1"/>
  <c r="BH227" i="2" a="1"/>
  <c r="AP227" i="2" s="1"/>
  <c r="BN226" i="2" a="1"/>
  <c r="BH226" i="2" a="1"/>
  <c r="AP226" i="2" s="1"/>
  <c r="AV226" i="2" a="1"/>
  <c r="BM226" i="2" a="1"/>
  <c r="BH225" i="2" a="1"/>
  <c r="AP225" i="2" s="1"/>
  <c r="BM225" i="2" a="1"/>
  <c r="BN225" i="2" a="1"/>
  <c r="AV225" i="2" a="1"/>
  <c r="BH224" i="2" a="1"/>
  <c r="AP224" i="2" s="1"/>
  <c r="BM224" i="2" a="1"/>
  <c r="BN224" i="2" a="1"/>
  <c r="AV224" i="2" a="1"/>
  <c r="BH223" i="2" a="1"/>
  <c r="AP223" i="2" s="1"/>
  <c r="BM223" i="2" a="1"/>
  <c r="BN223" i="2" a="1"/>
  <c r="AV223" i="2" a="1"/>
  <c r="BH222" i="2" a="1"/>
  <c r="AP222" i="2" s="1"/>
  <c r="BM222" i="2" a="1"/>
  <c r="BN222" i="2" a="1"/>
  <c r="AV222" i="2" a="1"/>
  <c r="BH221" i="2" a="1"/>
  <c r="AP221" i="2" s="1"/>
  <c r="BM221" i="2" a="1"/>
  <c r="BN221" i="2" a="1"/>
  <c r="AV221" i="2" a="1"/>
  <c r="BH220" i="2" a="1"/>
  <c r="AP220" i="2" s="1"/>
  <c r="BM220" i="2" a="1"/>
  <c r="BN220" i="2" a="1"/>
  <c r="AV220" i="2" a="1"/>
  <c r="BH219" i="2" a="1"/>
  <c r="AP219" i="2" s="1"/>
  <c r="BM219" i="2" a="1"/>
  <c r="BN219" i="2" a="1"/>
  <c r="AV219" i="2" a="1"/>
  <c r="BH218" i="2" a="1"/>
  <c r="AP218" i="2" s="1"/>
  <c r="BM218" i="2" a="1"/>
  <c r="BN218" i="2" a="1"/>
  <c r="AV218" i="2" a="1"/>
  <c r="BH217" i="2" a="1"/>
  <c r="AP217" i="2" s="1"/>
  <c r="BM217" i="2" a="1"/>
  <c r="BN217" i="2" a="1"/>
  <c r="AV217" i="2" a="1"/>
  <c r="BH216" i="2" a="1"/>
  <c r="AP216" i="2" s="1"/>
  <c r="BM216" i="2" a="1"/>
  <c r="BN216" i="2" a="1"/>
  <c r="AV216" i="2" a="1"/>
  <c r="BH215" i="2" a="1"/>
  <c r="AP215" i="2" s="1"/>
  <c r="BM215" i="2" a="1"/>
  <c r="BN215" i="2" a="1"/>
  <c r="AV215" i="2" a="1"/>
  <c r="BH214" i="2" a="1"/>
  <c r="AP214" i="2" s="1"/>
  <c r="BM214" i="2" a="1"/>
  <c r="BN214" i="2" a="1"/>
  <c r="AV214" i="2" a="1"/>
  <c r="BH213" i="2" a="1"/>
  <c r="AP213" i="2" s="1"/>
  <c r="BM213" i="2" a="1"/>
  <c r="BN213" i="2" a="1"/>
  <c r="AV213" i="2" a="1"/>
  <c r="BH212" i="2" a="1"/>
  <c r="AP212" i="2" s="1"/>
  <c r="BM212" i="2" a="1"/>
  <c r="BN212" i="2" a="1"/>
  <c r="AV212" i="2" a="1"/>
  <c r="BH211" i="2" a="1"/>
  <c r="AP211" i="2" s="1"/>
  <c r="BM211" i="2" a="1"/>
  <c r="BN211" i="2" a="1"/>
  <c r="AV211" i="2" a="1"/>
  <c r="BH210" i="2" a="1"/>
  <c r="AP210" i="2" s="1"/>
  <c r="BM210" i="2" a="1"/>
  <c r="BN210" i="2" a="1"/>
  <c r="AV210" i="2" a="1"/>
  <c r="BH209" i="2" a="1"/>
  <c r="AP209" i="2" s="1"/>
  <c r="BM209" i="2" a="1"/>
  <c r="BN209" i="2" a="1"/>
  <c r="AV209" i="2" a="1"/>
  <c r="BH208" i="2" a="1"/>
  <c r="AP208" i="2" s="1"/>
  <c r="BM208" i="2" a="1"/>
  <c r="BN208" i="2" a="1"/>
  <c r="AV208" i="2" a="1"/>
  <c r="BH207" i="2" a="1"/>
  <c r="AP207" i="2" s="1"/>
  <c r="BM207" i="2" a="1"/>
  <c r="BN207" i="2" a="1"/>
  <c r="AV207" i="2" a="1"/>
  <c r="BH206" i="2" a="1"/>
  <c r="AP206" i="2" s="1"/>
  <c r="BM206" i="2" a="1"/>
  <c r="BN206" i="2" a="1"/>
  <c r="AV206" i="2" a="1"/>
  <c r="BH205" i="2" a="1"/>
  <c r="AP205" i="2" s="1"/>
  <c r="BM205" i="2" a="1"/>
  <c r="BN205" i="2" a="1"/>
  <c r="AV205" i="2" a="1"/>
  <c r="BH204" i="2" a="1"/>
  <c r="AP204" i="2" s="1"/>
  <c r="BM204" i="2" a="1"/>
  <c r="BN204" i="2" a="1"/>
  <c r="AV204" i="2" a="1"/>
  <c r="BH203" i="2" a="1"/>
  <c r="AP203" i="2" s="1"/>
  <c r="BM203" i="2" a="1"/>
  <c r="BN203" i="2" a="1"/>
  <c r="AV203" i="2" a="1"/>
  <c r="BH202" i="2" a="1"/>
  <c r="AP202" i="2" s="1"/>
  <c r="BM202" i="2" a="1"/>
  <c r="BN202" i="2" a="1"/>
  <c r="AV202" i="2" a="1"/>
  <c r="BH201" i="2" a="1"/>
  <c r="AP201" i="2" s="1"/>
  <c r="BM201" i="2" a="1"/>
  <c r="BN201" i="2" a="1"/>
  <c r="AV201" i="2" a="1"/>
  <c r="BH200" i="2" a="1"/>
  <c r="AP200" i="2" s="1"/>
  <c r="BM200" i="2" a="1"/>
  <c r="BN200" i="2" a="1"/>
  <c r="AV200" i="2" a="1"/>
  <c r="BH199" i="2" a="1"/>
  <c r="AP199" i="2" s="1"/>
  <c r="BM199" i="2" a="1"/>
  <c r="BN199" i="2" a="1"/>
  <c r="AV199" i="2" a="1"/>
  <c r="BH198" i="2" a="1"/>
  <c r="AP198" i="2" s="1"/>
  <c r="BM198" i="2" a="1"/>
  <c r="BN198" i="2" a="1"/>
  <c r="AV198" i="2" a="1"/>
  <c r="BH197" i="2" a="1"/>
  <c r="AP197" i="2" s="1"/>
  <c r="BM197" i="2" a="1"/>
  <c r="BN197" i="2" a="1"/>
  <c r="AV197" i="2" a="1"/>
  <c r="BH196" i="2" a="1"/>
  <c r="AP196" i="2" s="1"/>
  <c r="BM196" i="2" a="1"/>
  <c r="BN196" i="2" a="1"/>
  <c r="AV196" i="2" a="1"/>
  <c r="BH195" i="2" a="1"/>
  <c r="AP195" i="2" s="1"/>
  <c r="BM195" i="2" a="1"/>
  <c r="BN195" i="2" a="1"/>
  <c r="AV195" i="2" a="1"/>
  <c r="BH194" i="2" a="1"/>
  <c r="AP194" i="2" s="1"/>
  <c r="BM194" i="2" a="1"/>
  <c r="BN194" i="2" a="1"/>
  <c r="AV194" i="2" a="1"/>
  <c r="BH193" i="2" a="1"/>
  <c r="AP193" i="2" s="1"/>
  <c r="BM193" i="2" a="1"/>
  <c r="BN193" i="2" a="1"/>
  <c r="AV193" i="2" a="1"/>
  <c r="BH192" i="2" a="1"/>
  <c r="AP192" i="2" s="1"/>
  <c r="BM192" i="2" a="1"/>
  <c r="BN192" i="2" a="1"/>
  <c r="AV192" i="2" a="1"/>
  <c r="BH191" i="2" a="1"/>
  <c r="AP191" i="2" s="1"/>
  <c r="BM191" i="2" a="1"/>
  <c r="BN191" i="2" a="1"/>
  <c r="AV191" i="2" a="1"/>
  <c r="BH190" i="2" a="1"/>
  <c r="AP190" i="2" s="1"/>
  <c r="BM190" i="2" a="1"/>
  <c r="BN190" i="2" a="1"/>
  <c r="AV190" i="2" a="1"/>
  <c r="BH189" i="2" a="1"/>
  <c r="AP189" i="2" s="1"/>
  <c r="BM189" i="2" a="1"/>
  <c r="BN189" i="2" a="1"/>
  <c r="AV189" i="2" a="1"/>
  <c r="BH188" i="2" a="1"/>
  <c r="AP188" i="2" s="1"/>
  <c r="BM188" i="2" a="1"/>
  <c r="BN188" i="2" a="1"/>
  <c r="AV188" i="2" a="1"/>
  <c r="BH187" i="2" a="1"/>
  <c r="AP187" i="2" s="1"/>
  <c r="BM187" i="2" a="1"/>
  <c r="BN187" i="2" a="1"/>
  <c r="AV187" i="2" a="1"/>
  <c r="BH186" i="2" a="1"/>
  <c r="AP186" i="2" s="1"/>
  <c r="BM186" i="2" a="1"/>
  <c r="BN186" i="2" a="1"/>
  <c r="AV186" i="2" a="1"/>
  <c r="BH185" i="2" a="1"/>
  <c r="AP185" i="2" s="1"/>
  <c r="BM185" i="2" a="1"/>
  <c r="BN185" i="2" a="1"/>
  <c r="AV185" i="2" a="1"/>
  <c r="BH184" i="2" a="1"/>
  <c r="AP184" i="2" s="1"/>
  <c r="BM184" i="2" a="1"/>
  <c r="BN184" i="2" a="1"/>
  <c r="AV184" i="2" a="1"/>
  <c r="BH183" i="2" a="1"/>
  <c r="AP183" i="2" s="1"/>
  <c r="BM183" i="2" a="1"/>
  <c r="BN183" i="2" a="1"/>
  <c r="AV183" i="2" a="1"/>
  <c r="BH182" i="2" a="1"/>
  <c r="AP182" i="2" s="1"/>
  <c r="BM182" i="2" a="1"/>
  <c r="BN182" i="2" a="1"/>
  <c r="AV182" i="2" a="1"/>
  <c r="BH181" i="2" a="1"/>
  <c r="AP181" i="2" s="1"/>
  <c r="BM181" i="2" a="1"/>
  <c r="BN181" i="2" a="1"/>
  <c r="AV181" i="2" a="1"/>
  <c r="BH180" i="2" a="1"/>
  <c r="AP180" i="2" s="1"/>
  <c r="BM180" i="2" a="1"/>
  <c r="BN180" i="2" a="1"/>
  <c r="AV180" i="2" a="1"/>
  <c r="BH179" i="2" a="1"/>
  <c r="AP179" i="2" s="1"/>
  <c r="BM179" i="2" a="1"/>
  <c r="BN179" i="2" a="1"/>
  <c r="AV179" i="2" a="1"/>
  <c r="BH178" i="2" a="1"/>
  <c r="AP178" i="2" s="1"/>
  <c r="BM178" i="2" a="1"/>
  <c r="BN178" i="2" a="1"/>
  <c r="AV178" i="2" a="1"/>
  <c r="BH177" i="2" a="1"/>
  <c r="AP177" i="2" s="1"/>
  <c r="BM177" i="2" a="1"/>
  <c r="BN177" i="2" a="1"/>
  <c r="AV177" i="2" a="1"/>
  <c r="BH176" i="2" a="1"/>
  <c r="AP176" i="2" s="1"/>
  <c r="BM176" i="2" a="1"/>
  <c r="BN176" i="2" a="1"/>
  <c r="AV176" i="2" a="1"/>
  <c r="BH175" i="2" a="1"/>
  <c r="AP175" i="2" s="1"/>
  <c r="BM175" i="2" a="1"/>
  <c r="BN175" i="2" a="1"/>
  <c r="AV175" i="2" a="1"/>
  <c r="BH174" i="2" a="1"/>
  <c r="AP174" i="2" s="1"/>
  <c r="BM174" i="2" a="1"/>
  <c r="BN174" i="2" a="1"/>
  <c r="AV174" i="2" a="1"/>
  <c r="BH173" i="2" a="1"/>
  <c r="AP173" i="2" s="1"/>
  <c r="BM173" i="2" a="1"/>
  <c r="BN173" i="2" a="1"/>
  <c r="AV173" i="2" a="1"/>
  <c r="BH172" i="2" a="1"/>
  <c r="AP172" i="2" s="1"/>
  <c r="BM172" i="2" a="1"/>
  <c r="BN172" i="2" a="1"/>
  <c r="AV172" i="2" a="1"/>
  <c r="BH171" i="2" a="1"/>
  <c r="AP171" i="2" s="1"/>
  <c r="BM171" i="2" a="1"/>
  <c r="BN171" i="2" a="1"/>
  <c r="AV171" i="2" a="1"/>
  <c r="BH170" i="2" a="1"/>
  <c r="AP170" i="2" s="1"/>
  <c r="BM170" i="2" a="1"/>
  <c r="BN170" i="2" a="1"/>
  <c r="AV170" i="2" a="1"/>
  <c r="BH169" i="2" a="1"/>
  <c r="AP169" i="2" s="1"/>
  <c r="BM169" i="2" a="1"/>
  <c r="BN169" i="2" a="1"/>
  <c r="AV169" i="2" a="1"/>
  <c r="BH168" i="2" a="1"/>
  <c r="AP168" i="2" s="1"/>
  <c r="BM168" i="2" a="1"/>
  <c r="BN168" i="2" a="1"/>
  <c r="AV168" i="2" a="1"/>
  <c r="BH167" i="2" a="1"/>
  <c r="AP167" i="2" s="1"/>
  <c r="BM167" i="2" a="1"/>
  <c r="BN167" i="2" a="1"/>
  <c r="AV167" i="2" a="1"/>
  <c r="BH166" i="2" a="1"/>
  <c r="AP166" i="2" s="1"/>
  <c r="BM166" i="2" a="1"/>
  <c r="BN166" i="2" a="1"/>
  <c r="AV166" i="2" a="1"/>
  <c r="BH165" i="2" a="1"/>
  <c r="AP165" i="2" s="1"/>
  <c r="BM165" i="2" a="1"/>
  <c r="BN165" i="2" a="1"/>
  <c r="AV165" i="2" a="1"/>
  <c r="BH164" i="2" a="1"/>
  <c r="AP164" i="2" s="1"/>
  <c r="BM164" i="2" a="1"/>
  <c r="BN164" i="2" a="1"/>
  <c r="AV164" i="2" a="1"/>
  <c r="BH163" i="2" a="1"/>
  <c r="AP163" i="2" s="1"/>
  <c r="BM163" i="2" a="1"/>
  <c r="BN163" i="2" a="1"/>
  <c r="AV163" i="2" a="1"/>
  <c r="BH162" i="2" a="1"/>
  <c r="AP162" i="2" s="1"/>
  <c r="BM162" i="2" a="1"/>
  <c r="BN162" i="2" a="1"/>
  <c r="AV162" i="2" a="1"/>
  <c r="BH161" i="2" a="1"/>
  <c r="AP161" i="2" s="1"/>
  <c r="BM161" i="2" a="1"/>
  <c r="BN161" i="2" a="1"/>
  <c r="AV161" i="2" a="1"/>
  <c r="BH160" i="2" a="1"/>
  <c r="AP160" i="2" s="1"/>
  <c r="BM160" i="2" a="1"/>
  <c r="BN160" i="2" a="1"/>
  <c r="AV160" i="2" a="1"/>
  <c r="BH159" i="2" a="1"/>
  <c r="AP159" i="2" s="1"/>
  <c r="BM159" i="2" a="1"/>
  <c r="BN159" i="2" a="1"/>
  <c r="AV159" i="2" a="1"/>
  <c r="BH158" i="2" a="1"/>
  <c r="AP158" i="2" s="1"/>
  <c r="BM158" i="2" a="1"/>
  <c r="BN158" i="2" a="1"/>
  <c r="AV158" i="2" a="1"/>
  <c r="BH157" i="2" a="1"/>
  <c r="AP157" i="2" s="1"/>
  <c r="BM157" i="2" a="1"/>
  <c r="BN157" i="2" a="1"/>
  <c r="AV157" i="2" a="1"/>
  <c r="BH156" i="2" a="1"/>
  <c r="AP156" i="2" s="1"/>
  <c r="BM156" i="2" a="1"/>
  <c r="BN156" i="2" a="1"/>
  <c r="AV156" i="2" a="1"/>
  <c r="BH155" i="2" a="1"/>
  <c r="AP155" i="2" s="1"/>
  <c r="BM155" i="2" a="1"/>
  <c r="BN155" i="2" a="1"/>
  <c r="AV155" i="2" a="1"/>
  <c r="BH154" i="2" a="1"/>
  <c r="AP154" i="2" s="1"/>
  <c r="BM154" i="2" a="1"/>
  <c r="BN154" i="2" a="1"/>
  <c r="AV154" i="2" a="1"/>
  <c r="BH153" i="2" a="1"/>
  <c r="AP153" i="2" s="1"/>
  <c r="BM153" i="2" a="1"/>
  <c r="BN153" i="2" a="1"/>
  <c r="AV153" i="2" a="1"/>
  <c r="BH152" i="2" a="1"/>
  <c r="AP152" i="2" s="1"/>
  <c r="BM152" i="2" a="1"/>
  <c r="BN152" i="2" a="1"/>
  <c r="AV152" i="2" a="1"/>
  <c r="BH151" i="2" a="1"/>
  <c r="AP151" i="2" s="1"/>
  <c r="BM151" i="2" a="1"/>
  <c r="BN151" i="2" a="1"/>
  <c r="AV151" i="2" a="1"/>
  <c r="BH150" i="2" a="1"/>
  <c r="AP150" i="2" s="1"/>
  <c r="BM150" i="2" a="1"/>
  <c r="BN150" i="2" a="1"/>
  <c r="AV150" i="2" a="1"/>
  <c r="BH149" i="2" a="1"/>
  <c r="AP149" i="2" s="1"/>
  <c r="BM149" i="2" a="1"/>
  <c r="BN149" i="2" a="1"/>
  <c r="AV149" i="2" a="1"/>
  <c r="BH148" i="2" a="1"/>
  <c r="AP148" i="2" s="1"/>
  <c r="BM148" i="2" a="1"/>
  <c r="BN148" i="2" a="1"/>
  <c r="AV148" i="2" a="1"/>
  <c r="BH147" i="2" a="1"/>
  <c r="AP147" i="2" s="1"/>
  <c r="BM147" i="2" a="1"/>
  <c r="BN147" i="2" a="1"/>
  <c r="AV147" i="2" a="1"/>
  <c r="BH146" i="2" a="1"/>
  <c r="AP146" i="2" s="1"/>
  <c r="BM146" i="2" a="1"/>
  <c r="BN146" i="2" a="1"/>
  <c r="AV146" i="2" a="1"/>
  <c r="BH145" i="2" a="1"/>
  <c r="AP145" i="2" s="1"/>
  <c r="BM145" i="2" a="1"/>
  <c r="BN145" i="2" a="1"/>
  <c r="AV145" i="2" a="1"/>
  <c r="BH144" i="2" a="1"/>
  <c r="AP144" i="2" s="1"/>
  <c r="BM144" i="2" a="1"/>
  <c r="BN144" i="2" a="1"/>
  <c r="AV144" i="2" a="1"/>
  <c r="BH143" i="2" a="1"/>
  <c r="AP143" i="2" s="1"/>
  <c r="BM143" i="2" a="1"/>
  <c r="BN143" i="2" a="1"/>
  <c r="AV143" i="2" a="1"/>
  <c r="BH142" i="2" a="1"/>
  <c r="AP142" i="2" s="1"/>
  <c r="BM142" i="2" a="1"/>
  <c r="BN142" i="2" a="1"/>
  <c r="AV142" i="2" a="1"/>
  <c r="BH141" i="2" a="1"/>
  <c r="AP141" i="2" s="1"/>
  <c r="BM141" i="2" a="1"/>
  <c r="BN141" i="2" a="1"/>
  <c r="AV141" i="2" a="1"/>
  <c r="BH140" i="2" a="1"/>
  <c r="AP140" i="2" s="1"/>
  <c r="BM140" i="2" a="1"/>
  <c r="BN140" i="2" a="1"/>
  <c r="AV140" i="2" a="1"/>
  <c r="BH139" i="2" a="1"/>
  <c r="AP139" i="2" s="1"/>
  <c r="BM139" i="2" a="1"/>
  <c r="BN139" i="2" a="1"/>
  <c r="AV139" i="2" a="1"/>
  <c r="BH138" i="2" a="1"/>
  <c r="AP138" i="2" s="1"/>
  <c r="BM138" i="2" a="1"/>
  <c r="BN138" i="2" a="1"/>
  <c r="AV138" i="2" a="1"/>
  <c r="BH137" i="2" a="1"/>
  <c r="AP137" i="2" s="1"/>
  <c r="BM137" i="2" a="1"/>
  <c r="BN137" i="2" a="1"/>
  <c r="AV137" i="2" a="1"/>
  <c r="BH136" i="2" a="1"/>
  <c r="AP136" i="2" s="1"/>
  <c r="BM136" i="2" a="1"/>
  <c r="BN136" i="2" a="1"/>
  <c r="AV136" i="2" a="1"/>
  <c r="BH135" i="2" a="1"/>
  <c r="AP135" i="2" s="1"/>
  <c r="BM135" i="2" a="1"/>
  <c r="BN135" i="2" a="1"/>
  <c r="AV135" i="2" a="1"/>
  <c r="BH134" i="2" a="1"/>
  <c r="AP134" i="2" s="1"/>
  <c r="BM134" i="2" a="1"/>
  <c r="BN134" i="2" a="1"/>
  <c r="AV134" i="2" a="1"/>
  <c r="BH133" i="2" a="1"/>
  <c r="AP133" i="2" s="1"/>
  <c r="BM133" i="2" a="1"/>
  <c r="BN133" i="2" a="1"/>
  <c r="AV133" i="2" a="1"/>
  <c r="BH132" i="2" a="1"/>
  <c r="AP132" i="2" s="1"/>
  <c r="BM132" i="2" a="1"/>
  <c r="BN132" i="2" a="1"/>
  <c r="AV132" i="2" a="1"/>
  <c r="BH131" i="2" a="1"/>
  <c r="AP131" i="2" s="1"/>
  <c r="BM131" i="2" a="1"/>
  <c r="BN131" i="2" a="1"/>
  <c r="AV131" i="2" a="1"/>
  <c r="BH130" i="2" a="1"/>
  <c r="AP130" i="2" s="1"/>
  <c r="BM130" i="2" a="1"/>
  <c r="BN130" i="2" a="1"/>
  <c r="AV130" i="2" a="1"/>
  <c r="BH129" i="2" a="1"/>
  <c r="AP129" i="2" s="1"/>
  <c r="BM129" i="2" a="1"/>
  <c r="BN129" i="2" a="1"/>
  <c r="AV129" i="2" a="1"/>
  <c r="BH128" i="2" a="1"/>
  <c r="AP128" i="2" s="1"/>
  <c r="BM128" i="2" a="1"/>
  <c r="BN128" i="2" a="1"/>
  <c r="AV128" i="2" a="1"/>
  <c r="BH127" i="2" a="1"/>
  <c r="AP127" i="2" s="1"/>
  <c r="BM127" i="2" a="1"/>
  <c r="BN127" i="2" a="1"/>
  <c r="AV127" i="2" a="1"/>
  <c r="BH126" i="2" a="1"/>
  <c r="AP126" i="2" s="1"/>
  <c r="BM126" i="2" a="1"/>
  <c r="BN126" i="2" a="1"/>
  <c r="AV126" i="2" a="1"/>
  <c r="BH125" i="2" a="1"/>
  <c r="AP125" i="2" s="1"/>
  <c r="BM125" i="2" a="1"/>
  <c r="BN125" i="2" a="1"/>
  <c r="AV125" i="2" a="1"/>
  <c r="BH124" i="2" a="1"/>
  <c r="AP124" i="2" s="1"/>
  <c r="BM124" i="2" a="1"/>
  <c r="BP124" i="2" s="1"/>
  <c r="BO124" i="2" s="1" a="1"/>
  <c r="BN124" i="2" a="1"/>
  <c r="AV124" i="2" a="1"/>
  <c r="BH123" i="2" a="1"/>
  <c r="BM123" i="2" a="1"/>
  <c r="BN123" i="2" a="1"/>
  <c r="AV123" i="2" a="1"/>
  <c r="BH122" i="2" a="1"/>
  <c r="AV122" i="2" a="1"/>
  <c r="BH121" i="2" a="1"/>
  <c r="AV121" i="2" a="1"/>
  <c r="BH120" i="2" a="1"/>
  <c r="AV120" i="2" a="1"/>
  <c r="BH119" i="2" a="1"/>
  <c r="AV119" i="2" a="1"/>
  <c r="BH118" i="2" a="1"/>
  <c r="AV118" i="2" a="1"/>
  <c r="BH117" i="2" a="1"/>
  <c r="AV117" i="2" a="1"/>
  <c r="BH116" i="2" a="1"/>
  <c r="AV116" i="2" a="1"/>
  <c r="BH115" i="2" a="1"/>
  <c r="AV115" i="2" a="1"/>
  <c r="BH114" i="2" a="1"/>
  <c r="AV114" i="2" a="1"/>
  <c r="BH113" i="2" a="1"/>
  <c r="AV113" i="2" a="1"/>
  <c r="BH112" i="2" a="1"/>
  <c r="AV112" i="2" a="1"/>
  <c r="BH111" i="2" a="1"/>
  <c r="AV111" i="2" a="1"/>
  <c r="BH110" i="2" a="1"/>
  <c r="AV110" i="2" a="1"/>
  <c r="BH109" i="2" a="1"/>
  <c r="AV109" i="2" a="1"/>
  <c r="BH108" i="2" a="1"/>
  <c r="AV108" i="2" a="1"/>
  <c r="BH107" i="2" a="1"/>
  <c r="AV107" i="2" a="1"/>
  <c r="BH106" i="2" a="1"/>
  <c r="AV106" i="2" a="1"/>
  <c r="BH105" i="2" a="1"/>
  <c r="AV105" i="2" a="1"/>
  <c r="BH104" i="2" a="1"/>
  <c r="AV104" i="2" a="1"/>
  <c r="BH103" i="2" a="1"/>
  <c r="AV103" i="2" a="1"/>
  <c r="BH102" i="2" a="1"/>
  <c r="AV102" i="2" a="1"/>
  <c r="BH101" i="2" a="1"/>
  <c r="AV101" i="2" a="1"/>
  <c r="BH100" i="2" a="1"/>
  <c r="AV100" i="2" a="1"/>
  <c r="BH99" i="2" a="1"/>
  <c r="AV99" i="2" a="1"/>
  <c r="BH98" i="2" a="1"/>
  <c r="AV98" i="2" a="1"/>
  <c r="BH97" i="2" a="1"/>
  <c r="AV97" i="2" a="1"/>
  <c r="BH96" i="2" a="1"/>
  <c r="AV96" i="2" a="1"/>
  <c r="BH95" i="2" a="1"/>
  <c r="AV95" i="2" a="1"/>
  <c r="BH94" i="2" a="1"/>
  <c r="AV94" i="2" a="1"/>
  <c r="BH93" i="2" a="1"/>
  <c r="AV93" i="2" a="1"/>
  <c r="BH92" i="2" a="1"/>
  <c r="AV92" i="2" a="1"/>
  <c r="BH91" i="2" a="1"/>
  <c r="AV91" i="2" a="1"/>
  <c r="BH90" i="2" a="1"/>
  <c r="AV90" i="2" a="1"/>
  <c r="BH89" i="2" a="1"/>
  <c r="AV89" i="2" a="1"/>
  <c r="BH88" i="2" a="1"/>
  <c r="AV88" i="2" a="1"/>
  <c r="BH87" i="2" a="1"/>
  <c r="AV87" i="2" a="1"/>
  <c r="BH86" i="2" a="1"/>
  <c r="AV86" i="2" a="1"/>
  <c r="BH85" i="2" a="1"/>
  <c r="AV85" i="2" a="1"/>
  <c r="BH84" i="2" a="1"/>
  <c r="AV84" i="2" a="1"/>
  <c r="BH83" i="2" a="1"/>
  <c r="AV83" i="2" a="1"/>
  <c r="BH82" i="2" a="1"/>
  <c r="AV82" i="2" a="1"/>
  <c r="BH81" i="2" a="1"/>
  <c r="AV81" i="2" a="1"/>
  <c r="BH80" i="2" a="1"/>
  <c r="AV80" i="2" a="1"/>
  <c r="BH79" i="2" a="1"/>
  <c r="AV79" i="2" a="1"/>
  <c r="BH78" i="2" a="1"/>
  <c r="AV78" i="2" a="1"/>
  <c r="AV77" i="2" a="1"/>
  <c r="BH77" i="2" a="1"/>
  <c r="BH76" i="2" a="1"/>
  <c r="AV76" i="2" a="1"/>
  <c r="BH75" i="2" a="1"/>
  <c r="AV75" i="2" a="1"/>
  <c r="BH74" i="2" a="1"/>
  <c r="AV74" i="2" a="1"/>
  <c r="BH73" i="2" a="1"/>
  <c r="AV73" i="2" a="1"/>
  <c r="BH72" i="2" a="1"/>
  <c r="AV72" i="2" a="1"/>
  <c r="AV71" i="2" a="1"/>
  <c r="BH71" i="2" a="1"/>
  <c r="BH70" i="2" a="1"/>
  <c r="AV70" i="2" a="1"/>
  <c r="BH69" i="2" a="1"/>
  <c r="AV69" i="2" a="1"/>
  <c r="BH68" i="2" a="1"/>
  <c r="AV68" i="2" a="1"/>
  <c r="BH67" i="2" a="1"/>
  <c r="AV67" i="2" a="1"/>
  <c r="BH66" i="2" a="1"/>
  <c r="AV66" i="2" a="1"/>
  <c r="BH65" i="2" a="1"/>
  <c r="AV65" i="2" a="1"/>
  <c r="BH64" i="2" a="1"/>
  <c r="AV64" i="2" a="1"/>
  <c r="BH63" i="2" a="1"/>
  <c r="AV63" i="2" a="1"/>
  <c r="BH62" i="2" a="1"/>
  <c r="AV62" i="2" a="1"/>
  <c r="BH61" i="2" a="1"/>
  <c r="AV61" i="2" a="1"/>
  <c r="BH60" i="2" a="1"/>
  <c r="AV60" i="2" a="1"/>
  <c r="BH59" i="2" a="1"/>
  <c r="AV59" i="2" a="1"/>
  <c r="BH58" i="2" a="1"/>
  <c r="AV58" i="2" a="1"/>
  <c r="BH57" i="2" a="1"/>
  <c r="AV57" i="2" a="1"/>
  <c r="BH56" i="2" a="1"/>
  <c r="AV56" i="2" a="1"/>
  <c r="BH55" i="2" a="1"/>
  <c r="AV55" i="2" a="1"/>
  <c r="BH54" i="2" a="1"/>
  <c r="AV54" i="2" a="1"/>
  <c r="BH53" i="2" a="1"/>
  <c r="AV53" i="2" a="1"/>
  <c r="BH52" i="2" a="1"/>
  <c r="AV52" i="2" a="1"/>
  <c r="BH51" i="2" a="1"/>
  <c r="AV51" i="2" a="1"/>
  <c r="BH50" i="2" a="1"/>
  <c r="AV50" i="2" a="1"/>
  <c r="BH49" i="2" a="1"/>
  <c r="AV49" i="2" a="1"/>
  <c r="BH48" i="2" a="1"/>
  <c r="AV48" i="2" a="1"/>
  <c r="BH47" i="2" a="1"/>
  <c r="AV47" i="2" a="1"/>
  <c r="BH46" i="2" a="1"/>
  <c r="AV46" i="2" a="1"/>
  <c r="BH45" i="2" a="1"/>
  <c r="AV45" i="2" a="1"/>
  <c r="BH44" i="2" a="1"/>
  <c r="AV44" i="2" a="1"/>
  <c r="BH43" i="2" a="1"/>
  <c r="AV43" i="2" a="1"/>
  <c r="BH42" i="2" a="1"/>
  <c r="AV42" i="2" a="1"/>
  <c r="BH41" i="2" a="1"/>
  <c r="AV41" i="2" a="1"/>
  <c r="BH40" i="2" a="1"/>
  <c r="AV40" i="2" a="1"/>
  <c r="BH39" i="2" a="1"/>
  <c r="AV39" i="2" a="1"/>
  <c r="BH38" i="2" a="1"/>
  <c r="AV38" i="2" a="1"/>
  <c r="BH37" i="2" a="1"/>
  <c r="AV37" i="2" a="1"/>
  <c r="BH36" i="2" a="1"/>
  <c r="AV36" i="2" a="1"/>
  <c r="BH35" i="2" a="1"/>
  <c r="AV35" i="2" a="1"/>
  <c r="BH34" i="2" a="1"/>
  <c r="AV34" i="2" a="1"/>
  <c r="BH33" i="2" a="1"/>
  <c r="AV33" i="2" a="1"/>
  <c r="BH32" i="2" a="1"/>
  <c r="AV32" i="2" a="1"/>
  <c r="BH31" i="2" a="1"/>
  <c r="AV31" i="2" a="1"/>
  <c r="BH30" i="2" a="1"/>
  <c r="AV30" i="2" a="1"/>
  <c r="BH29" i="2" a="1"/>
  <c r="AV29" i="2" a="1"/>
  <c r="BH28" i="2" a="1"/>
  <c r="AV28" i="2" a="1"/>
  <c r="BH27" i="2" a="1"/>
  <c r="AV27" i="2" a="1"/>
  <c r="BH26" i="2" a="1"/>
  <c r="AV26" i="2" a="1"/>
  <c r="BH25" i="2" a="1"/>
  <c r="AV25" i="2" a="1"/>
  <c r="BH24" i="2" a="1"/>
  <c r="AV24" i="2" a="1"/>
  <c r="BH23" i="2" a="1"/>
  <c r="AV23" i="2" a="1"/>
  <c r="BH22" i="2" a="1"/>
  <c r="AV22" i="2" a="1"/>
  <c r="BH21" i="2" a="1"/>
  <c r="AV21" i="2" a="1"/>
  <c r="BH20" i="2" a="1"/>
  <c r="AV20" i="2" a="1"/>
  <c r="BH19" i="2" a="1"/>
  <c r="AV19" i="2" a="1"/>
  <c r="BH18" i="2" a="1"/>
  <c r="AV18" i="2" a="1"/>
  <c r="BH17" i="2" a="1"/>
  <c r="AV17" i="2" a="1"/>
  <c r="BH16" i="2" a="1"/>
  <c r="AV16" i="2" a="1"/>
  <c r="BH15" i="2" a="1"/>
  <c r="AV15" i="2" a="1"/>
  <c r="BH14" i="2" a="1"/>
  <c r="AV14" i="2" a="1"/>
  <c r="BH13" i="2" a="1"/>
  <c r="AV13" i="2" a="1"/>
  <c r="BH12" i="2" a="1"/>
  <c r="AV12" i="2" a="1"/>
  <c r="BH11" i="2" a="1"/>
  <c r="AV11" i="2" a="1"/>
  <c r="BH10" i="2" a="1"/>
  <c r="AV10" i="2" a="1"/>
  <c r="BH9" i="2" a="1"/>
  <c r="AV9" i="2" a="1"/>
  <c r="BH8" i="2" a="1"/>
  <c r="AV8" i="2" a="1"/>
  <c r="U86" i="16" l="1"/>
  <c r="AS243" i="13"/>
  <c r="BM46" i="16" a="1"/>
  <c r="AY46" i="16" a="1"/>
  <c r="BM129" i="16" a="1"/>
  <c r="AY129" i="16" a="1"/>
  <c r="T129" i="16" s="1"/>
  <c r="AH129" i="16" s="1" a="1"/>
  <c r="BM124" i="16" a="1"/>
  <c r="AY124" i="16" a="1"/>
  <c r="T124" i="16" s="1"/>
  <c r="AH124" i="16" s="1" a="1"/>
  <c r="AY101" i="16" a="1"/>
  <c r="BM101" i="16" a="1"/>
  <c r="AY104" i="16" a="1"/>
  <c r="BM104" i="16" a="1"/>
  <c r="AY64" i="16" a="1"/>
  <c r="BM64" i="16" a="1"/>
  <c r="BM125" i="16" a="1"/>
  <c r="AY125" i="16" a="1"/>
  <c r="T125" i="16" s="1"/>
  <c r="AH125" i="16" s="1" a="1"/>
  <c r="AY72" i="16" a="1"/>
  <c r="BM72" i="16" a="1"/>
  <c r="BM74" i="16" a="1"/>
  <c r="AY74" i="16" a="1"/>
  <c r="AY109" i="16" a="1"/>
  <c r="BM109" i="16" a="1"/>
  <c r="AY63" i="16" a="1"/>
  <c r="BM63" i="16" a="1"/>
  <c r="AY144" i="16" a="1"/>
  <c r="T144" i="16" s="1"/>
  <c r="AH144" i="16" s="1" a="1"/>
  <c r="BM144" i="16" a="1"/>
  <c r="AY140" i="16" a="1"/>
  <c r="T140" i="16" s="1"/>
  <c r="AH140" i="16" s="1" a="1"/>
  <c r="BM140" i="16" a="1"/>
  <c r="AY86" i="16" a="1"/>
  <c r="BM86" i="16" a="1"/>
  <c r="BM89" i="16" a="1"/>
  <c r="AY89" i="16" a="1"/>
  <c r="AY128" i="16" a="1"/>
  <c r="T128" i="16" s="1"/>
  <c r="AH128" i="16" s="1" a="1"/>
  <c r="BM128" i="16" a="1"/>
  <c r="BM57" i="16" a="1"/>
  <c r="AY57" i="16" a="1"/>
  <c r="BM126" i="16" a="1"/>
  <c r="AY126" i="16" a="1"/>
  <c r="T126" i="16" s="1"/>
  <c r="AH126" i="16" s="1" a="1"/>
  <c r="Y86" i="16"/>
  <c r="BM114" i="16" a="1"/>
  <c r="AY114" i="16" a="1"/>
  <c r="T114" i="16" s="1"/>
  <c r="AH114" i="16" s="1" a="1"/>
  <c r="AY105" i="16" a="1"/>
  <c r="BM105" i="16" a="1"/>
  <c r="BM26" i="16" s="1"/>
  <c r="AY120" i="16" a="1"/>
  <c r="T120" i="16" s="1"/>
  <c r="AH120" i="16" s="1" a="1"/>
  <c r="BM120" i="16" a="1"/>
  <c r="AY116" i="16" a="1"/>
  <c r="T116" i="16" s="1"/>
  <c r="AH116" i="16" s="1" a="1"/>
  <c r="BM116" i="16" a="1"/>
  <c r="BM115" i="16" a="1"/>
  <c r="AY115" i="16" a="1"/>
  <c r="T115" i="16" s="1"/>
  <c r="AH115" i="16" s="1" a="1"/>
  <c r="AY85" i="16" a="1"/>
  <c r="BM85" i="16" a="1"/>
  <c r="AY102" i="16" a="1"/>
  <c r="BM102" i="16" a="1"/>
  <c r="BU49" i="16" a="1"/>
  <c r="BU12" i="16" s="1"/>
  <c r="BU90" i="16" a="1"/>
  <c r="BU24" i="16" s="1"/>
  <c r="BU111" i="16" a="1"/>
  <c r="BM106" i="16" a="1"/>
  <c r="BM27" i="16" s="1"/>
  <c r="AY106" i="16" a="1"/>
  <c r="AY65" i="16" a="1"/>
  <c r="BM65" i="16" a="1"/>
  <c r="AK14" i="16"/>
  <c r="BM52" i="16" a="1"/>
  <c r="BM14" i="16" s="1"/>
  <c r="AY52" i="16" a="1"/>
  <c r="T52" i="16" s="1"/>
  <c r="BM94" i="16" a="1"/>
  <c r="AY94" i="16" a="1"/>
  <c r="AY87" i="16" a="1"/>
  <c r="BM87" i="16" a="1"/>
  <c r="BM79" i="16" a="1"/>
  <c r="AY79" i="16" a="1"/>
  <c r="BM117" i="16" a="1"/>
  <c r="AY117" i="16" a="1"/>
  <c r="T117" i="16" s="1"/>
  <c r="AH117" i="16" s="1" a="1"/>
  <c r="AY118" i="16" a="1"/>
  <c r="T118" i="16" s="1"/>
  <c r="AH118" i="16" s="1" a="1"/>
  <c r="BM118" i="16" a="1"/>
  <c r="BM51" i="16" a="1"/>
  <c r="AY51" i="16" a="1"/>
  <c r="BJ47" i="16" a="1"/>
  <c r="AE47" i="16" s="1"/>
  <c r="BX47" i="16" a="1"/>
  <c r="BJ67" i="16" a="1"/>
  <c r="AE67" i="16" s="1"/>
  <c r="BX67" i="16" a="1"/>
  <c r="BX73" i="16" a="1"/>
  <c r="BJ73" i="16" a="1"/>
  <c r="AE73" i="16" s="1"/>
  <c r="BX71" i="16" a="1"/>
  <c r="BJ71" i="16" a="1"/>
  <c r="AE71" i="16" s="1"/>
  <c r="BJ125" i="16" a="1"/>
  <c r="AE125" i="16" s="1"/>
  <c r="BX125" i="16" a="1"/>
  <c r="BX54" i="16" a="1"/>
  <c r="BJ54" i="16" a="1"/>
  <c r="AE54" i="16" s="1"/>
  <c r="BJ98" i="16" a="1"/>
  <c r="AE98" i="16" s="1"/>
  <c r="BX98" i="16" a="1"/>
  <c r="BJ69" i="16" a="1"/>
  <c r="AE69" i="16" s="1"/>
  <c r="BX69" i="16" a="1"/>
  <c r="BJ86" i="16" a="1"/>
  <c r="AE86" i="16" s="1"/>
  <c r="BX86" i="16" a="1"/>
  <c r="BJ75" i="16" a="1"/>
  <c r="AE75" i="16" s="1"/>
  <c r="BX75" i="16" a="1"/>
  <c r="BJ72" i="16" a="1"/>
  <c r="AE72" i="16" s="1"/>
  <c r="BX72" i="16" a="1"/>
  <c r="BX82" i="16" a="1"/>
  <c r="BJ82" i="16" a="1"/>
  <c r="AE82" i="16" s="1"/>
  <c r="BJ131" i="16" a="1"/>
  <c r="AE131" i="16" s="1"/>
  <c r="BX131" i="16" a="1"/>
  <c r="BJ140" i="16" a="1"/>
  <c r="AE140" i="16" s="1"/>
  <c r="BX140" i="16" a="1"/>
  <c r="BX102" i="16" a="1"/>
  <c r="BJ102" i="16" a="1"/>
  <c r="AE102" i="16" s="1"/>
  <c r="BX127" i="16" a="1"/>
  <c r="BJ127" i="16" a="1"/>
  <c r="AE127" i="16" s="1"/>
  <c r="BX89" i="16" a="1"/>
  <c r="BJ89" i="16" a="1"/>
  <c r="AE89" i="16" s="1"/>
  <c r="BX142" i="16" a="1"/>
  <c r="BJ142" i="16" a="1"/>
  <c r="AE142" i="16" s="1"/>
  <c r="BX81" i="16" a="1"/>
  <c r="BJ81" i="16" a="1"/>
  <c r="AE81" i="16" s="1"/>
  <c r="BJ115" i="16" a="1"/>
  <c r="AE115" i="16" s="1"/>
  <c r="BX115" i="16" a="1"/>
  <c r="BJ92" i="16" a="1"/>
  <c r="AE92" i="16" s="1"/>
  <c r="BX92" i="16" a="1"/>
  <c r="BX113" i="16" a="1"/>
  <c r="BJ113" i="16" a="1"/>
  <c r="AE113" i="16" s="1"/>
  <c r="BJ62" i="16" a="1"/>
  <c r="AE62" i="16" s="1"/>
  <c r="BX62" i="16" a="1"/>
  <c r="BJ132" i="16" a="1"/>
  <c r="AE132" i="16" s="1"/>
  <c r="BX132" i="16" a="1"/>
  <c r="BX126" i="16" a="1"/>
  <c r="BJ126" i="16" a="1"/>
  <c r="AE126" i="16" s="1"/>
  <c r="BX143" i="16" a="1"/>
  <c r="BJ143" i="16" a="1"/>
  <c r="AE143" i="16" s="1"/>
  <c r="BX97" i="16" a="1"/>
  <c r="BJ97" i="16" a="1"/>
  <c r="AE97" i="16" s="1"/>
  <c r="BJ119" i="16" a="1"/>
  <c r="AE119" i="16" s="1"/>
  <c r="BX119" i="16" a="1"/>
  <c r="BX53" i="16" a="1"/>
  <c r="BJ53" i="16" a="1"/>
  <c r="AE53" i="16" s="1"/>
  <c r="BJ111" i="16" a="1"/>
  <c r="AE111" i="16" s="1"/>
  <c r="BX111" i="16" a="1"/>
  <c r="BJ145" i="16" a="1"/>
  <c r="AE145" i="16" s="1"/>
  <c r="BX145" i="16" a="1"/>
  <c r="BJ90" i="16" a="1"/>
  <c r="AE90" i="16" s="1"/>
  <c r="BX90" i="16" a="1"/>
  <c r="BJ116" i="16" a="1"/>
  <c r="AE116" i="16" s="1"/>
  <c r="BX116" i="16" a="1"/>
  <c r="BJ49" i="16" a="1"/>
  <c r="AE49" i="16" s="1"/>
  <c r="BX49" i="16" a="1"/>
  <c r="BJ104" i="16" a="1"/>
  <c r="AE104" i="16" s="1"/>
  <c r="BX104" i="16" a="1"/>
  <c r="BX96" i="16" a="1"/>
  <c r="BJ96" i="16" a="1"/>
  <c r="AE96" i="16" s="1"/>
  <c r="BJ118" i="16" a="1"/>
  <c r="AE118" i="16" s="1"/>
  <c r="BX118" i="16" a="1"/>
  <c r="BX144" i="16" a="1"/>
  <c r="BJ144" i="16" a="1"/>
  <c r="AE144" i="16" s="1"/>
  <c r="BJ117" i="16" a="1"/>
  <c r="AE117" i="16" s="1"/>
  <c r="BX117" i="16" a="1"/>
  <c r="BX70" i="16" a="1"/>
  <c r="BJ70" i="16" a="1"/>
  <c r="AE70" i="16" s="1"/>
  <c r="BX120" i="16" a="1"/>
  <c r="BJ120" i="16" a="1"/>
  <c r="AE120" i="16" s="1"/>
  <c r="BX134" i="16" a="1"/>
  <c r="BJ134" i="16" a="1"/>
  <c r="AE134" i="16" s="1"/>
  <c r="BX105" i="16" a="1"/>
  <c r="BJ105" i="16" a="1"/>
  <c r="AE105" i="16" s="1"/>
  <c r="BX123" i="16" a="1"/>
  <c r="BJ123" i="16" a="1"/>
  <c r="AE123" i="16" s="1"/>
  <c r="BX110" i="16" a="1"/>
  <c r="BJ110" i="16" a="1"/>
  <c r="AE110" i="16" s="1"/>
  <c r="BX85" i="16" a="1"/>
  <c r="BJ85" i="16" a="1"/>
  <c r="AE85" i="16" s="1"/>
  <c r="BJ114" i="16" a="1"/>
  <c r="AE114" i="16" s="1"/>
  <c r="BX114" i="16" a="1"/>
  <c r="BX135" i="16" a="1"/>
  <c r="BJ135" i="16" a="1"/>
  <c r="AE135" i="16" s="1"/>
  <c r="BJ91" i="16" a="1"/>
  <c r="AE91" i="16" s="1"/>
  <c r="BX91" i="16" a="1"/>
  <c r="BJ124" i="16" a="1"/>
  <c r="AE124" i="16" s="1"/>
  <c r="BX124" i="16" a="1"/>
  <c r="BJ64" i="16" a="1"/>
  <c r="AE64" i="16" s="1"/>
  <c r="BX64" i="16" a="1"/>
  <c r="BX66" i="16" a="1"/>
  <c r="BJ66" i="16" a="1"/>
  <c r="AE66" i="16" s="1"/>
  <c r="BJ59" i="16" a="1"/>
  <c r="AE59" i="16" s="1"/>
  <c r="BX59" i="16" a="1"/>
  <c r="BJ87" i="16" a="1"/>
  <c r="AE87" i="16" s="1"/>
  <c r="BX87" i="16" a="1"/>
  <c r="BX122" i="16" a="1"/>
  <c r="BJ122" i="16" a="1"/>
  <c r="AE122" i="16" s="1"/>
  <c r="BJ57" i="16" a="1"/>
  <c r="AE57" i="16" s="1"/>
  <c r="BX57" i="16" a="1"/>
  <c r="BX99" i="16" a="1"/>
  <c r="BJ99" i="16" a="1"/>
  <c r="AE99" i="16" s="1"/>
  <c r="BX106" i="16" a="1"/>
  <c r="BJ106" i="16" a="1"/>
  <c r="AE106" i="16" s="1"/>
  <c r="BX61" i="16" a="1"/>
  <c r="BJ61" i="16" a="1"/>
  <c r="AE61" i="16" s="1"/>
  <c r="BX52" i="16" a="1"/>
  <c r="BJ52" i="16" a="1"/>
  <c r="AE52" i="16" s="1"/>
  <c r="BJ84" i="16" a="1"/>
  <c r="AE84" i="16" s="1"/>
  <c r="BX84" i="16" a="1"/>
  <c r="BJ112" i="16" a="1"/>
  <c r="AE112" i="16" s="1"/>
  <c r="BX112" i="16" a="1"/>
  <c r="BJ133" i="16" a="1"/>
  <c r="AE133" i="16" s="1"/>
  <c r="BX133" i="16" a="1"/>
  <c r="BX109" i="16" a="1"/>
  <c r="BJ109" i="16" a="1"/>
  <c r="AE109" i="16" s="1"/>
  <c r="BX65" i="16" a="1"/>
  <c r="BJ65" i="16" a="1"/>
  <c r="AE65" i="16" s="1"/>
  <c r="BX107" i="16" a="1"/>
  <c r="BJ107" i="16" a="1"/>
  <c r="AE107" i="16" s="1"/>
  <c r="BJ80" i="16" a="1"/>
  <c r="AE80" i="16" s="1"/>
  <c r="BX80" i="16" a="1"/>
  <c r="BJ60" i="16" a="1"/>
  <c r="AE60" i="16" s="1"/>
  <c r="BX60" i="16" a="1"/>
  <c r="BX128" i="16" a="1"/>
  <c r="BJ128" i="16" a="1"/>
  <c r="AE128" i="16" s="1"/>
  <c r="BJ139" i="16" a="1"/>
  <c r="AE139" i="16" s="1"/>
  <c r="BX139" i="16" a="1"/>
  <c r="BJ141" i="16" a="1"/>
  <c r="AE141" i="16" s="1"/>
  <c r="BX141" i="16" a="1"/>
  <c r="BJ108" i="16" a="1"/>
  <c r="AE108" i="16" s="1"/>
  <c r="BX108" i="16" a="1"/>
  <c r="BX121" i="16" a="1"/>
  <c r="BJ121" i="16" a="1"/>
  <c r="AE121" i="16" s="1"/>
  <c r="BX56" i="16" a="1"/>
  <c r="BJ56" i="16" a="1"/>
  <c r="AE56" i="16" s="1"/>
  <c r="BX78" i="16" a="1"/>
  <c r="BJ78" i="16" a="1"/>
  <c r="AE78" i="16" s="1"/>
  <c r="BX51" i="16" a="1"/>
  <c r="BJ51" i="16" a="1"/>
  <c r="AE51" i="16" s="1"/>
  <c r="BJ58" i="16" a="1"/>
  <c r="AE58" i="16" s="1"/>
  <c r="BX58" i="16" a="1"/>
  <c r="BX46" i="16" a="1"/>
  <c r="BJ46" i="16" a="1"/>
  <c r="AE46" i="16" s="1"/>
  <c r="BJ100" i="16" a="1"/>
  <c r="AE100" i="16" s="1"/>
  <c r="BX100" i="16" a="1"/>
  <c r="BJ137" i="16" a="1"/>
  <c r="AE137" i="16" s="1"/>
  <c r="BX137" i="16" a="1"/>
  <c r="BJ50" i="16" a="1"/>
  <c r="AE50" i="16" s="1"/>
  <c r="BX50" i="16" a="1"/>
  <c r="BJ129" i="16" a="1"/>
  <c r="AE129" i="16" s="1"/>
  <c r="BX129" i="16" a="1"/>
  <c r="BJ79" i="16" a="1"/>
  <c r="AE79" i="16" s="1"/>
  <c r="BX79" i="16" a="1"/>
  <c r="BX83" i="16" a="1"/>
  <c r="BJ83" i="16" a="1"/>
  <c r="AE83" i="16" s="1"/>
  <c r="BX101" i="16" a="1"/>
  <c r="BJ101" i="16" a="1"/>
  <c r="AE101" i="16" s="1"/>
  <c r="BX95" i="16" a="1"/>
  <c r="BJ95" i="16" a="1"/>
  <c r="AE95" i="16" s="1"/>
  <c r="BJ74" i="16" a="1"/>
  <c r="AE74" i="16" s="1"/>
  <c r="BX74" i="16" a="1"/>
  <c r="BJ136" i="16" a="1"/>
  <c r="AE136" i="16" s="1"/>
  <c r="BX136" i="16" a="1"/>
  <c r="BJ93" i="16" a="1"/>
  <c r="AE93" i="16" s="1"/>
  <c r="BX93" i="16" a="1"/>
  <c r="BX63" i="16" a="1"/>
  <c r="BJ63" i="16" a="1"/>
  <c r="AE63" i="16" s="1"/>
  <c r="BX68" i="16" a="1"/>
  <c r="BJ68" i="16" a="1"/>
  <c r="AE68" i="16" s="1"/>
  <c r="BX94" i="16" a="1"/>
  <c r="BJ94" i="16" a="1"/>
  <c r="AE94" i="16" s="1"/>
  <c r="BX77" i="16" a="1"/>
  <c r="BJ77" i="16" a="1"/>
  <c r="AE77" i="16" s="1"/>
  <c r="BX103" i="16" a="1"/>
  <c r="BJ103" i="16" a="1"/>
  <c r="AE103" i="16" s="1"/>
  <c r="BX55" i="16" a="1"/>
  <c r="BJ55" i="16" a="1"/>
  <c r="AE55" i="16" s="1"/>
  <c r="BX88" i="16" a="1"/>
  <c r="BJ88" i="16" a="1"/>
  <c r="AE88" i="16" s="1"/>
  <c r="BX48" i="16" a="1"/>
  <c r="BJ48" i="16" a="1"/>
  <c r="AE48" i="16" s="1"/>
  <c r="BJ138" i="16" a="1"/>
  <c r="AE138" i="16" s="1"/>
  <c r="BX138" i="16" a="1"/>
  <c r="BX76" i="16" a="1"/>
  <c r="BJ76" i="16" a="1"/>
  <c r="AE76" i="16" s="1"/>
  <c r="BX130" i="16" a="1"/>
  <c r="BJ130" i="16" a="1"/>
  <c r="AE130" i="16" s="1"/>
  <c r="BM80" i="16" a="1"/>
  <c r="AY80" i="16" a="1"/>
  <c r="BM55" i="16" a="1"/>
  <c r="BM17" i="16" s="1"/>
  <c r="AY55" i="16" a="1"/>
  <c r="AY81" i="16" a="1"/>
  <c r="BM81" i="16" a="1"/>
  <c r="AY121" i="16" a="1"/>
  <c r="T121" i="16" s="1"/>
  <c r="AH121" i="16" s="1" a="1"/>
  <c r="BM121" i="16" a="1"/>
  <c r="AY73" i="16" a="1"/>
  <c r="BM73" i="16" a="1"/>
  <c r="AY143" i="16" a="1"/>
  <c r="T143" i="16" s="1"/>
  <c r="AH143" i="16" s="1" a="1"/>
  <c r="BM143" i="16" a="1"/>
  <c r="BM82" i="16" a="1"/>
  <c r="AY82" i="16" a="1"/>
  <c r="BM141" i="16" a="1"/>
  <c r="AY141" i="16" a="1"/>
  <c r="T141" i="16" s="1"/>
  <c r="AH141" i="16" s="1" a="1"/>
  <c r="AY49" i="16" a="1"/>
  <c r="BM49" i="16" a="1"/>
  <c r="BM77" i="16" a="1"/>
  <c r="AY77" i="16" a="1"/>
  <c r="BM139" i="16" a="1"/>
  <c r="AY139" i="16" a="1"/>
  <c r="T139" i="16" s="1"/>
  <c r="AH139" i="16" s="1" a="1"/>
  <c r="BM93" i="16" a="1"/>
  <c r="AY93" i="16" a="1"/>
  <c r="AY59" i="16" a="1"/>
  <c r="BM59" i="16" a="1"/>
  <c r="V52" i="16"/>
  <c r="AY60" i="16" a="1"/>
  <c r="BM60" i="16" a="1"/>
  <c r="AY98" i="16" a="1"/>
  <c r="D98" i="16" s="1"/>
  <c r="BM98" i="16" a="1"/>
  <c r="BM107" i="16" a="1"/>
  <c r="AY107" i="16" a="1"/>
  <c r="AY48" i="16" a="1"/>
  <c r="BM48" i="16" a="1"/>
  <c r="BM12" i="16" s="1"/>
  <c r="BM112" i="16" a="1"/>
  <c r="AY112" i="16" a="1"/>
  <c r="BM91" i="16" a="1"/>
  <c r="AY91" i="16" a="1"/>
  <c r="AY56" i="16" a="1"/>
  <c r="BM56" i="16" a="1"/>
  <c r="BM47" i="16" a="1"/>
  <c r="BM11" i="16" s="1"/>
  <c r="AK11" i="16"/>
  <c r="AY47" i="16" a="1"/>
  <c r="BU45" i="16"/>
  <c r="BU10" i="16"/>
  <c r="AY122" i="16" a="1"/>
  <c r="T122" i="16" s="1"/>
  <c r="AH122" i="16" s="1" a="1"/>
  <c r="BM122" i="16" a="1"/>
  <c r="AY90" i="16" a="1"/>
  <c r="BM90" i="16" a="1"/>
  <c r="BM24" i="16" s="1"/>
  <c r="BM113" i="16" a="1"/>
  <c r="BM30" i="16" s="1"/>
  <c r="AY113" i="16" a="1"/>
  <c r="AY70" i="16" a="1"/>
  <c r="BM70" i="16" a="1"/>
  <c r="AY66" i="16" a="1"/>
  <c r="BM66" i="16" a="1"/>
  <c r="AY103" i="16" a="1"/>
  <c r="BM103" i="16" a="1"/>
  <c r="BM61" i="16" a="1"/>
  <c r="AY61" i="16" a="1"/>
  <c r="BM53" i="16" a="1"/>
  <c r="BM15" i="16" s="1"/>
  <c r="AY53" i="16" a="1"/>
  <c r="AY97" i="16" a="1"/>
  <c r="BM97" i="16" a="1"/>
  <c r="AY130" i="16" a="1"/>
  <c r="T130" i="16" s="1"/>
  <c r="AH130" i="16" s="1" a="1"/>
  <c r="BM130" i="16" a="1"/>
  <c r="AY78" i="16" a="1"/>
  <c r="BM78" i="16" a="1"/>
  <c r="BM100" i="16" a="1"/>
  <c r="AY100" i="16" a="1"/>
  <c r="BM123" i="16" a="1"/>
  <c r="AY123" i="16" a="1"/>
  <c r="T123" i="16" s="1"/>
  <c r="AH123" i="16" s="1" a="1"/>
  <c r="BM110" i="16" a="1"/>
  <c r="AY110" i="16" a="1"/>
  <c r="BM58" i="16" a="1"/>
  <c r="AY58" i="16" a="1"/>
  <c r="BM135" i="16" a="1"/>
  <c r="AY135" i="16" a="1"/>
  <c r="T135" i="16" s="1"/>
  <c r="AH135" i="16" s="1" a="1"/>
  <c r="BM111" i="16" a="1"/>
  <c r="AY111" i="16" a="1"/>
  <c r="AY68" i="16" a="1"/>
  <c r="BM68" i="16" a="1"/>
  <c r="AY76" i="16" a="1"/>
  <c r="BM76" i="16" a="1"/>
  <c r="BM131" i="16" a="1"/>
  <c r="AY131" i="16" a="1"/>
  <c r="T131" i="16" s="1"/>
  <c r="AH131" i="16" s="1" a="1"/>
  <c r="BM132" i="16" a="1"/>
  <c r="AY132" i="16" a="1"/>
  <c r="T132" i="16" s="1"/>
  <c r="AH132" i="16" s="1" a="1"/>
  <c r="BM133" i="16" a="1"/>
  <c r="AY133" i="16" a="1"/>
  <c r="T133" i="16" s="1"/>
  <c r="AH133" i="16" s="1" a="1"/>
  <c r="AY50" i="16" a="1"/>
  <c r="BM50" i="16" a="1"/>
  <c r="AY108" i="16" a="1"/>
  <c r="BM108" i="16" a="1"/>
  <c r="BM28" i="16" s="1"/>
  <c r="AY95" i="16" a="1"/>
  <c r="BM95" i="16" a="1"/>
  <c r="AY134" i="16" a="1"/>
  <c r="T134" i="16" s="1"/>
  <c r="AH134" i="16" s="1" a="1"/>
  <c r="BM134" i="16" a="1"/>
  <c r="AY127" i="16" a="1"/>
  <c r="T127" i="16" s="1"/>
  <c r="AH127" i="16" s="1" a="1"/>
  <c r="BM127" i="16" a="1"/>
  <c r="AY136" i="16" a="1"/>
  <c r="T136" i="16" s="1"/>
  <c r="AH136" i="16" s="1" a="1"/>
  <c r="BM136" i="16" a="1"/>
  <c r="BM137" i="16" a="1"/>
  <c r="AY137" i="16" a="1"/>
  <c r="T137" i="16" s="1"/>
  <c r="AH137" i="16" s="1" a="1"/>
  <c r="BM84" i="16" a="1"/>
  <c r="AY84" i="16" a="1"/>
  <c r="AY138" i="16" a="1"/>
  <c r="T138" i="16" s="1"/>
  <c r="AH138" i="16" s="1" a="1"/>
  <c r="BM138" i="16" a="1"/>
  <c r="BM67" i="16" a="1"/>
  <c r="AY67" i="16" a="1"/>
  <c r="AY71" i="16" a="1"/>
  <c r="BM71" i="16" a="1"/>
  <c r="AY75" i="16" a="1"/>
  <c r="BM75" i="16" a="1"/>
  <c r="BM92" i="16" a="1"/>
  <c r="AY92" i="16" a="1"/>
  <c r="AY83" i="16" a="1"/>
  <c r="BM83" i="16" a="1"/>
  <c r="AY69" i="16" a="1"/>
  <c r="BM69" i="16" a="1"/>
  <c r="BM142" i="16" a="1"/>
  <c r="AY142" i="16" a="1"/>
  <c r="T142" i="16" s="1"/>
  <c r="AH142" i="16" s="1" a="1"/>
  <c r="BM62" i="16" a="1"/>
  <c r="AY62" i="16" a="1"/>
  <c r="BM54" i="16" a="1"/>
  <c r="BM16" i="16" s="1"/>
  <c r="AY54" i="16" a="1"/>
  <c r="AY145" i="16" a="1"/>
  <c r="T145" i="16" s="1"/>
  <c r="AH145" i="16" s="1" a="1"/>
  <c r="BM145" i="16" a="1"/>
  <c r="BM88" i="16" a="1"/>
  <c r="AY88" i="16" a="1"/>
  <c r="BM96" i="16" a="1"/>
  <c r="AY96" i="16" a="1"/>
  <c r="AY99" i="16" a="1"/>
  <c r="BM99" i="16" a="1"/>
  <c r="BM119" i="16" a="1"/>
  <c r="AY119" i="16" a="1"/>
  <c r="T119" i="16" s="1"/>
  <c r="AH119" i="16" s="1" a="1"/>
  <c r="BT20" i="16"/>
  <c r="Z47" i="16"/>
  <c r="AS221" i="13"/>
  <c r="BU20" i="16"/>
  <c r="Z55" i="16"/>
  <c r="BG20" i="16"/>
  <c r="J11" i="16"/>
  <c r="U52" i="16"/>
  <c r="W113" i="16"/>
  <c r="AB81" i="16"/>
  <c r="V83" i="16"/>
  <c r="AB82" i="16"/>
  <c r="AB110" i="16"/>
  <c r="AB80" i="16"/>
  <c r="AB67" i="16"/>
  <c r="U48" i="16"/>
  <c r="U55" i="16"/>
  <c r="V107" i="16"/>
  <c r="V86" i="16"/>
  <c r="AB70" i="16"/>
  <c r="AB64" i="16"/>
  <c r="AB94" i="16"/>
  <c r="AB98" i="16"/>
  <c r="AB57" i="16"/>
  <c r="AB99" i="16"/>
  <c r="AB61" i="16"/>
  <c r="AB65" i="16"/>
  <c r="AB92" i="16"/>
  <c r="AA50" i="16"/>
  <c r="Y48" i="16"/>
  <c r="V54" i="16"/>
  <c r="BU11" i="16"/>
  <c r="AB85" i="16"/>
  <c r="AA48" i="16"/>
  <c r="AB104" i="16"/>
  <c r="L104" i="16"/>
  <c r="BG17" i="16"/>
  <c r="AB17" i="16" s="1"/>
  <c r="L55" i="16"/>
  <c r="BG24" i="16"/>
  <c r="L90" i="16"/>
  <c r="AB93" i="16"/>
  <c r="L93" i="16"/>
  <c r="AB87" i="16"/>
  <c r="L87" i="16"/>
  <c r="BG14" i="16"/>
  <c r="AB14" i="16" s="1"/>
  <c r="L52" i="16"/>
  <c r="AB76" i="16"/>
  <c r="L76" i="16"/>
  <c r="AB62" i="16"/>
  <c r="L62" i="16"/>
  <c r="AB60" i="16"/>
  <c r="L60" i="16"/>
  <c r="BG28" i="16"/>
  <c r="AB28" i="16" s="1"/>
  <c r="L107" i="16"/>
  <c r="BG13" i="16"/>
  <c r="AB13" i="16" s="1"/>
  <c r="L50" i="16"/>
  <c r="AB101" i="16"/>
  <c r="L101" i="16"/>
  <c r="AB58" i="16"/>
  <c r="L58" i="16"/>
  <c r="AB96" i="16"/>
  <c r="L96" i="16"/>
  <c r="AB71" i="16"/>
  <c r="L71" i="16"/>
  <c r="BU18" i="16"/>
  <c r="BG25" i="16"/>
  <c r="V105" i="16"/>
  <c r="BU25" i="16"/>
  <c r="BG18" i="16"/>
  <c r="BU19" i="16"/>
  <c r="BG19" i="16"/>
  <c r="BG21" i="16"/>
  <c r="V90" i="16"/>
  <c r="W77" i="16"/>
  <c r="BU22" i="16"/>
  <c r="BU21" i="16"/>
  <c r="BU23" i="16"/>
  <c r="AS41" i="16"/>
  <c r="L41" i="16" s="1"/>
  <c r="BG12" i="16"/>
  <c r="L25" i="16"/>
  <c r="L18" i="16"/>
  <c r="AB48" i="16"/>
  <c r="X47" i="16"/>
  <c r="L22" i="16"/>
  <c r="L30" i="16"/>
  <c r="L20" i="16"/>
  <c r="L14" i="16"/>
  <c r="L16" i="16"/>
  <c r="L23" i="16"/>
  <c r="L13" i="16"/>
  <c r="L27" i="16"/>
  <c r="AB51" i="16"/>
  <c r="AB90" i="16"/>
  <c r="AB91" i="16"/>
  <c r="AB66" i="16"/>
  <c r="AB50" i="16"/>
  <c r="AB112" i="16"/>
  <c r="AB103" i="16"/>
  <c r="AB75" i="16"/>
  <c r="AB95" i="16"/>
  <c r="AB63" i="16"/>
  <c r="AA90" i="16"/>
  <c r="L29" i="16"/>
  <c r="L12" i="16"/>
  <c r="AB49" i="16"/>
  <c r="AB102" i="16"/>
  <c r="AB86" i="16"/>
  <c r="L15" i="16"/>
  <c r="L24" i="16"/>
  <c r="Z109" i="16"/>
  <c r="AB97" i="16"/>
  <c r="AB47" i="16"/>
  <c r="AB84" i="16"/>
  <c r="AB74" i="16"/>
  <c r="AB108" i="16"/>
  <c r="AB107" i="16"/>
  <c r="AB88" i="16"/>
  <c r="AB78" i="16"/>
  <c r="AB100" i="16"/>
  <c r="AB72" i="16"/>
  <c r="AB89" i="16"/>
  <c r="AB55" i="16"/>
  <c r="AB68" i="16"/>
  <c r="AB69" i="16"/>
  <c r="AB52" i="16"/>
  <c r="AB56" i="16"/>
  <c r="AB73" i="16"/>
  <c r="AB79" i="16"/>
  <c r="AB59" i="16"/>
  <c r="L28" i="16"/>
  <c r="L19" i="16"/>
  <c r="L17" i="16"/>
  <c r="L21" i="16"/>
  <c r="AB46" i="16"/>
  <c r="L11" i="16"/>
  <c r="BG11" i="16"/>
  <c r="AB77" i="16"/>
  <c r="BG22" i="16"/>
  <c r="AB54" i="16"/>
  <c r="BG16" i="16"/>
  <c r="AB16" i="16" s="1"/>
  <c r="AB83" i="16"/>
  <c r="BG23" i="16"/>
  <c r="AB53" i="16"/>
  <c r="BG15" i="16"/>
  <c r="AB15" i="16" s="1"/>
  <c r="AB109" i="16"/>
  <c r="BG29" i="16"/>
  <c r="AB113" i="16"/>
  <c r="BG30" i="16"/>
  <c r="AB30" i="16" s="1"/>
  <c r="AB106" i="16"/>
  <c r="BG27" i="16"/>
  <c r="AB27" i="16" s="1"/>
  <c r="AB105" i="16"/>
  <c r="BG26" i="16"/>
  <c r="AB26" i="16" s="1"/>
  <c r="Z52" i="16"/>
  <c r="Z53" i="16"/>
  <c r="V106" i="16"/>
  <c r="V47" i="16"/>
  <c r="V55" i="16"/>
  <c r="V48" i="16"/>
  <c r="V53" i="16"/>
  <c r="W47" i="16"/>
  <c r="V50" i="16"/>
  <c r="X74" i="16"/>
  <c r="U54" i="16"/>
  <c r="W86" i="16"/>
  <c r="W105" i="16"/>
  <c r="Z54" i="16"/>
  <c r="V113" i="16"/>
  <c r="Y63" i="16"/>
  <c r="Z105" i="16"/>
  <c r="X53" i="16"/>
  <c r="B41" i="16"/>
  <c r="Z106" i="16"/>
  <c r="J30" i="16"/>
  <c r="Z113" i="16"/>
  <c r="J24" i="16"/>
  <c r="Z90" i="16"/>
  <c r="AA106" i="16"/>
  <c r="Z86" i="16"/>
  <c r="U90" i="16"/>
  <c r="X50" i="16"/>
  <c r="AA75" i="16"/>
  <c r="W52" i="16"/>
  <c r="U92" i="16"/>
  <c r="U74" i="16"/>
  <c r="AA53" i="16"/>
  <c r="AQ238" i="13"/>
  <c r="I13" i="16"/>
  <c r="AA55" i="16"/>
  <c r="AR41" i="16"/>
  <c r="K41" i="16" s="1"/>
  <c r="AA52" i="16"/>
  <c r="AO41" i="16"/>
  <c r="H41" i="16" s="1"/>
  <c r="G41" i="16"/>
  <c r="F41" i="16"/>
  <c r="U113" i="16"/>
  <c r="Y74" i="16"/>
  <c r="W55" i="16"/>
  <c r="W107" i="16"/>
  <c r="X48" i="16"/>
  <c r="X55" i="16"/>
  <c r="X106" i="16"/>
  <c r="X92" i="16"/>
  <c r="X54" i="16"/>
  <c r="U105" i="16"/>
  <c r="U109" i="16"/>
  <c r="AA111" i="16"/>
  <c r="AA47" i="16"/>
  <c r="W90" i="16"/>
  <c r="W106" i="16"/>
  <c r="X52" i="16"/>
  <c r="W54" i="16"/>
  <c r="W74" i="16"/>
  <c r="W53" i="16"/>
  <c r="U47" i="16"/>
  <c r="U106" i="16"/>
  <c r="U53" i="16"/>
  <c r="AA26" i="16"/>
  <c r="Y72" i="16"/>
  <c r="X90" i="16"/>
  <c r="X105" i="16"/>
  <c r="Y107" i="16"/>
  <c r="K20" i="16"/>
  <c r="AQ225" i="13"/>
  <c r="AS211" i="13"/>
  <c r="AS210" i="13"/>
  <c r="J25" i="16"/>
  <c r="J22" i="16"/>
  <c r="F11" i="16"/>
  <c r="F21" i="16"/>
  <c r="F23" i="16"/>
  <c r="G12" i="16"/>
  <c r="G11" i="16"/>
  <c r="G29" i="16"/>
  <c r="G21" i="16"/>
  <c r="G22" i="16"/>
  <c r="G28" i="16"/>
  <c r="H22" i="16"/>
  <c r="H21" i="16"/>
  <c r="H11" i="16"/>
  <c r="H25" i="16"/>
  <c r="E28" i="16"/>
  <c r="E25" i="16"/>
  <c r="E22" i="16"/>
  <c r="E11" i="16"/>
  <c r="K28" i="16"/>
  <c r="K22" i="16"/>
  <c r="K29" i="16"/>
  <c r="K11" i="16"/>
  <c r="I11" i="16"/>
  <c r="I18" i="16"/>
  <c r="I28" i="16"/>
  <c r="I29" i="16"/>
  <c r="I22" i="16"/>
  <c r="I23" i="16"/>
  <c r="E41" i="16"/>
  <c r="AS241" i="13"/>
  <c r="AK237" i="13"/>
  <c r="AS232" i="13"/>
  <c r="AS231" i="13"/>
  <c r="AS217" i="13"/>
  <c r="AA69" i="16"/>
  <c r="Y47" i="16"/>
  <c r="V63" i="16"/>
  <c r="AI237" i="13"/>
  <c r="AS236" i="13"/>
  <c r="AQ231" i="13"/>
  <c r="AS230" i="13"/>
  <c r="AS172" i="13"/>
  <c r="Y92" i="16"/>
  <c r="AQ235" i="13"/>
  <c r="AS234" i="13"/>
  <c r="AS225" i="13"/>
  <c r="AS224" i="13"/>
  <c r="AS215" i="13"/>
  <c r="AQ211" i="13"/>
  <c r="AS153" i="13"/>
  <c r="AA54" i="16"/>
  <c r="Z27" i="16"/>
  <c r="Y109" i="16"/>
  <c r="AQ210" i="13"/>
  <c r="AS209" i="13"/>
  <c r="AA74" i="16"/>
  <c r="AS218" i="13"/>
  <c r="AQ200" i="13"/>
  <c r="AQ172" i="13"/>
  <c r="AS240" i="13"/>
  <c r="AS237" i="13"/>
  <c r="AQ236" i="13"/>
  <c r="AS228" i="13"/>
  <c r="AS227" i="13"/>
  <c r="AS193" i="13"/>
  <c r="AQ209" i="13"/>
  <c r="AK236" i="13"/>
  <c r="AS235" i="13"/>
  <c r="AQ234" i="13"/>
  <c r="AQ233" i="13"/>
  <c r="AS229" i="13"/>
  <c r="AQ218" i="13"/>
  <c r="AQ153" i="13"/>
  <c r="H30" i="16"/>
  <c r="X113" i="16"/>
  <c r="K30" i="16"/>
  <c r="AA113" i="16"/>
  <c r="I27" i="16"/>
  <c r="AP41" i="16"/>
  <c r="I41" i="16" s="1"/>
  <c r="J13" i="16"/>
  <c r="J12" i="16"/>
  <c r="J21" i="16"/>
  <c r="J26" i="16"/>
  <c r="J15" i="16"/>
  <c r="F13" i="16"/>
  <c r="F30" i="16"/>
  <c r="F20" i="16"/>
  <c r="F15" i="16"/>
  <c r="G13" i="16"/>
  <c r="G14" i="16"/>
  <c r="G25" i="16"/>
  <c r="G23" i="16"/>
  <c r="G16" i="16"/>
  <c r="G20" i="16"/>
  <c r="G24" i="16"/>
  <c r="G17" i="16"/>
  <c r="G26" i="16"/>
  <c r="G27" i="16"/>
  <c r="G15" i="16"/>
  <c r="W63" i="16"/>
  <c r="X86" i="16"/>
  <c r="H12" i="16"/>
  <c r="H28" i="16"/>
  <c r="H19" i="16"/>
  <c r="E27" i="16"/>
  <c r="E20" i="16"/>
  <c r="E26" i="16"/>
  <c r="E14" i="16"/>
  <c r="E12" i="16"/>
  <c r="E21" i="16"/>
  <c r="E18" i="16"/>
  <c r="K12" i="16"/>
  <c r="K18" i="16"/>
  <c r="AA78" i="16"/>
  <c r="K25" i="16"/>
  <c r="K13" i="16"/>
  <c r="J17" i="16"/>
  <c r="Z63" i="16"/>
  <c r="J28" i="16"/>
  <c r="J16" i="16"/>
  <c r="J29" i="16"/>
  <c r="J23" i="16"/>
  <c r="F29" i="16"/>
  <c r="F14" i="16"/>
  <c r="F24" i="16"/>
  <c r="F28" i="16"/>
  <c r="F27" i="16"/>
  <c r="X63" i="16"/>
  <c r="H14" i="16"/>
  <c r="H17" i="16"/>
  <c r="H18" i="16"/>
  <c r="H29" i="16"/>
  <c r="H27" i="16"/>
  <c r="H23" i="16"/>
  <c r="H24" i="16"/>
  <c r="H16" i="16"/>
  <c r="H26" i="16"/>
  <c r="H20" i="16"/>
  <c r="E13" i="16"/>
  <c r="E29" i="16"/>
  <c r="E15" i="16"/>
  <c r="E24" i="16"/>
  <c r="E30" i="16"/>
  <c r="AA105" i="16"/>
  <c r="AA63" i="16"/>
  <c r="K27" i="16"/>
  <c r="K17" i="16"/>
  <c r="AA92" i="16"/>
  <c r="K14" i="16"/>
  <c r="K24" i="16"/>
  <c r="K23" i="16"/>
  <c r="K15" i="16"/>
  <c r="AA72" i="16"/>
  <c r="K21" i="16"/>
  <c r="I21" i="16"/>
  <c r="I12" i="16"/>
  <c r="I20" i="16"/>
  <c r="I19" i="16"/>
  <c r="J19" i="16"/>
  <c r="J18" i="16"/>
  <c r="J14" i="16"/>
  <c r="J20" i="16"/>
  <c r="F22" i="16"/>
  <c r="F25" i="16"/>
  <c r="F18" i="16"/>
  <c r="F26" i="16"/>
  <c r="F17" i="16"/>
  <c r="F19" i="16"/>
  <c r="F16" i="16"/>
  <c r="F12" i="16"/>
  <c r="G19" i="16"/>
  <c r="G18" i="16"/>
  <c r="G30" i="16"/>
  <c r="H13" i="16"/>
  <c r="H15" i="16"/>
  <c r="E23" i="16"/>
  <c r="E16" i="16"/>
  <c r="E19" i="16"/>
  <c r="E17" i="16"/>
  <c r="K16" i="16"/>
  <c r="K19" i="16"/>
  <c r="I25" i="16"/>
  <c r="I30" i="16"/>
  <c r="Y113" i="16"/>
  <c r="I17" i="16"/>
  <c r="Y55" i="16"/>
  <c r="I24" i="16"/>
  <c r="Y90" i="16"/>
  <c r="Y106" i="16"/>
  <c r="BD27" i="16"/>
  <c r="Y27" i="16" s="1"/>
  <c r="I14" i="16"/>
  <c r="Y52" i="16"/>
  <c r="I26" i="16"/>
  <c r="Y105" i="16"/>
  <c r="I15" i="16"/>
  <c r="Y53" i="16"/>
  <c r="I16" i="16"/>
  <c r="Y54" i="16"/>
  <c r="D26" i="16"/>
  <c r="T105" i="16"/>
  <c r="D17" i="16"/>
  <c r="T55" i="16"/>
  <c r="BF20" i="16"/>
  <c r="J97" i="16"/>
  <c r="Z97" i="16"/>
  <c r="J84" i="16"/>
  <c r="Z84" i="16"/>
  <c r="J62" i="16"/>
  <c r="Z62" i="16"/>
  <c r="J110" i="16"/>
  <c r="Z110" i="16"/>
  <c r="J58" i="16"/>
  <c r="Z58" i="16"/>
  <c r="J65" i="16"/>
  <c r="Z65" i="16"/>
  <c r="J91" i="16"/>
  <c r="Z91" i="16"/>
  <c r="J102" i="16"/>
  <c r="Z102" i="16"/>
  <c r="J111" i="16"/>
  <c r="Z111" i="16"/>
  <c r="J50" i="16"/>
  <c r="Z50" i="16"/>
  <c r="J85" i="16"/>
  <c r="Z85" i="16"/>
  <c r="J49" i="16"/>
  <c r="Z49" i="16"/>
  <c r="J72" i="16"/>
  <c r="Z72" i="16"/>
  <c r="J69" i="16"/>
  <c r="Z69" i="16"/>
  <c r="J68" i="16"/>
  <c r="Z68" i="16"/>
  <c r="J51" i="16"/>
  <c r="Z51" i="16"/>
  <c r="J57" i="16"/>
  <c r="Z57" i="16"/>
  <c r="J94" i="16"/>
  <c r="Z94" i="16"/>
  <c r="J112" i="16"/>
  <c r="Z112" i="16"/>
  <c r="J48" i="16"/>
  <c r="Z48" i="16"/>
  <c r="J59" i="16"/>
  <c r="Z59" i="16"/>
  <c r="J56" i="16"/>
  <c r="Z56" i="16"/>
  <c r="J81" i="16"/>
  <c r="Z81" i="16"/>
  <c r="J64" i="16"/>
  <c r="Z64" i="16"/>
  <c r="J107" i="16"/>
  <c r="Z107" i="16"/>
  <c r="J108" i="16"/>
  <c r="Z108" i="16"/>
  <c r="J67" i="16"/>
  <c r="Z67" i="16"/>
  <c r="J74" i="16"/>
  <c r="Z74" i="16"/>
  <c r="J104" i="16"/>
  <c r="Z104" i="16"/>
  <c r="J82" i="16"/>
  <c r="Z82" i="16"/>
  <c r="J80" i="16"/>
  <c r="Z80" i="16"/>
  <c r="J79" i="16"/>
  <c r="Z79" i="16"/>
  <c r="J103" i="16"/>
  <c r="Z103" i="16"/>
  <c r="J60" i="16"/>
  <c r="Z60" i="16"/>
  <c r="J95" i="16"/>
  <c r="Z95" i="16"/>
  <c r="J61" i="16"/>
  <c r="Z61" i="16"/>
  <c r="J83" i="16"/>
  <c r="Z83" i="16"/>
  <c r="J96" i="16"/>
  <c r="Z96" i="16"/>
  <c r="J66" i="16"/>
  <c r="Z66" i="16"/>
  <c r="J100" i="16"/>
  <c r="Z100" i="16"/>
  <c r="J99" i="16"/>
  <c r="Z99" i="16"/>
  <c r="J70" i="16"/>
  <c r="Z70" i="16"/>
  <c r="J101" i="16"/>
  <c r="Z101" i="16"/>
  <c r="J75" i="16"/>
  <c r="Z75" i="16"/>
  <c r="J89" i="16"/>
  <c r="Z89" i="16"/>
  <c r="J93" i="16"/>
  <c r="Z93" i="16"/>
  <c r="J92" i="16"/>
  <c r="Z92" i="16"/>
  <c r="J98" i="16"/>
  <c r="Z98" i="16"/>
  <c r="J87" i="16"/>
  <c r="Z87" i="16"/>
  <c r="J73" i="16"/>
  <c r="Z73" i="16"/>
  <c r="J71" i="16"/>
  <c r="Z71" i="16"/>
  <c r="J76" i="16"/>
  <c r="Z76" i="16"/>
  <c r="J88" i="16"/>
  <c r="Z88" i="16"/>
  <c r="J77" i="16"/>
  <c r="Z77" i="16"/>
  <c r="J78" i="16"/>
  <c r="Z78" i="16"/>
  <c r="F109" i="16"/>
  <c r="V109" i="16"/>
  <c r="F94" i="16"/>
  <c r="V94" i="16"/>
  <c r="F78" i="16"/>
  <c r="V78" i="16"/>
  <c r="F74" i="16"/>
  <c r="V74" i="16"/>
  <c r="F49" i="16"/>
  <c r="V49" i="16"/>
  <c r="F82" i="16"/>
  <c r="V82" i="16"/>
  <c r="F71" i="16"/>
  <c r="V71" i="16"/>
  <c r="F112" i="16"/>
  <c r="V112" i="16"/>
  <c r="F108" i="16"/>
  <c r="V108" i="16"/>
  <c r="F93" i="16"/>
  <c r="V93" i="16"/>
  <c r="F85" i="16"/>
  <c r="V85" i="16"/>
  <c r="F67" i="16"/>
  <c r="V67" i="16"/>
  <c r="F77" i="16"/>
  <c r="V77" i="16"/>
  <c r="F51" i="16"/>
  <c r="V51" i="16"/>
  <c r="F81" i="16"/>
  <c r="V81" i="16"/>
  <c r="F57" i="16"/>
  <c r="V57" i="16"/>
  <c r="F101" i="16"/>
  <c r="V101" i="16"/>
  <c r="F104" i="16"/>
  <c r="V104" i="16"/>
  <c r="F72" i="16"/>
  <c r="V72" i="16"/>
  <c r="F68" i="16"/>
  <c r="V68" i="16"/>
  <c r="F64" i="16"/>
  <c r="V64" i="16"/>
  <c r="F80" i="16"/>
  <c r="V80" i="16"/>
  <c r="F98" i="16"/>
  <c r="V98" i="16"/>
  <c r="F91" i="16"/>
  <c r="V91" i="16"/>
  <c r="F87" i="16"/>
  <c r="V87" i="16"/>
  <c r="F58" i="16"/>
  <c r="V58" i="16"/>
  <c r="F110" i="16"/>
  <c r="V110" i="16"/>
  <c r="F79" i="16"/>
  <c r="V79" i="16"/>
  <c r="F56" i="16"/>
  <c r="V56" i="16"/>
  <c r="F92" i="16"/>
  <c r="V92" i="16"/>
  <c r="F111" i="16"/>
  <c r="V111" i="16"/>
  <c r="F89" i="16"/>
  <c r="V89" i="16"/>
  <c r="F59" i="16"/>
  <c r="V59" i="16"/>
  <c r="F100" i="16"/>
  <c r="V100" i="16"/>
  <c r="F96" i="16"/>
  <c r="V96" i="16"/>
  <c r="F102" i="16"/>
  <c r="V102" i="16"/>
  <c r="F95" i="16"/>
  <c r="V95" i="16"/>
  <c r="F88" i="16"/>
  <c r="V88" i="16"/>
  <c r="F84" i="16"/>
  <c r="V84" i="16"/>
  <c r="F76" i="16"/>
  <c r="V76" i="16"/>
  <c r="F69" i="16"/>
  <c r="V69" i="16"/>
  <c r="F62" i="16"/>
  <c r="V62" i="16"/>
  <c r="F97" i="16"/>
  <c r="V97" i="16"/>
  <c r="F70" i="16"/>
  <c r="V70" i="16"/>
  <c r="F66" i="16"/>
  <c r="V66" i="16"/>
  <c r="F61" i="16"/>
  <c r="V61" i="16"/>
  <c r="F73" i="16"/>
  <c r="V73" i="16"/>
  <c r="F60" i="16"/>
  <c r="V60" i="16"/>
  <c r="F103" i="16"/>
  <c r="V103" i="16"/>
  <c r="F99" i="16"/>
  <c r="V99" i="16"/>
  <c r="F65" i="16"/>
  <c r="V65" i="16"/>
  <c r="F75" i="16"/>
  <c r="V75" i="16"/>
  <c r="G48" i="16"/>
  <c r="W48" i="16"/>
  <c r="G68" i="16"/>
  <c r="W68" i="16"/>
  <c r="G96" i="16"/>
  <c r="W96" i="16"/>
  <c r="G76" i="16"/>
  <c r="W76" i="16"/>
  <c r="G49" i="16"/>
  <c r="W49" i="16"/>
  <c r="G62" i="16"/>
  <c r="W62" i="16"/>
  <c r="G72" i="16"/>
  <c r="W72" i="16"/>
  <c r="G75" i="16"/>
  <c r="W75" i="16"/>
  <c r="G60" i="16"/>
  <c r="W60" i="16"/>
  <c r="G89" i="16"/>
  <c r="W89" i="16"/>
  <c r="G57" i="16"/>
  <c r="W57" i="16"/>
  <c r="G88" i="16"/>
  <c r="W88" i="16"/>
  <c r="G50" i="16"/>
  <c r="W50" i="16"/>
  <c r="G78" i="16"/>
  <c r="W78" i="16"/>
  <c r="G71" i="16"/>
  <c r="W71" i="16"/>
  <c r="G82" i="16"/>
  <c r="W82" i="16"/>
  <c r="G66" i="16"/>
  <c r="W66" i="16"/>
  <c r="G69" i="16"/>
  <c r="W69" i="16"/>
  <c r="G83" i="16"/>
  <c r="W83" i="16"/>
  <c r="G59" i="16"/>
  <c r="W59" i="16"/>
  <c r="G65" i="16"/>
  <c r="W65" i="16"/>
  <c r="G80" i="16"/>
  <c r="W80" i="16"/>
  <c r="G91" i="16"/>
  <c r="W91" i="16"/>
  <c r="G85" i="16"/>
  <c r="W85" i="16"/>
  <c r="G87" i="16"/>
  <c r="W87" i="16"/>
  <c r="G97" i="16"/>
  <c r="W97" i="16"/>
  <c r="G84" i="16"/>
  <c r="W84" i="16"/>
  <c r="G93" i="16"/>
  <c r="W93" i="16"/>
  <c r="G73" i="16"/>
  <c r="W73" i="16"/>
  <c r="G92" i="16"/>
  <c r="W92" i="16"/>
  <c r="G58" i="16"/>
  <c r="W58" i="16"/>
  <c r="G109" i="16"/>
  <c r="W109" i="16"/>
  <c r="G101" i="16"/>
  <c r="W101" i="16"/>
  <c r="G100" i="16"/>
  <c r="W100" i="16"/>
  <c r="G79" i="16"/>
  <c r="W79" i="16"/>
  <c r="G95" i="16"/>
  <c r="W95" i="16"/>
  <c r="G67" i="16"/>
  <c r="W67" i="16"/>
  <c r="G110" i="16"/>
  <c r="W110" i="16"/>
  <c r="G99" i="16"/>
  <c r="W99" i="16"/>
  <c r="G64" i="16"/>
  <c r="W64" i="16"/>
  <c r="G81" i="16"/>
  <c r="W81" i="16"/>
  <c r="G70" i="16"/>
  <c r="W70" i="16"/>
  <c r="G61" i="16"/>
  <c r="W61" i="16"/>
  <c r="G112" i="16"/>
  <c r="W112" i="16"/>
  <c r="G56" i="16"/>
  <c r="W56" i="16"/>
  <c r="G51" i="16"/>
  <c r="W51" i="16"/>
  <c r="G104" i="16"/>
  <c r="W104" i="16"/>
  <c r="G102" i="16"/>
  <c r="W102" i="16"/>
  <c r="G103" i="16"/>
  <c r="W103" i="16"/>
  <c r="G111" i="16"/>
  <c r="W111" i="16"/>
  <c r="G108" i="16"/>
  <c r="W108" i="16"/>
  <c r="G94" i="16"/>
  <c r="W94" i="16"/>
  <c r="G98" i="16"/>
  <c r="W98" i="16"/>
  <c r="H89" i="16"/>
  <c r="X89" i="16"/>
  <c r="H65" i="16"/>
  <c r="X65" i="16"/>
  <c r="H67" i="16"/>
  <c r="X67" i="16"/>
  <c r="H51" i="16"/>
  <c r="X51" i="16"/>
  <c r="H111" i="16"/>
  <c r="X111" i="16"/>
  <c r="H75" i="16"/>
  <c r="X75" i="16"/>
  <c r="H81" i="16"/>
  <c r="X81" i="16"/>
  <c r="H94" i="16"/>
  <c r="X94" i="16"/>
  <c r="H82" i="16"/>
  <c r="X82" i="16"/>
  <c r="H57" i="16"/>
  <c r="X57" i="16"/>
  <c r="H107" i="16"/>
  <c r="X107" i="16"/>
  <c r="H101" i="16"/>
  <c r="X101" i="16"/>
  <c r="H56" i="16"/>
  <c r="X56" i="16"/>
  <c r="H97" i="16"/>
  <c r="X97" i="16"/>
  <c r="H83" i="16"/>
  <c r="X83" i="16"/>
  <c r="H98" i="16"/>
  <c r="X98" i="16"/>
  <c r="H78" i="16"/>
  <c r="X78" i="16"/>
  <c r="H49" i="16"/>
  <c r="X49" i="16"/>
  <c r="H109" i="16"/>
  <c r="X109" i="16"/>
  <c r="H61" i="16"/>
  <c r="X61" i="16"/>
  <c r="H102" i="16"/>
  <c r="X102" i="16"/>
  <c r="H100" i="16"/>
  <c r="X100" i="16"/>
  <c r="H93" i="16"/>
  <c r="X93" i="16"/>
  <c r="H58" i="16"/>
  <c r="X58" i="16"/>
  <c r="H84" i="16"/>
  <c r="X84" i="16"/>
  <c r="H87" i="16"/>
  <c r="X87" i="16"/>
  <c r="H77" i="16"/>
  <c r="X77" i="16"/>
  <c r="H88" i="16"/>
  <c r="X88" i="16"/>
  <c r="H76" i="16"/>
  <c r="X76" i="16"/>
  <c r="H69" i="16"/>
  <c r="X69" i="16"/>
  <c r="H108" i="16"/>
  <c r="X108" i="16"/>
  <c r="H110" i="16"/>
  <c r="X110" i="16"/>
  <c r="H62" i="16"/>
  <c r="X62" i="16"/>
  <c r="H72" i="16"/>
  <c r="X72" i="16"/>
  <c r="H112" i="16"/>
  <c r="X112" i="16"/>
  <c r="H96" i="16"/>
  <c r="X96" i="16"/>
  <c r="H80" i="16"/>
  <c r="X80" i="16"/>
  <c r="H99" i="16"/>
  <c r="X99" i="16"/>
  <c r="H70" i="16"/>
  <c r="X70" i="16"/>
  <c r="H64" i="16"/>
  <c r="X64" i="16"/>
  <c r="H66" i="16"/>
  <c r="X66" i="16"/>
  <c r="H91" i="16"/>
  <c r="X91" i="16"/>
  <c r="H104" i="16"/>
  <c r="X104" i="16"/>
  <c r="H68" i="16"/>
  <c r="X68" i="16"/>
  <c r="H103" i="16"/>
  <c r="X103" i="16"/>
  <c r="H60" i="16"/>
  <c r="X60" i="16"/>
  <c r="H85" i="16"/>
  <c r="X85" i="16"/>
  <c r="H95" i="16"/>
  <c r="X95" i="16"/>
  <c r="H73" i="16"/>
  <c r="X73" i="16"/>
  <c r="H79" i="16"/>
  <c r="X79" i="16"/>
  <c r="H71" i="16"/>
  <c r="X71" i="16"/>
  <c r="H59" i="16"/>
  <c r="X59" i="16"/>
  <c r="E60" i="16"/>
  <c r="U60" i="16"/>
  <c r="E49" i="16"/>
  <c r="U49" i="16"/>
  <c r="E72" i="16"/>
  <c r="U72" i="16"/>
  <c r="E107" i="16"/>
  <c r="U107" i="16"/>
  <c r="E83" i="16"/>
  <c r="U83" i="16"/>
  <c r="E71" i="16"/>
  <c r="U71" i="16"/>
  <c r="E111" i="16"/>
  <c r="U111" i="16"/>
  <c r="E79" i="16"/>
  <c r="U79" i="16"/>
  <c r="E76" i="16"/>
  <c r="U76" i="16"/>
  <c r="E97" i="16"/>
  <c r="U97" i="16"/>
  <c r="E102" i="16"/>
  <c r="U102" i="16"/>
  <c r="E50" i="16"/>
  <c r="U50" i="16"/>
  <c r="E91" i="16"/>
  <c r="U91" i="16"/>
  <c r="E87" i="16"/>
  <c r="U87" i="16"/>
  <c r="E112" i="16"/>
  <c r="U112" i="16"/>
  <c r="E110" i="16"/>
  <c r="U110" i="16"/>
  <c r="E104" i="16"/>
  <c r="U104" i="16"/>
  <c r="E103" i="16"/>
  <c r="U103" i="16"/>
  <c r="E77" i="16"/>
  <c r="U77" i="16"/>
  <c r="E88" i="16"/>
  <c r="U88" i="16"/>
  <c r="E96" i="16"/>
  <c r="U96" i="16"/>
  <c r="E89" i="16"/>
  <c r="U89" i="16"/>
  <c r="E85" i="16"/>
  <c r="U85" i="16"/>
  <c r="E62" i="16"/>
  <c r="U62" i="16"/>
  <c r="E69" i="16"/>
  <c r="U69" i="16"/>
  <c r="E73" i="16"/>
  <c r="U73" i="16"/>
  <c r="E65" i="16"/>
  <c r="U65" i="16"/>
  <c r="E100" i="16"/>
  <c r="U100" i="16"/>
  <c r="E82" i="16"/>
  <c r="U82" i="16"/>
  <c r="E66" i="16"/>
  <c r="U66" i="16"/>
  <c r="E81" i="16"/>
  <c r="U81" i="16"/>
  <c r="E58" i="16"/>
  <c r="U58" i="16"/>
  <c r="E80" i="16"/>
  <c r="U80" i="16"/>
  <c r="E75" i="16"/>
  <c r="U75" i="16"/>
  <c r="E84" i="16"/>
  <c r="U84" i="16"/>
  <c r="E95" i="16"/>
  <c r="U95" i="16"/>
  <c r="E101" i="16"/>
  <c r="U101" i="16"/>
  <c r="E93" i="16"/>
  <c r="U93" i="16"/>
  <c r="E99" i="16"/>
  <c r="U99" i="16"/>
  <c r="E98" i="16"/>
  <c r="U98" i="16"/>
  <c r="E108" i="16"/>
  <c r="U108" i="16"/>
  <c r="E68" i="16"/>
  <c r="U68" i="16"/>
  <c r="E70" i="16"/>
  <c r="U70" i="16"/>
  <c r="E67" i="16"/>
  <c r="U67" i="16"/>
  <c r="E94" i="16"/>
  <c r="U94" i="16"/>
  <c r="E63" i="16"/>
  <c r="U63" i="16"/>
  <c r="E57" i="16"/>
  <c r="U57" i="16"/>
  <c r="E78" i="16"/>
  <c r="U78" i="16"/>
  <c r="E61" i="16"/>
  <c r="U61" i="16"/>
  <c r="E59" i="16"/>
  <c r="U59" i="16"/>
  <c r="E56" i="16"/>
  <c r="U56" i="16"/>
  <c r="E51" i="16"/>
  <c r="U51" i="16"/>
  <c r="E64" i="16"/>
  <c r="U64" i="16"/>
  <c r="K64" i="16"/>
  <c r="AA64" i="16"/>
  <c r="K100" i="16"/>
  <c r="AA100" i="16"/>
  <c r="K107" i="16"/>
  <c r="AA107" i="16"/>
  <c r="K95" i="16"/>
  <c r="AA95" i="16"/>
  <c r="K70" i="16"/>
  <c r="AA70" i="16"/>
  <c r="K99" i="16"/>
  <c r="AA99" i="16"/>
  <c r="K67" i="16"/>
  <c r="AA67" i="16"/>
  <c r="K89" i="16"/>
  <c r="AA89" i="16"/>
  <c r="K96" i="16"/>
  <c r="AA96" i="16"/>
  <c r="K71" i="16"/>
  <c r="AA71" i="16"/>
  <c r="K61" i="16"/>
  <c r="AA61" i="16"/>
  <c r="K112" i="16"/>
  <c r="AA112" i="16"/>
  <c r="K62" i="16"/>
  <c r="AA62" i="16"/>
  <c r="K49" i="16"/>
  <c r="AA49" i="16"/>
  <c r="K103" i="16"/>
  <c r="AA103" i="16"/>
  <c r="K82" i="16"/>
  <c r="AA82" i="16"/>
  <c r="K59" i="16"/>
  <c r="AA59" i="16"/>
  <c r="K77" i="16"/>
  <c r="AA77" i="16"/>
  <c r="K56" i="16"/>
  <c r="AA56" i="16"/>
  <c r="K83" i="16"/>
  <c r="AA83" i="16"/>
  <c r="K73" i="16"/>
  <c r="AA73" i="16"/>
  <c r="K51" i="16"/>
  <c r="AA51" i="16"/>
  <c r="K93" i="16"/>
  <c r="AA93" i="16"/>
  <c r="K109" i="16"/>
  <c r="AA109" i="16"/>
  <c r="K57" i="16"/>
  <c r="AA57" i="16"/>
  <c r="K85" i="16"/>
  <c r="AA85" i="16"/>
  <c r="K79" i="16"/>
  <c r="AA79" i="16"/>
  <c r="K87" i="16"/>
  <c r="AA87" i="16"/>
  <c r="K102" i="16"/>
  <c r="AA102" i="16"/>
  <c r="K76" i="16"/>
  <c r="AA76" i="16"/>
  <c r="K68" i="16"/>
  <c r="AA68" i="16"/>
  <c r="K60" i="16"/>
  <c r="AA60" i="16"/>
  <c r="K88" i="16"/>
  <c r="AA88" i="16"/>
  <c r="K58" i="16"/>
  <c r="AA58" i="16"/>
  <c r="K104" i="16"/>
  <c r="AA104" i="16"/>
  <c r="K86" i="16"/>
  <c r="AA86" i="16"/>
  <c r="K84" i="16"/>
  <c r="AA84" i="16"/>
  <c r="K110" i="16"/>
  <c r="AA110" i="16"/>
  <c r="K91" i="16"/>
  <c r="AA91" i="16"/>
  <c r="K65" i="16"/>
  <c r="AA65" i="16"/>
  <c r="K80" i="16"/>
  <c r="AA80" i="16"/>
  <c r="K108" i="16"/>
  <c r="AA108" i="16"/>
  <c r="K66" i="16"/>
  <c r="AA66" i="16"/>
  <c r="K81" i="16"/>
  <c r="AA81" i="16"/>
  <c r="K101" i="16"/>
  <c r="AA101" i="16"/>
  <c r="K94" i="16"/>
  <c r="AA94" i="16"/>
  <c r="K98" i="16"/>
  <c r="AA98" i="16"/>
  <c r="K97" i="16"/>
  <c r="AA97" i="16"/>
  <c r="I58" i="16"/>
  <c r="Y58" i="16"/>
  <c r="I87" i="16"/>
  <c r="Y87" i="16"/>
  <c r="I100" i="16"/>
  <c r="Y100" i="16"/>
  <c r="I51" i="16"/>
  <c r="Y51" i="16"/>
  <c r="I64" i="16"/>
  <c r="Y64" i="16"/>
  <c r="I104" i="16"/>
  <c r="Y104" i="16"/>
  <c r="I68" i="16"/>
  <c r="Y68" i="16"/>
  <c r="I84" i="16"/>
  <c r="Y84" i="16"/>
  <c r="I93" i="16"/>
  <c r="Y93" i="16"/>
  <c r="I60" i="16"/>
  <c r="Y60" i="16"/>
  <c r="I85" i="16"/>
  <c r="Y85" i="16"/>
  <c r="I56" i="16"/>
  <c r="Y56" i="16"/>
  <c r="I65" i="16"/>
  <c r="Y65" i="16"/>
  <c r="I61" i="16"/>
  <c r="Y61" i="16"/>
  <c r="I59" i="16"/>
  <c r="Y59" i="16"/>
  <c r="I101" i="16"/>
  <c r="Y101" i="16"/>
  <c r="I78" i="16"/>
  <c r="Y78" i="16"/>
  <c r="I79" i="16"/>
  <c r="Y79" i="16"/>
  <c r="I57" i="16"/>
  <c r="Y57" i="16"/>
  <c r="I73" i="16"/>
  <c r="Y73" i="16"/>
  <c r="I70" i="16"/>
  <c r="Y70" i="16"/>
  <c r="I88" i="16"/>
  <c r="Y88" i="16"/>
  <c r="I99" i="16"/>
  <c r="Y99" i="16"/>
  <c r="I80" i="16"/>
  <c r="Y80" i="16"/>
  <c r="I91" i="16"/>
  <c r="Y91" i="16"/>
  <c r="I49" i="16"/>
  <c r="Y49" i="16"/>
  <c r="I66" i="16"/>
  <c r="Y66" i="16"/>
  <c r="I110" i="16"/>
  <c r="Y110" i="16"/>
  <c r="I97" i="16"/>
  <c r="Y97" i="16"/>
  <c r="I111" i="16"/>
  <c r="Y111" i="16"/>
  <c r="I96" i="16"/>
  <c r="Y96" i="16"/>
  <c r="I81" i="16"/>
  <c r="Y81" i="16"/>
  <c r="I77" i="16"/>
  <c r="Y77" i="16"/>
  <c r="I95" i="16"/>
  <c r="Y95" i="16"/>
  <c r="I76" i="16"/>
  <c r="Y76" i="16"/>
  <c r="I102" i="16"/>
  <c r="Y102" i="16"/>
  <c r="I62" i="16"/>
  <c r="Y62" i="16"/>
  <c r="I83" i="16"/>
  <c r="Y83" i="16"/>
  <c r="I94" i="16"/>
  <c r="Y94" i="16"/>
  <c r="I89" i="16"/>
  <c r="Y89" i="16"/>
  <c r="I103" i="16"/>
  <c r="Y103" i="16"/>
  <c r="I69" i="16"/>
  <c r="Y69" i="16"/>
  <c r="I75" i="16"/>
  <c r="Y75" i="16"/>
  <c r="I71" i="16"/>
  <c r="Y71" i="16"/>
  <c r="I50" i="16"/>
  <c r="Y50" i="16"/>
  <c r="I67" i="16"/>
  <c r="Y67" i="16"/>
  <c r="I112" i="16"/>
  <c r="Y112" i="16"/>
  <c r="I98" i="16"/>
  <c r="Y98" i="16"/>
  <c r="I82" i="16"/>
  <c r="Y82" i="16"/>
  <c r="I108" i="16"/>
  <c r="Y108" i="16"/>
  <c r="J46" i="16"/>
  <c r="Z46" i="16"/>
  <c r="F46" i="16"/>
  <c r="V46" i="16"/>
  <c r="G46" i="16"/>
  <c r="W46" i="16"/>
  <c r="H46" i="16"/>
  <c r="X46" i="16"/>
  <c r="E46" i="16"/>
  <c r="U46" i="16"/>
  <c r="K46" i="16"/>
  <c r="AA46" i="16"/>
  <c r="I46" i="16"/>
  <c r="Y46" i="16"/>
  <c r="J47" i="16"/>
  <c r="BE11" i="16"/>
  <c r="F47" i="16"/>
  <c r="BA11" i="16"/>
  <c r="G47" i="16"/>
  <c r="BB11" i="16"/>
  <c r="BC14" i="16"/>
  <c r="H52" i="16"/>
  <c r="BD14" i="16"/>
  <c r="I52" i="16"/>
  <c r="BD20" i="16"/>
  <c r="I72" i="16"/>
  <c r="BD26" i="16"/>
  <c r="I105" i="16"/>
  <c r="BS25" i="16"/>
  <c r="BS13" i="16"/>
  <c r="BS17" i="16"/>
  <c r="BS20" i="16"/>
  <c r="BS19" i="16"/>
  <c r="BS12" i="16"/>
  <c r="BS18" i="16"/>
  <c r="BS28" i="16"/>
  <c r="BS21" i="16"/>
  <c r="BS16" i="16"/>
  <c r="BS23" i="16"/>
  <c r="BS26" i="16"/>
  <c r="J113" i="16"/>
  <c r="BE30" i="16"/>
  <c r="BS30" i="16"/>
  <c r="BE24" i="16"/>
  <c r="J90" i="16"/>
  <c r="BS24" i="16"/>
  <c r="J109" i="16"/>
  <c r="BE29" i="16"/>
  <c r="BS29" i="16"/>
  <c r="BS14" i="16"/>
  <c r="BS15" i="16"/>
  <c r="BS22" i="16"/>
  <c r="BO29" i="16"/>
  <c r="BO21" i="16"/>
  <c r="BO14" i="16"/>
  <c r="BO22" i="16"/>
  <c r="BO24" i="16"/>
  <c r="BO20" i="16"/>
  <c r="BO25" i="16"/>
  <c r="BO13" i="16"/>
  <c r="BO18" i="16"/>
  <c r="BO28" i="16"/>
  <c r="BO30" i="16"/>
  <c r="BO27" i="16"/>
  <c r="BO26" i="16"/>
  <c r="BO17" i="16"/>
  <c r="BO19" i="16"/>
  <c r="BO16" i="16"/>
  <c r="BO23" i="16"/>
  <c r="BO15" i="16"/>
  <c r="BO12" i="16"/>
  <c r="BP12" i="16"/>
  <c r="BP20" i="16"/>
  <c r="BP13" i="16"/>
  <c r="BP19" i="16"/>
  <c r="BP23" i="16"/>
  <c r="BP14" i="16"/>
  <c r="BP25" i="16"/>
  <c r="BP16" i="16"/>
  <c r="BP29" i="16"/>
  <c r="BP24" i="16"/>
  <c r="BP21" i="16"/>
  <c r="BP18" i="16"/>
  <c r="BP17" i="16"/>
  <c r="BP30" i="16"/>
  <c r="BP26" i="16"/>
  <c r="BP27" i="16"/>
  <c r="BP15" i="16"/>
  <c r="BP22" i="16"/>
  <c r="BP28" i="16"/>
  <c r="BQ14" i="16"/>
  <c r="BC12" i="16"/>
  <c r="H48" i="16"/>
  <c r="BQ30" i="16"/>
  <c r="H113" i="16"/>
  <c r="BC30" i="16"/>
  <c r="BQ17" i="16"/>
  <c r="BQ28" i="16"/>
  <c r="BQ18" i="16"/>
  <c r="BQ23" i="16"/>
  <c r="BQ29" i="16"/>
  <c r="BQ27" i="16"/>
  <c r="BQ13" i="16"/>
  <c r="BQ22" i="16"/>
  <c r="BQ15" i="16"/>
  <c r="BQ21" i="16"/>
  <c r="BQ19" i="16"/>
  <c r="BQ20" i="16"/>
  <c r="BQ24" i="16"/>
  <c r="BQ16" i="16"/>
  <c r="BQ26" i="16"/>
  <c r="BQ25" i="16"/>
  <c r="BN20" i="16"/>
  <c r="BN28" i="16"/>
  <c r="BN23" i="16"/>
  <c r="BN13" i="16"/>
  <c r="BN25" i="16"/>
  <c r="BN16" i="16"/>
  <c r="BN22" i="16"/>
  <c r="BN27" i="16"/>
  <c r="BN19" i="16"/>
  <c r="BN26" i="16"/>
  <c r="BN29" i="16"/>
  <c r="BN14" i="16"/>
  <c r="BN12" i="16"/>
  <c r="BN15" i="16"/>
  <c r="BN24" i="16"/>
  <c r="BN30" i="16"/>
  <c r="BN21" i="16"/>
  <c r="BN18" i="16"/>
  <c r="BN17" i="16"/>
  <c r="BT28" i="16"/>
  <c r="K113" i="16"/>
  <c r="BF30" i="16"/>
  <c r="BT30" i="16"/>
  <c r="BT22" i="16"/>
  <c r="BT12" i="16"/>
  <c r="BT18" i="16"/>
  <c r="BT27" i="16"/>
  <c r="BT17" i="16"/>
  <c r="BT23" i="16"/>
  <c r="BT29" i="16"/>
  <c r="BT14" i="16"/>
  <c r="BT24" i="16"/>
  <c r="BT15" i="16"/>
  <c r="BT16" i="16"/>
  <c r="BT25" i="16"/>
  <c r="BT13" i="16"/>
  <c r="BT19" i="16"/>
  <c r="BT21" i="16"/>
  <c r="BR30" i="16"/>
  <c r="BD30" i="16"/>
  <c r="I113" i="16"/>
  <c r="BR21" i="16"/>
  <c r="BR17" i="16"/>
  <c r="BR18" i="16"/>
  <c r="BR28" i="16"/>
  <c r="BR29" i="16"/>
  <c r="BR12" i="16"/>
  <c r="BR24" i="16"/>
  <c r="BR14" i="16"/>
  <c r="BR20" i="16"/>
  <c r="BR26" i="16"/>
  <c r="BR25" i="16"/>
  <c r="BR22" i="16"/>
  <c r="BR15" i="16"/>
  <c r="BR16" i="16"/>
  <c r="BR23" i="16"/>
  <c r="BR19" i="16"/>
  <c r="BR13" i="16"/>
  <c r="BS11" i="16"/>
  <c r="BE13" i="16"/>
  <c r="BE20" i="16"/>
  <c r="BE21" i="16"/>
  <c r="BA18" i="16"/>
  <c r="AZ20" i="16"/>
  <c r="BE12" i="16"/>
  <c r="BE18" i="16"/>
  <c r="BE28" i="16"/>
  <c r="BA29" i="16"/>
  <c r="BA19" i="16"/>
  <c r="AZ18" i="16"/>
  <c r="BB12" i="16"/>
  <c r="BB20" i="16"/>
  <c r="BB13" i="16"/>
  <c r="BB19" i="16"/>
  <c r="BB23" i="16"/>
  <c r="BF25" i="16"/>
  <c r="BQ12" i="16"/>
  <c r="BC28" i="16"/>
  <c r="BC18" i="16"/>
  <c r="BC23" i="16"/>
  <c r="BC29" i="16"/>
  <c r="BC19" i="16"/>
  <c r="AZ19" i="16"/>
  <c r="BD25" i="16"/>
  <c r="BD22" i="16"/>
  <c r="BD23" i="16"/>
  <c r="BD19" i="16"/>
  <c r="BD13" i="16"/>
  <c r="AQ41" i="16"/>
  <c r="J41" i="16" s="1"/>
  <c r="BO11" i="16"/>
  <c r="BP11" i="16"/>
  <c r="BN11" i="16"/>
  <c r="BT11" i="16"/>
  <c r="BR11" i="16"/>
  <c r="BC22" i="16"/>
  <c r="AZ28" i="16"/>
  <c r="BC20" i="16"/>
  <c r="BF29" i="16"/>
  <c r="BA21" i="16"/>
  <c r="BB29" i="16"/>
  <c r="BC25" i="16"/>
  <c r="BF22" i="16"/>
  <c r="AZ23" i="16"/>
  <c r="BF18" i="16"/>
  <c r="BD18" i="16"/>
  <c r="BB25" i="16"/>
  <c r="BB18" i="16"/>
  <c r="AZ25" i="16"/>
  <c r="BF28" i="16"/>
  <c r="BE22" i="16"/>
  <c r="BA22" i="16"/>
  <c r="AZ13" i="16"/>
  <c r="BF23" i="16"/>
  <c r="BE25" i="16"/>
  <c r="BE19" i="16"/>
  <c r="BE23" i="16"/>
  <c r="BA20" i="16"/>
  <c r="BA25" i="16"/>
  <c r="AZ22" i="16"/>
  <c r="BE17" i="16"/>
  <c r="J55" i="16"/>
  <c r="BE16" i="16"/>
  <c r="J54" i="16"/>
  <c r="BE26" i="16"/>
  <c r="J105" i="16"/>
  <c r="BE14" i="16"/>
  <c r="J52" i="16"/>
  <c r="BE15" i="16"/>
  <c r="J53" i="16"/>
  <c r="BA14" i="16"/>
  <c r="F52" i="16"/>
  <c r="BA24" i="16"/>
  <c r="F90" i="16"/>
  <c r="BA13" i="16"/>
  <c r="F50" i="16"/>
  <c r="BA28" i="16"/>
  <c r="F107" i="16"/>
  <c r="BA30" i="16"/>
  <c r="F113" i="16"/>
  <c r="BA27" i="16"/>
  <c r="F106" i="16"/>
  <c r="BA26" i="16"/>
  <c r="F105" i="16"/>
  <c r="BA17" i="16"/>
  <c r="F55" i="16"/>
  <c r="BA16" i="16"/>
  <c r="F54" i="16"/>
  <c r="BA23" i="16"/>
  <c r="F83" i="16"/>
  <c r="BA15" i="16"/>
  <c r="F53" i="16"/>
  <c r="BA12" i="16"/>
  <c r="F48" i="16"/>
  <c r="BB14" i="16"/>
  <c r="G52" i="16"/>
  <c r="BB16" i="16"/>
  <c r="G54" i="16"/>
  <c r="BB24" i="16"/>
  <c r="G90" i="16"/>
  <c r="BB21" i="16"/>
  <c r="G74" i="16"/>
  <c r="BB17" i="16"/>
  <c r="G55" i="16"/>
  <c r="BB30" i="16"/>
  <c r="G113" i="16"/>
  <c r="BB26" i="16"/>
  <c r="G105" i="16"/>
  <c r="BB27" i="16"/>
  <c r="G106" i="16"/>
  <c r="BB15" i="16"/>
  <c r="G53" i="16"/>
  <c r="BB22" i="16"/>
  <c r="G77" i="16"/>
  <c r="BB28" i="16"/>
  <c r="G107" i="16"/>
  <c r="BC17" i="16"/>
  <c r="H55" i="16"/>
  <c r="BC27" i="16"/>
  <c r="H106" i="16"/>
  <c r="BC13" i="16"/>
  <c r="H50" i="16"/>
  <c r="BC15" i="16"/>
  <c r="H53" i="16"/>
  <c r="BC21" i="16"/>
  <c r="H74" i="16"/>
  <c r="BQ11" i="16"/>
  <c r="H47" i="16"/>
  <c r="BC11" i="16"/>
  <c r="BC24" i="16"/>
  <c r="H90" i="16"/>
  <c r="BC16" i="16"/>
  <c r="H54" i="16"/>
  <c r="BC26" i="16"/>
  <c r="H105" i="16"/>
  <c r="AZ16" i="16"/>
  <c r="E54" i="16"/>
  <c r="E47" i="16"/>
  <c r="AZ11" i="16"/>
  <c r="AZ27" i="16"/>
  <c r="E106" i="16"/>
  <c r="AZ26" i="16"/>
  <c r="E105" i="16"/>
  <c r="AZ29" i="16"/>
  <c r="E109" i="16"/>
  <c r="AZ14" i="16"/>
  <c r="E52" i="16"/>
  <c r="AZ12" i="16"/>
  <c r="E48" i="16"/>
  <c r="AZ15" i="16"/>
  <c r="E53" i="16"/>
  <c r="AZ24" i="16"/>
  <c r="E90" i="16"/>
  <c r="AZ30" i="16"/>
  <c r="E113" i="16"/>
  <c r="AZ21" i="16"/>
  <c r="E74" i="16"/>
  <c r="AZ17" i="16"/>
  <c r="E55" i="16"/>
  <c r="BF12" i="16"/>
  <c r="K48" i="16"/>
  <c r="BF27" i="16"/>
  <c r="K106" i="16"/>
  <c r="BF17" i="16"/>
  <c r="K55" i="16"/>
  <c r="K47" i="16"/>
  <c r="BF11" i="16"/>
  <c r="BF14" i="16"/>
  <c r="K52" i="16"/>
  <c r="BF24" i="16"/>
  <c r="K90" i="16"/>
  <c r="BF15" i="16"/>
  <c r="K53" i="16"/>
  <c r="BF16" i="16"/>
  <c r="K54" i="16"/>
  <c r="BF13" i="16"/>
  <c r="K50" i="16"/>
  <c r="BF19" i="16"/>
  <c r="K69" i="16"/>
  <c r="BF21" i="16"/>
  <c r="K74" i="16"/>
  <c r="I47" i="16"/>
  <c r="BD11" i="16"/>
  <c r="BD21" i="16"/>
  <c r="I74" i="16"/>
  <c r="BD17" i="16"/>
  <c r="I55" i="16"/>
  <c r="BD28" i="16"/>
  <c r="I107" i="16"/>
  <c r="BD29" i="16"/>
  <c r="I109" i="16"/>
  <c r="BD12" i="16"/>
  <c r="I48" i="16"/>
  <c r="BD24" i="16"/>
  <c r="I90" i="16"/>
  <c r="BD15" i="16"/>
  <c r="I53" i="16"/>
  <c r="BD16" i="16"/>
  <c r="I54" i="16"/>
  <c r="AS206" i="13"/>
  <c r="AQ194" i="13"/>
  <c r="AS194" i="13"/>
  <c r="AQ193" i="13"/>
  <c r="AQ189" i="13"/>
  <c r="AS188" i="13"/>
  <c r="AQ186" i="13"/>
  <c r="AS186" i="13"/>
  <c r="AQ185" i="13"/>
  <c r="AS184" i="13"/>
  <c r="AQ170" i="13"/>
  <c r="AS168" i="13"/>
  <c r="AQ158" i="13"/>
  <c r="AS158" i="13"/>
  <c r="AS149" i="13"/>
  <c r="AQ134" i="13"/>
  <c r="AS134" i="13"/>
  <c r="AS233" i="13"/>
  <c r="AS202" i="13"/>
  <c r="AS182" i="13"/>
  <c r="AS178" i="13"/>
  <c r="AQ161" i="13"/>
  <c r="AQ182" i="13"/>
  <c r="AQ179" i="13"/>
  <c r="AS167" i="13"/>
  <c r="AS164" i="13"/>
  <c r="AS152" i="13"/>
  <c r="AQ230" i="13"/>
  <c r="AI223" i="13"/>
  <c r="AS223" i="13"/>
  <c r="AS222" i="13"/>
  <c r="AI219" i="13"/>
  <c r="AS207" i="13"/>
  <c r="AS205" i="13"/>
  <c r="AS204" i="13"/>
  <c r="AQ191" i="13"/>
  <c r="AQ190" i="13"/>
  <c r="AS190" i="13"/>
  <c r="AQ181" i="13"/>
  <c r="AI174" i="13"/>
  <c r="AI162" i="13"/>
  <c r="AQ154" i="13"/>
  <c r="AK231" i="13"/>
  <c r="AQ229" i="13"/>
  <c r="AS219" i="13"/>
  <c r="AI214" i="13"/>
  <c r="AQ184" i="13"/>
  <c r="AI181" i="13"/>
  <c r="AQ178" i="13"/>
  <c r="AQ192" i="13"/>
  <c r="AS154" i="13"/>
  <c r="AS145" i="13"/>
  <c r="AS187" i="13"/>
  <c r="AS151" i="13"/>
  <c r="AS208" i="13"/>
  <c r="AS192" i="13"/>
  <c r="AS189" i="13"/>
  <c r="AS185" i="13"/>
  <c r="AS183" i="13"/>
  <c r="AS179" i="13"/>
  <c r="AS171" i="13"/>
  <c r="AS165" i="13"/>
  <c r="BN25" i="2" a="1"/>
  <c r="BM25" i="2" a="1"/>
  <c r="AP60" i="2"/>
  <c r="AA60" i="3"/>
  <c r="AP33" i="2"/>
  <c r="AA33" i="3"/>
  <c r="AD7" i="13"/>
  <c r="AC7" i="13"/>
  <c r="AL7" i="13" s="1"/>
  <c r="AP5" i="2"/>
  <c r="AA5" i="3"/>
  <c r="AP7" i="2"/>
  <c r="AA7" i="3"/>
  <c r="AC123" i="13"/>
  <c r="AL123" i="13" s="1"/>
  <c r="AA122" i="3"/>
  <c r="AP122" i="2"/>
  <c r="AC121" i="13"/>
  <c r="AL121" i="13" s="1"/>
  <c r="AP120" i="2"/>
  <c r="AA120" i="3"/>
  <c r="AC120" i="13"/>
  <c r="AL120" i="13" s="1"/>
  <c r="AA119" i="3"/>
  <c r="AP119" i="2"/>
  <c r="AA118" i="3"/>
  <c r="AP118" i="2"/>
  <c r="AA117" i="3"/>
  <c r="AP117" i="2"/>
  <c r="AC118" i="13"/>
  <c r="AL118" i="13" s="1"/>
  <c r="AA116" i="3"/>
  <c r="AC117" i="13"/>
  <c r="AL117" i="13" s="1"/>
  <c r="AP116" i="2"/>
  <c r="AA115" i="3"/>
  <c r="AP115" i="2"/>
  <c r="AC116" i="13"/>
  <c r="AL116" i="13" s="1"/>
  <c r="AC115" i="13"/>
  <c r="AL115" i="13" s="1"/>
  <c r="AP114" i="2"/>
  <c r="AA114" i="3"/>
  <c r="AP113" i="2"/>
  <c r="AA113" i="3"/>
  <c r="AC114" i="13"/>
  <c r="AL114" i="13" s="1"/>
  <c r="AC113" i="13"/>
  <c r="AL113" i="13" s="1"/>
  <c r="AA112" i="3"/>
  <c r="AP112" i="2"/>
  <c r="AA110" i="3"/>
  <c r="AP110" i="2"/>
  <c r="AC111" i="13"/>
  <c r="AL111" i="13" s="1"/>
  <c r="AA109" i="3"/>
  <c r="AC110" i="13"/>
  <c r="AL110" i="13" s="1"/>
  <c r="AP109" i="2"/>
  <c r="AC109" i="13"/>
  <c r="AL109" i="13" s="1"/>
  <c r="AA108" i="3"/>
  <c r="AP108" i="2"/>
  <c r="AA107" i="3"/>
  <c r="AP107" i="2"/>
  <c r="AC108" i="13"/>
  <c r="AL108" i="13" s="1"/>
  <c r="AP106" i="2"/>
  <c r="AC107" i="13"/>
  <c r="AL107" i="13" s="1"/>
  <c r="AA106" i="3"/>
  <c r="AP105" i="2"/>
  <c r="AA105" i="3"/>
  <c r="AC106" i="13"/>
  <c r="AL106" i="13" s="1"/>
  <c r="AA104" i="3"/>
  <c r="AC105" i="13"/>
  <c r="AL105" i="13" s="1"/>
  <c r="AP104" i="2"/>
  <c r="AA103" i="3"/>
  <c r="AP103" i="2"/>
  <c r="AC104" i="13"/>
  <c r="AL104" i="13" s="1"/>
  <c r="AP102" i="2"/>
  <c r="AA102" i="3"/>
  <c r="AC103" i="13"/>
  <c r="AL103" i="13" s="1"/>
  <c r="AA101" i="3"/>
  <c r="AP101" i="2"/>
  <c r="AC102" i="13"/>
  <c r="AL102" i="13" s="1"/>
  <c r="AP100" i="2"/>
  <c r="AA100" i="3"/>
  <c r="AP99" i="2"/>
  <c r="AA99" i="3"/>
  <c r="AP98" i="2"/>
  <c r="AA98" i="3"/>
  <c r="AP97" i="2"/>
  <c r="AA97" i="3"/>
  <c r="AP96" i="2"/>
  <c r="AA96" i="3"/>
  <c r="AP95" i="2"/>
  <c r="AA95" i="3"/>
  <c r="AP94" i="2"/>
  <c r="AA94" i="3"/>
  <c r="AP93" i="2"/>
  <c r="AA93" i="3"/>
  <c r="AP92" i="2"/>
  <c r="AA92" i="3"/>
  <c r="AA91" i="3"/>
  <c r="AP91" i="2"/>
  <c r="AA90" i="3"/>
  <c r="AP90" i="2"/>
  <c r="AA89" i="3"/>
  <c r="AP89" i="2"/>
  <c r="AP88" i="2"/>
  <c r="AA88" i="3"/>
  <c r="AP87" i="2"/>
  <c r="AA87" i="3"/>
  <c r="AP86" i="2"/>
  <c r="AA86" i="3"/>
  <c r="AP85" i="2"/>
  <c r="AA85" i="3"/>
  <c r="AP84" i="2"/>
  <c r="AA84" i="3"/>
  <c r="AP83" i="2"/>
  <c r="AA83" i="3"/>
  <c r="AA82" i="3"/>
  <c r="AP82" i="2"/>
  <c r="AP81" i="2"/>
  <c r="AA81" i="3"/>
  <c r="AA80" i="3"/>
  <c r="AP80" i="2"/>
  <c r="AA79" i="3"/>
  <c r="AP79" i="2"/>
  <c r="AA78" i="3"/>
  <c r="AP78" i="2"/>
  <c r="AA77" i="3"/>
  <c r="AP77" i="2"/>
  <c r="AP76" i="2"/>
  <c r="AA76" i="3"/>
  <c r="AP75" i="2"/>
  <c r="AA75" i="3"/>
  <c r="AP74" i="2"/>
  <c r="AA74" i="3"/>
  <c r="AA73" i="3"/>
  <c r="AP73" i="2"/>
  <c r="AP72" i="2"/>
  <c r="AA72" i="3"/>
  <c r="AP71" i="2"/>
  <c r="AA71" i="3"/>
  <c r="AP70" i="2"/>
  <c r="AA70" i="3"/>
  <c r="AP68" i="2"/>
  <c r="AA68" i="3"/>
  <c r="AC68" i="13"/>
  <c r="AL68" i="13" s="1"/>
  <c r="AA67" i="3"/>
  <c r="AP67" i="2"/>
  <c r="AA66" i="3"/>
  <c r="AP66" i="2"/>
  <c r="AA65" i="3"/>
  <c r="AP65" i="2"/>
  <c r="AP64" i="2"/>
  <c r="AA64" i="3"/>
  <c r="AA63" i="3"/>
  <c r="AP63" i="2"/>
  <c r="AA62" i="3"/>
  <c r="AP62" i="2"/>
  <c r="AA61" i="3"/>
  <c r="AP61" i="2"/>
  <c r="AA59" i="3"/>
  <c r="AC60" i="13"/>
  <c r="AL60" i="13" s="1"/>
  <c r="AP59" i="2"/>
  <c r="AP58" i="2"/>
  <c r="AA58" i="3"/>
  <c r="AC59" i="13"/>
  <c r="AL59" i="13" s="1"/>
  <c r="AA57" i="3"/>
  <c r="AC58" i="13"/>
  <c r="AL58" i="13" s="1"/>
  <c r="AP57" i="2"/>
  <c r="AA56" i="3"/>
  <c r="AP56" i="2"/>
  <c r="AC57" i="13"/>
  <c r="AL57" i="13" s="1"/>
  <c r="AP55" i="2"/>
  <c r="AA55" i="3"/>
  <c r="AC56" i="13"/>
  <c r="AL56" i="13" s="1"/>
  <c r="AA54" i="3"/>
  <c r="AP54" i="2"/>
  <c r="AC55" i="13"/>
  <c r="AL55" i="13" s="1"/>
  <c r="AA53" i="3"/>
  <c r="AP53" i="2"/>
  <c r="AA52" i="3"/>
  <c r="AP52" i="2"/>
  <c r="AP51" i="2"/>
  <c r="AA51" i="3"/>
  <c r="AA50" i="3"/>
  <c r="AP50" i="2"/>
  <c r="AP49" i="2"/>
  <c r="AA49" i="3"/>
  <c r="AP48" i="2"/>
  <c r="AA48" i="3"/>
  <c r="AP47" i="2"/>
  <c r="AA47" i="3"/>
  <c r="AP46" i="2"/>
  <c r="AA46" i="3"/>
  <c r="AP45" i="2"/>
  <c r="AA45" i="3"/>
  <c r="AP44" i="2"/>
  <c r="AA44" i="3"/>
  <c r="AA43" i="3"/>
  <c r="AP43" i="2"/>
  <c r="AA42" i="3"/>
  <c r="AP42" i="2"/>
  <c r="AP41" i="2"/>
  <c r="AA41" i="3"/>
  <c r="AA40" i="3"/>
  <c r="AP40" i="2"/>
  <c r="AA39" i="3"/>
  <c r="AP39" i="2"/>
  <c r="AA38" i="3"/>
  <c r="AP38" i="2"/>
  <c r="AP37" i="2"/>
  <c r="AA37" i="3"/>
  <c r="AA36" i="3"/>
  <c r="AP36" i="2"/>
  <c r="AA35" i="3"/>
  <c r="AP35" i="2"/>
  <c r="AA34" i="3"/>
  <c r="AP34" i="2"/>
  <c r="AP32" i="2"/>
  <c r="AA32" i="3"/>
  <c r="AP31" i="2"/>
  <c r="AA31" i="3"/>
  <c r="AP30" i="2"/>
  <c r="AA30" i="3"/>
  <c r="AP29" i="2"/>
  <c r="AA29" i="3"/>
  <c r="AP28" i="2"/>
  <c r="AA28" i="3"/>
  <c r="AP27" i="2"/>
  <c r="AA27" i="3"/>
  <c r="AP26" i="2"/>
  <c r="AA26" i="3"/>
  <c r="AP25" i="2"/>
  <c r="AA25" i="3"/>
  <c r="AP24" i="2"/>
  <c r="AA24" i="3"/>
  <c r="AP23" i="2"/>
  <c r="AA23" i="3"/>
  <c r="AP22" i="2"/>
  <c r="AA22" i="3"/>
  <c r="AP21" i="2"/>
  <c r="AA21" i="3"/>
  <c r="AA20" i="3"/>
  <c r="AP20" i="2"/>
  <c r="AP19" i="2"/>
  <c r="AA19" i="3"/>
  <c r="AP18" i="2"/>
  <c r="AA18" i="3"/>
  <c r="AP17" i="2"/>
  <c r="AA17" i="3"/>
  <c r="AP16" i="2"/>
  <c r="AA16" i="3"/>
  <c r="AP15" i="2"/>
  <c r="AA15" i="3"/>
  <c r="AP14" i="2"/>
  <c r="AA14" i="3"/>
  <c r="AP13" i="2"/>
  <c r="AA13" i="3"/>
  <c r="AP12" i="2"/>
  <c r="AA12" i="3"/>
  <c r="AP11" i="2"/>
  <c r="AA11" i="3"/>
  <c r="AP10" i="2"/>
  <c r="AA10" i="3"/>
  <c r="AA9" i="3"/>
  <c r="AP9" i="2"/>
  <c r="AP8" i="2"/>
  <c r="AA8" i="3"/>
  <c r="AP123" i="2"/>
  <c r="AA123" i="3"/>
  <c r="AC122" i="13"/>
  <c r="AL122" i="13" s="1"/>
  <c r="AP121" i="2"/>
  <c r="AA121" i="3"/>
  <c r="AP111" i="2"/>
  <c r="AC112" i="13"/>
  <c r="AL112" i="13" s="1"/>
  <c r="AA111" i="3"/>
  <c r="AA69" i="3"/>
  <c r="AP69" i="2"/>
  <c r="AI236" i="13"/>
  <c r="AI235" i="13"/>
  <c r="AK235" i="13"/>
  <c r="AI234" i="13"/>
  <c r="AQ232" i="13"/>
  <c r="AI231" i="13"/>
  <c r="AI228" i="13"/>
  <c r="AI227" i="13"/>
  <c r="AQ227" i="13"/>
  <c r="AK226" i="13"/>
  <c r="AQ226" i="13"/>
  <c r="AS226" i="13"/>
  <c r="AQ224" i="13"/>
  <c r="AQ222" i="13"/>
  <c r="AI221" i="13"/>
  <c r="AK220" i="13"/>
  <c r="AK219" i="13"/>
  <c r="AI217" i="13"/>
  <c r="AI216" i="13"/>
  <c r="AQ215" i="13"/>
  <c r="AK214" i="13"/>
  <c r="AQ214" i="13"/>
  <c r="AQ213" i="13"/>
  <c r="AS213" i="13"/>
  <c r="AQ212" i="13"/>
  <c r="AK208" i="13"/>
  <c r="AI208" i="13"/>
  <c r="AI206" i="13"/>
  <c r="AQ205" i="13"/>
  <c r="AS203" i="13"/>
  <c r="AS201" i="13"/>
  <c r="AS199" i="13"/>
  <c r="AI188" i="13"/>
  <c r="AQ187" i="13"/>
  <c r="AS239" i="13"/>
  <c r="AQ237" i="13"/>
  <c r="AI232" i="13"/>
  <c r="AQ228" i="13"/>
  <c r="AK224" i="13"/>
  <c r="AK223" i="13"/>
  <c r="AQ223" i="13"/>
  <c r="AI222" i="13"/>
  <c r="AK222" i="13"/>
  <c r="AQ221" i="13"/>
  <c r="AQ219" i="13"/>
  <c r="AQ217" i="13"/>
  <c r="AQ216" i="13"/>
  <c r="AK215" i="13"/>
  <c r="AI213" i="13"/>
  <c r="AK213" i="13"/>
  <c r="AK212" i="13"/>
  <c r="AQ208" i="13"/>
  <c r="AI207" i="13"/>
  <c r="AQ207" i="13"/>
  <c r="AQ206" i="13"/>
  <c r="AK205" i="13"/>
  <c r="AQ204" i="13"/>
  <c r="AK203" i="13"/>
  <c r="AI201" i="13"/>
  <c r="AK198" i="13"/>
  <c r="AI196" i="13"/>
  <c r="AQ188" i="13"/>
  <c r="AS292" i="13"/>
  <c r="AQ292" i="13"/>
  <c r="AS276" i="13"/>
  <c r="AS131" i="13"/>
  <c r="AQ140" i="13"/>
  <c r="AQ145" i="13"/>
  <c r="AS143" i="13"/>
  <c r="AS141" i="13"/>
  <c r="AK135" i="13"/>
  <c r="AS127" i="13"/>
  <c r="AQ143" i="13"/>
  <c r="AQ131" i="13"/>
  <c r="AS128" i="13"/>
  <c r="AS139" i="13"/>
  <c r="AQ138" i="13"/>
  <c r="AS130" i="13"/>
  <c r="AS200" i="13"/>
  <c r="AS161" i="13"/>
  <c r="AS144" i="13"/>
  <c r="AS140" i="13"/>
  <c r="AS137" i="13"/>
  <c r="AS126" i="13"/>
  <c r="AQ220" i="13"/>
  <c r="AS216" i="13"/>
  <c r="AS214" i="13"/>
  <c r="AS191" i="13"/>
  <c r="AS176" i="13"/>
  <c r="AS170" i="13"/>
  <c r="AS166" i="13"/>
  <c r="AS157" i="13"/>
  <c r="AS136" i="13"/>
  <c r="AS220" i="13"/>
  <c r="AS212" i="13"/>
  <c r="AS138" i="13"/>
  <c r="AK185" i="13"/>
  <c r="AK174" i="13"/>
  <c r="AI185" i="13"/>
  <c r="BJ6" i="2" a="1"/>
  <c r="BL6" i="2" a="1"/>
  <c r="BK6" i="2" a="1"/>
  <c r="BN6" i="2" a="1"/>
  <c r="BM6" i="2" a="1"/>
  <c r="BI6" i="2" a="1"/>
  <c r="AC119" i="13"/>
  <c r="AL119" i="13" s="1"/>
  <c r="AS148" i="13"/>
  <c r="AQ240" i="13"/>
  <c r="AQ137" i="13"/>
  <c r="AI260" i="13"/>
  <c r="AK243" i="13"/>
  <c r="AS238" i="13"/>
  <c r="AI243" i="13"/>
  <c r="AK242" i="13"/>
  <c r="AQ242" i="13"/>
  <c r="AS242" i="13"/>
  <c r="AS129" i="13"/>
  <c r="AQ127" i="13"/>
  <c r="AQ124" i="13"/>
  <c r="AS181" i="13"/>
  <c r="AI121" i="13"/>
  <c r="AQ243" i="13"/>
  <c r="AK229" i="13"/>
  <c r="AK227" i="13"/>
  <c r="AK217" i="13"/>
  <c r="AK191" i="13"/>
  <c r="AK216" i="13"/>
  <c r="AK206" i="13"/>
  <c r="AS124" i="13"/>
  <c r="AS125" i="13"/>
  <c r="AQ122" i="13"/>
  <c r="AK241" i="13"/>
  <c r="AQ241" i="13"/>
  <c r="AI240" i="13"/>
  <c r="AQ239" i="13"/>
  <c r="AI242" i="13"/>
  <c r="AK239" i="13"/>
  <c r="AQ120" i="13"/>
  <c r="AQ129" i="13"/>
  <c r="AQ303" i="13"/>
  <c r="AS299" i="13"/>
  <c r="AQ290" i="13"/>
  <c r="AQ289" i="13"/>
  <c r="AS286" i="13"/>
  <c r="AS280" i="13"/>
  <c r="AS274" i="13"/>
  <c r="AS270" i="13"/>
  <c r="AQ267" i="13"/>
  <c r="AQ261" i="13"/>
  <c r="AS260" i="13"/>
  <c r="AS259" i="13"/>
  <c r="AS258" i="13"/>
  <c r="AS248" i="13"/>
  <c r="AQ247" i="13"/>
  <c r="AS247" i="13"/>
  <c r="AS245" i="13"/>
  <c r="AK244" i="13"/>
  <c r="AQ273" i="13"/>
  <c r="AS267" i="13"/>
  <c r="AS266" i="13"/>
  <c r="AQ265" i="13"/>
  <c r="AS261" i="13"/>
  <c r="AQ259" i="13"/>
  <c r="AQ258" i="13"/>
  <c r="AQ248" i="13"/>
  <c r="AQ246" i="13"/>
  <c r="AQ244" i="13"/>
  <c r="AI303" i="13"/>
  <c r="AS303" i="13"/>
  <c r="AI302" i="13"/>
  <c r="AK302" i="13"/>
  <c r="AK300" i="13"/>
  <c r="AQ298" i="13"/>
  <c r="AQ295" i="13"/>
  <c r="AQ291" i="13"/>
  <c r="AS291" i="13"/>
  <c r="AS288" i="13"/>
  <c r="AI286" i="13"/>
  <c r="AS283" i="13"/>
  <c r="AS282" i="13"/>
  <c r="AK281" i="13"/>
  <c r="AS278" i="13"/>
  <c r="AK273" i="13"/>
  <c r="AI270" i="13"/>
  <c r="AS265" i="13"/>
  <c r="AS264" i="13"/>
  <c r="AS255" i="13"/>
  <c r="AS253" i="13"/>
  <c r="AQ251" i="13"/>
  <c r="AK247" i="13"/>
  <c r="AI245" i="13"/>
  <c r="AK301" i="13"/>
  <c r="AQ299" i="13"/>
  <c r="AS297" i="13"/>
  <c r="AS295" i="13"/>
  <c r="AQ294" i="13"/>
  <c r="AS289" i="13"/>
  <c r="AS287" i="13"/>
  <c r="AS285" i="13"/>
  <c r="AS281" i="13"/>
  <c r="AI280" i="13"/>
  <c r="AQ278" i="13"/>
  <c r="AS273" i="13"/>
  <c r="AK268" i="13"/>
  <c r="AQ263" i="13"/>
  <c r="AS256" i="13"/>
  <c r="AQ255" i="13"/>
  <c r="AS254" i="13"/>
  <c r="AS246" i="13"/>
  <c r="AQ245" i="13"/>
  <c r="AI244" i="13"/>
  <c r="AS244" i="13"/>
  <c r="AK303" i="13"/>
  <c r="AS301" i="13"/>
  <c r="AQ300" i="13"/>
  <c r="AS300" i="13"/>
  <c r="AS298" i="13"/>
  <c r="AS294" i="13"/>
  <c r="AS290" i="13"/>
  <c r="AQ288" i="13"/>
  <c r="AI287" i="13"/>
  <c r="AQ285" i="13"/>
  <c r="AS284" i="13"/>
  <c r="AS277" i="13"/>
  <c r="AS272" i="13"/>
  <c r="AS271" i="13"/>
  <c r="AS263" i="13"/>
  <c r="AQ253" i="13"/>
  <c r="AK252" i="13"/>
  <c r="AS251" i="13"/>
  <c r="AQ249" i="13"/>
  <c r="AI246" i="13"/>
  <c r="AQ8" i="13"/>
  <c r="AS8" i="13"/>
  <c r="AQ302" i="13"/>
  <c r="AS302" i="13"/>
  <c r="AQ301" i="13"/>
  <c r="AK297" i="13"/>
  <c r="AK296" i="13"/>
  <c r="AQ296" i="13"/>
  <c r="AS296" i="13"/>
  <c r="AQ293" i="13"/>
  <c r="AS293" i="13"/>
  <c r="AI288" i="13"/>
  <c r="AK287" i="13"/>
  <c r="AQ287" i="13"/>
  <c r="AQ284" i="13"/>
  <c r="AK283" i="13"/>
  <c r="AQ283" i="13"/>
  <c r="AK282" i="13"/>
  <c r="AQ282" i="13"/>
  <c r="AQ281" i="13"/>
  <c r="AK279" i="13"/>
  <c r="AI278" i="13"/>
  <c r="AK278" i="13"/>
  <c r="AK277" i="13"/>
  <c r="AI277" i="13"/>
  <c r="AK275" i="13"/>
  <c r="AI275" i="13"/>
  <c r="AK274" i="13"/>
  <c r="AI274" i="13"/>
  <c r="AQ272" i="13"/>
  <c r="AK270" i="13"/>
  <c r="AK269" i="13"/>
  <c r="AI268" i="13"/>
  <c r="AQ266" i="13"/>
  <c r="AQ264" i="13"/>
  <c r="AQ262" i="13"/>
  <c r="AS262" i="13"/>
  <c r="AK260" i="13"/>
  <c r="AQ257" i="13"/>
  <c r="AS257" i="13"/>
  <c r="AQ256" i="13"/>
  <c r="AQ254" i="13"/>
  <c r="AI252" i="13"/>
  <c r="AQ250" i="13"/>
  <c r="AS250" i="13"/>
  <c r="AI301" i="13"/>
  <c r="AQ297" i="13"/>
  <c r="AK295" i="13"/>
  <c r="AI295" i="13"/>
  <c r="AI294" i="13"/>
  <c r="AI293" i="13"/>
  <c r="AK293" i="13"/>
  <c r="AI291" i="13"/>
  <c r="AK291" i="13"/>
  <c r="AK286" i="13"/>
  <c r="AQ286" i="13"/>
  <c r="AI284" i="13"/>
  <c r="AI281" i="13"/>
  <c r="AK280" i="13"/>
  <c r="AQ280" i="13"/>
  <c r="AQ279" i="13"/>
  <c r="AS279" i="13"/>
  <c r="AQ277" i="13"/>
  <c r="AQ276" i="13"/>
  <c r="AQ275" i="13"/>
  <c r="AS275" i="13"/>
  <c r="AQ274" i="13"/>
  <c r="AI273" i="13"/>
  <c r="AI272" i="13"/>
  <c r="AQ271" i="13"/>
  <c r="AQ270" i="13"/>
  <c r="AQ269" i="13"/>
  <c r="AS269" i="13"/>
  <c r="AQ268" i="13"/>
  <c r="AS268" i="13"/>
  <c r="AI266" i="13"/>
  <c r="AI262" i="13"/>
  <c r="AQ260" i="13"/>
  <c r="AK259" i="13"/>
  <c r="AI259" i="13"/>
  <c r="AK258" i="13"/>
  <c r="AK257" i="13"/>
  <c r="AI256" i="13"/>
  <c r="AI254" i="13"/>
  <c r="AQ252" i="13"/>
  <c r="AS252" i="13"/>
  <c r="AK250" i="13"/>
  <c r="AI250" i="13"/>
  <c r="AK249" i="13"/>
  <c r="AS249" i="13"/>
  <c r="AS117" i="13"/>
  <c r="AS156" i="13"/>
  <c r="AK155" i="13"/>
  <c r="AK136" i="13"/>
  <c r="AI135" i="13"/>
  <c r="AI130" i="13"/>
  <c r="AK130" i="13"/>
  <c r="AQ128" i="13"/>
  <c r="AI126" i="13"/>
  <c r="AK126" i="13"/>
  <c r="AK125" i="13"/>
  <c r="AI125" i="13"/>
  <c r="AI120" i="13"/>
  <c r="AI191" i="13"/>
  <c r="AK162" i="13"/>
  <c r="AI159" i="13"/>
  <c r="AI156" i="13"/>
  <c r="AS155" i="13"/>
  <c r="AK150" i="13"/>
  <c r="AI147" i="13"/>
  <c r="AQ130" i="13"/>
  <c r="AI128" i="13"/>
  <c r="AQ126" i="13"/>
  <c r="AQ125" i="13"/>
  <c r="AK124" i="13"/>
  <c r="AI124" i="13"/>
  <c r="AI123" i="13"/>
  <c r="AK123" i="13"/>
  <c r="AQ201" i="13"/>
  <c r="AK200" i="13"/>
  <c r="AI198" i="13"/>
  <c r="AQ198" i="13"/>
  <c r="AS198" i="13"/>
  <c r="AQ197" i="13"/>
  <c r="AS197" i="13"/>
  <c r="AQ196" i="13"/>
  <c r="AS196" i="13"/>
  <c r="AI193" i="13"/>
  <c r="AS119" i="13"/>
  <c r="AK117" i="13"/>
  <c r="AK116" i="13"/>
  <c r="AS71" i="13"/>
  <c r="AK69" i="13"/>
  <c r="AK66" i="13"/>
  <c r="AI64" i="13"/>
  <c r="AK64" i="13"/>
  <c r="AS57" i="13"/>
  <c r="AS10" i="13"/>
  <c r="AK248" i="13"/>
  <c r="AI248" i="13"/>
  <c r="AQ203" i="13"/>
  <c r="AK202" i="13"/>
  <c r="AQ202" i="13"/>
  <c r="AK201" i="13"/>
  <c r="AK199" i="13"/>
  <c r="AQ199" i="13"/>
  <c r="AK196" i="13"/>
  <c r="AI195" i="13"/>
  <c r="AQ195" i="13"/>
  <c r="AS195" i="13"/>
  <c r="AQ70" i="13"/>
  <c r="AS70" i="13"/>
  <c r="AS68" i="13"/>
  <c r="AK65" i="13"/>
  <c r="AI65" i="13"/>
  <c r="AI63" i="13"/>
  <c r="AK63" i="13"/>
  <c r="AK59" i="13"/>
  <c r="AK57" i="13"/>
  <c r="AI57" i="13"/>
  <c r="AI55" i="13"/>
  <c r="AI192" i="13"/>
  <c r="AI66" i="13"/>
  <c r="AQ64" i="13"/>
  <c r="AS64" i="13"/>
  <c r="AQ60" i="13"/>
  <c r="AS58" i="13"/>
  <c r="AS56" i="13"/>
  <c r="AS54" i="13"/>
  <c r="AS9" i="13"/>
  <c r="AK129" i="13"/>
  <c r="AI129" i="13"/>
  <c r="AQ69" i="13"/>
  <c r="AQ67" i="13"/>
  <c r="AS67" i="13"/>
  <c r="AQ65" i="13"/>
  <c r="AI62" i="13"/>
  <c r="AK58" i="13"/>
  <c r="AK56" i="13"/>
  <c r="AK10" i="13"/>
  <c r="AK299" i="13"/>
  <c r="AK298" i="13"/>
  <c r="AK255" i="13"/>
  <c r="AK251" i="13"/>
  <c r="AI114" i="13"/>
  <c r="AK114" i="13"/>
  <c r="AS114" i="13"/>
  <c r="AK112" i="13"/>
  <c r="AK110" i="13"/>
  <c r="AS110" i="13"/>
  <c r="AK108" i="13"/>
  <c r="AS108" i="13"/>
  <c r="AS106" i="13"/>
  <c r="AS104" i="13"/>
  <c r="AS103" i="13"/>
  <c r="AS99" i="13"/>
  <c r="AQ99" i="13"/>
  <c r="AK96" i="13"/>
  <c r="AS95" i="13"/>
  <c r="AQ93" i="13"/>
  <c r="AK92" i="13"/>
  <c r="AS91" i="13"/>
  <c r="AS89" i="13"/>
  <c r="AQ87" i="13"/>
  <c r="AK86" i="13"/>
  <c r="AK84" i="13"/>
  <c r="AS83" i="13"/>
  <c r="AS81" i="13"/>
  <c r="AK80" i="13"/>
  <c r="AI80" i="13"/>
  <c r="AS79" i="13"/>
  <c r="AK78" i="13"/>
  <c r="AK76" i="13"/>
  <c r="AS76" i="13"/>
  <c r="AS75" i="13"/>
  <c r="AQ75" i="13"/>
  <c r="AK74" i="13"/>
  <c r="AS48" i="13"/>
  <c r="AK47" i="13"/>
  <c r="AK45" i="13"/>
  <c r="AS45" i="13"/>
  <c r="AK39" i="13"/>
  <c r="AK35" i="13"/>
  <c r="AI31" i="13"/>
  <c r="AK31" i="13"/>
  <c r="AS31" i="13"/>
  <c r="AS23" i="13"/>
  <c r="AS18" i="13"/>
  <c r="AK17" i="13"/>
  <c r="AK197" i="13"/>
  <c r="AI187" i="13"/>
  <c r="AI182" i="13"/>
  <c r="AK182" i="13"/>
  <c r="AQ180" i="13"/>
  <c r="AS180" i="13"/>
  <c r="AQ177" i="13"/>
  <c r="AS177" i="13"/>
  <c r="AQ176" i="13"/>
  <c r="AQ175" i="13"/>
  <c r="AS175" i="13"/>
  <c r="AQ174" i="13"/>
  <c r="AS174" i="13"/>
  <c r="AQ173" i="13"/>
  <c r="AS173" i="13"/>
  <c r="AK171" i="13"/>
  <c r="AI171" i="13"/>
  <c r="AI170" i="13"/>
  <c r="AK170" i="13"/>
  <c r="AQ168" i="13"/>
  <c r="AQ167" i="13"/>
  <c r="AQ166" i="13"/>
  <c r="AQ165" i="13"/>
  <c r="AQ164" i="13"/>
  <c r="AQ163" i="13"/>
  <c r="AS163" i="13"/>
  <c r="AQ162" i="13"/>
  <c r="AS162" i="13"/>
  <c r="AK161" i="13"/>
  <c r="AQ160" i="13"/>
  <c r="AS160" i="13"/>
  <c r="AI158" i="13"/>
  <c r="AQ157" i="13"/>
  <c r="AQ156" i="13"/>
  <c r="AK154" i="13"/>
  <c r="AI153" i="13"/>
  <c r="AQ152" i="13"/>
  <c r="AI151" i="13"/>
  <c r="AI150" i="13"/>
  <c r="AQ150" i="13"/>
  <c r="AS150" i="13"/>
  <c r="AQ149" i="13"/>
  <c r="AK148" i="13"/>
  <c r="AI148" i="13"/>
  <c r="AQ146" i="13"/>
  <c r="AS146" i="13"/>
  <c r="AK144" i="13"/>
  <c r="AQ142" i="13"/>
  <c r="AS142" i="13"/>
  <c r="AQ141" i="13"/>
  <c r="AQ139" i="13"/>
  <c r="AQ136" i="13"/>
  <c r="AQ133" i="13"/>
  <c r="AS133" i="13"/>
  <c r="AQ132" i="13"/>
  <c r="AS132" i="13"/>
  <c r="AS112" i="13"/>
  <c r="AK107" i="13"/>
  <c r="AK103" i="13"/>
  <c r="AI103" i="13"/>
  <c r="AS102" i="13"/>
  <c r="AK101" i="13"/>
  <c r="AQ98" i="13"/>
  <c r="AS96" i="13"/>
  <c r="AS94" i="13"/>
  <c r="AQ92" i="13"/>
  <c r="AS92" i="13"/>
  <c r="AQ90" i="13"/>
  <c r="AS90" i="13"/>
  <c r="AQ88" i="13"/>
  <c r="AQ86" i="13"/>
  <c r="AS84" i="13"/>
  <c r="AK83" i="13"/>
  <c r="AI83" i="13"/>
  <c r="AQ82" i="13"/>
  <c r="AS82" i="13"/>
  <c r="AQ80" i="13"/>
  <c r="AK77" i="13"/>
  <c r="AQ76" i="13"/>
  <c r="AK75" i="13"/>
  <c r="AI75" i="13"/>
  <c r="AQ74" i="13"/>
  <c r="AS74" i="13"/>
  <c r="AK73" i="13"/>
  <c r="AS72" i="13"/>
  <c r="AS51" i="13"/>
  <c r="AK50" i="13"/>
  <c r="AK48" i="13"/>
  <c r="AK43" i="13"/>
  <c r="AI43" i="13"/>
  <c r="AS41" i="13"/>
  <c r="AK40" i="13"/>
  <c r="AI35" i="13"/>
  <c r="AK30" i="13"/>
  <c r="AS30" i="13"/>
  <c r="AK29" i="13"/>
  <c r="AK25" i="13"/>
  <c r="AK21" i="13"/>
  <c r="AI21" i="13"/>
  <c r="AS21" i="13"/>
  <c r="AI16" i="13"/>
  <c r="AQ16" i="13"/>
  <c r="AI183" i="13"/>
  <c r="AQ183" i="13"/>
  <c r="AI180" i="13"/>
  <c r="AK177" i="13"/>
  <c r="AK175" i="13"/>
  <c r="AI173" i="13"/>
  <c r="AK173" i="13"/>
  <c r="AQ171" i="13"/>
  <c r="AQ169" i="13"/>
  <c r="AS169" i="13"/>
  <c r="AK165" i="13"/>
  <c r="AK163" i="13"/>
  <c r="AI163" i="13"/>
  <c r="AK160" i="13"/>
  <c r="AI160" i="13"/>
  <c r="AQ159" i="13"/>
  <c r="AS159" i="13"/>
  <c r="AK156" i="13"/>
  <c r="AI155" i="13"/>
  <c r="AQ155" i="13"/>
  <c r="AK152" i="13"/>
  <c r="AQ151" i="13"/>
  <c r="AK149" i="13"/>
  <c r="AQ148" i="13"/>
  <c r="AK147" i="13"/>
  <c r="AQ147" i="13"/>
  <c r="AS147" i="13"/>
  <c r="AK146" i="13"/>
  <c r="AK145" i="13"/>
  <c r="AQ144" i="13"/>
  <c r="AI142" i="13"/>
  <c r="AK142" i="13"/>
  <c r="AI141" i="13"/>
  <c r="AI140" i="13"/>
  <c r="AI139" i="13"/>
  <c r="AK137" i="13"/>
  <c r="AI137" i="13"/>
  <c r="AI136" i="13"/>
  <c r="AQ135" i="13"/>
  <c r="AS135" i="13"/>
  <c r="AK133" i="13"/>
  <c r="AI133" i="13"/>
  <c r="AI132" i="13"/>
  <c r="AK131" i="13"/>
  <c r="AI131" i="13"/>
  <c r="AS116" i="13"/>
  <c r="AK115" i="13"/>
  <c r="AK113" i="13"/>
  <c r="AS113" i="13"/>
  <c r="AK111" i="13"/>
  <c r="AS111" i="13"/>
  <c r="AS109" i="13"/>
  <c r="AS107" i="13"/>
  <c r="AK106" i="13"/>
  <c r="AK104" i="13"/>
  <c r="AI104" i="13"/>
  <c r="AK102" i="13"/>
  <c r="AK100" i="13"/>
  <c r="AK98" i="13"/>
  <c r="AI98" i="13"/>
  <c r="AS98" i="13"/>
  <c r="AI96" i="13"/>
  <c r="AK94" i="13"/>
  <c r="AK90" i="13"/>
  <c r="AK88" i="13"/>
  <c r="AS88" i="13"/>
  <c r="AI86" i="13"/>
  <c r="AS86" i="13"/>
  <c r="AK82" i="13"/>
  <c r="AS80" i="13"/>
  <c r="AS78" i="13"/>
  <c r="AS73" i="13"/>
  <c r="AK52" i="13"/>
  <c r="AS50" i="13"/>
  <c r="AS47" i="13"/>
  <c r="AK44" i="13"/>
  <c r="AS42" i="13"/>
  <c r="AK41" i="13"/>
  <c r="AS19" i="13"/>
  <c r="AQ14" i="13"/>
  <c r="AS14" i="13"/>
  <c r="AI13" i="13"/>
  <c r="AK13" i="13"/>
  <c r="AS123" i="13"/>
  <c r="AK122" i="13"/>
  <c r="AS122" i="13"/>
  <c r="AK121" i="13"/>
  <c r="AS121" i="13"/>
  <c r="AK120" i="13"/>
  <c r="AK119" i="13"/>
  <c r="AK118" i="13"/>
  <c r="AI118" i="13"/>
  <c r="AS115" i="13"/>
  <c r="AK109" i="13"/>
  <c r="AI105" i="13"/>
  <c r="AK105" i="13"/>
  <c r="AS105" i="13"/>
  <c r="AI101" i="13"/>
  <c r="AS101" i="13"/>
  <c r="AK99" i="13"/>
  <c r="AI97" i="13"/>
  <c r="AK97" i="13"/>
  <c r="AS97" i="13"/>
  <c r="AI95" i="13"/>
  <c r="AK95" i="13"/>
  <c r="AI93" i="13"/>
  <c r="AK93" i="13"/>
  <c r="AS93" i="13"/>
  <c r="AK91" i="13"/>
  <c r="AK89" i="13"/>
  <c r="AI89" i="13"/>
  <c r="AK87" i="13"/>
  <c r="AI87" i="13"/>
  <c r="AS87" i="13"/>
  <c r="AI85" i="13"/>
  <c r="AS85" i="13"/>
  <c r="AK81" i="13"/>
  <c r="AI79" i="13"/>
  <c r="AK79" i="13"/>
  <c r="AI77" i="13"/>
  <c r="AS77" i="13"/>
  <c r="AI74" i="13"/>
  <c r="AK72" i="13"/>
  <c r="AS52" i="13"/>
  <c r="AK49" i="13"/>
  <c r="AS49" i="13"/>
  <c r="AS44" i="13"/>
  <c r="AI39" i="13"/>
  <c r="AS35" i="13"/>
  <c r="AK34" i="13"/>
  <c r="AK26" i="13"/>
  <c r="AS22" i="13"/>
  <c r="AI17" i="13"/>
  <c r="AQ13" i="13"/>
  <c r="AS13" i="13"/>
  <c r="AK12" i="13"/>
  <c r="AI12" i="13"/>
  <c r="AK71" i="13"/>
  <c r="AK70" i="13"/>
  <c r="AI68" i="13"/>
  <c r="AK61" i="13"/>
  <c r="AI61" i="13"/>
  <c r="AS61" i="13"/>
  <c r="AK60" i="13"/>
  <c r="AS60" i="13"/>
  <c r="AS59" i="13"/>
  <c r="AK55" i="13"/>
  <c r="AS55" i="13"/>
  <c r="AK54" i="13"/>
  <c r="AK53" i="13"/>
  <c r="AI53" i="13"/>
  <c r="AS53" i="13"/>
  <c r="AI51" i="13"/>
  <c r="AK51" i="13"/>
  <c r="AK46" i="13"/>
  <c r="AS46" i="13"/>
  <c r="AS43" i="13"/>
  <c r="AK42" i="13"/>
  <c r="AS40" i="13"/>
  <c r="AI36" i="13"/>
  <c r="AS36" i="13"/>
  <c r="AS32" i="13"/>
  <c r="AS25" i="13"/>
  <c r="AI20" i="13"/>
  <c r="AS20" i="13"/>
  <c r="AK19" i="13"/>
  <c r="AS16" i="13"/>
  <c r="AI15" i="13"/>
  <c r="AK9" i="13"/>
  <c r="AI38" i="13"/>
  <c r="AI32" i="13"/>
  <c r="AK28" i="13"/>
  <c r="AS28" i="13"/>
  <c r="AK27" i="13"/>
  <c r="AK24" i="13"/>
  <c r="AK20" i="13"/>
  <c r="AK16" i="13"/>
  <c r="AK38" i="13"/>
  <c r="AK37" i="13"/>
  <c r="AS37" i="13"/>
  <c r="AK36" i="13"/>
  <c r="AS34" i="13"/>
  <c r="AS27" i="13"/>
  <c r="AK22" i="13"/>
  <c r="AI22" i="13"/>
  <c r="AK18" i="13"/>
  <c r="AK15" i="13"/>
  <c r="AS15" i="13"/>
  <c r="AI14" i="13"/>
  <c r="AS12" i="13"/>
  <c r="AK11" i="13"/>
  <c r="AI11" i="13"/>
  <c r="AS11" i="13"/>
  <c r="AK33" i="13"/>
  <c r="AS17" i="13"/>
  <c r="AS38" i="13"/>
  <c r="AI33" i="13"/>
  <c r="AS33" i="13"/>
  <c r="AK32" i="13"/>
  <c r="AS29" i="13"/>
  <c r="AS24" i="13"/>
  <c r="AK23" i="13"/>
  <c r="AI19" i="13"/>
  <c r="AK14" i="13"/>
  <c r="W70" i="13"/>
  <c r="AS7" i="13"/>
  <c r="AS120" i="13"/>
  <c r="AS118" i="13"/>
  <c r="AS100" i="13"/>
  <c r="AS39" i="13"/>
  <c r="AS26" i="13"/>
  <c r="AI7" i="13"/>
  <c r="AK7" i="13"/>
  <c r="AQ7" i="13"/>
  <c r="AK8" i="13"/>
  <c r="AI8" i="13"/>
  <c r="AI300" i="13"/>
  <c r="AI299" i="13"/>
  <c r="AI298" i="13"/>
  <c r="AI297" i="13"/>
  <c r="AI296" i="13"/>
  <c r="AK294" i="13"/>
  <c r="AK292" i="13"/>
  <c r="AI292" i="13"/>
  <c r="AI290" i="13"/>
  <c r="AK290" i="13"/>
  <c r="AI289" i="13"/>
  <c r="AK289" i="13"/>
  <c r="AK288" i="13"/>
  <c r="AI285" i="13"/>
  <c r="AK285" i="13"/>
  <c r="AK284" i="13"/>
  <c r="AI283" i="13"/>
  <c r="AI282" i="13"/>
  <c r="AI279" i="13"/>
  <c r="AK276" i="13"/>
  <c r="AI276" i="13"/>
  <c r="AK272" i="13"/>
  <c r="AK271" i="13"/>
  <c r="AI271" i="13"/>
  <c r="AI269" i="13"/>
  <c r="AK267" i="13"/>
  <c r="AI267" i="13"/>
  <c r="AK266" i="13"/>
  <c r="AI265" i="13"/>
  <c r="AK265" i="13"/>
  <c r="AI264" i="13"/>
  <c r="AK264" i="13"/>
  <c r="AK263" i="13"/>
  <c r="AI263" i="13"/>
  <c r="AK262" i="13"/>
  <c r="AK261" i="13"/>
  <c r="AI261" i="13"/>
  <c r="AI258" i="13"/>
  <c r="AI257" i="13"/>
  <c r="AK256" i="13"/>
  <c r="AI255" i="13"/>
  <c r="AK254" i="13"/>
  <c r="AK253" i="13"/>
  <c r="AI253" i="13"/>
  <c r="AI251" i="13"/>
  <c r="AI249" i="13"/>
  <c r="AI247" i="13"/>
  <c r="AQ115" i="13"/>
  <c r="AI108" i="13"/>
  <c r="AQ101" i="13"/>
  <c r="AQ100" i="13"/>
  <c r="AQ97" i="13"/>
  <c r="AQ83" i="13"/>
  <c r="AQ42" i="13"/>
  <c r="AI37" i="13"/>
  <c r="AQ33" i="13"/>
  <c r="AI28" i="13"/>
  <c r="AQ28" i="13"/>
  <c r="AI23" i="13"/>
  <c r="AQ18" i="13"/>
  <c r="AK246" i="13"/>
  <c r="AK245" i="13"/>
  <c r="AI241" i="13"/>
  <c r="AK240" i="13"/>
  <c r="AI239" i="13"/>
  <c r="AK238" i="13"/>
  <c r="AI238" i="13"/>
  <c r="AK234" i="13"/>
  <c r="AI233" i="13"/>
  <c r="AK233" i="13"/>
  <c r="AK232" i="13"/>
  <c r="AK230" i="13"/>
  <c r="AI230" i="13"/>
  <c r="AI229" i="13"/>
  <c r="AK228" i="13"/>
  <c r="AI226" i="13"/>
  <c r="AI225" i="13"/>
  <c r="AK225" i="13"/>
  <c r="AI224" i="13"/>
  <c r="AK221" i="13"/>
  <c r="AI220" i="13"/>
  <c r="AK218" i="13"/>
  <c r="AI218" i="13"/>
  <c r="AI215" i="13"/>
  <c r="AI212" i="13"/>
  <c r="AK211" i="13"/>
  <c r="AI211" i="13"/>
  <c r="AI210" i="13"/>
  <c r="AK210" i="13"/>
  <c r="AI209" i="13"/>
  <c r="AK209" i="13"/>
  <c r="AK207" i="13"/>
  <c r="AI205" i="13"/>
  <c r="AI204" i="13"/>
  <c r="AK204" i="13"/>
  <c r="AI203" i="13"/>
  <c r="AI202" i="13"/>
  <c r="AI200" i="13"/>
  <c r="AI199" i="13"/>
  <c r="AI197" i="13"/>
  <c r="AK195" i="13"/>
  <c r="AI194" i="13"/>
  <c r="AK194" i="13"/>
  <c r="AK193" i="13"/>
  <c r="AK192" i="13"/>
  <c r="AK190" i="13"/>
  <c r="AI190" i="13"/>
  <c r="AK189" i="13"/>
  <c r="AI189" i="13"/>
  <c r="AK188" i="13"/>
  <c r="AQ121" i="13"/>
  <c r="AQ118" i="13"/>
  <c r="AQ110" i="13"/>
  <c r="AI109" i="13"/>
  <c r="AI100" i="13"/>
  <c r="AK85" i="13"/>
  <c r="AQ61" i="13"/>
  <c r="AI60" i="13"/>
  <c r="AI49" i="13"/>
  <c r="AQ45" i="13"/>
  <c r="AQ40" i="13"/>
  <c r="AQ11" i="13"/>
  <c r="AK187" i="13"/>
  <c r="AK186" i="13"/>
  <c r="AI186" i="13"/>
  <c r="AI184" i="13"/>
  <c r="AK184" i="13"/>
  <c r="AK183" i="13"/>
  <c r="AK181" i="13"/>
  <c r="AK180" i="13"/>
  <c r="AK179" i="13"/>
  <c r="AI179" i="13"/>
  <c r="AK178" i="13"/>
  <c r="AI178" i="13"/>
  <c r="AI177" i="13"/>
  <c r="AK176" i="13"/>
  <c r="AI176" i="13"/>
  <c r="AI175" i="13"/>
  <c r="AK172" i="13"/>
  <c r="AI172" i="13"/>
  <c r="AK169" i="13"/>
  <c r="AI169" i="13"/>
  <c r="AI168" i="13"/>
  <c r="AK168" i="13"/>
  <c r="AI167" i="13"/>
  <c r="AK167" i="13"/>
  <c r="AK166" i="13"/>
  <c r="AI166" i="13"/>
  <c r="AI165" i="13"/>
  <c r="AI164" i="13"/>
  <c r="AK164" i="13"/>
  <c r="AI161" i="13"/>
  <c r="AK159" i="13"/>
  <c r="AK158" i="13"/>
  <c r="AK157" i="13"/>
  <c r="AI157" i="13"/>
  <c r="AI154" i="13"/>
  <c r="AK153" i="13"/>
  <c r="AI152" i="13"/>
  <c r="AK151" i="13"/>
  <c r="AI149" i="13"/>
  <c r="AI146" i="13"/>
  <c r="AI145" i="13"/>
  <c r="AI144" i="13"/>
  <c r="AI143" i="13"/>
  <c r="AK143" i="13"/>
  <c r="AK141" i="13"/>
  <c r="AK140" i="13"/>
  <c r="AK139" i="13"/>
  <c r="AK138" i="13"/>
  <c r="AI138" i="13"/>
  <c r="AI134" i="13"/>
  <c r="AK134" i="13"/>
  <c r="AK132" i="13"/>
  <c r="AK128" i="13"/>
  <c r="AI127" i="13"/>
  <c r="AK127" i="13"/>
  <c r="AQ123" i="13"/>
  <c r="AI122" i="13"/>
  <c r="AQ116" i="13"/>
  <c r="AI92" i="13"/>
  <c r="AI88" i="13"/>
  <c r="AI84" i="13"/>
  <c r="AQ78" i="13"/>
  <c r="AI58" i="13"/>
  <c r="AQ17" i="13"/>
  <c r="AS69" i="13"/>
  <c r="AK68" i="13"/>
  <c r="AQ68" i="13"/>
  <c r="AI67" i="13"/>
  <c r="AK67" i="13"/>
  <c r="AQ66" i="13"/>
  <c r="AS66" i="13"/>
  <c r="AS65" i="13"/>
  <c r="AS63" i="13"/>
  <c r="AQ63" i="13"/>
  <c r="AK62" i="13"/>
  <c r="AQ62" i="13"/>
  <c r="AS62" i="13"/>
  <c r="AQ59" i="13"/>
  <c r="AI52" i="13"/>
  <c r="AQ51" i="13"/>
  <c r="AQ47" i="13"/>
  <c r="AQ46" i="13"/>
  <c r="AQ35" i="13"/>
  <c r="AQ30" i="13"/>
  <c r="AI25" i="13"/>
  <c r="AQ24" i="13"/>
  <c r="AQ23" i="13"/>
  <c r="AQ22" i="13"/>
  <c r="AI10" i="13"/>
  <c r="AI71" i="13"/>
  <c r="AQ56" i="13"/>
  <c r="AI50" i="13"/>
  <c r="AQ50" i="13"/>
  <c r="AQ44" i="13"/>
  <c r="AQ34" i="13"/>
  <c r="AI27" i="13"/>
  <c r="AQ21" i="13"/>
  <c r="AQ20" i="13"/>
  <c r="AQ15" i="13"/>
  <c r="AQ10" i="13"/>
  <c r="AQ111" i="13"/>
  <c r="AI106" i="13"/>
  <c r="AQ102" i="13"/>
  <c r="AQ94" i="13"/>
  <c r="AQ55" i="13"/>
  <c r="AI45" i="13"/>
  <c r="AI40" i="13"/>
  <c r="AQ39" i="13"/>
  <c r="AQ38" i="13"/>
  <c r="AQ27" i="13"/>
  <c r="AI26" i="13"/>
  <c r="AQ26" i="13"/>
  <c r="AQ12" i="13"/>
  <c r="AQ114" i="13"/>
  <c r="AQ113" i="13"/>
  <c r="AQ112" i="13"/>
  <c r="AI111" i="13"/>
  <c r="AI110" i="13"/>
  <c r="AQ105" i="13"/>
  <c r="AQ96" i="13"/>
  <c r="AQ89" i="13"/>
  <c r="AI115" i="13"/>
  <c r="AQ106" i="13"/>
  <c r="AI99" i="13"/>
  <c r="AI91" i="13"/>
  <c r="AQ84" i="13"/>
  <c r="AI69" i="13"/>
  <c r="AQ57" i="13"/>
  <c r="AI56" i="13"/>
  <c r="AQ52" i="13"/>
  <c r="AI41" i="13"/>
  <c r="AI34" i="13"/>
  <c r="AQ29" i="13"/>
  <c r="AQ19" i="13"/>
  <c r="AI18" i="13"/>
  <c r="AQ119" i="13"/>
  <c r="AI112" i="13"/>
  <c r="AQ108" i="13"/>
  <c r="AQ85" i="13"/>
  <c r="AQ77" i="13"/>
  <c r="AI76" i="13"/>
  <c r="AQ73" i="13"/>
  <c r="AQ72" i="13"/>
  <c r="AQ53" i="13"/>
  <c r="AI47" i="13"/>
  <c r="AI46" i="13"/>
  <c r="AQ41" i="13"/>
  <c r="AQ31" i="13"/>
  <c r="AI9" i="13"/>
  <c r="AQ9" i="13"/>
  <c r="AI117" i="13"/>
  <c r="AI107" i="13"/>
  <c r="AQ107" i="13"/>
  <c r="AI102" i="13"/>
  <c r="AI73" i="13"/>
  <c r="AI72" i="13"/>
  <c r="AQ71" i="13"/>
  <c r="AI70" i="13"/>
  <c r="AQ58" i="13"/>
  <c r="AI44" i="13"/>
  <c r="AQ37" i="13"/>
  <c r="AQ32" i="13"/>
  <c r="AI30" i="13"/>
  <c r="AI119" i="13"/>
  <c r="AI113" i="13"/>
  <c r="AQ109" i="13"/>
  <c r="AQ104" i="13"/>
  <c r="AQ95" i="13"/>
  <c r="AI94" i="13"/>
  <c r="AQ91" i="13"/>
  <c r="AI90" i="13"/>
  <c r="AI82" i="13"/>
  <c r="AI78" i="13"/>
  <c r="AI59" i="13"/>
  <c r="AI54" i="13"/>
  <c r="AQ54" i="13"/>
  <c r="AQ49" i="13"/>
  <c r="AQ48" i="13"/>
  <c r="AQ117" i="13"/>
  <c r="AI116" i="13"/>
  <c r="AQ103" i="13"/>
  <c r="AI81" i="13"/>
  <c r="AQ81" i="13"/>
  <c r="AQ79" i="13"/>
  <c r="AI48" i="13"/>
  <c r="AQ43" i="13"/>
  <c r="AI42" i="13"/>
  <c r="AQ36" i="13"/>
  <c r="AI29" i="13"/>
  <c r="AQ25" i="13"/>
  <c r="AI24" i="13"/>
  <c r="AC8" i="13"/>
  <c r="AL8" i="13" s="1"/>
  <c r="Z5" i="3" a="1"/>
  <c r="BX5" i="2" a="1"/>
  <c r="A1" i="10"/>
  <c r="CG5" i="2" a="1"/>
  <c r="BV5" i="2" a="1"/>
  <c r="AI6" i="12"/>
  <c r="AI5" i="12"/>
  <c r="BJ28" i="2" a="1"/>
  <c r="BJ27" i="2" a="1"/>
  <c r="BK5" i="2" a="1"/>
  <c r="BL7" i="2" a="1"/>
  <c r="BI7" i="2" a="1"/>
  <c r="BI114" i="2" a="1"/>
  <c r="BI104" i="2" a="1"/>
  <c r="BI98" i="2" a="1"/>
  <c r="BI92" i="2" a="1"/>
  <c r="BI85" i="2" a="1"/>
  <c r="BI82" i="2" a="1"/>
  <c r="BI80" i="2" a="1"/>
  <c r="BI74" i="2" a="1"/>
  <c r="BI68" i="2" a="1"/>
  <c r="BI63" i="2" a="1"/>
  <c r="BI60" i="2" a="1"/>
  <c r="BI54" i="2" a="1"/>
  <c r="BI40" i="2" a="1"/>
  <c r="BI37" i="2" a="1"/>
  <c r="BI35" i="2" a="1"/>
  <c r="BI22" i="2" a="1"/>
  <c r="BI19" i="2" a="1"/>
  <c r="BJ9" i="2" a="1"/>
  <c r="BK102" i="2" a="1"/>
  <c r="BK84" i="2" a="1"/>
  <c r="BK74" i="2" a="1"/>
  <c r="BJ58" i="2" a="1"/>
  <c r="BL18" i="2" a="1"/>
  <c r="BJ117" i="2" a="1"/>
  <c r="BJ111" i="2" a="1"/>
  <c r="BK108" i="2" a="1"/>
  <c r="BK104" i="2" a="1"/>
  <c r="BK99" i="2" a="1"/>
  <c r="BJ122" i="2" a="1"/>
  <c r="BJ116" i="2" a="1"/>
  <c r="BL110" i="2" a="1"/>
  <c r="BL97" i="2" a="1"/>
  <c r="BL85" i="2" a="1"/>
  <c r="BJ76" i="2" a="1"/>
  <c r="BJ64" i="2" a="1"/>
  <c r="BJ30" i="2" a="1"/>
  <c r="BK39" i="2" a="1"/>
  <c r="BL46" i="2" a="1"/>
  <c r="BL19" i="2" a="1"/>
  <c r="BJ45" i="2" a="1"/>
  <c r="BL53" i="2" a="1"/>
  <c r="BK13" i="2" a="1"/>
  <c r="BM5" i="2" a="1"/>
  <c r="BN7" i="2" a="1"/>
  <c r="BI116" i="2" a="1"/>
  <c r="BI106" i="2" a="1"/>
  <c r="BI96" i="2" a="1"/>
  <c r="BI90" i="2" a="1"/>
  <c r="BI76" i="2" a="1"/>
  <c r="BI67" i="2" a="1"/>
  <c r="BI65" i="2" a="1"/>
  <c r="BI57" i="2" a="1"/>
  <c r="BI51" i="2" a="1"/>
  <c r="BJ109" i="2" a="1"/>
  <c r="BJ89" i="2" a="1"/>
  <c r="BJ25" i="2" a="1"/>
  <c r="BL58" i="2" a="1"/>
  <c r="BK122" i="2" a="1"/>
  <c r="BK116" i="2" a="1"/>
  <c r="BL111" i="2" a="1"/>
  <c r="BL106" i="2" a="1"/>
  <c r="BK101" i="2" a="1"/>
  <c r="BJ50" i="2" a="1"/>
  <c r="BL116" i="2" a="1"/>
  <c r="BL109" i="2" a="1"/>
  <c r="BK92" i="2" a="1"/>
  <c r="BK79" i="2" a="1"/>
  <c r="BL64" i="2" a="1"/>
  <c r="BJ55" i="2" a="1"/>
  <c r="BJ16" i="2" a="1"/>
  <c r="BK31" i="2" a="1"/>
  <c r="BJ37" i="2" a="1"/>
  <c r="BK41" i="2" a="1"/>
  <c r="BI119" i="2" a="1"/>
  <c r="BI118" i="2" a="1"/>
  <c r="BI117" i="2" a="1"/>
  <c r="BI105" i="2" a="1"/>
  <c r="BI102" i="2" a="1"/>
  <c r="BI100" i="2" a="1"/>
  <c r="BI94" i="2" a="1"/>
  <c r="BI88" i="2" a="1"/>
  <c r="BI81" i="2" a="1"/>
  <c r="BI75" i="2" a="1"/>
  <c r="BI69" i="2" a="1"/>
  <c r="BI62" i="2" a="1"/>
  <c r="BI56" i="2" a="1"/>
  <c r="BI53" i="2" a="1"/>
  <c r="BI47" i="2" a="1"/>
  <c r="BI45" i="2" a="1"/>
  <c r="BI39" i="2" a="1"/>
  <c r="BI33" i="2" a="1"/>
  <c r="BI27" i="2" a="1"/>
  <c r="BI25" i="2" a="1"/>
  <c r="BL104" i="2" a="1"/>
  <c r="BL88" i="2" a="1"/>
  <c r="BJ79" i="2" a="1"/>
  <c r="BJ69" i="2" a="1"/>
  <c r="BK35" i="2" a="1"/>
  <c r="BJ119" i="2" a="1"/>
  <c r="BK114" i="2" a="1"/>
  <c r="BL25" i="2" a="1"/>
  <c r="BL105" i="2" a="1"/>
  <c r="BJ100" i="2" a="1"/>
  <c r="BK56" i="2" a="1"/>
  <c r="BJ118" i="2" a="1"/>
  <c r="BL112" i="2" a="1"/>
  <c r="BL93" i="2" a="1"/>
  <c r="BK83" i="2" a="1"/>
  <c r="BK71" i="2" a="1"/>
  <c r="BK64" i="2" a="1"/>
  <c r="BL57" i="2" a="1"/>
  <c r="BJ39" i="2" a="1"/>
  <c r="BJ46" i="2" a="1"/>
  <c r="BJ19" i="2" a="1"/>
  <c r="BK47" i="2" a="1"/>
  <c r="BK53" i="2" a="1"/>
  <c r="BL20" i="2" a="1"/>
  <c r="BN5" i="2" a="1"/>
  <c r="BM7" i="2" a="1"/>
  <c r="BI17" i="2" a="1"/>
  <c r="BI16" i="2" a="1"/>
  <c r="BI15" i="2" a="1"/>
  <c r="BI14" i="2" a="1"/>
  <c r="BI13" i="2" a="1"/>
  <c r="BI12" i="2" a="1"/>
  <c r="BI11" i="2" a="1"/>
  <c r="BI10" i="2" a="1"/>
  <c r="BI9" i="2" a="1"/>
  <c r="BI8" i="2" a="1"/>
  <c r="BL13" i="2" a="1"/>
  <c r="BJ8" i="2" a="1"/>
  <c r="BJ54" i="2" a="1"/>
  <c r="BJ44" i="2" a="1"/>
  <c r="BL37" i="2" a="1"/>
  <c r="BL36" i="2" a="1"/>
  <c r="BK15" i="2" a="1"/>
  <c r="BJ26" i="2" a="1"/>
  <c r="BL65" i="2" a="1"/>
  <c r="BK58" i="2" a="1"/>
  <c r="BL50" i="2" a="1"/>
  <c r="BK44" i="2" a="1"/>
  <c r="BL38" i="2" a="1"/>
  <c r="BK30" i="2" a="1"/>
  <c r="BK14" i="2" a="1"/>
  <c r="BL9" i="2" a="1"/>
  <c r="BL96" i="2" a="1"/>
  <c r="BJ82" i="2" a="1"/>
  <c r="BL71" i="2" a="1"/>
  <c r="BJ35" i="2" a="1"/>
  <c r="BK120" i="2" a="1"/>
  <c r="BK112" i="2" a="1"/>
  <c r="BJ108" i="2" a="1"/>
  <c r="BJ103" i="2" a="1"/>
  <c r="BJ97" i="2" a="1"/>
  <c r="BL122" i="2" a="1"/>
  <c r="BJ114" i="2" a="1"/>
  <c r="BK107" i="2" a="1"/>
  <c r="BL91" i="2" a="1"/>
  <c r="BL78" i="2" a="1"/>
  <c r="BK61" i="2" a="1"/>
  <c r="BK55" i="2" a="1"/>
  <c r="BK16" i="2" a="1"/>
  <c r="BL31" i="2" a="1"/>
  <c r="BK45" i="2" a="1"/>
  <c r="BK49" i="2" a="1"/>
  <c r="BL29" i="2" a="1"/>
  <c r="BK87" i="2" a="1"/>
  <c r="BK86" i="2" a="1"/>
  <c r="BL83" i="2" a="1"/>
  <c r="BK82" i="2" a="1"/>
  <c r="BJ80" i="2" a="1"/>
  <c r="BK78" i="2" a="1"/>
  <c r="BL77" i="2" a="1"/>
  <c r="BK76" i="2" a="1"/>
  <c r="BL76" i="2" a="1"/>
  <c r="BJ75" i="2" a="1"/>
  <c r="BL69" i="2" a="1"/>
  <c r="BK68" i="2" a="1"/>
  <c r="BJ65" i="2" a="1"/>
  <c r="BK65" i="2" a="1"/>
  <c r="BL60" i="2" a="1"/>
  <c r="BJ59" i="2" a="1"/>
  <c r="BK59" i="2" a="1"/>
  <c r="BL59" i="2" a="1"/>
  <c r="BJ51" i="2" a="1"/>
  <c r="BL51" i="2" a="1"/>
  <c r="BK48" i="2" a="1"/>
  <c r="BL27" i="2" a="1"/>
  <c r="BJ42" i="2" a="1"/>
  <c r="BK42" i="2" a="1"/>
  <c r="BL42" i="2" a="1"/>
  <c r="BL40" i="2" a="1"/>
  <c r="BJ33" i="2" a="1"/>
  <c r="BK33" i="2" a="1"/>
  <c r="BL33" i="2" a="1"/>
  <c r="BJ13" i="2" a="1"/>
  <c r="BK11" i="2" a="1"/>
  <c r="BK8" i="2" a="1"/>
  <c r="BL8" i="2" a="1"/>
  <c r="BK51" i="2" a="1"/>
  <c r="BL44" i="2" a="1"/>
  <c r="BK43" i="2" a="1"/>
  <c r="BJ36" i="2" a="1"/>
  <c r="BK36" i="2" a="1"/>
  <c r="BL21" i="2" a="1"/>
  <c r="BJ15" i="2" a="1"/>
  <c r="BL15" i="2" a="1"/>
  <c r="BK9" i="2" a="1"/>
  <c r="BL66" i="2" a="1"/>
  <c r="BJ63" i="2" a="1"/>
  <c r="BK63" i="2" a="1"/>
  <c r="BK50" i="2" a="1"/>
  <c r="BJ48" i="2" a="1"/>
  <c r="BL48" i="2" a="1"/>
  <c r="BJ38" i="2" a="1"/>
  <c r="BJ32" i="2" a="1"/>
  <c r="BL32" i="2" a="1"/>
  <c r="BK20" i="2" a="1"/>
  <c r="BJ14" i="2" a="1"/>
  <c r="BJ12" i="2" a="1"/>
  <c r="BK105" i="2" a="1"/>
  <c r="BL102" i="2" a="1"/>
  <c r="BL89" i="2" a="1"/>
  <c r="BL84" i="2" a="1"/>
  <c r="BJ74" i="2" a="1"/>
  <c r="BJ70" i="2" a="1"/>
  <c r="BJ56" i="2" a="1"/>
  <c r="BK18" i="2" a="1"/>
  <c r="BL121" i="2" a="1"/>
  <c r="BL117" i="2" a="1"/>
  <c r="BJ113" i="2" a="1"/>
  <c r="BJ110" i="2" a="1"/>
  <c r="BJ24" i="2" a="1"/>
  <c r="BJ105" i="2" a="1"/>
  <c r="BJ102" i="2" a="1"/>
  <c r="BL98" i="2" a="1"/>
  <c r="BL24" i="2" a="1"/>
  <c r="BK121" i="2" a="1"/>
  <c r="BK117" i="2" a="1"/>
  <c r="BK113" i="2" a="1"/>
  <c r="BJ107" i="2" a="1"/>
  <c r="BJ92" i="2" a="1"/>
  <c r="BJ90" i="2" a="1"/>
  <c r="BK81" i="2" a="1"/>
  <c r="BK72" i="2" a="1"/>
  <c r="BL68" i="2" a="1"/>
  <c r="BL61" i="2" a="1"/>
  <c r="BL30" i="2" a="1"/>
  <c r="BL55" i="2" a="1"/>
  <c r="BL39" i="2" a="1"/>
  <c r="BJ49" i="2" a="1"/>
  <c r="BL35" i="2" a="1"/>
  <c r="BJ17" i="2" a="1"/>
  <c r="BL10" i="2" a="1"/>
  <c r="BJ11" i="2" a="1"/>
  <c r="BL52" i="2" a="1"/>
  <c r="BJ34" i="2" a="1"/>
  <c r="BK29" i="2" a="1"/>
  <c r="BJ23" i="2" a="1"/>
  <c r="BK96" i="2" a="1"/>
  <c r="BJ95" i="2" a="1"/>
  <c r="BK95" i="2" a="1"/>
  <c r="BJ94" i="2" a="1"/>
  <c r="BK94" i="2" a="1"/>
  <c r="BL94" i="2" a="1"/>
  <c r="BJ93" i="2" a="1"/>
  <c r="BK93" i="2" a="1"/>
  <c r="BL92" i="2" a="1"/>
  <c r="BJ91" i="2" a="1"/>
  <c r="BK91" i="2" a="1"/>
  <c r="BL90" i="2" a="1"/>
  <c r="BK23" i="2" a="1"/>
  <c r="BJ86" i="2" a="1"/>
  <c r="BJ85" i="2" a="1"/>
  <c r="BJ84" i="2" a="1"/>
  <c r="BL82" i="2" a="1"/>
  <c r="BJ81" i="2" a="1"/>
  <c r="BL23" i="2" a="1"/>
  <c r="BJ22" i="2" a="1"/>
  <c r="BK22" i="2" a="1"/>
  <c r="BL22" i="2" a="1"/>
  <c r="BL14" i="2" a="1"/>
  <c r="BJ10" i="2" a="1"/>
  <c r="BJ78" i="2" a="1"/>
  <c r="BJ77" i="2" a="1"/>
  <c r="BK77" i="2" a="1"/>
  <c r="BK75" i="2" a="1"/>
  <c r="BL75" i="2" a="1"/>
  <c r="BK73" i="2" a="1"/>
  <c r="BJ73" i="2" a="1"/>
  <c r="BL73" i="2" a="1"/>
  <c r="BJ72" i="2" a="1"/>
  <c r="BL72" i="2" a="1"/>
  <c r="BK70" i="2" a="1"/>
  <c r="BL70" i="2" a="1"/>
  <c r="BJ66" i="2" a="1"/>
  <c r="BK66" i="2" a="1"/>
  <c r="BL63" i="2" a="1"/>
  <c r="BJ62" i="2" a="1"/>
  <c r="BK62" i="2" a="1"/>
  <c r="BL62" i="2" a="1"/>
  <c r="BJ60" i="2" a="1"/>
  <c r="BK119" i="2" a="1"/>
  <c r="BJ112" i="2" a="1"/>
  <c r="BJ98" i="2" a="1"/>
  <c r="BK89" i="2" a="1"/>
  <c r="BK80" i="2" a="1"/>
  <c r="BJ67" i="2" a="1"/>
  <c r="BK57" i="2" a="1"/>
  <c r="BK40" i="2" a="1"/>
  <c r="BL49" i="2" a="1"/>
  <c r="BJ21" i="2" a="1"/>
  <c r="BK10" i="2" a="1"/>
  <c r="BL54" i="2" a="1"/>
  <c r="BK34" i="2" a="1"/>
  <c r="BL28" i="2" a="1"/>
  <c r="BJ7" i="2" a="1"/>
  <c r="BK7" i="2" a="1"/>
  <c r="BI112" i="2" a="1"/>
  <c r="BI110" i="2" a="1"/>
  <c r="BI108" i="2" a="1"/>
  <c r="BI99" i="2" a="1"/>
  <c r="BI97" i="2" a="1"/>
  <c r="BI95" i="2" a="1"/>
  <c r="BI89" i="2" a="1"/>
  <c r="BI83" i="2" a="1"/>
  <c r="BI77" i="2" a="1"/>
  <c r="BI71" i="2" a="1"/>
  <c r="BI66" i="2" a="1"/>
  <c r="BI61" i="2" a="1"/>
  <c r="BI59" i="2" a="1"/>
  <c r="BI50" i="2" a="1"/>
  <c r="BI48" i="2" a="1"/>
  <c r="BI43" i="2" a="1"/>
  <c r="BI38" i="2" a="1"/>
  <c r="BI36" i="2" a="1"/>
  <c r="BI34" i="2" a="1"/>
  <c r="BI31" i="2" a="1"/>
  <c r="BI30" i="2" a="1"/>
  <c r="BI24" i="2" a="1"/>
  <c r="BJ106" i="2" a="1"/>
  <c r="BL101" i="2" a="1"/>
  <c r="BK85" i="2" a="1"/>
  <c r="BK26" i="2" a="1"/>
  <c r="BJ71" i="2" a="1"/>
  <c r="BL56" i="2" a="1"/>
  <c r="BK12" i="2" a="1"/>
  <c r="BK118" i="2" a="1"/>
  <c r="BL115" i="2" a="1"/>
  <c r="BK25" i="2" a="1"/>
  <c r="BK24" i="2" a="1"/>
  <c r="BK103" i="2" a="1"/>
  <c r="BJ99" i="2" a="1"/>
  <c r="BK60" i="2" a="1"/>
  <c r="BL120" i="2" a="1"/>
  <c r="BK115" i="2" a="1"/>
  <c r="BL108" i="2" a="1"/>
  <c r="BJ96" i="2" a="1"/>
  <c r="BJ88" i="2" a="1"/>
  <c r="BL81" i="2" a="1"/>
  <c r="BJ68" i="2" a="1"/>
  <c r="BJ61" i="2" a="1"/>
  <c r="BJ57" i="2" a="1"/>
  <c r="BK52" i="2" a="1"/>
  <c r="BK32" i="2" a="1"/>
  <c r="BL45" i="2" a="1"/>
  <c r="BK19" i="2" a="1"/>
  <c r="BL17" i="2" a="1"/>
  <c r="BL11" i="2" a="1"/>
  <c r="BJ41" i="2" a="1"/>
  <c r="BJ29" i="2" a="1"/>
  <c r="BK27" i="2" a="1"/>
  <c r="BJ5" i="2" a="1"/>
  <c r="BI5" i="2" a="1"/>
  <c r="BI111" i="2" a="1"/>
  <c r="BI109" i="2" a="1"/>
  <c r="BI103" i="2" a="1"/>
  <c r="BI93" i="2" a="1"/>
  <c r="BI79" i="2" a="1"/>
  <c r="BI73" i="2" a="1"/>
  <c r="BI70" i="2" a="1"/>
  <c r="BI64" i="2" a="1"/>
  <c r="BI55" i="2" a="1"/>
  <c r="BI49" i="2" a="1"/>
  <c r="BI42" i="2" a="1"/>
  <c r="BI28" i="2" a="1"/>
  <c r="BI26" i="2" a="1"/>
  <c r="BI20" i="2" a="1"/>
  <c r="BL12" i="2" a="1"/>
  <c r="BL103" i="2" a="1"/>
  <c r="BJ87" i="2" a="1"/>
  <c r="BL26" i="2" a="1"/>
  <c r="BK69" i="2" a="1"/>
  <c r="BJ18" i="2" a="1"/>
  <c r="BL119" i="2" a="1"/>
  <c r="BL113" i="2" a="1"/>
  <c r="BK109" i="2" a="1"/>
  <c r="BJ104" i="2" a="1"/>
  <c r="BL100" i="2" a="1"/>
  <c r="BJ52" i="2" a="1"/>
  <c r="BL118" i="2" a="1"/>
  <c r="BK111" i="2" a="1"/>
  <c r="BK98" i="2" a="1"/>
  <c r="BK88" i="2" a="1"/>
  <c r="BL79" i="2" a="1"/>
  <c r="BL67" i="2" a="1"/>
  <c r="BK38" i="2" a="1"/>
  <c r="BL43" i="2" a="1"/>
  <c r="BL47" i="2" a="1"/>
  <c r="BK21" i="2" a="1"/>
  <c r="BJ47" i="2" a="1"/>
  <c r="BJ53" i="2" a="1"/>
  <c r="BJ20" i="2" a="1"/>
  <c r="BL5" i="2" a="1"/>
  <c r="BI115" i="2" a="1"/>
  <c r="BI113" i="2" a="1"/>
  <c r="BI107" i="2" a="1"/>
  <c r="BI101" i="2" a="1"/>
  <c r="BI91" i="2" a="1"/>
  <c r="BI84" i="2" a="1"/>
  <c r="BI78" i="2" a="1"/>
  <c r="BI72" i="2" a="1"/>
  <c r="BI58" i="2" a="1"/>
  <c r="BI52" i="2" a="1"/>
  <c r="BI46" i="2" a="1"/>
  <c r="BI44" i="2" a="1"/>
  <c r="BI41" i="2" a="1"/>
  <c r="BI32" i="2" a="1"/>
  <c r="BI29" i="2" a="1"/>
  <c r="BI23" i="2" a="1"/>
  <c r="BI21" i="2" a="1"/>
  <c r="BI18" i="2" a="1"/>
  <c r="BK106" i="2" a="1"/>
  <c r="BL95" i="2" a="1"/>
  <c r="BJ83" i="2" a="1"/>
  <c r="BL74" i="2" a="1"/>
  <c r="BK46" i="2" a="1"/>
  <c r="BJ121" i="2" a="1"/>
  <c r="BJ115" i="2" a="1"/>
  <c r="BK110" i="2" a="1"/>
  <c r="BL107" i="2" a="1"/>
  <c r="BJ101" i="2" a="1"/>
  <c r="BK97" i="2" a="1"/>
  <c r="BJ120" i="2" a="1"/>
  <c r="BL114" i="2" a="1"/>
  <c r="BL99" i="2" a="1"/>
  <c r="BK90" i="2" a="1"/>
  <c r="BL80" i="2" a="1"/>
  <c r="BK67" i="2" a="1"/>
  <c r="BJ40" i="2" a="1"/>
  <c r="BJ43" i="2" a="1"/>
  <c r="BL16" i="2" a="1"/>
  <c r="BJ31" i="2" a="1"/>
  <c r="BK17" i="2" a="1"/>
  <c r="BK54" i="2" a="1"/>
  <c r="BL41" i="2" a="1"/>
  <c r="BK28" i="2" a="1"/>
  <c r="BI87" i="2" a="1"/>
  <c r="BI86" i="2" a="1"/>
  <c r="BK37" i="2" a="1"/>
  <c r="BL34" i="2" a="1"/>
  <c r="BL87" i="2" a="1"/>
  <c r="BL86" i="2" a="1"/>
  <c r="BM121" i="2" a="1"/>
  <c r="BN120" i="2" a="1"/>
  <c r="BN119" i="2" a="1"/>
  <c r="BN118" i="2" a="1"/>
  <c r="BN117" i="2" a="1"/>
  <c r="BN116" i="2" a="1"/>
  <c r="BM69" i="2" a="1"/>
  <c r="BN68" i="2" a="1"/>
  <c r="BM66" i="2" a="1"/>
  <c r="BN65" i="2" a="1"/>
  <c r="BN64" i="2" a="1"/>
  <c r="BN62" i="2" a="1"/>
  <c r="BM60" i="2" a="1"/>
  <c r="BN59" i="2" a="1"/>
  <c r="BM57" i="2" a="1"/>
  <c r="BM41" i="2" a="1"/>
  <c r="BM39" i="2" a="1"/>
  <c r="BN38" i="2" a="1"/>
  <c r="BM36" i="2" a="1"/>
  <c r="BN35" i="2" a="1"/>
  <c r="BN34" i="2" a="1"/>
  <c r="BM32" i="2" a="1"/>
  <c r="BN31" i="2" a="1"/>
  <c r="BN30" i="2" a="1"/>
  <c r="BM29" i="2" a="1"/>
  <c r="BM28" i="2" a="1"/>
  <c r="BM27" i="2" a="1"/>
  <c r="BN26" i="2" a="1"/>
  <c r="BM24" i="2" a="1"/>
  <c r="BN23" i="2" a="1"/>
  <c r="BN22" i="2" a="1"/>
  <c r="BM20" i="2" a="1"/>
  <c r="BN19" i="2" a="1"/>
  <c r="BM17" i="2" a="1"/>
  <c r="BN17" i="2" a="1"/>
  <c r="BM15" i="2" a="1"/>
  <c r="BM13" i="2" a="1"/>
  <c r="BN12" i="2" a="1"/>
  <c r="BM10" i="2" a="1"/>
  <c r="BM9" i="2" a="1"/>
  <c r="BN8" i="2" a="1"/>
  <c r="BM122" i="2" a="1"/>
  <c r="BN122" i="2" a="1"/>
  <c r="BN121" i="2" a="1"/>
  <c r="BM120" i="2" a="1"/>
  <c r="BM119" i="2" a="1"/>
  <c r="BM118" i="2" a="1"/>
  <c r="BM117" i="2" a="1"/>
  <c r="BM116" i="2" a="1"/>
  <c r="BN70" i="2" a="1"/>
  <c r="BN69" i="2" a="1"/>
  <c r="BN67" i="2" a="1"/>
  <c r="BM65" i="2" a="1"/>
  <c r="BM63" i="2" a="1"/>
  <c r="BM61" i="2" a="1"/>
  <c r="BM59" i="2" a="1"/>
  <c r="BN58" i="2" a="1"/>
  <c r="BM56" i="2" a="1"/>
  <c r="BM40" i="2" a="1"/>
  <c r="BN39" i="2" a="1"/>
  <c r="BN37" i="2" a="1"/>
  <c r="BM35" i="2" a="1"/>
  <c r="BN33" i="2" a="1"/>
  <c r="BM31" i="2" a="1"/>
  <c r="BM30" i="2" a="1"/>
  <c r="BN29" i="2" a="1"/>
  <c r="BN28" i="2" a="1"/>
  <c r="BM26" i="2" a="1"/>
  <c r="BM23" i="2" a="1"/>
  <c r="BM21" i="2" a="1"/>
  <c r="BN20" i="2" a="1"/>
  <c r="BM18" i="2" a="1"/>
  <c r="BN16" i="2" a="1"/>
  <c r="BM14" i="2" a="1"/>
  <c r="BN13" i="2" a="1"/>
  <c r="BM11" i="2" a="1"/>
  <c r="BN10" i="2" a="1"/>
  <c r="BM8" i="2" a="1"/>
  <c r="BM115" i="2" a="1"/>
  <c r="BN115" i="2" a="1"/>
  <c r="BM114" i="2" a="1"/>
  <c r="BN114" i="2" a="1"/>
  <c r="BM113" i="2" a="1"/>
  <c r="BN113" i="2" a="1"/>
  <c r="BM112" i="2" a="1"/>
  <c r="BN112" i="2" a="1"/>
  <c r="BM111" i="2" a="1"/>
  <c r="BN111" i="2" a="1"/>
  <c r="BM110" i="2" a="1"/>
  <c r="BN110" i="2" a="1"/>
  <c r="BM109" i="2" a="1"/>
  <c r="BN109" i="2" a="1"/>
  <c r="BM108" i="2" a="1"/>
  <c r="BN108" i="2" a="1"/>
  <c r="BM107" i="2" a="1"/>
  <c r="BN107" i="2" a="1"/>
  <c r="BM106" i="2" a="1"/>
  <c r="BN106" i="2" a="1"/>
  <c r="BM105" i="2" a="1"/>
  <c r="BN105" i="2" a="1"/>
  <c r="BM93" i="2" a="1"/>
  <c r="BN93" i="2" a="1"/>
  <c r="BM92" i="2" a="1"/>
  <c r="BN92" i="2" a="1"/>
  <c r="BM91" i="2" a="1"/>
  <c r="BN91" i="2" a="1"/>
  <c r="BM90" i="2" a="1"/>
  <c r="BN90" i="2" a="1"/>
  <c r="BM89" i="2" a="1"/>
  <c r="BN89" i="2" a="1"/>
  <c r="BM88" i="2" a="1"/>
  <c r="BN88" i="2" a="1"/>
  <c r="BM87" i="2" a="1"/>
  <c r="BN87" i="2" a="1"/>
  <c r="BM86" i="2" a="1"/>
  <c r="BN86" i="2" a="1"/>
  <c r="BM85" i="2" a="1"/>
  <c r="BN85" i="2" a="1"/>
  <c r="BM84" i="2" a="1"/>
  <c r="BN84" i="2" a="1"/>
  <c r="BM83" i="2" a="1"/>
  <c r="BN83" i="2" a="1"/>
  <c r="BM82" i="2" a="1"/>
  <c r="BN82" i="2" a="1"/>
  <c r="BM81" i="2" a="1"/>
  <c r="BN81" i="2" a="1"/>
  <c r="BN80" i="2" a="1"/>
  <c r="BM80" i="2" a="1"/>
  <c r="BM79" i="2" a="1"/>
  <c r="BN79" i="2" a="1"/>
  <c r="BM78" i="2" a="1"/>
  <c r="BN78" i="2" a="1"/>
  <c r="BM77" i="2" a="1"/>
  <c r="BN77" i="2" a="1"/>
  <c r="BM76" i="2" a="1"/>
  <c r="BN76" i="2" a="1"/>
  <c r="BN75" i="2" a="1"/>
  <c r="BM75" i="2" a="1"/>
  <c r="BN74" i="2" a="1"/>
  <c r="BM74" i="2" a="1"/>
  <c r="BN73" i="2" a="1"/>
  <c r="BM73" i="2" a="1"/>
  <c r="BM72" i="2" a="1"/>
  <c r="BN72" i="2" a="1"/>
  <c r="BM71" i="2" a="1"/>
  <c r="BN71" i="2" a="1"/>
  <c r="BM70" i="2" a="1"/>
  <c r="BM68" i="2" a="1"/>
  <c r="BM67" i="2" a="1"/>
  <c r="BN66" i="2" a="1"/>
  <c r="BM64" i="2" a="1"/>
  <c r="BN63" i="2" a="1"/>
  <c r="BN61" i="2" a="1"/>
  <c r="BN60" i="2" a="1"/>
  <c r="BM58" i="2" a="1"/>
  <c r="BN57" i="2" a="1"/>
  <c r="BN41" i="2" a="1"/>
  <c r="BN40" i="2" a="1"/>
  <c r="BM38" i="2" a="1"/>
  <c r="BM37" i="2" a="1"/>
  <c r="BN36" i="2" a="1"/>
  <c r="BM34" i="2" a="1"/>
  <c r="BM33" i="2" a="1"/>
  <c r="BN32" i="2" a="1"/>
  <c r="BN27" i="2" a="1"/>
  <c r="BN24" i="2" a="1"/>
  <c r="BM22" i="2" a="1"/>
  <c r="BN21" i="2" a="1"/>
  <c r="BM19" i="2" a="1"/>
  <c r="BN18" i="2" a="1"/>
  <c r="BM16" i="2" a="1"/>
  <c r="BN15" i="2" a="1"/>
  <c r="BN14" i="2" a="1"/>
  <c r="BM12" i="2" a="1"/>
  <c r="BN11" i="2" a="1"/>
  <c r="BN9" i="2" a="1"/>
  <c r="BZ8" i="2"/>
  <c r="BM62" i="2" a="1"/>
  <c r="M29" i="2"/>
  <c r="M17" i="2"/>
  <c r="M12" i="2"/>
  <c r="BZ9" i="2"/>
  <c r="BK100" i="2" a="1"/>
  <c r="BM104" i="2" a="1"/>
  <c r="BN104" i="2" a="1"/>
  <c r="BM103" i="2" a="1"/>
  <c r="BN103" i="2" a="1"/>
  <c r="BM102" i="2" a="1"/>
  <c r="BN102" i="2" a="1"/>
  <c r="BM101" i="2" a="1"/>
  <c r="BN101" i="2" a="1"/>
  <c r="BM100" i="2" a="1"/>
  <c r="BN100" i="2" a="1"/>
  <c r="BM99" i="2" a="1"/>
  <c r="BN99" i="2" a="1"/>
  <c r="BM98" i="2" a="1"/>
  <c r="BN98" i="2" a="1"/>
  <c r="BM97" i="2" a="1"/>
  <c r="BN97" i="2" a="1"/>
  <c r="BM96" i="2" a="1"/>
  <c r="BN96" i="2" a="1"/>
  <c r="BM95" i="2" a="1"/>
  <c r="BN95" i="2" a="1"/>
  <c r="BM94" i="2" a="1"/>
  <c r="BN94" i="2" a="1"/>
  <c r="BN56" i="2" a="1"/>
  <c r="BM55" i="2" a="1"/>
  <c r="BN55" i="2" a="1"/>
  <c r="BM54" i="2" a="1"/>
  <c r="BN54" i="2" a="1"/>
  <c r="BM53" i="2" a="1"/>
  <c r="BN53" i="2" a="1"/>
  <c r="BM52" i="2" a="1"/>
  <c r="BN52" i="2" a="1"/>
  <c r="BM51" i="2" a="1"/>
  <c r="BN51" i="2" a="1"/>
  <c r="BM50" i="2" a="1"/>
  <c r="BN50" i="2" a="1"/>
  <c r="BM49" i="2" a="1"/>
  <c r="BN49" i="2" a="1"/>
  <c r="BM48" i="2" a="1"/>
  <c r="BN48" i="2" a="1"/>
  <c r="BM47" i="2" a="1"/>
  <c r="BN47" i="2" a="1"/>
  <c r="BM46" i="2" a="1"/>
  <c r="BN46" i="2" a="1"/>
  <c r="BM45" i="2" a="1"/>
  <c r="BN45" i="2" a="1"/>
  <c r="BM44" i="2" a="1"/>
  <c r="BN44" i="2" a="1"/>
  <c r="BM43" i="2" a="1"/>
  <c r="BN43" i="2" a="1"/>
  <c r="BM42" i="2" a="1"/>
  <c r="BN42" i="2" a="1"/>
  <c r="J5" i="3" a="1"/>
  <c r="M5" i="3" a="1"/>
  <c r="E5" i="3" a="1"/>
  <c r="F5" i="3" a="1"/>
  <c r="G5" i="3" a="1"/>
  <c r="H5" i="3" a="1"/>
  <c r="L5" i="3" a="1"/>
  <c r="K5" i="3" a="1"/>
  <c r="I5" i="3" a="1"/>
  <c r="D5" i="3" a="1"/>
  <c r="C5" i="3" a="1"/>
  <c r="B5" i="3" a="1"/>
  <c r="E9" i="2" a="1"/>
  <c r="K9" i="2" a="1"/>
  <c r="D9" i="2" a="1"/>
  <c r="M9" i="2" a="1"/>
  <c r="C9" i="2" a="1"/>
  <c r="L9" i="2" a="1"/>
  <c r="B9" i="2" a="1"/>
  <c r="I9" i="2" a="1"/>
  <c r="H9" i="2" a="1"/>
  <c r="F9" i="2" a="1"/>
  <c r="J9" i="2" a="1"/>
  <c r="G9" i="2" a="1"/>
  <c r="BP123" i="2"/>
  <c r="BO123" i="2" s="1" a="1"/>
  <c r="D14" i="2" a="1"/>
  <c r="R4" i="2" a="1"/>
  <c r="P14" i="2" a="1"/>
  <c r="C14" i="2" a="1"/>
  <c r="D14" i="16" l="1"/>
  <c r="D46" i="16"/>
  <c r="R46" i="16" s="1" a="1"/>
  <c r="T46" i="16"/>
  <c r="D24" i="16"/>
  <c r="T90" i="16"/>
  <c r="AK41" i="16"/>
  <c r="BM22" i="16"/>
  <c r="D13" i="16"/>
  <c r="R13" i="16" s="1" a="1"/>
  <c r="BM20" i="16"/>
  <c r="D30" i="16"/>
  <c r="T113" i="16"/>
  <c r="D15" i="16"/>
  <c r="T53" i="16"/>
  <c r="AH53" i="16" s="1" a="1"/>
  <c r="D104" i="16"/>
  <c r="T104" i="16"/>
  <c r="D64" i="16"/>
  <c r="T64" i="16"/>
  <c r="D72" i="16"/>
  <c r="R72" i="16" s="1" a="1"/>
  <c r="T72" i="16"/>
  <c r="AH72" i="16" s="1" a="1"/>
  <c r="D74" i="16"/>
  <c r="R74" i="16" s="1" a="1"/>
  <c r="T74" i="16"/>
  <c r="AH74" i="16" s="1" a="1"/>
  <c r="D101" i="16"/>
  <c r="R101" i="16" s="1" a="1"/>
  <c r="T101" i="16"/>
  <c r="AH101" i="16" s="1" a="1"/>
  <c r="BM21" i="16"/>
  <c r="BM19" i="16"/>
  <c r="AY26" i="16"/>
  <c r="T26" i="16" s="1"/>
  <c r="D105" i="16"/>
  <c r="R105" i="16" s="1" a="1"/>
  <c r="AY17" i="16"/>
  <c r="T17" i="16" s="1"/>
  <c r="D55" i="16"/>
  <c r="R55" i="16" s="1" a="1"/>
  <c r="AY12" i="16"/>
  <c r="T12" i="16" s="1"/>
  <c r="D12" i="16"/>
  <c r="D109" i="16"/>
  <c r="R109" i="16" s="1" a="1"/>
  <c r="T109" i="16"/>
  <c r="AH109" i="16" s="1" a="1"/>
  <c r="T63" i="16"/>
  <c r="AH63" i="16" s="1" a="1"/>
  <c r="D63" i="16"/>
  <c r="R63" i="16" s="1" a="1"/>
  <c r="D86" i="16"/>
  <c r="R86" i="16" s="1" a="1"/>
  <c r="T86" i="16"/>
  <c r="AH86" i="16" s="1" a="1"/>
  <c r="D89" i="16"/>
  <c r="R89" i="16" s="1" a="1"/>
  <c r="T89" i="16"/>
  <c r="AH89" i="16" s="1" a="1"/>
  <c r="T57" i="16"/>
  <c r="AH57" i="16" s="1" a="1"/>
  <c r="D57" i="16"/>
  <c r="R57" i="16" s="1" a="1"/>
  <c r="T106" i="16"/>
  <c r="AH106" i="16" s="1" a="1"/>
  <c r="D27" i="16"/>
  <c r="R27" i="16" s="1" a="1"/>
  <c r="AY27" i="16"/>
  <c r="T27" i="16" s="1"/>
  <c r="D106" i="16"/>
  <c r="R106" i="16" s="1" a="1"/>
  <c r="D20" i="16"/>
  <c r="AY20" i="16"/>
  <c r="D85" i="16"/>
  <c r="R85" i="16" s="1" a="1"/>
  <c r="T85" i="16"/>
  <c r="AH85" i="16" s="1" a="1"/>
  <c r="D102" i="16"/>
  <c r="R102" i="16" s="1" a="1"/>
  <c r="T102" i="16"/>
  <c r="AH102" i="16" s="1" a="1"/>
  <c r="AB24" i="16"/>
  <c r="AB111" i="16"/>
  <c r="BU29" i="16"/>
  <c r="D65" i="16"/>
  <c r="R65" i="16" s="1" a="1"/>
  <c r="T65" i="16"/>
  <c r="AH65" i="16" s="1" a="1"/>
  <c r="AY14" i="16"/>
  <c r="T14" i="16" s="1"/>
  <c r="D52" i="16"/>
  <c r="R52" i="16" s="1" a="1"/>
  <c r="D94" i="16"/>
  <c r="R94" i="16" s="1" a="1"/>
  <c r="T94" i="16"/>
  <c r="AH94" i="16" s="1" a="1"/>
  <c r="D87" i="16"/>
  <c r="R87" i="16" s="1" a="1"/>
  <c r="T87" i="16"/>
  <c r="AH87" i="16" s="1" a="1"/>
  <c r="D79" i="16"/>
  <c r="R79" i="16" s="1" a="1"/>
  <c r="T79" i="16"/>
  <c r="AH79" i="16" s="1" a="1"/>
  <c r="T47" i="16"/>
  <c r="AH47" i="16" s="1" a="1"/>
  <c r="D11" i="16"/>
  <c r="T98" i="16"/>
  <c r="AH98" i="16" s="1" a="1"/>
  <c r="D51" i="16"/>
  <c r="R51" i="16" s="1" a="1"/>
  <c r="T51" i="16"/>
  <c r="AH51" i="16" s="1" a="1"/>
  <c r="D80" i="16"/>
  <c r="R80" i="16" s="1" a="1"/>
  <c r="T80" i="16"/>
  <c r="AH80" i="16" s="1" a="1"/>
  <c r="D81" i="16"/>
  <c r="R81" i="16" s="1" a="1"/>
  <c r="T81" i="16"/>
  <c r="AH81" i="16" s="1" a="1"/>
  <c r="D73" i="16"/>
  <c r="R73" i="16" s="1" a="1"/>
  <c r="T73" i="16"/>
  <c r="AH73" i="16" s="1" a="1"/>
  <c r="D82" i="16"/>
  <c r="R82" i="16" s="1" a="1"/>
  <c r="T82" i="16"/>
  <c r="AH82" i="16" s="1" a="1"/>
  <c r="D49" i="16"/>
  <c r="R49" i="16" s="1" a="1"/>
  <c r="T49" i="16"/>
  <c r="AH49" i="16" s="1" a="1"/>
  <c r="D77" i="16"/>
  <c r="R77" i="16" s="1" a="1"/>
  <c r="T77" i="16"/>
  <c r="AH77" i="16" s="1" a="1"/>
  <c r="D93" i="16"/>
  <c r="R93" i="16" s="1" a="1"/>
  <c r="T93" i="16"/>
  <c r="AH93" i="16" s="1" a="1"/>
  <c r="D59" i="16"/>
  <c r="R59" i="16" s="1" a="1"/>
  <c r="T59" i="16"/>
  <c r="AH59" i="16" s="1" a="1"/>
  <c r="D60" i="16"/>
  <c r="R60" i="16" s="1" a="1"/>
  <c r="T60" i="16"/>
  <c r="AH60" i="16" s="1" a="1"/>
  <c r="D107" i="16"/>
  <c r="R107" i="16" s="1" a="1"/>
  <c r="T107" i="16"/>
  <c r="AH107" i="16" s="1" a="1"/>
  <c r="D48" i="16"/>
  <c r="R48" i="16" s="1" a="1"/>
  <c r="T48" i="16"/>
  <c r="AH48" i="16" s="1" a="1"/>
  <c r="D112" i="16"/>
  <c r="R112" i="16" s="1" a="1"/>
  <c r="T112" i="16"/>
  <c r="AH112" i="16" s="1" a="1"/>
  <c r="D91" i="16"/>
  <c r="R91" i="16" s="1" a="1"/>
  <c r="T91" i="16"/>
  <c r="AH91" i="16" s="1" a="1"/>
  <c r="D56" i="16"/>
  <c r="R56" i="16" s="1" a="1"/>
  <c r="T56" i="16"/>
  <c r="AH56" i="16" s="1" a="1"/>
  <c r="AH105" i="16" a="1"/>
  <c r="AH113" i="16" a="1"/>
  <c r="BM18" i="16"/>
  <c r="BM25" i="16"/>
  <c r="BM23" i="16"/>
  <c r="BM29" i="16"/>
  <c r="D47" i="16"/>
  <c r="R47" i="16" s="1" a="1"/>
  <c r="AY11" i="16"/>
  <c r="T11" i="16" s="1"/>
  <c r="AB22" i="16"/>
  <c r="AB23" i="16"/>
  <c r="AH90" i="16" a="1"/>
  <c r="D90" i="16"/>
  <c r="R90" i="16" s="1" a="1"/>
  <c r="AY24" i="16"/>
  <c r="T24" i="16" s="1"/>
  <c r="AY30" i="16"/>
  <c r="T30" i="16" s="1"/>
  <c r="D113" i="16"/>
  <c r="R113" i="16" s="1" a="1"/>
  <c r="T70" i="16"/>
  <c r="AH70" i="16" s="1" a="1"/>
  <c r="D70" i="16"/>
  <c r="R70" i="16" s="1" a="1"/>
  <c r="D66" i="16"/>
  <c r="R66" i="16" s="1" a="1"/>
  <c r="T66" i="16"/>
  <c r="AH66" i="16" s="1" a="1"/>
  <c r="T103" i="16"/>
  <c r="AH103" i="16" s="1" a="1"/>
  <c r="D103" i="16"/>
  <c r="R103" i="16" s="1" a="1"/>
  <c r="D61" i="16"/>
  <c r="R61" i="16" s="1" a="1"/>
  <c r="T61" i="16"/>
  <c r="AH61" i="16" s="1" a="1"/>
  <c r="AY15" i="16"/>
  <c r="T15" i="16" s="1"/>
  <c r="D53" i="16"/>
  <c r="R53" i="16" s="1" a="1"/>
  <c r="D97" i="16"/>
  <c r="R97" i="16" s="1" a="1"/>
  <c r="T97" i="16"/>
  <c r="AH97" i="16" s="1" a="1"/>
  <c r="T78" i="16"/>
  <c r="AH78" i="16" s="1" a="1"/>
  <c r="D22" i="16"/>
  <c r="AY22" i="16"/>
  <c r="T22" i="16" s="1"/>
  <c r="D78" i="16"/>
  <c r="R78" i="16" s="1" a="1"/>
  <c r="T100" i="16"/>
  <c r="AH100" i="16" s="1" a="1"/>
  <c r="D100" i="16"/>
  <c r="R100" i="16" s="1" a="1"/>
  <c r="T110" i="16"/>
  <c r="AH110" i="16" s="1" a="1"/>
  <c r="D29" i="16"/>
  <c r="AY29" i="16"/>
  <c r="D110" i="16"/>
  <c r="R110" i="16" s="1" a="1"/>
  <c r="T58" i="16"/>
  <c r="AH58" i="16" s="1" a="1"/>
  <c r="AY18" i="16"/>
  <c r="D18" i="16"/>
  <c r="D58" i="16"/>
  <c r="R58" i="16" s="1" a="1"/>
  <c r="T111" i="16"/>
  <c r="AH111" i="16" s="1" a="1"/>
  <c r="D111" i="16"/>
  <c r="R111" i="16" s="1" a="1"/>
  <c r="D68" i="16"/>
  <c r="R68" i="16" s="1" a="1"/>
  <c r="T68" i="16"/>
  <c r="AH68" i="16" s="1" a="1"/>
  <c r="D76" i="16"/>
  <c r="R76" i="16" s="1" a="1"/>
  <c r="T76" i="16"/>
  <c r="AH76" i="16" s="1" a="1"/>
  <c r="AY13" i="16"/>
  <c r="D50" i="16"/>
  <c r="R50" i="16" s="1" a="1"/>
  <c r="D41" i="16"/>
  <c r="T50" i="16"/>
  <c r="AH50" i="16" s="1" a="1"/>
  <c r="BM13" i="16"/>
  <c r="T108" i="16"/>
  <c r="AH108" i="16" s="1" a="1"/>
  <c r="D28" i="16"/>
  <c r="AY28" i="16"/>
  <c r="T28" i="16" s="1"/>
  <c r="D108" i="16"/>
  <c r="R108" i="16" s="1" a="1"/>
  <c r="D95" i="16"/>
  <c r="R95" i="16" s="1" a="1"/>
  <c r="T95" i="16"/>
  <c r="AH95" i="16" s="1" a="1"/>
  <c r="D84" i="16"/>
  <c r="R84" i="16" s="1" a="1"/>
  <c r="T84" i="16"/>
  <c r="AH84" i="16" s="1" a="1"/>
  <c r="D67" i="16"/>
  <c r="R67" i="16" s="1" a="1"/>
  <c r="T67" i="16"/>
  <c r="AH67" i="16" s="1" a="1"/>
  <c r="T71" i="16"/>
  <c r="AH71" i="16" s="1" a="1"/>
  <c r="D71" i="16"/>
  <c r="R71" i="16" s="1" a="1"/>
  <c r="D21" i="16"/>
  <c r="AY21" i="16"/>
  <c r="T75" i="16"/>
  <c r="AH75" i="16" s="1" a="1"/>
  <c r="D75" i="16"/>
  <c r="R75" i="16" s="1" a="1"/>
  <c r="AY25" i="16"/>
  <c r="T92" i="16"/>
  <c r="AH92" i="16" s="1" a="1"/>
  <c r="D92" i="16"/>
  <c r="R92" i="16" s="1" a="1"/>
  <c r="D25" i="16"/>
  <c r="D83" i="16"/>
  <c r="R83" i="16" s="1" a="1"/>
  <c r="T83" i="16"/>
  <c r="AH83" i="16" s="1" a="1"/>
  <c r="AY23" i="16"/>
  <c r="D23" i="16"/>
  <c r="D19" i="16"/>
  <c r="AY19" i="16"/>
  <c r="T19" i="16" s="1"/>
  <c r="T69" i="16"/>
  <c r="AH69" i="16" s="1" a="1"/>
  <c r="D69" i="16"/>
  <c r="R69" i="16" s="1" a="1"/>
  <c r="D62" i="16"/>
  <c r="R62" i="16" s="1" a="1"/>
  <c r="T62" i="16"/>
  <c r="AH62" i="16" s="1" a="1"/>
  <c r="T54" i="16"/>
  <c r="AH54" i="16" s="1" a="1"/>
  <c r="D16" i="16"/>
  <c r="AY16" i="16"/>
  <c r="T16" i="16" s="1"/>
  <c r="D54" i="16"/>
  <c r="R54" i="16" s="1" a="1"/>
  <c r="D88" i="16"/>
  <c r="R88" i="16" s="1" a="1"/>
  <c r="T88" i="16"/>
  <c r="AH88" i="16" s="1" a="1"/>
  <c r="D96" i="16"/>
  <c r="R96" i="16" s="1" a="1"/>
  <c r="T96" i="16"/>
  <c r="AH96" i="16" s="1" a="1"/>
  <c r="D99" i="16"/>
  <c r="R99" i="16" s="1" a="1"/>
  <c r="T99" i="16"/>
  <c r="AH99" i="16" s="1" a="1"/>
  <c r="Z12" i="16"/>
  <c r="W12" i="16"/>
  <c r="AB18" i="16"/>
  <c r="AB20" i="16"/>
  <c r="AB19" i="16"/>
  <c r="AB21" i="16"/>
  <c r="AB12" i="16"/>
  <c r="G617" i="12"/>
  <c r="G619" i="12"/>
  <c r="G618" i="12"/>
  <c r="G616" i="12"/>
  <c r="F617" i="12"/>
  <c r="AC617" i="12" s="1"/>
  <c r="F619" i="12"/>
  <c r="AC619" i="12" s="1"/>
  <c r="F616" i="12"/>
  <c r="F618" i="12"/>
  <c r="AB25" i="16"/>
  <c r="AH46" i="16" a="1"/>
  <c r="BG41" i="16"/>
  <c r="AB11" i="16"/>
  <c r="F40" i="3" a="1"/>
  <c r="F38" i="3" a="1"/>
  <c r="F39" i="3" a="1"/>
  <c r="R119" i="3" a="1"/>
  <c r="Q119" i="3" a="1"/>
  <c r="P119" i="3" a="1"/>
  <c r="R98" i="16" a="1"/>
  <c r="X11" i="16"/>
  <c r="V12" i="16"/>
  <c r="U11" i="16"/>
  <c r="AA11" i="16"/>
  <c r="Y11" i="16"/>
  <c r="R104" i="16" a="1"/>
  <c r="AH104" i="16" a="1"/>
  <c r="R64" i="16" a="1"/>
  <c r="AH64" i="16" a="1"/>
  <c r="AA20" i="16"/>
  <c r="X14" i="16"/>
  <c r="Y14" i="16"/>
  <c r="Y20" i="16"/>
  <c r="Y26" i="16"/>
  <c r="Z30" i="16"/>
  <c r="Z24" i="16"/>
  <c r="Z29" i="16"/>
  <c r="X12" i="16"/>
  <c r="X30" i="16"/>
  <c r="AA30" i="16"/>
  <c r="Y30" i="16"/>
  <c r="Z13" i="16"/>
  <c r="Z20" i="16"/>
  <c r="Z21" i="16"/>
  <c r="V18" i="16"/>
  <c r="U20" i="16"/>
  <c r="Z18" i="16"/>
  <c r="Z28" i="16"/>
  <c r="V29" i="16"/>
  <c r="V19" i="16"/>
  <c r="U18" i="16"/>
  <c r="W20" i="16"/>
  <c r="W13" i="16"/>
  <c r="W19" i="16"/>
  <c r="W23" i="16"/>
  <c r="AA25" i="16"/>
  <c r="X28" i="16"/>
  <c r="X18" i="16"/>
  <c r="X23" i="16"/>
  <c r="X29" i="16"/>
  <c r="X19" i="16"/>
  <c r="U19" i="16"/>
  <c r="Y25" i="16"/>
  <c r="Y22" i="16"/>
  <c r="Y23" i="16"/>
  <c r="Y19" i="16"/>
  <c r="Y13" i="16"/>
  <c r="X22" i="16"/>
  <c r="U28" i="16"/>
  <c r="X20" i="16"/>
  <c r="AA29" i="16"/>
  <c r="V21" i="16"/>
  <c r="W29" i="16"/>
  <c r="X25" i="16"/>
  <c r="AA22" i="16"/>
  <c r="U23" i="16"/>
  <c r="AA18" i="16"/>
  <c r="Y18" i="16"/>
  <c r="W25" i="16"/>
  <c r="W18" i="16"/>
  <c r="U25" i="16"/>
  <c r="AA28" i="16"/>
  <c r="Z22" i="16"/>
  <c r="V22" i="16"/>
  <c r="U13" i="16"/>
  <c r="AA23" i="16"/>
  <c r="Z25" i="16"/>
  <c r="Z19" i="16"/>
  <c r="Z23" i="16"/>
  <c r="V20" i="16"/>
  <c r="V25" i="16"/>
  <c r="U22" i="16"/>
  <c r="Z17" i="16"/>
  <c r="Z16" i="16"/>
  <c r="Z26" i="16"/>
  <c r="Z14" i="16"/>
  <c r="Z15" i="16"/>
  <c r="V14" i="16"/>
  <c r="V24" i="16"/>
  <c r="V13" i="16"/>
  <c r="V28" i="16"/>
  <c r="V30" i="16"/>
  <c r="V27" i="16"/>
  <c r="V26" i="16"/>
  <c r="V17" i="16"/>
  <c r="V16" i="16"/>
  <c r="V23" i="16"/>
  <c r="V15" i="16"/>
  <c r="W14" i="16"/>
  <c r="W16" i="16"/>
  <c r="W24" i="16"/>
  <c r="W21" i="16"/>
  <c r="W17" i="16"/>
  <c r="W30" i="16"/>
  <c r="W26" i="16"/>
  <c r="W27" i="16"/>
  <c r="W15" i="16"/>
  <c r="W22" i="16"/>
  <c r="W28" i="16"/>
  <c r="X17" i="16"/>
  <c r="X27" i="16"/>
  <c r="X13" i="16"/>
  <c r="X15" i="16"/>
  <c r="X21" i="16"/>
  <c r="X24" i="16"/>
  <c r="X16" i="16"/>
  <c r="X26" i="16"/>
  <c r="U16" i="16"/>
  <c r="U27" i="16"/>
  <c r="U26" i="16"/>
  <c r="U29" i="16"/>
  <c r="U14" i="16"/>
  <c r="U12" i="16"/>
  <c r="U15" i="16"/>
  <c r="U24" i="16"/>
  <c r="U30" i="16"/>
  <c r="U21" i="16"/>
  <c r="U17" i="16"/>
  <c r="AA12" i="16"/>
  <c r="AA27" i="16"/>
  <c r="AA17" i="16"/>
  <c r="AA14" i="16"/>
  <c r="AA24" i="16"/>
  <c r="AA15" i="16"/>
  <c r="AA16" i="16"/>
  <c r="AA13" i="16"/>
  <c r="AA19" i="16"/>
  <c r="AA21" i="16"/>
  <c r="Y21" i="16"/>
  <c r="Y17" i="16"/>
  <c r="Y28" i="16"/>
  <c r="Y29" i="16"/>
  <c r="Y12" i="16"/>
  <c r="Y24" i="16"/>
  <c r="Y15" i="16"/>
  <c r="Y16" i="16"/>
  <c r="R17" i="16" a="1"/>
  <c r="Z11" i="16"/>
  <c r="V11" i="16"/>
  <c r="W11" i="16"/>
  <c r="AH52" i="16" a="1"/>
  <c r="BQ41" i="16"/>
  <c r="BA41" i="16"/>
  <c r="BC41" i="16"/>
  <c r="BS41" i="16"/>
  <c r="BE41" i="16"/>
  <c r="BB41" i="16"/>
  <c r="BO41" i="16"/>
  <c r="BP41" i="16"/>
  <c r="BN41" i="16"/>
  <c r="BT41" i="16"/>
  <c r="BR41" i="16"/>
  <c r="AZ41" i="16"/>
  <c r="BF41" i="16"/>
  <c r="BD41" i="16"/>
  <c r="AH55" i="16" a="1"/>
  <c r="A45" i="13" a="1"/>
  <c r="A54" i="13" a="1"/>
  <c r="A62" i="13" a="1"/>
  <c r="A66" i="13" a="1"/>
  <c r="A34" i="13" a="1"/>
  <c r="A42" i="13" a="1"/>
  <c r="A50" i="13" a="1"/>
  <c r="A41" i="13" a="1"/>
  <c r="A67" i="13" a="1"/>
  <c r="A31" i="13" a="1"/>
  <c r="A39" i="13" a="1"/>
  <c r="A46" i="13" a="1"/>
  <c r="A64" i="13" a="1"/>
  <c r="A68" i="13" a="1"/>
  <c r="A32" i="13" a="1"/>
  <c r="A40" i="13" a="1"/>
  <c r="A52" i="13" a="1"/>
  <c r="A56" i="13" a="1"/>
  <c r="A69" i="13" a="1"/>
  <c r="A57" i="13" a="1"/>
  <c r="A33" i="13" a="1"/>
  <c r="A51" i="13" a="1"/>
  <c r="A60" i="13" a="1"/>
  <c r="A37" i="13" a="1"/>
  <c r="A47" i="13" a="1"/>
  <c r="A59" i="13" a="1"/>
  <c r="A38" i="13" a="1"/>
  <c r="A48" i="13" a="1"/>
  <c r="A61" i="13" a="1"/>
  <c r="A30" i="13" a="1"/>
  <c r="A43" i="13" a="1"/>
  <c r="A49" i="13" a="1"/>
  <c r="A55" i="13" a="1"/>
  <c r="A65" i="13" a="1"/>
  <c r="A36" i="13" a="1"/>
  <c r="A63" i="13" a="1"/>
  <c r="A35" i="13" a="1"/>
  <c r="J35" i="13" s="1"/>
  <c r="A44" i="13" a="1"/>
  <c r="A53" i="13" a="1"/>
  <c r="A58" i="13" a="1"/>
  <c r="H40" i="3" a="1"/>
  <c r="H39" i="3" a="1"/>
  <c r="H38" i="3" a="1"/>
  <c r="C38" i="3" a="1"/>
  <c r="C39" i="3" a="1"/>
  <c r="C40" i="3" a="1"/>
  <c r="R118" i="3" a="1"/>
  <c r="Q118" i="3" a="1"/>
  <c r="P118" i="3" a="1"/>
  <c r="R115" i="3" a="1"/>
  <c r="Q115" i="3" a="1"/>
  <c r="P115" i="3" a="1"/>
  <c r="D40" i="3" a="1"/>
  <c r="D38" i="3" a="1"/>
  <c r="D39" i="3" a="1"/>
  <c r="B38" i="3" a="1"/>
  <c r="B39" i="3" a="1"/>
  <c r="B40" i="3" a="1"/>
  <c r="Q116" i="3" a="1"/>
  <c r="P116" i="3" a="1"/>
  <c r="R116" i="3" a="1"/>
  <c r="E39" i="3" a="1"/>
  <c r="E38" i="3" a="1"/>
  <c r="E40" i="3" a="1"/>
  <c r="P117" i="3" a="1"/>
  <c r="R117" i="3" a="1"/>
  <c r="Q117" i="3" a="1"/>
  <c r="G40" i="3" a="1"/>
  <c r="G38" i="3" a="1"/>
  <c r="G39" i="3" a="1"/>
  <c r="G35" i="3" a="1"/>
  <c r="G36" i="3" s="1" a="1"/>
  <c r="D35" i="3" a="1"/>
  <c r="D36" i="3" s="1" a="1"/>
  <c r="F35" i="3" a="1"/>
  <c r="F36" i="3" s="1" a="1"/>
  <c r="B35" i="3" a="1"/>
  <c r="B36" i="3" s="1" a="1"/>
  <c r="H35" i="3" a="1"/>
  <c r="H36" i="3" s="1" a="1"/>
  <c r="C17" i="3" a="1"/>
  <c r="C18" i="3" a="1"/>
  <c r="I116" i="3" a="1"/>
  <c r="N117" i="3" a="1"/>
  <c r="G14" i="3" a="1"/>
  <c r="F118" i="3" a="1"/>
  <c r="N119" i="3" a="1"/>
  <c r="D14" i="3" a="1"/>
  <c r="G17" i="3" a="1"/>
  <c r="F18" i="3" a="1"/>
  <c r="E35" i="3" a="1"/>
  <c r="E36" i="3" s="1" a="1"/>
  <c r="N118" i="3" a="1"/>
  <c r="I119" i="3" a="1"/>
  <c r="F119" i="3" a="1"/>
  <c r="D17" i="3" a="1"/>
  <c r="H18" i="3" a="1"/>
  <c r="C14" i="3" a="1"/>
  <c r="E17" i="3" a="1"/>
  <c r="H17" i="3" a="1"/>
  <c r="E18" i="3" a="1"/>
  <c r="A61" i="3" a="1"/>
  <c r="I115" i="3" a="1"/>
  <c r="B14" i="3" a="1"/>
  <c r="E14" i="3" a="1"/>
  <c r="H14" i="3" a="1"/>
  <c r="F17" i="3" a="1"/>
  <c r="D18" i="3" a="1"/>
  <c r="C35" i="3" a="1"/>
  <c r="C36" i="3" s="1" a="1"/>
  <c r="F115" i="3" a="1"/>
  <c r="N116" i="3" a="1"/>
  <c r="F117" i="3" a="1"/>
  <c r="I118" i="3" a="1"/>
  <c r="A126" i="3" a="1"/>
  <c r="F14" i="3" a="1"/>
  <c r="B17" i="3" a="1"/>
  <c r="B18" i="3" a="1"/>
  <c r="G18" i="3" a="1"/>
  <c r="N115" i="3" a="1"/>
  <c r="F116" i="3" a="1"/>
  <c r="I117" i="3" a="1"/>
  <c r="A143" i="3" a="1"/>
  <c r="A79" i="3" a="1"/>
  <c r="V58" i="13"/>
  <c r="BP6" i="2"/>
  <c r="BO6" i="2" s="1" a="1"/>
  <c r="V54" i="13"/>
  <c r="B63" i="13"/>
  <c r="H63" i="13"/>
  <c r="J63" i="13"/>
  <c r="I63" i="13"/>
  <c r="C63" i="13"/>
  <c r="X70" i="13"/>
  <c r="Q12" i="13"/>
  <c r="V70" i="13"/>
  <c r="Q11" i="13"/>
  <c r="B11" i="13"/>
  <c r="B12" i="13"/>
  <c r="A24" i="13" a="1"/>
  <c r="V26" i="13" a="1"/>
  <c r="X26" i="13" a="1"/>
  <c r="W26" i="13" a="1"/>
  <c r="A20" i="13" a="1"/>
  <c r="A17" i="13" a="1"/>
  <c r="A23" i="13" a="1"/>
  <c r="A22" i="13" a="1"/>
  <c r="A25" i="13" a="1"/>
  <c r="A21" i="13" a="1"/>
  <c r="A16" i="13" a="1"/>
  <c r="A18" i="13" a="1"/>
  <c r="A19" i="13" a="1"/>
  <c r="BP34" i="2"/>
  <c r="BO34" i="2" s="1" a="1"/>
  <c r="BP86" i="2"/>
  <c r="BO86" i="2" s="1" a="1"/>
  <c r="BP87" i="2"/>
  <c r="BO87" i="2" s="1" a="1"/>
  <c r="BP100" i="2"/>
  <c r="BO100" i="2" s="1" a="1"/>
  <c r="BP104" i="2"/>
  <c r="BO104" i="2" s="1" a="1"/>
  <c r="BP103" i="2"/>
  <c r="BO103" i="2" s="1" a="1"/>
  <c r="BP101" i="2"/>
  <c r="BO101" i="2" s="1" a="1"/>
  <c r="BP99" i="2"/>
  <c r="BO99" i="2" s="1" a="1"/>
  <c r="BP95" i="2"/>
  <c r="BO95" i="2" s="1" a="1"/>
  <c r="BP55" i="2"/>
  <c r="BO55" i="2" s="1" a="1"/>
  <c r="BP52" i="2"/>
  <c r="BO52" i="2" s="1" a="1"/>
  <c r="BP50" i="2"/>
  <c r="BO50" i="2" s="1" a="1"/>
  <c r="BP49" i="2"/>
  <c r="BO49" i="2" s="1" a="1"/>
  <c r="BP48" i="2"/>
  <c r="BO48" i="2" s="1" a="1"/>
  <c r="BP46" i="2"/>
  <c r="BO46" i="2" s="1" a="1"/>
  <c r="BP44" i="2"/>
  <c r="BO44" i="2" s="1" a="1"/>
  <c r="BP42" i="2"/>
  <c r="BO42" i="2" s="1" a="1"/>
  <c r="BP109" i="2"/>
  <c r="BO109" i="2" s="1" a="1"/>
  <c r="BP85" i="2"/>
  <c r="BO85" i="2" s="1" a="1"/>
  <c r="BP92" i="2"/>
  <c r="BO92" i="2" s="1" a="1"/>
  <c r="BP64" i="2"/>
  <c r="BO64" i="2" s="1" a="1"/>
  <c r="BP61" i="2"/>
  <c r="BO61" i="2" s="1" a="1"/>
  <c r="BP62" i="2"/>
  <c r="BO62" i="2" s="1" a="1"/>
  <c r="BP82" i="2"/>
  <c r="BO82" i="2" s="1" a="1"/>
  <c r="BP40" i="2"/>
  <c r="BO40" i="2" s="1" a="1"/>
  <c r="BP110" i="2"/>
  <c r="BO110" i="2" s="1" a="1"/>
  <c r="BP36" i="2"/>
  <c r="BO36" i="2" s="1" a="1"/>
  <c r="BP119" i="2"/>
  <c r="BO119" i="2" s="1" a="1"/>
  <c r="BP117" i="2"/>
  <c r="BO117" i="2" s="1" a="1"/>
  <c r="BP78" i="2"/>
  <c r="BO78" i="2" s="1" a="1"/>
  <c r="BP90" i="2"/>
  <c r="BO90" i="2" s="1" a="1"/>
  <c r="BP84" i="2"/>
  <c r="BO84" i="2" s="1" a="1"/>
  <c r="BP51" i="2"/>
  <c r="BO51" i="2" s="1" a="1"/>
  <c r="BP76" i="2"/>
  <c r="BO76" i="2" s="1" a="1"/>
  <c r="BP68" i="2"/>
  <c r="BO68" i="2" s="1" a="1"/>
  <c r="BP9" i="2"/>
  <c r="BO9" i="2" s="1" a="1"/>
  <c r="BP47" i="2"/>
  <c r="BO47" i="2" s="1" a="1"/>
  <c r="BP23" i="2"/>
  <c r="BO23" i="2" s="1" a="1"/>
  <c r="BP17" i="2"/>
  <c r="BO17" i="2" s="1" a="1"/>
  <c r="BP14" i="2"/>
  <c r="BO14" i="2" s="1" a="1"/>
  <c r="BP11" i="2"/>
  <c r="BO11" i="2" s="1" a="1"/>
  <c r="BP120" i="2"/>
  <c r="BO120" i="2" s="1" a="1"/>
  <c r="BP91" i="2"/>
  <c r="BO91" i="2" s="1" a="1"/>
  <c r="BP93" i="2"/>
  <c r="BO93" i="2" s="1" a="1"/>
  <c r="BP58" i="2"/>
  <c r="BO58" i="2" s="1" a="1"/>
  <c r="BP35" i="2"/>
  <c r="BO35" i="2" s="1" a="1"/>
  <c r="BP97" i="2"/>
  <c r="BO97" i="2" s="1" a="1"/>
  <c r="BP94" i="2"/>
  <c r="BO94" i="2" s="1" a="1"/>
  <c r="BP33" i="2"/>
  <c r="BO33" i="2" s="1" a="1"/>
  <c r="BP7" i="2"/>
  <c r="BO7" i="2" s="1" a="1"/>
  <c r="BP112" i="2"/>
  <c r="BO112" i="2" s="1" a="1"/>
  <c r="BP10" i="2"/>
  <c r="BO10" i="2" s="1" a="1"/>
  <c r="BP54" i="2"/>
  <c r="BO54" i="2" s="1" a="1"/>
  <c r="BP53" i="2"/>
  <c r="BO53" i="2" s="1" a="1"/>
  <c r="BP74" i="2"/>
  <c r="BO74" i="2" s="1" a="1"/>
  <c r="BP80" i="2"/>
  <c r="BO80" i="2" s="1" a="1"/>
  <c r="BP15" i="2"/>
  <c r="BO15" i="2" s="1" a="1"/>
  <c r="BP39" i="2"/>
  <c r="BO39" i="2" s="1" a="1"/>
  <c r="BP79" i="2"/>
  <c r="BO79" i="2" s="1" a="1"/>
  <c r="BP67" i="2"/>
  <c r="BO67" i="2" s="1" a="1"/>
  <c r="BP22" i="2"/>
  <c r="BO22" i="2" s="1" a="1"/>
  <c r="BP5" i="2"/>
  <c r="BO5" i="2" s="1" a="1"/>
  <c r="BP41" i="2"/>
  <c r="BO41" i="2" s="1" a="1"/>
  <c r="BP16" i="2"/>
  <c r="BO16" i="2" s="1" a="1"/>
  <c r="BP116" i="2"/>
  <c r="BO116" i="2" s="1" a="1"/>
  <c r="BP59" i="2"/>
  <c r="BO59" i="2" s="1" a="1"/>
  <c r="BP29" i="2"/>
  <c r="BO29" i="2" s="1" a="1"/>
  <c r="BP24" i="2"/>
  <c r="BO24" i="2" s="1" a="1"/>
  <c r="BP43" i="2"/>
  <c r="BO43" i="2" s="1" a="1"/>
  <c r="BP30" i="2"/>
  <c r="BO30" i="2" s="1" a="1"/>
  <c r="BP71" i="2"/>
  <c r="BO71" i="2" s="1" a="1"/>
  <c r="BP83" i="2"/>
  <c r="BO83" i="2" s="1" a="1"/>
  <c r="BP81" i="2"/>
  <c r="BO81" i="2" s="1" a="1"/>
  <c r="BP70" i="2"/>
  <c r="BO70" i="2" s="1" a="1"/>
  <c r="BP63" i="2"/>
  <c r="BO63" i="2" s="1" a="1"/>
  <c r="BP115" i="2"/>
  <c r="BO115" i="2" s="1" a="1"/>
  <c r="BP72" i="2"/>
  <c r="BO72" i="2" s="1" a="1"/>
  <c r="BP111" i="2"/>
  <c r="BO111" i="2" s="1" a="1"/>
  <c r="BP60" i="2"/>
  <c r="BO60" i="2" s="1" a="1"/>
  <c r="BP32" i="2"/>
  <c r="BO32" i="2" s="1" a="1"/>
  <c r="BP45" i="2"/>
  <c r="BO45" i="2" s="1" a="1"/>
  <c r="BP107" i="2"/>
  <c r="BO107" i="2" s="1" a="1"/>
  <c r="BP57" i="2"/>
  <c r="BO57" i="2" s="1" a="1"/>
  <c r="BP102" i="2"/>
  <c r="BO102" i="2" s="1" a="1"/>
  <c r="BP88" i="2"/>
  <c r="BO88" i="2" s="1" a="1"/>
  <c r="BP77" i="2"/>
  <c r="BO77" i="2" s="1" a="1"/>
  <c r="BP118" i="2"/>
  <c r="BO118" i="2" s="1" a="1"/>
  <c r="BP114" i="2"/>
  <c r="BO114" i="2" s="1" a="1"/>
  <c r="BP106" i="2"/>
  <c r="BO106" i="2" s="1" a="1"/>
  <c r="BP38" i="2"/>
  <c r="BO38" i="2" s="1" a="1"/>
  <c r="BP66" i="2"/>
  <c r="BO66" i="2" s="1" a="1"/>
  <c r="BP121" i="2"/>
  <c r="BO121" i="2" s="1" a="1"/>
  <c r="BP56" i="2"/>
  <c r="BO56" i="2" s="1" a="1"/>
  <c r="BP21" i="2"/>
  <c r="BO21" i="2" s="1" a="1"/>
  <c r="BP108" i="2"/>
  <c r="BO108" i="2" s="1" a="1"/>
  <c r="BP37" i="2"/>
  <c r="BO37" i="2" s="1" a="1"/>
  <c r="BP73" i="2"/>
  <c r="BO73" i="2" s="1" a="1"/>
  <c r="BP28" i="2"/>
  <c r="BO28" i="2" s="1" a="1"/>
  <c r="BP8" i="2"/>
  <c r="BO8" i="2" s="1" a="1"/>
  <c r="BP26" i="2"/>
  <c r="BO26" i="2" s="1" a="1"/>
  <c r="BP19" i="2"/>
  <c r="BO19" i="2" s="1" a="1"/>
  <c r="BP13" i="2"/>
  <c r="BO13" i="2" s="1" a="1"/>
  <c r="BP69" i="2"/>
  <c r="BO69" i="2" s="1" a="1"/>
  <c r="BP113" i="2"/>
  <c r="BO113" i="2" s="1" a="1"/>
  <c r="BP122" i="2"/>
  <c r="BO122" i="2" s="1" a="1"/>
  <c r="BP105" i="2"/>
  <c r="BO105" i="2" s="1" a="1"/>
  <c r="BP27" i="2"/>
  <c r="BO27" i="2" s="1" a="1"/>
  <c r="BP89" i="2"/>
  <c r="BO89" i="2" s="1" a="1"/>
  <c r="BP98" i="2"/>
  <c r="BO98" i="2" s="1" a="1"/>
  <c r="BP75" i="2"/>
  <c r="BO75" i="2" s="1" a="1"/>
  <c r="BP65" i="2"/>
  <c r="BO65" i="2" s="1" a="1"/>
  <c r="BP31" i="2"/>
  <c r="BO31" i="2" s="1" a="1"/>
  <c r="BP20" i="2"/>
  <c r="BO20" i="2" s="1" a="1"/>
  <c r="BP18" i="2"/>
  <c r="BO18" i="2" s="1" a="1"/>
  <c r="BP12" i="2"/>
  <c r="BO12" i="2" s="1" a="1"/>
  <c r="BP96" i="2"/>
  <c r="BO96" i="2" s="1" a="1"/>
  <c r="BP25" i="2"/>
  <c r="BO25" i="2" s="1" a="1"/>
  <c r="N8" i="2"/>
  <c r="T20" i="16" l="1"/>
  <c r="T25" i="16"/>
  <c r="T21" i="16"/>
  <c r="T29" i="16"/>
  <c r="T18" i="16"/>
  <c r="AB29" i="16"/>
  <c r="BU41" i="16"/>
  <c r="AB41" i="16"/>
  <c r="BM41" i="16"/>
  <c r="T23" i="16"/>
  <c r="AY41" i="16"/>
  <c r="T41" i="16" s="1"/>
  <c r="T13" i="16"/>
  <c r="AH13" i="16" s="1" a="1"/>
  <c r="K63" i="13"/>
  <c r="G63" i="13"/>
  <c r="D63" i="13"/>
  <c r="E63" i="13" s="1"/>
  <c r="O63" i="13"/>
  <c r="P63" i="13"/>
  <c r="L63" i="13"/>
  <c r="M63" i="13" s="1"/>
  <c r="Q63" i="13"/>
  <c r="R63" i="13" s="1"/>
  <c r="S63" i="13"/>
  <c r="U63" i="13" s="1"/>
  <c r="V63" i="13"/>
  <c r="W63" i="13"/>
  <c r="X63" i="13"/>
  <c r="F63" i="13"/>
  <c r="N63" i="13"/>
  <c r="AC618" i="12"/>
  <c r="AC616" i="12"/>
  <c r="AH25" i="16" a="1"/>
  <c r="AH18" i="16" a="1"/>
  <c r="R23" i="16" a="1"/>
  <c r="AH23" i="16" a="1"/>
  <c r="AH14" i="16" a="1"/>
  <c r="AH27" i="16" a="1"/>
  <c r="R16" i="16" a="1"/>
  <c r="R15" i="16" a="1"/>
  <c r="AH15" i="16" a="1"/>
  <c r="R25" i="16" a="1"/>
  <c r="R28" i="16" a="1"/>
  <c r="AH28" i="16" a="1"/>
  <c r="R20" i="16" a="1"/>
  <c r="AH20" i="16" a="1"/>
  <c r="R21" i="16" a="1"/>
  <c r="AH21" i="16" a="1"/>
  <c r="R29" i="16" a="1"/>
  <c r="AH29" i="16" a="1"/>
  <c r="R12" i="16" a="1"/>
  <c r="AH12" i="16" a="1"/>
  <c r="R26" i="16" a="1"/>
  <c r="AH19" i="16" a="1"/>
  <c r="R22" i="16" a="1"/>
  <c r="AH22" i="16" a="1"/>
  <c r="R19" i="16" a="1"/>
  <c r="AH30" i="16" a="1"/>
  <c r="R30" i="16" a="1"/>
  <c r="R18" i="16" a="1"/>
  <c r="AH17" i="16" a="1"/>
  <c r="AH16" i="16" a="1"/>
  <c r="R24" i="16" a="1"/>
  <c r="AH24" i="16" a="1"/>
  <c r="R14" i="16" a="1"/>
  <c r="AH26" i="16" a="1"/>
  <c r="V41" i="16"/>
  <c r="X41" i="16"/>
  <c r="Z41" i="16"/>
  <c r="W41" i="16"/>
  <c r="U41" i="16"/>
  <c r="AA41" i="16"/>
  <c r="Y41" i="16"/>
  <c r="R11" i="16" a="1"/>
  <c r="R41" i="16" a="1"/>
  <c r="AH11" i="16" a="1"/>
  <c r="X45" i="13"/>
  <c r="C45" i="13"/>
  <c r="G45" i="13"/>
  <c r="B45" i="13"/>
  <c r="L45" i="13"/>
  <c r="J45" i="13"/>
  <c r="V45" i="13"/>
  <c r="H45" i="13"/>
  <c r="I45" i="13" s="1"/>
  <c r="D45" i="13"/>
  <c r="O45" i="13"/>
  <c r="P45" i="13" s="1"/>
  <c r="K45" i="13"/>
  <c r="Q45" i="13"/>
  <c r="W45" i="13"/>
  <c r="K54" i="13"/>
  <c r="Q54" i="13"/>
  <c r="W54" i="13"/>
  <c r="X54" i="13"/>
  <c r="L54" i="13"/>
  <c r="M54" i="13" s="1"/>
  <c r="G54" i="13"/>
  <c r="H54" i="13"/>
  <c r="I54" i="13" s="1"/>
  <c r="D54" i="13"/>
  <c r="O54" i="13"/>
  <c r="B54" i="13"/>
  <c r="J54" i="13"/>
  <c r="C54" i="13"/>
  <c r="F54" i="13" s="1"/>
  <c r="C62" i="13"/>
  <c r="O62" i="13"/>
  <c r="I62" i="13"/>
  <c r="G62" i="13"/>
  <c r="D62" i="13"/>
  <c r="B62" i="13"/>
  <c r="Q62" i="13"/>
  <c r="R62" i="13" s="1"/>
  <c r="S62" i="13"/>
  <c r="U62" i="13" s="1"/>
  <c r="V62" i="13"/>
  <c r="W62" i="13"/>
  <c r="X62" i="13"/>
  <c r="K62" i="13"/>
  <c r="H62" i="13"/>
  <c r="L62" i="13"/>
  <c r="P62" i="13"/>
  <c r="J62" i="13"/>
  <c r="L66" i="13"/>
  <c r="G66" i="13"/>
  <c r="G35" i="13"/>
  <c r="D35" i="13"/>
  <c r="H35" i="13"/>
  <c r="I35" i="13" s="1"/>
  <c r="L35" i="13"/>
  <c r="B35" i="13"/>
  <c r="O35" i="13"/>
  <c r="P35" i="13" s="1"/>
  <c r="C35" i="13"/>
  <c r="K35" i="13"/>
  <c r="V35" i="13"/>
  <c r="X35" i="13"/>
  <c r="Q35" i="13"/>
  <c r="W35" i="13"/>
  <c r="L44" i="13"/>
  <c r="G44" i="13"/>
  <c r="Q44" i="13"/>
  <c r="W44" i="13"/>
  <c r="X44" i="13"/>
  <c r="V44" i="13"/>
  <c r="J44" i="13"/>
  <c r="H44" i="13"/>
  <c r="I44" i="13" s="1"/>
  <c r="C44" i="13"/>
  <c r="O44" i="13"/>
  <c r="P44" i="13" s="1"/>
  <c r="D44" i="13"/>
  <c r="K44" i="13"/>
  <c r="B44" i="13"/>
  <c r="H53" i="13"/>
  <c r="B53" i="13"/>
  <c r="O53" i="13"/>
  <c r="C53" i="13"/>
  <c r="I66" i="13"/>
  <c r="O66" i="13"/>
  <c r="P66" i="13"/>
  <c r="J66" i="13"/>
  <c r="K66" i="13"/>
  <c r="C66" i="13"/>
  <c r="V66" i="13"/>
  <c r="D66" i="13"/>
  <c r="H66" i="13"/>
  <c r="B66" i="13"/>
  <c r="Q66" i="13"/>
  <c r="R66" i="13" s="1"/>
  <c r="S66" i="13"/>
  <c r="U66" i="13" s="1"/>
  <c r="W66" i="13"/>
  <c r="X66" i="13"/>
  <c r="L34" i="13"/>
  <c r="G34" i="13"/>
  <c r="D34" i="13"/>
  <c r="B34" i="13"/>
  <c r="O34" i="13"/>
  <c r="C34" i="13"/>
  <c r="X34" i="13"/>
  <c r="K34" i="13"/>
  <c r="J34" i="13"/>
  <c r="V34" i="13"/>
  <c r="H34" i="13"/>
  <c r="Q34" i="13"/>
  <c r="W34" i="13"/>
  <c r="O42" i="13"/>
  <c r="J42" i="13"/>
  <c r="V42" i="13"/>
  <c r="X42" i="13"/>
  <c r="H42" i="13"/>
  <c r="C42" i="13"/>
  <c r="G42" i="13"/>
  <c r="K42" i="13"/>
  <c r="D42" i="13"/>
  <c r="B42" i="13"/>
  <c r="L42" i="13"/>
  <c r="Q42" i="13"/>
  <c r="W42" i="13"/>
  <c r="L50" i="13"/>
  <c r="D50" i="13"/>
  <c r="J50" i="13"/>
  <c r="K50" i="13"/>
  <c r="G50" i="13"/>
  <c r="B50" i="13"/>
  <c r="O50" i="13"/>
  <c r="H50" i="13"/>
  <c r="I50" i="13" s="1"/>
  <c r="C50" i="13"/>
  <c r="V50" i="13"/>
  <c r="X50" i="13"/>
  <c r="Q50" i="13"/>
  <c r="W50" i="13"/>
  <c r="H41" i="13"/>
  <c r="J41" i="13"/>
  <c r="D41" i="13"/>
  <c r="L41" i="13"/>
  <c r="V41" i="13"/>
  <c r="B41" i="13"/>
  <c r="C41" i="13"/>
  <c r="Q41" i="13"/>
  <c r="W41" i="13"/>
  <c r="X41" i="13"/>
  <c r="O41" i="13"/>
  <c r="P41" i="13" s="1"/>
  <c r="G41" i="13"/>
  <c r="K41" i="13"/>
  <c r="I67" i="13"/>
  <c r="G67" i="13"/>
  <c r="H67" i="13"/>
  <c r="D67" i="13"/>
  <c r="O67" i="13"/>
  <c r="B67" i="13"/>
  <c r="J67" i="13"/>
  <c r="Q67" i="13"/>
  <c r="R67" i="13" s="1"/>
  <c r="S67" i="13"/>
  <c r="V67" i="13"/>
  <c r="W67" i="13"/>
  <c r="K67" i="13"/>
  <c r="C67" i="13"/>
  <c r="P67" i="13"/>
  <c r="L67" i="13"/>
  <c r="X67" i="13"/>
  <c r="W31" i="13"/>
  <c r="X31" i="13"/>
  <c r="Q31" i="13"/>
  <c r="J31" i="13"/>
  <c r="L31" i="13"/>
  <c r="H31" i="13"/>
  <c r="D31" i="13"/>
  <c r="G31" i="13"/>
  <c r="O31" i="13"/>
  <c r="P31" i="13" s="1"/>
  <c r="V31" i="13"/>
  <c r="K31" i="13"/>
  <c r="B31" i="13"/>
  <c r="C31" i="13"/>
  <c r="W39" i="13"/>
  <c r="V39" i="13"/>
  <c r="Q39" i="13"/>
  <c r="H39" i="13"/>
  <c r="B39" i="13"/>
  <c r="C39" i="13"/>
  <c r="O39" i="13"/>
  <c r="G39" i="13"/>
  <c r="L39" i="13"/>
  <c r="J39" i="13"/>
  <c r="D39" i="13"/>
  <c r="K39" i="13"/>
  <c r="X39" i="13"/>
  <c r="L46" i="13"/>
  <c r="J46" i="13"/>
  <c r="H46" i="13"/>
  <c r="B46" i="13"/>
  <c r="D46" i="13"/>
  <c r="O46" i="13"/>
  <c r="P46" i="13" s="1"/>
  <c r="G46" i="13"/>
  <c r="K46" i="13"/>
  <c r="W46" i="13"/>
  <c r="X46" i="13"/>
  <c r="C46" i="13"/>
  <c r="Q46" i="13"/>
  <c r="V46" i="13"/>
  <c r="I64" i="13"/>
  <c r="J64" i="13"/>
  <c r="G64" i="13"/>
  <c r="B64" i="13"/>
  <c r="O64" i="13"/>
  <c r="C64" i="13"/>
  <c r="P64" i="13"/>
  <c r="Q64" i="13"/>
  <c r="R64" i="13" s="1"/>
  <c r="S64" i="13"/>
  <c r="U64" i="13" s="1"/>
  <c r="V64" i="13"/>
  <c r="W64" i="13"/>
  <c r="X64" i="13"/>
  <c r="L64" i="13"/>
  <c r="D64" i="13"/>
  <c r="H64" i="13"/>
  <c r="K64" i="13"/>
  <c r="O68" i="13"/>
  <c r="G68" i="13"/>
  <c r="C68" i="13"/>
  <c r="D68" i="13"/>
  <c r="K68" i="13"/>
  <c r="L68" i="13"/>
  <c r="H68" i="13"/>
  <c r="Q68" i="13"/>
  <c r="R68" i="13" s="1"/>
  <c r="S68" i="13"/>
  <c r="U68" i="13" s="1"/>
  <c r="V68" i="13"/>
  <c r="W68" i="13"/>
  <c r="X68" i="13"/>
  <c r="J68" i="13"/>
  <c r="I68" i="13"/>
  <c r="P68" i="13"/>
  <c r="B68" i="13"/>
  <c r="W32" i="13"/>
  <c r="B32" i="13"/>
  <c r="J32" i="13"/>
  <c r="G32" i="13"/>
  <c r="L32" i="13"/>
  <c r="H32" i="13"/>
  <c r="I32" i="13" s="1"/>
  <c r="X32" i="13"/>
  <c r="Q32" i="13"/>
  <c r="V32" i="13"/>
  <c r="C32" i="13"/>
  <c r="K32" i="13"/>
  <c r="D32" i="13"/>
  <c r="O32" i="13"/>
  <c r="P32" i="13" s="1"/>
  <c r="O40" i="13"/>
  <c r="B40" i="13"/>
  <c r="C40" i="13"/>
  <c r="X40" i="13"/>
  <c r="V40" i="13"/>
  <c r="W40" i="13"/>
  <c r="Q40" i="13"/>
  <c r="K40" i="13"/>
  <c r="L40" i="13"/>
  <c r="H40" i="13"/>
  <c r="D40" i="13"/>
  <c r="J40" i="13"/>
  <c r="G40" i="13"/>
  <c r="C52" i="13"/>
  <c r="K52" i="13"/>
  <c r="J52" i="13"/>
  <c r="L52" i="13"/>
  <c r="V52" i="13"/>
  <c r="W52" i="13"/>
  <c r="Q52" i="13"/>
  <c r="O52" i="13"/>
  <c r="P52" i="13" s="1"/>
  <c r="X52" i="13"/>
  <c r="B52" i="13"/>
  <c r="D52" i="13"/>
  <c r="H52" i="13"/>
  <c r="G52" i="13"/>
  <c r="W56" i="13"/>
  <c r="O56" i="13"/>
  <c r="B56" i="13"/>
  <c r="L56" i="13"/>
  <c r="X56" i="13"/>
  <c r="V56" i="13"/>
  <c r="J56" i="13"/>
  <c r="Q56" i="13"/>
  <c r="H56" i="13"/>
  <c r="G56" i="13"/>
  <c r="C56" i="13"/>
  <c r="D56" i="13"/>
  <c r="K56" i="13"/>
  <c r="P69" i="13"/>
  <c r="K69" i="13"/>
  <c r="L69" i="13"/>
  <c r="B69" i="13"/>
  <c r="H69" i="13"/>
  <c r="G69" i="13"/>
  <c r="C69" i="13"/>
  <c r="Q69" i="13"/>
  <c r="R69" i="13" s="1"/>
  <c r="S69" i="13"/>
  <c r="U69" i="13" s="1"/>
  <c r="V69" i="13"/>
  <c r="W69" i="13"/>
  <c r="X69" i="13"/>
  <c r="I69" i="13"/>
  <c r="J69" i="13"/>
  <c r="O69" i="13"/>
  <c r="D69" i="13"/>
  <c r="X57" i="13"/>
  <c r="V57" i="13"/>
  <c r="W57" i="13"/>
  <c r="Q57" i="13"/>
  <c r="C57" i="13"/>
  <c r="J57" i="13"/>
  <c r="D57" i="13"/>
  <c r="G57" i="13"/>
  <c r="O57" i="13"/>
  <c r="K57" i="13"/>
  <c r="B57" i="13"/>
  <c r="H57" i="13"/>
  <c r="I57" i="13" s="1"/>
  <c r="L57" i="13"/>
  <c r="J33" i="13"/>
  <c r="G33" i="13"/>
  <c r="Q33" i="13"/>
  <c r="W33" i="13"/>
  <c r="X33" i="13"/>
  <c r="O33" i="13"/>
  <c r="P33" i="13" s="1"/>
  <c r="C33" i="13"/>
  <c r="D33" i="13"/>
  <c r="B33" i="13"/>
  <c r="H33" i="13"/>
  <c r="I33" i="13" s="1"/>
  <c r="V33" i="13"/>
  <c r="K33" i="13"/>
  <c r="L33" i="13"/>
  <c r="K51" i="13"/>
  <c r="L51" i="13"/>
  <c r="H51" i="13"/>
  <c r="G51" i="13"/>
  <c r="C51" i="13"/>
  <c r="D51" i="13"/>
  <c r="B51" i="13"/>
  <c r="J51" i="13"/>
  <c r="O51" i="13"/>
  <c r="P51" i="13" s="1"/>
  <c r="V51" i="13"/>
  <c r="W51" i="13"/>
  <c r="X51" i="13"/>
  <c r="Q51" i="13"/>
  <c r="X60" i="13"/>
  <c r="B60" i="13"/>
  <c r="W60" i="13"/>
  <c r="Q60" i="13"/>
  <c r="L60" i="13"/>
  <c r="G60" i="13"/>
  <c r="D60" i="13"/>
  <c r="J60" i="13"/>
  <c r="H60" i="13"/>
  <c r="I60" i="13" s="1"/>
  <c r="K60" i="13"/>
  <c r="C60" i="13"/>
  <c r="V60" i="13"/>
  <c r="O60" i="13"/>
  <c r="X37" i="13"/>
  <c r="V37" i="13"/>
  <c r="W37" i="13"/>
  <c r="Q37" i="13"/>
  <c r="C37" i="13"/>
  <c r="K37" i="13"/>
  <c r="G37" i="13"/>
  <c r="J37" i="13"/>
  <c r="D37" i="13"/>
  <c r="O37" i="13"/>
  <c r="P37" i="13" s="1"/>
  <c r="B37" i="13"/>
  <c r="L37" i="13"/>
  <c r="H37" i="13"/>
  <c r="I37" i="13" s="1"/>
  <c r="X47" i="13"/>
  <c r="D47" i="13"/>
  <c r="L47" i="13"/>
  <c r="B47" i="13"/>
  <c r="O47" i="13"/>
  <c r="H47" i="13"/>
  <c r="J47" i="13"/>
  <c r="C47" i="13"/>
  <c r="G47" i="13"/>
  <c r="K47" i="13"/>
  <c r="V47" i="13"/>
  <c r="W47" i="13"/>
  <c r="Q47" i="13"/>
  <c r="D59" i="13"/>
  <c r="K59" i="13"/>
  <c r="C59" i="13"/>
  <c r="H59" i="13"/>
  <c r="B59" i="13"/>
  <c r="O59" i="13"/>
  <c r="J59" i="13"/>
  <c r="G59" i="13"/>
  <c r="L59" i="13"/>
  <c r="V59" i="13"/>
  <c r="W59" i="13"/>
  <c r="X59" i="13"/>
  <c r="Q59" i="13"/>
  <c r="C38" i="13"/>
  <c r="G38" i="13"/>
  <c r="H38" i="13"/>
  <c r="K38" i="13"/>
  <c r="D38" i="13"/>
  <c r="J38" i="13"/>
  <c r="L38" i="13"/>
  <c r="O38" i="13"/>
  <c r="P38" i="13" s="1"/>
  <c r="B38" i="13"/>
  <c r="V38" i="13"/>
  <c r="X38" i="13"/>
  <c r="Q38" i="13"/>
  <c r="W38" i="13"/>
  <c r="G48" i="13"/>
  <c r="H48" i="13"/>
  <c r="K48" i="13"/>
  <c r="J48" i="13"/>
  <c r="B48" i="13"/>
  <c r="D48" i="13"/>
  <c r="C48" i="13"/>
  <c r="L48" i="13"/>
  <c r="O48" i="13"/>
  <c r="P48" i="13" s="1"/>
  <c r="V48" i="13"/>
  <c r="X48" i="13"/>
  <c r="Q48" i="13"/>
  <c r="W48" i="13"/>
  <c r="D61" i="13"/>
  <c r="H61" i="13"/>
  <c r="G61" i="13"/>
  <c r="O61" i="13"/>
  <c r="L61" i="13"/>
  <c r="K61" i="13"/>
  <c r="J61" i="13"/>
  <c r="C61" i="13"/>
  <c r="B61" i="13"/>
  <c r="X61" i="13"/>
  <c r="V61" i="13"/>
  <c r="Q61" i="13"/>
  <c r="W61" i="13"/>
  <c r="L30" i="13"/>
  <c r="C30" i="13"/>
  <c r="G30" i="13"/>
  <c r="X30" i="13"/>
  <c r="B30" i="13"/>
  <c r="J30" i="13"/>
  <c r="K30" i="13"/>
  <c r="O30" i="13"/>
  <c r="V30" i="13"/>
  <c r="D30" i="13"/>
  <c r="H30" i="13"/>
  <c r="W30" i="13"/>
  <c r="Q30" i="13"/>
  <c r="J43" i="13"/>
  <c r="O43" i="13"/>
  <c r="P43" i="13" s="1"/>
  <c r="D43" i="13"/>
  <c r="B43" i="13"/>
  <c r="H43" i="13"/>
  <c r="C43" i="13"/>
  <c r="L43" i="13"/>
  <c r="K43" i="13"/>
  <c r="G43" i="13"/>
  <c r="X43" i="13"/>
  <c r="V43" i="13"/>
  <c r="Q43" i="13"/>
  <c r="W43" i="13"/>
  <c r="C49" i="13"/>
  <c r="D49" i="13"/>
  <c r="K49" i="13"/>
  <c r="O49" i="13"/>
  <c r="H49" i="13"/>
  <c r="G49" i="13"/>
  <c r="B49" i="13"/>
  <c r="J49" i="13"/>
  <c r="L49" i="13"/>
  <c r="V49" i="13"/>
  <c r="W49" i="13"/>
  <c r="X49" i="13"/>
  <c r="Q49" i="13"/>
  <c r="B55" i="13"/>
  <c r="J55" i="13"/>
  <c r="G55" i="13"/>
  <c r="X55" i="13"/>
  <c r="C55" i="13"/>
  <c r="H55" i="13"/>
  <c r="I55" i="13" s="1"/>
  <c r="O55" i="13"/>
  <c r="P55" i="13" s="1"/>
  <c r="V55" i="13"/>
  <c r="D55" i="13"/>
  <c r="L55" i="13"/>
  <c r="K55" i="13"/>
  <c r="Q55" i="13"/>
  <c r="W55" i="13"/>
  <c r="X65" i="13"/>
  <c r="O65" i="13"/>
  <c r="B65" i="13"/>
  <c r="I65" i="13"/>
  <c r="C65" i="13"/>
  <c r="H65" i="13"/>
  <c r="G65" i="13"/>
  <c r="D65" i="13"/>
  <c r="L65" i="13"/>
  <c r="M65" i="13" s="1"/>
  <c r="P65" i="13"/>
  <c r="J65" i="13"/>
  <c r="K65" i="13"/>
  <c r="Q65" i="13"/>
  <c r="R65" i="13" s="1"/>
  <c r="S65" i="13"/>
  <c r="U65" i="13" s="1"/>
  <c r="V65" i="13"/>
  <c r="W65" i="13"/>
  <c r="N65" i="13"/>
  <c r="K36" i="13"/>
  <c r="X36" i="13"/>
  <c r="C36" i="13"/>
  <c r="V36" i="13"/>
  <c r="D36" i="13"/>
  <c r="L36" i="13"/>
  <c r="O36" i="13"/>
  <c r="J36" i="13"/>
  <c r="G36" i="13"/>
  <c r="H36" i="13"/>
  <c r="I36" i="13" s="1"/>
  <c r="B36" i="13"/>
  <c r="W36" i="13"/>
  <c r="Q36" i="13"/>
  <c r="K53" i="13"/>
  <c r="G53" i="13"/>
  <c r="W53" i="13"/>
  <c r="D53" i="13"/>
  <c r="L53" i="13"/>
  <c r="J53" i="13"/>
  <c r="X53" i="13"/>
  <c r="V53" i="13"/>
  <c r="Q53" i="13"/>
  <c r="W58" i="13"/>
  <c r="C58" i="13"/>
  <c r="O58" i="13"/>
  <c r="K58" i="13"/>
  <c r="G58" i="13"/>
  <c r="J58" i="13"/>
  <c r="B58" i="13"/>
  <c r="D58" i="13"/>
  <c r="L58" i="13"/>
  <c r="H58" i="13"/>
  <c r="X58" i="13"/>
  <c r="Q58" i="13"/>
  <c r="E58" i="13"/>
  <c r="B61" i="3" a="1"/>
  <c r="F61" i="3" a="1"/>
  <c r="C61" i="3" a="1"/>
  <c r="E61" i="3" a="1"/>
  <c r="B62" i="3" a="1"/>
  <c r="C62" i="3" a="1"/>
  <c r="E62" i="3" a="1"/>
  <c r="F62" i="3" a="1"/>
  <c r="B63" i="3" a="1"/>
  <c r="C63" i="3" a="1"/>
  <c r="E63" i="3" a="1"/>
  <c r="F63" i="3" a="1"/>
  <c r="B64" i="3" a="1"/>
  <c r="C64" i="3" a="1"/>
  <c r="E64" i="3" a="1"/>
  <c r="F64" i="3" a="1"/>
  <c r="B65" i="3" a="1"/>
  <c r="C65" i="3" a="1"/>
  <c r="E65" i="3" a="1"/>
  <c r="F65" i="3" a="1"/>
  <c r="B66" i="3" a="1"/>
  <c r="C66" i="3" a="1"/>
  <c r="E66" i="3" a="1"/>
  <c r="F66" i="3" a="1"/>
  <c r="B67" i="3" a="1"/>
  <c r="C67" i="3" a="1"/>
  <c r="E67" i="3" a="1"/>
  <c r="F67" i="3" a="1"/>
  <c r="B68" i="3" a="1"/>
  <c r="C68" i="3" a="1"/>
  <c r="E68" i="3" a="1"/>
  <c r="F68" i="3" a="1"/>
  <c r="B69" i="3" a="1"/>
  <c r="C69" i="3" a="1"/>
  <c r="E69" i="3" a="1"/>
  <c r="F69" i="3" a="1"/>
  <c r="E126" i="3" a="1"/>
  <c r="C126" i="3" a="1"/>
  <c r="F126" i="3" a="1"/>
  <c r="B126" i="3" a="1"/>
  <c r="D126" i="3" a="1"/>
  <c r="B127" i="3" a="1"/>
  <c r="C127" i="3" a="1"/>
  <c r="D127" i="3" a="1"/>
  <c r="E127" i="3" a="1"/>
  <c r="F127" i="3" a="1"/>
  <c r="B128" i="3" a="1"/>
  <c r="C128" i="3" a="1"/>
  <c r="D128" i="3" a="1"/>
  <c r="E128" i="3" a="1"/>
  <c r="F128" i="3" a="1"/>
  <c r="B129" i="3" a="1"/>
  <c r="C129" i="3" a="1"/>
  <c r="D129" i="3" a="1"/>
  <c r="E129" i="3" a="1"/>
  <c r="F129" i="3" a="1"/>
  <c r="B130" i="3" a="1"/>
  <c r="C130" i="3" a="1"/>
  <c r="D130" i="3" a="1"/>
  <c r="E130" i="3" a="1"/>
  <c r="F130" i="3" a="1"/>
  <c r="B131" i="3" a="1"/>
  <c r="C131" i="3" a="1"/>
  <c r="D131" i="3" a="1"/>
  <c r="E131" i="3" a="1"/>
  <c r="F131" i="3" a="1"/>
  <c r="B132" i="3" a="1"/>
  <c r="C132" i="3" a="1"/>
  <c r="D132" i="3" a="1"/>
  <c r="E132" i="3" a="1"/>
  <c r="F132" i="3" a="1"/>
  <c r="B133" i="3" a="1"/>
  <c r="C133" i="3" a="1"/>
  <c r="D133" i="3" a="1"/>
  <c r="E133" i="3" a="1"/>
  <c r="F133" i="3" a="1"/>
  <c r="B134" i="3" a="1"/>
  <c r="C134" i="3" a="1"/>
  <c r="D134" i="3" a="1"/>
  <c r="E134" i="3" a="1"/>
  <c r="F134" i="3" a="1"/>
  <c r="F173" i="3" a="1"/>
  <c r="E173" i="3" a="1"/>
  <c r="D173" i="3" a="1"/>
  <c r="C173" i="3" a="1"/>
  <c r="B173" i="3" a="1"/>
  <c r="F172" i="3" a="1"/>
  <c r="E172" i="3" a="1"/>
  <c r="D172" i="3" a="1"/>
  <c r="C172" i="3" a="1"/>
  <c r="B172" i="3" a="1"/>
  <c r="F171" i="3" a="1"/>
  <c r="E171" i="3" a="1"/>
  <c r="D171" i="3" a="1"/>
  <c r="C171" i="3" a="1"/>
  <c r="B171" i="3" a="1"/>
  <c r="F170" i="3" a="1"/>
  <c r="E170" i="3" a="1"/>
  <c r="D170" i="3" a="1"/>
  <c r="C170" i="3" a="1"/>
  <c r="B170" i="3" a="1"/>
  <c r="F169" i="3" a="1"/>
  <c r="E169" i="3" a="1"/>
  <c r="D169" i="3" a="1"/>
  <c r="C169" i="3" a="1"/>
  <c r="B169" i="3" a="1"/>
  <c r="F168" i="3" a="1"/>
  <c r="E168" i="3" a="1"/>
  <c r="D168" i="3" a="1"/>
  <c r="C168" i="3" a="1"/>
  <c r="B168" i="3" a="1"/>
  <c r="F167" i="3" a="1"/>
  <c r="E167" i="3" a="1"/>
  <c r="D167" i="3" a="1"/>
  <c r="C167" i="3" a="1"/>
  <c r="B167" i="3" a="1"/>
  <c r="F166" i="3" a="1"/>
  <c r="E166" i="3" a="1"/>
  <c r="D166" i="3" a="1"/>
  <c r="C166" i="3" a="1"/>
  <c r="B166" i="3" a="1"/>
  <c r="F165" i="3" a="1"/>
  <c r="E165" i="3" a="1"/>
  <c r="D165" i="3" a="1"/>
  <c r="C165" i="3" a="1"/>
  <c r="B165" i="3" a="1"/>
  <c r="F164" i="3" a="1"/>
  <c r="E164" i="3" a="1"/>
  <c r="D164" i="3" a="1"/>
  <c r="C164" i="3" a="1"/>
  <c r="B164" i="3" a="1"/>
  <c r="F163" i="3" a="1"/>
  <c r="E163" i="3" a="1"/>
  <c r="D163" i="3" a="1"/>
  <c r="C163" i="3" a="1"/>
  <c r="B163" i="3" a="1"/>
  <c r="F162" i="3" a="1"/>
  <c r="E162" i="3" a="1"/>
  <c r="D162" i="3" a="1"/>
  <c r="C162" i="3" a="1"/>
  <c r="B162" i="3" a="1"/>
  <c r="F161" i="3" a="1"/>
  <c r="E161" i="3" a="1"/>
  <c r="D161" i="3" a="1"/>
  <c r="C161" i="3" a="1"/>
  <c r="B161" i="3" a="1"/>
  <c r="F160" i="3" a="1"/>
  <c r="E160" i="3" a="1"/>
  <c r="D160" i="3" a="1"/>
  <c r="C160" i="3" a="1"/>
  <c r="B160" i="3" a="1"/>
  <c r="F159" i="3" a="1"/>
  <c r="E159" i="3" a="1"/>
  <c r="D159" i="3" a="1"/>
  <c r="C159" i="3" a="1"/>
  <c r="B159" i="3" a="1"/>
  <c r="F158" i="3" a="1"/>
  <c r="E158" i="3" a="1"/>
  <c r="D158" i="3" a="1"/>
  <c r="C158" i="3" a="1"/>
  <c r="B158" i="3" a="1"/>
  <c r="F157" i="3" a="1"/>
  <c r="E157" i="3" a="1"/>
  <c r="D157" i="3" a="1"/>
  <c r="C157" i="3" a="1"/>
  <c r="B157" i="3" a="1"/>
  <c r="F156" i="3" a="1"/>
  <c r="E156" i="3" a="1"/>
  <c r="D156" i="3" a="1"/>
  <c r="C156" i="3" a="1"/>
  <c r="B156" i="3" a="1"/>
  <c r="F155" i="3" a="1"/>
  <c r="E155" i="3" a="1"/>
  <c r="D155" i="3" a="1"/>
  <c r="C155" i="3" a="1"/>
  <c r="B155" i="3" a="1"/>
  <c r="F154" i="3" a="1"/>
  <c r="E154" i="3" a="1"/>
  <c r="D154" i="3" a="1"/>
  <c r="C154" i="3" a="1"/>
  <c r="B154" i="3" a="1"/>
  <c r="F153" i="3" a="1"/>
  <c r="E153" i="3" a="1"/>
  <c r="D153" i="3" a="1"/>
  <c r="C153" i="3" a="1"/>
  <c r="B153" i="3" a="1"/>
  <c r="F152" i="3" a="1"/>
  <c r="E152" i="3" a="1"/>
  <c r="D152" i="3" a="1"/>
  <c r="C152" i="3" a="1"/>
  <c r="B152" i="3" a="1"/>
  <c r="F151" i="3" a="1"/>
  <c r="E151" i="3" a="1"/>
  <c r="D151" i="3" a="1"/>
  <c r="C151" i="3" a="1"/>
  <c r="B151" i="3" a="1"/>
  <c r="F150" i="3" a="1"/>
  <c r="E150" i="3" a="1"/>
  <c r="D150" i="3" a="1"/>
  <c r="C150" i="3" a="1"/>
  <c r="B150" i="3" a="1"/>
  <c r="F149" i="3" a="1"/>
  <c r="E149" i="3" a="1"/>
  <c r="D149" i="3" a="1"/>
  <c r="C149" i="3" a="1"/>
  <c r="B149" i="3" a="1"/>
  <c r="F148" i="3" a="1"/>
  <c r="E148" i="3" a="1"/>
  <c r="D148" i="3" a="1"/>
  <c r="C148" i="3" a="1"/>
  <c r="B148" i="3" a="1"/>
  <c r="F147" i="3" a="1"/>
  <c r="E147" i="3" a="1"/>
  <c r="D147" i="3" a="1"/>
  <c r="C147" i="3" a="1"/>
  <c r="B147" i="3" a="1"/>
  <c r="F146" i="3" a="1"/>
  <c r="E146" i="3" a="1"/>
  <c r="D146" i="3" a="1"/>
  <c r="C146" i="3" a="1"/>
  <c r="B146" i="3" a="1"/>
  <c r="F145" i="3" a="1"/>
  <c r="E145" i="3" a="1"/>
  <c r="D145" i="3" a="1"/>
  <c r="C145" i="3" a="1"/>
  <c r="B145" i="3" a="1"/>
  <c r="F144" i="3" a="1"/>
  <c r="E144" i="3" a="1"/>
  <c r="D144" i="3" a="1"/>
  <c r="C144" i="3" a="1"/>
  <c r="B144" i="3" a="1"/>
  <c r="F143" i="3" a="1"/>
  <c r="D143" i="3" a="1"/>
  <c r="B143" i="3" a="1"/>
  <c r="C143" i="3" a="1"/>
  <c r="E143" i="3" a="1"/>
  <c r="F109" i="3" a="1"/>
  <c r="E109" i="3" a="1"/>
  <c r="C109" i="3" a="1"/>
  <c r="B109" i="3" a="1"/>
  <c r="F108" i="3" a="1"/>
  <c r="E108" i="3" a="1"/>
  <c r="C108" i="3" a="1"/>
  <c r="B108" i="3" a="1"/>
  <c r="F107" i="3" a="1"/>
  <c r="E107" i="3" a="1"/>
  <c r="C107" i="3" a="1"/>
  <c r="B107" i="3" a="1"/>
  <c r="F106" i="3" a="1"/>
  <c r="E106" i="3" a="1"/>
  <c r="C106" i="3" a="1"/>
  <c r="B106" i="3" a="1"/>
  <c r="F105" i="3" a="1"/>
  <c r="E105" i="3" a="1"/>
  <c r="C105" i="3" a="1"/>
  <c r="B105" i="3" a="1"/>
  <c r="F104" i="3" a="1"/>
  <c r="E104" i="3" a="1"/>
  <c r="C104" i="3" a="1"/>
  <c r="B104" i="3" a="1"/>
  <c r="F103" i="3" a="1"/>
  <c r="E103" i="3" a="1"/>
  <c r="C103" i="3" a="1"/>
  <c r="B103" i="3" a="1"/>
  <c r="F102" i="3" a="1"/>
  <c r="E102" i="3" a="1"/>
  <c r="C102" i="3" a="1"/>
  <c r="B102" i="3" a="1"/>
  <c r="F101" i="3" a="1"/>
  <c r="E101" i="3" a="1"/>
  <c r="C101" i="3" a="1"/>
  <c r="B101" i="3" a="1"/>
  <c r="F100" i="3" a="1"/>
  <c r="E100" i="3" a="1"/>
  <c r="C100" i="3" a="1"/>
  <c r="B100" i="3" a="1"/>
  <c r="F99" i="3" a="1"/>
  <c r="E99" i="3" a="1"/>
  <c r="C99" i="3" a="1"/>
  <c r="B99" i="3" a="1"/>
  <c r="F98" i="3" a="1"/>
  <c r="E98" i="3" a="1"/>
  <c r="C98" i="3" a="1"/>
  <c r="B98" i="3" a="1"/>
  <c r="F97" i="3" a="1"/>
  <c r="E97" i="3" a="1"/>
  <c r="C97" i="3" a="1"/>
  <c r="B97" i="3" a="1"/>
  <c r="F96" i="3" a="1"/>
  <c r="E96" i="3" a="1"/>
  <c r="C96" i="3" a="1"/>
  <c r="B96" i="3" a="1"/>
  <c r="F95" i="3" a="1"/>
  <c r="E95" i="3" a="1"/>
  <c r="C95" i="3" a="1"/>
  <c r="B95" i="3" a="1"/>
  <c r="F94" i="3" a="1"/>
  <c r="E94" i="3" a="1"/>
  <c r="C94" i="3" a="1"/>
  <c r="B94" i="3" a="1"/>
  <c r="F93" i="3" a="1"/>
  <c r="E93" i="3" a="1"/>
  <c r="C93" i="3" a="1"/>
  <c r="B93" i="3" a="1"/>
  <c r="F92" i="3" a="1"/>
  <c r="E92" i="3" a="1"/>
  <c r="C92" i="3" a="1"/>
  <c r="B92" i="3" a="1"/>
  <c r="F91" i="3" a="1"/>
  <c r="E91" i="3" a="1"/>
  <c r="C91" i="3" a="1"/>
  <c r="B91" i="3" a="1"/>
  <c r="F90" i="3" a="1"/>
  <c r="E90" i="3" a="1"/>
  <c r="C90" i="3" a="1"/>
  <c r="B90" i="3" a="1"/>
  <c r="F89" i="3" a="1"/>
  <c r="E89" i="3" a="1"/>
  <c r="C89" i="3" a="1"/>
  <c r="B89" i="3" a="1"/>
  <c r="F88" i="3" a="1"/>
  <c r="E88" i="3" a="1"/>
  <c r="C88" i="3" a="1"/>
  <c r="B88" i="3" a="1"/>
  <c r="F87" i="3" a="1"/>
  <c r="E87" i="3" a="1"/>
  <c r="C87" i="3" a="1"/>
  <c r="B87" i="3" a="1"/>
  <c r="F86" i="3" a="1"/>
  <c r="E86" i="3" a="1"/>
  <c r="C86" i="3" a="1"/>
  <c r="B86" i="3" a="1"/>
  <c r="F85" i="3" a="1"/>
  <c r="E85" i="3" a="1"/>
  <c r="C85" i="3" a="1"/>
  <c r="B85" i="3" a="1"/>
  <c r="F84" i="3" a="1"/>
  <c r="E84" i="3" a="1"/>
  <c r="C84" i="3" a="1"/>
  <c r="B84" i="3" a="1"/>
  <c r="F83" i="3" a="1"/>
  <c r="E83" i="3" a="1"/>
  <c r="C83" i="3" a="1"/>
  <c r="B83" i="3" a="1"/>
  <c r="F82" i="3" a="1"/>
  <c r="E82" i="3" a="1"/>
  <c r="C82" i="3" a="1"/>
  <c r="B82" i="3" a="1"/>
  <c r="F81" i="3" a="1"/>
  <c r="E81" i="3" a="1"/>
  <c r="C81" i="3" a="1"/>
  <c r="B81" i="3" a="1"/>
  <c r="F80" i="3" a="1"/>
  <c r="E80" i="3" a="1"/>
  <c r="C80" i="3" a="1"/>
  <c r="B80" i="3" a="1"/>
  <c r="E79" i="3" a="1"/>
  <c r="B79" i="3" a="1"/>
  <c r="C79" i="3" a="1"/>
  <c r="F79" i="3" a="1"/>
  <c r="E42" i="13"/>
  <c r="X24" i="13"/>
  <c r="W24" i="13"/>
  <c r="V24" i="13"/>
  <c r="S24" i="13"/>
  <c r="U24" i="13" s="1"/>
  <c r="Q24" i="13"/>
  <c r="R24" i="13" s="1"/>
  <c r="H24" i="13"/>
  <c r="D24" i="13"/>
  <c r="B24" i="13"/>
  <c r="K24" i="13"/>
  <c r="L24" i="13"/>
  <c r="P24" i="13"/>
  <c r="I24" i="13"/>
  <c r="G24" i="13"/>
  <c r="O24" i="13"/>
  <c r="J24" i="13"/>
  <c r="C24" i="13"/>
  <c r="W20" i="13"/>
  <c r="Q20" i="13"/>
  <c r="V20" i="13"/>
  <c r="D20" i="13"/>
  <c r="H20" i="13"/>
  <c r="L20" i="13"/>
  <c r="X20" i="13"/>
  <c r="S20" i="13"/>
  <c r="U20" i="13" s="1"/>
  <c r="C20" i="13"/>
  <c r="G20" i="13"/>
  <c r="I20" i="13" s="1"/>
  <c r="B20" i="13"/>
  <c r="J20" i="13"/>
  <c r="K20" i="13"/>
  <c r="O20" i="13"/>
  <c r="P20" i="13" s="1"/>
  <c r="W17" i="13"/>
  <c r="Q17" i="13"/>
  <c r="V17" i="13"/>
  <c r="X17" i="13"/>
  <c r="H17" i="13"/>
  <c r="D17" i="13"/>
  <c r="K17" i="13"/>
  <c r="B17" i="13"/>
  <c r="J17" i="13"/>
  <c r="L17" i="13"/>
  <c r="C17" i="13"/>
  <c r="E17" i="13" s="1"/>
  <c r="S17" i="13"/>
  <c r="U17" i="13" s="1"/>
  <c r="O17" i="13"/>
  <c r="P17" i="13" s="1"/>
  <c r="G17" i="13"/>
  <c r="I17" i="13" s="1"/>
  <c r="F17" i="13"/>
  <c r="R17" i="13"/>
  <c r="Q23" i="13"/>
  <c r="W23" i="13"/>
  <c r="O23" i="13"/>
  <c r="L23" i="13"/>
  <c r="C23" i="13"/>
  <c r="X23" i="13"/>
  <c r="V23" i="13"/>
  <c r="J23" i="13"/>
  <c r="G23" i="13"/>
  <c r="B23" i="13"/>
  <c r="H23" i="13"/>
  <c r="I23" i="13" s="1"/>
  <c r="D23" i="13"/>
  <c r="K23" i="13"/>
  <c r="W22" i="13"/>
  <c r="Q22" i="13"/>
  <c r="X22" i="13"/>
  <c r="V22" i="13"/>
  <c r="O22" i="13"/>
  <c r="C22" i="13"/>
  <c r="K22" i="13"/>
  <c r="D22" i="13"/>
  <c r="S22" i="13"/>
  <c r="U22" i="13" s="1"/>
  <c r="G22" i="13"/>
  <c r="L22" i="13"/>
  <c r="H22" i="13"/>
  <c r="B22" i="13"/>
  <c r="J22" i="13"/>
  <c r="X25" i="13"/>
  <c r="W25" i="13"/>
  <c r="V25" i="13"/>
  <c r="S25" i="13"/>
  <c r="U25" i="13" s="1"/>
  <c r="Q25" i="13"/>
  <c r="R25" i="13" s="1"/>
  <c r="P25" i="13"/>
  <c r="J25" i="13"/>
  <c r="D25" i="13"/>
  <c r="H25" i="13"/>
  <c r="I25" i="13"/>
  <c r="L25" i="13"/>
  <c r="G25" i="13"/>
  <c r="C25" i="13"/>
  <c r="K25" i="13"/>
  <c r="B25" i="13"/>
  <c r="O25" i="13"/>
  <c r="W21" i="13"/>
  <c r="Q21" i="13"/>
  <c r="V21" i="13"/>
  <c r="J21" i="13"/>
  <c r="O21" i="13"/>
  <c r="K21" i="13"/>
  <c r="D21" i="13"/>
  <c r="B21" i="13"/>
  <c r="X21" i="13"/>
  <c r="S21" i="13"/>
  <c r="U21" i="13" s="1"/>
  <c r="L21" i="13"/>
  <c r="C21" i="13"/>
  <c r="E21" i="13" s="1"/>
  <c r="H21" i="13"/>
  <c r="G21" i="13"/>
  <c r="M21" i="13"/>
  <c r="P21" i="13"/>
  <c r="F21" i="13"/>
  <c r="R21" i="13"/>
  <c r="W16" i="13"/>
  <c r="Q16" i="13"/>
  <c r="S16" i="13" s="1"/>
  <c r="U16" i="13" s="1"/>
  <c r="X16" i="13"/>
  <c r="V16" i="13"/>
  <c r="B16" i="13"/>
  <c r="D16" i="13"/>
  <c r="H16" i="13"/>
  <c r="O16" i="13"/>
  <c r="K16" i="13"/>
  <c r="L16" i="13"/>
  <c r="J16" i="13"/>
  <c r="C16" i="13"/>
  <c r="G16" i="13"/>
  <c r="I16" i="13" s="1"/>
  <c r="W18" i="13"/>
  <c r="Q18" i="13"/>
  <c r="S18" i="13" s="1"/>
  <c r="U18" i="13" s="1"/>
  <c r="X18" i="13"/>
  <c r="V18" i="13"/>
  <c r="K18" i="13"/>
  <c r="B18" i="13"/>
  <c r="C18" i="13"/>
  <c r="D18" i="13"/>
  <c r="L18" i="13"/>
  <c r="H18" i="13"/>
  <c r="G18" i="13"/>
  <c r="O18" i="13"/>
  <c r="J18" i="13"/>
  <c r="W19" i="13"/>
  <c r="Q19" i="13"/>
  <c r="X19" i="13"/>
  <c r="V19" i="13"/>
  <c r="B19" i="13"/>
  <c r="K19" i="13"/>
  <c r="L19" i="13"/>
  <c r="C19" i="13"/>
  <c r="H19" i="13"/>
  <c r="D19" i="13"/>
  <c r="O19" i="13"/>
  <c r="G19" i="13"/>
  <c r="J19" i="13"/>
  <c r="E19" i="13"/>
  <c r="M19" i="13"/>
  <c r="F19" i="13"/>
  <c r="D37" i="3"/>
  <c r="B26" i="3" a="1"/>
  <c r="E115" i="3" a="1"/>
  <c r="H15" i="3"/>
  <c r="H53" i="3"/>
  <c r="E119" i="3" a="1"/>
  <c r="D25" i="3" a="1"/>
  <c r="H118" i="3" a="1"/>
  <c r="J118" i="3" s="1"/>
  <c r="F15" i="3"/>
  <c r="F25" i="3" a="1"/>
  <c r="I53" i="3"/>
  <c r="C37" i="3"/>
  <c r="I49" i="3"/>
  <c r="D26" i="3" a="1"/>
  <c r="H25" i="3" a="1"/>
  <c r="H26" i="3" a="1"/>
  <c r="B37" i="3"/>
  <c r="C26" i="3" a="1"/>
  <c r="B25" i="3" a="1"/>
  <c r="F37" i="3"/>
  <c r="G25" i="3" a="1"/>
  <c r="E118" i="3" a="1"/>
  <c r="E37" i="3"/>
  <c r="G26" i="3" a="1"/>
  <c r="C25" i="3" a="1"/>
  <c r="H117" i="3" a="1"/>
  <c r="E25" i="3" a="1"/>
  <c r="E117" i="3" a="1"/>
  <c r="H37" i="3"/>
  <c r="E26" i="3" a="1"/>
  <c r="E116" i="3" a="1"/>
  <c r="H115" i="3" a="1"/>
  <c r="F26" i="3" a="1"/>
  <c r="F32" i="3" s="1"/>
  <c r="G37" i="3"/>
  <c r="H116" i="3" a="1"/>
  <c r="J116" i="3" s="1"/>
  <c r="H119" i="3" a="1"/>
  <c r="J119" i="3" s="1"/>
  <c r="A25" i="2" a="1"/>
  <c r="C25" i="2" s="1" a="1"/>
  <c r="A24" i="2" a="1"/>
  <c r="C24" i="2" s="1" a="1"/>
  <c r="A22" i="2" a="1"/>
  <c r="C22" i="2" s="1" a="1"/>
  <c r="A18" i="2" a="1"/>
  <c r="C18" i="2" s="1" a="1"/>
  <c r="A20" i="2" a="1"/>
  <c r="C20" i="2" s="1" a="1"/>
  <c r="A26" i="2" a="1"/>
  <c r="C26" i="2" s="1" a="1"/>
  <c r="AB26" i="2" s="1" a="1"/>
  <c r="C13" i="2"/>
  <c r="AI30" i="2" a="1"/>
  <c r="A23" i="2" a="1"/>
  <c r="C23" i="2" s="1" a="1"/>
  <c r="A19" i="2" a="1"/>
  <c r="C19" i="2" s="1" a="1"/>
  <c r="A21" i="2" a="1"/>
  <c r="C21" i="2" s="1" a="1"/>
  <c r="B13" i="2" a="1"/>
  <c r="B27" i="2" s="1"/>
  <c r="A190" i="2"/>
  <c r="AH190" i="2" s="1"/>
  <c r="AG190" i="2" s="1" a="1"/>
  <c r="C190" i="2" a="1"/>
  <c r="I41" i="13" l="1"/>
  <c r="I40" i="13"/>
  <c r="P60" i="13"/>
  <c r="E66" i="13"/>
  <c r="F66" i="13"/>
  <c r="M69" i="13"/>
  <c r="N69" i="13"/>
  <c r="E39" i="13"/>
  <c r="T21" i="13"/>
  <c r="AH41" i="16" a="1"/>
  <c r="P54" i="13"/>
  <c r="F58" i="13"/>
  <c r="T63" i="13"/>
  <c r="P59" i="13"/>
  <c r="E54" i="13"/>
  <c r="I34" i="13"/>
  <c r="I31" i="13"/>
  <c r="I46" i="13"/>
  <c r="P56" i="13"/>
  <c r="P40" i="13"/>
  <c r="I48" i="13"/>
  <c r="F24" i="13"/>
  <c r="E24" i="13"/>
  <c r="T24" i="13" s="1"/>
  <c r="N24" i="13"/>
  <c r="M24" i="13"/>
  <c r="P57" i="13"/>
  <c r="I59" i="13"/>
  <c r="N62" i="13"/>
  <c r="M62" i="13"/>
  <c r="I58" i="13"/>
  <c r="P50" i="13"/>
  <c r="B70" i="13"/>
  <c r="I38" i="13"/>
  <c r="F62" i="13"/>
  <c r="E62" i="13"/>
  <c r="T62" i="13" s="1"/>
  <c r="N34" i="13"/>
  <c r="M34" i="13"/>
  <c r="F34" i="13"/>
  <c r="E34" i="13"/>
  <c r="M45" i="13"/>
  <c r="N45" i="13"/>
  <c r="F46" i="13"/>
  <c r="E46" i="13"/>
  <c r="P49" i="13"/>
  <c r="E45" i="13"/>
  <c r="F45" i="13"/>
  <c r="M66" i="13"/>
  <c r="N66" i="13"/>
  <c r="M35" i="13"/>
  <c r="N35" i="13"/>
  <c r="N31" i="13"/>
  <c r="M31" i="13"/>
  <c r="N39" i="13"/>
  <c r="M39" i="13"/>
  <c r="F32" i="13"/>
  <c r="E32" i="13"/>
  <c r="F40" i="13"/>
  <c r="E40" i="13"/>
  <c r="N53" i="13"/>
  <c r="M53" i="13"/>
  <c r="N54" i="13"/>
  <c r="I53" i="13"/>
  <c r="P53" i="13"/>
  <c r="P42" i="13"/>
  <c r="I42" i="13"/>
  <c r="P34" i="13"/>
  <c r="F42" i="13"/>
  <c r="I61" i="13"/>
  <c r="L70" i="13"/>
  <c r="G70" i="13"/>
  <c r="J70" i="13"/>
  <c r="M17" i="13"/>
  <c r="P22" i="13"/>
  <c r="E69" i="13"/>
  <c r="T69" i="13" s="1"/>
  <c r="F69" i="13"/>
  <c r="P36" i="13"/>
  <c r="P58" i="13"/>
  <c r="I52" i="13"/>
  <c r="I51" i="13"/>
  <c r="I39" i="13"/>
  <c r="P39" i="13"/>
  <c r="F39" i="13"/>
  <c r="I56" i="13"/>
  <c r="I47" i="13"/>
  <c r="P47" i="13"/>
  <c r="T66" i="13"/>
  <c r="P61" i="13"/>
  <c r="I43" i="13"/>
  <c r="R45" i="13"/>
  <c r="S45" i="13"/>
  <c r="S54" i="13"/>
  <c r="R54" i="13"/>
  <c r="E35" i="13"/>
  <c r="F35" i="13"/>
  <c r="R35" i="13"/>
  <c r="S35" i="13"/>
  <c r="R44" i="13"/>
  <c r="S44" i="13"/>
  <c r="E44" i="13"/>
  <c r="F44" i="13"/>
  <c r="N44" i="13"/>
  <c r="M44" i="13"/>
  <c r="R34" i="13"/>
  <c r="S34" i="13"/>
  <c r="N42" i="13"/>
  <c r="M42" i="13"/>
  <c r="R42" i="13"/>
  <c r="S42" i="13"/>
  <c r="N50" i="13"/>
  <c r="M50" i="13"/>
  <c r="K70" i="13"/>
  <c r="I49" i="13"/>
  <c r="C70" i="13"/>
  <c r="I22" i="13"/>
  <c r="O119" i="3"/>
  <c r="G119" i="3"/>
  <c r="F28" i="3"/>
  <c r="F31" i="3"/>
  <c r="E67" i="13"/>
  <c r="T67" i="13" s="1"/>
  <c r="F67" i="13"/>
  <c r="U67" i="13"/>
  <c r="N60" i="13"/>
  <c r="M60" i="13"/>
  <c r="F60" i="13"/>
  <c r="E60" i="13"/>
  <c r="F47" i="13"/>
  <c r="E47" i="13"/>
  <c r="N47" i="13"/>
  <c r="M47" i="13"/>
  <c r="F59" i="13"/>
  <c r="E59" i="13"/>
  <c r="E48" i="13"/>
  <c r="F48" i="13"/>
  <c r="N61" i="13"/>
  <c r="M61" i="13"/>
  <c r="F43" i="13"/>
  <c r="E43" i="13"/>
  <c r="N55" i="13"/>
  <c r="M55" i="13"/>
  <c r="M41" i="13"/>
  <c r="N41" i="13"/>
  <c r="E41" i="13"/>
  <c r="F41" i="13"/>
  <c r="S41" i="13"/>
  <c r="U41" i="13" s="1"/>
  <c r="R41" i="13"/>
  <c r="E31" i="13"/>
  <c r="F31" i="13"/>
  <c r="M46" i="13"/>
  <c r="N46" i="13"/>
  <c r="F68" i="13"/>
  <c r="E68" i="13"/>
  <c r="T68" i="13" s="1"/>
  <c r="M68" i="13"/>
  <c r="N68" i="13"/>
  <c r="N32" i="13"/>
  <c r="M32" i="13"/>
  <c r="M40" i="13"/>
  <c r="N40" i="13"/>
  <c r="M52" i="13"/>
  <c r="N52" i="13"/>
  <c r="E52" i="13"/>
  <c r="F52" i="13"/>
  <c r="M57" i="13"/>
  <c r="N57" i="13"/>
  <c r="N33" i="13"/>
  <c r="M33" i="13"/>
  <c r="M51" i="13"/>
  <c r="N51" i="13"/>
  <c r="N37" i="13"/>
  <c r="M37" i="13"/>
  <c r="M59" i="13"/>
  <c r="N59" i="13"/>
  <c r="N48" i="13"/>
  <c r="M48" i="13"/>
  <c r="M30" i="13"/>
  <c r="N30" i="13"/>
  <c r="D70" i="13"/>
  <c r="E30" i="13"/>
  <c r="F30" i="13"/>
  <c r="R10" i="13" a="1"/>
  <c r="Q10" i="13"/>
  <c r="S30" i="13"/>
  <c r="U30" i="13" s="1"/>
  <c r="R30" i="13"/>
  <c r="Q70" i="13"/>
  <c r="N43" i="13"/>
  <c r="M43" i="13"/>
  <c r="N49" i="13"/>
  <c r="M49" i="13"/>
  <c r="E36" i="13"/>
  <c r="F36" i="13"/>
  <c r="N36" i="13"/>
  <c r="M36" i="13"/>
  <c r="E53" i="13"/>
  <c r="F53" i="13"/>
  <c r="N25" i="13"/>
  <c r="M25" i="13"/>
  <c r="E50" i="13"/>
  <c r="F50" i="13"/>
  <c r="R50" i="13"/>
  <c r="S50" i="13"/>
  <c r="U50" i="13" s="1"/>
  <c r="M67" i="13"/>
  <c r="N67" i="13"/>
  <c r="R31" i="13"/>
  <c r="S31" i="13"/>
  <c r="S39" i="13"/>
  <c r="R39" i="13"/>
  <c r="R46" i="13"/>
  <c r="S46" i="13"/>
  <c r="M64" i="13"/>
  <c r="N64" i="13"/>
  <c r="E64" i="13"/>
  <c r="T64" i="13" s="1"/>
  <c r="F64" i="13"/>
  <c r="R32" i="13"/>
  <c r="S32" i="13"/>
  <c r="S40" i="13"/>
  <c r="R40" i="13"/>
  <c r="R52" i="13"/>
  <c r="S52" i="13"/>
  <c r="R56" i="13"/>
  <c r="S56" i="13"/>
  <c r="U56" i="13" s="1"/>
  <c r="F56" i="13"/>
  <c r="E56" i="13"/>
  <c r="M56" i="13"/>
  <c r="N56" i="13"/>
  <c r="S57" i="13"/>
  <c r="U57" i="13" s="1"/>
  <c r="R57" i="13"/>
  <c r="E57" i="13"/>
  <c r="F57" i="13"/>
  <c r="S33" i="13"/>
  <c r="U33" i="13" s="1"/>
  <c r="R33" i="13"/>
  <c r="F33" i="13"/>
  <c r="E33" i="13"/>
  <c r="F51" i="13"/>
  <c r="E51" i="13"/>
  <c r="S51" i="13"/>
  <c r="U51" i="13" s="1"/>
  <c r="R51" i="13"/>
  <c r="S60" i="13"/>
  <c r="R60" i="13"/>
  <c r="S37" i="13"/>
  <c r="U37" i="13" s="1"/>
  <c r="R37" i="13"/>
  <c r="E37" i="13"/>
  <c r="F37" i="13"/>
  <c r="R47" i="13"/>
  <c r="S47" i="13"/>
  <c r="U47" i="13" s="1"/>
  <c r="S59" i="13"/>
  <c r="U59" i="13" s="1"/>
  <c r="R59" i="13"/>
  <c r="E38" i="13"/>
  <c r="F38" i="13"/>
  <c r="N38" i="13"/>
  <c r="M38" i="13"/>
  <c r="S38" i="13"/>
  <c r="U38" i="13" s="1"/>
  <c r="R38" i="13"/>
  <c r="S48" i="13"/>
  <c r="U48" i="13" s="1"/>
  <c r="R48" i="13"/>
  <c r="E61" i="13"/>
  <c r="F61" i="13"/>
  <c r="S61" i="13"/>
  <c r="U61" i="13" s="1"/>
  <c r="R61" i="13"/>
  <c r="P30" i="13"/>
  <c r="O70" i="13"/>
  <c r="I30" i="13"/>
  <c r="H70" i="13"/>
  <c r="S43" i="13"/>
  <c r="U43" i="13" s="1"/>
  <c r="R43" i="13"/>
  <c r="F49" i="13"/>
  <c r="E49" i="13"/>
  <c r="R49" i="13"/>
  <c r="S49" i="13"/>
  <c r="U49" i="13" s="1"/>
  <c r="F55" i="13"/>
  <c r="E55" i="13"/>
  <c r="R55" i="13"/>
  <c r="S55" i="13"/>
  <c r="U55" i="13" s="1"/>
  <c r="S36" i="13"/>
  <c r="U36" i="13" s="1"/>
  <c r="R36" i="13"/>
  <c r="S53" i="13"/>
  <c r="U53" i="13" s="1"/>
  <c r="R53" i="13"/>
  <c r="R58" i="13"/>
  <c r="S58" i="13"/>
  <c r="E20" i="13"/>
  <c r="T20" i="13" s="1"/>
  <c r="E65" i="13"/>
  <c r="T65" i="13" s="1"/>
  <c r="F65" i="13"/>
  <c r="R20" i="13"/>
  <c r="F20" i="13"/>
  <c r="AD25" i="2" a="1"/>
  <c r="AB25" i="2" a="1"/>
  <c r="AD24" i="2" a="1"/>
  <c r="AB24" i="2" a="1"/>
  <c r="AD22" i="2" a="1"/>
  <c r="AB22" i="2" a="1"/>
  <c r="AD18" i="2" a="1"/>
  <c r="AB18" i="2" a="1"/>
  <c r="AD20" i="2" a="1"/>
  <c r="AB20" i="2" a="1"/>
  <c r="AD13" i="2"/>
  <c r="AD27" i="2" s="1"/>
  <c r="AB13" i="2"/>
  <c r="AB62" i="2" a="1"/>
  <c r="AD23" i="2" a="1"/>
  <c r="AB23" i="2" a="1"/>
  <c r="AD19" i="2" a="1"/>
  <c r="AB19" i="2" a="1"/>
  <c r="AD21" i="2" a="1"/>
  <c r="AB21" i="2" a="1"/>
  <c r="M58" i="13"/>
  <c r="N58" i="13"/>
  <c r="P23" i="13"/>
  <c r="F23" i="13"/>
  <c r="E23" i="13"/>
  <c r="M22" i="13"/>
  <c r="M18" i="13"/>
  <c r="P19" i="13"/>
  <c r="S23" i="13"/>
  <c r="R23" i="13"/>
  <c r="N20" i="13"/>
  <c r="M20" i="13"/>
  <c r="E22" i="13"/>
  <c r="T22" i="13" s="1"/>
  <c r="F22" i="13"/>
  <c r="R22" i="13"/>
  <c r="I21" i="13"/>
  <c r="P16" i="13"/>
  <c r="M16" i="13"/>
  <c r="P18" i="13"/>
  <c r="B19" i="3"/>
  <c r="B22" i="3" s="1"/>
  <c r="T17" i="13"/>
  <c r="N23" i="13"/>
  <c r="M23" i="13"/>
  <c r="E16" i="13"/>
  <c r="T16" i="13" s="1"/>
  <c r="F16" i="13"/>
  <c r="R16" i="13"/>
  <c r="E18" i="13"/>
  <c r="T18" i="13" s="1"/>
  <c r="F18" i="13"/>
  <c r="R19" i="13"/>
  <c r="S19" i="13"/>
  <c r="R18" i="13"/>
  <c r="R8" i="13" a="1"/>
  <c r="Q8" i="13"/>
  <c r="K26" i="13"/>
  <c r="N16" i="13"/>
  <c r="N17" i="13"/>
  <c r="N22" i="13"/>
  <c r="N21" i="13"/>
  <c r="Q26" i="13"/>
  <c r="S26" i="13" s="1" a="1"/>
  <c r="B26" i="13"/>
  <c r="D26" i="13"/>
  <c r="H26" i="13"/>
  <c r="O26" i="13"/>
  <c r="L26" i="13"/>
  <c r="J26" i="13"/>
  <c r="C26" i="13"/>
  <c r="G26" i="13"/>
  <c r="N18" i="13"/>
  <c r="I18" i="13"/>
  <c r="N19" i="13"/>
  <c r="I19" i="13"/>
  <c r="F25" i="13"/>
  <c r="E25" i="13"/>
  <c r="T25" i="13" s="1"/>
  <c r="L26" i="2" a="1"/>
  <c r="AD26" i="2" a="1"/>
  <c r="L119" i="3"/>
  <c r="E32" i="3"/>
  <c r="L116" i="3"/>
  <c r="L109" i="3"/>
  <c r="F29" i="3"/>
  <c r="F30" i="3" s="1"/>
  <c r="F23" i="3"/>
  <c r="C28" i="3"/>
  <c r="E19" i="3"/>
  <c r="E22" i="3" s="1"/>
  <c r="G19" i="3"/>
  <c r="G22" i="3" s="1"/>
  <c r="K79" i="3"/>
  <c r="L104" i="3"/>
  <c r="K97" i="3"/>
  <c r="K94" i="3"/>
  <c r="L83" i="3"/>
  <c r="K82" i="3"/>
  <c r="C19" i="3"/>
  <c r="C22" i="3" s="1"/>
  <c r="K68" i="3"/>
  <c r="K67" i="3"/>
  <c r="H21" i="3"/>
  <c r="G115" i="3"/>
  <c r="D31" i="3"/>
  <c r="O115" i="3"/>
  <c r="J117" i="3"/>
  <c r="Q120" i="3"/>
  <c r="D28" i="3"/>
  <c r="B28" i="3"/>
  <c r="O118" i="3"/>
  <c r="G118" i="3"/>
  <c r="E28" i="3"/>
  <c r="E31" i="3"/>
  <c r="E27" i="3"/>
  <c r="E33" i="3" s="1"/>
  <c r="D27" i="3"/>
  <c r="D33" i="3" s="1"/>
  <c r="K119" i="3"/>
  <c r="M119" i="3" s="1"/>
  <c r="H32" i="3"/>
  <c r="G32" i="3"/>
  <c r="K118" i="3"/>
  <c r="M118" i="3" s="1"/>
  <c r="B32" i="3"/>
  <c r="D32" i="3"/>
  <c r="C32" i="3"/>
  <c r="F27" i="3"/>
  <c r="F33" i="3" s="1"/>
  <c r="C31" i="3"/>
  <c r="L117" i="3"/>
  <c r="H28" i="3"/>
  <c r="H27" i="3"/>
  <c r="H33" i="3" s="1"/>
  <c r="H31" i="3"/>
  <c r="H29" i="3"/>
  <c r="H30" i="3" s="1"/>
  <c r="D29" i="3"/>
  <c r="D30" i="3" s="1"/>
  <c r="D23" i="3"/>
  <c r="D15" i="3"/>
  <c r="B27" i="3"/>
  <c r="B33" i="3" s="1"/>
  <c r="B31" i="3"/>
  <c r="G28" i="3"/>
  <c r="G31" i="3"/>
  <c r="G27" i="3"/>
  <c r="G33" i="3" s="1"/>
  <c r="C23" i="3"/>
  <c r="C15" i="3"/>
  <c r="C21" i="3"/>
  <c r="L118" i="3"/>
  <c r="F120" i="3"/>
  <c r="N120" i="3"/>
  <c r="H49" i="3"/>
  <c r="R120" i="3"/>
  <c r="C27" i="3"/>
  <c r="C33" i="3" s="1"/>
  <c r="C29" i="3"/>
  <c r="F19" i="3"/>
  <c r="F22" i="3" s="1"/>
  <c r="F21" i="3"/>
  <c r="D21" i="3"/>
  <c r="D19" i="3"/>
  <c r="D22" i="3" s="1"/>
  <c r="B15" i="3"/>
  <c r="B23" i="3"/>
  <c r="B21" i="3"/>
  <c r="B29" i="3"/>
  <c r="G15" i="3"/>
  <c r="G21" i="3"/>
  <c r="G29" i="3"/>
  <c r="G30" i="3" s="1"/>
  <c r="G23" i="3"/>
  <c r="G117" i="3"/>
  <c r="O117" i="3"/>
  <c r="K117" i="3"/>
  <c r="M117" i="3" s="1"/>
  <c r="O116" i="3"/>
  <c r="G116" i="3"/>
  <c r="K116" i="3"/>
  <c r="M116" i="3" s="1"/>
  <c r="E120" i="3"/>
  <c r="H120" i="3"/>
  <c r="J115" i="3"/>
  <c r="K115" i="3"/>
  <c r="M115" i="3" s="1"/>
  <c r="I51" i="3"/>
  <c r="H51" i="3"/>
  <c r="P120" i="3"/>
  <c r="H19" i="3"/>
  <c r="H22" i="3" s="1"/>
  <c r="H23" i="3"/>
  <c r="L115" i="3"/>
  <c r="I120" i="3"/>
  <c r="E29" i="3"/>
  <c r="E30" i="3" s="1"/>
  <c r="E23" i="3"/>
  <c r="E15" i="3"/>
  <c r="E21" i="3"/>
  <c r="K53" i="3"/>
  <c r="J53" i="3"/>
  <c r="Z25" i="2" a="1"/>
  <c r="L25" i="2" a="1"/>
  <c r="P25" i="2" a="1"/>
  <c r="H25" i="2" a="1"/>
  <c r="D25" i="2" a="1"/>
  <c r="M25" i="2" a="1"/>
  <c r="AF25" i="2" a="1"/>
  <c r="AE25" i="2" a="1"/>
  <c r="E25" i="2" a="1"/>
  <c r="B25" i="2" a="1"/>
  <c r="Q25" i="2" a="1"/>
  <c r="W25" i="2" a="1"/>
  <c r="X25" i="2" s="1" a="1"/>
  <c r="Y25" i="2" s="1"/>
  <c r="Z24" i="2" a="1"/>
  <c r="M24" i="2" a="1"/>
  <c r="D24" i="2" a="1"/>
  <c r="B24" i="2" a="1"/>
  <c r="AE24" i="2" a="1"/>
  <c r="P24" i="2" a="1"/>
  <c r="L24" i="2" a="1"/>
  <c r="W24" i="2" a="1"/>
  <c r="X24" i="2" s="1" a="1"/>
  <c r="Y24" i="2" s="1"/>
  <c r="H24" i="2" a="1"/>
  <c r="AF24" i="2" a="1"/>
  <c r="E24" i="2" a="1"/>
  <c r="Q24" i="2" a="1"/>
  <c r="Z22" i="2" a="1"/>
  <c r="H22" i="2" a="1"/>
  <c r="D22" i="2" a="1"/>
  <c r="P22" i="2" a="1"/>
  <c r="B22" i="2" a="1"/>
  <c r="E22" i="2" a="1"/>
  <c r="W22" i="2" a="1"/>
  <c r="X22" i="2" s="1" a="1"/>
  <c r="Y22" i="2" s="1"/>
  <c r="M22" i="2" a="1"/>
  <c r="L22" i="2" a="1"/>
  <c r="AE22" i="2" a="1"/>
  <c r="AF22" i="2" a="1"/>
  <c r="Q22" i="2" a="1"/>
  <c r="Z18" i="2" a="1"/>
  <c r="M18" i="2" a="1"/>
  <c r="O18" i="2" s="1" a="1"/>
  <c r="E18" i="2" a="1"/>
  <c r="W18" i="2" a="1"/>
  <c r="X18" i="2" s="1" a="1"/>
  <c r="Y18" i="2" s="1"/>
  <c r="Q18" i="2" a="1"/>
  <c r="L18" i="2" a="1"/>
  <c r="D18" i="2" a="1"/>
  <c r="AF18" i="2" a="1"/>
  <c r="P18" i="2" a="1"/>
  <c r="B18" i="2" a="1"/>
  <c r="H18" i="2" a="1"/>
  <c r="AE18" i="2" a="1"/>
  <c r="Z20" i="2" a="1"/>
  <c r="P20" i="2" a="1"/>
  <c r="B20" i="2" a="1"/>
  <c r="E20" i="2" a="1"/>
  <c r="D20" i="2" a="1"/>
  <c r="Q20" i="2" a="1"/>
  <c r="AF20" i="2" a="1"/>
  <c r="AE20" i="2" a="1"/>
  <c r="H20" i="2" a="1"/>
  <c r="W20" i="2" a="1"/>
  <c r="X20" i="2" s="1" a="1"/>
  <c r="Y20" i="2" s="1"/>
  <c r="L20" i="2" a="1"/>
  <c r="M20" i="2" a="1"/>
  <c r="Z26" i="2" a="1"/>
  <c r="AC26" i="2" s="1"/>
  <c r="W26" i="2" a="1"/>
  <c r="X26" i="2" s="1" a="1"/>
  <c r="Y26" i="2" s="1"/>
  <c r="AE26" i="2" a="1"/>
  <c r="M26" i="2" a="1"/>
  <c r="E26" i="2" a="1"/>
  <c r="D26" i="2" a="1"/>
  <c r="H26" i="2" a="1"/>
  <c r="Q26" i="2" a="1"/>
  <c r="AF26" i="2" a="1"/>
  <c r="B26" i="2" a="1"/>
  <c r="P26" i="2" a="1"/>
  <c r="Z13" i="2"/>
  <c r="W13" i="2"/>
  <c r="AF13" i="2" a="1"/>
  <c r="F4" i="2"/>
  <c r="P13" i="2"/>
  <c r="H13" i="2"/>
  <c r="D13" i="2"/>
  <c r="AE13" i="2" a="1"/>
  <c r="C27" i="2"/>
  <c r="M13" i="2"/>
  <c r="L13" i="2"/>
  <c r="E13" i="2"/>
  <c r="Q13" i="2"/>
  <c r="A129" i="2"/>
  <c r="C126" i="2" a="1"/>
  <c r="A31" i="2"/>
  <c r="A183" i="2"/>
  <c r="AH183" i="2" s="1"/>
  <c r="AG183" i="2" s="1" a="1"/>
  <c r="A184" i="2"/>
  <c r="AH184" i="2" s="1"/>
  <c r="AG184" i="2" s="1" a="1"/>
  <c r="C184" i="2" a="1"/>
  <c r="A185" i="2"/>
  <c r="AH185" i="2" s="1"/>
  <c r="AG185" i="2" s="1" a="1"/>
  <c r="C185" i="2" a="1"/>
  <c r="A186" i="2"/>
  <c r="AH186" i="2" s="1"/>
  <c r="AG186" i="2" s="1" a="1"/>
  <c r="C186" i="2" a="1"/>
  <c r="A187" i="2"/>
  <c r="AH187" i="2" s="1"/>
  <c r="AG187" i="2" s="1" a="1"/>
  <c r="C187" i="2" a="1"/>
  <c r="A188" i="2"/>
  <c r="AH188" i="2" s="1"/>
  <c r="AG188" i="2" s="1" a="1"/>
  <c r="A189" i="2"/>
  <c r="AH189" i="2" s="1"/>
  <c r="AG189" i="2" s="1" a="1"/>
  <c r="C189" i="2" a="1"/>
  <c r="C183" i="2" a="1"/>
  <c r="A84" i="2"/>
  <c r="AH84" i="2" s="1"/>
  <c r="AG84" i="2" s="1" a="1"/>
  <c r="C99" i="2" a="1"/>
  <c r="C97" i="2" a="1"/>
  <c r="A96" i="2"/>
  <c r="C91" i="2" a="1"/>
  <c r="C90" i="2" a="1"/>
  <c r="A87" i="2"/>
  <c r="A86" i="2"/>
  <c r="C83" i="2" a="1"/>
  <c r="C82" i="2" a="1"/>
  <c r="A81" i="2"/>
  <c r="A128" i="2"/>
  <c r="AH128" i="2" s="1"/>
  <c r="AG128" i="2" s="1" a="1"/>
  <c r="AB128" i="2" s="1" a="1"/>
  <c r="A127" i="2"/>
  <c r="C124" i="2" a="1"/>
  <c r="C84" i="2" a="1"/>
  <c r="C101" i="2" a="1"/>
  <c r="A122" i="2"/>
  <c r="AH122" i="2" s="1"/>
  <c r="AG122" i="2" s="1" a="1"/>
  <c r="A121" i="2"/>
  <c r="AH121" i="2" s="1"/>
  <c r="AG121" i="2" s="1" a="1"/>
  <c r="A120" i="2"/>
  <c r="A116" i="2"/>
  <c r="A115" i="2"/>
  <c r="AH115" i="2" s="1"/>
  <c r="AG115" i="2" s="1" a="1"/>
  <c r="AB115" i="2" s="1" a="1"/>
  <c r="A113" i="2"/>
  <c r="AH113" i="2" s="1"/>
  <c r="AG113" i="2" s="1" a="1"/>
  <c r="A112" i="2"/>
  <c r="A108" i="2"/>
  <c r="C106" i="2" a="1"/>
  <c r="A105" i="2"/>
  <c r="C152" i="2" a="1"/>
  <c r="A150" i="2"/>
  <c r="AH150" i="2" s="1"/>
  <c r="AG150" i="2" s="1" a="1"/>
  <c r="A149" i="2"/>
  <c r="AH149" i="2" s="1"/>
  <c r="AG149" i="2" s="1" a="1"/>
  <c r="A148" i="2"/>
  <c r="AH148" i="2" s="1"/>
  <c r="AG148" i="2" s="1" a="1"/>
  <c r="A147" i="2"/>
  <c r="AH147" i="2" s="1"/>
  <c r="AG147" i="2" s="1" a="1"/>
  <c r="A146" i="2"/>
  <c r="AH146" i="2" s="1"/>
  <c r="AG146" i="2" s="1" a="1"/>
  <c r="C145" i="2" a="1"/>
  <c r="A144" i="2"/>
  <c r="AH144" i="2" s="1"/>
  <c r="AG144" i="2" s="1" a="1"/>
  <c r="C143" i="2" a="1"/>
  <c r="A143" i="2"/>
  <c r="AH143" i="2" s="1"/>
  <c r="AG143" i="2" s="1" a="1"/>
  <c r="A142" i="2"/>
  <c r="A141" i="2"/>
  <c r="A132" i="2"/>
  <c r="AH132" i="2" s="1"/>
  <c r="AG132" i="2" s="1" a="1"/>
  <c r="A131" i="2"/>
  <c r="AH131" i="2" s="1"/>
  <c r="AG131" i="2" s="1" a="1"/>
  <c r="A130" i="2"/>
  <c r="AH130" i="2" s="1"/>
  <c r="AG130" i="2" s="1" a="1"/>
  <c r="A178" i="2"/>
  <c r="AH178" i="2" s="1"/>
  <c r="AG178" i="2" s="1" a="1"/>
  <c r="A175" i="2"/>
  <c r="C167" i="2" a="1"/>
  <c r="C161" i="2" a="1"/>
  <c r="C157" i="2" a="1"/>
  <c r="A118" i="2"/>
  <c r="AH118" i="2" s="1"/>
  <c r="AG118" i="2" s="1" a="1"/>
  <c r="A151" i="2"/>
  <c r="C146" i="2" a="1"/>
  <c r="C171" i="2" a="1"/>
  <c r="A169" i="2"/>
  <c r="AH169" i="2" s="1"/>
  <c r="AG169" i="2" s="1" a="1"/>
  <c r="A163" i="2"/>
  <c r="AH163" i="2" s="1"/>
  <c r="AG163" i="2" s="1" a="1"/>
  <c r="C149" i="2" a="1"/>
  <c r="A138" i="2"/>
  <c r="AH138" i="2" s="1"/>
  <c r="AG138" i="2" s="1" a="1"/>
  <c r="A135" i="2"/>
  <c r="AH135" i="2" s="1"/>
  <c r="AG135" i="2" s="1" a="1"/>
  <c r="C132" i="2" a="1"/>
  <c r="A162" i="2"/>
  <c r="AH162" i="2" s="1"/>
  <c r="AG162" i="2" s="1" a="1"/>
  <c r="A79" i="2"/>
  <c r="C76" i="2" a="1"/>
  <c r="A75" i="2"/>
  <c r="A73" i="2"/>
  <c r="A72" i="2"/>
  <c r="AH72" i="2" s="1"/>
  <c r="AG72" i="2" s="1" a="1"/>
  <c r="C69" i="2" a="1"/>
  <c r="A68" i="2"/>
  <c r="AH68" i="2" s="1"/>
  <c r="AG68" i="2" s="1" a="1"/>
  <c r="A67" i="2"/>
  <c r="AH67" i="2" s="1"/>
  <c r="AG67" i="2" s="1" a="1"/>
  <c r="A66" i="2"/>
  <c r="AH66" i="2" s="1"/>
  <c r="AG66" i="2" s="1" a="1"/>
  <c r="A64" i="2"/>
  <c r="AH64" i="2" s="1"/>
  <c r="AG64" i="2" s="1" a="1"/>
  <c r="AH62" i="2"/>
  <c r="AG62" i="2" s="1" a="1"/>
  <c r="AD62" i="2" s="1" a="1"/>
  <c r="A60" i="2"/>
  <c r="A58" i="2"/>
  <c r="A104" i="2"/>
  <c r="A103" i="2"/>
  <c r="C100" i="2" a="1"/>
  <c r="A99" i="2"/>
  <c r="AH99" i="2" s="1"/>
  <c r="AG99" i="2" s="1" a="1"/>
  <c r="A98" i="2"/>
  <c r="AH98" i="2" s="1"/>
  <c r="AG98" i="2" s="1" a="1"/>
  <c r="AB98" i="2" s="1" a="1"/>
  <c r="A97" i="2"/>
  <c r="AH97" i="2" s="1"/>
  <c r="AG97" i="2" s="1" a="1"/>
  <c r="A95" i="2"/>
  <c r="AH95" i="2" s="1"/>
  <c r="AG95" i="2" s="1" a="1"/>
  <c r="A94" i="2"/>
  <c r="AH94" i="2" s="1"/>
  <c r="AG94" i="2" s="1" a="1"/>
  <c r="A92" i="2"/>
  <c r="A85" i="2"/>
  <c r="A83" i="2"/>
  <c r="AH83" i="2" s="1"/>
  <c r="AG83" i="2" s="1" a="1"/>
  <c r="A82" i="2"/>
  <c r="AH82" i="2" s="1"/>
  <c r="AG82" i="2" s="1" a="1"/>
  <c r="A80" i="2"/>
  <c r="A125" i="2"/>
  <c r="A174" i="2"/>
  <c r="AH174" i="2" s="1"/>
  <c r="AG174" i="2" s="1" a="1"/>
  <c r="A172" i="2"/>
  <c r="A168" i="2"/>
  <c r="A167" i="2"/>
  <c r="AH167" i="2" s="1"/>
  <c r="AG167" i="2" s="1" a="1"/>
  <c r="A166" i="2"/>
  <c r="AH166" i="2" s="1"/>
  <c r="AG166" i="2" s="1" a="1"/>
  <c r="A165" i="2"/>
  <c r="AH165" i="2" s="1"/>
  <c r="AG165" i="2" s="1" a="1"/>
  <c r="C163" i="2" a="1"/>
  <c r="A158" i="2"/>
  <c r="AH158" i="2" s="1"/>
  <c r="AG158" i="2" s="1" a="1"/>
  <c r="C118" i="2" a="1"/>
  <c r="A117" i="2"/>
  <c r="A111" i="2"/>
  <c r="A107" i="2"/>
  <c r="A153" i="2"/>
  <c r="AH153" i="2" s="1"/>
  <c r="AG153" i="2" s="1" a="1"/>
  <c r="A152" i="2"/>
  <c r="AH152" i="2" s="1"/>
  <c r="AG152" i="2" s="1" a="1"/>
  <c r="C144" i="2" a="1"/>
  <c r="A140" i="2"/>
  <c r="C135" i="2" a="1"/>
  <c r="C134" i="2" a="1"/>
  <c r="A134" i="2"/>
  <c r="AH134" i="2" s="1"/>
  <c r="AG134" i="2" s="1" a="1"/>
  <c r="A133" i="2"/>
  <c r="C131" i="2" a="1"/>
  <c r="C179" i="2" a="1"/>
  <c r="A179" i="2"/>
  <c r="AH179" i="2" s="1"/>
  <c r="AG179" i="2" s="1" a="1"/>
  <c r="A177" i="2"/>
  <c r="AH177" i="2" s="1"/>
  <c r="AG177" i="2" s="1" a="1"/>
  <c r="A176" i="2"/>
  <c r="AH176" i="2" s="1"/>
  <c r="AG176" i="2" s="1" a="1"/>
  <c r="C174" i="2" a="1"/>
  <c r="A173" i="2"/>
  <c r="C170" i="2" a="1"/>
  <c r="A170" i="2"/>
  <c r="AH170" i="2" s="1"/>
  <c r="AG170" i="2" s="1" a="1"/>
  <c r="C169" i="2" a="1"/>
  <c r="C166" i="2" a="1"/>
  <c r="A160" i="2"/>
  <c r="AH160" i="2" s="1"/>
  <c r="AG160" i="2" s="1" a="1"/>
  <c r="C159" i="2" a="1"/>
  <c r="A155" i="2"/>
  <c r="C114" i="2" a="1"/>
  <c r="C110" i="2" a="1"/>
  <c r="A154" i="2"/>
  <c r="AH154" i="2" s="1"/>
  <c r="AG154" i="2" s="1" a="1"/>
  <c r="C148" i="2" a="1"/>
  <c r="C138" i="2" a="1"/>
  <c r="C178" i="2" a="1"/>
  <c r="C164" i="2" a="1"/>
  <c r="A161" i="2"/>
  <c r="AH161" i="2" s="1"/>
  <c r="AG161" i="2" s="1" a="1"/>
  <c r="C158" i="2" a="1"/>
  <c r="A110" i="2"/>
  <c r="AH110" i="2" s="1"/>
  <c r="AG110" i="2" s="1" a="1"/>
  <c r="AB110" i="2" s="1" a="1"/>
  <c r="C153" i="2" a="1"/>
  <c r="C147" i="2" a="1"/>
  <c r="A139" i="2"/>
  <c r="C177" i="2" a="1"/>
  <c r="C165" i="2" a="1"/>
  <c r="A157" i="2"/>
  <c r="AH157" i="2" s="1"/>
  <c r="AG157" i="2" s="1" a="1"/>
  <c r="A78" i="2"/>
  <c r="AH78" i="2" s="1"/>
  <c r="AG78" i="2" s="1" a="1"/>
  <c r="A77" i="2"/>
  <c r="A76" i="2"/>
  <c r="AH76" i="2" s="1"/>
  <c r="AG76" i="2" s="1" a="1"/>
  <c r="AB76" i="2" s="1" a="1"/>
  <c r="A74" i="2"/>
  <c r="C72" i="2" a="1"/>
  <c r="A71" i="2"/>
  <c r="A70" i="2"/>
  <c r="A69" i="2"/>
  <c r="AH69" i="2" s="1"/>
  <c r="AG69" i="2" s="1" a="1"/>
  <c r="C68" i="2" a="1"/>
  <c r="C67" i="2" a="1"/>
  <c r="C66" i="2" a="1"/>
  <c r="A65" i="2"/>
  <c r="AH65" i="2" s="1"/>
  <c r="AG65" i="2" s="1" a="1"/>
  <c r="A63" i="2"/>
  <c r="C61" i="2" a="1"/>
  <c r="A61" i="2"/>
  <c r="AH61" i="2" s="1"/>
  <c r="AG61" i="2" s="1" a="1"/>
  <c r="A59" i="2"/>
  <c r="A102" i="2"/>
  <c r="A101" i="2"/>
  <c r="AH101" i="2" s="1"/>
  <c r="AG101" i="2" s="1" a="1"/>
  <c r="A100" i="2"/>
  <c r="AH100" i="2" s="1"/>
  <c r="AG100" i="2" s="1" a="1"/>
  <c r="C98" i="2" a="1"/>
  <c r="A93" i="2"/>
  <c r="A91" i="2"/>
  <c r="AH91" i="2" s="1"/>
  <c r="AG91" i="2" s="1" a="1"/>
  <c r="A90" i="2"/>
  <c r="AH90" i="2" s="1"/>
  <c r="AG90" i="2" s="1" a="1"/>
  <c r="A89" i="2"/>
  <c r="A88" i="2"/>
  <c r="A126" i="2"/>
  <c r="AH126" i="2" s="1"/>
  <c r="AG126" i="2" s="1" a="1"/>
  <c r="A124" i="2"/>
  <c r="AH124" i="2" s="1"/>
  <c r="AG124" i="2" s="1" a="1"/>
  <c r="A123" i="2"/>
  <c r="C122" i="2" a="1"/>
  <c r="C121" i="2" a="1"/>
  <c r="A119" i="2"/>
  <c r="A114" i="2"/>
  <c r="AH114" i="2" s="1"/>
  <c r="AG114" i="2" s="1" a="1"/>
  <c r="A109" i="2"/>
  <c r="A106" i="2"/>
  <c r="AH106" i="2" s="1"/>
  <c r="AG106" i="2" s="1" a="1"/>
  <c r="C154" i="2" a="1"/>
  <c r="C150" i="2" a="1"/>
  <c r="A145" i="2"/>
  <c r="AH145" i="2" s="1"/>
  <c r="AG145" i="2" s="1" a="1"/>
  <c r="A137" i="2"/>
  <c r="AH137" i="2" s="1"/>
  <c r="AG137" i="2" s="1" a="1"/>
  <c r="A136" i="2"/>
  <c r="C130" i="2" a="1"/>
  <c r="C176" i="2" a="1"/>
  <c r="A171" i="2"/>
  <c r="AH171" i="2" s="1"/>
  <c r="AG171" i="2" s="1" a="1"/>
  <c r="A164" i="2"/>
  <c r="AH164" i="2" s="1"/>
  <c r="AG164" i="2" s="1" a="1"/>
  <c r="C162" i="2" a="1"/>
  <c r="C160" i="2" a="1"/>
  <c r="A159" i="2"/>
  <c r="AH159" i="2" s="1"/>
  <c r="AG159" i="2" s="1" a="1"/>
  <c r="A156" i="2"/>
  <c r="C156" i="2" s="1" a="1"/>
  <c r="C182" i="2" a="1"/>
  <c r="A182" i="2"/>
  <c r="AH182" i="2" s="1"/>
  <c r="AG182" i="2" s="1" a="1"/>
  <c r="C181" i="2" a="1"/>
  <c r="A181" i="2"/>
  <c r="AH181" i="2" s="1"/>
  <c r="AG181" i="2" s="1" a="1"/>
  <c r="C180" i="2" a="1"/>
  <c r="A180" i="2"/>
  <c r="AH180" i="2" s="1"/>
  <c r="AG180" i="2" s="1" a="1"/>
  <c r="AH30" i="2"/>
  <c r="AG30" i="2" a="1"/>
  <c r="A30" i="2"/>
  <c r="A56" i="2"/>
  <c r="AH56" i="2" s="1"/>
  <c r="AG56" i="2" s="1" a="1"/>
  <c r="A57" i="2"/>
  <c r="C57" i="2" a="1"/>
  <c r="A55" i="2"/>
  <c r="A54" i="2"/>
  <c r="A53" i="2"/>
  <c r="A52" i="2"/>
  <c r="A51" i="2"/>
  <c r="AH51" i="2" s="1"/>
  <c r="AG51" i="2" s="1" a="1"/>
  <c r="A50" i="2"/>
  <c r="A49" i="2"/>
  <c r="AH49" i="2" s="1"/>
  <c r="AG49" i="2" s="1" a="1"/>
  <c r="A48" i="2"/>
  <c r="AH48" i="2" s="1"/>
  <c r="AG48" i="2" s="1" a="1"/>
  <c r="A47" i="2"/>
  <c r="AH47" i="2" s="1"/>
  <c r="AG47" i="2" s="1" a="1"/>
  <c r="A46" i="2"/>
  <c r="A45" i="2"/>
  <c r="A44" i="2"/>
  <c r="A43" i="2"/>
  <c r="AH43" i="2" s="1"/>
  <c r="AG43" i="2" s="1" a="1"/>
  <c r="A42" i="2"/>
  <c r="A41" i="2"/>
  <c r="A40" i="2"/>
  <c r="A39" i="2"/>
  <c r="A38" i="2"/>
  <c r="A37" i="2"/>
  <c r="A36" i="2"/>
  <c r="AH36" i="2" s="1"/>
  <c r="AG36" i="2" s="1" a="1"/>
  <c r="AH35" i="2"/>
  <c r="AG35" i="2" a="1"/>
  <c r="A35" i="2"/>
  <c r="AH34" i="2"/>
  <c r="AG34" i="2" a="1"/>
  <c r="A34" i="2"/>
  <c r="AH33" i="2"/>
  <c r="AG33" i="2" a="1"/>
  <c r="A33" i="2"/>
  <c r="C33" i="2" s="1" a="1"/>
  <c r="AH32" i="2"/>
  <c r="AG32" i="2" a="1"/>
  <c r="A32" i="2"/>
  <c r="AH31" i="2"/>
  <c r="AG31" i="2" a="1"/>
  <c r="Z23" i="2" a="1"/>
  <c r="M23" i="2" a="1"/>
  <c r="L23" i="2" a="1"/>
  <c r="D23" i="2" a="1"/>
  <c r="P23" i="2" a="1"/>
  <c r="Q23" i="2" a="1"/>
  <c r="AF23" i="2" a="1"/>
  <c r="AE23" i="2" a="1"/>
  <c r="E23" i="2" a="1"/>
  <c r="B23" i="2" a="1"/>
  <c r="W23" i="2" a="1"/>
  <c r="X23" i="2" s="1" a="1"/>
  <c r="Y23" i="2" s="1"/>
  <c r="H23" i="2" a="1"/>
  <c r="M19" i="2" a="1"/>
  <c r="L19" i="2" a="1"/>
  <c r="E19" i="2" a="1"/>
  <c r="W21" i="2" a="1"/>
  <c r="X21" i="2" s="1" a="1"/>
  <c r="Y21" i="2" s="1"/>
  <c r="Q21" i="2" a="1"/>
  <c r="B21" i="2" a="1"/>
  <c r="AE21" i="2" a="1"/>
  <c r="D21" i="2" a="1"/>
  <c r="P21" i="2" a="1"/>
  <c r="H21" i="2" a="1"/>
  <c r="E21" i="2" a="1"/>
  <c r="AF21" i="2" a="1"/>
  <c r="Z19" i="2" a="1"/>
  <c r="Q19" i="2" a="1"/>
  <c r="P19" i="2" a="1"/>
  <c r="B19" i="2" a="1"/>
  <c r="D19" i="2" a="1"/>
  <c r="H19" i="2" a="1"/>
  <c r="AF19" i="2" a="1"/>
  <c r="AE19" i="2" a="1"/>
  <c r="W19" i="2" a="1"/>
  <c r="X19" i="2" s="1" a="1"/>
  <c r="Y19" i="2" s="1"/>
  <c r="Z21" i="2" a="1"/>
  <c r="M21" i="2" a="1"/>
  <c r="L21" i="2" a="1"/>
  <c r="C78" i="2" a="1"/>
  <c r="C64" i="2" a="1"/>
  <c r="AB64" i="2" s="1" a="1"/>
  <c r="C94" i="2" a="1"/>
  <c r="C128" i="2" a="1"/>
  <c r="C115" i="2" a="1"/>
  <c r="AF190" i="2" a="1"/>
  <c r="P190" i="2" a="1"/>
  <c r="B190" i="2" a="1"/>
  <c r="L190" i="2" a="1"/>
  <c r="M190" i="2" a="1"/>
  <c r="O190" i="2" s="1" a="1"/>
  <c r="E190" i="2" a="1"/>
  <c r="Q190" i="2" a="1"/>
  <c r="H190" i="2" a="1"/>
  <c r="W190" i="2" a="1"/>
  <c r="X190" i="2" s="1" a="1"/>
  <c r="Y190" i="2" s="1"/>
  <c r="AE190" i="2" a="1"/>
  <c r="D190" i="2" a="1"/>
  <c r="AH156" i="2"/>
  <c r="AG156" i="2" s="1" a="1"/>
  <c r="C137" i="2" a="1"/>
  <c r="C62" i="2" a="1"/>
  <c r="E70" i="13" l="1"/>
  <c r="P70" i="13"/>
  <c r="I70" i="13"/>
  <c r="T53" i="13"/>
  <c r="M70" i="13"/>
  <c r="T50" i="13"/>
  <c r="U45" i="13"/>
  <c r="T45" i="13"/>
  <c r="T35" i="13"/>
  <c r="U35" i="13"/>
  <c r="T44" i="13"/>
  <c r="U44" i="13"/>
  <c r="T34" i="13"/>
  <c r="U34" i="13"/>
  <c r="S70" i="13"/>
  <c r="T70" i="13" s="1"/>
  <c r="R70" i="13"/>
  <c r="T32" i="13"/>
  <c r="U32" i="13"/>
  <c r="T40" i="13"/>
  <c r="U40" i="13"/>
  <c r="T41" i="13"/>
  <c r="T42" i="13"/>
  <c r="U42" i="13"/>
  <c r="T31" i="13"/>
  <c r="U31" i="13"/>
  <c r="T46" i="13"/>
  <c r="U46" i="13"/>
  <c r="T52" i="13"/>
  <c r="U52" i="13"/>
  <c r="T60" i="13"/>
  <c r="U60" i="13"/>
  <c r="T58" i="13"/>
  <c r="U58" i="13"/>
  <c r="F70" i="13"/>
  <c r="B9" i="13" s="1"/>
  <c r="C9" i="13" a="1"/>
  <c r="AD114" i="2" a="1"/>
  <c r="AB114" i="2" a="1"/>
  <c r="AD106" i="2" a="1"/>
  <c r="AB106" i="2" a="1"/>
  <c r="T47" i="13"/>
  <c r="T56" i="13"/>
  <c r="T59" i="13"/>
  <c r="T48" i="13"/>
  <c r="T43" i="13"/>
  <c r="T38" i="13"/>
  <c r="T36" i="13"/>
  <c r="T33" i="13"/>
  <c r="T51" i="13"/>
  <c r="T37" i="13"/>
  <c r="T61" i="13"/>
  <c r="T49" i="13"/>
  <c r="T55" i="13"/>
  <c r="U54" i="13"/>
  <c r="T54" i="13"/>
  <c r="T57" i="13"/>
  <c r="T30" i="13"/>
  <c r="U39" i="13"/>
  <c r="T39" i="13"/>
  <c r="AD72" i="2" a="1"/>
  <c r="AB72" i="2" a="1"/>
  <c r="AD68" i="2" a="1"/>
  <c r="AB68" i="2" a="1"/>
  <c r="AD66" i="2" a="1"/>
  <c r="AB66" i="2" a="1"/>
  <c r="AD160" i="2" a="1"/>
  <c r="AB160" i="2" a="1"/>
  <c r="AD154" i="2" a="1"/>
  <c r="AB154" i="2" a="1"/>
  <c r="AD161" i="2" a="1"/>
  <c r="AB161" i="2" a="1"/>
  <c r="N70" i="13"/>
  <c r="B10" i="13" s="1"/>
  <c r="C10" i="13" a="1"/>
  <c r="T23" i="13"/>
  <c r="U23" i="13"/>
  <c r="AB137" i="2" a="1"/>
  <c r="AB156" i="2" a="1"/>
  <c r="AD67" i="2" a="1"/>
  <c r="AB67" i="2" a="1"/>
  <c r="AD178" i="2" a="1"/>
  <c r="AB178" i="2" a="1"/>
  <c r="AD118" i="2" a="1"/>
  <c r="AB118" i="2" a="1"/>
  <c r="AD187" i="2" a="1"/>
  <c r="AB187" i="2" a="1"/>
  <c r="AD188" i="2" a="1"/>
  <c r="AB188" i="2" a="1"/>
  <c r="AD189" i="2" a="1"/>
  <c r="AB189" i="2" a="1"/>
  <c r="AD69" i="2" a="1"/>
  <c r="AB69" i="2" a="1"/>
  <c r="AD33" i="2" a="1"/>
  <c r="AB33" i="2" a="1"/>
  <c r="AA24" i="2"/>
  <c r="AA22" i="2"/>
  <c r="AC13" i="2"/>
  <c r="AC27" i="2" s="1"/>
  <c r="AA25" i="2"/>
  <c r="AA20" i="2"/>
  <c r="AA18" i="2"/>
  <c r="AA19" i="2"/>
  <c r="AA21" i="2"/>
  <c r="AA23" i="2"/>
  <c r="AC25" i="2"/>
  <c r="AC24" i="2"/>
  <c r="AC22" i="2"/>
  <c r="AC18" i="2"/>
  <c r="AC20" i="2"/>
  <c r="AC23" i="2"/>
  <c r="AC21" i="2"/>
  <c r="AC19" i="2"/>
  <c r="AB27" i="2"/>
  <c r="AB61" i="2" a="1"/>
  <c r="AD183" i="2" a="1"/>
  <c r="AB183" i="2" a="1"/>
  <c r="AD184" i="2" a="1"/>
  <c r="AB184" i="2" a="1"/>
  <c r="AD185" i="2" a="1"/>
  <c r="AB185" i="2" a="1"/>
  <c r="AD186" i="2" a="1"/>
  <c r="AB186" i="2" a="1"/>
  <c r="AD84" i="2" a="1"/>
  <c r="AB84" i="2" a="1"/>
  <c r="AD122" i="2" a="1"/>
  <c r="AB122" i="2" a="1"/>
  <c r="AD121" i="2" a="1"/>
  <c r="AB121" i="2" a="1"/>
  <c r="AD150" i="2" a="1"/>
  <c r="AB150" i="2" a="1"/>
  <c r="AD149" i="2" a="1"/>
  <c r="AB149" i="2" a="1"/>
  <c r="AD148" i="2" a="1"/>
  <c r="AB148" i="2" a="1"/>
  <c r="AD147" i="2" a="1"/>
  <c r="AB147" i="2" a="1"/>
  <c r="AD146" i="2" a="1"/>
  <c r="AB146" i="2" a="1"/>
  <c r="AD144" i="2" a="1"/>
  <c r="AB144" i="2" a="1"/>
  <c r="AD143" i="2" a="1"/>
  <c r="AB143" i="2" a="1"/>
  <c r="AD132" i="2" a="1"/>
  <c r="AB132" i="2" a="1"/>
  <c r="AD131" i="2" a="1"/>
  <c r="AB131" i="2" a="1"/>
  <c r="AD130" i="2" a="1"/>
  <c r="AB130" i="2" a="1"/>
  <c r="AD169" i="2" a="1"/>
  <c r="AB169" i="2" a="1"/>
  <c r="AD163" i="2" a="1"/>
  <c r="AB163" i="2" a="1"/>
  <c r="AD138" i="2" a="1"/>
  <c r="AB138" i="2" a="1"/>
  <c r="AD135" i="2" a="1"/>
  <c r="AB135" i="2" a="1"/>
  <c r="AD162" i="2" a="1"/>
  <c r="AB162" i="2" a="1"/>
  <c r="AD99" i="2" a="1"/>
  <c r="AB99" i="2" a="1"/>
  <c r="AD97" i="2" a="1"/>
  <c r="AB97" i="2" a="1"/>
  <c r="AD94" i="2" a="1"/>
  <c r="AB94" i="2" a="1"/>
  <c r="AD83" i="2" a="1"/>
  <c r="AB83" i="2" a="1"/>
  <c r="AD82" i="2" a="1"/>
  <c r="AB82" i="2" a="1"/>
  <c r="AD174" i="2" a="1"/>
  <c r="AB174" i="2" a="1"/>
  <c r="AD167" i="2" a="1"/>
  <c r="AB167" i="2" a="1"/>
  <c r="AD166" i="2" a="1"/>
  <c r="AB166" i="2" a="1"/>
  <c r="AD165" i="2" a="1"/>
  <c r="AB165" i="2" a="1"/>
  <c r="AD158" i="2" a="1"/>
  <c r="AB158" i="2" a="1"/>
  <c r="AD153" i="2" a="1"/>
  <c r="AB153" i="2" a="1"/>
  <c r="AD152" i="2" a="1"/>
  <c r="AB152" i="2" a="1"/>
  <c r="AD134" i="2" a="1"/>
  <c r="AB134" i="2" a="1"/>
  <c r="AD179" i="2" a="1"/>
  <c r="AB179" i="2" a="1"/>
  <c r="AD177" i="2" a="1"/>
  <c r="AB177" i="2" a="1"/>
  <c r="AD176" i="2" a="1"/>
  <c r="AB176" i="2" a="1"/>
  <c r="AD170" i="2" a="1"/>
  <c r="AB170" i="2" a="1"/>
  <c r="AD157" i="2" a="1"/>
  <c r="AB157" i="2" a="1"/>
  <c r="AD78" i="2" a="1"/>
  <c r="AB78" i="2" a="1"/>
  <c r="AD101" i="2" a="1"/>
  <c r="AB101" i="2" a="1"/>
  <c r="AD100" i="2" a="1"/>
  <c r="AB100" i="2" a="1"/>
  <c r="AD91" i="2" a="1"/>
  <c r="AB91" i="2" a="1"/>
  <c r="AD90" i="2" a="1"/>
  <c r="AB90" i="2" a="1"/>
  <c r="AD126" i="2" a="1"/>
  <c r="AB126" i="2" a="1"/>
  <c r="AD124" i="2" a="1"/>
  <c r="AB124" i="2" a="1"/>
  <c r="AD145" i="2" a="1"/>
  <c r="AB145" i="2" a="1"/>
  <c r="AD171" i="2" a="1"/>
  <c r="AB171" i="2" a="1"/>
  <c r="AD164" i="2" a="1"/>
  <c r="AB164" i="2" a="1"/>
  <c r="AD159" i="2" a="1"/>
  <c r="AB159" i="2" a="1"/>
  <c r="AD182" i="2" a="1"/>
  <c r="AB182" i="2" a="1"/>
  <c r="AD181" i="2" a="1"/>
  <c r="AB181" i="2" a="1"/>
  <c r="AD180" i="2" a="1"/>
  <c r="AB180" i="2" a="1"/>
  <c r="R21" i="2"/>
  <c r="AD98" i="2" a="1"/>
  <c r="AD110" i="2" a="1"/>
  <c r="AH120" i="2"/>
  <c r="AG120" i="2" s="1" a="1"/>
  <c r="C120" i="2" a="1"/>
  <c r="AH105" i="2"/>
  <c r="AG105" i="2" s="1" a="1"/>
  <c r="C105" i="2" a="1"/>
  <c r="M26" i="13"/>
  <c r="AH75" i="2"/>
  <c r="AG75" i="2" s="1" a="1"/>
  <c r="C75" i="2" a="1"/>
  <c r="AH103" i="2"/>
  <c r="AG103" i="2" s="1" a="1"/>
  <c r="C103" i="2" a="1"/>
  <c r="AH119" i="2"/>
  <c r="AG119" i="2" s="1" a="1"/>
  <c r="C119" i="2" a="1"/>
  <c r="AH80" i="2"/>
  <c r="AG80" i="2" s="1" a="1"/>
  <c r="AB80" i="2" s="1" a="1"/>
  <c r="C80" i="2" a="1"/>
  <c r="S21" i="2"/>
  <c r="AD64" i="2" a="1"/>
  <c r="AH85" i="2"/>
  <c r="AG85" i="2" s="1" a="1"/>
  <c r="C85" i="2" a="1"/>
  <c r="B61" i="2" a="1"/>
  <c r="AD61" i="2" a="1"/>
  <c r="H152" i="3" a="1"/>
  <c r="R26" i="13"/>
  <c r="U19" i="13"/>
  <c r="T19" i="13"/>
  <c r="N26" i="13"/>
  <c r="B8" i="13" s="1"/>
  <c r="C8" i="13" a="1"/>
  <c r="E26" i="13"/>
  <c r="T26" i="13" s="1"/>
  <c r="I26" i="13"/>
  <c r="P26" i="13"/>
  <c r="F26" i="13"/>
  <c r="B7" i="13" s="1"/>
  <c r="C7" i="13" a="1"/>
  <c r="H97" i="3"/>
  <c r="AD156" i="2" a="1"/>
  <c r="AD137" i="2" a="1"/>
  <c r="AA26" i="2"/>
  <c r="Z27" i="2"/>
  <c r="AA13" i="2"/>
  <c r="AA27" i="2" s="1"/>
  <c r="W128" i="2" a="1"/>
  <c r="X128" i="2" s="1" a="1"/>
  <c r="Y128" i="2" s="1"/>
  <c r="AD128" i="2" a="1"/>
  <c r="Z115" i="2" a="1"/>
  <c r="AC115" i="2" s="1"/>
  <c r="AD115" i="2" a="1"/>
  <c r="P76" i="2" a="1"/>
  <c r="AF76" i="2" s="1" a="1"/>
  <c r="AD76" i="2" a="1"/>
  <c r="H151" i="3" a="1"/>
  <c r="C173" i="2" a="1"/>
  <c r="AH173" i="2"/>
  <c r="AG173" i="2" s="1" a="1"/>
  <c r="AH151" i="2"/>
  <c r="AG151" i="2" s="1" a="1"/>
  <c r="C151" i="2" a="1"/>
  <c r="AH168" i="2"/>
  <c r="AG168" i="2" s="1" a="1"/>
  <c r="C168" i="2" a="1"/>
  <c r="G89" i="3"/>
  <c r="AH109" i="2"/>
  <c r="AG109" i="2" s="1" a="1"/>
  <c r="C109" i="2" a="1"/>
  <c r="AH92" i="2"/>
  <c r="AG92" i="2" s="1" a="1"/>
  <c r="C92" i="2" a="1"/>
  <c r="G173" i="3"/>
  <c r="H173" i="3" a="1"/>
  <c r="G171" i="3"/>
  <c r="G167" i="3"/>
  <c r="AH116" i="2"/>
  <c r="AG116" i="2" s="1" a="1"/>
  <c r="C116" i="2" a="1"/>
  <c r="AH102" i="2"/>
  <c r="AG102" i="2" s="1" a="1"/>
  <c r="AB102" i="2" s="1" a="1"/>
  <c r="C102" i="2" a="1"/>
  <c r="G86" i="3"/>
  <c r="D67" i="3"/>
  <c r="G165" i="3"/>
  <c r="G172" i="3"/>
  <c r="R26" i="2"/>
  <c r="G107" i="3"/>
  <c r="I69" i="3"/>
  <c r="G108" i="3"/>
  <c r="G95" i="3"/>
  <c r="H94" i="3"/>
  <c r="G134" i="3"/>
  <c r="G156" i="3"/>
  <c r="H171" i="3" a="1"/>
  <c r="H134" i="3" a="1"/>
  <c r="H172" i="3" a="1"/>
  <c r="D68" i="3"/>
  <c r="G69" i="3"/>
  <c r="G168" i="3"/>
  <c r="G158" i="3"/>
  <c r="G109" i="3"/>
  <c r="H164" i="3" a="1"/>
  <c r="G169" i="3"/>
  <c r="K108" i="3"/>
  <c r="H108" i="3"/>
  <c r="I107" i="3"/>
  <c r="L107" i="3"/>
  <c r="L79" i="3"/>
  <c r="M79" i="3" s="1"/>
  <c r="D79" i="3"/>
  <c r="H68" i="3"/>
  <c r="D104" i="3"/>
  <c r="H170" i="3" a="1"/>
  <c r="G166" i="3"/>
  <c r="K109" i="3"/>
  <c r="M109" i="3" s="1"/>
  <c r="H109" i="3"/>
  <c r="I109" i="3"/>
  <c r="D109" i="3"/>
  <c r="D107" i="3"/>
  <c r="K107" i="3"/>
  <c r="H107" i="3"/>
  <c r="I108" i="3"/>
  <c r="D108" i="3"/>
  <c r="L108" i="3"/>
  <c r="M108" i="3" s="1"/>
  <c r="L69" i="3"/>
  <c r="D69" i="3"/>
  <c r="K69" i="3"/>
  <c r="H69" i="3"/>
  <c r="G102" i="3"/>
  <c r="G91" i="3"/>
  <c r="G105" i="3"/>
  <c r="G68" i="3"/>
  <c r="G100" i="3"/>
  <c r="G106" i="3"/>
  <c r="G101" i="3"/>
  <c r="G103" i="3"/>
  <c r="I104" i="3"/>
  <c r="G104" i="3"/>
  <c r="G152" i="3"/>
  <c r="H169" i="3" a="1"/>
  <c r="H168" i="3" a="1"/>
  <c r="H167" i="3" a="1"/>
  <c r="H166" i="3" a="1"/>
  <c r="H165" i="3" a="1"/>
  <c r="G160" i="3"/>
  <c r="G98" i="3"/>
  <c r="G164" i="3"/>
  <c r="G161" i="3"/>
  <c r="G170" i="3"/>
  <c r="G97" i="3"/>
  <c r="G163" i="3"/>
  <c r="H160" i="3" a="1"/>
  <c r="L105" i="3"/>
  <c r="D105" i="3"/>
  <c r="I105" i="3"/>
  <c r="D102" i="3"/>
  <c r="I102" i="3"/>
  <c r="L102" i="3"/>
  <c r="H101" i="3"/>
  <c r="K101" i="3"/>
  <c r="H102" i="3"/>
  <c r="K102" i="3"/>
  <c r="I100" i="3"/>
  <c r="L100" i="3"/>
  <c r="D100" i="3"/>
  <c r="H105" i="3"/>
  <c r="K105" i="3"/>
  <c r="L106" i="3"/>
  <c r="I106" i="3"/>
  <c r="D106" i="3"/>
  <c r="K104" i="3"/>
  <c r="M104" i="3" s="1"/>
  <c r="H104" i="3"/>
  <c r="K106" i="3"/>
  <c r="H106" i="3"/>
  <c r="I101" i="3"/>
  <c r="D101" i="3"/>
  <c r="L101" i="3"/>
  <c r="K103" i="3"/>
  <c r="H103" i="3"/>
  <c r="I103" i="3"/>
  <c r="L103" i="3"/>
  <c r="D103" i="3"/>
  <c r="H100" i="3"/>
  <c r="K100" i="3"/>
  <c r="L68" i="3"/>
  <c r="M68" i="3" s="1"/>
  <c r="I68" i="3"/>
  <c r="G62" i="3"/>
  <c r="G84" i="3"/>
  <c r="G64" i="3"/>
  <c r="G87" i="3"/>
  <c r="H150" i="3" a="1"/>
  <c r="H148" i="3" a="1"/>
  <c r="H79" i="3"/>
  <c r="G88" i="3"/>
  <c r="G80" i="3"/>
  <c r="G90" i="3"/>
  <c r="H153" i="3" a="1"/>
  <c r="H156" i="3" a="1"/>
  <c r="D65" i="3"/>
  <c r="G92" i="3"/>
  <c r="G85" i="3"/>
  <c r="H149" i="3" a="1"/>
  <c r="G65" i="3"/>
  <c r="H146" i="3" a="1"/>
  <c r="G96" i="3"/>
  <c r="G99" i="3"/>
  <c r="G94" i="3"/>
  <c r="G93" i="3"/>
  <c r="I79" i="3"/>
  <c r="G79" i="3"/>
  <c r="G81" i="3"/>
  <c r="I81" i="3"/>
  <c r="G149" i="3"/>
  <c r="G151" i="3"/>
  <c r="G147" i="3"/>
  <c r="H163" i="3" a="1"/>
  <c r="H162" i="3" a="1"/>
  <c r="G66" i="3"/>
  <c r="G159" i="3"/>
  <c r="H161" i="3" a="1"/>
  <c r="G145" i="3"/>
  <c r="G154" i="3"/>
  <c r="G150" i="3"/>
  <c r="G155" i="3"/>
  <c r="H154" i="3" a="1"/>
  <c r="G148" i="3"/>
  <c r="H158" i="3" a="1"/>
  <c r="G157" i="3"/>
  <c r="H155" i="3" a="1"/>
  <c r="H147" i="3" a="1"/>
  <c r="G146" i="3"/>
  <c r="H157" i="3" a="1"/>
  <c r="G153" i="3"/>
  <c r="G162" i="3"/>
  <c r="H159" i="3" a="1"/>
  <c r="I93" i="3"/>
  <c r="D93" i="3"/>
  <c r="L93" i="3"/>
  <c r="D91" i="3"/>
  <c r="L91" i="3"/>
  <c r="I91" i="3"/>
  <c r="H90" i="3"/>
  <c r="K90" i="3"/>
  <c r="D86" i="3"/>
  <c r="I86" i="3"/>
  <c r="L86" i="3"/>
  <c r="L85" i="3"/>
  <c r="I85" i="3"/>
  <c r="D85" i="3"/>
  <c r="L81" i="3"/>
  <c r="D81" i="3"/>
  <c r="H99" i="3"/>
  <c r="K99" i="3"/>
  <c r="H98" i="3"/>
  <c r="K98" i="3"/>
  <c r="K92" i="3"/>
  <c r="H92" i="3"/>
  <c r="L89" i="3"/>
  <c r="D89" i="3"/>
  <c r="I89" i="3"/>
  <c r="H85" i="3"/>
  <c r="K85" i="3"/>
  <c r="I84" i="3"/>
  <c r="L84" i="3"/>
  <c r="D84" i="3"/>
  <c r="I99" i="3"/>
  <c r="L99" i="3"/>
  <c r="D99" i="3"/>
  <c r="D96" i="3"/>
  <c r="L96" i="3"/>
  <c r="I96" i="3"/>
  <c r="K93" i="3"/>
  <c r="H93" i="3"/>
  <c r="I97" i="3"/>
  <c r="D97" i="3"/>
  <c r="L97" i="3"/>
  <c r="M97" i="3" s="1"/>
  <c r="K96" i="3"/>
  <c r="H96" i="3"/>
  <c r="K95" i="3"/>
  <c r="H95" i="3"/>
  <c r="L94" i="3"/>
  <c r="M94" i="3" s="1"/>
  <c r="I94" i="3"/>
  <c r="D94" i="3"/>
  <c r="I92" i="3"/>
  <c r="L92" i="3"/>
  <c r="D92" i="3"/>
  <c r="H89" i="3"/>
  <c r="K89" i="3"/>
  <c r="H87" i="3"/>
  <c r="K87" i="3"/>
  <c r="K84" i="3"/>
  <c r="H84" i="3"/>
  <c r="F78" i="3"/>
  <c r="G83" i="3"/>
  <c r="I83" i="3"/>
  <c r="L82" i="3"/>
  <c r="M82" i="3" s="1"/>
  <c r="I82" i="3"/>
  <c r="D82" i="3"/>
  <c r="L98" i="3"/>
  <c r="I98" i="3"/>
  <c r="D98" i="3"/>
  <c r="K91" i="3"/>
  <c r="H91" i="3"/>
  <c r="L88" i="3"/>
  <c r="I88" i="3"/>
  <c r="D88" i="3"/>
  <c r="D87" i="3"/>
  <c r="I87" i="3"/>
  <c r="L87" i="3"/>
  <c r="H86" i="3"/>
  <c r="K86" i="3"/>
  <c r="I90" i="3"/>
  <c r="L90" i="3"/>
  <c r="D90" i="3"/>
  <c r="D83" i="3"/>
  <c r="K83" i="3"/>
  <c r="M83" i="3" s="1"/>
  <c r="H83" i="3"/>
  <c r="C78" i="3"/>
  <c r="I80" i="3"/>
  <c r="L80" i="3"/>
  <c r="D80" i="3"/>
  <c r="G82" i="3"/>
  <c r="E78" i="3"/>
  <c r="H82" i="3"/>
  <c r="H88" i="3"/>
  <c r="K88" i="3"/>
  <c r="H81" i="3"/>
  <c r="K81" i="3"/>
  <c r="B78" i="3"/>
  <c r="H80" i="3"/>
  <c r="K80" i="3"/>
  <c r="I95" i="3"/>
  <c r="L95" i="3"/>
  <c r="D95" i="3"/>
  <c r="H67" i="3"/>
  <c r="G67" i="3"/>
  <c r="E60" i="3"/>
  <c r="B51" i="3" s="1"/>
  <c r="G63" i="3"/>
  <c r="L67" i="3"/>
  <c r="M67" i="3" s="1"/>
  <c r="I67" i="3"/>
  <c r="L66" i="3"/>
  <c r="I66" i="3"/>
  <c r="D66" i="3"/>
  <c r="H66" i="3"/>
  <c r="K66" i="3"/>
  <c r="L65" i="3"/>
  <c r="I65" i="3"/>
  <c r="K65" i="3"/>
  <c r="H65" i="3"/>
  <c r="I64" i="3"/>
  <c r="L64" i="3"/>
  <c r="D64" i="3"/>
  <c r="K64" i="3"/>
  <c r="H64" i="3"/>
  <c r="L63" i="3"/>
  <c r="D63" i="3"/>
  <c r="I63" i="3"/>
  <c r="K63" i="3"/>
  <c r="H63" i="3"/>
  <c r="L62" i="3"/>
  <c r="D62" i="3"/>
  <c r="I62" i="3"/>
  <c r="K62" i="3"/>
  <c r="H62" i="3"/>
  <c r="J120" i="3"/>
  <c r="G132" i="3"/>
  <c r="E142" i="3"/>
  <c r="H131" i="3" a="1"/>
  <c r="H145" i="3" a="1"/>
  <c r="C142" i="3"/>
  <c r="F142" i="3"/>
  <c r="C44" i="2" a="1"/>
  <c r="AH44" i="2"/>
  <c r="AG44" i="2" s="1" a="1"/>
  <c r="C42" i="2" a="1"/>
  <c r="AH42" i="2"/>
  <c r="AG42" i="2" s="1" a="1"/>
  <c r="H127" i="3" a="1"/>
  <c r="G143" i="3"/>
  <c r="B142" i="3"/>
  <c r="H143" i="3" a="1"/>
  <c r="D142" i="3"/>
  <c r="G144" i="3"/>
  <c r="H144" i="3" a="1"/>
  <c r="B60" i="3"/>
  <c r="K61" i="3"/>
  <c r="H61" i="3"/>
  <c r="C60" i="3"/>
  <c r="L61" i="3"/>
  <c r="M61" i="3" s="1"/>
  <c r="D61" i="3"/>
  <c r="I61" i="3"/>
  <c r="G61" i="3"/>
  <c r="F60" i="3"/>
  <c r="J49" i="3"/>
  <c r="K49" i="3"/>
  <c r="L120" i="3"/>
  <c r="H130" i="3" a="1"/>
  <c r="C125" i="3"/>
  <c r="H128" i="3" a="1"/>
  <c r="E125" i="3"/>
  <c r="H132" i="3" a="1"/>
  <c r="F125" i="3"/>
  <c r="G131" i="3"/>
  <c r="G133" i="3"/>
  <c r="G130" i="3"/>
  <c r="G127" i="3"/>
  <c r="G128" i="3"/>
  <c r="G129" i="3"/>
  <c r="H129" i="3" a="1"/>
  <c r="G120" i="3"/>
  <c r="K120" i="3"/>
  <c r="M120" i="3" s="1"/>
  <c r="O120" i="3"/>
  <c r="H133" i="3" a="1"/>
  <c r="J51" i="3"/>
  <c r="K51" i="3"/>
  <c r="G126" i="3"/>
  <c r="B125" i="3"/>
  <c r="H126" i="3" a="1"/>
  <c r="D125" i="3"/>
  <c r="AH74" i="2"/>
  <c r="AG74" i="2" s="1" a="1"/>
  <c r="C74" i="2" a="1"/>
  <c r="AH73" i="2"/>
  <c r="AG73" i="2" s="1" a="1"/>
  <c r="AB73" i="2" s="1" a="1"/>
  <c r="C73" i="2" a="1"/>
  <c r="AH87" i="2"/>
  <c r="AG87" i="2" s="1" a="1"/>
  <c r="AB87" i="2" s="1" a="1"/>
  <c r="C87" i="2" a="1"/>
  <c r="AH70" i="2"/>
  <c r="AG70" i="2" s="1" a="1"/>
  <c r="AB70" i="2" s="1" a="1"/>
  <c r="C70" i="2" a="1"/>
  <c r="M61" i="2" a="1"/>
  <c r="O61" i="2" s="1" a="1"/>
  <c r="L61" i="2" a="1"/>
  <c r="E61" i="2" a="1"/>
  <c r="AH88" i="2"/>
  <c r="AG88" i="2" s="1" a="1"/>
  <c r="AB88" i="2" s="1" a="1"/>
  <c r="C88" i="2" a="1"/>
  <c r="C54" i="2" a="1"/>
  <c r="AB54" i="2" s="1" a="1"/>
  <c r="AH54" i="2"/>
  <c r="AG54" i="2" s="1" a="1"/>
  <c r="C46" i="2" a="1"/>
  <c r="AH46" i="2"/>
  <c r="AG46" i="2" s="1" a="1"/>
  <c r="AH108" i="2"/>
  <c r="AG108" i="2" s="1" a="1"/>
  <c r="C108" i="2" a="1"/>
  <c r="AH133" i="2"/>
  <c r="AG133" i="2" s="1" a="1"/>
  <c r="C133" i="2" a="1"/>
  <c r="Z62" i="2" a="1"/>
  <c r="AH96" i="2"/>
  <c r="AG96" i="2" s="1" a="1"/>
  <c r="C96" i="2" a="1"/>
  <c r="AH125" i="2"/>
  <c r="AG125" i="2" s="1" a="1"/>
  <c r="C125" i="2" a="1"/>
  <c r="AH139" i="2"/>
  <c r="AG139" i="2" s="1" a="1"/>
  <c r="C139" i="2" a="1"/>
  <c r="Q61" i="2" a="1"/>
  <c r="AH117" i="2"/>
  <c r="AG117" i="2" s="1" a="1"/>
  <c r="C117" i="2" a="1"/>
  <c r="AH112" i="2"/>
  <c r="AG112" i="2" s="1" a="1"/>
  <c r="AB112" i="2" s="1" a="1"/>
  <c r="C112" i="2" a="1"/>
  <c r="C142" i="2" a="1"/>
  <c r="AH142" i="2"/>
  <c r="AG142" i="2" s="1" a="1"/>
  <c r="AH141" i="2"/>
  <c r="AG141" i="2" s="1" a="1"/>
  <c r="C141" i="2" a="1"/>
  <c r="AH111" i="2"/>
  <c r="AG111" i="2" s="1" a="1"/>
  <c r="C111" i="2" a="1"/>
  <c r="AH140" i="2"/>
  <c r="AG140" i="2" s="1" a="1"/>
  <c r="C140" i="2" a="1"/>
  <c r="AH127" i="2"/>
  <c r="AG127" i="2" s="1" a="1"/>
  <c r="AB127" i="2" s="1" a="1"/>
  <c r="C127" i="2" a="1"/>
  <c r="AH77" i="2"/>
  <c r="AG77" i="2" s="1" a="1"/>
  <c r="C77" i="2" a="1"/>
  <c r="AH93" i="2"/>
  <c r="AG93" i="2" s="1" a="1"/>
  <c r="AB93" i="2" s="1" a="1"/>
  <c r="C93" i="2" a="1"/>
  <c r="U21" i="2"/>
  <c r="V21" i="2" s="1"/>
  <c r="AH136" i="2"/>
  <c r="AG136" i="2" s="1" a="1"/>
  <c r="C136" i="2" a="1"/>
  <c r="U22" i="2"/>
  <c r="V22" i="2" s="1"/>
  <c r="AH107" i="2"/>
  <c r="AG107" i="2" s="1" a="1"/>
  <c r="C107" i="2" a="1"/>
  <c r="AH89" i="2"/>
  <c r="AG89" i="2" s="1" a="1"/>
  <c r="C89" i="2" a="1"/>
  <c r="AH123" i="2"/>
  <c r="AG123" i="2" s="1" a="1"/>
  <c r="C123" i="2" a="1"/>
  <c r="C129" i="2" a="1"/>
  <c r="AH129" i="2"/>
  <c r="AG129" i="2" s="1" a="1"/>
  <c r="AH71" i="2"/>
  <c r="AG71" i="2" s="1" a="1"/>
  <c r="C71" i="2" a="1"/>
  <c r="AH104" i="2"/>
  <c r="AG104" i="2" s="1" a="1"/>
  <c r="C104" i="2" a="1"/>
  <c r="AH86" i="2"/>
  <c r="AG86" i="2" s="1" a="1"/>
  <c r="C86" i="2" a="1"/>
  <c r="AH81" i="2"/>
  <c r="AG81" i="2" s="1" a="1"/>
  <c r="AB81" i="2" s="1" a="1"/>
  <c r="C81" i="2" a="1"/>
  <c r="C55" i="2" a="1"/>
  <c r="AH55" i="2"/>
  <c r="AG55" i="2" s="1" a="1"/>
  <c r="W55" i="2" s="1" a="1"/>
  <c r="C38" i="2" a="1"/>
  <c r="AH38" i="2"/>
  <c r="AG38" i="2" s="1" a="1"/>
  <c r="W38" i="2" s="1" a="1"/>
  <c r="X38" i="2" s="1" a="1"/>
  <c r="Y38" i="2" s="1"/>
  <c r="S26" i="2"/>
  <c r="AH175" i="2"/>
  <c r="AG175" i="2" s="1" a="1"/>
  <c r="W175" i="2" s="1" a="1"/>
  <c r="X175" i="2" s="1" a="1"/>
  <c r="Y175" i="2" s="1"/>
  <c r="C175" i="2" a="1"/>
  <c r="U23" i="2"/>
  <c r="V23" i="2" s="1"/>
  <c r="R23" i="2"/>
  <c r="R19" i="2"/>
  <c r="J23" i="2"/>
  <c r="J24" i="2"/>
  <c r="AH63" i="2"/>
  <c r="AG63" i="2" s="1" a="1"/>
  <c r="C63" i="2" a="1"/>
  <c r="F25" i="2"/>
  <c r="R20" i="2"/>
  <c r="F20" i="2"/>
  <c r="C79" i="2" a="1"/>
  <c r="AH79" i="2"/>
  <c r="AG79" i="2" s="1" a="1"/>
  <c r="W79" i="2" s="1" a="1"/>
  <c r="X79" i="2" s="1" a="1"/>
  <c r="Y79" i="2" s="1"/>
  <c r="F18" i="2"/>
  <c r="P61" i="2" a="1"/>
  <c r="AF61" i="2" s="1" a="1"/>
  <c r="H61" i="2" a="1"/>
  <c r="U19" i="2"/>
  <c r="V19" i="2" s="1"/>
  <c r="F19" i="2"/>
  <c r="R18" i="2"/>
  <c r="C52" i="2" a="1"/>
  <c r="AB52" i="2" s="1" a="1"/>
  <c r="AH52" i="2"/>
  <c r="AG52" i="2" s="1" a="1"/>
  <c r="J21" i="2"/>
  <c r="C41" i="2" a="1"/>
  <c r="AH41" i="2"/>
  <c r="AG41" i="2" s="1" a="1"/>
  <c r="C37" i="2" a="1"/>
  <c r="AH37" i="2"/>
  <c r="AG37" i="2" s="1" a="1"/>
  <c r="W37" i="2" s="1" a="1"/>
  <c r="C60" i="2" a="1"/>
  <c r="AH60" i="2"/>
  <c r="AG60" i="2" s="1" a="1"/>
  <c r="C58" i="2" a="1"/>
  <c r="AH58" i="2"/>
  <c r="AG58" i="2" s="1" a="1"/>
  <c r="W58" i="2" s="1" a="1"/>
  <c r="X58" i="2" s="1" a="1"/>
  <c r="Y58" i="2" s="1"/>
  <c r="C59" i="2" a="1"/>
  <c r="AH59" i="2"/>
  <c r="AG59" i="2" s="1" a="1"/>
  <c r="W59" i="2" s="1" a="1"/>
  <c r="C53" i="2" a="1"/>
  <c r="AB53" i="2" s="1" a="1"/>
  <c r="AH53" i="2"/>
  <c r="AG53" i="2" s="1" a="1"/>
  <c r="W53" i="2" s="1" a="1"/>
  <c r="W64" i="2" a="1"/>
  <c r="X64" i="2" s="1" a="1"/>
  <c r="Y64" i="2" s="1"/>
  <c r="B64" i="2" a="1"/>
  <c r="M64" i="2" a="1"/>
  <c r="O64" i="2" s="1" a="1"/>
  <c r="L64" i="2" a="1"/>
  <c r="H64" i="2" a="1"/>
  <c r="Q64" i="2" a="1"/>
  <c r="E64" i="2" a="1"/>
  <c r="P64" i="2" a="1"/>
  <c r="D64" i="2" a="1"/>
  <c r="AE64" i="2" s="1" a="1"/>
  <c r="Z64" i="2" a="1"/>
  <c r="AC64" i="2" s="1"/>
  <c r="J26" i="2"/>
  <c r="Z156" i="2" a="1"/>
  <c r="AH172" i="2"/>
  <c r="AG172" i="2" s="1" a="1"/>
  <c r="C172" i="2" a="1"/>
  <c r="AH155" i="2"/>
  <c r="AG155" i="2" s="1" a="1"/>
  <c r="C155" i="2" a="1"/>
  <c r="T20" i="2"/>
  <c r="C50" i="2" a="1"/>
  <c r="AH50" i="2"/>
  <c r="AG50" i="2" s="1" a="1"/>
  <c r="C40" i="2" a="1"/>
  <c r="AH40" i="2"/>
  <c r="AG40" i="2" s="1" a="1"/>
  <c r="C39" i="2" a="1"/>
  <c r="AH39" i="2"/>
  <c r="AG39" i="2" s="1" a="1"/>
  <c r="S19" i="2"/>
  <c r="J19" i="2"/>
  <c r="R24" i="2"/>
  <c r="D144" i="2" a="1"/>
  <c r="Z144" i="2" a="1"/>
  <c r="W160" i="2" a="1"/>
  <c r="X160" i="2" s="1" a="1"/>
  <c r="Y160" i="2" s="1"/>
  <c r="Z106" i="2" a="1"/>
  <c r="P106" i="2" a="1"/>
  <c r="E106" i="2" a="1"/>
  <c r="Q106" i="2" a="1"/>
  <c r="W106" i="2" a="1"/>
  <c r="X106" i="2" s="1" a="1"/>
  <c r="Y106" i="2" s="1"/>
  <c r="M106" i="2" a="1"/>
  <c r="O106" i="2" s="1" a="1"/>
  <c r="H106" i="2" a="1"/>
  <c r="D106" i="2" a="1"/>
  <c r="B106" i="2" a="1"/>
  <c r="L106" i="2" a="1"/>
  <c r="Z145" i="2" a="1"/>
  <c r="W145" i="2" a="1"/>
  <c r="X145" i="2" s="1" a="1"/>
  <c r="Y145" i="2" s="1"/>
  <c r="E145" i="2" a="1"/>
  <c r="Q145" i="2" a="1"/>
  <c r="P145" i="2" a="1"/>
  <c r="H145" i="2" a="1"/>
  <c r="L145" i="2" a="1"/>
  <c r="M145" i="2" a="1"/>
  <c r="O145" i="2" s="1" a="1"/>
  <c r="B145" i="2" a="1"/>
  <c r="D145" i="2" a="1"/>
  <c r="Z171" i="2" a="1"/>
  <c r="B171" i="2" a="1"/>
  <c r="P171" i="2" a="1"/>
  <c r="AF171" i="2" s="1" a="1"/>
  <c r="Q171" i="2" a="1"/>
  <c r="W171" i="2" a="1"/>
  <c r="X171" i="2" s="1" a="1"/>
  <c r="Y171" i="2" s="1"/>
  <c r="M171" i="2" a="1"/>
  <c r="O171" i="2" s="1" a="1"/>
  <c r="E171" i="2" a="1"/>
  <c r="D171" i="2" a="1"/>
  <c r="AE171" i="2" s="1" a="1"/>
  <c r="H171" i="2" a="1"/>
  <c r="L171" i="2" a="1"/>
  <c r="H164" i="2" a="1"/>
  <c r="B164" i="2" a="1"/>
  <c r="L164" i="2" a="1"/>
  <c r="Q164" i="2" a="1"/>
  <c r="W164" i="2" a="1"/>
  <c r="X164" i="2" s="1" a="1"/>
  <c r="Y164" i="2" s="1"/>
  <c r="M164" i="2" a="1"/>
  <c r="O164" i="2" s="1" a="1"/>
  <c r="W159" i="2" a="1"/>
  <c r="X159" i="2" s="1" a="1"/>
  <c r="Y159" i="2" s="1"/>
  <c r="L159" i="2" a="1"/>
  <c r="M159" i="2" a="1"/>
  <c r="O159" i="2" s="1" a="1"/>
  <c r="M182" i="2" a="1"/>
  <c r="O182" i="2" s="1" a="1"/>
  <c r="W182" i="2" a="1"/>
  <c r="X182" i="2" s="1" a="1"/>
  <c r="Y182" i="2" s="1"/>
  <c r="L182" i="2" a="1"/>
  <c r="M181" i="2" a="1"/>
  <c r="O181" i="2" s="1" a="1"/>
  <c r="L181" i="2" a="1"/>
  <c r="W181" i="2" a="1"/>
  <c r="X181" i="2" s="1" a="1"/>
  <c r="Y181" i="2" s="1"/>
  <c r="W180" i="2" a="1"/>
  <c r="X180" i="2" s="1" a="1"/>
  <c r="Y180" i="2" s="1"/>
  <c r="D180" i="2" a="1"/>
  <c r="W30" i="2" a="1"/>
  <c r="X30" i="2" s="1" a="1"/>
  <c r="Y30" i="2" s="1"/>
  <c r="C30" i="2" a="1"/>
  <c r="S23" i="2"/>
  <c r="F23" i="2"/>
  <c r="F21" i="2"/>
  <c r="S24" i="2"/>
  <c r="J25" i="2"/>
  <c r="R22" i="2"/>
  <c r="F24" i="2"/>
  <c r="U24" i="2"/>
  <c r="V24" i="2" s="1"/>
  <c r="J22" i="2"/>
  <c r="S25" i="2"/>
  <c r="R25" i="2"/>
  <c r="S22" i="2"/>
  <c r="L178" i="2" a="1"/>
  <c r="M178" i="2" a="1"/>
  <c r="O178" i="2" s="1" a="1"/>
  <c r="Z114" i="2" a="1"/>
  <c r="D114" i="2" a="1"/>
  <c r="AE114" i="2" s="1" a="1"/>
  <c r="Q114" i="2" a="1"/>
  <c r="E114" i="2" a="1"/>
  <c r="B114" i="2" a="1"/>
  <c r="H114" i="2" a="1"/>
  <c r="M114" i="2" a="1"/>
  <c r="O114" i="2" s="1" a="1"/>
  <c r="L114" i="2" a="1"/>
  <c r="P114" i="2" a="1"/>
  <c r="AF114" i="2" s="1" a="1"/>
  <c r="W114" i="2" a="1"/>
  <c r="X114" i="2" s="1" a="1"/>
  <c r="Y114" i="2" s="1"/>
  <c r="M180" i="2" a="1"/>
  <c r="O180" i="2" s="1" a="1"/>
  <c r="L180" i="2" a="1"/>
  <c r="U25" i="2"/>
  <c r="V25" i="2" s="1"/>
  <c r="W156" i="2" a="1"/>
  <c r="X156" i="2" s="1" a="1"/>
  <c r="Y156" i="2" s="1"/>
  <c r="U20" i="2"/>
  <c r="V20" i="2" s="1"/>
  <c r="U26" i="2"/>
  <c r="V26" i="2" s="1"/>
  <c r="N18" i="2"/>
  <c r="I25" i="2"/>
  <c r="T25" i="2"/>
  <c r="G25" i="2"/>
  <c r="O25" i="2" a="1"/>
  <c r="N25" i="2"/>
  <c r="O24" i="2" a="1"/>
  <c r="N24" i="2"/>
  <c r="G24" i="2"/>
  <c r="I24" i="2"/>
  <c r="T24" i="2"/>
  <c r="I22" i="2"/>
  <c r="T22" i="2"/>
  <c r="G22" i="2"/>
  <c r="F22" i="2"/>
  <c r="W188" i="2" a="1"/>
  <c r="X188" i="2" s="1" a="1"/>
  <c r="Y188" i="2" s="1"/>
  <c r="C188" i="2" a="1"/>
  <c r="Z122" i="2" a="1"/>
  <c r="P122" i="2" a="1"/>
  <c r="AF122" i="2" s="1" a="1"/>
  <c r="B122" i="2" a="1"/>
  <c r="E122" i="2" a="1"/>
  <c r="H122" i="2" a="1"/>
  <c r="L122" i="2" a="1"/>
  <c r="M122" i="2" a="1"/>
  <c r="O122" i="2" s="1" a="1"/>
  <c r="W122" i="2" a="1"/>
  <c r="X122" i="2" s="1" a="1"/>
  <c r="Y122" i="2" s="1"/>
  <c r="Q122" i="2" a="1"/>
  <c r="D122" i="2" a="1"/>
  <c r="K122" i="2" s="1"/>
  <c r="Z121" i="2" a="1"/>
  <c r="M121" i="2" a="1"/>
  <c r="O121" i="2" s="1" a="1"/>
  <c r="W121" i="2" a="1"/>
  <c r="X121" i="2" s="1" a="1"/>
  <c r="Y121" i="2" s="1"/>
  <c r="D121" i="2" a="1"/>
  <c r="K121" i="2" s="1"/>
  <c r="E121" i="2" a="1"/>
  <c r="P121" i="2" a="1"/>
  <c r="H121" i="2" a="1"/>
  <c r="Q121" i="2" a="1"/>
  <c r="L121" i="2" a="1"/>
  <c r="B121" i="2" a="1"/>
  <c r="C113" i="2" a="1"/>
  <c r="W113" i="2" a="1"/>
  <c r="X113" i="2" s="1" a="1"/>
  <c r="Y113" i="2" s="1"/>
  <c r="Z150" i="2" a="1"/>
  <c r="D150" i="2" a="1"/>
  <c r="L150" i="2" a="1"/>
  <c r="M150" i="2" a="1"/>
  <c r="O150" i="2" s="1" a="1"/>
  <c r="Q150" i="2" a="1"/>
  <c r="P150" i="2" a="1"/>
  <c r="H150" i="2" a="1"/>
  <c r="E150" i="2" a="1"/>
  <c r="W150" i="2" a="1"/>
  <c r="X150" i="2" s="1" a="1"/>
  <c r="Y150" i="2" s="1"/>
  <c r="B150" i="2" a="1"/>
  <c r="Z149" i="2" a="1"/>
  <c r="W149" i="2" a="1"/>
  <c r="X149" i="2" s="1" a="1"/>
  <c r="Y149" i="2" s="1"/>
  <c r="L149" i="2" a="1"/>
  <c r="M149" i="2" a="1"/>
  <c r="O149" i="2" s="1" a="1"/>
  <c r="B149" i="2" a="1"/>
  <c r="P149" i="2" a="1"/>
  <c r="D149" i="2" a="1"/>
  <c r="AE149" i="2" s="1" a="1"/>
  <c r="H149" i="2" a="1"/>
  <c r="E149" i="2" a="1"/>
  <c r="Q149" i="2" a="1"/>
  <c r="M148" i="2" a="1"/>
  <c r="O148" i="2" s="1" a="1"/>
  <c r="L148" i="2" a="1"/>
  <c r="P148" i="2" a="1"/>
  <c r="AF148" i="2" s="1" a="1"/>
  <c r="E148" i="2" a="1"/>
  <c r="D147" i="2" a="1"/>
  <c r="AE147" i="2" s="1" a="1"/>
  <c r="Q147" i="2" a="1"/>
  <c r="H147" i="2" a="1"/>
  <c r="E147" i="2" a="1"/>
  <c r="L147" i="2" a="1"/>
  <c r="M147" i="2" a="1"/>
  <c r="O147" i="2" s="1" a="1"/>
  <c r="P147" i="2" a="1"/>
  <c r="Q146" i="2" a="1"/>
  <c r="H146" i="2" a="1"/>
  <c r="B146" i="2" a="1"/>
  <c r="D146" i="2" a="1"/>
  <c r="M146" i="2" a="1"/>
  <c r="O146" i="2" s="1" a="1"/>
  <c r="L146" i="2" a="1"/>
  <c r="P146" i="2" a="1"/>
  <c r="H144" i="2" a="1"/>
  <c r="Q144" i="2" a="1"/>
  <c r="E144" i="2" a="1"/>
  <c r="M144" i="2" a="1"/>
  <c r="O144" i="2" s="1" a="1"/>
  <c r="W144" i="2" a="1"/>
  <c r="X144" i="2" s="1" a="1"/>
  <c r="Y144" i="2" s="1"/>
  <c r="L144" i="2" a="1"/>
  <c r="B144" i="2" a="1"/>
  <c r="P144" i="2" a="1"/>
  <c r="M143" i="2" a="1"/>
  <c r="O143" i="2" s="1" a="1"/>
  <c r="W143" i="2" a="1"/>
  <c r="X143" i="2" s="1" a="1"/>
  <c r="Y143" i="2" s="1"/>
  <c r="L143" i="2" a="1"/>
  <c r="L132" i="2" a="1"/>
  <c r="M132" i="2" a="1"/>
  <c r="O132" i="2" s="1" a="1"/>
  <c r="E131" i="2" a="1"/>
  <c r="H131" i="2" a="1"/>
  <c r="M131" i="2" a="1"/>
  <c r="O131" i="2" s="1" a="1"/>
  <c r="P131" i="2" a="1"/>
  <c r="AF131" i="2" s="1" a="1"/>
  <c r="L131" i="2" a="1"/>
  <c r="L130" i="2" a="1"/>
  <c r="M130" i="2" a="1"/>
  <c r="O130" i="2" s="1" a="1"/>
  <c r="B130" i="2" a="1"/>
  <c r="D130" i="2" a="1"/>
  <c r="AE130" i="2" s="1" a="1"/>
  <c r="M138" i="2" a="1"/>
  <c r="O138" i="2" s="1" a="1"/>
  <c r="L138" i="2" a="1"/>
  <c r="H135" i="2" a="1"/>
  <c r="D135" i="2" a="1"/>
  <c r="AE135" i="2" s="1" a="1"/>
  <c r="Q135" i="2" a="1"/>
  <c r="M135" i="2" a="1"/>
  <c r="O135" i="2" s="1" a="1"/>
  <c r="L135" i="2" a="1"/>
  <c r="P135" i="2" a="1"/>
  <c r="E135" i="2" a="1"/>
  <c r="B135" i="2" a="1"/>
  <c r="E72" i="2" a="1"/>
  <c r="Q72" i="2" a="1"/>
  <c r="Q68" i="2" a="1"/>
  <c r="P68" i="2" a="1"/>
  <c r="D99" i="2" a="1"/>
  <c r="M99" i="2" a="1"/>
  <c r="O99" i="2" s="1" a="1"/>
  <c r="B99" i="2" a="1"/>
  <c r="L99" i="2" a="1"/>
  <c r="H98" i="2" a="1"/>
  <c r="M98" i="2" a="1"/>
  <c r="O98" i="2" s="1" a="1"/>
  <c r="L98" i="2" a="1"/>
  <c r="M97" i="2" a="1"/>
  <c r="O97" i="2" s="1" a="1"/>
  <c r="L97" i="2" a="1"/>
  <c r="E97" i="2" a="1"/>
  <c r="C95" i="2" a="1"/>
  <c r="W95" i="2" a="1"/>
  <c r="X95" i="2" s="1" a="1"/>
  <c r="Y95" i="2" s="1"/>
  <c r="D83" i="2" a="1"/>
  <c r="M83" i="2" a="1"/>
  <c r="O83" i="2" s="1" a="1"/>
  <c r="E82" i="2" a="1"/>
  <c r="H82" i="2" a="1"/>
  <c r="P167" i="2" a="1"/>
  <c r="M167" i="2" a="1"/>
  <c r="O167" i="2" s="1" a="1"/>
  <c r="L167" i="2" a="1"/>
  <c r="D167" i="2" a="1"/>
  <c r="H167" i="2" a="1"/>
  <c r="J167" i="2" s="1"/>
  <c r="B167" i="2" a="1"/>
  <c r="E167" i="2" a="1"/>
  <c r="Q167" i="2" a="1"/>
  <c r="Z166" i="2" a="1"/>
  <c r="M166" i="2" a="1"/>
  <c r="O166" i="2" s="1" a="1"/>
  <c r="P166" i="2" a="1"/>
  <c r="AF166" i="2" s="1" a="1"/>
  <c r="E166" i="2" a="1"/>
  <c r="W166" i="2" a="1"/>
  <c r="X166" i="2" s="1" a="1"/>
  <c r="Y166" i="2" s="1"/>
  <c r="Q166" i="2" a="1"/>
  <c r="L166" i="2" a="1"/>
  <c r="D166" i="2" a="1"/>
  <c r="AE166" i="2" s="1" a="1"/>
  <c r="B166" i="2" a="1"/>
  <c r="H166" i="2" a="1"/>
  <c r="M165" i="2" a="1"/>
  <c r="O165" i="2" s="1" a="1"/>
  <c r="L165" i="2" a="1"/>
  <c r="B165" i="2" a="1"/>
  <c r="Q165" i="2" a="1"/>
  <c r="P165" i="2" a="1"/>
  <c r="E165" i="2" a="1"/>
  <c r="H165" i="2" a="1"/>
  <c r="D165" i="2" a="1"/>
  <c r="L158" i="2" a="1"/>
  <c r="E158" i="2" a="1"/>
  <c r="H158" i="2" a="1"/>
  <c r="D158" i="2" a="1"/>
  <c r="Q158" i="2" a="1"/>
  <c r="M158" i="2" a="1"/>
  <c r="O158" i="2" s="1" a="1"/>
  <c r="P158" i="2" a="1"/>
  <c r="B158" i="2" a="1"/>
  <c r="Q153" i="2" a="1"/>
  <c r="E153" i="2" a="1"/>
  <c r="P153" i="2" a="1"/>
  <c r="AF153" i="2" s="1" a="1"/>
  <c r="D153" i="2" a="1"/>
  <c r="AE153" i="2" s="1" a="1"/>
  <c r="B153" i="2" a="1"/>
  <c r="H153" i="2" a="1"/>
  <c r="Q152" i="2" a="1"/>
  <c r="D152" i="2" a="1"/>
  <c r="AE152" i="2" s="1" a="1"/>
  <c r="H152" i="2" a="1"/>
  <c r="P152" i="2" a="1"/>
  <c r="E152" i="2" a="1"/>
  <c r="B152" i="2" a="1"/>
  <c r="M152" i="2" a="1"/>
  <c r="O152" i="2" s="1" a="1"/>
  <c r="L152" i="2" a="1"/>
  <c r="Q134" i="2" a="1"/>
  <c r="E134" i="2" a="1"/>
  <c r="M134" i="2" a="1"/>
  <c r="O134" i="2" s="1" a="1"/>
  <c r="H134" i="2" a="1"/>
  <c r="L134" i="2" a="1"/>
  <c r="P134" i="2" a="1"/>
  <c r="B134" i="2" a="1"/>
  <c r="D134" i="2" a="1"/>
  <c r="P179" i="2" a="1"/>
  <c r="E179" i="2" a="1"/>
  <c r="Q179" i="2" a="1"/>
  <c r="H179" i="2" a="1"/>
  <c r="D179" i="2" a="1"/>
  <c r="AE179" i="2" s="1" a="1"/>
  <c r="B179" i="2" a="1"/>
  <c r="W179" i="2" a="1"/>
  <c r="X179" i="2" s="1" a="1"/>
  <c r="Y179" i="2" s="1"/>
  <c r="P177" i="2" a="1"/>
  <c r="H177" i="2" a="1"/>
  <c r="B177" i="2" a="1"/>
  <c r="Q177" i="2" a="1"/>
  <c r="D177" i="2" a="1"/>
  <c r="E177" i="2" a="1"/>
  <c r="U177" i="2" s="1"/>
  <c r="E176" i="2" a="1"/>
  <c r="Q176" i="2" a="1"/>
  <c r="B176" i="2" a="1"/>
  <c r="H176" i="2" a="1"/>
  <c r="P176" i="2" a="1"/>
  <c r="E69" i="2" a="1"/>
  <c r="D69" i="2" a="1"/>
  <c r="W65" i="2" a="1"/>
  <c r="X65" i="2" s="1" a="1"/>
  <c r="Y65" i="2" s="1"/>
  <c r="C65" i="2" a="1"/>
  <c r="AB65" i="2" s="1" a="1"/>
  <c r="M101" i="2" a="1"/>
  <c r="O101" i="2" s="1" a="1"/>
  <c r="L101" i="2" a="1"/>
  <c r="M100" i="2" a="1"/>
  <c r="O100" i="2" s="1" a="1"/>
  <c r="L100" i="2" a="1"/>
  <c r="L91" i="2" a="1"/>
  <c r="M91" i="2" a="1"/>
  <c r="O91" i="2" s="1" a="1"/>
  <c r="L90" i="2" a="1"/>
  <c r="P90" i="2" a="1"/>
  <c r="AF90" i="2" s="1" a="1"/>
  <c r="M90" i="2" a="1"/>
  <c r="O90" i="2" s="1" a="1"/>
  <c r="W126" i="2" a="1"/>
  <c r="X126" i="2" s="1" a="1"/>
  <c r="Y126" i="2" s="1"/>
  <c r="L126" i="2" a="1"/>
  <c r="M126" i="2" a="1"/>
  <c r="O126" i="2" s="1" a="1"/>
  <c r="M124" i="2" a="1"/>
  <c r="O124" i="2" s="1" a="1"/>
  <c r="L124" i="2" a="1"/>
  <c r="H124" i="2" a="1"/>
  <c r="Z164" i="2" a="1"/>
  <c r="D164" i="2" a="1"/>
  <c r="AE164" i="2" s="1" a="1"/>
  <c r="P164" i="2" a="1"/>
  <c r="AF164" i="2" s="1" a="1"/>
  <c r="E164" i="2" a="1"/>
  <c r="Z159" i="2" a="1"/>
  <c r="Q159" i="2" a="1"/>
  <c r="P159" i="2" a="1"/>
  <c r="AF159" i="2" s="1" a="1"/>
  <c r="E159" i="2" a="1"/>
  <c r="D159" i="2" a="1"/>
  <c r="AE159" i="2" s="1" a="1"/>
  <c r="B159" i="2" a="1"/>
  <c r="H159" i="2" a="1"/>
  <c r="C56" i="2" a="1"/>
  <c r="W56" i="2" a="1"/>
  <c r="X56" i="2" s="1" a="1"/>
  <c r="Y56" i="2" s="1"/>
  <c r="AH57" i="2"/>
  <c r="AG57" i="2" s="1" a="1"/>
  <c r="C51" i="2" a="1"/>
  <c r="AB51" i="2" s="1" a="1"/>
  <c r="W51" i="2" a="1"/>
  <c r="C49" i="2" a="1"/>
  <c r="W49" i="2" a="1"/>
  <c r="X49" i="2" s="1" a="1"/>
  <c r="Y49" i="2" s="1"/>
  <c r="W48" i="2" a="1"/>
  <c r="X48" i="2" s="1" a="1"/>
  <c r="Y48" i="2" s="1"/>
  <c r="C48" i="2" a="1"/>
  <c r="AB48" i="2" s="1" a="1"/>
  <c r="W47" i="2" a="1"/>
  <c r="C47" i="2" a="1"/>
  <c r="AH45" i="2"/>
  <c r="AG45" i="2" s="1" a="1"/>
  <c r="W45" i="2" s="1" a="1"/>
  <c r="X45" i="2" s="1" a="1"/>
  <c r="Y45" i="2" s="1"/>
  <c r="C45" i="2" a="1"/>
  <c r="C43" i="2" a="1"/>
  <c r="AB43" i="2" s="1" a="1"/>
  <c r="W43" i="2" a="1"/>
  <c r="X43" i="2" s="1" a="1"/>
  <c r="Y43" i="2" s="1"/>
  <c r="W36" i="2" a="1"/>
  <c r="X36" i="2" s="1" a="1"/>
  <c r="Y36" i="2" s="1"/>
  <c r="C36" i="2" a="1"/>
  <c r="W35" i="2" a="1"/>
  <c r="C35" i="2" a="1"/>
  <c r="C34" i="2" a="1"/>
  <c r="W34" i="2" a="1"/>
  <c r="C32" i="2" a="1"/>
  <c r="W32" i="2" a="1"/>
  <c r="O23" i="2" a="1"/>
  <c r="N23" i="2"/>
  <c r="G23" i="2"/>
  <c r="I23" i="2"/>
  <c r="K21" i="2"/>
  <c r="G21" i="2"/>
  <c r="I21" i="2"/>
  <c r="T21" i="2"/>
  <c r="Z61" i="2" a="1"/>
  <c r="J13" i="2"/>
  <c r="S20" i="2"/>
  <c r="N22" i="2"/>
  <c r="O22" i="2" a="1"/>
  <c r="J20" i="2"/>
  <c r="I20" i="2"/>
  <c r="N20" i="2"/>
  <c r="O20" i="2" a="1"/>
  <c r="F26" i="2"/>
  <c r="O26" i="2" a="1"/>
  <c r="N26" i="2"/>
  <c r="T26" i="2"/>
  <c r="I26" i="2"/>
  <c r="K26" i="2"/>
  <c r="W61" i="2" a="1"/>
  <c r="K18" i="2"/>
  <c r="K20" i="2"/>
  <c r="K24" i="2"/>
  <c r="K22" i="2"/>
  <c r="K23" i="2"/>
  <c r="K25" i="2"/>
  <c r="D61" i="2" a="1"/>
  <c r="AE61" i="2" s="1" a="1"/>
  <c r="Z183" i="2" a="1"/>
  <c r="E183" i="2" a="1"/>
  <c r="L183" i="2" a="1"/>
  <c r="M183" i="2" a="1"/>
  <c r="O183" i="2" s="1" a="1"/>
  <c r="W183" i="2" a="1"/>
  <c r="X183" i="2" s="1" a="1"/>
  <c r="Y183" i="2" s="1"/>
  <c r="Q183" i="2" a="1"/>
  <c r="B183" i="2" a="1"/>
  <c r="D183" i="2" a="1"/>
  <c r="H183" i="2" a="1"/>
  <c r="P183" i="2" a="1"/>
  <c r="AF183" i="2" s="1" a="1"/>
  <c r="Z184" i="2" a="1"/>
  <c r="Q184" i="2" a="1"/>
  <c r="L184" i="2" a="1"/>
  <c r="W184" i="2" a="1"/>
  <c r="X184" i="2" s="1" a="1"/>
  <c r="Y184" i="2" s="1"/>
  <c r="D184" i="2" a="1"/>
  <c r="E184" i="2" a="1"/>
  <c r="U184" i="2" s="1"/>
  <c r="H184" i="2" a="1"/>
  <c r="P184" i="2" a="1"/>
  <c r="M184" i="2" a="1"/>
  <c r="O184" i="2" s="1" a="1"/>
  <c r="AE184" i="2" a="1"/>
  <c r="F184" i="2" s="1"/>
  <c r="B184" i="2" a="1"/>
  <c r="Z185" i="2" a="1"/>
  <c r="E185" i="2" a="1"/>
  <c r="W185" i="2" a="1"/>
  <c r="X185" i="2" s="1" a="1"/>
  <c r="Y185" i="2" s="1"/>
  <c r="Q185" i="2" a="1"/>
  <c r="M185" i="2" a="1"/>
  <c r="O185" i="2" s="1" a="1"/>
  <c r="L185" i="2" a="1"/>
  <c r="H185" i="2" a="1"/>
  <c r="P185" i="2" a="1"/>
  <c r="D185" i="2" a="1"/>
  <c r="AE185" i="2" s="1" a="1"/>
  <c r="B185" i="2" a="1"/>
  <c r="Z186" i="2" a="1"/>
  <c r="D186" i="2" a="1"/>
  <c r="H186" i="2" a="1"/>
  <c r="P186" i="2" a="1"/>
  <c r="B186" i="2" a="1"/>
  <c r="E186" i="2" a="1"/>
  <c r="W186" i="2" a="1"/>
  <c r="X186" i="2" s="1" a="1"/>
  <c r="Y186" i="2" s="1"/>
  <c r="Q186" i="2" a="1"/>
  <c r="M186" i="2" a="1"/>
  <c r="O186" i="2" s="1" a="1"/>
  <c r="L186" i="2" a="1"/>
  <c r="Z187" i="2" a="1"/>
  <c r="B187" i="2" a="1"/>
  <c r="E187" i="2" a="1"/>
  <c r="Q187" i="2" a="1"/>
  <c r="H187" i="2" a="1"/>
  <c r="D187" i="2" a="1"/>
  <c r="L187" i="2" a="1"/>
  <c r="W187" i="2" a="1"/>
  <c r="X187" i="2" s="1" a="1"/>
  <c r="Y187" i="2" s="1"/>
  <c r="M187" i="2" a="1"/>
  <c r="O187" i="2" s="1" a="1"/>
  <c r="P187" i="2" a="1"/>
  <c r="Z189" i="2" a="1"/>
  <c r="W189" i="2" a="1"/>
  <c r="X189" i="2" s="1" a="1"/>
  <c r="Y189" i="2" s="1"/>
  <c r="P189" i="2" a="1"/>
  <c r="D189" i="2" a="1"/>
  <c r="AF189" i="2" a="1"/>
  <c r="E189" i="2" a="1"/>
  <c r="L189" i="2" a="1"/>
  <c r="H189" i="2" a="1"/>
  <c r="Q189" i="2" a="1"/>
  <c r="B189" i="2" a="1"/>
  <c r="AE189" i="2" a="1"/>
  <c r="M189" i="2" a="1"/>
  <c r="O189" i="2" s="1" a="1"/>
  <c r="Z84" i="2" a="1"/>
  <c r="L84" i="2" a="1"/>
  <c r="M84" i="2" a="1"/>
  <c r="O84" i="2" s="1" a="1"/>
  <c r="P84" i="2" a="1"/>
  <c r="W84" i="2" a="1"/>
  <c r="X84" i="2" s="1" a="1"/>
  <c r="Y84" i="2" s="1"/>
  <c r="E84" i="2" a="1"/>
  <c r="Q84" i="2" a="1"/>
  <c r="D84" i="2" a="1"/>
  <c r="AE84" i="2" s="1" a="1"/>
  <c r="H84" i="2" a="1"/>
  <c r="B84" i="2" a="1"/>
  <c r="Z148" i="2" a="1"/>
  <c r="D148" i="2" a="1"/>
  <c r="AE148" i="2" s="1" a="1"/>
  <c r="W148" i="2" a="1"/>
  <c r="X148" i="2" s="1" a="1"/>
  <c r="Y148" i="2" s="1"/>
  <c r="H148" i="2" a="1"/>
  <c r="Q148" i="2" a="1"/>
  <c r="B148" i="2" a="1"/>
  <c r="Z147" i="2" a="1"/>
  <c r="B147" i="2" a="1"/>
  <c r="W147" i="2" a="1"/>
  <c r="X147" i="2" s="1" a="1"/>
  <c r="Y147" i="2" s="1"/>
  <c r="Z146" i="2" a="1"/>
  <c r="W146" i="2" a="1"/>
  <c r="X146" i="2" s="1" a="1"/>
  <c r="Y146" i="2" s="1"/>
  <c r="E146" i="2" a="1"/>
  <c r="Z143" i="2" a="1"/>
  <c r="E143" i="2" a="1"/>
  <c r="H143" i="2" a="1"/>
  <c r="B143" i="2" a="1"/>
  <c r="Q143" i="2" a="1"/>
  <c r="D143" i="2" a="1"/>
  <c r="AE143" i="2" s="1" a="1"/>
  <c r="P143" i="2" a="1"/>
  <c r="AF143" i="2" s="1" a="1"/>
  <c r="Z132" i="2" a="1"/>
  <c r="W132" i="2" a="1"/>
  <c r="X132" i="2" s="1" a="1"/>
  <c r="Y132" i="2" s="1"/>
  <c r="E132" i="2" a="1"/>
  <c r="H132" i="2" a="1"/>
  <c r="Q132" i="2" a="1"/>
  <c r="B132" i="2" a="1"/>
  <c r="P132" i="2" a="1"/>
  <c r="D132" i="2" a="1"/>
  <c r="AE132" i="2" s="1" a="1"/>
  <c r="Z131" i="2" a="1"/>
  <c r="B131" i="2" a="1"/>
  <c r="Q131" i="2" a="1"/>
  <c r="D131" i="2" a="1"/>
  <c r="AE131" i="2" s="1" a="1"/>
  <c r="W131" i="2" a="1"/>
  <c r="X131" i="2" s="1" a="1"/>
  <c r="Y131" i="2" s="1"/>
  <c r="Z130" i="2" a="1"/>
  <c r="W130" i="2" a="1"/>
  <c r="X130" i="2" s="1" a="1"/>
  <c r="Y130" i="2" s="1"/>
  <c r="Q130" i="2" a="1"/>
  <c r="H130" i="2" a="1"/>
  <c r="E130" i="2" a="1"/>
  <c r="P130" i="2" a="1"/>
  <c r="AF130" i="2" s="1" a="1"/>
  <c r="Z178" i="2" a="1"/>
  <c r="D178" i="2" a="1"/>
  <c r="B178" i="2" a="1"/>
  <c r="H178" i="2" a="1"/>
  <c r="E178" i="2" a="1"/>
  <c r="Q178" i="2" a="1"/>
  <c r="P178" i="2" a="1"/>
  <c r="W178" i="2" a="1"/>
  <c r="X178" i="2" s="1" a="1"/>
  <c r="Y178" i="2" s="1"/>
  <c r="Z118" i="2" a="1"/>
  <c r="E118" i="2" a="1"/>
  <c r="L118" i="2" a="1"/>
  <c r="Q118" i="2" a="1"/>
  <c r="D118" i="2" a="1"/>
  <c r="H118" i="2" a="1"/>
  <c r="P118" i="2" a="1"/>
  <c r="W118" i="2" a="1"/>
  <c r="X118" i="2" s="1" a="1"/>
  <c r="Y118" i="2" s="1"/>
  <c r="B118" i="2" a="1"/>
  <c r="M118" i="2" a="1"/>
  <c r="O118" i="2" s="1" a="1"/>
  <c r="Z169" i="2" a="1"/>
  <c r="Q169" i="2" a="1"/>
  <c r="H169" i="2" a="1"/>
  <c r="B169" i="2" a="1"/>
  <c r="E169" i="2" a="1"/>
  <c r="U169" i="2" s="1"/>
  <c r="P169" i="2" a="1"/>
  <c r="M169" i="2" a="1"/>
  <c r="O169" i="2" s="1" a="1"/>
  <c r="L169" i="2" a="1"/>
  <c r="W169" i="2" a="1"/>
  <c r="X169" i="2" s="1" a="1"/>
  <c r="Y169" i="2" s="1"/>
  <c r="D169" i="2" a="1"/>
  <c r="AE169" i="2" s="1" a="1"/>
  <c r="Z163" i="2" a="1"/>
  <c r="B163" i="2" a="1"/>
  <c r="W163" i="2" a="1"/>
  <c r="X163" i="2" s="1" a="1"/>
  <c r="Y163" i="2" s="1"/>
  <c r="H163" i="2" a="1"/>
  <c r="D163" i="2" a="1"/>
  <c r="M163" i="2" a="1"/>
  <c r="O163" i="2" s="1" a="1"/>
  <c r="Q163" i="2" a="1"/>
  <c r="P163" i="2" a="1"/>
  <c r="L163" i="2" a="1"/>
  <c r="E163" i="2" a="1"/>
  <c r="U163" i="2" s="1"/>
  <c r="Z138" i="2" a="1"/>
  <c r="P138" i="2" a="1"/>
  <c r="AF138" i="2" s="1" a="1"/>
  <c r="E138" i="2" a="1"/>
  <c r="H138" i="2" a="1"/>
  <c r="D138" i="2" a="1"/>
  <c r="B138" i="2" a="1"/>
  <c r="Q138" i="2" a="1"/>
  <c r="W138" i="2" a="1"/>
  <c r="X138" i="2" s="1" a="1"/>
  <c r="Y138" i="2" s="1"/>
  <c r="Z135" i="2" a="1"/>
  <c r="W135" i="2" a="1"/>
  <c r="X135" i="2" s="1" a="1"/>
  <c r="Y135" i="2" s="1"/>
  <c r="Z162" i="2" a="1"/>
  <c r="E162" i="2" a="1"/>
  <c r="H162" i="2" a="1"/>
  <c r="D162" i="2" a="1"/>
  <c r="Q162" i="2" a="1"/>
  <c r="W162" i="2" a="1"/>
  <c r="X162" i="2" s="1" a="1"/>
  <c r="Y162" i="2" s="1"/>
  <c r="B162" i="2" a="1"/>
  <c r="L162" i="2" a="1"/>
  <c r="M162" i="2" a="1"/>
  <c r="O162" i="2" s="1" a="1"/>
  <c r="P162" i="2" a="1"/>
  <c r="Z72" i="2" a="1"/>
  <c r="H72" i="2" a="1"/>
  <c r="D72" i="2" a="1"/>
  <c r="W72" i="2" a="1"/>
  <c r="X72" i="2" s="1" a="1"/>
  <c r="Y72" i="2" s="1"/>
  <c r="P72" i="2" a="1"/>
  <c r="B72" i="2" a="1"/>
  <c r="M72" i="2" a="1"/>
  <c r="O72" i="2" s="1" a="1"/>
  <c r="L72" i="2" a="1"/>
  <c r="Z68" i="2" a="1"/>
  <c r="E68" i="2" a="1"/>
  <c r="M68" i="2" a="1"/>
  <c r="O68" i="2" s="1" a="1"/>
  <c r="B68" i="2" a="1"/>
  <c r="D68" i="2" a="1"/>
  <c r="L68" i="2" a="1"/>
  <c r="W68" i="2" a="1"/>
  <c r="X68" i="2" s="1" a="1"/>
  <c r="Y68" i="2" s="1"/>
  <c r="H68" i="2" a="1"/>
  <c r="Z67" i="2" a="1"/>
  <c r="D67" i="2" a="1"/>
  <c r="W67" i="2" a="1"/>
  <c r="X67" i="2" s="1" a="1"/>
  <c r="Y67" i="2" s="1"/>
  <c r="H67" i="2" a="1"/>
  <c r="P67" i="2" a="1"/>
  <c r="AF67" i="2" s="1" a="1"/>
  <c r="Q67" i="2" a="1"/>
  <c r="B67" i="2" a="1"/>
  <c r="E67" i="2" a="1"/>
  <c r="L67" i="2" a="1"/>
  <c r="M67" i="2" a="1"/>
  <c r="O67" i="2" s="1" a="1"/>
  <c r="Z66" i="2" a="1"/>
  <c r="H66" i="2" a="1"/>
  <c r="M66" i="2" a="1"/>
  <c r="O66" i="2" s="1" a="1"/>
  <c r="P66" i="2" a="1"/>
  <c r="L66" i="2" a="1"/>
  <c r="E66" i="2" a="1"/>
  <c r="D66" i="2" a="1"/>
  <c r="B66" i="2" a="1"/>
  <c r="Q66" i="2" a="1"/>
  <c r="W66" i="2" a="1"/>
  <c r="X66" i="2" s="1" a="1"/>
  <c r="Y66" i="2" s="1"/>
  <c r="W99" i="2" a="1"/>
  <c r="X99" i="2" s="1" a="1"/>
  <c r="Y99" i="2" s="1"/>
  <c r="E99" i="2" a="1"/>
  <c r="P99" i="2" a="1"/>
  <c r="H99" i="2" a="1"/>
  <c r="Z99" i="2" a="1"/>
  <c r="Q99" i="2" a="1"/>
  <c r="Z98" i="2" a="1"/>
  <c r="B98" i="2" a="1"/>
  <c r="W98" i="2" a="1"/>
  <c r="X98" i="2" s="1" a="1"/>
  <c r="Y98" i="2" s="1"/>
  <c r="P98" i="2" a="1"/>
  <c r="D98" i="2" a="1"/>
  <c r="Q98" i="2" a="1"/>
  <c r="E98" i="2" a="1"/>
  <c r="Z97" i="2" a="1"/>
  <c r="Q97" i="2" a="1"/>
  <c r="D97" i="2" a="1"/>
  <c r="B97" i="2" a="1"/>
  <c r="H97" i="2" a="1"/>
  <c r="J97" i="2" s="1"/>
  <c r="P97" i="2" a="1"/>
  <c r="W97" i="2" a="1"/>
  <c r="X97" i="2" s="1" a="1"/>
  <c r="Y97" i="2" s="1"/>
  <c r="Z83" i="2" a="1"/>
  <c r="E83" i="2" a="1"/>
  <c r="P83" i="2" a="1"/>
  <c r="L83" i="2" a="1"/>
  <c r="Q83" i="2" a="1"/>
  <c r="W83" i="2" a="1"/>
  <c r="X83" i="2" s="1" a="1"/>
  <c r="Y83" i="2" s="1"/>
  <c r="H83" i="2" a="1"/>
  <c r="B83" i="2" a="1"/>
  <c r="Z82" i="2" a="1"/>
  <c r="P82" i="2" a="1"/>
  <c r="AF82" i="2" s="1" a="1"/>
  <c r="W82" i="2" a="1"/>
  <c r="X82" i="2" s="1" a="1"/>
  <c r="Y82" i="2" s="1"/>
  <c r="L82" i="2" a="1"/>
  <c r="M82" i="2" a="1"/>
  <c r="O82" i="2" s="1" a="1"/>
  <c r="B82" i="2" a="1"/>
  <c r="Q82" i="2" a="1"/>
  <c r="D82" i="2" a="1"/>
  <c r="Z174" i="2" a="1"/>
  <c r="W174" i="2" a="1"/>
  <c r="X174" i="2" s="1" a="1"/>
  <c r="Y174" i="2" s="1"/>
  <c r="Q174" i="2" a="1"/>
  <c r="D174" i="2" a="1"/>
  <c r="P174" i="2" a="1"/>
  <c r="H174" i="2" a="1"/>
  <c r="E174" i="2" a="1"/>
  <c r="B174" i="2" a="1"/>
  <c r="L174" i="2" a="1"/>
  <c r="M174" i="2" a="1"/>
  <c r="O174" i="2" s="1" a="1"/>
  <c r="Z167" i="2" a="1"/>
  <c r="W167" i="2" a="1"/>
  <c r="X167" i="2" s="1" a="1"/>
  <c r="Y167" i="2" s="1"/>
  <c r="Z165" i="2" a="1"/>
  <c r="W165" i="2" a="1"/>
  <c r="X165" i="2" s="1" a="1"/>
  <c r="Y165" i="2" s="1"/>
  <c r="Z158" i="2" a="1"/>
  <c r="W158" i="2" a="1"/>
  <c r="X158" i="2" s="1" a="1"/>
  <c r="Y158" i="2" s="1"/>
  <c r="Z153" i="2" a="1"/>
  <c r="W153" i="2" a="1"/>
  <c r="X153" i="2" s="1" a="1"/>
  <c r="Y153" i="2" s="1"/>
  <c r="L153" i="2" a="1"/>
  <c r="M153" i="2" a="1"/>
  <c r="O153" i="2" s="1" a="1"/>
  <c r="Z152" i="2" a="1"/>
  <c r="W152" i="2" a="1"/>
  <c r="X152" i="2" s="1" a="1"/>
  <c r="Y152" i="2" s="1"/>
  <c r="Z134" i="2" a="1"/>
  <c r="W134" i="2" a="1"/>
  <c r="X134" i="2" s="1" a="1"/>
  <c r="Y134" i="2" s="1"/>
  <c r="Z179" i="2" a="1"/>
  <c r="M179" i="2" a="1"/>
  <c r="O179" i="2" s="1" a="1"/>
  <c r="L179" i="2" a="1"/>
  <c r="Z177" i="2" a="1"/>
  <c r="W177" i="2" a="1"/>
  <c r="X177" i="2" s="1" a="1"/>
  <c r="Y177" i="2" s="1"/>
  <c r="L177" i="2" a="1"/>
  <c r="M177" i="2" a="1"/>
  <c r="O177" i="2" s="1" a="1"/>
  <c r="Z176" i="2" a="1"/>
  <c r="W176" i="2" a="1"/>
  <c r="X176" i="2" s="1" a="1"/>
  <c r="Y176" i="2" s="1"/>
  <c r="L176" i="2" a="1"/>
  <c r="M176" i="2" a="1"/>
  <c r="O176" i="2" s="1" a="1"/>
  <c r="D176" i="2" a="1"/>
  <c r="Z170" i="2" a="1"/>
  <c r="L170" i="2" a="1"/>
  <c r="M170" i="2" a="1"/>
  <c r="O170" i="2" s="1" a="1"/>
  <c r="W170" i="2" a="1"/>
  <c r="X170" i="2" s="1" a="1"/>
  <c r="Y170" i="2" s="1"/>
  <c r="H170" i="2" a="1"/>
  <c r="B170" i="2" a="1"/>
  <c r="D170" i="2" a="1"/>
  <c r="AE170" i="2" s="1" a="1"/>
  <c r="Q170" i="2" a="1"/>
  <c r="E170" i="2" a="1"/>
  <c r="P170" i="2" a="1"/>
  <c r="Z160" i="2" a="1"/>
  <c r="B160" i="2" a="1"/>
  <c r="P160" i="2" a="1"/>
  <c r="AF160" i="2" s="1" a="1"/>
  <c r="H160" i="2" a="1"/>
  <c r="E160" i="2" a="1"/>
  <c r="Q160" i="2" a="1"/>
  <c r="M160" i="2" a="1"/>
  <c r="O160" i="2" s="1" a="1"/>
  <c r="L160" i="2" a="1"/>
  <c r="D160" i="2" a="1"/>
  <c r="AE160" i="2" s="1" a="1"/>
  <c r="Z154" i="2" a="1"/>
  <c r="Q154" i="2" a="1"/>
  <c r="AF154" i="2" a="1"/>
  <c r="B154" i="2" a="1"/>
  <c r="AE154" i="2" a="1"/>
  <c r="H154" i="2" a="1"/>
  <c r="D154" i="2" a="1"/>
  <c r="E154" i="2" a="1"/>
  <c r="M154" i="2" a="1"/>
  <c r="O154" i="2" s="1" a="1"/>
  <c r="L154" i="2" a="1"/>
  <c r="W154" i="2" a="1"/>
  <c r="X154" i="2" s="1" a="1"/>
  <c r="Y154" i="2" s="1"/>
  <c r="P154" i="2" a="1"/>
  <c r="Z161" i="2" a="1"/>
  <c r="M161" i="2" a="1"/>
  <c r="O161" i="2" s="1" a="1"/>
  <c r="E161" i="2" a="1"/>
  <c r="L161" i="2" a="1"/>
  <c r="D161" i="2" a="1"/>
  <c r="Q161" i="2" a="1"/>
  <c r="H161" i="2" a="1"/>
  <c r="P161" i="2" a="1"/>
  <c r="W161" i="2" a="1"/>
  <c r="X161" i="2" s="1" a="1"/>
  <c r="Y161" i="2" s="1"/>
  <c r="B161" i="2" a="1"/>
  <c r="Z110" i="2" a="1"/>
  <c r="AC110" i="2" s="1"/>
  <c r="D110" i="2" a="1"/>
  <c r="M110" i="2" a="1"/>
  <c r="O110" i="2" s="1" a="1"/>
  <c r="L110" i="2" a="1"/>
  <c r="E110" i="2" a="1"/>
  <c r="P110" i="2" a="1"/>
  <c r="Q110" i="2" a="1"/>
  <c r="W110" i="2" a="1"/>
  <c r="X110" i="2" s="1" a="1"/>
  <c r="Y110" i="2" s="1"/>
  <c r="H110" i="2" a="1"/>
  <c r="B110" i="2" a="1"/>
  <c r="Z157" i="2" a="1"/>
  <c r="B157" i="2" a="1"/>
  <c r="H157" i="2" a="1"/>
  <c r="E157" i="2" a="1"/>
  <c r="P157" i="2" a="1"/>
  <c r="Q157" i="2" a="1"/>
  <c r="M157" i="2" a="1"/>
  <c r="O157" i="2" s="1" a="1"/>
  <c r="L157" i="2" a="1"/>
  <c r="D157" i="2" a="1"/>
  <c r="W157" i="2" a="1"/>
  <c r="X157" i="2" s="1" a="1"/>
  <c r="Y157" i="2" s="1"/>
  <c r="Z76" i="2" a="1"/>
  <c r="AC76" i="2" s="1"/>
  <c r="D76" i="2" a="1"/>
  <c r="AE76" i="2" s="1" a="1"/>
  <c r="Q76" i="2" a="1"/>
  <c r="L76" i="2" a="1"/>
  <c r="M76" i="2" a="1"/>
  <c r="O76" i="2" s="1" a="1"/>
  <c r="B76" i="2" a="1"/>
  <c r="H76" i="2" a="1"/>
  <c r="E76" i="2" a="1"/>
  <c r="W76" i="2" a="1"/>
  <c r="X76" i="2" s="1" a="1"/>
  <c r="Y76" i="2" s="1"/>
  <c r="Z69" i="2" a="1"/>
  <c r="H69" i="2" a="1"/>
  <c r="L69" i="2" a="1"/>
  <c r="Q69" i="2" a="1"/>
  <c r="P69" i="2" a="1"/>
  <c r="B69" i="2" a="1"/>
  <c r="W69" i="2" a="1"/>
  <c r="X69" i="2" s="1" a="1"/>
  <c r="Y69" i="2" s="1"/>
  <c r="M69" i="2" a="1"/>
  <c r="O69" i="2" s="1" a="1"/>
  <c r="Z101" i="2" a="1"/>
  <c r="B101" i="2" a="1"/>
  <c r="P101" i="2" a="1"/>
  <c r="AF101" i="2" s="1" a="1"/>
  <c r="E101" i="2" a="1"/>
  <c r="H101" i="2" a="1"/>
  <c r="W101" i="2" a="1"/>
  <c r="X101" i="2" s="1" a="1"/>
  <c r="Y101" i="2" s="1"/>
  <c r="D101" i="2" a="1"/>
  <c r="Q101" i="2" a="1"/>
  <c r="Z100" i="2" a="1"/>
  <c r="P100" i="2" a="1"/>
  <c r="AF100" i="2" s="1" a="1"/>
  <c r="E100" i="2" a="1"/>
  <c r="H100" i="2" a="1"/>
  <c r="D100" i="2" a="1"/>
  <c r="Q100" i="2" a="1"/>
  <c r="B100" i="2" a="1"/>
  <c r="W100" i="2" a="1"/>
  <c r="X100" i="2" s="1" a="1"/>
  <c r="Y100" i="2" s="1"/>
  <c r="Z91" i="2" a="1"/>
  <c r="P91" i="2" a="1"/>
  <c r="AF91" i="2" s="1" a="1"/>
  <c r="H91" i="2" a="1"/>
  <c r="B91" i="2" a="1"/>
  <c r="D91" i="2" a="1"/>
  <c r="AE91" i="2" s="1" a="1"/>
  <c r="W91" i="2" a="1"/>
  <c r="X91" i="2" s="1" a="1"/>
  <c r="Y91" i="2" s="1"/>
  <c r="E91" i="2" a="1"/>
  <c r="Q91" i="2" a="1"/>
  <c r="Z90" i="2" a="1"/>
  <c r="D90" i="2" a="1"/>
  <c r="Q90" i="2" a="1"/>
  <c r="H90" i="2" a="1"/>
  <c r="W90" i="2" a="1"/>
  <c r="X90" i="2" s="1" a="1"/>
  <c r="Y90" i="2" s="1"/>
  <c r="AE90" i="2" a="1"/>
  <c r="E90" i="2" a="1"/>
  <c r="B90" i="2" a="1"/>
  <c r="Z126" i="2" a="1"/>
  <c r="B126" i="2" a="1"/>
  <c r="Q126" i="2" a="1"/>
  <c r="E126" i="2" a="1"/>
  <c r="D126" i="2" a="1"/>
  <c r="AE126" i="2" s="1" a="1"/>
  <c r="P126" i="2" a="1"/>
  <c r="H126" i="2" a="1"/>
  <c r="J126" i="2" s="1"/>
  <c r="Z124" i="2" a="1"/>
  <c r="D124" i="2" a="1"/>
  <c r="W124" i="2" a="1"/>
  <c r="X124" i="2" s="1" a="1"/>
  <c r="Y124" i="2" s="1"/>
  <c r="Q124" i="2" a="1"/>
  <c r="P124" i="2" a="1"/>
  <c r="E124" i="2" a="1"/>
  <c r="U124" i="2" s="1"/>
  <c r="B124" i="2" a="1"/>
  <c r="Z182" i="2" a="1"/>
  <c r="H182" i="2" a="1"/>
  <c r="P182" i="2" a="1"/>
  <c r="AF182" i="2" s="1" a="1"/>
  <c r="E182" i="2" a="1"/>
  <c r="B182" i="2" a="1"/>
  <c r="Q182" i="2" a="1"/>
  <c r="D182" i="2" a="1"/>
  <c r="Z181" i="2" a="1"/>
  <c r="E181" i="2" a="1"/>
  <c r="H181" i="2" a="1"/>
  <c r="D181" i="2" a="1"/>
  <c r="AE181" i="2" s="1" a="1"/>
  <c r="Q181" i="2" a="1"/>
  <c r="P181" i="2" a="1"/>
  <c r="B181" i="2" a="1"/>
  <c r="Z180" i="2" a="1"/>
  <c r="P180" i="2" a="1"/>
  <c r="AF180" i="2" s="1" a="1"/>
  <c r="Q180" i="2" a="1"/>
  <c r="B180" i="2" a="1"/>
  <c r="H180" i="2" a="1"/>
  <c r="E180" i="2" a="1"/>
  <c r="T23" i="2"/>
  <c r="O19" i="2" a="1"/>
  <c r="N19" i="2"/>
  <c r="U18" i="2"/>
  <c r="V18" i="2" s="1"/>
  <c r="G18" i="2"/>
  <c r="Z33" i="2" a="1"/>
  <c r="S18" i="2"/>
  <c r="T18" i="2"/>
  <c r="I18" i="2"/>
  <c r="J18" i="2"/>
  <c r="G20" i="2"/>
  <c r="G26" i="2"/>
  <c r="W27" i="2"/>
  <c r="W33" i="2" a="1"/>
  <c r="X13" i="2"/>
  <c r="Y13" i="2" s="1"/>
  <c r="Y27" i="2" s="1"/>
  <c r="F8" i="2"/>
  <c r="AF27" i="2"/>
  <c r="R13" i="2"/>
  <c r="M27" i="2"/>
  <c r="N4" i="2"/>
  <c r="N13" i="2"/>
  <c r="O13" i="2"/>
  <c r="O27" i="2" s="1"/>
  <c r="L27" i="2"/>
  <c r="N7" i="2"/>
  <c r="C31" i="2" a="1"/>
  <c r="W31" i="2" a="1"/>
  <c r="P27" i="2"/>
  <c r="S13" i="2"/>
  <c r="H27" i="2"/>
  <c r="D27" i="2"/>
  <c r="G13" i="2"/>
  <c r="I13" i="2"/>
  <c r="K13" i="2"/>
  <c r="T13" i="2"/>
  <c r="AE27" i="2"/>
  <c r="F13" i="2"/>
  <c r="E27" i="2"/>
  <c r="U13" i="2"/>
  <c r="Q27" i="2"/>
  <c r="K19" i="2"/>
  <c r="I19" i="2"/>
  <c r="G19" i="2"/>
  <c r="T19" i="2"/>
  <c r="O21" i="2" a="1"/>
  <c r="N21" i="2"/>
  <c r="Z78" i="2" a="1"/>
  <c r="E78" i="2" a="1"/>
  <c r="B78" i="2" a="1"/>
  <c r="H78" i="2" a="1"/>
  <c r="W94" i="2" a="1"/>
  <c r="X94" i="2" s="1" a="1"/>
  <c r="Y94" i="2" s="1"/>
  <c r="P78" i="2" a="1"/>
  <c r="L78" i="2" a="1"/>
  <c r="D78" i="2" a="1"/>
  <c r="AE78" i="2" s="1" a="1"/>
  <c r="M78" i="2" a="1"/>
  <c r="O78" i="2" s="1" a="1"/>
  <c r="Q78" i="2" a="1"/>
  <c r="W78" i="2" a="1"/>
  <c r="X78" i="2" s="1" a="1"/>
  <c r="Y78" i="2" s="1"/>
  <c r="Z137" i="2" a="1"/>
  <c r="D137" i="2" a="1"/>
  <c r="H137" i="2" a="1"/>
  <c r="B94" i="2" a="1"/>
  <c r="P94" i="2" a="1"/>
  <c r="AF94" i="2" s="1" a="1"/>
  <c r="H94" i="2" a="1"/>
  <c r="D94" i="2" a="1"/>
  <c r="AE94" i="2" s="1" a="1"/>
  <c r="Q94" i="2" a="1"/>
  <c r="E94" i="2" a="1"/>
  <c r="B128" i="2" a="1"/>
  <c r="E128" i="2" a="1"/>
  <c r="P128" i="2" a="1"/>
  <c r="Q128" i="2" a="1"/>
  <c r="H128" i="2" a="1"/>
  <c r="D128" i="2" a="1"/>
  <c r="Z94" i="2" a="1"/>
  <c r="M94" i="2" a="1"/>
  <c r="O94" i="2" s="1" a="1"/>
  <c r="L94" i="2" a="1"/>
  <c r="Z128" i="2" a="1"/>
  <c r="AC128" i="2" s="1"/>
  <c r="L128" i="2" a="1"/>
  <c r="M128" i="2" a="1"/>
  <c r="O128" i="2" s="1" a="1"/>
  <c r="L115" i="2" a="1"/>
  <c r="M115" i="2" a="1"/>
  <c r="O115" i="2" s="1" a="1"/>
  <c r="W115" i="2" a="1"/>
  <c r="X115" i="2" s="1" a="1"/>
  <c r="Y115" i="2" s="1"/>
  <c r="P115" i="2" a="1"/>
  <c r="D115" i="2" a="1"/>
  <c r="E115" i="2" a="1"/>
  <c r="Q115" i="2" a="1"/>
  <c r="H115" i="2" a="1"/>
  <c r="B115" i="2" a="1"/>
  <c r="N190" i="2"/>
  <c r="U190" i="2"/>
  <c r="R190" i="2"/>
  <c r="S190" i="2"/>
  <c r="F190" i="2"/>
  <c r="V190" i="2"/>
  <c r="K190" i="2"/>
  <c r="G190" i="2"/>
  <c r="T190" i="2"/>
  <c r="I190" i="2"/>
  <c r="J190" i="2"/>
  <c r="H156" i="2" a="1"/>
  <c r="P156" i="2" a="1"/>
  <c r="AF156" i="2" s="1" a="1"/>
  <c r="D156" i="2" a="1"/>
  <c r="E156" i="2" a="1"/>
  <c r="Q156" i="2" a="1"/>
  <c r="B156" i="2" a="1"/>
  <c r="L156" i="2" a="1"/>
  <c r="M156" i="2" a="1"/>
  <c r="P137" i="2" a="1"/>
  <c r="B137" i="2" a="1"/>
  <c r="E137" i="2" a="1"/>
  <c r="L137" i="2" a="1"/>
  <c r="M137" i="2" a="1"/>
  <c r="O137" i="2" s="1" a="1"/>
  <c r="Q137" i="2" a="1"/>
  <c r="W137" i="2" a="1"/>
  <c r="X137" i="2" s="1" a="1"/>
  <c r="Y137" i="2" s="1"/>
  <c r="B62" i="2" a="1"/>
  <c r="W62" i="2" a="1"/>
  <c r="L62" i="2" a="1"/>
  <c r="M62" i="2" a="1"/>
  <c r="O62" i="2" s="1" a="1"/>
  <c r="D62" i="2" a="1"/>
  <c r="H62" i="2" a="1"/>
  <c r="P62" i="2" a="1"/>
  <c r="E62" i="2" a="1"/>
  <c r="Q62" i="2" a="1"/>
  <c r="AE62" i="2" a="1"/>
  <c r="L33" i="2" a="1"/>
  <c r="M33" i="2" a="1"/>
  <c r="O33" i="2" s="1" a="1"/>
  <c r="H33" i="2" a="1"/>
  <c r="E33" i="2" a="1"/>
  <c r="B33" i="2" a="1"/>
  <c r="P33" i="2" a="1"/>
  <c r="D33" i="2" a="1"/>
  <c r="AE33" i="2" a="1"/>
  <c r="Q33" i="2" a="1"/>
  <c r="AF33" i="2" a="1"/>
  <c r="G101" i="2"/>
  <c r="J115" i="2"/>
  <c r="G115" i="2"/>
  <c r="G91" i="2"/>
  <c r="U91" i="2"/>
  <c r="AB37" i="2" l="1" a="1"/>
  <c r="AB44" i="2" a="1"/>
  <c r="AB42" i="2" a="1"/>
  <c r="AB46" i="2" a="1"/>
  <c r="AB38" i="2" a="1"/>
  <c r="AB41" i="2" a="1"/>
  <c r="AB39" i="2" a="1"/>
  <c r="AB50" i="2" a="1"/>
  <c r="AB45" i="2" a="1"/>
  <c r="AB40" i="2" a="1"/>
  <c r="AA115" i="2"/>
  <c r="AC156" i="2"/>
  <c r="J161" i="2"/>
  <c r="M103" i="3"/>
  <c r="U67" i="2"/>
  <c r="U70" i="13"/>
  <c r="Q9" i="13" s="1"/>
  <c r="R9" i="13" a="1"/>
  <c r="H142" i="3" a="1"/>
  <c r="J189" i="2"/>
  <c r="AC137" i="2"/>
  <c r="AB175" i="2" a="1"/>
  <c r="AB173" i="2" a="1"/>
  <c r="AB151" i="2" a="1"/>
  <c r="AB168" i="2" a="1"/>
  <c r="AB109" i="2" a="1"/>
  <c r="AB92" i="2" a="1"/>
  <c r="AB63" i="2" a="1"/>
  <c r="AB125" i="2" a="1"/>
  <c r="AB142" i="2" a="1"/>
  <c r="AB77" i="2" a="1"/>
  <c r="U130" i="2"/>
  <c r="V130" i="2" s="1"/>
  <c r="AA144" i="2"/>
  <c r="AA145" i="2"/>
  <c r="AA171" i="2"/>
  <c r="AA150" i="2"/>
  <c r="AA149" i="2"/>
  <c r="H120" i="2" a="1"/>
  <c r="Z120" i="2" a="1"/>
  <c r="AA122" i="2"/>
  <c r="AA121" i="2"/>
  <c r="AA166" i="2"/>
  <c r="AA183" i="2"/>
  <c r="AA84" i="2"/>
  <c r="AA148" i="2"/>
  <c r="AA147" i="2"/>
  <c r="AA146" i="2"/>
  <c r="AA143" i="2"/>
  <c r="AA132" i="2"/>
  <c r="AA131" i="2"/>
  <c r="AA130" i="2"/>
  <c r="AA99" i="2"/>
  <c r="AD120" i="2" a="1"/>
  <c r="AA120" i="2" s="1"/>
  <c r="AA94" i="2"/>
  <c r="AD105" i="2" a="1"/>
  <c r="AB120" i="2" a="1"/>
  <c r="B120" i="2" a="1"/>
  <c r="P120" i="2" a="1"/>
  <c r="AF120" i="2" s="1" a="1"/>
  <c r="L120" i="2" a="1"/>
  <c r="D120" i="2" a="1"/>
  <c r="E120" i="2" a="1"/>
  <c r="M120" i="2" a="1"/>
  <c r="O120" i="2" s="1" a="1"/>
  <c r="W120" i="2" a="1"/>
  <c r="X120" i="2" s="1" a="1"/>
  <c r="Y120" i="2" s="1"/>
  <c r="Q120" i="2" a="1"/>
  <c r="AB105" i="2" a="1"/>
  <c r="Z105" i="2" a="1"/>
  <c r="D105" i="2" a="1"/>
  <c r="K105" i="2" s="1"/>
  <c r="W105" i="2" a="1"/>
  <c r="X105" i="2" s="1" a="1"/>
  <c r="Y105" i="2" s="1"/>
  <c r="J186" i="2"/>
  <c r="AA180" i="2"/>
  <c r="AA126" i="2"/>
  <c r="AA124" i="2"/>
  <c r="AA182" i="2"/>
  <c r="AA181" i="2"/>
  <c r="AA78" i="2"/>
  <c r="AA91" i="2"/>
  <c r="AA90" i="2"/>
  <c r="AA97" i="2"/>
  <c r="AA100" i="2"/>
  <c r="AA101" i="2"/>
  <c r="AA185" i="2"/>
  <c r="AA169" i="2"/>
  <c r="AA163" i="2"/>
  <c r="AA138" i="2"/>
  <c r="AA135" i="2"/>
  <c r="AA162" i="2"/>
  <c r="AA83" i="2"/>
  <c r="AA82" i="2"/>
  <c r="AA174" i="2"/>
  <c r="AA167" i="2"/>
  <c r="AA165" i="2"/>
  <c r="AA158" i="2"/>
  <c r="AA153" i="2"/>
  <c r="AA152" i="2"/>
  <c r="AA134" i="2"/>
  <c r="AA179" i="2"/>
  <c r="AA177" i="2"/>
  <c r="AA176" i="2"/>
  <c r="AA170" i="2"/>
  <c r="AA157" i="2"/>
  <c r="AC185" i="2"/>
  <c r="AC97" i="2"/>
  <c r="AC83" i="2"/>
  <c r="AC82" i="2"/>
  <c r="AC174" i="2"/>
  <c r="AC167" i="2"/>
  <c r="AC165" i="2"/>
  <c r="AC158" i="2"/>
  <c r="AC153" i="2"/>
  <c r="AC152" i="2"/>
  <c r="AC134" i="2"/>
  <c r="AC179" i="2"/>
  <c r="AC177" i="2"/>
  <c r="AC176" i="2"/>
  <c r="AC170" i="2"/>
  <c r="AC157" i="2"/>
  <c r="AC101" i="2"/>
  <c r="AC100" i="2"/>
  <c r="AC91" i="2"/>
  <c r="AC90" i="2"/>
  <c r="AC126" i="2"/>
  <c r="AB111" i="2" a="1"/>
  <c r="AB129" i="2" a="1"/>
  <c r="AB55" i="2" a="1"/>
  <c r="AB60" i="2" a="1"/>
  <c r="AB58" i="2" a="1"/>
  <c r="AB59" i="2" a="1"/>
  <c r="AA164" i="2"/>
  <c r="AA159" i="2"/>
  <c r="AA184" i="2"/>
  <c r="AB79" i="2" a="1"/>
  <c r="AD57" i="2" a="1"/>
  <c r="AB57" i="2" a="1"/>
  <c r="AC61" i="2"/>
  <c r="AC183" i="2"/>
  <c r="AC184" i="2"/>
  <c r="AC84" i="2"/>
  <c r="AC122" i="2"/>
  <c r="AC121" i="2"/>
  <c r="AC150" i="2"/>
  <c r="AC149" i="2"/>
  <c r="AC148" i="2"/>
  <c r="AC147" i="2"/>
  <c r="AC146" i="2"/>
  <c r="AC144" i="2"/>
  <c r="AC143" i="2"/>
  <c r="AC132" i="2"/>
  <c r="AC131" i="2"/>
  <c r="AC130" i="2"/>
  <c r="AC169" i="2"/>
  <c r="AC163" i="2"/>
  <c r="AC138" i="2"/>
  <c r="AC135" i="2"/>
  <c r="AC162" i="2"/>
  <c r="AC99" i="2"/>
  <c r="AC94" i="2"/>
  <c r="AC166" i="2"/>
  <c r="AC78" i="2"/>
  <c r="AC124" i="2"/>
  <c r="AC145" i="2"/>
  <c r="AC171" i="2"/>
  <c r="AC164" i="2"/>
  <c r="AC159" i="2"/>
  <c r="AC182" i="2"/>
  <c r="AC181" i="2"/>
  <c r="AC180" i="2"/>
  <c r="AA110" i="2"/>
  <c r="W75" i="2" a="1"/>
  <c r="X75" i="2" s="1" a="1"/>
  <c r="Y75" i="2" s="1"/>
  <c r="AB75" i="2" a="1"/>
  <c r="W103" i="2" a="1"/>
  <c r="X103" i="2" s="1" a="1"/>
  <c r="Y103" i="2" s="1"/>
  <c r="AB103" i="2" a="1"/>
  <c r="W119" i="2" a="1"/>
  <c r="X119" i="2" s="1" a="1"/>
  <c r="Y119" i="2" s="1"/>
  <c r="AB119" i="2" a="1"/>
  <c r="W85" i="2" a="1"/>
  <c r="X85" i="2" s="1" a="1"/>
  <c r="Y85" i="2" s="1"/>
  <c r="AB85" i="2" a="1"/>
  <c r="AD116" i="2" a="1"/>
  <c r="AB116" i="2" a="1"/>
  <c r="AD74" i="2" a="1"/>
  <c r="AB74" i="2" a="1"/>
  <c r="AD108" i="2" a="1"/>
  <c r="AB108" i="2" a="1"/>
  <c r="AD133" i="2" a="1"/>
  <c r="AB133" i="2" a="1"/>
  <c r="AA62" i="2"/>
  <c r="AC62" i="2"/>
  <c r="AD96" i="2" a="1"/>
  <c r="AB96" i="2" a="1"/>
  <c r="AD139" i="2" a="1"/>
  <c r="AB139" i="2" a="1"/>
  <c r="AD117" i="2" a="1"/>
  <c r="AB117" i="2" a="1"/>
  <c r="AD141" i="2" a="1"/>
  <c r="AB141" i="2" a="1"/>
  <c r="AD140" i="2" a="1"/>
  <c r="AB140" i="2" a="1"/>
  <c r="AD136" i="2" a="1"/>
  <c r="AB136" i="2" a="1"/>
  <c r="AD107" i="2" a="1"/>
  <c r="AB107" i="2" a="1"/>
  <c r="AD89" i="2" a="1"/>
  <c r="AB89" i="2" a="1"/>
  <c r="AD123" i="2" a="1"/>
  <c r="AB123" i="2" a="1"/>
  <c r="AD71" i="2" a="1"/>
  <c r="AB71" i="2" a="1"/>
  <c r="AD104" i="2" a="1"/>
  <c r="AB104" i="2" a="1"/>
  <c r="AD86" i="2" a="1"/>
  <c r="AB86" i="2" a="1"/>
  <c r="AD172" i="2" a="1"/>
  <c r="AB172" i="2" a="1"/>
  <c r="AD155" i="2" a="1"/>
  <c r="AB155" i="2" a="1"/>
  <c r="AA106" i="2"/>
  <c r="AC106" i="2"/>
  <c r="AD30" i="2" a="1"/>
  <c r="AB30" i="2" a="1"/>
  <c r="AA114" i="2"/>
  <c r="AC114" i="2"/>
  <c r="AD113" i="2" a="1"/>
  <c r="AB113" i="2" a="1"/>
  <c r="AD95" i="2" a="1"/>
  <c r="AB95" i="2" a="1"/>
  <c r="AD56" i="2" a="1"/>
  <c r="AB56" i="2" a="1"/>
  <c r="AD49" i="2" a="1"/>
  <c r="AB49" i="2" a="1"/>
  <c r="AD47" i="2" a="1"/>
  <c r="AB47" i="2" a="1"/>
  <c r="AD36" i="2" a="1"/>
  <c r="AB36" i="2" a="1"/>
  <c r="AD35" i="2" a="1"/>
  <c r="AB35" i="2" a="1"/>
  <c r="AD34" i="2" a="1"/>
  <c r="AB34" i="2" a="1"/>
  <c r="AD32" i="2" a="1"/>
  <c r="AB32" i="2" a="1"/>
  <c r="AA186" i="2"/>
  <c r="AC186" i="2"/>
  <c r="AA187" i="2"/>
  <c r="AC187" i="2"/>
  <c r="AA189" i="2"/>
  <c r="AC189" i="2"/>
  <c r="AA178" i="2"/>
  <c r="AC178" i="2"/>
  <c r="AA118" i="2"/>
  <c r="AC118" i="2"/>
  <c r="AA72" i="2"/>
  <c r="AC72" i="2"/>
  <c r="AA68" i="2"/>
  <c r="AC68" i="2"/>
  <c r="AA67" i="2"/>
  <c r="AC67" i="2"/>
  <c r="AA66" i="2"/>
  <c r="AC66" i="2"/>
  <c r="AA98" i="2"/>
  <c r="AC98" i="2"/>
  <c r="AA160" i="2"/>
  <c r="AC160" i="2"/>
  <c r="AA154" i="2"/>
  <c r="AC154" i="2"/>
  <c r="AA161" i="2"/>
  <c r="AC161" i="2"/>
  <c r="AA69" i="2"/>
  <c r="AC69" i="2"/>
  <c r="AA33" i="2"/>
  <c r="AC33" i="2"/>
  <c r="AD31" i="2" a="1"/>
  <c r="AB31" i="2" a="1"/>
  <c r="M99" i="3"/>
  <c r="B105" i="2" a="1"/>
  <c r="H105" i="2" a="1"/>
  <c r="Q105" i="2" a="1"/>
  <c r="M105" i="2" a="1"/>
  <c r="O105" i="2" s="1" a="1"/>
  <c r="AE105" i="2" a="1"/>
  <c r="L105" i="2" a="1"/>
  <c r="N105" i="2" s="1"/>
  <c r="E105" i="2" a="1"/>
  <c r="P105" i="2" a="1"/>
  <c r="AD87" i="2" a="1"/>
  <c r="X53" i="2" a="1"/>
  <c r="Y53" i="2" s="1"/>
  <c r="U98" i="2"/>
  <c r="AD45" i="2" a="1"/>
  <c r="AD103" i="2" a="1"/>
  <c r="AD119" i="2" a="1"/>
  <c r="AD38" i="2" a="1"/>
  <c r="AD37" i="2" a="1"/>
  <c r="AD39" i="2" a="1"/>
  <c r="M92" i="3"/>
  <c r="M98" i="3"/>
  <c r="Z75" i="2" a="1"/>
  <c r="M75" i="2" a="1"/>
  <c r="O75" i="2" s="1" a="1"/>
  <c r="H75" i="2" a="1"/>
  <c r="Q75" i="2" a="1"/>
  <c r="D75" i="2" a="1"/>
  <c r="P75" i="2" a="1"/>
  <c r="AF75" i="2" s="1" a="1"/>
  <c r="L75" i="2" a="1"/>
  <c r="N75" i="2" s="1"/>
  <c r="AD75" i="2" a="1"/>
  <c r="Z103" i="2" a="1"/>
  <c r="AA103" i="2" s="1"/>
  <c r="B103" i="2" a="1"/>
  <c r="H103" i="2" a="1"/>
  <c r="P103" i="2" a="1"/>
  <c r="D103" i="2" a="1"/>
  <c r="I103" i="2" s="1"/>
  <c r="E75" i="2" a="1"/>
  <c r="B75" i="2" a="1"/>
  <c r="L103" i="2" a="1"/>
  <c r="Q103" i="2" a="1"/>
  <c r="M103" i="2" a="1"/>
  <c r="O103" i="2" s="1" a="1"/>
  <c r="E103" i="2" a="1"/>
  <c r="Z119" i="2" a="1"/>
  <c r="B119" i="2" a="1"/>
  <c r="H119" i="2" a="1"/>
  <c r="Q119" i="2" a="1"/>
  <c r="M119" i="2" a="1"/>
  <c r="O119" i="2" s="1" a="1"/>
  <c r="L119" i="2" a="1"/>
  <c r="D119" i="2" a="1"/>
  <c r="AE119" i="2" s="1" a="1"/>
  <c r="P119" i="2" a="1"/>
  <c r="E119" i="2" a="1"/>
  <c r="AA61" i="2"/>
  <c r="AA64" i="2"/>
  <c r="Z80" i="2" a="1"/>
  <c r="AC80" i="2" s="1"/>
  <c r="W80" i="2" a="1"/>
  <c r="X80" i="2" s="1" a="1"/>
  <c r="Y80" i="2" s="1"/>
  <c r="AD80" i="2" a="1"/>
  <c r="D80" i="2" a="1"/>
  <c r="AE80" i="2" s="1" a="1"/>
  <c r="M80" i="2" a="1"/>
  <c r="O80" i="2" s="1" a="1"/>
  <c r="Q80" i="2" a="1"/>
  <c r="P80" i="2" a="1"/>
  <c r="H80" i="2" a="1"/>
  <c r="E80" i="2" a="1"/>
  <c r="L80" i="2" a="1"/>
  <c r="B80" i="2" a="1"/>
  <c r="Q85" i="2" a="1"/>
  <c r="H85" i="2" a="1"/>
  <c r="E85" i="2" a="1"/>
  <c r="B85" i="2" a="1"/>
  <c r="Z85" i="2" a="1"/>
  <c r="P85" i="2" a="1"/>
  <c r="AF85" i="2" s="1" a="1"/>
  <c r="AD102" i="2" a="1"/>
  <c r="AD73" i="2" a="1"/>
  <c r="AD85" i="2" a="1"/>
  <c r="D85" i="2" a="1"/>
  <c r="AE85" i="2" s="1" a="1"/>
  <c r="L85" i="2" a="1"/>
  <c r="M85" i="2" a="1"/>
  <c r="O85" i="2" s="1" a="1"/>
  <c r="AD63" i="2" a="1"/>
  <c r="AD111" i="2" a="1"/>
  <c r="AD55" i="2" a="1"/>
  <c r="AD60" i="2" a="1"/>
  <c r="AD58" i="2" a="1"/>
  <c r="AD59" i="2" a="1"/>
  <c r="J171" i="2"/>
  <c r="AD42" i="2" a="1"/>
  <c r="AD41" i="2" a="1"/>
  <c r="AD40" i="2" a="1"/>
  <c r="AD44" i="2" a="1"/>
  <c r="AD54" i="2" a="1"/>
  <c r="AD46" i="2" a="1"/>
  <c r="AD52" i="2" a="1"/>
  <c r="AD53" i="2" a="1"/>
  <c r="AD50" i="2" a="1"/>
  <c r="R7" i="13" a="1"/>
  <c r="U26" i="13"/>
  <c r="Q7" i="13" s="1"/>
  <c r="M105" i="3"/>
  <c r="J87" i="3"/>
  <c r="M87" i="3"/>
  <c r="J97" i="3"/>
  <c r="M101" i="3"/>
  <c r="AD173" i="2" a="1"/>
  <c r="AA156" i="2"/>
  <c r="AD142" i="2" a="1"/>
  <c r="AD129" i="2" a="1"/>
  <c r="AD92" i="2" a="1"/>
  <c r="AD175" i="2" a="1"/>
  <c r="AD79" i="2" a="1"/>
  <c r="F169" i="2"/>
  <c r="AA137" i="2"/>
  <c r="AA128" i="2"/>
  <c r="AA76" i="2"/>
  <c r="W151" i="2" a="1"/>
  <c r="X151" i="2" s="1" a="1"/>
  <c r="Y151" i="2" s="1"/>
  <c r="AD151" i="2" a="1"/>
  <c r="W168" i="2" a="1"/>
  <c r="X168" i="2" s="1" a="1"/>
  <c r="Y168" i="2" s="1"/>
  <c r="AD168" i="2" a="1"/>
  <c r="W109" i="2" a="1"/>
  <c r="X109" i="2" s="1" a="1"/>
  <c r="Y109" i="2" s="1"/>
  <c r="AD109" i="2" a="1"/>
  <c r="W70" i="2" a="1"/>
  <c r="X70" i="2" s="1" a="1"/>
  <c r="Y70" i="2" s="1"/>
  <c r="AD70" i="2" a="1"/>
  <c r="W88" i="2" a="1"/>
  <c r="X88" i="2" s="1" a="1"/>
  <c r="Y88" i="2" s="1"/>
  <c r="AD88" i="2" a="1"/>
  <c r="W125" i="2" a="1"/>
  <c r="X125" i="2" s="1" a="1"/>
  <c r="Y125" i="2" s="1"/>
  <c r="AD125" i="2" a="1"/>
  <c r="W112" i="2" a="1"/>
  <c r="X112" i="2" s="1" a="1"/>
  <c r="Y112" i="2" s="1"/>
  <c r="AD112" i="2" a="1"/>
  <c r="W127" i="2" a="1"/>
  <c r="X127" i="2" s="1" a="1"/>
  <c r="Y127" i="2" s="1"/>
  <c r="AD127" i="2" a="1"/>
  <c r="W77" i="2" a="1"/>
  <c r="X77" i="2" s="1" a="1"/>
  <c r="Y77" i="2" s="1"/>
  <c r="AD77" i="2" a="1"/>
  <c r="W93" i="2" a="1"/>
  <c r="X93" i="2" s="1" a="1"/>
  <c r="Y93" i="2" s="1"/>
  <c r="AD93" i="2" a="1"/>
  <c r="W81" i="2" a="1"/>
  <c r="X81" i="2" s="1" a="1"/>
  <c r="Y81" i="2" s="1"/>
  <c r="AD81" i="2" a="1"/>
  <c r="Z65" i="2" a="1"/>
  <c r="AC65" i="2" s="1"/>
  <c r="AD65" i="2" a="1"/>
  <c r="Z51" i="2" a="1"/>
  <c r="AC51" i="2" s="1"/>
  <c r="AD51" i="2" a="1"/>
  <c r="Z48" i="2" a="1"/>
  <c r="AC48" i="2" s="1"/>
  <c r="AD48" i="2" a="1"/>
  <c r="Z43" i="2" a="1"/>
  <c r="AC43" i="2" s="1"/>
  <c r="AD43" i="2" a="1"/>
  <c r="J108" i="3"/>
  <c r="U170" i="2"/>
  <c r="J166" i="2"/>
  <c r="Z151" i="2" a="1"/>
  <c r="AE161" i="2" a="1"/>
  <c r="F161" i="2" s="1"/>
  <c r="I161" i="2"/>
  <c r="U149" i="2"/>
  <c r="W173" i="2" a="1"/>
  <c r="X173" i="2" s="1" a="1"/>
  <c r="Y173" i="2" s="1"/>
  <c r="Z173" i="2" a="1"/>
  <c r="P173" i="2" a="1"/>
  <c r="H173" i="2" a="1"/>
  <c r="B173" i="2" a="1"/>
  <c r="Q173" i="2" a="1"/>
  <c r="E173" i="2" a="1"/>
  <c r="D173" i="2" a="1"/>
  <c r="M173" i="2" a="1"/>
  <c r="O173" i="2" s="1" a="1"/>
  <c r="L173" i="2" a="1"/>
  <c r="J68" i="3"/>
  <c r="P151" i="2" a="1"/>
  <c r="H151" i="2" a="1"/>
  <c r="B151" i="2" a="1"/>
  <c r="M151" i="2" a="1"/>
  <c r="O151" i="2" s="1" a="1"/>
  <c r="L151" i="2" a="1"/>
  <c r="N151" i="2" s="1"/>
  <c r="E151" i="2" a="1"/>
  <c r="Q151" i="2" a="1"/>
  <c r="D151" i="2" a="1"/>
  <c r="AE151" i="2" s="1" a="1"/>
  <c r="AF151" i="2" a="1"/>
  <c r="Z168" i="2" a="1"/>
  <c r="E168" i="2" a="1"/>
  <c r="B168" i="2" a="1"/>
  <c r="P168" i="2" a="1"/>
  <c r="AF168" i="2" s="1" a="1"/>
  <c r="M168" i="2" a="1"/>
  <c r="O168" i="2" s="1" a="1"/>
  <c r="L168" i="2" a="1"/>
  <c r="H168" i="2" a="1"/>
  <c r="Q168" i="2" a="1"/>
  <c r="U168" i="2" s="1"/>
  <c r="D168" i="2" a="1"/>
  <c r="AE168" i="2" s="1" a="1"/>
  <c r="Z109" i="2" a="1"/>
  <c r="E109" i="2" a="1"/>
  <c r="M109" i="2" a="1"/>
  <c r="O109" i="2" s="1" a="1"/>
  <c r="L109" i="2" a="1"/>
  <c r="H109" i="2" a="1"/>
  <c r="P109" i="2" a="1"/>
  <c r="AF109" i="2" s="1" a="1"/>
  <c r="Q109" i="2" a="1"/>
  <c r="B109" i="2" a="1"/>
  <c r="D109" i="2" a="1"/>
  <c r="AE109" i="2" s="1" a="1"/>
  <c r="M95" i="3"/>
  <c r="X59" i="2" a="1"/>
  <c r="Y59" i="2" s="1"/>
  <c r="U165" i="2"/>
  <c r="M92" i="2" a="1"/>
  <c r="O92" i="2" s="1" a="1"/>
  <c r="L92" i="2" a="1"/>
  <c r="W92" i="2" a="1"/>
  <c r="X92" i="2" s="1" a="1"/>
  <c r="Y92" i="2" s="1"/>
  <c r="Z92" i="2" a="1"/>
  <c r="E92" i="2" a="1"/>
  <c r="Q92" i="2" a="1"/>
  <c r="D92" i="2" a="1"/>
  <c r="P92" i="2" a="1"/>
  <c r="AF92" i="2" s="1" a="1"/>
  <c r="H92" i="2" a="1"/>
  <c r="AE92" i="2" a="1"/>
  <c r="B92" i="2" a="1"/>
  <c r="J149" i="2"/>
  <c r="J69" i="3"/>
  <c r="J67" i="3"/>
  <c r="M107" i="3"/>
  <c r="J79" i="3"/>
  <c r="Z116" i="2" a="1"/>
  <c r="P116" i="2" a="1"/>
  <c r="D116" i="2" a="1"/>
  <c r="H116" i="2" a="1"/>
  <c r="J116" i="2" s="1"/>
  <c r="L116" i="2" a="1"/>
  <c r="Q116" i="2" a="1"/>
  <c r="B116" i="2" a="1"/>
  <c r="E116" i="2" a="1"/>
  <c r="U116" i="2" s="1"/>
  <c r="W116" i="2" a="1"/>
  <c r="X116" i="2" s="1" a="1"/>
  <c r="Y116" i="2" s="1"/>
  <c r="M116" i="2" a="1"/>
  <c r="O116" i="2" s="1" a="1"/>
  <c r="J104" i="3"/>
  <c r="J95" i="3"/>
  <c r="J147" i="2"/>
  <c r="U147" i="2"/>
  <c r="J174" i="2"/>
  <c r="U174" i="2"/>
  <c r="M102" i="2" a="1"/>
  <c r="O102" i="2" s="1" a="1"/>
  <c r="P102" i="2" a="1"/>
  <c r="L102" i="2" a="1"/>
  <c r="B102" i="2" a="1"/>
  <c r="W102" i="2" a="1"/>
  <c r="X102" i="2" s="1" a="1"/>
  <c r="Y102" i="2" s="1"/>
  <c r="H102" i="2" a="1"/>
  <c r="Q102" i="2" a="1"/>
  <c r="D102" i="2" a="1"/>
  <c r="Z102" i="2" a="1"/>
  <c r="AC102" i="2" s="1"/>
  <c r="E102" i="2" a="1"/>
  <c r="U102" i="2" s="1"/>
  <c r="X55" i="2" a="1"/>
  <c r="Y55" i="2" s="1"/>
  <c r="J109" i="3"/>
  <c r="N135" i="2"/>
  <c r="U153" i="2"/>
  <c r="V153" i="2" s="1"/>
  <c r="N100" i="2"/>
  <c r="J107" i="3"/>
  <c r="J94" i="3"/>
  <c r="M69" i="3"/>
  <c r="M93" i="3"/>
  <c r="N68" i="2"/>
  <c r="M102" i="3"/>
  <c r="M100" i="3"/>
  <c r="M106" i="3"/>
  <c r="M90" i="3"/>
  <c r="M66" i="3"/>
  <c r="J68" i="2"/>
  <c r="U99" i="2"/>
  <c r="U83" i="2"/>
  <c r="X31" i="2" a="1"/>
  <c r="Y31" i="2" s="1"/>
  <c r="J103" i="3"/>
  <c r="J101" i="3"/>
  <c r="J93" i="3"/>
  <c r="J99" i="3"/>
  <c r="J96" i="3"/>
  <c r="J92" i="3"/>
  <c r="J98" i="3"/>
  <c r="J90" i="3"/>
  <c r="J100" i="3"/>
  <c r="J106" i="3"/>
  <c r="J105" i="3"/>
  <c r="J102" i="3"/>
  <c r="M89" i="3"/>
  <c r="G125" i="3"/>
  <c r="M91" i="3"/>
  <c r="M96" i="3"/>
  <c r="M88" i="3"/>
  <c r="J65" i="3"/>
  <c r="J82" i="3"/>
  <c r="M85" i="3"/>
  <c r="M80" i="3"/>
  <c r="M81" i="3"/>
  <c r="J64" i="3"/>
  <c r="M86" i="3"/>
  <c r="J81" i="3"/>
  <c r="J91" i="3"/>
  <c r="J86" i="3"/>
  <c r="J85" i="3"/>
  <c r="J89" i="3"/>
  <c r="J84" i="3"/>
  <c r="G78" i="3"/>
  <c r="J83" i="3"/>
  <c r="J88" i="3"/>
  <c r="J63" i="3"/>
  <c r="M63" i="3"/>
  <c r="J80" i="3"/>
  <c r="M84" i="3"/>
  <c r="D78" i="3"/>
  <c r="I78" i="3"/>
  <c r="L78" i="3"/>
  <c r="H78" i="3"/>
  <c r="K78" i="3"/>
  <c r="H54" i="3"/>
  <c r="B54" i="3"/>
  <c r="J66" i="3"/>
  <c r="J62" i="3"/>
  <c r="M65" i="3"/>
  <c r="M64" i="3"/>
  <c r="M62" i="3"/>
  <c r="S185" i="2"/>
  <c r="AF185" i="2" a="1"/>
  <c r="R185" i="2" s="1"/>
  <c r="H125" i="3" a="1"/>
  <c r="G142" i="3"/>
  <c r="N61" i="2"/>
  <c r="H60" i="3"/>
  <c r="K60" i="3"/>
  <c r="B50" i="3"/>
  <c r="D60" i="3"/>
  <c r="L60" i="3"/>
  <c r="M60" i="3" s="1"/>
  <c r="C50" i="3"/>
  <c r="J61" i="3"/>
  <c r="I60" i="3"/>
  <c r="G60" i="3"/>
  <c r="C51" i="3"/>
  <c r="Z44" i="2" a="1"/>
  <c r="Q44" i="2" a="1"/>
  <c r="B44" i="2" a="1"/>
  <c r="P44" i="2" a="1"/>
  <c r="L44" i="2" a="1"/>
  <c r="H44" i="2" a="1"/>
  <c r="E44" i="2" a="1"/>
  <c r="W44" i="2" a="1"/>
  <c r="X44" i="2" s="1" a="1"/>
  <c r="Y44" i="2" s="1"/>
  <c r="M44" i="2" a="1"/>
  <c r="O44" i="2" s="1" a="1"/>
  <c r="D44" i="2" a="1"/>
  <c r="Z42" i="2" a="1"/>
  <c r="W42" i="2" a="1"/>
  <c r="X42" i="2" s="1" a="1"/>
  <c r="Y42" i="2" s="1"/>
  <c r="M42" i="2" a="1"/>
  <c r="O42" i="2" s="1" a="1"/>
  <c r="P42" i="2" a="1"/>
  <c r="H42" i="2" a="1"/>
  <c r="D42" i="2" a="1"/>
  <c r="E42" i="2" a="1"/>
  <c r="Q42" i="2" a="1"/>
  <c r="B42" i="2" a="1"/>
  <c r="L42" i="2" a="1"/>
  <c r="U135" i="2"/>
  <c r="F179" i="2"/>
  <c r="J148" i="2"/>
  <c r="B73" i="2" a="1"/>
  <c r="Q73" i="2" a="1"/>
  <c r="E73" i="2" a="1"/>
  <c r="Z129" i="2" a="1"/>
  <c r="E74" i="2" a="1"/>
  <c r="H74" i="2" a="1"/>
  <c r="M74" i="2" a="1"/>
  <c r="O74" i="2" s="1" a="1"/>
  <c r="L74" i="2" a="1"/>
  <c r="B74" i="2" a="1"/>
  <c r="P74" i="2" a="1"/>
  <c r="W74" i="2" a="1"/>
  <c r="X74" i="2" s="1" a="1"/>
  <c r="Y74" i="2" s="1"/>
  <c r="Z74" i="2" a="1"/>
  <c r="D74" i="2" a="1"/>
  <c r="Q74" i="2" a="1"/>
  <c r="Z73" i="2" a="1"/>
  <c r="AC73" i="2" s="1"/>
  <c r="M73" i="2" a="1"/>
  <c r="O73" i="2" s="1" a="1"/>
  <c r="W73" i="2" a="1"/>
  <c r="X73" i="2" s="1" a="1"/>
  <c r="Y73" i="2" s="1"/>
  <c r="H73" i="2" a="1"/>
  <c r="D73" i="2" a="1"/>
  <c r="P73" i="2" a="1"/>
  <c r="L73" i="2" a="1"/>
  <c r="S132" i="2"/>
  <c r="AF132" i="2" a="1"/>
  <c r="R132" i="2" s="1"/>
  <c r="S184" i="2"/>
  <c r="AF184" i="2" a="1"/>
  <c r="Z87" i="2" a="1"/>
  <c r="AC87" i="2" s="1"/>
  <c r="M87" i="2" a="1"/>
  <c r="O87" i="2" s="1" a="1"/>
  <c r="L87" i="2" a="1"/>
  <c r="Q87" i="2" a="1"/>
  <c r="H87" i="2" a="1"/>
  <c r="B87" i="2" a="1"/>
  <c r="W87" i="2" a="1"/>
  <c r="X87" i="2" s="1" a="1"/>
  <c r="Y87" i="2" s="1"/>
  <c r="P87" i="2" a="1"/>
  <c r="AF87" i="2" s="1" a="1"/>
  <c r="D87" i="2" a="1"/>
  <c r="E87" i="2" a="1"/>
  <c r="B108" i="2" a="1"/>
  <c r="Z108" i="2" a="1"/>
  <c r="Q108" i="2" a="1"/>
  <c r="M108" i="2" a="1"/>
  <c r="O108" i="2" s="1" a="1"/>
  <c r="L108" i="2" a="1"/>
  <c r="P108" i="2" a="1"/>
  <c r="E108" i="2" a="1"/>
  <c r="H108" i="2" a="1"/>
  <c r="W108" i="2" a="1"/>
  <c r="X108" i="2" s="1" a="1"/>
  <c r="Y108" i="2" s="1"/>
  <c r="D108" i="2" a="1"/>
  <c r="Q112" i="2" a="1"/>
  <c r="B112" i="2" a="1"/>
  <c r="D112" i="2" a="1"/>
  <c r="P112" i="2" a="1"/>
  <c r="H112" i="2" a="1"/>
  <c r="J112" i="2" s="1"/>
  <c r="E112" i="2" a="1"/>
  <c r="N157" i="2"/>
  <c r="W139" i="2" a="1"/>
  <c r="X139" i="2" s="1" a="1"/>
  <c r="Y139" i="2" s="1"/>
  <c r="M139" i="2" a="1"/>
  <c r="O139" i="2" s="1" a="1"/>
  <c r="Z142" i="2" a="1"/>
  <c r="W142" i="2" a="1"/>
  <c r="X142" i="2" s="1" a="1"/>
  <c r="Y142" i="2" s="1"/>
  <c r="H142" i="2" a="1"/>
  <c r="E142" i="2" a="1"/>
  <c r="L142" i="2" a="1"/>
  <c r="M142" i="2" a="1"/>
  <c r="O142" i="2" s="1" a="1"/>
  <c r="P142" i="2" a="1"/>
  <c r="B142" i="2" a="1"/>
  <c r="Q142" i="2" a="1"/>
  <c r="D142" i="2" a="1"/>
  <c r="N97" i="2"/>
  <c r="L133" i="2" a="1"/>
  <c r="M133" i="2" a="1"/>
  <c r="O133" i="2" s="1" a="1"/>
  <c r="W133" i="2" a="1"/>
  <c r="X133" i="2" s="1" a="1"/>
  <c r="Y133" i="2" s="1"/>
  <c r="Z70" i="2" a="1"/>
  <c r="AC70" i="2" s="1"/>
  <c r="D70" i="2" a="1"/>
  <c r="AE70" i="2" s="1" a="1"/>
  <c r="H70" i="2" a="1"/>
  <c r="L70" i="2" a="1"/>
  <c r="Q70" i="2" a="1"/>
  <c r="B70" i="2" a="1"/>
  <c r="E70" i="2" a="1"/>
  <c r="P70" i="2" a="1"/>
  <c r="AF70" i="2" s="1" a="1"/>
  <c r="M70" i="2" a="1"/>
  <c r="X47" i="2" a="1"/>
  <c r="Y47" i="2" s="1"/>
  <c r="Q141" i="2" a="1"/>
  <c r="B141" i="2" a="1"/>
  <c r="P141" i="2" a="1"/>
  <c r="E141" i="2" a="1"/>
  <c r="H141" i="2" a="1"/>
  <c r="Z141" i="2" a="1"/>
  <c r="M141" i="2" a="1"/>
  <c r="O141" i="2" s="1" a="1"/>
  <c r="W141" i="2" a="1"/>
  <c r="X141" i="2" s="1" a="1"/>
  <c r="Y141" i="2" s="1"/>
  <c r="D141" i="2" a="1"/>
  <c r="L141" i="2" a="1"/>
  <c r="Z37" i="2" a="1"/>
  <c r="N180" i="2"/>
  <c r="N101" i="2"/>
  <c r="Z63" i="2" a="1"/>
  <c r="U61" i="2"/>
  <c r="J67" i="2"/>
  <c r="H88" i="2" a="1"/>
  <c r="M88" i="2" a="1"/>
  <c r="O88" i="2" s="1" a="1"/>
  <c r="D88" i="2" a="1"/>
  <c r="L88" i="2" a="1"/>
  <c r="Z88" i="2" a="1"/>
  <c r="AC88" i="2" s="1"/>
  <c r="Q88" i="2" a="1"/>
  <c r="E88" i="2" a="1"/>
  <c r="P88" i="2" a="1"/>
  <c r="B88" i="2" a="1"/>
  <c r="M54" i="2" a="1"/>
  <c r="O54" i="2" s="1" a="1"/>
  <c r="W54" i="2" a="1"/>
  <c r="X54" i="2" s="1" a="1"/>
  <c r="Y54" i="2" s="1"/>
  <c r="Q54" i="2" a="1"/>
  <c r="E54" i="2" a="1"/>
  <c r="L54" i="2" a="1"/>
  <c r="D54" i="2" a="1"/>
  <c r="Z54" i="2" a="1"/>
  <c r="AC54" i="2" s="1"/>
  <c r="P54" i="2" a="1"/>
  <c r="H54" i="2" a="1"/>
  <c r="B54" i="2" a="1"/>
  <c r="Z46" i="2" a="1"/>
  <c r="Q46" i="2" a="1"/>
  <c r="M46" i="2" a="1"/>
  <c r="O46" i="2" s="1" a="1"/>
  <c r="L46" i="2" a="1"/>
  <c r="D46" i="2" a="1"/>
  <c r="B46" i="2" a="1"/>
  <c r="W46" i="2" a="1"/>
  <c r="X46" i="2" s="1" a="1"/>
  <c r="Y46" i="2" s="1"/>
  <c r="E46" i="2" a="1"/>
  <c r="P46" i="2" a="1"/>
  <c r="H46" i="2" a="1"/>
  <c r="B96" i="2" a="1"/>
  <c r="W96" i="2" a="1"/>
  <c r="X96" i="2" s="1" a="1"/>
  <c r="Y96" i="2" s="1"/>
  <c r="L96" i="2" a="1"/>
  <c r="Z96" i="2" a="1"/>
  <c r="M96" i="2" a="1"/>
  <c r="O96" i="2" s="1" a="1"/>
  <c r="D96" i="2" a="1"/>
  <c r="E96" i="2" a="1"/>
  <c r="Q96" i="2" a="1"/>
  <c r="H96" i="2" a="1"/>
  <c r="P96" i="2" a="1"/>
  <c r="N146" i="2"/>
  <c r="Z133" i="2" a="1"/>
  <c r="P133" i="2" a="1"/>
  <c r="AF133" i="2" s="1" a="1"/>
  <c r="E133" i="2" a="1"/>
  <c r="B133" i="2" a="1"/>
  <c r="D133" i="2" a="1"/>
  <c r="Q133" i="2" a="1"/>
  <c r="H133" i="2" a="1"/>
  <c r="P125" i="2" a="1"/>
  <c r="AF125" i="2" s="1" a="1"/>
  <c r="Z125" i="2" a="1"/>
  <c r="L125" i="2" a="1"/>
  <c r="H125" i="2" a="1"/>
  <c r="E125" i="2" a="1"/>
  <c r="B125" i="2" a="1"/>
  <c r="Q125" i="2" a="1"/>
  <c r="D125" i="2" a="1"/>
  <c r="M125" i="2" a="1"/>
  <c r="O125" i="2" s="1" a="1"/>
  <c r="H139" i="2" a="1"/>
  <c r="Q139" i="2" a="1"/>
  <c r="D139" i="2" a="1"/>
  <c r="L139" i="2" a="1"/>
  <c r="B139" i="2" a="1"/>
  <c r="P139" i="2" a="1"/>
  <c r="E139" i="2" a="1"/>
  <c r="Z139" i="2" a="1"/>
  <c r="D117" i="2" a="1"/>
  <c r="AE117" i="2" s="1" a="1"/>
  <c r="E117" i="2" a="1"/>
  <c r="M117" i="2" a="1"/>
  <c r="O117" i="2" s="1" a="1"/>
  <c r="L117" i="2" a="1"/>
  <c r="Q117" i="2" a="1"/>
  <c r="Z117" i="2" a="1"/>
  <c r="W117" i="2" a="1"/>
  <c r="X117" i="2" s="1" a="1"/>
  <c r="Y117" i="2" s="1"/>
  <c r="B117" i="2" a="1"/>
  <c r="H117" i="2" a="1"/>
  <c r="P117" i="2" a="1"/>
  <c r="D111" i="2" a="1"/>
  <c r="W111" i="2" a="1"/>
  <c r="X111" i="2" s="1" a="1"/>
  <c r="Y111" i="2" s="1"/>
  <c r="M111" i="2" a="1"/>
  <c r="O111" i="2" s="1" a="1"/>
  <c r="L111" i="2" a="1"/>
  <c r="Q111" i="2" a="1"/>
  <c r="P111" i="2" a="1"/>
  <c r="Z111" i="2" a="1"/>
  <c r="T62" i="2"/>
  <c r="AF62" i="2" a="1"/>
  <c r="R62" i="2" s="1"/>
  <c r="N106" i="2"/>
  <c r="G68" i="2"/>
  <c r="I68" i="2"/>
  <c r="AE67" i="2" a="1"/>
  <c r="G67" i="2"/>
  <c r="Z140" i="2" a="1"/>
  <c r="P140" i="2" a="1"/>
  <c r="W140" i="2" a="1"/>
  <c r="X140" i="2" s="1" a="1"/>
  <c r="Y140" i="2" s="1"/>
  <c r="Z112" i="2" a="1"/>
  <c r="AC112" i="2" s="1"/>
  <c r="L112" i="2" a="1"/>
  <c r="M112" i="2" a="1"/>
  <c r="O112" i="2" s="1" a="1"/>
  <c r="E111" i="2" a="1"/>
  <c r="B111" i="2" a="1"/>
  <c r="H111" i="2" a="1"/>
  <c r="D140" i="2" a="1"/>
  <c r="AE140" i="2" s="1" a="1"/>
  <c r="B140" i="2" a="1"/>
  <c r="Z136" i="2" a="1"/>
  <c r="W136" i="2" a="1"/>
  <c r="X136" i="2" s="1" a="1"/>
  <c r="Y136" i="2" s="1"/>
  <c r="Q136" i="2" a="1"/>
  <c r="B136" i="2" a="1"/>
  <c r="D136" i="2" a="1"/>
  <c r="M136" i="2" a="1"/>
  <c r="O136" i="2" s="1" a="1"/>
  <c r="E136" i="2" a="1"/>
  <c r="H136" i="2" a="1"/>
  <c r="S153" i="2"/>
  <c r="L136" i="2" a="1"/>
  <c r="P136" i="2" a="1"/>
  <c r="N66" i="2"/>
  <c r="L140" i="2" a="1"/>
  <c r="M140" i="2" a="1"/>
  <c r="O140" i="2" s="1" a="1"/>
  <c r="Q140" i="2" a="1"/>
  <c r="E140" i="2" a="1"/>
  <c r="H140" i="2" a="1"/>
  <c r="B127" i="2" a="1"/>
  <c r="Q127" i="2" a="1"/>
  <c r="H127" i="2" a="1"/>
  <c r="D127" i="2" a="1"/>
  <c r="AE127" i="2" s="1" a="1"/>
  <c r="Z127" i="2" a="1"/>
  <c r="AC127" i="2" s="1"/>
  <c r="L127" i="2" a="1"/>
  <c r="E127" i="2" a="1"/>
  <c r="P127" i="2" a="1"/>
  <c r="M127" i="2" a="1"/>
  <c r="O127" i="2" s="1" a="1"/>
  <c r="M77" i="2" a="1"/>
  <c r="O77" i="2" s="1" a="1"/>
  <c r="Z77" i="2" a="1"/>
  <c r="Q77" i="2" a="1"/>
  <c r="D77" i="2" a="1"/>
  <c r="AE77" i="2" s="1" a="1"/>
  <c r="P77" i="2" a="1"/>
  <c r="AF77" i="2" s="1" a="1"/>
  <c r="H77" i="2" a="1"/>
  <c r="B77" i="2" a="1"/>
  <c r="E77" i="2" a="1"/>
  <c r="L77" i="2" a="1"/>
  <c r="E93" i="2" a="1"/>
  <c r="H93" i="2" a="1"/>
  <c r="M93" i="2" a="1"/>
  <c r="O93" i="2" s="1" a="1"/>
  <c r="L93" i="2" a="1"/>
  <c r="Q93" i="2" a="1"/>
  <c r="B93" i="2" a="1"/>
  <c r="P93" i="2" a="1"/>
  <c r="D93" i="2" a="1"/>
  <c r="Z93" i="2" a="1"/>
  <c r="AC93" i="2" s="1"/>
  <c r="B107" i="2" a="1"/>
  <c r="P107" i="2" a="1"/>
  <c r="Q107" i="2" a="1"/>
  <c r="W107" i="2" a="1"/>
  <c r="X107" i="2" s="1" a="1"/>
  <c r="Y107" i="2" s="1"/>
  <c r="E107" i="2" a="1"/>
  <c r="D107" i="2" a="1"/>
  <c r="H107" i="2" a="1"/>
  <c r="Z107" i="2" a="1"/>
  <c r="B89" i="2" a="1"/>
  <c r="M89" i="2" a="1"/>
  <c r="O89" i="2" s="1" a="1"/>
  <c r="L89" i="2" a="1"/>
  <c r="Z89" i="2" a="1"/>
  <c r="P89" i="2" a="1"/>
  <c r="AF89" i="2" s="1" a="1"/>
  <c r="W89" i="2" a="1"/>
  <c r="X89" i="2" s="1" a="1"/>
  <c r="Y89" i="2" s="1"/>
  <c r="H89" i="2" a="1"/>
  <c r="Q89" i="2" a="1"/>
  <c r="D89" i="2" a="1"/>
  <c r="AE89" i="2" s="1" a="1"/>
  <c r="E89" i="2" a="1"/>
  <c r="W123" i="2" a="1"/>
  <c r="X123" i="2" s="1" a="1"/>
  <c r="Y123" i="2" s="1"/>
  <c r="M123" i="2" a="1"/>
  <c r="O123" i="2" s="1" a="1"/>
  <c r="Z123" i="2" a="1"/>
  <c r="D123" i="2" a="1"/>
  <c r="Q123" i="2" a="1"/>
  <c r="H123" i="2" a="1"/>
  <c r="P123" i="2" a="1"/>
  <c r="E123" i="2" a="1"/>
  <c r="L123" i="2" a="1"/>
  <c r="B123" i="2" a="1"/>
  <c r="W129" i="2" a="1"/>
  <c r="X129" i="2" s="1" a="1"/>
  <c r="Y129" i="2" s="1"/>
  <c r="E129" i="2" a="1"/>
  <c r="H129" i="2" a="1"/>
  <c r="P129" i="2" a="1"/>
  <c r="B129" i="2" a="1"/>
  <c r="D129" i="2" a="1"/>
  <c r="Q129" i="2" a="1"/>
  <c r="L104" i="2" a="1"/>
  <c r="M104" i="2" a="1"/>
  <c r="O104" i="2" s="1" a="1"/>
  <c r="D104" i="2" a="1"/>
  <c r="K144" i="2"/>
  <c r="AE144" i="2" a="1"/>
  <c r="F144" i="2" s="1"/>
  <c r="S147" i="2"/>
  <c r="AF147" i="2" a="1"/>
  <c r="S135" i="2"/>
  <c r="AF135" i="2" a="1"/>
  <c r="N64" i="2"/>
  <c r="N179" i="2"/>
  <c r="U64" i="2"/>
  <c r="L107" i="2" a="1"/>
  <c r="M107" i="2" a="1"/>
  <c r="O107" i="2" s="1" a="1"/>
  <c r="Z71" i="2" a="1"/>
  <c r="P71" i="2" a="1"/>
  <c r="AF71" i="2" s="1" a="1"/>
  <c r="W71" i="2" a="1"/>
  <c r="X71" i="2" s="1" a="1"/>
  <c r="Y71" i="2" s="1"/>
  <c r="E71" i="2" a="1"/>
  <c r="H71" i="2" a="1"/>
  <c r="D71" i="2" a="1"/>
  <c r="AE71" i="2" s="1" a="1"/>
  <c r="M71" i="2" a="1"/>
  <c r="O71" i="2" s="1" a="1"/>
  <c r="L71" i="2" a="1"/>
  <c r="Q104" i="2" a="1"/>
  <c r="Z104" i="2" a="1"/>
  <c r="W104" i="2" a="1"/>
  <c r="X104" i="2" s="1" a="1"/>
  <c r="Y104" i="2" s="1"/>
  <c r="E104" i="2" a="1"/>
  <c r="P104" i="2" a="1"/>
  <c r="B104" i="2" a="1"/>
  <c r="H104" i="2" a="1"/>
  <c r="L129" i="2" a="1"/>
  <c r="M129" i="2" a="1"/>
  <c r="O129" i="2" s="1" a="1"/>
  <c r="W86" i="2" a="1"/>
  <c r="X86" i="2" s="1" a="1"/>
  <c r="Y86" i="2" s="1"/>
  <c r="H86" i="2" a="1"/>
  <c r="Q86" i="2" a="1"/>
  <c r="M86" i="2" a="1"/>
  <c r="O86" i="2" s="1" a="1"/>
  <c r="D86" i="2" a="1"/>
  <c r="B86" i="2" a="1"/>
  <c r="P86" i="2" a="1"/>
  <c r="AF86" i="2" s="1" a="1"/>
  <c r="S126" i="2"/>
  <c r="AF126" i="2" a="1"/>
  <c r="R126" i="2" s="1"/>
  <c r="Q71" i="2" a="1"/>
  <c r="B71" i="2" a="1"/>
  <c r="N98" i="2"/>
  <c r="G100" i="2"/>
  <c r="AE100" i="2" a="1"/>
  <c r="F100" i="2" s="1"/>
  <c r="AF69" i="2" a="1"/>
  <c r="R69" i="2" s="1"/>
  <c r="S69" i="2"/>
  <c r="Z86" i="2" a="1"/>
  <c r="L86" i="2" a="1"/>
  <c r="E86" i="2" a="1"/>
  <c r="N94" i="2"/>
  <c r="Z81" i="2" a="1"/>
  <c r="AC81" i="2" s="1"/>
  <c r="H81" i="2" a="1"/>
  <c r="M81" i="2" a="1"/>
  <c r="O81" i="2" s="1" a="1"/>
  <c r="D81" i="2" a="1"/>
  <c r="E81" i="2" a="1"/>
  <c r="L81" i="2" a="1"/>
  <c r="P81" i="2" a="1"/>
  <c r="AF81" i="2" s="1" a="1"/>
  <c r="Q81" i="2" a="1"/>
  <c r="B81" i="2" a="1"/>
  <c r="Z55" i="2" a="1"/>
  <c r="E55" i="2" a="1"/>
  <c r="D55" i="2" a="1"/>
  <c r="P55" i="2" a="1"/>
  <c r="Q55" i="2" a="1"/>
  <c r="H55" i="2" a="1"/>
  <c r="B55" i="2" a="1"/>
  <c r="L55" i="2" a="1"/>
  <c r="M55" i="2" a="1"/>
  <c r="O55" i="2" s="1" a="1"/>
  <c r="Z38" i="2" a="1"/>
  <c r="H38" i="2" a="1"/>
  <c r="P38" i="2" a="1"/>
  <c r="E38" i="2" a="1"/>
  <c r="M38" i="2" a="1"/>
  <c r="O38" i="2" s="1" a="1"/>
  <c r="L38" i="2" a="1"/>
  <c r="D38" i="2" a="1"/>
  <c r="AE38" i="2" s="1" a="1"/>
  <c r="B38" i="2" a="1"/>
  <c r="Q38" i="2" a="1"/>
  <c r="W63" i="2" a="1"/>
  <c r="X63" i="2" s="1" a="1"/>
  <c r="Y63" i="2" s="1"/>
  <c r="H63" i="2" a="1"/>
  <c r="E63" i="2" a="1"/>
  <c r="D63" i="2" a="1"/>
  <c r="AE63" i="2" s="1" a="1"/>
  <c r="Q63" i="2" a="1"/>
  <c r="P63" i="2" a="1"/>
  <c r="B63" i="2" a="1"/>
  <c r="L63" i="2" a="1"/>
  <c r="M63" i="2" a="1"/>
  <c r="O63" i="2" s="1" a="1"/>
  <c r="S64" i="2"/>
  <c r="AF64" i="2" a="1"/>
  <c r="G183" i="2"/>
  <c r="AE183" i="2" a="1"/>
  <c r="F183" i="2" s="1"/>
  <c r="J150" i="2"/>
  <c r="U150" i="2"/>
  <c r="R154" i="2"/>
  <c r="H175" i="2" a="1"/>
  <c r="Q175" i="2" a="1"/>
  <c r="L175" i="2" a="1"/>
  <c r="M175" i="2" a="1"/>
  <c r="O175" i="2" s="1" a="1"/>
  <c r="Z175" i="2" a="1"/>
  <c r="P175" i="2" a="1"/>
  <c r="E175" i="2" a="1"/>
  <c r="B175" i="2" a="1"/>
  <c r="D175" i="2" a="1"/>
  <c r="AE175" i="2" s="1" a="1"/>
  <c r="U154" i="2"/>
  <c r="V154" i="2" s="1"/>
  <c r="U90" i="2"/>
  <c r="V90" i="2" s="1"/>
  <c r="S183" i="2"/>
  <c r="S154" i="2"/>
  <c r="S98" i="2"/>
  <c r="AF98" i="2" a="1"/>
  <c r="R98" i="2" s="1"/>
  <c r="T98" i="2"/>
  <c r="T101" i="2"/>
  <c r="AF128" i="2" a="1"/>
  <c r="R128" i="2" s="1"/>
  <c r="S128" i="2"/>
  <c r="R90" i="2"/>
  <c r="U180" i="2"/>
  <c r="K137" i="2"/>
  <c r="AE137" i="2" a="1"/>
  <c r="F137" i="2" s="1"/>
  <c r="J153" i="2"/>
  <c r="J178" i="2"/>
  <c r="R160" i="2"/>
  <c r="S187" i="2"/>
  <c r="AF187" i="2" a="1"/>
  <c r="R187" i="2" s="1"/>
  <c r="G187" i="2"/>
  <c r="AE187" i="2" a="1"/>
  <c r="F187" i="2" s="1"/>
  <c r="U126" i="2"/>
  <c r="N167" i="2"/>
  <c r="J114" i="2"/>
  <c r="J152" i="2"/>
  <c r="U152" i="2"/>
  <c r="N138" i="2"/>
  <c r="U134" i="2"/>
  <c r="J118" i="2"/>
  <c r="U114" i="2"/>
  <c r="V114" i="2" s="1"/>
  <c r="N114" i="2"/>
  <c r="J184" i="2"/>
  <c r="N152" i="2"/>
  <c r="S90" i="2"/>
  <c r="N144" i="2"/>
  <c r="U178" i="2"/>
  <c r="R164" i="2"/>
  <c r="J183" i="2"/>
  <c r="J179" i="2"/>
  <c r="U176" i="2"/>
  <c r="J181" i="2"/>
  <c r="U143" i="2"/>
  <c r="V143" i="2" s="1"/>
  <c r="J121" i="2"/>
  <c r="J177" i="2"/>
  <c r="J159" i="2"/>
  <c r="S143" i="2"/>
  <c r="U185" i="2"/>
  <c r="J143" i="2"/>
  <c r="J182" i="2"/>
  <c r="T182" i="2"/>
  <c r="AE182" i="2" a="1"/>
  <c r="F182" i="2" s="1"/>
  <c r="G182" i="2"/>
  <c r="K182" i="2"/>
  <c r="I182" i="2"/>
  <c r="N154" i="2"/>
  <c r="F126" i="2"/>
  <c r="J185" i="2"/>
  <c r="M56" i="2" a="1"/>
  <c r="O56" i="2" s="1" a="1"/>
  <c r="L56" i="2" a="1"/>
  <c r="T181" i="2"/>
  <c r="I181" i="2"/>
  <c r="AF181" i="2" a="1"/>
  <c r="R181" i="2" s="1"/>
  <c r="S181" i="2"/>
  <c r="J145" i="2"/>
  <c r="F189" i="2"/>
  <c r="S82" i="2"/>
  <c r="N186" i="2"/>
  <c r="J187" i="2"/>
  <c r="N131" i="2"/>
  <c r="R82" i="2"/>
  <c r="N121" i="2"/>
  <c r="N134" i="2"/>
  <c r="X51" i="2" a="1"/>
  <c r="Y51" i="2" s="1"/>
  <c r="S61" i="2"/>
  <c r="U171" i="2"/>
  <c r="V171" i="2" s="1"/>
  <c r="J164" i="2"/>
  <c r="J84" i="2"/>
  <c r="R153" i="2"/>
  <c r="J91" i="2"/>
  <c r="I90" i="2"/>
  <c r="Z79" i="2" a="1"/>
  <c r="H79" i="2" a="1"/>
  <c r="M79" i="2" a="1"/>
  <c r="O79" i="2" s="1" a="1"/>
  <c r="L79" i="2" a="1"/>
  <c r="Q79" i="2" a="1"/>
  <c r="E79" i="2" a="1"/>
  <c r="B79" i="2" a="1"/>
  <c r="D79" i="2" a="1"/>
  <c r="AE79" i="2" s="1" a="1"/>
  <c r="P79" i="2" a="1"/>
  <c r="G143" i="2"/>
  <c r="K143" i="2"/>
  <c r="N171" i="2"/>
  <c r="N165" i="2"/>
  <c r="N124" i="2"/>
  <c r="N185" i="2"/>
  <c r="AE69" i="2" a="1"/>
  <c r="F69" i="2" s="1"/>
  <c r="T69" i="2"/>
  <c r="AF84" i="2" a="1"/>
  <c r="R84" i="2" s="1"/>
  <c r="S84" i="2"/>
  <c r="G84" i="2"/>
  <c r="K84" i="2"/>
  <c r="I84" i="2"/>
  <c r="T84" i="2"/>
  <c r="N169" i="2"/>
  <c r="J72" i="2"/>
  <c r="U62" i="2"/>
  <c r="J64" i="2"/>
  <c r="R61" i="2"/>
  <c r="X35" i="2" a="1"/>
  <c r="Y35" i="2" s="1"/>
  <c r="N160" i="2"/>
  <c r="U82" i="2"/>
  <c r="N99" i="2"/>
  <c r="J98" i="2"/>
  <c r="X61" i="2" a="1"/>
  <c r="Y61" i="2" s="1"/>
  <c r="U69" i="2"/>
  <c r="G174" i="2"/>
  <c r="N110" i="2"/>
  <c r="J90" i="2"/>
  <c r="Z172" i="2" a="1"/>
  <c r="Z155" i="2" a="1"/>
  <c r="Q172" i="2" a="1"/>
  <c r="E172" i="2" a="1"/>
  <c r="H172" i="2" a="1"/>
  <c r="M172" i="2" a="1"/>
  <c r="O172" i="2" s="1" a="1"/>
  <c r="L172" i="2" a="1"/>
  <c r="B172" i="2" a="1"/>
  <c r="P172" i="2" a="1"/>
  <c r="D172" i="2" a="1"/>
  <c r="W172" i="2" a="1"/>
  <c r="X172" i="2" s="1" a="1"/>
  <c r="Y172" i="2" s="1"/>
  <c r="B155" i="2" a="1"/>
  <c r="E155" i="2" a="1"/>
  <c r="D155" i="2" a="1"/>
  <c r="AE155" i="2" s="1" a="1"/>
  <c r="Q155" i="2" a="1"/>
  <c r="S169" i="2"/>
  <c r="AF169" i="2" a="1"/>
  <c r="G169" i="2"/>
  <c r="T169" i="2"/>
  <c r="I169" i="2"/>
  <c r="K169" i="2"/>
  <c r="Z52" i="2" a="1"/>
  <c r="AC52" i="2" s="1"/>
  <c r="W52" i="2" a="1"/>
  <c r="X52" i="2" s="1" a="1"/>
  <c r="Y52" i="2" s="1"/>
  <c r="L52" i="2" a="1"/>
  <c r="M52" i="2" a="1"/>
  <c r="O52" i="2" s="1" a="1"/>
  <c r="B52" i="2" a="1"/>
  <c r="D52" i="2" a="1"/>
  <c r="AE52" i="2" s="1" a="1"/>
  <c r="E52" i="2" a="1"/>
  <c r="H52" i="2" a="1"/>
  <c r="P52" i="2" a="1"/>
  <c r="Q52" i="2" a="1"/>
  <c r="E41" i="2" a="1"/>
  <c r="Z41" i="2" a="1"/>
  <c r="L41" i="2" a="1"/>
  <c r="B41" i="2" a="1"/>
  <c r="H41" i="2" a="1"/>
  <c r="M41" i="2" a="1"/>
  <c r="O41" i="2" s="1" a="1"/>
  <c r="W41" i="2" a="1"/>
  <c r="X41" i="2" s="1" a="1"/>
  <c r="Y41" i="2" s="1"/>
  <c r="P41" i="2" a="1"/>
  <c r="Q41" i="2" a="1"/>
  <c r="D41" i="2" a="1"/>
  <c r="S67" i="2"/>
  <c r="J66" i="2"/>
  <c r="G61" i="2"/>
  <c r="I61" i="2"/>
  <c r="K61" i="2"/>
  <c r="T61" i="2"/>
  <c r="M60" i="2" a="1"/>
  <c r="O60" i="2" s="1" a="1"/>
  <c r="Z60" i="2" a="1"/>
  <c r="Q60" i="2" a="1"/>
  <c r="L60" i="2" a="1"/>
  <c r="E60" i="2" a="1"/>
  <c r="W60" i="2" a="1"/>
  <c r="X60" i="2" s="1" a="1"/>
  <c r="Y60" i="2" s="1"/>
  <c r="D60" i="2" a="1"/>
  <c r="P60" i="2" a="1"/>
  <c r="H60" i="2" a="1"/>
  <c r="AE60" i="2" a="1"/>
  <c r="B60" i="2" a="1"/>
  <c r="Z58" i="2" a="1"/>
  <c r="L58" i="2" a="1"/>
  <c r="M58" i="2" a="1"/>
  <c r="O58" i="2" s="1" a="1"/>
  <c r="P58" i="2" a="1"/>
  <c r="AF58" i="2" s="1" a="1"/>
  <c r="E58" i="2" a="1"/>
  <c r="D58" i="2" a="1"/>
  <c r="B58" i="2" a="1"/>
  <c r="H58" i="2" a="1"/>
  <c r="Q58" i="2" a="1"/>
  <c r="P53" i="2" a="1"/>
  <c r="AF53" i="2" s="1" a="1"/>
  <c r="M53" i="2" a="1"/>
  <c r="O53" i="2" s="1" a="1"/>
  <c r="G64" i="2"/>
  <c r="K64" i="2"/>
  <c r="I64" i="2"/>
  <c r="T64" i="2"/>
  <c r="P57" i="2" a="1"/>
  <c r="AF57" i="2" s="1" a="1"/>
  <c r="B57" i="2" a="1"/>
  <c r="D57" i="2" a="1"/>
  <c r="AE57" i="2" s="1" a="1"/>
  <c r="L57" i="2" a="1"/>
  <c r="M57" i="2" a="1"/>
  <c r="O57" i="2" s="1" a="1"/>
  <c r="H57" i="2" a="1"/>
  <c r="E57" i="2" a="1"/>
  <c r="Q57" i="2" a="1"/>
  <c r="R67" i="2"/>
  <c r="Z59" i="2" a="1"/>
  <c r="B59" i="2" a="1"/>
  <c r="M59" i="2" a="1"/>
  <c r="O59" i="2" s="1" a="1"/>
  <c r="Q59" i="2" a="1"/>
  <c r="L59" i="2" a="1"/>
  <c r="P59" i="2" a="1"/>
  <c r="E59" i="2" a="1"/>
  <c r="Z53" i="2" a="1"/>
  <c r="AC53" i="2" s="1"/>
  <c r="E53" i="2" a="1"/>
  <c r="D53" i="2" a="1"/>
  <c r="L53" i="2" a="1"/>
  <c r="H53" i="2" a="1"/>
  <c r="Q53" i="2" a="1"/>
  <c r="B53" i="2" a="1"/>
  <c r="I67" i="2"/>
  <c r="T67" i="2"/>
  <c r="K67" i="2"/>
  <c r="S66" i="2"/>
  <c r="AF66" i="2" a="1"/>
  <c r="R66" i="2" s="1"/>
  <c r="T66" i="2"/>
  <c r="I66" i="2"/>
  <c r="N182" i="2"/>
  <c r="F149" i="2"/>
  <c r="U167" i="2"/>
  <c r="U183" i="2"/>
  <c r="G184" i="2"/>
  <c r="J163" i="2"/>
  <c r="U118" i="2"/>
  <c r="J176" i="2"/>
  <c r="U161" i="2"/>
  <c r="T161" i="2"/>
  <c r="U157" i="2"/>
  <c r="J76" i="2"/>
  <c r="U76" i="2"/>
  <c r="V76" i="2" s="1"/>
  <c r="S100" i="2"/>
  <c r="S91" i="2"/>
  <c r="R91" i="2"/>
  <c r="U182" i="2"/>
  <c r="S180" i="2"/>
  <c r="W155" i="2" a="1"/>
  <c r="X155" i="2" s="1" a="1"/>
  <c r="Y155" i="2" s="1"/>
  <c r="L155" i="2" a="1"/>
  <c r="H155" i="2" a="1"/>
  <c r="P155" i="2" a="1"/>
  <c r="AF155" i="2" s="1" a="1"/>
  <c r="M155" i="2" a="1"/>
  <c r="O155" i="2" s="1" a="1"/>
  <c r="K97" i="2"/>
  <c r="I97" i="2"/>
  <c r="T97" i="2"/>
  <c r="I100" i="2"/>
  <c r="K100" i="2"/>
  <c r="T100" i="2"/>
  <c r="I91" i="2"/>
  <c r="K91" i="2"/>
  <c r="T91" i="2"/>
  <c r="N148" i="2"/>
  <c r="D37" i="2" a="1"/>
  <c r="E37" i="2" a="1"/>
  <c r="B37" i="2" a="1"/>
  <c r="Q37" i="2" a="1"/>
  <c r="H37" i="2" a="1"/>
  <c r="AE37" i="2" a="1"/>
  <c r="P37" i="2" a="1"/>
  <c r="AF37" i="2" s="1" a="1"/>
  <c r="M37" i="2" a="1"/>
  <c r="O37" i="2" s="1" a="1"/>
  <c r="L37" i="2" a="1"/>
  <c r="N72" i="2"/>
  <c r="H59" i="2" a="1"/>
  <c r="D59" i="2" a="1"/>
  <c r="AE59" i="2" s="1" a="1"/>
  <c r="W57" i="2" a="1"/>
  <c r="X57" i="2" s="1" a="1"/>
  <c r="Y57" i="2" s="1"/>
  <c r="Z57" i="2" a="1"/>
  <c r="Z45" i="2" a="1"/>
  <c r="X34" i="2" a="1"/>
  <c r="Y34" i="2" s="1"/>
  <c r="U106" i="2"/>
  <c r="J106" i="2"/>
  <c r="U145" i="2"/>
  <c r="S171" i="2"/>
  <c r="S114" i="2"/>
  <c r="R114" i="2"/>
  <c r="U146" i="2"/>
  <c r="R143" i="2"/>
  <c r="F143" i="2"/>
  <c r="R130" i="2"/>
  <c r="N166" i="2"/>
  <c r="N158" i="2"/>
  <c r="U158" i="2"/>
  <c r="F90" i="2"/>
  <c r="R182" i="2"/>
  <c r="F91" i="2"/>
  <c r="R100" i="2"/>
  <c r="R180" i="2"/>
  <c r="K69" i="2"/>
  <c r="G69" i="2"/>
  <c r="T143" i="2"/>
  <c r="I143" i="2"/>
  <c r="T138" i="2"/>
  <c r="I138" i="2"/>
  <c r="I72" i="2"/>
  <c r="AE72" i="2" a="1"/>
  <c r="F72" i="2" s="1"/>
  <c r="K68" i="2"/>
  <c r="AE68" i="2" a="1"/>
  <c r="F68" i="2" s="1"/>
  <c r="AE66" i="2" a="1"/>
  <c r="F66" i="2" s="1"/>
  <c r="K66" i="2"/>
  <c r="S161" i="2"/>
  <c r="AF161" i="2" a="1"/>
  <c r="S157" i="2"/>
  <c r="AF157" i="2" a="1"/>
  <c r="R157" i="2" s="1"/>
  <c r="G90" i="2"/>
  <c r="K90" i="2"/>
  <c r="T90" i="2"/>
  <c r="G181" i="2"/>
  <c r="K181" i="2"/>
  <c r="J134" i="2"/>
  <c r="R159" i="2"/>
  <c r="R183" i="2"/>
  <c r="S159" i="2"/>
  <c r="F159" i="2"/>
  <c r="N170" i="2"/>
  <c r="N67" i="2"/>
  <c r="F160" i="2"/>
  <c r="J110" i="2"/>
  <c r="T180" i="2"/>
  <c r="I180" i="2"/>
  <c r="N181" i="2"/>
  <c r="F171" i="2"/>
  <c r="R171" i="2"/>
  <c r="S106" i="2"/>
  <c r="AF106" i="2" a="1"/>
  <c r="R106" i="2" s="1"/>
  <c r="AE106" i="2" a="1"/>
  <c r="K106" i="2"/>
  <c r="T106" i="2"/>
  <c r="I106" i="2"/>
  <c r="G106" i="2"/>
  <c r="S145" i="2"/>
  <c r="AF145" i="2" a="1"/>
  <c r="R145" i="2" s="1"/>
  <c r="I171" i="2"/>
  <c r="K171" i="2"/>
  <c r="G171" i="2"/>
  <c r="T171" i="2"/>
  <c r="S164" i="2"/>
  <c r="U164" i="2"/>
  <c r="V164" i="2" s="1"/>
  <c r="G180" i="2"/>
  <c r="AE180" i="2" a="1"/>
  <c r="J180" i="2"/>
  <c r="K180" i="2"/>
  <c r="AF149" i="2" a="1"/>
  <c r="S149" i="2"/>
  <c r="K130" i="2"/>
  <c r="J130" i="2"/>
  <c r="I135" i="2"/>
  <c r="G135" i="2"/>
  <c r="K135" i="2"/>
  <c r="T135" i="2"/>
  <c r="AF68" i="2" a="1"/>
  <c r="R68" i="2" s="1"/>
  <c r="S68" i="2"/>
  <c r="J99" i="2"/>
  <c r="G99" i="2"/>
  <c r="AE99" i="2" a="1"/>
  <c r="F99" i="2" s="1"/>
  <c r="K99" i="2"/>
  <c r="U97" i="2"/>
  <c r="G97" i="2"/>
  <c r="G167" i="2"/>
  <c r="K167" i="2"/>
  <c r="N145" i="2"/>
  <c r="N164" i="2"/>
  <c r="N159" i="2"/>
  <c r="X32" i="2" a="1"/>
  <c r="Y32" i="2" s="1"/>
  <c r="N162" i="2"/>
  <c r="N161" i="2"/>
  <c r="N153" i="2"/>
  <c r="N177" i="2"/>
  <c r="N176" i="2"/>
  <c r="D31" i="2" a="1"/>
  <c r="AE31" i="2" a="1"/>
  <c r="H31" i="2" a="1"/>
  <c r="Q31" i="2" a="1"/>
  <c r="E31" i="2" a="1"/>
  <c r="N143" i="2"/>
  <c r="N183" i="2"/>
  <c r="Q50" i="2" a="1"/>
  <c r="D50" i="2" a="1"/>
  <c r="AE50" i="2" s="1" a="1"/>
  <c r="M50" i="2" a="1"/>
  <c r="O50" i="2" s="1" a="1"/>
  <c r="H50" i="2" a="1"/>
  <c r="P50" i="2" a="1"/>
  <c r="Z50" i="2" a="1"/>
  <c r="E50" i="2" a="1"/>
  <c r="L50" i="2" a="1"/>
  <c r="W50" i="2" a="1"/>
  <c r="X50" i="2" s="1" a="1"/>
  <c r="Y50" i="2" s="1"/>
  <c r="B50" i="2" a="1"/>
  <c r="D40" i="2" a="1"/>
  <c r="E40" i="2" a="1"/>
  <c r="Z40" i="2" a="1"/>
  <c r="L40" i="2" a="1"/>
  <c r="M40" i="2" a="1"/>
  <c r="O40" i="2" s="1" a="1"/>
  <c r="W40" i="2" a="1"/>
  <c r="X40" i="2" s="1" a="1"/>
  <c r="Y40" i="2" s="1"/>
  <c r="P40" i="2" a="1"/>
  <c r="AF40" i="2" s="1" a="1"/>
  <c r="B40" i="2" a="1"/>
  <c r="H40" i="2" a="1"/>
  <c r="Q40" i="2" a="1"/>
  <c r="W39" i="2" a="1"/>
  <c r="X39" i="2" s="1" a="1"/>
  <c r="Y39" i="2" s="1"/>
  <c r="B39" i="2" a="1"/>
  <c r="H39" i="2" a="1"/>
  <c r="Q39" i="2" a="1"/>
  <c r="D39" i="2" a="1"/>
  <c r="AE39" i="2" s="1" a="1"/>
  <c r="Z39" i="2" a="1"/>
  <c r="E39" i="2" a="1"/>
  <c r="P39" i="2" a="1"/>
  <c r="L39" i="2" a="1"/>
  <c r="M39" i="2" a="1"/>
  <c r="O39" i="2" s="1" a="1"/>
  <c r="M30" i="2" a="1"/>
  <c r="O30" i="2" s="1" a="1"/>
  <c r="B30" i="2" a="1"/>
  <c r="P30" i="2" a="1"/>
  <c r="AF30" i="2" a="1"/>
  <c r="D30" i="2" a="1"/>
  <c r="H30" i="2" a="1"/>
  <c r="E30" i="2" a="1"/>
  <c r="AE30" i="2" a="1"/>
  <c r="Q30" i="2" a="1"/>
  <c r="L30" i="2" a="1"/>
  <c r="Z30" i="2" a="1"/>
  <c r="AA30" i="2" s="1"/>
  <c r="J158" i="2"/>
  <c r="U78" i="2"/>
  <c r="N174" i="2"/>
  <c r="J78" i="2"/>
  <c r="U128" i="2"/>
  <c r="F135" i="2"/>
  <c r="AE83" i="2" a="1"/>
  <c r="F83" i="2" s="1"/>
  <c r="K83" i="2"/>
  <c r="AF167" i="2" a="1"/>
  <c r="R167" i="2" s="1"/>
  <c r="S167" i="2"/>
  <c r="AF152" i="2" a="1"/>
  <c r="S152" i="2"/>
  <c r="B45" i="2" a="1"/>
  <c r="E45" i="2" a="1"/>
  <c r="M45" i="2" a="1"/>
  <c r="O45" i="2" s="1" a="1"/>
  <c r="D45" i="2" a="1"/>
  <c r="H45" i="2" a="1"/>
  <c r="P45" i="2" a="1"/>
  <c r="AF45" i="2" s="1" a="1"/>
  <c r="Q45" i="2" a="1"/>
  <c r="L45" i="2" a="1"/>
  <c r="AE186" i="2" a="1"/>
  <c r="F186" i="2" s="1"/>
  <c r="G186" i="2"/>
  <c r="N178" i="2"/>
  <c r="S122" i="2"/>
  <c r="J135" i="2"/>
  <c r="I83" i="2"/>
  <c r="S166" i="2"/>
  <c r="U187" i="2"/>
  <c r="U84" i="2"/>
  <c r="F148" i="2"/>
  <c r="F131" i="2"/>
  <c r="I130" i="2"/>
  <c r="G130" i="2"/>
  <c r="I110" i="2"/>
  <c r="K145" i="2"/>
  <c r="AE145" i="2" a="1"/>
  <c r="G145" i="2"/>
  <c r="T145" i="2"/>
  <c r="I145" i="2"/>
  <c r="T166" i="2"/>
  <c r="K166" i="2"/>
  <c r="G166" i="2"/>
  <c r="I166" i="2"/>
  <c r="AF165" i="2" a="1"/>
  <c r="R165" i="2" s="1"/>
  <c r="S165" i="2"/>
  <c r="I158" i="2"/>
  <c r="AE158" i="2" a="1"/>
  <c r="F158" i="2" s="1"/>
  <c r="K158" i="2"/>
  <c r="G158" i="2"/>
  <c r="G153" i="2"/>
  <c r="K153" i="2"/>
  <c r="I153" i="2"/>
  <c r="T153" i="2"/>
  <c r="G152" i="2"/>
  <c r="I152" i="2"/>
  <c r="K152" i="2"/>
  <c r="T152" i="2"/>
  <c r="I179" i="2"/>
  <c r="K179" i="2"/>
  <c r="AF177" i="2" a="1"/>
  <c r="R177" i="2" s="1"/>
  <c r="S177" i="2"/>
  <c r="K177" i="2"/>
  <c r="AE177" i="2" a="1"/>
  <c r="G177" i="2"/>
  <c r="I177" i="2"/>
  <c r="T177" i="2"/>
  <c r="AF176" i="2" a="1"/>
  <c r="R176" i="2" s="1"/>
  <c r="S176" i="2"/>
  <c r="Z56" i="2" a="1"/>
  <c r="D56" i="2" a="1"/>
  <c r="AE56" i="2" s="1" a="1"/>
  <c r="B56" i="2" a="1"/>
  <c r="H56" i="2" a="1"/>
  <c r="Q56" i="2" a="1"/>
  <c r="P56" i="2" a="1"/>
  <c r="E56" i="2" a="1"/>
  <c r="B48" i="2" a="1"/>
  <c r="H48" i="2" a="1"/>
  <c r="Q48" i="2" a="1"/>
  <c r="D48" i="2" a="1"/>
  <c r="AE48" i="2" s="1" a="1"/>
  <c r="E48" i="2" a="1"/>
  <c r="P48" i="2" a="1"/>
  <c r="U148" i="2"/>
  <c r="V148" i="2" s="1"/>
  <c r="N147" i="2"/>
  <c r="J146" i="2"/>
  <c r="N132" i="2"/>
  <c r="R131" i="2"/>
  <c r="U131" i="2"/>
  <c r="V131" i="2" s="1"/>
  <c r="J131" i="2"/>
  <c r="S131" i="2"/>
  <c r="F130" i="2"/>
  <c r="N130" i="2"/>
  <c r="J165" i="2"/>
  <c r="U186" i="2"/>
  <c r="U179" i="2"/>
  <c r="N91" i="2"/>
  <c r="N90" i="2"/>
  <c r="N187" i="2"/>
  <c r="N189" i="2"/>
  <c r="N122" i="2"/>
  <c r="U159" i="2"/>
  <c r="V159" i="2" s="1"/>
  <c r="I148" i="2"/>
  <c r="U132" i="2"/>
  <c r="N118" i="2"/>
  <c r="J169" i="2"/>
  <c r="G163" i="2"/>
  <c r="G72" i="2"/>
  <c r="U68" i="2"/>
  <c r="U66" i="2"/>
  <c r="I99" i="2"/>
  <c r="G83" i="2"/>
  <c r="S83" i="2"/>
  <c r="N83" i="2"/>
  <c r="J83" i="2"/>
  <c r="N82" i="2"/>
  <c r="N76" i="2"/>
  <c r="U122" i="2"/>
  <c r="U181" i="2"/>
  <c r="F181" i="2"/>
  <c r="N150" i="2"/>
  <c r="J122" i="2"/>
  <c r="U120" i="2"/>
  <c r="I114" i="2"/>
  <c r="G114" i="2"/>
  <c r="T114" i="2"/>
  <c r="K114" i="2"/>
  <c r="Z188" i="2" a="1"/>
  <c r="D188" i="2" a="1"/>
  <c r="M188" i="2" a="1"/>
  <c r="O188" i="2" s="1" a="1"/>
  <c r="L188" i="2" a="1"/>
  <c r="P188" i="2" a="1"/>
  <c r="AF188" i="2" s="1" a="1"/>
  <c r="B188" i="2" a="1"/>
  <c r="E188" i="2" a="1"/>
  <c r="Q188" i="2" a="1"/>
  <c r="H188" i="2" a="1"/>
  <c r="AE188" i="2" a="1"/>
  <c r="AF121" i="2" a="1"/>
  <c r="R121" i="2" s="1"/>
  <c r="S121" i="2"/>
  <c r="Z113" i="2" a="1"/>
  <c r="P113" i="2" a="1"/>
  <c r="D113" i="2" a="1"/>
  <c r="AE113" i="2" s="1" a="1"/>
  <c r="B113" i="2" a="1"/>
  <c r="E113" i="2" a="1"/>
  <c r="L113" i="2" a="1"/>
  <c r="H113" i="2" a="1"/>
  <c r="M113" i="2" a="1"/>
  <c r="O113" i="2" s="1" a="1"/>
  <c r="Q113" i="2" a="1"/>
  <c r="Q95" i="2" a="1"/>
  <c r="P95" i="2" a="1"/>
  <c r="AF95" i="2" s="1" a="1"/>
  <c r="B95" i="2" a="1"/>
  <c r="E95" i="2" a="1"/>
  <c r="H95" i="2" a="1"/>
  <c r="D95" i="2" a="1"/>
  <c r="AE95" i="2" s="1" a="1"/>
  <c r="Z95" i="2" a="1"/>
  <c r="AE167" i="2" a="1"/>
  <c r="G165" i="2"/>
  <c r="AE165" i="2" a="1"/>
  <c r="P65" i="2" a="1"/>
  <c r="AF65" i="2" s="1" a="1"/>
  <c r="E65" i="2" a="1"/>
  <c r="H65" i="2" a="1"/>
  <c r="Q65" i="2" a="1"/>
  <c r="B65" i="2" a="1"/>
  <c r="L65" i="2" a="1"/>
  <c r="M65" i="2" a="1"/>
  <c r="O65" i="2" s="1" a="1"/>
  <c r="D65" i="2" a="1"/>
  <c r="AE65" i="2" s="1" a="1"/>
  <c r="T130" i="2"/>
  <c r="S130" i="2"/>
  <c r="AE163" i="2" a="1"/>
  <c r="I163" i="2"/>
  <c r="T163" i="2"/>
  <c r="K163" i="2"/>
  <c r="AF163" i="2" a="1"/>
  <c r="R163" i="2" s="1"/>
  <c r="S163" i="2"/>
  <c r="K138" i="2"/>
  <c r="AE138" i="2" a="1"/>
  <c r="F138" i="2" s="1"/>
  <c r="G138" i="2"/>
  <c r="AE162" i="2" a="1"/>
  <c r="F162" i="2" s="1"/>
  <c r="G162" i="2"/>
  <c r="I162" i="2"/>
  <c r="K162" i="2"/>
  <c r="T162" i="2"/>
  <c r="AF162" i="2" a="1"/>
  <c r="R162" i="2" s="1"/>
  <c r="S162" i="2"/>
  <c r="K72" i="2"/>
  <c r="T72" i="2"/>
  <c r="K98" i="2"/>
  <c r="I98" i="2"/>
  <c r="AF97" i="2" a="1"/>
  <c r="R97" i="2" s="1"/>
  <c r="S97" i="2"/>
  <c r="K126" i="2"/>
  <c r="T126" i="2"/>
  <c r="G126" i="2"/>
  <c r="I126" i="2"/>
  <c r="K124" i="2"/>
  <c r="G124" i="2"/>
  <c r="T124" i="2"/>
  <c r="AE124" i="2" a="1"/>
  <c r="M95" i="2" a="1"/>
  <c r="O95" i="2" s="1" a="1"/>
  <c r="L95" i="2" a="1"/>
  <c r="L36" i="2" a="1"/>
  <c r="M36" i="2" a="1"/>
  <c r="O36" i="2" s="1" a="1"/>
  <c r="Z36" i="2" a="1"/>
  <c r="R122" i="2"/>
  <c r="U121" i="2"/>
  <c r="N149" i="2"/>
  <c r="U72" i="2"/>
  <c r="U166" i="2"/>
  <c r="V166" i="2" s="1"/>
  <c r="N184" i="2"/>
  <c r="I184" i="2"/>
  <c r="N126" i="2"/>
  <c r="R189" i="2"/>
  <c r="N163" i="2"/>
  <c r="S138" i="2"/>
  <c r="U138" i="2"/>
  <c r="J138" i="2"/>
  <c r="R138" i="2"/>
  <c r="U162" i="2"/>
  <c r="J162" i="2"/>
  <c r="F153" i="2"/>
  <c r="F154" i="2"/>
  <c r="J154" i="2"/>
  <c r="U110" i="2"/>
  <c r="J157" i="2"/>
  <c r="F76" i="2"/>
  <c r="N69" i="2"/>
  <c r="J100" i="2"/>
  <c r="F185" i="2"/>
  <c r="F166" i="2"/>
  <c r="F152" i="2"/>
  <c r="I122" i="2"/>
  <c r="AE122" i="2" a="1"/>
  <c r="T122" i="2"/>
  <c r="G122" i="2"/>
  <c r="T121" i="2"/>
  <c r="AE121" i="2" a="1"/>
  <c r="G121" i="2"/>
  <c r="I121" i="2"/>
  <c r="K150" i="2"/>
  <c r="T150" i="2"/>
  <c r="G150" i="2"/>
  <c r="AE150" i="2" a="1"/>
  <c r="I150" i="2"/>
  <c r="AF150" i="2" a="1"/>
  <c r="R150" i="2" s="1"/>
  <c r="S150" i="2"/>
  <c r="T149" i="2"/>
  <c r="G149" i="2"/>
  <c r="K149" i="2"/>
  <c r="I149" i="2"/>
  <c r="G147" i="2"/>
  <c r="T147" i="2"/>
  <c r="K147" i="2"/>
  <c r="I147" i="2"/>
  <c r="I146" i="2"/>
  <c r="AE146" i="2" a="1"/>
  <c r="G146" i="2"/>
  <c r="T146" i="2"/>
  <c r="K146" i="2"/>
  <c r="AF146" i="2" a="1"/>
  <c r="R146" i="2" s="1"/>
  <c r="S146" i="2"/>
  <c r="J144" i="2"/>
  <c r="I144" i="2"/>
  <c r="G144" i="2"/>
  <c r="U144" i="2"/>
  <c r="AF144" i="2" a="1"/>
  <c r="R144" i="2" s="1"/>
  <c r="S144" i="2"/>
  <c r="T144" i="2"/>
  <c r="I167" i="2"/>
  <c r="T167" i="2"/>
  <c r="K165" i="2"/>
  <c r="I165" i="2"/>
  <c r="T165" i="2"/>
  <c r="T158" i="2"/>
  <c r="S158" i="2"/>
  <c r="AF158" i="2" a="1"/>
  <c r="AF134" i="2" a="1"/>
  <c r="R134" i="2" s="1"/>
  <c r="S134" i="2"/>
  <c r="K134" i="2"/>
  <c r="T134" i="2"/>
  <c r="AE134" i="2" a="1"/>
  <c r="I134" i="2"/>
  <c r="G134" i="2"/>
  <c r="AF179" i="2" a="1"/>
  <c r="R179" i="2" s="1"/>
  <c r="S179" i="2"/>
  <c r="G179" i="2"/>
  <c r="T179" i="2"/>
  <c r="I124" i="2"/>
  <c r="J124" i="2"/>
  <c r="T164" i="2"/>
  <c r="G164" i="2"/>
  <c r="I164" i="2"/>
  <c r="K164" i="2"/>
  <c r="T159" i="2"/>
  <c r="G159" i="2"/>
  <c r="I159" i="2"/>
  <c r="K159" i="2"/>
  <c r="D51" i="2" a="1"/>
  <c r="AE51" i="2" s="1" a="1"/>
  <c r="H51" i="2" a="1"/>
  <c r="B51" i="2" a="1"/>
  <c r="P51" i="2" a="1"/>
  <c r="L51" i="2" a="1"/>
  <c r="M51" i="2" a="1"/>
  <c r="O51" i="2" s="1" a="1"/>
  <c r="E51" i="2" a="1"/>
  <c r="Q51" i="2" a="1"/>
  <c r="M49" i="2" a="1"/>
  <c r="O49" i="2" s="1" a="1"/>
  <c r="L49" i="2" a="1"/>
  <c r="Z49" i="2" a="1"/>
  <c r="H49" i="2" a="1"/>
  <c r="P49" i="2" a="1"/>
  <c r="AF49" i="2" s="1" a="1"/>
  <c r="B49" i="2" a="1"/>
  <c r="Q49" i="2" a="1"/>
  <c r="E49" i="2" a="1"/>
  <c r="D49" i="2" a="1"/>
  <c r="AE49" i="2" s="1" a="1"/>
  <c r="L48" i="2" a="1"/>
  <c r="M48" i="2" a="1"/>
  <c r="O48" i="2" s="1" a="1"/>
  <c r="L47" i="2" a="1"/>
  <c r="M47" i="2" a="1"/>
  <c r="O47" i="2" s="1" a="1"/>
  <c r="Z47" i="2" a="1"/>
  <c r="E47" i="2" a="1"/>
  <c r="B47" i="2" a="1"/>
  <c r="D47" i="2" a="1"/>
  <c r="AE47" i="2" s="1" a="1"/>
  <c r="H47" i="2" a="1"/>
  <c r="Q47" i="2" a="1"/>
  <c r="P47" i="2" a="1"/>
  <c r="AF47" i="2" s="1" a="1"/>
  <c r="E43" i="2" a="1"/>
  <c r="Q43" i="2" a="1"/>
  <c r="P43" i="2" a="1"/>
  <c r="AF43" i="2" s="1" a="1"/>
  <c r="R43" i="2" s="1"/>
  <c r="D43" i="2" a="1"/>
  <c r="AE43" i="2" s="1" a="1"/>
  <c r="M43" i="2" a="1"/>
  <c r="O43" i="2" s="1" a="1"/>
  <c r="L43" i="2" a="1"/>
  <c r="H43" i="2" a="1"/>
  <c r="B43" i="2" a="1"/>
  <c r="D36" i="2" a="1"/>
  <c r="AE36" i="2" s="1" a="1"/>
  <c r="Q36" i="2" a="1"/>
  <c r="P36" i="2" a="1"/>
  <c r="AF36" i="2" s="1" a="1"/>
  <c r="H36" i="2" a="1"/>
  <c r="B36" i="2" a="1"/>
  <c r="E36" i="2" a="1"/>
  <c r="Z35" i="2" a="1"/>
  <c r="AE35" i="2" a="1"/>
  <c r="P35" i="2" a="1"/>
  <c r="L35" i="2" a="1"/>
  <c r="AF35" i="2" a="1"/>
  <c r="B35" i="2" a="1"/>
  <c r="H35" i="2" a="1"/>
  <c r="E35" i="2" a="1"/>
  <c r="M35" i="2" a="1"/>
  <c r="O35" i="2" s="1" a="1"/>
  <c r="Q35" i="2" a="1"/>
  <c r="D35" i="2" a="1"/>
  <c r="Z34" i="2" a="1"/>
  <c r="D34" i="2" a="1"/>
  <c r="Q34" i="2" a="1"/>
  <c r="P34" i="2" a="1"/>
  <c r="E34" i="2" a="1"/>
  <c r="AE34" i="2" a="1"/>
  <c r="L34" i="2" a="1"/>
  <c r="M34" i="2" a="1"/>
  <c r="O34" i="2" s="1" a="1"/>
  <c r="H34" i="2" a="1"/>
  <c r="B34" i="2" a="1"/>
  <c r="AF34" i="2" a="1"/>
  <c r="Z32" i="2" a="1"/>
  <c r="P32" i="2" a="1"/>
  <c r="E32" i="2" a="1"/>
  <c r="AE32" i="2" a="1"/>
  <c r="M32" i="2" a="1"/>
  <c r="O32" i="2" s="1" a="1"/>
  <c r="D32" i="2" a="1"/>
  <c r="H32" i="2" a="1"/>
  <c r="L32" i="2" a="1"/>
  <c r="Q32" i="2" a="1"/>
  <c r="B32" i="2" a="1"/>
  <c r="AF32" i="2" a="1"/>
  <c r="J61" i="2"/>
  <c r="J27" i="2"/>
  <c r="K184" i="2"/>
  <c r="T184" i="2"/>
  <c r="AF186" i="2" a="1"/>
  <c r="S186" i="2"/>
  <c r="R148" i="2"/>
  <c r="S148" i="2"/>
  <c r="G131" i="2"/>
  <c r="I131" i="2"/>
  <c r="T131" i="2"/>
  <c r="K131" i="2"/>
  <c r="AE178" i="2" a="1"/>
  <c r="I178" i="2"/>
  <c r="G178" i="2"/>
  <c r="T178" i="2"/>
  <c r="K178" i="2"/>
  <c r="AF178" i="2" a="1"/>
  <c r="R178" i="2" s="1"/>
  <c r="S178" i="2"/>
  <c r="AE118" i="2" a="1"/>
  <c r="I118" i="2"/>
  <c r="G118" i="2"/>
  <c r="K118" i="2"/>
  <c r="T118" i="2"/>
  <c r="AF118" i="2" a="1"/>
  <c r="R118" i="2" s="1"/>
  <c r="S118" i="2"/>
  <c r="G66" i="2"/>
  <c r="K82" i="2"/>
  <c r="AE82" i="2" a="1"/>
  <c r="T82" i="2"/>
  <c r="G82" i="2"/>
  <c r="S189" i="2"/>
  <c r="U189" i="2"/>
  <c r="V189" i="2" s="1"/>
  <c r="N84" i="2"/>
  <c r="J170" i="2"/>
  <c r="J160" i="2"/>
  <c r="U160" i="2"/>
  <c r="V160" i="2" s="1"/>
  <c r="S101" i="2"/>
  <c r="R101" i="2"/>
  <c r="J132" i="2"/>
  <c r="S160" i="2"/>
  <c r="U101" i="2"/>
  <c r="U100" i="2"/>
  <c r="S182" i="2"/>
  <c r="R94" i="2"/>
  <c r="F170" i="2"/>
  <c r="F61" i="2"/>
  <c r="F132" i="2"/>
  <c r="K183" i="2"/>
  <c r="I183" i="2"/>
  <c r="T183" i="2"/>
  <c r="T185" i="2"/>
  <c r="I185" i="2"/>
  <c r="K185" i="2"/>
  <c r="G185" i="2"/>
  <c r="K186" i="2"/>
  <c r="I186" i="2"/>
  <c r="T186" i="2"/>
  <c r="T187" i="2"/>
  <c r="I187" i="2"/>
  <c r="K187" i="2"/>
  <c r="I189" i="2"/>
  <c r="G189" i="2"/>
  <c r="T189" i="2"/>
  <c r="K189" i="2"/>
  <c r="T148" i="2"/>
  <c r="G148" i="2"/>
  <c r="K148" i="2"/>
  <c r="G132" i="2"/>
  <c r="K132" i="2"/>
  <c r="I132" i="2"/>
  <c r="T132" i="2"/>
  <c r="AF72" i="2" a="1"/>
  <c r="R72" i="2" s="1"/>
  <c r="S72" i="2"/>
  <c r="T68" i="2"/>
  <c r="AF99" i="2" a="1"/>
  <c r="T99" i="2"/>
  <c r="S99" i="2"/>
  <c r="G98" i="2"/>
  <c r="AE98" i="2" a="1"/>
  <c r="AE97" i="2" a="1"/>
  <c r="AF83" i="2" a="1"/>
  <c r="T83" i="2"/>
  <c r="I82" i="2"/>
  <c r="J82" i="2"/>
  <c r="I174" i="2"/>
  <c r="T174" i="2"/>
  <c r="K174" i="2"/>
  <c r="AE174" i="2" a="1"/>
  <c r="S174" i="2"/>
  <c r="AF174" i="2" a="1"/>
  <c r="R174" i="2" s="1"/>
  <c r="AE176" i="2" a="1"/>
  <c r="G176" i="2"/>
  <c r="T176" i="2"/>
  <c r="K176" i="2"/>
  <c r="I176" i="2"/>
  <c r="I170" i="2"/>
  <c r="G170" i="2"/>
  <c r="T170" i="2"/>
  <c r="K170" i="2"/>
  <c r="AF170" i="2" a="1"/>
  <c r="S170" i="2"/>
  <c r="T160" i="2"/>
  <c r="G160" i="2"/>
  <c r="I160" i="2"/>
  <c r="K160" i="2"/>
  <c r="K154" i="2"/>
  <c r="I154" i="2"/>
  <c r="T154" i="2"/>
  <c r="G154" i="2"/>
  <c r="K161" i="2"/>
  <c r="G161" i="2"/>
  <c r="G110" i="2"/>
  <c r="T110" i="2"/>
  <c r="K110" i="2"/>
  <c r="AE110" i="2" a="1"/>
  <c r="S110" i="2"/>
  <c r="AF110" i="2" a="1"/>
  <c r="R110" i="2" s="1"/>
  <c r="I157" i="2"/>
  <c r="G157" i="2"/>
  <c r="T157" i="2"/>
  <c r="K157" i="2"/>
  <c r="AE157" i="2" a="1"/>
  <c r="G76" i="2"/>
  <c r="I76" i="2"/>
  <c r="K76" i="2"/>
  <c r="T76" i="2"/>
  <c r="R76" i="2"/>
  <c r="S76" i="2"/>
  <c r="I69" i="2"/>
  <c r="J69" i="2"/>
  <c r="AE101" i="2" a="1"/>
  <c r="K101" i="2"/>
  <c r="I101" i="2"/>
  <c r="J101" i="2"/>
  <c r="AF124" i="2" a="1"/>
  <c r="R124" i="2" s="1"/>
  <c r="S124" i="2"/>
  <c r="AF78" i="2" a="1"/>
  <c r="S78" i="2"/>
  <c r="T78" i="2"/>
  <c r="G78" i="2"/>
  <c r="K78" i="2"/>
  <c r="I78" i="2"/>
  <c r="X27" i="2"/>
  <c r="X37" i="2" a="1"/>
  <c r="Y37" i="2" s="1"/>
  <c r="J7" i="2"/>
  <c r="R27" i="2"/>
  <c r="N5" i="2"/>
  <c r="N27" i="2"/>
  <c r="AF31" i="2" a="1"/>
  <c r="L31" i="2" a="1"/>
  <c r="M31" i="2" a="1"/>
  <c r="O31" i="2" s="1" a="1"/>
  <c r="B31" i="2" a="1"/>
  <c r="P31" i="2" a="1"/>
  <c r="Z31" i="2" a="1"/>
  <c r="X33" i="2" a="1"/>
  <c r="Y33" i="2" s="1"/>
  <c r="G27" i="2"/>
  <c r="S27" i="2"/>
  <c r="J5" i="2"/>
  <c r="J4" i="2"/>
  <c r="I27" i="2"/>
  <c r="F5" i="2"/>
  <c r="K27" i="2"/>
  <c r="T27" i="2"/>
  <c r="F27" i="2"/>
  <c r="F7" i="2"/>
  <c r="U27" i="2"/>
  <c r="V13" i="2"/>
  <c r="U94" i="2"/>
  <c r="V94" i="2" s="1"/>
  <c r="J94" i="2"/>
  <c r="S94" i="2"/>
  <c r="N78" i="2"/>
  <c r="F78" i="2"/>
  <c r="J128" i="2"/>
  <c r="AE128" i="2" a="1"/>
  <c r="I128" i="2"/>
  <c r="T128" i="2"/>
  <c r="J137" i="2"/>
  <c r="I137" i="2"/>
  <c r="G94" i="2"/>
  <c r="F114" i="2"/>
  <c r="N128" i="2"/>
  <c r="N115" i="2"/>
  <c r="I94" i="2"/>
  <c r="K94" i="2"/>
  <c r="T94" i="2"/>
  <c r="G128" i="2"/>
  <c r="K128" i="2"/>
  <c r="F164" i="2"/>
  <c r="AE156" i="2" a="1"/>
  <c r="F156" i="2" s="1"/>
  <c r="T137" i="2"/>
  <c r="AF137" i="2" a="1"/>
  <c r="R137" i="2" s="1"/>
  <c r="V91" i="2"/>
  <c r="F94" i="2"/>
  <c r="F147" i="2"/>
  <c r="AF115" i="2" a="1"/>
  <c r="R115" i="2" s="1"/>
  <c r="S115" i="2"/>
  <c r="I115" i="2"/>
  <c r="AE115" i="2" a="1"/>
  <c r="F115" i="2" s="1"/>
  <c r="T115" i="2"/>
  <c r="K115" i="2"/>
  <c r="K62" i="2"/>
  <c r="U115" i="2"/>
  <c r="R156" i="2"/>
  <c r="T156" i="2"/>
  <c r="I156" i="2"/>
  <c r="G156" i="2"/>
  <c r="K156" i="2"/>
  <c r="U156" i="2"/>
  <c r="J156" i="2"/>
  <c r="S156" i="2"/>
  <c r="O156" i="2" a="1"/>
  <c r="N156" i="2"/>
  <c r="R166" i="2"/>
  <c r="R33" i="2"/>
  <c r="J62" i="2"/>
  <c r="I62" i="2"/>
  <c r="U137" i="2"/>
  <c r="G137" i="2"/>
  <c r="N137" i="2"/>
  <c r="S137" i="2"/>
  <c r="J33" i="2"/>
  <c r="F33" i="2"/>
  <c r="F64" i="2"/>
  <c r="X62" i="2" a="1"/>
  <c r="Y62" i="2" s="1"/>
  <c r="N33" i="2"/>
  <c r="S33" i="2"/>
  <c r="N62" i="2"/>
  <c r="G62" i="2"/>
  <c r="S62" i="2"/>
  <c r="U33" i="2"/>
  <c r="F62" i="2"/>
  <c r="G33" i="2"/>
  <c r="K33" i="2"/>
  <c r="I33" i="2"/>
  <c r="T33" i="2"/>
  <c r="F84" i="2"/>
  <c r="J8" i="2"/>
  <c r="N120" i="2" l="1"/>
  <c r="AC38" i="2"/>
  <c r="AC37" i="2"/>
  <c r="AC45" i="2"/>
  <c r="AC50" i="2"/>
  <c r="AC39" i="2"/>
  <c r="AC40" i="2"/>
  <c r="AC44" i="2"/>
  <c r="AC42" i="2"/>
  <c r="AC46" i="2"/>
  <c r="AC41" i="2"/>
  <c r="N102" i="2"/>
  <c r="AA119" i="2"/>
  <c r="U127" i="2"/>
  <c r="N119" i="2"/>
  <c r="AC120" i="2"/>
  <c r="U119" i="2"/>
  <c r="AA105" i="2"/>
  <c r="AC105" i="2"/>
  <c r="R120" i="2"/>
  <c r="S120" i="2"/>
  <c r="AC151" i="2"/>
  <c r="AC173" i="2"/>
  <c r="AC168" i="2"/>
  <c r="AC109" i="2"/>
  <c r="AC175" i="2"/>
  <c r="AC77" i="2"/>
  <c r="AC92" i="2"/>
  <c r="AC142" i="2"/>
  <c r="AC63" i="2"/>
  <c r="AC125" i="2"/>
  <c r="AA34" i="2"/>
  <c r="AA32" i="2"/>
  <c r="J105" i="2"/>
  <c r="I105" i="2"/>
  <c r="U105" i="2"/>
  <c r="G105" i="2"/>
  <c r="AE75" i="2" a="1"/>
  <c r="F75" i="2" s="1"/>
  <c r="I75" i="2"/>
  <c r="K75" i="2"/>
  <c r="T80" i="2"/>
  <c r="J80" i="2"/>
  <c r="U80" i="2"/>
  <c r="N80" i="2"/>
  <c r="G120" i="2"/>
  <c r="AE120" i="2" a="1"/>
  <c r="I120" i="2"/>
  <c r="T120" i="2"/>
  <c r="J120" i="2"/>
  <c r="K120" i="2"/>
  <c r="AA75" i="2"/>
  <c r="AC129" i="2"/>
  <c r="U46" i="2"/>
  <c r="AA96" i="2"/>
  <c r="AA133" i="2"/>
  <c r="AC36" i="2"/>
  <c r="AC111" i="2"/>
  <c r="AA31" i="2"/>
  <c r="AC141" i="2"/>
  <c r="U85" i="2"/>
  <c r="V85" i="2" s="1"/>
  <c r="AC59" i="2"/>
  <c r="AA74" i="2"/>
  <c r="AA107" i="2"/>
  <c r="AA89" i="2"/>
  <c r="AA123" i="2"/>
  <c r="AC55" i="2"/>
  <c r="AA95" i="2"/>
  <c r="AA35" i="2"/>
  <c r="AC56" i="2"/>
  <c r="J75" i="2"/>
  <c r="AA71" i="2"/>
  <c r="AA104" i="2"/>
  <c r="AA86" i="2"/>
  <c r="AA47" i="2"/>
  <c r="AC75" i="2"/>
  <c r="AC103" i="2"/>
  <c r="AC119" i="2"/>
  <c r="AC85" i="2"/>
  <c r="AC104" i="2"/>
  <c r="AC86" i="2"/>
  <c r="AA116" i="2"/>
  <c r="AA108" i="2"/>
  <c r="AA141" i="2"/>
  <c r="AA139" i="2"/>
  <c r="AA117" i="2"/>
  <c r="AA140" i="2"/>
  <c r="AA136" i="2"/>
  <c r="AC79" i="2"/>
  <c r="AA172" i="2"/>
  <c r="AA155" i="2"/>
  <c r="AC60" i="2"/>
  <c r="AC58" i="2"/>
  <c r="AA56" i="2"/>
  <c r="AA113" i="2"/>
  <c r="AA36" i="2"/>
  <c r="AA49" i="2"/>
  <c r="AC47" i="2"/>
  <c r="AC31" i="2"/>
  <c r="AC116" i="2"/>
  <c r="AC74" i="2"/>
  <c r="AC108" i="2"/>
  <c r="AC133" i="2"/>
  <c r="AC96" i="2"/>
  <c r="AC139" i="2"/>
  <c r="AC117" i="2"/>
  <c r="AC140" i="2"/>
  <c r="AC136" i="2"/>
  <c r="AC107" i="2"/>
  <c r="AC89" i="2"/>
  <c r="AC123" i="2"/>
  <c r="AC71" i="2"/>
  <c r="AC172" i="2"/>
  <c r="AC155" i="2"/>
  <c r="AC30" i="2"/>
  <c r="AC113" i="2"/>
  <c r="AC95" i="2"/>
  <c r="AC49" i="2"/>
  <c r="AC35" i="2"/>
  <c r="AC34" i="2"/>
  <c r="AC32" i="2"/>
  <c r="AA57" i="2"/>
  <c r="AC57" i="2"/>
  <c r="AA188" i="2"/>
  <c r="AC188" i="2"/>
  <c r="F105" i="2"/>
  <c r="AA87" i="2"/>
  <c r="S105" i="2"/>
  <c r="AF105" i="2" a="1"/>
  <c r="T105" i="2"/>
  <c r="AA38" i="2"/>
  <c r="AA45" i="2"/>
  <c r="K103" i="2"/>
  <c r="AE103" i="2" a="1"/>
  <c r="F103" i="2" s="1"/>
  <c r="AA37" i="2"/>
  <c r="AA39" i="2"/>
  <c r="S119" i="2"/>
  <c r="AF119" i="2" a="1"/>
  <c r="N103" i="2"/>
  <c r="S75" i="2"/>
  <c r="T75" i="2"/>
  <c r="AF103" i="2" a="1"/>
  <c r="R103" i="2" s="1"/>
  <c r="T103" i="2"/>
  <c r="S103" i="2"/>
  <c r="J85" i="2"/>
  <c r="R75" i="2"/>
  <c r="G80" i="2"/>
  <c r="I80" i="2"/>
  <c r="K80" i="2"/>
  <c r="K85" i="2"/>
  <c r="G85" i="2"/>
  <c r="I85" i="2"/>
  <c r="N85" i="2"/>
  <c r="AA73" i="2"/>
  <c r="F85" i="2"/>
  <c r="J103" i="2"/>
  <c r="J119" i="2"/>
  <c r="U75" i="2"/>
  <c r="G75" i="2"/>
  <c r="U103" i="2"/>
  <c r="G103" i="2"/>
  <c r="I119" i="2"/>
  <c r="K119" i="2"/>
  <c r="T119" i="2"/>
  <c r="G119" i="2"/>
  <c r="T85" i="2"/>
  <c r="S85" i="2"/>
  <c r="AA102" i="2"/>
  <c r="AF80" i="2" a="1"/>
  <c r="S80" i="2"/>
  <c r="R151" i="2"/>
  <c r="AA80" i="2"/>
  <c r="AA85" i="2"/>
  <c r="AA111" i="2"/>
  <c r="AA40" i="2"/>
  <c r="AA41" i="2"/>
  <c r="AA60" i="2"/>
  <c r="AA58" i="2"/>
  <c r="AA59" i="2"/>
  <c r="AA63" i="2"/>
  <c r="AA55" i="2"/>
  <c r="J70" i="2"/>
  <c r="AA65" i="2"/>
  <c r="AA44" i="2"/>
  <c r="AA42" i="2"/>
  <c r="AA54" i="2"/>
  <c r="AA46" i="2"/>
  <c r="AA52" i="2"/>
  <c r="AA50" i="2"/>
  <c r="AA48" i="2"/>
  <c r="AA92" i="2"/>
  <c r="AA53" i="2"/>
  <c r="J92" i="2"/>
  <c r="F92" i="2"/>
  <c r="AA43" i="2"/>
  <c r="AA51" i="2"/>
  <c r="AA81" i="2"/>
  <c r="AA125" i="2"/>
  <c r="AA129" i="2"/>
  <c r="AA142" i="2"/>
  <c r="AA112" i="2"/>
  <c r="AA127" i="2"/>
  <c r="AA77" i="2"/>
  <c r="AA151" i="2"/>
  <c r="AA168" i="2"/>
  <c r="AA109" i="2"/>
  <c r="AA93" i="2"/>
  <c r="AA173" i="2"/>
  <c r="AA175" i="2"/>
  <c r="AA79" i="2"/>
  <c r="U89" i="2"/>
  <c r="V89" i="2" s="1"/>
  <c r="F175" i="2"/>
  <c r="AA70" i="2"/>
  <c r="AA88" i="2"/>
  <c r="U108" i="2"/>
  <c r="N173" i="2"/>
  <c r="N168" i="2"/>
  <c r="U173" i="2"/>
  <c r="J173" i="2"/>
  <c r="U139" i="2"/>
  <c r="U73" i="2"/>
  <c r="AF173" i="2" a="1"/>
  <c r="R173" i="2" s="1"/>
  <c r="S173" i="2"/>
  <c r="AE173" i="2" a="1"/>
  <c r="K173" i="2"/>
  <c r="I173" i="2"/>
  <c r="T173" i="2"/>
  <c r="G173" i="2"/>
  <c r="U112" i="2"/>
  <c r="S151" i="2"/>
  <c r="U151" i="2"/>
  <c r="V151" i="2" s="1"/>
  <c r="F168" i="2"/>
  <c r="F109" i="2"/>
  <c r="F151" i="2"/>
  <c r="K151" i="2"/>
  <c r="I151" i="2"/>
  <c r="T151" i="2"/>
  <c r="G151" i="2"/>
  <c r="J151" i="2"/>
  <c r="N109" i="2"/>
  <c r="K168" i="2"/>
  <c r="I168" i="2"/>
  <c r="G168" i="2"/>
  <c r="R92" i="2"/>
  <c r="K109" i="2"/>
  <c r="I109" i="2"/>
  <c r="G109" i="2"/>
  <c r="T109" i="2"/>
  <c r="S168" i="2"/>
  <c r="T168" i="2"/>
  <c r="J168" i="2"/>
  <c r="U109" i="2"/>
  <c r="V109" i="2" s="1"/>
  <c r="U125" i="2"/>
  <c r="J109" i="2"/>
  <c r="S109" i="2"/>
  <c r="U111" i="2"/>
  <c r="R109" i="2"/>
  <c r="N92" i="2"/>
  <c r="U92" i="2"/>
  <c r="V92" i="2" s="1"/>
  <c r="U141" i="2"/>
  <c r="S92" i="2"/>
  <c r="T92" i="2"/>
  <c r="N141" i="2"/>
  <c r="N116" i="2"/>
  <c r="G92" i="2"/>
  <c r="I92" i="2"/>
  <c r="K92" i="2"/>
  <c r="K116" i="2"/>
  <c r="G116" i="2"/>
  <c r="AE116" i="2" a="1"/>
  <c r="F116" i="2" s="1"/>
  <c r="I116" i="2"/>
  <c r="N88" i="2"/>
  <c r="N108" i="2"/>
  <c r="AF102" i="2" a="1"/>
  <c r="S102" i="2"/>
  <c r="T102" i="2"/>
  <c r="K102" i="2"/>
  <c r="AE102" i="2" a="1"/>
  <c r="F102" i="2" s="1"/>
  <c r="N111" i="2"/>
  <c r="T116" i="2"/>
  <c r="AF116" i="2" a="1"/>
  <c r="S116" i="2"/>
  <c r="N42" i="2"/>
  <c r="N50" i="2"/>
  <c r="N81" i="2"/>
  <c r="N74" i="2"/>
  <c r="K40" i="2"/>
  <c r="AE40" i="2" a="1"/>
  <c r="F40" i="2" s="1"/>
  <c r="J77" i="2"/>
  <c r="I102" i="2"/>
  <c r="G102" i="2"/>
  <c r="J102" i="2"/>
  <c r="J133" i="2"/>
  <c r="U54" i="2"/>
  <c r="N73" i="2"/>
  <c r="N93" i="2"/>
  <c r="J52" i="2"/>
  <c r="J172" i="2"/>
  <c r="N87" i="2"/>
  <c r="J96" i="2"/>
  <c r="R188" i="2"/>
  <c r="N46" i="2"/>
  <c r="U44" i="2"/>
  <c r="R87" i="2"/>
  <c r="U87" i="2"/>
  <c r="J60" i="3"/>
  <c r="M78" i="3"/>
  <c r="J78" i="3"/>
  <c r="V185" i="2"/>
  <c r="AE74" i="2" a="1"/>
  <c r="F74" i="2" s="1"/>
  <c r="G74" i="2"/>
  <c r="N44" i="2"/>
  <c r="J44" i="2"/>
  <c r="AE44" i="2" a="1"/>
  <c r="F44" i="2" s="1"/>
  <c r="K44" i="2"/>
  <c r="G44" i="2"/>
  <c r="I44" i="2"/>
  <c r="N71" i="2"/>
  <c r="D50" i="3"/>
  <c r="E50" i="3"/>
  <c r="I50" i="3"/>
  <c r="H50" i="3"/>
  <c r="B52" i="3"/>
  <c r="H52" i="3"/>
  <c r="B53" i="3"/>
  <c r="I52" i="3"/>
  <c r="C53" i="3"/>
  <c r="C52" i="3"/>
  <c r="D51" i="3"/>
  <c r="E51" i="3"/>
  <c r="C54" i="3"/>
  <c r="I54" i="3"/>
  <c r="J54" i="3" s="1"/>
  <c r="AF44" i="2" a="1"/>
  <c r="S44" i="2"/>
  <c r="T44" i="2"/>
  <c r="J42" i="2"/>
  <c r="U42" i="2"/>
  <c r="AF42" i="2" a="1"/>
  <c r="R42" i="2" s="1"/>
  <c r="S42" i="2"/>
  <c r="AE42" i="2" a="1"/>
  <c r="G42" i="2"/>
  <c r="K42" i="2"/>
  <c r="I42" i="2"/>
  <c r="T42" i="2"/>
  <c r="U172" i="2"/>
  <c r="U74" i="2"/>
  <c r="G88" i="2"/>
  <c r="U136" i="2"/>
  <c r="J136" i="2"/>
  <c r="N136" i="2"/>
  <c r="J73" i="2"/>
  <c r="S88" i="2"/>
  <c r="AF74" i="2" a="1"/>
  <c r="S74" i="2"/>
  <c r="J54" i="2"/>
  <c r="J87" i="2"/>
  <c r="K74" i="2"/>
  <c r="T74" i="2"/>
  <c r="I74" i="2"/>
  <c r="J74" i="2"/>
  <c r="K73" i="2"/>
  <c r="G73" i="2"/>
  <c r="I73" i="2"/>
  <c r="AE73" i="2" a="1"/>
  <c r="AF73" i="2" a="1"/>
  <c r="R73" i="2" s="1"/>
  <c r="T73" i="2"/>
  <c r="S73" i="2"/>
  <c r="AE87" i="2" a="1"/>
  <c r="G87" i="2"/>
  <c r="K87" i="2"/>
  <c r="I87" i="2"/>
  <c r="J108" i="2"/>
  <c r="K108" i="2"/>
  <c r="G108" i="2"/>
  <c r="AE112" i="2" a="1"/>
  <c r="F112" i="2" s="1"/>
  <c r="K112" i="2"/>
  <c r="I112" i="2"/>
  <c r="G112" i="2"/>
  <c r="J46" i="2"/>
  <c r="N89" i="2"/>
  <c r="AE108" i="2" a="1"/>
  <c r="F108" i="2" s="1"/>
  <c r="I108" i="2"/>
  <c r="V132" i="2"/>
  <c r="T87" i="2"/>
  <c r="S87" i="2"/>
  <c r="T108" i="2"/>
  <c r="S108" i="2"/>
  <c r="AF108" i="2" a="1"/>
  <c r="R184" i="2"/>
  <c r="V184" i="2"/>
  <c r="AF112" i="2" a="1"/>
  <c r="T112" i="2"/>
  <c r="S112" i="2"/>
  <c r="U77" i="2"/>
  <c r="V77" i="2" s="1"/>
  <c r="N77" i="2"/>
  <c r="J175" i="2"/>
  <c r="J142" i="2"/>
  <c r="U142" i="2"/>
  <c r="N142" i="2"/>
  <c r="N133" i="2"/>
  <c r="J141" i="2"/>
  <c r="U133" i="2"/>
  <c r="N125" i="2"/>
  <c r="S136" i="2"/>
  <c r="AF136" i="2" a="1"/>
  <c r="R136" i="2" s="1"/>
  <c r="N139" i="2"/>
  <c r="I117" i="2"/>
  <c r="R70" i="2"/>
  <c r="N54" i="2"/>
  <c r="AF142" i="2" a="1"/>
  <c r="R142" i="2" s="1"/>
  <c r="S142" i="2"/>
  <c r="AE142" i="2" a="1"/>
  <c r="F142" i="2" s="1"/>
  <c r="I142" i="2"/>
  <c r="T142" i="2"/>
  <c r="K142" i="2"/>
  <c r="G142" i="2"/>
  <c r="I70" i="2"/>
  <c r="K70" i="2"/>
  <c r="AF141" i="2" a="1"/>
  <c r="R141" i="2" s="1"/>
  <c r="S141" i="2"/>
  <c r="T96" i="2"/>
  <c r="I96" i="2"/>
  <c r="G96" i="2"/>
  <c r="AE96" i="2" a="1"/>
  <c r="F96" i="2" s="1"/>
  <c r="K96" i="2"/>
  <c r="AF96" i="2" a="1"/>
  <c r="R96" i="2" s="1"/>
  <c r="S96" i="2"/>
  <c r="AE125" i="2" a="1"/>
  <c r="T125" i="2"/>
  <c r="I125" i="2"/>
  <c r="K125" i="2"/>
  <c r="G125" i="2"/>
  <c r="J117" i="2"/>
  <c r="J123" i="2"/>
  <c r="U123" i="2"/>
  <c r="N123" i="2"/>
  <c r="U117" i="2"/>
  <c r="F117" i="2"/>
  <c r="U70" i="2"/>
  <c r="V70" i="2" s="1"/>
  <c r="G70" i="2"/>
  <c r="T70" i="2"/>
  <c r="S70" i="2"/>
  <c r="O70" i="2" a="1"/>
  <c r="N70" i="2"/>
  <c r="N117" i="2"/>
  <c r="S125" i="2"/>
  <c r="J125" i="2"/>
  <c r="J88" i="2"/>
  <c r="U96" i="2"/>
  <c r="S133" i="2"/>
  <c r="R125" i="2"/>
  <c r="J139" i="2"/>
  <c r="AE141" i="2" a="1"/>
  <c r="G141" i="2"/>
  <c r="K141" i="2"/>
  <c r="T141" i="2"/>
  <c r="I141" i="2"/>
  <c r="T133" i="2"/>
  <c r="AE133" i="2" a="1"/>
  <c r="AE139" i="2" a="1"/>
  <c r="F139" i="2" s="1"/>
  <c r="G139" i="2"/>
  <c r="T139" i="2"/>
  <c r="I139" i="2"/>
  <c r="K139" i="2"/>
  <c r="G117" i="2"/>
  <c r="K117" i="2"/>
  <c r="AE111" i="2" a="1"/>
  <c r="F111" i="2" s="1"/>
  <c r="T111" i="2"/>
  <c r="K111" i="2"/>
  <c r="U50" i="2"/>
  <c r="N96" i="2"/>
  <c r="AE88" i="2" a="1"/>
  <c r="F88" i="2" s="1"/>
  <c r="I88" i="2"/>
  <c r="K88" i="2"/>
  <c r="S46" i="2"/>
  <c r="AF46" i="2" a="1"/>
  <c r="R46" i="2" s="1"/>
  <c r="U88" i="2"/>
  <c r="N107" i="2"/>
  <c r="AF88" i="2" a="1"/>
  <c r="T88" i="2"/>
  <c r="AE54" i="2" a="1"/>
  <c r="G54" i="2"/>
  <c r="K54" i="2"/>
  <c r="I54" i="2"/>
  <c r="T54" i="2"/>
  <c r="AF54" i="2" a="1"/>
  <c r="R54" i="2" s="1"/>
  <c r="S54" i="2"/>
  <c r="AE46" i="2" a="1"/>
  <c r="K46" i="2"/>
  <c r="T46" i="2"/>
  <c r="G46" i="2"/>
  <c r="I46" i="2"/>
  <c r="N140" i="2"/>
  <c r="S77" i="2"/>
  <c r="I133" i="2"/>
  <c r="K133" i="2"/>
  <c r="G133" i="2"/>
  <c r="J107" i="2"/>
  <c r="S139" i="2"/>
  <c r="AF139" i="2" a="1"/>
  <c r="AF140" i="2" a="1"/>
  <c r="R140" i="2" s="1"/>
  <c r="S140" i="2"/>
  <c r="K136" i="2"/>
  <c r="AE136" i="2" a="1"/>
  <c r="T117" i="2"/>
  <c r="U107" i="2"/>
  <c r="J55" i="2"/>
  <c r="V62" i="2"/>
  <c r="S117" i="2"/>
  <c r="AF117" i="2" a="1"/>
  <c r="AF111" i="2" a="1"/>
  <c r="S111" i="2"/>
  <c r="F67" i="2"/>
  <c r="V67" i="2"/>
  <c r="S59" i="2"/>
  <c r="AF59" i="2" a="1"/>
  <c r="R59" i="2" s="1"/>
  <c r="S93" i="2"/>
  <c r="AF93" i="2" a="1"/>
  <c r="R93" i="2" s="1"/>
  <c r="U175" i="2"/>
  <c r="I175" i="2"/>
  <c r="N112" i="2"/>
  <c r="J111" i="2"/>
  <c r="I111" i="2"/>
  <c r="G136" i="2"/>
  <c r="I136" i="2"/>
  <c r="T136" i="2"/>
  <c r="S123" i="2"/>
  <c r="AF123" i="2" a="1"/>
  <c r="R123" i="2" s="1"/>
  <c r="G86" i="2"/>
  <c r="T86" i="2"/>
  <c r="K86" i="2"/>
  <c r="N104" i="2"/>
  <c r="S71" i="2"/>
  <c r="U71" i="2"/>
  <c r="V71" i="2" s="1"/>
  <c r="F127" i="2"/>
  <c r="R71" i="2"/>
  <c r="T175" i="2"/>
  <c r="G111" i="2"/>
  <c r="K140" i="2"/>
  <c r="T140" i="2"/>
  <c r="I140" i="2"/>
  <c r="J140" i="2"/>
  <c r="I86" i="2"/>
  <c r="AE86" i="2" a="1"/>
  <c r="F86" i="2" s="1"/>
  <c r="AF175" i="2" a="1"/>
  <c r="S175" i="2"/>
  <c r="N127" i="2"/>
  <c r="J89" i="2"/>
  <c r="J71" i="2"/>
  <c r="S127" i="2"/>
  <c r="AF127" i="2" a="1"/>
  <c r="G140" i="2"/>
  <c r="U140" i="2"/>
  <c r="S89" i="2"/>
  <c r="J129" i="2"/>
  <c r="N129" i="2"/>
  <c r="J86" i="2"/>
  <c r="F140" i="2"/>
  <c r="S81" i="2"/>
  <c r="J127" i="2"/>
  <c r="J93" i="2"/>
  <c r="U129" i="2"/>
  <c r="J38" i="2"/>
  <c r="S79" i="2"/>
  <c r="AF79" i="2" a="1"/>
  <c r="R79" i="2" s="1"/>
  <c r="S86" i="2"/>
  <c r="N86" i="2"/>
  <c r="U86" i="2"/>
  <c r="R77" i="2"/>
  <c r="F89" i="2"/>
  <c r="U93" i="2"/>
  <c r="G127" i="2"/>
  <c r="I127" i="2"/>
  <c r="T127" i="2"/>
  <c r="K127" i="2"/>
  <c r="K77" i="2"/>
  <c r="G77" i="2"/>
  <c r="I77" i="2"/>
  <c r="T77" i="2"/>
  <c r="AE93" i="2" a="1"/>
  <c r="T93" i="2"/>
  <c r="K93" i="2"/>
  <c r="I93" i="2"/>
  <c r="G93" i="2"/>
  <c r="AF107" i="2" a="1"/>
  <c r="R107" i="2" s="1"/>
  <c r="S107" i="2"/>
  <c r="T107" i="2"/>
  <c r="K107" i="2"/>
  <c r="AE107" i="2" a="1"/>
  <c r="G107" i="2"/>
  <c r="I107" i="2"/>
  <c r="T89" i="2"/>
  <c r="I89" i="2"/>
  <c r="G89" i="2"/>
  <c r="K89" i="2"/>
  <c r="AE123" i="2" a="1"/>
  <c r="T123" i="2"/>
  <c r="I123" i="2"/>
  <c r="G123" i="2"/>
  <c r="K123" i="2"/>
  <c r="AF129" i="2" a="1"/>
  <c r="R129" i="2" s="1"/>
  <c r="S129" i="2"/>
  <c r="AE129" i="2" a="1"/>
  <c r="F129" i="2" s="1"/>
  <c r="K129" i="2"/>
  <c r="G129" i="2"/>
  <c r="I129" i="2"/>
  <c r="T129" i="2"/>
  <c r="K104" i="2"/>
  <c r="AE104" i="2" a="1"/>
  <c r="F104" i="2" s="1"/>
  <c r="R147" i="2"/>
  <c r="V147" i="2"/>
  <c r="R135" i="2"/>
  <c r="V135" i="2"/>
  <c r="G81" i="2"/>
  <c r="K81" i="2"/>
  <c r="T81" i="2"/>
  <c r="R86" i="2"/>
  <c r="G71" i="2"/>
  <c r="I71" i="2"/>
  <c r="T71" i="2"/>
  <c r="K71" i="2"/>
  <c r="U104" i="2"/>
  <c r="G104" i="2"/>
  <c r="AF104" i="2" a="1"/>
  <c r="T104" i="2"/>
  <c r="S104" i="2"/>
  <c r="I104" i="2"/>
  <c r="J104" i="2"/>
  <c r="V126" i="2"/>
  <c r="J113" i="2"/>
  <c r="I81" i="2"/>
  <c r="AE81" i="2" a="1"/>
  <c r="F81" i="2" s="1"/>
  <c r="V100" i="2"/>
  <c r="J81" i="2"/>
  <c r="N38" i="2"/>
  <c r="U81" i="2"/>
  <c r="S63" i="2"/>
  <c r="AF63" i="2" a="1"/>
  <c r="N55" i="2"/>
  <c r="U38" i="2"/>
  <c r="J63" i="2"/>
  <c r="U63" i="2"/>
  <c r="N63" i="2"/>
  <c r="U55" i="2"/>
  <c r="F63" i="2"/>
  <c r="AE55" i="2" a="1"/>
  <c r="F55" i="2" s="1"/>
  <c r="G55" i="2"/>
  <c r="K55" i="2"/>
  <c r="I55" i="2"/>
  <c r="T55" i="2"/>
  <c r="AF55" i="2" a="1"/>
  <c r="R55" i="2" s="1"/>
  <c r="S55" i="2"/>
  <c r="AF38" i="2" a="1"/>
  <c r="S38" i="2"/>
  <c r="G38" i="2"/>
  <c r="K38" i="2"/>
  <c r="I38" i="2"/>
  <c r="T38" i="2"/>
  <c r="G63" i="2"/>
  <c r="K63" i="2"/>
  <c r="I63" i="2"/>
  <c r="T63" i="2"/>
  <c r="R64" i="2"/>
  <c r="V64" i="2"/>
  <c r="N175" i="2"/>
  <c r="V183" i="2"/>
  <c r="U79" i="2"/>
  <c r="K175" i="2"/>
  <c r="G175" i="2"/>
  <c r="N172" i="2"/>
  <c r="V182" i="2"/>
  <c r="V187" i="2"/>
  <c r="R49" i="2"/>
  <c r="J53" i="2"/>
  <c r="U59" i="2"/>
  <c r="J50" i="2"/>
  <c r="I95" i="2"/>
  <c r="N60" i="2"/>
  <c r="J60" i="2"/>
  <c r="F60" i="2"/>
  <c r="V181" i="2"/>
  <c r="R155" i="2"/>
  <c r="N56" i="2"/>
  <c r="J56" i="2"/>
  <c r="S95" i="2"/>
  <c r="J58" i="2"/>
  <c r="N79" i="2"/>
  <c r="F37" i="2"/>
  <c r="F39" i="2"/>
  <c r="T188" i="2"/>
  <c r="J188" i="2"/>
  <c r="N188" i="2"/>
  <c r="V69" i="2"/>
  <c r="S188" i="2"/>
  <c r="U155" i="2"/>
  <c r="V155" i="2" s="1"/>
  <c r="F188" i="2"/>
  <c r="U60" i="2"/>
  <c r="F79" i="2"/>
  <c r="AE172" i="2" a="1"/>
  <c r="T172" i="2"/>
  <c r="K172" i="2"/>
  <c r="V180" i="2"/>
  <c r="F180" i="2"/>
  <c r="N45" i="2"/>
  <c r="F155" i="2"/>
  <c r="V84" i="2"/>
  <c r="N95" i="2"/>
  <c r="J79" i="2"/>
  <c r="K79" i="2"/>
  <c r="T79" i="2"/>
  <c r="I79" i="2"/>
  <c r="G79" i="2"/>
  <c r="AF172" i="2" a="1"/>
  <c r="R172" i="2" s="1"/>
  <c r="S172" i="2"/>
  <c r="I172" i="2"/>
  <c r="G172" i="2"/>
  <c r="V149" i="2"/>
  <c r="R149" i="2"/>
  <c r="J45" i="2"/>
  <c r="AE41" i="2" a="1"/>
  <c r="F41" i="2" s="1"/>
  <c r="G41" i="2"/>
  <c r="T41" i="2"/>
  <c r="K41" i="2"/>
  <c r="I41" i="2"/>
  <c r="F71" i="2"/>
  <c r="F70" i="2"/>
  <c r="F77" i="2"/>
  <c r="N37" i="2"/>
  <c r="F50" i="2"/>
  <c r="G37" i="2"/>
  <c r="N59" i="2"/>
  <c r="AF52" i="2" a="1"/>
  <c r="R52" i="2" s="1"/>
  <c r="S52" i="2"/>
  <c r="N52" i="2"/>
  <c r="J57" i="2"/>
  <c r="R57" i="2"/>
  <c r="F57" i="2"/>
  <c r="G60" i="2"/>
  <c r="T60" i="2"/>
  <c r="K60" i="2"/>
  <c r="I60" i="2"/>
  <c r="AF60" i="2" a="1"/>
  <c r="S60" i="2"/>
  <c r="K58" i="2"/>
  <c r="AE58" i="2" a="1"/>
  <c r="N57" i="2"/>
  <c r="U52" i="2"/>
  <c r="U41" i="2"/>
  <c r="N41" i="2"/>
  <c r="J41" i="2"/>
  <c r="R58" i="2"/>
  <c r="U57" i="2"/>
  <c r="V57" i="2" s="1"/>
  <c r="N53" i="2"/>
  <c r="R37" i="2"/>
  <c r="J59" i="2"/>
  <c r="U48" i="2"/>
  <c r="F52" i="2"/>
  <c r="S58" i="2"/>
  <c r="U58" i="2"/>
  <c r="G155" i="2"/>
  <c r="K155" i="2"/>
  <c r="R169" i="2"/>
  <c r="V169" i="2"/>
  <c r="T52" i="2"/>
  <c r="K52" i="2"/>
  <c r="I52" i="2"/>
  <c r="G52" i="2"/>
  <c r="AF41" i="2" a="1"/>
  <c r="R41" i="2" s="1"/>
  <c r="S41" i="2"/>
  <c r="T155" i="2"/>
  <c r="S155" i="2"/>
  <c r="R89" i="2"/>
  <c r="N58" i="2"/>
  <c r="J30" i="2"/>
  <c r="U31" i="2"/>
  <c r="V31" i="2" s="1"/>
  <c r="S57" i="2"/>
  <c r="U53" i="2"/>
  <c r="N155" i="2"/>
  <c r="T58" i="2"/>
  <c r="G58" i="2"/>
  <c r="I58" i="2"/>
  <c r="G57" i="2"/>
  <c r="K57" i="2"/>
  <c r="T57" i="2"/>
  <c r="I57" i="2"/>
  <c r="F59" i="2"/>
  <c r="AE53" i="2" a="1"/>
  <c r="F53" i="2" s="1"/>
  <c r="G53" i="2"/>
  <c r="T53" i="2"/>
  <c r="I53" i="2"/>
  <c r="K53" i="2"/>
  <c r="S53" i="2"/>
  <c r="R53" i="2"/>
  <c r="K37" i="2"/>
  <c r="T37" i="2"/>
  <c r="S37" i="2"/>
  <c r="F34" i="2"/>
  <c r="N49" i="2"/>
  <c r="R32" i="2"/>
  <c r="S48" i="2"/>
  <c r="AF48" i="2" a="1"/>
  <c r="U37" i="2"/>
  <c r="V37" i="2" s="1"/>
  <c r="J155" i="2"/>
  <c r="I155" i="2"/>
  <c r="J37" i="2"/>
  <c r="I37" i="2"/>
  <c r="K59" i="2"/>
  <c r="T59" i="2"/>
  <c r="G59" i="2"/>
  <c r="I59" i="2"/>
  <c r="J36" i="2"/>
  <c r="J31" i="2"/>
  <c r="F31" i="2"/>
  <c r="G31" i="2"/>
  <c r="I31" i="2"/>
  <c r="K31" i="2"/>
  <c r="I50" i="2"/>
  <c r="K50" i="2"/>
  <c r="T50" i="2"/>
  <c r="S50" i="2"/>
  <c r="AF50" i="2" a="1"/>
  <c r="V68" i="2"/>
  <c r="V66" i="2"/>
  <c r="V72" i="2"/>
  <c r="J34" i="2"/>
  <c r="J32" i="2"/>
  <c r="R161" i="2"/>
  <c r="V161" i="2"/>
  <c r="F177" i="2"/>
  <c r="V177" i="2"/>
  <c r="R30" i="2"/>
  <c r="S30" i="2"/>
  <c r="J47" i="2"/>
  <c r="S47" i="2"/>
  <c r="S34" i="2"/>
  <c r="U30" i="2"/>
  <c r="V30" i="2" s="1"/>
  <c r="F106" i="2"/>
  <c r="V106" i="2"/>
  <c r="V152" i="2"/>
  <c r="R152" i="2"/>
  <c r="F30" i="2"/>
  <c r="N30" i="2"/>
  <c r="U45" i="2"/>
  <c r="R45" i="2"/>
  <c r="S36" i="2"/>
  <c r="R36" i="2"/>
  <c r="S43" i="2"/>
  <c r="N32" i="2"/>
  <c r="R31" i="2"/>
  <c r="G50" i="2"/>
  <c r="N40" i="2"/>
  <c r="R40" i="2"/>
  <c r="J39" i="2"/>
  <c r="U40" i="2"/>
  <c r="U39" i="2"/>
  <c r="N39" i="2"/>
  <c r="S45" i="2"/>
  <c r="G40" i="2"/>
  <c r="T40" i="2"/>
  <c r="S40" i="2"/>
  <c r="I40" i="2"/>
  <c r="J40" i="2"/>
  <c r="G39" i="2"/>
  <c r="I39" i="2"/>
  <c r="K39" i="2"/>
  <c r="T39" i="2"/>
  <c r="S39" i="2"/>
  <c r="AF39" i="2" a="1"/>
  <c r="G30" i="2"/>
  <c r="K30" i="2"/>
  <c r="T30" i="2"/>
  <c r="I30" i="2"/>
  <c r="S65" i="2"/>
  <c r="J65" i="2"/>
  <c r="V138" i="2"/>
  <c r="V162" i="2"/>
  <c r="J51" i="2"/>
  <c r="N34" i="2"/>
  <c r="J48" i="2"/>
  <c r="N65" i="2"/>
  <c r="F32" i="2"/>
  <c r="G113" i="2"/>
  <c r="AE45" i="2" a="1"/>
  <c r="K45" i="2"/>
  <c r="T45" i="2"/>
  <c r="I45" i="2"/>
  <c r="G45" i="2"/>
  <c r="AF56" i="2" a="1"/>
  <c r="R56" i="2" s="1"/>
  <c r="S56" i="2"/>
  <c r="F56" i="2"/>
  <c r="U56" i="2"/>
  <c r="F163" i="2"/>
  <c r="V163" i="2"/>
  <c r="V124" i="2"/>
  <c r="F124" i="2"/>
  <c r="F150" i="2"/>
  <c r="V150" i="2"/>
  <c r="U65" i="2"/>
  <c r="V65" i="2" s="1"/>
  <c r="U36" i="2"/>
  <c r="V36" i="2" s="1"/>
  <c r="F113" i="2"/>
  <c r="U113" i="2"/>
  <c r="J95" i="2"/>
  <c r="N113" i="2"/>
  <c r="U49" i="2"/>
  <c r="V49" i="2" s="1"/>
  <c r="V145" i="2"/>
  <c r="F145" i="2"/>
  <c r="I56" i="2"/>
  <c r="T56" i="2"/>
  <c r="K56" i="2"/>
  <c r="G56" i="2"/>
  <c r="I48" i="2"/>
  <c r="G48" i="2"/>
  <c r="T48" i="2"/>
  <c r="K48" i="2"/>
  <c r="I188" i="2"/>
  <c r="K188" i="2"/>
  <c r="R168" i="2"/>
  <c r="V168" i="2"/>
  <c r="F119" i="2"/>
  <c r="F174" i="2"/>
  <c r="V174" i="2"/>
  <c r="F176" i="2"/>
  <c r="V176" i="2"/>
  <c r="V157" i="2"/>
  <c r="F157" i="2"/>
  <c r="R78" i="2"/>
  <c r="V78" i="2"/>
  <c r="G95" i="2"/>
  <c r="K95" i="2"/>
  <c r="T95" i="2"/>
  <c r="V179" i="2"/>
  <c r="N35" i="2"/>
  <c r="N47" i="2"/>
  <c r="U35" i="2"/>
  <c r="V35" i="2" s="1"/>
  <c r="S49" i="2"/>
  <c r="J35" i="2"/>
  <c r="V144" i="2"/>
  <c r="N51" i="2"/>
  <c r="N48" i="2"/>
  <c r="U43" i="2"/>
  <c r="V43" i="2" s="1"/>
  <c r="S35" i="2"/>
  <c r="N43" i="2"/>
  <c r="J43" i="2"/>
  <c r="F36" i="2"/>
  <c r="R35" i="2"/>
  <c r="U34" i="2"/>
  <c r="V34" i="2" s="1"/>
  <c r="U32" i="2"/>
  <c r="V32" i="2" s="1"/>
  <c r="S32" i="2"/>
  <c r="F65" i="2"/>
  <c r="J49" i="2"/>
  <c r="U47" i="2"/>
  <c r="V47" i="2" s="1"/>
  <c r="F35" i="2"/>
  <c r="U188" i="2"/>
  <c r="V188" i="2" s="1"/>
  <c r="G188" i="2"/>
  <c r="AF113" i="2" a="1"/>
  <c r="S113" i="2"/>
  <c r="T113" i="2"/>
  <c r="K113" i="2"/>
  <c r="I113" i="2"/>
  <c r="R95" i="2"/>
  <c r="U95" i="2"/>
  <c r="V95" i="2" s="1"/>
  <c r="F95" i="2"/>
  <c r="F167" i="2"/>
  <c r="V167" i="2"/>
  <c r="F165" i="2"/>
  <c r="V165" i="2"/>
  <c r="K65" i="2"/>
  <c r="T65" i="2"/>
  <c r="I65" i="2"/>
  <c r="G65" i="2"/>
  <c r="R133" i="2"/>
  <c r="V146" i="2"/>
  <c r="F146" i="2"/>
  <c r="R158" i="2"/>
  <c r="V158" i="2"/>
  <c r="F134" i="2"/>
  <c r="V134" i="2"/>
  <c r="R81" i="2"/>
  <c r="R99" i="2"/>
  <c r="V99" i="2"/>
  <c r="F97" i="2"/>
  <c r="V97" i="2"/>
  <c r="R170" i="2"/>
  <c r="V170" i="2"/>
  <c r="R34" i="2"/>
  <c r="F49" i="2"/>
  <c r="R47" i="2"/>
  <c r="N36" i="2"/>
  <c r="V122" i="2"/>
  <c r="F122" i="2"/>
  <c r="F121" i="2"/>
  <c r="V121" i="2"/>
  <c r="G51" i="2"/>
  <c r="T51" i="2"/>
  <c r="K51" i="2"/>
  <c r="I51" i="2"/>
  <c r="AF51" i="2" a="1"/>
  <c r="R51" i="2" s="1"/>
  <c r="S51" i="2"/>
  <c r="F51" i="2"/>
  <c r="U51" i="2"/>
  <c r="T49" i="2"/>
  <c r="I49" i="2"/>
  <c r="G49" i="2"/>
  <c r="K49" i="2"/>
  <c r="I47" i="2"/>
  <c r="K47" i="2"/>
  <c r="G47" i="2"/>
  <c r="T47" i="2"/>
  <c r="G43" i="2"/>
  <c r="T43" i="2"/>
  <c r="K43" i="2"/>
  <c r="I43" i="2"/>
  <c r="I36" i="2"/>
  <c r="K36" i="2"/>
  <c r="T36" i="2"/>
  <c r="G36" i="2"/>
  <c r="I35" i="2"/>
  <c r="G35" i="2"/>
  <c r="T35" i="2"/>
  <c r="K35" i="2"/>
  <c r="G34" i="2"/>
  <c r="I34" i="2"/>
  <c r="K34" i="2"/>
  <c r="T34" i="2"/>
  <c r="T32" i="2"/>
  <c r="I32" i="2"/>
  <c r="K32" i="2"/>
  <c r="G32" i="2"/>
  <c r="V186" i="2"/>
  <c r="R186" i="2"/>
  <c r="F178" i="2"/>
  <c r="V178" i="2"/>
  <c r="F118" i="2"/>
  <c r="V118" i="2"/>
  <c r="V82" i="2"/>
  <c r="F82" i="2"/>
  <c r="F80" i="2"/>
  <c r="V83" i="2"/>
  <c r="R83" i="2"/>
  <c r="F101" i="2"/>
  <c r="V101" i="2"/>
  <c r="V98" i="2"/>
  <c r="F98" i="2"/>
  <c r="R85" i="2"/>
  <c r="V110" i="2"/>
  <c r="F110" i="2"/>
  <c r="V27" i="2"/>
  <c r="V61" i="2"/>
  <c r="N31" i="2"/>
  <c r="S31" i="2"/>
  <c r="T31" i="2"/>
  <c r="V33" i="2"/>
  <c r="F38" i="2"/>
  <c r="V128" i="2"/>
  <c r="F128" i="2"/>
  <c r="V115" i="2"/>
  <c r="V137" i="2"/>
  <c r="V156" i="2"/>
  <c r="R65" i="2"/>
  <c r="F48" i="2"/>
  <c r="F47" i="2"/>
  <c r="F43" i="2"/>
  <c r="V75" i="2" l="1"/>
  <c r="F120" i="2"/>
  <c r="V120" i="2"/>
  <c r="R105" i="2"/>
  <c r="V105" i="2"/>
  <c r="V119" i="2"/>
  <c r="R119" i="2"/>
  <c r="V103" i="2"/>
  <c r="J52" i="3"/>
  <c r="R80" i="2"/>
  <c r="V80" i="2"/>
  <c r="F173" i="2"/>
  <c r="V173" i="2"/>
  <c r="R102" i="2"/>
  <c r="V102" i="2"/>
  <c r="R116" i="2"/>
  <c r="V116" i="2"/>
  <c r="V40" i="2"/>
  <c r="J50" i="3"/>
  <c r="R44" i="2"/>
  <c r="V44" i="2"/>
  <c r="D53" i="3"/>
  <c r="E53" i="3"/>
  <c r="D52" i="3"/>
  <c r="E52" i="3"/>
  <c r="D54" i="3"/>
  <c r="E54" i="3"/>
  <c r="F42" i="2"/>
  <c r="V42" i="2"/>
  <c r="R74" i="2"/>
  <c r="V74" i="2"/>
  <c r="F125" i="2"/>
  <c r="V125" i="2"/>
  <c r="F73" i="2"/>
  <c r="V73" i="2"/>
  <c r="F87" i="2"/>
  <c r="V87" i="2"/>
  <c r="V108" i="2"/>
  <c r="R108" i="2"/>
  <c r="R112" i="2"/>
  <c r="V112" i="2"/>
  <c r="V96" i="2"/>
  <c r="V142" i="2"/>
  <c r="V140" i="2"/>
  <c r="F141" i="2"/>
  <c r="V141" i="2"/>
  <c r="V136" i="2"/>
  <c r="F136" i="2"/>
  <c r="F133" i="2"/>
  <c r="V133" i="2"/>
  <c r="R139" i="2"/>
  <c r="V139" i="2"/>
  <c r="R111" i="2"/>
  <c r="V111" i="2"/>
  <c r="V46" i="2"/>
  <c r="F46" i="2"/>
  <c r="R88" i="2"/>
  <c r="V88" i="2"/>
  <c r="F54" i="2"/>
  <c r="V54" i="2"/>
  <c r="R117" i="2"/>
  <c r="V117" i="2"/>
  <c r="V81" i="2"/>
  <c r="V59" i="2"/>
  <c r="V86" i="2"/>
  <c r="R127" i="2"/>
  <c r="V127" i="2"/>
  <c r="R175" i="2"/>
  <c r="V175" i="2"/>
  <c r="F123" i="2"/>
  <c r="V123" i="2"/>
  <c r="V79" i="2"/>
  <c r="V129" i="2"/>
  <c r="V93" i="2"/>
  <c r="F93" i="2"/>
  <c r="F107" i="2"/>
  <c r="V107" i="2"/>
  <c r="R104" i="2"/>
  <c r="V104" i="2"/>
  <c r="V63" i="2"/>
  <c r="R63" i="2"/>
  <c r="V55" i="2"/>
  <c r="R38" i="2"/>
  <c r="V38" i="2"/>
  <c r="F172" i="2"/>
  <c r="V172" i="2"/>
  <c r="V52" i="2"/>
  <c r="R60" i="2"/>
  <c r="V60" i="2"/>
  <c r="F58" i="2"/>
  <c r="V58" i="2"/>
  <c r="V41" i="2"/>
  <c r="V53" i="2"/>
  <c r="R48" i="2"/>
  <c r="V48" i="2"/>
  <c r="R50" i="2"/>
  <c r="V50" i="2"/>
  <c r="V56" i="2"/>
  <c r="V39" i="2"/>
  <c r="R39" i="2"/>
  <c r="F45" i="2"/>
  <c r="V45" i="2"/>
  <c r="R113" i="2"/>
  <c r="V113" i="2"/>
  <c r="V51" i="2"/>
  <c r="F377" i="12" l="1"/>
  <c r="P282" i="12"/>
  <c r="G402" i="12"/>
  <c r="G507" i="12"/>
  <c r="G210" i="12"/>
  <c r="F268" i="12"/>
  <c r="F608" i="12"/>
  <c r="G608" i="12"/>
  <c r="Q564" i="12"/>
  <c r="F310" i="12"/>
  <c r="G310" i="12"/>
  <c r="V27" i="12"/>
  <c r="F27" i="12"/>
  <c r="G27" i="12"/>
  <c r="U494" i="12"/>
  <c r="F494" i="12"/>
  <c r="G494" i="12"/>
  <c r="U352" i="12"/>
  <c r="U372" i="12"/>
  <c r="F372" i="12"/>
  <c r="G372" i="12"/>
  <c r="V305" i="12"/>
  <c r="F347" i="12"/>
  <c r="G347" i="12"/>
  <c r="V559" i="12"/>
  <c r="F559" i="12"/>
  <c r="G559" i="12"/>
  <c r="F234" i="12"/>
  <c r="G234" i="12"/>
  <c r="M154" i="12"/>
  <c r="F539" i="12"/>
  <c r="G539" i="12"/>
  <c r="F200" i="12"/>
  <c r="G200" i="12"/>
  <c r="S477" i="12"/>
  <c r="F477" i="12"/>
  <c r="G477" i="12"/>
  <c r="U357" i="12"/>
  <c r="F357" i="12"/>
  <c r="G357" i="12"/>
  <c r="F133" i="12"/>
  <c r="G133" i="12"/>
  <c r="G528" i="12"/>
  <c r="F528" i="12"/>
  <c r="G565" i="12"/>
  <c r="F565" i="12"/>
  <c r="G26" i="12"/>
  <c r="F26" i="12"/>
  <c r="AC26" i="12" s="1"/>
  <c r="G72" i="12"/>
  <c r="F72" i="12"/>
  <c r="G344" i="12"/>
  <c r="F344" i="12"/>
  <c r="G252" i="12"/>
  <c r="F252" i="12"/>
  <c r="P600" i="12"/>
  <c r="Q22" i="12"/>
  <c r="P44" i="12"/>
  <c r="T33" i="12"/>
  <c r="M391" i="12"/>
  <c r="U375" i="12"/>
  <c r="M201" i="12"/>
  <c r="Q100" i="12"/>
  <c r="M88" i="12"/>
  <c r="O590" i="12"/>
  <c r="V476" i="12"/>
  <c r="Q462" i="12"/>
  <c r="M423" i="12"/>
  <c r="S415" i="12"/>
  <c r="M349" i="12"/>
  <c r="U291" i="12"/>
  <c r="V110" i="12"/>
  <c r="U94" i="12"/>
  <c r="T315" i="12"/>
  <c r="M254" i="12"/>
  <c r="V288" i="12"/>
  <c r="N112" i="12" l="1"/>
  <c r="P115" i="12"/>
  <c r="N268" i="12"/>
  <c r="T246" i="12"/>
  <c r="R495" i="12"/>
  <c r="V209" i="12"/>
  <c r="M430" i="12"/>
  <c r="P599" i="12"/>
  <c r="U31" i="12"/>
  <c r="V161" i="12"/>
  <c r="F62" i="12"/>
  <c r="M452" i="12"/>
  <c r="M318" i="12"/>
  <c r="F499" i="12"/>
  <c r="M321" i="12"/>
  <c r="M165" i="12"/>
  <c r="U279" i="12"/>
  <c r="Q74" i="12"/>
  <c r="U52" i="12"/>
  <c r="U493" i="12"/>
  <c r="S320" i="12"/>
  <c r="V131" i="12"/>
  <c r="V581" i="12"/>
  <c r="R507" i="12"/>
  <c r="M142" i="12"/>
  <c r="M99" i="12"/>
  <c r="T277" i="12"/>
  <c r="U60" i="12"/>
  <c r="U275" i="12"/>
  <c r="P407" i="12"/>
  <c r="M116" i="12"/>
  <c r="N88" i="12"/>
  <c r="U48" i="12"/>
  <c r="M530" i="12"/>
  <c r="U462" i="12"/>
  <c r="R423" i="12"/>
  <c r="R349" i="12"/>
  <c r="M334" i="12"/>
  <c r="V282" i="12"/>
  <c r="M211" i="12"/>
  <c r="T330" i="12"/>
  <c r="M591" i="12"/>
  <c r="F463" i="12"/>
  <c r="G463" i="12"/>
  <c r="G388" i="12"/>
  <c r="F388" i="12"/>
  <c r="AC388" i="12" s="1"/>
  <c r="F273" i="12"/>
  <c r="G273" i="12"/>
  <c r="V115" i="12"/>
  <c r="F115" i="12"/>
  <c r="T115" i="12"/>
  <c r="S115" i="12"/>
  <c r="G115" i="12"/>
  <c r="Q115" i="12"/>
  <c r="O115" i="12"/>
  <c r="M115" i="12"/>
  <c r="U115" i="12"/>
  <c r="N115" i="12"/>
  <c r="R115" i="12"/>
  <c r="G52" i="12"/>
  <c r="F52" i="12"/>
  <c r="F21" i="12"/>
  <c r="G21" i="12"/>
  <c r="M575" i="12"/>
  <c r="V575" i="12"/>
  <c r="S575" i="12"/>
  <c r="Q575" i="12"/>
  <c r="N575" i="12"/>
  <c r="P575" i="12"/>
  <c r="F452" i="12"/>
  <c r="G452" i="12"/>
  <c r="P452" i="12"/>
  <c r="N452" i="12"/>
  <c r="U452" i="12"/>
  <c r="V452" i="12"/>
  <c r="S452" i="12"/>
  <c r="T452" i="12"/>
  <c r="Q452" i="12"/>
  <c r="R452" i="12"/>
  <c r="O452" i="12"/>
  <c r="F345" i="12"/>
  <c r="G345" i="12"/>
  <c r="U337" i="12"/>
  <c r="F337" i="12"/>
  <c r="G320" i="12"/>
  <c r="F320" i="12"/>
  <c r="F286" i="12"/>
  <c r="G286" i="12"/>
  <c r="F245" i="12"/>
  <c r="G245" i="12"/>
  <c r="G112" i="12"/>
  <c r="F112" i="12"/>
  <c r="F429" i="12"/>
  <c r="G429" i="12"/>
  <c r="M429" i="12"/>
  <c r="G564" i="12"/>
  <c r="F564" i="12"/>
  <c r="F34" i="12"/>
  <c r="G34" i="12"/>
  <c r="G165" i="12"/>
  <c r="F165" i="12"/>
  <c r="G386" i="12"/>
  <c r="F386" i="12"/>
  <c r="AC386" i="12" s="1"/>
  <c r="G287" i="12"/>
  <c r="F287" i="12"/>
  <c r="G275" i="12"/>
  <c r="F275" i="12"/>
  <c r="O495" i="12"/>
  <c r="N495" i="12"/>
  <c r="M495" i="12"/>
  <c r="V495" i="12"/>
  <c r="U495" i="12"/>
  <c r="P495" i="12"/>
  <c r="T495" i="12"/>
  <c r="S495" i="12"/>
  <c r="G495" i="12"/>
  <c r="F495" i="12"/>
  <c r="AC495" i="12" s="1"/>
  <c r="Q495" i="12"/>
  <c r="G493" i="12"/>
  <c r="F493" i="12"/>
  <c r="AC493" i="12" s="1"/>
  <c r="F82" i="12"/>
  <c r="G82" i="12"/>
  <c r="G457" i="12"/>
  <c r="F457" i="12"/>
  <c r="AC457" i="12" s="1"/>
  <c r="G352" i="12"/>
  <c r="F352" i="12"/>
  <c r="G571" i="12"/>
  <c r="F571" i="12"/>
  <c r="G60" i="12"/>
  <c r="F60" i="12"/>
  <c r="G321" i="12"/>
  <c r="F321" i="12"/>
  <c r="G272" i="12"/>
  <c r="F272" i="12"/>
  <c r="AC272" i="12" s="1"/>
  <c r="G74" i="12"/>
  <c r="F74" i="12"/>
  <c r="G390" i="12"/>
  <c r="F390" i="12"/>
  <c r="V34" i="12"/>
  <c r="Q34" i="12"/>
  <c r="R266" i="12"/>
  <c r="V266" i="12"/>
  <c r="P379" i="12"/>
  <c r="U379" i="12"/>
  <c r="N467" i="12"/>
  <c r="M467" i="12"/>
  <c r="U467" i="12"/>
  <c r="M549" i="12"/>
  <c r="V529" i="12"/>
  <c r="G104" i="12"/>
  <c r="F147" i="12"/>
  <c r="F159" i="12"/>
  <c r="R248" i="12"/>
  <c r="U502" i="12"/>
  <c r="Q589" i="12"/>
  <c r="Q541" i="12"/>
  <c r="M284" i="12"/>
  <c r="M331" i="12"/>
  <c r="M41" i="12"/>
  <c r="M136" i="12"/>
  <c r="U223" i="12"/>
  <c r="F496" i="12"/>
  <c r="V338" i="12"/>
  <c r="U562" i="12"/>
  <c r="M482" i="12"/>
  <c r="P38" i="12"/>
  <c r="U418" i="12"/>
  <c r="V326" i="12"/>
  <c r="S106" i="12"/>
  <c r="N183" i="12"/>
  <c r="M479" i="12"/>
  <c r="M30" i="12"/>
  <c r="S592" i="12"/>
  <c r="V251" i="12"/>
  <c r="U323" i="12"/>
  <c r="M360" i="12"/>
  <c r="M543" i="12"/>
  <c r="V601" i="12"/>
  <c r="M295" i="12"/>
  <c r="M64" i="12"/>
  <c r="M401" i="12"/>
  <c r="U546" i="12"/>
  <c r="AC320" i="12"/>
  <c r="P598" i="12"/>
  <c r="V285" i="12"/>
  <c r="P483" i="12"/>
  <c r="F412" i="12"/>
  <c r="G412" i="12"/>
  <c r="F492" i="12"/>
  <c r="G492" i="12"/>
  <c r="Q492" i="12"/>
  <c r="T492" i="12"/>
  <c r="N492" i="12"/>
  <c r="O492" i="12"/>
  <c r="P492" i="12"/>
  <c r="U492" i="12"/>
  <c r="S492" i="12"/>
  <c r="M492" i="12"/>
  <c r="V492" i="12"/>
  <c r="R492" i="12"/>
  <c r="G289" i="12"/>
  <c r="F289" i="12"/>
  <c r="P290" i="12"/>
  <c r="N290" i="12"/>
  <c r="Q290" i="12"/>
  <c r="V290" i="12"/>
  <c r="G290" i="12"/>
  <c r="F290" i="12"/>
  <c r="AC290" i="12" s="1"/>
  <c r="M290" i="12"/>
  <c r="U290" i="12"/>
  <c r="R290" i="12"/>
  <c r="T290" i="12"/>
  <c r="S290" i="12"/>
  <c r="O290" i="12"/>
  <c r="F484" i="12"/>
  <c r="G484" i="12"/>
  <c r="N227" i="12"/>
  <c r="T227" i="12"/>
  <c r="G227" i="12"/>
  <c r="S227" i="12"/>
  <c r="M227" i="12"/>
  <c r="Q227" i="12"/>
  <c r="V227" i="12"/>
  <c r="U227" i="12"/>
  <c r="F227" i="12"/>
  <c r="R227" i="12"/>
  <c r="P227" i="12"/>
  <c r="O227" i="12"/>
  <c r="G50" i="12"/>
  <c r="F50" i="12"/>
  <c r="AC50" i="12" s="1"/>
  <c r="O594" i="12"/>
  <c r="U594" i="12"/>
  <c r="S594" i="12"/>
  <c r="P594" i="12"/>
  <c r="R594" i="12"/>
  <c r="Q594" i="12"/>
  <c r="F581" i="12"/>
  <c r="G581" i="12"/>
  <c r="F131" i="12"/>
  <c r="G131" i="12"/>
  <c r="F270" i="12"/>
  <c r="Q270" i="12"/>
  <c r="T270" i="12"/>
  <c r="P589" i="12"/>
  <c r="R589" i="12"/>
  <c r="V589" i="12"/>
  <c r="N589" i="12"/>
  <c r="M589" i="12"/>
  <c r="S589" i="12"/>
  <c r="T589" i="12"/>
  <c r="F589" i="12"/>
  <c r="G589" i="12"/>
  <c r="O589" i="12"/>
  <c r="U589" i="12"/>
  <c r="F374" i="12"/>
  <c r="G374" i="12"/>
  <c r="F212" i="12"/>
  <c r="S212" i="12"/>
  <c r="R212" i="12"/>
  <c r="U212" i="12"/>
  <c r="Q212" i="12"/>
  <c r="P212" i="12"/>
  <c r="O212" i="12"/>
  <c r="N212" i="12"/>
  <c r="M212" i="12"/>
  <c r="G212" i="12"/>
  <c r="T212" i="12"/>
  <c r="V212" i="12"/>
  <c r="F572" i="12"/>
  <c r="G572" i="12"/>
  <c r="P348" i="12"/>
  <c r="F348" i="12"/>
  <c r="G348" i="12"/>
  <c r="R348" i="12"/>
  <c r="S348" i="12"/>
  <c r="N348" i="12"/>
  <c r="T348" i="12"/>
  <c r="O348" i="12"/>
  <c r="Q348" i="12"/>
  <c r="M348" i="12"/>
  <c r="V348" i="12"/>
  <c r="U348" i="12"/>
  <c r="F65" i="12"/>
  <c r="G65" i="12"/>
  <c r="N301" i="12"/>
  <c r="U301" i="12"/>
  <c r="O301" i="12"/>
  <c r="T301" i="12"/>
  <c r="Q301" i="12"/>
  <c r="S301" i="12"/>
  <c r="P301" i="12"/>
  <c r="V301" i="12"/>
  <c r="R301" i="12"/>
  <c r="F301" i="12"/>
  <c r="M301" i="12"/>
  <c r="G301" i="12"/>
  <c r="G93" i="12"/>
  <c r="F93" i="12"/>
  <c r="T553" i="12"/>
  <c r="P553" i="12"/>
  <c r="N553" i="12"/>
  <c r="G553" i="12"/>
  <c r="U553" i="12"/>
  <c r="O553" i="12"/>
  <c r="V553" i="12"/>
  <c r="Q553" i="12"/>
  <c r="M553" i="12"/>
  <c r="S553" i="12"/>
  <c r="R553" i="12"/>
  <c r="F553" i="12"/>
  <c r="N172" i="12"/>
  <c r="T172" i="12"/>
  <c r="U172" i="12"/>
  <c r="M172" i="12"/>
  <c r="V172" i="12"/>
  <c r="R172" i="12"/>
  <c r="P172" i="12"/>
  <c r="F172" i="12"/>
  <c r="G172" i="12"/>
  <c r="O172" i="12"/>
  <c r="S172" i="12"/>
  <c r="Q172" i="12"/>
  <c r="F106" i="12"/>
  <c r="G106" i="12"/>
  <c r="F142" i="12"/>
  <c r="G142" i="12"/>
  <c r="M504" i="12"/>
  <c r="G504" i="12"/>
  <c r="F504" i="12"/>
  <c r="F426" i="12"/>
  <c r="G426" i="12"/>
  <c r="U355" i="12"/>
  <c r="R355" i="12"/>
  <c r="M355" i="12"/>
  <c r="O355" i="12"/>
  <c r="V355" i="12"/>
  <c r="P355" i="12"/>
  <c r="G224" i="12"/>
  <c r="F224" i="12"/>
  <c r="G91" i="12"/>
  <c r="Q91" i="12"/>
  <c r="F91" i="12"/>
  <c r="U91" i="12"/>
  <c r="M91" i="12"/>
  <c r="O91" i="12"/>
  <c r="N91" i="12"/>
  <c r="V91" i="12"/>
  <c r="P91" i="12"/>
  <c r="R91" i="12"/>
  <c r="S91" i="12"/>
  <c r="T91" i="12"/>
  <c r="N220" i="12"/>
  <c r="U220" i="12"/>
  <c r="G220" i="12"/>
  <c r="O220" i="12"/>
  <c r="M220" i="12"/>
  <c r="Q220" i="12"/>
  <c r="V220" i="12"/>
  <c r="R220" i="12"/>
  <c r="F220" i="12"/>
  <c r="S220" i="12"/>
  <c r="P220" i="12"/>
  <c r="T220" i="12"/>
  <c r="G509" i="12"/>
  <c r="F509" i="12"/>
  <c r="G99" i="12"/>
  <c r="F99" i="12"/>
  <c r="G78" i="12"/>
  <c r="F78" i="12"/>
  <c r="F279" i="12"/>
  <c r="G279" i="12"/>
  <c r="F447" i="12"/>
  <c r="G447" i="12"/>
  <c r="F304" i="12"/>
  <c r="G304" i="12"/>
  <c r="M395" i="12"/>
  <c r="G395" i="12"/>
  <c r="O395" i="12"/>
  <c r="T395" i="12"/>
  <c r="F395" i="12"/>
  <c r="R395" i="12"/>
  <c r="F323" i="12"/>
  <c r="G323" i="12"/>
  <c r="G418" i="12"/>
  <c r="F418" i="12"/>
  <c r="G38" i="12"/>
  <c r="S38" i="12"/>
  <c r="T38" i="12"/>
  <c r="N38" i="12"/>
  <c r="O38" i="12"/>
  <c r="R38" i="12"/>
  <c r="M38" i="12"/>
  <c r="U38" i="12"/>
  <c r="Q38" i="12"/>
  <c r="V38" i="12"/>
  <c r="F38" i="12"/>
  <c r="F360" i="12"/>
  <c r="G360" i="12"/>
  <c r="F284" i="12"/>
  <c r="G284" i="12"/>
  <c r="S284" i="12"/>
  <c r="T284" i="12"/>
  <c r="Q284" i="12"/>
  <c r="R284" i="12"/>
  <c r="O284" i="12"/>
  <c r="P284" i="12"/>
  <c r="V284" i="12"/>
  <c r="U284" i="12"/>
  <c r="N284" i="12"/>
  <c r="G579" i="12"/>
  <c r="F579" i="12"/>
  <c r="F460" i="12"/>
  <c r="G460" i="12"/>
  <c r="F293" i="12"/>
  <c r="G293" i="12"/>
  <c r="R41" i="12"/>
  <c r="V41" i="12"/>
  <c r="O41" i="12"/>
  <c r="Q41" i="12"/>
  <c r="U41" i="12"/>
  <c r="F41" i="12"/>
  <c r="G41" i="12"/>
  <c r="S41" i="12"/>
  <c r="T41" i="12"/>
  <c r="N41" i="12"/>
  <c r="P41" i="12"/>
  <c r="F548" i="12"/>
  <c r="G548" i="12"/>
  <c r="G42" i="12"/>
  <c r="F42" i="12"/>
  <c r="V500" i="12"/>
  <c r="M500" i="12"/>
  <c r="R500" i="12"/>
  <c r="S500" i="12"/>
  <c r="O500" i="12"/>
  <c r="N500" i="12"/>
  <c r="U500" i="12"/>
  <c r="Q500" i="12"/>
  <c r="P500" i="12"/>
  <c r="F480" i="12"/>
  <c r="G480" i="12"/>
  <c r="G248" i="12"/>
  <c r="F248" i="12"/>
  <c r="P248" i="12"/>
  <c r="V248" i="12"/>
  <c r="M62" i="12"/>
  <c r="S62" i="12"/>
  <c r="U62" i="12"/>
  <c r="V62" i="12"/>
  <c r="P62" i="12"/>
  <c r="R62" i="12"/>
  <c r="F479" i="12"/>
  <c r="G479" i="12"/>
  <c r="G166" i="12"/>
  <c r="F166" i="12"/>
  <c r="U338" i="12"/>
  <c r="P338" i="12"/>
  <c r="O338" i="12"/>
  <c r="R338" i="12"/>
  <c r="F338" i="12"/>
  <c r="S338" i="12"/>
  <c r="G338" i="12"/>
  <c r="T338" i="12"/>
  <c r="N338" i="12"/>
  <c r="Q338" i="12"/>
  <c r="M338" i="12"/>
  <c r="P331" i="12"/>
  <c r="G331" i="12"/>
  <c r="O331" i="12"/>
  <c r="Q331" i="12"/>
  <c r="V331" i="12"/>
  <c r="N331" i="12"/>
  <c r="S331" i="12"/>
  <c r="U331" i="12"/>
  <c r="R331" i="12"/>
  <c r="F331" i="12"/>
  <c r="AC331" i="12" s="1"/>
  <c r="T331" i="12"/>
  <c r="Q502" i="12"/>
  <c r="V502" i="12"/>
  <c r="P502" i="12"/>
  <c r="N502" i="12"/>
  <c r="T502" i="12"/>
  <c r="O502" i="12"/>
  <c r="M502" i="12"/>
  <c r="G502" i="12"/>
  <c r="R502" i="12"/>
  <c r="F502" i="12"/>
  <c r="S502" i="12"/>
  <c r="F183" i="12"/>
  <c r="G183" i="12"/>
  <c r="G526" i="12"/>
  <c r="F526" i="12"/>
  <c r="AC526" i="12" s="1"/>
  <c r="G401" i="12"/>
  <c r="F401" i="12"/>
  <c r="S541" i="12"/>
  <c r="V541" i="12"/>
  <c r="R541" i="12"/>
  <c r="F541" i="12"/>
  <c r="P541" i="12"/>
  <c r="T541" i="12"/>
  <c r="N541" i="12"/>
  <c r="G541" i="12"/>
  <c r="M541" i="12"/>
  <c r="U541" i="12"/>
  <c r="O541" i="12"/>
  <c r="F206" i="12"/>
  <c r="G206" i="12"/>
  <c r="F540" i="12"/>
  <c r="G540" i="12"/>
  <c r="F154" i="12"/>
  <c r="G154" i="12"/>
  <c r="F511" i="12"/>
  <c r="M511" i="12"/>
  <c r="V511" i="12"/>
  <c r="O511" i="12"/>
  <c r="U511" i="12"/>
  <c r="P511" i="12"/>
  <c r="T511" i="12"/>
  <c r="Q511" i="12"/>
  <c r="S318" i="12"/>
  <c r="N318" i="12"/>
  <c r="T318" i="12"/>
  <c r="R318" i="12"/>
  <c r="F318" i="12"/>
  <c r="G318" i="12"/>
  <c r="O318" i="12"/>
  <c r="U318" i="12"/>
  <c r="P318" i="12"/>
  <c r="V318" i="12"/>
  <c r="Q318" i="12"/>
  <c r="F235" i="12"/>
  <c r="G235" i="12"/>
  <c r="G609" i="12"/>
  <c r="F609" i="12"/>
  <c r="AC609" i="12" s="1"/>
  <c r="F601" i="12"/>
  <c r="G601" i="12"/>
  <c r="Q587" i="12"/>
  <c r="S587" i="12"/>
  <c r="T587" i="12"/>
  <c r="P587" i="12"/>
  <c r="U587" i="12"/>
  <c r="N587" i="12"/>
  <c r="R587" i="12"/>
  <c r="M587" i="12"/>
  <c r="F587" i="12"/>
  <c r="V587" i="12"/>
  <c r="G543" i="12"/>
  <c r="F543" i="12"/>
  <c r="P529" i="12"/>
  <c r="N529" i="12"/>
  <c r="O529" i="12"/>
  <c r="T529" i="12"/>
  <c r="M529" i="12"/>
  <c r="G529" i="12"/>
  <c r="U529" i="12"/>
  <c r="S529" i="12"/>
  <c r="R529" i="12"/>
  <c r="F529" i="12"/>
  <c r="Q529" i="12"/>
  <c r="R136" i="12"/>
  <c r="S136" i="12"/>
  <c r="Q136" i="12"/>
  <c r="F136" i="12"/>
  <c r="U136" i="12"/>
  <c r="P136" i="12"/>
  <c r="O136" i="12"/>
  <c r="G136" i="12"/>
  <c r="T136" i="12"/>
  <c r="N136" i="12"/>
  <c r="V136" i="12"/>
  <c r="F326" i="12"/>
  <c r="G326" i="12"/>
  <c r="O378" i="12"/>
  <c r="U378" i="12"/>
  <c r="V378" i="12"/>
  <c r="P378" i="12"/>
  <c r="N378" i="12"/>
  <c r="Q378" i="12"/>
  <c r="S378" i="12"/>
  <c r="M378" i="12"/>
  <c r="T378" i="12"/>
  <c r="F295" i="12"/>
  <c r="G295" i="12"/>
  <c r="G47" i="12"/>
  <c r="F47" i="12"/>
  <c r="AC47" i="12" s="1"/>
  <c r="F240" i="12"/>
  <c r="G240" i="12"/>
  <c r="Q562" i="12"/>
  <c r="R562" i="12"/>
  <c r="O562" i="12"/>
  <c r="T562" i="12"/>
  <c r="S562" i="12"/>
  <c r="G562" i="12"/>
  <c r="F562" i="12"/>
  <c r="N562" i="12"/>
  <c r="V562" i="12"/>
  <c r="M562" i="12"/>
  <c r="P562" i="12"/>
  <c r="F126" i="12"/>
  <c r="G126" i="12"/>
  <c r="G190" i="12"/>
  <c r="F190" i="12"/>
  <c r="G305" i="12"/>
  <c r="F305" i="12"/>
  <c r="AC305" i="12" s="1"/>
  <c r="F120" i="12"/>
  <c r="G120" i="12"/>
  <c r="G164" i="12"/>
  <c r="F164" i="12"/>
  <c r="P20" i="12"/>
  <c r="Q20" i="12"/>
  <c r="U20" i="12"/>
  <c r="T20" i="12"/>
  <c r="S20" i="12"/>
  <c r="V20" i="12"/>
  <c r="N20" i="12"/>
  <c r="R20" i="12"/>
  <c r="M20" i="12"/>
  <c r="O20" i="12"/>
  <c r="V390" i="12"/>
  <c r="P390" i="12"/>
  <c r="M390" i="12"/>
  <c r="M106" i="12"/>
  <c r="U106" i="12"/>
  <c r="R82" i="12"/>
  <c r="M82" i="12"/>
  <c r="Q347" i="12"/>
  <c r="U347" i="12"/>
  <c r="M347" i="12"/>
  <c r="V273" i="12"/>
  <c r="M273" i="12"/>
  <c r="V183" i="12"/>
  <c r="P183" i="12"/>
  <c r="M183" i="12"/>
  <c r="N234" i="12"/>
  <c r="U234" i="12"/>
  <c r="M539" i="12"/>
  <c r="V539" i="12"/>
  <c r="U539" i="12"/>
  <c r="V479" i="12"/>
  <c r="Q479" i="12"/>
  <c r="P479" i="12"/>
  <c r="Q133" i="12"/>
  <c r="V133" i="12"/>
  <c r="Q497" i="12"/>
  <c r="U497" i="12"/>
  <c r="R497" i="12"/>
  <c r="Q483" i="12"/>
  <c r="V483" i="12"/>
  <c r="M431" i="12"/>
  <c r="V431" i="12"/>
  <c r="U431" i="12"/>
  <c r="Q375" i="12"/>
  <c r="M375" i="12"/>
  <c r="S341" i="12"/>
  <c r="V341" i="12"/>
  <c r="Q341" i="12"/>
  <c r="S178" i="12"/>
  <c r="M178" i="12"/>
  <c r="M66" i="12"/>
  <c r="V66" i="12"/>
  <c r="N505" i="12"/>
  <c r="M505" i="12"/>
  <c r="U476" i="12"/>
  <c r="R476" i="12"/>
  <c r="M415" i="12"/>
  <c r="V415" i="12"/>
  <c r="V317" i="12"/>
  <c r="Q317" i="12"/>
  <c r="M317" i="12"/>
  <c r="V56" i="12"/>
  <c r="Q56" i="12"/>
  <c r="M56" i="12"/>
  <c r="Q315" i="12"/>
  <c r="V315" i="12"/>
  <c r="S315" i="12"/>
  <c r="Q288" i="12"/>
  <c r="M288" i="12"/>
  <c r="N470" i="12"/>
  <c r="U470" i="12"/>
  <c r="M141" i="12"/>
  <c r="F363" i="12"/>
  <c r="U336" i="12"/>
  <c r="O80" i="12"/>
  <c r="P196" i="12"/>
  <c r="P514" i="12"/>
  <c r="T387" i="12"/>
  <c r="O351" i="12"/>
  <c r="P340" i="12"/>
  <c r="F267" i="12"/>
  <c r="U101" i="12"/>
  <c r="O612" i="12"/>
  <c r="S448" i="12"/>
  <c r="P561" i="12"/>
  <c r="M443" i="12"/>
  <c r="M180" i="12"/>
  <c r="U373" i="12"/>
  <c r="M230" i="12"/>
  <c r="U413" i="12"/>
  <c r="V271" i="12"/>
  <c r="G236" i="12"/>
  <c r="F236" i="12"/>
  <c r="AC236" i="12" s="1"/>
  <c r="P83" i="12"/>
  <c r="V83" i="12"/>
  <c r="Q83" i="12"/>
  <c r="M83" i="12"/>
  <c r="O83" i="12"/>
  <c r="R83" i="12"/>
  <c r="S83" i="12"/>
  <c r="N83" i="12"/>
  <c r="T83" i="12"/>
  <c r="U83" i="12"/>
  <c r="G83" i="12"/>
  <c r="F83" i="12"/>
  <c r="V180" i="12"/>
  <c r="R180" i="12"/>
  <c r="O180" i="12"/>
  <c r="P180" i="12"/>
  <c r="U180" i="12"/>
  <c r="Q180" i="12"/>
  <c r="G180" i="12"/>
  <c r="S180" i="12"/>
  <c r="T180" i="12"/>
  <c r="N180" i="12"/>
  <c r="F180" i="12"/>
  <c r="AC180" i="12" s="1"/>
  <c r="F393" i="12"/>
  <c r="G393" i="12"/>
  <c r="G199" i="12"/>
  <c r="F199" i="12"/>
  <c r="F195" i="12"/>
  <c r="G195" i="12"/>
  <c r="F79" i="12"/>
  <c r="G79" i="12"/>
  <c r="F64" i="12"/>
  <c r="G64" i="12"/>
  <c r="F546" i="12"/>
  <c r="G546" i="12"/>
  <c r="G85" i="12"/>
  <c r="F85" i="12"/>
  <c r="AC85" i="12" s="1"/>
  <c r="F207" i="12"/>
  <c r="G207" i="12"/>
  <c r="G456" i="12"/>
  <c r="F456" i="12"/>
  <c r="G251" i="12"/>
  <c r="F251" i="12"/>
  <c r="F182" i="12"/>
  <c r="G182" i="12"/>
  <c r="F30" i="12"/>
  <c r="G30" i="12"/>
  <c r="F518" i="12"/>
  <c r="G518" i="12"/>
  <c r="F298" i="12"/>
  <c r="G298" i="12"/>
  <c r="G532" i="12"/>
  <c r="F532" i="12"/>
  <c r="F256" i="12"/>
  <c r="G256" i="12"/>
  <c r="G490" i="12"/>
  <c r="F490" i="12"/>
  <c r="G592" i="12"/>
  <c r="F592" i="12"/>
  <c r="AC592" i="12" s="1"/>
  <c r="F55" i="12"/>
  <c r="G55" i="12"/>
  <c r="F444" i="12"/>
  <c r="G444" i="12"/>
  <c r="G193" i="12"/>
  <c r="F193" i="12"/>
  <c r="G111" i="12"/>
  <c r="F111" i="12"/>
  <c r="G238" i="12"/>
  <c r="F238" i="12"/>
  <c r="AC238" i="12" s="1"/>
  <c r="G428" i="12"/>
  <c r="F428" i="12"/>
  <c r="F139" i="12"/>
  <c r="G139" i="12"/>
  <c r="U395" i="12"/>
  <c r="N395" i="12"/>
  <c r="S395" i="12"/>
  <c r="P395" i="12"/>
  <c r="V395" i="12"/>
  <c r="Q395" i="12"/>
  <c r="U456" i="12"/>
  <c r="M456" i="12"/>
  <c r="U78" i="12"/>
  <c r="M78" i="12"/>
  <c r="U564" i="12"/>
  <c r="R564" i="12"/>
  <c r="S99" i="12"/>
  <c r="R99" i="12"/>
  <c r="S493" i="12"/>
  <c r="M493" i="12"/>
  <c r="R493" i="12"/>
  <c r="U273" i="12"/>
  <c r="P273" i="12"/>
  <c r="M234" i="12"/>
  <c r="P234" i="12"/>
  <c r="F507" i="12"/>
  <c r="AC507" i="12" s="1"/>
  <c r="V507" i="12"/>
  <c r="P507" i="12"/>
  <c r="U507" i="12"/>
  <c r="U154" i="12"/>
  <c r="V154" i="12"/>
  <c r="Q154" i="12"/>
  <c r="V200" i="12"/>
  <c r="M200" i="12"/>
  <c r="P200" i="12"/>
  <c r="Q256" i="12"/>
  <c r="M256" i="12"/>
  <c r="U193" i="12"/>
  <c r="M193" i="12"/>
  <c r="R111" i="12"/>
  <c r="V111" i="12"/>
  <c r="V518" i="12"/>
  <c r="R518" i="12"/>
  <c r="U518" i="12"/>
  <c r="Q444" i="12"/>
  <c r="M444" i="12"/>
  <c r="P490" i="12"/>
  <c r="U490" i="12"/>
  <c r="V298" i="12"/>
  <c r="P298" i="12"/>
  <c r="Q298" i="12"/>
  <c r="M298" i="12"/>
  <c r="N139" i="12"/>
  <c r="S139" i="12"/>
  <c r="R139" i="12"/>
  <c r="V428" i="12"/>
  <c r="U428" i="12"/>
  <c r="Q238" i="12"/>
  <c r="U238" i="12"/>
  <c r="V238" i="12"/>
  <c r="S55" i="12"/>
  <c r="R55" i="12"/>
  <c r="M55" i="12"/>
  <c r="U55" i="12"/>
  <c r="T555" i="12"/>
  <c r="S555" i="12"/>
  <c r="Q555" i="12"/>
  <c r="O555" i="12"/>
  <c r="M548" i="12"/>
  <c r="V548" i="12"/>
  <c r="V47" i="12"/>
  <c r="M47" i="12"/>
  <c r="U463" i="12"/>
  <c r="S463" i="12"/>
  <c r="N166" i="12"/>
  <c r="V166" i="12"/>
  <c r="M447" i="12"/>
  <c r="U447" i="12"/>
  <c r="O457" i="12"/>
  <c r="M457" i="12"/>
  <c r="S93" i="12"/>
  <c r="T93" i="12"/>
  <c r="Q93" i="12"/>
  <c r="F33" i="12"/>
  <c r="G33" i="12"/>
  <c r="S33" i="12"/>
  <c r="G407" i="12"/>
  <c r="M407" i="12"/>
  <c r="Q178" i="12"/>
  <c r="U178" i="12"/>
  <c r="V100" i="12"/>
  <c r="N100" i="12"/>
  <c r="N48" i="12"/>
  <c r="V48" i="12"/>
  <c r="N530" i="12"/>
  <c r="U530" i="12"/>
  <c r="V530" i="12"/>
  <c r="R519" i="12"/>
  <c r="U519" i="12"/>
  <c r="M519" i="12"/>
  <c r="R334" i="12"/>
  <c r="U334" i="12"/>
  <c r="P266" i="12"/>
  <c r="S266" i="12"/>
  <c r="M266" i="12"/>
  <c r="Q110" i="12"/>
  <c r="U110" i="12"/>
  <c r="R110" i="12"/>
  <c r="Q274" i="12"/>
  <c r="U274" i="12"/>
  <c r="N274" i="12"/>
  <c r="S274" i="12"/>
  <c r="U194" i="12"/>
  <c r="M194" i="12"/>
  <c r="V254" i="12"/>
  <c r="S254" i="12"/>
  <c r="R254" i="12"/>
  <c r="G254" i="12"/>
  <c r="Q379" i="12"/>
  <c r="V379" i="12"/>
  <c r="R442" i="12"/>
  <c r="O442" i="12"/>
  <c r="P442" i="12"/>
  <c r="AC456" i="12"/>
  <c r="AC78" i="12"/>
  <c r="AC256" i="12"/>
  <c r="AC490" i="12"/>
  <c r="AC608" i="12"/>
  <c r="AC207" i="12"/>
  <c r="AC139" i="12"/>
  <c r="AC546" i="12"/>
  <c r="G365" i="12"/>
  <c r="F365" i="12"/>
  <c r="M365" i="12"/>
  <c r="R365" i="12"/>
  <c r="V525" i="12"/>
  <c r="G525" i="12"/>
  <c r="P525" i="12"/>
  <c r="R525" i="12"/>
  <c r="F525" i="12"/>
  <c r="AC525" i="12" s="1"/>
  <c r="N525" i="12"/>
  <c r="M222" i="12"/>
  <c r="T222" i="12"/>
  <c r="N222" i="12"/>
  <c r="S222" i="12"/>
  <c r="Q222" i="12"/>
  <c r="R222" i="12"/>
  <c r="O222" i="12"/>
  <c r="P222" i="12"/>
  <c r="V222" i="12"/>
  <c r="U222" i="12"/>
  <c r="V346" i="12"/>
  <c r="T346" i="12"/>
  <c r="M346" i="12"/>
  <c r="F346" i="12"/>
  <c r="S346" i="12"/>
  <c r="O346" i="12"/>
  <c r="U346" i="12"/>
  <c r="P346" i="12"/>
  <c r="R346" i="12"/>
  <c r="Q346" i="12"/>
  <c r="F155" i="12"/>
  <c r="G155" i="12"/>
  <c r="F45" i="12"/>
  <c r="G45" i="12"/>
  <c r="S119" i="12"/>
  <c r="U119" i="12"/>
  <c r="V119" i="12"/>
  <c r="Q119" i="12"/>
  <c r="P119" i="12"/>
  <c r="M119" i="12"/>
  <c r="F119" i="12"/>
  <c r="R119" i="12"/>
  <c r="G119" i="12"/>
  <c r="O119" i="12"/>
  <c r="N119" i="12"/>
  <c r="T119" i="12"/>
  <c r="G243" i="12"/>
  <c r="F243" i="12"/>
  <c r="F49" i="12"/>
  <c r="G49" i="12"/>
  <c r="F536" i="12"/>
  <c r="G536" i="12"/>
  <c r="F427" i="12"/>
  <c r="G427" i="12"/>
  <c r="F58" i="12"/>
  <c r="G58" i="12"/>
  <c r="F75" i="12"/>
  <c r="G75" i="12"/>
  <c r="G156" i="12"/>
  <c r="F156" i="12"/>
  <c r="F573" i="12"/>
  <c r="G573" i="12"/>
  <c r="F558" i="12"/>
  <c r="G558" i="12"/>
  <c r="F162" i="12"/>
  <c r="G162" i="12"/>
  <c r="G513" i="12"/>
  <c r="F513" i="12"/>
  <c r="F469" i="12"/>
  <c r="G469" i="12"/>
  <c r="F410" i="12"/>
  <c r="G410" i="12"/>
  <c r="F381" i="12"/>
  <c r="G381" i="12"/>
  <c r="F306" i="12"/>
  <c r="G306" i="12"/>
  <c r="G228" i="12"/>
  <c r="F228" i="12"/>
  <c r="F143" i="12"/>
  <c r="G143" i="12"/>
  <c r="Q143" i="12"/>
  <c r="F122" i="12"/>
  <c r="G122" i="12"/>
  <c r="U525" i="12"/>
  <c r="S525" i="12"/>
  <c r="O525" i="12"/>
  <c r="Q525" i="12"/>
  <c r="M525" i="12"/>
  <c r="T525" i="12"/>
  <c r="F150" i="12"/>
  <c r="G150" i="12"/>
  <c r="F605" i="12"/>
  <c r="G605" i="12"/>
  <c r="G583" i="12"/>
  <c r="F583" i="12"/>
  <c r="M561" i="12"/>
  <c r="O561" i="12"/>
  <c r="Q561" i="12"/>
  <c r="N561" i="12"/>
  <c r="U561" i="12"/>
  <c r="V561" i="12"/>
  <c r="R561" i="12"/>
  <c r="T561" i="12"/>
  <c r="G561" i="12"/>
  <c r="F561" i="12"/>
  <c r="S561" i="12"/>
  <c r="F547" i="12"/>
  <c r="G547" i="12"/>
  <c r="G533" i="12"/>
  <c r="F533" i="12"/>
  <c r="G517" i="12"/>
  <c r="F517" i="12"/>
  <c r="G436" i="12"/>
  <c r="F436" i="12"/>
  <c r="G311" i="12"/>
  <c r="F311" i="12"/>
  <c r="G89" i="12"/>
  <c r="F89" i="12"/>
  <c r="G35" i="12"/>
  <c r="F35" i="12"/>
  <c r="G109" i="12"/>
  <c r="F109" i="12"/>
  <c r="F422" i="12"/>
  <c r="G422" i="12"/>
  <c r="F508" i="12"/>
  <c r="G508" i="12"/>
  <c r="N346" i="12"/>
  <c r="G346" i="12"/>
  <c r="G556" i="12"/>
  <c r="F556" i="12"/>
  <c r="F217" i="12"/>
  <c r="G217" i="12"/>
  <c r="G454" i="12"/>
  <c r="F454" i="12"/>
  <c r="U141" i="12"/>
  <c r="R141" i="12"/>
  <c r="O141" i="12"/>
  <c r="P141" i="12"/>
  <c r="V141" i="12"/>
  <c r="T141" i="12"/>
  <c r="F141" i="12"/>
  <c r="S141" i="12"/>
  <c r="G141" i="12"/>
  <c r="N141" i="12"/>
  <c r="Q141" i="12"/>
  <c r="S603" i="12"/>
  <c r="N603" i="12"/>
  <c r="O603" i="12"/>
  <c r="P603" i="12"/>
  <c r="F603" i="12"/>
  <c r="G603" i="12"/>
  <c r="U603" i="12"/>
  <c r="M603" i="12"/>
  <c r="T603" i="12"/>
  <c r="Q603" i="12"/>
  <c r="V603" i="12"/>
  <c r="R603" i="12"/>
  <c r="F419" i="12"/>
  <c r="G419" i="12"/>
  <c r="R140" i="12"/>
  <c r="M140" i="12"/>
  <c r="U140" i="12"/>
  <c r="P140" i="12"/>
  <c r="O140" i="12"/>
  <c r="T140" i="12"/>
  <c r="S140" i="12"/>
  <c r="N140" i="12"/>
  <c r="V140" i="12"/>
  <c r="O413" i="12"/>
  <c r="S413" i="12"/>
  <c r="T413" i="12"/>
  <c r="M413" i="12"/>
  <c r="G413" i="12"/>
  <c r="F413" i="12"/>
  <c r="Q413" i="12"/>
  <c r="R413" i="12"/>
  <c r="N413" i="12"/>
  <c r="V413" i="12"/>
  <c r="P413" i="12"/>
  <c r="F471" i="12"/>
  <c r="G471" i="12"/>
  <c r="F611" i="12"/>
  <c r="G611" i="12"/>
  <c r="G63" i="12"/>
  <c r="F63" i="12"/>
  <c r="G265" i="12"/>
  <c r="F265" i="12"/>
  <c r="S163" i="12"/>
  <c r="U163" i="12"/>
  <c r="M163" i="12"/>
  <c r="V163" i="12"/>
  <c r="O163" i="12"/>
  <c r="Q163" i="12"/>
  <c r="P163" i="12"/>
  <c r="R163" i="12"/>
  <c r="N163" i="12"/>
  <c r="U365" i="12"/>
  <c r="V365" i="12"/>
  <c r="O365" i="12"/>
  <c r="N365" i="12"/>
  <c r="T365" i="12"/>
  <c r="Q365" i="12"/>
  <c r="S365" i="12"/>
  <c r="P365" i="12"/>
  <c r="G218" i="12"/>
  <c r="F218" i="12"/>
  <c r="V39" i="12"/>
  <c r="U39" i="12"/>
  <c r="S39" i="12"/>
  <c r="T39" i="12"/>
  <c r="N39" i="12"/>
  <c r="O39" i="12"/>
  <c r="P39" i="12"/>
  <c r="Q39" i="12"/>
  <c r="R39" i="12"/>
  <c r="M39" i="12"/>
  <c r="G260" i="12"/>
  <c r="F260" i="12"/>
  <c r="G487" i="12"/>
  <c r="F487" i="12"/>
  <c r="F316" i="12"/>
  <c r="G316" i="12"/>
  <c r="M524" i="12"/>
  <c r="F524" i="12"/>
  <c r="P524" i="12"/>
  <c r="V524" i="12"/>
  <c r="U524" i="12"/>
  <c r="S524" i="12"/>
  <c r="N524" i="12"/>
  <c r="O499" i="12"/>
  <c r="U499" i="12"/>
  <c r="Q499" i="12"/>
  <c r="M499" i="12"/>
  <c r="P499" i="12"/>
  <c r="V499" i="12"/>
  <c r="R499" i="12"/>
  <c r="G499" i="12"/>
  <c r="S499" i="12"/>
  <c r="T499" i="12"/>
  <c r="N499" i="12"/>
  <c r="G613" i="12"/>
  <c r="F613" i="12"/>
  <c r="V176" i="12"/>
  <c r="F176" i="12"/>
  <c r="G176" i="12"/>
  <c r="F449" i="12"/>
  <c r="G449" i="12"/>
  <c r="G135" i="12"/>
  <c r="F135" i="12"/>
  <c r="AC135" i="12" s="1"/>
  <c r="M135" i="12"/>
  <c r="V433" i="12"/>
  <c r="F433" i="12"/>
  <c r="G433" i="12"/>
  <c r="G520" i="12"/>
  <c r="F520" i="12"/>
  <c r="R424" i="12"/>
  <c r="O424" i="12"/>
  <c r="Q424" i="12"/>
  <c r="N424" i="12"/>
  <c r="T424" i="12"/>
  <c r="S424" i="12"/>
  <c r="P424" i="12"/>
  <c r="V424" i="12"/>
  <c r="U424" i="12"/>
  <c r="M424" i="12"/>
  <c r="F327" i="12"/>
  <c r="G327" i="12"/>
  <c r="G67" i="12"/>
  <c r="F67" i="12"/>
  <c r="F472" i="12"/>
  <c r="G472" i="12"/>
  <c r="N472" i="12"/>
  <c r="M478" i="12"/>
  <c r="N478" i="12"/>
  <c r="V478" i="12"/>
  <c r="P478" i="12"/>
  <c r="U478" i="12"/>
  <c r="R478" i="12"/>
  <c r="F204" i="12"/>
  <c r="G204" i="12"/>
  <c r="G385" i="12"/>
  <c r="U385" i="12"/>
  <c r="F385" i="12"/>
  <c r="F574" i="12"/>
  <c r="G574" i="12"/>
  <c r="G134" i="12"/>
  <c r="F134" i="12"/>
  <c r="P368" i="12"/>
  <c r="O368" i="12"/>
  <c r="U368" i="12"/>
  <c r="N368" i="12"/>
  <c r="V368" i="12"/>
  <c r="M368" i="12"/>
  <c r="T411" i="12"/>
  <c r="P411" i="12"/>
  <c r="S411" i="12"/>
  <c r="M411" i="12"/>
  <c r="N411" i="12"/>
  <c r="U411" i="12"/>
  <c r="O411" i="12"/>
  <c r="R411" i="12"/>
  <c r="V411" i="12"/>
  <c r="Q411" i="12"/>
  <c r="P302" i="12"/>
  <c r="F302" i="12"/>
  <c r="G510" i="12"/>
  <c r="M510" i="12"/>
  <c r="F510" i="12"/>
  <c r="F152" i="12"/>
  <c r="P152" i="12"/>
  <c r="G152" i="12"/>
  <c r="G397" i="12"/>
  <c r="F397" i="12"/>
  <c r="G102" i="12"/>
  <c r="F102" i="12"/>
  <c r="G432" i="12"/>
  <c r="F432" i="12"/>
  <c r="P416" i="12"/>
  <c r="R416" i="12"/>
  <c r="S416" i="12"/>
  <c r="M416" i="12"/>
  <c r="N416" i="12"/>
  <c r="Q416" i="12"/>
  <c r="O416" i="12"/>
  <c r="U416" i="12"/>
  <c r="T416" i="12"/>
  <c r="G610" i="12"/>
  <c r="F610" i="12"/>
  <c r="F203" i="12"/>
  <c r="G203" i="12"/>
  <c r="F406" i="12"/>
  <c r="G406" i="12"/>
  <c r="F383" i="12"/>
  <c r="G383" i="12"/>
  <c r="F380" i="12"/>
  <c r="M380" i="12"/>
  <c r="U380" i="12"/>
  <c r="G380" i="12"/>
  <c r="F148" i="12"/>
  <c r="G148" i="12"/>
  <c r="F580" i="12"/>
  <c r="G580" i="12"/>
  <c r="F522" i="12"/>
  <c r="G522" i="12"/>
  <c r="G185" i="12"/>
  <c r="F185" i="12"/>
  <c r="F367" i="12"/>
  <c r="G367" i="12"/>
  <c r="F446" i="12"/>
  <c r="G446" i="12"/>
  <c r="R161" i="12"/>
  <c r="O161" i="12"/>
  <c r="P161" i="12"/>
  <c r="N161" i="12"/>
  <c r="U161" i="12"/>
  <c r="F161" i="12"/>
  <c r="G161" i="12"/>
  <c r="S161" i="12"/>
  <c r="T161" i="12"/>
  <c r="M161" i="12"/>
  <c r="Q161" i="12"/>
  <c r="G392" i="12"/>
  <c r="F392" i="12"/>
  <c r="F501" i="12"/>
  <c r="G501" i="12"/>
  <c r="G503" i="12"/>
  <c r="F503" i="12"/>
  <c r="F343" i="12"/>
  <c r="G343" i="12"/>
  <c r="G87" i="12"/>
  <c r="F87" i="12"/>
  <c r="R31" i="12"/>
  <c r="N31" i="12"/>
  <c r="O31" i="12"/>
  <c r="G31" i="12"/>
  <c r="T31" i="12"/>
  <c r="S31" i="12"/>
  <c r="Q31" i="12"/>
  <c r="F31" i="12"/>
  <c r="V31" i="12"/>
  <c r="M31" i="12"/>
  <c r="P31" i="12"/>
  <c r="N255" i="12"/>
  <c r="M255" i="12"/>
  <c r="Q255" i="12"/>
  <c r="P255" i="12"/>
  <c r="V255" i="12"/>
  <c r="U255" i="12"/>
  <c r="R339" i="12"/>
  <c r="V339" i="12"/>
  <c r="P339" i="12"/>
  <c r="U339" i="12"/>
  <c r="O339" i="12"/>
  <c r="M339" i="12"/>
  <c r="F173" i="12"/>
  <c r="G173" i="12"/>
  <c r="F114" i="12"/>
  <c r="G114" i="12"/>
  <c r="G313" i="12"/>
  <c r="F313" i="12"/>
  <c r="S54" i="12"/>
  <c r="U54" i="12"/>
  <c r="R54" i="12"/>
  <c r="O54" i="12"/>
  <c r="P54" i="12"/>
  <c r="V54" i="12"/>
  <c r="M54" i="12"/>
  <c r="G54" i="12"/>
  <c r="Q54" i="12"/>
  <c r="N54" i="12"/>
  <c r="F584" i="12"/>
  <c r="G584" i="12"/>
  <c r="M270" i="12"/>
  <c r="S270" i="12"/>
  <c r="G270" i="12"/>
  <c r="R270" i="12"/>
  <c r="P270" i="12"/>
  <c r="U270" i="12"/>
  <c r="V270" i="12"/>
  <c r="O270" i="12"/>
  <c r="N270" i="12"/>
  <c r="F443" i="12"/>
  <c r="T443" i="12"/>
  <c r="P443" i="12"/>
  <c r="O443" i="12"/>
  <c r="U443" i="12"/>
  <c r="N443" i="12"/>
  <c r="G443" i="12"/>
  <c r="S443" i="12"/>
  <c r="R443" i="12"/>
  <c r="Q443" i="12"/>
  <c r="V443" i="12"/>
  <c r="F440" i="12"/>
  <c r="G440" i="12"/>
  <c r="F506" i="12"/>
  <c r="G506" i="12"/>
  <c r="G222" i="12"/>
  <c r="F222" i="12"/>
  <c r="V515" i="12"/>
  <c r="G515" i="12"/>
  <c r="F515" i="12"/>
  <c r="M328" i="12"/>
  <c r="N328" i="12"/>
  <c r="V328" i="12"/>
  <c r="O328" i="12"/>
  <c r="R328" i="12"/>
  <c r="F328" i="12"/>
  <c r="Q328" i="12"/>
  <c r="T328" i="12"/>
  <c r="G328" i="12"/>
  <c r="U328" i="12"/>
  <c r="S328" i="12"/>
  <c r="P328" i="12"/>
  <c r="G485" i="12"/>
  <c r="F485" i="12"/>
  <c r="M421" i="12"/>
  <c r="G421" i="12"/>
  <c r="F421" i="12"/>
  <c r="G314" i="12"/>
  <c r="F314" i="12"/>
  <c r="G278" i="12"/>
  <c r="F278" i="12"/>
  <c r="F241" i="12"/>
  <c r="G241" i="12"/>
  <c r="G486" i="12"/>
  <c r="Q486" i="12"/>
  <c r="F486" i="12"/>
  <c r="F46" i="12"/>
  <c r="G46" i="12"/>
  <c r="F121" i="12"/>
  <c r="G121" i="12"/>
  <c r="V223" i="12"/>
  <c r="O223" i="12"/>
  <c r="P223" i="12"/>
  <c r="N223" i="12"/>
  <c r="M223" i="12"/>
  <c r="R223" i="12"/>
  <c r="G223" i="12"/>
  <c r="T223" i="12"/>
  <c r="S223" i="12"/>
  <c r="Q223" i="12"/>
  <c r="F223" i="12"/>
  <c r="AC223" i="12" s="1"/>
  <c r="F23" i="12"/>
  <c r="G23" i="12"/>
  <c r="M23" i="12"/>
  <c r="G127" i="12"/>
  <c r="F127" i="12"/>
  <c r="F420" i="12"/>
  <c r="G420" i="12"/>
  <c r="U420" i="12"/>
  <c r="F250" i="12"/>
  <c r="G250" i="12"/>
  <c r="V332" i="12"/>
  <c r="F332" i="12"/>
  <c r="G332" i="12"/>
  <c r="G566" i="12"/>
  <c r="F566" i="12"/>
  <c r="O577" i="12"/>
  <c r="Q577" i="12"/>
  <c r="U577" i="12"/>
  <c r="P577" i="12"/>
  <c r="V577" i="12"/>
  <c r="R577" i="12"/>
  <c r="F461" i="12"/>
  <c r="M461" i="12"/>
  <c r="G461" i="12"/>
  <c r="G473" i="12"/>
  <c r="F473" i="12"/>
  <c r="F269" i="12"/>
  <c r="G269" i="12"/>
  <c r="F84" i="12"/>
  <c r="G84" i="12"/>
  <c r="R84" i="12"/>
  <c r="S84" i="12"/>
  <c r="V84" i="12"/>
  <c r="U84" i="12"/>
  <c r="T84" i="12"/>
  <c r="P84" i="12"/>
  <c r="O84" i="12"/>
  <c r="Q84" i="12"/>
  <c r="N84" i="12"/>
  <c r="M84" i="12"/>
  <c r="G263" i="12"/>
  <c r="F263" i="12"/>
  <c r="M125" i="12"/>
  <c r="O125" i="12"/>
  <c r="N125" i="12"/>
  <c r="F125" i="12"/>
  <c r="U125" i="12"/>
  <c r="T125" i="12"/>
  <c r="V125" i="12"/>
  <c r="R125" i="12"/>
  <c r="S125" i="12"/>
  <c r="G125" i="12"/>
  <c r="P125" i="12"/>
  <c r="Q125" i="12"/>
  <c r="G69" i="12"/>
  <c r="F69" i="12"/>
  <c r="M77" i="12"/>
  <c r="G77" i="12"/>
  <c r="F77" i="12"/>
  <c r="G578" i="12"/>
  <c r="F578" i="12"/>
  <c r="G414" i="12"/>
  <c r="F414" i="12"/>
  <c r="F361" i="12"/>
  <c r="G361" i="12"/>
  <c r="M187" i="12"/>
  <c r="R187" i="12"/>
  <c r="S187" i="12"/>
  <c r="V187" i="12"/>
  <c r="N187" i="12"/>
  <c r="Q187" i="12"/>
  <c r="O187" i="12"/>
  <c r="P187" i="12"/>
  <c r="T187" i="12"/>
  <c r="U187" i="12"/>
  <c r="U464" i="12"/>
  <c r="F464" i="12"/>
  <c r="G464" i="12"/>
  <c r="F280" i="12"/>
  <c r="G280" i="12"/>
  <c r="U226" i="12"/>
  <c r="F226" i="12"/>
  <c r="G226" i="12"/>
  <c r="G129" i="12"/>
  <c r="F129" i="12"/>
  <c r="AC129" i="12" s="1"/>
  <c r="Q599" i="12"/>
  <c r="M599" i="12"/>
  <c r="R599" i="12"/>
  <c r="T599" i="12"/>
  <c r="S599" i="12"/>
  <c r="F599" i="12"/>
  <c r="O599" i="12"/>
  <c r="V599" i="12"/>
  <c r="U599" i="12"/>
  <c r="G599" i="12"/>
  <c r="N599" i="12"/>
  <c r="V552" i="12"/>
  <c r="T552" i="12"/>
  <c r="N552" i="12"/>
  <c r="P552" i="12"/>
  <c r="O552" i="12"/>
  <c r="U552" i="12"/>
  <c r="Q552" i="12"/>
  <c r="R552" i="12"/>
  <c r="F552" i="12"/>
  <c r="S552" i="12"/>
  <c r="G57" i="12"/>
  <c r="F57" i="12"/>
  <c r="G604" i="12"/>
  <c r="F604" i="12"/>
  <c r="AC604" i="12" s="1"/>
  <c r="F445" i="12"/>
  <c r="G445" i="12"/>
  <c r="G214" i="12"/>
  <c r="F214" i="12"/>
  <c r="AC214" i="12" s="1"/>
  <c r="V51" i="12"/>
  <c r="G51" i="12"/>
  <c r="M51" i="12"/>
  <c r="F51" i="12"/>
  <c r="F537" i="12"/>
  <c r="G537" i="12"/>
  <c r="G68" i="12"/>
  <c r="F68" i="12"/>
  <c r="G535" i="12"/>
  <c r="F535" i="12"/>
  <c r="AC535" i="12" s="1"/>
  <c r="G28" i="12"/>
  <c r="F28" i="12"/>
  <c r="AC28" i="12" s="1"/>
  <c r="G281" i="12"/>
  <c r="F281" i="12"/>
  <c r="G404" i="12"/>
  <c r="F404" i="12"/>
  <c r="AC404" i="12" s="1"/>
  <c r="G276" i="12"/>
  <c r="F276" i="12"/>
  <c r="U276" i="12"/>
  <c r="F158" i="12"/>
  <c r="G158" i="12"/>
  <c r="F489" i="12"/>
  <c r="G489" i="12"/>
  <c r="G53" i="12"/>
  <c r="F53" i="12"/>
  <c r="G170" i="12"/>
  <c r="F170" i="12"/>
  <c r="Q113" i="12"/>
  <c r="V113" i="12"/>
  <c r="M113" i="12"/>
  <c r="O113" i="12"/>
  <c r="G113" i="12"/>
  <c r="R113" i="12"/>
  <c r="F113" i="12"/>
  <c r="U113" i="12"/>
  <c r="N113" i="12"/>
  <c r="P113" i="12"/>
  <c r="T113" i="12"/>
  <c r="S113" i="12"/>
  <c r="M588" i="12"/>
  <c r="N588" i="12"/>
  <c r="P588" i="12"/>
  <c r="V588" i="12"/>
  <c r="U588" i="12"/>
  <c r="S588" i="12"/>
  <c r="R588" i="12"/>
  <c r="Q588" i="12"/>
  <c r="O588" i="12"/>
  <c r="G303" i="12"/>
  <c r="F303" i="12"/>
  <c r="AC303" i="12" s="1"/>
  <c r="G570" i="12"/>
  <c r="F570" i="12"/>
  <c r="G239" i="12"/>
  <c r="F239" i="12"/>
  <c r="F242" i="12"/>
  <c r="G242" i="12"/>
  <c r="M168" i="12"/>
  <c r="F168" i="12"/>
  <c r="G168" i="12"/>
  <c r="G596" i="12"/>
  <c r="F596" i="12"/>
  <c r="F425" i="12"/>
  <c r="G425" i="12"/>
  <c r="F435" i="12"/>
  <c r="G435" i="12"/>
  <c r="G92" i="12"/>
  <c r="F92" i="12"/>
  <c r="G555" i="12"/>
  <c r="F555" i="12"/>
  <c r="U123" i="12"/>
  <c r="T123" i="12"/>
  <c r="V123" i="12"/>
  <c r="R123" i="12"/>
  <c r="F299" i="12"/>
  <c r="G299" i="12"/>
  <c r="G36" i="12"/>
  <c r="N36" i="12"/>
  <c r="F36" i="12"/>
  <c r="F145" i="12"/>
  <c r="G145" i="12"/>
  <c r="F527" i="12"/>
  <c r="G527" i="12"/>
  <c r="Q482" i="12"/>
  <c r="U482" i="12"/>
  <c r="G482" i="12"/>
  <c r="S482" i="12"/>
  <c r="V482" i="12"/>
  <c r="P482" i="12"/>
  <c r="R482" i="12"/>
  <c r="T482" i="12"/>
  <c r="F482" i="12"/>
  <c r="N482" i="12"/>
  <c r="O482" i="12"/>
  <c r="P232" i="12"/>
  <c r="U232" i="12"/>
  <c r="Q232" i="12"/>
  <c r="V232" i="12"/>
  <c r="F205" i="12"/>
  <c r="G205" i="12"/>
  <c r="R205" i="12"/>
  <c r="M333" i="12"/>
  <c r="F333" i="12"/>
  <c r="V333" i="12"/>
  <c r="G333" i="12"/>
  <c r="P37" i="12"/>
  <c r="F37" i="12"/>
  <c r="S37" i="12"/>
  <c r="R37" i="12"/>
  <c r="O37" i="12"/>
  <c r="T37" i="12"/>
  <c r="M37" i="12"/>
  <c r="N37" i="12"/>
  <c r="Q37" i="12"/>
  <c r="G37" i="12"/>
  <c r="V37" i="12"/>
  <c r="U37" i="12"/>
  <c r="U96" i="12"/>
  <c r="G96" i="12"/>
  <c r="F96" i="12"/>
  <c r="F389" i="12"/>
  <c r="G389" i="12"/>
  <c r="F369" i="12"/>
  <c r="G369" i="12"/>
  <c r="G221" i="12"/>
  <c r="F221" i="12"/>
  <c r="G569" i="12"/>
  <c r="F569" i="12"/>
  <c r="AC569" i="12" s="1"/>
  <c r="G400" i="12"/>
  <c r="F400" i="12"/>
  <c r="AC400" i="12" s="1"/>
  <c r="S283" i="12"/>
  <c r="G283" i="12"/>
  <c r="R283" i="12"/>
  <c r="T283" i="12"/>
  <c r="O283" i="12"/>
  <c r="P283" i="12"/>
  <c r="M283" i="12"/>
  <c r="Q283" i="12"/>
  <c r="F283" i="12"/>
  <c r="AC283" i="12" s="1"/>
  <c r="N283" i="12"/>
  <c r="S271" i="12"/>
  <c r="M271" i="12"/>
  <c r="G271" i="12"/>
  <c r="O271" i="12"/>
  <c r="Q271" i="12"/>
  <c r="R271" i="12"/>
  <c r="P271" i="12"/>
  <c r="U271" i="12"/>
  <c r="F271" i="12"/>
  <c r="AC271" i="12" s="1"/>
  <c r="T271" i="12"/>
  <c r="N271" i="12"/>
  <c r="G146" i="12"/>
  <c r="F146" i="12"/>
  <c r="F382" i="12"/>
  <c r="G382" i="12"/>
  <c r="S230" i="12"/>
  <c r="F230" i="12"/>
  <c r="G230" i="12"/>
  <c r="P230" i="12"/>
  <c r="N230" i="12"/>
  <c r="U230" i="12"/>
  <c r="V230" i="12"/>
  <c r="T230" i="12"/>
  <c r="Q230" i="12"/>
  <c r="R230" i="12"/>
  <c r="O230" i="12"/>
  <c r="G307" i="12"/>
  <c r="F307" i="12"/>
  <c r="F312" i="12"/>
  <c r="G312" i="12"/>
  <c r="U153" i="12"/>
  <c r="V153" i="12"/>
  <c r="P153" i="12"/>
  <c r="R153" i="12"/>
  <c r="M153" i="12"/>
  <c r="O153" i="12"/>
  <c r="F124" i="12"/>
  <c r="G124" i="12"/>
  <c r="G550" i="12"/>
  <c r="F550" i="12"/>
  <c r="G197" i="12"/>
  <c r="F197" i="12"/>
  <c r="AC197" i="12" s="1"/>
  <c r="F177" i="12"/>
  <c r="G177" i="12"/>
  <c r="G171" i="12"/>
  <c r="F171" i="12"/>
  <c r="F371" i="12"/>
  <c r="G371" i="12"/>
  <c r="F117" i="12"/>
  <c r="M117" i="12"/>
  <c r="V117" i="12"/>
  <c r="G117" i="12"/>
  <c r="G215" i="12"/>
  <c r="F215" i="12"/>
  <c r="F545" i="12"/>
  <c r="G545" i="12"/>
  <c r="G523" i="12"/>
  <c r="F523" i="12"/>
  <c r="F468" i="12"/>
  <c r="G468" i="12"/>
  <c r="O453" i="12"/>
  <c r="M453" i="12"/>
  <c r="N453" i="12"/>
  <c r="P453" i="12"/>
  <c r="R453" i="12"/>
  <c r="Q453" i="12"/>
  <c r="S453" i="12"/>
  <c r="G453" i="12"/>
  <c r="U453" i="12"/>
  <c r="V453" i="12"/>
  <c r="T453" i="12"/>
  <c r="F453" i="12"/>
  <c r="F325" i="12"/>
  <c r="G325" i="12"/>
  <c r="F300" i="12"/>
  <c r="G300" i="12"/>
  <c r="T300" i="12"/>
  <c r="Q300" i="12"/>
  <c r="F259" i="12"/>
  <c r="G259" i="12"/>
  <c r="F237" i="12"/>
  <c r="G237" i="12"/>
  <c r="V229" i="12"/>
  <c r="F229" i="12"/>
  <c r="G229" i="12"/>
  <c r="G160" i="12"/>
  <c r="F160" i="12"/>
  <c r="G137" i="12"/>
  <c r="F137" i="12"/>
  <c r="F593" i="12"/>
  <c r="G593" i="12"/>
  <c r="F615" i="12"/>
  <c r="G615" i="12"/>
  <c r="G597" i="12"/>
  <c r="F597" i="12"/>
  <c r="AC597" i="12" s="1"/>
  <c r="F568" i="12"/>
  <c r="G568" i="12"/>
  <c r="F551" i="12"/>
  <c r="G551" i="12"/>
  <c r="F491" i="12"/>
  <c r="G491" i="12"/>
  <c r="V398" i="12"/>
  <c r="G398" i="12"/>
  <c r="F398" i="12"/>
  <c r="F384" i="12"/>
  <c r="G384" i="12"/>
  <c r="F366" i="12"/>
  <c r="G366" i="12"/>
  <c r="F244" i="12"/>
  <c r="G244" i="12"/>
  <c r="U169" i="12"/>
  <c r="G169" i="12"/>
  <c r="F169" i="12"/>
  <c r="Q261" i="12"/>
  <c r="F261" i="12"/>
  <c r="G261" i="12"/>
  <c r="G342" i="12"/>
  <c r="F342" i="12"/>
  <c r="F258" i="12"/>
  <c r="G258" i="12"/>
  <c r="F128" i="12"/>
  <c r="G128" i="12"/>
  <c r="S602" i="12"/>
  <c r="R602" i="12"/>
  <c r="O602" i="12"/>
  <c r="M602" i="12"/>
  <c r="P602" i="12"/>
  <c r="F602" i="12"/>
  <c r="M308" i="12"/>
  <c r="G308" i="12"/>
  <c r="F308" i="12"/>
  <c r="U335" i="12"/>
  <c r="Q335" i="12"/>
  <c r="R335" i="12"/>
  <c r="V335" i="12"/>
  <c r="M335" i="12"/>
  <c r="P335" i="12"/>
  <c r="O408" i="12"/>
  <c r="Q408" i="12"/>
  <c r="F408" i="12"/>
  <c r="R408" i="12"/>
  <c r="S408" i="12"/>
  <c r="S209" i="12"/>
  <c r="Q209" i="12"/>
  <c r="U209" i="12"/>
  <c r="G209" i="12"/>
  <c r="O209" i="12"/>
  <c r="T209" i="12"/>
  <c r="M209" i="12"/>
  <c r="F209" i="12"/>
  <c r="R209" i="12"/>
  <c r="P209" i="12"/>
  <c r="N209" i="12"/>
  <c r="V373" i="12"/>
  <c r="Q373" i="12"/>
  <c r="N373" i="12"/>
  <c r="F373" i="12"/>
  <c r="M373" i="12"/>
  <c r="R373" i="12"/>
  <c r="O373" i="12"/>
  <c r="S373" i="12"/>
  <c r="P373" i="12"/>
  <c r="T373" i="12"/>
  <c r="G373" i="12"/>
  <c r="F405" i="12"/>
  <c r="M405" i="12"/>
  <c r="G405" i="12"/>
  <c r="V496" i="12"/>
  <c r="P496" i="12"/>
  <c r="T496" i="12"/>
  <c r="N496" i="12"/>
  <c r="R496" i="12"/>
  <c r="O496" i="12"/>
  <c r="U496" i="12"/>
  <c r="Q496" i="12"/>
  <c r="M496" i="12"/>
  <c r="G496" i="12"/>
  <c r="S496" i="12"/>
  <c r="V213" i="12"/>
  <c r="F213" i="12"/>
  <c r="G213" i="12"/>
  <c r="F458" i="12"/>
  <c r="G458" i="12"/>
  <c r="R430" i="12"/>
  <c r="O430" i="12"/>
  <c r="Q430" i="12"/>
  <c r="V430" i="12"/>
  <c r="G430" i="12"/>
  <c r="S430" i="12"/>
  <c r="F430" i="12"/>
  <c r="N430" i="12"/>
  <c r="U430" i="12"/>
  <c r="T430" i="12"/>
  <c r="P430" i="12"/>
  <c r="V157" i="12"/>
  <c r="G157" i="12"/>
  <c r="F157" i="12"/>
  <c r="AC157" i="12" s="1"/>
  <c r="P123" i="12"/>
  <c r="M123" i="12"/>
  <c r="S123" i="12"/>
  <c r="O123" i="12"/>
  <c r="Q123" i="12"/>
  <c r="N123" i="12"/>
  <c r="G123" i="12"/>
  <c r="F123" i="12"/>
  <c r="T537" i="12"/>
  <c r="U537" i="12"/>
  <c r="N537" i="12"/>
  <c r="R537" i="12"/>
  <c r="V537" i="12"/>
  <c r="M537" i="12"/>
  <c r="P537" i="12"/>
  <c r="O537" i="12"/>
  <c r="Q537" i="12"/>
  <c r="S537" i="12"/>
  <c r="M552" i="12"/>
  <c r="G552" i="12"/>
  <c r="T147" i="12"/>
  <c r="P147" i="12"/>
  <c r="S147" i="12"/>
  <c r="U147" i="12"/>
  <c r="R147" i="12"/>
  <c r="N147" i="12"/>
  <c r="M147" i="12"/>
  <c r="G147" i="12"/>
  <c r="O147" i="12"/>
  <c r="Q147" i="12"/>
  <c r="V147" i="12"/>
  <c r="R124" i="12"/>
  <c r="U124" i="12"/>
  <c r="P124" i="12"/>
  <c r="O124" i="12"/>
  <c r="N124" i="12"/>
  <c r="S124" i="12"/>
  <c r="T124" i="12"/>
  <c r="Q124" i="12"/>
  <c r="V124" i="12"/>
  <c r="M124" i="12"/>
  <c r="F39" i="12"/>
  <c r="G39" i="12"/>
  <c r="P549" i="12"/>
  <c r="O549" i="12"/>
  <c r="R549" i="12"/>
  <c r="Q549" i="12"/>
  <c r="F549" i="12"/>
  <c r="N549" i="12"/>
  <c r="T549" i="12"/>
  <c r="G549" i="12"/>
  <c r="U549" i="12"/>
  <c r="S549" i="12"/>
  <c r="V549" i="12"/>
  <c r="O605" i="12"/>
  <c r="U605" i="12"/>
  <c r="T605" i="12"/>
  <c r="S605" i="12"/>
  <c r="V605" i="12"/>
  <c r="P605" i="12"/>
  <c r="N605" i="12"/>
  <c r="M605" i="12"/>
  <c r="R605" i="12"/>
  <c r="Q605" i="12"/>
  <c r="G187" i="12"/>
  <c r="F187" i="12"/>
  <c r="S335" i="12"/>
  <c r="G335" i="12"/>
  <c r="F335" i="12"/>
  <c r="T335" i="12"/>
  <c r="O335" i="12"/>
  <c r="N335" i="12"/>
  <c r="Q355" i="12"/>
  <c r="N355" i="12"/>
  <c r="T355" i="12"/>
  <c r="G355" i="12"/>
  <c r="S355" i="12"/>
  <c r="F355" i="12"/>
  <c r="G140" i="12"/>
  <c r="F140" i="12"/>
  <c r="Q140" i="12"/>
  <c r="O377" i="12"/>
  <c r="M377" i="12"/>
  <c r="R377" i="12"/>
  <c r="N377" i="12"/>
  <c r="Q377" i="12"/>
  <c r="V377" i="12"/>
  <c r="P377" i="12"/>
  <c r="T377" i="12"/>
  <c r="S377" i="12"/>
  <c r="U377" i="12"/>
  <c r="G377" i="12"/>
  <c r="M239" i="12"/>
  <c r="O239" i="12"/>
  <c r="S239" i="12"/>
  <c r="R239" i="12"/>
  <c r="P239" i="12"/>
  <c r="V239" i="12"/>
  <c r="N239" i="12"/>
  <c r="Q239" i="12"/>
  <c r="U239" i="12"/>
  <c r="T239" i="12"/>
  <c r="G159" i="12"/>
  <c r="S159" i="12"/>
  <c r="T159" i="12"/>
  <c r="Q159" i="12"/>
  <c r="O159" i="12"/>
  <c r="P159" i="12"/>
  <c r="M159" i="12"/>
  <c r="V159" i="12"/>
  <c r="N159" i="12"/>
  <c r="R159" i="12"/>
  <c r="U159" i="12"/>
  <c r="G408" i="12"/>
  <c r="M408" i="12"/>
  <c r="U408" i="12"/>
  <c r="P408" i="12"/>
  <c r="N408" i="12"/>
  <c r="V408" i="12"/>
  <c r="T408" i="12"/>
  <c r="O112" i="12"/>
  <c r="T112" i="12"/>
  <c r="M112" i="12"/>
  <c r="Q112" i="12"/>
  <c r="P112" i="12"/>
  <c r="U112" i="12"/>
  <c r="V112" i="12"/>
  <c r="S112" i="12"/>
  <c r="R112" i="12"/>
  <c r="N104" i="12"/>
  <c r="Q104" i="12"/>
  <c r="P104" i="12"/>
  <c r="R104" i="12"/>
  <c r="V104" i="12"/>
  <c r="U104" i="12"/>
  <c r="O104" i="12"/>
  <c r="F104" i="12"/>
  <c r="T104" i="12"/>
  <c r="S104" i="12"/>
  <c r="M104" i="12"/>
  <c r="R378" i="12"/>
  <c r="G378" i="12"/>
  <c r="F378" i="12"/>
  <c r="T515" i="12"/>
  <c r="Q515" i="12"/>
  <c r="O515" i="12"/>
  <c r="R515" i="12"/>
  <c r="M515" i="12"/>
  <c r="U515" i="12"/>
  <c r="P515" i="12"/>
  <c r="N515" i="12"/>
  <c r="S515" i="12"/>
  <c r="G588" i="12"/>
  <c r="T588" i="12"/>
  <c r="F588" i="12"/>
  <c r="M486" i="12"/>
  <c r="T486" i="12"/>
  <c r="R486" i="12"/>
  <c r="O486" i="12"/>
  <c r="P486" i="12"/>
  <c r="U486" i="12"/>
  <c r="S486" i="12"/>
  <c r="N486" i="12"/>
  <c r="V486" i="12"/>
  <c r="G302" i="12"/>
  <c r="T302" i="12"/>
  <c r="R302" i="12"/>
  <c r="O302" i="12"/>
  <c r="M302" i="12"/>
  <c r="N302" i="12"/>
  <c r="S302" i="12"/>
  <c r="U302" i="12"/>
  <c r="Q302" i="12"/>
  <c r="V302" i="12"/>
  <c r="G363" i="12"/>
  <c r="T363" i="12"/>
  <c r="Q363" i="12"/>
  <c r="R363" i="12"/>
  <c r="P363" i="12"/>
  <c r="V363" i="12"/>
  <c r="N363" i="12"/>
  <c r="M363" i="12"/>
  <c r="S363" i="12"/>
  <c r="O363" i="12"/>
  <c r="U363" i="12"/>
  <c r="O232" i="12"/>
  <c r="F232" i="12"/>
  <c r="R232" i="12"/>
  <c r="N232" i="12"/>
  <c r="G232" i="12"/>
  <c r="S232" i="12"/>
  <c r="T232" i="12"/>
  <c r="M232" i="12"/>
  <c r="O524" i="12"/>
  <c r="Q524" i="12"/>
  <c r="T524" i="12"/>
  <c r="G524" i="12"/>
  <c r="R524" i="12"/>
  <c r="T575" i="12"/>
  <c r="G575" i="12"/>
  <c r="F575" i="12"/>
  <c r="O575" i="12"/>
  <c r="R575" i="12"/>
  <c r="U575" i="12"/>
  <c r="F153" i="12"/>
  <c r="G153" i="12"/>
  <c r="S153" i="12"/>
  <c r="N153" i="12"/>
  <c r="T153" i="12"/>
  <c r="Q153" i="12"/>
  <c r="G478" i="12"/>
  <c r="S478" i="12"/>
  <c r="T478" i="12"/>
  <c r="O478" i="12"/>
  <c r="Q478" i="12"/>
  <c r="F478" i="12"/>
  <c r="Q268" i="12"/>
  <c r="U268" i="12"/>
  <c r="V268" i="12"/>
  <c r="R268" i="12"/>
  <c r="P268" i="12"/>
  <c r="T268" i="12"/>
  <c r="M268" i="12"/>
  <c r="O268" i="12"/>
  <c r="S268" i="12"/>
  <c r="G268" i="12"/>
  <c r="AC268" i="12" s="1"/>
  <c r="Q570" i="12"/>
  <c r="S570" i="12"/>
  <c r="T570" i="12"/>
  <c r="N570" i="12"/>
  <c r="R570" i="12"/>
  <c r="P570" i="12"/>
  <c r="M570" i="12"/>
  <c r="U570" i="12"/>
  <c r="V570" i="12"/>
  <c r="O570" i="12"/>
  <c r="M173" i="12"/>
  <c r="U173" i="12"/>
  <c r="Q173" i="12"/>
  <c r="N173" i="12"/>
  <c r="O173" i="12"/>
  <c r="R173" i="12"/>
  <c r="T173" i="12"/>
  <c r="S173" i="12"/>
  <c r="P173" i="12"/>
  <c r="V173" i="12"/>
  <c r="M267" i="12"/>
  <c r="Q267" i="12"/>
  <c r="S267" i="12"/>
  <c r="U267" i="12"/>
  <c r="V267" i="12"/>
  <c r="G267" i="12"/>
  <c r="O267" i="12"/>
  <c r="N267" i="12"/>
  <c r="T267" i="12"/>
  <c r="P267" i="12"/>
  <c r="R267" i="12"/>
  <c r="G587" i="12"/>
  <c r="O587" i="12"/>
  <c r="R368" i="12"/>
  <c r="Q368" i="12"/>
  <c r="T368" i="12"/>
  <c r="G368" i="12"/>
  <c r="F368" i="12"/>
  <c r="S368" i="12"/>
  <c r="M425" i="12"/>
  <c r="P425" i="12"/>
  <c r="N425" i="12"/>
  <c r="U425" i="12"/>
  <c r="R425" i="12"/>
  <c r="Q425" i="12"/>
  <c r="T425" i="12"/>
  <c r="O425" i="12"/>
  <c r="S425" i="12"/>
  <c r="V425" i="12"/>
  <c r="Q400" i="12"/>
  <c r="M400" i="12"/>
  <c r="P400" i="12"/>
  <c r="O400" i="12"/>
  <c r="R400" i="12"/>
  <c r="N400" i="12"/>
  <c r="U400" i="12"/>
  <c r="T400" i="12"/>
  <c r="V400" i="12"/>
  <c r="S400" i="12"/>
  <c r="G511" i="12"/>
  <c r="S511" i="12"/>
  <c r="R511" i="12"/>
  <c r="N511" i="12"/>
  <c r="G594" i="12"/>
  <c r="N594" i="12"/>
  <c r="T594" i="12"/>
  <c r="M594" i="12"/>
  <c r="F594" i="12"/>
  <c r="AC594" i="12" s="1"/>
  <c r="V594" i="12"/>
  <c r="O361" i="12"/>
  <c r="P361" i="12"/>
  <c r="V361" i="12"/>
  <c r="U361" i="12"/>
  <c r="R361" i="12"/>
  <c r="Q361" i="12"/>
  <c r="S361" i="12"/>
  <c r="M361" i="12"/>
  <c r="T361" i="12"/>
  <c r="N361" i="12"/>
  <c r="G62" i="12"/>
  <c r="T62" i="12"/>
  <c r="Q62" i="12"/>
  <c r="O62" i="12"/>
  <c r="N62" i="12"/>
  <c r="T54" i="12"/>
  <c r="F54" i="12"/>
  <c r="G602" i="12"/>
  <c r="U602" i="12"/>
  <c r="N602" i="12"/>
  <c r="V602" i="12"/>
  <c r="Q602" i="12"/>
  <c r="T602" i="12"/>
  <c r="O608" i="12"/>
  <c r="Q608" i="12"/>
  <c r="U608" i="12"/>
  <c r="N608" i="12"/>
  <c r="R608" i="12"/>
  <c r="P608" i="12"/>
  <c r="T608" i="12"/>
  <c r="M608" i="12"/>
  <c r="S608" i="12"/>
  <c r="V608" i="12"/>
  <c r="P63" i="12"/>
  <c r="S63" i="12"/>
  <c r="R63" i="12"/>
  <c r="Q63" i="12"/>
  <c r="U63" i="12"/>
  <c r="T63" i="12"/>
  <c r="V63" i="12"/>
  <c r="N63" i="12"/>
  <c r="M63" i="12"/>
  <c r="O63" i="12"/>
  <c r="T577" i="12"/>
  <c r="M577" i="12"/>
  <c r="N577" i="12"/>
  <c r="S577" i="12"/>
  <c r="G577" i="12"/>
  <c r="F577" i="12"/>
  <c r="R255" i="12"/>
  <c r="F255" i="12"/>
  <c r="G255" i="12"/>
  <c r="T255" i="12"/>
  <c r="S255" i="12"/>
  <c r="O255" i="12"/>
  <c r="N339" i="12"/>
  <c r="Q339" i="12"/>
  <c r="F339" i="12"/>
  <c r="G339" i="12"/>
  <c r="S339" i="12"/>
  <c r="T339" i="12"/>
  <c r="T163" i="12"/>
  <c r="G163" i="12"/>
  <c r="F163" i="12"/>
  <c r="T446" i="12"/>
  <c r="N446" i="12"/>
  <c r="S446" i="12"/>
  <c r="R446" i="12"/>
  <c r="O446" i="12"/>
  <c r="P446" i="12"/>
  <c r="V446" i="12"/>
  <c r="U446" i="12"/>
  <c r="Q446" i="12"/>
  <c r="M446" i="12"/>
  <c r="F416" i="12"/>
  <c r="V416" i="12"/>
  <c r="G416" i="12"/>
  <c r="Q615" i="12"/>
  <c r="N615" i="12"/>
  <c r="V615" i="12"/>
  <c r="P615" i="12"/>
  <c r="M615" i="12"/>
  <c r="S615" i="12"/>
  <c r="O615" i="12"/>
  <c r="R615" i="12"/>
  <c r="U615" i="12"/>
  <c r="T615" i="12"/>
  <c r="O579" i="12"/>
  <c r="T579" i="12"/>
  <c r="M579" i="12"/>
  <c r="U579" i="12"/>
  <c r="S579" i="12"/>
  <c r="Q579" i="12"/>
  <c r="V579" i="12"/>
  <c r="P579" i="12"/>
  <c r="R579" i="12"/>
  <c r="N579" i="12"/>
  <c r="M573" i="12"/>
  <c r="V573" i="12"/>
  <c r="U573" i="12"/>
  <c r="O573" i="12"/>
  <c r="S573" i="12"/>
  <c r="R573" i="12"/>
  <c r="P573" i="12"/>
  <c r="T573" i="12"/>
  <c r="N573" i="12"/>
  <c r="Q573" i="12"/>
  <c r="Q566" i="12"/>
  <c r="R566" i="12"/>
  <c r="O566" i="12"/>
  <c r="P566" i="12"/>
  <c r="M566" i="12"/>
  <c r="V566" i="12"/>
  <c r="U566" i="12"/>
  <c r="T566" i="12"/>
  <c r="S566" i="12"/>
  <c r="N566" i="12"/>
  <c r="N558" i="12"/>
  <c r="S558" i="12"/>
  <c r="T558" i="12"/>
  <c r="Q558" i="12"/>
  <c r="O558" i="12"/>
  <c r="P558" i="12"/>
  <c r="R558" i="12"/>
  <c r="U558" i="12"/>
  <c r="V558" i="12"/>
  <c r="M558" i="12"/>
  <c r="R550" i="12"/>
  <c r="N550" i="12"/>
  <c r="T550" i="12"/>
  <c r="S550" i="12"/>
  <c r="M550" i="12"/>
  <c r="V550" i="12"/>
  <c r="U550" i="12"/>
  <c r="Q550" i="12"/>
  <c r="P550" i="12"/>
  <c r="O550" i="12"/>
  <c r="N520" i="12"/>
  <c r="U520" i="12"/>
  <c r="M520" i="12"/>
  <c r="V520" i="12"/>
  <c r="S520" i="12"/>
  <c r="T520" i="12"/>
  <c r="Q520" i="12"/>
  <c r="R520" i="12"/>
  <c r="O520" i="12"/>
  <c r="P520" i="12"/>
  <c r="R506" i="12"/>
  <c r="U506" i="12"/>
  <c r="N506" i="12"/>
  <c r="Q506" i="12"/>
  <c r="V506" i="12"/>
  <c r="O506" i="12"/>
  <c r="S506" i="12"/>
  <c r="T506" i="12"/>
  <c r="P506" i="12"/>
  <c r="M506" i="12"/>
  <c r="R485" i="12"/>
  <c r="P485" i="12"/>
  <c r="N485" i="12"/>
  <c r="O485" i="12"/>
  <c r="S485" i="12"/>
  <c r="T485" i="12"/>
  <c r="U485" i="12"/>
  <c r="Q485" i="12"/>
  <c r="M485" i="12"/>
  <c r="V485" i="12"/>
  <c r="S449" i="12"/>
  <c r="T449" i="12"/>
  <c r="N449" i="12"/>
  <c r="Q449" i="12"/>
  <c r="P449" i="12"/>
  <c r="R449" i="12"/>
  <c r="U449" i="12"/>
  <c r="V449" i="12"/>
  <c r="M449" i="12"/>
  <c r="O449" i="12"/>
  <c r="S440" i="12"/>
  <c r="T440" i="12"/>
  <c r="P440" i="12"/>
  <c r="V440" i="12"/>
  <c r="U440" i="12"/>
  <c r="N440" i="12"/>
  <c r="Q440" i="12"/>
  <c r="R440" i="12"/>
  <c r="M440" i="12"/>
  <c r="O440" i="12"/>
  <c r="P426" i="12"/>
  <c r="V426" i="12"/>
  <c r="Q426" i="12"/>
  <c r="U426" i="12"/>
  <c r="M426" i="12"/>
  <c r="S426" i="12"/>
  <c r="T426" i="12"/>
  <c r="R426" i="12"/>
  <c r="O426" i="12"/>
  <c r="N426" i="12"/>
  <c r="O418" i="12"/>
  <c r="V418" i="12"/>
  <c r="P418" i="12"/>
  <c r="S418" i="12"/>
  <c r="T418" i="12"/>
  <c r="N418" i="12"/>
  <c r="Q418" i="12"/>
  <c r="R418" i="12"/>
  <c r="M418" i="12"/>
  <c r="Q402" i="12"/>
  <c r="S402" i="12"/>
  <c r="F402" i="12"/>
  <c r="M402" i="12"/>
  <c r="P402" i="12"/>
  <c r="V402" i="12"/>
  <c r="N402" i="12"/>
  <c r="R402" i="12"/>
  <c r="O402" i="12"/>
  <c r="T402" i="12"/>
  <c r="U402" i="12"/>
  <c r="T366" i="12"/>
  <c r="R366" i="12"/>
  <c r="O366" i="12"/>
  <c r="V366" i="12"/>
  <c r="N366" i="12"/>
  <c r="P366" i="12"/>
  <c r="Q366" i="12"/>
  <c r="U366" i="12"/>
  <c r="M366" i="12"/>
  <c r="S366" i="12"/>
  <c r="T358" i="12"/>
  <c r="Q358" i="12"/>
  <c r="N358" i="12"/>
  <c r="R358" i="12"/>
  <c r="V358" i="12"/>
  <c r="F358" i="12"/>
  <c r="U358" i="12"/>
  <c r="O358" i="12"/>
  <c r="G358" i="12"/>
  <c r="M358" i="12"/>
  <c r="P358" i="12"/>
  <c r="S358" i="12"/>
  <c r="P321" i="12"/>
  <c r="S321" i="12"/>
  <c r="R321" i="12"/>
  <c r="V321" i="12"/>
  <c r="U321" i="12"/>
  <c r="N321" i="12"/>
  <c r="Q321" i="12"/>
  <c r="O321" i="12"/>
  <c r="T321" i="12"/>
  <c r="V283" i="12"/>
  <c r="U283" i="12"/>
  <c r="V250" i="12"/>
  <c r="R250" i="12"/>
  <c r="T250" i="12"/>
  <c r="P250" i="12"/>
  <c r="S250" i="12"/>
  <c r="Q250" i="12"/>
  <c r="O250" i="12"/>
  <c r="M250" i="12"/>
  <c r="U250" i="12"/>
  <c r="N250" i="12"/>
  <c r="T236" i="12"/>
  <c r="S236" i="12"/>
  <c r="P236" i="12"/>
  <c r="N236" i="12"/>
  <c r="O236" i="12"/>
  <c r="V236" i="12"/>
  <c r="R236" i="12"/>
  <c r="Q236" i="12"/>
  <c r="U236" i="12"/>
  <c r="M236" i="12"/>
  <c r="R221" i="12"/>
  <c r="U221" i="12"/>
  <c r="M221" i="12"/>
  <c r="O221" i="12"/>
  <c r="Q221" i="12"/>
  <c r="N221" i="12"/>
  <c r="V221" i="12"/>
  <c r="P221" i="12"/>
  <c r="S221" i="12"/>
  <c r="T221" i="12"/>
  <c r="S207" i="12"/>
  <c r="V207" i="12"/>
  <c r="U207" i="12"/>
  <c r="M207" i="12"/>
  <c r="P207" i="12"/>
  <c r="N207" i="12"/>
  <c r="Q207" i="12"/>
  <c r="T207" i="12"/>
  <c r="O207" i="12"/>
  <c r="R207" i="12"/>
  <c r="P199" i="12"/>
  <c r="M199" i="12"/>
  <c r="O199" i="12"/>
  <c r="N199" i="12"/>
  <c r="T199" i="12"/>
  <c r="S199" i="12"/>
  <c r="R199" i="12"/>
  <c r="U199" i="12"/>
  <c r="Q199" i="12"/>
  <c r="V199" i="12"/>
  <c r="U182" i="12"/>
  <c r="V182" i="12"/>
  <c r="R182" i="12"/>
  <c r="M182" i="12"/>
  <c r="O182" i="12"/>
  <c r="S182" i="12"/>
  <c r="T182" i="12"/>
  <c r="N182" i="12"/>
  <c r="Q182" i="12"/>
  <c r="P182" i="12"/>
  <c r="S158" i="12"/>
  <c r="T158" i="12"/>
  <c r="O158" i="12"/>
  <c r="P158" i="12"/>
  <c r="V158" i="12"/>
  <c r="N158" i="12"/>
  <c r="Q158" i="12"/>
  <c r="R158" i="12"/>
  <c r="U158" i="12"/>
  <c r="M158" i="12"/>
  <c r="P92" i="12"/>
  <c r="V92" i="12"/>
  <c r="Q92" i="12"/>
  <c r="M92" i="12"/>
  <c r="U92" i="12"/>
  <c r="T92" i="12"/>
  <c r="N92" i="12"/>
  <c r="S92" i="12"/>
  <c r="R92" i="12"/>
  <c r="O92" i="12"/>
  <c r="U79" i="12"/>
  <c r="R79" i="12"/>
  <c r="V79" i="12"/>
  <c r="M79" i="12"/>
  <c r="S79" i="12"/>
  <c r="T79" i="12"/>
  <c r="N79" i="12"/>
  <c r="Q79" i="12"/>
  <c r="O79" i="12"/>
  <c r="P79" i="12"/>
  <c r="O36" i="12"/>
  <c r="V36" i="12"/>
  <c r="U36" i="12"/>
  <c r="S36" i="12"/>
  <c r="M36" i="12"/>
  <c r="T36" i="12"/>
  <c r="R36" i="12"/>
  <c r="Q36" i="12"/>
  <c r="P36" i="12"/>
  <c r="N456" i="12"/>
  <c r="R456" i="12"/>
  <c r="T456" i="12"/>
  <c r="Q456" i="12"/>
  <c r="P456" i="12"/>
  <c r="V456" i="12"/>
  <c r="O456" i="12"/>
  <c r="S456" i="12"/>
  <c r="N390" i="12"/>
  <c r="R390" i="12"/>
  <c r="S390" i="12"/>
  <c r="Q390" i="12"/>
  <c r="O390" i="12"/>
  <c r="U390" i="12"/>
  <c r="T390" i="12"/>
  <c r="N286" i="12"/>
  <c r="U286" i="12"/>
  <c r="T286" i="12"/>
  <c r="Q286" i="12"/>
  <c r="S286" i="12"/>
  <c r="O286" i="12"/>
  <c r="P286" i="12"/>
  <c r="M286" i="12"/>
  <c r="R286" i="12"/>
  <c r="V286" i="12"/>
  <c r="S229" i="12"/>
  <c r="N229" i="12"/>
  <c r="U229" i="12"/>
  <c r="T229" i="12"/>
  <c r="O229" i="12"/>
  <c r="M229" i="12"/>
  <c r="P229" i="12"/>
  <c r="Q229" i="12"/>
  <c r="R229" i="12"/>
  <c r="S78" i="12"/>
  <c r="V78" i="12"/>
  <c r="Q78" i="12"/>
  <c r="O78" i="12"/>
  <c r="T78" i="12"/>
  <c r="P78" i="12"/>
  <c r="N78" i="12"/>
  <c r="R78" i="12"/>
  <c r="R34" i="12"/>
  <c r="N34" i="12"/>
  <c r="T34" i="12"/>
  <c r="U34" i="12"/>
  <c r="M34" i="12"/>
  <c r="O34" i="12"/>
  <c r="S34" i="12"/>
  <c r="P34" i="12"/>
  <c r="V564" i="12"/>
  <c r="M564" i="12"/>
  <c r="P564" i="12"/>
  <c r="O564" i="12"/>
  <c r="S564" i="12"/>
  <c r="T564" i="12"/>
  <c r="N564" i="12"/>
  <c r="T504" i="12"/>
  <c r="U504" i="12"/>
  <c r="P504" i="12"/>
  <c r="N504" i="12"/>
  <c r="V504" i="12"/>
  <c r="S504" i="12"/>
  <c r="Q504" i="12"/>
  <c r="R504" i="12"/>
  <c r="O504" i="12"/>
  <c r="P310" i="12"/>
  <c r="O310" i="12"/>
  <c r="N310" i="12"/>
  <c r="M310" i="12"/>
  <c r="T310" i="12"/>
  <c r="U310" i="12"/>
  <c r="Q310" i="12"/>
  <c r="R310" i="12"/>
  <c r="V310" i="12"/>
  <c r="S310" i="12"/>
  <c r="R272" i="12"/>
  <c r="P272" i="12"/>
  <c r="T272" i="12"/>
  <c r="N272" i="12"/>
  <c r="M272" i="12"/>
  <c r="S272" i="12"/>
  <c r="V272" i="12"/>
  <c r="Q272" i="12"/>
  <c r="U272" i="12"/>
  <c r="O272" i="12"/>
  <c r="O245" i="12"/>
  <c r="M245" i="12"/>
  <c r="Q245" i="12"/>
  <c r="R245" i="12"/>
  <c r="V245" i="12"/>
  <c r="P245" i="12"/>
  <c r="N245" i="12"/>
  <c r="U245" i="12"/>
  <c r="T245" i="12"/>
  <c r="S245" i="12"/>
  <c r="S137" i="12"/>
  <c r="U137" i="12"/>
  <c r="V137" i="12"/>
  <c r="M137" i="12"/>
  <c r="R137" i="12"/>
  <c r="Q137" i="12"/>
  <c r="N137" i="12"/>
  <c r="P137" i="12"/>
  <c r="T137" i="12"/>
  <c r="O137" i="12"/>
  <c r="Q27" i="12"/>
  <c r="O27" i="12"/>
  <c r="S27" i="12"/>
  <c r="U27" i="12"/>
  <c r="M27" i="12"/>
  <c r="T27" i="12"/>
  <c r="N27" i="12"/>
  <c r="P27" i="12"/>
  <c r="R27" i="12"/>
  <c r="R165" i="12"/>
  <c r="U165" i="12"/>
  <c r="S165" i="12"/>
  <c r="Q165" i="12"/>
  <c r="V165" i="12"/>
  <c r="O165" i="12"/>
  <c r="T165" i="12"/>
  <c r="P165" i="12"/>
  <c r="N165" i="12"/>
  <c r="S494" i="12"/>
  <c r="V494" i="12"/>
  <c r="T494" i="12"/>
  <c r="N494" i="12"/>
  <c r="Q494" i="12"/>
  <c r="M494" i="12"/>
  <c r="P494" i="12"/>
  <c r="O494" i="12"/>
  <c r="R494" i="12"/>
  <c r="M352" i="12"/>
  <c r="T352" i="12"/>
  <c r="O352" i="12"/>
  <c r="R352" i="12"/>
  <c r="P352" i="12"/>
  <c r="V352" i="12"/>
  <c r="Q352" i="12"/>
  <c r="S352" i="12"/>
  <c r="N352" i="12"/>
  <c r="T248" i="12"/>
  <c r="U248" i="12"/>
  <c r="S248" i="12"/>
  <c r="N248" i="12"/>
  <c r="O248" i="12"/>
  <c r="M248" i="12"/>
  <c r="Q248" i="12"/>
  <c r="G97" i="12"/>
  <c r="M97" i="12"/>
  <c r="V97" i="12"/>
  <c r="Q97" i="12"/>
  <c r="U97" i="12"/>
  <c r="T97" i="12"/>
  <c r="S97" i="12"/>
  <c r="P97" i="12"/>
  <c r="O97" i="12"/>
  <c r="N97" i="12"/>
  <c r="R97" i="12"/>
  <c r="F97" i="12"/>
  <c r="R337" i="12"/>
  <c r="V337" i="12"/>
  <c r="G337" i="12"/>
  <c r="N337" i="12"/>
  <c r="S337" i="12"/>
  <c r="T337" i="12"/>
  <c r="O337" i="12"/>
  <c r="Q337" i="12"/>
  <c r="P337" i="12"/>
  <c r="M337" i="12"/>
  <c r="S156" i="12"/>
  <c r="T156" i="12"/>
  <c r="R156" i="12"/>
  <c r="O156" i="12"/>
  <c r="P156" i="12"/>
  <c r="U156" i="12"/>
  <c r="V156" i="12"/>
  <c r="M156" i="12"/>
  <c r="N156" i="12"/>
  <c r="Q156" i="12"/>
  <c r="R392" i="12"/>
  <c r="Q392" i="12"/>
  <c r="N392" i="12"/>
  <c r="O392" i="12"/>
  <c r="P392" i="12"/>
  <c r="M392" i="12"/>
  <c r="T392" i="12"/>
  <c r="S392" i="12"/>
  <c r="V392" i="12"/>
  <c r="U392" i="12"/>
  <c r="M316" i="12"/>
  <c r="S316" i="12"/>
  <c r="T316" i="12"/>
  <c r="U316" i="12"/>
  <c r="O316" i="12"/>
  <c r="R316" i="12"/>
  <c r="P316" i="12"/>
  <c r="V316" i="12"/>
  <c r="N316" i="12"/>
  <c r="Q316" i="12"/>
  <c r="U536" i="12"/>
  <c r="S536" i="12"/>
  <c r="T536" i="12"/>
  <c r="Q536" i="12"/>
  <c r="O536" i="12"/>
  <c r="R536" i="12"/>
  <c r="M536" i="12"/>
  <c r="N536" i="12"/>
  <c r="P536" i="12"/>
  <c r="V536" i="12"/>
  <c r="V469" i="12"/>
  <c r="P469" i="12"/>
  <c r="M469" i="12"/>
  <c r="O469" i="12"/>
  <c r="T469" i="12"/>
  <c r="S469" i="12"/>
  <c r="N469" i="12"/>
  <c r="Q469" i="12"/>
  <c r="R469" i="12"/>
  <c r="U469" i="12"/>
  <c r="Q197" i="12"/>
  <c r="V197" i="12"/>
  <c r="U197" i="12"/>
  <c r="P197" i="12"/>
  <c r="R197" i="12"/>
  <c r="O197" i="12"/>
  <c r="N197" i="12"/>
  <c r="T197" i="12"/>
  <c r="S197" i="12"/>
  <c r="M197" i="12"/>
  <c r="M122" i="12"/>
  <c r="V122" i="12"/>
  <c r="Q122" i="12"/>
  <c r="N122" i="12"/>
  <c r="U122" i="12"/>
  <c r="P122" i="12"/>
  <c r="O122" i="12"/>
  <c r="R122" i="12"/>
  <c r="T122" i="12"/>
  <c r="S122" i="12"/>
  <c r="S58" i="12"/>
  <c r="U58" i="12"/>
  <c r="Q58" i="12"/>
  <c r="M58" i="12"/>
  <c r="P58" i="12"/>
  <c r="O58" i="12"/>
  <c r="R58" i="12"/>
  <c r="N58" i="12"/>
  <c r="V58" i="12"/>
  <c r="T58" i="12"/>
  <c r="U432" i="12"/>
  <c r="P432" i="12"/>
  <c r="T432" i="12"/>
  <c r="N432" i="12"/>
  <c r="R432" i="12"/>
  <c r="O432" i="12"/>
  <c r="M432" i="12"/>
  <c r="S432" i="12"/>
  <c r="V432" i="12"/>
  <c r="Q432" i="12"/>
  <c r="N312" i="12"/>
  <c r="R312" i="12"/>
  <c r="V312" i="12"/>
  <c r="Q312" i="12"/>
  <c r="M312" i="12"/>
  <c r="P312" i="12"/>
  <c r="O312" i="12"/>
  <c r="S312" i="12"/>
  <c r="T312" i="12"/>
  <c r="U312" i="12"/>
  <c r="V517" i="12"/>
  <c r="R517" i="12"/>
  <c r="Q517" i="12"/>
  <c r="M517" i="12"/>
  <c r="U517" i="12"/>
  <c r="P517" i="12"/>
  <c r="O517" i="12"/>
  <c r="T517" i="12"/>
  <c r="S517" i="12"/>
  <c r="N517" i="12"/>
  <c r="U68" i="12"/>
  <c r="S68" i="12"/>
  <c r="T68" i="12"/>
  <c r="R68" i="12"/>
  <c r="O68" i="12"/>
  <c r="P68" i="12"/>
  <c r="M68" i="12"/>
  <c r="N68" i="12"/>
  <c r="Q68" i="12"/>
  <c r="V68" i="12"/>
  <c r="V460" i="12"/>
  <c r="P460" i="12"/>
  <c r="O460" i="12"/>
  <c r="S460" i="12"/>
  <c r="T460" i="12"/>
  <c r="N460" i="12"/>
  <c r="U460" i="12"/>
  <c r="M460" i="12"/>
  <c r="Q460" i="12"/>
  <c r="R460" i="12"/>
  <c r="T242" i="12"/>
  <c r="O242" i="12"/>
  <c r="P242" i="12"/>
  <c r="R242" i="12"/>
  <c r="V242" i="12"/>
  <c r="N242" i="12"/>
  <c r="M242" i="12"/>
  <c r="U242" i="12"/>
  <c r="S242" i="12"/>
  <c r="Q242" i="12"/>
  <c r="S569" i="12"/>
  <c r="T569" i="12"/>
  <c r="O569" i="12"/>
  <c r="P569" i="12"/>
  <c r="N569" i="12"/>
  <c r="U569" i="12"/>
  <c r="M569" i="12"/>
  <c r="V569" i="12"/>
  <c r="Q569" i="12"/>
  <c r="R569" i="12"/>
  <c r="U293" i="12"/>
  <c r="M293" i="12"/>
  <c r="Q293" i="12"/>
  <c r="V293" i="12"/>
  <c r="P293" i="12"/>
  <c r="R293" i="12"/>
  <c r="S293" i="12"/>
  <c r="N293" i="12"/>
  <c r="T293" i="12"/>
  <c r="O293" i="12"/>
  <c r="Q121" i="12"/>
  <c r="S121" i="12"/>
  <c r="U121" i="12"/>
  <c r="V121" i="12"/>
  <c r="P121" i="12"/>
  <c r="R121" i="12"/>
  <c r="N121" i="12"/>
  <c r="M121" i="12"/>
  <c r="T121" i="12"/>
  <c r="O121" i="12"/>
  <c r="U533" i="12"/>
  <c r="S533" i="12"/>
  <c r="T533" i="12"/>
  <c r="O533" i="12"/>
  <c r="P533" i="12"/>
  <c r="R533" i="12"/>
  <c r="M533" i="12"/>
  <c r="V533" i="12"/>
  <c r="N533" i="12"/>
  <c r="Q533" i="12"/>
  <c r="N204" i="12"/>
  <c r="S204" i="12"/>
  <c r="V204" i="12"/>
  <c r="T204" i="12"/>
  <c r="M204" i="12"/>
  <c r="U204" i="12"/>
  <c r="R204" i="12"/>
  <c r="Q204" i="12"/>
  <c r="O204" i="12"/>
  <c r="P204" i="12"/>
  <c r="T611" i="12"/>
  <c r="P611" i="12"/>
  <c r="S611" i="12"/>
  <c r="V611" i="12"/>
  <c r="O611" i="12"/>
  <c r="M611" i="12"/>
  <c r="R611" i="12"/>
  <c r="Q611" i="12"/>
  <c r="N611" i="12"/>
  <c r="U611" i="12"/>
  <c r="N597" i="12"/>
  <c r="P597" i="12"/>
  <c r="M597" i="12"/>
  <c r="U597" i="12"/>
  <c r="R597" i="12"/>
  <c r="S597" i="12"/>
  <c r="V597" i="12"/>
  <c r="Q597" i="12"/>
  <c r="O597" i="12"/>
  <c r="T597" i="12"/>
  <c r="T568" i="12"/>
  <c r="Q568" i="12"/>
  <c r="M568" i="12"/>
  <c r="U568" i="12"/>
  <c r="P568" i="12"/>
  <c r="R568" i="12"/>
  <c r="N568" i="12"/>
  <c r="V568" i="12"/>
  <c r="O568" i="12"/>
  <c r="S568" i="12"/>
  <c r="Q540" i="12"/>
  <c r="T540" i="12"/>
  <c r="S540" i="12"/>
  <c r="N540" i="12"/>
  <c r="O540" i="12"/>
  <c r="R540" i="12"/>
  <c r="V540" i="12"/>
  <c r="M540" i="12"/>
  <c r="U540" i="12"/>
  <c r="P540" i="12"/>
  <c r="Q527" i="12"/>
  <c r="P527" i="12"/>
  <c r="N527" i="12"/>
  <c r="O527" i="12"/>
  <c r="R527" i="12"/>
  <c r="U527" i="12"/>
  <c r="S527" i="12"/>
  <c r="T527" i="12"/>
  <c r="V527" i="12"/>
  <c r="M527" i="12"/>
  <c r="O509" i="12"/>
  <c r="R509" i="12"/>
  <c r="S509" i="12"/>
  <c r="N509" i="12"/>
  <c r="T509" i="12"/>
  <c r="M509" i="12"/>
  <c r="U509" i="12"/>
  <c r="Q509" i="12"/>
  <c r="V509" i="12"/>
  <c r="P509" i="12"/>
  <c r="Q501" i="12"/>
  <c r="N501" i="12"/>
  <c r="T501" i="12"/>
  <c r="V501" i="12"/>
  <c r="U501" i="12"/>
  <c r="M501" i="12"/>
  <c r="P501" i="12"/>
  <c r="O501" i="12"/>
  <c r="R501" i="12"/>
  <c r="S501" i="12"/>
  <c r="T489" i="12"/>
  <c r="S489" i="12"/>
  <c r="Q489" i="12"/>
  <c r="V489" i="12"/>
  <c r="U489" i="12"/>
  <c r="P489" i="12"/>
  <c r="R489" i="12"/>
  <c r="N489" i="12"/>
  <c r="O489" i="12"/>
  <c r="M489" i="12"/>
  <c r="R480" i="12"/>
  <c r="Q480" i="12"/>
  <c r="N480" i="12"/>
  <c r="P480" i="12"/>
  <c r="O480" i="12"/>
  <c r="U480" i="12"/>
  <c r="T480" i="12"/>
  <c r="S480" i="12"/>
  <c r="M480" i="12"/>
  <c r="V480" i="12"/>
  <c r="R471" i="12"/>
  <c r="P471" i="12"/>
  <c r="V471" i="12"/>
  <c r="N471" i="12"/>
  <c r="U471" i="12"/>
  <c r="M471" i="12"/>
  <c r="S471" i="12"/>
  <c r="T471" i="12"/>
  <c r="Q471" i="12"/>
  <c r="O471" i="12"/>
  <c r="T461" i="12"/>
  <c r="Q461" i="12"/>
  <c r="O461" i="12"/>
  <c r="V461" i="12"/>
  <c r="N461" i="12"/>
  <c r="R461" i="12"/>
  <c r="U461" i="12"/>
  <c r="S461" i="12"/>
  <c r="P461" i="12"/>
  <c r="S445" i="12"/>
  <c r="P445" i="12"/>
  <c r="U445" i="12"/>
  <c r="Q445" i="12"/>
  <c r="M445" i="12"/>
  <c r="T445" i="12"/>
  <c r="O445" i="12"/>
  <c r="V445" i="12"/>
  <c r="N445" i="12"/>
  <c r="R445" i="12"/>
  <c r="T429" i="12"/>
  <c r="O429" i="12"/>
  <c r="P429" i="12"/>
  <c r="U429" i="12"/>
  <c r="S429" i="12"/>
  <c r="N429" i="12"/>
  <c r="R429" i="12"/>
  <c r="V429" i="12"/>
  <c r="Q429" i="12"/>
  <c r="T414" i="12"/>
  <c r="R414" i="12"/>
  <c r="P414" i="12"/>
  <c r="V414" i="12"/>
  <c r="M414" i="12"/>
  <c r="U414" i="12"/>
  <c r="O414" i="12"/>
  <c r="S414" i="12"/>
  <c r="Q414" i="12"/>
  <c r="N414" i="12"/>
  <c r="T405" i="12"/>
  <c r="O405" i="12"/>
  <c r="U405" i="12"/>
  <c r="Q405" i="12"/>
  <c r="P405" i="12"/>
  <c r="V405" i="12"/>
  <c r="R405" i="12"/>
  <c r="S405" i="12"/>
  <c r="N405" i="12"/>
  <c r="N398" i="12"/>
  <c r="R398" i="12"/>
  <c r="P398" i="12"/>
  <c r="M398" i="12"/>
  <c r="S398" i="12"/>
  <c r="T398" i="12"/>
  <c r="Q398" i="12"/>
  <c r="O398" i="12"/>
  <c r="U398" i="12"/>
  <c r="T385" i="12"/>
  <c r="O385" i="12"/>
  <c r="N385" i="12"/>
  <c r="M385" i="12"/>
  <c r="S385" i="12"/>
  <c r="R385" i="12"/>
  <c r="P385" i="12"/>
  <c r="V385" i="12"/>
  <c r="Q385" i="12"/>
  <c r="Q372" i="12"/>
  <c r="O372" i="12"/>
  <c r="N372" i="12"/>
  <c r="R372" i="12"/>
  <c r="P372" i="12"/>
  <c r="T372" i="12"/>
  <c r="M372" i="12"/>
  <c r="V372" i="12"/>
  <c r="S372" i="12"/>
  <c r="S326" i="12"/>
  <c r="P326" i="12"/>
  <c r="U326" i="12"/>
  <c r="R326" i="12"/>
  <c r="T326" i="12"/>
  <c r="Q326" i="12"/>
  <c r="M326" i="12"/>
  <c r="O326" i="12"/>
  <c r="N326" i="12"/>
  <c r="N305" i="12"/>
  <c r="T305" i="12"/>
  <c r="R305" i="12"/>
  <c r="P305" i="12"/>
  <c r="U305" i="12"/>
  <c r="S305" i="12"/>
  <c r="O305" i="12"/>
  <c r="M305" i="12"/>
  <c r="Q305" i="12"/>
  <c r="T279" i="12"/>
  <c r="P279" i="12"/>
  <c r="Q279" i="12"/>
  <c r="M279" i="12"/>
  <c r="V279" i="12"/>
  <c r="N279" i="12"/>
  <c r="R279" i="12"/>
  <c r="S279" i="12"/>
  <c r="O279" i="12"/>
  <c r="S261" i="12"/>
  <c r="T261" i="12"/>
  <c r="R261" i="12"/>
  <c r="P261" i="12"/>
  <c r="V261" i="12"/>
  <c r="N261" i="12"/>
  <c r="U261" i="12"/>
  <c r="M261" i="12"/>
  <c r="O261" i="12"/>
  <c r="M240" i="12"/>
  <c r="S240" i="12"/>
  <c r="O240" i="12"/>
  <c r="N240" i="12"/>
  <c r="V240" i="12"/>
  <c r="T240" i="12"/>
  <c r="Q240" i="12"/>
  <c r="P240" i="12"/>
  <c r="R240" i="12"/>
  <c r="U240" i="12"/>
  <c r="R235" i="12"/>
  <c r="M235" i="12"/>
  <c r="S235" i="12"/>
  <c r="P235" i="12"/>
  <c r="T235" i="12"/>
  <c r="N235" i="12"/>
  <c r="O235" i="12"/>
  <c r="V235" i="12"/>
  <c r="U235" i="12"/>
  <c r="Q235" i="12"/>
  <c r="T206" i="12"/>
  <c r="Q206" i="12"/>
  <c r="P206" i="12"/>
  <c r="M206" i="12"/>
  <c r="S206" i="12"/>
  <c r="N206" i="12"/>
  <c r="O206" i="12"/>
  <c r="R206" i="12"/>
  <c r="U206" i="12"/>
  <c r="V206" i="12"/>
  <c r="Q190" i="12"/>
  <c r="P190" i="12"/>
  <c r="U190" i="12"/>
  <c r="N190" i="12"/>
  <c r="V190" i="12"/>
  <c r="M190" i="12"/>
  <c r="O190" i="12"/>
  <c r="T190" i="12"/>
  <c r="R190" i="12"/>
  <c r="S190" i="12"/>
  <c r="T174" i="12"/>
  <c r="O174" i="12"/>
  <c r="U174" i="12"/>
  <c r="M174" i="12"/>
  <c r="F174" i="12"/>
  <c r="G174" i="12"/>
  <c r="Q174" i="12"/>
  <c r="R174" i="12"/>
  <c r="V174" i="12"/>
  <c r="P174" i="12"/>
  <c r="N174" i="12"/>
  <c r="S174" i="12"/>
  <c r="T164" i="12"/>
  <c r="N164" i="12"/>
  <c r="Q164" i="12"/>
  <c r="O164" i="12"/>
  <c r="P164" i="12"/>
  <c r="M164" i="12"/>
  <c r="S164" i="12"/>
  <c r="R164" i="12"/>
  <c r="U164" i="12"/>
  <c r="V164" i="12"/>
  <c r="T157" i="12"/>
  <c r="N157" i="12"/>
  <c r="S157" i="12"/>
  <c r="M157" i="12"/>
  <c r="O157" i="12"/>
  <c r="R157" i="12"/>
  <c r="P157" i="12"/>
  <c r="U157" i="12"/>
  <c r="Q157" i="12"/>
  <c r="T142" i="12"/>
  <c r="O142" i="12"/>
  <c r="U142" i="12"/>
  <c r="Q142" i="12"/>
  <c r="S142" i="12"/>
  <c r="N142" i="12"/>
  <c r="P142" i="12"/>
  <c r="V142" i="12"/>
  <c r="R142" i="12"/>
  <c r="P131" i="12"/>
  <c r="N131" i="12"/>
  <c r="O131" i="12"/>
  <c r="R131" i="12"/>
  <c r="Q131" i="12"/>
  <c r="M131" i="12"/>
  <c r="T131" i="12"/>
  <c r="U131" i="12"/>
  <c r="S131" i="12"/>
  <c r="P120" i="12"/>
  <c r="N120" i="12"/>
  <c r="O120" i="12"/>
  <c r="R120" i="12"/>
  <c r="U120" i="12"/>
  <c r="S120" i="12"/>
  <c r="T120" i="12"/>
  <c r="M120" i="12"/>
  <c r="Q120" i="12"/>
  <c r="V120" i="12"/>
  <c r="N106" i="12"/>
  <c r="O106" i="12"/>
  <c r="V106" i="12"/>
  <c r="Q106" i="12"/>
  <c r="T106" i="12"/>
  <c r="P106" i="12"/>
  <c r="R106" i="12"/>
  <c r="T99" i="12"/>
  <c r="V99" i="12"/>
  <c r="P99" i="12"/>
  <c r="U99" i="12"/>
  <c r="O99" i="12"/>
  <c r="N99" i="12"/>
  <c r="Q99" i="12"/>
  <c r="S82" i="12"/>
  <c r="O82" i="12"/>
  <c r="T82" i="12"/>
  <c r="N82" i="12"/>
  <c r="P82" i="12"/>
  <c r="U82" i="12"/>
  <c r="V82" i="12"/>
  <c r="Q82" i="12"/>
  <c r="M74" i="12"/>
  <c r="N74" i="12"/>
  <c r="R74" i="12"/>
  <c r="V74" i="12"/>
  <c r="S74" i="12"/>
  <c r="U74" i="12"/>
  <c r="T74" i="12"/>
  <c r="P74" i="12"/>
  <c r="O74" i="12"/>
  <c r="O52" i="12"/>
  <c r="S52" i="12"/>
  <c r="V52" i="12"/>
  <c r="P52" i="12"/>
  <c r="Q52" i="12"/>
  <c r="T52" i="12"/>
  <c r="N52" i="12"/>
  <c r="R52" i="12"/>
  <c r="M52" i="12"/>
  <c r="Q493" i="12"/>
  <c r="N493" i="12"/>
  <c r="V493" i="12"/>
  <c r="O493" i="12"/>
  <c r="P493" i="12"/>
  <c r="T493" i="12"/>
  <c r="O347" i="12"/>
  <c r="R347" i="12"/>
  <c r="N347" i="12"/>
  <c r="T347" i="12"/>
  <c r="S347" i="12"/>
  <c r="P347" i="12"/>
  <c r="V347" i="12"/>
  <c r="U559" i="12"/>
  <c r="M559" i="12"/>
  <c r="P559" i="12"/>
  <c r="T559" i="12"/>
  <c r="Q559" i="12"/>
  <c r="S559" i="12"/>
  <c r="O559" i="12"/>
  <c r="R559" i="12"/>
  <c r="N559" i="12"/>
  <c r="R273" i="12"/>
  <c r="N273" i="12"/>
  <c r="O273" i="12"/>
  <c r="S273" i="12"/>
  <c r="Q273" i="12"/>
  <c r="T273" i="12"/>
  <c r="R183" i="12"/>
  <c r="U183" i="12"/>
  <c r="S183" i="12"/>
  <c r="Q183" i="12"/>
  <c r="O183" i="12"/>
  <c r="T183" i="12"/>
  <c r="P581" i="12"/>
  <c r="O581" i="12"/>
  <c r="S581" i="12"/>
  <c r="R581" i="12"/>
  <c r="T581" i="12"/>
  <c r="N581" i="12"/>
  <c r="U581" i="12"/>
  <c r="Q581" i="12"/>
  <c r="M581" i="12"/>
  <c r="V386" i="12"/>
  <c r="O386" i="12"/>
  <c r="P386" i="12"/>
  <c r="T386" i="12"/>
  <c r="U386" i="12"/>
  <c r="R386" i="12"/>
  <c r="Q386" i="12"/>
  <c r="N386" i="12"/>
  <c r="M386" i="12"/>
  <c r="S386" i="12"/>
  <c r="R234" i="12"/>
  <c r="O234" i="12"/>
  <c r="V234" i="12"/>
  <c r="S234" i="12"/>
  <c r="Q234" i="12"/>
  <c r="T234" i="12"/>
  <c r="T507" i="12"/>
  <c r="O507" i="12"/>
  <c r="N507" i="12"/>
  <c r="M507" i="12"/>
  <c r="Q507" i="12"/>
  <c r="S507" i="12"/>
  <c r="S154" i="12"/>
  <c r="P154" i="12"/>
  <c r="O154" i="12"/>
  <c r="T154" i="12"/>
  <c r="N154" i="12"/>
  <c r="R154" i="12"/>
  <c r="Q539" i="12"/>
  <c r="S539" i="12"/>
  <c r="P539" i="12"/>
  <c r="R539" i="12"/>
  <c r="T539" i="12"/>
  <c r="O539" i="12"/>
  <c r="N539" i="12"/>
  <c r="Q210" i="12"/>
  <c r="O210" i="12"/>
  <c r="P210" i="12"/>
  <c r="M210" i="12"/>
  <c r="S210" i="12"/>
  <c r="F210" i="12"/>
  <c r="AC210" i="12" s="1"/>
  <c r="N210" i="12"/>
  <c r="R210" i="12"/>
  <c r="V210" i="12"/>
  <c r="U210" i="12"/>
  <c r="T210" i="12"/>
  <c r="T479" i="12"/>
  <c r="O479" i="12"/>
  <c r="U479" i="12"/>
  <c r="S479" i="12"/>
  <c r="N479" i="12"/>
  <c r="R479" i="12"/>
  <c r="R200" i="12"/>
  <c r="O200" i="12"/>
  <c r="U200" i="12"/>
  <c r="Q200" i="12"/>
  <c r="N200" i="12"/>
  <c r="T200" i="12"/>
  <c r="S200" i="12"/>
  <c r="Q477" i="12"/>
  <c r="N477" i="12"/>
  <c r="P477" i="12"/>
  <c r="V477" i="12"/>
  <c r="T477" i="12"/>
  <c r="M477" i="12"/>
  <c r="U477" i="12"/>
  <c r="O477" i="12"/>
  <c r="R477" i="12"/>
  <c r="N357" i="12"/>
  <c r="T357" i="12"/>
  <c r="S357" i="12"/>
  <c r="R357" i="12"/>
  <c r="P357" i="12"/>
  <c r="V357" i="12"/>
  <c r="O357" i="12"/>
  <c r="Q357" i="12"/>
  <c r="M357" i="12"/>
  <c r="S133" i="12"/>
  <c r="M133" i="12"/>
  <c r="P133" i="12"/>
  <c r="O133" i="12"/>
  <c r="N133" i="12"/>
  <c r="R133" i="12"/>
  <c r="T133" i="12"/>
  <c r="U133" i="12"/>
  <c r="O532" i="12"/>
  <c r="T532" i="12"/>
  <c r="U532" i="12"/>
  <c r="N532" i="12"/>
  <c r="Q532" i="12"/>
  <c r="M532" i="12"/>
  <c r="P532" i="12"/>
  <c r="S532" i="12"/>
  <c r="V532" i="12"/>
  <c r="R532" i="12"/>
  <c r="T256" i="12"/>
  <c r="V256" i="12"/>
  <c r="O256" i="12"/>
  <c r="R256" i="12"/>
  <c r="P256" i="12"/>
  <c r="N256" i="12"/>
  <c r="U256" i="12"/>
  <c r="S256" i="12"/>
  <c r="V193" i="12"/>
  <c r="R193" i="12"/>
  <c r="S193" i="12"/>
  <c r="T193" i="12"/>
  <c r="O193" i="12"/>
  <c r="N193" i="12"/>
  <c r="Q193" i="12"/>
  <c r="P193" i="12"/>
  <c r="N111" i="12"/>
  <c r="Q111" i="12"/>
  <c r="U111" i="12"/>
  <c r="M111" i="12"/>
  <c r="O111" i="12"/>
  <c r="P111" i="12"/>
  <c r="S111" i="12"/>
  <c r="T111" i="12"/>
  <c r="V30" i="12"/>
  <c r="S30" i="12"/>
  <c r="P30" i="12"/>
  <c r="T30" i="12"/>
  <c r="O30" i="12"/>
  <c r="U30" i="12"/>
  <c r="R30" i="12"/>
  <c r="N30" i="12"/>
  <c r="Q30" i="12"/>
  <c r="N592" i="12"/>
  <c r="Q592" i="12"/>
  <c r="O592" i="12"/>
  <c r="P592" i="12"/>
  <c r="M592" i="12"/>
  <c r="U592" i="12"/>
  <c r="T592" i="12"/>
  <c r="R592" i="12"/>
  <c r="V592" i="12"/>
  <c r="P518" i="12"/>
  <c r="M518" i="12"/>
  <c r="O518" i="12"/>
  <c r="Q518" i="12"/>
  <c r="N518" i="12"/>
  <c r="S518" i="12"/>
  <c r="T518" i="12"/>
  <c r="P444" i="12"/>
  <c r="R444" i="12"/>
  <c r="N444" i="12"/>
  <c r="S444" i="12"/>
  <c r="T444" i="12"/>
  <c r="O444" i="12"/>
  <c r="U444" i="12"/>
  <c r="V444" i="12"/>
  <c r="P251" i="12"/>
  <c r="Q251" i="12"/>
  <c r="R251" i="12"/>
  <c r="M251" i="12"/>
  <c r="N251" i="12"/>
  <c r="T251" i="12"/>
  <c r="O251" i="12"/>
  <c r="S251" i="12"/>
  <c r="U251" i="12"/>
  <c r="Q490" i="12"/>
  <c r="N490" i="12"/>
  <c r="R490" i="12"/>
  <c r="M490" i="12"/>
  <c r="O490" i="12"/>
  <c r="V490" i="12"/>
  <c r="T490" i="12"/>
  <c r="S490" i="12"/>
  <c r="T298" i="12"/>
  <c r="N298" i="12"/>
  <c r="O298" i="12"/>
  <c r="S298" i="12"/>
  <c r="U298" i="12"/>
  <c r="R298" i="12"/>
  <c r="O139" i="12"/>
  <c r="Q139" i="12"/>
  <c r="U139" i="12"/>
  <c r="V139" i="12"/>
  <c r="M139" i="12"/>
  <c r="P139" i="12"/>
  <c r="T139" i="12"/>
  <c r="Q428" i="12"/>
  <c r="M428" i="12"/>
  <c r="T428" i="12"/>
  <c r="R428" i="12"/>
  <c r="O428" i="12"/>
  <c r="P428" i="12"/>
  <c r="N428" i="12"/>
  <c r="S428" i="12"/>
  <c r="R238" i="12"/>
  <c r="P238" i="12"/>
  <c r="S238" i="12"/>
  <c r="O238" i="12"/>
  <c r="N238" i="12"/>
  <c r="T238" i="12"/>
  <c r="M238" i="12"/>
  <c r="Q55" i="12"/>
  <c r="O55" i="12"/>
  <c r="T55" i="12"/>
  <c r="N55" i="12"/>
  <c r="P55" i="12"/>
  <c r="V55" i="12"/>
  <c r="V555" i="12"/>
  <c r="N555" i="12"/>
  <c r="R555" i="12"/>
  <c r="P555" i="12"/>
  <c r="M555" i="12"/>
  <c r="U555" i="12"/>
  <c r="R551" i="12"/>
  <c r="N551" i="12"/>
  <c r="V551" i="12"/>
  <c r="S551" i="12"/>
  <c r="U551" i="12"/>
  <c r="M551" i="12"/>
  <c r="T551" i="12"/>
  <c r="Q551" i="12"/>
  <c r="O551" i="12"/>
  <c r="P551" i="12"/>
  <c r="M473" i="12"/>
  <c r="T473" i="12"/>
  <c r="Q473" i="12"/>
  <c r="O473" i="12"/>
  <c r="N473" i="12"/>
  <c r="P473" i="12"/>
  <c r="U473" i="12"/>
  <c r="V473" i="12"/>
  <c r="R473" i="12"/>
  <c r="S473" i="12"/>
  <c r="O281" i="12"/>
  <c r="U281" i="12"/>
  <c r="R281" i="12"/>
  <c r="N281" i="12"/>
  <c r="T281" i="12"/>
  <c r="S281" i="12"/>
  <c r="M281" i="12"/>
  <c r="P281" i="12"/>
  <c r="V281" i="12"/>
  <c r="Q281" i="12"/>
  <c r="T170" i="12"/>
  <c r="N170" i="12"/>
  <c r="R170" i="12"/>
  <c r="O170" i="12"/>
  <c r="P170" i="12"/>
  <c r="S170" i="12"/>
  <c r="V170" i="12"/>
  <c r="M170" i="12"/>
  <c r="U170" i="12"/>
  <c r="Q170" i="12"/>
  <c r="S244" i="12"/>
  <c r="T244" i="12"/>
  <c r="Q244" i="12"/>
  <c r="O244" i="12"/>
  <c r="P244" i="12"/>
  <c r="N244" i="12"/>
  <c r="R244" i="12"/>
  <c r="U244" i="12"/>
  <c r="M244" i="12"/>
  <c r="V244" i="12"/>
  <c r="S578" i="12"/>
  <c r="T578" i="12"/>
  <c r="N578" i="12"/>
  <c r="Q578" i="12"/>
  <c r="O578" i="12"/>
  <c r="M578" i="12"/>
  <c r="V578" i="12"/>
  <c r="R578" i="12"/>
  <c r="P578" i="12"/>
  <c r="U578" i="12"/>
  <c r="S436" i="12"/>
  <c r="T436" i="12"/>
  <c r="N436" i="12"/>
  <c r="Q436" i="12"/>
  <c r="O436" i="12"/>
  <c r="P436" i="12"/>
  <c r="V436" i="12"/>
  <c r="R436" i="12"/>
  <c r="U436" i="12"/>
  <c r="M436" i="12"/>
  <c r="S435" i="12"/>
  <c r="T435" i="12"/>
  <c r="Q435" i="12"/>
  <c r="O435" i="12"/>
  <c r="R435" i="12"/>
  <c r="V435" i="12"/>
  <c r="M435" i="12"/>
  <c r="N435" i="12"/>
  <c r="P435" i="12"/>
  <c r="U435" i="12"/>
  <c r="S311" i="12"/>
  <c r="T311" i="12"/>
  <c r="Q311" i="12"/>
  <c r="R311" i="12"/>
  <c r="O311" i="12"/>
  <c r="U311" i="12"/>
  <c r="V311" i="12"/>
  <c r="N311" i="12"/>
  <c r="P311" i="12"/>
  <c r="M311" i="12"/>
  <c r="S503" i="12"/>
  <c r="T503" i="12"/>
  <c r="N503" i="12"/>
  <c r="Q503" i="12"/>
  <c r="O503" i="12"/>
  <c r="P503" i="12"/>
  <c r="U503" i="12"/>
  <c r="R503" i="12"/>
  <c r="V503" i="12"/>
  <c r="M503" i="12"/>
  <c r="T134" i="12"/>
  <c r="S134" i="12"/>
  <c r="Q134" i="12"/>
  <c r="O134" i="12"/>
  <c r="P134" i="12"/>
  <c r="V134" i="12"/>
  <c r="N134" i="12"/>
  <c r="R134" i="12"/>
  <c r="U134" i="12"/>
  <c r="M134" i="12"/>
  <c r="T374" i="12"/>
  <c r="N374" i="12"/>
  <c r="S374" i="12"/>
  <c r="Q374" i="12"/>
  <c r="O374" i="12"/>
  <c r="P374" i="12"/>
  <c r="V374" i="12"/>
  <c r="R374" i="12"/>
  <c r="M374" i="12"/>
  <c r="U374" i="12"/>
  <c r="S313" i="12"/>
  <c r="T313" i="12"/>
  <c r="Q313" i="12"/>
  <c r="R313" i="12"/>
  <c r="O313" i="12"/>
  <c r="P313" i="12"/>
  <c r="U313" i="12"/>
  <c r="M313" i="12"/>
  <c r="V313" i="12"/>
  <c r="N313" i="12"/>
  <c r="T299" i="12"/>
  <c r="N299" i="12"/>
  <c r="O299" i="12"/>
  <c r="U299" i="12"/>
  <c r="P299" i="12"/>
  <c r="M299" i="12"/>
  <c r="V299" i="12"/>
  <c r="S299" i="12"/>
  <c r="Q299" i="12"/>
  <c r="R299" i="12"/>
  <c r="T243" i="12"/>
  <c r="S243" i="12"/>
  <c r="R243" i="12"/>
  <c r="O243" i="12"/>
  <c r="P243" i="12"/>
  <c r="M243" i="12"/>
  <c r="N243" i="12"/>
  <c r="Q243" i="12"/>
  <c r="U243" i="12"/>
  <c r="V243" i="12"/>
  <c r="T214" i="12"/>
  <c r="Q214" i="12"/>
  <c r="O214" i="12"/>
  <c r="M214" i="12"/>
  <c r="U214" i="12"/>
  <c r="V214" i="12"/>
  <c r="N214" i="12"/>
  <c r="S214" i="12"/>
  <c r="R214" i="12"/>
  <c r="P214" i="12"/>
  <c r="S150" i="12"/>
  <c r="T150" i="12"/>
  <c r="O150" i="12"/>
  <c r="R150" i="12"/>
  <c r="U150" i="12"/>
  <c r="N150" i="12"/>
  <c r="Q150" i="12"/>
  <c r="P150" i="12"/>
  <c r="M150" i="12"/>
  <c r="V150" i="12"/>
  <c r="S129" i="12"/>
  <c r="T129" i="12"/>
  <c r="N129" i="12"/>
  <c r="O129" i="12"/>
  <c r="R129" i="12"/>
  <c r="P129" i="12"/>
  <c r="U129" i="12"/>
  <c r="V129" i="12"/>
  <c r="Q129" i="12"/>
  <c r="M129" i="12"/>
  <c r="T109" i="12"/>
  <c r="N109" i="12"/>
  <c r="S109" i="12"/>
  <c r="R109" i="12"/>
  <c r="O109" i="12"/>
  <c r="P109" i="12"/>
  <c r="U109" i="12"/>
  <c r="V109" i="12"/>
  <c r="Q109" i="12"/>
  <c r="M109" i="12"/>
  <c r="S102" i="12"/>
  <c r="T102" i="12"/>
  <c r="R102" i="12"/>
  <c r="O102" i="12"/>
  <c r="P102" i="12"/>
  <c r="M102" i="12"/>
  <c r="N102" i="12"/>
  <c r="Q102" i="12"/>
  <c r="U102" i="12"/>
  <c r="V102" i="12"/>
  <c r="S65" i="12"/>
  <c r="T65" i="12"/>
  <c r="N65" i="12"/>
  <c r="O65" i="12"/>
  <c r="V65" i="12"/>
  <c r="M65" i="12"/>
  <c r="Q65" i="12"/>
  <c r="R65" i="12"/>
  <c r="P65" i="12"/>
  <c r="U65" i="12"/>
  <c r="S45" i="12"/>
  <c r="T45" i="12"/>
  <c r="O45" i="12"/>
  <c r="R45" i="12"/>
  <c r="U45" i="12"/>
  <c r="N45" i="12"/>
  <c r="Q45" i="12"/>
  <c r="P45" i="12"/>
  <c r="V45" i="12"/>
  <c r="M45" i="12"/>
  <c r="T28" i="12"/>
  <c r="R28" i="12"/>
  <c r="O28" i="12"/>
  <c r="P28" i="12"/>
  <c r="V28" i="12"/>
  <c r="N28" i="12"/>
  <c r="S28" i="12"/>
  <c r="Q28" i="12"/>
  <c r="U28" i="12"/>
  <c r="M28" i="12"/>
  <c r="S217" i="12"/>
  <c r="T217" i="12"/>
  <c r="R217" i="12"/>
  <c r="O217" i="12"/>
  <c r="N217" i="12"/>
  <c r="Q217" i="12"/>
  <c r="P217" i="12"/>
  <c r="U217" i="12"/>
  <c r="V217" i="12"/>
  <c r="M217" i="12"/>
  <c r="S87" i="12"/>
  <c r="T87" i="12"/>
  <c r="M87" i="12"/>
  <c r="O87" i="12"/>
  <c r="P87" i="12"/>
  <c r="R87" i="12"/>
  <c r="N87" i="12"/>
  <c r="Q87" i="12"/>
  <c r="U87" i="12"/>
  <c r="V87" i="12"/>
  <c r="M584" i="12"/>
  <c r="U584" i="12"/>
  <c r="S584" i="12"/>
  <c r="Q584" i="12"/>
  <c r="O584" i="12"/>
  <c r="N584" i="12"/>
  <c r="V584" i="12"/>
  <c r="T584" i="12"/>
  <c r="R584" i="12"/>
  <c r="P584" i="12"/>
  <c r="T545" i="12"/>
  <c r="S545" i="12"/>
  <c r="O545" i="12"/>
  <c r="N545" i="12"/>
  <c r="R545" i="12"/>
  <c r="P545" i="12"/>
  <c r="V545" i="12"/>
  <c r="Q545" i="12"/>
  <c r="M545" i="12"/>
  <c r="U545" i="12"/>
  <c r="S487" i="12"/>
  <c r="T487" i="12"/>
  <c r="Q487" i="12"/>
  <c r="R487" i="12"/>
  <c r="O487" i="12"/>
  <c r="M487" i="12"/>
  <c r="P487" i="12"/>
  <c r="U487" i="12"/>
  <c r="V487" i="12"/>
  <c r="N487" i="12"/>
  <c r="S451" i="12"/>
  <c r="T451" i="12"/>
  <c r="O451" i="12"/>
  <c r="R451" i="12"/>
  <c r="N451" i="12"/>
  <c r="Q451" i="12"/>
  <c r="P451" i="12"/>
  <c r="M451" i="12"/>
  <c r="V451" i="12"/>
  <c r="U451" i="12"/>
  <c r="F451" i="12"/>
  <c r="G451" i="12"/>
  <c r="U369" i="12"/>
  <c r="M369" i="12"/>
  <c r="P369" i="12"/>
  <c r="O369" i="12"/>
  <c r="Q369" i="12"/>
  <c r="N369" i="12"/>
  <c r="T369" i="12"/>
  <c r="S369" i="12"/>
  <c r="R369" i="12"/>
  <c r="V369" i="12"/>
  <c r="O218" i="12"/>
  <c r="R218" i="12"/>
  <c r="S218" i="12"/>
  <c r="T218" i="12"/>
  <c r="P218" i="12"/>
  <c r="N218" i="12"/>
  <c r="Q218" i="12"/>
  <c r="U218" i="12"/>
  <c r="V218" i="12"/>
  <c r="M218" i="12"/>
  <c r="S145" i="12"/>
  <c r="T145" i="12"/>
  <c r="Q145" i="12"/>
  <c r="O145" i="12"/>
  <c r="P145" i="12"/>
  <c r="M145" i="12"/>
  <c r="R145" i="12"/>
  <c r="N145" i="12"/>
  <c r="V145" i="12"/>
  <c r="U145" i="12"/>
  <c r="S67" i="12"/>
  <c r="T67" i="12"/>
  <c r="N67" i="12"/>
  <c r="R67" i="12"/>
  <c r="O67" i="12"/>
  <c r="P67" i="12"/>
  <c r="V67" i="12"/>
  <c r="M67" i="12"/>
  <c r="U67" i="12"/>
  <c r="Q67" i="12"/>
  <c r="T35" i="12"/>
  <c r="N35" i="12"/>
  <c r="Q35" i="12"/>
  <c r="O35" i="12"/>
  <c r="P35" i="12"/>
  <c r="U35" i="12"/>
  <c r="V35" i="12"/>
  <c r="M35" i="12"/>
  <c r="S35" i="12"/>
  <c r="R35" i="12"/>
  <c r="T306" i="12"/>
  <c r="S306" i="12"/>
  <c r="O306" i="12"/>
  <c r="P306" i="12"/>
  <c r="U306" i="12"/>
  <c r="N306" i="12"/>
  <c r="Q306" i="12"/>
  <c r="R306" i="12"/>
  <c r="M306" i="12"/>
  <c r="V306" i="12"/>
  <c r="S389" i="12"/>
  <c r="T389" i="12"/>
  <c r="R389" i="12"/>
  <c r="O389" i="12"/>
  <c r="P389" i="12"/>
  <c r="N389" i="12"/>
  <c r="Q389" i="12"/>
  <c r="U389" i="12"/>
  <c r="V389" i="12"/>
  <c r="M389" i="12"/>
  <c r="T572" i="12"/>
  <c r="S572" i="12"/>
  <c r="Q572" i="12"/>
  <c r="R572" i="12"/>
  <c r="O572" i="12"/>
  <c r="P572" i="12"/>
  <c r="V572" i="12"/>
  <c r="N572" i="12"/>
  <c r="U572" i="12"/>
  <c r="M572" i="12"/>
  <c r="N412" i="12"/>
  <c r="S412" i="12"/>
  <c r="T412" i="12"/>
  <c r="O412" i="12"/>
  <c r="R412" i="12"/>
  <c r="P412" i="12"/>
  <c r="U412" i="12"/>
  <c r="Q412" i="12"/>
  <c r="V412" i="12"/>
  <c r="M412" i="12"/>
  <c r="T185" i="12"/>
  <c r="N185" i="12"/>
  <c r="Q185" i="12"/>
  <c r="R185" i="12"/>
  <c r="S185" i="12"/>
  <c r="O185" i="12"/>
  <c r="U185" i="12"/>
  <c r="M185" i="12"/>
  <c r="V185" i="12"/>
  <c r="P185" i="12"/>
  <c r="R75" i="12"/>
  <c r="S75" i="12"/>
  <c r="T75" i="12"/>
  <c r="N75" i="12"/>
  <c r="Q75" i="12"/>
  <c r="O75" i="12"/>
  <c r="P75" i="12"/>
  <c r="V75" i="12"/>
  <c r="M75" i="12"/>
  <c r="U75" i="12"/>
  <c r="T508" i="12"/>
  <c r="P508" i="12"/>
  <c r="N508" i="12"/>
  <c r="Q508" i="12"/>
  <c r="M508" i="12"/>
  <c r="S508" i="12"/>
  <c r="R508" i="12"/>
  <c r="O508" i="12"/>
  <c r="U508" i="12"/>
  <c r="V508" i="12"/>
  <c r="M404" i="12"/>
  <c r="S404" i="12"/>
  <c r="T404" i="12"/>
  <c r="N404" i="12"/>
  <c r="Q404" i="12"/>
  <c r="U404" i="12"/>
  <c r="V404" i="12"/>
  <c r="R404" i="12"/>
  <c r="O404" i="12"/>
  <c r="P404" i="12"/>
  <c r="U523" i="12"/>
  <c r="S523" i="12"/>
  <c r="N523" i="12"/>
  <c r="Q523" i="12"/>
  <c r="R523" i="12"/>
  <c r="T523" i="12"/>
  <c r="O523" i="12"/>
  <c r="M523" i="12"/>
  <c r="V523" i="12"/>
  <c r="P523" i="12"/>
  <c r="T410" i="12"/>
  <c r="Q410" i="12"/>
  <c r="U410" i="12"/>
  <c r="V410" i="12"/>
  <c r="M410" i="12"/>
  <c r="S410" i="12"/>
  <c r="N410" i="12"/>
  <c r="P410" i="12"/>
  <c r="O410" i="12"/>
  <c r="R410" i="12"/>
  <c r="V162" i="12"/>
  <c r="U162" i="12"/>
  <c r="R162" i="12"/>
  <c r="N162" i="12"/>
  <c r="T162" i="12"/>
  <c r="S162" i="12"/>
  <c r="Q162" i="12"/>
  <c r="O162" i="12"/>
  <c r="P162" i="12"/>
  <c r="M162" i="12"/>
  <c r="S49" i="12"/>
  <c r="U49" i="12"/>
  <c r="O49" i="12"/>
  <c r="R49" i="12"/>
  <c r="P49" i="12"/>
  <c r="Q49" i="12"/>
  <c r="N49" i="12"/>
  <c r="T49" i="12"/>
  <c r="V49" i="12"/>
  <c r="M49" i="12"/>
  <c r="T596" i="12"/>
  <c r="S596" i="12"/>
  <c r="N596" i="12"/>
  <c r="V596" i="12"/>
  <c r="M596" i="12"/>
  <c r="U596" i="12"/>
  <c r="P596" i="12"/>
  <c r="O596" i="12"/>
  <c r="R596" i="12"/>
  <c r="Q596" i="12"/>
  <c r="T327" i="12"/>
  <c r="U327" i="12"/>
  <c r="M327" i="12"/>
  <c r="P327" i="12"/>
  <c r="N327" i="12"/>
  <c r="R327" i="12"/>
  <c r="O327" i="12"/>
  <c r="Q327" i="12"/>
  <c r="S327" i="12"/>
  <c r="V327" i="12"/>
  <c r="T53" i="12"/>
  <c r="V53" i="12"/>
  <c r="O53" i="12"/>
  <c r="P53" i="12"/>
  <c r="U53" i="12"/>
  <c r="R53" i="12"/>
  <c r="S53" i="12"/>
  <c r="N53" i="12"/>
  <c r="Q53" i="12"/>
  <c r="M53" i="12"/>
  <c r="P343" i="12"/>
  <c r="M343" i="12"/>
  <c r="U343" i="12"/>
  <c r="N343" i="12"/>
  <c r="R343" i="12"/>
  <c r="V343" i="12"/>
  <c r="S343" i="12"/>
  <c r="T343" i="12"/>
  <c r="Q343" i="12"/>
  <c r="O343" i="12"/>
  <c r="N280" i="12"/>
  <c r="V280" i="12"/>
  <c r="M280" i="12"/>
  <c r="U280" i="12"/>
  <c r="Q280" i="12"/>
  <c r="P280" i="12"/>
  <c r="O280" i="12"/>
  <c r="S280" i="12"/>
  <c r="R280" i="12"/>
  <c r="T280" i="12"/>
  <c r="N307" i="12"/>
  <c r="V307" i="12"/>
  <c r="M307" i="12"/>
  <c r="P307" i="12"/>
  <c r="T307" i="12"/>
  <c r="R307" i="12"/>
  <c r="O307" i="12"/>
  <c r="S307" i="12"/>
  <c r="Q307" i="12"/>
  <c r="U307" i="12"/>
  <c r="T604" i="12"/>
  <c r="N604" i="12"/>
  <c r="U604" i="12"/>
  <c r="M604" i="12"/>
  <c r="S604" i="12"/>
  <c r="Q604" i="12"/>
  <c r="V604" i="12"/>
  <c r="R604" i="12"/>
  <c r="P604" i="12"/>
  <c r="O604" i="12"/>
  <c r="R371" i="12"/>
  <c r="Q371" i="12"/>
  <c r="N371" i="12"/>
  <c r="T371" i="12"/>
  <c r="U371" i="12"/>
  <c r="V371" i="12"/>
  <c r="M371" i="12"/>
  <c r="S371" i="12"/>
  <c r="P371" i="12"/>
  <c r="O371" i="12"/>
  <c r="T203" i="12"/>
  <c r="O203" i="12"/>
  <c r="S203" i="12"/>
  <c r="P203" i="12"/>
  <c r="N203" i="12"/>
  <c r="U203" i="12"/>
  <c r="M203" i="12"/>
  <c r="V203" i="12"/>
  <c r="R203" i="12"/>
  <c r="Q203" i="12"/>
  <c r="V484" i="12"/>
  <c r="U484" i="12"/>
  <c r="R484" i="12"/>
  <c r="S484" i="12"/>
  <c r="M484" i="12"/>
  <c r="P484" i="12"/>
  <c r="O484" i="12"/>
  <c r="Q484" i="12"/>
  <c r="N484" i="12"/>
  <c r="T484" i="12"/>
  <c r="O177" i="12"/>
  <c r="T177" i="12"/>
  <c r="S177" i="12"/>
  <c r="V177" i="12"/>
  <c r="N177" i="12"/>
  <c r="M177" i="12"/>
  <c r="R177" i="12"/>
  <c r="U177" i="12"/>
  <c r="P177" i="12"/>
  <c r="Q177" i="12"/>
  <c r="N547" i="12"/>
  <c r="P547" i="12"/>
  <c r="U547" i="12"/>
  <c r="Q547" i="12"/>
  <c r="S547" i="12"/>
  <c r="T547" i="12"/>
  <c r="O547" i="12"/>
  <c r="V547" i="12"/>
  <c r="M547" i="12"/>
  <c r="R547" i="12"/>
  <c r="S422" i="12"/>
  <c r="O422" i="12"/>
  <c r="U422" i="12"/>
  <c r="Q422" i="12"/>
  <c r="R422" i="12"/>
  <c r="V422" i="12"/>
  <c r="M422" i="12"/>
  <c r="P422" i="12"/>
  <c r="N422" i="12"/>
  <c r="T422" i="12"/>
  <c r="T303" i="12"/>
  <c r="O303" i="12"/>
  <c r="R303" i="12"/>
  <c r="M303" i="12"/>
  <c r="U303" i="12"/>
  <c r="S303" i="12"/>
  <c r="V303" i="12"/>
  <c r="P303" i="12"/>
  <c r="N303" i="12"/>
  <c r="Q303" i="12"/>
  <c r="T46" i="12"/>
  <c r="N46" i="12"/>
  <c r="O46" i="12"/>
  <c r="U46" i="12"/>
  <c r="V46" i="12"/>
  <c r="S46" i="12"/>
  <c r="M46" i="12"/>
  <c r="R46" i="12"/>
  <c r="P46" i="12"/>
  <c r="Q46" i="12"/>
  <c r="T528" i="12"/>
  <c r="Q528" i="12"/>
  <c r="P528" i="12"/>
  <c r="S528" i="12"/>
  <c r="U528" i="12"/>
  <c r="V528" i="12"/>
  <c r="R528" i="12"/>
  <c r="O528" i="12"/>
  <c r="N528" i="12"/>
  <c r="M528" i="12"/>
  <c r="M57" i="12"/>
  <c r="U57" i="12"/>
  <c r="N57" i="12"/>
  <c r="Q57" i="12"/>
  <c r="R57" i="12"/>
  <c r="T57" i="12"/>
  <c r="S57" i="12"/>
  <c r="O57" i="12"/>
  <c r="P57" i="12"/>
  <c r="V57" i="12"/>
  <c r="P23" i="12"/>
  <c r="V23" i="12"/>
  <c r="Q23" i="12"/>
  <c r="S23" i="12"/>
  <c r="T23" i="12"/>
  <c r="U23" i="12"/>
  <c r="R23" i="12"/>
  <c r="O23" i="12"/>
  <c r="N23" i="12"/>
  <c r="N289" i="12"/>
  <c r="R289" i="12"/>
  <c r="V289" i="12"/>
  <c r="P289" i="12"/>
  <c r="U289" i="12"/>
  <c r="M289" i="12"/>
  <c r="T289" i="12"/>
  <c r="S289" i="12"/>
  <c r="O289" i="12"/>
  <c r="Q289" i="12"/>
  <c r="T613" i="12"/>
  <c r="R613" i="12"/>
  <c r="N613" i="12"/>
  <c r="S613" i="12"/>
  <c r="V613" i="12"/>
  <c r="U613" i="12"/>
  <c r="M613" i="12"/>
  <c r="O613" i="12"/>
  <c r="Q613" i="12"/>
  <c r="P613" i="12"/>
  <c r="T128" i="12"/>
  <c r="R128" i="12"/>
  <c r="P128" i="12"/>
  <c r="U128" i="12"/>
  <c r="M128" i="12"/>
  <c r="Q128" i="12"/>
  <c r="S128" i="12"/>
  <c r="N128" i="12"/>
  <c r="V128" i="12"/>
  <c r="O128" i="12"/>
  <c r="T556" i="12"/>
  <c r="O556" i="12"/>
  <c r="N556" i="12"/>
  <c r="M556" i="12"/>
  <c r="R556" i="12"/>
  <c r="U556" i="12"/>
  <c r="Q556" i="12"/>
  <c r="S556" i="12"/>
  <c r="P556" i="12"/>
  <c r="V556" i="12"/>
  <c r="N393" i="12"/>
  <c r="O393" i="12"/>
  <c r="U393" i="12"/>
  <c r="Q393" i="12"/>
  <c r="M393" i="12"/>
  <c r="S393" i="12"/>
  <c r="P393" i="12"/>
  <c r="T393" i="12"/>
  <c r="V393" i="12"/>
  <c r="R393" i="12"/>
  <c r="N304" i="12"/>
  <c r="S304" i="12"/>
  <c r="T304" i="12"/>
  <c r="Q304" i="12"/>
  <c r="U304" i="12"/>
  <c r="M304" i="12"/>
  <c r="O304" i="12"/>
  <c r="V304" i="12"/>
  <c r="P304" i="12"/>
  <c r="R304" i="12"/>
  <c r="V269" i="12"/>
  <c r="T269" i="12"/>
  <c r="R269" i="12"/>
  <c r="M269" i="12"/>
  <c r="U269" i="12"/>
  <c r="P269" i="12"/>
  <c r="S269" i="12"/>
  <c r="O269" i="12"/>
  <c r="Q269" i="12"/>
  <c r="N269" i="12"/>
  <c r="S224" i="12"/>
  <c r="P224" i="12"/>
  <c r="U224" i="12"/>
  <c r="R224" i="12"/>
  <c r="O224" i="12"/>
  <c r="N224" i="12"/>
  <c r="M224" i="12"/>
  <c r="Q224" i="12"/>
  <c r="T224" i="12"/>
  <c r="V224" i="12"/>
  <c r="S143" i="12"/>
  <c r="R143" i="12"/>
  <c r="O143" i="12"/>
  <c r="P143" i="12"/>
  <c r="V143" i="12"/>
  <c r="M143" i="12"/>
  <c r="U143" i="12"/>
  <c r="N143" i="12"/>
  <c r="T143" i="12"/>
  <c r="T69" i="12"/>
  <c r="R69" i="12"/>
  <c r="U69" i="12"/>
  <c r="N69" i="12"/>
  <c r="P69" i="12"/>
  <c r="S69" i="12"/>
  <c r="O69" i="12"/>
  <c r="V69" i="12"/>
  <c r="Q69" i="12"/>
  <c r="M69" i="12"/>
  <c r="S85" i="12"/>
  <c r="T85" i="12"/>
  <c r="Q85" i="12"/>
  <c r="O85" i="12"/>
  <c r="P85" i="12"/>
  <c r="U85" i="12"/>
  <c r="N85" i="12"/>
  <c r="V85" i="12"/>
  <c r="M85" i="12"/>
  <c r="R85" i="12"/>
  <c r="S535" i="12"/>
  <c r="T535" i="12"/>
  <c r="O535" i="12"/>
  <c r="P535" i="12"/>
  <c r="U535" i="12"/>
  <c r="V535" i="12"/>
  <c r="N535" i="12"/>
  <c r="Q535" i="12"/>
  <c r="R535" i="12"/>
  <c r="M535" i="12"/>
  <c r="M610" i="12"/>
  <c r="V610" i="12"/>
  <c r="S610" i="12"/>
  <c r="Q610" i="12"/>
  <c r="T610" i="12"/>
  <c r="P610" i="12"/>
  <c r="O610" i="12"/>
  <c r="N610" i="12"/>
  <c r="U610" i="12"/>
  <c r="R610" i="12"/>
  <c r="S228" i="12"/>
  <c r="N228" i="12"/>
  <c r="Q228" i="12"/>
  <c r="M228" i="12"/>
  <c r="U228" i="12"/>
  <c r="P228" i="12"/>
  <c r="T228" i="12"/>
  <c r="V228" i="12"/>
  <c r="O228" i="12"/>
  <c r="R228" i="12"/>
  <c r="M188" i="12"/>
  <c r="N188" i="12"/>
  <c r="U188" i="12"/>
  <c r="V188" i="12"/>
  <c r="G188" i="12"/>
  <c r="F188" i="12"/>
  <c r="S188" i="12"/>
  <c r="T188" i="12"/>
  <c r="Q188" i="12"/>
  <c r="R188" i="12"/>
  <c r="P188" i="12"/>
  <c r="O188" i="12"/>
  <c r="M176" i="12"/>
  <c r="S176" i="12"/>
  <c r="R176" i="12"/>
  <c r="O176" i="12"/>
  <c r="N176" i="12"/>
  <c r="U176" i="12"/>
  <c r="Q176" i="12"/>
  <c r="T176" i="12"/>
  <c r="P176" i="12"/>
  <c r="S325" i="12"/>
  <c r="Q325" i="12"/>
  <c r="O325" i="12"/>
  <c r="R325" i="12"/>
  <c r="V325" i="12"/>
  <c r="M325" i="12"/>
  <c r="T325" i="12"/>
  <c r="P325" i="12"/>
  <c r="U325" i="12"/>
  <c r="N325" i="12"/>
  <c r="T169" i="12"/>
  <c r="S169" i="12"/>
  <c r="P169" i="12"/>
  <c r="V169" i="12"/>
  <c r="Q169" i="12"/>
  <c r="R169" i="12"/>
  <c r="M169" i="12"/>
  <c r="N169" i="12"/>
  <c r="O169" i="12"/>
  <c r="Q593" i="12"/>
  <c r="V593" i="12"/>
  <c r="S593" i="12"/>
  <c r="T593" i="12"/>
  <c r="R593" i="12"/>
  <c r="U593" i="12"/>
  <c r="O593" i="12"/>
  <c r="P593" i="12"/>
  <c r="N593" i="12"/>
  <c r="M593" i="12"/>
  <c r="R308" i="12"/>
  <c r="O308" i="12"/>
  <c r="N308" i="12"/>
  <c r="P308" i="12"/>
  <c r="Q308" i="12"/>
  <c r="S308" i="12"/>
  <c r="T308" i="12"/>
  <c r="V308" i="12"/>
  <c r="U308" i="12"/>
  <c r="R148" i="12"/>
  <c r="S148" i="12"/>
  <c r="M148" i="12"/>
  <c r="Q148" i="12"/>
  <c r="N148" i="12"/>
  <c r="V148" i="12"/>
  <c r="U148" i="12"/>
  <c r="P148" i="12"/>
  <c r="O148" i="12"/>
  <c r="T148" i="12"/>
  <c r="N127" i="12"/>
  <c r="Q127" i="12"/>
  <c r="U127" i="12"/>
  <c r="S127" i="12"/>
  <c r="V127" i="12"/>
  <c r="R127" i="12"/>
  <c r="M127" i="12"/>
  <c r="P127" i="12"/>
  <c r="O127" i="12"/>
  <c r="T127" i="12"/>
  <c r="R421" i="12"/>
  <c r="O421" i="12"/>
  <c r="V421" i="12"/>
  <c r="P421" i="12"/>
  <c r="Q421" i="12"/>
  <c r="N421" i="12"/>
  <c r="S421" i="12"/>
  <c r="U421" i="12"/>
  <c r="T421" i="12"/>
  <c r="S513" i="12"/>
  <c r="N513" i="12"/>
  <c r="P513" i="12"/>
  <c r="T513" i="12"/>
  <c r="Q513" i="12"/>
  <c r="O513" i="12"/>
  <c r="M513" i="12"/>
  <c r="V513" i="12"/>
  <c r="R513" i="12"/>
  <c r="U513" i="12"/>
  <c r="M323" i="12"/>
  <c r="Q323" i="12"/>
  <c r="P323" i="12"/>
  <c r="V323" i="12"/>
  <c r="O323" i="12"/>
  <c r="R323" i="12"/>
  <c r="T323" i="12"/>
  <c r="S323" i="12"/>
  <c r="N323" i="12"/>
  <c r="S367" i="12"/>
  <c r="T367" i="12"/>
  <c r="N367" i="12"/>
  <c r="O367" i="12"/>
  <c r="R367" i="12"/>
  <c r="P367" i="12"/>
  <c r="V367" i="12"/>
  <c r="U367" i="12"/>
  <c r="M367" i="12"/>
  <c r="Q367" i="12"/>
  <c r="Q360" i="12"/>
  <c r="N360" i="12"/>
  <c r="S360" i="12"/>
  <c r="T360" i="12"/>
  <c r="O360" i="12"/>
  <c r="U360" i="12"/>
  <c r="V360" i="12"/>
  <c r="R360" i="12"/>
  <c r="P360" i="12"/>
  <c r="V583" i="12"/>
  <c r="S583" i="12"/>
  <c r="T583" i="12"/>
  <c r="Q583" i="12"/>
  <c r="O583" i="12"/>
  <c r="P583" i="12"/>
  <c r="M583" i="12"/>
  <c r="U583" i="12"/>
  <c r="N583" i="12"/>
  <c r="R583" i="12"/>
  <c r="P332" i="12"/>
  <c r="M332" i="12"/>
  <c r="Q332" i="12"/>
  <c r="U332" i="12"/>
  <c r="N332" i="12"/>
  <c r="R332" i="12"/>
  <c r="T332" i="12"/>
  <c r="S332" i="12"/>
  <c r="O332" i="12"/>
  <c r="N77" i="12"/>
  <c r="Q77" i="12"/>
  <c r="V77" i="12"/>
  <c r="R77" i="12"/>
  <c r="O77" i="12"/>
  <c r="T77" i="12"/>
  <c r="U77" i="12"/>
  <c r="P77" i="12"/>
  <c r="S77" i="12"/>
  <c r="V543" i="12"/>
  <c r="T543" i="12"/>
  <c r="N543" i="12"/>
  <c r="O543" i="12"/>
  <c r="S543" i="12"/>
  <c r="U543" i="12"/>
  <c r="P543" i="12"/>
  <c r="R543" i="12"/>
  <c r="Q543" i="12"/>
  <c r="T276" i="12"/>
  <c r="S276" i="12"/>
  <c r="N276" i="12"/>
  <c r="Q276" i="12"/>
  <c r="M276" i="12"/>
  <c r="V276" i="12"/>
  <c r="P276" i="12"/>
  <c r="O276" i="12"/>
  <c r="R276" i="12"/>
  <c r="R397" i="12"/>
  <c r="N397" i="12"/>
  <c r="O397" i="12"/>
  <c r="V397" i="12"/>
  <c r="S397" i="12"/>
  <c r="M397" i="12"/>
  <c r="Q397" i="12"/>
  <c r="P397" i="12"/>
  <c r="T397" i="12"/>
  <c r="U397" i="12"/>
  <c r="S526" i="12"/>
  <c r="V526" i="12"/>
  <c r="P526" i="12"/>
  <c r="R526" i="12"/>
  <c r="T526" i="12"/>
  <c r="U526" i="12"/>
  <c r="O526" i="12"/>
  <c r="Q526" i="12"/>
  <c r="N526" i="12"/>
  <c r="M526" i="12"/>
  <c r="P464" i="12"/>
  <c r="R464" i="12"/>
  <c r="O464" i="12"/>
  <c r="Q464" i="12"/>
  <c r="V464" i="12"/>
  <c r="S464" i="12"/>
  <c r="N464" i="12"/>
  <c r="M464" i="12"/>
  <c r="T464" i="12"/>
  <c r="V510" i="12"/>
  <c r="Q510" i="12"/>
  <c r="T510" i="12"/>
  <c r="R510" i="12"/>
  <c r="U510" i="12"/>
  <c r="P510" i="12"/>
  <c r="O510" i="12"/>
  <c r="N510" i="12"/>
  <c r="S510" i="12"/>
  <c r="U574" i="12"/>
  <c r="V574" i="12"/>
  <c r="Q574" i="12"/>
  <c r="T574" i="12"/>
  <c r="S574" i="12"/>
  <c r="R574" i="12"/>
  <c r="O574" i="12"/>
  <c r="N574" i="12"/>
  <c r="P574" i="12"/>
  <c r="M574" i="12"/>
  <c r="M213" i="12"/>
  <c r="S213" i="12"/>
  <c r="N213" i="12"/>
  <c r="U213" i="12"/>
  <c r="T213" i="12"/>
  <c r="P213" i="12"/>
  <c r="Q213" i="12"/>
  <c r="O213" i="12"/>
  <c r="R213" i="12"/>
  <c r="T226" i="12"/>
  <c r="S226" i="12"/>
  <c r="O226" i="12"/>
  <c r="P226" i="12"/>
  <c r="N226" i="12"/>
  <c r="Q226" i="12"/>
  <c r="M226" i="12"/>
  <c r="V226" i="12"/>
  <c r="R226" i="12"/>
  <c r="M419" i="12"/>
  <c r="S419" i="12"/>
  <c r="V419" i="12"/>
  <c r="P419" i="12"/>
  <c r="T419" i="12"/>
  <c r="N419" i="12"/>
  <c r="U419" i="12"/>
  <c r="Q419" i="12"/>
  <c r="O419" i="12"/>
  <c r="R419" i="12"/>
  <c r="P491" i="12"/>
  <c r="N491" i="12"/>
  <c r="V491" i="12"/>
  <c r="S491" i="12"/>
  <c r="T491" i="12"/>
  <c r="Q491" i="12"/>
  <c r="O491" i="12"/>
  <c r="U491" i="12"/>
  <c r="R491" i="12"/>
  <c r="M491" i="12"/>
  <c r="P195" i="12"/>
  <c r="M195" i="12"/>
  <c r="Q195" i="12"/>
  <c r="S195" i="12"/>
  <c r="N195" i="12"/>
  <c r="R195" i="12"/>
  <c r="U195" i="12"/>
  <c r="V195" i="12"/>
  <c r="O195" i="12"/>
  <c r="T195" i="12"/>
  <c r="O601" i="12"/>
  <c r="R601" i="12"/>
  <c r="S601" i="12"/>
  <c r="U601" i="12"/>
  <c r="P601" i="12"/>
  <c r="N601" i="12"/>
  <c r="M601" i="12"/>
  <c r="Q601" i="12"/>
  <c r="T601" i="12"/>
  <c r="P565" i="12"/>
  <c r="U565" i="12"/>
  <c r="T565" i="12"/>
  <c r="O565" i="12"/>
  <c r="Q565" i="12"/>
  <c r="R565" i="12"/>
  <c r="V565" i="12"/>
  <c r="N565" i="12"/>
  <c r="M565" i="12"/>
  <c r="S565" i="12"/>
  <c r="N433" i="12"/>
  <c r="U433" i="12"/>
  <c r="Q433" i="12"/>
  <c r="P433" i="12"/>
  <c r="O433" i="12"/>
  <c r="R433" i="12"/>
  <c r="T433" i="12"/>
  <c r="S433" i="12"/>
  <c r="M433" i="12"/>
  <c r="Q382" i="12"/>
  <c r="R382" i="12"/>
  <c r="S382" i="12"/>
  <c r="O382" i="12"/>
  <c r="N382" i="12"/>
  <c r="U382" i="12"/>
  <c r="V382" i="12"/>
  <c r="M382" i="12"/>
  <c r="T382" i="12"/>
  <c r="P382" i="12"/>
  <c r="R295" i="12"/>
  <c r="N295" i="12"/>
  <c r="P295" i="12"/>
  <c r="T295" i="12"/>
  <c r="S295" i="12"/>
  <c r="U295" i="12"/>
  <c r="O295" i="12"/>
  <c r="Q295" i="12"/>
  <c r="V295" i="12"/>
  <c r="N260" i="12"/>
  <c r="Q260" i="12"/>
  <c r="U260" i="12"/>
  <c r="R260" i="12"/>
  <c r="P260" i="12"/>
  <c r="O260" i="12"/>
  <c r="V260" i="12"/>
  <c r="S260" i="12"/>
  <c r="M260" i="12"/>
  <c r="T260" i="12"/>
  <c r="P205" i="12"/>
  <c r="T205" i="12"/>
  <c r="M205" i="12"/>
  <c r="S205" i="12"/>
  <c r="U205" i="12"/>
  <c r="Q205" i="12"/>
  <c r="V205" i="12"/>
  <c r="O205" i="12"/>
  <c r="N205" i="12"/>
  <c r="R168" i="12"/>
  <c r="U168" i="12"/>
  <c r="T168" i="12"/>
  <c r="N168" i="12"/>
  <c r="V168" i="12"/>
  <c r="Q168" i="12"/>
  <c r="P168" i="12"/>
  <c r="S168" i="12"/>
  <c r="O168" i="12"/>
  <c r="P135" i="12"/>
  <c r="R135" i="12"/>
  <c r="N135" i="12"/>
  <c r="O135" i="12"/>
  <c r="S135" i="12"/>
  <c r="T135" i="12"/>
  <c r="U135" i="12"/>
  <c r="V135" i="12"/>
  <c r="Q135" i="12"/>
  <c r="S51" i="12"/>
  <c r="P51" i="12"/>
  <c r="R51" i="12"/>
  <c r="U51" i="12"/>
  <c r="T51" i="12"/>
  <c r="N51" i="12"/>
  <c r="Q51" i="12"/>
  <c r="O51" i="12"/>
  <c r="R548" i="12"/>
  <c r="P548" i="12"/>
  <c r="T548" i="12"/>
  <c r="Q548" i="12"/>
  <c r="S548" i="12"/>
  <c r="U548" i="12"/>
  <c r="O548" i="12"/>
  <c r="N548" i="12"/>
  <c r="O64" i="12"/>
  <c r="P64" i="12"/>
  <c r="T64" i="12"/>
  <c r="N64" i="12"/>
  <c r="U64" i="12"/>
  <c r="R64" i="12"/>
  <c r="Q64" i="12"/>
  <c r="S64" i="12"/>
  <c r="V64" i="12"/>
  <c r="V146" i="12"/>
  <c r="N146" i="12"/>
  <c r="O146" i="12"/>
  <c r="P146" i="12"/>
  <c r="R146" i="12"/>
  <c r="M146" i="12"/>
  <c r="T146" i="12"/>
  <c r="S146" i="12"/>
  <c r="Q146" i="12"/>
  <c r="U146" i="12"/>
  <c r="N152" i="12"/>
  <c r="S152" i="12"/>
  <c r="T152" i="12"/>
  <c r="R152" i="12"/>
  <c r="U152" i="12"/>
  <c r="V152" i="12"/>
  <c r="O152" i="12"/>
  <c r="M152" i="12"/>
  <c r="Q152" i="12"/>
  <c r="U468" i="12"/>
  <c r="Q468" i="12"/>
  <c r="N468" i="12"/>
  <c r="S468" i="12"/>
  <c r="T468" i="12"/>
  <c r="M468" i="12"/>
  <c r="P468" i="12"/>
  <c r="R468" i="12"/>
  <c r="V468" i="12"/>
  <c r="O468" i="12"/>
  <c r="V380" i="12"/>
  <c r="R380" i="12"/>
  <c r="Q380" i="12"/>
  <c r="N380" i="12"/>
  <c r="S380" i="12"/>
  <c r="T380" i="12"/>
  <c r="P380" i="12"/>
  <c r="O380" i="12"/>
  <c r="P47" i="12"/>
  <c r="O47" i="12"/>
  <c r="Q47" i="12"/>
  <c r="R47" i="12"/>
  <c r="U47" i="12"/>
  <c r="S47" i="12"/>
  <c r="T47" i="12"/>
  <c r="N47" i="12"/>
  <c r="T463" i="12"/>
  <c r="R463" i="12"/>
  <c r="P463" i="12"/>
  <c r="Q463" i="12"/>
  <c r="V463" i="12"/>
  <c r="N463" i="12"/>
  <c r="M463" i="12"/>
  <c r="O463" i="12"/>
  <c r="V388" i="12"/>
  <c r="T388" i="12"/>
  <c r="O388" i="12"/>
  <c r="U388" i="12"/>
  <c r="P388" i="12"/>
  <c r="N388" i="12"/>
  <c r="R388" i="12"/>
  <c r="M388" i="12"/>
  <c r="Q388" i="12"/>
  <c r="S388" i="12"/>
  <c r="P166" i="12"/>
  <c r="U166" i="12"/>
  <c r="O166" i="12"/>
  <c r="M166" i="12"/>
  <c r="S166" i="12"/>
  <c r="R166" i="12"/>
  <c r="T166" i="12"/>
  <c r="Q166" i="12"/>
  <c r="U401" i="12"/>
  <c r="S401" i="12"/>
  <c r="P401" i="12"/>
  <c r="R401" i="12"/>
  <c r="V401" i="12"/>
  <c r="N401" i="12"/>
  <c r="O401" i="12"/>
  <c r="T401" i="12"/>
  <c r="Q401" i="12"/>
  <c r="M96" i="12"/>
  <c r="R96" i="12"/>
  <c r="T96" i="12"/>
  <c r="N96" i="12"/>
  <c r="O96" i="12"/>
  <c r="V96" i="12"/>
  <c r="P96" i="12"/>
  <c r="S96" i="12"/>
  <c r="Q96" i="12"/>
  <c r="M609" i="12"/>
  <c r="Q609" i="12"/>
  <c r="N609" i="12"/>
  <c r="S609" i="12"/>
  <c r="P609" i="12"/>
  <c r="U609" i="12"/>
  <c r="R609" i="12"/>
  <c r="V609" i="12"/>
  <c r="T609" i="12"/>
  <c r="O609" i="12"/>
  <c r="T546" i="12"/>
  <c r="N546" i="12"/>
  <c r="M546" i="12"/>
  <c r="P546" i="12"/>
  <c r="O546" i="12"/>
  <c r="Q546" i="12"/>
  <c r="V546" i="12"/>
  <c r="S546" i="12"/>
  <c r="R546" i="12"/>
  <c r="M287" i="12"/>
  <c r="U287" i="12"/>
  <c r="T287" i="12"/>
  <c r="R287" i="12"/>
  <c r="V287" i="12"/>
  <c r="N287" i="12"/>
  <c r="O287" i="12"/>
  <c r="P287" i="12"/>
  <c r="S287" i="12"/>
  <c r="Q287" i="12"/>
  <c r="V160" i="12"/>
  <c r="Q160" i="12"/>
  <c r="R160" i="12"/>
  <c r="M160" i="12"/>
  <c r="N160" i="12"/>
  <c r="T160" i="12"/>
  <c r="O160" i="12"/>
  <c r="S160" i="12"/>
  <c r="P160" i="12"/>
  <c r="U160" i="12"/>
  <c r="T117" i="12"/>
  <c r="Q117" i="12"/>
  <c r="R117" i="12"/>
  <c r="P117" i="12"/>
  <c r="U117" i="12"/>
  <c r="O117" i="12"/>
  <c r="S117" i="12"/>
  <c r="N117" i="12"/>
  <c r="N333" i="12"/>
  <c r="O333" i="12"/>
  <c r="Q333" i="12"/>
  <c r="U333" i="12"/>
  <c r="R333" i="12"/>
  <c r="S333" i="12"/>
  <c r="P333" i="12"/>
  <c r="T333" i="12"/>
  <c r="O447" i="12"/>
  <c r="Q447" i="12"/>
  <c r="R447" i="12"/>
  <c r="S447" i="12"/>
  <c r="V447" i="12"/>
  <c r="N447" i="12"/>
  <c r="T447" i="12"/>
  <c r="P447" i="12"/>
  <c r="S215" i="12"/>
  <c r="N215" i="12"/>
  <c r="R215" i="12"/>
  <c r="U215" i="12"/>
  <c r="Q215" i="12"/>
  <c r="V215" i="12"/>
  <c r="T215" i="12"/>
  <c r="O215" i="12"/>
  <c r="P215" i="12"/>
  <c r="M215" i="12"/>
  <c r="S126" i="12"/>
  <c r="R126" i="12"/>
  <c r="P126" i="12"/>
  <c r="N126" i="12"/>
  <c r="U126" i="12"/>
  <c r="O126" i="12"/>
  <c r="V126" i="12"/>
  <c r="Q126" i="12"/>
  <c r="M126" i="12"/>
  <c r="T126" i="12"/>
  <c r="S60" i="12"/>
  <c r="P60" i="12"/>
  <c r="N60" i="12"/>
  <c r="M60" i="12"/>
  <c r="R60" i="12"/>
  <c r="Q60" i="12"/>
  <c r="V60" i="12"/>
  <c r="O60" i="12"/>
  <c r="T60" i="12"/>
  <c r="P21" i="12"/>
  <c r="R21" i="12"/>
  <c r="N21" i="12"/>
  <c r="T21" i="12"/>
  <c r="O21" i="12"/>
  <c r="M21" i="12"/>
  <c r="V21" i="12"/>
  <c r="S21" i="12"/>
  <c r="Q21" i="12"/>
  <c r="U21" i="12"/>
  <c r="R259" i="12"/>
  <c r="T259" i="12"/>
  <c r="M259" i="12"/>
  <c r="V259" i="12"/>
  <c r="Q259" i="12"/>
  <c r="U259" i="12"/>
  <c r="P259" i="12"/>
  <c r="O259" i="12"/>
  <c r="S259" i="12"/>
  <c r="N259" i="12"/>
  <c r="S457" i="12"/>
  <c r="U457" i="12"/>
  <c r="N457" i="12"/>
  <c r="P457" i="12"/>
  <c r="T457" i="12"/>
  <c r="R457" i="12"/>
  <c r="Q457" i="12"/>
  <c r="V457" i="12"/>
  <c r="S275" i="12"/>
  <c r="O275" i="12"/>
  <c r="N275" i="12"/>
  <c r="T275" i="12"/>
  <c r="R275" i="12"/>
  <c r="V275" i="12"/>
  <c r="P275" i="12"/>
  <c r="Q275" i="12"/>
  <c r="M275" i="12"/>
  <c r="M571" i="12"/>
  <c r="Q571" i="12"/>
  <c r="U571" i="12"/>
  <c r="O571" i="12"/>
  <c r="N571" i="12"/>
  <c r="P571" i="12"/>
  <c r="V571" i="12"/>
  <c r="T571" i="12"/>
  <c r="S571" i="12"/>
  <c r="R571" i="12"/>
  <c r="M42" i="12"/>
  <c r="V42" i="12"/>
  <c r="Q42" i="12"/>
  <c r="U42" i="12"/>
  <c r="T42" i="12"/>
  <c r="R42" i="12"/>
  <c r="O42" i="12"/>
  <c r="P42" i="12"/>
  <c r="N42" i="12"/>
  <c r="S42" i="12"/>
  <c r="M26" i="12"/>
  <c r="P26" i="12"/>
  <c r="Q26" i="12"/>
  <c r="T26" i="12"/>
  <c r="V26" i="12"/>
  <c r="U26" i="12"/>
  <c r="R26" i="12"/>
  <c r="S26" i="12"/>
  <c r="N26" i="12"/>
  <c r="O26" i="12"/>
  <c r="V342" i="12"/>
  <c r="R342" i="12"/>
  <c r="M342" i="12"/>
  <c r="N342" i="12"/>
  <c r="S342" i="12"/>
  <c r="U342" i="12"/>
  <c r="P342" i="12"/>
  <c r="Q342" i="12"/>
  <c r="O342" i="12"/>
  <c r="T342" i="12"/>
  <c r="P93" i="12"/>
  <c r="O93" i="12"/>
  <c r="R93" i="12"/>
  <c r="M93" i="12"/>
  <c r="U93" i="12"/>
  <c r="V93" i="12"/>
  <c r="N93" i="12"/>
  <c r="U406" i="12"/>
  <c r="P406" i="12"/>
  <c r="S406" i="12"/>
  <c r="T406" i="12"/>
  <c r="Q406" i="12"/>
  <c r="R406" i="12"/>
  <c r="O406" i="12"/>
  <c r="M406" i="12"/>
  <c r="V406" i="12"/>
  <c r="N406" i="12"/>
  <c r="U89" i="12"/>
  <c r="R89" i="12"/>
  <c r="T89" i="12"/>
  <c r="S89" i="12"/>
  <c r="Q89" i="12"/>
  <c r="O89" i="12"/>
  <c r="P89" i="12"/>
  <c r="V89" i="12"/>
  <c r="N89" i="12"/>
  <c r="M89" i="12"/>
  <c r="P522" i="12"/>
  <c r="T522" i="12"/>
  <c r="Q522" i="12"/>
  <c r="R522" i="12"/>
  <c r="V522" i="12"/>
  <c r="O522" i="12"/>
  <c r="M522" i="12"/>
  <c r="S522" i="12"/>
  <c r="N522" i="12"/>
  <c r="U522" i="12"/>
  <c r="Q384" i="12"/>
  <c r="V384" i="12"/>
  <c r="O384" i="12"/>
  <c r="R384" i="12"/>
  <c r="N384" i="12"/>
  <c r="S384" i="12"/>
  <c r="T384" i="12"/>
  <c r="U384" i="12"/>
  <c r="P384" i="12"/>
  <c r="M384" i="12"/>
  <c r="M454" i="12"/>
  <c r="Q454" i="12"/>
  <c r="N454" i="12"/>
  <c r="P454" i="12"/>
  <c r="O454" i="12"/>
  <c r="R454" i="12"/>
  <c r="V454" i="12"/>
  <c r="U454" i="12"/>
  <c r="T454" i="12"/>
  <c r="S454" i="12"/>
  <c r="U427" i="12"/>
  <c r="N427" i="12"/>
  <c r="P427" i="12"/>
  <c r="S427" i="12"/>
  <c r="R427" i="12"/>
  <c r="Q427" i="12"/>
  <c r="V427" i="12"/>
  <c r="O427" i="12"/>
  <c r="M427" i="12"/>
  <c r="T427" i="12"/>
  <c r="N381" i="12"/>
  <c r="Q381" i="12"/>
  <c r="O381" i="12"/>
  <c r="P381" i="12"/>
  <c r="M381" i="12"/>
  <c r="S381" i="12"/>
  <c r="T381" i="12"/>
  <c r="R381" i="12"/>
  <c r="V381" i="12"/>
  <c r="U381" i="12"/>
  <c r="P265" i="12"/>
  <c r="O265" i="12"/>
  <c r="R265" i="12"/>
  <c r="S265" i="12"/>
  <c r="V265" i="12"/>
  <c r="Q265" i="12"/>
  <c r="M265" i="12"/>
  <c r="U265" i="12"/>
  <c r="N265" i="12"/>
  <c r="T265" i="12"/>
  <c r="T263" i="12"/>
  <c r="U263" i="12"/>
  <c r="S263" i="12"/>
  <c r="R263" i="12"/>
  <c r="Q263" i="12"/>
  <c r="O263" i="12"/>
  <c r="P263" i="12"/>
  <c r="M263" i="12"/>
  <c r="N263" i="12"/>
  <c r="V263" i="12"/>
  <c r="S114" i="12"/>
  <c r="O114" i="12"/>
  <c r="M114" i="12"/>
  <c r="T114" i="12"/>
  <c r="R114" i="12"/>
  <c r="U114" i="12"/>
  <c r="Q114" i="12"/>
  <c r="N114" i="12"/>
  <c r="P114" i="12"/>
  <c r="V114" i="12"/>
  <c r="Q580" i="12"/>
  <c r="O580" i="12"/>
  <c r="P580" i="12"/>
  <c r="V580" i="12"/>
  <c r="N580" i="12"/>
  <c r="R580" i="12"/>
  <c r="M580" i="12"/>
  <c r="U580" i="12"/>
  <c r="S580" i="12"/>
  <c r="T580" i="12"/>
  <c r="N258" i="12"/>
  <c r="T258" i="12"/>
  <c r="Q258" i="12"/>
  <c r="O258" i="12"/>
  <c r="S258" i="12"/>
  <c r="P258" i="12"/>
  <c r="M258" i="12"/>
  <c r="V258" i="12"/>
  <c r="R258" i="12"/>
  <c r="U258" i="12"/>
  <c r="N586" i="12"/>
  <c r="V586" i="12"/>
  <c r="T586" i="12"/>
  <c r="Q586" i="12"/>
  <c r="R586" i="12"/>
  <c r="U586" i="12"/>
  <c r="G586" i="12"/>
  <c r="F586" i="12"/>
  <c r="P586" i="12"/>
  <c r="M586" i="12"/>
  <c r="S586" i="12"/>
  <c r="O586" i="12"/>
  <c r="N441" i="12"/>
  <c r="P441" i="12"/>
  <c r="M441" i="12"/>
  <c r="U441" i="12"/>
  <c r="R441" i="12"/>
  <c r="V441" i="12"/>
  <c r="O441" i="12"/>
  <c r="Q441" i="12"/>
  <c r="T441" i="12"/>
  <c r="S441" i="12"/>
  <c r="F441" i="12"/>
  <c r="G441" i="12"/>
  <c r="G607" i="12"/>
  <c r="R607" i="12"/>
  <c r="Q607" i="12"/>
  <c r="M607" i="12"/>
  <c r="U607" i="12"/>
  <c r="V607" i="12"/>
  <c r="F607" i="12"/>
  <c r="AC607" i="12" s="1"/>
  <c r="N607" i="12"/>
  <c r="T607" i="12"/>
  <c r="P607" i="12"/>
  <c r="O607" i="12"/>
  <c r="S607" i="12"/>
  <c r="G542" i="12"/>
  <c r="F542" i="12"/>
  <c r="S542" i="12"/>
  <c r="T542" i="12"/>
  <c r="O542" i="12"/>
  <c r="P542" i="12"/>
  <c r="M542" i="12"/>
  <c r="U542" i="12"/>
  <c r="V542" i="12"/>
  <c r="N542" i="12"/>
  <c r="Q542" i="12"/>
  <c r="R542" i="12"/>
  <c r="U409" i="12"/>
  <c r="R409" i="12"/>
  <c r="O409" i="12"/>
  <c r="T409" i="12"/>
  <c r="S409" i="12"/>
  <c r="G409" i="12"/>
  <c r="M409" i="12"/>
  <c r="P409" i="12"/>
  <c r="Q409" i="12"/>
  <c r="F409" i="12"/>
  <c r="N409" i="12"/>
  <c r="V409" i="12"/>
  <c r="M216" i="12"/>
  <c r="U216" i="12"/>
  <c r="V216" i="12"/>
  <c r="P216" i="12"/>
  <c r="Q216" i="12"/>
  <c r="O216" i="12"/>
  <c r="R216" i="12"/>
  <c r="G216" i="12"/>
  <c r="S216" i="12"/>
  <c r="N216" i="12"/>
  <c r="T216" i="12"/>
  <c r="F216" i="12"/>
  <c r="Q144" i="12"/>
  <c r="R144" i="12"/>
  <c r="V144" i="12"/>
  <c r="G144" i="12"/>
  <c r="F144" i="12"/>
  <c r="S144" i="12"/>
  <c r="T144" i="12"/>
  <c r="M144" i="12"/>
  <c r="N144" i="12"/>
  <c r="O144" i="12"/>
  <c r="P144" i="12"/>
  <c r="U144" i="12"/>
  <c r="S192" i="12"/>
  <c r="M192" i="12"/>
  <c r="V192" i="12"/>
  <c r="U192" i="12"/>
  <c r="G192" i="12"/>
  <c r="F192" i="12"/>
  <c r="T192" i="12"/>
  <c r="N192" i="12"/>
  <c r="Q192" i="12"/>
  <c r="R192" i="12"/>
  <c r="O192" i="12"/>
  <c r="P192" i="12"/>
  <c r="Q191" i="12"/>
  <c r="R191" i="12"/>
  <c r="M191" i="12"/>
  <c r="U191" i="12"/>
  <c r="G191" i="12"/>
  <c r="F191" i="12"/>
  <c r="AC191" i="12" s="1"/>
  <c r="T191" i="12"/>
  <c r="S191" i="12"/>
  <c r="O191" i="12"/>
  <c r="P191" i="12"/>
  <c r="V191" i="12"/>
  <c r="N191" i="12"/>
  <c r="N29" i="12"/>
  <c r="M29" i="12"/>
  <c r="U29" i="12"/>
  <c r="Q29" i="12"/>
  <c r="G29" i="12"/>
  <c r="F29" i="12"/>
  <c r="T29" i="12"/>
  <c r="S29" i="12"/>
  <c r="O29" i="12"/>
  <c r="P29" i="12"/>
  <c r="R29" i="12"/>
  <c r="V29" i="12"/>
  <c r="N474" i="12"/>
  <c r="U474" i="12"/>
  <c r="V474" i="12"/>
  <c r="M474" i="12"/>
  <c r="F474" i="12"/>
  <c r="G474" i="12"/>
  <c r="S474" i="12"/>
  <c r="T474" i="12"/>
  <c r="Q474" i="12"/>
  <c r="R474" i="12"/>
  <c r="O474" i="12"/>
  <c r="P474" i="12"/>
  <c r="T521" i="12"/>
  <c r="G521" i="12"/>
  <c r="F521" i="12"/>
  <c r="S521" i="12"/>
  <c r="O521" i="12"/>
  <c r="P521" i="12"/>
  <c r="V521" i="12"/>
  <c r="U521" i="12"/>
  <c r="M521" i="12"/>
  <c r="R521" i="12"/>
  <c r="Q521" i="12"/>
  <c r="N521" i="12"/>
  <c r="Q459" i="12"/>
  <c r="N459" i="12"/>
  <c r="O459" i="12"/>
  <c r="F459" i="12"/>
  <c r="T459" i="12"/>
  <c r="S459" i="12"/>
  <c r="G459" i="12"/>
  <c r="U459" i="12"/>
  <c r="R459" i="12"/>
  <c r="P459" i="12"/>
  <c r="V459" i="12"/>
  <c r="M459" i="12"/>
  <c r="N394" i="12"/>
  <c r="Q394" i="12"/>
  <c r="G394" i="12"/>
  <c r="F394" i="12"/>
  <c r="S394" i="12"/>
  <c r="T394" i="12"/>
  <c r="O394" i="12"/>
  <c r="R394" i="12"/>
  <c r="V394" i="12"/>
  <c r="P394" i="12"/>
  <c r="M394" i="12"/>
  <c r="U394" i="12"/>
  <c r="N292" i="12"/>
  <c r="V292" i="12"/>
  <c r="U292" i="12"/>
  <c r="P292" i="12"/>
  <c r="M292" i="12"/>
  <c r="F292" i="12"/>
  <c r="O292" i="12"/>
  <c r="R292" i="12"/>
  <c r="T292" i="12"/>
  <c r="S292" i="12"/>
  <c r="Q292" i="12"/>
  <c r="G292" i="12"/>
  <c r="P208" i="12"/>
  <c r="M208" i="12"/>
  <c r="V208" i="12"/>
  <c r="Q208" i="12"/>
  <c r="U208" i="12"/>
  <c r="O208" i="12"/>
  <c r="R208" i="12"/>
  <c r="N208" i="12"/>
  <c r="T208" i="12"/>
  <c r="S208" i="12"/>
  <c r="F208" i="12"/>
  <c r="G208" i="12"/>
  <c r="F202" i="12"/>
  <c r="G202" i="12"/>
  <c r="U202" i="12"/>
  <c r="M202" i="12"/>
  <c r="V202" i="12"/>
  <c r="S202" i="12"/>
  <c r="P202" i="12"/>
  <c r="O202" i="12"/>
  <c r="R202" i="12"/>
  <c r="Q202" i="12"/>
  <c r="N202" i="12"/>
  <c r="T202" i="12"/>
  <c r="V362" i="12"/>
  <c r="F362" i="12"/>
  <c r="O362" i="12"/>
  <c r="Q362" i="12"/>
  <c r="S362" i="12"/>
  <c r="T362" i="12"/>
  <c r="G362" i="12"/>
  <c r="M362" i="12"/>
  <c r="N362" i="12"/>
  <c r="U362" i="12"/>
  <c r="R362" i="12"/>
  <c r="P362" i="12"/>
  <c r="M189" i="12"/>
  <c r="V189" i="12"/>
  <c r="R189" i="12"/>
  <c r="Q189" i="12"/>
  <c r="N189" i="12"/>
  <c r="T189" i="12"/>
  <c r="F189" i="12"/>
  <c r="G189" i="12"/>
  <c r="S189" i="12"/>
  <c r="O189" i="12"/>
  <c r="P189" i="12"/>
  <c r="U189" i="12"/>
  <c r="T108" i="12"/>
  <c r="F108" i="12"/>
  <c r="M108" i="12"/>
  <c r="V108" i="12"/>
  <c r="U108" i="12"/>
  <c r="R108" i="12"/>
  <c r="S108" i="12"/>
  <c r="N108" i="12"/>
  <c r="P108" i="12"/>
  <c r="O108" i="12"/>
  <c r="Q108" i="12"/>
  <c r="G108" i="12"/>
  <c r="M488" i="12"/>
  <c r="G488" i="12"/>
  <c r="S488" i="12"/>
  <c r="F488" i="12"/>
  <c r="N488" i="12"/>
  <c r="Q488" i="12"/>
  <c r="O488" i="12"/>
  <c r="T488" i="12"/>
  <c r="U488" i="12"/>
  <c r="R488" i="12"/>
  <c r="V488" i="12"/>
  <c r="P488" i="12"/>
  <c r="Q516" i="12"/>
  <c r="T516" i="12"/>
  <c r="S516" i="12"/>
  <c r="G516" i="12"/>
  <c r="F516" i="12"/>
  <c r="N516" i="12"/>
  <c r="U516" i="12"/>
  <c r="P516" i="12"/>
  <c r="O516" i="12"/>
  <c r="R516" i="12"/>
  <c r="M516" i="12"/>
  <c r="V516" i="12"/>
  <c r="R455" i="12"/>
  <c r="Q455" i="12"/>
  <c r="V455" i="12"/>
  <c r="M455" i="12"/>
  <c r="N455" i="12"/>
  <c r="T455" i="12"/>
  <c r="S455" i="12"/>
  <c r="O455" i="12"/>
  <c r="G455" i="12"/>
  <c r="U455" i="12"/>
  <c r="P455" i="12"/>
  <c r="F455" i="12"/>
  <c r="P595" i="12"/>
  <c r="R595" i="12"/>
  <c r="Q595" i="12"/>
  <c r="U595" i="12"/>
  <c r="M595" i="12"/>
  <c r="T595" i="12"/>
  <c r="N595" i="12"/>
  <c r="F595" i="12"/>
  <c r="G595" i="12"/>
  <c r="V595" i="12"/>
  <c r="O595" i="12"/>
  <c r="S595" i="12"/>
  <c r="P132" i="12"/>
  <c r="Q132" i="12"/>
  <c r="S132" i="12"/>
  <c r="T132" i="12"/>
  <c r="O132" i="12"/>
  <c r="F132" i="12"/>
  <c r="G132" i="12"/>
  <c r="R132" i="12"/>
  <c r="U132" i="12"/>
  <c r="V132" i="12"/>
  <c r="M132" i="12"/>
  <c r="N132" i="12"/>
  <c r="R403" i="12"/>
  <c r="P403" i="12"/>
  <c r="N403" i="12"/>
  <c r="O403" i="12"/>
  <c r="Q403" i="12"/>
  <c r="T403" i="12"/>
  <c r="S403" i="12"/>
  <c r="F403" i="12"/>
  <c r="G403" i="12"/>
  <c r="V403" i="12"/>
  <c r="M403" i="12"/>
  <c r="U403" i="12"/>
  <c r="N297" i="12"/>
  <c r="S297" i="12"/>
  <c r="U297" i="12"/>
  <c r="V297" i="12"/>
  <c r="M297" i="12"/>
  <c r="P297" i="12"/>
  <c r="O297" i="12"/>
  <c r="R297" i="12"/>
  <c r="Q297" i="12"/>
  <c r="T297" i="12"/>
  <c r="G297" i="12"/>
  <c r="F297" i="12"/>
  <c r="N107" i="12"/>
  <c r="R107" i="12"/>
  <c r="M107" i="12"/>
  <c r="O107" i="12"/>
  <c r="P107" i="12"/>
  <c r="U107" i="12"/>
  <c r="V107" i="12"/>
  <c r="Q107" i="12"/>
  <c r="S107" i="12"/>
  <c r="G107" i="12"/>
  <c r="F107" i="12"/>
  <c r="T107" i="12"/>
  <c r="T86" i="12"/>
  <c r="F86" i="12"/>
  <c r="Q86" i="12"/>
  <c r="N86" i="12"/>
  <c r="V86" i="12"/>
  <c r="P86" i="12"/>
  <c r="O86" i="12"/>
  <c r="S86" i="12"/>
  <c r="G86" i="12"/>
  <c r="R86" i="12"/>
  <c r="M86" i="12"/>
  <c r="U86" i="12"/>
  <c r="U181" i="12"/>
  <c r="G181" i="12"/>
  <c r="F181" i="12"/>
  <c r="S181" i="12"/>
  <c r="R181" i="12"/>
  <c r="O181" i="12"/>
  <c r="N181" i="12"/>
  <c r="Q181" i="12"/>
  <c r="P181" i="12"/>
  <c r="V181" i="12"/>
  <c r="M181" i="12"/>
  <c r="T181" i="12"/>
  <c r="O324" i="12"/>
  <c r="G324" i="12"/>
  <c r="V324" i="12"/>
  <c r="F324" i="12"/>
  <c r="T324" i="12"/>
  <c r="N324" i="12"/>
  <c r="S324" i="12"/>
  <c r="R324" i="12"/>
  <c r="P324" i="12"/>
  <c r="M324" i="12"/>
  <c r="U324" i="12"/>
  <c r="Q324" i="12"/>
  <c r="N198" i="12"/>
  <c r="F198" i="12"/>
  <c r="T198" i="12"/>
  <c r="V198" i="12"/>
  <c r="U198" i="12"/>
  <c r="P198" i="12"/>
  <c r="O198" i="12"/>
  <c r="R198" i="12"/>
  <c r="Q198" i="12"/>
  <c r="S198" i="12"/>
  <c r="G198" i="12"/>
  <c r="M198" i="12"/>
  <c r="P376" i="12"/>
  <c r="O376" i="12"/>
  <c r="F376" i="12"/>
  <c r="R376" i="12"/>
  <c r="U376" i="12"/>
  <c r="V376" i="12"/>
  <c r="M376" i="12"/>
  <c r="G376" i="12"/>
  <c r="S376" i="12"/>
  <c r="T376" i="12"/>
  <c r="N376" i="12"/>
  <c r="Q376" i="12"/>
  <c r="F149" i="12"/>
  <c r="G149" i="12"/>
  <c r="O149" i="12"/>
  <c r="N149" i="12"/>
  <c r="T149" i="12"/>
  <c r="V149" i="12"/>
  <c r="S149" i="12"/>
  <c r="R149" i="12"/>
  <c r="Q149" i="12"/>
  <c r="M149" i="12"/>
  <c r="U149" i="12"/>
  <c r="P149" i="12"/>
  <c r="R364" i="12"/>
  <c r="Q364" i="12"/>
  <c r="N364" i="12"/>
  <c r="U364" i="12"/>
  <c r="M364" i="12"/>
  <c r="P364" i="12"/>
  <c r="V364" i="12"/>
  <c r="O364" i="12"/>
  <c r="S364" i="12"/>
  <c r="T364" i="12"/>
  <c r="G364" i="12"/>
  <c r="F364" i="12"/>
  <c r="G554" i="12"/>
  <c r="F554" i="12"/>
  <c r="M554" i="12"/>
  <c r="V554" i="12"/>
  <c r="U554" i="12"/>
  <c r="N554" i="12"/>
  <c r="P554" i="12"/>
  <c r="O554" i="12"/>
  <c r="R554" i="12"/>
  <c r="Q554" i="12"/>
  <c r="S554" i="12"/>
  <c r="T554" i="12"/>
  <c r="P70" i="12"/>
  <c r="M70" i="12"/>
  <c r="U70" i="12"/>
  <c r="F70" i="12"/>
  <c r="G70" i="12"/>
  <c r="S70" i="12"/>
  <c r="T70" i="12"/>
  <c r="N70" i="12"/>
  <c r="O70" i="12"/>
  <c r="R70" i="12"/>
  <c r="V70" i="12"/>
  <c r="Q70" i="12"/>
  <c r="G465" i="12"/>
  <c r="F465" i="12"/>
  <c r="U465" i="12"/>
  <c r="S465" i="12"/>
  <c r="T465" i="12"/>
  <c r="R465" i="12"/>
  <c r="O465" i="12"/>
  <c r="P465" i="12"/>
  <c r="V465" i="12"/>
  <c r="N465" i="12"/>
  <c r="Q465" i="12"/>
  <c r="M465" i="12"/>
  <c r="R531" i="12"/>
  <c r="S531" i="12"/>
  <c r="N531" i="12"/>
  <c r="P531" i="12"/>
  <c r="O531" i="12"/>
  <c r="Q531" i="12"/>
  <c r="T531" i="12"/>
  <c r="G531" i="12"/>
  <c r="V531" i="12"/>
  <c r="M531" i="12"/>
  <c r="F531" i="12"/>
  <c r="U531" i="12"/>
  <c r="O354" i="12"/>
  <c r="R354" i="12"/>
  <c r="T354" i="12"/>
  <c r="S354" i="12"/>
  <c r="G354" i="12"/>
  <c r="F354" i="12"/>
  <c r="V354" i="12"/>
  <c r="U354" i="12"/>
  <c r="M354" i="12"/>
  <c r="Q354" i="12"/>
  <c r="N354" i="12"/>
  <c r="P354" i="12"/>
  <c r="G138" i="12"/>
  <c r="F138" i="12"/>
  <c r="O138" i="12"/>
  <c r="P138" i="12"/>
  <c r="S138" i="12"/>
  <c r="T138" i="12"/>
  <c r="Q138" i="12"/>
  <c r="R138" i="12"/>
  <c r="V138" i="12"/>
  <c r="U138" i="12"/>
  <c r="N138" i="12"/>
  <c r="M138" i="12"/>
  <c r="P59" i="12"/>
  <c r="T59" i="12"/>
  <c r="M59" i="12"/>
  <c r="Q59" i="12"/>
  <c r="U59" i="12"/>
  <c r="V59" i="12"/>
  <c r="O59" i="12"/>
  <c r="N59" i="12"/>
  <c r="R59" i="12"/>
  <c r="S59" i="12"/>
  <c r="G59" i="12"/>
  <c r="F59" i="12"/>
  <c r="U350" i="12"/>
  <c r="G350" i="12"/>
  <c r="P350" i="12"/>
  <c r="T350" i="12"/>
  <c r="N350" i="12"/>
  <c r="Q350" i="12"/>
  <c r="V350" i="12"/>
  <c r="O350" i="12"/>
  <c r="S350" i="12"/>
  <c r="M350" i="12"/>
  <c r="R350" i="12"/>
  <c r="F350" i="12"/>
  <c r="R264" i="12"/>
  <c r="S264" i="12"/>
  <c r="U264" i="12"/>
  <c r="V264" i="12"/>
  <c r="M264" i="12"/>
  <c r="O264" i="12"/>
  <c r="Q264" i="12"/>
  <c r="N264" i="12"/>
  <c r="G264" i="12"/>
  <c r="T264" i="12"/>
  <c r="P264" i="12"/>
  <c r="F264" i="12"/>
  <c r="S231" i="12"/>
  <c r="T231" i="12"/>
  <c r="N231" i="12"/>
  <c r="Q231" i="12"/>
  <c r="U231" i="12"/>
  <c r="V231" i="12"/>
  <c r="M231" i="12"/>
  <c r="R231" i="12"/>
  <c r="P231" i="12"/>
  <c r="O231" i="12"/>
  <c r="G231" i="12"/>
  <c r="F231" i="12"/>
  <c r="T417" i="12"/>
  <c r="S417" i="12"/>
  <c r="F417" i="12"/>
  <c r="G417" i="12"/>
  <c r="P417" i="12"/>
  <c r="V417" i="12"/>
  <c r="R417" i="12"/>
  <c r="N417" i="12"/>
  <c r="U417" i="12"/>
  <c r="M417" i="12"/>
  <c r="O417" i="12"/>
  <c r="Q417" i="12"/>
  <c r="R300" i="12"/>
  <c r="O300" i="12"/>
  <c r="U300" i="12"/>
  <c r="N300" i="12"/>
  <c r="S300" i="12"/>
  <c r="P300" i="12"/>
  <c r="M300" i="12"/>
  <c r="V300" i="12"/>
  <c r="F167" i="12"/>
  <c r="S167" i="12"/>
  <c r="T167" i="12"/>
  <c r="Q167" i="12"/>
  <c r="R167" i="12"/>
  <c r="O167" i="12"/>
  <c r="P167" i="12"/>
  <c r="V167" i="12"/>
  <c r="N167" i="12"/>
  <c r="U167" i="12"/>
  <c r="M167" i="12"/>
  <c r="G167" i="12"/>
  <c r="F61" i="12"/>
  <c r="G61" i="12"/>
  <c r="S61" i="12"/>
  <c r="N61" i="12"/>
  <c r="Q61" i="12"/>
  <c r="O61" i="12"/>
  <c r="P61" i="12"/>
  <c r="M61" i="12"/>
  <c r="U61" i="12"/>
  <c r="R61" i="12"/>
  <c r="T61" i="12"/>
  <c r="V61" i="12"/>
  <c r="M567" i="12"/>
  <c r="T567" i="12"/>
  <c r="G567" i="12"/>
  <c r="P567" i="12"/>
  <c r="V567" i="12"/>
  <c r="N567" i="12"/>
  <c r="Q567" i="12"/>
  <c r="U567" i="12"/>
  <c r="F567" i="12"/>
  <c r="O567" i="12"/>
  <c r="R567" i="12"/>
  <c r="S567" i="12"/>
  <c r="T155" i="12"/>
  <c r="S155" i="12"/>
  <c r="V155" i="12"/>
  <c r="U155" i="12"/>
  <c r="Q155" i="12"/>
  <c r="M155" i="12"/>
  <c r="P155" i="12"/>
  <c r="O155" i="12"/>
  <c r="R155" i="12"/>
  <c r="N155" i="12"/>
  <c r="P329" i="12"/>
  <c r="N329" i="12"/>
  <c r="Q329" i="12"/>
  <c r="V329" i="12"/>
  <c r="U329" i="12"/>
  <c r="F329" i="12"/>
  <c r="S329" i="12"/>
  <c r="T329" i="12"/>
  <c r="R329" i="12"/>
  <c r="O329" i="12"/>
  <c r="G329" i="12"/>
  <c r="M329" i="12"/>
  <c r="N179" i="12"/>
  <c r="M179" i="12"/>
  <c r="G179" i="12"/>
  <c r="F179" i="12"/>
  <c r="T179" i="12"/>
  <c r="S179" i="12"/>
  <c r="Q179" i="12"/>
  <c r="O179" i="12"/>
  <c r="P179" i="12"/>
  <c r="V179" i="12"/>
  <c r="U179" i="12"/>
  <c r="R179" i="12"/>
  <c r="U434" i="12"/>
  <c r="O434" i="12"/>
  <c r="F434" i="12"/>
  <c r="Q434" i="12"/>
  <c r="T434" i="12"/>
  <c r="S434" i="12"/>
  <c r="V434" i="12"/>
  <c r="N434" i="12"/>
  <c r="R434" i="12"/>
  <c r="M434" i="12"/>
  <c r="G434" i="12"/>
  <c r="P434" i="12"/>
  <c r="U498" i="12"/>
  <c r="R498" i="12"/>
  <c r="V498" i="12"/>
  <c r="F498" i="12"/>
  <c r="S498" i="12"/>
  <c r="T498" i="12"/>
  <c r="M498" i="12"/>
  <c r="G498" i="12"/>
  <c r="Q498" i="12"/>
  <c r="O498" i="12"/>
  <c r="P498" i="12"/>
  <c r="N498" i="12"/>
  <c r="F353" i="12"/>
  <c r="T353" i="12"/>
  <c r="U353" i="12"/>
  <c r="V353" i="12"/>
  <c r="R353" i="12"/>
  <c r="M353" i="12"/>
  <c r="P353" i="12"/>
  <c r="N353" i="12"/>
  <c r="O353" i="12"/>
  <c r="Q353" i="12"/>
  <c r="S353" i="12"/>
  <c r="G353" i="12"/>
  <c r="R103" i="12"/>
  <c r="V103" i="12"/>
  <c r="U103" i="12"/>
  <c r="G103" i="12"/>
  <c r="Q103" i="12"/>
  <c r="O103" i="12"/>
  <c r="M103" i="12"/>
  <c r="P103" i="12"/>
  <c r="N103" i="12"/>
  <c r="T103" i="12"/>
  <c r="S103" i="12"/>
  <c r="F103" i="12"/>
  <c r="N95" i="12"/>
  <c r="T95" i="12"/>
  <c r="S95" i="12"/>
  <c r="G95" i="12"/>
  <c r="F95" i="12"/>
  <c r="P95" i="12"/>
  <c r="Q95" i="12"/>
  <c r="U95" i="12"/>
  <c r="M95" i="12"/>
  <c r="V95" i="12"/>
  <c r="R95" i="12"/>
  <c r="O95" i="12"/>
  <c r="P253" i="12"/>
  <c r="V253" i="12"/>
  <c r="Q253" i="12"/>
  <c r="N253" i="12"/>
  <c r="G253" i="12"/>
  <c r="U253" i="12"/>
  <c r="M253" i="12"/>
  <c r="O253" i="12"/>
  <c r="R253" i="12"/>
  <c r="S253" i="12"/>
  <c r="T253" i="12"/>
  <c r="F253" i="12"/>
  <c r="AC253" i="12" s="1"/>
  <c r="S383" i="12"/>
  <c r="V383" i="12"/>
  <c r="T383" i="12"/>
  <c r="M383" i="12"/>
  <c r="P383" i="12"/>
  <c r="R383" i="12"/>
  <c r="O383" i="12"/>
  <c r="Q383" i="12"/>
  <c r="N383" i="12"/>
  <c r="U383" i="12"/>
  <c r="M314" i="12"/>
  <c r="U314" i="12"/>
  <c r="P314" i="12"/>
  <c r="O314" i="12"/>
  <c r="Q314" i="12"/>
  <c r="N314" i="12"/>
  <c r="T314" i="12"/>
  <c r="S314" i="12"/>
  <c r="R314" i="12"/>
  <c r="V314" i="12"/>
  <c r="G294" i="12"/>
  <c r="F294" i="12"/>
  <c r="U294" i="12"/>
  <c r="T294" i="12"/>
  <c r="S294" i="12"/>
  <c r="Q294" i="12"/>
  <c r="P294" i="12"/>
  <c r="V294" i="12"/>
  <c r="N294" i="12"/>
  <c r="R294" i="12"/>
  <c r="M294" i="12"/>
  <c r="O294" i="12"/>
  <c r="F439" i="12"/>
  <c r="G439" i="12"/>
  <c r="S439" i="12"/>
  <c r="T439" i="12"/>
  <c r="N439" i="12"/>
  <c r="Q439" i="12"/>
  <c r="R439" i="12"/>
  <c r="O439" i="12"/>
  <c r="P439" i="12"/>
  <c r="M439" i="12"/>
  <c r="V439" i="12"/>
  <c r="U439" i="12"/>
  <c r="U309" i="12"/>
  <c r="S309" i="12"/>
  <c r="N309" i="12"/>
  <c r="M309" i="12"/>
  <c r="T309" i="12"/>
  <c r="Q309" i="12"/>
  <c r="R309" i="12"/>
  <c r="O309" i="12"/>
  <c r="V309" i="12"/>
  <c r="P309" i="12"/>
  <c r="G309" i="12"/>
  <c r="F309" i="12"/>
  <c r="R257" i="12"/>
  <c r="F257" i="12"/>
  <c r="G257" i="12"/>
  <c r="O257" i="12"/>
  <c r="P257" i="12"/>
  <c r="V257" i="12"/>
  <c r="S257" i="12"/>
  <c r="T257" i="12"/>
  <c r="U257" i="12"/>
  <c r="M257" i="12"/>
  <c r="Q257" i="12"/>
  <c r="N257" i="12"/>
  <c r="T370" i="12"/>
  <c r="S370" i="12"/>
  <c r="V370" i="12"/>
  <c r="M370" i="12"/>
  <c r="U370" i="12"/>
  <c r="R370" i="12"/>
  <c r="O370" i="12"/>
  <c r="P370" i="12"/>
  <c r="Q370" i="12"/>
  <c r="N370" i="12"/>
  <c r="G370" i="12"/>
  <c r="F370" i="12"/>
  <c r="Q247" i="12"/>
  <c r="T247" i="12"/>
  <c r="S247" i="12"/>
  <c r="F247" i="12"/>
  <c r="G247" i="12"/>
  <c r="N247" i="12"/>
  <c r="M247" i="12"/>
  <c r="V247" i="12"/>
  <c r="U247" i="12"/>
  <c r="P247" i="12"/>
  <c r="O247" i="12"/>
  <c r="R247" i="12"/>
  <c r="O582" i="12"/>
  <c r="N582" i="12"/>
  <c r="U582" i="12"/>
  <c r="Q582" i="12"/>
  <c r="S582" i="12"/>
  <c r="T582" i="12"/>
  <c r="R582" i="12"/>
  <c r="M582" i="12"/>
  <c r="F582" i="12"/>
  <c r="G582" i="12"/>
  <c r="P582" i="12"/>
  <c r="V582" i="12"/>
  <c r="F25" i="12"/>
  <c r="P25" i="12"/>
  <c r="U25" i="12"/>
  <c r="V25" i="12"/>
  <c r="Q25" i="12"/>
  <c r="R25" i="12"/>
  <c r="M25" i="12"/>
  <c r="T25" i="12"/>
  <c r="S25" i="12"/>
  <c r="O25" i="12"/>
  <c r="N25" i="12"/>
  <c r="G25" i="12"/>
  <c r="U80" i="12"/>
  <c r="T80" i="12"/>
  <c r="G80" i="12"/>
  <c r="V80" i="12"/>
  <c r="M80" i="12"/>
  <c r="N80" i="12"/>
  <c r="S80" i="12"/>
  <c r="Q80" i="12"/>
  <c r="R80" i="12"/>
  <c r="P80" i="12"/>
  <c r="F80" i="12"/>
  <c r="AC80" i="12" s="1"/>
  <c r="G105" i="12"/>
  <c r="R105" i="12"/>
  <c r="F105" i="12"/>
  <c r="M105" i="12"/>
  <c r="T105" i="12"/>
  <c r="N105" i="12"/>
  <c r="P105" i="12"/>
  <c r="S105" i="12"/>
  <c r="O105" i="12"/>
  <c r="U105" i="12"/>
  <c r="Q105" i="12"/>
  <c r="V105" i="12"/>
  <c r="P472" i="12"/>
  <c r="T472" i="12"/>
  <c r="U472" i="12"/>
  <c r="S472" i="12"/>
  <c r="Q472" i="12"/>
  <c r="R472" i="12"/>
  <c r="O472" i="12"/>
  <c r="M472" i="12"/>
  <c r="V472" i="12"/>
  <c r="U345" i="12"/>
  <c r="M345" i="12"/>
  <c r="P345" i="12"/>
  <c r="N345" i="12"/>
  <c r="O345" i="12"/>
  <c r="S345" i="12"/>
  <c r="R345" i="12"/>
  <c r="T345" i="12"/>
  <c r="Q345" i="12"/>
  <c r="V345" i="12"/>
  <c r="S241" i="12"/>
  <c r="T241" i="12"/>
  <c r="O241" i="12"/>
  <c r="P241" i="12"/>
  <c r="M241" i="12"/>
  <c r="R241" i="12"/>
  <c r="U241" i="12"/>
  <c r="N241" i="12"/>
  <c r="Q241" i="12"/>
  <c r="V241" i="12"/>
  <c r="V72" i="12"/>
  <c r="O72" i="12"/>
  <c r="N72" i="12"/>
  <c r="S72" i="12"/>
  <c r="T72" i="12"/>
  <c r="R72" i="12"/>
  <c r="P72" i="12"/>
  <c r="M72" i="12"/>
  <c r="U72" i="12"/>
  <c r="Q72" i="12"/>
  <c r="N237" i="12"/>
  <c r="M237" i="12"/>
  <c r="O237" i="12"/>
  <c r="U237" i="12"/>
  <c r="P237" i="12"/>
  <c r="R237" i="12"/>
  <c r="Q237" i="12"/>
  <c r="S237" i="12"/>
  <c r="T237" i="12"/>
  <c r="V237" i="12"/>
  <c r="U171" i="12"/>
  <c r="N171" i="12"/>
  <c r="R171" i="12"/>
  <c r="V171" i="12"/>
  <c r="M171" i="12"/>
  <c r="P171" i="12"/>
  <c r="T171" i="12"/>
  <c r="S171" i="12"/>
  <c r="Q171" i="12"/>
  <c r="O171" i="12"/>
  <c r="R458" i="12"/>
  <c r="S458" i="12"/>
  <c r="Q458" i="12"/>
  <c r="O458" i="12"/>
  <c r="U458" i="12"/>
  <c r="T458" i="12"/>
  <c r="N458" i="12"/>
  <c r="M458" i="12"/>
  <c r="V458" i="12"/>
  <c r="P458" i="12"/>
  <c r="T344" i="12"/>
  <c r="V344" i="12"/>
  <c r="M344" i="12"/>
  <c r="Q344" i="12"/>
  <c r="N344" i="12"/>
  <c r="P344" i="12"/>
  <c r="R344" i="12"/>
  <c r="S344" i="12"/>
  <c r="U344" i="12"/>
  <c r="O344" i="12"/>
  <c r="M50" i="12"/>
  <c r="P50" i="12"/>
  <c r="R50" i="12"/>
  <c r="O50" i="12"/>
  <c r="T50" i="12"/>
  <c r="Q50" i="12"/>
  <c r="N50" i="12"/>
  <c r="V50" i="12"/>
  <c r="U50" i="12"/>
  <c r="S50" i="12"/>
  <c r="O420" i="12"/>
  <c r="T420" i="12"/>
  <c r="M420" i="12"/>
  <c r="S420" i="12"/>
  <c r="R420" i="12"/>
  <c r="V420" i="12"/>
  <c r="N420" i="12"/>
  <c r="Q420" i="12"/>
  <c r="P420" i="12"/>
  <c r="M320" i="12"/>
  <c r="V320" i="12"/>
  <c r="R320" i="12"/>
  <c r="P320" i="12"/>
  <c r="U320" i="12"/>
  <c r="N320" i="12"/>
  <c r="Q320" i="12"/>
  <c r="O320" i="12"/>
  <c r="T320" i="12"/>
  <c r="S252" i="12"/>
  <c r="R252" i="12"/>
  <c r="P252" i="12"/>
  <c r="M252" i="12"/>
  <c r="V252" i="12"/>
  <c r="U252" i="12"/>
  <c r="N252" i="12"/>
  <c r="Q252" i="12"/>
  <c r="T252" i="12"/>
  <c r="O252" i="12"/>
  <c r="O278" i="12"/>
  <c r="M278" i="12"/>
  <c r="V278" i="12"/>
  <c r="U278" i="12"/>
  <c r="P278" i="12"/>
  <c r="R278" i="12"/>
  <c r="Q278" i="12"/>
  <c r="N278" i="12"/>
  <c r="T278" i="12"/>
  <c r="S278" i="12"/>
  <c r="Q336" i="12"/>
  <c r="N336" i="12"/>
  <c r="V336" i="12"/>
  <c r="M336" i="12"/>
  <c r="P336" i="12"/>
  <c r="F336" i="12"/>
  <c r="O336" i="12"/>
  <c r="T336" i="12"/>
  <c r="S336" i="12"/>
  <c r="G336" i="12"/>
  <c r="R336" i="12"/>
  <c r="U598" i="12"/>
  <c r="N598" i="12"/>
  <c r="Q598" i="12"/>
  <c r="F598" i="12"/>
  <c r="G598" i="12"/>
  <c r="M598" i="12"/>
  <c r="O598" i="12"/>
  <c r="T598" i="12"/>
  <c r="R598" i="12"/>
  <c r="S598" i="12"/>
  <c r="V598" i="12"/>
  <c r="M448" i="12"/>
  <c r="T448" i="12"/>
  <c r="O448" i="12"/>
  <c r="V448" i="12"/>
  <c r="P448" i="12"/>
  <c r="Q448" i="12"/>
  <c r="F448" i="12"/>
  <c r="G448" i="12"/>
  <c r="R448" i="12"/>
  <c r="U448" i="12"/>
  <c r="N448" i="12"/>
  <c r="M43" i="12"/>
  <c r="G43" i="12"/>
  <c r="Q43" i="12"/>
  <c r="P43" i="12"/>
  <c r="N43" i="12"/>
  <c r="F43" i="12"/>
  <c r="S43" i="12"/>
  <c r="T43" i="12"/>
  <c r="O43" i="12"/>
  <c r="V43" i="12"/>
  <c r="R43" i="12"/>
  <c r="U43" i="12"/>
  <c r="F612" i="12"/>
  <c r="G612" i="12"/>
  <c r="M612" i="12"/>
  <c r="N612" i="12"/>
  <c r="U612" i="12"/>
  <c r="V612" i="12"/>
  <c r="R612" i="12"/>
  <c r="Q612" i="12"/>
  <c r="P612" i="12"/>
  <c r="T612" i="12"/>
  <c r="S612" i="12"/>
  <c r="Q351" i="12"/>
  <c r="M351" i="12"/>
  <c r="T351" i="12"/>
  <c r="N351" i="12"/>
  <c r="R351" i="12"/>
  <c r="F351" i="12"/>
  <c r="P351" i="12"/>
  <c r="G351" i="12"/>
  <c r="U351" i="12"/>
  <c r="S351" i="12"/>
  <c r="V351" i="12"/>
  <c r="Q387" i="12"/>
  <c r="U387" i="12"/>
  <c r="S387" i="12"/>
  <c r="P387" i="12"/>
  <c r="F387" i="12"/>
  <c r="R387" i="12"/>
  <c r="N387" i="12"/>
  <c r="M387" i="12"/>
  <c r="G387" i="12"/>
  <c r="O387" i="12"/>
  <c r="V387" i="12"/>
  <c r="F277" i="12"/>
  <c r="R277" i="12"/>
  <c r="U277" i="12"/>
  <c r="Q277" i="12"/>
  <c r="O277" i="12"/>
  <c r="G277" i="12"/>
  <c r="N277" i="12"/>
  <c r="S277" i="12"/>
  <c r="M277" i="12"/>
  <c r="V277" i="12"/>
  <c r="P277" i="12"/>
  <c r="F101" i="12"/>
  <c r="G101" i="12"/>
  <c r="T101" i="12"/>
  <c r="Q101" i="12"/>
  <c r="N101" i="12"/>
  <c r="V101" i="12"/>
  <c r="O101" i="12"/>
  <c r="S101" i="12"/>
  <c r="M101" i="12"/>
  <c r="P101" i="12"/>
  <c r="R101" i="12"/>
  <c r="U76" i="12"/>
  <c r="G76" i="12"/>
  <c r="T76" i="12"/>
  <c r="P76" i="12"/>
  <c r="M76" i="12"/>
  <c r="S76" i="12"/>
  <c r="V76" i="12"/>
  <c r="O76" i="12"/>
  <c r="N76" i="12"/>
  <c r="R76" i="12"/>
  <c r="F76" i="12"/>
  <c r="Q76" i="12"/>
  <c r="R600" i="12"/>
  <c r="F600" i="12"/>
  <c r="M600" i="12"/>
  <c r="V600" i="12"/>
  <c r="O600" i="12"/>
  <c r="N600" i="12"/>
  <c r="Q600" i="12"/>
  <c r="T600" i="12"/>
  <c r="S600" i="12"/>
  <c r="G600" i="12"/>
  <c r="U600" i="12"/>
  <c r="P22" i="12"/>
  <c r="S22" i="12"/>
  <c r="V22" i="12"/>
  <c r="F22" i="12"/>
  <c r="T22" i="12"/>
  <c r="U22" i="12"/>
  <c r="M22" i="12"/>
  <c r="N22" i="12"/>
  <c r="G22" i="12"/>
  <c r="O22" i="12"/>
  <c r="R22" i="12"/>
  <c r="T249" i="12"/>
  <c r="Q249" i="12"/>
  <c r="R249" i="12"/>
  <c r="F249" i="12"/>
  <c r="G249" i="12"/>
  <c r="M249" i="12"/>
  <c r="U249" i="12"/>
  <c r="O249" i="12"/>
  <c r="S249" i="12"/>
  <c r="P249" i="12"/>
  <c r="N249" i="12"/>
  <c r="V249" i="12"/>
  <c r="V196" i="12"/>
  <c r="F196" i="12"/>
  <c r="G196" i="12"/>
  <c r="O196" i="12"/>
  <c r="R196" i="12"/>
  <c r="S196" i="12"/>
  <c r="T196" i="12"/>
  <c r="N196" i="12"/>
  <c r="U196" i="12"/>
  <c r="M196" i="12"/>
  <c r="Q196" i="12"/>
  <c r="G246" i="12"/>
  <c r="S246" i="12"/>
  <c r="V246" i="12"/>
  <c r="U246" i="12"/>
  <c r="N246" i="12"/>
  <c r="Q246" i="12"/>
  <c r="O246" i="12"/>
  <c r="P246" i="12"/>
  <c r="R246" i="12"/>
  <c r="M246" i="12"/>
  <c r="F246" i="12"/>
  <c r="Q437" i="12"/>
  <c r="O437" i="12"/>
  <c r="N437" i="12"/>
  <c r="V437" i="12"/>
  <c r="R437" i="12"/>
  <c r="U437" i="12"/>
  <c r="M437" i="12"/>
  <c r="P437" i="12"/>
  <c r="T437" i="12"/>
  <c r="F437" i="12"/>
  <c r="G437" i="12"/>
  <c r="S437" i="12"/>
  <c r="S514" i="12"/>
  <c r="T514" i="12"/>
  <c r="G514" i="12"/>
  <c r="N514" i="12"/>
  <c r="F514" i="12"/>
  <c r="V514" i="12"/>
  <c r="R514" i="12"/>
  <c r="O514" i="12"/>
  <c r="Q514" i="12"/>
  <c r="U514" i="12"/>
  <c r="M514" i="12"/>
  <c r="G340" i="12"/>
  <c r="O340" i="12"/>
  <c r="F340" i="12"/>
  <c r="AC340" i="12" s="1"/>
  <c r="U340" i="12"/>
  <c r="S340" i="12"/>
  <c r="Q340" i="12"/>
  <c r="M340" i="12"/>
  <c r="N340" i="12"/>
  <c r="T340" i="12"/>
  <c r="R340" i="12"/>
  <c r="V340" i="12"/>
  <c r="V44" i="12"/>
  <c r="R44" i="12"/>
  <c r="T44" i="12"/>
  <c r="Q44" i="12"/>
  <c r="O44" i="12"/>
  <c r="N44" i="12"/>
  <c r="S44" i="12"/>
  <c r="U44" i="12"/>
  <c r="F44" i="12"/>
  <c r="G44" i="12"/>
  <c r="M44" i="12"/>
  <c r="G396" i="12"/>
  <c r="T396" i="12"/>
  <c r="N396" i="12"/>
  <c r="Q396" i="12"/>
  <c r="R396" i="12"/>
  <c r="P396" i="12"/>
  <c r="M396" i="12"/>
  <c r="V396" i="12"/>
  <c r="O396" i="12"/>
  <c r="S396" i="12"/>
  <c r="F396" i="12"/>
  <c r="U396" i="12"/>
  <c r="G500" i="12"/>
  <c r="F500" i="12"/>
  <c r="T500" i="12"/>
  <c r="P71" i="12"/>
  <c r="G71" i="12"/>
  <c r="F71" i="12"/>
  <c r="AC71" i="12" s="1"/>
  <c r="S71" i="12"/>
  <c r="T71" i="12"/>
  <c r="N71" i="12"/>
  <c r="Q71" i="12"/>
  <c r="R71" i="12"/>
  <c r="O71" i="12"/>
  <c r="U71" i="12"/>
  <c r="V71" i="12"/>
  <c r="M71" i="12"/>
  <c r="O319" i="12"/>
  <c r="S319" i="12"/>
  <c r="T319" i="12"/>
  <c r="F319" i="12"/>
  <c r="G319" i="12"/>
  <c r="U319" i="12"/>
  <c r="V319" i="12"/>
  <c r="R319" i="12"/>
  <c r="Q319" i="12"/>
  <c r="N319" i="12"/>
  <c r="M319" i="12"/>
  <c r="P319" i="12"/>
  <c r="O356" i="12"/>
  <c r="Q356" i="12"/>
  <c r="P356" i="12"/>
  <c r="V356" i="12"/>
  <c r="S356" i="12"/>
  <c r="M356" i="12"/>
  <c r="U356" i="12"/>
  <c r="T356" i="12"/>
  <c r="R356" i="12"/>
  <c r="N356" i="12"/>
  <c r="F356" i="12"/>
  <c r="G356" i="12"/>
  <c r="P130" i="12"/>
  <c r="M130" i="12"/>
  <c r="N130" i="12"/>
  <c r="R130" i="12"/>
  <c r="U130" i="12"/>
  <c r="T130" i="12"/>
  <c r="S130" i="12"/>
  <c r="F130" i="12"/>
  <c r="G130" i="12"/>
  <c r="V130" i="12"/>
  <c r="Q130" i="12"/>
  <c r="O130" i="12"/>
  <c r="G411" i="12"/>
  <c r="F411" i="12"/>
  <c r="F225" i="12"/>
  <c r="G225" i="12"/>
  <c r="N225" i="12"/>
  <c r="P225" i="12"/>
  <c r="U225" i="12"/>
  <c r="V225" i="12"/>
  <c r="S225" i="12"/>
  <c r="R225" i="12"/>
  <c r="Q225" i="12"/>
  <c r="O225" i="12"/>
  <c r="M225" i="12"/>
  <c r="T225" i="12"/>
  <c r="F399" i="12"/>
  <c r="G399" i="12"/>
  <c r="S399" i="12"/>
  <c r="T399" i="12"/>
  <c r="O399" i="12"/>
  <c r="M399" i="12"/>
  <c r="N399" i="12"/>
  <c r="Q399" i="12"/>
  <c r="R399" i="12"/>
  <c r="P399" i="12"/>
  <c r="U399" i="12"/>
  <c r="V399" i="12"/>
  <c r="O585" i="12"/>
  <c r="G585" i="12"/>
  <c r="F585" i="12"/>
  <c r="N585" i="12"/>
  <c r="U585" i="12"/>
  <c r="T585" i="12"/>
  <c r="Q585" i="12"/>
  <c r="P585" i="12"/>
  <c r="M585" i="12"/>
  <c r="R585" i="12"/>
  <c r="S585" i="12"/>
  <c r="V585" i="12"/>
  <c r="T450" i="12"/>
  <c r="S450" i="12"/>
  <c r="Q450" i="12"/>
  <c r="R450" i="12"/>
  <c r="O450" i="12"/>
  <c r="P450" i="12"/>
  <c r="M450" i="12"/>
  <c r="N450" i="12"/>
  <c r="U450" i="12"/>
  <c r="V450" i="12"/>
  <c r="F450" i="12"/>
  <c r="G450" i="12"/>
  <c r="T262" i="12"/>
  <c r="N262" i="12"/>
  <c r="U262" i="12"/>
  <c r="Q262" i="12"/>
  <c r="G262" i="12"/>
  <c r="O262" i="12"/>
  <c r="P262" i="12"/>
  <c r="S262" i="12"/>
  <c r="R262" i="12"/>
  <c r="M262" i="12"/>
  <c r="F262" i="12"/>
  <c r="V262" i="12"/>
  <c r="U151" i="12"/>
  <c r="S151" i="12"/>
  <c r="R151" i="12"/>
  <c r="P151" i="12"/>
  <c r="O151" i="12"/>
  <c r="G151" i="12"/>
  <c r="V151" i="12"/>
  <c r="N151" i="12"/>
  <c r="T151" i="12"/>
  <c r="F151" i="12"/>
  <c r="AC151" i="12" s="1"/>
  <c r="Q151" i="12"/>
  <c r="M151" i="12"/>
  <c r="G424" i="12"/>
  <c r="F424" i="12"/>
  <c r="Q614" i="12"/>
  <c r="R614" i="12"/>
  <c r="T614" i="12"/>
  <c r="V614" i="12"/>
  <c r="M614" i="12"/>
  <c r="N614" i="12"/>
  <c r="O614" i="12"/>
  <c r="F614" i="12"/>
  <c r="P614" i="12"/>
  <c r="S614" i="12"/>
  <c r="U614" i="12"/>
  <c r="G614" i="12"/>
  <c r="Q534" i="12"/>
  <c r="U534" i="12"/>
  <c r="M534" i="12"/>
  <c r="P534" i="12"/>
  <c r="O534" i="12"/>
  <c r="R534" i="12"/>
  <c r="T534" i="12"/>
  <c r="F534" i="12"/>
  <c r="G534" i="12"/>
  <c r="S534" i="12"/>
  <c r="N534" i="12"/>
  <c r="V534" i="12"/>
  <c r="O175" i="12"/>
  <c r="P175" i="12"/>
  <c r="N175" i="12"/>
  <c r="V175" i="12"/>
  <c r="U175" i="12"/>
  <c r="R175" i="12"/>
  <c r="G175" i="12"/>
  <c r="F175" i="12"/>
  <c r="S175" i="12"/>
  <c r="T175" i="12"/>
  <c r="M175" i="12"/>
  <c r="Q175" i="12"/>
  <c r="P233" i="12"/>
  <c r="S233" i="12"/>
  <c r="R233" i="12"/>
  <c r="F233" i="12"/>
  <c r="G233" i="12"/>
  <c r="Q233" i="12"/>
  <c r="V233" i="12"/>
  <c r="O233" i="12"/>
  <c r="N233" i="12"/>
  <c r="T233" i="12"/>
  <c r="U233" i="12"/>
  <c r="M233" i="12"/>
  <c r="G557" i="12"/>
  <c r="F557" i="12"/>
  <c r="AC557" i="12" s="1"/>
  <c r="S557" i="12"/>
  <c r="T557" i="12"/>
  <c r="Q557" i="12"/>
  <c r="O557" i="12"/>
  <c r="P557" i="12"/>
  <c r="M557" i="12"/>
  <c r="U557" i="12"/>
  <c r="N557" i="12"/>
  <c r="R557" i="12"/>
  <c r="V557" i="12"/>
  <c r="P481" i="12"/>
  <c r="F481" i="12"/>
  <c r="G481" i="12"/>
  <c r="R481" i="12"/>
  <c r="M481" i="12"/>
  <c r="V481" i="12"/>
  <c r="N481" i="12"/>
  <c r="Q481" i="12"/>
  <c r="U481" i="12"/>
  <c r="T481" i="12"/>
  <c r="S481" i="12"/>
  <c r="O481" i="12"/>
  <c r="N90" i="12"/>
  <c r="F90" i="12"/>
  <c r="R90" i="12"/>
  <c r="U90" i="12"/>
  <c r="M90" i="12"/>
  <c r="Q90" i="12"/>
  <c r="G90" i="12"/>
  <c r="O90" i="12"/>
  <c r="V90" i="12"/>
  <c r="T90" i="12"/>
  <c r="P90" i="12"/>
  <c r="S90" i="12"/>
  <c r="M322" i="12"/>
  <c r="V322" i="12"/>
  <c r="P322" i="12"/>
  <c r="N322" i="12"/>
  <c r="Q322" i="12"/>
  <c r="S322" i="12"/>
  <c r="T322" i="12"/>
  <c r="O322" i="12"/>
  <c r="U322" i="12"/>
  <c r="R322" i="12"/>
  <c r="G322" i="12"/>
  <c r="F322" i="12"/>
  <c r="R184" i="12"/>
  <c r="N184" i="12"/>
  <c r="P184" i="12"/>
  <c r="O184" i="12"/>
  <c r="V184" i="12"/>
  <c r="Q184" i="12"/>
  <c r="S184" i="12"/>
  <c r="F184" i="12"/>
  <c r="T184" i="12"/>
  <c r="M184" i="12"/>
  <c r="U184" i="12"/>
  <c r="G184" i="12"/>
  <c r="O475" i="12"/>
  <c r="G475" i="12"/>
  <c r="F475" i="12"/>
  <c r="S475" i="12"/>
  <c r="T475" i="12"/>
  <c r="R475" i="12"/>
  <c r="P475" i="12"/>
  <c r="N475" i="12"/>
  <c r="Q475" i="12"/>
  <c r="U475" i="12"/>
  <c r="V475" i="12"/>
  <c r="M475" i="12"/>
  <c r="G20" i="12"/>
  <c r="F20" i="12"/>
  <c r="B5" i="12" a="1"/>
  <c r="F219" i="12"/>
  <c r="G219" i="12"/>
  <c r="R219" i="12"/>
  <c r="U219" i="12"/>
  <c r="M219" i="12"/>
  <c r="N219" i="12"/>
  <c r="Q219" i="12"/>
  <c r="P219" i="12"/>
  <c r="O219" i="12"/>
  <c r="V219" i="12"/>
  <c r="T219" i="12"/>
  <c r="S219" i="12"/>
  <c r="O186" i="12"/>
  <c r="N186" i="12"/>
  <c r="G186" i="12"/>
  <c r="F186" i="12"/>
  <c r="P186" i="12"/>
  <c r="T186" i="12"/>
  <c r="U186" i="12"/>
  <c r="S186" i="12"/>
  <c r="M186" i="12"/>
  <c r="Q186" i="12"/>
  <c r="R186" i="12"/>
  <c r="V186" i="12"/>
  <c r="P73" i="12"/>
  <c r="U73" i="12"/>
  <c r="G73" i="12"/>
  <c r="S73" i="12"/>
  <c r="N73" i="12"/>
  <c r="R73" i="12"/>
  <c r="O73" i="12"/>
  <c r="M73" i="12"/>
  <c r="F73" i="12"/>
  <c r="AC73" i="12" s="1"/>
  <c r="T73" i="12"/>
  <c r="Q73" i="12"/>
  <c r="V73" i="12"/>
  <c r="M32" i="12"/>
  <c r="G32" i="12"/>
  <c r="Q32" i="12"/>
  <c r="O32" i="12"/>
  <c r="T32" i="12"/>
  <c r="F32" i="12"/>
  <c r="S32" i="12"/>
  <c r="N32" i="12"/>
  <c r="R32" i="12"/>
  <c r="U32" i="12"/>
  <c r="P32" i="12"/>
  <c r="V32" i="12"/>
  <c r="N563" i="12"/>
  <c r="R563" i="12"/>
  <c r="V563" i="12"/>
  <c r="T563" i="12"/>
  <c r="S563" i="12"/>
  <c r="G563" i="12"/>
  <c r="F563" i="12"/>
  <c r="O563" i="12"/>
  <c r="U563" i="12"/>
  <c r="P563" i="12"/>
  <c r="M563" i="12"/>
  <c r="Q563" i="12"/>
  <c r="M285" i="12"/>
  <c r="N285" i="12"/>
  <c r="S285" i="12"/>
  <c r="F285" i="12"/>
  <c r="Q285" i="12"/>
  <c r="U285" i="12"/>
  <c r="P285" i="12"/>
  <c r="G285" i="12"/>
  <c r="T285" i="12"/>
  <c r="R285" i="12"/>
  <c r="O285" i="12"/>
  <c r="N33" i="12"/>
  <c r="O33" i="12"/>
  <c r="P33" i="12"/>
  <c r="M33" i="12"/>
  <c r="U33" i="12"/>
  <c r="V33" i="12"/>
  <c r="Q33" i="12"/>
  <c r="R33" i="12"/>
  <c r="G118" i="12"/>
  <c r="F118" i="12"/>
  <c r="V118" i="12"/>
  <c r="U118" i="12"/>
  <c r="Q118" i="12"/>
  <c r="R118" i="12"/>
  <c r="S118" i="12"/>
  <c r="T118" i="12"/>
  <c r="M118" i="12"/>
  <c r="N118" i="12"/>
  <c r="O118" i="12"/>
  <c r="P118" i="12"/>
  <c r="M466" i="12"/>
  <c r="O466" i="12"/>
  <c r="G466" i="12"/>
  <c r="F466" i="12"/>
  <c r="N466" i="12"/>
  <c r="Q466" i="12"/>
  <c r="P466" i="12"/>
  <c r="R466" i="12"/>
  <c r="V466" i="12"/>
  <c r="U466" i="12"/>
  <c r="S466" i="12"/>
  <c r="T466" i="12"/>
  <c r="N538" i="12"/>
  <c r="Q538" i="12"/>
  <c r="F538" i="12"/>
  <c r="G538" i="12"/>
  <c r="V538" i="12"/>
  <c r="T538" i="12"/>
  <c r="S538" i="12"/>
  <c r="U538" i="12"/>
  <c r="M538" i="12"/>
  <c r="P538" i="12"/>
  <c r="O538" i="12"/>
  <c r="R538" i="12"/>
  <c r="V98" i="12"/>
  <c r="T98" i="12"/>
  <c r="Q98" i="12"/>
  <c r="O98" i="12"/>
  <c r="P98" i="12"/>
  <c r="M98" i="12"/>
  <c r="N98" i="12"/>
  <c r="R98" i="12"/>
  <c r="U98" i="12"/>
  <c r="G98" i="12"/>
  <c r="S98" i="12"/>
  <c r="F98" i="12"/>
  <c r="AC98" i="12" s="1"/>
  <c r="G81" i="12"/>
  <c r="F81" i="12"/>
  <c r="Q81" i="12"/>
  <c r="S81" i="12"/>
  <c r="O81" i="12"/>
  <c r="P81" i="12"/>
  <c r="M81" i="12"/>
  <c r="V81" i="12"/>
  <c r="T81" i="12"/>
  <c r="N81" i="12"/>
  <c r="U81" i="12"/>
  <c r="R81" i="12"/>
  <c r="F606" i="12"/>
  <c r="N606" i="12"/>
  <c r="V606" i="12"/>
  <c r="S606" i="12"/>
  <c r="R606" i="12"/>
  <c r="Q606" i="12"/>
  <c r="P606" i="12"/>
  <c r="M606" i="12"/>
  <c r="O606" i="12"/>
  <c r="U606" i="12"/>
  <c r="T606" i="12"/>
  <c r="G606" i="12"/>
  <c r="P576" i="12"/>
  <c r="O576" i="12"/>
  <c r="V576" i="12"/>
  <c r="U576" i="12"/>
  <c r="Q576" i="12"/>
  <c r="R576" i="12"/>
  <c r="F576" i="12"/>
  <c r="N576" i="12"/>
  <c r="G576" i="12"/>
  <c r="S576" i="12"/>
  <c r="T576" i="12"/>
  <c r="M576" i="12"/>
  <c r="T560" i="12"/>
  <c r="Q560" i="12"/>
  <c r="O560" i="12"/>
  <c r="S560" i="12"/>
  <c r="R560" i="12"/>
  <c r="P560" i="12"/>
  <c r="U560" i="12"/>
  <c r="M560" i="12"/>
  <c r="V560" i="12"/>
  <c r="G560" i="12"/>
  <c r="N560" i="12"/>
  <c r="F560" i="12"/>
  <c r="V544" i="12"/>
  <c r="G544" i="12"/>
  <c r="R544" i="12"/>
  <c r="U544" i="12"/>
  <c r="M544" i="12"/>
  <c r="P544" i="12"/>
  <c r="O544" i="12"/>
  <c r="Q544" i="12"/>
  <c r="N544" i="12"/>
  <c r="S544" i="12"/>
  <c r="F544" i="12"/>
  <c r="T544" i="12"/>
  <c r="S512" i="12"/>
  <c r="R512" i="12"/>
  <c r="F512" i="12"/>
  <c r="G512" i="12"/>
  <c r="T512" i="12"/>
  <c r="O512" i="12"/>
  <c r="M512" i="12"/>
  <c r="U512" i="12"/>
  <c r="V512" i="12"/>
  <c r="Q512" i="12"/>
  <c r="N512" i="12"/>
  <c r="P512" i="12"/>
  <c r="G497" i="12"/>
  <c r="M497" i="12"/>
  <c r="P497" i="12"/>
  <c r="N497" i="12"/>
  <c r="V497" i="12"/>
  <c r="F497" i="12"/>
  <c r="O497" i="12"/>
  <c r="S497" i="12"/>
  <c r="T497" i="12"/>
  <c r="G483" i="12"/>
  <c r="O483" i="12"/>
  <c r="T483" i="12"/>
  <c r="M483" i="12"/>
  <c r="R483" i="12"/>
  <c r="U483" i="12"/>
  <c r="N483" i="12"/>
  <c r="S483" i="12"/>
  <c r="F483" i="12"/>
  <c r="F438" i="12"/>
  <c r="V438" i="12"/>
  <c r="P438" i="12"/>
  <c r="M438" i="12"/>
  <c r="R438" i="12"/>
  <c r="G438" i="12"/>
  <c r="S438" i="12"/>
  <c r="U438" i="12"/>
  <c r="N438" i="12"/>
  <c r="Q438" i="12"/>
  <c r="O438" i="12"/>
  <c r="T438" i="12"/>
  <c r="F431" i="12"/>
  <c r="R431" i="12"/>
  <c r="N431" i="12"/>
  <c r="T431" i="12"/>
  <c r="P431" i="12"/>
  <c r="Q431" i="12"/>
  <c r="O431" i="12"/>
  <c r="S431" i="12"/>
  <c r="G431" i="12"/>
  <c r="R407" i="12"/>
  <c r="S407" i="12"/>
  <c r="V407" i="12"/>
  <c r="O407" i="12"/>
  <c r="U407" i="12"/>
  <c r="T407" i="12"/>
  <c r="F407" i="12"/>
  <c r="N407" i="12"/>
  <c r="Q407" i="12"/>
  <c r="R391" i="12"/>
  <c r="F391" i="12"/>
  <c r="P391" i="12"/>
  <c r="T391" i="12"/>
  <c r="Q391" i="12"/>
  <c r="O391" i="12"/>
  <c r="G391" i="12"/>
  <c r="S391" i="12"/>
  <c r="N391" i="12"/>
  <c r="V391" i="12"/>
  <c r="U391" i="12"/>
  <c r="R375" i="12"/>
  <c r="P375" i="12"/>
  <c r="O375" i="12"/>
  <c r="S375" i="12"/>
  <c r="V375" i="12"/>
  <c r="F375" i="12"/>
  <c r="N375" i="12"/>
  <c r="G375" i="12"/>
  <c r="T375" i="12"/>
  <c r="S359" i="12"/>
  <c r="O359" i="12"/>
  <c r="F359" i="12"/>
  <c r="G359" i="12"/>
  <c r="M359" i="12"/>
  <c r="T359" i="12"/>
  <c r="Q359" i="12"/>
  <c r="N359" i="12"/>
  <c r="U359" i="12"/>
  <c r="P359" i="12"/>
  <c r="R359" i="12"/>
  <c r="V359" i="12"/>
  <c r="P341" i="12"/>
  <c r="F341" i="12"/>
  <c r="U341" i="12"/>
  <c r="T341" i="12"/>
  <c r="G341" i="12"/>
  <c r="N341" i="12"/>
  <c r="M341" i="12"/>
  <c r="O341" i="12"/>
  <c r="R341" i="12"/>
  <c r="R201" i="12"/>
  <c r="O201" i="12"/>
  <c r="G201" i="12"/>
  <c r="Q201" i="12"/>
  <c r="S201" i="12"/>
  <c r="N201" i="12"/>
  <c r="F201" i="12"/>
  <c r="P201" i="12"/>
  <c r="V201" i="12"/>
  <c r="U201" i="12"/>
  <c r="T201" i="12"/>
  <c r="P178" i="12"/>
  <c r="G178" i="12"/>
  <c r="V178" i="12"/>
  <c r="R178" i="12"/>
  <c r="N178" i="12"/>
  <c r="F178" i="12"/>
  <c r="O178" i="12"/>
  <c r="T178" i="12"/>
  <c r="F116" i="12"/>
  <c r="S116" i="12"/>
  <c r="V116" i="12"/>
  <c r="U116" i="12"/>
  <c r="R116" i="12"/>
  <c r="G116" i="12"/>
  <c r="N116" i="12"/>
  <c r="Q116" i="12"/>
  <c r="P116" i="12"/>
  <c r="O116" i="12"/>
  <c r="T116" i="12"/>
  <c r="R100" i="12"/>
  <c r="S100" i="12"/>
  <c r="O100" i="12"/>
  <c r="F100" i="12"/>
  <c r="T100" i="12"/>
  <c r="G100" i="12"/>
  <c r="P100" i="12"/>
  <c r="U100" i="12"/>
  <c r="M100" i="12"/>
  <c r="Q88" i="12"/>
  <c r="F88" i="12"/>
  <c r="P88" i="12"/>
  <c r="S88" i="12"/>
  <c r="R88" i="12"/>
  <c r="O88" i="12"/>
  <c r="T88" i="12"/>
  <c r="U88" i="12"/>
  <c r="G88" i="12"/>
  <c r="V88" i="12"/>
  <c r="P66" i="12"/>
  <c r="O66" i="12"/>
  <c r="T66" i="12"/>
  <c r="G66" i="12"/>
  <c r="F66" i="12"/>
  <c r="R66" i="12"/>
  <c r="N66" i="12"/>
  <c r="Q66" i="12"/>
  <c r="U66" i="12"/>
  <c r="S66" i="12"/>
  <c r="S48" i="12"/>
  <c r="O48" i="12"/>
  <c r="P48" i="12"/>
  <c r="F48" i="12"/>
  <c r="G48" i="12"/>
  <c r="T48" i="12"/>
  <c r="M48" i="12"/>
  <c r="Q48" i="12"/>
  <c r="R48" i="12"/>
  <c r="N24" i="12"/>
  <c r="G24" i="12"/>
  <c r="R24" i="12"/>
  <c r="V24" i="12"/>
  <c r="Q24" i="12"/>
  <c r="U24" i="12"/>
  <c r="F24" i="12"/>
  <c r="T24" i="12"/>
  <c r="P24" i="12"/>
  <c r="S24" i="12"/>
  <c r="O24" i="12"/>
  <c r="M24" i="12"/>
  <c r="P530" i="12"/>
  <c r="Q530" i="12"/>
  <c r="O530" i="12"/>
  <c r="T530" i="12"/>
  <c r="G530" i="12"/>
  <c r="R530" i="12"/>
  <c r="S530" i="12"/>
  <c r="F530" i="12"/>
  <c r="P590" i="12"/>
  <c r="M590" i="12"/>
  <c r="R590" i="12"/>
  <c r="V590" i="12"/>
  <c r="T590" i="12"/>
  <c r="F590" i="12"/>
  <c r="S590" i="12"/>
  <c r="G590" i="12"/>
  <c r="Q590" i="12"/>
  <c r="U590" i="12"/>
  <c r="N590" i="12"/>
  <c r="Q519" i="12"/>
  <c r="F519" i="12"/>
  <c r="O519" i="12"/>
  <c r="T519" i="12"/>
  <c r="G519" i="12"/>
  <c r="S519" i="12"/>
  <c r="N519" i="12"/>
  <c r="V519" i="12"/>
  <c r="P519" i="12"/>
  <c r="O505" i="12"/>
  <c r="U505" i="12"/>
  <c r="F505" i="12"/>
  <c r="R505" i="12"/>
  <c r="P505" i="12"/>
  <c r="Q505" i="12"/>
  <c r="T505" i="12"/>
  <c r="G505" i="12"/>
  <c r="V505" i="12"/>
  <c r="S505" i="12"/>
  <c r="N476" i="12"/>
  <c r="M476" i="12"/>
  <c r="F476" i="12"/>
  <c r="G476" i="12"/>
  <c r="P476" i="12"/>
  <c r="Q476" i="12"/>
  <c r="S476" i="12"/>
  <c r="O476" i="12"/>
  <c r="T476" i="12"/>
  <c r="R462" i="12"/>
  <c r="N462" i="12"/>
  <c r="T462" i="12"/>
  <c r="G462" i="12"/>
  <c r="P462" i="12"/>
  <c r="O462" i="12"/>
  <c r="M462" i="12"/>
  <c r="V462" i="12"/>
  <c r="F462" i="12"/>
  <c r="S462" i="12"/>
  <c r="S423" i="12"/>
  <c r="Q423" i="12"/>
  <c r="G423" i="12"/>
  <c r="U423" i="12"/>
  <c r="T423" i="12"/>
  <c r="F423" i="12"/>
  <c r="O423" i="12"/>
  <c r="N423" i="12"/>
  <c r="V423" i="12"/>
  <c r="P423" i="12"/>
  <c r="P415" i="12"/>
  <c r="O415" i="12"/>
  <c r="Q415" i="12"/>
  <c r="U415" i="12"/>
  <c r="G415" i="12"/>
  <c r="R415" i="12"/>
  <c r="T415" i="12"/>
  <c r="F415" i="12"/>
  <c r="N415" i="12"/>
  <c r="N349" i="12"/>
  <c r="G349" i="12"/>
  <c r="U349" i="12"/>
  <c r="O349" i="12"/>
  <c r="V349" i="12"/>
  <c r="Q349" i="12"/>
  <c r="S349" i="12"/>
  <c r="F349" i="12"/>
  <c r="T349" i="12"/>
  <c r="P349" i="12"/>
  <c r="G334" i="12"/>
  <c r="P334" i="12"/>
  <c r="N334" i="12"/>
  <c r="F334" i="12"/>
  <c r="V334" i="12"/>
  <c r="T334" i="12"/>
  <c r="O334" i="12"/>
  <c r="Q334" i="12"/>
  <c r="S334" i="12"/>
  <c r="T317" i="12"/>
  <c r="U317" i="12"/>
  <c r="R317" i="12"/>
  <c r="F317" i="12"/>
  <c r="G317" i="12"/>
  <c r="P317" i="12"/>
  <c r="N317" i="12"/>
  <c r="O317" i="12"/>
  <c r="S317" i="12"/>
  <c r="G291" i="12"/>
  <c r="P291" i="12"/>
  <c r="M291" i="12"/>
  <c r="T291" i="12"/>
  <c r="R291" i="12"/>
  <c r="Q291" i="12"/>
  <c r="N291" i="12"/>
  <c r="F291" i="12"/>
  <c r="S291" i="12"/>
  <c r="O291" i="12"/>
  <c r="V291" i="12"/>
  <c r="S282" i="12"/>
  <c r="F282" i="12"/>
  <c r="N282" i="12"/>
  <c r="T282" i="12"/>
  <c r="U282" i="12"/>
  <c r="G282" i="12"/>
  <c r="M282" i="12"/>
  <c r="O282" i="12"/>
  <c r="Q282" i="12"/>
  <c r="R282" i="12"/>
  <c r="G266" i="12"/>
  <c r="O266" i="12"/>
  <c r="Q266" i="12"/>
  <c r="T266" i="12"/>
  <c r="N266" i="12"/>
  <c r="U266" i="12"/>
  <c r="F266" i="12"/>
  <c r="F211" i="12"/>
  <c r="R211" i="12"/>
  <c r="T211" i="12"/>
  <c r="O211" i="12"/>
  <c r="S211" i="12"/>
  <c r="V211" i="12"/>
  <c r="N211" i="12"/>
  <c r="U211" i="12"/>
  <c r="G211" i="12"/>
  <c r="P211" i="12"/>
  <c r="Q211" i="12"/>
  <c r="M110" i="12"/>
  <c r="N110" i="12"/>
  <c r="S110" i="12"/>
  <c r="T110" i="12"/>
  <c r="F110" i="12"/>
  <c r="P110" i="12"/>
  <c r="O110" i="12"/>
  <c r="G110" i="12"/>
  <c r="R94" i="12"/>
  <c r="P94" i="12"/>
  <c r="V94" i="12"/>
  <c r="F94" i="12"/>
  <c r="M94" i="12"/>
  <c r="G94" i="12"/>
  <c r="S94" i="12"/>
  <c r="O94" i="12"/>
  <c r="T94" i="12"/>
  <c r="Q94" i="12"/>
  <c r="N94" i="12"/>
  <c r="G56" i="12"/>
  <c r="R56" i="12"/>
  <c r="O56" i="12"/>
  <c r="U56" i="12"/>
  <c r="S56" i="12"/>
  <c r="P56" i="12"/>
  <c r="N56" i="12"/>
  <c r="F56" i="12"/>
  <c r="AC56" i="12" s="1"/>
  <c r="T56" i="12"/>
  <c r="R40" i="12"/>
  <c r="M40" i="12"/>
  <c r="T40" i="12"/>
  <c r="Q40" i="12"/>
  <c r="U40" i="12"/>
  <c r="S40" i="12"/>
  <c r="N40" i="12"/>
  <c r="O40" i="12"/>
  <c r="P40" i="12"/>
  <c r="F40" i="12"/>
  <c r="G40" i="12"/>
  <c r="V40" i="12"/>
  <c r="V274" i="12"/>
  <c r="M274" i="12"/>
  <c r="T274" i="12"/>
  <c r="F274" i="12"/>
  <c r="R274" i="12"/>
  <c r="O274" i="12"/>
  <c r="P274" i="12"/>
  <c r="G274" i="12"/>
  <c r="T194" i="12"/>
  <c r="N194" i="12"/>
  <c r="P194" i="12"/>
  <c r="F194" i="12"/>
  <c r="S194" i="12"/>
  <c r="R194" i="12"/>
  <c r="O194" i="12"/>
  <c r="V194" i="12"/>
  <c r="Q194" i="12"/>
  <c r="G194" i="12"/>
  <c r="M330" i="12"/>
  <c r="V330" i="12"/>
  <c r="O330" i="12"/>
  <c r="R330" i="12"/>
  <c r="U330" i="12"/>
  <c r="P330" i="12"/>
  <c r="F330" i="12"/>
  <c r="S330" i="12"/>
  <c r="Q330" i="12"/>
  <c r="G330" i="12"/>
  <c r="N330" i="12"/>
  <c r="G315" i="12"/>
  <c r="M315" i="12"/>
  <c r="P315" i="12"/>
  <c r="N315" i="12"/>
  <c r="O315" i="12"/>
  <c r="U315" i="12"/>
  <c r="F315" i="12"/>
  <c r="R315" i="12"/>
  <c r="S591" i="12"/>
  <c r="O591" i="12"/>
  <c r="T591" i="12"/>
  <c r="F591" i="12"/>
  <c r="V591" i="12"/>
  <c r="Q591" i="12"/>
  <c r="R591" i="12"/>
  <c r="G591" i="12"/>
  <c r="P591" i="12"/>
  <c r="U591" i="12"/>
  <c r="N591" i="12"/>
  <c r="N254" i="12"/>
  <c r="O254" i="12"/>
  <c r="F254" i="12"/>
  <c r="P254" i="12"/>
  <c r="T254" i="12"/>
  <c r="U254" i="12"/>
  <c r="Q254" i="12"/>
  <c r="O288" i="12"/>
  <c r="R288" i="12"/>
  <c r="F288" i="12"/>
  <c r="P288" i="12"/>
  <c r="T288" i="12"/>
  <c r="G288" i="12"/>
  <c r="S288" i="12"/>
  <c r="U288" i="12"/>
  <c r="N288" i="12"/>
  <c r="Q470" i="12"/>
  <c r="P470" i="12"/>
  <c r="S470" i="12"/>
  <c r="T470" i="12"/>
  <c r="M470" i="12"/>
  <c r="R470" i="12"/>
  <c r="F470" i="12"/>
  <c r="G470" i="12"/>
  <c r="V470" i="12"/>
  <c r="O470" i="12"/>
  <c r="S379" i="12"/>
  <c r="N379" i="12"/>
  <c r="R379" i="12"/>
  <c r="G379" i="12"/>
  <c r="F379" i="12"/>
  <c r="M379" i="12"/>
  <c r="T379" i="12"/>
  <c r="O379" i="12"/>
  <c r="Q467" i="12"/>
  <c r="T467" i="12"/>
  <c r="G467" i="12"/>
  <c r="S467" i="12"/>
  <c r="R467" i="12"/>
  <c r="O467" i="12"/>
  <c r="P467" i="12"/>
  <c r="V467" i="12"/>
  <c r="F467" i="12"/>
  <c r="R296" i="12"/>
  <c r="T296" i="12"/>
  <c r="G296" i="12"/>
  <c r="U296" i="12"/>
  <c r="M296" i="12"/>
  <c r="N296" i="12"/>
  <c r="S296" i="12"/>
  <c r="F296" i="12"/>
  <c r="AC296" i="12" s="1"/>
  <c r="Q296" i="12"/>
  <c r="O296" i="12"/>
  <c r="V296" i="12"/>
  <c r="P296" i="12"/>
  <c r="U442" i="12"/>
  <c r="Q442" i="12"/>
  <c r="G442" i="12"/>
  <c r="M442" i="12"/>
  <c r="F442" i="12"/>
  <c r="T442" i="12"/>
  <c r="N442" i="12"/>
  <c r="S442" i="12"/>
  <c r="V442" i="12"/>
  <c r="Y507" i="12"/>
  <c r="AL300" i="12"/>
  <c r="AL299" i="12"/>
  <c r="AL298" i="12"/>
  <c r="AA299" i="12"/>
  <c r="AA298" i="12"/>
  <c r="AM369" i="12"/>
  <c r="AM593" i="12"/>
  <c r="AM371" i="12"/>
  <c r="H369" i="12"/>
  <c r="H371" i="12"/>
  <c r="H370" i="12"/>
  <c r="AC369" i="12"/>
  <c r="H593" i="12"/>
  <c r="I369" i="12"/>
  <c r="I371" i="12"/>
  <c r="I370" i="12"/>
  <c r="I593" i="12"/>
  <c r="AA574" i="12"/>
  <c r="AA573" i="12"/>
  <c r="AL487" i="12"/>
  <c r="AL484" i="12"/>
  <c r="AL486" i="12"/>
  <c r="AL485" i="12"/>
  <c r="AI486" i="12"/>
  <c r="AI484" i="12"/>
  <c r="AI487" i="12"/>
  <c r="AI485" i="12"/>
  <c r="X487" i="12"/>
  <c r="X486" i="12"/>
  <c r="X484" i="12"/>
  <c r="X485" i="12"/>
  <c r="AJ485" i="12"/>
  <c r="AJ486" i="12"/>
  <c r="Z487" i="12"/>
  <c r="Z486" i="12"/>
  <c r="Z485" i="12"/>
  <c r="Z484" i="12"/>
  <c r="AA484" i="12"/>
  <c r="AA485" i="12"/>
  <c r="AA487" i="12"/>
  <c r="AA486" i="12"/>
  <c r="Z362" i="12"/>
  <c r="Z360" i="12"/>
  <c r="Z364" i="12"/>
  <c r="Z363" i="12"/>
  <c r="Z361" i="12"/>
  <c r="AL362" i="12"/>
  <c r="AL360" i="12"/>
  <c r="AL363" i="12"/>
  <c r="AL361" i="12"/>
  <c r="AL364" i="12"/>
  <c r="AI361" i="12"/>
  <c r="AI360" i="12"/>
  <c r="AI363" i="12"/>
  <c r="AI364" i="12"/>
  <c r="AI362" i="12"/>
  <c r="AK362" i="12"/>
  <c r="AK361" i="12"/>
  <c r="AK363" i="12"/>
  <c r="AK360" i="12"/>
  <c r="AK364" i="12"/>
  <c r="X361" i="12"/>
  <c r="AC565" i="12"/>
  <c r="AC259" i="12"/>
  <c r="AC342" i="12"/>
  <c r="AL460" i="12"/>
  <c r="AL458" i="12"/>
  <c r="AL456" i="12"/>
  <c r="AL454" i="12"/>
  <c r="AL457" i="12"/>
  <c r="AL455" i="12"/>
  <c r="AL459" i="12"/>
  <c r="Y454" i="12"/>
  <c r="Y456" i="12"/>
  <c r="Y459" i="12"/>
  <c r="Y455" i="12"/>
  <c r="Y460" i="12"/>
  <c r="Y457" i="12"/>
  <c r="Y458" i="12"/>
  <c r="AK455" i="12"/>
  <c r="AK454" i="12"/>
  <c r="AK456" i="12"/>
  <c r="AK459" i="12"/>
  <c r="AK458" i="12"/>
  <c r="AK460" i="12"/>
  <c r="AK457" i="12"/>
  <c r="AM459" i="12"/>
  <c r="AM460" i="12"/>
  <c r="AM458" i="12"/>
  <c r="AM455" i="12"/>
  <c r="AM457" i="12"/>
  <c r="AM454" i="12"/>
  <c r="AM456" i="12"/>
  <c r="AI460" i="12"/>
  <c r="AI454" i="12"/>
  <c r="AI456" i="12"/>
  <c r="AI455" i="12"/>
  <c r="AI457" i="12"/>
  <c r="AI458" i="12"/>
  <c r="AI459" i="12"/>
  <c r="X145" i="12"/>
  <c r="X590" i="12"/>
  <c r="X148" i="12"/>
  <c r="X146" i="12"/>
  <c r="X144" i="12"/>
  <c r="X147" i="12"/>
  <c r="X149" i="12"/>
  <c r="AJ144" i="12"/>
  <c r="AJ590" i="12"/>
  <c r="AJ146" i="12"/>
  <c r="AJ145" i="12"/>
  <c r="AJ148" i="12"/>
  <c r="AJ147" i="12"/>
  <c r="AJ149" i="12"/>
  <c r="AA146" i="12"/>
  <c r="AA148" i="12"/>
  <c r="Z404" i="12"/>
  <c r="Z403" i="12"/>
  <c r="Z405" i="12"/>
  <c r="Z406" i="12"/>
  <c r="AL406" i="12"/>
  <c r="AL403" i="12"/>
  <c r="AL404" i="12"/>
  <c r="AL405" i="12"/>
  <c r="Y406" i="12"/>
  <c r="Y404" i="12"/>
  <c r="Y403" i="12"/>
  <c r="Y405" i="12"/>
  <c r="X403" i="12"/>
  <c r="X405" i="12"/>
  <c r="X404" i="12"/>
  <c r="X406" i="12"/>
  <c r="AI406" i="12"/>
  <c r="AI403" i="12"/>
  <c r="AI404" i="12"/>
  <c r="AI405" i="12"/>
  <c r="AJ406" i="12"/>
  <c r="AJ403" i="12"/>
  <c r="AJ405" i="12"/>
  <c r="AJ404" i="12"/>
  <c r="AK406" i="12"/>
  <c r="AK405" i="12"/>
  <c r="AK404" i="12"/>
  <c r="AK403" i="12"/>
  <c r="AA406" i="12"/>
  <c r="AA403" i="12"/>
  <c r="AA404" i="12"/>
  <c r="AA405" i="12"/>
  <c r="W403" i="12"/>
  <c r="W405" i="12"/>
  <c r="W404" i="12"/>
  <c r="W406" i="12"/>
  <c r="AM406" i="12"/>
  <c r="AM403" i="12"/>
  <c r="AM404" i="12"/>
  <c r="AM405" i="12"/>
  <c r="AK380" i="12"/>
  <c r="AK378" i="12"/>
  <c r="AK377" i="12"/>
  <c r="AK376" i="12"/>
  <c r="AK379" i="12"/>
  <c r="H71" i="12"/>
  <c r="H70" i="12"/>
  <c r="H73" i="12"/>
  <c r="H72" i="12"/>
  <c r="AC70" i="12"/>
  <c r="I73" i="12"/>
  <c r="I70" i="12"/>
  <c r="I72" i="12"/>
  <c r="I71" i="12"/>
  <c r="Z72" i="12"/>
  <c r="Z70" i="12"/>
  <c r="Z73" i="12"/>
  <c r="Z71" i="12"/>
  <c r="AL73" i="12"/>
  <c r="AL72" i="12"/>
  <c r="AL71" i="12"/>
  <c r="AL70" i="12"/>
  <c r="AI70" i="12"/>
  <c r="AI73" i="12"/>
  <c r="AI72" i="12"/>
  <c r="AI71" i="12"/>
  <c r="X72" i="12"/>
  <c r="X73" i="12"/>
  <c r="X70" i="12"/>
  <c r="X71" i="12"/>
  <c r="AK73" i="12"/>
  <c r="AK71" i="12"/>
  <c r="AK72" i="12"/>
  <c r="AK70" i="12"/>
  <c r="AM70" i="12"/>
  <c r="AM73" i="12"/>
  <c r="AM72" i="12"/>
  <c r="AM71" i="12"/>
  <c r="Y70" i="12"/>
  <c r="Y72" i="12"/>
  <c r="Y71" i="12"/>
  <c r="Y73" i="12"/>
  <c r="AJ70" i="12"/>
  <c r="AJ71" i="12"/>
  <c r="AJ73" i="12"/>
  <c r="AJ72" i="12"/>
  <c r="W70" i="12"/>
  <c r="W71" i="12"/>
  <c r="W73" i="12"/>
  <c r="W72" i="12"/>
  <c r="AA72" i="12"/>
  <c r="AA73" i="12"/>
  <c r="AA71" i="12"/>
  <c r="AA70" i="12"/>
  <c r="AL266" i="12"/>
  <c r="AL267" i="12"/>
  <c r="AL264" i="12"/>
  <c r="AI266" i="12"/>
  <c r="AI268" i="12"/>
  <c r="AI264" i="12"/>
  <c r="AI267" i="12"/>
  <c r="Y267" i="12"/>
  <c r="Y265" i="12"/>
  <c r="Y264" i="12"/>
  <c r="Y266" i="12"/>
  <c r="Y268" i="12"/>
  <c r="X266" i="12"/>
  <c r="X267" i="12"/>
  <c r="X264" i="12"/>
  <c r="X265" i="12"/>
  <c r="X268" i="12"/>
  <c r="AA264" i="12"/>
  <c r="AA265" i="12"/>
  <c r="AA266" i="12"/>
  <c r="AC534" i="12"/>
  <c r="AC20" i="12"/>
  <c r="W533" i="12"/>
  <c r="W531" i="12"/>
  <c r="W532" i="12"/>
  <c r="W530" i="12"/>
  <c r="AL257" i="12"/>
  <c r="AL258" i="12"/>
  <c r="AL254" i="12"/>
  <c r="AL256" i="12"/>
  <c r="AL255" i="12"/>
  <c r="X257" i="12"/>
  <c r="X255" i="12"/>
  <c r="X254" i="12"/>
  <c r="X256" i="12"/>
  <c r="X258" i="12"/>
  <c r="X310" i="12" l="1"/>
  <c r="Z479" i="12"/>
  <c r="Z480" i="12"/>
  <c r="Z478" i="12"/>
  <c r="Z477" i="12"/>
  <c r="AL614" i="12"/>
  <c r="AL508" i="12"/>
  <c r="AL507" i="12"/>
  <c r="X614" i="12"/>
  <c r="X508" i="12"/>
  <c r="X507" i="12"/>
  <c r="AI507" i="12"/>
  <c r="AI508" i="12"/>
  <c r="AI614" i="12"/>
  <c r="W507" i="12"/>
  <c r="W508" i="12"/>
  <c r="W614" i="12"/>
  <c r="Y614" i="12"/>
  <c r="Y508" i="12"/>
  <c r="Z614" i="12"/>
  <c r="Z508" i="12"/>
  <c r="Z507" i="12"/>
  <c r="AL479" i="12"/>
  <c r="AL477" i="12"/>
  <c r="AL478" i="12"/>
  <c r="AL480" i="12"/>
  <c r="X477" i="12"/>
  <c r="X478" i="12"/>
  <c r="X480" i="12"/>
  <c r="X479" i="12"/>
  <c r="Z460" i="12"/>
  <c r="Z458" i="12"/>
  <c r="Z455" i="12"/>
  <c r="Z457" i="12"/>
  <c r="Z459" i="12"/>
  <c r="Z454" i="12"/>
  <c r="Z456" i="12"/>
  <c r="AC160" i="12"/>
  <c r="AM308" i="12"/>
  <c r="AM307" i="12"/>
  <c r="AM310" i="12"/>
  <c r="AM309" i="12"/>
  <c r="AM306" i="12"/>
  <c r="AM311" i="12"/>
  <c r="AC67" i="12"/>
  <c r="AC432" i="12"/>
  <c r="AC486" i="12"/>
  <c r="AC57" i="12"/>
  <c r="AC555" i="12"/>
  <c r="AA306" i="12"/>
  <c r="AC442" i="12"/>
  <c r="AK311" i="12"/>
  <c r="AK306" i="12"/>
  <c r="AK308" i="12"/>
  <c r="AK307" i="12"/>
  <c r="AK309" i="12"/>
  <c r="AK305" i="12"/>
  <c r="AJ310" i="12"/>
  <c r="AJ308" i="12"/>
  <c r="AJ306" i="12"/>
  <c r="AJ307" i="12"/>
  <c r="X306" i="12"/>
  <c r="X309" i="12"/>
  <c r="X307" i="12"/>
  <c r="X308" i="12"/>
  <c r="X305" i="12"/>
  <c r="X311" i="12"/>
  <c r="AJ311" i="12"/>
  <c r="AJ309" i="12"/>
  <c r="AJ305" i="12"/>
  <c r="AA311" i="12"/>
  <c r="AA309" i="12"/>
  <c r="AA308" i="12"/>
  <c r="W311" i="12"/>
  <c r="W305" i="12"/>
  <c r="W309" i="12"/>
  <c r="W307" i="12"/>
  <c r="W310" i="12"/>
  <c r="W308" i="12"/>
  <c r="W306" i="12"/>
  <c r="AA310" i="12"/>
  <c r="AA305" i="12"/>
  <c r="AA307" i="12"/>
  <c r="AI308" i="12"/>
  <c r="AI311" i="12"/>
  <c r="AI305" i="12"/>
  <c r="AI310" i="12"/>
  <c r="AC452" i="12"/>
  <c r="AC245" i="12"/>
  <c r="AC34" i="12"/>
  <c r="AC323" i="12"/>
  <c r="AM305" i="12"/>
  <c r="AJ458" i="12"/>
  <c r="AJ457" i="12"/>
  <c r="AJ455" i="12"/>
  <c r="AJ456" i="12"/>
  <c r="AJ460" i="12"/>
  <c r="AJ459" i="12"/>
  <c r="AJ454" i="12"/>
  <c r="AC190" i="12"/>
  <c r="AC60" i="12"/>
  <c r="AK451" i="12"/>
  <c r="AK310" i="12"/>
  <c r="AC287" i="12"/>
  <c r="AC321" i="12"/>
  <c r="Y407" i="12"/>
  <c r="AK614" i="12"/>
  <c r="AK508" i="12"/>
  <c r="AK507" i="12"/>
  <c r="W572" i="12"/>
  <c r="W574" i="12"/>
  <c r="W573" i="12"/>
  <c r="W575" i="12"/>
  <c r="AM575" i="12"/>
  <c r="AM574" i="12"/>
  <c r="AM572" i="12"/>
  <c r="AM573" i="12"/>
  <c r="Z574" i="12"/>
  <c r="Z573" i="12"/>
  <c r="Z572" i="12"/>
  <c r="Z575" i="12"/>
  <c r="Y575" i="12"/>
  <c r="Y574" i="12"/>
  <c r="Y572" i="12"/>
  <c r="Y573" i="12"/>
  <c r="AI573" i="12"/>
  <c r="AI572" i="12"/>
  <c r="AI574" i="12"/>
  <c r="AI575" i="12"/>
  <c r="AJ574" i="12"/>
  <c r="AJ572" i="12"/>
  <c r="AJ575" i="12"/>
  <c r="AJ573" i="12"/>
  <c r="AM266" i="12"/>
  <c r="AM265" i="12"/>
  <c r="AM268" i="12"/>
  <c r="AM264" i="12"/>
  <c r="AM267" i="12"/>
  <c r="AI307" i="12"/>
  <c r="AI306" i="12"/>
  <c r="AI309" i="12"/>
  <c r="Z310" i="12"/>
  <c r="Z305" i="12"/>
  <c r="Z306" i="12"/>
  <c r="Z309" i="12"/>
  <c r="Z307" i="12"/>
  <c r="Z311" i="12"/>
  <c r="Z308" i="12"/>
  <c r="K619" i="12"/>
  <c r="J619" i="12"/>
  <c r="W619" i="12"/>
  <c r="AC289" i="12"/>
  <c r="AC581" i="12"/>
  <c r="AC589" i="12"/>
  <c r="AC374" i="12"/>
  <c r="AC301" i="12"/>
  <c r="AC106" i="12"/>
  <c r="AC99" i="12"/>
  <c r="AC293" i="12"/>
  <c r="AM618" i="12"/>
  <c r="W618" i="12"/>
  <c r="AK618" i="12"/>
  <c r="Z618" i="12"/>
  <c r="X618" i="12"/>
  <c r="AI618" i="12"/>
  <c r="AA618" i="12"/>
  <c r="Y618" i="12"/>
  <c r="AJ618" i="12"/>
  <c r="AC480" i="12"/>
  <c r="AC479" i="12"/>
  <c r="AC338" i="12"/>
  <c r="AC401" i="12"/>
  <c r="AC541" i="12"/>
  <c r="AC540" i="12"/>
  <c r="AC240" i="12"/>
  <c r="AC120" i="12"/>
  <c r="AC199" i="12"/>
  <c r="AC79" i="12"/>
  <c r="H20" i="12"/>
  <c r="AC248" i="12"/>
  <c r="H617" i="12"/>
  <c r="I617" i="12"/>
  <c r="AJ619" i="12"/>
  <c r="X619" i="12"/>
  <c r="AK619" i="12"/>
  <c r="Y619" i="12"/>
  <c r="H619" i="12"/>
  <c r="AI619" i="12"/>
  <c r="AL619" i="12"/>
  <c r="I619" i="12"/>
  <c r="AA619" i="12"/>
  <c r="Z619" i="12"/>
  <c r="AM619" i="12"/>
  <c r="AI571" i="12"/>
  <c r="AA300" i="12"/>
  <c r="Y593" i="12"/>
  <c r="W616" i="12"/>
  <c r="AL616" i="12"/>
  <c r="AJ616" i="12"/>
  <c r="AJ375" i="12"/>
  <c r="AM370" i="12"/>
  <c r="AK617" i="12"/>
  <c r="AL617" i="12"/>
  <c r="W617" i="12"/>
  <c r="AM617" i="12"/>
  <c r="Y617" i="12"/>
  <c r="AA617" i="12"/>
  <c r="AJ617" i="12"/>
  <c r="X617" i="12"/>
  <c r="Z617" i="12"/>
  <c r="AI617" i="12"/>
  <c r="Z616" i="12"/>
  <c r="AM616" i="12"/>
  <c r="AA616" i="12"/>
  <c r="I616" i="12"/>
  <c r="H616" i="12"/>
  <c r="AI616" i="12"/>
  <c r="Y616" i="12"/>
  <c r="AK616" i="12"/>
  <c r="X616" i="12"/>
  <c r="AC516" i="12"/>
  <c r="AC95" i="12"/>
  <c r="AC294" i="12"/>
  <c r="AC309" i="12"/>
  <c r="AC560" i="12"/>
  <c r="AC212" i="12"/>
  <c r="I618" i="12"/>
  <c r="AL618" i="12"/>
  <c r="AC225" i="12"/>
  <c r="K616" i="12"/>
  <c r="J616" i="12"/>
  <c r="AL307" i="12"/>
  <c r="AL306" i="12"/>
  <c r="AL305" i="12"/>
  <c r="AL308" i="12"/>
  <c r="AL309" i="12"/>
  <c r="AL310" i="12"/>
  <c r="AL311" i="12"/>
  <c r="Y305" i="12"/>
  <c r="Y310" i="12"/>
  <c r="Y307" i="12"/>
  <c r="Y306" i="12"/>
  <c r="Y308" i="12"/>
  <c r="Y311" i="12"/>
  <c r="Y309" i="12"/>
  <c r="AJ374" i="12"/>
  <c r="AJ372" i="12"/>
  <c r="AJ373" i="12"/>
  <c r="AM373" i="12"/>
  <c r="AM375" i="12"/>
  <c r="AM372" i="12"/>
  <c r="AM374" i="12"/>
  <c r="AC579" i="12"/>
  <c r="AC492" i="12"/>
  <c r="AC55" i="12"/>
  <c r="AC206" i="12"/>
  <c r="AC337" i="12"/>
  <c r="AC466" i="12"/>
  <c r="AC350" i="12"/>
  <c r="AC41" i="12"/>
  <c r="AC183" i="12"/>
  <c r="AC182" i="12"/>
  <c r="AA483" i="12"/>
  <c r="AA482" i="12"/>
  <c r="AA612" i="12"/>
  <c r="AA481" i="12"/>
  <c r="I482" i="12"/>
  <c r="I483" i="12"/>
  <c r="I612" i="12"/>
  <c r="I481" i="12"/>
  <c r="Z482" i="12"/>
  <c r="Z612" i="12"/>
  <c r="Z481" i="12"/>
  <c r="Z483" i="12"/>
  <c r="AK483" i="12"/>
  <c r="AK482" i="12"/>
  <c r="AK481" i="12"/>
  <c r="AK612" i="12"/>
  <c r="AL481" i="12"/>
  <c r="AL612" i="12"/>
  <c r="AL483" i="12"/>
  <c r="AL482" i="12"/>
  <c r="AC482" i="12"/>
  <c r="H481" i="12"/>
  <c r="H612" i="12"/>
  <c r="AC481" i="12"/>
  <c r="H483" i="12"/>
  <c r="H482" i="12"/>
  <c r="AI483" i="12"/>
  <c r="AI612" i="12"/>
  <c r="AI482" i="12"/>
  <c r="AI481" i="12"/>
  <c r="AC355" i="12"/>
  <c r="AC357" i="12"/>
  <c r="AJ409" i="12"/>
  <c r="AJ407" i="12"/>
  <c r="AJ408" i="12"/>
  <c r="AL574" i="12"/>
  <c r="AL573" i="12"/>
  <c r="AL572" i="12"/>
  <c r="AL575" i="12"/>
  <c r="X575" i="12"/>
  <c r="X572" i="12"/>
  <c r="X574" i="12"/>
  <c r="X573" i="12"/>
  <c r="AK572" i="12"/>
  <c r="AK574" i="12"/>
  <c r="AK573" i="12"/>
  <c r="AK575" i="12"/>
  <c r="AA572" i="12"/>
  <c r="AA575" i="12"/>
  <c r="Y571" i="12"/>
  <c r="Y570" i="12"/>
  <c r="Y569" i="12"/>
  <c r="AK569" i="12"/>
  <c r="AK571" i="12"/>
  <c r="AK570" i="12"/>
  <c r="W571" i="12"/>
  <c r="W570" i="12"/>
  <c r="W569" i="12"/>
  <c r="AM569" i="12"/>
  <c r="AM571" i="12"/>
  <c r="AM570" i="12"/>
  <c r="AA400" i="12"/>
  <c r="AA399" i="12"/>
  <c r="AM402" i="12"/>
  <c r="AM399" i="12"/>
  <c r="AM401" i="12"/>
  <c r="AM400" i="12"/>
  <c r="AM607" i="12"/>
  <c r="Z509" i="12"/>
  <c r="Z511" i="12"/>
  <c r="Z510" i="12"/>
  <c r="AK509" i="12"/>
  <c r="AK510" i="12"/>
  <c r="AK511" i="12"/>
  <c r="AI510" i="12"/>
  <c r="AI511" i="12"/>
  <c r="AI509" i="12"/>
  <c r="AI389" i="12"/>
  <c r="AI606" i="12"/>
  <c r="AI605" i="12"/>
  <c r="AI594" i="12"/>
  <c r="AI386" i="12"/>
  <c r="AI387" i="12"/>
  <c r="AI388" i="12"/>
  <c r="AI385" i="12"/>
  <c r="W388" i="12"/>
  <c r="W606" i="12"/>
  <c r="W605" i="12"/>
  <c r="W594" i="12"/>
  <c r="W387" i="12"/>
  <c r="W385" i="12"/>
  <c r="W389" i="12"/>
  <c r="W386" i="12"/>
  <c r="AM389" i="12"/>
  <c r="AM386" i="12"/>
  <c r="AM385" i="12"/>
  <c r="AM387" i="12"/>
  <c r="AM594" i="12"/>
  <c r="AM605" i="12"/>
  <c r="AM606" i="12"/>
  <c r="AM388" i="12"/>
  <c r="AL52" i="12"/>
  <c r="AL53" i="12"/>
  <c r="AL54" i="12"/>
  <c r="AL55" i="12"/>
  <c r="AI300" i="12"/>
  <c r="AI299" i="12"/>
  <c r="AI298" i="12"/>
  <c r="X300" i="12"/>
  <c r="X299" i="12"/>
  <c r="X298" i="12"/>
  <c r="Z298" i="12"/>
  <c r="Z299" i="12"/>
  <c r="Z300" i="12"/>
  <c r="AK300" i="12"/>
  <c r="AK299" i="12"/>
  <c r="AK298" i="12"/>
  <c r="AK239" i="12"/>
  <c r="AK241" i="12"/>
  <c r="AK242" i="12"/>
  <c r="AK243" i="12"/>
  <c r="AK240" i="12"/>
  <c r="AK238" i="12"/>
  <c r="Z242" i="12"/>
  <c r="Z238" i="12"/>
  <c r="Z241" i="12"/>
  <c r="Z243" i="12"/>
  <c r="Z240" i="12"/>
  <c r="Z239" i="12"/>
  <c r="X243" i="12"/>
  <c r="X241" i="12"/>
  <c r="X238" i="12"/>
  <c r="X240" i="12"/>
  <c r="X242" i="12"/>
  <c r="X239" i="12"/>
  <c r="AI239" i="12"/>
  <c r="AI240" i="12"/>
  <c r="AI241" i="12"/>
  <c r="AI243" i="12"/>
  <c r="AI238" i="12"/>
  <c r="AI242" i="12"/>
  <c r="AL240" i="12"/>
  <c r="AL242" i="12"/>
  <c r="AL243" i="12"/>
  <c r="AL239" i="12"/>
  <c r="AL238" i="12"/>
  <c r="AL241" i="12"/>
  <c r="W241" i="12"/>
  <c r="W240" i="12"/>
  <c r="W242" i="12"/>
  <c r="W243" i="12"/>
  <c r="W238" i="12"/>
  <c r="W239" i="12"/>
  <c r="AI109" i="12"/>
  <c r="AI112" i="12"/>
  <c r="AI110" i="12"/>
  <c r="AI111" i="12"/>
  <c r="X452" i="12"/>
  <c r="X453" i="12"/>
  <c r="X451" i="12"/>
  <c r="X450" i="12"/>
  <c r="AI451" i="12"/>
  <c r="AI453" i="12"/>
  <c r="AI450" i="12"/>
  <c r="AI452" i="12"/>
  <c r="AJ450" i="12"/>
  <c r="AJ452" i="12"/>
  <c r="AJ451" i="12"/>
  <c r="AJ453" i="12"/>
  <c r="W451" i="12"/>
  <c r="W453" i="12"/>
  <c r="W452" i="12"/>
  <c r="W450" i="12"/>
  <c r="AM453" i="12"/>
  <c r="AM451" i="12"/>
  <c r="AM452" i="12"/>
  <c r="AM450" i="12"/>
  <c r="AA450" i="12"/>
  <c r="AA451" i="12"/>
  <c r="AA453" i="12"/>
  <c r="AA452" i="12"/>
  <c r="AL369" i="12"/>
  <c r="AL370" i="12"/>
  <c r="Z369" i="12"/>
  <c r="Z371" i="12"/>
  <c r="Z370" i="12"/>
  <c r="Z593" i="12"/>
  <c r="AL279" i="12"/>
  <c r="AL280" i="12"/>
  <c r="AL278" i="12"/>
  <c r="AL281" i="12"/>
  <c r="AL277" i="12"/>
  <c r="AI369" i="12"/>
  <c r="AI371" i="12"/>
  <c r="AI370" i="12"/>
  <c r="AI593" i="12"/>
  <c r="AL371" i="12"/>
  <c r="AL593" i="12"/>
  <c r="AK178" i="12"/>
  <c r="AK175" i="12"/>
  <c r="AK177" i="12"/>
  <c r="AK176" i="12"/>
  <c r="X178" i="12"/>
  <c r="X175" i="12"/>
  <c r="X176" i="12"/>
  <c r="X177" i="12"/>
  <c r="AI177" i="12"/>
  <c r="AI178" i="12"/>
  <c r="AI176" i="12"/>
  <c r="AI175" i="12"/>
  <c r="AL177" i="12"/>
  <c r="AL176" i="12"/>
  <c r="AL175" i="12"/>
  <c r="AL178" i="12"/>
  <c r="AJ178" i="12"/>
  <c r="AJ176" i="12"/>
  <c r="AJ177" i="12"/>
  <c r="AJ175" i="12"/>
  <c r="Y370" i="12"/>
  <c r="Y369" i="12"/>
  <c r="Y371" i="12"/>
  <c r="AK370" i="12"/>
  <c r="AK593" i="12"/>
  <c r="AK369" i="12"/>
  <c r="AK371" i="12"/>
  <c r="AA593" i="12"/>
  <c r="AA370" i="12"/>
  <c r="AA371" i="12"/>
  <c r="AA369" i="12"/>
  <c r="X369" i="12"/>
  <c r="X371" i="12"/>
  <c r="X370" i="12"/>
  <c r="X593" i="12"/>
  <c r="AJ370" i="12"/>
  <c r="AJ593" i="12"/>
  <c r="AJ371" i="12"/>
  <c r="AJ369" i="12"/>
  <c r="W593" i="12"/>
  <c r="W370" i="12"/>
  <c r="W369" i="12"/>
  <c r="W371" i="12"/>
  <c r="AK268" i="12"/>
  <c r="AK265" i="12"/>
  <c r="AK266" i="12"/>
  <c r="AK267" i="12"/>
  <c r="AK264" i="12"/>
  <c r="AA268" i="12"/>
  <c r="AA267" i="12"/>
  <c r="K618" i="12"/>
  <c r="K617" i="12"/>
  <c r="J617" i="12"/>
  <c r="J618" i="12"/>
  <c r="AK104" i="12"/>
  <c r="AK106" i="12"/>
  <c r="AK108" i="12"/>
  <c r="AK105" i="12"/>
  <c r="AK103" i="12"/>
  <c r="AK107" i="12"/>
  <c r="AM104" i="12"/>
  <c r="AM108" i="12"/>
  <c r="AM106" i="12"/>
  <c r="AM105" i="12"/>
  <c r="AM103" i="12"/>
  <c r="AM107" i="12"/>
  <c r="Y107" i="12"/>
  <c r="Y105" i="12"/>
  <c r="Y103" i="12"/>
  <c r="Y108" i="12"/>
  <c r="Y106" i="12"/>
  <c r="Y104" i="12"/>
  <c r="X105" i="12"/>
  <c r="X104" i="12"/>
  <c r="X103" i="12"/>
  <c r="X106" i="12"/>
  <c r="X108" i="12"/>
  <c r="X107" i="12"/>
  <c r="AJ108" i="12"/>
  <c r="AJ107" i="12"/>
  <c r="AJ106" i="12"/>
  <c r="AJ104" i="12"/>
  <c r="AJ105" i="12"/>
  <c r="AJ103" i="12"/>
  <c r="AI107" i="12"/>
  <c r="AI105" i="12"/>
  <c r="AI106" i="12"/>
  <c r="AI104" i="12"/>
  <c r="AI108" i="12"/>
  <c r="AI103" i="12"/>
  <c r="AL103" i="12"/>
  <c r="AL105" i="12"/>
  <c r="AL104" i="12"/>
  <c r="AL108" i="12"/>
  <c r="AL107" i="12"/>
  <c r="AL106" i="12"/>
  <c r="AL102" i="12"/>
  <c r="AL97" i="12"/>
  <c r="AL95" i="12"/>
  <c r="AL96" i="12"/>
  <c r="AL100" i="12"/>
  <c r="AL98" i="12"/>
  <c r="AL99" i="12"/>
  <c r="AL101" i="12"/>
  <c r="AJ100" i="12"/>
  <c r="AJ102" i="12"/>
  <c r="AJ99" i="12"/>
  <c r="AJ98" i="12"/>
  <c r="AJ95" i="12"/>
  <c r="AJ96" i="12"/>
  <c r="AJ101" i="12"/>
  <c r="AJ97" i="12"/>
  <c r="Y95" i="12"/>
  <c r="Y96" i="12"/>
  <c r="Y98" i="12"/>
  <c r="Y99" i="12"/>
  <c r="Y102" i="12"/>
  <c r="Y101" i="12"/>
  <c r="Y97" i="12"/>
  <c r="Y100" i="12"/>
  <c r="W95" i="12"/>
  <c r="W98" i="12"/>
  <c r="W97" i="12"/>
  <c r="W101" i="12"/>
  <c r="W99" i="12"/>
  <c r="W100" i="12"/>
  <c r="W96" i="12"/>
  <c r="W102" i="12"/>
  <c r="X97" i="12"/>
  <c r="X96" i="12"/>
  <c r="X95" i="12"/>
  <c r="X98" i="12"/>
  <c r="X102" i="12"/>
  <c r="X100" i="12"/>
  <c r="X101" i="12"/>
  <c r="X99" i="12"/>
  <c r="AA295" i="12"/>
  <c r="AA294" i="12"/>
  <c r="AA296" i="12"/>
  <c r="AA297" i="12"/>
  <c r="AL297" i="12"/>
  <c r="AL294" i="12"/>
  <c r="AL296" i="12"/>
  <c r="AL295" i="12"/>
  <c r="Z297" i="12"/>
  <c r="Z296" i="12"/>
  <c r="Z295" i="12"/>
  <c r="Z294" i="12"/>
  <c r="Y295" i="12"/>
  <c r="Y296" i="12"/>
  <c r="Y294" i="12"/>
  <c r="Y297" i="12"/>
  <c r="AJ295" i="12"/>
  <c r="AJ297" i="12"/>
  <c r="AJ296" i="12"/>
  <c r="AJ294" i="12"/>
  <c r="AM297" i="12"/>
  <c r="AM296" i="12"/>
  <c r="AM294" i="12"/>
  <c r="AM295" i="12"/>
  <c r="AI295" i="12"/>
  <c r="AI297" i="12"/>
  <c r="AI294" i="12"/>
  <c r="AI296" i="12"/>
  <c r="AK296" i="12"/>
  <c r="AK297" i="12"/>
  <c r="AK295" i="12"/>
  <c r="AK294" i="12"/>
  <c r="X295" i="12"/>
  <c r="X297" i="12"/>
  <c r="X296" i="12"/>
  <c r="X294" i="12"/>
  <c r="AK281" i="12"/>
  <c r="AK277" i="12"/>
  <c r="AK280" i="12"/>
  <c r="AK278" i="12"/>
  <c r="AK279" i="12"/>
  <c r="AA277" i="12"/>
  <c r="AA281" i="12"/>
  <c r="AA278" i="12"/>
  <c r="AA280" i="12"/>
  <c r="AA279" i="12"/>
  <c r="Y277" i="12"/>
  <c r="Y278" i="12"/>
  <c r="Y281" i="12"/>
  <c r="Y280" i="12"/>
  <c r="Y279" i="12"/>
  <c r="X281" i="12"/>
  <c r="X280" i="12"/>
  <c r="X279" i="12"/>
  <c r="X277" i="12"/>
  <c r="X278" i="12"/>
  <c r="AI281" i="12"/>
  <c r="AI278" i="12"/>
  <c r="AI279" i="12"/>
  <c r="AI277" i="12"/>
  <c r="AI280" i="12"/>
  <c r="Z281" i="12"/>
  <c r="Z277" i="12"/>
  <c r="Z280" i="12"/>
  <c r="Z279" i="12"/>
  <c r="Z278" i="12"/>
  <c r="W281" i="12"/>
  <c r="W277" i="12"/>
  <c r="W278" i="12"/>
  <c r="W279" i="12"/>
  <c r="W280" i="12"/>
  <c r="AM277" i="12"/>
  <c r="AM280" i="12"/>
  <c r="AM279" i="12"/>
  <c r="AM278" i="12"/>
  <c r="AM281" i="12"/>
  <c r="AJ278" i="12"/>
  <c r="AJ277" i="12"/>
  <c r="AJ279" i="12"/>
  <c r="AJ280" i="12"/>
  <c r="AJ281" i="12"/>
  <c r="AC500" i="12"/>
  <c r="H618" i="12"/>
  <c r="X185" i="12"/>
  <c r="X186" i="12"/>
  <c r="X184" i="12"/>
  <c r="AI185" i="12"/>
  <c r="AI186" i="12"/>
  <c r="AI184" i="12"/>
  <c r="AJ186" i="12"/>
  <c r="AJ184" i="12"/>
  <c r="AJ185" i="12"/>
  <c r="AL184" i="12"/>
  <c r="AL185" i="12"/>
  <c r="AL186" i="12"/>
  <c r="AA184" i="12"/>
  <c r="AA186" i="12"/>
  <c r="AA185" i="12"/>
  <c r="Z184" i="12"/>
  <c r="Z185" i="12"/>
  <c r="Z186" i="12"/>
  <c r="W185" i="12"/>
  <c r="W186" i="12"/>
  <c r="W184" i="12"/>
  <c r="Y186" i="12"/>
  <c r="Y184" i="12"/>
  <c r="Y185" i="12"/>
  <c r="AK184" i="12"/>
  <c r="AK186" i="12"/>
  <c r="AK185" i="12"/>
  <c r="AM186" i="12"/>
  <c r="AM185" i="12"/>
  <c r="AM184" i="12"/>
  <c r="Y610" i="12"/>
  <c r="Y467" i="12"/>
  <c r="Y464" i="12"/>
  <c r="Y465" i="12"/>
  <c r="Y461" i="12"/>
  <c r="Y463" i="12"/>
  <c r="Y462" i="12"/>
  <c r="Y466" i="12"/>
  <c r="AK409" i="12"/>
  <c r="AK407" i="12"/>
  <c r="AK408" i="12"/>
  <c r="AM409" i="12"/>
  <c r="AM407" i="12"/>
  <c r="AM408" i="12"/>
  <c r="X408" i="12"/>
  <c r="X407" i="12"/>
  <c r="X409" i="12"/>
  <c r="AA408" i="12"/>
  <c r="AA407" i="12"/>
  <c r="AA409" i="12"/>
  <c r="AK374" i="12"/>
  <c r="AK372" i="12"/>
  <c r="AK373" i="12"/>
  <c r="AK375" i="12"/>
  <c r="X373" i="12"/>
  <c r="X374" i="12"/>
  <c r="X375" i="12"/>
  <c r="X372" i="12"/>
  <c r="Z375" i="12"/>
  <c r="Z372" i="12"/>
  <c r="Z373" i="12"/>
  <c r="Z374" i="12"/>
  <c r="AI372" i="12"/>
  <c r="AI374" i="12"/>
  <c r="AI373" i="12"/>
  <c r="AI375" i="12"/>
  <c r="AL375" i="12"/>
  <c r="AL372" i="12"/>
  <c r="AL373" i="12"/>
  <c r="AL374" i="12"/>
  <c r="AJ531" i="12"/>
  <c r="AJ530" i="12"/>
  <c r="AJ532" i="12"/>
  <c r="AJ533" i="12"/>
  <c r="Y533" i="12"/>
  <c r="Y531" i="12"/>
  <c r="Y530" i="12"/>
  <c r="Y532" i="12"/>
  <c r="X530" i="12"/>
  <c r="X531" i="12"/>
  <c r="X533" i="12"/>
  <c r="X532" i="12"/>
  <c r="AL533" i="12"/>
  <c r="AL532" i="12"/>
  <c r="AL530" i="12"/>
  <c r="AL531" i="12"/>
  <c r="AK532" i="12"/>
  <c r="AK533" i="12"/>
  <c r="AK530" i="12"/>
  <c r="AK531" i="12"/>
  <c r="Z533" i="12"/>
  <c r="Z532" i="12"/>
  <c r="Z530" i="12"/>
  <c r="Z531" i="12"/>
  <c r="AK464" i="12"/>
  <c r="AK466" i="12"/>
  <c r="AK465" i="12"/>
  <c r="AK467" i="12"/>
  <c r="AK462" i="12"/>
  <c r="AK461" i="12"/>
  <c r="AK610" i="12"/>
  <c r="AK463" i="12"/>
  <c r="AI462" i="12"/>
  <c r="AI464" i="12"/>
  <c r="AI466" i="12"/>
  <c r="AI465" i="12"/>
  <c r="AI463" i="12"/>
  <c r="AI467" i="12"/>
  <c r="AI461" i="12"/>
  <c r="AI610" i="12"/>
  <c r="AL462" i="12"/>
  <c r="AL465" i="12"/>
  <c r="AL467" i="12"/>
  <c r="AL466" i="12"/>
  <c r="AL461" i="12"/>
  <c r="AL463" i="12"/>
  <c r="AL464" i="12"/>
  <c r="AL610" i="12"/>
  <c r="AJ464" i="12"/>
  <c r="AJ463" i="12"/>
  <c r="AJ467" i="12"/>
  <c r="AJ461" i="12"/>
  <c r="AJ610" i="12"/>
  <c r="AJ462" i="12"/>
  <c r="AJ465" i="12"/>
  <c r="AJ466" i="12"/>
  <c r="X465" i="12"/>
  <c r="X462" i="12"/>
  <c r="X467" i="12"/>
  <c r="X466" i="12"/>
  <c r="X610" i="12"/>
  <c r="X464" i="12"/>
  <c r="X461" i="12"/>
  <c r="X463" i="12"/>
  <c r="AM466" i="12"/>
  <c r="AM464" i="12"/>
  <c r="AM467" i="12"/>
  <c r="AM462" i="12"/>
  <c r="AM465" i="12"/>
  <c r="AM463" i="12"/>
  <c r="AM610" i="12"/>
  <c r="AM461" i="12"/>
  <c r="AC284" i="12"/>
  <c r="AC282" i="12"/>
  <c r="X61" i="12"/>
  <c r="X58" i="12"/>
  <c r="X60" i="12"/>
  <c r="X59" i="12"/>
  <c r="X56" i="12"/>
  <c r="X57" i="12"/>
  <c r="X62" i="12"/>
  <c r="AI60" i="12"/>
  <c r="AI56" i="12"/>
  <c r="AI62" i="12"/>
  <c r="AI61" i="12"/>
  <c r="AI59" i="12"/>
  <c r="AI57" i="12"/>
  <c r="AI58" i="12"/>
  <c r="AL56" i="12"/>
  <c r="AL57" i="12"/>
  <c r="AL59" i="12"/>
  <c r="AL60" i="12"/>
  <c r="AL62" i="12"/>
  <c r="AL61" i="12"/>
  <c r="AL58" i="12"/>
  <c r="AC345" i="12"/>
  <c r="AC548" i="12"/>
  <c r="AC558" i="12"/>
  <c r="AC461" i="12"/>
  <c r="AC195" i="12"/>
  <c r="AC547" i="12"/>
  <c r="I53" i="12"/>
  <c r="AC571" i="12"/>
  <c r="AI158" i="12"/>
  <c r="AC415" i="12"/>
  <c r="X272" i="12"/>
  <c r="AC483" i="12"/>
  <c r="I417" i="12"/>
  <c r="I414" i="12"/>
  <c r="I415" i="12"/>
  <c r="I416" i="12"/>
  <c r="H414" i="12"/>
  <c r="AC414" i="12"/>
  <c r="H415" i="12"/>
  <c r="H416" i="12"/>
  <c r="H417" i="12"/>
  <c r="AC273" i="12"/>
  <c r="AC275" i="12"/>
  <c r="I591" i="12"/>
  <c r="I302" i="12"/>
  <c r="I301" i="12"/>
  <c r="I304" i="12"/>
  <c r="I303" i="12"/>
  <c r="I571" i="12"/>
  <c r="I570" i="12"/>
  <c r="I569" i="12"/>
  <c r="H570" i="12"/>
  <c r="H569" i="12"/>
  <c r="H571" i="12"/>
  <c r="AC529" i="12"/>
  <c r="AC528" i="12"/>
  <c r="W335" i="12"/>
  <c r="W334" i="12"/>
  <c r="W333" i="12"/>
  <c r="W592" i="12"/>
  <c r="AK276" i="12"/>
  <c r="AK273" i="12"/>
  <c r="AK275" i="12"/>
  <c r="AK274" i="12"/>
  <c r="AK272" i="12"/>
  <c r="AL275" i="12"/>
  <c r="AL272" i="12"/>
  <c r="AL273" i="12"/>
  <c r="AL276" i="12"/>
  <c r="AL274" i="12"/>
  <c r="X274" i="12"/>
  <c r="X273" i="12"/>
  <c r="X275" i="12"/>
  <c r="X276" i="12"/>
  <c r="AI159" i="12"/>
  <c r="AI157" i="12"/>
  <c r="AI160" i="12"/>
  <c r="AI156" i="12"/>
  <c r="Y158" i="12"/>
  <c r="Y157" i="12"/>
  <c r="Y160" i="12"/>
  <c r="Y159" i="12"/>
  <c r="Y156" i="12"/>
  <c r="AI313" i="12"/>
  <c r="AI314" i="12"/>
  <c r="AI312" i="12"/>
  <c r="AI315" i="12"/>
  <c r="AK313" i="12"/>
  <c r="AK312" i="12"/>
  <c r="AK315" i="12"/>
  <c r="AK314" i="12"/>
  <c r="W312" i="12"/>
  <c r="W315" i="12"/>
  <c r="W313" i="12"/>
  <c r="W314" i="12"/>
  <c r="AJ314" i="12"/>
  <c r="AJ313" i="12"/>
  <c r="AJ315" i="12"/>
  <c r="AJ312" i="12"/>
  <c r="X312" i="12"/>
  <c r="X313" i="12"/>
  <c r="X314" i="12"/>
  <c r="X315" i="12"/>
  <c r="AL315" i="12"/>
  <c r="AL312" i="12"/>
  <c r="AL313" i="12"/>
  <c r="AL314" i="12"/>
  <c r="AA314" i="12"/>
  <c r="AA315" i="12"/>
  <c r="AA312" i="12"/>
  <c r="AA313" i="12"/>
  <c r="Z570" i="12"/>
  <c r="Z571" i="12"/>
  <c r="Z569" i="12"/>
  <c r="AL569" i="12"/>
  <c r="AL571" i="12"/>
  <c r="AL570" i="12"/>
  <c r="X569" i="12"/>
  <c r="X570" i="12"/>
  <c r="X571" i="12"/>
  <c r="AJ571" i="12"/>
  <c r="AJ570" i="12"/>
  <c r="AJ569" i="12"/>
  <c r="AI569" i="12"/>
  <c r="AI570" i="12"/>
  <c r="AA569" i="12"/>
  <c r="AA571" i="12"/>
  <c r="AA570" i="12"/>
  <c r="AM487" i="12"/>
  <c r="AM486" i="12"/>
  <c r="AM485" i="12"/>
  <c r="AM484" i="12"/>
  <c r="W486" i="12"/>
  <c r="W485" i="12"/>
  <c r="W484" i="12"/>
  <c r="W487" i="12"/>
  <c r="AJ487" i="12"/>
  <c r="AJ484" i="12"/>
  <c r="AL591" i="12"/>
  <c r="AL301" i="12"/>
  <c r="AL303" i="12"/>
  <c r="AL302" i="12"/>
  <c r="AL304" i="12"/>
  <c r="X591" i="12"/>
  <c r="X302" i="12"/>
  <c r="X304" i="12"/>
  <c r="X303" i="12"/>
  <c r="X301" i="12"/>
  <c r="AK304" i="12"/>
  <c r="AK303" i="12"/>
  <c r="AK301" i="12"/>
  <c r="AK591" i="12"/>
  <c r="AK302" i="12"/>
  <c r="W303" i="12"/>
  <c r="W591" i="12"/>
  <c r="W302" i="12"/>
  <c r="W301" i="12"/>
  <c r="W304" i="12"/>
  <c r="AA304" i="12"/>
  <c r="AA303" i="12"/>
  <c r="AA591" i="12"/>
  <c r="AA302" i="12"/>
  <c r="AA301" i="12"/>
  <c r="Z591" i="12"/>
  <c r="Z303" i="12"/>
  <c r="Z301" i="12"/>
  <c r="Z302" i="12"/>
  <c r="Z304" i="12"/>
  <c r="AM303" i="12"/>
  <c r="AM591" i="12"/>
  <c r="AM304" i="12"/>
  <c r="AM302" i="12"/>
  <c r="AM301" i="12"/>
  <c r="AI303" i="12"/>
  <c r="AI301" i="12"/>
  <c r="AI591" i="12"/>
  <c r="AI304" i="12"/>
  <c r="AI302" i="12"/>
  <c r="Y303" i="12"/>
  <c r="Y301" i="12"/>
  <c r="Y302" i="12"/>
  <c r="Y304" i="12"/>
  <c r="Y591" i="12"/>
  <c r="AA293" i="12"/>
  <c r="AA292" i="12"/>
  <c r="AA290" i="12"/>
  <c r="AA291" i="12"/>
  <c r="I291" i="12"/>
  <c r="I293" i="12"/>
  <c r="I292" i="12"/>
  <c r="I290" i="12"/>
  <c r="AJ290" i="12"/>
  <c r="AJ291" i="12"/>
  <c r="AJ293" i="12"/>
  <c r="AJ292" i="12"/>
  <c r="W293" i="12"/>
  <c r="W292" i="12"/>
  <c r="W290" i="12"/>
  <c r="W291" i="12"/>
  <c r="AL293" i="12"/>
  <c r="AL292" i="12"/>
  <c r="AL291" i="12"/>
  <c r="AL290" i="12"/>
  <c r="AK293" i="12"/>
  <c r="AK292" i="12"/>
  <c r="AK290" i="12"/>
  <c r="AK291" i="12"/>
  <c r="Y291" i="12"/>
  <c r="Y290" i="12"/>
  <c r="Y292" i="12"/>
  <c r="Y293" i="12"/>
  <c r="AI293" i="12"/>
  <c r="AI292" i="12"/>
  <c r="AI291" i="12"/>
  <c r="AI290" i="12"/>
  <c r="H293" i="12"/>
  <c r="H291" i="12"/>
  <c r="H292" i="12"/>
  <c r="H290" i="12"/>
  <c r="Z292" i="12"/>
  <c r="Z290" i="12"/>
  <c r="Z293" i="12"/>
  <c r="Z291" i="12"/>
  <c r="X292" i="12"/>
  <c r="X293" i="12"/>
  <c r="X290" i="12"/>
  <c r="X291" i="12"/>
  <c r="AM291" i="12"/>
  <c r="AM290" i="12"/>
  <c r="AM293" i="12"/>
  <c r="AM292" i="12"/>
  <c r="AC425" i="12"/>
  <c r="AC221" i="12"/>
  <c r="AC172" i="12"/>
  <c r="AC496" i="12"/>
  <c r="AC39" i="12"/>
  <c r="AC159" i="12"/>
  <c r="AC232" i="12"/>
  <c r="AC478" i="12"/>
  <c r="AC54" i="12"/>
  <c r="AC532" i="12"/>
  <c r="H289" i="12"/>
  <c r="AC49" i="12"/>
  <c r="AC202" i="12"/>
  <c r="AI265" i="12"/>
  <c r="W340" i="12"/>
  <c r="AC370" i="12"/>
  <c r="Y85" i="12"/>
  <c r="AC24" i="12"/>
  <c r="AC291" i="12"/>
  <c r="AC115" i="12"/>
  <c r="I104" i="12"/>
  <c r="I108" i="12"/>
  <c r="I105" i="12"/>
  <c r="I107" i="12"/>
  <c r="I103" i="12"/>
  <c r="I106" i="12"/>
  <c r="Y76" i="12"/>
  <c r="Y79" i="12"/>
  <c r="Y589" i="12"/>
  <c r="Y75" i="12"/>
  <c r="Y77" i="12"/>
  <c r="Y78" i="12"/>
  <c r="Y74" i="12"/>
  <c r="Y80" i="12"/>
  <c r="Y537" i="12"/>
  <c r="Y543" i="12"/>
  <c r="Y540" i="12"/>
  <c r="Y536" i="12"/>
  <c r="Y534" i="12"/>
  <c r="Y544" i="12"/>
  <c r="Y546" i="12"/>
  <c r="Y547" i="12"/>
  <c r="Y535" i="12"/>
  <c r="Y545" i="12"/>
  <c r="Y548" i="12"/>
  <c r="Y539" i="12"/>
  <c r="Y538" i="12"/>
  <c r="Y542" i="12"/>
  <c r="Y600" i="12"/>
  <c r="Y541" i="12"/>
  <c r="W283" i="12"/>
  <c r="W282" i="12"/>
  <c r="W284" i="12"/>
  <c r="W285" i="12"/>
  <c r="AM336" i="12"/>
  <c r="AM339" i="12"/>
  <c r="AM338" i="12"/>
  <c r="AM341" i="12"/>
  <c r="AM337" i="12"/>
  <c r="AM340" i="12"/>
  <c r="W482" i="12"/>
  <c r="W481" i="12"/>
  <c r="W612" i="12"/>
  <c r="W483" i="12"/>
  <c r="AJ36" i="12"/>
  <c r="AJ38" i="12"/>
  <c r="AJ35" i="12"/>
  <c r="AJ37" i="12"/>
  <c r="AA420" i="12"/>
  <c r="AA418" i="12"/>
  <c r="AA419" i="12"/>
  <c r="AA421" i="12"/>
  <c r="AM604" i="12"/>
  <c r="AM325" i="12"/>
  <c r="AM326" i="12"/>
  <c r="AM329" i="12"/>
  <c r="AM330" i="12"/>
  <c r="AM331" i="12"/>
  <c r="AM328" i="12"/>
  <c r="AM332" i="12"/>
  <c r="AM327" i="12"/>
  <c r="Z104" i="12"/>
  <c r="Z103" i="12"/>
  <c r="Z108" i="12"/>
  <c r="Z106" i="12"/>
  <c r="Z105" i="12"/>
  <c r="Z107" i="12"/>
  <c r="W294" i="12"/>
  <c r="W297" i="12"/>
  <c r="W296" i="12"/>
  <c r="W295" i="12"/>
  <c r="AJ612" i="12"/>
  <c r="AJ483" i="12"/>
  <c r="AJ482" i="12"/>
  <c r="AJ481" i="12"/>
  <c r="I287" i="12"/>
  <c r="I289" i="12"/>
  <c r="I288" i="12"/>
  <c r="I286" i="12"/>
  <c r="AC286" i="12"/>
  <c r="H287" i="12"/>
  <c r="H288" i="12"/>
  <c r="H286" i="12"/>
  <c r="AI227" i="12"/>
  <c r="AI225" i="12"/>
  <c r="AI228" i="12"/>
  <c r="AI230" i="12"/>
  <c r="AI226" i="12"/>
  <c r="AI229" i="12"/>
  <c r="AI231" i="12"/>
  <c r="AL231" i="12"/>
  <c r="AL229" i="12"/>
  <c r="AL228" i="12"/>
  <c r="AL225" i="12"/>
  <c r="AL227" i="12"/>
  <c r="AL230" i="12"/>
  <c r="AL226" i="12"/>
  <c r="Y226" i="12"/>
  <c r="Y230" i="12"/>
  <c r="Y227" i="12"/>
  <c r="Y225" i="12"/>
  <c r="Y231" i="12"/>
  <c r="Y229" i="12"/>
  <c r="Y228" i="12"/>
  <c r="AJ225" i="12"/>
  <c r="AJ230" i="12"/>
  <c r="X226" i="12"/>
  <c r="X227" i="12"/>
  <c r="X230" i="12"/>
  <c r="X228" i="12"/>
  <c r="X225" i="12"/>
  <c r="X231" i="12"/>
  <c r="X229" i="12"/>
  <c r="X594" i="12"/>
  <c r="X386" i="12"/>
  <c r="X606" i="12"/>
  <c r="X387" i="12"/>
  <c r="X605" i="12"/>
  <c r="X385" i="12"/>
  <c r="X389" i="12"/>
  <c r="X388" i="12"/>
  <c r="Z385" i="12"/>
  <c r="Z388" i="12"/>
  <c r="Z594" i="12"/>
  <c r="Z387" i="12"/>
  <c r="Z386" i="12"/>
  <c r="Z606" i="12"/>
  <c r="Z389" i="12"/>
  <c r="Z605" i="12"/>
  <c r="AJ594" i="12"/>
  <c r="AJ389" i="12"/>
  <c r="AJ605" i="12"/>
  <c r="AJ388" i="12"/>
  <c r="AJ387" i="12"/>
  <c r="AJ606" i="12"/>
  <c r="AJ385" i="12"/>
  <c r="AJ386" i="12"/>
  <c r="AK389" i="12"/>
  <c r="AK606" i="12"/>
  <c r="AK605" i="12"/>
  <c r="AK388" i="12"/>
  <c r="AK594" i="12"/>
  <c r="AK387" i="12"/>
  <c r="AK385" i="12"/>
  <c r="AK386" i="12"/>
  <c r="Y386" i="12"/>
  <c r="Y594" i="12"/>
  <c r="Y388" i="12"/>
  <c r="Y606" i="12"/>
  <c r="Y605" i="12"/>
  <c r="Y385" i="12"/>
  <c r="Y389" i="12"/>
  <c r="Y387" i="12"/>
  <c r="AC269" i="12"/>
  <c r="H270" i="12"/>
  <c r="H271" i="12"/>
  <c r="H269" i="12"/>
  <c r="Y271" i="12"/>
  <c r="Y269" i="12"/>
  <c r="Y270" i="12"/>
  <c r="AL269" i="12"/>
  <c r="AL271" i="12"/>
  <c r="AL270" i="12"/>
  <c r="AJ74" i="12"/>
  <c r="AJ77" i="12"/>
  <c r="AJ80" i="12"/>
  <c r="AJ76" i="12"/>
  <c r="AJ78" i="12"/>
  <c r="AJ79" i="12"/>
  <c r="AJ75" i="12"/>
  <c r="AJ589" i="12"/>
  <c r="AK74" i="12"/>
  <c r="AK589" i="12"/>
  <c r="AK77" i="12"/>
  <c r="AK75" i="12"/>
  <c r="AK80" i="12"/>
  <c r="AK79" i="12"/>
  <c r="AK76" i="12"/>
  <c r="AK78" i="12"/>
  <c r="AM79" i="12"/>
  <c r="AM80" i="12"/>
  <c r="AM74" i="12"/>
  <c r="AM589" i="12"/>
  <c r="AM78" i="12"/>
  <c r="AM75" i="12"/>
  <c r="AM77" i="12"/>
  <c r="AM76" i="12"/>
  <c r="AI75" i="12"/>
  <c r="AI78" i="12"/>
  <c r="AI76" i="12"/>
  <c r="AI77" i="12"/>
  <c r="AI79" i="12"/>
  <c r="AI589" i="12"/>
  <c r="AI74" i="12"/>
  <c r="AI80" i="12"/>
  <c r="Z78" i="12"/>
  <c r="Z79" i="12"/>
  <c r="Z74" i="12"/>
  <c r="Z589" i="12"/>
  <c r="Z76" i="12"/>
  <c r="Z75" i="12"/>
  <c r="Z80" i="12"/>
  <c r="Z77" i="12"/>
  <c r="AL76" i="12"/>
  <c r="AL80" i="12"/>
  <c r="AL79" i="12"/>
  <c r="AL77" i="12"/>
  <c r="AL78" i="12"/>
  <c r="AL75" i="12"/>
  <c r="AL589" i="12"/>
  <c r="AL74" i="12"/>
  <c r="H372" i="12"/>
  <c r="AC372" i="12"/>
  <c r="H374" i="12"/>
  <c r="H375" i="12"/>
  <c r="H373" i="12"/>
  <c r="I373" i="12"/>
  <c r="I375" i="12"/>
  <c r="I372" i="12"/>
  <c r="I374" i="12"/>
  <c r="AI171" i="12"/>
  <c r="AI172" i="12"/>
  <c r="AI174" i="12"/>
  <c r="AI170" i="12"/>
  <c r="AI173" i="12"/>
  <c r="AI169" i="12"/>
  <c r="AL169" i="12"/>
  <c r="AL171" i="12"/>
  <c r="AL174" i="12"/>
  <c r="AL173" i="12"/>
  <c r="AL170" i="12"/>
  <c r="AL172" i="12"/>
  <c r="AA173" i="12"/>
  <c r="AA169" i="12"/>
  <c r="AA171" i="12"/>
  <c r="AA172" i="12"/>
  <c r="AA174" i="12"/>
  <c r="AA170" i="12"/>
  <c r="W169" i="12"/>
  <c r="W173" i="12"/>
  <c r="W172" i="12"/>
  <c r="W174" i="12"/>
  <c r="W171" i="12"/>
  <c r="W170" i="12"/>
  <c r="AM170" i="12"/>
  <c r="AM171" i="12"/>
  <c r="AM172" i="12"/>
  <c r="AM169" i="12"/>
  <c r="AM173" i="12"/>
  <c r="AM174" i="12"/>
  <c r="AK169" i="12"/>
  <c r="AK173" i="12"/>
  <c r="AK170" i="12"/>
  <c r="AK174" i="12"/>
  <c r="AK172" i="12"/>
  <c r="AK171" i="12"/>
  <c r="AJ171" i="12"/>
  <c r="AJ174" i="12"/>
  <c r="AJ173" i="12"/>
  <c r="AJ170" i="12"/>
  <c r="AJ169" i="12"/>
  <c r="AJ172" i="12"/>
  <c r="H172" i="12"/>
  <c r="H170" i="12"/>
  <c r="H171" i="12"/>
  <c r="AC169" i="12"/>
  <c r="H173" i="12"/>
  <c r="H169" i="12"/>
  <c r="H174" i="12"/>
  <c r="I173" i="12"/>
  <c r="I170" i="12"/>
  <c r="I174" i="12"/>
  <c r="I169" i="12"/>
  <c r="I171" i="12"/>
  <c r="I172" i="12"/>
  <c r="X174" i="12"/>
  <c r="X169" i="12"/>
  <c r="X170" i="12"/>
  <c r="X173" i="12"/>
  <c r="X172" i="12"/>
  <c r="X171" i="12"/>
  <c r="Z171" i="12"/>
  <c r="Z173" i="12"/>
  <c r="Z170" i="12"/>
  <c r="Z172" i="12"/>
  <c r="Z174" i="12"/>
  <c r="Z169" i="12"/>
  <c r="Y170" i="12"/>
  <c r="Y172" i="12"/>
  <c r="Y171" i="12"/>
  <c r="Y169" i="12"/>
  <c r="Y173" i="12"/>
  <c r="Y174" i="12"/>
  <c r="H108" i="12"/>
  <c r="H107" i="12"/>
  <c r="H104" i="12"/>
  <c r="AC103" i="12"/>
  <c r="H103" i="12"/>
  <c r="H105" i="12"/>
  <c r="H106" i="12"/>
  <c r="I93" i="12"/>
  <c r="I92" i="12"/>
  <c r="I91" i="12"/>
  <c r="I94" i="12"/>
  <c r="I90" i="12"/>
  <c r="Y90" i="12"/>
  <c r="Y91" i="12"/>
  <c r="Y92" i="12"/>
  <c r="Y93" i="12"/>
  <c r="Y94" i="12"/>
  <c r="H94" i="12"/>
  <c r="H92" i="12"/>
  <c r="H90" i="12"/>
  <c r="H93" i="12"/>
  <c r="AC90" i="12"/>
  <c r="H91" i="12"/>
  <c r="AA91" i="12"/>
  <c r="AA92" i="12"/>
  <c r="AA93" i="12"/>
  <c r="AA94" i="12"/>
  <c r="AA90" i="12"/>
  <c r="W90" i="12"/>
  <c r="W94" i="12"/>
  <c r="W92" i="12"/>
  <c r="W91" i="12"/>
  <c r="W93" i="12"/>
  <c r="X94" i="12"/>
  <c r="X93" i="12"/>
  <c r="X91" i="12"/>
  <c r="X90" i="12"/>
  <c r="X92" i="12"/>
  <c r="AI92" i="12"/>
  <c r="AI93" i="12"/>
  <c r="AI90" i="12"/>
  <c r="AI91" i="12"/>
  <c r="AI94" i="12"/>
  <c r="AM94" i="12"/>
  <c r="AM93" i="12"/>
  <c r="AM92" i="12"/>
  <c r="AM91" i="12"/>
  <c r="AM90" i="12"/>
  <c r="AJ92" i="12"/>
  <c r="AJ90" i="12"/>
  <c r="AJ93" i="12"/>
  <c r="AJ91" i="12"/>
  <c r="AJ94" i="12"/>
  <c r="AK94" i="12"/>
  <c r="AK92" i="12"/>
  <c r="AK93" i="12"/>
  <c r="AK90" i="12"/>
  <c r="AK91" i="12"/>
  <c r="Z94" i="12"/>
  <c r="Z93" i="12"/>
  <c r="Z90" i="12"/>
  <c r="Z92" i="12"/>
  <c r="Z91" i="12"/>
  <c r="AL92" i="12"/>
  <c r="AL94" i="12"/>
  <c r="AL91" i="12"/>
  <c r="AL93" i="12"/>
  <c r="AL90" i="12"/>
  <c r="Z37" i="12"/>
  <c r="Z38" i="12"/>
  <c r="Z35" i="12"/>
  <c r="Z36" i="12"/>
  <c r="AL38" i="12"/>
  <c r="AL36" i="12"/>
  <c r="AL35" i="12"/>
  <c r="AL37" i="12"/>
  <c r="AI36" i="12"/>
  <c r="AI38" i="12"/>
  <c r="AI37" i="12"/>
  <c r="AI35" i="12"/>
  <c r="X36" i="12"/>
  <c r="X35" i="12"/>
  <c r="X38" i="12"/>
  <c r="X37" i="12"/>
  <c r="AK36" i="12"/>
  <c r="AK37" i="12"/>
  <c r="AK38" i="12"/>
  <c r="AK35" i="12"/>
  <c r="W35" i="12"/>
  <c r="W38" i="12"/>
  <c r="W37" i="12"/>
  <c r="W36" i="12"/>
  <c r="AA37" i="12"/>
  <c r="AA36" i="12"/>
  <c r="AA35" i="12"/>
  <c r="AA38" i="12"/>
  <c r="Y36" i="12"/>
  <c r="Y37" i="12"/>
  <c r="Y38" i="12"/>
  <c r="Y35" i="12"/>
  <c r="AM38" i="12"/>
  <c r="AM36" i="12"/>
  <c r="AM37" i="12"/>
  <c r="AM35" i="12"/>
  <c r="F28" i="11" s="1" a="1"/>
  <c r="H282" i="12"/>
  <c r="H283" i="12"/>
  <c r="H284" i="12"/>
  <c r="H285" i="12"/>
  <c r="I282" i="12"/>
  <c r="I283" i="12"/>
  <c r="I284" i="12"/>
  <c r="I285" i="12"/>
  <c r="Z283" i="12"/>
  <c r="Z285" i="12"/>
  <c r="Z282" i="12"/>
  <c r="Z284" i="12"/>
  <c r="AL282" i="12"/>
  <c r="AL283" i="12"/>
  <c r="AL284" i="12"/>
  <c r="AL285" i="12"/>
  <c r="Y283" i="12"/>
  <c r="Y285" i="12"/>
  <c r="Y284" i="12"/>
  <c r="Y282" i="12"/>
  <c r="AK285" i="12"/>
  <c r="AK283" i="12"/>
  <c r="AK282" i="12"/>
  <c r="AK284" i="12"/>
  <c r="X283" i="12"/>
  <c r="X284" i="12"/>
  <c r="X282" i="12"/>
  <c r="X285" i="12"/>
  <c r="AJ283" i="12"/>
  <c r="AJ284" i="12"/>
  <c r="AJ282" i="12"/>
  <c r="AJ285" i="12"/>
  <c r="AM282" i="12"/>
  <c r="AM285" i="12"/>
  <c r="AM284" i="12"/>
  <c r="AM283" i="12"/>
  <c r="AA283" i="12"/>
  <c r="AA285" i="12"/>
  <c r="AA284" i="12"/>
  <c r="AA282" i="12"/>
  <c r="AI283" i="12"/>
  <c r="AI284" i="12"/>
  <c r="AI285" i="12"/>
  <c r="AI282" i="12"/>
  <c r="AM502" i="12"/>
  <c r="AM506" i="12"/>
  <c r="AM500" i="12"/>
  <c r="AM501" i="12"/>
  <c r="AM503" i="12"/>
  <c r="AM505" i="12"/>
  <c r="AM504" i="12"/>
  <c r="W505" i="12"/>
  <c r="W500" i="12"/>
  <c r="W503" i="12"/>
  <c r="W504" i="12"/>
  <c r="W502" i="12"/>
  <c r="W506" i="12"/>
  <c r="W501" i="12"/>
  <c r="AK503" i="12"/>
  <c r="AK502" i="12"/>
  <c r="AK501" i="12"/>
  <c r="AK506" i="12"/>
  <c r="AK505" i="12"/>
  <c r="AK500" i="12"/>
  <c r="AK504" i="12"/>
  <c r="Z503" i="12"/>
  <c r="Z505" i="12"/>
  <c r="Z502" i="12"/>
  <c r="Z500" i="12"/>
  <c r="Z506" i="12"/>
  <c r="Z501" i="12"/>
  <c r="Z504" i="12"/>
  <c r="X504" i="12"/>
  <c r="X503" i="12"/>
  <c r="X505" i="12"/>
  <c r="X506" i="12"/>
  <c r="X501" i="12"/>
  <c r="X500" i="12"/>
  <c r="X502" i="12"/>
  <c r="AI500" i="12"/>
  <c r="AI501" i="12"/>
  <c r="AI504" i="12"/>
  <c r="AI503" i="12"/>
  <c r="AI505" i="12"/>
  <c r="AI502" i="12"/>
  <c r="AI506" i="12"/>
  <c r="AA500" i="12"/>
  <c r="AA502" i="12"/>
  <c r="AA501" i="12"/>
  <c r="AA503" i="12"/>
  <c r="AA506" i="12"/>
  <c r="AA504" i="12"/>
  <c r="AA505" i="12"/>
  <c r="Y503" i="12"/>
  <c r="Y504" i="12"/>
  <c r="Y500" i="12"/>
  <c r="Y506" i="12"/>
  <c r="Y505" i="12"/>
  <c r="Y502" i="12"/>
  <c r="Y501" i="12"/>
  <c r="AJ506" i="12"/>
  <c r="AJ500" i="12"/>
  <c r="AJ501" i="12"/>
  <c r="AJ502" i="12"/>
  <c r="AJ504" i="12"/>
  <c r="AJ505" i="12"/>
  <c r="AJ503" i="12"/>
  <c r="Z60" i="12"/>
  <c r="Z56" i="12"/>
  <c r="Z59" i="12"/>
  <c r="Z62" i="12"/>
  <c r="Z58" i="12"/>
  <c r="Z57" i="12"/>
  <c r="Z61" i="12"/>
  <c r="AA60" i="12"/>
  <c r="AA59" i="12"/>
  <c r="AA57" i="12"/>
  <c r="AA62" i="12"/>
  <c r="AA61" i="12"/>
  <c r="AA56" i="12"/>
  <c r="AA58" i="12"/>
  <c r="AJ60" i="12"/>
  <c r="AJ62" i="12"/>
  <c r="AJ57" i="12"/>
  <c r="AJ58" i="12"/>
  <c r="AJ59" i="12"/>
  <c r="AJ61" i="12"/>
  <c r="AJ56" i="12"/>
  <c r="AK57" i="12"/>
  <c r="AK61" i="12"/>
  <c r="AK62" i="12"/>
  <c r="AK60" i="12"/>
  <c r="AK58" i="12"/>
  <c r="AK59" i="12"/>
  <c r="AK56" i="12"/>
  <c r="H479" i="12"/>
  <c r="H480" i="12"/>
  <c r="AC477" i="12"/>
  <c r="H477" i="12"/>
  <c r="H478" i="12"/>
  <c r="I480" i="12"/>
  <c r="I478" i="12"/>
  <c r="I479" i="12"/>
  <c r="I477" i="12"/>
  <c r="Y336" i="12"/>
  <c r="Y337" i="12"/>
  <c r="Y341" i="12"/>
  <c r="Y339" i="12"/>
  <c r="Y338" i="12"/>
  <c r="Y340" i="12"/>
  <c r="AL504" i="12"/>
  <c r="AL502" i="12"/>
  <c r="AL503" i="12"/>
  <c r="AL506" i="12"/>
  <c r="AL501" i="12"/>
  <c r="AL500" i="12"/>
  <c r="AL505" i="12"/>
  <c r="Z548" i="12"/>
  <c r="Z541" i="12"/>
  <c r="Z536" i="12"/>
  <c r="AK540" i="12"/>
  <c r="AK543" i="12"/>
  <c r="AK547" i="12"/>
  <c r="AK545" i="12"/>
  <c r="AK537" i="12"/>
  <c r="AK548" i="12"/>
  <c r="AK535" i="12"/>
  <c r="AK539" i="12"/>
  <c r="AK534" i="12"/>
  <c r="AK546" i="12"/>
  <c r="AK541" i="12"/>
  <c r="AK536" i="12"/>
  <c r="AK538" i="12"/>
  <c r="AK600" i="12"/>
  <c r="AK542" i="12"/>
  <c r="AK544" i="12"/>
  <c r="AJ545" i="12"/>
  <c r="AJ541" i="12"/>
  <c r="AJ538" i="12"/>
  <c r="AJ535" i="12"/>
  <c r="AJ546" i="12"/>
  <c r="AJ540" i="12"/>
  <c r="AJ544" i="12"/>
  <c r="AJ600" i="12"/>
  <c r="AJ536" i="12"/>
  <c r="AJ542" i="12"/>
  <c r="AJ537" i="12"/>
  <c r="AJ534" i="12"/>
  <c r="AJ548" i="12"/>
  <c r="AJ543" i="12"/>
  <c r="AJ547" i="12"/>
  <c r="AJ539" i="12"/>
  <c r="AL540" i="12"/>
  <c r="AL535" i="12"/>
  <c r="AL547" i="12"/>
  <c r="AL548" i="12"/>
  <c r="AL539" i="12"/>
  <c r="AL538" i="12"/>
  <c r="AL536" i="12"/>
  <c r="AL546" i="12"/>
  <c r="AL534" i="12"/>
  <c r="AL542" i="12"/>
  <c r="AL541" i="12"/>
  <c r="AL537" i="12"/>
  <c r="AL544" i="12"/>
  <c r="AL543" i="12"/>
  <c r="AL545" i="12"/>
  <c r="AL600" i="12"/>
  <c r="AI537" i="12"/>
  <c r="AI542" i="12"/>
  <c r="AI540" i="12"/>
  <c r="AI547" i="12"/>
  <c r="AI538" i="12"/>
  <c r="AI546" i="12"/>
  <c r="AI534" i="12"/>
  <c r="AI545" i="12"/>
  <c r="AI535" i="12"/>
  <c r="AI539" i="12"/>
  <c r="AI548" i="12"/>
  <c r="AI536" i="12"/>
  <c r="AI544" i="12"/>
  <c r="AI541" i="12"/>
  <c r="AI543" i="12"/>
  <c r="AI600" i="12"/>
  <c r="W536" i="12"/>
  <c r="W539" i="12"/>
  <c r="W542" i="12"/>
  <c r="W543" i="12"/>
  <c r="W537" i="12"/>
  <c r="W544" i="12"/>
  <c r="W535" i="12"/>
  <c r="W538" i="12"/>
  <c r="W534" i="12"/>
  <c r="W547" i="12"/>
  <c r="W600" i="12"/>
  <c r="W548" i="12"/>
  <c r="W541" i="12"/>
  <c r="W546" i="12"/>
  <c r="W540" i="12"/>
  <c r="W545" i="12"/>
  <c r="X543" i="12"/>
  <c r="X548" i="12"/>
  <c r="X534" i="12"/>
  <c r="X538" i="12"/>
  <c r="X535" i="12"/>
  <c r="X541" i="12"/>
  <c r="X600" i="12"/>
  <c r="X537" i="12"/>
  <c r="X542" i="12"/>
  <c r="X544" i="12"/>
  <c r="X536" i="12"/>
  <c r="X540" i="12"/>
  <c r="X539" i="12"/>
  <c r="X546" i="12"/>
  <c r="X547" i="12"/>
  <c r="X545" i="12"/>
  <c r="AM511" i="12"/>
  <c r="AM509" i="12"/>
  <c r="AM510" i="12"/>
  <c r="X510" i="12"/>
  <c r="X509" i="12"/>
  <c r="X511" i="12"/>
  <c r="AA509" i="12"/>
  <c r="AA511" i="12"/>
  <c r="AA510" i="12"/>
  <c r="AJ511" i="12"/>
  <c r="AJ510" i="12"/>
  <c r="AJ509" i="12"/>
  <c r="AL509" i="12"/>
  <c r="AL510" i="12"/>
  <c r="AL511" i="12"/>
  <c r="Y509" i="12"/>
  <c r="Y510" i="12"/>
  <c r="Y511" i="12"/>
  <c r="AI320" i="12"/>
  <c r="AI319" i="12"/>
  <c r="AI318" i="12"/>
  <c r="AI317" i="12"/>
  <c r="AI316" i="12"/>
  <c r="AM317" i="12"/>
  <c r="AM318" i="12"/>
  <c r="AM320" i="12"/>
  <c r="AM316" i="12"/>
  <c r="AM319" i="12"/>
  <c r="AK134" i="12"/>
  <c r="AK138" i="12"/>
  <c r="AK133" i="12"/>
  <c r="AK136" i="12"/>
  <c r="AK139" i="12"/>
  <c r="AK137" i="12"/>
  <c r="AK135" i="12"/>
  <c r="Z137" i="12"/>
  <c r="Z138" i="12"/>
  <c r="Z135" i="12"/>
  <c r="Z134" i="12"/>
  <c r="Z136" i="12"/>
  <c r="Z139" i="12"/>
  <c r="Z133" i="12"/>
  <c r="Y137" i="12"/>
  <c r="Y139" i="12"/>
  <c r="Y136" i="12"/>
  <c r="Y138" i="12"/>
  <c r="Y134" i="12"/>
  <c r="Y135" i="12"/>
  <c r="Y133" i="12"/>
  <c r="AA134" i="12"/>
  <c r="AA137" i="12"/>
  <c r="AA139" i="12"/>
  <c r="AA136" i="12"/>
  <c r="AA135" i="12"/>
  <c r="AA138" i="12"/>
  <c r="AA133" i="12"/>
  <c r="AJ138" i="12"/>
  <c r="AJ135" i="12"/>
  <c r="AJ139" i="12"/>
  <c r="AJ136" i="12"/>
  <c r="AJ134" i="12"/>
  <c r="AJ133" i="12"/>
  <c r="AJ137" i="12"/>
  <c r="X137" i="12"/>
  <c r="X138" i="12"/>
  <c r="X133" i="12"/>
  <c r="X139" i="12"/>
  <c r="X134" i="12"/>
  <c r="X135" i="12"/>
  <c r="X136" i="12"/>
  <c r="AL139" i="12"/>
  <c r="AL138" i="12"/>
  <c r="AL134" i="12"/>
  <c r="AL137" i="12"/>
  <c r="AL136" i="12"/>
  <c r="AL135" i="12"/>
  <c r="AL133" i="12"/>
  <c r="AI135" i="12"/>
  <c r="AI139" i="12"/>
  <c r="AI133" i="12"/>
  <c r="AI134" i="12"/>
  <c r="AI137" i="12"/>
  <c r="AI136" i="12"/>
  <c r="AI138" i="12"/>
  <c r="X380" i="12"/>
  <c r="X376" i="12"/>
  <c r="X379" i="12"/>
  <c r="X377" i="12"/>
  <c r="X378" i="12"/>
  <c r="AJ378" i="12"/>
  <c r="AJ380" i="12"/>
  <c r="AJ376" i="12"/>
  <c r="AJ377" i="12"/>
  <c r="AJ379" i="12"/>
  <c r="AI380" i="12"/>
  <c r="AI377" i="12"/>
  <c r="AI379" i="12"/>
  <c r="AI376" i="12"/>
  <c r="AI378" i="12"/>
  <c r="Z376" i="12"/>
  <c r="Z377" i="12"/>
  <c r="Z379" i="12"/>
  <c r="Z378" i="12"/>
  <c r="Z380" i="12"/>
  <c r="AL378" i="12"/>
  <c r="AL380" i="12"/>
  <c r="AL376" i="12"/>
  <c r="AL379" i="12"/>
  <c r="AL377" i="12"/>
  <c r="H294" i="12"/>
  <c r="H295" i="12"/>
  <c r="H297" i="12"/>
  <c r="H296" i="12"/>
  <c r="I295" i="12"/>
  <c r="I297" i="12"/>
  <c r="I294" i="12"/>
  <c r="I296" i="12"/>
  <c r="W108" i="12"/>
  <c r="W103" i="12"/>
  <c r="W106" i="12"/>
  <c r="W107" i="12"/>
  <c r="W105" i="12"/>
  <c r="W104" i="12"/>
  <c r="AA103" i="12"/>
  <c r="AA105" i="12"/>
  <c r="AA107" i="12"/>
  <c r="AA104" i="12"/>
  <c r="AA106" i="12"/>
  <c r="AA108" i="12"/>
  <c r="AM535" i="12"/>
  <c r="AM546" i="12"/>
  <c r="AM545" i="12"/>
  <c r="AM548" i="12"/>
  <c r="AM600" i="12"/>
  <c r="AM540" i="12"/>
  <c r="AM534" i="12"/>
  <c r="AM538" i="12"/>
  <c r="AM536" i="12"/>
  <c r="AM537" i="12"/>
  <c r="AM547" i="12"/>
  <c r="AM543" i="12"/>
  <c r="AM539" i="12"/>
  <c r="AM542" i="12"/>
  <c r="AM544" i="12"/>
  <c r="AM541" i="12"/>
  <c r="AA538" i="12"/>
  <c r="AA543" i="12"/>
  <c r="AA544" i="12"/>
  <c r="AA545" i="12"/>
  <c r="AA547" i="12"/>
  <c r="AA600" i="12"/>
  <c r="AA536" i="12"/>
  <c r="AA540" i="12"/>
  <c r="AA548" i="12"/>
  <c r="AA539" i="12"/>
  <c r="AA537" i="12"/>
  <c r="AA535" i="12"/>
  <c r="AA541" i="12"/>
  <c r="AA534" i="12"/>
  <c r="AA542" i="12"/>
  <c r="AA546" i="12"/>
  <c r="Y478" i="12"/>
  <c r="Y479" i="12"/>
  <c r="Y480" i="12"/>
  <c r="Y477" i="12"/>
  <c r="AM135" i="12"/>
  <c r="AM138" i="12"/>
  <c r="AM137" i="12"/>
  <c r="AM139" i="12"/>
  <c r="AM134" i="12"/>
  <c r="AM136" i="12"/>
  <c r="AM133" i="12"/>
  <c r="Y482" i="12"/>
  <c r="Y481" i="12"/>
  <c r="Y483" i="12"/>
  <c r="Y612" i="12"/>
  <c r="AM483" i="12"/>
  <c r="AM612" i="12"/>
  <c r="AM482" i="12"/>
  <c r="AM481" i="12"/>
  <c r="Y375" i="12"/>
  <c r="Y372" i="12"/>
  <c r="Y373" i="12"/>
  <c r="Y374" i="12"/>
  <c r="W372" i="12"/>
  <c r="W374" i="12"/>
  <c r="W373" i="12"/>
  <c r="W375" i="12"/>
  <c r="Z176" i="12"/>
  <c r="Z178" i="12"/>
  <c r="Z177" i="12"/>
  <c r="Z175" i="12"/>
  <c r="W178" i="12"/>
  <c r="W177" i="12"/>
  <c r="W176" i="12"/>
  <c r="W175" i="12"/>
  <c r="AM417" i="12"/>
  <c r="AM416" i="12"/>
  <c r="AM415" i="12"/>
  <c r="AM414" i="12"/>
  <c r="Y320" i="12"/>
  <c r="Y317" i="12"/>
  <c r="Y319" i="12"/>
  <c r="Y318" i="12"/>
  <c r="Y316" i="12"/>
  <c r="W319" i="12"/>
  <c r="W316" i="12"/>
  <c r="W318" i="12"/>
  <c r="W317" i="12"/>
  <c r="W320" i="12"/>
  <c r="AM61" i="12"/>
  <c r="AM62" i="12"/>
  <c r="AM56" i="12"/>
  <c r="AM59" i="12"/>
  <c r="AM58" i="12"/>
  <c r="AM57" i="12"/>
  <c r="AM60" i="12"/>
  <c r="Y61" i="12"/>
  <c r="Y60" i="12"/>
  <c r="Y59" i="12"/>
  <c r="Y62" i="12"/>
  <c r="Y57" i="12"/>
  <c r="Y56" i="12"/>
  <c r="Y58" i="12"/>
  <c r="W62" i="12"/>
  <c r="W60" i="12"/>
  <c r="W59" i="12"/>
  <c r="W56" i="12"/>
  <c r="W57" i="12"/>
  <c r="W61" i="12"/>
  <c r="W58" i="12"/>
  <c r="Y313" i="12"/>
  <c r="Y314" i="12"/>
  <c r="Y315" i="12"/>
  <c r="Y312" i="12"/>
  <c r="AM313" i="12"/>
  <c r="AM314" i="12"/>
  <c r="AM312" i="12"/>
  <c r="AM315" i="12"/>
  <c r="Z315" i="12"/>
  <c r="Z313" i="12"/>
  <c r="Z312" i="12"/>
  <c r="Z314" i="12"/>
  <c r="X74" i="12"/>
  <c r="X76" i="12"/>
  <c r="X79" i="12"/>
  <c r="X78" i="12"/>
  <c r="X589" i="12"/>
  <c r="X75" i="12"/>
  <c r="X77" i="12"/>
  <c r="X80" i="12"/>
  <c r="AL388" i="12"/>
  <c r="AL387" i="12"/>
  <c r="AL389" i="12"/>
  <c r="AL385" i="12"/>
  <c r="AL605" i="12"/>
  <c r="AL594" i="12"/>
  <c r="AL606" i="12"/>
  <c r="AL386" i="12"/>
  <c r="AA99" i="12"/>
  <c r="AA95" i="12"/>
  <c r="AA101" i="12"/>
  <c r="AA97" i="12"/>
  <c r="AA100" i="12"/>
  <c r="AA98" i="12"/>
  <c r="AA96" i="12"/>
  <c r="AA102" i="12"/>
  <c r="X482" i="12"/>
  <c r="X481" i="12"/>
  <c r="X483" i="12"/>
  <c r="X612" i="12"/>
  <c r="AC298" i="12"/>
  <c r="H300" i="12"/>
  <c r="H299" i="12"/>
  <c r="H298" i="12"/>
  <c r="I300" i="12"/>
  <c r="I298" i="12"/>
  <c r="I299" i="12"/>
  <c r="H255" i="12"/>
  <c r="H257" i="12"/>
  <c r="H254" i="12"/>
  <c r="H256" i="12"/>
  <c r="H258" i="12"/>
  <c r="AA454" i="12"/>
  <c r="AA456" i="12"/>
  <c r="W455" i="12"/>
  <c r="W459" i="12"/>
  <c r="W460" i="12"/>
  <c r="W457" i="12"/>
  <c r="W454" i="12"/>
  <c r="W456" i="12"/>
  <c r="W458" i="12"/>
  <c r="AA74" i="12"/>
  <c r="AA77" i="12"/>
  <c r="AA80" i="12"/>
  <c r="AA76" i="12"/>
  <c r="AA79" i="12"/>
  <c r="AA589" i="12"/>
  <c r="AA78" i="12"/>
  <c r="AA75" i="12"/>
  <c r="W74" i="12"/>
  <c r="W75" i="12"/>
  <c r="W78" i="12"/>
  <c r="W589" i="12"/>
  <c r="W77" i="12"/>
  <c r="W79" i="12"/>
  <c r="W80" i="12"/>
  <c r="W76" i="12"/>
  <c r="Z97" i="12"/>
  <c r="Z95" i="12"/>
  <c r="Z101" i="12"/>
  <c r="Z102" i="12"/>
  <c r="Z99" i="12"/>
  <c r="Z96" i="12"/>
  <c r="Z98" i="12"/>
  <c r="Z100" i="12"/>
  <c r="AK100" i="12"/>
  <c r="AK98" i="12"/>
  <c r="AK95" i="12"/>
  <c r="AK97" i="12"/>
  <c r="AK101" i="12"/>
  <c r="AK96" i="12"/>
  <c r="AK99" i="12"/>
  <c r="AK102" i="12"/>
  <c r="Z494" i="12"/>
  <c r="Z495" i="12"/>
  <c r="Z493" i="12"/>
  <c r="Z613" i="12"/>
  <c r="W613" i="12"/>
  <c r="W495" i="12"/>
  <c r="W493" i="12"/>
  <c r="W494" i="12"/>
  <c r="AK493" i="12"/>
  <c r="AK613" i="12"/>
  <c r="AK494" i="12"/>
  <c r="AK495" i="12"/>
  <c r="AM507" i="12"/>
  <c r="AM508" i="12"/>
  <c r="AM614" i="12"/>
  <c r="AJ614" i="12"/>
  <c r="AJ507" i="12"/>
  <c r="AJ508" i="12"/>
  <c r="AA507" i="12"/>
  <c r="AA614" i="12"/>
  <c r="AA508" i="12"/>
  <c r="AM300" i="12"/>
  <c r="AM298" i="12"/>
  <c r="AM299" i="12"/>
  <c r="AJ298" i="12"/>
  <c r="AJ299" i="12"/>
  <c r="AJ300" i="12"/>
  <c r="Y298" i="12"/>
  <c r="Y300" i="12"/>
  <c r="Y299" i="12"/>
  <c r="W299" i="12"/>
  <c r="W298" i="12"/>
  <c r="W300" i="12"/>
  <c r="Y238" i="12"/>
  <c r="Y243" i="12"/>
  <c r="Y239" i="12"/>
  <c r="Y242" i="12"/>
  <c r="Y241" i="12"/>
  <c r="Y240" i="12"/>
  <c r="X457" i="12"/>
  <c r="X458" i="12"/>
  <c r="X459" i="12"/>
  <c r="X460" i="12"/>
  <c r="X455" i="12"/>
  <c r="X454" i="12"/>
  <c r="X456" i="12"/>
  <c r="Y177" i="12"/>
  <c r="Y178" i="12"/>
  <c r="Y176" i="12"/>
  <c r="Y175" i="12"/>
  <c r="AA175" i="12"/>
  <c r="AA178" i="12"/>
  <c r="AA177" i="12"/>
  <c r="AA176" i="12"/>
  <c r="AM102" i="12"/>
  <c r="AM97" i="12"/>
  <c r="AM98" i="12"/>
  <c r="AM101" i="12"/>
  <c r="AM100" i="12"/>
  <c r="AM99" i="12"/>
  <c r="AM95" i="12"/>
  <c r="AM96" i="12"/>
  <c r="AI99" i="12"/>
  <c r="AI95" i="12"/>
  <c r="AI96" i="12"/>
  <c r="AI97" i="12"/>
  <c r="AI101" i="12"/>
  <c r="AI98" i="12"/>
  <c r="AI100" i="12"/>
  <c r="AI102" i="12"/>
  <c r="AM257" i="12"/>
  <c r="AM258" i="12"/>
  <c r="AM255" i="12"/>
  <c r="AM254" i="12"/>
  <c r="AM256" i="12"/>
  <c r="Z257" i="12"/>
  <c r="Z255" i="12"/>
  <c r="Z258" i="12"/>
  <c r="Z256" i="12"/>
  <c r="Z254" i="12"/>
  <c r="AK257" i="12"/>
  <c r="AK255" i="12"/>
  <c r="AK254" i="12"/>
  <c r="AK256" i="12"/>
  <c r="AK258" i="12"/>
  <c r="I254" i="12"/>
  <c r="I257" i="12"/>
  <c r="I255" i="12"/>
  <c r="I256" i="12"/>
  <c r="AC254" i="12"/>
  <c r="I258" i="12"/>
  <c r="H500" i="12"/>
  <c r="H501" i="12"/>
  <c r="H504" i="12"/>
  <c r="H506" i="12"/>
  <c r="H503" i="12"/>
  <c r="H502" i="12"/>
  <c r="H505" i="12"/>
  <c r="I505" i="12"/>
  <c r="I500" i="12"/>
  <c r="I504" i="12"/>
  <c r="I502" i="12"/>
  <c r="I506" i="12"/>
  <c r="I503" i="12"/>
  <c r="I501" i="12"/>
  <c r="AC31" i="12"/>
  <c r="AC30" i="12"/>
  <c r="AI258" i="12"/>
  <c r="AI257" i="12"/>
  <c r="AI256" i="12"/>
  <c r="AI254" i="12"/>
  <c r="AI255" i="12"/>
  <c r="W258" i="12"/>
  <c r="W254" i="12"/>
  <c r="W255" i="12"/>
  <c r="W257" i="12"/>
  <c r="W256" i="12"/>
  <c r="Y258" i="12"/>
  <c r="Y254" i="12"/>
  <c r="Y257" i="12"/>
  <c r="Y256" i="12"/>
  <c r="Y255" i="12"/>
  <c r="AJ258" i="12"/>
  <c r="AJ257" i="12"/>
  <c r="AJ255" i="12"/>
  <c r="AJ256" i="12"/>
  <c r="AJ254" i="12"/>
  <c r="AA256" i="12"/>
  <c r="AA257" i="12"/>
  <c r="AA258" i="12"/>
  <c r="AA255" i="12"/>
  <c r="AA254" i="12"/>
  <c r="I314" i="12"/>
  <c r="I313" i="12"/>
  <c r="I312" i="12"/>
  <c r="I315" i="12"/>
  <c r="H314" i="12"/>
  <c r="H315" i="12"/>
  <c r="AC312" i="12"/>
  <c r="H313" i="12"/>
  <c r="H312" i="12"/>
  <c r="Z52" i="12"/>
  <c r="Z53" i="12"/>
  <c r="Z54" i="12"/>
  <c r="Z55" i="12"/>
  <c r="AA53" i="12"/>
  <c r="AA54" i="12"/>
  <c r="AA55" i="12"/>
  <c r="AA52" i="12"/>
  <c r="AK52" i="12"/>
  <c r="AK55" i="12"/>
  <c r="AK53" i="12"/>
  <c r="AK54" i="12"/>
  <c r="X55" i="12"/>
  <c r="X53" i="12"/>
  <c r="X54" i="12"/>
  <c r="X52" i="12"/>
  <c r="AJ55" i="12"/>
  <c r="AJ53" i="12"/>
  <c r="AJ52" i="12"/>
  <c r="AJ54" i="12"/>
  <c r="AM54" i="12"/>
  <c r="AM53" i="12"/>
  <c r="AM55" i="12"/>
  <c r="AM52" i="12"/>
  <c r="W54" i="12"/>
  <c r="W53" i="12"/>
  <c r="W55" i="12"/>
  <c r="W52" i="12"/>
  <c r="Y53" i="12"/>
  <c r="Y55" i="12"/>
  <c r="Y52" i="12"/>
  <c r="Y54" i="12"/>
  <c r="AI54" i="12"/>
  <c r="AI53" i="12"/>
  <c r="AI52" i="12"/>
  <c r="AI55" i="12"/>
  <c r="W271" i="12"/>
  <c r="W270" i="12"/>
  <c r="W269" i="12"/>
  <c r="Z269" i="12"/>
  <c r="Z271" i="12"/>
  <c r="Z270" i="12"/>
  <c r="I269" i="12"/>
  <c r="I270" i="12"/>
  <c r="I271" i="12"/>
  <c r="AK269" i="12"/>
  <c r="AK270" i="12"/>
  <c r="AK271" i="12"/>
  <c r="AJ269" i="12"/>
  <c r="AJ271" i="12"/>
  <c r="AJ270" i="12"/>
  <c r="AA271" i="12"/>
  <c r="AA269" i="12"/>
  <c r="AA270" i="12"/>
  <c r="AM270" i="12"/>
  <c r="AM271" i="12"/>
  <c r="AM269" i="12"/>
  <c r="X271" i="12"/>
  <c r="X270" i="12"/>
  <c r="X269" i="12"/>
  <c r="AI271" i="12"/>
  <c r="AI270" i="12"/>
  <c r="AI269" i="12"/>
  <c r="AL439" i="12"/>
  <c r="AL445" i="12"/>
  <c r="AL449" i="12"/>
  <c r="AL448" i="12"/>
  <c r="AL440" i="12"/>
  <c r="AL441" i="12"/>
  <c r="AL446" i="12"/>
  <c r="AL443" i="12"/>
  <c r="AL447" i="12"/>
  <c r="AL442" i="12"/>
  <c r="AL444" i="12"/>
  <c r="AI442" i="12"/>
  <c r="AI441" i="12"/>
  <c r="AI445" i="12"/>
  <c r="AI440" i="12"/>
  <c r="AI446" i="12"/>
  <c r="AI443" i="12"/>
  <c r="AI448" i="12"/>
  <c r="AI449" i="12"/>
  <c r="AI447" i="12"/>
  <c r="AI444" i="12"/>
  <c r="AI439" i="12"/>
  <c r="Z449" i="12"/>
  <c r="Z443" i="12"/>
  <c r="Z446" i="12"/>
  <c r="Z441" i="12"/>
  <c r="Z440" i="12"/>
  <c r="Z444" i="12"/>
  <c r="Z448" i="12"/>
  <c r="Z445" i="12"/>
  <c r="Z442" i="12"/>
  <c r="Z447" i="12"/>
  <c r="Z439" i="12"/>
  <c r="Y443" i="12"/>
  <c r="Y446" i="12"/>
  <c r="Y439" i="12"/>
  <c r="Y447" i="12"/>
  <c r="Y448" i="12"/>
  <c r="Y445" i="12"/>
  <c r="I222" i="12"/>
  <c r="I220" i="12"/>
  <c r="I224" i="12"/>
  <c r="I221" i="12"/>
  <c r="I223" i="12"/>
  <c r="AC224" i="12"/>
  <c r="H222" i="12"/>
  <c r="H221" i="12"/>
  <c r="H220" i="12"/>
  <c r="H224" i="12"/>
  <c r="AC220" i="12"/>
  <c r="H223" i="12"/>
  <c r="W328" i="12"/>
  <c r="W604" i="12"/>
  <c r="W329" i="12"/>
  <c r="W332" i="12"/>
  <c r="W327" i="12"/>
  <c r="W326" i="12"/>
  <c r="W331" i="12"/>
  <c r="W330" i="12"/>
  <c r="W325" i="12"/>
  <c r="AI329" i="12"/>
  <c r="AI332" i="12"/>
  <c r="AI330" i="12"/>
  <c r="AI604" i="12"/>
  <c r="AI328" i="12"/>
  <c r="AI327" i="12"/>
  <c r="AI326" i="12"/>
  <c r="AI325" i="12"/>
  <c r="AI331" i="12"/>
  <c r="X332" i="12"/>
  <c r="X326" i="12"/>
  <c r="X604" i="12"/>
  <c r="X328" i="12"/>
  <c r="X327" i="12"/>
  <c r="X330" i="12"/>
  <c r="X325" i="12"/>
  <c r="X329" i="12"/>
  <c r="X331" i="12"/>
  <c r="AK332" i="12"/>
  <c r="AK604" i="12"/>
  <c r="AK325" i="12"/>
  <c r="AK326" i="12"/>
  <c r="AK327" i="12"/>
  <c r="AK328" i="12"/>
  <c r="AK331" i="12"/>
  <c r="AK330" i="12"/>
  <c r="AK329" i="12"/>
  <c r="Y328" i="12"/>
  <c r="Y332" i="12"/>
  <c r="Y329" i="12"/>
  <c r="Y326" i="12"/>
  <c r="Y604" i="12"/>
  <c r="Y325" i="12"/>
  <c r="Y331" i="12"/>
  <c r="Y327" i="12"/>
  <c r="Y330" i="12"/>
  <c r="AL328" i="12"/>
  <c r="AL325" i="12"/>
  <c r="AL327" i="12"/>
  <c r="AL329" i="12"/>
  <c r="AL326" i="12"/>
  <c r="AL331" i="12"/>
  <c r="AL330" i="12"/>
  <c r="AL332" i="12"/>
  <c r="AL604" i="12"/>
  <c r="AA330" i="12"/>
  <c r="AA326" i="12"/>
  <c r="AA329" i="12"/>
  <c r="AA332" i="12"/>
  <c r="AA331" i="12"/>
  <c r="AA604" i="12"/>
  <c r="AA327" i="12"/>
  <c r="AA328" i="12"/>
  <c r="AA325" i="12"/>
  <c r="Z330" i="12"/>
  <c r="Z329" i="12"/>
  <c r="Z325" i="12"/>
  <c r="Z326" i="12"/>
  <c r="Z328" i="12"/>
  <c r="Z327" i="12"/>
  <c r="Z332" i="12"/>
  <c r="Z331" i="12"/>
  <c r="Z604" i="12"/>
  <c r="AJ328" i="12"/>
  <c r="AJ325" i="12"/>
  <c r="AJ327" i="12"/>
  <c r="AJ330" i="12"/>
  <c r="AJ326" i="12"/>
  <c r="AJ331" i="12"/>
  <c r="AJ332" i="12"/>
  <c r="AJ329" i="12"/>
  <c r="AJ604" i="12"/>
  <c r="I278" i="12"/>
  <c r="I280" i="12"/>
  <c r="I279" i="12"/>
  <c r="I281" i="12"/>
  <c r="I277" i="12"/>
  <c r="H279" i="12"/>
  <c r="H278" i="12"/>
  <c r="AC279" i="12"/>
  <c r="H281" i="12"/>
  <c r="H277" i="12"/>
  <c r="AC277" i="12"/>
  <c r="H280" i="12"/>
  <c r="Y487" i="12"/>
  <c r="Y486" i="12"/>
  <c r="Y485" i="12"/>
  <c r="Y484" i="12"/>
  <c r="I22" i="12"/>
  <c r="I26" i="12"/>
  <c r="I20" i="12"/>
  <c r="I23" i="12"/>
  <c r="I25" i="12"/>
  <c r="I21" i="12"/>
  <c r="I24" i="12"/>
  <c r="AC127" i="12"/>
  <c r="AC131" i="12"/>
  <c r="W464" i="12"/>
  <c r="W466" i="12"/>
  <c r="W465" i="12"/>
  <c r="W461" i="12"/>
  <c r="W610" i="12"/>
  <c r="W463" i="12"/>
  <c r="W467" i="12"/>
  <c r="W462" i="12"/>
  <c r="I52" i="12"/>
  <c r="I54" i="12"/>
  <c r="I55" i="12"/>
  <c r="H53" i="12"/>
  <c r="H54" i="12"/>
  <c r="H55" i="12"/>
  <c r="AC52" i="12"/>
  <c r="H52" i="12"/>
  <c r="Z158" i="12"/>
  <c r="Z159" i="12"/>
  <c r="Z157" i="12"/>
  <c r="Z156" i="12"/>
  <c r="Z160" i="12"/>
  <c r="AL157" i="12"/>
  <c r="AL160" i="12"/>
  <c r="AL158" i="12"/>
  <c r="AL159" i="12"/>
  <c r="AL156" i="12"/>
  <c r="X156" i="12"/>
  <c r="X160" i="12"/>
  <c r="X159" i="12"/>
  <c r="X157" i="12"/>
  <c r="X158" i="12"/>
  <c r="AJ159" i="12"/>
  <c r="AJ158" i="12"/>
  <c r="AJ156" i="12"/>
  <c r="AJ160" i="12"/>
  <c r="AJ157" i="12"/>
  <c r="W160" i="12"/>
  <c r="W159" i="12"/>
  <c r="W157" i="12"/>
  <c r="W156" i="12"/>
  <c r="W158" i="12"/>
  <c r="AM159" i="12"/>
  <c r="AM160" i="12"/>
  <c r="AM157" i="12"/>
  <c r="AM158" i="12"/>
  <c r="AM156" i="12"/>
  <c r="AK159" i="12"/>
  <c r="AK157" i="12"/>
  <c r="AK160" i="12"/>
  <c r="AK158" i="12"/>
  <c r="AK156" i="12"/>
  <c r="AA160" i="12"/>
  <c r="AA156" i="12"/>
  <c r="AA159" i="12"/>
  <c r="AA157" i="12"/>
  <c r="AA158" i="12"/>
  <c r="W273" i="12"/>
  <c r="W274" i="12"/>
  <c r="W275" i="12"/>
  <c r="W276" i="12"/>
  <c r="W272" i="12"/>
  <c r="AM272" i="12"/>
  <c r="AM276" i="12"/>
  <c r="AM275" i="12"/>
  <c r="AM274" i="12"/>
  <c r="AM273" i="12"/>
  <c r="Y30" i="12"/>
  <c r="Y29" i="12"/>
  <c r="Y31" i="12"/>
  <c r="Y27" i="12"/>
  <c r="Y28" i="12"/>
  <c r="X27" i="12"/>
  <c r="X31" i="12"/>
  <c r="X28" i="12"/>
  <c r="X30" i="12"/>
  <c r="X29" i="12"/>
  <c r="Z27" i="12"/>
  <c r="Z30" i="12"/>
  <c r="Z31" i="12"/>
  <c r="Z28" i="12"/>
  <c r="Z29" i="12"/>
  <c r="AA31" i="12"/>
  <c r="AA27" i="12"/>
  <c r="AA30" i="12"/>
  <c r="AA28" i="12"/>
  <c r="AA29" i="12"/>
  <c r="W31" i="12"/>
  <c r="W27" i="12"/>
  <c r="W29" i="12"/>
  <c r="W30" i="12"/>
  <c r="W28" i="12"/>
  <c r="AL31" i="12"/>
  <c r="AL28" i="12"/>
  <c r="AL27" i="12"/>
  <c r="AL30" i="12"/>
  <c r="AL29" i="12"/>
  <c r="AI28" i="12"/>
  <c r="AI30" i="12"/>
  <c r="AI31" i="12"/>
  <c r="AI29" i="12"/>
  <c r="AI27" i="12"/>
  <c r="AJ30" i="12"/>
  <c r="AJ27" i="12"/>
  <c r="AJ29" i="12"/>
  <c r="AJ31" i="12"/>
  <c r="AJ28" i="12"/>
  <c r="AK29" i="12"/>
  <c r="AK27" i="12"/>
  <c r="AK30" i="12"/>
  <c r="AK28" i="12"/>
  <c r="AK31" i="12"/>
  <c r="W353" i="12"/>
  <c r="W352" i="12"/>
  <c r="W354" i="12"/>
  <c r="W586" i="12"/>
  <c r="AL352" i="12"/>
  <c r="AL353" i="12"/>
  <c r="AL586" i="12"/>
  <c r="AL354" i="12"/>
  <c r="X353" i="12"/>
  <c r="X352" i="12"/>
  <c r="X586" i="12"/>
  <c r="X354" i="12"/>
  <c r="AK352" i="12"/>
  <c r="AK354" i="12"/>
  <c r="AK353" i="12"/>
  <c r="AK586" i="12"/>
  <c r="AJ354" i="12"/>
  <c r="AJ586" i="12"/>
  <c r="AJ353" i="12"/>
  <c r="AJ352" i="12"/>
  <c r="AM354" i="12"/>
  <c r="AM353" i="12"/>
  <c r="AM352" i="12"/>
  <c r="AM586" i="12"/>
  <c r="Z586" i="12"/>
  <c r="Z353" i="12"/>
  <c r="AI352" i="12"/>
  <c r="AI586" i="12"/>
  <c r="AI353" i="12"/>
  <c r="AI354" i="12"/>
  <c r="AM27" i="12"/>
  <c r="AM28" i="12"/>
  <c r="AM31" i="12"/>
  <c r="AM29" i="12"/>
  <c r="AM30" i="12"/>
  <c r="AK487" i="12"/>
  <c r="AK485" i="12"/>
  <c r="AK486" i="12"/>
  <c r="AK484" i="12"/>
  <c r="Z451" i="12"/>
  <c r="Z452" i="12"/>
  <c r="Z450" i="12"/>
  <c r="Z453" i="12"/>
  <c r="AL452" i="12"/>
  <c r="AL450" i="12"/>
  <c r="AL453" i="12"/>
  <c r="AL451" i="12"/>
  <c r="AK450" i="12"/>
  <c r="AK452" i="12"/>
  <c r="AK453" i="12"/>
  <c r="Y451" i="12"/>
  <c r="Y450" i="12"/>
  <c r="Y453" i="12"/>
  <c r="Y452" i="12"/>
  <c r="H452" i="12"/>
  <c r="H451" i="12"/>
  <c r="AC450" i="12"/>
  <c r="H450" i="12"/>
  <c r="H453" i="12"/>
  <c r="I453" i="12"/>
  <c r="I450" i="12"/>
  <c r="I452" i="12"/>
  <c r="I451" i="12"/>
  <c r="Z149" i="12"/>
  <c r="Z590" i="12"/>
  <c r="Z148" i="12"/>
  <c r="AL613" i="12"/>
  <c r="AL494" i="12"/>
  <c r="AL495" i="12"/>
  <c r="AL493" i="12"/>
  <c r="AI493" i="12"/>
  <c r="AI495" i="12"/>
  <c r="AI494" i="12"/>
  <c r="AI613" i="12"/>
  <c r="AM613" i="12"/>
  <c r="AM494" i="12"/>
  <c r="AM495" i="12"/>
  <c r="AM493" i="12"/>
  <c r="AA613" i="12"/>
  <c r="AA495" i="12"/>
  <c r="AA494" i="12"/>
  <c r="AA493" i="12"/>
  <c r="X493" i="12"/>
  <c r="X494" i="12"/>
  <c r="X495" i="12"/>
  <c r="X613" i="12"/>
  <c r="Y495" i="12"/>
  <c r="Y493" i="12"/>
  <c r="Y613" i="12"/>
  <c r="Y494" i="12"/>
  <c r="AJ493" i="12"/>
  <c r="AJ613" i="12"/>
  <c r="AJ495" i="12"/>
  <c r="AJ494" i="12"/>
  <c r="Z534" i="12"/>
  <c r="Z600" i="12"/>
  <c r="Z545" i="12"/>
  <c r="Z537" i="12"/>
  <c r="Z546" i="12"/>
  <c r="Z547" i="12"/>
  <c r="Z540" i="12"/>
  <c r="Z539" i="12"/>
  <c r="Z543" i="12"/>
  <c r="Z544" i="12"/>
  <c r="Z535" i="12"/>
  <c r="Z538" i="12"/>
  <c r="Z542" i="12"/>
  <c r="AA455" i="12"/>
  <c r="AA457" i="12"/>
  <c r="AA460" i="12"/>
  <c r="AA458" i="12"/>
  <c r="AA459" i="12"/>
  <c r="AI381" i="12"/>
  <c r="AI384" i="12"/>
  <c r="AI383" i="12"/>
  <c r="AI382" i="12"/>
  <c r="Y384" i="12"/>
  <c r="Y381" i="12"/>
  <c r="Y383" i="12"/>
  <c r="Y382" i="12"/>
  <c r="X381" i="12"/>
  <c r="X384" i="12"/>
  <c r="X382" i="12"/>
  <c r="X383" i="12"/>
  <c r="AJ383" i="12"/>
  <c r="AJ382" i="12"/>
  <c r="AJ384" i="12"/>
  <c r="AJ381" i="12"/>
  <c r="W381" i="12"/>
  <c r="W382" i="12"/>
  <c r="W383" i="12"/>
  <c r="W384" i="12"/>
  <c r="Z384" i="12"/>
  <c r="Z381" i="12"/>
  <c r="Z382" i="12"/>
  <c r="Z383" i="12"/>
  <c r="AL384" i="12"/>
  <c r="AL383" i="12"/>
  <c r="AL382" i="12"/>
  <c r="AL381" i="12"/>
  <c r="AK381" i="12"/>
  <c r="AK384" i="12"/>
  <c r="AK382" i="12"/>
  <c r="AK383" i="12"/>
  <c r="AM382" i="12"/>
  <c r="AM383" i="12"/>
  <c r="AM381" i="12"/>
  <c r="AM384" i="12"/>
  <c r="AA382" i="12"/>
  <c r="AA381" i="12"/>
  <c r="AA383" i="12"/>
  <c r="AA384" i="12"/>
  <c r="Y582" i="12"/>
  <c r="Y583" i="12"/>
  <c r="Y581" i="12"/>
  <c r="Y580" i="12"/>
  <c r="Y601" i="12"/>
  <c r="X583" i="12"/>
  <c r="X601" i="12"/>
  <c r="X581" i="12"/>
  <c r="X582" i="12"/>
  <c r="X580" i="12"/>
  <c r="AJ601" i="12"/>
  <c r="AJ583" i="12"/>
  <c r="AJ580" i="12"/>
  <c r="AJ582" i="12"/>
  <c r="AJ581" i="12"/>
  <c r="AM582" i="12"/>
  <c r="AM580" i="12"/>
  <c r="AM583" i="12"/>
  <c r="AM581" i="12"/>
  <c r="AM601" i="12"/>
  <c r="AI583" i="12"/>
  <c r="AI581" i="12"/>
  <c r="AI582" i="12"/>
  <c r="AI580" i="12"/>
  <c r="AI601" i="12"/>
  <c r="AK581" i="12"/>
  <c r="AK601" i="12"/>
  <c r="AK580" i="12"/>
  <c r="AK582" i="12"/>
  <c r="AK583" i="12"/>
  <c r="W582" i="12"/>
  <c r="W583" i="12"/>
  <c r="W580" i="12"/>
  <c r="W581" i="12"/>
  <c r="W601" i="12"/>
  <c r="AA583" i="12"/>
  <c r="AA582" i="12"/>
  <c r="AA580" i="12"/>
  <c r="AA581" i="12"/>
  <c r="AA601" i="12"/>
  <c r="Z581" i="12"/>
  <c r="Z582" i="12"/>
  <c r="Z580" i="12"/>
  <c r="Z583" i="12"/>
  <c r="Z601" i="12"/>
  <c r="AL580" i="12"/>
  <c r="AL583" i="12"/>
  <c r="AL601" i="12"/>
  <c r="AL582" i="12"/>
  <c r="AL581" i="12"/>
  <c r="H586" i="12"/>
  <c r="H353" i="12"/>
  <c r="H352" i="12"/>
  <c r="AC352" i="12"/>
  <c r="H354" i="12"/>
  <c r="AA586" i="12"/>
  <c r="AA353" i="12"/>
  <c r="AA354" i="12"/>
  <c r="AA352" i="12"/>
  <c r="Y352" i="12"/>
  <c r="Y353" i="12"/>
  <c r="Y586" i="12"/>
  <c r="Y354" i="12"/>
  <c r="Z354" i="12"/>
  <c r="Z352" i="12"/>
  <c r="I586" i="12"/>
  <c r="I354" i="12"/>
  <c r="I352" i="12"/>
  <c r="I353" i="12"/>
  <c r="AJ228" i="12"/>
  <c r="AJ227" i="12"/>
  <c r="AJ226" i="12"/>
  <c r="AJ231" i="12"/>
  <c r="AJ229" i="12"/>
  <c r="AA228" i="12"/>
  <c r="AA229" i="12"/>
  <c r="AA230" i="12"/>
  <c r="AA227" i="12"/>
  <c r="AA231" i="12"/>
  <c r="AA226" i="12"/>
  <c r="AA225" i="12"/>
  <c r="AM227" i="12"/>
  <c r="AM226" i="12"/>
  <c r="AM228" i="12"/>
  <c r="AM231" i="12"/>
  <c r="AM225" i="12"/>
  <c r="AM229" i="12"/>
  <c r="AM230" i="12"/>
  <c r="Z228" i="12"/>
  <c r="Z230" i="12"/>
  <c r="Z226" i="12"/>
  <c r="Z225" i="12"/>
  <c r="Z229" i="12"/>
  <c r="Z231" i="12"/>
  <c r="Z227" i="12"/>
  <c r="AK229" i="12"/>
  <c r="AK228" i="12"/>
  <c r="AK226" i="12"/>
  <c r="AK225" i="12"/>
  <c r="AK230" i="12"/>
  <c r="AK227" i="12"/>
  <c r="AK231" i="12"/>
  <c r="W227" i="12"/>
  <c r="W229" i="12"/>
  <c r="W226" i="12"/>
  <c r="W228" i="12"/>
  <c r="W231" i="12"/>
  <c r="W230" i="12"/>
  <c r="W225" i="12"/>
  <c r="H402" i="12"/>
  <c r="H400" i="12"/>
  <c r="H607" i="12"/>
  <c r="AC399" i="12"/>
  <c r="H401" i="12"/>
  <c r="H399" i="12"/>
  <c r="I402" i="12"/>
  <c r="I400" i="12"/>
  <c r="I399" i="12"/>
  <c r="I401" i="12"/>
  <c r="I607" i="12"/>
  <c r="Z400" i="12"/>
  <c r="Z402" i="12"/>
  <c r="Z401" i="12"/>
  <c r="Z399" i="12"/>
  <c r="Z607" i="12"/>
  <c r="AL402" i="12"/>
  <c r="AL400" i="12"/>
  <c r="AL399" i="12"/>
  <c r="AL401" i="12"/>
  <c r="AL607" i="12"/>
  <c r="X607" i="12"/>
  <c r="X401" i="12"/>
  <c r="X402" i="12"/>
  <c r="X400" i="12"/>
  <c r="X399" i="12"/>
  <c r="W402" i="12"/>
  <c r="W607" i="12"/>
  <c r="W400" i="12"/>
  <c r="W399" i="12"/>
  <c r="W401" i="12"/>
  <c r="AI402" i="12"/>
  <c r="AI607" i="12"/>
  <c r="AI400" i="12"/>
  <c r="AI399" i="12"/>
  <c r="AI401" i="12"/>
  <c r="Y402" i="12"/>
  <c r="Y400" i="12"/>
  <c r="Y401" i="12"/>
  <c r="Y607" i="12"/>
  <c r="Y399" i="12"/>
  <c r="AK607" i="12"/>
  <c r="AK400" i="12"/>
  <c r="AK399" i="12"/>
  <c r="AK402" i="12"/>
  <c r="AK401" i="12"/>
  <c r="AJ400" i="12"/>
  <c r="AJ399" i="12"/>
  <c r="AJ402" i="12"/>
  <c r="AJ401" i="12"/>
  <c r="AJ607" i="12"/>
  <c r="AA402" i="12"/>
  <c r="AA401" i="12"/>
  <c r="AA607" i="12"/>
  <c r="AJ561" i="12"/>
  <c r="AJ564" i="12"/>
  <c r="AJ563" i="12"/>
  <c r="AJ560" i="12"/>
  <c r="AJ562" i="12"/>
  <c r="AJ559" i="12"/>
  <c r="W590" i="12"/>
  <c r="W146" i="12"/>
  <c r="W145" i="12"/>
  <c r="W148" i="12"/>
  <c r="W147" i="12"/>
  <c r="W144" i="12"/>
  <c r="W149" i="12"/>
  <c r="AL148" i="12"/>
  <c r="AL144" i="12"/>
  <c r="AL147" i="12"/>
  <c r="AL146" i="12"/>
  <c r="AL149" i="12"/>
  <c r="AL590" i="12"/>
  <c r="AL145" i="12"/>
  <c r="Z144" i="12"/>
  <c r="Z146" i="12"/>
  <c r="Z147" i="12"/>
  <c r="Z145" i="12"/>
  <c r="AI147" i="12"/>
  <c r="AI590" i="12"/>
  <c r="AI146" i="12"/>
  <c r="AI148" i="12"/>
  <c r="AI144" i="12"/>
  <c r="AI145" i="12"/>
  <c r="AI149" i="12"/>
  <c r="AL320" i="12"/>
  <c r="AL319" i="12"/>
  <c r="AL318" i="12"/>
  <c r="AL317" i="12"/>
  <c r="AL316" i="12"/>
  <c r="AA318" i="12"/>
  <c r="AA316" i="12"/>
  <c r="AA317" i="12"/>
  <c r="AA319" i="12"/>
  <c r="AA320" i="12"/>
  <c r="AK317" i="12"/>
  <c r="AK318" i="12"/>
  <c r="AK319" i="12"/>
  <c r="AK316" i="12"/>
  <c r="AK320" i="12"/>
  <c r="AJ319" i="12"/>
  <c r="AJ316" i="12"/>
  <c r="AJ320" i="12"/>
  <c r="AJ317" i="12"/>
  <c r="AJ318" i="12"/>
  <c r="X318" i="12"/>
  <c r="X320" i="12"/>
  <c r="X317" i="12"/>
  <c r="X319" i="12"/>
  <c r="X316" i="12"/>
  <c r="Z320" i="12"/>
  <c r="Z317" i="12"/>
  <c r="Z319" i="12"/>
  <c r="Z318" i="12"/>
  <c r="Z316" i="12"/>
  <c r="H272" i="12"/>
  <c r="H274" i="12"/>
  <c r="H275" i="12"/>
  <c r="H276" i="12"/>
  <c r="H273" i="12"/>
  <c r="I272" i="12"/>
  <c r="I273" i="12"/>
  <c r="I274" i="12"/>
  <c r="I275" i="12"/>
  <c r="I276" i="12"/>
  <c r="AC393" i="12"/>
  <c r="AC611" i="12"/>
  <c r="AC218" i="12"/>
  <c r="AC472" i="12"/>
  <c r="AC204" i="12"/>
  <c r="AC383" i="12"/>
  <c r="AC367" i="12"/>
  <c r="AC552" i="12"/>
  <c r="AC53" i="12"/>
  <c r="AC602" i="12"/>
  <c r="AC363" i="12"/>
  <c r="AL188" i="12"/>
  <c r="AC542" i="12"/>
  <c r="AC29" i="12"/>
  <c r="AC364" i="12"/>
  <c r="AC231" i="12"/>
  <c r="AC105" i="12"/>
  <c r="AJ340" i="12"/>
  <c r="AK216" i="12"/>
  <c r="AC554" i="12"/>
  <c r="AC246" i="12"/>
  <c r="AC33" i="12"/>
  <c r="AC359" i="12"/>
  <c r="AC201" i="12"/>
  <c r="AC315" i="12"/>
  <c r="W180" i="12"/>
  <c r="W179" i="12"/>
  <c r="AA375" i="12"/>
  <c r="AA373" i="12"/>
  <c r="AA372" i="12"/>
  <c r="AA374" i="12"/>
  <c r="AM180" i="12"/>
  <c r="AM179" i="12"/>
  <c r="AK179" i="12"/>
  <c r="AK180" i="12"/>
  <c r="X180" i="12"/>
  <c r="X179" i="12"/>
  <c r="AJ179" i="12"/>
  <c r="AJ180" i="12"/>
  <c r="AA179" i="12"/>
  <c r="AA180" i="12"/>
  <c r="Y179" i="12"/>
  <c r="Y180" i="12"/>
  <c r="I179" i="12"/>
  <c r="I180" i="12"/>
  <c r="Z179" i="12"/>
  <c r="Z180" i="12"/>
  <c r="AL180" i="12"/>
  <c r="AL179" i="12"/>
  <c r="AI180" i="12"/>
  <c r="AI179" i="12"/>
  <c r="AC179" i="12"/>
  <c r="H180" i="12"/>
  <c r="H179" i="12"/>
  <c r="H181" i="12"/>
  <c r="H183" i="12"/>
  <c r="AC181" i="12"/>
  <c r="H182" i="12"/>
  <c r="I181" i="12"/>
  <c r="I182" i="12"/>
  <c r="I183" i="12"/>
  <c r="H31" i="12"/>
  <c r="H28" i="12"/>
  <c r="H30" i="12"/>
  <c r="H29" i="12"/>
  <c r="H27" i="12"/>
  <c r="AC27" i="12"/>
  <c r="I29" i="12"/>
  <c r="I31" i="12"/>
  <c r="I30" i="12"/>
  <c r="I28" i="12"/>
  <c r="I27" i="12"/>
  <c r="AA274" i="12"/>
  <c r="AA275" i="12"/>
  <c r="AA272" i="12"/>
  <c r="AA273" i="12"/>
  <c r="AA276" i="12"/>
  <c r="AJ276" i="12"/>
  <c r="AJ275" i="12"/>
  <c r="AJ274" i="12"/>
  <c r="AJ273" i="12"/>
  <c r="AJ272" i="12"/>
  <c r="AM110" i="12"/>
  <c r="AM112" i="12"/>
  <c r="AM111" i="12"/>
  <c r="AM109" i="12"/>
  <c r="AM516" i="12"/>
  <c r="AM518" i="12"/>
  <c r="AM517" i="12"/>
  <c r="AM519" i="12"/>
  <c r="AA241" i="12"/>
  <c r="AA238" i="12"/>
  <c r="AA243" i="12"/>
  <c r="AA240" i="12"/>
  <c r="AA242" i="12"/>
  <c r="AA239" i="12"/>
  <c r="AM241" i="12"/>
  <c r="AM242" i="12"/>
  <c r="AM238" i="12"/>
  <c r="AM240" i="12"/>
  <c r="AM239" i="12"/>
  <c r="AM243" i="12"/>
  <c r="AL555" i="12"/>
  <c r="AL556" i="12"/>
  <c r="AL557" i="12"/>
  <c r="AL558" i="12"/>
  <c r="Z557" i="12"/>
  <c r="Z555" i="12"/>
  <c r="Z556" i="12"/>
  <c r="Z558" i="12"/>
  <c r="Y556" i="12"/>
  <c r="Y558" i="12"/>
  <c r="Y555" i="12"/>
  <c r="Y557" i="12"/>
  <c r="X557" i="12"/>
  <c r="X556" i="12"/>
  <c r="X555" i="12"/>
  <c r="X558" i="12"/>
  <c r="AM587" i="12"/>
  <c r="AM51" i="12"/>
  <c r="AM45" i="12"/>
  <c r="AM49" i="12"/>
  <c r="AM48" i="12"/>
  <c r="AM50" i="12"/>
  <c r="AM47" i="12"/>
  <c r="AM46" i="12"/>
  <c r="W587" i="12"/>
  <c r="W49" i="12"/>
  <c r="W47" i="12"/>
  <c r="W45" i="12"/>
  <c r="W46" i="12"/>
  <c r="W51" i="12"/>
  <c r="W48" i="12"/>
  <c r="W50" i="12"/>
  <c r="AA462" i="12"/>
  <c r="AA466" i="12"/>
  <c r="AA461" i="12"/>
  <c r="AA463" i="12"/>
  <c r="AA464" i="12"/>
  <c r="AA610" i="12"/>
  <c r="AA467" i="12"/>
  <c r="AA465" i="12"/>
  <c r="Z462" i="12"/>
  <c r="Z467" i="12"/>
  <c r="Z465" i="12"/>
  <c r="Z463" i="12"/>
  <c r="Z461" i="12"/>
  <c r="Z464" i="12"/>
  <c r="Z610" i="12"/>
  <c r="Z466" i="12"/>
  <c r="I409" i="12"/>
  <c r="I407" i="12"/>
  <c r="I408" i="12"/>
  <c r="W408" i="12"/>
  <c r="W407" i="12"/>
  <c r="W409" i="12"/>
  <c r="AI51" i="12"/>
  <c r="AI47" i="12"/>
  <c r="AI49" i="12"/>
  <c r="AI46" i="12"/>
  <c r="AI50" i="12"/>
  <c r="AI48" i="12"/>
  <c r="AI587" i="12"/>
  <c r="AI45" i="12"/>
  <c r="AI533" i="12"/>
  <c r="AI532" i="12"/>
  <c r="AI530" i="12"/>
  <c r="AI531" i="12"/>
  <c r="AA530" i="12"/>
  <c r="AA533" i="12"/>
  <c r="AA531" i="12"/>
  <c r="AA532" i="12"/>
  <c r="AM532" i="12"/>
  <c r="AM533" i="12"/>
  <c r="AM530" i="12"/>
  <c r="AM531" i="12"/>
  <c r="W518" i="12"/>
  <c r="W516" i="12"/>
  <c r="W517" i="12"/>
  <c r="W519" i="12"/>
  <c r="AJ268" i="12"/>
  <c r="AJ267" i="12"/>
  <c r="AJ264" i="12"/>
  <c r="AJ266" i="12"/>
  <c r="AJ265" i="12"/>
  <c r="Z265" i="12"/>
  <c r="Z264" i="12"/>
  <c r="Z267" i="12"/>
  <c r="Z268" i="12"/>
  <c r="Z266" i="12"/>
  <c r="W266" i="12"/>
  <c r="W267" i="12"/>
  <c r="W264" i="12"/>
  <c r="W268" i="12"/>
  <c r="W265" i="12"/>
  <c r="Y112" i="12"/>
  <c r="Y109" i="12"/>
  <c r="Y111" i="12"/>
  <c r="Y110" i="12"/>
  <c r="AA109" i="12"/>
  <c r="AA110" i="12"/>
  <c r="AA111" i="12"/>
  <c r="AA112" i="12"/>
  <c r="AK109" i="12"/>
  <c r="AK112" i="12"/>
  <c r="AK110" i="12"/>
  <c r="AK111" i="12"/>
  <c r="Y272" i="12"/>
  <c r="Y276" i="12"/>
  <c r="Y273" i="12"/>
  <c r="Y274" i="12"/>
  <c r="Y275" i="12"/>
  <c r="AI273" i="12"/>
  <c r="AI275" i="12"/>
  <c r="AI276" i="12"/>
  <c r="AI272" i="12"/>
  <c r="AI274" i="12"/>
  <c r="Z276" i="12"/>
  <c r="Z274" i="12"/>
  <c r="Z273" i="12"/>
  <c r="Z275" i="12"/>
  <c r="Z272" i="12"/>
  <c r="Y379" i="12"/>
  <c r="Y376" i="12"/>
  <c r="Y377" i="12"/>
  <c r="Y378" i="12"/>
  <c r="Y380" i="12"/>
  <c r="AM376" i="12"/>
  <c r="AM377" i="12"/>
  <c r="AM378" i="12"/>
  <c r="AM380" i="12"/>
  <c r="AM379" i="12"/>
  <c r="H249" i="12"/>
  <c r="H251" i="12"/>
  <c r="H250" i="12"/>
  <c r="H248" i="12"/>
  <c r="H247" i="12"/>
  <c r="AC244" i="12"/>
  <c r="H252" i="12"/>
  <c r="H244" i="12"/>
  <c r="H253" i="12"/>
  <c r="H245" i="12"/>
  <c r="H246" i="12"/>
  <c r="I249" i="12"/>
  <c r="I252" i="12"/>
  <c r="I244" i="12"/>
  <c r="I248" i="12"/>
  <c r="I247" i="12"/>
  <c r="I250" i="12"/>
  <c r="I253" i="12"/>
  <c r="I251" i="12"/>
  <c r="I245" i="12"/>
  <c r="I246" i="12"/>
  <c r="X112" i="12"/>
  <c r="X110" i="12"/>
  <c r="X111" i="12"/>
  <c r="X109" i="12"/>
  <c r="AL109" i="12"/>
  <c r="AL111" i="12"/>
  <c r="AL110" i="12"/>
  <c r="AL112" i="12"/>
  <c r="W109" i="12"/>
  <c r="W110" i="12"/>
  <c r="W112" i="12"/>
  <c r="W111" i="12"/>
  <c r="AJ109" i="12"/>
  <c r="AJ111" i="12"/>
  <c r="AJ112" i="12"/>
  <c r="AJ110" i="12"/>
  <c r="Z112" i="12"/>
  <c r="Z110" i="12"/>
  <c r="Z109" i="12"/>
  <c r="Z111" i="12"/>
  <c r="W430" i="12"/>
  <c r="W609" i="12"/>
  <c r="W431" i="12"/>
  <c r="W433" i="12"/>
  <c r="W426" i="12"/>
  <c r="W434" i="12"/>
  <c r="W432" i="12"/>
  <c r="W429" i="12"/>
  <c r="W428" i="12"/>
  <c r="W427" i="12"/>
  <c r="W425" i="12"/>
  <c r="AJ432" i="12"/>
  <c r="AJ609" i="12"/>
  <c r="AJ431" i="12"/>
  <c r="AJ426" i="12"/>
  <c r="AJ433" i="12"/>
  <c r="AJ428" i="12"/>
  <c r="AJ434" i="12"/>
  <c r="AJ425" i="12"/>
  <c r="AJ430" i="12"/>
  <c r="AJ429" i="12"/>
  <c r="AJ427" i="12"/>
  <c r="AI430" i="12"/>
  <c r="AI431" i="12"/>
  <c r="AI427" i="12"/>
  <c r="AI432" i="12"/>
  <c r="AI426" i="12"/>
  <c r="AI428" i="12"/>
  <c r="AI433" i="12"/>
  <c r="AI434" i="12"/>
  <c r="AI425" i="12"/>
  <c r="AI429" i="12"/>
  <c r="AI609" i="12"/>
  <c r="AA433" i="12"/>
  <c r="AA425" i="12"/>
  <c r="AA428" i="12"/>
  <c r="AA431" i="12"/>
  <c r="AA426" i="12"/>
  <c r="AA430" i="12"/>
  <c r="AA434" i="12"/>
  <c r="AA427" i="12"/>
  <c r="AA609" i="12"/>
  <c r="AA432" i="12"/>
  <c r="AA429" i="12"/>
  <c r="AK427" i="12"/>
  <c r="AK430" i="12"/>
  <c r="AK432" i="12"/>
  <c r="AK434" i="12"/>
  <c r="AK426" i="12"/>
  <c r="AK425" i="12"/>
  <c r="AK431" i="12"/>
  <c r="AK433" i="12"/>
  <c r="AK609" i="12"/>
  <c r="AK428" i="12"/>
  <c r="AK429" i="12"/>
  <c r="Y434" i="12"/>
  <c r="Y425" i="12"/>
  <c r="Y433" i="12"/>
  <c r="Y429" i="12"/>
  <c r="Y609" i="12"/>
  <c r="Y426" i="12"/>
  <c r="Y428" i="12"/>
  <c r="Y430" i="12"/>
  <c r="Y427" i="12"/>
  <c r="Y432" i="12"/>
  <c r="Y431" i="12"/>
  <c r="AL433" i="12"/>
  <c r="AL427" i="12"/>
  <c r="AL426" i="12"/>
  <c r="AL434" i="12"/>
  <c r="AL429" i="12"/>
  <c r="AL425" i="12"/>
  <c r="AL432" i="12"/>
  <c r="AL430" i="12"/>
  <c r="AL428" i="12"/>
  <c r="AL431" i="12"/>
  <c r="AL609" i="12"/>
  <c r="X431" i="12"/>
  <c r="X426" i="12"/>
  <c r="X434" i="12"/>
  <c r="X432" i="12"/>
  <c r="X429" i="12"/>
  <c r="X428" i="12"/>
  <c r="X430" i="12"/>
  <c r="X425" i="12"/>
  <c r="X427" i="12"/>
  <c r="X433" i="12"/>
  <c r="X609" i="12"/>
  <c r="Z427" i="12"/>
  <c r="Z430" i="12"/>
  <c r="Z426" i="12"/>
  <c r="Z609" i="12"/>
  <c r="Z434" i="12"/>
  <c r="Z433" i="12"/>
  <c r="Z432" i="12"/>
  <c r="Z431" i="12"/>
  <c r="Z428" i="12"/>
  <c r="Z425" i="12"/>
  <c r="Z429" i="12"/>
  <c r="AJ66" i="12"/>
  <c r="AJ65" i="12"/>
  <c r="AJ69" i="12"/>
  <c r="AJ67" i="12"/>
  <c r="AJ63" i="12"/>
  <c r="AJ64" i="12"/>
  <c r="AJ588" i="12"/>
  <c r="AJ68" i="12"/>
  <c r="Z64" i="12"/>
  <c r="Z65" i="12"/>
  <c r="Z68" i="12"/>
  <c r="Z63" i="12"/>
  <c r="Z67" i="12"/>
  <c r="Z69" i="12"/>
  <c r="Z66" i="12"/>
  <c r="Z588" i="12"/>
  <c r="AK588" i="12"/>
  <c r="AK64" i="12"/>
  <c r="AK68" i="12"/>
  <c r="AK63" i="12"/>
  <c r="AK66" i="12"/>
  <c r="AK67" i="12"/>
  <c r="AK69" i="12"/>
  <c r="AK65" i="12"/>
  <c r="Y68" i="12"/>
  <c r="Y63" i="12"/>
  <c r="Y65" i="12"/>
  <c r="Y64" i="12"/>
  <c r="Y588" i="12"/>
  <c r="Y66" i="12"/>
  <c r="Y67" i="12"/>
  <c r="Y69" i="12"/>
  <c r="AA67" i="12"/>
  <c r="AA66" i="12"/>
  <c r="AA65" i="12"/>
  <c r="AA63" i="12"/>
  <c r="AA69" i="12"/>
  <c r="AA588" i="12"/>
  <c r="AA64" i="12"/>
  <c r="AA68" i="12"/>
  <c r="AL588" i="12"/>
  <c r="AL69" i="12"/>
  <c r="AL64" i="12"/>
  <c r="AL68" i="12"/>
  <c r="AL63" i="12"/>
  <c r="AL66" i="12"/>
  <c r="AL65" i="12"/>
  <c r="AL67" i="12"/>
  <c r="AM67" i="12"/>
  <c r="AM588" i="12"/>
  <c r="AM64" i="12"/>
  <c r="AM63" i="12"/>
  <c r="AM68" i="12"/>
  <c r="AM66" i="12"/>
  <c r="AM69" i="12"/>
  <c r="AM65" i="12"/>
  <c r="AI588" i="12"/>
  <c r="AI68" i="12"/>
  <c r="AI63" i="12"/>
  <c r="AI65" i="12"/>
  <c r="AI66" i="12"/>
  <c r="AI64" i="12"/>
  <c r="AI69" i="12"/>
  <c r="AI67" i="12"/>
  <c r="W63" i="12"/>
  <c r="W67" i="12"/>
  <c r="W65" i="12"/>
  <c r="W69" i="12"/>
  <c r="W588" i="12"/>
  <c r="W68" i="12"/>
  <c r="W64" i="12"/>
  <c r="W66" i="12"/>
  <c r="X68" i="12"/>
  <c r="X66" i="12"/>
  <c r="X588" i="12"/>
  <c r="X67" i="12"/>
  <c r="X63" i="12"/>
  <c r="X64" i="12"/>
  <c r="X69" i="12"/>
  <c r="X65" i="12"/>
  <c r="AI521" i="12"/>
  <c r="AI520" i="12"/>
  <c r="AI523" i="12"/>
  <c r="AI522" i="12"/>
  <c r="AA520" i="12"/>
  <c r="AA522" i="12"/>
  <c r="AA521" i="12"/>
  <c r="AA523" i="12"/>
  <c r="W522" i="12"/>
  <c r="W521" i="12"/>
  <c r="W520" i="12"/>
  <c r="W523" i="12"/>
  <c r="AM520" i="12"/>
  <c r="AM522" i="12"/>
  <c r="AM521" i="12"/>
  <c r="AM523" i="12"/>
  <c r="Z522" i="12"/>
  <c r="Z521" i="12"/>
  <c r="Z520" i="12"/>
  <c r="Z523" i="12"/>
  <c r="AL520" i="12"/>
  <c r="AL522" i="12"/>
  <c r="AL523" i="12"/>
  <c r="AL521" i="12"/>
  <c r="Y523" i="12"/>
  <c r="Y520" i="12"/>
  <c r="Y522" i="12"/>
  <c r="Y521" i="12"/>
  <c r="AK520" i="12"/>
  <c r="AK521" i="12"/>
  <c r="AK523" i="12"/>
  <c r="AK522" i="12"/>
  <c r="X521" i="12"/>
  <c r="X520" i="12"/>
  <c r="X523" i="12"/>
  <c r="X522" i="12"/>
  <c r="AJ523" i="12"/>
  <c r="AJ520" i="12"/>
  <c r="AJ522" i="12"/>
  <c r="AJ521" i="12"/>
  <c r="X421" i="12"/>
  <c r="X420" i="12"/>
  <c r="X419" i="12"/>
  <c r="X418" i="12"/>
  <c r="AM421" i="12"/>
  <c r="AM419" i="12"/>
  <c r="AM420" i="12"/>
  <c r="AM418" i="12"/>
  <c r="AJ418" i="12"/>
  <c r="AJ419" i="12"/>
  <c r="AJ421" i="12"/>
  <c r="AJ420" i="12"/>
  <c r="Z420" i="12"/>
  <c r="Z418" i="12"/>
  <c r="Z421" i="12"/>
  <c r="Z419" i="12"/>
  <c r="AL419" i="12"/>
  <c r="AL418" i="12"/>
  <c r="AL420" i="12"/>
  <c r="AL421" i="12"/>
  <c r="AI420" i="12"/>
  <c r="AI418" i="12"/>
  <c r="AI421" i="12"/>
  <c r="AI419" i="12"/>
  <c r="Y420" i="12"/>
  <c r="Y418" i="12"/>
  <c r="Y419" i="12"/>
  <c r="Y421" i="12"/>
  <c r="AK421" i="12"/>
  <c r="AK420" i="12"/>
  <c r="AK419" i="12"/>
  <c r="AK418" i="12"/>
  <c r="W420" i="12"/>
  <c r="W418" i="12"/>
  <c r="W419" i="12"/>
  <c r="W421" i="12"/>
  <c r="AJ324" i="12"/>
  <c r="AJ321" i="12"/>
  <c r="AJ323" i="12"/>
  <c r="AJ322" i="12"/>
  <c r="AI324" i="12"/>
  <c r="AI321" i="12"/>
  <c r="AI322" i="12"/>
  <c r="AI323" i="12"/>
  <c r="X323" i="12"/>
  <c r="X324" i="12"/>
  <c r="X322" i="12"/>
  <c r="X321" i="12"/>
  <c r="AL323" i="12"/>
  <c r="AL324" i="12"/>
  <c r="AL322" i="12"/>
  <c r="AL321" i="12"/>
  <c r="AA181" i="12"/>
  <c r="AA182" i="12"/>
  <c r="AA183" i="12"/>
  <c r="AM183" i="12"/>
  <c r="AM181" i="12"/>
  <c r="AM182" i="12"/>
  <c r="AK181" i="12"/>
  <c r="AK182" i="12"/>
  <c r="AK183" i="12"/>
  <c r="W182" i="12"/>
  <c r="W181" i="12"/>
  <c r="W183" i="12"/>
  <c r="X181" i="12"/>
  <c r="X182" i="12"/>
  <c r="X183" i="12"/>
  <c r="Z183" i="12"/>
  <c r="Z181" i="12"/>
  <c r="Z182" i="12"/>
  <c r="AL182" i="12"/>
  <c r="AL181" i="12"/>
  <c r="AL183" i="12"/>
  <c r="AI181" i="12"/>
  <c r="AI182" i="12"/>
  <c r="AI183" i="12"/>
  <c r="Y181" i="12"/>
  <c r="Y182" i="12"/>
  <c r="Y183" i="12"/>
  <c r="AJ181" i="12"/>
  <c r="AJ183" i="12"/>
  <c r="AJ182" i="12"/>
  <c r="AJ239" i="12"/>
  <c r="AJ238" i="12"/>
  <c r="AJ241" i="12"/>
  <c r="AJ242" i="12"/>
  <c r="AJ240" i="12"/>
  <c r="AJ243" i="12"/>
  <c r="AI557" i="12"/>
  <c r="AI556" i="12"/>
  <c r="AI558" i="12"/>
  <c r="AI555" i="12"/>
  <c r="W557" i="12"/>
  <c r="W555" i="12"/>
  <c r="W558" i="12"/>
  <c r="W556" i="12"/>
  <c r="AK557" i="12"/>
  <c r="AK556" i="12"/>
  <c r="AK558" i="12"/>
  <c r="AK555" i="12"/>
  <c r="AA558" i="12"/>
  <c r="AA555" i="12"/>
  <c r="AA556" i="12"/>
  <c r="AA557" i="12"/>
  <c r="AJ556" i="12"/>
  <c r="AJ558" i="12"/>
  <c r="AJ555" i="12"/>
  <c r="AJ557" i="12"/>
  <c r="AM558" i="12"/>
  <c r="AM556" i="12"/>
  <c r="AM557" i="12"/>
  <c r="AM555" i="12"/>
  <c r="AJ25" i="12"/>
  <c r="AJ26" i="12"/>
  <c r="AJ23" i="12"/>
  <c r="AJ21" i="12"/>
  <c r="AJ24" i="12"/>
  <c r="AJ20" i="12"/>
  <c r="AJ22" i="12"/>
  <c r="AK24" i="12"/>
  <c r="AK21" i="12"/>
  <c r="AK22" i="12"/>
  <c r="AK20" i="12"/>
  <c r="AK26" i="12"/>
  <c r="AK23" i="12"/>
  <c r="AK25" i="12"/>
  <c r="AI23" i="12"/>
  <c r="AI21" i="12"/>
  <c r="AI24" i="12"/>
  <c r="AI22" i="12"/>
  <c r="AI25" i="12"/>
  <c r="AI20" i="12"/>
  <c r="AI26" i="12"/>
  <c r="AL26" i="12"/>
  <c r="AL21" i="12"/>
  <c r="AL25" i="12"/>
  <c r="AL23" i="12"/>
  <c r="AL22" i="12"/>
  <c r="AL24" i="12"/>
  <c r="AL20" i="12"/>
  <c r="X23" i="12"/>
  <c r="X25" i="12"/>
  <c r="X20" i="12"/>
  <c r="X24" i="12"/>
  <c r="X26" i="12"/>
  <c r="X21" i="12"/>
  <c r="X22" i="12"/>
  <c r="W25" i="12"/>
  <c r="W26" i="12"/>
  <c r="W23" i="12"/>
  <c r="W24" i="12"/>
  <c r="W21" i="12"/>
  <c r="W20" i="12"/>
  <c r="W22" i="12"/>
  <c r="AM22" i="12"/>
  <c r="AM26" i="12"/>
  <c r="AM20" i="12"/>
  <c r="AM25" i="12"/>
  <c r="AM24" i="12"/>
  <c r="AM21" i="12"/>
  <c r="AM23" i="12"/>
  <c r="Z26" i="12"/>
  <c r="Z23" i="12"/>
  <c r="Z25" i="12"/>
  <c r="Z24" i="12"/>
  <c r="Z22" i="12"/>
  <c r="Z20" i="12"/>
  <c r="Z21" i="12"/>
  <c r="Y23" i="12"/>
  <c r="Y25" i="12"/>
  <c r="Y24" i="12"/>
  <c r="Y21" i="12"/>
  <c r="Y22" i="12"/>
  <c r="Y26" i="12"/>
  <c r="Y20" i="12"/>
  <c r="AA24" i="12"/>
  <c r="AA21" i="12"/>
  <c r="AA26" i="12"/>
  <c r="AA23" i="12"/>
  <c r="AA25" i="12"/>
  <c r="AA20" i="12"/>
  <c r="AA22" i="12"/>
  <c r="Y590" i="12"/>
  <c r="Y146" i="12"/>
  <c r="Y145" i="12"/>
  <c r="Y147" i="12"/>
  <c r="Y148" i="12"/>
  <c r="Y149" i="12"/>
  <c r="Y144" i="12"/>
  <c r="AK145" i="12"/>
  <c r="AK590" i="12"/>
  <c r="AK144" i="12"/>
  <c r="AK147" i="12"/>
  <c r="AK146" i="12"/>
  <c r="AK149" i="12"/>
  <c r="AK148" i="12"/>
  <c r="AM144" i="12"/>
  <c r="AM590" i="12"/>
  <c r="AM147" i="12"/>
  <c r="AM145" i="12"/>
  <c r="AM146" i="12"/>
  <c r="AM148" i="12"/>
  <c r="AM149" i="12"/>
  <c r="AA147" i="12"/>
  <c r="AA145" i="12"/>
  <c r="AA149" i="12"/>
  <c r="AA144" i="12"/>
  <c r="AA590" i="12"/>
  <c r="Z193" i="12"/>
  <c r="Z194" i="12"/>
  <c r="Z192" i="12"/>
  <c r="W192" i="12"/>
  <c r="W193" i="12"/>
  <c r="W194" i="12"/>
  <c r="AM194" i="12"/>
  <c r="AM192" i="12"/>
  <c r="AM193" i="12"/>
  <c r="AA194" i="12"/>
  <c r="AA193" i="12"/>
  <c r="AA192" i="12"/>
  <c r="I192" i="12"/>
  <c r="I194" i="12"/>
  <c r="I193" i="12"/>
  <c r="H194" i="12"/>
  <c r="H193" i="12"/>
  <c r="H192" i="12"/>
  <c r="AC192" i="12"/>
  <c r="AL193" i="12"/>
  <c r="AL194" i="12"/>
  <c r="AL192" i="12"/>
  <c r="AI194" i="12"/>
  <c r="AI193" i="12"/>
  <c r="AI192" i="12"/>
  <c r="Y194" i="12"/>
  <c r="Y192" i="12"/>
  <c r="Y193" i="12"/>
  <c r="AK194" i="12"/>
  <c r="AK193" i="12"/>
  <c r="AK192" i="12"/>
  <c r="X192" i="12"/>
  <c r="X194" i="12"/>
  <c r="X193" i="12"/>
  <c r="AJ194" i="12"/>
  <c r="AJ193" i="12"/>
  <c r="AJ192" i="12"/>
  <c r="AI398" i="12"/>
  <c r="AI394" i="12"/>
  <c r="AI397" i="12"/>
  <c r="AI396" i="12"/>
  <c r="AI395" i="12"/>
  <c r="Y396" i="12"/>
  <c r="Y394" i="12"/>
  <c r="Y395" i="12"/>
  <c r="Y398" i="12"/>
  <c r="Y397" i="12"/>
  <c r="Z397" i="12"/>
  <c r="Z396" i="12"/>
  <c r="Z395" i="12"/>
  <c r="Z394" i="12"/>
  <c r="Z398" i="12"/>
  <c r="AL395" i="12"/>
  <c r="AL394" i="12"/>
  <c r="AL397" i="12"/>
  <c r="AL398" i="12"/>
  <c r="AL396" i="12"/>
  <c r="X397" i="12"/>
  <c r="X396" i="12"/>
  <c r="X398" i="12"/>
  <c r="X395" i="12"/>
  <c r="X394" i="12"/>
  <c r="AK396" i="12"/>
  <c r="AK394" i="12"/>
  <c r="AK397" i="12"/>
  <c r="AK398" i="12"/>
  <c r="AK395" i="12"/>
  <c r="AM398" i="12"/>
  <c r="AM396" i="12"/>
  <c r="AM394" i="12"/>
  <c r="AM395" i="12"/>
  <c r="AM397" i="12"/>
  <c r="AJ396" i="12"/>
  <c r="AJ394" i="12"/>
  <c r="AJ397" i="12"/>
  <c r="AJ395" i="12"/>
  <c r="AJ398" i="12"/>
  <c r="W396" i="12"/>
  <c r="W395" i="12"/>
  <c r="W397" i="12"/>
  <c r="W398" i="12"/>
  <c r="W394" i="12"/>
  <c r="AA395" i="12"/>
  <c r="AA397" i="12"/>
  <c r="AA398" i="12"/>
  <c r="AA396" i="12"/>
  <c r="AA394" i="12"/>
  <c r="AJ213" i="12"/>
  <c r="AJ208" i="12"/>
  <c r="AJ209" i="12"/>
  <c r="AJ210" i="12"/>
  <c r="AJ214" i="12"/>
  <c r="AJ211" i="12"/>
  <c r="AJ212" i="12"/>
  <c r="W210" i="12"/>
  <c r="W213" i="12"/>
  <c r="W211" i="12"/>
  <c r="W214" i="12"/>
  <c r="W208" i="12"/>
  <c r="W212" i="12"/>
  <c r="W209" i="12"/>
  <c r="AM211" i="12"/>
  <c r="AM210" i="12"/>
  <c r="AM213" i="12"/>
  <c r="AM209" i="12"/>
  <c r="AM212" i="12"/>
  <c r="AM214" i="12"/>
  <c r="AM208" i="12"/>
  <c r="Y214" i="12"/>
  <c r="Y211" i="12"/>
  <c r="Y212" i="12"/>
  <c r="Y208" i="12"/>
  <c r="Y209" i="12"/>
  <c r="Y213" i="12"/>
  <c r="Y210" i="12"/>
  <c r="AA210" i="12"/>
  <c r="AA213" i="12"/>
  <c r="AA209" i="12"/>
  <c r="AA211" i="12"/>
  <c r="AA214" i="12"/>
  <c r="AA208" i="12"/>
  <c r="AA212" i="12"/>
  <c r="X212" i="12"/>
  <c r="X208" i="12"/>
  <c r="X214" i="12"/>
  <c r="X209" i="12"/>
  <c r="X211" i="12"/>
  <c r="X213" i="12"/>
  <c r="X210" i="12"/>
  <c r="AK210" i="12"/>
  <c r="AK209" i="12"/>
  <c r="AK211" i="12"/>
  <c r="AK214" i="12"/>
  <c r="AK213" i="12"/>
  <c r="AK208" i="12"/>
  <c r="AK212" i="12"/>
  <c r="AI208" i="12"/>
  <c r="AI213" i="12"/>
  <c r="AI214" i="12"/>
  <c r="AI210" i="12"/>
  <c r="AI211" i="12"/>
  <c r="AI209" i="12"/>
  <c r="AI212" i="12"/>
  <c r="AL209" i="12"/>
  <c r="AL210" i="12"/>
  <c r="AL208" i="12"/>
  <c r="AL214" i="12"/>
  <c r="AL212" i="12"/>
  <c r="AL211" i="12"/>
  <c r="AL213" i="12"/>
  <c r="Z211" i="12"/>
  <c r="Z209" i="12"/>
  <c r="Z212" i="12"/>
  <c r="Z213" i="12"/>
  <c r="Z208" i="12"/>
  <c r="Z214" i="12"/>
  <c r="Z210" i="12"/>
  <c r="H212" i="12"/>
  <c r="H211" i="12"/>
  <c r="AC208" i="12"/>
  <c r="H213" i="12"/>
  <c r="H214" i="12"/>
  <c r="H209" i="12"/>
  <c r="H210" i="12"/>
  <c r="H208" i="12"/>
  <c r="I211" i="12"/>
  <c r="I214" i="12"/>
  <c r="I208" i="12"/>
  <c r="I209" i="12"/>
  <c r="I210" i="12"/>
  <c r="I213" i="12"/>
  <c r="I212" i="12"/>
  <c r="AA203" i="12"/>
  <c r="AA204" i="12"/>
  <c r="AA202" i="12"/>
  <c r="W204" i="12"/>
  <c r="W203" i="12"/>
  <c r="W202" i="12"/>
  <c r="AM204" i="12"/>
  <c r="AM202" i="12"/>
  <c r="AM203" i="12"/>
  <c r="Z202" i="12"/>
  <c r="Z204" i="12"/>
  <c r="Z203" i="12"/>
  <c r="AJ204" i="12"/>
  <c r="AJ202" i="12"/>
  <c r="AJ203" i="12"/>
  <c r="X202" i="12"/>
  <c r="X203" i="12"/>
  <c r="X204" i="12"/>
  <c r="AK203" i="12"/>
  <c r="AK204" i="12"/>
  <c r="AK202" i="12"/>
  <c r="Y203" i="12"/>
  <c r="Y202" i="12"/>
  <c r="Y204" i="12"/>
  <c r="AI203" i="12"/>
  <c r="AI204" i="12"/>
  <c r="AI202" i="12"/>
  <c r="AL202" i="12"/>
  <c r="AL204" i="12"/>
  <c r="AL203" i="12"/>
  <c r="W492" i="12"/>
  <c r="W489" i="12"/>
  <c r="W491" i="12"/>
  <c r="W488" i="12"/>
  <c r="W490" i="12"/>
  <c r="I489" i="12"/>
  <c r="I488" i="12"/>
  <c r="I490" i="12"/>
  <c r="I492" i="12"/>
  <c r="I491" i="12"/>
  <c r="Z490" i="12"/>
  <c r="Z489" i="12"/>
  <c r="Z492" i="12"/>
  <c r="Z488" i="12"/>
  <c r="Z491" i="12"/>
  <c r="H489" i="12"/>
  <c r="H488" i="12"/>
  <c r="H490" i="12"/>
  <c r="AC488" i="12"/>
  <c r="H491" i="12"/>
  <c r="H492" i="12"/>
  <c r="AI492" i="12"/>
  <c r="AI488" i="12"/>
  <c r="AI490" i="12"/>
  <c r="AI489" i="12"/>
  <c r="AI491" i="12"/>
  <c r="Y490" i="12"/>
  <c r="Y491" i="12"/>
  <c r="Y492" i="12"/>
  <c r="Y488" i="12"/>
  <c r="Y489" i="12"/>
  <c r="X489" i="12"/>
  <c r="X491" i="12"/>
  <c r="X492" i="12"/>
  <c r="X490" i="12"/>
  <c r="X488" i="12"/>
  <c r="AL489" i="12"/>
  <c r="AL488" i="12"/>
  <c r="AL492" i="12"/>
  <c r="AL491" i="12"/>
  <c r="AL490" i="12"/>
  <c r="AA492" i="12"/>
  <c r="AA491" i="12"/>
  <c r="AA488" i="12"/>
  <c r="AA490" i="12"/>
  <c r="AA489" i="12"/>
  <c r="AK489" i="12"/>
  <c r="AK491" i="12"/>
  <c r="AK488" i="12"/>
  <c r="AK490" i="12"/>
  <c r="AK492" i="12"/>
  <c r="AM490" i="12"/>
  <c r="AM488" i="12"/>
  <c r="AM492" i="12"/>
  <c r="AM491" i="12"/>
  <c r="AM489" i="12"/>
  <c r="AJ490" i="12"/>
  <c r="AJ488" i="12"/>
  <c r="AJ489" i="12"/>
  <c r="AJ491" i="12"/>
  <c r="AJ492" i="12"/>
  <c r="Y517" i="12"/>
  <c r="Y516" i="12"/>
  <c r="Y519" i="12"/>
  <c r="Y518" i="12"/>
  <c r="AL518" i="12"/>
  <c r="AL516" i="12"/>
  <c r="AL517" i="12"/>
  <c r="AL519" i="12"/>
  <c r="Z518" i="12"/>
  <c r="Z517" i="12"/>
  <c r="Z516" i="12"/>
  <c r="Z519" i="12"/>
  <c r="AA518" i="12"/>
  <c r="AA516" i="12"/>
  <c r="AA519" i="12"/>
  <c r="AA517" i="12"/>
  <c r="AJ518" i="12"/>
  <c r="AJ516" i="12"/>
  <c r="AJ519" i="12"/>
  <c r="AJ517" i="12"/>
  <c r="X519" i="12"/>
  <c r="X518" i="12"/>
  <c r="X517" i="12"/>
  <c r="X516" i="12"/>
  <c r="AK518" i="12"/>
  <c r="AK516" i="12"/>
  <c r="AK517" i="12"/>
  <c r="AK519" i="12"/>
  <c r="AL268" i="12"/>
  <c r="AL265" i="12"/>
  <c r="AL253" i="12"/>
  <c r="AL247" i="12"/>
  <c r="AL250" i="12"/>
  <c r="AL245" i="12"/>
  <c r="AL252" i="12"/>
  <c r="AL246" i="12"/>
  <c r="AL251" i="12"/>
  <c r="AL248" i="12"/>
  <c r="AL249" i="12"/>
  <c r="AL244" i="12"/>
  <c r="AA50" i="12"/>
  <c r="AA45" i="12"/>
  <c r="AA587" i="12"/>
  <c r="AA48" i="12"/>
  <c r="AA49" i="12"/>
  <c r="AA46" i="12"/>
  <c r="AA47" i="12"/>
  <c r="AA51" i="12"/>
  <c r="Z245" i="12"/>
  <c r="Z251" i="12"/>
  <c r="Z248" i="12"/>
  <c r="Z244" i="12"/>
  <c r="Z247" i="12"/>
  <c r="Z246" i="12"/>
  <c r="Z252" i="12"/>
  <c r="Z249" i="12"/>
  <c r="Z253" i="12"/>
  <c r="Z250" i="12"/>
  <c r="AM245" i="12"/>
  <c r="AM244" i="12"/>
  <c r="AM247" i="12"/>
  <c r="AM250" i="12"/>
  <c r="AM248" i="12"/>
  <c r="AM246" i="12"/>
  <c r="AM251" i="12"/>
  <c r="AM253" i="12"/>
  <c r="AM249" i="12"/>
  <c r="AM252" i="12"/>
  <c r="AA249" i="12"/>
  <c r="AA248" i="12"/>
  <c r="AA247" i="12"/>
  <c r="AA253" i="12"/>
  <c r="AA250" i="12"/>
  <c r="AA251" i="12"/>
  <c r="AA252" i="12"/>
  <c r="AA245" i="12"/>
  <c r="AA244" i="12"/>
  <c r="AA246" i="12"/>
  <c r="AI248" i="12"/>
  <c r="AI245" i="12"/>
  <c r="AI247" i="12"/>
  <c r="AI246" i="12"/>
  <c r="AI250" i="12"/>
  <c r="AI251" i="12"/>
  <c r="AI253" i="12"/>
  <c r="AI249" i="12"/>
  <c r="AI252" i="12"/>
  <c r="AI244" i="12"/>
  <c r="Y251" i="12"/>
  <c r="Y253" i="12"/>
  <c r="Y245" i="12"/>
  <c r="Y246" i="12"/>
  <c r="Y248" i="12"/>
  <c r="Y249" i="12"/>
  <c r="Y250" i="12"/>
  <c r="Y247" i="12"/>
  <c r="Y252" i="12"/>
  <c r="Y244" i="12"/>
  <c r="X244" i="12"/>
  <c r="X247" i="12"/>
  <c r="X251" i="12"/>
  <c r="X248" i="12"/>
  <c r="X253" i="12"/>
  <c r="X249" i="12"/>
  <c r="X246" i="12"/>
  <c r="X245" i="12"/>
  <c r="X250" i="12"/>
  <c r="X252" i="12"/>
  <c r="AJ244" i="12"/>
  <c r="AJ252" i="12"/>
  <c r="AJ245" i="12"/>
  <c r="AJ247" i="12"/>
  <c r="AJ251" i="12"/>
  <c r="AJ246" i="12"/>
  <c r="AJ250" i="12"/>
  <c r="AJ253" i="12"/>
  <c r="AJ249" i="12"/>
  <c r="AJ248" i="12"/>
  <c r="AK250" i="12"/>
  <c r="AK246" i="12"/>
  <c r="AK249" i="12"/>
  <c r="AK253" i="12"/>
  <c r="AK251" i="12"/>
  <c r="AK252" i="12"/>
  <c r="AK244" i="12"/>
  <c r="AK245" i="12"/>
  <c r="AK247" i="12"/>
  <c r="AK248" i="12"/>
  <c r="W247" i="12"/>
  <c r="W246" i="12"/>
  <c r="W245" i="12"/>
  <c r="W249" i="12"/>
  <c r="W250" i="12"/>
  <c r="W248" i="12"/>
  <c r="W251" i="12"/>
  <c r="W252" i="12"/>
  <c r="W244" i="12"/>
  <c r="W253" i="12"/>
  <c r="Y435" i="12"/>
  <c r="Y437" i="12"/>
  <c r="Y436" i="12"/>
  <c r="Y438" i="12"/>
  <c r="X438" i="12"/>
  <c r="X436" i="12"/>
  <c r="X437" i="12"/>
  <c r="X435" i="12"/>
  <c r="AI435" i="12"/>
  <c r="AI438" i="12"/>
  <c r="AI436" i="12"/>
  <c r="AI437" i="12"/>
  <c r="AM437" i="12"/>
  <c r="AM438" i="12"/>
  <c r="AM436" i="12"/>
  <c r="AM435" i="12"/>
  <c r="AK438" i="12"/>
  <c r="AK437" i="12"/>
  <c r="AK435" i="12"/>
  <c r="AK436" i="12"/>
  <c r="AA436" i="12"/>
  <c r="AA437" i="12"/>
  <c r="AA435" i="12"/>
  <c r="AA438" i="12"/>
  <c r="W437" i="12"/>
  <c r="W438" i="12"/>
  <c r="W435" i="12"/>
  <c r="W436" i="12"/>
  <c r="AJ438" i="12"/>
  <c r="AJ435" i="12"/>
  <c r="AJ436" i="12"/>
  <c r="AJ437" i="12"/>
  <c r="AL435" i="12"/>
  <c r="AL438" i="12"/>
  <c r="AL436" i="12"/>
  <c r="AL437" i="12"/>
  <c r="Z438" i="12"/>
  <c r="Z436" i="12"/>
  <c r="Z437" i="12"/>
  <c r="Z435" i="12"/>
  <c r="AA150" i="12"/>
  <c r="AA154" i="12"/>
  <c r="AA155" i="12"/>
  <c r="AA151" i="12"/>
  <c r="AA153" i="12"/>
  <c r="AA152" i="12"/>
  <c r="Z155" i="12"/>
  <c r="Z151" i="12"/>
  <c r="Z153" i="12"/>
  <c r="Z154" i="12"/>
  <c r="Z152" i="12"/>
  <c r="Z150" i="12"/>
  <c r="AK151" i="12"/>
  <c r="AK154" i="12"/>
  <c r="AK150" i="12"/>
  <c r="AK153" i="12"/>
  <c r="AK155" i="12"/>
  <c r="AK152" i="12"/>
  <c r="X155" i="12"/>
  <c r="X150" i="12"/>
  <c r="X153" i="12"/>
  <c r="X152" i="12"/>
  <c r="X151" i="12"/>
  <c r="X154" i="12"/>
  <c r="AM154" i="12"/>
  <c r="AM150" i="12"/>
  <c r="AM151" i="12"/>
  <c r="AM152" i="12"/>
  <c r="AM153" i="12"/>
  <c r="AM155" i="12"/>
  <c r="AI153" i="12"/>
  <c r="AI150" i="12"/>
  <c r="AI155" i="12"/>
  <c r="AI154" i="12"/>
  <c r="AI152" i="12"/>
  <c r="AI151" i="12"/>
  <c r="AL155" i="12"/>
  <c r="AL150" i="12"/>
  <c r="AL151" i="12"/>
  <c r="AL152" i="12"/>
  <c r="AL154" i="12"/>
  <c r="AL153" i="12"/>
  <c r="Y153" i="12"/>
  <c r="Y155" i="12"/>
  <c r="Y150" i="12"/>
  <c r="Y154" i="12"/>
  <c r="Y151" i="12"/>
  <c r="Y152" i="12"/>
  <c r="W150" i="12"/>
  <c r="W153" i="12"/>
  <c r="W155" i="12"/>
  <c r="W154" i="12"/>
  <c r="W152" i="12"/>
  <c r="W151" i="12"/>
  <c r="H22" i="12"/>
  <c r="H24" i="12"/>
  <c r="H21" i="12"/>
  <c r="H26" i="12"/>
  <c r="H23" i="12"/>
  <c r="H25" i="12"/>
  <c r="W33" i="12"/>
  <c r="W32" i="12"/>
  <c r="W34" i="12"/>
  <c r="I34" i="12"/>
  <c r="I33" i="12"/>
  <c r="I32" i="12"/>
  <c r="Y32" i="12"/>
  <c r="Y34" i="12"/>
  <c r="Y33" i="12"/>
  <c r="X33" i="12"/>
  <c r="X34" i="12"/>
  <c r="X32" i="12"/>
  <c r="AL32" i="12"/>
  <c r="AL33" i="12"/>
  <c r="AL34" i="12"/>
  <c r="H32" i="12"/>
  <c r="AC32" i="12"/>
  <c r="H33" i="12"/>
  <c r="H34" i="12"/>
  <c r="Z32" i="12"/>
  <c r="Z33" i="12"/>
  <c r="Z34" i="12"/>
  <c r="AI32" i="12"/>
  <c r="AI33" i="12"/>
  <c r="AI34" i="12"/>
  <c r="AK32" i="12"/>
  <c r="AK33" i="12"/>
  <c r="AK34" i="12"/>
  <c r="AA34" i="12"/>
  <c r="AA32" i="12"/>
  <c r="AA33" i="12"/>
  <c r="AJ32" i="12"/>
  <c r="AJ33" i="12"/>
  <c r="AJ34" i="12"/>
  <c r="AM32" i="12"/>
  <c r="AM33" i="12"/>
  <c r="AM34" i="12"/>
  <c r="AM89" i="12"/>
  <c r="AM87" i="12"/>
  <c r="AM82" i="12"/>
  <c r="AM83" i="12"/>
  <c r="AM84" i="12"/>
  <c r="AM85" i="12"/>
  <c r="AM86" i="12"/>
  <c r="AM81" i="12"/>
  <c r="AM88" i="12"/>
  <c r="AI83" i="12"/>
  <c r="AI81" i="12"/>
  <c r="AA88" i="12"/>
  <c r="AA86" i="12"/>
  <c r="AA87" i="12"/>
  <c r="AA84" i="12"/>
  <c r="AA89" i="12"/>
  <c r="AA81" i="12"/>
  <c r="AA82" i="12"/>
  <c r="AA85" i="12"/>
  <c r="AA83" i="12"/>
  <c r="AK86" i="12"/>
  <c r="AK88" i="12"/>
  <c r="AK85" i="12"/>
  <c r="AK82" i="12"/>
  <c r="AK87" i="12"/>
  <c r="AK83" i="12"/>
  <c r="AK84" i="12"/>
  <c r="AK81" i="12"/>
  <c r="AK89" i="12"/>
  <c r="AJ577" i="12"/>
  <c r="AJ578" i="12"/>
  <c r="AJ579" i="12"/>
  <c r="AJ576" i="12"/>
  <c r="X576" i="12"/>
  <c r="X577" i="12"/>
  <c r="X578" i="12"/>
  <c r="X579" i="12"/>
  <c r="AM579" i="12"/>
  <c r="AM577" i="12"/>
  <c r="AM578" i="12"/>
  <c r="AM576" i="12"/>
  <c r="AA577" i="12"/>
  <c r="AA576" i="12"/>
  <c r="AA579" i="12"/>
  <c r="AA578" i="12"/>
  <c r="Y578" i="12"/>
  <c r="Y579" i="12"/>
  <c r="Y577" i="12"/>
  <c r="Y576" i="12"/>
  <c r="AK578" i="12"/>
  <c r="AK576" i="12"/>
  <c r="AK579" i="12"/>
  <c r="AK577" i="12"/>
  <c r="H577" i="12"/>
  <c r="H576" i="12"/>
  <c r="AC576" i="12"/>
  <c r="H578" i="12"/>
  <c r="H579" i="12"/>
  <c r="AI576" i="12"/>
  <c r="AI579" i="12"/>
  <c r="AI578" i="12"/>
  <c r="AI577" i="12"/>
  <c r="I576" i="12"/>
  <c r="I579" i="12"/>
  <c r="I578" i="12"/>
  <c r="I577" i="12"/>
  <c r="Z576" i="12"/>
  <c r="Z579" i="12"/>
  <c r="Z578" i="12"/>
  <c r="Z577" i="12"/>
  <c r="AL579" i="12"/>
  <c r="AL576" i="12"/>
  <c r="AL577" i="12"/>
  <c r="AL578" i="12"/>
  <c r="W579" i="12"/>
  <c r="W577" i="12"/>
  <c r="W578" i="12"/>
  <c r="W576" i="12"/>
  <c r="Z513" i="12"/>
  <c r="Z615" i="12"/>
  <c r="Z512" i="12"/>
  <c r="Z515" i="12"/>
  <c r="Z514" i="12"/>
  <c r="AK512" i="12"/>
  <c r="AK513" i="12"/>
  <c r="AK615" i="12"/>
  <c r="AK514" i="12"/>
  <c r="AK515" i="12"/>
  <c r="AL615" i="12"/>
  <c r="AL514" i="12"/>
  <c r="AL513" i="12"/>
  <c r="AL515" i="12"/>
  <c r="AL512" i="12"/>
  <c r="X515" i="12"/>
  <c r="X512" i="12"/>
  <c r="X513" i="12"/>
  <c r="X615" i="12"/>
  <c r="X514" i="12"/>
  <c r="W615" i="12"/>
  <c r="W513" i="12"/>
  <c r="W514" i="12"/>
  <c r="W515" i="12"/>
  <c r="W512" i="12"/>
  <c r="AA512" i="12"/>
  <c r="AA515" i="12"/>
  <c r="AA513" i="12"/>
  <c r="AA615" i="12"/>
  <c r="AA514" i="12"/>
  <c r="AM514" i="12"/>
  <c r="AM615" i="12"/>
  <c r="AM513" i="12"/>
  <c r="AM515" i="12"/>
  <c r="AM512" i="12"/>
  <c r="Y514" i="12"/>
  <c r="Y512" i="12"/>
  <c r="Y515" i="12"/>
  <c r="Y513" i="12"/>
  <c r="Y615" i="12"/>
  <c r="AI514" i="12"/>
  <c r="AI615" i="12"/>
  <c r="AI513" i="12"/>
  <c r="AI512" i="12"/>
  <c r="AI515" i="12"/>
  <c r="AJ615" i="12"/>
  <c r="AJ512" i="12"/>
  <c r="AJ515" i="12"/>
  <c r="AJ514" i="12"/>
  <c r="AJ513" i="12"/>
  <c r="AC497" i="12"/>
  <c r="H497" i="12"/>
  <c r="H496" i="12"/>
  <c r="H498" i="12"/>
  <c r="H499" i="12"/>
  <c r="Z409" i="12"/>
  <c r="Z408" i="12"/>
  <c r="Z407" i="12"/>
  <c r="AL407" i="12"/>
  <c r="AL408" i="12"/>
  <c r="AL409" i="12"/>
  <c r="H408" i="12"/>
  <c r="AC407" i="12"/>
  <c r="H407" i="12"/>
  <c r="H409" i="12"/>
  <c r="AI409" i="12"/>
  <c r="AI408" i="12"/>
  <c r="AI407" i="12"/>
  <c r="Y408" i="12"/>
  <c r="Y409" i="12"/>
  <c r="Z46" i="12"/>
  <c r="Z51" i="12"/>
  <c r="Z45" i="12"/>
  <c r="Z49" i="12"/>
  <c r="Z48" i="12"/>
  <c r="Z50" i="12"/>
  <c r="Z47" i="12"/>
  <c r="Z587" i="12"/>
  <c r="X50" i="12"/>
  <c r="X49" i="12"/>
  <c r="X51" i="12"/>
  <c r="X45" i="12"/>
  <c r="X48" i="12"/>
  <c r="X587" i="12"/>
  <c r="X47" i="12"/>
  <c r="X46" i="12"/>
  <c r="AJ51" i="12"/>
  <c r="AJ587" i="12"/>
  <c r="AJ47" i="12"/>
  <c r="AJ49" i="12"/>
  <c r="AJ50" i="12"/>
  <c r="AJ45" i="12"/>
  <c r="AJ46" i="12"/>
  <c r="AJ48" i="12"/>
  <c r="AL50" i="12"/>
  <c r="AL51" i="12"/>
  <c r="AL46" i="12"/>
  <c r="AL49" i="12"/>
  <c r="AL587" i="12"/>
  <c r="AL45" i="12"/>
  <c r="AL47" i="12"/>
  <c r="AL48" i="12"/>
  <c r="Y45" i="12"/>
  <c r="Y51" i="12"/>
  <c r="Y48" i="12"/>
  <c r="Y47" i="12"/>
  <c r="Y49" i="12"/>
  <c r="Y50" i="12"/>
  <c r="Y587" i="12"/>
  <c r="Y46" i="12"/>
  <c r="AK48" i="12"/>
  <c r="AK47" i="12"/>
  <c r="AK45" i="12"/>
  <c r="AK50" i="12"/>
  <c r="AK46" i="12"/>
  <c r="AK51" i="12"/>
  <c r="AK587" i="12"/>
  <c r="AK49" i="12"/>
  <c r="AI518" i="12"/>
  <c r="AI517" i="12"/>
  <c r="AI519" i="12"/>
  <c r="AI516" i="12"/>
  <c r="I366" i="12"/>
  <c r="I365" i="12"/>
  <c r="I367" i="12"/>
  <c r="I368" i="12"/>
  <c r="AC365" i="12"/>
  <c r="H365" i="12"/>
  <c r="H366" i="12"/>
  <c r="H367" i="12"/>
  <c r="H368" i="12"/>
  <c r="W368" i="12"/>
  <c r="W367" i="12"/>
  <c r="W366" i="12"/>
  <c r="W365" i="12"/>
  <c r="AK365" i="12"/>
  <c r="AK367" i="12"/>
  <c r="AK368" i="12"/>
  <c r="AK366" i="12"/>
  <c r="AC310" i="12"/>
  <c r="AC306" i="12"/>
  <c r="AA367" i="12"/>
  <c r="AA365" i="12"/>
  <c r="AA366" i="12"/>
  <c r="AA368" i="12"/>
  <c r="AM368" i="12"/>
  <c r="AM365" i="12"/>
  <c r="AM366" i="12"/>
  <c r="AM367" i="12"/>
  <c r="X365" i="12"/>
  <c r="X367" i="12"/>
  <c r="X366" i="12"/>
  <c r="X368" i="12"/>
  <c r="AI368" i="12"/>
  <c r="AI367" i="12"/>
  <c r="AI366" i="12"/>
  <c r="AI365" i="12"/>
  <c r="AL367" i="12"/>
  <c r="AL368" i="12"/>
  <c r="AL366" i="12"/>
  <c r="AL365" i="12"/>
  <c r="Y366" i="12"/>
  <c r="Y365" i="12"/>
  <c r="Y367" i="12"/>
  <c r="Y368" i="12"/>
  <c r="Z366" i="12"/>
  <c r="Z368" i="12"/>
  <c r="Z365" i="12"/>
  <c r="Z367" i="12"/>
  <c r="AJ368" i="12"/>
  <c r="AJ366" i="12"/>
  <c r="AJ367" i="12"/>
  <c r="AJ365" i="12"/>
  <c r="AA123" i="12"/>
  <c r="AA125" i="12"/>
  <c r="AA124" i="12"/>
  <c r="AA584" i="12"/>
  <c r="AL125" i="12"/>
  <c r="AL124" i="12"/>
  <c r="AL123" i="12"/>
  <c r="AL584" i="12"/>
  <c r="AM123" i="12"/>
  <c r="AM124" i="12"/>
  <c r="AM125" i="12"/>
  <c r="AM584" i="12"/>
  <c r="AK584" i="12"/>
  <c r="AK123" i="12"/>
  <c r="AK124" i="12"/>
  <c r="AK125" i="12"/>
  <c r="AC251" i="12"/>
  <c r="AC252" i="12"/>
  <c r="AC347" i="12"/>
  <c r="AC344" i="12"/>
  <c r="AJ124" i="12"/>
  <c r="AJ584" i="12"/>
  <c r="AJ123" i="12"/>
  <c r="AJ125" i="12"/>
  <c r="W125" i="12"/>
  <c r="W584" i="12"/>
  <c r="W124" i="12"/>
  <c r="W123" i="12"/>
  <c r="Z123" i="12"/>
  <c r="Z124" i="12"/>
  <c r="Z584" i="12"/>
  <c r="Z125" i="12"/>
  <c r="X584" i="12"/>
  <c r="X125" i="12"/>
  <c r="X124" i="12"/>
  <c r="X123" i="12"/>
  <c r="Y125" i="12"/>
  <c r="Y584" i="12"/>
  <c r="Y124" i="12"/>
  <c r="Y123" i="12"/>
  <c r="AI125" i="12"/>
  <c r="AI124" i="12"/>
  <c r="AI123" i="12"/>
  <c r="AI584" i="12"/>
  <c r="I125" i="12"/>
  <c r="I123" i="12"/>
  <c r="I124" i="12"/>
  <c r="I584" i="12"/>
  <c r="AC123" i="12"/>
  <c r="H125" i="12"/>
  <c r="H124" i="12"/>
  <c r="H123" i="12"/>
  <c r="H584" i="12"/>
  <c r="AC447" i="12"/>
  <c r="AC444" i="12"/>
  <c r="AC200" i="12"/>
  <c r="AC196" i="12"/>
  <c r="AC504" i="12"/>
  <c r="AC502" i="12"/>
  <c r="AC93" i="12"/>
  <c r="AC91" i="12"/>
  <c r="AC21" i="12"/>
  <c r="AC119" i="12"/>
  <c r="AC412" i="12"/>
  <c r="AC392" i="12"/>
  <c r="AC501" i="12"/>
  <c r="AC503" i="12"/>
  <c r="AC343" i="12"/>
  <c r="AC87" i="12"/>
  <c r="AC173" i="12"/>
  <c r="AC114" i="12"/>
  <c r="AC313" i="12"/>
  <c r="AC584" i="12"/>
  <c r="AC270" i="12"/>
  <c r="AC443" i="12"/>
  <c r="AC440" i="12"/>
  <c r="AC506" i="12"/>
  <c r="AC222" i="12"/>
  <c r="AC515" i="12"/>
  <c r="AC328" i="12"/>
  <c r="AC485" i="12"/>
  <c r="AC421" i="12"/>
  <c r="AC314" i="12"/>
  <c r="AC278" i="12"/>
  <c r="AC241" i="12"/>
  <c r="AC46" i="12"/>
  <c r="AC121" i="12"/>
  <c r="AC23" i="12"/>
  <c r="AC420" i="12"/>
  <c r="AC250" i="12"/>
  <c r="AC332" i="12"/>
  <c r="AC566" i="12"/>
  <c r="AC463" i="12"/>
  <c r="AC473" i="12"/>
  <c r="AC84" i="12"/>
  <c r="AC263" i="12"/>
  <c r="AC125" i="12"/>
  <c r="AC69" i="12"/>
  <c r="AC77" i="12"/>
  <c r="AC578" i="12"/>
  <c r="AC361" i="12"/>
  <c r="AC464" i="12"/>
  <c r="AC280" i="12"/>
  <c r="AC226" i="12"/>
  <c r="AC599" i="12"/>
  <c r="AC445" i="12"/>
  <c r="AC51" i="12"/>
  <c r="AC537" i="12"/>
  <c r="AC68" i="12"/>
  <c r="AC281" i="12"/>
  <c r="AC276" i="12"/>
  <c r="AC158" i="12"/>
  <c r="AC489" i="12"/>
  <c r="AC170" i="12"/>
  <c r="AC570" i="12"/>
  <c r="AC239" i="12"/>
  <c r="AC242" i="12"/>
  <c r="AC168" i="12"/>
  <c r="AC596" i="12"/>
  <c r="AC92" i="12"/>
  <c r="AC299" i="12"/>
  <c r="AC36" i="12"/>
  <c r="AC145" i="12"/>
  <c r="AC527" i="12"/>
  <c r="AC37" i="12"/>
  <c r="AC96" i="12"/>
  <c r="AC389" i="12"/>
  <c r="AC146" i="12"/>
  <c r="AC382" i="12"/>
  <c r="AC230" i="12"/>
  <c r="AC307" i="12"/>
  <c r="AC124" i="12"/>
  <c r="AC177" i="12"/>
  <c r="AC171" i="12"/>
  <c r="AC371" i="12"/>
  <c r="AC117" i="12"/>
  <c r="AC545" i="12"/>
  <c r="AC523" i="12"/>
  <c r="AC453" i="12"/>
  <c r="AC300" i="12"/>
  <c r="AC237" i="12"/>
  <c r="AC229" i="12"/>
  <c r="AC137" i="12"/>
  <c r="AC593" i="12"/>
  <c r="AC615" i="12"/>
  <c r="AC568" i="12"/>
  <c r="AC551" i="12"/>
  <c r="AC491" i="12"/>
  <c r="AC398" i="12"/>
  <c r="AC384" i="12"/>
  <c r="AC366" i="12"/>
  <c r="AC261" i="12"/>
  <c r="AC258" i="12"/>
  <c r="AC128" i="12"/>
  <c r="AC308" i="12"/>
  <c r="AC408" i="12"/>
  <c r="AC209" i="12"/>
  <c r="AC373" i="12"/>
  <c r="AC405" i="12"/>
  <c r="AC213" i="12"/>
  <c r="AC458" i="12"/>
  <c r="AC586" i="12"/>
  <c r="AC362" i="12"/>
  <c r="AC455" i="12"/>
  <c r="AC149" i="12"/>
  <c r="AC465" i="12"/>
  <c r="AC354" i="12"/>
  <c r="AC167" i="12"/>
  <c r="AC329" i="12"/>
  <c r="AC498" i="12"/>
  <c r="AC257" i="12"/>
  <c r="AC612" i="12"/>
  <c r="AC22" i="12"/>
  <c r="AC396" i="12"/>
  <c r="AC430" i="12"/>
  <c r="AC147" i="12"/>
  <c r="AC42" i="12"/>
  <c r="AC553" i="12"/>
  <c r="AC335" i="12"/>
  <c r="AC377" i="12"/>
  <c r="AC104" i="12"/>
  <c r="AC378" i="12"/>
  <c r="AC588" i="12"/>
  <c r="AC575" i="12"/>
  <c r="AC153" i="12"/>
  <c r="AC267" i="12"/>
  <c r="AC587" i="12"/>
  <c r="AC368" i="12"/>
  <c r="AC511" i="12"/>
  <c r="AC62" i="12"/>
  <c r="AC577" i="12"/>
  <c r="AC255" i="12"/>
  <c r="AC339" i="12"/>
  <c r="AC163" i="12"/>
  <c r="AC416" i="12"/>
  <c r="AC402" i="12"/>
  <c r="AC358" i="12"/>
  <c r="AC451" i="12"/>
  <c r="AC441" i="12"/>
  <c r="AC193" i="12"/>
  <c r="AC474" i="12"/>
  <c r="AC521" i="12"/>
  <c r="AC459" i="12"/>
  <c r="AC292" i="12"/>
  <c r="AC518" i="12"/>
  <c r="AC297" i="12"/>
  <c r="AC86" i="12"/>
  <c r="AC531" i="12"/>
  <c r="AC59" i="12"/>
  <c r="AC417" i="12"/>
  <c r="AC434" i="12"/>
  <c r="AC353" i="12"/>
  <c r="AC247" i="12"/>
  <c r="AC582" i="12"/>
  <c r="AC25" i="12"/>
  <c r="AC598" i="12"/>
  <c r="AC448" i="12"/>
  <c r="AC43" i="12"/>
  <c r="AC387" i="12"/>
  <c r="AC76" i="12"/>
  <c r="AC249" i="12"/>
  <c r="AC437" i="12"/>
  <c r="AC44" i="12"/>
  <c r="AC319" i="12"/>
  <c r="AC356" i="12"/>
  <c r="AC262" i="12"/>
  <c r="AC424" i="12"/>
  <c r="AC186" i="12"/>
  <c r="AC563" i="12"/>
  <c r="AC285" i="12"/>
  <c r="AC544" i="12"/>
  <c r="AC438" i="12"/>
  <c r="AC391" i="12"/>
  <c r="AC375" i="12"/>
  <c r="AC178" i="12"/>
  <c r="AC100" i="12"/>
  <c r="AC66" i="12"/>
  <c r="AC48" i="12"/>
  <c r="AC462" i="12"/>
  <c r="AC423" i="12"/>
  <c r="AC317" i="12"/>
  <c r="AC211" i="12"/>
  <c r="AC330" i="12"/>
  <c r="AC591" i="12"/>
  <c r="AC470" i="12"/>
  <c r="AC379" i="12"/>
  <c r="AC603" i="12"/>
  <c r="AC413" i="12"/>
  <c r="AC487" i="12"/>
  <c r="AC574" i="12"/>
  <c r="AC97" i="12"/>
  <c r="AC174" i="12"/>
  <c r="AC188" i="12"/>
  <c r="AC409" i="12"/>
  <c r="AC216" i="12"/>
  <c r="AC189" i="12"/>
  <c r="AC108" i="12"/>
  <c r="AC595" i="12"/>
  <c r="AC132" i="12"/>
  <c r="AC107" i="12"/>
  <c r="AC324" i="12"/>
  <c r="AC198" i="12"/>
  <c r="AC72" i="12"/>
  <c r="AC138" i="12"/>
  <c r="AC61" i="12"/>
  <c r="AC295" i="12"/>
  <c r="AC351" i="12"/>
  <c r="AC101" i="12"/>
  <c r="AC600" i="12"/>
  <c r="AC514" i="12"/>
  <c r="AC411" i="12"/>
  <c r="AC585" i="12"/>
  <c r="AC614" i="12"/>
  <c r="AC543" i="12"/>
  <c r="AC475" i="12"/>
  <c r="AC219" i="12"/>
  <c r="AC118" i="12"/>
  <c r="AC538" i="12"/>
  <c r="AC606" i="12"/>
  <c r="AC431" i="12"/>
  <c r="AC341" i="12"/>
  <c r="AC116" i="12"/>
  <c r="AC88" i="12"/>
  <c r="AC590" i="12"/>
  <c r="AC519" i="12"/>
  <c r="AC505" i="12"/>
  <c r="AC476" i="12"/>
  <c r="AC266" i="12"/>
  <c r="AC110" i="12"/>
  <c r="AC94" i="12"/>
  <c r="AC40" i="12"/>
  <c r="AC274" i="12"/>
  <c r="AC194" i="12"/>
  <c r="AC288" i="12"/>
  <c r="AC467" i="12"/>
  <c r="AC176" i="12"/>
  <c r="AC152" i="12"/>
  <c r="AC155" i="12"/>
  <c r="AC154" i="12"/>
  <c r="AC449" i="12"/>
  <c r="AC536" i="12"/>
  <c r="AC58" i="12"/>
  <c r="AC75" i="12"/>
  <c r="AC573" i="12"/>
  <c r="AC311" i="12"/>
  <c r="AC89" i="12"/>
  <c r="AC471" i="12"/>
  <c r="AC265" i="12"/>
  <c r="AC102" i="12"/>
  <c r="AC522" i="12"/>
  <c r="AC143" i="12"/>
  <c r="AC122" i="12"/>
  <c r="AC605" i="12"/>
  <c r="AC583" i="12"/>
  <c r="AC561" i="12"/>
  <c r="AC517" i="12"/>
  <c r="AC508" i="12"/>
  <c r="AC217" i="12"/>
  <c r="AC64" i="12"/>
  <c r="AC260" i="12"/>
  <c r="AC397" i="12"/>
  <c r="AC346" i="12"/>
  <c r="AC469" i="12"/>
  <c r="AC141" i="12"/>
  <c r="AC433" i="12"/>
  <c r="AC162" i="12"/>
  <c r="K297" i="12"/>
  <c r="K296" i="12"/>
  <c r="K574" i="12"/>
  <c r="K575" i="12"/>
  <c r="K321" i="12"/>
  <c r="K206" i="12"/>
  <c r="K257" i="12"/>
  <c r="K377" i="12"/>
  <c r="K366" i="12"/>
  <c r="K295" i="12"/>
  <c r="K31" i="12"/>
  <c r="K380" i="12"/>
  <c r="K193" i="12"/>
  <c r="K21" i="12"/>
  <c r="K30" i="12"/>
  <c r="K192" i="12"/>
  <c r="K607" i="12"/>
  <c r="K24" i="12"/>
  <c r="K22" i="12"/>
  <c r="K495" i="12"/>
  <c r="K379" i="12"/>
  <c r="K323" i="12"/>
  <c r="K23" i="12"/>
  <c r="K194" i="12"/>
  <c r="K376" i="12"/>
  <c r="K207" i="12"/>
  <c r="K581" i="12"/>
  <c r="K401" i="12"/>
  <c r="K368" i="12"/>
  <c r="K258" i="12"/>
  <c r="K369" i="12"/>
  <c r="K367" i="12"/>
  <c r="K613" i="12"/>
  <c r="K255" i="12"/>
  <c r="K509" i="12"/>
  <c r="K27" i="12"/>
  <c r="K205" i="12"/>
  <c r="K399" i="12"/>
  <c r="K370" i="12"/>
  <c r="K294" i="12"/>
  <c r="K20" i="12"/>
  <c r="K28" i="12"/>
  <c r="K510" i="12"/>
  <c r="K404" i="12"/>
  <c r="K400" i="12"/>
  <c r="K365" i="12"/>
  <c r="K402" i="12"/>
  <c r="K593" i="12"/>
  <c r="K322" i="12"/>
  <c r="K493" i="12"/>
  <c r="K582" i="12"/>
  <c r="K583" i="12"/>
  <c r="K371" i="12"/>
  <c r="K254" i="12"/>
  <c r="K601" i="12"/>
  <c r="K494" i="12"/>
  <c r="K26" i="12"/>
  <c r="K403" i="12"/>
  <c r="K406" i="12"/>
  <c r="K580" i="12"/>
  <c r="K572" i="12"/>
  <c r="K378" i="12"/>
  <c r="K25" i="12"/>
  <c r="K324" i="12"/>
  <c r="K29" i="12"/>
  <c r="K573" i="12"/>
  <c r="K405" i="12"/>
  <c r="K511" i="12"/>
  <c r="K256" i="12"/>
  <c r="J30" i="12"/>
  <c r="J495" i="12"/>
  <c r="J366" i="12"/>
  <c r="J192" i="12"/>
  <c r="J31" i="12"/>
  <c r="J580" i="12"/>
  <c r="J370" i="12"/>
  <c r="J574" i="12"/>
  <c r="J324" i="12"/>
  <c r="J378" i="12"/>
  <c r="J403" i="12"/>
  <c r="J402" i="12"/>
  <c r="J194" i="12"/>
  <c r="J295" i="12"/>
  <c r="J26" i="12"/>
  <c r="J379" i="12"/>
  <c r="J494" i="12"/>
  <c r="J254" i="12"/>
  <c r="J206" i="12"/>
  <c r="J607" i="12"/>
  <c r="J601" i="12"/>
  <c r="J27" i="12"/>
  <c r="J22" i="12"/>
  <c r="J582" i="12"/>
  <c r="J294" i="12"/>
  <c r="J365" i="12"/>
  <c r="J323" i="12"/>
  <c r="J24" i="12"/>
  <c r="J613" i="12"/>
  <c r="J322" i="12"/>
  <c r="J297" i="12"/>
  <c r="J20" i="12"/>
  <c r="J21" i="12"/>
  <c r="J368" i="12"/>
  <c r="J575" i="12"/>
  <c r="J583" i="12"/>
  <c r="J371" i="12"/>
  <c r="J581" i="12"/>
  <c r="J258" i="12"/>
  <c r="J572" i="12"/>
  <c r="J493" i="12"/>
  <c r="J29" i="12"/>
  <c r="J256" i="12"/>
  <c r="J369" i="12"/>
  <c r="J399" i="12"/>
  <c r="J207" i="12"/>
  <c r="J404" i="12"/>
  <c r="J593" i="12"/>
  <c r="J321" i="12"/>
  <c r="J380" i="12"/>
  <c r="J296" i="12"/>
  <c r="J367" i="12"/>
  <c r="J405" i="12"/>
  <c r="J205" i="12"/>
  <c r="J193" i="12"/>
  <c r="J401" i="12"/>
  <c r="J406" i="12"/>
  <c r="J23" i="12"/>
  <c r="J573" i="12"/>
  <c r="J376" i="12"/>
  <c r="J510" i="12"/>
  <c r="J255" i="12"/>
  <c r="J511" i="12"/>
  <c r="J400" i="12"/>
  <c r="J257" i="12"/>
  <c r="J28" i="12"/>
  <c r="J377" i="12"/>
  <c r="J25" i="12"/>
  <c r="J509" i="12"/>
  <c r="I599" i="12"/>
  <c r="I525" i="12"/>
  <c r="I524" i="12"/>
  <c r="AK525" i="12"/>
  <c r="AK599" i="12"/>
  <c r="AK524" i="12"/>
  <c r="W224" i="12"/>
  <c r="W222" i="12"/>
  <c r="W220" i="12"/>
  <c r="W223" i="12"/>
  <c r="W221" i="12"/>
  <c r="AL223" i="12"/>
  <c r="AL221" i="12"/>
  <c r="AL222" i="12"/>
  <c r="AL224" i="12"/>
  <c r="AL220" i="12"/>
  <c r="AI223" i="12"/>
  <c r="AI220" i="12"/>
  <c r="AI222" i="12"/>
  <c r="AI224" i="12"/>
  <c r="AI221" i="12"/>
  <c r="Z221" i="12"/>
  <c r="Z224" i="12"/>
  <c r="Z222" i="12"/>
  <c r="Z220" i="12"/>
  <c r="Z223" i="12"/>
  <c r="Y220" i="12"/>
  <c r="Y223" i="12"/>
  <c r="Y221" i="12"/>
  <c r="Y224" i="12"/>
  <c r="Y222" i="12"/>
  <c r="AK220" i="12"/>
  <c r="AK222" i="12"/>
  <c r="AK224" i="12"/>
  <c r="AK223" i="12"/>
  <c r="AK221" i="12"/>
  <c r="X224" i="12"/>
  <c r="X223" i="12"/>
  <c r="X222" i="12"/>
  <c r="X220" i="12"/>
  <c r="X221" i="12"/>
  <c r="AJ220" i="12"/>
  <c r="AJ221" i="12"/>
  <c r="AJ222" i="12"/>
  <c r="AJ223" i="12"/>
  <c r="AJ224" i="12"/>
  <c r="AM223" i="12"/>
  <c r="AM224" i="12"/>
  <c r="AM220" i="12"/>
  <c r="AM221" i="12"/>
  <c r="AM222" i="12"/>
  <c r="AA224" i="12"/>
  <c r="AA221" i="12"/>
  <c r="AA220" i="12"/>
  <c r="AA223" i="12"/>
  <c r="AA222" i="12"/>
  <c r="AM345" i="12"/>
  <c r="AM343" i="12"/>
  <c r="AM342" i="12"/>
  <c r="AM346" i="12"/>
  <c r="AM347" i="12"/>
  <c r="AM344" i="12"/>
  <c r="AL345" i="12"/>
  <c r="AL343" i="12"/>
  <c r="AL347" i="12"/>
  <c r="AL346" i="12"/>
  <c r="AL344" i="12"/>
  <c r="AL342" i="12"/>
  <c r="W344" i="12"/>
  <c r="W343" i="12"/>
  <c r="W346" i="12"/>
  <c r="W342" i="12"/>
  <c r="W345" i="12"/>
  <c r="W347" i="12"/>
  <c r="H344" i="12"/>
  <c r="H342" i="12"/>
  <c r="H346" i="12"/>
  <c r="H343" i="12"/>
  <c r="H347" i="12"/>
  <c r="H345" i="12"/>
  <c r="Z346" i="12"/>
  <c r="Z342" i="12"/>
  <c r="Z345" i="12"/>
  <c r="Z347" i="12"/>
  <c r="Z343" i="12"/>
  <c r="Z344" i="12"/>
  <c r="X347" i="12"/>
  <c r="X342" i="12"/>
  <c r="X344" i="12"/>
  <c r="X345" i="12"/>
  <c r="X343" i="12"/>
  <c r="X346" i="12"/>
  <c r="AA343" i="12"/>
  <c r="AA347" i="12"/>
  <c r="AA344" i="12"/>
  <c r="AA345" i="12"/>
  <c r="AA346" i="12"/>
  <c r="AA342" i="12"/>
  <c r="AJ347" i="12"/>
  <c r="AJ342" i="12"/>
  <c r="AJ344" i="12"/>
  <c r="AJ345" i="12"/>
  <c r="AJ346" i="12"/>
  <c r="AJ343" i="12"/>
  <c r="AK345" i="12"/>
  <c r="AK343" i="12"/>
  <c r="AK347" i="12"/>
  <c r="AK346" i="12"/>
  <c r="AK344" i="12"/>
  <c r="AK342" i="12"/>
  <c r="Y344" i="12"/>
  <c r="Y345" i="12"/>
  <c r="Y342" i="12"/>
  <c r="Y343" i="12"/>
  <c r="Y346" i="12"/>
  <c r="Y347" i="12"/>
  <c r="H45" i="12"/>
  <c r="AC45" i="12"/>
  <c r="H587" i="12"/>
  <c r="H49" i="12"/>
  <c r="H48" i="12"/>
  <c r="H47" i="12"/>
  <c r="H50" i="12"/>
  <c r="H51" i="12"/>
  <c r="H46" i="12"/>
  <c r="I48" i="12"/>
  <c r="I49" i="12"/>
  <c r="I46" i="12"/>
  <c r="I47" i="12"/>
  <c r="I50" i="12"/>
  <c r="I587" i="12"/>
  <c r="I45" i="12"/>
  <c r="I51" i="12"/>
  <c r="K590" i="12"/>
  <c r="I242" i="12"/>
  <c r="I239" i="12"/>
  <c r="I238" i="12"/>
  <c r="I241" i="12"/>
  <c r="I243" i="12"/>
  <c r="I240" i="12"/>
  <c r="AC243" i="12"/>
  <c r="H242" i="12"/>
  <c r="H241" i="12"/>
  <c r="H238" i="12"/>
  <c r="H240" i="12"/>
  <c r="H239" i="12"/>
  <c r="H243" i="12"/>
  <c r="H545" i="12"/>
  <c r="H539" i="12"/>
  <c r="H543" i="12"/>
  <c r="AC539" i="12"/>
  <c r="H547" i="12"/>
  <c r="H538" i="12"/>
  <c r="H537" i="12"/>
  <c r="H534" i="12"/>
  <c r="H535" i="12"/>
  <c r="H541" i="12"/>
  <c r="H542" i="12"/>
  <c r="H536" i="12"/>
  <c r="H546" i="12"/>
  <c r="H600" i="12"/>
  <c r="H540" i="12"/>
  <c r="H548" i="12"/>
  <c r="H544" i="12"/>
  <c r="I539" i="12"/>
  <c r="I545" i="12"/>
  <c r="I534" i="12"/>
  <c r="I537" i="12"/>
  <c r="I548" i="12"/>
  <c r="I547" i="12"/>
  <c r="I540" i="12"/>
  <c r="I600" i="12"/>
  <c r="I544" i="12"/>
  <c r="I538" i="12"/>
  <c r="I543" i="12"/>
  <c r="I535" i="12"/>
  <c r="I546" i="12"/>
  <c r="I536" i="12"/>
  <c r="I541" i="12"/>
  <c r="I542" i="12"/>
  <c r="AC427" i="12"/>
  <c r="AC428" i="12"/>
  <c r="H432" i="12"/>
  <c r="AC429" i="12"/>
  <c r="H427" i="12"/>
  <c r="H429" i="12"/>
  <c r="AC426" i="12"/>
  <c r="H433" i="12"/>
  <c r="H609" i="12"/>
  <c r="H431" i="12"/>
  <c r="H425" i="12"/>
  <c r="H434" i="12"/>
  <c r="H426" i="12"/>
  <c r="H430" i="12"/>
  <c r="H428" i="12"/>
  <c r="I427" i="12"/>
  <c r="I430" i="12"/>
  <c r="I425" i="12"/>
  <c r="I434" i="12"/>
  <c r="I428" i="12"/>
  <c r="I426" i="12"/>
  <c r="I609" i="12"/>
  <c r="I429" i="12"/>
  <c r="I432" i="12"/>
  <c r="I433" i="12"/>
  <c r="I431" i="12"/>
  <c r="J59" i="12"/>
  <c r="J419" i="12"/>
  <c r="J140" i="12"/>
  <c r="J421" i="12"/>
  <c r="J124" i="12"/>
  <c r="J138" i="12"/>
  <c r="J143" i="12"/>
  <c r="J177" i="12"/>
  <c r="J203" i="12"/>
  <c r="J364" i="12"/>
  <c r="J435" i="12"/>
  <c r="J513" i="12"/>
  <c r="J615" i="12"/>
  <c r="J453" i="12"/>
  <c r="J55" i="12"/>
  <c r="J522" i="12"/>
  <c r="J523" i="12"/>
  <c r="J514" i="12"/>
  <c r="J135" i="12"/>
  <c r="J360" i="12"/>
  <c r="J54" i="12"/>
  <c r="J202" i="12"/>
  <c r="J175" i="12"/>
  <c r="J141" i="12"/>
  <c r="J134" i="12"/>
  <c r="J137" i="12"/>
  <c r="J123" i="12"/>
  <c r="J450" i="12"/>
  <c r="J176" i="12"/>
  <c r="J58" i="12"/>
  <c r="J60" i="12"/>
  <c r="J62" i="12"/>
  <c r="J451" i="12"/>
  <c r="H60" i="12"/>
  <c r="H58" i="12"/>
  <c r="H56" i="12"/>
  <c r="H62" i="12"/>
  <c r="H57" i="12"/>
  <c r="H59" i="12"/>
  <c r="J142" i="12"/>
  <c r="J57" i="12"/>
  <c r="J361" i="12"/>
  <c r="J362" i="12"/>
  <c r="J125" i="12"/>
  <c r="H61" i="12"/>
  <c r="J139" i="12"/>
  <c r="J136" i="12"/>
  <c r="J133" i="12"/>
  <c r="J178" i="12"/>
  <c r="J204" i="12"/>
  <c r="J56" i="12"/>
  <c r="J363" i="12"/>
  <c r="J436" i="12"/>
  <c r="J515" i="12"/>
  <c r="J512" i="12"/>
  <c r="J53" i="12"/>
  <c r="J584" i="12"/>
  <c r="J437" i="12"/>
  <c r="J521" i="12"/>
  <c r="J452" i="12"/>
  <c r="J52" i="12"/>
  <c r="J438" i="12"/>
  <c r="J61" i="12"/>
  <c r="J520" i="12"/>
  <c r="J418" i="12"/>
  <c r="J420" i="12"/>
  <c r="I61" i="12"/>
  <c r="I59" i="12"/>
  <c r="I58" i="12"/>
  <c r="K204" i="12"/>
  <c r="K178" i="12"/>
  <c r="K143" i="12"/>
  <c r="K453" i="12"/>
  <c r="K54" i="12"/>
  <c r="K515" i="12"/>
  <c r="K135" i="12"/>
  <c r="K364" i="12"/>
  <c r="K438" i="12"/>
  <c r="K58" i="12"/>
  <c r="K138" i="12"/>
  <c r="K124" i="12"/>
  <c r="K360" i="12"/>
  <c r="K202" i="12"/>
  <c r="K421" i="12"/>
  <c r="K176" i="12"/>
  <c r="K59" i="12"/>
  <c r="K61" i="12"/>
  <c r="K361" i="12"/>
  <c r="K436" i="12"/>
  <c r="K520" i="12"/>
  <c r="K175" i="12"/>
  <c r="K140" i="12"/>
  <c r="K141" i="12"/>
  <c r="K133" i="12"/>
  <c r="K136" i="12"/>
  <c r="K139" i="12"/>
  <c r="K125" i="12"/>
  <c r="K418" i="12"/>
  <c r="K450" i="12"/>
  <c r="K53" i="12"/>
  <c r="K123" i="12"/>
  <c r="K137" i="12"/>
  <c r="K134" i="12"/>
  <c r="K142" i="12"/>
  <c r="K420" i="12"/>
  <c r="K177" i="12"/>
  <c r="K55" i="12"/>
  <c r="K419" i="12"/>
  <c r="K203" i="12"/>
  <c r="K512" i="12"/>
  <c r="K521" i="12"/>
  <c r="K435" i="12"/>
  <c r="K615" i="12"/>
  <c r="K452" i="12"/>
  <c r="K52" i="12"/>
  <c r="K362" i="12"/>
  <c r="K57" i="12"/>
  <c r="K60" i="12"/>
  <c r="K62" i="12"/>
  <c r="K584" i="12"/>
  <c r="K522" i="12"/>
  <c r="K437" i="12"/>
  <c r="K514" i="12"/>
  <c r="K513" i="12"/>
  <c r="K56" i="12"/>
  <c r="K523" i="12"/>
  <c r="K451" i="12"/>
  <c r="K363" i="12"/>
  <c r="I60" i="12"/>
  <c r="I56" i="12"/>
  <c r="I62" i="12"/>
  <c r="I57" i="12"/>
  <c r="J476" i="12"/>
  <c r="H77" i="12"/>
  <c r="J469" i="12"/>
  <c r="H79" i="12"/>
  <c r="J546" i="12"/>
  <c r="J235" i="12"/>
  <c r="J75" i="12"/>
  <c r="J77" i="12"/>
  <c r="H80" i="12"/>
  <c r="J600" i="12"/>
  <c r="J605" i="12"/>
  <c r="J602" i="12"/>
  <c r="J595" i="12"/>
  <c r="J594" i="12"/>
  <c r="J589" i="12"/>
  <c r="J389" i="12"/>
  <c r="J541" i="12"/>
  <c r="J544" i="12"/>
  <c r="J448" i="12"/>
  <c r="J301" i="12"/>
  <c r="J423" i="12"/>
  <c r="J385" i="12"/>
  <c r="H75" i="12"/>
  <c r="J267" i="12"/>
  <c r="J598" i="12"/>
  <c r="J608" i="12"/>
  <c r="J603" i="12"/>
  <c r="J597" i="12"/>
  <c r="J304" i="12"/>
  <c r="J596" i="12"/>
  <c r="H3" i="10"/>
  <c r="J535" i="12"/>
  <c r="J74" i="12"/>
  <c r="J542" i="12"/>
  <c r="J545" i="12"/>
  <c r="J233" i="12"/>
  <c r="J265" i="12"/>
  <c r="J446" i="12"/>
  <c r="J286" i="12"/>
  <c r="J80" i="12"/>
  <c r="J551" i="12"/>
  <c r="J439" i="12"/>
  <c r="J554" i="12"/>
  <c r="J534" i="12"/>
  <c r="J471" i="12"/>
  <c r="J424" i="12"/>
  <c r="J550" i="12"/>
  <c r="J388" i="12"/>
  <c r="J444" i="12"/>
  <c r="J540" i="12"/>
  <c r="J548" i="12"/>
  <c r="J79" i="12"/>
  <c r="J441" i="12"/>
  <c r="J549" i="12"/>
  <c r="J288" i="12"/>
  <c r="J553" i="12"/>
  <c r="J237" i="12"/>
  <c r="J472" i="12"/>
  <c r="J537" i="12"/>
  <c r="J470" i="12"/>
  <c r="J539" i="12"/>
  <c r="J386" i="12"/>
  <c r="J264" i="12"/>
  <c r="H74" i="12"/>
  <c r="J442" i="12"/>
  <c r="J474" i="12"/>
  <c r="J611" i="12"/>
  <c r="J606" i="12"/>
  <c r="H589" i="12"/>
  <c r="J591" i="12"/>
  <c r="J585" i="12"/>
  <c r="AC74" i="12"/>
  <c r="J536" i="12"/>
  <c r="J543" i="12"/>
  <c r="J387" i="12"/>
  <c r="J475" i="12"/>
  <c r="J232" i="12"/>
  <c r="H76" i="12"/>
  <c r="J268" i="12"/>
  <c r="J266" i="12"/>
  <c r="J447" i="12"/>
  <c r="J422" i="12"/>
  <c r="J302" i="12"/>
  <c r="J303" i="12"/>
  <c r="J468" i="12"/>
  <c r="J547" i="12"/>
  <c r="J445" i="12"/>
  <c r="J76" i="12"/>
  <c r="J78" i="12"/>
  <c r="J287" i="12"/>
  <c r="J289" i="12"/>
  <c r="J552" i="12"/>
  <c r="J440" i="12"/>
  <c r="J449" i="12"/>
  <c r="J443" i="12"/>
  <c r="J234" i="12"/>
  <c r="H78" i="12"/>
  <c r="J236" i="12"/>
  <c r="J538" i="12"/>
  <c r="J473" i="12"/>
  <c r="K443" i="12"/>
  <c r="K440" i="12"/>
  <c r="K552" i="12"/>
  <c r="K468" i="12"/>
  <c r="K289" i="12"/>
  <c r="K79" i="12"/>
  <c r="K78" i="12"/>
  <c r="K547" i="12"/>
  <c r="K74" i="12"/>
  <c r="K444" i="12"/>
  <c r="K549" i="12"/>
  <c r="K237" i="12"/>
  <c r="K423" i="12"/>
  <c r="K236" i="12"/>
  <c r="K301" i="12"/>
  <c r="K446" i="12"/>
  <c r="I80" i="12"/>
  <c r="K264" i="12"/>
  <c r="I79" i="12"/>
  <c r="K470" i="12"/>
  <c r="K545" i="12"/>
  <c r="K538" i="12"/>
  <c r="K595" i="12"/>
  <c r="K596" i="12"/>
  <c r="K594" i="12"/>
  <c r="K608" i="12"/>
  <c r="K611" i="12"/>
  <c r="K543" i="12"/>
  <c r="I78" i="12"/>
  <c r="I74" i="12"/>
  <c r="K385" i="12"/>
  <c r="K605" i="12"/>
  <c r="K603" i="12"/>
  <c r="I589" i="12"/>
  <c r="K591" i="12"/>
  <c r="K600" i="12"/>
  <c r="H4" i="10"/>
  <c r="K541" i="12"/>
  <c r="K544" i="12"/>
  <c r="K473" i="12"/>
  <c r="K232" i="12"/>
  <c r="K268" i="12"/>
  <c r="K266" i="12"/>
  <c r="K476" i="12"/>
  <c r="K448" i="12"/>
  <c r="K422" i="12"/>
  <c r="K302" i="12"/>
  <c r="K303" i="12"/>
  <c r="K304" i="12"/>
  <c r="K424" i="12"/>
  <c r="K550" i="12"/>
  <c r="K75" i="12"/>
  <c r="K76" i="12"/>
  <c r="K548" i="12"/>
  <c r="K287" i="12"/>
  <c r="K288" i="12"/>
  <c r="K551" i="12"/>
  <c r="K472" i="12"/>
  <c r="K439" i="12"/>
  <c r="K442" i="12"/>
  <c r="K387" i="12"/>
  <c r="K386" i="12"/>
  <c r="I75" i="12"/>
  <c r="K535" i="12"/>
  <c r="K388" i="12"/>
  <c r="K449" i="12"/>
  <c r="K441" i="12"/>
  <c r="K534" i="12"/>
  <c r="K474" i="12"/>
  <c r="K537" i="12"/>
  <c r="K80" i="12"/>
  <c r="K286" i="12"/>
  <c r="K77" i="12"/>
  <c r="K445" i="12"/>
  <c r="K540" i="12"/>
  <c r="K553" i="12"/>
  <c r="K469" i="12"/>
  <c r="K389" i="12"/>
  <c r="K554" i="12"/>
  <c r="K235" i="12"/>
  <c r="K475" i="12"/>
  <c r="K447" i="12"/>
  <c r="I77" i="12"/>
  <c r="K265" i="12"/>
  <c r="K267" i="12"/>
  <c r="K233" i="12"/>
  <c r="K542" i="12"/>
  <c r="K536" i="12"/>
  <c r="K597" i="12"/>
  <c r="K589" i="12"/>
  <c r="K598" i="12"/>
  <c r="K606" i="12"/>
  <c r="K602" i="12"/>
  <c r="K585" i="12"/>
  <c r="K471" i="12"/>
  <c r="K539" i="12"/>
  <c r="I76" i="12"/>
  <c r="K234" i="12"/>
  <c r="K546" i="12"/>
  <c r="I157" i="12"/>
  <c r="I158" i="12"/>
  <c r="I159" i="12"/>
  <c r="I160" i="12"/>
  <c r="I156" i="12"/>
  <c r="H157" i="12"/>
  <c r="H156" i="12"/>
  <c r="H158" i="12"/>
  <c r="AC156" i="12"/>
  <c r="H159" i="12"/>
  <c r="H160" i="12"/>
  <c r="AC572" i="12"/>
  <c r="H575" i="12"/>
  <c r="H574" i="12"/>
  <c r="H572" i="12"/>
  <c r="H573" i="12"/>
  <c r="I572" i="12"/>
  <c r="I573" i="12"/>
  <c r="I574" i="12"/>
  <c r="I575" i="12"/>
  <c r="I615" i="12"/>
  <c r="I515" i="12"/>
  <c r="I514" i="12"/>
  <c r="I512" i="12"/>
  <c r="I513" i="12"/>
  <c r="AC513" i="12"/>
  <c r="H515" i="12"/>
  <c r="H512" i="12"/>
  <c r="H615" i="12"/>
  <c r="H513" i="12"/>
  <c r="H514" i="12"/>
  <c r="AC512" i="12"/>
  <c r="H475" i="12"/>
  <c r="H474" i="12"/>
  <c r="H469" i="12"/>
  <c r="AC468" i="12"/>
  <c r="H470" i="12"/>
  <c r="H471" i="12"/>
  <c r="H476" i="12"/>
  <c r="H473" i="12"/>
  <c r="H598" i="12"/>
  <c r="H597" i="12"/>
  <c r="H611" i="12"/>
  <c r="H596" i="12"/>
  <c r="H595" i="12"/>
  <c r="H468" i="12"/>
  <c r="H472" i="12"/>
  <c r="I595" i="12"/>
  <c r="I598" i="12"/>
  <c r="I472" i="12"/>
  <c r="I468" i="12"/>
  <c r="I471" i="12"/>
  <c r="I473" i="12"/>
  <c r="I469" i="12"/>
  <c r="I474" i="12"/>
  <c r="I475" i="12"/>
  <c r="I470" i="12"/>
  <c r="I597" i="12"/>
  <c r="I476" i="12"/>
  <c r="I596" i="12"/>
  <c r="I611" i="12"/>
  <c r="H410" i="12"/>
  <c r="H412" i="12"/>
  <c r="H413" i="12"/>
  <c r="H411" i="12"/>
  <c r="AC410" i="12"/>
  <c r="I413" i="12"/>
  <c r="I410" i="12"/>
  <c r="I411" i="12"/>
  <c r="I412" i="12"/>
  <c r="AC381" i="12"/>
  <c r="H383" i="12"/>
  <c r="H381" i="12"/>
  <c r="H384" i="12"/>
  <c r="H382" i="12"/>
  <c r="I384" i="12"/>
  <c r="I381" i="12"/>
  <c r="I382" i="12"/>
  <c r="I383" i="12"/>
  <c r="H309" i="12"/>
  <c r="H310" i="12"/>
  <c r="H306" i="12"/>
  <c r="H311" i="12"/>
  <c r="H308" i="12"/>
  <c r="H307" i="12"/>
  <c r="H305" i="12"/>
  <c r="I307" i="12"/>
  <c r="I311" i="12"/>
  <c r="I309" i="12"/>
  <c r="I305" i="12"/>
  <c r="I310" i="12"/>
  <c r="I308" i="12"/>
  <c r="I306" i="12"/>
  <c r="I226" i="12"/>
  <c r="I228" i="12"/>
  <c r="I229" i="12"/>
  <c r="I231" i="12"/>
  <c r="I225" i="12"/>
  <c r="I230" i="12"/>
  <c r="I227" i="12"/>
  <c r="AC228" i="12"/>
  <c r="H231" i="12"/>
  <c r="H226" i="12"/>
  <c r="H228" i="12"/>
  <c r="AC227" i="12"/>
  <c r="H230" i="12"/>
  <c r="H227" i="12"/>
  <c r="H229" i="12"/>
  <c r="H225" i="12"/>
  <c r="X524" i="12"/>
  <c r="X525" i="12"/>
  <c r="X599" i="12"/>
  <c r="Y525" i="12"/>
  <c r="Y599" i="12"/>
  <c r="Y524" i="12"/>
  <c r="AL524" i="12"/>
  <c r="AL599" i="12"/>
  <c r="AL525" i="12"/>
  <c r="H151" i="12"/>
  <c r="H152" i="12"/>
  <c r="H150" i="12"/>
  <c r="H153" i="12"/>
  <c r="AC150" i="12"/>
  <c r="H154" i="12"/>
  <c r="H155" i="12"/>
  <c r="I155" i="12"/>
  <c r="I151" i="12"/>
  <c r="I154" i="12"/>
  <c r="I150" i="12"/>
  <c r="I152" i="12"/>
  <c r="I153" i="12"/>
  <c r="W559" i="12"/>
  <c r="W564" i="12"/>
  <c r="W560" i="12"/>
  <c r="W562" i="12"/>
  <c r="W561" i="12"/>
  <c r="W563" i="12"/>
  <c r="X559" i="12"/>
  <c r="X562" i="12"/>
  <c r="X561" i="12"/>
  <c r="X560" i="12"/>
  <c r="X564" i="12"/>
  <c r="X563" i="12"/>
  <c r="Y559" i="12"/>
  <c r="Y564" i="12"/>
  <c r="Y561" i="12"/>
  <c r="Y563" i="12"/>
  <c r="Y560" i="12"/>
  <c r="Y562" i="12"/>
  <c r="AI560" i="12"/>
  <c r="AI563" i="12"/>
  <c r="AI559" i="12"/>
  <c r="AI561" i="12"/>
  <c r="AI562" i="12"/>
  <c r="AI564" i="12"/>
  <c r="AA563" i="12"/>
  <c r="AA561" i="12"/>
  <c r="AA559" i="12"/>
  <c r="AA560" i="12"/>
  <c r="AA564" i="12"/>
  <c r="AA562" i="12"/>
  <c r="AM563" i="12"/>
  <c r="AM559" i="12"/>
  <c r="AM562" i="12"/>
  <c r="AM561" i="12"/>
  <c r="AM560" i="12"/>
  <c r="AM564" i="12"/>
  <c r="AK564" i="12"/>
  <c r="AK560" i="12"/>
  <c r="AK559" i="12"/>
  <c r="AK561" i="12"/>
  <c r="AK562" i="12"/>
  <c r="AK563" i="12"/>
  <c r="AL564" i="12"/>
  <c r="AL561" i="12"/>
  <c r="AL562" i="12"/>
  <c r="AL559" i="12"/>
  <c r="AL563" i="12"/>
  <c r="AL560" i="12"/>
  <c r="I563" i="12"/>
  <c r="I560" i="12"/>
  <c r="I562" i="12"/>
  <c r="I561" i="12"/>
  <c r="I559" i="12"/>
  <c r="I564" i="12"/>
  <c r="H559" i="12"/>
  <c r="AC559" i="12"/>
  <c r="H563" i="12"/>
  <c r="H562" i="12"/>
  <c r="H564" i="12"/>
  <c r="H560" i="12"/>
  <c r="H561" i="12"/>
  <c r="AC562" i="12"/>
  <c r="AC564" i="12"/>
  <c r="Z563" i="12"/>
  <c r="Z560" i="12"/>
  <c r="Z559" i="12"/>
  <c r="Z562" i="12"/>
  <c r="Z564" i="12"/>
  <c r="Z561" i="12"/>
  <c r="I533" i="12"/>
  <c r="I532" i="12"/>
  <c r="I531" i="12"/>
  <c r="I530" i="12"/>
  <c r="AC533" i="12"/>
  <c r="H530" i="12"/>
  <c r="H531" i="12"/>
  <c r="AC530" i="12"/>
  <c r="H532" i="12"/>
  <c r="H533" i="12"/>
  <c r="I517" i="12"/>
  <c r="I516" i="12"/>
  <c r="I518" i="12"/>
  <c r="I519" i="12"/>
  <c r="H518" i="12"/>
  <c r="H517" i="12"/>
  <c r="H519" i="12"/>
  <c r="H516" i="12"/>
  <c r="I437" i="12"/>
  <c r="I436" i="12"/>
  <c r="I438" i="12"/>
  <c r="I435" i="12"/>
  <c r="AC436" i="12"/>
  <c r="H436" i="12"/>
  <c r="H435" i="12"/>
  <c r="H437" i="12"/>
  <c r="AC435" i="12"/>
  <c r="H438" i="12"/>
  <c r="K337" i="12"/>
  <c r="K319" i="12"/>
  <c r="K320" i="12"/>
  <c r="K208" i="12"/>
  <c r="K292" i="12"/>
  <c r="K489" i="12"/>
  <c r="K490" i="12"/>
  <c r="K559" i="12"/>
  <c r="K492" i="12"/>
  <c r="K341" i="12"/>
  <c r="K318" i="12"/>
  <c r="K562" i="12"/>
  <c r="K390" i="12"/>
  <c r="AC83" i="12"/>
  <c r="AC82" i="12"/>
  <c r="K333" i="12"/>
  <c r="K158" i="12"/>
  <c r="K272" i="12"/>
  <c r="K107" i="12"/>
  <c r="K569" i="12"/>
  <c r="K332" i="12"/>
  <c r="K33" i="12"/>
  <c r="K334" i="12"/>
  <c r="K156" i="12"/>
  <c r="K599" i="12"/>
  <c r="K604" i="12"/>
  <c r="K103" i="12"/>
  <c r="K612" i="12"/>
  <c r="K592" i="12"/>
  <c r="K499" i="12"/>
  <c r="K160" i="12"/>
  <c r="K38" i="12"/>
  <c r="K570" i="12"/>
  <c r="K271" i="12"/>
  <c r="K329" i="12"/>
  <c r="K328" i="12"/>
  <c r="K335" i="12"/>
  <c r="K106" i="12"/>
  <c r="K36" i="12"/>
  <c r="K525" i="12"/>
  <c r="K270" i="12"/>
  <c r="K481" i="12"/>
  <c r="K331" i="12"/>
  <c r="K571" i="12"/>
  <c r="K274" i="12"/>
  <c r="K179" i="12"/>
  <c r="K275" i="12"/>
  <c r="K327" i="12"/>
  <c r="K34" i="12"/>
  <c r="K104" i="12"/>
  <c r="K187" i="12"/>
  <c r="K188" i="12"/>
  <c r="K191" i="12"/>
  <c r="K105" i="12"/>
  <c r="K330" i="12"/>
  <c r="K180" i="12"/>
  <c r="I36" i="12"/>
  <c r="K109" i="12"/>
  <c r="I38" i="12"/>
  <c r="K35" i="12"/>
  <c r="K276" i="12"/>
  <c r="K269" i="12"/>
  <c r="K524" i="12"/>
  <c r="K496" i="12"/>
  <c r="K483" i="12"/>
  <c r="K37" i="12"/>
  <c r="I37" i="12"/>
  <c r="B14" i="12"/>
  <c r="E4" i="10" s="1"/>
  <c r="E12" i="10" s="1"/>
  <c r="J12" i="10" s="1"/>
  <c r="K159" i="12"/>
  <c r="K497" i="12"/>
  <c r="K498" i="12"/>
  <c r="K112" i="12"/>
  <c r="K32" i="12"/>
  <c r="K110" i="12"/>
  <c r="I35" i="12"/>
  <c r="K190" i="12"/>
  <c r="K273" i="12"/>
  <c r="K326" i="12"/>
  <c r="K108" i="12"/>
  <c r="K325" i="12"/>
  <c r="K157" i="12"/>
  <c r="K189" i="12"/>
  <c r="K111" i="12"/>
  <c r="K482" i="12"/>
  <c r="K4" i="10" a="1"/>
  <c r="J328" i="12"/>
  <c r="AC38" i="12"/>
  <c r="J592" i="12"/>
  <c r="B13" i="12"/>
  <c r="H38" i="12"/>
  <c r="J111" i="12"/>
  <c r="J497" i="12"/>
  <c r="J499" i="12"/>
  <c r="J332" i="12"/>
  <c r="J103" i="12"/>
  <c r="J276" i="12"/>
  <c r="J333" i="12"/>
  <c r="J330" i="12"/>
  <c r="J612" i="12"/>
  <c r="B12" i="10" a="1"/>
  <c r="J109" i="12"/>
  <c r="J156" i="12"/>
  <c r="J158" i="12"/>
  <c r="J274" i="12"/>
  <c r="J569" i="12"/>
  <c r="C12" i="10" a="1"/>
  <c r="H35" i="12"/>
  <c r="H37" i="12"/>
  <c r="J35" i="12"/>
  <c r="AC35" i="12"/>
  <c r="H36" i="12"/>
  <c r="J329" i="12"/>
  <c r="J482" i="12"/>
  <c r="J524" i="12"/>
  <c r="J38" i="12"/>
  <c r="J273" i="12"/>
  <c r="J110" i="12"/>
  <c r="J108" i="12"/>
  <c r="J34" i="12"/>
  <c r="J189" i="12"/>
  <c r="J106" i="12"/>
  <c r="J327" i="12"/>
  <c r="J107" i="12"/>
  <c r="J481" i="12"/>
  <c r="J187" i="12"/>
  <c r="J604" i="12"/>
  <c r="J599" i="12"/>
  <c r="J570" i="12"/>
  <c r="J525" i="12"/>
  <c r="J498" i="12"/>
  <c r="J326" i="12"/>
  <c r="J105" i="12"/>
  <c r="J270" i="12"/>
  <c r="J272" i="12"/>
  <c r="J275" i="12"/>
  <c r="J188" i="12"/>
  <c r="J191" i="12"/>
  <c r="J180" i="12"/>
  <c r="J331" i="12"/>
  <c r="J496" i="12"/>
  <c r="J104" i="12"/>
  <c r="J157" i="12"/>
  <c r="J335" i="12"/>
  <c r="J32" i="12"/>
  <c r="J33" i="12"/>
  <c r="J571" i="12"/>
  <c r="J36" i="12"/>
  <c r="J334" i="12"/>
  <c r="J159" i="12"/>
  <c r="J325" i="12"/>
  <c r="J483" i="12"/>
  <c r="J160" i="12"/>
  <c r="J112" i="12"/>
  <c r="J179" i="12"/>
  <c r="J190" i="12"/>
  <c r="J37" i="12"/>
  <c r="J271" i="12"/>
  <c r="J269" i="12"/>
  <c r="I111" i="12"/>
  <c r="I112" i="12"/>
  <c r="I110" i="12"/>
  <c r="I109" i="12"/>
  <c r="AC111" i="12"/>
  <c r="H111" i="12"/>
  <c r="H112" i="12"/>
  <c r="AC112" i="12"/>
  <c r="H110" i="12"/>
  <c r="AC109" i="12"/>
  <c r="H109" i="12"/>
  <c r="H423" i="12"/>
  <c r="H422" i="12"/>
  <c r="AC422" i="12"/>
  <c r="H608" i="12"/>
  <c r="H424" i="12"/>
  <c r="I422" i="12"/>
  <c r="I423" i="12"/>
  <c r="I608" i="12"/>
  <c r="I424" i="12"/>
  <c r="H614" i="12"/>
  <c r="H508" i="12"/>
  <c r="H507" i="12"/>
  <c r="I614" i="12"/>
  <c r="I507" i="12"/>
  <c r="I508" i="12"/>
  <c r="AI345" i="12"/>
  <c r="AI342" i="12"/>
  <c r="AI343" i="12"/>
  <c r="AI347" i="12"/>
  <c r="AI344" i="12"/>
  <c r="AI346" i="12"/>
  <c r="I344" i="12"/>
  <c r="I342" i="12"/>
  <c r="I346" i="12"/>
  <c r="I343" i="12"/>
  <c r="I347" i="12"/>
  <c r="I345" i="12"/>
  <c r="I555" i="12"/>
  <c r="I556" i="12"/>
  <c r="I558" i="12"/>
  <c r="I557" i="12"/>
  <c r="AC556" i="12"/>
  <c r="H558" i="12"/>
  <c r="H555" i="12"/>
  <c r="H557" i="12"/>
  <c r="H556" i="12"/>
  <c r="I459" i="12"/>
  <c r="I460" i="12"/>
  <c r="I455" i="12"/>
  <c r="I458" i="12"/>
  <c r="I457" i="12"/>
  <c r="I456" i="12"/>
  <c r="I454" i="12"/>
  <c r="H456" i="12"/>
  <c r="H457" i="12"/>
  <c r="H458" i="12"/>
  <c r="H460" i="12"/>
  <c r="H455" i="12"/>
  <c r="AC454" i="12"/>
  <c r="H454" i="12"/>
  <c r="AC460" i="12"/>
  <c r="H459" i="12"/>
  <c r="AC140" i="12"/>
  <c r="H140" i="12"/>
  <c r="H141" i="12"/>
  <c r="H142" i="12"/>
  <c r="H143" i="12"/>
  <c r="AC142" i="12"/>
  <c r="I140" i="12"/>
  <c r="I143" i="12"/>
  <c r="I141" i="12"/>
  <c r="I142" i="12"/>
  <c r="Y141" i="12"/>
  <c r="Y142" i="12"/>
  <c r="Y140" i="12"/>
  <c r="Y143" i="12"/>
  <c r="AJ236" i="12"/>
  <c r="AJ603" i="12"/>
  <c r="AJ234" i="12"/>
  <c r="AJ233" i="12"/>
  <c r="AJ602" i="12"/>
  <c r="AJ585" i="12"/>
  <c r="AJ235" i="12"/>
  <c r="AJ237" i="12"/>
  <c r="AJ232" i="12"/>
  <c r="AC234" i="12"/>
  <c r="AC235" i="12"/>
  <c r="AA603" i="12"/>
  <c r="AA234" i="12"/>
  <c r="AA585" i="12"/>
  <c r="AA235" i="12"/>
  <c r="AA236" i="12"/>
  <c r="AA232" i="12"/>
  <c r="AA233" i="12"/>
  <c r="AA602" i="12"/>
  <c r="AA237" i="12"/>
  <c r="Y233" i="12"/>
  <c r="Y232" i="12"/>
  <c r="AM603" i="12"/>
  <c r="AM232" i="12"/>
  <c r="AM585" i="12"/>
  <c r="AM602" i="12"/>
  <c r="AM236" i="12"/>
  <c r="AM233" i="12"/>
  <c r="AM234" i="12"/>
  <c r="AM237" i="12"/>
  <c r="AM235" i="12"/>
  <c r="AC419" i="12"/>
  <c r="AC418" i="12"/>
  <c r="H421" i="12"/>
  <c r="H419" i="12"/>
  <c r="H418" i="12"/>
  <c r="H420" i="12"/>
  <c r="I421" i="12"/>
  <c r="I418" i="12"/>
  <c r="I419" i="12"/>
  <c r="I420" i="12"/>
  <c r="AK143" i="12"/>
  <c r="AK142" i="12"/>
  <c r="AK141" i="12"/>
  <c r="AK140" i="12"/>
  <c r="W140" i="12"/>
  <c r="W142" i="12"/>
  <c r="W143" i="12"/>
  <c r="W141" i="12"/>
  <c r="AA140" i="12"/>
  <c r="AA143" i="12"/>
  <c r="AA142" i="12"/>
  <c r="AA141" i="12"/>
  <c r="AJ140" i="12"/>
  <c r="AJ141" i="12"/>
  <c r="AJ143" i="12"/>
  <c r="AJ142" i="12"/>
  <c r="X141" i="12"/>
  <c r="X143" i="12"/>
  <c r="X140" i="12"/>
  <c r="X142" i="12"/>
  <c r="AL143" i="12"/>
  <c r="AL140" i="12"/>
  <c r="AL142" i="12"/>
  <c r="AL141" i="12"/>
  <c r="Z140" i="12"/>
  <c r="Z142" i="12"/>
  <c r="Z141" i="12"/>
  <c r="Z143" i="12"/>
  <c r="AI141" i="12"/>
  <c r="AI143" i="12"/>
  <c r="AI142" i="12"/>
  <c r="AI140" i="12"/>
  <c r="AM140" i="12"/>
  <c r="AM143" i="12"/>
  <c r="AM141" i="12"/>
  <c r="AM142" i="12"/>
  <c r="K384" i="12"/>
  <c r="K487" i="12"/>
  <c r="K348" i="12"/>
  <c r="K91" i="12"/>
  <c r="K161" i="12"/>
  <c r="K226" i="12"/>
  <c r="K456" i="12"/>
  <c r="K238" i="12"/>
  <c r="K457" i="12"/>
  <c r="K460" i="12"/>
  <c r="K162" i="12"/>
  <c r="K345" i="12"/>
  <c r="K227" i="12"/>
  <c r="K90" i="12"/>
  <c r="K383" i="12"/>
  <c r="K92" i="12"/>
  <c r="K529" i="12"/>
  <c r="K381" i="12"/>
  <c r="K350" i="12"/>
  <c r="K351" i="12"/>
  <c r="K357" i="12"/>
  <c r="K344" i="12"/>
  <c r="K239" i="12"/>
  <c r="K243" i="12"/>
  <c r="K222" i="12"/>
  <c r="I63" i="12"/>
  <c r="I66" i="12"/>
  <c r="I69" i="12"/>
  <c r="K67" i="12"/>
  <c r="K166" i="12"/>
  <c r="K242" i="12"/>
  <c r="K228" i="12"/>
  <c r="K342" i="12"/>
  <c r="K486" i="12"/>
  <c r="K526" i="12"/>
  <c r="K588" i="12"/>
  <c r="I588" i="12"/>
  <c r="K349" i="12"/>
  <c r="K454" i="12"/>
  <c r="K455" i="12"/>
  <c r="K528" i="12"/>
  <c r="K459" i="12"/>
  <c r="K346" i="12"/>
  <c r="K93" i="12"/>
  <c r="K356" i="12"/>
  <c r="K359" i="12"/>
  <c r="K280" i="12"/>
  <c r="K241" i="12"/>
  <c r="K221" i="12"/>
  <c r="K68" i="12"/>
  <c r="I65" i="12"/>
  <c r="I68" i="12"/>
  <c r="K167" i="12"/>
  <c r="K220" i="12"/>
  <c r="K229" i="12"/>
  <c r="K94" i="12"/>
  <c r="K281" i="12"/>
  <c r="K231" i="12"/>
  <c r="K277" i="12"/>
  <c r="K63" i="12"/>
  <c r="K66" i="12"/>
  <c r="K458" i="12"/>
  <c r="K382" i="12"/>
  <c r="K343" i="12"/>
  <c r="K484" i="12"/>
  <c r="K65" i="12"/>
  <c r="K279" i="12"/>
  <c r="K485" i="12"/>
  <c r="K230" i="12"/>
  <c r="K69" i="12"/>
  <c r="K527" i="12"/>
  <c r="K163" i="12"/>
  <c r="K278" i="12"/>
  <c r="I67" i="12"/>
  <c r="I64" i="12"/>
  <c r="K223" i="12"/>
  <c r="K225" i="12"/>
  <c r="K240" i="12"/>
  <c r="K347" i="12"/>
  <c r="K358" i="12"/>
  <c r="K355" i="12"/>
  <c r="K164" i="12"/>
  <c r="K168" i="12"/>
  <c r="K165" i="12"/>
  <c r="K64" i="12"/>
  <c r="K224" i="12"/>
  <c r="J345" i="12"/>
  <c r="J526" i="12"/>
  <c r="J486" i="12"/>
  <c r="J383" i="12"/>
  <c r="J355" i="12"/>
  <c r="J358" i="12"/>
  <c r="J344" i="12"/>
  <c r="J280" i="12"/>
  <c r="J228" i="12"/>
  <c r="J223" i="12"/>
  <c r="J91" i="12"/>
  <c r="H64" i="12"/>
  <c r="H67" i="12"/>
  <c r="J67" i="12"/>
  <c r="J94" i="12"/>
  <c r="J230" i="12"/>
  <c r="J242" i="12"/>
  <c r="J277" i="12"/>
  <c r="J527" i="12"/>
  <c r="J224" i="12"/>
  <c r="AC65" i="12"/>
  <c r="J64" i="12"/>
  <c r="J487" i="12"/>
  <c r="J484" i="12"/>
  <c r="J384" i="12"/>
  <c r="J485" i="12"/>
  <c r="J238" i="12"/>
  <c r="J588" i="12"/>
  <c r="J342" i="12"/>
  <c r="J227" i="12"/>
  <c r="J529" i="12"/>
  <c r="J455" i="12"/>
  <c r="J346" i="12"/>
  <c r="J356" i="12"/>
  <c r="J359" i="12"/>
  <c r="J347" i="12"/>
  <c r="J239" i="12"/>
  <c r="J243" i="12"/>
  <c r="J221" i="12"/>
  <c r="J161" i="12"/>
  <c r="J241" i="12"/>
  <c r="H65" i="12"/>
  <c r="H68" i="12"/>
  <c r="J165" i="12"/>
  <c r="J231" i="12"/>
  <c r="J168" i="12"/>
  <c r="J279" i="12"/>
  <c r="J167" i="12"/>
  <c r="J162" i="12"/>
  <c r="J229" i="12"/>
  <c r="J63" i="12"/>
  <c r="J66" i="12"/>
  <c r="J460" i="12"/>
  <c r="J382" i="12"/>
  <c r="J92" i="12"/>
  <c r="J350" i="12"/>
  <c r="H588" i="12"/>
  <c r="AC63" i="12"/>
  <c r="J457" i="12"/>
  <c r="J349" i="12"/>
  <c r="J528" i="12"/>
  <c r="J458" i="12"/>
  <c r="J351" i="12"/>
  <c r="J357" i="12"/>
  <c r="J343" i="12"/>
  <c r="J348" i="12"/>
  <c r="J240" i="12"/>
  <c r="J225" i="12"/>
  <c r="J222" i="12"/>
  <c r="J166" i="12"/>
  <c r="H63" i="12"/>
  <c r="H66" i="12"/>
  <c r="H69" i="12"/>
  <c r="J68" i="12"/>
  <c r="J69" i="12"/>
  <c r="J281" i="12"/>
  <c r="J90" i="12"/>
  <c r="J164" i="12"/>
  <c r="J278" i="12"/>
  <c r="J220" i="12"/>
  <c r="J93" i="12"/>
  <c r="J456" i="12"/>
  <c r="J454" i="12"/>
  <c r="J226" i="12"/>
  <c r="J381" i="12"/>
  <c r="J65" i="12"/>
  <c r="J163" i="12"/>
  <c r="J459" i="12"/>
  <c r="I265" i="12"/>
  <c r="I266" i="12"/>
  <c r="I267" i="12"/>
  <c r="I268" i="12"/>
  <c r="I264" i="12"/>
  <c r="H264" i="12"/>
  <c r="H268" i="12"/>
  <c r="AC264" i="12"/>
  <c r="H265" i="12"/>
  <c r="H267" i="12"/>
  <c r="H266" i="12"/>
  <c r="AM161" i="12"/>
  <c r="AM168" i="12"/>
  <c r="AM166" i="12"/>
  <c r="AM163" i="12"/>
  <c r="AM167" i="12"/>
  <c r="AM165" i="12"/>
  <c r="AM164" i="12"/>
  <c r="AM162" i="12"/>
  <c r="Y164" i="12"/>
  <c r="Y168" i="12"/>
  <c r="Y167" i="12"/>
  <c r="Y166" i="12"/>
  <c r="Y163" i="12"/>
  <c r="Y161" i="12"/>
  <c r="Y162" i="12"/>
  <c r="Y165" i="12"/>
  <c r="AM41" i="12"/>
  <c r="AM44" i="12"/>
  <c r="AM39" i="12"/>
  <c r="AM42" i="12"/>
  <c r="F15" i="11"/>
  <c r="AM40" i="12"/>
  <c r="AM43" i="12"/>
  <c r="F12" i="11"/>
  <c r="AA40" i="12"/>
  <c r="AA43" i="12"/>
  <c r="AA42" i="12"/>
  <c r="F21" i="11" a="1"/>
  <c r="F11" i="11"/>
  <c r="AA44" i="12"/>
  <c r="AA39" i="12"/>
  <c r="F14" i="11"/>
  <c r="F17" i="11" s="1"/>
  <c r="AA41" i="12"/>
  <c r="Z42" i="12"/>
  <c r="Z41" i="12"/>
  <c r="Z40" i="12"/>
  <c r="E14" i="11"/>
  <c r="Z44" i="12"/>
  <c r="E11" i="11"/>
  <c r="E21" i="11" a="1"/>
  <c r="Z39" i="12"/>
  <c r="Z43" i="12"/>
  <c r="AL42" i="12"/>
  <c r="E12" i="11"/>
  <c r="E13" i="11" s="1"/>
  <c r="AL40" i="12"/>
  <c r="AL43" i="12"/>
  <c r="AL41" i="12"/>
  <c r="AL39" i="12"/>
  <c r="E15" i="11"/>
  <c r="AL44" i="12"/>
  <c r="B12" i="11"/>
  <c r="AI43" i="12"/>
  <c r="AI44" i="12"/>
  <c r="B15" i="11"/>
  <c r="AI42" i="12"/>
  <c r="AI39" i="12"/>
  <c r="AI41" i="12"/>
  <c r="AI40" i="12"/>
  <c r="X42" i="12"/>
  <c r="X44" i="12"/>
  <c r="X40" i="12"/>
  <c r="X41" i="12"/>
  <c r="X39" i="12"/>
  <c r="C11" i="11"/>
  <c r="C14" i="11"/>
  <c r="C17" i="11" s="1"/>
  <c r="C21" i="11" a="1"/>
  <c r="X43" i="12"/>
  <c r="AJ41" i="12"/>
  <c r="C15" i="11"/>
  <c r="C12" i="11"/>
  <c r="AJ42" i="12"/>
  <c r="AJ44" i="12"/>
  <c r="AJ43" i="12"/>
  <c r="AJ39" i="12"/>
  <c r="AJ40" i="12"/>
  <c r="D11" i="11"/>
  <c r="Y44" i="12"/>
  <c r="Y43" i="12"/>
  <c r="Y42" i="12"/>
  <c r="D21" i="11" a="1"/>
  <c r="D14" i="11"/>
  <c r="D17" i="11" s="1"/>
  <c r="Y39" i="12"/>
  <c r="Y40" i="12"/>
  <c r="Y41" i="12"/>
  <c r="AK39" i="12"/>
  <c r="D15" i="11"/>
  <c r="D12" i="11"/>
  <c r="D13" i="11" s="1"/>
  <c r="D24" i="11" s="1" a="1"/>
  <c r="D25" i="11" s="1"/>
  <c r="AK42" i="12"/>
  <c r="AK44" i="12"/>
  <c r="AK43" i="12"/>
  <c r="AK40" i="12"/>
  <c r="AK41" i="12"/>
  <c r="G26" i="11" a="1"/>
  <c r="B11" i="11"/>
  <c r="B14" i="11"/>
  <c r="B21" i="11" a="1"/>
  <c r="W41" i="12"/>
  <c r="G21" i="11" a="1"/>
  <c r="W39" i="12"/>
  <c r="W42" i="12"/>
  <c r="W40" i="12"/>
  <c r="W43" i="12"/>
  <c r="W44" i="12"/>
  <c r="I260" i="12"/>
  <c r="I261" i="12"/>
  <c r="I259" i="12"/>
  <c r="I263" i="12"/>
  <c r="I262" i="12"/>
  <c r="H260" i="12"/>
  <c r="H259" i="12"/>
  <c r="H261" i="12"/>
  <c r="H262" i="12"/>
  <c r="H263" i="12"/>
  <c r="I484" i="12"/>
  <c r="I485" i="12"/>
  <c r="I486" i="12"/>
  <c r="I487" i="12"/>
  <c r="AC484" i="12"/>
  <c r="H485" i="12"/>
  <c r="H486" i="12"/>
  <c r="H487" i="12"/>
  <c r="H484" i="12"/>
  <c r="H320" i="12"/>
  <c r="H317" i="12"/>
  <c r="AC316" i="12"/>
  <c r="H318" i="12"/>
  <c r="H316" i="12"/>
  <c r="H319" i="12"/>
  <c r="AC318" i="12"/>
  <c r="I320" i="12"/>
  <c r="I319" i="12"/>
  <c r="I317" i="12"/>
  <c r="I316" i="12"/>
  <c r="I318" i="12"/>
  <c r="W525" i="12"/>
  <c r="W599" i="12"/>
  <c r="W524" i="12"/>
  <c r="H599" i="12"/>
  <c r="AC524" i="12"/>
  <c r="H524" i="12"/>
  <c r="H525" i="12"/>
  <c r="AJ599" i="12"/>
  <c r="AJ524" i="12"/>
  <c r="AJ525" i="12"/>
  <c r="AM525" i="12"/>
  <c r="AM524" i="12"/>
  <c r="AM599" i="12"/>
  <c r="AA525" i="12"/>
  <c r="AA524" i="12"/>
  <c r="AA599" i="12"/>
  <c r="Z524" i="12"/>
  <c r="Z525" i="12"/>
  <c r="Z599" i="12"/>
  <c r="AI599" i="12"/>
  <c r="AI524" i="12"/>
  <c r="AI525" i="12"/>
  <c r="X498" i="12"/>
  <c r="X496" i="12"/>
  <c r="X499" i="12"/>
  <c r="X497" i="12"/>
  <c r="AA497" i="12"/>
  <c r="AA496" i="12"/>
  <c r="AA499" i="12"/>
  <c r="AA498" i="12"/>
  <c r="Y497" i="12"/>
  <c r="Y496" i="12"/>
  <c r="Y499" i="12"/>
  <c r="Y498" i="12"/>
  <c r="W496" i="12"/>
  <c r="W498" i="12"/>
  <c r="W497" i="12"/>
  <c r="W499" i="12"/>
  <c r="AJ498" i="12"/>
  <c r="AJ497" i="12"/>
  <c r="AJ499" i="12"/>
  <c r="AJ496" i="12"/>
  <c r="AM498" i="12"/>
  <c r="AM499" i="12"/>
  <c r="AM497" i="12"/>
  <c r="AM496" i="12"/>
  <c r="AK496" i="12"/>
  <c r="AK498" i="12"/>
  <c r="AK497" i="12"/>
  <c r="AK499" i="12"/>
  <c r="AC499" i="12"/>
  <c r="I498" i="12"/>
  <c r="I499" i="12"/>
  <c r="I496" i="12"/>
  <c r="I497" i="12"/>
  <c r="Z498" i="12"/>
  <c r="Z499" i="12"/>
  <c r="Z497" i="12"/>
  <c r="Z496" i="12"/>
  <c r="AL499" i="12"/>
  <c r="AL497" i="12"/>
  <c r="AL498" i="12"/>
  <c r="AL496" i="12"/>
  <c r="AI499" i="12"/>
  <c r="AI496" i="12"/>
  <c r="AI497" i="12"/>
  <c r="AI498" i="12"/>
  <c r="I493" i="12"/>
  <c r="I494" i="12"/>
  <c r="I613" i="12"/>
  <c r="I495" i="12"/>
  <c r="AC613" i="12"/>
  <c r="AC494" i="12"/>
  <c r="H495" i="12"/>
  <c r="H613" i="12"/>
  <c r="H494" i="12"/>
  <c r="H493" i="12"/>
  <c r="AM177" i="12"/>
  <c r="AM176" i="12"/>
  <c r="AM175" i="12"/>
  <c r="AM178" i="12"/>
  <c r="AC175" i="12"/>
  <c r="H178" i="12"/>
  <c r="H177" i="12"/>
  <c r="H175" i="12"/>
  <c r="H176" i="12"/>
  <c r="I175" i="12"/>
  <c r="I177" i="12"/>
  <c r="I176" i="12"/>
  <c r="I178" i="12"/>
  <c r="W136" i="12"/>
  <c r="W137" i="12"/>
  <c r="W139" i="12"/>
  <c r="W138" i="12"/>
  <c r="W133" i="12"/>
  <c r="W135" i="12"/>
  <c r="W134" i="12"/>
  <c r="AM431" i="12"/>
  <c r="AM427" i="12"/>
  <c r="AM609" i="12"/>
  <c r="AM434" i="12"/>
  <c r="AM429" i="12"/>
  <c r="AM430" i="12"/>
  <c r="AM433" i="12"/>
  <c r="AM432" i="12"/>
  <c r="AM428" i="12"/>
  <c r="AM425" i="12"/>
  <c r="AM426" i="12"/>
  <c r="I523" i="12"/>
  <c r="I520" i="12"/>
  <c r="I521" i="12"/>
  <c r="I522" i="12"/>
  <c r="H522" i="12"/>
  <c r="H521" i="12"/>
  <c r="AC520" i="12"/>
  <c r="H523" i="12"/>
  <c r="H520" i="12"/>
  <c r="AK608" i="12"/>
  <c r="AK423" i="12"/>
  <c r="AK424" i="12"/>
  <c r="AK422" i="12"/>
  <c r="X424" i="12"/>
  <c r="X608" i="12"/>
  <c r="X423" i="12"/>
  <c r="X422" i="12"/>
  <c r="Y608" i="12"/>
  <c r="Y424" i="12"/>
  <c r="Y423" i="12"/>
  <c r="Y422" i="12"/>
  <c r="AI424" i="12"/>
  <c r="AI608" i="12"/>
  <c r="AI422" i="12"/>
  <c r="AI423" i="12"/>
  <c r="AL424" i="12"/>
  <c r="AL423" i="12"/>
  <c r="AL422" i="12"/>
  <c r="AL608" i="12"/>
  <c r="Z422" i="12"/>
  <c r="Z424" i="12"/>
  <c r="Z423" i="12"/>
  <c r="Z608" i="12"/>
  <c r="AJ423" i="12"/>
  <c r="AJ424" i="12"/>
  <c r="AJ422" i="12"/>
  <c r="AJ608" i="12"/>
  <c r="AM608" i="12"/>
  <c r="AM423" i="12"/>
  <c r="AM422" i="12"/>
  <c r="AM424" i="12"/>
  <c r="AA424" i="12"/>
  <c r="AA422" i="12"/>
  <c r="AA608" i="12"/>
  <c r="AA423" i="12"/>
  <c r="W608" i="12"/>
  <c r="W422" i="12"/>
  <c r="W424" i="12"/>
  <c r="W423" i="12"/>
  <c r="AC327" i="12"/>
  <c r="H604" i="12"/>
  <c r="H332" i="12"/>
  <c r="H326" i="12"/>
  <c r="H331" i="12"/>
  <c r="AC326" i="12"/>
  <c r="H329" i="12"/>
  <c r="H325" i="12"/>
  <c r="H327" i="12"/>
  <c r="H328" i="12"/>
  <c r="AC325" i="12"/>
  <c r="H330" i="12"/>
  <c r="I332" i="12"/>
  <c r="I328" i="12"/>
  <c r="I329" i="12"/>
  <c r="I331" i="12"/>
  <c r="I326" i="12"/>
  <c r="I325" i="12"/>
  <c r="I604" i="12"/>
  <c r="I330" i="12"/>
  <c r="I327" i="12"/>
  <c r="W478" i="12"/>
  <c r="W477" i="12"/>
  <c r="W480" i="12"/>
  <c r="W479" i="12"/>
  <c r="AI478" i="12"/>
  <c r="AI477" i="12"/>
  <c r="AI480" i="12"/>
  <c r="AI479" i="12"/>
  <c r="AM479" i="12"/>
  <c r="AM480" i="12"/>
  <c r="AM477" i="12"/>
  <c r="AM478" i="12"/>
  <c r="AJ478" i="12"/>
  <c r="AJ480" i="12"/>
  <c r="AJ479" i="12"/>
  <c r="AJ477" i="12"/>
  <c r="AA478" i="12"/>
  <c r="AA480" i="12"/>
  <c r="AA479" i="12"/>
  <c r="AA477" i="12"/>
  <c r="AK478" i="12"/>
  <c r="AK480" i="12"/>
  <c r="AK477" i="12"/>
  <c r="AK479" i="12"/>
  <c r="I606" i="12"/>
  <c r="I594" i="12"/>
  <c r="I387" i="12"/>
  <c r="I388" i="12"/>
  <c r="I386" i="12"/>
  <c r="I605" i="12"/>
  <c r="I389" i="12"/>
  <c r="I385" i="12"/>
  <c r="AA389" i="12"/>
  <c r="AA387" i="12"/>
  <c r="AA386" i="12"/>
  <c r="AA605" i="12"/>
  <c r="AA594" i="12"/>
  <c r="AA388" i="12"/>
  <c r="AA606" i="12"/>
  <c r="AA385" i="12"/>
  <c r="H606" i="12"/>
  <c r="H389" i="12"/>
  <c r="H605" i="12"/>
  <c r="AC385" i="12"/>
  <c r="H385" i="12"/>
  <c r="H388" i="12"/>
  <c r="H386" i="12"/>
  <c r="H387" i="12"/>
  <c r="H594" i="12"/>
  <c r="I138" i="12"/>
  <c r="I137" i="12"/>
  <c r="I134" i="12"/>
  <c r="I139" i="12"/>
  <c r="I136" i="12"/>
  <c r="I135" i="12"/>
  <c r="I133" i="12"/>
  <c r="AC134" i="12"/>
  <c r="AC133" i="12"/>
  <c r="H134" i="12"/>
  <c r="H137" i="12"/>
  <c r="AC136" i="12"/>
  <c r="H136" i="12"/>
  <c r="H139" i="12"/>
  <c r="H133" i="12"/>
  <c r="H135" i="12"/>
  <c r="H138" i="12"/>
  <c r="AL411" i="12"/>
  <c r="AL410" i="12"/>
  <c r="AL412" i="12"/>
  <c r="AL413" i="12"/>
  <c r="AJ411" i="12"/>
  <c r="AJ413" i="12"/>
  <c r="AJ412" i="12"/>
  <c r="AJ410" i="12"/>
  <c r="Z410" i="12"/>
  <c r="Z412" i="12"/>
  <c r="Z413" i="12"/>
  <c r="Z411" i="12"/>
  <c r="W413" i="12"/>
  <c r="W412" i="12"/>
  <c r="W410" i="12"/>
  <c r="W411" i="12"/>
  <c r="AI413" i="12"/>
  <c r="AI410" i="12"/>
  <c r="AI412" i="12"/>
  <c r="AI411" i="12"/>
  <c r="AA412" i="12"/>
  <c r="AA410" i="12"/>
  <c r="AA411" i="12"/>
  <c r="AA413" i="12"/>
  <c r="X413" i="12"/>
  <c r="X410" i="12"/>
  <c r="X412" i="12"/>
  <c r="X411" i="12"/>
  <c r="AK411" i="12"/>
  <c r="AK413" i="12"/>
  <c r="AK412" i="12"/>
  <c r="AK410" i="12"/>
  <c r="AM411" i="12"/>
  <c r="AM413" i="12"/>
  <c r="AM412" i="12"/>
  <c r="AM410" i="12"/>
  <c r="Y413" i="12"/>
  <c r="Y411" i="12"/>
  <c r="Y410" i="12"/>
  <c r="Y412" i="12"/>
  <c r="AJ301" i="12"/>
  <c r="AJ303" i="12"/>
  <c r="AJ302" i="12"/>
  <c r="AJ304" i="12"/>
  <c r="AJ591" i="12"/>
  <c r="AC302" i="12"/>
  <c r="AC304" i="12"/>
  <c r="H304" i="12"/>
  <c r="H303" i="12"/>
  <c r="H302" i="12"/>
  <c r="H301" i="12"/>
  <c r="H591" i="12"/>
  <c r="I511" i="12"/>
  <c r="I509" i="12"/>
  <c r="I510" i="12"/>
  <c r="W509" i="12"/>
  <c r="W511" i="12"/>
  <c r="W510" i="12"/>
  <c r="AC510" i="12"/>
  <c r="AC509" i="12"/>
  <c r="H510" i="12"/>
  <c r="H509" i="12"/>
  <c r="H511" i="12"/>
  <c r="AJ152" i="12"/>
  <c r="AJ153" i="12"/>
  <c r="AJ154" i="12"/>
  <c r="AJ151" i="12"/>
  <c r="AJ155" i="12"/>
  <c r="AJ150" i="12"/>
  <c r="I397" i="12"/>
  <c r="I396" i="12"/>
  <c r="I394" i="12"/>
  <c r="I395" i="12"/>
  <c r="I398" i="12"/>
  <c r="H394" i="12"/>
  <c r="AC395" i="12"/>
  <c r="H398" i="12"/>
  <c r="AC394" i="12"/>
  <c r="H396" i="12"/>
  <c r="H397" i="12"/>
  <c r="H395" i="12"/>
  <c r="I100" i="12"/>
  <c r="I99" i="12"/>
  <c r="I96" i="12"/>
  <c r="I95" i="12"/>
  <c r="I102" i="12"/>
  <c r="I97" i="12"/>
  <c r="I101" i="12"/>
  <c r="I98" i="12"/>
  <c r="H100" i="12"/>
  <c r="H99" i="12"/>
  <c r="H98" i="12"/>
  <c r="H97" i="12"/>
  <c r="H95" i="12"/>
  <c r="H102" i="12"/>
  <c r="H101" i="12"/>
  <c r="H96" i="12"/>
  <c r="AJ414" i="12"/>
  <c r="AJ415" i="12"/>
  <c r="AJ417" i="12"/>
  <c r="AJ416" i="12"/>
  <c r="AK414" i="12"/>
  <c r="AK417" i="12"/>
  <c r="AK416" i="12"/>
  <c r="AK415" i="12"/>
  <c r="Z417" i="12"/>
  <c r="Z415" i="12"/>
  <c r="Z416" i="12"/>
  <c r="Z414" i="12"/>
  <c r="W417" i="12"/>
  <c r="W416" i="12"/>
  <c r="W414" i="12"/>
  <c r="W415" i="12"/>
  <c r="AI415" i="12"/>
  <c r="AI417" i="12"/>
  <c r="AI414" i="12"/>
  <c r="AI416" i="12"/>
  <c r="Y417" i="12"/>
  <c r="Y414" i="12"/>
  <c r="Y415" i="12"/>
  <c r="Y416" i="12"/>
  <c r="X416" i="12"/>
  <c r="X414" i="12"/>
  <c r="X417" i="12"/>
  <c r="X415" i="12"/>
  <c r="AA417" i="12"/>
  <c r="AA414" i="12"/>
  <c r="AA416" i="12"/>
  <c r="AA415" i="12"/>
  <c r="AL416" i="12"/>
  <c r="AL417" i="12"/>
  <c r="AL415" i="12"/>
  <c r="AL414" i="12"/>
  <c r="I610" i="12"/>
  <c r="I464" i="12"/>
  <c r="I463" i="12"/>
  <c r="I467" i="12"/>
  <c r="I461" i="12"/>
  <c r="I465" i="12"/>
  <c r="I466" i="12"/>
  <c r="I462" i="12"/>
  <c r="AC610" i="12"/>
  <c r="H465" i="12"/>
  <c r="H461" i="12"/>
  <c r="H463" i="12"/>
  <c r="H462" i="12"/>
  <c r="H464" i="12"/>
  <c r="H610" i="12"/>
  <c r="H466" i="12"/>
  <c r="H467" i="12"/>
  <c r="AC203" i="12"/>
  <c r="H203" i="12"/>
  <c r="H202" i="12"/>
  <c r="H204" i="12"/>
  <c r="I202" i="12"/>
  <c r="I203" i="12"/>
  <c r="I204" i="12"/>
  <c r="AC406" i="12"/>
  <c r="H403" i="12"/>
  <c r="H406" i="12"/>
  <c r="AC403" i="12"/>
  <c r="H405" i="12"/>
  <c r="H404" i="12"/>
  <c r="I405" i="12"/>
  <c r="I403" i="12"/>
  <c r="I404" i="12"/>
  <c r="I406" i="12"/>
  <c r="AC380" i="12"/>
  <c r="H380" i="12"/>
  <c r="H378" i="12"/>
  <c r="H377" i="12"/>
  <c r="H376" i="12"/>
  <c r="AC376" i="12"/>
  <c r="H379" i="12"/>
  <c r="W378" i="12"/>
  <c r="W377" i="12"/>
  <c r="W379" i="12"/>
  <c r="W376" i="12"/>
  <c r="W380" i="12"/>
  <c r="AA378" i="12"/>
  <c r="AA377" i="12"/>
  <c r="AA380" i="12"/>
  <c r="AA376" i="12"/>
  <c r="AA379" i="12"/>
  <c r="I376" i="12"/>
  <c r="I377" i="12"/>
  <c r="I378" i="12"/>
  <c r="I380" i="12"/>
  <c r="I379" i="12"/>
  <c r="AC148" i="12"/>
  <c r="H590" i="12"/>
  <c r="H144" i="12"/>
  <c r="H149" i="12"/>
  <c r="H148" i="12"/>
  <c r="H147" i="12"/>
  <c r="H146" i="12"/>
  <c r="H145" i="12"/>
  <c r="AC144" i="12"/>
  <c r="I148" i="12"/>
  <c r="I146" i="12"/>
  <c r="I145" i="12"/>
  <c r="I147" i="12"/>
  <c r="I144" i="12"/>
  <c r="I590" i="12"/>
  <c r="I149" i="12"/>
  <c r="AC601" i="12"/>
  <c r="H581" i="12"/>
  <c r="H580" i="12"/>
  <c r="H583" i="12"/>
  <c r="AC580" i="12"/>
  <c r="H601" i="12"/>
  <c r="H582" i="12"/>
  <c r="I580" i="12"/>
  <c r="I582" i="12"/>
  <c r="I583" i="12"/>
  <c r="I581" i="12"/>
  <c r="I601" i="12"/>
  <c r="K567" i="12"/>
  <c r="K566" i="12"/>
  <c r="K466" i="12"/>
  <c r="K477" i="12"/>
  <c r="K533" i="12"/>
  <c r="K568" i="12"/>
  <c r="K397" i="12"/>
  <c r="K463" i="12"/>
  <c r="K396" i="12"/>
  <c r="K433" i="12"/>
  <c r="K431" i="12"/>
  <c r="K429" i="12"/>
  <c r="K428" i="12"/>
  <c r="K530" i="12"/>
  <c r="K432" i="12"/>
  <c r="K181" i="12"/>
  <c r="K427" i="12"/>
  <c r="K503" i="12"/>
  <c r="K416" i="12"/>
  <c r="K408" i="12"/>
  <c r="K504" i="12"/>
  <c r="K417" i="12"/>
  <c r="K182" i="12"/>
  <c r="K398" i="12"/>
  <c r="K186" i="12"/>
  <c r="K183" i="12"/>
  <c r="K261" i="12"/>
  <c r="K259" i="12"/>
  <c r="K461" i="12"/>
  <c r="K508" i="12"/>
  <c r="K505" i="12"/>
  <c r="K531" i="12"/>
  <c r="K407" i="12"/>
  <c r="K479" i="12"/>
  <c r="K409" i="12"/>
  <c r="K480" i="12"/>
  <c r="K501" i="12"/>
  <c r="K565" i="12"/>
  <c r="K395" i="12"/>
  <c r="K500" i="12"/>
  <c r="K478" i="12"/>
  <c r="K430" i="12"/>
  <c r="K185" i="12"/>
  <c r="K184" i="12"/>
  <c r="K426" i="12"/>
  <c r="K425" i="12"/>
  <c r="K506" i="12"/>
  <c r="K415" i="12"/>
  <c r="K434" i="12"/>
  <c r="I184" i="12"/>
  <c r="I185" i="12"/>
  <c r="I186" i="12"/>
  <c r="K614" i="12"/>
  <c r="K609" i="12"/>
  <c r="K610" i="12"/>
  <c r="K467" i="12"/>
  <c r="K263" i="12"/>
  <c r="K262" i="12"/>
  <c r="K260" i="12"/>
  <c r="K462" i="12"/>
  <c r="K465" i="12"/>
  <c r="K502" i="12"/>
  <c r="K507" i="12"/>
  <c r="K532" i="12"/>
  <c r="K394" i="12"/>
  <c r="K414" i="12"/>
  <c r="K464" i="12"/>
  <c r="AC185" i="12"/>
  <c r="J477" i="12"/>
  <c r="J501" i="12"/>
  <c r="J508" i="12"/>
  <c r="J507" i="12"/>
  <c r="J505" i="12"/>
  <c r="J532" i="12"/>
  <c r="J531" i="12"/>
  <c r="J530" i="12"/>
  <c r="J398" i="12"/>
  <c r="J466" i="12"/>
  <c r="J500" i="12"/>
  <c r="J533" i="12"/>
  <c r="J433" i="12"/>
  <c r="J463" i="12"/>
  <c r="J503" i="12"/>
  <c r="J568" i="12"/>
  <c r="J567" i="12"/>
  <c r="J566" i="12"/>
  <c r="J565" i="12"/>
  <c r="J397" i="12"/>
  <c r="J396" i="12"/>
  <c r="J416" i="12"/>
  <c r="J434" i="12"/>
  <c r="J395" i="12"/>
  <c r="J415" i="12"/>
  <c r="J462" i="12"/>
  <c r="J461" i="12"/>
  <c r="J465" i="12"/>
  <c r="J480" i="12"/>
  <c r="J504" i="12"/>
  <c r="J502" i="12"/>
  <c r="J432" i="12"/>
  <c r="J506" i="12"/>
  <c r="J430" i="12"/>
  <c r="J429" i="12"/>
  <c r="J467" i="12"/>
  <c r="J184" i="12"/>
  <c r="J428" i="12"/>
  <c r="J431" i="12"/>
  <c r="J427" i="12"/>
  <c r="J426" i="12"/>
  <c r="J425" i="12"/>
  <c r="J185" i="12"/>
  <c r="J408" i="12"/>
  <c r="J182" i="12"/>
  <c r="J609" i="12"/>
  <c r="J614" i="12"/>
  <c r="J610" i="12"/>
  <c r="H186" i="12"/>
  <c r="H185" i="12"/>
  <c r="J409" i="12"/>
  <c r="J183" i="12"/>
  <c r="J464" i="12"/>
  <c r="AC184" i="12"/>
  <c r="H184" i="12"/>
  <c r="J417" i="12"/>
  <c r="J181" i="12"/>
  <c r="J186" i="12"/>
  <c r="J478" i="12"/>
  <c r="J263" i="12"/>
  <c r="J262" i="12"/>
  <c r="J261" i="12"/>
  <c r="J260" i="12"/>
  <c r="J259" i="12"/>
  <c r="J394" i="12"/>
  <c r="J414" i="12"/>
  <c r="J407" i="12"/>
  <c r="J479" i="12"/>
  <c r="AC446" i="12"/>
  <c r="H443" i="12"/>
  <c r="H449" i="12"/>
  <c r="H445" i="12"/>
  <c r="H440" i="12"/>
  <c r="H447" i="12"/>
  <c r="H444" i="12"/>
  <c r="AC439" i="12"/>
  <c r="H448" i="12"/>
  <c r="H439" i="12"/>
  <c r="H446" i="12"/>
  <c r="H441" i="12"/>
  <c r="H442" i="12"/>
  <c r="I441" i="12"/>
  <c r="I449" i="12"/>
  <c r="I448" i="12"/>
  <c r="I444" i="12"/>
  <c r="I443" i="12"/>
  <c r="I442" i="12"/>
  <c r="I447" i="12"/>
  <c r="I446" i="12"/>
  <c r="I439" i="12"/>
  <c r="I445" i="12"/>
  <c r="I440" i="12"/>
  <c r="AK167" i="12"/>
  <c r="AK165" i="12"/>
  <c r="AK163" i="12"/>
  <c r="AK164" i="12"/>
  <c r="AK166" i="12"/>
  <c r="AK162" i="12"/>
  <c r="AK161" i="12"/>
  <c r="AK168" i="12"/>
  <c r="X165" i="12"/>
  <c r="X168" i="12"/>
  <c r="X163" i="12"/>
  <c r="X162" i="12"/>
  <c r="X164" i="12"/>
  <c r="X166" i="12"/>
  <c r="X167" i="12"/>
  <c r="X161" i="12"/>
  <c r="AJ166" i="12"/>
  <c r="AJ168" i="12"/>
  <c r="AJ165" i="12"/>
  <c r="AJ164" i="12"/>
  <c r="AJ161" i="12"/>
  <c r="AJ162" i="12"/>
  <c r="AJ163" i="12"/>
  <c r="AJ167" i="12"/>
  <c r="AI167" i="12"/>
  <c r="AI162" i="12"/>
  <c r="AI165" i="12"/>
  <c r="AI168" i="12"/>
  <c r="AI163" i="12"/>
  <c r="AI166" i="12"/>
  <c r="AI164" i="12"/>
  <c r="AI161" i="12"/>
  <c r="AA163" i="12"/>
  <c r="AA161" i="12"/>
  <c r="AA165" i="12"/>
  <c r="AA168" i="12"/>
  <c r="AA166" i="12"/>
  <c r="AA162" i="12"/>
  <c r="AA167" i="12"/>
  <c r="AA164" i="12"/>
  <c r="AC165" i="12"/>
  <c r="H161" i="12"/>
  <c r="H165" i="12"/>
  <c r="H164" i="12"/>
  <c r="H167" i="12"/>
  <c r="AC164" i="12"/>
  <c r="H166" i="12"/>
  <c r="AC166" i="12"/>
  <c r="H163" i="12"/>
  <c r="AC161" i="12"/>
  <c r="H162" i="12"/>
  <c r="H168" i="12"/>
  <c r="I162" i="12"/>
  <c r="I167" i="12"/>
  <c r="I168" i="12"/>
  <c r="I161" i="12"/>
  <c r="I164" i="12"/>
  <c r="I163" i="12"/>
  <c r="I166" i="12"/>
  <c r="I165" i="12"/>
  <c r="Z164" i="12"/>
  <c r="Z162" i="12"/>
  <c r="Z165" i="12"/>
  <c r="Z161" i="12"/>
  <c r="Z167" i="12"/>
  <c r="Z168" i="12"/>
  <c r="Z163" i="12"/>
  <c r="Z166" i="12"/>
  <c r="AL161" i="12"/>
  <c r="AL165" i="12"/>
  <c r="AL167" i="12"/>
  <c r="AL168" i="12"/>
  <c r="AL163" i="12"/>
  <c r="AL166" i="12"/>
  <c r="AL164" i="12"/>
  <c r="AL162" i="12"/>
  <c r="W167" i="12"/>
  <c r="W162" i="12"/>
  <c r="W163" i="12"/>
  <c r="W168" i="12"/>
  <c r="W161" i="12"/>
  <c r="W165" i="12"/>
  <c r="W164" i="12"/>
  <c r="W166" i="12"/>
  <c r="H360" i="12"/>
  <c r="H361" i="12"/>
  <c r="H364" i="12"/>
  <c r="H363" i="12"/>
  <c r="H362" i="12"/>
  <c r="AC360" i="12"/>
  <c r="I360" i="12"/>
  <c r="I362" i="12"/>
  <c r="I361" i="12"/>
  <c r="I364" i="12"/>
  <c r="I363" i="12"/>
  <c r="H526" i="12"/>
  <c r="H529" i="12"/>
  <c r="H528" i="12"/>
  <c r="H527" i="12"/>
  <c r="I527" i="12"/>
  <c r="I528" i="12"/>
  <c r="I529" i="12"/>
  <c r="I526" i="12"/>
  <c r="H205" i="12"/>
  <c r="H207" i="12"/>
  <c r="H206" i="12"/>
  <c r="AC205" i="12"/>
  <c r="I205" i="12"/>
  <c r="I207" i="12"/>
  <c r="I206" i="12"/>
  <c r="AK206" i="12"/>
  <c r="AK205" i="12"/>
  <c r="AK207" i="12"/>
  <c r="I552" i="12"/>
  <c r="I550" i="12"/>
  <c r="I549" i="12"/>
  <c r="I554" i="12"/>
  <c r="I553" i="12"/>
  <c r="I551" i="12"/>
  <c r="AC550" i="12"/>
  <c r="AC549" i="12"/>
  <c r="H550" i="12"/>
  <c r="H553" i="12"/>
  <c r="H554" i="12"/>
  <c r="H552" i="12"/>
  <c r="H549" i="12"/>
  <c r="H551" i="12"/>
  <c r="K375" i="12"/>
  <c r="K352" i="12"/>
  <c r="K353" i="12"/>
  <c r="K354" i="12"/>
  <c r="I44" i="12"/>
  <c r="K372" i="12"/>
  <c r="K586" i="12"/>
  <c r="K587" i="12"/>
  <c r="K373" i="12"/>
  <c r="K374" i="12"/>
  <c r="W360" i="12"/>
  <c r="W364" i="12"/>
  <c r="W363" i="12"/>
  <c r="W362" i="12"/>
  <c r="W361" i="12"/>
  <c r="Z323" i="12"/>
  <c r="Z324" i="12"/>
  <c r="Z321" i="12"/>
  <c r="Z322" i="12"/>
  <c r="AK323" i="12"/>
  <c r="AK324" i="12"/>
  <c r="AK322" i="12"/>
  <c r="AK321" i="12"/>
  <c r="AM324" i="12"/>
  <c r="AM321" i="12"/>
  <c r="AM323" i="12"/>
  <c r="AM322" i="12"/>
  <c r="AA322" i="12"/>
  <c r="AA321" i="12"/>
  <c r="AA323" i="12"/>
  <c r="AA324" i="12"/>
  <c r="Y321" i="12"/>
  <c r="Y323" i="12"/>
  <c r="Y322" i="12"/>
  <c r="Y324" i="12"/>
  <c r="Z550" i="12"/>
  <c r="Z554" i="12"/>
  <c r="Z549" i="12"/>
  <c r="AA549" i="12"/>
  <c r="AA550" i="12"/>
  <c r="AA553" i="12"/>
  <c r="AA552" i="12"/>
  <c r="AA551" i="12"/>
  <c r="AA554" i="12"/>
  <c r="W391" i="12"/>
  <c r="W393" i="12"/>
  <c r="W390" i="12"/>
  <c r="W392" i="12"/>
  <c r="W189" i="12"/>
  <c r="W188" i="12"/>
  <c r="W191" i="12"/>
  <c r="W190" i="12"/>
  <c r="W187" i="12"/>
  <c r="AI189" i="12"/>
  <c r="AI191" i="12"/>
  <c r="AI190" i="12"/>
  <c r="AI188" i="12"/>
  <c r="AI187" i="12"/>
  <c r="AA191" i="12"/>
  <c r="AA188" i="12"/>
  <c r="AA190" i="12"/>
  <c r="AA187" i="12"/>
  <c r="AA189" i="12"/>
  <c r="AM191" i="12"/>
  <c r="AM187" i="12"/>
  <c r="AM189" i="12"/>
  <c r="AM188" i="12"/>
  <c r="AM190" i="12"/>
  <c r="I190" i="12"/>
  <c r="I191" i="12"/>
  <c r="I187" i="12"/>
  <c r="I188" i="12"/>
  <c r="I189" i="12"/>
  <c r="H191" i="12"/>
  <c r="H190" i="12"/>
  <c r="AC187" i="12"/>
  <c r="H188" i="12"/>
  <c r="H187" i="12"/>
  <c r="H189" i="12"/>
  <c r="Y189" i="12"/>
  <c r="Y188" i="12"/>
  <c r="Y190" i="12"/>
  <c r="Y191" i="12"/>
  <c r="Y187" i="12"/>
  <c r="AK190" i="12"/>
  <c r="AK187" i="12"/>
  <c r="AK191" i="12"/>
  <c r="AK189" i="12"/>
  <c r="AK188" i="12"/>
  <c r="AJ187" i="12"/>
  <c r="AJ191" i="12"/>
  <c r="AJ188" i="12"/>
  <c r="AJ189" i="12"/>
  <c r="AJ190" i="12"/>
  <c r="X188" i="12"/>
  <c r="X187" i="12"/>
  <c r="X191" i="12"/>
  <c r="X190" i="12"/>
  <c r="X189" i="12"/>
  <c r="Y362" i="12"/>
  <c r="Y360" i="12"/>
  <c r="Y364" i="12"/>
  <c r="Y361" i="12"/>
  <c r="Y363" i="12"/>
  <c r="X363" i="12"/>
  <c r="X362" i="12"/>
  <c r="X364" i="12"/>
  <c r="X360" i="12"/>
  <c r="AA360" i="12"/>
  <c r="AA364" i="12"/>
  <c r="AA363" i="12"/>
  <c r="AA362" i="12"/>
  <c r="AA361" i="12"/>
  <c r="AM364" i="12"/>
  <c r="AM363" i="12"/>
  <c r="AM362" i="12"/>
  <c r="AM361" i="12"/>
  <c r="AM360" i="12"/>
  <c r="AJ363" i="12"/>
  <c r="AJ361" i="12"/>
  <c r="AJ360" i="12"/>
  <c r="AJ362" i="12"/>
  <c r="AJ364" i="12"/>
  <c r="Z526" i="12"/>
  <c r="Z527" i="12"/>
  <c r="Z528" i="12"/>
  <c r="Z529" i="12"/>
  <c r="AM528" i="12"/>
  <c r="AM527" i="12"/>
  <c r="AM529" i="12"/>
  <c r="AM526" i="12"/>
  <c r="AJ526" i="12"/>
  <c r="AJ528" i="12"/>
  <c r="AJ529" i="12"/>
  <c r="AJ527" i="12"/>
  <c r="AK528" i="12"/>
  <c r="AK527" i="12"/>
  <c r="AK526" i="12"/>
  <c r="AK529" i="12"/>
  <c r="AL528" i="12"/>
  <c r="AL527" i="12"/>
  <c r="AL529" i="12"/>
  <c r="AL526" i="12"/>
  <c r="AA528" i="12"/>
  <c r="AA526" i="12"/>
  <c r="AA529" i="12"/>
  <c r="AA527" i="12"/>
  <c r="X526" i="12"/>
  <c r="X529" i="12"/>
  <c r="X527" i="12"/>
  <c r="X528" i="12"/>
  <c r="Y527" i="12"/>
  <c r="Y526" i="12"/>
  <c r="Y529" i="12"/>
  <c r="Y528" i="12"/>
  <c r="AI526" i="12"/>
  <c r="AI529" i="12"/>
  <c r="AI527" i="12"/>
  <c r="AI528" i="12"/>
  <c r="W528" i="12"/>
  <c r="W529" i="12"/>
  <c r="W527" i="12"/>
  <c r="W526" i="12"/>
  <c r="AJ195" i="12"/>
  <c r="AJ196" i="12"/>
  <c r="AJ198" i="12"/>
  <c r="AJ200" i="12"/>
  <c r="AJ197" i="12"/>
  <c r="AJ199" i="12"/>
  <c r="AJ201" i="12"/>
  <c r="W197" i="12"/>
  <c r="W196" i="12"/>
  <c r="W198" i="12"/>
  <c r="W195" i="12"/>
  <c r="W199" i="12"/>
  <c r="W201" i="12"/>
  <c r="W200" i="12"/>
  <c r="Y199" i="12"/>
  <c r="Y197" i="12"/>
  <c r="Y198" i="12"/>
  <c r="Y195" i="12"/>
  <c r="Y196" i="12"/>
  <c r="Y201" i="12"/>
  <c r="Y200" i="12"/>
  <c r="Z200" i="12"/>
  <c r="Z195" i="12"/>
  <c r="Z198" i="12"/>
  <c r="Z199" i="12"/>
  <c r="Z196" i="12"/>
  <c r="Z197" i="12"/>
  <c r="Z201" i="12"/>
  <c r="AI197" i="12"/>
  <c r="AI196" i="12"/>
  <c r="AI198" i="12"/>
  <c r="AI201" i="12"/>
  <c r="AI195" i="12"/>
  <c r="AI200" i="12"/>
  <c r="AI199" i="12"/>
  <c r="AK199" i="12"/>
  <c r="AK197" i="12"/>
  <c r="AK195" i="12"/>
  <c r="AK200" i="12"/>
  <c r="AK201" i="12"/>
  <c r="AK198" i="12"/>
  <c r="AK196" i="12"/>
  <c r="AA196" i="12"/>
  <c r="AA201" i="12"/>
  <c r="AA199" i="12"/>
  <c r="AA198" i="12"/>
  <c r="AA197" i="12"/>
  <c r="AA195" i="12"/>
  <c r="AA200" i="12"/>
  <c r="AM199" i="12"/>
  <c r="AM195" i="12"/>
  <c r="AM197" i="12"/>
  <c r="AM201" i="12"/>
  <c r="AM198" i="12"/>
  <c r="AM196" i="12"/>
  <c r="AM200" i="12"/>
  <c r="X200" i="12"/>
  <c r="X196" i="12"/>
  <c r="X197" i="12"/>
  <c r="X199" i="12"/>
  <c r="X198" i="12"/>
  <c r="X201" i="12"/>
  <c r="X195" i="12"/>
  <c r="AL195" i="12"/>
  <c r="AL201" i="12"/>
  <c r="AL200" i="12"/>
  <c r="AL198" i="12"/>
  <c r="AL197" i="12"/>
  <c r="AL196" i="12"/>
  <c r="AL199" i="12"/>
  <c r="AJ568" i="12"/>
  <c r="AJ565" i="12"/>
  <c r="AJ567" i="12"/>
  <c r="AJ566" i="12"/>
  <c r="AA567" i="12"/>
  <c r="AA566" i="12"/>
  <c r="AA568" i="12"/>
  <c r="AA565" i="12"/>
  <c r="AL565" i="12"/>
  <c r="AL567" i="12"/>
  <c r="AL568" i="12"/>
  <c r="AL566" i="12"/>
  <c r="X567" i="12"/>
  <c r="X568" i="12"/>
  <c r="X565" i="12"/>
  <c r="X566" i="12"/>
  <c r="Y567" i="12"/>
  <c r="Y566" i="12"/>
  <c r="Y568" i="12"/>
  <c r="Y565" i="12"/>
  <c r="AK567" i="12"/>
  <c r="AK568" i="12"/>
  <c r="AK566" i="12"/>
  <c r="AK565" i="12"/>
  <c r="AM566" i="12"/>
  <c r="AM568" i="12"/>
  <c r="AM565" i="12"/>
  <c r="AM567" i="12"/>
  <c r="AI565" i="12"/>
  <c r="AI567" i="12"/>
  <c r="AI566" i="12"/>
  <c r="AI568" i="12"/>
  <c r="W566" i="12"/>
  <c r="W567" i="12"/>
  <c r="W565" i="12"/>
  <c r="W568" i="12"/>
  <c r="Z568" i="12"/>
  <c r="Z565" i="12"/>
  <c r="Z566" i="12"/>
  <c r="Z567" i="12"/>
  <c r="AJ207" i="12"/>
  <c r="AJ206" i="12"/>
  <c r="AJ205" i="12"/>
  <c r="AL207" i="12"/>
  <c r="AL206" i="12"/>
  <c r="AL205" i="12"/>
  <c r="W207" i="12"/>
  <c r="W206" i="12"/>
  <c r="W205" i="12"/>
  <c r="Z206" i="12"/>
  <c r="Z207" i="12"/>
  <c r="Z205" i="12"/>
  <c r="AA206" i="12"/>
  <c r="AA207" i="12"/>
  <c r="AA205" i="12"/>
  <c r="Y205" i="12"/>
  <c r="Y206" i="12"/>
  <c r="Y207" i="12"/>
  <c r="AM205" i="12"/>
  <c r="AM206" i="12"/>
  <c r="AM207" i="12"/>
  <c r="X205" i="12"/>
  <c r="X207" i="12"/>
  <c r="X206" i="12"/>
  <c r="AI205" i="12"/>
  <c r="AI207" i="12"/>
  <c r="AI206" i="12"/>
  <c r="AA473" i="12"/>
  <c r="AA595" i="12"/>
  <c r="AA475" i="12"/>
  <c r="AA468" i="12"/>
  <c r="AA474" i="12"/>
  <c r="AA471" i="12"/>
  <c r="AA476" i="12"/>
  <c r="AA611" i="12"/>
  <c r="AA597" i="12"/>
  <c r="AA472" i="12"/>
  <c r="AA469" i="12"/>
  <c r="AA596" i="12"/>
  <c r="AA470" i="12"/>
  <c r="AA598" i="12"/>
  <c r="Y475" i="12"/>
  <c r="Y471" i="12"/>
  <c r="Y476" i="12"/>
  <c r="Y472" i="12"/>
  <c r="Y470" i="12"/>
  <c r="Y598" i="12"/>
  <c r="Y595" i="12"/>
  <c r="Y597" i="12"/>
  <c r="Y596" i="12"/>
  <c r="Y611" i="12"/>
  <c r="Y473" i="12"/>
  <c r="Y468" i="12"/>
  <c r="Y474" i="12"/>
  <c r="Y469" i="12"/>
  <c r="AI476" i="12"/>
  <c r="AI473" i="12"/>
  <c r="AI472" i="12"/>
  <c r="AI470" i="12"/>
  <c r="AI475" i="12"/>
  <c r="AI468" i="12"/>
  <c r="AI595" i="12"/>
  <c r="AI597" i="12"/>
  <c r="AI596" i="12"/>
  <c r="AI611" i="12"/>
  <c r="AI474" i="12"/>
  <c r="AI469" i="12"/>
  <c r="AI471" i="12"/>
  <c r="AI598" i="12"/>
  <c r="Z470" i="12"/>
  <c r="Z475" i="12"/>
  <c r="Z468" i="12"/>
  <c r="Z472" i="12"/>
  <c r="Z474" i="12"/>
  <c r="Z611" i="12"/>
  <c r="Z598" i="12"/>
  <c r="Z595" i="12"/>
  <c r="Z596" i="12"/>
  <c r="Z469" i="12"/>
  <c r="Z476" i="12"/>
  <c r="Z597" i="12"/>
  <c r="Z471" i="12"/>
  <c r="Z473" i="12"/>
  <c r="AL470" i="12"/>
  <c r="AL598" i="12"/>
  <c r="AL597" i="12"/>
  <c r="AL595" i="12"/>
  <c r="AL596" i="12"/>
  <c r="AL611" i="12"/>
  <c r="AL475" i="12"/>
  <c r="AL471" i="12"/>
  <c r="AL468" i="12"/>
  <c r="AL476" i="12"/>
  <c r="AL472" i="12"/>
  <c r="AL473" i="12"/>
  <c r="AL469" i="12"/>
  <c r="AL474" i="12"/>
  <c r="W597" i="12"/>
  <c r="W476" i="12"/>
  <c r="W468" i="12"/>
  <c r="W470" i="12"/>
  <c r="W472" i="12"/>
  <c r="W475" i="12"/>
  <c r="W474" i="12"/>
  <c r="W595" i="12"/>
  <c r="W598" i="12"/>
  <c r="W596" i="12"/>
  <c r="W611" i="12"/>
  <c r="W471" i="12"/>
  <c r="W469" i="12"/>
  <c r="W473" i="12"/>
  <c r="AJ469" i="12"/>
  <c r="AJ597" i="12"/>
  <c r="AJ598" i="12"/>
  <c r="AJ595" i="12"/>
  <c r="AJ596" i="12"/>
  <c r="AJ611" i="12"/>
  <c r="AJ473" i="12"/>
  <c r="AJ476" i="12"/>
  <c r="AJ470" i="12"/>
  <c r="AJ471" i="12"/>
  <c r="AJ472" i="12"/>
  <c r="AJ475" i="12"/>
  <c r="AJ468" i="12"/>
  <c r="AJ474" i="12"/>
  <c r="AK469" i="12"/>
  <c r="AK595" i="12"/>
  <c r="AK598" i="12"/>
  <c r="AK597" i="12"/>
  <c r="AK596" i="12"/>
  <c r="AK611" i="12"/>
  <c r="AK470" i="12"/>
  <c r="AK471" i="12"/>
  <c r="AK475" i="12"/>
  <c r="AK473" i="12"/>
  <c r="AK476" i="12"/>
  <c r="AK468" i="12"/>
  <c r="AK474" i="12"/>
  <c r="AK472" i="12"/>
  <c r="AM474" i="12"/>
  <c r="AM472" i="12"/>
  <c r="AM475" i="12"/>
  <c r="AM468" i="12"/>
  <c r="AM470" i="12"/>
  <c r="AM595" i="12"/>
  <c r="AM469" i="12"/>
  <c r="AM598" i="12"/>
  <c r="AM471" i="12"/>
  <c r="AM596" i="12"/>
  <c r="AM611" i="12"/>
  <c r="AM473" i="12"/>
  <c r="AM597" i="12"/>
  <c r="AM476" i="12"/>
  <c r="X597" i="12"/>
  <c r="X598" i="12"/>
  <c r="X596" i="12"/>
  <c r="X468" i="12"/>
  <c r="X475" i="12"/>
  <c r="X473" i="12"/>
  <c r="X469" i="12"/>
  <c r="X470" i="12"/>
  <c r="X476" i="12"/>
  <c r="X472" i="12"/>
  <c r="X471" i="12"/>
  <c r="X611" i="12"/>
  <c r="X595" i="12"/>
  <c r="X474" i="12"/>
  <c r="W289" i="12"/>
  <c r="W287" i="12"/>
  <c r="W288" i="12"/>
  <c r="W286" i="12"/>
  <c r="AA289" i="12"/>
  <c r="AA288" i="12"/>
  <c r="AA287" i="12"/>
  <c r="AA286" i="12"/>
  <c r="AL288" i="12"/>
  <c r="AL289" i="12"/>
  <c r="AL287" i="12"/>
  <c r="AL286" i="12"/>
  <c r="AK287" i="12"/>
  <c r="AK289" i="12"/>
  <c r="AK286" i="12"/>
  <c r="AK288" i="12"/>
  <c r="AM287" i="12"/>
  <c r="AM288" i="12"/>
  <c r="AM289" i="12"/>
  <c r="AM286" i="12"/>
  <c r="AI288" i="12"/>
  <c r="AI286" i="12"/>
  <c r="AI289" i="12"/>
  <c r="AI287" i="12"/>
  <c r="X288" i="12"/>
  <c r="X289" i="12"/>
  <c r="X287" i="12"/>
  <c r="X286" i="12"/>
  <c r="AJ289" i="12"/>
  <c r="AJ288" i="12"/>
  <c r="AJ287" i="12"/>
  <c r="AJ286" i="12"/>
  <c r="Z286" i="12"/>
  <c r="Z288" i="12"/>
  <c r="Z289" i="12"/>
  <c r="Z287" i="12"/>
  <c r="Y286" i="12"/>
  <c r="Y289" i="12"/>
  <c r="Y288" i="12"/>
  <c r="Y287" i="12"/>
  <c r="AI592" i="12"/>
  <c r="AI334" i="12"/>
  <c r="AI333" i="12"/>
  <c r="AI335" i="12"/>
  <c r="X333" i="12"/>
  <c r="X335" i="12"/>
  <c r="X334" i="12"/>
  <c r="X592" i="12"/>
  <c r="Y334" i="12"/>
  <c r="Y335" i="12"/>
  <c r="Y333" i="12"/>
  <c r="Y592" i="12"/>
  <c r="AA334" i="12"/>
  <c r="AA335" i="12"/>
  <c r="AA592" i="12"/>
  <c r="AA333" i="12"/>
  <c r="AK334" i="12"/>
  <c r="AK592" i="12"/>
  <c r="AK333" i="12"/>
  <c r="AK335" i="12"/>
  <c r="Z333" i="12"/>
  <c r="Z334" i="12"/>
  <c r="Z592" i="12"/>
  <c r="Z335" i="12"/>
  <c r="AJ333" i="12"/>
  <c r="AJ335" i="12"/>
  <c r="AJ592" i="12"/>
  <c r="AJ334" i="12"/>
  <c r="AL334" i="12"/>
  <c r="AL333" i="12"/>
  <c r="AL592" i="12"/>
  <c r="AL335" i="12"/>
  <c r="Z217" i="12"/>
  <c r="Z219" i="12"/>
  <c r="Z218" i="12"/>
  <c r="Z215" i="12"/>
  <c r="Z216" i="12"/>
  <c r="AI217" i="12"/>
  <c r="AI218" i="12"/>
  <c r="AI216" i="12"/>
  <c r="AI215" i="12"/>
  <c r="AI219" i="12"/>
  <c r="AL215" i="12"/>
  <c r="AL216" i="12"/>
  <c r="AL218" i="12"/>
  <c r="AL219" i="12"/>
  <c r="AL217" i="12"/>
  <c r="X217" i="12"/>
  <c r="X216" i="12"/>
  <c r="X215" i="12"/>
  <c r="X219" i="12"/>
  <c r="X218" i="12"/>
  <c r="W218" i="12"/>
  <c r="W217" i="12"/>
  <c r="W216" i="12"/>
  <c r="W219" i="12"/>
  <c r="W215" i="12"/>
  <c r="AA215" i="12"/>
  <c r="AA216" i="12"/>
  <c r="AA218" i="12"/>
  <c r="AA219" i="12"/>
  <c r="AA217" i="12"/>
  <c r="AM218" i="12"/>
  <c r="AM219" i="12"/>
  <c r="AM215" i="12"/>
  <c r="AM217" i="12"/>
  <c r="AM216" i="12"/>
  <c r="AJ218" i="12"/>
  <c r="AJ216" i="12"/>
  <c r="AJ217" i="12"/>
  <c r="AJ219" i="12"/>
  <c r="AJ215" i="12"/>
  <c r="Y218" i="12"/>
  <c r="Y216" i="12"/>
  <c r="Y217" i="12"/>
  <c r="Y219" i="12"/>
  <c r="Y215" i="12"/>
  <c r="AK215" i="12"/>
  <c r="AK218" i="12"/>
  <c r="AK219" i="12"/>
  <c r="AK217" i="12"/>
  <c r="I215" i="12"/>
  <c r="I218" i="12"/>
  <c r="I217" i="12"/>
  <c r="I216" i="12"/>
  <c r="I219" i="12"/>
  <c r="H216" i="12"/>
  <c r="H217" i="12"/>
  <c r="AC215" i="12"/>
  <c r="H218" i="12"/>
  <c r="H215" i="12"/>
  <c r="H219" i="12"/>
  <c r="AL189" i="12"/>
  <c r="AL191" i="12"/>
  <c r="AL190" i="12"/>
  <c r="AL187" i="12"/>
  <c r="Z189" i="12"/>
  <c r="Z191" i="12"/>
  <c r="Z187" i="12"/>
  <c r="Z188" i="12"/>
  <c r="Z190" i="12"/>
  <c r="W554" i="12"/>
  <c r="W552" i="12"/>
  <c r="W550" i="12"/>
  <c r="W551" i="12"/>
  <c r="W549" i="12"/>
  <c r="W553" i="12"/>
  <c r="AM552" i="12"/>
  <c r="AM549" i="12"/>
  <c r="AM554" i="12"/>
  <c r="AM551" i="12"/>
  <c r="AM553" i="12"/>
  <c r="AM550" i="12"/>
  <c r="AI553" i="12"/>
  <c r="AI552" i="12"/>
  <c r="AI550" i="12"/>
  <c r="AI549" i="12"/>
  <c r="AI554" i="12"/>
  <c r="AI551" i="12"/>
  <c r="AJ551" i="12"/>
  <c r="AJ550" i="12"/>
  <c r="AJ549" i="12"/>
  <c r="AJ554" i="12"/>
  <c r="AJ553" i="12"/>
  <c r="AJ552" i="12"/>
  <c r="X554" i="12"/>
  <c r="X553" i="12"/>
  <c r="X551" i="12"/>
  <c r="X552" i="12"/>
  <c r="X549" i="12"/>
  <c r="X550" i="12"/>
  <c r="AK551" i="12"/>
  <c r="AK553" i="12"/>
  <c r="AK550" i="12"/>
  <c r="AK552" i="12"/>
  <c r="AK554" i="12"/>
  <c r="AK549" i="12"/>
  <c r="Y550" i="12"/>
  <c r="Y553" i="12"/>
  <c r="Y552" i="12"/>
  <c r="Y554" i="12"/>
  <c r="Y551" i="12"/>
  <c r="Y549" i="12"/>
  <c r="Z553" i="12"/>
  <c r="Z552" i="12"/>
  <c r="Z551" i="12"/>
  <c r="AL551" i="12"/>
  <c r="AL554" i="12"/>
  <c r="AL549" i="12"/>
  <c r="AL550" i="12"/>
  <c r="AL553" i="12"/>
  <c r="AL552" i="12"/>
  <c r="W348" i="12"/>
  <c r="W349" i="12"/>
  <c r="W351" i="12"/>
  <c r="W350" i="12"/>
  <c r="AK351" i="12"/>
  <c r="AK350" i="12"/>
  <c r="AK348" i="12"/>
  <c r="AK349" i="12"/>
  <c r="I567" i="12"/>
  <c r="I568" i="12"/>
  <c r="I565" i="12"/>
  <c r="I566" i="12"/>
  <c r="AC567" i="12"/>
  <c r="H567" i="12"/>
  <c r="H568" i="12"/>
  <c r="H566" i="12"/>
  <c r="H565" i="12"/>
  <c r="Y442" i="12"/>
  <c r="Y441" i="12"/>
  <c r="Y444" i="12"/>
  <c r="Y440" i="12"/>
  <c r="Y449" i="12"/>
  <c r="AK440" i="12"/>
  <c r="AK448" i="12"/>
  <c r="AK443" i="12"/>
  <c r="AK447" i="12"/>
  <c r="AK441" i="12"/>
  <c r="AK445" i="12"/>
  <c r="AK444" i="12"/>
  <c r="AK439" i="12"/>
  <c r="AK442" i="12"/>
  <c r="AK446" i="12"/>
  <c r="AK449" i="12"/>
  <c r="X439" i="12"/>
  <c r="X442" i="12"/>
  <c r="X446" i="12"/>
  <c r="X445" i="12"/>
  <c r="X441" i="12"/>
  <c r="X449" i="12"/>
  <c r="X440" i="12"/>
  <c r="X443" i="12"/>
  <c r="X447" i="12"/>
  <c r="X444" i="12"/>
  <c r="X448" i="12"/>
  <c r="AJ448" i="12"/>
  <c r="AJ447" i="12"/>
  <c r="AJ445" i="12"/>
  <c r="AJ443" i="12"/>
  <c r="AJ440" i="12"/>
  <c r="AJ442" i="12"/>
  <c r="AJ439" i="12"/>
  <c r="AJ446" i="12"/>
  <c r="AJ449" i="12"/>
  <c r="AJ441" i="12"/>
  <c r="AJ444" i="12"/>
  <c r="W447" i="12"/>
  <c r="W443" i="12"/>
  <c r="W442" i="12"/>
  <c r="W440" i="12"/>
  <c r="W445" i="12"/>
  <c r="W439" i="12"/>
  <c r="W444" i="12"/>
  <c r="W449" i="12"/>
  <c r="W441" i="12"/>
  <c r="W448" i="12"/>
  <c r="W446" i="12"/>
  <c r="AM442" i="12"/>
  <c r="AM445" i="12"/>
  <c r="AM449" i="12"/>
  <c r="AM444" i="12"/>
  <c r="AM447" i="12"/>
  <c r="AM448" i="12"/>
  <c r="AM441" i="12"/>
  <c r="AM439" i="12"/>
  <c r="AM443" i="12"/>
  <c r="AM440" i="12"/>
  <c r="AM446" i="12"/>
  <c r="AA445" i="12"/>
  <c r="AA440" i="12"/>
  <c r="AA441" i="12"/>
  <c r="AA442" i="12"/>
  <c r="AA443" i="12"/>
  <c r="AA447" i="12"/>
  <c r="AA444" i="12"/>
  <c r="AA439" i="12"/>
  <c r="AA448" i="12"/>
  <c r="AA446" i="12"/>
  <c r="AA449" i="12"/>
  <c r="H336" i="12"/>
  <c r="H340" i="12"/>
  <c r="H337" i="12"/>
  <c r="H341" i="12"/>
  <c r="AC336" i="12"/>
  <c r="H339" i="12"/>
  <c r="H338" i="12"/>
  <c r="X338" i="12"/>
  <c r="X339" i="12"/>
  <c r="X340" i="12"/>
  <c r="X341" i="12"/>
  <c r="X336" i="12"/>
  <c r="X337" i="12"/>
  <c r="AL336" i="12"/>
  <c r="AL337" i="12"/>
  <c r="AL339" i="12"/>
  <c r="AL338" i="12"/>
  <c r="AL341" i="12"/>
  <c r="AL340" i="12"/>
  <c r="Z338" i="12"/>
  <c r="Z336" i="12"/>
  <c r="Z340" i="12"/>
  <c r="Z341" i="12"/>
  <c r="Z339" i="12"/>
  <c r="Z337" i="12"/>
  <c r="I338" i="12"/>
  <c r="I339" i="12"/>
  <c r="I340" i="12"/>
  <c r="I341" i="12"/>
  <c r="I336" i="12"/>
  <c r="I337" i="12"/>
  <c r="AK338" i="12"/>
  <c r="AK341" i="12"/>
  <c r="AK336" i="12"/>
  <c r="AK339" i="12"/>
  <c r="AK337" i="12"/>
  <c r="AK340" i="12"/>
  <c r="H201" i="12"/>
  <c r="H199" i="12"/>
  <c r="H198" i="12"/>
  <c r="H197" i="12"/>
  <c r="H196" i="12"/>
  <c r="H195" i="12"/>
  <c r="H200" i="12"/>
  <c r="I196" i="12"/>
  <c r="I201" i="12"/>
  <c r="I197" i="12"/>
  <c r="I200" i="12"/>
  <c r="I199" i="12"/>
  <c r="I198" i="12"/>
  <c r="I195" i="12"/>
  <c r="W337" i="12"/>
  <c r="W338" i="12"/>
  <c r="W341" i="12"/>
  <c r="W336" i="12"/>
  <c r="W339" i="12"/>
  <c r="X355" i="12"/>
  <c r="X358" i="12"/>
  <c r="X357" i="12"/>
  <c r="X356" i="12"/>
  <c r="X359" i="12"/>
  <c r="Y358" i="12"/>
  <c r="Y355" i="12"/>
  <c r="Y359" i="12"/>
  <c r="Y357" i="12"/>
  <c r="Y356" i="12"/>
  <c r="AJ356" i="12"/>
  <c r="AJ359" i="12"/>
  <c r="AJ357" i="12"/>
  <c r="AJ355" i="12"/>
  <c r="AJ358" i="12"/>
  <c r="AM357" i="12"/>
  <c r="AM355" i="12"/>
  <c r="AM356" i="12"/>
  <c r="AM359" i="12"/>
  <c r="AM358" i="12"/>
  <c r="Z355" i="12"/>
  <c r="Z359" i="12"/>
  <c r="Z356" i="12"/>
  <c r="Z358" i="12"/>
  <c r="Z357" i="12"/>
  <c r="W357" i="12"/>
  <c r="W359" i="12"/>
  <c r="W356" i="12"/>
  <c r="W355" i="12"/>
  <c r="W358" i="12"/>
  <c r="AA357" i="12"/>
  <c r="AA359" i="12"/>
  <c r="AA355" i="12"/>
  <c r="AA356" i="12"/>
  <c r="AA358" i="12"/>
  <c r="AL358" i="12"/>
  <c r="AL355" i="12"/>
  <c r="AL356" i="12"/>
  <c r="AL357" i="12"/>
  <c r="AL359" i="12"/>
  <c r="AK359" i="12"/>
  <c r="AK355" i="12"/>
  <c r="AK356" i="12"/>
  <c r="AK357" i="12"/>
  <c r="AK358" i="12"/>
  <c r="AI356" i="12"/>
  <c r="AI357" i="12"/>
  <c r="AI355" i="12"/>
  <c r="AI358" i="12"/>
  <c r="AI359" i="12"/>
  <c r="H359" i="12"/>
  <c r="H357" i="12"/>
  <c r="H355" i="12"/>
  <c r="H358" i="12"/>
  <c r="H356" i="12"/>
  <c r="I355" i="12"/>
  <c r="I357" i="12"/>
  <c r="I358" i="12"/>
  <c r="I356" i="12"/>
  <c r="I359" i="12"/>
  <c r="AJ131" i="12"/>
  <c r="AJ132" i="12"/>
  <c r="AJ127" i="12"/>
  <c r="AJ128" i="12"/>
  <c r="AJ126" i="12"/>
  <c r="AJ130" i="12"/>
  <c r="AJ129" i="12"/>
  <c r="W132" i="12"/>
  <c r="W127" i="12"/>
  <c r="W130" i="12"/>
  <c r="W131" i="12"/>
  <c r="W128" i="12"/>
  <c r="W129" i="12"/>
  <c r="W126" i="12"/>
  <c r="AI131" i="12"/>
  <c r="AI132" i="12"/>
  <c r="AI128" i="12"/>
  <c r="AI130" i="12"/>
  <c r="AI129" i="12"/>
  <c r="AI127" i="12"/>
  <c r="AI126" i="12"/>
  <c r="AK128" i="12"/>
  <c r="AK126" i="12"/>
  <c r="AK129" i="12"/>
  <c r="AK131" i="12"/>
  <c r="AK130" i="12"/>
  <c r="AK127" i="12"/>
  <c r="AK132" i="12"/>
  <c r="AA126" i="12"/>
  <c r="AA131" i="12"/>
  <c r="AA129" i="12"/>
  <c r="AA128" i="12"/>
  <c r="AA130" i="12"/>
  <c r="AA127" i="12"/>
  <c r="AA132" i="12"/>
  <c r="AL130" i="12"/>
  <c r="AL129" i="12"/>
  <c r="AL131" i="12"/>
  <c r="AL126" i="12"/>
  <c r="AL128" i="12"/>
  <c r="AL127" i="12"/>
  <c r="AL132" i="12"/>
  <c r="Z130" i="12"/>
  <c r="Z131" i="12"/>
  <c r="Z129" i="12"/>
  <c r="Z132" i="12"/>
  <c r="Z126" i="12"/>
  <c r="Z128" i="12"/>
  <c r="Z127" i="12"/>
  <c r="AC130" i="12"/>
  <c r="H128" i="12"/>
  <c r="H132" i="12"/>
  <c r="H129" i="12"/>
  <c r="H127" i="12"/>
  <c r="H130" i="12"/>
  <c r="H131" i="12"/>
  <c r="AC126" i="12"/>
  <c r="H126" i="12"/>
  <c r="I129" i="12"/>
  <c r="I131" i="12"/>
  <c r="I128" i="12"/>
  <c r="I132" i="12"/>
  <c r="I127" i="12"/>
  <c r="I130" i="12"/>
  <c r="I126" i="12"/>
  <c r="AM126" i="12"/>
  <c r="AM129" i="12"/>
  <c r="AM131" i="12"/>
  <c r="AM132" i="12"/>
  <c r="AM128" i="12"/>
  <c r="AM127" i="12"/>
  <c r="AM130" i="12"/>
  <c r="Y128" i="12"/>
  <c r="Y126" i="12"/>
  <c r="Y127" i="12"/>
  <c r="Y129" i="12"/>
  <c r="Y130" i="12"/>
  <c r="Y132" i="12"/>
  <c r="Y131" i="12"/>
  <c r="X131" i="12"/>
  <c r="X132" i="12"/>
  <c r="X129" i="12"/>
  <c r="X130" i="12"/>
  <c r="X126" i="12"/>
  <c r="X127" i="12"/>
  <c r="X128" i="12"/>
  <c r="AL261" i="12"/>
  <c r="AL260" i="12"/>
  <c r="AL262" i="12"/>
  <c r="AL263" i="12"/>
  <c r="AL259" i="12"/>
  <c r="AI260" i="12"/>
  <c r="AI263" i="12"/>
  <c r="AI259" i="12"/>
  <c r="AI262" i="12"/>
  <c r="AI261" i="12"/>
  <c r="AA261" i="12"/>
  <c r="AA260" i="12"/>
  <c r="AA263" i="12"/>
  <c r="AA259" i="12"/>
  <c r="AA262" i="12"/>
  <c r="Y259" i="12"/>
  <c r="Y260" i="12"/>
  <c r="Y261" i="12"/>
  <c r="Y262" i="12"/>
  <c r="Y263" i="12"/>
  <c r="X261" i="12"/>
  <c r="X262" i="12"/>
  <c r="X263" i="12"/>
  <c r="X260" i="12"/>
  <c r="X259" i="12"/>
  <c r="AJ261" i="12"/>
  <c r="AJ262" i="12"/>
  <c r="AJ263" i="12"/>
  <c r="AJ260" i="12"/>
  <c r="AJ259" i="12"/>
  <c r="Z261" i="12"/>
  <c r="Z259" i="12"/>
  <c r="Z262" i="12"/>
  <c r="Z260" i="12"/>
  <c r="Z263" i="12"/>
  <c r="AK260" i="12"/>
  <c r="AK262" i="12"/>
  <c r="AK263" i="12"/>
  <c r="AK261" i="12"/>
  <c r="AK259" i="12"/>
  <c r="W263" i="12"/>
  <c r="W260" i="12"/>
  <c r="W259" i="12"/>
  <c r="W261" i="12"/>
  <c r="W262" i="12"/>
  <c r="AM263" i="12"/>
  <c r="AM261" i="12"/>
  <c r="AM260" i="12"/>
  <c r="AM262" i="12"/>
  <c r="AM259" i="12"/>
  <c r="Z235" i="12"/>
  <c r="Z585" i="12"/>
  <c r="Z602" i="12"/>
  <c r="Z234" i="12"/>
  <c r="Z236" i="12"/>
  <c r="Z233" i="12"/>
  <c r="Z237" i="12"/>
  <c r="Z603" i="12"/>
  <c r="Z232" i="12"/>
  <c r="AK234" i="12"/>
  <c r="AK233" i="12"/>
  <c r="AK585" i="12"/>
  <c r="AK232" i="12"/>
  <c r="AK236" i="12"/>
  <c r="AK237" i="12"/>
  <c r="AK603" i="12"/>
  <c r="AK602" i="12"/>
  <c r="AK235" i="12"/>
  <c r="AC233" i="12"/>
  <c r="H585" i="12"/>
  <c r="H602" i="12"/>
  <c r="H236" i="12"/>
  <c r="H234" i="12"/>
  <c r="H603" i="12"/>
  <c r="H233" i="12"/>
  <c r="H237" i="12"/>
  <c r="H232" i="12"/>
  <c r="H235" i="12"/>
  <c r="I232" i="12"/>
  <c r="I233" i="12"/>
  <c r="I585" i="12"/>
  <c r="I235" i="12"/>
  <c r="I237" i="12"/>
  <c r="I234" i="12"/>
  <c r="I602" i="12"/>
  <c r="I603" i="12"/>
  <c r="I236" i="12"/>
  <c r="Y237" i="12"/>
  <c r="Y236" i="12"/>
  <c r="Y585" i="12"/>
  <c r="Y603" i="12"/>
  <c r="Y602" i="12"/>
  <c r="Y234" i="12"/>
  <c r="Y235" i="12"/>
  <c r="X602" i="12"/>
  <c r="X585" i="12"/>
  <c r="X237" i="12"/>
  <c r="X233" i="12"/>
  <c r="X236" i="12"/>
  <c r="X232" i="12"/>
  <c r="X234" i="12"/>
  <c r="X235" i="12"/>
  <c r="X603" i="12"/>
  <c r="AI232" i="12"/>
  <c r="AI603" i="12"/>
  <c r="AI234" i="12"/>
  <c r="AI585" i="12"/>
  <c r="AI237" i="12"/>
  <c r="AI602" i="12"/>
  <c r="AI235" i="12"/>
  <c r="AI233" i="12"/>
  <c r="AI236" i="12"/>
  <c r="AL232" i="12"/>
  <c r="AL237" i="12"/>
  <c r="AL234" i="12"/>
  <c r="AL233" i="12"/>
  <c r="AL602" i="12"/>
  <c r="AL235" i="12"/>
  <c r="AL585" i="12"/>
  <c r="AL236" i="12"/>
  <c r="AL603" i="12"/>
  <c r="W232" i="12"/>
  <c r="W602" i="12"/>
  <c r="W585" i="12"/>
  <c r="W234" i="12"/>
  <c r="W237" i="12"/>
  <c r="W233" i="12"/>
  <c r="W235" i="12"/>
  <c r="W603" i="12"/>
  <c r="W236" i="12"/>
  <c r="W324" i="12"/>
  <c r="W323" i="12"/>
  <c r="W321" i="12"/>
  <c r="W322" i="12"/>
  <c r="I322" i="12"/>
  <c r="I321" i="12"/>
  <c r="I324" i="12"/>
  <c r="I323" i="12"/>
  <c r="AC322" i="12"/>
  <c r="H324" i="12"/>
  <c r="H323" i="12"/>
  <c r="H321" i="12"/>
  <c r="H322" i="12"/>
  <c r="A2" i="10"/>
  <c r="F26" i="11" a="1"/>
  <c r="G4" i="12"/>
  <c r="AP20" i="12" s="1" a="1"/>
  <c r="A2" i="11"/>
  <c r="F20" i="11" a="1"/>
  <c r="C20" i="11" a="1"/>
  <c r="B20" i="11" a="1"/>
  <c r="D20" i="11" a="1"/>
  <c r="E20" i="11" a="1"/>
  <c r="E26" i="11" a="1"/>
  <c r="B26" i="11" a="1"/>
  <c r="C26" i="11" a="1"/>
  <c r="C27" i="11" s="1"/>
  <c r="D26" i="11" a="1"/>
  <c r="D27" i="11" s="1"/>
  <c r="W122" i="12"/>
  <c r="W120" i="12"/>
  <c r="W114" i="12"/>
  <c r="W119" i="12"/>
  <c r="W116" i="12"/>
  <c r="W115" i="12"/>
  <c r="W121" i="12"/>
  <c r="W117" i="12"/>
  <c r="W118" i="12"/>
  <c r="W113" i="12"/>
  <c r="K251" i="12"/>
  <c r="K127" i="12"/>
  <c r="K132" i="12"/>
  <c r="K114" i="12"/>
  <c r="K244" i="12"/>
  <c r="K252" i="12"/>
  <c r="K391" i="12"/>
  <c r="K195" i="12"/>
  <c r="K214" i="12"/>
  <c r="K313" i="12"/>
  <c r="K392" i="12"/>
  <c r="K291" i="12"/>
  <c r="K84" i="12"/>
  <c r="K312" i="12"/>
  <c r="K83" i="12"/>
  <c r="K290" i="12"/>
  <c r="K82" i="12"/>
  <c r="K311" i="12"/>
  <c r="K121" i="12"/>
  <c r="K81" i="12"/>
  <c r="K310" i="12"/>
  <c r="K151" i="12"/>
  <c r="K116" i="12"/>
  <c r="K340" i="12"/>
  <c r="K309" i="12"/>
  <c r="K197" i="12"/>
  <c r="K113" i="12"/>
  <c r="K336" i="12"/>
  <c r="K314" i="12"/>
  <c r="K87" i="12"/>
  <c r="K198" i="12"/>
  <c r="K155" i="12"/>
  <c r="K212" i="12"/>
  <c r="K211" i="12"/>
  <c r="K213" i="12"/>
  <c r="K150" i="12"/>
  <c r="K248" i="12"/>
  <c r="K250" i="12"/>
  <c r="K308" i="12"/>
  <c r="K130" i="12"/>
  <c r="K307" i="12"/>
  <c r="K129" i="12"/>
  <c r="K209" i="12"/>
  <c r="K152" i="12"/>
  <c r="K306" i="12"/>
  <c r="K305" i="12"/>
  <c r="K128" i="12"/>
  <c r="K118" i="12"/>
  <c r="K246" i="12"/>
  <c r="K247" i="12"/>
  <c r="K245" i="12"/>
  <c r="K154" i="12"/>
  <c r="K210" i="12"/>
  <c r="K89" i="12"/>
  <c r="K85" i="12"/>
  <c r="K300" i="12"/>
  <c r="K86" i="12"/>
  <c r="K299" i="12"/>
  <c r="K199" i="12"/>
  <c r="K120" i="12"/>
  <c r="K153" i="12"/>
  <c r="K317" i="12"/>
  <c r="K249" i="12"/>
  <c r="K316" i="12"/>
  <c r="K560" i="12"/>
  <c r="K131" i="12"/>
  <c r="I82" i="12"/>
  <c r="K115" i="12"/>
  <c r="K315" i="12"/>
  <c r="K298" i="12"/>
  <c r="K117" i="12"/>
  <c r="I88" i="12"/>
  <c r="I86" i="12"/>
  <c r="I81" i="12"/>
  <c r="I85" i="12"/>
  <c r="I89" i="12"/>
  <c r="I87" i="12"/>
  <c r="K126" i="12"/>
  <c r="K561" i="12"/>
  <c r="K563" i="12"/>
  <c r="K564" i="12"/>
  <c r="K122" i="12"/>
  <c r="K491" i="12"/>
  <c r="K338" i="12"/>
  <c r="I83" i="12"/>
  <c r="I84" i="12"/>
  <c r="K488" i="12"/>
  <c r="K393" i="12"/>
  <c r="K339" i="12"/>
  <c r="K88" i="12"/>
  <c r="K293" i="12"/>
  <c r="K253" i="12"/>
  <c r="K119" i="12"/>
  <c r="K200" i="12"/>
  <c r="K201" i="12"/>
  <c r="K196" i="12"/>
  <c r="J119" i="12"/>
  <c r="J122" i="12"/>
  <c r="J126" i="12"/>
  <c r="H88" i="12"/>
  <c r="H87" i="12"/>
  <c r="H84" i="12"/>
  <c r="J298" i="12"/>
  <c r="J299" i="12"/>
  <c r="J212" i="12"/>
  <c r="J209" i="12"/>
  <c r="J300" i="12"/>
  <c r="J87" i="12"/>
  <c r="J248" i="12"/>
  <c r="J247" i="12"/>
  <c r="J155" i="12"/>
  <c r="J154" i="12"/>
  <c r="J340" i="12"/>
  <c r="J305" i="12"/>
  <c r="J250" i="12"/>
  <c r="J128" i="12"/>
  <c r="J306" i="12"/>
  <c r="J150" i="12"/>
  <c r="J307" i="12"/>
  <c r="J341" i="12"/>
  <c r="J560" i="12"/>
  <c r="J308" i="12"/>
  <c r="J214" i="12"/>
  <c r="J117" i="12"/>
  <c r="J152" i="12"/>
  <c r="J89" i="12"/>
  <c r="J213" i="12"/>
  <c r="J86" i="12"/>
  <c r="J336" i="12"/>
  <c r="J309" i="12"/>
  <c r="J131" i="12"/>
  <c r="J85" i="12"/>
  <c r="J310" i="12"/>
  <c r="J81" i="12"/>
  <c r="J120" i="12"/>
  <c r="J210" i="12"/>
  <c r="J311" i="12"/>
  <c r="J82" i="12"/>
  <c r="J391" i="12"/>
  <c r="J290" i="12"/>
  <c r="J83" i="12"/>
  <c r="J312" i="12"/>
  <c r="J84" i="12"/>
  <c r="J253" i="12"/>
  <c r="J313" i="12"/>
  <c r="J314" i="12"/>
  <c r="J116" i="12"/>
  <c r="J245" i="12"/>
  <c r="J246" i="12"/>
  <c r="J249" i="12"/>
  <c r="J315" i="12"/>
  <c r="J153" i="12"/>
  <c r="J130" i="12"/>
  <c r="J316" i="12"/>
  <c r="J317" i="12"/>
  <c r="J197" i="12"/>
  <c r="J318" i="12"/>
  <c r="J319" i="12"/>
  <c r="J320" i="12"/>
  <c r="J489" i="12"/>
  <c r="J390" i="12"/>
  <c r="H85" i="12"/>
  <c r="J492" i="12"/>
  <c r="J488" i="12"/>
  <c r="J338" i="12"/>
  <c r="J211" i="12"/>
  <c r="H86" i="12"/>
  <c r="J561" i="12"/>
  <c r="J563" i="12"/>
  <c r="J564" i="12"/>
  <c r="J491" i="12"/>
  <c r="H89" i="12"/>
  <c r="J291" i="12"/>
  <c r="J244" i="12"/>
  <c r="J251" i="12"/>
  <c r="J252" i="12"/>
  <c r="H83" i="12"/>
  <c r="J198" i="12"/>
  <c r="J199" i="12"/>
  <c r="J200" i="12"/>
  <c r="J127" i="12"/>
  <c r="J196" i="12"/>
  <c r="J195" i="12"/>
  <c r="J201" i="12"/>
  <c r="J118" i="12"/>
  <c r="J115" i="12"/>
  <c r="J151" i="12"/>
  <c r="J114" i="12"/>
  <c r="J113" i="12"/>
  <c r="J132" i="12"/>
  <c r="J129" i="12"/>
  <c r="J293" i="12"/>
  <c r="J292" i="12"/>
  <c r="H82" i="12"/>
  <c r="H81" i="12"/>
  <c r="J337" i="12"/>
  <c r="J88" i="12"/>
  <c r="J393" i="12"/>
  <c r="J339" i="12"/>
  <c r="J490" i="12"/>
  <c r="J559" i="12"/>
  <c r="J562" i="12"/>
  <c r="J208" i="12"/>
  <c r="J392" i="12"/>
  <c r="J121" i="12"/>
  <c r="AC81" i="12"/>
  <c r="Z88" i="12"/>
  <c r="Z87" i="12"/>
  <c r="Z82" i="12"/>
  <c r="Z83" i="12"/>
  <c r="Z86" i="12"/>
  <c r="Z81" i="12"/>
  <c r="Z84" i="12"/>
  <c r="Z85" i="12"/>
  <c r="Z89" i="12"/>
  <c r="X82" i="12"/>
  <c r="X85" i="12"/>
  <c r="X86" i="12"/>
  <c r="X89" i="12"/>
  <c r="X84" i="12"/>
  <c r="X81" i="12"/>
  <c r="X87" i="12"/>
  <c r="X88" i="12"/>
  <c r="X83" i="12"/>
  <c r="AJ87" i="12"/>
  <c r="AJ88" i="12"/>
  <c r="AJ83" i="12"/>
  <c r="AJ84" i="12"/>
  <c r="AJ86" i="12"/>
  <c r="AJ81" i="12"/>
  <c r="AJ89" i="12"/>
  <c r="AJ85" i="12"/>
  <c r="AJ82" i="12"/>
  <c r="W86" i="12"/>
  <c r="W85" i="12"/>
  <c r="W89" i="12"/>
  <c r="W83" i="12"/>
  <c r="W84" i="12"/>
  <c r="W88" i="12"/>
  <c r="W82" i="12"/>
  <c r="W87" i="12"/>
  <c r="W81" i="12"/>
  <c r="AL86" i="12"/>
  <c r="AL85" i="12"/>
  <c r="AL83" i="12"/>
  <c r="AL88" i="12"/>
  <c r="AL84" i="12"/>
  <c r="AL82" i="12"/>
  <c r="AL89" i="12"/>
  <c r="AL87" i="12"/>
  <c r="AL81" i="12"/>
  <c r="AI89" i="12"/>
  <c r="AI88" i="12"/>
  <c r="AI87" i="12"/>
  <c r="AI85" i="12"/>
  <c r="AI82" i="12"/>
  <c r="AI84" i="12"/>
  <c r="AI86" i="12"/>
  <c r="AK393" i="12"/>
  <c r="AK390" i="12"/>
  <c r="AK391" i="12"/>
  <c r="AK392" i="12"/>
  <c r="H393" i="12"/>
  <c r="H391" i="12"/>
  <c r="H390" i="12"/>
  <c r="AC390" i="12"/>
  <c r="H392" i="12"/>
  <c r="AJ392" i="12"/>
  <c r="AJ391" i="12"/>
  <c r="AJ393" i="12"/>
  <c r="AJ390" i="12"/>
  <c r="AL391" i="12"/>
  <c r="AL393" i="12"/>
  <c r="AL392" i="12"/>
  <c r="AL390" i="12"/>
  <c r="Y390" i="12"/>
  <c r="Y392" i="12"/>
  <c r="Y393" i="12"/>
  <c r="Y391" i="12"/>
  <c r="X390" i="12"/>
  <c r="X391" i="12"/>
  <c r="X393" i="12"/>
  <c r="X392" i="12"/>
  <c r="I393" i="12"/>
  <c r="I391" i="12"/>
  <c r="I392" i="12"/>
  <c r="I390" i="12"/>
  <c r="Z393" i="12"/>
  <c r="Z390" i="12"/>
  <c r="Z392" i="12"/>
  <c r="Z391" i="12"/>
  <c r="AI391" i="12"/>
  <c r="AI393" i="12"/>
  <c r="AI392" i="12"/>
  <c r="AI390" i="12"/>
  <c r="AM390" i="12"/>
  <c r="AM392" i="12"/>
  <c r="AM393" i="12"/>
  <c r="AM391" i="12"/>
  <c r="AA393" i="12"/>
  <c r="AA391" i="12"/>
  <c r="AA390" i="12"/>
  <c r="AA392" i="12"/>
  <c r="AJ341" i="12"/>
  <c r="AJ337" i="12"/>
  <c r="AJ336" i="12"/>
  <c r="AJ339" i="12"/>
  <c r="AJ338" i="12"/>
  <c r="AA339" i="12"/>
  <c r="AA340" i="12"/>
  <c r="AA341" i="12"/>
  <c r="AA338" i="12"/>
  <c r="AA337" i="12"/>
  <c r="AA336" i="12"/>
  <c r="AI337" i="12"/>
  <c r="AI339" i="12"/>
  <c r="AI340" i="12"/>
  <c r="AI336" i="12"/>
  <c r="AI338" i="12"/>
  <c r="AI341" i="12"/>
  <c r="H122" i="12"/>
  <c r="H120" i="12"/>
  <c r="H119" i="12"/>
  <c r="H116" i="12"/>
  <c r="H114" i="12"/>
  <c r="H121" i="12"/>
  <c r="H118" i="12"/>
  <c r="H115" i="12"/>
  <c r="H113" i="12"/>
  <c r="H117" i="12"/>
  <c r="AC113" i="12"/>
  <c r="Z120" i="12"/>
  <c r="Z118" i="12"/>
  <c r="Z115" i="12"/>
  <c r="Z114" i="12"/>
  <c r="Z117" i="12"/>
  <c r="Z122" i="12"/>
  <c r="Z119" i="12"/>
  <c r="Z113" i="12"/>
  <c r="Z116" i="12"/>
  <c r="Z121" i="12"/>
  <c r="AM115" i="12"/>
  <c r="AM118" i="12"/>
  <c r="AM113" i="12"/>
  <c r="AM122" i="12"/>
  <c r="AM119" i="12"/>
  <c r="AM114" i="12"/>
  <c r="AM121" i="12"/>
  <c r="AM120" i="12"/>
  <c r="AM117" i="12"/>
  <c r="AM116" i="12"/>
  <c r="AA114" i="12"/>
  <c r="AA116" i="12"/>
  <c r="AA113" i="12"/>
  <c r="AA122" i="12"/>
  <c r="AA117" i="12"/>
  <c r="AA115" i="12"/>
  <c r="AA119" i="12"/>
  <c r="AA120" i="12"/>
  <c r="AA118" i="12"/>
  <c r="AA121" i="12"/>
  <c r="AK114" i="12"/>
  <c r="AK122" i="12"/>
  <c r="AK119" i="12"/>
  <c r="AK118" i="12"/>
  <c r="AK120" i="12"/>
  <c r="AK121" i="12"/>
  <c r="AK115" i="12"/>
  <c r="AK113" i="12"/>
  <c r="AK116" i="12"/>
  <c r="AK117" i="12"/>
  <c r="I122" i="12"/>
  <c r="I120" i="12"/>
  <c r="I118" i="12"/>
  <c r="I113" i="12"/>
  <c r="I116" i="12"/>
  <c r="I121" i="12"/>
  <c r="I115" i="12"/>
  <c r="I114" i="12"/>
  <c r="I119" i="12"/>
  <c r="I117" i="12"/>
  <c r="AI121" i="12"/>
  <c r="AI117" i="12"/>
  <c r="AI114" i="12"/>
  <c r="AI119" i="12"/>
  <c r="AI122" i="12"/>
  <c r="AI118" i="12"/>
  <c r="AI120" i="12"/>
  <c r="AI115" i="12"/>
  <c r="AI116" i="12"/>
  <c r="AI113" i="12"/>
  <c r="Y120" i="12"/>
  <c r="Y119" i="12"/>
  <c r="Y113" i="12"/>
  <c r="Y115" i="12"/>
  <c r="Y116" i="12"/>
  <c r="Y117" i="12"/>
  <c r="Y121" i="12"/>
  <c r="Y114" i="12"/>
  <c r="Y122" i="12"/>
  <c r="Y118" i="12"/>
  <c r="AJ115" i="12"/>
  <c r="AJ119" i="12"/>
  <c r="AJ113" i="12"/>
  <c r="AJ121" i="12"/>
  <c r="AJ118" i="12"/>
  <c r="AJ117" i="12"/>
  <c r="AJ120" i="12"/>
  <c r="AJ116" i="12"/>
  <c r="AJ114" i="12"/>
  <c r="AJ122" i="12"/>
  <c r="X117" i="12"/>
  <c r="X121" i="12"/>
  <c r="X114" i="12"/>
  <c r="X116" i="12"/>
  <c r="X113" i="12"/>
  <c r="X119" i="12"/>
  <c r="X118" i="12"/>
  <c r="X122" i="12"/>
  <c r="X115" i="12"/>
  <c r="X120" i="12"/>
  <c r="AL122" i="12"/>
  <c r="AL116" i="12"/>
  <c r="AL114" i="12"/>
  <c r="AL117" i="12"/>
  <c r="AL118" i="12"/>
  <c r="AL119" i="12"/>
  <c r="AL121" i="12"/>
  <c r="AL113" i="12"/>
  <c r="AL120" i="12"/>
  <c r="AL115" i="12"/>
  <c r="Y86" i="12"/>
  <c r="Y84" i="12"/>
  <c r="Y83" i="12"/>
  <c r="Y87" i="12"/>
  <c r="Y81" i="12"/>
  <c r="Y88" i="12"/>
  <c r="Y89" i="12"/>
  <c r="Y82" i="12"/>
  <c r="AI349" i="12"/>
  <c r="AI351" i="12"/>
  <c r="AI348" i="12"/>
  <c r="AI350" i="12"/>
  <c r="I349" i="12"/>
  <c r="I348" i="12"/>
  <c r="I350" i="12"/>
  <c r="I351" i="12"/>
  <c r="AA349" i="12"/>
  <c r="AA348" i="12"/>
  <c r="AA351" i="12"/>
  <c r="AA350" i="12"/>
  <c r="X350" i="12"/>
  <c r="X348" i="12"/>
  <c r="X351" i="12"/>
  <c r="X349" i="12"/>
  <c r="AM349" i="12"/>
  <c r="AM350" i="12"/>
  <c r="AM351" i="12"/>
  <c r="AM348" i="12"/>
  <c r="Y348" i="12"/>
  <c r="Y349" i="12"/>
  <c r="Y350" i="12"/>
  <c r="Y351" i="12"/>
  <c r="Z351" i="12"/>
  <c r="Z349" i="12"/>
  <c r="Z348" i="12"/>
  <c r="Z350" i="12"/>
  <c r="AC349" i="12"/>
  <c r="H350" i="12"/>
  <c r="H351" i="12"/>
  <c r="H348" i="12"/>
  <c r="AC348" i="12"/>
  <c r="H349" i="12"/>
  <c r="AL349" i="12"/>
  <c r="AL348" i="12"/>
  <c r="AL350" i="12"/>
  <c r="AL351" i="12"/>
  <c r="AJ350" i="12"/>
  <c r="AJ348" i="12"/>
  <c r="AJ349" i="12"/>
  <c r="AJ351" i="12"/>
  <c r="I333" i="12"/>
  <c r="I334" i="12"/>
  <c r="I335" i="12"/>
  <c r="I592" i="12"/>
  <c r="AC334" i="12"/>
  <c r="H333" i="12"/>
  <c r="H334" i="12"/>
  <c r="H335" i="12"/>
  <c r="H592" i="12"/>
  <c r="AC333" i="12"/>
  <c r="AM333" i="12"/>
  <c r="AM335" i="12"/>
  <c r="AM592" i="12"/>
  <c r="AM334" i="12"/>
  <c r="J49" i="12"/>
  <c r="J99" i="12"/>
  <c r="J353" i="12"/>
  <c r="J149" i="12"/>
  <c r="J148" i="12"/>
  <c r="J147" i="12"/>
  <c r="J174" i="12"/>
  <c r="J171" i="12"/>
  <c r="J170" i="12"/>
  <c r="J169" i="12"/>
  <c r="J219" i="12"/>
  <c r="J40" i="12"/>
  <c r="J354" i="12"/>
  <c r="J590" i="12"/>
  <c r="J587" i="12"/>
  <c r="J586" i="12"/>
  <c r="H39" i="12"/>
  <c r="J372" i="12"/>
  <c r="J373" i="12"/>
  <c r="J374" i="12"/>
  <c r="J375" i="12"/>
  <c r="J95" i="12"/>
  <c r="J215" i="12"/>
  <c r="J39" i="12"/>
  <c r="J216" i="12"/>
  <c r="J101" i="12"/>
  <c r="H43" i="12"/>
  <c r="J516" i="12"/>
  <c r="J97" i="12"/>
  <c r="J555" i="12"/>
  <c r="J98" i="12"/>
  <c r="J145" i="12"/>
  <c r="J71" i="12"/>
  <c r="J70" i="12"/>
  <c r="J72" i="12"/>
  <c r="J73" i="12"/>
  <c r="J43" i="12"/>
  <c r="J282" i="12"/>
  <c r="J46" i="12"/>
  <c r="J283" i="12"/>
  <c r="J284" i="12"/>
  <c r="J285" i="12"/>
  <c r="J51" i="12"/>
  <c r="J100" i="12"/>
  <c r="J172" i="12"/>
  <c r="J410" i="12"/>
  <c r="J217" i="12"/>
  <c r="J578" i="12"/>
  <c r="J576" i="12"/>
  <c r="J413" i="12"/>
  <c r="J144" i="12"/>
  <c r="J146" i="12"/>
  <c r="J411" i="12"/>
  <c r="J50" i="12"/>
  <c r="J518" i="12"/>
  <c r="H42" i="12"/>
  <c r="J412" i="12"/>
  <c r="J45" i="12"/>
  <c r="H40" i="12"/>
  <c r="J556" i="12"/>
  <c r="J558" i="12"/>
  <c r="J352" i="12"/>
  <c r="J44" i="12"/>
  <c r="J47" i="12"/>
  <c r="J42" i="12"/>
  <c r="J577" i="12"/>
  <c r="J579" i="12"/>
  <c r="J557" i="12"/>
  <c r="J519" i="12"/>
  <c r="H41" i="12"/>
  <c r="J218" i="12"/>
  <c r="H44" i="12"/>
  <c r="J48" i="12"/>
  <c r="J173" i="12"/>
  <c r="J517" i="12"/>
  <c r="J102" i="12"/>
  <c r="J96" i="12"/>
  <c r="J41" i="12"/>
  <c r="K99" i="12"/>
  <c r="I43" i="12"/>
  <c r="I42" i="12"/>
  <c r="K40" i="12"/>
  <c r="K219" i="12"/>
  <c r="K169" i="12"/>
  <c r="K170" i="12"/>
  <c r="K171" i="12"/>
  <c r="K147" i="12"/>
  <c r="K149" i="12"/>
  <c r="K44" i="12"/>
  <c r="I40" i="12"/>
  <c r="K42" i="12"/>
  <c r="K48" i="12"/>
  <c r="I41" i="12"/>
  <c r="K39" i="12"/>
  <c r="I39" i="12"/>
  <c r="K216" i="12"/>
  <c r="K410" i="12"/>
  <c r="K576" i="12"/>
  <c r="K413" i="12"/>
  <c r="K172" i="12"/>
  <c r="K101" i="12"/>
  <c r="K100" i="12"/>
  <c r="K102" i="12"/>
  <c r="K578" i="12"/>
  <c r="K148" i="12"/>
  <c r="K285" i="12"/>
  <c r="K217" i="12"/>
  <c r="K284" i="12"/>
  <c r="K283" i="12"/>
  <c r="K282" i="12"/>
  <c r="K43" i="12"/>
  <c r="K73" i="12"/>
  <c r="K173" i="12"/>
  <c r="K146" i="12"/>
  <c r="K45" i="12"/>
  <c r="K556" i="12"/>
  <c r="K218" i="12"/>
  <c r="K145" i="12"/>
  <c r="K72" i="12"/>
  <c r="K144" i="12"/>
  <c r="K70" i="12"/>
  <c r="K71" i="12"/>
  <c r="K98" i="12"/>
  <c r="K97" i="12"/>
  <c r="K96" i="12"/>
  <c r="K47" i="12"/>
  <c r="K518" i="12"/>
  <c r="K516" i="12"/>
  <c r="K558" i="12"/>
  <c r="K51" i="12"/>
  <c r="K215" i="12"/>
  <c r="K95" i="12"/>
  <c r="K579" i="12"/>
  <c r="K577" i="12"/>
  <c r="K41" i="12"/>
  <c r="K49" i="12"/>
  <c r="K412" i="12"/>
  <c r="K519" i="12"/>
  <c r="K557" i="12"/>
  <c r="K46" i="12"/>
  <c r="K50" i="12"/>
  <c r="K174" i="12"/>
  <c r="K411" i="12"/>
  <c r="K555" i="12"/>
  <c r="K517" i="12"/>
  <c r="F22" i="11" l="1"/>
  <c r="F13" i="11"/>
  <c r="F24" i="11" s="1" a="1"/>
  <c r="F25" i="11" s="1"/>
  <c r="G27" i="11"/>
  <c r="B23" i="11"/>
  <c r="B19" i="11"/>
  <c r="E23" i="11"/>
  <c r="C23" i="11"/>
  <c r="D23" i="11"/>
  <c r="H5" i="10"/>
  <c r="F23" i="11"/>
  <c r="D28" i="11" a="1"/>
  <c r="D29" i="11" s="1"/>
  <c r="E28" i="11" a="1"/>
  <c r="E29" i="11" s="1"/>
  <c r="B28" i="11" a="1"/>
  <c r="B29" i="11" s="1"/>
  <c r="C28" i="11" a="1"/>
  <c r="C29" i="11" s="1"/>
  <c r="C22" i="11"/>
  <c r="B22" i="11"/>
  <c r="D22" i="11"/>
  <c r="E22" i="11"/>
  <c r="E27" i="11"/>
  <c r="B27" i="11"/>
  <c r="E3" i="10"/>
  <c r="B15" i="12"/>
  <c r="F19" i="11"/>
  <c r="F16" i="11"/>
  <c r="F18" i="11" s="1"/>
  <c r="E24" i="11" a="1"/>
  <c r="E25" i="11" s="1"/>
  <c r="E19" i="11"/>
  <c r="E16" i="11"/>
  <c r="E18" i="11" s="1"/>
  <c r="D16" i="11"/>
  <c r="D18" i="11" s="1"/>
  <c r="D19" i="11"/>
  <c r="G28" i="11" a="1"/>
  <c r="G29" i="11" s="1"/>
  <c r="E17" i="11"/>
  <c r="F27" i="11"/>
  <c r="F29" i="11"/>
  <c r="C16" i="11"/>
  <c r="C19" i="11"/>
  <c r="G15" i="11"/>
  <c r="C13" i="11"/>
  <c r="C24" i="11" s="1" a="1"/>
  <c r="C25" i="11" s="1"/>
  <c r="G12" i="11"/>
  <c r="G11" i="11"/>
  <c r="B13" i="11"/>
  <c r="B17" i="11"/>
  <c r="G14" i="11"/>
  <c r="B16" i="11"/>
  <c r="G23" i="11"/>
  <c r="G22" i="11"/>
  <c r="B24" i="11" a="1"/>
  <c r="B25" i="11" s="1"/>
  <c r="G16" i="11" l="1"/>
  <c r="G17" i="11"/>
  <c r="A27" i="10" a="1"/>
  <c r="E5" i="10"/>
  <c r="K5" i="10" s="1"/>
  <c r="C18" i="11"/>
  <c r="B18" i="11"/>
  <c r="K3" i="10"/>
  <c r="K6" i="10"/>
  <c r="D12" i="10"/>
  <c r="G13" i="11"/>
  <c r="A34" i="11" a="1"/>
  <c r="G19" i="11"/>
  <c r="F12" i="10" l="1"/>
  <c r="A13" i="10" s="1" a="1"/>
  <c r="I12" i="10"/>
  <c r="G12" i="10"/>
  <c r="G18" i="11"/>
  <c r="G24" i="11" a="1"/>
  <c r="G2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Waleed Mohammed</author>
  </authors>
  <commentList>
    <comment ref="C4" authorId="0" shapeId="0" xr:uid="{C25D4673-041B-463A-B6A2-ECD56E48FD8D}">
      <text>
        <r>
          <rPr>
            <b/>
            <sz val="9"/>
            <color indexed="81"/>
            <rFont val="Tahoma"/>
            <family val="2"/>
          </rPr>
          <t>Waleed Mohammed:</t>
        </r>
        <r>
          <rPr>
            <sz val="9"/>
            <color indexed="81"/>
            <rFont val="Tahoma"/>
            <family val="2"/>
          </rPr>
          <t xml:space="preserve">
Change this date to see any day's results. Must be a date with sales loaded (see right).</t>
        </r>
      </text>
    </comment>
    <comment ref="F4" authorId="0" shapeId="0" xr:uid="{226B07D4-AB7C-4EE8-BE13-5EA07AD34726}">
      <text>
        <r>
          <rPr>
            <b/>
            <sz val="9"/>
            <color indexed="81"/>
            <rFont val="Tahoma"/>
            <family val="2"/>
          </rPr>
          <t>Waleed Mohammed:</t>
        </r>
        <r>
          <rPr>
            <sz val="9"/>
            <color indexed="81"/>
            <rFont val="Tahoma"/>
            <family val="2"/>
          </rPr>
          <t xml:space="preserve">
Defaults to the day before the Report Date (=C4-1). Type any date to compare against it.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Waleed Mohammed</author>
  </authors>
  <commentList>
    <comment ref="Z12" authorId="0" shapeId="0" xr:uid="{9974E758-6D09-4BFD-A9D6-19BC04A8892F}">
      <text>
        <r>
          <rPr>
            <b/>
            <sz val="9"/>
            <color indexed="81"/>
            <rFont val="Tahoma"/>
            <family val="2"/>
          </rPr>
          <t>From 'Makeup ' sheet (Beauty sales 1–19 Oct). Fixed period – does not change with the From/To date filter. Makeup % of Sales = Makeup Sales ÷ Cosmetic Sales (Sales TY of stores that sell makeup only). Stores with #N/A or missing in the Makeup sheet are excluded from Cosmetic Sales.</t>
        </r>
      </text>
    </comment>
    <comment ref="AD12" authorId="0" shapeId="0" xr:uid="{050044F8-4EC4-4477-9070-DE1BE6380771}">
      <text>
        <r>
          <rPr>
            <b/>
            <sz val="9"/>
            <color indexed="81"/>
            <rFont val="Tahoma"/>
            <family val="2"/>
          </rPr>
          <t>Waleed Mohammed:</t>
        </r>
        <r>
          <rPr>
            <sz val="9"/>
            <color indexed="81"/>
            <rFont val="Tahoma"/>
            <family val="2"/>
          </rPr>
          <t xml:space="preserve">
Cosmetic Sales = Sales TY of only the stores that sell makeup (stores with a makeup figure in the 'Makeup ' sheet). Stores without makeup (e.g. HADARALEMN, HADLHTBHHT, HAMAYASMAD) are left out. Used as the base for Makeup % of Sales = Makeup Sales ÷ Cosmetic Sales.</t>
        </r>
      </text>
    </comment>
    <comment ref="AD17" authorId="0" shapeId="0" xr:uid="{C92B83FD-8933-4000-AF1C-3F05BEFE37DE}">
      <text>
        <r>
          <rPr>
            <b/>
            <sz val="9"/>
            <color indexed="81"/>
            <rFont val="Tahoma"/>
            <family val="2"/>
          </rPr>
          <t>Waleed Mohammed:</t>
        </r>
        <r>
          <rPr>
            <sz val="9"/>
            <color indexed="81"/>
            <rFont val="Tahoma"/>
            <family val="2"/>
          </rPr>
          <t xml:space="preserve">
Cosmetic Sales = Sales TY of only the stores that sell makeup (stores with a makeup figure in the 'Makeup ' sheet). Stores without makeup (e.g. HADARALEMN, HADLHTBHHT, HAMAYASMAD) are left out. Used as the base for Makeup % of Sales = Makeup Sales ÷ Cosmetic Sales.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Waleed Mohammed</author>
  </authors>
  <commentList>
    <comment ref="C1" authorId="0" shapeId="0" xr:uid="{5D6091F6-504C-4775-8A42-5FCB3E7B87F4}">
      <text>
        <r>
          <rPr>
            <b/>
            <sz val="9"/>
            <color indexed="81"/>
            <rFont val="Tahoma"/>
            <family val="2"/>
          </rPr>
          <t>Waleed Mohammed:</t>
        </r>
        <r>
          <rPr>
            <sz val="9"/>
            <color indexed="81"/>
            <rFont val="Tahoma"/>
            <family val="2"/>
          </rPr>
          <t xml:space="preserve">
Footfall periods: each footfall column needs its From (row 1) and To (row 2) date. For a weekly trend, add one column per day (From = To) or per week to the right. Don't keep an overlapping total column, or footfall is double-counted.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<sst xmlns="http://schemas.openxmlformats.org/spreadsheetml/2006/main" count="8155" uniqueCount="2767">
  <si>
    <t>Total</t>
  </si>
  <si>
    <t>01 Oct 2026</t>
  </si>
  <si>
    <t>02 Oct 2026</t>
  </si>
  <si>
    <t>03 Oct 2026</t>
  </si>
  <si>
    <t>04 Oct 2026</t>
  </si>
  <si>
    <t>05 Oct 2026</t>
  </si>
  <si>
    <t>06 Oct 2026</t>
  </si>
  <si>
    <t>07 Oct 2026</t>
  </si>
  <si>
    <t>08 Oct 2026</t>
  </si>
  <si>
    <t>09 Oct 2026</t>
  </si>
  <si>
    <t>10 Oct 2026</t>
  </si>
  <si>
    <t>Count</t>
  </si>
  <si>
    <t>ALAQUEQ</t>
  </si>
  <si>
    <t>MEDAD</t>
  </si>
  <si>
    <t>SMARTSH</t>
  </si>
  <si>
    <t>ALAZIZIYAH</t>
  </si>
  <si>
    <t>HAMDANYA</t>
  </si>
  <si>
    <t>SALAMA</t>
  </si>
  <si>
    <t>TAHLIAST</t>
  </si>
  <si>
    <t>ANDLUSMALL</t>
  </si>
  <si>
    <t>ABHATIMESQ</t>
  </si>
  <si>
    <t>ALSHATEA</t>
  </si>
  <si>
    <t>ALSHAWGIYAH</t>
  </si>
  <si>
    <t>ALBUSTAN</t>
  </si>
  <si>
    <t>ALHAZIM</t>
  </si>
  <si>
    <t>SHIHAR</t>
  </si>
  <si>
    <t>KFAHADRD</t>
  </si>
  <si>
    <t>OTHAFAN</t>
  </si>
  <si>
    <t>ALWATANIAH</t>
  </si>
  <si>
    <t>HAKHAYLPLZ</t>
  </si>
  <si>
    <t>MILAGROPLZ</t>
  </si>
  <si>
    <t>Dubai</t>
  </si>
  <si>
    <t>JEDDPARK</t>
  </si>
  <si>
    <t>JEDDAZIZ</t>
  </si>
  <si>
    <t>JEDDARAB</t>
  </si>
  <si>
    <t>JUBGALRY</t>
  </si>
  <si>
    <t>RYDNAKHL</t>
  </si>
  <si>
    <t>JIZWFPLZ</t>
  </si>
  <si>
    <t>JEDDYASMN</t>
  </si>
  <si>
    <t>JEDDSALAM</t>
  </si>
  <si>
    <t>RYDVIEW</t>
  </si>
  <si>
    <t>YANBUMALL</t>
  </si>
  <si>
    <t>MADNOOR</t>
  </si>
  <si>
    <t>BURNPLAZ</t>
  </si>
  <si>
    <t>RYDUWALK</t>
  </si>
  <si>
    <t>DAMNAKHL</t>
  </si>
  <si>
    <t>JEDDHAIFA</t>
  </si>
  <si>
    <t>RYDTALA</t>
  </si>
  <si>
    <t>HASEHSA</t>
  </si>
  <si>
    <t>HATAIFJRY</t>
  </si>
  <si>
    <t>HANAJRPAR</t>
  </si>
  <si>
    <t>HAKHAMBLV</t>
  </si>
  <si>
    <t>HAMAKKMAL</t>
  </si>
  <si>
    <t>HAMUJANPRK</t>
  </si>
  <si>
    <t>HASHKAVNUE</t>
  </si>
  <si>
    <t>HAHAILZONE</t>
  </si>
  <si>
    <t>HAJWALK</t>
  </si>
  <si>
    <t>HAMYANYARD</t>
  </si>
  <si>
    <t>HARYDGALL</t>
  </si>
  <si>
    <t>HASALMMAL</t>
  </si>
  <si>
    <t>HALELEMALL</t>
  </si>
  <si>
    <t>HAOBHRPLZ</t>
  </si>
  <si>
    <t>HAMAJAZCC</t>
  </si>
  <si>
    <t>HAQATIFCC</t>
  </si>
  <si>
    <t>HAOTRABWAH</t>
  </si>
  <si>
    <t>HAJUBAILML</t>
  </si>
  <si>
    <t>HATASSPLZ</t>
  </si>
  <si>
    <t>HAOTHASS</t>
  </si>
  <si>
    <t>HACFRONT</t>
  </si>
  <si>
    <t>HAOTHDMM</t>
  </si>
  <si>
    <t>HAOTHHAIL</t>
  </si>
  <si>
    <t>HACOMPLZ</t>
  </si>
  <si>
    <t>HAOTHMTH</t>
  </si>
  <si>
    <t>HADARENMAL</t>
  </si>
  <si>
    <t>HARASHABH</t>
  </si>
  <si>
    <t>HAKADIMALL</t>
  </si>
  <si>
    <t>HAVILLAGE</t>
  </si>
  <si>
    <t>HAAZZANPLZ</t>
  </si>
  <si>
    <t>HAWAHABLVD</t>
  </si>
  <si>
    <t>HAQURSOQ</t>
  </si>
  <si>
    <t>HAARARSOQ</t>
  </si>
  <si>
    <t>HATERATIF</t>
  </si>
  <si>
    <t>HAGRIDPLZA</t>
  </si>
  <si>
    <t>HANJFRONT</t>
  </si>
  <si>
    <t>HADANAMAK</t>
  </si>
  <si>
    <t>HATABUKPR</t>
  </si>
  <si>
    <t>HAMAYASMAD</t>
  </si>
  <si>
    <t>HAKHURAIS</t>
  </si>
  <si>
    <t>HAMALQARYD</t>
  </si>
  <si>
    <t>HAMANRMAD</t>
  </si>
  <si>
    <t>HAPARKTAIF</t>
  </si>
  <si>
    <t>HASULTANA</t>
  </si>
  <si>
    <t>HABAHAB</t>
  </si>
  <si>
    <t>HADIYAFAML</t>
  </si>
  <si>
    <t>HADARALEMN</t>
  </si>
  <si>
    <t>HAAJAWED</t>
  </si>
  <si>
    <t>HADARTAW2</t>
  </si>
  <si>
    <t>HABAHAML</t>
  </si>
  <si>
    <t>HARASHJIZ</t>
  </si>
  <si>
    <t>HADLHTBHHT</t>
  </si>
  <si>
    <t>HAMAKHLTON</t>
  </si>
  <si>
    <t>HARASHMAD</t>
  </si>
  <si>
    <t>HAJADBUR</t>
  </si>
  <si>
    <t>HAKHMAVE</t>
  </si>
  <si>
    <t>HAOTHHAFR</t>
  </si>
  <si>
    <t>HAOTHARAR</t>
  </si>
  <si>
    <t>HAOTHONZAH</t>
  </si>
  <si>
    <t>HASOUQEBQ</t>
  </si>
  <si>
    <t>HADANAYAN</t>
  </si>
  <si>
    <t>HAWADILABN</t>
  </si>
  <si>
    <t>HAMAHMAL</t>
  </si>
  <si>
    <t>HAMUNAIRA</t>
  </si>
  <si>
    <t>HAPALMJED</t>
  </si>
  <si>
    <t>HARSHNRYD</t>
  </si>
  <si>
    <t>HALAVANDAP</t>
  </si>
  <si>
    <t>HAALITMED</t>
  </si>
  <si>
    <t>HAABRAJ1</t>
  </si>
  <si>
    <t>HAABRAJ2</t>
  </si>
  <si>
    <t>HAFALLSQ</t>
  </si>
  <si>
    <t>HARASHID</t>
  </si>
  <si>
    <t>HATHEGATE</t>
  </si>
  <si>
    <t>HAMAKANMAL</t>
  </si>
  <si>
    <t>HASOUQBRZ</t>
  </si>
  <si>
    <t>HAJEDSULTN</t>
  </si>
  <si>
    <t>HASULITMAL</t>
  </si>
  <si>
    <t>Store</t>
  </si>
  <si>
    <t>Hamzah Al Makhadam</t>
  </si>
  <si>
    <t>Mohammed Sanad</t>
  </si>
  <si>
    <t>Saleh Bin Hoiel</t>
  </si>
  <si>
    <t>Ahlam Al Zahrani</t>
  </si>
  <si>
    <t>Maram Zamzami</t>
  </si>
  <si>
    <t>Lina Al Ghathami</t>
  </si>
  <si>
    <t>Mohammed Haidar</t>
  </si>
  <si>
    <t>Ahmed Jaffari</t>
  </si>
  <si>
    <t>Area Manager</t>
  </si>
  <si>
    <t>City</t>
  </si>
  <si>
    <t>Al Hasa</t>
  </si>
  <si>
    <t>Arar</t>
  </si>
  <si>
    <t>Jeddah</t>
  </si>
  <si>
    <t>Makkah</t>
  </si>
  <si>
    <t>Dawadami</t>
  </si>
  <si>
    <t>Yanbu</t>
  </si>
  <si>
    <t>Madinah</t>
  </si>
  <si>
    <t>Najran</t>
  </si>
  <si>
    <t>Khobar</t>
  </si>
  <si>
    <t>Riyadh</t>
  </si>
  <si>
    <t>Dammam</t>
  </si>
  <si>
    <t>Skaka</t>
  </si>
  <si>
    <t>Jubail</t>
  </si>
  <si>
    <t>Qurayat</t>
  </si>
  <si>
    <t>Jizan</t>
  </si>
  <si>
    <t>Tabuk</t>
  </si>
  <si>
    <t>Qatif</t>
  </si>
  <si>
    <t>Hail</t>
  </si>
  <si>
    <t>Hafer Al Batin</t>
  </si>
  <si>
    <t>Muthnab</t>
  </si>
  <si>
    <t>Buraidah</t>
  </si>
  <si>
    <t>Abha</t>
  </si>
  <si>
    <t>Taif</t>
  </si>
  <si>
    <t>Khamis meshaet</t>
  </si>
  <si>
    <t>Sabya</t>
  </si>
  <si>
    <t>Onaizah</t>
  </si>
  <si>
    <t>Samtah</t>
  </si>
  <si>
    <t>Baha</t>
  </si>
  <si>
    <t>Qunfudah</t>
  </si>
  <si>
    <t>All</t>
  </si>
  <si>
    <t>Store Basis</t>
  </si>
  <si>
    <t>All Stores</t>
  </si>
  <si>
    <t>Stores shown:</t>
  </si>
  <si>
    <t>Sales vs Target:</t>
  </si>
  <si>
    <t>Sales vs LY (LFL):</t>
  </si>
  <si>
    <t>Mask</t>
  </si>
  <si>
    <t>LFL</t>
  </si>
  <si>
    <t>Sales TY</t>
  </si>
  <si>
    <t>Trans TY</t>
  </si>
  <si>
    <t>Sales LY</t>
  </si>
  <si>
    <t>Trans LY</t>
  </si>
  <si>
    <t>Target</t>
  </si>
  <si>
    <t>OVERALL</t>
  </si>
  <si>
    <t>Name</t>
  </si>
  <si>
    <t># Cities</t>
  </si>
  <si>
    <t># Stores</t>
  </si>
  <si>
    <t>Sales vs LY (LFL)</t>
  </si>
  <si>
    <t>Ach. % vs Target</t>
  </si>
  <si>
    <t>Var vs Target</t>
  </si>
  <si>
    <t>% of Total Sales</t>
  </si>
  <si>
    <t>Transactions TY</t>
  </si>
  <si>
    <t>Transactions LY</t>
  </si>
  <si>
    <t>Trans vs LY (LFL)</t>
  </si>
  <si>
    <t>ATV TY</t>
  </si>
  <si>
    <t>ATV LY</t>
  </si>
  <si>
    <t>ATV vs LY (LFL)</t>
  </si>
  <si>
    <t>LFL Sales TY</t>
  </si>
  <si>
    <t>LFL Trans TY</t>
  </si>
  <si>
    <t>Total (selection)</t>
  </si>
  <si>
    <t>Unmapped stores – no AM/City (excluded)</t>
  </si>
  <si>
    <t>BY AREA MANAGER</t>
  </si>
  <si>
    <t>BY CITY</t>
  </si>
  <si>
    <t>Area Manager(s)</t>
  </si>
  <si>
    <t>Sales Growth (Total)</t>
  </si>
  <si>
    <t>Trans Growth (Total)</t>
  </si>
  <si>
    <t>Total Sales Growth:</t>
  </si>
  <si>
    <t>Total Trans Growth:</t>
  </si>
  <si>
    <t>Trans vs LY (LFL):</t>
  </si>
  <si>
    <t>Row key</t>
  </si>
  <si>
    <t>Company ATV:</t>
  </si>
  <si>
    <t>11 Oct 2026</t>
  </si>
  <si>
    <t>12 Oct 2026</t>
  </si>
  <si>
    <t>WEEKLY SALES TREND</t>
  </si>
  <si>
    <t>Week</t>
  </si>
  <si>
    <t>From</t>
  </si>
  <si>
    <t>To</t>
  </si>
  <si>
    <t>Days with Data</t>
  </si>
  <si>
    <t>Sales</t>
  </si>
  <si>
    <t>Transactions</t>
  </si>
  <si>
    <t>Avg Daily Sales</t>
  </si>
  <si>
    <t>WK1</t>
  </si>
  <si>
    <t>WK2</t>
  </si>
  <si>
    <t>WK3</t>
  </si>
  <si>
    <t>WK4</t>
  </si>
  <si>
    <t>WK5</t>
  </si>
  <si>
    <t>SALES BY AREA MANAGER</t>
  </si>
  <si>
    <t>Latest WoW %</t>
  </si>
  <si>
    <t>SALES BY CITY</t>
  </si>
  <si>
    <t>WEEK COMPARISON  –  select two weeks</t>
  </si>
  <si>
    <t>Week A</t>
  </si>
  <si>
    <t>Week B</t>
  </si>
  <si>
    <t>Metric</t>
  </si>
  <si>
    <t>Variance (B – A)</t>
  </si>
  <si>
    <t>Var % (B vs A)</t>
  </si>
  <si>
    <t>Transactions (Customers)</t>
  </si>
  <si>
    <t>ATV (Sales ÷ Transactions)</t>
  </si>
  <si>
    <t>Avg Daily Transactions</t>
  </si>
  <si>
    <t>Weeks with different day counts: compare Avg Daily rows for a like-for-like view.</t>
  </si>
  <si>
    <t>COMPARISON BY AREA MANAGER</t>
  </si>
  <si>
    <t>Var %</t>
  </si>
  <si>
    <t>COMPARISON BY CITY</t>
  </si>
  <si>
    <t>Branches</t>
  </si>
  <si>
    <t>Sales Value</t>
  </si>
  <si>
    <t>Total Sales Value</t>
  </si>
  <si>
    <t>Total LY</t>
  </si>
  <si>
    <t>HADARTAWH</t>
  </si>
  <si>
    <t>Daily Target by Branch</t>
  </si>
  <si>
    <t>Thursday</t>
  </si>
  <si>
    <t>Friday</t>
  </si>
  <si>
    <t>Saturday</t>
  </si>
  <si>
    <t>Sunday</t>
  </si>
  <si>
    <t>Monday</t>
  </si>
  <si>
    <t>Tuesday</t>
  </si>
  <si>
    <t>Wednesday</t>
  </si>
  <si>
    <t>Store Count</t>
  </si>
  <si>
    <t>Store Code</t>
  </si>
  <si>
    <t>Store Name</t>
  </si>
  <si>
    <t>Region</t>
  </si>
  <si>
    <t>Area Leader</t>
  </si>
  <si>
    <t>Openning Date</t>
  </si>
  <si>
    <t>Total Employees</t>
  </si>
  <si>
    <t>Target September</t>
  </si>
  <si>
    <t>Running Target</t>
  </si>
  <si>
    <t>Total Target</t>
  </si>
  <si>
    <t xml:space="preserve"> Al Hizam</t>
  </si>
  <si>
    <t>Asir Region</t>
  </si>
  <si>
    <t xml:space="preserve"> Al Rashid Mall </t>
  </si>
  <si>
    <t xml:space="preserve"> Lavanda Park </t>
  </si>
  <si>
    <t xml:space="preserve"> Time Square </t>
  </si>
  <si>
    <t xml:space="preserve"> Al Hassa Mall </t>
  </si>
  <si>
    <t>Eastern Province</t>
  </si>
  <si>
    <t xml:space="preserve"> Basatien </t>
  </si>
  <si>
    <t xml:space="preserve"> Shaikh Avenue </t>
  </si>
  <si>
    <t xml:space="preserve">  AlSultana Mall</t>
  </si>
  <si>
    <t>Madinah Region</t>
  </si>
  <si>
    <t xml:space="preserve"> Jaw Walk </t>
  </si>
  <si>
    <t xml:space="preserve"> Mias </t>
  </si>
  <si>
    <t xml:space="preserve"> Al Noor Mall </t>
  </si>
  <si>
    <t xml:space="preserve"> Dallah Taibah </t>
  </si>
  <si>
    <t xml:space="preserve"> Dar Al Eiman </t>
  </si>
  <si>
    <t xml:space="preserve"> Souq Ebq </t>
  </si>
  <si>
    <t xml:space="preserve"> Al Manar Mall </t>
  </si>
  <si>
    <t xml:space="preserve"> AlBaha Boulevard </t>
  </si>
  <si>
    <t>Al Bahah Region</t>
  </si>
  <si>
    <t xml:space="preserve"> AlBaha Mall </t>
  </si>
  <si>
    <t>Othaim Mall Arar</t>
  </si>
  <si>
    <t>Northern Borders Region</t>
  </si>
  <si>
    <t xml:space="preserve"> Souq Harem </t>
  </si>
  <si>
    <t xml:space="preserve"> AlJedaie Mall </t>
  </si>
  <si>
    <t>Al Qassim Region</t>
  </si>
  <si>
    <t xml:space="preserve"> Nakheel Plaza </t>
  </si>
  <si>
    <t xml:space="preserve"> Darren Mall </t>
  </si>
  <si>
    <t xml:space="preserve"> Nakheel Mall </t>
  </si>
  <si>
    <t xml:space="preserve"> Othaim Mall </t>
  </si>
  <si>
    <t xml:space="preserve"> Al Wataniyah </t>
  </si>
  <si>
    <t xml:space="preserve"> Hail Zone </t>
  </si>
  <si>
    <t>Ha'il Region</t>
  </si>
  <si>
    <t xml:space="preserve"> Waterfront Plaza</t>
  </si>
  <si>
    <t>Jazan Region</t>
  </si>
  <si>
    <t xml:space="preserve"> Ahmed Alattas St Ash Shati </t>
  </si>
  <si>
    <t>Makkah Region</t>
  </si>
  <si>
    <t xml:space="preserve"> Al Hamdania Match </t>
  </si>
  <si>
    <t xml:space="preserve"> Al Salam Mall </t>
  </si>
  <si>
    <t xml:space="preserve"> Al Tahaliya </t>
  </si>
  <si>
    <t xml:space="preserve"> Al Yasmeen Mall </t>
  </si>
  <si>
    <t>Al AJAWEED Dis</t>
  </si>
  <si>
    <t xml:space="preserve"> AlMahmal </t>
  </si>
  <si>
    <t xml:space="preserve"> Alwaha Boulevard </t>
  </si>
  <si>
    <t xml:space="preserve"> Anduls Mall </t>
  </si>
  <si>
    <t xml:space="preserve"> Aziz Mall </t>
  </si>
  <si>
    <t xml:space="preserve"> Fall Square </t>
  </si>
  <si>
    <t xml:space="preserve"> Haifaa Mall</t>
  </si>
  <si>
    <t xml:space="preserve"> Jeddah Park </t>
  </si>
  <si>
    <t xml:space="preserve"> Mall Of Arabia </t>
  </si>
  <si>
    <t xml:space="preserve"> Muneerah Plaza </t>
  </si>
  <si>
    <t xml:space="preserve"> Obhur Plaza </t>
  </si>
  <si>
    <t xml:space="preserve"> Palm Walk </t>
  </si>
  <si>
    <t xml:space="preserve"> Salamah Center </t>
  </si>
  <si>
    <t xml:space="preserve"> The Village Mall </t>
  </si>
  <si>
    <t xml:space="preserve"> Kadi Mall </t>
  </si>
  <si>
    <t xml:space="preserve"> Gakllery Mall </t>
  </si>
  <si>
    <t xml:space="preserve"> Jubail Mall EP </t>
  </si>
  <si>
    <t xml:space="preserve"> Boulivard  </t>
  </si>
  <si>
    <t xml:space="preserve"> Khamis Avenue </t>
  </si>
  <si>
    <t xml:space="preserve"> Mujan Park </t>
  </si>
  <si>
    <t>Rashid Mall Khobar</t>
  </si>
  <si>
    <t xml:space="preserve"> Aliat Mall </t>
  </si>
  <si>
    <t xml:space="preserve"> The Gate Station </t>
  </si>
  <si>
    <t xml:space="preserve"> Abraj Bait Kiosk </t>
  </si>
  <si>
    <t xml:space="preserve"> AlDiyafa Mall </t>
  </si>
  <si>
    <t xml:space="preserve"> Dar AlTawhid 2 </t>
  </si>
  <si>
    <t xml:space="preserve"> Hiltton </t>
  </si>
  <si>
    <t xml:space="preserve"> Majaz Center </t>
  </si>
  <si>
    <t xml:space="preserve"> Makkah Mall </t>
  </si>
  <si>
    <t xml:space="preserve"> Myan Yard </t>
  </si>
  <si>
    <t xml:space="preserve"> Plaza Dan </t>
  </si>
  <si>
    <t xml:space="preserve"> Al Shauqia</t>
  </si>
  <si>
    <t xml:space="preserve"> Tasan Plaza</t>
  </si>
  <si>
    <t xml:space="preserve"> Najran Boulevard </t>
  </si>
  <si>
    <t>Najran Region</t>
  </si>
  <si>
    <t xml:space="preserve"> Najran Park </t>
  </si>
  <si>
    <t xml:space="preserve"> Qatif City Centre </t>
  </si>
  <si>
    <t xml:space="preserve">C Front Plaza </t>
  </si>
  <si>
    <t xml:space="preserve"> Khayalah Plaza </t>
  </si>
  <si>
    <t xml:space="preserve"> Souq Hareem </t>
  </si>
  <si>
    <t>Al Jouf Region</t>
  </si>
  <si>
    <t>Ajlan plaza</t>
  </si>
  <si>
    <t>Riyadh Region</t>
  </si>
  <si>
    <t xml:space="preserve"> Al Azizia </t>
  </si>
  <si>
    <t xml:space="preserve"> Aqiq Street </t>
  </si>
  <si>
    <t xml:space="preserve"> Compass Plaza </t>
  </si>
  <si>
    <t xml:space="preserve"> Dhar Laban </t>
  </si>
  <si>
    <t xml:space="preserve"> Khurais Othaim Mall </t>
  </si>
  <si>
    <t xml:space="preserve"> Malqa Centre </t>
  </si>
  <si>
    <t xml:space="preserve"> Medad Center Match </t>
  </si>
  <si>
    <t xml:space="preserve"> Othaim Rabwa </t>
  </si>
  <si>
    <t xml:space="preserve"> Othman Bin Afan </t>
  </si>
  <si>
    <t xml:space="preserve"> Riyadh Gallery </t>
  </si>
  <si>
    <t xml:space="preserve"> Roshin Front </t>
  </si>
  <si>
    <t xml:space="preserve"> Salam Mall</t>
  </si>
  <si>
    <t xml:space="preserve"> Smart Shopping  </t>
  </si>
  <si>
    <t xml:space="preserve"> Tala Mall </t>
  </si>
  <si>
    <t xml:space="preserve"> The View Mall  </t>
  </si>
  <si>
    <t xml:space="preserve"> U Walk </t>
  </si>
  <si>
    <t xml:space="preserve"> Azzan Plaza </t>
  </si>
  <si>
    <t xml:space="preserve"> Lele Mall </t>
  </si>
  <si>
    <t xml:space="preserve"> AlGrid Plaza </t>
  </si>
  <si>
    <t xml:space="preserve"> Milagro Plaza </t>
  </si>
  <si>
    <t>Tabuk Region</t>
  </si>
  <si>
    <t xml:space="preserve"> Tabuk Park </t>
  </si>
  <si>
    <t xml:space="preserve"> Joury Mall </t>
  </si>
  <si>
    <t xml:space="preserve"> Shihar</t>
  </si>
  <si>
    <t xml:space="preserve"> Tera Mall </t>
  </si>
  <si>
    <t xml:space="preserve"> The Park </t>
  </si>
  <si>
    <t xml:space="preserve"> Dana Mall </t>
  </si>
  <si>
    <t xml:space="preserve"> Yanbu Mall </t>
  </si>
  <si>
    <t>Ha'il Souq Barazan</t>
  </si>
  <si>
    <t>-</t>
  </si>
  <si>
    <t>Abraj AlBayt Kiosk 2</t>
  </si>
  <si>
    <t>Prince Sultan jeddah</t>
  </si>
  <si>
    <t xml:space="preserve">Makan Mall </t>
  </si>
  <si>
    <t>Dawadmi</t>
  </si>
  <si>
    <t>Vendhom Mall</t>
  </si>
  <si>
    <t>Doha</t>
  </si>
  <si>
    <t>Qatar</t>
  </si>
  <si>
    <t>Solitaire Mall</t>
  </si>
  <si>
    <t>SOUTH INT. REAGION</t>
  </si>
  <si>
    <t>KHALIL SUQARE</t>
  </si>
  <si>
    <t>SHUBAILI MALL</t>
  </si>
  <si>
    <t>DATE LIST (helper)</t>
  </si>
  <si>
    <t>Dates</t>
  </si>
  <si>
    <t>Latest date with sales</t>
  </si>
  <si>
    <t>From Date</t>
  </si>
  <si>
    <t>To Date</t>
  </si>
  <si>
    <t>Days Selected</t>
  </si>
  <si>
    <t>WEEKLY SUMMARY – ALL WEEKS  (LY &amp; Target shown for full week; % columns compare only the days with sales loaded)</t>
  </si>
  <si>
    <t>Sales vs LY %</t>
  </si>
  <si>
    <t>Trans vs LY %</t>
  </si>
  <si>
    <t>ATV vs LY %</t>
  </si>
  <si>
    <t>LY Sales (days loaded)</t>
  </si>
  <si>
    <t>LY Trans (days loaded)</t>
  </si>
  <si>
    <t>Target (days loaded)</t>
  </si>
  <si>
    <t>Target &amp; Last Year</t>
  </si>
  <si>
    <t>pts</t>
  </si>
  <si>
    <t>LY Sales (same days)</t>
  </si>
  <si>
    <t>LY Transactions (same days)</t>
  </si>
  <si>
    <t>WEEKLY PLAN – ALL WEEKS  (Target · Last Year · What you need · Actual)</t>
  </si>
  <si>
    <t>Days in Period</t>
  </si>
  <si>
    <t>Days with Sales Loaded</t>
  </si>
  <si>
    <t>TARGET</t>
  </si>
  <si>
    <t>Target Sales</t>
  </si>
  <si>
    <t>Target per Day</t>
  </si>
  <si>
    <t>LAST YEAR – SAME DATES</t>
  </si>
  <si>
    <t>LY Sales</t>
  </si>
  <si>
    <t>LY Transactions</t>
  </si>
  <si>
    <t>LY ATV</t>
  </si>
  <si>
    <t>WHAT YOU NEED TO HIT TARGET</t>
  </si>
  <si>
    <t>Target Growth vs LY Sales %</t>
  </si>
  <si>
    <t>Transactions Needed (at LY ATV)</t>
  </si>
  <si>
    <t>ATV Needed (at LY Transactions)</t>
  </si>
  <si>
    <t>ACTUAL THIS YEAR  (fills in as you load days)</t>
  </si>
  <si>
    <t>Ach. % vs Target (days loaded)</t>
  </si>
  <si>
    <t>Remaining to Full Target</t>
  </si>
  <si>
    <t>Needed per Remaining Day</t>
  </si>
  <si>
    <t>Sales vs LY % (days loaded)</t>
  </si>
  <si>
    <t>Trans vs LY % (days loaded)</t>
  </si>
  <si>
    <t>ATV vs LY % (days loaded)</t>
  </si>
  <si>
    <t>Target – days loaded (helper)</t>
  </si>
  <si>
    <t>LY Sales – days loaded (helper)</t>
  </si>
  <si>
    <t>LY Trans – days loaded (helper)</t>
  </si>
  <si>
    <t>Month Total</t>
  </si>
  <si>
    <t>Columns WK1–WK5 &amp; Month Total are fixed; the gold column follows Dashboard From/To dates. Highlighted week = Week A selector below. 'Needed' rows use LY ATV / LY transactions as the benchmark.</t>
  </si>
  <si>
    <t>AM list (helper)</t>
  </si>
  <si>
    <t>AM Mask (helper)</t>
  </si>
  <si>
    <t>Above avg / up vs LY</t>
  </si>
  <si>
    <t>Below business avg</t>
  </si>
  <si>
    <t>Down vs LY / Ach &lt;70%</t>
  </si>
  <si>
    <t>Target Ach ≥80%</t>
  </si>
  <si>
    <t>Target Ach 70–80%</t>
  </si>
  <si>
    <t>Site Name</t>
  </si>
  <si>
    <t>Abha Square</t>
  </si>
  <si>
    <t>Al Ahsa Mall</t>
  </si>
  <si>
    <t>Al Andulas Mall Jeddah</t>
  </si>
  <si>
    <t>Al Bustan Ahsa</t>
  </si>
  <si>
    <t>Al Hizam Abha</t>
  </si>
  <si>
    <t>Al Khamis Boulevard</t>
  </si>
  <si>
    <t>Al Malqa Riyadh</t>
  </si>
  <si>
    <t>Al Noor Mall Madinah</t>
  </si>
  <si>
    <t>AlBaha Mall</t>
  </si>
  <si>
    <t>Alwaha boulevard Jed</t>
  </si>
  <si>
    <t>Arab Mall Jeddah</t>
  </si>
  <si>
    <t>Aziz Mall Jeddah</t>
  </si>
  <si>
    <t>Azlan Plaza Jizan</t>
  </si>
  <si>
    <t>Boulevard Al Baha</t>
  </si>
  <si>
    <t>Briedah Nakheel Plaza</t>
  </si>
  <si>
    <t>Compass plaza Ryd</t>
  </si>
  <si>
    <t>Daifah Mall Makkah</t>
  </si>
  <si>
    <t>Dallah Taibah Madinah</t>
  </si>
  <si>
    <t>Dan Plaza Makkah</t>
  </si>
  <si>
    <t>Dar Ul Eman Madinah</t>
  </si>
  <si>
    <t>Dar altawhid Makkah</t>
  </si>
  <si>
    <t>Gallery Mall Jubail</t>
  </si>
  <si>
    <t>Hafer AlBatin Wataniyah</t>
  </si>
  <si>
    <t>Haifa Mall Jeddah</t>
  </si>
  <si>
    <t>Hail Zone</t>
  </si>
  <si>
    <t>Hamadaniyah Jeddah</t>
  </si>
  <si>
    <t>J Walk Madinah</t>
  </si>
  <si>
    <t>Jeddah Park</t>
  </si>
  <si>
    <t>Jeddah Salama Center</t>
  </si>
  <si>
    <t>Jeddah Shatea</t>
  </si>
  <si>
    <t>Jeddah Tahlia</t>
  </si>
  <si>
    <t>Jizan lili Samanth</t>
  </si>
  <si>
    <t>Joury Mall Taif</t>
  </si>
  <si>
    <t>Jubail Mall</t>
  </si>
  <si>
    <t>Kadi mall Jizan</t>
  </si>
  <si>
    <t>Khamis Avenue</t>
  </si>
  <si>
    <t>Makkah Mall</t>
  </si>
  <si>
    <t>Medad Riyadh</t>
  </si>
  <si>
    <t>Milagro Tabuk</t>
  </si>
  <si>
    <t>Mujan Park Khamis</t>
  </si>
  <si>
    <t>Myan Yard Makkah</t>
  </si>
  <si>
    <t>Nakheel Mall Dammam</t>
  </si>
  <si>
    <t>Nakheel Mall Riyadh</t>
  </si>
  <si>
    <t>Obhur Plaza Jeddah</t>
  </si>
  <si>
    <t>Othaim Khuraish Riyadh</t>
  </si>
  <si>
    <t>Othman Bin Afan Riyadh</t>
  </si>
  <si>
    <t>Qatif Center</t>
  </si>
  <si>
    <t>Rashid Mall Jizan</t>
  </si>
  <si>
    <t>Rashid Mall Madinah</t>
  </si>
  <si>
    <t>Riyadh Aqeeq</t>
  </si>
  <si>
    <t>Riyadh Aziziyah</t>
  </si>
  <si>
    <t>Riyadh Tala Mall</t>
  </si>
  <si>
    <t>Riyadh The View Mall</t>
  </si>
  <si>
    <t>Salam Mall Jeddah</t>
  </si>
  <si>
    <t>Salam Mall Riyadh</t>
  </si>
  <si>
    <t>Shawgiah Makkah</t>
  </si>
  <si>
    <t>Smart Shopping Riyadh</t>
  </si>
  <si>
    <t>Sultana street Madinah</t>
  </si>
  <si>
    <t>TASAN plaza Makkah</t>
  </si>
  <si>
    <t>Tabuk Park</t>
  </si>
  <si>
    <t>Taif Shihar</t>
  </si>
  <si>
    <t>Tera Mall Taif</t>
  </si>
  <si>
    <t>The Park Taif</t>
  </si>
  <si>
    <t>U Walk Riyadh</t>
  </si>
  <si>
    <t>Water front Jizan</t>
  </si>
  <si>
    <t>Yanbu Mall</t>
  </si>
  <si>
    <t>Yasmin Mall Jeddah</t>
  </si>
  <si>
    <t>Footfall</t>
  </si>
  <si>
    <t>Footfall until 12 oct</t>
  </si>
  <si>
    <t>Period From →</t>
  </si>
  <si>
    <t>Period To →</t>
  </si>
  <si>
    <t>FF From</t>
  </si>
  <si>
    <t>FF To</t>
  </si>
  <si>
    <t>FF Trans</t>
  </si>
  <si>
    <t>Trans (FF stores)</t>
  </si>
  <si>
    <t>Conversion %</t>
  </si>
  <si>
    <t>Footfall (FF stores):</t>
  </si>
  <si>
    <t>Conversion %:</t>
  </si>
  <si>
    <t>FOOTFALL &amp; CONVERSION  (stores with footfall only)</t>
  </si>
  <si>
    <t>Footfall (visitors)</t>
  </si>
  <si>
    <t>Transactions (footfall stores)</t>
  </si>
  <si>
    <t>Conversion % (Trans ÷ Footfall)</t>
  </si>
  <si>
    <t>Prize</t>
  </si>
  <si>
    <t>Car</t>
  </si>
  <si>
    <t>Smart Phone</t>
  </si>
  <si>
    <t>I Pad</t>
  </si>
  <si>
    <t>Smart Watch</t>
  </si>
  <si>
    <t>Gold Bar</t>
  </si>
  <si>
    <t>Abo Areash</t>
  </si>
  <si>
    <t>PROJECTION SETTINGS (helper)</t>
  </si>
  <si>
    <t>Month start</t>
  </si>
  <si>
    <t>Month end</t>
  </si>
  <si>
    <t>Days elapsed</t>
  </si>
  <si>
    <t>Days in month</t>
  </si>
  <si>
    <t>STORE CODE ALIAS (edit if codes differ)</t>
  </si>
  <si>
    <t>Sales code</t>
  </si>
  <si>
    <t>Target code</t>
  </si>
  <si>
    <t>Store universe (Sales + Target)</t>
  </si>
  <si>
    <t>Sales Row</t>
  </si>
  <si>
    <t>Target Row</t>
  </si>
  <si>
    <t>MTD Sales TY</t>
  </si>
  <si>
    <t>LY MTD Sales</t>
  </si>
  <si>
    <t>LY Month Sales</t>
  </si>
  <si>
    <t>LY Days Traded (MTD)</t>
  </si>
  <si>
    <t>Target MTD</t>
  </si>
  <si>
    <t>Month Target</t>
  </si>
  <si>
    <t>Projected Close</t>
  </si>
  <si>
    <t>Proj. Method</t>
  </si>
  <si>
    <t>HELPER — do not edit (store universe = Sales and count + TY Target; AM/City fall back to TY Target; Qatar = Unassigned)</t>
  </si>
  <si>
    <t>City list (helper)</t>
  </si>
  <si>
    <t>Proj. Ach % vs Month Target</t>
  </si>
  <si>
    <t>Proj. vs LY Month</t>
  </si>
  <si>
    <t>Proj. Ach %</t>
  </si>
  <si>
    <t>Projected Close:</t>
  </si>
  <si>
    <t>Proj. Ach % (month):</t>
  </si>
  <si>
    <t>Month Target:</t>
  </si>
  <si>
    <t>Projection basis:</t>
  </si>
  <si>
    <t>Prize list (helper)</t>
  </si>
  <si>
    <t>Cutoff (To Date, capped at last day with sales)</t>
  </si>
  <si>
    <t>Code</t>
  </si>
  <si>
    <t>Area manager</t>
  </si>
  <si>
    <t>HAQATVDPLC</t>
  </si>
  <si>
    <t>Vendome Mall</t>
  </si>
  <si>
    <t>Lusail</t>
  </si>
  <si>
    <t>Abraj Albeet</t>
  </si>
  <si>
    <t>West</t>
  </si>
  <si>
    <t>Hilton Makkah</t>
  </si>
  <si>
    <t>Dar Tawhed</t>
  </si>
  <si>
    <t>Shikh Avenue</t>
  </si>
  <si>
    <t>East</t>
  </si>
  <si>
    <t>Dammam Nakhel Mall</t>
  </si>
  <si>
    <t>Compas Plaza</t>
  </si>
  <si>
    <t>Central</t>
  </si>
  <si>
    <t>Alaqueq</t>
  </si>
  <si>
    <t>Ryiadh Nakhel Mall</t>
  </si>
  <si>
    <t>Jeddah Arab Mall</t>
  </si>
  <si>
    <t>Jeddah Park Mall</t>
  </si>
  <si>
    <t>Othaim Ehsa</t>
  </si>
  <si>
    <t>Al Ahsa</t>
  </si>
  <si>
    <t>Rashid Mall Abha</t>
  </si>
  <si>
    <t>South</t>
  </si>
  <si>
    <t>Jizan Water Front</t>
  </si>
  <si>
    <t>Jazan</t>
  </si>
  <si>
    <t>Village Mall</t>
  </si>
  <si>
    <t>Mujan Park</t>
  </si>
  <si>
    <t>Khamis Mushait</t>
  </si>
  <si>
    <t>Madinah Noor</t>
  </si>
  <si>
    <t>King Fahd Road</t>
  </si>
  <si>
    <t>Salama</t>
  </si>
  <si>
    <t>Albustan</t>
  </si>
  <si>
    <t>Ehsa Mall</t>
  </si>
  <si>
    <t>Alaziziyah</t>
  </si>
  <si>
    <t>Medad</t>
  </si>
  <si>
    <t>Palm Mall</t>
  </si>
  <si>
    <t>Jubil Gallry Mall</t>
  </si>
  <si>
    <t>Abraj Albeet2</t>
  </si>
  <si>
    <t>Rashed Alkhobar</t>
  </si>
  <si>
    <t>Wadi Labn</t>
  </si>
  <si>
    <t>Alwataniah</t>
  </si>
  <si>
    <t>Salam Mall</t>
  </si>
  <si>
    <t>Andlus Mall</t>
  </si>
  <si>
    <t>Najran Park</t>
  </si>
  <si>
    <t>Hailzone</t>
  </si>
  <si>
    <t>North</t>
  </si>
  <si>
    <t>Alshawgiyah</t>
  </si>
  <si>
    <t>Jeddah Aziz Mall</t>
  </si>
  <si>
    <t>Qatif C-Fornt</t>
  </si>
  <si>
    <t>Tahliast</t>
  </si>
  <si>
    <t>Taif Jury Mall</t>
  </si>
  <si>
    <t>J Walk</t>
  </si>
  <si>
    <t>Buraidah Plaza</t>
  </si>
  <si>
    <t>Kadi Mall</t>
  </si>
  <si>
    <t>Hamdanya</t>
  </si>
  <si>
    <t>Shihar</t>
  </si>
  <si>
    <t>Lele Mall</t>
  </si>
  <si>
    <t>Layla</t>
  </si>
  <si>
    <t>Othaim Rabwah</t>
  </si>
  <si>
    <t>Ryiadh Gallry Mall</t>
  </si>
  <si>
    <t>Abha Time Squair</t>
  </si>
  <si>
    <t>Rashid Mall Jazan</t>
  </si>
  <si>
    <t>Jeddah Yasmin Mall</t>
  </si>
  <si>
    <t>Dana Mall</t>
  </si>
  <si>
    <t>Alaiat Mall</t>
  </si>
  <si>
    <t>Jeddah Prince Sultan</t>
  </si>
  <si>
    <t>Boulivard Alwaha</t>
  </si>
  <si>
    <t>Azzan Plaza</t>
  </si>
  <si>
    <t>Malqa</t>
  </si>
  <si>
    <t>Alhazim</t>
  </si>
  <si>
    <t>Mahmal</t>
  </si>
  <si>
    <t>Daren Mall</t>
  </si>
  <si>
    <t>Baha Mall</t>
  </si>
  <si>
    <t>Al Baha</t>
  </si>
  <si>
    <t>View Mall</t>
  </si>
  <si>
    <t>Tassan Plaza</t>
  </si>
  <si>
    <t>Mayan Yard</t>
  </si>
  <si>
    <t>Lavandar Park</t>
  </si>
  <si>
    <t>Othaim Dammam</t>
  </si>
  <si>
    <t>Alshatea</t>
  </si>
  <si>
    <t>Al Dawadmi</t>
  </si>
  <si>
    <t>Grid Plaza</t>
  </si>
  <si>
    <t>Shaqra</t>
  </si>
  <si>
    <t>Munira Mall</t>
  </si>
  <si>
    <t>Hail Barzan</t>
  </si>
  <si>
    <t>Boulivard Khamis Mushit</t>
  </si>
  <si>
    <t>Alajawed</t>
  </si>
  <si>
    <t>Othaim Arar</t>
  </si>
  <si>
    <t>Khurais</t>
  </si>
  <si>
    <t>Khuraith</t>
  </si>
  <si>
    <t>Fall Square</t>
  </si>
  <si>
    <t>Othman Bn Afan</t>
  </si>
  <si>
    <t>Qatif City Mall</t>
  </si>
  <si>
    <t>Jedaie Mall</t>
  </si>
  <si>
    <t>Jeddah Haifa Mall</t>
  </si>
  <si>
    <t>Dana Mall Yanbu</t>
  </si>
  <si>
    <t>Soq Arar</t>
  </si>
  <si>
    <t>Othaim Onizah</t>
  </si>
  <si>
    <t>Unaizah</t>
  </si>
  <si>
    <t>Sultir Mall</t>
  </si>
  <si>
    <t>Othaim Hail</t>
  </si>
  <si>
    <t>Roshan Front</t>
  </si>
  <si>
    <t>Smart Shoping</t>
  </si>
  <si>
    <t>Park Mall</t>
  </si>
  <si>
    <t>Milagro Plaza</t>
  </si>
  <si>
    <t>Makkah Majaz</t>
  </si>
  <si>
    <t>Dar Aldiafah Mall</t>
  </si>
  <si>
    <t>Khayala Plaza</t>
  </si>
  <si>
    <t>The Gate Station</t>
  </si>
  <si>
    <t>Boulivard Baha</t>
  </si>
  <si>
    <t>U Walk Mall</t>
  </si>
  <si>
    <t>Souq Ebq</t>
  </si>
  <si>
    <t>Othaim Hafr Albaten</t>
  </si>
  <si>
    <t>Hafr Al Batin</t>
  </si>
  <si>
    <t>Tala Mall</t>
  </si>
  <si>
    <t>Jeddah Salam Mall</t>
  </si>
  <si>
    <t>Tera Mall</t>
  </si>
  <si>
    <t>Obhor Plaza</t>
  </si>
  <si>
    <t>Soq Quraiat</t>
  </si>
  <si>
    <t>Al Qurayyat</t>
  </si>
  <si>
    <t>Front Mall</t>
  </si>
  <si>
    <t>Manar Madinah</t>
  </si>
  <si>
    <t>Sultana</t>
  </si>
  <si>
    <t>Avenue Mall</t>
  </si>
  <si>
    <t>Othaim Mithnab</t>
  </si>
  <si>
    <t>Al Mithnab</t>
  </si>
  <si>
    <t>Dar Aleman</t>
  </si>
  <si>
    <t>Dalt Tiba</t>
  </si>
  <si>
    <t>Mayas Madinah</t>
  </si>
  <si>
    <t>Makeup Sales</t>
  </si>
  <si>
    <t>Makeup % of Sales</t>
  </si>
  <si>
    <t>MAKEUP CODE ALIAS (edit if codes differ)</t>
  </si>
  <si>
    <t>Dashboard code</t>
  </si>
  <si>
    <t>Makeup code</t>
  </si>
  <si>
    <t>Select AMs ▸</t>
  </si>
  <si>
    <t>Tick ✔ to include</t>
  </si>
  <si>
    <t>Waleed</t>
  </si>
  <si>
    <t>Perioud</t>
  </si>
  <si>
    <t>Opening Date</t>
  </si>
  <si>
    <t xml:space="preserve">No assignment </t>
  </si>
  <si>
    <t>13 Oct 2026</t>
  </si>
  <si>
    <t>14 Oct 2026</t>
  </si>
  <si>
    <t>15 Oct 2026</t>
  </si>
  <si>
    <t>16 Oct 2026</t>
  </si>
  <si>
    <t>17 Oct 2026</t>
  </si>
  <si>
    <t>18 Oct 2026</t>
  </si>
  <si>
    <t>2958-Ahmed Alshebani</t>
  </si>
  <si>
    <t>4321TALdosari</t>
  </si>
  <si>
    <t>4339-MAlyahea</t>
  </si>
  <si>
    <t>5146-EAbdouh</t>
  </si>
  <si>
    <t>6491-WNjmi</t>
  </si>
  <si>
    <t>7074-MAlanazi</t>
  </si>
  <si>
    <t>7296-AAlhaqbani</t>
  </si>
  <si>
    <t>2900-Raed Ramzi</t>
  </si>
  <si>
    <t>2959-Faisal Alamodi</t>
  </si>
  <si>
    <t>3516-AAbdil</t>
  </si>
  <si>
    <t>7194-AAlhaib</t>
  </si>
  <si>
    <t>7295-RAlsaqer</t>
  </si>
  <si>
    <t>4348-MSaqar</t>
  </si>
  <si>
    <t>5365-SAI-Sharari</t>
  </si>
  <si>
    <t>6287-AAlOtaibi</t>
  </si>
  <si>
    <t>3121-Awd Al-quthary</t>
  </si>
  <si>
    <t>3514-AGhazi</t>
  </si>
  <si>
    <t>3695-EAlmutairi</t>
  </si>
  <si>
    <t>4502-HAltharwi</t>
  </si>
  <si>
    <t>3255-Khaled Al-Fifi</t>
  </si>
  <si>
    <t>4298-AAlmagnone</t>
  </si>
  <si>
    <t>5234-MSaiadi</t>
  </si>
  <si>
    <t>5490-Mhamid</t>
  </si>
  <si>
    <t>7041-NAsiri</t>
  </si>
  <si>
    <t>7212-MAlhaj</t>
  </si>
  <si>
    <t>2901-Abdulkhaliq Alamri</t>
  </si>
  <si>
    <t>2987-Ramzy Ameen</t>
  </si>
  <si>
    <t>3016-SAlQurashi</t>
  </si>
  <si>
    <t>3074- FAlMasoudi</t>
  </si>
  <si>
    <t>3247-Afnan Alharbi</t>
  </si>
  <si>
    <t>3490-NAlmukhlafi</t>
  </si>
  <si>
    <t>4642-MAlnami</t>
  </si>
  <si>
    <t>2996-AAli</t>
  </si>
  <si>
    <t>4297-AMubarak</t>
  </si>
  <si>
    <t>5320-MAlnashri</t>
  </si>
  <si>
    <t>7061-RAli</t>
  </si>
  <si>
    <t>3476-Hamid Alzahrani</t>
  </si>
  <si>
    <t>3478-Mohammed Alshamrani</t>
  </si>
  <si>
    <t>4305-AAlzhrani</t>
  </si>
  <si>
    <t>4447-MAlGhamdi</t>
  </si>
  <si>
    <t>4449-RAlZahrani</t>
  </si>
  <si>
    <t>4538-MAl-Shahrani</t>
  </si>
  <si>
    <t>3412-Ali Asiri</t>
  </si>
  <si>
    <t>3427-Abdullah Alqahtani</t>
  </si>
  <si>
    <t>3430-Manar Alqahtani</t>
  </si>
  <si>
    <t>3436-Abdullah Alshahrani</t>
  </si>
  <si>
    <t>3439-Bashir Alsaifi</t>
  </si>
  <si>
    <t>3440-Sarah Asiri</t>
  </si>
  <si>
    <t>4599-AAlGhamdi</t>
  </si>
  <si>
    <t>2992-MHayel</t>
  </si>
  <si>
    <t>3029- RAlawi</t>
  </si>
  <si>
    <t>4645-AAlgamdi</t>
  </si>
  <si>
    <t>5108-MAlwasabi</t>
  </si>
  <si>
    <t>3620-RAlmawlid</t>
  </si>
  <si>
    <t>3645-FAlZahrani</t>
  </si>
  <si>
    <t>3658-NSulimani</t>
  </si>
  <si>
    <t>3676-ATazi</t>
  </si>
  <si>
    <t>3689-HAlshmrani</t>
  </si>
  <si>
    <t>4563-AAlsaadi</t>
  </si>
  <si>
    <t>5425-AAlsubhi</t>
  </si>
  <si>
    <t>4107-MAlsailek</t>
  </si>
  <si>
    <t>4113-AAlatafi</t>
  </si>
  <si>
    <t>4116-HMubarki</t>
  </si>
  <si>
    <t>4120-RAlljizan</t>
  </si>
  <si>
    <t>4147-SAlshomri</t>
  </si>
  <si>
    <t>4192-MAlawad</t>
  </si>
  <si>
    <t>4205-TShammari</t>
  </si>
  <si>
    <t>5121-GAlhaji</t>
  </si>
  <si>
    <t>5123-ZAli</t>
  </si>
  <si>
    <t>3394-Aisha Mishikhi</t>
  </si>
  <si>
    <t>3424-Abdulrahman Asiri</t>
  </si>
  <si>
    <t>3433-Khaled Asiri</t>
  </si>
  <si>
    <t>3435-Khaled H Asiri</t>
  </si>
  <si>
    <t>6456-MALASMARI</t>
  </si>
  <si>
    <t>3528-SAlHarthi</t>
  </si>
  <si>
    <t>3530-BBnder</t>
  </si>
  <si>
    <t>3534-WAlmaliki</t>
  </si>
  <si>
    <t>3711-TIbrahim</t>
  </si>
  <si>
    <t>4609-BAl-Zahrani</t>
  </si>
  <si>
    <t>5565-RAlqurashi</t>
  </si>
  <si>
    <t>5566-SNasser</t>
  </si>
  <si>
    <t>5867-ARazeq</t>
  </si>
  <si>
    <t>2960-Hussain Alowayni</t>
  </si>
  <si>
    <t>3512-Nhazazi</t>
  </si>
  <si>
    <t>3521-AAlMutairi</t>
  </si>
  <si>
    <t>4354-KALoudi</t>
  </si>
  <si>
    <t>4501-FAhmad</t>
  </si>
  <si>
    <t>4542-YAdress</t>
  </si>
  <si>
    <t>2930-Waleed Mohammed</t>
  </si>
  <si>
    <t>3701-AAlanzi</t>
  </si>
  <si>
    <t>4314-TQassem</t>
  </si>
  <si>
    <t>7248-AAlotaibi</t>
  </si>
  <si>
    <t>4163-SAlShammari</t>
  </si>
  <si>
    <t>4172-AAlHumaidi</t>
  </si>
  <si>
    <t>4184-SAlBuaiji</t>
  </si>
  <si>
    <t>5489-AAlkhaldi</t>
  </si>
  <si>
    <t>5492-OAMATRAFI</t>
  </si>
  <si>
    <t>5497-SALSHAMARI</t>
  </si>
  <si>
    <t>5982-HAlsaid</t>
  </si>
  <si>
    <t>5985-MAlshamari</t>
  </si>
  <si>
    <t>6197-AAlshammari</t>
  </si>
  <si>
    <t>6198-Aeshah Sami L Aldhafeeri</t>
  </si>
  <si>
    <t>6103-FTalbi</t>
  </si>
  <si>
    <t>6104-WAlessa</t>
  </si>
  <si>
    <t>6105-ZBishwih</t>
  </si>
  <si>
    <t>4044-SAL-Balawi</t>
  </si>
  <si>
    <t>4046-TAl-Sabi</t>
  </si>
  <si>
    <t>4053-TOtayf</t>
  </si>
  <si>
    <t>4062-SAl-Balawi</t>
  </si>
  <si>
    <t>4067-MAL-Johani</t>
  </si>
  <si>
    <t>4080-LAL-Huwiti</t>
  </si>
  <si>
    <t>5707-RHawsawi</t>
  </si>
  <si>
    <t>4309-NAlmuolad</t>
  </si>
  <si>
    <t>5561-FZaki</t>
  </si>
  <si>
    <t>5589-RAobidy</t>
  </si>
  <si>
    <t>6943-STulbah</t>
  </si>
  <si>
    <t>7214-HSadiq</t>
  </si>
  <si>
    <t>7217-SFulfulan</t>
  </si>
  <si>
    <t>4493-RAlghanem</t>
  </si>
  <si>
    <t>5236-BTumayhi</t>
  </si>
  <si>
    <t>7216-MAlmuwallad</t>
  </si>
  <si>
    <t>7252-MBawarid</t>
  </si>
  <si>
    <t>2983-Abdullah Al-Qarni</t>
  </si>
  <si>
    <t>4295-AAl-Juhani</t>
  </si>
  <si>
    <t>4303-FAlzubali</t>
  </si>
  <si>
    <t>5149-MAl-Kamoukh</t>
  </si>
  <si>
    <t>5331-AAl-Daghreeri</t>
  </si>
  <si>
    <t>7255-MAlghamdi</t>
  </si>
  <si>
    <t>4326-BAlKhaldi</t>
  </si>
  <si>
    <t>4330-LAlQahtani</t>
  </si>
  <si>
    <t>4333-JAlhusaini</t>
  </si>
  <si>
    <t>5046-AAlbuainain</t>
  </si>
  <si>
    <t>7302-FAlshutayb</t>
  </si>
  <si>
    <t>7303-IAlSabkhah</t>
  </si>
  <si>
    <t>3423-Reem Alshahrani</t>
  </si>
  <si>
    <t>4144-MALqahtani</t>
  </si>
  <si>
    <t>5369-AAlmutari</t>
  </si>
  <si>
    <t>6177-MAlharthy</t>
  </si>
  <si>
    <t>7298-YAldawsari</t>
  </si>
  <si>
    <t>4392-WHazazi</t>
  </si>
  <si>
    <t>4395-MShawk</t>
  </si>
  <si>
    <t>4401-ZAgeeli</t>
  </si>
  <si>
    <t>4410-AHakami</t>
  </si>
  <si>
    <t>5228-SFaqihi</t>
  </si>
  <si>
    <t>5405-HHarisi</t>
  </si>
  <si>
    <t>5411-AAbsi</t>
  </si>
  <si>
    <t>5703-AGesiri</t>
  </si>
  <si>
    <t>3494-Yousif Alshahri</t>
  </si>
  <si>
    <t>4310-SAlmaloi</t>
  </si>
  <si>
    <t>4442-AAl-Mutairi</t>
  </si>
  <si>
    <t>4443-RAl-Ghamdi</t>
  </si>
  <si>
    <t>3251-MAlmalki</t>
  </si>
  <si>
    <t>4301-RAGHAD HZAZI</t>
  </si>
  <si>
    <t>6134-HAlzahrani</t>
  </si>
  <si>
    <t>7043-SJizani</t>
  </si>
  <si>
    <t>4510-KAlkhazem</t>
  </si>
  <si>
    <t>4553-TAlbeladi</t>
  </si>
  <si>
    <t>4558-HAlOqbi</t>
  </si>
  <si>
    <t>6122-TSaleh</t>
  </si>
  <si>
    <t>3699-MAlharbi</t>
  </si>
  <si>
    <t>4617-AAlharbi</t>
  </si>
  <si>
    <t>5263-MAlharbi</t>
  </si>
  <si>
    <t>4416-NAlsaad</t>
  </si>
  <si>
    <t>4419-SAljarbou</t>
  </si>
  <si>
    <t>4429-SDakheel</t>
  </si>
  <si>
    <t>4432-SAlharbi</t>
  </si>
  <si>
    <t>4545-KAlharbi</t>
  </si>
  <si>
    <t>3150-Saud Alotaibi</t>
  </si>
  <si>
    <t>4490-NAldawsari</t>
  </si>
  <si>
    <t>4464-SALAMIRI</t>
  </si>
  <si>
    <t>4469-RAlghamdi</t>
  </si>
  <si>
    <t>4880-NAlghamdi</t>
  </si>
  <si>
    <t>5047-BAlawad</t>
  </si>
  <si>
    <t>5126-AAlkhdrawi</t>
  </si>
  <si>
    <t>6782-SAlanzi</t>
  </si>
  <si>
    <t>7299-MAlyami</t>
  </si>
  <si>
    <t>4628-RAlghamdi</t>
  </si>
  <si>
    <t>5398-MAkhaldi</t>
  </si>
  <si>
    <t>7133-FKhuzaee</t>
  </si>
  <si>
    <t>6176-NALYusr</t>
  </si>
  <si>
    <t>6827-MAlDossari</t>
  </si>
  <si>
    <t>7196-MAlkahtani</t>
  </si>
  <si>
    <t>4090-HibahAlMohaimeed</t>
  </si>
  <si>
    <t>4103-ZAlHadhari</t>
  </si>
  <si>
    <t>4106-SAlhajjiahmed</t>
  </si>
  <si>
    <t>4109-HAlZahrani</t>
  </si>
  <si>
    <t>4117-TAlamer</t>
  </si>
  <si>
    <t>4125-FAlIbrahim</t>
  </si>
  <si>
    <t>3542-MAlShehri</t>
  </si>
  <si>
    <t>3588-RAassimi</t>
  </si>
  <si>
    <t>4534-Hana</t>
  </si>
  <si>
    <t>5415-KAlTalhi</t>
  </si>
  <si>
    <t>5567-MAlhusani</t>
  </si>
  <si>
    <t>4573-AAlyamy</t>
  </si>
  <si>
    <t>4577-Abdulaziz Alsaleh</t>
  </si>
  <si>
    <t>4629-AWarqash</t>
  </si>
  <si>
    <t>4631-DAlAyfan</t>
  </si>
  <si>
    <t>4636-AAlmakrami</t>
  </si>
  <si>
    <t>3401-Aboud Almufleh</t>
  </si>
  <si>
    <t>3411-Khaled Alfifi</t>
  </si>
  <si>
    <t>4596-AAlFifi</t>
  </si>
  <si>
    <t>4597-GAlShahri</t>
  </si>
  <si>
    <t>4598-RAlQahtani</t>
  </si>
  <si>
    <t>5491-AAlThahban</t>
  </si>
  <si>
    <t>3647-MKhabarani</t>
  </si>
  <si>
    <t>3653-NAlTuwaiti</t>
  </si>
  <si>
    <t>4565-SAldaadi</t>
  </si>
  <si>
    <t>4584-MAlmjnoni</t>
  </si>
  <si>
    <t>5381-MHashemi</t>
  </si>
  <si>
    <t>5426-FNajjar</t>
  </si>
  <si>
    <t>3404-Yazid Asiri</t>
  </si>
  <si>
    <t>3405-Mohammed Asiri</t>
  </si>
  <si>
    <t>3420-Najla Asiri</t>
  </si>
  <si>
    <t>4594-KMohi</t>
  </si>
  <si>
    <t>4595-AHaser</t>
  </si>
  <si>
    <t>4451-M Dabbab</t>
  </si>
  <si>
    <t>4462-WAlsaleh</t>
  </si>
  <si>
    <t>4875-SAlnajim</t>
  </si>
  <si>
    <t>5025-MAlqahtani</t>
  </si>
  <si>
    <t>5304-AAlsabi</t>
  </si>
  <si>
    <t>5305-SALMajnuni</t>
  </si>
  <si>
    <t>6825-BMohamed</t>
  </si>
  <si>
    <t>6927-SAbuaeekal</t>
  </si>
  <si>
    <t>7055-AAlessa</t>
  </si>
  <si>
    <t>7305-FAlRumaithan</t>
  </si>
  <si>
    <t>4836-MAlQasim</t>
  </si>
  <si>
    <t>5190-AAlmajrad</t>
  </si>
  <si>
    <t>6206-AAlanazi</t>
  </si>
  <si>
    <t>6207-GAlsuwailem</t>
  </si>
  <si>
    <t>6948-HAlanazi</t>
  </si>
  <si>
    <t>2919-Thamer Alharbi</t>
  </si>
  <si>
    <t>4614-OHameed</t>
  </si>
  <si>
    <t>4853-RAlahmadi</t>
  </si>
  <si>
    <t>4859-FAlhaysuni</t>
  </si>
  <si>
    <t>4864-KAlharbi</t>
  </si>
  <si>
    <t>3648-HJan</t>
  </si>
  <si>
    <t>3670-FAlMajnuni</t>
  </si>
  <si>
    <t>3678-SAlMaliki</t>
  </si>
  <si>
    <t>4896-OKharashe</t>
  </si>
  <si>
    <t>5327-OAlMuwallad</t>
  </si>
  <si>
    <t>2913-Sarah Alzhrani</t>
  </si>
  <si>
    <t>6181-AALMUAYLI</t>
  </si>
  <si>
    <t>7046-BAlenazi</t>
  </si>
  <si>
    <t>2948-Nawaf Althurwi</t>
  </si>
  <si>
    <t>3517-Saljbilan</t>
  </si>
  <si>
    <t>4382-HAlhamdan</t>
  </si>
  <si>
    <t>5143-AAlasfar</t>
  </si>
  <si>
    <t>7246-SFaqihi</t>
  </si>
  <si>
    <t>4199-ANajmi</t>
  </si>
  <si>
    <t>5224-EMashhoor</t>
  </si>
  <si>
    <t>5226-YHamdi</t>
  </si>
  <si>
    <t>5229-AShabeli</t>
  </si>
  <si>
    <t>5230-AMadkhali</t>
  </si>
  <si>
    <t>3477-Naif Alzahrani</t>
  </si>
  <si>
    <t>5416-AAl-Zahrani</t>
  </si>
  <si>
    <t>5431-AAlbukayr</t>
  </si>
  <si>
    <t>3652-MMetwally</t>
  </si>
  <si>
    <t>5262-RAlmalki</t>
  </si>
  <si>
    <t>6820-HAlyami</t>
  </si>
  <si>
    <t>5084-AAlMohsin</t>
  </si>
  <si>
    <t>5088-AAlnasser</t>
  </si>
  <si>
    <t>5089-HHanbobah</t>
  </si>
  <si>
    <t>3023-Saleh Alhamad</t>
  </si>
  <si>
    <t>4500-Aghazi</t>
  </si>
  <si>
    <t>6288-HAbuQabis</t>
  </si>
  <si>
    <t>5024-QAlnaji</t>
  </si>
  <si>
    <t>5221-DHanan</t>
  </si>
  <si>
    <t>3665-TEid</t>
  </si>
  <si>
    <t>5357-NHilali</t>
  </si>
  <si>
    <t>5383-SAlsharif</t>
  </si>
  <si>
    <t>4108-SBusaleh</t>
  </si>
  <si>
    <t>4114-SAlaboud</t>
  </si>
  <si>
    <t>4118-ZAlkhlef</t>
  </si>
  <si>
    <t>4127-FBoSorror</t>
  </si>
  <si>
    <t>5122-AAlhmmadi</t>
  </si>
  <si>
    <t>5125-ZAlJumaian</t>
  </si>
  <si>
    <t>5127-AALI</t>
  </si>
  <si>
    <t>5130-RAlosaif</t>
  </si>
  <si>
    <t>5195-SAkshaikh</t>
  </si>
  <si>
    <t>4867-MAmaar</t>
  </si>
  <si>
    <t>5222-DAlAmeeri</t>
  </si>
  <si>
    <t>5223-ZAlMusa</t>
  </si>
  <si>
    <t>5432-ATalal</t>
  </si>
  <si>
    <t>4835-SAlShibani</t>
  </si>
  <si>
    <t>5185-RAlShammari</t>
  </si>
  <si>
    <t>5187-YAlEnzi</t>
  </si>
  <si>
    <t>5188-SAlShammari</t>
  </si>
  <si>
    <t>3692-TAlshrari</t>
  </si>
  <si>
    <t>4499-FShaman</t>
  </si>
  <si>
    <t>5179-AAlnajmi</t>
  </si>
  <si>
    <t>7047-AAlsharari</t>
  </si>
  <si>
    <t>7247-AAlotaibi</t>
  </si>
  <si>
    <t>4418-AAlsahlan</t>
  </si>
  <si>
    <t>5235-RAlrashed</t>
  </si>
  <si>
    <t>6052-NAlAtiq</t>
  </si>
  <si>
    <t>5140-KALmatouq</t>
  </si>
  <si>
    <t>5278-ZAlbasher</t>
  </si>
  <si>
    <t>5279-FMutawa</t>
  </si>
  <si>
    <t>7301-KAlabri</t>
  </si>
  <si>
    <t>3391-Ahlam Asiri</t>
  </si>
  <si>
    <t>3395-Saad Al-Ahmari</t>
  </si>
  <si>
    <t>3414-Talal Alqahtani</t>
  </si>
  <si>
    <t>3415-Tariq Alqahtani</t>
  </si>
  <si>
    <t>3438-Sharifa Sahari</t>
  </si>
  <si>
    <t>3473-FAlQutb</t>
  </si>
  <si>
    <t>4398-NHakami</t>
  </si>
  <si>
    <t>4400-BAlamri</t>
  </si>
  <si>
    <t>4409-NGhamari</t>
  </si>
  <si>
    <t>5227-JKamli</t>
  </si>
  <si>
    <t>4627-BALMAQDAR</t>
  </si>
  <si>
    <t>5151-FAlZahrani</t>
  </si>
  <si>
    <t>5284-MThawai</t>
  </si>
  <si>
    <t>4402-Osama</t>
  </si>
  <si>
    <t>4460-ADaeak</t>
  </si>
  <si>
    <t>5407-SAl-Faifi</t>
  </si>
  <si>
    <t>5409-OHankish</t>
  </si>
  <si>
    <t>5412-YAdawi</t>
  </si>
  <si>
    <t>3008-AAlSheikh</t>
  </si>
  <si>
    <t>3117-LAlMasrahi</t>
  </si>
  <si>
    <t>4140-ZAlshriy</t>
  </si>
  <si>
    <t>7052-RAli</t>
  </si>
  <si>
    <t>4318-YAbduIIah</t>
  </si>
  <si>
    <t>5361-FAI-Sharari</t>
  </si>
  <si>
    <t>7026-WAlsharari</t>
  </si>
  <si>
    <t>7105-KAlsharari</t>
  </si>
  <si>
    <t>5393-SAlenzi</t>
  </si>
  <si>
    <t>6289-YAlanazi</t>
  </si>
  <si>
    <t>6831-AAlenazi</t>
  </si>
  <si>
    <t>3527-MAlzahrani</t>
  </si>
  <si>
    <t>4613-MAlOtaibi</t>
  </si>
  <si>
    <t>5396-TALasiri</t>
  </si>
  <si>
    <t>5564-FAlmajdi</t>
  </si>
  <si>
    <t>5495-MAlshammari</t>
  </si>
  <si>
    <t>5690-AAlruwaili</t>
  </si>
  <si>
    <t>5691-AAlqubaysi</t>
  </si>
  <si>
    <t>5692-KAlhabbad</t>
  </si>
  <si>
    <t>5693-LAlrawili</t>
  </si>
  <si>
    <t>4569-DAlSulayyim</t>
  </si>
  <si>
    <t>4576-MALSulayyim</t>
  </si>
  <si>
    <t>4578-AAlsqour</t>
  </si>
  <si>
    <t>4635-AAlQahtani</t>
  </si>
  <si>
    <t>3642-UAlGhamdi</t>
  </si>
  <si>
    <t>3659-AGharib</t>
  </si>
  <si>
    <t>3667-AAldeen</t>
  </si>
  <si>
    <t>4905-AAlshamrani</t>
  </si>
  <si>
    <t>5355-FTazy</t>
  </si>
  <si>
    <t>4051-AZuqaibi</t>
  </si>
  <si>
    <t>4085-HAL-Balawi</t>
  </si>
  <si>
    <t>5594-MAlMajed</t>
  </si>
  <si>
    <t>4857-SAlHarthi</t>
  </si>
  <si>
    <t>5272-AAlMarwani</t>
  </si>
  <si>
    <t>6480-AAlraddadi</t>
  </si>
  <si>
    <t>6481-NAlenezi</t>
  </si>
  <si>
    <t>6620-KAlhejaili</t>
  </si>
  <si>
    <t>3123-FAlghamdi</t>
  </si>
  <si>
    <t>5315-FMatrafi</t>
  </si>
  <si>
    <t>6254-HAlmutairi</t>
  </si>
  <si>
    <t>7147-YAlenazi</t>
  </si>
  <si>
    <t>3077-Sultan Alhuraibi</t>
  </si>
  <si>
    <t>4367-AJafari</t>
  </si>
  <si>
    <t>4486-Menab</t>
  </si>
  <si>
    <t>4497-RAlqahtani</t>
  </si>
  <si>
    <t>5273-OAlSuhaymi</t>
  </si>
  <si>
    <t>5422-AAljohani</t>
  </si>
  <si>
    <t>5709-TAlrashidi</t>
  </si>
  <si>
    <t>4535-MAlOtaibi</t>
  </si>
  <si>
    <t>4656-MALHarthi</t>
  </si>
  <si>
    <t>4862-FAlHarithi</t>
  </si>
  <si>
    <t>5563-AAlmalki</t>
  </si>
  <si>
    <t>4877-AAlErwi</t>
  </si>
  <si>
    <t>5698-AAlsahli</t>
  </si>
  <si>
    <t>5885-AAlharthi</t>
  </si>
  <si>
    <t>6454-YKhormi</t>
  </si>
  <si>
    <t>3015-SAlzahrani</t>
  </si>
  <si>
    <t>4651-SAlzahrani</t>
  </si>
  <si>
    <t>5260-SAlzahrani</t>
  </si>
  <si>
    <t>5644-RAlghamdi</t>
  </si>
  <si>
    <t>3622-MAljezany</t>
  </si>
  <si>
    <t>5388-NAloqbi</t>
  </si>
  <si>
    <t>5493-BAlGhereiby</t>
  </si>
  <si>
    <t>4855-MAlAhmadi</t>
  </si>
  <si>
    <t>4860-AAlShadadi</t>
  </si>
  <si>
    <t>5270-EAlAzmi</t>
  </si>
  <si>
    <t>5645-YMakki</t>
  </si>
  <si>
    <t>6026-MSadiq</t>
  </si>
  <si>
    <t>6065-BMohammed</t>
  </si>
  <si>
    <t>6070-RALSHARIF</t>
  </si>
  <si>
    <t>6482-AAlsulaimani</t>
  </si>
  <si>
    <t>6483-MAlrashdi</t>
  </si>
  <si>
    <t>3349-AAlshamrani</t>
  </si>
  <si>
    <t>4312-AAlqozi</t>
  </si>
  <si>
    <t>4446-AAlZahrani</t>
  </si>
  <si>
    <t>4478-AAlqarni</t>
  </si>
  <si>
    <t>4567-RKutbi</t>
  </si>
  <si>
    <t>5387-WHazazzi</t>
  </si>
  <si>
    <t>5979-AAlmarhabi</t>
  </si>
  <si>
    <t>6050-AAlsalam</t>
  </si>
  <si>
    <t>6492-EAlmuwallad</t>
  </si>
  <si>
    <t>6494-AAlMuwallad</t>
  </si>
  <si>
    <t>6627-LMikwar</t>
  </si>
  <si>
    <t>6926-MBaghdadi</t>
  </si>
  <si>
    <t>6929-AAlzahrani</t>
  </si>
  <si>
    <t>7177-MIbrahim</t>
  </si>
  <si>
    <t>7201-WAlhasani</t>
  </si>
  <si>
    <t>5318-AAlghamdi</t>
  </si>
  <si>
    <t>5319-FAlghamdi</t>
  </si>
  <si>
    <t>5389-SAlghamdi</t>
  </si>
  <si>
    <t>5643-RAlghamdi</t>
  </si>
  <si>
    <t>4394-BBahkily</t>
  </si>
  <si>
    <t>4404-RAhmed</t>
  </si>
  <si>
    <t>5705-MMasra</t>
  </si>
  <si>
    <t>6924-MHakami</t>
  </si>
  <si>
    <t>5647-SAhadad</t>
  </si>
  <si>
    <t>5699-IAllhibi</t>
  </si>
  <si>
    <t>5884-AAlbarnawi</t>
  </si>
  <si>
    <t>5916-QALSHARABI</t>
  </si>
  <si>
    <t>6068-FAlzahrani</t>
  </si>
  <si>
    <t>6069-Tariq</t>
  </si>
  <si>
    <t>5082-FAteeq</t>
  </si>
  <si>
    <t>5380-FAlJabri</t>
  </si>
  <si>
    <t>5384-EAlzhrani</t>
  </si>
  <si>
    <t>5385-NJali</t>
  </si>
  <si>
    <t>5403-TAlhudhali</t>
  </si>
  <si>
    <t>5696-AAlawed</t>
  </si>
  <si>
    <t>5981-AAlqurashi</t>
  </si>
  <si>
    <t>6048-AAlawadi</t>
  </si>
  <si>
    <t>6907-KAlSharif</t>
  </si>
  <si>
    <t>4611-AAlsuhaaymi</t>
  </si>
  <si>
    <t>4865-AAlmaghthawi</t>
  </si>
  <si>
    <t>5310-SAlMutairi</t>
  </si>
  <si>
    <t>5701-TAbadrani</t>
  </si>
  <si>
    <t>4423-OAlharbi</t>
  </si>
  <si>
    <t>6061-ZAlrashidi</t>
  </si>
  <si>
    <t>5368-RAli</t>
  </si>
  <si>
    <t>5494-SHuraysi</t>
  </si>
  <si>
    <t>5702-SAsiri</t>
  </si>
  <si>
    <t>5983-RAljameeli</t>
  </si>
  <si>
    <t>5984-OAlkhaldi</t>
  </si>
  <si>
    <t>6062-SAlanazi</t>
  </si>
  <si>
    <t>6199-AAlmutairi</t>
  </si>
  <si>
    <t>5366-AAl-Juwair</t>
  </si>
  <si>
    <t>5391-SAlruwaili</t>
  </si>
  <si>
    <t>6005-MAlruwaili</t>
  </si>
  <si>
    <t>4866-EAlmutari</t>
  </si>
  <si>
    <t>6053-AAlhreqi</t>
  </si>
  <si>
    <t>6060-AALMUTAIRI</t>
  </si>
  <si>
    <t>5424-AAlJabri</t>
  </si>
  <si>
    <t>5429-BAlharbi</t>
  </si>
  <si>
    <t>5708-NAlharbi</t>
  </si>
  <si>
    <t>6027-BAbdulhakim</t>
  </si>
  <si>
    <t>6063-ABaker</t>
  </si>
  <si>
    <t>6618-ZAlharbi</t>
  </si>
  <si>
    <t>6619-EAlahmadi</t>
  </si>
  <si>
    <t>4555-FBukhari</t>
  </si>
  <si>
    <t>7308-RAlotaibi</t>
  </si>
  <si>
    <t>2922-Khalid Ibrahim</t>
  </si>
  <si>
    <t>3241-Huda Alshehri</t>
  </si>
  <si>
    <t>7010-MAlghamdi</t>
  </si>
  <si>
    <t>5372-YBabsail</t>
  </si>
  <si>
    <t>6180-AObud</t>
  </si>
  <si>
    <t>7042-MAlsulami</t>
  </si>
  <si>
    <t>7044-BDardari</t>
  </si>
  <si>
    <t>5150-WAL-awlgi</t>
  </si>
  <si>
    <t>6616-AAlrowaitei</t>
  </si>
  <si>
    <t>7129-EAlrabighi</t>
  </si>
  <si>
    <t>2984- MAlSubari</t>
  </si>
  <si>
    <t>3484-Abdullah Al Thabet</t>
  </si>
  <si>
    <t>6138-YAlHarbi</t>
  </si>
  <si>
    <t>6402-AAlzahrani</t>
  </si>
  <si>
    <t>3520-NAlanazi</t>
  </si>
  <si>
    <t>6411-AAlFardan</t>
  </si>
  <si>
    <t>4592-SJabeer</t>
  </si>
  <si>
    <t>6066-NAlzubaidi</t>
  </si>
  <si>
    <t>6433-Asarhan</t>
  </si>
  <si>
    <t>6475-HASIRI</t>
  </si>
  <si>
    <t>5420-MAlmalki</t>
  </si>
  <si>
    <t>6432-OAlruwily</t>
  </si>
  <si>
    <t>6617-AAlqahtani</t>
  </si>
  <si>
    <t>3643-KJali</t>
  </si>
  <si>
    <t>3675-MNassef</t>
  </si>
  <si>
    <t>4562-AAladdasi</t>
  </si>
  <si>
    <t>4904-OAlzhrani</t>
  </si>
  <si>
    <t>6629-FTazi</t>
  </si>
  <si>
    <t>6819-MAlmushuli</t>
  </si>
  <si>
    <t>6925-HSindi</t>
  </si>
  <si>
    <t>6928-RKanjari</t>
  </si>
  <si>
    <t>7176-AAljahdali</t>
  </si>
  <si>
    <t>6906-RNajae</t>
  </si>
  <si>
    <t>3013-Yasir Abu Bakr Almuthafi</t>
  </si>
  <si>
    <t>6613-AAlbandar</t>
  </si>
  <si>
    <t>6944-SAbdullah</t>
  </si>
  <si>
    <t>7215-SAlyoubi</t>
  </si>
  <si>
    <t>4111-AAlAziz</t>
  </si>
  <si>
    <t>4869-AAlshmriy</t>
  </si>
  <si>
    <t>5496-NalDowsari</t>
  </si>
  <si>
    <t>6488-JAlmajnuni</t>
  </si>
  <si>
    <t>7304-YAlSalem</t>
  </si>
  <si>
    <t>4863-FAlHarbi</t>
  </si>
  <si>
    <t>6455-FAli</t>
  </si>
  <si>
    <t>6457-AAlajlan</t>
  </si>
  <si>
    <t>7297-NAlharbi</t>
  </si>
  <si>
    <t>2911-Faisal Alotabi</t>
  </si>
  <si>
    <t>7219-YAlotaibi</t>
  </si>
  <si>
    <t>7220-MAlotaibi</t>
  </si>
  <si>
    <t>4822-SAlanazi</t>
  </si>
  <si>
    <t>6949-HAlharbi</t>
  </si>
  <si>
    <t>6950-NAlrashdi</t>
  </si>
  <si>
    <t>2867-Saud Alghamdi</t>
  </si>
  <si>
    <t>2990-Hadeel Alshamri</t>
  </si>
  <si>
    <t>3559-AIbrahim</t>
  </si>
  <si>
    <t>6614-AIskander</t>
  </si>
  <si>
    <t>7294-MMarzouq</t>
  </si>
  <si>
    <t>Period</t>
  </si>
  <si>
    <t>STAFF CALC – HELPER (do not edit). Reads 'Staff Daily sales' rows 5:1500, columns E:CB.</t>
  </si>
  <si>
    <t>Period From</t>
  </si>
  <si>
    <t>Period To</t>
  </si>
  <si>
    <t>Business Sales (period)</t>
  </si>
  <si>
    <t>Business Trans (period)</t>
  </si>
  <si>
    <t>Business ATV (period)</t>
  </si>
  <si>
    <t>Date</t>
  </si>
  <si>
    <t>Type</t>
  </si>
  <si>
    <t>Period Sales</t>
  </si>
  <si>
    <t>Period Trans</t>
  </si>
  <si>
    <t>WK1 Sales</t>
  </si>
  <si>
    <t>WK1 Trans</t>
  </si>
  <si>
    <t>WK2 Sales</t>
  </si>
  <si>
    <t>WK2 Trans</t>
  </si>
  <si>
    <t>WK3 Sales</t>
  </si>
  <si>
    <t>WK3 Trans</t>
  </si>
  <si>
    <t>WK4 Sales</t>
  </si>
  <si>
    <t>WK4 Trans</t>
  </si>
  <si>
    <t>WK5 Sales</t>
  </si>
  <si>
    <t>WK5 Trans</t>
  </si>
  <si>
    <t>Staff</t>
  </si>
  <si>
    <t>Valid</t>
  </si>
  <si>
    <t>Trans</t>
  </si>
  <si>
    <t>Store Sales</t>
  </si>
  <si>
    <t>Store Trans</t>
  </si>
  <si>
    <t>Area Sales</t>
  </si>
  <si>
    <t>Area Trans</t>
  </si>
  <si>
    <t>Dash Flag</t>
  </si>
  <si>
    <t>Store WK1</t>
  </si>
  <si>
    <t>Store WK2</t>
  </si>
  <si>
    <t>Store WK3</t>
  </si>
  <si>
    <t>Store WK4</t>
  </si>
  <si>
    <t>Store WK5</t>
  </si>
  <si>
    <t>Weekly Flag</t>
  </si>
  <si>
    <t>AM list</t>
  </si>
  <si>
    <t>Store list (Dashboard)</t>
  </si>
  <si>
    <t>Period list</t>
  </si>
  <si>
    <t>Store list (Weekly)</t>
  </si>
  <si>
    <t>Rank in Store</t>
  </si>
  <si>
    <t>Business Sales:</t>
  </si>
  <si>
    <t>Selection Sales:</t>
  </si>
  <si>
    <t>% of Business:</t>
  </si>
  <si>
    <t>Business Trans:</t>
  </si>
  <si>
    <t>Selection Trans:</t>
  </si>
  <si>
    <t>Staff shown:</t>
  </si>
  <si>
    <t>Business ATV:</t>
  </si>
  <si>
    <t>Selection ATV:</t>
  </si>
  <si>
    <t>Selection ATV vs Business:</t>
  </si>
  <si>
    <t>BY AREA MANAGER  (always shows all areas for comparison)</t>
  </si>
  <si>
    <t># Staff</t>
  </si>
  <si>
    <t>ATV</t>
  </si>
  <si>
    <t>% of Business</t>
  </si>
  <si>
    <t>ATV vs Business</t>
  </si>
  <si>
    <t>Avg Sales / Staff</t>
  </si>
  <si>
    <t>Total Business</t>
  </si>
  <si>
    <t>% of Store</t>
  </si>
  <si>
    <t>% of Area</t>
  </si>
  <si>
    <t>Store ATV</t>
  </si>
  <si>
    <t>ATV vs Store</t>
  </si>
  <si>
    <t>Area ATV</t>
  </si>
  <si>
    <t>ATV vs Area</t>
  </si>
  <si>
    <t>Business ATV</t>
  </si>
  <si>
    <t>STAFF DETAIL  –  staff vs their Store, Area and Business  (follows Area Manager / Store filters; sorted Area › Store › Sales)</t>
  </si>
  <si>
    <t>STAFF WEEKLY TREND</t>
  </si>
  <si>
    <t>WEEKLY SUMMARY  –  Business vs Selection</t>
  </si>
  <si>
    <t>Business Sales</t>
  </si>
  <si>
    <t>Business Trans</t>
  </si>
  <si>
    <t>Selection Sales</t>
  </si>
  <si>
    <t>Selection Trans</t>
  </si>
  <si>
    <t>Selection ATV</t>
  </si>
  <si>
    <t>Selection % of Business</t>
  </si>
  <si>
    <t>Selection ATV vs Business</t>
  </si>
  <si>
    <t>STAFF WEEKLY TREND  (follows filters above; sorted Area › Store › Month Sales)</t>
  </si>
  <si>
    <t>SALES BY WEEK</t>
  </si>
  <si>
    <t>ATV BY WEEK</t>
  </si>
  <si>
    <t>% OF STORE SALES BY WEEK</t>
  </si>
  <si>
    <t>Month</t>
  </si>
  <si>
    <t>Store WK1 Trans</t>
  </si>
  <si>
    <t>Store WK2 Trans</t>
  </si>
  <si>
    <t>Store WK3 Trans</t>
  </si>
  <si>
    <t>Store WK4 Trans</t>
  </si>
  <si>
    <t>Store WK5 Trans</t>
  </si>
  <si>
    <t>% of Business Trans:</t>
  </si>
  <si>
    <t>% of Business Trans</t>
  </si>
  <si>
    <t>% of Store Trans</t>
  </si>
  <si>
    <t>% of Area Trans</t>
  </si>
  <si>
    <t>TRANSACTION CONTRIBUTION</t>
  </si>
  <si>
    <t>Selection % of Business Trans</t>
  </si>
  <si>
    <t>TRANSACTIONS BY WEEK</t>
  </si>
  <si>
    <t>% OF STORE TRANS BY WEEK</t>
  </si>
  <si>
    <t>% OF BUSINESS TRANS BY WEEK</t>
  </si>
  <si>
    <t>Staff on Roster (from day 1)</t>
  </si>
  <si>
    <t>Staff with Sales</t>
  </si>
  <si>
    <t>Staff with No Sales</t>
  </si>
  <si>
    <t>% Staff with Sales</t>
  </si>
  <si>
    <t>Date list</t>
  </si>
  <si>
    <t>Staff ATV ≥ Company ATV</t>
  </si>
  <si>
    <t>% of Staff with Sales ≥ Company ATV</t>
  </si>
  <si>
    <t>Staff ATV ≥ own Area ATV</t>
  </si>
  <si>
    <t>% of Staff with Sales ≥ Area ATV</t>
  </si>
  <si>
    <t>Staff ATV ≥ own Store ATV</t>
  </si>
  <si>
    <t>% of Staff with Sales ≥ Store ATV</t>
  </si>
  <si>
    <t>Trend From</t>
  </si>
  <si>
    <t>Trend To</t>
  </si>
  <si>
    <t>From date</t>
  </si>
  <si>
    <t>To date</t>
  </si>
  <si>
    <t>Period Total</t>
  </si>
  <si>
    <t>Dash Period Start</t>
  </si>
  <si>
    <t>Dash Period End</t>
  </si>
  <si>
    <t>Date list (Dashboard period)</t>
  </si>
  <si>
    <t>From date (in period)</t>
  </si>
  <si>
    <t>To date (in period)</t>
  </si>
  <si>
    <t>Month to date</t>
  </si>
  <si>
    <t>staff name</t>
  </si>
  <si>
    <t>city</t>
  </si>
  <si>
    <t>area manager</t>
  </si>
  <si>
    <t>Country</t>
  </si>
  <si>
    <t>KSA</t>
  </si>
  <si>
    <t>UAE</t>
  </si>
  <si>
    <t>Abu Dhabi</t>
  </si>
  <si>
    <t>HELPER — Country</t>
  </si>
  <si>
    <t>Country list (helper)</t>
  </si>
  <si>
    <t>Pick any From/To dates in B4:B5 (same date = single day). Leave B4:B5 blank to use the week/period selected in B3.</t>
  </si>
  <si>
    <t>Country list</t>
  </si>
  <si>
    <t>AM list (Dashboard)</t>
  </si>
  <si>
    <t>AM list (Weekly)</t>
  </si>
  <si>
    <t>Sales TY (day)</t>
  </si>
  <si>
    <t>Daily Target</t>
  </si>
  <si>
    <t>LY Sales (same date)</t>
  </si>
  <si>
    <t>Has Target</t>
  </si>
  <si>
    <t>Achieved Target</t>
  </si>
  <si>
    <t>Beat LY</t>
  </si>
  <si>
    <t>Valid AM</t>
  </si>
  <si>
    <t>Stores</t>
  </si>
  <si>
    <t>Ach % vs Target</t>
  </si>
  <si>
    <t>Stores with Target</t>
  </si>
  <si>
    <t>Stores Achieved</t>
  </si>
  <si>
    <t>Stores Achieved (x of y)</t>
  </si>
  <si>
    <t>LFL Stores</t>
  </si>
  <si>
    <t>LFL Sales LY</t>
  </si>
  <si>
    <t>LFL Growth %</t>
  </si>
  <si>
    <t>LFL Stores Beat LY</t>
  </si>
  <si>
    <t>Stores Beat LY (x of y)</t>
  </si>
  <si>
    <t>HEADLINE</t>
  </si>
  <si>
    <t>Sales (Compare)</t>
  </si>
  <si>
    <t>Target (Compare)</t>
  </si>
  <si>
    <t>LY Sales (Compare)</t>
  </si>
  <si>
    <t>Has Target (Compare)</t>
  </si>
  <si>
    <t>Achieved (Compare)</t>
  </si>
  <si>
    <t>LFL (Compare)</t>
  </si>
  <si>
    <t>Beat LY (Compare)</t>
  </si>
  <si>
    <t>STORE CALC (helper) – AB:AL report date, AM:AS compare date</t>
  </si>
  <si>
    <t>DATE LIST (dropdown source)</t>
  </si>
  <si>
    <t>Report Date ▼</t>
  </si>
  <si>
    <t>Compare Date ▼</t>
  </si>
  <si>
    <t>Target achieved if Ach % ≥</t>
  </si>
  <si>
    <t>LFL beat LY if TY/LY ≥</t>
  </si>
  <si>
    <t>HELPER — Cosmetic stores</t>
  </si>
  <si>
    <t>Sells Makeup (1/0)</t>
  </si>
  <si>
    <t>Cosmetic Sales TY</t>
  </si>
  <si>
    <t>Cosmetic Sales</t>
  </si>
  <si>
    <t>Mall/Street</t>
  </si>
  <si>
    <t>Sells Cosmetics</t>
  </si>
  <si>
    <t>Opened</t>
  </si>
  <si>
    <t>HADARTAWH — Dar Al Tawheed</t>
  </si>
  <si>
    <t>street</t>
  </si>
  <si>
    <t>Yes</t>
  </si>
  <si>
    <t>2025-10-10</t>
  </si>
  <si>
    <t>SALAMA - Salamah Center</t>
  </si>
  <si>
    <t>Street</t>
  </si>
  <si>
    <t>2024-07-17</t>
  </si>
  <si>
    <t>ANDLUSMALL - Anduls Mall</t>
  </si>
  <si>
    <t>Mall</t>
  </si>
  <si>
    <t>2024-12-15</t>
  </si>
  <si>
    <t>JEDDPARK - Jeddah Park</t>
  </si>
  <si>
    <t>2025-02-01</t>
  </si>
  <si>
    <t>JEDDARAB - Mall Of Arabia</t>
  </si>
  <si>
    <t>2025-02-10</t>
  </si>
  <si>
    <t>HAMDANYA - Al Hamdania Match</t>
  </si>
  <si>
    <t>2024-08-14</t>
  </si>
  <si>
    <t>TAHLIAST - Al Tahaliya</t>
  </si>
  <si>
    <t>2024-09-10</t>
  </si>
  <si>
    <t>JEDDYASMN - Al Yasmeen Mall</t>
  </si>
  <si>
    <t>2025-02-16</t>
  </si>
  <si>
    <t>ALSHATEA - Ahmed Alattas St Ash Shati</t>
  </si>
  <si>
    <t>2024-09-17</t>
  </si>
  <si>
    <t>JEDDSALAM - Al Salam Mall</t>
  </si>
  <si>
    <t>2025-02-17</t>
  </si>
  <si>
    <t>JEDDAZIZ - Aziz Mall</t>
  </si>
  <si>
    <t>2025-02-06</t>
  </si>
  <si>
    <t>JEDDHAIFA - Haifaa Mall</t>
  </si>
  <si>
    <t>2025-03-08</t>
  </si>
  <si>
    <t>HAOBHRPLZ - Obhur Plaza</t>
  </si>
  <si>
    <t>2025-05-30</t>
  </si>
  <si>
    <t>HAAJAWED - Al AJAWEED Dis</t>
  </si>
  <si>
    <t>2025-12-19</t>
  </si>
  <si>
    <t>HAVILLAGE - The Village Mall</t>
  </si>
  <si>
    <t>2025-11-28</t>
  </si>
  <si>
    <t>HABAHAB - AlBaha Boulevard</t>
  </si>
  <si>
    <t>Plaza</t>
  </si>
  <si>
    <t>2025-12-23</t>
  </si>
  <si>
    <t>HAWAHABLVD - Alwaha Boulevard</t>
  </si>
  <si>
    <t>2025-12-17</t>
  </si>
  <si>
    <t>HABAHAML - AlBaha Mall</t>
  </si>
  <si>
    <t>2025-12-28</t>
  </si>
  <si>
    <t>HAMAHMAL - AlMahmal</t>
  </si>
  <si>
    <t>2026-03-04</t>
  </si>
  <si>
    <t>HAMUNAIRA - Muneerah Plaza</t>
  </si>
  <si>
    <t>2026-03-05</t>
  </si>
  <si>
    <t>HAPALMJED - Palm Walk</t>
  </si>
  <si>
    <t>2026-04-26</t>
  </si>
  <si>
    <t>HAFALLSQ - Fall Square</t>
  </si>
  <si>
    <t>2026-05-24</t>
  </si>
  <si>
    <t>HAKHAYLPLZ - Khayala Plaza</t>
  </si>
  <si>
    <t>2026-03-03</t>
  </si>
  <si>
    <t>HATAIFJRY - Joury Mall</t>
  </si>
  <si>
    <t>2025-03-13</t>
  </si>
  <si>
    <t>HATERATIF - Tera Mall</t>
  </si>
  <si>
    <t>2025-11-02</t>
  </si>
  <si>
    <t>HAPARKTAIF - The Park</t>
  </si>
  <si>
    <t>2025-12-08</t>
  </si>
  <si>
    <t>SHIHAR - Shihar</t>
  </si>
  <si>
    <t>2024-11-18</t>
  </si>
  <si>
    <t>JIZWFPLZ - Waterfront Plaza</t>
  </si>
  <si>
    <t>2025-02-18</t>
  </si>
  <si>
    <t>ABHATIMESQ - Time Square</t>
  </si>
  <si>
    <t>2024-10-28</t>
  </si>
  <si>
    <t>ALHAZIM - Al Hizam</t>
  </si>
  <si>
    <t>2024-11-07</t>
  </si>
  <si>
    <t>HANAJRPAR - Najran Park</t>
  </si>
  <si>
    <t>2025-03-27</t>
  </si>
  <si>
    <t>HAKHAMBLV - Boulivard</t>
  </si>
  <si>
    <t>2025-03-20</t>
  </si>
  <si>
    <t>HAMUJANPRK - Mujan Park</t>
  </si>
  <si>
    <t>2025-03-29</t>
  </si>
  <si>
    <t>HALELEMALL - Lele Mall</t>
  </si>
  <si>
    <t>2025-09-15</t>
  </si>
  <si>
    <t>HARASHABH - Al Rashid Mall</t>
  </si>
  <si>
    <t>2025-12-30</t>
  </si>
  <si>
    <t>HAAZZANPLZ - Azzan Plaza</t>
  </si>
  <si>
    <t>2025-10-23</t>
  </si>
  <si>
    <t>HAKADIMALL - Kadi Mall</t>
  </si>
  <si>
    <t>2025-11-11</t>
  </si>
  <si>
    <t>HARASHJIZ - Al Rashid Mall</t>
  </si>
  <si>
    <t>2025-12-31</t>
  </si>
  <si>
    <t>HAKHMAVE - Khamis Avenue</t>
  </si>
  <si>
    <t>2026-01-26</t>
  </si>
  <si>
    <t>HALAVANDAP - Lavanda Park</t>
  </si>
  <si>
    <t>2026-04-30</t>
  </si>
  <si>
    <t>HANJFRONT - Najran Boulevard</t>
  </si>
  <si>
    <t>2026-02-27</t>
  </si>
  <si>
    <t>HASHKAVNUE - Shaikh Avenue</t>
  </si>
  <si>
    <t>2025-06-03</t>
  </si>
  <si>
    <t>ALWATANIAH - Al Wataniyah</t>
  </si>
  <si>
    <t>2025-01-13</t>
  </si>
  <si>
    <t>DAMNAKHL - Nakheel Mall</t>
  </si>
  <si>
    <t>2025-02-25</t>
  </si>
  <si>
    <t>ALBUSTAN - Basatien</t>
  </si>
  <si>
    <t>2025-01-08</t>
  </si>
  <si>
    <t>MILAGROPLZ - Milagro Plaza</t>
  </si>
  <si>
    <t>2024-12-23</t>
  </si>
  <si>
    <t>HASEHSA - Al Hassa Mall</t>
  </si>
  <si>
    <t>2025-03-12</t>
  </si>
  <si>
    <t>JUBGALRY - Gakllery Mall</t>
  </si>
  <si>
    <t>2025-02-15</t>
  </si>
  <si>
    <t>HAOTHASS - Othaim Mall</t>
  </si>
  <si>
    <t>2025-08-05</t>
  </si>
  <si>
    <t>HACFRONT - C Front Plaza</t>
  </si>
  <si>
    <t>2025-08-14</t>
  </si>
  <si>
    <t>HAOTHDMM - Othaim Mall</t>
  </si>
  <si>
    <t>2025-08-28</t>
  </si>
  <si>
    <t>HADARENMAL - Darren Mall</t>
  </si>
  <si>
    <t>2025-10-01</t>
  </si>
  <si>
    <t>HAQATIFCC - Qatif City Centre</t>
  </si>
  <si>
    <t>2025-07-27</t>
  </si>
  <si>
    <t>HAJUBAILML - Jubail Mall EP</t>
  </si>
  <si>
    <t>2025-07-13</t>
  </si>
  <si>
    <t>HATABUKPR - Tabuk Park</t>
  </si>
  <si>
    <t>2026-01-16</t>
  </si>
  <si>
    <t>HAOTHHAFR - Othaim Mall</t>
  </si>
  <si>
    <t>2026-02-12</t>
  </si>
  <si>
    <t>HARASHID - AlRashid Mall</t>
  </si>
  <si>
    <t>2026-05-19</t>
  </si>
  <si>
    <t>KFAHADRD - Ajlan plaza</t>
  </si>
  <si>
    <t>2024-11-09</t>
  </si>
  <si>
    <t>RYDNAKHL - Nakheel Mall</t>
  </si>
  <si>
    <t>ALAZIZIYAH - Al Azizia</t>
  </si>
  <si>
    <t>2024-08-29</t>
  </si>
  <si>
    <t>OTHAFAN - Othman Bin Afan</t>
  </si>
  <si>
    <t>2024-11-15</t>
  </si>
  <si>
    <t>SMARTSH - Smart Shopping</t>
  </si>
  <si>
    <t>2024-10-10</t>
  </si>
  <si>
    <t>BURNPLAZ - Nakheel Plaza</t>
  </si>
  <si>
    <t>2025-03-10</t>
  </si>
  <si>
    <t>HASALMMAL - Salam Mall</t>
  </si>
  <si>
    <t>2025-07-07</t>
  </si>
  <si>
    <t>RYDVIEW - The View Mall</t>
  </si>
  <si>
    <t>2025-03-06</t>
  </si>
  <si>
    <t>HARYDGALL - Riyadh Gallery</t>
  </si>
  <si>
    <t>2025-08-06</t>
  </si>
  <si>
    <t>HAOTHMTH - Othaim Mall</t>
  </si>
  <si>
    <t>HACOMPLZ - Compass Plaza</t>
  </si>
  <si>
    <t>HAJADBUR - AlJedaie Mall</t>
  </si>
  <si>
    <t>2026-01-11</t>
  </si>
  <si>
    <t>HAOTHONZAH - Othaim Mall</t>
  </si>
  <si>
    <t>2026-03-01</t>
  </si>
  <si>
    <t>HARSHNRYD - Roshin Front</t>
  </si>
  <si>
    <t>HADARTAW2 - Dar AlTawhid 2</t>
  </si>
  <si>
    <t>ALSHAWGIYAH - Al Shauqia</t>
  </si>
  <si>
    <t>2024-12-05</t>
  </si>
  <si>
    <t>HAMAKKMAL - Makkah Mall</t>
  </si>
  <si>
    <t>2025-03-23</t>
  </si>
  <si>
    <t>HAMAJAZCC - Majaz Center</t>
  </si>
  <si>
    <t>2025-06-12</t>
  </si>
  <si>
    <t>HAMYANYARD - Myan Yard</t>
  </si>
  <si>
    <t>2025-06-17</t>
  </si>
  <si>
    <t>HATASSPLZ - Tasan Plaza</t>
  </si>
  <si>
    <t>2025-08-03</t>
  </si>
  <si>
    <t>HADIYAFAML - AlDiyafa Mall</t>
  </si>
  <si>
    <t>2025-10-21</t>
  </si>
  <si>
    <t>HAMAKHLTON - Hiltton</t>
  </si>
  <si>
    <t>Hotel</t>
  </si>
  <si>
    <t>2026-02-03</t>
  </si>
  <si>
    <t>HADANAMAK - Plaza Dan</t>
  </si>
  <si>
    <t>2026-01-09</t>
  </si>
  <si>
    <t>HAABRAJ1 - Abraj Bait Kiosk</t>
  </si>
  <si>
    <t>2026-05-26</t>
  </si>
  <si>
    <t>MADNOOR - Al Noor Mall</t>
  </si>
  <si>
    <t>2025-02-24</t>
  </si>
  <si>
    <t>HAJWALK - Jaw Walk</t>
  </si>
  <si>
    <t>2025-05-31</t>
  </si>
  <si>
    <t>YANBUMALL - Yanbu Mall</t>
  </si>
  <si>
    <t>HADARALEMN - Dar Al Eiman</t>
  </si>
  <si>
    <t>No</t>
  </si>
  <si>
    <t>2025-12-16</t>
  </si>
  <si>
    <t>HAMAYASMAD - Mias</t>
  </si>
  <si>
    <t>2025-09-21</t>
  </si>
  <si>
    <t>HASULTANA - AlSultana Mall</t>
  </si>
  <si>
    <t>2025-12-22</t>
  </si>
  <si>
    <t>HAMANRMAD - Al Manar Mall</t>
  </si>
  <si>
    <t>2025-10-28</t>
  </si>
  <si>
    <t>HARASHMAD - Al Rashid Mall</t>
  </si>
  <si>
    <t>2026-01-12</t>
  </si>
  <si>
    <t>HADLHTBHHT - Dallah Taibah</t>
  </si>
  <si>
    <t>HASOUQEBQ - Souq Ebq</t>
  </si>
  <si>
    <t>2026-02-25</t>
  </si>
  <si>
    <t>HADANAYAN - Dana Mall</t>
  </si>
  <si>
    <t>2026-02-28</t>
  </si>
  <si>
    <t>HAALITMED - Aliat Mall</t>
  </si>
  <si>
    <t>2026-05-08</t>
  </si>
  <si>
    <t>HATHEGATE - The Gate Station</t>
  </si>
  <si>
    <t>2026-05-22</t>
  </si>
  <si>
    <t>ALAQUEQ - Aqiq Street</t>
  </si>
  <si>
    <t>2024-07-04</t>
  </si>
  <si>
    <t>MEDAD - Medad Center Match</t>
  </si>
  <si>
    <t>2024-07-15</t>
  </si>
  <si>
    <t>HAHAILZONE - Hail Zone</t>
  </si>
  <si>
    <t>2025-05-22</t>
  </si>
  <si>
    <t>RYDUWALK - U Walk</t>
  </si>
  <si>
    <t>2025-03-07</t>
  </si>
  <si>
    <t>HAOTRABWAH - Othaim Rabwa</t>
  </si>
  <si>
    <t>2025-06-24</t>
  </si>
  <si>
    <t>HAMALQARYD - Malqa Centre</t>
  </si>
  <si>
    <t>2025-10-02</t>
  </si>
  <si>
    <t>HAOTHHAIL - Othaim Mall</t>
  </si>
  <si>
    <t>2025-09-01</t>
  </si>
  <si>
    <t>HAARARSOQ - Souq Harem</t>
  </si>
  <si>
    <t>2025-10-29</t>
  </si>
  <si>
    <t>HAKHURAIS - Khurais Othaim Mall</t>
  </si>
  <si>
    <t>2025-10-05</t>
  </si>
  <si>
    <t>HAQURSOQ - Souq Hareem</t>
  </si>
  <si>
    <t>2025-10-15</t>
  </si>
  <si>
    <t>RYDTALA - Tala Mall</t>
  </si>
  <si>
    <t>2025-03-11</t>
  </si>
  <si>
    <t>HAGRIDPLZA - AlGrid Plaza</t>
  </si>
  <si>
    <t>2026-02-08</t>
  </si>
  <si>
    <t>HAWADILABN - Dhar Laban</t>
  </si>
  <si>
    <t>HAOTHARAR - Othaim Mall</t>
  </si>
  <si>
    <t>2026-02-17</t>
  </si>
  <si>
    <t>HASOUQBRZ - Ha'il Souq Barazan</t>
  </si>
  <si>
    <t>2026-07-02</t>
  </si>
  <si>
    <t>Takhassusi Plaza</t>
  </si>
  <si>
    <t>TAKHASIPLZ</t>
  </si>
  <si>
    <t>New Expansion</t>
  </si>
  <si>
    <t>Total Stores</t>
  </si>
  <si>
    <t>Sep-26</t>
  </si>
  <si>
    <t>Footfall Device</t>
  </si>
  <si>
    <t>Has FF Device (1/0)</t>
  </si>
  <si>
    <t>Beauty sales 1–24 Oct</t>
  </si>
  <si>
    <t>October</t>
  </si>
  <si>
    <t>Makeup Target</t>
  </si>
  <si>
    <t>Makeup Ach. % vs Target</t>
  </si>
  <si>
    <t xml:space="preserve">Status of Stand </t>
  </si>
  <si>
    <t>DISPLAY UNIT</t>
  </si>
  <si>
    <t xml:space="preserve">MAKEUP TRAY </t>
  </si>
  <si>
    <t xml:space="preserve">No </t>
  </si>
  <si>
    <t>2958</t>
  </si>
  <si>
    <t>4321</t>
  </si>
  <si>
    <t>4339</t>
  </si>
  <si>
    <t>5146</t>
  </si>
  <si>
    <t>6491</t>
  </si>
  <si>
    <t>7074</t>
  </si>
  <si>
    <t>7296</t>
  </si>
  <si>
    <t>2900</t>
  </si>
  <si>
    <t>2959</t>
  </si>
  <si>
    <t>3516</t>
  </si>
  <si>
    <t>7194</t>
  </si>
  <si>
    <t>7295</t>
  </si>
  <si>
    <t>4348</t>
  </si>
  <si>
    <t>5365</t>
  </si>
  <si>
    <t>6287</t>
  </si>
  <si>
    <t>3121</t>
  </si>
  <si>
    <t>3514</t>
  </si>
  <si>
    <t>3695</t>
  </si>
  <si>
    <t>4502</t>
  </si>
  <si>
    <t>3255</t>
  </si>
  <si>
    <t>4298</t>
  </si>
  <si>
    <t>5234</t>
  </si>
  <si>
    <t>5490</t>
  </si>
  <si>
    <t>7041</t>
  </si>
  <si>
    <t>7212</t>
  </si>
  <si>
    <t>2901</t>
  </si>
  <si>
    <t>2987</t>
  </si>
  <si>
    <t>3016</t>
  </si>
  <si>
    <t>3074</t>
  </si>
  <si>
    <t>3247</t>
  </si>
  <si>
    <t>3490</t>
  </si>
  <si>
    <t>4642</t>
  </si>
  <si>
    <t>2996</t>
  </si>
  <si>
    <t>4297</t>
  </si>
  <si>
    <t>5320</t>
  </si>
  <si>
    <t>7061</t>
  </si>
  <si>
    <t>3476</t>
  </si>
  <si>
    <t>3478</t>
  </si>
  <si>
    <t>4305</t>
  </si>
  <si>
    <t>4447</t>
  </si>
  <si>
    <t>4449</t>
  </si>
  <si>
    <t>4538</t>
  </si>
  <si>
    <t>3412</t>
  </si>
  <si>
    <t>3427</t>
  </si>
  <si>
    <t>3430</t>
  </si>
  <si>
    <t>3436</t>
  </si>
  <si>
    <t>3439</t>
  </si>
  <si>
    <t>3440</t>
  </si>
  <si>
    <t>4599</t>
  </si>
  <si>
    <t>2992</t>
  </si>
  <si>
    <t>3029</t>
  </si>
  <si>
    <t>4645</t>
  </si>
  <si>
    <t>5108</t>
  </si>
  <si>
    <t>3620</t>
  </si>
  <si>
    <t>3645</t>
  </si>
  <si>
    <t>3658</t>
  </si>
  <si>
    <t>3676</t>
  </si>
  <si>
    <t>3689</t>
  </si>
  <si>
    <t>4563</t>
  </si>
  <si>
    <t>5425</t>
  </si>
  <si>
    <t>4107</t>
  </si>
  <si>
    <t>4113</t>
  </si>
  <si>
    <t>4116</t>
  </si>
  <si>
    <t>4120</t>
  </si>
  <si>
    <t>4147</t>
  </si>
  <si>
    <t>4192</t>
  </si>
  <si>
    <t>4205</t>
  </si>
  <si>
    <t>5121</t>
  </si>
  <si>
    <t>5123</t>
  </si>
  <si>
    <t>3394</t>
  </si>
  <si>
    <t>3424</t>
  </si>
  <si>
    <t>3433</t>
  </si>
  <si>
    <t>3435</t>
  </si>
  <si>
    <t>6456</t>
  </si>
  <si>
    <t>3528</t>
  </si>
  <si>
    <t>3530</t>
  </si>
  <si>
    <t>3534</t>
  </si>
  <si>
    <t>3711</t>
  </si>
  <si>
    <t>4609</t>
  </si>
  <si>
    <t>5565</t>
  </si>
  <si>
    <t>5566</t>
  </si>
  <si>
    <t>5867</t>
  </si>
  <si>
    <t>2960</t>
  </si>
  <si>
    <t>3512</t>
  </si>
  <si>
    <t>3521</t>
  </si>
  <si>
    <t>4354</t>
  </si>
  <si>
    <t>4501</t>
  </si>
  <si>
    <t>4542</t>
  </si>
  <si>
    <t>2930</t>
  </si>
  <si>
    <t>3701</t>
  </si>
  <si>
    <t>4314</t>
  </si>
  <si>
    <t>7248</t>
  </si>
  <si>
    <t>4163</t>
  </si>
  <si>
    <t>4172</t>
  </si>
  <si>
    <t>4184</t>
  </si>
  <si>
    <t>5489</t>
  </si>
  <si>
    <t>5492</t>
  </si>
  <si>
    <t>5497</t>
  </si>
  <si>
    <t>5982</t>
  </si>
  <si>
    <t>5985</t>
  </si>
  <si>
    <t>6197</t>
  </si>
  <si>
    <t>6198</t>
  </si>
  <si>
    <t>6103</t>
  </si>
  <si>
    <t>6104</t>
  </si>
  <si>
    <t>6105</t>
  </si>
  <si>
    <t>4044</t>
  </si>
  <si>
    <t>4046</t>
  </si>
  <si>
    <t>4053</t>
  </si>
  <si>
    <t>4062</t>
  </si>
  <si>
    <t>4067</t>
  </si>
  <si>
    <t>4080</t>
  </si>
  <si>
    <t>5707</t>
  </si>
  <si>
    <t>4309</t>
  </si>
  <si>
    <t>5561</t>
  </si>
  <si>
    <t>5589</t>
  </si>
  <si>
    <t>6943</t>
  </si>
  <si>
    <t>7214</t>
  </si>
  <si>
    <t>7217</t>
  </si>
  <si>
    <t>4493</t>
  </si>
  <si>
    <t>5236</t>
  </si>
  <si>
    <t>7216</t>
  </si>
  <si>
    <t>7252</t>
  </si>
  <si>
    <t>2983</t>
  </si>
  <si>
    <t>4295</t>
  </si>
  <si>
    <t>4303</t>
  </si>
  <si>
    <t>5149</t>
  </si>
  <si>
    <t>5331</t>
  </si>
  <si>
    <t>7255</t>
  </si>
  <si>
    <t>4326</t>
  </si>
  <si>
    <t>4330</t>
  </si>
  <si>
    <t>4333</t>
  </si>
  <si>
    <t>5046</t>
  </si>
  <si>
    <t>7302</t>
  </si>
  <si>
    <t>7303</t>
  </si>
  <si>
    <t>3423</t>
  </si>
  <si>
    <t>4144</t>
  </si>
  <si>
    <t>5369</t>
  </si>
  <si>
    <t>6177</t>
  </si>
  <si>
    <t>7298</t>
  </si>
  <si>
    <t>4392</t>
  </si>
  <si>
    <t>4395</t>
  </si>
  <si>
    <t>4401</t>
  </si>
  <si>
    <t>4410</t>
  </si>
  <si>
    <t>5228</t>
  </si>
  <si>
    <t>5405</t>
  </si>
  <si>
    <t>5411</t>
  </si>
  <si>
    <t>5703</t>
  </si>
  <si>
    <t>3494</t>
  </si>
  <si>
    <t>4310</t>
  </si>
  <si>
    <t>4442</t>
  </si>
  <si>
    <t>4443</t>
  </si>
  <si>
    <t>3251</t>
  </si>
  <si>
    <t>4301</t>
  </si>
  <si>
    <t>6134</t>
  </si>
  <si>
    <t>7043</t>
  </si>
  <si>
    <t>4510</t>
  </si>
  <si>
    <t>4553</t>
  </si>
  <si>
    <t>4558</t>
  </si>
  <si>
    <t>6122</t>
  </si>
  <si>
    <t>3699</t>
  </si>
  <si>
    <t>4617</t>
  </si>
  <si>
    <t>5263</t>
  </si>
  <si>
    <t>4416</t>
  </si>
  <si>
    <t>4419</t>
  </si>
  <si>
    <t>4429</t>
  </si>
  <si>
    <t>4432</t>
  </si>
  <si>
    <t>4545</t>
  </si>
  <si>
    <t>3150</t>
  </si>
  <si>
    <t>4490</t>
  </si>
  <si>
    <t>4464</t>
  </si>
  <si>
    <t>4469</t>
  </si>
  <si>
    <t>4880</t>
  </si>
  <si>
    <t>5047</t>
  </si>
  <si>
    <t>5126</t>
  </si>
  <si>
    <t>6782</t>
  </si>
  <si>
    <t>7299</t>
  </si>
  <si>
    <t>4628</t>
  </si>
  <si>
    <t>5398</t>
  </si>
  <si>
    <t>7133</t>
  </si>
  <si>
    <t>6176</t>
  </si>
  <si>
    <t>6827</t>
  </si>
  <si>
    <t>7196</t>
  </si>
  <si>
    <t>4090</t>
  </si>
  <si>
    <t>4103</t>
  </si>
  <si>
    <t>4106</t>
  </si>
  <si>
    <t>4109</t>
  </si>
  <si>
    <t>4117</t>
  </si>
  <si>
    <t>4125</t>
  </si>
  <si>
    <t>3542</t>
  </si>
  <si>
    <t>3588</t>
  </si>
  <si>
    <t>4534</t>
  </si>
  <si>
    <t>5415</t>
  </si>
  <si>
    <t>5567</t>
  </si>
  <si>
    <t>4573</t>
  </si>
  <si>
    <t>4577</t>
  </si>
  <si>
    <t>4629</t>
  </si>
  <si>
    <t>4631</t>
  </si>
  <si>
    <t>4636</t>
  </si>
  <si>
    <t>3401</t>
  </si>
  <si>
    <t>3411</t>
  </si>
  <si>
    <t>4596</t>
  </si>
  <si>
    <t>4597</t>
  </si>
  <si>
    <t>4598</t>
  </si>
  <si>
    <t>5491</t>
  </si>
  <si>
    <t>3647</t>
  </si>
  <si>
    <t>3653</t>
  </si>
  <si>
    <t>4565</t>
  </si>
  <si>
    <t>4584</t>
  </si>
  <si>
    <t>5381</t>
  </si>
  <si>
    <t>5426</t>
  </si>
  <si>
    <t>3404</t>
  </si>
  <si>
    <t>3405</t>
  </si>
  <si>
    <t>3420</t>
  </si>
  <si>
    <t>4594</t>
  </si>
  <si>
    <t>4595</t>
  </si>
  <si>
    <t>4451</t>
  </si>
  <si>
    <t>4462</t>
  </si>
  <si>
    <t>4875</t>
  </si>
  <si>
    <t>5025</t>
  </si>
  <si>
    <t>5304</t>
  </si>
  <si>
    <t>5305</t>
  </si>
  <si>
    <t>6825</t>
  </si>
  <si>
    <t>6927</t>
  </si>
  <si>
    <t>7055</t>
  </si>
  <si>
    <t>7305</t>
  </si>
  <si>
    <t>4836</t>
  </si>
  <si>
    <t>5190</t>
  </si>
  <si>
    <t>6206</t>
  </si>
  <si>
    <t>6207</t>
  </si>
  <si>
    <t>6948</t>
  </si>
  <si>
    <t>2919</t>
  </si>
  <si>
    <t>4614</t>
  </si>
  <si>
    <t>4853</t>
  </si>
  <si>
    <t>4859</t>
  </si>
  <si>
    <t>4864</t>
  </si>
  <si>
    <t>3648</t>
  </si>
  <si>
    <t>3670</t>
  </si>
  <si>
    <t>3678</t>
  </si>
  <si>
    <t>4896</t>
  </si>
  <si>
    <t>5327</t>
  </si>
  <si>
    <t>2913</t>
  </si>
  <si>
    <t>6181</t>
  </si>
  <si>
    <t>7046</t>
  </si>
  <si>
    <t>2948</t>
  </si>
  <si>
    <t>3517</t>
  </si>
  <si>
    <t>4382</t>
  </si>
  <si>
    <t>5143</t>
  </si>
  <si>
    <t>7246</t>
  </si>
  <si>
    <t>4199</t>
  </si>
  <si>
    <t>5224</t>
  </si>
  <si>
    <t>5226</t>
  </si>
  <si>
    <t>5229</t>
  </si>
  <si>
    <t>5230</t>
  </si>
  <si>
    <t>3477</t>
  </si>
  <si>
    <t>5416</t>
  </si>
  <si>
    <t>5431</t>
  </si>
  <si>
    <t>3652</t>
  </si>
  <si>
    <t>5262</t>
  </si>
  <si>
    <t>6820</t>
  </si>
  <si>
    <t>5084</t>
  </si>
  <si>
    <t>5088</t>
  </si>
  <si>
    <t>5089</t>
  </si>
  <si>
    <t>3023</t>
  </si>
  <si>
    <t>4500</t>
  </si>
  <si>
    <t>6288</t>
  </si>
  <si>
    <t>5024</t>
  </si>
  <si>
    <t>5221</t>
  </si>
  <si>
    <t>3665</t>
  </si>
  <si>
    <t>5357</t>
  </si>
  <si>
    <t>5383</t>
  </si>
  <si>
    <t>4108</t>
  </si>
  <si>
    <t>4114</t>
  </si>
  <si>
    <t>4118</t>
  </si>
  <si>
    <t>4127</t>
  </si>
  <si>
    <t>5122</t>
  </si>
  <si>
    <t>5125</t>
  </si>
  <si>
    <t>5127</t>
  </si>
  <si>
    <t>5130</t>
  </si>
  <si>
    <t>5195</t>
  </si>
  <si>
    <t>4867</t>
  </si>
  <si>
    <t>5222</t>
  </si>
  <si>
    <t>5223</t>
  </si>
  <si>
    <t>5432</t>
  </si>
  <si>
    <t>4835</t>
  </si>
  <si>
    <t>5185</t>
  </si>
  <si>
    <t>5187</t>
  </si>
  <si>
    <t>5188</t>
  </si>
  <si>
    <t>3692</t>
  </si>
  <si>
    <t>4499</t>
  </si>
  <si>
    <t>5179</t>
  </si>
  <si>
    <t>7047</t>
  </si>
  <si>
    <t>7247</t>
  </si>
  <si>
    <t>4418</t>
  </si>
  <si>
    <t>5235</t>
  </si>
  <si>
    <t>6052</t>
  </si>
  <si>
    <t>5140</t>
  </si>
  <si>
    <t>5278</t>
  </si>
  <si>
    <t>5279</t>
  </si>
  <si>
    <t>7301</t>
  </si>
  <si>
    <t>3391</t>
  </si>
  <si>
    <t>3395</t>
  </si>
  <si>
    <t>3414</t>
  </si>
  <si>
    <t>3415</t>
  </si>
  <si>
    <t>3438</t>
  </si>
  <si>
    <t>3473</t>
  </si>
  <si>
    <t>4398</t>
  </si>
  <si>
    <t>4400</t>
  </si>
  <si>
    <t>4409</t>
  </si>
  <si>
    <t>5227</t>
  </si>
  <si>
    <t>4627</t>
  </si>
  <si>
    <t>5151</t>
  </si>
  <si>
    <t>5284</t>
  </si>
  <si>
    <t>4402</t>
  </si>
  <si>
    <t>4460</t>
  </si>
  <si>
    <t>5407</t>
  </si>
  <si>
    <t>5409</t>
  </si>
  <si>
    <t>5412</t>
  </si>
  <si>
    <t>3008</t>
  </si>
  <si>
    <t>3117</t>
  </si>
  <si>
    <t>4140</t>
  </si>
  <si>
    <t>7052</t>
  </si>
  <si>
    <t>4318</t>
  </si>
  <si>
    <t>5361</t>
  </si>
  <si>
    <t>7026</t>
  </si>
  <si>
    <t>7105</t>
  </si>
  <si>
    <t>5393</t>
  </si>
  <si>
    <t>6289</t>
  </si>
  <si>
    <t>6831</t>
  </si>
  <si>
    <t>3527</t>
  </si>
  <si>
    <t>4613</t>
  </si>
  <si>
    <t>5396</t>
  </si>
  <si>
    <t>5564</t>
  </si>
  <si>
    <t>5495</t>
  </si>
  <si>
    <t>5690</t>
  </si>
  <si>
    <t>5691</t>
  </si>
  <si>
    <t>5692</t>
  </si>
  <si>
    <t>5693</t>
  </si>
  <si>
    <t>4569</t>
  </si>
  <si>
    <t>4576</t>
  </si>
  <si>
    <t>4578</t>
  </si>
  <si>
    <t>4635</t>
  </si>
  <si>
    <t>3642</t>
  </si>
  <si>
    <t>3659</t>
  </si>
  <si>
    <t>3667</t>
  </si>
  <si>
    <t>4905</t>
  </si>
  <si>
    <t>5355</t>
  </si>
  <si>
    <t>4051</t>
  </si>
  <si>
    <t>4085</t>
  </si>
  <si>
    <t>5594</t>
  </si>
  <si>
    <t>4857</t>
  </si>
  <si>
    <t>5272</t>
  </si>
  <si>
    <t>6480</t>
  </si>
  <si>
    <t>6481</t>
  </si>
  <si>
    <t>6620</t>
  </si>
  <si>
    <t>3123</t>
  </si>
  <si>
    <t>5315</t>
  </si>
  <si>
    <t>6254</t>
  </si>
  <si>
    <t>7147</t>
  </si>
  <si>
    <t>3077</t>
  </si>
  <si>
    <t>4367</t>
  </si>
  <si>
    <t>4486</t>
  </si>
  <si>
    <t>4497</t>
  </si>
  <si>
    <t>5273</t>
  </si>
  <si>
    <t>5422</t>
  </si>
  <si>
    <t>5709</t>
  </si>
  <si>
    <t>4535</t>
  </si>
  <si>
    <t>4656</t>
  </si>
  <si>
    <t>4862</t>
  </si>
  <si>
    <t>5563</t>
  </si>
  <si>
    <t>4877</t>
  </si>
  <si>
    <t>5698</t>
  </si>
  <si>
    <t>5885</t>
  </si>
  <si>
    <t>6454</t>
  </si>
  <si>
    <t>3015</t>
  </si>
  <si>
    <t>4651</t>
  </si>
  <si>
    <t>5260</t>
  </si>
  <si>
    <t>5644</t>
  </si>
  <si>
    <t>3622</t>
  </si>
  <si>
    <t>5388</t>
  </si>
  <si>
    <t>5493</t>
  </si>
  <si>
    <t>4855</t>
  </si>
  <si>
    <t>4860</t>
  </si>
  <si>
    <t>5270</t>
  </si>
  <si>
    <t>5645</t>
  </si>
  <si>
    <t>6026</t>
  </si>
  <si>
    <t>6065</t>
  </si>
  <si>
    <t>6070</t>
  </si>
  <si>
    <t>6482</t>
  </si>
  <si>
    <t>6483</t>
  </si>
  <si>
    <t>3349</t>
  </si>
  <si>
    <t>4312</t>
  </si>
  <si>
    <t>4446</t>
  </si>
  <si>
    <t>4478</t>
  </si>
  <si>
    <t>4567</t>
  </si>
  <si>
    <t>5387</t>
  </si>
  <si>
    <t>5979</t>
  </si>
  <si>
    <t>6050</t>
  </si>
  <si>
    <t>6492</t>
  </si>
  <si>
    <t>6494</t>
  </si>
  <si>
    <t>6627</t>
  </si>
  <si>
    <t>6926</t>
  </si>
  <si>
    <t>6929</t>
  </si>
  <si>
    <t>7177</t>
  </si>
  <si>
    <t>7201</t>
  </si>
  <si>
    <t>5318</t>
  </si>
  <si>
    <t>5319</t>
  </si>
  <si>
    <t>5389</t>
  </si>
  <si>
    <t>5643</t>
  </si>
  <si>
    <t>4394</t>
  </si>
  <si>
    <t>4404</t>
  </si>
  <si>
    <t>5705</t>
  </si>
  <si>
    <t>6924</t>
  </si>
  <si>
    <t>5647</t>
  </si>
  <si>
    <t>5699</t>
  </si>
  <si>
    <t>5884</t>
  </si>
  <si>
    <t>5916</t>
  </si>
  <si>
    <t>6068</t>
  </si>
  <si>
    <t>6069</t>
  </si>
  <si>
    <t>5082</t>
  </si>
  <si>
    <t>5380</t>
  </si>
  <si>
    <t>5384</t>
  </si>
  <si>
    <t>5385</t>
  </si>
  <si>
    <t>5403</t>
  </si>
  <si>
    <t>5696</t>
  </si>
  <si>
    <t>5981</t>
  </si>
  <si>
    <t>6048</t>
  </si>
  <si>
    <t>6907</t>
  </si>
  <si>
    <t>4611</t>
  </si>
  <si>
    <t>4865</t>
  </si>
  <si>
    <t>5310</t>
  </si>
  <si>
    <t>5701</t>
  </si>
  <si>
    <t>4423</t>
  </si>
  <si>
    <t>6061</t>
  </si>
  <si>
    <t>5368</t>
  </si>
  <si>
    <t>5494</t>
  </si>
  <si>
    <t>5702</t>
  </si>
  <si>
    <t>5983</t>
  </si>
  <si>
    <t>5984</t>
  </si>
  <si>
    <t>6062</t>
  </si>
  <si>
    <t>6199</t>
  </si>
  <si>
    <t>5366</t>
  </si>
  <si>
    <t>5391</t>
  </si>
  <si>
    <t>6005</t>
  </si>
  <si>
    <t>4866</t>
  </si>
  <si>
    <t>6053</t>
  </si>
  <si>
    <t>6060</t>
  </si>
  <si>
    <t>5424</t>
  </si>
  <si>
    <t>5429</t>
  </si>
  <si>
    <t>5708</t>
  </si>
  <si>
    <t>6027</t>
  </si>
  <si>
    <t>6063</t>
  </si>
  <si>
    <t>6618</t>
  </si>
  <si>
    <t>6619</t>
  </si>
  <si>
    <t>4555</t>
  </si>
  <si>
    <t>7308</t>
  </si>
  <si>
    <t>2922</t>
  </si>
  <si>
    <t>3241</t>
  </si>
  <si>
    <t>7010</t>
  </si>
  <si>
    <t>5372</t>
  </si>
  <si>
    <t>6180</t>
  </si>
  <si>
    <t>7042</t>
  </si>
  <si>
    <t>7044</t>
  </si>
  <si>
    <t>5150</t>
  </si>
  <si>
    <t>6616</t>
  </si>
  <si>
    <t>7129</t>
  </si>
  <si>
    <t>2984</t>
  </si>
  <si>
    <t>3484</t>
  </si>
  <si>
    <t>6138</t>
  </si>
  <si>
    <t>6402</t>
  </si>
  <si>
    <t>3520</t>
  </si>
  <si>
    <t>6411</t>
  </si>
  <si>
    <t>4592</t>
  </si>
  <si>
    <t>6066</t>
  </si>
  <si>
    <t>6433</t>
  </si>
  <si>
    <t>6475</t>
  </si>
  <si>
    <t>5420</t>
  </si>
  <si>
    <t>6432</t>
  </si>
  <si>
    <t>6617</t>
  </si>
  <si>
    <t>3643</t>
  </si>
  <si>
    <t>3675</t>
  </si>
  <si>
    <t>4562</t>
  </si>
  <si>
    <t>4904</t>
  </si>
  <si>
    <t>6629</t>
  </si>
  <si>
    <t>6819</t>
  </si>
  <si>
    <t>6925</t>
  </si>
  <si>
    <t>6928</t>
  </si>
  <si>
    <t>7176</t>
  </si>
  <si>
    <t>6906</t>
  </si>
  <si>
    <t>3013</t>
  </si>
  <si>
    <t>6613</t>
  </si>
  <si>
    <t>6944</t>
  </si>
  <si>
    <t>7215</t>
  </si>
  <si>
    <t>4111</t>
  </si>
  <si>
    <t>4869</t>
  </si>
  <si>
    <t>5496</t>
  </si>
  <si>
    <t>6488</t>
  </si>
  <si>
    <t>7304</t>
  </si>
  <si>
    <t>4863</t>
  </si>
  <si>
    <t>6455</t>
  </si>
  <si>
    <t>6457</t>
  </si>
  <si>
    <t>7297</t>
  </si>
  <si>
    <t>2911</t>
  </si>
  <si>
    <t>7219</t>
  </si>
  <si>
    <t>7220</t>
  </si>
  <si>
    <t>4822</t>
  </si>
  <si>
    <t>6949</t>
  </si>
  <si>
    <t>6950</t>
  </si>
  <si>
    <t>2867</t>
  </si>
  <si>
    <t>2990</t>
  </si>
  <si>
    <t>3559</t>
  </si>
  <si>
    <t>6614</t>
  </si>
  <si>
    <t>7294</t>
  </si>
  <si>
    <t xml:space="preserve"> 7332-MAlfaqih</t>
  </si>
  <si>
    <t xml:space="preserve"> 4568-YAlayani</t>
  </si>
  <si>
    <t xml:space="preserve"> 5233-AIskandar</t>
  </si>
  <si>
    <t>StaffID</t>
  </si>
  <si>
    <t>7332</t>
  </si>
  <si>
    <t>4568</t>
  </si>
  <si>
    <t>5233</t>
  </si>
  <si>
    <t>Unique ID</t>
  </si>
  <si>
    <t>ALAQUEQ2958</t>
  </si>
  <si>
    <t>ALAQUEQ4321</t>
  </si>
  <si>
    <t>ALAQUEQ4339</t>
  </si>
  <si>
    <t>ALAQUEQ5146</t>
  </si>
  <si>
    <t>ALAQUEQ6491</t>
  </si>
  <si>
    <t>ALAQUEQ7074</t>
  </si>
  <si>
    <t>ALAQUEQ7296</t>
  </si>
  <si>
    <t>MEDAD2900</t>
  </si>
  <si>
    <t>MEDAD2959</t>
  </si>
  <si>
    <t>MEDAD3516</t>
  </si>
  <si>
    <t>MEDAD7194</t>
  </si>
  <si>
    <t>MEDAD7295</t>
  </si>
  <si>
    <t>SMARTSH4348</t>
  </si>
  <si>
    <t>SMARTSH5365</t>
  </si>
  <si>
    <t>SMARTSH6287</t>
  </si>
  <si>
    <t>ALAZIZIYAH3121</t>
  </si>
  <si>
    <t>ALAZIZIYAH3514</t>
  </si>
  <si>
    <t>ALAZIZIYAH3695</t>
  </si>
  <si>
    <t>ALAZIZIYAH4502</t>
  </si>
  <si>
    <t>HAMDANYA3255</t>
  </si>
  <si>
    <t>HAMDANYA4298</t>
  </si>
  <si>
    <t>HAMDANYA5234</t>
  </si>
  <si>
    <t>HAMDANYA5490</t>
  </si>
  <si>
    <t>HAMDANYA7041</t>
  </si>
  <si>
    <t>HAMDANYA7212</t>
  </si>
  <si>
    <t>SALAMA2901</t>
  </si>
  <si>
    <t>SALAMA2987</t>
  </si>
  <si>
    <t>SALAMA3016</t>
  </si>
  <si>
    <t>SALAMA3074</t>
  </si>
  <si>
    <t>SALAMA3247</t>
  </si>
  <si>
    <t>SALAMA3490</t>
  </si>
  <si>
    <t>SALAMA4642</t>
  </si>
  <si>
    <t>TAHLIAST2996</t>
  </si>
  <si>
    <t>TAHLIAST4297</t>
  </si>
  <si>
    <t>TAHLIAST5320</t>
  </si>
  <si>
    <t>TAHLIAST7061</t>
  </si>
  <si>
    <t>ANDLUSMALL2900</t>
  </si>
  <si>
    <t>ANDLUSMALL3476</t>
  </si>
  <si>
    <t>ANDLUSMALL3478</t>
  </si>
  <si>
    <t>ANDLUSMALL4305</t>
  </si>
  <si>
    <t>ANDLUSMALL4447</t>
  </si>
  <si>
    <t>ANDLUSMALL4449</t>
  </si>
  <si>
    <t>ANDLUSMALL4538</t>
  </si>
  <si>
    <t>ABHATIMESQ3412</t>
  </si>
  <si>
    <t>ABHATIMESQ3427</t>
  </si>
  <si>
    <t>ABHATIMESQ3430</t>
  </si>
  <si>
    <t>ABHATIMESQ3436</t>
  </si>
  <si>
    <t>ABHATIMESQ3439</t>
  </si>
  <si>
    <t>ABHATIMESQ3440</t>
  </si>
  <si>
    <t>ABHATIMESQ4599</t>
  </si>
  <si>
    <t>ALSHATEA2992</t>
  </si>
  <si>
    <t>ALSHATEA3029</t>
  </si>
  <si>
    <t>ALSHATEA4645</t>
  </si>
  <si>
    <t>ALSHATEA5108</t>
  </si>
  <si>
    <t>ALSHAWGIYAH3620</t>
  </si>
  <si>
    <t>ALSHAWGIYAH3645</t>
  </si>
  <si>
    <t>ALSHAWGIYAH3658</t>
  </si>
  <si>
    <t>ALSHAWGIYAH3676</t>
  </si>
  <si>
    <t>ALSHAWGIYAH3689</t>
  </si>
  <si>
    <t>ALSHAWGIYAH4563</t>
  </si>
  <si>
    <t>ALSHAWGIYAH5425</t>
  </si>
  <si>
    <t>ALBUSTAN4107</t>
  </si>
  <si>
    <t>ALBUSTAN4113</t>
  </si>
  <si>
    <t>ALBUSTAN4116</t>
  </si>
  <si>
    <t>ALBUSTAN4120</t>
  </si>
  <si>
    <t>ALBUSTAN4147</t>
  </si>
  <si>
    <t>ALBUSTAN4192</t>
  </si>
  <si>
    <t>ALBUSTAN4205</t>
  </si>
  <si>
    <t>ALBUSTAN5121</t>
  </si>
  <si>
    <t>ALBUSTAN5123</t>
  </si>
  <si>
    <t>ALHAZIM3394</t>
  </si>
  <si>
    <t>ALHAZIM3424</t>
  </si>
  <si>
    <t>ALHAZIM3433</t>
  </si>
  <si>
    <t>ALHAZIM3435</t>
  </si>
  <si>
    <t>ALHAZIM6456</t>
  </si>
  <si>
    <t>SHIHAR3528</t>
  </si>
  <si>
    <t>SHIHAR3530</t>
  </si>
  <si>
    <t>SHIHAR3534</t>
  </si>
  <si>
    <t>SHIHAR3711</t>
  </si>
  <si>
    <t>SHIHAR4609</t>
  </si>
  <si>
    <t>SHIHAR5565</t>
  </si>
  <si>
    <t>SHIHAR5566</t>
  </si>
  <si>
    <t>SHIHAR5867</t>
  </si>
  <si>
    <t>KFAHADRD2960</t>
  </si>
  <si>
    <t>KFAHADRD3512</t>
  </si>
  <si>
    <t>KFAHADRD3521</t>
  </si>
  <si>
    <t>KFAHADRD4354</t>
  </si>
  <si>
    <t>KFAHADRD4501</t>
  </si>
  <si>
    <t>KFAHADRD4542</t>
  </si>
  <si>
    <t>OTHAFAN2930</t>
  </si>
  <si>
    <t>OTHAFAN3701</t>
  </si>
  <si>
    <t>OTHAFAN4314</t>
  </si>
  <si>
    <t>OTHAFAN7248</t>
  </si>
  <si>
    <t>ALWATANIAH4163</t>
  </si>
  <si>
    <t>ALWATANIAH4172</t>
  </si>
  <si>
    <t>ALWATANIAH4184</t>
  </si>
  <si>
    <t>ALWATANIAH5489</t>
  </si>
  <si>
    <t>ALWATANIAH5492</t>
  </si>
  <si>
    <t>ALWATANIAH5497</t>
  </si>
  <si>
    <t>ALWATANIAH5982</t>
  </si>
  <si>
    <t>ALWATANIAH5985</t>
  </si>
  <si>
    <t>ALWATANIAH6197</t>
  </si>
  <si>
    <t>ALWATANIAH6198</t>
  </si>
  <si>
    <t>HAKHAYLPLZ6103</t>
  </si>
  <si>
    <t>HAKHAYLPLZ6104</t>
  </si>
  <si>
    <t>HAKHAYLPLZ6105</t>
  </si>
  <si>
    <t>MILAGROPLZ4044</t>
  </si>
  <si>
    <t>MILAGROPLZ4046</t>
  </si>
  <si>
    <t>MILAGROPLZ4053</t>
  </si>
  <si>
    <t>MILAGROPLZ4062</t>
  </si>
  <si>
    <t>MILAGROPLZ4067</t>
  </si>
  <si>
    <t>MILAGROPLZ4080</t>
  </si>
  <si>
    <t>MILAGROPLZ5707</t>
  </si>
  <si>
    <t>JEDDPARK4309</t>
  </si>
  <si>
    <t>JEDDPARK5320</t>
  </si>
  <si>
    <t>JEDDPARK5561</t>
  </si>
  <si>
    <t>JEDDPARK5589</t>
  </si>
  <si>
    <t>JEDDPARK6943</t>
  </si>
  <si>
    <t>JEDDPARK7214</t>
  </si>
  <si>
    <t>JEDDPARK7217</t>
  </si>
  <si>
    <t>JEDDAZIZ4493</t>
  </si>
  <si>
    <t>JEDDAZIZ5236</t>
  </si>
  <si>
    <t>JEDDAZIZ7216</t>
  </si>
  <si>
    <t>JEDDAZIZ7252</t>
  </si>
  <si>
    <t>JEDDARAB2983</t>
  </si>
  <si>
    <t>JEDDARAB4295</t>
  </si>
  <si>
    <t>JEDDARAB4303</t>
  </si>
  <si>
    <t>JEDDARAB5149</t>
  </si>
  <si>
    <t>JEDDARAB5331</t>
  </si>
  <si>
    <t>JEDDARAB7255</t>
  </si>
  <si>
    <t>JUBGALRY4326</t>
  </si>
  <si>
    <t>JUBGALRY4330</t>
  </si>
  <si>
    <t>JUBGALRY4333</t>
  </si>
  <si>
    <t>JUBGALRY5046</t>
  </si>
  <si>
    <t>JUBGALRY7302</t>
  </si>
  <si>
    <t>JUBGALRY7303</t>
  </si>
  <si>
    <t>RYDNAKHL3423</t>
  </si>
  <si>
    <t>RYDNAKHL4144</t>
  </si>
  <si>
    <t>RYDNAKHL5369</t>
  </si>
  <si>
    <t>RYDNAKHL6177</t>
  </si>
  <si>
    <t>RYDNAKHL7298</t>
  </si>
  <si>
    <t>JIZWFPLZ4392</t>
  </si>
  <si>
    <t>JIZWFPLZ4395</t>
  </si>
  <si>
    <t>JIZWFPLZ4401</t>
  </si>
  <si>
    <t>JIZWFPLZ4410</t>
  </si>
  <si>
    <t>JIZWFPLZ5228</t>
  </si>
  <si>
    <t>JIZWFPLZ5405</t>
  </si>
  <si>
    <t>JIZWFPLZ5411</t>
  </si>
  <si>
    <t>JIZWFPLZ5703</t>
  </si>
  <si>
    <t>JEDDYASMN3494</t>
  </si>
  <si>
    <t>JEDDYASMN4310</t>
  </si>
  <si>
    <t>JEDDYASMN4442</t>
  </si>
  <si>
    <t>JEDDYASMN4443</t>
  </si>
  <si>
    <t>JEDDYASMN5561</t>
  </si>
  <si>
    <t>JEDDYASMN7214</t>
  </si>
  <si>
    <t>JEDDSALAM3251</t>
  </si>
  <si>
    <t>JEDDSALAM4301</t>
  </si>
  <si>
    <t>JEDDSALAM6134</t>
  </si>
  <si>
    <t>JEDDSALAM7043</t>
  </si>
  <si>
    <t>RYDVIEW4510</t>
  </si>
  <si>
    <t>RYDVIEW6177</t>
  </si>
  <si>
    <t>YANBUMALL4553</t>
  </si>
  <si>
    <t>YANBUMALL4558</t>
  </si>
  <si>
    <t>YANBUMALL6122</t>
  </si>
  <si>
    <t>MADNOOR3699</t>
  </si>
  <si>
    <t>MADNOOR4617</t>
  </si>
  <si>
    <t>MADNOOR5263</t>
  </si>
  <si>
    <t>BURNPLAZ4416</t>
  </si>
  <si>
    <t>BURNPLAZ4419</t>
  </si>
  <si>
    <t>BURNPLAZ4429</t>
  </si>
  <si>
    <t>BURNPLAZ4432</t>
  </si>
  <si>
    <t>BURNPLAZ4545</t>
  </si>
  <si>
    <t>RYDUWALK3150</t>
  </si>
  <si>
    <t>RYDUWALK4490</t>
  </si>
  <si>
    <t>RYDUWALK6491</t>
  </si>
  <si>
    <t>DAMNAKHL4464</t>
  </si>
  <si>
    <t>DAMNAKHL4469</t>
  </si>
  <si>
    <t>DAMNAKHL4880</t>
  </si>
  <si>
    <t>DAMNAKHL5047</t>
  </si>
  <si>
    <t>DAMNAKHL5126</t>
  </si>
  <si>
    <t>DAMNAKHL6782</t>
  </si>
  <si>
    <t>DAMNAKHL7299</t>
  </si>
  <si>
    <t>JEDDHAIFA4628</t>
  </si>
  <si>
    <t>JEDDHAIFA5398</t>
  </si>
  <si>
    <t>JEDDHAIFA7133</t>
  </si>
  <si>
    <t>RYDTALA6176</t>
  </si>
  <si>
    <t>RYDTALA6827</t>
  </si>
  <si>
    <t>RYDTALA7196</t>
  </si>
  <si>
    <t>HASEHSA4090</t>
  </si>
  <si>
    <t>HASEHSA4103</t>
  </si>
  <si>
    <t>HASEHSA4106</t>
  </si>
  <si>
    <t>HASEHSA4107</t>
  </si>
  <si>
    <t>HASEHSA4109</t>
  </si>
  <si>
    <t>HASEHSA4117</t>
  </si>
  <si>
    <t>HASEHSA4125</t>
  </si>
  <si>
    <t>HATAIFJRY3542</t>
  </si>
  <si>
    <t>HATAIFJRY3588</t>
  </si>
  <si>
    <t>HATAIFJRY4534</t>
  </si>
  <si>
    <t>HATAIFJRY5415</t>
  </si>
  <si>
    <t>HATAIFJRY5567</t>
  </si>
  <si>
    <t>HANAJRPAR4573</t>
  </si>
  <si>
    <t>HANAJRPAR4577</t>
  </si>
  <si>
    <t>HANAJRPAR4629</t>
  </si>
  <si>
    <t>HANAJRPAR4631</t>
  </si>
  <si>
    <t>HANAJRPAR4636</t>
  </si>
  <si>
    <t>HAKHAMBLV3401</t>
  </si>
  <si>
    <t>HAKHAMBLV3411</t>
  </si>
  <si>
    <t>HAKHAMBLV4469</t>
  </si>
  <si>
    <t>HAKHAMBLV4596</t>
  </si>
  <si>
    <t>HAKHAMBLV4597</t>
  </si>
  <si>
    <t>HAKHAMBLV4598</t>
  </si>
  <si>
    <t>HAKHAMBLV5491</t>
  </si>
  <si>
    <t>HAMAKKMAL3647</t>
  </si>
  <si>
    <t>HAMAKKMAL3653</t>
  </si>
  <si>
    <t>HAMAKKMAL4565</t>
  </si>
  <si>
    <t>HAMAKKMAL4584</t>
  </si>
  <si>
    <t>HAMAKKMAL5381</t>
  </si>
  <si>
    <t>HAMAKKMAL5426</t>
  </si>
  <si>
    <t>HAMUJANPRK3404</t>
  </si>
  <si>
    <t>HAMUJANPRK3405</t>
  </si>
  <si>
    <t>HAMUJANPRK3420</t>
  </si>
  <si>
    <t>HAMUJANPRK4594</t>
  </si>
  <si>
    <t>HAMUJANPRK4595</t>
  </si>
  <si>
    <t>HAMUJANPRK5491</t>
  </si>
  <si>
    <t>HASHKAVNUE4451</t>
  </si>
  <si>
    <t>HASHKAVNUE4462</t>
  </si>
  <si>
    <t>HASHKAVNUE4875</t>
  </si>
  <si>
    <t>HASHKAVNUE5025</t>
  </si>
  <si>
    <t>HASHKAVNUE5304</t>
  </si>
  <si>
    <t>HASHKAVNUE5305</t>
  </si>
  <si>
    <t>HASHKAVNUE6825</t>
  </si>
  <si>
    <t>HASHKAVNUE6927</t>
  </si>
  <si>
    <t>HASHKAVNUE7055</t>
  </si>
  <si>
    <t>HASHKAVNUE7305</t>
  </si>
  <si>
    <t>HAHAILZONE4836</t>
  </si>
  <si>
    <t>HAHAILZONE5190</t>
  </si>
  <si>
    <t>HAHAILZONE6206</t>
  </si>
  <si>
    <t>HAHAILZONE6207</t>
  </si>
  <si>
    <t>HAHAILZONE6948</t>
  </si>
  <si>
    <t>HAJWALK2919</t>
  </si>
  <si>
    <t>HAJWALK4614</t>
  </si>
  <si>
    <t>HAJWALK4853</t>
  </si>
  <si>
    <t>HAJWALK4859</t>
  </si>
  <si>
    <t>HAJWALK4864</t>
  </si>
  <si>
    <t>HAMYANYARD3648</t>
  </si>
  <si>
    <t>HAMYANYARD3670</t>
  </si>
  <si>
    <t>HAMYANYARD3678</t>
  </si>
  <si>
    <t>HAMYANYARD4896</t>
  </si>
  <si>
    <t>HAMYANYARD5327</t>
  </si>
  <si>
    <t>HARYDGALL2913</t>
  </si>
  <si>
    <t>HARYDGALL6181</t>
  </si>
  <si>
    <t>HARYDGALL7046</t>
  </si>
  <si>
    <t>HASALMMAL2948</t>
  </si>
  <si>
    <t>HASALMMAL3517</t>
  </si>
  <si>
    <t>HASALMMAL4382</t>
  </si>
  <si>
    <t>HASALMMAL5143</t>
  </si>
  <si>
    <t>HASALMMAL7246</t>
  </si>
  <si>
    <t>HALELEMALL4199</t>
  </si>
  <si>
    <t>HALELEMALL5224</t>
  </si>
  <si>
    <t>HALELEMALL5226</t>
  </si>
  <si>
    <t>HALELEMALL5229</t>
  </si>
  <si>
    <t>HALELEMALL5230</t>
  </si>
  <si>
    <t>HAOBHRPLZ3477</t>
  </si>
  <si>
    <t>HAOBHRPLZ4297</t>
  </si>
  <si>
    <t>HAOBHRPLZ5416</t>
  </si>
  <si>
    <t>HAOBHRPLZ5431</t>
  </si>
  <si>
    <t>HAMAJAZCC3652</t>
  </si>
  <si>
    <t>HAMAJAZCC5262</t>
  </si>
  <si>
    <t>HAMAJAZCC5426</t>
  </si>
  <si>
    <t>HAMAJAZCC6820</t>
  </si>
  <si>
    <t>HAQATIFCC5084</t>
  </si>
  <si>
    <t>HAQATIFCC5088</t>
  </si>
  <si>
    <t>HAQATIFCC5089</t>
  </si>
  <si>
    <t>HAQATIFCC5304</t>
  </si>
  <si>
    <t>HAOTRABWAH3023</t>
  </si>
  <si>
    <t>HAOTRABWAH4500</t>
  </si>
  <si>
    <t>HAOTRABWAH4502</t>
  </si>
  <si>
    <t>HAOTRABWAH6288</t>
  </si>
  <si>
    <t>HAJUBAILML4326</t>
  </si>
  <si>
    <t>HAJUBAILML5024</t>
  </si>
  <si>
    <t>HAJUBAILML5221</t>
  </si>
  <si>
    <t>HATASSPLZ3665</t>
  </si>
  <si>
    <t>HATASSPLZ5262</t>
  </si>
  <si>
    <t>HATASSPLZ5357</t>
  </si>
  <si>
    <t>HATASSPLZ5383</t>
  </si>
  <si>
    <t>HAOTHASS4103</t>
  </si>
  <si>
    <t>HAOTHASS4108</t>
  </si>
  <si>
    <t>HAOTHASS4114</t>
  </si>
  <si>
    <t>HAOTHASS4118</t>
  </si>
  <si>
    <t>HAOTHASS4127</t>
  </si>
  <si>
    <t>HAOTHASS5122</t>
  </si>
  <si>
    <t>HAOTHASS5123</t>
  </si>
  <si>
    <t>HACFRONT5125</t>
  </si>
  <si>
    <t>HACFRONT5127</t>
  </si>
  <si>
    <t>HACFRONT5130</t>
  </si>
  <si>
    <t>HACFRONT5195</t>
  </si>
  <si>
    <t>HAOTHDMM4867</t>
  </si>
  <si>
    <t>HAOTHDMM5222</t>
  </si>
  <si>
    <t>HAOTHDMM5223</t>
  </si>
  <si>
    <t>HAOTHDMM5432</t>
  </si>
  <si>
    <t>HAOTHDMM6825</t>
  </si>
  <si>
    <t>HAOTHHAIL4835</t>
  </si>
  <si>
    <t>HAOTHHAIL5185</t>
  </si>
  <si>
    <t>HAOTHHAIL5187</t>
  </si>
  <si>
    <t>HAOTHHAIL5188</t>
  </si>
  <si>
    <t>HACOMPLZ3692</t>
  </si>
  <si>
    <t>HACOMPLZ4499</t>
  </si>
  <si>
    <t>HACOMPLZ5179</t>
  </si>
  <si>
    <t>HACOMPLZ6176</t>
  </si>
  <si>
    <t>HACOMPLZ6827</t>
  </si>
  <si>
    <t>HACOMPLZ7047</t>
  </si>
  <si>
    <t>HACOMPLZ7196</t>
  </si>
  <si>
    <t>HACOMPLZ7247</t>
  </si>
  <si>
    <t>HAOTHMTH4418</t>
  </si>
  <si>
    <t>HAOTHMTH5235</t>
  </si>
  <si>
    <t>HAOTHMTH6052</t>
  </si>
  <si>
    <t>HADARENMAL5140</t>
  </si>
  <si>
    <t>HADARENMAL5278</t>
  </si>
  <si>
    <t>HADARENMAL5279</t>
  </si>
  <si>
    <t>HADARENMAL5304</t>
  </si>
  <si>
    <t>HADARENMAL7055</t>
  </si>
  <si>
    <t>HADARENMAL7301</t>
  </si>
  <si>
    <t>HARASHABH3391</t>
  </si>
  <si>
    <t>HARASHABH3395</t>
  </si>
  <si>
    <t>HARASHABH3414</t>
  </si>
  <si>
    <t>HARASHABH3415</t>
  </si>
  <si>
    <t>HARASHABH3438</t>
  </si>
  <si>
    <t>HARASHABH3473</t>
  </si>
  <si>
    <t>HAKADIMALL4398</t>
  </si>
  <si>
    <t>HAKADIMALL4400</t>
  </si>
  <si>
    <t>HAKADIMALL4409</t>
  </si>
  <si>
    <t>HAKADIMALL5227</t>
  </si>
  <si>
    <t>HAVILLAGE4627</t>
  </si>
  <si>
    <t>HAVILLAGE5151</t>
  </si>
  <si>
    <t>HAVILLAGE5284</t>
  </si>
  <si>
    <t>HAAZZANPLZ4402</t>
  </si>
  <si>
    <t>HAAZZANPLZ4460</t>
  </si>
  <si>
    <t>HAAZZANPLZ5407</t>
  </si>
  <si>
    <t>HAAZZANPLZ5409</t>
  </si>
  <si>
    <t>HAAZZANPLZ5412</t>
  </si>
  <si>
    <t>HAWAHABLVD3008</t>
  </si>
  <si>
    <t>HAWAHABLVD3117</t>
  </si>
  <si>
    <t>HAWAHABLVD4140</t>
  </si>
  <si>
    <t>HAWAHABLVD4297</t>
  </si>
  <si>
    <t>HAWAHABLVD7052</t>
  </si>
  <si>
    <t>HAQURSOQ4318</t>
  </si>
  <si>
    <t>HAQURSOQ5361</t>
  </si>
  <si>
    <t>HAQURSOQ7026</t>
  </si>
  <si>
    <t>HAQURSOQ7105</t>
  </si>
  <si>
    <t>HAARARSOQ5393</t>
  </si>
  <si>
    <t>HAARARSOQ6289</t>
  </si>
  <si>
    <t>HAARARSOQ6831</t>
  </si>
  <si>
    <t>HATERATIF3527</t>
  </si>
  <si>
    <t>HATERATIF4613</t>
  </si>
  <si>
    <t>HATERATIF5396</t>
  </si>
  <si>
    <t>HATERATIF5564</t>
  </si>
  <si>
    <t>HAGRIDPLZA5495</t>
  </si>
  <si>
    <t>HAGRIDPLZA5690</t>
  </si>
  <si>
    <t>HAGRIDPLZA5691</t>
  </si>
  <si>
    <t>HAGRIDPLZA5692</t>
  </si>
  <si>
    <t>HAGRIDPLZA5693</t>
  </si>
  <si>
    <t>HANJFRONT4569</t>
  </si>
  <si>
    <t>HANJFRONT4576</t>
  </si>
  <si>
    <t>HANJFRONT4578</t>
  </si>
  <si>
    <t>HANJFRONT4635</t>
  </si>
  <si>
    <t>HADANAMAK3642</t>
  </si>
  <si>
    <t>HADANAMAK3659</t>
  </si>
  <si>
    <t>HADANAMAK3667</t>
  </si>
  <si>
    <t>HADANAMAK4905</t>
  </si>
  <si>
    <t>HADANAMAK5355</t>
  </si>
  <si>
    <t>HATABUKPR4051</t>
  </si>
  <si>
    <t>HATABUKPR4053</t>
  </si>
  <si>
    <t>HATABUKPR4085</t>
  </si>
  <si>
    <t>HATABUKPR5594</t>
  </si>
  <si>
    <t>HAMAYASMAD4857</t>
  </si>
  <si>
    <t>HAMAYASMAD5272</t>
  </si>
  <si>
    <t>HAMAYASMAD6480</t>
  </si>
  <si>
    <t>HAMAYASMAD6481</t>
  </si>
  <si>
    <t>HAMAYASMAD6620</t>
  </si>
  <si>
    <t>HAKHURAIS3123</t>
  </si>
  <si>
    <t>HAKHURAIS5315</t>
  </si>
  <si>
    <t>HAKHURAIS6254</t>
  </si>
  <si>
    <t>HAKHURAIS7147</t>
  </si>
  <si>
    <t>HAMALQARYD3077</t>
  </si>
  <si>
    <t>HAMALQARYD4367</t>
  </si>
  <si>
    <t>HAMALQARYD4486</t>
  </si>
  <si>
    <t>HAMALQARYD4497</t>
  </si>
  <si>
    <t>HAMANRMAD5273</t>
  </si>
  <si>
    <t>HAMANRMAD5422</t>
  </si>
  <si>
    <t>HAMANRMAD5709</t>
  </si>
  <si>
    <t>HAPARKTAIF4535</t>
  </si>
  <si>
    <t>HAPARKTAIF4656</t>
  </si>
  <si>
    <t>HAPARKTAIF4862</t>
  </si>
  <si>
    <t>HAPARKTAIF5563</t>
  </si>
  <si>
    <t>HASULTANA4877</t>
  </si>
  <si>
    <t>HASULTANA5698</t>
  </si>
  <si>
    <t>HASULTANA5885</t>
  </si>
  <si>
    <t>HASULTANA6454</t>
  </si>
  <si>
    <t>HABAHAB3015</t>
  </si>
  <si>
    <t>HABAHAB4651</t>
  </si>
  <si>
    <t>HABAHAB5260</t>
  </si>
  <si>
    <t>HABAHAB5644</t>
  </si>
  <si>
    <t>HADIYAFAML3622</t>
  </si>
  <si>
    <t>HADIYAFAML5388</t>
  </si>
  <si>
    <t>HADIYAFAML5493</t>
  </si>
  <si>
    <t>HADARALEMN4855</t>
  </si>
  <si>
    <t>HADARALEMN4860</t>
  </si>
  <si>
    <t>HADARALEMN5270</t>
  </si>
  <si>
    <t>HADARALEMN5645</t>
  </si>
  <si>
    <t>HADARALEMN6026</t>
  </si>
  <si>
    <t>HADARALEMN6065</t>
  </si>
  <si>
    <t>HADARALEMN6070</t>
  </si>
  <si>
    <t>HADARALEMN6480</t>
  </si>
  <si>
    <t>HADARALEMN6482</t>
  </si>
  <si>
    <t>HADARALEMN6483</t>
  </si>
  <si>
    <t>HAAJAWED3349</t>
  </si>
  <si>
    <t>HAAJAWED4312</t>
  </si>
  <si>
    <t>HAAJAWED4446</t>
  </si>
  <si>
    <t>HAAJAWED4478</t>
  </si>
  <si>
    <t>HADARTAW24567</t>
  </si>
  <si>
    <t>HADARTAW25387</t>
  </si>
  <si>
    <t>HADARTAW25979</t>
  </si>
  <si>
    <t>HADARTAW26050</t>
  </si>
  <si>
    <t>HADARTAW26492</t>
  </si>
  <si>
    <t>HADARTAW26494</t>
  </si>
  <si>
    <t>HADARTAW26627</t>
  </si>
  <si>
    <t>HADARTAW26926</t>
  </si>
  <si>
    <t>HADARTAW26929</t>
  </si>
  <si>
    <t>HADARTAW27177</t>
  </si>
  <si>
    <t>HADARTAW27201</t>
  </si>
  <si>
    <t>HABAHAML5318</t>
  </si>
  <si>
    <t>HABAHAML5319</t>
  </si>
  <si>
    <t>HABAHAML5389</t>
  </si>
  <si>
    <t>HABAHAML5643</t>
  </si>
  <si>
    <t>HARASHJIZ4394</t>
  </si>
  <si>
    <t>HARASHJIZ4404</t>
  </si>
  <si>
    <t>HARASHJIZ5228</t>
  </si>
  <si>
    <t>HARASHJIZ5405</t>
  </si>
  <si>
    <t>HARASHJIZ5703</t>
  </si>
  <si>
    <t>HARASHJIZ5705</t>
  </si>
  <si>
    <t>HARASHJIZ6924</t>
  </si>
  <si>
    <t>HADLHTBHHT5645</t>
  </si>
  <si>
    <t>HADLHTBHHT5647</t>
  </si>
  <si>
    <t>HADLHTBHHT5699</t>
  </si>
  <si>
    <t>HADLHTBHHT5884</t>
  </si>
  <si>
    <t>HADLHTBHHT5916</t>
  </si>
  <si>
    <t>HADLHTBHHT6068</t>
  </si>
  <si>
    <t>HADLHTBHHT6069</t>
  </si>
  <si>
    <t>HAMAKHLTON5082</t>
  </si>
  <si>
    <t>HAMAKHLTON5380</t>
  </si>
  <si>
    <t>HAMAKHLTON5384</t>
  </si>
  <si>
    <t>HAMAKHLTON5385</t>
  </si>
  <si>
    <t>HAMAKHLTON5403</t>
  </si>
  <si>
    <t>HAMAKHLTON5696</t>
  </si>
  <si>
    <t>HAMAKHLTON5981</t>
  </si>
  <si>
    <t>HAMAKHLTON6048</t>
  </si>
  <si>
    <t>HAMAKHLTON6907</t>
  </si>
  <si>
    <t>HARASHMAD4611</t>
  </si>
  <si>
    <t>HARASHMAD4865</t>
  </si>
  <si>
    <t>HARASHMAD5310</t>
  </si>
  <si>
    <t>HARASHMAD5701</t>
  </si>
  <si>
    <t>HAJADBUR4423</t>
  </si>
  <si>
    <t>HAJADBUR4545</t>
  </si>
  <si>
    <t>HAJADBUR6061</t>
  </si>
  <si>
    <t>HAKHMAVE3420</t>
  </si>
  <si>
    <t>HAKHMAVE5368</t>
  </si>
  <si>
    <t>HAKHMAVE5494</t>
  </si>
  <si>
    <t>HAKHMAVE5702</t>
  </si>
  <si>
    <t>HAOTHHAFR5983</t>
  </si>
  <si>
    <t>HAOTHHAFR5984</t>
  </si>
  <si>
    <t>HAOTHHAFR5985</t>
  </si>
  <si>
    <t>HAOTHHAFR6062</t>
  </si>
  <si>
    <t>HAOTHHAFR6199</t>
  </si>
  <si>
    <t>HAOTHARAR5366</t>
  </si>
  <si>
    <t>HAOTHARAR5391</t>
  </si>
  <si>
    <t>HAOTHARAR6005</t>
  </si>
  <si>
    <t>HAOTHONZAH4418</t>
  </si>
  <si>
    <t>HAOTHONZAH4866</t>
  </si>
  <si>
    <t>HAOTHONZAH6053</t>
  </si>
  <si>
    <t>HAOTHONZAH6060</t>
  </si>
  <si>
    <t>HASOUQEBQ5424</t>
  </si>
  <si>
    <t>HASOUQEBQ5429</t>
  </si>
  <si>
    <t>HASOUQEBQ5708</t>
  </si>
  <si>
    <t>HASOUQEBQ6027</t>
  </si>
  <si>
    <t>HASOUQEBQ6063</t>
  </si>
  <si>
    <t>HASOUQEBQ6618</t>
  </si>
  <si>
    <t>HASOUQEBQ6619</t>
  </si>
  <si>
    <t>HADANAYAN4555</t>
  </si>
  <si>
    <t>HADANAYAN7308</t>
  </si>
  <si>
    <t>HAWADILABN2922</t>
  </si>
  <si>
    <t>HAWADILABN3241</t>
  </si>
  <si>
    <t>HAWADILABN7010</t>
  </si>
  <si>
    <t>HAMAHMAL5372</t>
  </si>
  <si>
    <t>HAMAHMAL6180</t>
  </si>
  <si>
    <t>HAMAHMAL7042</t>
  </si>
  <si>
    <t>HAMAHMAL7044</t>
  </si>
  <si>
    <t>HAMUNAIRA5150</t>
  </si>
  <si>
    <t>HAMUNAIRA6616</t>
  </si>
  <si>
    <t>HAMUNAIRA7129</t>
  </si>
  <si>
    <t>HAMUNAIRA7217</t>
  </si>
  <si>
    <t>HAPALMJED2984</t>
  </si>
  <si>
    <t>HAPALMJED3484</t>
  </si>
  <si>
    <t>HAPALMJED6138</t>
  </si>
  <si>
    <t>HAPALMJED6402</t>
  </si>
  <si>
    <t>HARSHNRYD3520</t>
  </si>
  <si>
    <t>HARSHNRYD6411</t>
  </si>
  <si>
    <t>HALAVANDAP4592</t>
  </si>
  <si>
    <t>HALAVANDAP6066</t>
  </si>
  <si>
    <t>HALAVANDAP6433</t>
  </si>
  <si>
    <t>HALAVANDAP6475</t>
  </si>
  <si>
    <t>HAALITMED5420</t>
  </si>
  <si>
    <t>HAALITMED6432</t>
  </si>
  <si>
    <t>HAALITMED6454</t>
  </si>
  <si>
    <t>HAALITMED6617</t>
  </si>
  <si>
    <t>HAABRAJ13643</t>
  </si>
  <si>
    <t>HAABRAJ13659</t>
  </si>
  <si>
    <t>HAABRAJ13675</t>
  </si>
  <si>
    <t>HAABRAJ14562</t>
  </si>
  <si>
    <t>HAABRAJ14563</t>
  </si>
  <si>
    <t>HAABRAJ14904</t>
  </si>
  <si>
    <t>HAABRAJ15355</t>
  </si>
  <si>
    <t>HAABRAJ15426</t>
  </si>
  <si>
    <t>HAABRAJ16629</t>
  </si>
  <si>
    <t>HAABRAJ16819</t>
  </si>
  <si>
    <t>HAABRAJ16907</t>
  </si>
  <si>
    <t>HAABRAJ16925</t>
  </si>
  <si>
    <t>HAABRAJ16928</t>
  </si>
  <si>
    <t>HAABRAJ17176</t>
  </si>
  <si>
    <t>HAABRAJ17177</t>
  </si>
  <si>
    <t>HAABRAJ23675</t>
  </si>
  <si>
    <t>HAABRAJ24563</t>
  </si>
  <si>
    <t>HAABRAJ26629</t>
  </si>
  <si>
    <t>HAABRAJ26819</t>
  </si>
  <si>
    <t>HAABRAJ26906</t>
  </si>
  <si>
    <t>HAABRAJ26928</t>
  </si>
  <si>
    <t>HAFALLSQ3013</t>
  </si>
  <si>
    <t>HAFALLSQ6613</t>
  </si>
  <si>
    <t>HAFALLSQ6944</t>
  </si>
  <si>
    <t>HAFALLSQ7215</t>
  </si>
  <si>
    <t>HARASHID4111</t>
  </si>
  <si>
    <t>HARASHID4462</t>
  </si>
  <si>
    <t>HARASHID4869</t>
  </si>
  <si>
    <t>HARASHID5496</t>
  </si>
  <si>
    <t>HARASHID6488</t>
  </si>
  <si>
    <t>HARASHID7304</t>
  </si>
  <si>
    <t>HATHEGATE4863</t>
  </si>
  <si>
    <t>HATHEGATE6455</t>
  </si>
  <si>
    <t>HATHEGATE6457</t>
  </si>
  <si>
    <t>HATHEGATE7297</t>
  </si>
  <si>
    <t>HAMAKANMAL2911</t>
  </si>
  <si>
    <t>HAMAKANMAL7219</t>
  </si>
  <si>
    <t>HAMAKANMAL7220</t>
  </si>
  <si>
    <t>HASOUQBRZ4822</t>
  </si>
  <si>
    <t>HASOUQBRZ6948</t>
  </si>
  <si>
    <t>HASOUQBRZ6949</t>
  </si>
  <si>
    <t>HASOUQBRZ6950</t>
  </si>
  <si>
    <t>HAJEDSULTN2867</t>
  </si>
  <si>
    <t>HAJEDSULTN2990</t>
  </si>
  <si>
    <t>HAJEDSULTN3559</t>
  </si>
  <si>
    <t>HAJEDSULTN6614</t>
  </si>
  <si>
    <t>HASULITMAL4367</t>
  </si>
  <si>
    <t>HASULITMAL7294</t>
  </si>
  <si>
    <t>HASULITMAL7295</t>
  </si>
  <si>
    <t>HASULITMAL7296</t>
  </si>
  <si>
    <t>HAKHAYLPLZ7332</t>
  </si>
  <si>
    <t>HAMAKKMAL4568</t>
  </si>
  <si>
    <t>HAVILLAGE5233</t>
  </si>
  <si>
    <t>SALAMA3029</t>
  </si>
  <si>
    <t>ABHATIMESQ3391</t>
  </si>
  <si>
    <t>ALSHAWGIYAH5357</t>
  </si>
  <si>
    <t>JEDDARAB3490</t>
  </si>
  <si>
    <t>HATASSPLZ6050</t>
  </si>
  <si>
    <t>HAOTHMTH4866</t>
  </si>
  <si>
    <t>HAARARSOQ5366</t>
  </si>
  <si>
    <t>HADANAMAK5981</t>
  </si>
  <si>
    <t>HAMAKHLTON3642</t>
  </si>
  <si>
    <t>HAMAKHLTON3659</t>
  </si>
  <si>
    <t>HAMAKHLTON4905</t>
  </si>
  <si>
    <t>HAMAKHLTON6819</t>
  </si>
  <si>
    <t>HARSHNRYD3701</t>
  </si>
  <si>
    <t>HAABRAJ15403</t>
  </si>
  <si>
    <t>HASULITMAL4382</t>
  </si>
  <si>
    <t>3029-RAlawi</t>
  </si>
  <si>
    <t>3391-AhlamAsiri</t>
  </si>
  <si>
    <t>HAMAKKMAL3622</t>
  </si>
  <si>
    <t>HAMAKKMAL5357</t>
  </si>
  <si>
    <t>HACOMPLZ2918</t>
  </si>
  <si>
    <t>HADANAMAK3641</t>
  </si>
  <si>
    <t>HADANAMAK5979</t>
  </si>
  <si>
    <t>HAKHURAIS4348</t>
  </si>
  <si>
    <t>HADIYAFAML3677</t>
  </si>
  <si>
    <t>HADARALEMN6027</t>
  </si>
  <si>
    <t>HADLHTBHHT5270</t>
  </si>
  <si>
    <t>HAMAKHLTON3623</t>
  </si>
  <si>
    <t>HAJADBUR4425</t>
  </si>
  <si>
    <t>HAOTHARAR6831</t>
  </si>
  <si>
    <t>HADANAYAN7326</t>
  </si>
  <si>
    <t>HAMAHMAL3001</t>
  </si>
  <si>
    <t>2918</t>
  </si>
  <si>
    <t>3641</t>
  </si>
  <si>
    <t>3677</t>
  </si>
  <si>
    <t>3623</t>
  </si>
  <si>
    <t>4425</t>
  </si>
  <si>
    <t>7326</t>
  </si>
  <si>
    <t>3001</t>
  </si>
  <si>
    <t>2918-TalalBreikah</t>
  </si>
  <si>
    <t>3641-UAttar</t>
  </si>
  <si>
    <t>3677-RAlGhamdi</t>
  </si>
  <si>
    <t>3623-SALSulami</t>
  </si>
  <si>
    <t>4425-AAlharbi</t>
  </si>
  <si>
    <t>7326-HSinan</t>
  </si>
  <si>
    <t>3001-TMeer</t>
  </si>
  <si>
    <t>Footfall loaded to:</t>
  </si>
  <si>
    <t>Sales loaded to:</t>
  </si>
  <si>
    <t>Period # (helper)</t>
  </si>
  <si>
    <t>Period from (helper)</t>
  </si>
  <si>
    <t>Period to (helper)</t>
  </si>
  <si>
    <t>BY STORE</t>
  </si>
  <si>
    <t>CONVERSION %  (Transactions ÷ Footfall)</t>
  </si>
  <si>
    <t>HELPER – Footfall</t>
  </si>
  <si>
    <t>HELPER – Transactions (FF stores)</t>
  </si>
  <si>
    <t>HELPER – Sales (FF stores)</t>
  </si>
  <si>
    <t>Latest vs 1–18 (pp)</t>
  </si>
  <si>
    <t>Latest vs 1–18</t>
  </si>
  <si>
    <t>Sales row</t>
  </si>
  <si>
    <t>TOTAL</t>
  </si>
  <si>
    <t>Improved vs previous day</t>
  </si>
  <si>
    <t>Declined vs previous day</t>
  </si>
  <si>
    <t>Area Manager:</t>
  </si>
  <si>
    <t>← select an Area Manager to filter cities and stores</t>
  </si>
  <si>
    <t>ATV  (Sales ÷ Transactions)</t>
  </si>
  <si>
    <t>Conversion % = Transactions ÷ Footfall (only stores/days with footfall)  |  ATV = Sales ÷ Transactions (all sales)  |  First column = 1–18 Oct, then day by day. Green = improved, red = declined vs the last day that has a value.</t>
  </si>
  <si>
    <t>5269</t>
  </si>
  <si>
    <t>5269-HAlHarthi</t>
  </si>
  <si>
    <t>RYDUWALK4382</t>
  </si>
  <si>
    <t>HAJWALK5269</t>
  </si>
  <si>
    <t>HASOUQEBQ5645</t>
  </si>
  <si>
    <t>HAABRAJ25403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</si>
</sst>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(* #,##0_);_(* \(#,##0\);_(* &quot;-&quot;??_);_(@_)"/>
    <numFmt numFmtId="165" formatCode="0.0%;[Red]\(0.0%\);\-"/>
    <numFmt numFmtId="166" formatCode="#,##0;[Red]\(#,##0\);\-"/>
    <numFmt numFmtId="167" formatCode="#,##0.0;[Red]\(#,##0.0\);\-"/>
    <numFmt numFmtId="168" formatCode="#,##0;\(#,##0\);\-"/>
    <numFmt numFmtId="169" formatCode="0.0%;\(0.0%\);\-"/>
    <numFmt numFmtId="170" formatCode="#,##0.0;\(#,##0.0\);\-"/>
    <numFmt numFmtId="171" formatCode="#,##0.0"/>
    <numFmt numFmtId="172" formatCode="0.0%"/>
    <numFmt numFmtId="173" formatCode="0.000%"/>
    <numFmt numFmtId="174" formatCode="dd\ mmm\ yyyy"/>
    <numFmt numFmtId="175" formatCode="#,###"/>
    <numFmt numFmtId="176" formatCode="[$-409]d\-mmm\-yy;@"/>
    <numFmt numFmtId="177" formatCode="0.0%;\(0.0%\);&quot;-&quot;"/>
    <numFmt numFmtId="178" formatCode="#,##0;\(#,##0\);&quot;-&quot;"/>
    <numFmt numFmtId="179" formatCode="#,##0.0;\(#,##0.0\);&quot;-&quot;"/>
    <numFmt numFmtId="180" formatCode="0.00%;\(0.00%\);&quot;-&quot;"/>
    <numFmt numFmtId="181" formatCode="\+0.0;\(0.0\);&quot;-&quot;"/>
    <numFmt numFmtId="182" formatCode="_(* #,##0_);_(* \(#,##0\);_(* \-??_);_(@_)"/>
    <numFmt numFmtId="183" formatCode="dd\-mmm"/>
    <numFmt numFmtId="184" formatCode="\+0.0%;\-0.0%;0.0%"/>
    <numFmt numFmtId="185" formatCode="\+#,##0.00;\-#,##0.00;0.00"/>
  </numFmts>
  <fonts count="8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F5C6B"/>
      <name val="Calibri"/>
      <family val="2"/>
      <scheme val="minor"/>
    </font>
    <font>
      <sz val="9"/>
      <color rgb="FF7F7F7F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2"/>
      <color rgb="FF1F5C6B"/>
      <name val="Calibri"/>
      <family val="2"/>
      <scheme val="minor"/>
    </font>
    <font>
      <b/>
      <sz val="9"/>
      <color rgb="FF7F7F7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1"/>
      <color rgb="FF7F7F7F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i/>
      <sz val="8"/>
      <color rgb="FF000000"/>
      <name val="Calibri"/>
      <family val="2"/>
      <scheme val="minor"/>
    </font>
    <font>
      <i/>
      <sz val="8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171310"/>
      <name val="Arial"/>
      <family val="2"/>
    </font>
    <font>
      <sz val="10"/>
      <color rgb="FF171310"/>
      <name val="Arial"/>
      <family val="2"/>
    </font>
    <font>
      <b/>
      <sz val="10"/>
      <color rgb="FF171310"/>
      <name val="Arial"/>
      <family val="2"/>
    </font>
    <font>
      <b/>
      <sz val="9"/>
      <color rgb="FF1F5C6B"/>
      <name val="Calibri"/>
      <family val="2"/>
      <scheme val="minor"/>
    </font>
    <font>
      <b/>
      <sz val="8"/>
      <color rgb="FF1F3864"/>
      <name val="Calibri"/>
      <family val="2"/>
      <scheme val="minor"/>
    </font>
    <font>
      <i/>
      <sz val="8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1F5C6B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2"/>
      <color rgb="FF1F5C6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color rgb="FF008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i/>
      <sz val="10"/>
      <color rgb="FF7F7F7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b/>
      <sz val="10"/>
      <color theme="0"/>
      <name val="Arial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A6A6A6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A6A6A6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D1DC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3EFE6"/>
        <bgColor rgb="FFFBF8F2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2F7EE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3EEF8"/>
        <bgColor indexed="64"/>
      </patternFill>
    </fill>
    <fill>
      <patternFill patternType="solid">
        <fgColor rgb="FF1F3864"/>
        <bgColor rgb="FF1F497D"/>
      </patternFill>
    </fill>
    <fill>
      <patternFill patternType="solid">
        <fgColor theme="3"/>
        <bgColor rgb="FF2E5496"/>
      </patternFill>
    </fill>
    <fill>
      <patternFill patternType="solid">
        <fgColor rgb="FFFFC7CE"/>
        <bgColor indexed="64"/>
      </patternFill>
    </fill>
    <fill>
      <patternFill patternType="solid">
        <fgColor rgb="FF833C0B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rgb="FF1F5C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D8CFBF"/>
      </left>
      <right style="thin">
        <color rgb="FFD8CFBF"/>
      </right>
      <top style="thin">
        <color rgb="FFD8CFBF"/>
      </top>
      <bottom style="thin">
        <color rgb="FFD8C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/>
      <right/>
      <top style="thin">
        <color rgb="FF7F7F7F"/>
      </top>
      <bottom style="thin">
        <color rgb="FFE7E6E6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auto="1"/>
      </left>
      <right/>
      <top/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/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2">
    <xf numFmtId="0" fontId="0" fillId="0" borderId="0" xfId="0"/>
    <xf numFmtId="0" fontId="0" fillId="2" borderId="0" xfId="0" applyFill="1"/>
    <xf numFmtId="0" fontId="1" fillId="2" borderId="0" xfId="0" applyFont="1" applyFill="1"/>
    <xf numFmtId="164" fontId="1" fillId="0" borderId="0" xfId="1" applyNumberFormat="1" applyFont="1"/>
    <xf numFmtId="164" fontId="0" fillId="0" borderId="0" xfId="1" applyNumberFormat="1" applyFont="1"/>
    <xf numFmtId="0" fontId="0" fillId="3" borderId="0" xfId="0" applyFill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4" borderId="2" xfId="0" applyFont="1" applyFill="1" applyBorder="1"/>
    <xf numFmtId="0" fontId="7" fillId="0" borderId="0" xfId="0" applyFont="1"/>
    <xf numFmtId="3" fontId="8" fillId="0" borderId="0" xfId="0" applyNumberFormat="1" applyFont="1"/>
    <xf numFmtId="165" fontId="8" fillId="0" borderId="0" xfId="0" applyNumberFormat="1" applyFont="1"/>
    <xf numFmtId="0" fontId="7" fillId="5" borderId="0" xfId="0" applyFont="1" applyFill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3" fontId="11" fillId="8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3" fontId="10" fillId="9" borderId="2" xfId="0" applyNumberFormat="1" applyFont="1" applyFill="1" applyBorder="1" applyAlignment="1">
      <alignment horizontal="center" vertical="center"/>
    </xf>
    <xf numFmtId="1" fontId="10" fillId="9" borderId="2" xfId="0" applyNumberFormat="1" applyFont="1" applyFill="1" applyBorder="1" applyAlignment="1">
      <alignment horizontal="center" vertical="center"/>
    </xf>
    <xf numFmtId="168" fontId="10" fillId="9" borderId="2" xfId="0" applyNumberFormat="1" applyFont="1" applyFill="1" applyBorder="1" applyAlignment="1">
      <alignment horizontal="center" vertical="center"/>
    </xf>
    <xf numFmtId="169" fontId="10" fillId="9" borderId="2" xfId="0" applyNumberFormat="1" applyFont="1" applyFill="1" applyBorder="1" applyAlignment="1">
      <alignment horizontal="center" vertical="center"/>
    </xf>
    <xf numFmtId="170" fontId="10" fillId="9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left" vertical="center"/>
    </xf>
    <xf numFmtId="171" fontId="8" fillId="0" borderId="0" xfId="0" applyNumberFormat="1" applyFont="1" applyAlignment="1">
      <alignment horizontal="center"/>
    </xf>
    <xf numFmtId="0" fontId="0" fillId="0" borderId="2" xfId="0" applyBorder="1"/>
    <xf numFmtId="0" fontId="16" fillId="0" borderId="0" xfId="0" applyFont="1"/>
    <xf numFmtId="0" fontId="17" fillId="0" borderId="0" xfId="0" applyFont="1"/>
    <xf numFmtId="0" fontId="8" fillId="0" borderId="0" xfId="0" applyFont="1"/>
    <xf numFmtId="0" fontId="18" fillId="0" borderId="0" xfId="0" applyFont="1"/>
    <xf numFmtId="0" fontId="15" fillId="6" borderId="2" xfId="0" applyFont="1" applyFill="1" applyBorder="1" applyAlignment="1">
      <alignment horizontal="center" wrapText="1"/>
    </xf>
    <xf numFmtId="0" fontId="19" fillId="0" borderId="2" xfId="0" applyFont="1" applyBorder="1"/>
    <xf numFmtId="16" fontId="19" fillId="0" borderId="2" xfId="0" applyNumberFormat="1" applyFont="1" applyBorder="1"/>
    <xf numFmtId="168" fontId="0" fillId="0" borderId="2" xfId="0" applyNumberFormat="1" applyBorder="1"/>
    <xf numFmtId="170" fontId="0" fillId="0" borderId="2" xfId="0" applyNumberFormat="1" applyBorder="1"/>
    <xf numFmtId="165" fontId="0" fillId="0" borderId="2" xfId="0" applyNumberFormat="1" applyBorder="1"/>
    <xf numFmtId="0" fontId="1" fillId="10" borderId="2" xfId="0" applyFont="1" applyFill="1" applyBorder="1"/>
    <xf numFmtId="16" fontId="1" fillId="10" borderId="2" xfId="0" applyNumberFormat="1" applyFont="1" applyFill="1" applyBorder="1"/>
    <xf numFmtId="168" fontId="1" fillId="10" borderId="2" xfId="0" applyNumberFormat="1" applyFont="1" applyFill="1" applyBorder="1"/>
    <xf numFmtId="170" fontId="1" fillId="10" borderId="2" xfId="0" applyNumberFormat="1" applyFont="1" applyFill="1" applyBorder="1"/>
    <xf numFmtId="165" fontId="1" fillId="10" borderId="2" xfId="0" applyNumberFormat="1" applyFont="1" applyFill="1" applyBorder="1"/>
    <xf numFmtId="165" fontId="0" fillId="0" borderId="2" xfId="0" applyNumberFormat="1" applyBorder="1" applyAlignment="1">
      <alignment horizontal="right"/>
    </xf>
    <xf numFmtId="0" fontId="7" fillId="0" borderId="0" xfId="0" applyFont="1" applyAlignment="1">
      <alignment horizontal="center"/>
    </xf>
    <xf numFmtId="0" fontId="6" fillId="11" borderId="4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/>
    <xf numFmtId="166" fontId="0" fillId="0" borderId="2" xfId="0" applyNumberFormat="1" applyBorder="1"/>
    <xf numFmtId="167" fontId="0" fillId="0" borderId="2" xfId="0" applyNumberFormat="1" applyBorder="1"/>
    <xf numFmtId="168" fontId="0" fillId="12" borderId="2" xfId="0" applyNumberFormat="1" applyFill="1" applyBorder="1"/>
    <xf numFmtId="166" fontId="0" fillId="12" borderId="2" xfId="0" applyNumberFormat="1" applyFill="1" applyBorder="1"/>
    <xf numFmtId="165" fontId="0" fillId="12" borderId="2" xfId="0" applyNumberFormat="1" applyFill="1" applyBorder="1"/>
    <xf numFmtId="0" fontId="15" fillId="6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12" borderId="2" xfId="0" applyFill="1" applyBorder="1" applyAlignment="1">
      <alignment horizontal="left"/>
    </xf>
    <xf numFmtId="15" fontId="0" fillId="0" borderId="0" xfId="0" applyNumberFormat="1"/>
    <xf numFmtId="164" fontId="0" fillId="0" borderId="0" xfId="0" applyNumberFormat="1"/>
    <xf numFmtId="43" fontId="0" fillId="0" borderId="0" xfId="0" applyNumberForma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1" fillId="2" borderId="0" xfId="1" applyNumberFormat="1" applyFont="1" applyFill="1"/>
    <xf numFmtId="164" fontId="1" fillId="2" borderId="7" xfId="1" applyNumberFormat="1" applyFont="1" applyFill="1" applyBorder="1" applyAlignment="1">
      <alignment horizontal="center"/>
    </xf>
    <xf numFmtId="164" fontId="1" fillId="11" borderId="8" xfId="1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4" fontId="1" fillId="11" borderId="8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1" fillId="11" borderId="9" xfId="1" applyNumberFormat="1" applyFont="1" applyFill="1" applyBorder="1" applyAlignment="1"/>
    <xf numFmtId="164" fontId="1" fillId="11" borderId="10" xfId="1" applyNumberFormat="1" applyFont="1" applyFill="1" applyBorder="1" applyAlignment="1"/>
    <xf numFmtId="4" fontId="0" fillId="0" borderId="0" xfId="1" applyNumberFormat="1" applyFont="1"/>
    <xf numFmtId="164" fontId="1" fillId="0" borderId="0" xfId="1" applyNumberFormat="1" applyFont="1" applyAlignment="1">
      <alignment horizontal="center"/>
    </xf>
    <xf numFmtId="164" fontId="1" fillId="0" borderId="11" xfId="1" applyNumberFormat="1" applyFont="1" applyFill="1" applyBorder="1" applyAlignment="1">
      <alignment horizontal="center"/>
    </xf>
    <xf numFmtId="164" fontId="1" fillId="11" borderId="11" xfId="1" applyNumberFormat="1" applyFont="1" applyFill="1" applyBorder="1" applyAlignment="1">
      <alignment horizontal="center"/>
    </xf>
    <xf numFmtId="9" fontId="0" fillId="0" borderId="0" xfId="1" applyNumberFormat="1" applyFont="1"/>
    <xf numFmtId="172" fontId="1" fillId="0" borderId="0" xfId="1" applyNumberFormat="1" applyFont="1" applyAlignment="1">
      <alignment horizontal="center"/>
    </xf>
    <xf numFmtId="173" fontId="1" fillId="0" borderId="0" xfId="1" applyNumberFormat="1" applyFont="1"/>
    <xf numFmtId="16" fontId="1" fillId="0" borderId="11" xfId="1" applyNumberFormat="1" applyFont="1" applyFill="1" applyBorder="1" applyAlignment="1">
      <alignment horizontal="center"/>
    </xf>
    <xf numFmtId="16" fontId="1" fillId="11" borderId="11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1" fillId="0" borderId="12" xfId="1" applyNumberFormat="1" applyFont="1" applyFill="1" applyBorder="1" applyAlignment="1">
      <alignment horizontal="center"/>
    </xf>
    <xf numFmtId="164" fontId="1" fillId="0" borderId="13" xfId="1" applyNumberFormat="1" applyFont="1" applyFill="1" applyBorder="1" applyAlignment="1">
      <alignment horizontal="center"/>
    </xf>
    <xf numFmtId="164" fontId="1" fillId="11" borderId="14" xfId="1" applyNumberFormat="1" applyFont="1" applyFill="1" applyBorder="1" applyAlignment="1">
      <alignment horizontal="center"/>
    </xf>
    <xf numFmtId="164" fontId="1" fillId="0" borderId="14" xfId="1" applyNumberFormat="1" applyFont="1" applyFill="1" applyBorder="1" applyAlignment="1">
      <alignment horizontal="center"/>
    </xf>
    <xf numFmtId="164" fontId="1" fillId="0" borderId="15" xfId="1" applyNumberFormat="1" applyFont="1" applyFill="1" applyBorder="1" applyAlignment="1">
      <alignment horizontal="center"/>
    </xf>
    <xf numFmtId="164" fontId="1" fillId="11" borderId="0" xfId="1" applyNumberFormat="1" applyFont="1" applyFill="1"/>
    <xf numFmtId="164" fontId="1" fillId="13" borderId="9" xfId="1" applyNumberFormat="1" applyFont="1" applyFill="1" applyBorder="1" applyAlignment="1">
      <alignment horizontal="center"/>
    </xf>
    <xf numFmtId="164" fontId="1" fillId="13" borderId="16" xfId="1" applyNumberFormat="1" applyFont="1" applyFill="1" applyBorder="1" applyAlignment="1">
      <alignment horizontal="center"/>
    </xf>
    <xf numFmtId="9" fontId="1" fillId="0" borderId="11" xfId="1" applyNumberFormat="1" applyFont="1" applyFill="1" applyBorder="1" applyAlignment="1">
      <alignment horizontal="center"/>
    </xf>
    <xf numFmtId="9" fontId="1" fillId="0" borderId="10" xfId="1" applyNumberFormat="1" applyFont="1" applyFill="1" applyBorder="1" applyAlignment="1">
      <alignment horizontal="center"/>
    </xf>
    <xf numFmtId="9" fontId="1" fillId="11" borderId="10" xfId="1" applyNumberFormat="1" applyFont="1" applyFill="1" applyBorder="1" applyAlignment="1">
      <alignment horizontal="center"/>
    </xf>
    <xf numFmtId="9" fontId="1" fillId="11" borderId="16" xfId="1" applyNumberFormat="1" applyFont="1" applyFill="1" applyBorder="1" applyAlignment="1">
      <alignment horizontal="center"/>
    </xf>
    <xf numFmtId="164" fontId="1" fillId="11" borderId="0" xfId="1" applyNumberFormat="1" applyFont="1" applyFill="1" applyAlignment="1">
      <alignment horizontal="center"/>
    </xf>
    <xf numFmtId="0" fontId="1" fillId="0" borderId="7" xfId="1" applyNumberFormat="1" applyFont="1" applyBorder="1" applyAlignment="1">
      <alignment horizontal="center" vertical="center"/>
    </xf>
    <xf numFmtId="14" fontId="0" fillId="0" borderId="0" xfId="1" applyNumberFormat="1" applyFont="1" applyAlignment="1">
      <alignment horizontal="center"/>
    </xf>
    <xf numFmtId="164" fontId="0" fillId="0" borderId="8" xfId="1" applyNumberFormat="1" applyFont="1" applyBorder="1"/>
    <xf numFmtId="164" fontId="0" fillId="0" borderId="17" xfId="1" applyNumberFormat="1" applyFont="1" applyFill="1" applyBorder="1"/>
    <xf numFmtId="164" fontId="0" fillId="0" borderId="0" xfId="1" applyNumberFormat="1" applyFont="1" applyFill="1" applyBorder="1"/>
    <xf numFmtId="164" fontId="0" fillId="11" borderId="0" xfId="1" applyNumberFormat="1" applyFont="1" applyFill="1" applyBorder="1"/>
    <xf numFmtId="164" fontId="0" fillId="0" borderId="7" xfId="1" applyNumberFormat="1" applyFont="1" applyFill="1" applyBorder="1"/>
    <xf numFmtId="164" fontId="0" fillId="0" borderId="8" xfId="1" applyNumberFormat="1" applyFont="1" applyFill="1" applyBorder="1"/>
    <xf numFmtId="164" fontId="0" fillId="0" borderId="12" xfId="1" applyNumberFormat="1" applyFont="1" applyFill="1" applyBorder="1"/>
    <xf numFmtId="164" fontId="0" fillId="0" borderId="13" xfId="1" applyNumberFormat="1" applyFont="1" applyFill="1" applyBorder="1"/>
    <xf numFmtId="164" fontId="0" fillId="11" borderId="13" xfId="1" applyNumberFormat="1" applyFont="1" applyFill="1" applyBorder="1"/>
    <xf numFmtId="164" fontId="0" fillId="0" borderId="14" xfId="1" applyNumberFormat="1" applyFont="1" applyFill="1" applyBorder="1"/>
    <xf numFmtId="164" fontId="0" fillId="0" borderId="15" xfId="1" applyNumberFormat="1" applyFont="1" applyFill="1" applyBorder="1"/>
    <xf numFmtId="15" fontId="0" fillId="2" borderId="0" xfId="0" applyNumberFormat="1" applyFill="1"/>
    <xf numFmtId="174" fontId="0" fillId="0" borderId="0" xfId="0" applyNumberFormat="1"/>
    <xf numFmtId="174" fontId="6" fillId="11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5" fillId="14" borderId="2" xfId="0" applyFont="1" applyFill="1" applyBorder="1" applyAlignment="1">
      <alignment horizontal="center" wrapText="1"/>
    </xf>
    <xf numFmtId="170" fontId="0" fillId="12" borderId="2" xfId="0" applyNumberFormat="1" applyFill="1" applyBorder="1"/>
    <xf numFmtId="168" fontId="22" fillId="0" borderId="2" xfId="0" applyNumberFormat="1" applyFont="1" applyBorder="1"/>
    <xf numFmtId="168" fontId="1" fillId="12" borderId="2" xfId="0" applyNumberFormat="1" applyFont="1" applyFill="1" applyBorder="1"/>
    <xf numFmtId="170" fontId="1" fillId="12" borderId="2" xfId="0" applyNumberFormat="1" applyFont="1" applyFill="1" applyBorder="1"/>
    <xf numFmtId="168" fontId="23" fillId="10" borderId="2" xfId="0" applyNumberFormat="1" applyFont="1" applyFill="1" applyBorder="1"/>
    <xf numFmtId="0" fontId="0" fillId="12" borderId="2" xfId="0" applyFill="1" applyBorder="1" applyAlignment="1">
      <alignment horizontal="right"/>
    </xf>
    <xf numFmtId="0" fontId="24" fillId="0" borderId="0" xfId="0" applyFont="1"/>
    <xf numFmtId="0" fontId="15" fillId="15" borderId="2" xfId="0" applyFont="1" applyFill="1" applyBorder="1" applyAlignment="1">
      <alignment horizontal="center" wrapText="1"/>
    </xf>
    <xf numFmtId="0" fontId="15" fillId="16" borderId="2" xfId="0" applyFont="1" applyFill="1" applyBorder="1" applyAlignment="1">
      <alignment horizontal="center" wrapText="1"/>
    </xf>
    <xf numFmtId="16" fontId="0" fillId="0" borderId="2" xfId="0" applyNumberFormat="1" applyBorder="1" applyAlignment="1">
      <alignment horizontal="right"/>
    </xf>
    <xf numFmtId="16" fontId="0" fillId="10" borderId="2" xfId="0" applyNumberFormat="1" applyFill="1" applyBorder="1" applyAlignment="1">
      <alignment horizontal="right"/>
    </xf>
    <xf numFmtId="16" fontId="0" fillId="4" borderId="2" xfId="0" applyNumberFormat="1" applyFill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8" fontId="0" fillId="10" borderId="2" xfId="0" applyNumberFormat="1" applyFill="1" applyBorder="1" applyAlignment="1">
      <alignment horizontal="right"/>
    </xf>
    <xf numFmtId="168" fontId="0" fillId="4" borderId="2" xfId="0" applyNumberFormat="1" applyFill="1" applyBorder="1" applyAlignment="1">
      <alignment horizontal="right"/>
    </xf>
    <xf numFmtId="0" fontId="8" fillId="17" borderId="2" xfId="0" applyFont="1" applyFill="1" applyBorder="1"/>
    <xf numFmtId="0" fontId="8" fillId="17" borderId="2" xfId="0" applyFont="1" applyFill="1" applyBorder="1" applyAlignment="1">
      <alignment horizontal="right"/>
    </xf>
    <xf numFmtId="0" fontId="1" fillId="0" borderId="2" xfId="0" applyFont="1" applyBorder="1"/>
    <xf numFmtId="168" fontId="1" fillId="0" borderId="2" xfId="0" applyNumberFormat="1" applyFont="1" applyBorder="1" applyAlignment="1">
      <alignment horizontal="right"/>
    </xf>
    <xf numFmtId="168" fontId="1" fillId="10" borderId="2" xfId="0" applyNumberFormat="1" applyFont="1" applyFill="1" applyBorder="1" applyAlignment="1">
      <alignment horizontal="right"/>
    </xf>
    <xf numFmtId="168" fontId="1" fillId="4" borderId="2" xfId="0" applyNumberFormat="1" applyFont="1" applyFill="1" applyBorder="1" applyAlignment="1">
      <alignment horizontal="right"/>
    </xf>
    <xf numFmtId="170" fontId="1" fillId="0" borderId="2" xfId="0" applyNumberFormat="1" applyFont="1" applyBorder="1" applyAlignment="1">
      <alignment horizontal="right"/>
    </xf>
    <xf numFmtId="170" fontId="1" fillId="10" borderId="2" xfId="0" applyNumberFormat="1" applyFont="1" applyFill="1" applyBorder="1" applyAlignment="1">
      <alignment horizontal="right"/>
    </xf>
    <xf numFmtId="170" fontId="1" fillId="4" borderId="2" xfId="0" applyNumberFormat="1" applyFont="1" applyFill="1" applyBorder="1" applyAlignment="1">
      <alignment horizontal="right"/>
    </xf>
    <xf numFmtId="165" fontId="0" fillId="10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170" fontId="0" fillId="0" borderId="2" xfId="0" applyNumberFormat="1" applyBorder="1" applyAlignment="1">
      <alignment horizontal="right"/>
    </xf>
    <xf numFmtId="170" fontId="0" fillId="10" borderId="2" xfId="0" applyNumberFormat="1" applyFill="1" applyBorder="1" applyAlignment="1">
      <alignment horizontal="right"/>
    </xf>
    <xf numFmtId="170" fontId="0" fillId="4" borderId="2" xfId="0" applyNumberFormat="1" applyFill="1" applyBorder="1" applyAlignment="1">
      <alignment horizontal="right"/>
    </xf>
    <xf numFmtId="0" fontId="25" fillId="0" borderId="2" xfId="0" applyFont="1" applyBorder="1"/>
    <xf numFmtId="168" fontId="25" fillId="0" borderId="2" xfId="0" applyNumberFormat="1" applyFont="1" applyBorder="1" applyAlignment="1">
      <alignment horizontal="right"/>
    </xf>
    <xf numFmtId="168" fontId="25" fillId="10" borderId="2" xfId="0" applyNumberFormat="1" applyFont="1" applyFill="1" applyBorder="1" applyAlignment="1">
      <alignment horizontal="right"/>
    </xf>
    <xf numFmtId="168" fontId="25" fillId="4" borderId="2" xfId="0" applyNumberFormat="1" applyFont="1" applyFill="1" applyBorder="1" applyAlignment="1">
      <alignment horizontal="right"/>
    </xf>
    <xf numFmtId="0" fontId="17" fillId="0" borderId="18" xfId="0" applyFont="1" applyBorder="1"/>
    <xf numFmtId="0" fontId="26" fillId="0" borderId="0" xfId="0" applyFont="1"/>
    <xf numFmtId="0" fontId="27" fillId="20" borderId="0" xfId="0" applyFont="1" applyFill="1" applyAlignment="1">
      <alignment horizontal="center" wrapText="1"/>
    </xf>
    <xf numFmtId="0" fontId="27" fillId="21" borderId="0" xfId="0" applyFont="1" applyFill="1" applyAlignment="1">
      <alignment horizontal="center" wrapText="1"/>
    </xf>
    <xf numFmtId="0" fontId="28" fillId="19" borderId="0" xfId="0" applyFont="1" applyFill="1" applyAlignment="1">
      <alignment horizontal="center" wrapText="1"/>
    </xf>
    <xf numFmtId="0" fontId="27" fillId="22" borderId="0" xfId="0" applyFont="1" applyFill="1" applyAlignment="1">
      <alignment horizontal="center" wrapText="1"/>
    </xf>
    <xf numFmtId="0" fontId="27" fillId="18" borderId="0" xfId="0" applyFont="1" applyFill="1" applyAlignment="1">
      <alignment horizontal="center" wrapText="1"/>
    </xf>
    <xf numFmtId="175" fontId="0" fillId="0" borderId="0" xfId="0" applyNumberFormat="1"/>
    <xf numFmtId="0" fontId="1" fillId="0" borderId="0" xfId="0" applyFont="1" applyAlignment="1">
      <alignment horizontal="right"/>
    </xf>
    <xf numFmtId="174" fontId="19" fillId="11" borderId="0" xfId="0" applyNumberFormat="1" applyFont="1" applyFill="1"/>
    <xf numFmtId="168" fontId="8" fillId="0" borderId="0" xfId="0" applyNumberFormat="1" applyFont="1"/>
    <xf numFmtId="169" fontId="8" fillId="0" borderId="0" xfId="0" applyNumberFormat="1" applyFont="1"/>
    <xf numFmtId="0" fontId="1" fillId="0" borderId="7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19" fillId="0" borderId="0" xfId="0" applyFont="1"/>
    <xf numFmtId="166" fontId="8" fillId="0" borderId="0" xfId="0" applyNumberFormat="1" applyFont="1"/>
    <xf numFmtId="172" fontId="8" fillId="0" borderId="0" xfId="0" applyNumberFormat="1" applyFont="1"/>
    <xf numFmtId="0" fontId="10" fillId="6" borderId="20" xfId="0" applyFont="1" applyFill="1" applyBorder="1" applyAlignment="1">
      <alignment horizontal="left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3" fontId="9" fillId="0" borderId="19" xfId="0" applyNumberFormat="1" applyFont="1" applyBorder="1" applyAlignment="1">
      <alignment horizontal="center" vertical="center"/>
    </xf>
    <xf numFmtId="166" fontId="9" fillId="0" borderId="19" xfId="0" applyNumberFormat="1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167" fontId="9" fillId="0" borderId="19" xfId="0" applyNumberFormat="1" applyFont="1" applyBorder="1" applyAlignment="1">
      <alignment horizontal="center" vertical="center"/>
    </xf>
    <xf numFmtId="0" fontId="10" fillId="6" borderId="21" xfId="0" applyFont="1" applyFill="1" applyBorder="1" applyAlignment="1">
      <alignment horizontal="left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166" fontId="5" fillId="0" borderId="19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9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0" fontId="31" fillId="23" borderId="22" xfId="0" applyFont="1" applyFill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/>
    </xf>
    <xf numFmtId="168" fontId="33" fillId="0" borderId="22" xfId="0" applyNumberFormat="1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6" fillId="4" borderId="3" xfId="0" applyFont="1" applyFill="1" applyBorder="1"/>
    <xf numFmtId="0" fontId="35" fillId="17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6" fillId="11" borderId="23" xfId="0" applyFont="1" applyFill="1" applyBorder="1" applyAlignment="1">
      <alignment horizontal="center"/>
    </xf>
    <xf numFmtId="176" fontId="0" fillId="2" borderId="0" xfId="0" applyNumberFormat="1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/>
    <xf numFmtId="16" fontId="0" fillId="0" borderId="0" xfId="0" applyNumberForma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4" borderId="0" xfId="0" applyFont="1" applyFill="1"/>
    <xf numFmtId="0" fontId="41" fillId="4" borderId="24" xfId="0" applyFont="1" applyFill="1" applyBorder="1"/>
    <xf numFmtId="3" fontId="37" fillId="0" borderId="0" xfId="0" applyNumberFormat="1" applyFont="1"/>
    <xf numFmtId="171" fontId="37" fillId="0" borderId="0" xfId="0" applyNumberFormat="1" applyFont="1"/>
    <xf numFmtId="172" fontId="37" fillId="0" borderId="0" xfId="0" applyNumberFormat="1" applyFont="1"/>
    <xf numFmtId="177" fontId="37" fillId="0" borderId="0" xfId="0" applyNumberFormat="1" applyFont="1"/>
    <xf numFmtId="3" fontId="40" fillId="10" borderId="0" xfId="0" applyNumberFormat="1" applyFont="1" applyFill="1" applyAlignment="1">
      <alignment horizontal="right"/>
    </xf>
    <xf numFmtId="171" fontId="40" fillId="10" borderId="0" xfId="0" applyNumberFormat="1" applyFont="1" applyFill="1" applyAlignment="1">
      <alignment horizontal="right"/>
    </xf>
    <xf numFmtId="172" fontId="40" fillId="10" borderId="0" xfId="0" applyNumberFormat="1" applyFont="1" applyFill="1" applyAlignment="1">
      <alignment horizontal="right"/>
    </xf>
    <xf numFmtId="177" fontId="40" fillId="10" borderId="0" xfId="0" applyNumberFormat="1" applyFont="1" applyFill="1" applyAlignment="1">
      <alignment horizontal="right"/>
    </xf>
    <xf numFmtId="0" fontId="42" fillId="0" borderId="0" xfId="0" applyFont="1"/>
    <xf numFmtId="0" fontId="43" fillId="6" borderId="0" xfId="0" applyFont="1" applyFill="1" applyAlignment="1">
      <alignment horizontal="center" vertical="center" wrapText="1"/>
    </xf>
    <xf numFmtId="0" fontId="44" fillId="8" borderId="0" xfId="0" applyFont="1" applyFill="1"/>
    <xf numFmtId="3" fontId="44" fillId="8" borderId="0" xfId="0" applyNumberFormat="1" applyFont="1" applyFill="1"/>
    <xf numFmtId="171" fontId="44" fillId="8" borderId="0" xfId="0" applyNumberFormat="1" applyFont="1" applyFill="1"/>
    <xf numFmtId="172" fontId="44" fillId="8" borderId="0" xfId="0" applyNumberFormat="1" applyFont="1" applyFill="1"/>
    <xf numFmtId="177" fontId="44" fillId="8" borderId="0" xfId="0" applyNumberFormat="1" applyFont="1" applyFill="1"/>
    <xf numFmtId="10" fontId="37" fillId="0" borderId="0" xfId="0" applyNumberFormat="1" applyFont="1"/>
    <xf numFmtId="1" fontId="37" fillId="0" borderId="0" xfId="0" applyNumberFormat="1" applyFont="1" applyAlignment="1">
      <alignment horizontal="center"/>
    </xf>
    <xf numFmtId="0" fontId="43" fillId="6" borderId="0" xfId="0" applyFont="1" applyFill="1" applyAlignment="1">
      <alignment horizontal="center"/>
    </xf>
    <xf numFmtId="178" fontId="37" fillId="0" borderId="0" xfId="0" applyNumberFormat="1" applyFont="1"/>
    <xf numFmtId="179" fontId="37" fillId="0" borderId="0" xfId="0" applyNumberFormat="1" applyFont="1"/>
    <xf numFmtId="0" fontId="37" fillId="0" borderId="25" xfId="0" applyFont="1" applyBorder="1"/>
    <xf numFmtId="16" fontId="37" fillId="0" borderId="25" xfId="0" applyNumberFormat="1" applyFont="1" applyBorder="1"/>
    <xf numFmtId="16" fontId="37" fillId="10" borderId="25" xfId="0" applyNumberFormat="1" applyFont="1" applyFill="1" applyBorder="1"/>
    <xf numFmtId="0" fontId="37" fillId="0" borderId="26" xfId="0" applyFont="1" applyBorder="1"/>
    <xf numFmtId="16" fontId="37" fillId="0" borderId="26" xfId="0" applyNumberFormat="1" applyFont="1" applyBorder="1"/>
    <xf numFmtId="16" fontId="37" fillId="10" borderId="26" xfId="0" applyNumberFormat="1" applyFont="1" applyFill="1" applyBorder="1"/>
    <xf numFmtId="178" fontId="37" fillId="0" borderId="26" xfId="0" applyNumberFormat="1" applyFont="1" applyBorder="1"/>
    <xf numFmtId="178" fontId="37" fillId="10" borderId="26" xfId="0" applyNumberFormat="1" applyFont="1" applyFill="1" applyBorder="1"/>
    <xf numFmtId="179" fontId="37" fillId="0" borderId="26" xfId="0" applyNumberFormat="1" applyFont="1" applyBorder="1"/>
    <xf numFmtId="179" fontId="37" fillId="10" borderId="26" xfId="0" applyNumberFormat="1" applyFont="1" applyFill="1" applyBorder="1"/>
    <xf numFmtId="177" fontId="37" fillId="0" borderId="26" xfId="0" applyNumberFormat="1" applyFont="1" applyBorder="1"/>
    <xf numFmtId="177" fontId="37" fillId="10" borderId="26" xfId="0" applyNumberFormat="1" applyFont="1" applyFill="1" applyBorder="1"/>
    <xf numFmtId="177" fontId="37" fillId="0" borderId="27" xfId="0" applyNumberFormat="1" applyFont="1" applyBorder="1"/>
    <xf numFmtId="177" fontId="37" fillId="10" borderId="27" xfId="0" applyNumberFormat="1" applyFont="1" applyFill="1" applyBorder="1"/>
    <xf numFmtId="0" fontId="40" fillId="0" borderId="26" xfId="0" applyFont="1" applyBorder="1"/>
    <xf numFmtId="0" fontId="40" fillId="0" borderId="27" xfId="0" applyFont="1" applyBorder="1"/>
    <xf numFmtId="178" fontId="40" fillId="12" borderId="0" xfId="0" applyNumberFormat="1" applyFont="1" applyFill="1"/>
    <xf numFmtId="179" fontId="40" fillId="12" borderId="0" xfId="0" applyNumberFormat="1" applyFont="1" applyFill="1"/>
    <xf numFmtId="177" fontId="40" fillId="12" borderId="0" xfId="0" applyNumberFormat="1" applyFont="1" applyFill="1"/>
    <xf numFmtId="0" fontId="45" fillId="0" borderId="0" xfId="0" applyFont="1"/>
    <xf numFmtId="180" fontId="37" fillId="0" borderId="0" xfId="0" applyNumberFormat="1" applyFont="1"/>
    <xf numFmtId="180" fontId="40" fillId="12" borderId="0" xfId="0" applyNumberFormat="1" applyFont="1" applyFill="1"/>
    <xf numFmtId="0" fontId="40" fillId="0" borderId="28" xfId="0" applyFont="1" applyBorder="1"/>
    <xf numFmtId="178" fontId="37" fillId="0" borderId="28" xfId="0" applyNumberFormat="1" applyFont="1" applyBorder="1"/>
    <xf numFmtId="178" fontId="37" fillId="10" borderId="28" xfId="0" applyNumberFormat="1" applyFont="1" applyFill="1" applyBorder="1"/>
    <xf numFmtId="174" fontId="46" fillId="4" borderId="0" xfId="0" applyNumberFormat="1" applyFont="1" applyFill="1"/>
    <xf numFmtId="0" fontId="47" fillId="0" borderId="0" xfId="0" applyFont="1"/>
    <xf numFmtId="0" fontId="32" fillId="0" borderId="0" xfId="0" applyFont="1" applyAlignment="1">
      <alignment horizontal="left" vertical="center"/>
    </xf>
    <xf numFmtId="174" fontId="48" fillId="4" borderId="0" xfId="0" applyNumberFormat="1" applyFont="1" applyFill="1" applyAlignment="1">
      <alignment horizontal="left"/>
    </xf>
    <xf numFmtId="43" fontId="9" fillId="0" borderId="0" xfId="1" applyFont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174" fontId="54" fillId="11" borderId="0" xfId="0" applyNumberFormat="1" applyFont="1" applyFill="1"/>
    <xf numFmtId="174" fontId="54" fillId="11" borderId="30" xfId="0" applyNumberFormat="1" applyFont="1" applyFill="1" applyBorder="1"/>
    <xf numFmtId="0" fontId="55" fillId="0" borderId="0" xfId="0" applyFont="1"/>
    <xf numFmtId="0" fontId="56" fillId="6" borderId="0" xfId="0" applyFont="1" applyFill="1" applyAlignment="1">
      <alignment horizontal="center" vertical="center" wrapText="1"/>
    </xf>
    <xf numFmtId="0" fontId="56" fillId="6" borderId="0" xfId="0" applyFont="1" applyFill="1" applyAlignment="1">
      <alignment horizontal="left" vertical="center" wrapText="1"/>
    </xf>
    <xf numFmtId="0" fontId="57" fillId="0" borderId="0" xfId="0" applyFont="1"/>
    <xf numFmtId="178" fontId="50" fillId="0" borderId="0" xfId="0" applyNumberFormat="1" applyFont="1"/>
    <xf numFmtId="0" fontId="50" fillId="0" borderId="29" xfId="0" applyFont="1" applyBorder="1"/>
    <xf numFmtId="0" fontId="50" fillId="0" borderId="29" xfId="0" applyFont="1" applyBorder="1" applyAlignment="1">
      <alignment horizontal="center"/>
    </xf>
    <xf numFmtId="178" fontId="50" fillId="0" borderId="29" xfId="0" applyNumberFormat="1" applyFont="1" applyBorder="1" applyAlignment="1">
      <alignment horizontal="right"/>
    </xf>
    <xf numFmtId="0" fontId="50" fillId="0" borderId="32" xfId="0" applyFont="1" applyBorder="1"/>
    <xf numFmtId="0" fontId="50" fillId="0" borderId="32" xfId="0" applyFont="1" applyBorder="1" applyAlignment="1">
      <alignment horizontal="center"/>
    </xf>
    <xf numFmtId="178" fontId="50" fillId="0" borderId="32" xfId="0" applyNumberFormat="1" applyFont="1" applyBorder="1" applyAlignment="1">
      <alignment horizontal="right"/>
    </xf>
    <xf numFmtId="0" fontId="53" fillId="17" borderId="33" xfId="0" applyFont="1" applyFill="1" applyBorder="1"/>
    <xf numFmtId="0" fontId="53" fillId="17" borderId="33" xfId="0" applyFont="1" applyFill="1" applyBorder="1" applyAlignment="1">
      <alignment horizontal="center"/>
    </xf>
    <xf numFmtId="178" fontId="53" fillId="17" borderId="33" xfId="0" applyNumberFormat="1" applyFont="1" applyFill="1" applyBorder="1" applyAlignment="1">
      <alignment horizontal="right"/>
    </xf>
    <xf numFmtId="177" fontId="53" fillId="17" borderId="33" xfId="0" applyNumberFormat="1" applyFont="1" applyFill="1" applyBorder="1" applyAlignment="1">
      <alignment horizontal="center"/>
    </xf>
    <xf numFmtId="177" fontId="50" fillId="29" borderId="29" xfId="0" applyNumberFormat="1" applyFont="1" applyFill="1" applyBorder="1" applyAlignment="1">
      <alignment horizontal="center"/>
    </xf>
    <xf numFmtId="0" fontId="50" fillId="29" borderId="29" xfId="0" applyFont="1" applyFill="1" applyBorder="1" applyAlignment="1">
      <alignment horizontal="center"/>
    </xf>
    <xf numFmtId="177" fontId="50" fillId="29" borderId="32" xfId="0" applyNumberFormat="1" applyFont="1" applyFill="1" applyBorder="1" applyAlignment="1">
      <alignment horizontal="center"/>
    </xf>
    <xf numFmtId="0" fontId="50" fillId="29" borderId="32" xfId="0" applyFont="1" applyFill="1" applyBorder="1" applyAlignment="1">
      <alignment horizontal="center"/>
    </xf>
    <xf numFmtId="177" fontId="50" fillId="30" borderId="29" xfId="0" applyNumberFormat="1" applyFont="1" applyFill="1" applyBorder="1" applyAlignment="1">
      <alignment horizontal="center"/>
    </xf>
    <xf numFmtId="0" fontId="50" fillId="30" borderId="29" xfId="0" applyFont="1" applyFill="1" applyBorder="1" applyAlignment="1">
      <alignment horizontal="center"/>
    </xf>
    <xf numFmtId="177" fontId="50" fillId="30" borderId="32" xfId="0" applyNumberFormat="1" applyFont="1" applyFill="1" applyBorder="1" applyAlignment="1">
      <alignment horizontal="center"/>
    </xf>
    <xf numFmtId="0" fontId="50" fillId="30" borderId="32" xfId="0" applyFont="1" applyFill="1" applyBorder="1" applyAlignment="1">
      <alignment horizontal="center"/>
    </xf>
    <xf numFmtId="0" fontId="58" fillId="0" borderId="0" xfId="0" applyFont="1"/>
    <xf numFmtId="0" fontId="56" fillId="31" borderId="0" xfId="0" applyFont="1" applyFill="1" applyAlignment="1">
      <alignment wrapText="1"/>
    </xf>
    <xf numFmtId="0" fontId="53" fillId="0" borderId="24" xfId="0" applyFont="1" applyBorder="1" applyAlignment="1">
      <alignment vertical="center"/>
    </xf>
    <xf numFmtId="0" fontId="57" fillId="0" borderId="24" xfId="0" applyFont="1" applyBorder="1" applyAlignment="1">
      <alignment horizontal="center" vertical="center"/>
    </xf>
    <xf numFmtId="0" fontId="53" fillId="0" borderId="31" xfId="0" applyFont="1" applyBorder="1" applyAlignment="1">
      <alignment vertical="center"/>
    </xf>
    <xf numFmtId="0" fontId="57" fillId="0" borderId="31" xfId="0" applyFont="1" applyBorder="1" applyAlignment="1">
      <alignment horizontal="center" vertical="center"/>
    </xf>
    <xf numFmtId="178" fontId="0" fillId="0" borderId="0" xfId="0" applyNumberFormat="1"/>
    <xf numFmtId="0" fontId="56" fillId="26" borderId="0" xfId="0" applyFont="1" applyFill="1" applyAlignment="1">
      <alignment horizontal="center" vertical="center" wrapText="1"/>
    </xf>
    <xf numFmtId="0" fontId="59" fillId="0" borderId="0" xfId="0" applyFont="1"/>
    <xf numFmtId="0" fontId="60" fillId="0" borderId="0" xfId="0" applyFont="1"/>
    <xf numFmtId="178" fontId="53" fillId="17" borderId="0" xfId="0" applyNumberFormat="1" applyFont="1" applyFill="1" applyAlignment="1">
      <alignment horizontal="right"/>
    </xf>
    <xf numFmtId="177" fontId="50" fillId="32" borderId="29" xfId="0" applyNumberFormat="1" applyFont="1" applyFill="1" applyBorder="1" applyAlignment="1">
      <alignment horizontal="center"/>
    </xf>
    <xf numFmtId="181" fontId="50" fillId="32" borderId="29" xfId="0" applyNumberFormat="1" applyFont="1" applyFill="1" applyBorder="1" applyAlignment="1">
      <alignment horizontal="center"/>
    </xf>
    <xf numFmtId="0" fontId="50" fillId="32" borderId="29" xfId="0" applyFont="1" applyFill="1" applyBorder="1" applyAlignment="1">
      <alignment horizontal="center"/>
    </xf>
    <xf numFmtId="177" fontId="50" fillId="32" borderId="32" xfId="0" applyNumberFormat="1" applyFont="1" applyFill="1" applyBorder="1" applyAlignment="1">
      <alignment horizontal="center"/>
    </xf>
    <xf numFmtId="181" fontId="50" fillId="32" borderId="32" xfId="0" applyNumberFormat="1" applyFont="1" applyFill="1" applyBorder="1" applyAlignment="1">
      <alignment horizontal="center"/>
    </xf>
    <xf numFmtId="0" fontId="50" fillId="32" borderId="32" xfId="0" applyFont="1" applyFill="1" applyBorder="1" applyAlignment="1">
      <alignment horizontal="center"/>
    </xf>
    <xf numFmtId="181" fontId="53" fillId="17" borderId="33" xfId="0" applyNumberFormat="1" applyFont="1" applyFill="1" applyBorder="1" applyAlignment="1">
      <alignment horizontal="center"/>
    </xf>
    <xf numFmtId="178" fontId="50" fillId="32" borderId="34" xfId="0" applyNumberFormat="1" applyFont="1" applyFill="1" applyBorder="1" applyAlignment="1">
      <alignment horizontal="right"/>
    </xf>
    <xf numFmtId="178" fontId="50" fillId="32" borderId="35" xfId="0" applyNumberFormat="1" applyFont="1" applyFill="1" applyBorder="1" applyAlignment="1">
      <alignment horizontal="right"/>
    </xf>
    <xf numFmtId="0" fontId="53" fillId="0" borderId="0" xfId="0" applyFont="1" applyAlignment="1">
      <alignment horizontal="right"/>
    </xf>
    <xf numFmtId="0" fontId="56" fillId="26" borderId="37" xfId="0" applyFont="1" applyFill="1" applyBorder="1" applyAlignment="1">
      <alignment horizontal="center" vertical="center" wrapText="1"/>
    </xf>
    <xf numFmtId="0" fontId="61" fillId="32" borderId="36" xfId="0" applyFont="1" applyFill="1" applyBorder="1" applyAlignment="1">
      <alignment horizontal="center" vertical="center" wrapText="1"/>
    </xf>
    <xf numFmtId="0" fontId="61" fillId="32" borderId="38" xfId="0" applyFont="1" applyFill="1" applyBorder="1" applyAlignment="1">
      <alignment horizontal="center" vertical="center" wrapText="1"/>
    </xf>
    <xf numFmtId="0" fontId="64" fillId="0" borderId="0" xfId="0" applyFont="1"/>
    <xf numFmtId="0" fontId="62" fillId="32" borderId="38" xfId="0" applyFont="1" applyFill="1" applyBorder="1" applyAlignment="1">
      <alignment horizontal="center" vertical="center" wrapText="1"/>
    </xf>
    <xf numFmtId="9" fontId="54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left" vertical="center"/>
    </xf>
    <xf numFmtId="0" fontId="65" fillId="33" borderId="0" xfId="0" applyFont="1" applyFill="1" applyAlignment="1">
      <alignment horizontal="center" vertical="center" wrapText="1"/>
    </xf>
    <xf numFmtId="0" fontId="66" fillId="0" borderId="0" xfId="0" applyFont="1"/>
    <xf numFmtId="0" fontId="67" fillId="0" borderId="0" xfId="0" applyFont="1"/>
    <xf numFmtId="0" fontId="68" fillId="34" borderId="0" xfId="0" applyFont="1" applyFill="1"/>
    <xf numFmtId="0" fontId="69" fillId="34" borderId="0" xfId="0" applyFont="1" applyFill="1"/>
    <xf numFmtId="182" fontId="0" fillId="0" borderId="0" xfId="0" applyNumberFormat="1"/>
    <xf numFmtId="174" fontId="6" fillId="11" borderId="0" xfId="0" applyNumberFormat="1" applyFont="1" applyFill="1" applyAlignment="1">
      <alignment horizontal="center"/>
    </xf>
    <xf numFmtId="0" fontId="49" fillId="0" borderId="0" xfId="0" applyFont="1" applyAlignment="1">
      <alignment horizontal="left" vertical="center"/>
    </xf>
    <xf numFmtId="43" fontId="1" fillId="0" borderId="0" xfId="1" applyFont="1"/>
    <xf numFmtId="49" fontId="1" fillId="0" borderId="0" xfId="0" applyNumberFormat="1" applyFont="1"/>
    <xf numFmtId="49" fontId="0" fillId="0" borderId="0" xfId="0" applyNumberForma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183" fontId="74" fillId="0" borderId="0" xfId="0" applyNumberFormat="1" applyFont="1"/>
    <xf numFmtId="0" fontId="77" fillId="0" borderId="0" xfId="0" applyFont="1"/>
    <xf numFmtId="0" fontId="73" fillId="17" borderId="0" xfId="0" applyFont="1" applyFill="1" applyAlignment="1">
      <alignment horizontal="center" wrapText="1"/>
    </xf>
    <xf numFmtId="0" fontId="73" fillId="0" borderId="0" xfId="0" applyFont="1" applyAlignment="1">
      <alignment horizontal="center" wrapText="1"/>
    </xf>
    <xf numFmtId="3" fontId="73" fillId="17" borderId="0" xfId="0" applyNumberFormat="1" applyFont="1" applyFill="1" applyAlignment="1">
      <alignment horizontal="center" wrapText="1"/>
    </xf>
    <xf numFmtId="0" fontId="70" fillId="0" borderId="0" xfId="0" applyFont="1" applyAlignment="1">
      <alignment horizontal="center"/>
    </xf>
    <xf numFmtId="3" fontId="70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12" borderId="39" xfId="0" applyFont="1" applyFill="1" applyBorder="1" applyAlignment="1">
      <alignment horizontal="center"/>
    </xf>
    <xf numFmtId="3" fontId="73" fillId="12" borderId="39" xfId="0" applyNumberFormat="1" applyFont="1" applyFill="1" applyBorder="1" applyAlignment="1">
      <alignment horizontal="center"/>
    </xf>
    <xf numFmtId="0" fontId="73" fillId="17" borderId="29" xfId="0" applyFont="1" applyFill="1" applyBorder="1" applyAlignment="1">
      <alignment horizontal="left" wrapText="1"/>
    </xf>
    <xf numFmtId="0" fontId="73" fillId="17" borderId="29" xfId="0" applyFont="1" applyFill="1" applyBorder="1" applyAlignment="1">
      <alignment horizontal="center" wrapText="1"/>
    </xf>
    <xf numFmtId="0" fontId="70" fillId="0" borderId="32" xfId="0" applyFont="1" applyBorder="1"/>
    <xf numFmtId="172" fontId="70" fillId="0" borderId="32" xfId="0" applyNumberFormat="1" applyFont="1" applyBorder="1" applyAlignment="1">
      <alignment horizontal="center"/>
    </xf>
    <xf numFmtId="184" fontId="73" fillId="0" borderId="32" xfId="0" applyNumberFormat="1" applyFont="1" applyBorder="1" applyAlignment="1">
      <alignment horizontal="center"/>
    </xf>
    <xf numFmtId="0" fontId="73" fillId="12" borderId="32" xfId="0" applyFont="1" applyFill="1" applyBorder="1"/>
    <xf numFmtId="172" fontId="73" fillId="12" borderId="32" xfId="0" applyNumberFormat="1" applyFont="1" applyFill="1" applyBorder="1" applyAlignment="1">
      <alignment horizontal="center"/>
    </xf>
    <xf numFmtId="184" fontId="73" fillId="12" borderId="32" xfId="0" applyNumberFormat="1" applyFont="1" applyFill="1" applyBorder="1" applyAlignment="1">
      <alignment horizontal="center"/>
    </xf>
    <xf numFmtId="4" fontId="70" fillId="0" borderId="32" xfId="0" applyNumberFormat="1" applyFont="1" applyBorder="1" applyAlignment="1">
      <alignment horizontal="center"/>
    </xf>
    <xf numFmtId="185" fontId="73" fillId="0" borderId="32" xfId="0" applyNumberFormat="1" applyFont="1" applyBorder="1" applyAlignment="1">
      <alignment horizontal="center"/>
    </xf>
    <xf numFmtId="4" fontId="73" fillId="12" borderId="32" xfId="0" applyNumberFormat="1" applyFont="1" applyFill="1" applyBorder="1" applyAlignment="1">
      <alignment horizontal="center"/>
    </xf>
    <xf numFmtId="185" fontId="73" fillId="12" borderId="32" xfId="0" applyNumberFormat="1" applyFont="1" applyFill="1" applyBorder="1" applyAlignment="1">
      <alignment horizontal="center"/>
    </xf>
    <xf numFmtId="174" fontId="73" fillId="0" borderId="0" xfId="0" applyNumberFormat="1" applyFont="1" applyAlignment="1">
      <alignment horizontal="left"/>
    </xf>
    <xf numFmtId="0" fontId="79" fillId="0" borderId="0" xfId="0" applyFont="1"/>
    <xf numFmtId="0" fontId="6" fillId="11" borderId="40" xfId="0" applyFont="1" applyFill="1" applyBorder="1"/>
    <xf numFmtId="0" fontId="14" fillId="32" borderId="31" xfId="0" applyFont="1" applyFill="1" applyBorder="1" applyAlignment="1">
      <alignment horizontal="left" vertical="center" wrapText="1"/>
    </xf>
    <xf numFmtId="0" fontId="56" fillId="26" borderId="0" xfId="0" applyFont="1" applyFill="1" applyAlignment="1">
      <alignment horizontal="left" vertical="center" wrapText="1"/>
    </xf>
    <xf numFmtId="0" fontId="63" fillId="32" borderId="24" xfId="0" applyFont="1" applyFill="1" applyBorder="1" applyAlignment="1">
      <alignment horizontal="left" vertical="center" wrapText="1"/>
    </xf>
    <xf numFmtId="0" fontId="63" fillId="32" borderId="31" xfId="0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56" fillId="6" borderId="0" xfId="0" applyFont="1" applyFill="1" applyAlignment="1">
      <alignment horizontal="left" vertical="center" wrapText="1"/>
    </xf>
    <xf numFmtId="0" fontId="63" fillId="0" borderId="24" xfId="0" applyFont="1" applyBorder="1" applyAlignment="1">
      <alignment horizontal="left" vertical="center" wrapText="1"/>
    </xf>
    <xf numFmtId="0" fontId="63" fillId="0" borderId="31" xfId="0" applyFont="1" applyBorder="1" applyAlignment="1">
      <alignment horizontal="left" vertical="center" wrapText="1"/>
    </xf>
    <xf numFmtId="0" fontId="15" fillId="15" borderId="0" xfId="0" applyFont="1" applyFill="1" applyAlignment="1">
      <alignment horizontal="center"/>
    </xf>
    <xf numFmtId="0" fontId="43" fillId="28" borderId="0" xfId="0" applyFont="1" applyFill="1" applyAlignment="1">
      <alignment horizontal="center"/>
    </xf>
    <xf numFmtId="0" fontId="43" fillId="15" borderId="0" xfId="0" applyFont="1" applyFill="1" applyAlignment="1">
      <alignment horizontal="center"/>
    </xf>
    <xf numFmtId="0" fontId="43" fillId="24" borderId="0" xfId="0" applyFont="1" applyFill="1" applyAlignment="1">
      <alignment horizontal="center"/>
    </xf>
    <xf numFmtId="0" fontId="43" fillId="25" borderId="0" xfId="0" applyFont="1" applyFill="1" applyAlignment="1">
      <alignment horizontal="center"/>
    </xf>
    <xf numFmtId="0" fontId="43" fillId="26" borderId="0" xfId="0" applyFont="1" applyFill="1" applyAlignment="1">
      <alignment horizontal="center"/>
    </xf>
    <xf numFmtId="0" fontId="43" fillId="27" borderId="0" xfId="0" applyFont="1" applyFill="1" applyAlignment="1">
      <alignment horizontal="center"/>
    </xf>
    <xf numFmtId="174" fontId="73" fillId="0" borderId="0" xfId="0" applyNumberFormat="1" applyFont="1" applyAlignment="1">
      <alignment horizontal="left"/>
    </xf>
    <xf numFmtId="174" fontId="73" fillId="0" borderId="0" xfId="0" applyNumberFormat="1" applyFont="1"/>
    <xf numFmtId="0" fontId="75" fillId="20" borderId="0" xfId="0" applyFont="1" applyFill="1"/>
    <xf numFmtId="0" fontId="76" fillId="35" borderId="0" xfId="0" applyFont="1" applyFill="1"/>
    <xf numFmtId="0" fontId="78" fillId="6" borderId="0" xfId="0" applyFont="1" applyFill="1" applyAlignment="1">
      <alignment horizontal="center"/>
    </xf>
    <xf numFmtId="0" fontId="78" fillId="36" borderId="0" xfId="0" applyFont="1" applyFill="1" applyAlignment="1">
      <alignment horizontal="center"/>
    </xf>
    <xf numFmtId="0" fontId="78" fillId="31" borderId="0" xfId="0" applyFont="1" applyFill="1" applyAlignment="1">
      <alignment horizontal="center"/>
    </xf>
    <xf numFmtId="3" fontId="78" fillId="31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2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00703C"/>
      </font>
      <fill>
        <patternFill patternType="solid">
          <fgColor indexed="64"/>
          <bgColor rgb="FFE2EFDA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>
        <bottom style="thin">
          <color rgb="FFD9D9D9"/>
        </bottom>
      </border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00703C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00703C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00703C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FF2CC"/>
        </patternFill>
      </fill>
    </dxf>
    <dxf>
      <border>
        <bottom style="thin">
          <color rgb="FFD9D9D9"/>
        </bottom>
      </border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00703C"/>
      </font>
      <fill>
        <patternFill patternType="solid">
          <fgColor indexed="64"/>
          <bgColor rgb="FFE2EFDA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border>
        <bottom style="thin">
          <color rgb="FFD9D9D9"/>
        </bottom>
      </border>
    </dxf>
    <dxf>
      <font>
        <b/>
        <i val="0"/>
      </font>
    </dxf>
    <dxf>
      <fill>
        <patternFill patternType="solid">
          <fgColor indexed="64"/>
          <bgColor rgb="FFFFF2CC"/>
        </patternFill>
      </fill>
    </dxf>
    <dxf>
      <border>
        <bottom style="thin">
          <color rgb="FFD9D9D9"/>
        </bottom>
      </border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F99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FFD1DC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5B5B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1DC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</font>
    </dxf>
    <dxf>
      <font>
        <b/>
        <i val="0"/>
        <color rgb="FF1F5C6B"/>
      </font>
    </dxf>
    <dxf>
      <font>
        <b/>
        <i val="0"/>
        <color rgb="FFFFFFFF"/>
      </font>
      <fill>
        <patternFill patternType="solid">
          <fgColor indexed="64"/>
          <bgColor rgb="FF2E5496"/>
        </patternFill>
      </fill>
    </dxf>
    <dxf>
      <font>
        <b/>
        <i val="0"/>
        <color rgb="FFFFFFFF"/>
      </font>
      <fill>
        <patternFill patternType="solid">
          <fgColor indexed="64"/>
          <bgColor rgb="FF1F386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color rgb="FF1F3864"/>
      </font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E2EFDA"/>
        </patternFill>
      </fill>
    </dxf>
    <dxf>
      <font>
        <color rgb="FFC00000"/>
      </font>
    </dxf>
    <dxf>
      <font>
        <b/>
        <i val="0"/>
        <color rgb="FF008000"/>
      </font>
    </dxf>
    <dxf>
      <font>
        <color rgb="FFC00000"/>
      </font>
    </dxf>
    <dxf>
      <font>
        <b/>
        <i val="0"/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b/>
        <i val="0"/>
        <color rgb="FF008000"/>
      </font>
    </dxf>
    <dxf>
      <font>
        <color rgb="FFC00000"/>
      </font>
    </dxf>
    <dxf>
      <font>
        <b/>
        <i val="0"/>
        <color rgb="FF008000"/>
      </font>
    </dxf>
    <dxf>
      <font>
        <color rgb="FFC00000"/>
      </font>
    </dxf>
    <dxf>
      <font>
        <b/>
        <i val="0"/>
        <color rgb="FF008000"/>
      </font>
    </dxf>
    <dxf>
      <font>
        <color rgb="FFC00000"/>
      </font>
    </dxf>
    <dxf>
      <font>
        <b/>
        <i val="0"/>
        <color rgb="FF008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&amp; ATV – Selection vs Business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Selection Sales</c:v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cat>
            <c:strRef>
              <c:f>'Staff Weekly Trend'!$B$8:$F$8</c:f>
              <c:strCache>
                <c:ptCount val="5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</c:strCache>
            </c:strRef>
          </c:cat>
          <c:val>
            <c:numRef>
              <c:f>'Staff Weekly Trend'!$B$14:$F$14</c:f>
              <c:numCache>
                <c:formatCode>#,##0;\(#,##0\);"-"</c:formatCode>
                <c:ptCount val="5"/>
                <c:pt idx="0">
                  <c:v>2927322.3799999976</c:v>
                </c:pt>
                <c:pt idx="1">
                  <c:v>4518898.0299999947</c:v>
                </c:pt>
                <c:pt idx="2">
                  <c:v>3607994.8599999943</c:v>
                </c:pt>
                <c:pt idx="3">
                  <c:v>3292195.7500000005</c:v>
                </c:pt>
                <c:pt idx="4">
                  <c:v>918691.49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F-4592-AB1C-52A385B88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759663"/>
        <c:axId val="874631311"/>
      </c:barChart>
      <c:lineChart>
        <c:grouping val="standard"/>
        <c:varyColors val="0"/>
        <c:ser>
          <c:idx val="1"/>
          <c:order val="1"/>
          <c:tx>
            <c:v>Selection ATV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'Staff Weekly Trend'!$B$16:$F$16</c:f>
              <c:numCache>
                <c:formatCode>#,##0.0;\(#,##0.0\);"-"</c:formatCode>
                <c:ptCount val="5"/>
                <c:pt idx="0">
                  <c:v>152.25060487855606</c:v>
                </c:pt>
                <c:pt idx="1">
                  <c:v>167.49066085989602</c:v>
                </c:pt>
                <c:pt idx="2">
                  <c:v>167.49430667099924</c:v>
                </c:pt>
                <c:pt idx="3">
                  <c:v>176.99025590022043</c:v>
                </c:pt>
                <c:pt idx="4">
                  <c:v>191.59363712200209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F-4592-AB1C-52A385B88D5E}"/>
            </c:ext>
          </c:extLst>
        </c:ser>
        <c:ser>
          <c:idx val="2"/>
          <c:order val="2"/>
          <c:tx>
            <c:v>Business ATV</c:v>
          </c:tx>
          <c:spPr>
            <a:ln w="28575" cap="rnd">
              <a:solidFill>
                <a:srgbClr val="7F7F7F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'Staff Weekly Trend'!$B$13:$F$13</c:f>
              <c:numCache>
                <c:formatCode>#,##0.0;\(#,##0.0\);"-"</c:formatCode>
                <c:ptCount val="5"/>
                <c:pt idx="0">
                  <c:v>152.25060487855606</c:v>
                </c:pt>
                <c:pt idx="1">
                  <c:v>167.49066085989602</c:v>
                </c:pt>
                <c:pt idx="2">
                  <c:v>167.49430667099924</c:v>
                </c:pt>
                <c:pt idx="3">
                  <c:v>176.99025590022043</c:v>
                </c:pt>
                <c:pt idx="4">
                  <c:v>191.59363712200209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F-4592-AB1C-52A385B88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720687"/>
        <c:axId val="874632751"/>
      </c:lineChart>
      <c:catAx>
        <c:axId val="11947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31311"/>
        <c:crosses val="autoZero"/>
        <c:auto val="1"/>
        <c:lblAlgn val="ctr"/>
        <c:lblOffset val="100"/>
        <c:noMultiLvlLbl val="0"/>
      </c:catAx>
      <c:valAx>
        <c:axId val="87463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59663"/>
        <c:crosses val="autoZero"/>
        <c:crossBetween val="between"/>
      </c:valAx>
      <c:valAx>
        <c:axId val="874632751"/>
        <c:scaling>
          <c:orientation val="minMax"/>
        </c:scaling>
        <c:delete val="0"/>
        <c:axPos val="r"/>
        <c:numFmt formatCode="#,##0.0;\(#,##0.0\);&quot;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20687"/>
        <c:crosses val="max"/>
        <c:crossBetween val="between"/>
      </c:valAx>
      <c:catAx>
        <c:axId val="1194720687"/>
        <c:scaling>
          <c:orientation val="minMax"/>
        </c:scaling>
        <c:delete val="1"/>
        <c:axPos val="b"/>
        <c:majorTickMark val="out"/>
        <c:minorTickMark val="none"/>
        <c:tickLblPos val="nextTo"/>
        <c:crossAx val="874632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CAB6D-FEFF-9AF8-8716-6DD4C43BB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0B164E-BF70-470C-8568-2DD069C8FDD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7fde0d-e018-47ad-b3d9-763e45bd97b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9C2B-A3C2-42E3-9145-00C3A33DF04C}">
  <dimension ref="A1:AU303"/>
  <sheetViews>
    <sheetView showGridLines="0" zoomScale="74" workbookViewId="0">
      <pane ySplit="4" topLeftCell="A5" activePane="bottomLeft" state="frozen"/>
      <selection pane="bottomLeft"/>
    </sheetView>
  </sheetViews>
  <sheetFormatPr defaultRowHeight="15" outlineLevelCol="1" x14ac:dyDescent="0.25"/>
  <cols>
    <col min="1" max="1" width="36.140625" customWidth="1"/>
    <col min="2" max="2" width="11.42578125" customWidth="1"/>
    <col min="3" max="6" width="14.85546875" customWidth="1"/>
    <col min="7" max="16" width="14.85546875" hidden="1" customWidth="1"/>
    <col min="17" max="24" width="14.85546875" customWidth="1"/>
    <col min="25" max="27" width="3.85546875" customWidth="1"/>
    <col min="28" max="45" width="13.28515625" customWidth="1" outlineLevel="1"/>
    <col min="47" max="47" width="16.140625" customWidth="1"/>
  </cols>
  <sheetData>
    <row r="1" spans="1:47" ht="21" x14ac:dyDescent="0.35">
      <c r="A1" s="272" t="str">
        <f>"DAILY TARGET &amp; LY SUMMARY – "&amp;TEXT($C$4,"ddd dd mmm yyyy")&amp;"  vs  "&amp;TEXT($F$4,"ddd dd mmm yyyy")</f>
        <v>DAILY TARGET &amp; LY SUMMARY – Thu 01 Oct 2026  vs  Mon 26 Oct 2026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</row>
    <row r="2" spans="1:47" x14ac:dyDescent="0.25">
      <c r="A2" s="273" t="str">
        <f>"Target achieved = Sales ≥ "&amp;TEXT($L$4,"0%")&amp;" of daily target  |  Beat LY = like-for-like stores (LY sales &gt; 0) with TY ≥ "&amp;TEXT($O$4,"0%")&amp;" of same date LY ("&amp;TEXT(EDATE($C$4,-12),"dd mmm yyyy")&amp;")"</f>
        <v>Target achieved = Sales ≥ 80% of daily target  |  Beat LY = like-for-like stores (LY sales &gt; 0) with TY ≥ 100% of same date LY (01 Oct 2025)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</row>
    <row r="3" spans="1:47" x14ac:dyDescent="0.25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</row>
    <row r="4" spans="1:47" x14ac:dyDescent="0.25">
      <c r="A4" s="274" t="s">
        <v>1366</v>
      </c>
      <c r="B4" s="271"/>
      <c r="C4" s="276">
        <v>46296</v>
      </c>
      <c r="E4" s="320" t="s">
        <v>1367</v>
      </c>
      <c r="F4" s="275">
        <v>46321</v>
      </c>
      <c r="G4" s="271"/>
      <c r="H4" s="277" t="str">
        <f>"Latest date with sales loaded: "&amp;TEXT('Sales Dashboard'!$AZ$6,"dd mmm yyyy")</f>
        <v>Latest date with sales loaded: 26 Oct 2026</v>
      </c>
      <c r="I4" s="271"/>
      <c r="J4" s="271"/>
      <c r="K4" s="320" t="s">
        <v>1368</v>
      </c>
      <c r="L4" s="326">
        <v>0.8</v>
      </c>
      <c r="M4" s="271"/>
      <c r="N4" s="320" t="s">
        <v>1369</v>
      </c>
      <c r="O4" s="326">
        <v>1</v>
      </c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</row>
    <row r="5" spans="1:47" x14ac:dyDescent="0.25">
      <c r="A5" s="271"/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300" t="s">
        <v>1364</v>
      </c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U5" s="324" t="s">
        <v>1365</v>
      </c>
    </row>
    <row r="6" spans="1:47" ht="20.100000000000001" customHeight="1" x14ac:dyDescent="0.25">
      <c r="A6" s="279" t="s">
        <v>1356</v>
      </c>
      <c r="B6" s="278" t="str">
        <f>TEXT($C$4,"dd mmm")</f>
        <v>01 Oct</v>
      </c>
      <c r="C6" s="374" t="str">
        <f>"Names – "&amp;TEXT($C$4,"dd mmm")</f>
        <v>Names – 01 Oct</v>
      </c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21" t="str">
        <f>TEXT($F$4,"dd mmm")</f>
        <v>26 Oct</v>
      </c>
      <c r="R6" s="370" t="str">
        <f>"Names – "&amp;TEXT($F$4,"dd mmm")</f>
        <v>Names – 26 Oct</v>
      </c>
      <c r="S6" s="370"/>
      <c r="T6" s="370"/>
      <c r="U6" s="370"/>
      <c r="V6" s="370"/>
      <c r="W6" s="370"/>
      <c r="X6" s="370"/>
      <c r="Y6" s="271"/>
      <c r="Z6" s="271"/>
      <c r="AA6" s="271"/>
      <c r="AB6" s="301" t="s">
        <v>125</v>
      </c>
      <c r="AC6" s="301" t="s">
        <v>134</v>
      </c>
      <c r="AD6" s="301" t="s">
        <v>135</v>
      </c>
      <c r="AE6" s="301" t="s">
        <v>1339</v>
      </c>
      <c r="AF6" s="301" t="s">
        <v>1340</v>
      </c>
      <c r="AG6" s="301" t="s">
        <v>1341</v>
      </c>
      <c r="AH6" s="301" t="s">
        <v>1342</v>
      </c>
      <c r="AI6" s="301" t="s">
        <v>1343</v>
      </c>
      <c r="AJ6" s="301" t="s">
        <v>172</v>
      </c>
      <c r="AK6" s="301" t="s">
        <v>1344</v>
      </c>
      <c r="AL6" s="301" t="s">
        <v>1345</v>
      </c>
      <c r="AM6" s="301" t="s">
        <v>1357</v>
      </c>
      <c r="AN6" s="301" t="s">
        <v>1358</v>
      </c>
      <c r="AO6" s="301" t="s">
        <v>1359</v>
      </c>
      <c r="AP6" s="301" t="s">
        <v>1360</v>
      </c>
      <c r="AQ6" s="301" t="s">
        <v>1361</v>
      </c>
      <c r="AR6" s="301" t="s">
        <v>1362</v>
      </c>
      <c r="AS6" s="301" t="s">
        <v>1363</v>
      </c>
      <c r="AU6" s="132" cm="1">
        <f t="array" ref="AU6:AU31">_xlfn._xlws.FILTER(_xlfn.ANCHORARRAY('Sales Dashboard'!$AY$6),_xlfn.ANCHORARRAY('Sales Dashboard'!$AY$6)&lt;='Sales Dashboard'!$AZ$6)</f>
        <v>46296</v>
      </c>
    </row>
    <row r="7" spans="1:47" ht="27.95" customHeight="1" x14ac:dyDescent="0.25">
      <c r="A7" s="302" t="str">
        <f>"Area Managers achieved target (≥"&amp;TEXT($L$4,"0%")&amp;")"</f>
        <v>Area Managers achieved target (≥80%)</v>
      </c>
      <c r="B7" s="303" t="str">
        <f>F26</f>
        <v>0 of 8</v>
      </c>
      <c r="C7" s="375" t="str" cm="1">
        <f t="array" ref="C7">_xlfn.TEXTJOIN(", ",TRUE,_xlfn._xlws.FILTER(A16:A25,F16:F25="✔ Yes","None"))</f>
        <v>None</v>
      </c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22" t="str">
        <f>U26</f>
        <v>0 of 8</v>
      </c>
      <c r="R7" s="371" t="str" cm="1">
        <f t="array" ref="R7">_xlfn.TEXTJOIN(", ",TRUE,_xlfn._xlws.FILTER(A16:A25,U16:U25="✔ Yes","None"))</f>
        <v>None</v>
      </c>
      <c r="S7" s="371"/>
      <c r="T7" s="371"/>
      <c r="U7" s="371"/>
      <c r="V7" s="371"/>
      <c r="W7" s="371"/>
      <c r="X7" s="371"/>
      <c r="Y7" s="271"/>
      <c r="Z7" s="271"/>
      <c r="AA7" s="271"/>
      <c r="AB7" s="271" t="str">
        <f>IF('Sales Dashboard'!AW5="","",'Sales Dashboard'!AW5)</f>
        <v>HAOTHASS</v>
      </c>
      <c r="AC7" s="271" t="str">
        <f>IF(AB7="","",'Sales Dashboard'!AN5)</f>
        <v>Hamzah Al Makhadam</v>
      </c>
      <c r="AD7" s="271" t="str">
        <f>IF(AB7="","",'Sales Dashboard'!AO5)</f>
        <v>Al Hasa</v>
      </c>
      <c r="AE7" s="281" cm="1">
        <f t="array" ref="AE7">IF(OR(AB7="",NOT(ISNUMBER('Sales Dashboard'!BF5))),0,SUMPRODUCT((IFERROR(--'Sales and count'!$G$2:$CC$2,0)=$C$4)*('Sales and count'!$G$3:$CC$3="Total"),INDEX('Sales and count'!$G$4:$CC$300,'Sales Dashboard'!BF5,0)))</f>
        <v>11939.14</v>
      </c>
      <c r="AF7" s="281" cm="1">
        <f t="array" ref="AF7">IF(OR(AB7="",NOT(ISNUMBER('Sales Dashboard'!BG5))),0,SUMPRODUCT(('TY Sales Target'!$K$2:$AO$2=$C$4)*1,INDEX('TY Sales Target'!$K$5:$AO$300,'Sales Dashboard'!BG5,0)))</f>
        <v>10689.192296469368</v>
      </c>
      <c r="AG7" s="281" cm="1">
        <f t="array" ref="AG7">IF(AB7="",0,SUMPRODUCT((TRIM('LY Sales '!$B$5:$B$200)=AB7)*('LY Sales '!$C$2:$AG$2=EDATE($C$4,-12)),'LY Sales '!$C$5:$AG$200))</f>
        <v>10503.31</v>
      </c>
      <c r="AH7" s="271">
        <f>--AND(AB7&lt;&gt;"",AF7&gt;0)</f>
        <v>1</v>
      </c>
      <c r="AI7" s="271">
        <f>--AND(AH7=1,AE7&gt;=AF7*$L$4)</f>
        <v>1</v>
      </c>
      <c r="AJ7" s="271">
        <f>--AND(AB7&lt;&gt;"",AG7&gt;0)</f>
        <v>1</v>
      </c>
      <c r="AK7" s="271">
        <f>--AND(AJ7=1,AE7&gt;=AG7*$O$4)</f>
        <v>1</v>
      </c>
      <c r="AL7" s="271">
        <f>--AND(AC7&lt;&gt;"",AC7&lt;&gt;"No assignment",AC7&lt;&gt;"Unassigned")</f>
        <v>1</v>
      </c>
      <c r="AM7" s="306" cm="1">
        <f t="array" ref="AM7">IF(OR(AB7="",NOT(ISNUMBER('Sales Dashboard'!BF5))),0,SUMPRODUCT((IFERROR(--'Sales and count'!$G$2:$CC$2,0)=$F$4)*('Sales and count'!$G$3:$CC$3="Total"),INDEX('Sales and count'!$G$4:$CC$300,'Sales Dashboard'!BF5,0)))</f>
        <v>4633.2299999999996</v>
      </c>
      <c r="AN7" s="306" cm="1">
        <f t="array" ref="AN7">IF(OR(AB7="",NOT(ISNUMBER('Sales Dashboard'!BG5))),0,SUMPRODUCT(('TY Sales Target'!$K$2:$AO$2=$F$4)*1,INDEX('TY Sales Target'!$K$5:$AO$300,'Sales Dashboard'!BG5,0)))</f>
        <v>7421.6380114594713</v>
      </c>
      <c r="AO7" s="306" cm="1">
        <f t="array" ref="AO7">IF(AB7="",0,SUMPRODUCT((TRIM('LY Sales '!$B$5:$B$200)=AB7)*('LY Sales '!$C$2:$AG$2=EDATE($F$4,-12)),'LY Sales '!$C$5:$AG$200))</f>
        <v>5587.08</v>
      </c>
      <c r="AP7">
        <f>--AND(AB7&lt;&gt;"",AN7&gt;0)</f>
        <v>1</v>
      </c>
      <c r="AQ7">
        <f>--AND(AP7=1,AM7&gt;=AN7*$L$4)</f>
        <v>0</v>
      </c>
      <c r="AR7">
        <f>--AND(AB7&lt;&gt;"",AO7&gt;0)</f>
        <v>1</v>
      </c>
      <c r="AS7">
        <f>--AND(AR7=1,AM7&gt;=AO7*$O$4)</f>
        <v>0</v>
      </c>
      <c r="AU7" s="132">
        <v>46297</v>
      </c>
    </row>
    <row r="8" spans="1:47" ht="27.95" customHeight="1" x14ac:dyDescent="0.25">
      <c r="A8" s="304" t="str">
        <f>"Area Managers beat LY (LFL ≥"&amp;TEXT($O$4,"0%")&amp;")"</f>
        <v>Area Managers beat LY (LFL ≥100%)</v>
      </c>
      <c r="B8" s="305" t="str">
        <f>N26</f>
        <v>0 of 8</v>
      </c>
      <c r="C8" s="376" t="str" cm="1">
        <f t="array" ref="C8">_xlfn.TEXTJOIN(", ",TRUE,_xlfn._xlws.FILTER(A16:A25,N16:N25="✔ Yes","None"))</f>
        <v>None</v>
      </c>
      <c r="D8" s="376"/>
      <c r="E8" s="376"/>
      <c r="F8" s="376"/>
      <c r="G8" s="376"/>
      <c r="H8" s="376"/>
      <c r="I8" s="376"/>
      <c r="J8" s="376"/>
      <c r="K8" s="376"/>
      <c r="L8" s="376"/>
      <c r="M8" s="376"/>
      <c r="N8" s="376"/>
      <c r="O8" s="376"/>
      <c r="P8" s="376"/>
      <c r="Q8" s="323" t="str">
        <f>COUNTIF(W16:W25,"&gt;="&amp;($O$4-1))&amp;" of "&amp;COUNT(W16:W25)</f>
        <v>0 of 8</v>
      </c>
      <c r="R8" s="372" t="str" cm="1">
        <f t="array" ref="R8">_xlfn.TEXTJOIN(", ",TRUE,_xlfn._xlws.FILTER(A16:A25,IF(ISNUMBER(W16:W25),W16:W25&gt;=$O$4-1,FALSE),"None"))</f>
        <v>None</v>
      </c>
      <c r="S8" s="372"/>
      <c r="T8" s="372"/>
      <c r="U8" s="372"/>
      <c r="V8" s="372"/>
      <c r="W8" s="372"/>
      <c r="X8" s="372"/>
      <c r="Y8" s="271"/>
      <c r="Z8" s="271"/>
      <c r="AA8" s="271"/>
      <c r="AB8" s="271" t="str">
        <f>IF('Sales Dashboard'!AW7="","",'Sales Dashboard'!AW7)</f>
        <v>HAPALMJED</v>
      </c>
      <c r="AC8" s="271" t="str">
        <f>IF(AB8="","",'Sales Dashboard'!AN7)</f>
        <v>Ahlam Al Zahrani</v>
      </c>
      <c r="AD8" s="271" t="str">
        <f>IF(AB8="","",'Sales Dashboard'!AO7)</f>
        <v>Jeddah</v>
      </c>
      <c r="AE8" s="281" cm="1">
        <f t="array" ref="AE8">IF(OR(AB8="",NOT(ISNUMBER('Sales Dashboard'!BF7))),0,SUMPRODUCT((IFERROR(--'Sales and count'!$G$2:$CC$2,0)=$C$4)*('Sales and count'!$G$3:$CC$3="Total"),INDEX('Sales and count'!$G$4:$CC$300,'Sales Dashboard'!BF7,0)))</f>
        <v>10718.22</v>
      </c>
      <c r="AF8" s="281" cm="1">
        <f t="array" ref="AF8">IF(OR(AB8="",NOT(ISNUMBER('Sales Dashboard'!BG7))),0,SUMPRODUCT(('TY Sales Target'!$K$2:$AO$2=$C$4)*1,INDEX('TY Sales Target'!$K$5:$AO$300,'Sales Dashboard'!BG7,0)))</f>
        <v>10131.935826037316</v>
      </c>
      <c r="AG8" s="281" cm="1">
        <f t="array" ref="AG8">IF(AB8="",0,SUMPRODUCT((TRIM('LY Sales '!$B$5:$B$200)=AB8)*('LY Sales '!$C$2:$AG$2=EDATE($C$4,-12)),'LY Sales '!$C$5:$AG$200))</f>
        <v>0</v>
      </c>
      <c r="AH8" s="271">
        <f t="shared" ref="AH8:AH71" si="0">--AND(AB8&lt;&gt;"",AF8&gt;0)</f>
        <v>1</v>
      </c>
      <c r="AI8" s="271">
        <f t="shared" ref="AI8:AI71" si="1">--AND(AH8=1,AE8&gt;=AF8*$L$4)</f>
        <v>1</v>
      </c>
      <c r="AJ8" s="271">
        <f t="shared" ref="AJ8:AJ71" si="2">--AND(AB8&lt;&gt;"",AG8&gt;0)</f>
        <v>0</v>
      </c>
      <c r="AK8" s="271">
        <f t="shared" ref="AK8:AK71" si="3">--AND(AJ8=1,AE8&gt;=AG8*$O$4)</f>
        <v>0</v>
      </c>
      <c r="AL8" s="271">
        <f t="shared" ref="AL8:AL71" si="4">--AND(AC8&lt;&gt;"",AC8&lt;&gt;"No assignment",AC8&lt;&gt;"Unassigned")</f>
        <v>1</v>
      </c>
      <c r="AM8" s="306" cm="1">
        <f t="array" ref="AM8">IF(OR(AB8="",NOT(ISNUMBER('Sales Dashboard'!BF7))),0,SUMPRODUCT((IFERROR(--'Sales and count'!$G$2:$CC$2,0)=$F$4)*('Sales and count'!$G$3:$CC$3="Total"),INDEX('Sales and count'!$G$4:$CC$300,'Sales Dashboard'!BF7,0)))</f>
        <v>4492.3500000000004</v>
      </c>
      <c r="AN8" s="306" cm="1">
        <f t="array" ref="AN8">IF(OR(AB8="",NOT(ISNUMBER('Sales Dashboard'!BG7))),0,SUMPRODUCT(('TY Sales Target'!$K$2:$AO$2=$F$4)*1,INDEX('TY Sales Target'!$K$5:$AO$300,'Sales Dashboard'!BG7,0)))</f>
        <v>7034.7279729473657</v>
      </c>
      <c r="AO8" s="306" cm="1">
        <f t="array" ref="AO8">IF(AB8="",0,SUMPRODUCT((TRIM('LY Sales '!$B$5:$B$200)=AB8)*('LY Sales '!$C$2:$AG$2=EDATE($F$4,-12)),'LY Sales '!$C$5:$AG$200))</f>
        <v>0</v>
      </c>
      <c r="AP8">
        <f t="shared" ref="AP8:AP71" si="5">--AND(AB8&lt;&gt;"",AN8&gt;0)</f>
        <v>1</v>
      </c>
      <c r="AQ8">
        <f t="shared" ref="AQ8:AQ71" si="6">--AND(AP8=1,AM8&gt;=AN8*$L$4)</f>
        <v>0</v>
      </c>
      <c r="AR8">
        <f t="shared" ref="AR8:AR71" si="7">--AND(AB8&lt;&gt;"",AO8&gt;0)</f>
        <v>0</v>
      </c>
      <c r="AS8">
        <f t="shared" ref="AS8:AS71" si="8">--AND(AR8=1,AM8&gt;=AO8*$O$4)</f>
        <v>0</v>
      </c>
      <c r="AU8" s="132">
        <v>46298</v>
      </c>
    </row>
    <row r="9" spans="1:47" ht="27.95" customHeight="1" x14ac:dyDescent="0.25">
      <c r="A9" s="304" t="str">
        <f>"Cities achieved target (≥"&amp;TEXT($L$4,"0%")&amp;")"</f>
        <v>Cities achieved target (≥80%)</v>
      </c>
      <c r="B9" s="305" t="str">
        <f>F70</f>
        <v>5 of 31</v>
      </c>
      <c r="C9" s="376" t="str" cm="1">
        <f t="array" ref="C9">_xlfn.TEXTJOIN(", ",TRUE,_xlfn._xlws.FILTER(A30:A69,F30:F69="✔ Yes","None"))</f>
        <v>Al Hasa, Dawadami, Jizan, Qurayat, Yanbu</v>
      </c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23" t="str">
        <f>U70</f>
        <v>0 of 31</v>
      </c>
      <c r="R9" s="372" t="str" cm="1">
        <f t="array" ref="R9">_xlfn.TEXTJOIN(", ",TRUE,_xlfn._xlws.FILTER(A30:A69,U30:U69="✔ Yes","None"))</f>
        <v>None</v>
      </c>
      <c r="S9" s="372"/>
      <c r="T9" s="372"/>
      <c r="U9" s="372"/>
      <c r="V9" s="372"/>
      <c r="W9" s="372"/>
      <c r="X9" s="372"/>
      <c r="Y9" s="271"/>
      <c r="Z9" s="271"/>
      <c r="AA9" s="271"/>
      <c r="AB9" s="271" t="str">
        <f>IF('Sales Dashboard'!AW8="","",'Sales Dashboard'!AW8)</f>
        <v>TAHLIAST</v>
      </c>
      <c r="AC9" s="271" t="str">
        <f>IF(AB9="","",'Sales Dashboard'!AN8)</f>
        <v>Ahlam Al Zahrani</v>
      </c>
      <c r="AD9" s="271" t="str">
        <f>IF(AB9="","",'Sales Dashboard'!AO8)</f>
        <v>Jeddah</v>
      </c>
      <c r="AE9" s="281" cm="1">
        <f t="array" ref="AE9">IF(OR(AB9="",NOT(ISNUMBER('Sales Dashboard'!BF8))),0,SUMPRODUCT((IFERROR(--'Sales and count'!$G$2:$CC$2,0)=$C$4)*('Sales and count'!$G$3:$CC$3="Total"),INDEX('Sales and count'!$G$4:$CC$300,'Sales Dashboard'!BF8,0)))</f>
        <v>8917.23</v>
      </c>
      <c r="AF9" s="281" cm="1">
        <f t="array" ref="AF9">IF(OR(AB9="",NOT(ISNUMBER('Sales Dashboard'!BG8))),0,SUMPRODUCT(('TY Sales Target'!$K$2:$AO$2=$C$4)*1,INDEX('TY Sales Target'!$K$5:$AO$300,'Sales Dashboard'!BG8,0)))</f>
        <v>12411.621386895711</v>
      </c>
      <c r="AG9" s="281" cm="1">
        <f t="array" ref="AG9">IF(AB9="",0,SUMPRODUCT((TRIM('LY Sales '!$B$5:$B$200)=AB9)*('LY Sales '!$C$2:$AG$2=EDATE($C$4,-12)),'LY Sales '!$C$5:$AG$200))</f>
        <v>16722.580000000002</v>
      </c>
      <c r="AH9" s="271">
        <f t="shared" si="0"/>
        <v>1</v>
      </c>
      <c r="AI9" s="271">
        <f t="shared" si="1"/>
        <v>0</v>
      </c>
      <c r="AJ9" s="271">
        <f t="shared" si="2"/>
        <v>1</v>
      </c>
      <c r="AK9" s="271">
        <f t="shared" si="3"/>
        <v>0</v>
      </c>
      <c r="AL9" s="271">
        <f t="shared" si="4"/>
        <v>1</v>
      </c>
      <c r="AM9" s="306" cm="1">
        <f t="array" ref="AM9">IF(OR(AB9="",NOT(ISNUMBER('Sales Dashboard'!BF8))),0,SUMPRODUCT((IFERROR(--'Sales and count'!$G$2:$CC$2,0)=$F$4)*('Sales and count'!$G$3:$CC$3="Total"),INDEX('Sales and count'!$G$4:$CC$300,'Sales Dashboard'!BF8,0)))</f>
        <v>3522.2</v>
      </c>
      <c r="AN9" s="306" cm="1">
        <f t="array" ref="AN9">IF(OR(AB9="",NOT(ISNUMBER('Sales Dashboard'!BG8))),0,SUMPRODUCT(('TY Sales Target'!$K$2:$AO$2=$F$4)*1,INDEX('TY Sales Target'!$K$5:$AO$300,'Sales Dashboard'!BG8,0)))</f>
        <v>8617.5417668605241</v>
      </c>
      <c r="AO9" s="306" cm="1">
        <f t="array" ref="AO9">IF(AB9="",0,SUMPRODUCT((TRIM('LY Sales '!$B$5:$B$200)=AB9)*('LY Sales '!$C$2:$AG$2=EDATE($F$4,-12)),'LY Sales '!$C$5:$AG$200))</f>
        <v>7356.16</v>
      </c>
      <c r="AP9">
        <f t="shared" si="5"/>
        <v>1</v>
      </c>
      <c r="AQ9">
        <f t="shared" si="6"/>
        <v>0</v>
      </c>
      <c r="AR9">
        <f t="shared" si="7"/>
        <v>1</v>
      </c>
      <c r="AS9">
        <f t="shared" si="8"/>
        <v>0</v>
      </c>
      <c r="AU9" s="132">
        <v>46299</v>
      </c>
    </row>
    <row r="10" spans="1:47" ht="27.95" customHeight="1" x14ac:dyDescent="0.25">
      <c r="A10" s="304" t="str">
        <f>"Cities beat LY (LFL ≥"&amp;TEXT($O$4,"0%")&amp;")"</f>
        <v>Cities beat LY (LFL ≥100%)</v>
      </c>
      <c r="B10" s="305" t="str">
        <f>N70</f>
        <v>4 of 20</v>
      </c>
      <c r="C10" s="376" t="str" cm="1">
        <f t="array" ref="C10">_xlfn.TEXTJOIN(", ",TRUE,_xlfn._xlws.FILTER(A30:A69,N30:N69="✔ Yes","None"))</f>
        <v>Buraidah, Jubail, Khobar, Qatif</v>
      </c>
      <c r="D10" s="376"/>
      <c r="E10" s="376"/>
      <c r="F10" s="376"/>
      <c r="G10" s="376"/>
      <c r="H10" s="376"/>
      <c r="I10" s="376"/>
      <c r="J10" s="376"/>
      <c r="K10" s="376"/>
      <c r="L10" s="376"/>
      <c r="M10" s="376"/>
      <c r="N10" s="376"/>
      <c r="O10" s="376"/>
      <c r="P10" s="376"/>
      <c r="Q10" s="323" t="str">
        <f>COUNTIF(W30:W69,"&gt;="&amp;($O$4-1))&amp;" of "&amp;COUNT(W30:W69)</f>
        <v>5 of 23</v>
      </c>
      <c r="R10" s="372" t="str" cm="1">
        <f t="array" ref="R10">_xlfn.TEXTJOIN(", ",TRUE,_xlfn._xlws.FILTER(A30:A69,IF(ISNUMBER(W30:W69),W30:W69&gt;=$O$4-1,FALSE),"None"))</f>
        <v>Buraidah, Dammam, Madinah, Qatif, Sabya</v>
      </c>
      <c r="S10" s="372"/>
      <c r="T10" s="372"/>
      <c r="U10" s="372"/>
      <c r="V10" s="372"/>
      <c r="W10" s="372"/>
      <c r="X10" s="372"/>
      <c r="Y10" s="271"/>
      <c r="Z10" s="271"/>
      <c r="AA10" s="271"/>
      <c r="AB10" s="271" t="str">
        <f>IF('Sales Dashboard'!AW9="","",'Sales Dashboard'!AW9)</f>
        <v>HAMYANYARD</v>
      </c>
      <c r="AC10" s="271" t="str">
        <f>IF(AB10="","",'Sales Dashboard'!AN9)</f>
        <v>Maram Zamzami</v>
      </c>
      <c r="AD10" s="271" t="str">
        <f>IF(AB10="","",'Sales Dashboard'!AO9)</f>
        <v>Makkah</v>
      </c>
      <c r="AE10" s="281" cm="1">
        <f t="array" ref="AE10">IF(OR(AB10="",NOT(ISNUMBER('Sales Dashboard'!BF9))),0,SUMPRODUCT((IFERROR(--'Sales and count'!$G$2:$CC$2,0)=$C$4)*('Sales and count'!$G$3:$CC$3="Total"),INDEX('Sales and count'!$G$4:$CC$300,'Sales Dashboard'!BF9,0)))</f>
        <v>8811.14</v>
      </c>
      <c r="AF10" s="281" cm="1">
        <f t="array" ref="AF10">IF(OR(AB10="",NOT(ISNUMBER('Sales Dashboard'!BG9))),0,SUMPRODUCT(('TY Sales Target'!$K$2:$AO$2=$C$4)*1,INDEX('TY Sales Target'!$K$5:$AO$300,'Sales Dashboard'!BG9,0)))</f>
        <v>8612.1454521317173</v>
      </c>
      <c r="AG10" s="281" cm="1">
        <f t="array" ref="AG10">IF(AB10="",0,SUMPRODUCT((TRIM('LY Sales '!$B$5:$B$200)=AB10)*('LY Sales '!$C$2:$AG$2=EDATE($C$4,-12)),'LY Sales '!$C$5:$AG$200))</f>
        <v>10913.25</v>
      </c>
      <c r="AH10" s="271">
        <f t="shared" si="0"/>
        <v>1</v>
      </c>
      <c r="AI10" s="271">
        <f t="shared" si="1"/>
        <v>1</v>
      </c>
      <c r="AJ10" s="271">
        <f t="shared" si="2"/>
        <v>1</v>
      </c>
      <c r="AK10" s="271">
        <f t="shared" si="3"/>
        <v>0</v>
      </c>
      <c r="AL10" s="271">
        <f t="shared" si="4"/>
        <v>1</v>
      </c>
      <c r="AM10" s="306" cm="1">
        <f t="array" ref="AM10">IF(OR(AB10="",NOT(ISNUMBER('Sales Dashboard'!BF9))),0,SUMPRODUCT((IFERROR(--'Sales and count'!$G$2:$CC$2,0)=$F$4)*('Sales and count'!$G$3:$CC$3="Total"),INDEX('Sales and count'!$G$4:$CC$300,'Sales Dashboard'!BF9,0)))</f>
        <v>3406.22</v>
      </c>
      <c r="AN10" s="306" cm="1">
        <f t="array" ref="AN10">IF(OR(AB10="",NOT(ISNUMBER('Sales Dashboard'!BG9))),0,SUMPRODUCT(('TY Sales Target'!$K$2:$AO$2=$F$4)*1,INDEX('TY Sales Target'!$K$5:$AO$300,'Sales Dashboard'!BG9,0)))</f>
        <v>5979.5187770052607</v>
      </c>
      <c r="AO10" s="306" cm="1">
        <f t="array" ref="AO10">IF(AB10="",0,SUMPRODUCT((TRIM('LY Sales '!$B$5:$B$200)=AB10)*('LY Sales '!$C$2:$AG$2=EDATE($F$4,-12)),'LY Sales '!$C$5:$AG$200))</f>
        <v>2306.04</v>
      </c>
      <c r="AP10">
        <f t="shared" si="5"/>
        <v>1</v>
      </c>
      <c r="AQ10">
        <f t="shared" si="6"/>
        <v>0</v>
      </c>
      <c r="AR10">
        <f t="shared" si="7"/>
        <v>1</v>
      </c>
      <c r="AS10">
        <f t="shared" si="8"/>
        <v>1</v>
      </c>
      <c r="AU10" s="132">
        <v>46300</v>
      </c>
    </row>
    <row r="11" spans="1:47" ht="27.95" customHeight="1" x14ac:dyDescent="0.25">
      <c r="A11" s="304" t="str">
        <f>"Stores achieved target (≥"&amp;TEXT($L$4,"0%")&amp;")"</f>
        <v>Stores achieved target (≥80%)</v>
      </c>
      <c r="B11" s="305" t="str">
        <f>SUM($AI$7:$AI$303)&amp;" of "&amp;SUM($AH$7:$AH$303)</f>
        <v>20 of 115</v>
      </c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25" t="str">
        <f>SUM($AQ$7:$AQ$303)&amp;" of "&amp;SUM($AP$7:$AP$303)</f>
        <v>6 of 115</v>
      </c>
      <c r="R11" s="369"/>
      <c r="S11" s="369"/>
      <c r="T11" s="369"/>
      <c r="U11" s="369"/>
      <c r="V11" s="369"/>
      <c r="W11" s="369"/>
      <c r="X11" s="369"/>
      <c r="Y11" s="271"/>
      <c r="Z11" s="271"/>
      <c r="AA11" s="271"/>
      <c r="AB11" s="271" t="str">
        <f>IF('Sales Dashboard'!AW10="","",'Sales Dashboard'!AW10)</f>
        <v>HAMAKANMAL</v>
      </c>
      <c r="AC11" s="271" t="str">
        <f>IF(AB11="","",'Sales Dashboard'!AN10)</f>
        <v>Lina Al Ghathami</v>
      </c>
      <c r="AD11" s="271" t="str">
        <f>IF(AB11="","",'Sales Dashboard'!AO10)</f>
        <v>Dawadami</v>
      </c>
      <c r="AE11" s="281" cm="1">
        <f t="array" ref="AE11">IF(OR(AB11="",NOT(ISNUMBER('Sales Dashboard'!BF10))),0,SUMPRODUCT((IFERROR(--'Sales and count'!$G$2:$CC$2,0)=$C$4)*('Sales and count'!$G$3:$CC$3="Total"),INDEX('Sales and count'!$G$4:$CC$300,'Sales Dashboard'!BF10,0)))</f>
        <v>4209.13</v>
      </c>
      <c r="AF11" s="281" cm="1">
        <f t="array" ref="AF11">IF(OR(AB11="",NOT(ISNUMBER('Sales Dashboard'!BG10))),0,SUMPRODUCT(('TY Sales Target'!$K$2:$AO$2=$C$4)*1,INDEX('TY Sales Target'!$K$5:$AO$300,'Sales Dashboard'!BG10,0)))</f>
        <v>4812.6695173677244</v>
      </c>
      <c r="AG11" s="281" cm="1">
        <f t="array" ref="AG11">IF(AB11="",0,SUMPRODUCT((TRIM('LY Sales '!$B$5:$B$200)=AB11)*('LY Sales '!$C$2:$AG$2=EDATE($C$4,-12)),'LY Sales '!$C$5:$AG$200))</f>
        <v>0</v>
      </c>
      <c r="AH11" s="271">
        <f t="shared" si="0"/>
        <v>1</v>
      </c>
      <c r="AI11" s="271">
        <f t="shared" si="1"/>
        <v>1</v>
      </c>
      <c r="AJ11" s="271">
        <f t="shared" si="2"/>
        <v>0</v>
      </c>
      <c r="AK11" s="271">
        <f t="shared" si="3"/>
        <v>0</v>
      </c>
      <c r="AL11" s="271">
        <f t="shared" si="4"/>
        <v>1</v>
      </c>
      <c r="AM11" s="306" cm="1">
        <f t="array" ref="AM11">IF(OR(AB11="",NOT(ISNUMBER('Sales Dashboard'!BF10))),0,SUMPRODUCT((IFERROR(--'Sales and count'!$G$2:$CC$2,0)=$F$4)*('Sales and count'!$G$3:$CC$3="Total"),INDEX('Sales and count'!$G$4:$CC$300,'Sales Dashboard'!BF10,0)))</f>
        <v>2656.15</v>
      </c>
      <c r="AN11" s="306" cm="1">
        <f t="array" ref="AN11">IF(OR(AB11="",NOT(ISNUMBER('Sales Dashboard'!BG10))),0,SUMPRODUCT(('TY Sales Target'!$K$2:$AO$2=$F$4)*1,INDEX('TY Sales Target'!$K$5:$AO$300,'Sales Dashboard'!BG10,0)))</f>
        <v>3341.4957871499987</v>
      </c>
      <c r="AO11" s="306" cm="1">
        <f t="array" ref="AO11">IF(AB11="",0,SUMPRODUCT((TRIM('LY Sales '!$B$5:$B$200)=AB11)*('LY Sales '!$C$2:$AG$2=EDATE($F$4,-12)),'LY Sales '!$C$5:$AG$200))</f>
        <v>0</v>
      </c>
      <c r="AP11">
        <f t="shared" si="5"/>
        <v>1</v>
      </c>
      <c r="AQ11">
        <f t="shared" si="6"/>
        <v>0</v>
      </c>
      <c r="AR11">
        <f t="shared" si="7"/>
        <v>0</v>
      </c>
      <c r="AS11">
        <f t="shared" si="8"/>
        <v>0</v>
      </c>
      <c r="AU11" s="132">
        <v>46301</v>
      </c>
    </row>
    <row r="12" spans="1:47" ht="27.95" customHeight="1" x14ac:dyDescent="0.25">
      <c r="A12" s="304" t="str">
        <f>"LFL stores beat LY (≥"&amp;TEXT($O$4,"0%")&amp;")"</f>
        <v>LFL stores beat LY (≥100%)</v>
      </c>
      <c r="B12" s="305" t="str">
        <f>SUM($AK$7:$AK$303)&amp;" of "&amp;SUM($AJ$7:$AJ$303)</f>
        <v>15 of 59</v>
      </c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25" t="str">
        <f>SUM($AS$7:$AS$303)&amp;" of "&amp;SUM($AR$7:$AR$303)</f>
        <v>21 of 64</v>
      </c>
      <c r="R12" s="369"/>
      <c r="S12" s="369"/>
      <c r="T12" s="369"/>
      <c r="U12" s="369"/>
      <c r="V12" s="369"/>
      <c r="W12" s="369"/>
      <c r="X12" s="369"/>
      <c r="Y12" s="271"/>
      <c r="Z12" s="271"/>
      <c r="AA12" s="271"/>
      <c r="AB12" s="271" t="str">
        <f>IF('Sales Dashboard'!AW11="","",'Sales Dashboard'!AW11)</f>
        <v>HAABRAJ1</v>
      </c>
      <c r="AC12" s="271" t="str">
        <f>IF(AB12="","",'Sales Dashboard'!AN11)</f>
        <v>Maram Zamzami</v>
      </c>
      <c r="AD12" s="271" t="str">
        <f>IF(AB12="","",'Sales Dashboard'!AO11)</f>
        <v>Makkah</v>
      </c>
      <c r="AE12" s="281" cm="1">
        <f t="array" ref="AE12">IF(OR(AB12="",NOT(ISNUMBER('Sales Dashboard'!BF11))),0,SUMPRODUCT((IFERROR(--'Sales and count'!$G$2:$CC$2,0)=$C$4)*('Sales and count'!$G$3:$CC$3="Total"),INDEX('Sales and count'!$G$4:$CC$300,'Sales Dashboard'!BF11,0)))</f>
        <v>26466.61</v>
      </c>
      <c r="AF12" s="281" cm="1">
        <f t="array" ref="AF12">IF(OR(AB12="",NOT(ISNUMBER('Sales Dashboard'!BG11))),0,SUMPRODUCT(('TY Sales Target'!$K$2:$AO$2=$C$4)*1,INDEX('TY Sales Target'!$K$5:$AO$300,'Sales Dashboard'!BG11,0)))</f>
        <v>37994.759347639934</v>
      </c>
      <c r="AG12" s="281" cm="1">
        <f t="array" ref="AG12">IF(AB12="",0,SUMPRODUCT((TRIM('LY Sales '!$B$5:$B$200)=AB12)*('LY Sales '!$C$2:$AG$2=EDATE($C$4,-12)),'LY Sales '!$C$5:$AG$200))</f>
        <v>0</v>
      </c>
      <c r="AH12" s="271">
        <f t="shared" si="0"/>
        <v>1</v>
      </c>
      <c r="AI12" s="271">
        <f t="shared" si="1"/>
        <v>0</v>
      </c>
      <c r="AJ12" s="271">
        <f t="shared" si="2"/>
        <v>0</v>
      </c>
      <c r="AK12" s="271">
        <f t="shared" si="3"/>
        <v>0</v>
      </c>
      <c r="AL12" s="271">
        <f t="shared" si="4"/>
        <v>1</v>
      </c>
      <c r="AM12" s="306" cm="1">
        <f t="array" ref="AM12">IF(OR(AB12="",NOT(ISNUMBER('Sales Dashboard'!BF11))),0,SUMPRODUCT((IFERROR(--'Sales and count'!$G$2:$CC$2,0)=$F$4)*('Sales and count'!$G$3:$CC$3="Total"),INDEX('Sales and count'!$G$4:$CC$300,'Sales Dashboard'!BF11,0)))</f>
        <v>12409.9</v>
      </c>
      <c r="AN12" s="306" cm="1">
        <f t="array" ref="AN12">IF(OR(AB12="",NOT(ISNUMBER('Sales Dashboard'!BG11))),0,SUMPRODUCT(('TY Sales Target'!$K$2:$AO$2=$F$4)*1,INDEX('TY Sales Target'!$K$5:$AO$300,'Sales Dashboard'!BG11,0)))</f>
        <v>26380.229898552621</v>
      </c>
      <c r="AO12" s="306" cm="1">
        <f t="array" ref="AO12">IF(AB12="",0,SUMPRODUCT((TRIM('LY Sales '!$B$5:$B$200)=AB12)*('LY Sales '!$C$2:$AG$2=EDATE($F$4,-12)),'LY Sales '!$C$5:$AG$200))</f>
        <v>0</v>
      </c>
      <c r="AP12">
        <f t="shared" si="5"/>
        <v>1</v>
      </c>
      <c r="AQ12">
        <f t="shared" si="6"/>
        <v>0</v>
      </c>
      <c r="AR12">
        <f t="shared" si="7"/>
        <v>0</v>
      </c>
      <c r="AS12">
        <f t="shared" si="8"/>
        <v>0</v>
      </c>
      <c r="AU12" s="132">
        <v>46302</v>
      </c>
    </row>
    <row r="13" spans="1:47" x14ac:dyDescent="0.25">
      <c r="A13" s="271"/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 t="str">
        <f>IF('Sales Dashboard'!AW12="","",'Sales Dashboard'!AW12)</f>
        <v>HADANAYAN</v>
      </c>
      <c r="AC13" s="271" t="str">
        <f>IF(AB13="","",'Sales Dashboard'!AN12)</f>
        <v>Mohammed Haidar</v>
      </c>
      <c r="AD13" s="271" t="str">
        <f>IF(AB13="","",'Sales Dashboard'!AO12)</f>
        <v>Yanbu</v>
      </c>
      <c r="AE13" s="281" cm="1">
        <f t="array" ref="AE13">IF(OR(AB13="",NOT(ISNUMBER('Sales Dashboard'!BF12))),0,SUMPRODUCT((IFERROR(--'Sales and count'!$G$2:$CC$2,0)=$C$4)*('Sales and count'!$G$3:$CC$3="Total"),INDEX('Sales and count'!$G$4:$CC$300,'Sales Dashboard'!BF12,0)))</f>
        <v>4773.07</v>
      </c>
      <c r="AF13" s="281" cm="1">
        <f t="array" ref="AF13">IF(OR(AB13="",NOT(ISNUMBER('Sales Dashboard'!BG12))),0,SUMPRODUCT(('TY Sales Target'!$K$2:$AO$2=$C$4)*1,INDEX('TY Sales Target'!$K$5:$AO$300,'Sales Dashboard'!BG12,0)))</f>
        <v>5420.5856669299637</v>
      </c>
      <c r="AG13" s="281" cm="1">
        <f t="array" ref="AG13">IF(AB13="",0,SUMPRODUCT((TRIM('LY Sales '!$B$5:$B$200)=AB13)*('LY Sales '!$C$2:$AG$2=EDATE($C$4,-12)),'LY Sales '!$C$5:$AG$200))</f>
        <v>0</v>
      </c>
      <c r="AH13" s="271">
        <f t="shared" si="0"/>
        <v>1</v>
      </c>
      <c r="AI13" s="271">
        <f t="shared" si="1"/>
        <v>1</v>
      </c>
      <c r="AJ13" s="271">
        <f t="shared" si="2"/>
        <v>0</v>
      </c>
      <c r="AK13" s="271">
        <f t="shared" si="3"/>
        <v>0</v>
      </c>
      <c r="AL13" s="271">
        <f t="shared" si="4"/>
        <v>1</v>
      </c>
      <c r="AM13" s="306" cm="1">
        <f t="array" ref="AM13">IF(OR(AB13="",NOT(ISNUMBER('Sales Dashboard'!BF12))),0,SUMPRODUCT((IFERROR(--'Sales and count'!$G$2:$CC$2,0)=$F$4)*('Sales and count'!$G$3:$CC$3="Total"),INDEX('Sales and count'!$G$4:$CC$300,'Sales Dashboard'!BF12,0)))</f>
        <v>1660.11</v>
      </c>
      <c r="AN13" s="306" cm="1">
        <f t="array" ref="AN13">IF(OR(AB13="",NOT(ISNUMBER('Sales Dashboard'!BG12))),0,SUMPRODUCT(('TY Sales Target'!$K$2:$AO$2=$F$4)*1,INDEX('TY Sales Target'!$K$5:$AO$300,'Sales Dashboard'!BG12,0)))</f>
        <v>3763.579465526841</v>
      </c>
      <c r="AO13" s="306" cm="1">
        <f t="array" ref="AO13">IF(AB13="",0,SUMPRODUCT((TRIM('LY Sales '!$B$5:$B$200)=AB13)*('LY Sales '!$C$2:$AG$2=EDATE($F$4,-12)),'LY Sales '!$C$5:$AG$200))</f>
        <v>0</v>
      </c>
      <c r="AP13">
        <f t="shared" si="5"/>
        <v>1</v>
      </c>
      <c r="AQ13">
        <f t="shared" si="6"/>
        <v>0</v>
      </c>
      <c r="AR13">
        <f t="shared" si="7"/>
        <v>0</v>
      </c>
      <c r="AS13">
        <f t="shared" si="8"/>
        <v>0</v>
      </c>
      <c r="AU13" s="132">
        <v>46303</v>
      </c>
    </row>
    <row r="14" spans="1:47" ht="15.75" x14ac:dyDescent="0.25">
      <c r="A14" s="280" t="s">
        <v>196</v>
      </c>
      <c r="B14" s="271"/>
      <c r="C14" s="271"/>
      <c r="D14" s="271"/>
      <c r="E14" s="308" t="str">
        <f>"REPORT DATE: "&amp;TEXT($C$4,"ddd dd mmm yyyy")</f>
        <v>REPORT DATE: Thu 01 Oct 2026</v>
      </c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309" t="str">
        <f>"COMPARE DATE: "&amp;TEXT($F$4,"ddd dd mmm yyyy")</f>
        <v>COMPARE DATE: Mon 26 Oct 2026</v>
      </c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 t="str">
        <f>IF('Sales Dashboard'!AW13="","",'Sales Dashboard'!AW13)</f>
        <v>HADARTAW2</v>
      </c>
      <c r="AC14" s="271" t="str">
        <f>IF(AB14="","",'Sales Dashboard'!AN13)</f>
        <v>Maram Zamzami</v>
      </c>
      <c r="AD14" s="271" t="str">
        <f>IF(AB14="","",'Sales Dashboard'!AO13)</f>
        <v>Makkah</v>
      </c>
      <c r="AE14" s="281" cm="1">
        <f t="array" ref="AE14">IF(OR(AB14="",NOT(ISNUMBER('Sales Dashboard'!BF13))),0,SUMPRODUCT((IFERROR(--'Sales and count'!$G$2:$CC$2,0)=$C$4)*('Sales and count'!$G$3:$CC$3="Total"),INDEX('Sales and count'!$G$4:$CC$300,'Sales Dashboard'!BF13,0)))</f>
        <v>28795.78</v>
      </c>
      <c r="AF14" s="281" cm="1">
        <f t="array" ref="AF14">IF(OR(AB14="",NOT(ISNUMBER('Sales Dashboard'!BG13))),0,SUMPRODUCT(('TY Sales Target'!$K$2:$AO$2=$C$4)*1,INDEX('TY Sales Target'!$K$5:$AO$300,'Sales Dashboard'!BG13,0)))</f>
        <v>47113.501591073516</v>
      </c>
      <c r="AG14" s="281" cm="1">
        <f t="array" ref="AG14">IF(AB14="",0,SUMPRODUCT((TRIM('LY Sales '!$B$5:$B$200)=AB14)*('LY Sales '!$C$2:$AG$2=EDATE($C$4,-12)),'LY Sales '!$C$5:$AG$200))</f>
        <v>0</v>
      </c>
      <c r="AH14" s="271">
        <f t="shared" si="0"/>
        <v>1</v>
      </c>
      <c r="AI14" s="271">
        <f t="shared" si="1"/>
        <v>0</v>
      </c>
      <c r="AJ14" s="271">
        <f t="shared" si="2"/>
        <v>0</v>
      </c>
      <c r="AK14" s="271">
        <f t="shared" si="3"/>
        <v>0</v>
      </c>
      <c r="AL14" s="271">
        <f t="shared" si="4"/>
        <v>1</v>
      </c>
      <c r="AM14" s="306" cm="1">
        <f t="array" ref="AM14">IF(OR(AB14="",NOT(ISNUMBER('Sales Dashboard'!BF13))),0,SUMPRODUCT((IFERROR(--'Sales and count'!$G$2:$CC$2,0)=$F$4)*('Sales and count'!$G$3:$CC$3="Total"),INDEX('Sales and count'!$G$4:$CC$300,'Sales Dashboard'!BF13,0)))</f>
        <v>19781.05</v>
      </c>
      <c r="AN14" s="306" cm="1">
        <f t="array" ref="AN14">IF(OR(AB14="",NOT(ISNUMBER('Sales Dashboard'!BG13))),0,SUMPRODUCT(('TY Sales Target'!$K$2:$AO$2=$F$4)*1,INDEX('TY Sales Target'!$K$5:$AO$300,'Sales Dashboard'!BG13,0)))</f>
        <v>32711.485074205251</v>
      </c>
      <c r="AO14" s="306" cm="1">
        <f t="array" ref="AO14">IF(AB14="",0,SUMPRODUCT((TRIM('LY Sales '!$B$5:$B$200)=AB14)*('LY Sales '!$C$2:$AG$2=EDATE($F$4,-12)),'LY Sales '!$C$5:$AG$200))</f>
        <v>0</v>
      </c>
      <c r="AP14">
        <f t="shared" si="5"/>
        <v>1</v>
      </c>
      <c r="AQ14">
        <f t="shared" si="6"/>
        <v>0</v>
      </c>
      <c r="AR14">
        <f t="shared" si="7"/>
        <v>0</v>
      </c>
      <c r="AS14">
        <f t="shared" si="8"/>
        <v>0</v>
      </c>
      <c r="AU14" s="132">
        <v>46304</v>
      </c>
    </row>
    <row r="15" spans="1:47" ht="42" customHeight="1" x14ac:dyDescent="0.25">
      <c r="A15" s="279" t="s">
        <v>134</v>
      </c>
      <c r="B15" s="278" t="s">
        <v>1346</v>
      </c>
      <c r="C15" s="278" t="str">
        <f>"Sales "&amp;TEXT($C$4,"dd mmm")</f>
        <v>Sales 01 Oct</v>
      </c>
      <c r="D15" s="278" t="str">
        <f>"Target "&amp;TEXT($C$4,"dd mmm")</f>
        <v>Target 01 Oct</v>
      </c>
      <c r="E15" s="278" t="s">
        <v>1347</v>
      </c>
      <c r="F15" s="278" t="str">
        <f>"Achieved Target? (≥"&amp;TEXT($L$4,"0%")&amp;")"</f>
        <v>Achieved Target? (≥80%)</v>
      </c>
      <c r="G15" s="278" t="s">
        <v>1348</v>
      </c>
      <c r="H15" s="278" t="s">
        <v>1349</v>
      </c>
      <c r="I15" s="278" t="s">
        <v>1350</v>
      </c>
      <c r="J15" s="278" t="s">
        <v>1351</v>
      </c>
      <c r="K15" s="278" t="s">
        <v>192</v>
      </c>
      <c r="L15" s="278" t="s">
        <v>1352</v>
      </c>
      <c r="M15" s="278" t="s">
        <v>1353</v>
      </c>
      <c r="N15" s="278" t="str">
        <f>"Beat LY? (≥"&amp;TEXT($O$4,"0%")&amp;")"</f>
        <v>Beat LY? (≥100%)</v>
      </c>
      <c r="O15" s="278" t="s">
        <v>1354</v>
      </c>
      <c r="P15" s="278" t="s">
        <v>1355</v>
      </c>
      <c r="Q15" s="307" t="str">
        <f>"Sales "&amp;TEXT($F$4,"dd mmm")</f>
        <v>Sales 26 Oct</v>
      </c>
      <c r="R15" s="307" t="str">
        <f>"Sales Change % vs "&amp;TEXT($F$4,"dd mmm")</f>
        <v>Sales Change % vs 26 Oct</v>
      </c>
      <c r="S15" s="307" t="str">
        <f>"Ach % "&amp;TEXT($F$4,"dd mmm")</f>
        <v>Ach % 26 Oct</v>
      </c>
      <c r="T15" s="307" t="str">
        <f>"Ach % Change (pts)"</f>
        <v>Ach % Change (pts)</v>
      </c>
      <c r="U15" s="307" t="str">
        <f>"Achieved Target? "&amp;TEXT($F$4,"dd mmm")</f>
        <v>Achieved Target? 26 Oct</v>
      </c>
      <c r="V15" s="307" t="str">
        <f>"Stores Achieved "&amp;TEXT($F$4,"dd mmm")</f>
        <v>Stores Achieved 26 Oct</v>
      </c>
      <c r="W15" s="307" t="str">
        <f>"LFL Growth % "&amp;TEXT($F$4,"dd mmm")</f>
        <v>LFL Growth % 26 Oct</v>
      </c>
      <c r="X15" s="307" t="str">
        <f>"Stores Beat LY "&amp;TEXT($F$4,"dd mmm")</f>
        <v>Stores Beat LY 26 Oct</v>
      </c>
      <c r="Y15" s="271"/>
      <c r="Z15" s="271"/>
      <c r="AA15" s="271"/>
      <c r="AB15" s="271" t="str">
        <f>IF('Sales Dashboard'!AW14="","",'Sales Dashboard'!AW14)</f>
        <v>HAWAHABLVD</v>
      </c>
      <c r="AC15" s="271" t="str">
        <f>IF(AB15="","",'Sales Dashboard'!AN14)</f>
        <v>Ahlam Al Zahrani</v>
      </c>
      <c r="AD15" s="271" t="str">
        <f>IF(AB15="","",'Sales Dashboard'!AO14)</f>
        <v>Jeddah</v>
      </c>
      <c r="AE15" s="281" cm="1">
        <f t="array" ref="AE15">IF(OR(AB15="",NOT(ISNUMBER('Sales Dashboard'!BF14))),0,SUMPRODUCT((IFERROR(--'Sales and count'!$G$2:$CC$2,0)=$C$4)*('Sales and count'!$G$3:$CC$3="Total"),INDEX('Sales and count'!$G$4:$CC$300,'Sales Dashboard'!BF14,0)))</f>
        <v>6723.06</v>
      </c>
      <c r="AF15" s="281" cm="1">
        <f t="array" ref="AF15">IF(OR(AB15="",NOT(ISNUMBER('Sales Dashboard'!BG14))),0,SUMPRODUCT(('TY Sales Target'!$K$2:$AO$2=$C$4)*1,INDEX('TY Sales Target'!$K$5:$AO$300,'Sales Dashboard'!BG14,0)))</f>
        <v>8358.8470564807849</v>
      </c>
      <c r="AG15" s="281" cm="1">
        <f t="array" ref="AG15">IF(AB15="",0,SUMPRODUCT((TRIM('LY Sales '!$B$5:$B$200)=AB15)*('LY Sales '!$C$2:$AG$2=EDATE($C$4,-12)),'LY Sales '!$C$5:$AG$200))</f>
        <v>0</v>
      </c>
      <c r="AH15" s="271">
        <f t="shared" si="0"/>
        <v>1</v>
      </c>
      <c r="AI15" s="271">
        <f t="shared" si="1"/>
        <v>1</v>
      </c>
      <c r="AJ15" s="271">
        <f t="shared" si="2"/>
        <v>0</v>
      </c>
      <c r="AK15" s="271">
        <f t="shared" si="3"/>
        <v>0</v>
      </c>
      <c r="AL15" s="271">
        <f t="shared" si="4"/>
        <v>1</v>
      </c>
      <c r="AM15" s="306" cm="1">
        <f t="array" ref="AM15">IF(OR(AB15="",NOT(ISNUMBER('Sales Dashboard'!BF14))),0,SUMPRODUCT((IFERROR(--'Sales and count'!$G$2:$CC$2,0)=$F$4)*('Sales and count'!$G$3:$CC$3="Total"),INDEX('Sales and count'!$G$4:$CC$300,'Sales Dashboard'!BF14,0)))</f>
        <v>2738.16</v>
      </c>
      <c r="AN15" s="306" cm="1">
        <f t="array" ref="AN15">IF(OR(AB15="",NOT(ISNUMBER('Sales Dashboard'!BG14))),0,SUMPRODUCT(('TY Sales Target'!$K$2:$AO$2=$F$4)*1,INDEX('TY Sales Target'!$K$5:$AO$300,'Sales Dashboard'!BG14,0)))</f>
        <v>5803.6505776815766</v>
      </c>
      <c r="AO15" s="306" cm="1">
        <f t="array" ref="AO15">IF(AB15="",0,SUMPRODUCT((TRIM('LY Sales '!$B$5:$B$200)=AB15)*('LY Sales '!$C$2:$AG$2=EDATE($F$4,-12)),'LY Sales '!$C$5:$AG$200))</f>
        <v>0</v>
      </c>
      <c r="AP15">
        <f t="shared" si="5"/>
        <v>1</v>
      </c>
      <c r="AQ15">
        <f t="shared" si="6"/>
        <v>0</v>
      </c>
      <c r="AR15">
        <f t="shared" si="7"/>
        <v>0</v>
      </c>
      <c r="AS15">
        <f t="shared" si="8"/>
        <v>0</v>
      </c>
      <c r="AU15" s="132">
        <v>46305</v>
      </c>
    </row>
    <row r="16" spans="1:47" x14ac:dyDescent="0.25">
      <c r="A16" s="282" t="str" cm="1">
        <f t="array" ref="A16">IFERROR(INDEX(_xlfn._xlws.SORT(_xlfn.UNIQUE(_xlfn._xlws.FILTER($AC$7:$AC$303,$AL$7:$AL$303=1))),ROWS($A$16:A16)),"")</f>
        <v>Ahlam Al Zahrani</v>
      </c>
      <c r="B16" s="283">
        <f>IF($A16="","",COUNTIFS($AC$7:$AC$303,$A16,$AL$7:$AL$303,1))</f>
        <v>13</v>
      </c>
      <c r="C16" s="284">
        <f>IF($A16="","",SUMIFS($AE$7:$AE$303,$AC$7:$AC$303,$A16,$AL$7:$AL$303,1))</f>
        <v>113474.39</v>
      </c>
      <c r="D16" s="284">
        <f>IF($A16="","",SUMIFS($AF$7:$AF$303,$AC$7:$AC$303,$A16,$AL$7:$AL$303,1))</f>
        <v>163060.72543705738</v>
      </c>
      <c r="E16" s="292">
        <f>IF(OR($A16="",N(D16)=0),"",C16/D16)</f>
        <v>0.69590264421951153</v>
      </c>
      <c r="F16" s="293" t="str">
        <f>IF(OR($A16="",N(D16)=0),"",IF(C16&gt;=D16*$L$4,"✔ Yes","✘ No"))</f>
        <v>✘ No</v>
      </c>
      <c r="G16" s="293">
        <f>IF($A16="","",COUNTIFS($AC$7:$AC$303,$A16,$AH$7:$AH$303,1,$AL$7:$AL$303,1))</f>
        <v>13</v>
      </c>
      <c r="H16" s="293">
        <f>IF($A16="","",COUNTIFS($AC$7:$AC$303,$A16,$AI$7:$AI$303,1,$AL$7:$AL$303,1))</f>
        <v>4</v>
      </c>
      <c r="I16" s="293" t="str">
        <f>IF($A16="","",H16&amp;" of "&amp;G16)</f>
        <v>4 of 13</v>
      </c>
      <c r="J16" s="283">
        <f>IF($A16="","",COUNTIFS($AC$7:$AC$303,$A16,$AJ$7:$AJ$303,1,$AL$7:$AL$303,1))</f>
        <v>6</v>
      </c>
      <c r="K16" s="284">
        <f>IF($A16="","",SUMIFS($AE$7:$AE$303,$AC$7:$AC$303,$A16,$AJ$7:$AJ$303,1,$AL$7:$AL$303,1))</f>
        <v>57631.380000000005</v>
      </c>
      <c r="L16" s="284">
        <f>IF($A16="","",SUMIFS($AG$7:$AG$303,$AC$7:$AC$303,$A16,$AJ$7:$AJ$303,1,$AL$7:$AL$303,1))</f>
        <v>66750.990000000005</v>
      </c>
      <c r="M16" s="296">
        <f>IF(OR($A16="",N(L16)=0),"",K16/L16-1)</f>
        <v>-0.13662134449241881</v>
      </c>
      <c r="N16" s="297" t="str">
        <f>IF(OR($A16="",N(L16)=0),"",IF(K16&gt;=L16*$O$4,"✔ Yes","✘ No"))</f>
        <v>✘ No</v>
      </c>
      <c r="O16" s="297">
        <f>IF($A16="","",COUNTIFS($AC$7:$AC$303,$A16,$AK$7:$AK$303,1,$AL$7:$AL$303,1))</f>
        <v>2</v>
      </c>
      <c r="P16" s="297" t="str">
        <f>IF($A16="","",O16&amp;" of "&amp;J16)</f>
        <v>2 of 6</v>
      </c>
      <c r="Q16" s="318">
        <f>IF($A16="","",SUMIFS($AM$7:$AM$303,$AC$7:$AC$303,$A16,$AL$7:$AL$303,1))</f>
        <v>49959.12000000001</v>
      </c>
      <c r="R16" s="311">
        <f>IF(OR($A16="",N(Q16)=0),"",C16/Q16-1)</f>
        <v>1.2713448515506274</v>
      </c>
      <c r="S16" s="311">
        <f>IF($A16="","",IFERROR(Q16/SUMIFS($AN$7:$AN$303,$AC$7:$AC$303,$A16,$AL$7:$AL$303,1),""))</f>
        <v>0.44127622771039537</v>
      </c>
      <c r="T16" s="312">
        <f>IF(OR(E16="",S16=""),"",(E16-S16)*100)</f>
        <v>25.462641650911618</v>
      </c>
      <c r="U16" s="313" t="str">
        <f>IF(S16="","",IF(S16&gt;=$L$4,"✔ Yes","✘ No"))</f>
        <v>✘ No</v>
      </c>
      <c r="V16" s="313" t="str">
        <f>IF($A16="","",COUNTIFS($AC$7:$AC$303,$A16,$AQ$7:$AQ$303,1,$AL$7:$AL$303,1)&amp;" of "&amp;COUNTIFS($AC$7:$AC$303,$A16,$AP$7:$AP$303,1,$AL$7:$AL$303,1))</f>
        <v>0 of 13</v>
      </c>
      <c r="W16" s="311">
        <f>IF($A16="","",IFERROR(SUMIFS($AM$7:$AM$303,$AC$7:$AC$303,$A16,$AR$7:$AR$303,1,$AL$7:$AL$303,1)/SUMIFS($AO$7:$AO$303,$AC$7:$AC$303,$A16,$AR$7:$AR$303,1,$AL$7:$AL$303,1)-1,""))</f>
        <v>-0.10997225498270269</v>
      </c>
      <c r="X16" s="313" t="str">
        <f>IF($A16="","",COUNTIFS($AC$7:$AC$303,$A16,$AS$7:$AS$303,1,$AL$7:$AL$303,1)&amp;" of "&amp;COUNTIFS($AC$7:$AC$303,$A16,$AR$7:$AR$303,1,$AL$7:$AL$303,1))</f>
        <v>3 of 6</v>
      </c>
      <c r="Y16" s="271"/>
      <c r="Z16" s="271"/>
      <c r="AA16" s="271"/>
      <c r="AB16" s="271" t="str">
        <f>IF('Sales Dashboard'!AW15="","",'Sales Dashboard'!AW15)</f>
        <v>YANBUMALL</v>
      </c>
      <c r="AC16" s="271" t="str">
        <f>IF(AB16="","",'Sales Dashboard'!AN15)</f>
        <v>Mohammed Haidar</v>
      </c>
      <c r="AD16" s="271" t="str">
        <f>IF(AB16="","",'Sales Dashboard'!AO15)</f>
        <v>Yanbu</v>
      </c>
      <c r="AE16" s="281" cm="1">
        <f t="array" ref="AE16">IF(OR(AB16="",NOT(ISNUMBER('Sales Dashboard'!BF15))),0,SUMPRODUCT((IFERROR(--'Sales and count'!$G$2:$CC$2,0)=$C$4)*('Sales and count'!$G$3:$CC$3="Total"),INDEX('Sales and count'!$G$4:$CC$300,'Sales Dashboard'!BF15,0)))</f>
        <v>5937.07</v>
      </c>
      <c r="AF16" s="281" cm="1">
        <f t="array" ref="AF16">IF(OR(AB16="",NOT(ISNUMBER('Sales Dashboard'!BG15))),0,SUMPRODUCT(('TY Sales Target'!$K$2:$AO$2=$C$4)*1,INDEX('TY Sales Target'!$K$5:$AO$300,'Sales Dashboard'!BG15,0)))</f>
        <v>7446.9728321374268</v>
      </c>
      <c r="AG16" s="281" cm="1">
        <f t="array" ref="AG16">IF(AB16="",0,SUMPRODUCT((TRIM('LY Sales '!$B$5:$B$200)=AB16)*('LY Sales '!$C$2:$AG$2=EDATE($C$4,-12)),'LY Sales '!$C$5:$AG$200))</f>
        <v>10677.2</v>
      </c>
      <c r="AH16" s="271">
        <f t="shared" si="0"/>
        <v>1</v>
      </c>
      <c r="AI16" s="271">
        <f t="shared" si="1"/>
        <v>0</v>
      </c>
      <c r="AJ16" s="271">
        <f t="shared" si="2"/>
        <v>1</v>
      </c>
      <c r="AK16" s="271">
        <f t="shared" si="3"/>
        <v>0</v>
      </c>
      <c r="AL16" s="271">
        <f t="shared" si="4"/>
        <v>1</v>
      </c>
      <c r="AM16" s="306" cm="1">
        <f t="array" ref="AM16">IF(OR(AB16="",NOT(ISNUMBER('Sales Dashboard'!BF15))),0,SUMPRODUCT((IFERROR(--'Sales and count'!$G$2:$CC$2,0)=$F$4)*('Sales and count'!$G$3:$CC$3="Total"),INDEX('Sales and count'!$G$4:$CC$300,'Sales Dashboard'!BF15,0)))</f>
        <v>2753.18</v>
      </c>
      <c r="AN16" s="306" cm="1">
        <f t="array" ref="AN16">IF(OR(AB16="",NOT(ISNUMBER('Sales Dashboard'!BG15))),0,SUMPRODUCT(('TY Sales Target'!$K$2:$AO$2=$F$4)*1,INDEX('TY Sales Target'!$K$5:$AO$300,'Sales Dashboard'!BG15,0)))</f>
        <v>5170.5250601163143</v>
      </c>
      <c r="AO16" s="306" cm="1">
        <f t="array" ref="AO16">IF(AB16="",0,SUMPRODUCT((TRIM('LY Sales '!$B$5:$B$200)=AB16)*('LY Sales '!$C$2:$AG$2=EDATE($F$4,-12)),'LY Sales '!$C$5:$AG$200))</f>
        <v>9586.24</v>
      </c>
      <c r="AP16">
        <f t="shared" si="5"/>
        <v>1</v>
      </c>
      <c r="AQ16">
        <f t="shared" si="6"/>
        <v>0</v>
      </c>
      <c r="AR16">
        <f t="shared" si="7"/>
        <v>1</v>
      </c>
      <c r="AS16">
        <f t="shared" si="8"/>
        <v>0</v>
      </c>
      <c r="AU16" s="132">
        <v>46306</v>
      </c>
    </row>
    <row r="17" spans="1:47" x14ac:dyDescent="0.25">
      <c r="A17" s="285" t="str" cm="1">
        <f t="array" ref="A17">IFERROR(INDEX(_xlfn._xlws.SORT(_xlfn.UNIQUE(_xlfn._xlws.FILTER($AC$7:$AC$303,$AL$7:$AL$303=1))),ROWS($A$16:A17)),"")</f>
        <v>Ahmed Jaffari</v>
      </c>
      <c r="B17" s="286">
        <f t="shared" ref="B17:B25" si="9">IF($A17="","",COUNTIFS($AC$7:$AC$303,$A17,$AL$7:$AL$303,1))</f>
        <v>15</v>
      </c>
      <c r="C17" s="287">
        <f t="shared" ref="C17:C25" si="10">IF($A17="","",SUMIFS($AE$7:$AE$303,$AC$7:$AC$303,$A17,$AL$7:$AL$303,1))</f>
        <v>121908.92000000001</v>
      </c>
      <c r="D17" s="287">
        <f t="shared" ref="D17:D25" si="11">IF($A17="","",SUMIFS($AF$7:$AF$303,$AC$7:$AC$303,$A17,$AL$7:$AL$303,1))</f>
        <v>190986.99032080339</v>
      </c>
      <c r="E17" s="294">
        <f t="shared" ref="E17:E25" si="12">IF(OR($A17="",N(D17)=0),"",C17/D17)</f>
        <v>0.63831007439421905</v>
      </c>
      <c r="F17" s="295" t="str">
        <f t="shared" ref="F17:F25" si="13">IF(OR($A17="",N(D17)=0),"",IF(C17&gt;=D17*$L$4,"✔ Yes","✘ No"))</f>
        <v>✘ No</v>
      </c>
      <c r="G17" s="295">
        <f t="shared" ref="G17:G25" si="14">IF($A17="","",COUNTIFS($AC$7:$AC$303,$A17,$AH$7:$AH$303,1,$AL$7:$AL$303,1))</f>
        <v>15</v>
      </c>
      <c r="H17" s="295">
        <f t="shared" ref="H17:H25" si="15">IF($A17="","",COUNTIFS($AC$7:$AC$303,$A17,$AI$7:$AI$303,1,$AL$7:$AL$303,1))</f>
        <v>2</v>
      </c>
      <c r="I17" s="295" t="str">
        <f t="shared" ref="I17:I25" si="16">IF($A17="","",H17&amp;" of "&amp;G17)</f>
        <v>2 of 15</v>
      </c>
      <c r="J17" s="286">
        <f t="shared" ref="J17:J25" si="17">IF($A17="","",COUNTIFS($AC$7:$AC$303,$A17,$AJ$7:$AJ$303,1,$AL$7:$AL$303,1))</f>
        <v>7</v>
      </c>
      <c r="K17" s="287">
        <f t="shared" ref="K17:K25" si="18">IF($A17="","",SUMIFS($AE$7:$AE$303,$AC$7:$AC$303,$A17,$AJ$7:$AJ$303,1,$AL$7:$AL$303,1))</f>
        <v>73202.77</v>
      </c>
      <c r="L17" s="287">
        <f t="shared" ref="L17:L25" si="19">IF($A17="","",SUMIFS($AG$7:$AG$303,$AC$7:$AC$303,$A17,$AJ$7:$AJ$303,1,$AL$7:$AL$303,1))</f>
        <v>114982.20999999999</v>
      </c>
      <c r="M17" s="298">
        <f t="shared" ref="M17:M25" si="20">IF(OR($A17="",N(L17)=0),"",K17/L17-1)</f>
        <v>-0.36335568780596572</v>
      </c>
      <c r="N17" s="299" t="str">
        <f t="shared" ref="N17:N25" si="21">IF(OR($A17="",N(L17)=0),"",IF(K17&gt;=L17*$O$4,"✔ Yes","✘ No"))</f>
        <v>✘ No</v>
      </c>
      <c r="O17" s="299">
        <f t="shared" ref="O17:O25" si="22">IF($A17="","",COUNTIFS($AC$7:$AC$303,$A17,$AK$7:$AK$303,1,$AL$7:$AL$303,1))</f>
        <v>1</v>
      </c>
      <c r="P17" s="299" t="str">
        <f t="shared" ref="P17:P25" si="23">IF($A17="","",O17&amp;" of "&amp;J17)</f>
        <v>1 of 7</v>
      </c>
      <c r="Q17" s="319">
        <f t="shared" ref="Q17:Q25" si="24">IF($A17="","",SUMIFS($AM$7:$AM$303,$AC$7:$AC$303,$A17,$AL$7:$AL$303,1))</f>
        <v>37383.42</v>
      </c>
      <c r="R17" s="314">
        <f t="shared" ref="R17:R25" si="25">IF(OR($A17="",N(Q17)=0),"",C17/Q17-1)</f>
        <v>2.2610424621396334</v>
      </c>
      <c r="S17" s="314">
        <f t="shared" ref="S17:S25" si="26">IF($A17="","",IFERROR(Q17/SUMIFS($AN$7:$AN$303,$AC$7:$AC$303,$A17,$AL$7:$AL$303,1),""))</f>
        <v>0.28191641704787579</v>
      </c>
      <c r="T17" s="315">
        <f t="shared" ref="T17:T25" si="27">IF(OR(E17="",S17=""),"",(E17-S17)*100)</f>
        <v>35.639365734634325</v>
      </c>
      <c r="U17" s="316" t="str">
        <f t="shared" ref="U17:U25" si="28">IF(S17="","",IF(S17&gt;=$L$4,"✔ Yes","✘ No"))</f>
        <v>✘ No</v>
      </c>
      <c r="V17" s="316" t="str">
        <f t="shared" ref="V17:V25" si="29">IF($A17="","",COUNTIFS($AC$7:$AC$303,$A17,$AQ$7:$AQ$303,1,$AL$7:$AL$303,1)&amp;" of "&amp;COUNTIFS($AC$7:$AC$303,$A17,$AP$7:$AP$303,1,$AL$7:$AL$303,1))</f>
        <v>0 of 15</v>
      </c>
      <c r="W17" s="314">
        <f t="shared" ref="W17:W25" si="30">IF($A17="","",IFERROR(SUMIFS($AM$7:$AM$303,$AC$7:$AC$303,$A17,$AR$7:$AR$303,1,$AL$7:$AL$303,1)/SUMIFS($AO$7:$AO$303,$AC$7:$AC$303,$A17,$AR$7:$AR$303,1,$AL$7:$AL$303,1)-1,""))</f>
        <v>-0.31490518341872709</v>
      </c>
      <c r="X17" s="316" t="str">
        <f t="shared" ref="X17:X25" si="31">IF($A17="","",COUNTIFS($AC$7:$AC$303,$A17,$AS$7:$AS$303,1,$AL$7:$AL$303,1)&amp;" of "&amp;COUNTIFS($AC$7:$AC$303,$A17,$AR$7:$AR$303,1,$AL$7:$AL$303,1))</f>
        <v>2 of 8</v>
      </c>
      <c r="Y17" s="271"/>
      <c r="Z17" s="271"/>
      <c r="AA17" s="271"/>
      <c r="AB17" s="271" t="str">
        <f>IF('Sales Dashboard'!AW16="","",'Sales Dashboard'!AW16)</f>
        <v>HAMAHMAL</v>
      </c>
      <c r="AC17" s="271" t="str">
        <f>IF(AB17="","",'Sales Dashboard'!AN16)</f>
        <v>Ahlam Al Zahrani</v>
      </c>
      <c r="AD17" s="271" t="str">
        <f>IF(AB17="","",'Sales Dashboard'!AO16)</f>
        <v>Jeddah</v>
      </c>
      <c r="AE17" s="281" cm="1">
        <f t="array" ref="AE17">IF(OR(AB17="",NOT(ISNUMBER('Sales Dashboard'!BF16))),0,SUMPRODUCT((IFERROR(--'Sales and count'!$G$2:$CC$2,0)=$C$4)*('Sales and count'!$G$3:$CC$3="Total"),INDEX('Sales and count'!$G$4:$CC$300,'Sales Dashboard'!BF16,0)))</f>
        <v>9670.2100000000009</v>
      </c>
      <c r="AF17" s="281" cm="1">
        <f t="array" ref="AF17">IF(OR(AB17="",NOT(ISNUMBER('Sales Dashboard'!BG16))),0,SUMPRODUCT(('TY Sales Target'!$K$2:$AO$2=$C$4)*1,INDEX('TY Sales Target'!$K$5:$AO$300,'Sales Dashboard'!BG16,0)))</f>
        <v>11905.024595593846</v>
      </c>
      <c r="AG17" s="281" cm="1">
        <f t="array" ref="AG17">IF(AB17="",0,SUMPRODUCT((TRIM('LY Sales '!$B$5:$B$200)=AB17)*('LY Sales '!$C$2:$AG$2=EDATE($C$4,-12)),'LY Sales '!$C$5:$AG$200))</f>
        <v>0</v>
      </c>
      <c r="AH17" s="271">
        <f t="shared" si="0"/>
        <v>1</v>
      </c>
      <c r="AI17" s="271">
        <f t="shared" si="1"/>
        <v>1</v>
      </c>
      <c r="AJ17" s="271">
        <f t="shared" si="2"/>
        <v>0</v>
      </c>
      <c r="AK17" s="271">
        <f t="shared" si="3"/>
        <v>0</v>
      </c>
      <c r="AL17" s="271">
        <f t="shared" si="4"/>
        <v>1</v>
      </c>
      <c r="AM17" s="306" cm="1">
        <f t="array" ref="AM17">IF(OR(AB17="",NOT(ISNUMBER('Sales Dashboard'!BF16))),0,SUMPRODUCT((IFERROR(--'Sales and count'!$G$2:$CC$2,0)=$F$4)*('Sales and count'!$G$3:$CC$3="Total"),INDEX('Sales and count'!$G$4:$CC$300,'Sales Dashboard'!BF16,0)))</f>
        <v>5586.2</v>
      </c>
      <c r="AN17" s="306" cm="1">
        <f t="array" ref="AN17">IF(OR(AB17="",NOT(ISNUMBER('Sales Dashboard'!BG16))),0,SUMPRODUCT(('TY Sales Target'!$K$2:$AO$2=$F$4)*1,INDEX('TY Sales Target'!$K$5:$AO$300,'Sales Dashboard'!BG16,0)))</f>
        <v>8265.8053682131558</v>
      </c>
      <c r="AO17" s="306" cm="1">
        <f t="array" ref="AO17">IF(AB17="",0,SUMPRODUCT((TRIM('LY Sales '!$B$5:$B$200)=AB17)*('LY Sales '!$C$2:$AG$2=EDATE($F$4,-12)),'LY Sales '!$C$5:$AG$200))</f>
        <v>0</v>
      </c>
      <c r="AP17">
        <f t="shared" si="5"/>
        <v>1</v>
      </c>
      <c r="AQ17">
        <f t="shared" si="6"/>
        <v>0</v>
      </c>
      <c r="AR17">
        <f t="shared" si="7"/>
        <v>0</v>
      </c>
      <c r="AS17">
        <f t="shared" si="8"/>
        <v>0</v>
      </c>
      <c r="AU17" s="132">
        <v>46307</v>
      </c>
    </row>
    <row r="18" spans="1:47" x14ac:dyDescent="0.25">
      <c r="A18" s="285" t="str" cm="1">
        <f t="array" ref="A18">IFERROR(INDEX(_xlfn._xlws.SORT(_xlfn.UNIQUE(_xlfn._xlws.FILTER($AC$7:$AC$303,$AL$7:$AL$303=1))),ROWS($A$16:A18)),"")</f>
        <v>Hamzah Al Makhadam</v>
      </c>
      <c r="B18" s="286">
        <f t="shared" si="9"/>
        <v>17</v>
      </c>
      <c r="C18" s="287">
        <f t="shared" si="10"/>
        <v>192745.74</v>
      </c>
      <c r="D18" s="287">
        <f t="shared" si="11"/>
        <v>269610.81233085302</v>
      </c>
      <c r="E18" s="294">
        <f t="shared" si="12"/>
        <v>0.71490359876024545</v>
      </c>
      <c r="F18" s="295" t="str">
        <f t="shared" si="13"/>
        <v>✘ No</v>
      </c>
      <c r="G18" s="295">
        <f t="shared" si="14"/>
        <v>17</v>
      </c>
      <c r="H18" s="295">
        <f t="shared" si="15"/>
        <v>3</v>
      </c>
      <c r="I18" s="295" t="str">
        <f t="shared" si="16"/>
        <v>3 of 17</v>
      </c>
      <c r="J18" s="286">
        <f t="shared" si="17"/>
        <v>13</v>
      </c>
      <c r="K18" s="287">
        <f t="shared" si="18"/>
        <v>168230.21</v>
      </c>
      <c r="L18" s="287">
        <f t="shared" si="19"/>
        <v>183964.16</v>
      </c>
      <c r="M18" s="298">
        <f t="shared" si="20"/>
        <v>-8.552725704832953E-2</v>
      </c>
      <c r="N18" s="299" t="str">
        <f t="shared" si="21"/>
        <v>✘ No</v>
      </c>
      <c r="O18" s="299">
        <f t="shared" si="22"/>
        <v>7</v>
      </c>
      <c r="P18" s="299" t="str">
        <f t="shared" si="23"/>
        <v>7 of 13</v>
      </c>
      <c r="Q18" s="319">
        <f t="shared" si="24"/>
        <v>87053.209999999992</v>
      </c>
      <c r="R18" s="314">
        <f t="shared" si="25"/>
        <v>1.2141141033168106</v>
      </c>
      <c r="S18" s="314">
        <f t="shared" si="26"/>
        <v>0.46504245976266068</v>
      </c>
      <c r="T18" s="315">
        <f t="shared" si="27"/>
        <v>24.986113899758479</v>
      </c>
      <c r="U18" s="316" t="str">
        <f t="shared" si="28"/>
        <v>✘ No</v>
      </c>
      <c r="V18" s="316" t="str">
        <f t="shared" si="29"/>
        <v>0 of 17</v>
      </c>
      <c r="W18" s="314">
        <f t="shared" si="30"/>
        <v>-0.2014182358084734</v>
      </c>
      <c r="X18" s="316" t="str">
        <f t="shared" si="31"/>
        <v>6 of 13</v>
      </c>
      <c r="Y18" s="271"/>
      <c r="Z18" s="271"/>
      <c r="AA18" s="271"/>
      <c r="AB18" s="271" t="str">
        <f>IF('Sales Dashboard'!AW17="","",'Sales Dashboard'!AW17)</f>
        <v>HAMANRMAD</v>
      </c>
      <c r="AC18" s="271" t="str">
        <f>IF(AB18="","",'Sales Dashboard'!AN17)</f>
        <v>Mohammed Haidar</v>
      </c>
      <c r="AD18" s="271" t="str">
        <f>IF(AB18="","",'Sales Dashboard'!AO17)</f>
        <v>Madinah</v>
      </c>
      <c r="AE18" s="281" cm="1">
        <f t="array" ref="AE18">IF(OR(AB18="",NOT(ISNUMBER('Sales Dashboard'!BF17))),0,SUMPRODUCT((IFERROR(--'Sales and count'!$G$2:$CC$2,0)=$C$4)*('Sales and count'!$G$3:$CC$3="Total"),INDEX('Sales and count'!$G$4:$CC$300,'Sales Dashboard'!BF17,0)))</f>
        <v>1802.04</v>
      </c>
      <c r="AF18" s="281" cm="1">
        <f t="array" ref="AF18">IF(OR(AB18="",NOT(ISNUMBER('Sales Dashboard'!BG17))),0,SUMPRODUCT(('TY Sales Target'!$K$2:$AO$2=$C$4)*1,INDEX('TY Sales Target'!$K$5:$AO$300,'Sales Dashboard'!BG17,0)))</f>
        <v>4964.6485547582843</v>
      </c>
      <c r="AG18" s="281" cm="1">
        <f t="array" ref="AG18">IF(AB18="",0,SUMPRODUCT((TRIM('LY Sales '!$B$5:$B$200)=AB18)*('LY Sales '!$C$2:$AG$2=EDATE($C$4,-12)),'LY Sales '!$C$5:$AG$200))</f>
        <v>0</v>
      </c>
      <c r="AH18" s="271">
        <f t="shared" si="0"/>
        <v>1</v>
      </c>
      <c r="AI18" s="271">
        <f t="shared" si="1"/>
        <v>0</v>
      </c>
      <c r="AJ18" s="271">
        <f t="shared" si="2"/>
        <v>0</v>
      </c>
      <c r="AK18" s="271">
        <f t="shared" si="3"/>
        <v>0</v>
      </c>
      <c r="AL18" s="271">
        <f t="shared" si="4"/>
        <v>1</v>
      </c>
      <c r="AM18" s="306" cm="1">
        <f t="array" ref="AM18">IF(OR(AB18="",NOT(ISNUMBER('Sales Dashboard'!BF17))),0,SUMPRODUCT((IFERROR(--'Sales and count'!$G$2:$CC$2,0)=$F$4)*('Sales and count'!$G$3:$CC$3="Total"),INDEX('Sales and count'!$G$4:$CC$300,'Sales Dashboard'!BF17,0)))</f>
        <v>2532</v>
      </c>
      <c r="AN18" s="306" cm="1">
        <f t="array" ref="AN18">IF(OR(AB18="",NOT(ISNUMBER('Sales Dashboard'!BG17))),0,SUMPRODUCT(('TY Sales Target'!$K$2:$AO$2=$F$4)*1,INDEX('TY Sales Target'!$K$5:$AO$300,'Sales Dashboard'!BG17,0)))</f>
        <v>3447.0167067442094</v>
      </c>
      <c r="AO18" s="306" cm="1">
        <f t="array" ref="AO18">IF(AB18="",0,SUMPRODUCT((TRIM('LY Sales '!$B$5:$B$200)=AB18)*('LY Sales '!$C$2:$AG$2=EDATE($F$4,-12)),'LY Sales '!$C$5:$AG$200))</f>
        <v>0</v>
      </c>
      <c r="AP18">
        <f t="shared" si="5"/>
        <v>1</v>
      </c>
      <c r="AQ18">
        <f t="shared" si="6"/>
        <v>0</v>
      </c>
      <c r="AR18">
        <f t="shared" si="7"/>
        <v>0</v>
      </c>
      <c r="AS18">
        <f t="shared" si="8"/>
        <v>0</v>
      </c>
      <c r="AU18" s="132">
        <v>46308</v>
      </c>
    </row>
    <row r="19" spans="1:47" x14ac:dyDescent="0.25">
      <c r="A19" s="285" t="str" cm="1">
        <f t="array" ref="A19">IFERROR(INDEX(_xlfn._xlws.SORT(_xlfn.UNIQUE(_xlfn._xlws.FILTER($AC$7:$AC$303,$AL$7:$AL$303=1))),ROWS($A$16:A19)),"")</f>
        <v>Lina Al Ghathami</v>
      </c>
      <c r="B19" s="286">
        <f t="shared" si="9"/>
        <v>15</v>
      </c>
      <c r="C19" s="287">
        <f t="shared" si="10"/>
        <v>118982.22</v>
      </c>
      <c r="D19" s="287">
        <f t="shared" si="11"/>
        <v>188605.98540168462</v>
      </c>
      <c r="E19" s="294">
        <f t="shared" si="12"/>
        <v>0.63085071105562729</v>
      </c>
      <c r="F19" s="295" t="str">
        <f t="shared" si="13"/>
        <v>✘ No</v>
      </c>
      <c r="G19" s="295">
        <f t="shared" si="14"/>
        <v>15</v>
      </c>
      <c r="H19" s="295">
        <f t="shared" si="15"/>
        <v>2</v>
      </c>
      <c r="I19" s="295" t="str">
        <f t="shared" si="16"/>
        <v>2 of 15</v>
      </c>
      <c r="J19" s="286">
        <f t="shared" si="17"/>
        <v>9</v>
      </c>
      <c r="K19" s="287">
        <f t="shared" si="18"/>
        <v>80793.48</v>
      </c>
      <c r="L19" s="287">
        <f t="shared" si="19"/>
        <v>128547.69000000002</v>
      </c>
      <c r="M19" s="298">
        <f t="shared" si="20"/>
        <v>-0.37149022281147193</v>
      </c>
      <c r="N19" s="299" t="str">
        <f t="shared" si="21"/>
        <v>✘ No</v>
      </c>
      <c r="O19" s="299">
        <f t="shared" si="22"/>
        <v>2</v>
      </c>
      <c r="P19" s="299" t="str">
        <f t="shared" si="23"/>
        <v>2 of 9</v>
      </c>
      <c r="Q19" s="319">
        <f t="shared" si="24"/>
        <v>67339.650000000009</v>
      </c>
      <c r="R19" s="314">
        <f t="shared" si="25"/>
        <v>0.76689691734364507</v>
      </c>
      <c r="S19" s="314">
        <f t="shared" si="26"/>
        <v>0.5142336662338729</v>
      </c>
      <c r="T19" s="315">
        <f t="shared" si="27"/>
        <v>11.661704482175439</v>
      </c>
      <c r="U19" s="316" t="str">
        <f t="shared" si="28"/>
        <v>✘ No</v>
      </c>
      <c r="V19" s="316" t="str">
        <f t="shared" si="29"/>
        <v>1 of 15</v>
      </c>
      <c r="W19" s="314">
        <f t="shared" si="30"/>
        <v>-0.21294277224461333</v>
      </c>
      <c r="X19" s="316" t="str">
        <f t="shared" si="31"/>
        <v>4 of 10</v>
      </c>
      <c r="Y19" s="271"/>
      <c r="Z19" s="271"/>
      <c r="AA19" s="271"/>
      <c r="AB19" s="271" t="str">
        <f>IF('Sales Dashboard'!AW18="","",'Sales Dashboard'!AW18)</f>
        <v>HANJFRONT</v>
      </c>
      <c r="AC19" s="271" t="str">
        <f>IF(AB19="","",'Sales Dashboard'!AN18)</f>
        <v>Ahmed Jaffari</v>
      </c>
      <c r="AD19" s="271" t="str">
        <f>IF(AB19="","",'Sales Dashboard'!AO18)</f>
        <v>Najran</v>
      </c>
      <c r="AE19" s="281" cm="1">
        <f t="array" ref="AE19">IF(OR(AB19="",NOT(ISNUMBER('Sales Dashboard'!BF18))),0,SUMPRODUCT((IFERROR(--'Sales and count'!$G$2:$CC$2,0)=$C$4)*('Sales and count'!$G$3:$CC$3="Total"),INDEX('Sales and count'!$G$4:$CC$300,'Sales Dashboard'!BF18,0)))</f>
        <v>2380.1</v>
      </c>
      <c r="AF19" s="281" cm="1">
        <f t="array" ref="AF19">IF(OR(AB19="",NOT(ISNUMBER('Sales Dashboard'!BG18))),0,SUMPRODUCT(('TY Sales Target'!$K$2:$AO$2=$C$4)*1,INDEX('TY Sales Target'!$K$5:$AO$300,'Sales Dashboard'!BG18,0)))</f>
        <v>3039.5807478111947</v>
      </c>
      <c r="AG19" s="281" cm="1">
        <f t="array" ref="AG19">IF(AB19="",0,SUMPRODUCT((TRIM('LY Sales '!$B$5:$B$200)=AB19)*('LY Sales '!$C$2:$AG$2=EDATE($C$4,-12)),'LY Sales '!$C$5:$AG$200))</f>
        <v>0</v>
      </c>
      <c r="AH19" s="271">
        <f t="shared" si="0"/>
        <v>1</v>
      </c>
      <c r="AI19" s="271">
        <f t="shared" si="1"/>
        <v>0</v>
      </c>
      <c r="AJ19" s="271">
        <f t="shared" si="2"/>
        <v>0</v>
      </c>
      <c r="AK19" s="271">
        <f t="shared" si="3"/>
        <v>0</v>
      </c>
      <c r="AL19" s="271">
        <f t="shared" si="4"/>
        <v>1</v>
      </c>
      <c r="AM19" s="306" cm="1">
        <f t="array" ref="AM19">IF(OR(AB19="",NOT(ISNUMBER('Sales Dashboard'!BF18))),0,SUMPRODUCT((IFERROR(--'Sales and count'!$G$2:$CC$2,0)=$F$4)*('Sales and count'!$G$3:$CC$3="Total"),INDEX('Sales and count'!$G$4:$CC$300,'Sales Dashboard'!BF18,0)))</f>
        <v>1419.11</v>
      </c>
      <c r="AN19" s="306" cm="1">
        <f t="array" ref="AN19">IF(OR(AB19="",NOT(ISNUMBER('Sales Dashboard'!BG18))),0,SUMPRODUCT(('TY Sales Target'!$K$2:$AO$2=$F$4)*1,INDEX('TY Sales Target'!$K$5:$AO$300,'Sales Dashboard'!BG18,0)))</f>
        <v>2110.41839188421</v>
      </c>
      <c r="AO19" s="306" cm="1">
        <f t="array" ref="AO19">IF(AB19="",0,SUMPRODUCT((TRIM('LY Sales '!$B$5:$B$200)=AB19)*('LY Sales '!$C$2:$AG$2=EDATE($F$4,-12)),'LY Sales '!$C$5:$AG$200))</f>
        <v>0</v>
      </c>
      <c r="AP19">
        <f t="shared" si="5"/>
        <v>1</v>
      </c>
      <c r="AQ19">
        <f t="shared" si="6"/>
        <v>0</v>
      </c>
      <c r="AR19">
        <f t="shared" si="7"/>
        <v>0</v>
      </c>
      <c r="AS19">
        <f t="shared" si="8"/>
        <v>0</v>
      </c>
      <c r="AU19" s="132">
        <v>46309</v>
      </c>
    </row>
    <row r="20" spans="1:47" x14ac:dyDescent="0.25">
      <c r="A20" s="285" t="str" cm="1">
        <f t="array" ref="A20">IFERROR(INDEX(_xlfn._xlws.SORT(_xlfn.UNIQUE(_xlfn._xlws.FILTER($AC$7:$AC$303,$AL$7:$AL$303=1))),ROWS($A$16:A20)),"")</f>
        <v>Maram Zamzami</v>
      </c>
      <c r="B20" s="286">
        <f t="shared" si="9"/>
        <v>12</v>
      </c>
      <c r="C20" s="287">
        <f t="shared" si="10"/>
        <v>134984.1</v>
      </c>
      <c r="D20" s="287">
        <f t="shared" si="11"/>
        <v>216570.12828154757</v>
      </c>
      <c r="E20" s="294">
        <f t="shared" si="12"/>
        <v>0.6232812487626026</v>
      </c>
      <c r="F20" s="295" t="str">
        <f t="shared" si="13"/>
        <v>✘ No</v>
      </c>
      <c r="G20" s="295">
        <f t="shared" si="14"/>
        <v>12</v>
      </c>
      <c r="H20" s="295">
        <f t="shared" si="15"/>
        <v>2</v>
      </c>
      <c r="I20" s="295" t="str">
        <f t="shared" si="16"/>
        <v>2 of 12</v>
      </c>
      <c r="J20" s="286">
        <f t="shared" si="17"/>
        <v>5</v>
      </c>
      <c r="K20" s="287">
        <f t="shared" si="18"/>
        <v>45473.049999999996</v>
      </c>
      <c r="L20" s="287">
        <f t="shared" si="19"/>
        <v>73622.34</v>
      </c>
      <c r="M20" s="298">
        <f t="shared" si="20"/>
        <v>-0.38234712452769093</v>
      </c>
      <c r="N20" s="299" t="str">
        <f t="shared" si="21"/>
        <v>✘ No</v>
      </c>
      <c r="O20" s="299">
        <f t="shared" si="22"/>
        <v>1</v>
      </c>
      <c r="P20" s="299" t="str">
        <f t="shared" si="23"/>
        <v>1 of 5</v>
      </c>
      <c r="Q20" s="319">
        <f t="shared" si="24"/>
        <v>64601.889999999992</v>
      </c>
      <c r="R20" s="314">
        <f t="shared" si="25"/>
        <v>1.089476019974029</v>
      </c>
      <c r="S20" s="314">
        <f t="shared" si="26"/>
        <v>0.42962722295693612</v>
      </c>
      <c r="T20" s="315">
        <f t="shared" si="27"/>
        <v>19.365402580566649</v>
      </c>
      <c r="U20" s="316" t="str">
        <f t="shared" si="28"/>
        <v>✘ No</v>
      </c>
      <c r="V20" s="316" t="str">
        <f t="shared" si="29"/>
        <v>0 of 12</v>
      </c>
      <c r="W20" s="314">
        <f t="shared" si="30"/>
        <v>-0.36207280844051359</v>
      </c>
      <c r="X20" s="316" t="str">
        <f t="shared" si="31"/>
        <v>1 of 6</v>
      </c>
      <c r="Y20" s="271"/>
      <c r="Z20" s="271"/>
      <c r="AA20" s="271"/>
      <c r="AB20" s="271" t="str">
        <f>IF('Sales Dashboard'!AW19="","",'Sales Dashboard'!AW19)</f>
        <v>HADARALEMN</v>
      </c>
      <c r="AC20" s="271" t="str">
        <f>IF(AB20="","",'Sales Dashboard'!AN19)</f>
        <v>Mohammed Haidar</v>
      </c>
      <c r="AD20" s="271" t="str">
        <f>IF(AB20="","",'Sales Dashboard'!AO19)</f>
        <v>Madinah</v>
      </c>
      <c r="AE20" s="281" cm="1">
        <f t="array" ref="AE20">IF(OR(AB20="",NOT(ISNUMBER('Sales Dashboard'!BF19))),0,SUMPRODUCT((IFERROR(--'Sales and count'!$G$2:$CC$2,0)=$C$4)*('Sales and count'!$G$3:$CC$3="Total"),INDEX('Sales and count'!$G$4:$CC$300,'Sales Dashboard'!BF19,0)))</f>
        <v>9144.24</v>
      </c>
      <c r="AF20" s="281" cm="1">
        <f t="array" ref="AF20">IF(OR(AB20="",NOT(ISNUMBER('Sales Dashboard'!BG19))),0,SUMPRODUCT(('TY Sales Target'!$K$2:$AO$2=$C$4)*1,INDEX('TY Sales Target'!$K$5:$AO$300,'Sales Dashboard'!BG19,0)))</f>
        <v>15552.521492967278</v>
      </c>
      <c r="AG20" s="281" cm="1">
        <f t="array" ref="AG20">IF(AB20="",0,SUMPRODUCT((TRIM('LY Sales '!$B$5:$B$200)=AB20)*('LY Sales '!$C$2:$AG$2=EDATE($C$4,-12)),'LY Sales '!$C$5:$AG$200))</f>
        <v>0</v>
      </c>
      <c r="AH20" s="271">
        <f t="shared" si="0"/>
        <v>1</v>
      </c>
      <c r="AI20" s="271">
        <f t="shared" si="1"/>
        <v>0</v>
      </c>
      <c r="AJ20" s="271">
        <f t="shared" si="2"/>
        <v>0</v>
      </c>
      <c r="AK20" s="271">
        <f t="shared" si="3"/>
        <v>0</v>
      </c>
      <c r="AL20" s="271">
        <f t="shared" si="4"/>
        <v>1</v>
      </c>
      <c r="AM20" s="306" cm="1">
        <f t="array" ref="AM20">IF(OR(AB20="",NOT(ISNUMBER('Sales Dashboard'!BF19))),0,SUMPRODUCT((IFERROR(--'Sales and count'!$G$2:$CC$2,0)=$F$4)*('Sales and count'!$G$3:$CC$3="Total"),INDEX('Sales and count'!$G$4:$CC$300,'Sales Dashboard'!BF19,0)))</f>
        <v>10233.69</v>
      </c>
      <c r="AN20" s="306" cm="1">
        <f t="array" ref="AN20">IF(OR(AB20="",NOT(ISNUMBER('Sales Dashboard'!BG19))),0,SUMPRODUCT(('TY Sales Target'!$K$2:$AO$2=$F$4)*1,INDEX('TY Sales Target'!$K$5:$AO$300,'Sales Dashboard'!BG19,0)))</f>
        <v>10798.307438474207</v>
      </c>
      <c r="AO20" s="306" cm="1">
        <f t="array" ref="AO20">IF(AB20="",0,SUMPRODUCT((TRIM('LY Sales '!$B$5:$B$200)=AB20)*('LY Sales '!$C$2:$AG$2=EDATE($F$4,-12)),'LY Sales '!$C$5:$AG$200))</f>
        <v>0</v>
      </c>
      <c r="AP20">
        <f t="shared" si="5"/>
        <v>1</v>
      </c>
      <c r="AQ20">
        <f t="shared" si="6"/>
        <v>1</v>
      </c>
      <c r="AR20">
        <f t="shared" si="7"/>
        <v>0</v>
      </c>
      <c r="AS20">
        <f t="shared" si="8"/>
        <v>0</v>
      </c>
      <c r="AU20" s="132">
        <v>46310</v>
      </c>
    </row>
    <row r="21" spans="1:47" x14ac:dyDescent="0.25">
      <c r="A21" s="285" t="str" cm="1">
        <f t="array" ref="A21">IFERROR(INDEX(_xlfn._xlws.SORT(_xlfn.UNIQUE(_xlfn._xlws.FILTER($AC$7:$AC$303,$AL$7:$AL$303=1))),ROWS($A$16:A21)),"")</f>
        <v>Mohammed Haidar</v>
      </c>
      <c r="B21" s="286">
        <f t="shared" si="9"/>
        <v>13</v>
      </c>
      <c r="C21" s="287">
        <f t="shared" si="10"/>
        <v>61791.21</v>
      </c>
      <c r="D21" s="287">
        <f t="shared" si="11"/>
        <v>115453.40873769522</v>
      </c>
      <c r="E21" s="294">
        <f t="shared" si="12"/>
        <v>0.5352047260933348</v>
      </c>
      <c r="F21" s="295" t="str">
        <f t="shared" si="13"/>
        <v>✘ No</v>
      </c>
      <c r="G21" s="295">
        <f t="shared" si="14"/>
        <v>13</v>
      </c>
      <c r="H21" s="295">
        <f t="shared" si="15"/>
        <v>1</v>
      </c>
      <c r="I21" s="295" t="str">
        <f t="shared" si="16"/>
        <v>1 of 13</v>
      </c>
      <c r="J21" s="286">
        <f t="shared" si="17"/>
        <v>4</v>
      </c>
      <c r="K21" s="287">
        <f t="shared" si="18"/>
        <v>21762.28</v>
      </c>
      <c r="L21" s="287">
        <f t="shared" si="19"/>
        <v>43205.08</v>
      </c>
      <c r="M21" s="298">
        <f t="shared" si="20"/>
        <v>-0.49630274958407672</v>
      </c>
      <c r="N21" s="299" t="str">
        <f t="shared" si="21"/>
        <v>✘ No</v>
      </c>
      <c r="O21" s="299">
        <f t="shared" si="22"/>
        <v>0</v>
      </c>
      <c r="P21" s="299" t="str">
        <f t="shared" si="23"/>
        <v>0 of 4</v>
      </c>
      <c r="Q21" s="319">
        <f t="shared" si="24"/>
        <v>56026.729999999996</v>
      </c>
      <c r="R21" s="314">
        <f t="shared" si="25"/>
        <v>0.10288803219463283</v>
      </c>
      <c r="S21" s="314">
        <f t="shared" si="26"/>
        <v>0.69892992889042227</v>
      </c>
      <c r="T21" s="315">
        <f t="shared" si="27"/>
        <v>-16.372520279708745</v>
      </c>
      <c r="U21" s="316" t="str">
        <f t="shared" si="28"/>
        <v>✘ No</v>
      </c>
      <c r="V21" s="316" t="str">
        <f t="shared" si="29"/>
        <v>3 of 13</v>
      </c>
      <c r="W21" s="314">
        <f t="shared" si="30"/>
        <v>-0.25829835874652229</v>
      </c>
      <c r="X21" s="316" t="str">
        <f t="shared" si="31"/>
        <v>2 of 4</v>
      </c>
      <c r="Y21" s="271"/>
      <c r="Z21" s="271"/>
      <c r="AA21" s="271"/>
      <c r="AB21" s="271" t="str">
        <f>IF('Sales Dashboard'!AW20="","",'Sales Dashboard'!AW20)</f>
        <v>HASHKAVNUE</v>
      </c>
      <c r="AC21" s="271" t="str">
        <f>IF(AB21="","",'Sales Dashboard'!AN20)</f>
        <v>Hamzah Al Makhadam</v>
      </c>
      <c r="AD21" s="271" t="str">
        <f>IF(AB21="","",'Sales Dashboard'!AO20)</f>
        <v>Khobar</v>
      </c>
      <c r="AE21" s="281" cm="1">
        <f t="array" ref="AE21">IF(OR(AB21="",NOT(ISNUMBER('Sales Dashboard'!BF20))),0,SUMPRODUCT((IFERROR(--'Sales and count'!$G$2:$CC$2,0)=$C$4)*('Sales and count'!$G$3:$CC$3="Total"),INDEX('Sales and count'!$G$4:$CC$300,'Sales Dashboard'!BF20,0)))</f>
        <v>34314.83</v>
      </c>
      <c r="AF21" s="281" cm="1">
        <f t="array" ref="AF21">IF(OR(AB21="",NOT(ISNUMBER('Sales Dashboard'!BG20))),0,SUMPRODUCT(('TY Sales Target'!$K$2:$AO$2=$C$4)*1,INDEX('TY Sales Target'!$K$5:$AO$300,'Sales Dashboard'!BG20,0)))</f>
        <v>43719.303089351015</v>
      </c>
      <c r="AG21" s="281" cm="1">
        <f t="array" ref="AG21">IF(AB21="",0,SUMPRODUCT((TRIM('LY Sales '!$B$5:$B$200)=AB21)*('LY Sales '!$C$2:$AG$2=EDATE($C$4,-12)),'LY Sales '!$C$5:$AG$200))</f>
        <v>31505.57</v>
      </c>
      <c r="AH21" s="271">
        <f t="shared" si="0"/>
        <v>1</v>
      </c>
      <c r="AI21" s="271">
        <f t="shared" si="1"/>
        <v>0</v>
      </c>
      <c r="AJ21" s="271">
        <f t="shared" si="2"/>
        <v>1</v>
      </c>
      <c r="AK21" s="271">
        <f t="shared" si="3"/>
        <v>1</v>
      </c>
      <c r="AL21" s="271">
        <f t="shared" si="4"/>
        <v>1</v>
      </c>
      <c r="AM21" s="306" cm="1">
        <f t="array" ref="AM21">IF(OR(AB21="",NOT(ISNUMBER('Sales Dashboard'!BF20))),0,SUMPRODUCT((IFERROR(--'Sales and count'!$G$2:$CC$2,0)=$F$4)*('Sales and count'!$G$3:$CC$3="Total"),INDEX('Sales and count'!$G$4:$CC$300,'Sales Dashboard'!BF20,0)))</f>
        <v>18766.22</v>
      </c>
      <c r="AN21" s="306" cm="1">
        <f t="array" ref="AN21">IF(OR(AB21="",NOT(ISNUMBER('Sales Dashboard'!BG20))),0,SUMPRODUCT(('TY Sales Target'!$K$2:$AO$2=$F$4)*1,INDEX('TY Sales Target'!$K$5:$AO$300,'Sales Dashboard'!BG20,0)))</f>
        <v>30354.851203267885</v>
      </c>
      <c r="AO21" s="306" cm="1">
        <f t="array" ref="AO21">IF(AB21="",0,SUMPRODUCT((TRIM('LY Sales '!$B$5:$B$200)=AB21)*('LY Sales '!$C$2:$AG$2=EDATE($F$4,-12)),'LY Sales '!$C$5:$AG$200))</f>
        <v>22787.54</v>
      </c>
      <c r="AP21">
        <f t="shared" si="5"/>
        <v>1</v>
      </c>
      <c r="AQ21">
        <f t="shared" si="6"/>
        <v>0</v>
      </c>
      <c r="AR21">
        <f t="shared" si="7"/>
        <v>1</v>
      </c>
      <c r="AS21">
        <f t="shared" si="8"/>
        <v>0</v>
      </c>
      <c r="AU21" s="132">
        <v>46311</v>
      </c>
    </row>
    <row r="22" spans="1:47" x14ac:dyDescent="0.25">
      <c r="A22" s="285" t="str" cm="1">
        <f t="array" ref="A22">IFERROR(INDEX(_xlfn._xlws.SORT(_xlfn.UNIQUE(_xlfn._xlws.FILTER($AC$7:$AC$303,$AL$7:$AL$303=1))),ROWS($A$16:A22)),"")</f>
        <v>Mohammed Sanad</v>
      </c>
      <c r="B22" s="286">
        <f t="shared" si="9"/>
        <v>15</v>
      </c>
      <c r="C22" s="287">
        <f t="shared" si="10"/>
        <v>109737.22</v>
      </c>
      <c r="D22" s="287">
        <f t="shared" si="11"/>
        <v>180145.81898694346</v>
      </c>
      <c r="E22" s="294">
        <f t="shared" si="12"/>
        <v>0.60915774019686519</v>
      </c>
      <c r="F22" s="295" t="str">
        <f t="shared" si="13"/>
        <v>✘ No</v>
      </c>
      <c r="G22" s="295">
        <f t="shared" si="14"/>
        <v>15</v>
      </c>
      <c r="H22" s="295">
        <f t="shared" si="15"/>
        <v>2</v>
      </c>
      <c r="I22" s="295" t="str">
        <f t="shared" si="16"/>
        <v>2 of 15</v>
      </c>
      <c r="J22" s="286">
        <f t="shared" si="17"/>
        <v>7</v>
      </c>
      <c r="K22" s="287">
        <f t="shared" si="18"/>
        <v>59683.35</v>
      </c>
      <c r="L22" s="287">
        <f t="shared" si="19"/>
        <v>99070.720000000001</v>
      </c>
      <c r="M22" s="298">
        <f t="shared" si="20"/>
        <v>-0.39756822197315211</v>
      </c>
      <c r="N22" s="299" t="str">
        <f t="shared" si="21"/>
        <v>✘ No</v>
      </c>
      <c r="O22" s="299">
        <f t="shared" si="22"/>
        <v>0</v>
      </c>
      <c r="P22" s="299" t="str">
        <f t="shared" si="23"/>
        <v>0 of 7</v>
      </c>
      <c r="Q22" s="319">
        <f t="shared" si="24"/>
        <v>53592.289999999994</v>
      </c>
      <c r="R22" s="314">
        <f t="shared" si="25"/>
        <v>1.0476307319578995</v>
      </c>
      <c r="S22" s="314">
        <f t="shared" si="26"/>
        <v>0.42847279246602943</v>
      </c>
      <c r="T22" s="315">
        <f t="shared" si="27"/>
        <v>18.068494773083575</v>
      </c>
      <c r="U22" s="316" t="str">
        <f t="shared" si="28"/>
        <v>✘ No</v>
      </c>
      <c r="V22" s="316" t="str">
        <f t="shared" si="29"/>
        <v>0 of 15</v>
      </c>
      <c r="W22" s="314">
        <f t="shared" si="30"/>
        <v>-0.45349762087908252</v>
      </c>
      <c r="X22" s="316" t="str">
        <f t="shared" si="31"/>
        <v>1 of 9</v>
      </c>
      <c r="Y22" s="271"/>
      <c r="Z22" s="271"/>
      <c r="AA22" s="271"/>
      <c r="AB22" s="271" t="str">
        <f>IF('Sales Dashboard'!AW21="","",'Sales Dashboard'!AW21)</f>
        <v>HAMAYASMAD</v>
      </c>
      <c r="AC22" s="271" t="str">
        <f>IF(AB22="","",'Sales Dashboard'!AN21)</f>
        <v>Mohammed Haidar</v>
      </c>
      <c r="AD22" s="271" t="str">
        <f>IF(AB22="","",'Sales Dashboard'!AO21)</f>
        <v>Madinah</v>
      </c>
      <c r="AE22" s="281" cm="1">
        <f t="array" ref="AE22">IF(OR(AB22="",NOT(ISNUMBER('Sales Dashboard'!BF21))),0,SUMPRODUCT((IFERROR(--'Sales and count'!$G$2:$CC$2,0)=$C$4)*('Sales and count'!$G$3:$CC$3="Total"),INDEX('Sales and count'!$G$4:$CC$300,'Sales Dashboard'!BF21,0)))</f>
        <v>3502.08</v>
      </c>
      <c r="AF22" s="281" cm="1">
        <f t="array" ref="AF22">IF(OR(AB22="",NOT(ISNUMBER('Sales Dashboard'!BG21))),0,SUMPRODUCT(('TY Sales Target'!$K$2:$AO$2=$C$4)*1,INDEX('TY Sales Target'!$K$5:$AO$300,'Sales Dashboard'!BG21,0)))</f>
        <v>6839.0566825751876</v>
      </c>
      <c r="AG22" s="281" cm="1">
        <f t="array" ref="AG22">IF(AB22="",0,SUMPRODUCT((TRIM('LY Sales '!$B$5:$B$200)=AB22)*('LY Sales '!$C$2:$AG$2=EDATE($C$4,-12)),'LY Sales '!$C$5:$AG$200))</f>
        <v>3546.08</v>
      </c>
      <c r="AH22" s="271">
        <f t="shared" si="0"/>
        <v>1</v>
      </c>
      <c r="AI22" s="271">
        <f t="shared" si="1"/>
        <v>0</v>
      </c>
      <c r="AJ22" s="271">
        <f t="shared" si="2"/>
        <v>1</v>
      </c>
      <c r="AK22" s="271">
        <f t="shared" si="3"/>
        <v>0</v>
      </c>
      <c r="AL22" s="271">
        <f t="shared" si="4"/>
        <v>1</v>
      </c>
      <c r="AM22" s="306" cm="1">
        <f t="array" ref="AM22">IF(OR(AB22="",NOT(ISNUMBER('Sales Dashboard'!BF21))),0,SUMPRODUCT((IFERROR(--'Sales and count'!$G$2:$CC$2,0)=$F$4)*('Sales and count'!$G$3:$CC$3="Total"),INDEX('Sales and count'!$G$4:$CC$300,'Sales Dashboard'!BF21,0)))</f>
        <v>3774.24</v>
      </c>
      <c r="AN22" s="306" cm="1">
        <f t="array" ref="AN22">IF(OR(AB22="",NOT(ISNUMBER('Sales Dashboard'!BG21))),0,SUMPRODUCT(('TY Sales Target'!$K$2:$AO$2=$F$4)*1,INDEX('TY Sales Target'!$K$5:$AO$300,'Sales Dashboard'!BG21,0)))</f>
        <v>4748.4413817394725</v>
      </c>
      <c r="AO22" s="306" cm="1">
        <f t="array" ref="AO22">IF(AB22="",0,SUMPRODUCT((TRIM('LY Sales '!$B$5:$B$200)=AB22)*('LY Sales '!$C$2:$AG$2=EDATE($F$4,-12)),'LY Sales '!$C$5:$AG$200))</f>
        <v>2972.06</v>
      </c>
      <c r="AP22">
        <f t="shared" si="5"/>
        <v>1</v>
      </c>
      <c r="AQ22">
        <f t="shared" si="6"/>
        <v>0</v>
      </c>
      <c r="AR22">
        <f t="shared" si="7"/>
        <v>1</v>
      </c>
      <c r="AS22">
        <f t="shared" si="8"/>
        <v>1</v>
      </c>
      <c r="AU22" s="132">
        <v>46312</v>
      </c>
    </row>
    <row r="23" spans="1:47" x14ac:dyDescent="0.25">
      <c r="A23" s="285" t="str" cm="1">
        <f t="array" ref="A23">IFERROR(INDEX(_xlfn._xlws.SORT(_xlfn.UNIQUE(_xlfn._xlws.FILTER($AC$7:$AC$303,$AL$7:$AL$303=1))),ROWS($A$16:A23)),"")</f>
        <v>Saleh Bin Hoiel</v>
      </c>
      <c r="B23" s="286">
        <f t="shared" si="9"/>
        <v>14</v>
      </c>
      <c r="C23" s="287">
        <f t="shared" si="10"/>
        <v>127723.25999999998</v>
      </c>
      <c r="D23" s="287">
        <f t="shared" si="11"/>
        <v>180173.37001520692</v>
      </c>
      <c r="E23" s="294">
        <f t="shared" si="12"/>
        <v>0.70889088653456356</v>
      </c>
      <c r="F23" s="295" t="str">
        <f t="shared" si="13"/>
        <v>✘ No</v>
      </c>
      <c r="G23" s="295">
        <f t="shared" si="14"/>
        <v>14</v>
      </c>
      <c r="H23" s="295">
        <f t="shared" si="15"/>
        <v>4</v>
      </c>
      <c r="I23" s="295" t="str">
        <f t="shared" si="16"/>
        <v>4 of 14</v>
      </c>
      <c r="J23" s="286">
        <f t="shared" si="17"/>
        <v>8</v>
      </c>
      <c r="K23" s="287">
        <f t="shared" si="18"/>
        <v>92134.59</v>
      </c>
      <c r="L23" s="287">
        <f t="shared" si="19"/>
        <v>111362.02</v>
      </c>
      <c r="M23" s="298">
        <f t="shared" si="20"/>
        <v>-0.17265697946211833</v>
      </c>
      <c r="N23" s="299" t="str">
        <f t="shared" si="21"/>
        <v>✘ No</v>
      </c>
      <c r="O23" s="299">
        <f t="shared" si="22"/>
        <v>2</v>
      </c>
      <c r="P23" s="299" t="str">
        <f t="shared" si="23"/>
        <v>2 of 8</v>
      </c>
      <c r="Q23" s="319">
        <f t="shared" si="24"/>
        <v>50817.16</v>
      </c>
      <c r="R23" s="314">
        <f t="shared" si="25"/>
        <v>1.5133883908506491</v>
      </c>
      <c r="S23" s="314">
        <f t="shared" si="26"/>
        <v>0.40622337534658665</v>
      </c>
      <c r="T23" s="315">
        <f t="shared" si="27"/>
        <v>30.266751118797693</v>
      </c>
      <c r="U23" s="316" t="str">
        <f t="shared" si="28"/>
        <v>✘ No</v>
      </c>
      <c r="V23" s="316" t="str">
        <f t="shared" si="29"/>
        <v>2 of 14</v>
      </c>
      <c r="W23" s="314">
        <f t="shared" si="30"/>
        <v>-0.16554937170145767</v>
      </c>
      <c r="X23" s="316" t="str">
        <f t="shared" si="31"/>
        <v>2 of 8</v>
      </c>
      <c r="Y23" s="271"/>
      <c r="Z23" s="271"/>
      <c r="AA23" s="271"/>
      <c r="AB23" s="271" t="str">
        <f>IF('Sales Dashboard'!AW22="","",'Sales Dashboard'!AW22)</f>
        <v>HAWADILABN</v>
      </c>
      <c r="AC23" s="271" t="str">
        <f>IF(AB23="","",'Sales Dashboard'!AN22)</f>
        <v>Mohammed Sanad</v>
      </c>
      <c r="AD23" s="271" t="str">
        <f>IF(AB23="","",'Sales Dashboard'!AO22)</f>
        <v>Riyadh</v>
      </c>
      <c r="AE23" s="281" cm="1">
        <f t="array" ref="AE23">IF(OR(AB23="",NOT(ISNUMBER('Sales Dashboard'!BF22))),0,SUMPRODUCT((IFERROR(--'Sales and count'!$G$2:$CC$2,0)=$C$4)*('Sales and count'!$G$3:$CC$3="Total"),INDEX('Sales and count'!$G$4:$CC$300,'Sales Dashboard'!BF22,0)))</f>
        <v>9168.1299999999992</v>
      </c>
      <c r="AF23" s="281" cm="1">
        <f t="array" ref="AF23">IF(OR(AB23="",NOT(ISNUMBER('Sales Dashboard'!BG22))),0,SUMPRODUCT(('TY Sales Target'!$K$2:$AO$2=$C$4)*1,INDEX('TY Sales Target'!$K$5:$AO$300,'Sales Dashboard'!BG22,0)))</f>
        <v>14488.668231233361</v>
      </c>
      <c r="AG23" s="281" cm="1">
        <f t="array" ref="AG23">IF(AB23="",0,SUMPRODUCT((TRIM('LY Sales '!$B$5:$B$200)=AB23)*('LY Sales '!$C$2:$AG$2=EDATE($C$4,-12)),'LY Sales '!$C$5:$AG$200))</f>
        <v>0</v>
      </c>
      <c r="AH23" s="271">
        <f t="shared" si="0"/>
        <v>1</v>
      </c>
      <c r="AI23" s="271">
        <f t="shared" si="1"/>
        <v>0</v>
      </c>
      <c r="AJ23" s="271">
        <f t="shared" si="2"/>
        <v>0</v>
      </c>
      <c r="AK23" s="271">
        <f t="shared" si="3"/>
        <v>0</v>
      </c>
      <c r="AL23" s="271">
        <f t="shared" si="4"/>
        <v>1</v>
      </c>
      <c r="AM23" s="306" cm="1">
        <f t="array" ref="AM23">IF(OR(AB23="",NOT(ISNUMBER('Sales Dashboard'!BF22))),0,SUMPRODUCT((IFERROR(--'Sales and count'!$G$2:$CC$2,0)=$F$4)*('Sales and count'!$G$3:$CC$3="Total"),INDEX('Sales and count'!$G$4:$CC$300,'Sales Dashboard'!BF22,0)))</f>
        <v>3873.27</v>
      </c>
      <c r="AN23" s="306" cm="1">
        <f t="array" ref="AN23">IF(OR(AB23="",NOT(ISNUMBER('Sales Dashboard'!BG22))),0,SUMPRODUCT(('TY Sales Target'!$K$2:$AO$2=$F$4)*1,INDEX('TY Sales Target'!$K$5:$AO$300,'Sales Dashboard'!BG22,0)))</f>
        <v>10059.661001314733</v>
      </c>
      <c r="AO23" s="306" cm="1">
        <f t="array" ref="AO23">IF(AB23="",0,SUMPRODUCT((TRIM('LY Sales '!$B$5:$B$200)=AB23)*('LY Sales '!$C$2:$AG$2=EDATE($F$4,-12)),'LY Sales '!$C$5:$AG$200))</f>
        <v>0</v>
      </c>
      <c r="AP23">
        <f t="shared" si="5"/>
        <v>1</v>
      </c>
      <c r="AQ23">
        <f t="shared" si="6"/>
        <v>0</v>
      </c>
      <c r="AR23">
        <f t="shared" si="7"/>
        <v>0</v>
      </c>
      <c r="AS23">
        <f t="shared" si="8"/>
        <v>0</v>
      </c>
      <c r="AU23" s="132">
        <v>46313</v>
      </c>
    </row>
    <row r="24" spans="1:47" x14ac:dyDescent="0.25">
      <c r="A24" s="285" t="str" cm="1">
        <f t="array" ref="A24">IFERROR(INDEX(_xlfn._xlws.SORT(_xlfn.UNIQUE(_xlfn._xlws.FILTER($AC$7:$AC$303,$AL$7:$AL$303=1))),ROWS($A$16:A24)),"")</f>
        <v/>
      </c>
      <c r="B24" s="286" t="str">
        <f t="shared" si="9"/>
        <v/>
      </c>
      <c r="C24" s="287" t="str">
        <f t="shared" si="10"/>
        <v/>
      </c>
      <c r="D24" s="287" t="str">
        <f t="shared" si="11"/>
        <v/>
      </c>
      <c r="E24" s="294" t="str">
        <f t="shared" si="12"/>
        <v/>
      </c>
      <c r="F24" s="295" t="str">
        <f t="shared" si="13"/>
        <v/>
      </c>
      <c r="G24" s="295" t="str">
        <f t="shared" si="14"/>
        <v/>
      </c>
      <c r="H24" s="295" t="str">
        <f t="shared" si="15"/>
        <v/>
      </c>
      <c r="I24" s="295" t="str">
        <f t="shared" si="16"/>
        <v/>
      </c>
      <c r="J24" s="286" t="str">
        <f t="shared" si="17"/>
        <v/>
      </c>
      <c r="K24" s="287" t="str">
        <f t="shared" si="18"/>
        <v/>
      </c>
      <c r="L24" s="287" t="str">
        <f t="shared" si="19"/>
        <v/>
      </c>
      <c r="M24" s="298" t="str">
        <f t="shared" si="20"/>
        <v/>
      </c>
      <c r="N24" s="299" t="str">
        <f t="shared" si="21"/>
        <v/>
      </c>
      <c r="O24" s="299" t="str">
        <f t="shared" si="22"/>
        <v/>
      </c>
      <c r="P24" s="299" t="str">
        <f t="shared" si="23"/>
        <v/>
      </c>
      <c r="Q24" s="319" t="str">
        <f t="shared" si="24"/>
        <v/>
      </c>
      <c r="R24" s="314" t="str">
        <f t="shared" si="25"/>
        <v/>
      </c>
      <c r="S24" s="314" t="str">
        <f t="shared" si="26"/>
        <v/>
      </c>
      <c r="T24" s="315" t="str">
        <f t="shared" si="27"/>
        <v/>
      </c>
      <c r="U24" s="316" t="str">
        <f t="shared" si="28"/>
        <v/>
      </c>
      <c r="V24" s="316" t="str">
        <f t="shared" si="29"/>
        <v/>
      </c>
      <c r="W24" s="314" t="str">
        <f t="shared" si="30"/>
        <v/>
      </c>
      <c r="X24" s="316" t="str">
        <f t="shared" si="31"/>
        <v/>
      </c>
      <c r="Y24" s="271"/>
      <c r="Z24" s="271"/>
      <c r="AA24" s="271"/>
      <c r="AB24" s="271" t="str">
        <f>IF('Sales Dashboard'!AW23="","",'Sales Dashboard'!AW23)</f>
        <v>ALBUSTAN</v>
      </c>
      <c r="AC24" s="271" t="str">
        <f>IF(AB24="","",'Sales Dashboard'!AN23)</f>
        <v>Hamzah Al Makhadam</v>
      </c>
      <c r="AD24" s="271" t="str">
        <f>IF(AB24="","",'Sales Dashboard'!AO23)</f>
        <v>Al Hasa</v>
      </c>
      <c r="AE24" s="281" cm="1">
        <f t="array" ref="AE24">IF(OR(AB24="",NOT(ISNUMBER('Sales Dashboard'!BF23))),0,SUMPRODUCT((IFERROR(--'Sales and count'!$G$2:$CC$2,0)=$C$4)*('Sales and count'!$G$3:$CC$3="Total"),INDEX('Sales and count'!$G$4:$CC$300,'Sales Dashboard'!BF23,0)))</f>
        <v>14865.32</v>
      </c>
      <c r="AF24" s="281" cm="1">
        <f t="array" ref="AF24">IF(OR(AB24="",NOT(ISNUMBER('Sales Dashboard'!BG23))),0,SUMPRODUCT(('TY Sales Target'!$K$2:$AO$2=$C$4)*1,INDEX('TY Sales Target'!$K$5:$AO$300,'Sales Dashboard'!BG23,0)))</f>
        <v>19250.678069470898</v>
      </c>
      <c r="AG24" s="281" cm="1">
        <f t="array" ref="AG24">IF(AB24="",0,SUMPRODUCT((TRIM('LY Sales '!$B$5:$B$200)=AB24)*('LY Sales '!$C$2:$AG$2=EDATE($C$4,-12)),'LY Sales '!$C$5:$AG$200))</f>
        <v>20857.7</v>
      </c>
      <c r="AH24" s="271">
        <f t="shared" si="0"/>
        <v>1</v>
      </c>
      <c r="AI24" s="271">
        <f t="shared" si="1"/>
        <v>0</v>
      </c>
      <c r="AJ24" s="271">
        <f t="shared" si="2"/>
        <v>1</v>
      </c>
      <c r="AK24" s="271">
        <f t="shared" si="3"/>
        <v>0</v>
      </c>
      <c r="AL24" s="271">
        <f t="shared" si="4"/>
        <v>1</v>
      </c>
      <c r="AM24" s="306" cm="1">
        <f t="array" ref="AM24">IF(OR(AB24="",NOT(ISNUMBER('Sales Dashboard'!BF23))),0,SUMPRODUCT((IFERROR(--'Sales and count'!$G$2:$CC$2,0)=$F$4)*('Sales and count'!$G$3:$CC$3="Total"),INDEX('Sales and count'!$G$4:$CC$300,'Sales Dashboard'!BF23,0)))</f>
        <v>4586.3100000000004</v>
      </c>
      <c r="AN24" s="306" cm="1">
        <f t="array" ref="AN24">IF(OR(AB24="",NOT(ISNUMBER('Sales Dashboard'!BG23))),0,SUMPRODUCT(('TY Sales Target'!$K$2:$AO$2=$F$4)*1,INDEX('TY Sales Target'!$K$5:$AO$300,'Sales Dashboard'!BG23,0)))</f>
        <v>13365.983148599995</v>
      </c>
      <c r="AO24" s="306" cm="1">
        <f t="array" ref="AO24">IF(AB24="",0,SUMPRODUCT((TRIM('LY Sales '!$B$5:$B$200)=AB24)*('LY Sales '!$C$2:$AG$2=EDATE($F$4,-12)),'LY Sales '!$C$5:$AG$200))</f>
        <v>8321.19</v>
      </c>
      <c r="AP24">
        <f t="shared" si="5"/>
        <v>1</v>
      </c>
      <c r="AQ24">
        <f t="shared" si="6"/>
        <v>0</v>
      </c>
      <c r="AR24">
        <f t="shared" si="7"/>
        <v>1</v>
      </c>
      <c r="AS24">
        <f t="shared" si="8"/>
        <v>0</v>
      </c>
      <c r="AU24" s="132">
        <v>46314</v>
      </c>
    </row>
    <row r="25" spans="1:47" x14ac:dyDescent="0.25">
      <c r="A25" s="285" t="str" cm="1">
        <f t="array" ref="A25">IFERROR(INDEX(_xlfn._xlws.SORT(_xlfn.UNIQUE(_xlfn._xlws.FILTER($AC$7:$AC$303,$AL$7:$AL$303=1))),ROWS($A$16:A25)),"")</f>
        <v/>
      </c>
      <c r="B25" s="286" t="str">
        <f t="shared" si="9"/>
        <v/>
      </c>
      <c r="C25" s="287" t="str">
        <f t="shared" si="10"/>
        <v/>
      </c>
      <c r="D25" s="287" t="str">
        <f t="shared" si="11"/>
        <v/>
      </c>
      <c r="E25" s="294" t="str">
        <f t="shared" si="12"/>
        <v/>
      </c>
      <c r="F25" s="295" t="str">
        <f t="shared" si="13"/>
        <v/>
      </c>
      <c r="G25" s="295" t="str">
        <f t="shared" si="14"/>
        <v/>
      </c>
      <c r="H25" s="295" t="str">
        <f t="shared" si="15"/>
        <v/>
      </c>
      <c r="I25" s="295" t="str">
        <f t="shared" si="16"/>
        <v/>
      </c>
      <c r="J25" s="286" t="str">
        <f t="shared" si="17"/>
        <v/>
      </c>
      <c r="K25" s="287" t="str">
        <f t="shared" si="18"/>
        <v/>
      </c>
      <c r="L25" s="287" t="str">
        <f t="shared" si="19"/>
        <v/>
      </c>
      <c r="M25" s="298" t="str">
        <f t="shared" si="20"/>
        <v/>
      </c>
      <c r="N25" s="299" t="str">
        <f t="shared" si="21"/>
        <v/>
      </c>
      <c r="O25" s="299" t="str">
        <f t="shared" si="22"/>
        <v/>
      </c>
      <c r="P25" s="299" t="str">
        <f t="shared" si="23"/>
        <v/>
      </c>
      <c r="Q25" s="319" t="str">
        <f t="shared" si="24"/>
        <v/>
      </c>
      <c r="R25" s="314" t="str">
        <f t="shared" si="25"/>
        <v/>
      </c>
      <c r="S25" s="314" t="str">
        <f t="shared" si="26"/>
        <v/>
      </c>
      <c r="T25" s="315" t="str">
        <f t="shared" si="27"/>
        <v/>
      </c>
      <c r="U25" s="316" t="str">
        <f t="shared" si="28"/>
        <v/>
      </c>
      <c r="V25" s="316" t="str">
        <f t="shared" si="29"/>
        <v/>
      </c>
      <c r="W25" s="314" t="str">
        <f t="shared" si="30"/>
        <v/>
      </c>
      <c r="X25" s="316" t="str">
        <f t="shared" si="31"/>
        <v/>
      </c>
      <c r="Y25" s="271"/>
      <c r="Z25" s="271"/>
      <c r="AA25" s="271"/>
      <c r="AB25" s="271" t="str">
        <f>IF('Sales Dashboard'!AW24="","",'Sales Dashboard'!AW24)</f>
        <v>Dubai</v>
      </c>
      <c r="AC25" s="271" t="str">
        <f>IF(AB25="","",'Sales Dashboard'!AN24)</f>
        <v/>
      </c>
      <c r="AD25" s="271" t="str">
        <f>IF(AB25="","",'Sales Dashboard'!AO24)</f>
        <v>Abu Dhabi</v>
      </c>
      <c r="AE25" s="281" cm="1">
        <f t="array" ref="AE25">IF(OR(AB25="",NOT(ISNUMBER('Sales Dashboard'!BF24))),0,SUMPRODUCT((IFERROR(--'Sales and count'!$G$2:$CC$2,0)=$C$4)*('Sales and count'!$G$3:$CC$3="Total"),INDEX('Sales and count'!$G$4:$CC$300,'Sales Dashboard'!BF24,0)))</f>
        <v>151278.26</v>
      </c>
      <c r="AF25" s="281" cm="1">
        <f t="array" ref="AF25">IF(OR(AB25="",NOT(ISNUMBER('Sales Dashboard'!BG24))),0,SUMPRODUCT(('TY Sales Target'!$K$2:$AO$2=$C$4)*1,INDEX('TY Sales Target'!$K$5:$AO$300,'Sales Dashboard'!BG24,0)))</f>
        <v>0</v>
      </c>
      <c r="AG25" s="281" cm="1">
        <f t="array" ref="AG25">IF(AB25="",0,SUMPRODUCT((TRIM('LY Sales '!$B$5:$B$200)=AB25)*('LY Sales '!$C$2:$AG$2=EDATE($C$4,-12)),'LY Sales '!$C$5:$AG$200))</f>
        <v>0</v>
      </c>
      <c r="AH25" s="271">
        <f t="shared" si="0"/>
        <v>0</v>
      </c>
      <c r="AI25" s="271">
        <f t="shared" si="1"/>
        <v>0</v>
      </c>
      <c r="AJ25" s="271">
        <f t="shared" si="2"/>
        <v>0</v>
      </c>
      <c r="AK25" s="271">
        <f t="shared" si="3"/>
        <v>0</v>
      </c>
      <c r="AL25" s="271">
        <f t="shared" si="4"/>
        <v>0</v>
      </c>
      <c r="AM25" s="306" cm="1">
        <f t="array" ref="AM25">IF(OR(AB25="",NOT(ISNUMBER('Sales Dashboard'!BF24))),0,SUMPRODUCT((IFERROR(--'Sales and count'!$G$2:$CC$2,0)=$F$4)*('Sales and count'!$G$3:$CC$3="Total"),INDEX('Sales and count'!$G$4:$CC$300,'Sales Dashboard'!BF24,0)))</f>
        <v>0</v>
      </c>
      <c r="AN25" s="306" cm="1">
        <f t="array" ref="AN25">IF(OR(AB25="",NOT(ISNUMBER('Sales Dashboard'!BG24))),0,SUMPRODUCT(('TY Sales Target'!$K$2:$AO$2=$F$4)*1,INDEX('TY Sales Target'!$K$5:$AO$300,'Sales Dashboard'!BG24,0)))</f>
        <v>0</v>
      </c>
      <c r="AO25" s="306" cm="1">
        <f t="array" ref="AO25">IF(AB25="",0,SUMPRODUCT((TRIM('LY Sales '!$B$5:$B$200)=AB25)*('LY Sales '!$C$2:$AG$2=EDATE($F$4,-12)),'LY Sales '!$C$5:$AG$200))</f>
        <v>0</v>
      </c>
      <c r="AP25">
        <f t="shared" si="5"/>
        <v>0</v>
      </c>
      <c r="AQ25">
        <f t="shared" si="6"/>
        <v>0</v>
      </c>
      <c r="AR25">
        <f t="shared" si="7"/>
        <v>0</v>
      </c>
      <c r="AS25">
        <f t="shared" si="8"/>
        <v>0</v>
      </c>
      <c r="AU25" s="132">
        <v>46315</v>
      </c>
    </row>
    <row r="26" spans="1:47" x14ac:dyDescent="0.25">
      <c r="A26" s="288" t="s">
        <v>0</v>
      </c>
      <c r="B26" s="289">
        <f>SUM(B16:B25)</f>
        <v>114</v>
      </c>
      <c r="C26" s="290">
        <f>SUM(C16:C25)</f>
        <v>981347.05999999994</v>
      </c>
      <c r="D26" s="290">
        <f>SUM(D16:D25)</f>
        <v>1504607.2395117916</v>
      </c>
      <c r="E26" s="291">
        <f>IF(D26=0,"",C26/D26)</f>
        <v>0.65222805940932671</v>
      </c>
      <c r="F26" s="289" t="str">
        <f>COUNTIF(F16:F25,"✔ Yes")&amp;" of "&amp;COUNTIFS(D16:D25,"&gt;0")</f>
        <v>0 of 8</v>
      </c>
      <c r="G26" s="289">
        <f>SUM(G16:G25)</f>
        <v>114</v>
      </c>
      <c r="H26" s="289">
        <f>SUM(H16:H25)</f>
        <v>20</v>
      </c>
      <c r="I26" s="289" t="str">
        <f>H26&amp;" of "&amp;G26</f>
        <v>20 of 114</v>
      </c>
      <c r="J26" s="289">
        <f>SUM(J16:J25)</f>
        <v>59</v>
      </c>
      <c r="K26" s="290">
        <f>SUM(K16:K25)</f>
        <v>598911.10999999987</v>
      </c>
      <c r="L26" s="290">
        <f>SUM(L16:L25)</f>
        <v>821505.21</v>
      </c>
      <c r="M26" s="291">
        <f>IF(L26=0,"",K26/L26-1)</f>
        <v>-0.27095884151483363</v>
      </c>
      <c r="N26" s="289" t="str">
        <f>COUNTIF(N16:N25,"✔ Yes")&amp;" of "&amp;COUNTIFS(L16:L25,"&gt;0")</f>
        <v>0 of 8</v>
      </c>
      <c r="O26" s="289">
        <f>SUM(O16:O25)</f>
        <v>15</v>
      </c>
      <c r="P26" s="289" t="str">
        <f>O26&amp;" of "&amp;J26</f>
        <v>15 of 59</v>
      </c>
      <c r="Q26" s="310">
        <f>SUM(Q16:Q25)</f>
        <v>466773.47</v>
      </c>
      <c r="R26" s="291">
        <f>IF(Q26=0,"",C26/Q26-1)</f>
        <v>1.102405391634619</v>
      </c>
      <c r="S26" s="291" cm="1">
        <f t="array" ref="S26">IFERROR(Q26/SUMPRODUCT(($AL$7:$AL$303=1)*$AN$7:$AN$303),"")</f>
        <v>0.44681540606452014</v>
      </c>
      <c r="T26" s="317">
        <f>IF(OR(E26="",S26=""),"",(E26-S26)*100)</f>
        <v>20.541265334480656</v>
      </c>
      <c r="U26" s="289" t="str">
        <f>COUNTIF(U16:U25,"✔ Yes")&amp;" of "&amp;COUNT(S16:S25)</f>
        <v>0 of 8</v>
      </c>
      <c r="V26" s="289" t="str" cm="1">
        <f t="array" ref="V26">SUMPRODUCT(($AL$7:$AL$303=1)*$AQ$7:$AQ$303)&amp;" of "&amp;SUMPRODUCT(($AL$7:$AL$303=1)*$AP$7:$AP$303)</f>
        <v>6 of 114</v>
      </c>
      <c r="W26" s="291" cm="1">
        <f t="array" ref="W26">IFERROR(SUMPRODUCT(($AL$7:$AL$303=1)*$AR$7:$AR$303,$AM$7:$AM$303)/SUMPRODUCT(($AL$7:$AL$303=1)*$AR$7:$AR$303,$AO$7:$AO$303)-1,"")</f>
        <v>-0.26221243458992638</v>
      </c>
      <c r="X26" s="289" t="str" cm="1">
        <f t="array" ref="X26">SUMPRODUCT(($AL$7:$AL$303=1)*$AS$7:$AS$303)&amp;" of "&amp;SUMPRODUCT(($AL$7:$AL$303=1)*$AR$7:$AR$303)</f>
        <v>21 of 64</v>
      </c>
      <c r="Y26" s="271"/>
      <c r="Z26" s="271"/>
      <c r="AA26" s="271"/>
      <c r="AB26" s="271" t="str">
        <f>IF('Sales Dashboard'!AW25="","",'Sales Dashboard'!AW25)</f>
        <v>HAMALQARYD</v>
      </c>
      <c r="AC26" s="271" t="str">
        <f>IF(AB26="","",'Sales Dashboard'!AN25)</f>
        <v>Mohammed Sanad</v>
      </c>
      <c r="AD26" s="271" t="str">
        <f>IF(AB26="","",'Sales Dashboard'!AO25)</f>
        <v>Riyadh</v>
      </c>
      <c r="AE26" s="281" cm="1">
        <f t="array" ref="AE26">IF(OR(AB26="",NOT(ISNUMBER('Sales Dashboard'!BF25))),0,SUMPRODUCT((IFERROR(--'Sales and count'!$G$2:$CC$2,0)=$C$4)*('Sales and count'!$G$3:$CC$3="Total"),INDEX('Sales and count'!$G$4:$CC$300,'Sales Dashboard'!BF25,0)))</f>
        <v>7718.09</v>
      </c>
      <c r="AF26" s="281" cm="1">
        <f t="array" ref="AF26">IF(OR(AB26="",NOT(ISNUMBER('Sales Dashboard'!BG25))),0,SUMPRODUCT(('TY Sales Target'!$K$2:$AO$2=$C$4)*1,INDEX('TY Sales Target'!$K$5:$AO$300,'Sales Dashboard'!BG25,0)))</f>
        <v>10790.51165472974</v>
      </c>
      <c r="AG26" s="281" cm="1">
        <f t="array" ref="AG26">IF(AB26="",0,SUMPRODUCT((TRIM('LY Sales '!$B$5:$B$200)=AB26)*('LY Sales '!$C$2:$AG$2=EDATE($C$4,-12)),'LY Sales '!$C$5:$AG$200))</f>
        <v>0</v>
      </c>
      <c r="AH26" s="271">
        <f t="shared" si="0"/>
        <v>1</v>
      </c>
      <c r="AI26" s="271">
        <f t="shared" si="1"/>
        <v>0</v>
      </c>
      <c r="AJ26" s="271">
        <f t="shared" si="2"/>
        <v>0</v>
      </c>
      <c r="AK26" s="271">
        <f t="shared" si="3"/>
        <v>0</v>
      </c>
      <c r="AL26" s="271">
        <f t="shared" si="4"/>
        <v>1</v>
      </c>
      <c r="AM26" s="306" cm="1">
        <f t="array" ref="AM26">IF(OR(AB26="",NOT(ISNUMBER('Sales Dashboard'!BF25))),0,SUMPRODUCT((IFERROR(--'Sales and count'!$G$2:$CC$2,0)=$F$4)*('Sales and count'!$G$3:$CC$3="Total"),INDEX('Sales and count'!$G$4:$CC$300,'Sales Dashboard'!BF25,0)))</f>
        <v>4935.1899999999996</v>
      </c>
      <c r="AN26" s="306" cm="1">
        <f t="array" ref="AN26">IF(OR(AB26="",NOT(ISNUMBER('Sales Dashboard'!BG25))),0,SUMPRODUCT(('TY Sales Target'!$K$2:$AO$2=$F$4)*1,INDEX('TY Sales Target'!$K$5:$AO$300,'Sales Dashboard'!BG25,0)))</f>
        <v>7491.9852911889448</v>
      </c>
      <c r="AO26" s="306" cm="1">
        <f t="array" ref="AO26">IF(AB26="",0,SUMPRODUCT((TRIM('LY Sales '!$B$5:$B$200)=AB26)*('LY Sales '!$C$2:$AG$2=EDATE($F$4,-12)),'LY Sales '!$C$5:$AG$200))</f>
        <v>0</v>
      </c>
      <c r="AP26">
        <f t="shared" si="5"/>
        <v>1</v>
      </c>
      <c r="AQ26">
        <f t="shared" si="6"/>
        <v>0</v>
      </c>
      <c r="AR26">
        <f t="shared" si="7"/>
        <v>0</v>
      </c>
      <c r="AS26">
        <f t="shared" si="8"/>
        <v>0</v>
      </c>
      <c r="AU26" s="132">
        <v>46316</v>
      </c>
    </row>
    <row r="27" spans="1:47" x14ac:dyDescent="0.25">
      <c r="A27" s="271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 t="str">
        <f>IF('Sales Dashboard'!AW26="","",'Sales Dashboard'!AW26)</f>
        <v>JEDDPARK</v>
      </c>
      <c r="AC27" s="271" t="str">
        <f>IF(AB27="","",'Sales Dashboard'!AN26)</f>
        <v>Ahlam Al Zahrani</v>
      </c>
      <c r="AD27" s="271" t="str">
        <f>IF(AB27="","",'Sales Dashboard'!AO26)</f>
        <v>Jeddah</v>
      </c>
      <c r="AE27" s="281" cm="1">
        <f t="array" ref="AE27">IF(OR(AB27="",NOT(ISNUMBER('Sales Dashboard'!BF26))),0,SUMPRODUCT((IFERROR(--'Sales and count'!$G$2:$CC$2,0)=$C$4)*('Sales and count'!$G$3:$CC$3="Total"),INDEX('Sales and count'!$G$4:$CC$300,'Sales Dashboard'!BF26,0)))</f>
        <v>12596.23</v>
      </c>
      <c r="AF27" s="281" cm="1">
        <f t="array" ref="AF27">IF(OR(AB27="",NOT(ISNUMBER('Sales Dashboard'!BG26))),0,SUMPRODUCT(('TY Sales Target'!$K$2:$AO$2=$C$4)*1,INDEX('TY Sales Target'!$K$5:$AO$300,'Sales Dashboard'!BG26,0)))</f>
        <v>17730.887695565303</v>
      </c>
      <c r="AG27" s="281" cm="1">
        <f t="array" ref="AG27">IF(AB27="",0,SUMPRODUCT((TRIM('LY Sales '!$B$5:$B$200)=AB27)*('LY Sales '!$C$2:$AG$2=EDATE($C$4,-12)),'LY Sales '!$C$5:$AG$200))</f>
        <v>16968.580000000002</v>
      </c>
      <c r="AH27" s="271">
        <f t="shared" si="0"/>
        <v>1</v>
      </c>
      <c r="AI27" s="271">
        <f t="shared" si="1"/>
        <v>0</v>
      </c>
      <c r="AJ27" s="271">
        <f t="shared" si="2"/>
        <v>1</v>
      </c>
      <c r="AK27" s="271">
        <f t="shared" si="3"/>
        <v>0</v>
      </c>
      <c r="AL27" s="271">
        <f t="shared" si="4"/>
        <v>1</v>
      </c>
      <c r="AM27" s="306" cm="1">
        <f t="array" ref="AM27">IF(OR(AB27="",NOT(ISNUMBER('Sales Dashboard'!BF26))),0,SUMPRODUCT((IFERROR(--'Sales and count'!$G$2:$CC$2,0)=$F$4)*('Sales and count'!$G$3:$CC$3="Total"),INDEX('Sales and count'!$G$4:$CC$300,'Sales Dashboard'!BF26,0)))</f>
        <v>7018.33</v>
      </c>
      <c r="AN27" s="306" cm="1">
        <f t="array" ref="AN27">IF(OR(AB27="",NOT(ISNUMBER('Sales Dashboard'!BG26))),0,SUMPRODUCT(('TY Sales Target'!$K$2:$AO$2=$F$4)*1,INDEX('TY Sales Target'!$K$5:$AO$300,'Sales Dashboard'!BG26,0)))</f>
        <v>12310.77395265789</v>
      </c>
      <c r="AO27" s="306" cm="1">
        <f t="array" ref="AO27">IF(AB27="",0,SUMPRODUCT((TRIM('LY Sales '!$B$5:$B$200)=AB27)*('LY Sales '!$C$2:$AG$2=EDATE($F$4,-12)),'LY Sales '!$C$5:$AG$200))</f>
        <v>8282.2099999999991</v>
      </c>
      <c r="AP27">
        <f t="shared" si="5"/>
        <v>1</v>
      </c>
      <c r="AQ27">
        <f t="shared" si="6"/>
        <v>0</v>
      </c>
      <c r="AR27">
        <f t="shared" si="7"/>
        <v>1</v>
      </c>
      <c r="AS27">
        <f t="shared" si="8"/>
        <v>0</v>
      </c>
      <c r="AU27" s="132">
        <v>46317</v>
      </c>
    </row>
    <row r="28" spans="1:47" ht="15.75" x14ac:dyDescent="0.25">
      <c r="A28" s="280" t="s">
        <v>197</v>
      </c>
      <c r="B28" s="271"/>
      <c r="C28" s="271"/>
      <c r="D28" s="271"/>
      <c r="E28" s="308" t="str">
        <f>"REPORT DATE: "&amp;TEXT($C$4,"ddd dd mmm yyyy")</f>
        <v>REPORT DATE: Thu 01 Oct 2026</v>
      </c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309" t="str">
        <f>"COMPARE DATE: "&amp;TEXT($F$4,"ddd dd mmm yyyy")</f>
        <v>COMPARE DATE: Mon 26 Oct 2026</v>
      </c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 t="str">
        <f>IF('Sales Dashboard'!AW27="","",'Sales Dashboard'!AW27)</f>
        <v>HAAJAWED</v>
      </c>
      <c r="AC28" s="271" t="str">
        <f>IF(AB28="","",'Sales Dashboard'!AN27)</f>
        <v>Ahlam Al Zahrani</v>
      </c>
      <c r="AD28" s="271" t="str">
        <f>IF(AB28="","",'Sales Dashboard'!AO27)</f>
        <v>Jeddah</v>
      </c>
      <c r="AE28" s="281" cm="1">
        <f t="array" ref="AE28">IF(OR(AB28="",NOT(ISNUMBER('Sales Dashboard'!BF27))),0,SUMPRODUCT((IFERROR(--'Sales and count'!$G$2:$CC$2,0)=$C$4)*('Sales and count'!$G$3:$CC$3="Total"),INDEX('Sales and count'!$G$4:$CC$300,'Sales Dashboard'!BF27,0)))</f>
        <v>9777.2000000000007</v>
      </c>
      <c r="AF28" s="281" cm="1">
        <f t="array" ref="AF28">IF(OR(AB28="",NOT(ISNUMBER('Sales Dashboard'!BG27))),0,SUMPRODUCT(('TY Sales Target'!$K$2:$AO$2=$C$4)*1,INDEX('TY Sales Target'!$K$5:$AO$300,'Sales Dashboard'!BG27,0)))</f>
        <v>11398.42780429198</v>
      </c>
      <c r="AG28" s="281" cm="1">
        <f t="array" ref="AG28">IF(AB28="",0,SUMPRODUCT((TRIM('LY Sales '!$B$5:$B$200)=AB28)*('LY Sales '!$C$2:$AG$2=EDATE($C$4,-12)),'LY Sales '!$C$5:$AG$200))</f>
        <v>0</v>
      </c>
      <c r="AH28" s="271">
        <f t="shared" si="0"/>
        <v>1</v>
      </c>
      <c r="AI28" s="271">
        <f t="shared" si="1"/>
        <v>1</v>
      </c>
      <c r="AJ28" s="271">
        <f t="shared" si="2"/>
        <v>0</v>
      </c>
      <c r="AK28" s="271">
        <f t="shared" si="3"/>
        <v>0</v>
      </c>
      <c r="AL28" s="271">
        <f t="shared" si="4"/>
        <v>1</v>
      </c>
      <c r="AM28" s="306" cm="1">
        <f t="array" ref="AM28">IF(OR(AB28="",NOT(ISNUMBER('Sales Dashboard'!BF27))),0,SUMPRODUCT((IFERROR(--'Sales and count'!$G$2:$CC$2,0)=$F$4)*('Sales and count'!$G$3:$CC$3="Total"),INDEX('Sales and count'!$G$4:$CC$300,'Sales Dashboard'!BF27,0)))</f>
        <v>3950.31</v>
      </c>
      <c r="AN28" s="306" cm="1">
        <f t="array" ref="AN28">IF(OR(AB28="",NOT(ISNUMBER('Sales Dashboard'!BG27))),0,SUMPRODUCT(('TY Sales Target'!$K$2:$AO$2=$F$4)*1,INDEX('TY Sales Target'!$K$5:$AO$300,'Sales Dashboard'!BG27,0)))</f>
        <v>7914.0689695657866</v>
      </c>
      <c r="AO28" s="306" cm="1">
        <f t="array" ref="AO28">IF(AB28="",0,SUMPRODUCT((TRIM('LY Sales '!$B$5:$B$200)=AB28)*('LY Sales '!$C$2:$AG$2=EDATE($F$4,-12)),'LY Sales '!$C$5:$AG$200))</f>
        <v>0</v>
      </c>
      <c r="AP28">
        <f t="shared" si="5"/>
        <v>1</v>
      </c>
      <c r="AQ28">
        <f t="shared" si="6"/>
        <v>0</v>
      </c>
      <c r="AR28">
        <f t="shared" si="7"/>
        <v>0</v>
      </c>
      <c r="AS28">
        <f t="shared" si="8"/>
        <v>0</v>
      </c>
      <c r="AU28" s="132">
        <v>46318</v>
      </c>
    </row>
    <row r="29" spans="1:47" ht="42" customHeight="1" x14ac:dyDescent="0.25">
      <c r="A29" s="279" t="s">
        <v>135</v>
      </c>
      <c r="B29" s="278" t="s">
        <v>1346</v>
      </c>
      <c r="C29" s="278" t="str">
        <f>"Sales "&amp;TEXT($C$4,"dd mmm")</f>
        <v>Sales 01 Oct</v>
      </c>
      <c r="D29" s="278" t="str">
        <f>"Target "&amp;TEXT($C$4,"dd mmm")</f>
        <v>Target 01 Oct</v>
      </c>
      <c r="E29" s="278" t="s">
        <v>1347</v>
      </c>
      <c r="F29" s="278" t="str">
        <f>"Achieved Target? (≥"&amp;TEXT($L$4,"0%")&amp;")"</f>
        <v>Achieved Target? (≥80%)</v>
      </c>
      <c r="G29" s="278" t="s">
        <v>1348</v>
      </c>
      <c r="H29" s="278" t="s">
        <v>1349</v>
      </c>
      <c r="I29" s="278" t="s">
        <v>1350</v>
      </c>
      <c r="J29" s="278" t="s">
        <v>1351</v>
      </c>
      <c r="K29" s="278" t="s">
        <v>192</v>
      </c>
      <c r="L29" s="278" t="s">
        <v>1352</v>
      </c>
      <c r="M29" s="278" t="s">
        <v>1353</v>
      </c>
      <c r="N29" s="278" t="str">
        <f>"Beat LY? (≥"&amp;TEXT($O$4,"0%")&amp;")"</f>
        <v>Beat LY? (≥100%)</v>
      </c>
      <c r="O29" s="278" t="s">
        <v>1354</v>
      </c>
      <c r="P29" s="278" t="s">
        <v>1355</v>
      </c>
      <c r="Q29" s="307" t="str">
        <f>"Sales "&amp;TEXT($F$4,"dd mmm")</f>
        <v>Sales 26 Oct</v>
      </c>
      <c r="R29" s="307" t="str">
        <f>"Sales Change % vs "&amp;TEXT($F$4,"dd mmm")</f>
        <v>Sales Change % vs 26 Oct</v>
      </c>
      <c r="S29" s="307" t="str">
        <f>"Ach % "&amp;TEXT($F$4,"dd mmm")</f>
        <v>Ach % 26 Oct</v>
      </c>
      <c r="T29" s="307" t="str">
        <f>"Ach % Change (pts)"</f>
        <v>Ach % Change (pts)</v>
      </c>
      <c r="U29" s="307" t="str">
        <f>"Achieved Target? "&amp;TEXT($F$4,"dd mmm")</f>
        <v>Achieved Target? 26 Oct</v>
      </c>
      <c r="V29" s="307" t="str">
        <f>"Stores Achieved "&amp;TEXT($F$4,"dd mmm")</f>
        <v>Stores Achieved 26 Oct</v>
      </c>
      <c r="W29" s="307" t="str">
        <f>"LFL Growth % "&amp;TEXT($F$4,"dd mmm")</f>
        <v>LFL Growth % 26 Oct</v>
      </c>
      <c r="X29" s="307" t="str">
        <f>"Stores Beat LY "&amp;TEXT($F$4,"dd mmm")</f>
        <v>Stores Beat LY 26 Oct</v>
      </c>
      <c r="Y29" s="271"/>
      <c r="Z29" s="271"/>
      <c r="AA29" s="271"/>
      <c r="AB29" s="271" t="str">
        <f>IF('Sales Dashboard'!AW28="","",'Sales Dashboard'!AW28)</f>
        <v>HAOTHDMM</v>
      </c>
      <c r="AC29" s="271" t="str">
        <f>IF(AB29="","",'Sales Dashboard'!AN28)</f>
        <v>Hamzah Al Makhadam</v>
      </c>
      <c r="AD29" s="271" t="str">
        <f>IF(AB29="","",'Sales Dashboard'!AO28)</f>
        <v>Dammam</v>
      </c>
      <c r="AE29" s="281" cm="1">
        <f t="array" ref="AE29">IF(OR(AB29="",NOT(ISNUMBER('Sales Dashboard'!BF28))),0,SUMPRODUCT((IFERROR(--'Sales and count'!$G$2:$CC$2,0)=$C$4)*('Sales and count'!$G$3:$CC$3="Total"),INDEX('Sales and count'!$G$4:$CC$300,'Sales Dashboard'!BF28,0)))</f>
        <v>9227.11</v>
      </c>
      <c r="AF29" s="281" cm="1">
        <f t="array" ref="AF29">IF(OR(AB29="",NOT(ISNUMBER('Sales Dashboard'!BG28))),0,SUMPRODUCT(('TY Sales Target'!$K$2:$AO$2=$C$4)*1,INDEX('TY Sales Target'!$K$5:$AO$300,'Sales Dashboard'!BG28,0)))</f>
        <v>11499.747162552352</v>
      </c>
      <c r="AG29" s="281" cm="1">
        <f t="array" ref="AG29">IF(AB29="",0,SUMPRODUCT((TRIM('LY Sales '!$B$5:$B$200)=AB29)*('LY Sales '!$C$2:$AG$2=EDATE($C$4,-12)),'LY Sales '!$C$5:$AG$200))</f>
        <v>8583.19</v>
      </c>
      <c r="AH29" s="271">
        <f t="shared" si="0"/>
        <v>1</v>
      </c>
      <c r="AI29" s="271">
        <f t="shared" si="1"/>
        <v>1</v>
      </c>
      <c r="AJ29" s="271">
        <f t="shared" si="2"/>
        <v>1</v>
      </c>
      <c r="AK29" s="271">
        <f t="shared" si="3"/>
        <v>1</v>
      </c>
      <c r="AL29" s="271">
        <f t="shared" si="4"/>
        <v>1</v>
      </c>
      <c r="AM29" s="306" cm="1">
        <f t="array" ref="AM29">IF(OR(AB29="",NOT(ISNUMBER('Sales Dashboard'!BF28))),0,SUMPRODUCT((IFERROR(--'Sales and count'!$G$2:$CC$2,0)=$F$4)*('Sales and count'!$G$3:$CC$3="Total"),INDEX('Sales and count'!$G$4:$CC$300,'Sales Dashboard'!BF28,0)))</f>
        <v>3848.18</v>
      </c>
      <c r="AN29" s="306" cm="1">
        <f t="array" ref="AN29">IF(OR(AB29="",NOT(ISNUMBER('Sales Dashboard'!BG28))),0,SUMPRODUCT(('TY Sales Target'!$K$2:$AO$2=$F$4)*1,INDEX('TY Sales Target'!$K$5:$AO$300,'Sales Dashboard'!BG28,0)))</f>
        <v>7984.4162492952601</v>
      </c>
      <c r="AO29" s="306" cm="1">
        <f t="array" ref="AO29">IF(AB29="",0,SUMPRODUCT((TRIM('LY Sales '!$B$5:$B$200)=AB29)*('LY Sales '!$C$2:$AG$2=EDATE($F$4,-12)),'LY Sales '!$C$5:$AG$200))</f>
        <v>3152.01</v>
      </c>
      <c r="AP29">
        <f t="shared" si="5"/>
        <v>1</v>
      </c>
      <c r="AQ29">
        <f t="shared" si="6"/>
        <v>0</v>
      </c>
      <c r="AR29">
        <f t="shared" si="7"/>
        <v>1</v>
      </c>
      <c r="AS29">
        <f t="shared" si="8"/>
        <v>1</v>
      </c>
      <c r="AU29" s="132">
        <v>46319</v>
      </c>
    </row>
    <row r="30" spans="1:47" x14ac:dyDescent="0.25">
      <c r="A30" s="282" t="str" cm="1">
        <f t="array" ref="A30">IFERROR(INDEX(_xlfn._xlws.SORT(_xlfn.UNIQUE(_xlfn._xlws.FILTER($AD$7:$AD$303,$AD$7:$AD$303&lt;&gt;""))),ROWS($A$30:A30)),"")</f>
        <v>Abha</v>
      </c>
      <c r="B30" s="283">
        <f>IF($A30="","",COUNTIFS($AD$7:$AD$303,$A30))</f>
        <v>4</v>
      </c>
      <c r="C30" s="284">
        <f>IF($A30="","",SUMIFS($AE$7:$AE$303,$AD$7:$AD$303,$A30))</f>
        <v>34158.69</v>
      </c>
      <c r="D30" s="284">
        <f>IF($A30="","",SUMIFS($AF$7:$AF$303,$AD$7:$AD$303,$A30))</f>
        <v>59778.421373620164</v>
      </c>
      <c r="E30" s="292">
        <f>IF(OR($A30="",N(D30)=0),"",C30/D30)</f>
        <v>0.57142174743132335</v>
      </c>
      <c r="F30" s="293" t="str">
        <f>IF(OR($A30="",N(D30)=0),"",IF(C30&gt;=D30*$L$4,"✔ Yes","✘ No"))</f>
        <v>✘ No</v>
      </c>
      <c r="G30" s="293">
        <f>IF($A30="","",COUNTIFS($AD$7:$AD$303,$A30,$AH$7:$AH$303,1))</f>
        <v>4</v>
      </c>
      <c r="H30" s="293">
        <f>IF($A30="","",COUNTIFS($AD$7:$AD$303,$A30,$AI$7:$AI$303,1))</f>
        <v>0</v>
      </c>
      <c r="I30" s="293" t="str">
        <f>IF($A30="","",H30&amp;" of "&amp;G30)</f>
        <v>0 of 4</v>
      </c>
      <c r="J30" s="283">
        <f>IF($A30="","",COUNTIFS($AD$7:$AD$303,$A30,$AJ$7:$AJ$303,1))</f>
        <v>2</v>
      </c>
      <c r="K30" s="284">
        <f>IF($A30="","",SUMIFS($AE$7:$AE$303,$AD$7:$AD$303,$A30,$AJ$7:$AJ$303,1))</f>
        <v>16692.34</v>
      </c>
      <c r="L30" s="284">
        <f>IF($A30="","",SUMIFS($AG$7:$AG$303,$AD$7:$AD$303,$A30,$AJ$7:$AJ$303,1))</f>
        <v>33529.919999999998</v>
      </c>
      <c r="M30" s="296">
        <f>IF(OR($A30="",N(L30)=0),"",K30/L30-1)</f>
        <v>-0.50216582681974775</v>
      </c>
      <c r="N30" s="297" t="str">
        <f>IF(OR($A30="",N(L30)=0),"",IF(K30&gt;=L30*$O$4,"✔ Yes","✘ No"))</f>
        <v>✘ No</v>
      </c>
      <c r="O30" s="297">
        <f>IF($A30="","",COUNTIFS($AD$7:$AD$303,$A30,$AK$7:$AK$303,1))</f>
        <v>0</v>
      </c>
      <c r="P30" s="297" t="str">
        <f>IF($A30="","",O30&amp;" of "&amp;J30)</f>
        <v>0 of 2</v>
      </c>
      <c r="Q30" s="318">
        <f>IF($A30="","",SUMIFS($AM$7:$AM$303,$AD$7:$AD$303,$A30))</f>
        <v>11294.73</v>
      </c>
      <c r="R30" s="311">
        <f>IF(OR($A30="",N(Q30)=0),"",C30/Q30-1)</f>
        <v>2.024303369801669</v>
      </c>
      <c r="S30" s="311">
        <f>IF($A30="","",IFERROR(Q30/SUMIFS($AN$7:$AN$303,$AD$7:$AD$303,$A30),""))</f>
        <v>0.27213007017627228</v>
      </c>
      <c r="T30" s="312">
        <f>IF(OR(E30="",S30=""),"",(E30-S30)*100)</f>
        <v>29.929167725505106</v>
      </c>
      <c r="U30" s="313" t="str">
        <f>IF(S30="","",IF(S30&gt;=$L$4,"✔ Yes","✘ No"))</f>
        <v>✘ No</v>
      </c>
      <c r="V30" s="313" t="str">
        <f>IF($A30="","",COUNTIFS($AD$7:$AD$303,$A30,$AQ$7:$AQ$303,1)&amp;" of "&amp;COUNTIFS($AD$7:$AD$303,$A30,$AP$7:$AP$303,1))</f>
        <v>0 of 4</v>
      </c>
      <c r="W30" s="311">
        <f>IF($A30="","",IFERROR(SUMIFS($AM$7:$AM$303,$AD$7:$AD$303,$A30,$AR$7:$AR$303,1)/SUMIFS($AO$7:$AO$303,$AD$7:$AD$303,$A30,$AR$7:$AR$303,1)-1,""))</f>
        <v>-0.53852703304123639</v>
      </c>
      <c r="X30" s="313" t="str">
        <f>IF($A30="","",COUNTIFS($AD$7:$AD$303,$A30,$AS$7:$AS$303,1)&amp;" of "&amp;COUNTIFS($AD$7:$AD$303,$A30,$AR$7:$AR$303,1))</f>
        <v>0 of 2</v>
      </c>
      <c r="Y30" s="271"/>
      <c r="Z30" s="271"/>
      <c r="AA30" s="271"/>
      <c r="AB30" s="271" t="str">
        <f>IF('Sales Dashboard'!AW29="","",'Sales Dashboard'!AW29)</f>
        <v>MEDAD</v>
      </c>
      <c r="AC30" s="271" t="str">
        <f>IF(AB30="","",'Sales Dashboard'!AN29)</f>
        <v>Mohammed Sanad</v>
      </c>
      <c r="AD30" s="271" t="str">
        <f>IF(AB30="","",'Sales Dashboard'!AO29)</f>
        <v>Riyadh</v>
      </c>
      <c r="AE30" s="281" cm="1">
        <f t="array" ref="AE30">IF(OR(AB30="",NOT(ISNUMBER('Sales Dashboard'!BF29))),0,SUMPRODUCT((IFERROR(--'Sales and count'!$G$2:$CC$2,0)=$C$4)*('Sales and count'!$G$3:$CC$3="Total"),INDEX('Sales and count'!$G$4:$CC$300,'Sales Dashboard'!BF29,0)))</f>
        <v>14808.41</v>
      </c>
      <c r="AF30" s="281" cm="1">
        <f t="array" ref="AF30">IF(OR(AB30="",NOT(ISNUMBER('Sales Dashboard'!BG29))),0,SUMPRODUCT(('TY Sales Target'!$K$2:$AO$2=$C$4)*1,INDEX('TY Sales Target'!$K$5:$AO$300,'Sales Dashboard'!BG29,0)))</f>
        <v>24114.007265968808</v>
      </c>
      <c r="AG30" s="281" cm="1">
        <f t="array" ref="AG30">IF(AB30="",0,SUMPRODUCT((TRIM('LY Sales '!$B$5:$B$200)=AB30)*('LY Sales '!$C$2:$AG$2=EDATE($C$4,-12)),'LY Sales '!$C$5:$AG$200))</f>
        <v>18012.52</v>
      </c>
      <c r="AH30" s="271">
        <f t="shared" si="0"/>
        <v>1</v>
      </c>
      <c r="AI30" s="271">
        <f t="shared" si="1"/>
        <v>0</v>
      </c>
      <c r="AJ30" s="271">
        <f t="shared" si="2"/>
        <v>1</v>
      </c>
      <c r="AK30" s="271">
        <f t="shared" si="3"/>
        <v>0</v>
      </c>
      <c r="AL30" s="271">
        <f t="shared" si="4"/>
        <v>1</v>
      </c>
      <c r="AM30" s="306" cm="1">
        <f t="array" ref="AM30">IF(OR(AB30="",NOT(ISNUMBER('Sales Dashboard'!BF29))),0,SUMPRODUCT((IFERROR(--'Sales and count'!$G$2:$CC$2,0)=$F$4)*('Sales and count'!$G$3:$CC$3="Total"),INDEX('Sales and count'!$G$4:$CC$300,'Sales Dashboard'!BF29,0)))</f>
        <v>10804.63</v>
      </c>
      <c r="AN30" s="306" cm="1">
        <f t="array" ref="AN30">IF(OR(AB30="",NOT(ISNUMBER('Sales Dashboard'!BG29))),0,SUMPRODUCT(('TY Sales Target'!$K$2:$AO$2=$F$4)*1,INDEX('TY Sales Target'!$K$5:$AO$300,'Sales Dashboard'!BG29,0)))</f>
        <v>16742.652575614731</v>
      </c>
      <c r="AO30" s="306" cm="1">
        <f t="array" ref="AO30">IF(AB30="",0,SUMPRODUCT((TRIM('LY Sales '!$B$5:$B$200)=AB30)*('LY Sales '!$C$2:$AG$2=EDATE($F$4,-12)),'LY Sales '!$C$5:$AG$200))</f>
        <v>15030.35</v>
      </c>
      <c r="AP30">
        <f t="shared" si="5"/>
        <v>1</v>
      </c>
      <c r="AQ30">
        <f t="shared" si="6"/>
        <v>0</v>
      </c>
      <c r="AR30">
        <f t="shared" si="7"/>
        <v>1</v>
      </c>
      <c r="AS30">
        <f t="shared" si="8"/>
        <v>0</v>
      </c>
      <c r="AU30" s="132">
        <v>46320</v>
      </c>
    </row>
    <row r="31" spans="1:47" x14ac:dyDescent="0.25">
      <c r="A31" s="285" t="str" cm="1">
        <f t="array" ref="A31">IFERROR(INDEX(_xlfn._xlws.SORT(_xlfn.UNIQUE(_xlfn._xlws.FILTER($AD$7:$AD$303,$AD$7:$AD$303&lt;&gt;""))),ROWS($A$30:A31)),"")</f>
        <v>Abo Areash</v>
      </c>
      <c r="B31" s="286">
        <f t="shared" ref="B31:B69" si="32">IF($A31="","",COUNTIFS($AD$7:$AD$303,$A31))</f>
        <v>1</v>
      </c>
      <c r="C31" s="287">
        <f t="shared" ref="C31:C69" si="33">IF($A31="","",SUMIFS($AE$7:$AE$303,$AD$7:$AD$303,$A31))</f>
        <v>0</v>
      </c>
      <c r="D31" s="287">
        <f t="shared" ref="D31:D69" si="34">IF($A31="","",SUMIFS($AF$7:$AF$303,$AD$7:$AD$303,$A31))</f>
        <v>2532.9839565093289</v>
      </c>
      <c r="E31" s="294">
        <f t="shared" ref="E31:E69" si="35">IF(OR($A31="",N(D31)=0),"",C31/D31)</f>
        <v>0</v>
      </c>
      <c r="F31" s="295" t="str">
        <f t="shared" ref="F31:F69" si="36">IF(OR($A31="",N(D31)=0),"",IF(C31&gt;=D31*$L$4,"✔ Yes","✘ No"))</f>
        <v>✘ No</v>
      </c>
      <c r="G31" s="295">
        <f t="shared" ref="G31:G69" si="37">IF($A31="","",COUNTIFS($AD$7:$AD$303,$A31,$AH$7:$AH$303,1))</f>
        <v>1</v>
      </c>
      <c r="H31" s="295">
        <f t="shared" ref="H31:H69" si="38">IF($A31="","",COUNTIFS($AD$7:$AD$303,$A31,$AI$7:$AI$303,1))</f>
        <v>0</v>
      </c>
      <c r="I31" s="295" t="str">
        <f t="shared" ref="I31:I69" si="39">IF($A31="","",H31&amp;" of "&amp;G31)</f>
        <v>0 of 1</v>
      </c>
      <c r="J31" s="286">
        <f t="shared" ref="J31:J69" si="40">IF($A31="","",COUNTIFS($AD$7:$AD$303,$A31,$AJ$7:$AJ$303,1))</f>
        <v>0</v>
      </c>
      <c r="K31" s="287">
        <f t="shared" ref="K31:K69" si="41">IF($A31="","",SUMIFS($AE$7:$AE$303,$AD$7:$AD$303,$A31,$AJ$7:$AJ$303,1))</f>
        <v>0</v>
      </c>
      <c r="L31" s="287">
        <f t="shared" ref="L31:L69" si="42">IF($A31="","",SUMIFS($AG$7:$AG$303,$AD$7:$AD$303,$A31,$AJ$7:$AJ$303,1))</f>
        <v>0</v>
      </c>
      <c r="M31" s="298" t="str">
        <f t="shared" ref="M31:M69" si="43">IF(OR($A31="",N(L31)=0),"",K31/L31-1)</f>
        <v/>
      </c>
      <c r="N31" s="299" t="str">
        <f t="shared" ref="N31:N69" si="44">IF(OR($A31="",N(L31)=0),"",IF(K31&gt;=L31*$O$4,"✔ Yes","✘ No"))</f>
        <v/>
      </c>
      <c r="O31" s="299">
        <f t="shared" ref="O31:O69" si="45">IF($A31="","",COUNTIFS($AD$7:$AD$303,$A31,$AK$7:$AK$303,1))</f>
        <v>0</v>
      </c>
      <c r="P31" s="299" t="str">
        <f t="shared" ref="P31:P69" si="46">IF($A31="","",O31&amp;" of "&amp;J31)</f>
        <v>0 of 0</v>
      </c>
      <c r="Q31" s="319">
        <f t="shared" ref="Q31:Q69" si="47">IF($A31="","",SUMIFS($AM$7:$AM$303,$AD$7:$AD$303,$A31))</f>
        <v>0</v>
      </c>
      <c r="R31" s="314" t="str">
        <f t="shared" ref="R31:R69" si="48">IF(OR($A31="",N(Q31)=0),"",C31/Q31-1)</f>
        <v/>
      </c>
      <c r="S31" s="314">
        <f t="shared" ref="S31:S69" si="49">IF($A31="","",IFERROR(Q31/SUMIFS($AN$7:$AN$303,$AD$7:$AD$303,$A31),""))</f>
        <v>0</v>
      </c>
      <c r="T31" s="315">
        <f t="shared" ref="T31:T69" si="50">IF(OR(E31="",S31=""),"",(E31-S31)*100)</f>
        <v>0</v>
      </c>
      <c r="U31" s="316" t="str">
        <f t="shared" ref="U31:U69" si="51">IF(S31="","",IF(S31&gt;=$L$4,"✔ Yes","✘ No"))</f>
        <v>✘ No</v>
      </c>
      <c r="V31" s="316" t="str">
        <f t="shared" ref="V31:V69" si="52">IF($A31="","",COUNTIFS($AD$7:$AD$303,$A31,$AQ$7:$AQ$303,1)&amp;" of "&amp;COUNTIFS($AD$7:$AD$303,$A31,$AP$7:$AP$303,1))</f>
        <v>0 of 1</v>
      </c>
      <c r="W31" s="314" t="str">
        <f t="shared" ref="W31:W69" si="53">IF($A31="","",IFERROR(SUMIFS($AM$7:$AM$303,$AD$7:$AD$303,$A31,$AR$7:$AR$303,1)/SUMIFS($AO$7:$AO$303,$AD$7:$AD$303,$A31,$AR$7:$AR$303,1)-1,""))</f>
        <v/>
      </c>
      <c r="X31" s="316" t="str">
        <f t="shared" ref="X31:X69" si="54">IF($A31="","",COUNTIFS($AD$7:$AD$303,$A31,$AS$7:$AS$303,1)&amp;" of "&amp;COUNTIFS($AD$7:$AD$303,$A31,$AR$7:$AR$303,1))</f>
        <v>0 of 0</v>
      </c>
      <c r="Y31" s="271"/>
      <c r="Z31" s="271"/>
      <c r="AA31" s="271"/>
      <c r="AB31" s="271" t="str">
        <f>IF('Sales Dashboard'!AW30="","",'Sales Dashboard'!AW30)</f>
        <v>JEDDHAIFA</v>
      </c>
      <c r="AC31" s="271" t="str">
        <f>IF(AB31="","",'Sales Dashboard'!AN30)</f>
        <v>Ahlam Al Zahrani</v>
      </c>
      <c r="AD31" s="271" t="str">
        <f>IF(AB31="","",'Sales Dashboard'!AO30)</f>
        <v>Jeddah</v>
      </c>
      <c r="AE31" s="281" cm="1">
        <f t="array" ref="AE31">IF(OR(AB31="",NOT(ISNUMBER('Sales Dashboard'!BF30))),0,SUMPRODUCT((IFERROR(--'Sales and count'!$G$2:$CC$2,0)=$C$4)*('Sales and count'!$G$3:$CC$3="Total"),INDEX('Sales and count'!$G$4:$CC$300,'Sales Dashboard'!BF30,0)))</f>
        <v>7133.11</v>
      </c>
      <c r="AF31" s="281" cm="1">
        <f t="array" ref="AF31">IF(OR(AB31="",NOT(ISNUMBER('Sales Dashboard'!BG30))),0,SUMPRODUCT(('TY Sales Target'!$K$2:$AO$2=$C$4)*1,INDEX('TY Sales Target'!$K$5:$AO$300,'Sales Dashboard'!BG30,0)))</f>
        <v>10891.831012990115</v>
      </c>
      <c r="AG31" s="281" cm="1">
        <f t="array" ref="AG31">IF(AB31="",0,SUMPRODUCT((TRIM('LY Sales '!$B$5:$B$200)=AB31)*('LY Sales '!$C$2:$AG$2=EDATE($C$4,-12)),'LY Sales '!$C$5:$AG$200))</f>
        <v>4675.1400000000003</v>
      </c>
      <c r="AH31" s="271">
        <f t="shared" si="0"/>
        <v>1</v>
      </c>
      <c r="AI31" s="271">
        <f t="shared" si="1"/>
        <v>0</v>
      </c>
      <c r="AJ31" s="271">
        <f t="shared" si="2"/>
        <v>1</v>
      </c>
      <c r="AK31" s="271">
        <f t="shared" si="3"/>
        <v>1</v>
      </c>
      <c r="AL31" s="271">
        <f t="shared" si="4"/>
        <v>1</v>
      </c>
      <c r="AM31" s="306" cm="1">
        <f t="array" ref="AM31">IF(OR(AB31="",NOT(ISNUMBER('Sales Dashboard'!BF30))),0,SUMPRODUCT((IFERROR(--'Sales and count'!$G$2:$CC$2,0)=$F$4)*('Sales and count'!$G$3:$CC$3="Total"),INDEX('Sales and count'!$G$4:$CC$300,'Sales Dashboard'!BF30,0)))</f>
        <v>4554.42</v>
      </c>
      <c r="AN31" s="306" cm="1">
        <f t="array" ref="AN31">IF(OR(AB31="",NOT(ISNUMBER('Sales Dashboard'!BG30))),0,SUMPRODUCT(('TY Sales Target'!$K$2:$AO$2=$F$4)*1,INDEX('TY Sales Target'!$K$5:$AO$300,'Sales Dashboard'!BG30,0)))</f>
        <v>7562.3325709184182</v>
      </c>
      <c r="AO31" s="306" cm="1">
        <f t="array" ref="AO31">IF(AB31="",0,SUMPRODUCT((TRIM('LY Sales '!$B$5:$B$200)=AB31)*('LY Sales '!$C$2:$AG$2=EDATE($F$4,-12)),'LY Sales '!$C$5:$AG$200))</f>
        <v>2147.06</v>
      </c>
      <c r="AP31">
        <f t="shared" si="5"/>
        <v>1</v>
      </c>
      <c r="AQ31">
        <f t="shared" si="6"/>
        <v>0</v>
      </c>
      <c r="AR31">
        <f t="shared" si="7"/>
        <v>1</v>
      </c>
      <c r="AS31">
        <f t="shared" si="8"/>
        <v>1</v>
      </c>
      <c r="AU31" s="132">
        <v>46321</v>
      </c>
    </row>
    <row r="32" spans="1:47" x14ac:dyDescent="0.25">
      <c r="A32" s="285" t="str" cm="1">
        <f t="array" ref="A32">IFERROR(INDEX(_xlfn._xlws.SORT(_xlfn.UNIQUE(_xlfn._xlws.FILTER($AD$7:$AD$303,$AD$7:$AD$303&lt;&gt;""))),ROWS($A$30:A32)),"")</f>
        <v>Abu Dhabi</v>
      </c>
      <c r="B32" s="286">
        <f t="shared" si="32"/>
        <v>1</v>
      </c>
      <c r="C32" s="287">
        <f t="shared" si="33"/>
        <v>151278.26</v>
      </c>
      <c r="D32" s="287">
        <f t="shared" si="34"/>
        <v>0</v>
      </c>
      <c r="E32" s="294" t="str">
        <f t="shared" si="35"/>
        <v/>
      </c>
      <c r="F32" s="295" t="str">
        <f t="shared" si="36"/>
        <v/>
      </c>
      <c r="G32" s="295">
        <f t="shared" si="37"/>
        <v>0</v>
      </c>
      <c r="H32" s="295">
        <f t="shared" si="38"/>
        <v>0</v>
      </c>
      <c r="I32" s="295" t="str">
        <f t="shared" si="39"/>
        <v>0 of 0</v>
      </c>
      <c r="J32" s="286">
        <f t="shared" si="40"/>
        <v>0</v>
      </c>
      <c r="K32" s="287">
        <f t="shared" si="41"/>
        <v>0</v>
      </c>
      <c r="L32" s="287">
        <f t="shared" si="42"/>
        <v>0</v>
      </c>
      <c r="M32" s="298" t="str">
        <f t="shared" si="43"/>
        <v/>
      </c>
      <c r="N32" s="299" t="str">
        <f t="shared" si="44"/>
        <v/>
      </c>
      <c r="O32" s="299">
        <f t="shared" si="45"/>
        <v>0</v>
      </c>
      <c r="P32" s="299" t="str">
        <f t="shared" si="46"/>
        <v>0 of 0</v>
      </c>
      <c r="Q32" s="319">
        <f t="shared" si="47"/>
        <v>0</v>
      </c>
      <c r="R32" s="314" t="str">
        <f t="shared" si="48"/>
        <v/>
      </c>
      <c r="S32" s="314" t="str">
        <f t="shared" si="49"/>
        <v/>
      </c>
      <c r="T32" s="315" t="str">
        <f t="shared" si="50"/>
        <v/>
      </c>
      <c r="U32" s="316" t="str">
        <f t="shared" si="51"/>
        <v/>
      </c>
      <c r="V32" s="316" t="str">
        <f t="shared" si="52"/>
        <v>0 of 0</v>
      </c>
      <c r="W32" s="314" t="str">
        <f t="shared" si="53"/>
        <v/>
      </c>
      <c r="X32" s="316" t="str">
        <f t="shared" si="54"/>
        <v>0 of 0</v>
      </c>
      <c r="Y32" s="271"/>
      <c r="Z32" s="271"/>
      <c r="AA32" s="271"/>
      <c r="AB32" s="271" t="str">
        <f>IF('Sales Dashboard'!AW31="","",'Sales Dashboard'!AW31)</f>
        <v>ANDLUSMALL</v>
      </c>
      <c r="AC32" s="271" t="str">
        <f>IF(AB32="","",'Sales Dashboard'!AN31)</f>
        <v>Ahlam Al Zahrani</v>
      </c>
      <c r="AD32" s="271" t="str">
        <f>IF(AB32="","",'Sales Dashboard'!AO31)</f>
        <v>Jeddah</v>
      </c>
      <c r="AE32" s="281" cm="1">
        <f t="array" ref="AE32">IF(OR(AB32="",NOT(ISNUMBER('Sales Dashboard'!BF31))),0,SUMPRODUCT((IFERROR(--'Sales and count'!$G$2:$CC$2,0)=$C$4)*('Sales and count'!$G$3:$CC$3="Total"),INDEX('Sales and count'!$G$4:$CC$300,'Sales Dashboard'!BF31,0)))</f>
        <v>13445.37</v>
      </c>
      <c r="AF32" s="281" cm="1">
        <f t="array" ref="AF32">IF(OR(AB32="",NOT(ISNUMBER('Sales Dashboard'!BG31))),0,SUMPRODUCT(('TY Sales Target'!$K$2:$AO$2=$C$4)*1,INDEX('TY Sales Target'!$K$5:$AO$300,'Sales Dashboard'!BG31,0)))</f>
        <v>22290.258817282094</v>
      </c>
      <c r="AG32" s="281" cm="1">
        <f t="array" ref="AG32">IF(AB32="",0,SUMPRODUCT((TRIM('LY Sales '!$B$5:$B$200)=AB32)*('LY Sales '!$C$2:$AG$2=EDATE($C$4,-12)),'LY Sales '!$C$5:$AG$200))</f>
        <v>14668.39</v>
      </c>
      <c r="AH32" s="271">
        <f t="shared" si="0"/>
        <v>1</v>
      </c>
      <c r="AI32" s="271">
        <f t="shared" si="1"/>
        <v>0</v>
      </c>
      <c r="AJ32" s="271">
        <f t="shared" si="2"/>
        <v>1</v>
      </c>
      <c r="AK32" s="271">
        <f t="shared" si="3"/>
        <v>0</v>
      </c>
      <c r="AL32" s="271">
        <f t="shared" si="4"/>
        <v>1</v>
      </c>
      <c r="AM32" s="306" cm="1">
        <f t="array" ref="AM32">IF(OR(AB32="",NOT(ISNUMBER('Sales Dashboard'!BF31))),0,SUMPRODUCT((IFERROR(--'Sales and count'!$G$2:$CC$2,0)=$F$4)*('Sales and count'!$G$3:$CC$3="Total"),INDEX('Sales and count'!$G$4:$CC$300,'Sales Dashboard'!BF31,0)))</f>
        <v>4021.15</v>
      </c>
      <c r="AN32" s="306" cm="1">
        <f t="array" ref="AN32">IF(OR(AB32="",NOT(ISNUMBER('Sales Dashboard'!BG31))),0,SUMPRODUCT(('TY Sales Target'!$K$2:$AO$2=$F$4)*1,INDEX('TY Sales Target'!$K$5:$AO$300,'Sales Dashboard'!BG31,0)))</f>
        <v>15476.401540484205</v>
      </c>
      <c r="AO32" s="306" cm="1">
        <f t="array" ref="AO32">IF(AB32="",0,SUMPRODUCT((TRIM('LY Sales '!$B$5:$B$200)=AB32)*('LY Sales '!$C$2:$AG$2=EDATE($F$4,-12)),'LY Sales '!$C$5:$AG$200))</f>
        <v>6797.11</v>
      </c>
      <c r="AP32">
        <f t="shared" si="5"/>
        <v>1</v>
      </c>
      <c r="AQ32">
        <f t="shared" si="6"/>
        <v>0</v>
      </c>
      <c r="AR32">
        <f t="shared" si="7"/>
        <v>1</v>
      </c>
      <c r="AS32">
        <f t="shared" si="8"/>
        <v>0</v>
      </c>
      <c r="AU32" s="132"/>
    </row>
    <row r="33" spans="1:47" x14ac:dyDescent="0.25">
      <c r="A33" s="285" t="str" cm="1">
        <f t="array" ref="A33">IFERROR(INDEX(_xlfn._xlws.SORT(_xlfn.UNIQUE(_xlfn._xlws.FILTER($AD$7:$AD$303,$AD$7:$AD$303&lt;&gt;""))),ROWS($A$30:A33)),"")</f>
        <v>Al Hasa</v>
      </c>
      <c r="B33" s="286">
        <f t="shared" si="32"/>
        <v>3</v>
      </c>
      <c r="C33" s="287">
        <f t="shared" si="33"/>
        <v>41964.79</v>
      </c>
      <c r="D33" s="287">
        <f t="shared" si="34"/>
        <v>47113.501591073516</v>
      </c>
      <c r="E33" s="294">
        <f t="shared" si="35"/>
        <v>0.89071685573782466</v>
      </c>
      <c r="F33" s="295" t="str">
        <f t="shared" si="36"/>
        <v>✔ Yes</v>
      </c>
      <c r="G33" s="295">
        <f t="shared" si="37"/>
        <v>3</v>
      </c>
      <c r="H33" s="295">
        <f t="shared" si="38"/>
        <v>2</v>
      </c>
      <c r="I33" s="295" t="str">
        <f t="shared" si="39"/>
        <v>2 of 3</v>
      </c>
      <c r="J33" s="286">
        <f t="shared" si="40"/>
        <v>3</v>
      </c>
      <c r="K33" s="287">
        <f t="shared" si="41"/>
        <v>41964.79</v>
      </c>
      <c r="L33" s="287">
        <f t="shared" si="42"/>
        <v>43574.340000000004</v>
      </c>
      <c r="M33" s="298">
        <f t="shared" si="43"/>
        <v>-3.693802361665155E-2</v>
      </c>
      <c r="N33" s="299" t="str">
        <f t="shared" si="44"/>
        <v>✘ No</v>
      </c>
      <c r="O33" s="299">
        <f t="shared" si="45"/>
        <v>2</v>
      </c>
      <c r="P33" s="299" t="str">
        <f t="shared" si="46"/>
        <v>2 of 3</v>
      </c>
      <c r="Q33" s="319">
        <f t="shared" si="47"/>
        <v>14179.830000000002</v>
      </c>
      <c r="R33" s="314">
        <f t="shared" si="48"/>
        <v>1.9594706001411861</v>
      </c>
      <c r="S33" s="314">
        <f t="shared" si="49"/>
        <v>0.43348169512430829</v>
      </c>
      <c r="T33" s="315">
        <f t="shared" si="50"/>
        <v>45.723516061351638</v>
      </c>
      <c r="U33" s="316" t="str">
        <f t="shared" si="51"/>
        <v>✘ No</v>
      </c>
      <c r="V33" s="316" t="str">
        <f t="shared" si="52"/>
        <v>0 of 3</v>
      </c>
      <c r="W33" s="314">
        <f t="shared" si="53"/>
        <v>-0.24488493942764999</v>
      </c>
      <c r="X33" s="316" t="str">
        <f t="shared" si="54"/>
        <v>1 of 3</v>
      </c>
      <c r="Y33" s="271"/>
      <c r="Z33" s="271"/>
      <c r="AA33" s="271"/>
      <c r="AB33" s="271" t="str">
        <f>IF('Sales Dashboard'!AW32="","",'Sales Dashboard'!AW32)</f>
        <v>HAJWALK</v>
      </c>
      <c r="AC33" s="271" t="str">
        <f>IF(AB33="","",'Sales Dashboard'!AN32)</f>
        <v>Mohammed Haidar</v>
      </c>
      <c r="AD33" s="271" t="str">
        <f>IF(AB33="","",'Sales Dashboard'!AO32)</f>
        <v>Madinah</v>
      </c>
      <c r="AE33" s="281" cm="1">
        <f t="array" ref="AE33">IF(OR(AB33="",NOT(ISNUMBER('Sales Dashboard'!BF32))),0,SUMPRODUCT((IFERROR(--'Sales and count'!$G$2:$CC$2,0)=$C$4)*('Sales and count'!$G$3:$CC$3="Total"),INDEX('Sales and count'!$G$4:$CC$300,'Sales Dashboard'!BF32,0)))</f>
        <v>7323.09</v>
      </c>
      <c r="AF33" s="281" cm="1">
        <f t="array" ref="AF33">IF(OR(AB33="",NOT(ISNUMBER('Sales Dashboard'!BG32))),0,SUMPRODUCT(('TY Sales Target'!$K$2:$AO$2=$C$4)*1,INDEX('TY Sales Target'!$K$5:$AO$300,'Sales Dashboard'!BG32,0)))</f>
        <v>11449.087483422167</v>
      </c>
      <c r="AG33" s="281" cm="1">
        <f t="array" ref="AG33">IF(AB33="",0,SUMPRODUCT((TRIM('LY Sales '!$B$5:$B$200)=AB33)*('LY Sales '!$C$2:$AG$2=EDATE($C$4,-12)),'LY Sales '!$C$5:$AG$200))</f>
        <v>12945.25</v>
      </c>
      <c r="AH33" s="271">
        <f t="shared" si="0"/>
        <v>1</v>
      </c>
      <c r="AI33" s="271">
        <f t="shared" si="1"/>
        <v>0</v>
      </c>
      <c r="AJ33" s="271">
        <f t="shared" si="2"/>
        <v>1</v>
      </c>
      <c r="AK33" s="271">
        <f t="shared" si="3"/>
        <v>0</v>
      </c>
      <c r="AL33" s="271">
        <f t="shared" si="4"/>
        <v>1</v>
      </c>
      <c r="AM33" s="306" cm="1">
        <f t="array" ref="AM33">IF(OR(AB33="",NOT(ISNUMBER('Sales Dashboard'!BF32))),0,SUMPRODUCT((IFERROR(--'Sales and count'!$G$2:$CC$2,0)=$F$4)*('Sales and count'!$G$3:$CC$3="Total"),INDEX('Sales and count'!$G$4:$CC$300,'Sales Dashboard'!BF32,0)))</f>
        <v>5093.37</v>
      </c>
      <c r="AN33" s="306" cm="1">
        <f t="array" ref="AN33">IF(OR(AB33="",NOT(ISNUMBER('Sales Dashboard'!BG32))),0,SUMPRODUCT(('TY Sales Target'!$K$2:$AO$2=$F$4)*1,INDEX('TY Sales Target'!$K$5:$AO$300,'Sales Dashboard'!BG32,0)))</f>
        <v>7949.2426094305238</v>
      </c>
      <c r="AO33" s="306" cm="1">
        <f t="array" ref="AO33">IF(AB33="",0,SUMPRODUCT((TRIM('LY Sales '!$B$5:$B$200)=AB33)*('LY Sales '!$C$2:$AG$2=EDATE($F$4,-12)),'LY Sales '!$C$5:$AG$200))</f>
        <v>5024.09</v>
      </c>
      <c r="AP33">
        <f t="shared" si="5"/>
        <v>1</v>
      </c>
      <c r="AQ33">
        <f t="shared" si="6"/>
        <v>0</v>
      </c>
      <c r="AR33">
        <f t="shared" si="7"/>
        <v>1</v>
      </c>
      <c r="AS33">
        <f t="shared" si="8"/>
        <v>1</v>
      </c>
      <c r="AU33" s="132"/>
    </row>
    <row r="34" spans="1:47" x14ac:dyDescent="0.25">
      <c r="A34" s="285" t="str" cm="1">
        <f t="array" ref="A34">IFERROR(INDEX(_xlfn._xlws.SORT(_xlfn.UNIQUE(_xlfn._xlws.FILTER($AD$7:$AD$303,$AD$7:$AD$303&lt;&gt;""))),ROWS($A$30:A34)),"")</f>
        <v>Arar</v>
      </c>
      <c r="B34" s="286">
        <f t="shared" si="32"/>
        <v>1</v>
      </c>
      <c r="C34" s="287">
        <f t="shared" si="33"/>
        <v>4970.1499999999996</v>
      </c>
      <c r="D34" s="287">
        <f t="shared" si="34"/>
        <v>6231.1405330129492</v>
      </c>
      <c r="E34" s="294">
        <f t="shared" si="35"/>
        <v>0.79763086286817841</v>
      </c>
      <c r="F34" s="295" t="str">
        <f t="shared" si="36"/>
        <v>✘ No</v>
      </c>
      <c r="G34" s="295">
        <f t="shared" si="37"/>
        <v>1</v>
      </c>
      <c r="H34" s="295">
        <f t="shared" si="38"/>
        <v>0</v>
      </c>
      <c r="I34" s="295" t="str">
        <f t="shared" si="39"/>
        <v>0 of 1</v>
      </c>
      <c r="J34" s="286">
        <f t="shared" si="40"/>
        <v>0</v>
      </c>
      <c r="K34" s="287">
        <f t="shared" si="41"/>
        <v>0</v>
      </c>
      <c r="L34" s="287">
        <f t="shared" si="42"/>
        <v>0</v>
      </c>
      <c r="M34" s="298" t="str">
        <f t="shared" si="43"/>
        <v/>
      </c>
      <c r="N34" s="299" t="str">
        <f t="shared" si="44"/>
        <v/>
      </c>
      <c r="O34" s="299">
        <f t="shared" si="45"/>
        <v>0</v>
      </c>
      <c r="P34" s="299" t="str">
        <f t="shared" si="46"/>
        <v>0 of 0</v>
      </c>
      <c r="Q34" s="319">
        <f t="shared" si="47"/>
        <v>1084.03</v>
      </c>
      <c r="R34" s="314">
        <f t="shared" si="48"/>
        <v>3.5848823372046894</v>
      </c>
      <c r="S34" s="314">
        <f t="shared" si="49"/>
        <v>0.25056411751562879</v>
      </c>
      <c r="T34" s="315">
        <f t="shared" si="50"/>
        <v>54.706674535254962</v>
      </c>
      <c r="U34" s="316" t="str">
        <f t="shared" si="51"/>
        <v>✘ No</v>
      </c>
      <c r="V34" s="316" t="str">
        <f t="shared" si="52"/>
        <v>0 of 1</v>
      </c>
      <c r="W34" s="314" t="str">
        <f t="shared" si="53"/>
        <v/>
      </c>
      <c r="X34" s="316" t="str">
        <f t="shared" si="54"/>
        <v>0 of 0</v>
      </c>
      <c r="Y34" s="271"/>
      <c r="Z34" s="271"/>
      <c r="AA34" s="271"/>
      <c r="AB34" s="271" t="str">
        <f>IF('Sales Dashboard'!AW33="","",'Sales Dashboard'!AW33)</f>
        <v>JEDDAZIZ</v>
      </c>
      <c r="AC34" s="271" t="str">
        <f>IF(AB34="","",'Sales Dashboard'!AN33)</f>
        <v>Ahlam Al Zahrani</v>
      </c>
      <c r="AD34" s="271" t="str">
        <f>IF(AB34="","",'Sales Dashboard'!AO33)</f>
        <v>Jeddah</v>
      </c>
      <c r="AE34" s="281" cm="1">
        <f t="array" ref="AE34">IF(OR(AB34="",NOT(ISNUMBER('Sales Dashboard'!BF33))),0,SUMPRODUCT((IFERROR(--'Sales and count'!$G$2:$CC$2,0)=$C$4)*('Sales and count'!$G$3:$CC$3="Total"),INDEX('Sales and count'!$G$4:$CC$300,'Sales Dashboard'!BF33,0)))</f>
        <v>8353.25</v>
      </c>
      <c r="AF34" s="281" cm="1">
        <f t="array" ref="AF34">IF(OR(AB34="",NOT(ISNUMBER('Sales Dashboard'!BG33))),0,SUMPRODUCT(('TY Sales Target'!$K$2:$AO$2=$C$4)*1,INDEX('TY Sales Target'!$K$5:$AO$300,'Sales Dashboard'!BG33,0)))</f>
        <v>11398.42780429198</v>
      </c>
      <c r="AG34" s="281" cm="1">
        <f t="array" ref="AG34">IF(AB34="",0,SUMPRODUCT((TRIM('LY Sales '!$B$5:$B$200)=AB34)*('LY Sales '!$C$2:$AG$2=EDATE($C$4,-12)),'LY Sales '!$C$5:$AG$200))</f>
        <v>5286.14</v>
      </c>
      <c r="AH34" s="271">
        <f t="shared" si="0"/>
        <v>1</v>
      </c>
      <c r="AI34" s="271">
        <f t="shared" si="1"/>
        <v>0</v>
      </c>
      <c r="AJ34" s="271">
        <f t="shared" si="2"/>
        <v>1</v>
      </c>
      <c r="AK34" s="271">
        <f t="shared" si="3"/>
        <v>1</v>
      </c>
      <c r="AL34" s="271">
        <f t="shared" si="4"/>
        <v>1</v>
      </c>
      <c r="AM34" s="306" cm="1">
        <f t="array" ref="AM34">IF(OR(AB34="",NOT(ISNUMBER('Sales Dashboard'!BF33))),0,SUMPRODUCT((IFERROR(--'Sales and count'!$G$2:$CC$2,0)=$F$4)*('Sales and count'!$G$3:$CC$3="Total"),INDEX('Sales and count'!$G$4:$CC$300,'Sales Dashboard'!BF33,0)))</f>
        <v>4553.34</v>
      </c>
      <c r="AN34" s="306" cm="1">
        <f t="array" ref="AN34">IF(OR(AB34="",NOT(ISNUMBER('Sales Dashboard'!BG33))),0,SUMPRODUCT(('TY Sales Target'!$K$2:$AO$2=$F$4)*1,INDEX('TY Sales Target'!$K$5:$AO$300,'Sales Dashboard'!BG33,0)))</f>
        <v>7914.0689695657866</v>
      </c>
      <c r="AO34" s="306" cm="1">
        <f t="array" ref="AO34">IF(AB34="",0,SUMPRODUCT((TRIM('LY Sales '!$B$5:$B$200)=AB34)*('LY Sales '!$C$2:$AG$2=EDATE($F$4,-12)),'LY Sales '!$C$5:$AG$200))</f>
        <v>4389.0200000000004</v>
      </c>
      <c r="AP34">
        <f t="shared" si="5"/>
        <v>1</v>
      </c>
      <c r="AQ34">
        <f t="shared" si="6"/>
        <v>0</v>
      </c>
      <c r="AR34">
        <f t="shared" si="7"/>
        <v>1</v>
      </c>
      <c r="AS34">
        <f t="shared" si="8"/>
        <v>1</v>
      </c>
      <c r="AU34" s="132"/>
    </row>
    <row r="35" spans="1:47" x14ac:dyDescent="0.25">
      <c r="A35" s="285" t="str" cm="1">
        <f t="array" ref="A35">IFERROR(INDEX(_xlfn._xlws.SORT(_xlfn.UNIQUE(_xlfn._xlws.FILTER($AD$7:$AD$303,$AD$7:$AD$303&lt;&gt;""))),ROWS($A$30:A35)),"")</f>
        <v>Baha</v>
      </c>
      <c r="B35" s="286">
        <f t="shared" si="32"/>
        <v>2</v>
      </c>
      <c r="C35" s="287">
        <f t="shared" si="33"/>
        <v>11074.19</v>
      </c>
      <c r="D35" s="287">
        <f t="shared" si="34"/>
        <v>19447.69808079585</v>
      </c>
      <c r="E35" s="294">
        <f t="shared" si="35"/>
        <v>0.56943448803000007</v>
      </c>
      <c r="F35" s="295" t="str">
        <f t="shared" si="36"/>
        <v>✘ No</v>
      </c>
      <c r="G35" s="295">
        <f t="shared" si="37"/>
        <v>2</v>
      </c>
      <c r="H35" s="295">
        <f t="shared" si="38"/>
        <v>0</v>
      </c>
      <c r="I35" s="295" t="str">
        <f t="shared" si="39"/>
        <v>0 of 2</v>
      </c>
      <c r="J35" s="286">
        <f t="shared" si="40"/>
        <v>0</v>
      </c>
      <c r="K35" s="287">
        <f t="shared" si="41"/>
        <v>0</v>
      </c>
      <c r="L35" s="287">
        <f t="shared" si="42"/>
        <v>0</v>
      </c>
      <c r="M35" s="298" t="str">
        <f t="shared" si="43"/>
        <v/>
      </c>
      <c r="N35" s="299" t="str">
        <f t="shared" si="44"/>
        <v/>
      </c>
      <c r="O35" s="299">
        <f t="shared" si="45"/>
        <v>0</v>
      </c>
      <c r="P35" s="299" t="str">
        <f t="shared" si="46"/>
        <v>0 of 0</v>
      </c>
      <c r="Q35" s="319">
        <f t="shared" si="47"/>
        <v>3846.2299999999996</v>
      </c>
      <c r="R35" s="314">
        <f t="shared" si="48"/>
        <v>1.8792323911986548</v>
      </c>
      <c r="S35" s="314">
        <f t="shared" si="49"/>
        <v>0.2848473408086758</v>
      </c>
      <c r="T35" s="315">
        <f t="shared" si="50"/>
        <v>28.458714722132427</v>
      </c>
      <c r="U35" s="316" t="str">
        <f t="shared" si="51"/>
        <v>✘ No</v>
      </c>
      <c r="V35" s="316" t="str">
        <f t="shared" si="52"/>
        <v>0 of 2</v>
      </c>
      <c r="W35" s="314" t="str">
        <f t="shared" si="53"/>
        <v/>
      </c>
      <c r="X35" s="316" t="str">
        <f t="shared" si="54"/>
        <v>0 of 0</v>
      </c>
      <c r="Y35" s="271"/>
      <c r="Z35" s="271"/>
      <c r="AA35" s="271"/>
      <c r="AB35" s="271" t="str">
        <f>IF('Sales Dashboard'!AW34="","",'Sales Dashboard'!AW34)</f>
        <v>DAMNAKHL</v>
      </c>
      <c r="AC35" s="271" t="str">
        <f>IF(AB35="","",'Sales Dashboard'!AN34)</f>
        <v>Hamzah Al Makhadam</v>
      </c>
      <c r="AD35" s="271" t="str">
        <f>IF(AB35="","",'Sales Dashboard'!AO34)</f>
        <v>Dammam</v>
      </c>
      <c r="AE35" s="281" cm="1">
        <f t="array" ref="AE35">IF(OR(AB35="",NOT(ISNUMBER('Sales Dashboard'!BF34))),0,SUMPRODUCT((IFERROR(--'Sales and count'!$G$2:$CC$2,0)=$C$4)*('Sales and count'!$G$3:$CC$3="Total"),INDEX('Sales and count'!$G$4:$CC$300,'Sales Dashboard'!BF34,0)))</f>
        <v>17262.37</v>
      </c>
      <c r="AF35" s="281" cm="1">
        <f t="array" ref="AF35">IF(OR(AB35="",NOT(ISNUMBER('Sales Dashboard'!BG34))),0,SUMPRODUCT(('TY Sales Target'!$K$2:$AO$2=$C$4)*1,INDEX('TY Sales Target'!$K$5:$AO$300,'Sales Dashboard'!BG34,0)))</f>
        <v>26849.629938998885</v>
      </c>
      <c r="AG35" s="281" cm="1">
        <f t="array" ref="AG35">IF(AB35="",0,SUMPRODUCT((TRIM('LY Sales '!$B$5:$B$200)=AB35)*('LY Sales '!$C$2:$AG$2=EDATE($C$4,-12)),'LY Sales '!$C$5:$AG$200))</f>
        <v>23992.61</v>
      </c>
      <c r="AH35" s="271">
        <f t="shared" si="0"/>
        <v>1</v>
      </c>
      <c r="AI35" s="271">
        <f t="shared" si="1"/>
        <v>0</v>
      </c>
      <c r="AJ35" s="271">
        <f t="shared" si="2"/>
        <v>1</v>
      </c>
      <c r="AK35" s="271">
        <f t="shared" si="3"/>
        <v>0</v>
      </c>
      <c r="AL35" s="271">
        <f t="shared" si="4"/>
        <v>1</v>
      </c>
      <c r="AM35" s="306" cm="1">
        <f t="array" ref="AM35">IF(OR(AB35="",NOT(ISNUMBER('Sales Dashboard'!BF34))),0,SUMPRODUCT((IFERROR(--'Sales and count'!$G$2:$CC$2,0)=$F$4)*('Sales and count'!$G$3:$CC$3="Total"),INDEX('Sales and count'!$G$4:$CC$300,'Sales Dashboard'!BF34,0)))</f>
        <v>10381.549999999999</v>
      </c>
      <c r="AN35" s="306" cm="1">
        <f t="array" ref="AN35">IF(OR(AB35="",NOT(ISNUMBER('Sales Dashboard'!BG34))),0,SUMPRODUCT(('TY Sales Target'!$K$2:$AO$2=$F$4)*1,INDEX('TY Sales Target'!$K$5:$AO$300,'Sales Dashboard'!BG34,0)))</f>
        <v>18642.029128310522</v>
      </c>
      <c r="AO35" s="306" cm="1">
        <f t="array" ref="AO35">IF(AB35="",0,SUMPRODUCT((TRIM('LY Sales '!$B$5:$B$200)=AB35)*('LY Sales '!$C$2:$AG$2=EDATE($F$4,-12)),'LY Sales '!$C$5:$AG$200))</f>
        <v>8832.15</v>
      </c>
      <c r="AP35">
        <f t="shared" si="5"/>
        <v>1</v>
      </c>
      <c r="AQ35">
        <f t="shared" si="6"/>
        <v>0</v>
      </c>
      <c r="AR35">
        <f t="shared" si="7"/>
        <v>1</v>
      </c>
      <c r="AS35">
        <f t="shared" si="8"/>
        <v>1</v>
      </c>
      <c r="AU35" s="132"/>
    </row>
    <row r="36" spans="1:47" x14ac:dyDescent="0.25">
      <c r="A36" s="285" t="str" cm="1">
        <f t="array" ref="A36">IFERROR(INDEX(_xlfn._xlws.SORT(_xlfn.UNIQUE(_xlfn._xlws.FILTER($AD$7:$AD$303,$AD$7:$AD$303&lt;&gt;""))),ROWS($A$30:A36)),"")</f>
        <v>Buraidah</v>
      </c>
      <c r="B36" s="286">
        <f t="shared" si="32"/>
        <v>2</v>
      </c>
      <c r="C36" s="287">
        <f t="shared" si="33"/>
        <v>12816.1</v>
      </c>
      <c r="D36" s="287">
        <f t="shared" si="34"/>
        <v>17426.929620784183</v>
      </c>
      <c r="E36" s="294">
        <f t="shared" si="35"/>
        <v>0.73541927803018792</v>
      </c>
      <c r="F36" s="295" t="str">
        <f t="shared" si="36"/>
        <v>✘ No</v>
      </c>
      <c r="G36" s="295">
        <f t="shared" si="37"/>
        <v>2</v>
      </c>
      <c r="H36" s="295">
        <f t="shared" si="38"/>
        <v>0</v>
      </c>
      <c r="I36" s="295" t="str">
        <f t="shared" si="39"/>
        <v>0 of 2</v>
      </c>
      <c r="J36" s="286">
        <f t="shared" si="40"/>
        <v>1</v>
      </c>
      <c r="K36" s="287">
        <f t="shared" si="41"/>
        <v>8165.04</v>
      </c>
      <c r="L36" s="287">
        <f t="shared" si="42"/>
        <v>7484.38</v>
      </c>
      <c r="M36" s="298">
        <f t="shared" si="43"/>
        <v>9.0944072855734248E-2</v>
      </c>
      <c r="N36" s="299" t="str">
        <f t="shared" si="44"/>
        <v>✔ Yes</v>
      </c>
      <c r="O36" s="299">
        <f t="shared" si="45"/>
        <v>1</v>
      </c>
      <c r="P36" s="299" t="str">
        <f t="shared" si="46"/>
        <v>1 of 1</v>
      </c>
      <c r="Q36" s="319">
        <f t="shared" si="47"/>
        <v>6233.33</v>
      </c>
      <c r="R36" s="314">
        <f t="shared" si="48"/>
        <v>1.0560599230266967</v>
      </c>
      <c r="S36" s="314">
        <f t="shared" si="49"/>
        <v>0.51516264505236709</v>
      </c>
      <c r="T36" s="315">
        <f t="shared" si="50"/>
        <v>22.025663297782081</v>
      </c>
      <c r="U36" s="316" t="str">
        <f t="shared" si="51"/>
        <v>✘ No</v>
      </c>
      <c r="V36" s="316" t="str">
        <f t="shared" si="52"/>
        <v>0 of 2</v>
      </c>
      <c r="W36" s="314">
        <f t="shared" si="53"/>
        <v>7.4208541611856527E-2</v>
      </c>
      <c r="X36" s="316" t="str">
        <f t="shared" si="54"/>
        <v>1 of 1</v>
      </c>
      <c r="Y36" s="271"/>
      <c r="Z36" s="271"/>
      <c r="AA36" s="271"/>
      <c r="AB36" s="271" t="str">
        <f>IF('Sales Dashboard'!AW35="","",'Sales Dashboard'!AW35)</f>
        <v>HADLHTBHHT</v>
      </c>
      <c r="AC36" s="271" t="str">
        <f>IF(AB36="","",'Sales Dashboard'!AN35)</f>
        <v>Mohammed Haidar</v>
      </c>
      <c r="AD36" s="271" t="str">
        <f>IF(AB36="","",'Sales Dashboard'!AO35)</f>
        <v>Madinah</v>
      </c>
      <c r="AE36" s="281" cm="1">
        <f t="array" ref="AE36">IF(OR(AB36="",NOT(ISNUMBER('Sales Dashboard'!BF35))),0,SUMPRODUCT((IFERROR(--'Sales and count'!$G$2:$CC$2,0)=$C$4)*('Sales and count'!$G$3:$CC$3="Total"),INDEX('Sales and count'!$G$4:$CC$300,'Sales Dashboard'!BF35,0)))</f>
        <v>6241.18</v>
      </c>
      <c r="AF36" s="281" cm="1">
        <f t="array" ref="AF36">IF(OR(AB36="",NOT(ISNUMBER('Sales Dashboard'!BG35))),0,SUMPRODUCT(('TY Sales Target'!$K$2:$AO$2=$C$4)*1,INDEX('TY Sales Target'!$K$5:$AO$300,'Sales Dashboard'!BG35,0)))</f>
        <v>13323.49561123907</v>
      </c>
      <c r="AG36" s="281" cm="1">
        <f t="array" ref="AG36">IF(AB36="",0,SUMPRODUCT((TRIM('LY Sales '!$B$5:$B$200)=AB36)*('LY Sales '!$C$2:$AG$2=EDATE($C$4,-12)),'LY Sales '!$C$5:$AG$200))</f>
        <v>0</v>
      </c>
      <c r="AH36" s="271">
        <f t="shared" si="0"/>
        <v>1</v>
      </c>
      <c r="AI36" s="271">
        <f t="shared" si="1"/>
        <v>0</v>
      </c>
      <c r="AJ36" s="271">
        <f t="shared" si="2"/>
        <v>0</v>
      </c>
      <c r="AK36" s="271">
        <f t="shared" si="3"/>
        <v>0</v>
      </c>
      <c r="AL36" s="271">
        <f t="shared" si="4"/>
        <v>1</v>
      </c>
      <c r="AM36" s="306" cm="1">
        <f t="array" ref="AM36">IF(OR(AB36="",NOT(ISNUMBER('Sales Dashboard'!BF35))),0,SUMPRODUCT((IFERROR(--'Sales and count'!$G$2:$CC$2,0)=$F$4)*('Sales and count'!$G$3:$CC$3="Total"),INDEX('Sales and count'!$G$4:$CC$300,'Sales Dashboard'!BF35,0)))</f>
        <v>9352.6200000000008</v>
      </c>
      <c r="AN36" s="306" cm="1">
        <f t="array" ref="AN36">IF(OR(AB36="",NOT(ISNUMBER('Sales Dashboard'!BG35))),0,SUMPRODUCT(('TY Sales Target'!$K$2:$AO$2=$F$4)*1,INDEX('TY Sales Target'!$K$5:$AO$300,'Sales Dashboard'!BG35,0)))</f>
        <v>9250.6672844257864</v>
      </c>
      <c r="AO36" s="306" cm="1">
        <f t="array" ref="AO36">IF(AB36="",0,SUMPRODUCT((TRIM('LY Sales '!$B$5:$B$200)=AB36)*('LY Sales '!$C$2:$AG$2=EDATE($F$4,-12)),'LY Sales '!$C$5:$AG$200))</f>
        <v>0</v>
      </c>
      <c r="AP36">
        <f t="shared" si="5"/>
        <v>1</v>
      </c>
      <c r="AQ36">
        <f t="shared" si="6"/>
        <v>1</v>
      </c>
      <c r="AR36">
        <f t="shared" si="7"/>
        <v>0</v>
      </c>
      <c r="AS36">
        <f t="shared" si="8"/>
        <v>0</v>
      </c>
      <c r="AU36" s="132"/>
    </row>
    <row r="37" spans="1:47" x14ac:dyDescent="0.25">
      <c r="A37" s="285" t="str" cm="1">
        <f t="array" ref="A37">IFERROR(INDEX(_xlfn._xlws.SORT(_xlfn.UNIQUE(_xlfn._xlws.FILTER($AD$7:$AD$303,$AD$7:$AD$303&lt;&gt;""))),ROWS($A$30:A37)),"")</f>
        <v>Dammam</v>
      </c>
      <c r="B37" s="286">
        <f t="shared" si="32"/>
        <v>3</v>
      </c>
      <c r="C37" s="287">
        <f t="shared" si="33"/>
        <v>35898.629999999997</v>
      </c>
      <c r="D37" s="287">
        <f t="shared" si="34"/>
        <v>52128.809824961987</v>
      </c>
      <c r="E37" s="294">
        <f t="shared" si="35"/>
        <v>0.68865240009392781</v>
      </c>
      <c r="F37" s="295" t="str">
        <f t="shared" si="36"/>
        <v>✘ No</v>
      </c>
      <c r="G37" s="295">
        <f t="shared" si="37"/>
        <v>3</v>
      </c>
      <c r="H37" s="295">
        <f t="shared" si="38"/>
        <v>1</v>
      </c>
      <c r="I37" s="295" t="str">
        <f t="shared" si="39"/>
        <v>1 of 3</v>
      </c>
      <c r="J37" s="286">
        <f t="shared" si="40"/>
        <v>3</v>
      </c>
      <c r="K37" s="287">
        <f t="shared" si="41"/>
        <v>35898.629999999997</v>
      </c>
      <c r="L37" s="287">
        <f t="shared" si="42"/>
        <v>37778.960000000006</v>
      </c>
      <c r="M37" s="298">
        <f t="shared" si="43"/>
        <v>-4.9771883609289636E-2</v>
      </c>
      <c r="N37" s="299" t="str">
        <f t="shared" si="44"/>
        <v>✘ No</v>
      </c>
      <c r="O37" s="299">
        <f t="shared" si="45"/>
        <v>2</v>
      </c>
      <c r="P37" s="299" t="str">
        <f t="shared" si="46"/>
        <v>2 of 3</v>
      </c>
      <c r="Q37" s="319">
        <f t="shared" si="47"/>
        <v>18425.97</v>
      </c>
      <c r="R37" s="314">
        <f t="shared" si="48"/>
        <v>0.9482626966178711</v>
      </c>
      <c r="S37" s="314">
        <f t="shared" si="49"/>
        <v>0.50909364096810195</v>
      </c>
      <c r="T37" s="315">
        <f t="shared" si="50"/>
        <v>17.955875912582584</v>
      </c>
      <c r="U37" s="316" t="str">
        <f t="shared" si="51"/>
        <v>✘ No</v>
      </c>
      <c r="V37" s="316" t="str">
        <f t="shared" si="52"/>
        <v>0 of 3</v>
      </c>
      <c r="W37" s="314">
        <f t="shared" si="53"/>
        <v>0.41616658314862032</v>
      </c>
      <c r="X37" s="316" t="str">
        <f t="shared" si="54"/>
        <v>3 of 3</v>
      </c>
      <c r="Y37" s="271"/>
      <c r="Z37" s="271"/>
      <c r="AA37" s="271"/>
      <c r="AB37" s="271" t="str">
        <f>IF('Sales Dashboard'!AW36="","",'Sales Dashboard'!AW36)</f>
        <v>JEDDSALAM</v>
      </c>
      <c r="AC37" s="271" t="str">
        <f>IF(AB37="","",'Sales Dashboard'!AN36)</f>
        <v>Ahlam Al Zahrani</v>
      </c>
      <c r="AD37" s="271" t="str">
        <f>IF(AB37="","",'Sales Dashboard'!AO36)</f>
        <v>Jeddah</v>
      </c>
      <c r="AE37" s="281" cm="1">
        <f t="array" ref="AE37">IF(OR(AB37="",NOT(ISNUMBER('Sales Dashboard'!BF36))),0,SUMPRODUCT((IFERROR(--'Sales and count'!$G$2:$CC$2,0)=$C$4)*('Sales and count'!$G$3:$CC$3="Total"),INDEX('Sales and count'!$G$4:$CC$300,'Sales Dashboard'!BF36,0)))</f>
        <v>7186.1900000000014</v>
      </c>
      <c r="AF37" s="281" cm="1">
        <f t="array" ref="AF37">IF(OR(AB37="",NOT(ISNUMBER('Sales Dashboard'!BG36))),0,SUMPRODUCT(('TY Sales Target'!$K$2:$AO$2=$C$4)*1,INDEX('TY Sales Target'!$K$5:$AO$300,'Sales Dashboard'!BG36,0)))</f>
        <v>9878.6374303863831</v>
      </c>
      <c r="AG37" s="281" cm="1">
        <f t="array" ref="AG37">IF(AB37="",0,SUMPRODUCT((TRIM('LY Sales '!$B$5:$B$200)=AB37)*('LY Sales '!$C$2:$AG$2=EDATE($C$4,-12)),'LY Sales '!$C$5:$AG$200))</f>
        <v>8430.16</v>
      </c>
      <c r="AH37" s="271">
        <f t="shared" si="0"/>
        <v>1</v>
      </c>
      <c r="AI37" s="271">
        <f t="shared" si="1"/>
        <v>0</v>
      </c>
      <c r="AJ37" s="271">
        <f t="shared" si="2"/>
        <v>1</v>
      </c>
      <c r="AK37" s="271">
        <f t="shared" si="3"/>
        <v>0</v>
      </c>
      <c r="AL37" s="271">
        <f t="shared" si="4"/>
        <v>1</v>
      </c>
      <c r="AM37" s="306" cm="1">
        <f t="array" ref="AM37">IF(OR(AB37="",NOT(ISNUMBER('Sales Dashboard'!BF36))),0,SUMPRODUCT((IFERROR(--'Sales and count'!$G$2:$CC$2,0)=$F$4)*('Sales and count'!$G$3:$CC$3="Total"),INDEX('Sales and count'!$G$4:$CC$300,'Sales Dashboard'!BF36,0)))</f>
        <v>4396.33</v>
      </c>
      <c r="AN37" s="306" cm="1">
        <f t="array" ref="AN37">IF(OR(AB37="",NOT(ISNUMBER('Sales Dashboard'!BG36))),0,SUMPRODUCT(('TY Sales Target'!$K$2:$AO$2=$F$4)*1,INDEX('TY Sales Target'!$K$5:$AO$300,'Sales Dashboard'!BG36,0)))</f>
        <v>6858.8597736236816</v>
      </c>
      <c r="AO37" s="306" cm="1">
        <f t="array" ref="AO37">IF(AB37="",0,SUMPRODUCT((TRIM('LY Sales '!$B$5:$B$200)=AB37)*('LY Sales '!$C$2:$AG$2=EDATE($F$4,-12)),'LY Sales '!$C$5:$AG$200))</f>
        <v>2562.0300000000002</v>
      </c>
      <c r="AP37">
        <f t="shared" si="5"/>
        <v>1</v>
      </c>
      <c r="AQ37">
        <f t="shared" si="6"/>
        <v>0</v>
      </c>
      <c r="AR37">
        <f t="shared" si="7"/>
        <v>1</v>
      </c>
      <c r="AS37">
        <f t="shared" si="8"/>
        <v>1</v>
      </c>
      <c r="AU37" s="132"/>
    </row>
    <row r="38" spans="1:47" x14ac:dyDescent="0.25">
      <c r="A38" s="285" t="str" cm="1">
        <f t="array" ref="A38">IFERROR(INDEX(_xlfn._xlws.SORT(_xlfn.UNIQUE(_xlfn._xlws.FILTER($AD$7:$AD$303,$AD$7:$AD$303&lt;&gt;""))),ROWS($A$30:A38)),"")</f>
        <v>Dawadami</v>
      </c>
      <c r="B38" s="286">
        <f t="shared" si="32"/>
        <v>1</v>
      </c>
      <c r="C38" s="287">
        <f t="shared" si="33"/>
        <v>4209.13</v>
      </c>
      <c r="D38" s="287">
        <f t="shared" si="34"/>
        <v>4812.6695173677244</v>
      </c>
      <c r="E38" s="294">
        <f t="shared" si="35"/>
        <v>0.87459360855971913</v>
      </c>
      <c r="F38" s="295" t="str">
        <f t="shared" si="36"/>
        <v>✔ Yes</v>
      </c>
      <c r="G38" s="295">
        <f t="shared" si="37"/>
        <v>1</v>
      </c>
      <c r="H38" s="295">
        <f t="shared" si="38"/>
        <v>1</v>
      </c>
      <c r="I38" s="295" t="str">
        <f t="shared" si="39"/>
        <v>1 of 1</v>
      </c>
      <c r="J38" s="286">
        <f t="shared" si="40"/>
        <v>0</v>
      </c>
      <c r="K38" s="287">
        <f t="shared" si="41"/>
        <v>0</v>
      </c>
      <c r="L38" s="287">
        <f t="shared" si="42"/>
        <v>0</v>
      </c>
      <c r="M38" s="298" t="str">
        <f t="shared" si="43"/>
        <v/>
      </c>
      <c r="N38" s="299" t="str">
        <f t="shared" si="44"/>
        <v/>
      </c>
      <c r="O38" s="299">
        <f t="shared" si="45"/>
        <v>0</v>
      </c>
      <c r="P38" s="299" t="str">
        <f t="shared" si="46"/>
        <v>0 of 0</v>
      </c>
      <c r="Q38" s="319">
        <f t="shared" si="47"/>
        <v>2656.15</v>
      </c>
      <c r="R38" s="314">
        <f t="shared" si="48"/>
        <v>0.58467330534796602</v>
      </c>
      <c r="S38" s="314">
        <f t="shared" si="49"/>
        <v>0.79489850330335499</v>
      </c>
      <c r="T38" s="315">
        <f t="shared" si="50"/>
        <v>7.969510525636414</v>
      </c>
      <c r="U38" s="316" t="str">
        <f t="shared" si="51"/>
        <v>✘ No</v>
      </c>
      <c r="V38" s="316" t="str">
        <f t="shared" si="52"/>
        <v>0 of 1</v>
      </c>
      <c r="W38" s="314" t="str">
        <f t="shared" si="53"/>
        <v/>
      </c>
      <c r="X38" s="316" t="str">
        <f t="shared" si="54"/>
        <v>0 of 0</v>
      </c>
      <c r="Y38" s="271"/>
      <c r="Z38" s="271"/>
      <c r="AA38" s="271"/>
      <c r="AB38" s="271" t="str">
        <f>IF('Sales Dashboard'!AW37="","",'Sales Dashboard'!AW37)</f>
        <v>HAGRIDPLZA</v>
      </c>
      <c r="AC38" s="271" t="str">
        <f>IF(AB38="","",'Sales Dashboard'!AN37)</f>
        <v>Mohammed Sanad</v>
      </c>
      <c r="AD38" s="271" t="str">
        <f>IF(AB38="","",'Sales Dashboard'!AO37)</f>
        <v>Skaka</v>
      </c>
      <c r="AE38" s="281" cm="1">
        <f t="array" ref="AE38">IF(OR(AB38="",NOT(ISNUMBER('Sales Dashboard'!BF37))),0,SUMPRODUCT((IFERROR(--'Sales and count'!$G$2:$CC$2,0)=$C$4)*('Sales and count'!$G$3:$CC$3="Total"),INDEX('Sales and count'!$G$4:$CC$300,'Sales Dashboard'!BF37,0)))</f>
        <v>6037.05</v>
      </c>
      <c r="AF38" s="281" cm="1">
        <f t="array" ref="AF38">IF(OR(AB38="",NOT(ISNUMBER('Sales Dashboard'!BG37))),0,SUMPRODUCT(('TY Sales Target'!$K$2:$AO$2=$C$4)*1,INDEX('TY Sales Target'!$K$5:$AO$300,'Sales Dashboard'!BG37,0)))</f>
        <v>10739.851975599555</v>
      </c>
      <c r="AG38" s="281" cm="1">
        <f t="array" ref="AG38">IF(AB38="",0,SUMPRODUCT((TRIM('LY Sales '!$B$5:$B$200)=AB38)*('LY Sales '!$C$2:$AG$2=EDATE($C$4,-12)),'LY Sales '!$C$5:$AG$200))</f>
        <v>0</v>
      </c>
      <c r="AH38" s="271">
        <f t="shared" si="0"/>
        <v>1</v>
      </c>
      <c r="AI38" s="271">
        <f t="shared" si="1"/>
        <v>0</v>
      </c>
      <c r="AJ38" s="271">
        <f t="shared" si="2"/>
        <v>0</v>
      </c>
      <c r="AK38" s="271">
        <f t="shared" si="3"/>
        <v>0</v>
      </c>
      <c r="AL38" s="271">
        <f t="shared" si="4"/>
        <v>1</v>
      </c>
      <c r="AM38" s="306" cm="1">
        <f t="array" ref="AM38">IF(OR(AB38="",NOT(ISNUMBER('Sales Dashboard'!BF37))),0,SUMPRODUCT((IFERROR(--'Sales and count'!$G$2:$CC$2,0)=$F$4)*('Sales and count'!$G$3:$CC$3="Total"),INDEX('Sales and count'!$G$4:$CC$300,'Sales Dashboard'!BF37,0)))</f>
        <v>3012.23</v>
      </c>
      <c r="AN38" s="306" cm="1">
        <f t="array" ref="AN38">IF(OR(AB38="",NOT(ISNUMBER('Sales Dashboard'!BG37))),0,SUMPRODUCT(('TY Sales Target'!$K$2:$AO$2=$F$4)*1,INDEX('TY Sales Target'!$K$5:$AO$300,'Sales Dashboard'!BG37,0)))</f>
        <v>7456.8116513242085</v>
      </c>
      <c r="AO38" s="306" cm="1">
        <f t="array" ref="AO38">IF(AB38="",0,SUMPRODUCT((TRIM('LY Sales '!$B$5:$B$200)=AB38)*('LY Sales '!$C$2:$AG$2=EDATE($F$4,-12)),'LY Sales '!$C$5:$AG$200))</f>
        <v>0</v>
      </c>
      <c r="AP38">
        <f t="shared" si="5"/>
        <v>1</v>
      </c>
      <c r="AQ38">
        <f t="shared" si="6"/>
        <v>0</v>
      </c>
      <c r="AR38">
        <f t="shared" si="7"/>
        <v>0</v>
      </c>
      <c r="AS38">
        <f t="shared" si="8"/>
        <v>0</v>
      </c>
      <c r="AU38" s="132"/>
    </row>
    <row r="39" spans="1:47" x14ac:dyDescent="0.25">
      <c r="A39" s="285" t="str" cm="1">
        <f t="array" ref="A39">IFERROR(INDEX(_xlfn._xlws.SORT(_xlfn.UNIQUE(_xlfn._xlws.FILTER($AD$7:$AD$303,$AD$7:$AD$303&lt;&gt;""))),ROWS($A$30:A39)),"")</f>
        <v>Doha</v>
      </c>
      <c r="B39" s="286">
        <f t="shared" si="32"/>
        <v>1</v>
      </c>
      <c r="C39" s="287">
        <f t="shared" si="33"/>
        <v>20193</v>
      </c>
      <c r="D39" s="287">
        <f t="shared" si="34"/>
        <v>50659.679130186574</v>
      </c>
      <c r="E39" s="294">
        <f t="shared" si="35"/>
        <v>0.39860102445788292</v>
      </c>
      <c r="F39" s="295" t="str">
        <f t="shared" si="36"/>
        <v>✘ No</v>
      </c>
      <c r="G39" s="295">
        <f t="shared" si="37"/>
        <v>1</v>
      </c>
      <c r="H39" s="295">
        <f t="shared" si="38"/>
        <v>0</v>
      </c>
      <c r="I39" s="295" t="str">
        <f t="shared" si="39"/>
        <v>0 of 1</v>
      </c>
      <c r="J39" s="286">
        <f t="shared" si="40"/>
        <v>0</v>
      </c>
      <c r="K39" s="287">
        <f t="shared" si="41"/>
        <v>0</v>
      </c>
      <c r="L39" s="287">
        <f t="shared" si="42"/>
        <v>0</v>
      </c>
      <c r="M39" s="298" t="str">
        <f t="shared" si="43"/>
        <v/>
      </c>
      <c r="N39" s="299" t="str">
        <f t="shared" si="44"/>
        <v/>
      </c>
      <c r="O39" s="299">
        <f t="shared" si="45"/>
        <v>0</v>
      </c>
      <c r="P39" s="299" t="str">
        <f t="shared" si="46"/>
        <v>0 of 0</v>
      </c>
      <c r="Q39" s="319">
        <f t="shared" si="47"/>
        <v>21262</v>
      </c>
      <c r="R39" s="314">
        <f t="shared" si="48"/>
        <v>-5.0277490358385801E-2</v>
      </c>
      <c r="S39" s="314">
        <f t="shared" si="49"/>
        <v>0.60448677139371398</v>
      </c>
      <c r="T39" s="315">
        <f t="shared" si="50"/>
        <v>-20.588574693583105</v>
      </c>
      <c r="U39" s="316" t="str">
        <f t="shared" si="51"/>
        <v>✘ No</v>
      </c>
      <c r="V39" s="316" t="str">
        <f t="shared" si="52"/>
        <v>0 of 1</v>
      </c>
      <c r="W39" s="314" t="str">
        <f t="shared" si="53"/>
        <v/>
      </c>
      <c r="X39" s="316" t="str">
        <f t="shared" si="54"/>
        <v>0 of 0</v>
      </c>
      <c r="Y39" s="271"/>
      <c r="Z39" s="271"/>
      <c r="AA39" s="271"/>
      <c r="AB39" s="271" t="str">
        <f>IF('Sales Dashboard'!AW38="","",'Sales Dashboard'!AW38)</f>
        <v>HASALMMAL</v>
      </c>
      <c r="AC39" s="271" t="str">
        <f>IF(AB39="","",'Sales Dashboard'!AN38)</f>
        <v>Lina Al Ghathami</v>
      </c>
      <c r="AD39" s="271" t="str">
        <f>IF(AB39="","",'Sales Dashboard'!AO38)</f>
        <v>Riyadh</v>
      </c>
      <c r="AE39" s="281" cm="1">
        <f t="array" ref="AE39">IF(OR(AB39="",NOT(ISNUMBER('Sales Dashboard'!BF38))),0,SUMPRODUCT((IFERROR(--'Sales and count'!$G$2:$CC$2,0)=$C$4)*('Sales and count'!$G$3:$CC$3="Total"),INDEX('Sales and count'!$G$4:$CC$300,'Sales Dashboard'!BF38,0)))</f>
        <v>11688.2</v>
      </c>
      <c r="AF39" s="281" cm="1">
        <f t="array" ref="AF39">IF(OR(AB39="",NOT(ISNUMBER('Sales Dashboard'!BG38))),0,SUMPRODUCT(('TY Sales Target'!$K$2:$AO$2=$C$4)*1,INDEX('TY Sales Target'!$K$5:$AO$300,'Sales Dashboard'!BG38,0)))</f>
        <v>13019.53753645795</v>
      </c>
      <c r="AG39" s="281" cm="1">
        <f t="array" ref="AG39">IF(AB39="",0,SUMPRODUCT((TRIM('LY Sales '!$B$5:$B$200)=AB39)*('LY Sales '!$C$2:$AG$2=EDATE($C$4,-12)),'LY Sales '!$C$5:$AG$200))</f>
        <v>9492.18</v>
      </c>
      <c r="AH39" s="271">
        <f t="shared" si="0"/>
        <v>1</v>
      </c>
      <c r="AI39" s="271">
        <f t="shared" si="1"/>
        <v>1</v>
      </c>
      <c r="AJ39" s="271">
        <f t="shared" si="2"/>
        <v>1</v>
      </c>
      <c r="AK39" s="271">
        <f t="shared" si="3"/>
        <v>1</v>
      </c>
      <c r="AL39" s="271">
        <f t="shared" si="4"/>
        <v>1</v>
      </c>
      <c r="AM39" s="306" cm="1">
        <f t="array" ref="AM39">IF(OR(AB39="",NOT(ISNUMBER('Sales Dashboard'!BF38))),0,SUMPRODUCT((IFERROR(--'Sales and count'!$G$2:$CC$2,0)=$F$4)*('Sales and count'!$G$3:$CC$3="Total"),INDEX('Sales and count'!$G$4:$CC$300,'Sales Dashboard'!BF38,0)))</f>
        <v>3270.18</v>
      </c>
      <c r="AN39" s="306" cm="1">
        <f t="array" ref="AN39">IF(OR(AB39="",NOT(ISNUMBER('Sales Dashboard'!BG38))),0,SUMPRODUCT(('TY Sales Target'!$K$2:$AO$2=$F$4)*1,INDEX('TY Sales Target'!$K$5:$AO$300,'Sales Dashboard'!BG38,0)))</f>
        <v>9039.6254452373651</v>
      </c>
      <c r="AO39" s="306" cm="1">
        <f t="array" ref="AO39">IF(AB39="",0,SUMPRODUCT((TRIM('LY Sales '!$B$5:$B$200)=AB39)*('LY Sales '!$C$2:$AG$2=EDATE($F$4,-12)),'LY Sales '!$C$5:$AG$200))</f>
        <v>4793.03</v>
      </c>
      <c r="AP39">
        <f t="shared" si="5"/>
        <v>1</v>
      </c>
      <c r="AQ39">
        <f t="shared" si="6"/>
        <v>0</v>
      </c>
      <c r="AR39">
        <f t="shared" si="7"/>
        <v>1</v>
      </c>
      <c r="AS39">
        <f t="shared" si="8"/>
        <v>0</v>
      </c>
      <c r="AU39" s="132"/>
    </row>
    <row r="40" spans="1:47" x14ac:dyDescent="0.25">
      <c r="A40" s="285" t="str" cm="1">
        <f t="array" ref="A40">IFERROR(INDEX(_xlfn._xlws.SORT(_xlfn.UNIQUE(_xlfn._xlws.FILTER($AD$7:$AD$303,$AD$7:$AD$303&lt;&gt;""))),ROWS($A$30:A40)),"")</f>
        <v>Hafer Al Batin</v>
      </c>
      <c r="B40" s="286">
        <f t="shared" si="32"/>
        <v>2</v>
      </c>
      <c r="C40" s="287">
        <f t="shared" si="33"/>
        <v>25021.530000000002</v>
      </c>
      <c r="D40" s="287">
        <f t="shared" si="34"/>
        <v>36373.649615473958</v>
      </c>
      <c r="E40" s="294">
        <f t="shared" si="35"/>
        <v>0.68790265108166171</v>
      </c>
      <c r="F40" s="295" t="str">
        <f t="shared" si="36"/>
        <v>✘ No</v>
      </c>
      <c r="G40" s="295">
        <f t="shared" si="37"/>
        <v>2</v>
      </c>
      <c r="H40" s="295">
        <f t="shared" si="38"/>
        <v>0</v>
      </c>
      <c r="I40" s="295" t="str">
        <f t="shared" si="39"/>
        <v>0 of 2</v>
      </c>
      <c r="J40" s="286">
        <f t="shared" si="40"/>
        <v>1</v>
      </c>
      <c r="K40" s="287">
        <f t="shared" si="41"/>
        <v>18003.310000000001</v>
      </c>
      <c r="L40" s="287">
        <f t="shared" si="42"/>
        <v>24824.84</v>
      </c>
      <c r="M40" s="298">
        <f t="shared" si="43"/>
        <v>-0.27478646388053252</v>
      </c>
      <c r="N40" s="299" t="str">
        <f t="shared" si="44"/>
        <v>✘ No</v>
      </c>
      <c r="O40" s="299">
        <f t="shared" si="45"/>
        <v>0</v>
      </c>
      <c r="P40" s="299" t="str">
        <f t="shared" si="46"/>
        <v>0 of 1</v>
      </c>
      <c r="Q40" s="319">
        <f t="shared" si="47"/>
        <v>7340.43</v>
      </c>
      <c r="R40" s="314">
        <f t="shared" si="48"/>
        <v>2.4087280990350703</v>
      </c>
      <c r="S40" s="314">
        <f t="shared" si="49"/>
        <v>0.29065630258158398</v>
      </c>
      <c r="T40" s="315">
        <f t="shared" si="50"/>
        <v>39.724634850007774</v>
      </c>
      <c r="U40" s="316" t="str">
        <f t="shared" si="51"/>
        <v>✘ No</v>
      </c>
      <c r="V40" s="316" t="str">
        <f t="shared" si="52"/>
        <v>0 of 2</v>
      </c>
      <c r="W40" s="314">
        <f t="shared" si="53"/>
        <v>-0.72883703579183945</v>
      </c>
      <c r="X40" s="316" t="str">
        <f t="shared" si="54"/>
        <v>0 of 1</v>
      </c>
      <c r="Y40" s="271"/>
      <c r="Z40" s="271"/>
      <c r="AA40" s="271"/>
      <c r="AB40" s="271" t="str">
        <f>IF('Sales Dashboard'!AW39="","",'Sales Dashboard'!AW39)</f>
        <v>HAMUNAIRA</v>
      </c>
      <c r="AC40" s="271" t="str">
        <f>IF(AB40="","",'Sales Dashboard'!AN39)</f>
        <v>Saleh Bin Hoiel</v>
      </c>
      <c r="AD40" s="271" t="str">
        <f>IF(AB40="","",'Sales Dashboard'!AO39)</f>
        <v>Jeddah</v>
      </c>
      <c r="AE40" s="281" cm="1">
        <f t="array" ref="AE40">IF(OR(AB40="",NOT(ISNUMBER('Sales Dashboard'!BF39))),0,SUMPRODUCT((IFERROR(--'Sales and count'!$G$2:$CC$2,0)=$C$4)*('Sales and count'!$G$3:$CC$3="Total"),INDEX('Sales and count'!$G$4:$CC$300,'Sales Dashboard'!BF39,0)))</f>
        <v>3662.05</v>
      </c>
      <c r="AF40" s="281" cm="1">
        <f t="array" ref="AF40">IF(OR(AB40="",NOT(ISNUMBER('Sales Dashboard'!BG39))),0,SUMPRODUCT(('TY Sales Target'!$K$2:$AO$2=$C$4)*1,INDEX('TY Sales Target'!$K$5:$AO$300,'Sales Dashboard'!BG39,0)))</f>
        <v>4306.0727260658587</v>
      </c>
      <c r="AG40" s="281" cm="1">
        <f t="array" ref="AG40">IF(AB40="",0,SUMPRODUCT((TRIM('LY Sales '!$B$5:$B$200)=AB40)*('LY Sales '!$C$2:$AG$2=EDATE($C$4,-12)),'LY Sales '!$C$5:$AG$200))</f>
        <v>0</v>
      </c>
      <c r="AH40" s="271">
        <f t="shared" si="0"/>
        <v>1</v>
      </c>
      <c r="AI40" s="271">
        <f t="shared" si="1"/>
        <v>1</v>
      </c>
      <c r="AJ40" s="271">
        <f t="shared" si="2"/>
        <v>0</v>
      </c>
      <c r="AK40" s="271">
        <f t="shared" si="3"/>
        <v>0</v>
      </c>
      <c r="AL40" s="271">
        <f t="shared" si="4"/>
        <v>1</v>
      </c>
      <c r="AM40" s="306" cm="1">
        <f t="array" ref="AM40">IF(OR(AB40="",NOT(ISNUMBER('Sales Dashboard'!BF39))),0,SUMPRODUCT((IFERROR(--'Sales and count'!$G$2:$CC$2,0)=$F$4)*('Sales and count'!$G$3:$CC$3="Total"),INDEX('Sales and count'!$G$4:$CC$300,'Sales Dashboard'!BF39,0)))</f>
        <v>2570.15</v>
      </c>
      <c r="AN40" s="306" cm="1">
        <f t="array" ref="AN40">IF(OR(AB40="",NOT(ISNUMBER('Sales Dashboard'!BG39))),0,SUMPRODUCT(('TY Sales Target'!$K$2:$AO$2=$F$4)*1,INDEX('TY Sales Target'!$K$5:$AO$300,'Sales Dashboard'!BG39,0)))</f>
        <v>2989.7593885026304</v>
      </c>
      <c r="AO40" s="306" cm="1">
        <f t="array" ref="AO40">IF(AB40="",0,SUMPRODUCT((TRIM('LY Sales '!$B$5:$B$200)=AB40)*('LY Sales '!$C$2:$AG$2=EDATE($F$4,-12)),'LY Sales '!$C$5:$AG$200))</f>
        <v>0</v>
      </c>
      <c r="AP40">
        <f t="shared" si="5"/>
        <v>1</v>
      </c>
      <c r="AQ40">
        <f t="shared" si="6"/>
        <v>1</v>
      </c>
      <c r="AR40">
        <f t="shared" si="7"/>
        <v>0</v>
      </c>
      <c r="AS40">
        <f t="shared" si="8"/>
        <v>0</v>
      </c>
      <c r="AU40" s="132"/>
    </row>
    <row r="41" spans="1:47" x14ac:dyDescent="0.25">
      <c r="A41" s="285" t="str" cm="1">
        <f t="array" ref="A41">IFERROR(INDEX(_xlfn._xlws.SORT(_xlfn.UNIQUE(_xlfn._xlws.FILTER($AD$7:$AD$303,$AD$7:$AD$303&lt;&gt;""))),ROWS($A$30:A41)),"")</f>
        <v>Hail</v>
      </c>
      <c r="B41" s="286">
        <f t="shared" si="32"/>
        <v>3</v>
      </c>
      <c r="C41" s="287">
        <f t="shared" si="33"/>
        <v>16601.310000000001</v>
      </c>
      <c r="D41" s="287">
        <f t="shared" si="34"/>
        <v>24012.687907708438</v>
      </c>
      <c r="E41" s="294">
        <f t="shared" si="35"/>
        <v>0.69135575591563525</v>
      </c>
      <c r="F41" s="295" t="str">
        <f t="shared" si="36"/>
        <v>✘ No</v>
      </c>
      <c r="G41" s="295">
        <f t="shared" si="37"/>
        <v>3</v>
      </c>
      <c r="H41" s="295">
        <f t="shared" si="38"/>
        <v>1</v>
      </c>
      <c r="I41" s="295" t="str">
        <f t="shared" si="39"/>
        <v>1 of 3</v>
      </c>
      <c r="J41" s="286">
        <f t="shared" si="40"/>
        <v>2</v>
      </c>
      <c r="K41" s="287">
        <f t="shared" si="41"/>
        <v>12397.2</v>
      </c>
      <c r="L41" s="287">
        <f t="shared" si="42"/>
        <v>20031.57</v>
      </c>
      <c r="M41" s="298">
        <f t="shared" si="43"/>
        <v>-0.38111690696235989</v>
      </c>
      <c r="N41" s="299" t="str">
        <f t="shared" si="44"/>
        <v>✘ No</v>
      </c>
      <c r="O41" s="299">
        <f t="shared" si="45"/>
        <v>0</v>
      </c>
      <c r="P41" s="299" t="str">
        <f t="shared" si="46"/>
        <v>0 of 2</v>
      </c>
      <c r="Q41" s="319">
        <f t="shared" si="47"/>
        <v>5221.28</v>
      </c>
      <c r="R41" s="314">
        <f t="shared" si="48"/>
        <v>2.1795479269451175</v>
      </c>
      <c r="S41" s="314">
        <f t="shared" si="49"/>
        <v>0.31317084874211232</v>
      </c>
      <c r="T41" s="315">
        <f t="shared" si="50"/>
        <v>37.81849071735229</v>
      </c>
      <c r="U41" s="316" t="str">
        <f t="shared" si="51"/>
        <v>✘ No</v>
      </c>
      <c r="V41" s="316" t="str">
        <f t="shared" si="52"/>
        <v>0 of 3</v>
      </c>
      <c r="W41" s="314">
        <f t="shared" si="53"/>
        <v>-0.47280190450663973</v>
      </c>
      <c r="X41" s="316" t="str">
        <f t="shared" si="54"/>
        <v>0 of 2</v>
      </c>
      <c r="Y41" s="271"/>
      <c r="Z41" s="271"/>
      <c r="AA41" s="271"/>
      <c r="AB41" s="271" t="str">
        <f>IF('Sales Dashboard'!AW40="","",'Sales Dashboard'!AW40)</f>
        <v>HAJUBAILML</v>
      </c>
      <c r="AC41" s="271" t="str">
        <f>IF(AB41="","",'Sales Dashboard'!AN40)</f>
        <v>Hamzah Al Makhadam</v>
      </c>
      <c r="AD41" s="271" t="str">
        <f>IF(AB41="","",'Sales Dashboard'!AO40)</f>
        <v>Jubail</v>
      </c>
      <c r="AE41" s="281" cm="1">
        <f t="array" ref="AE41">IF(OR(AB41="",NOT(ISNUMBER('Sales Dashboard'!BF40))),0,SUMPRODUCT((IFERROR(--'Sales and count'!$G$2:$CC$2,0)=$C$4)*('Sales and count'!$G$3:$CC$3="Total"),INDEX('Sales and count'!$G$4:$CC$300,'Sales Dashboard'!BF40,0)))</f>
        <v>5122.1400000000003</v>
      </c>
      <c r="AF41" s="281" cm="1">
        <f t="array" ref="AF41">IF(OR(AB41="",NOT(ISNUMBER('Sales Dashboard'!BG40))),0,SUMPRODUCT(('TY Sales Target'!$K$2:$AO$2=$C$4)*1,INDEX('TY Sales Target'!$K$5:$AO$300,'Sales Dashboard'!BG40,0)))</f>
        <v>6687.0776451846277</v>
      </c>
      <c r="AG41" s="281" cm="1">
        <f t="array" ref="AG41">IF(AB41="",0,SUMPRODUCT((TRIM('LY Sales '!$B$5:$B$200)=AB41)*('LY Sales '!$C$2:$AG$2=EDATE($C$4,-12)),'LY Sales '!$C$5:$AG$200))</f>
        <v>4309.09</v>
      </c>
      <c r="AH41" s="271">
        <f t="shared" si="0"/>
        <v>1</v>
      </c>
      <c r="AI41" s="271">
        <f t="shared" si="1"/>
        <v>0</v>
      </c>
      <c r="AJ41" s="271">
        <f t="shared" si="2"/>
        <v>1</v>
      </c>
      <c r="AK41" s="271">
        <f t="shared" si="3"/>
        <v>1</v>
      </c>
      <c r="AL41" s="271">
        <f t="shared" si="4"/>
        <v>1</v>
      </c>
      <c r="AM41" s="306" cm="1">
        <f t="array" ref="AM41">IF(OR(AB41="",NOT(ISNUMBER('Sales Dashboard'!BF40))),0,SUMPRODUCT((IFERROR(--'Sales and count'!$G$2:$CC$2,0)=$F$4)*('Sales and count'!$G$3:$CC$3="Total"),INDEX('Sales and count'!$G$4:$CC$300,'Sales Dashboard'!BF40,0)))</f>
        <v>2974.2</v>
      </c>
      <c r="AN41" s="306" cm="1">
        <f t="array" ref="AN41">IF(OR(AB41="",NOT(ISNUMBER('Sales Dashboard'!BG40))),0,SUMPRODUCT(('TY Sales Target'!$K$2:$AO$2=$F$4)*1,INDEX('TY Sales Target'!$K$5:$AO$300,'Sales Dashboard'!BG40,0)))</f>
        <v>4642.9204621452618</v>
      </c>
      <c r="AO41" s="306" cm="1">
        <f t="array" ref="AO41">IF(AB41="",0,SUMPRODUCT((TRIM('LY Sales '!$B$5:$B$200)=AB41)*('LY Sales '!$C$2:$AG$2=EDATE($F$4,-12)),'LY Sales '!$C$5:$AG$200))</f>
        <v>3541.04</v>
      </c>
      <c r="AP41">
        <f t="shared" si="5"/>
        <v>1</v>
      </c>
      <c r="AQ41">
        <f t="shared" si="6"/>
        <v>0</v>
      </c>
      <c r="AR41">
        <f t="shared" si="7"/>
        <v>1</v>
      </c>
      <c r="AS41">
        <f t="shared" si="8"/>
        <v>0</v>
      </c>
      <c r="AU41" s="132"/>
    </row>
    <row r="42" spans="1:47" x14ac:dyDescent="0.25">
      <c r="A42" s="285" t="str" cm="1">
        <f t="array" ref="A42">IFERROR(INDEX(_xlfn._xlws.SORT(_xlfn.UNIQUE(_xlfn._xlws.FILTER($AD$7:$AD$303,$AD$7:$AD$303&lt;&gt;""))),ROWS($A$30:A42)),"")</f>
        <v>Jeddah</v>
      </c>
      <c r="B42" s="286">
        <f t="shared" si="32"/>
        <v>20</v>
      </c>
      <c r="C42" s="287">
        <f t="shared" si="33"/>
        <v>189492.84000000003</v>
      </c>
      <c r="D42" s="287">
        <f t="shared" si="34"/>
        <v>255578.08121179126</v>
      </c>
      <c r="E42" s="294">
        <f t="shared" si="35"/>
        <v>0.74142836937167544</v>
      </c>
      <c r="F42" s="295" t="str">
        <f t="shared" si="36"/>
        <v>✘ No</v>
      </c>
      <c r="G42" s="295">
        <f t="shared" si="37"/>
        <v>20</v>
      </c>
      <c r="H42" s="295">
        <f t="shared" si="38"/>
        <v>8</v>
      </c>
      <c r="I42" s="295" t="str">
        <f t="shared" si="39"/>
        <v>8 of 20</v>
      </c>
      <c r="J42" s="286">
        <f t="shared" si="40"/>
        <v>12</v>
      </c>
      <c r="K42" s="287">
        <f t="shared" si="41"/>
        <v>128334.62</v>
      </c>
      <c r="L42" s="287">
        <f t="shared" si="42"/>
        <v>146590.26</v>
      </c>
      <c r="M42" s="298">
        <f t="shared" si="43"/>
        <v>-0.12453514987967151</v>
      </c>
      <c r="N42" s="299" t="str">
        <f t="shared" si="44"/>
        <v>✘ No</v>
      </c>
      <c r="O42" s="299">
        <f t="shared" si="45"/>
        <v>4</v>
      </c>
      <c r="P42" s="299" t="str">
        <f t="shared" si="46"/>
        <v>4 of 12</v>
      </c>
      <c r="Q42" s="319">
        <f t="shared" si="47"/>
        <v>84519.24</v>
      </c>
      <c r="R42" s="314">
        <f t="shared" si="48"/>
        <v>1.242008328517862</v>
      </c>
      <c r="S42" s="314">
        <f t="shared" si="49"/>
        <v>0.47629618177490407</v>
      </c>
      <c r="T42" s="315">
        <f t="shared" si="50"/>
        <v>26.513218759677137</v>
      </c>
      <c r="U42" s="316" t="str">
        <f t="shared" si="51"/>
        <v>✘ No</v>
      </c>
      <c r="V42" s="316" t="str">
        <f t="shared" si="52"/>
        <v>2 of 20</v>
      </c>
      <c r="W42" s="314">
        <f t="shared" si="53"/>
        <v>-0.12508919663219176</v>
      </c>
      <c r="X42" s="316" t="str">
        <f t="shared" si="54"/>
        <v>4 of 12</v>
      </c>
      <c r="Y42" s="271"/>
      <c r="Z42" s="271"/>
      <c r="AA42" s="271"/>
      <c r="AB42" s="271" t="str">
        <f>IF('Sales Dashboard'!AW41="","",'Sales Dashboard'!AW41)</f>
        <v>HACOMPLZ</v>
      </c>
      <c r="AC42" s="271" t="str">
        <f>IF(AB42="","",'Sales Dashboard'!AN41)</f>
        <v>Lina Al Ghathami</v>
      </c>
      <c r="AD42" s="271" t="str">
        <f>IF(AB42="","",'Sales Dashboard'!AO41)</f>
        <v>Riyadh</v>
      </c>
      <c r="AE42" s="281" cm="1">
        <f t="array" ref="AE42">IF(OR(AB42="",NOT(ISNUMBER('Sales Dashboard'!BF41))),0,SUMPRODUCT((IFERROR(--'Sales and count'!$G$2:$CC$2,0)=$C$4)*('Sales and count'!$G$3:$CC$3="Total"),INDEX('Sales and count'!$G$4:$CC$300,'Sales Dashboard'!BF41,0)))</f>
        <v>21128.39</v>
      </c>
      <c r="AF42" s="281" cm="1">
        <f t="array" ref="AF42">IF(OR(AB42="",NOT(ISNUMBER('Sales Dashboard'!BG41))),0,SUMPRODUCT(('TY Sales Target'!$K$2:$AO$2=$C$4)*1,INDEX('TY Sales Target'!$K$5:$AO$300,'Sales Dashboard'!BG41,0)))</f>
        <v>29433.273574638402</v>
      </c>
      <c r="AG42" s="281" cm="1">
        <f t="array" ref="AG42">IF(AB42="",0,SUMPRODUCT((TRIM('LY Sales '!$B$5:$B$200)=AB42)*('LY Sales '!$C$2:$AG$2=EDATE($C$4,-12)),'LY Sales '!$C$5:$AG$200))</f>
        <v>0</v>
      </c>
      <c r="AH42" s="271">
        <f t="shared" si="0"/>
        <v>1</v>
      </c>
      <c r="AI42" s="271">
        <f t="shared" si="1"/>
        <v>0</v>
      </c>
      <c r="AJ42" s="271">
        <f t="shared" si="2"/>
        <v>0</v>
      </c>
      <c r="AK42" s="271">
        <f t="shared" si="3"/>
        <v>0</v>
      </c>
      <c r="AL42" s="271">
        <f t="shared" si="4"/>
        <v>1</v>
      </c>
      <c r="AM42" s="306" cm="1">
        <f t="array" ref="AM42">IF(OR(AB42="",NOT(ISNUMBER('Sales Dashboard'!BF41))),0,SUMPRODUCT((IFERROR(--'Sales and count'!$G$2:$CC$2,0)=$F$4)*('Sales and count'!$G$3:$CC$3="Total"),INDEX('Sales and count'!$G$4:$CC$300,'Sales Dashboard'!BF41,0)))</f>
        <v>12452.57</v>
      </c>
      <c r="AN42" s="306" cm="1">
        <f t="array" ref="AN42">IF(OR(AB42="",NOT(ISNUMBER('Sales Dashboard'!BG41))),0,SUMPRODUCT(('TY Sales Target'!$K$2:$AO$2=$F$4)*1,INDEX('TY Sales Target'!$K$5:$AO$300,'Sales Dashboard'!BG41,0)))</f>
        <v>20435.884761412097</v>
      </c>
      <c r="AO42" s="306" cm="1">
        <f t="array" ref="AO42">IF(AB42="",0,SUMPRODUCT((TRIM('LY Sales '!$B$5:$B$200)=AB42)*('LY Sales '!$C$2:$AG$2=EDATE($F$4,-12)),'LY Sales '!$C$5:$AG$200))</f>
        <v>0</v>
      </c>
      <c r="AP42">
        <f t="shared" si="5"/>
        <v>1</v>
      </c>
      <c r="AQ42">
        <f t="shared" si="6"/>
        <v>0</v>
      </c>
      <c r="AR42">
        <f t="shared" si="7"/>
        <v>0</v>
      </c>
      <c r="AS42">
        <f t="shared" si="8"/>
        <v>0</v>
      </c>
      <c r="AU42" s="132"/>
    </row>
    <row r="43" spans="1:47" x14ac:dyDescent="0.25">
      <c r="A43" s="285" t="str" cm="1">
        <f t="array" ref="A43">IFERROR(INDEX(_xlfn._xlws.SORT(_xlfn.UNIQUE(_xlfn._xlws.FILTER($AD$7:$AD$303,$AD$7:$AD$303&lt;&gt;""))),ROWS($A$30:A43)),"")</f>
        <v>Jizan</v>
      </c>
      <c r="B43" s="286">
        <f t="shared" si="32"/>
        <v>3</v>
      </c>
      <c r="C43" s="287">
        <f t="shared" si="33"/>
        <v>36360.92</v>
      </c>
      <c r="D43" s="287">
        <f t="shared" si="34"/>
        <v>42300.832073705795</v>
      </c>
      <c r="E43" s="294">
        <f t="shared" si="35"/>
        <v>0.85957930890446843</v>
      </c>
      <c r="F43" s="295" t="str">
        <f t="shared" si="36"/>
        <v>✔ Yes</v>
      </c>
      <c r="G43" s="295">
        <f t="shared" si="37"/>
        <v>3</v>
      </c>
      <c r="H43" s="295">
        <f t="shared" si="38"/>
        <v>2</v>
      </c>
      <c r="I43" s="295" t="str">
        <f t="shared" si="39"/>
        <v>2 of 3</v>
      </c>
      <c r="J43" s="286">
        <f t="shared" si="40"/>
        <v>1</v>
      </c>
      <c r="K43" s="287">
        <f t="shared" si="41"/>
        <v>20382.560000000001</v>
      </c>
      <c r="L43" s="287">
        <f t="shared" si="42"/>
        <v>26494.85</v>
      </c>
      <c r="M43" s="298">
        <f t="shared" si="43"/>
        <v>-0.2306972864537824</v>
      </c>
      <c r="N43" s="299" t="str">
        <f t="shared" si="44"/>
        <v>✘ No</v>
      </c>
      <c r="O43" s="299">
        <f t="shared" si="45"/>
        <v>0</v>
      </c>
      <c r="P43" s="299" t="str">
        <f t="shared" si="46"/>
        <v>0 of 1</v>
      </c>
      <c r="Q43" s="319">
        <f t="shared" si="47"/>
        <v>9231.5499999999993</v>
      </c>
      <c r="R43" s="314">
        <f t="shared" si="48"/>
        <v>2.9387665126658038</v>
      </c>
      <c r="S43" s="314">
        <f t="shared" si="49"/>
        <v>0.31431914767734637</v>
      </c>
      <c r="T43" s="315">
        <f t="shared" si="50"/>
        <v>54.526016122712207</v>
      </c>
      <c r="U43" s="316" t="str">
        <f t="shared" si="51"/>
        <v>✘ No</v>
      </c>
      <c r="V43" s="316" t="str">
        <f t="shared" si="52"/>
        <v>0 of 3</v>
      </c>
      <c r="W43" s="314">
        <f t="shared" si="53"/>
        <v>-0.22243965340116056</v>
      </c>
      <c r="X43" s="316" t="str">
        <f t="shared" si="54"/>
        <v>0 of 1</v>
      </c>
      <c r="Y43" s="271"/>
      <c r="Z43" s="271"/>
      <c r="AA43" s="271"/>
      <c r="AB43" s="271" t="str">
        <f>IF('Sales Dashboard'!AW42="","",'Sales Dashboard'!AW42)</f>
        <v>OTHAFAN</v>
      </c>
      <c r="AC43" s="271" t="str">
        <f>IF(AB43="","",'Sales Dashboard'!AN42)</f>
        <v>Lina Al Ghathami</v>
      </c>
      <c r="AD43" s="271" t="str">
        <f>IF(AB43="","",'Sales Dashboard'!AO42)</f>
        <v>Riyadh</v>
      </c>
      <c r="AE43" s="281" cm="1">
        <f t="array" ref="AE43">IF(OR(AB43="",NOT(ISNUMBER('Sales Dashboard'!BF42))),0,SUMPRODUCT((IFERROR(--'Sales and count'!$G$2:$CC$2,0)=$C$4)*('Sales and count'!$G$3:$CC$3="Total"),INDEX('Sales and count'!$G$4:$CC$300,'Sales Dashboard'!BF42,0)))</f>
        <v>9428.27</v>
      </c>
      <c r="AF43" s="281" cm="1">
        <f t="array" ref="AF43">IF(OR(AB43="",NOT(ISNUMBER('Sales Dashboard'!BG42))),0,SUMPRODUCT(('TY Sales Target'!$K$2:$AO$2=$C$4)*1,INDEX('TY Sales Target'!$K$5:$AO$300,'Sales Dashboard'!BG42,0)))</f>
        <v>13982.071439931495</v>
      </c>
      <c r="AG43" s="281" cm="1">
        <f t="array" ref="AG43">IF(AB43="",0,SUMPRODUCT((TRIM('LY Sales '!$B$5:$B$200)=AB43)*('LY Sales '!$C$2:$AG$2=EDATE($C$4,-12)),'LY Sales '!$C$5:$AG$200))</f>
        <v>18894.57</v>
      </c>
      <c r="AH43" s="271">
        <f t="shared" si="0"/>
        <v>1</v>
      </c>
      <c r="AI43" s="271">
        <f t="shared" si="1"/>
        <v>0</v>
      </c>
      <c r="AJ43" s="271">
        <f t="shared" si="2"/>
        <v>1</v>
      </c>
      <c r="AK43" s="271">
        <f t="shared" si="3"/>
        <v>0</v>
      </c>
      <c r="AL43" s="271">
        <f t="shared" si="4"/>
        <v>1</v>
      </c>
      <c r="AM43" s="306" cm="1">
        <f t="array" ref="AM43">IF(OR(AB43="",NOT(ISNUMBER('Sales Dashboard'!BF42))),0,SUMPRODUCT((IFERROR(--'Sales and count'!$G$2:$CC$2,0)=$F$4)*('Sales and count'!$G$3:$CC$3="Total"),INDEX('Sales and count'!$G$4:$CC$300,'Sales Dashboard'!BF42,0)))</f>
        <v>6962.51</v>
      </c>
      <c r="AN43" s="306" cm="1">
        <f t="array" ref="AN43">IF(OR(AB43="",NOT(ISNUMBER('Sales Dashboard'!BG42))),0,SUMPRODUCT(('TY Sales Target'!$K$2:$AO$2=$F$4)*1,INDEX('TY Sales Target'!$K$5:$AO$300,'Sales Dashboard'!BG42,0)))</f>
        <v>9707.9246026673645</v>
      </c>
      <c r="AO43" s="306" cm="1">
        <f t="array" ref="AO43">IF(AB43="",0,SUMPRODUCT((TRIM('LY Sales '!$B$5:$B$200)=AB43)*('LY Sales '!$C$2:$AG$2=EDATE($F$4,-12)),'LY Sales '!$C$5:$AG$200))</f>
        <v>8642.2099999999991</v>
      </c>
      <c r="AP43">
        <f t="shared" si="5"/>
        <v>1</v>
      </c>
      <c r="AQ43">
        <f t="shared" si="6"/>
        <v>0</v>
      </c>
      <c r="AR43">
        <f t="shared" si="7"/>
        <v>1</v>
      </c>
      <c r="AS43">
        <f t="shared" si="8"/>
        <v>0</v>
      </c>
      <c r="AU43" s="132"/>
    </row>
    <row r="44" spans="1:47" x14ac:dyDescent="0.25">
      <c r="A44" s="285" t="str" cm="1">
        <f t="array" ref="A44">IFERROR(INDEX(_xlfn._xlws.SORT(_xlfn.UNIQUE(_xlfn._xlws.FILTER($AD$7:$AD$303,$AD$7:$AD$303&lt;&gt;""))),ROWS($A$30:A44)),"")</f>
        <v>Jubail</v>
      </c>
      <c r="B44" s="286">
        <f t="shared" si="32"/>
        <v>2</v>
      </c>
      <c r="C44" s="287">
        <f t="shared" si="33"/>
        <v>14795.34</v>
      </c>
      <c r="D44" s="287">
        <f t="shared" si="34"/>
        <v>21631.682988589666</v>
      </c>
      <c r="E44" s="294">
        <f t="shared" si="35"/>
        <v>0.68396619938468417</v>
      </c>
      <c r="F44" s="295" t="str">
        <f t="shared" si="36"/>
        <v>✘ No</v>
      </c>
      <c r="G44" s="295">
        <f t="shared" si="37"/>
        <v>2</v>
      </c>
      <c r="H44" s="295">
        <f t="shared" si="38"/>
        <v>0</v>
      </c>
      <c r="I44" s="295" t="str">
        <f t="shared" si="39"/>
        <v>0 of 2</v>
      </c>
      <c r="J44" s="286">
        <f t="shared" si="40"/>
        <v>2</v>
      </c>
      <c r="K44" s="287">
        <f t="shared" si="41"/>
        <v>14795.34</v>
      </c>
      <c r="L44" s="287">
        <f t="shared" si="42"/>
        <v>14266.44</v>
      </c>
      <c r="M44" s="298">
        <f t="shared" si="43"/>
        <v>3.7073018917122891E-2</v>
      </c>
      <c r="N44" s="299" t="str">
        <f t="shared" si="44"/>
        <v>✔ Yes</v>
      </c>
      <c r="O44" s="299">
        <f t="shared" si="45"/>
        <v>1</v>
      </c>
      <c r="P44" s="299" t="str">
        <f t="shared" si="46"/>
        <v>1 of 2</v>
      </c>
      <c r="Q44" s="319">
        <f t="shared" si="47"/>
        <v>9145.58</v>
      </c>
      <c r="R44" s="314">
        <f t="shared" si="48"/>
        <v>0.61775852378963392</v>
      </c>
      <c r="S44" s="314">
        <f t="shared" si="49"/>
        <v>0.60892816958610985</v>
      </c>
      <c r="T44" s="315">
        <f t="shared" si="50"/>
        <v>7.5038029798574328</v>
      </c>
      <c r="U44" s="316" t="str">
        <f t="shared" si="51"/>
        <v>✘ No</v>
      </c>
      <c r="V44" s="316" t="str">
        <f t="shared" si="52"/>
        <v>0 of 2</v>
      </c>
      <c r="W44" s="314">
        <f t="shared" si="53"/>
        <v>-0.2669596504713363</v>
      </c>
      <c r="X44" s="316" t="str">
        <f t="shared" si="54"/>
        <v>0 of 2</v>
      </c>
      <c r="Y44" s="271"/>
      <c r="Z44" s="271"/>
      <c r="AA44" s="271"/>
      <c r="AB44" s="271" t="str">
        <f>IF('Sales Dashboard'!AW43="","",'Sales Dashboard'!AW43)</f>
        <v>HAMAKHLTON</v>
      </c>
      <c r="AC44" s="271" t="str">
        <f>IF(AB44="","",'Sales Dashboard'!AN43)</f>
        <v>Maram Zamzami</v>
      </c>
      <c r="AD44" s="271" t="str">
        <f>IF(AB44="","",'Sales Dashboard'!AO43)</f>
        <v>Makkah</v>
      </c>
      <c r="AE44" s="281" cm="1">
        <f t="array" ref="AE44">IF(OR(AB44="",NOT(ISNUMBER('Sales Dashboard'!BF43))),0,SUMPRODUCT((IFERROR(--'Sales and count'!$G$2:$CC$2,0)=$C$4)*('Sales and count'!$G$3:$CC$3="Total"),INDEX('Sales and count'!$G$4:$CC$300,'Sales Dashboard'!BF43,0)))</f>
        <v>16610.349999999999</v>
      </c>
      <c r="AF44" s="281" cm="1">
        <f t="array" ref="AF44">IF(OR(AB44="",NOT(ISNUMBER('Sales Dashboard'!BG43))),0,SUMPRODUCT(('TY Sales Target'!$K$2:$AO$2=$C$4)*1,INDEX('TY Sales Target'!$K$5:$AO$300,'Sales Dashboard'!BG43,0)))</f>
        <v>32928.791434621271</v>
      </c>
      <c r="AG44" s="281" cm="1">
        <f t="array" ref="AG44">IF(AB44="",0,SUMPRODUCT((TRIM('LY Sales '!$B$5:$B$200)=AB44)*('LY Sales '!$C$2:$AG$2=EDATE($C$4,-12)),'LY Sales '!$C$5:$AG$200))</f>
        <v>0</v>
      </c>
      <c r="AH44" s="271">
        <f t="shared" si="0"/>
        <v>1</v>
      </c>
      <c r="AI44" s="271">
        <f t="shared" si="1"/>
        <v>0</v>
      </c>
      <c r="AJ44" s="271">
        <f t="shared" si="2"/>
        <v>0</v>
      </c>
      <c r="AK44" s="271">
        <f t="shared" si="3"/>
        <v>0</v>
      </c>
      <c r="AL44" s="271">
        <f t="shared" si="4"/>
        <v>1</v>
      </c>
      <c r="AM44" s="306" cm="1">
        <f t="array" ref="AM44">IF(OR(AB44="",NOT(ISNUMBER('Sales Dashboard'!BF43))),0,SUMPRODUCT((IFERROR(--'Sales and count'!$G$2:$CC$2,0)=$F$4)*('Sales and count'!$G$3:$CC$3="Total"),INDEX('Sales and count'!$G$4:$CC$300,'Sales Dashboard'!BF43,0)))</f>
        <v>11835.78</v>
      </c>
      <c r="AN44" s="306" cm="1">
        <f t="array" ref="AN44">IF(OR(AB44="",NOT(ISNUMBER('Sales Dashboard'!BG43))),0,SUMPRODUCT(('TY Sales Target'!$K$2:$AO$2=$F$4)*1,INDEX('TY Sales Target'!$K$5:$AO$300,'Sales Dashboard'!BG43,0)))</f>
        <v>22862.865912078938</v>
      </c>
      <c r="AO44" s="306" cm="1">
        <f t="array" ref="AO44">IF(AB44="",0,SUMPRODUCT((TRIM('LY Sales '!$B$5:$B$200)=AB44)*('LY Sales '!$C$2:$AG$2=EDATE($F$4,-12)),'LY Sales '!$C$5:$AG$200))</f>
        <v>0</v>
      </c>
      <c r="AP44">
        <f t="shared" si="5"/>
        <v>1</v>
      </c>
      <c r="AQ44">
        <f t="shared" si="6"/>
        <v>0</v>
      </c>
      <c r="AR44">
        <f t="shared" si="7"/>
        <v>0</v>
      </c>
      <c r="AS44">
        <f t="shared" si="8"/>
        <v>0</v>
      </c>
      <c r="AU44" s="132"/>
    </row>
    <row r="45" spans="1:47" x14ac:dyDescent="0.25">
      <c r="A45" s="285" t="str" cm="1">
        <f t="array" ref="A45">IFERROR(INDEX(_xlfn._xlws.SORT(_xlfn.UNIQUE(_xlfn._xlws.FILTER($AD$7:$AD$303,$AD$7:$AD$303&lt;&gt;""))),ROWS($A$30:A45)),"")</f>
        <v>Khamis meshaet</v>
      </c>
      <c r="B45" s="286">
        <f t="shared" si="32"/>
        <v>3</v>
      </c>
      <c r="C45" s="287">
        <f t="shared" si="33"/>
        <v>22326.48</v>
      </c>
      <c r="D45" s="287">
        <f t="shared" si="34"/>
        <v>41287.638491102065</v>
      </c>
      <c r="E45" s="294">
        <f t="shared" si="35"/>
        <v>0.54075458941086196</v>
      </c>
      <c r="F45" s="295" t="str">
        <f t="shared" si="36"/>
        <v>✘ No</v>
      </c>
      <c r="G45" s="295">
        <f t="shared" si="37"/>
        <v>3</v>
      </c>
      <c r="H45" s="295">
        <f t="shared" si="38"/>
        <v>0</v>
      </c>
      <c r="I45" s="295" t="str">
        <f t="shared" si="39"/>
        <v>0 of 3</v>
      </c>
      <c r="J45" s="286">
        <f t="shared" si="40"/>
        <v>2</v>
      </c>
      <c r="K45" s="287">
        <f t="shared" si="41"/>
        <v>18584.349999999999</v>
      </c>
      <c r="L45" s="287">
        <f t="shared" si="42"/>
        <v>24433.67</v>
      </c>
      <c r="M45" s="298">
        <f t="shared" si="43"/>
        <v>-0.23939588281252877</v>
      </c>
      <c r="N45" s="299" t="str">
        <f t="shared" si="44"/>
        <v>✘ No</v>
      </c>
      <c r="O45" s="299">
        <f t="shared" si="45"/>
        <v>1</v>
      </c>
      <c r="P45" s="299" t="str">
        <f t="shared" si="46"/>
        <v>1 of 2</v>
      </c>
      <c r="Q45" s="319">
        <f t="shared" si="47"/>
        <v>6149.41</v>
      </c>
      <c r="R45" s="314">
        <f t="shared" si="48"/>
        <v>2.6306702594232618</v>
      </c>
      <c r="S45" s="314">
        <f t="shared" si="49"/>
        <v>0.21451542611382612</v>
      </c>
      <c r="T45" s="315">
        <f t="shared" si="50"/>
        <v>32.623916329703583</v>
      </c>
      <c r="U45" s="316" t="str">
        <f t="shared" si="51"/>
        <v>✘ No</v>
      </c>
      <c r="V45" s="316" t="str">
        <f t="shared" si="52"/>
        <v>0 of 3</v>
      </c>
      <c r="W45" s="314">
        <f t="shared" si="53"/>
        <v>-6.4297048002650348E-2</v>
      </c>
      <c r="X45" s="316" t="str">
        <f t="shared" si="54"/>
        <v>1 of 2</v>
      </c>
      <c r="Y45" s="271"/>
      <c r="Z45" s="271"/>
      <c r="AA45" s="271"/>
      <c r="AB45" s="271" t="str">
        <f>IF('Sales Dashboard'!AW44="","",'Sales Dashboard'!AW44)</f>
        <v>HASEHSA</v>
      </c>
      <c r="AC45" s="271" t="str">
        <f>IF(AB45="","",'Sales Dashboard'!AN44)</f>
        <v>Hamzah Al Makhadam</v>
      </c>
      <c r="AD45" s="271" t="str">
        <f>IF(AB45="","",'Sales Dashboard'!AO44)</f>
        <v>Al Hasa</v>
      </c>
      <c r="AE45" s="281" cm="1">
        <f t="array" ref="AE45">IF(OR(AB45="",NOT(ISNUMBER('Sales Dashboard'!BF44))),0,SUMPRODUCT((IFERROR(--'Sales and count'!$G$2:$CC$2,0)=$C$4)*('Sales and count'!$G$3:$CC$3="Total"),INDEX('Sales and count'!$G$4:$CC$300,'Sales Dashboard'!BF44,0)))</f>
        <v>15160.33</v>
      </c>
      <c r="AF45" s="281" cm="1">
        <f t="array" ref="AF45">IF(OR(AB45="",NOT(ISNUMBER('Sales Dashboard'!BG44))),0,SUMPRODUCT(('TY Sales Target'!$K$2:$AO$2=$C$4)*1,INDEX('TY Sales Target'!$K$5:$AO$300,'Sales Dashboard'!BG44,0)))</f>
        <v>17173.631225133249</v>
      </c>
      <c r="AG45" s="281" cm="1">
        <f t="array" ref="AG45">IF(AB45="",0,SUMPRODUCT((TRIM('LY Sales '!$B$5:$B$200)=AB45)*('LY Sales '!$C$2:$AG$2=EDATE($C$4,-12)),'LY Sales '!$C$5:$AG$200))</f>
        <v>12213.33</v>
      </c>
      <c r="AH45" s="271">
        <f t="shared" si="0"/>
        <v>1</v>
      </c>
      <c r="AI45" s="271">
        <f t="shared" si="1"/>
        <v>1</v>
      </c>
      <c r="AJ45" s="271">
        <f t="shared" si="2"/>
        <v>1</v>
      </c>
      <c r="AK45" s="271">
        <f t="shared" si="3"/>
        <v>1</v>
      </c>
      <c r="AL45" s="271">
        <f t="shared" si="4"/>
        <v>1</v>
      </c>
      <c r="AM45" s="306" cm="1">
        <f t="array" ref="AM45">IF(OR(AB45="",NOT(ISNUMBER('Sales Dashboard'!BF44))),0,SUMPRODUCT((IFERROR(--'Sales and count'!$G$2:$CC$2,0)=$F$4)*('Sales and count'!$G$3:$CC$3="Total"),INDEX('Sales and count'!$G$4:$CC$300,'Sales Dashboard'!BF44,0)))</f>
        <v>4960.29</v>
      </c>
      <c r="AN45" s="306" cm="1">
        <f t="array" ref="AN45">IF(OR(AB45="",NOT(ISNUMBER('Sales Dashboard'!BG44))),0,SUMPRODUCT(('TY Sales Target'!$K$2:$AO$2=$F$4)*1,INDEX('TY Sales Target'!$K$5:$AO$300,'Sales Dashboard'!BG44,0)))</f>
        <v>11923.863914145786</v>
      </c>
      <c r="AO45" s="306" cm="1">
        <f t="array" ref="AO45">IF(AB45="",0,SUMPRODUCT((TRIM('LY Sales '!$B$5:$B$200)=AB45)*('LY Sales '!$C$2:$AG$2=EDATE($F$4,-12)),'LY Sales '!$C$5:$AG$200))</f>
        <v>4870.1000000000004</v>
      </c>
      <c r="AP45">
        <f t="shared" si="5"/>
        <v>1</v>
      </c>
      <c r="AQ45">
        <f t="shared" si="6"/>
        <v>0</v>
      </c>
      <c r="AR45">
        <f t="shared" si="7"/>
        <v>1</v>
      </c>
      <c r="AS45">
        <f t="shared" si="8"/>
        <v>1</v>
      </c>
      <c r="AU45" s="132"/>
    </row>
    <row r="46" spans="1:47" x14ac:dyDescent="0.25">
      <c r="A46" s="285" t="str" cm="1">
        <f t="array" ref="A46">IFERROR(INDEX(_xlfn._xlws.SORT(_xlfn.UNIQUE(_xlfn._xlws.FILTER($AD$7:$AD$303,$AD$7:$AD$303&lt;&gt;""))),ROWS($A$30:A46)),"")</f>
        <v>Khobar</v>
      </c>
      <c r="B46" s="286">
        <f t="shared" si="32"/>
        <v>3</v>
      </c>
      <c r="C46" s="287">
        <f t="shared" si="33"/>
        <v>44584.04</v>
      </c>
      <c r="D46" s="287">
        <f t="shared" si="34"/>
        <v>64844.38928663882</v>
      </c>
      <c r="E46" s="294">
        <f t="shared" si="35"/>
        <v>0.68755432028082253</v>
      </c>
      <c r="F46" s="295" t="str">
        <f t="shared" si="36"/>
        <v>✘ No</v>
      </c>
      <c r="G46" s="295">
        <f t="shared" si="37"/>
        <v>3</v>
      </c>
      <c r="H46" s="295">
        <f t="shared" si="38"/>
        <v>0</v>
      </c>
      <c r="I46" s="295" t="str">
        <f t="shared" si="39"/>
        <v>0 of 3</v>
      </c>
      <c r="J46" s="286">
        <f t="shared" si="40"/>
        <v>1</v>
      </c>
      <c r="K46" s="287">
        <f t="shared" si="41"/>
        <v>34314.83</v>
      </c>
      <c r="L46" s="287">
        <f t="shared" si="42"/>
        <v>31505.57</v>
      </c>
      <c r="M46" s="298">
        <f t="shared" si="43"/>
        <v>8.9167090136760052E-2</v>
      </c>
      <c r="N46" s="299" t="str">
        <f t="shared" si="44"/>
        <v>✔ Yes</v>
      </c>
      <c r="O46" s="299">
        <f t="shared" si="45"/>
        <v>1</v>
      </c>
      <c r="P46" s="299" t="str">
        <f t="shared" si="46"/>
        <v>1 of 1</v>
      </c>
      <c r="Q46" s="319">
        <f t="shared" si="47"/>
        <v>24516.510000000002</v>
      </c>
      <c r="R46" s="314">
        <f t="shared" si="48"/>
        <v>0.81853126729701731</v>
      </c>
      <c r="S46" s="314">
        <f t="shared" si="49"/>
        <v>0.54454197834390961</v>
      </c>
      <c r="T46" s="315">
        <f t="shared" si="50"/>
        <v>14.301234193691293</v>
      </c>
      <c r="U46" s="316" t="str">
        <f t="shared" si="51"/>
        <v>✘ No</v>
      </c>
      <c r="V46" s="316" t="str">
        <f t="shared" si="52"/>
        <v>0 of 3</v>
      </c>
      <c r="W46" s="314">
        <f t="shared" si="53"/>
        <v>-0.17647012358508196</v>
      </c>
      <c r="X46" s="316" t="str">
        <f t="shared" si="54"/>
        <v>0 of 1</v>
      </c>
      <c r="Y46" s="271"/>
      <c r="Z46" s="271"/>
      <c r="AA46" s="271"/>
      <c r="AB46" s="271" t="str">
        <f>IF('Sales Dashboard'!AW45="","",'Sales Dashboard'!AW45)</f>
        <v>HAFALLSQ</v>
      </c>
      <c r="AC46" s="271" t="str">
        <f>IF(AB46="","",'Sales Dashboard'!AN45)</f>
        <v>Saleh Bin Hoiel</v>
      </c>
      <c r="AD46" s="271" t="str">
        <f>IF(AB46="","",'Sales Dashboard'!AO45)</f>
        <v>Jeddah</v>
      </c>
      <c r="AE46" s="281" cm="1">
        <f t="array" ref="AE46">IF(OR(AB46="",NOT(ISNUMBER('Sales Dashboard'!BF45))),0,SUMPRODUCT((IFERROR(--'Sales and count'!$G$2:$CC$2,0)=$C$4)*('Sales and count'!$G$3:$CC$3="Total"),INDEX('Sales and count'!$G$4:$CC$300,'Sales Dashboard'!BF45,0)))</f>
        <v>5623.22</v>
      </c>
      <c r="AF46" s="281" cm="1">
        <f t="array" ref="AF46">IF(OR(AB46="",NOT(ISNUMBER('Sales Dashboard'!BG45))),0,SUMPRODUCT(('TY Sales Target'!$K$2:$AO$2=$C$4)*1,INDEX('TY Sales Target'!$K$5:$AO$300,'Sales Dashboard'!BG45,0)))</f>
        <v>6079.1614956223893</v>
      </c>
      <c r="AG46" s="281" cm="1">
        <f t="array" ref="AG46">IF(AB46="",0,SUMPRODUCT((TRIM('LY Sales '!$B$5:$B$200)=AB46)*('LY Sales '!$C$2:$AG$2=EDATE($C$4,-12)),'LY Sales '!$C$5:$AG$200))</f>
        <v>0</v>
      </c>
      <c r="AH46" s="271">
        <f t="shared" si="0"/>
        <v>1</v>
      </c>
      <c r="AI46" s="271">
        <f t="shared" si="1"/>
        <v>1</v>
      </c>
      <c r="AJ46" s="271">
        <f t="shared" si="2"/>
        <v>0</v>
      </c>
      <c r="AK46" s="271">
        <f t="shared" si="3"/>
        <v>0</v>
      </c>
      <c r="AL46" s="271">
        <f t="shared" si="4"/>
        <v>1</v>
      </c>
      <c r="AM46" s="306" cm="1">
        <f t="array" ref="AM46">IF(OR(AB46="",NOT(ISNUMBER('Sales Dashboard'!BF45))),0,SUMPRODUCT((IFERROR(--'Sales and count'!$G$2:$CC$2,0)=$F$4)*('Sales and count'!$G$3:$CC$3="Total"),INDEX('Sales and count'!$G$4:$CC$300,'Sales Dashboard'!BF45,0)))</f>
        <v>3736.25</v>
      </c>
      <c r="AN46" s="306" cm="1">
        <f t="array" ref="AN46">IF(OR(AB46="",NOT(ISNUMBER('Sales Dashboard'!BG45))),0,SUMPRODUCT(('TY Sales Target'!$K$2:$AO$2=$F$4)*1,INDEX('TY Sales Target'!$K$5:$AO$300,'Sales Dashboard'!BG45,0)))</f>
        <v>4220.83678376842</v>
      </c>
      <c r="AO46" s="306" cm="1">
        <f t="array" ref="AO46">IF(AB46="",0,SUMPRODUCT((TRIM('LY Sales '!$B$5:$B$200)=AB46)*('LY Sales '!$C$2:$AG$2=EDATE($F$4,-12)),'LY Sales '!$C$5:$AG$200))</f>
        <v>0</v>
      </c>
      <c r="AP46">
        <f t="shared" si="5"/>
        <v>1</v>
      </c>
      <c r="AQ46">
        <f t="shared" si="6"/>
        <v>1</v>
      </c>
      <c r="AR46">
        <f t="shared" si="7"/>
        <v>0</v>
      </c>
      <c r="AS46">
        <f t="shared" si="8"/>
        <v>0</v>
      </c>
      <c r="AU46" s="132"/>
    </row>
    <row r="47" spans="1:47" x14ac:dyDescent="0.25">
      <c r="A47" s="285" t="str" cm="1">
        <f t="array" ref="A47">IFERROR(INDEX(_xlfn._xlws.SORT(_xlfn.UNIQUE(_xlfn._xlws.FILTER($AD$7:$AD$303,$AD$7:$AD$303&lt;&gt;""))),ROWS($A$30:A47)),"")</f>
        <v>Madinah</v>
      </c>
      <c r="B47" s="286">
        <f t="shared" si="32"/>
        <v>11</v>
      </c>
      <c r="C47" s="287">
        <f t="shared" si="33"/>
        <v>51081.069999999992</v>
      </c>
      <c r="D47" s="287">
        <f t="shared" si="34"/>
        <v>102585.85023862784</v>
      </c>
      <c r="E47" s="294">
        <f t="shared" si="35"/>
        <v>0.49793485048063524</v>
      </c>
      <c r="F47" s="295" t="str">
        <f t="shared" si="36"/>
        <v>✘ No</v>
      </c>
      <c r="G47" s="295">
        <f t="shared" si="37"/>
        <v>11</v>
      </c>
      <c r="H47" s="295">
        <f t="shared" si="38"/>
        <v>0</v>
      </c>
      <c r="I47" s="295" t="str">
        <f t="shared" si="39"/>
        <v>0 of 11</v>
      </c>
      <c r="J47" s="286">
        <f t="shared" si="40"/>
        <v>3</v>
      </c>
      <c r="K47" s="287">
        <f t="shared" si="41"/>
        <v>15825.21</v>
      </c>
      <c r="L47" s="287">
        <f t="shared" si="42"/>
        <v>32527.88</v>
      </c>
      <c r="M47" s="298">
        <f t="shared" si="43"/>
        <v>-0.51348781414589584</v>
      </c>
      <c r="N47" s="299" t="str">
        <f t="shared" si="44"/>
        <v>✘ No</v>
      </c>
      <c r="O47" s="299">
        <f t="shared" si="45"/>
        <v>0</v>
      </c>
      <c r="P47" s="299" t="str">
        <f t="shared" si="46"/>
        <v>0 of 3</v>
      </c>
      <c r="Q47" s="319">
        <f t="shared" si="47"/>
        <v>51613.439999999995</v>
      </c>
      <c r="R47" s="314">
        <f t="shared" si="48"/>
        <v>-1.0314561478560691E-2</v>
      </c>
      <c r="S47" s="314">
        <f t="shared" si="49"/>
        <v>0.72463693312762645</v>
      </c>
      <c r="T47" s="315">
        <f t="shared" si="50"/>
        <v>-22.67020826469912</v>
      </c>
      <c r="U47" s="316" t="str">
        <f t="shared" si="51"/>
        <v>✘ No</v>
      </c>
      <c r="V47" s="316" t="str">
        <f t="shared" si="52"/>
        <v>3 of 11</v>
      </c>
      <c r="W47" s="314">
        <f t="shared" si="53"/>
        <v>6.213016445960462E-2</v>
      </c>
      <c r="X47" s="316" t="str">
        <f t="shared" si="54"/>
        <v>2 of 3</v>
      </c>
      <c r="Y47" s="271"/>
      <c r="Z47" s="271"/>
      <c r="AA47" s="271"/>
      <c r="AB47" s="271" t="str">
        <f>IF('Sales Dashboard'!AW46="","",'Sales Dashboard'!AW46)</f>
        <v>JEDDARAB</v>
      </c>
      <c r="AC47" s="271" t="str">
        <f>IF(AB47="","",'Sales Dashboard'!AN46)</f>
        <v>Saleh Bin Hoiel</v>
      </c>
      <c r="AD47" s="271" t="str">
        <f>IF(AB47="","",'Sales Dashboard'!AO46)</f>
        <v>Jeddah</v>
      </c>
      <c r="AE47" s="281" cm="1">
        <f t="array" ref="AE47">IF(OR(AB47="",NOT(ISNUMBER('Sales Dashboard'!BF46))),0,SUMPRODUCT((IFERROR(--'Sales and count'!$G$2:$CC$2,0)=$C$4)*('Sales and count'!$G$3:$CC$3="Total"),INDEX('Sales and count'!$G$4:$CC$300,'Sales Dashboard'!BF46,0)))</f>
        <v>11578.16</v>
      </c>
      <c r="AF47" s="281" cm="1">
        <f t="array" ref="AF47">IF(OR(AB47="",NOT(ISNUMBER('Sales Dashboard'!BG46))),0,SUMPRODUCT(('TY Sales Target'!$K$2:$AO$2=$C$4)*1,INDEX('TY Sales Target'!$K$5:$AO$300,'Sales Dashboard'!BG46,0)))</f>
        <v>17224.290904263435</v>
      </c>
      <c r="AG47" s="281" cm="1">
        <f t="array" ref="AG47">IF(AB47="",0,SUMPRODUCT((TRIM('LY Sales '!$B$5:$B$200)=AB47)*('LY Sales '!$C$2:$AG$2=EDATE($C$4,-12)),'LY Sales '!$C$5:$AG$200))</f>
        <v>10193.25</v>
      </c>
      <c r="AH47" s="271">
        <f t="shared" si="0"/>
        <v>1</v>
      </c>
      <c r="AI47" s="271">
        <f t="shared" si="1"/>
        <v>0</v>
      </c>
      <c r="AJ47" s="271">
        <f t="shared" si="2"/>
        <v>1</v>
      </c>
      <c r="AK47" s="271">
        <f t="shared" si="3"/>
        <v>1</v>
      </c>
      <c r="AL47" s="271">
        <f t="shared" si="4"/>
        <v>1</v>
      </c>
      <c r="AM47" s="306" cm="1">
        <f t="array" ref="AM47">IF(OR(AB47="",NOT(ISNUMBER('Sales Dashboard'!BF46))),0,SUMPRODUCT((IFERROR(--'Sales and count'!$G$2:$CC$2,0)=$F$4)*('Sales and count'!$G$3:$CC$3="Total"),INDEX('Sales and count'!$G$4:$CC$300,'Sales Dashboard'!BF46,0)))</f>
        <v>5635.38</v>
      </c>
      <c r="AN47" s="306" cm="1">
        <f t="array" ref="AN47">IF(OR(AB47="",NOT(ISNUMBER('Sales Dashboard'!BG46))),0,SUMPRODUCT(('TY Sales Target'!$K$2:$AO$2=$F$4)*1,INDEX('TY Sales Target'!$K$5:$AO$300,'Sales Dashboard'!BG46,0)))</f>
        <v>11959.037554010521</v>
      </c>
      <c r="AO47" s="306" cm="1">
        <f t="array" ref="AO47">IF(AB47="",0,SUMPRODUCT((TRIM('LY Sales '!$B$5:$B$200)=AB47)*('LY Sales '!$C$2:$AG$2=EDATE($F$4,-12)),'LY Sales '!$C$5:$AG$200))</f>
        <v>6648.15</v>
      </c>
      <c r="AP47">
        <f t="shared" si="5"/>
        <v>1</v>
      </c>
      <c r="AQ47">
        <f t="shared" si="6"/>
        <v>0</v>
      </c>
      <c r="AR47">
        <f t="shared" si="7"/>
        <v>1</v>
      </c>
      <c r="AS47">
        <f t="shared" si="8"/>
        <v>0</v>
      </c>
      <c r="AU47" s="132"/>
    </row>
    <row r="48" spans="1:47" x14ac:dyDescent="0.25">
      <c r="A48" s="285" t="str" cm="1">
        <f t="array" ref="A48">IFERROR(INDEX(_xlfn._xlws.SORT(_xlfn.UNIQUE(_xlfn._xlws.FILTER($AD$7:$AD$303,$AD$7:$AD$303&lt;&gt;""))),ROWS($A$30:A48)),"")</f>
        <v>Makkah</v>
      </c>
      <c r="B48" s="286">
        <f t="shared" si="32"/>
        <v>12</v>
      </c>
      <c r="C48" s="287">
        <f t="shared" si="33"/>
        <v>134984.1</v>
      </c>
      <c r="D48" s="287">
        <f t="shared" si="34"/>
        <v>216570.12828154757</v>
      </c>
      <c r="E48" s="294">
        <f t="shared" si="35"/>
        <v>0.6232812487626026</v>
      </c>
      <c r="F48" s="295" t="str">
        <f t="shared" si="36"/>
        <v>✘ No</v>
      </c>
      <c r="G48" s="295">
        <f t="shared" si="37"/>
        <v>12</v>
      </c>
      <c r="H48" s="295">
        <f t="shared" si="38"/>
        <v>2</v>
      </c>
      <c r="I48" s="295" t="str">
        <f t="shared" si="39"/>
        <v>2 of 12</v>
      </c>
      <c r="J48" s="286">
        <f t="shared" si="40"/>
        <v>5</v>
      </c>
      <c r="K48" s="287">
        <f t="shared" si="41"/>
        <v>45473.049999999996</v>
      </c>
      <c r="L48" s="287">
        <f t="shared" si="42"/>
        <v>73622.34</v>
      </c>
      <c r="M48" s="298">
        <f t="shared" si="43"/>
        <v>-0.38234712452769093</v>
      </c>
      <c r="N48" s="299" t="str">
        <f t="shared" si="44"/>
        <v>✘ No</v>
      </c>
      <c r="O48" s="299">
        <f t="shared" si="45"/>
        <v>1</v>
      </c>
      <c r="P48" s="299" t="str">
        <f t="shared" si="46"/>
        <v>1 of 5</v>
      </c>
      <c r="Q48" s="319">
        <f t="shared" si="47"/>
        <v>64601.889999999992</v>
      </c>
      <c r="R48" s="314">
        <f t="shared" si="48"/>
        <v>1.089476019974029</v>
      </c>
      <c r="S48" s="314">
        <f t="shared" si="49"/>
        <v>0.42962722295693612</v>
      </c>
      <c r="T48" s="315">
        <f t="shared" si="50"/>
        <v>19.365402580566649</v>
      </c>
      <c r="U48" s="316" t="str">
        <f t="shared" si="51"/>
        <v>✘ No</v>
      </c>
      <c r="V48" s="316" t="str">
        <f t="shared" si="52"/>
        <v>0 of 12</v>
      </c>
      <c r="W48" s="314">
        <f t="shared" si="53"/>
        <v>-0.36207280844051359</v>
      </c>
      <c r="X48" s="316" t="str">
        <f t="shared" si="54"/>
        <v>1 of 6</v>
      </c>
      <c r="Y48" s="271"/>
      <c r="Z48" s="271"/>
      <c r="AA48" s="271"/>
      <c r="AB48" s="271" t="str">
        <f>IF('Sales Dashboard'!AW47="","",'Sales Dashboard'!AW47)</f>
        <v>HAJEDSULTN</v>
      </c>
      <c r="AC48" s="271" t="str">
        <f>IF(AB48="","",'Sales Dashboard'!AN47)</f>
        <v>Saleh Bin Hoiel</v>
      </c>
      <c r="AD48" s="271" t="str">
        <f>IF(AB48="","",'Sales Dashboard'!AO47)</f>
        <v>Jeddah</v>
      </c>
      <c r="AE48" s="281" cm="1">
        <f t="array" ref="AE48">IF(OR(AB48="",NOT(ISNUMBER('Sales Dashboard'!BF47))),0,SUMPRODUCT((IFERROR(--'Sales and count'!$G$2:$CC$2,0)=$C$4)*('Sales and count'!$G$3:$CC$3="Total"),INDEX('Sales and count'!$G$4:$CC$300,'Sales Dashboard'!BF47,0)))</f>
        <v>8251.17</v>
      </c>
      <c r="AF48" s="281" cm="1">
        <f t="array" ref="AF48">IF(OR(AB48="",NOT(ISNUMBER('Sales Dashboard'!BG47))),0,SUMPRODUCT(('TY Sales Target'!$K$2:$AO$2=$C$4)*1,INDEX('TY Sales Target'!$K$5:$AO$300,'Sales Dashboard'!BG47,0)))</f>
        <v>12664.919782546644</v>
      </c>
      <c r="AG48" s="281" cm="1">
        <f t="array" ref="AG48">IF(AB48="",0,SUMPRODUCT((TRIM('LY Sales '!$B$5:$B$200)=AB48)*('LY Sales '!$C$2:$AG$2=EDATE($C$4,-12)),'LY Sales '!$C$5:$AG$200))</f>
        <v>0</v>
      </c>
      <c r="AH48" s="271">
        <f t="shared" si="0"/>
        <v>1</v>
      </c>
      <c r="AI48" s="271">
        <f t="shared" si="1"/>
        <v>0</v>
      </c>
      <c r="AJ48" s="271">
        <f t="shared" si="2"/>
        <v>0</v>
      </c>
      <c r="AK48" s="271">
        <f t="shared" si="3"/>
        <v>0</v>
      </c>
      <c r="AL48" s="271">
        <f t="shared" si="4"/>
        <v>1</v>
      </c>
      <c r="AM48" s="306" cm="1">
        <f t="array" ref="AM48">IF(OR(AB48="",NOT(ISNUMBER('Sales Dashboard'!BF47))),0,SUMPRODUCT((IFERROR(--'Sales and count'!$G$2:$CC$2,0)=$F$4)*('Sales and count'!$G$3:$CC$3="Total"),INDEX('Sales and count'!$G$4:$CC$300,'Sales Dashboard'!BF47,0)))</f>
        <v>3871.26</v>
      </c>
      <c r="AN48" s="306" cm="1">
        <f t="array" ref="AN48">IF(OR(AB48="",NOT(ISNUMBER('Sales Dashboard'!BG47))),0,SUMPRODUCT(('TY Sales Target'!$K$2:$AO$2=$F$4)*1,INDEX('TY Sales Target'!$K$5:$AO$300,'Sales Dashboard'!BG47,0)))</f>
        <v>8793.4099661842083</v>
      </c>
      <c r="AO48" s="306" cm="1">
        <f t="array" ref="AO48">IF(AB48="",0,SUMPRODUCT((TRIM('LY Sales '!$B$5:$B$200)=AB48)*('LY Sales '!$C$2:$AG$2=EDATE($F$4,-12)),'LY Sales '!$C$5:$AG$200))</f>
        <v>0</v>
      </c>
      <c r="AP48">
        <f t="shared" si="5"/>
        <v>1</v>
      </c>
      <c r="AQ48">
        <f t="shared" si="6"/>
        <v>0</v>
      </c>
      <c r="AR48">
        <f t="shared" si="7"/>
        <v>0</v>
      </c>
      <c r="AS48">
        <f t="shared" si="8"/>
        <v>0</v>
      </c>
      <c r="AU48" s="132"/>
    </row>
    <row r="49" spans="1:47" x14ac:dyDescent="0.25">
      <c r="A49" s="285" t="str" cm="1">
        <f t="array" ref="A49">IFERROR(INDEX(_xlfn._xlws.SORT(_xlfn.UNIQUE(_xlfn._xlws.FILTER($AD$7:$AD$303,$AD$7:$AD$303&lt;&gt;""))),ROWS($A$30:A49)),"")</f>
        <v>Muthnab</v>
      </c>
      <c r="B49" s="286">
        <f t="shared" si="32"/>
        <v>1</v>
      </c>
      <c r="C49" s="287">
        <f t="shared" si="33"/>
        <v>1527.02</v>
      </c>
      <c r="D49" s="287">
        <f t="shared" si="34"/>
        <v>2077.0468443376494</v>
      </c>
      <c r="E49" s="294">
        <f t="shared" si="35"/>
        <v>0.73518804073335775</v>
      </c>
      <c r="F49" s="295" t="str">
        <f t="shared" si="36"/>
        <v>✘ No</v>
      </c>
      <c r="G49" s="295">
        <f t="shared" si="37"/>
        <v>1</v>
      </c>
      <c r="H49" s="295">
        <f t="shared" si="38"/>
        <v>0</v>
      </c>
      <c r="I49" s="295" t="str">
        <f t="shared" si="39"/>
        <v>0 of 1</v>
      </c>
      <c r="J49" s="286">
        <f t="shared" si="40"/>
        <v>0</v>
      </c>
      <c r="K49" s="287">
        <f t="shared" si="41"/>
        <v>0</v>
      </c>
      <c r="L49" s="287">
        <f t="shared" si="42"/>
        <v>0</v>
      </c>
      <c r="M49" s="298" t="str">
        <f t="shared" si="43"/>
        <v/>
      </c>
      <c r="N49" s="299" t="str">
        <f t="shared" si="44"/>
        <v/>
      </c>
      <c r="O49" s="299">
        <f t="shared" si="45"/>
        <v>0</v>
      </c>
      <c r="P49" s="299" t="str">
        <f t="shared" si="46"/>
        <v>0 of 0</v>
      </c>
      <c r="Q49" s="319">
        <f t="shared" si="47"/>
        <v>286.02</v>
      </c>
      <c r="R49" s="314">
        <f t="shared" si="48"/>
        <v>4.3388574225578633</v>
      </c>
      <c r="S49" s="314">
        <f t="shared" si="49"/>
        <v>0.19833311502030426</v>
      </c>
      <c r="T49" s="315">
        <f t="shared" si="50"/>
        <v>53.685492571305346</v>
      </c>
      <c r="U49" s="316" t="str">
        <f t="shared" si="51"/>
        <v>✘ No</v>
      </c>
      <c r="V49" s="316" t="str">
        <f t="shared" si="52"/>
        <v>0 of 1</v>
      </c>
      <c r="W49" s="314">
        <f t="shared" si="53"/>
        <v>-0.77407761392090113</v>
      </c>
      <c r="X49" s="316" t="str">
        <f t="shared" si="54"/>
        <v>0 of 1</v>
      </c>
      <c r="Y49" s="271"/>
      <c r="Z49" s="271"/>
      <c r="AA49" s="271"/>
      <c r="AB49" s="271" t="str">
        <f>IF('Sales Dashboard'!AW48="","",'Sales Dashboard'!AW48)</f>
        <v>HASULTANA</v>
      </c>
      <c r="AC49" s="271" t="str">
        <f>IF(AB49="","",'Sales Dashboard'!AN48)</f>
        <v>Mohammed Haidar</v>
      </c>
      <c r="AD49" s="271" t="str">
        <f>IF(AB49="","",'Sales Dashboard'!AO48)</f>
        <v>Madinah</v>
      </c>
      <c r="AE49" s="281" cm="1">
        <f t="array" ref="AE49">IF(OR(AB49="",NOT(ISNUMBER('Sales Dashboard'!BF48))),0,SUMPRODUCT((IFERROR(--'Sales and count'!$G$2:$CC$2,0)=$C$4)*('Sales and count'!$G$3:$CC$3="Total"),INDEX('Sales and count'!$G$4:$CC$300,'Sales Dashboard'!BF48,0)))</f>
        <v>1822.03</v>
      </c>
      <c r="AF49" s="281" cm="1">
        <f t="array" ref="AF49">IF(OR(AB49="",NOT(ISNUMBER('Sales Dashboard'!BG48))),0,SUMPRODUCT(('TY Sales Target'!$K$2:$AO$2=$C$4)*1,INDEX('TY Sales Target'!$K$5:$AO$300,'Sales Dashboard'!BG48,0)))</f>
        <v>6737.7373243148149</v>
      </c>
      <c r="AG49" s="281" cm="1">
        <f t="array" ref="AG49">IF(AB49="",0,SUMPRODUCT((TRIM('LY Sales '!$B$5:$B$200)=AB49)*('LY Sales '!$C$2:$AG$2=EDATE($C$4,-12)),'LY Sales '!$C$5:$AG$200))</f>
        <v>0</v>
      </c>
      <c r="AH49" s="271">
        <f t="shared" si="0"/>
        <v>1</v>
      </c>
      <c r="AI49" s="271">
        <f t="shared" si="1"/>
        <v>0</v>
      </c>
      <c r="AJ49" s="271">
        <f t="shared" si="2"/>
        <v>0</v>
      </c>
      <c r="AK49" s="271">
        <f t="shared" si="3"/>
        <v>0</v>
      </c>
      <c r="AL49" s="271">
        <f t="shared" si="4"/>
        <v>1</v>
      </c>
      <c r="AM49" s="306" cm="1">
        <f t="array" ref="AM49">IF(OR(AB49="",NOT(ISNUMBER('Sales Dashboard'!BF48))),0,SUMPRODUCT((IFERROR(--'Sales and count'!$G$2:$CC$2,0)=$F$4)*('Sales and count'!$G$3:$CC$3="Total"),INDEX('Sales and count'!$G$4:$CC$300,'Sales Dashboard'!BF48,0)))</f>
        <v>1832.12</v>
      </c>
      <c r="AN49" s="306" cm="1">
        <f t="array" ref="AN49">IF(OR(AB49="",NOT(ISNUMBER('Sales Dashboard'!BG48))),0,SUMPRODUCT(('TY Sales Target'!$K$2:$AO$2=$F$4)*1,INDEX('TY Sales Target'!$K$5:$AO$300,'Sales Dashboard'!BG48,0)))</f>
        <v>4678.0941020099981</v>
      </c>
      <c r="AO49" s="306" cm="1">
        <f t="array" ref="AO49">IF(AB49="",0,SUMPRODUCT((TRIM('LY Sales '!$B$5:$B$200)=AB49)*('LY Sales '!$C$2:$AG$2=EDATE($F$4,-12)),'LY Sales '!$C$5:$AG$200))</f>
        <v>0</v>
      </c>
      <c r="AP49">
        <f t="shared" si="5"/>
        <v>1</v>
      </c>
      <c r="AQ49">
        <f t="shared" si="6"/>
        <v>0</v>
      </c>
      <c r="AR49">
        <f t="shared" si="7"/>
        <v>0</v>
      </c>
      <c r="AS49">
        <f t="shared" si="8"/>
        <v>0</v>
      </c>
      <c r="AU49" s="132"/>
    </row>
    <row r="50" spans="1:47" x14ac:dyDescent="0.25">
      <c r="A50" s="285" t="str" cm="1">
        <f t="array" ref="A50">IFERROR(INDEX(_xlfn._xlws.SORT(_xlfn.UNIQUE(_xlfn._xlws.FILTER($AD$7:$AD$303,$AD$7:$AD$303&lt;&gt;""))),ROWS($A$30:A50)),"")</f>
        <v>Najran</v>
      </c>
      <c r="B50" s="286">
        <f t="shared" si="32"/>
        <v>2</v>
      </c>
      <c r="C50" s="287">
        <f t="shared" si="33"/>
        <v>12978.44</v>
      </c>
      <c r="D50" s="287">
        <f t="shared" si="34"/>
        <v>19250.678069470901</v>
      </c>
      <c r="E50" s="294">
        <f t="shared" si="35"/>
        <v>0.67418092771402871</v>
      </c>
      <c r="F50" s="295" t="str">
        <f t="shared" si="36"/>
        <v>✘ No</v>
      </c>
      <c r="G50" s="295">
        <f t="shared" si="37"/>
        <v>2</v>
      </c>
      <c r="H50" s="295">
        <f t="shared" si="38"/>
        <v>0</v>
      </c>
      <c r="I50" s="295" t="str">
        <f t="shared" si="39"/>
        <v>0 of 2</v>
      </c>
      <c r="J50" s="286">
        <f t="shared" si="40"/>
        <v>1</v>
      </c>
      <c r="K50" s="287">
        <f t="shared" si="41"/>
        <v>10598.34</v>
      </c>
      <c r="L50" s="287">
        <f t="shared" si="42"/>
        <v>15535.31</v>
      </c>
      <c r="M50" s="298">
        <f t="shared" si="43"/>
        <v>-0.3177902468634356</v>
      </c>
      <c r="N50" s="299" t="str">
        <f t="shared" si="44"/>
        <v>✘ No</v>
      </c>
      <c r="O50" s="299">
        <f t="shared" si="45"/>
        <v>0</v>
      </c>
      <c r="P50" s="299" t="str">
        <f t="shared" si="46"/>
        <v>0 of 1</v>
      </c>
      <c r="Q50" s="319">
        <f t="shared" si="47"/>
        <v>6484.42</v>
      </c>
      <c r="R50" s="314">
        <f t="shared" si="48"/>
        <v>1.0014804716535943</v>
      </c>
      <c r="S50" s="314">
        <f t="shared" si="49"/>
        <v>0.48514351154776097</v>
      </c>
      <c r="T50" s="315">
        <f t="shared" si="50"/>
        <v>18.903741616626775</v>
      </c>
      <c r="U50" s="316" t="str">
        <f t="shared" si="51"/>
        <v>✘ No</v>
      </c>
      <c r="V50" s="316" t="str">
        <f t="shared" si="52"/>
        <v>0 of 2</v>
      </c>
      <c r="W50" s="314">
        <f t="shared" si="53"/>
        <v>-7.6192577894176217E-2</v>
      </c>
      <c r="X50" s="316" t="str">
        <f t="shared" si="54"/>
        <v>0 of 1</v>
      </c>
      <c r="Y50" s="271"/>
      <c r="Z50" s="271"/>
      <c r="AA50" s="271"/>
      <c r="AB50" s="271" t="str">
        <f>IF('Sales Dashboard'!AW49="","",'Sales Dashboard'!AW49)</f>
        <v>HAQURSOQ</v>
      </c>
      <c r="AC50" s="271" t="str">
        <f>IF(AB50="","",'Sales Dashboard'!AN49)</f>
        <v>Mohammed Sanad</v>
      </c>
      <c r="AD50" s="271" t="str">
        <f>IF(AB50="","",'Sales Dashboard'!AO49)</f>
        <v>Qurayat</v>
      </c>
      <c r="AE50" s="281" cm="1">
        <f t="array" ref="AE50">IF(OR(AB50="",NOT(ISNUMBER('Sales Dashboard'!BF49))),0,SUMPRODUCT((IFERROR(--'Sales and count'!$G$2:$CC$2,0)=$C$4)*('Sales and count'!$G$3:$CC$3="Total"),INDEX('Sales and count'!$G$4:$CC$300,'Sales Dashboard'!BF49,0)))</f>
        <v>6281.08</v>
      </c>
      <c r="AF50" s="281" cm="1">
        <f t="array" ref="AF50">IF(OR(AB50="",NOT(ISNUMBER('Sales Dashboard'!BG49))),0,SUMPRODUCT(('TY Sales Target'!$K$2:$AO$2=$C$4)*1,INDEX('TY Sales Target'!$K$5:$AO$300,'Sales Dashboard'!BG49,0)))</f>
        <v>7598.9518695279867</v>
      </c>
      <c r="AG50" s="281" cm="1">
        <f t="array" ref="AG50">IF(AB50="",0,SUMPRODUCT((TRIM('LY Sales '!$B$5:$B$200)=AB50)*('LY Sales '!$C$2:$AG$2=EDATE($C$4,-12)),'LY Sales '!$C$5:$AG$200))</f>
        <v>0</v>
      </c>
      <c r="AH50" s="271">
        <f t="shared" si="0"/>
        <v>1</v>
      </c>
      <c r="AI50" s="271">
        <f t="shared" si="1"/>
        <v>1</v>
      </c>
      <c r="AJ50" s="271">
        <f t="shared" si="2"/>
        <v>0</v>
      </c>
      <c r="AK50" s="271">
        <f t="shared" si="3"/>
        <v>0</v>
      </c>
      <c r="AL50" s="271">
        <f t="shared" si="4"/>
        <v>1</v>
      </c>
      <c r="AM50" s="306" cm="1">
        <f t="array" ref="AM50">IF(OR(AB50="",NOT(ISNUMBER('Sales Dashboard'!BF49))),0,SUMPRODUCT((IFERROR(--'Sales and count'!$G$2:$CC$2,0)=$F$4)*('Sales and count'!$G$3:$CC$3="Total"),INDEX('Sales and count'!$G$4:$CC$300,'Sales Dashboard'!BF49,0)))</f>
        <v>2446.15</v>
      </c>
      <c r="AN50" s="306" cm="1">
        <f t="array" ref="AN50">IF(OR(AB50="",NOT(ISNUMBER('Sales Dashboard'!BG49))),0,SUMPRODUCT(('TY Sales Target'!$K$2:$AO$2=$F$4)*1,INDEX('TY Sales Target'!$K$5:$AO$300,'Sales Dashboard'!BG49,0)))</f>
        <v>5276.045979710525</v>
      </c>
      <c r="AO50" s="306" cm="1">
        <f t="array" ref="AO50">IF(AB50="",0,SUMPRODUCT((TRIM('LY Sales '!$B$5:$B$200)=AB50)*('LY Sales '!$C$2:$AG$2=EDATE($F$4,-12)),'LY Sales '!$C$5:$AG$200))</f>
        <v>4872.1000000000004</v>
      </c>
      <c r="AP50">
        <f t="shared" si="5"/>
        <v>1</v>
      </c>
      <c r="AQ50">
        <f t="shared" si="6"/>
        <v>0</v>
      </c>
      <c r="AR50">
        <f t="shared" si="7"/>
        <v>1</v>
      </c>
      <c r="AS50">
        <f t="shared" si="8"/>
        <v>0</v>
      </c>
      <c r="AU50" s="132"/>
    </row>
    <row r="51" spans="1:47" x14ac:dyDescent="0.25">
      <c r="A51" s="285" t="str" cm="1">
        <f t="array" ref="A51">IFERROR(INDEX(_xlfn._xlws.SORT(_xlfn.UNIQUE(_xlfn._xlws.FILTER($AD$7:$AD$303,$AD$7:$AD$303&lt;&gt;""))),ROWS($A$30:A51)),"")</f>
        <v>Onaizah</v>
      </c>
      <c r="B51" s="286">
        <f t="shared" si="32"/>
        <v>1</v>
      </c>
      <c r="C51" s="287">
        <f t="shared" si="33"/>
        <v>3023.05</v>
      </c>
      <c r="D51" s="287">
        <f t="shared" si="34"/>
        <v>7700.2712277883593</v>
      </c>
      <c r="E51" s="294">
        <f t="shared" si="35"/>
        <v>0.39259006735899982</v>
      </c>
      <c r="F51" s="295" t="str">
        <f t="shared" si="36"/>
        <v>✘ No</v>
      </c>
      <c r="G51" s="295">
        <f t="shared" si="37"/>
        <v>1</v>
      </c>
      <c r="H51" s="295">
        <f t="shared" si="38"/>
        <v>0</v>
      </c>
      <c r="I51" s="295" t="str">
        <f t="shared" si="39"/>
        <v>0 of 1</v>
      </c>
      <c r="J51" s="286">
        <f t="shared" si="40"/>
        <v>0</v>
      </c>
      <c r="K51" s="287">
        <f t="shared" si="41"/>
        <v>0</v>
      </c>
      <c r="L51" s="287">
        <f t="shared" si="42"/>
        <v>0</v>
      </c>
      <c r="M51" s="298" t="str">
        <f t="shared" si="43"/>
        <v/>
      </c>
      <c r="N51" s="299" t="str">
        <f t="shared" si="44"/>
        <v/>
      </c>
      <c r="O51" s="299">
        <f t="shared" si="45"/>
        <v>0</v>
      </c>
      <c r="P51" s="299" t="str">
        <f t="shared" si="46"/>
        <v>0 of 0</v>
      </c>
      <c r="Q51" s="319">
        <f t="shared" si="47"/>
        <v>2025.05</v>
      </c>
      <c r="R51" s="314">
        <f t="shared" si="48"/>
        <v>0.49282733759660258</v>
      </c>
      <c r="S51" s="314">
        <f t="shared" si="49"/>
        <v>0.37876936875610817</v>
      </c>
      <c r="T51" s="315">
        <f t="shared" si="50"/>
        <v>1.3820698602891646</v>
      </c>
      <c r="U51" s="316" t="str">
        <f t="shared" si="51"/>
        <v>✘ No</v>
      </c>
      <c r="V51" s="316" t="str">
        <f t="shared" si="52"/>
        <v>0 of 1</v>
      </c>
      <c r="W51" s="314" t="str">
        <f t="shared" si="53"/>
        <v/>
      </c>
      <c r="X51" s="316" t="str">
        <f t="shared" si="54"/>
        <v>0 of 0</v>
      </c>
      <c r="Y51" s="271"/>
      <c r="Z51" s="271"/>
      <c r="AA51" s="271"/>
      <c r="AB51" s="271" t="str">
        <f>IF('Sales Dashboard'!AW50="","",'Sales Dashboard'!AW50)</f>
        <v>JIZWFPLZ</v>
      </c>
      <c r="AC51" s="271" t="str">
        <f>IF(AB51="","",'Sales Dashboard'!AN50)</f>
        <v>Ahmed Jaffari</v>
      </c>
      <c r="AD51" s="271" t="str">
        <f>IF(AB51="","",'Sales Dashboard'!AO50)</f>
        <v>Jizan</v>
      </c>
      <c r="AE51" s="281" cm="1">
        <f t="array" ref="AE51">IF(OR(AB51="",NOT(ISNUMBER('Sales Dashboard'!BF50))),0,SUMPRODUCT((IFERROR(--'Sales and count'!$G$2:$CC$2,0)=$C$4)*('Sales and count'!$G$3:$CC$3="Total"),INDEX('Sales and count'!$G$4:$CC$300,'Sales Dashboard'!BF50,0)))</f>
        <v>20382.560000000001</v>
      </c>
      <c r="AF51" s="281" cm="1">
        <f t="array" ref="AF51">IF(OR(AB51="",NOT(ISNUMBER('Sales Dashboard'!BG50))),0,SUMPRODUCT(('TY Sales Target'!$K$2:$AO$2=$C$4)*1,INDEX('TY Sales Target'!$K$5:$AO$300,'Sales Dashboard'!BG50,0)))</f>
        <v>22796.855608583959</v>
      </c>
      <c r="AG51" s="281" cm="1">
        <f t="array" ref="AG51">IF(AB51="",0,SUMPRODUCT((TRIM('LY Sales '!$B$5:$B$200)=AB51)*('LY Sales '!$C$2:$AG$2=EDATE($C$4,-12)),'LY Sales '!$C$5:$AG$200))</f>
        <v>26494.85</v>
      </c>
      <c r="AH51" s="271">
        <f t="shared" si="0"/>
        <v>1</v>
      </c>
      <c r="AI51" s="271">
        <f t="shared" si="1"/>
        <v>1</v>
      </c>
      <c r="AJ51" s="271">
        <f t="shared" si="2"/>
        <v>1</v>
      </c>
      <c r="AK51" s="271">
        <f t="shared" si="3"/>
        <v>0</v>
      </c>
      <c r="AL51" s="271">
        <f t="shared" si="4"/>
        <v>1</v>
      </c>
      <c r="AM51" s="306" cm="1">
        <f t="array" ref="AM51">IF(OR(AB51="",NOT(ISNUMBER('Sales Dashboard'!BF50))),0,SUMPRODUCT((IFERROR(--'Sales and count'!$G$2:$CC$2,0)=$F$4)*('Sales and count'!$G$3:$CC$3="Total"),INDEX('Sales and count'!$G$4:$CC$300,'Sales Dashboard'!BF50,0)))</f>
        <v>5487.36</v>
      </c>
      <c r="AN51" s="306" cm="1">
        <f t="array" ref="AN51">IF(OR(AB51="",NOT(ISNUMBER('Sales Dashboard'!BG50))),0,SUMPRODUCT(('TY Sales Target'!$K$2:$AO$2=$F$4)*1,INDEX('TY Sales Target'!$K$5:$AO$300,'Sales Dashboard'!BG50,0)))</f>
        <v>15828.137939131573</v>
      </c>
      <c r="AO51" s="306" cm="1">
        <f t="array" ref="AO51">IF(AB51="",0,SUMPRODUCT((TRIM('LY Sales '!$B$5:$B$200)=AB51)*('LY Sales '!$C$2:$AG$2=EDATE($F$4,-12)),'LY Sales '!$C$5:$AG$200))</f>
        <v>7057.15</v>
      </c>
      <c r="AP51">
        <f t="shared" si="5"/>
        <v>1</v>
      </c>
      <c r="AQ51">
        <f t="shared" si="6"/>
        <v>0</v>
      </c>
      <c r="AR51">
        <f t="shared" si="7"/>
        <v>1</v>
      </c>
      <c r="AS51">
        <f t="shared" si="8"/>
        <v>0</v>
      </c>
      <c r="AU51" s="132"/>
    </row>
    <row r="52" spans="1:47" x14ac:dyDescent="0.25">
      <c r="A52" s="285" t="str" cm="1">
        <f t="array" ref="A52">IFERROR(INDEX(_xlfn._xlws.SORT(_xlfn.UNIQUE(_xlfn._xlws.FILTER($AD$7:$AD$303,$AD$7:$AD$303&lt;&gt;""))),ROWS($A$30:A52)),"")</f>
        <v>Qatif</v>
      </c>
      <c r="B52" s="286">
        <f t="shared" si="32"/>
        <v>2</v>
      </c>
      <c r="C52" s="287">
        <f t="shared" si="33"/>
        <v>12451.18</v>
      </c>
      <c r="D52" s="287">
        <f t="shared" si="34"/>
        <v>22695.536250323588</v>
      </c>
      <c r="E52" s="294">
        <f t="shared" si="35"/>
        <v>0.54861801292853229</v>
      </c>
      <c r="F52" s="295" t="str">
        <f t="shared" si="36"/>
        <v>✘ No</v>
      </c>
      <c r="G52" s="295">
        <f t="shared" si="37"/>
        <v>2</v>
      </c>
      <c r="H52" s="295">
        <f t="shared" si="38"/>
        <v>0</v>
      </c>
      <c r="I52" s="295" t="str">
        <f t="shared" si="39"/>
        <v>0 of 2</v>
      </c>
      <c r="J52" s="286">
        <f t="shared" si="40"/>
        <v>2</v>
      </c>
      <c r="K52" s="287">
        <f t="shared" si="41"/>
        <v>12451.18</v>
      </c>
      <c r="L52" s="287">
        <f t="shared" si="42"/>
        <v>11997.33</v>
      </c>
      <c r="M52" s="298">
        <f t="shared" si="43"/>
        <v>3.7829250341534282E-2</v>
      </c>
      <c r="N52" s="299" t="str">
        <f t="shared" si="44"/>
        <v>✔ Yes</v>
      </c>
      <c r="O52" s="299">
        <f t="shared" si="45"/>
        <v>1</v>
      </c>
      <c r="P52" s="299" t="str">
        <f t="shared" si="46"/>
        <v>1 of 2</v>
      </c>
      <c r="Q52" s="319">
        <f t="shared" si="47"/>
        <v>7017.49</v>
      </c>
      <c r="R52" s="314">
        <f t="shared" si="48"/>
        <v>0.77430676780444307</v>
      </c>
      <c r="S52" s="314">
        <f t="shared" si="49"/>
        <v>0.44533463806443696</v>
      </c>
      <c r="T52" s="315">
        <f t="shared" si="50"/>
        <v>10.328337486409534</v>
      </c>
      <c r="U52" s="316" t="str">
        <f t="shared" si="51"/>
        <v>✘ No</v>
      </c>
      <c r="V52" s="316" t="str">
        <f t="shared" si="52"/>
        <v>0 of 2</v>
      </c>
      <c r="W52" s="314">
        <f t="shared" si="53"/>
        <v>0.55527753460178841</v>
      </c>
      <c r="X52" s="316" t="str">
        <f t="shared" si="54"/>
        <v>2 of 2</v>
      </c>
      <c r="Y52" s="271"/>
      <c r="Z52" s="271"/>
      <c r="AA52" s="271"/>
      <c r="AB52" s="271" t="str">
        <f>IF('Sales Dashboard'!AW51="","",'Sales Dashboard'!AW51)</f>
        <v>HATABUKPR</v>
      </c>
      <c r="AC52" s="271" t="str">
        <f>IF(AB52="","",'Sales Dashboard'!AN51)</f>
        <v>Hamzah Al Makhadam</v>
      </c>
      <c r="AD52" s="271" t="str">
        <f>IF(AB52="","",'Sales Dashboard'!AO51)</f>
        <v>Tabuk</v>
      </c>
      <c r="AE52" s="281" cm="1">
        <f t="array" ref="AE52">IF(OR(AB52="",NOT(ISNUMBER('Sales Dashboard'!BF51))),0,SUMPRODUCT((IFERROR(--'Sales and count'!$G$2:$CC$2,0)=$C$4)*('Sales and count'!$G$3:$CC$3="Total"),INDEX('Sales and count'!$G$4:$CC$300,'Sales Dashboard'!BF51,0)))</f>
        <v>7228.1</v>
      </c>
      <c r="AF52" s="281" cm="1">
        <f t="array" ref="AF52">IF(OR(AB52="",NOT(ISNUMBER('Sales Dashboard'!BG51))),0,SUMPRODUCT(('TY Sales Target'!$K$2:$AO$2=$C$4)*1,INDEX('TY Sales Target'!$K$5:$AO$300,'Sales Dashboard'!BG51,0)))</f>
        <v>9574.6793556052635</v>
      </c>
      <c r="AG52" s="281" cm="1">
        <f t="array" ref="AG52">IF(AB52="",0,SUMPRODUCT((TRIM('LY Sales '!$B$5:$B$200)=AB52)*('LY Sales '!$C$2:$AG$2=EDATE($C$4,-12)),'LY Sales '!$C$5:$AG$200))</f>
        <v>0</v>
      </c>
      <c r="AH52" s="271">
        <f t="shared" si="0"/>
        <v>1</v>
      </c>
      <c r="AI52" s="271">
        <f t="shared" si="1"/>
        <v>0</v>
      </c>
      <c r="AJ52" s="271">
        <f t="shared" si="2"/>
        <v>0</v>
      </c>
      <c r="AK52" s="271">
        <f t="shared" si="3"/>
        <v>0</v>
      </c>
      <c r="AL52" s="271">
        <f t="shared" si="4"/>
        <v>1</v>
      </c>
      <c r="AM52" s="306" cm="1">
        <f t="array" ref="AM52">IF(OR(AB52="",NOT(ISNUMBER('Sales Dashboard'!BF51))),0,SUMPRODUCT((IFERROR(--'Sales and count'!$G$2:$CC$2,0)=$F$4)*('Sales and count'!$G$3:$CC$3="Total"),INDEX('Sales and count'!$G$4:$CC$300,'Sales Dashboard'!BF51,0)))</f>
        <v>2678.16</v>
      </c>
      <c r="AN52" s="306" cm="1">
        <f t="array" ref="AN52">IF(OR(AB52="",NOT(ISNUMBER('Sales Dashboard'!BG51))),0,SUMPRODUCT(('TY Sales Target'!$K$2:$AO$2=$F$4)*1,INDEX('TY Sales Target'!$K$5:$AO$300,'Sales Dashboard'!BG51,0)))</f>
        <v>6647.8179344352611</v>
      </c>
      <c r="AO52" s="306" cm="1">
        <f t="array" ref="AO52">IF(AB52="",0,SUMPRODUCT((TRIM('LY Sales '!$B$5:$B$200)=AB52)*('LY Sales '!$C$2:$AG$2=EDATE($F$4,-12)),'LY Sales '!$C$5:$AG$200))</f>
        <v>0</v>
      </c>
      <c r="AP52">
        <f t="shared" si="5"/>
        <v>1</v>
      </c>
      <c r="AQ52">
        <f t="shared" si="6"/>
        <v>0</v>
      </c>
      <c r="AR52">
        <f t="shared" si="7"/>
        <v>0</v>
      </c>
      <c r="AS52">
        <f t="shared" si="8"/>
        <v>0</v>
      </c>
      <c r="AU52" s="132"/>
    </row>
    <row r="53" spans="1:47" x14ac:dyDescent="0.25">
      <c r="A53" s="285" t="str" cm="1">
        <f t="array" ref="A53">IFERROR(INDEX(_xlfn._xlws.SORT(_xlfn.UNIQUE(_xlfn._xlws.FILTER($AD$7:$AD$303,$AD$7:$AD$303&lt;&gt;""))),ROWS($A$30:A53)),"")</f>
        <v>Qunfudah</v>
      </c>
      <c r="B53" s="286">
        <f t="shared" si="32"/>
        <v>1</v>
      </c>
      <c r="C53" s="287">
        <f t="shared" si="33"/>
        <v>7880.13</v>
      </c>
      <c r="D53" s="287">
        <f t="shared" si="34"/>
        <v>17217.127926446025</v>
      </c>
      <c r="E53" s="294">
        <f t="shared" si="35"/>
        <v>0.45769131957809783</v>
      </c>
      <c r="F53" s="295" t="str">
        <f t="shared" si="36"/>
        <v>✘ No</v>
      </c>
      <c r="G53" s="295">
        <f t="shared" si="37"/>
        <v>1</v>
      </c>
      <c r="H53" s="295">
        <f t="shared" si="38"/>
        <v>0</v>
      </c>
      <c r="I53" s="295" t="str">
        <f t="shared" si="39"/>
        <v>0 of 1</v>
      </c>
      <c r="J53" s="286">
        <f t="shared" si="40"/>
        <v>0</v>
      </c>
      <c r="K53" s="287">
        <f t="shared" si="41"/>
        <v>0</v>
      </c>
      <c r="L53" s="287">
        <f t="shared" si="42"/>
        <v>0</v>
      </c>
      <c r="M53" s="298" t="str">
        <f t="shared" si="43"/>
        <v/>
      </c>
      <c r="N53" s="299" t="str">
        <f t="shared" si="44"/>
        <v/>
      </c>
      <c r="O53" s="299">
        <f t="shared" si="45"/>
        <v>0</v>
      </c>
      <c r="P53" s="299" t="str">
        <f t="shared" si="46"/>
        <v>0 of 0</v>
      </c>
      <c r="Q53" s="319">
        <f t="shared" si="47"/>
        <v>1280.0999999999999</v>
      </c>
      <c r="R53" s="314">
        <f t="shared" si="48"/>
        <v>5.1558706351066332</v>
      </c>
      <c r="S53" s="314">
        <f t="shared" si="49"/>
        <v>0.10708491919498923</v>
      </c>
      <c r="T53" s="315">
        <f t="shared" si="50"/>
        <v>35.060640038310858</v>
      </c>
      <c r="U53" s="316" t="str">
        <f t="shared" si="51"/>
        <v>✘ No</v>
      </c>
      <c r="V53" s="316" t="str">
        <f t="shared" si="52"/>
        <v>0 of 1</v>
      </c>
      <c r="W53" s="314" t="str">
        <f t="shared" si="53"/>
        <v/>
      </c>
      <c r="X53" s="316" t="str">
        <f t="shared" si="54"/>
        <v>0 of 0</v>
      </c>
      <c r="Y53" s="271"/>
      <c r="Z53" s="271"/>
      <c r="AA53" s="271"/>
      <c r="AB53" s="271" t="str">
        <f>IF('Sales Dashboard'!AW52="","",'Sales Dashboard'!AW52)</f>
        <v>HADARENMAL</v>
      </c>
      <c r="AC53" s="271" t="str">
        <f>IF(AB53="","",'Sales Dashboard'!AN52)</f>
        <v>Hamzah Al Makhadam</v>
      </c>
      <c r="AD53" s="271" t="str">
        <f>IF(AB53="","",'Sales Dashboard'!AO52)</f>
        <v>Dammam</v>
      </c>
      <c r="AE53" s="281" cm="1">
        <f t="array" ref="AE53">IF(OR(AB53="",NOT(ISNUMBER('Sales Dashboard'!BF52))),0,SUMPRODUCT((IFERROR(--'Sales and count'!$G$2:$CC$2,0)=$C$4)*('Sales and count'!$G$3:$CC$3="Total"),INDEX('Sales and count'!$G$4:$CC$300,'Sales Dashboard'!BF52,0)))</f>
        <v>9409.15</v>
      </c>
      <c r="AF53" s="281" cm="1">
        <f t="array" ref="AF53">IF(OR(AB53="",NOT(ISNUMBER('Sales Dashboard'!BG52))),0,SUMPRODUCT(('TY Sales Target'!$K$2:$AO$2=$C$4)*1,INDEX('TY Sales Target'!$K$5:$AO$300,'Sales Dashboard'!BG52,0)))</f>
        <v>13779.43272341075</v>
      </c>
      <c r="AG53" s="281" cm="1">
        <f t="array" ref="AG53">IF(AB53="",0,SUMPRODUCT((TRIM('LY Sales '!$B$5:$B$200)=AB53)*('LY Sales '!$C$2:$AG$2=EDATE($C$4,-12)),'LY Sales '!$C$5:$AG$200))</f>
        <v>5203.16</v>
      </c>
      <c r="AH53" s="271">
        <f t="shared" si="0"/>
        <v>1</v>
      </c>
      <c r="AI53" s="271">
        <f t="shared" si="1"/>
        <v>0</v>
      </c>
      <c r="AJ53" s="271">
        <f t="shared" si="2"/>
        <v>1</v>
      </c>
      <c r="AK53" s="271">
        <f t="shared" si="3"/>
        <v>1</v>
      </c>
      <c r="AL53" s="271">
        <f t="shared" si="4"/>
        <v>1</v>
      </c>
      <c r="AM53" s="306" cm="1">
        <f t="array" ref="AM53">IF(OR(AB53="",NOT(ISNUMBER('Sales Dashboard'!BF52))),0,SUMPRODUCT((IFERROR(--'Sales and count'!$G$2:$CC$2,0)=$F$4)*('Sales and count'!$G$3:$CC$3="Total"),INDEX('Sales and count'!$G$4:$CC$300,'Sales Dashboard'!BF52,0)))</f>
        <v>4196.24</v>
      </c>
      <c r="AN53" s="306" cm="1">
        <f t="array" ref="AN53">IF(OR(AB53="",NOT(ISNUMBER('Sales Dashboard'!BG52))),0,SUMPRODUCT(('TY Sales Target'!$K$2:$AO$2=$F$4)*1,INDEX('TY Sales Target'!$K$5:$AO$300,'Sales Dashboard'!BG52,0)))</f>
        <v>9567.2300432084176</v>
      </c>
      <c r="AO53" s="306" cm="1">
        <f t="array" ref="AO53">IF(AB53="",0,SUMPRODUCT((TRIM('LY Sales '!$B$5:$B$200)=AB53)*('LY Sales '!$C$2:$AG$2=EDATE($F$4,-12)),'LY Sales '!$C$5:$AG$200))</f>
        <v>1027</v>
      </c>
      <c r="AP53">
        <f t="shared" si="5"/>
        <v>1</v>
      </c>
      <c r="AQ53">
        <f t="shared" si="6"/>
        <v>0</v>
      </c>
      <c r="AR53">
        <f t="shared" si="7"/>
        <v>1</v>
      </c>
      <c r="AS53">
        <f t="shared" si="8"/>
        <v>1</v>
      </c>
      <c r="AU53" s="132"/>
    </row>
    <row r="54" spans="1:47" x14ac:dyDescent="0.25">
      <c r="A54" s="285" t="str" cm="1">
        <f t="array" ref="A54">IFERROR(INDEX(_xlfn._xlws.SORT(_xlfn.UNIQUE(_xlfn._xlws.FILTER($AD$7:$AD$303,$AD$7:$AD$303&lt;&gt;""))),ROWS($A$30:A54)),"")</f>
        <v>Qurayat</v>
      </c>
      <c r="B54" s="286">
        <f t="shared" si="32"/>
        <v>1</v>
      </c>
      <c r="C54" s="287">
        <f t="shared" si="33"/>
        <v>6281.08</v>
      </c>
      <c r="D54" s="287">
        <f t="shared" si="34"/>
        <v>7598.9518695279867</v>
      </c>
      <c r="E54" s="294">
        <f t="shared" si="35"/>
        <v>0.82657188884000032</v>
      </c>
      <c r="F54" s="295" t="str">
        <f t="shared" si="36"/>
        <v>✔ Yes</v>
      </c>
      <c r="G54" s="295">
        <f t="shared" si="37"/>
        <v>1</v>
      </c>
      <c r="H54" s="295">
        <f t="shared" si="38"/>
        <v>1</v>
      </c>
      <c r="I54" s="295" t="str">
        <f t="shared" si="39"/>
        <v>1 of 1</v>
      </c>
      <c r="J54" s="286">
        <f t="shared" si="40"/>
        <v>0</v>
      </c>
      <c r="K54" s="287">
        <f t="shared" si="41"/>
        <v>0</v>
      </c>
      <c r="L54" s="287">
        <f t="shared" si="42"/>
        <v>0</v>
      </c>
      <c r="M54" s="298" t="str">
        <f t="shared" si="43"/>
        <v/>
      </c>
      <c r="N54" s="299" t="str">
        <f t="shared" si="44"/>
        <v/>
      </c>
      <c r="O54" s="299">
        <f t="shared" si="45"/>
        <v>0</v>
      </c>
      <c r="P54" s="299" t="str">
        <f t="shared" si="46"/>
        <v>0 of 0</v>
      </c>
      <c r="Q54" s="319">
        <f t="shared" si="47"/>
        <v>2446.15</v>
      </c>
      <c r="R54" s="314">
        <f t="shared" si="48"/>
        <v>1.5677411442470821</v>
      </c>
      <c r="S54" s="314">
        <f t="shared" si="49"/>
        <v>0.46363318466269515</v>
      </c>
      <c r="T54" s="315">
        <f t="shared" si="50"/>
        <v>36.293870417730517</v>
      </c>
      <c r="U54" s="316" t="str">
        <f t="shared" si="51"/>
        <v>✘ No</v>
      </c>
      <c r="V54" s="316" t="str">
        <f t="shared" si="52"/>
        <v>0 of 1</v>
      </c>
      <c r="W54" s="314">
        <f t="shared" si="53"/>
        <v>-0.49792697194228364</v>
      </c>
      <c r="X54" s="316" t="str">
        <f t="shared" si="54"/>
        <v>0 of 1</v>
      </c>
      <c r="Y54" s="271"/>
      <c r="Z54" s="271"/>
      <c r="AA54" s="271"/>
      <c r="AB54" s="271" t="str">
        <f>IF('Sales Dashboard'!AW53="","",'Sales Dashboard'!AW53)</f>
        <v>JUBGALRY</v>
      </c>
      <c r="AC54" s="271" t="str">
        <f>IF(AB54="","",'Sales Dashboard'!AN53)</f>
        <v>Hamzah Al Makhadam</v>
      </c>
      <c r="AD54" s="271" t="str">
        <f>IF(AB54="","",'Sales Dashboard'!AO53)</f>
        <v>Jubail</v>
      </c>
      <c r="AE54" s="281" cm="1">
        <f t="array" ref="AE54">IF(OR(AB54="",NOT(ISNUMBER('Sales Dashboard'!BF53))),0,SUMPRODUCT((IFERROR(--'Sales and count'!$G$2:$CC$2,0)=$C$4)*('Sales and count'!$G$3:$CC$3="Total"),INDEX('Sales and count'!$G$4:$CC$300,'Sales Dashboard'!BF53,0)))</f>
        <v>9673.2000000000007</v>
      </c>
      <c r="AF54" s="281" cm="1">
        <f t="array" ref="AF54">IF(OR(AB54="",NOT(ISNUMBER('Sales Dashboard'!BG53))),0,SUMPRODUCT(('TY Sales Target'!$K$2:$AO$2=$C$4)*1,INDEX('TY Sales Target'!$K$5:$AO$300,'Sales Dashboard'!BG53,0)))</f>
        <v>14944.605343405039</v>
      </c>
      <c r="AG54" s="281" cm="1">
        <f t="array" ref="AG54">IF(AB54="",0,SUMPRODUCT((TRIM('LY Sales '!$B$5:$B$200)=AB54)*('LY Sales '!$C$2:$AG$2=EDATE($C$4,-12)),'LY Sales '!$C$5:$AG$200))</f>
        <v>9957.35</v>
      </c>
      <c r="AH54" s="271">
        <f t="shared" si="0"/>
        <v>1</v>
      </c>
      <c r="AI54" s="271">
        <f t="shared" si="1"/>
        <v>0</v>
      </c>
      <c r="AJ54" s="271">
        <f t="shared" si="2"/>
        <v>1</v>
      </c>
      <c r="AK54" s="271">
        <f t="shared" si="3"/>
        <v>0</v>
      </c>
      <c r="AL54" s="271">
        <f t="shared" si="4"/>
        <v>1</v>
      </c>
      <c r="AM54" s="306" cm="1">
        <f t="array" ref="AM54">IF(OR(AB54="",NOT(ISNUMBER('Sales Dashboard'!BF53))),0,SUMPRODUCT((IFERROR(--'Sales and count'!$G$2:$CC$2,0)=$F$4)*('Sales and count'!$G$3:$CC$3="Total"),INDEX('Sales and count'!$G$4:$CC$300,'Sales Dashboard'!BF53,0)))</f>
        <v>6171.38</v>
      </c>
      <c r="AN54" s="306" cm="1">
        <f t="array" ref="AN54">IF(OR(AB54="",NOT(ISNUMBER('Sales Dashboard'!BG53))),0,SUMPRODUCT(('TY Sales Target'!$K$2:$AO$2=$F$4)*1,INDEX('TY Sales Target'!$K$5:$AO$300,'Sales Dashboard'!BG53,0)))</f>
        <v>10376.223760097366</v>
      </c>
      <c r="AO54" s="306" cm="1">
        <f t="array" ref="AO54">IF(AB54="",0,SUMPRODUCT((TRIM('LY Sales '!$B$5:$B$200)=AB54)*('LY Sales '!$C$2:$AG$2=EDATE($F$4,-12)),'LY Sales '!$C$5:$AG$200))</f>
        <v>8935.19</v>
      </c>
      <c r="AP54">
        <f t="shared" si="5"/>
        <v>1</v>
      </c>
      <c r="AQ54">
        <f t="shared" si="6"/>
        <v>0</v>
      </c>
      <c r="AR54">
        <f t="shared" si="7"/>
        <v>1</v>
      </c>
      <c r="AS54">
        <f t="shared" si="8"/>
        <v>0</v>
      </c>
      <c r="AU54" s="132"/>
    </row>
    <row r="55" spans="1:47" x14ac:dyDescent="0.25">
      <c r="A55" s="285" t="str" cm="1">
        <f t="array" ref="A55">IFERROR(INDEX(_xlfn._xlws.SORT(_xlfn.UNIQUE(_xlfn._xlws.FILTER($AD$7:$AD$303,$AD$7:$AD$303&lt;&gt;""))),ROWS($A$30:A55)),"")</f>
        <v>Riyadh</v>
      </c>
      <c r="B55" s="286">
        <f t="shared" si="32"/>
        <v>19</v>
      </c>
      <c r="C55" s="287">
        <f t="shared" si="33"/>
        <v>173254.54999999996</v>
      </c>
      <c r="D55" s="287">
        <f t="shared" si="34"/>
        <v>288152.25489250122</v>
      </c>
      <c r="E55" s="294">
        <f t="shared" si="35"/>
        <v>0.60126043457350253</v>
      </c>
      <c r="F55" s="295" t="str">
        <f t="shared" si="36"/>
        <v>✘ No</v>
      </c>
      <c r="G55" s="295">
        <f t="shared" si="37"/>
        <v>19</v>
      </c>
      <c r="H55" s="295">
        <f t="shared" si="38"/>
        <v>1</v>
      </c>
      <c r="I55" s="295" t="str">
        <f t="shared" si="39"/>
        <v>1 of 19</v>
      </c>
      <c r="J55" s="286">
        <f t="shared" si="40"/>
        <v>13</v>
      </c>
      <c r="K55" s="287">
        <f t="shared" si="41"/>
        <v>119914.58999999998</v>
      </c>
      <c r="L55" s="287">
        <f t="shared" si="42"/>
        <v>200102.46</v>
      </c>
      <c r="M55" s="298">
        <f t="shared" si="43"/>
        <v>-0.4007340539441645</v>
      </c>
      <c r="N55" s="299" t="str">
        <f t="shared" si="44"/>
        <v>✘ No</v>
      </c>
      <c r="O55" s="299">
        <f t="shared" si="45"/>
        <v>1</v>
      </c>
      <c r="P55" s="299" t="str">
        <f t="shared" si="46"/>
        <v>1 of 13</v>
      </c>
      <c r="Q55" s="319">
        <f t="shared" si="47"/>
        <v>97967.700000000012</v>
      </c>
      <c r="R55" s="314">
        <f t="shared" si="48"/>
        <v>0.76848645012590833</v>
      </c>
      <c r="S55" s="314">
        <f t="shared" si="49"/>
        <v>0.48967283498670561</v>
      </c>
      <c r="T55" s="315">
        <f t="shared" si="50"/>
        <v>11.158759958679692</v>
      </c>
      <c r="U55" s="316" t="str">
        <f t="shared" si="51"/>
        <v>✘ No</v>
      </c>
      <c r="V55" s="316" t="str">
        <f t="shared" si="52"/>
        <v>1 of 19</v>
      </c>
      <c r="W55" s="314">
        <f t="shared" si="53"/>
        <v>-0.33647052964174451</v>
      </c>
      <c r="X55" s="316" t="str">
        <f t="shared" si="54"/>
        <v>4 of 14</v>
      </c>
      <c r="Y55" s="271"/>
      <c r="Z55" s="271"/>
      <c r="AA55" s="271"/>
      <c r="AB55" s="271" t="str">
        <f>IF('Sales Dashboard'!AW54="","",'Sales Dashboard'!AW54)</f>
        <v>ALAQUEQ</v>
      </c>
      <c r="AC55" s="271" t="str">
        <f>IF(AB55="","",'Sales Dashboard'!AN54)</f>
        <v>Mohammed Sanad</v>
      </c>
      <c r="AD55" s="271" t="str">
        <f>IF(AB55="","",'Sales Dashboard'!AO54)</f>
        <v>Riyadh</v>
      </c>
      <c r="AE55" s="281" cm="1">
        <f t="array" ref="AE55">IF(OR(AB55="",NOT(ISNUMBER('Sales Dashboard'!BF54))),0,SUMPRODUCT((IFERROR(--'Sales and count'!$G$2:$CC$2,0)=$C$4)*('Sales and count'!$G$3:$CC$3="Total"),INDEX('Sales and count'!$G$4:$CC$300,'Sales Dashboard'!BF54,0)))</f>
        <v>19906.45</v>
      </c>
      <c r="AF55" s="281" cm="1">
        <f t="array" ref="AF55">IF(OR(AB55="",NOT(ISNUMBER('Sales Dashboard'!BG54))),0,SUMPRODUCT(('TY Sales Target'!$K$2:$AO$2=$C$4)*1,INDEX('TY Sales Target'!$K$5:$AO$300,'Sales Dashboard'!BG54,0)))</f>
        <v>33232.749509402391</v>
      </c>
      <c r="AG55" s="281" cm="1">
        <f t="array" ref="AG55">IF(AB55="",0,SUMPRODUCT((TRIM('LY Sales '!$B$5:$B$200)=AB55)*('LY Sales '!$C$2:$AG$2=EDATE($C$4,-12)),'LY Sales '!$C$5:$AG$200))</f>
        <v>41262.04</v>
      </c>
      <c r="AH55" s="271">
        <f t="shared" si="0"/>
        <v>1</v>
      </c>
      <c r="AI55" s="271">
        <f t="shared" si="1"/>
        <v>0</v>
      </c>
      <c r="AJ55" s="271">
        <f t="shared" si="2"/>
        <v>1</v>
      </c>
      <c r="AK55" s="271">
        <f t="shared" si="3"/>
        <v>0</v>
      </c>
      <c r="AL55" s="271">
        <f t="shared" si="4"/>
        <v>1</v>
      </c>
      <c r="AM55" s="306" cm="1">
        <f t="array" ref="AM55">IF(OR(AB55="",NOT(ISNUMBER('Sales Dashboard'!BF54))),0,SUMPRODUCT((IFERROR(--'Sales and count'!$G$2:$CC$2,0)=$F$4)*('Sales and count'!$G$3:$CC$3="Total"),INDEX('Sales and count'!$G$4:$CC$300,'Sales Dashboard'!BF54,0)))</f>
        <v>11978.86</v>
      </c>
      <c r="AN55" s="306" cm="1">
        <f t="array" ref="AN55">IF(OR(AB55="",NOT(ISNUMBER('Sales Dashboard'!BG54))),0,SUMPRODUCT(('TY Sales Target'!$K$2:$AO$2=$F$4)*1,INDEX('TY Sales Target'!$K$5:$AO$300,'Sales Dashboard'!BG54,0)))</f>
        <v>23073.907751267361</v>
      </c>
      <c r="AO55" s="306" cm="1">
        <f t="array" ref="AO55">IF(AB55="",0,SUMPRODUCT((TRIM('LY Sales '!$B$5:$B$200)=AB55)*('LY Sales '!$C$2:$AG$2=EDATE($F$4,-12)),'LY Sales '!$C$5:$AG$200))</f>
        <v>30732.62</v>
      </c>
      <c r="AP55">
        <f t="shared" si="5"/>
        <v>1</v>
      </c>
      <c r="AQ55">
        <f t="shared" si="6"/>
        <v>0</v>
      </c>
      <c r="AR55">
        <f t="shared" si="7"/>
        <v>1</v>
      </c>
      <c r="AS55">
        <f t="shared" si="8"/>
        <v>0</v>
      </c>
      <c r="AU55" s="132"/>
    </row>
    <row r="56" spans="1:47" x14ac:dyDescent="0.25">
      <c r="A56" s="285" t="str" cm="1">
        <f t="array" ref="A56">IFERROR(INDEX(_xlfn._xlws.SORT(_xlfn.UNIQUE(_xlfn._xlws.FILTER($AD$7:$AD$303,$AD$7:$AD$303&lt;&gt;""))),ROWS($A$30:A56)),"")</f>
        <v>Sabya</v>
      </c>
      <c r="B56" s="286">
        <f t="shared" si="32"/>
        <v>1</v>
      </c>
      <c r="C56" s="287">
        <f t="shared" si="33"/>
        <v>9139.2100000000009</v>
      </c>
      <c r="D56" s="287">
        <f t="shared" si="34"/>
        <v>12664.919782546644</v>
      </c>
      <c r="E56" s="294">
        <f t="shared" si="35"/>
        <v>0.72161609839760876</v>
      </c>
      <c r="F56" s="295" t="str">
        <f t="shared" si="36"/>
        <v>✘ No</v>
      </c>
      <c r="G56" s="295">
        <f t="shared" si="37"/>
        <v>1</v>
      </c>
      <c r="H56" s="295">
        <f t="shared" si="38"/>
        <v>0</v>
      </c>
      <c r="I56" s="295" t="str">
        <f t="shared" si="39"/>
        <v>0 of 1</v>
      </c>
      <c r="J56" s="286">
        <f t="shared" si="40"/>
        <v>0</v>
      </c>
      <c r="K56" s="287">
        <f t="shared" si="41"/>
        <v>0</v>
      </c>
      <c r="L56" s="287">
        <f t="shared" si="42"/>
        <v>0</v>
      </c>
      <c r="M56" s="298" t="str">
        <f t="shared" si="43"/>
        <v/>
      </c>
      <c r="N56" s="299" t="str">
        <f t="shared" si="44"/>
        <v/>
      </c>
      <c r="O56" s="299">
        <f t="shared" si="45"/>
        <v>0</v>
      </c>
      <c r="P56" s="299" t="str">
        <f t="shared" si="46"/>
        <v>0 of 0</v>
      </c>
      <c r="Q56" s="319">
        <f t="shared" si="47"/>
        <v>2146.15</v>
      </c>
      <c r="R56" s="314">
        <f t="shared" si="48"/>
        <v>3.2584208932274077</v>
      </c>
      <c r="S56" s="314">
        <f t="shared" si="49"/>
        <v>0.2440634530009631</v>
      </c>
      <c r="T56" s="315">
        <f t="shared" si="50"/>
        <v>47.755264539664566</v>
      </c>
      <c r="U56" s="316" t="str">
        <f t="shared" si="51"/>
        <v>✘ No</v>
      </c>
      <c r="V56" s="316" t="str">
        <f t="shared" si="52"/>
        <v>0 of 1</v>
      </c>
      <c r="W56" s="314">
        <f t="shared" si="53"/>
        <v>0.33463719807964987</v>
      </c>
      <c r="X56" s="316" t="str">
        <f t="shared" si="54"/>
        <v>1 of 1</v>
      </c>
      <c r="Y56" s="271"/>
      <c r="Z56" s="271"/>
      <c r="AA56" s="271"/>
      <c r="AB56" s="271" t="str">
        <f>IF('Sales Dashboard'!AW55="","",'Sales Dashboard'!AW55)</f>
        <v>HAALITMED</v>
      </c>
      <c r="AC56" s="271" t="str">
        <f>IF(AB56="","",'Sales Dashboard'!AN55)</f>
        <v>Mohammed Haidar</v>
      </c>
      <c r="AD56" s="271" t="str">
        <f>IF(AB56="","",'Sales Dashboard'!AO55)</f>
        <v>Madinah</v>
      </c>
      <c r="AE56" s="281" cm="1">
        <f t="array" ref="AE56">IF(OR(AB56="",NOT(ISNUMBER('Sales Dashboard'!BF55))),0,SUMPRODUCT((IFERROR(--'Sales and count'!$G$2:$CC$2,0)=$C$4)*('Sales and count'!$G$3:$CC$3="Total"),INDEX('Sales and count'!$G$4:$CC$300,'Sales Dashboard'!BF55,0)))</f>
        <v>5342.06</v>
      </c>
      <c r="AF56" s="281" cm="1">
        <f t="array" ref="AF56">IF(OR(AB56="",NOT(ISNUMBER('Sales Dashboard'!BG55))),0,SUMPRODUCT(('TY Sales Target'!$K$2:$AO$2=$C$4)*1,INDEX('TY Sales Target'!$K$5:$AO$300,'Sales Dashboard'!BG55,0)))</f>
        <v>6889.7163617053748</v>
      </c>
      <c r="AG56" s="281" cm="1">
        <f t="array" ref="AG56">IF(AB56="",0,SUMPRODUCT((TRIM('LY Sales '!$B$5:$B$200)=AB56)*('LY Sales '!$C$2:$AG$2=EDATE($C$4,-12)),'LY Sales '!$C$5:$AG$200))</f>
        <v>0</v>
      </c>
      <c r="AH56" s="271">
        <f t="shared" si="0"/>
        <v>1</v>
      </c>
      <c r="AI56" s="271">
        <f t="shared" si="1"/>
        <v>0</v>
      </c>
      <c r="AJ56" s="271">
        <f t="shared" si="2"/>
        <v>0</v>
      </c>
      <c r="AK56" s="271">
        <f t="shared" si="3"/>
        <v>0</v>
      </c>
      <c r="AL56" s="271">
        <f t="shared" si="4"/>
        <v>1</v>
      </c>
      <c r="AM56" s="306" cm="1">
        <f t="array" ref="AM56">IF(OR(AB56="",NOT(ISNUMBER('Sales Dashboard'!BF55))),0,SUMPRODUCT((IFERROR(--'Sales and count'!$G$2:$CC$2,0)=$F$4)*('Sales and count'!$G$3:$CC$3="Total"),INDEX('Sales and count'!$G$4:$CC$300,'Sales Dashboard'!BF55,0)))</f>
        <v>2753.2</v>
      </c>
      <c r="AN56" s="306" cm="1">
        <f t="array" ref="AN56">IF(OR(AB56="",NOT(ISNUMBER('Sales Dashboard'!BG55))),0,SUMPRODUCT(('TY Sales Target'!$K$2:$AO$2=$F$4)*1,INDEX('TY Sales Target'!$K$5:$AO$300,'Sales Dashboard'!BG55,0)))</f>
        <v>4783.6150216042088</v>
      </c>
      <c r="AO56" s="306" cm="1">
        <f t="array" ref="AO56">IF(AB56="",0,SUMPRODUCT((TRIM('LY Sales '!$B$5:$B$200)=AB56)*('LY Sales '!$C$2:$AG$2=EDATE($F$4,-12)),'LY Sales '!$C$5:$AG$200))</f>
        <v>0</v>
      </c>
      <c r="AP56">
        <f t="shared" si="5"/>
        <v>1</v>
      </c>
      <c r="AQ56">
        <f t="shared" si="6"/>
        <v>0</v>
      </c>
      <c r="AR56">
        <f t="shared" si="7"/>
        <v>0</v>
      </c>
      <c r="AS56">
        <f t="shared" si="8"/>
        <v>0</v>
      </c>
      <c r="AU56" s="132"/>
    </row>
    <row r="57" spans="1:47" x14ac:dyDescent="0.25">
      <c r="A57" s="285" t="str" cm="1">
        <f t="array" ref="A57">IFERROR(INDEX(_xlfn._xlws.SORT(_xlfn.UNIQUE(_xlfn._xlws.FILTER($AD$7:$AD$303,$AD$7:$AD$303&lt;&gt;""))),ROWS($A$30:A57)),"")</f>
        <v>Samtah</v>
      </c>
      <c r="B57" s="286">
        <f t="shared" si="32"/>
        <v>1</v>
      </c>
      <c r="C57" s="287">
        <f t="shared" si="33"/>
        <v>6945.18</v>
      </c>
      <c r="D57" s="287">
        <f t="shared" si="34"/>
        <v>13171.51657384851</v>
      </c>
      <c r="E57" s="294">
        <f t="shared" si="35"/>
        <v>0.52728780023625843</v>
      </c>
      <c r="F57" s="295" t="str">
        <f t="shared" si="36"/>
        <v>✘ No</v>
      </c>
      <c r="G57" s="295">
        <f t="shared" si="37"/>
        <v>1</v>
      </c>
      <c r="H57" s="295">
        <f t="shared" si="38"/>
        <v>0</v>
      </c>
      <c r="I57" s="295" t="str">
        <f t="shared" si="39"/>
        <v>0 of 1</v>
      </c>
      <c r="J57" s="286">
        <f t="shared" si="40"/>
        <v>1</v>
      </c>
      <c r="K57" s="287">
        <f t="shared" si="41"/>
        <v>6945.18</v>
      </c>
      <c r="L57" s="287">
        <f t="shared" si="42"/>
        <v>14988.46</v>
      </c>
      <c r="M57" s="298">
        <f t="shared" si="43"/>
        <v>-0.53663151517901109</v>
      </c>
      <c r="N57" s="299" t="str">
        <f t="shared" si="44"/>
        <v>✘ No</v>
      </c>
      <c r="O57" s="299">
        <f t="shared" si="45"/>
        <v>0</v>
      </c>
      <c r="P57" s="299" t="str">
        <f t="shared" si="46"/>
        <v>0 of 1</v>
      </c>
      <c r="Q57" s="319">
        <f t="shared" si="47"/>
        <v>2077.16</v>
      </c>
      <c r="R57" s="314">
        <f t="shared" si="48"/>
        <v>2.3435941381501668</v>
      </c>
      <c r="S57" s="314">
        <f t="shared" si="49"/>
        <v>0.22713250473364668</v>
      </c>
      <c r="T57" s="315">
        <f t="shared" si="50"/>
        <v>30.015529550261178</v>
      </c>
      <c r="U57" s="316" t="str">
        <f t="shared" si="51"/>
        <v>✘ No</v>
      </c>
      <c r="V57" s="316" t="str">
        <f t="shared" si="52"/>
        <v>0 of 1</v>
      </c>
      <c r="W57" s="314">
        <f t="shared" si="53"/>
        <v>-0.50545222517451882</v>
      </c>
      <c r="X57" s="316" t="str">
        <f t="shared" si="54"/>
        <v>0 of 1</v>
      </c>
      <c r="Y57" s="271"/>
      <c r="Z57" s="271"/>
      <c r="AA57" s="271"/>
      <c r="AB57" s="271" t="str">
        <f>IF('Sales Dashboard'!AW56="","",'Sales Dashboard'!AW56)</f>
        <v>HARSHNRYD</v>
      </c>
      <c r="AC57" s="271" t="str">
        <f>IF(AB57="","",'Sales Dashboard'!AN56)</f>
        <v>Lina Al Ghathami</v>
      </c>
      <c r="AD57" s="271" t="str">
        <f>IF(AB57="","",'Sales Dashboard'!AO56)</f>
        <v>Riyadh</v>
      </c>
      <c r="AE57" s="281" cm="1">
        <f t="array" ref="AE57">IF(OR(AB57="",NOT(ISNUMBER('Sales Dashboard'!BF56))),0,SUMPRODUCT((IFERROR(--'Sales and count'!$G$2:$CC$2,0)=$C$4)*('Sales and count'!$G$3:$CC$3="Total"),INDEX('Sales and count'!$G$4:$CC$300,'Sales Dashboard'!BF56,0)))</f>
        <v>3650.09</v>
      </c>
      <c r="AF57" s="281" cm="1">
        <f t="array" ref="AF57">IF(OR(AB57="",NOT(ISNUMBER('Sales Dashboard'!BG56))),0,SUMPRODUCT(('TY Sales Target'!$K$2:$AO$2=$C$4)*1,INDEX('TY Sales Target'!$K$5:$AO$300,'Sales Dashboard'!BG56,0)))</f>
        <v>5775.2034208412697</v>
      </c>
      <c r="AG57" s="281" cm="1">
        <f t="array" ref="AG57">IF(AB57="",0,SUMPRODUCT((TRIM('LY Sales '!$B$5:$B$200)=AB57)*('LY Sales '!$C$2:$AG$2=EDATE($C$4,-12)),'LY Sales '!$C$5:$AG$200))</f>
        <v>0</v>
      </c>
      <c r="AH57" s="271">
        <f t="shared" si="0"/>
        <v>1</v>
      </c>
      <c r="AI57" s="271">
        <f t="shared" si="1"/>
        <v>0</v>
      </c>
      <c r="AJ57" s="271">
        <f t="shared" si="2"/>
        <v>0</v>
      </c>
      <c r="AK57" s="271">
        <f t="shared" si="3"/>
        <v>0</v>
      </c>
      <c r="AL57" s="271">
        <f t="shared" si="4"/>
        <v>1</v>
      </c>
      <c r="AM57" s="306" cm="1">
        <f t="array" ref="AM57">IF(OR(AB57="",NOT(ISNUMBER('Sales Dashboard'!BF56))),0,SUMPRODUCT((IFERROR(--'Sales and count'!$G$2:$CC$2,0)=$F$4)*('Sales and count'!$G$3:$CC$3="Total"),INDEX('Sales and count'!$G$4:$CC$300,'Sales Dashboard'!BF56,0)))</f>
        <v>2002.15</v>
      </c>
      <c r="AN57" s="306" cm="1">
        <f t="array" ref="AN57">IF(OR(AB57="",NOT(ISNUMBER('Sales Dashboard'!BG56))),0,SUMPRODUCT(('TY Sales Target'!$K$2:$AO$2=$F$4)*1,INDEX('TY Sales Target'!$K$5:$AO$300,'Sales Dashboard'!BG56,0)))</f>
        <v>4009.7949445799986</v>
      </c>
      <c r="AO57" s="306" cm="1">
        <f t="array" ref="AO57">IF(AB57="",0,SUMPRODUCT((TRIM('LY Sales '!$B$5:$B$200)=AB57)*('LY Sales '!$C$2:$AG$2=EDATE($F$4,-12)),'LY Sales '!$C$5:$AG$200))</f>
        <v>0</v>
      </c>
      <c r="AP57">
        <f t="shared" si="5"/>
        <v>1</v>
      </c>
      <c r="AQ57">
        <f t="shared" si="6"/>
        <v>0</v>
      </c>
      <c r="AR57">
        <f t="shared" si="7"/>
        <v>0</v>
      </c>
      <c r="AS57">
        <f t="shared" si="8"/>
        <v>0</v>
      </c>
      <c r="AU57" s="132"/>
    </row>
    <row r="58" spans="1:47" x14ac:dyDescent="0.25">
      <c r="A58" s="285" t="str" cm="1">
        <f t="array" ref="A58">IFERROR(INDEX(_xlfn._xlws.SORT(_xlfn.UNIQUE(_xlfn._xlws.FILTER($AD$7:$AD$303,$AD$7:$AD$303&lt;&gt;""))),ROWS($A$30:A58)),"")</f>
        <v>Skaka</v>
      </c>
      <c r="B58" s="286">
        <f t="shared" si="32"/>
        <v>1</v>
      </c>
      <c r="C58" s="287">
        <f t="shared" si="33"/>
        <v>6037.05</v>
      </c>
      <c r="D58" s="287">
        <f t="shared" si="34"/>
        <v>10739.851975599555</v>
      </c>
      <c r="E58" s="294">
        <f t="shared" si="35"/>
        <v>0.56211668593905184</v>
      </c>
      <c r="F58" s="295" t="str">
        <f t="shared" si="36"/>
        <v>✘ No</v>
      </c>
      <c r="G58" s="295">
        <f t="shared" si="37"/>
        <v>1</v>
      </c>
      <c r="H58" s="295">
        <f t="shared" si="38"/>
        <v>0</v>
      </c>
      <c r="I58" s="295" t="str">
        <f t="shared" si="39"/>
        <v>0 of 1</v>
      </c>
      <c r="J58" s="286">
        <f t="shared" si="40"/>
        <v>0</v>
      </c>
      <c r="K58" s="287">
        <f t="shared" si="41"/>
        <v>0</v>
      </c>
      <c r="L58" s="287">
        <f t="shared" si="42"/>
        <v>0</v>
      </c>
      <c r="M58" s="298" t="str">
        <f t="shared" si="43"/>
        <v/>
      </c>
      <c r="N58" s="299" t="str">
        <f t="shared" si="44"/>
        <v/>
      </c>
      <c r="O58" s="299">
        <f t="shared" si="45"/>
        <v>0</v>
      </c>
      <c r="P58" s="299" t="str">
        <f t="shared" si="46"/>
        <v>0 of 0</v>
      </c>
      <c r="Q58" s="319">
        <f t="shared" si="47"/>
        <v>3012.23</v>
      </c>
      <c r="R58" s="314">
        <f t="shared" si="48"/>
        <v>1.0041796277176709</v>
      </c>
      <c r="S58" s="314">
        <f t="shared" si="49"/>
        <v>0.40395683045917846</v>
      </c>
      <c r="T58" s="315">
        <f t="shared" si="50"/>
        <v>15.815985547987339</v>
      </c>
      <c r="U58" s="316" t="str">
        <f t="shared" si="51"/>
        <v>✘ No</v>
      </c>
      <c r="V58" s="316" t="str">
        <f t="shared" si="52"/>
        <v>0 of 1</v>
      </c>
      <c r="W58" s="314" t="str">
        <f t="shared" si="53"/>
        <v/>
      </c>
      <c r="X58" s="316" t="str">
        <f t="shared" si="54"/>
        <v>0 of 0</v>
      </c>
      <c r="Y58" s="271"/>
      <c r="Z58" s="271"/>
      <c r="AA58" s="271"/>
      <c r="AB58" s="271" t="str">
        <f>IF('Sales Dashboard'!AW57="","",'Sales Dashboard'!AW57)</f>
        <v>HAQATIFCC</v>
      </c>
      <c r="AC58" s="271" t="str">
        <f>IF(AB58="","",'Sales Dashboard'!AN57)</f>
        <v>Hamzah Al Makhadam</v>
      </c>
      <c r="AD58" s="271" t="str">
        <f>IF(AB58="","",'Sales Dashboard'!AO57)</f>
        <v>Qatif</v>
      </c>
      <c r="AE58" s="281" cm="1">
        <f t="array" ref="AE58">IF(OR(AB58="",NOT(ISNUMBER('Sales Dashboard'!BF57))),0,SUMPRODUCT((IFERROR(--'Sales and count'!$G$2:$CC$2,0)=$C$4)*('Sales and count'!$G$3:$CC$3="Total"),INDEX('Sales and count'!$G$4:$CC$300,'Sales Dashboard'!BF57,0)))</f>
        <v>4620.03</v>
      </c>
      <c r="AF58" s="281" cm="1">
        <f t="array" ref="AF58">IF(OR(AB58="",NOT(ISNUMBER('Sales Dashboard'!BG57))),0,SUMPRODUCT(('TY Sales Target'!$K$2:$AO$2=$C$4)*1,INDEX('TY Sales Target'!$K$5:$AO$300,'Sales Dashboard'!BG57,0)))</f>
        <v>7193.6744364864935</v>
      </c>
      <c r="AG58" s="281" cm="1">
        <f t="array" ref="AG58">IF(AB58="",0,SUMPRODUCT((TRIM('LY Sales '!$B$5:$B$200)=AB58)*('LY Sales '!$C$2:$AG$2=EDATE($C$4,-12)),'LY Sales '!$C$5:$AG$200))</f>
        <v>3962.14</v>
      </c>
      <c r="AH58" s="271">
        <f t="shared" si="0"/>
        <v>1</v>
      </c>
      <c r="AI58" s="271">
        <f t="shared" si="1"/>
        <v>0</v>
      </c>
      <c r="AJ58" s="271">
        <f t="shared" si="2"/>
        <v>1</v>
      </c>
      <c r="AK58" s="271">
        <f t="shared" si="3"/>
        <v>1</v>
      </c>
      <c r="AL58" s="271">
        <f t="shared" si="4"/>
        <v>1</v>
      </c>
      <c r="AM58" s="306" cm="1">
        <f t="array" ref="AM58">IF(OR(AB58="",NOT(ISNUMBER('Sales Dashboard'!BF57))),0,SUMPRODUCT((IFERROR(--'Sales and count'!$G$2:$CC$2,0)=$F$4)*('Sales and count'!$G$3:$CC$3="Total"),INDEX('Sales and count'!$G$4:$CC$300,'Sales Dashboard'!BF57,0)))</f>
        <v>2216.12</v>
      </c>
      <c r="AN58" s="306" cm="1">
        <f t="array" ref="AN58">IF(OR(AB58="",NOT(ISNUMBER('Sales Dashboard'!BG57))),0,SUMPRODUCT(('TY Sales Target'!$K$2:$AO$2=$F$4)*1,INDEX('TY Sales Target'!$K$5:$AO$300,'Sales Dashboard'!BG57,0)))</f>
        <v>4994.6568607926301</v>
      </c>
      <c r="AO58" s="306" cm="1">
        <f t="array" ref="AO58">IF(AB58="",0,SUMPRODUCT((TRIM('LY Sales '!$B$5:$B$200)=AB58)*('LY Sales '!$C$2:$AG$2=EDATE($F$4,-12)),'LY Sales '!$C$5:$AG$200))</f>
        <v>1985.02</v>
      </c>
      <c r="AP58">
        <f t="shared" si="5"/>
        <v>1</v>
      </c>
      <c r="AQ58">
        <f t="shared" si="6"/>
        <v>0</v>
      </c>
      <c r="AR58">
        <f t="shared" si="7"/>
        <v>1</v>
      </c>
      <c r="AS58">
        <f t="shared" si="8"/>
        <v>1</v>
      </c>
      <c r="AU58" s="132"/>
    </row>
    <row r="59" spans="1:47" x14ac:dyDescent="0.25">
      <c r="A59" s="285" t="str" cm="1">
        <f t="array" ref="A59">IFERROR(INDEX(_xlfn._xlws.SORT(_xlfn.UNIQUE(_xlfn._xlws.FILTER($AD$7:$AD$303,$AD$7:$AD$303&lt;&gt;""))),ROWS($A$30:A59)),"")</f>
        <v>Tabuk</v>
      </c>
      <c r="B59" s="286">
        <f t="shared" si="32"/>
        <v>2</v>
      </c>
      <c r="C59" s="287">
        <f t="shared" si="33"/>
        <v>18030.23</v>
      </c>
      <c r="D59" s="287">
        <f t="shared" si="34"/>
        <v>24823.242773791422</v>
      </c>
      <c r="E59" s="294">
        <f t="shared" si="35"/>
        <v>0.72634466674259257</v>
      </c>
      <c r="F59" s="295" t="str">
        <f t="shared" si="36"/>
        <v>✘ No</v>
      </c>
      <c r="G59" s="295">
        <f t="shared" si="37"/>
        <v>2</v>
      </c>
      <c r="H59" s="295">
        <f t="shared" si="38"/>
        <v>0</v>
      </c>
      <c r="I59" s="295" t="str">
        <f t="shared" si="39"/>
        <v>0 of 2</v>
      </c>
      <c r="J59" s="286">
        <f t="shared" si="40"/>
        <v>1</v>
      </c>
      <c r="K59" s="287">
        <f t="shared" si="41"/>
        <v>10802.13</v>
      </c>
      <c r="L59" s="287">
        <f t="shared" si="42"/>
        <v>20016.68</v>
      </c>
      <c r="M59" s="298">
        <f t="shared" si="43"/>
        <v>-0.46034357345973465</v>
      </c>
      <c r="N59" s="299" t="str">
        <f t="shared" si="44"/>
        <v>✘ No</v>
      </c>
      <c r="O59" s="299">
        <f t="shared" si="45"/>
        <v>0</v>
      </c>
      <c r="P59" s="299" t="str">
        <f t="shared" si="46"/>
        <v>0 of 1</v>
      </c>
      <c r="Q59" s="319">
        <f t="shared" si="47"/>
        <v>6427.4</v>
      </c>
      <c r="R59" s="314">
        <f t="shared" si="48"/>
        <v>1.8052136167034885</v>
      </c>
      <c r="S59" s="314">
        <f t="shared" si="49"/>
        <v>0.37292537558199623</v>
      </c>
      <c r="T59" s="315">
        <f t="shared" si="50"/>
        <v>35.341929116059632</v>
      </c>
      <c r="U59" s="316" t="str">
        <f t="shared" si="51"/>
        <v>✘ No</v>
      </c>
      <c r="V59" s="316" t="str">
        <f t="shared" si="52"/>
        <v>0 of 2</v>
      </c>
      <c r="W59" s="314">
        <f t="shared" si="53"/>
        <v>-0.39781885931803218</v>
      </c>
      <c r="X59" s="316" t="str">
        <f t="shared" si="54"/>
        <v>0 of 1</v>
      </c>
      <c r="Y59" s="271"/>
      <c r="Z59" s="271"/>
      <c r="AA59" s="271"/>
      <c r="AB59" s="271" t="str">
        <f>IF('Sales Dashboard'!AW58="","",'Sales Dashboard'!AW58)</f>
        <v>HAMDANYA</v>
      </c>
      <c r="AC59" s="271" t="str">
        <f>IF(AB59="","",'Sales Dashboard'!AN58)</f>
        <v>Saleh Bin Hoiel</v>
      </c>
      <c r="AD59" s="271" t="str">
        <f>IF(AB59="","",'Sales Dashboard'!AO58)</f>
        <v>Jeddah</v>
      </c>
      <c r="AE59" s="281" cm="1">
        <f t="array" ref="AE59">IF(OR(AB59="",NOT(ISNUMBER('Sales Dashboard'!BF58))),0,SUMPRODUCT((IFERROR(--'Sales and count'!$G$2:$CC$2,0)=$C$4)*('Sales and count'!$G$3:$CC$3="Total"),INDEX('Sales and count'!$G$4:$CC$300,'Sales Dashboard'!BF58,0)))</f>
        <v>16200.38</v>
      </c>
      <c r="AF59" s="281" cm="1">
        <f t="array" ref="AF59">IF(OR(AB59="",NOT(ISNUMBER('Sales Dashboard'!BG58))),0,SUMPRODUCT(('TY Sales Target'!$K$2:$AO$2=$C$4)*1,INDEX('TY Sales Target'!$K$5:$AO$300,'Sales Dashboard'!BG58,0)))</f>
        <v>15957.798926008771</v>
      </c>
      <c r="AG59" s="281" cm="1">
        <f t="array" ref="AG59">IF(AB59="",0,SUMPRODUCT((TRIM('LY Sales '!$B$5:$B$200)=AB59)*('LY Sales '!$C$2:$AG$2=EDATE($C$4,-12)),'LY Sales '!$C$5:$AG$200))</f>
        <v>18574.7</v>
      </c>
      <c r="AH59" s="271">
        <f t="shared" si="0"/>
        <v>1</v>
      </c>
      <c r="AI59" s="271">
        <f t="shared" si="1"/>
        <v>1</v>
      </c>
      <c r="AJ59" s="271">
        <f t="shared" si="2"/>
        <v>1</v>
      </c>
      <c r="AK59" s="271">
        <f t="shared" si="3"/>
        <v>0</v>
      </c>
      <c r="AL59" s="271">
        <f t="shared" si="4"/>
        <v>1</v>
      </c>
      <c r="AM59" s="306" cm="1">
        <f t="array" ref="AM59">IF(OR(AB59="",NOT(ISNUMBER('Sales Dashboard'!BF58))),0,SUMPRODUCT((IFERROR(--'Sales and count'!$G$2:$CC$2,0)=$F$4)*('Sales and count'!$G$3:$CC$3="Total"),INDEX('Sales and count'!$G$4:$CC$300,'Sales Dashboard'!BF58,0)))</f>
        <v>6959.43</v>
      </c>
      <c r="AN59" s="306" cm="1">
        <f t="array" ref="AN59">IF(OR(AB59="",NOT(ISNUMBER('Sales Dashboard'!BG58))),0,SUMPRODUCT(('TY Sales Target'!$K$2:$AO$2=$F$4)*1,INDEX('TY Sales Target'!$K$5:$AO$300,'Sales Dashboard'!BG58,0)))</f>
        <v>11079.696557392101</v>
      </c>
      <c r="AO59" s="306" cm="1">
        <f t="array" ref="AO59">IF(AB59="",0,SUMPRODUCT((TRIM('LY Sales '!$B$5:$B$200)=AB59)*('LY Sales '!$C$2:$AG$2=EDATE($F$4,-12)),'LY Sales '!$C$5:$AG$200))</f>
        <v>3758.08</v>
      </c>
      <c r="AP59">
        <f t="shared" si="5"/>
        <v>1</v>
      </c>
      <c r="AQ59">
        <f t="shared" si="6"/>
        <v>0</v>
      </c>
      <c r="AR59">
        <f t="shared" si="7"/>
        <v>1</v>
      </c>
      <c r="AS59">
        <f t="shared" si="8"/>
        <v>1</v>
      </c>
      <c r="AU59" s="132"/>
    </row>
    <row r="60" spans="1:47" x14ac:dyDescent="0.25">
      <c r="A60" s="285" t="str" cm="1">
        <f t="array" ref="A60">IFERROR(INDEX(_xlfn._xlws.SORT(_xlfn.UNIQUE(_xlfn._xlws.FILTER($AD$7:$AD$303,$AD$7:$AD$303&lt;&gt;""))),ROWS($A$30:A60)),"")</f>
        <v>Taif</v>
      </c>
      <c r="B60" s="286">
        <f t="shared" si="32"/>
        <v>4</v>
      </c>
      <c r="C60" s="287">
        <f t="shared" si="33"/>
        <v>32750.49</v>
      </c>
      <c r="D60" s="287">
        <f t="shared" si="34"/>
        <v>50991.188233231151</v>
      </c>
      <c r="E60" s="294">
        <f t="shared" si="35"/>
        <v>0.64227744311822843</v>
      </c>
      <c r="F60" s="295" t="str">
        <f t="shared" si="36"/>
        <v>✘ No</v>
      </c>
      <c r="G60" s="295">
        <f t="shared" si="37"/>
        <v>4</v>
      </c>
      <c r="H60" s="295">
        <f t="shared" si="38"/>
        <v>0</v>
      </c>
      <c r="I60" s="295" t="str">
        <f t="shared" si="39"/>
        <v>0 of 4</v>
      </c>
      <c r="J60" s="286">
        <f t="shared" si="40"/>
        <v>2</v>
      </c>
      <c r="K60" s="287">
        <f t="shared" si="41"/>
        <v>21431.35</v>
      </c>
      <c r="L60" s="287">
        <f t="shared" si="42"/>
        <v>31522.75</v>
      </c>
      <c r="M60" s="298">
        <f t="shared" si="43"/>
        <v>-0.32013069925688598</v>
      </c>
      <c r="N60" s="299" t="str">
        <f t="shared" si="44"/>
        <v>✘ No</v>
      </c>
      <c r="O60" s="299">
        <f t="shared" si="45"/>
        <v>0</v>
      </c>
      <c r="P60" s="299" t="str">
        <f t="shared" si="46"/>
        <v>0 of 2</v>
      </c>
      <c r="Q60" s="319">
        <f t="shared" si="47"/>
        <v>11130.71</v>
      </c>
      <c r="R60" s="314">
        <f t="shared" si="48"/>
        <v>1.9423540816354037</v>
      </c>
      <c r="S60" s="314">
        <f t="shared" si="49"/>
        <v>0.314392992529127</v>
      </c>
      <c r="T60" s="315">
        <f t="shared" si="50"/>
        <v>32.788445058910142</v>
      </c>
      <c r="U60" s="316" t="str">
        <f t="shared" si="51"/>
        <v>✘ No</v>
      </c>
      <c r="V60" s="316" t="str">
        <f t="shared" si="52"/>
        <v>0 of 4</v>
      </c>
      <c r="W60" s="314">
        <f t="shared" si="53"/>
        <v>-0.24686584960509872</v>
      </c>
      <c r="X60" s="316" t="str">
        <f t="shared" si="54"/>
        <v>1 of 2</v>
      </c>
      <c r="Y60" s="271"/>
      <c r="Z60" s="271"/>
      <c r="AA60" s="271"/>
      <c r="AB60" s="271" t="str">
        <f>IF('Sales Dashboard'!AW59="","",'Sales Dashboard'!AW59)</f>
        <v>KFAHADRD</v>
      </c>
      <c r="AC60" s="271" t="str">
        <f>IF(AB60="","",'Sales Dashboard'!AN59)</f>
        <v>Lina Al Ghathami</v>
      </c>
      <c r="AD60" s="271" t="str">
        <f>IF(AB60="","",'Sales Dashboard'!AO59)</f>
        <v>Riyadh</v>
      </c>
      <c r="AE60" s="281" cm="1">
        <f t="array" ref="AE60">IF(OR(AB60="",NOT(ISNUMBER('Sales Dashboard'!BF59))),0,SUMPRODUCT((IFERROR(--'Sales and count'!$G$2:$CC$2,0)=$C$4)*('Sales and count'!$G$3:$CC$3="Total"),INDEX('Sales and count'!$G$4:$CC$300,'Sales Dashboard'!BF59,0)))</f>
        <v>12648.15</v>
      </c>
      <c r="AF60" s="281" cm="1">
        <f t="array" ref="AF60">IF(OR(AB60="",NOT(ISNUMBER('Sales Dashboard'!BG59))),0,SUMPRODUCT(('TY Sales Target'!$K$2:$AO$2=$C$4)*1,INDEX('TY Sales Target'!$K$5:$AO$300,'Sales Dashboard'!BG59,0)))</f>
        <v>25887.096035525341</v>
      </c>
      <c r="AG60" s="281" cm="1">
        <f t="array" ref="AG60">IF(AB60="",0,SUMPRODUCT((TRIM('LY Sales '!$B$5:$B$200)=AB60)*('LY Sales '!$C$2:$AG$2=EDATE($C$4,-12)),'LY Sales '!$C$5:$AG$200))</f>
        <v>19940.580000000002</v>
      </c>
      <c r="AH60" s="271">
        <f t="shared" si="0"/>
        <v>1</v>
      </c>
      <c r="AI60" s="271">
        <f t="shared" si="1"/>
        <v>0</v>
      </c>
      <c r="AJ60" s="271">
        <f t="shared" si="2"/>
        <v>1</v>
      </c>
      <c r="AK60" s="271">
        <f t="shared" si="3"/>
        <v>0</v>
      </c>
      <c r="AL60" s="271">
        <f t="shared" si="4"/>
        <v>1</v>
      </c>
      <c r="AM60" s="306" cm="1">
        <f t="array" ref="AM60">IF(OR(AB60="",NOT(ISNUMBER('Sales Dashboard'!BF59))),0,SUMPRODUCT((IFERROR(--'Sales and count'!$G$2:$CC$2,0)=$F$4)*('Sales and count'!$G$3:$CC$3="Total"),INDEX('Sales and count'!$G$4:$CC$300,'Sales Dashboard'!BF59,0)))</f>
        <v>15217.88</v>
      </c>
      <c r="AN60" s="306" cm="1">
        <f t="array" ref="AN60">IF(OR(AB60="",NOT(ISNUMBER('Sales Dashboard'!BG59))),0,SUMPRODUCT(('TY Sales Target'!$K$2:$AO$2=$F$4)*1,INDEX('TY Sales Target'!$K$5:$AO$300,'Sales Dashboard'!BG59,0)))</f>
        <v>17973.729970880519</v>
      </c>
      <c r="AO60" s="306" cm="1">
        <f t="array" ref="AO60">IF(AB60="",0,SUMPRODUCT((TRIM('LY Sales '!$B$5:$B$200)=AB60)*('LY Sales '!$C$2:$AG$2=EDATE($F$4,-12)),'LY Sales '!$C$5:$AG$200))</f>
        <v>13990.24</v>
      </c>
      <c r="AP60">
        <f t="shared" si="5"/>
        <v>1</v>
      </c>
      <c r="AQ60">
        <f t="shared" si="6"/>
        <v>1</v>
      </c>
      <c r="AR60">
        <f t="shared" si="7"/>
        <v>1</v>
      </c>
      <c r="AS60">
        <f t="shared" si="8"/>
        <v>1</v>
      </c>
      <c r="AU60" s="132"/>
    </row>
    <row r="61" spans="1:47" x14ac:dyDescent="0.25">
      <c r="A61" s="285" t="str" cm="1">
        <f t="array" ref="A61">IFERROR(INDEX(_xlfn._xlws.SORT(_xlfn.UNIQUE(_xlfn._xlws.FILTER($AD$7:$AD$303,$AD$7:$AD$303&lt;&gt;""))),ROWS($A$30:A61)),"")</f>
        <v>Yanbu</v>
      </c>
      <c r="B61" s="286">
        <f t="shared" si="32"/>
        <v>2</v>
      </c>
      <c r="C61" s="287">
        <f t="shared" si="33"/>
        <v>10710.14</v>
      </c>
      <c r="D61" s="287">
        <f t="shared" si="34"/>
        <v>12867.558499067391</v>
      </c>
      <c r="E61" s="294">
        <f t="shared" si="35"/>
        <v>0.83233660843867496</v>
      </c>
      <c r="F61" s="295" t="str">
        <f t="shared" si="36"/>
        <v>✔ Yes</v>
      </c>
      <c r="G61" s="295">
        <f t="shared" si="37"/>
        <v>2</v>
      </c>
      <c r="H61" s="295">
        <f t="shared" si="38"/>
        <v>1</v>
      </c>
      <c r="I61" s="295" t="str">
        <f t="shared" si="39"/>
        <v>1 of 2</v>
      </c>
      <c r="J61" s="286">
        <f t="shared" si="40"/>
        <v>1</v>
      </c>
      <c r="K61" s="287">
        <f t="shared" si="41"/>
        <v>5937.07</v>
      </c>
      <c r="L61" s="287">
        <f t="shared" si="42"/>
        <v>10677.2</v>
      </c>
      <c r="M61" s="298">
        <f t="shared" si="43"/>
        <v>-0.44394878807177918</v>
      </c>
      <c r="N61" s="299" t="str">
        <f t="shared" si="44"/>
        <v>✘ No</v>
      </c>
      <c r="O61" s="299">
        <f t="shared" si="45"/>
        <v>0</v>
      </c>
      <c r="P61" s="299" t="str">
        <f t="shared" si="46"/>
        <v>0 of 1</v>
      </c>
      <c r="Q61" s="319">
        <f t="shared" si="47"/>
        <v>4413.29</v>
      </c>
      <c r="R61" s="314">
        <f t="shared" si="48"/>
        <v>1.4267927102003268</v>
      </c>
      <c r="S61" s="314">
        <f t="shared" si="49"/>
        <v>0.49398235573948501</v>
      </c>
      <c r="T61" s="315">
        <f t="shared" si="50"/>
        <v>33.835425269918993</v>
      </c>
      <c r="U61" s="316" t="str">
        <f t="shared" si="51"/>
        <v>✘ No</v>
      </c>
      <c r="V61" s="316" t="str">
        <f t="shared" si="52"/>
        <v>0 of 2</v>
      </c>
      <c r="W61" s="314">
        <f t="shared" si="53"/>
        <v>-0.71279876155823341</v>
      </c>
      <c r="X61" s="316" t="str">
        <f t="shared" si="54"/>
        <v>0 of 1</v>
      </c>
      <c r="Y61" s="271"/>
      <c r="Z61" s="271"/>
      <c r="AA61" s="271"/>
      <c r="AB61" s="271" t="str">
        <f>IF('Sales Dashboard'!AW60="","",'Sales Dashboard'!AW60)</f>
        <v>HAHAILZONE</v>
      </c>
      <c r="AC61" s="271" t="str">
        <f>IF(AB61="","",'Sales Dashboard'!AN60)</f>
        <v>Mohammed Sanad</v>
      </c>
      <c r="AD61" s="271" t="str">
        <f>IF(AB61="","",'Sales Dashboard'!AO60)</f>
        <v>Hail</v>
      </c>
      <c r="AE61" s="281" cm="1">
        <f t="array" ref="AE61">IF(OR(AB61="",NOT(ISNUMBER('Sales Dashboard'!BF60))),0,SUMPRODUCT((IFERROR(--'Sales and count'!$G$2:$CC$2,0)=$C$4)*('Sales and count'!$G$3:$CC$3="Total"),INDEX('Sales and count'!$G$4:$CC$300,'Sales Dashboard'!BF60,0)))</f>
        <v>9728.18</v>
      </c>
      <c r="AF61" s="281" cm="1">
        <f t="array" ref="AF61">IF(OR(AB61="",NOT(ISNUMBER('Sales Dashboard'!BG60))),0,SUMPRODUCT(('TY Sales Target'!$K$2:$AO$2=$C$4)*1,INDEX('TY Sales Target'!$K$5:$AO$300,'Sales Dashboard'!BG60,0)))</f>
        <v>9524.0196764750763</v>
      </c>
      <c r="AG61" s="281" cm="1">
        <f t="array" ref="AG61">IF(AB61="",0,SUMPRODUCT((TRIM('LY Sales '!$B$5:$B$200)=AB61)*('LY Sales '!$C$2:$AG$2=EDATE($C$4,-12)),'LY Sales '!$C$5:$AG$200))</f>
        <v>14326.47</v>
      </c>
      <c r="AH61" s="271">
        <f t="shared" si="0"/>
        <v>1</v>
      </c>
      <c r="AI61" s="271">
        <f t="shared" si="1"/>
        <v>1</v>
      </c>
      <c r="AJ61" s="271">
        <f t="shared" si="2"/>
        <v>1</v>
      </c>
      <c r="AK61" s="271">
        <f t="shared" si="3"/>
        <v>0</v>
      </c>
      <c r="AL61" s="271">
        <f t="shared" si="4"/>
        <v>1</v>
      </c>
      <c r="AM61" s="306" cm="1">
        <f t="array" ref="AM61">IF(OR(AB61="",NOT(ISNUMBER('Sales Dashboard'!BF60))),0,SUMPRODUCT((IFERROR(--'Sales and count'!$G$2:$CC$2,0)=$F$4)*('Sales and count'!$G$3:$CC$3="Total"),INDEX('Sales and count'!$G$4:$CC$300,'Sales Dashboard'!BF60,0)))</f>
        <v>1957.08</v>
      </c>
      <c r="AN61" s="306" cm="1">
        <f t="array" ref="AN61">IF(OR(AB61="",NOT(ISNUMBER('Sales Dashboard'!BG60))),0,SUMPRODUCT(('TY Sales Target'!$K$2:$AO$2=$F$4)*1,INDEX('TY Sales Target'!$K$5:$AO$300,'Sales Dashboard'!BG60,0)))</f>
        <v>6612.6442945705239</v>
      </c>
      <c r="AO61" s="306" cm="1">
        <f t="array" ref="AO61">IF(AB61="",0,SUMPRODUCT((TRIM('LY Sales '!$B$5:$B$200)=AB61)*('LY Sales '!$C$2:$AG$2=EDATE($F$4,-12)),'LY Sales '!$C$5:$AG$200))</f>
        <v>4563.07</v>
      </c>
      <c r="AP61">
        <f t="shared" si="5"/>
        <v>1</v>
      </c>
      <c r="AQ61">
        <f t="shared" si="6"/>
        <v>0</v>
      </c>
      <c r="AR61">
        <f t="shared" si="7"/>
        <v>1</v>
      </c>
      <c r="AS61">
        <f t="shared" si="8"/>
        <v>0</v>
      </c>
    </row>
    <row r="62" spans="1:47" x14ac:dyDescent="0.25">
      <c r="A62" s="285" t="str" cm="1">
        <f t="array" ref="A62">IFERROR(INDEX(_xlfn._xlws.SORT(_xlfn.UNIQUE(_xlfn._xlws.FILTER($AD$7:$AD$303,$AD$7:$AD$303&lt;&gt;""))),ROWS($A$30:A62)),"")</f>
        <v/>
      </c>
      <c r="B62" s="286" t="str">
        <f t="shared" si="32"/>
        <v/>
      </c>
      <c r="C62" s="287" t="str">
        <f t="shared" si="33"/>
        <v/>
      </c>
      <c r="D62" s="287" t="str">
        <f t="shared" si="34"/>
        <v/>
      </c>
      <c r="E62" s="294" t="str">
        <f t="shared" si="35"/>
        <v/>
      </c>
      <c r="F62" s="295" t="str">
        <f t="shared" si="36"/>
        <v/>
      </c>
      <c r="G62" s="295" t="str">
        <f t="shared" si="37"/>
        <v/>
      </c>
      <c r="H62" s="295" t="str">
        <f t="shared" si="38"/>
        <v/>
      </c>
      <c r="I62" s="295" t="str">
        <f t="shared" si="39"/>
        <v/>
      </c>
      <c r="J62" s="286" t="str">
        <f t="shared" si="40"/>
        <v/>
      </c>
      <c r="K62" s="287" t="str">
        <f t="shared" si="41"/>
        <v/>
      </c>
      <c r="L62" s="287" t="str">
        <f t="shared" si="42"/>
        <v/>
      </c>
      <c r="M62" s="298" t="str">
        <f t="shared" si="43"/>
        <v/>
      </c>
      <c r="N62" s="299" t="str">
        <f t="shared" si="44"/>
        <v/>
      </c>
      <c r="O62" s="299" t="str">
        <f t="shared" si="45"/>
        <v/>
      </c>
      <c r="P62" s="299" t="str">
        <f t="shared" si="46"/>
        <v/>
      </c>
      <c r="Q62" s="319" t="str">
        <f t="shared" si="47"/>
        <v/>
      </c>
      <c r="R62" s="314" t="str">
        <f t="shared" si="48"/>
        <v/>
      </c>
      <c r="S62" s="314" t="str">
        <f t="shared" si="49"/>
        <v/>
      </c>
      <c r="T62" s="315" t="str">
        <f t="shared" si="50"/>
        <v/>
      </c>
      <c r="U62" s="316" t="str">
        <f t="shared" si="51"/>
        <v/>
      </c>
      <c r="V62" s="316" t="str">
        <f t="shared" si="52"/>
        <v/>
      </c>
      <c r="W62" s="314" t="str">
        <f t="shared" si="53"/>
        <v/>
      </c>
      <c r="X62" s="316" t="str">
        <f t="shared" si="54"/>
        <v/>
      </c>
      <c r="Y62" s="271"/>
      <c r="Z62" s="271"/>
      <c r="AA62" s="271"/>
      <c r="AB62" s="271" t="str">
        <f>IF('Sales Dashboard'!AW61="","",'Sales Dashboard'!AW61)</f>
        <v>MILAGROPLZ</v>
      </c>
      <c r="AC62" s="271" t="str">
        <f>IF(AB62="","",'Sales Dashboard'!AN61)</f>
        <v>Hamzah Al Makhadam</v>
      </c>
      <c r="AD62" s="271" t="str">
        <f>IF(AB62="","",'Sales Dashboard'!AO61)</f>
        <v>Tabuk</v>
      </c>
      <c r="AE62" s="281" cm="1">
        <f t="array" ref="AE62">IF(OR(AB62="",NOT(ISNUMBER('Sales Dashboard'!BF61))),0,SUMPRODUCT((IFERROR(--'Sales and count'!$G$2:$CC$2,0)=$C$4)*('Sales and count'!$G$3:$CC$3="Total"),INDEX('Sales and count'!$G$4:$CC$300,'Sales Dashboard'!BF61,0)))</f>
        <v>10802.13</v>
      </c>
      <c r="AF62" s="281" cm="1">
        <f t="array" ref="AF62">IF(OR(AB62="",NOT(ISNUMBER('Sales Dashboard'!BG61))),0,SUMPRODUCT(('TY Sales Target'!$K$2:$AO$2=$C$4)*1,INDEX('TY Sales Target'!$K$5:$AO$300,'Sales Dashboard'!BG61,0)))</f>
        <v>15248.563418186159</v>
      </c>
      <c r="AG62" s="281" cm="1">
        <f t="array" ref="AG62">IF(AB62="",0,SUMPRODUCT((TRIM('LY Sales '!$B$5:$B$200)=AB62)*('LY Sales '!$C$2:$AG$2=EDATE($C$4,-12)),'LY Sales '!$C$5:$AG$200))</f>
        <v>20016.68</v>
      </c>
      <c r="AH62" s="271">
        <f t="shared" si="0"/>
        <v>1</v>
      </c>
      <c r="AI62" s="271">
        <f t="shared" si="1"/>
        <v>0</v>
      </c>
      <c r="AJ62" s="271">
        <f t="shared" si="2"/>
        <v>1</v>
      </c>
      <c r="AK62" s="271">
        <f t="shared" si="3"/>
        <v>0</v>
      </c>
      <c r="AL62" s="271">
        <f t="shared" si="4"/>
        <v>1</v>
      </c>
      <c r="AM62" s="306" cm="1">
        <f t="array" ref="AM62">IF(OR(AB62="",NOT(ISNUMBER('Sales Dashboard'!BF61))),0,SUMPRODUCT((IFERROR(--'Sales and count'!$G$2:$CC$2,0)=$F$4)*('Sales and count'!$G$3:$CC$3="Total"),INDEX('Sales and count'!$G$4:$CC$300,'Sales Dashboard'!BF61,0)))</f>
        <v>3749.24</v>
      </c>
      <c r="AN62" s="306" cm="1">
        <f t="array" ref="AN62">IF(OR(AB62="",NOT(ISNUMBER('Sales Dashboard'!BG61))),0,SUMPRODUCT(('TY Sales Target'!$K$2:$AO$2=$F$4)*1,INDEX('TY Sales Target'!$K$5:$AO$300,'Sales Dashboard'!BG61,0)))</f>
        <v>10587.265599285785</v>
      </c>
      <c r="AO62" s="306" cm="1">
        <f t="array" ref="AO62">IF(AB62="",0,SUMPRODUCT((TRIM('LY Sales '!$B$5:$B$200)=AB62)*('LY Sales '!$C$2:$AG$2=EDATE($F$4,-12)),'LY Sales '!$C$5:$AG$200))</f>
        <v>6226.1</v>
      </c>
      <c r="AP62">
        <f t="shared" si="5"/>
        <v>1</v>
      </c>
      <c r="AQ62">
        <f t="shared" si="6"/>
        <v>0</v>
      </c>
      <c r="AR62">
        <f t="shared" si="7"/>
        <v>1</v>
      </c>
      <c r="AS62">
        <f t="shared" si="8"/>
        <v>0</v>
      </c>
    </row>
    <row r="63" spans="1:47" x14ac:dyDescent="0.25">
      <c r="A63" s="285" t="str" cm="1">
        <f t="array" ref="A63">IFERROR(INDEX(_xlfn._xlws.SORT(_xlfn.UNIQUE(_xlfn._xlws.FILTER($AD$7:$AD$303,$AD$7:$AD$303&lt;&gt;""))),ROWS($A$30:A63)),"")</f>
        <v/>
      </c>
      <c r="B63" s="286" t="str">
        <f t="shared" si="32"/>
        <v/>
      </c>
      <c r="C63" s="287" t="str">
        <f t="shared" si="33"/>
        <v/>
      </c>
      <c r="D63" s="287" t="str">
        <f t="shared" si="34"/>
        <v/>
      </c>
      <c r="E63" s="294" t="str">
        <f t="shared" si="35"/>
        <v/>
      </c>
      <c r="F63" s="295" t="str">
        <f t="shared" si="36"/>
        <v/>
      </c>
      <c r="G63" s="295" t="str">
        <f t="shared" si="37"/>
        <v/>
      </c>
      <c r="H63" s="295" t="str">
        <f t="shared" si="38"/>
        <v/>
      </c>
      <c r="I63" s="295" t="str">
        <f t="shared" si="39"/>
        <v/>
      </c>
      <c r="J63" s="286" t="str">
        <f t="shared" si="40"/>
        <v/>
      </c>
      <c r="K63" s="287" t="str">
        <f t="shared" si="41"/>
        <v/>
      </c>
      <c r="L63" s="287" t="str">
        <f t="shared" si="42"/>
        <v/>
      </c>
      <c r="M63" s="298" t="str">
        <f t="shared" si="43"/>
        <v/>
      </c>
      <c r="N63" s="299" t="str">
        <f t="shared" si="44"/>
        <v/>
      </c>
      <c r="O63" s="299" t="str">
        <f t="shared" si="45"/>
        <v/>
      </c>
      <c r="P63" s="299" t="str">
        <f t="shared" si="46"/>
        <v/>
      </c>
      <c r="Q63" s="319" t="str">
        <f t="shared" si="47"/>
        <v/>
      </c>
      <c r="R63" s="314" t="str">
        <f t="shared" si="48"/>
        <v/>
      </c>
      <c r="S63" s="314" t="str">
        <f t="shared" si="49"/>
        <v/>
      </c>
      <c r="T63" s="315" t="str">
        <f t="shared" si="50"/>
        <v/>
      </c>
      <c r="U63" s="316" t="str">
        <f t="shared" si="51"/>
        <v/>
      </c>
      <c r="V63" s="316" t="str">
        <f t="shared" si="52"/>
        <v/>
      </c>
      <c r="W63" s="314" t="str">
        <f t="shared" si="53"/>
        <v/>
      </c>
      <c r="X63" s="316" t="str">
        <f t="shared" si="54"/>
        <v/>
      </c>
      <c r="Y63" s="271"/>
      <c r="Z63" s="271"/>
      <c r="AA63" s="271"/>
      <c r="AB63" s="271" t="str">
        <f>IF('Sales Dashboard'!AW62="","",'Sales Dashboard'!AW62)</f>
        <v>RYDNAKHL</v>
      </c>
      <c r="AC63" s="271" t="str">
        <f>IF(AB63="","",'Sales Dashboard'!AN62)</f>
        <v>Lina Al Ghathami</v>
      </c>
      <c r="AD63" s="271" t="str">
        <f>IF(AB63="","",'Sales Dashboard'!AO62)</f>
        <v>Riyadh</v>
      </c>
      <c r="AE63" s="281" cm="1">
        <f t="array" ref="AE63">IF(OR(AB63="",NOT(ISNUMBER('Sales Dashboard'!BF62))),0,SUMPRODUCT((IFERROR(--'Sales and count'!$G$2:$CC$2,0)=$C$4)*('Sales and count'!$G$3:$CC$3="Total"),INDEX('Sales and count'!$G$4:$CC$300,'Sales Dashboard'!BF62,0)))</f>
        <v>12550.23</v>
      </c>
      <c r="AF63" s="281" cm="1">
        <f t="array" ref="AF63">IF(OR(AB63="",NOT(ISNUMBER('Sales Dashboard'!BG62))),0,SUMPRODUCT(('TY Sales Target'!$K$2:$AO$2=$C$4)*1,INDEX('TY Sales Target'!$K$5:$AO$300,'Sales Dashboard'!BG62,0)))</f>
        <v>20922.447480767056</v>
      </c>
      <c r="AG63" s="281" cm="1">
        <f t="array" ref="AG63">IF(AB63="",0,SUMPRODUCT((TRIM('LY Sales '!$B$5:$B$200)=AB63)*('LY Sales '!$C$2:$AG$2=EDATE($C$4,-12)),'LY Sales '!$C$5:$AG$200))</f>
        <v>16404.46</v>
      </c>
      <c r="AH63" s="271">
        <f t="shared" si="0"/>
        <v>1</v>
      </c>
      <c r="AI63" s="271">
        <f t="shared" si="1"/>
        <v>0</v>
      </c>
      <c r="AJ63" s="271">
        <f t="shared" si="2"/>
        <v>1</v>
      </c>
      <c r="AK63" s="271">
        <f t="shared" si="3"/>
        <v>0</v>
      </c>
      <c r="AL63" s="271">
        <f t="shared" si="4"/>
        <v>1</v>
      </c>
      <c r="AM63" s="306" cm="1">
        <f t="array" ref="AM63">IF(OR(AB63="",NOT(ISNUMBER('Sales Dashboard'!BF62))),0,SUMPRODUCT((IFERROR(--'Sales and count'!$G$2:$CC$2,0)=$F$4)*('Sales and count'!$G$3:$CC$3="Total"),INDEX('Sales and count'!$G$4:$CC$300,'Sales Dashboard'!BF62,0)))</f>
        <v>3921.27</v>
      </c>
      <c r="AN63" s="306" cm="1">
        <f t="array" ref="AN63">IF(OR(AB63="",NOT(ISNUMBER('Sales Dashboard'!BG62))),0,SUMPRODUCT(('TY Sales Target'!$K$2:$AO$2=$F$4)*1,INDEX('TY Sales Target'!$K$5:$AO$300,'Sales Dashboard'!BG62,0)))</f>
        <v>14526.713264136311</v>
      </c>
      <c r="AO63" s="306" cm="1">
        <f t="array" ref="AO63">IF(AB63="",0,SUMPRODUCT((TRIM('LY Sales '!$B$5:$B$200)=AB63)*('LY Sales '!$C$2:$AG$2=EDATE($F$4,-12)),'LY Sales '!$C$5:$AG$200))</f>
        <v>8416.14</v>
      </c>
      <c r="AP63">
        <f t="shared" si="5"/>
        <v>1</v>
      </c>
      <c r="AQ63">
        <f t="shared" si="6"/>
        <v>0</v>
      </c>
      <c r="AR63">
        <f t="shared" si="7"/>
        <v>1</v>
      </c>
      <c r="AS63">
        <f t="shared" si="8"/>
        <v>0</v>
      </c>
    </row>
    <row r="64" spans="1:47" x14ac:dyDescent="0.25">
      <c r="A64" s="285" t="str" cm="1">
        <f t="array" ref="A64">IFERROR(INDEX(_xlfn._xlws.SORT(_xlfn.UNIQUE(_xlfn._xlws.FILTER($AD$7:$AD$303,$AD$7:$AD$303&lt;&gt;""))),ROWS($A$30:A64)),"")</f>
        <v/>
      </c>
      <c r="B64" s="286" t="str">
        <f t="shared" si="32"/>
        <v/>
      </c>
      <c r="C64" s="287" t="str">
        <f t="shared" si="33"/>
        <v/>
      </c>
      <c r="D64" s="287" t="str">
        <f t="shared" si="34"/>
        <v/>
      </c>
      <c r="E64" s="294" t="str">
        <f t="shared" si="35"/>
        <v/>
      </c>
      <c r="F64" s="295" t="str">
        <f t="shared" si="36"/>
        <v/>
      </c>
      <c r="G64" s="295" t="str">
        <f t="shared" si="37"/>
        <v/>
      </c>
      <c r="H64" s="295" t="str">
        <f t="shared" si="38"/>
        <v/>
      </c>
      <c r="I64" s="295" t="str">
        <f t="shared" si="39"/>
        <v/>
      </c>
      <c r="J64" s="286" t="str">
        <f t="shared" si="40"/>
        <v/>
      </c>
      <c r="K64" s="287" t="str">
        <f t="shared" si="41"/>
        <v/>
      </c>
      <c r="L64" s="287" t="str">
        <f t="shared" si="42"/>
        <v/>
      </c>
      <c r="M64" s="298" t="str">
        <f t="shared" si="43"/>
        <v/>
      </c>
      <c r="N64" s="299" t="str">
        <f t="shared" si="44"/>
        <v/>
      </c>
      <c r="O64" s="299" t="str">
        <f t="shared" si="45"/>
        <v/>
      </c>
      <c r="P64" s="299" t="str">
        <f t="shared" si="46"/>
        <v/>
      </c>
      <c r="Q64" s="319" t="str">
        <f t="shared" si="47"/>
        <v/>
      </c>
      <c r="R64" s="314" t="str">
        <f t="shared" si="48"/>
        <v/>
      </c>
      <c r="S64" s="314" t="str">
        <f t="shared" si="49"/>
        <v/>
      </c>
      <c r="T64" s="315" t="str">
        <f t="shared" si="50"/>
        <v/>
      </c>
      <c r="U64" s="316" t="str">
        <f t="shared" si="51"/>
        <v/>
      </c>
      <c r="V64" s="316" t="str">
        <f t="shared" si="52"/>
        <v/>
      </c>
      <c r="W64" s="314" t="str">
        <f t="shared" si="53"/>
        <v/>
      </c>
      <c r="X64" s="316" t="str">
        <f t="shared" si="54"/>
        <v/>
      </c>
      <c r="Y64" s="271"/>
      <c r="Z64" s="271"/>
      <c r="AA64" s="271"/>
      <c r="AB64" s="271" t="str">
        <f>IF('Sales Dashboard'!AW63="","",'Sales Dashboard'!AW63)</f>
        <v>ALAZIZIYAH</v>
      </c>
      <c r="AC64" s="271" t="str">
        <f>IF(AB64="","",'Sales Dashboard'!AN63)</f>
        <v>Lina Al Ghathami</v>
      </c>
      <c r="AD64" s="271" t="str">
        <f>IF(AB64="","",'Sales Dashboard'!AO63)</f>
        <v>Riyadh</v>
      </c>
      <c r="AE64" s="281" cm="1">
        <f t="array" ref="AE64">IF(OR(AB64="",NOT(ISNUMBER('Sales Dashboard'!BF63))),0,SUMPRODUCT((IFERROR(--'Sales and count'!$G$2:$CC$2,0)=$C$4)*('Sales and count'!$G$3:$CC$3="Total"),INDEX('Sales and count'!$G$4:$CC$300,'Sales Dashboard'!BF63,0)))</f>
        <v>13392.33</v>
      </c>
      <c r="AF64" s="281" cm="1">
        <f t="array" ref="AF64">IF(OR(AB64="",NOT(ISNUMBER('Sales Dashboard'!BG63))),0,SUMPRODUCT(('TY Sales Target'!$K$2:$AO$2=$C$4)*1,INDEX('TY Sales Target'!$K$5:$AO$300,'Sales Dashboard'!BG63,0)))</f>
        <v>20415.850689465191</v>
      </c>
      <c r="AG64" s="281" cm="1">
        <f t="array" ref="AG64">IF(AB64="",0,SUMPRODUCT((TRIM('LY Sales '!$B$5:$B$200)=AB64)*('LY Sales '!$C$2:$AG$2=EDATE($C$4,-12)),'LY Sales '!$C$5:$AG$200))</f>
        <v>15364.42</v>
      </c>
      <c r="AH64" s="271">
        <f t="shared" si="0"/>
        <v>1</v>
      </c>
      <c r="AI64" s="271">
        <f t="shared" si="1"/>
        <v>0</v>
      </c>
      <c r="AJ64" s="271">
        <f t="shared" si="2"/>
        <v>1</v>
      </c>
      <c r="AK64" s="271">
        <f t="shared" si="3"/>
        <v>0</v>
      </c>
      <c r="AL64" s="271">
        <f t="shared" si="4"/>
        <v>1</v>
      </c>
      <c r="AM64" s="306" cm="1">
        <f t="array" ref="AM64">IF(OR(AB64="",NOT(ISNUMBER('Sales Dashboard'!BF63))),0,SUMPRODUCT((IFERROR(--'Sales and count'!$G$2:$CC$2,0)=$F$4)*('Sales and count'!$G$3:$CC$3="Total"),INDEX('Sales and count'!$G$4:$CC$300,'Sales Dashboard'!BF63,0)))</f>
        <v>5999.28</v>
      </c>
      <c r="AN64" s="306" cm="1">
        <f t="array" ref="AN64">IF(OR(AB64="",NOT(ISNUMBER('Sales Dashboard'!BG63))),0,SUMPRODUCT(('TY Sales Target'!$K$2:$AO$2=$F$4)*1,INDEX('TY Sales Target'!$K$5:$AO$300,'Sales Dashboard'!BG63,0)))</f>
        <v>14174.976865488943</v>
      </c>
      <c r="AO64" s="306" cm="1">
        <f t="array" ref="AO64">IF(AB64="",0,SUMPRODUCT((TRIM('LY Sales '!$B$5:$B$200)=AB64)*('LY Sales '!$C$2:$AG$2=EDATE($F$4,-12)),'LY Sales '!$C$5:$AG$200))</f>
        <v>5684.05</v>
      </c>
      <c r="AP64">
        <f t="shared" si="5"/>
        <v>1</v>
      </c>
      <c r="AQ64">
        <f t="shared" si="6"/>
        <v>0</v>
      </c>
      <c r="AR64">
        <f t="shared" si="7"/>
        <v>1</v>
      </c>
      <c r="AS64">
        <f t="shared" si="8"/>
        <v>1</v>
      </c>
    </row>
    <row r="65" spans="1:45" x14ac:dyDescent="0.25">
      <c r="A65" s="285" t="str" cm="1">
        <f t="array" ref="A65">IFERROR(INDEX(_xlfn._xlws.SORT(_xlfn.UNIQUE(_xlfn._xlws.FILTER($AD$7:$AD$303,$AD$7:$AD$303&lt;&gt;""))),ROWS($A$30:A65)),"")</f>
        <v/>
      </c>
      <c r="B65" s="286" t="str">
        <f t="shared" si="32"/>
        <v/>
      </c>
      <c r="C65" s="287" t="str">
        <f t="shared" si="33"/>
        <v/>
      </c>
      <c r="D65" s="287" t="str">
        <f t="shared" si="34"/>
        <v/>
      </c>
      <c r="E65" s="294" t="str">
        <f t="shared" si="35"/>
        <v/>
      </c>
      <c r="F65" s="295" t="str">
        <f t="shared" si="36"/>
        <v/>
      </c>
      <c r="G65" s="295" t="str">
        <f t="shared" si="37"/>
        <v/>
      </c>
      <c r="H65" s="295" t="str">
        <f t="shared" si="38"/>
        <v/>
      </c>
      <c r="I65" s="295" t="str">
        <f t="shared" si="39"/>
        <v/>
      </c>
      <c r="J65" s="286" t="str">
        <f t="shared" si="40"/>
        <v/>
      </c>
      <c r="K65" s="287" t="str">
        <f t="shared" si="41"/>
        <v/>
      </c>
      <c r="L65" s="287" t="str">
        <f t="shared" si="42"/>
        <v/>
      </c>
      <c r="M65" s="298" t="str">
        <f t="shared" si="43"/>
        <v/>
      </c>
      <c r="N65" s="299" t="str">
        <f t="shared" si="44"/>
        <v/>
      </c>
      <c r="O65" s="299" t="str">
        <f t="shared" si="45"/>
        <v/>
      </c>
      <c r="P65" s="299" t="str">
        <f t="shared" si="46"/>
        <v/>
      </c>
      <c r="Q65" s="319" t="str">
        <f t="shared" si="47"/>
        <v/>
      </c>
      <c r="R65" s="314" t="str">
        <f t="shared" si="48"/>
        <v/>
      </c>
      <c r="S65" s="314" t="str">
        <f t="shared" si="49"/>
        <v/>
      </c>
      <c r="T65" s="315" t="str">
        <f t="shared" si="50"/>
        <v/>
      </c>
      <c r="U65" s="316" t="str">
        <f t="shared" si="51"/>
        <v/>
      </c>
      <c r="V65" s="316" t="str">
        <f t="shared" si="52"/>
        <v/>
      </c>
      <c r="W65" s="314" t="str">
        <f t="shared" si="53"/>
        <v/>
      </c>
      <c r="X65" s="316" t="str">
        <f t="shared" si="54"/>
        <v/>
      </c>
      <c r="Y65" s="271"/>
      <c r="Z65" s="271"/>
      <c r="AA65" s="271"/>
      <c r="AB65" s="271" t="str">
        <f>IF('Sales Dashboard'!AW64="","",'Sales Dashboard'!AW64)</f>
        <v>HARASHID</v>
      </c>
      <c r="AC65" s="271" t="str">
        <f>IF(AB65="","",'Sales Dashboard'!AN64)</f>
        <v>Hamzah Al Makhadam</v>
      </c>
      <c r="AD65" s="271" t="str">
        <f>IF(AB65="","",'Sales Dashboard'!AO64)</f>
        <v>Khobar</v>
      </c>
      <c r="AE65" s="281" cm="1">
        <f t="array" ref="AE65">IF(OR(AB65="",NOT(ISNUMBER('Sales Dashboard'!BF64))),0,SUMPRODUCT((IFERROR(--'Sales and count'!$G$2:$CC$2,0)=$C$4)*('Sales and count'!$G$3:$CC$3="Total"),INDEX('Sales and count'!$G$4:$CC$300,'Sales Dashboard'!BF64,0)))</f>
        <v>10269.209999999999</v>
      </c>
      <c r="AF65" s="281" cm="1">
        <f t="array" ref="AF65">IF(OR(AB65="",NOT(ISNUMBER('Sales Dashboard'!BG64))),0,SUMPRODUCT(('TY Sales Target'!$K$2:$AO$2=$C$4)*1,INDEX('TY Sales Target'!$K$5:$AO$300,'Sales Dashboard'!BG64,0)))</f>
        <v>19605.295823382206</v>
      </c>
      <c r="AG65" s="281" cm="1">
        <f t="array" ref="AG65">IF(AB65="",0,SUMPRODUCT((TRIM('LY Sales '!$B$5:$B$200)=AB65)*('LY Sales '!$C$2:$AG$2=EDATE($C$4,-12)),'LY Sales '!$C$5:$AG$200))</f>
        <v>0</v>
      </c>
      <c r="AH65" s="271">
        <f t="shared" si="0"/>
        <v>1</v>
      </c>
      <c r="AI65" s="271">
        <f t="shared" si="1"/>
        <v>0</v>
      </c>
      <c r="AJ65" s="271">
        <f t="shared" si="2"/>
        <v>0</v>
      </c>
      <c r="AK65" s="271">
        <f t="shared" si="3"/>
        <v>0</v>
      </c>
      <c r="AL65" s="271">
        <f t="shared" si="4"/>
        <v>1</v>
      </c>
      <c r="AM65" s="306" cm="1">
        <f t="array" ref="AM65">IF(OR(AB65="",NOT(ISNUMBER('Sales Dashboard'!BF64))),0,SUMPRODUCT((IFERROR(--'Sales and count'!$G$2:$CC$2,0)=$F$4)*('Sales and count'!$G$3:$CC$3="Total"),INDEX('Sales and count'!$G$4:$CC$300,'Sales Dashboard'!BF64,0)))</f>
        <v>5750.29</v>
      </c>
      <c r="AN65" s="306" cm="1">
        <f t="array" ref="AN65">IF(OR(AB65="",NOT(ISNUMBER('Sales Dashboard'!BG64))),0,SUMPRODUCT(('TY Sales Target'!$K$2:$AO$2=$F$4)*1,INDEX('TY Sales Target'!$K$5:$AO$300,'Sales Dashboard'!BG64,0)))</f>
        <v>13612.198627653153</v>
      </c>
      <c r="AO65" s="306" cm="1">
        <f t="array" ref="AO65">IF(AB65="",0,SUMPRODUCT((TRIM('LY Sales '!$B$5:$B$200)=AB65)*('LY Sales '!$C$2:$AG$2=EDATE($F$4,-12)),'LY Sales '!$C$5:$AG$200))</f>
        <v>0</v>
      </c>
      <c r="AP65">
        <f t="shared" si="5"/>
        <v>1</v>
      </c>
      <c r="AQ65">
        <f t="shared" si="6"/>
        <v>0</v>
      </c>
      <c r="AR65">
        <f t="shared" si="7"/>
        <v>0</v>
      </c>
      <c r="AS65">
        <f t="shared" si="8"/>
        <v>0</v>
      </c>
    </row>
    <row r="66" spans="1:45" x14ac:dyDescent="0.25">
      <c r="A66" s="285" t="str" cm="1">
        <f t="array" ref="A66">IFERROR(INDEX(_xlfn._xlws.SORT(_xlfn.UNIQUE(_xlfn._xlws.FILTER($AD$7:$AD$303,$AD$7:$AD$303&lt;&gt;""))),ROWS($A$30:A66)),"")</f>
        <v/>
      </c>
      <c r="B66" s="286" t="str">
        <f t="shared" si="32"/>
        <v/>
      </c>
      <c r="C66" s="287" t="str">
        <f t="shared" si="33"/>
        <v/>
      </c>
      <c r="D66" s="287" t="str">
        <f t="shared" si="34"/>
        <v/>
      </c>
      <c r="E66" s="294" t="str">
        <f t="shared" si="35"/>
        <v/>
      </c>
      <c r="F66" s="295" t="str">
        <f t="shared" si="36"/>
        <v/>
      </c>
      <c r="G66" s="295" t="str">
        <f t="shared" si="37"/>
        <v/>
      </c>
      <c r="H66" s="295" t="str">
        <f t="shared" si="38"/>
        <v/>
      </c>
      <c r="I66" s="295" t="str">
        <f t="shared" si="39"/>
        <v/>
      </c>
      <c r="J66" s="286" t="str">
        <f t="shared" si="40"/>
        <v/>
      </c>
      <c r="K66" s="287" t="str">
        <f t="shared" si="41"/>
        <v/>
      </c>
      <c r="L66" s="287" t="str">
        <f t="shared" si="42"/>
        <v/>
      </c>
      <c r="M66" s="298" t="str">
        <f t="shared" si="43"/>
        <v/>
      </c>
      <c r="N66" s="299" t="str">
        <f t="shared" si="44"/>
        <v/>
      </c>
      <c r="O66" s="299" t="str">
        <f t="shared" si="45"/>
        <v/>
      </c>
      <c r="P66" s="299" t="str">
        <f t="shared" si="46"/>
        <v/>
      </c>
      <c r="Q66" s="319" t="str">
        <f t="shared" si="47"/>
        <v/>
      </c>
      <c r="R66" s="314" t="str">
        <f t="shared" si="48"/>
        <v/>
      </c>
      <c r="S66" s="314" t="str">
        <f t="shared" si="49"/>
        <v/>
      </c>
      <c r="T66" s="315" t="str">
        <f t="shared" si="50"/>
        <v/>
      </c>
      <c r="U66" s="316" t="str">
        <f t="shared" si="51"/>
        <v/>
      </c>
      <c r="V66" s="316" t="str">
        <f t="shared" si="52"/>
        <v/>
      </c>
      <c r="W66" s="314" t="str">
        <f t="shared" si="53"/>
        <v/>
      </c>
      <c r="X66" s="316" t="str">
        <f t="shared" si="54"/>
        <v/>
      </c>
      <c r="Y66" s="271"/>
      <c r="Z66" s="271"/>
      <c r="AA66" s="271"/>
      <c r="AB66" s="271" t="str">
        <f>IF('Sales Dashboard'!AW65="","",'Sales Dashboard'!AW65)</f>
        <v>HAVILLAGE</v>
      </c>
      <c r="AC66" s="271" t="str">
        <f>IF(AB66="","",'Sales Dashboard'!AN65)</f>
        <v>Saleh Bin Hoiel</v>
      </c>
      <c r="AD66" s="271" t="str">
        <f>IF(AB66="","",'Sales Dashboard'!AO65)</f>
        <v>Jeddah</v>
      </c>
      <c r="AE66" s="281" cm="1">
        <f t="array" ref="AE66">IF(OR(AB66="",NOT(ISNUMBER('Sales Dashboard'!BF65))),0,SUMPRODUCT((IFERROR(--'Sales and count'!$G$2:$CC$2,0)=$C$4)*('Sales and count'!$G$3:$CC$3="Total"),INDEX('Sales and count'!$G$4:$CC$300,'Sales Dashboard'!BF65,0)))</f>
        <v>6733.09</v>
      </c>
      <c r="AF66" s="281" cm="1">
        <f t="array" ref="AF66">IF(OR(AB66="",NOT(ISNUMBER('Sales Dashboard'!BG65))),0,SUMPRODUCT(('TY Sales Target'!$K$2:$AO$2=$C$4)*1,INDEX('TY Sales Target'!$K$5:$AO$300,'Sales Dashboard'!BG65,0)))</f>
        <v>10385.234221688248</v>
      </c>
      <c r="AG66" s="281" cm="1">
        <f t="array" ref="AG66">IF(AB66="",0,SUMPRODUCT((TRIM('LY Sales '!$B$5:$B$200)=AB66)*('LY Sales '!$C$2:$AG$2=EDATE($C$4,-12)),'LY Sales '!$C$5:$AG$200))</f>
        <v>0</v>
      </c>
      <c r="AH66" s="271">
        <f t="shared" si="0"/>
        <v>1</v>
      </c>
      <c r="AI66" s="271">
        <f t="shared" si="1"/>
        <v>0</v>
      </c>
      <c r="AJ66" s="271">
        <f t="shared" si="2"/>
        <v>0</v>
      </c>
      <c r="AK66" s="271">
        <f t="shared" si="3"/>
        <v>0</v>
      </c>
      <c r="AL66" s="271">
        <f t="shared" si="4"/>
        <v>1</v>
      </c>
      <c r="AM66" s="306" cm="1">
        <f t="array" ref="AM66">IF(OR(AB66="",NOT(ISNUMBER('Sales Dashboard'!BF65))),0,SUMPRODUCT((IFERROR(--'Sales and count'!$G$2:$CC$2,0)=$F$4)*('Sales and count'!$G$3:$CC$3="Total"),INDEX('Sales and count'!$G$4:$CC$300,'Sales Dashboard'!BF65,0)))</f>
        <v>3013.18</v>
      </c>
      <c r="AN66" s="306" cm="1">
        <f t="array" ref="AN66">IF(OR(AB66="",NOT(ISNUMBER('Sales Dashboard'!BG65))),0,SUMPRODUCT(('TY Sales Target'!$K$2:$AO$2=$F$4)*1,INDEX('TY Sales Target'!$K$5:$AO$300,'Sales Dashboard'!BG65,0)))</f>
        <v>7210.5961722710499</v>
      </c>
      <c r="AO66" s="306" cm="1">
        <f t="array" ref="AO66">IF(AB66="",0,SUMPRODUCT((TRIM('LY Sales '!$B$5:$B$200)=AB66)*('LY Sales '!$C$2:$AG$2=EDATE($F$4,-12)),'LY Sales '!$C$5:$AG$200))</f>
        <v>0</v>
      </c>
      <c r="AP66">
        <f t="shared" si="5"/>
        <v>1</v>
      </c>
      <c r="AQ66">
        <f t="shared" si="6"/>
        <v>0</v>
      </c>
      <c r="AR66">
        <f t="shared" si="7"/>
        <v>0</v>
      </c>
      <c r="AS66">
        <f t="shared" si="8"/>
        <v>0</v>
      </c>
    </row>
    <row r="67" spans="1:45" x14ac:dyDescent="0.25">
      <c r="A67" s="285" t="str" cm="1">
        <f t="array" ref="A67">IFERROR(INDEX(_xlfn._xlws.SORT(_xlfn.UNIQUE(_xlfn._xlws.FILTER($AD$7:$AD$303,$AD$7:$AD$303&lt;&gt;""))),ROWS($A$30:A67)),"")</f>
        <v/>
      </c>
      <c r="B67" s="286" t="str">
        <f t="shared" si="32"/>
        <v/>
      </c>
      <c r="C67" s="287" t="str">
        <f t="shared" si="33"/>
        <v/>
      </c>
      <c r="D67" s="287" t="str">
        <f t="shared" si="34"/>
        <v/>
      </c>
      <c r="E67" s="294" t="str">
        <f t="shared" si="35"/>
        <v/>
      </c>
      <c r="F67" s="295" t="str">
        <f t="shared" si="36"/>
        <v/>
      </c>
      <c r="G67" s="295" t="str">
        <f t="shared" si="37"/>
        <v/>
      </c>
      <c r="H67" s="295" t="str">
        <f t="shared" si="38"/>
        <v/>
      </c>
      <c r="I67" s="295" t="str">
        <f t="shared" si="39"/>
        <v/>
      </c>
      <c r="J67" s="286" t="str">
        <f t="shared" si="40"/>
        <v/>
      </c>
      <c r="K67" s="287" t="str">
        <f t="shared" si="41"/>
        <v/>
      </c>
      <c r="L67" s="287" t="str">
        <f t="shared" si="42"/>
        <v/>
      </c>
      <c r="M67" s="298" t="str">
        <f t="shared" si="43"/>
        <v/>
      </c>
      <c r="N67" s="299" t="str">
        <f t="shared" si="44"/>
        <v/>
      </c>
      <c r="O67" s="299" t="str">
        <f t="shared" si="45"/>
        <v/>
      </c>
      <c r="P67" s="299" t="str">
        <f t="shared" si="46"/>
        <v/>
      </c>
      <c r="Q67" s="319" t="str">
        <f t="shared" si="47"/>
        <v/>
      </c>
      <c r="R67" s="314" t="str">
        <f t="shared" si="48"/>
        <v/>
      </c>
      <c r="S67" s="314" t="str">
        <f t="shared" si="49"/>
        <v/>
      </c>
      <c r="T67" s="315" t="str">
        <f t="shared" si="50"/>
        <v/>
      </c>
      <c r="U67" s="316" t="str">
        <f t="shared" si="51"/>
        <v/>
      </c>
      <c r="V67" s="316" t="str">
        <f t="shared" si="52"/>
        <v/>
      </c>
      <c r="W67" s="314" t="str">
        <f t="shared" si="53"/>
        <v/>
      </c>
      <c r="X67" s="316" t="str">
        <f t="shared" si="54"/>
        <v/>
      </c>
      <c r="Y67" s="271"/>
      <c r="Z67" s="271"/>
      <c r="AA67" s="271"/>
      <c r="AB67" s="271" t="str">
        <f>IF('Sales Dashboard'!AW66="","",'Sales Dashboard'!AW66)</f>
        <v>ALSHAWGIYAH</v>
      </c>
      <c r="AC67" s="271" t="str">
        <f>IF(AB67="","",'Sales Dashboard'!AN66)</f>
        <v>Maram Zamzami</v>
      </c>
      <c r="AD67" s="271" t="str">
        <f>IF(AB67="","",'Sales Dashboard'!AO66)</f>
        <v>Makkah</v>
      </c>
      <c r="AE67" s="281" cm="1">
        <f t="array" ref="AE67">IF(OR(AB67="",NOT(ISNUMBER('Sales Dashboard'!BF66))),0,SUMPRODUCT((IFERROR(--'Sales and count'!$G$2:$CC$2,0)=$C$4)*('Sales and count'!$G$3:$CC$3="Total"),INDEX('Sales and count'!$G$4:$CC$300,'Sales Dashboard'!BF66,0)))</f>
        <v>11948.28</v>
      </c>
      <c r="AF67" s="281" cm="1">
        <f t="array" ref="AF67">IF(OR(AB67="",NOT(ISNUMBER('Sales Dashboard'!BG66))),0,SUMPRODUCT(('TY Sales Target'!$K$2:$AO$2=$C$4)*1,INDEX('TY Sales Target'!$K$5:$AO$300,'Sales Dashboard'!BG66,0)))</f>
        <v>17984.186091216234</v>
      </c>
      <c r="AG67" s="281" cm="1">
        <f t="array" ref="AG67">IF(AB67="",0,SUMPRODUCT((TRIM('LY Sales '!$B$5:$B$200)=AB67)*('LY Sales '!$C$2:$AG$2=EDATE($C$4,-12)),'LY Sales '!$C$5:$AG$200))</f>
        <v>34809.19</v>
      </c>
      <c r="AH67" s="271">
        <f t="shared" si="0"/>
        <v>1</v>
      </c>
      <c r="AI67" s="271">
        <f t="shared" si="1"/>
        <v>0</v>
      </c>
      <c r="AJ67" s="271">
        <f t="shared" si="2"/>
        <v>1</v>
      </c>
      <c r="AK67" s="271">
        <f t="shared" si="3"/>
        <v>0</v>
      </c>
      <c r="AL67" s="271">
        <f t="shared" si="4"/>
        <v>1</v>
      </c>
      <c r="AM67" s="306" cm="1">
        <f t="array" ref="AM67">IF(OR(AB67="",NOT(ISNUMBER('Sales Dashboard'!BF66))),0,SUMPRODUCT((IFERROR(--'Sales and count'!$G$2:$CC$2,0)=$F$4)*('Sales and count'!$G$3:$CC$3="Total"),INDEX('Sales and count'!$G$4:$CC$300,'Sales Dashboard'!BF66,0)))</f>
        <v>5276.28</v>
      </c>
      <c r="AN67" s="306" cm="1">
        <f t="array" ref="AN67">IF(OR(AB67="",NOT(ISNUMBER('Sales Dashboard'!BG66))),0,SUMPRODUCT(('TY Sales Target'!$K$2:$AO$2=$F$4)*1,INDEX('TY Sales Target'!$K$5:$AO$300,'Sales Dashboard'!BG66,0)))</f>
        <v>12486.642151981574</v>
      </c>
      <c r="AO67" s="306" cm="1">
        <f t="array" ref="AO67">IF(AB67="",0,SUMPRODUCT((TRIM('LY Sales '!$B$5:$B$200)=AB67)*('LY Sales '!$C$2:$AG$2=EDATE($F$4,-12)),'LY Sales '!$C$5:$AG$200))</f>
        <v>8880.14</v>
      </c>
      <c r="AP67">
        <f t="shared" si="5"/>
        <v>1</v>
      </c>
      <c r="AQ67">
        <f t="shared" si="6"/>
        <v>0</v>
      </c>
      <c r="AR67">
        <f t="shared" si="7"/>
        <v>1</v>
      </c>
      <c r="AS67">
        <f t="shared" si="8"/>
        <v>0</v>
      </c>
    </row>
    <row r="68" spans="1:45" x14ac:dyDescent="0.25">
      <c r="A68" s="285" t="str" cm="1">
        <f t="array" ref="A68">IFERROR(INDEX(_xlfn._xlws.SORT(_xlfn.UNIQUE(_xlfn._xlws.FILTER($AD$7:$AD$303,$AD$7:$AD$303&lt;&gt;""))),ROWS($A$30:A68)),"")</f>
        <v/>
      </c>
      <c r="B68" s="286" t="str">
        <f t="shared" si="32"/>
        <v/>
      </c>
      <c r="C68" s="287" t="str">
        <f t="shared" si="33"/>
        <v/>
      </c>
      <c r="D68" s="287" t="str">
        <f t="shared" si="34"/>
        <v/>
      </c>
      <c r="E68" s="294" t="str">
        <f t="shared" si="35"/>
        <v/>
      </c>
      <c r="F68" s="295" t="str">
        <f t="shared" si="36"/>
        <v/>
      </c>
      <c r="G68" s="295" t="str">
        <f t="shared" si="37"/>
        <v/>
      </c>
      <c r="H68" s="295" t="str">
        <f t="shared" si="38"/>
        <v/>
      </c>
      <c r="I68" s="295" t="str">
        <f t="shared" si="39"/>
        <v/>
      </c>
      <c r="J68" s="286" t="str">
        <f t="shared" si="40"/>
        <v/>
      </c>
      <c r="K68" s="287" t="str">
        <f t="shared" si="41"/>
        <v/>
      </c>
      <c r="L68" s="287" t="str">
        <f t="shared" si="42"/>
        <v/>
      </c>
      <c r="M68" s="298" t="str">
        <f t="shared" si="43"/>
        <v/>
      </c>
      <c r="N68" s="299" t="str">
        <f t="shared" si="44"/>
        <v/>
      </c>
      <c r="O68" s="299" t="str">
        <f t="shared" si="45"/>
        <v/>
      </c>
      <c r="P68" s="299" t="str">
        <f t="shared" si="46"/>
        <v/>
      </c>
      <c r="Q68" s="319" t="str">
        <f t="shared" si="47"/>
        <v/>
      </c>
      <c r="R68" s="314" t="str">
        <f t="shared" si="48"/>
        <v/>
      </c>
      <c r="S68" s="314" t="str">
        <f t="shared" si="49"/>
        <v/>
      </c>
      <c r="T68" s="315" t="str">
        <f t="shared" si="50"/>
        <v/>
      </c>
      <c r="U68" s="316" t="str">
        <f t="shared" si="51"/>
        <v/>
      </c>
      <c r="V68" s="316" t="str">
        <f t="shared" si="52"/>
        <v/>
      </c>
      <c r="W68" s="314" t="str">
        <f t="shared" si="53"/>
        <v/>
      </c>
      <c r="X68" s="316" t="str">
        <f t="shared" si="54"/>
        <v/>
      </c>
      <c r="Y68" s="271"/>
      <c r="Z68" s="271"/>
      <c r="AA68" s="271"/>
      <c r="AB68" s="271" t="str">
        <f>IF('Sales Dashboard'!AW67="","",'Sales Dashboard'!AW67)</f>
        <v>HARASHMAD</v>
      </c>
      <c r="AC68" s="271" t="str">
        <f>IF(AB68="","",'Sales Dashboard'!AN67)</f>
        <v>Mohammed Haidar</v>
      </c>
      <c r="AD68" s="271" t="str">
        <f>IF(AB68="","",'Sales Dashboard'!AO67)</f>
        <v>Madinah</v>
      </c>
      <c r="AE68" s="281" cm="1">
        <f t="array" ref="AE68">IF(OR(AB68="",NOT(ISNUMBER('Sales Dashboard'!BF67))),0,SUMPRODUCT((IFERROR(--'Sales and count'!$G$2:$CC$2,0)=$C$4)*('Sales and count'!$G$3:$CC$3="Total"),INDEX('Sales and count'!$G$4:$CC$300,'Sales Dashboard'!BF67,0)))</f>
        <v>6114.15</v>
      </c>
      <c r="AF68" s="281" cm="1">
        <f t="array" ref="AF68">IF(OR(AB68="",NOT(ISNUMBER('Sales Dashboard'!BG67))),0,SUMPRODUCT(('TY Sales Target'!$K$2:$AO$2=$C$4)*1,INDEX('TY Sales Target'!$K$5:$AO$300,'Sales Dashboard'!BG67,0)))</f>
        <v>10891.831012990115</v>
      </c>
      <c r="AG68" s="281" cm="1">
        <f t="array" ref="AG68">IF(AB68="",0,SUMPRODUCT((TRIM('LY Sales '!$B$5:$B$200)=AB68)*('LY Sales '!$C$2:$AG$2=EDATE($C$4,-12)),'LY Sales '!$C$5:$AG$200))</f>
        <v>0</v>
      </c>
      <c r="AH68" s="271">
        <f t="shared" si="0"/>
        <v>1</v>
      </c>
      <c r="AI68" s="271">
        <f t="shared" si="1"/>
        <v>0</v>
      </c>
      <c r="AJ68" s="271">
        <f t="shared" si="2"/>
        <v>0</v>
      </c>
      <c r="AK68" s="271">
        <f t="shared" si="3"/>
        <v>0</v>
      </c>
      <c r="AL68" s="271">
        <f t="shared" si="4"/>
        <v>1</v>
      </c>
      <c r="AM68" s="306" cm="1">
        <f t="array" ref="AM68">IF(OR(AB68="",NOT(ISNUMBER('Sales Dashboard'!BF67))),0,SUMPRODUCT((IFERROR(--'Sales and count'!$G$2:$CC$2,0)=$F$4)*('Sales and count'!$G$3:$CC$3="Total"),INDEX('Sales and count'!$G$4:$CC$300,'Sales Dashboard'!BF67,0)))</f>
        <v>3240.26</v>
      </c>
      <c r="AN68" s="306" cm="1">
        <f t="array" ref="AN68">IF(OR(AB68="",NOT(ISNUMBER('Sales Dashboard'!BG67))),0,SUMPRODUCT(('TY Sales Target'!$K$2:$AO$2=$F$4)*1,INDEX('TY Sales Target'!$K$5:$AO$300,'Sales Dashboard'!BG67,0)))</f>
        <v>7562.3325709184182</v>
      </c>
      <c r="AO68" s="306" cm="1">
        <f t="array" ref="AO68">IF(AB68="",0,SUMPRODUCT((TRIM('LY Sales '!$B$5:$B$200)=AB68)*('LY Sales '!$C$2:$AG$2=EDATE($F$4,-12)),'LY Sales '!$C$5:$AG$200))</f>
        <v>0</v>
      </c>
      <c r="AP68">
        <f t="shared" si="5"/>
        <v>1</v>
      </c>
      <c r="AQ68">
        <f t="shared" si="6"/>
        <v>0</v>
      </c>
      <c r="AR68">
        <f t="shared" si="7"/>
        <v>0</v>
      </c>
      <c r="AS68">
        <f t="shared" si="8"/>
        <v>0</v>
      </c>
    </row>
    <row r="69" spans="1:45" x14ac:dyDescent="0.25">
      <c r="A69" s="285" t="str" cm="1">
        <f t="array" ref="A69">IFERROR(INDEX(_xlfn._xlws.SORT(_xlfn.UNIQUE(_xlfn._xlws.FILTER($AD$7:$AD$303,$AD$7:$AD$303&lt;&gt;""))),ROWS($A$30:A69)),"")</f>
        <v/>
      </c>
      <c r="B69" s="286" t="str">
        <f t="shared" si="32"/>
        <v/>
      </c>
      <c r="C69" s="287" t="str">
        <f t="shared" si="33"/>
        <v/>
      </c>
      <c r="D69" s="287" t="str">
        <f t="shared" si="34"/>
        <v/>
      </c>
      <c r="E69" s="294" t="str">
        <f t="shared" si="35"/>
        <v/>
      </c>
      <c r="F69" s="295" t="str">
        <f t="shared" si="36"/>
        <v/>
      </c>
      <c r="G69" s="295" t="str">
        <f t="shared" si="37"/>
        <v/>
      </c>
      <c r="H69" s="295" t="str">
        <f t="shared" si="38"/>
        <v/>
      </c>
      <c r="I69" s="295" t="str">
        <f t="shared" si="39"/>
        <v/>
      </c>
      <c r="J69" s="286" t="str">
        <f t="shared" si="40"/>
        <v/>
      </c>
      <c r="K69" s="287" t="str">
        <f t="shared" si="41"/>
        <v/>
      </c>
      <c r="L69" s="287" t="str">
        <f t="shared" si="42"/>
        <v/>
      </c>
      <c r="M69" s="298" t="str">
        <f t="shared" si="43"/>
        <v/>
      </c>
      <c r="N69" s="299" t="str">
        <f t="shared" si="44"/>
        <v/>
      </c>
      <c r="O69" s="299" t="str">
        <f t="shared" si="45"/>
        <v/>
      </c>
      <c r="P69" s="299" t="str">
        <f t="shared" si="46"/>
        <v/>
      </c>
      <c r="Q69" s="319" t="str">
        <f t="shared" si="47"/>
        <v/>
      </c>
      <c r="R69" s="314" t="str">
        <f t="shared" si="48"/>
        <v/>
      </c>
      <c r="S69" s="314" t="str">
        <f t="shared" si="49"/>
        <v/>
      </c>
      <c r="T69" s="315" t="str">
        <f t="shared" si="50"/>
        <v/>
      </c>
      <c r="U69" s="316" t="str">
        <f t="shared" si="51"/>
        <v/>
      </c>
      <c r="V69" s="316" t="str">
        <f t="shared" si="52"/>
        <v/>
      </c>
      <c r="W69" s="314" t="str">
        <f t="shared" si="53"/>
        <v/>
      </c>
      <c r="X69" s="316" t="str">
        <f t="shared" si="54"/>
        <v/>
      </c>
      <c r="Y69" s="271"/>
      <c r="Z69" s="271"/>
      <c r="AA69" s="271"/>
      <c r="AB69" s="271" t="str">
        <f>IF('Sales Dashboard'!AW68="","",'Sales Dashboard'!AW68)</f>
        <v>HAMAJAZCC</v>
      </c>
      <c r="AC69" s="271" t="str">
        <f>IF(AB69="","",'Sales Dashboard'!AN68)</f>
        <v>Maram Zamzami</v>
      </c>
      <c r="AD69" s="271" t="str">
        <f>IF(AB69="","",'Sales Dashboard'!AO68)</f>
        <v>Makkah</v>
      </c>
      <c r="AE69" s="281" cm="1">
        <f t="array" ref="AE69">IF(OR(AB69="",NOT(ISNUMBER('Sales Dashboard'!BF68))),0,SUMPRODUCT((IFERROR(--'Sales and count'!$G$2:$CC$2,0)=$C$4)*('Sales and count'!$G$3:$CC$3="Total"),INDEX('Sales and count'!$G$4:$CC$300,'Sales Dashboard'!BF68,0)))</f>
        <v>4443.07</v>
      </c>
      <c r="AF69" s="281" cm="1">
        <f t="array" ref="AF69">IF(OR(AB69="",NOT(ISNUMBER('Sales Dashboard'!BG68))),0,SUMPRODUCT(('TY Sales Target'!$K$2:$AO$2=$C$4)*1,INDEX('TY Sales Target'!$K$5:$AO$300,'Sales Dashboard'!BG68,0)))</f>
        <v>8612.1454521317173</v>
      </c>
      <c r="AG69" s="281" cm="1">
        <f t="array" ref="AG69">IF(AB69="",0,SUMPRODUCT((TRIM('LY Sales '!$B$5:$B$200)=AB69)*('LY Sales '!$C$2:$AG$2=EDATE($C$4,-12)),'LY Sales '!$C$5:$AG$200))</f>
        <v>7462.28</v>
      </c>
      <c r="AH69" s="271">
        <f t="shared" si="0"/>
        <v>1</v>
      </c>
      <c r="AI69" s="271">
        <f t="shared" si="1"/>
        <v>0</v>
      </c>
      <c r="AJ69" s="271">
        <f t="shared" si="2"/>
        <v>1</v>
      </c>
      <c r="AK69" s="271">
        <f t="shared" si="3"/>
        <v>0</v>
      </c>
      <c r="AL69" s="271">
        <f t="shared" si="4"/>
        <v>1</v>
      </c>
      <c r="AM69" s="306" cm="1">
        <f t="array" ref="AM69">IF(OR(AB69="",NOT(ISNUMBER('Sales Dashboard'!BF68))),0,SUMPRODUCT((IFERROR(--'Sales and count'!$G$2:$CC$2,0)=$F$4)*('Sales and count'!$G$3:$CC$3="Total"),INDEX('Sales and count'!$G$4:$CC$300,'Sales Dashboard'!BF68,0)))</f>
        <v>2460.1999999999998</v>
      </c>
      <c r="AN69" s="306" cm="1">
        <f t="array" ref="AN69">IF(OR(AB69="",NOT(ISNUMBER('Sales Dashboard'!BG68))),0,SUMPRODUCT(('TY Sales Target'!$K$2:$AO$2=$F$4)*1,INDEX('TY Sales Target'!$K$5:$AO$300,'Sales Dashboard'!BG68,0)))</f>
        <v>5979.5187770052607</v>
      </c>
      <c r="AO69" s="306" cm="1">
        <f t="array" ref="AO69">IF(AB69="",0,SUMPRODUCT((TRIM('LY Sales '!$B$5:$B$200)=AB69)*('LY Sales '!$C$2:$AG$2=EDATE($F$4,-12)),'LY Sales '!$C$5:$AG$200))</f>
        <v>3805.07</v>
      </c>
      <c r="AP69">
        <f t="shared" si="5"/>
        <v>1</v>
      </c>
      <c r="AQ69">
        <f t="shared" si="6"/>
        <v>0</v>
      </c>
      <c r="AR69">
        <f t="shared" si="7"/>
        <v>1</v>
      </c>
      <c r="AS69">
        <f t="shared" si="8"/>
        <v>0</v>
      </c>
    </row>
    <row r="70" spans="1:45" x14ac:dyDescent="0.25">
      <c r="A70" s="288" t="s">
        <v>0</v>
      </c>
      <c r="B70" s="289">
        <f>SUM(B30:B69)</f>
        <v>116</v>
      </c>
      <c r="C70" s="290">
        <f>SUM(C30:C69)</f>
        <v>1152818.3199999998</v>
      </c>
      <c r="D70" s="290">
        <f>SUM(D30:D69)</f>
        <v>1555266.9186419777</v>
      </c>
      <c r="E70" s="291">
        <f>IF(D70=0,"",C70/D70)</f>
        <v>0.74123502929427287</v>
      </c>
      <c r="F70" s="289" t="str">
        <f>COUNTIF(F30:F69,"✔ Yes")&amp;" of "&amp;COUNTIFS(D30:D69,"&gt;0")</f>
        <v>5 of 31</v>
      </c>
      <c r="G70" s="289">
        <f>SUM(G30:G69)</f>
        <v>115</v>
      </c>
      <c r="H70" s="289">
        <f>SUM(H30:H69)</f>
        <v>20</v>
      </c>
      <c r="I70" s="289" t="str">
        <f>H70&amp;" of "&amp;G70</f>
        <v>20 of 115</v>
      </c>
      <c r="J70" s="289">
        <f>SUM(J30:J69)</f>
        <v>59</v>
      </c>
      <c r="K70" s="290">
        <f>SUM(K30:K69)</f>
        <v>598911.11</v>
      </c>
      <c r="L70" s="290">
        <f>SUM(L30:L69)</f>
        <v>821505.21</v>
      </c>
      <c r="M70" s="291">
        <f>IF(L70=0,"",K70/L70-1)</f>
        <v>-0.27095884151483351</v>
      </c>
      <c r="N70" s="289" t="str">
        <f>COUNTIF(N30:N69,"✔ Yes")&amp;" of "&amp;COUNTIFS(L30:L69,"&gt;0")</f>
        <v>4 of 20</v>
      </c>
      <c r="O70" s="289">
        <f>SUM(O30:O69)</f>
        <v>15</v>
      </c>
      <c r="P70" s="289" t="str">
        <f>O70&amp;" of "&amp;J70</f>
        <v>15 of 59</v>
      </c>
      <c r="Q70" s="310">
        <f>SUM(Q30:Q69)</f>
        <v>488035.47000000003</v>
      </c>
      <c r="R70" s="291">
        <f>IF(Q70=0,"",C70/Q70-1)</f>
        <v>1.3621609306389137</v>
      </c>
      <c r="S70" s="291">
        <f>IFERROR(Q70/SUMPRODUCT($AN$7:$AN$303),"")</f>
        <v>0.45195123238465429</v>
      </c>
      <c r="T70" s="317">
        <f>IF(OR(E70="",S70=""),"",(E70-S70)*100)</f>
        <v>28.928379690961858</v>
      </c>
      <c r="U70" s="289" t="str">
        <f>COUNTIF(U30:U69,"✔ Yes")&amp;" of "&amp;COUNT(S30:S69)</f>
        <v>0 of 31</v>
      </c>
      <c r="V70" s="289" t="str">
        <f>SUMPRODUCT($AQ$7:$AQ$303)&amp;" of "&amp;SUMPRODUCT($AP$7:$AP$303)</f>
        <v>6 of 115</v>
      </c>
      <c r="W70" s="291">
        <f>IFERROR(SUMPRODUCT($AR$7:$AR$303,$AM$7:$AM$303)/SUMPRODUCT($AR$7:$AR$303,$AO$7:$AO$303)-1,"")</f>
        <v>-0.26221243458992638</v>
      </c>
      <c r="X70" s="289" t="str">
        <f>SUMPRODUCT($AS$7:$AS$303)&amp;" of "&amp;SUMPRODUCT($AR$7:$AR$303)</f>
        <v>21 of 64</v>
      </c>
      <c r="Y70" s="271"/>
      <c r="Z70" s="271"/>
      <c r="AA70" s="271"/>
      <c r="AB70" s="271" t="str">
        <f>IF('Sales Dashboard'!AW69="","",'Sales Dashboard'!AW69)</f>
        <v>RYDUWALK</v>
      </c>
      <c r="AC70" s="271" t="str">
        <f>IF(AB70="","",'Sales Dashboard'!AN69)</f>
        <v>Mohammed Sanad</v>
      </c>
      <c r="AD70" s="271" t="str">
        <f>IF(AB70="","",'Sales Dashboard'!AO69)</f>
        <v>Riyadh</v>
      </c>
      <c r="AE70" s="281" cm="1">
        <f t="array" ref="AE70">IF(OR(AB70="",NOT(ISNUMBER('Sales Dashboard'!BF69))),0,SUMPRODUCT((IFERROR(--'Sales and count'!$G$2:$CC$2,0)=$C$4)*('Sales and count'!$G$3:$CC$3="Total"),INDEX('Sales and count'!$G$4:$CC$300,'Sales Dashboard'!BF69,0)))</f>
        <v>2712.09</v>
      </c>
      <c r="AF70" s="281" cm="1">
        <f t="array" ref="AF70">IF(OR(AB70="",NOT(ISNUMBER('Sales Dashboard'!BG69))),0,SUMPRODUCT(('TY Sales Target'!$K$2:$AO$2=$C$4)*1,INDEX('TY Sales Target'!$K$5:$AO$300,'Sales Dashboard'!BG69,0)))</f>
        <v>7193.6744364864935</v>
      </c>
      <c r="AG70" s="281" cm="1">
        <f t="array" ref="AG70">IF(AB70="",0,SUMPRODUCT((TRIM('LY Sales '!$B$5:$B$200)=AB70)*('LY Sales '!$C$2:$AG$2=EDATE($C$4,-12)),'LY Sales '!$C$5:$AG$200))</f>
        <v>5012.1499999999996</v>
      </c>
      <c r="AH70" s="271">
        <f t="shared" si="0"/>
        <v>1</v>
      </c>
      <c r="AI70" s="271">
        <f t="shared" si="1"/>
        <v>0</v>
      </c>
      <c r="AJ70" s="271">
        <f t="shared" si="2"/>
        <v>1</v>
      </c>
      <c r="AK70" s="271">
        <f t="shared" si="3"/>
        <v>0</v>
      </c>
      <c r="AL70" s="271">
        <f t="shared" si="4"/>
        <v>1</v>
      </c>
      <c r="AM70" s="306" cm="1">
        <f t="array" ref="AM70">IF(OR(AB70="",NOT(ISNUMBER('Sales Dashboard'!BF69))),0,SUMPRODUCT((IFERROR(--'Sales and count'!$G$2:$CC$2,0)=$F$4)*('Sales and count'!$G$3:$CC$3="Total"),INDEX('Sales and count'!$G$4:$CC$300,'Sales Dashboard'!BF69,0)))</f>
        <v>1930.13</v>
      </c>
      <c r="AN70" s="306" cm="1">
        <f t="array" ref="AN70">IF(OR(AB70="",NOT(ISNUMBER('Sales Dashboard'!BG69))),0,SUMPRODUCT(('TY Sales Target'!$K$2:$AO$2=$F$4)*1,INDEX('TY Sales Target'!$K$5:$AO$300,'Sales Dashboard'!BG69,0)))</f>
        <v>4994.6568607926301</v>
      </c>
      <c r="AO70" s="306" cm="1">
        <f t="array" ref="AO70">IF(AB70="",0,SUMPRODUCT((TRIM('LY Sales '!$B$5:$B$200)=AB70)*('LY Sales '!$C$2:$AG$2=EDATE($F$4,-12)),'LY Sales '!$C$5:$AG$200))</f>
        <v>3469.08</v>
      </c>
      <c r="AP70">
        <f t="shared" si="5"/>
        <v>1</v>
      </c>
      <c r="AQ70">
        <f t="shared" si="6"/>
        <v>0</v>
      </c>
      <c r="AR70">
        <f t="shared" si="7"/>
        <v>1</v>
      </c>
      <c r="AS70">
        <f t="shared" si="8"/>
        <v>0</v>
      </c>
    </row>
    <row r="71" spans="1:45" x14ac:dyDescent="0.25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 t="str">
        <f>IF('Sales Dashboard'!AW70="","",'Sales Dashboard'!AW70)</f>
        <v>ALWATANIAH</v>
      </c>
      <c r="AC71" s="271" t="str">
        <f>IF(AB71="","",'Sales Dashboard'!AN70)</f>
        <v>Hamzah Al Makhadam</v>
      </c>
      <c r="AD71" s="271" t="str">
        <f>IF(AB71="","",'Sales Dashboard'!AO70)</f>
        <v>Hafer Al Batin</v>
      </c>
      <c r="AE71" s="281" cm="1">
        <f t="array" ref="AE71">IF(OR(AB71="",NOT(ISNUMBER('Sales Dashboard'!BF70))),0,SUMPRODUCT((IFERROR(--'Sales and count'!$G$2:$CC$2,0)=$C$4)*('Sales and count'!$G$3:$CC$3="Total"),INDEX('Sales and count'!$G$4:$CC$300,'Sales Dashboard'!BF70,0)))</f>
        <v>18003.310000000001</v>
      </c>
      <c r="AF71" s="281" cm="1">
        <f t="array" ref="AF71">IF(OR(AB71="",NOT(ISNUMBER('Sales Dashboard'!BG70))),0,SUMPRODUCT(('TY Sales Target'!$K$2:$AO$2=$C$4)*1,INDEX('TY Sales Target'!$K$5:$AO$300,'Sales Dashboard'!BG70,0)))</f>
        <v>27305.567051170565</v>
      </c>
      <c r="AG71" s="281" cm="1">
        <f t="array" ref="AG71">IF(AB71="",0,SUMPRODUCT((TRIM('LY Sales '!$B$5:$B$200)=AB71)*('LY Sales '!$C$2:$AG$2=EDATE($C$4,-12)),'LY Sales '!$C$5:$AG$200))</f>
        <v>24824.84</v>
      </c>
      <c r="AH71" s="271">
        <f t="shared" si="0"/>
        <v>1</v>
      </c>
      <c r="AI71" s="271">
        <f t="shared" si="1"/>
        <v>0</v>
      </c>
      <c r="AJ71" s="271">
        <f t="shared" si="2"/>
        <v>1</v>
      </c>
      <c r="AK71" s="271">
        <f t="shared" si="3"/>
        <v>0</v>
      </c>
      <c r="AL71" s="271">
        <f t="shared" si="4"/>
        <v>1</v>
      </c>
      <c r="AM71" s="306" cm="1">
        <f t="array" ref="AM71">IF(OR(AB71="",NOT(ISNUMBER('Sales Dashboard'!BF70))),0,SUMPRODUCT((IFERROR(--'Sales and count'!$G$2:$CC$2,0)=$F$4)*('Sales and count'!$G$3:$CC$3="Total"),INDEX('Sales and count'!$G$4:$CC$300,'Sales Dashboard'!BF70,0)))</f>
        <v>4710.22</v>
      </c>
      <c r="AN71" s="306" cm="1">
        <f t="array" ref="AN71">IF(OR(AB71="",NOT(ISNUMBER('Sales Dashboard'!BG70))),0,SUMPRODUCT(('TY Sales Target'!$K$2:$AO$2=$F$4)*1,INDEX('TY Sales Target'!$K$5:$AO$300,'Sales Dashboard'!BG70,0)))</f>
        <v>18958.591887093153</v>
      </c>
      <c r="AO71" s="306" cm="1">
        <f t="array" ref="AO71">IF(AB71="",0,SUMPRODUCT((TRIM('LY Sales '!$B$5:$B$200)=AB71)*('LY Sales '!$C$2:$AG$2=EDATE($F$4,-12)),'LY Sales '!$C$5:$AG$200))</f>
        <v>17370.439999999999</v>
      </c>
      <c r="AP71">
        <f t="shared" si="5"/>
        <v>1</v>
      </c>
      <c r="AQ71">
        <f t="shared" si="6"/>
        <v>0</v>
      </c>
      <c r="AR71">
        <f t="shared" si="7"/>
        <v>1</v>
      </c>
      <c r="AS71">
        <f t="shared" si="8"/>
        <v>0</v>
      </c>
    </row>
    <row r="72" spans="1:45" x14ac:dyDescent="0.25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 t="str">
        <f>IF('Sales Dashboard'!AW71="","",'Sales Dashboard'!AW71)</f>
        <v>HATASSPLZ</v>
      </c>
      <c r="AC72" s="271" t="str">
        <f>IF(AB72="","",'Sales Dashboard'!AN71)</f>
        <v>Maram Zamzami</v>
      </c>
      <c r="AD72" s="271" t="str">
        <f>IF(AB72="","",'Sales Dashboard'!AO71)</f>
        <v>Makkah</v>
      </c>
      <c r="AE72" s="281" cm="1">
        <f t="array" ref="AE72">IF(OR(AB72="",NOT(ISNUMBER('Sales Dashboard'!BF71))),0,SUMPRODUCT((IFERROR(--'Sales and count'!$G$2:$CC$2,0)=$C$4)*('Sales and count'!$G$3:$CC$3="Total"),INDEX('Sales and count'!$G$4:$CC$300,'Sales Dashboard'!BF71,0)))</f>
        <v>3403.1</v>
      </c>
      <c r="AF72" s="281" cm="1">
        <f t="array" ref="AF72">IF(OR(AB72="",NOT(ISNUMBER('Sales Dashboard'!BG71))),0,SUMPRODUCT(('TY Sales Target'!$K$2:$AO$2=$C$4)*1,INDEX('TY Sales Target'!$K$5:$AO$300,'Sales Dashboard'!BG71,0)))</f>
        <v>7092.3550782261209</v>
      </c>
      <c r="AG72" s="281" cm="1">
        <f t="array" ref="AG72">IF(AB72="",0,SUMPRODUCT((TRIM('LY Sales '!$B$5:$B$200)=AB72)*('LY Sales '!$C$2:$AG$2=EDATE($C$4,-12)),'LY Sales '!$C$5:$AG$200))</f>
        <v>4327.16</v>
      </c>
      <c r="AH72" s="271">
        <f t="shared" ref="AH72:AH135" si="55">--AND(AB72&lt;&gt;"",AF72&gt;0)</f>
        <v>1</v>
      </c>
      <c r="AI72" s="271">
        <f t="shared" ref="AI72:AI135" si="56">--AND(AH72=1,AE72&gt;=AF72*$L$4)</f>
        <v>0</v>
      </c>
      <c r="AJ72" s="271">
        <f t="shared" ref="AJ72:AJ135" si="57">--AND(AB72&lt;&gt;"",AG72&gt;0)</f>
        <v>1</v>
      </c>
      <c r="AK72" s="271">
        <f t="shared" ref="AK72:AK135" si="58">--AND(AJ72=1,AE72&gt;=AG72*$O$4)</f>
        <v>0</v>
      </c>
      <c r="AL72" s="271">
        <f t="shared" ref="AL72:AL135" si="59">--AND(AC72&lt;&gt;"",AC72&lt;&gt;"No assignment",AC72&lt;&gt;"Unassigned")</f>
        <v>1</v>
      </c>
      <c r="AM72" s="306" cm="1">
        <f t="array" ref="AM72">IF(OR(AB72="",NOT(ISNUMBER('Sales Dashboard'!BF71))),0,SUMPRODUCT((IFERROR(--'Sales and count'!$G$2:$CC$2,0)=$F$4)*('Sales and count'!$G$3:$CC$3="Total"),INDEX('Sales and count'!$G$4:$CC$300,'Sales Dashboard'!BF71,0)))</f>
        <v>385</v>
      </c>
      <c r="AN72" s="306" cm="1">
        <f t="array" ref="AN72">IF(OR(AB72="",NOT(ISNUMBER('Sales Dashboard'!BG71))),0,SUMPRODUCT(('TY Sales Target'!$K$2:$AO$2=$F$4)*1,INDEX('TY Sales Target'!$K$5:$AO$300,'Sales Dashboard'!BG71,0)))</f>
        <v>4924.3095810631567</v>
      </c>
      <c r="AO72" s="306" cm="1">
        <f t="array" ref="AO72">IF(AB72="",0,SUMPRODUCT((TRIM('LY Sales '!$B$5:$B$200)=AB72)*('LY Sales '!$C$2:$AG$2=EDATE($F$4,-12)),'LY Sales '!$C$5:$AG$200))</f>
        <v>2284.0100000000002</v>
      </c>
      <c r="AP72">
        <f t="shared" ref="AP72:AP135" si="60">--AND(AB72&lt;&gt;"",AN72&gt;0)</f>
        <v>1</v>
      </c>
      <c r="AQ72">
        <f t="shared" ref="AQ72:AQ135" si="61">--AND(AP72=1,AM72&gt;=AN72*$L$4)</f>
        <v>0</v>
      </c>
      <c r="AR72">
        <f t="shared" ref="AR72:AR135" si="62">--AND(AB72&lt;&gt;"",AO72&gt;0)</f>
        <v>1</v>
      </c>
      <c r="AS72">
        <f t="shared" ref="AS72:AS135" si="63">--AND(AR72=1,AM72&gt;=AO72*$O$4)</f>
        <v>0</v>
      </c>
    </row>
    <row r="73" spans="1:45" x14ac:dyDescent="0.25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 t="str">
        <f>IF('Sales Dashboard'!AW72="","",'Sales Dashboard'!AW72)</f>
        <v>HAKADIMALL</v>
      </c>
      <c r="AC73" s="271" t="str">
        <f>IF(AB73="","",'Sales Dashboard'!AN72)</f>
        <v>Ahmed Jaffari</v>
      </c>
      <c r="AD73" s="271" t="str">
        <f>IF(AB73="","",'Sales Dashboard'!AO72)</f>
        <v>Jizan</v>
      </c>
      <c r="AE73" s="281" cm="1">
        <f t="array" ref="AE73">IF(OR(AB73="",NOT(ISNUMBER('Sales Dashboard'!BF72))),0,SUMPRODUCT((IFERROR(--'Sales and count'!$G$2:$CC$2,0)=$C$4)*('Sales and count'!$G$3:$CC$3="Total"),INDEX('Sales and count'!$G$4:$CC$300,'Sales Dashboard'!BF72,0)))</f>
        <v>10211.219999999999</v>
      </c>
      <c r="AF73" s="281" cm="1">
        <f t="array" ref="AF73">IF(OR(AB73="",NOT(ISNUMBER('Sales Dashboard'!BG72))),0,SUMPRODUCT(('TY Sales Target'!$K$2:$AO$2=$C$4)*1,INDEX('TY Sales Target'!$K$5:$AO$300,'Sales Dashboard'!BG72,0)))</f>
        <v>11145.129408641047</v>
      </c>
      <c r="AG73" s="281" cm="1">
        <f t="array" ref="AG73">IF(AB73="",0,SUMPRODUCT((TRIM('LY Sales '!$B$5:$B$200)=AB73)*('LY Sales '!$C$2:$AG$2=EDATE($C$4,-12)),'LY Sales '!$C$5:$AG$200))</f>
        <v>0</v>
      </c>
      <c r="AH73" s="271">
        <f t="shared" si="55"/>
        <v>1</v>
      </c>
      <c r="AI73" s="271">
        <f t="shared" si="56"/>
        <v>1</v>
      </c>
      <c r="AJ73" s="271">
        <f t="shared" si="57"/>
        <v>0</v>
      </c>
      <c r="AK73" s="271">
        <f t="shared" si="58"/>
        <v>0</v>
      </c>
      <c r="AL73" s="271">
        <f t="shared" si="59"/>
        <v>1</v>
      </c>
      <c r="AM73" s="306" cm="1">
        <f t="array" ref="AM73">IF(OR(AB73="",NOT(ISNUMBER('Sales Dashboard'!BF72))),0,SUMPRODUCT((IFERROR(--'Sales and count'!$G$2:$CC$2,0)=$F$4)*('Sales and count'!$G$3:$CC$3="Total"),INDEX('Sales and count'!$G$4:$CC$300,'Sales Dashboard'!BF72,0)))</f>
        <v>2010.13</v>
      </c>
      <c r="AN73" s="306" cm="1">
        <f t="array" ref="AN73">IF(OR(AB73="",NOT(ISNUMBER('Sales Dashboard'!BG72))),0,SUMPRODUCT(('TY Sales Target'!$K$2:$AO$2=$F$4)*1,INDEX('TY Sales Target'!$K$5:$AO$300,'Sales Dashboard'!BG72,0)))</f>
        <v>7738.2007702421024</v>
      </c>
      <c r="AO73" s="306" cm="1">
        <f t="array" ref="AO73">IF(AB73="",0,SUMPRODUCT((TRIM('LY Sales '!$B$5:$B$200)=AB73)*('LY Sales '!$C$2:$AG$2=EDATE($F$4,-12)),'LY Sales '!$C$5:$AG$200))</f>
        <v>0</v>
      </c>
      <c r="AP73">
        <f t="shared" si="60"/>
        <v>1</v>
      </c>
      <c r="AQ73">
        <f t="shared" si="61"/>
        <v>0</v>
      </c>
      <c r="AR73">
        <f t="shared" si="62"/>
        <v>0</v>
      </c>
      <c r="AS73">
        <f t="shared" si="63"/>
        <v>0</v>
      </c>
    </row>
    <row r="74" spans="1:45" x14ac:dyDescent="0.25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 t="str">
        <f>IF('Sales Dashboard'!AW73="","",'Sales Dashboard'!AW73)</f>
        <v>RYDVIEW</v>
      </c>
      <c r="AC74" s="271" t="str">
        <f>IF(AB74="","",'Sales Dashboard'!AN73)</f>
        <v>Lina Al Ghathami</v>
      </c>
      <c r="AD74" s="271" t="str">
        <f>IF(AB74="","",'Sales Dashboard'!AO73)</f>
        <v>Riyadh</v>
      </c>
      <c r="AE74" s="281" cm="1">
        <f t="array" ref="AE74">IF(OR(AB74="",NOT(ISNUMBER('Sales Dashboard'!BF73))),0,SUMPRODUCT((IFERROR(--'Sales and count'!$G$2:$CC$2,0)=$C$4)*('Sales and count'!$G$3:$CC$3="Total"),INDEX('Sales and count'!$G$4:$CC$300,'Sales Dashboard'!BF73,0)))</f>
        <v>3743.08</v>
      </c>
      <c r="AF74" s="281" cm="1">
        <f t="array" ref="AF74">IF(OR(AB74="",NOT(ISNUMBER('Sales Dashboard'!BG73))),0,SUMPRODUCT(('TY Sales Target'!$K$2:$AO$2=$C$4)*1,INDEX('TY Sales Target'!$K$5:$AO$300,'Sales Dashboard'!BG73,0)))</f>
        <v>9017.4228851732114</v>
      </c>
      <c r="AG74" s="281" cm="1">
        <f t="array" ref="AG74">IF(AB74="",0,SUMPRODUCT((TRIM('LY Sales '!$B$5:$B$200)=AB74)*('LY Sales '!$C$2:$AG$2=EDATE($C$4,-12)),'LY Sales '!$C$5:$AG$200))</f>
        <v>9107.27</v>
      </c>
      <c r="AH74" s="271">
        <f t="shared" si="55"/>
        <v>1</v>
      </c>
      <c r="AI74" s="271">
        <f t="shared" si="56"/>
        <v>0</v>
      </c>
      <c r="AJ74" s="271">
        <f t="shared" si="57"/>
        <v>1</v>
      </c>
      <c r="AK74" s="271">
        <f t="shared" si="58"/>
        <v>0</v>
      </c>
      <c r="AL74" s="271">
        <f t="shared" si="59"/>
        <v>1</v>
      </c>
      <c r="AM74" s="306" cm="1">
        <f t="array" ref="AM74">IF(OR(AB74="",NOT(ISNUMBER('Sales Dashboard'!BF73))),0,SUMPRODUCT((IFERROR(--'Sales and count'!$G$2:$CC$2,0)=$F$4)*('Sales and count'!$G$3:$CC$3="Total"),INDEX('Sales and count'!$G$4:$CC$300,'Sales Dashboard'!BF73,0)))</f>
        <v>2868.12</v>
      </c>
      <c r="AN74" s="306" cm="1">
        <f t="array" ref="AN74">IF(OR(AB74="",NOT(ISNUMBER('Sales Dashboard'!BG73))),0,SUMPRODUCT(('TY Sales Target'!$K$2:$AO$2=$F$4)*1,INDEX('TY Sales Target'!$K$5:$AO$300,'Sales Dashboard'!BG73,0)))</f>
        <v>6260.9078959231556</v>
      </c>
      <c r="AO74" s="306" cm="1">
        <f t="array" ref="AO74">IF(AB74="",0,SUMPRODUCT((TRIM('LY Sales '!$B$5:$B$200)=AB74)*('LY Sales '!$C$2:$AG$2=EDATE($F$4,-12)),'LY Sales '!$C$5:$AG$200))</f>
        <v>1215.02</v>
      </c>
      <c r="AP74">
        <f t="shared" si="60"/>
        <v>1</v>
      </c>
      <c r="AQ74">
        <f t="shared" si="61"/>
        <v>0</v>
      </c>
      <c r="AR74">
        <f t="shared" si="62"/>
        <v>1</v>
      </c>
      <c r="AS74">
        <f t="shared" si="63"/>
        <v>1</v>
      </c>
    </row>
    <row r="75" spans="1:45" x14ac:dyDescent="0.25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 t="str">
        <f>IF('Sales Dashboard'!AW74="","",'Sales Dashboard'!AW74)</f>
        <v>HADANAMAK</v>
      </c>
      <c r="AC75" s="271" t="str">
        <f>IF(AB75="","",'Sales Dashboard'!AN74)</f>
        <v>Maram Zamzami</v>
      </c>
      <c r="AD75" s="271" t="str">
        <f>IF(AB75="","",'Sales Dashboard'!AO74)</f>
        <v>Makkah</v>
      </c>
      <c r="AE75" s="281" cm="1">
        <f t="array" ref="AE75">IF(OR(AB75="",NOT(ISNUMBER('Sales Dashboard'!BF74))),0,SUMPRODUCT((IFERROR(--'Sales and count'!$G$2:$CC$2,0)=$C$4)*('Sales and count'!$G$3:$CC$3="Total"),INDEX('Sales and count'!$G$4:$CC$300,'Sales Dashboard'!BF74,0)))</f>
        <v>7579.09</v>
      </c>
      <c r="AF75" s="281" cm="1">
        <f t="array" ref="AF75">IF(OR(AB75="",NOT(ISNUMBER('Sales Dashboard'!BG74))),0,SUMPRODUCT(('TY Sales Target'!$K$2:$AO$2=$C$4)*1,INDEX('TY Sales Target'!$K$5:$AO$300,'Sales Dashboard'!BG74,0)))</f>
        <v>10131.935826037316</v>
      </c>
      <c r="AG75" s="281" cm="1">
        <f t="array" ref="AG75">IF(AB75="",0,SUMPRODUCT((TRIM('LY Sales '!$B$5:$B$200)=AB75)*('LY Sales '!$C$2:$AG$2=EDATE($C$4,-12)),'LY Sales '!$C$5:$AG$200))</f>
        <v>0</v>
      </c>
      <c r="AH75" s="271">
        <f t="shared" si="55"/>
        <v>1</v>
      </c>
      <c r="AI75" s="271">
        <f t="shared" si="56"/>
        <v>0</v>
      </c>
      <c r="AJ75" s="271">
        <f t="shared" si="57"/>
        <v>0</v>
      </c>
      <c r="AK75" s="271">
        <f t="shared" si="58"/>
        <v>0</v>
      </c>
      <c r="AL75" s="271">
        <f t="shared" si="59"/>
        <v>1</v>
      </c>
      <c r="AM75" s="306" cm="1">
        <f t="array" ref="AM75">IF(OR(AB75="",NOT(ISNUMBER('Sales Dashboard'!BF74))),0,SUMPRODUCT((IFERROR(--'Sales and count'!$G$2:$CC$2,0)=$F$4)*('Sales and count'!$G$3:$CC$3="Total"),INDEX('Sales and count'!$G$4:$CC$300,'Sales Dashboard'!BF74,0)))</f>
        <v>3470.23</v>
      </c>
      <c r="AN75" s="306" cm="1">
        <f t="array" ref="AN75">IF(OR(AB75="",NOT(ISNUMBER('Sales Dashboard'!BG74))),0,SUMPRODUCT(('TY Sales Target'!$K$2:$AO$2=$F$4)*1,INDEX('TY Sales Target'!$K$5:$AO$300,'Sales Dashboard'!BG74,0)))</f>
        <v>7034.7279729473657</v>
      </c>
      <c r="AO75" s="306" cm="1">
        <f t="array" ref="AO75">IF(AB75="",0,SUMPRODUCT((TRIM('LY Sales '!$B$5:$B$200)=AB75)*('LY Sales '!$C$2:$AG$2=EDATE($F$4,-12)),'LY Sales '!$C$5:$AG$200))</f>
        <v>0</v>
      </c>
      <c r="AP75">
        <f t="shared" si="60"/>
        <v>1</v>
      </c>
      <c r="AQ75">
        <f t="shared" si="61"/>
        <v>0</v>
      </c>
      <c r="AR75">
        <f t="shared" si="62"/>
        <v>0</v>
      </c>
      <c r="AS75">
        <f t="shared" si="63"/>
        <v>0</v>
      </c>
    </row>
    <row r="76" spans="1:45" x14ac:dyDescent="0.25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 t="str">
        <f>IF('Sales Dashboard'!AW75="","",'Sales Dashboard'!AW75)</f>
        <v>HAOTHMTH</v>
      </c>
      <c r="AC76" s="271" t="str">
        <f>IF(AB76="","",'Sales Dashboard'!AN75)</f>
        <v>Lina Al Ghathami</v>
      </c>
      <c r="AD76" s="271" t="str">
        <f>IF(AB76="","",'Sales Dashboard'!AO75)</f>
        <v>Muthnab</v>
      </c>
      <c r="AE76" s="281" cm="1">
        <f t="array" ref="AE76">IF(OR(AB76="",NOT(ISNUMBER('Sales Dashboard'!BF75))),0,SUMPRODUCT((IFERROR(--'Sales and count'!$G$2:$CC$2,0)=$C$4)*('Sales and count'!$G$3:$CC$3="Total"),INDEX('Sales and count'!$G$4:$CC$300,'Sales Dashboard'!BF75,0)))</f>
        <v>1527.02</v>
      </c>
      <c r="AF76" s="281" cm="1">
        <f t="array" ref="AF76">IF(OR(AB76="",NOT(ISNUMBER('Sales Dashboard'!BG75))),0,SUMPRODUCT(('TY Sales Target'!$K$2:$AO$2=$C$4)*1,INDEX('TY Sales Target'!$K$5:$AO$300,'Sales Dashboard'!BG75,0)))</f>
        <v>2077.0468443376494</v>
      </c>
      <c r="AG76" s="281" cm="1">
        <f t="array" ref="AG76">IF(AB76="",0,SUMPRODUCT((TRIM('LY Sales '!$B$5:$B$200)=AB76)*('LY Sales '!$C$2:$AG$2=EDATE($C$4,-12)),'LY Sales '!$C$5:$AG$200))</f>
        <v>0</v>
      </c>
      <c r="AH76" s="271">
        <f t="shared" si="55"/>
        <v>1</v>
      </c>
      <c r="AI76" s="271">
        <f t="shared" si="56"/>
        <v>0</v>
      </c>
      <c r="AJ76" s="271">
        <f t="shared" si="57"/>
        <v>0</v>
      </c>
      <c r="AK76" s="271">
        <f t="shared" si="58"/>
        <v>0</v>
      </c>
      <c r="AL76" s="271">
        <f t="shared" si="59"/>
        <v>1</v>
      </c>
      <c r="AM76" s="306" cm="1">
        <f t="array" ref="AM76">IF(OR(AB76="",NOT(ISNUMBER('Sales Dashboard'!BF75))),0,SUMPRODUCT((IFERROR(--'Sales and count'!$G$2:$CC$2,0)=$F$4)*('Sales and count'!$G$3:$CC$3="Total"),INDEX('Sales and count'!$G$4:$CC$300,'Sales Dashboard'!BF75,0)))</f>
        <v>286.02</v>
      </c>
      <c r="AN76" s="306" cm="1">
        <f t="array" ref="AN76">IF(OR(AB76="",NOT(ISNUMBER('Sales Dashboard'!BG75))),0,SUMPRODUCT(('TY Sales Target'!$K$2:$AO$2=$F$4)*1,INDEX('TY Sales Target'!$K$5:$AO$300,'Sales Dashboard'!BG75,0)))</f>
        <v>1442.1192344542101</v>
      </c>
      <c r="AO76" s="306" cm="1">
        <f t="array" ref="AO76">IF(AB76="",0,SUMPRODUCT((TRIM('LY Sales '!$B$5:$B$200)=AB76)*('LY Sales '!$C$2:$AG$2=EDATE($F$4,-12)),'LY Sales '!$C$5:$AG$200))</f>
        <v>1266.01</v>
      </c>
      <c r="AP76">
        <f t="shared" si="60"/>
        <v>1</v>
      </c>
      <c r="AQ76">
        <f t="shared" si="61"/>
        <v>0</v>
      </c>
      <c r="AR76">
        <f t="shared" si="62"/>
        <v>1</v>
      </c>
      <c r="AS76">
        <f t="shared" si="63"/>
        <v>0</v>
      </c>
    </row>
    <row r="77" spans="1:45" x14ac:dyDescent="0.25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 t="str">
        <f>IF('Sales Dashboard'!AW76="","",'Sales Dashboard'!AW76)</f>
        <v>HAMAKKMAL</v>
      </c>
      <c r="AC77" s="271" t="str">
        <f>IF(AB77="","",'Sales Dashboard'!AN76)</f>
        <v>Maram Zamzami</v>
      </c>
      <c r="AD77" s="271" t="str">
        <f>IF(AB77="","",'Sales Dashboard'!AO76)</f>
        <v>Makkah</v>
      </c>
      <c r="AE77" s="281" cm="1">
        <f t="array" ref="AE77">IF(OR(AB77="",NOT(ISNUMBER('Sales Dashboard'!BF76))),0,SUMPRODUCT((IFERROR(--'Sales and count'!$G$2:$CC$2,0)=$C$4)*('Sales and count'!$G$3:$CC$3="Total"),INDEX('Sales and count'!$G$4:$CC$300,'Sales Dashboard'!BF76,0)))</f>
        <v>16867.46</v>
      </c>
      <c r="AF77" s="281" cm="1">
        <f t="array" ref="AF77">IF(OR(AB77="",NOT(ISNUMBER('Sales Dashboard'!BG76))),0,SUMPRODUCT(('TY Sales Target'!$K$2:$AO$2=$C$4)*1,INDEX('TY Sales Target'!$K$5:$AO$300,'Sales Dashboard'!BG76,0)))</f>
        <v>20263.871652074631</v>
      </c>
      <c r="AG77" s="281" cm="1">
        <f t="array" ref="AG77">IF(AB77="",0,SUMPRODUCT((TRIM('LY Sales '!$B$5:$B$200)=AB77)*('LY Sales '!$C$2:$AG$2=EDATE($C$4,-12)),'LY Sales '!$C$5:$AG$200))</f>
        <v>16110.46</v>
      </c>
      <c r="AH77" s="271">
        <f t="shared" si="55"/>
        <v>1</v>
      </c>
      <c r="AI77" s="271">
        <f t="shared" si="56"/>
        <v>1</v>
      </c>
      <c r="AJ77" s="271">
        <f t="shared" si="57"/>
        <v>1</v>
      </c>
      <c r="AK77" s="271">
        <f t="shared" si="58"/>
        <v>1</v>
      </c>
      <c r="AL77" s="271">
        <f t="shared" si="59"/>
        <v>1</v>
      </c>
      <c r="AM77" s="306" cm="1">
        <f t="array" ref="AM77">IF(OR(AB77="",NOT(ISNUMBER('Sales Dashboard'!BF76))),0,SUMPRODUCT((IFERROR(--'Sales and count'!$G$2:$CC$2,0)=$F$4)*('Sales and count'!$G$3:$CC$3="Total"),INDEX('Sales and count'!$G$4:$CC$300,'Sales Dashboard'!BF76,0)))</f>
        <v>3372.17</v>
      </c>
      <c r="AN77" s="306" cm="1">
        <f t="array" ref="AN77">IF(OR(AB77="",NOT(ISNUMBER('Sales Dashboard'!BG76))),0,SUMPRODUCT(('TY Sales Target'!$K$2:$AO$2=$F$4)*1,INDEX('TY Sales Target'!$K$5:$AO$300,'Sales Dashboard'!BG76,0)))</f>
        <v>14069.455945894731</v>
      </c>
      <c r="AO77" s="306" cm="1">
        <f t="array" ref="AO77">IF(AB77="",0,SUMPRODUCT((TRIM('LY Sales '!$B$5:$B$200)=AB77)*('LY Sales '!$C$2:$AG$2=EDATE($F$4,-12)),'LY Sales '!$C$5:$AG$200))</f>
        <v>5955.08</v>
      </c>
      <c r="AP77">
        <f t="shared" si="60"/>
        <v>1</v>
      </c>
      <c r="AQ77">
        <f t="shared" si="61"/>
        <v>0</v>
      </c>
      <c r="AR77">
        <f t="shared" si="62"/>
        <v>1</v>
      </c>
      <c r="AS77">
        <f t="shared" si="63"/>
        <v>0</v>
      </c>
    </row>
    <row r="78" spans="1:45" x14ac:dyDescent="0.25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 t="str">
        <f>IF('Sales Dashboard'!AW77="","",'Sales Dashboard'!AW77)</f>
        <v>HASOUQEBQ</v>
      </c>
      <c r="AC78" s="271" t="str">
        <f>IF(AB78="","",'Sales Dashboard'!AN77)</f>
        <v>Mohammed Haidar</v>
      </c>
      <c r="AD78" s="271" t="str">
        <f>IF(AB78="","",'Sales Dashboard'!AO77)</f>
        <v>Madinah</v>
      </c>
      <c r="AE78" s="281" cm="1">
        <f t="array" ref="AE78">IF(OR(AB78="",NOT(ISNUMBER('Sales Dashboard'!BF77))),0,SUMPRODUCT((IFERROR(--'Sales and count'!$G$2:$CC$2,0)=$C$4)*('Sales and count'!$G$3:$CC$3="Total"),INDEX('Sales and count'!$G$4:$CC$300,'Sales Dashboard'!BF77,0)))</f>
        <v>4041.14</v>
      </c>
      <c r="AF78" s="281" cm="1">
        <f t="array" ref="AF78">IF(OR(AB78="",NOT(ISNUMBER('Sales Dashboard'!BG77))),0,SUMPRODUCT(('TY Sales Target'!$K$2:$AO$2=$C$4)*1,INDEX('TY Sales Target'!$K$5:$AO$300,'Sales Dashboard'!BG77,0)))</f>
        <v>10030.616467776941</v>
      </c>
      <c r="AG78" s="281" cm="1">
        <f t="array" ref="AG78">IF(AB78="",0,SUMPRODUCT((TRIM('LY Sales '!$B$5:$B$200)=AB78)*('LY Sales '!$C$2:$AG$2=EDATE($C$4,-12)),'LY Sales '!$C$5:$AG$200))</f>
        <v>0</v>
      </c>
      <c r="AH78" s="271">
        <f t="shared" si="55"/>
        <v>1</v>
      </c>
      <c r="AI78" s="271">
        <f t="shared" si="56"/>
        <v>0</v>
      </c>
      <c r="AJ78" s="271">
        <f t="shared" si="57"/>
        <v>0</v>
      </c>
      <c r="AK78" s="271">
        <f t="shared" si="58"/>
        <v>0</v>
      </c>
      <c r="AL78" s="271">
        <f t="shared" si="59"/>
        <v>1</v>
      </c>
      <c r="AM78" s="306" cm="1">
        <f t="array" ref="AM78">IF(OR(AB78="",NOT(ISNUMBER('Sales Dashboard'!BF77))),0,SUMPRODUCT((IFERROR(--'Sales and count'!$G$2:$CC$2,0)=$F$4)*('Sales and count'!$G$3:$CC$3="Total"),INDEX('Sales and count'!$G$4:$CC$300,'Sales Dashboard'!BF77,0)))</f>
        <v>6655.45</v>
      </c>
      <c r="AN78" s="306" cm="1">
        <f t="array" ref="AN78">IF(OR(AB78="",NOT(ISNUMBER('Sales Dashboard'!BG77))),0,SUMPRODUCT(('TY Sales Target'!$K$2:$AO$2=$F$4)*1,INDEX('TY Sales Target'!$K$5:$AO$300,'Sales Dashboard'!BG77,0)))</f>
        <v>6964.3806932178923</v>
      </c>
      <c r="AO78" s="306" cm="1">
        <f t="array" ref="AO78">IF(AB78="",0,SUMPRODUCT((TRIM('LY Sales '!$B$5:$B$200)=AB78)*('LY Sales '!$C$2:$AG$2=EDATE($F$4,-12)),'LY Sales '!$C$5:$AG$200))</f>
        <v>0</v>
      </c>
      <c r="AP78">
        <f t="shared" si="60"/>
        <v>1</v>
      </c>
      <c r="AQ78">
        <f t="shared" si="61"/>
        <v>1</v>
      </c>
      <c r="AR78">
        <f t="shared" si="62"/>
        <v>0</v>
      </c>
      <c r="AS78">
        <f t="shared" si="63"/>
        <v>0</v>
      </c>
    </row>
    <row r="79" spans="1:45" x14ac:dyDescent="0.25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 t="str">
        <f>IF('Sales Dashboard'!AW78="","",'Sales Dashboard'!AW78)</f>
        <v>BURNPLAZ</v>
      </c>
      <c r="AC79" s="271" t="str">
        <f>IF(AB79="","",'Sales Dashboard'!AN78)</f>
        <v>Lina Al Ghathami</v>
      </c>
      <c r="AD79" s="271" t="str">
        <f>IF(AB79="","",'Sales Dashboard'!AO78)</f>
        <v>Buraidah</v>
      </c>
      <c r="AE79" s="281" cm="1">
        <f t="array" ref="AE79">IF(OR(AB79="",NOT(ISNUMBER('Sales Dashboard'!BF78))),0,SUMPRODUCT((IFERROR(--'Sales and count'!$G$2:$CC$2,0)=$C$4)*('Sales and count'!$G$3:$CC$3="Total"),INDEX('Sales and count'!$G$4:$CC$300,'Sales Dashboard'!BF78,0)))</f>
        <v>8165.04</v>
      </c>
      <c r="AF79" s="281" cm="1">
        <f t="array" ref="AF79">IF(OR(AB79="",NOT(ISNUMBER('Sales Dashboard'!BG78))),0,SUMPRODUCT(('TY Sales Target'!$K$2:$AO$2=$C$4)*1,INDEX('TY Sales Target'!$K$5:$AO$300,'Sales Dashboard'!BG78,0)))</f>
        <v>10587.872938208995</v>
      </c>
      <c r="AG79" s="281" cm="1">
        <f t="array" ref="AG79">IF(AB79="",0,SUMPRODUCT((TRIM('LY Sales '!$B$5:$B$200)=AB79)*('LY Sales '!$C$2:$AG$2=EDATE($C$4,-12)),'LY Sales '!$C$5:$AG$200))</f>
        <v>7484.38</v>
      </c>
      <c r="AH79" s="271">
        <f t="shared" si="55"/>
        <v>1</v>
      </c>
      <c r="AI79" s="271">
        <f t="shared" si="56"/>
        <v>0</v>
      </c>
      <c r="AJ79" s="271">
        <f t="shared" si="57"/>
        <v>1</v>
      </c>
      <c r="AK79" s="271">
        <f t="shared" si="58"/>
        <v>1</v>
      </c>
      <c r="AL79" s="271">
        <f t="shared" si="59"/>
        <v>1</v>
      </c>
      <c r="AM79" s="306" cm="1">
        <f t="array" ref="AM79">IF(OR(AB79="",NOT(ISNUMBER('Sales Dashboard'!BF78))),0,SUMPRODUCT((IFERROR(--'Sales and count'!$G$2:$CC$2,0)=$F$4)*('Sales and count'!$G$3:$CC$3="Total"),INDEX('Sales and count'!$G$4:$CC$300,'Sales Dashboard'!BF78,0)))</f>
        <v>4287.22</v>
      </c>
      <c r="AN79" s="306" cm="1">
        <f t="array" ref="AN79">IF(OR(AB79="",NOT(ISNUMBER('Sales Dashboard'!BG78))),0,SUMPRODUCT(('TY Sales Target'!$K$2:$AO$2=$F$4)*1,INDEX('TY Sales Target'!$K$5:$AO$300,'Sales Dashboard'!BG78,0)))</f>
        <v>7351.2907317299978</v>
      </c>
      <c r="AO79" s="306" cm="1">
        <f t="array" ref="AO79">IF(AB79="",0,SUMPRODUCT((TRIM('LY Sales '!$B$5:$B$200)=AB79)*('LY Sales '!$C$2:$AG$2=EDATE($F$4,-12)),'LY Sales '!$C$5:$AG$200))</f>
        <v>3991.05</v>
      </c>
      <c r="AP79">
        <f t="shared" si="60"/>
        <v>1</v>
      </c>
      <c r="AQ79">
        <f t="shared" si="61"/>
        <v>0</v>
      </c>
      <c r="AR79">
        <f t="shared" si="62"/>
        <v>1</v>
      </c>
      <c r="AS79">
        <f t="shared" si="63"/>
        <v>1</v>
      </c>
    </row>
    <row r="80" spans="1:45" x14ac:dyDescent="0.25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 t="str">
        <f>IF('Sales Dashboard'!AW79="","",'Sales Dashboard'!AW79)</f>
        <v>JEDDYASMN</v>
      </c>
      <c r="AC80" s="271" t="str">
        <f>IF(AB80="","",'Sales Dashboard'!AN79)</f>
        <v>Saleh Bin Hoiel</v>
      </c>
      <c r="AD80" s="271" t="str">
        <f>IF(AB80="","",'Sales Dashboard'!AO79)</f>
        <v>Jeddah</v>
      </c>
      <c r="AE80" s="281" cm="1">
        <f t="array" ref="AE80">IF(OR(AB80="",NOT(ISNUMBER('Sales Dashboard'!BF79))),0,SUMPRODUCT((IFERROR(--'Sales and count'!$G$2:$CC$2,0)=$C$4)*('Sales and count'!$G$3:$CC$3="Total"),INDEX('Sales and count'!$G$4:$CC$300,'Sales Dashboard'!BF79,0)))</f>
        <v>12677.23</v>
      </c>
      <c r="AF80" s="281" cm="1">
        <f t="array" ref="AF80">IF(OR(AB80="",NOT(ISNUMBER('Sales Dashboard'!BG79))),0,SUMPRODUCT(('TY Sales Target'!$K$2:$AO$2=$C$4)*1,INDEX('TY Sales Target'!$K$5:$AO$300,'Sales Dashboard'!BG79,0)))</f>
        <v>13931.411760801308</v>
      </c>
      <c r="AG80" s="281" cm="1">
        <f t="array" ref="AG80">IF(AB80="",0,SUMPRODUCT((TRIM('LY Sales '!$B$5:$B$200)=AB80)*('LY Sales '!$C$2:$AG$2=EDATE($C$4,-12)),'LY Sales '!$C$5:$AG$200))</f>
        <v>10230.280000000001</v>
      </c>
      <c r="AH80" s="271">
        <f t="shared" si="55"/>
        <v>1</v>
      </c>
      <c r="AI80" s="271">
        <f t="shared" si="56"/>
        <v>1</v>
      </c>
      <c r="AJ80" s="271">
        <f t="shared" si="57"/>
        <v>1</v>
      </c>
      <c r="AK80" s="271">
        <f t="shared" si="58"/>
        <v>1</v>
      </c>
      <c r="AL80" s="271">
        <f t="shared" si="59"/>
        <v>1</v>
      </c>
      <c r="AM80" s="306" cm="1">
        <f t="array" ref="AM80">IF(OR(AB80="",NOT(ISNUMBER('Sales Dashboard'!BF79))),0,SUMPRODUCT((IFERROR(--'Sales and count'!$G$2:$CC$2,0)=$F$4)*('Sales and count'!$G$3:$CC$3="Total"),INDEX('Sales and count'!$G$4:$CC$300,'Sales Dashboard'!BF79,0)))</f>
        <v>2909.11</v>
      </c>
      <c r="AN80" s="306" cm="1">
        <f t="array" ref="AN80">IF(OR(AB80="",NOT(ISNUMBER('Sales Dashboard'!BG79))),0,SUMPRODUCT(('TY Sales Target'!$K$2:$AO$2=$F$4)*1,INDEX('TY Sales Target'!$K$5:$AO$300,'Sales Dashboard'!BG79,0)))</f>
        <v>9672.7509628026291</v>
      </c>
      <c r="AO80" s="306" cm="1">
        <f t="array" ref="AO80">IF(AB80="",0,SUMPRODUCT((TRIM('LY Sales '!$B$5:$B$200)=AB80)*('LY Sales '!$C$2:$AG$2=EDATE($F$4,-12)),'LY Sales '!$C$5:$AG$200))</f>
        <v>4487.08</v>
      </c>
      <c r="AP80">
        <f t="shared" si="60"/>
        <v>1</v>
      </c>
      <c r="AQ80">
        <f t="shared" si="61"/>
        <v>0</v>
      </c>
      <c r="AR80">
        <f t="shared" si="62"/>
        <v>1</v>
      </c>
      <c r="AS80">
        <f t="shared" si="63"/>
        <v>0</v>
      </c>
    </row>
    <row r="81" spans="1:45" x14ac:dyDescent="0.25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 t="str">
        <f>IF('Sales Dashboard'!AW80="","",'Sales Dashboard'!AW80)</f>
        <v>ALSHATEA</v>
      </c>
      <c r="AC81" s="271" t="str">
        <f>IF(AB81="","",'Sales Dashboard'!AN80)</f>
        <v>Saleh Bin Hoiel</v>
      </c>
      <c r="AD81" s="271" t="str">
        <f>IF(AB81="","",'Sales Dashboard'!AO80)</f>
        <v>Jeddah</v>
      </c>
      <c r="AE81" s="281" cm="1">
        <f t="array" ref="AE81">IF(OR(AB81="",NOT(ISNUMBER('Sales Dashboard'!BF80))),0,SUMPRODUCT((IFERROR(--'Sales and count'!$G$2:$CC$2,0)=$C$4)*('Sales and count'!$G$3:$CC$3="Total"),INDEX('Sales and count'!$G$4:$CC$300,'Sales Dashboard'!BF80,0)))</f>
        <v>6872.07</v>
      </c>
      <c r="AF81" s="281" cm="1">
        <f t="array" ref="AF81">IF(OR(AB81="",NOT(ISNUMBER('Sales Dashboard'!BG80))),0,SUMPRODUCT(('TY Sales Target'!$K$2:$AO$2=$C$4)*1,INDEX('TY Sales Target'!$K$5:$AO$300,'Sales Dashboard'!BG80,0)))</f>
        <v>12158.322991244779</v>
      </c>
      <c r="AG81" s="281" cm="1">
        <f t="array" ref="AG81">IF(AB81="",0,SUMPRODUCT((TRIM('LY Sales '!$B$5:$B$200)=AB81)*('LY Sales '!$C$2:$AG$2=EDATE($C$4,-12)),'LY Sales '!$C$5:$AG$200))</f>
        <v>11172.27</v>
      </c>
      <c r="AH81" s="271">
        <f t="shared" si="55"/>
        <v>1</v>
      </c>
      <c r="AI81" s="271">
        <f t="shared" si="56"/>
        <v>0</v>
      </c>
      <c r="AJ81" s="271">
        <f t="shared" si="57"/>
        <v>1</v>
      </c>
      <c r="AK81" s="271">
        <f t="shared" si="58"/>
        <v>0</v>
      </c>
      <c r="AL81" s="271">
        <f t="shared" si="59"/>
        <v>1</v>
      </c>
      <c r="AM81" s="306" cm="1">
        <f t="array" ref="AM81">IF(OR(AB81="",NOT(ISNUMBER('Sales Dashboard'!BF80))),0,SUMPRODUCT((IFERROR(--'Sales and count'!$G$2:$CC$2,0)=$F$4)*('Sales and count'!$G$3:$CC$3="Total"),INDEX('Sales and count'!$G$4:$CC$300,'Sales Dashboard'!BF80,0)))</f>
        <v>2723.14</v>
      </c>
      <c r="AN81" s="306" cm="1">
        <f t="array" ref="AN81">IF(OR(AB81="",NOT(ISNUMBER('Sales Dashboard'!BG80))),0,SUMPRODUCT(('TY Sales Target'!$K$2:$AO$2=$F$4)*1,INDEX('TY Sales Target'!$K$5:$AO$300,'Sales Dashboard'!BG80,0)))</f>
        <v>8441.67356753684</v>
      </c>
      <c r="AO81" s="306" cm="1">
        <f t="array" ref="AO81">IF(AB81="",0,SUMPRODUCT((TRIM('LY Sales '!$B$5:$B$200)=AB81)*('LY Sales '!$C$2:$AG$2=EDATE($F$4,-12)),'LY Sales '!$C$5:$AG$200))</f>
        <v>3743.07</v>
      </c>
      <c r="AP81">
        <f t="shared" si="60"/>
        <v>1</v>
      </c>
      <c r="AQ81">
        <f t="shared" si="61"/>
        <v>0</v>
      </c>
      <c r="AR81">
        <f t="shared" si="62"/>
        <v>1</v>
      </c>
      <c r="AS81">
        <f t="shared" si="63"/>
        <v>0</v>
      </c>
    </row>
    <row r="82" spans="1:45" x14ac:dyDescent="0.25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 t="str">
        <f>IF('Sales Dashboard'!AW81="","",'Sales Dashboard'!AW81)</f>
        <v>HADIYAFAML</v>
      </c>
      <c r="AC82" s="271" t="str">
        <f>IF(AB82="","",'Sales Dashboard'!AN81)</f>
        <v>Maram Zamzami</v>
      </c>
      <c r="AD82" s="271" t="str">
        <f>IF(AB82="","",'Sales Dashboard'!AO81)</f>
        <v>Makkah</v>
      </c>
      <c r="AE82" s="281" cm="1">
        <f t="array" ref="AE82">IF(OR(AB82="",NOT(ISNUMBER('Sales Dashboard'!BF81))),0,SUMPRODUCT((IFERROR(--'Sales and count'!$G$2:$CC$2,0)=$C$4)*('Sales and count'!$G$3:$CC$3="Total"),INDEX('Sales and count'!$G$4:$CC$300,'Sales Dashboard'!BF81,0)))</f>
        <v>4147.0600000000004</v>
      </c>
      <c r="AF82" s="281" cm="1">
        <f t="array" ref="AF82">IF(OR(AB82="",NOT(ISNUMBER('Sales Dashboard'!BG81))),0,SUMPRODUCT(('TY Sales Target'!$K$2:$AO$2=$C$4)*1,INDEX('TY Sales Target'!$K$5:$AO$300,'Sales Dashboard'!BG81,0)))</f>
        <v>6585.7582869242551</v>
      </c>
      <c r="AG82" s="281" cm="1">
        <f t="array" ref="AG82">IF(AB82="",0,SUMPRODUCT((TRIM('LY Sales '!$B$5:$B$200)=AB82)*('LY Sales '!$C$2:$AG$2=EDATE($C$4,-12)),'LY Sales '!$C$5:$AG$200))</f>
        <v>0</v>
      </c>
      <c r="AH82" s="271">
        <f t="shared" si="55"/>
        <v>1</v>
      </c>
      <c r="AI82" s="271">
        <f t="shared" si="56"/>
        <v>0</v>
      </c>
      <c r="AJ82" s="271">
        <f t="shared" si="57"/>
        <v>0</v>
      </c>
      <c r="AK82" s="271">
        <f t="shared" si="58"/>
        <v>0</v>
      </c>
      <c r="AL82" s="271">
        <f t="shared" si="59"/>
        <v>1</v>
      </c>
      <c r="AM82" s="306" cm="1">
        <f t="array" ref="AM82">IF(OR(AB82="",NOT(ISNUMBER('Sales Dashboard'!BF81))),0,SUMPRODUCT((IFERROR(--'Sales and count'!$G$2:$CC$2,0)=$F$4)*('Sales and count'!$G$3:$CC$3="Total"),INDEX('Sales and count'!$G$4:$CC$300,'Sales Dashboard'!BF81,0)))</f>
        <v>956.04</v>
      </c>
      <c r="AN82" s="306" cm="1">
        <f t="array" ref="AN82">IF(OR(AB82="",NOT(ISNUMBER('Sales Dashboard'!BG81))),0,SUMPRODUCT(('TY Sales Target'!$K$2:$AO$2=$F$4)*1,INDEX('TY Sales Target'!$K$5:$AO$300,'Sales Dashboard'!BG81,0)))</f>
        <v>4572.5731824157883</v>
      </c>
      <c r="AO82" s="306" cm="1">
        <f t="array" ref="AO82">IF(AB82="",0,SUMPRODUCT((TRIM('LY Sales '!$B$5:$B$200)=AB82)*('LY Sales '!$C$2:$AG$2=EDATE($F$4,-12)),'LY Sales '!$C$5:$AG$200))</f>
        <v>1625.02</v>
      </c>
      <c r="AP82">
        <f t="shared" si="60"/>
        <v>1</v>
      </c>
      <c r="AQ82">
        <f t="shared" si="61"/>
        <v>0</v>
      </c>
      <c r="AR82">
        <f t="shared" si="62"/>
        <v>1</v>
      </c>
      <c r="AS82">
        <f t="shared" si="63"/>
        <v>0</v>
      </c>
    </row>
    <row r="83" spans="1:45" x14ac:dyDescent="0.25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 t="str">
        <f>IF('Sales Dashboard'!AW82="","",'Sales Dashboard'!AW82)</f>
        <v>SALAMA</v>
      </c>
      <c r="AC83" s="271" t="str">
        <f>IF(AB83="","",'Sales Dashboard'!AN82)</f>
        <v>Saleh Bin Hoiel</v>
      </c>
      <c r="AD83" s="271" t="str">
        <f>IF(AB83="","",'Sales Dashboard'!AO82)</f>
        <v>Jeddah</v>
      </c>
      <c r="AE83" s="281" cm="1">
        <f t="array" ref="AE83">IF(OR(AB83="",NOT(ISNUMBER('Sales Dashboard'!BF82))),0,SUMPRODUCT((IFERROR(--'Sales and count'!$G$2:$CC$2,0)=$C$4)*('Sales and count'!$G$3:$CC$3="Total"),INDEX('Sales and count'!$G$4:$CC$300,'Sales Dashboard'!BF82,0)))</f>
        <v>18407.39</v>
      </c>
      <c r="AF83" s="281" cm="1">
        <f t="array" ref="AF83">IF(OR(AB83="",NOT(ISNUMBER('Sales Dashboard'!BG82))),0,SUMPRODUCT(('TY Sales Target'!$K$2:$AO$2=$C$4)*1,INDEX('TY Sales Target'!$K$5:$AO$300,'Sales Dashboard'!BG82,0)))</f>
        <v>29129.315499857283</v>
      </c>
      <c r="AG83" s="281" cm="1">
        <f t="array" ref="AG83">IF(AB83="",0,SUMPRODUCT((TRIM('LY Sales '!$B$5:$B$200)=AB83)*('LY Sales '!$C$2:$AG$2=EDATE($C$4,-12)),'LY Sales '!$C$5:$AG$200))</f>
        <v>21540.53</v>
      </c>
      <c r="AH83" s="271">
        <f t="shared" si="55"/>
        <v>1</v>
      </c>
      <c r="AI83" s="271">
        <f t="shared" si="56"/>
        <v>0</v>
      </c>
      <c r="AJ83" s="271">
        <f t="shared" si="57"/>
        <v>1</v>
      </c>
      <c r="AK83" s="271">
        <f t="shared" si="58"/>
        <v>0</v>
      </c>
      <c r="AL83" s="271">
        <f t="shared" si="59"/>
        <v>1</v>
      </c>
      <c r="AM83" s="306" cm="1">
        <f t="array" ref="AM83">IF(OR(AB83="",NOT(ISNUMBER('Sales Dashboard'!BF82))),0,SUMPRODUCT((IFERROR(--'Sales and count'!$G$2:$CC$2,0)=$F$4)*('Sales and count'!$G$3:$CC$3="Total"),INDEX('Sales and count'!$G$4:$CC$300,'Sales Dashboard'!BF82,0)))</f>
        <v>7991.55</v>
      </c>
      <c r="AN83" s="306" cm="1">
        <f t="array" ref="AN83">IF(OR(AB83="",NOT(ISNUMBER('Sales Dashboard'!BG82))),0,SUMPRODUCT(('TY Sales Target'!$K$2:$AO$2=$F$4)*1,INDEX('TY Sales Target'!$K$5:$AO$300,'Sales Dashboard'!BG82,0)))</f>
        <v>20224.842922223677</v>
      </c>
      <c r="AO83" s="306" cm="1">
        <f t="array" ref="AO83">IF(AB83="",0,SUMPRODUCT((TRIM('LY Sales '!$B$5:$B$200)=AB83)*('LY Sales '!$C$2:$AG$2=EDATE($F$4,-12)),'LY Sales '!$C$5:$AG$200))</f>
        <v>9897.2000000000007</v>
      </c>
      <c r="AP83">
        <f t="shared" si="60"/>
        <v>1</v>
      </c>
      <c r="AQ83">
        <f t="shared" si="61"/>
        <v>0</v>
      </c>
      <c r="AR83">
        <f t="shared" si="62"/>
        <v>1</v>
      </c>
      <c r="AS83">
        <f t="shared" si="63"/>
        <v>0</v>
      </c>
    </row>
    <row r="84" spans="1:45" x14ac:dyDescent="0.25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 t="str">
        <f>IF('Sales Dashboard'!AW83="","",'Sales Dashboard'!AW83)</f>
        <v>HALAVANDAP</v>
      </c>
      <c r="AC84" s="271" t="str">
        <f>IF(AB84="","",'Sales Dashboard'!AN83)</f>
        <v>Ahmed Jaffari</v>
      </c>
      <c r="AD84" s="271" t="str">
        <f>IF(AB84="","",'Sales Dashboard'!AO83)</f>
        <v>Abha</v>
      </c>
      <c r="AE84" s="281" cm="1">
        <f t="array" ref="AE84">IF(OR(AB84="",NOT(ISNUMBER('Sales Dashboard'!BF83))),0,SUMPRODUCT((IFERROR(--'Sales and count'!$G$2:$CC$2,0)=$C$4)*('Sales and count'!$G$3:$CC$3="Total"),INDEX('Sales and count'!$G$4:$CC$300,'Sales Dashboard'!BF83,0)))</f>
        <v>5323.09</v>
      </c>
      <c r="AF84" s="281" cm="1">
        <f t="array" ref="AF84">IF(OR(AB84="",NOT(ISNUMBER('Sales Dashboard'!BG83))),0,SUMPRODUCT(('TY Sales Target'!$K$2:$AO$2=$C$4)*1,INDEX('TY Sales Target'!$K$5:$AO$300,'Sales Dashboard'!BG83,0)))</f>
        <v>7598.9518695279867</v>
      </c>
      <c r="AG84" s="281" cm="1">
        <f t="array" ref="AG84">IF(AB84="",0,SUMPRODUCT((TRIM('LY Sales '!$B$5:$B$200)=AB84)*('LY Sales '!$C$2:$AG$2=EDATE($C$4,-12)),'LY Sales '!$C$5:$AG$200))</f>
        <v>0</v>
      </c>
      <c r="AH84" s="271">
        <f t="shared" si="55"/>
        <v>1</v>
      </c>
      <c r="AI84" s="271">
        <f t="shared" si="56"/>
        <v>0</v>
      </c>
      <c r="AJ84" s="271">
        <f t="shared" si="57"/>
        <v>0</v>
      </c>
      <c r="AK84" s="271">
        <f t="shared" si="58"/>
        <v>0</v>
      </c>
      <c r="AL84" s="271">
        <f t="shared" si="59"/>
        <v>1</v>
      </c>
      <c r="AM84" s="306" cm="1">
        <f t="array" ref="AM84">IF(OR(AB84="",NOT(ISNUMBER('Sales Dashboard'!BF83))),0,SUMPRODUCT((IFERROR(--'Sales and count'!$G$2:$CC$2,0)=$F$4)*('Sales and count'!$G$3:$CC$3="Total"),INDEX('Sales and count'!$G$4:$CC$300,'Sales Dashboard'!BF83,0)))</f>
        <v>1451.07</v>
      </c>
      <c r="AN84" s="306" cm="1">
        <f t="array" ref="AN84">IF(OR(AB84="",NOT(ISNUMBER('Sales Dashboard'!BG83))),0,SUMPRODUCT(('TY Sales Target'!$K$2:$AO$2=$F$4)*1,INDEX('TY Sales Target'!$K$5:$AO$300,'Sales Dashboard'!BG83,0)))</f>
        <v>5276.045979710525</v>
      </c>
      <c r="AO84" s="306" cm="1">
        <f t="array" ref="AO84">IF(AB84="",0,SUMPRODUCT((TRIM('LY Sales '!$B$5:$B$200)=AB84)*('LY Sales '!$C$2:$AG$2=EDATE($F$4,-12)),'LY Sales '!$C$5:$AG$200))</f>
        <v>0</v>
      </c>
      <c r="AP84">
        <f t="shared" si="60"/>
        <v>1</v>
      </c>
      <c r="AQ84">
        <f t="shared" si="61"/>
        <v>0</v>
      </c>
      <c r="AR84">
        <f t="shared" si="62"/>
        <v>0</v>
      </c>
      <c r="AS84">
        <f t="shared" si="63"/>
        <v>0</v>
      </c>
    </row>
    <row r="85" spans="1:45" x14ac:dyDescent="0.25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 t="str">
        <f>IF('Sales Dashboard'!AW84="","",'Sales Dashboard'!AW84)</f>
        <v>HANAJRPAR</v>
      </c>
      <c r="AC85" s="271" t="str">
        <f>IF(AB85="","",'Sales Dashboard'!AN84)</f>
        <v>Ahmed Jaffari</v>
      </c>
      <c r="AD85" s="271" t="str">
        <f>IF(AB85="","",'Sales Dashboard'!AO84)</f>
        <v>Najran</v>
      </c>
      <c r="AE85" s="281" cm="1">
        <f t="array" ref="AE85">IF(OR(AB85="",NOT(ISNUMBER('Sales Dashboard'!BF84))),0,SUMPRODUCT((IFERROR(--'Sales and count'!$G$2:$CC$2,0)=$C$4)*('Sales and count'!$G$3:$CC$3="Total"),INDEX('Sales and count'!$G$4:$CC$300,'Sales Dashboard'!BF84,0)))</f>
        <v>10598.34</v>
      </c>
      <c r="AF85" s="281" cm="1">
        <f t="array" ref="AF85">IF(OR(AB85="",NOT(ISNUMBER('Sales Dashboard'!BG84))),0,SUMPRODUCT(('TY Sales Target'!$K$2:$AO$2=$C$4)*1,INDEX('TY Sales Target'!$K$5:$AO$300,'Sales Dashboard'!BG84,0)))</f>
        <v>16211.097321659705</v>
      </c>
      <c r="AG85" s="281" cm="1">
        <f t="array" ref="AG85">IF(AB85="",0,SUMPRODUCT((TRIM('LY Sales '!$B$5:$B$200)=AB85)*('LY Sales '!$C$2:$AG$2=EDATE($C$4,-12)),'LY Sales '!$C$5:$AG$200))</f>
        <v>15535.31</v>
      </c>
      <c r="AH85" s="271">
        <f t="shared" si="55"/>
        <v>1</v>
      </c>
      <c r="AI85" s="271">
        <f t="shared" si="56"/>
        <v>0</v>
      </c>
      <c r="AJ85" s="271">
        <f t="shared" si="57"/>
        <v>1</v>
      </c>
      <c r="AK85" s="271">
        <f t="shared" si="58"/>
        <v>0</v>
      </c>
      <c r="AL85" s="271">
        <f t="shared" si="59"/>
        <v>1</v>
      </c>
      <c r="AM85" s="306" cm="1">
        <f t="array" ref="AM85">IF(OR(AB85="",NOT(ISNUMBER('Sales Dashboard'!BF84))),0,SUMPRODUCT((IFERROR(--'Sales and count'!$G$2:$CC$2,0)=$F$4)*('Sales and count'!$G$3:$CC$3="Total"),INDEX('Sales and count'!$G$4:$CC$300,'Sales Dashboard'!BF84,0)))</f>
        <v>5065.3100000000004</v>
      </c>
      <c r="AN85" s="306" cm="1">
        <f t="array" ref="AN85">IF(OR(AB85="",NOT(ISNUMBER('Sales Dashboard'!BG84))),0,SUMPRODUCT(('TY Sales Target'!$K$2:$AO$2=$F$4)*1,INDEX('TY Sales Target'!$K$5:$AO$300,'Sales Dashboard'!BG84,0)))</f>
        <v>11255.564756715785</v>
      </c>
      <c r="AO85" s="306" cm="1">
        <f t="array" ref="AO85">IF(AB85="",0,SUMPRODUCT((TRIM('LY Sales '!$B$5:$B$200)=AB85)*('LY Sales '!$C$2:$AG$2=EDATE($F$4,-12)),'LY Sales '!$C$5:$AG$200))</f>
        <v>5483.08</v>
      </c>
      <c r="AP85">
        <f t="shared" si="60"/>
        <v>1</v>
      </c>
      <c r="AQ85">
        <f t="shared" si="61"/>
        <v>0</v>
      </c>
      <c r="AR85">
        <f t="shared" si="62"/>
        <v>1</v>
      </c>
      <c r="AS85">
        <f t="shared" si="63"/>
        <v>0</v>
      </c>
    </row>
    <row r="86" spans="1:45" x14ac:dyDescent="0.25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 t="str">
        <f>IF('Sales Dashboard'!AW85="","",'Sales Dashboard'!AW85)</f>
        <v>MADNOOR</v>
      </c>
      <c r="AC86" s="271" t="str">
        <f>IF(AB86="","",'Sales Dashboard'!AN85)</f>
        <v>Mohammed Haidar</v>
      </c>
      <c r="AD86" s="271" t="str">
        <f>IF(AB86="","",'Sales Dashboard'!AO85)</f>
        <v>Madinah</v>
      </c>
      <c r="AE86" s="281" cm="1">
        <f t="array" ref="AE86">IF(OR(AB86="",NOT(ISNUMBER('Sales Dashboard'!BF85))),0,SUMPRODUCT((IFERROR(--'Sales and count'!$G$2:$CC$2,0)=$C$4)*('Sales and count'!$G$3:$CC$3="Total"),INDEX('Sales and count'!$G$4:$CC$300,'Sales Dashboard'!BF85,0)))</f>
        <v>5000.04</v>
      </c>
      <c r="AF86" s="281" cm="1">
        <f t="array" ref="AF86">IF(OR(AB86="",NOT(ISNUMBER('Sales Dashboard'!BG85))),0,SUMPRODUCT(('TY Sales Target'!$K$2:$AO$2=$C$4)*1,INDEX('TY Sales Target'!$K$5:$AO$300,'Sales Dashboard'!BG85,0)))</f>
        <v>12867.558499067391</v>
      </c>
      <c r="AG86" s="281" cm="1">
        <f t="array" ref="AG86">IF(AB86="",0,SUMPRODUCT((TRIM('LY Sales '!$B$5:$B$200)=AB86)*('LY Sales '!$C$2:$AG$2=EDATE($C$4,-12)),'LY Sales '!$C$5:$AG$200))</f>
        <v>16036.55</v>
      </c>
      <c r="AH86" s="271">
        <f t="shared" si="55"/>
        <v>1</v>
      </c>
      <c r="AI86" s="271">
        <f t="shared" si="56"/>
        <v>0</v>
      </c>
      <c r="AJ86" s="271">
        <f t="shared" si="57"/>
        <v>1</v>
      </c>
      <c r="AK86" s="271">
        <f t="shared" si="58"/>
        <v>0</v>
      </c>
      <c r="AL86" s="271">
        <f t="shared" si="59"/>
        <v>1</v>
      </c>
      <c r="AM86" s="306" cm="1">
        <f t="array" ref="AM86">IF(OR(AB86="",NOT(ISNUMBER('Sales Dashboard'!BF85))),0,SUMPRODUCT((IFERROR(--'Sales and count'!$G$2:$CC$2,0)=$F$4)*('Sales and count'!$G$3:$CC$3="Total"),INDEX('Sales and count'!$G$4:$CC$300,'Sales Dashboard'!BF85,0)))</f>
        <v>5574.45</v>
      </c>
      <c r="AN86" s="306" cm="1">
        <f t="array" ref="AN86">IF(OR(AB86="",NOT(ISNUMBER('Sales Dashboard'!BG85))),0,SUMPRODUCT(('TY Sales Target'!$K$2:$AO$2=$F$4)*1,INDEX('TY Sales Target'!$K$5:$AO$300,'Sales Dashboard'!BG85,0)))</f>
        <v>8934.1045256431553</v>
      </c>
      <c r="AO86" s="306" cm="1">
        <f t="array" ref="AO86">IF(AB86="",0,SUMPRODUCT((TRIM('LY Sales '!$B$5:$B$200)=AB86)*('LY Sales '!$C$2:$AG$2=EDATE($F$4,-12)),'LY Sales '!$C$5:$AG$200))</f>
        <v>5601.11</v>
      </c>
      <c r="AP86">
        <f t="shared" si="60"/>
        <v>1</v>
      </c>
      <c r="AQ86">
        <f t="shared" si="61"/>
        <v>0</v>
      </c>
      <c r="AR86">
        <f t="shared" si="62"/>
        <v>1</v>
      </c>
      <c r="AS86">
        <f t="shared" si="63"/>
        <v>0</v>
      </c>
    </row>
    <row r="87" spans="1:45" x14ac:dyDescent="0.25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 t="str">
        <f>IF('Sales Dashboard'!AW86="","",'Sales Dashboard'!AW86)</f>
        <v>HAARARSOQ</v>
      </c>
      <c r="AC87" s="271" t="str">
        <f>IF(AB87="","",'Sales Dashboard'!AN86)</f>
        <v>Mohammed Sanad</v>
      </c>
      <c r="AD87" s="271" t="str">
        <f>IF(AB87="","",'Sales Dashboard'!AO86)</f>
        <v>Arar</v>
      </c>
      <c r="AE87" s="281" cm="1">
        <f t="array" ref="AE87">IF(OR(AB87="",NOT(ISNUMBER('Sales Dashboard'!BF86))),0,SUMPRODUCT((IFERROR(--'Sales and count'!$G$2:$CC$2,0)=$C$4)*('Sales and count'!$G$3:$CC$3="Total"),INDEX('Sales and count'!$G$4:$CC$300,'Sales Dashboard'!BF86,0)))</f>
        <v>4970.1499999999996</v>
      </c>
      <c r="AF87" s="281" cm="1">
        <f t="array" ref="AF87">IF(OR(AB87="",NOT(ISNUMBER('Sales Dashboard'!BG86))),0,SUMPRODUCT(('TY Sales Target'!$K$2:$AO$2=$C$4)*1,INDEX('TY Sales Target'!$K$5:$AO$300,'Sales Dashboard'!BG86,0)))</f>
        <v>6231.1405330129492</v>
      </c>
      <c r="AG87" s="281" cm="1">
        <f t="array" ref="AG87">IF(AB87="",0,SUMPRODUCT((TRIM('LY Sales '!$B$5:$B$200)=AB87)*('LY Sales '!$C$2:$AG$2=EDATE($C$4,-12)),'LY Sales '!$C$5:$AG$200))</f>
        <v>0</v>
      </c>
      <c r="AH87" s="271">
        <f t="shared" si="55"/>
        <v>1</v>
      </c>
      <c r="AI87" s="271">
        <f t="shared" si="56"/>
        <v>0</v>
      </c>
      <c r="AJ87" s="271">
        <f t="shared" si="57"/>
        <v>0</v>
      </c>
      <c r="AK87" s="271">
        <f t="shared" si="58"/>
        <v>0</v>
      </c>
      <c r="AL87" s="271">
        <f t="shared" si="59"/>
        <v>1</v>
      </c>
      <c r="AM87" s="306" cm="1">
        <f t="array" ref="AM87">IF(OR(AB87="",NOT(ISNUMBER('Sales Dashboard'!BF86))),0,SUMPRODUCT((IFERROR(--'Sales and count'!$G$2:$CC$2,0)=$F$4)*('Sales and count'!$G$3:$CC$3="Total"),INDEX('Sales and count'!$G$4:$CC$300,'Sales Dashboard'!BF86,0)))</f>
        <v>1084.03</v>
      </c>
      <c r="AN87" s="306" cm="1">
        <f t="array" ref="AN87">IF(OR(AB87="",NOT(ISNUMBER('Sales Dashboard'!BG86))),0,SUMPRODUCT(('TY Sales Target'!$K$2:$AO$2=$F$4)*1,INDEX('TY Sales Target'!$K$5:$AO$300,'Sales Dashboard'!BG86,0)))</f>
        <v>4326.3577033626298</v>
      </c>
      <c r="AO87" s="306" cm="1">
        <f t="array" ref="AO87">IF(AB87="",0,SUMPRODUCT((TRIM('LY Sales '!$B$5:$B$200)=AB87)*('LY Sales '!$C$2:$AG$2=EDATE($F$4,-12)),'LY Sales '!$C$5:$AG$200))</f>
        <v>0</v>
      </c>
      <c r="AP87">
        <f t="shared" si="60"/>
        <v>1</v>
      </c>
      <c r="AQ87">
        <f t="shared" si="61"/>
        <v>0</v>
      </c>
      <c r="AR87">
        <f t="shared" si="62"/>
        <v>0</v>
      </c>
      <c r="AS87">
        <f t="shared" si="63"/>
        <v>0</v>
      </c>
    </row>
    <row r="88" spans="1:45" x14ac:dyDescent="0.25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 t="str">
        <f>IF('Sales Dashboard'!AW87="","",'Sales Dashboard'!AW87)</f>
        <v>HARASHABH</v>
      </c>
      <c r="AC88" s="271" t="str">
        <f>IF(AB88="","",'Sales Dashboard'!AN87)</f>
        <v>Ahmed Jaffari</v>
      </c>
      <c r="AD88" s="271" t="str">
        <f>IF(AB88="","",'Sales Dashboard'!AO87)</f>
        <v>Abha</v>
      </c>
      <c r="AE88" s="281" cm="1">
        <f t="array" ref="AE88">IF(OR(AB88="",NOT(ISNUMBER('Sales Dashboard'!BF87))),0,SUMPRODUCT((IFERROR(--'Sales and count'!$G$2:$CC$2,0)=$C$4)*('Sales and count'!$G$3:$CC$3="Total"),INDEX('Sales and count'!$G$4:$CC$300,'Sales Dashboard'!BF87,0)))</f>
        <v>12143.26</v>
      </c>
      <c r="AF88" s="281" cm="1">
        <f t="array" ref="AF88">IF(OR(AB88="",NOT(ISNUMBER('Sales Dashboard'!BG87))),0,SUMPRODUCT(('TY Sales Target'!$K$2:$AO$2=$C$4)*1,INDEX('TY Sales Target'!$K$5:$AO$300,'Sales Dashboard'!BG87,0)))</f>
        <v>17730.887695565303</v>
      </c>
      <c r="AG88" s="281" cm="1">
        <f t="array" ref="AG88">IF(AB88="",0,SUMPRODUCT((TRIM('LY Sales '!$B$5:$B$200)=AB88)*('LY Sales '!$C$2:$AG$2=EDATE($C$4,-12)),'LY Sales '!$C$5:$AG$200))</f>
        <v>0</v>
      </c>
      <c r="AH88" s="271">
        <f t="shared" si="55"/>
        <v>1</v>
      </c>
      <c r="AI88" s="271">
        <f t="shared" si="56"/>
        <v>0</v>
      </c>
      <c r="AJ88" s="271">
        <f t="shared" si="57"/>
        <v>0</v>
      </c>
      <c r="AK88" s="271">
        <f t="shared" si="58"/>
        <v>0</v>
      </c>
      <c r="AL88" s="271">
        <f t="shared" si="59"/>
        <v>1</v>
      </c>
      <c r="AM88" s="306" cm="1">
        <f t="array" ref="AM88">IF(OR(AB88="",NOT(ISNUMBER('Sales Dashboard'!BF87))),0,SUMPRODUCT((IFERROR(--'Sales and count'!$G$2:$CC$2,0)=$F$4)*('Sales and count'!$G$3:$CC$3="Total"),INDEX('Sales and count'!$G$4:$CC$300,'Sales Dashboard'!BF87,0)))</f>
        <v>2326.15</v>
      </c>
      <c r="AN88" s="306" cm="1">
        <f t="array" ref="AN88">IF(OR(AB88="",NOT(ISNUMBER('Sales Dashboard'!BG87))),0,SUMPRODUCT(('TY Sales Target'!$K$2:$AO$2=$F$4)*1,INDEX('TY Sales Target'!$K$5:$AO$300,'Sales Dashboard'!BG87,0)))</f>
        <v>12310.77395265789</v>
      </c>
      <c r="AO88" s="306" cm="1">
        <f t="array" ref="AO88">IF(AB88="",0,SUMPRODUCT((TRIM('LY Sales '!$B$5:$B$200)=AB88)*('LY Sales '!$C$2:$AG$2=EDATE($F$4,-12)),'LY Sales '!$C$5:$AG$200))</f>
        <v>0</v>
      </c>
      <c r="AP88">
        <f t="shared" si="60"/>
        <v>1</v>
      </c>
      <c r="AQ88">
        <f t="shared" si="61"/>
        <v>0</v>
      </c>
      <c r="AR88">
        <f t="shared" si="62"/>
        <v>0</v>
      </c>
      <c r="AS88">
        <f t="shared" si="63"/>
        <v>0</v>
      </c>
    </row>
    <row r="89" spans="1:45" x14ac:dyDescent="0.25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 t="str">
        <f>IF('Sales Dashboard'!AW88="","",'Sales Dashboard'!AW88)</f>
        <v>HATHEGATE</v>
      </c>
      <c r="AC89" s="271" t="str">
        <f>IF(AB89="","",'Sales Dashboard'!AN88)</f>
        <v>Mohammed Haidar</v>
      </c>
      <c r="AD89" s="271" t="str">
        <f>IF(AB89="","",'Sales Dashboard'!AO88)</f>
        <v>Madinah</v>
      </c>
      <c r="AE89" s="281" cm="1">
        <f t="array" ref="AE89">IF(OR(AB89="",NOT(ISNUMBER('Sales Dashboard'!BF88))),0,SUMPRODUCT((IFERROR(--'Sales and count'!$G$2:$CC$2,0)=$C$4)*('Sales and count'!$G$3:$CC$3="Total"),INDEX('Sales and count'!$G$4:$CC$300,'Sales Dashboard'!BF88,0)))</f>
        <v>749.02</v>
      </c>
      <c r="AF89" s="281" cm="1">
        <f t="array" ref="AF89">IF(OR(AB89="",NOT(ISNUMBER('Sales Dashboard'!BG88))),0,SUMPRODUCT(('TY Sales Target'!$K$2:$AO$2=$C$4)*1,INDEX('TY Sales Target'!$K$5:$AO$300,'Sales Dashboard'!BG88,0)))</f>
        <v>3039.5807478111947</v>
      </c>
      <c r="AG89" s="281" cm="1">
        <f t="array" ref="AG89">IF(AB89="",0,SUMPRODUCT((TRIM('LY Sales '!$B$5:$B$200)=AB89)*('LY Sales '!$C$2:$AG$2=EDATE($C$4,-12)),'LY Sales '!$C$5:$AG$200))</f>
        <v>0</v>
      </c>
      <c r="AH89" s="271">
        <f t="shared" si="55"/>
        <v>1</v>
      </c>
      <c r="AI89" s="271">
        <f t="shared" si="56"/>
        <v>0</v>
      </c>
      <c r="AJ89" s="271">
        <f t="shared" si="57"/>
        <v>0</v>
      </c>
      <c r="AK89" s="271">
        <f t="shared" si="58"/>
        <v>0</v>
      </c>
      <c r="AL89" s="271">
        <f t="shared" si="59"/>
        <v>1</v>
      </c>
      <c r="AM89" s="306" cm="1">
        <f t="array" ref="AM89">IF(OR(AB89="",NOT(ISNUMBER('Sales Dashboard'!BF88))),0,SUMPRODUCT((IFERROR(--'Sales and count'!$G$2:$CC$2,0)=$F$4)*('Sales and count'!$G$3:$CC$3="Total"),INDEX('Sales and count'!$G$4:$CC$300,'Sales Dashboard'!BF88,0)))</f>
        <v>572.04</v>
      </c>
      <c r="AN89" s="306" cm="1">
        <f t="array" ref="AN89">IF(OR(AB89="",NOT(ISNUMBER('Sales Dashboard'!BG88))),0,SUMPRODUCT(('TY Sales Target'!$K$2:$AO$2=$F$4)*1,INDEX('TY Sales Target'!$K$5:$AO$300,'Sales Dashboard'!BG88,0)))</f>
        <v>2110.41839188421</v>
      </c>
      <c r="AO89" s="306" cm="1">
        <f t="array" ref="AO89">IF(AB89="",0,SUMPRODUCT((TRIM('LY Sales '!$B$5:$B$200)=AB89)*('LY Sales '!$C$2:$AG$2=EDATE($F$4,-12)),'LY Sales '!$C$5:$AG$200))</f>
        <v>0</v>
      </c>
      <c r="AP89">
        <f t="shared" si="60"/>
        <v>1</v>
      </c>
      <c r="AQ89">
        <f t="shared" si="61"/>
        <v>0</v>
      </c>
      <c r="AR89">
        <f t="shared" si="62"/>
        <v>0</v>
      </c>
      <c r="AS89">
        <f t="shared" si="63"/>
        <v>0</v>
      </c>
    </row>
    <row r="90" spans="1:45" x14ac:dyDescent="0.25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 t="str">
        <f>IF('Sales Dashboard'!AW89="","",'Sales Dashboard'!AW89)</f>
        <v>HASOUQBRZ</v>
      </c>
      <c r="AC90" s="271" t="str">
        <f>IF(AB90="","",'Sales Dashboard'!AN89)</f>
        <v>Mohammed Sanad</v>
      </c>
      <c r="AD90" s="271" t="str">
        <f>IF(AB90="","",'Sales Dashboard'!AO89)</f>
        <v>Hail</v>
      </c>
      <c r="AE90" s="281" cm="1">
        <f t="array" ref="AE90">IF(OR(AB90="",NOT(ISNUMBER('Sales Dashboard'!BF89))),0,SUMPRODUCT((IFERROR(--'Sales and count'!$G$2:$CC$2,0)=$C$4)*('Sales and count'!$G$3:$CC$3="Total"),INDEX('Sales and count'!$G$4:$CC$300,'Sales Dashboard'!BF89,0)))</f>
        <v>4204.1099999999997</v>
      </c>
      <c r="AF90" s="281" cm="1">
        <f t="array" ref="AF90">IF(OR(AB90="",NOT(ISNUMBER('Sales Dashboard'!BG89))),0,SUMPRODUCT(('TY Sales Target'!$K$2:$AO$2=$C$4)*1,INDEX('TY Sales Target'!$K$5:$AO$300,'Sales Dashboard'!BG89,0)))</f>
        <v>6231.1405330129492</v>
      </c>
      <c r="AG90" s="281" cm="1">
        <f t="array" ref="AG90">IF(AB90="",0,SUMPRODUCT((TRIM('LY Sales '!$B$5:$B$200)=AB90)*('LY Sales '!$C$2:$AG$2=EDATE($C$4,-12)),'LY Sales '!$C$5:$AG$200))</f>
        <v>0</v>
      </c>
      <c r="AH90" s="271">
        <f t="shared" si="55"/>
        <v>1</v>
      </c>
      <c r="AI90" s="271">
        <f t="shared" si="56"/>
        <v>0</v>
      </c>
      <c r="AJ90" s="271">
        <f t="shared" si="57"/>
        <v>0</v>
      </c>
      <c r="AK90" s="271">
        <f t="shared" si="58"/>
        <v>0</v>
      </c>
      <c r="AL90" s="271">
        <f t="shared" si="59"/>
        <v>1</v>
      </c>
      <c r="AM90" s="306" cm="1">
        <f t="array" ref="AM90">IF(OR(AB90="",NOT(ISNUMBER('Sales Dashboard'!BF89))),0,SUMPRODUCT((IFERROR(--'Sales and count'!$G$2:$CC$2,0)=$F$4)*('Sales and count'!$G$3:$CC$3="Total"),INDEX('Sales and count'!$G$4:$CC$300,'Sales Dashboard'!BF89,0)))</f>
        <v>1720.11</v>
      </c>
      <c r="AN90" s="306" cm="1">
        <f t="array" ref="AN90">IF(OR(AB90="",NOT(ISNUMBER('Sales Dashboard'!BG89))),0,SUMPRODUCT(('TY Sales Target'!$K$2:$AO$2=$F$4)*1,INDEX('TY Sales Target'!$K$5:$AO$300,'Sales Dashboard'!BG89,0)))</f>
        <v>4326.3577033626298</v>
      </c>
      <c r="AO90" s="306" cm="1">
        <f t="array" ref="AO90">IF(AB90="",0,SUMPRODUCT((TRIM('LY Sales '!$B$5:$B$200)=AB90)*('LY Sales '!$C$2:$AG$2=EDATE($F$4,-12)),'LY Sales '!$C$5:$AG$200))</f>
        <v>0</v>
      </c>
      <c r="AP90">
        <f t="shared" si="60"/>
        <v>1</v>
      </c>
      <c r="AQ90">
        <f t="shared" si="61"/>
        <v>0</v>
      </c>
      <c r="AR90">
        <f t="shared" si="62"/>
        <v>0</v>
      </c>
      <c r="AS90">
        <f t="shared" si="63"/>
        <v>0</v>
      </c>
    </row>
    <row r="91" spans="1:45" x14ac:dyDescent="0.25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 t="str">
        <f>IF('Sales Dashboard'!AW90="","",'Sales Dashboard'!AW90)</f>
        <v>SHIHAR</v>
      </c>
      <c r="AC91" s="271" t="str">
        <f>IF(AB91="","",'Sales Dashboard'!AN90)</f>
        <v>Saleh Bin Hoiel</v>
      </c>
      <c r="AD91" s="271" t="str">
        <f>IF(AB91="","",'Sales Dashboard'!AO90)</f>
        <v>Taif</v>
      </c>
      <c r="AE91" s="281" cm="1">
        <f t="array" ref="AE91">IF(OR(AB91="",NOT(ISNUMBER('Sales Dashboard'!BF90))),0,SUMPRODUCT((IFERROR(--'Sales and count'!$G$2:$CC$2,0)=$C$4)*('Sales and count'!$G$3:$CC$3="Total"),INDEX('Sales and count'!$G$4:$CC$300,'Sales Dashboard'!BF90,0)))</f>
        <v>14083.15</v>
      </c>
      <c r="AF91" s="281" cm="1">
        <f t="array" ref="AF91">IF(OR(AB91="",NOT(ISNUMBER('Sales Dashboard'!BG90))),0,SUMPRODUCT(('TY Sales Target'!$K$2:$AO$2=$C$4)*1,INDEX('TY Sales Target'!$K$5:$AO$300,'Sales Dashboard'!BG90,0)))</f>
        <v>20711.528006330791</v>
      </c>
      <c r="AG91" s="281" cm="1">
        <f t="array" ref="AG91">IF(AB91="",0,SUMPRODUCT((TRIM('LY Sales '!$B$5:$B$200)=AB91)*('LY Sales '!$C$2:$AG$2=EDATE($C$4,-12)),'LY Sales '!$C$5:$AG$200))</f>
        <v>19226.439999999999</v>
      </c>
      <c r="AH91" s="271">
        <f t="shared" si="55"/>
        <v>1</v>
      </c>
      <c r="AI91" s="271">
        <f t="shared" si="56"/>
        <v>0</v>
      </c>
      <c r="AJ91" s="271">
        <f t="shared" si="57"/>
        <v>1</v>
      </c>
      <c r="AK91" s="271">
        <f t="shared" si="58"/>
        <v>0</v>
      </c>
      <c r="AL91" s="271">
        <f t="shared" si="59"/>
        <v>1</v>
      </c>
      <c r="AM91" s="306" cm="1">
        <f t="array" ref="AM91">IF(OR(AB91="",NOT(ISNUMBER('Sales Dashboard'!BF90))),0,SUMPRODUCT((IFERROR(--'Sales and count'!$G$2:$CC$2,0)=$F$4)*('Sales and count'!$G$3:$CC$3="Total"),INDEX('Sales and count'!$G$4:$CC$300,'Sales Dashboard'!BF90,0)))</f>
        <v>3261.2</v>
      </c>
      <c r="AN91" s="306" cm="1">
        <f t="array" ref="AN91">IF(OR(AB91="",NOT(ISNUMBER('Sales Dashboard'!BG90))),0,SUMPRODUCT(('TY Sales Target'!$K$2:$AO$2=$F$4)*1,INDEX('TY Sales Target'!$K$5:$AO$300,'Sales Dashboard'!BG90,0)))</f>
        <v>14380.269272353107</v>
      </c>
      <c r="AO91" s="306" cm="1">
        <f t="array" ref="AO91">IF(AB91="",0,SUMPRODUCT((TRIM('LY Sales '!$B$5:$B$200)=AB91)*('LY Sales '!$C$2:$AG$2=EDATE($F$4,-12)),'LY Sales '!$C$5:$AG$200))</f>
        <v>7675.02</v>
      </c>
      <c r="AP91">
        <f t="shared" si="60"/>
        <v>1</v>
      </c>
      <c r="AQ91">
        <f t="shared" si="61"/>
        <v>0</v>
      </c>
      <c r="AR91">
        <f t="shared" si="62"/>
        <v>1</v>
      </c>
      <c r="AS91">
        <f t="shared" si="63"/>
        <v>0</v>
      </c>
    </row>
    <row r="92" spans="1:45" x14ac:dyDescent="0.25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 t="str">
        <f>IF('Sales Dashboard'!AW91="","",'Sales Dashboard'!AW91)</f>
        <v>HARYDGALL</v>
      </c>
      <c r="AC92" s="271" t="str">
        <f>IF(AB92="","",'Sales Dashboard'!AN91)</f>
        <v>Lina Al Ghathami</v>
      </c>
      <c r="AD92" s="271" t="str">
        <f>IF(AB92="","",'Sales Dashboard'!AO91)</f>
        <v>Riyadh</v>
      </c>
      <c r="AE92" s="281" cm="1">
        <f t="array" ref="AE92">IF(OR(AB92="",NOT(ISNUMBER('Sales Dashboard'!BF91))),0,SUMPRODUCT((IFERROR(--'Sales and count'!$G$2:$CC$2,0)=$C$4)*('Sales and count'!$G$3:$CC$3="Total"),INDEX('Sales and count'!$G$4:$CC$300,'Sales Dashboard'!BF91,0)))</f>
        <v>6058.09</v>
      </c>
      <c r="AF92" s="281" cm="1">
        <f t="array" ref="AF92">IF(OR(AB92="",NOT(ISNUMBER('Sales Dashboard'!BG91))),0,SUMPRODUCT(('TY Sales Target'!$K$2:$AO$2=$C$4)*1,INDEX('TY Sales Target'!$K$5:$AO$300,'Sales Dashboard'!BG91,0)))</f>
        <v>10233.255184297688</v>
      </c>
      <c r="AG92" s="281" cm="1">
        <f t="array" ref="AG92">IF(AB92="",0,SUMPRODUCT((TRIM('LY Sales '!$B$5:$B$200)=AB92)*('LY Sales '!$C$2:$AG$2=EDATE($C$4,-12)),'LY Sales '!$C$5:$AG$200))</f>
        <v>6471.13</v>
      </c>
      <c r="AH92" s="271">
        <f t="shared" si="55"/>
        <v>1</v>
      </c>
      <c r="AI92" s="271">
        <f t="shared" si="56"/>
        <v>0</v>
      </c>
      <c r="AJ92" s="271">
        <f t="shared" si="57"/>
        <v>1</v>
      </c>
      <c r="AK92" s="271">
        <f t="shared" si="58"/>
        <v>0</v>
      </c>
      <c r="AL92" s="271">
        <f t="shared" si="59"/>
        <v>1</v>
      </c>
      <c r="AM92" s="306" cm="1">
        <f t="array" ref="AM92">IF(OR(AB92="",NOT(ISNUMBER('Sales Dashboard'!BF91))),0,SUMPRODUCT((IFERROR(--'Sales and count'!$G$2:$CC$2,0)=$F$4)*('Sales and count'!$G$3:$CC$3="Total"),INDEX('Sales and count'!$G$4:$CC$300,'Sales Dashboard'!BF91,0)))</f>
        <v>2290.09</v>
      </c>
      <c r="AN92" s="306" cm="1">
        <f t="array" ref="AN92">IF(OR(AB92="",NOT(ISNUMBER('Sales Dashboard'!BG91))),0,SUMPRODUCT(('TY Sales Target'!$K$2:$AO$2=$F$4)*1,INDEX('TY Sales Target'!$K$5:$AO$300,'Sales Dashboard'!BG91,0)))</f>
        <v>7105.0752526768401</v>
      </c>
      <c r="AO92" s="306" cm="1">
        <f t="array" ref="AO92">IF(AB92="",0,SUMPRODUCT((TRIM('LY Sales '!$B$5:$B$200)=AB92)*('LY Sales '!$C$2:$AG$2=EDATE($F$4,-12)),'LY Sales '!$C$5:$AG$200))</f>
        <v>2417.02</v>
      </c>
      <c r="AP92">
        <f t="shared" si="60"/>
        <v>1</v>
      </c>
      <c r="AQ92">
        <f t="shared" si="61"/>
        <v>0</v>
      </c>
      <c r="AR92">
        <f t="shared" si="62"/>
        <v>1</v>
      </c>
      <c r="AS92">
        <f t="shared" si="63"/>
        <v>0</v>
      </c>
    </row>
    <row r="93" spans="1:45" x14ac:dyDescent="0.25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 t="str">
        <f>IF('Sales Dashboard'!AW92="","",'Sales Dashboard'!AW92)</f>
        <v>HACFRONT</v>
      </c>
      <c r="AC93" s="271" t="str">
        <f>IF(AB93="","",'Sales Dashboard'!AN92)</f>
        <v>Hamzah Al Makhadam</v>
      </c>
      <c r="AD93" s="271" t="str">
        <f>IF(AB93="","",'Sales Dashboard'!AO92)</f>
        <v>Qatif</v>
      </c>
      <c r="AE93" s="281" cm="1">
        <f t="array" ref="AE93">IF(OR(AB93="",NOT(ISNUMBER('Sales Dashboard'!BF92))),0,SUMPRODUCT((IFERROR(--'Sales and count'!$G$2:$CC$2,0)=$C$4)*('Sales and count'!$G$3:$CC$3="Total"),INDEX('Sales and count'!$G$4:$CC$300,'Sales Dashboard'!BF92,0)))</f>
        <v>7831.15</v>
      </c>
      <c r="AF93" s="281" cm="1">
        <f t="array" ref="AF93">IF(OR(AB93="",NOT(ISNUMBER('Sales Dashboard'!BG92))),0,SUMPRODUCT(('TY Sales Target'!$K$2:$AO$2=$C$4)*1,INDEX('TY Sales Target'!$K$5:$AO$300,'Sales Dashboard'!BG92,0)))</f>
        <v>15501.861813837093</v>
      </c>
      <c r="AG93" s="281" cm="1">
        <f t="array" ref="AG93">IF(AB93="",0,SUMPRODUCT((TRIM('LY Sales '!$B$5:$B$200)=AB93)*('LY Sales '!$C$2:$AG$2=EDATE($C$4,-12)),'LY Sales '!$C$5:$AG$200))</f>
        <v>8035.19</v>
      </c>
      <c r="AH93" s="271">
        <f t="shared" si="55"/>
        <v>1</v>
      </c>
      <c r="AI93" s="271">
        <f t="shared" si="56"/>
        <v>0</v>
      </c>
      <c r="AJ93" s="271">
        <f t="shared" si="57"/>
        <v>1</v>
      </c>
      <c r="AK93" s="271">
        <f t="shared" si="58"/>
        <v>0</v>
      </c>
      <c r="AL93" s="271">
        <f t="shared" si="59"/>
        <v>1</v>
      </c>
      <c r="AM93" s="306" cm="1">
        <f t="array" ref="AM93">IF(OR(AB93="",NOT(ISNUMBER('Sales Dashboard'!BF92))),0,SUMPRODUCT((IFERROR(--'Sales and count'!$G$2:$CC$2,0)=$F$4)*('Sales and count'!$G$3:$CC$3="Total"),INDEX('Sales and count'!$G$4:$CC$300,'Sales Dashboard'!BF92,0)))</f>
        <v>4801.37</v>
      </c>
      <c r="AN93" s="306" cm="1">
        <f t="array" ref="AN93">IF(OR(AB93="",NOT(ISNUMBER('Sales Dashboard'!BG92))),0,SUMPRODUCT(('TY Sales Target'!$K$2:$AO$2=$F$4)*1,INDEX('TY Sales Target'!$K$5:$AO$300,'Sales Dashboard'!BG92,0)))</f>
        <v>10763.13379860947</v>
      </c>
      <c r="AO93" s="306" cm="1">
        <f t="array" ref="AO93">IF(AB93="",0,SUMPRODUCT((TRIM('LY Sales '!$B$5:$B$200)=AB93)*('LY Sales '!$C$2:$AG$2=EDATE($F$4,-12)),'LY Sales '!$C$5:$AG$200))</f>
        <v>2527.0300000000002</v>
      </c>
      <c r="AP93">
        <f t="shared" si="60"/>
        <v>1</v>
      </c>
      <c r="AQ93">
        <f t="shared" si="61"/>
        <v>0</v>
      </c>
      <c r="AR93">
        <f t="shared" si="62"/>
        <v>1</v>
      </c>
      <c r="AS93">
        <f t="shared" si="63"/>
        <v>1</v>
      </c>
    </row>
    <row r="94" spans="1:45" x14ac:dyDescent="0.25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 t="str">
        <f>IF('Sales Dashboard'!AW93="","",'Sales Dashboard'!AW93)</f>
        <v>SMARTSH</v>
      </c>
      <c r="AC94" s="271" t="str">
        <f>IF(AB94="","",'Sales Dashboard'!AN93)</f>
        <v>Lina Al Ghathami</v>
      </c>
      <c r="AD94" s="271" t="str">
        <f>IF(AB94="","",'Sales Dashboard'!AO93)</f>
        <v>Riyadh</v>
      </c>
      <c r="AE94" s="281" cm="1">
        <f t="array" ref="AE94">IF(OR(AB94="",NOT(ISNUMBER('Sales Dashboard'!BF93))),0,SUMPRODUCT((IFERROR(--'Sales and count'!$G$2:$CC$2,0)=$C$4)*('Sales and count'!$G$3:$CC$3="Total"),INDEX('Sales and count'!$G$4:$CC$300,'Sales Dashboard'!BF93,0)))</f>
        <v>3120.09</v>
      </c>
      <c r="AF94" s="281" cm="1">
        <f t="array" ref="AF94">IF(OR(AB94="",NOT(ISNUMBER('Sales Dashboard'!BG93))),0,SUMPRODUCT(('TY Sales Target'!$K$2:$AO$2=$C$4)*1,INDEX('TY Sales Target'!$K$5:$AO$300,'Sales Dashboard'!BG93,0)))</f>
        <v>7902.9099443091054</v>
      </c>
      <c r="AG94" s="281" cm="1">
        <f t="array" ref="AG94">IF(AB94="",0,SUMPRODUCT((TRIM('LY Sales '!$B$5:$B$200)=AB94)*('LY Sales '!$C$2:$AG$2=EDATE($C$4,-12)),'LY Sales '!$C$5:$AG$200))</f>
        <v>25388.7</v>
      </c>
      <c r="AH94" s="271">
        <f t="shared" si="55"/>
        <v>1</v>
      </c>
      <c r="AI94" s="271">
        <f t="shared" si="56"/>
        <v>0</v>
      </c>
      <c r="AJ94" s="271">
        <f t="shared" si="57"/>
        <v>1</v>
      </c>
      <c r="AK94" s="271">
        <f t="shared" si="58"/>
        <v>0</v>
      </c>
      <c r="AL94" s="271">
        <f t="shared" si="59"/>
        <v>1</v>
      </c>
      <c r="AM94" s="306" cm="1">
        <f t="array" ref="AM94">IF(OR(AB94="",NOT(ISNUMBER('Sales Dashboard'!BF93))),0,SUMPRODUCT((IFERROR(--'Sales and count'!$G$2:$CC$2,0)=$F$4)*('Sales and count'!$G$3:$CC$3="Total"),INDEX('Sales and count'!$G$4:$CC$300,'Sales Dashboard'!BF93,0)))</f>
        <v>1155.05</v>
      </c>
      <c r="AN94" s="306" cm="1">
        <f t="array" ref="AN94">IF(OR(AB94="",NOT(ISNUMBER('Sales Dashboard'!BG93))),0,SUMPRODUCT(('TY Sales Target'!$K$2:$AO$2=$F$4)*1,INDEX('TY Sales Target'!$K$5:$AO$300,'Sales Dashboard'!BG93,0)))</f>
        <v>5487.0878188989454</v>
      </c>
      <c r="AO94" s="306" cm="1">
        <f t="array" ref="AO94">IF(AB94="",0,SUMPRODUCT((TRIM('LY Sales '!$B$5:$B$200)=AB94)*('LY Sales '!$C$2:$AG$2=EDATE($F$4,-12)),'LY Sales '!$C$5:$AG$200))</f>
        <v>8358.11</v>
      </c>
      <c r="AP94">
        <f t="shared" si="60"/>
        <v>1</v>
      </c>
      <c r="AQ94">
        <f t="shared" si="61"/>
        <v>0</v>
      </c>
      <c r="AR94">
        <f t="shared" si="62"/>
        <v>1</v>
      </c>
      <c r="AS94">
        <f t="shared" si="63"/>
        <v>0</v>
      </c>
    </row>
    <row r="95" spans="1:45" x14ac:dyDescent="0.25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 t="str">
        <f>IF('Sales Dashboard'!AW94="","",'Sales Dashboard'!AW94)</f>
        <v>HAABRAJ2</v>
      </c>
      <c r="AC95" s="271" t="str">
        <f>IF(AB95="","",'Sales Dashboard'!AN94)</f>
        <v>Maram Zamzami</v>
      </c>
      <c r="AD95" s="271" t="str">
        <f>IF(AB95="","",'Sales Dashboard'!AO94)</f>
        <v>Makkah</v>
      </c>
      <c r="AE95" s="281" cm="1">
        <f t="array" ref="AE95">IF(OR(AB95="",NOT(ISNUMBER('Sales Dashboard'!BF94))),0,SUMPRODUCT((IFERROR(--'Sales and count'!$G$2:$CC$2,0)=$C$4)*('Sales and count'!$G$3:$CC$3="Total"),INDEX('Sales and count'!$G$4:$CC$300,'Sales Dashboard'!BF94,0)))</f>
        <v>5912.16</v>
      </c>
      <c r="AF95" s="281" cm="1">
        <f t="array" ref="AF95">IF(OR(AB95="",NOT(ISNUMBER('Sales Dashboard'!BG94))),0,SUMPRODUCT(('TY Sales Target'!$K$2:$AO$2=$C$4)*1,INDEX('TY Sales Target'!$K$5:$AO$300,'Sales Dashboard'!BG94,0)))</f>
        <v>15197.903739055973</v>
      </c>
      <c r="AG95" s="281" cm="1">
        <f t="array" ref="AG95">IF(AB95="",0,SUMPRODUCT((TRIM('LY Sales '!$B$5:$B$200)=AB95)*('LY Sales '!$C$2:$AG$2=EDATE($C$4,-12)),'LY Sales '!$C$5:$AG$200))</f>
        <v>0</v>
      </c>
      <c r="AH95" s="271">
        <f t="shared" si="55"/>
        <v>1</v>
      </c>
      <c r="AI95" s="271">
        <f t="shared" si="56"/>
        <v>0</v>
      </c>
      <c r="AJ95" s="271">
        <f t="shared" si="57"/>
        <v>0</v>
      </c>
      <c r="AK95" s="271">
        <f t="shared" si="58"/>
        <v>0</v>
      </c>
      <c r="AL95" s="271">
        <f t="shared" si="59"/>
        <v>1</v>
      </c>
      <c r="AM95" s="306" cm="1">
        <f t="array" ref="AM95">IF(OR(AB95="",NOT(ISNUMBER('Sales Dashboard'!BF94))),0,SUMPRODUCT((IFERROR(--'Sales and count'!$G$2:$CC$2,0)=$F$4)*('Sales and count'!$G$3:$CC$3="Total"),INDEX('Sales and count'!$G$4:$CC$300,'Sales Dashboard'!BF94,0)))</f>
        <v>1249.02</v>
      </c>
      <c r="AN95" s="306" cm="1">
        <f t="array" ref="AN95">IF(OR(AB95="",NOT(ISNUMBER('Sales Dashboard'!BG94))),0,SUMPRODUCT(('TY Sales Target'!$K$2:$AO$2=$F$4)*1,INDEX('TY Sales Target'!$K$5:$AO$300,'Sales Dashboard'!BG94,0)))</f>
        <v>10552.09195942105</v>
      </c>
      <c r="AO95" s="306" cm="1">
        <f t="array" ref="AO95">IF(AB95="",0,SUMPRODUCT((TRIM('LY Sales '!$B$5:$B$200)=AB95)*('LY Sales '!$C$2:$AG$2=EDATE($F$4,-12)),'LY Sales '!$C$5:$AG$200))</f>
        <v>0</v>
      </c>
      <c r="AP95">
        <f t="shared" si="60"/>
        <v>1</v>
      </c>
      <c r="AQ95">
        <f t="shared" si="61"/>
        <v>0</v>
      </c>
      <c r="AR95">
        <f t="shared" si="62"/>
        <v>0</v>
      </c>
      <c r="AS95">
        <f t="shared" si="63"/>
        <v>0</v>
      </c>
    </row>
    <row r="96" spans="1:45" x14ac:dyDescent="0.25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 t="str">
        <f>IF('Sales Dashboard'!AW95="","",'Sales Dashboard'!AW95)</f>
        <v>HAOBHRPLZ</v>
      </c>
      <c r="AC96" s="271" t="str">
        <f>IF(AB96="","",'Sales Dashboard'!AN95)</f>
        <v>Saleh Bin Hoiel</v>
      </c>
      <c r="AD96" s="271" t="str">
        <f>IF(AB96="","",'Sales Dashboard'!AO95)</f>
        <v>Jeddah</v>
      </c>
      <c r="AE96" s="281" cm="1">
        <f t="array" ref="AE96">IF(OR(AB96="",NOT(ISNUMBER('Sales Dashboard'!BF95))),0,SUMPRODUCT((IFERROR(--'Sales and count'!$G$2:$CC$2,0)=$C$4)*('Sales and count'!$G$3:$CC$3="Total"),INDEX('Sales and count'!$G$4:$CC$300,'Sales Dashboard'!BF95,0)))</f>
        <v>4968.01</v>
      </c>
      <c r="AF96" s="281" cm="1">
        <f t="array" ref="AF96">IF(OR(AB96="",NOT(ISNUMBER('Sales Dashboard'!BG95))),0,SUMPRODUCT(('TY Sales Target'!$K$2:$AO$2=$C$4)*1,INDEX('TY Sales Target'!$K$5:$AO$300,'Sales Dashboard'!BG95,0)))</f>
        <v>7345.6534738770533</v>
      </c>
      <c r="AG96" s="281" cm="1">
        <f t="array" ref="AG96">IF(AB96="",0,SUMPRODUCT((TRIM('LY Sales '!$B$5:$B$200)=AB96)*('LY Sales '!$C$2:$AG$2=EDATE($C$4,-12)),'LY Sales '!$C$5:$AG$200))</f>
        <v>8128.24</v>
      </c>
      <c r="AH96" s="271">
        <f t="shared" si="55"/>
        <v>1</v>
      </c>
      <c r="AI96" s="271">
        <f t="shared" si="56"/>
        <v>0</v>
      </c>
      <c r="AJ96" s="271">
        <f t="shared" si="57"/>
        <v>1</v>
      </c>
      <c r="AK96" s="271">
        <f t="shared" si="58"/>
        <v>0</v>
      </c>
      <c r="AL96" s="271">
        <f t="shared" si="59"/>
        <v>1</v>
      </c>
      <c r="AM96" s="306" cm="1">
        <f t="array" ref="AM96">IF(OR(AB96="",NOT(ISNUMBER('Sales Dashboard'!BF95))),0,SUMPRODUCT((IFERROR(--'Sales and count'!$G$2:$CC$2,0)=$F$4)*('Sales and count'!$G$3:$CC$3="Total"),INDEX('Sales and count'!$G$4:$CC$300,'Sales Dashboard'!BF95,0)))</f>
        <v>277</v>
      </c>
      <c r="AN96" s="306" cm="1">
        <f t="array" ref="AN96">IF(OR(AB96="",NOT(ISNUMBER('Sales Dashboard'!BG95))),0,SUMPRODUCT(('TY Sales Target'!$K$2:$AO$2=$F$4)*1,INDEX('TY Sales Target'!$K$5:$AO$300,'Sales Dashboard'!BG95,0)))</f>
        <v>5100.1777803868408</v>
      </c>
      <c r="AO96" s="306" cm="1">
        <f t="array" ref="AO96">IF(AB96="",0,SUMPRODUCT((TRIM('LY Sales '!$B$5:$B$200)=AB96)*('LY Sales '!$C$2:$AG$2=EDATE($F$4,-12)),'LY Sales '!$C$5:$AG$200))</f>
        <v>2295.0500000000002</v>
      </c>
      <c r="AP96">
        <f t="shared" si="60"/>
        <v>1</v>
      </c>
      <c r="AQ96">
        <f t="shared" si="61"/>
        <v>0</v>
      </c>
      <c r="AR96">
        <f t="shared" si="62"/>
        <v>1</v>
      </c>
      <c r="AS96">
        <f t="shared" si="63"/>
        <v>0</v>
      </c>
    </row>
    <row r="97" spans="1:45" x14ac:dyDescent="0.25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 t="str">
        <f>IF('Sales Dashboard'!AW96="","",'Sales Dashboard'!AW96)</f>
        <v>HAOTRABWAH</v>
      </c>
      <c r="AC97" s="271" t="str">
        <f>IF(AB97="","",'Sales Dashboard'!AN96)</f>
        <v>Mohammed Sanad</v>
      </c>
      <c r="AD97" s="271" t="str">
        <f>IF(AB97="","",'Sales Dashboard'!AO96)</f>
        <v>Riyadh</v>
      </c>
      <c r="AE97" s="281" cm="1">
        <f t="array" ref="AE97">IF(OR(AB97="",NOT(ISNUMBER('Sales Dashboard'!BF96))),0,SUMPRODUCT((IFERROR(--'Sales and count'!$G$2:$CC$2,0)=$C$4)*('Sales and count'!$G$3:$CC$3="Total"),INDEX('Sales and count'!$G$4:$CC$300,'Sales Dashboard'!BF96,0)))</f>
        <v>7373.14</v>
      </c>
      <c r="AF97" s="281" cm="1">
        <f t="array" ref="AF97">IF(OR(AB97="",NOT(ISNUMBER('Sales Dashboard'!BG96))),0,SUMPRODUCT(('TY Sales Target'!$K$2:$AO$2=$C$4)*1,INDEX('TY Sales Target'!$K$5:$AO$300,'Sales Dashboard'!BG96,0)))</f>
        <v>10537.213259078808</v>
      </c>
      <c r="AG97" s="281" cm="1">
        <f t="array" ref="AG97">IF(AB97="",0,SUMPRODUCT((TRIM('LY Sales '!$B$5:$B$200)=AB97)*('LY Sales '!$C$2:$AG$2=EDATE($C$4,-12)),'LY Sales '!$C$5:$AG$200))</f>
        <v>10264.33</v>
      </c>
      <c r="AH97" s="271">
        <f t="shared" si="55"/>
        <v>1</v>
      </c>
      <c r="AI97" s="271">
        <f t="shared" si="56"/>
        <v>0</v>
      </c>
      <c r="AJ97" s="271">
        <f t="shared" si="57"/>
        <v>1</v>
      </c>
      <c r="AK97" s="271">
        <f t="shared" si="58"/>
        <v>0</v>
      </c>
      <c r="AL97" s="271">
        <f t="shared" si="59"/>
        <v>1</v>
      </c>
      <c r="AM97" s="306" cm="1">
        <f t="array" ref="AM97">IF(OR(AB97="",NOT(ISNUMBER('Sales Dashboard'!BF96))),0,SUMPRODUCT((IFERROR(--'Sales and count'!$G$2:$CC$2,0)=$F$4)*('Sales and count'!$G$3:$CC$3="Total"),INDEX('Sales and count'!$G$4:$CC$300,'Sales Dashboard'!BF96,0)))</f>
        <v>2092.14</v>
      </c>
      <c r="AN97" s="306" cm="1">
        <f t="array" ref="AN97">IF(OR(AB97="",NOT(ISNUMBER('Sales Dashboard'!BG96))),0,SUMPRODUCT(('TY Sales Target'!$K$2:$AO$2=$F$4)*1,INDEX('TY Sales Target'!$K$5:$AO$300,'Sales Dashboard'!BG96,0)))</f>
        <v>7316.1170918652606</v>
      </c>
      <c r="AO97" s="306" cm="1">
        <f t="array" ref="AO97">IF(AB97="",0,SUMPRODUCT((TRIM('LY Sales '!$B$5:$B$200)=AB97)*('LY Sales '!$C$2:$AG$2=EDATE($F$4,-12)),'LY Sales '!$C$5:$AG$200))</f>
        <v>2442.0700000000002</v>
      </c>
      <c r="AP97">
        <f t="shared" si="60"/>
        <v>1</v>
      </c>
      <c r="AQ97">
        <f t="shared" si="61"/>
        <v>0</v>
      </c>
      <c r="AR97">
        <f t="shared" si="62"/>
        <v>1</v>
      </c>
      <c r="AS97">
        <f t="shared" si="63"/>
        <v>0</v>
      </c>
    </row>
    <row r="98" spans="1:45" x14ac:dyDescent="0.25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  <c r="AB98" s="271" t="str">
        <f>IF('Sales Dashboard'!AW97="","",'Sales Dashboard'!AW97)</f>
        <v>HAMUJANPRK</v>
      </c>
      <c r="AC98" s="271" t="str">
        <f>IF(AB98="","",'Sales Dashboard'!AN97)</f>
        <v>Ahmed Jaffari</v>
      </c>
      <c r="AD98" s="271" t="str">
        <f>IF(AB98="","",'Sales Dashboard'!AO97)</f>
        <v>Khamis meshaet</v>
      </c>
      <c r="AE98" s="281" cm="1">
        <f t="array" ref="AE98">IF(OR(AB98="",NOT(ISNUMBER('Sales Dashboard'!BF97))),0,SUMPRODUCT((IFERROR(--'Sales and count'!$G$2:$CC$2,0)=$C$4)*('Sales and count'!$G$3:$CC$3="Total"),INDEX('Sales and count'!$G$4:$CC$300,'Sales Dashboard'!BF97,0)))</f>
        <v>12298.25</v>
      </c>
      <c r="AF98" s="281" cm="1">
        <f t="array" ref="AF98">IF(OR(AB98="",NOT(ISNUMBER('Sales Dashboard'!BG97))),0,SUMPRODUCT(('TY Sales Target'!$K$2:$AO$2=$C$4)*1,INDEX('TY Sales Target'!$K$5:$AO$300,'Sales Dashboard'!BG97,0)))</f>
        <v>17730.887695565303</v>
      </c>
      <c r="AG98" s="281" cm="1">
        <f t="array" ref="AG98">IF(AB98="",0,SUMPRODUCT((TRIM('LY Sales '!$B$5:$B$200)=AB98)*('LY Sales '!$C$2:$AG$2=EDATE($C$4,-12)),'LY Sales '!$C$5:$AG$200))</f>
        <v>7658.16</v>
      </c>
      <c r="AH98" s="271">
        <f t="shared" si="55"/>
        <v>1</v>
      </c>
      <c r="AI98" s="271">
        <f t="shared" si="56"/>
        <v>0</v>
      </c>
      <c r="AJ98" s="271">
        <f t="shared" si="57"/>
        <v>1</v>
      </c>
      <c r="AK98" s="271">
        <f t="shared" si="58"/>
        <v>1</v>
      </c>
      <c r="AL98" s="271">
        <f t="shared" si="59"/>
        <v>1</v>
      </c>
      <c r="AM98" s="306" cm="1">
        <f t="array" ref="AM98">IF(OR(AB98="",NOT(ISNUMBER('Sales Dashboard'!BF97))),0,SUMPRODUCT((IFERROR(--'Sales and count'!$G$2:$CC$2,0)=$F$4)*('Sales and count'!$G$3:$CC$3="Total"),INDEX('Sales and count'!$G$4:$CC$300,'Sales Dashboard'!BF97,0)))</f>
        <v>2825.21</v>
      </c>
      <c r="AN98" s="306" cm="1">
        <f t="array" ref="AN98">IF(OR(AB98="",NOT(ISNUMBER('Sales Dashboard'!BG97))),0,SUMPRODUCT(('TY Sales Target'!$K$2:$AO$2=$F$4)*1,INDEX('TY Sales Target'!$K$5:$AO$300,'Sales Dashboard'!BG97,0)))</f>
        <v>12310.77395265789</v>
      </c>
      <c r="AO98" s="306" cm="1">
        <f t="array" ref="AO98">IF(AB98="",0,SUMPRODUCT((TRIM('LY Sales '!$B$5:$B$200)=AB98)*('LY Sales '!$C$2:$AG$2=EDATE($F$4,-12)),'LY Sales '!$C$5:$AG$200))</f>
        <v>2061.02</v>
      </c>
      <c r="AP98">
        <f t="shared" si="60"/>
        <v>1</v>
      </c>
      <c r="AQ98">
        <f t="shared" si="61"/>
        <v>0</v>
      </c>
      <c r="AR98">
        <f t="shared" si="62"/>
        <v>1</v>
      </c>
      <c r="AS98">
        <f t="shared" si="63"/>
        <v>1</v>
      </c>
    </row>
    <row r="99" spans="1:45" x14ac:dyDescent="0.25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  <c r="AB99" s="271" t="str">
        <f>IF('Sales Dashboard'!AW98="","",'Sales Dashboard'!AW98)</f>
        <v>HAAZZANPLZ</v>
      </c>
      <c r="AC99" s="271" t="str">
        <f>IF(AB99="","",'Sales Dashboard'!AN98)</f>
        <v>Ahmed Jaffari</v>
      </c>
      <c r="AD99" s="271" t="str">
        <f>IF(AB99="","",'Sales Dashboard'!AO98)</f>
        <v>Sabya</v>
      </c>
      <c r="AE99" s="281" cm="1">
        <f t="array" ref="AE99">IF(OR(AB99="",NOT(ISNUMBER('Sales Dashboard'!BF98))),0,SUMPRODUCT((IFERROR(--'Sales and count'!$G$2:$CC$2,0)=$C$4)*('Sales and count'!$G$3:$CC$3="Total"),INDEX('Sales and count'!$G$4:$CC$300,'Sales Dashboard'!BF98,0)))</f>
        <v>9139.2100000000009</v>
      </c>
      <c r="AF99" s="281" cm="1">
        <f t="array" ref="AF99">IF(OR(AB99="",NOT(ISNUMBER('Sales Dashboard'!BG98))),0,SUMPRODUCT(('TY Sales Target'!$K$2:$AO$2=$C$4)*1,INDEX('TY Sales Target'!$K$5:$AO$300,'Sales Dashboard'!BG98,0)))</f>
        <v>12664.919782546644</v>
      </c>
      <c r="AG99" s="281" cm="1">
        <f t="array" ref="AG99">IF(AB99="",0,SUMPRODUCT((TRIM('LY Sales '!$B$5:$B$200)=AB99)*('LY Sales '!$C$2:$AG$2=EDATE($C$4,-12)),'LY Sales '!$C$5:$AG$200))</f>
        <v>0</v>
      </c>
      <c r="AH99" s="271">
        <f t="shared" si="55"/>
        <v>1</v>
      </c>
      <c r="AI99" s="271">
        <f t="shared" si="56"/>
        <v>0</v>
      </c>
      <c r="AJ99" s="271">
        <f t="shared" si="57"/>
        <v>0</v>
      </c>
      <c r="AK99" s="271">
        <f t="shared" si="58"/>
        <v>0</v>
      </c>
      <c r="AL99" s="271">
        <f t="shared" si="59"/>
        <v>1</v>
      </c>
      <c r="AM99" s="306" cm="1">
        <f t="array" ref="AM99">IF(OR(AB99="",NOT(ISNUMBER('Sales Dashboard'!BF98))),0,SUMPRODUCT((IFERROR(--'Sales and count'!$G$2:$CC$2,0)=$F$4)*('Sales and count'!$G$3:$CC$3="Total"),INDEX('Sales and count'!$G$4:$CC$300,'Sales Dashboard'!BF98,0)))</f>
        <v>2146.15</v>
      </c>
      <c r="AN99" s="306" cm="1">
        <f t="array" ref="AN99">IF(OR(AB99="",NOT(ISNUMBER('Sales Dashboard'!BG98))),0,SUMPRODUCT(('TY Sales Target'!$K$2:$AO$2=$F$4)*1,INDEX('TY Sales Target'!$K$5:$AO$300,'Sales Dashboard'!BG98,0)))</f>
        <v>8793.4099661842083</v>
      </c>
      <c r="AO99" s="306" cm="1">
        <f t="array" ref="AO99">IF(AB99="",0,SUMPRODUCT((TRIM('LY Sales '!$B$5:$B$200)=AB99)*('LY Sales '!$C$2:$AG$2=EDATE($F$4,-12)),'LY Sales '!$C$5:$AG$200))</f>
        <v>1608.04</v>
      </c>
      <c r="AP99">
        <f t="shared" si="60"/>
        <v>1</v>
      </c>
      <c r="AQ99">
        <f t="shared" si="61"/>
        <v>0</v>
      </c>
      <c r="AR99">
        <f t="shared" si="62"/>
        <v>1</v>
      </c>
      <c r="AS99">
        <f t="shared" si="63"/>
        <v>1</v>
      </c>
    </row>
    <row r="100" spans="1:45" x14ac:dyDescent="0.25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 t="str">
        <f>IF('Sales Dashboard'!AW99="","",'Sales Dashboard'!AW99)</f>
        <v>HAOTHONZAH</v>
      </c>
      <c r="AC100" s="271" t="str">
        <f>IF(AB100="","",'Sales Dashboard'!AN99)</f>
        <v>Lina Al Ghathami</v>
      </c>
      <c r="AD100" s="271" t="str">
        <f>IF(AB100="","",'Sales Dashboard'!AO99)</f>
        <v>Onaizah</v>
      </c>
      <c r="AE100" s="281" cm="1">
        <f t="array" ref="AE100">IF(OR(AB100="",NOT(ISNUMBER('Sales Dashboard'!BF99))),0,SUMPRODUCT((IFERROR(--'Sales and count'!$G$2:$CC$2,0)=$C$4)*('Sales and count'!$G$3:$CC$3="Total"),INDEX('Sales and count'!$G$4:$CC$300,'Sales Dashboard'!BF99,0)))</f>
        <v>3023.05</v>
      </c>
      <c r="AF100" s="281" cm="1">
        <f t="array" ref="AF100">IF(OR(AB100="",NOT(ISNUMBER('Sales Dashboard'!BG99))),0,SUMPRODUCT(('TY Sales Target'!$K$2:$AO$2=$C$4)*1,INDEX('TY Sales Target'!$K$5:$AO$300,'Sales Dashboard'!BG99,0)))</f>
        <v>7700.2712277883593</v>
      </c>
      <c r="AG100" s="281" cm="1">
        <f t="array" ref="AG100">IF(AB100="",0,SUMPRODUCT((TRIM('LY Sales '!$B$5:$B$200)=AB100)*('LY Sales '!$C$2:$AG$2=EDATE($C$4,-12)),'LY Sales '!$C$5:$AG$200))</f>
        <v>0</v>
      </c>
      <c r="AH100" s="271">
        <f t="shared" si="55"/>
        <v>1</v>
      </c>
      <c r="AI100" s="271">
        <f t="shared" si="56"/>
        <v>0</v>
      </c>
      <c r="AJ100" s="271">
        <f t="shared" si="57"/>
        <v>0</v>
      </c>
      <c r="AK100" s="271">
        <f t="shared" si="58"/>
        <v>0</v>
      </c>
      <c r="AL100" s="271">
        <f t="shared" si="59"/>
        <v>1</v>
      </c>
      <c r="AM100" s="306" cm="1">
        <f t="array" ref="AM100">IF(OR(AB100="",NOT(ISNUMBER('Sales Dashboard'!BF99))),0,SUMPRODUCT((IFERROR(--'Sales and count'!$G$2:$CC$2,0)=$F$4)*('Sales and count'!$G$3:$CC$3="Total"),INDEX('Sales and count'!$G$4:$CC$300,'Sales Dashboard'!BF99,0)))</f>
        <v>2025.05</v>
      </c>
      <c r="AN100" s="306" cm="1">
        <f t="array" ref="AN100">IF(OR(AB100="",NOT(ISNUMBER('Sales Dashboard'!BG99))),0,SUMPRODUCT(('TY Sales Target'!$K$2:$AO$2=$F$4)*1,INDEX('TY Sales Target'!$K$5:$AO$300,'Sales Dashboard'!BG99,0)))</f>
        <v>5346.3932594399985</v>
      </c>
      <c r="AO100" s="306" cm="1">
        <f t="array" ref="AO100">IF(AB100="",0,SUMPRODUCT((TRIM('LY Sales '!$B$5:$B$200)=AB100)*('LY Sales '!$C$2:$AG$2=EDATE($F$4,-12)),'LY Sales '!$C$5:$AG$200))</f>
        <v>0</v>
      </c>
      <c r="AP100">
        <f t="shared" si="60"/>
        <v>1</v>
      </c>
      <c r="AQ100">
        <f t="shared" si="61"/>
        <v>0</v>
      </c>
      <c r="AR100">
        <f t="shared" si="62"/>
        <v>0</v>
      </c>
      <c r="AS100">
        <f t="shared" si="63"/>
        <v>0</v>
      </c>
    </row>
    <row r="101" spans="1:45" x14ac:dyDescent="0.25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 t="str">
        <f>IF('Sales Dashboard'!AW100="","",'Sales Dashboard'!AW100)</f>
        <v>HARASHJIZ</v>
      </c>
      <c r="AC101" s="271" t="str">
        <f>IF(AB101="","",'Sales Dashboard'!AN100)</f>
        <v>Ahmed Jaffari</v>
      </c>
      <c r="AD101" s="271" t="str">
        <f>IF(AB101="","",'Sales Dashboard'!AO100)</f>
        <v>Jizan</v>
      </c>
      <c r="AE101" s="281" cm="1">
        <f t="array" ref="AE101">IF(OR(AB101="",NOT(ISNUMBER('Sales Dashboard'!BF100))),0,SUMPRODUCT((IFERROR(--'Sales and count'!$G$2:$CC$2,0)=$C$4)*('Sales and count'!$G$3:$CC$3="Total"),INDEX('Sales and count'!$G$4:$CC$300,'Sales Dashboard'!BF100,0)))</f>
        <v>5767.14</v>
      </c>
      <c r="AF101" s="281" cm="1">
        <f t="array" ref="AF101">IF(OR(AB101="",NOT(ISNUMBER('Sales Dashboard'!BG100))),0,SUMPRODUCT(('TY Sales Target'!$K$2:$AO$2=$C$4)*1,INDEX('TY Sales Target'!$K$5:$AO$300,'Sales Dashboard'!BG100,0)))</f>
        <v>8358.8470564807849</v>
      </c>
      <c r="AG101" s="281" cm="1">
        <f t="array" ref="AG101">IF(AB101="",0,SUMPRODUCT((TRIM('LY Sales '!$B$5:$B$200)=AB101)*('LY Sales '!$C$2:$AG$2=EDATE($C$4,-12)),'LY Sales '!$C$5:$AG$200))</f>
        <v>0</v>
      </c>
      <c r="AH101" s="271">
        <f t="shared" si="55"/>
        <v>1</v>
      </c>
      <c r="AI101" s="271">
        <f t="shared" si="56"/>
        <v>0</v>
      </c>
      <c r="AJ101" s="271">
        <f t="shared" si="57"/>
        <v>0</v>
      </c>
      <c r="AK101" s="271">
        <f t="shared" si="58"/>
        <v>0</v>
      </c>
      <c r="AL101" s="271">
        <f t="shared" si="59"/>
        <v>1</v>
      </c>
      <c r="AM101" s="306" cm="1">
        <f t="array" ref="AM101">IF(OR(AB101="",NOT(ISNUMBER('Sales Dashboard'!BF100))),0,SUMPRODUCT((IFERROR(--'Sales and count'!$G$2:$CC$2,0)=$F$4)*('Sales and count'!$G$3:$CC$3="Total"),INDEX('Sales and count'!$G$4:$CC$300,'Sales Dashboard'!BF100,0)))</f>
        <v>1734.06</v>
      </c>
      <c r="AN101" s="306" cm="1">
        <f t="array" ref="AN101">IF(OR(AB101="",NOT(ISNUMBER('Sales Dashboard'!BG100))),0,SUMPRODUCT(('TY Sales Target'!$K$2:$AO$2=$F$4)*1,INDEX('TY Sales Target'!$K$5:$AO$300,'Sales Dashboard'!BG100,0)))</f>
        <v>5803.6505776815766</v>
      </c>
      <c r="AO101" s="306" cm="1">
        <f t="array" ref="AO101">IF(AB101="",0,SUMPRODUCT((TRIM('LY Sales '!$B$5:$B$200)=AB101)*('LY Sales '!$C$2:$AG$2=EDATE($F$4,-12)),'LY Sales '!$C$5:$AG$200))</f>
        <v>0</v>
      </c>
      <c r="AP101">
        <f t="shared" si="60"/>
        <v>1</v>
      </c>
      <c r="AQ101">
        <f t="shared" si="61"/>
        <v>0</v>
      </c>
      <c r="AR101">
        <f t="shared" si="62"/>
        <v>0</v>
      </c>
      <c r="AS101">
        <f t="shared" si="63"/>
        <v>0</v>
      </c>
    </row>
    <row r="102" spans="1:45" x14ac:dyDescent="0.25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 t="str">
        <f>IF('Sales Dashboard'!AW101="","",'Sales Dashboard'!AW101)</f>
        <v>HALELEMALL</v>
      </c>
      <c r="AC102" s="271" t="str">
        <f>IF(AB102="","",'Sales Dashboard'!AN101)</f>
        <v>Ahmed Jaffari</v>
      </c>
      <c r="AD102" s="271" t="str">
        <f>IF(AB102="","",'Sales Dashboard'!AO101)</f>
        <v>Samtah</v>
      </c>
      <c r="AE102" s="281" cm="1">
        <f t="array" ref="AE102">IF(OR(AB102="",NOT(ISNUMBER('Sales Dashboard'!BF101))),0,SUMPRODUCT((IFERROR(--'Sales and count'!$G$2:$CC$2,0)=$C$4)*('Sales and count'!$G$3:$CC$3="Total"),INDEX('Sales and count'!$G$4:$CC$300,'Sales Dashboard'!BF101,0)))</f>
        <v>6945.18</v>
      </c>
      <c r="AF102" s="281" cm="1">
        <f t="array" ref="AF102">IF(OR(AB102="",NOT(ISNUMBER('Sales Dashboard'!BG101))),0,SUMPRODUCT(('TY Sales Target'!$K$2:$AO$2=$C$4)*1,INDEX('TY Sales Target'!$K$5:$AO$300,'Sales Dashboard'!BG101,0)))</f>
        <v>13171.51657384851</v>
      </c>
      <c r="AG102" s="281" cm="1">
        <f t="array" ref="AG102">IF(AB102="",0,SUMPRODUCT((TRIM('LY Sales '!$B$5:$B$200)=AB102)*('LY Sales '!$C$2:$AG$2=EDATE($C$4,-12)),'LY Sales '!$C$5:$AG$200))</f>
        <v>14988.46</v>
      </c>
      <c r="AH102" s="271">
        <f t="shared" si="55"/>
        <v>1</v>
      </c>
      <c r="AI102" s="271">
        <f t="shared" si="56"/>
        <v>0</v>
      </c>
      <c r="AJ102" s="271">
        <f t="shared" si="57"/>
        <v>1</v>
      </c>
      <c r="AK102" s="271">
        <f t="shared" si="58"/>
        <v>0</v>
      </c>
      <c r="AL102" s="271">
        <f t="shared" si="59"/>
        <v>1</v>
      </c>
      <c r="AM102" s="306" cm="1">
        <f t="array" ref="AM102">IF(OR(AB102="",NOT(ISNUMBER('Sales Dashboard'!BF101))),0,SUMPRODUCT((IFERROR(--'Sales and count'!$G$2:$CC$2,0)=$F$4)*('Sales and count'!$G$3:$CC$3="Total"),INDEX('Sales and count'!$G$4:$CC$300,'Sales Dashboard'!BF101,0)))</f>
        <v>2077.16</v>
      </c>
      <c r="AN102" s="306" cm="1">
        <f t="array" ref="AN102">IF(OR(AB102="",NOT(ISNUMBER('Sales Dashboard'!BG101))),0,SUMPRODUCT(('TY Sales Target'!$K$2:$AO$2=$F$4)*1,INDEX('TY Sales Target'!$K$5:$AO$300,'Sales Dashboard'!BG101,0)))</f>
        <v>9145.1463648315766</v>
      </c>
      <c r="AO102" s="306" cm="1">
        <f t="array" ref="AO102">IF(AB102="",0,SUMPRODUCT((TRIM('LY Sales '!$B$5:$B$200)=AB102)*('LY Sales '!$C$2:$AG$2=EDATE($F$4,-12)),'LY Sales '!$C$5:$AG$200))</f>
        <v>4200.12</v>
      </c>
      <c r="AP102">
        <f t="shared" si="60"/>
        <v>1</v>
      </c>
      <c r="AQ102">
        <f t="shared" si="61"/>
        <v>0</v>
      </c>
      <c r="AR102">
        <f t="shared" si="62"/>
        <v>1</v>
      </c>
      <c r="AS102">
        <f t="shared" si="63"/>
        <v>0</v>
      </c>
    </row>
    <row r="103" spans="1:45" x14ac:dyDescent="0.25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 t="str">
        <f>IF('Sales Dashboard'!AW102="","",'Sales Dashboard'!AW102)</f>
        <v>HATERATIF</v>
      </c>
      <c r="AC103" s="271" t="str">
        <f>IF(AB103="","",'Sales Dashboard'!AN102)</f>
        <v>Saleh Bin Hoiel</v>
      </c>
      <c r="AD103" s="271" t="str">
        <f>IF(AB103="","",'Sales Dashboard'!AO102)</f>
        <v>Taif</v>
      </c>
      <c r="AE103" s="281" cm="1">
        <f t="array" ref="AE103">IF(OR(AB103="",NOT(ISNUMBER('Sales Dashboard'!BF102))),0,SUMPRODUCT((IFERROR(--'Sales and count'!$G$2:$CC$2,0)=$C$4)*('Sales and count'!$G$3:$CC$3="Total"),INDEX('Sales and count'!$G$4:$CC$300,'Sales Dashboard'!BF102,0)))</f>
        <v>4845.05</v>
      </c>
      <c r="AF103" s="281" cm="1">
        <f t="array" ref="AF103">IF(OR(AB103="",NOT(ISNUMBER('Sales Dashboard'!BG102))),0,SUMPRODUCT(('TY Sales Target'!$K$2:$AO$2=$C$4)*1,INDEX('TY Sales Target'!$K$5:$AO$300,'Sales Dashboard'!BG102,0)))</f>
        <v>7742.7129838767969</v>
      </c>
      <c r="AG103" s="281" cm="1">
        <f t="array" ref="AG103">IF(AB103="",0,SUMPRODUCT((TRIM('LY Sales '!$B$5:$B$200)=AB103)*('LY Sales '!$C$2:$AG$2=EDATE($C$4,-12)),'LY Sales '!$C$5:$AG$200))</f>
        <v>0</v>
      </c>
      <c r="AH103" s="271">
        <f t="shared" si="55"/>
        <v>1</v>
      </c>
      <c r="AI103" s="271">
        <f t="shared" si="56"/>
        <v>0</v>
      </c>
      <c r="AJ103" s="271">
        <f t="shared" si="57"/>
        <v>0</v>
      </c>
      <c r="AK103" s="271">
        <f t="shared" si="58"/>
        <v>0</v>
      </c>
      <c r="AL103" s="271">
        <f t="shared" si="59"/>
        <v>1</v>
      </c>
      <c r="AM103" s="306" cm="1">
        <f t="array" ref="AM103">IF(OR(AB103="",NOT(ISNUMBER('Sales Dashboard'!BF102))),0,SUMPRODUCT((IFERROR(--'Sales and count'!$G$2:$CC$2,0)=$F$4)*('Sales and count'!$G$3:$CC$3="Total"),INDEX('Sales and count'!$G$4:$CC$300,'Sales Dashboard'!BF102,0)))</f>
        <v>2628.11</v>
      </c>
      <c r="AN103" s="306" cm="1">
        <f t="array" ref="AN103">IF(OR(AB103="",NOT(ISNUMBER('Sales Dashboard'!BG102))),0,SUMPRODUCT(('TY Sales Target'!$K$2:$AO$2=$F$4)*1,INDEX('TY Sales Target'!$K$5:$AO$300,'Sales Dashboard'!BG102,0)))</f>
        <v>5375.8610940081053</v>
      </c>
      <c r="AO103" s="306" cm="1">
        <f t="array" ref="AO103">IF(AB103="",0,SUMPRODUCT((TRIM('LY Sales '!$B$5:$B$200)=AB103)*('LY Sales '!$C$2:$AG$2=EDATE($F$4,-12)),'LY Sales '!$C$5:$AG$200))</f>
        <v>0</v>
      </c>
      <c r="AP103">
        <f t="shared" si="60"/>
        <v>1</v>
      </c>
      <c r="AQ103">
        <f t="shared" si="61"/>
        <v>0</v>
      </c>
      <c r="AR103">
        <f t="shared" si="62"/>
        <v>0</v>
      </c>
      <c r="AS103">
        <f t="shared" si="63"/>
        <v>0</v>
      </c>
    </row>
    <row r="104" spans="1:45" x14ac:dyDescent="0.25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 t="str">
        <f>IF('Sales Dashboard'!AW103="","",'Sales Dashboard'!AW103)</f>
        <v>HAOTHHAFR</v>
      </c>
      <c r="AC104" s="271" t="str">
        <f>IF(AB104="","",'Sales Dashboard'!AN103)</f>
        <v>Hamzah Al Makhadam</v>
      </c>
      <c r="AD104" s="271" t="str">
        <f>IF(AB104="","",'Sales Dashboard'!AO103)</f>
        <v>Hafer Al Batin</v>
      </c>
      <c r="AE104" s="281" cm="1">
        <f t="array" ref="AE104">IF(OR(AB104="",NOT(ISNUMBER('Sales Dashboard'!BF103))),0,SUMPRODUCT((IFERROR(--'Sales and count'!$G$2:$CC$2,0)=$C$4)*('Sales and count'!$G$3:$CC$3="Total"),INDEX('Sales and count'!$G$4:$CC$300,'Sales Dashboard'!BF103,0)))</f>
        <v>7018.22</v>
      </c>
      <c r="AF104" s="281" cm="1">
        <f t="array" ref="AF104">IF(OR(AB104="",NOT(ISNUMBER('Sales Dashboard'!BG103))),0,SUMPRODUCT(('TY Sales Target'!$K$2:$AO$2=$C$4)*1,INDEX('TY Sales Target'!$K$5:$AO$300,'Sales Dashboard'!BG103,0)))</f>
        <v>9068.0825643033968</v>
      </c>
      <c r="AG104" s="281" cm="1">
        <f t="array" ref="AG104">IF(AB104="",0,SUMPRODUCT((TRIM('LY Sales '!$B$5:$B$200)=AB104)*('LY Sales '!$C$2:$AG$2=EDATE($C$4,-12)),'LY Sales '!$C$5:$AG$200))</f>
        <v>0</v>
      </c>
      <c r="AH104" s="271">
        <f t="shared" si="55"/>
        <v>1</v>
      </c>
      <c r="AI104" s="271">
        <f t="shared" si="56"/>
        <v>0</v>
      </c>
      <c r="AJ104" s="271">
        <f t="shared" si="57"/>
        <v>0</v>
      </c>
      <c r="AK104" s="271">
        <f t="shared" si="58"/>
        <v>0</v>
      </c>
      <c r="AL104" s="271">
        <f t="shared" si="59"/>
        <v>1</v>
      </c>
      <c r="AM104" s="306" cm="1">
        <f t="array" ref="AM104">IF(OR(AB104="",NOT(ISNUMBER('Sales Dashboard'!BF103))),0,SUMPRODUCT((IFERROR(--'Sales and count'!$G$2:$CC$2,0)=$F$4)*('Sales and count'!$G$3:$CC$3="Total"),INDEX('Sales and count'!$G$4:$CC$300,'Sales Dashboard'!BF103,0)))</f>
        <v>2630.21</v>
      </c>
      <c r="AN104" s="306" cm="1">
        <f t="array" ref="AN104">IF(OR(AB104="",NOT(ISNUMBER('Sales Dashboard'!BG103))),0,SUMPRODUCT(('TY Sales Target'!$K$2:$AO$2=$F$4)*1,INDEX('TY Sales Target'!$K$5:$AO$300,'Sales Dashboard'!BG103,0)))</f>
        <v>6296.0815357878928</v>
      </c>
      <c r="AO104" s="306" cm="1">
        <f t="array" ref="AO104">IF(AB104="",0,SUMPRODUCT((TRIM('LY Sales '!$B$5:$B$200)=AB104)*('LY Sales '!$C$2:$AG$2=EDATE($F$4,-12)),'LY Sales '!$C$5:$AG$200))</f>
        <v>0</v>
      </c>
      <c r="AP104">
        <f t="shared" si="60"/>
        <v>1</v>
      </c>
      <c r="AQ104">
        <f t="shared" si="61"/>
        <v>0</v>
      </c>
      <c r="AR104">
        <f t="shared" si="62"/>
        <v>0</v>
      </c>
      <c r="AS104">
        <f t="shared" si="63"/>
        <v>0</v>
      </c>
    </row>
    <row r="105" spans="1:45" x14ac:dyDescent="0.25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 t="str">
        <f>IF('Sales Dashboard'!AW104="","",'Sales Dashboard'!AW104)</f>
        <v>HABAHAB</v>
      </c>
      <c r="AC105" s="271" t="str">
        <f>IF(AB105="","",'Sales Dashboard'!AN104)</f>
        <v>Ahlam Al Zahrani</v>
      </c>
      <c r="AD105" s="271" t="str">
        <f>IF(AB105="","",'Sales Dashboard'!AO104)</f>
        <v>Baha</v>
      </c>
      <c r="AE105" s="281" cm="1">
        <f t="array" ref="AE105">IF(OR(AB105="",NOT(ISNUMBER('Sales Dashboard'!BF104))),0,SUMPRODUCT((IFERROR(--'Sales and count'!$G$2:$CC$2,0)=$C$4)*('Sales and count'!$G$3:$CC$3="Total"),INDEX('Sales and count'!$G$4:$CC$300,'Sales Dashboard'!BF104,0)))</f>
        <v>7780.12</v>
      </c>
      <c r="AF105" s="281" cm="1">
        <f t="array" ref="AF105">IF(OR(AB105="",NOT(ISNUMBER('Sales Dashboard'!BG104))),0,SUMPRODUCT(('TY Sales Target'!$K$2:$AO$2=$C$4)*1,INDEX('TY Sales Target'!$K$5:$AO$300,'Sales Dashboard'!BG104,0)))</f>
        <v>11698.172638162829</v>
      </c>
      <c r="AG105" s="281" cm="1">
        <f t="array" ref="AG105">IF(AB105="",0,SUMPRODUCT((TRIM('LY Sales '!$B$5:$B$200)=AB105)*('LY Sales '!$C$2:$AG$2=EDATE($C$4,-12)),'LY Sales '!$C$5:$AG$200))</f>
        <v>0</v>
      </c>
      <c r="AH105" s="271">
        <f t="shared" si="55"/>
        <v>1</v>
      </c>
      <c r="AI105" s="271">
        <f t="shared" si="56"/>
        <v>0</v>
      </c>
      <c r="AJ105" s="271">
        <f t="shared" si="57"/>
        <v>0</v>
      </c>
      <c r="AK105" s="271">
        <f t="shared" si="58"/>
        <v>0</v>
      </c>
      <c r="AL105" s="271">
        <f t="shared" si="59"/>
        <v>1</v>
      </c>
      <c r="AM105" s="306" cm="1">
        <f t="array" ref="AM105">IF(OR(AB105="",NOT(ISNUMBER('Sales Dashboard'!BF104))),0,SUMPRODUCT((IFERROR(--'Sales and count'!$G$2:$CC$2,0)=$F$4)*('Sales and count'!$G$3:$CC$3="Total"),INDEX('Sales and count'!$G$4:$CC$300,'Sales Dashboard'!BF104,0)))</f>
        <v>1795.11</v>
      </c>
      <c r="AN105" s="306" cm="1">
        <f t="array" ref="AN105">IF(OR(AB105="",NOT(ISNUMBER('Sales Dashboard'!BG104))),0,SUMPRODUCT(('TY Sales Target'!$K$2:$AO$2=$F$4)*1,INDEX('TY Sales Target'!$K$5:$AO$300,'Sales Dashboard'!BG104,0)))</f>
        <v>8122.1855036400484</v>
      </c>
      <c r="AO105" s="306" cm="1">
        <f t="array" ref="AO105">IF(AB105="",0,SUMPRODUCT((TRIM('LY Sales '!$B$5:$B$200)=AB105)*('LY Sales '!$C$2:$AG$2=EDATE($F$4,-12)),'LY Sales '!$C$5:$AG$200))</f>
        <v>0</v>
      </c>
      <c r="AP105">
        <f t="shared" si="60"/>
        <v>1</v>
      </c>
      <c r="AQ105">
        <f t="shared" si="61"/>
        <v>0</v>
      </c>
      <c r="AR105">
        <f t="shared" si="62"/>
        <v>0</v>
      </c>
      <c r="AS105">
        <f t="shared" si="63"/>
        <v>0</v>
      </c>
    </row>
    <row r="106" spans="1:45" x14ac:dyDescent="0.25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 t="str">
        <f>IF('Sales Dashboard'!AW105="","",'Sales Dashboard'!AW105)</f>
        <v>HAPARKTAIF</v>
      </c>
      <c r="AC106" s="271" t="str">
        <f>IF(AB106="","",'Sales Dashboard'!AN105)</f>
        <v>Saleh Bin Hoiel</v>
      </c>
      <c r="AD106" s="271" t="str">
        <f>IF(AB106="","",'Sales Dashboard'!AO105)</f>
        <v>Taif</v>
      </c>
      <c r="AE106" s="281" cm="1">
        <f t="array" ref="AE106">IF(OR(AB106="",NOT(ISNUMBER('Sales Dashboard'!BF105))),0,SUMPRODUCT((IFERROR(--'Sales and count'!$G$2:$CC$2,0)=$C$4)*('Sales and count'!$G$3:$CC$3="Total"),INDEX('Sales and count'!$G$4:$CC$300,'Sales Dashboard'!BF105,0)))</f>
        <v>6474.09</v>
      </c>
      <c r="AF106" s="281" cm="1">
        <f t="array" ref="AF106">IF(OR(AB106="",NOT(ISNUMBER('Sales Dashboard'!BG105))),0,SUMPRODUCT(('TY Sales Target'!$K$2:$AO$2=$C$4)*1,INDEX('TY Sales Target'!$K$5:$AO$300,'Sales Dashboard'!BG105,0)))</f>
        <v>9897.3965173958131</v>
      </c>
      <c r="AG106" s="281" cm="1">
        <f t="array" ref="AG106">IF(AB106="",0,SUMPRODUCT((TRIM('LY Sales '!$B$5:$B$200)=AB106)*('LY Sales '!$C$2:$AG$2=EDATE($C$4,-12)),'LY Sales '!$C$5:$AG$200))</f>
        <v>0</v>
      </c>
      <c r="AH106" s="271">
        <f t="shared" si="55"/>
        <v>1</v>
      </c>
      <c r="AI106" s="271">
        <f t="shared" si="56"/>
        <v>0</v>
      </c>
      <c r="AJ106" s="271">
        <f t="shared" si="57"/>
        <v>0</v>
      </c>
      <c r="AK106" s="271">
        <f t="shared" si="58"/>
        <v>0</v>
      </c>
      <c r="AL106" s="271">
        <f t="shared" si="59"/>
        <v>1</v>
      </c>
      <c r="AM106" s="306" cm="1">
        <f t="array" ref="AM106">IF(OR(AB106="",NOT(ISNUMBER('Sales Dashboard'!BF105))),0,SUMPRODUCT((IFERROR(--'Sales and count'!$G$2:$CC$2,0)=$F$4)*('Sales and count'!$G$3:$CC$3="Total"),INDEX('Sales and count'!$G$4:$CC$300,'Sales Dashboard'!BF105,0)))</f>
        <v>1365.11</v>
      </c>
      <c r="AN106" s="306" cm="1">
        <f t="array" ref="AN106">IF(OR(AB106="",NOT(ISNUMBER('Sales Dashboard'!BG105))),0,SUMPRODUCT(('TY Sales Target'!$K$2:$AO$2=$F$4)*1,INDEX('TY Sales Target'!$K$5:$AO$300,'Sales Dashboard'!BG105,0)))</f>
        <v>6871.8844390378736</v>
      </c>
      <c r="AO106" s="306" cm="1">
        <f t="array" ref="AO106">IF(AB106="",0,SUMPRODUCT((TRIM('LY Sales '!$B$5:$B$200)=AB106)*('LY Sales '!$C$2:$AG$2=EDATE($F$4,-12)),'LY Sales '!$C$5:$AG$200))</f>
        <v>0</v>
      </c>
      <c r="AP106">
        <f t="shared" si="60"/>
        <v>1</v>
      </c>
      <c r="AQ106">
        <f t="shared" si="61"/>
        <v>0</v>
      </c>
      <c r="AR106">
        <f t="shared" si="62"/>
        <v>0</v>
      </c>
      <c r="AS106">
        <f t="shared" si="63"/>
        <v>0</v>
      </c>
    </row>
    <row r="107" spans="1:45" x14ac:dyDescent="0.25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 t="str">
        <f>IF('Sales Dashboard'!AW106="","",'Sales Dashboard'!AW106)</f>
        <v>HAKHURAIS</v>
      </c>
      <c r="AC107" s="271" t="str">
        <f>IF(AB107="","",'Sales Dashboard'!AN106)</f>
        <v>Mohammed Sanad</v>
      </c>
      <c r="AD107" s="271" t="str">
        <f>IF(AB107="","",'Sales Dashboard'!AO106)</f>
        <v>Riyadh</v>
      </c>
      <c r="AE107" s="281" cm="1">
        <f t="array" ref="AE107">IF(OR(AB107="",NOT(ISNUMBER('Sales Dashboard'!BF106))),0,SUMPRODUCT((IFERROR(--'Sales and count'!$G$2:$CC$2,0)=$C$4)*('Sales and count'!$G$3:$CC$3="Total"),INDEX('Sales and count'!$G$4:$CC$300,'Sales Dashboard'!BF106,0)))</f>
        <v>5859.15</v>
      </c>
      <c r="AF107" s="281" cm="1">
        <f t="array" ref="AF107">IF(OR(AB107="",NOT(ISNUMBER('Sales Dashboard'!BG106))),0,SUMPRODUCT(('TY Sales Target'!$K$2:$AO$2=$C$4)*1,INDEX('TY Sales Target'!$K$5:$AO$300,'Sales Dashboard'!BG106,0)))</f>
        <v>12006.343953854219</v>
      </c>
      <c r="AG107" s="281" cm="1">
        <f t="array" ref="AG107">IF(AB107="",0,SUMPRODUCT((TRIM('LY Sales '!$B$5:$B$200)=AB107)*('LY Sales '!$C$2:$AG$2=EDATE($C$4,-12)),'LY Sales '!$C$5:$AG$200))</f>
        <v>0</v>
      </c>
      <c r="AH107" s="271">
        <f t="shared" si="55"/>
        <v>1</v>
      </c>
      <c r="AI107" s="271">
        <f t="shared" si="56"/>
        <v>0</v>
      </c>
      <c r="AJ107" s="271">
        <f t="shared" si="57"/>
        <v>0</v>
      </c>
      <c r="AK107" s="271">
        <f t="shared" si="58"/>
        <v>0</v>
      </c>
      <c r="AL107" s="271">
        <f t="shared" si="59"/>
        <v>1</v>
      </c>
      <c r="AM107" s="306" cm="1">
        <f t="array" ref="AM107">IF(OR(AB107="",NOT(ISNUMBER('Sales Dashboard'!BF106))),0,SUMPRODUCT((IFERROR(--'Sales and count'!$G$2:$CC$2,0)=$F$4)*('Sales and count'!$G$3:$CC$3="Total"),INDEX('Sales and count'!$G$4:$CC$300,'Sales Dashboard'!BF106,0)))</f>
        <v>2190.12</v>
      </c>
      <c r="AN107" s="306" cm="1">
        <f t="array" ref="AN107">IF(OR(AB107="",NOT(ISNUMBER('Sales Dashboard'!BG106))),0,SUMPRODUCT(('TY Sales Target'!$K$2:$AO$2=$F$4)*1,INDEX('TY Sales Target'!$K$5:$AO$300,'Sales Dashboard'!BG106,0)))</f>
        <v>8336.1526479426284</v>
      </c>
      <c r="AO107" s="306" cm="1">
        <f t="array" ref="AO107">IF(AB107="",0,SUMPRODUCT((TRIM('LY Sales '!$B$5:$B$200)=AB107)*('LY Sales '!$C$2:$AG$2=EDATE($F$4,-12)),'LY Sales '!$C$5:$AG$200))</f>
        <v>2170.0500000000002</v>
      </c>
      <c r="AP107">
        <f t="shared" si="60"/>
        <v>1</v>
      </c>
      <c r="AQ107">
        <f t="shared" si="61"/>
        <v>0</v>
      </c>
      <c r="AR107">
        <f t="shared" si="62"/>
        <v>1</v>
      </c>
      <c r="AS107">
        <f t="shared" si="63"/>
        <v>1</v>
      </c>
    </row>
    <row r="108" spans="1:45" x14ac:dyDescent="0.25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 t="str">
        <f>IF('Sales Dashboard'!AW107="","",'Sales Dashboard'!AW107)</f>
        <v>HATAIFJRY</v>
      </c>
      <c r="AC108" s="271" t="str">
        <f>IF(AB108="","",'Sales Dashboard'!AN107)</f>
        <v>Saleh Bin Hoiel</v>
      </c>
      <c r="AD108" s="271" t="str">
        <f>IF(AB108="","",'Sales Dashboard'!AO107)</f>
        <v>Taif</v>
      </c>
      <c r="AE108" s="281" cm="1">
        <f t="array" ref="AE108">IF(OR(AB108="",NOT(ISNUMBER('Sales Dashboard'!BF107))),0,SUMPRODUCT((IFERROR(--'Sales and count'!$G$2:$CC$2,0)=$C$4)*('Sales and count'!$G$3:$CC$3="Total"),INDEX('Sales and count'!$G$4:$CC$300,'Sales Dashboard'!BF107,0)))</f>
        <v>7348.2</v>
      </c>
      <c r="AF108" s="281" cm="1">
        <f t="array" ref="AF108">IF(OR(AB108="",NOT(ISNUMBER('Sales Dashboard'!BG107))),0,SUMPRODUCT(('TY Sales Target'!$K$2:$AO$2=$C$4)*1,INDEX('TY Sales Target'!$K$5:$AO$300,'Sales Dashboard'!BG107,0)))</f>
        <v>12639.550725627749</v>
      </c>
      <c r="AG108" s="281" cm="1">
        <f t="array" ref="AG108">IF(AB108="",0,SUMPRODUCT((TRIM('LY Sales '!$B$5:$B$200)=AB108)*('LY Sales '!$C$2:$AG$2=EDATE($C$4,-12)),'LY Sales '!$C$5:$AG$200))</f>
        <v>12296.31</v>
      </c>
      <c r="AH108" s="271">
        <f t="shared" si="55"/>
        <v>1</v>
      </c>
      <c r="AI108" s="271">
        <f t="shared" si="56"/>
        <v>0</v>
      </c>
      <c r="AJ108" s="271">
        <f t="shared" si="57"/>
        <v>1</v>
      </c>
      <c r="AK108" s="271">
        <f t="shared" si="58"/>
        <v>0</v>
      </c>
      <c r="AL108" s="271">
        <f t="shared" si="59"/>
        <v>1</v>
      </c>
      <c r="AM108" s="306" cm="1">
        <f t="array" ref="AM108">IF(OR(AB108="",NOT(ISNUMBER('Sales Dashboard'!BF107))),0,SUMPRODUCT((IFERROR(--'Sales and count'!$G$2:$CC$2,0)=$F$4)*('Sales and count'!$G$3:$CC$3="Total"),INDEX('Sales and count'!$G$4:$CC$300,'Sales Dashboard'!BF107,0)))</f>
        <v>3876.29</v>
      </c>
      <c r="AN108" s="306" cm="1">
        <f t="array" ref="AN108">IF(OR(AB108="",NOT(ISNUMBER('Sales Dashboard'!BG107))),0,SUMPRODUCT(('TY Sales Target'!$K$2:$AO$2=$F$4)*1,INDEX('TY Sales Target'!$K$5:$AO$300,'Sales Dashboard'!BG107,0)))</f>
        <v>8775.7959171595357</v>
      </c>
      <c r="AO108" s="306" cm="1">
        <f t="array" ref="AO108">IF(AB108="",0,SUMPRODUCT((TRIM('LY Sales '!$B$5:$B$200)=AB108)*('LY Sales '!$C$2:$AG$2=EDATE($F$4,-12)),'LY Sales '!$C$5:$AG$200))</f>
        <v>1802.03</v>
      </c>
      <c r="AP108">
        <f t="shared" si="60"/>
        <v>1</v>
      </c>
      <c r="AQ108">
        <f t="shared" si="61"/>
        <v>0</v>
      </c>
      <c r="AR108">
        <f t="shared" si="62"/>
        <v>1</v>
      </c>
      <c r="AS108">
        <f t="shared" si="63"/>
        <v>1</v>
      </c>
    </row>
    <row r="109" spans="1:45" x14ac:dyDescent="0.25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 t="str">
        <f>IF('Sales Dashboard'!AW108="","",'Sales Dashboard'!AW108)</f>
        <v>ALHAZIM</v>
      </c>
      <c r="AC109" s="271" t="str">
        <f>IF(AB109="","",'Sales Dashboard'!AN108)</f>
        <v>Ahmed Jaffari</v>
      </c>
      <c r="AD109" s="271" t="str">
        <f>IF(AB109="","",'Sales Dashboard'!AO108)</f>
        <v>Abha</v>
      </c>
      <c r="AE109" s="281" cm="1">
        <f t="array" ref="AE109">IF(OR(AB109="",NOT(ISNUMBER('Sales Dashboard'!BF108))),0,SUMPRODUCT((IFERROR(--'Sales and count'!$G$2:$CC$2,0)=$C$4)*('Sales and count'!$G$3:$CC$3="Total"),INDEX('Sales and count'!$G$4:$CC$300,'Sales Dashboard'!BF108,0)))</f>
        <v>7610.11</v>
      </c>
      <c r="AF109" s="281" cm="1">
        <f t="array" ref="AF109">IF(OR(AB109="",NOT(ISNUMBER('Sales Dashboard'!BG108))),0,SUMPRODUCT(('TY Sales Target'!$K$2:$AO$2=$C$4)*1,INDEX('TY Sales Target'!$K$5:$AO$300,'Sales Dashboard'!BG108,0)))</f>
        <v>16211.097321659705</v>
      </c>
      <c r="AG109" s="281" cm="1">
        <f t="array" ref="AG109">IF(AB109="",0,SUMPRODUCT((TRIM('LY Sales '!$B$5:$B$200)=AB109)*('LY Sales '!$C$2:$AG$2=EDATE($C$4,-12)),'LY Sales '!$C$5:$AG$200))</f>
        <v>20094.560000000001</v>
      </c>
      <c r="AH109" s="271">
        <f t="shared" si="55"/>
        <v>1</v>
      </c>
      <c r="AI109" s="271">
        <f t="shared" si="56"/>
        <v>0</v>
      </c>
      <c r="AJ109" s="271">
        <f t="shared" si="57"/>
        <v>1</v>
      </c>
      <c r="AK109" s="271">
        <f t="shared" si="58"/>
        <v>0</v>
      </c>
      <c r="AL109" s="271">
        <f t="shared" si="59"/>
        <v>1</v>
      </c>
      <c r="AM109" s="306" cm="1">
        <f t="array" ref="AM109">IF(OR(AB109="",NOT(ISNUMBER('Sales Dashboard'!BF108))),0,SUMPRODUCT((IFERROR(--'Sales and count'!$G$2:$CC$2,0)=$F$4)*('Sales and count'!$G$3:$CC$3="Total"),INDEX('Sales and count'!$G$4:$CC$300,'Sales Dashboard'!BF108,0)))</f>
        <v>4393.2700000000004</v>
      </c>
      <c r="AN109" s="306" cm="1">
        <f t="array" ref="AN109">IF(OR(AB109="",NOT(ISNUMBER('Sales Dashboard'!BG108))),0,SUMPRODUCT(('TY Sales Target'!$K$2:$AO$2=$F$4)*1,INDEX('TY Sales Target'!$K$5:$AO$300,'Sales Dashboard'!BG108,0)))</f>
        <v>11255.564756715785</v>
      </c>
      <c r="AO109" s="306" cm="1">
        <f t="array" ref="AO109">IF(AB109="",0,SUMPRODUCT((TRIM('LY Sales '!$B$5:$B$200)=AB109)*('LY Sales '!$C$2:$AG$2=EDATE($F$4,-12)),'LY Sales '!$C$5:$AG$200))</f>
        <v>8706.11</v>
      </c>
      <c r="AP109">
        <f t="shared" si="60"/>
        <v>1</v>
      </c>
      <c r="AQ109">
        <f t="shared" si="61"/>
        <v>0</v>
      </c>
      <c r="AR109">
        <f t="shared" si="62"/>
        <v>1</v>
      </c>
      <c r="AS109">
        <f t="shared" si="63"/>
        <v>0</v>
      </c>
    </row>
    <row r="110" spans="1:45" x14ac:dyDescent="0.25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 t="str">
        <f>IF('Sales Dashboard'!AW109="","",'Sales Dashboard'!AW109)</f>
        <v>HAJADBUR</v>
      </c>
      <c r="AC110" s="271" t="str">
        <f>IF(AB110="","",'Sales Dashboard'!AN109)</f>
        <v>Lina Al Ghathami</v>
      </c>
      <c r="AD110" s="271" t="str">
        <f>IF(AB110="","",'Sales Dashboard'!AO109)</f>
        <v>Buraidah</v>
      </c>
      <c r="AE110" s="281" cm="1">
        <f t="array" ref="AE110">IF(OR(AB110="",NOT(ISNUMBER('Sales Dashboard'!BF109))),0,SUMPRODUCT((IFERROR(--'Sales and count'!$G$2:$CC$2,0)=$C$4)*('Sales and count'!$G$3:$CC$3="Total"),INDEX('Sales and count'!$G$4:$CC$300,'Sales Dashboard'!BF109,0)))</f>
        <v>4651.0600000000004</v>
      </c>
      <c r="AF110" s="281" cm="1">
        <f t="array" ref="AF110">IF(OR(AB110="",NOT(ISNUMBER('Sales Dashboard'!BG109))),0,SUMPRODUCT(('TY Sales Target'!$K$2:$AO$2=$C$4)*1,INDEX('TY Sales Target'!$K$5:$AO$300,'Sales Dashboard'!BG109,0)))</f>
        <v>6839.0566825751876</v>
      </c>
      <c r="AG110" s="281" cm="1">
        <f t="array" ref="AG110">IF(AB110="",0,SUMPRODUCT((TRIM('LY Sales '!$B$5:$B$200)=AB110)*('LY Sales '!$C$2:$AG$2=EDATE($C$4,-12)),'LY Sales '!$C$5:$AG$200))</f>
        <v>0</v>
      </c>
      <c r="AH110" s="271">
        <f t="shared" si="55"/>
        <v>1</v>
      </c>
      <c r="AI110" s="271">
        <f t="shared" si="56"/>
        <v>0</v>
      </c>
      <c r="AJ110" s="271">
        <f t="shared" si="57"/>
        <v>0</v>
      </c>
      <c r="AK110" s="271">
        <f t="shared" si="58"/>
        <v>0</v>
      </c>
      <c r="AL110" s="271">
        <f t="shared" si="59"/>
        <v>1</v>
      </c>
      <c r="AM110" s="306" cm="1">
        <f t="array" ref="AM110">IF(OR(AB110="",NOT(ISNUMBER('Sales Dashboard'!BF109))),0,SUMPRODUCT((IFERROR(--'Sales and count'!$G$2:$CC$2,0)=$F$4)*('Sales and count'!$G$3:$CC$3="Total"),INDEX('Sales and count'!$G$4:$CC$300,'Sales Dashboard'!BF109,0)))</f>
        <v>1946.11</v>
      </c>
      <c r="AN110" s="306" cm="1">
        <f t="array" ref="AN110">IF(OR(AB110="",NOT(ISNUMBER('Sales Dashboard'!BG109))),0,SUMPRODUCT(('TY Sales Target'!$K$2:$AO$2=$F$4)*1,INDEX('TY Sales Target'!$K$5:$AO$300,'Sales Dashboard'!BG109,0)))</f>
        <v>4748.4413817394725</v>
      </c>
      <c r="AO110" s="306" cm="1">
        <f t="array" ref="AO110">IF(AB110="",0,SUMPRODUCT((TRIM('LY Sales '!$B$5:$B$200)=AB110)*('LY Sales '!$C$2:$AG$2=EDATE($F$4,-12)),'LY Sales '!$C$5:$AG$200))</f>
        <v>0</v>
      </c>
      <c r="AP110">
        <f t="shared" si="60"/>
        <v>1</v>
      </c>
      <c r="AQ110">
        <f t="shared" si="61"/>
        <v>0</v>
      </c>
      <c r="AR110">
        <f t="shared" si="62"/>
        <v>0</v>
      </c>
      <c r="AS110">
        <f t="shared" si="63"/>
        <v>0</v>
      </c>
    </row>
    <row r="111" spans="1:45" x14ac:dyDescent="0.25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 t="str">
        <f>IF('Sales Dashboard'!AW110="","",'Sales Dashboard'!AW110)</f>
        <v>HAOTHHAIL</v>
      </c>
      <c r="AC111" s="271" t="str">
        <f>IF(AB111="","",'Sales Dashboard'!AN110)</f>
        <v>Mohammed Sanad</v>
      </c>
      <c r="AD111" s="271" t="str">
        <f>IF(AB111="","",'Sales Dashboard'!AO110)</f>
        <v>Hail</v>
      </c>
      <c r="AE111" s="281" cm="1">
        <f t="array" ref="AE111">IF(OR(AB111="",NOT(ISNUMBER('Sales Dashboard'!BF110))),0,SUMPRODUCT((IFERROR(--'Sales and count'!$G$2:$CC$2,0)=$C$4)*('Sales and count'!$G$3:$CC$3="Total"),INDEX('Sales and count'!$G$4:$CC$300,'Sales Dashboard'!BF110,0)))</f>
        <v>2669.02</v>
      </c>
      <c r="AF111" s="281" cm="1">
        <f t="array" ref="AF111">IF(OR(AB111="",NOT(ISNUMBER('Sales Dashboard'!BG110))),0,SUMPRODUCT(('TY Sales Target'!$K$2:$AO$2=$C$4)*1,INDEX('TY Sales Target'!$K$5:$AO$300,'Sales Dashboard'!BG110,0)))</f>
        <v>8257.5276982204123</v>
      </c>
      <c r="AG111" s="281" cm="1">
        <f t="array" ref="AG111">IF(AB111="",0,SUMPRODUCT((TRIM('LY Sales '!$B$5:$B$200)=AB111)*('LY Sales '!$C$2:$AG$2=EDATE($C$4,-12)),'LY Sales '!$C$5:$AG$200))</f>
        <v>5705.1</v>
      </c>
      <c r="AH111" s="271">
        <f t="shared" si="55"/>
        <v>1</v>
      </c>
      <c r="AI111" s="271">
        <f t="shared" si="56"/>
        <v>0</v>
      </c>
      <c r="AJ111" s="271">
        <f t="shared" si="57"/>
        <v>1</v>
      </c>
      <c r="AK111" s="271">
        <f t="shared" si="58"/>
        <v>0</v>
      </c>
      <c r="AL111" s="271">
        <f t="shared" si="59"/>
        <v>1</v>
      </c>
      <c r="AM111" s="306" cm="1">
        <f t="array" ref="AM111">IF(OR(AB111="",NOT(ISNUMBER('Sales Dashboard'!BF110))),0,SUMPRODUCT((IFERROR(--'Sales and count'!$G$2:$CC$2,0)=$F$4)*('Sales and count'!$G$3:$CC$3="Total"),INDEX('Sales and count'!$G$4:$CC$300,'Sales Dashboard'!BF110,0)))</f>
        <v>1544.09</v>
      </c>
      <c r="AN111" s="306" cm="1">
        <f t="array" ref="AN111">IF(OR(AB111="",NOT(ISNUMBER('Sales Dashboard'!BG110))),0,SUMPRODUCT(('TY Sales Target'!$K$2:$AO$2=$F$4)*1,INDEX('TY Sales Target'!$K$5:$AO$300,'Sales Dashboard'!BG110,0)))</f>
        <v>5733.3032979521031</v>
      </c>
      <c r="AO111" s="306" cm="1">
        <f t="array" ref="AO111">IF(AB111="",0,SUMPRODUCT((TRIM('LY Sales '!$B$5:$B$200)=AB111)*('LY Sales '!$C$2:$AG$2=EDATE($F$4,-12)),'LY Sales '!$C$5:$AG$200))</f>
        <v>2078.02</v>
      </c>
      <c r="AP111">
        <f t="shared" si="60"/>
        <v>1</v>
      </c>
      <c r="AQ111">
        <f t="shared" si="61"/>
        <v>0</v>
      </c>
      <c r="AR111">
        <f t="shared" si="62"/>
        <v>1</v>
      </c>
      <c r="AS111">
        <f t="shared" si="63"/>
        <v>0</v>
      </c>
    </row>
    <row r="112" spans="1:45" x14ac:dyDescent="0.25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 t="str">
        <f>IF('Sales Dashboard'!AW111="","",'Sales Dashboard'!AW111)</f>
        <v>RYDTALA</v>
      </c>
      <c r="AC112" s="271" t="str">
        <f>IF(AB112="","",'Sales Dashboard'!AN111)</f>
        <v>Mohammed Sanad</v>
      </c>
      <c r="AD112" s="271" t="str">
        <f>IF(AB112="","",'Sales Dashboard'!AO111)</f>
        <v>Riyadh</v>
      </c>
      <c r="AE112" s="281" cm="1">
        <f t="array" ref="AE112">IF(OR(AB112="",NOT(ISNUMBER('Sales Dashboard'!BF111))),0,SUMPRODUCT((IFERROR(--'Sales and count'!$G$2:$CC$2,0)=$C$4)*('Sales and count'!$G$3:$CC$3="Total"),INDEX('Sales and count'!$G$4:$CC$300,'Sales Dashboard'!BF111,0)))</f>
        <v>2486.06</v>
      </c>
      <c r="AF112" s="281" cm="1">
        <f t="array" ref="AF112">IF(OR(AB112="",NOT(ISNUMBER('Sales Dashboard'!BG111))),0,SUMPRODUCT(('TY Sales Target'!$K$2:$AO$2=$C$4)*1,INDEX('TY Sales Target'!$K$5:$AO$300,'Sales Dashboard'!BG111,0)))</f>
        <v>6535.0986077940679</v>
      </c>
      <c r="AG112" s="281" cm="1">
        <f t="array" ref="AG112">IF(AB112="",0,SUMPRODUCT((TRIM('LY Sales '!$B$5:$B$200)=AB112)*('LY Sales '!$C$2:$AG$2=EDATE($C$4,-12)),'LY Sales '!$C$5:$AG$200))</f>
        <v>4488.1099999999997</v>
      </c>
      <c r="AH112" s="271">
        <f t="shared" si="55"/>
        <v>1</v>
      </c>
      <c r="AI112" s="271">
        <f t="shared" si="56"/>
        <v>0</v>
      </c>
      <c r="AJ112" s="271">
        <f t="shared" si="57"/>
        <v>1</v>
      </c>
      <c r="AK112" s="271">
        <f t="shared" si="58"/>
        <v>0</v>
      </c>
      <c r="AL112" s="271">
        <f t="shared" si="59"/>
        <v>1</v>
      </c>
      <c r="AM112" s="306" cm="1">
        <f t="array" ref="AM112">IF(OR(AB112="",NOT(ISNUMBER('Sales Dashboard'!BF111))),0,SUMPRODUCT((IFERROR(--'Sales and count'!$G$2:$CC$2,0)=$F$4)*('Sales and count'!$G$3:$CC$3="Total"),INDEX('Sales and count'!$G$4:$CC$300,'Sales Dashboard'!BF111,0)))</f>
        <v>1795.1</v>
      </c>
      <c r="AN112" s="306" cm="1">
        <f t="array" ref="AN112">IF(OR(AB112="",NOT(ISNUMBER('Sales Dashboard'!BG111))),0,SUMPRODUCT(('TY Sales Target'!$K$2:$AO$2=$F$4)*1,INDEX('TY Sales Target'!$K$5:$AO$300,'Sales Dashboard'!BG111,0)))</f>
        <v>4537.3995425510511</v>
      </c>
      <c r="AO112" s="306" cm="1">
        <f t="array" ref="AO112">IF(AB112="",0,SUMPRODUCT((TRIM('LY Sales '!$B$5:$B$200)=AB112)*('LY Sales '!$C$2:$AG$2=EDATE($F$4,-12)),'LY Sales '!$C$5:$AG$200))</f>
        <v>1867.05</v>
      </c>
      <c r="AP112">
        <f t="shared" si="60"/>
        <v>1</v>
      </c>
      <c r="AQ112">
        <f t="shared" si="61"/>
        <v>0</v>
      </c>
      <c r="AR112">
        <f t="shared" si="62"/>
        <v>1</v>
      </c>
      <c r="AS112">
        <f t="shared" si="63"/>
        <v>0</v>
      </c>
    </row>
    <row r="113" spans="1:45" x14ac:dyDescent="0.25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 t="str">
        <f>IF('Sales Dashboard'!AW112="","",'Sales Dashboard'!AW112)</f>
        <v>HABAHAML</v>
      </c>
      <c r="AC113" s="271" t="str">
        <f>IF(AB113="","",'Sales Dashboard'!AN112)</f>
        <v>Ahlam Al Zahrani</v>
      </c>
      <c r="AD113" s="271" t="str">
        <f>IF(AB113="","",'Sales Dashboard'!AO112)</f>
        <v>Baha</v>
      </c>
      <c r="AE113" s="281" cm="1">
        <f t="array" ref="AE113">IF(OR(AB113="",NOT(ISNUMBER('Sales Dashboard'!BF112))),0,SUMPRODUCT((IFERROR(--'Sales and count'!$G$2:$CC$2,0)=$C$4)*('Sales and count'!$G$3:$CC$3="Total"),INDEX('Sales and count'!$G$4:$CC$300,'Sales Dashboard'!BF112,0)))</f>
        <v>3294.07</v>
      </c>
      <c r="AF113" s="281" cm="1">
        <f t="array" ref="AF113">IF(OR(AB113="",NOT(ISNUMBER('Sales Dashboard'!BG112))),0,SUMPRODUCT(('TY Sales Target'!$K$2:$AO$2=$C$4)*1,INDEX('TY Sales Target'!$K$5:$AO$300,'Sales Dashboard'!BG112,0)))</f>
        <v>7749.5254426330221</v>
      </c>
      <c r="AG113" s="281" cm="1">
        <f t="array" ref="AG113">IF(AB113="",0,SUMPRODUCT((TRIM('LY Sales '!$B$5:$B$200)=AB113)*('LY Sales '!$C$2:$AG$2=EDATE($C$4,-12)),'LY Sales '!$C$5:$AG$200))</f>
        <v>0</v>
      </c>
      <c r="AH113" s="271">
        <f t="shared" si="55"/>
        <v>1</v>
      </c>
      <c r="AI113" s="271">
        <f t="shared" si="56"/>
        <v>0</v>
      </c>
      <c r="AJ113" s="271">
        <f t="shared" si="57"/>
        <v>0</v>
      </c>
      <c r="AK113" s="271">
        <f t="shared" si="58"/>
        <v>0</v>
      </c>
      <c r="AL113" s="271">
        <f t="shared" si="59"/>
        <v>1</v>
      </c>
      <c r="AM113" s="306" cm="1">
        <f t="array" ref="AM113">IF(OR(AB113="",NOT(ISNUMBER('Sales Dashboard'!BF112))),0,SUMPRODUCT((IFERROR(--'Sales and count'!$G$2:$CC$2,0)=$F$4)*('Sales and count'!$G$3:$CC$3="Total"),INDEX('Sales and count'!$G$4:$CC$300,'Sales Dashboard'!BF112,0)))</f>
        <v>2051.12</v>
      </c>
      <c r="AN113" s="306" cm="1">
        <f t="array" ref="AN113">IF(OR(AB113="",NOT(ISNUMBER('Sales Dashboard'!BG112))),0,SUMPRODUCT(('TY Sales Target'!$K$2:$AO$2=$F$4)*1,INDEX('TY Sales Target'!$K$5:$AO$300,'Sales Dashboard'!BG112,0)))</f>
        <v>5380.591068121621</v>
      </c>
      <c r="AO113" s="306" cm="1">
        <f t="array" ref="AO113">IF(AB113="",0,SUMPRODUCT((TRIM('LY Sales '!$B$5:$B$200)=AB113)*('LY Sales '!$C$2:$AG$2=EDATE($F$4,-12)),'LY Sales '!$C$5:$AG$200))</f>
        <v>0</v>
      </c>
      <c r="AP113">
        <f t="shared" si="60"/>
        <v>1</v>
      </c>
      <c r="AQ113">
        <f t="shared" si="61"/>
        <v>0</v>
      </c>
      <c r="AR113">
        <f t="shared" si="62"/>
        <v>0</v>
      </c>
      <c r="AS113">
        <f t="shared" si="63"/>
        <v>0</v>
      </c>
    </row>
    <row r="114" spans="1:45" x14ac:dyDescent="0.25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 t="str">
        <f>IF('Sales Dashboard'!AW113="","",'Sales Dashboard'!AW113)</f>
        <v>HASULITMAL</v>
      </c>
      <c r="AC114" s="271" t="str">
        <f>IF(AB114="","",'Sales Dashboard'!AN113)</f>
        <v>Mohammed Sanad</v>
      </c>
      <c r="AD114" s="271" t="str">
        <f>IF(AB114="","",'Sales Dashboard'!AO113)</f>
        <v>Riyadh</v>
      </c>
      <c r="AE114" s="281" cm="1">
        <f t="array" ref="AE114">IF(OR(AB114="",NOT(ISNUMBER('Sales Dashboard'!BF113))),0,SUMPRODUCT((IFERROR(--'Sales and count'!$G$2:$CC$2,0)=$C$4)*('Sales and count'!$G$3:$CC$3="Total"),INDEX('Sales and count'!$G$4:$CC$300,'Sales Dashboard'!BF113,0)))</f>
        <v>5816.11</v>
      </c>
      <c r="AF114" s="281" cm="1">
        <f t="array" ref="AF114">IF(OR(AB114="",NOT(ISNUMBER('Sales Dashboard'!BG113))),0,SUMPRODUCT(('TY Sales Target'!$K$2:$AO$2=$C$4)*1,INDEX('TY Sales Target'!$K$5:$AO$300,'Sales Dashboard'!BG113,0)))</f>
        <v>12664.919782546644</v>
      </c>
      <c r="AG114" s="281" cm="1">
        <f t="array" ref="AG114">IF(AB114="",0,SUMPRODUCT((TRIM('LY Sales '!$B$5:$B$200)=AB114)*('LY Sales '!$C$2:$AG$2=EDATE($C$4,-12)),'LY Sales '!$C$5:$AG$200))</f>
        <v>0</v>
      </c>
      <c r="AH114" s="271">
        <f t="shared" si="55"/>
        <v>1</v>
      </c>
      <c r="AI114" s="271">
        <f t="shared" si="56"/>
        <v>0</v>
      </c>
      <c r="AJ114" s="271">
        <f t="shared" si="57"/>
        <v>0</v>
      </c>
      <c r="AK114" s="271">
        <f t="shared" si="58"/>
        <v>0</v>
      </c>
      <c r="AL114" s="271">
        <f t="shared" si="59"/>
        <v>1</v>
      </c>
      <c r="AM114" s="306" cm="1">
        <f t="array" ref="AM114">IF(OR(AB114="",NOT(ISNUMBER('Sales Dashboard'!BF113))),0,SUMPRODUCT((IFERROR(--'Sales and count'!$G$2:$CC$2,0)=$F$4)*('Sales and count'!$G$3:$CC$3="Total"),INDEX('Sales and count'!$G$4:$CC$300,'Sales Dashboard'!BF113,0)))</f>
        <v>2229.16</v>
      </c>
      <c r="AN114" s="306" cm="1">
        <f t="array" ref="AN114">IF(OR(AB114="",NOT(ISNUMBER('Sales Dashboard'!BG113))),0,SUMPRODUCT(('TY Sales Target'!$K$2:$AO$2=$F$4)*1,INDEX('TY Sales Target'!$K$5:$AO$300,'Sales Dashboard'!BG113,0)))</f>
        <v>8793.4099661842083</v>
      </c>
      <c r="AO114" s="306" cm="1">
        <f t="array" ref="AO114">IF(AB114="",0,SUMPRODUCT((TRIM('LY Sales '!$B$5:$B$200)=AB114)*('LY Sales '!$C$2:$AG$2=EDATE($F$4,-12)),'LY Sales '!$C$5:$AG$200))</f>
        <v>0</v>
      </c>
      <c r="AP114">
        <f t="shared" si="60"/>
        <v>1</v>
      </c>
      <c r="AQ114">
        <f t="shared" si="61"/>
        <v>0</v>
      </c>
      <c r="AR114">
        <f t="shared" si="62"/>
        <v>0</v>
      </c>
      <c r="AS114">
        <f t="shared" si="63"/>
        <v>0</v>
      </c>
    </row>
    <row r="115" spans="1:45" x14ac:dyDescent="0.25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 t="str">
        <f>IF('Sales Dashboard'!AW114="","",'Sales Dashboard'!AW114)</f>
        <v>ABHATIMESQ</v>
      </c>
      <c r="AC115" s="271" t="str">
        <f>IF(AB115="","",'Sales Dashboard'!AN114)</f>
        <v>Ahmed Jaffari</v>
      </c>
      <c r="AD115" s="271" t="str">
        <f>IF(AB115="","",'Sales Dashboard'!AO114)</f>
        <v>Abha</v>
      </c>
      <c r="AE115" s="281" cm="1">
        <f t="array" ref="AE115">IF(OR(AB115="",NOT(ISNUMBER('Sales Dashboard'!BF114))),0,SUMPRODUCT((IFERROR(--'Sales and count'!$G$2:$CC$2,0)=$C$4)*('Sales and count'!$G$3:$CC$3="Total"),INDEX('Sales and count'!$G$4:$CC$300,'Sales Dashboard'!BF114,0)))</f>
        <v>9082.23</v>
      </c>
      <c r="AF115" s="281" cm="1">
        <f t="array" ref="AF115">IF(OR(AB115="",NOT(ISNUMBER('Sales Dashboard'!BG114))),0,SUMPRODUCT(('TY Sales Target'!$K$2:$AO$2=$C$4)*1,INDEX('TY Sales Target'!$K$5:$AO$300,'Sales Dashboard'!BG114,0)))</f>
        <v>18237.484486867168</v>
      </c>
      <c r="AG115" s="281" cm="1">
        <f t="array" ref="AG115">IF(AB115="",0,SUMPRODUCT((TRIM('LY Sales '!$B$5:$B$200)=AB115)*('LY Sales '!$C$2:$AG$2=EDATE($C$4,-12)),'LY Sales '!$C$5:$AG$200))</f>
        <v>13435.36</v>
      </c>
      <c r="AH115" s="271">
        <f t="shared" si="55"/>
        <v>1</v>
      </c>
      <c r="AI115" s="271">
        <f t="shared" si="56"/>
        <v>0</v>
      </c>
      <c r="AJ115" s="271">
        <f t="shared" si="57"/>
        <v>1</v>
      </c>
      <c r="AK115" s="271">
        <f t="shared" si="58"/>
        <v>0</v>
      </c>
      <c r="AL115" s="271">
        <f t="shared" si="59"/>
        <v>1</v>
      </c>
      <c r="AM115" s="306" cm="1">
        <f t="array" ref="AM115">IF(OR(AB115="",NOT(ISNUMBER('Sales Dashboard'!BF114))),0,SUMPRODUCT((IFERROR(--'Sales and count'!$G$2:$CC$2,0)=$F$4)*('Sales and count'!$G$3:$CC$3="Total"),INDEX('Sales and count'!$G$4:$CC$300,'Sales Dashboard'!BF114,0)))</f>
        <v>3124.24</v>
      </c>
      <c r="AN115" s="306" cm="1">
        <f t="array" ref="AN115">IF(OR(AB115="",NOT(ISNUMBER('Sales Dashboard'!BG114))),0,SUMPRODUCT(('TY Sales Target'!$K$2:$AO$2=$F$4)*1,INDEX('TY Sales Target'!$K$5:$AO$300,'Sales Dashboard'!BG114,0)))</f>
        <v>12662.510351305258</v>
      </c>
      <c r="AO115" s="306" cm="1">
        <f t="array" ref="AO115">IF(AB115="",0,SUMPRODUCT((TRIM('LY Sales '!$B$5:$B$200)=AB115)*('LY Sales '!$C$2:$AG$2=EDATE($F$4,-12)),'LY Sales '!$C$5:$AG$200))</f>
        <v>7584.14</v>
      </c>
      <c r="AP115">
        <f t="shared" si="60"/>
        <v>1</v>
      </c>
      <c r="AQ115">
        <f t="shared" si="61"/>
        <v>0</v>
      </c>
      <c r="AR115">
        <f t="shared" si="62"/>
        <v>1</v>
      </c>
      <c r="AS115">
        <f t="shared" si="63"/>
        <v>0</v>
      </c>
    </row>
    <row r="116" spans="1:45" x14ac:dyDescent="0.25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 t="str">
        <f>IF('Sales Dashboard'!AW115="","",'Sales Dashboard'!AW115)</f>
        <v>HAKHAMBLV</v>
      </c>
      <c r="AC116" s="271" t="str">
        <f>IF(AB116="","",'Sales Dashboard'!AN115)</f>
        <v>Ahmed Jaffari</v>
      </c>
      <c r="AD116" s="271" t="str">
        <f>IF(AB116="","",'Sales Dashboard'!AO115)</f>
        <v>Khamis meshaet</v>
      </c>
      <c r="AE116" s="281" cm="1">
        <f t="array" ref="AE116">IF(OR(AB116="",NOT(ISNUMBER('Sales Dashboard'!BF115))),0,SUMPRODUCT((IFERROR(--'Sales and count'!$G$2:$CC$2,0)=$C$4)*('Sales and count'!$G$3:$CC$3="Total"),INDEX('Sales and count'!$G$4:$CC$300,'Sales Dashboard'!BF115,0)))</f>
        <v>6286.1</v>
      </c>
      <c r="AF116" s="281" cm="1">
        <f t="array" ref="AF116">IF(OR(AB116="",NOT(ISNUMBER('Sales Dashboard'!BG115))),0,SUMPRODUCT(('TY Sales Target'!$K$2:$AO$2=$C$4)*1,INDEX('TY Sales Target'!$K$5:$AO$300,'Sales Dashboard'!BG115,0)))</f>
        <v>15197.903739055973</v>
      </c>
      <c r="AG116" s="281" cm="1">
        <f t="array" ref="AG116">IF(AB116="",0,SUMPRODUCT((TRIM('LY Sales '!$B$5:$B$200)=AB116)*('LY Sales '!$C$2:$AG$2=EDATE($C$4,-12)),'LY Sales '!$C$5:$AG$200))</f>
        <v>16775.509999999998</v>
      </c>
      <c r="AH116" s="271">
        <f t="shared" si="55"/>
        <v>1</v>
      </c>
      <c r="AI116" s="271">
        <f t="shared" si="56"/>
        <v>0</v>
      </c>
      <c r="AJ116" s="271">
        <f t="shared" si="57"/>
        <v>1</v>
      </c>
      <c r="AK116" s="271">
        <f t="shared" si="58"/>
        <v>0</v>
      </c>
      <c r="AL116" s="271">
        <f t="shared" si="59"/>
        <v>1</v>
      </c>
      <c r="AM116" s="306" cm="1">
        <f t="array" ref="AM116">IF(OR(AB116="",NOT(ISNUMBER('Sales Dashboard'!BF115))),0,SUMPRODUCT((IFERROR(--'Sales and count'!$G$2:$CC$2,0)=$F$4)*('Sales and count'!$G$3:$CC$3="Total"),INDEX('Sales and count'!$G$4:$CC$300,'Sales Dashboard'!BF115,0)))</f>
        <v>2541.14</v>
      </c>
      <c r="AN116" s="306" cm="1">
        <f t="array" ref="AN116">IF(OR(AB116="",NOT(ISNUMBER('Sales Dashboard'!BG115))),0,SUMPRODUCT(('TY Sales Target'!$K$2:$AO$2=$F$4)*1,INDEX('TY Sales Target'!$K$5:$AO$300,'Sales Dashboard'!BG115,0)))</f>
        <v>10552.09195942105</v>
      </c>
      <c r="AO116" s="306" cm="1">
        <f t="array" ref="AO116">IF(AB116="",0,SUMPRODUCT((TRIM('LY Sales '!$B$5:$B$200)=AB116)*('LY Sales '!$C$2:$AG$2=EDATE($F$4,-12)),'LY Sales '!$C$5:$AG$200))</f>
        <v>3674.08</v>
      </c>
      <c r="AP116">
        <f t="shared" si="60"/>
        <v>1</v>
      </c>
      <c r="AQ116">
        <f t="shared" si="61"/>
        <v>0</v>
      </c>
      <c r="AR116">
        <f t="shared" si="62"/>
        <v>1</v>
      </c>
      <c r="AS116">
        <f t="shared" si="63"/>
        <v>0</v>
      </c>
    </row>
    <row r="117" spans="1:45" x14ac:dyDescent="0.25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 t="str">
        <f>IF('Sales Dashboard'!AW116="","",'Sales Dashboard'!AW116)</f>
        <v>HAKHAYLPLZ</v>
      </c>
      <c r="AC117" s="271" t="str">
        <f>IF(AB117="","",'Sales Dashboard'!AN116)</f>
        <v>Ahlam Al Zahrani</v>
      </c>
      <c r="AD117" s="271" t="str">
        <f>IF(AB117="","",'Sales Dashboard'!AO116)</f>
        <v>Qunfudah</v>
      </c>
      <c r="AE117" s="281" cm="1">
        <f t="array" ref="AE117">IF(OR(AB117="",NOT(ISNUMBER('Sales Dashboard'!BF116))),0,SUMPRODUCT((IFERROR(--'Sales and count'!$G$2:$CC$2,0)=$C$4)*('Sales and count'!$G$3:$CC$3="Total"),INDEX('Sales and count'!$G$4:$CC$300,'Sales Dashboard'!BF116,0)))</f>
        <v>7880.13</v>
      </c>
      <c r="AF117" s="281" cm="1">
        <f t="array" ref="AF117">IF(OR(AB117="",NOT(ISNUMBER('Sales Dashboard'!BG116))),0,SUMPRODUCT(('TY Sales Target'!$K$2:$AO$2=$C$4)*1,INDEX('TY Sales Target'!$K$5:$AO$300,'Sales Dashboard'!BG116,0)))</f>
        <v>17217.127926446025</v>
      </c>
      <c r="AG117" s="281" cm="1">
        <f t="array" ref="AG117">IF(AB117="",0,SUMPRODUCT((TRIM('LY Sales '!$B$5:$B$200)=AB117)*('LY Sales '!$C$2:$AG$2=EDATE($C$4,-12)),'LY Sales '!$C$5:$AG$200))</f>
        <v>0</v>
      </c>
      <c r="AH117" s="271">
        <f t="shared" si="55"/>
        <v>1</v>
      </c>
      <c r="AI117" s="271">
        <f t="shared" si="56"/>
        <v>0</v>
      </c>
      <c r="AJ117" s="271">
        <f t="shared" si="57"/>
        <v>0</v>
      </c>
      <c r="AK117" s="271">
        <f t="shared" si="58"/>
        <v>0</v>
      </c>
      <c r="AL117" s="271">
        <f t="shared" si="59"/>
        <v>1</v>
      </c>
      <c r="AM117" s="306" cm="1">
        <f t="array" ref="AM117">IF(OR(AB117="",NOT(ISNUMBER('Sales Dashboard'!BF116))),0,SUMPRODUCT((IFERROR(--'Sales and count'!$G$2:$CC$2,0)=$F$4)*('Sales and count'!$G$3:$CC$3="Total"),INDEX('Sales and count'!$G$4:$CC$300,'Sales Dashboard'!BF116,0)))</f>
        <v>1280.0999999999999</v>
      </c>
      <c r="AN117" s="306" cm="1">
        <f t="array" ref="AN117">IF(OR(AB117="",NOT(ISNUMBER('Sales Dashboard'!BG116))),0,SUMPRODUCT(('TY Sales Target'!$K$2:$AO$2=$F$4)*1,INDEX('TY Sales Target'!$K$5:$AO$300,'Sales Dashboard'!BG116,0)))</f>
        <v>11954.064210190849</v>
      </c>
      <c r="AO117" s="306" cm="1">
        <f t="array" ref="AO117">IF(AB117="",0,SUMPRODUCT((TRIM('LY Sales '!$B$5:$B$200)=AB117)*('LY Sales '!$C$2:$AG$2=EDATE($F$4,-12)),'LY Sales '!$C$5:$AG$200))</f>
        <v>0</v>
      </c>
      <c r="AP117">
        <f t="shared" si="60"/>
        <v>1</v>
      </c>
      <c r="AQ117">
        <f t="shared" si="61"/>
        <v>0</v>
      </c>
      <c r="AR117">
        <f t="shared" si="62"/>
        <v>0</v>
      </c>
      <c r="AS117">
        <f t="shared" si="63"/>
        <v>0</v>
      </c>
    </row>
    <row r="118" spans="1:45" x14ac:dyDescent="0.25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 t="str">
        <f>IF('Sales Dashboard'!AW117="","",'Sales Dashboard'!AW117)</f>
        <v>HAKHMAVE</v>
      </c>
      <c r="AC118" s="271" t="str">
        <f>IF(AB118="","",'Sales Dashboard'!AN117)</f>
        <v>Ahmed Jaffari</v>
      </c>
      <c r="AD118" s="271" t="str">
        <f>IF(AB118="","",'Sales Dashboard'!AO117)</f>
        <v>Khamis meshaet</v>
      </c>
      <c r="AE118" s="281" cm="1">
        <f t="array" ref="AE118">IF(OR(AB118="",NOT(ISNUMBER('Sales Dashboard'!BF117))),0,SUMPRODUCT((IFERROR(--'Sales and count'!$G$2:$CC$2,0)=$C$4)*('Sales and count'!$G$3:$CC$3="Total"),INDEX('Sales and count'!$G$4:$CC$300,'Sales Dashboard'!BF117,0)))</f>
        <v>3742.13</v>
      </c>
      <c r="AF118" s="281" cm="1">
        <f t="array" ref="AF118">IF(OR(AB118="",NOT(ISNUMBER('Sales Dashboard'!BG117))),0,SUMPRODUCT(('TY Sales Target'!$K$2:$AO$2=$C$4)*1,INDEX('TY Sales Target'!$K$5:$AO$300,'Sales Dashboard'!BG117,0)))</f>
        <v>8358.8470564807849</v>
      </c>
      <c r="AG118" s="281" cm="1">
        <f t="array" ref="AG118">IF(AB118="",0,SUMPRODUCT((TRIM('LY Sales '!$B$5:$B$200)=AB118)*('LY Sales '!$C$2:$AG$2=EDATE($C$4,-12)),'LY Sales '!$C$5:$AG$200))</f>
        <v>0</v>
      </c>
      <c r="AH118" s="271">
        <f t="shared" si="55"/>
        <v>1</v>
      </c>
      <c r="AI118" s="271">
        <f t="shared" si="56"/>
        <v>0</v>
      </c>
      <c r="AJ118" s="271">
        <f t="shared" si="57"/>
        <v>0</v>
      </c>
      <c r="AK118" s="271">
        <f t="shared" si="58"/>
        <v>0</v>
      </c>
      <c r="AL118" s="271">
        <f t="shared" si="59"/>
        <v>1</v>
      </c>
      <c r="AM118" s="306" cm="1">
        <f t="array" ref="AM118">IF(OR(AB118="",NOT(ISNUMBER('Sales Dashboard'!BF117))),0,SUMPRODUCT((IFERROR(--'Sales and count'!$G$2:$CC$2,0)=$F$4)*('Sales and count'!$G$3:$CC$3="Total"),INDEX('Sales and count'!$G$4:$CC$300,'Sales Dashboard'!BF117,0)))</f>
        <v>783.06</v>
      </c>
      <c r="AN118" s="306" cm="1">
        <f t="array" ref="AN118">IF(OR(AB118="",NOT(ISNUMBER('Sales Dashboard'!BG117))),0,SUMPRODUCT(('TY Sales Target'!$K$2:$AO$2=$F$4)*1,INDEX('TY Sales Target'!$K$5:$AO$300,'Sales Dashboard'!BG117,0)))</f>
        <v>5803.6505776815766</v>
      </c>
      <c r="AO118" s="306" cm="1">
        <f t="array" ref="AO118">IF(AB118="",0,SUMPRODUCT((TRIM('LY Sales '!$B$5:$B$200)=AB118)*('LY Sales '!$C$2:$AG$2=EDATE($F$4,-12)),'LY Sales '!$C$5:$AG$200))</f>
        <v>0</v>
      </c>
      <c r="AP118">
        <f t="shared" si="60"/>
        <v>1</v>
      </c>
      <c r="AQ118">
        <f t="shared" si="61"/>
        <v>0</v>
      </c>
      <c r="AR118">
        <f t="shared" si="62"/>
        <v>0</v>
      </c>
      <c r="AS118">
        <f t="shared" si="63"/>
        <v>0</v>
      </c>
    </row>
    <row r="119" spans="1:45" x14ac:dyDescent="0.25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 t="str">
        <f>IF('Sales Dashboard'!AW118="","",'Sales Dashboard'!AW118)</f>
        <v>HAQATVDPLC</v>
      </c>
      <c r="AC119" s="271" t="str">
        <f>IF(AB119="","",'Sales Dashboard'!AN118)</f>
        <v>No assignment</v>
      </c>
      <c r="AD119" s="271" t="str">
        <f>IF(AB119="","",'Sales Dashboard'!AO118)</f>
        <v>Doha</v>
      </c>
      <c r="AE119" s="281" cm="1">
        <f t="array" ref="AE119">IF(OR(AB119="",NOT(ISNUMBER('Sales Dashboard'!BF118))),0,SUMPRODUCT((IFERROR(--'Sales and count'!$G$2:$CC$2,0)=$C$4)*('Sales and count'!$G$3:$CC$3="Total"),INDEX('Sales and count'!$G$4:$CC$300,'Sales Dashboard'!BF118,0)))</f>
        <v>20193</v>
      </c>
      <c r="AF119" s="281" cm="1">
        <f t="array" ref="AF119">IF(OR(AB119="",NOT(ISNUMBER('Sales Dashboard'!BG118))),0,SUMPRODUCT(('TY Sales Target'!$K$2:$AO$2=$C$4)*1,INDEX('TY Sales Target'!$K$5:$AO$300,'Sales Dashboard'!BG118,0)))</f>
        <v>50659.679130186574</v>
      </c>
      <c r="AG119" s="281" cm="1">
        <f t="array" ref="AG119">IF(AB119="",0,SUMPRODUCT((TRIM('LY Sales '!$B$5:$B$200)=AB119)*('LY Sales '!$C$2:$AG$2=EDATE($C$4,-12)),'LY Sales '!$C$5:$AG$200))</f>
        <v>0</v>
      </c>
      <c r="AH119" s="271">
        <f t="shared" si="55"/>
        <v>1</v>
      </c>
      <c r="AI119" s="271">
        <f t="shared" si="56"/>
        <v>0</v>
      </c>
      <c r="AJ119" s="271">
        <f t="shared" si="57"/>
        <v>0</v>
      </c>
      <c r="AK119" s="271">
        <f t="shared" si="58"/>
        <v>0</v>
      </c>
      <c r="AL119" s="271">
        <f t="shared" si="59"/>
        <v>0</v>
      </c>
      <c r="AM119" s="306" cm="1">
        <f t="array" ref="AM119">IF(OR(AB119="",NOT(ISNUMBER('Sales Dashboard'!BF118))),0,SUMPRODUCT((IFERROR(--'Sales and count'!$G$2:$CC$2,0)=$F$4)*('Sales and count'!$G$3:$CC$3="Total"),INDEX('Sales and count'!$G$4:$CC$300,'Sales Dashboard'!BF118,0)))</f>
        <v>21262</v>
      </c>
      <c r="AN119" s="306" cm="1">
        <f t="array" ref="AN119">IF(OR(AB119="",NOT(ISNUMBER('Sales Dashboard'!BG118))),0,SUMPRODUCT(('TY Sales Target'!$K$2:$AO$2=$F$4)*1,INDEX('TY Sales Target'!$K$5:$AO$300,'Sales Dashboard'!BG118,0)))</f>
        <v>35173.639864736833</v>
      </c>
      <c r="AO119" s="306" cm="1">
        <f t="array" ref="AO119">IF(AB119="",0,SUMPRODUCT((TRIM('LY Sales '!$B$5:$B$200)=AB119)*('LY Sales '!$C$2:$AG$2=EDATE($F$4,-12)),'LY Sales '!$C$5:$AG$200))</f>
        <v>0</v>
      </c>
      <c r="AP119">
        <f t="shared" si="60"/>
        <v>1</v>
      </c>
      <c r="AQ119">
        <f t="shared" si="61"/>
        <v>0</v>
      </c>
      <c r="AR119">
        <f t="shared" si="62"/>
        <v>0</v>
      </c>
      <c r="AS119">
        <f t="shared" si="63"/>
        <v>0</v>
      </c>
    </row>
    <row r="120" spans="1:45" x14ac:dyDescent="0.25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 t="str">
        <f>IF('Sales Dashboard'!AW119="","",'Sales Dashboard'!AW119)</f>
        <v>KHALIL SUQARE</v>
      </c>
      <c r="AC120" s="271" t="str">
        <f>IF(AB120="","",'Sales Dashboard'!AN119)</f>
        <v>Maram Zamzami</v>
      </c>
      <c r="AD120" s="271" t="str">
        <f>IF(AB120="","",'Sales Dashboard'!AO119)</f>
        <v>Makkah</v>
      </c>
      <c r="AE120" s="281" cm="1">
        <f t="array" ref="AE120">IF(OR(AB120="",NOT(ISNUMBER('Sales Dashboard'!BF119))),0,SUMPRODUCT((IFERROR(--'Sales and count'!$G$2:$CC$2,0)=$C$4)*('Sales and count'!$G$3:$CC$3="Total"),INDEX('Sales and count'!$G$4:$CC$300,'Sales Dashboard'!BF119,0)))</f>
        <v>0</v>
      </c>
      <c r="AF120" s="281" cm="1">
        <f t="array" ref="AF120">IF(OR(AB120="",NOT(ISNUMBER('Sales Dashboard'!BG119))),0,SUMPRODUCT(('TY Sales Target'!$K$2:$AO$2=$C$4)*1,INDEX('TY Sales Target'!$K$5:$AO$300,'Sales Dashboard'!BG119,0)))</f>
        <v>4052.7743304149262</v>
      </c>
      <c r="AG120" s="281" cm="1">
        <f t="array" ref="AG120">IF(AB120="",0,SUMPRODUCT((TRIM('LY Sales '!$B$5:$B$200)=AB120)*('LY Sales '!$C$2:$AG$2=EDATE($C$4,-12)),'LY Sales '!$C$5:$AG$200))</f>
        <v>0</v>
      </c>
      <c r="AH120" s="271">
        <f t="shared" si="55"/>
        <v>1</v>
      </c>
      <c r="AI120" s="271">
        <f t="shared" si="56"/>
        <v>0</v>
      </c>
      <c r="AJ120" s="271">
        <f t="shared" si="57"/>
        <v>0</v>
      </c>
      <c r="AK120" s="271">
        <f t="shared" si="58"/>
        <v>0</v>
      </c>
      <c r="AL120" s="271">
        <f t="shared" si="59"/>
        <v>1</v>
      </c>
      <c r="AM120" s="306" cm="1">
        <f t="array" ref="AM120">IF(OR(AB120="",NOT(ISNUMBER('Sales Dashboard'!BF119))),0,SUMPRODUCT((IFERROR(--'Sales and count'!$G$2:$CC$2,0)=$F$4)*('Sales and count'!$G$3:$CC$3="Total"),INDEX('Sales and count'!$G$4:$CC$300,'Sales Dashboard'!BF119,0)))</f>
        <v>0</v>
      </c>
      <c r="AN120" s="306" cm="1">
        <f t="array" ref="AN120">IF(OR(AB120="",NOT(ISNUMBER('Sales Dashboard'!BG119))),0,SUMPRODUCT(('TY Sales Target'!$K$2:$AO$2=$F$4)*1,INDEX('TY Sales Target'!$K$5:$AO$300,'Sales Dashboard'!BG119,0)))</f>
        <v>2813.8911891789462</v>
      </c>
      <c r="AO120" s="306" cm="1">
        <f t="array" ref="AO120">IF(AB120="",0,SUMPRODUCT((TRIM('LY Sales '!$B$5:$B$200)=AB120)*('LY Sales '!$C$2:$AG$2=EDATE($F$4,-12)),'LY Sales '!$C$5:$AG$200))</f>
        <v>0</v>
      </c>
      <c r="AP120">
        <f t="shared" si="60"/>
        <v>1</v>
      </c>
      <c r="AQ120">
        <f t="shared" si="61"/>
        <v>0</v>
      </c>
      <c r="AR120">
        <f t="shared" si="62"/>
        <v>0</v>
      </c>
      <c r="AS120">
        <f t="shared" si="63"/>
        <v>0</v>
      </c>
    </row>
    <row r="121" spans="1:45" x14ac:dyDescent="0.25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 t="str">
        <f>IF('Sales Dashboard'!AW120="","",'Sales Dashboard'!AW120)</f>
        <v>SOUTH INT. REAGION</v>
      </c>
      <c r="AC121" s="271" t="str">
        <f>IF(AB121="","",'Sales Dashboard'!AN120)</f>
        <v>Ahmed Jaffari</v>
      </c>
      <c r="AD121" s="271" t="str">
        <f>IF(AB121="","",'Sales Dashboard'!AO120)</f>
        <v>Abo Areash</v>
      </c>
      <c r="AE121" s="281" cm="1">
        <f t="array" ref="AE121">IF(OR(AB121="",NOT(ISNUMBER('Sales Dashboard'!BF120))),0,SUMPRODUCT((IFERROR(--'Sales and count'!$G$2:$CC$2,0)=$C$4)*('Sales and count'!$G$3:$CC$3="Total"),INDEX('Sales and count'!$G$4:$CC$300,'Sales Dashboard'!BF120,0)))</f>
        <v>0</v>
      </c>
      <c r="AF121" s="281" cm="1">
        <f t="array" ref="AF121">IF(OR(AB121="",NOT(ISNUMBER('Sales Dashboard'!BG120))),0,SUMPRODUCT(('TY Sales Target'!$K$2:$AO$2=$C$4)*1,INDEX('TY Sales Target'!$K$5:$AO$300,'Sales Dashboard'!BG120,0)))</f>
        <v>2532.9839565093289</v>
      </c>
      <c r="AG121" s="281" cm="1">
        <f t="array" ref="AG121">IF(AB121="",0,SUMPRODUCT((TRIM('LY Sales '!$B$5:$B$200)=AB121)*('LY Sales '!$C$2:$AG$2=EDATE($C$4,-12)),'LY Sales '!$C$5:$AG$200))</f>
        <v>0</v>
      </c>
      <c r="AH121" s="271">
        <f t="shared" si="55"/>
        <v>1</v>
      </c>
      <c r="AI121" s="271">
        <f t="shared" si="56"/>
        <v>0</v>
      </c>
      <c r="AJ121" s="271">
        <f t="shared" si="57"/>
        <v>0</v>
      </c>
      <c r="AK121" s="271">
        <f t="shared" si="58"/>
        <v>0</v>
      </c>
      <c r="AL121" s="271">
        <f t="shared" si="59"/>
        <v>1</v>
      </c>
      <c r="AM121" s="306" cm="1">
        <f t="array" ref="AM121">IF(OR(AB121="",NOT(ISNUMBER('Sales Dashboard'!BF120))),0,SUMPRODUCT((IFERROR(--'Sales and count'!$G$2:$CC$2,0)=$F$4)*('Sales and count'!$G$3:$CC$3="Total"),INDEX('Sales and count'!$G$4:$CC$300,'Sales Dashboard'!BF120,0)))</f>
        <v>0</v>
      </c>
      <c r="AN121" s="306" cm="1">
        <f t="array" ref="AN121">IF(OR(AB121="",NOT(ISNUMBER('Sales Dashboard'!BG120))),0,SUMPRODUCT(('TY Sales Target'!$K$2:$AO$2=$F$4)*1,INDEX('TY Sales Target'!$K$5:$AO$300,'Sales Dashboard'!BG120,0)))</f>
        <v>1758.6819932368414</v>
      </c>
      <c r="AO121" s="306" cm="1">
        <f t="array" ref="AO121">IF(AB121="",0,SUMPRODUCT((TRIM('LY Sales '!$B$5:$B$200)=AB121)*('LY Sales '!$C$2:$AG$2=EDATE($F$4,-12)),'LY Sales '!$C$5:$AG$200))</f>
        <v>0</v>
      </c>
      <c r="AP121">
        <f t="shared" si="60"/>
        <v>1</v>
      </c>
      <c r="AQ121">
        <f t="shared" si="61"/>
        <v>0</v>
      </c>
      <c r="AR121">
        <f t="shared" si="62"/>
        <v>0</v>
      </c>
      <c r="AS121">
        <f t="shared" si="63"/>
        <v>0</v>
      </c>
    </row>
    <row r="122" spans="1:45" x14ac:dyDescent="0.25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 t="str">
        <f>IF('Sales Dashboard'!AW121="","",'Sales Dashboard'!AW121)</f>
        <v>SHUBAILI MALL</v>
      </c>
      <c r="AC122" s="271" t="str">
        <f>IF(AB122="","",'Sales Dashboard'!AN121)</f>
        <v>Hamzah Al Makhadam</v>
      </c>
      <c r="AD122" s="271" t="str">
        <f>IF(AB122="","",'Sales Dashboard'!AO121)</f>
        <v>Khobar</v>
      </c>
      <c r="AE122" s="281" cm="1">
        <f t="array" ref="AE122">IF(OR(AB122="",NOT(ISNUMBER('Sales Dashboard'!BF121))),0,SUMPRODUCT((IFERROR(--'Sales and count'!$G$2:$CC$2,0)=$C$4)*('Sales and count'!$G$3:$CC$3="Total"),INDEX('Sales and count'!$G$4:$CC$300,'Sales Dashboard'!BF121,0)))</f>
        <v>0</v>
      </c>
      <c r="AF122" s="281" cm="1">
        <f t="array" ref="AF122">IF(OR(AB122="",NOT(ISNUMBER('Sales Dashboard'!BG121))),0,SUMPRODUCT(('TY Sales Target'!$K$2:$AO$2=$C$4)*1,INDEX('TY Sales Target'!$K$5:$AO$300,'Sales Dashboard'!BG121,0)))</f>
        <v>1519.7903739055973</v>
      </c>
      <c r="AG122" s="281" cm="1">
        <f t="array" ref="AG122">IF(AB122="",0,SUMPRODUCT((TRIM('LY Sales '!$B$5:$B$200)=AB122)*('LY Sales '!$C$2:$AG$2=EDATE($C$4,-12)),'LY Sales '!$C$5:$AG$200))</f>
        <v>0</v>
      </c>
      <c r="AH122" s="271">
        <f t="shared" si="55"/>
        <v>1</v>
      </c>
      <c r="AI122" s="271">
        <f t="shared" si="56"/>
        <v>0</v>
      </c>
      <c r="AJ122" s="271">
        <f t="shared" si="57"/>
        <v>0</v>
      </c>
      <c r="AK122" s="271">
        <f t="shared" si="58"/>
        <v>0</v>
      </c>
      <c r="AL122" s="271">
        <f t="shared" si="59"/>
        <v>1</v>
      </c>
      <c r="AM122" s="306" cm="1">
        <f t="array" ref="AM122">IF(OR(AB122="",NOT(ISNUMBER('Sales Dashboard'!BF121))),0,SUMPRODUCT((IFERROR(--'Sales and count'!$G$2:$CC$2,0)=$F$4)*('Sales and count'!$G$3:$CC$3="Total"),INDEX('Sales and count'!$G$4:$CC$300,'Sales Dashboard'!BF121,0)))</f>
        <v>0</v>
      </c>
      <c r="AN122" s="306" cm="1">
        <f t="array" ref="AN122">IF(OR(AB122="",NOT(ISNUMBER('Sales Dashboard'!BG121))),0,SUMPRODUCT(('TY Sales Target'!$K$2:$AO$2=$F$4)*1,INDEX('TY Sales Target'!$K$5:$AO$300,'Sales Dashboard'!BG121,0)))</f>
        <v>1055.209195942105</v>
      </c>
      <c r="AO122" s="306" cm="1">
        <f t="array" ref="AO122">IF(AB122="",0,SUMPRODUCT((TRIM('LY Sales '!$B$5:$B$200)=AB122)*('LY Sales '!$C$2:$AG$2=EDATE($F$4,-12)),'LY Sales '!$C$5:$AG$200))</f>
        <v>0</v>
      </c>
      <c r="AP122">
        <f t="shared" si="60"/>
        <v>1</v>
      </c>
      <c r="AQ122">
        <f t="shared" si="61"/>
        <v>0</v>
      </c>
      <c r="AR122">
        <f t="shared" si="62"/>
        <v>0</v>
      </c>
      <c r="AS122">
        <f t="shared" si="63"/>
        <v>0</v>
      </c>
    </row>
    <row r="123" spans="1:45" x14ac:dyDescent="0.25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 t="str">
        <f>IF('Sales Dashboard'!AW122="","",'Sales Dashboard'!AW122)</f>
        <v/>
      </c>
      <c r="AC123" s="271" t="str">
        <f>IF(AB123="","",'Sales Dashboard'!AN122)</f>
        <v/>
      </c>
      <c r="AD123" s="271" t="str">
        <f>IF(AB123="","",'Sales Dashboard'!AO122)</f>
        <v/>
      </c>
      <c r="AE123" s="281" cm="1">
        <f t="array" ref="AE123">IF(OR(AB123="",NOT(ISNUMBER('Sales Dashboard'!BF122))),0,SUMPRODUCT((IFERROR(--'Sales and count'!$G$2:$CC$2,0)=$C$4)*('Sales and count'!$G$3:$CC$3="Total"),INDEX('Sales and count'!$G$4:$CC$300,'Sales Dashboard'!BF122,0)))</f>
        <v>0</v>
      </c>
      <c r="AF123" s="281" cm="1">
        <f t="array" ref="AF123">IF(OR(AB123="",NOT(ISNUMBER('Sales Dashboard'!BG122))),0,SUMPRODUCT(('TY Sales Target'!$K$2:$AO$2=$C$4)*1,INDEX('TY Sales Target'!$K$5:$AO$300,'Sales Dashboard'!BG122,0)))</f>
        <v>0</v>
      </c>
      <c r="AG123" s="281" cm="1">
        <f t="array" ref="AG123">IF(AB123="",0,SUMPRODUCT((TRIM('LY Sales '!$B$5:$B$200)=AB123)*('LY Sales '!$C$2:$AG$2=EDATE($C$4,-12)),'LY Sales '!$C$5:$AG$200))</f>
        <v>0</v>
      </c>
      <c r="AH123" s="271">
        <f t="shared" si="55"/>
        <v>0</v>
      </c>
      <c r="AI123" s="271">
        <f t="shared" si="56"/>
        <v>0</v>
      </c>
      <c r="AJ123" s="271">
        <f t="shared" si="57"/>
        <v>0</v>
      </c>
      <c r="AK123" s="271">
        <f t="shared" si="58"/>
        <v>0</v>
      </c>
      <c r="AL123" s="271">
        <f t="shared" si="59"/>
        <v>0</v>
      </c>
      <c r="AM123" s="306" cm="1">
        <f t="array" ref="AM123">IF(OR(AB123="",NOT(ISNUMBER('Sales Dashboard'!BF122))),0,SUMPRODUCT((IFERROR(--'Sales and count'!$G$2:$CC$2,0)=$F$4)*('Sales and count'!$G$3:$CC$3="Total"),INDEX('Sales and count'!$G$4:$CC$300,'Sales Dashboard'!BF122,0)))</f>
        <v>0</v>
      </c>
      <c r="AN123" s="306" cm="1">
        <f t="array" ref="AN123">IF(OR(AB123="",NOT(ISNUMBER('Sales Dashboard'!BG122))),0,SUMPRODUCT(('TY Sales Target'!$K$2:$AO$2=$F$4)*1,INDEX('TY Sales Target'!$K$5:$AO$300,'Sales Dashboard'!BG122,0)))</f>
        <v>0</v>
      </c>
      <c r="AO123" s="306" cm="1">
        <f t="array" ref="AO123">IF(AB123="",0,SUMPRODUCT((TRIM('LY Sales '!$B$5:$B$200)=AB123)*('LY Sales '!$C$2:$AG$2=EDATE($F$4,-12)),'LY Sales '!$C$5:$AG$200))</f>
        <v>0</v>
      </c>
      <c r="AP123">
        <f t="shared" si="60"/>
        <v>0</v>
      </c>
      <c r="AQ123">
        <f t="shared" si="61"/>
        <v>0</v>
      </c>
      <c r="AR123">
        <f t="shared" si="62"/>
        <v>0</v>
      </c>
      <c r="AS123">
        <f t="shared" si="63"/>
        <v>0</v>
      </c>
    </row>
    <row r="124" spans="1:45" x14ac:dyDescent="0.25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 t="str">
        <f>IF('Sales Dashboard'!AW123="","",'Sales Dashboard'!AW123)</f>
        <v/>
      </c>
      <c r="AC124" s="271" t="str">
        <f>IF(AB124="","",'Sales Dashboard'!AN123)</f>
        <v/>
      </c>
      <c r="AD124" s="271" t="str">
        <f>IF(AB124="","",'Sales Dashboard'!AO123)</f>
        <v/>
      </c>
      <c r="AE124" s="281" cm="1">
        <f t="array" ref="AE124">IF(OR(AB124="",NOT(ISNUMBER('Sales Dashboard'!BF123))),0,SUMPRODUCT((IFERROR(--'Sales and count'!$G$2:$CC$2,0)=$C$4)*('Sales and count'!$G$3:$CC$3="Total"),INDEX('Sales and count'!$G$4:$CC$300,'Sales Dashboard'!BF123,0)))</f>
        <v>0</v>
      </c>
      <c r="AF124" s="281" cm="1">
        <f t="array" ref="AF124">IF(OR(AB124="",NOT(ISNUMBER('Sales Dashboard'!BG123))),0,SUMPRODUCT(('TY Sales Target'!$K$2:$AO$2=$C$4)*1,INDEX('TY Sales Target'!$K$5:$AO$300,'Sales Dashboard'!BG123,0)))</f>
        <v>0</v>
      </c>
      <c r="AG124" s="281" cm="1">
        <f t="array" ref="AG124">IF(AB124="",0,SUMPRODUCT((TRIM('LY Sales '!$B$5:$B$200)=AB124)*('LY Sales '!$C$2:$AG$2=EDATE($C$4,-12)),'LY Sales '!$C$5:$AG$200))</f>
        <v>0</v>
      </c>
      <c r="AH124" s="271">
        <f t="shared" si="55"/>
        <v>0</v>
      </c>
      <c r="AI124" s="271">
        <f t="shared" si="56"/>
        <v>0</v>
      </c>
      <c r="AJ124" s="271">
        <f t="shared" si="57"/>
        <v>0</v>
      </c>
      <c r="AK124" s="271">
        <f t="shared" si="58"/>
        <v>0</v>
      </c>
      <c r="AL124" s="271">
        <f t="shared" si="59"/>
        <v>0</v>
      </c>
      <c r="AM124" s="306" cm="1">
        <f t="array" ref="AM124">IF(OR(AB124="",NOT(ISNUMBER('Sales Dashboard'!BF123))),0,SUMPRODUCT((IFERROR(--'Sales and count'!$G$2:$CC$2,0)=$F$4)*('Sales and count'!$G$3:$CC$3="Total"),INDEX('Sales and count'!$G$4:$CC$300,'Sales Dashboard'!BF123,0)))</f>
        <v>0</v>
      </c>
      <c r="AN124" s="306" cm="1">
        <f t="array" ref="AN124">IF(OR(AB124="",NOT(ISNUMBER('Sales Dashboard'!BG123))),0,SUMPRODUCT(('TY Sales Target'!$K$2:$AO$2=$F$4)*1,INDEX('TY Sales Target'!$K$5:$AO$300,'Sales Dashboard'!BG123,0)))</f>
        <v>0</v>
      </c>
      <c r="AO124" s="306" cm="1">
        <f t="array" ref="AO124">IF(AB124="",0,SUMPRODUCT((TRIM('LY Sales '!$B$5:$B$200)=AB124)*('LY Sales '!$C$2:$AG$2=EDATE($F$4,-12)),'LY Sales '!$C$5:$AG$200))</f>
        <v>0</v>
      </c>
      <c r="AP124">
        <f t="shared" si="60"/>
        <v>0</v>
      </c>
      <c r="AQ124">
        <f t="shared" si="61"/>
        <v>0</v>
      </c>
      <c r="AR124">
        <f t="shared" si="62"/>
        <v>0</v>
      </c>
      <c r="AS124">
        <f t="shared" si="63"/>
        <v>0</v>
      </c>
    </row>
    <row r="125" spans="1:45" x14ac:dyDescent="0.25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 t="str">
        <f>IF('Sales Dashboard'!AW124="","",'Sales Dashboard'!AW124)</f>
        <v/>
      </c>
      <c r="AC125" s="271" t="str">
        <f>IF(AB125="","",'Sales Dashboard'!AN124)</f>
        <v/>
      </c>
      <c r="AD125" s="271" t="str">
        <f>IF(AB125="","",'Sales Dashboard'!AO124)</f>
        <v/>
      </c>
      <c r="AE125" s="281" cm="1">
        <f t="array" ref="AE125">IF(OR(AB125="",NOT(ISNUMBER('Sales Dashboard'!BF124))),0,SUMPRODUCT((IFERROR(--'Sales and count'!$G$2:$CC$2,0)=$C$4)*('Sales and count'!$G$3:$CC$3="Total"),INDEX('Sales and count'!$G$4:$CC$300,'Sales Dashboard'!BF124,0)))</f>
        <v>0</v>
      </c>
      <c r="AF125" s="281" cm="1">
        <f t="array" ref="AF125">IF(OR(AB125="",NOT(ISNUMBER('Sales Dashboard'!BG124))),0,SUMPRODUCT(('TY Sales Target'!$K$2:$AO$2=$C$4)*1,INDEX('TY Sales Target'!$K$5:$AO$300,'Sales Dashboard'!BG124,0)))</f>
        <v>0</v>
      </c>
      <c r="AG125" s="281" cm="1">
        <f t="array" ref="AG125">IF(AB125="",0,SUMPRODUCT((TRIM('LY Sales '!$B$5:$B$200)=AB125)*('LY Sales '!$C$2:$AG$2=EDATE($C$4,-12)),'LY Sales '!$C$5:$AG$200))</f>
        <v>0</v>
      </c>
      <c r="AH125" s="271">
        <f t="shared" si="55"/>
        <v>0</v>
      </c>
      <c r="AI125" s="271">
        <f t="shared" si="56"/>
        <v>0</v>
      </c>
      <c r="AJ125" s="271">
        <f t="shared" si="57"/>
        <v>0</v>
      </c>
      <c r="AK125" s="271">
        <f t="shared" si="58"/>
        <v>0</v>
      </c>
      <c r="AL125" s="271">
        <f t="shared" si="59"/>
        <v>0</v>
      </c>
      <c r="AM125" s="306" cm="1">
        <f t="array" ref="AM125">IF(OR(AB125="",NOT(ISNUMBER('Sales Dashboard'!BF124))),0,SUMPRODUCT((IFERROR(--'Sales and count'!$G$2:$CC$2,0)=$F$4)*('Sales and count'!$G$3:$CC$3="Total"),INDEX('Sales and count'!$G$4:$CC$300,'Sales Dashboard'!BF124,0)))</f>
        <v>0</v>
      </c>
      <c r="AN125" s="306" cm="1">
        <f t="array" ref="AN125">IF(OR(AB125="",NOT(ISNUMBER('Sales Dashboard'!BG124))),0,SUMPRODUCT(('TY Sales Target'!$K$2:$AO$2=$F$4)*1,INDEX('TY Sales Target'!$K$5:$AO$300,'Sales Dashboard'!BG124,0)))</f>
        <v>0</v>
      </c>
      <c r="AO125" s="306" cm="1">
        <f t="array" ref="AO125">IF(AB125="",0,SUMPRODUCT((TRIM('LY Sales '!$B$5:$B$200)=AB125)*('LY Sales '!$C$2:$AG$2=EDATE($F$4,-12)),'LY Sales '!$C$5:$AG$200))</f>
        <v>0</v>
      </c>
      <c r="AP125">
        <f t="shared" si="60"/>
        <v>0</v>
      </c>
      <c r="AQ125">
        <f t="shared" si="61"/>
        <v>0</v>
      </c>
      <c r="AR125">
        <f t="shared" si="62"/>
        <v>0</v>
      </c>
      <c r="AS125">
        <f t="shared" si="63"/>
        <v>0</v>
      </c>
    </row>
    <row r="126" spans="1:45" x14ac:dyDescent="0.25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 t="str">
        <f>IF('Sales Dashboard'!AW125="","",'Sales Dashboard'!AW125)</f>
        <v/>
      </c>
      <c r="AC126" s="271" t="str">
        <f>IF(AB126="","",'Sales Dashboard'!AN125)</f>
        <v/>
      </c>
      <c r="AD126" s="271" t="str">
        <f>IF(AB126="","",'Sales Dashboard'!AO125)</f>
        <v/>
      </c>
      <c r="AE126" s="281" cm="1">
        <f t="array" ref="AE126">IF(OR(AB126="",NOT(ISNUMBER('Sales Dashboard'!BF125))),0,SUMPRODUCT((IFERROR(--'Sales and count'!$G$2:$CC$2,0)=$C$4)*('Sales and count'!$G$3:$CC$3="Total"),INDEX('Sales and count'!$G$4:$CC$300,'Sales Dashboard'!BF125,0)))</f>
        <v>0</v>
      </c>
      <c r="AF126" s="281" cm="1">
        <f t="array" ref="AF126">IF(OR(AB126="",NOT(ISNUMBER('Sales Dashboard'!BG125))),0,SUMPRODUCT(('TY Sales Target'!$K$2:$AO$2=$C$4)*1,INDEX('TY Sales Target'!$K$5:$AO$300,'Sales Dashboard'!BG125,0)))</f>
        <v>0</v>
      </c>
      <c r="AG126" s="281" cm="1">
        <f t="array" ref="AG126">IF(AB126="",0,SUMPRODUCT((TRIM('LY Sales '!$B$5:$B$200)=AB126)*('LY Sales '!$C$2:$AG$2=EDATE($C$4,-12)),'LY Sales '!$C$5:$AG$200))</f>
        <v>0</v>
      </c>
      <c r="AH126" s="271">
        <f t="shared" si="55"/>
        <v>0</v>
      </c>
      <c r="AI126" s="271">
        <f t="shared" si="56"/>
        <v>0</v>
      </c>
      <c r="AJ126" s="271">
        <f t="shared" si="57"/>
        <v>0</v>
      </c>
      <c r="AK126" s="271">
        <f t="shared" si="58"/>
        <v>0</v>
      </c>
      <c r="AL126" s="271">
        <f t="shared" si="59"/>
        <v>0</v>
      </c>
      <c r="AM126" s="306" cm="1">
        <f t="array" ref="AM126">IF(OR(AB126="",NOT(ISNUMBER('Sales Dashboard'!BF125))),0,SUMPRODUCT((IFERROR(--'Sales and count'!$G$2:$CC$2,0)=$F$4)*('Sales and count'!$G$3:$CC$3="Total"),INDEX('Sales and count'!$G$4:$CC$300,'Sales Dashboard'!BF125,0)))</f>
        <v>0</v>
      </c>
      <c r="AN126" s="306" cm="1">
        <f t="array" ref="AN126">IF(OR(AB126="",NOT(ISNUMBER('Sales Dashboard'!BG125))),0,SUMPRODUCT(('TY Sales Target'!$K$2:$AO$2=$F$4)*1,INDEX('TY Sales Target'!$K$5:$AO$300,'Sales Dashboard'!BG125,0)))</f>
        <v>0</v>
      </c>
      <c r="AO126" s="306" cm="1">
        <f t="array" ref="AO126">IF(AB126="",0,SUMPRODUCT((TRIM('LY Sales '!$B$5:$B$200)=AB126)*('LY Sales '!$C$2:$AG$2=EDATE($F$4,-12)),'LY Sales '!$C$5:$AG$200))</f>
        <v>0</v>
      </c>
      <c r="AP126">
        <f t="shared" si="60"/>
        <v>0</v>
      </c>
      <c r="AQ126">
        <f t="shared" si="61"/>
        <v>0</v>
      </c>
      <c r="AR126">
        <f t="shared" si="62"/>
        <v>0</v>
      </c>
      <c r="AS126">
        <f t="shared" si="63"/>
        <v>0</v>
      </c>
    </row>
    <row r="127" spans="1:45" x14ac:dyDescent="0.25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 t="str">
        <f>IF('Sales Dashboard'!AW126="","",'Sales Dashboard'!AW126)</f>
        <v/>
      </c>
      <c r="AC127" s="271" t="str">
        <f>IF(AB127="","",'Sales Dashboard'!AN126)</f>
        <v/>
      </c>
      <c r="AD127" s="271" t="str">
        <f>IF(AB127="","",'Sales Dashboard'!AO126)</f>
        <v/>
      </c>
      <c r="AE127" s="281" cm="1">
        <f t="array" ref="AE127">IF(OR(AB127="",NOT(ISNUMBER('Sales Dashboard'!BF126))),0,SUMPRODUCT((IFERROR(--'Sales and count'!$G$2:$CC$2,0)=$C$4)*('Sales and count'!$G$3:$CC$3="Total"),INDEX('Sales and count'!$G$4:$CC$300,'Sales Dashboard'!BF126,0)))</f>
        <v>0</v>
      </c>
      <c r="AF127" s="281" cm="1">
        <f t="array" ref="AF127">IF(OR(AB127="",NOT(ISNUMBER('Sales Dashboard'!BG126))),0,SUMPRODUCT(('TY Sales Target'!$K$2:$AO$2=$C$4)*1,INDEX('TY Sales Target'!$K$5:$AO$300,'Sales Dashboard'!BG126,0)))</f>
        <v>0</v>
      </c>
      <c r="AG127" s="281" cm="1">
        <f t="array" ref="AG127">IF(AB127="",0,SUMPRODUCT((TRIM('LY Sales '!$B$5:$B$200)=AB127)*('LY Sales '!$C$2:$AG$2=EDATE($C$4,-12)),'LY Sales '!$C$5:$AG$200))</f>
        <v>0</v>
      </c>
      <c r="AH127" s="271">
        <f t="shared" si="55"/>
        <v>0</v>
      </c>
      <c r="AI127" s="271">
        <f t="shared" si="56"/>
        <v>0</v>
      </c>
      <c r="AJ127" s="271">
        <f t="shared" si="57"/>
        <v>0</v>
      </c>
      <c r="AK127" s="271">
        <f t="shared" si="58"/>
        <v>0</v>
      </c>
      <c r="AL127" s="271">
        <f t="shared" si="59"/>
        <v>0</v>
      </c>
      <c r="AM127" s="306" cm="1">
        <f t="array" ref="AM127">IF(OR(AB127="",NOT(ISNUMBER('Sales Dashboard'!BF126))),0,SUMPRODUCT((IFERROR(--'Sales and count'!$G$2:$CC$2,0)=$F$4)*('Sales and count'!$G$3:$CC$3="Total"),INDEX('Sales and count'!$G$4:$CC$300,'Sales Dashboard'!BF126,0)))</f>
        <v>0</v>
      </c>
      <c r="AN127" s="306" cm="1">
        <f t="array" ref="AN127">IF(OR(AB127="",NOT(ISNUMBER('Sales Dashboard'!BG126))),0,SUMPRODUCT(('TY Sales Target'!$K$2:$AO$2=$F$4)*1,INDEX('TY Sales Target'!$K$5:$AO$300,'Sales Dashboard'!BG126,0)))</f>
        <v>0</v>
      </c>
      <c r="AO127" s="306" cm="1">
        <f t="array" ref="AO127">IF(AB127="",0,SUMPRODUCT((TRIM('LY Sales '!$B$5:$B$200)=AB127)*('LY Sales '!$C$2:$AG$2=EDATE($F$4,-12)),'LY Sales '!$C$5:$AG$200))</f>
        <v>0</v>
      </c>
      <c r="AP127">
        <f t="shared" si="60"/>
        <v>0</v>
      </c>
      <c r="AQ127">
        <f t="shared" si="61"/>
        <v>0</v>
      </c>
      <c r="AR127">
        <f t="shared" si="62"/>
        <v>0</v>
      </c>
      <c r="AS127">
        <f t="shared" si="63"/>
        <v>0</v>
      </c>
    </row>
    <row r="128" spans="1:45" x14ac:dyDescent="0.25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 t="str">
        <f>IF('Sales Dashboard'!AW127="","",'Sales Dashboard'!AW127)</f>
        <v/>
      </c>
      <c r="AC128" s="271" t="str">
        <f>IF(AB128="","",'Sales Dashboard'!AN127)</f>
        <v/>
      </c>
      <c r="AD128" s="271" t="str">
        <f>IF(AB128="","",'Sales Dashboard'!AO127)</f>
        <v/>
      </c>
      <c r="AE128" s="281" cm="1">
        <f t="array" ref="AE128">IF(OR(AB128="",NOT(ISNUMBER('Sales Dashboard'!BF127))),0,SUMPRODUCT((IFERROR(--'Sales and count'!$G$2:$CC$2,0)=$C$4)*('Sales and count'!$G$3:$CC$3="Total"),INDEX('Sales and count'!$G$4:$CC$300,'Sales Dashboard'!BF127,0)))</f>
        <v>0</v>
      </c>
      <c r="AF128" s="281" cm="1">
        <f t="array" ref="AF128">IF(OR(AB128="",NOT(ISNUMBER('Sales Dashboard'!BG127))),0,SUMPRODUCT(('TY Sales Target'!$K$2:$AO$2=$C$4)*1,INDEX('TY Sales Target'!$K$5:$AO$300,'Sales Dashboard'!BG127,0)))</f>
        <v>0</v>
      </c>
      <c r="AG128" s="281" cm="1">
        <f t="array" ref="AG128">IF(AB128="",0,SUMPRODUCT((TRIM('LY Sales '!$B$5:$B$200)=AB128)*('LY Sales '!$C$2:$AG$2=EDATE($C$4,-12)),'LY Sales '!$C$5:$AG$200))</f>
        <v>0</v>
      </c>
      <c r="AH128" s="271">
        <f t="shared" si="55"/>
        <v>0</v>
      </c>
      <c r="AI128" s="271">
        <f t="shared" si="56"/>
        <v>0</v>
      </c>
      <c r="AJ128" s="271">
        <f t="shared" si="57"/>
        <v>0</v>
      </c>
      <c r="AK128" s="271">
        <f t="shared" si="58"/>
        <v>0</v>
      </c>
      <c r="AL128" s="271">
        <f t="shared" si="59"/>
        <v>0</v>
      </c>
      <c r="AM128" s="306" cm="1">
        <f t="array" ref="AM128">IF(OR(AB128="",NOT(ISNUMBER('Sales Dashboard'!BF127))),0,SUMPRODUCT((IFERROR(--'Sales and count'!$G$2:$CC$2,0)=$F$4)*('Sales and count'!$G$3:$CC$3="Total"),INDEX('Sales and count'!$G$4:$CC$300,'Sales Dashboard'!BF127,0)))</f>
        <v>0</v>
      </c>
      <c r="AN128" s="306" cm="1">
        <f t="array" ref="AN128">IF(OR(AB128="",NOT(ISNUMBER('Sales Dashboard'!BG127))),0,SUMPRODUCT(('TY Sales Target'!$K$2:$AO$2=$F$4)*1,INDEX('TY Sales Target'!$K$5:$AO$300,'Sales Dashboard'!BG127,0)))</f>
        <v>0</v>
      </c>
      <c r="AO128" s="306" cm="1">
        <f t="array" ref="AO128">IF(AB128="",0,SUMPRODUCT((TRIM('LY Sales '!$B$5:$B$200)=AB128)*('LY Sales '!$C$2:$AG$2=EDATE($F$4,-12)),'LY Sales '!$C$5:$AG$200))</f>
        <v>0</v>
      </c>
      <c r="AP128">
        <f t="shared" si="60"/>
        <v>0</v>
      </c>
      <c r="AQ128">
        <f t="shared" si="61"/>
        <v>0</v>
      </c>
      <c r="AR128">
        <f t="shared" si="62"/>
        <v>0</v>
      </c>
      <c r="AS128">
        <f t="shared" si="63"/>
        <v>0</v>
      </c>
    </row>
    <row r="129" spans="1:45" x14ac:dyDescent="0.25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 t="str">
        <f>IF('Sales Dashboard'!AW128="","",'Sales Dashboard'!AW128)</f>
        <v/>
      </c>
      <c r="AC129" s="271" t="str">
        <f>IF(AB129="","",'Sales Dashboard'!AN128)</f>
        <v/>
      </c>
      <c r="AD129" s="271" t="str">
        <f>IF(AB129="","",'Sales Dashboard'!AO128)</f>
        <v/>
      </c>
      <c r="AE129" s="281" cm="1">
        <f t="array" ref="AE129">IF(OR(AB129="",NOT(ISNUMBER('Sales Dashboard'!BF128))),0,SUMPRODUCT((IFERROR(--'Sales and count'!$G$2:$CC$2,0)=$C$4)*('Sales and count'!$G$3:$CC$3="Total"),INDEX('Sales and count'!$G$4:$CC$300,'Sales Dashboard'!BF128,0)))</f>
        <v>0</v>
      </c>
      <c r="AF129" s="281" cm="1">
        <f t="array" ref="AF129">IF(OR(AB129="",NOT(ISNUMBER('Sales Dashboard'!BG128))),0,SUMPRODUCT(('TY Sales Target'!$K$2:$AO$2=$C$4)*1,INDEX('TY Sales Target'!$K$5:$AO$300,'Sales Dashboard'!BG128,0)))</f>
        <v>0</v>
      </c>
      <c r="AG129" s="281" cm="1">
        <f t="array" ref="AG129">IF(AB129="",0,SUMPRODUCT((TRIM('LY Sales '!$B$5:$B$200)=AB129)*('LY Sales '!$C$2:$AG$2=EDATE($C$4,-12)),'LY Sales '!$C$5:$AG$200))</f>
        <v>0</v>
      </c>
      <c r="AH129" s="271">
        <f t="shared" si="55"/>
        <v>0</v>
      </c>
      <c r="AI129" s="271">
        <f t="shared" si="56"/>
        <v>0</v>
      </c>
      <c r="AJ129" s="271">
        <f t="shared" si="57"/>
        <v>0</v>
      </c>
      <c r="AK129" s="271">
        <f t="shared" si="58"/>
        <v>0</v>
      </c>
      <c r="AL129" s="271">
        <f t="shared" si="59"/>
        <v>0</v>
      </c>
      <c r="AM129" s="306" cm="1">
        <f t="array" ref="AM129">IF(OR(AB129="",NOT(ISNUMBER('Sales Dashboard'!BF128))),0,SUMPRODUCT((IFERROR(--'Sales and count'!$G$2:$CC$2,0)=$F$4)*('Sales and count'!$G$3:$CC$3="Total"),INDEX('Sales and count'!$G$4:$CC$300,'Sales Dashboard'!BF128,0)))</f>
        <v>0</v>
      </c>
      <c r="AN129" s="306" cm="1">
        <f t="array" ref="AN129">IF(OR(AB129="",NOT(ISNUMBER('Sales Dashboard'!BG128))),0,SUMPRODUCT(('TY Sales Target'!$K$2:$AO$2=$F$4)*1,INDEX('TY Sales Target'!$K$5:$AO$300,'Sales Dashboard'!BG128,0)))</f>
        <v>0</v>
      </c>
      <c r="AO129" s="306" cm="1">
        <f t="array" ref="AO129">IF(AB129="",0,SUMPRODUCT((TRIM('LY Sales '!$B$5:$B$200)=AB129)*('LY Sales '!$C$2:$AG$2=EDATE($F$4,-12)),'LY Sales '!$C$5:$AG$200))</f>
        <v>0</v>
      </c>
      <c r="AP129">
        <f t="shared" si="60"/>
        <v>0</v>
      </c>
      <c r="AQ129">
        <f t="shared" si="61"/>
        <v>0</v>
      </c>
      <c r="AR129">
        <f t="shared" si="62"/>
        <v>0</v>
      </c>
      <c r="AS129">
        <f t="shared" si="63"/>
        <v>0</v>
      </c>
    </row>
    <row r="130" spans="1:45" x14ac:dyDescent="0.25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 t="str">
        <f>IF('Sales Dashboard'!AW129="","",'Sales Dashboard'!AW129)</f>
        <v/>
      </c>
      <c r="AC130" s="271" t="str">
        <f>IF(AB130="","",'Sales Dashboard'!AN129)</f>
        <v/>
      </c>
      <c r="AD130" s="271" t="str">
        <f>IF(AB130="","",'Sales Dashboard'!AO129)</f>
        <v/>
      </c>
      <c r="AE130" s="281" cm="1">
        <f t="array" ref="AE130">IF(OR(AB130="",NOT(ISNUMBER('Sales Dashboard'!BF129))),0,SUMPRODUCT((IFERROR(--'Sales and count'!$G$2:$CC$2,0)=$C$4)*('Sales and count'!$G$3:$CC$3="Total"),INDEX('Sales and count'!$G$4:$CC$300,'Sales Dashboard'!BF129,0)))</f>
        <v>0</v>
      </c>
      <c r="AF130" s="281" cm="1">
        <f t="array" ref="AF130">IF(OR(AB130="",NOT(ISNUMBER('Sales Dashboard'!BG129))),0,SUMPRODUCT(('TY Sales Target'!$K$2:$AO$2=$C$4)*1,INDEX('TY Sales Target'!$K$5:$AO$300,'Sales Dashboard'!BG129,0)))</f>
        <v>0</v>
      </c>
      <c r="AG130" s="281" cm="1">
        <f t="array" ref="AG130">IF(AB130="",0,SUMPRODUCT((TRIM('LY Sales '!$B$5:$B$200)=AB130)*('LY Sales '!$C$2:$AG$2=EDATE($C$4,-12)),'LY Sales '!$C$5:$AG$200))</f>
        <v>0</v>
      </c>
      <c r="AH130" s="271">
        <f t="shared" si="55"/>
        <v>0</v>
      </c>
      <c r="AI130" s="271">
        <f t="shared" si="56"/>
        <v>0</v>
      </c>
      <c r="AJ130" s="271">
        <f t="shared" si="57"/>
        <v>0</v>
      </c>
      <c r="AK130" s="271">
        <f t="shared" si="58"/>
        <v>0</v>
      </c>
      <c r="AL130" s="271">
        <f t="shared" si="59"/>
        <v>0</v>
      </c>
      <c r="AM130" s="306" cm="1">
        <f t="array" ref="AM130">IF(OR(AB130="",NOT(ISNUMBER('Sales Dashboard'!BF129))),0,SUMPRODUCT((IFERROR(--'Sales and count'!$G$2:$CC$2,0)=$F$4)*('Sales and count'!$G$3:$CC$3="Total"),INDEX('Sales and count'!$G$4:$CC$300,'Sales Dashboard'!BF129,0)))</f>
        <v>0</v>
      </c>
      <c r="AN130" s="306" cm="1">
        <f t="array" ref="AN130">IF(OR(AB130="",NOT(ISNUMBER('Sales Dashboard'!BG129))),0,SUMPRODUCT(('TY Sales Target'!$K$2:$AO$2=$F$4)*1,INDEX('TY Sales Target'!$K$5:$AO$300,'Sales Dashboard'!BG129,0)))</f>
        <v>0</v>
      </c>
      <c r="AO130" s="306" cm="1">
        <f t="array" ref="AO130">IF(AB130="",0,SUMPRODUCT((TRIM('LY Sales '!$B$5:$B$200)=AB130)*('LY Sales '!$C$2:$AG$2=EDATE($F$4,-12)),'LY Sales '!$C$5:$AG$200))</f>
        <v>0</v>
      </c>
      <c r="AP130">
        <f t="shared" si="60"/>
        <v>0</v>
      </c>
      <c r="AQ130">
        <f t="shared" si="61"/>
        <v>0</v>
      </c>
      <c r="AR130">
        <f t="shared" si="62"/>
        <v>0</v>
      </c>
      <c r="AS130">
        <f t="shared" si="63"/>
        <v>0</v>
      </c>
    </row>
    <row r="131" spans="1:45" x14ac:dyDescent="0.25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 t="str">
        <f>IF('Sales Dashboard'!AW130="","",'Sales Dashboard'!AW130)</f>
        <v/>
      </c>
      <c r="AC131" s="271" t="str">
        <f>IF(AB131="","",'Sales Dashboard'!AN130)</f>
        <v/>
      </c>
      <c r="AD131" s="271" t="str">
        <f>IF(AB131="","",'Sales Dashboard'!AO130)</f>
        <v/>
      </c>
      <c r="AE131" s="281" cm="1">
        <f t="array" ref="AE131">IF(OR(AB131="",NOT(ISNUMBER('Sales Dashboard'!BF130))),0,SUMPRODUCT((IFERROR(--'Sales and count'!$G$2:$CC$2,0)=$C$4)*('Sales and count'!$G$3:$CC$3="Total"),INDEX('Sales and count'!$G$4:$CC$300,'Sales Dashboard'!BF130,0)))</f>
        <v>0</v>
      </c>
      <c r="AF131" s="281" cm="1">
        <f t="array" ref="AF131">IF(OR(AB131="",NOT(ISNUMBER('Sales Dashboard'!BG130))),0,SUMPRODUCT(('TY Sales Target'!$K$2:$AO$2=$C$4)*1,INDEX('TY Sales Target'!$K$5:$AO$300,'Sales Dashboard'!BG130,0)))</f>
        <v>0</v>
      </c>
      <c r="AG131" s="281" cm="1">
        <f t="array" ref="AG131">IF(AB131="",0,SUMPRODUCT((TRIM('LY Sales '!$B$5:$B$200)=AB131)*('LY Sales '!$C$2:$AG$2=EDATE($C$4,-12)),'LY Sales '!$C$5:$AG$200))</f>
        <v>0</v>
      </c>
      <c r="AH131" s="271">
        <f t="shared" si="55"/>
        <v>0</v>
      </c>
      <c r="AI131" s="271">
        <f t="shared" si="56"/>
        <v>0</v>
      </c>
      <c r="AJ131" s="271">
        <f t="shared" si="57"/>
        <v>0</v>
      </c>
      <c r="AK131" s="271">
        <f t="shared" si="58"/>
        <v>0</v>
      </c>
      <c r="AL131" s="271">
        <f t="shared" si="59"/>
        <v>0</v>
      </c>
      <c r="AM131" s="306" cm="1">
        <f t="array" ref="AM131">IF(OR(AB131="",NOT(ISNUMBER('Sales Dashboard'!BF130))),0,SUMPRODUCT((IFERROR(--'Sales and count'!$G$2:$CC$2,0)=$F$4)*('Sales and count'!$G$3:$CC$3="Total"),INDEX('Sales and count'!$G$4:$CC$300,'Sales Dashboard'!BF130,0)))</f>
        <v>0</v>
      </c>
      <c r="AN131" s="306" cm="1">
        <f t="array" ref="AN131">IF(OR(AB131="",NOT(ISNUMBER('Sales Dashboard'!BG130))),0,SUMPRODUCT(('TY Sales Target'!$K$2:$AO$2=$F$4)*1,INDEX('TY Sales Target'!$K$5:$AO$300,'Sales Dashboard'!BG130,0)))</f>
        <v>0</v>
      </c>
      <c r="AO131" s="306" cm="1">
        <f t="array" ref="AO131">IF(AB131="",0,SUMPRODUCT((TRIM('LY Sales '!$B$5:$B$200)=AB131)*('LY Sales '!$C$2:$AG$2=EDATE($F$4,-12)),'LY Sales '!$C$5:$AG$200))</f>
        <v>0</v>
      </c>
      <c r="AP131">
        <f t="shared" si="60"/>
        <v>0</v>
      </c>
      <c r="AQ131">
        <f t="shared" si="61"/>
        <v>0</v>
      </c>
      <c r="AR131">
        <f t="shared" si="62"/>
        <v>0</v>
      </c>
      <c r="AS131">
        <f t="shared" si="63"/>
        <v>0</v>
      </c>
    </row>
    <row r="132" spans="1:45" x14ac:dyDescent="0.25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 t="str">
        <f>IF('Sales Dashboard'!AW131="","",'Sales Dashboard'!AW131)</f>
        <v/>
      </c>
      <c r="AC132" s="271" t="str">
        <f>IF(AB132="","",'Sales Dashboard'!AN131)</f>
        <v/>
      </c>
      <c r="AD132" s="271" t="str">
        <f>IF(AB132="","",'Sales Dashboard'!AO131)</f>
        <v/>
      </c>
      <c r="AE132" s="281" cm="1">
        <f t="array" ref="AE132">IF(OR(AB132="",NOT(ISNUMBER('Sales Dashboard'!BF131))),0,SUMPRODUCT((IFERROR(--'Sales and count'!$G$2:$CC$2,0)=$C$4)*('Sales and count'!$G$3:$CC$3="Total"),INDEX('Sales and count'!$G$4:$CC$300,'Sales Dashboard'!BF131,0)))</f>
        <v>0</v>
      </c>
      <c r="AF132" s="281" cm="1">
        <f t="array" ref="AF132">IF(OR(AB132="",NOT(ISNUMBER('Sales Dashboard'!BG131))),0,SUMPRODUCT(('TY Sales Target'!$K$2:$AO$2=$C$4)*1,INDEX('TY Sales Target'!$K$5:$AO$300,'Sales Dashboard'!BG131,0)))</f>
        <v>0</v>
      </c>
      <c r="AG132" s="281" cm="1">
        <f t="array" ref="AG132">IF(AB132="",0,SUMPRODUCT((TRIM('LY Sales '!$B$5:$B$200)=AB132)*('LY Sales '!$C$2:$AG$2=EDATE($C$4,-12)),'LY Sales '!$C$5:$AG$200))</f>
        <v>0</v>
      </c>
      <c r="AH132" s="271">
        <f t="shared" si="55"/>
        <v>0</v>
      </c>
      <c r="AI132" s="271">
        <f t="shared" si="56"/>
        <v>0</v>
      </c>
      <c r="AJ132" s="271">
        <f t="shared" si="57"/>
        <v>0</v>
      </c>
      <c r="AK132" s="271">
        <f t="shared" si="58"/>
        <v>0</v>
      </c>
      <c r="AL132" s="271">
        <f t="shared" si="59"/>
        <v>0</v>
      </c>
      <c r="AM132" s="306" cm="1">
        <f t="array" ref="AM132">IF(OR(AB132="",NOT(ISNUMBER('Sales Dashboard'!BF131))),0,SUMPRODUCT((IFERROR(--'Sales and count'!$G$2:$CC$2,0)=$F$4)*('Sales and count'!$G$3:$CC$3="Total"),INDEX('Sales and count'!$G$4:$CC$300,'Sales Dashboard'!BF131,0)))</f>
        <v>0</v>
      </c>
      <c r="AN132" s="306" cm="1">
        <f t="array" ref="AN132">IF(OR(AB132="",NOT(ISNUMBER('Sales Dashboard'!BG131))),0,SUMPRODUCT(('TY Sales Target'!$K$2:$AO$2=$F$4)*1,INDEX('TY Sales Target'!$K$5:$AO$300,'Sales Dashboard'!BG131,0)))</f>
        <v>0</v>
      </c>
      <c r="AO132" s="306" cm="1">
        <f t="array" ref="AO132">IF(AB132="",0,SUMPRODUCT((TRIM('LY Sales '!$B$5:$B$200)=AB132)*('LY Sales '!$C$2:$AG$2=EDATE($F$4,-12)),'LY Sales '!$C$5:$AG$200))</f>
        <v>0</v>
      </c>
      <c r="AP132">
        <f t="shared" si="60"/>
        <v>0</v>
      </c>
      <c r="AQ132">
        <f t="shared" si="61"/>
        <v>0</v>
      </c>
      <c r="AR132">
        <f t="shared" si="62"/>
        <v>0</v>
      </c>
      <c r="AS132">
        <f t="shared" si="63"/>
        <v>0</v>
      </c>
    </row>
    <row r="133" spans="1:45" x14ac:dyDescent="0.25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 t="str">
        <f>IF('Sales Dashboard'!AW132="","",'Sales Dashboard'!AW132)</f>
        <v/>
      </c>
      <c r="AC133" s="271" t="str">
        <f>IF(AB133="","",'Sales Dashboard'!AN132)</f>
        <v/>
      </c>
      <c r="AD133" s="271" t="str">
        <f>IF(AB133="","",'Sales Dashboard'!AO132)</f>
        <v/>
      </c>
      <c r="AE133" s="281" cm="1">
        <f t="array" ref="AE133">IF(OR(AB133="",NOT(ISNUMBER('Sales Dashboard'!BF132))),0,SUMPRODUCT((IFERROR(--'Sales and count'!$G$2:$CC$2,0)=$C$4)*('Sales and count'!$G$3:$CC$3="Total"),INDEX('Sales and count'!$G$4:$CC$300,'Sales Dashboard'!BF132,0)))</f>
        <v>0</v>
      </c>
      <c r="AF133" s="281" cm="1">
        <f t="array" ref="AF133">IF(OR(AB133="",NOT(ISNUMBER('Sales Dashboard'!BG132))),0,SUMPRODUCT(('TY Sales Target'!$K$2:$AO$2=$C$4)*1,INDEX('TY Sales Target'!$K$5:$AO$300,'Sales Dashboard'!BG132,0)))</f>
        <v>0</v>
      </c>
      <c r="AG133" s="281" cm="1">
        <f t="array" ref="AG133">IF(AB133="",0,SUMPRODUCT((TRIM('LY Sales '!$B$5:$B$200)=AB133)*('LY Sales '!$C$2:$AG$2=EDATE($C$4,-12)),'LY Sales '!$C$5:$AG$200))</f>
        <v>0</v>
      </c>
      <c r="AH133" s="271">
        <f t="shared" si="55"/>
        <v>0</v>
      </c>
      <c r="AI133" s="271">
        <f t="shared" si="56"/>
        <v>0</v>
      </c>
      <c r="AJ133" s="271">
        <f t="shared" si="57"/>
        <v>0</v>
      </c>
      <c r="AK133" s="271">
        <f t="shared" si="58"/>
        <v>0</v>
      </c>
      <c r="AL133" s="271">
        <f t="shared" si="59"/>
        <v>0</v>
      </c>
      <c r="AM133" s="306" cm="1">
        <f t="array" ref="AM133">IF(OR(AB133="",NOT(ISNUMBER('Sales Dashboard'!BF132))),0,SUMPRODUCT((IFERROR(--'Sales and count'!$G$2:$CC$2,0)=$F$4)*('Sales and count'!$G$3:$CC$3="Total"),INDEX('Sales and count'!$G$4:$CC$300,'Sales Dashboard'!BF132,0)))</f>
        <v>0</v>
      </c>
      <c r="AN133" s="306" cm="1">
        <f t="array" ref="AN133">IF(OR(AB133="",NOT(ISNUMBER('Sales Dashboard'!BG132))),0,SUMPRODUCT(('TY Sales Target'!$K$2:$AO$2=$F$4)*1,INDEX('TY Sales Target'!$K$5:$AO$300,'Sales Dashboard'!BG132,0)))</f>
        <v>0</v>
      </c>
      <c r="AO133" s="306" cm="1">
        <f t="array" ref="AO133">IF(AB133="",0,SUMPRODUCT((TRIM('LY Sales '!$B$5:$B$200)=AB133)*('LY Sales '!$C$2:$AG$2=EDATE($F$4,-12)),'LY Sales '!$C$5:$AG$200))</f>
        <v>0</v>
      </c>
      <c r="AP133">
        <f t="shared" si="60"/>
        <v>0</v>
      </c>
      <c r="AQ133">
        <f t="shared" si="61"/>
        <v>0</v>
      </c>
      <c r="AR133">
        <f t="shared" si="62"/>
        <v>0</v>
      </c>
      <c r="AS133">
        <f t="shared" si="63"/>
        <v>0</v>
      </c>
    </row>
    <row r="134" spans="1:45" x14ac:dyDescent="0.25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 t="str">
        <f>IF('Sales Dashboard'!AW133="","",'Sales Dashboard'!AW133)</f>
        <v/>
      </c>
      <c r="AC134" s="271" t="str">
        <f>IF(AB134="","",'Sales Dashboard'!AN133)</f>
        <v/>
      </c>
      <c r="AD134" s="271" t="str">
        <f>IF(AB134="","",'Sales Dashboard'!AO133)</f>
        <v/>
      </c>
      <c r="AE134" s="281" cm="1">
        <f t="array" ref="AE134">IF(OR(AB134="",NOT(ISNUMBER('Sales Dashboard'!BF133))),0,SUMPRODUCT((IFERROR(--'Sales and count'!$G$2:$CC$2,0)=$C$4)*('Sales and count'!$G$3:$CC$3="Total"),INDEX('Sales and count'!$G$4:$CC$300,'Sales Dashboard'!BF133,0)))</f>
        <v>0</v>
      </c>
      <c r="AF134" s="281" cm="1">
        <f t="array" ref="AF134">IF(OR(AB134="",NOT(ISNUMBER('Sales Dashboard'!BG133))),0,SUMPRODUCT(('TY Sales Target'!$K$2:$AO$2=$C$4)*1,INDEX('TY Sales Target'!$K$5:$AO$300,'Sales Dashboard'!BG133,0)))</f>
        <v>0</v>
      </c>
      <c r="AG134" s="281" cm="1">
        <f t="array" ref="AG134">IF(AB134="",0,SUMPRODUCT((TRIM('LY Sales '!$B$5:$B$200)=AB134)*('LY Sales '!$C$2:$AG$2=EDATE($C$4,-12)),'LY Sales '!$C$5:$AG$200))</f>
        <v>0</v>
      </c>
      <c r="AH134" s="271">
        <f t="shared" si="55"/>
        <v>0</v>
      </c>
      <c r="AI134" s="271">
        <f t="shared" si="56"/>
        <v>0</v>
      </c>
      <c r="AJ134" s="271">
        <f t="shared" si="57"/>
        <v>0</v>
      </c>
      <c r="AK134" s="271">
        <f t="shared" si="58"/>
        <v>0</v>
      </c>
      <c r="AL134" s="271">
        <f t="shared" si="59"/>
        <v>0</v>
      </c>
      <c r="AM134" s="306" cm="1">
        <f t="array" ref="AM134">IF(OR(AB134="",NOT(ISNUMBER('Sales Dashboard'!BF133))),0,SUMPRODUCT((IFERROR(--'Sales and count'!$G$2:$CC$2,0)=$F$4)*('Sales and count'!$G$3:$CC$3="Total"),INDEX('Sales and count'!$G$4:$CC$300,'Sales Dashboard'!BF133,0)))</f>
        <v>0</v>
      </c>
      <c r="AN134" s="306" cm="1">
        <f t="array" ref="AN134">IF(OR(AB134="",NOT(ISNUMBER('Sales Dashboard'!BG133))),0,SUMPRODUCT(('TY Sales Target'!$K$2:$AO$2=$F$4)*1,INDEX('TY Sales Target'!$K$5:$AO$300,'Sales Dashboard'!BG133,0)))</f>
        <v>0</v>
      </c>
      <c r="AO134" s="306" cm="1">
        <f t="array" ref="AO134">IF(AB134="",0,SUMPRODUCT((TRIM('LY Sales '!$B$5:$B$200)=AB134)*('LY Sales '!$C$2:$AG$2=EDATE($F$4,-12)),'LY Sales '!$C$5:$AG$200))</f>
        <v>0</v>
      </c>
      <c r="AP134">
        <f t="shared" si="60"/>
        <v>0</v>
      </c>
      <c r="AQ134">
        <f t="shared" si="61"/>
        <v>0</v>
      </c>
      <c r="AR134">
        <f t="shared" si="62"/>
        <v>0</v>
      </c>
      <c r="AS134">
        <f t="shared" si="63"/>
        <v>0</v>
      </c>
    </row>
    <row r="135" spans="1:45" x14ac:dyDescent="0.25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 t="str">
        <f>IF('Sales Dashboard'!AW134="","",'Sales Dashboard'!AW134)</f>
        <v/>
      </c>
      <c r="AC135" s="271" t="str">
        <f>IF(AB135="","",'Sales Dashboard'!AN134)</f>
        <v/>
      </c>
      <c r="AD135" s="271" t="str">
        <f>IF(AB135="","",'Sales Dashboard'!AO134)</f>
        <v/>
      </c>
      <c r="AE135" s="281" cm="1">
        <f t="array" ref="AE135">IF(OR(AB135="",NOT(ISNUMBER('Sales Dashboard'!BF134))),0,SUMPRODUCT((IFERROR(--'Sales and count'!$G$2:$CC$2,0)=$C$4)*('Sales and count'!$G$3:$CC$3="Total"),INDEX('Sales and count'!$G$4:$CC$300,'Sales Dashboard'!BF134,0)))</f>
        <v>0</v>
      </c>
      <c r="AF135" s="281" cm="1">
        <f t="array" ref="AF135">IF(OR(AB135="",NOT(ISNUMBER('Sales Dashboard'!BG134))),0,SUMPRODUCT(('TY Sales Target'!$K$2:$AO$2=$C$4)*1,INDEX('TY Sales Target'!$K$5:$AO$300,'Sales Dashboard'!BG134,0)))</f>
        <v>0</v>
      </c>
      <c r="AG135" s="281" cm="1">
        <f t="array" ref="AG135">IF(AB135="",0,SUMPRODUCT((TRIM('LY Sales '!$B$5:$B$200)=AB135)*('LY Sales '!$C$2:$AG$2=EDATE($C$4,-12)),'LY Sales '!$C$5:$AG$200))</f>
        <v>0</v>
      </c>
      <c r="AH135" s="271">
        <f t="shared" si="55"/>
        <v>0</v>
      </c>
      <c r="AI135" s="271">
        <f t="shared" si="56"/>
        <v>0</v>
      </c>
      <c r="AJ135" s="271">
        <f t="shared" si="57"/>
        <v>0</v>
      </c>
      <c r="AK135" s="271">
        <f t="shared" si="58"/>
        <v>0</v>
      </c>
      <c r="AL135" s="271">
        <f t="shared" si="59"/>
        <v>0</v>
      </c>
      <c r="AM135" s="306" cm="1">
        <f t="array" ref="AM135">IF(OR(AB135="",NOT(ISNUMBER('Sales Dashboard'!BF134))),0,SUMPRODUCT((IFERROR(--'Sales and count'!$G$2:$CC$2,0)=$F$4)*('Sales and count'!$G$3:$CC$3="Total"),INDEX('Sales and count'!$G$4:$CC$300,'Sales Dashboard'!BF134,0)))</f>
        <v>0</v>
      </c>
      <c r="AN135" s="306" cm="1">
        <f t="array" ref="AN135">IF(OR(AB135="",NOT(ISNUMBER('Sales Dashboard'!BG134))),0,SUMPRODUCT(('TY Sales Target'!$K$2:$AO$2=$F$4)*1,INDEX('TY Sales Target'!$K$5:$AO$300,'Sales Dashboard'!BG134,0)))</f>
        <v>0</v>
      </c>
      <c r="AO135" s="306" cm="1">
        <f t="array" ref="AO135">IF(AB135="",0,SUMPRODUCT((TRIM('LY Sales '!$B$5:$B$200)=AB135)*('LY Sales '!$C$2:$AG$2=EDATE($F$4,-12)),'LY Sales '!$C$5:$AG$200))</f>
        <v>0</v>
      </c>
      <c r="AP135">
        <f t="shared" si="60"/>
        <v>0</v>
      </c>
      <c r="AQ135">
        <f t="shared" si="61"/>
        <v>0</v>
      </c>
      <c r="AR135">
        <f t="shared" si="62"/>
        <v>0</v>
      </c>
      <c r="AS135">
        <f t="shared" si="63"/>
        <v>0</v>
      </c>
    </row>
    <row r="136" spans="1:45" x14ac:dyDescent="0.25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 t="str">
        <f>IF('Sales Dashboard'!AW135="","",'Sales Dashboard'!AW135)</f>
        <v/>
      </c>
      <c r="AC136" s="271" t="str">
        <f>IF(AB136="","",'Sales Dashboard'!AN135)</f>
        <v/>
      </c>
      <c r="AD136" s="271" t="str">
        <f>IF(AB136="","",'Sales Dashboard'!AO135)</f>
        <v/>
      </c>
      <c r="AE136" s="281" cm="1">
        <f t="array" ref="AE136">IF(OR(AB136="",NOT(ISNUMBER('Sales Dashboard'!BF135))),0,SUMPRODUCT((IFERROR(--'Sales and count'!$G$2:$CC$2,0)=$C$4)*('Sales and count'!$G$3:$CC$3="Total"),INDEX('Sales and count'!$G$4:$CC$300,'Sales Dashboard'!BF135,0)))</f>
        <v>0</v>
      </c>
      <c r="AF136" s="281" cm="1">
        <f t="array" ref="AF136">IF(OR(AB136="",NOT(ISNUMBER('Sales Dashboard'!BG135))),0,SUMPRODUCT(('TY Sales Target'!$K$2:$AO$2=$C$4)*1,INDEX('TY Sales Target'!$K$5:$AO$300,'Sales Dashboard'!BG135,0)))</f>
        <v>0</v>
      </c>
      <c r="AG136" s="281" cm="1">
        <f t="array" ref="AG136">IF(AB136="",0,SUMPRODUCT((TRIM('LY Sales '!$B$5:$B$200)=AB136)*('LY Sales '!$C$2:$AG$2=EDATE($C$4,-12)),'LY Sales '!$C$5:$AG$200))</f>
        <v>0</v>
      </c>
      <c r="AH136" s="271">
        <f t="shared" ref="AH136:AH199" si="64">--AND(AB136&lt;&gt;"",AF136&gt;0)</f>
        <v>0</v>
      </c>
      <c r="AI136" s="271">
        <f t="shared" ref="AI136:AI199" si="65">--AND(AH136=1,AE136&gt;=AF136*$L$4)</f>
        <v>0</v>
      </c>
      <c r="AJ136" s="271">
        <f t="shared" ref="AJ136:AJ199" si="66">--AND(AB136&lt;&gt;"",AG136&gt;0)</f>
        <v>0</v>
      </c>
      <c r="AK136" s="271">
        <f t="shared" ref="AK136:AK199" si="67">--AND(AJ136=1,AE136&gt;=AG136*$O$4)</f>
        <v>0</v>
      </c>
      <c r="AL136" s="271">
        <f t="shared" ref="AL136:AL199" si="68">--AND(AC136&lt;&gt;"",AC136&lt;&gt;"No assignment",AC136&lt;&gt;"Unassigned")</f>
        <v>0</v>
      </c>
      <c r="AM136" s="306" cm="1">
        <f t="array" ref="AM136">IF(OR(AB136="",NOT(ISNUMBER('Sales Dashboard'!BF135))),0,SUMPRODUCT((IFERROR(--'Sales and count'!$G$2:$CC$2,0)=$F$4)*('Sales and count'!$G$3:$CC$3="Total"),INDEX('Sales and count'!$G$4:$CC$300,'Sales Dashboard'!BF135,0)))</f>
        <v>0</v>
      </c>
      <c r="AN136" s="306" cm="1">
        <f t="array" ref="AN136">IF(OR(AB136="",NOT(ISNUMBER('Sales Dashboard'!BG135))),0,SUMPRODUCT(('TY Sales Target'!$K$2:$AO$2=$F$4)*1,INDEX('TY Sales Target'!$K$5:$AO$300,'Sales Dashboard'!BG135,0)))</f>
        <v>0</v>
      </c>
      <c r="AO136" s="306" cm="1">
        <f t="array" ref="AO136">IF(AB136="",0,SUMPRODUCT((TRIM('LY Sales '!$B$5:$B$200)=AB136)*('LY Sales '!$C$2:$AG$2=EDATE($F$4,-12)),'LY Sales '!$C$5:$AG$200))</f>
        <v>0</v>
      </c>
      <c r="AP136">
        <f t="shared" ref="AP136:AP199" si="69">--AND(AB136&lt;&gt;"",AN136&gt;0)</f>
        <v>0</v>
      </c>
      <c r="AQ136">
        <f t="shared" ref="AQ136:AQ199" si="70">--AND(AP136=1,AM136&gt;=AN136*$L$4)</f>
        <v>0</v>
      </c>
      <c r="AR136">
        <f t="shared" ref="AR136:AR199" si="71">--AND(AB136&lt;&gt;"",AO136&gt;0)</f>
        <v>0</v>
      </c>
      <c r="AS136">
        <f t="shared" ref="AS136:AS199" si="72">--AND(AR136=1,AM136&gt;=AO136*$O$4)</f>
        <v>0</v>
      </c>
    </row>
    <row r="137" spans="1:45" x14ac:dyDescent="0.25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 t="str">
        <f>IF('Sales Dashboard'!AW136="","",'Sales Dashboard'!AW136)</f>
        <v/>
      </c>
      <c r="AC137" s="271" t="str">
        <f>IF(AB137="","",'Sales Dashboard'!AN136)</f>
        <v/>
      </c>
      <c r="AD137" s="271" t="str">
        <f>IF(AB137="","",'Sales Dashboard'!AO136)</f>
        <v/>
      </c>
      <c r="AE137" s="281" cm="1">
        <f t="array" ref="AE137">IF(OR(AB137="",NOT(ISNUMBER('Sales Dashboard'!BF136))),0,SUMPRODUCT((IFERROR(--'Sales and count'!$G$2:$CC$2,0)=$C$4)*('Sales and count'!$G$3:$CC$3="Total"),INDEX('Sales and count'!$G$4:$CC$300,'Sales Dashboard'!BF136,0)))</f>
        <v>0</v>
      </c>
      <c r="AF137" s="281" cm="1">
        <f t="array" ref="AF137">IF(OR(AB137="",NOT(ISNUMBER('Sales Dashboard'!BG136))),0,SUMPRODUCT(('TY Sales Target'!$K$2:$AO$2=$C$4)*1,INDEX('TY Sales Target'!$K$5:$AO$300,'Sales Dashboard'!BG136,0)))</f>
        <v>0</v>
      </c>
      <c r="AG137" s="281" cm="1">
        <f t="array" ref="AG137">IF(AB137="",0,SUMPRODUCT((TRIM('LY Sales '!$B$5:$B$200)=AB137)*('LY Sales '!$C$2:$AG$2=EDATE($C$4,-12)),'LY Sales '!$C$5:$AG$200))</f>
        <v>0</v>
      </c>
      <c r="AH137" s="271">
        <f t="shared" si="64"/>
        <v>0</v>
      </c>
      <c r="AI137" s="271">
        <f t="shared" si="65"/>
        <v>0</v>
      </c>
      <c r="AJ137" s="271">
        <f t="shared" si="66"/>
        <v>0</v>
      </c>
      <c r="AK137" s="271">
        <f t="shared" si="67"/>
        <v>0</v>
      </c>
      <c r="AL137" s="271">
        <f t="shared" si="68"/>
        <v>0</v>
      </c>
      <c r="AM137" s="306" cm="1">
        <f t="array" ref="AM137">IF(OR(AB137="",NOT(ISNUMBER('Sales Dashboard'!BF136))),0,SUMPRODUCT((IFERROR(--'Sales and count'!$G$2:$CC$2,0)=$F$4)*('Sales and count'!$G$3:$CC$3="Total"),INDEX('Sales and count'!$G$4:$CC$300,'Sales Dashboard'!BF136,0)))</f>
        <v>0</v>
      </c>
      <c r="AN137" s="306" cm="1">
        <f t="array" ref="AN137">IF(OR(AB137="",NOT(ISNUMBER('Sales Dashboard'!BG136))),0,SUMPRODUCT(('TY Sales Target'!$K$2:$AO$2=$F$4)*1,INDEX('TY Sales Target'!$K$5:$AO$300,'Sales Dashboard'!BG136,0)))</f>
        <v>0</v>
      </c>
      <c r="AO137" s="306" cm="1">
        <f t="array" ref="AO137">IF(AB137="",0,SUMPRODUCT((TRIM('LY Sales '!$B$5:$B$200)=AB137)*('LY Sales '!$C$2:$AG$2=EDATE($F$4,-12)),'LY Sales '!$C$5:$AG$200))</f>
        <v>0</v>
      </c>
      <c r="AP137">
        <f t="shared" si="69"/>
        <v>0</v>
      </c>
      <c r="AQ137">
        <f t="shared" si="70"/>
        <v>0</v>
      </c>
      <c r="AR137">
        <f t="shared" si="71"/>
        <v>0</v>
      </c>
      <c r="AS137">
        <f t="shared" si="72"/>
        <v>0</v>
      </c>
    </row>
    <row r="138" spans="1:45" x14ac:dyDescent="0.25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 t="str">
        <f>IF('Sales Dashboard'!AW137="","",'Sales Dashboard'!AW137)</f>
        <v/>
      </c>
      <c r="AC138" s="271" t="str">
        <f>IF(AB138="","",'Sales Dashboard'!AN137)</f>
        <v/>
      </c>
      <c r="AD138" s="271" t="str">
        <f>IF(AB138="","",'Sales Dashboard'!AO137)</f>
        <v/>
      </c>
      <c r="AE138" s="281" cm="1">
        <f t="array" ref="AE138">IF(OR(AB138="",NOT(ISNUMBER('Sales Dashboard'!BF137))),0,SUMPRODUCT((IFERROR(--'Sales and count'!$G$2:$CC$2,0)=$C$4)*('Sales and count'!$G$3:$CC$3="Total"),INDEX('Sales and count'!$G$4:$CC$300,'Sales Dashboard'!BF137,0)))</f>
        <v>0</v>
      </c>
      <c r="AF138" s="281" cm="1">
        <f t="array" ref="AF138">IF(OR(AB138="",NOT(ISNUMBER('Sales Dashboard'!BG137))),0,SUMPRODUCT(('TY Sales Target'!$K$2:$AO$2=$C$4)*1,INDEX('TY Sales Target'!$K$5:$AO$300,'Sales Dashboard'!BG137,0)))</f>
        <v>0</v>
      </c>
      <c r="AG138" s="281" cm="1">
        <f t="array" ref="AG138">IF(AB138="",0,SUMPRODUCT((TRIM('LY Sales '!$B$5:$B$200)=AB138)*('LY Sales '!$C$2:$AG$2=EDATE($C$4,-12)),'LY Sales '!$C$5:$AG$200))</f>
        <v>0</v>
      </c>
      <c r="AH138" s="271">
        <f t="shared" si="64"/>
        <v>0</v>
      </c>
      <c r="AI138" s="271">
        <f t="shared" si="65"/>
        <v>0</v>
      </c>
      <c r="AJ138" s="271">
        <f t="shared" si="66"/>
        <v>0</v>
      </c>
      <c r="AK138" s="271">
        <f t="shared" si="67"/>
        <v>0</v>
      </c>
      <c r="AL138" s="271">
        <f t="shared" si="68"/>
        <v>0</v>
      </c>
      <c r="AM138" s="306" cm="1">
        <f t="array" ref="AM138">IF(OR(AB138="",NOT(ISNUMBER('Sales Dashboard'!BF137))),0,SUMPRODUCT((IFERROR(--'Sales and count'!$G$2:$CC$2,0)=$F$4)*('Sales and count'!$G$3:$CC$3="Total"),INDEX('Sales and count'!$G$4:$CC$300,'Sales Dashboard'!BF137,0)))</f>
        <v>0</v>
      </c>
      <c r="AN138" s="306" cm="1">
        <f t="array" ref="AN138">IF(OR(AB138="",NOT(ISNUMBER('Sales Dashboard'!BG137))),0,SUMPRODUCT(('TY Sales Target'!$K$2:$AO$2=$F$4)*1,INDEX('TY Sales Target'!$K$5:$AO$300,'Sales Dashboard'!BG137,0)))</f>
        <v>0</v>
      </c>
      <c r="AO138" s="306" cm="1">
        <f t="array" ref="AO138">IF(AB138="",0,SUMPRODUCT((TRIM('LY Sales '!$B$5:$B$200)=AB138)*('LY Sales '!$C$2:$AG$2=EDATE($F$4,-12)),'LY Sales '!$C$5:$AG$200))</f>
        <v>0</v>
      </c>
      <c r="AP138">
        <f t="shared" si="69"/>
        <v>0</v>
      </c>
      <c r="AQ138">
        <f t="shared" si="70"/>
        <v>0</v>
      </c>
      <c r="AR138">
        <f t="shared" si="71"/>
        <v>0</v>
      </c>
      <c r="AS138">
        <f t="shared" si="72"/>
        <v>0</v>
      </c>
    </row>
    <row r="139" spans="1:45" x14ac:dyDescent="0.25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 t="str">
        <f>IF('Sales Dashboard'!AW138="","",'Sales Dashboard'!AW138)</f>
        <v/>
      </c>
      <c r="AC139" s="271" t="str">
        <f>IF(AB139="","",'Sales Dashboard'!AN138)</f>
        <v/>
      </c>
      <c r="AD139" s="271" t="str">
        <f>IF(AB139="","",'Sales Dashboard'!AO138)</f>
        <v/>
      </c>
      <c r="AE139" s="281" cm="1">
        <f t="array" ref="AE139">IF(OR(AB139="",NOT(ISNUMBER('Sales Dashboard'!BF138))),0,SUMPRODUCT((IFERROR(--'Sales and count'!$G$2:$CC$2,0)=$C$4)*('Sales and count'!$G$3:$CC$3="Total"),INDEX('Sales and count'!$G$4:$CC$300,'Sales Dashboard'!BF138,0)))</f>
        <v>0</v>
      </c>
      <c r="AF139" s="281" cm="1">
        <f t="array" ref="AF139">IF(OR(AB139="",NOT(ISNUMBER('Sales Dashboard'!BG138))),0,SUMPRODUCT(('TY Sales Target'!$K$2:$AO$2=$C$4)*1,INDEX('TY Sales Target'!$K$5:$AO$300,'Sales Dashboard'!BG138,0)))</f>
        <v>0</v>
      </c>
      <c r="AG139" s="281" cm="1">
        <f t="array" ref="AG139">IF(AB139="",0,SUMPRODUCT((TRIM('LY Sales '!$B$5:$B$200)=AB139)*('LY Sales '!$C$2:$AG$2=EDATE($C$4,-12)),'LY Sales '!$C$5:$AG$200))</f>
        <v>0</v>
      </c>
      <c r="AH139" s="271">
        <f t="shared" si="64"/>
        <v>0</v>
      </c>
      <c r="AI139" s="271">
        <f t="shared" si="65"/>
        <v>0</v>
      </c>
      <c r="AJ139" s="271">
        <f t="shared" si="66"/>
        <v>0</v>
      </c>
      <c r="AK139" s="271">
        <f t="shared" si="67"/>
        <v>0</v>
      </c>
      <c r="AL139" s="271">
        <f t="shared" si="68"/>
        <v>0</v>
      </c>
      <c r="AM139" s="306" cm="1">
        <f t="array" ref="AM139">IF(OR(AB139="",NOT(ISNUMBER('Sales Dashboard'!BF138))),0,SUMPRODUCT((IFERROR(--'Sales and count'!$G$2:$CC$2,0)=$F$4)*('Sales and count'!$G$3:$CC$3="Total"),INDEX('Sales and count'!$G$4:$CC$300,'Sales Dashboard'!BF138,0)))</f>
        <v>0</v>
      </c>
      <c r="AN139" s="306" cm="1">
        <f t="array" ref="AN139">IF(OR(AB139="",NOT(ISNUMBER('Sales Dashboard'!BG138))),0,SUMPRODUCT(('TY Sales Target'!$K$2:$AO$2=$F$4)*1,INDEX('TY Sales Target'!$K$5:$AO$300,'Sales Dashboard'!BG138,0)))</f>
        <v>0</v>
      </c>
      <c r="AO139" s="306" cm="1">
        <f t="array" ref="AO139">IF(AB139="",0,SUMPRODUCT((TRIM('LY Sales '!$B$5:$B$200)=AB139)*('LY Sales '!$C$2:$AG$2=EDATE($F$4,-12)),'LY Sales '!$C$5:$AG$200))</f>
        <v>0</v>
      </c>
      <c r="AP139">
        <f t="shared" si="69"/>
        <v>0</v>
      </c>
      <c r="AQ139">
        <f t="shared" si="70"/>
        <v>0</v>
      </c>
      <c r="AR139">
        <f t="shared" si="71"/>
        <v>0</v>
      </c>
      <c r="AS139">
        <f t="shared" si="72"/>
        <v>0</v>
      </c>
    </row>
    <row r="140" spans="1:45" x14ac:dyDescent="0.25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 t="str">
        <f>IF('Sales Dashboard'!AW139="","",'Sales Dashboard'!AW139)</f>
        <v/>
      </c>
      <c r="AC140" s="271" t="str">
        <f>IF(AB140="","",'Sales Dashboard'!AN139)</f>
        <v/>
      </c>
      <c r="AD140" s="271" t="str">
        <f>IF(AB140="","",'Sales Dashboard'!AO139)</f>
        <v/>
      </c>
      <c r="AE140" s="281" cm="1">
        <f t="array" ref="AE140">IF(OR(AB140="",NOT(ISNUMBER('Sales Dashboard'!BF139))),0,SUMPRODUCT((IFERROR(--'Sales and count'!$G$2:$CC$2,0)=$C$4)*('Sales and count'!$G$3:$CC$3="Total"),INDEX('Sales and count'!$G$4:$CC$300,'Sales Dashboard'!BF139,0)))</f>
        <v>0</v>
      </c>
      <c r="AF140" s="281" cm="1">
        <f t="array" ref="AF140">IF(OR(AB140="",NOT(ISNUMBER('Sales Dashboard'!BG139))),0,SUMPRODUCT(('TY Sales Target'!$K$2:$AO$2=$C$4)*1,INDEX('TY Sales Target'!$K$5:$AO$300,'Sales Dashboard'!BG139,0)))</f>
        <v>0</v>
      </c>
      <c r="AG140" s="281" cm="1">
        <f t="array" ref="AG140">IF(AB140="",0,SUMPRODUCT((TRIM('LY Sales '!$B$5:$B$200)=AB140)*('LY Sales '!$C$2:$AG$2=EDATE($C$4,-12)),'LY Sales '!$C$5:$AG$200))</f>
        <v>0</v>
      </c>
      <c r="AH140" s="271">
        <f t="shared" si="64"/>
        <v>0</v>
      </c>
      <c r="AI140" s="271">
        <f t="shared" si="65"/>
        <v>0</v>
      </c>
      <c r="AJ140" s="271">
        <f t="shared" si="66"/>
        <v>0</v>
      </c>
      <c r="AK140" s="271">
        <f t="shared" si="67"/>
        <v>0</v>
      </c>
      <c r="AL140" s="271">
        <f t="shared" si="68"/>
        <v>0</v>
      </c>
      <c r="AM140" s="306" cm="1">
        <f t="array" ref="AM140">IF(OR(AB140="",NOT(ISNUMBER('Sales Dashboard'!BF139))),0,SUMPRODUCT((IFERROR(--'Sales and count'!$G$2:$CC$2,0)=$F$4)*('Sales and count'!$G$3:$CC$3="Total"),INDEX('Sales and count'!$G$4:$CC$300,'Sales Dashboard'!BF139,0)))</f>
        <v>0</v>
      </c>
      <c r="AN140" s="306" cm="1">
        <f t="array" ref="AN140">IF(OR(AB140="",NOT(ISNUMBER('Sales Dashboard'!BG139))),0,SUMPRODUCT(('TY Sales Target'!$K$2:$AO$2=$F$4)*1,INDEX('TY Sales Target'!$K$5:$AO$300,'Sales Dashboard'!BG139,0)))</f>
        <v>0</v>
      </c>
      <c r="AO140" s="306" cm="1">
        <f t="array" ref="AO140">IF(AB140="",0,SUMPRODUCT((TRIM('LY Sales '!$B$5:$B$200)=AB140)*('LY Sales '!$C$2:$AG$2=EDATE($F$4,-12)),'LY Sales '!$C$5:$AG$200))</f>
        <v>0</v>
      </c>
      <c r="AP140">
        <f t="shared" si="69"/>
        <v>0</v>
      </c>
      <c r="AQ140">
        <f t="shared" si="70"/>
        <v>0</v>
      </c>
      <c r="AR140">
        <f t="shared" si="71"/>
        <v>0</v>
      </c>
      <c r="AS140">
        <f t="shared" si="72"/>
        <v>0</v>
      </c>
    </row>
    <row r="141" spans="1:45" x14ac:dyDescent="0.25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 t="str">
        <f>IF('Sales Dashboard'!AW140="","",'Sales Dashboard'!AW140)</f>
        <v/>
      </c>
      <c r="AC141" s="271" t="str">
        <f>IF(AB141="","",'Sales Dashboard'!AN140)</f>
        <v/>
      </c>
      <c r="AD141" s="271" t="str">
        <f>IF(AB141="","",'Sales Dashboard'!AO140)</f>
        <v/>
      </c>
      <c r="AE141" s="281" cm="1">
        <f t="array" ref="AE141">IF(OR(AB141="",NOT(ISNUMBER('Sales Dashboard'!BF140))),0,SUMPRODUCT((IFERROR(--'Sales and count'!$G$2:$CC$2,0)=$C$4)*('Sales and count'!$G$3:$CC$3="Total"),INDEX('Sales and count'!$G$4:$CC$300,'Sales Dashboard'!BF140,0)))</f>
        <v>0</v>
      </c>
      <c r="AF141" s="281" cm="1">
        <f t="array" ref="AF141">IF(OR(AB141="",NOT(ISNUMBER('Sales Dashboard'!BG140))),0,SUMPRODUCT(('TY Sales Target'!$K$2:$AO$2=$C$4)*1,INDEX('TY Sales Target'!$K$5:$AO$300,'Sales Dashboard'!BG140,0)))</f>
        <v>0</v>
      </c>
      <c r="AG141" s="281" cm="1">
        <f t="array" ref="AG141">IF(AB141="",0,SUMPRODUCT((TRIM('LY Sales '!$B$5:$B$200)=AB141)*('LY Sales '!$C$2:$AG$2=EDATE($C$4,-12)),'LY Sales '!$C$5:$AG$200))</f>
        <v>0</v>
      </c>
      <c r="AH141" s="271">
        <f t="shared" si="64"/>
        <v>0</v>
      </c>
      <c r="AI141" s="271">
        <f t="shared" si="65"/>
        <v>0</v>
      </c>
      <c r="AJ141" s="271">
        <f t="shared" si="66"/>
        <v>0</v>
      </c>
      <c r="AK141" s="271">
        <f t="shared" si="67"/>
        <v>0</v>
      </c>
      <c r="AL141" s="271">
        <f t="shared" si="68"/>
        <v>0</v>
      </c>
      <c r="AM141" s="306" cm="1">
        <f t="array" ref="AM141">IF(OR(AB141="",NOT(ISNUMBER('Sales Dashboard'!BF140))),0,SUMPRODUCT((IFERROR(--'Sales and count'!$G$2:$CC$2,0)=$F$4)*('Sales and count'!$G$3:$CC$3="Total"),INDEX('Sales and count'!$G$4:$CC$300,'Sales Dashboard'!BF140,0)))</f>
        <v>0</v>
      </c>
      <c r="AN141" s="306" cm="1">
        <f t="array" ref="AN141">IF(OR(AB141="",NOT(ISNUMBER('Sales Dashboard'!BG140))),0,SUMPRODUCT(('TY Sales Target'!$K$2:$AO$2=$F$4)*1,INDEX('TY Sales Target'!$K$5:$AO$300,'Sales Dashboard'!BG140,0)))</f>
        <v>0</v>
      </c>
      <c r="AO141" s="306" cm="1">
        <f t="array" ref="AO141">IF(AB141="",0,SUMPRODUCT((TRIM('LY Sales '!$B$5:$B$200)=AB141)*('LY Sales '!$C$2:$AG$2=EDATE($F$4,-12)),'LY Sales '!$C$5:$AG$200))</f>
        <v>0</v>
      </c>
      <c r="AP141">
        <f t="shared" si="69"/>
        <v>0</v>
      </c>
      <c r="AQ141">
        <f t="shared" si="70"/>
        <v>0</v>
      </c>
      <c r="AR141">
        <f t="shared" si="71"/>
        <v>0</v>
      </c>
      <c r="AS141">
        <f t="shared" si="72"/>
        <v>0</v>
      </c>
    </row>
    <row r="142" spans="1:45" x14ac:dyDescent="0.25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 t="str">
        <f>IF('Sales Dashboard'!AW141="","",'Sales Dashboard'!AW141)</f>
        <v/>
      </c>
      <c r="AC142" s="271" t="str">
        <f>IF(AB142="","",'Sales Dashboard'!AN141)</f>
        <v/>
      </c>
      <c r="AD142" s="271" t="str">
        <f>IF(AB142="","",'Sales Dashboard'!AO141)</f>
        <v/>
      </c>
      <c r="AE142" s="281" cm="1">
        <f t="array" ref="AE142">IF(OR(AB142="",NOT(ISNUMBER('Sales Dashboard'!BF141))),0,SUMPRODUCT((IFERROR(--'Sales and count'!$G$2:$CC$2,0)=$C$4)*('Sales and count'!$G$3:$CC$3="Total"),INDEX('Sales and count'!$G$4:$CC$300,'Sales Dashboard'!BF141,0)))</f>
        <v>0</v>
      </c>
      <c r="AF142" s="281" cm="1">
        <f t="array" ref="AF142">IF(OR(AB142="",NOT(ISNUMBER('Sales Dashboard'!BG141))),0,SUMPRODUCT(('TY Sales Target'!$K$2:$AO$2=$C$4)*1,INDEX('TY Sales Target'!$K$5:$AO$300,'Sales Dashboard'!BG141,0)))</f>
        <v>0</v>
      </c>
      <c r="AG142" s="281" cm="1">
        <f t="array" ref="AG142">IF(AB142="",0,SUMPRODUCT((TRIM('LY Sales '!$B$5:$B$200)=AB142)*('LY Sales '!$C$2:$AG$2=EDATE($C$4,-12)),'LY Sales '!$C$5:$AG$200))</f>
        <v>0</v>
      </c>
      <c r="AH142" s="271">
        <f t="shared" si="64"/>
        <v>0</v>
      </c>
      <c r="AI142" s="271">
        <f t="shared" si="65"/>
        <v>0</v>
      </c>
      <c r="AJ142" s="271">
        <f t="shared" si="66"/>
        <v>0</v>
      </c>
      <c r="AK142" s="271">
        <f t="shared" si="67"/>
        <v>0</v>
      </c>
      <c r="AL142" s="271">
        <f t="shared" si="68"/>
        <v>0</v>
      </c>
      <c r="AM142" s="306" cm="1">
        <f t="array" ref="AM142">IF(OR(AB142="",NOT(ISNUMBER('Sales Dashboard'!BF141))),0,SUMPRODUCT((IFERROR(--'Sales and count'!$G$2:$CC$2,0)=$F$4)*('Sales and count'!$G$3:$CC$3="Total"),INDEX('Sales and count'!$G$4:$CC$300,'Sales Dashboard'!BF141,0)))</f>
        <v>0</v>
      </c>
      <c r="AN142" s="306" cm="1">
        <f t="array" ref="AN142">IF(OR(AB142="",NOT(ISNUMBER('Sales Dashboard'!BG141))),0,SUMPRODUCT(('TY Sales Target'!$K$2:$AO$2=$F$4)*1,INDEX('TY Sales Target'!$K$5:$AO$300,'Sales Dashboard'!BG141,0)))</f>
        <v>0</v>
      </c>
      <c r="AO142" s="306" cm="1">
        <f t="array" ref="AO142">IF(AB142="",0,SUMPRODUCT((TRIM('LY Sales '!$B$5:$B$200)=AB142)*('LY Sales '!$C$2:$AG$2=EDATE($F$4,-12)),'LY Sales '!$C$5:$AG$200))</f>
        <v>0</v>
      </c>
      <c r="AP142">
        <f t="shared" si="69"/>
        <v>0</v>
      </c>
      <c r="AQ142">
        <f t="shared" si="70"/>
        <v>0</v>
      </c>
      <c r="AR142">
        <f t="shared" si="71"/>
        <v>0</v>
      </c>
      <c r="AS142">
        <f t="shared" si="72"/>
        <v>0</v>
      </c>
    </row>
    <row r="143" spans="1:45" x14ac:dyDescent="0.25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 t="str">
        <f>IF('Sales Dashboard'!AW142="","",'Sales Dashboard'!AW142)</f>
        <v/>
      </c>
      <c r="AC143" s="271" t="str">
        <f>IF(AB143="","",'Sales Dashboard'!AN142)</f>
        <v/>
      </c>
      <c r="AD143" s="271" t="str">
        <f>IF(AB143="","",'Sales Dashboard'!AO142)</f>
        <v/>
      </c>
      <c r="AE143" s="281" cm="1">
        <f t="array" ref="AE143">IF(OR(AB143="",NOT(ISNUMBER('Sales Dashboard'!BF142))),0,SUMPRODUCT((IFERROR(--'Sales and count'!$G$2:$CC$2,0)=$C$4)*('Sales and count'!$G$3:$CC$3="Total"),INDEX('Sales and count'!$G$4:$CC$300,'Sales Dashboard'!BF142,0)))</f>
        <v>0</v>
      </c>
      <c r="AF143" s="281" cm="1">
        <f t="array" ref="AF143">IF(OR(AB143="",NOT(ISNUMBER('Sales Dashboard'!BG142))),0,SUMPRODUCT(('TY Sales Target'!$K$2:$AO$2=$C$4)*1,INDEX('TY Sales Target'!$K$5:$AO$300,'Sales Dashboard'!BG142,0)))</f>
        <v>0</v>
      </c>
      <c r="AG143" s="281" cm="1">
        <f t="array" ref="AG143">IF(AB143="",0,SUMPRODUCT((TRIM('LY Sales '!$B$5:$B$200)=AB143)*('LY Sales '!$C$2:$AG$2=EDATE($C$4,-12)),'LY Sales '!$C$5:$AG$200))</f>
        <v>0</v>
      </c>
      <c r="AH143" s="271">
        <f t="shared" si="64"/>
        <v>0</v>
      </c>
      <c r="AI143" s="271">
        <f t="shared" si="65"/>
        <v>0</v>
      </c>
      <c r="AJ143" s="271">
        <f t="shared" si="66"/>
        <v>0</v>
      </c>
      <c r="AK143" s="271">
        <f t="shared" si="67"/>
        <v>0</v>
      </c>
      <c r="AL143" s="271">
        <f t="shared" si="68"/>
        <v>0</v>
      </c>
      <c r="AM143" s="306" cm="1">
        <f t="array" ref="AM143">IF(OR(AB143="",NOT(ISNUMBER('Sales Dashboard'!BF142))),0,SUMPRODUCT((IFERROR(--'Sales and count'!$G$2:$CC$2,0)=$F$4)*('Sales and count'!$G$3:$CC$3="Total"),INDEX('Sales and count'!$G$4:$CC$300,'Sales Dashboard'!BF142,0)))</f>
        <v>0</v>
      </c>
      <c r="AN143" s="306" cm="1">
        <f t="array" ref="AN143">IF(OR(AB143="",NOT(ISNUMBER('Sales Dashboard'!BG142))),0,SUMPRODUCT(('TY Sales Target'!$K$2:$AO$2=$F$4)*1,INDEX('TY Sales Target'!$K$5:$AO$300,'Sales Dashboard'!BG142,0)))</f>
        <v>0</v>
      </c>
      <c r="AO143" s="306" cm="1">
        <f t="array" ref="AO143">IF(AB143="",0,SUMPRODUCT((TRIM('LY Sales '!$B$5:$B$200)=AB143)*('LY Sales '!$C$2:$AG$2=EDATE($F$4,-12)),'LY Sales '!$C$5:$AG$200))</f>
        <v>0</v>
      </c>
      <c r="AP143">
        <f t="shared" si="69"/>
        <v>0</v>
      </c>
      <c r="AQ143">
        <f t="shared" si="70"/>
        <v>0</v>
      </c>
      <c r="AR143">
        <f t="shared" si="71"/>
        <v>0</v>
      </c>
      <c r="AS143">
        <f t="shared" si="72"/>
        <v>0</v>
      </c>
    </row>
    <row r="144" spans="1:45" x14ac:dyDescent="0.25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 t="str">
        <f>IF('Sales Dashboard'!AW143="","",'Sales Dashboard'!AW143)</f>
        <v/>
      </c>
      <c r="AC144" s="271" t="str">
        <f>IF(AB144="","",'Sales Dashboard'!AN143)</f>
        <v/>
      </c>
      <c r="AD144" s="271" t="str">
        <f>IF(AB144="","",'Sales Dashboard'!AO143)</f>
        <v/>
      </c>
      <c r="AE144" s="281" cm="1">
        <f t="array" ref="AE144">IF(OR(AB144="",NOT(ISNUMBER('Sales Dashboard'!BF143))),0,SUMPRODUCT((IFERROR(--'Sales and count'!$G$2:$CC$2,0)=$C$4)*('Sales and count'!$G$3:$CC$3="Total"),INDEX('Sales and count'!$G$4:$CC$300,'Sales Dashboard'!BF143,0)))</f>
        <v>0</v>
      </c>
      <c r="AF144" s="281" cm="1">
        <f t="array" ref="AF144">IF(OR(AB144="",NOT(ISNUMBER('Sales Dashboard'!BG143))),0,SUMPRODUCT(('TY Sales Target'!$K$2:$AO$2=$C$4)*1,INDEX('TY Sales Target'!$K$5:$AO$300,'Sales Dashboard'!BG143,0)))</f>
        <v>0</v>
      </c>
      <c r="AG144" s="281" cm="1">
        <f t="array" ref="AG144">IF(AB144="",0,SUMPRODUCT((TRIM('LY Sales '!$B$5:$B$200)=AB144)*('LY Sales '!$C$2:$AG$2=EDATE($C$4,-12)),'LY Sales '!$C$5:$AG$200))</f>
        <v>0</v>
      </c>
      <c r="AH144" s="271">
        <f t="shared" si="64"/>
        <v>0</v>
      </c>
      <c r="AI144" s="271">
        <f t="shared" si="65"/>
        <v>0</v>
      </c>
      <c r="AJ144" s="271">
        <f t="shared" si="66"/>
        <v>0</v>
      </c>
      <c r="AK144" s="271">
        <f t="shared" si="67"/>
        <v>0</v>
      </c>
      <c r="AL144" s="271">
        <f t="shared" si="68"/>
        <v>0</v>
      </c>
      <c r="AM144" s="306" cm="1">
        <f t="array" ref="AM144">IF(OR(AB144="",NOT(ISNUMBER('Sales Dashboard'!BF143))),0,SUMPRODUCT((IFERROR(--'Sales and count'!$G$2:$CC$2,0)=$F$4)*('Sales and count'!$G$3:$CC$3="Total"),INDEX('Sales and count'!$G$4:$CC$300,'Sales Dashboard'!BF143,0)))</f>
        <v>0</v>
      </c>
      <c r="AN144" s="306" cm="1">
        <f t="array" ref="AN144">IF(OR(AB144="",NOT(ISNUMBER('Sales Dashboard'!BG143))),0,SUMPRODUCT(('TY Sales Target'!$K$2:$AO$2=$F$4)*1,INDEX('TY Sales Target'!$K$5:$AO$300,'Sales Dashboard'!BG143,0)))</f>
        <v>0</v>
      </c>
      <c r="AO144" s="306" cm="1">
        <f t="array" ref="AO144">IF(AB144="",0,SUMPRODUCT((TRIM('LY Sales '!$B$5:$B$200)=AB144)*('LY Sales '!$C$2:$AG$2=EDATE($F$4,-12)),'LY Sales '!$C$5:$AG$200))</f>
        <v>0</v>
      </c>
      <c r="AP144">
        <f t="shared" si="69"/>
        <v>0</v>
      </c>
      <c r="AQ144">
        <f t="shared" si="70"/>
        <v>0</v>
      </c>
      <c r="AR144">
        <f t="shared" si="71"/>
        <v>0</v>
      </c>
      <c r="AS144">
        <f t="shared" si="72"/>
        <v>0</v>
      </c>
    </row>
    <row r="145" spans="1:45" x14ac:dyDescent="0.25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 t="str">
        <f>IF('Sales Dashboard'!AW144="","",'Sales Dashboard'!AW144)</f>
        <v/>
      </c>
      <c r="AC145" s="271" t="str">
        <f>IF(AB145="","",'Sales Dashboard'!AN144)</f>
        <v/>
      </c>
      <c r="AD145" s="271" t="str">
        <f>IF(AB145="","",'Sales Dashboard'!AO144)</f>
        <v/>
      </c>
      <c r="AE145" s="281" cm="1">
        <f t="array" ref="AE145">IF(OR(AB145="",NOT(ISNUMBER('Sales Dashboard'!BF144))),0,SUMPRODUCT((IFERROR(--'Sales and count'!$G$2:$CC$2,0)=$C$4)*('Sales and count'!$G$3:$CC$3="Total"),INDEX('Sales and count'!$G$4:$CC$300,'Sales Dashboard'!BF144,0)))</f>
        <v>0</v>
      </c>
      <c r="AF145" s="281" cm="1">
        <f t="array" ref="AF145">IF(OR(AB145="",NOT(ISNUMBER('Sales Dashboard'!BG144))),0,SUMPRODUCT(('TY Sales Target'!$K$2:$AO$2=$C$4)*1,INDEX('TY Sales Target'!$K$5:$AO$300,'Sales Dashboard'!BG144,0)))</f>
        <v>0</v>
      </c>
      <c r="AG145" s="281" cm="1">
        <f t="array" ref="AG145">IF(AB145="",0,SUMPRODUCT((TRIM('LY Sales '!$B$5:$B$200)=AB145)*('LY Sales '!$C$2:$AG$2=EDATE($C$4,-12)),'LY Sales '!$C$5:$AG$200))</f>
        <v>0</v>
      </c>
      <c r="AH145" s="271">
        <f t="shared" si="64"/>
        <v>0</v>
      </c>
      <c r="AI145" s="271">
        <f t="shared" si="65"/>
        <v>0</v>
      </c>
      <c r="AJ145" s="271">
        <f t="shared" si="66"/>
        <v>0</v>
      </c>
      <c r="AK145" s="271">
        <f t="shared" si="67"/>
        <v>0</v>
      </c>
      <c r="AL145" s="271">
        <f t="shared" si="68"/>
        <v>0</v>
      </c>
      <c r="AM145" s="306" cm="1">
        <f t="array" ref="AM145">IF(OR(AB145="",NOT(ISNUMBER('Sales Dashboard'!BF144))),0,SUMPRODUCT((IFERROR(--'Sales and count'!$G$2:$CC$2,0)=$F$4)*('Sales and count'!$G$3:$CC$3="Total"),INDEX('Sales and count'!$G$4:$CC$300,'Sales Dashboard'!BF144,0)))</f>
        <v>0</v>
      </c>
      <c r="AN145" s="306" cm="1">
        <f t="array" ref="AN145">IF(OR(AB145="",NOT(ISNUMBER('Sales Dashboard'!BG144))),0,SUMPRODUCT(('TY Sales Target'!$K$2:$AO$2=$F$4)*1,INDEX('TY Sales Target'!$K$5:$AO$300,'Sales Dashboard'!BG144,0)))</f>
        <v>0</v>
      </c>
      <c r="AO145" s="306" cm="1">
        <f t="array" ref="AO145">IF(AB145="",0,SUMPRODUCT((TRIM('LY Sales '!$B$5:$B$200)=AB145)*('LY Sales '!$C$2:$AG$2=EDATE($F$4,-12)),'LY Sales '!$C$5:$AG$200))</f>
        <v>0</v>
      </c>
      <c r="AP145">
        <f t="shared" si="69"/>
        <v>0</v>
      </c>
      <c r="AQ145">
        <f t="shared" si="70"/>
        <v>0</v>
      </c>
      <c r="AR145">
        <f t="shared" si="71"/>
        <v>0</v>
      </c>
      <c r="AS145">
        <f t="shared" si="72"/>
        <v>0</v>
      </c>
    </row>
    <row r="146" spans="1:45" x14ac:dyDescent="0.25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  <c r="AB146" s="271" t="str">
        <f>IF('Sales Dashboard'!AW145="","",'Sales Dashboard'!AW145)</f>
        <v/>
      </c>
      <c r="AC146" s="271" t="str">
        <f>IF(AB146="","",'Sales Dashboard'!AN145)</f>
        <v/>
      </c>
      <c r="AD146" s="271" t="str">
        <f>IF(AB146="","",'Sales Dashboard'!AO145)</f>
        <v/>
      </c>
      <c r="AE146" s="281" cm="1">
        <f t="array" ref="AE146">IF(OR(AB146="",NOT(ISNUMBER('Sales Dashboard'!BF145))),0,SUMPRODUCT((IFERROR(--'Sales and count'!$G$2:$CC$2,0)=$C$4)*('Sales and count'!$G$3:$CC$3="Total"),INDEX('Sales and count'!$G$4:$CC$300,'Sales Dashboard'!BF145,0)))</f>
        <v>0</v>
      </c>
      <c r="AF146" s="281" cm="1">
        <f t="array" ref="AF146">IF(OR(AB146="",NOT(ISNUMBER('Sales Dashboard'!BG145))),0,SUMPRODUCT(('TY Sales Target'!$K$2:$AO$2=$C$4)*1,INDEX('TY Sales Target'!$K$5:$AO$300,'Sales Dashboard'!BG145,0)))</f>
        <v>0</v>
      </c>
      <c r="AG146" s="281" cm="1">
        <f t="array" ref="AG146">IF(AB146="",0,SUMPRODUCT((TRIM('LY Sales '!$B$5:$B$200)=AB146)*('LY Sales '!$C$2:$AG$2=EDATE($C$4,-12)),'LY Sales '!$C$5:$AG$200))</f>
        <v>0</v>
      </c>
      <c r="AH146" s="271">
        <f t="shared" si="64"/>
        <v>0</v>
      </c>
      <c r="AI146" s="271">
        <f t="shared" si="65"/>
        <v>0</v>
      </c>
      <c r="AJ146" s="271">
        <f t="shared" si="66"/>
        <v>0</v>
      </c>
      <c r="AK146" s="271">
        <f t="shared" si="67"/>
        <v>0</v>
      </c>
      <c r="AL146" s="271">
        <f t="shared" si="68"/>
        <v>0</v>
      </c>
      <c r="AM146" s="306" cm="1">
        <f t="array" ref="AM146">IF(OR(AB146="",NOT(ISNUMBER('Sales Dashboard'!BF145))),0,SUMPRODUCT((IFERROR(--'Sales and count'!$G$2:$CC$2,0)=$F$4)*('Sales and count'!$G$3:$CC$3="Total"),INDEX('Sales and count'!$G$4:$CC$300,'Sales Dashboard'!BF145,0)))</f>
        <v>0</v>
      </c>
      <c r="AN146" s="306" cm="1">
        <f t="array" ref="AN146">IF(OR(AB146="",NOT(ISNUMBER('Sales Dashboard'!BG145))),0,SUMPRODUCT(('TY Sales Target'!$K$2:$AO$2=$F$4)*1,INDEX('TY Sales Target'!$K$5:$AO$300,'Sales Dashboard'!BG145,0)))</f>
        <v>0</v>
      </c>
      <c r="AO146" s="306" cm="1">
        <f t="array" ref="AO146">IF(AB146="",0,SUMPRODUCT((TRIM('LY Sales '!$B$5:$B$200)=AB146)*('LY Sales '!$C$2:$AG$2=EDATE($F$4,-12)),'LY Sales '!$C$5:$AG$200))</f>
        <v>0</v>
      </c>
      <c r="AP146">
        <f t="shared" si="69"/>
        <v>0</v>
      </c>
      <c r="AQ146">
        <f t="shared" si="70"/>
        <v>0</v>
      </c>
      <c r="AR146">
        <f t="shared" si="71"/>
        <v>0</v>
      </c>
      <c r="AS146">
        <f t="shared" si="72"/>
        <v>0</v>
      </c>
    </row>
    <row r="147" spans="1:45" x14ac:dyDescent="0.25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 t="str">
        <f>IF('Sales Dashboard'!AW146="","",'Sales Dashboard'!AW146)</f>
        <v/>
      </c>
      <c r="AC147" s="271" t="str">
        <f>IF(AB147="","",'Sales Dashboard'!AN146)</f>
        <v/>
      </c>
      <c r="AD147" s="271" t="str">
        <f>IF(AB147="","",'Sales Dashboard'!AO146)</f>
        <v/>
      </c>
      <c r="AE147" s="281" cm="1">
        <f t="array" ref="AE147">IF(OR(AB147="",NOT(ISNUMBER('Sales Dashboard'!BF146))),0,SUMPRODUCT((IFERROR(--'Sales and count'!$G$2:$CC$2,0)=$C$4)*('Sales and count'!$G$3:$CC$3="Total"),INDEX('Sales and count'!$G$4:$CC$300,'Sales Dashboard'!BF146,0)))</f>
        <v>0</v>
      </c>
      <c r="AF147" s="281" cm="1">
        <f t="array" ref="AF147">IF(OR(AB147="",NOT(ISNUMBER('Sales Dashboard'!BG146))),0,SUMPRODUCT(('TY Sales Target'!$K$2:$AO$2=$C$4)*1,INDEX('TY Sales Target'!$K$5:$AO$300,'Sales Dashboard'!BG146,0)))</f>
        <v>0</v>
      </c>
      <c r="AG147" s="281" cm="1">
        <f t="array" ref="AG147">IF(AB147="",0,SUMPRODUCT((TRIM('LY Sales '!$B$5:$B$200)=AB147)*('LY Sales '!$C$2:$AG$2=EDATE($C$4,-12)),'LY Sales '!$C$5:$AG$200))</f>
        <v>0</v>
      </c>
      <c r="AH147" s="271">
        <f t="shared" si="64"/>
        <v>0</v>
      </c>
      <c r="AI147" s="271">
        <f t="shared" si="65"/>
        <v>0</v>
      </c>
      <c r="AJ147" s="271">
        <f t="shared" si="66"/>
        <v>0</v>
      </c>
      <c r="AK147" s="271">
        <f t="shared" si="67"/>
        <v>0</v>
      </c>
      <c r="AL147" s="271">
        <f t="shared" si="68"/>
        <v>0</v>
      </c>
      <c r="AM147" s="306" cm="1">
        <f t="array" ref="AM147">IF(OR(AB147="",NOT(ISNUMBER('Sales Dashboard'!BF146))),0,SUMPRODUCT((IFERROR(--'Sales and count'!$G$2:$CC$2,0)=$F$4)*('Sales and count'!$G$3:$CC$3="Total"),INDEX('Sales and count'!$G$4:$CC$300,'Sales Dashboard'!BF146,0)))</f>
        <v>0</v>
      </c>
      <c r="AN147" s="306" cm="1">
        <f t="array" ref="AN147">IF(OR(AB147="",NOT(ISNUMBER('Sales Dashboard'!BG146))),0,SUMPRODUCT(('TY Sales Target'!$K$2:$AO$2=$F$4)*1,INDEX('TY Sales Target'!$K$5:$AO$300,'Sales Dashboard'!BG146,0)))</f>
        <v>0</v>
      </c>
      <c r="AO147" s="306" cm="1">
        <f t="array" ref="AO147">IF(AB147="",0,SUMPRODUCT((TRIM('LY Sales '!$B$5:$B$200)=AB147)*('LY Sales '!$C$2:$AG$2=EDATE($F$4,-12)),'LY Sales '!$C$5:$AG$200))</f>
        <v>0</v>
      </c>
      <c r="AP147">
        <f t="shared" si="69"/>
        <v>0</v>
      </c>
      <c r="AQ147">
        <f t="shared" si="70"/>
        <v>0</v>
      </c>
      <c r="AR147">
        <f t="shared" si="71"/>
        <v>0</v>
      </c>
      <c r="AS147">
        <f t="shared" si="72"/>
        <v>0</v>
      </c>
    </row>
    <row r="148" spans="1:45" x14ac:dyDescent="0.25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 t="str">
        <f>IF('Sales Dashboard'!AW147="","",'Sales Dashboard'!AW147)</f>
        <v/>
      </c>
      <c r="AC148" s="271" t="str">
        <f>IF(AB148="","",'Sales Dashboard'!AN147)</f>
        <v/>
      </c>
      <c r="AD148" s="271" t="str">
        <f>IF(AB148="","",'Sales Dashboard'!AO147)</f>
        <v/>
      </c>
      <c r="AE148" s="281" cm="1">
        <f t="array" ref="AE148">IF(OR(AB148="",NOT(ISNUMBER('Sales Dashboard'!BF147))),0,SUMPRODUCT((IFERROR(--'Sales and count'!$G$2:$CC$2,0)=$C$4)*('Sales and count'!$G$3:$CC$3="Total"),INDEX('Sales and count'!$G$4:$CC$300,'Sales Dashboard'!BF147,0)))</f>
        <v>0</v>
      </c>
      <c r="AF148" s="281" cm="1">
        <f t="array" ref="AF148">IF(OR(AB148="",NOT(ISNUMBER('Sales Dashboard'!BG147))),0,SUMPRODUCT(('TY Sales Target'!$K$2:$AO$2=$C$4)*1,INDEX('TY Sales Target'!$K$5:$AO$300,'Sales Dashboard'!BG147,0)))</f>
        <v>0</v>
      </c>
      <c r="AG148" s="281" cm="1">
        <f t="array" ref="AG148">IF(AB148="",0,SUMPRODUCT((TRIM('LY Sales '!$B$5:$B$200)=AB148)*('LY Sales '!$C$2:$AG$2=EDATE($C$4,-12)),'LY Sales '!$C$5:$AG$200))</f>
        <v>0</v>
      </c>
      <c r="AH148" s="271">
        <f t="shared" si="64"/>
        <v>0</v>
      </c>
      <c r="AI148" s="271">
        <f t="shared" si="65"/>
        <v>0</v>
      </c>
      <c r="AJ148" s="271">
        <f t="shared" si="66"/>
        <v>0</v>
      </c>
      <c r="AK148" s="271">
        <f t="shared" si="67"/>
        <v>0</v>
      </c>
      <c r="AL148" s="271">
        <f t="shared" si="68"/>
        <v>0</v>
      </c>
      <c r="AM148" s="306" cm="1">
        <f t="array" ref="AM148">IF(OR(AB148="",NOT(ISNUMBER('Sales Dashboard'!BF147))),0,SUMPRODUCT((IFERROR(--'Sales and count'!$G$2:$CC$2,0)=$F$4)*('Sales and count'!$G$3:$CC$3="Total"),INDEX('Sales and count'!$G$4:$CC$300,'Sales Dashboard'!BF147,0)))</f>
        <v>0</v>
      </c>
      <c r="AN148" s="306" cm="1">
        <f t="array" ref="AN148">IF(OR(AB148="",NOT(ISNUMBER('Sales Dashboard'!BG147))),0,SUMPRODUCT(('TY Sales Target'!$K$2:$AO$2=$F$4)*1,INDEX('TY Sales Target'!$K$5:$AO$300,'Sales Dashboard'!BG147,0)))</f>
        <v>0</v>
      </c>
      <c r="AO148" s="306" cm="1">
        <f t="array" ref="AO148">IF(AB148="",0,SUMPRODUCT((TRIM('LY Sales '!$B$5:$B$200)=AB148)*('LY Sales '!$C$2:$AG$2=EDATE($F$4,-12)),'LY Sales '!$C$5:$AG$200))</f>
        <v>0</v>
      </c>
      <c r="AP148">
        <f t="shared" si="69"/>
        <v>0</v>
      </c>
      <c r="AQ148">
        <f t="shared" si="70"/>
        <v>0</v>
      </c>
      <c r="AR148">
        <f t="shared" si="71"/>
        <v>0</v>
      </c>
      <c r="AS148">
        <f t="shared" si="72"/>
        <v>0</v>
      </c>
    </row>
    <row r="149" spans="1:45" x14ac:dyDescent="0.25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  <c r="AB149" s="271" t="str">
        <f>IF('Sales Dashboard'!AW148="","",'Sales Dashboard'!AW148)</f>
        <v/>
      </c>
      <c r="AC149" s="271" t="str">
        <f>IF(AB149="","",'Sales Dashboard'!AN148)</f>
        <v/>
      </c>
      <c r="AD149" s="271" t="str">
        <f>IF(AB149="","",'Sales Dashboard'!AO148)</f>
        <v/>
      </c>
      <c r="AE149" s="281" cm="1">
        <f t="array" ref="AE149">IF(OR(AB149="",NOT(ISNUMBER('Sales Dashboard'!BF148))),0,SUMPRODUCT((IFERROR(--'Sales and count'!$G$2:$CC$2,0)=$C$4)*('Sales and count'!$G$3:$CC$3="Total"),INDEX('Sales and count'!$G$4:$CC$300,'Sales Dashboard'!BF148,0)))</f>
        <v>0</v>
      </c>
      <c r="AF149" s="281" cm="1">
        <f t="array" ref="AF149">IF(OR(AB149="",NOT(ISNUMBER('Sales Dashboard'!BG148))),0,SUMPRODUCT(('TY Sales Target'!$K$2:$AO$2=$C$4)*1,INDEX('TY Sales Target'!$K$5:$AO$300,'Sales Dashboard'!BG148,0)))</f>
        <v>0</v>
      </c>
      <c r="AG149" s="281" cm="1">
        <f t="array" ref="AG149">IF(AB149="",0,SUMPRODUCT((TRIM('LY Sales '!$B$5:$B$200)=AB149)*('LY Sales '!$C$2:$AG$2=EDATE($C$4,-12)),'LY Sales '!$C$5:$AG$200))</f>
        <v>0</v>
      </c>
      <c r="AH149" s="271">
        <f t="shared" si="64"/>
        <v>0</v>
      </c>
      <c r="AI149" s="271">
        <f t="shared" si="65"/>
        <v>0</v>
      </c>
      <c r="AJ149" s="271">
        <f t="shared" si="66"/>
        <v>0</v>
      </c>
      <c r="AK149" s="271">
        <f t="shared" si="67"/>
        <v>0</v>
      </c>
      <c r="AL149" s="271">
        <f t="shared" si="68"/>
        <v>0</v>
      </c>
      <c r="AM149" s="306" cm="1">
        <f t="array" ref="AM149">IF(OR(AB149="",NOT(ISNUMBER('Sales Dashboard'!BF148))),0,SUMPRODUCT((IFERROR(--'Sales and count'!$G$2:$CC$2,0)=$F$4)*('Sales and count'!$G$3:$CC$3="Total"),INDEX('Sales and count'!$G$4:$CC$300,'Sales Dashboard'!BF148,0)))</f>
        <v>0</v>
      </c>
      <c r="AN149" s="306" cm="1">
        <f t="array" ref="AN149">IF(OR(AB149="",NOT(ISNUMBER('Sales Dashboard'!BG148))),0,SUMPRODUCT(('TY Sales Target'!$K$2:$AO$2=$F$4)*1,INDEX('TY Sales Target'!$K$5:$AO$300,'Sales Dashboard'!BG148,0)))</f>
        <v>0</v>
      </c>
      <c r="AO149" s="306" cm="1">
        <f t="array" ref="AO149">IF(AB149="",0,SUMPRODUCT((TRIM('LY Sales '!$B$5:$B$200)=AB149)*('LY Sales '!$C$2:$AG$2=EDATE($F$4,-12)),'LY Sales '!$C$5:$AG$200))</f>
        <v>0</v>
      </c>
      <c r="AP149">
        <f t="shared" si="69"/>
        <v>0</v>
      </c>
      <c r="AQ149">
        <f t="shared" si="70"/>
        <v>0</v>
      </c>
      <c r="AR149">
        <f t="shared" si="71"/>
        <v>0</v>
      </c>
      <c r="AS149">
        <f t="shared" si="72"/>
        <v>0</v>
      </c>
    </row>
    <row r="150" spans="1:45" x14ac:dyDescent="0.25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 t="str">
        <f>IF('Sales Dashboard'!AW149="","",'Sales Dashboard'!AW149)</f>
        <v/>
      </c>
      <c r="AC150" s="271" t="str">
        <f>IF(AB150="","",'Sales Dashboard'!AN149)</f>
        <v/>
      </c>
      <c r="AD150" s="271" t="str">
        <f>IF(AB150="","",'Sales Dashboard'!AO149)</f>
        <v/>
      </c>
      <c r="AE150" s="281" cm="1">
        <f t="array" ref="AE150">IF(OR(AB150="",NOT(ISNUMBER('Sales Dashboard'!BF149))),0,SUMPRODUCT((IFERROR(--'Sales and count'!$G$2:$CC$2,0)=$C$4)*('Sales and count'!$G$3:$CC$3="Total"),INDEX('Sales and count'!$G$4:$CC$300,'Sales Dashboard'!BF149,0)))</f>
        <v>0</v>
      </c>
      <c r="AF150" s="281" cm="1">
        <f t="array" ref="AF150">IF(OR(AB150="",NOT(ISNUMBER('Sales Dashboard'!BG149))),0,SUMPRODUCT(('TY Sales Target'!$K$2:$AO$2=$C$4)*1,INDEX('TY Sales Target'!$K$5:$AO$300,'Sales Dashboard'!BG149,0)))</f>
        <v>0</v>
      </c>
      <c r="AG150" s="281" cm="1">
        <f t="array" ref="AG150">IF(AB150="",0,SUMPRODUCT((TRIM('LY Sales '!$B$5:$B$200)=AB150)*('LY Sales '!$C$2:$AG$2=EDATE($C$4,-12)),'LY Sales '!$C$5:$AG$200))</f>
        <v>0</v>
      </c>
      <c r="AH150" s="271">
        <f t="shared" si="64"/>
        <v>0</v>
      </c>
      <c r="AI150" s="271">
        <f t="shared" si="65"/>
        <v>0</v>
      </c>
      <c r="AJ150" s="271">
        <f t="shared" si="66"/>
        <v>0</v>
      </c>
      <c r="AK150" s="271">
        <f t="shared" si="67"/>
        <v>0</v>
      </c>
      <c r="AL150" s="271">
        <f t="shared" si="68"/>
        <v>0</v>
      </c>
      <c r="AM150" s="306" cm="1">
        <f t="array" ref="AM150">IF(OR(AB150="",NOT(ISNUMBER('Sales Dashboard'!BF149))),0,SUMPRODUCT((IFERROR(--'Sales and count'!$G$2:$CC$2,0)=$F$4)*('Sales and count'!$G$3:$CC$3="Total"),INDEX('Sales and count'!$G$4:$CC$300,'Sales Dashboard'!BF149,0)))</f>
        <v>0</v>
      </c>
      <c r="AN150" s="306" cm="1">
        <f t="array" ref="AN150">IF(OR(AB150="",NOT(ISNUMBER('Sales Dashboard'!BG149))),0,SUMPRODUCT(('TY Sales Target'!$K$2:$AO$2=$F$4)*1,INDEX('TY Sales Target'!$K$5:$AO$300,'Sales Dashboard'!BG149,0)))</f>
        <v>0</v>
      </c>
      <c r="AO150" s="306" cm="1">
        <f t="array" ref="AO150">IF(AB150="",0,SUMPRODUCT((TRIM('LY Sales '!$B$5:$B$200)=AB150)*('LY Sales '!$C$2:$AG$2=EDATE($F$4,-12)),'LY Sales '!$C$5:$AG$200))</f>
        <v>0</v>
      </c>
      <c r="AP150">
        <f t="shared" si="69"/>
        <v>0</v>
      </c>
      <c r="AQ150">
        <f t="shared" si="70"/>
        <v>0</v>
      </c>
      <c r="AR150">
        <f t="shared" si="71"/>
        <v>0</v>
      </c>
      <c r="AS150">
        <f t="shared" si="72"/>
        <v>0</v>
      </c>
    </row>
    <row r="151" spans="1:45" x14ac:dyDescent="0.25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 t="str">
        <f>IF('Sales Dashboard'!AW150="","",'Sales Dashboard'!AW150)</f>
        <v/>
      </c>
      <c r="AC151" s="271" t="str">
        <f>IF(AB151="","",'Sales Dashboard'!AN150)</f>
        <v/>
      </c>
      <c r="AD151" s="271" t="str">
        <f>IF(AB151="","",'Sales Dashboard'!AO150)</f>
        <v/>
      </c>
      <c r="AE151" s="281" cm="1">
        <f t="array" ref="AE151">IF(OR(AB151="",NOT(ISNUMBER('Sales Dashboard'!BF150))),0,SUMPRODUCT((IFERROR(--'Sales and count'!$G$2:$CC$2,0)=$C$4)*('Sales and count'!$G$3:$CC$3="Total"),INDEX('Sales and count'!$G$4:$CC$300,'Sales Dashboard'!BF150,0)))</f>
        <v>0</v>
      </c>
      <c r="AF151" s="281" cm="1">
        <f t="array" ref="AF151">IF(OR(AB151="",NOT(ISNUMBER('Sales Dashboard'!BG150))),0,SUMPRODUCT(('TY Sales Target'!$K$2:$AO$2=$C$4)*1,INDEX('TY Sales Target'!$K$5:$AO$300,'Sales Dashboard'!BG150,0)))</f>
        <v>0</v>
      </c>
      <c r="AG151" s="281" cm="1">
        <f t="array" ref="AG151">IF(AB151="",0,SUMPRODUCT((TRIM('LY Sales '!$B$5:$B$200)=AB151)*('LY Sales '!$C$2:$AG$2=EDATE($C$4,-12)),'LY Sales '!$C$5:$AG$200))</f>
        <v>0</v>
      </c>
      <c r="AH151" s="271">
        <f t="shared" si="64"/>
        <v>0</v>
      </c>
      <c r="AI151" s="271">
        <f t="shared" si="65"/>
        <v>0</v>
      </c>
      <c r="AJ151" s="271">
        <f t="shared" si="66"/>
        <v>0</v>
      </c>
      <c r="AK151" s="271">
        <f t="shared" si="67"/>
        <v>0</v>
      </c>
      <c r="AL151" s="271">
        <f t="shared" si="68"/>
        <v>0</v>
      </c>
      <c r="AM151" s="306" cm="1">
        <f t="array" ref="AM151">IF(OR(AB151="",NOT(ISNUMBER('Sales Dashboard'!BF150))),0,SUMPRODUCT((IFERROR(--'Sales and count'!$G$2:$CC$2,0)=$F$4)*('Sales and count'!$G$3:$CC$3="Total"),INDEX('Sales and count'!$G$4:$CC$300,'Sales Dashboard'!BF150,0)))</f>
        <v>0</v>
      </c>
      <c r="AN151" s="306" cm="1">
        <f t="array" ref="AN151">IF(OR(AB151="",NOT(ISNUMBER('Sales Dashboard'!BG150))),0,SUMPRODUCT(('TY Sales Target'!$K$2:$AO$2=$F$4)*1,INDEX('TY Sales Target'!$K$5:$AO$300,'Sales Dashboard'!BG150,0)))</f>
        <v>0</v>
      </c>
      <c r="AO151" s="306" cm="1">
        <f t="array" ref="AO151">IF(AB151="",0,SUMPRODUCT((TRIM('LY Sales '!$B$5:$B$200)=AB151)*('LY Sales '!$C$2:$AG$2=EDATE($F$4,-12)),'LY Sales '!$C$5:$AG$200))</f>
        <v>0</v>
      </c>
      <c r="AP151">
        <f t="shared" si="69"/>
        <v>0</v>
      </c>
      <c r="AQ151">
        <f t="shared" si="70"/>
        <v>0</v>
      </c>
      <c r="AR151">
        <f t="shared" si="71"/>
        <v>0</v>
      </c>
      <c r="AS151">
        <f t="shared" si="72"/>
        <v>0</v>
      </c>
    </row>
    <row r="152" spans="1:45" x14ac:dyDescent="0.25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  <c r="AA152" s="271"/>
      <c r="AB152" s="271" t="str">
        <f>IF('Sales Dashboard'!AW151="","",'Sales Dashboard'!AW151)</f>
        <v/>
      </c>
      <c r="AC152" s="271" t="str">
        <f>IF(AB152="","",'Sales Dashboard'!AN151)</f>
        <v/>
      </c>
      <c r="AD152" s="271" t="str">
        <f>IF(AB152="","",'Sales Dashboard'!AO151)</f>
        <v/>
      </c>
      <c r="AE152" s="281" cm="1">
        <f t="array" ref="AE152">IF(OR(AB152="",NOT(ISNUMBER('Sales Dashboard'!BF151))),0,SUMPRODUCT((IFERROR(--'Sales and count'!$G$2:$CC$2,0)=$C$4)*('Sales and count'!$G$3:$CC$3="Total"),INDEX('Sales and count'!$G$4:$CC$300,'Sales Dashboard'!BF151,0)))</f>
        <v>0</v>
      </c>
      <c r="AF152" s="281" cm="1">
        <f t="array" ref="AF152">IF(OR(AB152="",NOT(ISNUMBER('Sales Dashboard'!BG151))),0,SUMPRODUCT(('TY Sales Target'!$K$2:$AO$2=$C$4)*1,INDEX('TY Sales Target'!$K$5:$AO$300,'Sales Dashboard'!BG151,0)))</f>
        <v>0</v>
      </c>
      <c r="AG152" s="281" cm="1">
        <f t="array" ref="AG152">IF(AB152="",0,SUMPRODUCT((TRIM('LY Sales '!$B$5:$B$200)=AB152)*('LY Sales '!$C$2:$AG$2=EDATE($C$4,-12)),'LY Sales '!$C$5:$AG$200))</f>
        <v>0</v>
      </c>
      <c r="AH152" s="271">
        <f t="shared" si="64"/>
        <v>0</v>
      </c>
      <c r="AI152" s="271">
        <f t="shared" si="65"/>
        <v>0</v>
      </c>
      <c r="AJ152" s="271">
        <f t="shared" si="66"/>
        <v>0</v>
      </c>
      <c r="AK152" s="271">
        <f t="shared" si="67"/>
        <v>0</v>
      </c>
      <c r="AL152" s="271">
        <f t="shared" si="68"/>
        <v>0</v>
      </c>
      <c r="AM152" s="306" cm="1">
        <f t="array" ref="AM152">IF(OR(AB152="",NOT(ISNUMBER('Sales Dashboard'!BF151))),0,SUMPRODUCT((IFERROR(--'Sales and count'!$G$2:$CC$2,0)=$F$4)*('Sales and count'!$G$3:$CC$3="Total"),INDEX('Sales and count'!$G$4:$CC$300,'Sales Dashboard'!BF151,0)))</f>
        <v>0</v>
      </c>
      <c r="AN152" s="306" cm="1">
        <f t="array" ref="AN152">IF(OR(AB152="",NOT(ISNUMBER('Sales Dashboard'!BG151))),0,SUMPRODUCT(('TY Sales Target'!$K$2:$AO$2=$F$4)*1,INDEX('TY Sales Target'!$K$5:$AO$300,'Sales Dashboard'!BG151,0)))</f>
        <v>0</v>
      </c>
      <c r="AO152" s="306" cm="1">
        <f t="array" ref="AO152">IF(AB152="",0,SUMPRODUCT((TRIM('LY Sales '!$B$5:$B$200)=AB152)*('LY Sales '!$C$2:$AG$2=EDATE($F$4,-12)),'LY Sales '!$C$5:$AG$200))</f>
        <v>0</v>
      </c>
      <c r="AP152">
        <f t="shared" si="69"/>
        <v>0</v>
      </c>
      <c r="AQ152">
        <f t="shared" si="70"/>
        <v>0</v>
      </c>
      <c r="AR152">
        <f t="shared" si="71"/>
        <v>0</v>
      </c>
      <c r="AS152">
        <f t="shared" si="72"/>
        <v>0</v>
      </c>
    </row>
    <row r="153" spans="1:45" x14ac:dyDescent="0.25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  <c r="AA153" s="271"/>
      <c r="AB153" s="271" t="str">
        <f>IF('Sales Dashboard'!AW152="","",'Sales Dashboard'!AW152)</f>
        <v/>
      </c>
      <c r="AC153" s="271" t="str">
        <f>IF(AB153="","",'Sales Dashboard'!AN152)</f>
        <v/>
      </c>
      <c r="AD153" s="271" t="str">
        <f>IF(AB153="","",'Sales Dashboard'!AO152)</f>
        <v/>
      </c>
      <c r="AE153" s="281" cm="1">
        <f t="array" ref="AE153">IF(OR(AB153="",NOT(ISNUMBER('Sales Dashboard'!BF152))),0,SUMPRODUCT((IFERROR(--'Sales and count'!$G$2:$CC$2,0)=$C$4)*('Sales and count'!$G$3:$CC$3="Total"),INDEX('Sales and count'!$G$4:$CC$300,'Sales Dashboard'!BF152,0)))</f>
        <v>0</v>
      </c>
      <c r="AF153" s="281" cm="1">
        <f t="array" ref="AF153">IF(OR(AB153="",NOT(ISNUMBER('Sales Dashboard'!BG152))),0,SUMPRODUCT(('TY Sales Target'!$K$2:$AO$2=$C$4)*1,INDEX('TY Sales Target'!$K$5:$AO$300,'Sales Dashboard'!BG152,0)))</f>
        <v>0</v>
      </c>
      <c r="AG153" s="281" cm="1">
        <f t="array" ref="AG153">IF(AB153="",0,SUMPRODUCT((TRIM('LY Sales '!$B$5:$B$200)=AB153)*('LY Sales '!$C$2:$AG$2=EDATE($C$4,-12)),'LY Sales '!$C$5:$AG$200))</f>
        <v>0</v>
      </c>
      <c r="AH153" s="271">
        <f t="shared" si="64"/>
        <v>0</v>
      </c>
      <c r="AI153" s="271">
        <f t="shared" si="65"/>
        <v>0</v>
      </c>
      <c r="AJ153" s="271">
        <f t="shared" si="66"/>
        <v>0</v>
      </c>
      <c r="AK153" s="271">
        <f t="shared" si="67"/>
        <v>0</v>
      </c>
      <c r="AL153" s="271">
        <f t="shared" si="68"/>
        <v>0</v>
      </c>
      <c r="AM153" s="306" cm="1">
        <f t="array" ref="AM153">IF(OR(AB153="",NOT(ISNUMBER('Sales Dashboard'!BF152))),0,SUMPRODUCT((IFERROR(--'Sales and count'!$G$2:$CC$2,0)=$F$4)*('Sales and count'!$G$3:$CC$3="Total"),INDEX('Sales and count'!$G$4:$CC$300,'Sales Dashboard'!BF152,0)))</f>
        <v>0</v>
      </c>
      <c r="AN153" s="306" cm="1">
        <f t="array" ref="AN153">IF(OR(AB153="",NOT(ISNUMBER('Sales Dashboard'!BG152))),0,SUMPRODUCT(('TY Sales Target'!$K$2:$AO$2=$F$4)*1,INDEX('TY Sales Target'!$K$5:$AO$300,'Sales Dashboard'!BG152,0)))</f>
        <v>0</v>
      </c>
      <c r="AO153" s="306" cm="1">
        <f t="array" ref="AO153">IF(AB153="",0,SUMPRODUCT((TRIM('LY Sales '!$B$5:$B$200)=AB153)*('LY Sales '!$C$2:$AG$2=EDATE($F$4,-12)),'LY Sales '!$C$5:$AG$200))</f>
        <v>0</v>
      </c>
      <c r="AP153">
        <f t="shared" si="69"/>
        <v>0</v>
      </c>
      <c r="AQ153">
        <f t="shared" si="70"/>
        <v>0</v>
      </c>
      <c r="AR153">
        <f t="shared" si="71"/>
        <v>0</v>
      </c>
      <c r="AS153">
        <f t="shared" si="72"/>
        <v>0</v>
      </c>
    </row>
    <row r="154" spans="1:45" x14ac:dyDescent="0.25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  <c r="AA154" s="271"/>
      <c r="AB154" s="271" t="str">
        <f>IF('Sales Dashboard'!AW153="","",'Sales Dashboard'!AW153)</f>
        <v/>
      </c>
      <c r="AC154" s="271" t="str">
        <f>IF(AB154="","",'Sales Dashboard'!AN153)</f>
        <v/>
      </c>
      <c r="AD154" s="271" t="str">
        <f>IF(AB154="","",'Sales Dashboard'!AO153)</f>
        <v/>
      </c>
      <c r="AE154" s="281" cm="1">
        <f t="array" ref="AE154">IF(OR(AB154="",NOT(ISNUMBER('Sales Dashboard'!BF153))),0,SUMPRODUCT((IFERROR(--'Sales and count'!$G$2:$CC$2,0)=$C$4)*('Sales and count'!$G$3:$CC$3="Total"),INDEX('Sales and count'!$G$4:$CC$300,'Sales Dashboard'!BF153,0)))</f>
        <v>0</v>
      </c>
      <c r="AF154" s="281" cm="1">
        <f t="array" ref="AF154">IF(OR(AB154="",NOT(ISNUMBER('Sales Dashboard'!BG153))),0,SUMPRODUCT(('TY Sales Target'!$K$2:$AO$2=$C$4)*1,INDEX('TY Sales Target'!$K$5:$AO$300,'Sales Dashboard'!BG153,0)))</f>
        <v>0</v>
      </c>
      <c r="AG154" s="281" cm="1">
        <f t="array" ref="AG154">IF(AB154="",0,SUMPRODUCT((TRIM('LY Sales '!$B$5:$B$200)=AB154)*('LY Sales '!$C$2:$AG$2=EDATE($C$4,-12)),'LY Sales '!$C$5:$AG$200))</f>
        <v>0</v>
      </c>
      <c r="AH154" s="271">
        <f t="shared" si="64"/>
        <v>0</v>
      </c>
      <c r="AI154" s="271">
        <f t="shared" si="65"/>
        <v>0</v>
      </c>
      <c r="AJ154" s="271">
        <f t="shared" si="66"/>
        <v>0</v>
      </c>
      <c r="AK154" s="271">
        <f t="shared" si="67"/>
        <v>0</v>
      </c>
      <c r="AL154" s="271">
        <f t="shared" si="68"/>
        <v>0</v>
      </c>
      <c r="AM154" s="306" cm="1">
        <f t="array" ref="AM154">IF(OR(AB154="",NOT(ISNUMBER('Sales Dashboard'!BF153))),0,SUMPRODUCT((IFERROR(--'Sales and count'!$G$2:$CC$2,0)=$F$4)*('Sales and count'!$G$3:$CC$3="Total"),INDEX('Sales and count'!$G$4:$CC$300,'Sales Dashboard'!BF153,0)))</f>
        <v>0</v>
      </c>
      <c r="AN154" s="306" cm="1">
        <f t="array" ref="AN154">IF(OR(AB154="",NOT(ISNUMBER('Sales Dashboard'!BG153))),0,SUMPRODUCT(('TY Sales Target'!$K$2:$AO$2=$F$4)*1,INDEX('TY Sales Target'!$K$5:$AO$300,'Sales Dashboard'!BG153,0)))</f>
        <v>0</v>
      </c>
      <c r="AO154" s="306" cm="1">
        <f t="array" ref="AO154">IF(AB154="",0,SUMPRODUCT((TRIM('LY Sales '!$B$5:$B$200)=AB154)*('LY Sales '!$C$2:$AG$2=EDATE($F$4,-12)),'LY Sales '!$C$5:$AG$200))</f>
        <v>0</v>
      </c>
      <c r="AP154">
        <f t="shared" si="69"/>
        <v>0</v>
      </c>
      <c r="AQ154">
        <f t="shared" si="70"/>
        <v>0</v>
      </c>
      <c r="AR154">
        <f t="shared" si="71"/>
        <v>0</v>
      </c>
      <c r="AS154">
        <f t="shared" si="72"/>
        <v>0</v>
      </c>
    </row>
    <row r="155" spans="1:45" x14ac:dyDescent="0.25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  <c r="AB155" s="271" t="str">
        <f>IF('Sales Dashboard'!AW154="","",'Sales Dashboard'!AW154)</f>
        <v/>
      </c>
      <c r="AC155" s="271" t="str">
        <f>IF(AB155="","",'Sales Dashboard'!AN154)</f>
        <v/>
      </c>
      <c r="AD155" s="271" t="str">
        <f>IF(AB155="","",'Sales Dashboard'!AO154)</f>
        <v/>
      </c>
      <c r="AE155" s="281" cm="1">
        <f t="array" ref="AE155">IF(OR(AB155="",NOT(ISNUMBER('Sales Dashboard'!BF154))),0,SUMPRODUCT((IFERROR(--'Sales and count'!$G$2:$CC$2,0)=$C$4)*('Sales and count'!$G$3:$CC$3="Total"),INDEX('Sales and count'!$G$4:$CC$300,'Sales Dashboard'!BF154,0)))</f>
        <v>0</v>
      </c>
      <c r="AF155" s="281" cm="1">
        <f t="array" ref="AF155">IF(OR(AB155="",NOT(ISNUMBER('Sales Dashboard'!BG154))),0,SUMPRODUCT(('TY Sales Target'!$K$2:$AO$2=$C$4)*1,INDEX('TY Sales Target'!$K$5:$AO$300,'Sales Dashboard'!BG154,0)))</f>
        <v>0</v>
      </c>
      <c r="AG155" s="281" cm="1">
        <f t="array" ref="AG155">IF(AB155="",0,SUMPRODUCT((TRIM('LY Sales '!$B$5:$B$200)=AB155)*('LY Sales '!$C$2:$AG$2=EDATE($C$4,-12)),'LY Sales '!$C$5:$AG$200))</f>
        <v>0</v>
      </c>
      <c r="AH155" s="271">
        <f t="shared" si="64"/>
        <v>0</v>
      </c>
      <c r="AI155" s="271">
        <f t="shared" si="65"/>
        <v>0</v>
      </c>
      <c r="AJ155" s="271">
        <f t="shared" si="66"/>
        <v>0</v>
      </c>
      <c r="AK155" s="271">
        <f t="shared" si="67"/>
        <v>0</v>
      </c>
      <c r="AL155" s="271">
        <f t="shared" si="68"/>
        <v>0</v>
      </c>
      <c r="AM155" s="306" cm="1">
        <f t="array" ref="AM155">IF(OR(AB155="",NOT(ISNUMBER('Sales Dashboard'!BF154))),0,SUMPRODUCT((IFERROR(--'Sales and count'!$G$2:$CC$2,0)=$F$4)*('Sales and count'!$G$3:$CC$3="Total"),INDEX('Sales and count'!$G$4:$CC$300,'Sales Dashboard'!BF154,0)))</f>
        <v>0</v>
      </c>
      <c r="AN155" s="306" cm="1">
        <f t="array" ref="AN155">IF(OR(AB155="",NOT(ISNUMBER('Sales Dashboard'!BG154))),0,SUMPRODUCT(('TY Sales Target'!$K$2:$AO$2=$F$4)*1,INDEX('TY Sales Target'!$K$5:$AO$300,'Sales Dashboard'!BG154,0)))</f>
        <v>0</v>
      </c>
      <c r="AO155" s="306" cm="1">
        <f t="array" ref="AO155">IF(AB155="",0,SUMPRODUCT((TRIM('LY Sales '!$B$5:$B$200)=AB155)*('LY Sales '!$C$2:$AG$2=EDATE($F$4,-12)),'LY Sales '!$C$5:$AG$200))</f>
        <v>0</v>
      </c>
      <c r="AP155">
        <f t="shared" si="69"/>
        <v>0</v>
      </c>
      <c r="AQ155">
        <f t="shared" si="70"/>
        <v>0</v>
      </c>
      <c r="AR155">
        <f t="shared" si="71"/>
        <v>0</v>
      </c>
      <c r="AS155">
        <f t="shared" si="72"/>
        <v>0</v>
      </c>
    </row>
    <row r="156" spans="1:45" x14ac:dyDescent="0.25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  <c r="AB156" s="271" t="str">
        <f>IF('Sales Dashboard'!AW155="","",'Sales Dashboard'!AW155)</f>
        <v/>
      </c>
      <c r="AC156" s="271" t="str">
        <f>IF(AB156="","",'Sales Dashboard'!AN155)</f>
        <v/>
      </c>
      <c r="AD156" s="271" t="str">
        <f>IF(AB156="","",'Sales Dashboard'!AO155)</f>
        <v/>
      </c>
      <c r="AE156" s="281" cm="1">
        <f t="array" ref="AE156">IF(OR(AB156="",NOT(ISNUMBER('Sales Dashboard'!BF155))),0,SUMPRODUCT((IFERROR(--'Sales and count'!$G$2:$CC$2,0)=$C$4)*('Sales and count'!$G$3:$CC$3="Total"),INDEX('Sales and count'!$G$4:$CC$300,'Sales Dashboard'!BF155,0)))</f>
        <v>0</v>
      </c>
      <c r="AF156" s="281" cm="1">
        <f t="array" ref="AF156">IF(OR(AB156="",NOT(ISNUMBER('Sales Dashboard'!BG155))),0,SUMPRODUCT(('TY Sales Target'!$K$2:$AO$2=$C$4)*1,INDEX('TY Sales Target'!$K$5:$AO$300,'Sales Dashboard'!BG155,0)))</f>
        <v>0</v>
      </c>
      <c r="AG156" s="281" cm="1">
        <f t="array" ref="AG156">IF(AB156="",0,SUMPRODUCT((TRIM('LY Sales '!$B$5:$B$200)=AB156)*('LY Sales '!$C$2:$AG$2=EDATE($C$4,-12)),'LY Sales '!$C$5:$AG$200))</f>
        <v>0</v>
      </c>
      <c r="AH156" s="271">
        <f t="shared" si="64"/>
        <v>0</v>
      </c>
      <c r="AI156" s="271">
        <f t="shared" si="65"/>
        <v>0</v>
      </c>
      <c r="AJ156" s="271">
        <f t="shared" si="66"/>
        <v>0</v>
      </c>
      <c r="AK156" s="271">
        <f t="shared" si="67"/>
        <v>0</v>
      </c>
      <c r="AL156" s="271">
        <f t="shared" si="68"/>
        <v>0</v>
      </c>
      <c r="AM156" s="306" cm="1">
        <f t="array" ref="AM156">IF(OR(AB156="",NOT(ISNUMBER('Sales Dashboard'!BF155))),0,SUMPRODUCT((IFERROR(--'Sales and count'!$G$2:$CC$2,0)=$F$4)*('Sales and count'!$G$3:$CC$3="Total"),INDEX('Sales and count'!$G$4:$CC$300,'Sales Dashboard'!BF155,0)))</f>
        <v>0</v>
      </c>
      <c r="AN156" s="306" cm="1">
        <f t="array" ref="AN156">IF(OR(AB156="",NOT(ISNUMBER('Sales Dashboard'!BG155))),0,SUMPRODUCT(('TY Sales Target'!$K$2:$AO$2=$F$4)*1,INDEX('TY Sales Target'!$K$5:$AO$300,'Sales Dashboard'!BG155,0)))</f>
        <v>0</v>
      </c>
      <c r="AO156" s="306" cm="1">
        <f t="array" ref="AO156">IF(AB156="",0,SUMPRODUCT((TRIM('LY Sales '!$B$5:$B$200)=AB156)*('LY Sales '!$C$2:$AG$2=EDATE($F$4,-12)),'LY Sales '!$C$5:$AG$200))</f>
        <v>0</v>
      </c>
      <c r="AP156">
        <f t="shared" si="69"/>
        <v>0</v>
      </c>
      <c r="AQ156">
        <f t="shared" si="70"/>
        <v>0</v>
      </c>
      <c r="AR156">
        <f t="shared" si="71"/>
        <v>0</v>
      </c>
      <c r="AS156">
        <f t="shared" si="72"/>
        <v>0</v>
      </c>
    </row>
    <row r="157" spans="1:45" x14ac:dyDescent="0.25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 t="str">
        <f>IF('Sales Dashboard'!AW156="","",'Sales Dashboard'!AW156)</f>
        <v/>
      </c>
      <c r="AC157" s="271" t="str">
        <f>IF(AB157="","",'Sales Dashboard'!AN156)</f>
        <v/>
      </c>
      <c r="AD157" s="271" t="str">
        <f>IF(AB157="","",'Sales Dashboard'!AO156)</f>
        <v/>
      </c>
      <c r="AE157" s="281" cm="1">
        <f t="array" ref="AE157">IF(OR(AB157="",NOT(ISNUMBER('Sales Dashboard'!BF156))),0,SUMPRODUCT((IFERROR(--'Sales and count'!$G$2:$CC$2,0)=$C$4)*('Sales and count'!$G$3:$CC$3="Total"),INDEX('Sales and count'!$G$4:$CC$300,'Sales Dashboard'!BF156,0)))</f>
        <v>0</v>
      </c>
      <c r="AF157" s="281" cm="1">
        <f t="array" ref="AF157">IF(OR(AB157="",NOT(ISNUMBER('Sales Dashboard'!BG156))),0,SUMPRODUCT(('TY Sales Target'!$K$2:$AO$2=$C$4)*1,INDEX('TY Sales Target'!$K$5:$AO$300,'Sales Dashboard'!BG156,0)))</f>
        <v>0</v>
      </c>
      <c r="AG157" s="281" cm="1">
        <f t="array" ref="AG157">IF(AB157="",0,SUMPRODUCT((TRIM('LY Sales '!$B$5:$B$200)=AB157)*('LY Sales '!$C$2:$AG$2=EDATE($C$4,-12)),'LY Sales '!$C$5:$AG$200))</f>
        <v>0</v>
      </c>
      <c r="AH157" s="271">
        <f t="shared" si="64"/>
        <v>0</v>
      </c>
      <c r="AI157" s="271">
        <f t="shared" si="65"/>
        <v>0</v>
      </c>
      <c r="AJ157" s="271">
        <f t="shared" si="66"/>
        <v>0</v>
      </c>
      <c r="AK157" s="271">
        <f t="shared" si="67"/>
        <v>0</v>
      </c>
      <c r="AL157" s="271">
        <f t="shared" si="68"/>
        <v>0</v>
      </c>
      <c r="AM157" s="306" cm="1">
        <f t="array" ref="AM157">IF(OR(AB157="",NOT(ISNUMBER('Sales Dashboard'!BF156))),0,SUMPRODUCT((IFERROR(--'Sales and count'!$G$2:$CC$2,0)=$F$4)*('Sales and count'!$G$3:$CC$3="Total"),INDEX('Sales and count'!$G$4:$CC$300,'Sales Dashboard'!BF156,0)))</f>
        <v>0</v>
      </c>
      <c r="AN157" s="306" cm="1">
        <f t="array" ref="AN157">IF(OR(AB157="",NOT(ISNUMBER('Sales Dashboard'!BG156))),0,SUMPRODUCT(('TY Sales Target'!$K$2:$AO$2=$F$4)*1,INDEX('TY Sales Target'!$K$5:$AO$300,'Sales Dashboard'!BG156,0)))</f>
        <v>0</v>
      </c>
      <c r="AO157" s="306" cm="1">
        <f t="array" ref="AO157">IF(AB157="",0,SUMPRODUCT((TRIM('LY Sales '!$B$5:$B$200)=AB157)*('LY Sales '!$C$2:$AG$2=EDATE($F$4,-12)),'LY Sales '!$C$5:$AG$200))</f>
        <v>0</v>
      </c>
      <c r="AP157">
        <f t="shared" si="69"/>
        <v>0</v>
      </c>
      <c r="AQ157">
        <f t="shared" si="70"/>
        <v>0</v>
      </c>
      <c r="AR157">
        <f t="shared" si="71"/>
        <v>0</v>
      </c>
      <c r="AS157">
        <f t="shared" si="72"/>
        <v>0</v>
      </c>
    </row>
    <row r="158" spans="1:45" x14ac:dyDescent="0.25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 t="str">
        <f>IF('Sales Dashboard'!AW157="","",'Sales Dashboard'!AW157)</f>
        <v/>
      </c>
      <c r="AC158" s="271" t="str">
        <f>IF(AB158="","",'Sales Dashboard'!AN157)</f>
        <v/>
      </c>
      <c r="AD158" s="271" t="str">
        <f>IF(AB158="","",'Sales Dashboard'!AO157)</f>
        <v/>
      </c>
      <c r="AE158" s="281" cm="1">
        <f t="array" ref="AE158">IF(OR(AB158="",NOT(ISNUMBER('Sales Dashboard'!BF157))),0,SUMPRODUCT((IFERROR(--'Sales and count'!$G$2:$CC$2,0)=$C$4)*('Sales and count'!$G$3:$CC$3="Total"),INDEX('Sales and count'!$G$4:$CC$300,'Sales Dashboard'!BF157,0)))</f>
        <v>0</v>
      </c>
      <c r="AF158" s="281" cm="1">
        <f t="array" ref="AF158">IF(OR(AB158="",NOT(ISNUMBER('Sales Dashboard'!BG157))),0,SUMPRODUCT(('TY Sales Target'!$K$2:$AO$2=$C$4)*1,INDEX('TY Sales Target'!$K$5:$AO$300,'Sales Dashboard'!BG157,0)))</f>
        <v>0</v>
      </c>
      <c r="AG158" s="281" cm="1">
        <f t="array" ref="AG158">IF(AB158="",0,SUMPRODUCT((TRIM('LY Sales '!$B$5:$B$200)=AB158)*('LY Sales '!$C$2:$AG$2=EDATE($C$4,-12)),'LY Sales '!$C$5:$AG$200))</f>
        <v>0</v>
      </c>
      <c r="AH158" s="271">
        <f t="shared" si="64"/>
        <v>0</v>
      </c>
      <c r="AI158" s="271">
        <f t="shared" si="65"/>
        <v>0</v>
      </c>
      <c r="AJ158" s="271">
        <f t="shared" si="66"/>
        <v>0</v>
      </c>
      <c r="AK158" s="271">
        <f t="shared" si="67"/>
        <v>0</v>
      </c>
      <c r="AL158" s="271">
        <f t="shared" si="68"/>
        <v>0</v>
      </c>
      <c r="AM158" s="306" cm="1">
        <f t="array" ref="AM158">IF(OR(AB158="",NOT(ISNUMBER('Sales Dashboard'!BF157))),0,SUMPRODUCT((IFERROR(--'Sales and count'!$G$2:$CC$2,0)=$F$4)*('Sales and count'!$G$3:$CC$3="Total"),INDEX('Sales and count'!$G$4:$CC$300,'Sales Dashboard'!BF157,0)))</f>
        <v>0</v>
      </c>
      <c r="AN158" s="306" cm="1">
        <f t="array" ref="AN158">IF(OR(AB158="",NOT(ISNUMBER('Sales Dashboard'!BG157))),0,SUMPRODUCT(('TY Sales Target'!$K$2:$AO$2=$F$4)*1,INDEX('TY Sales Target'!$K$5:$AO$300,'Sales Dashboard'!BG157,0)))</f>
        <v>0</v>
      </c>
      <c r="AO158" s="306" cm="1">
        <f t="array" ref="AO158">IF(AB158="",0,SUMPRODUCT((TRIM('LY Sales '!$B$5:$B$200)=AB158)*('LY Sales '!$C$2:$AG$2=EDATE($F$4,-12)),'LY Sales '!$C$5:$AG$200))</f>
        <v>0</v>
      </c>
      <c r="AP158">
        <f t="shared" si="69"/>
        <v>0</v>
      </c>
      <c r="AQ158">
        <f t="shared" si="70"/>
        <v>0</v>
      </c>
      <c r="AR158">
        <f t="shared" si="71"/>
        <v>0</v>
      </c>
      <c r="AS158">
        <f t="shared" si="72"/>
        <v>0</v>
      </c>
    </row>
    <row r="159" spans="1:45" x14ac:dyDescent="0.25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  <c r="AB159" s="271" t="str">
        <f>IF('Sales Dashboard'!AW158="","",'Sales Dashboard'!AW158)</f>
        <v/>
      </c>
      <c r="AC159" s="271" t="str">
        <f>IF(AB159="","",'Sales Dashboard'!AN158)</f>
        <v/>
      </c>
      <c r="AD159" s="271" t="str">
        <f>IF(AB159="","",'Sales Dashboard'!AO158)</f>
        <v/>
      </c>
      <c r="AE159" s="281" cm="1">
        <f t="array" ref="AE159">IF(OR(AB159="",NOT(ISNUMBER('Sales Dashboard'!BF158))),0,SUMPRODUCT((IFERROR(--'Sales and count'!$G$2:$CC$2,0)=$C$4)*('Sales and count'!$G$3:$CC$3="Total"),INDEX('Sales and count'!$G$4:$CC$300,'Sales Dashboard'!BF158,0)))</f>
        <v>0</v>
      </c>
      <c r="AF159" s="281" cm="1">
        <f t="array" ref="AF159">IF(OR(AB159="",NOT(ISNUMBER('Sales Dashboard'!BG158))),0,SUMPRODUCT(('TY Sales Target'!$K$2:$AO$2=$C$4)*1,INDEX('TY Sales Target'!$K$5:$AO$300,'Sales Dashboard'!BG158,0)))</f>
        <v>0</v>
      </c>
      <c r="AG159" s="281" cm="1">
        <f t="array" ref="AG159">IF(AB159="",0,SUMPRODUCT((TRIM('LY Sales '!$B$5:$B$200)=AB159)*('LY Sales '!$C$2:$AG$2=EDATE($C$4,-12)),'LY Sales '!$C$5:$AG$200))</f>
        <v>0</v>
      </c>
      <c r="AH159" s="271">
        <f t="shared" si="64"/>
        <v>0</v>
      </c>
      <c r="AI159" s="271">
        <f t="shared" si="65"/>
        <v>0</v>
      </c>
      <c r="AJ159" s="271">
        <f t="shared" si="66"/>
        <v>0</v>
      </c>
      <c r="AK159" s="271">
        <f t="shared" si="67"/>
        <v>0</v>
      </c>
      <c r="AL159" s="271">
        <f t="shared" si="68"/>
        <v>0</v>
      </c>
      <c r="AM159" s="306" cm="1">
        <f t="array" ref="AM159">IF(OR(AB159="",NOT(ISNUMBER('Sales Dashboard'!BF158))),0,SUMPRODUCT((IFERROR(--'Sales and count'!$G$2:$CC$2,0)=$F$4)*('Sales and count'!$G$3:$CC$3="Total"),INDEX('Sales and count'!$G$4:$CC$300,'Sales Dashboard'!BF158,0)))</f>
        <v>0</v>
      </c>
      <c r="AN159" s="306" cm="1">
        <f t="array" ref="AN159">IF(OR(AB159="",NOT(ISNUMBER('Sales Dashboard'!BG158))),0,SUMPRODUCT(('TY Sales Target'!$K$2:$AO$2=$F$4)*1,INDEX('TY Sales Target'!$K$5:$AO$300,'Sales Dashboard'!BG158,0)))</f>
        <v>0</v>
      </c>
      <c r="AO159" s="306" cm="1">
        <f t="array" ref="AO159">IF(AB159="",0,SUMPRODUCT((TRIM('LY Sales '!$B$5:$B$200)=AB159)*('LY Sales '!$C$2:$AG$2=EDATE($F$4,-12)),'LY Sales '!$C$5:$AG$200))</f>
        <v>0</v>
      </c>
      <c r="AP159">
        <f t="shared" si="69"/>
        <v>0</v>
      </c>
      <c r="AQ159">
        <f t="shared" si="70"/>
        <v>0</v>
      </c>
      <c r="AR159">
        <f t="shared" si="71"/>
        <v>0</v>
      </c>
      <c r="AS159">
        <f t="shared" si="72"/>
        <v>0</v>
      </c>
    </row>
    <row r="160" spans="1:45" x14ac:dyDescent="0.25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 t="str">
        <f>IF('Sales Dashboard'!AW159="","",'Sales Dashboard'!AW159)</f>
        <v/>
      </c>
      <c r="AC160" s="271" t="str">
        <f>IF(AB160="","",'Sales Dashboard'!AN159)</f>
        <v/>
      </c>
      <c r="AD160" s="271" t="str">
        <f>IF(AB160="","",'Sales Dashboard'!AO159)</f>
        <v/>
      </c>
      <c r="AE160" s="281" cm="1">
        <f t="array" ref="AE160">IF(OR(AB160="",NOT(ISNUMBER('Sales Dashboard'!BF159))),0,SUMPRODUCT((IFERROR(--'Sales and count'!$G$2:$CC$2,0)=$C$4)*('Sales and count'!$G$3:$CC$3="Total"),INDEX('Sales and count'!$G$4:$CC$300,'Sales Dashboard'!BF159,0)))</f>
        <v>0</v>
      </c>
      <c r="AF160" s="281" cm="1">
        <f t="array" ref="AF160">IF(OR(AB160="",NOT(ISNUMBER('Sales Dashboard'!BG159))),0,SUMPRODUCT(('TY Sales Target'!$K$2:$AO$2=$C$4)*1,INDEX('TY Sales Target'!$K$5:$AO$300,'Sales Dashboard'!BG159,0)))</f>
        <v>0</v>
      </c>
      <c r="AG160" s="281" cm="1">
        <f t="array" ref="AG160">IF(AB160="",0,SUMPRODUCT((TRIM('LY Sales '!$B$5:$B$200)=AB160)*('LY Sales '!$C$2:$AG$2=EDATE($C$4,-12)),'LY Sales '!$C$5:$AG$200))</f>
        <v>0</v>
      </c>
      <c r="AH160" s="271">
        <f t="shared" si="64"/>
        <v>0</v>
      </c>
      <c r="AI160" s="271">
        <f t="shared" si="65"/>
        <v>0</v>
      </c>
      <c r="AJ160" s="271">
        <f t="shared" si="66"/>
        <v>0</v>
      </c>
      <c r="AK160" s="271">
        <f t="shared" si="67"/>
        <v>0</v>
      </c>
      <c r="AL160" s="271">
        <f t="shared" si="68"/>
        <v>0</v>
      </c>
      <c r="AM160" s="306" cm="1">
        <f t="array" ref="AM160">IF(OR(AB160="",NOT(ISNUMBER('Sales Dashboard'!BF159))),0,SUMPRODUCT((IFERROR(--'Sales and count'!$G$2:$CC$2,0)=$F$4)*('Sales and count'!$G$3:$CC$3="Total"),INDEX('Sales and count'!$G$4:$CC$300,'Sales Dashboard'!BF159,0)))</f>
        <v>0</v>
      </c>
      <c r="AN160" s="306" cm="1">
        <f t="array" ref="AN160">IF(OR(AB160="",NOT(ISNUMBER('Sales Dashboard'!BG159))),0,SUMPRODUCT(('TY Sales Target'!$K$2:$AO$2=$F$4)*1,INDEX('TY Sales Target'!$K$5:$AO$300,'Sales Dashboard'!BG159,0)))</f>
        <v>0</v>
      </c>
      <c r="AO160" s="306" cm="1">
        <f t="array" ref="AO160">IF(AB160="",0,SUMPRODUCT((TRIM('LY Sales '!$B$5:$B$200)=AB160)*('LY Sales '!$C$2:$AG$2=EDATE($F$4,-12)),'LY Sales '!$C$5:$AG$200))</f>
        <v>0</v>
      </c>
      <c r="AP160">
        <f t="shared" si="69"/>
        <v>0</v>
      </c>
      <c r="AQ160">
        <f t="shared" si="70"/>
        <v>0</v>
      </c>
      <c r="AR160">
        <f t="shared" si="71"/>
        <v>0</v>
      </c>
      <c r="AS160">
        <f t="shared" si="72"/>
        <v>0</v>
      </c>
    </row>
    <row r="161" spans="1:45" x14ac:dyDescent="0.25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 t="str">
        <f>IF('Sales Dashboard'!AW160="","",'Sales Dashboard'!AW160)</f>
        <v/>
      </c>
      <c r="AC161" s="271" t="str">
        <f>IF(AB161="","",'Sales Dashboard'!AN160)</f>
        <v/>
      </c>
      <c r="AD161" s="271" t="str">
        <f>IF(AB161="","",'Sales Dashboard'!AO160)</f>
        <v/>
      </c>
      <c r="AE161" s="281" cm="1">
        <f t="array" ref="AE161">IF(OR(AB161="",NOT(ISNUMBER('Sales Dashboard'!BF160))),0,SUMPRODUCT((IFERROR(--'Sales and count'!$G$2:$CC$2,0)=$C$4)*('Sales and count'!$G$3:$CC$3="Total"),INDEX('Sales and count'!$G$4:$CC$300,'Sales Dashboard'!BF160,0)))</f>
        <v>0</v>
      </c>
      <c r="AF161" s="281" cm="1">
        <f t="array" ref="AF161">IF(OR(AB161="",NOT(ISNUMBER('Sales Dashboard'!BG160))),0,SUMPRODUCT(('TY Sales Target'!$K$2:$AO$2=$C$4)*1,INDEX('TY Sales Target'!$K$5:$AO$300,'Sales Dashboard'!BG160,0)))</f>
        <v>0</v>
      </c>
      <c r="AG161" s="281" cm="1">
        <f t="array" ref="AG161">IF(AB161="",0,SUMPRODUCT((TRIM('LY Sales '!$B$5:$B$200)=AB161)*('LY Sales '!$C$2:$AG$2=EDATE($C$4,-12)),'LY Sales '!$C$5:$AG$200))</f>
        <v>0</v>
      </c>
      <c r="AH161" s="271">
        <f t="shared" si="64"/>
        <v>0</v>
      </c>
      <c r="AI161" s="271">
        <f t="shared" si="65"/>
        <v>0</v>
      </c>
      <c r="AJ161" s="271">
        <f t="shared" si="66"/>
        <v>0</v>
      </c>
      <c r="AK161" s="271">
        <f t="shared" si="67"/>
        <v>0</v>
      </c>
      <c r="AL161" s="271">
        <f t="shared" si="68"/>
        <v>0</v>
      </c>
      <c r="AM161" s="306" cm="1">
        <f t="array" ref="AM161">IF(OR(AB161="",NOT(ISNUMBER('Sales Dashboard'!BF160))),0,SUMPRODUCT((IFERROR(--'Sales and count'!$G$2:$CC$2,0)=$F$4)*('Sales and count'!$G$3:$CC$3="Total"),INDEX('Sales and count'!$G$4:$CC$300,'Sales Dashboard'!BF160,0)))</f>
        <v>0</v>
      </c>
      <c r="AN161" s="306" cm="1">
        <f t="array" ref="AN161">IF(OR(AB161="",NOT(ISNUMBER('Sales Dashboard'!BG160))),0,SUMPRODUCT(('TY Sales Target'!$K$2:$AO$2=$F$4)*1,INDEX('TY Sales Target'!$K$5:$AO$300,'Sales Dashboard'!BG160,0)))</f>
        <v>0</v>
      </c>
      <c r="AO161" s="306" cm="1">
        <f t="array" ref="AO161">IF(AB161="",0,SUMPRODUCT((TRIM('LY Sales '!$B$5:$B$200)=AB161)*('LY Sales '!$C$2:$AG$2=EDATE($F$4,-12)),'LY Sales '!$C$5:$AG$200))</f>
        <v>0</v>
      </c>
      <c r="AP161">
        <f t="shared" si="69"/>
        <v>0</v>
      </c>
      <c r="AQ161">
        <f t="shared" si="70"/>
        <v>0</v>
      </c>
      <c r="AR161">
        <f t="shared" si="71"/>
        <v>0</v>
      </c>
      <c r="AS161">
        <f t="shared" si="72"/>
        <v>0</v>
      </c>
    </row>
    <row r="162" spans="1:45" x14ac:dyDescent="0.25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  <c r="AA162" s="271"/>
      <c r="AB162" s="271" t="str">
        <f>IF('Sales Dashboard'!AW161="","",'Sales Dashboard'!AW161)</f>
        <v/>
      </c>
      <c r="AC162" s="271" t="str">
        <f>IF(AB162="","",'Sales Dashboard'!AN161)</f>
        <v/>
      </c>
      <c r="AD162" s="271" t="str">
        <f>IF(AB162="","",'Sales Dashboard'!AO161)</f>
        <v/>
      </c>
      <c r="AE162" s="281" cm="1">
        <f t="array" ref="AE162">IF(OR(AB162="",NOT(ISNUMBER('Sales Dashboard'!BF161))),0,SUMPRODUCT((IFERROR(--'Sales and count'!$G$2:$CC$2,0)=$C$4)*('Sales and count'!$G$3:$CC$3="Total"),INDEX('Sales and count'!$G$4:$CC$300,'Sales Dashboard'!BF161,0)))</f>
        <v>0</v>
      </c>
      <c r="AF162" s="281" cm="1">
        <f t="array" ref="AF162">IF(OR(AB162="",NOT(ISNUMBER('Sales Dashboard'!BG161))),0,SUMPRODUCT(('TY Sales Target'!$K$2:$AO$2=$C$4)*1,INDEX('TY Sales Target'!$K$5:$AO$300,'Sales Dashboard'!BG161,0)))</f>
        <v>0</v>
      </c>
      <c r="AG162" s="281" cm="1">
        <f t="array" ref="AG162">IF(AB162="",0,SUMPRODUCT((TRIM('LY Sales '!$B$5:$B$200)=AB162)*('LY Sales '!$C$2:$AG$2=EDATE($C$4,-12)),'LY Sales '!$C$5:$AG$200))</f>
        <v>0</v>
      </c>
      <c r="AH162" s="271">
        <f t="shared" si="64"/>
        <v>0</v>
      </c>
      <c r="AI162" s="271">
        <f t="shared" si="65"/>
        <v>0</v>
      </c>
      <c r="AJ162" s="271">
        <f t="shared" si="66"/>
        <v>0</v>
      </c>
      <c r="AK162" s="271">
        <f t="shared" si="67"/>
        <v>0</v>
      </c>
      <c r="AL162" s="271">
        <f t="shared" si="68"/>
        <v>0</v>
      </c>
      <c r="AM162" s="306" cm="1">
        <f t="array" ref="AM162">IF(OR(AB162="",NOT(ISNUMBER('Sales Dashboard'!BF161))),0,SUMPRODUCT((IFERROR(--'Sales and count'!$G$2:$CC$2,0)=$F$4)*('Sales and count'!$G$3:$CC$3="Total"),INDEX('Sales and count'!$G$4:$CC$300,'Sales Dashboard'!BF161,0)))</f>
        <v>0</v>
      </c>
      <c r="AN162" s="306" cm="1">
        <f t="array" ref="AN162">IF(OR(AB162="",NOT(ISNUMBER('Sales Dashboard'!BG161))),0,SUMPRODUCT(('TY Sales Target'!$K$2:$AO$2=$F$4)*1,INDEX('TY Sales Target'!$K$5:$AO$300,'Sales Dashboard'!BG161,0)))</f>
        <v>0</v>
      </c>
      <c r="AO162" s="306" cm="1">
        <f t="array" ref="AO162">IF(AB162="",0,SUMPRODUCT((TRIM('LY Sales '!$B$5:$B$200)=AB162)*('LY Sales '!$C$2:$AG$2=EDATE($F$4,-12)),'LY Sales '!$C$5:$AG$200))</f>
        <v>0</v>
      </c>
      <c r="AP162">
        <f t="shared" si="69"/>
        <v>0</v>
      </c>
      <c r="AQ162">
        <f t="shared" si="70"/>
        <v>0</v>
      </c>
      <c r="AR162">
        <f t="shared" si="71"/>
        <v>0</v>
      </c>
      <c r="AS162">
        <f t="shared" si="72"/>
        <v>0</v>
      </c>
    </row>
    <row r="163" spans="1:45" x14ac:dyDescent="0.25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  <c r="AA163" s="271"/>
      <c r="AB163" s="271" t="str">
        <f>IF('Sales Dashboard'!AW162="","",'Sales Dashboard'!AW162)</f>
        <v/>
      </c>
      <c r="AC163" s="271" t="str">
        <f>IF(AB163="","",'Sales Dashboard'!AN162)</f>
        <v/>
      </c>
      <c r="AD163" s="271" t="str">
        <f>IF(AB163="","",'Sales Dashboard'!AO162)</f>
        <v/>
      </c>
      <c r="AE163" s="281" cm="1">
        <f t="array" ref="AE163">IF(OR(AB163="",NOT(ISNUMBER('Sales Dashboard'!BF162))),0,SUMPRODUCT((IFERROR(--'Sales and count'!$G$2:$CC$2,0)=$C$4)*('Sales and count'!$G$3:$CC$3="Total"),INDEX('Sales and count'!$G$4:$CC$300,'Sales Dashboard'!BF162,0)))</f>
        <v>0</v>
      </c>
      <c r="AF163" s="281" cm="1">
        <f t="array" ref="AF163">IF(OR(AB163="",NOT(ISNUMBER('Sales Dashboard'!BG162))),0,SUMPRODUCT(('TY Sales Target'!$K$2:$AO$2=$C$4)*1,INDEX('TY Sales Target'!$K$5:$AO$300,'Sales Dashboard'!BG162,0)))</f>
        <v>0</v>
      </c>
      <c r="AG163" s="281" cm="1">
        <f t="array" ref="AG163">IF(AB163="",0,SUMPRODUCT((TRIM('LY Sales '!$B$5:$B$200)=AB163)*('LY Sales '!$C$2:$AG$2=EDATE($C$4,-12)),'LY Sales '!$C$5:$AG$200))</f>
        <v>0</v>
      </c>
      <c r="AH163" s="271">
        <f t="shared" si="64"/>
        <v>0</v>
      </c>
      <c r="AI163" s="271">
        <f t="shared" si="65"/>
        <v>0</v>
      </c>
      <c r="AJ163" s="271">
        <f t="shared" si="66"/>
        <v>0</v>
      </c>
      <c r="AK163" s="271">
        <f t="shared" si="67"/>
        <v>0</v>
      </c>
      <c r="AL163" s="271">
        <f t="shared" si="68"/>
        <v>0</v>
      </c>
      <c r="AM163" s="306" cm="1">
        <f t="array" ref="AM163">IF(OR(AB163="",NOT(ISNUMBER('Sales Dashboard'!BF162))),0,SUMPRODUCT((IFERROR(--'Sales and count'!$G$2:$CC$2,0)=$F$4)*('Sales and count'!$G$3:$CC$3="Total"),INDEX('Sales and count'!$G$4:$CC$300,'Sales Dashboard'!BF162,0)))</f>
        <v>0</v>
      </c>
      <c r="AN163" s="306" cm="1">
        <f t="array" ref="AN163">IF(OR(AB163="",NOT(ISNUMBER('Sales Dashboard'!BG162))),0,SUMPRODUCT(('TY Sales Target'!$K$2:$AO$2=$F$4)*1,INDEX('TY Sales Target'!$K$5:$AO$300,'Sales Dashboard'!BG162,0)))</f>
        <v>0</v>
      </c>
      <c r="AO163" s="306" cm="1">
        <f t="array" ref="AO163">IF(AB163="",0,SUMPRODUCT((TRIM('LY Sales '!$B$5:$B$200)=AB163)*('LY Sales '!$C$2:$AG$2=EDATE($F$4,-12)),'LY Sales '!$C$5:$AG$200))</f>
        <v>0</v>
      </c>
      <c r="AP163">
        <f t="shared" si="69"/>
        <v>0</v>
      </c>
      <c r="AQ163">
        <f t="shared" si="70"/>
        <v>0</v>
      </c>
      <c r="AR163">
        <f t="shared" si="71"/>
        <v>0</v>
      </c>
      <c r="AS163">
        <f t="shared" si="72"/>
        <v>0</v>
      </c>
    </row>
    <row r="164" spans="1:45" x14ac:dyDescent="0.25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  <c r="AA164" s="271"/>
      <c r="AB164" s="271" t="str">
        <f>IF('Sales Dashboard'!AW163="","",'Sales Dashboard'!AW163)</f>
        <v/>
      </c>
      <c r="AC164" s="271" t="str">
        <f>IF(AB164="","",'Sales Dashboard'!AN163)</f>
        <v/>
      </c>
      <c r="AD164" s="271" t="str">
        <f>IF(AB164="","",'Sales Dashboard'!AO163)</f>
        <v/>
      </c>
      <c r="AE164" s="281" cm="1">
        <f t="array" ref="AE164">IF(OR(AB164="",NOT(ISNUMBER('Sales Dashboard'!BF163))),0,SUMPRODUCT((IFERROR(--'Sales and count'!$G$2:$CC$2,0)=$C$4)*('Sales and count'!$G$3:$CC$3="Total"),INDEX('Sales and count'!$G$4:$CC$300,'Sales Dashboard'!BF163,0)))</f>
        <v>0</v>
      </c>
      <c r="AF164" s="281" cm="1">
        <f t="array" ref="AF164">IF(OR(AB164="",NOT(ISNUMBER('Sales Dashboard'!BG163))),0,SUMPRODUCT(('TY Sales Target'!$K$2:$AO$2=$C$4)*1,INDEX('TY Sales Target'!$K$5:$AO$300,'Sales Dashboard'!BG163,0)))</f>
        <v>0</v>
      </c>
      <c r="AG164" s="281" cm="1">
        <f t="array" ref="AG164">IF(AB164="",0,SUMPRODUCT((TRIM('LY Sales '!$B$5:$B$200)=AB164)*('LY Sales '!$C$2:$AG$2=EDATE($C$4,-12)),'LY Sales '!$C$5:$AG$200))</f>
        <v>0</v>
      </c>
      <c r="AH164" s="271">
        <f t="shared" si="64"/>
        <v>0</v>
      </c>
      <c r="AI164" s="271">
        <f t="shared" si="65"/>
        <v>0</v>
      </c>
      <c r="AJ164" s="271">
        <f t="shared" si="66"/>
        <v>0</v>
      </c>
      <c r="AK164" s="271">
        <f t="shared" si="67"/>
        <v>0</v>
      </c>
      <c r="AL164" s="271">
        <f t="shared" si="68"/>
        <v>0</v>
      </c>
      <c r="AM164" s="306" cm="1">
        <f t="array" ref="AM164">IF(OR(AB164="",NOT(ISNUMBER('Sales Dashboard'!BF163))),0,SUMPRODUCT((IFERROR(--'Sales and count'!$G$2:$CC$2,0)=$F$4)*('Sales and count'!$G$3:$CC$3="Total"),INDEX('Sales and count'!$G$4:$CC$300,'Sales Dashboard'!BF163,0)))</f>
        <v>0</v>
      </c>
      <c r="AN164" s="306" cm="1">
        <f t="array" ref="AN164">IF(OR(AB164="",NOT(ISNUMBER('Sales Dashboard'!BG163))),0,SUMPRODUCT(('TY Sales Target'!$K$2:$AO$2=$F$4)*1,INDEX('TY Sales Target'!$K$5:$AO$300,'Sales Dashboard'!BG163,0)))</f>
        <v>0</v>
      </c>
      <c r="AO164" s="306" cm="1">
        <f t="array" ref="AO164">IF(AB164="",0,SUMPRODUCT((TRIM('LY Sales '!$B$5:$B$200)=AB164)*('LY Sales '!$C$2:$AG$2=EDATE($F$4,-12)),'LY Sales '!$C$5:$AG$200))</f>
        <v>0</v>
      </c>
      <c r="AP164">
        <f t="shared" si="69"/>
        <v>0</v>
      </c>
      <c r="AQ164">
        <f t="shared" si="70"/>
        <v>0</v>
      </c>
      <c r="AR164">
        <f t="shared" si="71"/>
        <v>0</v>
      </c>
      <c r="AS164">
        <f t="shared" si="72"/>
        <v>0</v>
      </c>
    </row>
    <row r="165" spans="1:45" x14ac:dyDescent="0.25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  <c r="AA165" s="271"/>
      <c r="AB165" s="271" t="str">
        <f>IF('Sales Dashboard'!AW164="","",'Sales Dashboard'!AW164)</f>
        <v/>
      </c>
      <c r="AC165" s="271" t="str">
        <f>IF(AB165="","",'Sales Dashboard'!AN164)</f>
        <v/>
      </c>
      <c r="AD165" s="271" t="str">
        <f>IF(AB165="","",'Sales Dashboard'!AO164)</f>
        <v/>
      </c>
      <c r="AE165" s="281" cm="1">
        <f t="array" ref="AE165">IF(OR(AB165="",NOT(ISNUMBER('Sales Dashboard'!BF164))),0,SUMPRODUCT((IFERROR(--'Sales and count'!$G$2:$CC$2,0)=$C$4)*('Sales and count'!$G$3:$CC$3="Total"),INDEX('Sales and count'!$G$4:$CC$300,'Sales Dashboard'!BF164,0)))</f>
        <v>0</v>
      </c>
      <c r="AF165" s="281" cm="1">
        <f t="array" ref="AF165">IF(OR(AB165="",NOT(ISNUMBER('Sales Dashboard'!BG164))),0,SUMPRODUCT(('TY Sales Target'!$K$2:$AO$2=$C$4)*1,INDEX('TY Sales Target'!$K$5:$AO$300,'Sales Dashboard'!BG164,0)))</f>
        <v>0</v>
      </c>
      <c r="AG165" s="281" cm="1">
        <f t="array" ref="AG165">IF(AB165="",0,SUMPRODUCT((TRIM('LY Sales '!$B$5:$B$200)=AB165)*('LY Sales '!$C$2:$AG$2=EDATE($C$4,-12)),'LY Sales '!$C$5:$AG$200))</f>
        <v>0</v>
      </c>
      <c r="AH165" s="271">
        <f t="shared" si="64"/>
        <v>0</v>
      </c>
      <c r="AI165" s="271">
        <f t="shared" si="65"/>
        <v>0</v>
      </c>
      <c r="AJ165" s="271">
        <f t="shared" si="66"/>
        <v>0</v>
      </c>
      <c r="AK165" s="271">
        <f t="shared" si="67"/>
        <v>0</v>
      </c>
      <c r="AL165" s="271">
        <f t="shared" si="68"/>
        <v>0</v>
      </c>
      <c r="AM165" s="306" cm="1">
        <f t="array" ref="AM165">IF(OR(AB165="",NOT(ISNUMBER('Sales Dashboard'!BF164))),0,SUMPRODUCT((IFERROR(--'Sales and count'!$G$2:$CC$2,0)=$F$4)*('Sales and count'!$G$3:$CC$3="Total"),INDEX('Sales and count'!$G$4:$CC$300,'Sales Dashboard'!BF164,0)))</f>
        <v>0</v>
      </c>
      <c r="AN165" s="306" cm="1">
        <f t="array" ref="AN165">IF(OR(AB165="",NOT(ISNUMBER('Sales Dashboard'!BG164))),0,SUMPRODUCT(('TY Sales Target'!$K$2:$AO$2=$F$4)*1,INDEX('TY Sales Target'!$K$5:$AO$300,'Sales Dashboard'!BG164,0)))</f>
        <v>0</v>
      </c>
      <c r="AO165" s="306" cm="1">
        <f t="array" ref="AO165">IF(AB165="",0,SUMPRODUCT((TRIM('LY Sales '!$B$5:$B$200)=AB165)*('LY Sales '!$C$2:$AG$2=EDATE($F$4,-12)),'LY Sales '!$C$5:$AG$200))</f>
        <v>0</v>
      </c>
      <c r="AP165">
        <f t="shared" si="69"/>
        <v>0</v>
      </c>
      <c r="AQ165">
        <f t="shared" si="70"/>
        <v>0</v>
      </c>
      <c r="AR165">
        <f t="shared" si="71"/>
        <v>0</v>
      </c>
      <c r="AS165">
        <f t="shared" si="72"/>
        <v>0</v>
      </c>
    </row>
    <row r="166" spans="1:45" x14ac:dyDescent="0.25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  <c r="AA166" s="271"/>
      <c r="AB166" s="271" t="str">
        <f>IF('Sales Dashboard'!AW165="","",'Sales Dashboard'!AW165)</f>
        <v/>
      </c>
      <c r="AC166" s="271" t="str">
        <f>IF(AB166="","",'Sales Dashboard'!AN165)</f>
        <v/>
      </c>
      <c r="AD166" s="271" t="str">
        <f>IF(AB166="","",'Sales Dashboard'!AO165)</f>
        <v/>
      </c>
      <c r="AE166" s="281" cm="1">
        <f t="array" ref="AE166">IF(OR(AB166="",NOT(ISNUMBER('Sales Dashboard'!BF165))),0,SUMPRODUCT((IFERROR(--'Sales and count'!$G$2:$CC$2,0)=$C$4)*('Sales and count'!$G$3:$CC$3="Total"),INDEX('Sales and count'!$G$4:$CC$300,'Sales Dashboard'!BF165,0)))</f>
        <v>0</v>
      </c>
      <c r="AF166" s="281" cm="1">
        <f t="array" ref="AF166">IF(OR(AB166="",NOT(ISNUMBER('Sales Dashboard'!BG165))),0,SUMPRODUCT(('TY Sales Target'!$K$2:$AO$2=$C$4)*1,INDEX('TY Sales Target'!$K$5:$AO$300,'Sales Dashboard'!BG165,0)))</f>
        <v>0</v>
      </c>
      <c r="AG166" s="281" cm="1">
        <f t="array" ref="AG166">IF(AB166="",0,SUMPRODUCT((TRIM('LY Sales '!$B$5:$B$200)=AB166)*('LY Sales '!$C$2:$AG$2=EDATE($C$4,-12)),'LY Sales '!$C$5:$AG$200))</f>
        <v>0</v>
      </c>
      <c r="AH166" s="271">
        <f t="shared" si="64"/>
        <v>0</v>
      </c>
      <c r="AI166" s="271">
        <f t="shared" si="65"/>
        <v>0</v>
      </c>
      <c r="AJ166" s="271">
        <f t="shared" si="66"/>
        <v>0</v>
      </c>
      <c r="AK166" s="271">
        <f t="shared" si="67"/>
        <v>0</v>
      </c>
      <c r="AL166" s="271">
        <f t="shared" si="68"/>
        <v>0</v>
      </c>
      <c r="AM166" s="306" cm="1">
        <f t="array" ref="AM166">IF(OR(AB166="",NOT(ISNUMBER('Sales Dashboard'!BF165))),0,SUMPRODUCT((IFERROR(--'Sales and count'!$G$2:$CC$2,0)=$F$4)*('Sales and count'!$G$3:$CC$3="Total"),INDEX('Sales and count'!$G$4:$CC$300,'Sales Dashboard'!BF165,0)))</f>
        <v>0</v>
      </c>
      <c r="AN166" s="306" cm="1">
        <f t="array" ref="AN166">IF(OR(AB166="",NOT(ISNUMBER('Sales Dashboard'!BG165))),0,SUMPRODUCT(('TY Sales Target'!$K$2:$AO$2=$F$4)*1,INDEX('TY Sales Target'!$K$5:$AO$300,'Sales Dashboard'!BG165,0)))</f>
        <v>0</v>
      </c>
      <c r="AO166" s="306" cm="1">
        <f t="array" ref="AO166">IF(AB166="",0,SUMPRODUCT((TRIM('LY Sales '!$B$5:$B$200)=AB166)*('LY Sales '!$C$2:$AG$2=EDATE($F$4,-12)),'LY Sales '!$C$5:$AG$200))</f>
        <v>0</v>
      </c>
      <c r="AP166">
        <f t="shared" si="69"/>
        <v>0</v>
      </c>
      <c r="AQ166">
        <f t="shared" si="70"/>
        <v>0</v>
      </c>
      <c r="AR166">
        <f t="shared" si="71"/>
        <v>0</v>
      </c>
      <c r="AS166">
        <f t="shared" si="72"/>
        <v>0</v>
      </c>
    </row>
    <row r="167" spans="1:45" x14ac:dyDescent="0.25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  <c r="AA167" s="271"/>
      <c r="AB167" s="271" t="str">
        <f>IF('Sales Dashboard'!AW166="","",'Sales Dashboard'!AW166)</f>
        <v/>
      </c>
      <c r="AC167" s="271" t="str">
        <f>IF(AB167="","",'Sales Dashboard'!AN166)</f>
        <v/>
      </c>
      <c r="AD167" s="271" t="str">
        <f>IF(AB167="","",'Sales Dashboard'!AO166)</f>
        <v/>
      </c>
      <c r="AE167" s="281" cm="1">
        <f t="array" ref="AE167">IF(OR(AB167="",NOT(ISNUMBER('Sales Dashboard'!BF166))),0,SUMPRODUCT((IFERROR(--'Sales and count'!$G$2:$CC$2,0)=$C$4)*('Sales and count'!$G$3:$CC$3="Total"),INDEX('Sales and count'!$G$4:$CC$300,'Sales Dashboard'!BF166,0)))</f>
        <v>0</v>
      </c>
      <c r="AF167" s="281" cm="1">
        <f t="array" ref="AF167">IF(OR(AB167="",NOT(ISNUMBER('Sales Dashboard'!BG166))),0,SUMPRODUCT(('TY Sales Target'!$K$2:$AO$2=$C$4)*1,INDEX('TY Sales Target'!$K$5:$AO$300,'Sales Dashboard'!BG166,0)))</f>
        <v>0</v>
      </c>
      <c r="AG167" s="281" cm="1">
        <f t="array" ref="AG167">IF(AB167="",0,SUMPRODUCT((TRIM('LY Sales '!$B$5:$B$200)=AB167)*('LY Sales '!$C$2:$AG$2=EDATE($C$4,-12)),'LY Sales '!$C$5:$AG$200))</f>
        <v>0</v>
      </c>
      <c r="AH167" s="271">
        <f t="shared" si="64"/>
        <v>0</v>
      </c>
      <c r="AI167" s="271">
        <f t="shared" si="65"/>
        <v>0</v>
      </c>
      <c r="AJ167" s="271">
        <f t="shared" si="66"/>
        <v>0</v>
      </c>
      <c r="AK167" s="271">
        <f t="shared" si="67"/>
        <v>0</v>
      </c>
      <c r="AL167" s="271">
        <f t="shared" si="68"/>
        <v>0</v>
      </c>
      <c r="AM167" s="306" cm="1">
        <f t="array" ref="AM167">IF(OR(AB167="",NOT(ISNUMBER('Sales Dashboard'!BF166))),0,SUMPRODUCT((IFERROR(--'Sales and count'!$G$2:$CC$2,0)=$F$4)*('Sales and count'!$G$3:$CC$3="Total"),INDEX('Sales and count'!$G$4:$CC$300,'Sales Dashboard'!BF166,0)))</f>
        <v>0</v>
      </c>
      <c r="AN167" s="306" cm="1">
        <f t="array" ref="AN167">IF(OR(AB167="",NOT(ISNUMBER('Sales Dashboard'!BG166))),0,SUMPRODUCT(('TY Sales Target'!$K$2:$AO$2=$F$4)*1,INDEX('TY Sales Target'!$K$5:$AO$300,'Sales Dashboard'!BG166,0)))</f>
        <v>0</v>
      </c>
      <c r="AO167" s="306" cm="1">
        <f t="array" ref="AO167">IF(AB167="",0,SUMPRODUCT((TRIM('LY Sales '!$B$5:$B$200)=AB167)*('LY Sales '!$C$2:$AG$2=EDATE($F$4,-12)),'LY Sales '!$C$5:$AG$200))</f>
        <v>0</v>
      </c>
      <c r="AP167">
        <f t="shared" si="69"/>
        <v>0</v>
      </c>
      <c r="AQ167">
        <f t="shared" si="70"/>
        <v>0</v>
      </c>
      <c r="AR167">
        <f t="shared" si="71"/>
        <v>0</v>
      </c>
      <c r="AS167">
        <f t="shared" si="72"/>
        <v>0</v>
      </c>
    </row>
    <row r="168" spans="1:45" x14ac:dyDescent="0.25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  <c r="AB168" s="271" t="str">
        <f>IF('Sales Dashboard'!AW167="","",'Sales Dashboard'!AW167)</f>
        <v/>
      </c>
      <c r="AC168" s="271" t="str">
        <f>IF(AB168="","",'Sales Dashboard'!AN167)</f>
        <v/>
      </c>
      <c r="AD168" s="271" t="str">
        <f>IF(AB168="","",'Sales Dashboard'!AO167)</f>
        <v/>
      </c>
      <c r="AE168" s="281" cm="1">
        <f t="array" ref="AE168">IF(OR(AB168="",NOT(ISNUMBER('Sales Dashboard'!BF167))),0,SUMPRODUCT((IFERROR(--'Sales and count'!$G$2:$CC$2,0)=$C$4)*('Sales and count'!$G$3:$CC$3="Total"),INDEX('Sales and count'!$G$4:$CC$300,'Sales Dashboard'!BF167,0)))</f>
        <v>0</v>
      </c>
      <c r="AF168" s="281" cm="1">
        <f t="array" ref="AF168">IF(OR(AB168="",NOT(ISNUMBER('Sales Dashboard'!BG167))),0,SUMPRODUCT(('TY Sales Target'!$K$2:$AO$2=$C$4)*1,INDEX('TY Sales Target'!$K$5:$AO$300,'Sales Dashboard'!BG167,0)))</f>
        <v>0</v>
      </c>
      <c r="AG168" s="281" cm="1">
        <f t="array" ref="AG168">IF(AB168="",0,SUMPRODUCT((TRIM('LY Sales '!$B$5:$B$200)=AB168)*('LY Sales '!$C$2:$AG$2=EDATE($C$4,-12)),'LY Sales '!$C$5:$AG$200))</f>
        <v>0</v>
      </c>
      <c r="AH168" s="271">
        <f t="shared" si="64"/>
        <v>0</v>
      </c>
      <c r="AI168" s="271">
        <f t="shared" si="65"/>
        <v>0</v>
      </c>
      <c r="AJ168" s="271">
        <f t="shared" si="66"/>
        <v>0</v>
      </c>
      <c r="AK168" s="271">
        <f t="shared" si="67"/>
        <v>0</v>
      </c>
      <c r="AL168" s="271">
        <f t="shared" si="68"/>
        <v>0</v>
      </c>
      <c r="AM168" s="306" cm="1">
        <f t="array" ref="AM168">IF(OR(AB168="",NOT(ISNUMBER('Sales Dashboard'!BF167))),0,SUMPRODUCT((IFERROR(--'Sales and count'!$G$2:$CC$2,0)=$F$4)*('Sales and count'!$G$3:$CC$3="Total"),INDEX('Sales and count'!$G$4:$CC$300,'Sales Dashboard'!BF167,0)))</f>
        <v>0</v>
      </c>
      <c r="AN168" s="306" cm="1">
        <f t="array" ref="AN168">IF(OR(AB168="",NOT(ISNUMBER('Sales Dashboard'!BG167))),0,SUMPRODUCT(('TY Sales Target'!$K$2:$AO$2=$F$4)*1,INDEX('TY Sales Target'!$K$5:$AO$300,'Sales Dashboard'!BG167,0)))</f>
        <v>0</v>
      </c>
      <c r="AO168" s="306" cm="1">
        <f t="array" ref="AO168">IF(AB168="",0,SUMPRODUCT((TRIM('LY Sales '!$B$5:$B$200)=AB168)*('LY Sales '!$C$2:$AG$2=EDATE($F$4,-12)),'LY Sales '!$C$5:$AG$200))</f>
        <v>0</v>
      </c>
      <c r="AP168">
        <f t="shared" si="69"/>
        <v>0</v>
      </c>
      <c r="AQ168">
        <f t="shared" si="70"/>
        <v>0</v>
      </c>
      <c r="AR168">
        <f t="shared" si="71"/>
        <v>0</v>
      </c>
      <c r="AS168">
        <f t="shared" si="72"/>
        <v>0</v>
      </c>
    </row>
    <row r="169" spans="1:45" x14ac:dyDescent="0.25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 t="str">
        <f>IF('Sales Dashboard'!AW168="","",'Sales Dashboard'!AW168)</f>
        <v/>
      </c>
      <c r="AC169" s="271" t="str">
        <f>IF(AB169="","",'Sales Dashboard'!AN168)</f>
        <v/>
      </c>
      <c r="AD169" s="271" t="str">
        <f>IF(AB169="","",'Sales Dashboard'!AO168)</f>
        <v/>
      </c>
      <c r="AE169" s="281" cm="1">
        <f t="array" ref="AE169">IF(OR(AB169="",NOT(ISNUMBER('Sales Dashboard'!BF168))),0,SUMPRODUCT((IFERROR(--'Sales and count'!$G$2:$CC$2,0)=$C$4)*('Sales and count'!$G$3:$CC$3="Total"),INDEX('Sales and count'!$G$4:$CC$300,'Sales Dashboard'!BF168,0)))</f>
        <v>0</v>
      </c>
      <c r="AF169" s="281" cm="1">
        <f t="array" ref="AF169">IF(OR(AB169="",NOT(ISNUMBER('Sales Dashboard'!BG168))),0,SUMPRODUCT(('TY Sales Target'!$K$2:$AO$2=$C$4)*1,INDEX('TY Sales Target'!$K$5:$AO$300,'Sales Dashboard'!BG168,0)))</f>
        <v>0</v>
      </c>
      <c r="AG169" s="281" cm="1">
        <f t="array" ref="AG169">IF(AB169="",0,SUMPRODUCT((TRIM('LY Sales '!$B$5:$B$200)=AB169)*('LY Sales '!$C$2:$AG$2=EDATE($C$4,-12)),'LY Sales '!$C$5:$AG$200))</f>
        <v>0</v>
      </c>
      <c r="AH169" s="271">
        <f t="shared" si="64"/>
        <v>0</v>
      </c>
      <c r="AI169" s="271">
        <f t="shared" si="65"/>
        <v>0</v>
      </c>
      <c r="AJ169" s="271">
        <f t="shared" si="66"/>
        <v>0</v>
      </c>
      <c r="AK169" s="271">
        <f t="shared" si="67"/>
        <v>0</v>
      </c>
      <c r="AL169" s="271">
        <f t="shared" si="68"/>
        <v>0</v>
      </c>
      <c r="AM169" s="306" cm="1">
        <f t="array" ref="AM169">IF(OR(AB169="",NOT(ISNUMBER('Sales Dashboard'!BF168))),0,SUMPRODUCT((IFERROR(--'Sales and count'!$G$2:$CC$2,0)=$F$4)*('Sales and count'!$G$3:$CC$3="Total"),INDEX('Sales and count'!$G$4:$CC$300,'Sales Dashboard'!BF168,0)))</f>
        <v>0</v>
      </c>
      <c r="AN169" s="306" cm="1">
        <f t="array" ref="AN169">IF(OR(AB169="",NOT(ISNUMBER('Sales Dashboard'!BG168))),0,SUMPRODUCT(('TY Sales Target'!$K$2:$AO$2=$F$4)*1,INDEX('TY Sales Target'!$K$5:$AO$300,'Sales Dashboard'!BG168,0)))</f>
        <v>0</v>
      </c>
      <c r="AO169" s="306" cm="1">
        <f t="array" ref="AO169">IF(AB169="",0,SUMPRODUCT((TRIM('LY Sales '!$B$5:$B$200)=AB169)*('LY Sales '!$C$2:$AG$2=EDATE($F$4,-12)),'LY Sales '!$C$5:$AG$200))</f>
        <v>0</v>
      </c>
      <c r="AP169">
        <f t="shared" si="69"/>
        <v>0</v>
      </c>
      <c r="AQ169">
        <f t="shared" si="70"/>
        <v>0</v>
      </c>
      <c r="AR169">
        <f t="shared" si="71"/>
        <v>0</v>
      </c>
      <c r="AS169">
        <f t="shared" si="72"/>
        <v>0</v>
      </c>
    </row>
    <row r="170" spans="1:45" x14ac:dyDescent="0.25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  <c r="AA170" s="271"/>
      <c r="AB170" s="271" t="str">
        <f>IF('Sales Dashboard'!AW169="","",'Sales Dashboard'!AW169)</f>
        <v/>
      </c>
      <c r="AC170" s="271" t="str">
        <f>IF(AB170="","",'Sales Dashboard'!AN169)</f>
        <v/>
      </c>
      <c r="AD170" s="271" t="str">
        <f>IF(AB170="","",'Sales Dashboard'!AO169)</f>
        <v/>
      </c>
      <c r="AE170" s="281" cm="1">
        <f t="array" ref="AE170">IF(OR(AB170="",NOT(ISNUMBER('Sales Dashboard'!BF169))),0,SUMPRODUCT((IFERROR(--'Sales and count'!$G$2:$CC$2,0)=$C$4)*('Sales and count'!$G$3:$CC$3="Total"),INDEX('Sales and count'!$G$4:$CC$300,'Sales Dashboard'!BF169,0)))</f>
        <v>0</v>
      </c>
      <c r="AF170" s="281" cm="1">
        <f t="array" ref="AF170">IF(OR(AB170="",NOT(ISNUMBER('Sales Dashboard'!BG169))),0,SUMPRODUCT(('TY Sales Target'!$K$2:$AO$2=$C$4)*1,INDEX('TY Sales Target'!$K$5:$AO$300,'Sales Dashboard'!BG169,0)))</f>
        <v>0</v>
      </c>
      <c r="AG170" s="281" cm="1">
        <f t="array" ref="AG170">IF(AB170="",0,SUMPRODUCT((TRIM('LY Sales '!$B$5:$B$200)=AB170)*('LY Sales '!$C$2:$AG$2=EDATE($C$4,-12)),'LY Sales '!$C$5:$AG$200))</f>
        <v>0</v>
      </c>
      <c r="AH170" s="271">
        <f t="shared" si="64"/>
        <v>0</v>
      </c>
      <c r="AI170" s="271">
        <f t="shared" si="65"/>
        <v>0</v>
      </c>
      <c r="AJ170" s="271">
        <f t="shared" si="66"/>
        <v>0</v>
      </c>
      <c r="AK170" s="271">
        <f t="shared" si="67"/>
        <v>0</v>
      </c>
      <c r="AL170" s="271">
        <f t="shared" si="68"/>
        <v>0</v>
      </c>
      <c r="AM170" s="306" cm="1">
        <f t="array" ref="AM170">IF(OR(AB170="",NOT(ISNUMBER('Sales Dashboard'!BF169))),0,SUMPRODUCT((IFERROR(--'Sales and count'!$G$2:$CC$2,0)=$F$4)*('Sales and count'!$G$3:$CC$3="Total"),INDEX('Sales and count'!$G$4:$CC$300,'Sales Dashboard'!BF169,0)))</f>
        <v>0</v>
      </c>
      <c r="AN170" s="306" cm="1">
        <f t="array" ref="AN170">IF(OR(AB170="",NOT(ISNUMBER('Sales Dashboard'!BG169))),0,SUMPRODUCT(('TY Sales Target'!$K$2:$AO$2=$F$4)*1,INDEX('TY Sales Target'!$K$5:$AO$300,'Sales Dashboard'!BG169,0)))</f>
        <v>0</v>
      </c>
      <c r="AO170" s="306" cm="1">
        <f t="array" ref="AO170">IF(AB170="",0,SUMPRODUCT((TRIM('LY Sales '!$B$5:$B$200)=AB170)*('LY Sales '!$C$2:$AG$2=EDATE($F$4,-12)),'LY Sales '!$C$5:$AG$200))</f>
        <v>0</v>
      </c>
      <c r="AP170">
        <f t="shared" si="69"/>
        <v>0</v>
      </c>
      <c r="AQ170">
        <f t="shared" si="70"/>
        <v>0</v>
      </c>
      <c r="AR170">
        <f t="shared" si="71"/>
        <v>0</v>
      </c>
      <c r="AS170">
        <f t="shared" si="72"/>
        <v>0</v>
      </c>
    </row>
    <row r="171" spans="1:45" x14ac:dyDescent="0.25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  <c r="AA171" s="271"/>
      <c r="AB171" s="271" t="str">
        <f>IF('Sales Dashboard'!AW170="","",'Sales Dashboard'!AW170)</f>
        <v/>
      </c>
      <c r="AC171" s="271" t="str">
        <f>IF(AB171="","",'Sales Dashboard'!AN170)</f>
        <v/>
      </c>
      <c r="AD171" s="271" t="str">
        <f>IF(AB171="","",'Sales Dashboard'!AO170)</f>
        <v/>
      </c>
      <c r="AE171" s="281" cm="1">
        <f t="array" ref="AE171">IF(OR(AB171="",NOT(ISNUMBER('Sales Dashboard'!BF170))),0,SUMPRODUCT((IFERROR(--'Sales and count'!$G$2:$CC$2,0)=$C$4)*('Sales and count'!$G$3:$CC$3="Total"),INDEX('Sales and count'!$G$4:$CC$300,'Sales Dashboard'!BF170,0)))</f>
        <v>0</v>
      </c>
      <c r="AF171" s="281" cm="1">
        <f t="array" ref="AF171">IF(OR(AB171="",NOT(ISNUMBER('Sales Dashboard'!BG170))),0,SUMPRODUCT(('TY Sales Target'!$K$2:$AO$2=$C$4)*1,INDEX('TY Sales Target'!$K$5:$AO$300,'Sales Dashboard'!BG170,0)))</f>
        <v>0</v>
      </c>
      <c r="AG171" s="281" cm="1">
        <f t="array" ref="AG171">IF(AB171="",0,SUMPRODUCT((TRIM('LY Sales '!$B$5:$B$200)=AB171)*('LY Sales '!$C$2:$AG$2=EDATE($C$4,-12)),'LY Sales '!$C$5:$AG$200))</f>
        <v>0</v>
      </c>
      <c r="AH171" s="271">
        <f t="shared" si="64"/>
        <v>0</v>
      </c>
      <c r="AI171" s="271">
        <f t="shared" si="65"/>
        <v>0</v>
      </c>
      <c r="AJ171" s="271">
        <f t="shared" si="66"/>
        <v>0</v>
      </c>
      <c r="AK171" s="271">
        <f t="shared" si="67"/>
        <v>0</v>
      </c>
      <c r="AL171" s="271">
        <f t="shared" si="68"/>
        <v>0</v>
      </c>
      <c r="AM171" s="306" cm="1">
        <f t="array" ref="AM171">IF(OR(AB171="",NOT(ISNUMBER('Sales Dashboard'!BF170))),0,SUMPRODUCT((IFERROR(--'Sales and count'!$G$2:$CC$2,0)=$F$4)*('Sales and count'!$G$3:$CC$3="Total"),INDEX('Sales and count'!$G$4:$CC$300,'Sales Dashboard'!BF170,0)))</f>
        <v>0</v>
      </c>
      <c r="AN171" s="306" cm="1">
        <f t="array" ref="AN171">IF(OR(AB171="",NOT(ISNUMBER('Sales Dashboard'!BG170))),0,SUMPRODUCT(('TY Sales Target'!$K$2:$AO$2=$F$4)*1,INDEX('TY Sales Target'!$K$5:$AO$300,'Sales Dashboard'!BG170,0)))</f>
        <v>0</v>
      </c>
      <c r="AO171" s="306" cm="1">
        <f t="array" ref="AO171">IF(AB171="",0,SUMPRODUCT((TRIM('LY Sales '!$B$5:$B$200)=AB171)*('LY Sales '!$C$2:$AG$2=EDATE($F$4,-12)),'LY Sales '!$C$5:$AG$200))</f>
        <v>0</v>
      </c>
      <c r="AP171">
        <f t="shared" si="69"/>
        <v>0</v>
      </c>
      <c r="AQ171">
        <f t="shared" si="70"/>
        <v>0</v>
      </c>
      <c r="AR171">
        <f t="shared" si="71"/>
        <v>0</v>
      </c>
      <c r="AS171">
        <f t="shared" si="72"/>
        <v>0</v>
      </c>
    </row>
    <row r="172" spans="1:45" x14ac:dyDescent="0.25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  <c r="AA172" s="271"/>
      <c r="AB172" s="271" t="str">
        <f>IF('Sales Dashboard'!AW171="","",'Sales Dashboard'!AW171)</f>
        <v/>
      </c>
      <c r="AC172" s="271" t="str">
        <f>IF(AB172="","",'Sales Dashboard'!AN171)</f>
        <v/>
      </c>
      <c r="AD172" s="271" t="str">
        <f>IF(AB172="","",'Sales Dashboard'!AO171)</f>
        <v/>
      </c>
      <c r="AE172" s="281" cm="1">
        <f t="array" ref="AE172">IF(OR(AB172="",NOT(ISNUMBER('Sales Dashboard'!BF171))),0,SUMPRODUCT((IFERROR(--'Sales and count'!$G$2:$CC$2,0)=$C$4)*('Sales and count'!$G$3:$CC$3="Total"),INDEX('Sales and count'!$G$4:$CC$300,'Sales Dashboard'!BF171,0)))</f>
        <v>0</v>
      </c>
      <c r="AF172" s="281" cm="1">
        <f t="array" ref="AF172">IF(OR(AB172="",NOT(ISNUMBER('Sales Dashboard'!BG171))),0,SUMPRODUCT(('TY Sales Target'!$K$2:$AO$2=$C$4)*1,INDEX('TY Sales Target'!$K$5:$AO$300,'Sales Dashboard'!BG171,0)))</f>
        <v>0</v>
      </c>
      <c r="AG172" s="281" cm="1">
        <f t="array" ref="AG172">IF(AB172="",0,SUMPRODUCT((TRIM('LY Sales '!$B$5:$B$200)=AB172)*('LY Sales '!$C$2:$AG$2=EDATE($C$4,-12)),'LY Sales '!$C$5:$AG$200))</f>
        <v>0</v>
      </c>
      <c r="AH172" s="271">
        <f t="shared" si="64"/>
        <v>0</v>
      </c>
      <c r="AI172" s="271">
        <f t="shared" si="65"/>
        <v>0</v>
      </c>
      <c r="AJ172" s="271">
        <f t="shared" si="66"/>
        <v>0</v>
      </c>
      <c r="AK172" s="271">
        <f t="shared" si="67"/>
        <v>0</v>
      </c>
      <c r="AL172" s="271">
        <f t="shared" si="68"/>
        <v>0</v>
      </c>
      <c r="AM172" s="306" cm="1">
        <f t="array" ref="AM172">IF(OR(AB172="",NOT(ISNUMBER('Sales Dashboard'!BF171))),0,SUMPRODUCT((IFERROR(--'Sales and count'!$G$2:$CC$2,0)=$F$4)*('Sales and count'!$G$3:$CC$3="Total"),INDEX('Sales and count'!$G$4:$CC$300,'Sales Dashboard'!BF171,0)))</f>
        <v>0</v>
      </c>
      <c r="AN172" s="306" cm="1">
        <f t="array" ref="AN172">IF(OR(AB172="",NOT(ISNUMBER('Sales Dashboard'!BG171))),0,SUMPRODUCT(('TY Sales Target'!$K$2:$AO$2=$F$4)*1,INDEX('TY Sales Target'!$K$5:$AO$300,'Sales Dashboard'!BG171,0)))</f>
        <v>0</v>
      </c>
      <c r="AO172" s="306" cm="1">
        <f t="array" ref="AO172">IF(AB172="",0,SUMPRODUCT((TRIM('LY Sales '!$B$5:$B$200)=AB172)*('LY Sales '!$C$2:$AG$2=EDATE($F$4,-12)),'LY Sales '!$C$5:$AG$200))</f>
        <v>0</v>
      </c>
      <c r="AP172">
        <f t="shared" si="69"/>
        <v>0</v>
      </c>
      <c r="AQ172">
        <f t="shared" si="70"/>
        <v>0</v>
      </c>
      <c r="AR172">
        <f t="shared" si="71"/>
        <v>0</v>
      </c>
      <c r="AS172">
        <f t="shared" si="72"/>
        <v>0</v>
      </c>
    </row>
    <row r="173" spans="1:45" x14ac:dyDescent="0.25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  <c r="AA173" s="271"/>
      <c r="AB173" s="271" t="str">
        <f>IF('Sales Dashboard'!AW172="","",'Sales Dashboard'!AW172)</f>
        <v/>
      </c>
      <c r="AC173" s="271" t="str">
        <f>IF(AB173="","",'Sales Dashboard'!AN172)</f>
        <v/>
      </c>
      <c r="AD173" s="271" t="str">
        <f>IF(AB173="","",'Sales Dashboard'!AO172)</f>
        <v/>
      </c>
      <c r="AE173" s="281" cm="1">
        <f t="array" ref="AE173">IF(OR(AB173="",NOT(ISNUMBER('Sales Dashboard'!BF172))),0,SUMPRODUCT((IFERROR(--'Sales and count'!$G$2:$CC$2,0)=$C$4)*('Sales and count'!$G$3:$CC$3="Total"),INDEX('Sales and count'!$G$4:$CC$300,'Sales Dashboard'!BF172,0)))</f>
        <v>0</v>
      </c>
      <c r="AF173" s="281" cm="1">
        <f t="array" ref="AF173">IF(OR(AB173="",NOT(ISNUMBER('Sales Dashboard'!BG172))),0,SUMPRODUCT(('TY Sales Target'!$K$2:$AO$2=$C$4)*1,INDEX('TY Sales Target'!$K$5:$AO$300,'Sales Dashboard'!BG172,0)))</f>
        <v>0</v>
      </c>
      <c r="AG173" s="281" cm="1">
        <f t="array" ref="AG173">IF(AB173="",0,SUMPRODUCT((TRIM('LY Sales '!$B$5:$B$200)=AB173)*('LY Sales '!$C$2:$AG$2=EDATE($C$4,-12)),'LY Sales '!$C$5:$AG$200))</f>
        <v>0</v>
      </c>
      <c r="AH173" s="271">
        <f t="shared" si="64"/>
        <v>0</v>
      </c>
      <c r="AI173" s="271">
        <f t="shared" si="65"/>
        <v>0</v>
      </c>
      <c r="AJ173" s="271">
        <f t="shared" si="66"/>
        <v>0</v>
      </c>
      <c r="AK173" s="271">
        <f t="shared" si="67"/>
        <v>0</v>
      </c>
      <c r="AL173" s="271">
        <f t="shared" si="68"/>
        <v>0</v>
      </c>
      <c r="AM173" s="306" cm="1">
        <f t="array" ref="AM173">IF(OR(AB173="",NOT(ISNUMBER('Sales Dashboard'!BF172))),0,SUMPRODUCT((IFERROR(--'Sales and count'!$G$2:$CC$2,0)=$F$4)*('Sales and count'!$G$3:$CC$3="Total"),INDEX('Sales and count'!$G$4:$CC$300,'Sales Dashboard'!BF172,0)))</f>
        <v>0</v>
      </c>
      <c r="AN173" s="306" cm="1">
        <f t="array" ref="AN173">IF(OR(AB173="",NOT(ISNUMBER('Sales Dashboard'!BG172))),0,SUMPRODUCT(('TY Sales Target'!$K$2:$AO$2=$F$4)*1,INDEX('TY Sales Target'!$K$5:$AO$300,'Sales Dashboard'!BG172,0)))</f>
        <v>0</v>
      </c>
      <c r="AO173" s="306" cm="1">
        <f t="array" ref="AO173">IF(AB173="",0,SUMPRODUCT((TRIM('LY Sales '!$B$5:$B$200)=AB173)*('LY Sales '!$C$2:$AG$2=EDATE($F$4,-12)),'LY Sales '!$C$5:$AG$200))</f>
        <v>0</v>
      </c>
      <c r="AP173">
        <f t="shared" si="69"/>
        <v>0</v>
      </c>
      <c r="AQ173">
        <f t="shared" si="70"/>
        <v>0</v>
      </c>
      <c r="AR173">
        <f t="shared" si="71"/>
        <v>0</v>
      </c>
      <c r="AS173">
        <f t="shared" si="72"/>
        <v>0</v>
      </c>
    </row>
    <row r="174" spans="1:45" x14ac:dyDescent="0.25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  <c r="AA174" s="271"/>
      <c r="AB174" s="271" t="str">
        <f>IF('Sales Dashboard'!AW173="","",'Sales Dashboard'!AW173)</f>
        <v/>
      </c>
      <c r="AC174" s="271" t="str">
        <f>IF(AB174="","",'Sales Dashboard'!AN173)</f>
        <v/>
      </c>
      <c r="AD174" s="271" t="str">
        <f>IF(AB174="","",'Sales Dashboard'!AO173)</f>
        <v/>
      </c>
      <c r="AE174" s="281" cm="1">
        <f t="array" ref="AE174">IF(OR(AB174="",NOT(ISNUMBER('Sales Dashboard'!BF173))),0,SUMPRODUCT((IFERROR(--'Sales and count'!$G$2:$CC$2,0)=$C$4)*('Sales and count'!$G$3:$CC$3="Total"),INDEX('Sales and count'!$G$4:$CC$300,'Sales Dashboard'!BF173,0)))</f>
        <v>0</v>
      </c>
      <c r="AF174" s="281" cm="1">
        <f t="array" ref="AF174">IF(OR(AB174="",NOT(ISNUMBER('Sales Dashboard'!BG173))),0,SUMPRODUCT(('TY Sales Target'!$K$2:$AO$2=$C$4)*1,INDEX('TY Sales Target'!$K$5:$AO$300,'Sales Dashboard'!BG173,0)))</f>
        <v>0</v>
      </c>
      <c r="AG174" s="281" cm="1">
        <f t="array" ref="AG174">IF(AB174="",0,SUMPRODUCT((TRIM('LY Sales '!$B$5:$B$200)=AB174)*('LY Sales '!$C$2:$AG$2=EDATE($C$4,-12)),'LY Sales '!$C$5:$AG$200))</f>
        <v>0</v>
      </c>
      <c r="AH174" s="271">
        <f t="shared" si="64"/>
        <v>0</v>
      </c>
      <c r="AI174" s="271">
        <f t="shared" si="65"/>
        <v>0</v>
      </c>
      <c r="AJ174" s="271">
        <f t="shared" si="66"/>
        <v>0</v>
      </c>
      <c r="AK174" s="271">
        <f t="shared" si="67"/>
        <v>0</v>
      </c>
      <c r="AL174" s="271">
        <f t="shared" si="68"/>
        <v>0</v>
      </c>
      <c r="AM174" s="306" cm="1">
        <f t="array" ref="AM174">IF(OR(AB174="",NOT(ISNUMBER('Sales Dashboard'!BF173))),0,SUMPRODUCT((IFERROR(--'Sales and count'!$G$2:$CC$2,0)=$F$4)*('Sales and count'!$G$3:$CC$3="Total"),INDEX('Sales and count'!$G$4:$CC$300,'Sales Dashboard'!BF173,0)))</f>
        <v>0</v>
      </c>
      <c r="AN174" s="306" cm="1">
        <f t="array" ref="AN174">IF(OR(AB174="",NOT(ISNUMBER('Sales Dashboard'!BG173))),0,SUMPRODUCT(('TY Sales Target'!$K$2:$AO$2=$F$4)*1,INDEX('TY Sales Target'!$K$5:$AO$300,'Sales Dashboard'!BG173,0)))</f>
        <v>0</v>
      </c>
      <c r="AO174" s="306" cm="1">
        <f t="array" ref="AO174">IF(AB174="",0,SUMPRODUCT((TRIM('LY Sales '!$B$5:$B$200)=AB174)*('LY Sales '!$C$2:$AG$2=EDATE($F$4,-12)),'LY Sales '!$C$5:$AG$200))</f>
        <v>0</v>
      </c>
      <c r="AP174">
        <f t="shared" si="69"/>
        <v>0</v>
      </c>
      <c r="AQ174">
        <f t="shared" si="70"/>
        <v>0</v>
      </c>
      <c r="AR174">
        <f t="shared" si="71"/>
        <v>0</v>
      </c>
      <c r="AS174">
        <f t="shared" si="72"/>
        <v>0</v>
      </c>
    </row>
    <row r="175" spans="1:45" x14ac:dyDescent="0.25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  <c r="AA175" s="271"/>
      <c r="AB175" s="271" t="str">
        <f>IF('Sales Dashboard'!AW174="","",'Sales Dashboard'!AW174)</f>
        <v/>
      </c>
      <c r="AC175" s="271" t="str">
        <f>IF(AB175="","",'Sales Dashboard'!AN174)</f>
        <v/>
      </c>
      <c r="AD175" s="271" t="str">
        <f>IF(AB175="","",'Sales Dashboard'!AO174)</f>
        <v/>
      </c>
      <c r="AE175" s="281" cm="1">
        <f t="array" ref="AE175">IF(OR(AB175="",NOT(ISNUMBER('Sales Dashboard'!BF174))),0,SUMPRODUCT((IFERROR(--'Sales and count'!$G$2:$CC$2,0)=$C$4)*('Sales and count'!$G$3:$CC$3="Total"),INDEX('Sales and count'!$G$4:$CC$300,'Sales Dashboard'!BF174,0)))</f>
        <v>0</v>
      </c>
      <c r="AF175" s="281" cm="1">
        <f t="array" ref="AF175">IF(OR(AB175="",NOT(ISNUMBER('Sales Dashboard'!BG174))),0,SUMPRODUCT(('TY Sales Target'!$K$2:$AO$2=$C$4)*1,INDEX('TY Sales Target'!$K$5:$AO$300,'Sales Dashboard'!BG174,0)))</f>
        <v>0</v>
      </c>
      <c r="AG175" s="281" cm="1">
        <f t="array" ref="AG175">IF(AB175="",0,SUMPRODUCT((TRIM('LY Sales '!$B$5:$B$200)=AB175)*('LY Sales '!$C$2:$AG$2=EDATE($C$4,-12)),'LY Sales '!$C$5:$AG$200))</f>
        <v>0</v>
      </c>
      <c r="AH175" s="271">
        <f t="shared" si="64"/>
        <v>0</v>
      </c>
      <c r="AI175" s="271">
        <f t="shared" si="65"/>
        <v>0</v>
      </c>
      <c r="AJ175" s="271">
        <f t="shared" si="66"/>
        <v>0</v>
      </c>
      <c r="AK175" s="271">
        <f t="shared" si="67"/>
        <v>0</v>
      </c>
      <c r="AL175" s="271">
        <f t="shared" si="68"/>
        <v>0</v>
      </c>
      <c r="AM175" s="306" cm="1">
        <f t="array" ref="AM175">IF(OR(AB175="",NOT(ISNUMBER('Sales Dashboard'!BF174))),0,SUMPRODUCT((IFERROR(--'Sales and count'!$G$2:$CC$2,0)=$F$4)*('Sales and count'!$G$3:$CC$3="Total"),INDEX('Sales and count'!$G$4:$CC$300,'Sales Dashboard'!BF174,0)))</f>
        <v>0</v>
      </c>
      <c r="AN175" s="306" cm="1">
        <f t="array" ref="AN175">IF(OR(AB175="",NOT(ISNUMBER('Sales Dashboard'!BG174))),0,SUMPRODUCT(('TY Sales Target'!$K$2:$AO$2=$F$4)*1,INDEX('TY Sales Target'!$K$5:$AO$300,'Sales Dashboard'!BG174,0)))</f>
        <v>0</v>
      </c>
      <c r="AO175" s="306" cm="1">
        <f t="array" ref="AO175">IF(AB175="",0,SUMPRODUCT((TRIM('LY Sales '!$B$5:$B$200)=AB175)*('LY Sales '!$C$2:$AG$2=EDATE($F$4,-12)),'LY Sales '!$C$5:$AG$200))</f>
        <v>0</v>
      </c>
      <c r="AP175">
        <f t="shared" si="69"/>
        <v>0</v>
      </c>
      <c r="AQ175">
        <f t="shared" si="70"/>
        <v>0</v>
      </c>
      <c r="AR175">
        <f t="shared" si="71"/>
        <v>0</v>
      </c>
      <c r="AS175">
        <f t="shared" si="72"/>
        <v>0</v>
      </c>
    </row>
    <row r="176" spans="1:45" x14ac:dyDescent="0.25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  <c r="AA176" s="271"/>
      <c r="AB176" s="271" t="str">
        <f>IF('Sales Dashboard'!AW175="","",'Sales Dashboard'!AW175)</f>
        <v/>
      </c>
      <c r="AC176" s="271" t="str">
        <f>IF(AB176="","",'Sales Dashboard'!AN175)</f>
        <v/>
      </c>
      <c r="AD176" s="271" t="str">
        <f>IF(AB176="","",'Sales Dashboard'!AO175)</f>
        <v/>
      </c>
      <c r="AE176" s="281" cm="1">
        <f t="array" ref="AE176">IF(OR(AB176="",NOT(ISNUMBER('Sales Dashboard'!BF175))),0,SUMPRODUCT((IFERROR(--'Sales and count'!$G$2:$CC$2,0)=$C$4)*('Sales and count'!$G$3:$CC$3="Total"),INDEX('Sales and count'!$G$4:$CC$300,'Sales Dashboard'!BF175,0)))</f>
        <v>0</v>
      </c>
      <c r="AF176" s="281" cm="1">
        <f t="array" ref="AF176">IF(OR(AB176="",NOT(ISNUMBER('Sales Dashboard'!BG175))),0,SUMPRODUCT(('TY Sales Target'!$K$2:$AO$2=$C$4)*1,INDEX('TY Sales Target'!$K$5:$AO$300,'Sales Dashboard'!BG175,0)))</f>
        <v>0</v>
      </c>
      <c r="AG176" s="281" cm="1">
        <f t="array" ref="AG176">IF(AB176="",0,SUMPRODUCT((TRIM('LY Sales '!$B$5:$B$200)=AB176)*('LY Sales '!$C$2:$AG$2=EDATE($C$4,-12)),'LY Sales '!$C$5:$AG$200))</f>
        <v>0</v>
      </c>
      <c r="AH176" s="271">
        <f t="shared" si="64"/>
        <v>0</v>
      </c>
      <c r="AI176" s="271">
        <f t="shared" si="65"/>
        <v>0</v>
      </c>
      <c r="AJ176" s="271">
        <f t="shared" si="66"/>
        <v>0</v>
      </c>
      <c r="AK176" s="271">
        <f t="shared" si="67"/>
        <v>0</v>
      </c>
      <c r="AL176" s="271">
        <f t="shared" si="68"/>
        <v>0</v>
      </c>
      <c r="AM176" s="306" cm="1">
        <f t="array" ref="AM176">IF(OR(AB176="",NOT(ISNUMBER('Sales Dashboard'!BF175))),0,SUMPRODUCT((IFERROR(--'Sales and count'!$G$2:$CC$2,0)=$F$4)*('Sales and count'!$G$3:$CC$3="Total"),INDEX('Sales and count'!$G$4:$CC$300,'Sales Dashboard'!BF175,0)))</f>
        <v>0</v>
      </c>
      <c r="AN176" s="306" cm="1">
        <f t="array" ref="AN176">IF(OR(AB176="",NOT(ISNUMBER('Sales Dashboard'!BG175))),0,SUMPRODUCT(('TY Sales Target'!$K$2:$AO$2=$F$4)*1,INDEX('TY Sales Target'!$K$5:$AO$300,'Sales Dashboard'!BG175,0)))</f>
        <v>0</v>
      </c>
      <c r="AO176" s="306" cm="1">
        <f t="array" ref="AO176">IF(AB176="",0,SUMPRODUCT((TRIM('LY Sales '!$B$5:$B$200)=AB176)*('LY Sales '!$C$2:$AG$2=EDATE($F$4,-12)),'LY Sales '!$C$5:$AG$200))</f>
        <v>0</v>
      </c>
      <c r="AP176">
        <f t="shared" si="69"/>
        <v>0</v>
      </c>
      <c r="AQ176">
        <f t="shared" si="70"/>
        <v>0</v>
      </c>
      <c r="AR176">
        <f t="shared" si="71"/>
        <v>0</v>
      </c>
      <c r="AS176">
        <f t="shared" si="72"/>
        <v>0</v>
      </c>
    </row>
    <row r="177" spans="1:45" x14ac:dyDescent="0.25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  <c r="AA177" s="271"/>
      <c r="AB177" s="271" t="str">
        <f>IF('Sales Dashboard'!AW176="","",'Sales Dashboard'!AW176)</f>
        <v/>
      </c>
      <c r="AC177" s="271" t="str">
        <f>IF(AB177="","",'Sales Dashboard'!AN176)</f>
        <v/>
      </c>
      <c r="AD177" s="271" t="str">
        <f>IF(AB177="","",'Sales Dashboard'!AO176)</f>
        <v/>
      </c>
      <c r="AE177" s="281" cm="1">
        <f t="array" ref="AE177">IF(OR(AB177="",NOT(ISNUMBER('Sales Dashboard'!BF176))),0,SUMPRODUCT((IFERROR(--'Sales and count'!$G$2:$CC$2,0)=$C$4)*('Sales and count'!$G$3:$CC$3="Total"),INDEX('Sales and count'!$G$4:$CC$300,'Sales Dashboard'!BF176,0)))</f>
        <v>0</v>
      </c>
      <c r="AF177" s="281" cm="1">
        <f t="array" ref="AF177">IF(OR(AB177="",NOT(ISNUMBER('Sales Dashboard'!BG176))),0,SUMPRODUCT(('TY Sales Target'!$K$2:$AO$2=$C$4)*1,INDEX('TY Sales Target'!$K$5:$AO$300,'Sales Dashboard'!BG176,0)))</f>
        <v>0</v>
      </c>
      <c r="AG177" s="281" cm="1">
        <f t="array" ref="AG177">IF(AB177="",0,SUMPRODUCT((TRIM('LY Sales '!$B$5:$B$200)=AB177)*('LY Sales '!$C$2:$AG$2=EDATE($C$4,-12)),'LY Sales '!$C$5:$AG$200))</f>
        <v>0</v>
      </c>
      <c r="AH177" s="271">
        <f t="shared" si="64"/>
        <v>0</v>
      </c>
      <c r="AI177" s="271">
        <f t="shared" si="65"/>
        <v>0</v>
      </c>
      <c r="AJ177" s="271">
        <f t="shared" si="66"/>
        <v>0</v>
      </c>
      <c r="AK177" s="271">
        <f t="shared" si="67"/>
        <v>0</v>
      </c>
      <c r="AL177" s="271">
        <f t="shared" si="68"/>
        <v>0</v>
      </c>
      <c r="AM177" s="306" cm="1">
        <f t="array" ref="AM177">IF(OR(AB177="",NOT(ISNUMBER('Sales Dashboard'!BF176))),0,SUMPRODUCT((IFERROR(--'Sales and count'!$G$2:$CC$2,0)=$F$4)*('Sales and count'!$G$3:$CC$3="Total"),INDEX('Sales and count'!$G$4:$CC$300,'Sales Dashboard'!BF176,0)))</f>
        <v>0</v>
      </c>
      <c r="AN177" s="306" cm="1">
        <f t="array" ref="AN177">IF(OR(AB177="",NOT(ISNUMBER('Sales Dashboard'!BG176))),0,SUMPRODUCT(('TY Sales Target'!$K$2:$AO$2=$F$4)*1,INDEX('TY Sales Target'!$K$5:$AO$300,'Sales Dashboard'!BG176,0)))</f>
        <v>0</v>
      </c>
      <c r="AO177" s="306" cm="1">
        <f t="array" ref="AO177">IF(AB177="",0,SUMPRODUCT((TRIM('LY Sales '!$B$5:$B$200)=AB177)*('LY Sales '!$C$2:$AG$2=EDATE($F$4,-12)),'LY Sales '!$C$5:$AG$200))</f>
        <v>0</v>
      </c>
      <c r="AP177">
        <f t="shared" si="69"/>
        <v>0</v>
      </c>
      <c r="AQ177">
        <f t="shared" si="70"/>
        <v>0</v>
      </c>
      <c r="AR177">
        <f t="shared" si="71"/>
        <v>0</v>
      </c>
      <c r="AS177">
        <f t="shared" si="72"/>
        <v>0</v>
      </c>
    </row>
    <row r="178" spans="1:45" x14ac:dyDescent="0.25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  <c r="AA178" s="271"/>
      <c r="AB178" s="271" t="str">
        <f>IF('Sales Dashboard'!AW177="","",'Sales Dashboard'!AW177)</f>
        <v/>
      </c>
      <c r="AC178" s="271" t="str">
        <f>IF(AB178="","",'Sales Dashboard'!AN177)</f>
        <v/>
      </c>
      <c r="AD178" s="271" t="str">
        <f>IF(AB178="","",'Sales Dashboard'!AO177)</f>
        <v/>
      </c>
      <c r="AE178" s="281" cm="1">
        <f t="array" ref="AE178">IF(OR(AB178="",NOT(ISNUMBER('Sales Dashboard'!BF177))),0,SUMPRODUCT((IFERROR(--'Sales and count'!$G$2:$CC$2,0)=$C$4)*('Sales and count'!$G$3:$CC$3="Total"),INDEX('Sales and count'!$G$4:$CC$300,'Sales Dashboard'!BF177,0)))</f>
        <v>0</v>
      </c>
      <c r="AF178" s="281" cm="1">
        <f t="array" ref="AF178">IF(OR(AB178="",NOT(ISNUMBER('Sales Dashboard'!BG177))),0,SUMPRODUCT(('TY Sales Target'!$K$2:$AO$2=$C$4)*1,INDEX('TY Sales Target'!$K$5:$AO$300,'Sales Dashboard'!BG177,0)))</f>
        <v>0</v>
      </c>
      <c r="AG178" s="281" cm="1">
        <f t="array" ref="AG178">IF(AB178="",0,SUMPRODUCT((TRIM('LY Sales '!$B$5:$B$200)=AB178)*('LY Sales '!$C$2:$AG$2=EDATE($C$4,-12)),'LY Sales '!$C$5:$AG$200))</f>
        <v>0</v>
      </c>
      <c r="AH178" s="271">
        <f t="shared" si="64"/>
        <v>0</v>
      </c>
      <c r="AI178" s="271">
        <f t="shared" si="65"/>
        <v>0</v>
      </c>
      <c r="AJ178" s="271">
        <f t="shared" si="66"/>
        <v>0</v>
      </c>
      <c r="AK178" s="271">
        <f t="shared" si="67"/>
        <v>0</v>
      </c>
      <c r="AL178" s="271">
        <f t="shared" si="68"/>
        <v>0</v>
      </c>
      <c r="AM178" s="306" cm="1">
        <f t="array" ref="AM178">IF(OR(AB178="",NOT(ISNUMBER('Sales Dashboard'!BF177))),0,SUMPRODUCT((IFERROR(--'Sales and count'!$G$2:$CC$2,0)=$F$4)*('Sales and count'!$G$3:$CC$3="Total"),INDEX('Sales and count'!$G$4:$CC$300,'Sales Dashboard'!BF177,0)))</f>
        <v>0</v>
      </c>
      <c r="AN178" s="306" cm="1">
        <f t="array" ref="AN178">IF(OR(AB178="",NOT(ISNUMBER('Sales Dashboard'!BG177))),0,SUMPRODUCT(('TY Sales Target'!$K$2:$AO$2=$F$4)*1,INDEX('TY Sales Target'!$K$5:$AO$300,'Sales Dashboard'!BG177,0)))</f>
        <v>0</v>
      </c>
      <c r="AO178" s="306" cm="1">
        <f t="array" ref="AO178">IF(AB178="",0,SUMPRODUCT((TRIM('LY Sales '!$B$5:$B$200)=AB178)*('LY Sales '!$C$2:$AG$2=EDATE($F$4,-12)),'LY Sales '!$C$5:$AG$200))</f>
        <v>0</v>
      </c>
      <c r="AP178">
        <f t="shared" si="69"/>
        <v>0</v>
      </c>
      <c r="AQ178">
        <f t="shared" si="70"/>
        <v>0</v>
      </c>
      <c r="AR178">
        <f t="shared" si="71"/>
        <v>0</v>
      </c>
      <c r="AS178">
        <f t="shared" si="72"/>
        <v>0</v>
      </c>
    </row>
    <row r="179" spans="1:45" x14ac:dyDescent="0.25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  <c r="AA179" s="271"/>
      <c r="AB179" s="271" t="str">
        <f>IF('Sales Dashboard'!AW178="","",'Sales Dashboard'!AW178)</f>
        <v/>
      </c>
      <c r="AC179" s="271" t="str">
        <f>IF(AB179="","",'Sales Dashboard'!AN178)</f>
        <v/>
      </c>
      <c r="AD179" s="271" t="str">
        <f>IF(AB179="","",'Sales Dashboard'!AO178)</f>
        <v/>
      </c>
      <c r="AE179" s="281" cm="1">
        <f t="array" ref="AE179">IF(OR(AB179="",NOT(ISNUMBER('Sales Dashboard'!BF178))),0,SUMPRODUCT((IFERROR(--'Sales and count'!$G$2:$CC$2,0)=$C$4)*('Sales and count'!$G$3:$CC$3="Total"),INDEX('Sales and count'!$G$4:$CC$300,'Sales Dashboard'!BF178,0)))</f>
        <v>0</v>
      </c>
      <c r="AF179" s="281" cm="1">
        <f t="array" ref="AF179">IF(OR(AB179="",NOT(ISNUMBER('Sales Dashboard'!BG178))),0,SUMPRODUCT(('TY Sales Target'!$K$2:$AO$2=$C$4)*1,INDEX('TY Sales Target'!$K$5:$AO$300,'Sales Dashboard'!BG178,0)))</f>
        <v>0</v>
      </c>
      <c r="AG179" s="281" cm="1">
        <f t="array" ref="AG179">IF(AB179="",0,SUMPRODUCT((TRIM('LY Sales '!$B$5:$B$200)=AB179)*('LY Sales '!$C$2:$AG$2=EDATE($C$4,-12)),'LY Sales '!$C$5:$AG$200))</f>
        <v>0</v>
      </c>
      <c r="AH179" s="271">
        <f t="shared" si="64"/>
        <v>0</v>
      </c>
      <c r="AI179" s="271">
        <f t="shared" si="65"/>
        <v>0</v>
      </c>
      <c r="AJ179" s="271">
        <f t="shared" si="66"/>
        <v>0</v>
      </c>
      <c r="AK179" s="271">
        <f t="shared" si="67"/>
        <v>0</v>
      </c>
      <c r="AL179" s="271">
        <f t="shared" si="68"/>
        <v>0</v>
      </c>
      <c r="AM179" s="306" cm="1">
        <f t="array" ref="AM179">IF(OR(AB179="",NOT(ISNUMBER('Sales Dashboard'!BF178))),0,SUMPRODUCT((IFERROR(--'Sales and count'!$G$2:$CC$2,0)=$F$4)*('Sales and count'!$G$3:$CC$3="Total"),INDEX('Sales and count'!$G$4:$CC$300,'Sales Dashboard'!BF178,0)))</f>
        <v>0</v>
      </c>
      <c r="AN179" s="306" cm="1">
        <f t="array" ref="AN179">IF(OR(AB179="",NOT(ISNUMBER('Sales Dashboard'!BG178))),0,SUMPRODUCT(('TY Sales Target'!$K$2:$AO$2=$F$4)*1,INDEX('TY Sales Target'!$K$5:$AO$300,'Sales Dashboard'!BG178,0)))</f>
        <v>0</v>
      </c>
      <c r="AO179" s="306" cm="1">
        <f t="array" ref="AO179">IF(AB179="",0,SUMPRODUCT((TRIM('LY Sales '!$B$5:$B$200)=AB179)*('LY Sales '!$C$2:$AG$2=EDATE($F$4,-12)),'LY Sales '!$C$5:$AG$200))</f>
        <v>0</v>
      </c>
      <c r="AP179">
        <f t="shared" si="69"/>
        <v>0</v>
      </c>
      <c r="AQ179">
        <f t="shared" si="70"/>
        <v>0</v>
      </c>
      <c r="AR179">
        <f t="shared" si="71"/>
        <v>0</v>
      </c>
      <c r="AS179">
        <f t="shared" si="72"/>
        <v>0</v>
      </c>
    </row>
    <row r="180" spans="1:45" x14ac:dyDescent="0.25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  <c r="AA180" s="271"/>
      <c r="AB180" s="271" t="str">
        <f>IF('Sales Dashboard'!AW179="","",'Sales Dashboard'!AW179)</f>
        <v/>
      </c>
      <c r="AC180" s="271" t="str">
        <f>IF(AB180="","",'Sales Dashboard'!AN179)</f>
        <v/>
      </c>
      <c r="AD180" s="271" t="str">
        <f>IF(AB180="","",'Sales Dashboard'!AO179)</f>
        <v/>
      </c>
      <c r="AE180" s="281" cm="1">
        <f t="array" ref="AE180">IF(OR(AB180="",NOT(ISNUMBER('Sales Dashboard'!BF179))),0,SUMPRODUCT((IFERROR(--'Sales and count'!$G$2:$CC$2,0)=$C$4)*('Sales and count'!$G$3:$CC$3="Total"),INDEX('Sales and count'!$G$4:$CC$300,'Sales Dashboard'!BF179,0)))</f>
        <v>0</v>
      </c>
      <c r="AF180" s="281" cm="1">
        <f t="array" ref="AF180">IF(OR(AB180="",NOT(ISNUMBER('Sales Dashboard'!BG179))),0,SUMPRODUCT(('TY Sales Target'!$K$2:$AO$2=$C$4)*1,INDEX('TY Sales Target'!$K$5:$AO$300,'Sales Dashboard'!BG179,0)))</f>
        <v>0</v>
      </c>
      <c r="AG180" s="281" cm="1">
        <f t="array" ref="AG180">IF(AB180="",0,SUMPRODUCT((TRIM('LY Sales '!$B$5:$B$200)=AB180)*('LY Sales '!$C$2:$AG$2=EDATE($C$4,-12)),'LY Sales '!$C$5:$AG$200))</f>
        <v>0</v>
      </c>
      <c r="AH180" s="271">
        <f t="shared" si="64"/>
        <v>0</v>
      </c>
      <c r="AI180" s="271">
        <f t="shared" si="65"/>
        <v>0</v>
      </c>
      <c r="AJ180" s="271">
        <f t="shared" si="66"/>
        <v>0</v>
      </c>
      <c r="AK180" s="271">
        <f t="shared" si="67"/>
        <v>0</v>
      </c>
      <c r="AL180" s="271">
        <f t="shared" si="68"/>
        <v>0</v>
      </c>
      <c r="AM180" s="306" cm="1">
        <f t="array" ref="AM180">IF(OR(AB180="",NOT(ISNUMBER('Sales Dashboard'!BF179))),0,SUMPRODUCT((IFERROR(--'Sales and count'!$G$2:$CC$2,0)=$F$4)*('Sales and count'!$G$3:$CC$3="Total"),INDEX('Sales and count'!$G$4:$CC$300,'Sales Dashboard'!BF179,0)))</f>
        <v>0</v>
      </c>
      <c r="AN180" s="306" cm="1">
        <f t="array" ref="AN180">IF(OR(AB180="",NOT(ISNUMBER('Sales Dashboard'!BG179))),0,SUMPRODUCT(('TY Sales Target'!$K$2:$AO$2=$F$4)*1,INDEX('TY Sales Target'!$K$5:$AO$300,'Sales Dashboard'!BG179,0)))</f>
        <v>0</v>
      </c>
      <c r="AO180" s="306" cm="1">
        <f t="array" ref="AO180">IF(AB180="",0,SUMPRODUCT((TRIM('LY Sales '!$B$5:$B$200)=AB180)*('LY Sales '!$C$2:$AG$2=EDATE($F$4,-12)),'LY Sales '!$C$5:$AG$200))</f>
        <v>0</v>
      </c>
      <c r="AP180">
        <f t="shared" si="69"/>
        <v>0</v>
      </c>
      <c r="AQ180">
        <f t="shared" si="70"/>
        <v>0</v>
      </c>
      <c r="AR180">
        <f t="shared" si="71"/>
        <v>0</v>
      </c>
      <c r="AS180">
        <f t="shared" si="72"/>
        <v>0</v>
      </c>
    </row>
    <row r="181" spans="1:45" x14ac:dyDescent="0.25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  <c r="AA181" s="271"/>
      <c r="AB181" s="271" t="str">
        <f>IF('Sales Dashboard'!AW180="","",'Sales Dashboard'!AW180)</f>
        <v/>
      </c>
      <c r="AC181" s="271" t="str">
        <f>IF(AB181="","",'Sales Dashboard'!AN180)</f>
        <v/>
      </c>
      <c r="AD181" s="271" t="str">
        <f>IF(AB181="","",'Sales Dashboard'!AO180)</f>
        <v/>
      </c>
      <c r="AE181" s="281" cm="1">
        <f t="array" ref="AE181">IF(OR(AB181="",NOT(ISNUMBER('Sales Dashboard'!BF180))),0,SUMPRODUCT((IFERROR(--'Sales and count'!$G$2:$CC$2,0)=$C$4)*('Sales and count'!$G$3:$CC$3="Total"),INDEX('Sales and count'!$G$4:$CC$300,'Sales Dashboard'!BF180,0)))</f>
        <v>0</v>
      </c>
      <c r="AF181" s="281" cm="1">
        <f t="array" ref="AF181">IF(OR(AB181="",NOT(ISNUMBER('Sales Dashboard'!BG180))),0,SUMPRODUCT(('TY Sales Target'!$K$2:$AO$2=$C$4)*1,INDEX('TY Sales Target'!$K$5:$AO$300,'Sales Dashboard'!BG180,0)))</f>
        <v>0</v>
      </c>
      <c r="AG181" s="281" cm="1">
        <f t="array" ref="AG181">IF(AB181="",0,SUMPRODUCT((TRIM('LY Sales '!$B$5:$B$200)=AB181)*('LY Sales '!$C$2:$AG$2=EDATE($C$4,-12)),'LY Sales '!$C$5:$AG$200))</f>
        <v>0</v>
      </c>
      <c r="AH181" s="271">
        <f t="shared" si="64"/>
        <v>0</v>
      </c>
      <c r="AI181" s="271">
        <f t="shared" si="65"/>
        <v>0</v>
      </c>
      <c r="AJ181" s="271">
        <f t="shared" si="66"/>
        <v>0</v>
      </c>
      <c r="AK181" s="271">
        <f t="shared" si="67"/>
        <v>0</v>
      </c>
      <c r="AL181" s="271">
        <f t="shared" si="68"/>
        <v>0</v>
      </c>
      <c r="AM181" s="306" cm="1">
        <f t="array" ref="AM181">IF(OR(AB181="",NOT(ISNUMBER('Sales Dashboard'!BF180))),0,SUMPRODUCT((IFERROR(--'Sales and count'!$G$2:$CC$2,0)=$F$4)*('Sales and count'!$G$3:$CC$3="Total"),INDEX('Sales and count'!$G$4:$CC$300,'Sales Dashboard'!BF180,0)))</f>
        <v>0</v>
      </c>
      <c r="AN181" s="306" cm="1">
        <f t="array" ref="AN181">IF(OR(AB181="",NOT(ISNUMBER('Sales Dashboard'!BG180))),0,SUMPRODUCT(('TY Sales Target'!$K$2:$AO$2=$F$4)*1,INDEX('TY Sales Target'!$K$5:$AO$300,'Sales Dashboard'!BG180,0)))</f>
        <v>0</v>
      </c>
      <c r="AO181" s="306" cm="1">
        <f t="array" ref="AO181">IF(AB181="",0,SUMPRODUCT((TRIM('LY Sales '!$B$5:$B$200)=AB181)*('LY Sales '!$C$2:$AG$2=EDATE($F$4,-12)),'LY Sales '!$C$5:$AG$200))</f>
        <v>0</v>
      </c>
      <c r="AP181">
        <f t="shared" si="69"/>
        <v>0</v>
      </c>
      <c r="AQ181">
        <f t="shared" si="70"/>
        <v>0</v>
      </c>
      <c r="AR181">
        <f t="shared" si="71"/>
        <v>0</v>
      </c>
      <c r="AS181">
        <f t="shared" si="72"/>
        <v>0</v>
      </c>
    </row>
    <row r="182" spans="1:45" x14ac:dyDescent="0.25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  <c r="AA182" s="271"/>
      <c r="AB182" s="271" t="str">
        <f>IF('Sales Dashboard'!AW181="","",'Sales Dashboard'!AW181)</f>
        <v/>
      </c>
      <c r="AC182" s="271" t="str">
        <f>IF(AB182="","",'Sales Dashboard'!AN181)</f>
        <v/>
      </c>
      <c r="AD182" s="271" t="str">
        <f>IF(AB182="","",'Sales Dashboard'!AO181)</f>
        <v/>
      </c>
      <c r="AE182" s="281" cm="1">
        <f t="array" ref="AE182">IF(OR(AB182="",NOT(ISNUMBER('Sales Dashboard'!BF181))),0,SUMPRODUCT((IFERROR(--'Sales and count'!$G$2:$CC$2,0)=$C$4)*('Sales and count'!$G$3:$CC$3="Total"),INDEX('Sales and count'!$G$4:$CC$300,'Sales Dashboard'!BF181,0)))</f>
        <v>0</v>
      </c>
      <c r="AF182" s="281" cm="1">
        <f t="array" ref="AF182">IF(OR(AB182="",NOT(ISNUMBER('Sales Dashboard'!BG181))),0,SUMPRODUCT(('TY Sales Target'!$K$2:$AO$2=$C$4)*1,INDEX('TY Sales Target'!$K$5:$AO$300,'Sales Dashboard'!BG181,0)))</f>
        <v>0</v>
      </c>
      <c r="AG182" s="281" cm="1">
        <f t="array" ref="AG182">IF(AB182="",0,SUMPRODUCT((TRIM('LY Sales '!$B$5:$B$200)=AB182)*('LY Sales '!$C$2:$AG$2=EDATE($C$4,-12)),'LY Sales '!$C$5:$AG$200))</f>
        <v>0</v>
      </c>
      <c r="AH182" s="271">
        <f t="shared" si="64"/>
        <v>0</v>
      </c>
      <c r="AI182" s="271">
        <f t="shared" si="65"/>
        <v>0</v>
      </c>
      <c r="AJ182" s="271">
        <f t="shared" si="66"/>
        <v>0</v>
      </c>
      <c r="AK182" s="271">
        <f t="shared" si="67"/>
        <v>0</v>
      </c>
      <c r="AL182" s="271">
        <f t="shared" si="68"/>
        <v>0</v>
      </c>
      <c r="AM182" s="306" cm="1">
        <f t="array" ref="AM182">IF(OR(AB182="",NOT(ISNUMBER('Sales Dashboard'!BF181))),0,SUMPRODUCT((IFERROR(--'Sales and count'!$G$2:$CC$2,0)=$F$4)*('Sales and count'!$G$3:$CC$3="Total"),INDEX('Sales and count'!$G$4:$CC$300,'Sales Dashboard'!BF181,0)))</f>
        <v>0</v>
      </c>
      <c r="AN182" s="306" cm="1">
        <f t="array" ref="AN182">IF(OR(AB182="",NOT(ISNUMBER('Sales Dashboard'!BG181))),0,SUMPRODUCT(('TY Sales Target'!$K$2:$AO$2=$F$4)*1,INDEX('TY Sales Target'!$K$5:$AO$300,'Sales Dashboard'!BG181,0)))</f>
        <v>0</v>
      </c>
      <c r="AO182" s="306" cm="1">
        <f t="array" ref="AO182">IF(AB182="",0,SUMPRODUCT((TRIM('LY Sales '!$B$5:$B$200)=AB182)*('LY Sales '!$C$2:$AG$2=EDATE($F$4,-12)),'LY Sales '!$C$5:$AG$200))</f>
        <v>0</v>
      </c>
      <c r="AP182">
        <f t="shared" si="69"/>
        <v>0</v>
      </c>
      <c r="AQ182">
        <f t="shared" si="70"/>
        <v>0</v>
      </c>
      <c r="AR182">
        <f t="shared" si="71"/>
        <v>0</v>
      </c>
      <c r="AS182">
        <f t="shared" si="72"/>
        <v>0</v>
      </c>
    </row>
    <row r="183" spans="1:45" x14ac:dyDescent="0.25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  <c r="AA183" s="271"/>
      <c r="AB183" s="271" t="str">
        <f>IF('Sales Dashboard'!AW182="","",'Sales Dashboard'!AW182)</f>
        <v/>
      </c>
      <c r="AC183" s="271" t="str">
        <f>IF(AB183="","",'Sales Dashboard'!AN182)</f>
        <v/>
      </c>
      <c r="AD183" s="271" t="str">
        <f>IF(AB183="","",'Sales Dashboard'!AO182)</f>
        <v/>
      </c>
      <c r="AE183" s="281" cm="1">
        <f t="array" ref="AE183">IF(OR(AB183="",NOT(ISNUMBER('Sales Dashboard'!BF182))),0,SUMPRODUCT((IFERROR(--'Sales and count'!$G$2:$CC$2,0)=$C$4)*('Sales and count'!$G$3:$CC$3="Total"),INDEX('Sales and count'!$G$4:$CC$300,'Sales Dashboard'!BF182,0)))</f>
        <v>0</v>
      </c>
      <c r="AF183" s="281" cm="1">
        <f t="array" ref="AF183">IF(OR(AB183="",NOT(ISNUMBER('Sales Dashboard'!BG182))),0,SUMPRODUCT(('TY Sales Target'!$K$2:$AO$2=$C$4)*1,INDEX('TY Sales Target'!$K$5:$AO$300,'Sales Dashboard'!BG182,0)))</f>
        <v>0</v>
      </c>
      <c r="AG183" s="281" cm="1">
        <f t="array" ref="AG183">IF(AB183="",0,SUMPRODUCT((TRIM('LY Sales '!$B$5:$B$200)=AB183)*('LY Sales '!$C$2:$AG$2=EDATE($C$4,-12)),'LY Sales '!$C$5:$AG$200))</f>
        <v>0</v>
      </c>
      <c r="AH183" s="271">
        <f t="shared" si="64"/>
        <v>0</v>
      </c>
      <c r="AI183" s="271">
        <f t="shared" si="65"/>
        <v>0</v>
      </c>
      <c r="AJ183" s="271">
        <f t="shared" si="66"/>
        <v>0</v>
      </c>
      <c r="AK183" s="271">
        <f t="shared" si="67"/>
        <v>0</v>
      </c>
      <c r="AL183" s="271">
        <f t="shared" si="68"/>
        <v>0</v>
      </c>
      <c r="AM183" s="306" cm="1">
        <f t="array" ref="AM183">IF(OR(AB183="",NOT(ISNUMBER('Sales Dashboard'!BF182))),0,SUMPRODUCT((IFERROR(--'Sales and count'!$G$2:$CC$2,0)=$F$4)*('Sales and count'!$G$3:$CC$3="Total"),INDEX('Sales and count'!$G$4:$CC$300,'Sales Dashboard'!BF182,0)))</f>
        <v>0</v>
      </c>
      <c r="AN183" s="306" cm="1">
        <f t="array" ref="AN183">IF(OR(AB183="",NOT(ISNUMBER('Sales Dashboard'!BG182))),0,SUMPRODUCT(('TY Sales Target'!$K$2:$AO$2=$F$4)*1,INDEX('TY Sales Target'!$K$5:$AO$300,'Sales Dashboard'!BG182,0)))</f>
        <v>0</v>
      </c>
      <c r="AO183" s="306" cm="1">
        <f t="array" ref="AO183">IF(AB183="",0,SUMPRODUCT((TRIM('LY Sales '!$B$5:$B$200)=AB183)*('LY Sales '!$C$2:$AG$2=EDATE($F$4,-12)),'LY Sales '!$C$5:$AG$200))</f>
        <v>0</v>
      </c>
      <c r="AP183">
        <f t="shared" si="69"/>
        <v>0</v>
      </c>
      <c r="AQ183">
        <f t="shared" si="70"/>
        <v>0</v>
      </c>
      <c r="AR183">
        <f t="shared" si="71"/>
        <v>0</v>
      </c>
      <c r="AS183">
        <f t="shared" si="72"/>
        <v>0</v>
      </c>
    </row>
    <row r="184" spans="1:45" x14ac:dyDescent="0.25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  <c r="AA184" s="271"/>
      <c r="AB184" s="271" t="str">
        <f>IF('Sales Dashboard'!AW183="","",'Sales Dashboard'!AW183)</f>
        <v/>
      </c>
      <c r="AC184" s="271" t="str">
        <f>IF(AB184="","",'Sales Dashboard'!AN183)</f>
        <v/>
      </c>
      <c r="AD184" s="271" t="str">
        <f>IF(AB184="","",'Sales Dashboard'!AO183)</f>
        <v/>
      </c>
      <c r="AE184" s="281" cm="1">
        <f t="array" ref="AE184">IF(OR(AB184="",NOT(ISNUMBER('Sales Dashboard'!BF183))),0,SUMPRODUCT((IFERROR(--'Sales and count'!$G$2:$CC$2,0)=$C$4)*('Sales and count'!$G$3:$CC$3="Total"),INDEX('Sales and count'!$G$4:$CC$300,'Sales Dashboard'!BF183,0)))</f>
        <v>0</v>
      </c>
      <c r="AF184" s="281" cm="1">
        <f t="array" ref="AF184">IF(OR(AB184="",NOT(ISNUMBER('Sales Dashboard'!BG183))),0,SUMPRODUCT(('TY Sales Target'!$K$2:$AO$2=$C$4)*1,INDEX('TY Sales Target'!$K$5:$AO$300,'Sales Dashboard'!BG183,0)))</f>
        <v>0</v>
      </c>
      <c r="AG184" s="281" cm="1">
        <f t="array" ref="AG184">IF(AB184="",0,SUMPRODUCT((TRIM('LY Sales '!$B$5:$B$200)=AB184)*('LY Sales '!$C$2:$AG$2=EDATE($C$4,-12)),'LY Sales '!$C$5:$AG$200))</f>
        <v>0</v>
      </c>
      <c r="AH184" s="271">
        <f t="shared" si="64"/>
        <v>0</v>
      </c>
      <c r="AI184" s="271">
        <f t="shared" si="65"/>
        <v>0</v>
      </c>
      <c r="AJ184" s="271">
        <f t="shared" si="66"/>
        <v>0</v>
      </c>
      <c r="AK184" s="271">
        <f t="shared" si="67"/>
        <v>0</v>
      </c>
      <c r="AL184" s="271">
        <f t="shared" si="68"/>
        <v>0</v>
      </c>
      <c r="AM184" s="306" cm="1">
        <f t="array" ref="AM184">IF(OR(AB184="",NOT(ISNUMBER('Sales Dashboard'!BF183))),0,SUMPRODUCT((IFERROR(--'Sales and count'!$G$2:$CC$2,0)=$F$4)*('Sales and count'!$G$3:$CC$3="Total"),INDEX('Sales and count'!$G$4:$CC$300,'Sales Dashboard'!BF183,0)))</f>
        <v>0</v>
      </c>
      <c r="AN184" s="306" cm="1">
        <f t="array" ref="AN184">IF(OR(AB184="",NOT(ISNUMBER('Sales Dashboard'!BG183))),0,SUMPRODUCT(('TY Sales Target'!$K$2:$AO$2=$F$4)*1,INDEX('TY Sales Target'!$K$5:$AO$300,'Sales Dashboard'!BG183,0)))</f>
        <v>0</v>
      </c>
      <c r="AO184" s="306" cm="1">
        <f t="array" ref="AO184">IF(AB184="",0,SUMPRODUCT((TRIM('LY Sales '!$B$5:$B$200)=AB184)*('LY Sales '!$C$2:$AG$2=EDATE($F$4,-12)),'LY Sales '!$C$5:$AG$200))</f>
        <v>0</v>
      </c>
      <c r="AP184">
        <f t="shared" si="69"/>
        <v>0</v>
      </c>
      <c r="AQ184">
        <f t="shared" si="70"/>
        <v>0</v>
      </c>
      <c r="AR184">
        <f t="shared" si="71"/>
        <v>0</v>
      </c>
      <c r="AS184">
        <f t="shared" si="72"/>
        <v>0</v>
      </c>
    </row>
    <row r="185" spans="1:45" x14ac:dyDescent="0.25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  <c r="AA185" s="271"/>
      <c r="AB185" s="271" t="str">
        <f>IF('Sales Dashboard'!AW184="","",'Sales Dashboard'!AW184)</f>
        <v/>
      </c>
      <c r="AC185" s="271" t="str">
        <f>IF(AB185="","",'Sales Dashboard'!AN184)</f>
        <v/>
      </c>
      <c r="AD185" s="271" t="str">
        <f>IF(AB185="","",'Sales Dashboard'!AO184)</f>
        <v/>
      </c>
      <c r="AE185" s="281" cm="1">
        <f t="array" ref="AE185">IF(OR(AB185="",NOT(ISNUMBER('Sales Dashboard'!BF184))),0,SUMPRODUCT((IFERROR(--'Sales and count'!$G$2:$CC$2,0)=$C$4)*('Sales and count'!$G$3:$CC$3="Total"),INDEX('Sales and count'!$G$4:$CC$300,'Sales Dashboard'!BF184,0)))</f>
        <v>0</v>
      </c>
      <c r="AF185" s="281" cm="1">
        <f t="array" ref="AF185">IF(OR(AB185="",NOT(ISNUMBER('Sales Dashboard'!BG184))),0,SUMPRODUCT(('TY Sales Target'!$K$2:$AO$2=$C$4)*1,INDEX('TY Sales Target'!$K$5:$AO$300,'Sales Dashboard'!BG184,0)))</f>
        <v>0</v>
      </c>
      <c r="AG185" s="281" cm="1">
        <f t="array" ref="AG185">IF(AB185="",0,SUMPRODUCT((TRIM('LY Sales '!$B$5:$B$200)=AB185)*('LY Sales '!$C$2:$AG$2=EDATE($C$4,-12)),'LY Sales '!$C$5:$AG$200))</f>
        <v>0</v>
      </c>
      <c r="AH185" s="271">
        <f t="shared" si="64"/>
        <v>0</v>
      </c>
      <c r="AI185" s="271">
        <f t="shared" si="65"/>
        <v>0</v>
      </c>
      <c r="AJ185" s="271">
        <f t="shared" si="66"/>
        <v>0</v>
      </c>
      <c r="AK185" s="271">
        <f t="shared" si="67"/>
        <v>0</v>
      </c>
      <c r="AL185" s="271">
        <f t="shared" si="68"/>
        <v>0</v>
      </c>
      <c r="AM185" s="306" cm="1">
        <f t="array" ref="AM185">IF(OR(AB185="",NOT(ISNUMBER('Sales Dashboard'!BF184))),0,SUMPRODUCT((IFERROR(--'Sales and count'!$G$2:$CC$2,0)=$F$4)*('Sales and count'!$G$3:$CC$3="Total"),INDEX('Sales and count'!$G$4:$CC$300,'Sales Dashboard'!BF184,0)))</f>
        <v>0</v>
      </c>
      <c r="AN185" s="306" cm="1">
        <f t="array" ref="AN185">IF(OR(AB185="",NOT(ISNUMBER('Sales Dashboard'!BG184))),0,SUMPRODUCT(('TY Sales Target'!$K$2:$AO$2=$F$4)*1,INDEX('TY Sales Target'!$K$5:$AO$300,'Sales Dashboard'!BG184,0)))</f>
        <v>0</v>
      </c>
      <c r="AO185" s="306" cm="1">
        <f t="array" ref="AO185">IF(AB185="",0,SUMPRODUCT((TRIM('LY Sales '!$B$5:$B$200)=AB185)*('LY Sales '!$C$2:$AG$2=EDATE($F$4,-12)),'LY Sales '!$C$5:$AG$200))</f>
        <v>0</v>
      </c>
      <c r="AP185">
        <f t="shared" si="69"/>
        <v>0</v>
      </c>
      <c r="AQ185">
        <f t="shared" si="70"/>
        <v>0</v>
      </c>
      <c r="AR185">
        <f t="shared" si="71"/>
        <v>0</v>
      </c>
      <c r="AS185">
        <f t="shared" si="72"/>
        <v>0</v>
      </c>
    </row>
    <row r="186" spans="1:45" x14ac:dyDescent="0.25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  <c r="AA186" s="271"/>
      <c r="AB186" s="271" t="str">
        <f>IF('Sales Dashboard'!AW185="","",'Sales Dashboard'!AW185)</f>
        <v/>
      </c>
      <c r="AC186" s="271" t="str">
        <f>IF(AB186="","",'Sales Dashboard'!AN185)</f>
        <v/>
      </c>
      <c r="AD186" s="271" t="str">
        <f>IF(AB186="","",'Sales Dashboard'!AO185)</f>
        <v/>
      </c>
      <c r="AE186" s="281" cm="1">
        <f t="array" ref="AE186">IF(OR(AB186="",NOT(ISNUMBER('Sales Dashboard'!BF185))),0,SUMPRODUCT((IFERROR(--'Sales and count'!$G$2:$CC$2,0)=$C$4)*('Sales and count'!$G$3:$CC$3="Total"),INDEX('Sales and count'!$G$4:$CC$300,'Sales Dashboard'!BF185,0)))</f>
        <v>0</v>
      </c>
      <c r="AF186" s="281" cm="1">
        <f t="array" ref="AF186">IF(OR(AB186="",NOT(ISNUMBER('Sales Dashboard'!BG185))),0,SUMPRODUCT(('TY Sales Target'!$K$2:$AO$2=$C$4)*1,INDEX('TY Sales Target'!$K$5:$AO$300,'Sales Dashboard'!BG185,0)))</f>
        <v>0</v>
      </c>
      <c r="AG186" s="281" cm="1">
        <f t="array" ref="AG186">IF(AB186="",0,SUMPRODUCT((TRIM('LY Sales '!$B$5:$B$200)=AB186)*('LY Sales '!$C$2:$AG$2=EDATE($C$4,-12)),'LY Sales '!$C$5:$AG$200))</f>
        <v>0</v>
      </c>
      <c r="AH186" s="271">
        <f t="shared" si="64"/>
        <v>0</v>
      </c>
      <c r="AI186" s="271">
        <f t="shared" si="65"/>
        <v>0</v>
      </c>
      <c r="AJ186" s="271">
        <f t="shared" si="66"/>
        <v>0</v>
      </c>
      <c r="AK186" s="271">
        <f t="shared" si="67"/>
        <v>0</v>
      </c>
      <c r="AL186" s="271">
        <f t="shared" si="68"/>
        <v>0</v>
      </c>
      <c r="AM186" s="306" cm="1">
        <f t="array" ref="AM186">IF(OR(AB186="",NOT(ISNUMBER('Sales Dashboard'!BF185))),0,SUMPRODUCT((IFERROR(--'Sales and count'!$G$2:$CC$2,0)=$F$4)*('Sales and count'!$G$3:$CC$3="Total"),INDEX('Sales and count'!$G$4:$CC$300,'Sales Dashboard'!BF185,0)))</f>
        <v>0</v>
      </c>
      <c r="AN186" s="306" cm="1">
        <f t="array" ref="AN186">IF(OR(AB186="",NOT(ISNUMBER('Sales Dashboard'!BG185))),0,SUMPRODUCT(('TY Sales Target'!$K$2:$AO$2=$F$4)*1,INDEX('TY Sales Target'!$K$5:$AO$300,'Sales Dashboard'!BG185,0)))</f>
        <v>0</v>
      </c>
      <c r="AO186" s="306" cm="1">
        <f t="array" ref="AO186">IF(AB186="",0,SUMPRODUCT((TRIM('LY Sales '!$B$5:$B$200)=AB186)*('LY Sales '!$C$2:$AG$2=EDATE($F$4,-12)),'LY Sales '!$C$5:$AG$200))</f>
        <v>0</v>
      </c>
      <c r="AP186">
        <f t="shared" si="69"/>
        <v>0</v>
      </c>
      <c r="AQ186">
        <f t="shared" si="70"/>
        <v>0</v>
      </c>
      <c r="AR186">
        <f t="shared" si="71"/>
        <v>0</v>
      </c>
      <c r="AS186">
        <f t="shared" si="72"/>
        <v>0</v>
      </c>
    </row>
    <row r="187" spans="1:45" x14ac:dyDescent="0.25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  <c r="AA187" s="271"/>
      <c r="AB187" s="271" t="str">
        <f>IF('Sales Dashboard'!AW186="","",'Sales Dashboard'!AW186)</f>
        <v/>
      </c>
      <c r="AC187" s="271" t="str">
        <f>IF(AB187="","",'Sales Dashboard'!AN186)</f>
        <v/>
      </c>
      <c r="AD187" s="271" t="str">
        <f>IF(AB187="","",'Sales Dashboard'!AO186)</f>
        <v/>
      </c>
      <c r="AE187" s="281" cm="1">
        <f t="array" ref="AE187">IF(OR(AB187="",NOT(ISNUMBER('Sales Dashboard'!BF186))),0,SUMPRODUCT((IFERROR(--'Sales and count'!$G$2:$CC$2,0)=$C$4)*('Sales and count'!$G$3:$CC$3="Total"),INDEX('Sales and count'!$G$4:$CC$300,'Sales Dashboard'!BF186,0)))</f>
        <v>0</v>
      </c>
      <c r="AF187" s="281" cm="1">
        <f t="array" ref="AF187">IF(OR(AB187="",NOT(ISNUMBER('Sales Dashboard'!BG186))),0,SUMPRODUCT(('TY Sales Target'!$K$2:$AO$2=$C$4)*1,INDEX('TY Sales Target'!$K$5:$AO$300,'Sales Dashboard'!BG186,0)))</f>
        <v>0</v>
      </c>
      <c r="AG187" s="281" cm="1">
        <f t="array" ref="AG187">IF(AB187="",0,SUMPRODUCT((TRIM('LY Sales '!$B$5:$B$200)=AB187)*('LY Sales '!$C$2:$AG$2=EDATE($C$4,-12)),'LY Sales '!$C$5:$AG$200))</f>
        <v>0</v>
      </c>
      <c r="AH187" s="271">
        <f t="shared" si="64"/>
        <v>0</v>
      </c>
      <c r="AI187" s="271">
        <f t="shared" si="65"/>
        <v>0</v>
      </c>
      <c r="AJ187" s="271">
        <f t="shared" si="66"/>
        <v>0</v>
      </c>
      <c r="AK187" s="271">
        <f t="shared" si="67"/>
        <v>0</v>
      </c>
      <c r="AL187" s="271">
        <f t="shared" si="68"/>
        <v>0</v>
      </c>
      <c r="AM187" s="306" cm="1">
        <f t="array" ref="AM187">IF(OR(AB187="",NOT(ISNUMBER('Sales Dashboard'!BF186))),0,SUMPRODUCT((IFERROR(--'Sales and count'!$G$2:$CC$2,0)=$F$4)*('Sales and count'!$G$3:$CC$3="Total"),INDEX('Sales and count'!$G$4:$CC$300,'Sales Dashboard'!BF186,0)))</f>
        <v>0</v>
      </c>
      <c r="AN187" s="306" cm="1">
        <f t="array" ref="AN187">IF(OR(AB187="",NOT(ISNUMBER('Sales Dashboard'!BG186))),0,SUMPRODUCT(('TY Sales Target'!$K$2:$AO$2=$F$4)*1,INDEX('TY Sales Target'!$K$5:$AO$300,'Sales Dashboard'!BG186,0)))</f>
        <v>0</v>
      </c>
      <c r="AO187" s="306" cm="1">
        <f t="array" ref="AO187">IF(AB187="",0,SUMPRODUCT((TRIM('LY Sales '!$B$5:$B$200)=AB187)*('LY Sales '!$C$2:$AG$2=EDATE($F$4,-12)),'LY Sales '!$C$5:$AG$200))</f>
        <v>0</v>
      </c>
      <c r="AP187">
        <f t="shared" si="69"/>
        <v>0</v>
      </c>
      <c r="AQ187">
        <f t="shared" si="70"/>
        <v>0</v>
      </c>
      <c r="AR187">
        <f t="shared" si="71"/>
        <v>0</v>
      </c>
      <c r="AS187">
        <f t="shared" si="72"/>
        <v>0</v>
      </c>
    </row>
    <row r="188" spans="1:45" x14ac:dyDescent="0.25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  <c r="AB188" s="271" t="str">
        <f>IF('Sales Dashboard'!AW187="","",'Sales Dashboard'!AW187)</f>
        <v/>
      </c>
      <c r="AC188" s="271" t="str">
        <f>IF(AB188="","",'Sales Dashboard'!AN187)</f>
        <v/>
      </c>
      <c r="AD188" s="271" t="str">
        <f>IF(AB188="","",'Sales Dashboard'!AO187)</f>
        <v/>
      </c>
      <c r="AE188" s="281" cm="1">
        <f t="array" ref="AE188">IF(OR(AB188="",NOT(ISNUMBER('Sales Dashboard'!BF187))),0,SUMPRODUCT((IFERROR(--'Sales and count'!$G$2:$CC$2,0)=$C$4)*('Sales and count'!$G$3:$CC$3="Total"),INDEX('Sales and count'!$G$4:$CC$300,'Sales Dashboard'!BF187,0)))</f>
        <v>0</v>
      </c>
      <c r="AF188" s="281" cm="1">
        <f t="array" ref="AF188">IF(OR(AB188="",NOT(ISNUMBER('Sales Dashboard'!BG187))),0,SUMPRODUCT(('TY Sales Target'!$K$2:$AO$2=$C$4)*1,INDEX('TY Sales Target'!$K$5:$AO$300,'Sales Dashboard'!BG187,0)))</f>
        <v>0</v>
      </c>
      <c r="AG188" s="281" cm="1">
        <f t="array" ref="AG188">IF(AB188="",0,SUMPRODUCT((TRIM('LY Sales '!$B$5:$B$200)=AB188)*('LY Sales '!$C$2:$AG$2=EDATE($C$4,-12)),'LY Sales '!$C$5:$AG$200))</f>
        <v>0</v>
      </c>
      <c r="AH188" s="271">
        <f t="shared" si="64"/>
        <v>0</v>
      </c>
      <c r="AI188" s="271">
        <f t="shared" si="65"/>
        <v>0</v>
      </c>
      <c r="AJ188" s="271">
        <f t="shared" si="66"/>
        <v>0</v>
      </c>
      <c r="AK188" s="271">
        <f t="shared" si="67"/>
        <v>0</v>
      </c>
      <c r="AL188" s="271">
        <f t="shared" si="68"/>
        <v>0</v>
      </c>
      <c r="AM188" s="306" cm="1">
        <f t="array" ref="AM188">IF(OR(AB188="",NOT(ISNUMBER('Sales Dashboard'!BF187))),0,SUMPRODUCT((IFERROR(--'Sales and count'!$G$2:$CC$2,0)=$F$4)*('Sales and count'!$G$3:$CC$3="Total"),INDEX('Sales and count'!$G$4:$CC$300,'Sales Dashboard'!BF187,0)))</f>
        <v>0</v>
      </c>
      <c r="AN188" s="306" cm="1">
        <f t="array" ref="AN188">IF(OR(AB188="",NOT(ISNUMBER('Sales Dashboard'!BG187))),0,SUMPRODUCT(('TY Sales Target'!$K$2:$AO$2=$F$4)*1,INDEX('TY Sales Target'!$K$5:$AO$300,'Sales Dashboard'!BG187,0)))</f>
        <v>0</v>
      </c>
      <c r="AO188" s="306" cm="1">
        <f t="array" ref="AO188">IF(AB188="",0,SUMPRODUCT((TRIM('LY Sales '!$B$5:$B$200)=AB188)*('LY Sales '!$C$2:$AG$2=EDATE($F$4,-12)),'LY Sales '!$C$5:$AG$200))</f>
        <v>0</v>
      </c>
      <c r="AP188">
        <f t="shared" si="69"/>
        <v>0</v>
      </c>
      <c r="AQ188">
        <f t="shared" si="70"/>
        <v>0</v>
      </c>
      <c r="AR188">
        <f t="shared" si="71"/>
        <v>0</v>
      </c>
      <c r="AS188">
        <f t="shared" si="72"/>
        <v>0</v>
      </c>
    </row>
    <row r="189" spans="1:45" x14ac:dyDescent="0.25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  <c r="AA189" s="271"/>
      <c r="AB189" s="271" t="str">
        <f>IF('Sales Dashboard'!AW188="","",'Sales Dashboard'!AW188)</f>
        <v/>
      </c>
      <c r="AC189" s="271" t="str">
        <f>IF(AB189="","",'Sales Dashboard'!AN188)</f>
        <v/>
      </c>
      <c r="AD189" s="271" t="str">
        <f>IF(AB189="","",'Sales Dashboard'!AO188)</f>
        <v/>
      </c>
      <c r="AE189" s="281" cm="1">
        <f t="array" ref="AE189">IF(OR(AB189="",NOT(ISNUMBER('Sales Dashboard'!BF188))),0,SUMPRODUCT((IFERROR(--'Sales and count'!$G$2:$CC$2,0)=$C$4)*('Sales and count'!$G$3:$CC$3="Total"),INDEX('Sales and count'!$G$4:$CC$300,'Sales Dashboard'!BF188,0)))</f>
        <v>0</v>
      </c>
      <c r="AF189" s="281" cm="1">
        <f t="array" ref="AF189">IF(OR(AB189="",NOT(ISNUMBER('Sales Dashboard'!BG188))),0,SUMPRODUCT(('TY Sales Target'!$K$2:$AO$2=$C$4)*1,INDEX('TY Sales Target'!$K$5:$AO$300,'Sales Dashboard'!BG188,0)))</f>
        <v>0</v>
      </c>
      <c r="AG189" s="281" cm="1">
        <f t="array" ref="AG189">IF(AB189="",0,SUMPRODUCT((TRIM('LY Sales '!$B$5:$B$200)=AB189)*('LY Sales '!$C$2:$AG$2=EDATE($C$4,-12)),'LY Sales '!$C$5:$AG$200))</f>
        <v>0</v>
      </c>
      <c r="AH189" s="271">
        <f t="shared" si="64"/>
        <v>0</v>
      </c>
      <c r="AI189" s="271">
        <f t="shared" si="65"/>
        <v>0</v>
      </c>
      <c r="AJ189" s="271">
        <f t="shared" si="66"/>
        <v>0</v>
      </c>
      <c r="AK189" s="271">
        <f t="shared" si="67"/>
        <v>0</v>
      </c>
      <c r="AL189" s="271">
        <f t="shared" si="68"/>
        <v>0</v>
      </c>
      <c r="AM189" s="306" cm="1">
        <f t="array" ref="AM189">IF(OR(AB189="",NOT(ISNUMBER('Sales Dashboard'!BF188))),0,SUMPRODUCT((IFERROR(--'Sales and count'!$G$2:$CC$2,0)=$F$4)*('Sales and count'!$G$3:$CC$3="Total"),INDEX('Sales and count'!$G$4:$CC$300,'Sales Dashboard'!BF188,0)))</f>
        <v>0</v>
      </c>
      <c r="AN189" s="306" cm="1">
        <f t="array" ref="AN189">IF(OR(AB189="",NOT(ISNUMBER('Sales Dashboard'!BG188))),0,SUMPRODUCT(('TY Sales Target'!$K$2:$AO$2=$F$4)*1,INDEX('TY Sales Target'!$K$5:$AO$300,'Sales Dashboard'!BG188,0)))</f>
        <v>0</v>
      </c>
      <c r="AO189" s="306" cm="1">
        <f t="array" ref="AO189">IF(AB189="",0,SUMPRODUCT((TRIM('LY Sales '!$B$5:$B$200)=AB189)*('LY Sales '!$C$2:$AG$2=EDATE($F$4,-12)),'LY Sales '!$C$5:$AG$200))</f>
        <v>0</v>
      </c>
      <c r="AP189">
        <f t="shared" si="69"/>
        <v>0</v>
      </c>
      <c r="AQ189">
        <f t="shared" si="70"/>
        <v>0</v>
      </c>
      <c r="AR189">
        <f t="shared" si="71"/>
        <v>0</v>
      </c>
      <c r="AS189">
        <f t="shared" si="72"/>
        <v>0</v>
      </c>
    </row>
    <row r="190" spans="1:45" x14ac:dyDescent="0.25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  <c r="AA190" s="271"/>
      <c r="AB190" s="271" t="str">
        <f>IF('Sales Dashboard'!AW189="","",'Sales Dashboard'!AW189)</f>
        <v/>
      </c>
      <c r="AC190" s="271" t="str">
        <f>IF(AB190="","",'Sales Dashboard'!AN189)</f>
        <v/>
      </c>
      <c r="AD190" s="271" t="str">
        <f>IF(AB190="","",'Sales Dashboard'!AO189)</f>
        <v/>
      </c>
      <c r="AE190" s="281" cm="1">
        <f t="array" ref="AE190">IF(OR(AB190="",NOT(ISNUMBER('Sales Dashboard'!BF189))),0,SUMPRODUCT((IFERROR(--'Sales and count'!$G$2:$CC$2,0)=$C$4)*('Sales and count'!$G$3:$CC$3="Total"),INDEX('Sales and count'!$G$4:$CC$300,'Sales Dashboard'!BF189,0)))</f>
        <v>0</v>
      </c>
      <c r="AF190" s="281" cm="1">
        <f t="array" ref="AF190">IF(OR(AB190="",NOT(ISNUMBER('Sales Dashboard'!BG189))),0,SUMPRODUCT(('TY Sales Target'!$K$2:$AO$2=$C$4)*1,INDEX('TY Sales Target'!$K$5:$AO$300,'Sales Dashboard'!BG189,0)))</f>
        <v>0</v>
      </c>
      <c r="AG190" s="281" cm="1">
        <f t="array" ref="AG190">IF(AB190="",0,SUMPRODUCT((TRIM('LY Sales '!$B$5:$B$200)=AB190)*('LY Sales '!$C$2:$AG$2=EDATE($C$4,-12)),'LY Sales '!$C$5:$AG$200))</f>
        <v>0</v>
      </c>
      <c r="AH190" s="271">
        <f t="shared" si="64"/>
        <v>0</v>
      </c>
      <c r="AI190" s="271">
        <f t="shared" si="65"/>
        <v>0</v>
      </c>
      <c r="AJ190" s="271">
        <f t="shared" si="66"/>
        <v>0</v>
      </c>
      <c r="AK190" s="271">
        <f t="shared" si="67"/>
        <v>0</v>
      </c>
      <c r="AL190" s="271">
        <f t="shared" si="68"/>
        <v>0</v>
      </c>
      <c r="AM190" s="306" cm="1">
        <f t="array" ref="AM190">IF(OR(AB190="",NOT(ISNUMBER('Sales Dashboard'!BF189))),0,SUMPRODUCT((IFERROR(--'Sales and count'!$G$2:$CC$2,0)=$F$4)*('Sales and count'!$G$3:$CC$3="Total"),INDEX('Sales and count'!$G$4:$CC$300,'Sales Dashboard'!BF189,0)))</f>
        <v>0</v>
      </c>
      <c r="AN190" s="306" cm="1">
        <f t="array" ref="AN190">IF(OR(AB190="",NOT(ISNUMBER('Sales Dashboard'!BG189))),0,SUMPRODUCT(('TY Sales Target'!$K$2:$AO$2=$F$4)*1,INDEX('TY Sales Target'!$K$5:$AO$300,'Sales Dashboard'!BG189,0)))</f>
        <v>0</v>
      </c>
      <c r="AO190" s="306" cm="1">
        <f t="array" ref="AO190">IF(AB190="",0,SUMPRODUCT((TRIM('LY Sales '!$B$5:$B$200)=AB190)*('LY Sales '!$C$2:$AG$2=EDATE($F$4,-12)),'LY Sales '!$C$5:$AG$200))</f>
        <v>0</v>
      </c>
      <c r="AP190">
        <f t="shared" si="69"/>
        <v>0</v>
      </c>
      <c r="AQ190">
        <f t="shared" si="70"/>
        <v>0</v>
      </c>
      <c r="AR190">
        <f t="shared" si="71"/>
        <v>0</v>
      </c>
      <c r="AS190">
        <f t="shared" si="72"/>
        <v>0</v>
      </c>
    </row>
    <row r="191" spans="1:45" x14ac:dyDescent="0.25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  <c r="AA191" s="271"/>
      <c r="AB191" s="271" t="str">
        <f>IF('Sales Dashboard'!AW190="","",'Sales Dashboard'!AW190)</f>
        <v/>
      </c>
      <c r="AC191" s="271" t="str">
        <f>IF(AB191="","",'Sales Dashboard'!AN190)</f>
        <v/>
      </c>
      <c r="AD191" s="271" t="str">
        <f>IF(AB191="","",'Sales Dashboard'!AO190)</f>
        <v/>
      </c>
      <c r="AE191" s="281" cm="1">
        <f t="array" ref="AE191">IF(OR(AB191="",NOT(ISNUMBER('Sales Dashboard'!BF190))),0,SUMPRODUCT((IFERROR(--'Sales and count'!$G$2:$CC$2,0)=$C$4)*('Sales and count'!$G$3:$CC$3="Total"),INDEX('Sales and count'!$G$4:$CC$300,'Sales Dashboard'!BF190,0)))</f>
        <v>0</v>
      </c>
      <c r="AF191" s="281" cm="1">
        <f t="array" ref="AF191">IF(OR(AB191="",NOT(ISNUMBER('Sales Dashboard'!BG190))),0,SUMPRODUCT(('TY Sales Target'!$K$2:$AO$2=$C$4)*1,INDEX('TY Sales Target'!$K$5:$AO$300,'Sales Dashboard'!BG190,0)))</f>
        <v>0</v>
      </c>
      <c r="AG191" s="281" cm="1">
        <f t="array" ref="AG191">IF(AB191="",0,SUMPRODUCT((TRIM('LY Sales '!$B$5:$B$200)=AB191)*('LY Sales '!$C$2:$AG$2=EDATE($C$4,-12)),'LY Sales '!$C$5:$AG$200))</f>
        <v>0</v>
      </c>
      <c r="AH191" s="271">
        <f t="shared" si="64"/>
        <v>0</v>
      </c>
      <c r="AI191" s="271">
        <f t="shared" si="65"/>
        <v>0</v>
      </c>
      <c r="AJ191" s="271">
        <f t="shared" si="66"/>
        <v>0</v>
      </c>
      <c r="AK191" s="271">
        <f t="shared" si="67"/>
        <v>0</v>
      </c>
      <c r="AL191" s="271">
        <f t="shared" si="68"/>
        <v>0</v>
      </c>
      <c r="AM191" s="306" cm="1">
        <f t="array" ref="AM191">IF(OR(AB191="",NOT(ISNUMBER('Sales Dashboard'!BF190))),0,SUMPRODUCT((IFERROR(--'Sales and count'!$G$2:$CC$2,0)=$F$4)*('Sales and count'!$G$3:$CC$3="Total"),INDEX('Sales and count'!$G$4:$CC$300,'Sales Dashboard'!BF190,0)))</f>
        <v>0</v>
      </c>
      <c r="AN191" s="306" cm="1">
        <f t="array" ref="AN191">IF(OR(AB191="",NOT(ISNUMBER('Sales Dashboard'!BG190))),0,SUMPRODUCT(('TY Sales Target'!$K$2:$AO$2=$F$4)*1,INDEX('TY Sales Target'!$K$5:$AO$300,'Sales Dashboard'!BG190,0)))</f>
        <v>0</v>
      </c>
      <c r="AO191" s="306" cm="1">
        <f t="array" ref="AO191">IF(AB191="",0,SUMPRODUCT((TRIM('LY Sales '!$B$5:$B$200)=AB191)*('LY Sales '!$C$2:$AG$2=EDATE($F$4,-12)),'LY Sales '!$C$5:$AG$200))</f>
        <v>0</v>
      </c>
      <c r="AP191">
        <f t="shared" si="69"/>
        <v>0</v>
      </c>
      <c r="AQ191">
        <f t="shared" si="70"/>
        <v>0</v>
      </c>
      <c r="AR191">
        <f t="shared" si="71"/>
        <v>0</v>
      </c>
      <c r="AS191">
        <f t="shared" si="72"/>
        <v>0</v>
      </c>
    </row>
    <row r="192" spans="1:45" x14ac:dyDescent="0.25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  <c r="AA192" s="271"/>
      <c r="AB192" s="271" t="str">
        <f>IF('Sales Dashboard'!AW191="","",'Sales Dashboard'!AW191)</f>
        <v/>
      </c>
      <c r="AC192" s="271" t="str">
        <f>IF(AB192="","",'Sales Dashboard'!AN191)</f>
        <v/>
      </c>
      <c r="AD192" s="271" t="str">
        <f>IF(AB192="","",'Sales Dashboard'!AO191)</f>
        <v/>
      </c>
      <c r="AE192" s="281" cm="1">
        <f t="array" ref="AE192">IF(OR(AB192="",NOT(ISNUMBER('Sales Dashboard'!BF191))),0,SUMPRODUCT((IFERROR(--'Sales and count'!$G$2:$CC$2,0)=$C$4)*('Sales and count'!$G$3:$CC$3="Total"),INDEX('Sales and count'!$G$4:$CC$300,'Sales Dashboard'!BF191,0)))</f>
        <v>0</v>
      </c>
      <c r="AF192" s="281" cm="1">
        <f t="array" ref="AF192">IF(OR(AB192="",NOT(ISNUMBER('Sales Dashboard'!BG191))),0,SUMPRODUCT(('TY Sales Target'!$K$2:$AO$2=$C$4)*1,INDEX('TY Sales Target'!$K$5:$AO$300,'Sales Dashboard'!BG191,0)))</f>
        <v>0</v>
      </c>
      <c r="AG192" s="281" cm="1">
        <f t="array" ref="AG192">IF(AB192="",0,SUMPRODUCT((TRIM('LY Sales '!$B$5:$B$200)=AB192)*('LY Sales '!$C$2:$AG$2=EDATE($C$4,-12)),'LY Sales '!$C$5:$AG$200))</f>
        <v>0</v>
      </c>
      <c r="AH192" s="271">
        <f t="shared" si="64"/>
        <v>0</v>
      </c>
      <c r="AI192" s="271">
        <f t="shared" si="65"/>
        <v>0</v>
      </c>
      <c r="AJ192" s="271">
        <f t="shared" si="66"/>
        <v>0</v>
      </c>
      <c r="AK192" s="271">
        <f t="shared" si="67"/>
        <v>0</v>
      </c>
      <c r="AL192" s="271">
        <f t="shared" si="68"/>
        <v>0</v>
      </c>
      <c r="AM192" s="306" cm="1">
        <f t="array" ref="AM192">IF(OR(AB192="",NOT(ISNUMBER('Sales Dashboard'!BF191))),0,SUMPRODUCT((IFERROR(--'Sales and count'!$G$2:$CC$2,0)=$F$4)*('Sales and count'!$G$3:$CC$3="Total"),INDEX('Sales and count'!$G$4:$CC$300,'Sales Dashboard'!BF191,0)))</f>
        <v>0</v>
      </c>
      <c r="AN192" s="306" cm="1">
        <f t="array" ref="AN192">IF(OR(AB192="",NOT(ISNUMBER('Sales Dashboard'!BG191))),0,SUMPRODUCT(('TY Sales Target'!$K$2:$AO$2=$F$4)*1,INDEX('TY Sales Target'!$K$5:$AO$300,'Sales Dashboard'!BG191,0)))</f>
        <v>0</v>
      </c>
      <c r="AO192" s="306" cm="1">
        <f t="array" ref="AO192">IF(AB192="",0,SUMPRODUCT((TRIM('LY Sales '!$B$5:$B$200)=AB192)*('LY Sales '!$C$2:$AG$2=EDATE($F$4,-12)),'LY Sales '!$C$5:$AG$200))</f>
        <v>0</v>
      </c>
      <c r="AP192">
        <f t="shared" si="69"/>
        <v>0</v>
      </c>
      <c r="AQ192">
        <f t="shared" si="70"/>
        <v>0</v>
      </c>
      <c r="AR192">
        <f t="shared" si="71"/>
        <v>0</v>
      </c>
      <c r="AS192">
        <f t="shared" si="72"/>
        <v>0</v>
      </c>
    </row>
    <row r="193" spans="1:45" x14ac:dyDescent="0.25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  <c r="AA193" s="271"/>
      <c r="AB193" s="271" t="str">
        <f>IF('Sales Dashboard'!AW192="","",'Sales Dashboard'!AW192)</f>
        <v/>
      </c>
      <c r="AC193" s="271" t="str">
        <f>IF(AB193="","",'Sales Dashboard'!AN192)</f>
        <v/>
      </c>
      <c r="AD193" s="271" t="str">
        <f>IF(AB193="","",'Sales Dashboard'!AO192)</f>
        <v/>
      </c>
      <c r="AE193" s="281" cm="1">
        <f t="array" ref="AE193">IF(OR(AB193="",NOT(ISNUMBER('Sales Dashboard'!BF192))),0,SUMPRODUCT((IFERROR(--'Sales and count'!$G$2:$CC$2,0)=$C$4)*('Sales and count'!$G$3:$CC$3="Total"),INDEX('Sales and count'!$G$4:$CC$300,'Sales Dashboard'!BF192,0)))</f>
        <v>0</v>
      </c>
      <c r="AF193" s="281" cm="1">
        <f t="array" ref="AF193">IF(OR(AB193="",NOT(ISNUMBER('Sales Dashboard'!BG192))),0,SUMPRODUCT(('TY Sales Target'!$K$2:$AO$2=$C$4)*1,INDEX('TY Sales Target'!$K$5:$AO$300,'Sales Dashboard'!BG192,0)))</f>
        <v>0</v>
      </c>
      <c r="AG193" s="281" cm="1">
        <f t="array" ref="AG193">IF(AB193="",0,SUMPRODUCT((TRIM('LY Sales '!$B$5:$B$200)=AB193)*('LY Sales '!$C$2:$AG$2=EDATE($C$4,-12)),'LY Sales '!$C$5:$AG$200))</f>
        <v>0</v>
      </c>
      <c r="AH193" s="271">
        <f t="shared" si="64"/>
        <v>0</v>
      </c>
      <c r="AI193" s="271">
        <f t="shared" si="65"/>
        <v>0</v>
      </c>
      <c r="AJ193" s="271">
        <f t="shared" si="66"/>
        <v>0</v>
      </c>
      <c r="AK193" s="271">
        <f t="shared" si="67"/>
        <v>0</v>
      </c>
      <c r="AL193" s="271">
        <f t="shared" si="68"/>
        <v>0</v>
      </c>
      <c r="AM193" s="306" cm="1">
        <f t="array" ref="AM193">IF(OR(AB193="",NOT(ISNUMBER('Sales Dashboard'!BF192))),0,SUMPRODUCT((IFERROR(--'Sales and count'!$G$2:$CC$2,0)=$F$4)*('Sales and count'!$G$3:$CC$3="Total"),INDEX('Sales and count'!$G$4:$CC$300,'Sales Dashboard'!BF192,0)))</f>
        <v>0</v>
      </c>
      <c r="AN193" s="306" cm="1">
        <f t="array" ref="AN193">IF(OR(AB193="",NOT(ISNUMBER('Sales Dashboard'!BG192))),0,SUMPRODUCT(('TY Sales Target'!$K$2:$AO$2=$F$4)*1,INDEX('TY Sales Target'!$K$5:$AO$300,'Sales Dashboard'!BG192,0)))</f>
        <v>0</v>
      </c>
      <c r="AO193" s="306" cm="1">
        <f t="array" ref="AO193">IF(AB193="",0,SUMPRODUCT((TRIM('LY Sales '!$B$5:$B$200)=AB193)*('LY Sales '!$C$2:$AG$2=EDATE($F$4,-12)),'LY Sales '!$C$5:$AG$200))</f>
        <v>0</v>
      </c>
      <c r="AP193">
        <f t="shared" si="69"/>
        <v>0</v>
      </c>
      <c r="AQ193">
        <f t="shared" si="70"/>
        <v>0</v>
      </c>
      <c r="AR193">
        <f t="shared" si="71"/>
        <v>0</v>
      </c>
      <c r="AS193">
        <f t="shared" si="72"/>
        <v>0</v>
      </c>
    </row>
    <row r="194" spans="1:45" x14ac:dyDescent="0.25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  <c r="AA194" s="271"/>
      <c r="AB194" s="271" t="str">
        <f>IF('Sales Dashboard'!AW193="","",'Sales Dashboard'!AW193)</f>
        <v/>
      </c>
      <c r="AC194" s="271" t="str">
        <f>IF(AB194="","",'Sales Dashboard'!AN193)</f>
        <v/>
      </c>
      <c r="AD194" s="271" t="str">
        <f>IF(AB194="","",'Sales Dashboard'!AO193)</f>
        <v/>
      </c>
      <c r="AE194" s="281" cm="1">
        <f t="array" ref="AE194">IF(OR(AB194="",NOT(ISNUMBER('Sales Dashboard'!BF193))),0,SUMPRODUCT((IFERROR(--'Sales and count'!$G$2:$CC$2,0)=$C$4)*('Sales and count'!$G$3:$CC$3="Total"),INDEX('Sales and count'!$G$4:$CC$300,'Sales Dashboard'!BF193,0)))</f>
        <v>0</v>
      </c>
      <c r="AF194" s="281" cm="1">
        <f t="array" ref="AF194">IF(OR(AB194="",NOT(ISNUMBER('Sales Dashboard'!BG193))),0,SUMPRODUCT(('TY Sales Target'!$K$2:$AO$2=$C$4)*1,INDEX('TY Sales Target'!$K$5:$AO$300,'Sales Dashboard'!BG193,0)))</f>
        <v>0</v>
      </c>
      <c r="AG194" s="281" cm="1">
        <f t="array" ref="AG194">IF(AB194="",0,SUMPRODUCT((TRIM('LY Sales '!$B$5:$B$200)=AB194)*('LY Sales '!$C$2:$AG$2=EDATE($C$4,-12)),'LY Sales '!$C$5:$AG$200))</f>
        <v>0</v>
      </c>
      <c r="AH194" s="271">
        <f t="shared" si="64"/>
        <v>0</v>
      </c>
      <c r="AI194" s="271">
        <f t="shared" si="65"/>
        <v>0</v>
      </c>
      <c r="AJ194" s="271">
        <f t="shared" si="66"/>
        <v>0</v>
      </c>
      <c r="AK194" s="271">
        <f t="shared" si="67"/>
        <v>0</v>
      </c>
      <c r="AL194" s="271">
        <f t="shared" si="68"/>
        <v>0</v>
      </c>
      <c r="AM194" s="306" cm="1">
        <f t="array" ref="AM194">IF(OR(AB194="",NOT(ISNUMBER('Sales Dashboard'!BF193))),0,SUMPRODUCT((IFERROR(--'Sales and count'!$G$2:$CC$2,0)=$F$4)*('Sales and count'!$G$3:$CC$3="Total"),INDEX('Sales and count'!$G$4:$CC$300,'Sales Dashboard'!BF193,0)))</f>
        <v>0</v>
      </c>
      <c r="AN194" s="306" cm="1">
        <f t="array" ref="AN194">IF(OR(AB194="",NOT(ISNUMBER('Sales Dashboard'!BG193))),0,SUMPRODUCT(('TY Sales Target'!$K$2:$AO$2=$F$4)*1,INDEX('TY Sales Target'!$K$5:$AO$300,'Sales Dashboard'!BG193,0)))</f>
        <v>0</v>
      </c>
      <c r="AO194" s="306" cm="1">
        <f t="array" ref="AO194">IF(AB194="",0,SUMPRODUCT((TRIM('LY Sales '!$B$5:$B$200)=AB194)*('LY Sales '!$C$2:$AG$2=EDATE($F$4,-12)),'LY Sales '!$C$5:$AG$200))</f>
        <v>0</v>
      </c>
      <c r="AP194">
        <f t="shared" si="69"/>
        <v>0</v>
      </c>
      <c r="AQ194">
        <f t="shared" si="70"/>
        <v>0</v>
      </c>
      <c r="AR194">
        <f t="shared" si="71"/>
        <v>0</v>
      </c>
      <c r="AS194">
        <f t="shared" si="72"/>
        <v>0</v>
      </c>
    </row>
    <row r="195" spans="1:45" x14ac:dyDescent="0.25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  <c r="AA195" s="271"/>
      <c r="AB195" s="271" t="str">
        <f>IF('Sales Dashboard'!AW194="","",'Sales Dashboard'!AW194)</f>
        <v/>
      </c>
      <c r="AC195" s="271" t="str">
        <f>IF(AB195="","",'Sales Dashboard'!AN194)</f>
        <v/>
      </c>
      <c r="AD195" s="271" t="str">
        <f>IF(AB195="","",'Sales Dashboard'!AO194)</f>
        <v/>
      </c>
      <c r="AE195" s="281" cm="1">
        <f t="array" ref="AE195">IF(OR(AB195="",NOT(ISNUMBER('Sales Dashboard'!BF194))),0,SUMPRODUCT((IFERROR(--'Sales and count'!$G$2:$CC$2,0)=$C$4)*('Sales and count'!$G$3:$CC$3="Total"),INDEX('Sales and count'!$G$4:$CC$300,'Sales Dashboard'!BF194,0)))</f>
        <v>0</v>
      </c>
      <c r="AF195" s="281" cm="1">
        <f t="array" ref="AF195">IF(OR(AB195="",NOT(ISNUMBER('Sales Dashboard'!BG194))),0,SUMPRODUCT(('TY Sales Target'!$K$2:$AO$2=$C$4)*1,INDEX('TY Sales Target'!$K$5:$AO$300,'Sales Dashboard'!BG194,0)))</f>
        <v>0</v>
      </c>
      <c r="AG195" s="281" cm="1">
        <f t="array" ref="AG195">IF(AB195="",0,SUMPRODUCT((TRIM('LY Sales '!$B$5:$B$200)=AB195)*('LY Sales '!$C$2:$AG$2=EDATE($C$4,-12)),'LY Sales '!$C$5:$AG$200))</f>
        <v>0</v>
      </c>
      <c r="AH195" s="271">
        <f t="shared" si="64"/>
        <v>0</v>
      </c>
      <c r="AI195" s="271">
        <f t="shared" si="65"/>
        <v>0</v>
      </c>
      <c r="AJ195" s="271">
        <f t="shared" si="66"/>
        <v>0</v>
      </c>
      <c r="AK195" s="271">
        <f t="shared" si="67"/>
        <v>0</v>
      </c>
      <c r="AL195" s="271">
        <f t="shared" si="68"/>
        <v>0</v>
      </c>
      <c r="AM195" s="306" cm="1">
        <f t="array" ref="AM195">IF(OR(AB195="",NOT(ISNUMBER('Sales Dashboard'!BF194))),0,SUMPRODUCT((IFERROR(--'Sales and count'!$G$2:$CC$2,0)=$F$4)*('Sales and count'!$G$3:$CC$3="Total"),INDEX('Sales and count'!$G$4:$CC$300,'Sales Dashboard'!BF194,0)))</f>
        <v>0</v>
      </c>
      <c r="AN195" s="306" cm="1">
        <f t="array" ref="AN195">IF(OR(AB195="",NOT(ISNUMBER('Sales Dashboard'!BG194))),0,SUMPRODUCT(('TY Sales Target'!$K$2:$AO$2=$F$4)*1,INDEX('TY Sales Target'!$K$5:$AO$300,'Sales Dashboard'!BG194,0)))</f>
        <v>0</v>
      </c>
      <c r="AO195" s="306" cm="1">
        <f t="array" ref="AO195">IF(AB195="",0,SUMPRODUCT((TRIM('LY Sales '!$B$5:$B$200)=AB195)*('LY Sales '!$C$2:$AG$2=EDATE($F$4,-12)),'LY Sales '!$C$5:$AG$200))</f>
        <v>0</v>
      </c>
      <c r="AP195">
        <f t="shared" si="69"/>
        <v>0</v>
      </c>
      <c r="AQ195">
        <f t="shared" si="70"/>
        <v>0</v>
      </c>
      <c r="AR195">
        <f t="shared" si="71"/>
        <v>0</v>
      </c>
      <c r="AS195">
        <f t="shared" si="72"/>
        <v>0</v>
      </c>
    </row>
    <row r="196" spans="1:45" x14ac:dyDescent="0.25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  <c r="AA196" s="271"/>
      <c r="AB196" s="271" t="str">
        <f>IF('Sales Dashboard'!AW195="","",'Sales Dashboard'!AW195)</f>
        <v/>
      </c>
      <c r="AC196" s="271" t="str">
        <f>IF(AB196="","",'Sales Dashboard'!AN195)</f>
        <v/>
      </c>
      <c r="AD196" s="271" t="str">
        <f>IF(AB196="","",'Sales Dashboard'!AO195)</f>
        <v/>
      </c>
      <c r="AE196" s="281" cm="1">
        <f t="array" ref="AE196">IF(OR(AB196="",NOT(ISNUMBER('Sales Dashboard'!BF195))),0,SUMPRODUCT((IFERROR(--'Sales and count'!$G$2:$CC$2,0)=$C$4)*('Sales and count'!$G$3:$CC$3="Total"),INDEX('Sales and count'!$G$4:$CC$300,'Sales Dashboard'!BF195,0)))</f>
        <v>0</v>
      </c>
      <c r="AF196" s="281" cm="1">
        <f t="array" ref="AF196">IF(OR(AB196="",NOT(ISNUMBER('Sales Dashboard'!BG195))),0,SUMPRODUCT(('TY Sales Target'!$K$2:$AO$2=$C$4)*1,INDEX('TY Sales Target'!$K$5:$AO$300,'Sales Dashboard'!BG195,0)))</f>
        <v>0</v>
      </c>
      <c r="AG196" s="281" cm="1">
        <f t="array" ref="AG196">IF(AB196="",0,SUMPRODUCT((TRIM('LY Sales '!$B$5:$B$200)=AB196)*('LY Sales '!$C$2:$AG$2=EDATE($C$4,-12)),'LY Sales '!$C$5:$AG$200))</f>
        <v>0</v>
      </c>
      <c r="AH196" s="271">
        <f t="shared" si="64"/>
        <v>0</v>
      </c>
      <c r="AI196" s="271">
        <f t="shared" si="65"/>
        <v>0</v>
      </c>
      <c r="AJ196" s="271">
        <f t="shared" si="66"/>
        <v>0</v>
      </c>
      <c r="AK196" s="271">
        <f t="shared" si="67"/>
        <v>0</v>
      </c>
      <c r="AL196" s="271">
        <f t="shared" si="68"/>
        <v>0</v>
      </c>
      <c r="AM196" s="306" cm="1">
        <f t="array" ref="AM196">IF(OR(AB196="",NOT(ISNUMBER('Sales Dashboard'!BF195))),0,SUMPRODUCT((IFERROR(--'Sales and count'!$G$2:$CC$2,0)=$F$4)*('Sales and count'!$G$3:$CC$3="Total"),INDEX('Sales and count'!$G$4:$CC$300,'Sales Dashboard'!BF195,0)))</f>
        <v>0</v>
      </c>
      <c r="AN196" s="306" cm="1">
        <f t="array" ref="AN196">IF(OR(AB196="",NOT(ISNUMBER('Sales Dashboard'!BG195))),0,SUMPRODUCT(('TY Sales Target'!$K$2:$AO$2=$F$4)*1,INDEX('TY Sales Target'!$K$5:$AO$300,'Sales Dashboard'!BG195,0)))</f>
        <v>0</v>
      </c>
      <c r="AO196" s="306" cm="1">
        <f t="array" ref="AO196">IF(AB196="",0,SUMPRODUCT((TRIM('LY Sales '!$B$5:$B$200)=AB196)*('LY Sales '!$C$2:$AG$2=EDATE($F$4,-12)),'LY Sales '!$C$5:$AG$200))</f>
        <v>0</v>
      </c>
      <c r="AP196">
        <f t="shared" si="69"/>
        <v>0</v>
      </c>
      <c r="AQ196">
        <f t="shared" si="70"/>
        <v>0</v>
      </c>
      <c r="AR196">
        <f t="shared" si="71"/>
        <v>0</v>
      </c>
      <c r="AS196">
        <f t="shared" si="72"/>
        <v>0</v>
      </c>
    </row>
    <row r="197" spans="1:45" x14ac:dyDescent="0.25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  <c r="AA197" s="271"/>
      <c r="AB197" s="271" t="str">
        <f>IF('Sales Dashboard'!AW196="","",'Sales Dashboard'!AW196)</f>
        <v/>
      </c>
      <c r="AC197" s="271" t="str">
        <f>IF(AB197="","",'Sales Dashboard'!AN196)</f>
        <v/>
      </c>
      <c r="AD197" s="271" t="str">
        <f>IF(AB197="","",'Sales Dashboard'!AO196)</f>
        <v/>
      </c>
      <c r="AE197" s="281" cm="1">
        <f t="array" ref="AE197">IF(OR(AB197="",NOT(ISNUMBER('Sales Dashboard'!BF196))),0,SUMPRODUCT((IFERROR(--'Sales and count'!$G$2:$CC$2,0)=$C$4)*('Sales and count'!$G$3:$CC$3="Total"),INDEX('Sales and count'!$G$4:$CC$300,'Sales Dashboard'!BF196,0)))</f>
        <v>0</v>
      </c>
      <c r="AF197" s="281" cm="1">
        <f t="array" ref="AF197">IF(OR(AB197="",NOT(ISNUMBER('Sales Dashboard'!BG196))),0,SUMPRODUCT(('TY Sales Target'!$K$2:$AO$2=$C$4)*1,INDEX('TY Sales Target'!$K$5:$AO$300,'Sales Dashboard'!BG196,0)))</f>
        <v>0</v>
      </c>
      <c r="AG197" s="281" cm="1">
        <f t="array" ref="AG197">IF(AB197="",0,SUMPRODUCT((TRIM('LY Sales '!$B$5:$B$200)=AB197)*('LY Sales '!$C$2:$AG$2=EDATE($C$4,-12)),'LY Sales '!$C$5:$AG$200))</f>
        <v>0</v>
      </c>
      <c r="AH197" s="271">
        <f t="shared" si="64"/>
        <v>0</v>
      </c>
      <c r="AI197" s="271">
        <f t="shared" si="65"/>
        <v>0</v>
      </c>
      <c r="AJ197" s="271">
        <f t="shared" si="66"/>
        <v>0</v>
      </c>
      <c r="AK197" s="271">
        <f t="shared" si="67"/>
        <v>0</v>
      </c>
      <c r="AL197" s="271">
        <f t="shared" si="68"/>
        <v>0</v>
      </c>
      <c r="AM197" s="306" cm="1">
        <f t="array" ref="AM197">IF(OR(AB197="",NOT(ISNUMBER('Sales Dashboard'!BF196))),0,SUMPRODUCT((IFERROR(--'Sales and count'!$G$2:$CC$2,0)=$F$4)*('Sales and count'!$G$3:$CC$3="Total"),INDEX('Sales and count'!$G$4:$CC$300,'Sales Dashboard'!BF196,0)))</f>
        <v>0</v>
      </c>
      <c r="AN197" s="306" cm="1">
        <f t="array" ref="AN197">IF(OR(AB197="",NOT(ISNUMBER('Sales Dashboard'!BG196))),0,SUMPRODUCT(('TY Sales Target'!$K$2:$AO$2=$F$4)*1,INDEX('TY Sales Target'!$K$5:$AO$300,'Sales Dashboard'!BG196,0)))</f>
        <v>0</v>
      </c>
      <c r="AO197" s="306" cm="1">
        <f t="array" ref="AO197">IF(AB197="",0,SUMPRODUCT((TRIM('LY Sales '!$B$5:$B$200)=AB197)*('LY Sales '!$C$2:$AG$2=EDATE($F$4,-12)),'LY Sales '!$C$5:$AG$200))</f>
        <v>0</v>
      </c>
      <c r="AP197">
        <f t="shared" si="69"/>
        <v>0</v>
      </c>
      <c r="AQ197">
        <f t="shared" si="70"/>
        <v>0</v>
      </c>
      <c r="AR197">
        <f t="shared" si="71"/>
        <v>0</v>
      </c>
      <c r="AS197">
        <f t="shared" si="72"/>
        <v>0</v>
      </c>
    </row>
    <row r="198" spans="1:45" x14ac:dyDescent="0.25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  <c r="AA198" s="271"/>
      <c r="AB198" s="271" t="str">
        <f>IF('Sales Dashboard'!AW197="","",'Sales Dashboard'!AW197)</f>
        <v/>
      </c>
      <c r="AC198" s="271" t="str">
        <f>IF(AB198="","",'Sales Dashboard'!AN197)</f>
        <v/>
      </c>
      <c r="AD198" s="271" t="str">
        <f>IF(AB198="","",'Sales Dashboard'!AO197)</f>
        <v/>
      </c>
      <c r="AE198" s="281" cm="1">
        <f t="array" ref="AE198">IF(OR(AB198="",NOT(ISNUMBER('Sales Dashboard'!BF197))),0,SUMPRODUCT((IFERROR(--'Sales and count'!$G$2:$CC$2,0)=$C$4)*('Sales and count'!$G$3:$CC$3="Total"),INDEX('Sales and count'!$G$4:$CC$300,'Sales Dashboard'!BF197,0)))</f>
        <v>0</v>
      </c>
      <c r="AF198" s="281" cm="1">
        <f t="array" ref="AF198">IF(OR(AB198="",NOT(ISNUMBER('Sales Dashboard'!BG197))),0,SUMPRODUCT(('TY Sales Target'!$K$2:$AO$2=$C$4)*1,INDEX('TY Sales Target'!$K$5:$AO$300,'Sales Dashboard'!BG197,0)))</f>
        <v>0</v>
      </c>
      <c r="AG198" s="281" cm="1">
        <f t="array" ref="AG198">IF(AB198="",0,SUMPRODUCT((TRIM('LY Sales '!$B$5:$B$200)=AB198)*('LY Sales '!$C$2:$AG$2=EDATE($C$4,-12)),'LY Sales '!$C$5:$AG$200))</f>
        <v>0</v>
      </c>
      <c r="AH198" s="271">
        <f t="shared" si="64"/>
        <v>0</v>
      </c>
      <c r="AI198" s="271">
        <f t="shared" si="65"/>
        <v>0</v>
      </c>
      <c r="AJ198" s="271">
        <f t="shared" si="66"/>
        <v>0</v>
      </c>
      <c r="AK198" s="271">
        <f t="shared" si="67"/>
        <v>0</v>
      </c>
      <c r="AL198" s="271">
        <f t="shared" si="68"/>
        <v>0</v>
      </c>
      <c r="AM198" s="306" cm="1">
        <f t="array" ref="AM198">IF(OR(AB198="",NOT(ISNUMBER('Sales Dashboard'!BF197))),0,SUMPRODUCT((IFERROR(--'Sales and count'!$G$2:$CC$2,0)=$F$4)*('Sales and count'!$G$3:$CC$3="Total"),INDEX('Sales and count'!$G$4:$CC$300,'Sales Dashboard'!BF197,0)))</f>
        <v>0</v>
      </c>
      <c r="AN198" s="306" cm="1">
        <f t="array" ref="AN198">IF(OR(AB198="",NOT(ISNUMBER('Sales Dashboard'!BG197))),0,SUMPRODUCT(('TY Sales Target'!$K$2:$AO$2=$F$4)*1,INDEX('TY Sales Target'!$K$5:$AO$300,'Sales Dashboard'!BG197,0)))</f>
        <v>0</v>
      </c>
      <c r="AO198" s="306" cm="1">
        <f t="array" ref="AO198">IF(AB198="",0,SUMPRODUCT((TRIM('LY Sales '!$B$5:$B$200)=AB198)*('LY Sales '!$C$2:$AG$2=EDATE($F$4,-12)),'LY Sales '!$C$5:$AG$200))</f>
        <v>0</v>
      </c>
      <c r="AP198">
        <f t="shared" si="69"/>
        <v>0</v>
      </c>
      <c r="AQ198">
        <f t="shared" si="70"/>
        <v>0</v>
      </c>
      <c r="AR198">
        <f t="shared" si="71"/>
        <v>0</v>
      </c>
      <c r="AS198">
        <f t="shared" si="72"/>
        <v>0</v>
      </c>
    </row>
    <row r="199" spans="1:45" x14ac:dyDescent="0.25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  <c r="AA199" s="271"/>
      <c r="AB199" s="271" t="str">
        <f>IF('Sales Dashboard'!AW198="","",'Sales Dashboard'!AW198)</f>
        <v/>
      </c>
      <c r="AC199" s="271" t="str">
        <f>IF(AB199="","",'Sales Dashboard'!AN198)</f>
        <v/>
      </c>
      <c r="AD199" s="271" t="str">
        <f>IF(AB199="","",'Sales Dashboard'!AO198)</f>
        <v/>
      </c>
      <c r="AE199" s="281" cm="1">
        <f t="array" ref="AE199">IF(OR(AB199="",NOT(ISNUMBER('Sales Dashboard'!BF198))),0,SUMPRODUCT((IFERROR(--'Sales and count'!$G$2:$CC$2,0)=$C$4)*('Sales and count'!$G$3:$CC$3="Total"),INDEX('Sales and count'!$G$4:$CC$300,'Sales Dashboard'!BF198,0)))</f>
        <v>0</v>
      </c>
      <c r="AF199" s="281" cm="1">
        <f t="array" ref="AF199">IF(OR(AB199="",NOT(ISNUMBER('Sales Dashboard'!BG198))),0,SUMPRODUCT(('TY Sales Target'!$K$2:$AO$2=$C$4)*1,INDEX('TY Sales Target'!$K$5:$AO$300,'Sales Dashboard'!BG198,0)))</f>
        <v>0</v>
      </c>
      <c r="AG199" s="281" cm="1">
        <f t="array" ref="AG199">IF(AB199="",0,SUMPRODUCT((TRIM('LY Sales '!$B$5:$B$200)=AB199)*('LY Sales '!$C$2:$AG$2=EDATE($C$4,-12)),'LY Sales '!$C$5:$AG$200))</f>
        <v>0</v>
      </c>
      <c r="AH199" s="271">
        <f t="shared" si="64"/>
        <v>0</v>
      </c>
      <c r="AI199" s="271">
        <f t="shared" si="65"/>
        <v>0</v>
      </c>
      <c r="AJ199" s="271">
        <f t="shared" si="66"/>
        <v>0</v>
      </c>
      <c r="AK199" s="271">
        <f t="shared" si="67"/>
        <v>0</v>
      </c>
      <c r="AL199" s="271">
        <f t="shared" si="68"/>
        <v>0</v>
      </c>
      <c r="AM199" s="306" cm="1">
        <f t="array" ref="AM199">IF(OR(AB199="",NOT(ISNUMBER('Sales Dashboard'!BF198))),0,SUMPRODUCT((IFERROR(--'Sales and count'!$G$2:$CC$2,0)=$F$4)*('Sales and count'!$G$3:$CC$3="Total"),INDEX('Sales and count'!$G$4:$CC$300,'Sales Dashboard'!BF198,0)))</f>
        <v>0</v>
      </c>
      <c r="AN199" s="306" cm="1">
        <f t="array" ref="AN199">IF(OR(AB199="",NOT(ISNUMBER('Sales Dashboard'!BG198))),0,SUMPRODUCT(('TY Sales Target'!$K$2:$AO$2=$F$4)*1,INDEX('TY Sales Target'!$K$5:$AO$300,'Sales Dashboard'!BG198,0)))</f>
        <v>0</v>
      </c>
      <c r="AO199" s="306" cm="1">
        <f t="array" ref="AO199">IF(AB199="",0,SUMPRODUCT((TRIM('LY Sales '!$B$5:$B$200)=AB199)*('LY Sales '!$C$2:$AG$2=EDATE($F$4,-12)),'LY Sales '!$C$5:$AG$200))</f>
        <v>0</v>
      </c>
      <c r="AP199">
        <f t="shared" si="69"/>
        <v>0</v>
      </c>
      <c r="AQ199">
        <f t="shared" si="70"/>
        <v>0</v>
      </c>
      <c r="AR199">
        <f t="shared" si="71"/>
        <v>0</v>
      </c>
      <c r="AS199">
        <f t="shared" si="72"/>
        <v>0</v>
      </c>
    </row>
    <row r="200" spans="1:45" x14ac:dyDescent="0.25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  <c r="AA200" s="271"/>
      <c r="AB200" s="271" t="str">
        <f>IF('Sales Dashboard'!AW199="","",'Sales Dashboard'!AW199)</f>
        <v/>
      </c>
      <c r="AC200" s="271" t="str">
        <f>IF(AB200="","",'Sales Dashboard'!AN199)</f>
        <v/>
      </c>
      <c r="AD200" s="271" t="str">
        <f>IF(AB200="","",'Sales Dashboard'!AO199)</f>
        <v/>
      </c>
      <c r="AE200" s="281" cm="1">
        <f t="array" ref="AE200">IF(OR(AB200="",NOT(ISNUMBER('Sales Dashboard'!BF199))),0,SUMPRODUCT((IFERROR(--'Sales and count'!$G$2:$CC$2,0)=$C$4)*('Sales and count'!$G$3:$CC$3="Total"),INDEX('Sales and count'!$G$4:$CC$300,'Sales Dashboard'!BF199,0)))</f>
        <v>0</v>
      </c>
      <c r="AF200" s="281" cm="1">
        <f t="array" ref="AF200">IF(OR(AB200="",NOT(ISNUMBER('Sales Dashboard'!BG199))),0,SUMPRODUCT(('TY Sales Target'!$K$2:$AO$2=$C$4)*1,INDEX('TY Sales Target'!$K$5:$AO$300,'Sales Dashboard'!BG199,0)))</f>
        <v>0</v>
      </c>
      <c r="AG200" s="281" cm="1">
        <f t="array" ref="AG200">IF(AB200="",0,SUMPRODUCT((TRIM('LY Sales '!$B$5:$B$200)=AB200)*('LY Sales '!$C$2:$AG$2=EDATE($C$4,-12)),'LY Sales '!$C$5:$AG$200))</f>
        <v>0</v>
      </c>
      <c r="AH200" s="271">
        <f t="shared" ref="AH200:AH263" si="73">--AND(AB200&lt;&gt;"",AF200&gt;0)</f>
        <v>0</v>
      </c>
      <c r="AI200" s="271">
        <f t="shared" ref="AI200:AI263" si="74">--AND(AH200=1,AE200&gt;=AF200*$L$4)</f>
        <v>0</v>
      </c>
      <c r="AJ200" s="271">
        <f t="shared" ref="AJ200:AJ263" si="75">--AND(AB200&lt;&gt;"",AG200&gt;0)</f>
        <v>0</v>
      </c>
      <c r="AK200" s="271">
        <f t="shared" ref="AK200:AK263" si="76">--AND(AJ200=1,AE200&gt;=AG200*$O$4)</f>
        <v>0</v>
      </c>
      <c r="AL200" s="271">
        <f t="shared" ref="AL200:AL263" si="77">--AND(AC200&lt;&gt;"",AC200&lt;&gt;"No assignment",AC200&lt;&gt;"Unassigned")</f>
        <v>0</v>
      </c>
      <c r="AM200" s="306" cm="1">
        <f t="array" ref="AM200">IF(OR(AB200="",NOT(ISNUMBER('Sales Dashboard'!BF199))),0,SUMPRODUCT((IFERROR(--'Sales and count'!$G$2:$CC$2,0)=$F$4)*('Sales and count'!$G$3:$CC$3="Total"),INDEX('Sales and count'!$G$4:$CC$300,'Sales Dashboard'!BF199,0)))</f>
        <v>0</v>
      </c>
      <c r="AN200" s="306" cm="1">
        <f t="array" ref="AN200">IF(OR(AB200="",NOT(ISNUMBER('Sales Dashboard'!BG199))),0,SUMPRODUCT(('TY Sales Target'!$K$2:$AO$2=$F$4)*1,INDEX('TY Sales Target'!$K$5:$AO$300,'Sales Dashboard'!BG199,0)))</f>
        <v>0</v>
      </c>
      <c r="AO200" s="306" cm="1">
        <f t="array" ref="AO200">IF(AB200="",0,SUMPRODUCT((TRIM('LY Sales '!$B$5:$B$200)=AB200)*('LY Sales '!$C$2:$AG$2=EDATE($F$4,-12)),'LY Sales '!$C$5:$AG$200))</f>
        <v>0</v>
      </c>
      <c r="AP200">
        <f t="shared" ref="AP200:AP263" si="78">--AND(AB200&lt;&gt;"",AN200&gt;0)</f>
        <v>0</v>
      </c>
      <c r="AQ200">
        <f t="shared" ref="AQ200:AQ263" si="79">--AND(AP200=1,AM200&gt;=AN200*$L$4)</f>
        <v>0</v>
      </c>
      <c r="AR200">
        <f t="shared" ref="AR200:AR263" si="80">--AND(AB200&lt;&gt;"",AO200&gt;0)</f>
        <v>0</v>
      </c>
      <c r="AS200">
        <f t="shared" ref="AS200:AS263" si="81">--AND(AR200=1,AM200&gt;=AO200*$O$4)</f>
        <v>0</v>
      </c>
    </row>
    <row r="201" spans="1:45" x14ac:dyDescent="0.25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 t="str">
        <f>IF('Sales Dashboard'!AW200="","",'Sales Dashboard'!AW200)</f>
        <v/>
      </c>
      <c r="AC201" s="271" t="str">
        <f>IF(AB201="","",'Sales Dashboard'!AN200)</f>
        <v/>
      </c>
      <c r="AD201" s="271" t="str">
        <f>IF(AB201="","",'Sales Dashboard'!AO200)</f>
        <v/>
      </c>
      <c r="AE201" s="281" cm="1">
        <f t="array" ref="AE201">IF(OR(AB201="",NOT(ISNUMBER('Sales Dashboard'!BF200))),0,SUMPRODUCT((IFERROR(--'Sales and count'!$G$2:$CC$2,0)=$C$4)*('Sales and count'!$G$3:$CC$3="Total"),INDEX('Sales and count'!$G$4:$CC$300,'Sales Dashboard'!BF200,0)))</f>
        <v>0</v>
      </c>
      <c r="AF201" s="281" cm="1">
        <f t="array" ref="AF201">IF(OR(AB201="",NOT(ISNUMBER('Sales Dashboard'!BG200))),0,SUMPRODUCT(('TY Sales Target'!$K$2:$AO$2=$C$4)*1,INDEX('TY Sales Target'!$K$5:$AO$300,'Sales Dashboard'!BG200,0)))</f>
        <v>0</v>
      </c>
      <c r="AG201" s="281" cm="1">
        <f t="array" ref="AG201">IF(AB201="",0,SUMPRODUCT((TRIM('LY Sales '!$B$5:$B$200)=AB201)*('LY Sales '!$C$2:$AG$2=EDATE($C$4,-12)),'LY Sales '!$C$5:$AG$200))</f>
        <v>0</v>
      </c>
      <c r="AH201" s="271">
        <f t="shared" si="73"/>
        <v>0</v>
      </c>
      <c r="AI201" s="271">
        <f t="shared" si="74"/>
        <v>0</v>
      </c>
      <c r="AJ201" s="271">
        <f t="shared" si="75"/>
        <v>0</v>
      </c>
      <c r="AK201" s="271">
        <f t="shared" si="76"/>
        <v>0</v>
      </c>
      <c r="AL201" s="271">
        <f t="shared" si="77"/>
        <v>0</v>
      </c>
      <c r="AM201" s="306" cm="1">
        <f t="array" ref="AM201">IF(OR(AB201="",NOT(ISNUMBER('Sales Dashboard'!BF200))),0,SUMPRODUCT((IFERROR(--'Sales and count'!$G$2:$CC$2,0)=$F$4)*('Sales and count'!$G$3:$CC$3="Total"),INDEX('Sales and count'!$G$4:$CC$300,'Sales Dashboard'!BF200,0)))</f>
        <v>0</v>
      </c>
      <c r="AN201" s="306" cm="1">
        <f t="array" ref="AN201">IF(OR(AB201="",NOT(ISNUMBER('Sales Dashboard'!BG200))),0,SUMPRODUCT(('TY Sales Target'!$K$2:$AO$2=$F$4)*1,INDEX('TY Sales Target'!$K$5:$AO$300,'Sales Dashboard'!BG200,0)))</f>
        <v>0</v>
      </c>
      <c r="AO201" s="306" cm="1">
        <f t="array" ref="AO201">IF(AB201="",0,SUMPRODUCT((TRIM('LY Sales '!$B$5:$B$200)=AB201)*('LY Sales '!$C$2:$AG$2=EDATE($F$4,-12)),'LY Sales '!$C$5:$AG$200))</f>
        <v>0</v>
      </c>
      <c r="AP201">
        <f t="shared" si="78"/>
        <v>0</v>
      </c>
      <c r="AQ201">
        <f t="shared" si="79"/>
        <v>0</v>
      </c>
      <c r="AR201">
        <f t="shared" si="80"/>
        <v>0</v>
      </c>
      <c r="AS201">
        <f t="shared" si="81"/>
        <v>0</v>
      </c>
    </row>
    <row r="202" spans="1:45" x14ac:dyDescent="0.25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  <c r="AA202" s="271"/>
      <c r="AB202" s="271" t="str">
        <f>IF('Sales Dashboard'!AW201="","",'Sales Dashboard'!AW201)</f>
        <v/>
      </c>
      <c r="AC202" s="271" t="str">
        <f>IF(AB202="","",'Sales Dashboard'!AN201)</f>
        <v/>
      </c>
      <c r="AD202" s="271" t="str">
        <f>IF(AB202="","",'Sales Dashboard'!AO201)</f>
        <v/>
      </c>
      <c r="AE202" s="281" cm="1">
        <f t="array" ref="AE202">IF(OR(AB202="",NOT(ISNUMBER('Sales Dashboard'!BF201))),0,SUMPRODUCT((IFERROR(--'Sales and count'!$G$2:$CC$2,0)=$C$4)*('Sales and count'!$G$3:$CC$3="Total"),INDEX('Sales and count'!$G$4:$CC$300,'Sales Dashboard'!BF201,0)))</f>
        <v>0</v>
      </c>
      <c r="AF202" s="281" cm="1">
        <f t="array" ref="AF202">IF(OR(AB202="",NOT(ISNUMBER('Sales Dashboard'!BG201))),0,SUMPRODUCT(('TY Sales Target'!$K$2:$AO$2=$C$4)*1,INDEX('TY Sales Target'!$K$5:$AO$300,'Sales Dashboard'!BG201,0)))</f>
        <v>0</v>
      </c>
      <c r="AG202" s="281" cm="1">
        <f t="array" ref="AG202">IF(AB202="",0,SUMPRODUCT((TRIM('LY Sales '!$B$5:$B$200)=AB202)*('LY Sales '!$C$2:$AG$2=EDATE($C$4,-12)),'LY Sales '!$C$5:$AG$200))</f>
        <v>0</v>
      </c>
      <c r="AH202" s="271">
        <f t="shared" si="73"/>
        <v>0</v>
      </c>
      <c r="AI202" s="271">
        <f t="shared" si="74"/>
        <v>0</v>
      </c>
      <c r="AJ202" s="271">
        <f t="shared" si="75"/>
        <v>0</v>
      </c>
      <c r="AK202" s="271">
        <f t="shared" si="76"/>
        <v>0</v>
      </c>
      <c r="AL202" s="271">
        <f t="shared" si="77"/>
        <v>0</v>
      </c>
      <c r="AM202" s="306" cm="1">
        <f t="array" ref="AM202">IF(OR(AB202="",NOT(ISNUMBER('Sales Dashboard'!BF201))),0,SUMPRODUCT((IFERROR(--'Sales and count'!$G$2:$CC$2,0)=$F$4)*('Sales and count'!$G$3:$CC$3="Total"),INDEX('Sales and count'!$G$4:$CC$300,'Sales Dashboard'!BF201,0)))</f>
        <v>0</v>
      </c>
      <c r="AN202" s="306" cm="1">
        <f t="array" ref="AN202">IF(OR(AB202="",NOT(ISNUMBER('Sales Dashboard'!BG201))),0,SUMPRODUCT(('TY Sales Target'!$K$2:$AO$2=$F$4)*1,INDEX('TY Sales Target'!$K$5:$AO$300,'Sales Dashboard'!BG201,0)))</f>
        <v>0</v>
      </c>
      <c r="AO202" s="306" cm="1">
        <f t="array" ref="AO202">IF(AB202="",0,SUMPRODUCT((TRIM('LY Sales '!$B$5:$B$200)=AB202)*('LY Sales '!$C$2:$AG$2=EDATE($F$4,-12)),'LY Sales '!$C$5:$AG$200))</f>
        <v>0</v>
      </c>
      <c r="AP202">
        <f t="shared" si="78"/>
        <v>0</v>
      </c>
      <c r="AQ202">
        <f t="shared" si="79"/>
        <v>0</v>
      </c>
      <c r="AR202">
        <f t="shared" si="80"/>
        <v>0</v>
      </c>
      <c r="AS202">
        <f t="shared" si="81"/>
        <v>0</v>
      </c>
    </row>
    <row r="203" spans="1:45" x14ac:dyDescent="0.25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  <c r="AB203" s="271" t="str">
        <f>IF('Sales Dashboard'!AW202="","",'Sales Dashboard'!AW202)</f>
        <v/>
      </c>
      <c r="AC203" s="271" t="str">
        <f>IF(AB203="","",'Sales Dashboard'!AN202)</f>
        <v/>
      </c>
      <c r="AD203" s="271" t="str">
        <f>IF(AB203="","",'Sales Dashboard'!AO202)</f>
        <v/>
      </c>
      <c r="AE203" s="281" cm="1">
        <f t="array" ref="AE203">IF(OR(AB203="",NOT(ISNUMBER('Sales Dashboard'!BF202))),0,SUMPRODUCT((IFERROR(--'Sales and count'!$G$2:$CC$2,0)=$C$4)*('Sales and count'!$G$3:$CC$3="Total"),INDEX('Sales and count'!$G$4:$CC$300,'Sales Dashboard'!BF202,0)))</f>
        <v>0</v>
      </c>
      <c r="AF203" s="281" cm="1">
        <f t="array" ref="AF203">IF(OR(AB203="",NOT(ISNUMBER('Sales Dashboard'!BG202))),0,SUMPRODUCT(('TY Sales Target'!$K$2:$AO$2=$C$4)*1,INDEX('TY Sales Target'!$K$5:$AO$300,'Sales Dashboard'!BG202,0)))</f>
        <v>0</v>
      </c>
      <c r="AG203" s="281" cm="1">
        <f t="array" ref="AG203">IF(AB203="",0,SUMPRODUCT((TRIM('LY Sales '!$B$5:$B$200)=AB203)*('LY Sales '!$C$2:$AG$2=EDATE($C$4,-12)),'LY Sales '!$C$5:$AG$200))</f>
        <v>0</v>
      </c>
      <c r="AH203" s="271">
        <f t="shared" si="73"/>
        <v>0</v>
      </c>
      <c r="AI203" s="271">
        <f t="shared" si="74"/>
        <v>0</v>
      </c>
      <c r="AJ203" s="271">
        <f t="shared" si="75"/>
        <v>0</v>
      </c>
      <c r="AK203" s="271">
        <f t="shared" si="76"/>
        <v>0</v>
      </c>
      <c r="AL203" s="271">
        <f t="shared" si="77"/>
        <v>0</v>
      </c>
      <c r="AM203" s="306" cm="1">
        <f t="array" ref="AM203">IF(OR(AB203="",NOT(ISNUMBER('Sales Dashboard'!BF202))),0,SUMPRODUCT((IFERROR(--'Sales and count'!$G$2:$CC$2,0)=$F$4)*('Sales and count'!$G$3:$CC$3="Total"),INDEX('Sales and count'!$G$4:$CC$300,'Sales Dashboard'!BF202,0)))</f>
        <v>0</v>
      </c>
      <c r="AN203" s="306" cm="1">
        <f t="array" ref="AN203">IF(OR(AB203="",NOT(ISNUMBER('Sales Dashboard'!BG202))),0,SUMPRODUCT(('TY Sales Target'!$K$2:$AO$2=$F$4)*1,INDEX('TY Sales Target'!$K$5:$AO$300,'Sales Dashboard'!BG202,0)))</f>
        <v>0</v>
      </c>
      <c r="AO203" s="306" cm="1">
        <f t="array" ref="AO203">IF(AB203="",0,SUMPRODUCT((TRIM('LY Sales '!$B$5:$B$200)=AB203)*('LY Sales '!$C$2:$AG$2=EDATE($F$4,-12)),'LY Sales '!$C$5:$AG$200))</f>
        <v>0</v>
      </c>
      <c r="AP203">
        <f t="shared" si="78"/>
        <v>0</v>
      </c>
      <c r="AQ203">
        <f t="shared" si="79"/>
        <v>0</v>
      </c>
      <c r="AR203">
        <f t="shared" si="80"/>
        <v>0</v>
      </c>
      <c r="AS203">
        <f t="shared" si="81"/>
        <v>0</v>
      </c>
    </row>
    <row r="204" spans="1:45" x14ac:dyDescent="0.25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  <c r="AB204" s="271" t="str">
        <f>IF('Sales Dashboard'!AW203="","",'Sales Dashboard'!AW203)</f>
        <v/>
      </c>
      <c r="AC204" s="271" t="str">
        <f>IF(AB204="","",'Sales Dashboard'!AN203)</f>
        <v/>
      </c>
      <c r="AD204" s="271" t="str">
        <f>IF(AB204="","",'Sales Dashboard'!AO203)</f>
        <v/>
      </c>
      <c r="AE204" s="281" cm="1">
        <f t="array" ref="AE204">IF(OR(AB204="",NOT(ISNUMBER('Sales Dashboard'!BF203))),0,SUMPRODUCT((IFERROR(--'Sales and count'!$G$2:$CC$2,0)=$C$4)*('Sales and count'!$G$3:$CC$3="Total"),INDEX('Sales and count'!$G$4:$CC$300,'Sales Dashboard'!BF203,0)))</f>
        <v>0</v>
      </c>
      <c r="AF204" s="281" cm="1">
        <f t="array" ref="AF204">IF(OR(AB204="",NOT(ISNUMBER('Sales Dashboard'!BG203))),0,SUMPRODUCT(('TY Sales Target'!$K$2:$AO$2=$C$4)*1,INDEX('TY Sales Target'!$K$5:$AO$300,'Sales Dashboard'!BG203,0)))</f>
        <v>0</v>
      </c>
      <c r="AG204" s="281" cm="1">
        <f t="array" ref="AG204">IF(AB204="",0,SUMPRODUCT((TRIM('LY Sales '!$B$5:$B$200)=AB204)*('LY Sales '!$C$2:$AG$2=EDATE($C$4,-12)),'LY Sales '!$C$5:$AG$200))</f>
        <v>0</v>
      </c>
      <c r="AH204" s="271">
        <f t="shared" si="73"/>
        <v>0</v>
      </c>
      <c r="AI204" s="271">
        <f t="shared" si="74"/>
        <v>0</v>
      </c>
      <c r="AJ204" s="271">
        <f t="shared" si="75"/>
        <v>0</v>
      </c>
      <c r="AK204" s="271">
        <f t="shared" si="76"/>
        <v>0</v>
      </c>
      <c r="AL204" s="271">
        <f t="shared" si="77"/>
        <v>0</v>
      </c>
      <c r="AM204" s="306" cm="1">
        <f t="array" ref="AM204">IF(OR(AB204="",NOT(ISNUMBER('Sales Dashboard'!BF203))),0,SUMPRODUCT((IFERROR(--'Sales and count'!$G$2:$CC$2,0)=$F$4)*('Sales and count'!$G$3:$CC$3="Total"),INDEX('Sales and count'!$G$4:$CC$300,'Sales Dashboard'!BF203,0)))</f>
        <v>0</v>
      </c>
      <c r="AN204" s="306" cm="1">
        <f t="array" ref="AN204">IF(OR(AB204="",NOT(ISNUMBER('Sales Dashboard'!BG203))),0,SUMPRODUCT(('TY Sales Target'!$K$2:$AO$2=$F$4)*1,INDEX('TY Sales Target'!$K$5:$AO$300,'Sales Dashboard'!BG203,0)))</f>
        <v>0</v>
      </c>
      <c r="AO204" s="306" cm="1">
        <f t="array" ref="AO204">IF(AB204="",0,SUMPRODUCT((TRIM('LY Sales '!$B$5:$B$200)=AB204)*('LY Sales '!$C$2:$AG$2=EDATE($F$4,-12)),'LY Sales '!$C$5:$AG$200))</f>
        <v>0</v>
      </c>
      <c r="AP204">
        <f t="shared" si="78"/>
        <v>0</v>
      </c>
      <c r="AQ204">
        <f t="shared" si="79"/>
        <v>0</v>
      </c>
      <c r="AR204">
        <f t="shared" si="80"/>
        <v>0</v>
      </c>
      <c r="AS204">
        <f t="shared" si="81"/>
        <v>0</v>
      </c>
    </row>
    <row r="205" spans="1:45" x14ac:dyDescent="0.25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  <c r="AA205" s="271"/>
      <c r="AB205" s="271" t="str">
        <f>IF('Sales Dashboard'!AW204="","",'Sales Dashboard'!AW204)</f>
        <v/>
      </c>
      <c r="AC205" s="271" t="str">
        <f>IF(AB205="","",'Sales Dashboard'!AN204)</f>
        <v/>
      </c>
      <c r="AD205" s="271" t="str">
        <f>IF(AB205="","",'Sales Dashboard'!AO204)</f>
        <v/>
      </c>
      <c r="AE205" s="281" cm="1">
        <f t="array" ref="AE205">IF(OR(AB205="",NOT(ISNUMBER('Sales Dashboard'!BF204))),0,SUMPRODUCT((IFERROR(--'Sales and count'!$G$2:$CC$2,0)=$C$4)*('Sales and count'!$G$3:$CC$3="Total"),INDEX('Sales and count'!$G$4:$CC$300,'Sales Dashboard'!BF204,0)))</f>
        <v>0</v>
      </c>
      <c r="AF205" s="281" cm="1">
        <f t="array" ref="AF205">IF(OR(AB205="",NOT(ISNUMBER('Sales Dashboard'!BG204))),0,SUMPRODUCT(('TY Sales Target'!$K$2:$AO$2=$C$4)*1,INDEX('TY Sales Target'!$K$5:$AO$300,'Sales Dashboard'!BG204,0)))</f>
        <v>0</v>
      </c>
      <c r="AG205" s="281" cm="1">
        <f t="array" ref="AG205">IF(AB205="",0,SUMPRODUCT((TRIM('LY Sales '!$B$5:$B$200)=AB205)*('LY Sales '!$C$2:$AG$2=EDATE($C$4,-12)),'LY Sales '!$C$5:$AG$200))</f>
        <v>0</v>
      </c>
      <c r="AH205" s="271">
        <f t="shared" si="73"/>
        <v>0</v>
      </c>
      <c r="AI205" s="271">
        <f t="shared" si="74"/>
        <v>0</v>
      </c>
      <c r="AJ205" s="271">
        <f t="shared" si="75"/>
        <v>0</v>
      </c>
      <c r="AK205" s="271">
        <f t="shared" si="76"/>
        <v>0</v>
      </c>
      <c r="AL205" s="271">
        <f t="shared" si="77"/>
        <v>0</v>
      </c>
      <c r="AM205" s="306" cm="1">
        <f t="array" ref="AM205">IF(OR(AB205="",NOT(ISNUMBER('Sales Dashboard'!BF204))),0,SUMPRODUCT((IFERROR(--'Sales and count'!$G$2:$CC$2,0)=$F$4)*('Sales and count'!$G$3:$CC$3="Total"),INDEX('Sales and count'!$G$4:$CC$300,'Sales Dashboard'!BF204,0)))</f>
        <v>0</v>
      </c>
      <c r="AN205" s="306" cm="1">
        <f t="array" ref="AN205">IF(OR(AB205="",NOT(ISNUMBER('Sales Dashboard'!BG204))),0,SUMPRODUCT(('TY Sales Target'!$K$2:$AO$2=$F$4)*1,INDEX('TY Sales Target'!$K$5:$AO$300,'Sales Dashboard'!BG204,0)))</f>
        <v>0</v>
      </c>
      <c r="AO205" s="306" cm="1">
        <f t="array" ref="AO205">IF(AB205="",0,SUMPRODUCT((TRIM('LY Sales '!$B$5:$B$200)=AB205)*('LY Sales '!$C$2:$AG$2=EDATE($F$4,-12)),'LY Sales '!$C$5:$AG$200))</f>
        <v>0</v>
      </c>
      <c r="AP205">
        <f t="shared" si="78"/>
        <v>0</v>
      </c>
      <c r="AQ205">
        <f t="shared" si="79"/>
        <v>0</v>
      </c>
      <c r="AR205">
        <f t="shared" si="80"/>
        <v>0</v>
      </c>
      <c r="AS205">
        <f t="shared" si="81"/>
        <v>0</v>
      </c>
    </row>
    <row r="206" spans="1:45" x14ac:dyDescent="0.25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  <c r="AA206" s="271"/>
      <c r="AB206" s="271" t="str">
        <f>IF('Sales Dashboard'!AW205="","",'Sales Dashboard'!AW205)</f>
        <v/>
      </c>
      <c r="AC206" s="271" t="str">
        <f>IF(AB206="","",'Sales Dashboard'!AN205)</f>
        <v/>
      </c>
      <c r="AD206" s="271" t="str">
        <f>IF(AB206="","",'Sales Dashboard'!AO205)</f>
        <v/>
      </c>
      <c r="AE206" s="281" cm="1">
        <f t="array" ref="AE206">IF(OR(AB206="",NOT(ISNUMBER('Sales Dashboard'!BF205))),0,SUMPRODUCT((IFERROR(--'Sales and count'!$G$2:$CC$2,0)=$C$4)*('Sales and count'!$G$3:$CC$3="Total"),INDEX('Sales and count'!$G$4:$CC$300,'Sales Dashboard'!BF205,0)))</f>
        <v>0</v>
      </c>
      <c r="AF206" s="281" cm="1">
        <f t="array" ref="AF206">IF(OR(AB206="",NOT(ISNUMBER('Sales Dashboard'!BG205))),0,SUMPRODUCT(('TY Sales Target'!$K$2:$AO$2=$C$4)*1,INDEX('TY Sales Target'!$K$5:$AO$300,'Sales Dashboard'!BG205,0)))</f>
        <v>0</v>
      </c>
      <c r="AG206" s="281" cm="1">
        <f t="array" ref="AG206">IF(AB206="",0,SUMPRODUCT((TRIM('LY Sales '!$B$5:$B$200)=AB206)*('LY Sales '!$C$2:$AG$2=EDATE($C$4,-12)),'LY Sales '!$C$5:$AG$200))</f>
        <v>0</v>
      </c>
      <c r="AH206" s="271">
        <f t="shared" si="73"/>
        <v>0</v>
      </c>
      <c r="AI206" s="271">
        <f t="shared" si="74"/>
        <v>0</v>
      </c>
      <c r="AJ206" s="271">
        <f t="shared" si="75"/>
        <v>0</v>
      </c>
      <c r="AK206" s="271">
        <f t="shared" si="76"/>
        <v>0</v>
      </c>
      <c r="AL206" s="271">
        <f t="shared" si="77"/>
        <v>0</v>
      </c>
      <c r="AM206" s="306" cm="1">
        <f t="array" ref="AM206">IF(OR(AB206="",NOT(ISNUMBER('Sales Dashboard'!BF205))),0,SUMPRODUCT((IFERROR(--'Sales and count'!$G$2:$CC$2,0)=$F$4)*('Sales and count'!$G$3:$CC$3="Total"),INDEX('Sales and count'!$G$4:$CC$300,'Sales Dashboard'!BF205,0)))</f>
        <v>0</v>
      </c>
      <c r="AN206" s="306" cm="1">
        <f t="array" ref="AN206">IF(OR(AB206="",NOT(ISNUMBER('Sales Dashboard'!BG205))),0,SUMPRODUCT(('TY Sales Target'!$K$2:$AO$2=$F$4)*1,INDEX('TY Sales Target'!$K$5:$AO$300,'Sales Dashboard'!BG205,0)))</f>
        <v>0</v>
      </c>
      <c r="AO206" s="306" cm="1">
        <f t="array" ref="AO206">IF(AB206="",0,SUMPRODUCT((TRIM('LY Sales '!$B$5:$B$200)=AB206)*('LY Sales '!$C$2:$AG$2=EDATE($F$4,-12)),'LY Sales '!$C$5:$AG$200))</f>
        <v>0</v>
      </c>
      <c r="AP206">
        <f t="shared" si="78"/>
        <v>0</v>
      </c>
      <c r="AQ206">
        <f t="shared" si="79"/>
        <v>0</v>
      </c>
      <c r="AR206">
        <f t="shared" si="80"/>
        <v>0</v>
      </c>
      <c r="AS206">
        <f t="shared" si="81"/>
        <v>0</v>
      </c>
    </row>
    <row r="207" spans="1:45" x14ac:dyDescent="0.25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  <c r="AA207" s="271"/>
      <c r="AB207" s="271" t="str">
        <f>IF('Sales Dashboard'!AW206="","",'Sales Dashboard'!AW206)</f>
        <v/>
      </c>
      <c r="AC207" s="271" t="str">
        <f>IF(AB207="","",'Sales Dashboard'!AN206)</f>
        <v/>
      </c>
      <c r="AD207" s="271" t="str">
        <f>IF(AB207="","",'Sales Dashboard'!AO206)</f>
        <v/>
      </c>
      <c r="AE207" s="281" cm="1">
        <f t="array" ref="AE207">IF(OR(AB207="",NOT(ISNUMBER('Sales Dashboard'!BF206))),0,SUMPRODUCT((IFERROR(--'Sales and count'!$G$2:$CC$2,0)=$C$4)*('Sales and count'!$G$3:$CC$3="Total"),INDEX('Sales and count'!$G$4:$CC$300,'Sales Dashboard'!BF206,0)))</f>
        <v>0</v>
      </c>
      <c r="AF207" s="281" cm="1">
        <f t="array" ref="AF207">IF(OR(AB207="",NOT(ISNUMBER('Sales Dashboard'!BG206))),0,SUMPRODUCT(('TY Sales Target'!$K$2:$AO$2=$C$4)*1,INDEX('TY Sales Target'!$K$5:$AO$300,'Sales Dashboard'!BG206,0)))</f>
        <v>0</v>
      </c>
      <c r="AG207" s="281" cm="1">
        <f t="array" ref="AG207">IF(AB207="",0,SUMPRODUCT((TRIM('LY Sales '!$B$5:$B$200)=AB207)*('LY Sales '!$C$2:$AG$2=EDATE($C$4,-12)),'LY Sales '!$C$5:$AG$200))</f>
        <v>0</v>
      </c>
      <c r="AH207" s="271">
        <f t="shared" si="73"/>
        <v>0</v>
      </c>
      <c r="AI207" s="271">
        <f t="shared" si="74"/>
        <v>0</v>
      </c>
      <c r="AJ207" s="271">
        <f t="shared" si="75"/>
        <v>0</v>
      </c>
      <c r="AK207" s="271">
        <f t="shared" si="76"/>
        <v>0</v>
      </c>
      <c r="AL207" s="271">
        <f t="shared" si="77"/>
        <v>0</v>
      </c>
      <c r="AM207" s="306" cm="1">
        <f t="array" ref="AM207">IF(OR(AB207="",NOT(ISNUMBER('Sales Dashboard'!BF206))),0,SUMPRODUCT((IFERROR(--'Sales and count'!$G$2:$CC$2,0)=$F$4)*('Sales and count'!$G$3:$CC$3="Total"),INDEX('Sales and count'!$G$4:$CC$300,'Sales Dashboard'!BF206,0)))</f>
        <v>0</v>
      </c>
      <c r="AN207" s="306" cm="1">
        <f t="array" ref="AN207">IF(OR(AB207="",NOT(ISNUMBER('Sales Dashboard'!BG206))),0,SUMPRODUCT(('TY Sales Target'!$K$2:$AO$2=$F$4)*1,INDEX('TY Sales Target'!$K$5:$AO$300,'Sales Dashboard'!BG206,0)))</f>
        <v>0</v>
      </c>
      <c r="AO207" s="306" cm="1">
        <f t="array" ref="AO207">IF(AB207="",0,SUMPRODUCT((TRIM('LY Sales '!$B$5:$B$200)=AB207)*('LY Sales '!$C$2:$AG$2=EDATE($F$4,-12)),'LY Sales '!$C$5:$AG$200))</f>
        <v>0</v>
      </c>
      <c r="AP207">
        <f t="shared" si="78"/>
        <v>0</v>
      </c>
      <c r="AQ207">
        <f t="shared" si="79"/>
        <v>0</v>
      </c>
      <c r="AR207">
        <f t="shared" si="80"/>
        <v>0</v>
      </c>
      <c r="AS207">
        <f t="shared" si="81"/>
        <v>0</v>
      </c>
    </row>
    <row r="208" spans="1:45" x14ac:dyDescent="0.25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  <c r="AA208" s="271"/>
      <c r="AB208" s="271" t="str">
        <f>IF('Sales Dashboard'!AW207="","",'Sales Dashboard'!AW207)</f>
        <v/>
      </c>
      <c r="AC208" s="271" t="str">
        <f>IF(AB208="","",'Sales Dashboard'!AN207)</f>
        <v/>
      </c>
      <c r="AD208" s="271" t="str">
        <f>IF(AB208="","",'Sales Dashboard'!AO207)</f>
        <v/>
      </c>
      <c r="AE208" s="281" cm="1">
        <f t="array" ref="AE208">IF(OR(AB208="",NOT(ISNUMBER('Sales Dashboard'!BF207))),0,SUMPRODUCT((IFERROR(--'Sales and count'!$G$2:$CC$2,0)=$C$4)*('Sales and count'!$G$3:$CC$3="Total"),INDEX('Sales and count'!$G$4:$CC$300,'Sales Dashboard'!BF207,0)))</f>
        <v>0</v>
      </c>
      <c r="AF208" s="281" cm="1">
        <f t="array" ref="AF208">IF(OR(AB208="",NOT(ISNUMBER('Sales Dashboard'!BG207))),0,SUMPRODUCT(('TY Sales Target'!$K$2:$AO$2=$C$4)*1,INDEX('TY Sales Target'!$K$5:$AO$300,'Sales Dashboard'!BG207,0)))</f>
        <v>0</v>
      </c>
      <c r="AG208" s="281" cm="1">
        <f t="array" ref="AG208">IF(AB208="",0,SUMPRODUCT((TRIM('LY Sales '!$B$5:$B$200)=AB208)*('LY Sales '!$C$2:$AG$2=EDATE($C$4,-12)),'LY Sales '!$C$5:$AG$200))</f>
        <v>0</v>
      </c>
      <c r="AH208" s="271">
        <f t="shared" si="73"/>
        <v>0</v>
      </c>
      <c r="AI208" s="271">
        <f t="shared" si="74"/>
        <v>0</v>
      </c>
      <c r="AJ208" s="271">
        <f t="shared" si="75"/>
        <v>0</v>
      </c>
      <c r="AK208" s="271">
        <f t="shared" si="76"/>
        <v>0</v>
      </c>
      <c r="AL208" s="271">
        <f t="shared" si="77"/>
        <v>0</v>
      </c>
      <c r="AM208" s="306" cm="1">
        <f t="array" ref="AM208">IF(OR(AB208="",NOT(ISNUMBER('Sales Dashboard'!BF207))),0,SUMPRODUCT((IFERROR(--'Sales and count'!$G$2:$CC$2,0)=$F$4)*('Sales and count'!$G$3:$CC$3="Total"),INDEX('Sales and count'!$G$4:$CC$300,'Sales Dashboard'!BF207,0)))</f>
        <v>0</v>
      </c>
      <c r="AN208" s="306" cm="1">
        <f t="array" ref="AN208">IF(OR(AB208="",NOT(ISNUMBER('Sales Dashboard'!BG207))),0,SUMPRODUCT(('TY Sales Target'!$K$2:$AO$2=$F$4)*1,INDEX('TY Sales Target'!$K$5:$AO$300,'Sales Dashboard'!BG207,0)))</f>
        <v>0</v>
      </c>
      <c r="AO208" s="306" cm="1">
        <f t="array" ref="AO208">IF(AB208="",0,SUMPRODUCT((TRIM('LY Sales '!$B$5:$B$200)=AB208)*('LY Sales '!$C$2:$AG$2=EDATE($F$4,-12)),'LY Sales '!$C$5:$AG$200))</f>
        <v>0</v>
      </c>
      <c r="AP208">
        <f t="shared" si="78"/>
        <v>0</v>
      </c>
      <c r="AQ208">
        <f t="shared" si="79"/>
        <v>0</v>
      </c>
      <c r="AR208">
        <f t="shared" si="80"/>
        <v>0</v>
      </c>
      <c r="AS208">
        <f t="shared" si="81"/>
        <v>0</v>
      </c>
    </row>
    <row r="209" spans="1:45" x14ac:dyDescent="0.25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  <c r="AA209" s="271"/>
      <c r="AB209" s="271" t="str">
        <f>IF('Sales Dashboard'!AW208="","",'Sales Dashboard'!AW208)</f>
        <v/>
      </c>
      <c r="AC209" s="271" t="str">
        <f>IF(AB209="","",'Sales Dashboard'!AN208)</f>
        <v/>
      </c>
      <c r="AD209" s="271" t="str">
        <f>IF(AB209="","",'Sales Dashboard'!AO208)</f>
        <v/>
      </c>
      <c r="AE209" s="281" cm="1">
        <f t="array" ref="AE209">IF(OR(AB209="",NOT(ISNUMBER('Sales Dashboard'!BF208))),0,SUMPRODUCT((IFERROR(--'Sales and count'!$G$2:$CC$2,0)=$C$4)*('Sales and count'!$G$3:$CC$3="Total"),INDEX('Sales and count'!$G$4:$CC$300,'Sales Dashboard'!BF208,0)))</f>
        <v>0</v>
      </c>
      <c r="AF209" s="281" cm="1">
        <f t="array" ref="AF209">IF(OR(AB209="",NOT(ISNUMBER('Sales Dashboard'!BG208))),0,SUMPRODUCT(('TY Sales Target'!$K$2:$AO$2=$C$4)*1,INDEX('TY Sales Target'!$K$5:$AO$300,'Sales Dashboard'!BG208,0)))</f>
        <v>0</v>
      </c>
      <c r="AG209" s="281" cm="1">
        <f t="array" ref="AG209">IF(AB209="",0,SUMPRODUCT((TRIM('LY Sales '!$B$5:$B$200)=AB209)*('LY Sales '!$C$2:$AG$2=EDATE($C$4,-12)),'LY Sales '!$C$5:$AG$200))</f>
        <v>0</v>
      </c>
      <c r="AH209" s="271">
        <f t="shared" si="73"/>
        <v>0</v>
      </c>
      <c r="AI209" s="271">
        <f t="shared" si="74"/>
        <v>0</v>
      </c>
      <c r="AJ209" s="271">
        <f t="shared" si="75"/>
        <v>0</v>
      </c>
      <c r="AK209" s="271">
        <f t="shared" si="76"/>
        <v>0</v>
      </c>
      <c r="AL209" s="271">
        <f t="shared" si="77"/>
        <v>0</v>
      </c>
      <c r="AM209" s="306" cm="1">
        <f t="array" ref="AM209">IF(OR(AB209="",NOT(ISNUMBER('Sales Dashboard'!BF208))),0,SUMPRODUCT((IFERROR(--'Sales and count'!$G$2:$CC$2,0)=$F$4)*('Sales and count'!$G$3:$CC$3="Total"),INDEX('Sales and count'!$G$4:$CC$300,'Sales Dashboard'!BF208,0)))</f>
        <v>0</v>
      </c>
      <c r="AN209" s="306" cm="1">
        <f t="array" ref="AN209">IF(OR(AB209="",NOT(ISNUMBER('Sales Dashboard'!BG208))),0,SUMPRODUCT(('TY Sales Target'!$K$2:$AO$2=$F$4)*1,INDEX('TY Sales Target'!$K$5:$AO$300,'Sales Dashboard'!BG208,0)))</f>
        <v>0</v>
      </c>
      <c r="AO209" s="306" cm="1">
        <f t="array" ref="AO209">IF(AB209="",0,SUMPRODUCT((TRIM('LY Sales '!$B$5:$B$200)=AB209)*('LY Sales '!$C$2:$AG$2=EDATE($F$4,-12)),'LY Sales '!$C$5:$AG$200))</f>
        <v>0</v>
      </c>
      <c r="AP209">
        <f t="shared" si="78"/>
        <v>0</v>
      </c>
      <c r="AQ209">
        <f t="shared" si="79"/>
        <v>0</v>
      </c>
      <c r="AR209">
        <f t="shared" si="80"/>
        <v>0</v>
      </c>
      <c r="AS209">
        <f t="shared" si="81"/>
        <v>0</v>
      </c>
    </row>
    <row r="210" spans="1:45" x14ac:dyDescent="0.25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  <c r="AA210" s="271"/>
      <c r="AB210" s="271" t="str">
        <f>IF('Sales Dashboard'!AW209="","",'Sales Dashboard'!AW209)</f>
        <v/>
      </c>
      <c r="AC210" s="271" t="str">
        <f>IF(AB210="","",'Sales Dashboard'!AN209)</f>
        <v/>
      </c>
      <c r="AD210" s="271" t="str">
        <f>IF(AB210="","",'Sales Dashboard'!AO209)</f>
        <v/>
      </c>
      <c r="AE210" s="281" cm="1">
        <f t="array" ref="AE210">IF(OR(AB210="",NOT(ISNUMBER('Sales Dashboard'!BF209))),0,SUMPRODUCT((IFERROR(--'Sales and count'!$G$2:$CC$2,0)=$C$4)*('Sales and count'!$G$3:$CC$3="Total"),INDEX('Sales and count'!$G$4:$CC$300,'Sales Dashboard'!BF209,0)))</f>
        <v>0</v>
      </c>
      <c r="AF210" s="281" cm="1">
        <f t="array" ref="AF210">IF(OR(AB210="",NOT(ISNUMBER('Sales Dashboard'!BG209))),0,SUMPRODUCT(('TY Sales Target'!$K$2:$AO$2=$C$4)*1,INDEX('TY Sales Target'!$K$5:$AO$300,'Sales Dashboard'!BG209,0)))</f>
        <v>0</v>
      </c>
      <c r="AG210" s="281" cm="1">
        <f t="array" ref="AG210">IF(AB210="",0,SUMPRODUCT((TRIM('LY Sales '!$B$5:$B$200)=AB210)*('LY Sales '!$C$2:$AG$2=EDATE($C$4,-12)),'LY Sales '!$C$5:$AG$200))</f>
        <v>0</v>
      </c>
      <c r="AH210" s="271">
        <f t="shared" si="73"/>
        <v>0</v>
      </c>
      <c r="AI210" s="271">
        <f t="shared" si="74"/>
        <v>0</v>
      </c>
      <c r="AJ210" s="271">
        <f t="shared" si="75"/>
        <v>0</v>
      </c>
      <c r="AK210" s="271">
        <f t="shared" si="76"/>
        <v>0</v>
      </c>
      <c r="AL210" s="271">
        <f t="shared" si="77"/>
        <v>0</v>
      </c>
      <c r="AM210" s="306" cm="1">
        <f t="array" ref="AM210">IF(OR(AB210="",NOT(ISNUMBER('Sales Dashboard'!BF209))),0,SUMPRODUCT((IFERROR(--'Sales and count'!$G$2:$CC$2,0)=$F$4)*('Sales and count'!$G$3:$CC$3="Total"),INDEX('Sales and count'!$G$4:$CC$300,'Sales Dashboard'!BF209,0)))</f>
        <v>0</v>
      </c>
      <c r="AN210" s="306" cm="1">
        <f t="array" ref="AN210">IF(OR(AB210="",NOT(ISNUMBER('Sales Dashboard'!BG209))),0,SUMPRODUCT(('TY Sales Target'!$K$2:$AO$2=$F$4)*1,INDEX('TY Sales Target'!$K$5:$AO$300,'Sales Dashboard'!BG209,0)))</f>
        <v>0</v>
      </c>
      <c r="AO210" s="306" cm="1">
        <f t="array" ref="AO210">IF(AB210="",0,SUMPRODUCT((TRIM('LY Sales '!$B$5:$B$200)=AB210)*('LY Sales '!$C$2:$AG$2=EDATE($F$4,-12)),'LY Sales '!$C$5:$AG$200))</f>
        <v>0</v>
      </c>
      <c r="AP210">
        <f t="shared" si="78"/>
        <v>0</v>
      </c>
      <c r="AQ210">
        <f t="shared" si="79"/>
        <v>0</v>
      </c>
      <c r="AR210">
        <f t="shared" si="80"/>
        <v>0</v>
      </c>
      <c r="AS210">
        <f t="shared" si="81"/>
        <v>0</v>
      </c>
    </row>
    <row r="211" spans="1:45" x14ac:dyDescent="0.25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  <c r="AA211" s="271"/>
      <c r="AB211" s="271" t="str">
        <f>IF('Sales Dashboard'!AW210="","",'Sales Dashboard'!AW210)</f>
        <v/>
      </c>
      <c r="AC211" s="271" t="str">
        <f>IF(AB211="","",'Sales Dashboard'!AN210)</f>
        <v/>
      </c>
      <c r="AD211" s="271" t="str">
        <f>IF(AB211="","",'Sales Dashboard'!AO210)</f>
        <v/>
      </c>
      <c r="AE211" s="281" cm="1">
        <f t="array" ref="AE211">IF(OR(AB211="",NOT(ISNUMBER('Sales Dashboard'!BF210))),0,SUMPRODUCT((IFERROR(--'Sales and count'!$G$2:$CC$2,0)=$C$4)*('Sales and count'!$G$3:$CC$3="Total"),INDEX('Sales and count'!$G$4:$CC$300,'Sales Dashboard'!BF210,0)))</f>
        <v>0</v>
      </c>
      <c r="AF211" s="281" cm="1">
        <f t="array" ref="AF211">IF(OR(AB211="",NOT(ISNUMBER('Sales Dashboard'!BG210))),0,SUMPRODUCT(('TY Sales Target'!$K$2:$AO$2=$C$4)*1,INDEX('TY Sales Target'!$K$5:$AO$300,'Sales Dashboard'!BG210,0)))</f>
        <v>0</v>
      </c>
      <c r="AG211" s="281" cm="1">
        <f t="array" ref="AG211">IF(AB211="",0,SUMPRODUCT((TRIM('LY Sales '!$B$5:$B$200)=AB211)*('LY Sales '!$C$2:$AG$2=EDATE($C$4,-12)),'LY Sales '!$C$5:$AG$200))</f>
        <v>0</v>
      </c>
      <c r="AH211" s="271">
        <f t="shared" si="73"/>
        <v>0</v>
      </c>
      <c r="AI211" s="271">
        <f t="shared" si="74"/>
        <v>0</v>
      </c>
      <c r="AJ211" s="271">
        <f t="shared" si="75"/>
        <v>0</v>
      </c>
      <c r="AK211" s="271">
        <f t="shared" si="76"/>
        <v>0</v>
      </c>
      <c r="AL211" s="271">
        <f t="shared" si="77"/>
        <v>0</v>
      </c>
      <c r="AM211" s="306" cm="1">
        <f t="array" ref="AM211">IF(OR(AB211="",NOT(ISNUMBER('Sales Dashboard'!BF210))),0,SUMPRODUCT((IFERROR(--'Sales and count'!$G$2:$CC$2,0)=$F$4)*('Sales and count'!$G$3:$CC$3="Total"),INDEX('Sales and count'!$G$4:$CC$300,'Sales Dashboard'!BF210,0)))</f>
        <v>0</v>
      </c>
      <c r="AN211" s="306" cm="1">
        <f t="array" ref="AN211">IF(OR(AB211="",NOT(ISNUMBER('Sales Dashboard'!BG210))),0,SUMPRODUCT(('TY Sales Target'!$K$2:$AO$2=$F$4)*1,INDEX('TY Sales Target'!$K$5:$AO$300,'Sales Dashboard'!BG210,0)))</f>
        <v>0</v>
      </c>
      <c r="AO211" s="306" cm="1">
        <f t="array" ref="AO211">IF(AB211="",0,SUMPRODUCT((TRIM('LY Sales '!$B$5:$B$200)=AB211)*('LY Sales '!$C$2:$AG$2=EDATE($F$4,-12)),'LY Sales '!$C$5:$AG$200))</f>
        <v>0</v>
      </c>
      <c r="AP211">
        <f t="shared" si="78"/>
        <v>0</v>
      </c>
      <c r="AQ211">
        <f t="shared" si="79"/>
        <v>0</v>
      </c>
      <c r="AR211">
        <f t="shared" si="80"/>
        <v>0</v>
      </c>
      <c r="AS211">
        <f t="shared" si="81"/>
        <v>0</v>
      </c>
    </row>
    <row r="212" spans="1:45" x14ac:dyDescent="0.25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  <c r="AA212" s="271"/>
      <c r="AB212" s="271" t="str">
        <f>IF('Sales Dashboard'!AW211="","",'Sales Dashboard'!AW211)</f>
        <v/>
      </c>
      <c r="AC212" s="271" t="str">
        <f>IF(AB212="","",'Sales Dashboard'!AN211)</f>
        <v/>
      </c>
      <c r="AD212" s="271" t="str">
        <f>IF(AB212="","",'Sales Dashboard'!AO211)</f>
        <v/>
      </c>
      <c r="AE212" s="281" cm="1">
        <f t="array" ref="AE212">IF(OR(AB212="",NOT(ISNUMBER('Sales Dashboard'!BF211))),0,SUMPRODUCT((IFERROR(--'Sales and count'!$G$2:$CC$2,0)=$C$4)*('Sales and count'!$G$3:$CC$3="Total"),INDEX('Sales and count'!$G$4:$CC$300,'Sales Dashboard'!BF211,0)))</f>
        <v>0</v>
      </c>
      <c r="AF212" s="281" cm="1">
        <f t="array" ref="AF212">IF(OR(AB212="",NOT(ISNUMBER('Sales Dashboard'!BG211))),0,SUMPRODUCT(('TY Sales Target'!$K$2:$AO$2=$C$4)*1,INDEX('TY Sales Target'!$K$5:$AO$300,'Sales Dashboard'!BG211,0)))</f>
        <v>0</v>
      </c>
      <c r="AG212" s="281" cm="1">
        <f t="array" ref="AG212">IF(AB212="",0,SUMPRODUCT((TRIM('LY Sales '!$B$5:$B$200)=AB212)*('LY Sales '!$C$2:$AG$2=EDATE($C$4,-12)),'LY Sales '!$C$5:$AG$200))</f>
        <v>0</v>
      </c>
      <c r="AH212" s="271">
        <f t="shared" si="73"/>
        <v>0</v>
      </c>
      <c r="AI212" s="271">
        <f t="shared" si="74"/>
        <v>0</v>
      </c>
      <c r="AJ212" s="271">
        <f t="shared" si="75"/>
        <v>0</v>
      </c>
      <c r="AK212" s="271">
        <f t="shared" si="76"/>
        <v>0</v>
      </c>
      <c r="AL212" s="271">
        <f t="shared" si="77"/>
        <v>0</v>
      </c>
      <c r="AM212" s="306" cm="1">
        <f t="array" ref="AM212">IF(OR(AB212="",NOT(ISNUMBER('Sales Dashboard'!BF211))),0,SUMPRODUCT((IFERROR(--'Sales and count'!$G$2:$CC$2,0)=$F$4)*('Sales and count'!$G$3:$CC$3="Total"),INDEX('Sales and count'!$G$4:$CC$300,'Sales Dashboard'!BF211,0)))</f>
        <v>0</v>
      </c>
      <c r="AN212" s="306" cm="1">
        <f t="array" ref="AN212">IF(OR(AB212="",NOT(ISNUMBER('Sales Dashboard'!BG211))),0,SUMPRODUCT(('TY Sales Target'!$K$2:$AO$2=$F$4)*1,INDEX('TY Sales Target'!$K$5:$AO$300,'Sales Dashboard'!BG211,0)))</f>
        <v>0</v>
      </c>
      <c r="AO212" s="306" cm="1">
        <f t="array" ref="AO212">IF(AB212="",0,SUMPRODUCT((TRIM('LY Sales '!$B$5:$B$200)=AB212)*('LY Sales '!$C$2:$AG$2=EDATE($F$4,-12)),'LY Sales '!$C$5:$AG$200))</f>
        <v>0</v>
      </c>
      <c r="AP212">
        <f t="shared" si="78"/>
        <v>0</v>
      </c>
      <c r="AQ212">
        <f t="shared" si="79"/>
        <v>0</v>
      </c>
      <c r="AR212">
        <f t="shared" si="80"/>
        <v>0</v>
      </c>
      <c r="AS212">
        <f t="shared" si="81"/>
        <v>0</v>
      </c>
    </row>
    <row r="213" spans="1:45" x14ac:dyDescent="0.25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  <c r="AA213" s="271"/>
      <c r="AB213" s="271" t="str">
        <f>IF('Sales Dashboard'!AW212="","",'Sales Dashboard'!AW212)</f>
        <v/>
      </c>
      <c r="AC213" s="271" t="str">
        <f>IF(AB213="","",'Sales Dashboard'!AN212)</f>
        <v/>
      </c>
      <c r="AD213" s="271" t="str">
        <f>IF(AB213="","",'Sales Dashboard'!AO212)</f>
        <v/>
      </c>
      <c r="AE213" s="281" cm="1">
        <f t="array" ref="AE213">IF(OR(AB213="",NOT(ISNUMBER('Sales Dashboard'!BF212))),0,SUMPRODUCT((IFERROR(--'Sales and count'!$G$2:$CC$2,0)=$C$4)*('Sales and count'!$G$3:$CC$3="Total"),INDEX('Sales and count'!$G$4:$CC$300,'Sales Dashboard'!BF212,0)))</f>
        <v>0</v>
      </c>
      <c r="AF213" s="281" cm="1">
        <f t="array" ref="AF213">IF(OR(AB213="",NOT(ISNUMBER('Sales Dashboard'!BG212))),0,SUMPRODUCT(('TY Sales Target'!$K$2:$AO$2=$C$4)*1,INDEX('TY Sales Target'!$K$5:$AO$300,'Sales Dashboard'!BG212,0)))</f>
        <v>0</v>
      </c>
      <c r="AG213" s="281" cm="1">
        <f t="array" ref="AG213">IF(AB213="",0,SUMPRODUCT((TRIM('LY Sales '!$B$5:$B$200)=AB213)*('LY Sales '!$C$2:$AG$2=EDATE($C$4,-12)),'LY Sales '!$C$5:$AG$200))</f>
        <v>0</v>
      </c>
      <c r="AH213" s="271">
        <f t="shared" si="73"/>
        <v>0</v>
      </c>
      <c r="AI213" s="271">
        <f t="shared" si="74"/>
        <v>0</v>
      </c>
      <c r="AJ213" s="271">
        <f t="shared" si="75"/>
        <v>0</v>
      </c>
      <c r="AK213" s="271">
        <f t="shared" si="76"/>
        <v>0</v>
      </c>
      <c r="AL213" s="271">
        <f t="shared" si="77"/>
        <v>0</v>
      </c>
      <c r="AM213" s="306" cm="1">
        <f t="array" ref="AM213">IF(OR(AB213="",NOT(ISNUMBER('Sales Dashboard'!BF212))),0,SUMPRODUCT((IFERROR(--'Sales and count'!$G$2:$CC$2,0)=$F$4)*('Sales and count'!$G$3:$CC$3="Total"),INDEX('Sales and count'!$G$4:$CC$300,'Sales Dashboard'!BF212,0)))</f>
        <v>0</v>
      </c>
      <c r="AN213" s="306" cm="1">
        <f t="array" ref="AN213">IF(OR(AB213="",NOT(ISNUMBER('Sales Dashboard'!BG212))),0,SUMPRODUCT(('TY Sales Target'!$K$2:$AO$2=$F$4)*1,INDEX('TY Sales Target'!$K$5:$AO$300,'Sales Dashboard'!BG212,0)))</f>
        <v>0</v>
      </c>
      <c r="AO213" s="306" cm="1">
        <f t="array" ref="AO213">IF(AB213="",0,SUMPRODUCT((TRIM('LY Sales '!$B$5:$B$200)=AB213)*('LY Sales '!$C$2:$AG$2=EDATE($F$4,-12)),'LY Sales '!$C$5:$AG$200))</f>
        <v>0</v>
      </c>
      <c r="AP213">
        <f t="shared" si="78"/>
        <v>0</v>
      </c>
      <c r="AQ213">
        <f t="shared" si="79"/>
        <v>0</v>
      </c>
      <c r="AR213">
        <f t="shared" si="80"/>
        <v>0</v>
      </c>
      <c r="AS213">
        <f t="shared" si="81"/>
        <v>0</v>
      </c>
    </row>
    <row r="214" spans="1:45" x14ac:dyDescent="0.25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  <c r="AA214" s="271"/>
      <c r="AB214" s="271" t="str">
        <f>IF('Sales Dashboard'!AW213="","",'Sales Dashboard'!AW213)</f>
        <v/>
      </c>
      <c r="AC214" s="271" t="str">
        <f>IF(AB214="","",'Sales Dashboard'!AN213)</f>
        <v/>
      </c>
      <c r="AD214" s="271" t="str">
        <f>IF(AB214="","",'Sales Dashboard'!AO213)</f>
        <v/>
      </c>
      <c r="AE214" s="281" cm="1">
        <f t="array" ref="AE214">IF(OR(AB214="",NOT(ISNUMBER('Sales Dashboard'!BF213))),0,SUMPRODUCT((IFERROR(--'Sales and count'!$G$2:$CC$2,0)=$C$4)*('Sales and count'!$G$3:$CC$3="Total"),INDEX('Sales and count'!$G$4:$CC$300,'Sales Dashboard'!BF213,0)))</f>
        <v>0</v>
      </c>
      <c r="AF214" s="281" cm="1">
        <f t="array" ref="AF214">IF(OR(AB214="",NOT(ISNUMBER('Sales Dashboard'!BG213))),0,SUMPRODUCT(('TY Sales Target'!$K$2:$AO$2=$C$4)*1,INDEX('TY Sales Target'!$K$5:$AO$300,'Sales Dashboard'!BG213,0)))</f>
        <v>0</v>
      </c>
      <c r="AG214" s="281" cm="1">
        <f t="array" ref="AG214">IF(AB214="",0,SUMPRODUCT((TRIM('LY Sales '!$B$5:$B$200)=AB214)*('LY Sales '!$C$2:$AG$2=EDATE($C$4,-12)),'LY Sales '!$C$5:$AG$200))</f>
        <v>0</v>
      </c>
      <c r="AH214" s="271">
        <f t="shared" si="73"/>
        <v>0</v>
      </c>
      <c r="AI214" s="271">
        <f t="shared" si="74"/>
        <v>0</v>
      </c>
      <c r="AJ214" s="271">
        <f t="shared" si="75"/>
        <v>0</v>
      </c>
      <c r="AK214" s="271">
        <f t="shared" si="76"/>
        <v>0</v>
      </c>
      <c r="AL214" s="271">
        <f t="shared" si="77"/>
        <v>0</v>
      </c>
      <c r="AM214" s="306" cm="1">
        <f t="array" ref="AM214">IF(OR(AB214="",NOT(ISNUMBER('Sales Dashboard'!BF213))),0,SUMPRODUCT((IFERROR(--'Sales and count'!$G$2:$CC$2,0)=$F$4)*('Sales and count'!$G$3:$CC$3="Total"),INDEX('Sales and count'!$G$4:$CC$300,'Sales Dashboard'!BF213,0)))</f>
        <v>0</v>
      </c>
      <c r="AN214" s="306" cm="1">
        <f t="array" ref="AN214">IF(OR(AB214="",NOT(ISNUMBER('Sales Dashboard'!BG213))),0,SUMPRODUCT(('TY Sales Target'!$K$2:$AO$2=$F$4)*1,INDEX('TY Sales Target'!$K$5:$AO$300,'Sales Dashboard'!BG213,0)))</f>
        <v>0</v>
      </c>
      <c r="AO214" s="306" cm="1">
        <f t="array" ref="AO214">IF(AB214="",0,SUMPRODUCT((TRIM('LY Sales '!$B$5:$B$200)=AB214)*('LY Sales '!$C$2:$AG$2=EDATE($F$4,-12)),'LY Sales '!$C$5:$AG$200))</f>
        <v>0</v>
      </c>
      <c r="AP214">
        <f t="shared" si="78"/>
        <v>0</v>
      </c>
      <c r="AQ214">
        <f t="shared" si="79"/>
        <v>0</v>
      </c>
      <c r="AR214">
        <f t="shared" si="80"/>
        <v>0</v>
      </c>
      <c r="AS214">
        <f t="shared" si="81"/>
        <v>0</v>
      </c>
    </row>
    <row r="215" spans="1:45" x14ac:dyDescent="0.25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  <c r="AA215" s="271"/>
      <c r="AB215" s="271" t="str">
        <f>IF('Sales Dashboard'!AW214="","",'Sales Dashboard'!AW214)</f>
        <v/>
      </c>
      <c r="AC215" s="271" t="str">
        <f>IF(AB215="","",'Sales Dashboard'!AN214)</f>
        <v/>
      </c>
      <c r="AD215" s="271" t="str">
        <f>IF(AB215="","",'Sales Dashboard'!AO214)</f>
        <v/>
      </c>
      <c r="AE215" s="281" cm="1">
        <f t="array" ref="AE215">IF(OR(AB215="",NOT(ISNUMBER('Sales Dashboard'!BF214))),0,SUMPRODUCT((IFERROR(--'Sales and count'!$G$2:$CC$2,0)=$C$4)*('Sales and count'!$G$3:$CC$3="Total"),INDEX('Sales and count'!$G$4:$CC$300,'Sales Dashboard'!BF214,0)))</f>
        <v>0</v>
      </c>
      <c r="AF215" s="281" cm="1">
        <f t="array" ref="AF215">IF(OR(AB215="",NOT(ISNUMBER('Sales Dashboard'!BG214))),0,SUMPRODUCT(('TY Sales Target'!$K$2:$AO$2=$C$4)*1,INDEX('TY Sales Target'!$K$5:$AO$300,'Sales Dashboard'!BG214,0)))</f>
        <v>0</v>
      </c>
      <c r="AG215" s="281" cm="1">
        <f t="array" ref="AG215">IF(AB215="",0,SUMPRODUCT((TRIM('LY Sales '!$B$5:$B$200)=AB215)*('LY Sales '!$C$2:$AG$2=EDATE($C$4,-12)),'LY Sales '!$C$5:$AG$200))</f>
        <v>0</v>
      </c>
      <c r="AH215" s="271">
        <f t="shared" si="73"/>
        <v>0</v>
      </c>
      <c r="AI215" s="271">
        <f t="shared" si="74"/>
        <v>0</v>
      </c>
      <c r="AJ215" s="271">
        <f t="shared" si="75"/>
        <v>0</v>
      </c>
      <c r="AK215" s="271">
        <f t="shared" si="76"/>
        <v>0</v>
      </c>
      <c r="AL215" s="271">
        <f t="shared" si="77"/>
        <v>0</v>
      </c>
      <c r="AM215" s="306" cm="1">
        <f t="array" ref="AM215">IF(OR(AB215="",NOT(ISNUMBER('Sales Dashboard'!BF214))),0,SUMPRODUCT((IFERROR(--'Sales and count'!$G$2:$CC$2,0)=$F$4)*('Sales and count'!$G$3:$CC$3="Total"),INDEX('Sales and count'!$G$4:$CC$300,'Sales Dashboard'!BF214,0)))</f>
        <v>0</v>
      </c>
      <c r="AN215" s="306" cm="1">
        <f t="array" ref="AN215">IF(OR(AB215="",NOT(ISNUMBER('Sales Dashboard'!BG214))),0,SUMPRODUCT(('TY Sales Target'!$K$2:$AO$2=$F$4)*1,INDEX('TY Sales Target'!$K$5:$AO$300,'Sales Dashboard'!BG214,0)))</f>
        <v>0</v>
      </c>
      <c r="AO215" s="306" cm="1">
        <f t="array" ref="AO215">IF(AB215="",0,SUMPRODUCT((TRIM('LY Sales '!$B$5:$B$200)=AB215)*('LY Sales '!$C$2:$AG$2=EDATE($F$4,-12)),'LY Sales '!$C$5:$AG$200))</f>
        <v>0</v>
      </c>
      <c r="AP215">
        <f t="shared" si="78"/>
        <v>0</v>
      </c>
      <c r="AQ215">
        <f t="shared" si="79"/>
        <v>0</v>
      </c>
      <c r="AR215">
        <f t="shared" si="80"/>
        <v>0</v>
      </c>
      <c r="AS215">
        <f t="shared" si="81"/>
        <v>0</v>
      </c>
    </row>
    <row r="216" spans="1:45" x14ac:dyDescent="0.25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  <c r="AA216" s="271"/>
      <c r="AB216" s="271" t="str">
        <f>IF('Sales Dashboard'!AW215="","",'Sales Dashboard'!AW215)</f>
        <v/>
      </c>
      <c r="AC216" s="271" t="str">
        <f>IF(AB216="","",'Sales Dashboard'!AN215)</f>
        <v/>
      </c>
      <c r="AD216" s="271" t="str">
        <f>IF(AB216="","",'Sales Dashboard'!AO215)</f>
        <v/>
      </c>
      <c r="AE216" s="281" cm="1">
        <f t="array" ref="AE216">IF(OR(AB216="",NOT(ISNUMBER('Sales Dashboard'!BF215))),0,SUMPRODUCT((IFERROR(--'Sales and count'!$G$2:$CC$2,0)=$C$4)*('Sales and count'!$G$3:$CC$3="Total"),INDEX('Sales and count'!$G$4:$CC$300,'Sales Dashboard'!BF215,0)))</f>
        <v>0</v>
      </c>
      <c r="AF216" s="281" cm="1">
        <f t="array" ref="AF216">IF(OR(AB216="",NOT(ISNUMBER('Sales Dashboard'!BG215))),0,SUMPRODUCT(('TY Sales Target'!$K$2:$AO$2=$C$4)*1,INDEX('TY Sales Target'!$K$5:$AO$300,'Sales Dashboard'!BG215,0)))</f>
        <v>0</v>
      </c>
      <c r="AG216" s="281" cm="1">
        <f t="array" ref="AG216">IF(AB216="",0,SUMPRODUCT((TRIM('LY Sales '!$B$5:$B$200)=AB216)*('LY Sales '!$C$2:$AG$2=EDATE($C$4,-12)),'LY Sales '!$C$5:$AG$200))</f>
        <v>0</v>
      </c>
      <c r="AH216" s="271">
        <f t="shared" si="73"/>
        <v>0</v>
      </c>
      <c r="AI216" s="271">
        <f t="shared" si="74"/>
        <v>0</v>
      </c>
      <c r="AJ216" s="271">
        <f t="shared" si="75"/>
        <v>0</v>
      </c>
      <c r="AK216" s="271">
        <f t="shared" si="76"/>
        <v>0</v>
      </c>
      <c r="AL216" s="271">
        <f t="shared" si="77"/>
        <v>0</v>
      </c>
      <c r="AM216" s="306" cm="1">
        <f t="array" ref="AM216">IF(OR(AB216="",NOT(ISNUMBER('Sales Dashboard'!BF215))),0,SUMPRODUCT((IFERROR(--'Sales and count'!$G$2:$CC$2,0)=$F$4)*('Sales and count'!$G$3:$CC$3="Total"),INDEX('Sales and count'!$G$4:$CC$300,'Sales Dashboard'!BF215,0)))</f>
        <v>0</v>
      </c>
      <c r="AN216" s="306" cm="1">
        <f t="array" ref="AN216">IF(OR(AB216="",NOT(ISNUMBER('Sales Dashboard'!BG215))),0,SUMPRODUCT(('TY Sales Target'!$K$2:$AO$2=$F$4)*1,INDEX('TY Sales Target'!$K$5:$AO$300,'Sales Dashboard'!BG215,0)))</f>
        <v>0</v>
      </c>
      <c r="AO216" s="306" cm="1">
        <f t="array" ref="AO216">IF(AB216="",0,SUMPRODUCT((TRIM('LY Sales '!$B$5:$B$200)=AB216)*('LY Sales '!$C$2:$AG$2=EDATE($F$4,-12)),'LY Sales '!$C$5:$AG$200))</f>
        <v>0</v>
      </c>
      <c r="AP216">
        <f t="shared" si="78"/>
        <v>0</v>
      </c>
      <c r="AQ216">
        <f t="shared" si="79"/>
        <v>0</v>
      </c>
      <c r="AR216">
        <f t="shared" si="80"/>
        <v>0</v>
      </c>
      <c r="AS216">
        <f t="shared" si="81"/>
        <v>0</v>
      </c>
    </row>
    <row r="217" spans="1:45" x14ac:dyDescent="0.25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  <c r="AA217" s="271"/>
      <c r="AB217" s="271" t="str">
        <f>IF('Sales Dashboard'!AW216="","",'Sales Dashboard'!AW216)</f>
        <v/>
      </c>
      <c r="AC217" s="271" t="str">
        <f>IF(AB217="","",'Sales Dashboard'!AN216)</f>
        <v/>
      </c>
      <c r="AD217" s="271" t="str">
        <f>IF(AB217="","",'Sales Dashboard'!AO216)</f>
        <v/>
      </c>
      <c r="AE217" s="281" cm="1">
        <f t="array" ref="AE217">IF(OR(AB217="",NOT(ISNUMBER('Sales Dashboard'!BF216))),0,SUMPRODUCT((IFERROR(--'Sales and count'!$G$2:$CC$2,0)=$C$4)*('Sales and count'!$G$3:$CC$3="Total"),INDEX('Sales and count'!$G$4:$CC$300,'Sales Dashboard'!BF216,0)))</f>
        <v>0</v>
      </c>
      <c r="AF217" s="281" cm="1">
        <f t="array" ref="AF217">IF(OR(AB217="",NOT(ISNUMBER('Sales Dashboard'!BG216))),0,SUMPRODUCT(('TY Sales Target'!$K$2:$AO$2=$C$4)*1,INDEX('TY Sales Target'!$K$5:$AO$300,'Sales Dashboard'!BG216,0)))</f>
        <v>0</v>
      </c>
      <c r="AG217" s="281" cm="1">
        <f t="array" ref="AG217">IF(AB217="",0,SUMPRODUCT((TRIM('LY Sales '!$B$5:$B$200)=AB217)*('LY Sales '!$C$2:$AG$2=EDATE($C$4,-12)),'LY Sales '!$C$5:$AG$200))</f>
        <v>0</v>
      </c>
      <c r="AH217" s="271">
        <f t="shared" si="73"/>
        <v>0</v>
      </c>
      <c r="AI217" s="271">
        <f t="shared" si="74"/>
        <v>0</v>
      </c>
      <c r="AJ217" s="271">
        <f t="shared" si="75"/>
        <v>0</v>
      </c>
      <c r="AK217" s="271">
        <f t="shared" si="76"/>
        <v>0</v>
      </c>
      <c r="AL217" s="271">
        <f t="shared" si="77"/>
        <v>0</v>
      </c>
      <c r="AM217" s="306" cm="1">
        <f t="array" ref="AM217">IF(OR(AB217="",NOT(ISNUMBER('Sales Dashboard'!BF216))),0,SUMPRODUCT((IFERROR(--'Sales and count'!$G$2:$CC$2,0)=$F$4)*('Sales and count'!$G$3:$CC$3="Total"),INDEX('Sales and count'!$G$4:$CC$300,'Sales Dashboard'!BF216,0)))</f>
        <v>0</v>
      </c>
      <c r="AN217" s="306" cm="1">
        <f t="array" ref="AN217">IF(OR(AB217="",NOT(ISNUMBER('Sales Dashboard'!BG216))),0,SUMPRODUCT(('TY Sales Target'!$K$2:$AO$2=$F$4)*1,INDEX('TY Sales Target'!$K$5:$AO$300,'Sales Dashboard'!BG216,0)))</f>
        <v>0</v>
      </c>
      <c r="AO217" s="306" cm="1">
        <f t="array" ref="AO217">IF(AB217="",0,SUMPRODUCT((TRIM('LY Sales '!$B$5:$B$200)=AB217)*('LY Sales '!$C$2:$AG$2=EDATE($F$4,-12)),'LY Sales '!$C$5:$AG$200))</f>
        <v>0</v>
      </c>
      <c r="AP217">
        <f t="shared" si="78"/>
        <v>0</v>
      </c>
      <c r="AQ217">
        <f t="shared" si="79"/>
        <v>0</v>
      </c>
      <c r="AR217">
        <f t="shared" si="80"/>
        <v>0</v>
      </c>
      <c r="AS217">
        <f t="shared" si="81"/>
        <v>0</v>
      </c>
    </row>
    <row r="218" spans="1:45" x14ac:dyDescent="0.25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  <c r="AA218" s="271"/>
      <c r="AB218" s="271" t="str">
        <f>IF('Sales Dashboard'!AW217="","",'Sales Dashboard'!AW217)</f>
        <v/>
      </c>
      <c r="AC218" s="271" t="str">
        <f>IF(AB218="","",'Sales Dashboard'!AN217)</f>
        <v/>
      </c>
      <c r="AD218" s="271" t="str">
        <f>IF(AB218="","",'Sales Dashboard'!AO217)</f>
        <v/>
      </c>
      <c r="AE218" s="281" cm="1">
        <f t="array" ref="AE218">IF(OR(AB218="",NOT(ISNUMBER('Sales Dashboard'!BF217))),0,SUMPRODUCT((IFERROR(--'Sales and count'!$G$2:$CC$2,0)=$C$4)*('Sales and count'!$G$3:$CC$3="Total"),INDEX('Sales and count'!$G$4:$CC$300,'Sales Dashboard'!BF217,0)))</f>
        <v>0</v>
      </c>
      <c r="AF218" s="281" cm="1">
        <f t="array" ref="AF218">IF(OR(AB218="",NOT(ISNUMBER('Sales Dashboard'!BG217))),0,SUMPRODUCT(('TY Sales Target'!$K$2:$AO$2=$C$4)*1,INDEX('TY Sales Target'!$K$5:$AO$300,'Sales Dashboard'!BG217,0)))</f>
        <v>0</v>
      </c>
      <c r="AG218" s="281" cm="1">
        <f t="array" ref="AG218">IF(AB218="",0,SUMPRODUCT((TRIM('LY Sales '!$B$5:$B$200)=AB218)*('LY Sales '!$C$2:$AG$2=EDATE($C$4,-12)),'LY Sales '!$C$5:$AG$200))</f>
        <v>0</v>
      </c>
      <c r="AH218" s="271">
        <f t="shared" si="73"/>
        <v>0</v>
      </c>
      <c r="AI218" s="271">
        <f t="shared" si="74"/>
        <v>0</v>
      </c>
      <c r="AJ218" s="271">
        <f t="shared" si="75"/>
        <v>0</v>
      </c>
      <c r="AK218" s="271">
        <f t="shared" si="76"/>
        <v>0</v>
      </c>
      <c r="AL218" s="271">
        <f t="shared" si="77"/>
        <v>0</v>
      </c>
      <c r="AM218" s="306" cm="1">
        <f t="array" ref="AM218">IF(OR(AB218="",NOT(ISNUMBER('Sales Dashboard'!BF217))),0,SUMPRODUCT((IFERROR(--'Sales and count'!$G$2:$CC$2,0)=$F$4)*('Sales and count'!$G$3:$CC$3="Total"),INDEX('Sales and count'!$G$4:$CC$300,'Sales Dashboard'!BF217,0)))</f>
        <v>0</v>
      </c>
      <c r="AN218" s="306" cm="1">
        <f t="array" ref="AN218">IF(OR(AB218="",NOT(ISNUMBER('Sales Dashboard'!BG217))),0,SUMPRODUCT(('TY Sales Target'!$K$2:$AO$2=$F$4)*1,INDEX('TY Sales Target'!$K$5:$AO$300,'Sales Dashboard'!BG217,0)))</f>
        <v>0</v>
      </c>
      <c r="AO218" s="306" cm="1">
        <f t="array" ref="AO218">IF(AB218="",0,SUMPRODUCT((TRIM('LY Sales '!$B$5:$B$200)=AB218)*('LY Sales '!$C$2:$AG$2=EDATE($F$4,-12)),'LY Sales '!$C$5:$AG$200))</f>
        <v>0</v>
      </c>
      <c r="AP218">
        <f t="shared" si="78"/>
        <v>0</v>
      </c>
      <c r="AQ218">
        <f t="shared" si="79"/>
        <v>0</v>
      </c>
      <c r="AR218">
        <f t="shared" si="80"/>
        <v>0</v>
      </c>
      <c r="AS218">
        <f t="shared" si="81"/>
        <v>0</v>
      </c>
    </row>
    <row r="219" spans="1:45" x14ac:dyDescent="0.25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  <c r="AA219" s="271"/>
      <c r="AB219" s="271" t="str">
        <f>IF('Sales Dashboard'!AW218="","",'Sales Dashboard'!AW218)</f>
        <v/>
      </c>
      <c r="AC219" s="271" t="str">
        <f>IF(AB219="","",'Sales Dashboard'!AN218)</f>
        <v/>
      </c>
      <c r="AD219" s="271" t="str">
        <f>IF(AB219="","",'Sales Dashboard'!AO218)</f>
        <v/>
      </c>
      <c r="AE219" s="281" cm="1">
        <f t="array" ref="AE219">IF(OR(AB219="",NOT(ISNUMBER('Sales Dashboard'!BF218))),0,SUMPRODUCT((IFERROR(--'Sales and count'!$G$2:$CC$2,0)=$C$4)*('Sales and count'!$G$3:$CC$3="Total"),INDEX('Sales and count'!$G$4:$CC$300,'Sales Dashboard'!BF218,0)))</f>
        <v>0</v>
      </c>
      <c r="AF219" s="281" cm="1">
        <f t="array" ref="AF219">IF(OR(AB219="",NOT(ISNUMBER('Sales Dashboard'!BG218))),0,SUMPRODUCT(('TY Sales Target'!$K$2:$AO$2=$C$4)*1,INDEX('TY Sales Target'!$K$5:$AO$300,'Sales Dashboard'!BG218,0)))</f>
        <v>0</v>
      </c>
      <c r="AG219" s="281" cm="1">
        <f t="array" ref="AG219">IF(AB219="",0,SUMPRODUCT((TRIM('LY Sales '!$B$5:$B$200)=AB219)*('LY Sales '!$C$2:$AG$2=EDATE($C$4,-12)),'LY Sales '!$C$5:$AG$200))</f>
        <v>0</v>
      </c>
      <c r="AH219" s="271">
        <f t="shared" si="73"/>
        <v>0</v>
      </c>
      <c r="AI219" s="271">
        <f t="shared" si="74"/>
        <v>0</v>
      </c>
      <c r="AJ219" s="271">
        <f t="shared" si="75"/>
        <v>0</v>
      </c>
      <c r="AK219" s="271">
        <f t="shared" si="76"/>
        <v>0</v>
      </c>
      <c r="AL219" s="271">
        <f t="shared" si="77"/>
        <v>0</v>
      </c>
      <c r="AM219" s="306" cm="1">
        <f t="array" ref="AM219">IF(OR(AB219="",NOT(ISNUMBER('Sales Dashboard'!BF218))),0,SUMPRODUCT((IFERROR(--'Sales and count'!$G$2:$CC$2,0)=$F$4)*('Sales and count'!$G$3:$CC$3="Total"),INDEX('Sales and count'!$G$4:$CC$300,'Sales Dashboard'!BF218,0)))</f>
        <v>0</v>
      </c>
      <c r="AN219" s="306" cm="1">
        <f t="array" ref="AN219">IF(OR(AB219="",NOT(ISNUMBER('Sales Dashboard'!BG218))),0,SUMPRODUCT(('TY Sales Target'!$K$2:$AO$2=$F$4)*1,INDEX('TY Sales Target'!$K$5:$AO$300,'Sales Dashboard'!BG218,0)))</f>
        <v>0</v>
      </c>
      <c r="AO219" s="306" cm="1">
        <f t="array" ref="AO219">IF(AB219="",0,SUMPRODUCT((TRIM('LY Sales '!$B$5:$B$200)=AB219)*('LY Sales '!$C$2:$AG$2=EDATE($F$4,-12)),'LY Sales '!$C$5:$AG$200))</f>
        <v>0</v>
      </c>
      <c r="AP219">
        <f t="shared" si="78"/>
        <v>0</v>
      </c>
      <c r="AQ219">
        <f t="shared" si="79"/>
        <v>0</v>
      </c>
      <c r="AR219">
        <f t="shared" si="80"/>
        <v>0</v>
      </c>
      <c r="AS219">
        <f t="shared" si="81"/>
        <v>0</v>
      </c>
    </row>
    <row r="220" spans="1:45" x14ac:dyDescent="0.25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  <c r="AA220" s="271"/>
      <c r="AB220" s="271" t="str">
        <f>IF('Sales Dashboard'!AW219="","",'Sales Dashboard'!AW219)</f>
        <v/>
      </c>
      <c r="AC220" s="271" t="str">
        <f>IF(AB220="","",'Sales Dashboard'!AN219)</f>
        <v/>
      </c>
      <c r="AD220" s="271" t="str">
        <f>IF(AB220="","",'Sales Dashboard'!AO219)</f>
        <v/>
      </c>
      <c r="AE220" s="281" cm="1">
        <f t="array" ref="AE220">IF(OR(AB220="",NOT(ISNUMBER('Sales Dashboard'!BF219))),0,SUMPRODUCT((IFERROR(--'Sales and count'!$G$2:$CC$2,0)=$C$4)*('Sales and count'!$G$3:$CC$3="Total"),INDEX('Sales and count'!$G$4:$CC$300,'Sales Dashboard'!BF219,0)))</f>
        <v>0</v>
      </c>
      <c r="AF220" s="281" cm="1">
        <f t="array" ref="AF220">IF(OR(AB220="",NOT(ISNUMBER('Sales Dashboard'!BG219))),0,SUMPRODUCT(('TY Sales Target'!$K$2:$AO$2=$C$4)*1,INDEX('TY Sales Target'!$K$5:$AO$300,'Sales Dashboard'!BG219,0)))</f>
        <v>0</v>
      </c>
      <c r="AG220" s="281" cm="1">
        <f t="array" ref="AG220">IF(AB220="",0,SUMPRODUCT((TRIM('LY Sales '!$B$5:$B$200)=AB220)*('LY Sales '!$C$2:$AG$2=EDATE($C$4,-12)),'LY Sales '!$C$5:$AG$200))</f>
        <v>0</v>
      </c>
      <c r="AH220" s="271">
        <f t="shared" si="73"/>
        <v>0</v>
      </c>
      <c r="AI220" s="271">
        <f t="shared" si="74"/>
        <v>0</v>
      </c>
      <c r="AJ220" s="271">
        <f t="shared" si="75"/>
        <v>0</v>
      </c>
      <c r="AK220" s="271">
        <f t="shared" si="76"/>
        <v>0</v>
      </c>
      <c r="AL220" s="271">
        <f t="shared" si="77"/>
        <v>0</v>
      </c>
      <c r="AM220" s="306" cm="1">
        <f t="array" ref="AM220">IF(OR(AB220="",NOT(ISNUMBER('Sales Dashboard'!BF219))),0,SUMPRODUCT((IFERROR(--'Sales and count'!$G$2:$CC$2,0)=$F$4)*('Sales and count'!$G$3:$CC$3="Total"),INDEX('Sales and count'!$G$4:$CC$300,'Sales Dashboard'!BF219,0)))</f>
        <v>0</v>
      </c>
      <c r="AN220" s="306" cm="1">
        <f t="array" ref="AN220">IF(OR(AB220="",NOT(ISNUMBER('Sales Dashboard'!BG219))),0,SUMPRODUCT(('TY Sales Target'!$K$2:$AO$2=$F$4)*1,INDEX('TY Sales Target'!$K$5:$AO$300,'Sales Dashboard'!BG219,0)))</f>
        <v>0</v>
      </c>
      <c r="AO220" s="306" cm="1">
        <f t="array" ref="AO220">IF(AB220="",0,SUMPRODUCT((TRIM('LY Sales '!$B$5:$B$200)=AB220)*('LY Sales '!$C$2:$AG$2=EDATE($F$4,-12)),'LY Sales '!$C$5:$AG$200))</f>
        <v>0</v>
      </c>
      <c r="AP220">
        <f t="shared" si="78"/>
        <v>0</v>
      </c>
      <c r="AQ220">
        <f t="shared" si="79"/>
        <v>0</v>
      </c>
      <c r="AR220">
        <f t="shared" si="80"/>
        <v>0</v>
      </c>
      <c r="AS220">
        <f t="shared" si="81"/>
        <v>0</v>
      </c>
    </row>
    <row r="221" spans="1:45" x14ac:dyDescent="0.25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 t="str">
        <f>IF('Sales Dashboard'!AW220="","",'Sales Dashboard'!AW220)</f>
        <v/>
      </c>
      <c r="AC221" s="271" t="str">
        <f>IF(AB221="","",'Sales Dashboard'!AN220)</f>
        <v/>
      </c>
      <c r="AD221" s="271" t="str">
        <f>IF(AB221="","",'Sales Dashboard'!AO220)</f>
        <v/>
      </c>
      <c r="AE221" s="281" cm="1">
        <f t="array" ref="AE221">IF(OR(AB221="",NOT(ISNUMBER('Sales Dashboard'!BF220))),0,SUMPRODUCT((IFERROR(--'Sales and count'!$G$2:$CC$2,0)=$C$4)*('Sales and count'!$G$3:$CC$3="Total"),INDEX('Sales and count'!$G$4:$CC$300,'Sales Dashboard'!BF220,0)))</f>
        <v>0</v>
      </c>
      <c r="AF221" s="281" cm="1">
        <f t="array" ref="AF221">IF(OR(AB221="",NOT(ISNUMBER('Sales Dashboard'!BG220))),0,SUMPRODUCT(('TY Sales Target'!$K$2:$AO$2=$C$4)*1,INDEX('TY Sales Target'!$K$5:$AO$300,'Sales Dashboard'!BG220,0)))</f>
        <v>0</v>
      </c>
      <c r="AG221" s="281" cm="1">
        <f t="array" ref="AG221">IF(AB221="",0,SUMPRODUCT((TRIM('LY Sales '!$B$5:$B$200)=AB221)*('LY Sales '!$C$2:$AG$2=EDATE($C$4,-12)),'LY Sales '!$C$5:$AG$200))</f>
        <v>0</v>
      </c>
      <c r="AH221" s="271">
        <f t="shared" si="73"/>
        <v>0</v>
      </c>
      <c r="AI221" s="271">
        <f t="shared" si="74"/>
        <v>0</v>
      </c>
      <c r="AJ221" s="271">
        <f t="shared" si="75"/>
        <v>0</v>
      </c>
      <c r="AK221" s="271">
        <f t="shared" si="76"/>
        <v>0</v>
      </c>
      <c r="AL221" s="271">
        <f t="shared" si="77"/>
        <v>0</v>
      </c>
      <c r="AM221" s="306" cm="1">
        <f t="array" ref="AM221">IF(OR(AB221="",NOT(ISNUMBER('Sales Dashboard'!BF220))),0,SUMPRODUCT((IFERROR(--'Sales and count'!$G$2:$CC$2,0)=$F$4)*('Sales and count'!$G$3:$CC$3="Total"),INDEX('Sales and count'!$G$4:$CC$300,'Sales Dashboard'!BF220,0)))</f>
        <v>0</v>
      </c>
      <c r="AN221" s="306" cm="1">
        <f t="array" ref="AN221">IF(OR(AB221="",NOT(ISNUMBER('Sales Dashboard'!BG220))),0,SUMPRODUCT(('TY Sales Target'!$K$2:$AO$2=$F$4)*1,INDEX('TY Sales Target'!$K$5:$AO$300,'Sales Dashboard'!BG220,0)))</f>
        <v>0</v>
      </c>
      <c r="AO221" s="306" cm="1">
        <f t="array" ref="AO221">IF(AB221="",0,SUMPRODUCT((TRIM('LY Sales '!$B$5:$B$200)=AB221)*('LY Sales '!$C$2:$AG$2=EDATE($F$4,-12)),'LY Sales '!$C$5:$AG$200))</f>
        <v>0</v>
      </c>
      <c r="AP221">
        <f t="shared" si="78"/>
        <v>0</v>
      </c>
      <c r="AQ221">
        <f t="shared" si="79"/>
        <v>0</v>
      </c>
      <c r="AR221">
        <f t="shared" si="80"/>
        <v>0</v>
      </c>
      <c r="AS221">
        <f t="shared" si="81"/>
        <v>0</v>
      </c>
    </row>
    <row r="222" spans="1:45" x14ac:dyDescent="0.25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  <c r="AA222" s="271"/>
      <c r="AB222" s="271" t="str">
        <f>IF('Sales Dashboard'!AW221="","",'Sales Dashboard'!AW221)</f>
        <v/>
      </c>
      <c r="AC222" s="271" t="str">
        <f>IF(AB222="","",'Sales Dashboard'!AN221)</f>
        <v/>
      </c>
      <c r="AD222" s="271" t="str">
        <f>IF(AB222="","",'Sales Dashboard'!AO221)</f>
        <v/>
      </c>
      <c r="AE222" s="281" cm="1">
        <f t="array" ref="AE222">IF(OR(AB222="",NOT(ISNUMBER('Sales Dashboard'!BF221))),0,SUMPRODUCT((IFERROR(--'Sales and count'!$G$2:$CC$2,0)=$C$4)*('Sales and count'!$G$3:$CC$3="Total"),INDEX('Sales and count'!$G$4:$CC$300,'Sales Dashboard'!BF221,0)))</f>
        <v>0</v>
      </c>
      <c r="AF222" s="281" cm="1">
        <f t="array" ref="AF222">IF(OR(AB222="",NOT(ISNUMBER('Sales Dashboard'!BG221))),0,SUMPRODUCT(('TY Sales Target'!$K$2:$AO$2=$C$4)*1,INDEX('TY Sales Target'!$K$5:$AO$300,'Sales Dashboard'!BG221,0)))</f>
        <v>0</v>
      </c>
      <c r="AG222" s="281" cm="1">
        <f t="array" ref="AG222">IF(AB222="",0,SUMPRODUCT((TRIM('LY Sales '!$B$5:$B$200)=AB222)*('LY Sales '!$C$2:$AG$2=EDATE($C$4,-12)),'LY Sales '!$C$5:$AG$200))</f>
        <v>0</v>
      </c>
      <c r="AH222" s="271">
        <f t="shared" si="73"/>
        <v>0</v>
      </c>
      <c r="AI222" s="271">
        <f t="shared" si="74"/>
        <v>0</v>
      </c>
      <c r="AJ222" s="271">
        <f t="shared" si="75"/>
        <v>0</v>
      </c>
      <c r="AK222" s="271">
        <f t="shared" si="76"/>
        <v>0</v>
      </c>
      <c r="AL222" s="271">
        <f t="shared" si="77"/>
        <v>0</v>
      </c>
      <c r="AM222" s="306" cm="1">
        <f t="array" ref="AM222">IF(OR(AB222="",NOT(ISNUMBER('Sales Dashboard'!BF221))),0,SUMPRODUCT((IFERROR(--'Sales and count'!$G$2:$CC$2,0)=$F$4)*('Sales and count'!$G$3:$CC$3="Total"),INDEX('Sales and count'!$G$4:$CC$300,'Sales Dashboard'!BF221,0)))</f>
        <v>0</v>
      </c>
      <c r="AN222" s="306" cm="1">
        <f t="array" ref="AN222">IF(OR(AB222="",NOT(ISNUMBER('Sales Dashboard'!BG221))),0,SUMPRODUCT(('TY Sales Target'!$K$2:$AO$2=$F$4)*1,INDEX('TY Sales Target'!$K$5:$AO$300,'Sales Dashboard'!BG221,0)))</f>
        <v>0</v>
      </c>
      <c r="AO222" s="306" cm="1">
        <f t="array" ref="AO222">IF(AB222="",0,SUMPRODUCT((TRIM('LY Sales '!$B$5:$B$200)=AB222)*('LY Sales '!$C$2:$AG$2=EDATE($F$4,-12)),'LY Sales '!$C$5:$AG$200))</f>
        <v>0</v>
      </c>
      <c r="AP222">
        <f t="shared" si="78"/>
        <v>0</v>
      </c>
      <c r="AQ222">
        <f t="shared" si="79"/>
        <v>0</v>
      </c>
      <c r="AR222">
        <f t="shared" si="80"/>
        <v>0</v>
      </c>
      <c r="AS222">
        <f t="shared" si="81"/>
        <v>0</v>
      </c>
    </row>
    <row r="223" spans="1:45" x14ac:dyDescent="0.25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  <c r="AA223" s="271"/>
      <c r="AB223" s="271" t="str">
        <f>IF('Sales Dashboard'!AW222="","",'Sales Dashboard'!AW222)</f>
        <v/>
      </c>
      <c r="AC223" s="271" t="str">
        <f>IF(AB223="","",'Sales Dashboard'!AN222)</f>
        <v/>
      </c>
      <c r="AD223" s="271" t="str">
        <f>IF(AB223="","",'Sales Dashboard'!AO222)</f>
        <v/>
      </c>
      <c r="AE223" s="281" cm="1">
        <f t="array" ref="AE223">IF(OR(AB223="",NOT(ISNUMBER('Sales Dashboard'!BF222))),0,SUMPRODUCT((IFERROR(--'Sales and count'!$G$2:$CC$2,0)=$C$4)*('Sales and count'!$G$3:$CC$3="Total"),INDEX('Sales and count'!$G$4:$CC$300,'Sales Dashboard'!BF222,0)))</f>
        <v>0</v>
      </c>
      <c r="AF223" s="281" cm="1">
        <f t="array" ref="AF223">IF(OR(AB223="",NOT(ISNUMBER('Sales Dashboard'!BG222))),0,SUMPRODUCT(('TY Sales Target'!$K$2:$AO$2=$C$4)*1,INDEX('TY Sales Target'!$K$5:$AO$300,'Sales Dashboard'!BG222,0)))</f>
        <v>0</v>
      </c>
      <c r="AG223" s="281" cm="1">
        <f t="array" ref="AG223">IF(AB223="",0,SUMPRODUCT((TRIM('LY Sales '!$B$5:$B$200)=AB223)*('LY Sales '!$C$2:$AG$2=EDATE($C$4,-12)),'LY Sales '!$C$5:$AG$200))</f>
        <v>0</v>
      </c>
      <c r="AH223" s="271">
        <f t="shared" si="73"/>
        <v>0</v>
      </c>
      <c r="AI223" s="271">
        <f t="shared" si="74"/>
        <v>0</v>
      </c>
      <c r="AJ223" s="271">
        <f t="shared" si="75"/>
        <v>0</v>
      </c>
      <c r="AK223" s="271">
        <f t="shared" si="76"/>
        <v>0</v>
      </c>
      <c r="AL223" s="271">
        <f t="shared" si="77"/>
        <v>0</v>
      </c>
      <c r="AM223" s="306" cm="1">
        <f t="array" ref="AM223">IF(OR(AB223="",NOT(ISNUMBER('Sales Dashboard'!BF222))),0,SUMPRODUCT((IFERROR(--'Sales and count'!$G$2:$CC$2,0)=$F$4)*('Sales and count'!$G$3:$CC$3="Total"),INDEX('Sales and count'!$G$4:$CC$300,'Sales Dashboard'!BF222,0)))</f>
        <v>0</v>
      </c>
      <c r="AN223" s="306" cm="1">
        <f t="array" ref="AN223">IF(OR(AB223="",NOT(ISNUMBER('Sales Dashboard'!BG222))),0,SUMPRODUCT(('TY Sales Target'!$K$2:$AO$2=$F$4)*1,INDEX('TY Sales Target'!$K$5:$AO$300,'Sales Dashboard'!BG222,0)))</f>
        <v>0</v>
      </c>
      <c r="AO223" s="306" cm="1">
        <f t="array" ref="AO223">IF(AB223="",0,SUMPRODUCT((TRIM('LY Sales '!$B$5:$B$200)=AB223)*('LY Sales '!$C$2:$AG$2=EDATE($F$4,-12)),'LY Sales '!$C$5:$AG$200))</f>
        <v>0</v>
      </c>
      <c r="AP223">
        <f t="shared" si="78"/>
        <v>0</v>
      </c>
      <c r="AQ223">
        <f t="shared" si="79"/>
        <v>0</v>
      </c>
      <c r="AR223">
        <f t="shared" si="80"/>
        <v>0</v>
      </c>
      <c r="AS223">
        <f t="shared" si="81"/>
        <v>0</v>
      </c>
    </row>
    <row r="224" spans="1:45" x14ac:dyDescent="0.25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  <c r="AA224" s="271"/>
      <c r="AB224" s="271" t="str">
        <f>IF('Sales Dashboard'!AW223="","",'Sales Dashboard'!AW223)</f>
        <v/>
      </c>
      <c r="AC224" s="271" t="str">
        <f>IF(AB224="","",'Sales Dashboard'!AN223)</f>
        <v/>
      </c>
      <c r="AD224" s="271" t="str">
        <f>IF(AB224="","",'Sales Dashboard'!AO223)</f>
        <v/>
      </c>
      <c r="AE224" s="281" cm="1">
        <f t="array" ref="AE224">IF(OR(AB224="",NOT(ISNUMBER('Sales Dashboard'!BF223))),0,SUMPRODUCT((IFERROR(--'Sales and count'!$G$2:$CC$2,0)=$C$4)*('Sales and count'!$G$3:$CC$3="Total"),INDEX('Sales and count'!$G$4:$CC$300,'Sales Dashboard'!BF223,0)))</f>
        <v>0</v>
      </c>
      <c r="AF224" s="281" cm="1">
        <f t="array" ref="AF224">IF(OR(AB224="",NOT(ISNUMBER('Sales Dashboard'!BG223))),0,SUMPRODUCT(('TY Sales Target'!$K$2:$AO$2=$C$4)*1,INDEX('TY Sales Target'!$K$5:$AO$300,'Sales Dashboard'!BG223,0)))</f>
        <v>0</v>
      </c>
      <c r="AG224" s="281" cm="1">
        <f t="array" ref="AG224">IF(AB224="",0,SUMPRODUCT((TRIM('LY Sales '!$B$5:$B$200)=AB224)*('LY Sales '!$C$2:$AG$2=EDATE($C$4,-12)),'LY Sales '!$C$5:$AG$200))</f>
        <v>0</v>
      </c>
      <c r="AH224" s="271">
        <f t="shared" si="73"/>
        <v>0</v>
      </c>
      <c r="AI224" s="271">
        <f t="shared" si="74"/>
        <v>0</v>
      </c>
      <c r="AJ224" s="271">
        <f t="shared" si="75"/>
        <v>0</v>
      </c>
      <c r="AK224" s="271">
        <f t="shared" si="76"/>
        <v>0</v>
      </c>
      <c r="AL224" s="271">
        <f t="shared" si="77"/>
        <v>0</v>
      </c>
      <c r="AM224" s="306" cm="1">
        <f t="array" ref="AM224">IF(OR(AB224="",NOT(ISNUMBER('Sales Dashboard'!BF223))),0,SUMPRODUCT((IFERROR(--'Sales and count'!$G$2:$CC$2,0)=$F$4)*('Sales and count'!$G$3:$CC$3="Total"),INDEX('Sales and count'!$G$4:$CC$300,'Sales Dashboard'!BF223,0)))</f>
        <v>0</v>
      </c>
      <c r="AN224" s="306" cm="1">
        <f t="array" ref="AN224">IF(OR(AB224="",NOT(ISNUMBER('Sales Dashboard'!BG223))),0,SUMPRODUCT(('TY Sales Target'!$K$2:$AO$2=$F$4)*1,INDEX('TY Sales Target'!$K$5:$AO$300,'Sales Dashboard'!BG223,0)))</f>
        <v>0</v>
      </c>
      <c r="AO224" s="306" cm="1">
        <f t="array" ref="AO224">IF(AB224="",0,SUMPRODUCT((TRIM('LY Sales '!$B$5:$B$200)=AB224)*('LY Sales '!$C$2:$AG$2=EDATE($F$4,-12)),'LY Sales '!$C$5:$AG$200))</f>
        <v>0</v>
      </c>
      <c r="AP224">
        <f t="shared" si="78"/>
        <v>0</v>
      </c>
      <c r="AQ224">
        <f t="shared" si="79"/>
        <v>0</v>
      </c>
      <c r="AR224">
        <f t="shared" si="80"/>
        <v>0</v>
      </c>
      <c r="AS224">
        <f t="shared" si="81"/>
        <v>0</v>
      </c>
    </row>
    <row r="225" spans="1:45" x14ac:dyDescent="0.25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  <c r="AA225" s="271"/>
      <c r="AB225" s="271" t="str">
        <f>IF('Sales Dashboard'!AW224="","",'Sales Dashboard'!AW224)</f>
        <v/>
      </c>
      <c r="AC225" s="271" t="str">
        <f>IF(AB225="","",'Sales Dashboard'!AN224)</f>
        <v/>
      </c>
      <c r="AD225" s="271" t="str">
        <f>IF(AB225="","",'Sales Dashboard'!AO224)</f>
        <v/>
      </c>
      <c r="AE225" s="281" cm="1">
        <f t="array" ref="AE225">IF(OR(AB225="",NOT(ISNUMBER('Sales Dashboard'!BF224))),0,SUMPRODUCT((IFERROR(--'Sales and count'!$G$2:$CC$2,0)=$C$4)*('Sales and count'!$G$3:$CC$3="Total"),INDEX('Sales and count'!$G$4:$CC$300,'Sales Dashboard'!BF224,0)))</f>
        <v>0</v>
      </c>
      <c r="AF225" s="281" cm="1">
        <f t="array" ref="AF225">IF(OR(AB225="",NOT(ISNUMBER('Sales Dashboard'!BG224))),0,SUMPRODUCT(('TY Sales Target'!$K$2:$AO$2=$C$4)*1,INDEX('TY Sales Target'!$K$5:$AO$300,'Sales Dashboard'!BG224,0)))</f>
        <v>0</v>
      </c>
      <c r="AG225" s="281" cm="1">
        <f t="array" ref="AG225">IF(AB225="",0,SUMPRODUCT((TRIM('LY Sales '!$B$5:$B$200)=AB225)*('LY Sales '!$C$2:$AG$2=EDATE($C$4,-12)),'LY Sales '!$C$5:$AG$200))</f>
        <v>0</v>
      </c>
      <c r="AH225" s="271">
        <f t="shared" si="73"/>
        <v>0</v>
      </c>
      <c r="AI225" s="271">
        <f t="shared" si="74"/>
        <v>0</v>
      </c>
      <c r="AJ225" s="271">
        <f t="shared" si="75"/>
        <v>0</v>
      </c>
      <c r="AK225" s="271">
        <f t="shared" si="76"/>
        <v>0</v>
      </c>
      <c r="AL225" s="271">
        <f t="shared" si="77"/>
        <v>0</v>
      </c>
      <c r="AM225" s="306" cm="1">
        <f t="array" ref="AM225">IF(OR(AB225="",NOT(ISNUMBER('Sales Dashboard'!BF224))),0,SUMPRODUCT((IFERROR(--'Sales and count'!$G$2:$CC$2,0)=$F$4)*('Sales and count'!$G$3:$CC$3="Total"),INDEX('Sales and count'!$G$4:$CC$300,'Sales Dashboard'!BF224,0)))</f>
        <v>0</v>
      </c>
      <c r="AN225" s="306" cm="1">
        <f t="array" ref="AN225">IF(OR(AB225="",NOT(ISNUMBER('Sales Dashboard'!BG224))),0,SUMPRODUCT(('TY Sales Target'!$K$2:$AO$2=$F$4)*1,INDEX('TY Sales Target'!$K$5:$AO$300,'Sales Dashboard'!BG224,0)))</f>
        <v>0</v>
      </c>
      <c r="AO225" s="306" cm="1">
        <f t="array" ref="AO225">IF(AB225="",0,SUMPRODUCT((TRIM('LY Sales '!$B$5:$B$200)=AB225)*('LY Sales '!$C$2:$AG$2=EDATE($F$4,-12)),'LY Sales '!$C$5:$AG$200))</f>
        <v>0</v>
      </c>
      <c r="AP225">
        <f t="shared" si="78"/>
        <v>0</v>
      </c>
      <c r="AQ225">
        <f t="shared" si="79"/>
        <v>0</v>
      </c>
      <c r="AR225">
        <f t="shared" si="80"/>
        <v>0</v>
      </c>
      <c r="AS225">
        <f t="shared" si="81"/>
        <v>0</v>
      </c>
    </row>
    <row r="226" spans="1:45" x14ac:dyDescent="0.25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  <c r="AA226" s="271"/>
      <c r="AB226" s="271" t="str">
        <f>IF('Sales Dashboard'!AW225="","",'Sales Dashboard'!AW225)</f>
        <v/>
      </c>
      <c r="AC226" s="271" t="str">
        <f>IF(AB226="","",'Sales Dashboard'!AN225)</f>
        <v/>
      </c>
      <c r="AD226" s="271" t="str">
        <f>IF(AB226="","",'Sales Dashboard'!AO225)</f>
        <v/>
      </c>
      <c r="AE226" s="281" cm="1">
        <f t="array" ref="AE226">IF(OR(AB226="",NOT(ISNUMBER('Sales Dashboard'!BF225))),0,SUMPRODUCT((IFERROR(--'Sales and count'!$G$2:$CC$2,0)=$C$4)*('Sales and count'!$G$3:$CC$3="Total"),INDEX('Sales and count'!$G$4:$CC$300,'Sales Dashboard'!BF225,0)))</f>
        <v>0</v>
      </c>
      <c r="AF226" s="281" cm="1">
        <f t="array" ref="AF226">IF(OR(AB226="",NOT(ISNUMBER('Sales Dashboard'!BG225))),0,SUMPRODUCT(('TY Sales Target'!$K$2:$AO$2=$C$4)*1,INDEX('TY Sales Target'!$K$5:$AO$300,'Sales Dashboard'!BG225,0)))</f>
        <v>0</v>
      </c>
      <c r="AG226" s="281" cm="1">
        <f t="array" ref="AG226">IF(AB226="",0,SUMPRODUCT((TRIM('LY Sales '!$B$5:$B$200)=AB226)*('LY Sales '!$C$2:$AG$2=EDATE($C$4,-12)),'LY Sales '!$C$5:$AG$200))</f>
        <v>0</v>
      </c>
      <c r="AH226" s="271">
        <f t="shared" si="73"/>
        <v>0</v>
      </c>
      <c r="AI226" s="271">
        <f t="shared" si="74"/>
        <v>0</v>
      </c>
      <c r="AJ226" s="271">
        <f t="shared" si="75"/>
        <v>0</v>
      </c>
      <c r="AK226" s="271">
        <f t="shared" si="76"/>
        <v>0</v>
      </c>
      <c r="AL226" s="271">
        <f t="shared" si="77"/>
        <v>0</v>
      </c>
      <c r="AM226" s="306" cm="1">
        <f t="array" ref="AM226">IF(OR(AB226="",NOT(ISNUMBER('Sales Dashboard'!BF225))),0,SUMPRODUCT((IFERROR(--'Sales and count'!$G$2:$CC$2,0)=$F$4)*('Sales and count'!$G$3:$CC$3="Total"),INDEX('Sales and count'!$G$4:$CC$300,'Sales Dashboard'!BF225,0)))</f>
        <v>0</v>
      </c>
      <c r="AN226" s="306" cm="1">
        <f t="array" ref="AN226">IF(OR(AB226="",NOT(ISNUMBER('Sales Dashboard'!BG225))),0,SUMPRODUCT(('TY Sales Target'!$K$2:$AO$2=$F$4)*1,INDEX('TY Sales Target'!$K$5:$AO$300,'Sales Dashboard'!BG225,0)))</f>
        <v>0</v>
      </c>
      <c r="AO226" s="306" cm="1">
        <f t="array" ref="AO226">IF(AB226="",0,SUMPRODUCT((TRIM('LY Sales '!$B$5:$B$200)=AB226)*('LY Sales '!$C$2:$AG$2=EDATE($F$4,-12)),'LY Sales '!$C$5:$AG$200))</f>
        <v>0</v>
      </c>
      <c r="AP226">
        <f t="shared" si="78"/>
        <v>0</v>
      </c>
      <c r="AQ226">
        <f t="shared" si="79"/>
        <v>0</v>
      </c>
      <c r="AR226">
        <f t="shared" si="80"/>
        <v>0</v>
      </c>
      <c r="AS226">
        <f t="shared" si="81"/>
        <v>0</v>
      </c>
    </row>
    <row r="227" spans="1:45" x14ac:dyDescent="0.25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  <c r="AA227" s="271"/>
      <c r="AB227" s="271" t="str">
        <f>IF('Sales Dashboard'!AW226="","",'Sales Dashboard'!AW226)</f>
        <v/>
      </c>
      <c r="AC227" s="271" t="str">
        <f>IF(AB227="","",'Sales Dashboard'!AN226)</f>
        <v/>
      </c>
      <c r="AD227" s="271" t="str">
        <f>IF(AB227="","",'Sales Dashboard'!AO226)</f>
        <v/>
      </c>
      <c r="AE227" s="281" cm="1">
        <f t="array" ref="AE227">IF(OR(AB227="",NOT(ISNUMBER('Sales Dashboard'!BF226))),0,SUMPRODUCT((IFERROR(--'Sales and count'!$G$2:$CC$2,0)=$C$4)*('Sales and count'!$G$3:$CC$3="Total"),INDEX('Sales and count'!$G$4:$CC$300,'Sales Dashboard'!BF226,0)))</f>
        <v>0</v>
      </c>
      <c r="AF227" s="281" cm="1">
        <f t="array" ref="AF227">IF(OR(AB227="",NOT(ISNUMBER('Sales Dashboard'!BG226))),0,SUMPRODUCT(('TY Sales Target'!$K$2:$AO$2=$C$4)*1,INDEX('TY Sales Target'!$K$5:$AO$300,'Sales Dashboard'!BG226,0)))</f>
        <v>0</v>
      </c>
      <c r="AG227" s="281" cm="1">
        <f t="array" ref="AG227">IF(AB227="",0,SUMPRODUCT((TRIM('LY Sales '!$B$5:$B$200)=AB227)*('LY Sales '!$C$2:$AG$2=EDATE($C$4,-12)),'LY Sales '!$C$5:$AG$200))</f>
        <v>0</v>
      </c>
      <c r="AH227" s="271">
        <f t="shared" si="73"/>
        <v>0</v>
      </c>
      <c r="AI227" s="271">
        <f t="shared" si="74"/>
        <v>0</v>
      </c>
      <c r="AJ227" s="271">
        <f t="shared" si="75"/>
        <v>0</v>
      </c>
      <c r="AK227" s="271">
        <f t="shared" si="76"/>
        <v>0</v>
      </c>
      <c r="AL227" s="271">
        <f t="shared" si="77"/>
        <v>0</v>
      </c>
      <c r="AM227" s="306" cm="1">
        <f t="array" ref="AM227">IF(OR(AB227="",NOT(ISNUMBER('Sales Dashboard'!BF226))),0,SUMPRODUCT((IFERROR(--'Sales and count'!$G$2:$CC$2,0)=$F$4)*('Sales and count'!$G$3:$CC$3="Total"),INDEX('Sales and count'!$G$4:$CC$300,'Sales Dashboard'!BF226,0)))</f>
        <v>0</v>
      </c>
      <c r="AN227" s="306" cm="1">
        <f t="array" ref="AN227">IF(OR(AB227="",NOT(ISNUMBER('Sales Dashboard'!BG226))),0,SUMPRODUCT(('TY Sales Target'!$K$2:$AO$2=$F$4)*1,INDEX('TY Sales Target'!$K$5:$AO$300,'Sales Dashboard'!BG226,0)))</f>
        <v>0</v>
      </c>
      <c r="AO227" s="306" cm="1">
        <f t="array" ref="AO227">IF(AB227="",0,SUMPRODUCT((TRIM('LY Sales '!$B$5:$B$200)=AB227)*('LY Sales '!$C$2:$AG$2=EDATE($F$4,-12)),'LY Sales '!$C$5:$AG$200))</f>
        <v>0</v>
      </c>
      <c r="AP227">
        <f t="shared" si="78"/>
        <v>0</v>
      </c>
      <c r="AQ227">
        <f t="shared" si="79"/>
        <v>0</v>
      </c>
      <c r="AR227">
        <f t="shared" si="80"/>
        <v>0</v>
      </c>
      <c r="AS227">
        <f t="shared" si="81"/>
        <v>0</v>
      </c>
    </row>
    <row r="228" spans="1:45" x14ac:dyDescent="0.25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  <c r="AA228" s="271"/>
      <c r="AB228" s="271" t="str">
        <f>IF('Sales Dashboard'!AW227="","",'Sales Dashboard'!AW227)</f>
        <v/>
      </c>
      <c r="AC228" s="271" t="str">
        <f>IF(AB228="","",'Sales Dashboard'!AN227)</f>
        <v/>
      </c>
      <c r="AD228" s="271" t="str">
        <f>IF(AB228="","",'Sales Dashboard'!AO227)</f>
        <v/>
      </c>
      <c r="AE228" s="281" cm="1">
        <f t="array" ref="AE228">IF(OR(AB228="",NOT(ISNUMBER('Sales Dashboard'!BF227))),0,SUMPRODUCT((IFERROR(--'Sales and count'!$G$2:$CC$2,0)=$C$4)*('Sales and count'!$G$3:$CC$3="Total"),INDEX('Sales and count'!$G$4:$CC$300,'Sales Dashboard'!BF227,0)))</f>
        <v>0</v>
      </c>
      <c r="AF228" s="281" cm="1">
        <f t="array" ref="AF228">IF(OR(AB228="",NOT(ISNUMBER('Sales Dashboard'!BG227))),0,SUMPRODUCT(('TY Sales Target'!$K$2:$AO$2=$C$4)*1,INDEX('TY Sales Target'!$K$5:$AO$300,'Sales Dashboard'!BG227,0)))</f>
        <v>0</v>
      </c>
      <c r="AG228" s="281" cm="1">
        <f t="array" ref="AG228">IF(AB228="",0,SUMPRODUCT((TRIM('LY Sales '!$B$5:$B$200)=AB228)*('LY Sales '!$C$2:$AG$2=EDATE($C$4,-12)),'LY Sales '!$C$5:$AG$200))</f>
        <v>0</v>
      </c>
      <c r="AH228" s="271">
        <f t="shared" si="73"/>
        <v>0</v>
      </c>
      <c r="AI228" s="271">
        <f t="shared" si="74"/>
        <v>0</v>
      </c>
      <c r="AJ228" s="271">
        <f t="shared" si="75"/>
        <v>0</v>
      </c>
      <c r="AK228" s="271">
        <f t="shared" si="76"/>
        <v>0</v>
      </c>
      <c r="AL228" s="271">
        <f t="shared" si="77"/>
        <v>0</v>
      </c>
      <c r="AM228" s="306" cm="1">
        <f t="array" ref="AM228">IF(OR(AB228="",NOT(ISNUMBER('Sales Dashboard'!BF227))),0,SUMPRODUCT((IFERROR(--'Sales and count'!$G$2:$CC$2,0)=$F$4)*('Sales and count'!$G$3:$CC$3="Total"),INDEX('Sales and count'!$G$4:$CC$300,'Sales Dashboard'!BF227,0)))</f>
        <v>0</v>
      </c>
      <c r="AN228" s="306" cm="1">
        <f t="array" ref="AN228">IF(OR(AB228="",NOT(ISNUMBER('Sales Dashboard'!BG227))),0,SUMPRODUCT(('TY Sales Target'!$K$2:$AO$2=$F$4)*1,INDEX('TY Sales Target'!$K$5:$AO$300,'Sales Dashboard'!BG227,0)))</f>
        <v>0</v>
      </c>
      <c r="AO228" s="306" cm="1">
        <f t="array" ref="AO228">IF(AB228="",0,SUMPRODUCT((TRIM('LY Sales '!$B$5:$B$200)=AB228)*('LY Sales '!$C$2:$AG$2=EDATE($F$4,-12)),'LY Sales '!$C$5:$AG$200))</f>
        <v>0</v>
      </c>
      <c r="AP228">
        <f t="shared" si="78"/>
        <v>0</v>
      </c>
      <c r="AQ228">
        <f t="shared" si="79"/>
        <v>0</v>
      </c>
      <c r="AR228">
        <f t="shared" si="80"/>
        <v>0</v>
      </c>
      <c r="AS228">
        <f t="shared" si="81"/>
        <v>0</v>
      </c>
    </row>
    <row r="229" spans="1:45" x14ac:dyDescent="0.25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  <c r="AA229" s="271"/>
      <c r="AB229" s="271" t="str">
        <f>IF('Sales Dashboard'!AW228="","",'Sales Dashboard'!AW228)</f>
        <v/>
      </c>
      <c r="AC229" s="271" t="str">
        <f>IF(AB229="","",'Sales Dashboard'!AN228)</f>
        <v/>
      </c>
      <c r="AD229" s="271" t="str">
        <f>IF(AB229="","",'Sales Dashboard'!AO228)</f>
        <v/>
      </c>
      <c r="AE229" s="281" cm="1">
        <f t="array" ref="AE229">IF(OR(AB229="",NOT(ISNUMBER('Sales Dashboard'!BF228))),0,SUMPRODUCT((IFERROR(--'Sales and count'!$G$2:$CC$2,0)=$C$4)*('Sales and count'!$G$3:$CC$3="Total"),INDEX('Sales and count'!$G$4:$CC$300,'Sales Dashboard'!BF228,0)))</f>
        <v>0</v>
      </c>
      <c r="AF229" s="281" cm="1">
        <f t="array" ref="AF229">IF(OR(AB229="",NOT(ISNUMBER('Sales Dashboard'!BG228))),0,SUMPRODUCT(('TY Sales Target'!$K$2:$AO$2=$C$4)*1,INDEX('TY Sales Target'!$K$5:$AO$300,'Sales Dashboard'!BG228,0)))</f>
        <v>0</v>
      </c>
      <c r="AG229" s="281" cm="1">
        <f t="array" ref="AG229">IF(AB229="",0,SUMPRODUCT((TRIM('LY Sales '!$B$5:$B$200)=AB229)*('LY Sales '!$C$2:$AG$2=EDATE($C$4,-12)),'LY Sales '!$C$5:$AG$200))</f>
        <v>0</v>
      </c>
      <c r="AH229" s="271">
        <f t="shared" si="73"/>
        <v>0</v>
      </c>
      <c r="AI229" s="271">
        <f t="shared" si="74"/>
        <v>0</v>
      </c>
      <c r="AJ229" s="271">
        <f t="shared" si="75"/>
        <v>0</v>
      </c>
      <c r="AK229" s="271">
        <f t="shared" si="76"/>
        <v>0</v>
      </c>
      <c r="AL229" s="271">
        <f t="shared" si="77"/>
        <v>0</v>
      </c>
      <c r="AM229" s="306" cm="1">
        <f t="array" ref="AM229">IF(OR(AB229="",NOT(ISNUMBER('Sales Dashboard'!BF228))),0,SUMPRODUCT((IFERROR(--'Sales and count'!$G$2:$CC$2,0)=$F$4)*('Sales and count'!$G$3:$CC$3="Total"),INDEX('Sales and count'!$G$4:$CC$300,'Sales Dashboard'!BF228,0)))</f>
        <v>0</v>
      </c>
      <c r="AN229" s="306" cm="1">
        <f t="array" ref="AN229">IF(OR(AB229="",NOT(ISNUMBER('Sales Dashboard'!BG228))),0,SUMPRODUCT(('TY Sales Target'!$K$2:$AO$2=$F$4)*1,INDEX('TY Sales Target'!$K$5:$AO$300,'Sales Dashboard'!BG228,0)))</f>
        <v>0</v>
      </c>
      <c r="AO229" s="306" cm="1">
        <f t="array" ref="AO229">IF(AB229="",0,SUMPRODUCT((TRIM('LY Sales '!$B$5:$B$200)=AB229)*('LY Sales '!$C$2:$AG$2=EDATE($F$4,-12)),'LY Sales '!$C$5:$AG$200))</f>
        <v>0</v>
      </c>
      <c r="AP229">
        <f t="shared" si="78"/>
        <v>0</v>
      </c>
      <c r="AQ229">
        <f t="shared" si="79"/>
        <v>0</v>
      </c>
      <c r="AR229">
        <f t="shared" si="80"/>
        <v>0</v>
      </c>
      <c r="AS229">
        <f t="shared" si="81"/>
        <v>0</v>
      </c>
    </row>
    <row r="230" spans="1:45" x14ac:dyDescent="0.25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  <c r="AA230" s="271"/>
      <c r="AB230" s="271" t="str">
        <f>IF('Sales Dashboard'!AW229="","",'Sales Dashboard'!AW229)</f>
        <v/>
      </c>
      <c r="AC230" s="271" t="str">
        <f>IF(AB230="","",'Sales Dashboard'!AN229)</f>
        <v/>
      </c>
      <c r="AD230" s="271" t="str">
        <f>IF(AB230="","",'Sales Dashboard'!AO229)</f>
        <v/>
      </c>
      <c r="AE230" s="281" cm="1">
        <f t="array" ref="AE230">IF(OR(AB230="",NOT(ISNUMBER('Sales Dashboard'!BF229))),0,SUMPRODUCT((IFERROR(--'Sales and count'!$G$2:$CC$2,0)=$C$4)*('Sales and count'!$G$3:$CC$3="Total"),INDEX('Sales and count'!$G$4:$CC$300,'Sales Dashboard'!BF229,0)))</f>
        <v>0</v>
      </c>
      <c r="AF230" s="281" cm="1">
        <f t="array" ref="AF230">IF(OR(AB230="",NOT(ISNUMBER('Sales Dashboard'!BG229))),0,SUMPRODUCT(('TY Sales Target'!$K$2:$AO$2=$C$4)*1,INDEX('TY Sales Target'!$K$5:$AO$300,'Sales Dashboard'!BG229,0)))</f>
        <v>0</v>
      </c>
      <c r="AG230" s="281" cm="1">
        <f t="array" ref="AG230">IF(AB230="",0,SUMPRODUCT((TRIM('LY Sales '!$B$5:$B$200)=AB230)*('LY Sales '!$C$2:$AG$2=EDATE($C$4,-12)),'LY Sales '!$C$5:$AG$200))</f>
        <v>0</v>
      </c>
      <c r="AH230" s="271">
        <f t="shared" si="73"/>
        <v>0</v>
      </c>
      <c r="AI230" s="271">
        <f t="shared" si="74"/>
        <v>0</v>
      </c>
      <c r="AJ230" s="271">
        <f t="shared" si="75"/>
        <v>0</v>
      </c>
      <c r="AK230" s="271">
        <f t="shared" si="76"/>
        <v>0</v>
      </c>
      <c r="AL230" s="271">
        <f t="shared" si="77"/>
        <v>0</v>
      </c>
      <c r="AM230" s="306" cm="1">
        <f t="array" ref="AM230">IF(OR(AB230="",NOT(ISNUMBER('Sales Dashboard'!BF229))),0,SUMPRODUCT((IFERROR(--'Sales and count'!$G$2:$CC$2,0)=$F$4)*('Sales and count'!$G$3:$CC$3="Total"),INDEX('Sales and count'!$G$4:$CC$300,'Sales Dashboard'!BF229,0)))</f>
        <v>0</v>
      </c>
      <c r="AN230" s="306" cm="1">
        <f t="array" ref="AN230">IF(OR(AB230="",NOT(ISNUMBER('Sales Dashboard'!BG229))),0,SUMPRODUCT(('TY Sales Target'!$K$2:$AO$2=$F$4)*1,INDEX('TY Sales Target'!$K$5:$AO$300,'Sales Dashboard'!BG229,0)))</f>
        <v>0</v>
      </c>
      <c r="AO230" s="306" cm="1">
        <f t="array" ref="AO230">IF(AB230="",0,SUMPRODUCT((TRIM('LY Sales '!$B$5:$B$200)=AB230)*('LY Sales '!$C$2:$AG$2=EDATE($F$4,-12)),'LY Sales '!$C$5:$AG$200))</f>
        <v>0</v>
      </c>
      <c r="AP230">
        <f t="shared" si="78"/>
        <v>0</v>
      </c>
      <c r="AQ230">
        <f t="shared" si="79"/>
        <v>0</v>
      </c>
      <c r="AR230">
        <f t="shared" si="80"/>
        <v>0</v>
      </c>
      <c r="AS230">
        <f t="shared" si="81"/>
        <v>0</v>
      </c>
    </row>
    <row r="231" spans="1:45" x14ac:dyDescent="0.25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  <c r="AA231" s="271"/>
      <c r="AB231" s="271" t="str">
        <f>IF('Sales Dashboard'!AW230="","",'Sales Dashboard'!AW230)</f>
        <v/>
      </c>
      <c r="AC231" s="271" t="str">
        <f>IF(AB231="","",'Sales Dashboard'!AN230)</f>
        <v/>
      </c>
      <c r="AD231" s="271" t="str">
        <f>IF(AB231="","",'Sales Dashboard'!AO230)</f>
        <v/>
      </c>
      <c r="AE231" s="281" cm="1">
        <f t="array" ref="AE231">IF(OR(AB231="",NOT(ISNUMBER('Sales Dashboard'!BF230))),0,SUMPRODUCT((IFERROR(--'Sales and count'!$G$2:$CC$2,0)=$C$4)*('Sales and count'!$G$3:$CC$3="Total"),INDEX('Sales and count'!$G$4:$CC$300,'Sales Dashboard'!BF230,0)))</f>
        <v>0</v>
      </c>
      <c r="AF231" s="281" cm="1">
        <f t="array" ref="AF231">IF(OR(AB231="",NOT(ISNUMBER('Sales Dashboard'!BG230))),0,SUMPRODUCT(('TY Sales Target'!$K$2:$AO$2=$C$4)*1,INDEX('TY Sales Target'!$K$5:$AO$300,'Sales Dashboard'!BG230,0)))</f>
        <v>0</v>
      </c>
      <c r="AG231" s="281" cm="1">
        <f t="array" ref="AG231">IF(AB231="",0,SUMPRODUCT((TRIM('LY Sales '!$B$5:$B$200)=AB231)*('LY Sales '!$C$2:$AG$2=EDATE($C$4,-12)),'LY Sales '!$C$5:$AG$200))</f>
        <v>0</v>
      </c>
      <c r="AH231" s="271">
        <f t="shared" si="73"/>
        <v>0</v>
      </c>
      <c r="AI231" s="271">
        <f t="shared" si="74"/>
        <v>0</v>
      </c>
      <c r="AJ231" s="271">
        <f t="shared" si="75"/>
        <v>0</v>
      </c>
      <c r="AK231" s="271">
        <f t="shared" si="76"/>
        <v>0</v>
      </c>
      <c r="AL231" s="271">
        <f t="shared" si="77"/>
        <v>0</v>
      </c>
      <c r="AM231" s="306" cm="1">
        <f t="array" ref="AM231">IF(OR(AB231="",NOT(ISNUMBER('Sales Dashboard'!BF230))),0,SUMPRODUCT((IFERROR(--'Sales and count'!$G$2:$CC$2,0)=$F$4)*('Sales and count'!$G$3:$CC$3="Total"),INDEX('Sales and count'!$G$4:$CC$300,'Sales Dashboard'!BF230,0)))</f>
        <v>0</v>
      </c>
      <c r="AN231" s="306" cm="1">
        <f t="array" ref="AN231">IF(OR(AB231="",NOT(ISNUMBER('Sales Dashboard'!BG230))),0,SUMPRODUCT(('TY Sales Target'!$K$2:$AO$2=$F$4)*1,INDEX('TY Sales Target'!$K$5:$AO$300,'Sales Dashboard'!BG230,0)))</f>
        <v>0</v>
      </c>
      <c r="AO231" s="306" cm="1">
        <f t="array" ref="AO231">IF(AB231="",0,SUMPRODUCT((TRIM('LY Sales '!$B$5:$B$200)=AB231)*('LY Sales '!$C$2:$AG$2=EDATE($F$4,-12)),'LY Sales '!$C$5:$AG$200))</f>
        <v>0</v>
      </c>
      <c r="AP231">
        <f t="shared" si="78"/>
        <v>0</v>
      </c>
      <c r="AQ231">
        <f t="shared" si="79"/>
        <v>0</v>
      </c>
      <c r="AR231">
        <f t="shared" si="80"/>
        <v>0</v>
      </c>
      <c r="AS231">
        <f t="shared" si="81"/>
        <v>0</v>
      </c>
    </row>
    <row r="232" spans="1:45" x14ac:dyDescent="0.25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  <c r="AA232" s="271"/>
      <c r="AB232" s="271" t="str">
        <f>IF('Sales Dashboard'!AW231="","",'Sales Dashboard'!AW231)</f>
        <v/>
      </c>
      <c r="AC232" s="271" t="str">
        <f>IF(AB232="","",'Sales Dashboard'!AN231)</f>
        <v/>
      </c>
      <c r="AD232" s="271" t="str">
        <f>IF(AB232="","",'Sales Dashboard'!AO231)</f>
        <v/>
      </c>
      <c r="AE232" s="281" cm="1">
        <f t="array" ref="AE232">IF(OR(AB232="",NOT(ISNUMBER('Sales Dashboard'!BF231))),0,SUMPRODUCT((IFERROR(--'Sales and count'!$G$2:$CC$2,0)=$C$4)*('Sales and count'!$G$3:$CC$3="Total"),INDEX('Sales and count'!$G$4:$CC$300,'Sales Dashboard'!BF231,0)))</f>
        <v>0</v>
      </c>
      <c r="AF232" s="281" cm="1">
        <f t="array" ref="AF232">IF(OR(AB232="",NOT(ISNUMBER('Sales Dashboard'!BG231))),0,SUMPRODUCT(('TY Sales Target'!$K$2:$AO$2=$C$4)*1,INDEX('TY Sales Target'!$K$5:$AO$300,'Sales Dashboard'!BG231,0)))</f>
        <v>0</v>
      </c>
      <c r="AG232" s="281" cm="1">
        <f t="array" ref="AG232">IF(AB232="",0,SUMPRODUCT((TRIM('LY Sales '!$B$5:$B$200)=AB232)*('LY Sales '!$C$2:$AG$2=EDATE($C$4,-12)),'LY Sales '!$C$5:$AG$200))</f>
        <v>0</v>
      </c>
      <c r="AH232" s="271">
        <f t="shared" si="73"/>
        <v>0</v>
      </c>
      <c r="AI232" s="271">
        <f t="shared" si="74"/>
        <v>0</v>
      </c>
      <c r="AJ232" s="271">
        <f t="shared" si="75"/>
        <v>0</v>
      </c>
      <c r="AK232" s="271">
        <f t="shared" si="76"/>
        <v>0</v>
      </c>
      <c r="AL232" s="271">
        <f t="shared" si="77"/>
        <v>0</v>
      </c>
      <c r="AM232" s="306" cm="1">
        <f t="array" ref="AM232">IF(OR(AB232="",NOT(ISNUMBER('Sales Dashboard'!BF231))),0,SUMPRODUCT((IFERROR(--'Sales and count'!$G$2:$CC$2,0)=$F$4)*('Sales and count'!$G$3:$CC$3="Total"),INDEX('Sales and count'!$G$4:$CC$300,'Sales Dashboard'!BF231,0)))</f>
        <v>0</v>
      </c>
      <c r="AN232" s="306" cm="1">
        <f t="array" ref="AN232">IF(OR(AB232="",NOT(ISNUMBER('Sales Dashboard'!BG231))),0,SUMPRODUCT(('TY Sales Target'!$K$2:$AO$2=$F$4)*1,INDEX('TY Sales Target'!$K$5:$AO$300,'Sales Dashboard'!BG231,0)))</f>
        <v>0</v>
      </c>
      <c r="AO232" s="306" cm="1">
        <f t="array" ref="AO232">IF(AB232="",0,SUMPRODUCT((TRIM('LY Sales '!$B$5:$B$200)=AB232)*('LY Sales '!$C$2:$AG$2=EDATE($F$4,-12)),'LY Sales '!$C$5:$AG$200))</f>
        <v>0</v>
      </c>
      <c r="AP232">
        <f t="shared" si="78"/>
        <v>0</v>
      </c>
      <c r="AQ232">
        <f t="shared" si="79"/>
        <v>0</v>
      </c>
      <c r="AR232">
        <f t="shared" si="80"/>
        <v>0</v>
      </c>
      <c r="AS232">
        <f t="shared" si="81"/>
        <v>0</v>
      </c>
    </row>
    <row r="233" spans="1:45" x14ac:dyDescent="0.25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  <c r="AA233" s="271"/>
      <c r="AB233" s="271" t="str">
        <f>IF('Sales Dashboard'!AW232="","",'Sales Dashboard'!AW232)</f>
        <v/>
      </c>
      <c r="AC233" s="271" t="str">
        <f>IF(AB233="","",'Sales Dashboard'!AN232)</f>
        <v/>
      </c>
      <c r="AD233" s="271" t="str">
        <f>IF(AB233="","",'Sales Dashboard'!AO232)</f>
        <v/>
      </c>
      <c r="AE233" s="281" cm="1">
        <f t="array" ref="AE233">IF(OR(AB233="",NOT(ISNUMBER('Sales Dashboard'!BF232))),0,SUMPRODUCT((IFERROR(--'Sales and count'!$G$2:$CC$2,0)=$C$4)*('Sales and count'!$G$3:$CC$3="Total"),INDEX('Sales and count'!$G$4:$CC$300,'Sales Dashboard'!BF232,0)))</f>
        <v>0</v>
      </c>
      <c r="AF233" s="281" cm="1">
        <f t="array" ref="AF233">IF(OR(AB233="",NOT(ISNUMBER('Sales Dashboard'!BG232))),0,SUMPRODUCT(('TY Sales Target'!$K$2:$AO$2=$C$4)*1,INDEX('TY Sales Target'!$K$5:$AO$300,'Sales Dashboard'!BG232,0)))</f>
        <v>0</v>
      </c>
      <c r="AG233" s="281" cm="1">
        <f t="array" ref="AG233">IF(AB233="",0,SUMPRODUCT((TRIM('LY Sales '!$B$5:$B$200)=AB233)*('LY Sales '!$C$2:$AG$2=EDATE($C$4,-12)),'LY Sales '!$C$5:$AG$200))</f>
        <v>0</v>
      </c>
      <c r="AH233" s="271">
        <f t="shared" si="73"/>
        <v>0</v>
      </c>
      <c r="AI233" s="271">
        <f t="shared" si="74"/>
        <v>0</v>
      </c>
      <c r="AJ233" s="271">
        <f t="shared" si="75"/>
        <v>0</v>
      </c>
      <c r="AK233" s="271">
        <f t="shared" si="76"/>
        <v>0</v>
      </c>
      <c r="AL233" s="271">
        <f t="shared" si="77"/>
        <v>0</v>
      </c>
      <c r="AM233" s="306" cm="1">
        <f t="array" ref="AM233">IF(OR(AB233="",NOT(ISNUMBER('Sales Dashboard'!BF232))),0,SUMPRODUCT((IFERROR(--'Sales and count'!$G$2:$CC$2,0)=$F$4)*('Sales and count'!$G$3:$CC$3="Total"),INDEX('Sales and count'!$G$4:$CC$300,'Sales Dashboard'!BF232,0)))</f>
        <v>0</v>
      </c>
      <c r="AN233" s="306" cm="1">
        <f t="array" ref="AN233">IF(OR(AB233="",NOT(ISNUMBER('Sales Dashboard'!BG232))),0,SUMPRODUCT(('TY Sales Target'!$K$2:$AO$2=$F$4)*1,INDEX('TY Sales Target'!$K$5:$AO$300,'Sales Dashboard'!BG232,0)))</f>
        <v>0</v>
      </c>
      <c r="AO233" s="306" cm="1">
        <f t="array" ref="AO233">IF(AB233="",0,SUMPRODUCT((TRIM('LY Sales '!$B$5:$B$200)=AB233)*('LY Sales '!$C$2:$AG$2=EDATE($F$4,-12)),'LY Sales '!$C$5:$AG$200))</f>
        <v>0</v>
      </c>
      <c r="AP233">
        <f t="shared" si="78"/>
        <v>0</v>
      </c>
      <c r="AQ233">
        <f t="shared" si="79"/>
        <v>0</v>
      </c>
      <c r="AR233">
        <f t="shared" si="80"/>
        <v>0</v>
      </c>
      <c r="AS233">
        <f t="shared" si="81"/>
        <v>0</v>
      </c>
    </row>
    <row r="234" spans="1:45" x14ac:dyDescent="0.25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  <c r="AA234" s="271"/>
      <c r="AB234" s="271" t="str">
        <f>IF('Sales Dashboard'!AW233="","",'Sales Dashboard'!AW233)</f>
        <v/>
      </c>
      <c r="AC234" s="271" t="str">
        <f>IF(AB234="","",'Sales Dashboard'!AN233)</f>
        <v/>
      </c>
      <c r="AD234" s="271" t="str">
        <f>IF(AB234="","",'Sales Dashboard'!AO233)</f>
        <v/>
      </c>
      <c r="AE234" s="281" cm="1">
        <f t="array" ref="AE234">IF(OR(AB234="",NOT(ISNUMBER('Sales Dashboard'!BF233))),0,SUMPRODUCT((IFERROR(--'Sales and count'!$G$2:$CC$2,0)=$C$4)*('Sales and count'!$G$3:$CC$3="Total"),INDEX('Sales and count'!$G$4:$CC$300,'Sales Dashboard'!BF233,0)))</f>
        <v>0</v>
      </c>
      <c r="AF234" s="281" cm="1">
        <f t="array" ref="AF234">IF(OR(AB234="",NOT(ISNUMBER('Sales Dashboard'!BG233))),0,SUMPRODUCT(('TY Sales Target'!$K$2:$AO$2=$C$4)*1,INDEX('TY Sales Target'!$K$5:$AO$300,'Sales Dashboard'!BG233,0)))</f>
        <v>0</v>
      </c>
      <c r="AG234" s="281" cm="1">
        <f t="array" ref="AG234">IF(AB234="",0,SUMPRODUCT((TRIM('LY Sales '!$B$5:$B$200)=AB234)*('LY Sales '!$C$2:$AG$2=EDATE($C$4,-12)),'LY Sales '!$C$5:$AG$200))</f>
        <v>0</v>
      </c>
      <c r="AH234" s="271">
        <f t="shared" si="73"/>
        <v>0</v>
      </c>
      <c r="AI234" s="271">
        <f t="shared" si="74"/>
        <v>0</v>
      </c>
      <c r="AJ234" s="271">
        <f t="shared" si="75"/>
        <v>0</v>
      </c>
      <c r="AK234" s="271">
        <f t="shared" si="76"/>
        <v>0</v>
      </c>
      <c r="AL234" s="271">
        <f t="shared" si="77"/>
        <v>0</v>
      </c>
      <c r="AM234" s="306" cm="1">
        <f t="array" ref="AM234">IF(OR(AB234="",NOT(ISNUMBER('Sales Dashboard'!BF233))),0,SUMPRODUCT((IFERROR(--'Sales and count'!$G$2:$CC$2,0)=$F$4)*('Sales and count'!$G$3:$CC$3="Total"),INDEX('Sales and count'!$G$4:$CC$300,'Sales Dashboard'!BF233,0)))</f>
        <v>0</v>
      </c>
      <c r="AN234" s="306" cm="1">
        <f t="array" ref="AN234">IF(OR(AB234="",NOT(ISNUMBER('Sales Dashboard'!BG233))),0,SUMPRODUCT(('TY Sales Target'!$K$2:$AO$2=$F$4)*1,INDEX('TY Sales Target'!$K$5:$AO$300,'Sales Dashboard'!BG233,0)))</f>
        <v>0</v>
      </c>
      <c r="AO234" s="306" cm="1">
        <f t="array" ref="AO234">IF(AB234="",0,SUMPRODUCT((TRIM('LY Sales '!$B$5:$B$200)=AB234)*('LY Sales '!$C$2:$AG$2=EDATE($F$4,-12)),'LY Sales '!$C$5:$AG$200))</f>
        <v>0</v>
      </c>
      <c r="AP234">
        <f t="shared" si="78"/>
        <v>0</v>
      </c>
      <c r="AQ234">
        <f t="shared" si="79"/>
        <v>0</v>
      </c>
      <c r="AR234">
        <f t="shared" si="80"/>
        <v>0</v>
      </c>
      <c r="AS234">
        <f t="shared" si="81"/>
        <v>0</v>
      </c>
    </row>
    <row r="235" spans="1:45" x14ac:dyDescent="0.25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  <c r="AA235" s="271"/>
      <c r="AB235" s="271" t="str">
        <f>IF('Sales Dashboard'!AW234="","",'Sales Dashboard'!AW234)</f>
        <v/>
      </c>
      <c r="AC235" s="271" t="str">
        <f>IF(AB235="","",'Sales Dashboard'!AN234)</f>
        <v/>
      </c>
      <c r="AD235" s="271" t="str">
        <f>IF(AB235="","",'Sales Dashboard'!AO234)</f>
        <v/>
      </c>
      <c r="AE235" s="281" cm="1">
        <f t="array" ref="AE235">IF(OR(AB235="",NOT(ISNUMBER('Sales Dashboard'!BF234))),0,SUMPRODUCT((IFERROR(--'Sales and count'!$G$2:$CC$2,0)=$C$4)*('Sales and count'!$G$3:$CC$3="Total"),INDEX('Sales and count'!$G$4:$CC$300,'Sales Dashboard'!BF234,0)))</f>
        <v>0</v>
      </c>
      <c r="AF235" s="281" cm="1">
        <f t="array" ref="AF235">IF(OR(AB235="",NOT(ISNUMBER('Sales Dashboard'!BG234))),0,SUMPRODUCT(('TY Sales Target'!$K$2:$AO$2=$C$4)*1,INDEX('TY Sales Target'!$K$5:$AO$300,'Sales Dashboard'!BG234,0)))</f>
        <v>0</v>
      </c>
      <c r="AG235" s="281" cm="1">
        <f t="array" ref="AG235">IF(AB235="",0,SUMPRODUCT((TRIM('LY Sales '!$B$5:$B$200)=AB235)*('LY Sales '!$C$2:$AG$2=EDATE($C$4,-12)),'LY Sales '!$C$5:$AG$200))</f>
        <v>0</v>
      </c>
      <c r="AH235" s="271">
        <f t="shared" si="73"/>
        <v>0</v>
      </c>
      <c r="AI235" s="271">
        <f t="shared" si="74"/>
        <v>0</v>
      </c>
      <c r="AJ235" s="271">
        <f t="shared" si="75"/>
        <v>0</v>
      </c>
      <c r="AK235" s="271">
        <f t="shared" si="76"/>
        <v>0</v>
      </c>
      <c r="AL235" s="271">
        <f t="shared" si="77"/>
        <v>0</v>
      </c>
      <c r="AM235" s="306" cm="1">
        <f t="array" ref="AM235">IF(OR(AB235="",NOT(ISNUMBER('Sales Dashboard'!BF234))),0,SUMPRODUCT((IFERROR(--'Sales and count'!$G$2:$CC$2,0)=$F$4)*('Sales and count'!$G$3:$CC$3="Total"),INDEX('Sales and count'!$G$4:$CC$300,'Sales Dashboard'!BF234,0)))</f>
        <v>0</v>
      </c>
      <c r="AN235" s="306" cm="1">
        <f t="array" ref="AN235">IF(OR(AB235="",NOT(ISNUMBER('Sales Dashboard'!BG234))),0,SUMPRODUCT(('TY Sales Target'!$K$2:$AO$2=$F$4)*1,INDEX('TY Sales Target'!$K$5:$AO$300,'Sales Dashboard'!BG234,0)))</f>
        <v>0</v>
      </c>
      <c r="AO235" s="306" cm="1">
        <f t="array" ref="AO235">IF(AB235="",0,SUMPRODUCT((TRIM('LY Sales '!$B$5:$B$200)=AB235)*('LY Sales '!$C$2:$AG$2=EDATE($F$4,-12)),'LY Sales '!$C$5:$AG$200))</f>
        <v>0</v>
      </c>
      <c r="AP235">
        <f t="shared" si="78"/>
        <v>0</v>
      </c>
      <c r="AQ235">
        <f t="shared" si="79"/>
        <v>0</v>
      </c>
      <c r="AR235">
        <f t="shared" si="80"/>
        <v>0</v>
      </c>
      <c r="AS235">
        <f t="shared" si="81"/>
        <v>0</v>
      </c>
    </row>
    <row r="236" spans="1:45" x14ac:dyDescent="0.25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  <c r="AA236" s="271"/>
      <c r="AB236" s="271" t="str">
        <f>IF('Sales Dashboard'!AW235="","",'Sales Dashboard'!AW235)</f>
        <v/>
      </c>
      <c r="AC236" s="271" t="str">
        <f>IF(AB236="","",'Sales Dashboard'!AN235)</f>
        <v/>
      </c>
      <c r="AD236" s="271" t="str">
        <f>IF(AB236="","",'Sales Dashboard'!AO235)</f>
        <v/>
      </c>
      <c r="AE236" s="281" cm="1">
        <f t="array" ref="AE236">IF(OR(AB236="",NOT(ISNUMBER('Sales Dashboard'!BF235))),0,SUMPRODUCT((IFERROR(--'Sales and count'!$G$2:$CC$2,0)=$C$4)*('Sales and count'!$G$3:$CC$3="Total"),INDEX('Sales and count'!$G$4:$CC$300,'Sales Dashboard'!BF235,0)))</f>
        <v>0</v>
      </c>
      <c r="AF236" s="281" cm="1">
        <f t="array" ref="AF236">IF(OR(AB236="",NOT(ISNUMBER('Sales Dashboard'!BG235))),0,SUMPRODUCT(('TY Sales Target'!$K$2:$AO$2=$C$4)*1,INDEX('TY Sales Target'!$K$5:$AO$300,'Sales Dashboard'!BG235,0)))</f>
        <v>0</v>
      </c>
      <c r="AG236" s="281" cm="1">
        <f t="array" ref="AG236">IF(AB236="",0,SUMPRODUCT((TRIM('LY Sales '!$B$5:$B$200)=AB236)*('LY Sales '!$C$2:$AG$2=EDATE($C$4,-12)),'LY Sales '!$C$5:$AG$200))</f>
        <v>0</v>
      </c>
      <c r="AH236" s="271">
        <f t="shared" si="73"/>
        <v>0</v>
      </c>
      <c r="AI236" s="271">
        <f t="shared" si="74"/>
        <v>0</v>
      </c>
      <c r="AJ236" s="271">
        <f t="shared" si="75"/>
        <v>0</v>
      </c>
      <c r="AK236" s="271">
        <f t="shared" si="76"/>
        <v>0</v>
      </c>
      <c r="AL236" s="271">
        <f t="shared" si="77"/>
        <v>0</v>
      </c>
      <c r="AM236" s="306" cm="1">
        <f t="array" ref="AM236">IF(OR(AB236="",NOT(ISNUMBER('Sales Dashboard'!BF235))),0,SUMPRODUCT((IFERROR(--'Sales and count'!$G$2:$CC$2,0)=$F$4)*('Sales and count'!$G$3:$CC$3="Total"),INDEX('Sales and count'!$G$4:$CC$300,'Sales Dashboard'!BF235,0)))</f>
        <v>0</v>
      </c>
      <c r="AN236" s="306" cm="1">
        <f t="array" ref="AN236">IF(OR(AB236="",NOT(ISNUMBER('Sales Dashboard'!BG235))),0,SUMPRODUCT(('TY Sales Target'!$K$2:$AO$2=$F$4)*1,INDEX('TY Sales Target'!$K$5:$AO$300,'Sales Dashboard'!BG235,0)))</f>
        <v>0</v>
      </c>
      <c r="AO236" s="306" cm="1">
        <f t="array" ref="AO236">IF(AB236="",0,SUMPRODUCT((TRIM('LY Sales '!$B$5:$B$200)=AB236)*('LY Sales '!$C$2:$AG$2=EDATE($F$4,-12)),'LY Sales '!$C$5:$AG$200))</f>
        <v>0</v>
      </c>
      <c r="AP236">
        <f t="shared" si="78"/>
        <v>0</v>
      </c>
      <c r="AQ236">
        <f t="shared" si="79"/>
        <v>0</v>
      </c>
      <c r="AR236">
        <f t="shared" si="80"/>
        <v>0</v>
      </c>
      <c r="AS236">
        <f t="shared" si="81"/>
        <v>0</v>
      </c>
    </row>
    <row r="237" spans="1:45" x14ac:dyDescent="0.25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  <c r="AA237" s="271"/>
      <c r="AB237" s="271" t="str">
        <f>IF('Sales Dashboard'!AW236="","",'Sales Dashboard'!AW236)</f>
        <v/>
      </c>
      <c r="AC237" s="271" t="str">
        <f>IF(AB237="","",'Sales Dashboard'!AN236)</f>
        <v/>
      </c>
      <c r="AD237" s="271" t="str">
        <f>IF(AB237="","",'Sales Dashboard'!AO236)</f>
        <v/>
      </c>
      <c r="AE237" s="281" cm="1">
        <f t="array" ref="AE237">IF(OR(AB237="",NOT(ISNUMBER('Sales Dashboard'!BF236))),0,SUMPRODUCT((IFERROR(--'Sales and count'!$G$2:$CC$2,0)=$C$4)*('Sales and count'!$G$3:$CC$3="Total"),INDEX('Sales and count'!$G$4:$CC$300,'Sales Dashboard'!BF236,0)))</f>
        <v>0</v>
      </c>
      <c r="AF237" s="281" cm="1">
        <f t="array" ref="AF237">IF(OR(AB237="",NOT(ISNUMBER('Sales Dashboard'!BG236))),0,SUMPRODUCT(('TY Sales Target'!$K$2:$AO$2=$C$4)*1,INDEX('TY Sales Target'!$K$5:$AO$300,'Sales Dashboard'!BG236,0)))</f>
        <v>0</v>
      </c>
      <c r="AG237" s="281" cm="1">
        <f t="array" ref="AG237">IF(AB237="",0,SUMPRODUCT((TRIM('LY Sales '!$B$5:$B$200)=AB237)*('LY Sales '!$C$2:$AG$2=EDATE($C$4,-12)),'LY Sales '!$C$5:$AG$200))</f>
        <v>0</v>
      </c>
      <c r="AH237" s="271">
        <f t="shared" si="73"/>
        <v>0</v>
      </c>
      <c r="AI237" s="271">
        <f t="shared" si="74"/>
        <v>0</v>
      </c>
      <c r="AJ237" s="271">
        <f t="shared" si="75"/>
        <v>0</v>
      </c>
      <c r="AK237" s="271">
        <f t="shared" si="76"/>
        <v>0</v>
      </c>
      <c r="AL237" s="271">
        <f t="shared" si="77"/>
        <v>0</v>
      </c>
      <c r="AM237" s="306" cm="1">
        <f t="array" ref="AM237">IF(OR(AB237="",NOT(ISNUMBER('Sales Dashboard'!BF236))),0,SUMPRODUCT((IFERROR(--'Sales and count'!$G$2:$CC$2,0)=$F$4)*('Sales and count'!$G$3:$CC$3="Total"),INDEX('Sales and count'!$G$4:$CC$300,'Sales Dashboard'!BF236,0)))</f>
        <v>0</v>
      </c>
      <c r="AN237" s="306" cm="1">
        <f t="array" ref="AN237">IF(OR(AB237="",NOT(ISNUMBER('Sales Dashboard'!BG236))),0,SUMPRODUCT(('TY Sales Target'!$K$2:$AO$2=$F$4)*1,INDEX('TY Sales Target'!$K$5:$AO$300,'Sales Dashboard'!BG236,0)))</f>
        <v>0</v>
      </c>
      <c r="AO237" s="306" cm="1">
        <f t="array" ref="AO237">IF(AB237="",0,SUMPRODUCT((TRIM('LY Sales '!$B$5:$B$200)=AB237)*('LY Sales '!$C$2:$AG$2=EDATE($F$4,-12)),'LY Sales '!$C$5:$AG$200))</f>
        <v>0</v>
      </c>
      <c r="AP237">
        <f t="shared" si="78"/>
        <v>0</v>
      </c>
      <c r="AQ237">
        <f t="shared" si="79"/>
        <v>0</v>
      </c>
      <c r="AR237">
        <f t="shared" si="80"/>
        <v>0</v>
      </c>
      <c r="AS237">
        <f t="shared" si="81"/>
        <v>0</v>
      </c>
    </row>
    <row r="238" spans="1:45" x14ac:dyDescent="0.25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  <c r="AA238" s="271"/>
      <c r="AB238" s="271" t="str">
        <f>IF('Sales Dashboard'!AW237="","",'Sales Dashboard'!AW237)</f>
        <v/>
      </c>
      <c r="AC238" s="271" t="str">
        <f>IF(AB238="","",'Sales Dashboard'!AN237)</f>
        <v/>
      </c>
      <c r="AD238" s="271" t="str">
        <f>IF(AB238="","",'Sales Dashboard'!AO237)</f>
        <v/>
      </c>
      <c r="AE238" s="281" cm="1">
        <f t="array" ref="AE238">IF(OR(AB238="",NOT(ISNUMBER('Sales Dashboard'!BF237))),0,SUMPRODUCT((IFERROR(--'Sales and count'!$G$2:$CC$2,0)=$C$4)*('Sales and count'!$G$3:$CC$3="Total"),INDEX('Sales and count'!$G$4:$CC$300,'Sales Dashboard'!BF237,0)))</f>
        <v>0</v>
      </c>
      <c r="AF238" s="281" cm="1">
        <f t="array" ref="AF238">IF(OR(AB238="",NOT(ISNUMBER('Sales Dashboard'!BG237))),0,SUMPRODUCT(('TY Sales Target'!$K$2:$AO$2=$C$4)*1,INDEX('TY Sales Target'!$K$5:$AO$300,'Sales Dashboard'!BG237,0)))</f>
        <v>0</v>
      </c>
      <c r="AG238" s="281" cm="1">
        <f t="array" ref="AG238">IF(AB238="",0,SUMPRODUCT((TRIM('LY Sales '!$B$5:$B$200)=AB238)*('LY Sales '!$C$2:$AG$2=EDATE($C$4,-12)),'LY Sales '!$C$5:$AG$200))</f>
        <v>0</v>
      </c>
      <c r="AH238" s="271">
        <f t="shared" si="73"/>
        <v>0</v>
      </c>
      <c r="AI238" s="271">
        <f t="shared" si="74"/>
        <v>0</v>
      </c>
      <c r="AJ238" s="271">
        <f t="shared" si="75"/>
        <v>0</v>
      </c>
      <c r="AK238" s="271">
        <f t="shared" si="76"/>
        <v>0</v>
      </c>
      <c r="AL238" s="271">
        <f t="shared" si="77"/>
        <v>0</v>
      </c>
      <c r="AM238" s="306" cm="1">
        <f t="array" ref="AM238">IF(OR(AB238="",NOT(ISNUMBER('Sales Dashboard'!BF237))),0,SUMPRODUCT((IFERROR(--'Sales and count'!$G$2:$CC$2,0)=$F$4)*('Sales and count'!$G$3:$CC$3="Total"),INDEX('Sales and count'!$G$4:$CC$300,'Sales Dashboard'!BF237,0)))</f>
        <v>0</v>
      </c>
      <c r="AN238" s="306" cm="1">
        <f t="array" ref="AN238">IF(OR(AB238="",NOT(ISNUMBER('Sales Dashboard'!BG237))),0,SUMPRODUCT(('TY Sales Target'!$K$2:$AO$2=$F$4)*1,INDEX('TY Sales Target'!$K$5:$AO$300,'Sales Dashboard'!BG237,0)))</f>
        <v>0</v>
      </c>
      <c r="AO238" s="306" cm="1">
        <f t="array" ref="AO238">IF(AB238="",0,SUMPRODUCT((TRIM('LY Sales '!$B$5:$B$200)=AB238)*('LY Sales '!$C$2:$AG$2=EDATE($F$4,-12)),'LY Sales '!$C$5:$AG$200))</f>
        <v>0</v>
      </c>
      <c r="AP238">
        <f t="shared" si="78"/>
        <v>0</v>
      </c>
      <c r="AQ238">
        <f t="shared" si="79"/>
        <v>0</v>
      </c>
      <c r="AR238">
        <f t="shared" si="80"/>
        <v>0</v>
      </c>
      <c r="AS238">
        <f t="shared" si="81"/>
        <v>0</v>
      </c>
    </row>
    <row r="239" spans="1:45" x14ac:dyDescent="0.25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  <c r="AA239" s="271"/>
      <c r="AB239" s="271" t="str">
        <f>IF('Sales Dashboard'!AW238="","",'Sales Dashboard'!AW238)</f>
        <v/>
      </c>
      <c r="AC239" s="271" t="str">
        <f>IF(AB239="","",'Sales Dashboard'!AN238)</f>
        <v/>
      </c>
      <c r="AD239" s="271" t="str">
        <f>IF(AB239="","",'Sales Dashboard'!AO238)</f>
        <v/>
      </c>
      <c r="AE239" s="281" cm="1">
        <f t="array" ref="AE239">IF(OR(AB239="",NOT(ISNUMBER('Sales Dashboard'!BF238))),0,SUMPRODUCT((IFERROR(--'Sales and count'!$G$2:$CC$2,0)=$C$4)*('Sales and count'!$G$3:$CC$3="Total"),INDEX('Sales and count'!$G$4:$CC$300,'Sales Dashboard'!BF238,0)))</f>
        <v>0</v>
      </c>
      <c r="AF239" s="281" cm="1">
        <f t="array" ref="AF239">IF(OR(AB239="",NOT(ISNUMBER('Sales Dashboard'!BG238))),0,SUMPRODUCT(('TY Sales Target'!$K$2:$AO$2=$C$4)*1,INDEX('TY Sales Target'!$K$5:$AO$300,'Sales Dashboard'!BG238,0)))</f>
        <v>0</v>
      </c>
      <c r="AG239" s="281" cm="1">
        <f t="array" ref="AG239">IF(AB239="",0,SUMPRODUCT((TRIM('LY Sales '!$B$5:$B$200)=AB239)*('LY Sales '!$C$2:$AG$2=EDATE($C$4,-12)),'LY Sales '!$C$5:$AG$200))</f>
        <v>0</v>
      </c>
      <c r="AH239" s="271">
        <f t="shared" si="73"/>
        <v>0</v>
      </c>
      <c r="AI239" s="271">
        <f t="shared" si="74"/>
        <v>0</v>
      </c>
      <c r="AJ239" s="271">
        <f t="shared" si="75"/>
        <v>0</v>
      </c>
      <c r="AK239" s="271">
        <f t="shared" si="76"/>
        <v>0</v>
      </c>
      <c r="AL239" s="271">
        <f t="shared" si="77"/>
        <v>0</v>
      </c>
      <c r="AM239" s="306" cm="1">
        <f t="array" ref="AM239">IF(OR(AB239="",NOT(ISNUMBER('Sales Dashboard'!BF238))),0,SUMPRODUCT((IFERROR(--'Sales and count'!$G$2:$CC$2,0)=$F$4)*('Sales and count'!$G$3:$CC$3="Total"),INDEX('Sales and count'!$G$4:$CC$300,'Sales Dashboard'!BF238,0)))</f>
        <v>0</v>
      </c>
      <c r="AN239" s="306" cm="1">
        <f t="array" ref="AN239">IF(OR(AB239="",NOT(ISNUMBER('Sales Dashboard'!BG238))),0,SUMPRODUCT(('TY Sales Target'!$K$2:$AO$2=$F$4)*1,INDEX('TY Sales Target'!$K$5:$AO$300,'Sales Dashboard'!BG238,0)))</f>
        <v>0</v>
      </c>
      <c r="AO239" s="306" cm="1">
        <f t="array" ref="AO239">IF(AB239="",0,SUMPRODUCT((TRIM('LY Sales '!$B$5:$B$200)=AB239)*('LY Sales '!$C$2:$AG$2=EDATE($F$4,-12)),'LY Sales '!$C$5:$AG$200))</f>
        <v>0</v>
      </c>
      <c r="AP239">
        <f t="shared" si="78"/>
        <v>0</v>
      </c>
      <c r="AQ239">
        <f t="shared" si="79"/>
        <v>0</v>
      </c>
      <c r="AR239">
        <f t="shared" si="80"/>
        <v>0</v>
      </c>
      <c r="AS239">
        <f t="shared" si="81"/>
        <v>0</v>
      </c>
    </row>
    <row r="240" spans="1:45" x14ac:dyDescent="0.25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  <c r="AA240" s="271"/>
      <c r="AB240" s="271" t="str">
        <f>IF('Sales Dashboard'!AW239="","",'Sales Dashboard'!AW239)</f>
        <v/>
      </c>
      <c r="AC240" s="271" t="str">
        <f>IF(AB240="","",'Sales Dashboard'!AN239)</f>
        <v/>
      </c>
      <c r="AD240" s="271" t="str">
        <f>IF(AB240="","",'Sales Dashboard'!AO239)</f>
        <v/>
      </c>
      <c r="AE240" s="281" cm="1">
        <f t="array" ref="AE240">IF(OR(AB240="",NOT(ISNUMBER('Sales Dashboard'!BF239))),0,SUMPRODUCT((IFERROR(--'Sales and count'!$G$2:$CC$2,0)=$C$4)*('Sales and count'!$G$3:$CC$3="Total"),INDEX('Sales and count'!$G$4:$CC$300,'Sales Dashboard'!BF239,0)))</f>
        <v>0</v>
      </c>
      <c r="AF240" s="281" cm="1">
        <f t="array" ref="AF240">IF(OR(AB240="",NOT(ISNUMBER('Sales Dashboard'!BG239))),0,SUMPRODUCT(('TY Sales Target'!$K$2:$AO$2=$C$4)*1,INDEX('TY Sales Target'!$K$5:$AO$300,'Sales Dashboard'!BG239,0)))</f>
        <v>0</v>
      </c>
      <c r="AG240" s="281" cm="1">
        <f t="array" ref="AG240">IF(AB240="",0,SUMPRODUCT((TRIM('LY Sales '!$B$5:$B$200)=AB240)*('LY Sales '!$C$2:$AG$2=EDATE($C$4,-12)),'LY Sales '!$C$5:$AG$200))</f>
        <v>0</v>
      </c>
      <c r="AH240" s="271">
        <f t="shared" si="73"/>
        <v>0</v>
      </c>
      <c r="AI240" s="271">
        <f t="shared" si="74"/>
        <v>0</v>
      </c>
      <c r="AJ240" s="271">
        <f t="shared" si="75"/>
        <v>0</v>
      </c>
      <c r="AK240" s="271">
        <f t="shared" si="76"/>
        <v>0</v>
      </c>
      <c r="AL240" s="271">
        <f t="shared" si="77"/>
        <v>0</v>
      </c>
      <c r="AM240" s="306" cm="1">
        <f t="array" ref="AM240">IF(OR(AB240="",NOT(ISNUMBER('Sales Dashboard'!BF239))),0,SUMPRODUCT((IFERROR(--'Sales and count'!$G$2:$CC$2,0)=$F$4)*('Sales and count'!$G$3:$CC$3="Total"),INDEX('Sales and count'!$G$4:$CC$300,'Sales Dashboard'!BF239,0)))</f>
        <v>0</v>
      </c>
      <c r="AN240" s="306" cm="1">
        <f t="array" ref="AN240">IF(OR(AB240="",NOT(ISNUMBER('Sales Dashboard'!BG239))),0,SUMPRODUCT(('TY Sales Target'!$K$2:$AO$2=$F$4)*1,INDEX('TY Sales Target'!$K$5:$AO$300,'Sales Dashboard'!BG239,0)))</f>
        <v>0</v>
      </c>
      <c r="AO240" s="306" cm="1">
        <f t="array" ref="AO240">IF(AB240="",0,SUMPRODUCT((TRIM('LY Sales '!$B$5:$B$200)=AB240)*('LY Sales '!$C$2:$AG$2=EDATE($F$4,-12)),'LY Sales '!$C$5:$AG$200))</f>
        <v>0</v>
      </c>
      <c r="AP240">
        <f t="shared" si="78"/>
        <v>0</v>
      </c>
      <c r="AQ240">
        <f t="shared" si="79"/>
        <v>0</v>
      </c>
      <c r="AR240">
        <f t="shared" si="80"/>
        <v>0</v>
      </c>
      <c r="AS240">
        <f t="shared" si="81"/>
        <v>0</v>
      </c>
    </row>
    <row r="241" spans="1:45" x14ac:dyDescent="0.25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  <c r="AA241" s="271"/>
      <c r="AB241" s="271" t="str">
        <f>IF('Sales Dashboard'!AW240="","",'Sales Dashboard'!AW240)</f>
        <v/>
      </c>
      <c r="AC241" s="271" t="str">
        <f>IF(AB241="","",'Sales Dashboard'!AN240)</f>
        <v/>
      </c>
      <c r="AD241" s="271" t="str">
        <f>IF(AB241="","",'Sales Dashboard'!AO240)</f>
        <v/>
      </c>
      <c r="AE241" s="281" cm="1">
        <f t="array" ref="AE241">IF(OR(AB241="",NOT(ISNUMBER('Sales Dashboard'!BF240))),0,SUMPRODUCT((IFERROR(--'Sales and count'!$G$2:$CC$2,0)=$C$4)*('Sales and count'!$G$3:$CC$3="Total"),INDEX('Sales and count'!$G$4:$CC$300,'Sales Dashboard'!BF240,0)))</f>
        <v>0</v>
      </c>
      <c r="AF241" s="281" cm="1">
        <f t="array" ref="AF241">IF(OR(AB241="",NOT(ISNUMBER('Sales Dashboard'!BG240))),0,SUMPRODUCT(('TY Sales Target'!$K$2:$AO$2=$C$4)*1,INDEX('TY Sales Target'!$K$5:$AO$300,'Sales Dashboard'!BG240,0)))</f>
        <v>0</v>
      </c>
      <c r="AG241" s="281" cm="1">
        <f t="array" ref="AG241">IF(AB241="",0,SUMPRODUCT((TRIM('LY Sales '!$B$5:$B$200)=AB241)*('LY Sales '!$C$2:$AG$2=EDATE($C$4,-12)),'LY Sales '!$C$5:$AG$200))</f>
        <v>0</v>
      </c>
      <c r="AH241" s="271">
        <f t="shared" si="73"/>
        <v>0</v>
      </c>
      <c r="AI241" s="271">
        <f t="shared" si="74"/>
        <v>0</v>
      </c>
      <c r="AJ241" s="271">
        <f t="shared" si="75"/>
        <v>0</v>
      </c>
      <c r="AK241" s="271">
        <f t="shared" si="76"/>
        <v>0</v>
      </c>
      <c r="AL241" s="271">
        <f t="shared" si="77"/>
        <v>0</v>
      </c>
      <c r="AM241" s="306" cm="1">
        <f t="array" ref="AM241">IF(OR(AB241="",NOT(ISNUMBER('Sales Dashboard'!BF240))),0,SUMPRODUCT((IFERROR(--'Sales and count'!$G$2:$CC$2,0)=$F$4)*('Sales and count'!$G$3:$CC$3="Total"),INDEX('Sales and count'!$G$4:$CC$300,'Sales Dashboard'!BF240,0)))</f>
        <v>0</v>
      </c>
      <c r="AN241" s="306" cm="1">
        <f t="array" ref="AN241">IF(OR(AB241="",NOT(ISNUMBER('Sales Dashboard'!BG240))),0,SUMPRODUCT(('TY Sales Target'!$K$2:$AO$2=$F$4)*1,INDEX('TY Sales Target'!$K$5:$AO$300,'Sales Dashboard'!BG240,0)))</f>
        <v>0</v>
      </c>
      <c r="AO241" s="306" cm="1">
        <f t="array" ref="AO241">IF(AB241="",0,SUMPRODUCT((TRIM('LY Sales '!$B$5:$B$200)=AB241)*('LY Sales '!$C$2:$AG$2=EDATE($F$4,-12)),'LY Sales '!$C$5:$AG$200))</f>
        <v>0</v>
      </c>
      <c r="AP241">
        <f t="shared" si="78"/>
        <v>0</v>
      </c>
      <c r="AQ241">
        <f t="shared" si="79"/>
        <v>0</v>
      </c>
      <c r="AR241">
        <f t="shared" si="80"/>
        <v>0</v>
      </c>
      <c r="AS241">
        <f t="shared" si="81"/>
        <v>0</v>
      </c>
    </row>
    <row r="242" spans="1:45" x14ac:dyDescent="0.25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  <c r="AA242" s="271"/>
      <c r="AB242" s="271" t="str">
        <f>IF('Sales Dashboard'!AW241="","",'Sales Dashboard'!AW241)</f>
        <v/>
      </c>
      <c r="AC242" s="271" t="str">
        <f>IF(AB242="","",'Sales Dashboard'!AN241)</f>
        <v/>
      </c>
      <c r="AD242" s="271" t="str">
        <f>IF(AB242="","",'Sales Dashboard'!AO241)</f>
        <v/>
      </c>
      <c r="AE242" s="281" cm="1">
        <f t="array" ref="AE242">IF(OR(AB242="",NOT(ISNUMBER('Sales Dashboard'!BF241))),0,SUMPRODUCT((IFERROR(--'Sales and count'!$G$2:$CC$2,0)=$C$4)*('Sales and count'!$G$3:$CC$3="Total"),INDEX('Sales and count'!$G$4:$CC$300,'Sales Dashboard'!BF241,0)))</f>
        <v>0</v>
      </c>
      <c r="AF242" s="281" cm="1">
        <f t="array" ref="AF242">IF(OR(AB242="",NOT(ISNUMBER('Sales Dashboard'!BG241))),0,SUMPRODUCT(('TY Sales Target'!$K$2:$AO$2=$C$4)*1,INDEX('TY Sales Target'!$K$5:$AO$300,'Sales Dashboard'!BG241,0)))</f>
        <v>0</v>
      </c>
      <c r="AG242" s="281" cm="1">
        <f t="array" ref="AG242">IF(AB242="",0,SUMPRODUCT((TRIM('LY Sales '!$B$5:$B$200)=AB242)*('LY Sales '!$C$2:$AG$2=EDATE($C$4,-12)),'LY Sales '!$C$5:$AG$200))</f>
        <v>0</v>
      </c>
      <c r="AH242" s="271">
        <f t="shared" si="73"/>
        <v>0</v>
      </c>
      <c r="AI242" s="271">
        <f t="shared" si="74"/>
        <v>0</v>
      </c>
      <c r="AJ242" s="271">
        <f t="shared" si="75"/>
        <v>0</v>
      </c>
      <c r="AK242" s="271">
        <f t="shared" si="76"/>
        <v>0</v>
      </c>
      <c r="AL242" s="271">
        <f t="shared" si="77"/>
        <v>0</v>
      </c>
      <c r="AM242" s="306" cm="1">
        <f t="array" ref="AM242">IF(OR(AB242="",NOT(ISNUMBER('Sales Dashboard'!BF241))),0,SUMPRODUCT((IFERROR(--'Sales and count'!$G$2:$CC$2,0)=$F$4)*('Sales and count'!$G$3:$CC$3="Total"),INDEX('Sales and count'!$G$4:$CC$300,'Sales Dashboard'!BF241,0)))</f>
        <v>0</v>
      </c>
      <c r="AN242" s="306" cm="1">
        <f t="array" ref="AN242">IF(OR(AB242="",NOT(ISNUMBER('Sales Dashboard'!BG241))),0,SUMPRODUCT(('TY Sales Target'!$K$2:$AO$2=$F$4)*1,INDEX('TY Sales Target'!$K$5:$AO$300,'Sales Dashboard'!BG241,0)))</f>
        <v>0</v>
      </c>
      <c r="AO242" s="306" cm="1">
        <f t="array" ref="AO242">IF(AB242="",0,SUMPRODUCT((TRIM('LY Sales '!$B$5:$B$200)=AB242)*('LY Sales '!$C$2:$AG$2=EDATE($F$4,-12)),'LY Sales '!$C$5:$AG$200))</f>
        <v>0</v>
      </c>
      <c r="AP242">
        <f t="shared" si="78"/>
        <v>0</v>
      </c>
      <c r="AQ242">
        <f t="shared" si="79"/>
        <v>0</v>
      </c>
      <c r="AR242">
        <f t="shared" si="80"/>
        <v>0</v>
      </c>
      <c r="AS242">
        <f t="shared" si="81"/>
        <v>0</v>
      </c>
    </row>
    <row r="243" spans="1:45" x14ac:dyDescent="0.25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  <c r="AA243" s="271"/>
      <c r="AB243" s="271" t="str">
        <f>IF('Sales Dashboard'!AW242="","",'Sales Dashboard'!AW242)</f>
        <v/>
      </c>
      <c r="AC243" s="271" t="str">
        <f>IF(AB243="","",'Sales Dashboard'!AN242)</f>
        <v/>
      </c>
      <c r="AD243" s="271" t="str">
        <f>IF(AB243="","",'Sales Dashboard'!AO242)</f>
        <v/>
      </c>
      <c r="AE243" s="281" cm="1">
        <f t="array" ref="AE243">IF(OR(AB243="",NOT(ISNUMBER('Sales Dashboard'!BF242))),0,SUMPRODUCT((IFERROR(--'Sales and count'!$G$2:$CC$2,0)=$C$4)*('Sales and count'!$G$3:$CC$3="Total"),INDEX('Sales and count'!$G$4:$CC$300,'Sales Dashboard'!BF242,0)))</f>
        <v>0</v>
      </c>
      <c r="AF243" s="281" cm="1">
        <f t="array" ref="AF243">IF(OR(AB243="",NOT(ISNUMBER('Sales Dashboard'!BG242))),0,SUMPRODUCT(('TY Sales Target'!$K$2:$AO$2=$C$4)*1,INDEX('TY Sales Target'!$K$5:$AO$300,'Sales Dashboard'!BG242,0)))</f>
        <v>0</v>
      </c>
      <c r="AG243" s="281" cm="1">
        <f t="array" ref="AG243">IF(AB243="",0,SUMPRODUCT((TRIM('LY Sales '!$B$5:$B$200)=AB243)*('LY Sales '!$C$2:$AG$2=EDATE($C$4,-12)),'LY Sales '!$C$5:$AG$200))</f>
        <v>0</v>
      </c>
      <c r="AH243" s="271">
        <f t="shared" si="73"/>
        <v>0</v>
      </c>
      <c r="AI243" s="271">
        <f t="shared" si="74"/>
        <v>0</v>
      </c>
      <c r="AJ243" s="271">
        <f t="shared" si="75"/>
        <v>0</v>
      </c>
      <c r="AK243" s="271">
        <f t="shared" si="76"/>
        <v>0</v>
      </c>
      <c r="AL243" s="271">
        <f t="shared" si="77"/>
        <v>0</v>
      </c>
      <c r="AM243" s="306" cm="1">
        <f t="array" ref="AM243">IF(OR(AB243="",NOT(ISNUMBER('Sales Dashboard'!BF242))),0,SUMPRODUCT((IFERROR(--'Sales and count'!$G$2:$CC$2,0)=$F$4)*('Sales and count'!$G$3:$CC$3="Total"),INDEX('Sales and count'!$G$4:$CC$300,'Sales Dashboard'!BF242,0)))</f>
        <v>0</v>
      </c>
      <c r="AN243" s="306" cm="1">
        <f t="array" ref="AN243">IF(OR(AB243="",NOT(ISNUMBER('Sales Dashboard'!BG242))),0,SUMPRODUCT(('TY Sales Target'!$K$2:$AO$2=$F$4)*1,INDEX('TY Sales Target'!$K$5:$AO$300,'Sales Dashboard'!BG242,0)))</f>
        <v>0</v>
      </c>
      <c r="AO243" s="306" cm="1">
        <f t="array" ref="AO243">IF(AB243="",0,SUMPRODUCT((TRIM('LY Sales '!$B$5:$B$200)=AB243)*('LY Sales '!$C$2:$AG$2=EDATE($F$4,-12)),'LY Sales '!$C$5:$AG$200))</f>
        <v>0</v>
      </c>
      <c r="AP243">
        <f t="shared" si="78"/>
        <v>0</v>
      </c>
      <c r="AQ243">
        <f t="shared" si="79"/>
        <v>0</v>
      </c>
      <c r="AR243">
        <f t="shared" si="80"/>
        <v>0</v>
      </c>
      <c r="AS243">
        <f t="shared" si="81"/>
        <v>0</v>
      </c>
    </row>
    <row r="244" spans="1:45" x14ac:dyDescent="0.25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  <c r="AA244" s="271"/>
      <c r="AB244" s="271" t="str">
        <f>IF('Sales Dashboard'!AW243="","",'Sales Dashboard'!AW243)</f>
        <v/>
      </c>
      <c r="AC244" s="271" t="str">
        <f>IF(AB244="","",'Sales Dashboard'!AN243)</f>
        <v/>
      </c>
      <c r="AD244" s="271" t="str">
        <f>IF(AB244="","",'Sales Dashboard'!AO243)</f>
        <v/>
      </c>
      <c r="AE244" s="281" cm="1">
        <f t="array" ref="AE244">IF(OR(AB244="",NOT(ISNUMBER('Sales Dashboard'!BF243))),0,SUMPRODUCT((IFERROR(--'Sales and count'!$G$2:$CC$2,0)=$C$4)*('Sales and count'!$G$3:$CC$3="Total"),INDEX('Sales and count'!$G$4:$CC$300,'Sales Dashboard'!BF243,0)))</f>
        <v>0</v>
      </c>
      <c r="AF244" s="281" cm="1">
        <f t="array" ref="AF244">IF(OR(AB244="",NOT(ISNUMBER('Sales Dashboard'!BG243))),0,SUMPRODUCT(('TY Sales Target'!$K$2:$AO$2=$C$4)*1,INDEX('TY Sales Target'!$K$5:$AO$300,'Sales Dashboard'!BG243,0)))</f>
        <v>0</v>
      </c>
      <c r="AG244" s="281" cm="1">
        <f t="array" ref="AG244">IF(AB244="",0,SUMPRODUCT((TRIM('LY Sales '!$B$5:$B$200)=AB244)*('LY Sales '!$C$2:$AG$2=EDATE($C$4,-12)),'LY Sales '!$C$5:$AG$200))</f>
        <v>0</v>
      </c>
      <c r="AH244" s="271">
        <f t="shared" si="73"/>
        <v>0</v>
      </c>
      <c r="AI244" s="271">
        <f t="shared" si="74"/>
        <v>0</v>
      </c>
      <c r="AJ244" s="271">
        <f t="shared" si="75"/>
        <v>0</v>
      </c>
      <c r="AK244" s="271">
        <f t="shared" si="76"/>
        <v>0</v>
      </c>
      <c r="AL244" s="271">
        <f t="shared" si="77"/>
        <v>0</v>
      </c>
      <c r="AM244" s="306" cm="1">
        <f t="array" ref="AM244">IF(OR(AB244="",NOT(ISNUMBER('Sales Dashboard'!BF243))),0,SUMPRODUCT((IFERROR(--'Sales and count'!$G$2:$CC$2,0)=$F$4)*('Sales and count'!$G$3:$CC$3="Total"),INDEX('Sales and count'!$G$4:$CC$300,'Sales Dashboard'!BF243,0)))</f>
        <v>0</v>
      </c>
      <c r="AN244" s="306" cm="1">
        <f t="array" ref="AN244">IF(OR(AB244="",NOT(ISNUMBER('Sales Dashboard'!BG243))),0,SUMPRODUCT(('TY Sales Target'!$K$2:$AO$2=$F$4)*1,INDEX('TY Sales Target'!$K$5:$AO$300,'Sales Dashboard'!BG243,0)))</f>
        <v>0</v>
      </c>
      <c r="AO244" s="306" cm="1">
        <f t="array" ref="AO244">IF(AB244="",0,SUMPRODUCT((TRIM('LY Sales '!$B$5:$B$200)=AB244)*('LY Sales '!$C$2:$AG$2=EDATE($F$4,-12)),'LY Sales '!$C$5:$AG$200))</f>
        <v>0</v>
      </c>
      <c r="AP244">
        <f t="shared" si="78"/>
        <v>0</v>
      </c>
      <c r="AQ244">
        <f t="shared" si="79"/>
        <v>0</v>
      </c>
      <c r="AR244">
        <f t="shared" si="80"/>
        <v>0</v>
      </c>
      <c r="AS244">
        <f t="shared" si="81"/>
        <v>0</v>
      </c>
    </row>
    <row r="245" spans="1:45" x14ac:dyDescent="0.25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  <c r="AA245" s="271"/>
      <c r="AB245" s="271" t="str">
        <f>IF('Sales Dashboard'!AW244="","",'Sales Dashboard'!AW244)</f>
        <v/>
      </c>
      <c r="AC245" s="271" t="str">
        <f>IF(AB245="","",'Sales Dashboard'!AN244)</f>
        <v/>
      </c>
      <c r="AD245" s="271" t="str">
        <f>IF(AB245="","",'Sales Dashboard'!AO244)</f>
        <v/>
      </c>
      <c r="AE245" s="281" cm="1">
        <f t="array" ref="AE245">IF(OR(AB245="",NOT(ISNUMBER('Sales Dashboard'!BF244))),0,SUMPRODUCT((IFERROR(--'Sales and count'!$G$2:$CC$2,0)=$C$4)*('Sales and count'!$G$3:$CC$3="Total"),INDEX('Sales and count'!$G$4:$CC$300,'Sales Dashboard'!BF244,0)))</f>
        <v>0</v>
      </c>
      <c r="AF245" s="281" cm="1">
        <f t="array" ref="AF245">IF(OR(AB245="",NOT(ISNUMBER('Sales Dashboard'!BG244))),0,SUMPRODUCT(('TY Sales Target'!$K$2:$AO$2=$C$4)*1,INDEX('TY Sales Target'!$K$5:$AO$300,'Sales Dashboard'!BG244,0)))</f>
        <v>0</v>
      </c>
      <c r="AG245" s="281" cm="1">
        <f t="array" ref="AG245">IF(AB245="",0,SUMPRODUCT((TRIM('LY Sales '!$B$5:$B$200)=AB245)*('LY Sales '!$C$2:$AG$2=EDATE($C$4,-12)),'LY Sales '!$C$5:$AG$200))</f>
        <v>0</v>
      </c>
      <c r="AH245" s="271">
        <f t="shared" si="73"/>
        <v>0</v>
      </c>
      <c r="AI245" s="271">
        <f t="shared" si="74"/>
        <v>0</v>
      </c>
      <c r="AJ245" s="271">
        <f t="shared" si="75"/>
        <v>0</v>
      </c>
      <c r="AK245" s="271">
        <f t="shared" si="76"/>
        <v>0</v>
      </c>
      <c r="AL245" s="271">
        <f t="shared" si="77"/>
        <v>0</v>
      </c>
      <c r="AM245" s="306" cm="1">
        <f t="array" ref="AM245">IF(OR(AB245="",NOT(ISNUMBER('Sales Dashboard'!BF244))),0,SUMPRODUCT((IFERROR(--'Sales and count'!$G$2:$CC$2,0)=$F$4)*('Sales and count'!$G$3:$CC$3="Total"),INDEX('Sales and count'!$G$4:$CC$300,'Sales Dashboard'!BF244,0)))</f>
        <v>0</v>
      </c>
      <c r="AN245" s="306" cm="1">
        <f t="array" ref="AN245">IF(OR(AB245="",NOT(ISNUMBER('Sales Dashboard'!BG244))),0,SUMPRODUCT(('TY Sales Target'!$K$2:$AO$2=$F$4)*1,INDEX('TY Sales Target'!$K$5:$AO$300,'Sales Dashboard'!BG244,0)))</f>
        <v>0</v>
      </c>
      <c r="AO245" s="306" cm="1">
        <f t="array" ref="AO245">IF(AB245="",0,SUMPRODUCT((TRIM('LY Sales '!$B$5:$B$200)=AB245)*('LY Sales '!$C$2:$AG$2=EDATE($F$4,-12)),'LY Sales '!$C$5:$AG$200))</f>
        <v>0</v>
      </c>
      <c r="AP245">
        <f t="shared" si="78"/>
        <v>0</v>
      </c>
      <c r="AQ245">
        <f t="shared" si="79"/>
        <v>0</v>
      </c>
      <c r="AR245">
        <f t="shared" si="80"/>
        <v>0</v>
      </c>
      <c r="AS245">
        <f t="shared" si="81"/>
        <v>0</v>
      </c>
    </row>
    <row r="246" spans="1:45" x14ac:dyDescent="0.25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  <c r="AA246" s="271"/>
      <c r="AB246" s="271" t="str">
        <f>IF('Sales Dashboard'!AW245="","",'Sales Dashboard'!AW245)</f>
        <v/>
      </c>
      <c r="AC246" s="271" t="str">
        <f>IF(AB246="","",'Sales Dashboard'!AN245)</f>
        <v/>
      </c>
      <c r="AD246" s="271" t="str">
        <f>IF(AB246="","",'Sales Dashboard'!AO245)</f>
        <v/>
      </c>
      <c r="AE246" s="281" cm="1">
        <f t="array" ref="AE246">IF(OR(AB246="",NOT(ISNUMBER('Sales Dashboard'!BF245))),0,SUMPRODUCT((IFERROR(--'Sales and count'!$G$2:$CC$2,0)=$C$4)*('Sales and count'!$G$3:$CC$3="Total"),INDEX('Sales and count'!$G$4:$CC$300,'Sales Dashboard'!BF245,0)))</f>
        <v>0</v>
      </c>
      <c r="AF246" s="281" cm="1">
        <f t="array" ref="AF246">IF(OR(AB246="",NOT(ISNUMBER('Sales Dashboard'!BG245))),0,SUMPRODUCT(('TY Sales Target'!$K$2:$AO$2=$C$4)*1,INDEX('TY Sales Target'!$K$5:$AO$300,'Sales Dashboard'!BG245,0)))</f>
        <v>0</v>
      </c>
      <c r="AG246" s="281" cm="1">
        <f t="array" ref="AG246">IF(AB246="",0,SUMPRODUCT((TRIM('LY Sales '!$B$5:$B$200)=AB246)*('LY Sales '!$C$2:$AG$2=EDATE($C$4,-12)),'LY Sales '!$C$5:$AG$200))</f>
        <v>0</v>
      </c>
      <c r="AH246" s="271">
        <f t="shared" si="73"/>
        <v>0</v>
      </c>
      <c r="AI246" s="271">
        <f t="shared" si="74"/>
        <v>0</v>
      </c>
      <c r="AJ246" s="271">
        <f t="shared" si="75"/>
        <v>0</v>
      </c>
      <c r="AK246" s="271">
        <f t="shared" si="76"/>
        <v>0</v>
      </c>
      <c r="AL246" s="271">
        <f t="shared" si="77"/>
        <v>0</v>
      </c>
      <c r="AM246" s="306" cm="1">
        <f t="array" ref="AM246">IF(OR(AB246="",NOT(ISNUMBER('Sales Dashboard'!BF245))),0,SUMPRODUCT((IFERROR(--'Sales and count'!$G$2:$CC$2,0)=$F$4)*('Sales and count'!$G$3:$CC$3="Total"),INDEX('Sales and count'!$G$4:$CC$300,'Sales Dashboard'!BF245,0)))</f>
        <v>0</v>
      </c>
      <c r="AN246" s="306" cm="1">
        <f t="array" ref="AN246">IF(OR(AB246="",NOT(ISNUMBER('Sales Dashboard'!BG245))),0,SUMPRODUCT(('TY Sales Target'!$K$2:$AO$2=$F$4)*1,INDEX('TY Sales Target'!$K$5:$AO$300,'Sales Dashboard'!BG245,0)))</f>
        <v>0</v>
      </c>
      <c r="AO246" s="306" cm="1">
        <f t="array" ref="AO246">IF(AB246="",0,SUMPRODUCT((TRIM('LY Sales '!$B$5:$B$200)=AB246)*('LY Sales '!$C$2:$AG$2=EDATE($F$4,-12)),'LY Sales '!$C$5:$AG$200))</f>
        <v>0</v>
      </c>
      <c r="AP246">
        <f t="shared" si="78"/>
        <v>0</v>
      </c>
      <c r="AQ246">
        <f t="shared" si="79"/>
        <v>0</v>
      </c>
      <c r="AR246">
        <f t="shared" si="80"/>
        <v>0</v>
      </c>
      <c r="AS246">
        <f t="shared" si="81"/>
        <v>0</v>
      </c>
    </row>
    <row r="247" spans="1:45" x14ac:dyDescent="0.25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  <c r="AA247" s="271"/>
      <c r="AB247" s="271" t="str">
        <f>IF('Sales Dashboard'!AW246="","",'Sales Dashboard'!AW246)</f>
        <v/>
      </c>
      <c r="AC247" s="271" t="str">
        <f>IF(AB247="","",'Sales Dashboard'!AN246)</f>
        <v/>
      </c>
      <c r="AD247" s="271" t="str">
        <f>IF(AB247="","",'Sales Dashboard'!AO246)</f>
        <v/>
      </c>
      <c r="AE247" s="281" cm="1">
        <f t="array" ref="AE247">IF(OR(AB247="",NOT(ISNUMBER('Sales Dashboard'!BF246))),0,SUMPRODUCT((IFERROR(--'Sales and count'!$G$2:$CC$2,0)=$C$4)*('Sales and count'!$G$3:$CC$3="Total"),INDEX('Sales and count'!$G$4:$CC$300,'Sales Dashboard'!BF246,0)))</f>
        <v>0</v>
      </c>
      <c r="AF247" s="281" cm="1">
        <f t="array" ref="AF247">IF(OR(AB247="",NOT(ISNUMBER('Sales Dashboard'!BG246))),0,SUMPRODUCT(('TY Sales Target'!$K$2:$AO$2=$C$4)*1,INDEX('TY Sales Target'!$K$5:$AO$300,'Sales Dashboard'!BG246,0)))</f>
        <v>0</v>
      </c>
      <c r="AG247" s="281" cm="1">
        <f t="array" ref="AG247">IF(AB247="",0,SUMPRODUCT((TRIM('LY Sales '!$B$5:$B$200)=AB247)*('LY Sales '!$C$2:$AG$2=EDATE($C$4,-12)),'LY Sales '!$C$5:$AG$200))</f>
        <v>0</v>
      </c>
      <c r="AH247" s="271">
        <f t="shared" si="73"/>
        <v>0</v>
      </c>
      <c r="AI247" s="271">
        <f t="shared" si="74"/>
        <v>0</v>
      </c>
      <c r="AJ247" s="271">
        <f t="shared" si="75"/>
        <v>0</v>
      </c>
      <c r="AK247" s="271">
        <f t="shared" si="76"/>
        <v>0</v>
      </c>
      <c r="AL247" s="271">
        <f t="shared" si="77"/>
        <v>0</v>
      </c>
      <c r="AM247" s="306" cm="1">
        <f t="array" ref="AM247">IF(OR(AB247="",NOT(ISNUMBER('Sales Dashboard'!BF246))),0,SUMPRODUCT((IFERROR(--'Sales and count'!$G$2:$CC$2,0)=$F$4)*('Sales and count'!$G$3:$CC$3="Total"),INDEX('Sales and count'!$G$4:$CC$300,'Sales Dashboard'!BF246,0)))</f>
        <v>0</v>
      </c>
      <c r="AN247" s="306" cm="1">
        <f t="array" ref="AN247">IF(OR(AB247="",NOT(ISNUMBER('Sales Dashboard'!BG246))),0,SUMPRODUCT(('TY Sales Target'!$K$2:$AO$2=$F$4)*1,INDEX('TY Sales Target'!$K$5:$AO$300,'Sales Dashboard'!BG246,0)))</f>
        <v>0</v>
      </c>
      <c r="AO247" s="306" cm="1">
        <f t="array" ref="AO247">IF(AB247="",0,SUMPRODUCT((TRIM('LY Sales '!$B$5:$B$200)=AB247)*('LY Sales '!$C$2:$AG$2=EDATE($F$4,-12)),'LY Sales '!$C$5:$AG$200))</f>
        <v>0</v>
      </c>
      <c r="AP247">
        <f t="shared" si="78"/>
        <v>0</v>
      </c>
      <c r="AQ247">
        <f t="shared" si="79"/>
        <v>0</v>
      </c>
      <c r="AR247">
        <f t="shared" si="80"/>
        <v>0</v>
      </c>
      <c r="AS247">
        <f t="shared" si="81"/>
        <v>0</v>
      </c>
    </row>
    <row r="248" spans="1:45" x14ac:dyDescent="0.25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  <c r="AA248" s="271"/>
      <c r="AB248" s="271" t="str">
        <f>IF('Sales Dashboard'!AW247="","",'Sales Dashboard'!AW247)</f>
        <v/>
      </c>
      <c r="AC248" s="271" t="str">
        <f>IF(AB248="","",'Sales Dashboard'!AN247)</f>
        <v/>
      </c>
      <c r="AD248" s="271" t="str">
        <f>IF(AB248="","",'Sales Dashboard'!AO247)</f>
        <v/>
      </c>
      <c r="AE248" s="281" cm="1">
        <f t="array" ref="AE248">IF(OR(AB248="",NOT(ISNUMBER('Sales Dashboard'!BF247))),0,SUMPRODUCT((IFERROR(--'Sales and count'!$G$2:$CC$2,0)=$C$4)*('Sales and count'!$G$3:$CC$3="Total"),INDEX('Sales and count'!$G$4:$CC$300,'Sales Dashboard'!BF247,0)))</f>
        <v>0</v>
      </c>
      <c r="AF248" s="281" cm="1">
        <f t="array" ref="AF248">IF(OR(AB248="",NOT(ISNUMBER('Sales Dashboard'!BG247))),0,SUMPRODUCT(('TY Sales Target'!$K$2:$AO$2=$C$4)*1,INDEX('TY Sales Target'!$K$5:$AO$300,'Sales Dashboard'!BG247,0)))</f>
        <v>0</v>
      </c>
      <c r="AG248" s="281" cm="1">
        <f t="array" ref="AG248">IF(AB248="",0,SUMPRODUCT((TRIM('LY Sales '!$B$5:$B$200)=AB248)*('LY Sales '!$C$2:$AG$2=EDATE($C$4,-12)),'LY Sales '!$C$5:$AG$200))</f>
        <v>0</v>
      </c>
      <c r="AH248" s="271">
        <f t="shared" si="73"/>
        <v>0</v>
      </c>
      <c r="AI248" s="271">
        <f t="shared" si="74"/>
        <v>0</v>
      </c>
      <c r="AJ248" s="271">
        <f t="shared" si="75"/>
        <v>0</v>
      </c>
      <c r="AK248" s="271">
        <f t="shared" si="76"/>
        <v>0</v>
      </c>
      <c r="AL248" s="271">
        <f t="shared" si="77"/>
        <v>0</v>
      </c>
      <c r="AM248" s="306" cm="1">
        <f t="array" ref="AM248">IF(OR(AB248="",NOT(ISNUMBER('Sales Dashboard'!BF247))),0,SUMPRODUCT((IFERROR(--'Sales and count'!$G$2:$CC$2,0)=$F$4)*('Sales and count'!$G$3:$CC$3="Total"),INDEX('Sales and count'!$G$4:$CC$300,'Sales Dashboard'!BF247,0)))</f>
        <v>0</v>
      </c>
      <c r="AN248" s="306" cm="1">
        <f t="array" ref="AN248">IF(OR(AB248="",NOT(ISNUMBER('Sales Dashboard'!BG247))),0,SUMPRODUCT(('TY Sales Target'!$K$2:$AO$2=$F$4)*1,INDEX('TY Sales Target'!$K$5:$AO$300,'Sales Dashboard'!BG247,0)))</f>
        <v>0</v>
      </c>
      <c r="AO248" s="306" cm="1">
        <f t="array" ref="AO248">IF(AB248="",0,SUMPRODUCT((TRIM('LY Sales '!$B$5:$B$200)=AB248)*('LY Sales '!$C$2:$AG$2=EDATE($F$4,-12)),'LY Sales '!$C$5:$AG$200))</f>
        <v>0</v>
      </c>
      <c r="AP248">
        <f t="shared" si="78"/>
        <v>0</v>
      </c>
      <c r="AQ248">
        <f t="shared" si="79"/>
        <v>0</v>
      </c>
      <c r="AR248">
        <f t="shared" si="80"/>
        <v>0</v>
      </c>
      <c r="AS248">
        <f t="shared" si="81"/>
        <v>0</v>
      </c>
    </row>
    <row r="249" spans="1:45" x14ac:dyDescent="0.25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  <c r="AA249" s="271"/>
      <c r="AB249" s="271" t="str">
        <f>IF('Sales Dashboard'!AW248="","",'Sales Dashboard'!AW248)</f>
        <v/>
      </c>
      <c r="AC249" s="271" t="str">
        <f>IF(AB249="","",'Sales Dashboard'!AN248)</f>
        <v/>
      </c>
      <c r="AD249" s="271" t="str">
        <f>IF(AB249="","",'Sales Dashboard'!AO248)</f>
        <v/>
      </c>
      <c r="AE249" s="281" cm="1">
        <f t="array" ref="AE249">IF(OR(AB249="",NOT(ISNUMBER('Sales Dashboard'!BF248))),0,SUMPRODUCT((IFERROR(--'Sales and count'!$G$2:$CC$2,0)=$C$4)*('Sales and count'!$G$3:$CC$3="Total"),INDEX('Sales and count'!$G$4:$CC$300,'Sales Dashboard'!BF248,0)))</f>
        <v>0</v>
      </c>
      <c r="AF249" s="281" cm="1">
        <f t="array" ref="AF249">IF(OR(AB249="",NOT(ISNUMBER('Sales Dashboard'!BG248))),0,SUMPRODUCT(('TY Sales Target'!$K$2:$AO$2=$C$4)*1,INDEX('TY Sales Target'!$K$5:$AO$300,'Sales Dashboard'!BG248,0)))</f>
        <v>0</v>
      </c>
      <c r="AG249" s="281" cm="1">
        <f t="array" ref="AG249">IF(AB249="",0,SUMPRODUCT((TRIM('LY Sales '!$B$5:$B$200)=AB249)*('LY Sales '!$C$2:$AG$2=EDATE($C$4,-12)),'LY Sales '!$C$5:$AG$200))</f>
        <v>0</v>
      </c>
      <c r="AH249" s="271">
        <f t="shared" si="73"/>
        <v>0</v>
      </c>
      <c r="AI249" s="271">
        <f t="shared" si="74"/>
        <v>0</v>
      </c>
      <c r="AJ249" s="271">
        <f t="shared" si="75"/>
        <v>0</v>
      </c>
      <c r="AK249" s="271">
        <f t="shared" si="76"/>
        <v>0</v>
      </c>
      <c r="AL249" s="271">
        <f t="shared" si="77"/>
        <v>0</v>
      </c>
      <c r="AM249" s="306" cm="1">
        <f t="array" ref="AM249">IF(OR(AB249="",NOT(ISNUMBER('Sales Dashboard'!BF248))),0,SUMPRODUCT((IFERROR(--'Sales and count'!$G$2:$CC$2,0)=$F$4)*('Sales and count'!$G$3:$CC$3="Total"),INDEX('Sales and count'!$G$4:$CC$300,'Sales Dashboard'!BF248,0)))</f>
        <v>0</v>
      </c>
      <c r="AN249" s="306" cm="1">
        <f t="array" ref="AN249">IF(OR(AB249="",NOT(ISNUMBER('Sales Dashboard'!BG248))),0,SUMPRODUCT(('TY Sales Target'!$K$2:$AO$2=$F$4)*1,INDEX('TY Sales Target'!$K$5:$AO$300,'Sales Dashboard'!BG248,0)))</f>
        <v>0</v>
      </c>
      <c r="AO249" s="306" cm="1">
        <f t="array" ref="AO249">IF(AB249="",0,SUMPRODUCT((TRIM('LY Sales '!$B$5:$B$200)=AB249)*('LY Sales '!$C$2:$AG$2=EDATE($F$4,-12)),'LY Sales '!$C$5:$AG$200))</f>
        <v>0</v>
      </c>
      <c r="AP249">
        <f t="shared" si="78"/>
        <v>0</v>
      </c>
      <c r="AQ249">
        <f t="shared" si="79"/>
        <v>0</v>
      </c>
      <c r="AR249">
        <f t="shared" si="80"/>
        <v>0</v>
      </c>
      <c r="AS249">
        <f t="shared" si="81"/>
        <v>0</v>
      </c>
    </row>
    <row r="250" spans="1:45" x14ac:dyDescent="0.25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  <c r="AA250" s="271"/>
      <c r="AB250" s="271" t="str">
        <f>IF('Sales Dashboard'!AW249="","",'Sales Dashboard'!AW249)</f>
        <v/>
      </c>
      <c r="AC250" s="271" t="str">
        <f>IF(AB250="","",'Sales Dashboard'!AN249)</f>
        <v/>
      </c>
      <c r="AD250" s="271" t="str">
        <f>IF(AB250="","",'Sales Dashboard'!AO249)</f>
        <v/>
      </c>
      <c r="AE250" s="281" cm="1">
        <f t="array" ref="AE250">IF(OR(AB250="",NOT(ISNUMBER('Sales Dashboard'!BF249))),0,SUMPRODUCT((IFERROR(--'Sales and count'!$G$2:$CC$2,0)=$C$4)*('Sales and count'!$G$3:$CC$3="Total"),INDEX('Sales and count'!$G$4:$CC$300,'Sales Dashboard'!BF249,0)))</f>
        <v>0</v>
      </c>
      <c r="AF250" s="281" cm="1">
        <f t="array" ref="AF250">IF(OR(AB250="",NOT(ISNUMBER('Sales Dashboard'!BG249))),0,SUMPRODUCT(('TY Sales Target'!$K$2:$AO$2=$C$4)*1,INDEX('TY Sales Target'!$K$5:$AO$300,'Sales Dashboard'!BG249,0)))</f>
        <v>0</v>
      </c>
      <c r="AG250" s="281" cm="1">
        <f t="array" ref="AG250">IF(AB250="",0,SUMPRODUCT((TRIM('LY Sales '!$B$5:$B$200)=AB250)*('LY Sales '!$C$2:$AG$2=EDATE($C$4,-12)),'LY Sales '!$C$5:$AG$200))</f>
        <v>0</v>
      </c>
      <c r="AH250" s="271">
        <f t="shared" si="73"/>
        <v>0</v>
      </c>
      <c r="AI250" s="271">
        <f t="shared" si="74"/>
        <v>0</v>
      </c>
      <c r="AJ250" s="271">
        <f t="shared" si="75"/>
        <v>0</v>
      </c>
      <c r="AK250" s="271">
        <f t="shared" si="76"/>
        <v>0</v>
      </c>
      <c r="AL250" s="271">
        <f t="shared" si="77"/>
        <v>0</v>
      </c>
      <c r="AM250" s="306" cm="1">
        <f t="array" ref="AM250">IF(OR(AB250="",NOT(ISNUMBER('Sales Dashboard'!BF249))),0,SUMPRODUCT((IFERROR(--'Sales and count'!$G$2:$CC$2,0)=$F$4)*('Sales and count'!$G$3:$CC$3="Total"),INDEX('Sales and count'!$G$4:$CC$300,'Sales Dashboard'!BF249,0)))</f>
        <v>0</v>
      </c>
      <c r="AN250" s="306" cm="1">
        <f t="array" ref="AN250">IF(OR(AB250="",NOT(ISNUMBER('Sales Dashboard'!BG249))),0,SUMPRODUCT(('TY Sales Target'!$K$2:$AO$2=$F$4)*1,INDEX('TY Sales Target'!$K$5:$AO$300,'Sales Dashboard'!BG249,0)))</f>
        <v>0</v>
      </c>
      <c r="AO250" s="306" cm="1">
        <f t="array" ref="AO250">IF(AB250="",0,SUMPRODUCT((TRIM('LY Sales '!$B$5:$B$200)=AB250)*('LY Sales '!$C$2:$AG$2=EDATE($F$4,-12)),'LY Sales '!$C$5:$AG$200))</f>
        <v>0</v>
      </c>
      <c r="AP250">
        <f t="shared" si="78"/>
        <v>0</v>
      </c>
      <c r="AQ250">
        <f t="shared" si="79"/>
        <v>0</v>
      </c>
      <c r="AR250">
        <f t="shared" si="80"/>
        <v>0</v>
      </c>
      <c r="AS250">
        <f t="shared" si="81"/>
        <v>0</v>
      </c>
    </row>
    <row r="251" spans="1:45" x14ac:dyDescent="0.25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  <c r="AA251" s="271"/>
      <c r="AB251" s="271" t="str">
        <f>IF('Sales Dashboard'!AW250="","",'Sales Dashboard'!AW250)</f>
        <v/>
      </c>
      <c r="AC251" s="271" t="str">
        <f>IF(AB251="","",'Sales Dashboard'!AN250)</f>
        <v/>
      </c>
      <c r="AD251" s="271" t="str">
        <f>IF(AB251="","",'Sales Dashboard'!AO250)</f>
        <v/>
      </c>
      <c r="AE251" s="281" cm="1">
        <f t="array" ref="AE251">IF(OR(AB251="",NOT(ISNUMBER('Sales Dashboard'!BF250))),0,SUMPRODUCT((IFERROR(--'Sales and count'!$G$2:$CC$2,0)=$C$4)*('Sales and count'!$G$3:$CC$3="Total"),INDEX('Sales and count'!$G$4:$CC$300,'Sales Dashboard'!BF250,0)))</f>
        <v>0</v>
      </c>
      <c r="AF251" s="281" cm="1">
        <f t="array" ref="AF251">IF(OR(AB251="",NOT(ISNUMBER('Sales Dashboard'!BG250))),0,SUMPRODUCT(('TY Sales Target'!$K$2:$AO$2=$C$4)*1,INDEX('TY Sales Target'!$K$5:$AO$300,'Sales Dashboard'!BG250,0)))</f>
        <v>0</v>
      </c>
      <c r="AG251" s="281" cm="1">
        <f t="array" ref="AG251">IF(AB251="",0,SUMPRODUCT((TRIM('LY Sales '!$B$5:$B$200)=AB251)*('LY Sales '!$C$2:$AG$2=EDATE($C$4,-12)),'LY Sales '!$C$5:$AG$200))</f>
        <v>0</v>
      </c>
      <c r="AH251" s="271">
        <f t="shared" si="73"/>
        <v>0</v>
      </c>
      <c r="AI251" s="271">
        <f t="shared" si="74"/>
        <v>0</v>
      </c>
      <c r="AJ251" s="271">
        <f t="shared" si="75"/>
        <v>0</v>
      </c>
      <c r="AK251" s="271">
        <f t="shared" si="76"/>
        <v>0</v>
      </c>
      <c r="AL251" s="271">
        <f t="shared" si="77"/>
        <v>0</v>
      </c>
      <c r="AM251" s="306" cm="1">
        <f t="array" ref="AM251">IF(OR(AB251="",NOT(ISNUMBER('Sales Dashboard'!BF250))),0,SUMPRODUCT((IFERROR(--'Sales and count'!$G$2:$CC$2,0)=$F$4)*('Sales and count'!$G$3:$CC$3="Total"),INDEX('Sales and count'!$G$4:$CC$300,'Sales Dashboard'!BF250,0)))</f>
        <v>0</v>
      </c>
      <c r="AN251" s="306" cm="1">
        <f t="array" ref="AN251">IF(OR(AB251="",NOT(ISNUMBER('Sales Dashboard'!BG250))),0,SUMPRODUCT(('TY Sales Target'!$K$2:$AO$2=$F$4)*1,INDEX('TY Sales Target'!$K$5:$AO$300,'Sales Dashboard'!BG250,0)))</f>
        <v>0</v>
      </c>
      <c r="AO251" s="306" cm="1">
        <f t="array" ref="AO251">IF(AB251="",0,SUMPRODUCT((TRIM('LY Sales '!$B$5:$B$200)=AB251)*('LY Sales '!$C$2:$AG$2=EDATE($F$4,-12)),'LY Sales '!$C$5:$AG$200))</f>
        <v>0</v>
      </c>
      <c r="AP251">
        <f t="shared" si="78"/>
        <v>0</v>
      </c>
      <c r="AQ251">
        <f t="shared" si="79"/>
        <v>0</v>
      </c>
      <c r="AR251">
        <f t="shared" si="80"/>
        <v>0</v>
      </c>
      <c r="AS251">
        <f t="shared" si="81"/>
        <v>0</v>
      </c>
    </row>
    <row r="252" spans="1:45" x14ac:dyDescent="0.25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  <c r="AB252" s="271" t="str">
        <f>IF('Sales Dashboard'!AW251="","",'Sales Dashboard'!AW251)</f>
        <v/>
      </c>
      <c r="AC252" s="271" t="str">
        <f>IF(AB252="","",'Sales Dashboard'!AN251)</f>
        <v/>
      </c>
      <c r="AD252" s="271" t="str">
        <f>IF(AB252="","",'Sales Dashboard'!AO251)</f>
        <v/>
      </c>
      <c r="AE252" s="281" cm="1">
        <f t="array" ref="AE252">IF(OR(AB252="",NOT(ISNUMBER('Sales Dashboard'!BF251))),0,SUMPRODUCT((IFERROR(--'Sales and count'!$G$2:$CC$2,0)=$C$4)*('Sales and count'!$G$3:$CC$3="Total"),INDEX('Sales and count'!$G$4:$CC$300,'Sales Dashboard'!BF251,0)))</f>
        <v>0</v>
      </c>
      <c r="AF252" s="281" cm="1">
        <f t="array" ref="AF252">IF(OR(AB252="",NOT(ISNUMBER('Sales Dashboard'!BG251))),0,SUMPRODUCT(('TY Sales Target'!$K$2:$AO$2=$C$4)*1,INDEX('TY Sales Target'!$K$5:$AO$300,'Sales Dashboard'!BG251,0)))</f>
        <v>0</v>
      </c>
      <c r="AG252" s="281" cm="1">
        <f t="array" ref="AG252">IF(AB252="",0,SUMPRODUCT((TRIM('LY Sales '!$B$5:$B$200)=AB252)*('LY Sales '!$C$2:$AG$2=EDATE($C$4,-12)),'LY Sales '!$C$5:$AG$200))</f>
        <v>0</v>
      </c>
      <c r="AH252" s="271">
        <f t="shared" si="73"/>
        <v>0</v>
      </c>
      <c r="AI252" s="271">
        <f t="shared" si="74"/>
        <v>0</v>
      </c>
      <c r="AJ252" s="271">
        <f t="shared" si="75"/>
        <v>0</v>
      </c>
      <c r="AK252" s="271">
        <f t="shared" si="76"/>
        <v>0</v>
      </c>
      <c r="AL252" s="271">
        <f t="shared" si="77"/>
        <v>0</v>
      </c>
      <c r="AM252" s="306" cm="1">
        <f t="array" ref="AM252">IF(OR(AB252="",NOT(ISNUMBER('Sales Dashboard'!BF251))),0,SUMPRODUCT((IFERROR(--'Sales and count'!$G$2:$CC$2,0)=$F$4)*('Sales and count'!$G$3:$CC$3="Total"),INDEX('Sales and count'!$G$4:$CC$300,'Sales Dashboard'!BF251,0)))</f>
        <v>0</v>
      </c>
      <c r="AN252" s="306" cm="1">
        <f t="array" ref="AN252">IF(OR(AB252="",NOT(ISNUMBER('Sales Dashboard'!BG251))),0,SUMPRODUCT(('TY Sales Target'!$K$2:$AO$2=$F$4)*1,INDEX('TY Sales Target'!$K$5:$AO$300,'Sales Dashboard'!BG251,0)))</f>
        <v>0</v>
      </c>
      <c r="AO252" s="306" cm="1">
        <f t="array" ref="AO252">IF(AB252="",0,SUMPRODUCT((TRIM('LY Sales '!$B$5:$B$200)=AB252)*('LY Sales '!$C$2:$AG$2=EDATE($F$4,-12)),'LY Sales '!$C$5:$AG$200))</f>
        <v>0</v>
      </c>
      <c r="AP252">
        <f t="shared" si="78"/>
        <v>0</v>
      </c>
      <c r="AQ252">
        <f t="shared" si="79"/>
        <v>0</v>
      </c>
      <c r="AR252">
        <f t="shared" si="80"/>
        <v>0</v>
      </c>
      <c r="AS252">
        <f t="shared" si="81"/>
        <v>0</v>
      </c>
    </row>
    <row r="253" spans="1:45" x14ac:dyDescent="0.25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  <c r="AA253" s="271"/>
      <c r="AB253" s="271" t="str">
        <f>IF('Sales Dashboard'!AW252="","",'Sales Dashboard'!AW252)</f>
        <v/>
      </c>
      <c r="AC253" s="271" t="str">
        <f>IF(AB253="","",'Sales Dashboard'!AN252)</f>
        <v/>
      </c>
      <c r="AD253" s="271" t="str">
        <f>IF(AB253="","",'Sales Dashboard'!AO252)</f>
        <v/>
      </c>
      <c r="AE253" s="281" cm="1">
        <f t="array" ref="AE253">IF(OR(AB253="",NOT(ISNUMBER('Sales Dashboard'!BF252))),0,SUMPRODUCT((IFERROR(--'Sales and count'!$G$2:$CC$2,0)=$C$4)*('Sales and count'!$G$3:$CC$3="Total"),INDEX('Sales and count'!$G$4:$CC$300,'Sales Dashboard'!BF252,0)))</f>
        <v>0</v>
      </c>
      <c r="AF253" s="281" cm="1">
        <f t="array" ref="AF253">IF(OR(AB253="",NOT(ISNUMBER('Sales Dashboard'!BG252))),0,SUMPRODUCT(('TY Sales Target'!$K$2:$AO$2=$C$4)*1,INDEX('TY Sales Target'!$K$5:$AO$300,'Sales Dashboard'!BG252,0)))</f>
        <v>0</v>
      </c>
      <c r="AG253" s="281" cm="1">
        <f t="array" ref="AG253">IF(AB253="",0,SUMPRODUCT((TRIM('LY Sales '!$B$5:$B$200)=AB253)*('LY Sales '!$C$2:$AG$2=EDATE($C$4,-12)),'LY Sales '!$C$5:$AG$200))</f>
        <v>0</v>
      </c>
      <c r="AH253" s="271">
        <f t="shared" si="73"/>
        <v>0</v>
      </c>
      <c r="AI253" s="271">
        <f t="shared" si="74"/>
        <v>0</v>
      </c>
      <c r="AJ253" s="271">
        <f t="shared" si="75"/>
        <v>0</v>
      </c>
      <c r="AK253" s="271">
        <f t="shared" si="76"/>
        <v>0</v>
      </c>
      <c r="AL253" s="271">
        <f t="shared" si="77"/>
        <v>0</v>
      </c>
      <c r="AM253" s="306" cm="1">
        <f t="array" ref="AM253">IF(OR(AB253="",NOT(ISNUMBER('Sales Dashboard'!BF252))),0,SUMPRODUCT((IFERROR(--'Sales and count'!$G$2:$CC$2,0)=$F$4)*('Sales and count'!$G$3:$CC$3="Total"),INDEX('Sales and count'!$G$4:$CC$300,'Sales Dashboard'!BF252,0)))</f>
        <v>0</v>
      </c>
      <c r="AN253" s="306" cm="1">
        <f t="array" ref="AN253">IF(OR(AB253="",NOT(ISNUMBER('Sales Dashboard'!BG252))),0,SUMPRODUCT(('TY Sales Target'!$K$2:$AO$2=$F$4)*1,INDEX('TY Sales Target'!$K$5:$AO$300,'Sales Dashboard'!BG252,0)))</f>
        <v>0</v>
      </c>
      <c r="AO253" s="306" cm="1">
        <f t="array" ref="AO253">IF(AB253="",0,SUMPRODUCT((TRIM('LY Sales '!$B$5:$B$200)=AB253)*('LY Sales '!$C$2:$AG$2=EDATE($F$4,-12)),'LY Sales '!$C$5:$AG$200))</f>
        <v>0</v>
      </c>
      <c r="AP253">
        <f t="shared" si="78"/>
        <v>0</v>
      </c>
      <c r="AQ253">
        <f t="shared" si="79"/>
        <v>0</v>
      </c>
      <c r="AR253">
        <f t="shared" si="80"/>
        <v>0</v>
      </c>
      <c r="AS253">
        <f t="shared" si="81"/>
        <v>0</v>
      </c>
    </row>
    <row r="254" spans="1:45" x14ac:dyDescent="0.25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  <c r="AA254" s="271"/>
      <c r="AB254" s="271" t="str">
        <f>IF('Sales Dashboard'!AW253="","",'Sales Dashboard'!AW253)</f>
        <v/>
      </c>
      <c r="AC254" s="271" t="str">
        <f>IF(AB254="","",'Sales Dashboard'!AN253)</f>
        <v/>
      </c>
      <c r="AD254" s="271" t="str">
        <f>IF(AB254="","",'Sales Dashboard'!AO253)</f>
        <v/>
      </c>
      <c r="AE254" s="281" cm="1">
        <f t="array" ref="AE254">IF(OR(AB254="",NOT(ISNUMBER('Sales Dashboard'!BF253))),0,SUMPRODUCT((IFERROR(--'Sales and count'!$G$2:$CC$2,0)=$C$4)*('Sales and count'!$G$3:$CC$3="Total"),INDEX('Sales and count'!$G$4:$CC$300,'Sales Dashboard'!BF253,0)))</f>
        <v>0</v>
      </c>
      <c r="AF254" s="281" cm="1">
        <f t="array" ref="AF254">IF(OR(AB254="",NOT(ISNUMBER('Sales Dashboard'!BG253))),0,SUMPRODUCT(('TY Sales Target'!$K$2:$AO$2=$C$4)*1,INDEX('TY Sales Target'!$K$5:$AO$300,'Sales Dashboard'!BG253,0)))</f>
        <v>0</v>
      </c>
      <c r="AG254" s="281" cm="1">
        <f t="array" ref="AG254">IF(AB254="",0,SUMPRODUCT((TRIM('LY Sales '!$B$5:$B$200)=AB254)*('LY Sales '!$C$2:$AG$2=EDATE($C$4,-12)),'LY Sales '!$C$5:$AG$200))</f>
        <v>0</v>
      </c>
      <c r="AH254" s="271">
        <f t="shared" si="73"/>
        <v>0</v>
      </c>
      <c r="AI254" s="271">
        <f t="shared" si="74"/>
        <v>0</v>
      </c>
      <c r="AJ254" s="271">
        <f t="shared" si="75"/>
        <v>0</v>
      </c>
      <c r="AK254" s="271">
        <f t="shared" si="76"/>
        <v>0</v>
      </c>
      <c r="AL254" s="271">
        <f t="shared" si="77"/>
        <v>0</v>
      </c>
      <c r="AM254" s="306" cm="1">
        <f t="array" ref="AM254">IF(OR(AB254="",NOT(ISNUMBER('Sales Dashboard'!BF253))),0,SUMPRODUCT((IFERROR(--'Sales and count'!$G$2:$CC$2,0)=$F$4)*('Sales and count'!$G$3:$CC$3="Total"),INDEX('Sales and count'!$G$4:$CC$300,'Sales Dashboard'!BF253,0)))</f>
        <v>0</v>
      </c>
      <c r="AN254" s="306" cm="1">
        <f t="array" ref="AN254">IF(OR(AB254="",NOT(ISNUMBER('Sales Dashboard'!BG253))),0,SUMPRODUCT(('TY Sales Target'!$K$2:$AO$2=$F$4)*1,INDEX('TY Sales Target'!$K$5:$AO$300,'Sales Dashboard'!BG253,0)))</f>
        <v>0</v>
      </c>
      <c r="AO254" s="306" cm="1">
        <f t="array" ref="AO254">IF(AB254="",0,SUMPRODUCT((TRIM('LY Sales '!$B$5:$B$200)=AB254)*('LY Sales '!$C$2:$AG$2=EDATE($F$4,-12)),'LY Sales '!$C$5:$AG$200))</f>
        <v>0</v>
      </c>
      <c r="AP254">
        <f t="shared" si="78"/>
        <v>0</v>
      </c>
      <c r="AQ254">
        <f t="shared" si="79"/>
        <v>0</v>
      </c>
      <c r="AR254">
        <f t="shared" si="80"/>
        <v>0</v>
      </c>
      <c r="AS254">
        <f t="shared" si="81"/>
        <v>0</v>
      </c>
    </row>
    <row r="255" spans="1:45" x14ac:dyDescent="0.25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  <c r="AA255" s="271"/>
      <c r="AB255" s="271" t="str">
        <f>IF('Sales Dashboard'!AW254="","",'Sales Dashboard'!AW254)</f>
        <v/>
      </c>
      <c r="AC255" s="271" t="str">
        <f>IF(AB255="","",'Sales Dashboard'!AN254)</f>
        <v/>
      </c>
      <c r="AD255" s="271" t="str">
        <f>IF(AB255="","",'Sales Dashboard'!AO254)</f>
        <v/>
      </c>
      <c r="AE255" s="281" cm="1">
        <f t="array" ref="AE255">IF(OR(AB255="",NOT(ISNUMBER('Sales Dashboard'!BF254))),0,SUMPRODUCT((IFERROR(--'Sales and count'!$G$2:$CC$2,0)=$C$4)*('Sales and count'!$G$3:$CC$3="Total"),INDEX('Sales and count'!$G$4:$CC$300,'Sales Dashboard'!BF254,0)))</f>
        <v>0</v>
      </c>
      <c r="AF255" s="281" cm="1">
        <f t="array" ref="AF255">IF(OR(AB255="",NOT(ISNUMBER('Sales Dashboard'!BG254))),0,SUMPRODUCT(('TY Sales Target'!$K$2:$AO$2=$C$4)*1,INDEX('TY Sales Target'!$K$5:$AO$300,'Sales Dashboard'!BG254,0)))</f>
        <v>0</v>
      </c>
      <c r="AG255" s="281" cm="1">
        <f t="array" ref="AG255">IF(AB255="",0,SUMPRODUCT((TRIM('LY Sales '!$B$5:$B$200)=AB255)*('LY Sales '!$C$2:$AG$2=EDATE($C$4,-12)),'LY Sales '!$C$5:$AG$200))</f>
        <v>0</v>
      </c>
      <c r="AH255" s="271">
        <f t="shared" si="73"/>
        <v>0</v>
      </c>
      <c r="AI255" s="271">
        <f t="shared" si="74"/>
        <v>0</v>
      </c>
      <c r="AJ255" s="271">
        <f t="shared" si="75"/>
        <v>0</v>
      </c>
      <c r="AK255" s="271">
        <f t="shared" si="76"/>
        <v>0</v>
      </c>
      <c r="AL255" s="271">
        <f t="shared" si="77"/>
        <v>0</v>
      </c>
      <c r="AM255" s="306" cm="1">
        <f t="array" ref="AM255">IF(OR(AB255="",NOT(ISNUMBER('Sales Dashboard'!BF254))),0,SUMPRODUCT((IFERROR(--'Sales and count'!$G$2:$CC$2,0)=$F$4)*('Sales and count'!$G$3:$CC$3="Total"),INDEX('Sales and count'!$G$4:$CC$300,'Sales Dashboard'!BF254,0)))</f>
        <v>0</v>
      </c>
      <c r="AN255" s="306" cm="1">
        <f t="array" ref="AN255">IF(OR(AB255="",NOT(ISNUMBER('Sales Dashboard'!BG254))),0,SUMPRODUCT(('TY Sales Target'!$K$2:$AO$2=$F$4)*1,INDEX('TY Sales Target'!$K$5:$AO$300,'Sales Dashboard'!BG254,0)))</f>
        <v>0</v>
      </c>
      <c r="AO255" s="306" cm="1">
        <f t="array" ref="AO255">IF(AB255="",0,SUMPRODUCT((TRIM('LY Sales '!$B$5:$B$200)=AB255)*('LY Sales '!$C$2:$AG$2=EDATE($F$4,-12)),'LY Sales '!$C$5:$AG$200))</f>
        <v>0</v>
      </c>
      <c r="AP255">
        <f t="shared" si="78"/>
        <v>0</v>
      </c>
      <c r="AQ255">
        <f t="shared" si="79"/>
        <v>0</v>
      </c>
      <c r="AR255">
        <f t="shared" si="80"/>
        <v>0</v>
      </c>
      <c r="AS255">
        <f t="shared" si="81"/>
        <v>0</v>
      </c>
    </row>
    <row r="256" spans="1:45" x14ac:dyDescent="0.25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  <c r="AB256" s="271" t="str">
        <f>IF('Sales Dashboard'!AW255="","",'Sales Dashboard'!AW255)</f>
        <v/>
      </c>
      <c r="AC256" s="271" t="str">
        <f>IF(AB256="","",'Sales Dashboard'!AN255)</f>
        <v/>
      </c>
      <c r="AD256" s="271" t="str">
        <f>IF(AB256="","",'Sales Dashboard'!AO255)</f>
        <v/>
      </c>
      <c r="AE256" s="281" cm="1">
        <f t="array" ref="AE256">IF(OR(AB256="",NOT(ISNUMBER('Sales Dashboard'!BF255))),0,SUMPRODUCT((IFERROR(--'Sales and count'!$G$2:$CC$2,0)=$C$4)*('Sales and count'!$G$3:$CC$3="Total"),INDEX('Sales and count'!$G$4:$CC$300,'Sales Dashboard'!BF255,0)))</f>
        <v>0</v>
      </c>
      <c r="AF256" s="281" cm="1">
        <f t="array" ref="AF256">IF(OR(AB256="",NOT(ISNUMBER('Sales Dashboard'!BG255))),0,SUMPRODUCT(('TY Sales Target'!$K$2:$AO$2=$C$4)*1,INDEX('TY Sales Target'!$K$5:$AO$300,'Sales Dashboard'!BG255,0)))</f>
        <v>0</v>
      </c>
      <c r="AG256" s="281" cm="1">
        <f t="array" ref="AG256">IF(AB256="",0,SUMPRODUCT((TRIM('LY Sales '!$B$5:$B$200)=AB256)*('LY Sales '!$C$2:$AG$2=EDATE($C$4,-12)),'LY Sales '!$C$5:$AG$200))</f>
        <v>0</v>
      </c>
      <c r="AH256" s="271">
        <f t="shared" si="73"/>
        <v>0</v>
      </c>
      <c r="AI256" s="271">
        <f t="shared" si="74"/>
        <v>0</v>
      </c>
      <c r="AJ256" s="271">
        <f t="shared" si="75"/>
        <v>0</v>
      </c>
      <c r="AK256" s="271">
        <f t="shared" si="76"/>
        <v>0</v>
      </c>
      <c r="AL256" s="271">
        <f t="shared" si="77"/>
        <v>0</v>
      </c>
      <c r="AM256" s="306" cm="1">
        <f t="array" ref="AM256">IF(OR(AB256="",NOT(ISNUMBER('Sales Dashboard'!BF255))),0,SUMPRODUCT((IFERROR(--'Sales and count'!$G$2:$CC$2,0)=$F$4)*('Sales and count'!$G$3:$CC$3="Total"),INDEX('Sales and count'!$G$4:$CC$300,'Sales Dashboard'!BF255,0)))</f>
        <v>0</v>
      </c>
      <c r="AN256" s="306" cm="1">
        <f t="array" ref="AN256">IF(OR(AB256="",NOT(ISNUMBER('Sales Dashboard'!BG255))),0,SUMPRODUCT(('TY Sales Target'!$K$2:$AO$2=$F$4)*1,INDEX('TY Sales Target'!$K$5:$AO$300,'Sales Dashboard'!BG255,0)))</f>
        <v>0</v>
      </c>
      <c r="AO256" s="306" cm="1">
        <f t="array" ref="AO256">IF(AB256="",0,SUMPRODUCT((TRIM('LY Sales '!$B$5:$B$200)=AB256)*('LY Sales '!$C$2:$AG$2=EDATE($F$4,-12)),'LY Sales '!$C$5:$AG$200))</f>
        <v>0</v>
      </c>
      <c r="AP256">
        <f t="shared" si="78"/>
        <v>0</v>
      </c>
      <c r="AQ256">
        <f t="shared" si="79"/>
        <v>0</v>
      </c>
      <c r="AR256">
        <f t="shared" si="80"/>
        <v>0</v>
      </c>
      <c r="AS256">
        <f t="shared" si="81"/>
        <v>0</v>
      </c>
    </row>
    <row r="257" spans="1:45" x14ac:dyDescent="0.25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  <c r="AB257" s="271" t="str">
        <f>IF('Sales Dashboard'!AW256="","",'Sales Dashboard'!AW256)</f>
        <v/>
      </c>
      <c r="AC257" s="271" t="str">
        <f>IF(AB257="","",'Sales Dashboard'!AN256)</f>
        <v/>
      </c>
      <c r="AD257" s="271" t="str">
        <f>IF(AB257="","",'Sales Dashboard'!AO256)</f>
        <v/>
      </c>
      <c r="AE257" s="281" cm="1">
        <f t="array" ref="AE257">IF(OR(AB257="",NOT(ISNUMBER('Sales Dashboard'!BF256))),0,SUMPRODUCT((IFERROR(--'Sales and count'!$G$2:$CC$2,0)=$C$4)*('Sales and count'!$G$3:$CC$3="Total"),INDEX('Sales and count'!$G$4:$CC$300,'Sales Dashboard'!BF256,0)))</f>
        <v>0</v>
      </c>
      <c r="AF257" s="281" cm="1">
        <f t="array" ref="AF257">IF(OR(AB257="",NOT(ISNUMBER('Sales Dashboard'!BG256))),0,SUMPRODUCT(('TY Sales Target'!$K$2:$AO$2=$C$4)*1,INDEX('TY Sales Target'!$K$5:$AO$300,'Sales Dashboard'!BG256,0)))</f>
        <v>0</v>
      </c>
      <c r="AG257" s="281" cm="1">
        <f t="array" ref="AG257">IF(AB257="",0,SUMPRODUCT((TRIM('LY Sales '!$B$5:$B$200)=AB257)*('LY Sales '!$C$2:$AG$2=EDATE($C$4,-12)),'LY Sales '!$C$5:$AG$200))</f>
        <v>0</v>
      </c>
      <c r="AH257" s="271">
        <f t="shared" si="73"/>
        <v>0</v>
      </c>
      <c r="AI257" s="271">
        <f t="shared" si="74"/>
        <v>0</v>
      </c>
      <c r="AJ257" s="271">
        <f t="shared" si="75"/>
        <v>0</v>
      </c>
      <c r="AK257" s="271">
        <f t="shared" si="76"/>
        <v>0</v>
      </c>
      <c r="AL257" s="271">
        <f t="shared" si="77"/>
        <v>0</v>
      </c>
      <c r="AM257" s="306" cm="1">
        <f t="array" ref="AM257">IF(OR(AB257="",NOT(ISNUMBER('Sales Dashboard'!BF256))),0,SUMPRODUCT((IFERROR(--'Sales and count'!$G$2:$CC$2,0)=$F$4)*('Sales and count'!$G$3:$CC$3="Total"),INDEX('Sales and count'!$G$4:$CC$300,'Sales Dashboard'!BF256,0)))</f>
        <v>0</v>
      </c>
      <c r="AN257" s="306" cm="1">
        <f t="array" ref="AN257">IF(OR(AB257="",NOT(ISNUMBER('Sales Dashboard'!BG256))),0,SUMPRODUCT(('TY Sales Target'!$K$2:$AO$2=$F$4)*1,INDEX('TY Sales Target'!$K$5:$AO$300,'Sales Dashboard'!BG256,0)))</f>
        <v>0</v>
      </c>
      <c r="AO257" s="306" cm="1">
        <f t="array" ref="AO257">IF(AB257="",0,SUMPRODUCT((TRIM('LY Sales '!$B$5:$B$200)=AB257)*('LY Sales '!$C$2:$AG$2=EDATE($F$4,-12)),'LY Sales '!$C$5:$AG$200))</f>
        <v>0</v>
      </c>
      <c r="AP257">
        <f t="shared" si="78"/>
        <v>0</v>
      </c>
      <c r="AQ257">
        <f t="shared" si="79"/>
        <v>0</v>
      </c>
      <c r="AR257">
        <f t="shared" si="80"/>
        <v>0</v>
      </c>
      <c r="AS257">
        <f t="shared" si="81"/>
        <v>0</v>
      </c>
    </row>
    <row r="258" spans="1:45" x14ac:dyDescent="0.25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  <c r="AB258" s="271" t="str">
        <f>IF('Sales Dashboard'!AW257="","",'Sales Dashboard'!AW257)</f>
        <v/>
      </c>
      <c r="AC258" s="271" t="str">
        <f>IF(AB258="","",'Sales Dashboard'!AN257)</f>
        <v/>
      </c>
      <c r="AD258" s="271" t="str">
        <f>IF(AB258="","",'Sales Dashboard'!AO257)</f>
        <v/>
      </c>
      <c r="AE258" s="281" cm="1">
        <f t="array" ref="AE258">IF(OR(AB258="",NOT(ISNUMBER('Sales Dashboard'!BF257))),0,SUMPRODUCT((IFERROR(--'Sales and count'!$G$2:$CC$2,0)=$C$4)*('Sales and count'!$G$3:$CC$3="Total"),INDEX('Sales and count'!$G$4:$CC$300,'Sales Dashboard'!BF257,0)))</f>
        <v>0</v>
      </c>
      <c r="AF258" s="281" cm="1">
        <f t="array" ref="AF258">IF(OR(AB258="",NOT(ISNUMBER('Sales Dashboard'!BG257))),0,SUMPRODUCT(('TY Sales Target'!$K$2:$AO$2=$C$4)*1,INDEX('TY Sales Target'!$K$5:$AO$300,'Sales Dashboard'!BG257,0)))</f>
        <v>0</v>
      </c>
      <c r="AG258" s="281" cm="1">
        <f t="array" ref="AG258">IF(AB258="",0,SUMPRODUCT((TRIM('LY Sales '!$B$5:$B$200)=AB258)*('LY Sales '!$C$2:$AG$2=EDATE($C$4,-12)),'LY Sales '!$C$5:$AG$200))</f>
        <v>0</v>
      </c>
      <c r="AH258" s="271">
        <f t="shared" si="73"/>
        <v>0</v>
      </c>
      <c r="AI258" s="271">
        <f t="shared" si="74"/>
        <v>0</v>
      </c>
      <c r="AJ258" s="271">
        <f t="shared" si="75"/>
        <v>0</v>
      </c>
      <c r="AK258" s="271">
        <f t="shared" si="76"/>
        <v>0</v>
      </c>
      <c r="AL258" s="271">
        <f t="shared" si="77"/>
        <v>0</v>
      </c>
      <c r="AM258" s="306" cm="1">
        <f t="array" ref="AM258">IF(OR(AB258="",NOT(ISNUMBER('Sales Dashboard'!BF257))),0,SUMPRODUCT((IFERROR(--'Sales and count'!$G$2:$CC$2,0)=$F$4)*('Sales and count'!$G$3:$CC$3="Total"),INDEX('Sales and count'!$G$4:$CC$300,'Sales Dashboard'!BF257,0)))</f>
        <v>0</v>
      </c>
      <c r="AN258" s="306" cm="1">
        <f t="array" ref="AN258">IF(OR(AB258="",NOT(ISNUMBER('Sales Dashboard'!BG257))),0,SUMPRODUCT(('TY Sales Target'!$K$2:$AO$2=$F$4)*1,INDEX('TY Sales Target'!$K$5:$AO$300,'Sales Dashboard'!BG257,0)))</f>
        <v>0</v>
      </c>
      <c r="AO258" s="306" cm="1">
        <f t="array" ref="AO258">IF(AB258="",0,SUMPRODUCT((TRIM('LY Sales '!$B$5:$B$200)=AB258)*('LY Sales '!$C$2:$AG$2=EDATE($F$4,-12)),'LY Sales '!$C$5:$AG$200))</f>
        <v>0</v>
      </c>
      <c r="AP258">
        <f t="shared" si="78"/>
        <v>0</v>
      </c>
      <c r="AQ258">
        <f t="shared" si="79"/>
        <v>0</v>
      </c>
      <c r="AR258">
        <f t="shared" si="80"/>
        <v>0</v>
      </c>
      <c r="AS258">
        <f t="shared" si="81"/>
        <v>0</v>
      </c>
    </row>
    <row r="259" spans="1:45" x14ac:dyDescent="0.25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  <c r="AA259" s="271"/>
      <c r="AB259" s="271" t="str">
        <f>IF('Sales Dashboard'!AW258="","",'Sales Dashboard'!AW258)</f>
        <v/>
      </c>
      <c r="AC259" s="271" t="str">
        <f>IF(AB259="","",'Sales Dashboard'!AN258)</f>
        <v/>
      </c>
      <c r="AD259" s="271" t="str">
        <f>IF(AB259="","",'Sales Dashboard'!AO258)</f>
        <v/>
      </c>
      <c r="AE259" s="281" cm="1">
        <f t="array" ref="AE259">IF(OR(AB259="",NOT(ISNUMBER('Sales Dashboard'!BF258))),0,SUMPRODUCT((IFERROR(--'Sales and count'!$G$2:$CC$2,0)=$C$4)*('Sales and count'!$G$3:$CC$3="Total"),INDEX('Sales and count'!$G$4:$CC$300,'Sales Dashboard'!BF258,0)))</f>
        <v>0</v>
      </c>
      <c r="AF259" s="281" cm="1">
        <f t="array" ref="AF259">IF(OR(AB259="",NOT(ISNUMBER('Sales Dashboard'!BG258))),0,SUMPRODUCT(('TY Sales Target'!$K$2:$AO$2=$C$4)*1,INDEX('TY Sales Target'!$K$5:$AO$300,'Sales Dashboard'!BG258,0)))</f>
        <v>0</v>
      </c>
      <c r="AG259" s="281" cm="1">
        <f t="array" ref="AG259">IF(AB259="",0,SUMPRODUCT((TRIM('LY Sales '!$B$5:$B$200)=AB259)*('LY Sales '!$C$2:$AG$2=EDATE($C$4,-12)),'LY Sales '!$C$5:$AG$200))</f>
        <v>0</v>
      </c>
      <c r="AH259" s="271">
        <f t="shared" si="73"/>
        <v>0</v>
      </c>
      <c r="AI259" s="271">
        <f t="shared" si="74"/>
        <v>0</v>
      </c>
      <c r="AJ259" s="271">
        <f t="shared" si="75"/>
        <v>0</v>
      </c>
      <c r="AK259" s="271">
        <f t="shared" si="76"/>
        <v>0</v>
      </c>
      <c r="AL259" s="271">
        <f t="shared" si="77"/>
        <v>0</v>
      </c>
      <c r="AM259" s="306" cm="1">
        <f t="array" ref="AM259">IF(OR(AB259="",NOT(ISNUMBER('Sales Dashboard'!BF258))),0,SUMPRODUCT((IFERROR(--'Sales and count'!$G$2:$CC$2,0)=$F$4)*('Sales and count'!$G$3:$CC$3="Total"),INDEX('Sales and count'!$G$4:$CC$300,'Sales Dashboard'!BF258,0)))</f>
        <v>0</v>
      </c>
      <c r="AN259" s="306" cm="1">
        <f t="array" ref="AN259">IF(OR(AB259="",NOT(ISNUMBER('Sales Dashboard'!BG258))),0,SUMPRODUCT(('TY Sales Target'!$K$2:$AO$2=$F$4)*1,INDEX('TY Sales Target'!$K$5:$AO$300,'Sales Dashboard'!BG258,0)))</f>
        <v>0</v>
      </c>
      <c r="AO259" s="306" cm="1">
        <f t="array" ref="AO259">IF(AB259="",0,SUMPRODUCT((TRIM('LY Sales '!$B$5:$B$200)=AB259)*('LY Sales '!$C$2:$AG$2=EDATE($F$4,-12)),'LY Sales '!$C$5:$AG$200))</f>
        <v>0</v>
      </c>
      <c r="AP259">
        <f t="shared" si="78"/>
        <v>0</v>
      </c>
      <c r="AQ259">
        <f t="shared" si="79"/>
        <v>0</v>
      </c>
      <c r="AR259">
        <f t="shared" si="80"/>
        <v>0</v>
      </c>
      <c r="AS259">
        <f t="shared" si="81"/>
        <v>0</v>
      </c>
    </row>
    <row r="260" spans="1:45" x14ac:dyDescent="0.25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 t="str">
        <f>IF('Sales Dashboard'!AW259="","",'Sales Dashboard'!AW259)</f>
        <v/>
      </c>
      <c r="AC260" s="271" t="str">
        <f>IF(AB260="","",'Sales Dashboard'!AN259)</f>
        <v/>
      </c>
      <c r="AD260" s="271" t="str">
        <f>IF(AB260="","",'Sales Dashboard'!AO259)</f>
        <v/>
      </c>
      <c r="AE260" s="281" cm="1">
        <f t="array" ref="AE260">IF(OR(AB260="",NOT(ISNUMBER('Sales Dashboard'!BF259))),0,SUMPRODUCT((IFERROR(--'Sales and count'!$G$2:$CC$2,0)=$C$4)*('Sales and count'!$G$3:$CC$3="Total"),INDEX('Sales and count'!$G$4:$CC$300,'Sales Dashboard'!BF259,0)))</f>
        <v>0</v>
      </c>
      <c r="AF260" s="281" cm="1">
        <f t="array" ref="AF260">IF(OR(AB260="",NOT(ISNUMBER('Sales Dashboard'!BG259))),0,SUMPRODUCT(('TY Sales Target'!$K$2:$AO$2=$C$4)*1,INDEX('TY Sales Target'!$K$5:$AO$300,'Sales Dashboard'!BG259,0)))</f>
        <v>0</v>
      </c>
      <c r="AG260" s="281" cm="1">
        <f t="array" ref="AG260">IF(AB260="",0,SUMPRODUCT((TRIM('LY Sales '!$B$5:$B$200)=AB260)*('LY Sales '!$C$2:$AG$2=EDATE($C$4,-12)),'LY Sales '!$C$5:$AG$200))</f>
        <v>0</v>
      </c>
      <c r="AH260" s="271">
        <f t="shared" si="73"/>
        <v>0</v>
      </c>
      <c r="AI260" s="271">
        <f t="shared" si="74"/>
        <v>0</v>
      </c>
      <c r="AJ260" s="271">
        <f t="shared" si="75"/>
        <v>0</v>
      </c>
      <c r="AK260" s="271">
        <f t="shared" si="76"/>
        <v>0</v>
      </c>
      <c r="AL260" s="271">
        <f t="shared" si="77"/>
        <v>0</v>
      </c>
      <c r="AM260" s="306" cm="1">
        <f t="array" ref="AM260">IF(OR(AB260="",NOT(ISNUMBER('Sales Dashboard'!BF259))),0,SUMPRODUCT((IFERROR(--'Sales and count'!$G$2:$CC$2,0)=$F$4)*('Sales and count'!$G$3:$CC$3="Total"),INDEX('Sales and count'!$G$4:$CC$300,'Sales Dashboard'!BF259,0)))</f>
        <v>0</v>
      </c>
      <c r="AN260" s="306" cm="1">
        <f t="array" ref="AN260">IF(OR(AB260="",NOT(ISNUMBER('Sales Dashboard'!BG259))),0,SUMPRODUCT(('TY Sales Target'!$K$2:$AO$2=$F$4)*1,INDEX('TY Sales Target'!$K$5:$AO$300,'Sales Dashboard'!BG259,0)))</f>
        <v>0</v>
      </c>
      <c r="AO260" s="306" cm="1">
        <f t="array" ref="AO260">IF(AB260="",0,SUMPRODUCT((TRIM('LY Sales '!$B$5:$B$200)=AB260)*('LY Sales '!$C$2:$AG$2=EDATE($F$4,-12)),'LY Sales '!$C$5:$AG$200))</f>
        <v>0</v>
      </c>
      <c r="AP260">
        <f t="shared" si="78"/>
        <v>0</v>
      </c>
      <c r="AQ260">
        <f t="shared" si="79"/>
        <v>0</v>
      </c>
      <c r="AR260">
        <f t="shared" si="80"/>
        <v>0</v>
      </c>
      <c r="AS260">
        <f t="shared" si="81"/>
        <v>0</v>
      </c>
    </row>
    <row r="261" spans="1:45" x14ac:dyDescent="0.25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  <c r="AB261" s="271" t="str">
        <f>IF('Sales Dashboard'!AW260="","",'Sales Dashboard'!AW260)</f>
        <v/>
      </c>
      <c r="AC261" s="271" t="str">
        <f>IF(AB261="","",'Sales Dashboard'!AN260)</f>
        <v/>
      </c>
      <c r="AD261" s="271" t="str">
        <f>IF(AB261="","",'Sales Dashboard'!AO260)</f>
        <v/>
      </c>
      <c r="AE261" s="281" cm="1">
        <f t="array" ref="AE261">IF(OR(AB261="",NOT(ISNUMBER('Sales Dashboard'!BF260))),0,SUMPRODUCT((IFERROR(--'Sales and count'!$G$2:$CC$2,0)=$C$4)*('Sales and count'!$G$3:$CC$3="Total"),INDEX('Sales and count'!$G$4:$CC$300,'Sales Dashboard'!BF260,0)))</f>
        <v>0</v>
      </c>
      <c r="AF261" s="281" cm="1">
        <f t="array" ref="AF261">IF(OR(AB261="",NOT(ISNUMBER('Sales Dashboard'!BG260))),0,SUMPRODUCT(('TY Sales Target'!$K$2:$AO$2=$C$4)*1,INDEX('TY Sales Target'!$K$5:$AO$300,'Sales Dashboard'!BG260,0)))</f>
        <v>0</v>
      </c>
      <c r="AG261" s="281" cm="1">
        <f t="array" ref="AG261">IF(AB261="",0,SUMPRODUCT((TRIM('LY Sales '!$B$5:$B$200)=AB261)*('LY Sales '!$C$2:$AG$2=EDATE($C$4,-12)),'LY Sales '!$C$5:$AG$200))</f>
        <v>0</v>
      </c>
      <c r="AH261" s="271">
        <f t="shared" si="73"/>
        <v>0</v>
      </c>
      <c r="AI261" s="271">
        <f t="shared" si="74"/>
        <v>0</v>
      </c>
      <c r="AJ261" s="271">
        <f t="shared" si="75"/>
        <v>0</v>
      </c>
      <c r="AK261" s="271">
        <f t="shared" si="76"/>
        <v>0</v>
      </c>
      <c r="AL261" s="271">
        <f t="shared" si="77"/>
        <v>0</v>
      </c>
      <c r="AM261" s="306" cm="1">
        <f t="array" ref="AM261">IF(OR(AB261="",NOT(ISNUMBER('Sales Dashboard'!BF260))),0,SUMPRODUCT((IFERROR(--'Sales and count'!$G$2:$CC$2,0)=$F$4)*('Sales and count'!$G$3:$CC$3="Total"),INDEX('Sales and count'!$G$4:$CC$300,'Sales Dashboard'!BF260,0)))</f>
        <v>0</v>
      </c>
      <c r="AN261" s="306" cm="1">
        <f t="array" ref="AN261">IF(OR(AB261="",NOT(ISNUMBER('Sales Dashboard'!BG260))),0,SUMPRODUCT(('TY Sales Target'!$K$2:$AO$2=$F$4)*1,INDEX('TY Sales Target'!$K$5:$AO$300,'Sales Dashboard'!BG260,0)))</f>
        <v>0</v>
      </c>
      <c r="AO261" s="306" cm="1">
        <f t="array" ref="AO261">IF(AB261="",0,SUMPRODUCT((TRIM('LY Sales '!$B$5:$B$200)=AB261)*('LY Sales '!$C$2:$AG$2=EDATE($F$4,-12)),'LY Sales '!$C$5:$AG$200))</f>
        <v>0</v>
      </c>
      <c r="AP261">
        <f t="shared" si="78"/>
        <v>0</v>
      </c>
      <c r="AQ261">
        <f t="shared" si="79"/>
        <v>0</v>
      </c>
      <c r="AR261">
        <f t="shared" si="80"/>
        <v>0</v>
      </c>
      <c r="AS261">
        <f t="shared" si="81"/>
        <v>0</v>
      </c>
    </row>
    <row r="262" spans="1:45" x14ac:dyDescent="0.25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  <c r="AA262" s="271"/>
      <c r="AB262" s="271" t="str">
        <f>IF('Sales Dashboard'!AW261="","",'Sales Dashboard'!AW261)</f>
        <v/>
      </c>
      <c r="AC262" s="271" t="str">
        <f>IF(AB262="","",'Sales Dashboard'!AN261)</f>
        <v/>
      </c>
      <c r="AD262" s="271" t="str">
        <f>IF(AB262="","",'Sales Dashboard'!AO261)</f>
        <v/>
      </c>
      <c r="AE262" s="281" cm="1">
        <f t="array" ref="AE262">IF(OR(AB262="",NOT(ISNUMBER('Sales Dashboard'!BF261))),0,SUMPRODUCT((IFERROR(--'Sales and count'!$G$2:$CC$2,0)=$C$4)*('Sales and count'!$G$3:$CC$3="Total"),INDEX('Sales and count'!$G$4:$CC$300,'Sales Dashboard'!BF261,0)))</f>
        <v>0</v>
      </c>
      <c r="AF262" s="281" cm="1">
        <f t="array" ref="AF262">IF(OR(AB262="",NOT(ISNUMBER('Sales Dashboard'!BG261))),0,SUMPRODUCT(('TY Sales Target'!$K$2:$AO$2=$C$4)*1,INDEX('TY Sales Target'!$K$5:$AO$300,'Sales Dashboard'!BG261,0)))</f>
        <v>0</v>
      </c>
      <c r="AG262" s="281" cm="1">
        <f t="array" ref="AG262">IF(AB262="",0,SUMPRODUCT((TRIM('LY Sales '!$B$5:$B$200)=AB262)*('LY Sales '!$C$2:$AG$2=EDATE($C$4,-12)),'LY Sales '!$C$5:$AG$200))</f>
        <v>0</v>
      </c>
      <c r="AH262" s="271">
        <f t="shared" si="73"/>
        <v>0</v>
      </c>
      <c r="AI262" s="271">
        <f t="shared" si="74"/>
        <v>0</v>
      </c>
      <c r="AJ262" s="271">
        <f t="shared" si="75"/>
        <v>0</v>
      </c>
      <c r="AK262" s="271">
        <f t="shared" si="76"/>
        <v>0</v>
      </c>
      <c r="AL262" s="271">
        <f t="shared" si="77"/>
        <v>0</v>
      </c>
      <c r="AM262" s="306" cm="1">
        <f t="array" ref="AM262">IF(OR(AB262="",NOT(ISNUMBER('Sales Dashboard'!BF261))),0,SUMPRODUCT((IFERROR(--'Sales and count'!$G$2:$CC$2,0)=$F$4)*('Sales and count'!$G$3:$CC$3="Total"),INDEX('Sales and count'!$G$4:$CC$300,'Sales Dashboard'!BF261,0)))</f>
        <v>0</v>
      </c>
      <c r="AN262" s="306" cm="1">
        <f t="array" ref="AN262">IF(OR(AB262="",NOT(ISNUMBER('Sales Dashboard'!BG261))),0,SUMPRODUCT(('TY Sales Target'!$K$2:$AO$2=$F$4)*1,INDEX('TY Sales Target'!$K$5:$AO$300,'Sales Dashboard'!BG261,0)))</f>
        <v>0</v>
      </c>
      <c r="AO262" s="306" cm="1">
        <f t="array" ref="AO262">IF(AB262="",0,SUMPRODUCT((TRIM('LY Sales '!$B$5:$B$200)=AB262)*('LY Sales '!$C$2:$AG$2=EDATE($F$4,-12)),'LY Sales '!$C$5:$AG$200))</f>
        <v>0</v>
      </c>
      <c r="AP262">
        <f t="shared" si="78"/>
        <v>0</v>
      </c>
      <c r="AQ262">
        <f t="shared" si="79"/>
        <v>0</v>
      </c>
      <c r="AR262">
        <f t="shared" si="80"/>
        <v>0</v>
      </c>
      <c r="AS262">
        <f t="shared" si="81"/>
        <v>0</v>
      </c>
    </row>
    <row r="263" spans="1:45" x14ac:dyDescent="0.25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  <c r="AA263" s="271"/>
      <c r="AB263" s="271" t="str">
        <f>IF('Sales Dashboard'!AW262="","",'Sales Dashboard'!AW262)</f>
        <v/>
      </c>
      <c r="AC263" s="271" t="str">
        <f>IF(AB263="","",'Sales Dashboard'!AN262)</f>
        <v/>
      </c>
      <c r="AD263" s="271" t="str">
        <f>IF(AB263="","",'Sales Dashboard'!AO262)</f>
        <v/>
      </c>
      <c r="AE263" s="281" cm="1">
        <f t="array" ref="AE263">IF(OR(AB263="",NOT(ISNUMBER('Sales Dashboard'!BF262))),0,SUMPRODUCT((IFERROR(--'Sales and count'!$G$2:$CC$2,0)=$C$4)*('Sales and count'!$G$3:$CC$3="Total"),INDEX('Sales and count'!$G$4:$CC$300,'Sales Dashboard'!BF262,0)))</f>
        <v>0</v>
      </c>
      <c r="AF263" s="281" cm="1">
        <f t="array" ref="AF263">IF(OR(AB263="",NOT(ISNUMBER('Sales Dashboard'!BG262))),0,SUMPRODUCT(('TY Sales Target'!$K$2:$AO$2=$C$4)*1,INDEX('TY Sales Target'!$K$5:$AO$300,'Sales Dashboard'!BG262,0)))</f>
        <v>0</v>
      </c>
      <c r="AG263" s="281" cm="1">
        <f t="array" ref="AG263">IF(AB263="",0,SUMPRODUCT((TRIM('LY Sales '!$B$5:$B$200)=AB263)*('LY Sales '!$C$2:$AG$2=EDATE($C$4,-12)),'LY Sales '!$C$5:$AG$200))</f>
        <v>0</v>
      </c>
      <c r="AH263" s="271">
        <f t="shared" si="73"/>
        <v>0</v>
      </c>
      <c r="AI263" s="271">
        <f t="shared" si="74"/>
        <v>0</v>
      </c>
      <c r="AJ263" s="271">
        <f t="shared" si="75"/>
        <v>0</v>
      </c>
      <c r="AK263" s="271">
        <f t="shared" si="76"/>
        <v>0</v>
      </c>
      <c r="AL263" s="271">
        <f t="shared" si="77"/>
        <v>0</v>
      </c>
      <c r="AM263" s="306" cm="1">
        <f t="array" ref="AM263">IF(OR(AB263="",NOT(ISNUMBER('Sales Dashboard'!BF262))),0,SUMPRODUCT((IFERROR(--'Sales and count'!$G$2:$CC$2,0)=$F$4)*('Sales and count'!$G$3:$CC$3="Total"),INDEX('Sales and count'!$G$4:$CC$300,'Sales Dashboard'!BF262,0)))</f>
        <v>0</v>
      </c>
      <c r="AN263" s="306" cm="1">
        <f t="array" ref="AN263">IF(OR(AB263="",NOT(ISNUMBER('Sales Dashboard'!BG262))),0,SUMPRODUCT(('TY Sales Target'!$K$2:$AO$2=$F$4)*1,INDEX('TY Sales Target'!$K$5:$AO$300,'Sales Dashboard'!BG262,0)))</f>
        <v>0</v>
      </c>
      <c r="AO263" s="306" cm="1">
        <f t="array" ref="AO263">IF(AB263="",0,SUMPRODUCT((TRIM('LY Sales '!$B$5:$B$200)=AB263)*('LY Sales '!$C$2:$AG$2=EDATE($F$4,-12)),'LY Sales '!$C$5:$AG$200))</f>
        <v>0</v>
      </c>
      <c r="AP263">
        <f t="shared" si="78"/>
        <v>0</v>
      </c>
      <c r="AQ263">
        <f t="shared" si="79"/>
        <v>0</v>
      </c>
      <c r="AR263">
        <f t="shared" si="80"/>
        <v>0</v>
      </c>
      <c r="AS263">
        <f t="shared" si="81"/>
        <v>0</v>
      </c>
    </row>
    <row r="264" spans="1:45" x14ac:dyDescent="0.25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  <c r="AB264" s="271" t="str">
        <f>IF('Sales Dashboard'!AW263="","",'Sales Dashboard'!AW263)</f>
        <v/>
      </c>
      <c r="AC264" s="271" t="str">
        <f>IF(AB264="","",'Sales Dashboard'!AN263)</f>
        <v/>
      </c>
      <c r="AD264" s="271" t="str">
        <f>IF(AB264="","",'Sales Dashboard'!AO263)</f>
        <v/>
      </c>
      <c r="AE264" s="281" cm="1">
        <f t="array" ref="AE264">IF(OR(AB264="",NOT(ISNUMBER('Sales Dashboard'!BF263))),0,SUMPRODUCT((IFERROR(--'Sales and count'!$G$2:$CC$2,0)=$C$4)*('Sales and count'!$G$3:$CC$3="Total"),INDEX('Sales and count'!$G$4:$CC$300,'Sales Dashboard'!BF263,0)))</f>
        <v>0</v>
      </c>
      <c r="AF264" s="281" cm="1">
        <f t="array" ref="AF264">IF(OR(AB264="",NOT(ISNUMBER('Sales Dashboard'!BG263))),0,SUMPRODUCT(('TY Sales Target'!$K$2:$AO$2=$C$4)*1,INDEX('TY Sales Target'!$K$5:$AO$300,'Sales Dashboard'!BG263,0)))</f>
        <v>0</v>
      </c>
      <c r="AG264" s="281" cm="1">
        <f t="array" ref="AG264">IF(AB264="",0,SUMPRODUCT((TRIM('LY Sales '!$B$5:$B$200)=AB264)*('LY Sales '!$C$2:$AG$2=EDATE($C$4,-12)),'LY Sales '!$C$5:$AG$200))</f>
        <v>0</v>
      </c>
      <c r="AH264" s="271">
        <f t="shared" ref="AH264:AH303" si="82">--AND(AB264&lt;&gt;"",AF264&gt;0)</f>
        <v>0</v>
      </c>
      <c r="AI264" s="271">
        <f t="shared" ref="AI264:AI303" si="83">--AND(AH264=1,AE264&gt;=AF264*$L$4)</f>
        <v>0</v>
      </c>
      <c r="AJ264" s="271">
        <f t="shared" ref="AJ264:AJ303" si="84">--AND(AB264&lt;&gt;"",AG264&gt;0)</f>
        <v>0</v>
      </c>
      <c r="AK264" s="271">
        <f t="shared" ref="AK264:AK303" si="85">--AND(AJ264=1,AE264&gt;=AG264*$O$4)</f>
        <v>0</v>
      </c>
      <c r="AL264" s="271">
        <f t="shared" ref="AL264:AL303" si="86">--AND(AC264&lt;&gt;"",AC264&lt;&gt;"No assignment",AC264&lt;&gt;"Unassigned")</f>
        <v>0</v>
      </c>
      <c r="AM264" s="306" cm="1">
        <f t="array" ref="AM264">IF(OR(AB264="",NOT(ISNUMBER('Sales Dashboard'!BF263))),0,SUMPRODUCT((IFERROR(--'Sales and count'!$G$2:$CC$2,0)=$F$4)*('Sales and count'!$G$3:$CC$3="Total"),INDEX('Sales and count'!$G$4:$CC$300,'Sales Dashboard'!BF263,0)))</f>
        <v>0</v>
      </c>
      <c r="AN264" s="306" cm="1">
        <f t="array" ref="AN264">IF(OR(AB264="",NOT(ISNUMBER('Sales Dashboard'!BG263))),0,SUMPRODUCT(('TY Sales Target'!$K$2:$AO$2=$F$4)*1,INDEX('TY Sales Target'!$K$5:$AO$300,'Sales Dashboard'!BG263,0)))</f>
        <v>0</v>
      </c>
      <c r="AO264" s="306" cm="1">
        <f t="array" ref="AO264">IF(AB264="",0,SUMPRODUCT((TRIM('LY Sales '!$B$5:$B$200)=AB264)*('LY Sales '!$C$2:$AG$2=EDATE($F$4,-12)),'LY Sales '!$C$5:$AG$200))</f>
        <v>0</v>
      </c>
      <c r="AP264">
        <f t="shared" ref="AP264:AP303" si="87">--AND(AB264&lt;&gt;"",AN264&gt;0)</f>
        <v>0</v>
      </c>
      <c r="AQ264">
        <f t="shared" ref="AQ264:AQ303" si="88">--AND(AP264=1,AM264&gt;=AN264*$L$4)</f>
        <v>0</v>
      </c>
      <c r="AR264">
        <f t="shared" ref="AR264:AR303" si="89">--AND(AB264&lt;&gt;"",AO264&gt;0)</f>
        <v>0</v>
      </c>
      <c r="AS264">
        <f t="shared" ref="AS264:AS303" si="90">--AND(AR264=1,AM264&gt;=AO264*$O$4)</f>
        <v>0</v>
      </c>
    </row>
    <row r="265" spans="1:45" x14ac:dyDescent="0.25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  <c r="AA265" s="271"/>
      <c r="AB265" s="271" t="str">
        <f>IF('Sales Dashboard'!AW264="","",'Sales Dashboard'!AW264)</f>
        <v/>
      </c>
      <c r="AC265" s="271" t="str">
        <f>IF(AB265="","",'Sales Dashboard'!AN264)</f>
        <v/>
      </c>
      <c r="AD265" s="271" t="str">
        <f>IF(AB265="","",'Sales Dashboard'!AO264)</f>
        <v/>
      </c>
      <c r="AE265" s="281" cm="1">
        <f t="array" ref="AE265">IF(OR(AB265="",NOT(ISNUMBER('Sales Dashboard'!BF264))),0,SUMPRODUCT((IFERROR(--'Sales and count'!$G$2:$CC$2,0)=$C$4)*('Sales and count'!$G$3:$CC$3="Total"),INDEX('Sales and count'!$G$4:$CC$300,'Sales Dashboard'!BF264,0)))</f>
        <v>0</v>
      </c>
      <c r="AF265" s="281" cm="1">
        <f t="array" ref="AF265">IF(OR(AB265="",NOT(ISNUMBER('Sales Dashboard'!BG264))),0,SUMPRODUCT(('TY Sales Target'!$K$2:$AO$2=$C$4)*1,INDEX('TY Sales Target'!$K$5:$AO$300,'Sales Dashboard'!BG264,0)))</f>
        <v>0</v>
      </c>
      <c r="AG265" s="281" cm="1">
        <f t="array" ref="AG265">IF(AB265="",0,SUMPRODUCT((TRIM('LY Sales '!$B$5:$B$200)=AB265)*('LY Sales '!$C$2:$AG$2=EDATE($C$4,-12)),'LY Sales '!$C$5:$AG$200))</f>
        <v>0</v>
      </c>
      <c r="AH265" s="271">
        <f t="shared" si="82"/>
        <v>0</v>
      </c>
      <c r="AI265" s="271">
        <f t="shared" si="83"/>
        <v>0</v>
      </c>
      <c r="AJ265" s="271">
        <f t="shared" si="84"/>
        <v>0</v>
      </c>
      <c r="AK265" s="271">
        <f t="shared" si="85"/>
        <v>0</v>
      </c>
      <c r="AL265" s="271">
        <f t="shared" si="86"/>
        <v>0</v>
      </c>
      <c r="AM265" s="306" cm="1">
        <f t="array" ref="AM265">IF(OR(AB265="",NOT(ISNUMBER('Sales Dashboard'!BF264))),0,SUMPRODUCT((IFERROR(--'Sales and count'!$G$2:$CC$2,0)=$F$4)*('Sales and count'!$G$3:$CC$3="Total"),INDEX('Sales and count'!$G$4:$CC$300,'Sales Dashboard'!BF264,0)))</f>
        <v>0</v>
      </c>
      <c r="AN265" s="306" cm="1">
        <f t="array" ref="AN265">IF(OR(AB265="",NOT(ISNUMBER('Sales Dashboard'!BG264))),0,SUMPRODUCT(('TY Sales Target'!$K$2:$AO$2=$F$4)*1,INDEX('TY Sales Target'!$K$5:$AO$300,'Sales Dashboard'!BG264,0)))</f>
        <v>0</v>
      </c>
      <c r="AO265" s="306" cm="1">
        <f t="array" ref="AO265">IF(AB265="",0,SUMPRODUCT((TRIM('LY Sales '!$B$5:$B$200)=AB265)*('LY Sales '!$C$2:$AG$2=EDATE($F$4,-12)),'LY Sales '!$C$5:$AG$200))</f>
        <v>0</v>
      </c>
      <c r="AP265">
        <f t="shared" si="87"/>
        <v>0</v>
      </c>
      <c r="AQ265">
        <f t="shared" si="88"/>
        <v>0</v>
      </c>
      <c r="AR265">
        <f t="shared" si="89"/>
        <v>0</v>
      </c>
      <c r="AS265">
        <f t="shared" si="90"/>
        <v>0</v>
      </c>
    </row>
    <row r="266" spans="1:45" x14ac:dyDescent="0.25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  <c r="AA266" s="271"/>
      <c r="AB266" s="271" t="str">
        <f>IF('Sales Dashboard'!AW265="","",'Sales Dashboard'!AW265)</f>
        <v/>
      </c>
      <c r="AC266" s="271" t="str">
        <f>IF(AB266="","",'Sales Dashboard'!AN265)</f>
        <v/>
      </c>
      <c r="AD266" s="271" t="str">
        <f>IF(AB266="","",'Sales Dashboard'!AO265)</f>
        <v/>
      </c>
      <c r="AE266" s="281" cm="1">
        <f t="array" ref="AE266">IF(OR(AB266="",NOT(ISNUMBER('Sales Dashboard'!BF265))),0,SUMPRODUCT((IFERROR(--'Sales and count'!$G$2:$CC$2,0)=$C$4)*('Sales and count'!$G$3:$CC$3="Total"),INDEX('Sales and count'!$G$4:$CC$300,'Sales Dashboard'!BF265,0)))</f>
        <v>0</v>
      </c>
      <c r="AF266" s="281" cm="1">
        <f t="array" ref="AF266">IF(OR(AB266="",NOT(ISNUMBER('Sales Dashboard'!BG265))),0,SUMPRODUCT(('TY Sales Target'!$K$2:$AO$2=$C$4)*1,INDEX('TY Sales Target'!$K$5:$AO$300,'Sales Dashboard'!BG265,0)))</f>
        <v>0</v>
      </c>
      <c r="AG266" s="281" cm="1">
        <f t="array" ref="AG266">IF(AB266="",0,SUMPRODUCT((TRIM('LY Sales '!$B$5:$B$200)=AB266)*('LY Sales '!$C$2:$AG$2=EDATE($C$4,-12)),'LY Sales '!$C$5:$AG$200))</f>
        <v>0</v>
      </c>
      <c r="AH266" s="271">
        <f t="shared" si="82"/>
        <v>0</v>
      </c>
      <c r="AI266" s="271">
        <f t="shared" si="83"/>
        <v>0</v>
      </c>
      <c r="AJ266" s="271">
        <f t="shared" si="84"/>
        <v>0</v>
      </c>
      <c r="AK266" s="271">
        <f t="shared" si="85"/>
        <v>0</v>
      </c>
      <c r="AL266" s="271">
        <f t="shared" si="86"/>
        <v>0</v>
      </c>
      <c r="AM266" s="306" cm="1">
        <f t="array" ref="AM266">IF(OR(AB266="",NOT(ISNUMBER('Sales Dashboard'!BF265))),0,SUMPRODUCT((IFERROR(--'Sales and count'!$G$2:$CC$2,0)=$F$4)*('Sales and count'!$G$3:$CC$3="Total"),INDEX('Sales and count'!$G$4:$CC$300,'Sales Dashboard'!BF265,0)))</f>
        <v>0</v>
      </c>
      <c r="AN266" s="306" cm="1">
        <f t="array" ref="AN266">IF(OR(AB266="",NOT(ISNUMBER('Sales Dashboard'!BG265))),0,SUMPRODUCT(('TY Sales Target'!$K$2:$AO$2=$F$4)*1,INDEX('TY Sales Target'!$K$5:$AO$300,'Sales Dashboard'!BG265,0)))</f>
        <v>0</v>
      </c>
      <c r="AO266" s="306" cm="1">
        <f t="array" ref="AO266">IF(AB266="",0,SUMPRODUCT((TRIM('LY Sales '!$B$5:$B$200)=AB266)*('LY Sales '!$C$2:$AG$2=EDATE($F$4,-12)),'LY Sales '!$C$5:$AG$200))</f>
        <v>0</v>
      </c>
      <c r="AP266">
        <f t="shared" si="87"/>
        <v>0</v>
      </c>
      <c r="AQ266">
        <f t="shared" si="88"/>
        <v>0</v>
      </c>
      <c r="AR266">
        <f t="shared" si="89"/>
        <v>0</v>
      </c>
      <c r="AS266">
        <f t="shared" si="90"/>
        <v>0</v>
      </c>
    </row>
    <row r="267" spans="1:45" x14ac:dyDescent="0.25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  <c r="AA267" s="271"/>
      <c r="AB267" s="271" t="str">
        <f>IF('Sales Dashboard'!AW266="","",'Sales Dashboard'!AW266)</f>
        <v/>
      </c>
      <c r="AC267" s="271" t="str">
        <f>IF(AB267="","",'Sales Dashboard'!AN266)</f>
        <v/>
      </c>
      <c r="AD267" s="271" t="str">
        <f>IF(AB267="","",'Sales Dashboard'!AO266)</f>
        <v/>
      </c>
      <c r="AE267" s="281" cm="1">
        <f t="array" ref="AE267">IF(OR(AB267="",NOT(ISNUMBER('Sales Dashboard'!BF266))),0,SUMPRODUCT((IFERROR(--'Sales and count'!$G$2:$CC$2,0)=$C$4)*('Sales and count'!$G$3:$CC$3="Total"),INDEX('Sales and count'!$G$4:$CC$300,'Sales Dashboard'!BF266,0)))</f>
        <v>0</v>
      </c>
      <c r="AF267" s="281" cm="1">
        <f t="array" ref="AF267">IF(OR(AB267="",NOT(ISNUMBER('Sales Dashboard'!BG266))),0,SUMPRODUCT(('TY Sales Target'!$K$2:$AO$2=$C$4)*1,INDEX('TY Sales Target'!$K$5:$AO$300,'Sales Dashboard'!BG266,0)))</f>
        <v>0</v>
      </c>
      <c r="AG267" s="281" cm="1">
        <f t="array" ref="AG267">IF(AB267="",0,SUMPRODUCT((TRIM('LY Sales '!$B$5:$B$200)=AB267)*('LY Sales '!$C$2:$AG$2=EDATE($C$4,-12)),'LY Sales '!$C$5:$AG$200))</f>
        <v>0</v>
      </c>
      <c r="AH267" s="271">
        <f t="shared" si="82"/>
        <v>0</v>
      </c>
      <c r="AI267" s="271">
        <f t="shared" si="83"/>
        <v>0</v>
      </c>
      <c r="AJ267" s="271">
        <f t="shared" si="84"/>
        <v>0</v>
      </c>
      <c r="AK267" s="271">
        <f t="shared" si="85"/>
        <v>0</v>
      </c>
      <c r="AL267" s="271">
        <f t="shared" si="86"/>
        <v>0</v>
      </c>
      <c r="AM267" s="306" cm="1">
        <f t="array" ref="AM267">IF(OR(AB267="",NOT(ISNUMBER('Sales Dashboard'!BF266))),0,SUMPRODUCT((IFERROR(--'Sales and count'!$G$2:$CC$2,0)=$F$4)*('Sales and count'!$G$3:$CC$3="Total"),INDEX('Sales and count'!$G$4:$CC$300,'Sales Dashboard'!BF266,0)))</f>
        <v>0</v>
      </c>
      <c r="AN267" s="306" cm="1">
        <f t="array" ref="AN267">IF(OR(AB267="",NOT(ISNUMBER('Sales Dashboard'!BG266))),0,SUMPRODUCT(('TY Sales Target'!$K$2:$AO$2=$F$4)*1,INDEX('TY Sales Target'!$K$5:$AO$300,'Sales Dashboard'!BG266,0)))</f>
        <v>0</v>
      </c>
      <c r="AO267" s="306" cm="1">
        <f t="array" ref="AO267">IF(AB267="",0,SUMPRODUCT((TRIM('LY Sales '!$B$5:$B$200)=AB267)*('LY Sales '!$C$2:$AG$2=EDATE($F$4,-12)),'LY Sales '!$C$5:$AG$200))</f>
        <v>0</v>
      </c>
      <c r="AP267">
        <f t="shared" si="87"/>
        <v>0</v>
      </c>
      <c r="AQ267">
        <f t="shared" si="88"/>
        <v>0</v>
      </c>
      <c r="AR267">
        <f t="shared" si="89"/>
        <v>0</v>
      </c>
      <c r="AS267">
        <f t="shared" si="90"/>
        <v>0</v>
      </c>
    </row>
    <row r="268" spans="1:45" x14ac:dyDescent="0.25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  <c r="AB268" s="271" t="str">
        <f>IF('Sales Dashboard'!AW267="","",'Sales Dashboard'!AW267)</f>
        <v/>
      </c>
      <c r="AC268" s="271" t="str">
        <f>IF(AB268="","",'Sales Dashboard'!AN267)</f>
        <v/>
      </c>
      <c r="AD268" s="271" t="str">
        <f>IF(AB268="","",'Sales Dashboard'!AO267)</f>
        <v/>
      </c>
      <c r="AE268" s="281" cm="1">
        <f t="array" ref="AE268">IF(OR(AB268="",NOT(ISNUMBER('Sales Dashboard'!BF267))),0,SUMPRODUCT((IFERROR(--'Sales and count'!$G$2:$CC$2,0)=$C$4)*('Sales and count'!$G$3:$CC$3="Total"),INDEX('Sales and count'!$G$4:$CC$300,'Sales Dashboard'!BF267,0)))</f>
        <v>0</v>
      </c>
      <c r="AF268" s="281" cm="1">
        <f t="array" ref="AF268">IF(OR(AB268="",NOT(ISNUMBER('Sales Dashboard'!BG267))),0,SUMPRODUCT(('TY Sales Target'!$K$2:$AO$2=$C$4)*1,INDEX('TY Sales Target'!$K$5:$AO$300,'Sales Dashboard'!BG267,0)))</f>
        <v>0</v>
      </c>
      <c r="AG268" s="281" cm="1">
        <f t="array" ref="AG268">IF(AB268="",0,SUMPRODUCT((TRIM('LY Sales '!$B$5:$B$200)=AB268)*('LY Sales '!$C$2:$AG$2=EDATE($C$4,-12)),'LY Sales '!$C$5:$AG$200))</f>
        <v>0</v>
      </c>
      <c r="AH268" s="271">
        <f t="shared" si="82"/>
        <v>0</v>
      </c>
      <c r="AI268" s="271">
        <f t="shared" si="83"/>
        <v>0</v>
      </c>
      <c r="AJ268" s="271">
        <f t="shared" si="84"/>
        <v>0</v>
      </c>
      <c r="AK268" s="271">
        <f t="shared" si="85"/>
        <v>0</v>
      </c>
      <c r="AL268" s="271">
        <f t="shared" si="86"/>
        <v>0</v>
      </c>
      <c r="AM268" s="306" cm="1">
        <f t="array" ref="AM268">IF(OR(AB268="",NOT(ISNUMBER('Sales Dashboard'!BF267))),0,SUMPRODUCT((IFERROR(--'Sales and count'!$G$2:$CC$2,0)=$F$4)*('Sales and count'!$G$3:$CC$3="Total"),INDEX('Sales and count'!$G$4:$CC$300,'Sales Dashboard'!BF267,0)))</f>
        <v>0</v>
      </c>
      <c r="AN268" s="306" cm="1">
        <f t="array" ref="AN268">IF(OR(AB268="",NOT(ISNUMBER('Sales Dashboard'!BG267))),0,SUMPRODUCT(('TY Sales Target'!$K$2:$AO$2=$F$4)*1,INDEX('TY Sales Target'!$K$5:$AO$300,'Sales Dashboard'!BG267,0)))</f>
        <v>0</v>
      </c>
      <c r="AO268" s="306" cm="1">
        <f t="array" ref="AO268">IF(AB268="",0,SUMPRODUCT((TRIM('LY Sales '!$B$5:$B$200)=AB268)*('LY Sales '!$C$2:$AG$2=EDATE($F$4,-12)),'LY Sales '!$C$5:$AG$200))</f>
        <v>0</v>
      </c>
      <c r="AP268">
        <f t="shared" si="87"/>
        <v>0</v>
      </c>
      <c r="AQ268">
        <f t="shared" si="88"/>
        <v>0</v>
      </c>
      <c r="AR268">
        <f t="shared" si="89"/>
        <v>0</v>
      </c>
      <c r="AS268">
        <f t="shared" si="90"/>
        <v>0</v>
      </c>
    </row>
    <row r="269" spans="1:45" x14ac:dyDescent="0.25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  <c r="AB269" s="271" t="str">
        <f>IF('Sales Dashboard'!AW268="","",'Sales Dashboard'!AW268)</f>
        <v/>
      </c>
      <c r="AC269" s="271" t="str">
        <f>IF(AB269="","",'Sales Dashboard'!AN268)</f>
        <v/>
      </c>
      <c r="AD269" s="271" t="str">
        <f>IF(AB269="","",'Sales Dashboard'!AO268)</f>
        <v/>
      </c>
      <c r="AE269" s="281" cm="1">
        <f t="array" ref="AE269">IF(OR(AB269="",NOT(ISNUMBER('Sales Dashboard'!BF268))),0,SUMPRODUCT((IFERROR(--'Sales and count'!$G$2:$CC$2,0)=$C$4)*('Sales and count'!$G$3:$CC$3="Total"),INDEX('Sales and count'!$G$4:$CC$300,'Sales Dashboard'!BF268,0)))</f>
        <v>0</v>
      </c>
      <c r="AF269" s="281" cm="1">
        <f t="array" ref="AF269">IF(OR(AB269="",NOT(ISNUMBER('Sales Dashboard'!BG268))),0,SUMPRODUCT(('TY Sales Target'!$K$2:$AO$2=$C$4)*1,INDEX('TY Sales Target'!$K$5:$AO$300,'Sales Dashboard'!BG268,0)))</f>
        <v>0</v>
      </c>
      <c r="AG269" s="281" cm="1">
        <f t="array" ref="AG269">IF(AB269="",0,SUMPRODUCT((TRIM('LY Sales '!$B$5:$B$200)=AB269)*('LY Sales '!$C$2:$AG$2=EDATE($C$4,-12)),'LY Sales '!$C$5:$AG$200))</f>
        <v>0</v>
      </c>
      <c r="AH269" s="271">
        <f t="shared" si="82"/>
        <v>0</v>
      </c>
      <c r="AI269" s="271">
        <f t="shared" si="83"/>
        <v>0</v>
      </c>
      <c r="AJ269" s="271">
        <f t="shared" si="84"/>
        <v>0</v>
      </c>
      <c r="AK269" s="271">
        <f t="shared" si="85"/>
        <v>0</v>
      </c>
      <c r="AL269" s="271">
        <f t="shared" si="86"/>
        <v>0</v>
      </c>
      <c r="AM269" s="306" cm="1">
        <f t="array" ref="AM269">IF(OR(AB269="",NOT(ISNUMBER('Sales Dashboard'!BF268))),0,SUMPRODUCT((IFERROR(--'Sales and count'!$G$2:$CC$2,0)=$F$4)*('Sales and count'!$G$3:$CC$3="Total"),INDEX('Sales and count'!$G$4:$CC$300,'Sales Dashboard'!BF268,0)))</f>
        <v>0</v>
      </c>
      <c r="AN269" s="306" cm="1">
        <f t="array" ref="AN269">IF(OR(AB269="",NOT(ISNUMBER('Sales Dashboard'!BG268))),0,SUMPRODUCT(('TY Sales Target'!$K$2:$AO$2=$F$4)*1,INDEX('TY Sales Target'!$K$5:$AO$300,'Sales Dashboard'!BG268,0)))</f>
        <v>0</v>
      </c>
      <c r="AO269" s="306" cm="1">
        <f t="array" ref="AO269">IF(AB269="",0,SUMPRODUCT((TRIM('LY Sales '!$B$5:$B$200)=AB269)*('LY Sales '!$C$2:$AG$2=EDATE($F$4,-12)),'LY Sales '!$C$5:$AG$200))</f>
        <v>0</v>
      </c>
      <c r="AP269">
        <f t="shared" si="87"/>
        <v>0</v>
      </c>
      <c r="AQ269">
        <f t="shared" si="88"/>
        <v>0</v>
      </c>
      <c r="AR269">
        <f t="shared" si="89"/>
        <v>0</v>
      </c>
      <c r="AS269">
        <f t="shared" si="90"/>
        <v>0</v>
      </c>
    </row>
    <row r="270" spans="1:45" x14ac:dyDescent="0.25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  <c r="AA270" s="271"/>
      <c r="AB270" s="271" t="str">
        <f>IF('Sales Dashboard'!AW269="","",'Sales Dashboard'!AW269)</f>
        <v/>
      </c>
      <c r="AC270" s="271" t="str">
        <f>IF(AB270="","",'Sales Dashboard'!AN269)</f>
        <v/>
      </c>
      <c r="AD270" s="271" t="str">
        <f>IF(AB270="","",'Sales Dashboard'!AO269)</f>
        <v/>
      </c>
      <c r="AE270" s="281" cm="1">
        <f t="array" ref="AE270">IF(OR(AB270="",NOT(ISNUMBER('Sales Dashboard'!BF269))),0,SUMPRODUCT((IFERROR(--'Sales and count'!$G$2:$CC$2,0)=$C$4)*('Sales and count'!$G$3:$CC$3="Total"),INDEX('Sales and count'!$G$4:$CC$300,'Sales Dashboard'!BF269,0)))</f>
        <v>0</v>
      </c>
      <c r="AF270" s="281" cm="1">
        <f t="array" ref="AF270">IF(OR(AB270="",NOT(ISNUMBER('Sales Dashboard'!BG269))),0,SUMPRODUCT(('TY Sales Target'!$K$2:$AO$2=$C$4)*1,INDEX('TY Sales Target'!$K$5:$AO$300,'Sales Dashboard'!BG269,0)))</f>
        <v>0</v>
      </c>
      <c r="AG270" s="281" cm="1">
        <f t="array" ref="AG270">IF(AB270="",0,SUMPRODUCT((TRIM('LY Sales '!$B$5:$B$200)=AB270)*('LY Sales '!$C$2:$AG$2=EDATE($C$4,-12)),'LY Sales '!$C$5:$AG$200))</f>
        <v>0</v>
      </c>
      <c r="AH270" s="271">
        <f t="shared" si="82"/>
        <v>0</v>
      </c>
      <c r="AI270" s="271">
        <f t="shared" si="83"/>
        <v>0</v>
      </c>
      <c r="AJ270" s="271">
        <f t="shared" si="84"/>
        <v>0</v>
      </c>
      <c r="AK270" s="271">
        <f t="shared" si="85"/>
        <v>0</v>
      </c>
      <c r="AL270" s="271">
        <f t="shared" si="86"/>
        <v>0</v>
      </c>
      <c r="AM270" s="306" cm="1">
        <f t="array" ref="AM270">IF(OR(AB270="",NOT(ISNUMBER('Sales Dashboard'!BF269))),0,SUMPRODUCT((IFERROR(--'Sales and count'!$G$2:$CC$2,0)=$F$4)*('Sales and count'!$G$3:$CC$3="Total"),INDEX('Sales and count'!$G$4:$CC$300,'Sales Dashboard'!BF269,0)))</f>
        <v>0</v>
      </c>
      <c r="AN270" s="306" cm="1">
        <f t="array" ref="AN270">IF(OR(AB270="",NOT(ISNUMBER('Sales Dashboard'!BG269))),0,SUMPRODUCT(('TY Sales Target'!$K$2:$AO$2=$F$4)*1,INDEX('TY Sales Target'!$K$5:$AO$300,'Sales Dashboard'!BG269,0)))</f>
        <v>0</v>
      </c>
      <c r="AO270" s="306" cm="1">
        <f t="array" ref="AO270">IF(AB270="",0,SUMPRODUCT((TRIM('LY Sales '!$B$5:$B$200)=AB270)*('LY Sales '!$C$2:$AG$2=EDATE($F$4,-12)),'LY Sales '!$C$5:$AG$200))</f>
        <v>0</v>
      </c>
      <c r="AP270">
        <f t="shared" si="87"/>
        <v>0</v>
      </c>
      <c r="AQ270">
        <f t="shared" si="88"/>
        <v>0</v>
      </c>
      <c r="AR270">
        <f t="shared" si="89"/>
        <v>0</v>
      </c>
      <c r="AS270">
        <f t="shared" si="90"/>
        <v>0</v>
      </c>
    </row>
    <row r="271" spans="1:45" x14ac:dyDescent="0.25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  <c r="AB271" s="271" t="str">
        <f>IF('Sales Dashboard'!AW270="","",'Sales Dashboard'!AW270)</f>
        <v/>
      </c>
      <c r="AC271" s="271" t="str">
        <f>IF(AB271="","",'Sales Dashboard'!AN270)</f>
        <v/>
      </c>
      <c r="AD271" s="271" t="str">
        <f>IF(AB271="","",'Sales Dashboard'!AO270)</f>
        <v/>
      </c>
      <c r="AE271" s="281" cm="1">
        <f t="array" ref="AE271">IF(OR(AB271="",NOT(ISNUMBER('Sales Dashboard'!BF270))),0,SUMPRODUCT((IFERROR(--'Sales and count'!$G$2:$CC$2,0)=$C$4)*('Sales and count'!$G$3:$CC$3="Total"),INDEX('Sales and count'!$G$4:$CC$300,'Sales Dashboard'!BF270,0)))</f>
        <v>0</v>
      </c>
      <c r="AF271" s="281" cm="1">
        <f t="array" ref="AF271">IF(OR(AB271="",NOT(ISNUMBER('Sales Dashboard'!BG270))),0,SUMPRODUCT(('TY Sales Target'!$K$2:$AO$2=$C$4)*1,INDEX('TY Sales Target'!$K$5:$AO$300,'Sales Dashboard'!BG270,0)))</f>
        <v>0</v>
      </c>
      <c r="AG271" s="281" cm="1">
        <f t="array" ref="AG271">IF(AB271="",0,SUMPRODUCT((TRIM('LY Sales '!$B$5:$B$200)=AB271)*('LY Sales '!$C$2:$AG$2=EDATE($C$4,-12)),'LY Sales '!$C$5:$AG$200))</f>
        <v>0</v>
      </c>
      <c r="AH271" s="271">
        <f t="shared" si="82"/>
        <v>0</v>
      </c>
      <c r="AI271" s="271">
        <f t="shared" si="83"/>
        <v>0</v>
      </c>
      <c r="AJ271" s="271">
        <f t="shared" si="84"/>
        <v>0</v>
      </c>
      <c r="AK271" s="271">
        <f t="shared" si="85"/>
        <v>0</v>
      </c>
      <c r="AL271" s="271">
        <f t="shared" si="86"/>
        <v>0</v>
      </c>
      <c r="AM271" s="306" cm="1">
        <f t="array" ref="AM271">IF(OR(AB271="",NOT(ISNUMBER('Sales Dashboard'!BF270))),0,SUMPRODUCT((IFERROR(--'Sales and count'!$G$2:$CC$2,0)=$F$4)*('Sales and count'!$G$3:$CC$3="Total"),INDEX('Sales and count'!$G$4:$CC$300,'Sales Dashboard'!BF270,0)))</f>
        <v>0</v>
      </c>
      <c r="AN271" s="306" cm="1">
        <f t="array" ref="AN271">IF(OR(AB271="",NOT(ISNUMBER('Sales Dashboard'!BG270))),0,SUMPRODUCT(('TY Sales Target'!$K$2:$AO$2=$F$4)*1,INDEX('TY Sales Target'!$K$5:$AO$300,'Sales Dashboard'!BG270,0)))</f>
        <v>0</v>
      </c>
      <c r="AO271" s="306" cm="1">
        <f t="array" ref="AO271">IF(AB271="",0,SUMPRODUCT((TRIM('LY Sales '!$B$5:$B$200)=AB271)*('LY Sales '!$C$2:$AG$2=EDATE($F$4,-12)),'LY Sales '!$C$5:$AG$200))</f>
        <v>0</v>
      </c>
      <c r="AP271">
        <f t="shared" si="87"/>
        <v>0</v>
      </c>
      <c r="AQ271">
        <f t="shared" si="88"/>
        <v>0</v>
      </c>
      <c r="AR271">
        <f t="shared" si="89"/>
        <v>0</v>
      </c>
      <c r="AS271">
        <f t="shared" si="90"/>
        <v>0</v>
      </c>
    </row>
    <row r="272" spans="1:45" x14ac:dyDescent="0.25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  <c r="AA272" s="271"/>
      <c r="AB272" s="271" t="str">
        <f>IF('Sales Dashboard'!AW271="","",'Sales Dashboard'!AW271)</f>
        <v/>
      </c>
      <c r="AC272" s="271" t="str">
        <f>IF(AB272="","",'Sales Dashboard'!AN271)</f>
        <v/>
      </c>
      <c r="AD272" s="271" t="str">
        <f>IF(AB272="","",'Sales Dashboard'!AO271)</f>
        <v/>
      </c>
      <c r="AE272" s="281" cm="1">
        <f t="array" ref="AE272">IF(OR(AB272="",NOT(ISNUMBER('Sales Dashboard'!BF271))),0,SUMPRODUCT((IFERROR(--'Sales and count'!$G$2:$CC$2,0)=$C$4)*('Sales and count'!$G$3:$CC$3="Total"),INDEX('Sales and count'!$G$4:$CC$300,'Sales Dashboard'!BF271,0)))</f>
        <v>0</v>
      </c>
      <c r="AF272" s="281" cm="1">
        <f t="array" ref="AF272">IF(OR(AB272="",NOT(ISNUMBER('Sales Dashboard'!BG271))),0,SUMPRODUCT(('TY Sales Target'!$K$2:$AO$2=$C$4)*1,INDEX('TY Sales Target'!$K$5:$AO$300,'Sales Dashboard'!BG271,0)))</f>
        <v>0</v>
      </c>
      <c r="AG272" s="281" cm="1">
        <f t="array" ref="AG272">IF(AB272="",0,SUMPRODUCT((TRIM('LY Sales '!$B$5:$B$200)=AB272)*('LY Sales '!$C$2:$AG$2=EDATE($C$4,-12)),'LY Sales '!$C$5:$AG$200))</f>
        <v>0</v>
      </c>
      <c r="AH272" s="271">
        <f t="shared" si="82"/>
        <v>0</v>
      </c>
      <c r="AI272" s="271">
        <f t="shared" si="83"/>
        <v>0</v>
      </c>
      <c r="AJ272" s="271">
        <f t="shared" si="84"/>
        <v>0</v>
      </c>
      <c r="AK272" s="271">
        <f t="shared" si="85"/>
        <v>0</v>
      </c>
      <c r="AL272" s="271">
        <f t="shared" si="86"/>
        <v>0</v>
      </c>
      <c r="AM272" s="306" cm="1">
        <f t="array" ref="AM272">IF(OR(AB272="",NOT(ISNUMBER('Sales Dashboard'!BF271))),0,SUMPRODUCT((IFERROR(--'Sales and count'!$G$2:$CC$2,0)=$F$4)*('Sales and count'!$G$3:$CC$3="Total"),INDEX('Sales and count'!$G$4:$CC$300,'Sales Dashboard'!BF271,0)))</f>
        <v>0</v>
      </c>
      <c r="AN272" s="306" cm="1">
        <f t="array" ref="AN272">IF(OR(AB272="",NOT(ISNUMBER('Sales Dashboard'!BG271))),0,SUMPRODUCT(('TY Sales Target'!$K$2:$AO$2=$F$4)*1,INDEX('TY Sales Target'!$K$5:$AO$300,'Sales Dashboard'!BG271,0)))</f>
        <v>0</v>
      </c>
      <c r="AO272" s="306" cm="1">
        <f t="array" ref="AO272">IF(AB272="",0,SUMPRODUCT((TRIM('LY Sales '!$B$5:$B$200)=AB272)*('LY Sales '!$C$2:$AG$2=EDATE($F$4,-12)),'LY Sales '!$C$5:$AG$200))</f>
        <v>0</v>
      </c>
      <c r="AP272">
        <f t="shared" si="87"/>
        <v>0</v>
      </c>
      <c r="AQ272">
        <f t="shared" si="88"/>
        <v>0</v>
      </c>
      <c r="AR272">
        <f t="shared" si="89"/>
        <v>0</v>
      </c>
      <c r="AS272">
        <f t="shared" si="90"/>
        <v>0</v>
      </c>
    </row>
    <row r="273" spans="1:45" x14ac:dyDescent="0.25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 t="str">
        <f>IF('Sales Dashboard'!AW272="","",'Sales Dashboard'!AW272)</f>
        <v/>
      </c>
      <c r="AC273" s="271" t="str">
        <f>IF(AB273="","",'Sales Dashboard'!AN272)</f>
        <v/>
      </c>
      <c r="AD273" s="271" t="str">
        <f>IF(AB273="","",'Sales Dashboard'!AO272)</f>
        <v/>
      </c>
      <c r="AE273" s="281" cm="1">
        <f t="array" ref="AE273">IF(OR(AB273="",NOT(ISNUMBER('Sales Dashboard'!BF272))),0,SUMPRODUCT((IFERROR(--'Sales and count'!$G$2:$CC$2,0)=$C$4)*('Sales and count'!$G$3:$CC$3="Total"),INDEX('Sales and count'!$G$4:$CC$300,'Sales Dashboard'!BF272,0)))</f>
        <v>0</v>
      </c>
      <c r="AF273" s="281" cm="1">
        <f t="array" ref="AF273">IF(OR(AB273="",NOT(ISNUMBER('Sales Dashboard'!BG272))),0,SUMPRODUCT(('TY Sales Target'!$K$2:$AO$2=$C$4)*1,INDEX('TY Sales Target'!$K$5:$AO$300,'Sales Dashboard'!BG272,0)))</f>
        <v>0</v>
      </c>
      <c r="AG273" s="281" cm="1">
        <f t="array" ref="AG273">IF(AB273="",0,SUMPRODUCT((TRIM('LY Sales '!$B$5:$B$200)=AB273)*('LY Sales '!$C$2:$AG$2=EDATE($C$4,-12)),'LY Sales '!$C$5:$AG$200))</f>
        <v>0</v>
      </c>
      <c r="AH273" s="271">
        <f t="shared" si="82"/>
        <v>0</v>
      </c>
      <c r="AI273" s="271">
        <f t="shared" si="83"/>
        <v>0</v>
      </c>
      <c r="AJ273" s="271">
        <f t="shared" si="84"/>
        <v>0</v>
      </c>
      <c r="AK273" s="271">
        <f t="shared" si="85"/>
        <v>0</v>
      </c>
      <c r="AL273" s="271">
        <f t="shared" si="86"/>
        <v>0</v>
      </c>
      <c r="AM273" s="306" cm="1">
        <f t="array" ref="AM273">IF(OR(AB273="",NOT(ISNUMBER('Sales Dashboard'!BF272))),0,SUMPRODUCT((IFERROR(--'Sales and count'!$G$2:$CC$2,0)=$F$4)*('Sales and count'!$G$3:$CC$3="Total"),INDEX('Sales and count'!$G$4:$CC$300,'Sales Dashboard'!BF272,0)))</f>
        <v>0</v>
      </c>
      <c r="AN273" s="306" cm="1">
        <f t="array" ref="AN273">IF(OR(AB273="",NOT(ISNUMBER('Sales Dashboard'!BG272))),0,SUMPRODUCT(('TY Sales Target'!$K$2:$AO$2=$F$4)*1,INDEX('TY Sales Target'!$K$5:$AO$300,'Sales Dashboard'!BG272,0)))</f>
        <v>0</v>
      </c>
      <c r="AO273" s="306" cm="1">
        <f t="array" ref="AO273">IF(AB273="",0,SUMPRODUCT((TRIM('LY Sales '!$B$5:$B$200)=AB273)*('LY Sales '!$C$2:$AG$2=EDATE($F$4,-12)),'LY Sales '!$C$5:$AG$200))</f>
        <v>0</v>
      </c>
      <c r="AP273">
        <f t="shared" si="87"/>
        <v>0</v>
      </c>
      <c r="AQ273">
        <f t="shared" si="88"/>
        <v>0</v>
      </c>
      <c r="AR273">
        <f t="shared" si="89"/>
        <v>0</v>
      </c>
      <c r="AS273">
        <f t="shared" si="90"/>
        <v>0</v>
      </c>
    </row>
    <row r="274" spans="1:45" x14ac:dyDescent="0.25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  <c r="AA274" s="271"/>
      <c r="AB274" s="271" t="str">
        <f>IF('Sales Dashboard'!AW273="","",'Sales Dashboard'!AW273)</f>
        <v/>
      </c>
      <c r="AC274" s="271" t="str">
        <f>IF(AB274="","",'Sales Dashboard'!AN273)</f>
        <v/>
      </c>
      <c r="AD274" s="271" t="str">
        <f>IF(AB274="","",'Sales Dashboard'!AO273)</f>
        <v/>
      </c>
      <c r="AE274" s="281" cm="1">
        <f t="array" ref="AE274">IF(OR(AB274="",NOT(ISNUMBER('Sales Dashboard'!BF273))),0,SUMPRODUCT((IFERROR(--'Sales and count'!$G$2:$CC$2,0)=$C$4)*('Sales and count'!$G$3:$CC$3="Total"),INDEX('Sales and count'!$G$4:$CC$300,'Sales Dashboard'!BF273,0)))</f>
        <v>0</v>
      </c>
      <c r="AF274" s="281" cm="1">
        <f t="array" ref="AF274">IF(OR(AB274="",NOT(ISNUMBER('Sales Dashboard'!BG273))),0,SUMPRODUCT(('TY Sales Target'!$K$2:$AO$2=$C$4)*1,INDEX('TY Sales Target'!$K$5:$AO$300,'Sales Dashboard'!BG273,0)))</f>
        <v>0</v>
      </c>
      <c r="AG274" s="281" cm="1">
        <f t="array" ref="AG274">IF(AB274="",0,SUMPRODUCT((TRIM('LY Sales '!$B$5:$B$200)=AB274)*('LY Sales '!$C$2:$AG$2=EDATE($C$4,-12)),'LY Sales '!$C$5:$AG$200))</f>
        <v>0</v>
      </c>
      <c r="AH274" s="271">
        <f t="shared" si="82"/>
        <v>0</v>
      </c>
      <c r="AI274" s="271">
        <f t="shared" si="83"/>
        <v>0</v>
      </c>
      <c r="AJ274" s="271">
        <f t="shared" si="84"/>
        <v>0</v>
      </c>
      <c r="AK274" s="271">
        <f t="shared" si="85"/>
        <v>0</v>
      </c>
      <c r="AL274" s="271">
        <f t="shared" si="86"/>
        <v>0</v>
      </c>
      <c r="AM274" s="306" cm="1">
        <f t="array" ref="AM274">IF(OR(AB274="",NOT(ISNUMBER('Sales Dashboard'!BF273))),0,SUMPRODUCT((IFERROR(--'Sales and count'!$G$2:$CC$2,0)=$F$4)*('Sales and count'!$G$3:$CC$3="Total"),INDEX('Sales and count'!$G$4:$CC$300,'Sales Dashboard'!BF273,0)))</f>
        <v>0</v>
      </c>
      <c r="AN274" s="306" cm="1">
        <f t="array" ref="AN274">IF(OR(AB274="",NOT(ISNUMBER('Sales Dashboard'!BG273))),0,SUMPRODUCT(('TY Sales Target'!$K$2:$AO$2=$F$4)*1,INDEX('TY Sales Target'!$K$5:$AO$300,'Sales Dashboard'!BG273,0)))</f>
        <v>0</v>
      </c>
      <c r="AO274" s="306" cm="1">
        <f t="array" ref="AO274">IF(AB274="",0,SUMPRODUCT((TRIM('LY Sales '!$B$5:$B$200)=AB274)*('LY Sales '!$C$2:$AG$2=EDATE($F$4,-12)),'LY Sales '!$C$5:$AG$200))</f>
        <v>0</v>
      </c>
      <c r="AP274">
        <f t="shared" si="87"/>
        <v>0</v>
      </c>
      <c r="AQ274">
        <f t="shared" si="88"/>
        <v>0</v>
      </c>
      <c r="AR274">
        <f t="shared" si="89"/>
        <v>0</v>
      </c>
      <c r="AS274">
        <f t="shared" si="90"/>
        <v>0</v>
      </c>
    </row>
    <row r="275" spans="1:45" x14ac:dyDescent="0.25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 t="str">
        <f>IF('Sales Dashboard'!AW274="","",'Sales Dashboard'!AW274)</f>
        <v/>
      </c>
      <c r="AC275" s="271" t="str">
        <f>IF(AB275="","",'Sales Dashboard'!AN274)</f>
        <v/>
      </c>
      <c r="AD275" s="271" t="str">
        <f>IF(AB275="","",'Sales Dashboard'!AO274)</f>
        <v/>
      </c>
      <c r="AE275" s="281" cm="1">
        <f t="array" ref="AE275">IF(OR(AB275="",NOT(ISNUMBER('Sales Dashboard'!BF274))),0,SUMPRODUCT((IFERROR(--'Sales and count'!$G$2:$CC$2,0)=$C$4)*('Sales and count'!$G$3:$CC$3="Total"),INDEX('Sales and count'!$G$4:$CC$300,'Sales Dashboard'!BF274,0)))</f>
        <v>0</v>
      </c>
      <c r="AF275" s="281" cm="1">
        <f t="array" ref="AF275">IF(OR(AB275="",NOT(ISNUMBER('Sales Dashboard'!BG274))),0,SUMPRODUCT(('TY Sales Target'!$K$2:$AO$2=$C$4)*1,INDEX('TY Sales Target'!$K$5:$AO$300,'Sales Dashboard'!BG274,0)))</f>
        <v>0</v>
      </c>
      <c r="AG275" s="281" cm="1">
        <f t="array" ref="AG275">IF(AB275="",0,SUMPRODUCT((TRIM('LY Sales '!$B$5:$B$200)=AB275)*('LY Sales '!$C$2:$AG$2=EDATE($C$4,-12)),'LY Sales '!$C$5:$AG$200))</f>
        <v>0</v>
      </c>
      <c r="AH275" s="271">
        <f t="shared" si="82"/>
        <v>0</v>
      </c>
      <c r="AI275" s="271">
        <f t="shared" si="83"/>
        <v>0</v>
      </c>
      <c r="AJ275" s="271">
        <f t="shared" si="84"/>
        <v>0</v>
      </c>
      <c r="AK275" s="271">
        <f t="shared" si="85"/>
        <v>0</v>
      </c>
      <c r="AL275" s="271">
        <f t="shared" si="86"/>
        <v>0</v>
      </c>
      <c r="AM275" s="306" cm="1">
        <f t="array" ref="AM275">IF(OR(AB275="",NOT(ISNUMBER('Sales Dashboard'!BF274))),0,SUMPRODUCT((IFERROR(--'Sales and count'!$G$2:$CC$2,0)=$F$4)*('Sales and count'!$G$3:$CC$3="Total"),INDEX('Sales and count'!$G$4:$CC$300,'Sales Dashboard'!BF274,0)))</f>
        <v>0</v>
      </c>
      <c r="AN275" s="306" cm="1">
        <f t="array" ref="AN275">IF(OR(AB275="",NOT(ISNUMBER('Sales Dashboard'!BG274))),0,SUMPRODUCT(('TY Sales Target'!$K$2:$AO$2=$F$4)*1,INDEX('TY Sales Target'!$K$5:$AO$300,'Sales Dashboard'!BG274,0)))</f>
        <v>0</v>
      </c>
      <c r="AO275" s="306" cm="1">
        <f t="array" ref="AO275">IF(AB275="",0,SUMPRODUCT((TRIM('LY Sales '!$B$5:$B$200)=AB275)*('LY Sales '!$C$2:$AG$2=EDATE($F$4,-12)),'LY Sales '!$C$5:$AG$200))</f>
        <v>0</v>
      </c>
      <c r="AP275">
        <f t="shared" si="87"/>
        <v>0</v>
      </c>
      <c r="AQ275">
        <f t="shared" si="88"/>
        <v>0</v>
      </c>
      <c r="AR275">
        <f t="shared" si="89"/>
        <v>0</v>
      </c>
      <c r="AS275">
        <f t="shared" si="90"/>
        <v>0</v>
      </c>
    </row>
    <row r="276" spans="1:45" x14ac:dyDescent="0.25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  <c r="AA276" s="271"/>
      <c r="AB276" s="271" t="str">
        <f>IF('Sales Dashboard'!AW275="","",'Sales Dashboard'!AW275)</f>
        <v/>
      </c>
      <c r="AC276" s="271" t="str">
        <f>IF(AB276="","",'Sales Dashboard'!AN275)</f>
        <v/>
      </c>
      <c r="AD276" s="271" t="str">
        <f>IF(AB276="","",'Sales Dashboard'!AO275)</f>
        <v/>
      </c>
      <c r="AE276" s="281" cm="1">
        <f t="array" ref="AE276">IF(OR(AB276="",NOT(ISNUMBER('Sales Dashboard'!BF275))),0,SUMPRODUCT((IFERROR(--'Sales and count'!$G$2:$CC$2,0)=$C$4)*('Sales and count'!$G$3:$CC$3="Total"),INDEX('Sales and count'!$G$4:$CC$300,'Sales Dashboard'!BF275,0)))</f>
        <v>0</v>
      </c>
      <c r="AF276" s="281" cm="1">
        <f t="array" ref="AF276">IF(OR(AB276="",NOT(ISNUMBER('Sales Dashboard'!BG275))),0,SUMPRODUCT(('TY Sales Target'!$K$2:$AO$2=$C$4)*1,INDEX('TY Sales Target'!$K$5:$AO$300,'Sales Dashboard'!BG275,0)))</f>
        <v>0</v>
      </c>
      <c r="AG276" s="281" cm="1">
        <f t="array" ref="AG276">IF(AB276="",0,SUMPRODUCT((TRIM('LY Sales '!$B$5:$B$200)=AB276)*('LY Sales '!$C$2:$AG$2=EDATE($C$4,-12)),'LY Sales '!$C$5:$AG$200))</f>
        <v>0</v>
      </c>
      <c r="AH276" s="271">
        <f t="shared" si="82"/>
        <v>0</v>
      </c>
      <c r="AI276" s="271">
        <f t="shared" si="83"/>
        <v>0</v>
      </c>
      <c r="AJ276" s="271">
        <f t="shared" si="84"/>
        <v>0</v>
      </c>
      <c r="AK276" s="271">
        <f t="shared" si="85"/>
        <v>0</v>
      </c>
      <c r="AL276" s="271">
        <f t="shared" si="86"/>
        <v>0</v>
      </c>
      <c r="AM276" s="306" cm="1">
        <f t="array" ref="AM276">IF(OR(AB276="",NOT(ISNUMBER('Sales Dashboard'!BF275))),0,SUMPRODUCT((IFERROR(--'Sales and count'!$G$2:$CC$2,0)=$F$4)*('Sales and count'!$G$3:$CC$3="Total"),INDEX('Sales and count'!$G$4:$CC$300,'Sales Dashboard'!BF275,0)))</f>
        <v>0</v>
      </c>
      <c r="AN276" s="306" cm="1">
        <f t="array" ref="AN276">IF(OR(AB276="",NOT(ISNUMBER('Sales Dashboard'!BG275))),0,SUMPRODUCT(('TY Sales Target'!$K$2:$AO$2=$F$4)*1,INDEX('TY Sales Target'!$K$5:$AO$300,'Sales Dashboard'!BG275,0)))</f>
        <v>0</v>
      </c>
      <c r="AO276" s="306" cm="1">
        <f t="array" ref="AO276">IF(AB276="",0,SUMPRODUCT((TRIM('LY Sales '!$B$5:$B$200)=AB276)*('LY Sales '!$C$2:$AG$2=EDATE($F$4,-12)),'LY Sales '!$C$5:$AG$200))</f>
        <v>0</v>
      </c>
      <c r="AP276">
        <f t="shared" si="87"/>
        <v>0</v>
      </c>
      <c r="AQ276">
        <f t="shared" si="88"/>
        <v>0</v>
      </c>
      <c r="AR276">
        <f t="shared" si="89"/>
        <v>0</v>
      </c>
      <c r="AS276">
        <f t="shared" si="90"/>
        <v>0</v>
      </c>
    </row>
    <row r="277" spans="1:45" x14ac:dyDescent="0.25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  <c r="AA277" s="271"/>
      <c r="AB277" s="271" t="str">
        <f>IF('Sales Dashboard'!AW276="","",'Sales Dashboard'!AW276)</f>
        <v/>
      </c>
      <c r="AC277" s="271" t="str">
        <f>IF(AB277="","",'Sales Dashboard'!AN276)</f>
        <v/>
      </c>
      <c r="AD277" s="271" t="str">
        <f>IF(AB277="","",'Sales Dashboard'!AO276)</f>
        <v/>
      </c>
      <c r="AE277" s="281" cm="1">
        <f t="array" ref="AE277">IF(OR(AB277="",NOT(ISNUMBER('Sales Dashboard'!BF276))),0,SUMPRODUCT((IFERROR(--'Sales and count'!$G$2:$CC$2,0)=$C$4)*('Sales and count'!$G$3:$CC$3="Total"),INDEX('Sales and count'!$G$4:$CC$300,'Sales Dashboard'!BF276,0)))</f>
        <v>0</v>
      </c>
      <c r="AF277" s="281" cm="1">
        <f t="array" ref="AF277">IF(OR(AB277="",NOT(ISNUMBER('Sales Dashboard'!BG276))),0,SUMPRODUCT(('TY Sales Target'!$K$2:$AO$2=$C$4)*1,INDEX('TY Sales Target'!$K$5:$AO$300,'Sales Dashboard'!BG276,0)))</f>
        <v>0</v>
      </c>
      <c r="AG277" s="281" cm="1">
        <f t="array" ref="AG277">IF(AB277="",0,SUMPRODUCT((TRIM('LY Sales '!$B$5:$B$200)=AB277)*('LY Sales '!$C$2:$AG$2=EDATE($C$4,-12)),'LY Sales '!$C$5:$AG$200))</f>
        <v>0</v>
      </c>
      <c r="AH277" s="271">
        <f t="shared" si="82"/>
        <v>0</v>
      </c>
      <c r="AI277" s="271">
        <f t="shared" si="83"/>
        <v>0</v>
      </c>
      <c r="AJ277" s="271">
        <f t="shared" si="84"/>
        <v>0</v>
      </c>
      <c r="AK277" s="271">
        <f t="shared" si="85"/>
        <v>0</v>
      </c>
      <c r="AL277" s="271">
        <f t="shared" si="86"/>
        <v>0</v>
      </c>
      <c r="AM277" s="306" cm="1">
        <f t="array" ref="AM277">IF(OR(AB277="",NOT(ISNUMBER('Sales Dashboard'!BF276))),0,SUMPRODUCT((IFERROR(--'Sales and count'!$G$2:$CC$2,0)=$F$4)*('Sales and count'!$G$3:$CC$3="Total"),INDEX('Sales and count'!$G$4:$CC$300,'Sales Dashboard'!BF276,0)))</f>
        <v>0</v>
      </c>
      <c r="AN277" s="306" cm="1">
        <f t="array" ref="AN277">IF(OR(AB277="",NOT(ISNUMBER('Sales Dashboard'!BG276))),0,SUMPRODUCT(('TY Sales Target'!$K$2:$AO$2=$F$4)*1,INDEX('TY Sales Target'!$K$5:$AO$300,'Sales Dashboard'!BG276,0)))</f>
        <v>0</v>
      </c>
      <c r="AO277" s="306" cm="1">
        <f t="array" ref="AO277">IF(AB277="",0,SUMPRODUCT((TRIM('LY Sales '!$B$5:$B$200)=AB277)*('LY Sales '!$C$2:$AG$2=EDATE($F$4,-12)),'LY Sales '!$C$5:$AG$200))</f>
        <v>0</v>
      </c>
      <c r="AP277">
        <f t="shared" si="87"/>
        <v>0</v>
      </c>
      <c r="AQ277">
        <f t="shared" si="88"/>
        <v>0</v>
      </c>
      <c r="AR277">
        <f t="shared" si="89"/>
        <v>0</v>
      </c>
      <c r="AS277">
        <f t="shared" si="90"/>
        <v>0</v>
      </c>
    </row>
    <row r="278" spans="1:45" x14ac:dyDescent="0.25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  <c r="AA278" s="271"/>
      <c r="AB278" s="271" t="str">
        <f>IF('Sales Dashboard'!AW277="","",'Sales Dashboard'!AW277)</f>
        <v/>
      </c>
      <c r="AC278" s="271" t="str">
        <f>IF(AB278="","",'Sales Dashboard'!AN277)</f>
        <v/>
      </c>
      <c r="AD278" s="271" t="str">
        <f>IF(AB278="","",'Sales Dashboard'!AO277)</f>
        <v/>
      </c>
      <c r="AE278" s="281" cm="1">
        <f t="array" ref="AE278">IF(OR(AB278="",NOT(ISNUMBER('Sales Dashboard'!BF277))),0,SUMPRODUCT((IFERROR(--'Sales and count'!$G$2:$CC$2,0)=$C$4)*('Sales and count'!$G$3:$CC$3="Total"),INDEX('Sales and count'!$G$4:$CC$300,'Sales Dashboard'!BF277,0)))</f>
        <v>0</v>
      </c>
      <c r="AF278" s="281" cm="1">
        <f t="array" ref="AF278">IF(OR(AB278="",NOT(ISNUMBER('Sales Dashboard'!BG277))),0,SUMPRODUCT(('TY Sales Target'!$K$2:$AO$2=$C$4)*1,INDEX('TY Sales Target'!$K$5:$AO$300,'Sales Dashboard'!BG277,0)))</f>
        <v>0</v>
      </c>
      <c r="AG278" s="281" cm="1">
        <f t="array" ref="AG278">IF(AB278="",0,SUMPRODUCT((TRIM('LY Sales '!$B$5:$B$200)=AB278)*('LY Sales '!$C$2:$AG$2=EDATE($C$4,-12)),'LY Sales '!$C$5:$AG$200))</f>
        <v>0</v>
      </c>
      <c r="AH278" s="271">
        <f t="shared" si="82"/>
        <v>0</v>
      </c>
      <c r="AI278" s="271">
        <f t="shared" si="83"/>
        <v>0</v>
      </c>
      <c r="AJ278" s="271">
        <f t="shared" si="84"/>
        <v>0</v>
      </c>
      <c r="AK278" s="271">
        <f t="shared" si="85"/>
        <v>0</v>
      </c>
      <c r="AL278" s="271">
        <f t="shared" si="86"/>
        <v>0</v>
      </c>
      <c r="AM278" s="306" cm="1">
        <f t="array" ref="AM278">IF(OR(AB278="",NOT(ISNUMBER('Sales Dashboard'!BF277))),0,SUMPRODUCT((IFERROR(--'Sales and count'!$G$2:$CC$2,0)=$F$4)*('Sales and count'!$G$3:$CC$3="Total"),INDEX('Sales and count'!$G$4:$CC$300,'Sales Dashboard'!BF277,0)))</f>
        <v>0</v>
      </c>
      <c r="AN278" s="306" cm="1">
        <f t="array" ref="AN278">IF(OR(AB278="",NOT(ISNUMBER('Sales Dashboard'!BG277))),0,SUMPRODUCT(('TY Sales Target'!$K$2:$AO$2=$F$4)*1,INDEX('TY Sales Target'!$K$5:$AO$300,'Sales Dashboard'!BG277,0)))</f>
        <v>0</v>
      </c>
      <c r="AO278" s="306" cm="1">
        <f t="array" ref="AO278">IF(AB278="",0,SUMPRODUCT((TRIM('LY Sales '!$B$5:$B$200)=AB278)*('LY Sales '!$C$2:$AG$2=EDATE($F$4,-12)),'LY Sales '!$C$5:$AG$200))</f>
        <v>0</v>
      </c>
      <c r="AP278">
        <f t="shared" si="87"/>
        <v>0</v>
      </c>
      <c r="AQ278">
        <f t="shared" si="88"/>
        <v>0</v>
      </c>
      <c r="AR278">
        <f t="shared" si="89"/>
        <v>0</v>
      </c>
      <c r="AS278">
        <f t="shared" si="90"/>
        <v>0</v>
      </c>
    </row>
    <row r="279" spans="1:45" x14ac:dyDescent="0.25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  <c r="AA279" s="271"/>
      <c r="AB279" s="271" t="str">
        <f>IF('Sales Dashboard'!AW278="","",'Sales Dashboard'!AW278)</f>
        <v/>
      </c>
      <c r="AC279" s="271" t="str">
        <f>IF(AB279="","",'Sales Dashboard'!AN278)</f>
        <v/>
      </c>
      <c r="AD279" s="271" t="str">
        <f>IF(AB279="","",'Sales Dashboard'!AO278)</f>
        <v/>
      </c>
      <c r="AE279" s="281" cm="1">
        <f t="array" ref="AE279">IF(OR(AB279="",NOT(ISNUMBER('Sales Dashboard'!BF278))),0,SUMPRODUCT((IFERROR(--'Sales and count'!$G$2:$CC$2,0)=$C$4)*('Sales and count'!$G$3:$CC$3="Total"),INDEX('Sales and count'!$G$4:$CC$300,'Sales Dashboard'!BF278,0)))</f>
        <v>0</v>
      </c>
      <c r="AF279" s="281" cm="1">
        <f t="array" ref="AF279">IF(OR(AB279="",NOT(ISNUMBER('Sales Dashboard'!BG278))),0,SUMPRODUCT(('TY Sales Target'!$K$2:$AO$2=$C$4)*1,INDEX('TY Sales Target'!$K$5:$AO$300,'Sales Dashboard'!BG278,0)))</f>
        <v>0</v>
      </c>
      <c r="AG279" s="281" cm="1">
        <f t="array" ref="AG279">IF(AB279="",0,SUMPRODUCT((TRIM('LY Sales '!$B$5:$B$200)=AB279)*('LY Sales '!$C$2:$AG$2=EDATE($C$4,-12)),'LY Sales '!$C$5:$AG$200))</f>
        <v>0</v>
      </c>
      <c r="AH279" s="271">
        <f t="shared" si="82"/>
        <v>0</v>
      </c>
      <c r="AI279" s="271">
        <f t="shared" si="83"/>
        <v>0</v>
      </c>
      <c r="AJ279" s="271">
        <f t="shared" si="84"/>
        <v>0</v>
      </c>
      <c r="AK279" s="271">
        <f t="shared" si="85"/>
        <v>0</v>
      </c>
      <c r="AL279" s="271">
        <f t="shared" si="86"/>
        <v>0</v>
      </c>
      <c r="AM279" s="306" cm="1">
        <f t="array" ref="AM279">IF(OR(AB279="",NOT(ISNUMBER('Sales Dashboard'!BF278))),0,SUMPRODUCT((IFERROR(--'Sales and count'!$G$2:$CC$2,0)=$F$4)*('Sales and count'!$G$3:$CC$3="Total"),INDEX('Sales and count'!$G$4:$CC$300,'Sales Dashboard'!BF278,0)))</f>
        <v>0</v>
      </c>
      <c r="AN279" s="306" cm="1">
        <f t="array" ref="AN279">IF(OR(AB279="",NOT(ISNUMBER('Sales Dashboard'!BG278))),0,SUMPRODUCT(('TY Sales Target'!$K$2:$AO$2=$F$4)*1,INDEX('TY Sales Target'!$K$5:$AO$300,'Sales Dashboard'!BG278,0)))</f>
        <v>0</v>
      </c>
      <c r="AO279" s="306" cm="1">
        <f t="array" ref="AO279">IF(AB279="",0,SUMPRODUCT((TRIM('LY Sales '!$B$5:$B$200)=AB279)*('LY Sales '!$C$2:$AG$2=EDATE($F$4,-12)),'LY Sales '!$C$5:$AG$200))</f>
        <v>0</v>
      </c>
      <c r="AP279">
        <f t="shared" si="87"/>
        <v>0</v>
      </c>
      <c r="AQ279">
        <f t="shared" si="88"/>
        <v>0</v>
      </c>
      <c r="AR279">
        <f t="shared" si="89"/>
        <v>0</v>
      </c>
      <c r="AS279">
        <f t="shared" si="90"/>
        <v>0</v>
      </c>
    </row>
    <row r="280" spans="1:45" x14ac:dyDescent="0.25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  <c r="AA280" s="271"/>
      <c r="AB280" s="271" t="str">
        <f>IF('Sales Dashboard'!AW279="","",'Sales Dashboard'!AW279)</f>
        <v/>
      </c>
      <c r="AC280" s="271" t="str">
        <f>IF(AB280="","",'Sales Dashboard'!AN279)</f>
        <v/>
      </c>
      <c r="AD280" s="271" t="str">
        <f>IF(AB280="","",'Sales Dashboard'!AO279)</f>
        <v/>
      </c>
      <c r="AE280" s="281" cm="1">
        <f t="array" ref="AE280">IF(OR(AB280="",NOT(ISNUMBER('Sales Dashboard'!BF279))),0,SUMPRODUCT((IFERROR(--'Sales and count'!$G$2:$CC$2,0)=$C$4)*('Sales and count'!$G$3:$CC$3="Total"),INDEX('Sales and count'!$G$4:$CC$300,'Sales Dashboard'!BF279,0)))</f>
        <v>0</v>
      </c>
      <c r="AF280" s="281" cm="1">
        <f t="array" ref="AF280">IF(OR(AB280="",NOT(ISNUMBER('Sales Dashboard'!BG279))),0,SUMPRODUCT(('TY Sales Target'!$K$2:$AO$2=$C$4)*1,INDEX('TY Sales Target'!$K$5:$AO$300,'Sales Dashboard'!BG279,0)))</f>
        <v>0</v>
      </c>
      <c r="AG280" s="281" cm="1">
        <f t="array" ref="AG280">IF(AB280="",0,SUMPRODUCT((TRIM('LY Sales '!$B$5:$B$200)=AB280)*('LY Sales '!$C$2:$AG$2=EDATE($C$4,-12)),'LY Sales '!$C$5:$AG$200))</f>
        <v>0</v>
      </c>
      <c r="AH280" s="271">
        <f t="shared" si="82"/>
        <v>0</v>
      </c>
      <c r="AI280" s="271">
        <f t="shared" si="83"/>
        <v>0</v>
      </c>
      <c r="AJ280" s="271">
        <f t="shared" si="84"/>
        <v>0</v>
      </c>
      <c r="AK280" s="271">
        <f t="shared" si="85"/>
        <v>0</v>
      </c>
      <c r="AL280" s="271">
        <f t="shared" si="86"/>
        <v>0</v>
      </c>
      <c r="AM280" s="306" cm="1">
        <f t="array" ref="AM280">IF(OR(AB280="",NOT(ISNUMBER('Sales Dashboard'!BF279))),0,SUMPRODUCT((IFERROR(--'Sales and count'!$G$2:$CC$2,0)=$F$4)*('Sales and count'!$G$3:$CC$3="Total"),INDEX('Sales and count'!$G$4:$CC$300,'Sales Dashboard'!BF279,0)))</f>
        <v>0</v>
      </c>
      <c r="AN280" s="306" cm="1">
        <f t="array" ref="AN280">IF(OR(AB280="",NOT(ISNUMBER('Sales Dashboard'!BG279))),0,SUMPRODUCT(('TY Sales Target'!$K$2:$AO$2=$F$4)*1,INDEX('TY Sales Target'!$K$5:$AO$300,'Sales Dashboard'!BG279,0)))</f>
        <v>0</v>
      </c>
      <c r="AO280" s="306" cm="1">
        <f t="array" ref="AO280">IF(AB280="",0,SUMPRODUCT((TRIM('LY Sales '!$B$5:$B$200)=AB280)*('LY Sales '!$C$2:$AG$2=EDATE($F$4,-12)),'LY Sales '!$C$5:$AG$200))</f>
        <v>0</v>
      </c>
      <c r="AP280">
        <f t="shared" si="87"/>
        <v>0</v>
      </c>
      <c r="AQ280">
        <f t="shared" si="88"/>
        <v>0</v>
      </c>
      <c r="AR280">
        <f t="shared" si="89"/>
        <v>0</v>
      </c>
      <c r="AS280">
        <f t="shared" si="90"/>
        <v>0</v>
      </c>
    </row>
    <row r="281" spans="1:45" x14ac:dyDescent="0.25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  <c r="AA281" s="271"/>
      <c r="AB281" s="271" t="str">
        <f>IF('Sales Dashboard'!AW280="","",'Sales Dashboard'!AW280)</f>
        <v/>
      </c>
      <c r="AC281" s="271" t="str">
        <f>IF(AB281="","",'Sales Dashboard'!AN280)</f>
        <v/>
      </c>
      <c r="AD281" s="271" t="str">
        <f>IF(AB281="","",'Sales Dashboard'!AO280)</f>
        <v/>
      </c>
      <c r="AE281" s="281" cm="1">
        <f t="array" ref="AE281">IF(OR(AB281="",NOT(ISNUMBER('Sales Dashboard'!BF280))),0,SUMPRODUCT((IFERROR(--'Sales and count'!$G$2:$CC$2,0)=$C$4)*('Sales and count'!$G$3:$CC$3="Total"),INDEX('Sales and count'!$G$4:$CC$300,'Sales Dashboard'!BF280,0)))</f>
        <v>0</v>
      </c>
      <c r="AF281" s="281" cm="1">
        <f t="array" ref="AF281">IF(OR(AB281="",NOT(ISNUMBER('Sales Dashboard'!BG280))),0,SUMPRODUCT(('TY Sales Target'!$K$2:$AO$2=$C$4)*1,INDEX('TY Sales Target'!$K$5:$AO$300,'Sales Dashboard'!BG280,0)))</f>
        <v>0</v>
      </c>
      <c r="AG281" s="281" cm="1">
        <f t="array" ref="AG281">IF(AB281="",0,SUMPRODUCT((TRIM('LY Sales '!$B$5:$B$200)=AB281)*('LY Sales '!$C$2:$AG$2=EDATE($C$4,-12)),'LY Sales '!$C$5:$AG$200))</f>
        <v>0</v>
      </c>
      <c r="AH281" s="271">
        <f t="shared" si="82"/>
        <v>0</v>
      </c>
      <c r="AI281" s="271">
        <f t="shared" si="83"/>
        <v>0</v>
      </c>
      <c r="AJ281" s="271">
        <f t="shared" si="84"/>
        <v>0</v>
      </c>
      <c r="AK281" s="271">
        <f t="shared" si="85"/>
        <v>0</v>
      </c>
      <c r="AL281" s="271">
        <f t="shared" si="86"/>
        <v>0</v>
      </c>
      <c r="AM281" s="306" cm="1">
        <f t="array" ref="AM281">IF(OR(AB281="",NOT(ISNUMBER('Sales Dashboard'!BF280))),0,SUMPRODUCT((IFERROR(--'Sales and count'!$G$2:$CC$2,0)=$F$4)*('Sales and count'!$G$3:$CC$3="Total"),INDEX('Sales and count'!$G$4:$CC$300,'Sales Dashboard'!BF280,0)))</f>
        <v>0</v>
      </c>
      <c r="AN281" s="306" cm="1">
        <f t="array" ref="AN281">IF(OR(AB281="",NOT(ISNUMBER('Sales Dashboard'!BG280))),0,SUMPRODUCT(('TY Sales Target'!$K$2:$AO$2=$F$4)*1,INDEX('TY Sales Target'!$K$5:$AO$300,'Sales Dashboard'!BG280,0)))</f>
        <v>0</v>
      </c>
      <c r="AO281" s="306" cm="1">
        <f t="array" ref="AO281">IF(AB281="",0,SUMPRODUCT((TRIM('LY Sales '!$B$5:$B$200)=AB281)*('LY Sales '!$C$2:$AG$2=EDATE($F$4,-12)),'LY Sales '!$C$5:$AG$200))</f>
        <v>0</v>
      </c>
      <c r="AP281">
        <f t="shared" si="87"/>
        <v>0</v>
      </c>
      <c r="AQ281">
        <f t="shared" si="88"/>
        <v>0</v>
      </c>
      <c r="AR281">
        <f t="shared" si="89"/>
        <v>0</v>
      </c>
      <c r="AS281">
        <f t="shared" si="90"/>
        <v>0</v>
      </c>
    </row>
    <row r="282" spans="1:45" x14ac:dyDescent="0.25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  <c r="AA282" s="271"/>
      <c r="AB282" s="271" t="str">
        <f>IF('Sales Dashboard'!AW281="","",'Sales Dashboard'!AW281)</f>
        <v/>
      </c>
      <c r="AC282" s="271" t="str">
        <f>IF(AB282="","",'Sales Dashboard'!AN281)</f>
        <v/>
      </c>
      <c r="AD282" s="271" t="str">
        <f>IF(AB282="","",'Sales Dashboard'!AO281)</f>
        <v/>
      </c>
      <c r="AE282" s="281" cm="1">
        <f t="array" ref="AE282">IF(OR(AB282="",NOT(ISNUMBER('Sales Dashboard'!BF281))),0,SUMPRODUCT((IFERROR(--'Sales and count'!$G$2:$CC$2,0)=$C$4)*('Sales and count'!$G$3:$CC$3="Total"),INDEX('Sales and count'!$G$4:$CC$300,'Sales Dashboard'!BF281,0)))</f>
        <v>0</v>
      </c>
      <c r="AF282" s="281" cm="1">
        <f t="array" ref="AF282">IF(OR(AB282="",NOT(ISNUMBER('Sales Dashboard'!BG281))),0,SUMPRODUCT(('TY Sales Target'!$K$2:$AO$2=$C$4)*1,INDEX('TY Sales Target'!$K$5:$AO$300,'Sales Dashboard'!BG281,0)))</f>
        <v>0</v>
      </c>
      <c r="AG282" s="281" cm="1">
        <f t="array" ref="AG282">IF(AB282="",0,SUMPRODUCT((TRIM('LY Sales '!$B$5:$B$200)=AB282)*('LY Sales '!$C$2:$AG$2=EDATE($C$4,-12)),'LY Sales '!$C$5:$AG$200))</f>
        <v>0</v>
      </c>
      <c r="AH282" s="271">
        <f t="shared" si="82"/>
        <v>0</v>
      </c>
      <c r="AI282" s="271">
        <f t="shared" si="83"/>
        <v>0</v>
      </c>
      <c r="AJ282" s="271">
        <f t="shared" si="84"/>
        <v>0</v>
      </c>
      <c r="AK282" s="271">
        <f t="shared" si="85"/>
        <v>0</v>
      </c>
      <c r="AL282" s="271">
        <f t="shared" si="86"/>
        <v>0</v>
      </c>
      <c r="AM282" s="306" cm="1">
        <f t="array" ref="AM282">IF(OR(AB282="",NOT(ISNUMBER('Sales Dashboard'!BF281))),0,SUMPRODUCT((IFERROR(--'Sales and count'!$G$2:$CC$2,0)=$F$4)*('Sales and count'!$G$3:$CC$3="Total"),INDEX('Sales and count'!$G$4:$CC$300,'Sales Dashboard'!BF281,0)))</f>
        <v>0</v>
      </c>
      <c r="AN282" s="306" cm="1">
        <f t="array" ref="AN282">IF(OR(AB282="",NOT(ISNUMBER('Sales Dashboard'!BG281))),0,SUMPRODUCT(('TY Sales Target'!$K$2:$AO$2=$F$4)*1,INDEX('TY Sales Target'!$K$5:$AO$300,'Sales Dashboard'!BG281,0)))</f>
        <v>0</v>
      </c>
      <c r="AO282" s="306" cm="1">
        <f t="array" ref="AO282">IF(AB282="",0,SUMPRODUCT((TRIM('LY Sales '!$B$5:$B$200)=AB282)*('LY Sales '!$C$2:$AG$2=EDATE($F$4,-12)),'LY Sales '!$C$5:$AG$200))</f>
        <v>0</v>
      </c>
      <c r="AP282">
        <f t="shared" si="87"/>
        <v>0</v>
      </c>
      <c r="AQ282">
        <f t="shared" si="88"/>
        <v>0</v>
      </c>
      <c r="AR282">
        <f t="shared" si="89"/>
        <v>0</v>
      </c>
      <c r="AS282">
        <f t="shared" si="90"/>
        <v>0</v>
      </c>
    </row>
    <row r="283" spans="1:45" x14ac:dyDescent="0.25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  <c r="AA283" s="271"/>
      <c r="AB283" s="271" t="str">
        <f>IF('Sales Dashboard'!AW282="","",'Sales Dashboard'!AW282)</f>
        <v/>
      </c>
      <c r="AC283" s="271" t="str">
        <f>IF(AB283="","",'Sales Dashboard'!AN282)</f>
        <v/>
      </c>
      <c r="AD283" s="271" t="str">
        <f>IF(AB283="","",'Sales Dashboard'!AO282)</f>
        <v/>
      </c>
      <c r="AE283" s="281" cm="1">
        <f t="array" ref="AE283">IF(OR(AB283="",NOT(ISNUMBER('Sales Dashboard'!BF282))),0,SUMPRODUCT((IFERROR(--'Sales and count'!$G$2:$CC$2,0)=$C$4)*('Sales and count'!$G$3:$CC$3="Total"),INDEX('Sales and count'!$G$4:$CC$300,'Sales Dashboard'!BF282,0)))</f>
        <v>0</v>
      </c>
      <c r="AF283" s="281" cm="1">
        <f t="array" ref="AF283">IF(OR(AB283="",NOT(ISNUMBER('Sales Dashboard'!BG282))),0,SUMPRODUCT(('TY Sales Target'!$K$2:$AO$2=$C$4)*1,INDEX('TY Sales Target'!$K$5:$AO$300,'Sales Dashboard'!BG282,0)))</f>
        <v>0</v>
      </c>
      <c r="AG283" s="281" cm="1">
        <f t="array" ref="AG283">IF(AB283="",0,SUMPRODUCT((TRIM('LY Sales '!$B$5:$B$200)=AB283)*('LY Sales '!$C$2:$AG$2=EDATE($C$4,-12)),'LY Sales '!$C$5:$AG$200))</f>
        <v>0</v>
      </c>
      <c r="AH283" s="271">
        <f t="shared" si="82"/>
        <v>0</v>
      </c>
      <c r="AI283" s="271">
        <f t="shared" si="83"/>
        <v>0</v>
      </c>
      <c r="AJ283" s="271">
        <f t="shared" si="84"/>
        <v>0</v>
      </c>
      <c r="AK283" s="271">
        <f t="shared" si="85"/>
        <v>0</v>
      </c>
      <c r="AL283" s="271">
        <f t="shared" si="86"/>
        <v>0</v>
      </c>
      <c r="AM283" s="306" cm="1">
        <f t="array" ref="AM283">IF(OR(AB283="",NOT(ISNUMBER('Sales Dashboard'!BF282))),0,SUMPRODUCT((IFERROR(--'Sales and count'!$G$2:$CC$2,0)=$F$4)*('Sales and count'!$G$3:$CC$3="Total"),INDEX('Sales and count'!$G$4:$CC$300,'Sales Dashboard'!BF282,0)))</f>
        <v>0</v>
      </c>
      <c r="AN283" s="306" cm="1">
        <f t="array" ref="AN283">IF(OR(AB283="",NOT(ISNUMBER('Sales Dashboard'!BG282))),0,SUMPRODUCT(('TY Sales Target'!$K$2:$AO$2=$F$4)*1,INDEX('TY Sales Target'!$K$5:$AO$300,'Sales Dashboard'!BG282,0)))</f>
        <v>0</v>
      </c>
      <c r="AO283" s="306" cm="1">
        <f t="array" ref="AO283">IF(AB283="",0,SUMPRODUCT((TRIM('LY Sales '!$B$5:$B$200)=AB283)*('LY Sales '!$C$2:$AG$2=EDATE($F$4,-12)),'LY Sales '!$C$5:$AG$200))</f>
        <v>0</v>
      </c>
      <c r="AP283">
        <f t="shared" si="87"/>
        <v>0</v>
      </c>
      <c r="AQ283">
        <f t="shared" si="88"/>
        <v>0</v>
      </c>
      <c r="AR283">
        <f t="shared" si="89"/>
        <v>0</v>
      </c>
      <c r="AS283">
        <f t="shared" si="90"/>
        <v>0</v>
      </c>
    </row>
    <row r="284" spans="1:45" x14ac:dyDescent="0.25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  <c r="AB284" s="271" t="str">
        <f>IF('Sales Dashboard'!AW283="","",'Sales Dashboard'!AW283)</f>
        <v/>
      </c>
      <c r="AC284" s="271" t="str">
        <f>IF(AB284="","",'Sales Dashboard'!AN283)</f>
        <v/>
      </c>
      <c r="AD284" s="271" t="str">
        <f>IF(AB284="","",'Sales Dashboard'!AO283)</f>
        <v/>
      </c>
      <c r="AE284" s="281" cm="1">
        <f t="array" ref="AE284">IF(OR(AB284="",NOT(ISNUMBER('Sales Dashboard'!BF283))),0,SUMPRODUCT((IFERROR(--'Sales and count'!$G$2:$CC$2,0)=$C$4)*('Sales and count'!$G$3:$CC$3="Total"),INDEX('Sales and count'!$G$4:$CC$300,'Sales Dashboard'!BF283,0)))</f>
        <v>0</v>
      </c>
      <c r="AF284" s="281" cm="1">
        <f t="array" ref="AF284">IF(OR(AB284="",NOT(ISNUMBER('Sales Dashboard'!BG283))),0,SUMPRODUCT(('TY Sales Target'!$K$2:$AO$2=$C$4)*1,INDEX('TY Sales Target'!$K$5:$AO$300,'Sales Dashboard'!BG283,0)))</f>
        <v>0</v>
      </c>
      <c r="AG284" s="281" cm="1">
        <f t="array" ref="AG284">IF(AB284="",0,SUMPRODUCT((TRIM('LY Sales '!$B$5:$B$200)=AB284)*('LY Sales '!$C$2:$AG$2=EDATE($C$4,-12)),'LY Sales '!$C$5:$AG$200))</f>
        <v>0</v>
      </c>
      <c r="AH284" s="271">
        <f t="shared" si="82"/>
        <v>0</v>
      </c>
      <c r="AI284" s="271">
        <f t="shared" si="83"/>
        <v>0</v>
      </c>
      <c r="AJ284" s="271">
        <f t="shared" si="84"/>
        <v>0</v>
      </c>
      <c r="AK284" s="271">
        <f t="shared" si="85"/>
        <v>0</v>
      </c>
      <c r="AL284" s="271">
        <f t="shared" si="86"/>
        <v>0</v>
      </c>
      <c r="AM284" s="306" cm="1">
        <f t="array" ref="AM284">IF(OR(AB284="",NOT(ISNUMBER('Sales Dashboard'!BF283))),0,SUMPRODUCT((IFERROR(--'Sales and count'!$G$2:$CC$2,0)=$F$4)*('Sales and count'!$G$3:$CC$3="Total"),INDEX('Sales and count'!$G$4:$CC$300,'Sales Dashboard'!BF283,0)))</f>
        <v>0</v>
      </c>
      <c r="AN284" s="306" cm="1">
        <f t="array" ref="AN284">IF(OR(AB284="",NOT(ISNUMBER('Sales Dashboard'!BG283))),0,SUMPRODUCT(('TY Sales Target'!$K$2:$AO$2=$F$4)*1,INDEX('TY Sales Target'!$K$5:$AO$300,'Sales Dashboard'!BG283,0)))</f>
        <v>0</v>
      </c>
      <c r="AO284" s="306" cm="1">
        <f t="array" ref="AO284">IF(AB284="",0,SUMPRODUCT((TRIM('LY Sales '!$B$5:$B$200)=AB284)*('LY Sales '!$C$2:$AG$2=EDATE($F$4,-12)),'LY Sales '!$C$5:$AG$200))</f>
        <v>0</v>
      </c>
      <c r="AP284">
        <f t="shared" si="87"/>
        <v>0</v>
      </c>
      <c r="AQ284">
        <f t="shared" si="88"/>
        <v>0</v>
      </c>
      <c r="AR284">
        <f t="shared" si="89"/>
        <v>0</v>
      </c>
      <c r="AS284">
        <f t="shared" si="90"/>
        <v>0</v>
      </c>
    </row>
    <row r="285" spans="1:45" x14ac:dyDescent="0.25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  <c r="AA285" s="271"/>
      <c r="AB285" s="271" t="str">
        <f>IF('Sales Dashboard'!AW284="","",'Sales Dashboard'!AW284)</f>
        <v/>
      </c>
      <c r="AC285" s="271" t="str">
        <f>IF(AB285="","",'Sales Dashboard'!AN284)</f>
        <v/>
      </c>
      <c r="AD285" s="271" t="str">
        <f>IF(AB285="","",'Sales Dashboard'!AO284)</f>
        <v/>
      </c>
      <c r="AE285" s="281" cm="1">
        <f t="array" ref="AE285">IF(OR(AB285="",NOT(ISNUMBER('Sales Dashboard'!BF284))),0,SUMPRODUCT((IFERROR(--'Sales and count'!$G$2:$CC$2,0)=$C$4)*('Sales and count'!$G$3:$CC$3="Total"),INDEX('Sales and count'!$G$4:$CC$300,'Sales Dashboard'!BF284,0)))</f>
        <v>0</v>
      </c>
      <c r="AF285" s="281" cm="1">
        <f t="array" ref="AF285">IF(OR(AB285="",NOT(ISNUMBER('Sales Dashboard'!BG284))),0,SUMPRODUCT(('TY Sales Target'!$K$2:$AO$2=$C$4)*1,INDEX('TY Sales Target'!$K$5:$AO$300,'Sales Dashboard'!BG284,0)))</f>
        <v>0</v>
      </c>
      <c r="AG285" s="281" cm="1">
        <f t="array" ref="AG285">IF(AB285="",0,SUMPRODUCT((TRIM('LY Sales '!$B$5:$B$200)=AB285)*('LY Sales '!$C$2:$AG$2=EDATE($C$4,-12)),'LY Sales '!$C$5:$AG$200))</f>
        <v>0</v>
      </c>
      <c r="AH285" s="271">
        <f t="shared" si="82"/>
        <v>0</v>
      </c>
      <c r="AI285" s="271">
        <f t="shared" si="83"/>
        <v>0</v>
      </c>
      <c r="AJ285" s="271">
        <f t="shared" si="84"/>
        <v>0</v>
      </c>
      <c r="AK285" s="271">
        <f t="shared" si="85"/>
        <v>0</v>
      </c>
      <c r="AL285" s="271">
        <f t="shared" si="86"/>
        <v>0</v>
      </c>
      <c r="AM285" s="306" cm="1">
        <f t="array" ref="AM285">IF(OR(AB285="",NOT(ISNUMBER('Sales Dashboard'!BF284))),0,SUMPRODUCT((IFERROR(--'Sales and count'!$G$2:$CC$2,0)=$F$4)*('Sales and count'!$G$3:$CC$3="Total"),INDEX('Sales and count'!$G$4:$CC$300,'Sales Dashboard'!BF284,0)))</f>
        <v>0</v>
      </c>
      <c r="AN285" s="306" cm="1">
        <f t="array" ref="AN285">IF(OR(AB285="",NOT(ISNUMBER('Sales Dashboard'!BG284))),0,SUMPRODUCT(('TY Sales Target'!$K$2:$AO$2=$F$4)*1,INDEX('TY Sales Target'!$K$5:$AO$300,'Sales Dashboard'!BG284,0)))</f>
        <v>0</v>
      </c>
      <c r="AO285" s="306" cm="1">
        <f t="array" ref="AO285">IF(AB285="",0,SUMPRODUCT((TRIM('LY Sales '!$B$5:$B$200)=AB285)*('LY Sales '!$C$2:$AG$2=EDATE($F$4,-12)),'LY Sales '!$C$5:$AG$200))</f>
        <v>0</v>
      </c>
      <c r="AP285">
        <f t="shared" si="87"/>
        <v>0</v>
      </c>
      <c r="AQ285">
        <f t="shared" si="88"/>
        <v>0</v>
      </c>
      <c r="AR285">
        <f t="shared" si="89"/>
        <v>0</v>
      </c>
      <c r="AS285">
        <f t="shared" si="90"/>
        <v>0</v>
      </c>
    </row>
    <row r="286" spans="1:45" x14ac:dyDescent="0.25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  <c r="AA286" s="271"/>
      <c r="AB286" s="271" t="str">
        <f>IF('Sales Dashboard'!AW285="","",'Sales Dashboard'!AW285)</f>
        <v/>
      </c>
      <c r="AC286" s="271" t="str">
        <f>IF(AB286="","",'Sales Dashboard'!AN285)</f>
        <v/>
      </c>
      <c r="AD286" s="271" t="str">
        <f>IF(AB286="","",'Sales Dashboard'!AO285)</f>
        <v/>
      </c>
      <c r="AE286" s="281" cm="1">
        <f t="array" ref="AE286">IF(OR(AB286="",NOT(ISNUMBER('Sales Dashboard'!BF285))),0,SUMPRODUCT((IFERROR(--'Sales and count'!$G$2:$CC$2,0)=$C$4)*('Sales and count'!$G$3:$CC$3="Total"),INDEX('Sales and count'!$G$4:$CC$300,'Sales Dashboard'!BF285,0)))</f>
        <v>0</v>
      </c>
      <c r="AF286" s="281" cm="1">
        <f t="array" ref="AF286">IF(OR(AB286="",NOT(ISNUMBER('Sales Dashboard'!BG285))),0,SUMPRODUCT(('TY Sales Target'!$K$2:$AO$2=$C$4)*1,INDEX('TY Sales Target'!$K$5:$AO$300,'Sales Dashboard'!BG285,0)))</f>
        <v>0</v>
      </c>
      <c r="AG286" s="281" cm="1">
        <f t="array" ref="AG286">IF(AB286="",0,SUMPRODUCT((TRIM('LY Sales '!$B$5:$B$200)=AB286)*('LY Sales '!$C$2:$AG$2=EDATE($C$4,-12)),'LY Sales '!$C$5:$AG$200))</f>
        <v>0</v>
      </c>
      <c r="AH286" s="271">
        <f t="shared" si="82"/>
        <v>0</v>
      </c>
      <c r="AI286" s="271">
        <f t="shared" si="83"/>
        <v>0</v>
      </c>
      <c r="AJ286" s="271">
        <f t="shared" si="84"/>
        <v>0</v>
      </c>
      <c r="AK286" s="271">
        <f t="shared" si="85"/>
        <v>0</v>
      </c>
      <c r="AL286" s="271">
        <f t="shared" si="86"/>
        <v>0</v>
      </c>
      <c r="AM286" s="306" cm="1">
        <f t="array" ref="AM286">IF(OR(AB286="",NOT(ISNUMBER('Sales Dashboard'!BF285))),0,SUMPRODUCT((IFERROR(--'Sales and count'!$G$2:$CC$2,0)=$F$4)*('Sales and count'!$G$3:$CC$3="Total"),INDEX('Sales and count'!$G$4:$CC$300,'Sales Dashboard'!BF285,0)))</f>
        <v>0</v>
      </c>
      <c r="AN286" s="306" cm="1">
        <f t="array" ref="AN286">IF(OR(AB286="",NOT(ISNUMBER('Sales Dashboard'!BG285))),0,SUMPRODUCT(('TY Sales Target'!$K$2:$AO$2=$F$4)*1,INDEX('TY Sales Target'!$K$5:$AO$300,'Sales Dashboard'!BG285,0)))</f>
        <v>0</v>
      </c>
      <c r="AO286" s="306" cm="1">
        <f t="array" ref="AO286">IF(AB286="",0,SUMPRODUCT((TRIM('LY Sales '!$B$5:$B$200)=AB286)*('LY Sales '!$C$2:$AG$2=EDATE($F$4,-12)),'LY Sales '!$C$5:$AG$200))</f>
        <v>0</v>
      </c>
      <c r="AP286">
        <f t="shared" si="87"/>
        <v>0</v>
      </c>
      <c r="AQ286">
        <f t="shared" si="88"/>
        <v>0</v>
      </c>
      <c r="AR286">
        <f t="shared" si="89"/>
        <v>0</v>
      </c>
      <c r="AS286">
        <f t="shared" si="90"/>
        <v>0</v>
      </c>
    </row>
    <row r="287" spans="1:45" x14ac:dyDescent="0.25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  <c r="AA287" s="271"/>
      <c r="AB287" s="271" t="str">
        <f>IF('Sales Dashboard'!AW286="","",'Sales Dashboard'!AW286)</f>
        <v/>
      </c>
      <c r="AC287" s="271" t="str">
        <f>IF(AB287="","",'Sales Dashboard'!AN286)</f>
        <v/>
      </c>
      <c r="AD287" s="271" t="str">
        <f>IF(AB287="","",'Sales Dashboard'!AO286)</f>
        <v/>
      </c>
      <c r="AE287" s="281" cm="1">
        <f t="array" ref="AE287">IF(OR(AB287="",NOT(ISNUMBER('Sales Dashboard'!BF286))),0,SUMPRODUCT((IFERROR(--'Sales and count'!$G$2:$CC$2,0)=$C$4)*('Sales and count'!$G$3:$CC$3="Total"),INDEX('Sales and count'!$G$4:$CC$300,'Sales Dashboard'!BF286,0)))</f>
        <v>0</v>
      </c>
      <c r="AF287" s="281" cm="1">
        <f t="array" ref="AF287">IF(OR(AB287="",NOT(ISNUMBER('Sales Dashboard'!BG286))),0,SUMPRODUCT(('TY Sales Target'!$K$2:$AO$2=$C$4)*1,INDEX('TY Sales Target'!$K$5:$AO$300,'Sales Dashboard'!BG286,0)))</f>
        <v>0</v>
      </c>
      <c r="AG287" s="281" cm="1">
        <f t="array" ref="AG287">IF(AB287="",0,SUMPRODUCT((TRIM('LY Sales '!$B$5:$B$200)=AB287)*('LY Sales '!$C$2:$AG$2=EDATE($C$4,-12)),'LY Sales '!$C$5:$AG$200))</f>
        <v>0</v>
      </c>
      <c r="AH287" s="271">
        <f t="shared" si="82"/>
        <v>0</v>
      </c>
      <c r="AI287" s="271">
        <f t="shared" si="83"/>
        <v>0</v>
      </c>
      <c r="AJ287" s="271">
        <f t="shared" si="84"/>
        <v>0</v>
      </c>
      <c r="AK287" s="271">
        <f t="shared" si="85"/>
        <v>0</v>
      </c>
      <c r="AL287" s="271">
        <f t="shared" si="86"/>
        <v>0</v>
      </c>
      <c r="AM287" s="306" cm="1">
        <f t="array" ref="AM287">IF(OR(AB287="",NOT(ISNUMBER('Sales Dashboard'!BF286))),0,SUMPRODUCT((IFERROR(--'Sales and count'!$G$2:$CC$2,0)=$F$4)*('Sales and count'!$G$3:$CC$3="Total"),INDEX('Sales and count'!$G$4:$CC$300,'Sales Dashboard'!BF286,0)))</f>
        <v>0</v>
      </c>
      <c r="AN287" s="306" cm="1">
        <f t="array" ref="AN287">IF(OR(AB287="",NOT(ISNUMBER('Sales Dashboard'!BG286))),0,SUMPRODUCT(('TY Sales Target'!$K$2:$AO$2=$F$4)*1,INDEX('TY Sales Target'!$K$5:$AO$300,'Sales Dashboard'!BG286,0)))</f>
        <v>0</v>
      </c>
      <c r="AO287" s="306" cm="1">
        <f t="array" ref="AO287">IF(AB287="",0,SUMPRODUCT((TRIM('LY Sales '!$B$5:$B$200)=AB287)*('LY Sales '!$C$2:$AG$2=EDATE($F$4,-12)),'LY Sales '!$C$5:$AG$200))</f>
        <v>0</v>
      </c>
      <c r="AP287">
        <f t="shared" si="87"/>
        <v>0</v>
      </c>
      <c r="AQ287">
        <f t="shared" si="88"/>
        <v>0</v>
      </c>
      <c r="AR287">
        <f t="shared" si="89"/>
        <v>0</v>
      </c>
      <c r="AS287">
        <f t="shared" si="90"/>
        <v>0</v>
      </c>
    </row>
    <row r="288" spans="1:45" x14ac:dyDescent="0.25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  <c r="AB288" s="271" t="str">
        <f>IF('Sales Dashboard'!AW287="","",'Sales Dashboard'!AW287)</f>
        <v/>
      </c>
      <c r="AC288" s="271" t="str">
        <f>IF(AB288="","",'Sales Dashboard'!AN287)</f>
        <v/>
      </c>
      <c r="AD288" s="271" t="str">
        <f>IF(AB288="","",'Sales Dashboard'!AO287)</f>
        <v/>
      </c>
      <c r="AE288" s="281" cm="1">
        <f t="array" ref="AE288">IF(OR(AB288="",NOT(ISNUMBER('Sales Dashboard'!BF287))),0,SUMPRODUCT((IFERROR(--'Sales and count'!$G$2:$CC$2,0)=$C$4)*('Sales and count'!$G$3:$CC$3="Total"),INDEX('Sales and count'!$G$4:$CC$300,'Sales Dashboard'!BF287,0)))</f>
        <v>0</v>
      </c>
      <c r="AF288" s="281" cm="1">
        <f t="array" ref="AF288">IF(OR(AB288="",NOT(ISNUMBER('Sales Dashboard'!BG287))),0,SUMPRODUCT(('TY Sales Target'!$K$2:$AO$2=$C$4)*1,INDEX('TY Sales Target'!$K$5:$AO$300,'Sales Dashboard'!BG287,0)))</f>
        <v>0</v>
      </c>
      <c r="AG288" s="281" cm="1">
        <f t="array" ref="AG288">IF(AB288="",0,SUMPRODUCT((TRIM('LY Sales '!$B$5:$B$200)=AB288)*('LY Sales '!$C$2:$AG$2=EDATE($C$4,-12)),'LY Sales '!$C$5:$AG$200))</f>
        <v>0</v>
      </c>
      <c r="AH288" s="271">
        <f t="shared" si="82"/>
        <v>0</v>
      </c>
      <c r="AI288" s="271">
        <f t="shared" si="83"/>
        <v>0</v>
      </c>
      <c r="AJ288" s="271">
        <f t="shared" si="84"/>
        <v>0</v>
      </c>
      <c r="AK288" s="271">
        <f t="shared" si="85"/>
        <v>0</v>
      </c>
      <c r="AL288" s="271">
        <f t="shared" si="86"/>
        <v>0</v>
      </c>
      <c r="AM288" s="306" cm="1">
        <f t="array" ref="AM288">IF(OR(AB288="",NOT(ISNUMBER('Sales Dashboard'!BF287))),0,SUMPRODUCT((IFERROR(--'Sales and count'!$G$2:$CC$2,0)=$F$4)*('Sales and count'!$G$3:$CC$3="Total"),INDEX('Sales and count'!$G$4:$CC$300,'Sales Dashboard'!BF287,0)))</f>
        <v>0</v>
      </c>
      <c r="AN288" s="306" cm="1">
        <f t="array" ref="AN288">IF(OR(AB288="",NOT(ISNUMBER('Sales Dashboard'!BG287))),0,SUMPRODUCT(('TY Sales Target'!$K$2:$AO$2=$F$4)*1,INDEX('TY Sales Target'!$K$5:$AO$300,'Sales Dashboard'!BG287,0)))</f>
        <v>0</v>
      </c>
      <c r="AO288" s="306" cm="1">
        <f t="array" ref="AO288">IF(AB288="",0,SUMPRODUCT((TRIM('LY Sales '!$B$5:$B$200)=AB288)*('LY Sales '!$C$2:$AG$2=EDATE($F$4,-12)),'LY Sales '!$C$5:$AG$200))</f>
        <v>0</v>
      </c>
      <c r="AP288">
        <f t="shared" si="87"/>
        <v>0</v>
      </c>
      <c r="AQ288">
        <f t="shared" si="88"/>
        <v>0</v>
      </c>
      <c r="AR288">
        <f t="shared" si="89"/>
        <v>0</v>
      </c>
      <c r="AS288">
        <f t="shared" si="90"/>
        <v>0</v>
      </c>
    </row>
    <row r="289" spans="1:45" x14ac:dyDescent="0.25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  <c r="AA289" s="271"/>
      <c r="AB289" s="271" t="str">
        <f>IF('Sales Dashboard'!AW288="","",'Sales Dashboard'!AW288)</f>
        <v/>
      </c>
      <c r="AC289" s="271" t="str">
        <f>IF(AB289="","",'Sales Dashboard'!AN288)</f>
        <v/>
      </c>
      <c r="AD289" s="271" t="str">
        <f>IF(AB289="","",'Sales Dashboard'!AO288)</f>
        <v/>
      </c>
      <c r="AE289" s="281" cm="1">
        <f t="array" ref="AE289">IF(OR(AB289="",NOT(ISNUMBER('Sales Dashboard'!BF288))),0,SUMPRODUCT((IFERROR(--'Sales and count'!$G$2:$CC$2,0)=$C$4)*('Sales and count'!$G$3:$CC$3="Total"),INDEX('Sales and count'!$G$4:$CC$300,'Sales Dashboard'!BF288,0)))</f>
        <v>0</v>
      </c>
      <c r="AF289" s="281" cm="1">
        <f t="array" ref="AF289">IF(OR(AB289="",NOT(ISNUMBER('Sales Dashboard'!BG288))),0,SUMPRODUCT(('TY Sales Target'!$K$2:$AO$2=$C$4)*1,INDEX('TY Sales Target'!$K$5:$AO$300,'Sales Dashboard'!BG288,0)))</f>
        <v>0</v>
      </c>
      <c r="AG289" s="281" cm="1">
        <f t="array" ref="AG289">IF(AB289="",0,SUMPRODUCT((TRIM('LY Sales '!$B$5:$B$200)=AB289)*('LY Sales '!$C$2:$AG$2=EDATE($C$4,-12)),'LY Sales '!$C$5:$AG$200))</f>
        <v>0</v>
      </c>
      <c r="AH289" s="271">
        <f t="shared" si="82"/>
        <v>0</v>
      </c>
      <c r="AI289" s="271">
        <f t="shared" si="83"/>
        <v>0</v>
      </c>
      <c r="AJ289" s="271">
        <f t="shared" si="84"/>
        <v>0</v>
      </c>
      <c r="AK289" s="271">
        <f t="shared" si="85"/>
        <v>0</v>
      </c>
      <c r="AL289" s="271">
        <f t="shared" si="86"/>
        <v>0</v>
      </c>
      <c r="AM289" s="306" cm="1">
        <f t="array" ref="AM289">IF(OR(AB289="",NOT(ISNUMBER('Sales Dashboard'!BF288))),0,SUMPRODUCT((IFERROR(--'Sales and count'!$G$2:$CC$2,0)=$F$4)*('Sales and count'!$G$3:$CC$3="Total"),INDEX('Sales and count'!$G$4:$CC$300,'Sales Dashboard'!BF288,0)))</f>
        <v>0</v>
      </c>
      <c r="AN289" s="306" cm="1">
        <f t="array" ref="AN289">IF(OR(AB289="",NOT(ISNUMBER('Sales Dashboard'!BG288))),0,SUMPRODUCT(('TY Sales Target'!$K$2:$AO$2=$F$4)*1,INDEX('TY Sales Target'!$K$5:$AO$300,'Sales Dashboard'!BG288,0)))</f>
        <v>0</v>
      </c>
      <c r="AO289" s="306" cm="1">
        <f t="array" ref="AO289">IF(AB289="",0,SUMPRODUCT((TRIM('LY Sales '!$B$5:$B$200)=AB289)*('LY Sales '!$C$2:$AG$2=EDATE($F$4,-12)),'LY Sales '!$C$5:$AG$200))</f>
        <v>0</v>
      </c>
      <c r="AP289">
        <f t="shared" si="87"/>
        <v>0</v>
      </c>
      <c r="AQ289">
        <f t="shared" si="88"/>
        <v>0</v>
      </c>
      <c r="AR289">
        <f t="shared" si="89"/>
        <v>0</v>
      </c>
      <c r="AS289">
        <f t="shared" si="90"/>
        <v>0</v>
      </c>
    </row>
    <row r="290" spans="1:45" x14ac:dyDescent="0.25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  <c r="AA290" s="271"/>
      <c r="AB290" s="271" t="str">
        <f>IF('Sales Dashboard'!AW289="","",'Sales Dashboard'!AW289)</f>
        <v/>
      </c>
      <c r="AC290" s="271" t="str">
        <f>IF(AB290="","",'Sales Dashboard'!AN289)</f>
        <v/>
      </c>
      <c r="AD290" s="271" t="str">
        <f>IF(AB290="","",'Sales Dashboard'!AO289)</f>
        <v/>
      </c>
      <c r="AE290" s="281" cm="1">
        <f t="array" ref="AE290">IF(OR(AB290="",NOT(ISNUMBER('Sales Dashboard'!BF289))),0,SUMPRODUCT((IFERROR(--'Sales and count'!$G$2:$CC$2,0)=$C$4)*('Sales and count'!$G$3:$CC$3="Total"),INDEX('Sales and count'!$G$4:$CC$300,'Sales Dashboard'!BF289,0)))</f>
        <v>0</v>
      </c>
      <c r="AF290" s="281" cm="1">
        <f t="array" ref="AF290">IF(OR(AB290="",NOT(ISNUMBER('Sales Dashboard'!BG289))),0,SUMPRODUCT(('TY Sales Target'!$K$2:$AO$2=$C$4)*1,INDEX('TY Sales Target'!$K$5:$AO$300,'Sales Dashboard'!BG289,0)))</f>
        <v>0</v>
      </c>
      <c r="AG290" s="281" cm="1">
        <f t="array" ref="AG290">IF(AB290="",0,SUMPRODUCT((TRIM('LY Sales '!$B$5:$B$200)=AB290)*('LY Sales '!$C$2:$AG$2=EDATE($C$4,-12)),'LY Sales '!$C$5:$AG$200))</f>
        <v>0</v>
      </c>
      <c r="AH290" s="271">
        <f t="shared" si="82"/>
        <v>0</v>
      </c>
      <c r="AI290" s="271">
        <f t="shared" si="83"/>
        <v>0</v>
      </c>
      <c r="AJ290" s="271">
        <f t="shared" si="84"/>
        <v>0</v>
      </c>
      <c r="AK290" s="271">
        <f t="shared" si="85"/>
        <v>0</v>
      </c>
      <c r="AL290" s="271">
        <f t="shared" si="86"/>
        <v>0</v>
      </c>
      <c r="AM290" s="306" cm="1">
        <f t="array" ref="AM290">IF(OR(AB290="",NOT(ISNUMBER('Sales Dashboard'!BF289))),0,SUMPRODUCT((IFERROR(--'Sales and count'!$G$2:$CC$2,0)=$F$4)*('Sales and count'!$G$3:$CC$3="Total"),INDEX('Sales and count'!$G$4:$CC$300,'Sales Dashboard'!BF289,0)))</f>
        <v>0</v>
      </c>
      <c r="AN290" s="306" cm="1">
        <f t="array" ref="AN290">IF(OR(AB290="",NOT(ISNUMBER('Sales Dashboard'!BG289))),0,SUMPRODUCT(('TY Sales Target'!$K$2:$AO$2=$F$4)*1,INDEX('TY Sales Target'!$K$5:$AO$300,'Sales Dashboard'!BG289,0)))</f>
        <v>0</v>
      </c>
      <c r="AO290" s="306" cm="1">
        <f t="array" ref="AO290">IF(AB290="",0,SUMPRODUCT((TRIM('LY Sales '!$B$5:$B$200)=AB290)*('LY Sales '!$C$2:$AG$2=EDATE($F$4,-12)),'LY Sales '!$C$5:$AG$200))</f>
        <v>0</v>
      </c>
      <c r="AP290">
        <f t="shared" si="87"/>
        <v>0</v>
      </c>
      <c r="AQ290">
        <f t="shared" si="88"/>
        <v>0</v>
      </c>
      <c r="AR290">
        <f t="shared" si="89"/>
        <v>0</v>
      </c>
      <c r="AS290">
        <f t="shared" si="90"/>
        <v>0</v>
      </c>
    </row>
    <row r="291" spans="1:45" x14ac:dyDescent="0.25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  <c r="AB291" s="271" t="str">
        <f>IF('Sales Dashboard'!AW290="","",'Sales Dashboard'!AW290)</f>
        <v/>
      </c>
      <c r="AC291" s="271" t="str">
        <f>IF(AB291="","",'Sales Dashboard'!AN290)</f>
        <v/>
      </c>
      <c r="AD291" s="271" t="str">
        <f>IF(AB291="","",'Sales Dashboard'!AO290)</f>
        <v/>
      </c>
      <c r="AE291" s="281" cm="1">
        <f t="array" ref="AE291">IF(OR(AB291="",NOT(ISNUMBER('Sales Dashboard'!BF290))),0,SUMPRODUCT((IFERROR(--'Sales and count'!$G$2:$CC$2,0)=$C$4)*('Sales and count'!$G$3:$CC$3="Total"),INDEX('Sales and count'!$G$4:$CC$300,'Sales Dashboard'!BF290,0)))</f>
        <v>0</v>
      </c>
      <c r="AF291" s="281" cm="1">
        <f t="array" ref="AF291">IF(OR(AB291="",NOT(ISNUMBER('Sales Dashboard'!BG290))),0,SUMPRODUCT(('TY Sales Target'!$K$2:$AO$2=$C$4)*1,INDEX('TY Sales Target'!$K$5:$AO$300,'Sales Dashboard'!BG290,0)))</f>
        <v>0</v>
      </c>
      <c r="AG291" s="281" cm="1">
        <f t="array" ref="AG291">IF(AB291="",0,SUMPRODUCT((TRIM('LY Sales '!$B$5:$B$200)=AB291)*('LY Sales '!$C$2:$AG$2=EDATE($C$4,-12)),'LY Sales '!$C$5:$AG$200))</f>
        <v>0</v>
      </c>
      <c r="AH291" s="271">
        <f t="shared" si="82"/>
        <v>0</v>
      </c>
      <c r="AI291" s="271">
        <f t="shared" si="83"/>
        <v>0</v>
      </c>
      <c r="AJ291" s="271">
        <f t="shared" si="84"/>
        <v>0</v>
      </c>
      <c r="AK291" s="271">
        <f t="shared" si="85"/>
        <v>0</v>
      </c>
      <c r="AL291" s="271">
        <f t="shared" si="86"/>
        <v>0</v>
      </c>
      <c r="AM291" s="306" cm="1">
        <f t="array" ref="AM291">IF(OR(AB291="",NOT(ISNUMBER('Sales Dashboard'!BF290))),0,SUMPRODUCT((IFERROR(--'Sales and count'!$G$2:$CC$2,0)=$F$4)*('Sales and count'!$G$3:$CC$3="Total"),INDEX('Sales and count'!$G$4:$CC$300,'Sales Dashboard'!BF290,0)))</f>
        <v>0</v>
      </c>
      <c r="AN291" s="306" cm="1">
        <f t="array" ref="AN291">IF(OR(AB291="",NOT(ISNUMBER('Sales Dashboard'!BG290))),0,SUMPRODUCT(('TY Sales Target'!$K$2:$AO$2=$F$4)*1,INDEX('TY Sales Target'!$K$5:$AO$300,'Sales Dashboard'!BG290,0)))</f>
        <v>0</v>
      </c>
      <c r="AO291" s="306" cm="1">
        <f t="array" ref="AO291">IF(AB291="",0,SUMPRODUCT((TRIM('LY Sales '!$B$5:$B$200)=AB291)*('LY Sales '!$C$2:$AG$2=EDATE($F$4,-12)),'LY Sales '!$C$5:$AG$200))</f>
        <v>0</v>
      </c>
      <c r="AP291">
        <f t="shared" si="87"/>
        <v>0</v>
      </c>
      <c r="AQ291">
        <f t="shared" si="88"/>
        <v>0</v>
      </c>
      <c r="AR291">
        <f t="shared" si="89"/>
        <v>0</v>
      </c>
      <c r="AS291">
        <f t="shared" si="90"/>
        <v>0</v>
      </c>
    </row>
    <row r="292" spans="1:45" x14ac:dyDescent="0.25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  <c r="AA292" s="271"/>
      <c r="AB292" s="271" t="str">
        <f>IF('Sales Dashboard'!AW291="","",'Sales Dashboard'!AW291)</f>
        <v/>
      </c>
      <c r="AC292" s="271" t="str">
        <f>IF(AB292="","",'Sales Dashboard'!AN291)</f>
        <v/>
      </c>
      <c r="AD292" s="271" t="str">
        <f>IF(AB292="","",'Sales Dashboard'!AO291)</f>
        <v/>
      </c>
      <c r="AE292" s="281" cm="1">
        <f t="array" ref="AE292">IF(OR(AB292="",NOT(ISNUMBER('Sales Dashboard'!BF291))),0,SUMPRODUCT((IFERROR(--'Sales and count'!$G$2:$CC$2,0)=$C$4)*('Sales and count'!$G$3:$CC$3="Total"),INDEX('Sales and count'!$G$4:$CC$300,'Sales Dashboard'!BF291,0)))</f>
        <v>0</v>
      </c>
      <c r="AF292" s="281" cm="1">
        <f t="array" ref="AF292">IF(OR(AB292="",NOT(ISNUMBER('Sales Dashboard'!BG291))),0,SUMPRODUCT(('TY Sales Target'!$K$2:$AO$2=$C$4)*1,INDEX('TY Sales Target'!$K$5:$AO$300,'Sales Dashboard'!BG291,0)))</f>
        <v>0</v>
      </c>
      <c r="AG292" s="281" cm="1">
        <f t="array" ref="AG292">IF(AB292="",0,SUMPRODUCT((TRIM('LY Sales '!$B$5:$B$200)=AB292)*('LY Sales '!$C$2:$AG$2=EDATE($C$4,-12)),'LY Sales '!$C$5:$AG$200))</f>
        <v>0</v>
      </c>
      <c r="AH292" s="271">
        <f t="shared" si="82"/>
        <v>0</v>
      </c>
      <c r="AI292" s="271">
        <f t="shared" si="83"/>
        <v>0</v>
      </c>
      <c r="AJ292" s="271">
        <f t="shared" si="84"/>
        <v>0</v>
      </c>
      <c r="AK292" s="271">
        <f t="shared" si="85"/>
        <v>0</v>
      </c>
      <c r="AL292" s="271">
        <f t="shared" si="86"/>
        <v>0</v>
      </c>
      <c r="AM292" s="306" cm="1">
        <f t="array" ref="AM292">IF(OR(AB292="",NOT(ISNUMBER('Sales Dashboard'!BF291))),0,SUMPRODUCT((IFERROR(--'Sales and count'!$G$2:$CC$2,0)=$F$4)*('Sales and count'!$G$3:$CC$3="Total"),INDEX('Sales and count'!$G$4:$CC$300,'Sales Dashboard'!BF291,0)))</f>
        <v>0</v>
      </c>
      <c r="AN292" s="306" cm="1">
        <f t="array" ref="AN292">IF(OR(AB292="",NOT(ISNUMBER('Sales Dashboard'!BG291))),0,SUMPRODUCT(('TY Sales Target'!$K$2:$AO$2=$F$4)*1,INDEX('TY Sales Target'!$K$5:$AO$300,'Sales Dashboard'!BG291,0)))</f>
        <v>0</v>
      </c>
      <c r="AO292" s="306" cm="1">
        <f t="array" ref="AO292">IF(AB292="",0,SUMPRODUCT((TRIM('LY Sales '!$B$5:$B$200)=AB292)*('LY Sales '!$C$2:$AG$2=EDATE($F$4,-12)),'LY Sales '!$C$5:$AG$200))</f>
        <v>0</v>
      </c>
      <c r="AP292">
        <f t="shared" si="87"/>
        <v>0</v>
      </c>
      <c r="AQ292">
        <f t="shared" si="88"/>
        <v>0</v>
      </c>
      <c r="AR292">
        <f t="shared" si="89"/>
        <v>0</v>
      </c>
      <c r="AS292">
        <f t="shared" si="90"/>
        <v>0</v>
      </c>
    </row>
    <row r="293" spans="1:45" x14ac:dyDescent="0.25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  <c r="AA293" s="271"/>
      <c r="AB293" s="271" t="str">
        <f>IF('Sales Dashboard'!AW292="","",'Sales Dashboard'!AW292)</f>
        <v/>
      </c>
      <c r="AC293" s="271" t="str">
        <f>IF(AB293="","",'Sales Dashboard'!AN292)</f>
        <v/>
      </c>
      <c r="AD293" s="271" t="str">
        <f>IF(AB293="","",'Sales Dashboard'!AO292)</f>
        <v/>
      </c>
      <c r="AE293" s="281" cm="1">
        <f t="array" ref="AE293">IF(OR(AB293="",NOT(ISNUMBER('Sales Dashboard'!BF292))),0,SUMPRODUCT((IFERROR(--'Sales and count'!$G$2:$CC$2,0)=$C$4)*('Sales and count'!$G$3:$CC$3="Total"),INDEX('Sales and count'!$G$4:$CC$300,'Sales Dashboard'!BF292,0)))</f>
        <v>0</v>
      </c>
      <c r="AF293" s="281" cm="1">
        <f t="array" ref="AF293">IF(OR(AB293="",NOT(ISNUMBER('Sales Dashboard'!BG292))),0,SUMPRODUCT(('TY Sales Target'!$K$2:$AO$2=$C$4)*1,INDEX('TY Sales Target'!$K$5:$AO$300,'Sales Dashboard'!BG292,0)))</f>
        <v>0</v>
      </c>
      <c r="AG293" s="281" cm="1">
        <f t="array" ref="AG293">IF(AB293="",0,SUMPRODUCT((TRIM('LY Sales '!$B$5:$B$200)=AB293)*('LY Sales '!$C$2:$AG$2=EDATE($C$4,-12)),'LY Sales '!$C$5:$AG$200))</f>
        <v>0</v>
      </c>
      <c r="AH293" s="271">
        <f t="shared" si="82"/>
        <v>0</v>
      </c>
      <c r="AI293" s="271">
        <f t="shared" si="83"/>
        <v>0</v>
      </c>
      <c r="AJ293" s="271">
        <f t="shared" si="84"/>
        <v>0</v>
      </c>
      <c r="AK293" s="271">
        <f t="shared" si="85"/>
        <v>0</v>
      </c>
      <c r="AL293" s="271">
        <f t="shared" si="86"/>
        <v>0</v>
      </c>
      <c r="AM293" s="306" cm="1">
        <f t="array" ref="AM293">IF(OR(AB293="",NOT(ISNUMBER('Sales Dashboard'!BF292))),0,SUMPRODUCT((IFERROR(--'Sales and count'!$G$2:$CC$2,0)=$F$4)*('Sales and count'!$G$3:$CC$3="Total"),INDEX('Sales and count'!$G$4:$CC$300,'Sales Dashboard'!BF292,0)))</f>
        <v>0</v>
      </c>
      <c r="AN293" s="306" cm="1">
        <f t="array" ref="AN293">IF(OR(AB293="",NOT(ISNUMBER('Sales Dashboard'!BG292))),0,SUMPRODUCT(('TY Sales Target'!$K$2:$AO$2=$F$4)*1,INDEX('TY Sales Target'!$K$5:$AO$300,'Sales Dashboard'!BG292,0)))</f>
        <v>0</v>
      </c>
      <c r="AO293" s="306" cm="1">
        <f t="array" ref="AO293">IF(AB293="",0,SUMPRODUCT((TRIM('LY Sales '!$B$5:$B$200)=AB293)*('LY Sales '!$C$2:$AG$2=EDATE($F$4,-12)),'LY Sales '!$C$5:$AG$200))</f>
        <v>0</v>
      </c>
      <c r="AP293">
        <f t="shared" si="87"/>
        <v>0</v>
      </c>
      <c r="AQ293">
        <f t="shared" si="88"/>
        <v>0</v>
      </c>
      <c r="AR293">
        <f t="shared" si="89"/>
        <v>0</v>
      </c>
      <c r="AS293">
        <f t="shared" si="90"/>
        <v>0</v>
      </c>
    </row>
    <row r="294" spans="1:45" x14ac:dyDescent="0.25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  <c r="AA294" s="271"/>
      <c r="AB294" s="271" t="str">
        <f>IF('Sales Dashboard'!AW293="","",'Sales Dashboard'!AW293)</f>
        <v/>
      </c>
      <c r="AC294" s="271" t="str">
        <f>IF(AB294="","",'Sales Dashboard'!AN293)</f>
        <v/>
      </c>
      <c r="AD294" s="271" t="str">
        <f>IF(AB294="","",'Sales Dashboard'!AO293)</f>
        <v/>
      </c>
      <c r="AE294" s="281" cm="1">
        <f t="array" ref="AE294">IF(OR(AB294="",NOT(ISNUMBER('Sales Dashboard'!BF293))),0,SUMPRODUCT((IFERROR(--'Sales and count'!$G$2:$CC$2,0)=$C$4)*('Sales and count'!$G$3:$CC$3="Total"),INDEX('Sales and count'!$G$4:$CC$300,'Sales Dashboard'!BF293,0)))</f>
        <v>0</v>
      </c>
      <c r="AF294" s="281" cm="1">
        <f t="array" ref="AF294">IF(OR(AB294="",NOT(ISNUMBER('Sales Dashboard'!BG293))),0,SUMPRODUCT(('TY Sales Target'!$K$2:$AO$2=$C$4)*1,INDEX('TY Sales Target'!$K$5:$AO$300,'Sales Dashboard'!BG293,0)))</f>
        <v>0</v>
      </c>
      <c r="AG294" s="281" cm="1">
        <f t="array" ref="AG294">IF(AB294="",0,SUMPRODUCT((TRIM('LY Sales '!$B$5:$B$200)=AB294)*('LY Sales '!$C$2:$AG$2=EDATE($C$4,-12)),'LY Sales '!$C$5:$AG$200))</f>
        <v>0</v>
      </c>
      <c r="AH294" s="271">
        <f t="shared" si="82"/>
        <v>0</v>
      </c>
      <c r="AI294" s="271">
        <f t="shared" si="83"/>
        <v>0</v>
      </c>
      <c r="AJ294" s="271">
        <f t="shared" si="84"/>
        <v>0</v>
      </c>
      <c r="AK294" s="271">
        <f t="shared" si="85"/>
        <v>0</v>
      </c>
      <c r="AL294" s="271">
        <f t="shared" si="86"/>
        <v>0</v>
      </c>
      <c r="AM294" s="306" cm="1">
        <f t="array" ref="AM294">IF(OR(AB294="",NOT(ISNUMBER('Sales Dashboard'!BF293))),0,SUMPRODUCT((IFERROR(--'Sales and count'!$G$2:$CC$2,0)=$F$4)*('Sales and count'!$G$3:$CC$3="Total"),INDEX('Sales and count'!$G$4:$CC$300,'Sales Dashboard'!BF293,0)))</f>
        <v>0</v>
      </c>
      <c r="AN294" s="306" cm="1">
        <f t="array" ref="AN294">IF(OR(AB294="",NOT(ISNUMBER('Sales Dashboard'!BG293))),0,SUMPRODUCT(('TY Sales Target'!$K$2:$AO$2=$F$4)*1,INDEX('TY Sales Target'!$K$5:$AO$300,'Sales Dashboard'!BG293,0)))</f>
        <v>0</v>
      </c>
      <c r="AO294" s="306" cm="1">
        <f t="array" ref="AO294">IF(AB294="",0,SUMPRODUCT((TRIM('LY Sales '!$B$5:$B$200)=AB294)*('LY Sales '!$C$2:$AG$2=EDATE($F$4,-12)),'LY Sales '!$C$5:$AG$200))</f>
        <v>0</v>
      </c>
      <c r="AP294">
        <f t="shared" si="87"/>
        <v>0</v>
      </c>
      <c r="AQ294">
        <f t="shared" si="88"/>
        <v>0</v>
      </c>
      <c r="AR294">
        <f t="shared" si="89"/>
        <v>0</v>
      </c>
      <c r="AS294">
        <f t="shared" si="90"/>
        <v>0</v>
      </c>
    </row>
    <row r="295" spans="1:45" x14ac:dyDescent="0.25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  <c r="AA295" s="271"/>
      <c r="AB295" s="271" t="str">
        <f>IF('Sales Dashboard'!AW294="","",'Sales Dashboard'!AW294)</f>
        <v/>
      </c>
      <c r="AC295" s="271" t="str">
        <f>IF(AB295="","",'Sales Dashboard'!AN294)</f>
        <v/>
      </c>
      <c r="AD295" s="271" t="str">
        <f>IF(AB295="","",'Sales Dashboard'!AO294)</f>
        <v/>
      </c>
      <c r="AE295" s="281" cm="1">
        <f t="array" ref="AE295">IF(OR(AB295="",NOT(ISNUMBER('Sales Dashboard'!BF294))),0,SUMPRODUCT((IFERROR(--'Sales and count'!$G$2:$CC$2,0)=$C$4)*('Sales and count'!$G$3:$CC$3="Total"),INDEX('Sales and count'!$G$4:$CC$300,'Sales Dashboard'!BF294,0)))</f>
        <v>0</v>
      </c>
      <c r="AF295" s="281" cm="1">
        <f t="array" ref="AF295">IF(OR(AB295="",NOT(ISNUMBER('Sales Dashboard'!BG294))),0,SUMPRODUCT(('TY Sales Target'!$K$2:$AO$2=$C$4)*1,INDEX('TY Sales Target'!$K$5:$AO$300,'Sales Dashboard'!BG294,0)))</f>
        <v>0</v>
      </c>
      <c r="AG295" s="281" cm="1">
        <f t="array" ref="AG295">IF(AB295="",0,SUMPRODUCT((TRIM('LY Sales '!$B$5:$B$200)=AB295)*('LY Sales '!$C$2:$AG$2=EDATE($C$4,-12)),'LY Sales '!$C$5:$AG$200))</f>
        <v>0</v>
      </c>
      <c r="AH295" s="271">
        <f t="shared" si="82"/>
        <v>0</v>
      </c>
      <c r="AI295" s="271">
        <f t="shared" si="83"/>
        <v>0</v>
      </c>
      <c r="AJ295" s="271">
        <f t="shared" si="84"/>
        <v>0</v>
      </c>
      <c r="AK295" s="271">
        <f t="shared" si="85"/>
        <v>0</v>
      </c>
      <c r="AL295" s="271">
        <f t="shared" si="86"/>
        <v>0</v>
      </c>
      <c r="AM295" s="306" cm="1">
        <f t="array" ref="AM295">IF(OR(AB295="",NOT(ISNUMBER('Sales Dashboard'!BF294))),0,SUMPRODUCT((IFERROR(--'Sales and count'!$G$2:$CC$2,0)=$F$4)*('Sales and count'!$G$3:$CC$3="Total"),INDEX('Sales and count'!$G$4:$CC$300,'Sales Dashboard'!BF294,0)))</f>
        <v>0</v>
      </c>
      <c r="AN295" s="306" cm="1">
        <f t="array" ref="AN295">IF(OR(AB295="",NOT(ISNUMBER('Sales Dashboard'!BG294))),0,SUMPRODUCT(('TY Sales Target'!$K$2:$AO$2=$F$4)*1,INDEX('TY Sales Target'!$K$5:$AO$300,'Sales Dashboard'!BG294,0)))</f>
        <v>0</v>
      </c>
      <c r="AO295" s="306" cm="1">
        <f t="array" ref="AO295">IF(AB295="",0,SUMPRODUCT((TRIM('LY Sales '!$B$5:$B$200)=AB295)*('LY Sales '!$C$2:$AG$2=EDATE($F$4,-12)),'LY Sales '!$C$5:$AG$200))</f>
        <v>0</v>
      </c>
      <c r="AP295">
        <f t="shared" si="87"/>
        <v>0</v>
      </c>
      <c r="AQ295">
        <f t="shared" si="88"/>
        <v>0</v>
      </c>
      <c r="AR295">
        <f t="shared" si="89"/>
        <v>0</v>
      </c>
      <c r="AS295">
        <f t="shared" si="90"/>
        <v>0</v>
      </c>
    </row>
    <row r="296" spans="1:45" x14ac:dyDescent="0.25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  <c r="AA296" s="271"/>
      <c r="AB296" s="271" t="str">
        <f>IF('Sales Dashboard'!AW295="","",'Sales Dashboard'!AW295)</f>
        <v/>
      </c>
      <c r="AC296" s="271" t="str">
        <f>IF(AB296="","",'Sales Dashboard'!AN295)</f>
        <v/>
      </c>
      <c r="AD296" s="271" t="str">
        <f>IF(AB296="","",'Sales Dashboard'!AO295)</f>
        <v/>
      </c>
      <c r="AE296" s="281" cm="1">
        <f t="array" ref="AE296">IF(OR(AB296="",NOT(ISNUMBER('Sales Dashboard'!BF295))),0,SUMPRODUCT((IFERROR(--'Sales and count'!$G$2:$CC$2,0)=$C$4)*('Sales and count'!$G$3:$CC$3="Total"),INDEX('Sales and count'!$G$4:$CC$300,'Sales Dashboard'!BF295,0)))</f>
        <v>0</v>
      </c>
      <c r="AF296" s="281" cm="1">
        <f t="array" ref="AF296">IF(OR(AB296="",NOT(ISNUMBER('Sales Dashboard'!BG295))),0,SUMPRODUCT(('TY Sales Target'!$K$2:$AO$2=$C$4)*1,INDEX('TY Sales Target'!$K$5:$AO$300,'Sales Dashboard'!BG295,0)))</f>
        <v>0</v>
      </c>
      <c r="AG296" s="281" cm="1">
        <f t="array" ref="AG296">IF(AB296="",0,SUMPRODUCT((TRIM('LY Sales '!$B$5:$B$200)=AB296)*('LY Sales '!$C$2:$AG$2=EDATE($C$4,-12)),'LY Sales '!$C$5:$AG$200))</f>
        <v>0</v>
      </c>
      <c r="AH296" s="271">
        <f t="shared" si="82"/>
        <v>0</v>
      </c>
      <c r="AI296" s="271">
        <f t="shared" si="83"/>
        <v>0</v>
      </c>
      <c r="AJ296" s="271">
        <f t="shared" si="84"/>
        <v>0</v>
      </c>
      <c r="AK296" s="271">
        <f t="shared" si="85"/>
        <v>0</v>
      </c>
      <c r="AL296" s="271">
        <f t="shared" si="86"/>
        <v>0</v>
      </c>
      <c r="AM296" s="306" cm="1">
        <f t="array" ref="AM296">IF(OR(AB296="",NOT(ISNUMBER('Sales Dashboard'!BF295))),0,SUMPRODUCT((IFERROR(--'Sales and count'!$G$2:$CC$2,0)=$F$4)*('Sales and count'!$G$3:$CC$3="Total"),INDEX('Sales and count'!$G$4:$CC$300,'Sales Dashboard'!BF295,0)))</f>
        <v>0</v>
      </c>
      <c r="AN296" s="306" cm="1">
        <f t="array" ref="AN296">IF(OR(AB296="",NOT(ISNUMBER('Sales Dashboard'!BG295))),0,SUMPRODUCT(('TY Sales Target'!$K$2:$AO$2=$F$4)*1,INDEX('TY Sales Target'!$K$5:$AO$300,'Sales Dashboard'!BG295,0)))</f>
        <v>0</v>
      </c>
      <c r="AO296" s="306" cm="1">
        <f t="array" ref="AO296">IF(AB296="",0,SUMPRODUCT((TRIM('LY Sales '!$B$5:$B$200)=AB296)*('LY Sales '!$C$2:$AG$2=EDATE($F$4,-12)),'LY Sales '!$C$5:$AG$200))</f>
        <v>0</v>
      </c>
      <c r="AP296">
        <f t="shared" si="87"/>
        <v>0</v>
      </c>
      <c r="AQ296">
        <f t="shared" si="88"/>
        <v>0</v>
      </c>
      <c r="AR296">
        <f t="shared" si="89"/>
        <v>0</v>
      </c>
      <c r="AS296">
        <f t="shared" si="90"/>
        <v>0</v>
      </c>
    </row>
    <row r="297" spans="1:45" x14ac:dyDescent="0.25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  <c r="AA297" s="271"/>
      <c r="AB297" s="271" t="str">
        <f>IF('Sales Dashboard'!AW296="","",'Sales Dashboard'!AW296)</f>
        <v/>
      </c>
      <c r="AC297" s="271" t="str">
        <f>IF(AB297="","",'Sales Dashboard'!AN296)</f>
        <v/>
      </c>
      <c r="AD297" s="271" t="str">
        <f>IF(AB297="","",'Sales Dashboard'!AO296)</f>
        <v/>
      </c>
      <c r="AE297" s="281" cm="1">
        <f t="array" ref="AE297">IF(OR(AB297="",NOT(ISNUMBER('Sales Dashboard'!BF296))),0,SUMPRODUCT((IFERROR(--'Sales and count'!$G$2:$CC$2,0)=$C$4)*('Sales and count'!$G$3:$CC$3="Total"),INDEX('Sales and count'!$G$4:$CC$300,'Sales Dashboard'!BF296,0)))</f>
        <v>0</v>
      </c>
      <c r="AF297" s="281" cm="1">
        <f t="array" ref="AF297">IF(OR(AB297="",NOT(ISNUMBER('Sales Dashboard'!BG296))),0,SUMPRODUCT(('TY Sales Target'!$K$2:$AO$2=$C$4)*1,INDEX('TY Sales Target'!$K$5:$AO$300,'Sales Dashboard'!BG296,0)))</f>
        <v>0</v>
      </c>
      <c r="AG297" s="281" cm="1">
        <f t="array" ref="AG297">IF(AB297="",0,SUMPRODUCT((TRIM('LY Sales '!$B$5:$B$200)=AB297)*('LY Sales '!$C$2:$AG$2=EDATE($C$4,-12)),'LY Sales '!$C$5:$AG$200))</f>
        <v>0</v>
      </c>
      <c r="AH297" s="271">
        <f t="shared" si="82"/>
        <v>0</v>
      </c>
      <c r="AI297" s="271">
        <f t="shared" si="83"/>
        <v>0</v>
      </c>
      <c r="AJ297" s="271">
        <f t="shared" si="84"/>
        <v>0</v>
      </c>
      <c r="AK297" s="271">
        <f t="shared" si="85"/>
        <v>0</v>
      </c>
      <c r="AL297" s="271">
        <f t="shared" si="86"/>
        <v>0</v>
      </c>
      <c r="AM297" s="306" cm="1">
        <f t="array" ref="AM297">IF(OR(AB297="",NOT(ISNUMBER('Sales Dashboard'!BF296))),0,SUMPRODUCT((IFERROR(--'Sales and count'!$G$2:$CC$2,0)=$F$4)*('Sales and count'!$G$3:$CC$3="Total"),INDEX('Sales and count'!$G$4:$CC$300,'Sales Dashboard'!BF296,0)))</f>
        <v>0</v>
      </c>
      <c r="AN297" s="306" cm="1">
        <f t="array" ref="AN297">IF(OR(AB297="",NOT(ISNUMBER('Sales Dashboard'!BG296))),0,SUMPRODUCT(('TY Sales Target'!$K$2:$AO$2=$F$4)*1,INDEX('TY Sales Target'!$K$5:$AO$300,'Sales Dashboard'!BG296,0)))</f>
        <v>0</v>
      </c>
      <c r="AO297" s="306" cm="1">
        <f t="array" ref="AO297">IF(AB297="",0,SUMPRODUCT((TRIM('LY Sales '!$B$5:$B$200)=AB297)*('LY Sales '!$C$2:$AG$2=EDATE($F$4,-12)),'LY Sales '!$C$5:$AG$200))</f>
        <v>0</v>
      </c>
      <c r="AP297">
        <f t="shared" si="87"/>
        <v>0</v>
      </c>
      <c r="AQ297">
        <f t="shared" si="88"/>
        <v>0</v>
      </c>
      <c r="AR297">
        <f t="shared" si="89"/>
        <v>0</v>
      </c>
      <c r="AS297">
        <f t="shared" si="90"/>
        <v>0</v>
      </c>
    </row>
    <row r="298" spans="1:45" x14ac:dyDescent="0.25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  <c r="AA298" s="271"/>
      <c r="AB298" s="271" t="str">
        <f>IF('Sales Dashboard'!AW297="","",'Sales Dashboard'!AW297)</f>
        <v/>
      </c>
      <c r="AC298" s="271" t="str">
        <f>IF(AB298="","",'Sales Dashboard'!AN297)</f>
        <v/>
      </c>
      <c r="AD298" s="271" t="str">
        <f>IF(AB298="","",'Sales Dashboard'!AO297)</f>
        <v/>
      </c>
      <c r="AE298" s="281" cm="1">
        <f t="array" ref="AE298">IF(OR(AB298="",NOT(ISNUMBER('Sales Dashboard'!BF297))),0,SUMPRODUCT((IFERROR(--'Sales and count'!$G$2:$CC$2,0)=$C$4)*('Sales and count'!$G$3:$CC$3="Total"),INDEX('Sales and count'!$G$4:$CC$300,'Sales Dashboard'!BF297,0)))</f>
        <v>0</v>
      </c>
      <c r="AF298" s="281" cm="1">
        <f t="array" ref="AF298">IF(OR(AB298="",NOT(ISNUMBER('Sales Dashboard'!BG297))),0,SUMPRODUCT(('TY Sales Target'!$K$2:$AO$2=$C$4)*1,INDEX('TY Sales Target'!$K$5:$AO$300,'Sales Dashboard'!BG297,0)))</f>
        <v>0</v>
      </c>
      <c r="AG298" s="281" cm="1">
        <f t="array" ref="AG298">IF(AB298="",0,SUMPRODUCT((TRIM('LY Sales '!$B$5:$B$200)=AB298)*('LY Sales '!$C$2:$AG$2=EDATE($C$4,-12)),'LY Sales '!$C$5:$AG$200))</f>
        <v>0</v>
      </c>
      <c r="AH298" s="271">
        <f t="shared" si="82"/>
        <v>0</v>
      </c>
      <c r="AI298" s="271">
        <f t="shared" si="83"/>
        <v>0</v>
      </c>
      <c r="AJ298" s="271">
        <f t="shared" si="84"/>
        <v>0</v>
      </c>
      <c r="AK298" s="271">
        <f t="shared" si="85"/>
        <v>0</v>
      </c>
      <c r="AL298" s="271">
        <f t="shared" si="86"/>
        <v>0</v>
      </c>
      <c r="AM298" s="306" cm="1">
        <f t="array" ref="AM298">IF(OR(AB298="",NOT(ISNUMBER('Sales Dashboard'!BF297))),0,SUMPRODUCT((IFERROR(--'Sales and count'!$G$2:$CC$2,0)=$F$4)*('Sales and count'!$G$3:$CC$3="Total"),INDEX('Sales and count'!$G$4:$CC$300,'Sales Dashboard'!BF297,0)))</f>
        <v>0</v>
      </c>
      <c r="AN298" s="306" cm="1">
        <f t="array" ref="AN298">IF(OR(AB298="",NOT(ISNUMBER('Sales Dashboard'!BG297))),0,SUMPRODUCT(('TY Sales Target'!$K$2:$AO$2=$F$4)*1,INDEX('TY Sales Target'!$K$5:$AO$300,'Sales Dashboard'!BG297,0)))</f>
        <v>0</v>
      </c>
      <c r="AO298" s="306" cm="1">
        <f t="array" ref="AO298">IF(AB298="",0,SUMPRODUCT((TRIM('LY Sales '!$B$5:$B$200)=AB298)*('LY Sales '!$C$2:$AG$2=EDATE($F$4,-12)),'LY Sales '!$C$5:$AG$200))</f>
        <v>0</v>
      </c>
      <c r="AP298">
        <f t="shared" si="87"/>
        <v>0</v>
      </c>
      <c r="AQ298">
        <f t="shared" si="88"/>
        <v>0</v>
      </c>
      <c r="AR298">
        <f t="shared" si="89"/>
        <v>0</v>
      </c>
      <c r="AS298">
        <f t="shared" si="90"/>
        <v>0</v>
      </c>
    </row>
    <row r="299" spans="1:45" x14ac:dyDescent="0.25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  <c r="AB299" s="271" t="str">
        <f>IF('Sales Dashboard'!AW298="","",'Sales Dashboard'!AW298)</f>
        <v/>
      </c>
      <c r="AC299" s="271" t="str">
        <f>IF(AB299="","",'Sales Dashboard'!AN298)</f>
        <v/>
      </c>
      <c r="AD299" s="271" t="str">
        <f>IF(AB299="","",'Sales Dashboard'!AO298)</f>
        <v/>
      </c>
      <c r="AE299" s="281" cm="1">
        <f t="array" ref="AE299">IF(OR(AB299="",NOT(ISNUMBER('Sales Dashboard'!BF298))),0,SUMPRODUCT((IFERROR(--'Sales and count'!$G$2:$CC$2,0)=$C$4)*('Sales and count'!$G$3:$CC$3="Total"),INDEX('Sales and count'!$G$4:$CC$300,'Sales Dashboard'!BF298,0)))</f>
        <v>0</v>
      </c>
      <c r="AF299" s="281" cm="1">
        <f t="array" ref="AF299">IF(OR(AB299="",NOT(ISNUMBER('Sales Dashboard'!BG298))),0,SUMPRODUCT(('TY Sales Target'!$K$2:$AO$2=$C$4)*1,INDEX('TY Sales Target'!$K$5:$AO$300,'Sales Dashboard'!BG298,0)))</f>
        <v>0</v>
      </c>
      <c r="AG299" s="281" cm="1">
        <f t="array" ref="AG299">IF(AB299="",0,SUMPRODUCT((TRIM('LY Sales '!$B$5:$B$200)=AB299)*('LY Sales '!$C$2:$AG$2=EDATE($C$4,-12)),'LY Sales '!$C$5:$AG$200))</f>
        <v>0</v>
      </c>
      <c r="AH299" s="271">
        <f t="shared" si="82"/>
        <v>0</v>
      </c>
      <c r="AI299" s="271">
        <f t="shared" si="83"/>
        <v>0</v>
      </c>
      <c r="AJ299" s="271">
        <f t="shared" si="84"/>
        <v>0</v>
      </c>
      <c r="AK299" s="271">
        <f t="shared" si="85"/>
        <v>0</v>
      </c>
      <c r="AL299" s="271">
        <f t="shared" si="86"/>
        <v>0</v>
      </c>
      <c r="AM299" s="306" cm="1">
        <f t="array" ref="AM299">IF(OR(AB299="",NOT(ISNUMBER('Sales Dashboard'!BF298))),0,SUMPRODUCT((IFERROR(--'Sales and count'!$G$2:$CC$2,0)=$F$4)*('Sales and count'!$G$3:$CC$3="Total"),INDEX('Sales and count'!$G$4:$CC$300,'Sales Dashboard'!BF298,0)))</f>
        <v>0</v>
      </c>
      <c r="AN299" s="306" cm="1">
        <f t="array" ref="AN299">IF(OR(AB299="",NOT(ISNUMBER('Sales Dashboard'!BG298))),0,SUMPRODUCT(('TY Sales Target'!$K$2:$AO$2=$F$4)*1,INDEX('TY Sales Target'!$K$5:$AO$300,'Sales Dashboard'!BG298,0)))</f>
        <v>0</v>
      </c>
      <c r="AO299" s="306" cm="1">
        <f t="array" ref="AO299">IF(AB299="",0,SUMPRODUCT((TRIM('LY Sales '!$B$5:$B$200)=AB299)*('LY Sales '!$C$2:$AG$2=EDATE($F$4,-12)),'LY Sales '!$C$5:$AG$200))</f>
        <v>0</v>
      </c>
      <c r="AP299">
        <f t="shared" si="87"/>
        <v>0</v>
      </c>
      <c r="AQ299">
        <f t="shared" si="88"/>
        <v>0</v>
      </c>
      <c r="AR299">
        <f t="shared" si="89"/>
        <v>0</v>
      </c>
      <c r="AS299">
        <f t="shared" si="90"/>
        <v>0</v>
      </c>
    </row>
    <row r="300" spans="1:45" x14ac:dyDescent="0.25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  <c r="AB300" s="271" t="str">
        <f>IF('Sales Dashboard'!AW299="","",'Sales Dashboard'!AW299)</f>
        <v/>
      </c>
      <c r="AC300" s="271" t="str">
        <f>IF(AB300="","",'Sales Dashboard'!AN299)</f>
        <v/>
      </c>
      <c r="AD300" s="271" t="str">
        <f>IF(AB300="","",'Sales Dashboard'!AO299)</f>
        <v/>
      </c>
      <c r="AE300" s="281" cm="1">
        <f t="array" ref="AE300">IF(OR(AB300="",NOT(ISNUMBER('Sales Dashboard'!BF299))),0,SUMPRODUCT((IFERROR(--'Sales and count'!$G$2:$CC$2,0)=$C$4)*('Sales and count'!$G$3:$CC$3="Total"),INDEX('Sales and count'!$G$4:$CC$300,'Sales Dashboard'!BF299,0)))</f>
        <v>0</v>
      </c>
      <c r="AF300" s="281" cm="1">
        <f t="array" ref="AF300">IF(OR(AB300="",NOT(ISNUMBER('Sales Dashboard'!BG299))),0,SUMPRODUCT(('TY Sales Target'!$K$2:$AO$2=$C$4)*1,INDEX('TY Sales Target'!$K$5:$AO$300,'Sales Dashboard'!BG299,0)))</f>
        <v>0</v>
      </c>
      <c r="AG300" s="281" cm="1">
        <f t="array" ref="AG300">IF(AB300="",0,SUMPRODUCT((TRIM('LY Sales '!$B$5:$B$200)=AB300)*('LY Sales '!$C$2:$AG$2=EDATE($C$4,-12)),'LY Sales '!$C$5:$AG$200))</f>
        <v>0</v>
      </c>
      <c r="AH300" s="271">
        <f t="shared" si="82"/>
        <v>0</v>
      </c>
      <c r="AI300" s="271">
        <f t="shared" si="83"/>
        <v>0</v>
      </c>
      <c r="AJ300" s="271">
        <f t="shared" si="84"/>
        <v>0</v>
      </c>
      <c r="AK300" s="271">
        <f t="shared" si="85"/>
        <v>0</v>
      </c>
      <c r="AL300" s="271">
        <f t="shared" si="86"/>
        <v>0</v>
      </c>
      <c r="AM300" s="306" cm="1">
        <f t="array" ref="AM300">IF(OR(AB300="",NOT(ISNUMBER('Sales Dashboard'!BF299))),0,SUMPRODUCT((IFERROR(--'Sales and count'!$G$2:$CC$2,0)=$F$4)*('Sales and count'!$G$3:$CC$3="Total"),INDEX('Sales and count'!$G$4:$CC$300,'Sales Dashboard'!BF299,0)))</f>
        <v>0</v>
      </c>
      <c r="AN300" s="306" cm="1">
        <f t="array" ref="AN300">IF(OR(AB300="",NOT(ISNUMBER('Sales Dashboard'!BG299))),0,SUMPRODUCT(('TY Sales Target'!$K$2:$AO$2=$F$4)*1,INDEX('TY Sales Target'!$K$5:$AO$300,'Sales Dashboard'!BG299,0)))</f>
        <v>0</v>
      </c>
      <c r="AO300" s="306" cm="1">
        <f t="array" ref="AO300">IF(AB300="",0,SUMPRODUCT((TRIM('LY Sales '!$B$5:$B$200)=AB300)*('LY Sales '!$C$2:$AG$2=EDATE($F$4,-12)),'LY Sales '!$C$5:$AG$200))</f>
        <v>0</v>
      </c>
      <c r="AP300">
        <f t="shared" si="87"/>
        <v>0</v>
      </c>
      <c r="AQ300">
        <f t="shared" si="88"/>
        <v>0</v>
      </c>
      <c r="AR300">
        <f t="shared" si="89"/>
        <v>0</v>
      </c>
      <c r="AS300">
        <f t="shared" si="90"/>
        <v>0</v>
      </c>
    </row>
    <row r="301" spans="1:45" x14ac:dyDescent="0.25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 t="str">
        <f>IF('Sales Dashboard'!AW300="","",'Sales Dashboard'!AW300)</f>
        <v/>
      </c>
      <c r="AC301" s="271" t="str">
        <f>IF(AB301="","",'Sales Dashboard'!AN300)</f>
        <v/>
      </c>
      <c r="AD301" s="271" t="str">
        <f>IF(AB301="","",'Sales Dashboard'!AO300)</f>
        <v/>
      </c>
      <c r="AE301" s="281" cm="1">
        <f t="array" ref="AE301">IF(OR(AB301="",NOT(ISNUMBER('Sales Dashboard'!BF300))),0,SUMPRODUCT((IFERROR(--'Sales and count'!$G$2:$CC$2,0)=$C$4)*('Sales and count'!$G$3:$CC$3="Total"),INDEX('Sales and count'!$G$4:$CC$300,'Sales Dashboard'!BF300,0)))</f>
        <v>0</v>
      </c>
      <c r="AF301" s="281" cm="1">
        <f t="array" ref="AF301">IF(OR(AB301="",NOT(ISNUMBER('Sales Dashboard'!BG300))),0,SUMPRODUCT(('TY Sales Target'!$K$2:$AO$2=$C$4)*1,INDEX('TY Sales Target'!$K$5:$AO$300,'Sales Dashboard'!BG300,0)))</f>
        <v>0</v>
      </c>
      <c r="AG301" s="281" cm="1">
        <f t="array" ref="AG301">IF(AB301="",0,SUMPRODUCT((TRIM('LY Sales '!$B$5:$B$200)=AB301)*('LY Sales '!$C$2:$AG$2=EDATE($C$4,-12)),'LY Sales '!$C$5:$AG$200))</f>
        <v>0</v>
      </c>
      <c r="AH301" s="271">
        <f t="shared" si="82"/>
        <v>0</v>
      </c>
      <c r="AI301" s="271">
        <f t="shared" si="83"/>
        <v>0</v>
      </c>
      <c r="AJ301" s="271">
        <f t="shared" si="84"/>
        <v>0</v>
      </c>
      <c r="AK301" s="271">
        <f t="shared" si="85"/>
        <v>0</v>
      </c>
      <c r="AL301" s="271">
        <f t="shared" si="86"/>
        <v>0</v>
      </c>
      <c r="AM301" s="306" cm="1">
        <f t="array" ref="AM301">IF(OR(AB301="",NOT(ISNUMBER('Sales Dashboard'!BF300))),0,SUMPRODUCT((IFERROR(--'Sales and count'!$G$2:$CC$2,0)=$F$4)*('Sales and count'!$G$3:$CC$3="Total"),INDEX('Sales and count'!$G$4:$CC$300,'Sales Dashboard'!BF300,0)))</f>
        <v>0</v>
      </c>
      <c r="AN301" s="306" cm="1">
        <f t="array" ref="AN301">IF(OR(AB301="",NOT(ISNUMBER('Sales Dashboard'!BG300))),0,SUMPRODUCT(('TY Sales Target'!$K$2:$AO$2=$F$4)*1,INDEX('TY Sales Target'!$K$5:$AO$300,'Sales Dashboard'!BG300,0)))</f>
        <v>0</v>
      </c>
      <c r="AO301" s="306" cm="1">
        <f t="array" ref="AO301">IF(AB301="",0,SUMPRODUCT((TRIM('LY Sales '!$B$5:$B$200)=AB301)*('LY Sales '!$C$2:$AG$2=EDATE($F$4,-12)),'LY Sales '!$C$5:$AG$200))</f>
        <v>0</v>
      </c>
      <c r="AP301">
        <f t="shared" si="87"/>
        <v>0</v>
      </c>
      <c r="AQ301">
        <f t="shared" si="88"/>
        <v>0</v>
      </c>
      <c r="AR301">
        <f t="shared" si="89"/>
        <v>0</v>
      </c>
      <c r="AS301">
        <f t="shared" si="90"/>
        <v>0</v>
      </c>
    </row>
    <row r="302" spans="1:45" x14ac:dyDescent="0.25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  <c r="AB302" s="271" t="str">
        <f>IF('Sales Dashboard'!AW301="","",'Sales Dashboard'!AW301)</f>
        <v/>
      </c>
      <c r="AC302" s="271" t="str">
        <f>IF(AB302="","",'Sales Dashboard'!AN301)</f>
        <v/>
      </c>
      <c r="AD302" s="271" t="str">
        <f>IF(AB302="","",'Sales Dashboard'!AO301)</f>
        <v/>
      </c>
      <c r="AE302" s="281" cm="1">
        <f t="array" ref="AE302">IF(OR(AB302="",NOT(ISNUMBER('Sales Dashboard'!BF301))),0,SUMPRODUCT((IFERROR(--'Sales and count'!$G$2:$CC$2,0)=$C$4)*('Sales and count'!$G$3:$CC$3="Total"),INDEX('Sales and count'!$G$4:$CC$300,'Sales Dashboard'!BF301,0)))</f>
        <v>0</v>
      </c>
      <c r="AF302" s="281" cm="1">
        <f t="array" ref="AF302">IF(OR(AB302="",NOT(ISNUMBER('Sales Dashboard'!BG301))),0,SUMPRODUCT(('TY Sales Target'!$K$2:$AO$2=$C$4)*1,INDEX('TY Sales Target'!$K$5:$AO$300,'Sales Dashboard'!BG301,0)))</f>
        <v>0</v>
      </c>
      <c r="AG302" s="281" cm="1">
        <f t="array" ref="AG302">IF(AB302="",0,SUMPRODUCT((TRIM('LY Sales '!$B$5:$B$200)=AB302)*('LY Sales '!$C$2:$AG$2=EDATE($C$4,-12)),'LY Sales '!$C$5:$AG$200))</f>
        <v>0</v>
      </c>
      <c r="AH302" s="271">
        <f t="shared" si="82"/>
        <v>0</v>
      </c>
      <c r="AI302" s="271">
        <f t="shared" si="83"/>
        <v>0</v>
      </c>
      <c r="AJ302" s="271">
        <f t="shared" si="84"/>
        <v>0</v>
      </c>
      <c r="AK302" s="271">
        <f t="shared" si="85"/>
        <v>0</v>
      </c>
      <c r="AL302" s="271">
        <f t="shared" si="86"/>
        <v>0</v>
      </c>
      <c r="AM302" s="306" cm="1">
        <f t="array" ref="AM302">IF(OR(AB302="",NOT(ISNUMBER('Sales Dashboard'!BF301))),0,SUMPRODUCT((IFERROR(--'Sales and count'!$G$2:$CC$2,0)=$F$4)*('Sales and count'!$G$3:$CC$3="Total"),INDEX('Sales and count'!$G$4:$CC$300,'Sales Dashboard'!BF301,0)))</f>
        <v>0</v>
      </c>
      <c r="AN302" s="306" cm="1">
        <f t="array" ref="AN302">IF(OR(AB302="",NOT(ISNUMBER('Sales Dashboard'!BG301))),0,SUMPRODUCT(('TY Sales Target'!$K$2:$AO$2=$F$4)*1,INDEX('TY Sales Target'!$K$5:$AO$300,'Sales Dashboard'!BG301,0)))</f>
        <v>0</v>
      </c>
      <c r="AO302" s="306" cm="1">
        <f t="array" ref="AO302">IF(AB302="",0,SUMPRODUCT((TRIM('LY Sales '!$B$5:$B$200)=AB302)*('LY Sales '!$C$2:$AG$2=EDATE($F$4,-12)),'LY Sales '!$C$5:$AG$200))</f>
        <v>0</v>
      </c>
      <c r="AP302">
        <f t="shared" si="87"/>
        <v>0</v>
      </c>
      <c r="AQ302">
        <f t="shared" si="88"/>
        <v>0</v>
      </c>
      <c r="AR302">
        <f t="shared" si="89"/>
        <v>0</v>
      </c>
      <c r="AS302">
        <f t="shared" si="90"/>
        <v>0</v>
      </c>
    </row>
    <row r="303" spans="1:45" x14ac:dyDescent="0.25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  <c r="AB303" s="271" t="str">
        <f>IF('Sales Dashboard'!AW302="","",'Sales Dashboard'!AW302)</f>
        <v/>
      </c>
      <c r="AC303" s="271" t="str">
        <f>IF(AB303="","",'Sales Dashboard'!AN302)</f>
        <v/>
      </c>
      <c r="AD303" s="271" t="str">
        <f>IF(AB303="","",'Sales Dashboard'!AO302)</f>
        <v/>
      </c>
      <c r="AE303" s="281" cm="1">
        <f t="array" ref="AE303">IF(OR(AB303="",NOT(ISNUMBER('Sales Dashboard'!BF302))),0,SUMPRODUCT((IFERROR(--'Sales and count'!$G$2:$CC$2,0)=$C$4)*('Sales and count'!$G$3:$CC$3="Total"),INDEX('Sales and count'!$G$4:$CC$300,'Sales Dashboard'!BF302,0)))</f>
        <v>0</v>
      </c>
      <c r="AF303" s="281" cm="1">
        <f t="array" ref="AF303">IF(OR(AB303="",NOT(ISNUMBER('Sales Dashboard'!BG302))),0,SUMPRODUCT(('TY Sales Target'!$K$2:$AO$2=$C$4)*1,INDEX('TY Sales Target'!$K$5:$AO$300,'Sales Dashboard'!BG302,0)))</f>
        <v>0</v>
      </c>
      <c r="AG303" s="281" cm="1">
        <f t="array" ref="AG303">IF(AB303="",0,SUMPRODUCT((TRIM('LY Sales '!$B$5:$B$200)=AB303)*('LY Sales '!$C$2:$AG$2=EDATE($C$4,-12)),'LY Sales '!$C$5:$AG$200))</f>
        <v>0</v>
      </c>
      <c r="AH303" s="271">
        <f t="shared" si="82"/>
        <v>0</v>
      </c>
      <c r="AI303" s="271">
        <f t="shared" si="83"/>
        <v>0</v>
      </c>
      <c r="AJ303" s="271">
        <f t="shared" si="84"/>
        <v>0</v>
      </c>
      <c r="AK303" s="271">
        <f t="shared" si="85"/>
        <v>0</v>
      </c>
      <c r="AL303" s="271">
        <f t="shared" si="86"/>
        <v>0</v>
      </c>
      <c r="AM303" s="306" cm="1">
        <f t="array" ref="AM303">IF(OR(AB303="",NOT(ISNUMBER('Sales Dashboard'!BF302))),0,SUMPRODUCT((IFERROR(--'Sales and count'!$G$2:$CC$2,0)=$F$4)*('Sales and count'!$G$3:$CC$3="Total"),INDEX('Sales and count'!$G$4:$CC$300,'Sales Dashboard'!BF302,0)))</f>
        <v>0</v>
      </c>
      <c r="AN303" s="306" cm="1">
        <f t="array" ref="AN303">IF(OR(AB303="",NOT(ISNUMBER('Sales Dashboard'!BG302))),0,SUMPRODUCT(('TY Sales Target'!$K$2:$AO$2=$F$4)*1,INDEX('TY Sales Target'!$K$5:$AO$300,'Sales Dashboard'!BG302,0)))</f>
        <v>0</v>
      </c>
      <c r="AO303" s="306" cm="1">
        <f t="array" ref="AO303">IF(AB303="",0,SUMPRODUCT((TRIM('LY Sales '!$B$5:$B$200)=AB303)*('LY Sales '!$C$2:$AG$2=EDATE($F$4,-12)),'LY Sales '!$C$5:$AG$200))</f>
        <v>0</v>
      </c>
      <c r="AP303">
        <f t="shared" si="87"/>
        <v>0</v>
      </c>
      <c r="AQ303">
        <f t="shared" si="88"/>
        <v>0</v>
      </c>
      <c r="AR303">
        <f t="shared" si="89"/>
        <v>0</v>
      </c>
      <c r="AS303">
        <f t="shared" si="90"/>
        <v>0</v>
      </c>
    </row>
  </sheetData>
  <mergeCells count="14">
    <mergeCell ref="C12:P12"/>
    <mergeCell ref="C6:P6"/>
    <mergeCell ref="C7:P7"/>
    <mergeCell ref="C8:P8"/>
    <mergeCell ref="C9:P9"/>
    <mergeCell ref="C10:P10"/>
    <mergeCell ref="C11:P11"/>
    <mergeCell ref="R11:X11"/>
    <mergeCell ref="R12:X12"/>
    <mergeCell ref="R6:X6"/>
    <mergeCell ref="R7:X7"/>
    <mergeCell ref="R8:X8"/>
    <mergeCell ref="R9:X9"/>
    <mergeCell ref="R10:X10"/>
  </mergeCells>
  <conditionalFormatting sqref="F16:F25">
    <cfRule type="containsText" dxfId="200" priority="1" operator="containsText" text="Yes">
      <formula>NOT(ISERROR(SEARCH("Yes",F16)))</formula>
    </cfRule>
    <cfRule type="containsText" dxfId="199" priority="2" operator="containsText" text="No">
      <formula>NOT(ISERROR(SEARCH("No",F16)))</formula>
    </cfRule>
  </conditionalFormatting>
  <conditionalFormatting sqref="F30:F69">
    <cfRule type="containsText" dxfId="198" priority="5" operator="containsText" text="Yes">
      <formula>NOT(ISERROR(SEARCH("Yes",F30)))</formula>
    </cfRule>
    <cfRule type="containsText" dxfId="197" priority="6" operator="containsText" text="No">
      <formula>NOT(ISERROR(SEARCH("No",F30)))</formula>
    </cfRule>
  </conditionalFormatting>
  <conditionalFormatting sqref="N16:N25">
    <cfRule type="containsText" dxfId="196" priority="3" operator="containsText" text="Yes">
      <formula>NOT(ISERROR(SEARCH("Yes",N16)))</formula>
    </cfRule>
    <cfRule type="containsText" dxfId="195" priority="4" operator="containsText" text="No">
      <formula>NOT(ISERROR(SEARCH("No",N16)))</formula>
    </cfRule>
  </conditionalFormatting>
  <conditionalFormatting sqref="N30:N69">
    <cfRule type="containsText" dxfId="194" priority="7" operator="containsText" text="Yes">
      <formula>NOT(ISERROR(SEARCH("Yes",N30)))</formula>
    </cfRule>
    <cfRule type="containsText" dxfId="193" priority="8" operator="containsText" text="No">
      <formula>NOT(ISERROR(SEARCH("No",N30)))</formula>
    </cfRule>
  </conditionalFormatting>
  <conditionalFormatting sqref="R16:R26">
    <cfRule type="cellIs" dxfId="192" priority="11" operator="greaterThan">
      <formula>0</formula>
    </cfRule>
    <cfRule type="cellIs" dxfId="191" priority="12" operator="lessThan">
      <formula>0</formula>
    </cfRule>
  </conditionalFormatting>
  <conditionalFormatting sqref="R30:R70">
    <cfRule type="cellIs" dxfId="190" priority="17" operator="greaterThan">
      <formula>0</formula>
    </cfRule>
    <cfRule type="cellIs" dxfId="189" priority="18" operator="lessThan">
      <formula>0</formula>
    </cfRule>
  </conditionalFormatting>
  <conditionalFormatting sqref="T16:T26">
    <cfRule type="cellIs" dxfId="188" priority="13" operator="greaterThan">
      <formula>0</formula>
    </cfRule>
    <cfRule type="cellIs" dxfId="187" priority="14" operator="lessThan">
      <formula>0</formula>
    </cfRule>
  </conditionalFormatting>
  <conditionalFormatting sqref="T30:T70">
    <cfRule type="cellIs" dxfId="186" priority="19" operator="greaterThan">
      <formula>0</formula>
    </cfRule>
    <cfRule type="cellIs" dxfId="185" priority="20" operator="lessThan">
      <formula>0</formula>
    </cfRule>
  </conditionalFormatting>
  <conditionalFormatting sqref="U16:U25">
    <cfRule type="containsText" dxfId="184" priority="9" operator="containsText" text="Yes">
      <formula>NOT(ISERROR(SEARCH("Yes",U16)))</formula>
    </cfRule>
    <cfRule type="containsText" dxfId="183" priority="10" operator="containsText" text="No">
      <formula>NOT(ISERROR(SEARCH("No",U16)))</formula>
    </cfRule>
  </conditionalFormatting>
  <conditionalFormatting sqref="U30:U69">
    <cfRule type="containsText" dxfId="182" priority="15" operator="containsText" text="Yes">
      <formula>NOT(ISERROR(SEARCH("Yes",U30)))</formula>
    </cfRule>
    <cfRule type="containsText" dxfId="181" priority="16" operator="containsText" text="No">
      <formula>NOT(ISERROR(SEARCH("No",U30)))</formula>
    </cfRule>
  </conditionalFormatting>
  <dataValidations count="1">
    <dataValidation type="list" allowBlank="1" showInputMessage="1" showErrorMessage="1" errorTitle="Pick a date" error="Choose a date from the dropdown (dates with sales loaded)." promptTitle="Choose date" prompt="Click the arrow to pick a date." sqref="C4 F4" xr:uid="{82D75DEF-D89E-4D05-A19B-26536947A636}">
      <formula1>_xlfn.ANCHORARRAY($AU$6)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45D5-BF6C-47CA-BC96-67E78923506F}">
  <sheetPr>
    <tabColor rgb="FF92D050"/>
  </sheetPr>
  <dimension ref="A1:CK302"/>
  <sheetViews>
    <sheetView showGridLines="0" topLeftCell="A13" zoomScale="80" zoomScaleNormal="80" workbookViewId="0">
      <pane xSplit="1" topLeftCell="B1" activePane="topRight" state="frozen"/>
      <selection pane="topRight" activeCell="A42" sqref="A42:XFD42"/>
    </sheetView>
  </sheetViews>
  <sheetFormatPr defaultRowHeight="15" outlineLevelCol="1" x14ac:dyDescent="0.25"/>
  <cols>
    <col min="1" max="1" width="25.28515625" customWidth="1"/>
    <col min="2" max="2" width="12.140625" customWidth="1"/>
    <col min="3" max="3" width="10.7109375" customWidth="1"/>
    <col min="4" max="4" width="13" customWidth="1"/>
    <col min="5" max="5" width="13.28515625" customWidth="1"/>
    <col min="6" max="6" width="13.85546875" customWidth="1"/>
    <col min="7" max="8" width="14.85546875" customWidth="1"/>
    <col min="9" max="9" width="11.5703125" customWidth="1"/>
    <col min="10" max="10" width="14.85546875" customWidth="1"/>
    <col min="11" max="11" width="13.28515625" customWidth="1"/>
    <col min="12" max="15" width="18.140625" customWidth="1"/>
    <col min="16" max="16" width="11" customWidth="1"/>
    <col min="17" max="17" width="11.5703125" customWidth="1"/>
    <col min="18" max="18" width="13.7109375" customWidth="1"/>
    <col min="19" max="19" width="14.85546875" customWidth="1"/>
    <col min="20" max="20" width="17.140625" customWidth="1"/>
    <col min="21" max="21" width="16" bestFit="1" customWidth="1"/>
    <col min="22" max="25" width="12.7109375" customWidth="1"/>
    <col min="26" max="27" width="14.5703125" customWidth="1"/>
    <col min="28" max="28" width="13.5703125" bestFit="1" customWidth="1"/>
    <col min="29" max="29" width="13.85546875" bestFit="1" customWidth="1"/>
    <col min="30" max="30" width="14.5703125" hidden="1" customWidth="1"/>
    <col min="31" max="34" width="11.42578125" hidden="1" customWidth="1" outlineLevel="1"/>
    <col min="35" max="49" width="9.140625" hidden="1" customWidth="1" outlineLevel="1"/>
    <col min="50" max="50" width="0" hidden="1" customWidth="1" collapsed="1"/>
    <col min="51" max="106" width="0" hidden="1" customWidth="1"/>
  </cols>
  <sheetData>
    <row r="1" spans="1:89" ht="19.5" thickBot="1" x14ac:dyDescent="0.35">
      <c r="A1" s="6" t="str">
        <f>"AREA MANAGER PERFORMANCE DASHBOARD – "&amp;TEXT($U$4,"dd mmm")&amp;" to "&amp;TEXT($U$5,"dd mmm yyyy")</f>
        <v>AREA MANAGER PERFORMANCE DASHBOARD – 01 Oct to 26 Oct 2026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BC1" s="15" t="s">
        <v>507</v>
      </c>
      <c r="BD1" s="132" cm="1">
        <f t="array" ref="BD1">_xlfn.LET(_xlpm.f,Footfall!$C$1:$BZ$1,_xlpm.t,Footfall!$C$2:$BZ$2,_xlpm.k,(_xlpm.f&gt;=$U$4)*(_xlpm.t&lt;=$U$5)*(_xlpm.f&lt;&gt;"")*(_xlpm.t&lt;&gt;""),IF(SUM(_xlpm.k)=0,"",MIN(_xlfn._xlws.FILTER(_xlpm.f,_xlpm.k=1))))</f>
        <v>46296</v>
      </c>
    </row>
    <row r="2" spans="1:89" x14ac:dyDescent="0.25">
      <c r="A2" s="9" t="str">
        <f>"Period: "&amp;TEXT($U$4,"dd mmm yyyy")&amp;"  to  "&amp;TEXT($U$5,"dd mmm yyyy")&amp;" ("&amp;$U$7&amp;" days)   |   vs LY = same dates last year  |  Target = daily targets for selected dates  |  ATV = Sales ÷ Transactions"</f>
        <v>Period: 01 Oct 2026  to  26 Oct 2026 (26 days)   |   vs LY = same dates last year  |  Target = daily targets for selected dates  |  ATV = Sales ÷ Transactions</v>
      </c>
      <c r="AN2" s="9" t="s">
        <v>544</v>
      </c>
      <c r="BC2" s="15" t="s">
        <v>508</v>
      </c>
      <c r="BD2" s="132" cm="1">
        <f t="array" ref="BD2">_xlfn.LET(_xlpm.f,Footfall!$C$1:$BZ$1,_xlpm.t,Footfall!$C$2:$BZ$2,_xlpm.k,(_xlpm.f&gt;=$U$4)*(_xlpm.t&lt;=$U$5)*(_xlpm.f&lt;&gt;"")*(_xlpm.t&lt;&gt;""),IF(SUM(_xlpm.k)=0,"",MAX(_xlfn._xlws.FILTER(_xlpm.t,_xlpm.k=1))))</f>
        <v>46321</v>
      </c>
      <c r="BT2" t="s">
        <v>530</v>
      </c>
    </row>
    <row r="3" spans="1:89" x14ac:dyDescent="0.25">
      <c r="A3" s="10" t="s">
        <v>1329</v>
      </c>
      <c r="B3" s="11" t="s">
        <v>165</v>
      </c>
      <c r="D3" s="12"/>
      <c r="F3" s="13"/>
      <c r="G3" s="13"/>
      <c r="H3" s="12"/>
      <c r="J3" s="14"/>
      <c r="L3" s="12"/>
      <c r="N3" s="184"/>
      <c r="P3" s="12"/>
      <c r="R3" s="44"/>
      <c r="T3" s="48"/>
      <c r="U3" s="133"/>
      <c r="V3" s="66"/>
      <c r="W3" s="66"/>
      <c r="X3" s="66"/>
      <c r="Y3" s="66"/>
      <c r="Z3" s="66"/>
      <c r="AD3" s="66"/>
      <c r="AN3" s="9"/>
      <c r="BC3" s="15"/>
      <c r="BD3" s="132"/>
      <c r="CF3" t="s">
        <v>1333</v>
      </c>
      <c r="CH3" t="s">
        <v>1370</v>
      </c>
    </row>
    <row r="4" spans="1:89" x14ac:dyDescent="0.25">
      <c r="A4" s="10" t="s">
        <v>134</v>
      </c>
      <c r="B4" s="11" t="s">
        <v>128</v>
      </c>
      <c r="D4" s="12" t="s">
        <v>168</v>
      </c>
      <c r="F4" s="13">
        <f>C13</f>
        <v>14</v>
      </c>
      <c r="G4" s="13"/>
      <c r="H4" s="12" t="s">
        <v>201</v>
      </c>
      <c r="J4" s="14">
        <f>G13</f>
        <v>3.765834188651751E-2</v>
      </c>
      <c r="L4" s="12" t="s">
        <v>549</v>
      </c>
      <c r="N4" s="184">
        <f>M13</f>
        <v>2258685.080763713</v>
      </c>
      <c r="P4" s="12" t="s">
        <v>205</v>
      </c>
      <c r="R4" s="44" cm="1">
        <f t="array" aca="1" ref="R4" ca="1">IFERROR(SUMPRODUCT(($AN$5:$AN$302&lt;&gt;"")*1,$AR$5:$AR$302)/SUMPRODUCT(($AN$5:$AN$302&lt;&gt;"")*1,$AS$5:$AS$302),"")</f>
        <v>168.02574125818293</v>
      </c>
      <c r="T4" s="48" t="s">
        <v>388</v>
      </c>
      <c r="U4" s="133">
        <v>46296</v>
      </c>
      <c r="V4" s="66" t="str">
        <f>IF(U5&lt;U4,"⚠ To Date is before From Date","")</f>
        <v/>
      </c>
      <c r="W4" s="66"/>
      <c r="X4" s="66"/>
      <c r="Y4" s="66"/>
      <c r="Z4" s="66"/>
      <c r="AA4" s="66"/>
      <c r="AB4" s="66"/>
      <c r="AC4" s="66"/>
      <c r="AD4" s="66"/>
      <c r="AN4" s="15" t="s">
        <v>134</v>
      </c>
      <c r="AO4" s="15" t="s">
        <v>135</v>
      </c>
      <c r="AP4" s="15" t="s">
        <v>171</v>
      </c>
      <c r="AQ4" s="15" t="s">
        <v>172</v>
      </c>
      <c r="AR4" s="15" t="s">
        <v>173</v>
      </c>
      <c r="AS4" s="15" t="s">
        <v>174</v>
      </c>
      <c r="AT4" s="15" t="s">
        <v>175</v>
      </c>
      <c r="AU4" s="15" t="s">
        <v>176</v>
      </c>
      <c r="AV4" s="15" t="s">
        <v>177</v>
      </c>
      <c r="AW4" s="15" t="s">
        <v>125</v>
      </c>
      <c r="AY4" s="10" t="s">
        <v>385</v>
      </c>
      <c r="AZ4" s="10"/>
      <c r="BB4" s="15" t="s">
        <v>503</v>
      </c>
      <c r="BC4" s="15" t="s">
        <v>509</v>
      </c>
      <c r="BF4" t="s">
        <v>534</v>
      </c>
      <c r="BG4" t="s">
        <v>535</v>
      </c>
      <c r="BH4" t="s">
        <v>518</v>
      </c>
      <c r="BI4" t="s">
        <v>536</v>
      </c>
      <c r="BJ4" t="s">
        <v>537</v>
      </c>
      <c r="BK4" t="s">
        <v>538</v>
      </c>
      <c r="BL4" t="s">
        <v>539</v>
      </c>
      <c r="BM4" t="s">
        <v>540</v>
      </c>
      <c r="BN4" t="s">
        <v>541</v>
      </c>
      <c r="BO4" t="s">
        <v>542</v>
      </c>
      <c r="BP4" t="s">
        <v>543</v>
      </c>
      <c r="BR4" t="s">
        <v>533</v>
      </c>
      <c r="BT4" t="s">
        <v>531</v>
      </c>
      <c r="BU4" t="s">
        <v>532</v>
      </c>
      <c r="BV4" t="s">
        <v>428</v>
      </c>
      <c r="BW4" t="s">
        <v>553</v>
      </c>
      <c r="BX4" t="s">
        <v>545</v>
      </c>
      <c r="BY4" t="s">
        <v>525</v>
      </c>
      <c r="CB4" t="s">
        <v>683</v>
      </c>
      <c r="CD4" t="s">
        <v>685</v>
      </c>
      <c r="CF4" t="s">
        <v>1329</v>
      </c>
      <c r="CG4" t="s">
        <v>1334</v>
      </c>
      <c r="CH4" t="s">
        <v>1371</v>
      </c>
      <c r="CI4" t="s">
        <v>1372</v>
      </c>
      <c r="CJ4" t="s">
        <v>1600</v>
      </c>
      <c r="CK4" t="s">
        <v>1603</v>
      </c>
    </row>
    <row r="5" spans="1:89" ht="23.25" x14ac:dyDescent="0.25">
      <c r="A5" s="10" t="s">
        <v>135</v>
      </c>
      <c r="B5" s="11" t="s">
        <v>165</v>
      </c>
      <c r="D5" s="12" t="s">
        <v>169</v>
      </c>
      <c r="F5" s="14">
        <f>I13</f>
        <v>0.64768492904111485</v>
      </c>
      <c r="G5" s="14"/>
      <c r="H5" s="12" t="s">
        <v>202</v>
      </c>
      <c r="J5" s="14">
        <f ca="1">S13</f>
        <v>-1.2791633145615489E-2</v>
      </c>
      <c r="L5" s="12" t="s">
        <v>550</v>
      </c>
      <c r="N5" s="185">
        <f>N13</f>
        <v>0.63507865473111624</v>
      </c>
      <c r="P5" s="171" t="s">
        <v>430</v>
      </c>
      <c r="Q5" s="172" t="s">
        <v>431</v>
      </c>
      <c r="R5" s="173" t="s">
        <v>432</v>
      </c>
      <c r="T5" s="48" t="s">
        <v>389</v>
      </c>
      <c r="U5" s="133">
        <v>46321</v>
      </c>
      <c r="V5" s="66" t="str">
        <f>IF(U5&gt;$AZ$6,"⚠ Sales loaded only to "&amp;TEXT($AZ$6,"dd mmm")&amp;" – LY &amp; target still count to "&amp;TEXT(U5,"dd mmm"),"")</f>
        <v/>
      </c>
      <c r="W5" s="66"/>
      <c r="X5" s="66"/>
      <c r="Y5" s="66"/>
      <c r="Z5" s="66"/>
      <c r="AA5" s="66"/>
      <c r="AB5" s="66"/>
      <c r="AC5" s="66"/>
      <c r="AD5" s="66"/>
      <c r="AN5" s="8" t="str" cm="1">
        <f t="array" ref="AN5">IF($AW5="","",_xlfn.LET(_xlpm.sa,IFERROR(TRIM(INDEX('Sales and count'!$D$4:$D$300,$BF5)&amp;""),""),_xlpm.ta,IFERROR(TRIM(INDEX('TY Sales Target'!$F$5:$F$300,$BG5)&amp;""),""),IF(AND(_xlpm.sa&lt;&gt;"",LEFT(_xlpm.sa,1)&lt;&gt;"#",_xlpm.sa&lt;&gt;"0"),_xlpm.sa,IF(AND(_xlpm.ta&lt;&gt;"",LEFT(_xlpm.ta,1)&lt;&gt;"#",_xlpm.ta&lt;&gt;"0"),_xlpm.ta,IF(ISNUMBER($BG5),"Unassigned","")))))</f>
        <v>Hamzah Al Makhadam</v>
      </c>
      <c r="AO5" s="8" t="str" cm="1">
        <f t="array" ref="AO5">IF($AW5="","",_xlfn.LET(_xlpm.sa,IFERROR(TRIM(INDEX('Sales and count'!$C$4:$C$300,$BF5)&amp;""),""),_xlpm.ta,IFERROR(TRIM(INDEX('TY Sales Target'!$D$5:$D$300,$BG5)&amp;""),""),IF(AND(_xlpm.sa&lt;&gt;"",LEFT(_xlpm.sa,1)&lt;&gt;"#",_xlpm.sa&lt;&gt;"0"),_xlpm.sa,IF(AND(_xlpm.ta&lt;&gt;"",LEFT(_xlpm.ta,1)&lt;&gt;"#",_xlpm.ta&lt;&gt;"0"),_xlpm.ta,""))))</f>
        <v>Al Hasa</v>
      </c>
      <c r="AP5" s="8">
        <f>IF(AND(AN5&lt;&gt;"",OR($B$3="All",$CF5=$B$3),IF(OR($B$4="All",$B$4="Multiple (ticked)"),IF(COUNTIF($B$10:$M$10,"✔")&gt;0,COUNTIFS($B$9:$M$9,AN5,$B$10:$M$10,"✔")&gt;0,$B$4="All"),AN5=$B$4),OR($B$5="All",AO5=$B$5),OR($B$6="All Stores",CJ5=IF($B$6="With Footfall Device",1,0)),OR($B$7="All Stores",AQ5=1),OR($B$8="All",BH5=$B$8)),1,0)</f>
        <v>0</v>
      </c>
      <c r="AQ5" s="8">
        <f t="shared" ref="AQ5:AQ69" si="0">--(AT5&gt;0)</f>
        <v>1</v>
      </c>
      <c r="AR5" s="8" cm="1">
        <f t="array" ref="AR5">IF($BF5="",0,_xlfn.LET(_xlpm.d,IFERROR(--'Sales and count'!$G$2:$CC$2,0),SUMPRODUCT(('Sales and count'!$G$3:$CC$3="Total")*(_xlpm.d&gt;=$U$4)*(_xlpm.d&lt;=$U$5),INDEX('Sales and count'!$G$4:$CC$300,$BF5,0))))</f>
        <v>178450.24</v>
      </c>
      <c r="AS5" s="8" cm="1">
        <f t="array" aca="1" ref="AS5" ca="1">IF($BF5="",0,_xlfn.LET(_xlpm.d,IFERROR(--'Sales and count'!$F$2:$CB$2,0),SUMPRODUCT(('Sales and count'!$G$3:$CC$3="Transactions")*(_xlpm.d&gt;=$U$4)*(_xlpm.d&lt;=$U$5),INDEX('Sales and count'!$G$4:$CC$300,$BF5,0))))</f>
        <v>918</v>
      </c>
      <c r="AT5" s="8" cm="1">
        <f t="array" ref="AT5">IF($AW5="",0,SUMPRODUCT((TRIM('LY Sales '!$B$5:$B$200)=$AW5)*('LY Sales '!$C$2:$AG$2&gt;=EDATE($U$4,-12))*('LY Sales '!$C$2:$AG$2&lt;=EDATE($U$5,-12)),'LY Sales '!$C$5:$AG$200))</f>
        <v>167176.57999999999</v>
      </c>
      <c r="AU5" s="8" cm="1">
        <f t="array" ref="AU5">IF($AW5="",0,SUMPRODUCT((TRIM('LY Transaction'!$B$5:$B$200)=$AW5)*('LY Transaction'!$C$2:$AG$2&gt;=EDATE($U$4,-12))*('LY Transaction'!$C$2:$AG$2&lt;=EDATE($U$5,-12)),'LY Transaction'!$C$5:$AG$200))</f>
        <v>1101</v>
      </c>
      <c r="AV5" s="8" cm="1">
        <f t="array" ref="AV5">IF(NOT(ISNUMBER($BG5)),0,SUMPRODUCT(('TY Sales Target'!$K$2:$AO$2&gt;=$U$4)*('TY Sales Target'!$K$2:$AO$2&lt;=$U$5),INDEX('TY Sales Target'!$K$5:$AO$300,$BG5,0)))</f>
        <v>161662.91770896321</v>
      </c>
      <c r="AW5" s="8" t="str" cm="1">
        <f t="array" ref="AW5">IFERROR(INDEX(_xlfn.ANCHORARRAY($BR$5),ROWS($AW$5:AW5)),"")</f>
        <v>HAOTHASS</v>
      </c>
      <c r="AY5" s="10" t="s">
        <v>386</v>
      </c>
      <c r="AZ5" s="10" t="s">
        <v>387</v>
      </c>
      <c r="BB5" cm="1">
        <f t="array" ref="BB5">IF($AW5="",0,SUMPRODUCT((TRIM(Footfall!$B$5:$B$301)=$AW5)*(Footfall!$C$1:$BZ$1&gt;=$U$4)*(Footfall!$C$2:$BZ$2&lt;=$U$5)*(Footfall!$C$1:$BZ$1&lt;&gt;""),Footfall!$C$5:$BZ$301))</f>
        <v>0</v>
      </c>
      <c r="BC5" cm="1">
        <f t="array" ref="BC5">IF(OR($BB5&lt;=0,$BD$1="",$BF5=""),0,_xlfn.LET(_xlpm.d,IFERROR(--'Sales and count'!$F$2:$CB$2,0),SUMPRODUCT(('Sales and count'!$G$3:$CC$3="Transactions")*(_xlpm.d&gt;=$BD$1)*(_xlpm.d&lt;=$BD$2),INDEX('Sales and count'!$G$4:$CC$300,$BF5,0))))</f>
        <v>0</v>
      </c>
      <c r="BF5" cm="1">
        <f t="array" ref="BF5">IF($AW5="","",IFERROR(MATCH($AW5,TRIM('Sales and count'!$A$4:$A$300&amp;""),0),""))</f>
        <v>1</v>
      </c>
      <c r="BG5" cm="1">
        <f t="array" ref="BG5">IF($AW5="","",IFERROR(MATCH(IFERROR(_xlfn.XLOOKUP($AW5,$BT$5:$BT$22,$BU$5:$BU$22),$AW5),TRIM('TY Sales Target'!$B$5:$B$300&amp;""),0),""))</f>
        <v>63</v>
      </c>
      <c r="BH5" t="str" cm="1">
        <f t="array" ref="BH5">IF(ISNUMBER($BG5),_xlfn.LET(_xlpm.p,TRIM(INDEX('TY Sales Target'!$I$5:$I$300,$BG5)&amp;""),IF(_xlpm.p="","Not set",_xlpm.p)),"Not set")</f>
        <v>Smart Phone</v>
      </c>
      <c r="BI5" cm="1">
        <f t="array" ref="BI5">IF($BF5="",0,_xlfn.LET(_xlpm.d,IFERROR(--'Sales and count'!$G$2:$CC$2,0),SUMPRODUCT(('Sales and count'!$G$3:$CC$3="Total")*(_xlpm.d&gt;=$BZ$5)*(_xlpm.d&lt;=$BZ$6),INDEX('Sales and count'!$G$4:$CC$300,$BF5,0))))</f>
        <v>178450.24</v>
      </c>
      <c r="BJ5" cm="1">
        <f t="array" ref="BJ5">IF($AW5="",0,SUMPRODUCT((TRIM('LY Sales '!$B$5:$B$200)=$AW5)*('LY Sales '!$C$2:$AG$2&gt;=EDATE($BZ$5,-12))*('LY Sales '!$C$2:$AG$2&lt;=EDATE($BZ$6,-12)),'LY Sales '!$C$5:$AG$200))</f>
        <v>167176.57999999999</v>
      </c>
      <c r="BK5" cm="1">
        <f t="array" ref="BK5">IF($AW5="",0,SUMPRODUCT((TRIM('LY Sales '!$B$5:$B$200)=$AW5)*('LY Sales '!$C$2:$AG$2&gt;=EDATE($BZ$5,-12))*('LY Sales '!$C$2:$AG$2&lt;=EDATE($BZ$7,-12)),'LY Sales '!$C$5:$AG$200))</f>
        <v>225899.75</v>
      </c>
      <c r="BL5" cm="1">
        <f t="array" ref="BL5">IF($AW5="",0,SUMPRODUCT((TRIM('LY Sales '!$B$5:$B$200)=$AW5)*('LY Sales '!$C$2:$AG$2&gt;=EDATE($BZ$5,-12))*('LY Sales '!$C$2:$AG$2&lt;=EDATE($BZ$6,-12))*('LY Sales '!$C$5:$AG$200&gt;0)))</f>
        <v>26</v>
      </c>
      <c r="BM5" cm="1">
        <f t="array" ref="BM5">IF(NOT(ISNUMBER($BG5)),0,SUMPRODUCT(('TY Sales Target'!$K$2:$AO$2&gt;=$BZ$5)*('TY Sales Target'!$K$2:$AO$2&lt;=$BZ$6),INDEX('TY Sales Target'!$K$5:$AO$300,$BG5,0)))</f>
        <v>161662.91770896321</v>
      </c>
      <c r="BN5" cm="1">
        <f t="array" ref="BN5">IF(NOT(ISNUMBER($BG5)),0,SUMPRODUCT(('TY Sales Target'!$K$2:$AO$2&gt;=$BZ$5)*('TY Sales Target'!$K$2:$AO$2&lt;=$BZ$7),INDEX('TY Sales Target'!$K$5:$AO$300,$BG5,0)))</f>
        <v>211000.00000000006</v>
      </c>
      <c r="BO5" cm="1">
        <f t="array" ref="BO5">IF($AW5="",0,IFERROR(_xlfn.SWITCH($BP5,"LY trend",$BI5*$BK5/$BJ5,"Target curve",$BI5*$BN5/$BM5,"Run rate",$BI5/$BZ$8*$BZ$9,0),0))</f>
        <v>241133.44466934304</v>
      </c>
      <c r="BP5" t="str">
        <f t="shared" ref="BP5:BP68" si="1">IF($AW5="","",IF(AND($BL5&gt;=$BZ$8,$BJ5&gt;0,$BK5&gt;0),"LY trend",IF($BM5&gt;0,"Target curve",IF($BI5&gt;0,"Run rate",""))))</f>
        <v>LY trend</v>
      </c>
      <c r="BR5" t="str" cm="1">
        <f t="array" ref="BR5:BR121">_xlfn.LET(_xlpm.s,TRIM('Sales and count'!$A$4:$A$300&amp;""),_xlpm.t,TRIM('TY Sales Target'!$B$5:$B$300&amp;""),_xlpm.al,IFERROR(_xlfn.XLOOKUP(_xlpm.t,$BU$5:$BU$22,$BT$5:$BT$22),_xlpm.t),_xlpm.a,_xlfn._xlws.FILTER(_xlpm.s,_xlpm.s&lt;&gt;""),_xlpm.b,IFERROR(_xlfn._xlws.FILTER(_xlpm.al,(_xlpm.al&lt;&gt;"")*ISNA(_xlfn.XMATCH(_xlpm.al,_xlpm.s))),""),_xlpm.u,_xlfn.UNIQUE(_xlfn.VSTACK(_xlpm.a,_xlpm.b)),_xlfn._xlws.FILTER(_xlpm.u,_xlpm.u&lt;&gt;""))</f>
        <v>HAOTHASS</v>
      </c>
      <c r="BT5" s="183"/>
      <c r="BU5" s="183"/>
      <c r="BV5" t="str" cm="1">
        <f t="array" ref="BV5:BV15">_xlfn.VSTACK("All","Multiple (ticked)",_xlfn._xlws.SORT(_xlfn.UNIQUE(_xlfn._xlws.FILTER($AN$5:$AN$302,($AN$5:$AN$302&lt;&gt;"")*(($B$3="All")+($CF$5:$CF$302=$B$3))))))</f>
        <v>All</v>
      </c>
      <c r="BW5" t="str" cm="1">
        <f t="array" ref="BW5:BW11">_xlfn.LET(_xlpm.p,TRIM('TY Sales Target'!$I$5:$I$300&amp;""),_xlfn.VSTACK("All",_xlfn.UNIQUE(_xlfn._xlws.FILTER(_xlpm.p,_xlpm.p&lt;&gt;"")),"Not set"))</f>
        <v>All</v>
      </c>
      <c r="BX5" t="str" cm="1">
        <f t="array" ref="BX5:BX36">_xlfn.VSTACK("All",_xlfn._xlws.SORT(_xlfn.UNIQUE(_xlfn._xlws.FILTER($AO$5:$AO$302,($AO$5:$AO$302&lt;&gt;"")*($AN$5:$AN$302&lt;&gt;"")*(($B$3="All")+($CF$5:$CF$302=$B$3))))))</f>
        <v>All</v>
      </c>
      <c r="BY5" t="s">
        <v>526</v>
      </c>
      <c r="BZ5" s="132">
        <f>EOMONTH($BZ$6,-1)+1</f>
        <v>46296</v>
      </c>
      <c r="CB5" cm="1">
        <f t="array" ref="CB5">IF($AW5="",0,_xlfn.LET(_xlpm.k,IFERROR(_xlfn.XLOOKUP($AW5,$CD$6:$CD$21,$CE$6:$CE$21),$AW5),SUMPRODUCT((TRIM('Makeup '!$A$2:$A$300&amp;"")=_xlpm.k)*1,IFERROR('Makeup '!$F$2:$F$300*1,0))))</f>
        <v>15768.35</v>
      </c>
      <c r="CD5" t="s">
        <v>686</v>
      </c>
      <c r="CE5" t="s">
        <v>687</v>
      </c>
      <c r="CF5" t="str" cm="1">
        <f t="array" ref="CF5">IF($AW5="","",_xlfn.LET(_xlpm.c,IFERROR(TRIM(INDEX('Sales and count'!$B$4:$B$300,$BF5)&amp;""),""),IF(OR(_xlpm.c="",_xlpm.c="0",LEFT(_xlpm.c,1)="#"),"Not set",_xlpm.c)))</f>
        <v>KSA</v>
      </c>
      <c r="CG5" t="str" cm="1">
        <f t="array" ref="CG5:CG8">_xlfn.VSTACK("All",_xlfn._xlws.SORT(_xlfn.UNIQUE(_xlfn._xlws.FILTER($CF$5:$CF$302,($CF$5:$CF$302&lt;&gt;"")*($AN$5:$AN$302&lt;&gt;"")))))</f>
        <v>All</v>
      </c>
      <c r="CH5" cm="1">
        <f t="array" ref="CH5">IF($AW5="",0,_xlfn.LET(_xlpm.k,IFERROR(_xlfn.XLOOKUP($AW5,$CD$6:$CD$21,$CE$6:$CE$21),$AW5),--(SUMPRODUCT((TRIM('Makeup '!$A$2:$A$300&amp;"")=_xlpm.k)*ISNUMBER('Makeup '!$F$2:$F$300))&gt;0)))</f>
        <v>1</v>
      </c>
      <c r="CI5">
        <f>$AR5*$CH5</f>
        <v>178450.24</v>
      </c>
      <c r="CJ5" cm="1">
        <f t="array" ref="CJ5">IF($AW5="",0,--(SUMPRODUCT(--(TRIM(Footfall!$B$5:$B$301)=$AW5))&gt;0))</f>
        <v>0</v>
      </c>
      <c r="CK5" s="8" cm="1">
        <f t="array" ref="CK5">IF($AW5="",0,_xlfn.LET(_xlpm.r,IFERROR(MATCH(IFERROR(_xlfn.XLOOKUP($AW5,$BT$5:$BT$22,$BU$5:$BU$22),$AW5),TRIM('TY Beauty Target'!$B$5:$B$300&amp;""),0),""),IF(ISNUMBER(_xlpm.r),SUMPRODUCT(('TY Beauty Target'!$L$2:$AP$2&gt;=$U$4)*('TY Beauty Target'!$L$2:$AP$2&lt;=$U$5),INDEX('TY Beauty Target'!$L$5:$AP$300,_xlpm.r,0)),0)))</f>
        <v>14337.85483310065</v>
      </c>
    </row>
    <row r="6" spans="1:89" x14ac:dyDescent="0.25">
      <c r="A6" s="10" t="s">
        <v>1599</v>
      </c>
      <c r="B6" s="11" t="s">
        <v>167</v>
      </c>
      <c r="D6" s="12"/>
      <c r="F6" s="14"/>
      <c r="G6" s="14"/>
      <c r="H6" s="12"/>
      <c r="J6" s="14"/>
      <c r="L6" s="12"/>
      <c r="N6" s="185"/>
      <c r="P6" s="171"/>
      <c r="Q6" s="172"/>
      <c r="R6" s="173"/>
      <c r="T6" s="48"/>
      <c r="U6" s="334"/>
      <c r="V6" s="66"/>
      <c r="W6" s="66"/>
      <c r="X6" s="66"/>
      <c r="Y6" s="66"/>
      <c r="Z6" s="66"/>
      <c r="AA6" s="66"/>
      <c r="AB6" s="66"/>
      <c r="AC6" s="66"/>
      <c r="AD6" s="66"/>
      <c r="AN6" s="8" t="str" cm="1">
        <f t="array" ref="AN6">IF($AW6="","",_xlfn.LET(_xlpm.sa,IFERROR(TRIM(INDEX('Sales and count'!$D$4:$D$300,$BF6)&amp;""),""),_xlpm.ta,IFERROR(TRIM(INDEX('TY Sales Target'!$F$5:$F$300,$BG6)&amp;""),""),IF(AND(_xlpm.sa&lt;&gt;"",LEFT(_xlpm.sa,1)&lt;&gt;"#",_xlpm.sa&lt;&gt;"0"),_xlpm.sa,IF(AND(_xlpm.ta&lt;&gt;"",LEFT(_xlpm.ta,1)&lt;&gt;"#",_xlpm.ta&lt;&gt;"0"),_xlpm.ta,IF(ISNUMBER($BG6),"Unassigned","")))))</f>
        <v>Mohammed Sanad</v>
      </c>
      <c r="AO6" s="8" t="str" cm="1">
        <f t="array" ref="AO6">IF($AW6="","",_xlfn.LET(_xlpm.sa,IFERROR(TRIM(INDEX('Sales and count'!$C$4:$C$300,$BF6)&amp;""),""),_xlpm.ta,IFERROR(TRIM(INDEX('TY Sales Target'!$D$5:$D$300,$BG6)&amp;""),""),IF(AND(_xlpm.sa&lt;&gt;"",LEFT(_xlpm.sa,1)&lt;&gt;"#",_xlpm.sa&lt;&gt;"0"),_xlpm.sa,IF(AND(_xlpm.ta&lt;&gt;"",LEFT(_xlpm.ta,1)&lt;&gt;"#",_xlpm.ta&lt;&gt;"0"),_xlpm.ta,""))))</f>
        <v>Arar</v>
      </c>
      <c r="AP6" s="8">
        <f t="shared" ref="AP6:AP69" si="2">IF(AND(AN6&lt;&gt;"",OR($B$3="All",$CF6=$B$3),IF(OR($B$4="All",$B$4="Multiple (ticked)"),IF(COUNTIF($B$10:$M$10,"✔")&gt;0,COUNTIFS($B$9:$M$9,AN6,$B$10:$M$10,"✔")&gt;0,$B$4="All"),AN6=$B$4),OR($B$5="All",AO6=$B$5),OR($B$6="All Stores",CJ6=IF($B$6="With Footfall Device",1,0)),OR($B$7="All Stores",AQ6=1),OR($B$8="All",BH6=$B$8)),1,0)</f>
        <v>0</v>
      </c>
      <c r="AQ6" s="8">
        <f t="shared" ref="AQ6" si="3">--(AT6&gt;0)</f>
        <v>0</v>
      </c>
      <c r="AR6" s="8" cm="1">
        <f t="array" ref="AR6">IF($BF6="",0,_xlfn.LET(_xlpm.d,IFERROR(--'Sales and count'!$G$2:$CC$2,0),SUMPRODUCT(('Sales and count'!$G$3:$CC$3="Total")*(_xlpm.d&gt;=$U$4)*(_xlpm.d&lt;=$U$5),INDEX('Sales and count'!$G$4:$CC$300,$BF6,0))))</f>
        <v>63276.909999999989</v>
      </c>
      <c r="AS6" s="8" cm="1">
        <f t="array" aca="1" ref="AS6" ca="1">IF($BF6="",0,_xlfn.LET(_xlpm.d,IFERROR(--'Sales and count'!$F$2:$CB$2,0),SUMPRODUCT(('Sales and count'!$G$3:$CC$3="Transactions")*(_xlpm.d&gt;=$U$4)*(_xlpm.d&lt;=$U$5),INDEX('Sales and count'!$G$4:$CC$300,$BF6,0))))</f>
        <v>324</v>
      </c>
      <c r="AT6" s="8" cm="1">
        <f t="array" ref="AT6">IF($AW6="",0,SUMPRODUCT((TRIM('LY Sales '!$B$5:$B$200)=$AW6)*('LY Sales '!$C$2:$AG$2&gt;=EDATE($U$4,-12))*('LY Sales '!$C$2:$AG$2&lt;=EDATE($U$5,-12)),'LY Sales '!$C$5:$AG$200))</f>
        <v>0</v>
      </c>
      <c r="AU6" s="8" cm="1">
        <f t="array" ref="AU6">IF($AW6="",0,SUMPRODUCT((TRIM('LY Transaction'!$B$5:$B$200)=$AW6)*('LY Transaction'!$C$2:$AG$2&gt;=EDATE($U$4,-12))*('LY Transaction'!$C$2:$AG$2&lt;=EDATE($U$5,-12)),'LY Transaction'!$C$5:$AG$200))</f>
        <v>0</v>
      </c>
      <c r="AV6" s="8" cm="1">
        <f t="array" ref="AV6">IF(NOT(ISNUMBER($BG6)),0,SUMPRODUCT(('TY Sales Target'!$K$2:$AO$2&gt;=$U$4)*('TY Sales Target'!$K$2:$AO$2&lt;=$U$5),INDEX('TY Sales Target'!$K$5:$AO$300,$BG6,0)))</f>
        <v>72786.621717305708</v>
      </c>
      <c r="AW6" s="8" t="str" cm="1">
        <f t="array" ref="AW6">IFERROR(INDEX(_xlfn.ANCHORARRAY($BR$5),ROWS($AW$5:AW6)),"")</f>
        <v>HAOTHARAR</v>
      </c>
      <c r="AY6" s="132" cm="1">
        <f t="array" ref="AY6:AY36">_xlfn.LET(_xlpm.d,IFERROR(--'Sales and count'!$G$2:$CC$2,0),_xlfn._xlws.SORT(_xlfn.UNIQUE(_xlfn.TOCOL(_xlfn._xlws.FILTER(_xlpm.d,('Sales and count'!$G$3:$CC$3="Total")*(_xlpm.d&gt;0))))))</f>
        <v>46296</v>
      </c>
      <c r="AZ6" s="132" cm="1">
        <f t="array" ref="AZ6">_xlfn.LET(_xlpm.d,IFERROR(--'Sales and count'!$G$2:$CC$2,0),_xlpm.t,_xlfn.BYCOL('Sales and count'!$G$4:$CC$300,_xlfn.LAMBDA(_xlpm.c,SUM(_xlpm.c))),MAX(_xlfn._xlws.FILTER(_xlpm.d,('Sales and count'!$G$3:$CC$3="Total")*(_xlpm.t&gt;0),0)))</f>
        <v>46321</v>
      </c>
      <c r="BB6" cm="1">
        <f t="array" ref="BB6">IF($AW6="",0,SUMPRODUCT((TRIM(Footfall!$B$5:$B$301)=$AW6)*(Footfall!$C$1:$BZ$1&gt;=$U$4)*(Footfall!$C$2:$BZ$2&lt;=$U$5)*(Footfall!$C$1:$BZ$1&lt;&gt;""),Footfall!$C$5:$BZ$301))</f>
        <v>0</v>
      </c>
      <c r="BC6" cm="1">
        <f t="array" ref="BC6">IF(OR($BB6&lt;=0,$BD$1="",$BF6=""),0,_xlfn.LET(_xlpm.d,IFERROR(--'Sales and count'!$F$2:$CB$2,0),SUMPRODUCT(('Sales and count'!$G$3:$CC$3="Transactions")*(_xlpm.d&gt;=$BD$1)*(_xlpm.d&lt;=$BD$2),INDEX('Sales and count'!$G$4:$CC$300,$BF6,0))))</f>
        <v>0</v>
      </c>
      <c r="BF6" cm="1">
        <f t="array" ref="BF6">IF($AW6="","",IFERROR(MATCH($AW6,TRIM('Sales and count'!$A$4:$A$300&amp;""),0),""))</f>
        <v>2</v>
      </c>
      <c r="BG6" cm="1">
        <f t="array" ref="BG6">IF($AW6="","",IFERROR(MATCH(IFERROR(_xlfn.XLOOKUP($AW6,$BT$5:$BT$22,$BU$5:$BU$22),$AW6),TRIM('TY Sales Target'!$B$5:$B$300&amp;""),0),""))</f>
        <v>107</v>
      </c>
      <c r="BH6" t="str" cm="1">
        <f t="array" ref="BH6">IF(ISNUMBER($BG6),_xlfn.LET(_xlpm.p,TRIM(INDEX('TY Sales Target'!$I$5:$I$300,$BG6)&amp;""),IF(_xlpm.p="","Not set",_xlpm.p)),"Not set")</f>
        <v>Gold Bar</v>
      </c>
      <c r="BI6" cm="1">
        <f t="array" ref="BI6">IF($BF6="",0,_xlfn.LET(_xlpm.d,IFERROR(--'Sales and count'!$G$2:$CC$2,0),SUMPRODUCT(('Sales and count'!$G$3:$CC$3="Total")*(_xlpm.d&gt;=$BZ$5)*(_xlpm.d&lt;=$BZ$6),INDEX('Sales and count'!$G$4:$CC$300,$BF6,0))))</f>
        <v>63276.909999999989</v>
      </c>
      <c r="BJ6" cm="1">
        <f t="array" ref="BJ6">IF($AW6="",0,SUMPRODUCT((TRIM('LY Sales '!$B$5:$B$200)=$AW6)*('LY Sales '!$C$2:$AG$2&gt;=EDATE($BZ$5,-12))*('LY Sales '!$C$2:$AG$2&lt;=EDATE($BZ$6,-12)),'LY Sales '!$C$5:$AG$200))</f>
        <v>0</v>
      </c>
      <c r="BK6" cm="1">
        <f t="array" ref="BK6">IF($AW6="",0,SUMPRODUCT((TRIM('LY Sales '!$B$5:$B$200)=$AW6)*('LY Sales '!$C$2:$AG$2&gt;=EDATE($BZ$5,-12))*('LY Sales '!$C$2:$AG$2&lt;=EDATE($BZ$7,-12)),'LY Sales '!$C$5:$AG$200))</f>
        <v>0</v>
      </c>
      <c r="BL6" cm="1">
        <f t="array" ref="BL6">IF($AW6="",0,SUMPRODUCT((TRIM('LY Sales '!$B$5:$B$200)=$AW6)*('LY Sales '!$C$2:$AG$2&gt;=EDATE($BZ$5,-12))*('LY Sales '!$C$2:$AG$2&lt;=EDATE($BZ$6,-12))*('LY Sales '!$C$5:$AG$200&gt;0)))</f>
        <v>0</v>
      </c>
      <c r="BM6" cm="1">
        <f t="array" ref="BM6">IF(NOT(ISNUMBER($BG6)),0,SUMPRODUCT(('TY Sales Target'!$K$2:$AO$2&gt;=$BZ$5)*('TY Sales Target'!$K$2:$AO$2&lt;=$BZ$6),INDEX('TY Sales Target'!$K$5:$AO$300,$BG6,0)))</f>
        <v>72786.621717305708</v>
      </c>
      <c r="BN6" cm="1">
        <f t="array" ref="BN6">IF(NOT(ISNUMBER($BG6)),0,SUMPRODUCT(('TY Sales Target'!$K$2:$AO$2&gt;=$BZ$5)*('TY Sales Target'!$K$2:$AO$2&lt;=$BZ$7),INDEX('TY Sales Target'!$K$5:$AO$300,$BG6,0)))</f>
        <v>95000</v>
      </c>
      <c r="BO6" cm="1">
        <f t="array" ref="BO6">IF($AW6="",0,IFERROR(_xlfn.SWITCH($BP6,"LY trend",$BI6*$BK6/$BJ6,"Target curve",$BI6*$BN6/$BM6,"Run rate",$BI6/$BZ$8*$BZ$9,0),0))</f>
        <v>82588.067809317683</v>
      </c>
      <c r="BP6" t="str">
        <f t="shared" si="1"/>
        <v>Target curve</v>
      </c>
      <c r="BR6" t="str">
        <v>HAOTHARAR</v>
      </c>
      <c r="BT6" s="183"/>
      <c r="BU6" s="183"/>
      <c r="BV6" t="str">
        <v>Multiple (ticked)</v>
      </c>
      <c r="BW6" t="str">
        <v>Car</v>
      </c>
      <c r="BX6" t="str">
        <v>Abha</v>
      </c>
      <c r="BY6" t="s">
        <v>554</v>
      </c>
      <c r="BZ6" s="132">
        <f>MIN($U$5,$AZ$6)</f>
        <v>46321</v>
      </c>
      <c r="CB6" cm="1">
        <f t="array" ref="CB6">IF($AW6="",0,_xlfn.LET(_xlpm.k,IFERROR(_xlfn.XLOOKUP($AW6,$CD$6:$CD$21,$CE$6:$CE$21),$AW6),SUMPRODUCT((TRIM('Makeup '!$A$2:$A$300&amp;"")=_xlpm.k)*1,IFERROR('Makeup '!$F$2:$F$300*1,0))))</f>
        <v>3411.97</v>
      </c>
      <c r="CD6" s="183"/>
      <c r="CE6" s="183"/>
      <c r="CF6" t="str" cm="1">
        <f t="array" ref="CF6">IF($AW6="","",_xlfn.LET(_xlpm.c,IFERROR(TRIM(INDEX('Sales and count'!$B$4:$B$300,$BF6)&amp;""),""),IF(OR(_xlpm.c="",_xlpm.c="0",LEFT(_xlpm.c,1)="#"),"Not set",_xlpm.c)))</f>
        <v>KSA</v>
      </c>
      <c r="CG6" t="str">
        <v>KSA</v>
      </c>
      <c r="CH6" cm="1">
        <f t="array" ref="CH6">IF($AW6="",0,_xlfn.LET(_xlpm.k,IFERROR(_xlfn.XLOOKUP($AW6,$CD$6:$CD$21,$CE$6:$CE$21),$AW6),--(SUMPRODUCT((TRIM('Makeup '!$A$2:$A$300&amp;"")=_xlpm.k)*ISNUMBER('Makeup '!$F$2:$F$300))&gt;0)))</f>
        <v>1</v>
      </c>
      <c r="CI6">
        <f t="shared" ref="CI6:CI70" si="4">$AR6*$CH6</f>
        <v>63276.909999999989</v>
      </c>
      <c r="CJ6" cm="1">
        <f t="array" ref="CJ6">IF($AW6="",0,--(SUMPRODUCT(--(TRIM(Footfall!$B$5:$B$301)=$AW6))&gt;0))</f>
        <v>0</v>
      </c>
      <c r="CK6" s="8" cm="1">
        <f t="array" ref="CK6">IF($AW6="",0,_xlfn.LET(_xlpm.r,IFERROR(MATCH(IFERROR(_xlfn.XLOOKUP($AW6,$BT$5:$BT$22,$BU$5:$BU$22),$AW6),TRIM('TY Beauty Target'!$B$5:$B$300&amp;""),0),""),IF(ISNUMBER(_xlpm.r),SUMPRODUCT(('TY Beauty Target'!$L$2:$AP$2&gt;=$U$4)*('TY Beauty Target'!$L$2:$AP$2&lt;=$U$5),INDEX('TY Beauty Target'!$L$5:$AP$300,_xlpm.r,0)),0)))</f>
        <v>8019.9926727039492</v>
      </c>
    </row>
    <row r="7" spans="1:89" ht="23.25" x14ac:dyDescent="0.25">
      <c r="A7" s="10" t="s">
        <v>166</v>
      </c>
      <c r="B7" s="11" t="s">
        <v>167</v>
      </c>
      <c r="D7" s="12" t="s">
        <v>170</v>
      </c>
      <c r="F7" s="14">
        <f>F13</f>
        <v>-0.26511873382321727</v>
      </c>
      <c r="G7" s="14"/>
      <c r="H7" s="12" t="s">
        <v>203</v>
      </c>
      <c r="J7" s="14">
        <f ca="1">R13</f>
        <v>-0.31303298471440066</v>
      </c>
      <c r="L7" s="12" t="s">
        <v>551</v>
      </c>
      <c r="N7" s="184">
        <f>L13</f>
        <v>3556543.8452974143</v>
      </c>
      <c r="P7" s="174" t="s">
        <v>433</v>
      </c>
      <c r="Q7" s="175" t="s">
        <v>434</v>
      </c>
      <c r="T7" s="48" t="s">
        <v>390</v>
      </c>
      <c r="U7" s="134">
        <f>IF(U5&lt;U4,0,U5-U4+1)</f>
        <v>26</v>
      </c>
      <c r="V7" s="66" t="str">
        <f>IF($BD$1="","ⓘ No footfall loaded for the selected dates",IF(OR($BD$1&lt;&gt;$U$4,$BD$2&lt;&gt;$U$5),"ⓘ Footfall covers "&amp;TEXT($BD$1,"dd mmm")&amp;"–"&amp;TEXT($BD$2,"dd mmm")&amp;" only – conversion uses transactions for those dates",""))</f>
        <v/>
      </c>
      <c r="AN7" s="8" t="str" cm="1">
        <f t="array" ref="AN7">IF($AW7="","",_xlfn.LET(_xlpm.sa,IFERROR(TRIM(INDEX('Sales and count'!$D$4:$D$300,$BF7)&amp;""),""),_xlpm.ta,IFERROR(TRIM(INDEX('TY Sales Target'!$F$5:$F$300,$BG7)&amp;""),""),IF(AND(_xlpm.sa&lt;&gt;"",LEFT(_xlpm.sa,1)&lt;&gt;"#",_xlpm.sa&lt;&gt;"0"),_xlpm.sa,IF(AND(_xlpm.ta&lt;&gt;"",LEFT(_xlpm.ta,1)&lt;&gt;"#",_xlpm.ta&lt;&gt;"0"),_xlpm.ta,IF(ISNUMBER($BG7),"Unassigned","")))))</f>
        <v>Ahlam Al Zahrani</v>
      </c>
      <c r="AO7" s="8" t="str" cm="1">
        <f t="array" ref="AO7">IF($AW7="","",_xlfn.LET(_xlpm.sa,IFERROR(TRIM(INDEX('Sales and count'!$C$4:$C$300,$BF7)&amp;""),""),_xlpm.ta,IFERROR(TRIM(INDEX('TY Sales Target'!$D$5:$D$300,$BG7)&amp;""),""),IF(AND(_xlpm.sa&lt;&gt;"",LEFT(_xlpm.sa,1)&lt;&gt;"#",_xlpm.sa&lt;&gt;"0"),_xlpm.sa,IF(AND(_xlpm.ta&lt;&gt;"",LEFT(_xlpm.ta,1)&lt;&gt;"#",_xlpm.ta&lt;&gt;"0"),_xlpm.ta,""))))</f>
        <v>Jeddah</v>
      </c>
      <c r="AP7" s="8">
        <f t="shared" si="2"/>
        <v>0</v>
      </c>
      <c r="AQ7" s="8">
        <f t="shared" si="0"/>
        <v>0</v>
      </c>
      <c r="AR7" s="8" cm="1">
        <f t="array" ref="AR7">IF($BF7="",0,_xlfn.LET(_xlpm.d,IFERROR(--'Sales and count'!$G$2:$CC$2,0),SUMPRODUCT(('Sales and count'!$G$3:$CC$3="Total")*(_xlpm.d&gt;=$U$4)*(_xlpm.d&lt;=$U$5),INDEX('Sales and count'!$G$4:$CC$300,$BF7,0))))</f>
        <v>142840.76</v>
      </c>
      <c r="AS7" s="8" cm="1">
        <f t="array" aca="1" ref="AS7" ca="1">IF($BF7="",0,_xlfn.LET(_xlpm.d,IFERROR(--'Sales and count'!$F$2:$CB$2,0),SUMPRODUCT(('Sales and count'!$G$3:$CC$3="Transactions")*(_xlpm.d&gt;=$U$4)*(_xlpm.d&lt;=$U$5),INDEX('Sales and count'!$G$4:$CC$300,$BF7,0))))</f>
        <v>909</v>
      </c>
      <c r="AT7" s="8" cm="1">
        <f t="array" ref="AT7">IF($AW7="",0,SUMPRODUCT((TRIM('LY Sales '!$B$5:$B$200)=$AW7)*('LY Sales '!$C$2:$AG$2&gt;=EDATE($U$4,-12))*('LY Sales '!$C$2:$AG$2&lt;=EDATE($U$5,-12)),'LY Sales '!$C$5:$AG$200))</f>
        <v>0</v>
      </c>
      <c r="AU7" s="8" cm="1">
        <f t="array" ref="AU7">IF($AW7="",0,SUMPRODUCT((TRIM('LY Transaction'!$B$5:$B$200)=$AW7)*('LY Transaction'!$C$2:$AG$2&gt;=EDATE($U$4,-12))*('LY Transaction'!$C$2:$AG$2&lt;=EDATE($U$5,-12)),'LY Transaction'!$C$5:$AG$200))</f>
        <v>0</v>
      </c>
      <c r="AV7" s="8" cm="1">
        <f t="array" ref="AV7">IF(NOT(ISNUMBER($BG7)),0,SUMPRODUCT(('TY Sales Target'!$K$2:$AO$2&gt;=$U$4)*('TY Sales Target'!$K$2:$AO$2&lt;=$U$5),INDEX('TY Sales Target'!$K$5:$AO$300,$BG7,0)))</f>
        <v>153234.99308906466</v>
      </c>
      <c r="AW7" s="8" t="str" cm="1">
        <f t="array" ref="AW7">IFERROR(INDEX(_xlfn.ANCHORARRAY($BR$5),ROWS($AW$5:AW7)),"")</f>
        <v>HAPALMJED</v>
      </c>
      <c r="AY7" s="132">
        <v>46297</v>
      </c>
      <c r="AZ7" s="132"/>
      <c r="BB7" cm="1">
        <f t="array" ref="BB7">IF($AW7="",0,SUMPRODUCT((TRIM(Footfall!$B$5:$B$301)=$AW7)*(Footfall!$C$1:$BZ$1&gt;=$U$4)*(Footfall!$C$2:$BZ$2&lt;=$U$5)*(Footfall!$C$1:$BZ$1&lt;&gt;""),Footfall!$C$5:$BZ$301))</f>
        <v>0</v>
      </c>
      <c r="BC7" cm="1">
        <f t="array" ref="BC7">IF(OR($BB7&lt;=0,$BD$1="",$BF7=""),0,_xlfn.LET(_xlpm.d,IFERROR(--'Sales and count'!$F$2:$CB$2,0),SUMPRODUCT(('Sales and count'!$G$3:$CC$3="Transactions")*(_xlpm.d&gt;=$BD$1)*(_xlpm.d&lt;=$BD$2),INDEX('Sales and count'!$G$4:$CC$300,$BF7,0))))</f>
        <v>0</v>
      </c>
      <c r="BF7" cm="1">
        <f t="array" ref="BF7">IF($AW7="","",IFERROR(MATCH($AW7,TRIM('Sales and count'!$A$4:$A$300&amp;""),0),""))</f>
        <v>3</v>
      </c>
      <c r="BG7" cm="1">
        <f t="array" ref="BG7">IF($AW7="","",IFERROR(MATCH(IFERROR(_xlfn.XLOOKUP($AW7,$BT$5:$BT$22,$BU$5:$BU$22),$AW7),TRIM('TY Sales Target'!$B$5:$B$300&amp;""),0),""))</f>
        <v>68</v>
      </c>
      <c r="BH7" t="str" cm="1">
        <f t="array" ref="BH7">IF(ISNUMBER($BG7),_xlfn.LET(_xlpm.p,TRIM(INDEX('TY Sales Target'!$I$5:$I$300,$BG7)&amp;""),IF(_xlpm.p="","Not set",_xlpm.p)),"Not set")</f>
        <v>Smart Phone</v>
      </c>
      <c r="BI7" cm="1">
        <f t="array" ref="BI7">IF($BF7="",0,_xlfn.LET(_xlpm.d,IFERROR(--'Sales and count'!$G$2:$CC$2,0),SUMPRODUCT(('Sales and count'!$G$3:$CC$3="Total")*(_xlpm.d&gt;=$BZ$5)*(_xlpm.d&lt;=$BZ$6),INDEX('Sales and count'!$G$4:$CC$300,$BF7,0))))</f>
        <v>142840.76</v>
      </c>
      <c r="BJ7" cm="1">
        <f t="array" ref="BJ7">IF($AW7="",0,SUMPRODUCT((TRIM('LY Sales '!$B$5:$B$200)=$AW7)*('LY Sales '!$C$2:$AG$2&gt;=EDATE($BZ$5,-12))*('LY Sales '!$C$2:$AG$2&lt;=EDATE($BZ$6,-12)),'LY Sales '!$C$5:$AG$200))</f>
        <v>0</v>
      </c>
      <c r="BK7" cm="1">
        <f t="array" ref="BK7">IF($AW7="",0,SUMPRODUCT((TRIM('LY Sales '!$B$5:$B$200)=$AW7)*('LY Sales '!$C$2:$AG$2&gt;=EDATE($BZ$5,-12))*('LY Sales '!$C$2:$AG$2&lt;=EDATE($BZ$7,-12)),'LY Sales '!$C$5:$AG$200))</f>
        <v>0</v>
      </c>
      <c r="BL7" cm="1">
        <f t="array" ref="BL7">IF($AW7="",0,SUMPRODUCT((TRIM('LY Sales '!$B$5:$B$200)=$AW7)*('LY Sales '!$C$2:$AG$2&gt;=EDATE($BZ$5,-12))*('LY Sales '!$C$2:$AG$2&lt;=EDATE($BZ$6,-12))*('LY Sales '!$C$5:$AG$200&gt;0)))</f>
        <v>0</v>
      </c>
      <c r="BM7" cm="1">
        <f t="array" ref="BM7">IF(NOT(ISNUMBER($BG7)),0,SUMPRODUCT(('TY Sales Target'!$K$2:$AO$2&gt;=$BZ$5)*('TY Sales Target'!$K$2:$AO$2&lt;=$BZ$6),INDEX('TY Sales Target'!$K$5:$AO$300,$BG7,0)))</f>
        <v>153234.99308906466</v>
      </c>
      <c r="BN7" cm="1">
        <f t="array" ref="BN7">IF(NOT(ISNUMBER($BG7)),0,SUMPRODUCT(('TY Sales Target'!$K$2:$AO$2&gt;=$BZ$5)*('TY Sales Target'!$K$2:$AO$2&lt;=$BZ$7),INDEX('TY Sales Target'!$K$5:$AO$300,$BG7,0)))</f>
        <v>200000.00000000006</v>
      </c>
      <c r="BO7" cm="1">
        <f t="array" ref="BO7">IF($AW7="",0,IFERROR(_xlfn.SWITCH($BP7,"LY trend",$BI7*$BK7/$BJ7,"Target curve",$BI7*$BN7/$BM7,"Run rate",$BI7/$BZ$8*$BZ$9,0),0))</f>
        <v>186433.60386615715</v>
      </c>
      <c r="BP7" t="str">
        <f t="shared" si="1"/>
        <v>Target curve</v>
      </c>
      <c r="BR7" t="str">
        <v>HAPALMJED</v>
      </c>
      <c r="BV7" t="str">
        <v>Ahlam Al Zahrani</v>
      </c>
      <c r="BW7" t="str">
        <v>Smart Phone</v>
      </c>
      <c r="BX7" t="str">
        <v>Abo Areash</v>
      </c>
      <c r="BY7" t="s">
        <v>527</v>
      </c>
      <c r="BZ7" s="132">
        <f>EOMONTH($BZ$6,0)</f>
        <v>46326</v>
      </c>
      <c r="CB7" cm="1">
        <f t="array" ref="CB7">IF($AW7="",0,_xlfn.LET(_xlpm.k,IFERROR(_xlfn.XLOOKUP($AW7,$CD$6:$CD$21,$CE$6:$CE$21),$AW7),SUMPRODUCT((TRIM('Makeup '!$A$2:$A$300&amp;"")=_xlpm.k)*1,IFERROR('Makeup '!$F$2:$F$300*1,0))))</f>
        <v>13242.49</v>
      </c>
      <c r="CF7" t="str" cm="1">
        <f t="array" ref="CF7">IF($AW7="","",_xlfn.LET(_xlpm.c,IFERROR(TRIM(INDEX('Sales and count'!$B$4:$B$300,$BF7)&amp;""),""),IF(OR(_xlpm.c="",_xlpm.c="0",LEFT(_xlpm.c,1)="#"),"Not set",_xlpm.c)))</f>
        <v>KSA</v>
      </c>
      <c r="CG7" t="str">
        <v>Not set</v>
      </c>
      <c r="CH7" cm="1">
        <f t="array" ref="CH7">IF($AW7="",0,_xlfn.LET(_xlpm.k,IFERROR(_xlfn.XLOOKUP($AW7,$CD$6:$CD$21,$CE$6:$CE$21),$AW7),--(SUMPRODUCT((TRIM('Makeup '!$A$2:$A$300&amp;"")=_xlpm.k)*ISNUMBER('Makeup '!$F$2:$F$300))&gt;0)))</f>
        <v>1</v>
      </c>
      <c r="CI7">
        <f t="shared" si="4"/>
        <v>142840.76</v>
      </c>
      <c r="CJ7" cm="1">
        <f t="array" ref="CJ7">IF($AW7="",0,--(SUMPRODUCT(--(TRIM(Footfall!$B$5:$B$301)=$AW7))&gt;0))</f>
        <v>0</v>
      </c>
      <c r="CK7" s="8" cm="1">
        <f t="array" ref="CK7">IF($AW7="",0,_xlfn.LET(_xlpm.r,IFERROR(MATCH(IFERROR(_xlfn.XLOOKUP($AW7,$BT$5:$BT$22,$BU$5:$BU$22),$AW7),TRIM('TY Beauty Target'!$B$5:$B$300&amp;""),0),""),IF(ISNUMBER(_xlpm.r),SUMPRODUCT(('TY Beauty Target'!$L$2:$AP$2&gt;=$U$4)*('TY Beauty Target'!$L$2:$AP$2&lt;=$U$5),INDEX('TY Beauty Target'!$L$5:$AP$300,_xlpm.r,0)),0)))</f>
        <v>16664.129428309869</v>
      </c>
    </row>
    <row r="8" spans="1:89" x14ac:dyDescent="0.25">
      <c r="A8" s="10" t="s">
        <v>518</v>
      </c>
      <c r="B8" s="206" t="s">
        <v>165</v>
      </c>
      <c r="D8" s="12" t="s">
        <v>512</v>
      </c>
      <c r="F8" s="179">
        <f>W13</f>
        <v>45821</v>
      </c>
      <c r="G8" s="14"/>
      <c r="H8" s="12" t="s">
        <v>513</v>
      </c>
      <c r="J8" s="180">
        <f ca="1">Y13</f>
        <v>0.20800506318063769</v>
      </c>
      <c r="L8" s="12" t="s">
        <v>552</v>
      </c>
      <c r="N8" s="180" t="str">
        <f>TEXT($BZ$8,"0")&amp;" of "&amp;TEXT($BZ$9,"0")&amp;" days ("&amp;TEXT($BZ$6,"dd mmm")&amp;")"</f>
        <v>26 of 31 days (26 Oct)</v>
      </c>
      <c r="AN8" s="8" t="str" cm="1">
        <f t="array" ref="AN8">IF($AW8="","",_xlfn.LET(_xlpm.sa,IFERROR(TRIM(INDEX('Sales and count'!$D$4:$D$300,$BF8)&amp;""),""),_xlpm.ta,IFERROR(TRIM(INDEX('TY Sales Target'!$F$5:$F$300,$BG8)&amp;""),""),IF(AND(_xlpm.sa&lt;&gt;"",LEFT(_xlpm.sa,1)&lt;&gt;"#",_xlpm.sa&lt;&gt;"0"),_xlpm.sa,IF(AND(_xlpm.ta&lt;&gt;"",LEFT(_xlpm.ta,1)&lt;&gt;"#",_xlpm.ta&lt;&gt;"0"),_xlpm.ta,IF(ISNUMBER($BG8),"Unassigned","")))))</f>
        <v>Ahlam Al Zahrani</v>
      </c>
      <c r="AO8" s="8" t="str" cm="1">
        <f t="array" ref="AO8">IF($AW8="","",_xlfn.LET(_xlpm.sa,IFERROR(TRIM(INDEX('Sales and count'!$C$4:$C$300,$BF8)&amp;""),""),_xlpm.ta,IFERROR(TRIM(INDEX('TY Sales Target'!$D$5:$D$300,$BG8)&amp;""),""),IF(AND(_xlpm.sa&lt;&gt;"",LEFT(_xlpm.sa,1)&lt;&gt;"#",_xlpm.sa&lt;&gt;"0"),_xlpm.sa,IF(AND(_xlpm.ta&lt;&gt;"",LEFT(_xlpm.ta,1)&lt;&gt;"#",_xlpm.ta&lt;&gt;"0"),_xlpm.ta,""))))</f>
        <v>Jeddah</v>
      </c>
      <c r="AP8" s="8">
        <f t="shared" si="2"/>
        <v>0</v>
      </c>
      <c r="AQ8" s="8">
        <f t="shared" si="0"/>
        <v>1</v>
      </c>
      <c r="AR8" s="8" cm="1">
        <f t="array" ref="AR8">IF($BF8="",0,_xlfn.LET(_xlpm.d,IFERROR(--'Sales and count'!$G$2:$CC$2,0),SUMPRODUCT(('Sales and count'!$G$3:$CC$3="Total")*(_xlpm.d&gt;=$U$4)*(_xlpm.d&lt;=$U$5),INDEX('Sales and count'!$G$4:$CC$300,$BF8,0))))</f>
        <v>150526.64000000001</v>
      </c>
      <c r="AS8" s="8" cm="1">
        <f t="array" aca="1" ref="AS8" ca="1">IF($BF8="",0,_xlfn.LET(_xlpm.d,IFERROR(--'Sales and count'!$F$2:$CB$2,0),SUMPRODUCT(('Sales and count'!$G$3:$CC$3="Transactions")*(_xlpm.d&gt;=$U$4)*(_xlpm.d&lt;=$U$5),INDEX('Sales and count'!$G$4:$CC$300,$BF8,0))))</f>
        <v>829</v>
      </c>
      <c r="AT8" s="8" cm="1">
        <f t="array" ref="AT8">IF($AW8="",0,SUMPRODUCT((TRIM('LY Sales '!$B$5:$B$200)=$AW8)*('LY Sales '!$C$2:$AG$2&gt;=EDATE($U$4,-12))*('LY Sales '!$C$2:$AG$2&lt;=EDATE($U$5,-12)),'LY Sales '!$C$5:$AG$200))</f>
        <v>248762.98999999996</v>
      </c>
      <c r="AU8" s="8" cm="1">
        <f t="array" ref="AU8">IF($AW8="",0,SUMPRODUCT((TRIM('LY Transaction'!$B$5:$B$200)=$AW8)*('LY Transaction'!$C$2:$AG$2&gt;=EDATE($U$4,-12))*('LY Transaction'!$C$2:$AG$2&lt;=EDATE($U$5,-12)),'LY Transaction'!$C$5:$AG$200))</f>
        <v>1454</v>
      </c>
      <c r="AV8" s="8" cm="1">
        <f t="array" ref="AV8">IF(NOT(ISNUMBER($BG8)),0,SUMPRODUCT(('TY Sales Target'!$K$2:$AO$2&gt;=$U$4)*('TY Sales Target'!$K$2:$AO$2&lt;=$U$5),INDEX('TY Sales Target'!$K$5:$AO$300,$BG8,0)))</f>
        <v>187712.86653410419</v>
      </c>
      <c r="AW8" s="8" t="str" cm="1">
        <f t="array" ref="AW8">IFERROR(INDEX(_xlfn.ANCHORARRAY($BR$5),ROWS($AW$5:AW8)),"")</f>
        <v>TAHLIAST</v>
      </c>
      <c r="AY8" s="132">
        <v>46298</v>
      </c>
      <c r="AZ8" s="132"/>
      <c r="BB8" cm="1">
        <f t="array" ref="BB8">IF($AW8="",0,SUMPRODUCT((TRIM(Footfall!$B$5:$B$301)=$AW8)*(Footfall!$C$1:$BZ$1&gt;=$U$4)*(Footfall!$C$2:$BZ$2&lt;=$U$5)*(Footfall!$C$1:$BZ$1&lt;&gt;""),Footfall!$C$5:$BZ$301))</f>
        <v>3090</v>
      </c>
      <c r="BC8" cm="1">
        <f t="array" aca="1" ref="BC8" ca="1">IF(OR($BB8&lt;=0,$BD$1="",$BF8=""),0,_xlfn.LET(_xlpm.d,IFERROR(--'Sales and count'!$F$2:$CB$2,0),SUMPRODUCT(('Sales and count'!$G$3:$CC$3="Transactions")*(_xlpm.d&gt;=$BD$1)*(_xlpm.d&lt;=$BD$2),INDEX('Sales and count'!$G$4:$CC$300,$BF8,0))))</f>
        <v>829</v>
      </c>
      <c r="BF8" cm="1">
        <f t="array" ref="BF8">IF($AW8="","",IFERROR(MATCH($AW8,TRIM('Sales and count'!$A$4:$A$300&amp;""),0),""))</f>
        <v>4</v>
      </c>
      <c r="BG8" cm="1">
        <f t="array" ref="BG8">IF($AW8="","",IFERROR(MATCH(IFERROR(_xlfn.XLOOKUP($AW8,$BT$5:$BT$22,$BU$5:$BU$22),$AW8),TRIM('TY Sales Target'!$B$5:$B$300&amp;""),0),""))</f>
        <v>49</v>
      </c>
      <c r="BH8" t="str" cm="1">
        <f t="array" ref="BH8">IF(ISNUMBER($BG8),_xlfn.LET(_xlpm.p,TRIM(INDEX('TY Sales Target'!$I$5:$I$300,$BG8)&amp;""),IF(_xlpm.p="","Not set",_xlpm.p)),"Not set")</f>
        <v>Smart Phone</v>
      </c>
      <c r="BI8" cm="1">
        <f t="array" ref="BI8">IF($BF8="",0,_xlfn.LET(_xlpm.d,IFERROR(--'Sales and count'!$G$2:$CC$2,0),SUMPRODUCT(('Sales and count'!$G$3:$CC$3="Total")*(_xlpm.d&gt;=$BZ$5)*(_xlpm.d&lt;=$BZ$6),INDEX('Sales and count'!$G$4:$CC$300,$BF8,0))))</f>
        <v>150526.64000000001</v>
      </c>
      <c r="BJ8" cm="1">
        <f t="array" ref="BJ8">IF($AW8="",0,SUMPRODUCT((TRIM('LY Sales '!$B$5:$B$200)=$AW8)*('LY Sales '!$C$2:$AG$2&gt;=EDATE($BZ$5,-12))*('LY Sales '!$C$2:$AG$2&lt;=EDATE($BZ$6,-12)),'LY Sales '!$C$5:$AG$200))</f>
        <v>248762.98999999996</v>
      </c>
      <c r="BK8" cm="1">
        <f t="array" ref="BK8">IF($AW8="",0,SUMPRODUCT((TRIM('LY Sales '!$B$5:$B$200)=$AW8)*('LY Sales '!$C$2:$AG$2&gt;=EDATE($BZ$5,-12))*('LY Sales '!$C$2:$AG$2&lt;=EDATE($BZ$7,-12)),'LY Sales '!$C$5:$AG$200))</f>
        <v>306103.77999999997</v>
      </c>
      <c r="BL8" cm="1">
        <f t="array" ref="BL8">IF($AW8="",0,SUMPRODUCT((TRIM('LY Sales '!$B$5:$B$200)=$AW8)*('LY Sales '!$C$2:$AG$2&gt;=EDATE($BZ$5,-12))*('LY Sales '!$C$2:$AG$2&lt;=EDATE($BZ$6,-12))*('LY Sales '!$C$5:$AG$200&gt;0)))</f>
        <v>26</v>
      </c>
      <c r="BM8" cm="1">
        <f t="array" ref="BM8">IF(NOT(ISNUMBER($BG8)),0,SUMPRODUCT(('TY Sales Target'!$K$2:$AO$2&gt;=$BZ$5)*('TY Sales Target'!$K$2:$AO$2&lt;=$BZ$6),INDEX('TY Sales Target'!$K$5:$AO$300,$BG8,0)))</f>
        <v>187712.86653410419</v>
      </c>
      <c r="BN8" cm="1">
        <f t="array" ref="BN8">IF(NOT(ISNUMBER($BG8)),0,SUMPRODUCT(('TY Sales Target'!$K$2:$AO$2&gt;=$BZ$5)*('TY Sales Target'!$K$2:$AO$2&lt;=$BZ$7),INDEX('TY Sales Target'!$K$5:$AO$300,$BG8,0)))</f>
        <v>245000</v>
      </c>
      <c r="BO8" cm="1">
        <f t="array" ref="BO8">IF($AW8="",0,IFERROR(_xlfn.SWITCH($BP8,"LY trend",$BI8*$BK8/$BJ8,"Target curve",$BI8*$BN8/$BM8,"Run rate",$BI8/$BZ$8*$BZ$9,0),0))</f>
        <v>185223.58769967835</v>
      </c>
      <c r="BP8" t="str">
        <f t="shared" si="1"/>
        <v>LY trend</v>
      </c>
      <c r="BR8" t="str">
        <v>TAHLIAST</v>
      </c>
      <c r="BV8" t="str">
        <v>Ahmed Jaffari</v>
      </c>
      <c r="BW8" t="str">
        <v>I Pad</v>
      </c>
      <c r="BX8" t="str">
        <v>Al Hasa</v>
      </c>
      <c r="BY8" t="s">
        <v>528</v>
      </c>
      <c r="BZ8" s="132">
        <f>$BZ$6-$BZ$5+1</f>
        <v>26</v>
      </c>
      <c r="CB8" cm="1">
        <f t="array" ref="CB8">IF($AW8="",0,_xlfn.LET(_xlpm.k,IFERROR(_xlfn.XLOOKUP($AW8,$CD$6:$CD$21,$CE$6:$CE$21),$AW8),SUMPRODUCT((TRIM('Makeup '!$A$2:$A$300&amp;"")=_xlpm.k)*1,IFERROR('Makeup '!$F$2:$F$300*1,0))))</f>
        <v>6163.25</v>
      </c>
      <c r="CF8" t="str" cm="1">
        <f t="array" ref="CF8">IF($AW8="","",_xlfn.LET(_xlpm.c,IFERROR(TRIM(INDEX('Sales and count'!$B$4:$B$300,$BF8)&amp;""),""),IF(OR(_xlpm.c="",_xlpm.c="0",LEFT(_xlpm.c,1)="#"),"Not set",_xlpm.c)))</f>
        <v>KSA</v>
      </c>
      <c r="CG8" t="str">
        <v>Qatar</v>
      </c>
      <c r="CH8" cm="1">
        <f t="array" ref="CH8">IF($AW8="",0,_xlfn.LET(_xlpm.k,IFERROR(_xlfn.XLOOKUP($AW8,$CD$6:$CD$21,$CE$6:$CE$21),$AW8),--(SUMPRODUCT((TRIM('Makeup '!$A$2:$A$300&amp;"")=_xlpm.k)*ISNUMBER('Makeup '!$F$2:$F$300))&gt;0)))</f>
        <v>1</v>
      </c>
      <c r="CI8">
        <f t="shared" si="4"/>
        <v>150526.64000000001</v>
      </c>
      <c r="CJ8" cm="1">
        <f t="array" ref="CJ8">IF($AW8="",0,--(SUMPRODUCT(--(TRIM(Footfall!$B$5:$B$301)=$AW8))&gt;0))</f>
        <v>1</v>
      </c>
      <c r="CK8" s="8" cm="1">
        <f t="array" ref="CK8">IF($AW8="",0,_xlfn.LET(_xlpm.r,IFERROR(MATCH(IFERROR(_xlfn.XLOOKUP($AW8,$BT$5:$BT$22,$BU$5:$BU$22),$AW8),TRIM('TY Beauty Target'!$B$5:$B$300&amp;""),0),""),IF(ISNUMBER(_xlpm.r),SUMPRODUCT(('TY Beauty Target'!$L$2:$AP$2&gt;=$U$4)*('TY Beauty Target'!$L$2:$AP$2&lt;=$U$5),INDEX('TY Beauty Target'!$L$5:$AP$300,_xlpm.r,0)),0)))</f>
        <v>14022.777134461863</v>
      </c>
    </row>
    <row r="9" spans="1:89" ht="30" customHeight="1" x14ac:dyDescent="0.25">
      <c r="A9" s="205" t="s">
        <v>688</v>
      </c>
      <c r="B9" s="207" t="str" cm="1">
        <f t="array" ref="B9">IFERROR(INDEX(_xlfn._xlws.SORT(_xlfn.UNIQUE(_xlfn._xlws.FILTER($AN$5:$AN$302,$AN$5:$AN$302&lt;&gt;""))),COLUMNS($B$9:B9)),"")</f>
        <v>Ahlam Al Zahrani</v>
      </c>
      <c r="C9" s="207" t="str" cm="1">
        <f t="array" ref="C9">IFERROR(INDEX(_xlfn._xlws.SORT(_xlfn.UNIQUE(_xlfn._xlws.FILTER($AN$5:$AN$302,$AN$5:$AN$302&lt;&gt;""))),COLUMNS($B$9:C9)),"")</f>
        <v>Ahmed Jaffari</v>
      </c>
      <c r="D9" s="207" t="str" cm="1">
        <f t="array" ref="D9">IFERROR(INDEX(_xlfn._xlws.SORT(_xlfn.UNIQUE(_xlfn._xlws.FILTER($AN$5:$AN$302,$AN$5:$AN$302&lt;&gt;""))),COLUMNS($B$9:D9)),"")</f>
        <v>Hamzah Al Makhadam</v>
      </c>
      <c r="E9" s="207" t="str" cm="1">
        <f t="array" ref="E9">IFERROR(INDEX(_xlfn._xlws.SORT(_xlfn.UNIQUE(_xlfn._xlws.FILTER($AN$5:$AN$302,$AN$5:$AN$302&lt;&gt;""))),COLUMNS($B$9:E9)),"")</f>
        <v>Lina Al Ghathami</v>
      </c>
      <c r="F9" s="207" t="str" cm="1">
        <f t="array" ref="F9">IFERROR(INDEX(_xlfn._xlws.SORT(_xlfn.UNIQUE(_xlfn._xlws.FILTER($AN$5:$AN$302,$AN$5:$AN$302&lt;&gt;""))),COLUMNS($B$9:F9)),"")</f>
        <v>Maram Zamzami</v>
      </c>
      <c r="G9" s="207" t="str" cm="1">
        <f t="array" ref="G9">IFERROR(INDEX(_xlfn._xlws.SORT(_xlfn.UNIQUE(_xlfn._xlws.FILTER($AN$5:$AN$302,$AN$5:$AN$302&lt;&gt;""))),COLUMNS($B$9:G9)),"")</f>
        <v>Mohammed Haidar</v>
      </c>
      <c r="H9" s="207" t="str" cm="1">
        <f t="array" ref="H9">IFERROR(INDEX(_xlfn._xlws.SORT(_xlfn.UNIQUE(_xlfn._xlws.FILTER($AN$5:$AN$302,$AN$5:$AN$302&lt;&gt;""))),COLUMNS($B$9:H9)),"")</f>
        <v>Mohammed Sanad</v>
      </c>
      <c r="I9" s="207" t="str" cm="1">
        <f t="array" ref="I9">IFERROR(INDEX(_xlfn._xlws.SORT(_xlfn.UNIQUE(_xlfn._xlws.FILTER($AN$5:$AN$302,$AN$5:$AN$302&lt;&gt;""))),COLUMNS($B$9:I9)),"")</f>
        <v>No assignment</v>
      </c>
      <c r="J9" s="207" t="str" cm="1">
        <f t="array" ref="J9">IFERROR(INDEX(_xlfn._xlws.SORT(_xlfn.UNIQUE(_xlfn._xlws.FILTER($AN$5:$AN$302,$AN$5:$AN$302&lt;&gt;""))),COLUMNS($B$9:J9)),"")</f>
        <v>Saleh Bin Hoiel</v>
      </c>
      <c r="K9" s="207" t="str" cm="1">
        <f t="array" ref="K9">IFERROR(INDEX(_xlfn._xlws.SORT(_xlfn.UNIQUE(_xlfn._xlws.FILTER($AN$5:$AN$302,$AN$5:$AN$302&lt;&gt;""))),COLUMNS($B$9:K9)),"")</f>
        <v/>
      </c>
      <c r="L9" s="207" t="str" cm="1">
        <f t="array" ref="L9">IFERROR(INDEX(_xlfn._xlws.SORT(_xlfn.UNIQUE(_xlfn._xlws.FILTER($AN$5:$AN$302,$AN$5:$AN$302&lt;&gt;""))),COLUMNS($B$9:L9)),"")</f>
        <v/>
      </c>
      <c r="M9" s="207" t="str" cm="1">
        <f t="array" ref="M9">IFERROR(INDEX(_xlfn._xlws.SORT(_xlfn.UNIQUE(_xlfn._xlws.FILTER($AN$5:$AN$302,$AN$5:$AN$302&lt;&gt;""))),COLUMNS($B$9:M9)),"")</f>
        <v/>
      </c>
      <c r="N9" s="209" t="str">
        <f>_xlfn.LET(_xlpm.k,COUNTIF($B$10:$M$10,"✔"),IF(OR($B$4="All",$B$4="Multiple (ticked)"),IF(_xlpm.k&gt;0,"Showing "&amp;_xlpm.k&amp;" ticked AM(s)","No ticks – showing "&amp;IF($B$4="All","all AMs","nothing (tick at least one)")),"ⓘ Ticks ignored – B3 is set to "&amp;$B$4&amp;". Set B3 to All to use ticks"))</f>
        <v>ⓘ Ticks ignored – B3 is set to Saleh Bin Hoiel. Set B3 to All to use ticks</v>
      </c>
      <c r="AN9" s="8" t="str" cm="1">
        <f t="array" ref="AN9">IF($AW9="","",_xlfn.LET(_xlpm.sa,IFERROR(TRIM(INDEX('Sales and count'!$D$4:$D$300,$BF9)&amp;""),""),_xlpm.ta,IFERROR(TRIM(INDEX('TY Sales Target'!$F$5:$F$300,$BG9)&amp;""),""),IF(AND(_xlpm.sa&lt;&gt;"",LEFT(_xlpm.sa,1)&lt;&gt;"#",_xlpm.sa&lt;&gt;"0"),_xlpm.sa,IF(AND(_xlpm.ta&lt;&gt;"",LEFT(_xlpm.ta,1)&lt;&gt;"#",_xlpm.ta&lt;&gt;"0"),_xlpm.ta,IF(ISNUMBER($BG9),"Unassigned","")))))</f>
        <v>Maram Zamzami</v>
      </c>
      <c r="AO9" s="8" t="str" cm="1">
        <f t="array" ref="AO9">IF($AW9="","",_xlfn.LET(_xlpm.sa,IFERROR(TRIM(INDEX('Sales and count'!$C$4:$C$300,$BF9)&amp;""),""),_xlpm.ta,IFERROR(TRIM(INDEX('TY Sales Target'!$D$5:$D$300,$BG9)&amp;""),""),IF(AND(_xlpm.sa&lt;&gt;"",LEFT(_xlpm.sa,1)&lt;&gt;"#",_xlpm.sa&lt;&gt;"0"),_xlpm.sa,IF(AND(_xlpm.ta&lt;&gt;"",LEFT(_xlpm.ta,1)&lt;&gt;"#",_xlpm.ta&lt;&gt;"0"),_xlpm.ta,""))))</f>
        <v>Makkah</v>
      </c>
      <c r="AP9" s="8">
        <f t="shared" si="2"/>
        <v>0</v>
      </c>
      <c r="AQ9" s="8">
        <f t="shared" si="0"/>
        <v>1</v>
      </c>
      <c r="AR9" s="8" cm="1">
        <f t="array" ref="AR9">IF($BF9="",0,_xlfn.LET(_xlpm.d,IFERROR(--'Sales and count'!$G$2:$CC$2,0),SUMPRODUCT(('Sales and count'!$G$3:$CC$3="Total")*(_xlpm.d&gt;=$U$4)*(_xlpm.d&lt;=$U$5),INDEX('Sales and count'!$G$4:$CC$300,$BF9,0))))</f>
        <v>121241.31000000001</v>
      </c>
      <c r="AS9" s="8" cm="1">
        <f t="array" aca="1" ref="AS9" ca="1">IF($BF9="",0,_xlfn.LET(_xlpm.d,IFERROR(--'Sales and count'!$F$2:$CB$2,0),SUMPRODUCT(('Sales and count'!$G$3:$CC$3="Transactions")*(_xlpm.d&gt;=$U$4)*(_xlpm.d&lt;=$U$5),INDEX('Sales and count'!$G$4:$CC$300,$BF9,0))))</f>
        <v>869</v>
      </c>
      <c r="AT9" s="8" cm="1">
        <f t="array" ref="AT9">IF($AW9="",0,SUMPRODUCT((TRIM('LY Sales '!$B$5:$B$200)=$AW9)*('LY Sales '!$C$2:$AG$2&gt;=EDATE($U$4,-12))*('LY Sales '!$C$2:$AG$2&lt;=EDATE($U$5,-12)),'LY Sales '!$C$5:$AG$200))</f>
        <v>122907.86000000003</v>
      </c>
      <c r="AU9" s="8" cm="1">
        <f t="array" ref="AU9">IF($AW9="",0,SUMPRODUCT((TRIM('LY Transaction'!$B$5:$B$200)=$AW9)*('LY Transaction'!$C$2:$AG$2&gt;=EDATE($U$4,-12))*('LY Transaction'!$C$2:$AG$2&lt;=EDATE($U$5,-12)),'LY Transaction'!$C$5:$AG$200))</f>
        <v>974</v>
      </c>
      <c r="AV9" s="8" cm="1">
        <f t="array" ref="AV9">IF(NOT(ISNUMBER($BG9)),0,SUMPRODUCT(('TY Sales Target'!$K$2:$AO$2&gt;=$U$4)*('TY Sales Target'!$K$2:$AO$2&lt;=$U$5),INDEX('TY Sales Target'!$K$5:$AO$300,$BG9,0)))</f>
        <v>130249.74412570494</v>
      </c>
      <c r="AW9" s="8" t="str" cm="1">
        <f t="array" ref="AW9">IFERROR(INDEX(_xlfn.ANCHORARRAY($BR$5),ROWS($AW$5:AW9)),"")</f>
        <v>HAMYANYARD</v>
      </c>
      <c r="AY9" s="132">
        <v>46299</v>
      </c>
      <c r="AZ9" s="132"/>
      <c r="BB9" cm="1">
        <f t="array" ref="BB9">IF($AW9="",0,SUMPRODUCT((TRIM(Footfall!$B$5:$B$301)=$AW9)*(Footfall!$C$1:$BZ$1&gt;=$U$4)*(Footfall!$C$2:$BZ$2&lt;=$U$5)*(Footfall!$C$1:$BZ$1&lt;&gt;""),Footfall!$C$5:$BZ$301))</f>
        <v>6311</v>
      </c>
      <c r="BC9" cm="1">
        <f t="array" aca="1" ref="BC9" ca="1">IF(OR($BB9&lt;=0,$BD$1="",$BF9=""),0,_xlfn.LET(_xlpm.d,IFERROR(--'Sales and count'!$F$2:$CB$2,0),SUMPRODUCT(('Sales and count'!$G$3:$CC$3="Transactions")*(_xlpm.d&gt;=$BD$1)*(_xlpm.d&lt;=$BD$2),INDEX('Sales and count'!$G$4:$CC$300,$BF9,0))))</f>
        <v>869</v>
      </c>
      <c r="BF9" cm="1">
        <f t="array" ref="BF9">IF($AW9="","",IFERROR(MATCH($AW9,TRIM('Sales and count'!$A$4:$A$300&amp;""),0),""))</f>
        <v>5</v>
      </c>
      <c r="BG9" cm="1">
        <f t="array" ref="BG9">IF($AW9="","",IFERROR(MATCH(IFERROR(_xlfn.XLOOKUP($AW9,$BT$5:$BT$22,$BU$5:$BU$22),$AW9),TRIM('TY Sales Target'!$B$5:$B$300&amp;""),0),""))</f>
        <v>78</v>
      </c>
      <c r="BH9" t="str" cm="1">
        <f t="array" ref="BH9">IF(ISNUMBER($BG9),_xlfn.LET(_xlpm.p,TRIM(INDEX('TY Sales Target'!$I$5:$I$300,$BG9)&amp;""),IF(_xlpm.p="","Not set",_xlpm.p)),"Not set")</f>
        <v>I Pad</v>
      </c>
      <c r="BI9" cm="1">
        <f t="array" ref="BI9">IF($BF9="",0,_xlfn.LET(_xlpm.d,IFERROR(--'Sales and count'!$G$2:$CC$2,0),SUMPRODUCT(('Sales and count'!$G$3:$CC$3="Total")*(_xlpm.d&gt;=$BZ$5)*(_xlpm.d&lt;=$BZ$6),INDEX('Sales and count'!$G$4:$CC$300,$BF9,0))))</f>
        <v>121241.31000000001</v>
      </c>
      <c r="BJ9" cm="1">
        <f t="array" ref="BJ9">IF($AW9="",0,SUMPRODUCT((TRIM('LY Sales '!$B$5:$B$200)=$AW9)*('LY Sales '!$C$2:$AG$2&gt;=EDATE($BZ$5,-12))*('LY Sales '!$C$2:$AG$2&lt;=EDATE($BZ$6,-12)),'LY Sales '!$C$5:$AG$200))</f>
        <v>122907.86000000003</v>
      </c>
      <c r="BK9" cm="1">
        <f t="array" ref="BK9">IF($AW9="",0,SUMPRODUCT((TRIM('LY Sales '!$B$5:$B$200)=$AW9)*('LY Sales '!$C$2:$AG$2&gt;=EDATE($BZ$5,-12))*('LY Sales '!$C$2:$AG$2&lt;=EDATE($BZ$7,-12)),'LY Sales '!$C$5:$AG$200))</f>
        <v>155071.30000000002</v>
      </c>
      <c r="BL9" cm="1">
        <f t="array" ref="BL9">IF($AW9="",0,SUMPRODUCT((TRIM('LY Sales '!$B$5:$B$200)=$AW9)*('LY Sales '!$C$2:$AG$2&gt;=EDATE($BZ$5,-12))*('LY Sales '!$C$2:$AG$2&lt;=EDATE($BZ$6,-12))*('LY Sales '!$C$5:$AG$200&gt;0)))</f>
        <v>26</v>
      </c>
      <c r="BM9" cm="1">
        <f t="array" ref="BM9">IF(NOT(ISNUMBER($BG9)),0,SUMPRODUCT(('TY Sales Target'!$K$2:$AO$2&gt;=$BZ$5)*('TY Sales Target'!$K$2:$AO$2&lt;=$BZ$6),INDEX('TY Sales Target'!$K$5:$AO$300,$BG9,0)))</f>
        <v>130249.74412570494</v>
      </c>
      <c r="BN9" cm="1">
        <f t="array" ref="BN9">IF(NOT(ISNUMBER($BG9)),0,SUMPRODUCT(('TY Sales Target'!$K$2:$AO$2&gt;=$BZ$5)*('TY Sales Target'!$K$2:$AO$2&lt;=$BZ$7),INDEX('TY Sales Target'!$K$5:$AO$300,$BG9,0)))</f>
        <v>170000</v>
      </c>
      <c r="BO9" cm="1">
        <f t="array" ref="BO9">IF($AW9="",0,IFERROR(_xlfn.SWITCH($BP9,"LY trend",$BI9*$BK9/$BJ9,"Target curve",$BI9*$BN9/$BM9,"Run rate",$BI9/$BZ$8*$BZ$9,0),0))</f>
        <v>152968.63484079047</v>
      </c>
      <c r="BP9" t="str">
        <f t="shared" si="1"/>
        <v>LY trend</v>
      </c>
      <c r="BR9" t="str">
        <v>HAMYANYARD</v>
      </c>
      <c r="BV9" t="str">
        <v>Hamzah Al Makhadam</v>
      </c>
      <c r="BW9" t="str">
        <v>Smart Watch</v>
      </c>
      <c r="BX9" t="str">
        <v>Arar</v>
      </c>
      <c r="BY9" t="s">
        <v>529</v>
      </c>
      <c r="BZ9">
        <f>$BZ$7-$BZ$5+1</f>
        <v>31</v>
      </c>
      <c r="CB9" cm="1">
        <f t="array" ref="CB9">IF($AW9="",0,_xlfn.LET(_xlpm.k,IFERROR(_xlfn.XLOOKUP($AW9,$CD$6:$CD$21,$CE$6:$CE$21),$AW9),SUMPRODUCT((TRIM('Makeup '!$A$2:$A$300&amp;"")=_xlpm.k)*1,IFERROR('Makeup '!$F$2:$F$300*1,0))))</f>
        <v>4564.84</v>
      </c>
      <c r="CF9" t="str" cm="1">
        <f t="array" ref="CF9">IF($AW9="","",_xlfn.LET(_xlpm.c,IFERROR(TRIM(INDEX('Sales and count'!$B$4:$B$300,$BF9)&amp;""),""),IF(OR(_xlpm.c="",_xlpm.c="0",LEFT(_xlpm.c,1)="#"),"Not set",_xlpm.c)))</f>
        <v>KSA</v>
      </c>
      <c r="CH9" cm="1">
        <f t="array" ref="CH9">IF($AW9="",0,_xlfn.LET(_xlpm.k,IFERROR(_xlfn.XLOOKUP($AW9,$CD$6:$CD$21,$CE$6:$CE$21),$AW9),--(SUMPRODUCT((TRIM('Makeup '!$A$2:$A$300&amp;"")=_xlpm.k)*ISNUMBER('Makeup '!$F$2:$F$300))&gt;0)))</f>
        <v>1</v>
      </c>
      <c r="CI9">
        <f t="shared" si="4"/>
        <v>121241.31000000001</v>
      </c>
      <c r="CJ9" cm="1">
        <f t="array" ref="CJ9">IF($AW9="",0,--(SUMPRODUCT(--(TRIM(Footfall!$B$5:$B$301)=$AW9))&gt;0))</f>
        <v>1</v>
      </c>
      <c r="CK9" s="8" cm="1">
        <f t="array" ref="CK9">IF($AW9="",0,_xlfn.LET(_xlpm.r,IFERROR(MATCH(IFERROR(_xlfn.XLOOKUP($AW9,$BT$5:$BT$22,$BU$5:$BU$22),$AW9),TRIM('TY Beauty Target'!$B$5:$B$300&amp;""),0),""),IF(ISNUMBER(_xlpm.r),SUMPRODUCT(('TY Beauty Target'!$L$2:$AP$2&gt;=$U$4)*('TY Beauty Target'!$L$2:$AP$2&lt;=$U$5),INDEX('TY Beauty Target'!$L$5:$AP$300,_xlpm.r,0)),0)))</f>
        <v>10090.294796130698</v>
      </c>
    </row>
    <row r="10" spans="1:89" ht="15.95" customHeight="1" x14ac:dyDescent="0.25">
      <c r="A10" s="205" t="s">
        <v>689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AN10" s="8" t="str" cm="1">
        <f t="array" ref="AN10">IF($AW10="","",_xlfn.LET(_xlpm.sa,IFERROR(TRIM(INDEX('Sales and count'!$D$4:$D$300,$BF10)&amp;""),""),_xlpm.ta,IFERROR(TRIM(INDEX('TY Sales Target'!$F$5:$F$300,$BG10)&amp;""),""),IF(AND(_xlpm.sa&lt;&gt;"",LEFT(_xlpm.sa,1)&lt;&gt;"#",_xlpm.sa&lt;&gt;"0"),_xlpm.sa,IF(AND(_xlpm.ta&lt;&gt;"",LEFT(_xlpm.ta,1)&lt;&gt;"#",_xlpm.ta&lt;&gt;"0"),_xlpm.ta,IF(ISNUMBER($BG10),"Unassigned","")))))</f>
        <v>Lina Al Ghathami</v>
      </c>
      <c r="AO10" s="8" t="str" cm="1">
        <f t="array" ref="AO10">IF($AW10="","",_xlfn.LET(_xlpm.sa,IFERROR(TRIM(INDEX('Sales and count'!$C$4:$C$300,$BF10)&amp;""),""),_xlpm.ta,IFERROR(TRIM(INDEX('TY Sales Target'!$D$5:$D$300,$BG10)&amp;""),""),IF(AND(_xlpm.sa&lt;&gt;"",LEFT(_xlpm.sa,1)&lt;&gt;"#",_xlpm.sa&lt;&gt;"0"),_xlpm.sa,IF(AND(_xlpm.ta&lt;&gt;"",LEFT(_xlpm.ta,1)&lt;&gt;"#",_xlpm.ta&lt;&gt;"0"),_xlpm.ta,""))))</f>
        <v>Dawadami</v>
      </c>
      <c r="AP10" s="8">
        <f t="shared" si="2"/>
        <v>0</v>
      </c>
      <c r="AQ10" s="8">
        <f t="shared" si="0"/>
        <v>0</v>
      </c>
      <c r="AR10" s="8" cm="1">
        <f t="array" ref="AR10">IF($BF10="",0,_xlfn.LET(_xlpm.d,IFERROR(--'Sales and count'!$G$2:$CC$2,0),SUMPRODUCT(('Sales and count'!$G$3:$CC$3="Total")*(_xlpm.d&gt;=$U$4)*(_xlpm.d&lt;=$U$5),INDEX('Sales and count'!$G$4:$CC$300,$BF10,0))))</f>
        <v>72555.679999999993</v>
      </c>
      <c r="AS10" s="8" cm="1">
        <f t="array" aca="1" ref="AS10" ca="1">IF($BF10="",0,_xlfn.LET(_xlpm.d,IFERROR(--'Sales and count'!$F$2:$CB$2,0),SUMPRODUCT(('Sales and count'!$G$3:$CC$3="Transactions")*(_xlpm.d&gt;=$U$4)*(_xlpm.d&lt;=$U$5),INDEX('Sales and count'!$G$4:$CC$300,$BF10,0))))</f>
        <v>572</v>
      </c>
      <c r="AT10" s="8" cm="1">
        <f t="array" ref="AT10">IF($AW10="",0,SUMPRODUCT((TRIM('LY Sales '!$B$5:$B$200)=$AW10)*('LY Sales '!$C$2:$AG$2&gt;=EDATE($U$4,-12))*('LY Sales '!$C$2:$AG$2&lt;=EDATE($U$5,-12)),'LY Sales '!$C$5:$AG$200))</f>
        <v>0</v>
      </c>
      <c r="AU10" s="8" cm="1">
        <f t="array" ref="AU10">IF($AW10="",0,SUMPRODUCT((TRIM('LY Transaction'!$B$5:$B$200)=$AW10)*('LY Transaction'!$C$2:$AG$2&gt;=EDATE($U$4,-12))*('LY Transaction'!$C$2:$AG$2&lt;=EDATE($U$5,-12)),'LY Transaction'!$C$5:$AG$200))</f>
        <v>0</v>
      </c>
      <c r="AV10" s="8" cm="1">
        <f t="array" ref="AV10">IF(NOT(ISNUMBER($BG10)),0,SUMPRODUCT(('TY Sales Target'!$K$2:$AO$2&gt;=$U$4)*('TY Sales Target'!$K$2:$AO$2&lt;=$U$5),INDEX('TY Sales Target'!$K$5:$AO$300,$BG10,0)))</f>
        <v>72786.621717305708</v>
      </c>
      <c r="AW10" s="8" t="str" cm="1">
        <f t="array" ref="AW10">IFERROR(INDEX(_xlfn.ANCHORARRAY($BR$5),ROWS($AW$5:AW10)),"")</f>
        <v>HAMAKANMAL</v>
      </c>
      <c r="AY10" s="132">
        <v>46300</v>
      </c>
      <c r="AZ10" s="132"/>
      <c r="BB10" cm="1">
        <f t="array" ref="BB10">IF($AW10="",0,SUMPRODUCT((TRIM(Footfall!$B$5:$B$301)=$AW10)*(Footfall!$C$1:$BZ$1&gt;=$U$4)*(Footfall!$C$2:$BZ$2&lt;=$U$5)*(Footfall!$C$1:$BZ$1&lt;&gt;""),Footfall!$C$5:$BZ$301))</f>
        <v>0</v>
      </c>
      <c r="BC10" cm="1">
        <f t="array" ref="BC10">IF(OR($BB10&lt;=0,$BD$1="",$BF10=""),0,_xlfn.LET(_xlpm.d,IFERROR(--'Sales and count'!$F$2:$CB$2,0),SUMPRODUCT(('Sales and count'!$G$3:$CC$3="Transactions")*(_xlpm.d&gt;=$BD$1)*(_xlpm.d&lt;=$BD$2),INDEX('Sales and count'!$G$4:$CC$300,$BF10,0))))</f>
        <v>0</v>
      </c>
      <c r="BF10" cm="1">
        <f t="array" ref="BF10">IF($AW10="","",IFERROR(MATCH($AW10,TRIM('Sales and count'!$A$4:$A$300&amp;""),0),""))</f>
        <v>6</v>
      </c>
      <c r="BG10" cm="1">
        <f t="array" ref="BG10">IF($AW10="","",IFERROR(MATCH(IFERROR(_xlfn.XLOOKUP($AW10,$BT$5:$BT$22,$BU$5:$BU$22),$AW10),TRIM('TY Sales Target'!$B$5:$B$300&amp;""),0),""))</f>
        <v>108</v>
      </c>
      <c r="BH10" t="str" cm="1">
        <f t="array" ref="BH10">IF(ISNUMBER($BG10),_xlfn.LET(_xlpm.p,TRIM(INDEX('TY Sales Target'!$I$5:$I$300,$BG10)&amp;""),IF(_xlpm.p="","Not set",_xlpm.p)),"Not set")</f>
        <v>Gold Bar</v>
      </c>
      <c r="BI10" cm="1">
        <f t="array" ref="BI10">IF($BF10="",0,_xlfn.LET(_xlpm.d,IFERROR(--'Sales and count'!$G$2:$CC$2,0),SUMPRODUCT(('Sales and count'!$G$3:$CC$3="Total")*(_xlpm.d&gt;=$BZ$5)*(_xlpm.d&lt;=$BZ$6),INDEX('Sales and count'!$G$4:$CC$300,$BF10,0))))</f>
        <v>72555.679999999993</v>
      </c>
      <c r="BJ10" cm="1">
        <f t="array" ref="BJ10">IF($AW10="",0,SUMPRODUCT((TRIM('LY Sales '!$B$5:$B$200)=$AW10)*('LY Sales '!$C$2:$AG$2&gt;=EDATE($BZ$5,-12))*('LY Sales '!$C$2:$AG$2&lt;=EDATE($BZ$6,-12)),'LY Sales '!$C$5:$AG$200))</f>
        <v>0</v>
      </c>
      <c r="BK10" cm="1">
        <f t="array" ref="BK10">IF($AW10="",0,SUMPRODUCT((TRIM('LY Sales '!$B$5:$B$200)=$AW10)*('LY Sales '!$C$2:$AG$2&gt;=EDATE($BZ$5,-12))*('LY Sales '!$C$2:$AG$2&lt;=EDATE($BZ$7,-12)),'LY Sales '!$C$5:$AG$200))</f>
        <v>0</v>
      </c>
      <c r="BL10" cm="1">
        <f t="array" ref="BL10">IF($AW10="",0,SUMPRODUCT((TRIM('LY Sales '!$B$5:$B$200)=$AW10)*('LY Sales '!$C$2:$AG$2&gt;=EDATE($BZ$5,-12))*('LY Sales '!$C$2:$AG$2&lt;=EDATE($BZ$6,-12))*('LY Sales '!$C$5:$AG$200&gt;0)))</f>
        <v>0</v>
      </c>
      <c r="BM10" cm="1">
        <f t="array" ref="BM10">IF(NOT(ISNUMBER($BG10)),0,SUMPRODUCT(('TY Sales Target'!$K$2:$AO$2&gt;=$BZ$5)*('TY Sales Target'!$K$2:$AO$2&lt;=$BZ$6),INDEX('TY Sales Target'!$K$5:$AO$300,$BG10,0)))</f>
        <v>72786.621717305708</v>
      </c>
      <c r="BN10" cm="1">
        <f t="array" ref="BN10">IF(NOT(ISNUMBER($BG10)),0,SUMPRODUCT(('TY Sales Target'!$K$2:$AO$2&gt;=$BZ$5)*('TY Sales Target'!$K$2:$AO$2&lt;=$BZ$7),INDEX('TY Sales Target'!$K$5:$AO$300,$BG10,0)))</f>
        <v>95000</v>
      </c>
      <c r="BO10" cm="1">
        <f t="array" ref="BO10">IF($AW10="",0,IFERROR(_xlfn.SWITCH($BP10,"LY trend",$BI10*$BK10/$BJ10,"Target curve",$BI10*$BN10/$BM10,"Run rate",$BI10/$BZ$8*$BZ$9,0),0))</f>
        <v>94698.578356483515</v>
      </c>
      <c r="BP10" t="str">
        <f t="shared" si="1"/>
        <v>Target curve</v>
      </c>
      <c r="BR10" t="str">
        <v>HAMAKANMAL</v>
      </c>
      <c r="BV10" t="str">
        <v>Lina Al Ghathami</v>
      </c>
      <c r="BW10" t="str">
        <v>Gold Bar</v>
      </c>
      <c r="BX10" t="str">
        <v>Baha</v>
      </c>
      <c r="CB10" cm="1">
        <f t="array" ref="CB10">IF($AW10="",0,_xlfn.LET(_xlpm.k,IFERROR(_xlfn.XLOOKUP($AW10,$CD$6:$CD$21,$CE$6:$CE$21),$AW10),SUMPRODUCT((TRIM('Makeup '!$A$2:$A$300&amp;"")=_xlpm.k)*1,IFERROR('Makeup '!$F$2:$F$300*1,0))))</f>
        <v>5136.5200000000004</v>
      </c>
      <c r="CF10" t="str" cm="1">
        <f t="array" ref="CF10">IF($AW10="","",_xlfn.LET(_xlpm.c,IFERROR(TRIM(INDEX('Sales and count'!$B$4:$B$300,$BF10)&amp;""),""),IF(OR(_xlpm.c="",_xlpm.c="0",LEFT(_xlpm.c,1)="#"),"Not set",_xlpm.c)))</f>
        <v>KSA</v>
      </c>
      <c r="CH10" cm="1">
        <f t="array" ref="CH10">IF($AW10="",0,_xlfn.LET(_xlpm.k,IFERROR(_xlfn.XLOOKUP($AW10,$CD$6:$CD$21,$CE$6:$CE$21),$AW10),--(SUMPRODUCT((TRIM('Makeup '!$A$2:$A$300&amp;"")=_xlpm.k)*ISNUMBER('Makeup '!$F$2:$F$300))&gt;0)))</f>
        <v>1</v>
      </c>
      <c r="CI10">
        <f t="shared" si="4"/>
        <v>72555.679999999993</v>
      </c>
      <c r="CJ10" cm="1">
        <f t="array" ref="CJ10">IF($AW10="",0,--(SUMPRODUCT(--(TRIM(Footfall!$B$5:$B$301)=$AW10))&gt;0))</f>
        <v>0</v>
      </c>
      <c r="CK10" s="8" cm="1">
        <f t="array" ref="CK10">IF($AW10="",0,_xlfn.LET(_xlpm.r,IFERROR(MATCH(IFERROR(_xlfn.XLOOKUP($AW10,$BT$5:$BT$22,$BU$5:$BU$22),$AW10),TRIM('TY Beauty Target'!$B$5:$B$300&amp;""),0),""),IF(ISNUMBER(_xlpm.r),SUMPRODUCT(('TY Beauty Target'!$L$2:$AP$2&gt;=$U$4)*('TY Beauty Target'!$L$2:$AP$2&lt;=$U$5),INDEX('TY Beauty Target'!$L$5:$AP$300,_xlpm.r,0)),0)))</f>
        <v>3659.7711870480507</v>
      </c>
    </row>
    <row r="11" spans="1:89" ht="15.75" customHeight="1" x14ac:dyDescent="0.25">
      <c r="A11" s="34" t="s">
        <v>178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35"/>
      <c r="AF11" s="35"/>
      <c r="AG11" s="35"/>
      <c r="AH11" s="35"/>
      <c r="AN11" s="8" t="str" cm="1">
        <f t="array" ref="AN11">IF($AW11="","",_xlfn.LET(_xlpm.sa,IFERROR(TRIM(INDEX('Sales and count'!$D$4:$D$300,$BF11)&amp;""),""),_xlpm.ta,IFERROR(TRIM(INDEX('TY Sales Target'!$F$5:$F$300,$BG11)&amp;""),""),IF(AND(_xlpm.sa&lt;&gt;"",LEFT(_xlpm.sa,1)&lt;&gt;"#",_xlpm.sa&lt;&gt;"0"),_xlpm.sa,IF(AND(_xlpm.ta&lt;&gt;"",LEFT(_xlpm.ta,1)&lt;&gt;"#",_xlpm.ta&lt;&gt;"0"),_xlpm.ta,IF(ISNUMBER($BG11),"Unassigned","")))))</f>
        <v>Maram Zamzami</v>
      </c>
      <c r="AO11" s="8" t="str" cm="1">
        <f t="array" ref="AO11">IF($AW11="","",_xlfn.LET(_xlpm.sa,IFERROR(TRIM(INDEX('Sales and count'!$C$4:$C$300,$BF11)&amp;""),""),_xlpm.ta,IFERROR(TRIM(INDEX('TY Sales Target'!$D$5:$D$300,$BG11)&amp;""),""),IF(AND(_xlpm.sa&lt;&gt;"",LEFT(_xlpm.sa,1)&lt;&gt;"#",_xlpm.sa&lt;&gt;"0"),_xlpm.sa,IF(AND(_xlpm.ta&lt;&gt;"",LEFT(_xlpm.ta,1)&lt;&gt;"#",_xlpm.ta&lt;&gt;"0"),_xlpm.ta,""))))</f>
        <v>Makkah</v>
      </c>
      <c r="AP11" s="8">
        <f t="shared" si="2"/>
        <v>0</v>
      </c>
      <c r="AQ11" s="8">
        <f t="shared" si="0"/>
        <v>0</v>
      </c>
      <c r="AR11" s="8" cm="1">
        <f t="array" ref="AR11">IF($BF11="",0,_xlfn.LET(_xlpm.d,IFERROR(--'Sales and count'!$G$2:$CC$2,0),SUMPRODUCT(('Sales and count'!$G$3:$CC$3="Total")*(_xlpm.d&gt;=$U$4)*(_xlpm.d&lt;=$U$5),INDEX('Sales and count'!$G$4:$CC$300,$BF11,0))))</f>
        <v>559098.7300000001</v>
      </c>
      <c r="AS11" s="8" cm="1">
        <f t="array" aca="1" ref="AS11" ca="1">IF($BF11="",0,_xlfn.LET(_xlpm.d,IFERROR(--'Sales and count'!$F$2:$CB$2,0),SUMPRODUCT(('Sales and count'!$G$3:$CC$3="Transactions")*(_xlpm.d&gt;=$U$4)*(_xlpm.d&lt;=$U$5),INDEX('Sales and count'!$G$4:$CC$300,$BF11,0))))</f>
        <v>3000</v>
      </c>
      <c r="AT11" s="8" cm="1">
        <f t="array" ref="AT11">IF($AW11="",0,SUMPRODUCT((TRIM('LY Sales '!$B$5:$B$200)=$AW11)*('LY Sales '!$C$2:$AG$2&gt;=EDATE($U$4,-12))*('LY Sales '!$C$2:$AG$2&lt;=EDATE($U$5,-12)),'LY Sales '!$C$5:$AG$200))</f>
        <v>0</v>
      </c>
      <c r="AU11" s="8" cm="1">
        <f t="array" ref="AU11">IF($AW11="",0,SUMPRODUCT((TRIM('LY Transaction'!$B$5:$B$200)=$AW11)*('LY Transaction'!$C$2:$AG$2&gt;=EDATE($U$4,-12))*('LY Transaction'!$C$2:$AG$2&lt;=EDATE($U$5,-12)),'LY Transaction'!$C$5:$AG$200))</f>
        <v>0</v>
      </c>
      <c r="AV11" s="8" cm="1">
        <f t="array" ref="AV11">IF(NOT(ISNUMBER($BG11)),0,SUMPRODUCT(('TY Sales Target'!$K$2:$AO$2&gt;=$U$4)*('TY Sales Target'!$K$2:$AO$2&lt;=$U$5),INDEX('TY Sales Target'!$K$5:$AO$300,$BG11,0)))</f>
        <v>574631.22408399254</v>
      </c>
      <c r="AW11" s="8" t="str" cm="1">
        <f t="array" ref="AW11">IFERROR(INDEX(_xlfn.ANCHORARRAY($BR$5),ROWS($AW$5:AW11)),"")</f>
        <v>HAABRAJ1</v>
      </c>
      <c r="AY11" s="132">
        <v>46301</v>
      </c>
      <c r="AZ11" s="132"/>
      <c r="BB11" cm="1">
        <f t="array" ref="BB11">IF($AW11="",0,SUMPRODUCT((TRIM(Footfall!$B$5:$B$301)=$AW11)*(Footfall!$C$1:$BZ$1&gt;=$U$4)*(Footfall!$C$2:$BZ$2&lt;=$U$5)*(Footfall!$C$1:$BZ$1&lt;&gt;""),Footfall!$C$5:$BZ$301))</f>
        <v>0</v>
      </c>
      <c r="BC11" cm="1">
        <f t="array" ref="BC11">IF(OR($BB11&lt;=0,$BD$1="",$BF11=""),0,_xlfn.LET(_xlpm.d,IFERROR(--'Sales and count'!$F$2:$CB$2,0),SUMPRODUCT(('Sales and count'!$G$3:$CC$3="Transactions")*(_xlpm.d&gt;=$BD$1)*(_xlpm.d&lt;=$BD$2),INDEX('Sales and count'!$G$4:$CC$300,$BF11,0))))</f>
        <v>0</v>
      </c>
      <c r="BF11" cm="1">
        <f t="array" ref="BF11">IF($AW11="","",IFERROR(MATCH($AW11,TRIM('Sales and count'!$A$4:$A$300&amp;""),0),""))</f>
        <v>7</v>
      </c>
      <c r="BG11" cm="1">
        <f t="array" ref="BG11">IF($AW11="","",IFERROR(MATCH(IFERROR(_xlfn.XLOOKUP($AW11,$BT$5:$BT$22,$BU$5:$BU$22),$AW11),TRIM('TY Sales Target'!$B$5:$B$300&amp;""),0),""))</f>
        <v>3</v>
      </c>
      <c r="BH11" t="str" cm="1">
        <f t="array" ref="BH11">IF(ISNUMBER($BG11),_xlfn.LET(_xlpm.p,TRIM(INDEX('TY Sales Target'!$I$5:$I$300,$BG11)&amp;""),IF(_xlpm.p="","Not set",_xlpm.p)),"Not set")</f>
        <v>Car</v>
      </c>
      <c r="BI11" cm="1">
        <f t="array" ref="BI11">IF($BF11="",0,_xlfn.LET(_xlpm.d,IFERROR(--'Sales and count'!$G$2:$CC$2,0),SUMPRODUCT(('Sales and count'!$G$3:$CC$3="Total")*(_xlpm.d&gt;=$BZ$5)*(_xlpm.d&lt;=$BZ$6),INDEX('Sales and count'!$G$4:$CC$300,$BF11,0))))</f>
        <v>559098.7300000001</v>
      </c>
      <c r="BJ11" cm="1">
        <f t="array" ref="BJ11">IF($AW11="",0,SUMPRODUCT((TRIM('LY Sales '!$B$5:$B$200)=$AW11)*('LY Sales '!$C$2:$AG$2&gt;=EDATE($BZ$5,-12))*('LY Sales '!$C$2:$AG$2&lt;=EDATE($BZ$6,-12)),'LY Sales '!$C$5:$AG$200))</f>
        <v>0</v>
      </c>
      <c r="BK11" cm="1">
        <f t="array" ref="BK11">IF($AW11="",0,SUMPRODUCT((TRIM('LY Sales '!$B$5:$B$200)=$AW11)*('LY Sales '!$C$2:$AG$2&gt;=EDATE($BZ$5,-12))*('LY Sales '!$C$2:$AG$2&lt;=EDATE($BZ$7,-12)),'LY Sales '!$C$5:$AG$200))</f>
        <v>0</v>
      </c>
      <c r="BL11" cm="1">
        <f t="array" ref="BL11">IF($AW11="",0,SUMPRODUCT((TRIM('LY Sales '!$B$5:$B$200)=$AW11)*('LY Sales '!$C$2:$AG$2&gt;=EDATE($BZ$5,-12))*('LY Sales '!$C$2:$AG$2&lt;=EDATE($BZ$6,-12))*('LY Sales '!$C$5:$AG$200&gt;0)))</f>
        <v>0</v>
      </c>
      <c r="BM11" cm="1">
        <f t="array" ref="BM11">IF(NOT(ISNUMBER($BG11)),0,SUMPRODUCT(('TY Sales Target'!$K$2:$AO$2&gt;=$BZ$5)*('TY Sales Target'!$K$2:$AO$2&lt;=$BZ$6),INDEX('TY Sales Target'!$K$5:$AO$300,$BG11,0)))</f>
        <v>574631.22408399254</v>
      </c>
      <c r="BN11" cm="1">
        <f t="array" ref="BN11">IF(NOT(ISNUMBER($BG11)),0,SUMPRODUCT(('TY Sales Target'!$K$2:$AO$2&gt;=$BZ$5)*('TY Sales Target'!$K$2:$AO$2&lt;=$BZ$7),INDEX('TY Sales Target'!$K$5:$AO$300,$BG11,0)))</f>
        <v>750000.00000000012</v>
      </c>
      <c r="BO11" cm="1">
        <f t="array" ref="BO11">IF($AW11="",0,IFERROR(_xlfn.SWITCH($BP11,"LY trend",$BI11*$BK11/$BJ11,"Target curve",$BI11*$BN11/$BM11,"Run rate",$BI11/$BZ$8*$BZ$9,0),0))</f>
        <v>729727.22317419434</v>
      </c>
      <c r="BP11" t="str">
        <f t="shared" si="1"/>
        <v>Target curve</v>
      </c>
      <c r="BR11" t="str">
        <v>HAABRAJ1</v>
      </c>
      <c r="BV11" t="str">
        <v>Maram Zamzami</v>
      </c>
      <c r="BW11" t="str">
        <v>Not set</v>
      </c>
      <c r="BX11" t="str">
        <v>Buraidah</v>
      </c>
      <c r="CB11" cm="1">
        <f t="array" ref="CB11">IF($AW11="",0,_xlfn.LET(_xlpm.k,IFERROR(_xlfn.XLOOKUP($AW11,$CD$6:$CD$21,$CE$6:$CE$21),$AW11),SUMPRODUCT((TRIM('Makeup '!$A$2:$A$300&amp;"")=_xlpm.k)*1,IFERROR('Makeup '!$F$2:$F$300*1,0))))</f>
        <v>38498.199999999997</v>
      </c>
      <c r="CF11" t="str" cm="1">
        <f t="array" ref="CF11">IF($AW11="","",_xlfn.LET(_xlpm.c,IFERROR(TRIM(INDEX('Sales and count'!$B$4:$B$300,$BF11)&amp;""),""),IF(OR(_xlpm.c="",_xlpm.c="0",LEFT(_xlpm.c,1)="#"),"Not set",_xlpm.c)))</f>
        <v>KSA</v>
      </c>
      <c r="CH11" cm="1">
        <f t="array" ref="CH11">IF($AW11="",0,_xlfn.LET(_xlpm.k,IFERROR(_xlfn.XLOOKUP($AW11,$CD$6:$CD$21,$CE$6:$CE$21),$AW11),--(SUMPRODUCT((TRIM('Makeup '!$A$2:$A$300&amp;"")=_xlpm.k)*ISNUMBER('Makeup '!$F$2:$F$300))&gt;0)))</f>
        <v>1</v>
      </c>
      <c r="CI11">
        <f t="shared" si="4"/>
        <v>559098.7300000001</v>
      </c>
      <c r="CJ11" cm="1">
        <f t="array" ref="CJ11">IF($AW11="",0,--(SUMPRODUCT(--(TRIM(Footfall!$B$5:$B$301)=$AW11))&gt;0))</f>
        <v>0</v>
      </c>
      <c r="CK11" s="8" cm="1">
        <f t="array" ref="CK11">IF($AW11="",0,_xlfn.LET(_xlpm.r,IFERROR(MATCH(IFERROR(_xlfn.XLOOKUP($AW11,$BT$5:$BT$22,$BU$5:$BU$22),$AW11),TRIM('TY Beauty Target'!$B$5:$B$300&amp;""),0),""),IF(ISNUMBER(_xlpm.r),SUMPRODUCT(('TY Beauty Target'!$L$2:$AP$2&gt;=$U$4)*('TY Beauty Target'!$L$2:$AP$2&lt;=$U$5),INDEX('TY Beauty Target'!$L$5:$AP$300,_xlpm.r,0)),0)))</f>
        <v>57855.4961303522</v>
      </c>
    </row>
    <row r="12" spans="1:89" ht="32.1" customHeight="1" x14ac:dyDescent="0.25">
      <c r="A12" s="193" t="s">
        <v>179</v>
      </c>
      <c r="B12" s="194" t="s">
        <v>180</v>
      </c>
      <c r="C12" s="194" t="s">
        <v>181</v>
      </c>
      <c r="D12" s="194" t="s">
        <v>173</v>
      </c>
      <c r="E12" s="194" t="s">
        <v>175</v>
      </c>
      <c r="F12" s="194" t="s">
        <v>182</v>
      </c>
      <c r="G12" s="194" t="s">
        <v>199</v>
      </c>
      <c r="H12" s="194" t="str">
        <f>"Target ("&amp;$U$7&amp;" days)"</f>
        <v>Target (26 days)</v>
      </c>
      <c r="I12" s="194" t="s">
        <v>183</v>
      </c>
      <c r="J12" s="194" t="s">
        <v>184</v>
      </c>
      <c r="K12" s="194" t="s">
        <v>185</v>
      </c>
      <c r="L12" s="194" t="s">
        <v>541</v>
      </c>
      <c r="M12" s="194" t="str">
        <f>"Projected Close ("&amp;TEXT($BZ$7,"dd mmm")&amp;")"</f>
        <v>Projected Close (31 Oct)</v>
      </c>
      <c r="N12" s="194" t="s">
        <v>546</v>
      </c>
      <c r="O12" s="194" t="s">
        <v>547</v>
      </c>
      <c r="P12" s="194" t="s">
        <v>186</v>
      </c>
      <c r="Q12" s="194" t="s">
        <v>187</v>
      </c>
      <c r="R12" s="194" t="s">
        <v>188</v>
      </c>
      <c r="S12" s="194" t="s">
        <v>200</v>
      </c>
      <c r="T12" s="194" t="s">
        <v>189</v>
      </c>
      <c r="U12" s="194" t="s">
        <v>190</v>
      </c>
      <c r="V12" s="194" t="s">
        <v>191</v>
      </c>
      <c r="W12" s="194" t="s">
        <v>503</v>
      </c>
      <c r="X12" s="194" t="s">
        <v>510</v>
      </c>
      <c r="Y12" s="194" t="s">
        <v>511</v>
      </c>
      <c r="Z12" s="194" t="s">
        <v>683</v>
      </c>
      <c r="AA12" s="194" t="s">
        <v>684</v>
      </c>
      <c r="AB12" s="194" t="str">
        <f>"Makeup Target ("&amp;$U$7&amp;" days)"</f>
        <v>Makeup Target (26 days)</v>
      </c>
      <c r="AC12" s="194" t="s">
        <v>1604</v>
      </c>
      <c r="AD12" s="194" t="s">
        <v>1373</v>
      </c>
      <c r="AE12" s="36" t="s">
        <v>192</v>
      </c>
      <c r="AF12" s="36" t="s">
        <v>193</v>
      </c>
      <c r="AG12" s="36"/>
      <c r="AH12" s="36"/>
      <c r="AN12" s="8" t="str" cm="1">
        <f t="array" ref="AN12">IF($AW12="","",_xlfn.LET(_xlpm.sa,IFERROR(TRIM(INDEX('Sales and count'!$D$4:$D$300,$BF12)&amp;""),""),_xlpm.ta,IFERROR(TRIM(INDEX('TY Sales Target'!$F$5:$F$300,$BG12)&amp;""),""),IF(AND(_xlpm.sa&lt;&gt;"",LEFT(_xlpm.sa,1)&lt;&gt;"#",_xlpm.sa&lt;&gt;"0"),_xlpm.sa,IF(AND(_xlpm.ta&lt;&gt;"",LEFT(_xlpm.ta,1)&lt;&gt;"#",_xlpm.ta&lt;&gt;"0"),_xlpm.ta,IF(ISNUMBER($BG12),"Unassigned","")))))</f>
        <v>Mohammed Haidar</v>
      </c>
      <c r="AO12" s="8" t="str" cm="1">
        <f t="array" ref="AO12">IF($AW12="","",_xlfn.LET(_xlpm.sa,IFERROR(TRIM(INDEX('Sales and count'!$C$4:$C$300,$BF12)&amp;""),""),_xlpm.ta,IFERROR(TRIM(INDEX('TY Sales Target'!$D$5:$D$300,$BG12)&amp;""),""),IF(AND(_xlpm.sa&lt;&gt;"",LEFT(_xlpm.sa,1)&lt;&gt;"#",_xlpm.sa&lt;&gt;"0"),_xlpm.sa,IF(AND(_xlpm.ta&lt;&gt;"",LEFT(_xlpm.ta,1)&lt;&gt;"#",_xlpm.ta&lt;&gt;"0"),_xlpm.ta,""))))</f>
        <v>Yanbu</v>
      </c>
      <c r="AP12" s="8">
        <f t="shared" si="2"/>
        <v>0</v>
      </c>
      <c r="AQ12" s="8">
        <f t="shared" si="0"/>
        <v>0</v>
      </c>
      <c r="AR12" s="8" cm="1">
        <f t="array" ref="AR12">IF($BF12="",0,_xlfn.LET(_xlpm.d,IFERROR(--'Sales and count'!$G$2:$CC$2,0),SUMPRODUCT(('Sales and count'!$G$3:$CC$3="Total")*(_xlpm.d&gt;=$U$4)*(_xlpm.d&lt;=$U$5),INDEX('Sales and count'!$G$4:$CC$300,$BF12,0))))</f>
        <v>63770.469999999994</v>
      </c>
      <c r="AS12" s="8" cm="1">
        <f t="array" aca="1" ref="AS12" ca="1">IF($BF12="",0,_xlfn.LET(_xlpm.d,IFERROR(--'Sales and count'!$F$2:$CB$2,0),SUMPRODUCT(('Sales and count'!$G$3:$CC$3="Transactions")*(_xlpm.d&gt;=$U$4)*(_xlpm.d&lt;=$U$5),INDEX('Sales and count'!$G$4:$CC$300,$BF12,0))))</f>
        <v>489</v>
      </c>
      <c r="AT12" s="8" cm="1">
        <f t="array" ref="AT12">IF($AW12="",0,SUMPRODUCT((TRIM('LY Sales '!$B$5:$B$200)=$AW12)*('LY Sales '!$C$2:$AG$2&gt;=EDATE($U$4,-12))*('LY Sales '!$C$2:$AG$2&lt;=EDATE($U$5,-12)),'LY Sales '!$C$5:$AG$200))</f>
        <v>0</v>
      </c>
      <c r="AU12" s="8" cm="1">
        <f t="array" ref="AU12">IF($AW12="",0,SUMPRODUCT((TRIM('LY Transaction'!$B$5:$B$200)=$AW12)*('LY Transaction'!$C$2:$AG$2&gt;=EDATE($U$4,-12))*('LY Transaction'!$C$2:$AG$2&lt;=EDATE($U$5,-12)),'LY Transaction'!$C$5:$AG$200))</f>
        <v>0</v>
      </c>
      <c r="AV12" s="8" cm="1">
        <f t="array" ref="AV12">IF(NOT(ISNUMBER($BG12)),0,SUMPRODUCT(('TY Sales Target'!$K$2:$AO$2&gt;=$U$4)*('TY Sales Target'!$K$2:$AO$2&lt;=$U$5),INDEX('TY Sales Target'!$K$5:$AO$300,$BG12,0)))</f>
        <v>81980.721302649574</v>
      </c>
      <c r="AW12" s="8" t="str" cm="1">
        <f t="array" ref="AW12">IFERROR(INDEX(_xlfn.ANCHORARRAY($BR$5),ROWS($AW$5:AW12)),"")</f>
        <v>HADANAYAN</v>
      </c>
      <c r="AY12" s="132">
        <v>46302</v>
      </c>
      <c r="AZ12" s="132"/>
      <c r="BB12" cm="1">
        <f t="array" ref="BB12">IF($AW12="",0,SUMPRODUCT((TRIM(Footfall!$B$5:$B$301)=$AW12)*(Footfall!$C$1:$BZ$1&gt;=$U$4)*(Footfall!$C$2:$BZ$2&lt;=$U$5)*(Footfall!$C$1:$BZ$1&lt;&gt;""),Footfall!$C$5:$BZ$301))</f>
        <v>0</v>
      </c>
      <c r="BC12" cm="1">
        <f t="array" ref="BC12">IF(OR($BB12&lt;=0,$BD$1="",$BF12=""),0,_xlfn.LET(_xlpm.d,IFERROR(--'Sales and count'!$F$2:$CB$2,0),SUMPRODUCT(('Sales and count'!$G$3:$CC$3="Transactions")*(_xlpm.d&gt;=$BD$1)*(_xlpm.d&lt;=$BD$2),INDEX('Sales and count'!$G$4:$CC$300,$BF12,0))))</f>
        <v>0</v>
      </c>
      <c r="BF12" cm="1">
        <f t="array" ref="BF12">IF($AW12="","",IFERROR(MATCH($AW12,TRIM('Sales and count'!$A$4:$A$300&amp;""),0),""))</f>
        <v>8</v>
      </c>
      <c r="BG12" cm="1">
        <f t="array" ref="BG12">IF($AW12="","",IFERROR(MATCH(IFERROR(_xlfn.XLOOKUP($AW12,$BT$5:$BT$22,$BU$5:$BU$22),$AW12),TRIM('TY Sales Target'!$B$5:$B$300&amp;""),0),""))</f>
        <v>105</v>
      </c>
      <c r="BH12" t="str" cm="1">
        <f t="array" ref="BH12">IF(ISNUMBER($BG12),_xlfn.LET(_xlpm.p,TRIM(INDEX('TY Sales Target'!$I$5:$I$300,$BG12)&amp;""),IF(_xlpm.p="","Not set",_xlpm.p)),"Not set")</f>
        <v>Smart Watch</v>
      </c>
      <c r="BI12" cm="1">
        <f t="array" ref="BI12">IF($BF12="",0,_xlfn.LET(_xlpm.d,IFERROR(--'Sales and count'!$G$2:$CC$2,0),SUMPRODUCT(('Sales and count'!$G$3:$CC$3="Total")*(_xlpm.d&gt;=$BZ$5)*(_xlpm.d&lt;=$BZ$6),INDEX('Sales and count'!$G$4:$CC$300,$BF12,0))))</f>
        <v>63770.469999999994</v>
      </c>
      <c r="BJ12" cm="1">
        <f t="array" ref="BJ12">IF($AW12="",0,SUMPRODUCT((TRIM('LY Sales '!$B$5:$B$200)=$AW12)*('LY Sales '!$C$2:$AG$2&gt;=EDATE($BZ$5,-12))*('LY Sales '!$C$2:$AG$2&lt;=EDATE($BZ$6,-12)),'LY Sales '!$C$5:$AG$200))</f>
        <v>0</v>
      </c>
      <c r="BK12" cm="1">
        <f t="array" ref="BK12">IF($AW12="",0,SUMPRODUCT((TRIM('LY Sales '!$B$5:$B$200)=$AW12)*('LY Sales '!$C$2:$AG$2&gt;=EDATE($BZ$5,-12))*('LY Sales '!$C$2:$AG$2&lt;=EDATE($BZ$7,-12)),'LY Sales '!$C$5:$AG$200))</f>
        <v>0</v>
      </c>
      <c r="BL12" cm="1">
        <f t="array" ref="BL12">IF($AW12="",0,SUMPRODUCT((TRIM('LY Sales '!$B$5:$B$200)=$AW12)*('LY Sales '!$C$2:$AG$2&gt;=EDATE($BZ$5,-12))*('LY Sales '!$C$2:$AG$2&lt;=EDATE($BZ$6,-12))*('LY Sales '!$C$5:$AG$200&gt;0)))</f>
        <v>0</v>
      </c>
      <c r="BM12" cm="1">
        <f t="array" ref="BM12">IF(NOT(ISNUMBER($BG12)),0,SUMPRODUCT(('TY Sales Target'!$K$2:$AO$2&gt;=$BZ$5)*('TY Sales Target'!$K$2:$AO$2&lt;=$BZ$6),INDEX('TY Sales Target'!$K$5:$AO$300,$BG12,0)))</f>
        <v>81980.721302649574</v>
      </c>
      <c r="BN12" cm="1">
        <f t="array" ref="BN12">IF(NOT(ISNUMBER($BG12)),0,SUMPRODUCT(('TY Sales Target'!$K$2:$AO$2&gt;=$BZ$5)*('TY Sales Target'!$K$2:$AO$2&lt;=$BZ$7),INDEX('TY Sales Target'!$K$5:$AO$300,$BG12,0)))</f>
        <v>107000</v>
      </c>
      <c r="BO12" cm="1">
        <f t="array" ref="BO12">IF($AW12="",0,IFERROR(_xlfn.SWITCH($BP12,"LY trend",$BI12*$BK12/$BJ12,"Target curve",$BI12*$BN12/$BM12,"Run rate",$BI12/$BZ$8*$BZ$9,0),0))</f>
        <v>83232.25487135924</v>
      </c>
      <c r="BP12" t="str">
        <f t="shared" si="1"/>
        <v>Target curve</v>
      </c>
      <c r="BR12" t="str">
        <v>HADANAYAN</v>
      </c>
      <c r="BV12" t="str">
        <v>Mohammed Haidar</v>
      </c>
      <c r="BX12" t="str">
        <v>Dammam</v>
      </c>
      <c r="CB12" cm="1">
        <f t="array" ref="CB12">IF($AW12="",0,_xlfn.LET(_xlpm.k,IFERROR(_xlfn.XLOOKUP($AW12,$CD$6:$CD$21,$CE$6:$CE$21),$AW12),SUMPRODUCT((TRIM('Makeup '!$A$2:$A$300&amp;"")=_xlpm.k)*1,IFERROR('Makeup '!$F$2:$F$300*1,0))))</f>
        <v>3395.46</v>
      </c>
      <c r="CF12" t="str" cm="1">
        <f t="array" ref="CF12">IF($AW12="","",_xlfn.LET(_xlpm.c,IFERROR(TRIM(INDEX('Sales and count'!$B$4:$B$300,$BF12)&amp;""),""),IF(OR(_xlpm.c="",_xlpm.c="0",LEFT(_xlpm.c,1)="#"),"Not set",_xlpm.c)))</f>
        <v>KSA</v>
      </c>
      <c r="CH12" cm="1">
        <f t="array" ref="CH12">IF($AW12="",0,_xlfn.LET(_xlpm.k,IFERROR(_xlfn.XLOOKUP($AW12,$CD$6:$CD$21,$CE$6:$CE$21),$AW12),--(SUMPRODUCT((TRIM('Makeup '!$A$2:$A$300&amp;"")=_xlpm.k)*ISNUMBER('Makeup '!$F$2:$F$300))&gt;0)))</f>
        <v>1</v>
      </c>
      <c r="CI12">
        <f t="shared" si="4"/>
        <v>63770.469999999994</v>
      </c>
      <c r="CJ12" cm="1">
        <f t="array" ref="CJ12">IF($AW12="",0,--(SUMPRODUCT(--(TRIM(Footfall!$B$5:$B$301)=$AW12))&gt;0))</f>
        <v>0</v>
      </c>
      <c r="CK12" s="8" cm="1">
        <f t="array" ref="CK12">IF($AW12="",0,_xlfn.LET(_xlpm.r,IFERROR(MATCH(IFERROR(_xlfn.XLOOKUP($AW12,$BT$5:$BT$22,$BU$5:$BU$22),$AW12),TRIM('TY Beauty Target'!$B$5:$B$300&amp;""),0),""),IF(ISNUMBER(_xlpm.r),SUMPRODUCT(('TY Beauty Target'!$L$2:$AP$2&gt;=$U$4)*('TY Beauty Target'!$L$2:$AP$2&lt;=$U$5),INDEX('TY Beauty Target'!$L$5:$AP$300,_xlpm.r,0)),0)))</f>
        <v>7538.2725215376067</v>
      </c>
    </row>
    <row r="13" spans="1:89" ht="15" customHeight="1" x14ac:dyDescent="0.25">
      <c r="A13" s="23" t="s">
        <v>194</v>
      </c>
      <c r="B13" s="24" cm="1">
        <f t="array" ref="B13">IFERROR(ROWS(_xlfn.UNIQUE(_xlfn._xlws.FILTER($AO$5:$AO$302,$AP$5:$AP$302=1))),0)</f>
        <v>2</v>
      </c>
      <c r="C13" s="24">
        <f>SUM($AP$5:$AP$302)</f>
        <v>14</v>
      </c>
      <c r="D13" s="25">
        <f>IF($C13="","",SUMPRODUCT($AP$5:$AP$302,$AR$5:$AR$302))</f>
        <v>1764899.2400000002</v>
      </c>
      <c r="E13" s="25">
        <f>IF($C13="","",SUMPRODUCT($AP$5:$AP$302,$AT$5:$AT$302))</f>
        <v>1700848.1199999996</v>
      </c>
      <c r="F13" s="26">
        <f>IF($C13="","",IFERROR(AE13/E13-1,""))</f>
        <v>-0.26511873382321727</v>
      </c>
      <c r="G13" s="26">
        <f>IF(D13="","",IFERROR(D13/E13-1,""))</f>
        <v>3.765834188651751E-2</v>
      </c>
      <c r="H13" s="25">
        <f>IF($C13="","",SUMPRODUCT($AP$5:$AP$302,$AV$5:$AV$302))</f>
        <v>2724934.8577755233</v>
      </c>
      <c r="I13" s="26">
        <f>IF($C13="","",IFERROR(D13/H13,""))</f>
        <v>0.64768492904111485</v>
      </c>
      <c r="J13" s="25">
        <f>IF($C13="","",IF(H13=0,"",D13-H13))</f>
        <v>-960035.6177755231</v>
      </c>
      <c r="K13" s="26">
        <f>IF($C13="","",IFERROR(D13/$D$13,""))</f>
        <v>1</v>
      </c>
      <c r="L13" s="25">
        <f>IF($C13="","",SUMPRODUCT($AP$5:$AP$302,$BN$5:$BN$302))</f>
        <v>3556543.8452974143</v>
      </c>
      <c r="M13" s="25">
        <f>IF($C13="","",SUMPRODUCT($AP$5:$AP$302,$BO$5:$BO$302))</f>
        <v>2258685.080763713</v>
      </c>
      <c r="N13" s="26">
        <f>IF($C13="","",IFERROR(M13/L13,""))</f>
        <v>0.63507865473111624</v>
      </c>
      <c r="O13" s="26">
        <f>IF($C13="","",IFERROR(M13/SUMPRODUCT($AP$5:$AP$302,$BK$5:$BK$302)-1,""))</f>
        <v>4.7148683092635757E-2</v>
      </c>
      <c r="P13" s="25">
        <f ca="1">IF($C13="","",SUMPRODUCT($AP$5:$AP$302,$AS$5:$AS$302))</f>
        <v>12271</v>
      </c>
      <c r="Q13" s="25">
        <f>IF($C13="","",SUMPRODUCT($AP$5:$AP$302,$AU$5:$AU$302))</f>
        <v>12430</v>
      </c>
      <c r="R13" s="26">
        <f ca="1">IF($C13="","",IFERROR(AF13/Q13-1,""))</f>
        <v>-0.31303298471440066</v>
      </c>
      <c r="S13" s="26">
        <f ca="1">IF(P13="","",IFERROR(P13/Q13-1,""))</f>
        <v>-1.2791633145615489E-2</v>
      </c>
      <c r="T13" s="27">
        <f ca="1">IF($C13="","",IFERROR(D13/P13,""))</f>
        <v>143.82684703773126</v>
      </c>
      <c r="U13" s="27">
        <f>IF($C13="","",IFERROR(E13/Q13,""))</f>
        <v>136.83412067578436</v>
      </c>
      <c r="V13" s="26">
        <f ca="1">IF($C13="","",IFERROR((AE13/AF13)/U13-1,""))</f>
        <v>6.9747527646962126E-2</v>
      </c>
      <c r="W13" s="25">
        <f>IF($C13="","",_xlfn.LET(_xlpm.n,SUMPRODUCT($AP$5:$AP$302,$BB$5:$BB$302),IF(_xlpm.n=0,"",_xlpm.n)))</f>
        <v>45821</v>
      </c>
      <c r="X13" s="25">
        <f ca="1">IF(W13="","",SUMPRODUCT($AP$5:$AP$302,$BC$5:$BC$302))</f>
        <v>9531</v>
      </c>
      <c r="Y13" s="26">
        <f ca="1">IF(OR(W13="",X13=""),"",IFERROR(X13/W13,""))</f>
        <v>0.20800506318063769</v>
      </c>
      <c r="Z13" s="25">
        <f>IF($C13="","",SUMPRODUCT($AP$5:$AP$302,$CB$5:$CB$302))</f>
        <v>99427.38</v>
      </c>
      <c r="AA13" s="26">
        <f>IF(OR(Z13="",AD13=""),"",IFERROR(Z13/AD13,""))</f>
        <v>5.6336009301018224E-2</v>
      </c>
      <c r="AB13" s="25">
        <f>IF($C13="","",SUMPRODUCT($AP$5:$AP$302,$CK$5:$CK$302))</f>
        <v>171690.27834359545</v>
      </c>
      <c r="AC13" s="26">
        <f>IF(OR(Z13="",AB13=""),"",IFERROR(Z13/AB13,""))</f>
        <v>0.57910896854055305</v>
      </c>
      <c r="AD13" s="25">
        <f>IF($C13="","",SUMPRODUCT($AP$5:$AP$302,$CI$5:$CI$302))</f>
        <v>1764899.2400000002</v>
      </c>
      <c r="AE13" s="37" cm="1">
        <f t="array" ref="AE13">IF($C13="","",SUMPRODUCT($AP$5:$AP$302*$AQ$5:$AQ$302,$AR$5:$AR$302))</f>
        <v>1249921.4200000002</v>
      </c>
      <c r="AF13" s="37" cm="1">
        <f t="array" aca="1" ref="AF13" ca="1">IF($C13="","",SUMPRODUCT($AP$5:$AP$302*$AQ$5:$AQ$302,$AS$5:$AS$302))</f>
        <v>8539</v>
      </c>
      <c r="AG13" s="35"/>
      <c r="AH13" s="35"/>
      <c r="AN13" s="8" t="str" cm="1">
        <f t="array" ref="AN13">IF($AW13="","",_xlfn.LET(_xlpm.sa,IFERROR(TRIM(INDEX('Sales and count'!$D$4:$D$300,$BF13)&amp;""),""),_xlpm.ta,IFERROR(TRIM(INDEX('TY Sales Target'!$F$5:$F$300,$BG13)&amp;""),""),IF(AND(_xlpm.sa&lt;&gt;"",LEFT(_xlpm.sa,1)&lt;&gt;"#",_xlpm.sa&lt;&gt;"0"),_xlpm.sa,IF(AND(_xlpm.ta&lt;&gt;"",LEFT(_xlpm.ta,1)&lt;&gt;"#",_xlpm.ta&lt;&gt;"0"),_xlpm.ta,IF(ISNUMBER($BG13),"Unassigned","")))))</f>
        <v>Maram Zamzami</v>
      </c>
      <c r="AO13" s="8" t="str" cm="1">
        <f t="array" ref="AO13">IF($AW13="","",_xlfn.LET(_xlpm.sa,IFERROR(TRIM(INDEX('Sales and count'!$C$4:$C$300,$BF13)&amp;""),""),_xlpm.ta,IFERROR(TRIM(INDEX('TY Sales Target'!$D$5:$D$300,$BG13)&amp;""),""),IF(AND(_xlpm.sa&lt;&gt;"",LEFT(_xlpm.sa,1)&lt;&gt;"#",_xlpm.sa&lt;&gt;"0"),_xlpm.sa,IF(AND(_xlpm.ta&lt;&gt;"",LEFT(_xlpm.ta,1)&lt;&gt;"#",_xlpm.ta&lt;&gt;"0"),_xlpm.ta,""))))</f>
        <v>Makkah</v>
      </c>
      <c r="AP13" s="8">
        <f t="shared" si="2"/>
        <v>0</v>
      </c>
      <c r="AQ13" s="8">
        <f t="shared" si="0"/>
        <v>0</v>
      </c>
      <c r="AR13" s="8" cm="1">
        <f t="array" ref="AR13">IF($BF13="",0,_xlfn.LET(_xlpm.d,IFERROR(--'Sales and count'!$G$2:$CC$2,0),SUMPRODUCT(('Sales and count'!$G$3:$CC$3="Total")*(_xlpm.d&gt;=$U$4)*(_xlpm.d&lt;=$U$5),INDEX('Sales and count'!$G$4:$CC$300,$BF13,0))))</f>
        <v>671451.23999999987</v>
      </c>
      <c r="AS13" s="8" cm="1">
        <f t="array" aca="1" ref="AS13" ca="1">IF($BF13="",0,_xlfn.LET(_xlpm.d,IFERROR(--'Sales and count'!$F$2:$CB$2,0),SUMPRODUCT(('Sales and count'!$G$3:$CC$3="Transactions")*(_xlpm.d&gt;=$U$4)*(_xlpm.d&lt;=$U$5),INDEX('Sales and count'!$G$4:$CC$300,$BF13,0))))</f>
        <v>3333</v>
      </c>
      <c r="AT13" s="8" cm="1">
        <f t="array" ref="AT13">IF($AW13="",0,SUMPRODUCT((TRIM('LY Sales '!$B$5:$B$200)=$AW13)*('LY Sales '!$C$2:$AG$2&gt;=EDATE($U$4,-12))*('LY Sales '!$C$2:$AG$2&lt;=EDATE($U$5,-12)),'LY Sales '!$C$5:$AG$200))</f>
        <v>0</v>
      </c>
      <c r="AU13" s="8" cm="1">
        <f t="array" ref="AU13">IF($AW13="",0,SUMPRODUCT((TRIM('LY Transaction'!$B$5:$B$200)=$AW13)*('LY Transaction'!$C$2:$AG$2&gt;=EDATE($U$4,-12))*('LY Transaction'!$C$2:$AG$2&lt;=EDATE($U$5,-12)),'LY Transaction'!$C$5:$AG$200))</f>
        <v>0</v>
      </c>
      <c r="AV13" s="8" cm="1">
        <f t="array" ref="AV13">IF(NOT(ISNUMBER($BG13)),0,SUMPRODUCT(('TY Sales Target'!$K$2:$AO$2&gt;=$U$4)*('TY Sales Target'!$K$2:$AO$2&lt;=$U$5),INDEX('TY Sales Target'!$K$5:$AO$300,$BG13,0)))</f>
        <v>712542.71786415053</v>
      </c>
      <c r="AW13" s="8" t="str" cm="1">
        <f t="array" ref="AW13">IFERROR(INDEX(_xlfn.ANCHORARRAY($BR$5),ROWS($AW$5:AW13)),"")</f>
        <v>HADARTAW2</v>
      </c>
      <c r="AY13" s="132">
        <v>46303</v>
      </c>
      <c r="AZ13" s="132"/>
      <c r="BB13" cm="1">
        <f t="array" ref="BB13">IF($AW13="",0,SUMPRODUCT((TRIM(Footfall!$B$5:$B$301)=$AW13)*(Footfall!$C$1:$BZ$1&gt;=$U$4)*(Footfall!$C$2:$BZ$2&lt;=$U$5)*(Footfall!$C$1:$BZ$1&lt;&gt;""),Footfall!$C$5:$BZ$301))</f>
        <v>21671</v>
      </c>
      <c r="BC13" cm="1">
        <f t="array" aca="1" ref="BC13" ca="1">IF(OR($BB13&lt;=0,$BD$1="",$BF13=""),0,_xlfn.LET(_xlpm.d,IFERROR(--'Sales and count'!$F$2:$CB$2,0),SUMPRODUCT(('Sales and count'!$G$3:$CC$3="Transactions")*(_xlpm.d&gt;=$BD$1)*(_xlpm.d&lt;=$BD$2),INDEX('Sales and count'!$G$4:$CC$300,$BF13,0))))</f>
        <v>3333</v>
      </c>
      <c r="BF13" cm="1">
        <f t="array" ref="BF13">IF($AW13="","",IFERROR(MATCH($AW13,TRIM('Sales and count'!$A$4:$A$300&amp;""),0),""))</f>
        <v>9</v>
      </c>
      <c r="BG13" cm="1">
        <f t="array" ref="BG13">IF($AW13="","",IFERROR(MATCH(IFERROR(_xlfn.XLOOKUP($AW13,$BT$5:$BT$22,$BU$5:$BU$22),$AW13),TRIM('TY Sales Target'!$B$5:$B$300&amp;""),0),""))</f>
        <v>1</v>
      </c>
      <c r="BH13" t="str" cm="1">
        <f t="array" ref="BH13">IF(ISNUMBER($BG13),_xlfn.LET(_xlpm.p,TRIM(INDEX('TY Sales Target'!$I$5:$I$300,$BG13)&amp;""),IF(_xlpm.p="","Not set",_xlpm.p)),"Not set")</f>
        <v>Car</v>
      </c>
      <c r="BI13" cm="1">
        <f t="array" ref="BI13">IF($BF13="",0,_xlfn.LET(_xlpm.d,IFERROR(--'Sales and count'!$G$2:$CC$2,0),SUMPRODUCT(('Sales and count'!$G$3:$CC$3="Total")*(_xlpm.d&gt;=$BZ$5)*(_xlpm.d&lt;=$BZ$6),INDEX('Sales and count'!$G$4:$CC$300,$BF13,0))))</f>
        <v>671451.23999999987</v>
      </c>
      <c r="BJ13" cm="1">
        <f t="array" ref="BJ13">IF($AW13="",0,SUMPRODUCT((TRIM('LY Sales '!$B$5:$B$200)=$AW13)*('LY Sales '!$C$2:$AG$2&gt;=EDATE($BZ$5,-12))*('LY Sales '!$C$2:$AG$2&lt;=EDATE($BZ$6,-12)),'LY Sales '!$C$5:$AG$200))</f>
        <v>0</v>
      </c>
      <c r="BK13" cm="1">
        <f t="array" ref="BK13">IF($AW13="",0,SUMPRODUCT((TRIM('LY Sales '!$B$5:$B$200)=$AW13)*('LY Sales '!$C$2:$AG$2&gt;=EDATE($BZ$5,-12))*('LY Sales '!$C$2:$AG$2&lt;=EDATE($BZ$7,-12)),'LY Sales '!$C$5:$AG$200))</f>
        <v>0</v>
      </c>
      <c r="BL13" cm="1">
        <f t="array" ref="BL13">IF($AW13="",0,SUMPRODUCT((TRIM('LY Sales '!$B$5:$B$200)=$AW13)*('LY Sales '!$C$2:$AG$2&gt;=EDATE($BZ$5,-12))*('LY Sales '!$C$2:$AG$2&lt;=EDATE($BZ$6,-12))*('LY Sales '!$C$5:$AG$200&gt;0)))</f>
        <v>0</v>
      </c>
      <c r="BM13" cm="1">
        <f t="array" ref="BM13">IF(NOT(ISNUMBER($BG13)),0,SUMPRODUCT(('TY Sales Target'!$K$2:$AO$2&gt;=$BZ$5)*('TY Sales Target'!$K$2:$AO$2&lt;=$BZ$6),INDEX('TY Sales Target'!$K$5:$AO$300,$BG13,0)))</f>
        <v>712542.71786415053</v>
      </c>
      <c r="BN13" cm="1">
        <f t="array" ref="BN13">IF(NOT(ISNUMBER($BG13)),0,SUMPRODUCT(('TY Sales Target'!$K$2:$AO$2&gt;=$BZ$5)*('TY Sales Target'!$K$2:$AO$2&lt;=$BZ$7),INDEX('TY Sales Target'!$K$5:$AO$300,$BG13,0)))</f>
        <v>930000</v>
      </c>
      <c r="BO13" cm="1">
        <f t="array" ref="BO13">IF($AW13="",0,IFERROR(_xlfn.SWITCH($BP13,"LY trend",$BI13*$BK13/$BJ13,"Target curve",$BI13*$BN13/$BM13,"Run rate",$BI13/$BZ$8*$BZ$9,0),0))</f>
        <v>876368.02334011649</v>
      </c>
      <c r="BP13" t="str">
        <f t="shared" si="1"/>
        <v>Target curve</v>
      </c>
      <c r="BR13" t="str">
        <v>HADARTAW2</v>
      </c>
      <c r="BV13" t="str">
        <v>Mohammed Sanad</v>
      </c>
      <c r="BX13" t="str">
        <v>Dawadami</v>
      </c>
      <c r="CB13" cm="1">
        <f t="array" ref="CB13">IF($AW13="",0,_xlfn.LET(_xlpm.k,IFERROR(_xlfn.XLOOKUP($AW13,$CD$6:$CD$21,$CE$6:$CE$21),$AW13),SUMPRODUCT((TRIM('Makeup '!$A$2:$A$300&amp;"")=_xlpm.k)*1,IFERROR('Makeup '!$F$2:$F$300*1,0))))</f>
        <v>33282.15</v>
      </c>
      <c r="CF13" t="str" cm="1">
        <f t="array" ref="CF13">IF($AW13="","",_xlfn.LET(_xlpm.c,IFERROR(TRIM(INDEX('Sales and count'!$B$4:$B$300,$BF13)&amp;""),""),IF(OR(_xlpm.c="",_xlpm.c="0",LEFT(_xlpm.c,1)="#"),"Not set",_xlpm.c)))</f>
        <v>KSA</v>
      </c>
      <c r="CH13" cm="1">
        <f t="array" ref="CH13">IF($AW13="",0,_xlfn.LET(_xlpm.k,IFERROR(_xlfn.XLOOKUP($AW13,$CD$6:$CD$21,$CE$6:$CE$21),$AW13),--(SUMPRODUCT((TRIM('Makeup '!$A$2:$A$300&amp;"")=_xlpm.k)*ISNUMBER('Makeup '!$F$2:$F$300))&gt;0)))</f>
        <v>1</v>
      </c>
      <c r="CI13">
        <f t="shared" si="4"/>
        <v>671451.23999999987</v>
      </c>
      <c r="CJ13" cm="1">
        <f t="array" ref="CJ13">IF($AW13="",0,--(SUMPRODUCT(--(TRIM(Footfall!$B$5:$B$301)=$AW13))&gt;0))</f>
        <v>1</v>
      </c>
      <c r="CK13" s="8" cm="1">
        <f t="array" ref="CK13">IF($AW13="",0,_xlfn.LET(_xlpm.r,IFERROR(MATCH(IFERROR(_xlfn.XLOOKUP($AW13,$BT$5:$BT$22,$BU$5:$BU$22),$AW13),TRIM('TY Beauty Target'!$B$5:$B$300&amp;""),0),""),IF(ISNUMBER(_xlpm.r),SUMPRODUCT(('TY Beauty Target'!$L$2:$AP$2&gt;=$U$4)*('TY Beauty Target'!$L$2:$AP$2&lt;=$U$5),INDEX('TY Beauty Target'!$L$5:$AP$300,_xlpm.r,0)),0)))</f>
        <v>45484.982324918754</v>
      </c>
    </row>
    <row r="14" spans="1:89" ht="15" customHeight="1" x14ac:dyDescent="0.25">
      <c r="A14" s="195" t="s">
        <v>195</v>
      </c>
      <c r="B14" s="196"/>
      <c r="C14" s="196" cm="1">
        <f t="array" ref="C14">SUMPRODUCT(($AN$5:$AN$302="")*($AW$5:$AW$302&lt;&gt;""))</f>
        <v>1</v>
      </c>
      <c r="D14" s="196" cm="1">
        <f t="array" ref="D14">SUMPRODUCT(($AN$5:$AN$302="")*1,$AR$5:$AR$302)</f>
        <v>973052.61</v>
      </c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 cm="1">
        <f t="array" aca="1" ref="P14" ca="1">SUMPRODUCT(($AN$5:$AN$302="")*1,$AS$5:$AS$302)</f>
        <v>3316</v>
      </c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37"/>
      <c r="AF14" s="37"/>
      <c r="AG14" s="35"/>
      <c r="AH14" s="35"/>
      <c r="AN14" s="8" t="str" cm="1">
        <f t="array" ref="AN14">IF($AW14="","",_xlfn.LET(_xlpm.sa,IFERROR(TRIM(INDEX('Sales and count'!$D$4:$D$300,$BF14)&amp;""),""),_xlpm.ta,IFERROR(TRIM(INDEX('TY Sales Target'!$F$5:$F$300,$BG14)&amp;""),""),IF(AND(_xlpm.sa&lt;&gt;"",LEFT(_xlpm.sa,1)&lt;&gt;"#",_xlpm.sa&lt;&gt;"0"),_xlpm.sa,IF(AND(_xlpm.ta&lt;&gt;"",LEFT(_xlpm.ta,1)&lt;&gt;"#",_xlpm.ta&lt;&gt;"0"),_xlpm.ta,IF(ISNUMBER($BG14),"Unassigned","")))))</f>
        <v>Ahlam Al Zahrani</v>
      </c>
      <c r="AO14" s="8" t="str" cm="1">
        <f t="array" ref="AO14">IF($AW14="","",_xlfn.LET(_xlpm.sa,IFERROR(TRIM(INDEX('Sales and count'!$C$4:$C$300,$BF14)&amp;""),""),_xlpm.ta,IFERROR(TRIM(INDEX('TY Sales Target'!$D$5:$D$300,$BG14)&amp;""),""),IF(AND(_xlpm.sa&lt;&gt;"",LEFT(_xlpm.sa,1)&lt;&gt;"#",_xlpm.sa&lt;&gt;"0"),_xlpm.sa,IF(AND(_xlpm.ta&lt;&gt;"",LEFT(_xlpm.ta,1)&lt;&gt;"#",_xlpm.ta&lt;&gt;"0"),_xlpm.ta,""))))</f>
        <v>Jeddah</v>
      </c>
      <c r="AP14" s="8">
        <f t="shared" si="2"/>
        <v>0</v>
      </c>
      <c r="AQ14" s="8">
        <f t="shared" si="0"/>
        <v>0</v>
      </c>
      <c r="AR14" s="8" cm="1">
        <f t="array" ref="AR14">IF($BF14="",0,_xlfn.LET(_xlpm.d,IFERROR(--'Sales and count'!$G$2:$CC$2,0),SUMPRODUCT(('Sales and count'!$G$3:$CC$3="Total")*(_xlpm.d&gt;=$U$4)*(_xlpm.d&lt;=$U$5),INDEX('Sales and count'!$G$4:$CC$300,$BF14,0))))</f>
        <v>105520.01000000001</v>
      </c>
      <c r="AS14" s="8" cm="1">
        <f t="array" aca="1" ref="AS14" ca="1">IF($BF14="",0,_xlfn.LET(_xlpm.d,IFERROR(--'Sales and count'!$F$2:$CB$2,0),SUMPRODUCT(('Sales and count'!$G$3:$CC$3="Transactions")*(_xlpm.d&gt;=$U$4)*(_xlpm.d&lt;=$U$5),INDEX('Sales and count'!$G$4:$CC$300,$BF14,0))))</f>
        <v>752</v>
      </c>
      <c r="AT14" s="8" cm="1">
        <f t="array" ref="AT14">IF($AW14="",0,SUMPRODUCT((TRIM('LY Sales '!$B$5:$B$200)=$AW14)*('LY Sales '!$C$2:$AG$2&gt;=EDATE($U$4,-12))*('LY Sales '!$C$2:$AG$2&lt;=EDATE($U$5,-12)),'LY Sales '!$C$5:$AG$200))</f>
        <v>0</v>
      </c>
      <c r="AU14" s="8" cm="1">
        <f t="array" ref="AU14">IF($AW14="",0,SUMPRODUCT((TRIM('LY Transaction'!$B$5:$B$200)=$AW14)*('LY Transaction'!$C$2:$AG$2&gt;=EDATE($U$4,-12))*('LY Transaction'!$C$2:$AG$2&lt;=EDATE($U$5,-12)),'LY Transaction'!$C$5:$AG$200))</f>
        <v>0</v>
      </c>
      <c r="AV14" s="8" cm="1">
        <f t="array" ref="AV14">IF(NOT(ISNUMBER($BG14)),0,SUMPRODUCT(('TY Sales Target'!$K$2:$AO$2&gt;=$U$4)*('TY Sales Target'!$K$2:$AO$2&lt;=$U$5),INDEX('TY Sales Target'!$K$5:$AO$300,$BG14,0)))</f>
        <v>126418.86929847833</v>
      </c>
      <c r="AW14" s="8" t="str" cm="1">
        <f t="array" ref="AW14">IFERROR(INDEX(_xlfn.ANCHORARRAY($BR$5),ROWS($AW$5:AW14)),"")</f>
        <v>HAWAHABLVD</v>
      </c>
      <c r="AY14" s="132">
        <v>46304</v>
      </c>
      <c r="AZ14" s="132"/>
      <c r="BB14" cm="1">
        <f t="array" ref="BB14">IF($AW14="",0,SUMPRODUCT((TRIM(Footfall!$B$5:$B$301)=$AW14)*(Footfall!$C$1:$BZ$1&gt;=$U$4)*(Footfall!$C$2:$BZ$2&lt;=$U$5)*(Footfall!$C$1:$BZ$1&lt;&gt;""),Footfall!$C$5:$BZ$301))</f>
        <v>3757</v>
      </c>
      <c r="BC14" cm="1">
        <f t="array" aca="1" ref="BC14" ca="1">IF(OR($BB14&lt;=0,$BD$1="",$BF14=""),0,_xlfn.LET(_xlpm.d,IFERROR(--'Sales and count'!$F$2:$CB$2,0),SUMPRODUCT(('Sales and count'!$G$3:$CC$3="Transactions")*(_xlpm.d&gt;=$BD$1)*(_xlpm.d&lt;=$BD$2),INDEX('Sales and count'!$G$4:$CC$300,$BF14,0))))</f>
        <v>752</v>
      </c>
      <c r="BF14" cm="1">
        <f t="array" ref="BF14">IF($AW14="","",IFERROR(MATCH($AW14,TRIM('Sales and count'!$A$4:$A$300&amp;""),0),""))</f>
        <v>10</v>
      </c>
      <c r="BG14" cm="1">
        <f t="array" ref="BG14">IF($AW14="","",IFERROR(MATCH(IFERROR(_xlfn.XLOOKUP($AW14,$BT$5:$BT$22,$BU$5:$BU$22),$AW14),TRIM('TY Sales Target'!$B$5:$B$300&amp;""),0),""))</f>
        <v>79</v>
      </c>
      <c r="BH14" t="str" cm="1">
        <f t="array" ref="BH14">IF(ISNUMBER($BG14),_xlfn.LET(_xlpm.p,TRIM(INDEX('TY Sales Target'!$I$5:$I$300,$BG14)&amp;""),IF(_xlpm.p="","Not set",_xlpm.p)),"Not set")</f>
        <v>I Pad</v>
      </c>
      <c r="BI14" cm="1">
        <f t="array" ref="BI14">IF($BF14="",0,_xlfn.LET(_xlpm.d,IFERROR(--'Sales and count'!$G$2:$CC$2,0),SUMPRODUCT(('Sales and count'!$G$3:$CC$3="Total")*(_xlpm.d&gt;=$BZ$5)*(_xlpm.d&lt;=$BZ$6),INDEX('Sales and count'!$G$4:$CC$300,$BF14,0))))</f>
        <v>105520.01000000001</v>
      </c>
      <c r="BJ14" cm="1">
        <f t="array" ref="BJ14">IF($AW14="",0,SUMPRODUCT((TRIM('LY Sales '!$B$5:$B$200)=$AW14)*('LY Sales '!$C$2:$AG$2&gt;=EDATE($BZ$5,-12))*('LY Sales '!$C$2:$AG$2&lt;=EDATE($BZ$6,-12)),'LY Sales '!$C$5:$AG$200))</f>
        <v>0</v>
      </c>
      <c r="BK14" cm="1">
        <f t="array" ref="BK14">IF($AW14="",0,SUMPRODUCT((TRIM('LY Sales '!$B$5:$B$200)=$AW14)*('LY Sales '!$C$2:$AG$2&gt;=EDATE($BZ$5,-12))*('LY Sales '!$C$2:$AG$2&lt;=EDATE($BZ$7,-12)),'LY Sales '!$C$5:$AG$200))</f>
        <v>0</v>
      </c>
      <c r="BL14" cm="1">
        <f t="array" ref="BL14">IF($AW14="",0,SUMPRODUCT((TRIM('LY Sales '!$B$5:$B$200)=$AW14)*('LY Sales '!$C$2:$AG$2&gt;=EDATE($BZ$5,-12))*('LY Sales '!$C$2:$AG$2&lt;=EDATE($BZ$6,-12))*('LY Sales '!$C$5:$AG$200&gt;0)))</f>
        <v>0</v>
      </c>
      <c r="BM14" cm="1">
        <f t="array" ref="BM14">IF(NOT(ISNUMBER($BG14)),0,SUMPRODUCT(('TY Sales Target'!$K$2:$AO$2&gt;=$BZ$5)*('TY Sales Target'!$K$2:$AO$2&lt;=$BZ$6),INDEX('TY Sales Target'!$K$5:$AO$300,$BG14,0)))</f>
        <v>126418.86929847833</v>
      </c>
      <c r="BN14" cm="1">
        <f t="array" ref="BN14">IF(NOT(ISNUMBER($BG14)),0,SUMPRODUCT(('TY Sales Target'!$K$2:$AO$2&gt;=$BZ$5)*('TY Sales Target'!$K$2:$AO$2&lt;=$BZ$7),INDEX('TY Sales Target'!$K$5:$AO$300,$BG14,0)))</f>
        <v>164999.99999999997</v>
      </c>
      <c r="BO14" cm="1">
        <f t="array" ref="BO14">IF($AW14="",0,IFERROR(_xlfn.SWITCH($BP14,"LY trend",$BI14*$BK14/$BJ14,"Target curve",$BI14*$BN14/$BM14,"Run rate",$BI14/$BZ$8*$BZ$9,0),0))</f>
        <v>137723.12429794506</v>
      </c>
      <c r="BP14" t="str">
        <f t="shared" si="1"/>
        <v>Target curve</v>
      </c>
      <c r="BR14" t="str">
        <v>HAWAHABLVD</v>
      </c>
      <c r="BV14" t="str">
        <v>No assignment</v>
      </c>
      <c r="BX14" t="str">
        <v>Doha</v>
      </c>
      <c r="CB14" cm="1">
        <f t="array" ref="CB14">IF($AW14="",0,_xlfn.LET(_xlpm.k,IFERROR(_xlfn.XLOOKUP($AW14,$CD$6:$CD$21,$CE$6:$CE$21),$AW14),SUMPRODUCT((TRIM('Makeup '!$A$2:$A$300&amp;"")=_xlpm.k)*1,IFERROR('Makeup '!$F$2:$F$300*1,0))))</f>
        <v>7189.84</v>
      </c>
      <c r="CF14" t="str" cm="1">
        <f t="array" ref="CF14">IF($AW14="","",_xlfn.LET(_xlpm.c,IFERROR(TRIM(INDEX('Sales and count'!$B$4:$B$300,$BF14)&amp;""),""),IF(OR(_xlpm.c="",_xlpm.c="0",LEFT(_xlpm.c,1)="#"),"Not set",_xlpm.c)))</f>
        <v>KSA</v>
      </c>
      <c r="CH14" cm="1">
        <f t="array" ref="CH14">IF($AW14="",0,_xlfn.LET(_xlpm.k,IFERROR(_xlfn.XLOOKUP($AW14,$CD$6:$CD$21,$CE$6:$CE$21),$AW14),--(SUMPRODUCT((TRIM('Makeup '!$A$2:$A$300&amp;"")=_xlpm.k)*ISNUMBER('Makeup '!$F$2:$F$300))&gt;0)))</f>
        <v>1</v>
      </c>
      <c r="CI14">
        <f t="shared" si="4"/>
        <v>105520.01000000001</v>
      </c>
      <c r="CJ14" cm="1">
        <f t="array" ref="CJ14">IF($AW14="",0,--(SUMPRODUCT(--(TRIM(Footfall!$B$5:$B$301)=$AW14))&gt;0))</f>
        <v>1</v>
      </c>
      <c r="CK14" s="8" cm="1">
        <f t="array" ref="CK14">IF($AW14="",0,_xlfn.LET(_xlpm.r,IFERROR(MATCH(IFERROR(_xlfn.XLOOKUP($AW14,$BT$5:$BT$22,$BU$5:$BU$22),$AW14),TRIM('TY Beauty Target'!$B$5:$B$300&amp;""),0),""),IF(ISNUMBER(_xlpm.r),SUMPRODUCT(('TY Beauty Target'!$L$2:$AP$2&gt;=$U$4)*('TY Beauty Target'!$L$2:$AP$2&lt;=$U$5),INDEX('TY Beauty Target'!$L$5:$AP$300,_xlpm.r,0)),0)))</f>
        <v>5714.5253257467702</v>
      </c>
    </row>
    <row r="15" spans="1:89" ht="15" customHeight="1" x14ac:dyDescent="0.25">
      <c r="A15" s="17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35"/>
      <c r="AF15" s="35"/>
      <c r="AG15" s="35"/>
      <c r="AH15" s="35"/>
      <c r="AN15" s="8" t="str" cm="1">
        <f t="array" ref="AN15">IF($AW15="","",_xlfn.LET(_xlpm.sa,IFERROR(TRIM(INDEX('Sales and count'!$D$4:$D$300,$BF15)&amp;""),""),_xlpm.ta,IFERROR(TRIM(INDEX('TY Sales Target'!$F$5:$F$300,$BG15)&amp;""),""),IF(AND(_xlpm.sa&lt;&gt;"",LEFT(_xlpm.sa,1)&lt;&gt;"#",_xlpm.sa&lt;&gt;"0"),_xlpm.sa,IF(AND(_xlpm.ta&lt;&gt;"",LEFT(_xlpm.ta,1)&lt;&gt;"#",_xlpm.ta&lt;&gt;"0"),_xlpm.ta,IF(ISNUMBER($BG15),"Unassigned","")))))</f>
        <v>Mohammed Haidar</v>
      </c>
      <c r="AO15" s="8" t="str" cm="1">
        <f t="array" ref="AO15">IF($AW15="","",_xlfn.LET(_xlpm.sa,IFERROR(TRIM(INDEX('Sales and count'!$C$4:$C$300,$BF15)&amp;""),""),_xlpm.ta,IFERROR(TRIM(INDEX('TY Sales Target'!$D$5:$D$300,$BG15)&amp;""),""),IF(AND(_xlpm.sa&lt;&gt;"",LEFT(_xlpm.sa,1)&lt;&gt;"#",_xlpm.sa&lt;&gt;"0"),_xlpm.sa,IF(AND(_xlpm.ta&lt;&gt;"",LEFT(_xlpm.ta,1)&lt;&gt;"#",_xlpm.ta&lt;&gt;"0"),_xlpm.ta,""))))</f>
        <v>Yanbu</v>
      </c>
      <c r="AP15" s="8">
        <f t="shared" si="2"/>
        <v>0</v>
      </c>
      <c r="AQ15" s="8">
        <f t="shared" si="0"/>
        <v>1</v>
      </c>
      <c r="AR15" s="8" cm="1">
        <f t="array" ref="AR15">IF($BF15="",0,_xlfn.LET(_xlpm.d,IFERROR(--'Sales and count'!$G$2:$CC$2,0),SUMPRODUCT(('Sales and count'!$G$3:$CC$3="Total")*(_xlpm.d&gt;=$U$4)*(_xlpm.d&lt;=$U$5),INDEX('Sales and count'!$G$4:$CC$300,$BF15,0))))</f>
        <v>95219.239999999962</v>
      </c>
      <c r="AS15" s="8" cm="1">
        <f t="array" aca="1" ref="AS15" ca="1">IF($BF15="",0,_xlfn.LET(_xlpm.d,IFERROR(--'Sales and count'!$F$2:$CB$2,0),SUMPRODUCT(('Sales and count'!$G$3:$CC$3="Transactions")*(_xlpm.d&gt;=$U$4)*(_xlpm.d&lt;=$U$5),INDEX('Sales and count'!$G$4:$CC$300,$BF15,0))))</f>
        <v>622</v>
      </c>
      <c r="AT15" s="8" cm="1">
        <f t="array" ref="AT15">IF($AW15="",0,SUMPRODUCT((TRIM('LY Sales '!$B$5:$B$200)=$AW15)*('LY Sales '!$C$2:$AG$2&gt;=EDATE($U$4,-12))*('LY Sales '!$C$2:$AG$2&lt;=EDATE($U$5,-12)),'LY Sales '!$C$5:$AG$200))</f>
        <v>154900.48000000001</v>
      </c>
      <c r="AU15" s="8" cm="1">
        <f t="array" ref="AU15">IF($AW15="",0,SUMPRODUCT((TRIM('LY Transaction'!$B$5:$B$200)=$AW15)*('LY Transaction'!$C$2:$AG$2&gt;=EDATE($U$4,-12))*('LY Transaction'!$C$2:$AG$2&lt;=EDATE($U$5,-12)),'LY Transaction'!$C$5:$AG$200))</f>
        <v>1149</v>
      </c>
      <c r="AV15" s="8" cm="1">
        <f t="array" ref="AV15">IF(NOT(ISNUMBER($BG15)),0,SUMPRODUCT(('TY Sales Target'!$K$2:$AO$2&gt;=$U$4)*('TY Sales Target'!$K$2:$AO$2&lt;=$U$5),INDEX('TY Sales Target'!$K$5:$AO$300,$BG15,0)))</f>
        <v>112627.71992046252</v>
      </c>
      <c r="AW15" s="8" t="str" cm="1">
        <f t="array" ref="AW15">IFERROR(INDEX(_xlfn.ANCHORARRAY($BR$5),ROWS($AW$5:AW15)),"")</f>
        <v>YANBUMALL</v>
      </c>
      <c r="AY15" s="132">
        <v>46305</v>
      </c>
      <c r="AZ15" s="132"/>
      <c r="BB15" cm="1">
        <f t="array" ref="BB15">IF($AW15="",0,SUMPRODUCT((TRIM(Footfall!$B$5:$B$301)=$AW15)*(Footfall!$C$1:$BZ$1&gt;=$U$4)*(Footfall!$C$2:$BZ$2&lt;=$U$5)*(Footfall!$C$1:$BZ$1&lt;&gt;""),Footfall!$C$5:$BZ$301))</f>
        <v>4743</v>
      </c>
      <c r="BC15" cm="1">
        <f t="array" aca="1" ref="BC15" ca="1">IF(OR($BB15&lt;=0,$BD$1="",$BF15=""),0,_xlfn.LET(_xlpm.d,IFERROR(--'Sales and count'!$F$2:$CB$2,0),SUMPRODUCT(('Sales and count'!$G$3:$CC$3="Transactions")*(_xlpm.d&gt;=$BD$1)*(_xlpm.d&lt;=$BD$2),INDEX('Sales and count'!$G$4:$CC$300,$BF15,0))))</f>
        <v>622</v>
      </c>
      <c r="BF15" cm="1">
        <f t="array" ref="BF15">IF($AW15="","",IFERROR(MATCH($AW15,TRIM('Sales and count'!$A$4:$A$300&amp;""),0),""))</f>
        <v>11</v>
      </c>
      <c r="BG15" cm="1">
        <f t="array" ref="BG15">IF($AW15="","",IFERROR(MATCH(IFERROR(_xlfn.XLOOKUP($AW15,$BT$5:$BT$22,$BU$5:$BU$22),$AW15),TRIM('TY Sales Target'!$B$5:$B$300&amp;""),0),""))</f>
        <v>89</v>
      </c>
      <c r="BH15" t="str" cm="1">
        <f t="array" ref="BH15">IF(ISNUMBER($BG15),_xlfn.LET(_xlpm.p,TRIM(INDEX('TY Sales Target'!$I$5:$I$300,$BG15)&amp;""),IF(_xlpm.p="","Not set",_xlpm.p)),"Not set")</f>
        <v>Smart Watch</v>
      </c>
      <c r="BI15" cm="1">
        <f t="array" ref="BI15">IF($BF15="",0,_xlfn.LET(_xlpm.d,IFERROR(--'Sales and count'!$G$2:$CC$2,0),SUMPRODUCT(('Sales and count'!$G$3:$CC$3="Total")*(_xlpm.d&gt;=$BZ$5)*(_xlpm.d&lt;=$BZ$6),INDEX('Sales and count'!$G$4:$CC$300,$BF15,0))))</f>
        <v>95219.239999999962</v>
      </c>
      <c r="BJ15" cm="1">
        <f t="array" ref="BJ15">IF($AW15="",0,SUMPRODUCT((TRIM('LY Sales '!$B$5:$B$200)=$AW15)*('LY Sales '!$C$2:$AG$2&gt;=EDATE($BZ$5,-12))*('LY Sales '!$C$2:$AG$2&lt;=EDATE($BZ$6,-12)),'LY Sales '!$C$5:$AG$200))</f>
        <v>154900.48000000001</v>
      </c>
      <c r="BK15" cm="1">
        <f t="array" ref="BK15">IF($AW15="",0,SUMPRODUCT((TRIM('LY Sales '!$B$5:$B$200)=$AW15)*('LY Sales '!$C$2:$AG$2&gt;=EDATE($BZ$5,-12))*('LY Sales '!$C$2:$AG$2&lt;=EDATE($BZ$7,-12)),'LY Sales '!$C$5:$AG$200))</f>
        <v>193590.98</v>
      </c>
      <c r="BL15" cm="1">
        <f t="array" ref="BL15">IF($AW15="",0,SUMPRODUCT((TRIM('LY Sales '!$B$5:$B$200)=$AW15)*('LY Sales '!$C$2:$AG$2&gt;=EDATE($BZ$5,-12))*('LY Sales '!$C$2:$AG$2&lt;=EDATE($BZ$6,-12))*('LY Sales '!$C$5:$AG$200&gt;0)))</f>
        <v>26</v>
      </c>
      <c r="BM15" cm="1">
        <f t="array" ref="BM15">IF(NOT(ISNUMBER($BG15)),0,SUMPRODUCT(('TY Sales Target'!$K$2:$AO$2&gt;=$BZ$5)*('TY Sales Target'!$K$2:$AO$2&lt;=$BZ$6),INDEX('TY Sales Target'!$K$5:$AO$300,$BG15,0)))</f>
        <v>112627.71992046252</v>
      </c>
      <c r="BN15" cm="1">
        <f t="array" ref="BN15">IF(NOT(ISNUMBER($BG15)),0,SUMPRODUCT(('TY Sales Target'!$K$2:$AO$2&gt;=$BZ$5)*('TY Sales Target'!$K$2:$AO$2&lt;=$BZ$7),INDEX('TY Sales Target'!$K$5:$AO$300,$BG15,0)))</f>
        <v>147000.00000000003</v>
      </c>
      <c r="BO15" cm="1">
        <f t="array" ref="BO15">IF($AW15="",0,IFERROR(_xlfn.SWITCH($BP15,"LY trend",$BI15*$BK15/$BJ15,"Target curve",$BI15*$BN15/$BM15,"Run rate",$BI15/$BZ$8*$BZ$9,0),0))</f>
        <v>119002.76865801314</v>
      </c>
      <c r="BP15" t="str">
        <f t="shared" si="1"/>
        <v>LY trend</v>
      </c>
      <c r="BR15" t="str">
        <v>YANBUMALL</v>
      </c>
      <c r="BV15" t="str">
        <v>Saleh Bin Hoiel</v>
      </c>
      <c r="BX15" t="str">
        <v>Hafer Al Batin</v>
      </c>
      <c r="CB15" cm="1">
        <f t="array" ref="CB15">IF($AW15="",0,_xlfn.LET(_xlpm.k,IFERROR(_xlfn.XLOOKUP($AW15,$CD$6:$CD$21,$CE$6:$CE$21),$AW15),SUMPRODUCT((TRIM('Makeup '!$A$2:$A$300&amp;"")=_xlpm.k)*1,IFERROR('Makeup '!$F$2:$F$300*1,0))))</f>
        <v>3982.74</v>
      </c>
      <c r="CF15" t="str" cm="1">
        <f t="array" ref="CF15">IF($AW15="","",_xlfn.LET(_xlpm.c,IFERROR(TRIM(INDEX('Sales and count'!$B$4:$B$300,$BF15)&amp;""),""),IF(OR(_xlpm.c="",_xlpm.c="0",LEFT(_xlpm.c,1)="#"),"Not set",_xlpm.c)))</f>
        <v>KSA</v>
      </c>
      <c r="CH15" cm="1">
        <f t="array" ref="CH15">IF($AW15="",0,_xlfn.LET(_xlpm.k,IFERROR(_xlfn.XLOOKUP($AW15,$CD$6:$CD$21,$CE$6:$CE$21),$AW15),--(SUMPRODUCT((TRIM('Makeup '!$A$2:$A$300&amp;"")=_xlpm.k)*ISNUMBER('Makeup '!$F$2:$F$300))&gt;0)))</f>
        <v>1</v>
      </c>
      <c r="CI15">
        <f t="shared" si="4"/>
        <v>95219.239999999962</v>
      </c>
      <c r="CJ15" cm="1">
        <f t="array" ref="CJ15">IF($AW15="",0,--(SUMPRODUCT(--(TRIM(Footfall!$B$5:$B$301)=$AW15))&gt;0))</f>
        <v>1</v>
      </c>
      <c r="CK15" s="8" cm="1">
        <f t="array" ref="CK15">IF($AW15="",0,_xlfn.LET(_xlpm.r,IFERROR(MATCH(IFERROR(_xlfn.XLOOKUP($AW15,$BT$5:$BT$22,$BU$5:$BU$22),$AW15),TRIM('TY Beauty Target'!$B$5:$B$300&amp;""),0),""),IF(ISNUMBER(_xlpm.r),SUMPRODUCT(('TY Beauty Target'!$L$2:$AP$2&gt;=$U$4)*('TY Beauty Target'!$L$2:$AP$2&lt;=$U$5),INDEX('TY Beauty Target'!$L$5:$AP$300,_xlpm.r,0)),0)))</f>
        <v>4538.7939355095668</v>
      </c>
    </row>
    <row r="16" spans="1:89" ht="15.75" customHeight="1" x14ac:dyDescent="0.25">
      <c r="A16" s="34" t="s">
        <v>196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35"/>
      <c r="AF16" s="35"/>
      <c r="AG16" s="35"/>
      <c r="AH16" s="35"/>
      <c r="AN16" s="8" t="str" cm="1">
        <f t="array" ref="AN16">IF($AW16="","",_xlfn.LET(_xlpm.sa,IFERROR(TRIM(INDEX('Sales and count'!$D$4:$D$300,$BF16)&amp;""),""),_xlpm.ta,IFERROR(TRIM(INDEX('TY Sales Target'!$F$5:$F$300,$BG16)&amp;""),""),IF(AND(_xlpm.sa&lt;&gt;"",LEFT(_xlpm.sa,1)&lt;&gt;"#",_xlpm.sa&lt;&gt;"0"),_xlpm.sa,IF(AND(_xlpm.ta&lt;&gt;"",LEFT(_xlpm.ta,1)&lt;&gt;"#",_xlpm.ta&lt;&gt;"0"),_xlpm.ta,IF(ISNUMBER($BG16),"Unassigned","")))))</f>
        <v>Ahlam Al Zahrani</v>
      </c>
      <c r="AO16" s="8" t="str" cm="1">
        <f t="array" ref="AO16">IF($AW16="","",_xlfn.LET(_xlpm.sa,IFERROR(TRIM(INDEX('Sales and count'!$C$4:$C$300,$BF16)&amp;""),""),_xlpm.ta,IFERROR(TRIM(INDEX('TY Sales Target'!$D$5:$D$300,$BG16)&amp;""),""),IF(AND(_xlpm.sa&lt;&gt;"",LEFT(_xlpm.sa,1)&lt;&gt;"#",_xlpm.sa&lt;&gt;"0"),_xlpm.sa,IF(AND(_xlpm.ta&lt;&gt;"",LEFT(_xlpm.ta,1)&lt;&gt;"#",_xlpm.ta&lt;&gt;"0"),_xlpm.ta,""))))</f>
        <v>Jeddah</v>
      </c>
      <c r="AP16" s="8">
        <f t="shared" si="2"/>
        <v>0</v>
      </c>
      <c r="AQ16" s="8">
        <f t="shared" si="0"/>
        <v>0</v>
      </c>
      <c r="AR16" s="8" cm="1">
        <f t="array" ref="AR16">IF($BF16="",0,_xlfn.LET(_xlpm.d,IFERROR(--'Sales and count'!$G$2:$CC$2,0),SUMPRODUCT(('Sales and count'!$G$3:$CC$3="Total")*(_xlpm.d&gt;=$U$4)*(_xlpm.d&lt;=$U$5),INDEX('Sales and count'!$G$4:$CC$300,$BF16,0))))</f>
        <v>165496.87000000005</v>
      </c>
      <c r="AS16" s="8" cm="1">
        <f t="array" aca="1" ref="AS16" ca="1">IF($BF16="",0,_xlfn.LET(_xlpm.d,IFERROR(--'Sales and count'!$F$2:$CB$2,0),SUMPRODUCT(('Sales and count'!$G$3:$CC$3="Transactions")*(_xlpm.d&gt;=$U$4)*(_xlpm.d&lt;=$U$5),INDEX('Sales and count'!$G$4:$CC$300,$BF16,0))))</f>
        <v>844</v>
      </c>
      <c r="AT16" s="8" cm="1">
        <f t="array" ref="AT16">IF($AW16="",0,SUMPRODUCT((TRIM('LY Sales '!$B$5:$B$200)=$AW16)*('LY Sales '!$C$2:$AG$2&gt;=EDATE($U$4,-12))*('LY Sales '!$C$2:$AG$2&lt;=EDATE($U$5,-12)),'LY Sales '!$C$5:$AG$200))</f>
        <v>0</v>
      </c>
      <c r="AU16" s="8" cm="1">
        <f t="array" ref="AU16">IF($AW16="",0,SUMPRODUCT((TRIM('LY Transaction'!$B$5:$B$200)=$AW16)*('LY Transaction'!$C$2:$AG$2&gt;=EDATE($U$4,-12))*('LY Transaction'!$C$2:$AG$2&lt;=EDATE($U$5,-12)),'LY Transaction'!$C$5:$AG$200))</f>
        <v>0</v>
      </c>
      <c r="AV16" s="8" cm="1">
        <f t="array" ref="AV16">IF(NOT(ISNUMBER($BG16)),0,SUMPRODUCT(('TY Sales Target'!$K$2:$AO$2&gt;=$U$4)*('TY Sales Target'!$K$2:$AO$2&lt;=$U$5),INDEX('TY Sales Target'!$K$5:$AO$300,$BG16,0)))</f>
        <v>180051.116879651</v>
      </c>
      <c r="AW16" s="8" t="str" cm="1">
        <f t="array" ref="AW16">IFERROR(INDEX(_xlfn.ANCHORARRAY($BR$5),ROWS($AW$5:AW16)),"")</f>
        <v>HAMAHMAL</v>
      </c>
      <c r="AY16" s="132">
        <v>46306</v>
      </c>
      <c r="AZ16" s="132"/>
      <c r="BB16" cm="1">
        <f t="array" ref="BB16">IF($AW16="",0,SUMPRODUCT((TRIM(Footfall!$B$5:$B$301)=$AW16)*(Footfall!$C$1:$BZ$1&gt;=$U$4)*(Footfall!$C$2:$BZ$2&lt;=$U$5)*(Footfall!$C$1:$BZ$1&lt;&gt;""),Footfall!$C$5:$BZ$301))</f>
        <v>0</v>
      </c>
      <c r="BC16" cm="1">
        <f t="array" ref="BC16">IF(OR($BB16&lt;=0,$BD$1="",$BF16=""),0,_xlfn.LET(_xlpm.d,IFERROR(--'Sales and count'!$F$2:$CB$2,0),SUMPRODUCT(('Sales and count'!$G$3:$CC$3="Transactions")*(_xlpm.d&gt;=$BD$1)*(_xlpm.d&lt;=$BD$2),INDEX('Sales and count'!$G$4:$CC$300,$BF16,0))))</f>
        <v>0</v>
      </c>
      <c r="BF16" cm="1">
        <f t="array" ref="BF16">IF($AW16="","",IFERROR(MATCH($AW16,TRIM('Sales and count'!$A$4:$A$300&amp;""),0),""))</f>
        <v>12</v>
      </c>
      <c r="BG16" cm="1">
        <f t="array" ref="BG16">IF($AW16="","",IFERROR(MATCH(IFERROR(_xlfn.XLOOKUP($AW16,$BT$5:$BT$22,$BU$5:$BU$22),$AW16),TRIM('TY Sales Target'!$B$5:$B$300&amp;""),0),""))</f>
        <v>52</v>
      </c>
      <c r="BH16" t="str" cm="1">
        <f t="array" ref="BH16">IF(ISNUMBER($BG16),_xlfn.LET(_xlpm.p,TRIM(INDEX('TY Sales Target'!$I$5:$I$300,$BG16)&amp;""),IF(_xlpm.p="","Not set",_xlpm.p)),"Not set")</f>
        <v>Smart Phone</v>
      </c>
      <c r="BI16" cm="1">
        <f t="array" ref="BI16">IF($BF16="",0,_xlfn.LET(_xlpm.d,IFERROR(--'Sales and count'!$G$2:$CC$2,0),SUMPRODUCT(('Sales and count'!$G$3:$CC$3="Total")*(_xlpm.d&gt;=$BZ$5)*(_xlpm.d&lt;=$BZ$6),INDEX('Sales and count'!$G$4:$CC$300,$BF16,0))))</f>
        <v>165496.87000000005</v>
      </c>
      <c r="BJ16" cm="1">
        <f t="array" ref="BJ16">IF($AW16="",0,SUMPRODUCT((TRIM('LY Sales '!$B$5:$B$200)=$AW16)*('LY Sales '!$C$2:$AG$2&gt;=EDATE($BZ$5,-12))*('LY Sales '!$C$2:$AG$2&lt;=EDATE($BZ$6,-12)),'LY Sales '!$C$5:$AG$200))</f>
        <v>0</v>
      </c>
      <c r="BK16" cm="1">
        <f t="array" ref="BK16">IF($AW16="",0,SUMPRODUCT((TRIM('LY Sales '!$B$5:$B$200)=$AW16)*('LY Sales '!$C$2:$AG$2&gt;=EDATE($BZ$5,-12))*('LY Sales '!$C$2:$AG$2&lt;=EDATE($BZ$7,-12)),'LY Sales '!$C$5:$AG$200))</f>
        <v>0</v>
      </c>
      <c r="BL16" cm="1">
        <f t="array" ref="BL16">IF($AW16="",0,SUMPRODUCT((TRIM('LY Sales '!$B$5:$B$200)=$AW16)*('LY Sales '!$C$2:$AG$2&gt;=EDATE($BZ$5,-12))*('LY Sales '!$C$2:$AG$2&lt;=EDATE($BZ$6,-12))*('LY Sales '!$C$5:$AG$200&gt;0)))</f>
        <v>0</v>
      </c>
      <c r="BM16" cm="1">
        <f t="array" ref="BM16">IF(NOT(ISNUMBER($BG16)),0,SUMPRODUCT(('TY Sales Target'!$K$2:$AO$2&gt;=$BZ$5)*('TY Sales Target'!$K$2:$AO$2&lt;=$BZ$6),INDEX('TY Sales Target'!$K$5:$AO$300,$BG16,0)))</f>
        <v>180051.116879651</v>
      </c>
      <c r="BN16" cm="1">
        <f t="array" ref="BN16">IF(NOT(ISNUMBER($BG16)),0,SUMPRODUCT(('TY Sales Target'!$K$2:$AO$2&gt;=$BZ$5)*('TY Sales Target'!$K$2:$AO$2&lt;=$BZ$7),INDEX('TY Sales Target'!$K$5:$AO$300,$BG16,0)))</f>
        <v>235000.00000000006</v>
      </c>
      <c r="BO16" cm="1">
        <f t="array" ref="BO16">IF($AW16="",0,IFERROR(_xlfn.SWITCH($BP16,"LY trend",$BI16*$BK16/$BJ16,"Target curve",$BI16*$BN16/$BM16,"Run rate",$BI16/$BZ$8*$BZ$9,0),0))</f>
        <v>216004.01665931285</v>
      </c>
      <c r="BP16" t="str">
        <f t="shared" si="1"/>
        <v>Target curve</v>
      </c>
      <c r="BR16" t="str">
        <v>HAMAHMAL</v>
      </c>
      <c r="BX16" t="str">
        <v>Hail</v>
      </c>
      <c r="CB16" cm="1">
        <f t="array" ref="CB16">IF($AW16="",0,_xlfn.LET(_xlpm.k,IFERROR(_xlfn.XLOOKUP($AW16,$CD$6:$CD$21,$CE$6:$CE$21),$AW16),SUMPRODUCT((TRIM('Makeup '!$A$2:$A$300&amp;"")=_xlpm.k)*1,IFERROR('Makeup '!$F$2:$F$300*1,0))))</f>
        <v>4658.07</v>
      </c>
      <c r="CF16" t="str" cm="1">
        <f t="array" ref="CF16">IF($AW16="","",_xlfn.LET(_xlpm.c,IFERROR(TRIM(INDEX('Sales and count'!$B$4:$B$300,$BF16)&amp;""),""),IF(OR(_xlpm.c="",_xlpm.c="0",LEFT(_xlpm.c,1)="#"),"Not set",_xlpm.c)))</f>
        <v>KSA</v>
      </c>
      <c r="CH16" cm="1">
        <f t="array" ref="CH16">IF($AW16="",0,_xlfn.LET(_xlpm.k,IFERROR(_xlfn.XLOOKUP($AW16,$CD$6:$CD$21,$CE$6:$CE$21),$AW16),--(SUMPRODUCT((TRIM('Makeup '!$A$2:$A$300&amp;"")=_xlpm.k)*ISNUMBER('Makeup '!$F$2:$F$300))&gt;0)))</f>
        <v>1</v>
      </c>
      <c r="CI16">
        <f t="shared" si="4"/>
        <v>165496.87000000005</v>
      </c>
      <c r="CJ16" cm="1">
        <f t="array" ref="CJ16">IF($AW16="",0,--(SUMPRODUCT(--(TRIM(Footfall!$B$5:$B$301)=$AW16))&gt;0))</f>
        <v>0</v>
      </c>
      <c r="CK16" s="8" cm="1">
        <f t="array" ref="CK16">IF($AW16="",0,_xlfn.LET(_xlpm.r,IFERROR(MATCH(IFERROR(_xlfn.XLOOKUP($AW16,$BT$5:$BT$22,$BU$5:$BU$22),$AW16),TRIM('TY Beauty Target'!$B$5:$B$300&amp;""),0),""),IF(ISNUMBER(_xlpm.r),SUMPRODUCT(('TY Beauty Target'!$L$2:$AP$2&gt;=$U$4)*('TY Beauty Target'!$L$2:$AP$2&lt;=$U$5),INDEX('TY Beauty Target'!$L$5:$AP$300,_xlpm.r,0)),0)))</f>
        <v>8005.3646583578466</v>
      </c>
    </row>
    <row r="17" spans="1:89" ht="32.1" customHeight="1" x14ac:dyDescent="0.25">
      <c r="A17" s="186" t="s">
        <v>179</v>
      </c>
      <c r="B17" s="187" t="s">
        <v>180</v>
      </c>
      <c r="C17" s="187" t="s">
        <v>181</v>
      </c>
      <c r="D17" s="187" t="s">
        <v>173</v>
      </c>
      <c r="E17" s="187" t="s">
        <v>175</v>
      </c>
      <c r="F17" s="187" t="s">
        <v>182</v>
      </c>
      <c r="G17" s="187" t="s">
        <v>199</v>
      </c>
      <c r="H17" s="187" t="str">
        <f>"Target ("&amp;$U$7&amp;" days)"</f>
        <v>Target (26 days)</v>
      </c>
      <c r="I17" s="187" t="s">
        <v>183</v>
      </c>
      <c r="J17" s="187" t="s">
        <v>184</v>
      </c>
      <c r="K17" s="187" t="s">
        <v>185</v>
      </c>
      <c r="L17" s="187" t="s">
        <v>541</v>
      </c>
      <c r="M17" s="187" t="str">
        <f>"Projected Close ("&amp;TEXT($BZ$7,"dd mmm")&amp;")"</f>
        <v>Projected Close (31 Oct)</v>
      </c>
      <c r="N17" s="187" t="s">
        <v>546</v>
      </c>
      <c r="O17" s="187" t="s">
        <v>547</v>
      </c>
      <c r="P17" s="187" t="s">
        <v>186</v>
      </c>
      <c r="Q17" s="187" t="s">
        <v>187</v>
      </c>
      <c r="R17" s="187" t="s">
        <v>188</v>
      </c>
      <c r="S17" s="187" t="s">
        <v>200</v>
      </c>
      <c r="T17" s="187" t="s">
        <v>189</v>
      </c>
      <c r="U17" s="187" t="s">
        <v>190</v>
      </c>
      <c r="V17" s="187" t="s">
        <v>191</v>
      </c>
      <c r="W17" s="187" t="s">
        <v>503</v>
      </c>
      <c r="X17" s="187" t="s">
        <v>510</v>
      </c>
      <c r="Y17" s="187" t="s">
        <v>511</v>
      </c>
      <c r="Z17" s="187" t="s">
        <v>683</v>
      </c>
      <c r="AA17" s="187" t="s">
        <v>684</v>
      </c>
      <c r="AB17" s="187" t="str">
        <f>"Makeup Target ("&amp;$U$7&amp;" days)"</f>
        <v>Makeup Target (26 days)</v>
      </c>
      <c r="AC17" s="187" t="s">
        <v>1604</v>
      </c>
      <c r="AD17" s="187" t="s">
        <v>1373</v>
      </c>
      <c r="AE17" s="36" t="s">
        <v>192</v>
      </c>
      <c r="AF17" s="36" t="s">
        <v>193</v>
      </c>
      <c r="AG17" s="36"/>
      <c r="AH17" s="36"/>
      <c r="AN17" s="8" t="str" cm="1">
        <f t="array" ref="AN17">IF($AW17="","",_xlfn.LET(_xlpm.sa,IFERROR(TRIM(INDEX('Sales and count'!$D$4:$D$300,$BF17)&amp;""),""),_xlpm.ta,IFERROR(TRIM(INDEX('TY Sales Target'!$F$5:$F$300,$BG17)&amp;""),""),IF(AND(_xlpm.sa&lt;&gt;"",LEFT(_xlpm.sa,1)&lt;&gt;"#",_xlpm.sa&lt;&gt;"0"),_xlpm.sa,IF(AND(_xlpm.ta&lt;&gt;"",LEFT(_xlpm.ta,1)&lt;&gt;"#",_xlpm.ta&lt;&gt;"0"),_xlpm.ta,IF(ISNUMBER($BG17),"Unassigned","")))))</f>
        <v>Mohammed Haidar</v>
      </c>
      <c r="AO17" s="8" t="str" cm="1">
        <f t="array" ref="AO17">IF($AW17="","",_xlfn.LET(_xlpm.sa,IFERROR(TRIM(INDEX('Sales and count'!$C$4:$C$300,$BF17)&amp;""),""),_xlpm.ta,IFERROR(TRIM(INDEX('TY Sales Target'!$D$5:$D$300,$BG17)&amp;""),""),IF(AND(_xlpm.sa&lt;&gt;"",LEFT(_xlpm.sa,1)&lt;&gt;"#",_xlpm.sa&lt;&gt;"0"),_xlpm.sa,IF(AND(_xlpm.ta&lt;&gt;"",LEFT(_xlpm.ta,1)&lt;&gt;"#",_xlpm.ta&lt;&gt;"0"),_xlpm.ta,""))))</f>
        <v>Madinah</v>
      </c>
      <c r="AP17" s="8">
        <f t="shared" si="2"/>
        <v>0</v>
      </c>
      <c r="AQ17" s="8">
        <f t="shared" si="0"/>
        <v>0</v>
      </c>
      <c r="AR17" s="8" cm="1">
        <f t="array" ref="AR17">IF($BF17="",0,_xlfn.LET(_xlpm.d,IFERROR(--'Sales and count'!$G$2:$CC$2,0),SUMPRODUCT(('Sales and count'!$G$3:$CC$3="Total")*(_xlpm.d&gt;=$U$4)*(_xlpm.d&lt;=$U$5),INDEX('Sales and count'!$G$4:$CC$300,$BF17,0))))</f>
        <v>58475.37</v>
      </c>
      <c r="AS17" s="8" cm="1">
        <f t="array" aca="1" ref="AS17" ca="1">IF($BF17="",0,_xlfn.LET(_xlpm.d,IFERROR(--'Sales and count'!$F$2:$CB$2,0),SUMPRODUCT(('Sales and count'!$G$3:$CC$3="Transactions")*(_xlpm.d&gt;=$U$4)*(_xlpm.d&lt;=$U$5),INDEX('Sales and count'!$G$4:$CC$300,$BF17,0))))</f>
        <v>271</v>
      </c>
      <c r="AT17" s="8" cm="1">
        <f t="array" ref="AT17">IF($AW17="",0,SUMPRODUCT((TRIM('LY Sales '!$B$5:$B$200)=$AW17)*('LY Sales '!$C$2:$AG$2&gt;=EDATE($U$4,-12))*('LY Sales '!$C$2:$AG$2&lt;=EDATE($U$5,-12)),'LY Sales '!$C$5:$AG$200))</f>
        <v>0</v>
      </c>
      <c r="AU17" s="8" cm="1">
        <f t="array" ref="AU17">IF($AW17="",0,SUMPRODUCT((TRIM('LY Transaction'!$B$5:$B$200)=$AW17)*('LY Transaction'!$C$2:$AG$2&gt;=EDATE($U$4,-12))*('LY Transaction'!$C$2:$AG$2&lt;=EDATE($U$5,-12)),'LY Transaction'!$C$5:$AG$200))</f>
        <v>0</v>
      </c>
      <c r="AV17" s="8" cm="1">
        <f t="array" ref="AV17">IF(NOT(ISNUMBER($BG17)),0,SUMPRODUCT(('TY Sales Target'!$K$2:$AO$2&gt;=$U$4)*('TY Sales Target'!$K$2:$AO$2&lt;=$U$5),INDEX('TY Sales Target'!$K$5:$AO$300,$BG17,0)))</f>
        <v>75085.146613641686</v>
      </c>
      <c r="AW17" s="8" t="str" cm="1">
        <f t="array" ref="AW17">IFERROR(INDEX(_xlfn.ANCHORARRAY($BR$5),ROWS($AW$5:AW17)),"")</f>
        <v>HAMANRMAD</v>
      </c>
      <c r="AY17" s="132">
        <v>46307</v>
      </c>
      <c r="AZ17" s="132"/>
      <c r="BB17" cm="1">
        <f t="array" ref="BB17">IF($AW17="",0,SUMPRODUCT((TRIM(Footfall!$B$5:$B$301)=$AW17)*(Footfall!$C$1:$BZ$1&gt;=$U$4)*(Footfall!$C$2:$BZ$2&lt;=$U$5)*(Footfall!$C$1:$BZ$1&lt;&gt;""),Footfall!$C$5:$BZ$301))</f>
        <v>0</v>
      </c>
      <c r="BC17" cm="1">
        <f t="array" ref="BC17">IF(OR($BB17&lt;=0,$BD$1="",$BF17=""),0,_xlfn.LET(_xlpm.d,IFERROR(--'Sales and count'!$F$2:$CB$2,0),SUMPRODUCT(('Sales and count'!$G$3:$CC$3="Transactions")*(_xlpm.d&gt;=$BD$1)*(_xlpm.d&lt;=$BD$2),INDEX('Sales and count'!$G$4:$CC$300,$BF17,0))))</f>
        <v>0</v>
      </c>
      <c r="BF17" cm="1">
        <f t="array" ref="BF17">IF($AW17="","",IFERROR(MATCH($AW17,TRIM('Sales and count'!$A$4:$A$300&amp;""),0),""))</f>
        <v>13</v>
      </c>
      <c r="BG17" cm="1">
        <f t="array" ref="BG17">IF($AW17="","",IFERROR(MATCH(IFERROR(_xlfn.XLOOKUP($AW17,$BT$5:$BT$22,$BU$5:$BU$22),$AW17),TRIM('TY Sales Target'!$B$5:$B$300&amp;""),0),""))</f>
        <v>106</v>
      </c>
      <c r="BH17" t="str" cm="1">
        <f t="array" ref="BH17">IF(ISNUMBER($BG17),_xlfn.LET(_xlpm.p,TRIM(INDEX('TY Sales Target'!$I$5:$I$300,$BG17)&amp;""),IF(_xlpm.p="","Not set",_xlpm.p)),"Not set")</f>
        <v>Gold Bar</v>
      </c>
      <c r="BI17" cm="1">
        <f t="array" ref="BI17">IF($BF17="",0,_xlfn.LET(_xlpm.d,IFERROR(--'Sales and count'!$G$2:$CC$2,0),SUMPRODUCT(('Sales and count'!$G$3:$CC$3="Total")*(_xlpm.d&gt;=$BZ$5)*(_xlpm.d&lt;=$BZ$6),INDEX('Sales and count'!$G$4:$CC$300,$BF17,0))))</f>
        <v>58475.37</v>
      </c>
      <c r="BJ17" cm="1">
        <f t="array" ref="BJ17">IF($AW17="",0,SUMPRODUCT((TRIM('LY Sales '!$B$5:$B$200)=$AW17)*('LY Sales '!$C$2:$AG$2&gt;=EDATE($BZ$5,-12))*('LY Sales '!$C$2:$AG$2&lt;=EDATE($BZ$6,-12)),'LY Sales '!$C$5:$AG$200))</f>
        <v>0</v>
      </c>
      <c r="BK17" cm="1">
        <f t="array" ref="BK17">IF($AW17="",0,SUMPRODUCT((TRIM('LY Sales '!$B$5:$B$200)=$AW17)*('LY Sales '!$C$2:$AG$2&gt;=EDATE($BZ$5,-12))*('LY Sales '!$C$2:$AG$2&lt;=EDATE($BZ$7,-12)),'LY Sales '!$C$5:$AG$200))</f>
        <v>11202.24</v>
      </c>
      <c r="BL17" cm="1">
        <f t="array" ref="BL17">IF($AW17="",0,SUMPRODUCT((TRIM('LY Sales '!$B$5:$B$200)=$AW17)*('LY Sales '!$C$2:$AG$2&gt;=EDATE($BZ$5,-12))*('LY Sales '!$C$2:$AG$2&lt;=EDATE($BZ$6,-12))*('LY Sales '!$C$5:$AG$200&gt;0)))</f>
        <v>0</v>
      </c>
      <c r="BM17" cm="1">
        <f t="array" ref="BM17">IF(NOT(ISNUMBER($BG17)),0,SUMPRODUCT(('TY Sales Target'!$K$2:$AO$2&gt;=$BZ$5)*('TY Sales Target'!$K$2:$AO$2&lt;=$BZ$6),INDEX('TY Sales Target'!$K$5:$AO$300,$BG17,0)))</f>
        <v>75085.146613641686</v>
      </c>
      <c r="BN17" cm="1">
        <f t="array" ref="BN17">IF(NOT(ISNUMBER($BG17)),0,SUMPRODUCT(('TY Sales Target'!$K$2:$AO$2&gt;=$BZ$5)*('TY Sales Target'!$K$2:$AO$2&lt;=$BZ$7),INDEX('TY Sales Target'!$K$5:$AO$300,$BG17,0)))</f>
        <v>98000.000000000015</v>
      </c>
      <c r="BO17" cm="1">
        <f t="array" ref="BO17">IF($AW17="",0,IFERROR(_xlfn.SWITCH($BP17,"LY trend",$BI17*$BK17/$BJ17,"Target curve",$BI17*$BN17/$BM17,"Run rate",$BI17/$BZ$8*$BZ$9,0),0))</f>
        <v>76321.170277356185</v>
      </c>
      <c r="BP17" t="str">
        <f t="shared" si="1"/>
        <v>Target curve</v>
      </c>
      <c r="BR17" t="str">
        <v>HAMANRMAD</v>
      </c>
      <c r="BX17" t="str">
        <v>Jeddah</v>
      </c>
      <c r="CB17" cm="1">
        <f t="array" ref="CB17">IF($AW17="",0,_xlfn.LET(_xlpm.k,IFERROR(_xlfn.XLOOKUP($AW17,$CD$6:$CD$21,$CE$6:$CE$21),$AW17),SUMPRODUCT((TRIM('Makeup '!$A$2:$A$300&amp;"")=_xlpm.k)*1,IFERROR('Makeup '!$F$2:$F$300*1,0))))</f>
        <v>1531.26</v>
      </c>
      <c r="CF17" t="str" cm="1">
        <f t="array" ref="CF17">IF($AW17="","",_xlfn.LET(_xlpm.c,IFERROR(TRIM(INDEX('Sales and count'!$B$4:$B$300,$BF17)&amp;""),""),IF(OR(_xlpm.c="",_xlpm.c="0",LEFT(_xlpm.c,1)="#"),"Not set",_xlpm.c)))</f>
        <v>KSA</v>
      </c>
      <c r="CH17" cm="1">
        <f t="array" ref="CH17">IF($AW17="",0,_xlfn.LET(_xlpm.k,IFERROR(_xlfn.XLOOKUP($AW17,$CD$6:$CD$21,$CE$6:$CE$21),$AW17),--(SUMPRODUCT((TRIM('Makeup '!$A$2:$A$300&amp;"")=_xlpm.k)*ISNUMBER('Makeup '!$F$2:$F$300))&gt;0)))</f>
        <v>1</v>
      </c>
      <c r="CI17">
        <f t="shared" si="4"/>
        <v>58475.37</v>
      </c>
      <c r="CJ17" cm="1">
        <f t="array" ref="CJ17">IF($AW17="",0,--(SUMPRODUCT(--(TRIM(Footfall!$B$5:$B$301)=$AW17))&gt;0))</f>
        <v>0</v>
      </c>
      <c r="CK17" s="8" cm="1">
        <f t="array" ref="CK17">IF($AW17="",0,_xlfn.LET(_xlpm.r,IFERROR(MATCH(IFERROR(_xlfn.XLOOKUP($AW17,$BT$5:$BT$22,$BU$5:$BU$22),$AW17),TRIM('TY Beauty Target'!$B$5:$B$300&amp;""),0),""),IF(ISNUMBER(_xlpm.r),SUMPRODUCT(('TY Beauty Target'!$L$2:$AP$2&gt;=$U$4)*('TY Beauty Target'!$L$2:$AP$2&lt;=$U$5),INDEX('TY Beauty Target'!$L$5:$AP$300,_xlpm.r,0)),0)))</f>
        <v>3745.7757994524395</v>
      </c>
    </row>
    <row r="18" spans="1:89" ht="15" customHeight="1" x14ac:dyDescent="0.25">
      <c r="A18" s="188" t="str" cm="1">
        <f t="array" ref="A18">IFERROR(INDEX(_xlfn._xlws.SORT(_xlfn.UNIQUE(_xlfn._xlws.FILTER($AN$5:$AN$302,$AP$5:$AP$302=1))),ROWS($A$18:A18)),"")</f>
        <v>Saleh Bin Hoiel</v>
      </c>
      <c r="B18" s="189" cm="1">
        <f t="array" ref="B18">IF($C18="","",ROWS(_xlfn.UNIQUE(_xlfn._xlws.FILTER($AO$5:$AO$302,($AP$5:$AP$302=1)*($AN$5:$AN$302=$A18)))))</f>
        <v>2</v>
      </c>
      <c r="C18" s="189" cm="1">
        <f t="array" ref="C18">_xlfn.LET(_xlpm.n,SUMPRODUCT($AP$5:$AP$302*($AN$5:$AN$302=$A18)),IF(_xlpm.n=0,"",_xlpm.n))</f>
        <v>14</v>
      </c>
      <c r="D18" s="190" cm="1">
        <f t="array" ref="D18">IF($C18="","",SUMPRODUCT($AP$5:$AP$302*($AN$5:$AN$302=$A18),$AR$5:$AR$302))</f>
        <v>1764899.2400000002</v>
      </c>
      <c r="E18" s="190" cm="1">
        <f t="array" ref="E18">IF($C18="","",SUMPRODUCT($AP$5:$AP$302*($AN$5:$AN$302=$A18),$AT$5:$AT$302))</f>
        <v>1700848.1199999996</v>
      </c>
      <c r="F18" s="191">
        <f t="shared" ref="F18:F25" si="5">IF($C18="","",IFERROR(AE18/E18-1,""))</f>
        <v>-0.26511873382321727</v>
      </c>
      <c r="G18" s="191">
        <f t="shared" ref="G18:G25" si="6">IF(D18="","",IFERROR(D18/E18-1,""))</f>
        <v>3.765834188651751E-2</v>
      </c>
      <c r="H18" s="190" cm="1">
        <f t="array" ref="H18">IF($C18="","",SUMPRODUCT($AP$5:$AP$302*($AN$5:$AN$302=$A18),$AV$5:$AV$302))</f>
        <v>2724934.8577755233</v>
      </c>
      <c r="I18" s="191">
        <f t="shared" ref="I18:I25" si="7">IF($C18="","",IFERROR(D18/H18,""))</f>
        <v>0.64768492904111485</v>
      </c>
      <c r="J18" s="190">
        <f t="shared" ref="J18:J25" si="8">IF($C18="","",IF(H18=0,"",D18-H18))</f>
        <v>-960035.6177755231</v>
      </c>
      <c r="K18" s="191">
        <f t="shared" ref="K18:K26" si="9">IF($C18="","",IFERROR(D18/$D$13,""))</f>
        <v>1</v>
      </c>
      <c r="L18" s="190" cm="1">
        <f t="array" ref="L18">IF($C18="","",SUMPRODUCT($AP$5:$AP$302*($AN$5:$AN$302=$A18),$BN$5:$BN$302))</f>
        <v>3556543.8452974143</v>
      </c>
      <c r="M18" s="190" cm="1">
        <f t="array" ref="M18">IF($C18="","",SUMPRODUCT($AP$5:$AP$302*($AN$5:$AN$302=$A18),$BO$5:$BO$302))</f>
        <v>2258685.080763713</v>
      </c>
      <c r="N18" s="191">
        <f>IF($C18="","",IFERROR(M18/L18,""))</f>
        <v>0.63507865473111624</v>
      </c>
      <c r="O18" s="191" cm="1">
        <f t="array" ref="O18">IF($C18="","",IFERROR(M18/SUMPRODUCT($AP$5:$AP$302*($AN$5:$AN$302=$A18),$BK$5:$BK$302)-1,""))</f>
        <v>4.7148683092635757E-2</v>
      </c>
      <c r="P18" s="190" cm="1">
        <f t="array" aca="1" ref="P18" ca="1">IF($C18="","",SUMPRODUCT($AP$5:$AP$302*($AN$5:$AN$302=$A18),$AS$5:$AS$302))</f>
        <v>12271</v>
      </c>
      <c r="Q18" s="190" cm="1">
        <f t="array" ref="Q18">IF($C18="","",SUMPRODUCT($AP$5:$AP$302*($AN$5:$AN$302=$A18),$AU$5:$AU$302))</f>
        <v>12430</v>
      </c>
      <c r="R18" s="191">
        <f t="shared" ref="R18:R25" ca="1" si="10">IF($C18="","",IFERROR(AF18/Q18-1,""))</f>
        <v>-0.31303298471440066</v>
      </c>
      <c r="S18" s="191">
        <f t="shared" ref="S18:S25" ca="1" si="11">IF(P18="","",IFERROR(P18/Q18-1,""))</f>
        <v>-1.2791633145615489E-2</v>
      </c>
      <c r="T18" s="192">
        <f t="shared" ref="T18:T26" ca="1" si="12">IF($C18="","",IFERROR(D18/P18,""))</f>
        <v>143.82684703773126</v>
      </c>
      <c r="U18" s="192">
        <f t="shared" ref="U18:U26" si="13">IF($C18="","",IFERROR(E18/Q18,""))</f>
        <v>136.83412067578436</v>
      </c>
      <c r="V18" s="191">
        <f t="shared" ref="V18:V25" ca="1" si="14">IF($C18="","",IFERROR((AE18/AF18)/U18-1,""))</f>
        <v>6.9747527646962126E-2</v>
      </c>
      <c r="W18" s="190" cm="1">
        <f t="array" ref="W18">IF($C18="","",_xlfn.LET(_xlpm.n,SUMPRODUCT($AP$5:$AP$302*($AN$5:$AN$302=$A18),$BB$5:$BB$302),IF(_xlpm.n=0,"",_xlpm.n)))</f>
        <v>45821</v>
      </c>
      <c r="X18" s="190" cm="1">
        <f t="array" aca="1" ref="X18" ca="1">IF(W18="","",SUMPRODUCT($AP$5:$AP$302*($AN$5:$AN$302=$A18),$BC$5:$BC$302))</f>
        <v>9531</v>
      </c>
      <c r="Y18" s="191">
        <f ca="1">IF(OR(W18="",X18=""),"",IFERROR(X18/W18,""))</f>
        <v>0.20800506318063769</v>
      </c>
      <c r="Z18" s="190" cm="1">
        <f t="array" ref="Z18">IF($C18="","",SUMPRODUCT($AP$5:$AP$302*($AN$5:$AN$302=$A18),$CB$5:$CB$302))</f>
        <v>99427.38</v>
      </c>
      <c r="AA18" s="191">
        <f t="shared" ref="AA18:AA26" si="15">IF(OR(Z18="",AD18=""),"",IFERROR(Z18/AD18,""))</f>
        <v>5.6336009301018224E-2</v>
      </c>
      <c r="AB18" s="190" cm="1">
        <f t="array" ref="AB18">IF($C18="","",SUMPRODUCT($AP$5:$AP$302*($AN$5:$AN$302=$A18),$CK$5:$CK$302))</f>
        <v>171690.27834359545</v>
      </c>
      <c r="AC18" s="191">
        <f>IF(OR(Z18="",AB18=""),"",IFERROR(Z18/AB18,""))</f>
        <v>0.57910896854055305</v>
      </c>
      <c r="AD18" s="190" cm="1">
        <f t="array" ref="AD18">IF($C18="","",SUMPRODUCT($AP$5:$AP$302*($AN$5:$AN$302=$A18),$CI$5:$CI$302))</f>
        <v>1764899.2400000002</v>
      </c>
      <c r="AE18" s="37" cm="1">
        <f t="array" ref="AE18">IF($C18="","",SUMPRODUCT($AP$5:$AP$302*($AN$5:$AN$302=$A18)*$AQ$5:$AQ$302,$AR$5:$AR$302))</f>
        <v>1249921.4200000002</v>
      </c>
      <c r="AF18" s="37" cm="1">
        <f t="array" aca="1" ref="AF18" ca="1">IF($C18="","",SUMPRODUCT($AP$5:$AP$302*($AN$5:$AN$302=$A18)*$AQ$5:$AQ$302,$AS$5:$AS$302))</f>
        <v>8539</v>
      </c>
      <c r="AG18" s="35"/>
      <c r="AH18" s="35"/>
      <c r="AN18" s="8" t="str" cm="1">
        <f t="array" ref="AN18">IF($AW18="","",_xlfn.LET(_xlpm.sa,IFERROR(TRIM(INDEX('Sales and count'!$D$4:$D$300,$BF18)&amp;""),""),_xlpm.ta,IFERROR(TRIM(INDEX('TY Sales Target'!$F$5:$F$300,$BG18)&amp;""),""),IF(AND(_xlpm.sa&lt;&gt;"",LEFT(_xlpm.sa,1)&lt;&gt;"#",_xlpm.sa&lt;&gt;"0"),_xlpm.sa,IF(AND(_xlpm.ta&lt;&gt;"",LEFT(_xlpm.ta,1)&lt;&gt;"#",_xlpm.ta&lt;&gt;"0"),_xlpm.ta,IF(ISNUMBER($BG18),"Unassigned","")))))</f>
        <v>Ahmed Jaffari</v>
      </c>
      <c r="AO18" s="8" t="str" cm="1">
        <f t="array" ref="AO18">IF($AW18="","",_xlfn.LET(_xlpm.sa,IFERROR(TRIM(INDEX('Sales and count'!$C$4:$C$300,$BF18)&amp;""),""),_xlpm.ta,IFERROR(TRIM(INDEX('TY Sales Target'!$D$5:$D$300,$BG18)&amp;""),""),IF(AND(_xlpm.sa&lt;&gt;"",LEFT(_xlpm.sa,1)&lt;&gt;"#",_xlpm.sa&lt;&gt;"0"),_xlpm.sa,IF(AND(_xlpm.ta&lt;&gt;"",LEFT(_xlpm.ta,1)&lt;&gt;"#",_xlpm.ta&lt;&gt;"0"),_xlpm.ta,""))))</f>
        <v>Najran</v>
      </c>
      <c r="AP18" s="8">
        <f t="shared" si="2"/>
        <v>0</v>
      </c>
      <c r="AQ18" s="8">
        <f t="shared" si="0"/>
        <v>0</v>
      </c>
      <c r="AR18" s="8" cm="1">
        <f t="array" ref="AR18">IF($BF18="",0,_xlfn.LET(_xlpm.d,IFERROR(--'Sales and count'!$G$2:$CC$2,0),SUMPRODUCT(('Sales and count'!$G$3:$CC$3="Total")*(_xlpm.d&gt;=$U$4)*(_xlpm.d&lt;=$U$5),INDEX('Sales and count'!$G$4:$CC$300,$BF18,0))))</f>
        <v>35018.68</v>
      </c>
      <c r="AS18" s="8" cm="1">
        <f t="array" aca="1" ref="AS18" ca="1">IF($BF18="",0,_xlfn.LET(_xlpm.d,IFERROR(--'Sales and count'!$F$2:$CB$2,0),SUMPRODUCT(('Sales and count'!$G$3:$CC$3="Transactions")*(_xlpm.d&gt;=$U$4)*(_xlpm.d&lt;=$U$5),INDEX('Sales and count'!$G$4:$CC$300,$BF18,0))))</f>
        <v>225</v>
      </c>
      <c r="AT18" s="8" cm="1">
        <f t="array" ref="AT18">IF($AW18="",0,SUMPRODUCT((TRIM('LY Sales '!$B$5:$B$200)=$AW18)*('LY Sales '!$C$2:$AG$2&gt;=EDATE($U$4,-12))*('LY Sales '!$C$2:$AG$2&lt;=EDATE($U$5,-12)),'LY Sales '!$C$5:$AG$200))</f>
        <v>0</v>
      </c>
      <c r="AU18" s="8" cm="1">
        <f t="array" ref="AU18">IF($AW18="",0,SUMPRODUCT((TRIM('LY Transaction'!$B$5:$B$200)=$AW18)*('LY Transaction'!$C$2:$AG$2&gt;=EDATE($U$4,-12))*('LY Transaction'!$C$2:$AG$2&lt;=EDATE($U$5,-12)),'LY Transaction'!$C$5:$AG$200))</f>
        <v>0</v>
      </c>
      <c r="AV18" s="8" cm="1">
        <f t="array" ref="AV18">IF(NOT(ISNUMBER($BG18)),0,SUMPRODUCT(('TY Sales Target'!$K$2:$AO$2&gt;=$U$4)*('TY Sales Target'!$K$2:$AO$2&lt;=$U$5),INDEX('TY Sales Target'!$K$5:$AO$300,$BG18,0)))</f>
        <v>45970.497926719407</v>
      </c>
      <c r="AW18" s="8" t="str" cm="1">
        <f t="array" ref="AW18">IFERROR(INDEX(_xlfn.ANCHORARRAY($BR$5),ROWS($AW$5:AW18)),"")</f>
        <v>HANJFRONT</v>
      </c>
      <c r="AY18" s="132">
        <v>46308</v>
      </c>
      <c r="AZ18" s="132"/>
      <c r="BB18" cm="1">
        <f t="array" ref="BB18">IF($AW18="",0,SUMPRODUCT((TRIM(Footfall!$B$5:$B$301)=$AW18)*(Footfall!$C$1:$BZ$1&gt;=$U$4)*(Footfall!$C$2:$BZ$2&lt;=$U$5)*(Footfall!$C$1:$BZ$1&lt;&gt;""),Footfall!$C$5:$BZ$301))</f>
        <v>0</v>
      </c>
      <c r="BC18" cm="1">
        <f t="array" ref="BC18">IF(OR($BB18&lt;=0,$BD$1="",$BF18=""),0,_xlfn.LET(_xlpm.d,IFERROR(--'Sales and count'!$F$2:$CB$2,0),SUMPRODUCT(('Sales and count'!$G$3:$CC$3="Transactions")*(_xlpm.d&gt;=$BD$1)*(_xlpm.d&lt;=$BD$2),INDEX('Sales and count'!$G$4:$CC$300,$BF18,0))))</f>
        <v>0</v>
      </c>
      <c r="BF18" cm="1">
        <f t="array" ref="BF18">IF($AW18="","",IFERROR(MATCH($AW18,TRIM('Sales and count'!$A$4:$A$300&amp;""),0),""))</f>
        <v>14</v>
      </c>
      <c r="BG18" cm="1">
        <f t="array" ref="BG18">IF($AW18="","",IFERROR(MATCH(IFERROR(_xlfn.XLOOKUP($AW18,$BT$5:$BT$22,$BU$5:$BU$22),$AW18),TRIM('TY Sales Target'!$B$5:$B$300&amp;""),0),""))</f>
        <v>112</v>
      </c>
      <c r="BH18" t="str" cm="1">
        <f t="array" ref="BH18">IF(ISNUMBER($BG18),_xlfn.LET(_xlpm.p,TRIM(INDEX('TY Sales Target'!$I$5:$I$300,$BG18)&amp;""),IF(_xlpm.p="","Not set",_xlpm.p)),"Not set")</f>
        <v>Gold Bar</v>
      </c>
      <c r="BI18" cm="1">
        <f t="array" ref="BI18">IF($BF18="",0,_xlfn.LET(_xlpm.d,IFERROR(--'Sales and count'!$G$2:$CC$2,0),SUMPRODUCT(('Sales and count'!$G$3:$CC$3="Total")*(_xlpm.d&gt;=$BZ$5)*(_xlpm.d&lt;=$BZ$6),INDEX('Sales and count'!$G$4:$CC$300,$BF18,0))))</f>
        <v>35018.68</v>
      </c>
      <c r="BJ18" cm="1">
        <f t="array" ref="BJ18">IF($AW18="",0,SUMPRODUCT((TRIM('LY Sales '!$B$5:$B$200)=$AW18)*('LY Sales '!$C$2:$AG$2&gt;=EDATE($BZ$5,-12))*('LY Sales '!$C$2:$AG$2&lt;=EDATE($BZ$6,-12)),'LY Sales '!$C$5:$AG$200))</f>
        <v>0</v>
      </c>
      <c r="BK18" cm="1">
        <f t="array" ref="BK18">IF($AW18="",0,SUMPRODUCT((TRIM('LY Sales '!$B$5:$B$200)=$AW18)*('LY Sales '!$C$2:$AG$2&gt;=EDATE($BZ$5,-12))*('LY Sales '!$C$2:$AG$2&lt;=EDATE($BZ$7,-12)),'LY Sales '!$C$5:$AG$200))</f>
        <v>0</v>
      </c>
      <c r="BL18" cm="1">
        <f t="array" ref="BL18">IF($AW18="",0,SUMPRODUCT((TRIM('LY Sales '!$B$5:$B$200)=$AW18)*('LY Sales '!$C$2:$AG$2&gt;=EDATE($BZ$5,-12))*('LY Sales '!$C$2:$AG$2&lt;=EDATE($BZ$6,-12))*('LY Sales '!$C$5:$AG$200&gt;0)))</f>
        <v>0</v>
      </c>
      <c r="BM18" cm="1">
        <f t="array" ref="BM18">IF(NOT(ISNUMBER($BG18)),0,SUMPRODUCT(('TY Sales Target'!$K$2:$AO$2&gt;=$BZ$5)*('TY Sales Target'!$K$2:$AO$2&lt;=$BZ$6),INDEX('TY Sales Target'!$K$5:$AO$300,$BG18,0)))</f>
        <v>45970.497926719407</v>
      </c>
      <c r="BN18" cm="1">
        <f t="array" ref="BN18">IF(NOT(ISNUMBER($BG18)),0,SUMPRODUCT(('TY Sales Target'!$K$2:$AO$2&gt;=$BZ$5)*('TY Sales Target'!$K$2:$AO$2&lt;=$BZ$7),INDEX('TY Sales Target'!$K$5:$AO$300,$BG18,0)))</f>
        <v>60000.000000000015</v>
      </c>
      <c r="BO18" cm="1">
        <f t="array" ref="BO18">IF($AW18="",0,IFERROR(_xlfn.SWITCH($BP18,"LY trend",$BI18*$BK18/$BJ18,"Target curve",$BI18*$BN18/$BM18,"Run rate",$BI18/$BZ$8*$BZ$9,0),0))</f>
        <v>45705.852552420736</v>
      </c>
      <c r="BP18" t="str">
        <f t="shared" si="1"/>
        <v>Target curve</v>
      </c>
      <c r="BR18" t="str">
        <v>HANJFRONT</v>
      </c>
      <c r="BX18" t="str">
        <v>Jizan</v>
      </c>
      <c r="CB18" cm="1">
        <f t="array" ref="CB18">IF($AW18="",0,_xlfn.LET(_xlpm.k,IFERROR(_xlfn.XLOOKUP($AW18,$CD$6:$CD$21,$CE$6:$CE$21),$AW18),SUMPRODUCT((TRIM('Makeup '!$A$2:$A$300&amp;"")=_xlpm.k)*1,IFERROR('Makeup '!$F$2:$F$300*1,0))))</f>
        <v>1082</v>
      </c>
      <c r="CF18" t="str" cm="1">
        <f t="array" ref="CF18">IF($AW18="","",_xlfn.LET(_xlpm.c,IFERROR(TRIM(INDEX('Sales and count'!$B$4:$B$300,$BF18)&amp;""),""),IF(OR(_xlpm.c="",_xlpm.c="0",LEFT(_xlpm.c,1)="#"),"Not set",_xlpm.c)))</f>
        <v>KSA</v>
      </c>
      <c r="CH18" cm="1">
        <f t="array" ref="CH18">IF($AW18="",0,_xlfn.LET(_xlpm.k,IFERROR(_xlfn.XLOOKUP($AW18,$CD$6:$CD$21,$CE$6:$CE$21),$AW18),--(SUMPRODUCT((TRIM('Makeup '!$A$2:$A$300&amp;"")=_xlpm.k)*ISNUMBER('Makeup '!$F$2:$F$300))&gt;0)))</f>
        <v>1</v>
      </c>
      <c r="CI18">
        <f t="shared" si="4"/>
        <v>35018.68</v>
      </c>
      <c r="CJ18" cm="1">
        <f t="array" ref="CJ18">IF($AW18="",0,--(SUMPRODUCT(--(TRIM(Footfall!$B$5:$B$301)=$AW18))&gt;0))</f>
        <v>0</v>
      </c>
      <c r="CK18" s="8" cm="1">
        <f t="array" ref="CK18">IF($AW18="",0,_xlfn.LET(_xlpm.r,IFERROR(MATCH(IFERROR(_xlfn.XLOOKUP($AW18,$BT$5:$BT$22,$BU$5:$BU$22),$AW18),TRIM('TY Beauty Target'!$B$5:$B$300&amp;""),0),""),IF(ISNUMBER(_xlpm.r),SUMPRODUCT(('TY Beauty Target'!$L$2:$AP$2&gt;=$U$4)*('TY Beauty Target'!$L$2:$AP$2&lt;=$U$5),INDEX('TY Beauty Target'!$L$5:$AP$300,_xlpm.r,0)),0)))</f>
        <v>2369.5763226912513</v>
      </c>
    </row>
    <row r="19" spans="1:89" ht="15" customHeight="1" x14ac:dyDescent="0.25">
      <c r="A19" s="18" t="str" cm="1">
        <f t="array" ref="A19">IFERROR(INDEX(_xlfn._xlws.SORT(_xlfn.UNIQUE(_xlfn._xlws.FILTER($AN$5:$AN$302,$AP$5:$AP$302=1))),ROWS($A$18:A19)),"")</f>
        <v/>
      </c>
      <c r="B19" s="19" t="str" cm="1">
        <f t="array" ref="B19">IF($C19="","",ROWS(_xlfn.UNIQUE(_xlfn._xlws.FILTER($AO$5:$AO$302,($AP$5:$AP$302=1)*($AN$5:$AN$302=$A19)))))</f>
        <v/>
      </c>
      <c r="C19" s="19" t="str" cm="1">
        <f t="array" ref="C19">_xlfn.LET(_xlpm.n,SUMPRODUCT($AP$5:$AP$302*($AN$5:$AN$302=$A19)),IF(_xlpm.n=0,"",_xlpm.n))</f>
        <v/>
      </c>
      <c r="D19" s="20" t="str" cm="1">
        <f t="array" ref="D19">IF($C19="","",SUMPRODUCT($AP$5:$AP$302*($AN$5:$AN$302=$A19),$AR$5:$AR$302))</f>
        <v/>
      </c>
      <c r="E19" s="20" t="str" cm="1">
        <f t="array" ref="E19">IF($C19="","",SUMPRODUCT($AP$5:$AP$302*($AN$5:$AN$302=$A19),$AT$5:$AT$302))</f>
        <v/>
      </c>
      <c r="F19" s="21" t="str">
        <f t="shared" si="5"/>
        <v/>
      </c>
      <c r="G19" s="21" t="str">
        <f t="shared" si="6"/>
        <v/>
      </c>
      <c r="H19" s="20" t="str" cm="1">
        <f t="array" ref="H19">IF($C19="","",SUMPRODUCT($AP$5:$AP$302*($AN$5:$AN$302=$A19),$AV$5:$AV$302))</f>
        <v/>
      </c>
      <c r="I19" s="21" t="str">
        <f t="shared" si="7"/>
        <v/>
      </c>
      <c r="J19" s="20" t="str">
        <f t="shared" si="8"/>
        <v/>
      </c>
      <c r="K19" s="21" t="str">
        <f t="shared" si="9"/>
        <v/>
      </c>
      <c r="L19" s="20" t="str" cm="1">
        <f t="array" ref="L19">IF($C19="","",SUMPRODUCT($AP$5:$AP$302*($AN$5:$AN$302=$A19),$BN$5:$BN$302))</f>
        <v/>
      </c>
      <c r="M19" s="20" t="str" cm="1">
        <f t="array" ref="M19">IF($C19="","",SUMPRODUCT($AP$5:$AP$302*($AN$5:$AN$302=$A19),$BO$5:$BO$302))</f>
        <v/>
      </c>
      <c r="N19" s="21" t="str">
        <f t="shared" ref="N19:N26" si="16">IF($C19="","",IFERROR(M19/L19,""))</f>
        <v/>
      </c>
      <c r="O19" s="21" t="str" cm="1">
        <f t="array" ref="O19">IF($C19="","",IFERROR(M19/SUMPRODUCT($AP$5:$AP$302*($AN$5:$AN$302=$A19),$BK$5:$BK$302)-1,""))</f>
        <v/>
      </c>
      <c r="P19" s="20" t="str" cm="1">
        <f t="array" ref="P19">IF($C19="","",SUMPRODUCT($AP$5:$AP$302*($AN$5:$AN$302=$A19),$AS$5:$AS$302))</f>
        <v/>
      </c>
      <c r="Q19" s="20" t="str" cm="1">
        <f t="array" ref="Q19">IF($C19="","",SUMPRODUCT($AP$5:$AP$302*($AN$5:$AN$302=$A19),$AU$5:$AU$302))</f>
        <v/>
      </c>
      <c r="R19" s="21" t="str">
        <f t="shared" si="10"/>
        <v/>
      </c>
      <c r="S19" s="21" t="str">
        <f t="shared" si="11"/>
        <v/>
      </c>
      <c r="T19" s="22" t="str">
        <f t="shared" si="12"/>
        <v/>
      </c>
      <c r="U19" s="22" t="str">
        <f t="shared" si="13"/>
        <v/>
      </c>
      <c r="V19" s="21" t="str">
        <f t="shared" si="14"/>
        <v/>
      </c>
      <c r="W19" s="20" t="str" cm="1">
        <f t="array" ref="W19">IF($C19="","",_xlfn.LET(_xlpm.n,SUMPRODUCT($AP$5:$AP$302*($AN$5:$AN$302=$A19),$BB$5:$BB$302),IF(_xlpm.n=0,"",_xlpm.n)))</f>
        <v/>
      </c>
      <c r="X19" s="20" t="str" cm="1">
        <f t="array" ref="X19">IF(W19="","",SUMPRODUCT($AP$5:$AP$302*($AN$5:$AN$302=$A19),$BC$5:$BC$302))</f>
        <v/>
      </c>
      <c r="Y19" s="21" t="str">
        <f t="shared" ref="Y19:Y25" si="17">IF(OR(W19="",X19=""),"",IFERROR(X19/W19,""))</f>
        <v/>
      </c>
      <c r="Z19" s="20" t="str" cm="1">
        <f t="array" ref="Z19">IF($C19="","",SUMPRODUCT($AP$5:$AP$302*($AN$5:$AN$302=$A19),$CB$5:$CB$302))</f>
        <v/>
      </c>
      <c r="AA19" s="21" t="str">
        <f t="shared" si="15"/>
        <v/>
      </c>
      <c r="AB19" s="190" t="str" cm="1">
        <f t="array" ref="AB19">IF($C19="","",SUMPRODUCT($AP$5:$AP$302*($AN$5:$AN$302=$A19),$CK$5:$CK$302))</f>
        <v/>
      </c>
      <c r="AC19" s="191" t="str">
        <f t="shared" ref="AC19:AC26" si="18">IF(OR(Z19="",AB19=""),"",IFERROR(Z19/AB19,""))</f>
        <v/>
      </c>
      <c r="AD19" s="20" t="str" cm="1">
        <f t="array" ref="AD19">IF($C19="","",SUMPRODUCT($AP$5:$AP$302*($AN$5:$AN$302=$A19),$CI$5:$CI$302))</f>
        <v/>
      </c>
      <c r="AE19" s="37" t="str" cm="1">
        <f t="array" ref="AE19">IF($C19="","",SUMPRODUCT($AP$5:$AP$302*($AN$5:$AN$302=$A19)*$AQ$5:$AQ$302,$AR$5:$AR$302))</f>
        <v/>
      </c>
      <c r="AF19" s="37" t="str" cm="1">
        <f t="array" ref="AF19">IF($C19="","",SUMPRODUCT($AP$5:$AP$302*($AN$5:$AN$302=$A19)*$AQ$5:$AQ$302,$AS$5:$AS$302))</f>
        <v/>
      </c>
      <c r="AG19" s="35"/>
      <c r="AH19" s="35"/>
      <c r="AN19" s="8" t="str" cm="1">
        <f t="array" ref="AN19">IF($AW19="","",_xlfn.LET(_xlpm.sa,IFERROR(TRIM(INDEX('Sales and count'!$D$4:$D$300,$BF19)&amp;""),""),_xlpm.ta,IFERROR(TRIM(INDEX('TY Sales Target'!$F$5:$F$300,$BG19)&amp;""),""),IF(AND(_xlpm.sa&lt;&gt;"",LEFT(_xlpm.sa,1)&lt;&gt;"#",_xlpm.sa&lt;&gt;"0"),_xlpm.sa,IF(AND(_xlpm.ta&lt;&gt;"",LEFT(_xlpm.ta,1)&lt;&gt;"#",_xlpm.ta&lt;&gt;"0"),_xlpm.ta,IF(ISNUMBER($BG19),"Unassigned","")))))</f>
        <v>Mohammed Haidar</v>
      </c>
      <c r="AO19" s="8" t="str" cm="1">
        <f t="array" ref="AO19">IF($AW19="","",_xlfn.LET(_xlpm.sa,IFERROR(TRIM(INDEX('Sales and count'!$C$4:$C$300,$BF19)&amp;""),""),_xlpm.ta,IFERROR(TRIM(INDEX('TY Sales Target'!$D$5:$D$300,$BG19)&amp;""),""),IF(AND(_xlpm.sa&lt;&gt;"",LEFT(_xlpm.sa,1)&lt;&gt;"#",_xlpm.sa&lt;&gt;"0"),_xlpm.sa,IF(AND(_xlpm.ta&lt;&gt;"",LEFT(_xlpm.ta,1)&lt;&gt;"#",_xlpm.ta&lt;&gt;"0"),_xlpm.ta,""))))</f>
        <v>Madinah</v>
      </c>
      <c r="AP19" s="8">
        <f t="shared" si="2"/>
        <v>0</v>
      </c>
      <c r="AQ19" s="8">
        <f t="shared" si="0"/>
        <v>0</v>
      </c>
      <c r="AR19" s="8" cm="1">
        <f t="array" ref="AR19">IF($BF19="",0,_xlfn.LET(_xlpm.d,IFERROR(--'Sales and count'!$G$2:$CC$2,0),SUMPRODUCT(('Sales and count'!$G$3:$CC$3="Total")*(_xlpm.d&gt;=$U$4)*(_xlpm.d&lt;=$U$5),INDEX('Sales and count'!$G$4:$CC$300,$BF19,0))))</f>
        <v>249717.63999999998</v>
      </c>
      <c r="AS19" s="8" cm="1">
        <f t="array" aca="1" ref="AS19" ca="1">IF($BF19="",0,_xlfn.LET(_xlpm.d,IFERROR(--'Sales and count'!$F$2:$CB$2,0),SUMPRODUCT(('Sales and count'!$G$3:$CC$3="Transactions")*(_xlpm.d&gt;=$U$4)*(_xlpm.d&lt;=$U$5),INDEX('Sales and count'!$G$4:$CC$300,$BF19,0))))</f>
        <v>1241</v>
      </c>
      <c r="AT19" s="8" cm="1">
        <f t="array" ref="AT19">IF($AW19="",0,SUMPRODUCT((TRIM('LY Sales '!$B$5:$B$200)=$AW19)*('LY Sales '!$C$2:$AG$2&gt;=EDATE($U$4,-12))*('LY Sales '!$C$2:$AG$2&lt;=EDATE($U$5,-12)),'LY Sales '!$C$5:$AG$200))</f>
        <v>0</v>
      </c>
      <c r="AU19" s="8" cm="1">
        <f t="array" ref="AU19">IF($AW19="",0,SUMPRODUCT((TRIM('LY Transaction'!$B$5:$B$200)=$AW19)*('LY Transaction'!$C$2:$AG$2&gt;=EDATE($U$4,-12))*('LY Transaction'!$C$2:$AG$2&lt;=EDATE($U$5,-12)),'LY Transaction'!$C$5:$AG$200))</f>
        <v>0</v>
      </c>
      <c r="AV19" s="8" cm="1">
        <f t="array" ref="AV19">IF(NOT(ISNUMBER($BG19)),0,SUMPRODUCT(('TY Sales Target'!$K$2:$AO$2&gt;=$U$4)*('TY Sales Target'!$K$2:$AO$2&lt;=$U$5),INDEX('TY Sales Target'!$K$5:$AO$300,$BG19,0)))</f>
        <v>235215.71439171425</v>
      </c>
      <c r="AW19" s="8" t="str" cm="1">
        <f t="array" ref="AW19">IFERROR(INDEX(_xlfn.ANCHORARRAY($BR$5),ROWS($AW$5:AW19)),"")</f>
        <v>HADARALEMN</v>
      </c>
      <c r="AY19" s="132">
        <v>46309</v>
      </c>
      <c r="AZ19" s="132"/>
      <c r="BB19" cm="1">
        <f t="array" ref="BB19">IF($AW19="",0,SUMPRODUCT((TRIM(Footfall!$B$5:$B$301)=$AW19)*(Footfall!$C$1:$BZ$1&gt;=$U$4)*(Footfall!$C$2:$BZ$2&lt;=$U$5)*(Footfall!$C$1:$BZ$1&lt;&gt;""),Footfall!$C$5:$BZ$301))</f>
        <v>12531</v>
      </c>
      <c r="BC19" cm="1">
        <f t="array" aca="1" ref="BC19" ca="1">IF(OR($BB19&lt;=0,$BD$1="",$BF19=""),0,_xlfn.LET(_xlpm.d,IFERROR(--'Sales and count'!$F$2:$CB$2,0),SUMPRODUCT(('Sales and count'!$G$3:$CC$3="Transactions")*(_xlpm.d&gt;=$BD$1)*(_xlpm.d&lt;=$BD$2),INDEX('Sales and count'!$G$4:$CC$300,$BF19,0))))</f>
        <v>1241</v>
      </c>
      <c r="BF19" cm="1">
        <f t="array" ref="BF19">IF($AW19="","",IFERROR(MATCH($AW19,TRIM('Sales and count'!$A$4:$A$300&amp;""),0),""))</f>
        <v>15</v>
      </c>
      <c r="BG19" cm="1">
        <f t="array" ref="BG19">IF($AW19="","",IFERROR(MATCH(IFERROR(_xlfn.XLOOKUP($AW19,$BT$5:$BT$22,$BU$5:$BU$22),$AW19),TRIM('TY Sales Target'!$B$5:$B$300&amp;""),0),""))</f>
        <v>31</v>
      </c>
      <c r="BH19" t="str" cm="1">
        <f t="array" ref="BH19">IF(ISNUMBER($BG19),_xlfn.LET(_xlpm.p,TRIM(INDEX('TY Sales Target'!$I$5:$I$300,$BG19)&amp;""),IF(_xlpm.p="","Not set",_xlpm.p)),"Not set")</f>
        <v>Smart Phone</v>
      </c>
      <c r="BI19" cm="1">
        <f t="array" ref="BI19">IF($BF19="",0,_xlfn.LET(_xlpm.d,IFERROR(--'Sales and count'!$G$2:$CC$2,0),SUMPRODUCT(('Sales and count'!$G$3:$CC$3="Total")*(_xlpm.d&gt;=$BZ$5)*(_xlpm.d&lt;=$BZ$6),INDEX('Sales and count'!$G$4:$CC$300,$BF19,0))))</f>
        <v>249717.63999999998</v>
      </c>
      <c r="BJ19" cm="1">
        <f t="array" ref="BJ19">IF($AW19="",0,SUMPRODUCT((TRIM('LY Sales '!$B$5:$B$200)=$AW19)*('LY Sales '!$C$2:$AG$2&gt;=EDATE($BZ$5,-12))*('LY Sales '!$C$2:$AG$2&lt;=EDATE($BZ$6,-12)),'LY Sales '!$C$5:$AG$200))</f>
        <v>0</v>
      </c>
      <c r="BK19" cm="1">
        <f t="array" ref="BK19">IF($AW19="",0,SUMPRODUCT((TRIM('LY Sales '!$B$5:$B$200)=$AW19)*('LY Sales '!$C$2:$AG$2&gt;=EDATE($BZ$5,-12))*('LY Sales '!$C$2:$AG$2&lt;=EDATE($BZ$7,-12)),'LY Sales '!$C$5:$AG$200))</f>
        <v>0</v>
      </c>
      <c r="BL19" cm="1">
        <f t="array" ref="BL19">IF($AW19="",0,SUMPRODUCT((TRIM('LY Sales '!$B$5:$B$200)=$AW19)*('LY Sales '!$C$2:$AG$2&gt;=EDATE($BZ$5,-12))*('LY Sales '!$C$2:$AG$2&lt;=EDATE($BZ$6,-12))*('LY Sales '!$C$5:$AG$200&gt;0)))</f>
        <v>0</v>
      </c>
      <c r="BM19" cm="1">
        <f t="array" ref="BM19">IF(NOT(ISNUMBER($BG19)),0,SUMPRODUCT(('TY Sales Target'!$K$2:$AO$2&gt;=$BZ$5)*('TY Sales Target'!$K$2:$AO$2&lt;=$BZ$6),INDEX('TY Sales Target'!$K$5:$AO$300,$BG19,0)))</f>
        <v>235215.71439171425</v>
      </c>
      <c r="BN19" cm="1">
        <f t="array" ref="BN19">IF(NOT(ISNUMBER($BG19)),0,SUMPRODUCT(('TY Sales Target'!$K$2:$AO$2&gt;=$BZ$5)*('TY Sales Target'!$K$2:$AO$2&lt;=$BZ$7),INDEX('TY Sales Target'!$K$5:$AO$300,$BG19,0)))</f>
        <v>307000.00000000006</v>
      </c>
      <c r="BO19" cm="1">
        <f t="array" ref="BO19">IF($AW19="",0,IFERROR(_xlfn.SWITCH($BP19,"LY trend",$BI19*$BK19/$BJ19,"Target curve",$BI19*$BN19/$BM19,"Run rate",$BI19/$BZ$8*$BZ$9,0),0))</f>
        <v>325927.69440705603</v>
      </c>
      <c r="BP19" t="str">
        <f t="shared" si="1"/>
        <v>Target curve</v>
      </c>
      <c r="BR19" t="str">
        <v>HADARALEMN</v>
      </c>
      <c r="BX19" t="str">
        <v>Jubail</v>
      </c>
      <c r="CB19" cm="1">
        <f t="array" ref="CB19">IF($AW19="",0,_xlfn.LET(_xlpm.k,IFERROR(_xlfn.XLOOKUP($AW19,$CD$6:$CD$21,$CE$6:$CE$21),$AW19),SUMPRODUCT((TRIM('Makeup '!$A$2:$A$300&amp;"")=_xlpm.k)*1,IFERROR('Makeup '!$F$2:$F$300*1,0))))</f>
        <v>0</v>
      </c>
      <c r="CF19" t="str" cm="1">
        <f t="array" ref="CF19">IF($AW19="","",_xlfn.LET(_xlpm.c,IFERROR(TRIM(INDEX('Sales and count'!$B$4:$B$300,$BF19)&amp;""),""),IF(OR(_xlpm.c="",_xlpm.c="0",LEFT(_xlpm.c,1)="#"),"Not set",_xlpm.c)))</f>
        <v>KSA</v>
      </c>
      <c r="CH19" cm="1">
        <f t="array" ref="CH19">IF($AW19="",0,_xlfn.LET(_xlpm.k,IFERROR(_xlfn.XLOOKUP($AW19,$CD$6:$CD$21,$CE$6:$CE$21),$AW19),--(SUMPRODUCT((TRIM('Makeup '!$A$2:$A$300&amp;"")=_xlpm.k)*ISNUMBER('Makeup '!$F$2:$F$300))&gt;0)))</f>
        <v>1</v>
      </c>
      <c r="CI19">
        <f t="shared" si="4"/>
        <v>249717.63999999998</v>
      </c>
      <c r="CJ19" cm="1">
        <f t="array" ref="CJ19">IF($AW19="",0,--(SUMPRODUCT(--(TRIM(Footfall!$B$5:$B$301)=$AW19))&gt;0))</f>
        <v>1</v>
      </c>
      <c r="CK19" s="8" cm="1">
        <f t="array" ref="CK19">IF($AW19="",0,_xlfn.LET(_xlpm.r,IFERROR(MATCH(IFERROR(_xlfn.XLOOKUP($AW19,$BT$5:$BT$22,$BU$5:$BU$22),$AW19),TRIM('TY Beauty Target'!$B$5:$B$300&amp;""),0),""),IF(ISNUMBER(_xlpm.r),SUMPRODUCT(('TY Beauty Target'!$L$2:$AP$2&gt;=$U$4)*('TY Beauty Target'!$L$2:$AP$2&lt;=$U$5),INDEX('TY Beauty Target'!$L$5:$AP$300,_xlpm.r,0)),0)))</f>
        <v>1176.078571958571</v>
      </c>
    </row>
    <row r="20" spans="1:89" ht="15" customHeight="1" x14ac:dyDescent="0.25">
      <c r="A20" s="18" t="str" cm="1">
        <f t="array" ref="A20">IFERROR(INDEX(_xlfn._xlws.SORT(_xlfn.UNIQUE(_xlfn._xlws.FILTER($AN$5:$AN$302,$AP$5:$AP$302=1))),ROWS($A$18:A20)),"")</f>
        <v/>
      </c>
      <c r="B20" s="19" t="str" cm="1">
        <f t="array" ref="B20">IF($C20="","",ROWS(_xlfn.UNIQUE(_xlfn._xlws.FILTER($AO$5:$AO$302,($AP$5:$AP$302=1)*($AN$5:$AN$302=$A20)))))</f>
        <v/>
      </c>
      <c r="C20" s="19" t="str" cm="1">
        <f t="array" ref="C20">_xlfn.LET(_xlpm.n,SUMPRODUCT($AP$5:$AP$302*($AN$5:$AN$302=$A20)),IF(_xlpm.n=0,"",_xlpm.n))</f>
        <v/>
      </c>
      <c r="D20" s="20" t="str" cm="1">
        <f t="array" ref="D20">IF($C20="","",SUMPRODUCT($AP$5:$AP$302*($AN$5:$AN$302=$A20),$AR$5:$AR$302))</f>
        <v/>
      </c>
      <c r="E20" s="20" t="str" cm="1">
        <f t="array" ref="E20">IF($C20="","",SUMPRODUCT($AP$5:$AP$302*($AN$5:$AN$302=$A20),$AT$5:$AT$302))</f>
        <v/>
      </c>
      <c r="F20" s="21" t="str">
        <f t="shared" si="5"/>
        <v/>
      </c>
      <c r="G20" s="21" t="str">
        <f t="shared" si="6"/>
        <v/>
      </c>
      <c r="H20" s="20" t="str" cm="1">
        <f t="array" ref="H20">IF($C20="","",SUMPRODUCT($AP$5:$AP$302*($AN$5:$AN$302=$A20),$AV$5:$AV$302))</f>
        <v/>
      </c>
      <c r="I20" s="21" t="str">
        <f t="shared" si="7"/>
        <v/>
      </c>
      <c r="J20" s="20" t="str">
        <f t="shared" si="8"/>
        <v/>
      </c>
      <c r="K20" s="21" t="str">
        <f t="shared" si="9"/>
        <v/>
      </c>
      <c r="L20" s="20" t="str" cm="1">
        <f t="array" ref="L20">IF($C20="","",SUMPRODUCT($AP$5:$AP$302*($AN$5:$AN$302=$A20),$BN$5:$BN$302))</f>
        <v/>
      </c>
      <c r="M20" s="20" t="str" cm="1">
        <f t="array" ref="M20">IF($C20="","",SUMPRODUCT($AP$5:$AP$302*($AN$5:$AN$302=$A20),$BO$5:$BO$302))</f>
        <v/>
      </c>
      <c r="N20" s="21" t="str">
        <f t="shared" si="16"/>
        <v/>
      </c>
      <c r="O20" s="21" t="str" cm="1">
        <f t="array" ref="O20">IF($C20="","",IFERROR(M20/SUMPRODUCT($AP$5:$AP$302*($AN$5:$AN$302=$A20),$BK$5:$BK$302)-1,""))</f>
        <v/>
      </c>
      <c r="P20" s="20" t="str" cm="1">
        <f t="array" ref="P20">IF($C20="","",SUMPRODUCT($AP$5:$AP$302*($AN$5:$AN$302=$A20),$AS$5:$AS$302))</f>
        <v/>
      </c>
      <c r="Q20" s="20" t="str" cm="1">
        <f t="array" ref="Q20">IF($C20="","",SUMPRODUCT($AP$5:$AP$302*($AN$5:$AN$302=$A20),$AU$5:$AU$302))</f>
        <v/>
      </c>
      <c r="R20" s="21" t="str">
        <f t="shared" si="10"/>
        <v/>
      </c>
      <c r="S20" s="21" t="str">
        <f t="shared" si="11"/>
        <v/>
      </c>
      <c r="T20" s="22" t="str">
        <f t="shared" si="12"/>
        <v/>
      </c>
      <c r="U20" s="22" t="str">
        <f t="shared" si="13"/>
        <v/>
      </c>
      <c r="V20" s="21" t="str">
        <f t="shared" si="14"/>
        <v/>
      </c>
      <c r="W20" s="20" t="str" cm="1">
        <f t="array" ref="W20">IF($C20="","",_xlfn.LET(_xlpm.n,SUMPRODUCT($AP$5:$AP$302*($AN$5:$AN$302=$A20),$BB$5:$BB$302),IF(_xlpm.n=0,"",_xlpm.n)))</f>
        <v/>
      </c>
      <c r="X20" s="20" t="str" cm="1">
        <f t="array" ref="X20">IF(W20="","",SUMPRODUCT($AP$5:$AP$302*($AN$5:$AN$302=$A20),$BC$5:$BC$302))</f>
        <v/>
      </c>
      <c r="Y20" s="21" t="str">
        <f t="shared" si="17"/>
        <v/>
      </c>
      <c r="Z20" s="20" t="str" cm="1">
        <f t="array" ref="Z20">IF($C20="","",SUMPRODUCT($AP$5:$AP$302*($AN$5:$AN$302=$A20),$CB$5:$CB$302))</f>
        <v/>
      </c>
      <c r="AA20" s="21" t="str">
        <f t="shared" si="15"/>
        <v/>
      </c>
      <c r="AB20" s="190" t="str" cm="1">
        <f t="array" ref="AB20">IF($C20="","",SUMPRODUCT($AP$5:$AP$302*($AN$5:$AN$302=$A20),$CK$5:$CK$302))</f>
        <v/>
      </c>
      <c r="AC20" s="191" t="str">
        <f t="shared" si="18"/>
        <v/>
      </c>
      <c r="AD20" s="20" t="str" cm="1">
        <f t="array" ref="AD20">IF($C20="","",SUMPRODUCT($AP$5:$AP$302*($AN$5:$AN$302=$A20),$CI$5:$CI$302))</f>
        <v/>
      </c>
      <c r="AE20" s="37" t="str" cm="1">
        <f t="array" ref="AE20">IF($C20="","",SUMPRODUCT($AP$5:$AP$302*($AN$5:$AN$302=$A20)*$AQ$5:$AQ$302,$AR$5:$AR$302))</f>
        <v/>
      </c>
      <c r="AF20" s="37" t="str" cm="1">
        <f t="array" ref="AF20">IF($C20="","",SUMPRODUCT($AP$5:$AP$302*($AN$5:$AN$302=$A20)*$AQ$5:$AQ$302,$AS$5:$AS$302))</f>
        <v/>
      </c>
      <c r="AG20" s="35"/>
      <c r="AH20" s="35"/>
      <c r="AN20" s="8" t="str" cm="1">
        <f t="array" ref="AN20">IF($AW20="","",_xlfn.LET(_xlpm.sa,IFERROR(TRIM(INDEX('Sales and count'!$D$4:$D$300,$BF20)&amp;""),""),_xlpm.ta,IFERROR(TRIM(INDEX('TY Sales Target'!$F$5:$F$300,$BG20)&amp;""),""),IF(AND(_xlpm.sa&lt;&gt;"",LEFT(_xlpm.sa,1)&lt;&gt;"#",_xlpm.sa&lt;&gt;"0"),_xlpm.sa,IF(AND(_xlpm.ta&lt;&gt;"",LEFT(_xlpm.ta,1)&lt;&gt;"#",_xlpm.ta&lt;&gt;"0"),_xlpm.ta,IF(ISNUMBER($BG20),"Unassigned","")))))</f>
        <v>Hamzah Al Makhadam</v>
      </c>
      <c r="AO20" s="8" t="str" cm="1">
        <f t="array" ref="AO20">IF($AW20="","",_xlfn.LET(_xlpm.sa,IFERROR(TRIM(INDEX('Sales and count'!$C$4:$C$300,$BF20)&amp;""),""),_xlpm.ta,IFERROR(TRIM(INDEX('TY Sales Target'!$D$5:$D$300,$BG20)&amp;""),""),IF(AND(_xlpm.sa&lt;&gt;"",LEFT(_xlpm.sa,1)&lt;&gt;"#",_xlpm.sa&lt;&gt;"0"),_xlpm.sa,IF(AND(_xlpm.ta&lt;&gt;"",LEFT(_xlpm.ta,1)&lt;&gt;"#",_xlpm.ta&lt;&gt;"0"),_xlpm.ta,""))))</f>
        <v>Khobar</v>
      </c>
      <c r="AP20" s="8">
        <f t="shared" si="2"/>
        <v>0</v>
      </c>
      <c r="AQ20" s="8">
        <f t="shared" si="0"/>
        <v>1</v>
      </c>
      <c r="AR20" s="8" cm="1">
        <f t="array" ref="AR20">IF($BF20="",0,_xlfn.LET(_xlpm.d,IFERROR(--'Sales and count'!$G$2:$CC$2,0),SUMPRODUCT(('Sales and count'!$G$3:$CC$3="Total")*(_xlpm.d&gt;=$U$4)*(_xlpm.d&lt;=$U$5),INDEX('Sales and count'!$G$4:$CC$300,$BF20,0))))</f>
        <v>535106.5</v>
      </c>
      <c r="AS20" s="8" cm="1">
        <f t="array" aca="1" ref="AS20" ca="1">IF($BF20="",0,_xlfn.LET(_xlpm.d,IFERROR(--'Sales and count'!$F$2:$CB$2,0),SUMPRODUCT(('Sales and count'!$G$3:$CC$3="Transactions")*(_xlpm.d&gt;=$U$4)*(_xlpm.d&lt;=$U$5),INDEX('Sales and count'!$G$4:$CC$300,$BF20,0))))</f>
        <v>2284</v>
      </c>
      <c r="AT20" s="8" cm="1">
        <f t="array" ref="AT20">IF($AW20="",0,SUMPRODUCT((TRIM('LY Sales '!$B$5:$B$200)=$AW20)*('LY Sales '!$C$2:$AG$2&gt;=EDATE($U$4,-12))*('LY Sales '!$C$2:$AG$2&lt;=EDATE($U$5,-12)),'LY Sales '!$C$5:$AG$200))</f>
        <v>786095.17</v>
      </c>
      <c r="AU20" s="8" cm="1">
        <f t="array" ref="AU20">IF($AW20="",0,SUMPRODUCT((TRIM('LY Transaction'!$B$5:$B$200)=$AW20)*('LY Transaction'!$C$2:$AG$2&gt;=EDATE($U$4,-12))*('LY Transaction'!$C$2:$AG$2&lt;=EDATE($U$5,-12)),'LY Transaction'!$C$5:$AG$200))</f>
        <v>4022</v>
      </c>
      <c r="AV20" s="8" cm="1">
        <f t="array" ref="AV20">IF(NOT(ISNUMBER($BG20)),0,SUMPRODUCT(('TY Sales Target'!$K$2:$AO$2&gt;=$U$4)*('TY Sales Target'!$K$2:$AO$2&lt;=$U$5),INDEX('TY Sales Target'!$K$5:$AO$300,$BG20,0)))</f>
        <v>661208.99517931405</v>
      </c>
      <c r="AW20" s="8" t="str" cm="1">
        <f t="array" ref="AW20">IFERROR(INDEX(_xlfn.ANCHORARRAY($BR$5),ROWS($AW$5:AW20)),"")</f>
        <v>HASHKAVNUE</v>
      </c>
      <c r="AY20" s="132">
        <v>46310</v>
      </c>
      <c r="AZ20" s="132"/>
      <c r="BB20" cm="1">
        <f t="array" ref="BB20">IF($AW20="",0,SUMPRODUCT((TRIM(Footfall!$B$5:$B$301)=$AW20)*(Footfall!$C$1:$BZ$1&gt;=$U$4)*(Footfall!$C$2:$BZ$2&lt;=$U$5)*(Footfall!$C$1:$BZ$1&lt;&gt;""),Footfall!$C$5:$BZ$301))</f>
        <v>0</v>
      </c>
      <c r="BC20" cm="1">
        <f t="array" ref="BC20">IF(OR($BB20&lt;=0,$BD$1="",$BF20=""),0,_xlfn.LET(_xlpm.d,IFERROR(--'Sales and count'!$F$2:$CB$2,0),SUMPRODUCT(('Sales and count'!$G$3:$CC$3="Transactions")*(_xlpm.d&gt;=$BD$1)*(_xlpm.d&lt;=$BD$2),INDEX('Sales and count'!$G$4:$CC$300,$BF20,0))))</f>
        <v>0</v>
      </c>
      <c r="BF20" cm="1">
        <f t="array" ref="BF20">IF($AW20="","",IFERROR(MATCH($AW20,TRIM('Sales and count'!$A$4:$A$300&amp;""),0),""))</f>
        <v>16</v>
      </c>
      <c r="BG20" cm="1">
        <f t="array" ref="BG20">IF($AW20="","",IFERROR(MATCH(IFERROR(_xlfn.XLOOKUP($AW20,$BT$5:$BT$22,$BU$5:$BU$22),$AW20),TRIM('TY Sales Target'!$B$5:$B$300&amp;""),0),""))</f>
        <v>2</v>
      </c>
      <c r="BH20" t="str" cm="1">
        <f t="array" ref="BH20">IF(ISNUMBER($BG20),_xlfn.LET(_xlpm.p,TRIM(INDEX('TY Sales Target'!$I$5:$I$300,$BG20)&amp;""),IF(_xlpm.p="","Not set",_xlpm.p)),"Not set")</f>
        <v>Car</v>
      </c>
      <c r="BI20" cm="1">
        <f t="array" ref="BI20">IF($BF20="",0,_xlfn.LET(_xlpm.d,IFERROR(--'Sales and count'!$G$2:$CC$2,0),SUMPRODUCT(('Sales and count'!$G$3:$CC$3="Total")*(_xlpm.d&gt;=$BZ$5)*(_xlpm.d&lt;=$BZ$6),INDEX('Sales and count'!$G$4:$CC$300,$BF20,0))))</f>
        <v>535106.5</v>
      </c>
      <c r="BJ20" cm="1">
        <f t="array" ref="BJ20">IF($AW20="",0,SUMPRODUCT((TRIM('LY Sales '!$B$5:$B$200)=$AW20)*('LY Sales '!$C$2:$AG$2&gt;=EDATE($BZ$5,-12))*('LY Sales '!$C$2:$AG$2&lt;=EDATE($BZ$6,-12)),'LY Sales '!$C$5:$AG$200))</f>
        <v>786095.17</v>
      </c>
      <c r="BK20" cm="1">
        <f t="array" ref="BK20">IF($AW20="",0,SUMPRODUCT((TRIM('LY Sales '!$B$5:$B$200)=$AW20)*('LY Sales '!$C$2:$AG$2&gt;=EDATE($BZ$5,-12))*('LY Sales '!$C$2:$AG$2&lt;=EDATE($BZ$7,-12)),'LY Sales '!$C$5:$AG$200))</f>
        <v>1011033.28</v>
      </c>
      <c r="BL20" cm="1">
        <f t="array" ref="BL20">IF($AW20="",0,SUMPRODUCT((TRIM('LY Sales '!$B$5:$B$200)=$AW20)*('LY Sales '!$C$2:$AG$2&gt;=EDATE($BZ$5,-12))*('LY Sales '!$C$2:$AG$2&lt;=EDATE($BZ$6,-12))*('LY Sales '!$C$5:$AG$200&gt;0)))</f>
        <v>26</v>
      </c>
      <c r="BM20" cm="1">
        <f t="array" ref="BM20">IF(NOT(ISNUMBER($BG20)),0,SUMPRODUCT(('TY Sales Target'!$K$2:$AO$2&gt;=$BZ$5)*('TY Sales Target'!$K$2:$AO$2&lt;=$BZ$6),INDEX('TY Sales Target'!$K$5:$AO$300,$BG20,0)))</f>
        <v>661208.99517931405</v>
      </c>
      <c r="BN20" cm="1">
        <f t="array" ref="BN20">IF(NOT(ISNUMBER($BG20)),0,SUMPRODUCT(('TY Sales Target'!$K$2:$AO$2&gt;=$BZ$5)*('TY Sales Target'!$K$2:$AO$2&lt;=$BZ$7),INDEX('TY Sales Target'!$K$5:$AO$300,$BG20,0)))</f>
        <v>863000.00000000023</v>
      </c>
      <c r="BO20" cm="1">
        <f t="array" ref="BO20">IF($AW20="",0,IFERROR(_xlfn.SWITCH($BP20,"LY trend",$BI20*$BK20/$BJ20,"Target curve",$BI20*$BN20/$BM20,"Run rate",$BI20/$BZ$8*$BZ$9,0),0))</f>
        <v>688225.16724574193</v>
      </c>
      <c r="BP20" t="str">
        <f t="shared" si="1"/>
        <v>LY trend</v>
      </c>
      <c r="BR20" t="str">
        <v>HASHKAVNUE</v>
      </c>
      <c r="BX20" t="str">
        <v>Khamis meshaet</v>
      </c>
      <c r="CB20" cm="1">
        <f t="array" ref="CB20">IF($AW20="",0,_xlfn.LET(_xlpm.k,IFERROR(_xlfn.XLOOKUP($AW20,$CD$6:$CD$21,$CE$6:$CE$21),$AW20),SUMPRODUCT((TRIM('Makeup '!$A$2:$A$300&amp;"")=_xlpm.k)*1,IFERROR('Makeup '!$F$2:$F$300*1,0))))</f>
        <v>26082.720000000001</v>
      </c>
      <c r="CF20" t="str" cm="1">
        <f t="array" ref="CF20">IF($AW20="","",_xlfn.LET(_xlpm.c,IFERROR(TRIM(INDEX('Sales and count'!$B$4:$B$300,$BF20)&amp;""),""),IF(OR(_xlpm.c="",_xlpm.c="0",LEFT(_xlpm.c,1)="#"),"Not set",_xlpm.c)))</f>
        <v>KSA</v>
      </c>
      <c r="CH20" cm="1">
        <f t="array" ref="CH20">IF($AW20="",0,_xlfn.LET(_xlpm.k,IFERROR(_xlfn.XLOOKUP($AW20,$CD$6:$CD$21,$CE$6:$CE$21),$AW20),--(SUMPRODUCT((TRIM('Makeup '!$A$2:$A$300&amp;"")=_xlpm.k)*ISNUMBER('Makeup '!$F$2:$F$300))&gt;0)))</f>
        <v>1</v>
      </c>
      <c r="CI20">
        <f t="shared" si="4"/>
        <v>535106.5</v>
      </c>
      <c r="CJ20" cm="1">
        <f t="array" ref="CJ20">IF($AW20="",0,--(SUMPRODUCT(--(TRIM(Footfall!$B$5:$B$301)=$AW20))&gt;0))</f>
        <v>0</v>
      </c>
      <c r="CK20" s="8" cm="1">
        <f t="array" ref="CK20">IF($AW20="",0,_xlfn.LET(_xlpm.r,IFERROR(MATCH(IFERROR(_xlfn.XLOOKUP($AW20,$BT$5:$BT$22,$BU$5:$BU$22),$AW20),TRIM('TY Beauty Target'!$B$5:$B$300&amp;""),0),""),IF(ISNUMBER(_xlpm.r),SUMPRODUCT(('TY Beauty Target'!$L$2:$AP$2&gt;=$U$4)*('TY Beauty Target'!$L$2:$AP$2&lt;=$U$5),INDEX('TY Beauty Target'!$L$5:$AP$300,_xlpm.r,0)),0)))</f>
        <v>39893.877160078926</v>
      </c>
    </row>
    <row r="21" spans="1:89" ht="15" customHeight="1" x14ac:dyDescent="0.25">
      <c r="A21" s="18" t="str" cm="1">
        <f t="array" ref="A21">IFERROR(INDEX(_xlfn._xlws.SORT(_xlfn.UNIQUE(_xlfn._xlws.FILTER($AN$5:$AN$302,$AP$5:$AP$302=1))),ROWS($A$18:A21)),"")</f>
        <v/>
      </c>
      <c r="B21" s="19" t="str" cm="1">
        <f t="array" ref="B21">IF($C21="","",ROWS(_xlfn.UNIQUE(_xlfn._xlws.FILTER($AO$5:$AO$302,($AP$5:$AP$302=1)*($AN$5:$AN$302=$A21)))))</f>
        <v/>
      </c>
      <c r="C21" s="19" t="str" cm="1">
        <f t="array" ref="C21">_xlfn.LET(_xlpm.n,SUMPRODUCT($AP$5:$AP$302*($AN$5:$AN$302=$A21)),IF(_xlpm.n=0,"",_xlpm.n))</f>
        <v/>
      </c>
      <c r="D21" s="20" t="str" cm="1">
        <f t="array" ref="D21">IF($C21="","",SUMPRODUCT($AP$5:$AP$302*($AN$5:$AN$302=$A21),$AR$5:$AR$302))</f>
        <v/>
      </c>
      <c r="E21" s="20" t="str" cm="1">
        <f t="array" ref="E21">IF($C21="","",SUMPRODUCT($AP$5:$AP$302*($AN$5:$AN$302=$A21),$AT$5:$AT$302))</f>
        <v/>
      </c>
      <c r="F21" s="21" t="str">
        <f t="shared" si="5"/>
        <v/>
      </c>
      <c r="G21" s="21" t="str">
        <f t="shared" si="6"/>
        <v/>
      </c>
      <c r="H21" s="20" t="str" cm="1">
        <f t="array" ref="H21">IF($C21="","",SUMPRODUCT($AP$5:$AP$302*($AN$5:$AN$302=$A21),$AV$5:$AV$302))</f>
        <v/>
      </c>
      <c r="I21" s="21" t="str">
        <f t="shared" si="7"/>
        <v/>
      </c>
      <c r="J21" s="20" t="str">
        <f t="shared" si="8"/>
        <v/>
      </c>
      <c r="K21" s="21" t="str">
        <f t="shared" si="9"/>
        <v/>
      </c>
      <c r="L21" s="20" t="str" cm="1">
        <f t="array" ref="L21">IF($C21="","",SUMPRODUCT($AP$5:$AP$302*($AN$5:$AN$302=$A21),$BN$5:$BN$302))</f>
        <v/>
      </c>
      <c r="M21" s="20" t="str" cm="1">
        <f t="array" ref="M21">IF($C21="","",SUMPRODUCT($AP$5:$AP$302*($AN$5:$AN$302=$A21),$BO$5:$BO$302))</f>
        <v/>
      </c>
      <c r="N21" s="21" t="str">
        <f t="shared" si="16"/>
        <v/>
      </c>
      <c r="O21" s="21" t="str" cm="1">
        <f t="array" ref="O21">IF($C21="","",IFERROR(M21/SUMPRODUCT($AP$5:$AP$302*($AN$5:$AN$302=$A21),$BK$5:$BK$302)-1,""))</f>
        <v/>
      </c>
      <c r="P21" s="20" t="str" cm="1">
        <f t="array" ref="P21">IF($C21="","",SUMPRODUCT($AP$5:$AP$302*($AN$5:$AN$302=$A21),$AS$5:$AS$302))</f>
        <v/>
      </c>
      <c r="Q21" s="20" t="str" cm="1">
        <f t="array" ref="Q21">IF($C21="","",SUMPRODUCT($AP$5:$AP$302*($AN$5:$AN$302=$A21),$AU$5:$AU$302))</f>
        <v/>
      </c>
      <c r="R21" s="21" t="str">
        <f t="shared" si="10"/>
        <v/>
      </c>
      <c r="S21" s="21" t="str">
        <f t="shared" si="11"/>
        <v/>
      </c>
      <c r="T21" s="22" t="str">
        <f t="shared" si="12"/>
        <v/>
      </c>
      <c r="U21" s="22" t="str">
        <f t="shared" si="13"/>
        <v/>
      </c>
      <c r="V21" s="21" t="str">
        <f t="shared" si="14"/>
        <v/>
      </c>
      <c r="W21" s="20" t="str" cm="1">
        <f t="array" ref="W21">IF($C21="","",_xlfn.LET(_xlpm.n,SUMPRODUCT($AP$5:$AP$302*($AN$5:$AN$302=$A21),$BB$5:$BB$302),IF(_xlpm.n=0,"",_xlpm.n)))</f>
        <v/>
      </c>
      <c r="X21" s="20" t="str" cm="1">
        <f t="array" ref="X21">IF(W21="","",SUMPRODUCT($AP$5:$AP$302*($AN$5:$AN$302=$A21),$BC$5:$BC$302))</f>
        <v/>
      </c>
      <c r="Y21" s="21" t="str">
        <f t="shared" si="17"/>
        <v/>
      </c>
      <c r="Z21" s="20" t="str" cm="1">
        <f t="array" ref="Z21">IF($C21="","",SUMPRODUCT($AP$5:$AP$302*($AN$5:$AN$302=$A21),$CB$5:$CB$302))</f>
        <v/>
      </c>
      <c r="AA21" s="21" t="str">
        <f t="shared" si="15"/>
        <v/>
      </c>
      <c r="AB21" s="190" t="str" cm="1">
        <f t="array" ref="AB21">IF($C21="","",SUMPRODUCT($AP$5:$AP$302*($AN$5:$AN$302=$A21),$CK$5:$CK$302))</f>
        <v/>
      </c>
      <c r="AC21" s="191" t="str">
        <f t="shared" si="18"/>
        <v/>
      </c>
      <c r="AD21" s="20" t="str" cm="1">
        <f t="array" ref="AD21">IF($C21="","",SUMPRODUCT($AP$5:$AP$302*($AN$5:$AN$302=$A21),$CI$5:$CI$302))</f>
        <v/>
      </c>
      <c r="AE21" s="37" t="str" cm="1">
        <f t="array" ref="AE21">IF($C21="","",SUMPRODUCT($AP$5:$AP$302*($AN$5:$AN$302=$A21)*$AQ$5:$AQ$302,$AR$5:$AR$302))</f>
        <v/>
      </c>
      <c r="AF21" s="37" t="str" cm="1">
        <f t="array" ref="AF21">IF($C21="","",SUMPRODUCT($AP$5:$AP$302*($AN$5:$AN$302=$A21)*$AQ$5:$AQ$302,$AS$5:$AS$302))</f>
        <v/>
      </c>
      <c r="AG21" s="35"/>
      <c r="AH21" s="35"/>
      <c r="AN21" s="8" t="str" cm="1">
        <f t="array" ref="AN21">IF($AW21="","",_xlfn.LET(_xlpm.sa,IFERROR(TRIM(INDEX('Sales and count'!$D$4:$D$300,$BF21)&amp;""),""),_xlpm.ta,IFERROR(TRIM(INDEX('TY Sales Target'!$F$5:$F$300,$BG21)&amp;""),""),IF(AND(_xlpm.sa&lt;&gt;"",LEFT(_xlpm.sa,1)&lt;&gt;"#",_xlpm.sa&lt;&gt;"0"),_xlpm.sa,IF(AND(_xlpm.ta&lt;&gt;"",LEFT(_xlpm.ta,1)&lt;&gt;"#",_xlpm.ta&lt;&gt;"0"),_xlpm.ta,IF(ISNUMBER($BG21),"Unassigned","")))))</f>
        <v>Mohammed Haidar</v>
      </c>
      <c r="AO21" s="8" t="str" cm="1">
        <f t="array" ref="AO21">IF($AW21="","",_xlfn.LET(_xlpm.sa,IFERROR(TRIM(INDEX('Sales and count'!$C$4:$C$300,$BF21)&amp;""),""),_xlpm.ta,IFERROR(TRIM(INDEX('TY Sales Target'!$D$5:$D$300,$BG21)&amp;""),""),IF(AND(_xlpm.sa&lt;&gt;"",LEFT(_xlpm.sa,1)&lt;&gt;"#",_xlpm.sa&lt;&gt;"0"),_xlpm.sa,IF(AND(_xlpm.ta&lt;&gt;"",LEFT(_xlpm.ta,1)&lt;&gt;"#",_xlpm.ta&lt;&gt;"0"),_xlpm.ta,""))))</f>
        <v>Madinah</v>
      </c>
      <c r="AP21" s="8">
        <f t="shared" si="2"/>
        <v>0</v>
      </c>
      <c r="AQ21" s="8">
        <f t="shared" si="0"/>
        <v>1</v>
      </c>
      <c r="AR21" s="8" cm="1">
        <f t="array" ref="AR21">IF($BF21="",0,_xlfn.LET(_xlpm.d,IFERROR(--'Sales and count'!$G$2:$CC$2,0),SUMPRODUCT(('Sales and count'!$G$3:$CC$3="Total")*(_xlpm.d&gt;=$U$4)*(_xlpm.d&lt;=$U$5),INDEX('Sales and count'!$G$4:$CC$300,$BF21,0))))</f>
        <v>107371.09000000003</v>
      </c>
      <c r="AS21" s="8" cm="1">
        <f t="array" aca="1" ref="AS21" ca="1">IF($BF21="",0,_xlfn.LET(_xlpm.d,IFERROR(--'Sales and count'!$F$2:$CB$2,0),SUMPRODUCT(('Sales and count'!$G$3:$CC$3="Transactions")*(_xlpm.d&gt;=$U$4)*(_xlpm.d&lt;=$U$5),INDEX('Sales and count'!$G$4:$CC$300,$BF21,0))))</f>
        <v>542</v>
      </c>
      <c r="AT21" s="8" cm="1">
        <f t="array" ref="AT21">IF($AW21="",0,SUMPRODUCT((TRIM('LY Sales '!$B$5:$B$200)=$AW21)*('LY Sales '!$C$2:$AG$2&gt;=EDATE($U$4,-12))*('LY Sales '!$C$2:$AG$2&lt;=EDATE($U$5,-12)),'LY Sales '!$C$5:$AG$200))</f>
        <v>111021.74000000002</v>
      </c>
      <c r="AU21" s="8" cm="1">
        <f t="array" ref="AU21">IF($AW21="",0,SUMPRODUCT((TRIM('LY Transaction'!$B$5:$B$200)=$AW21)*('LY Transaction'!$C$2:$AG$2&gt;=EDATE($U$4,-12))*('LY Transaction'!$C$2:$AG$2&lt;=EDATE($U$5,-12)),'LY Transaction'!$C$5:$AG$200))</f>
        <v>726</v>
      </c>
      <c r="AV21" s="8" cm="1">
        <f t="array" ref="AV21">IF(NOT(ISNUMBER($BG21)),0,SUMPRODUCT(('TY Sales Target'!$K$2:$AO$2&gt;=$U$4)*('TY Sales Target'!$K$2:$AO$2&lt;=$U$5),INDEX('TY Sales Target'!$K$5:$AO$300,$BG21,0)))</f>
        <v>103433.62033511861</v>
      </c>
      <c r="AW21" s="8" t="str" cm="1">
        <f t="array" ref="AW21">IFERROR(INDEX(_xlfn.ANCHORARRAY($BR$5),ROWS($AW$5:AW21)),"")</f>
        <v>HAMAYASMAD</v>
      </c>
      <c r="AY21" s="132">
        <v>46311</v>
      </c>
      <c r="AZ21" s="132"/>
      <c r="BB21" cm="1">
        <f t="array" ref="BB21">IF($AW21="",0,SUMPRODUCT((TRIM(Footfall!$B$5:$B$301)=$AW21)*(Footfall!$C$1:$BZ$1&gt;=$U$4)*(Footfall!$C$2:$BZ$2&lt;=$U$5)*(Footfall!$C$1:$BZ$1&lt;&gt;""),Footfall!$C$5:$BZ$301))</f>
        <v>0</v>
      </c>
      <c r="BC21" cm="1">
        <f t="array" ref="BC21">IF(OR($BB21&lt;=0,$BD$1="",$BF21=""),0,_xlfn.LET(_xlpm.d,IFERROR(--'Sales and count'!$F$2:$CB$2,0),SUMPRODUCT(('Sales and count'!$G$3:$CC$3="Transactions")*(_xlpm.d&gt;=$BD$1)*(_xlpm.d&lt;=$BD$2),INDEX('Sales and count'!$G$4:$CC$300,$BF21,0))))</f>
        <v>0</v>
      </c>
      <c r="BF21" cm="1">
        <f t="array" ref="BF21">IF($AW21="","",IFERROR(MATCH($AW21,TRIM('Sales and count'!$A$4:$A$300&amp;""),0),""))</f>
        <v>17</v>
      </c>
      <c r="BG21" cm="1">
        <f t="array" ref="BG21">IF($AW21="","",IFERROR(MATCH(IFERROR(_xlfn.XLOOKUP($AW21,$BT$5:$BT$22,$BU$5:$BU$22),$AW21),TRIM('TY Sales Target'!$B$5:$B$300&amp;""),0),""))</f>
        <v>95</v>
      </c>
      <c r="BH21" t="str" cm="1">
        <f t="array" ref="BH21">IF(ISNUMBER($BG21),_xlfn.LET(_xlpm.p,TRIM(INDEX('TY Sales Target'!$I$5:$I$300,$BG21)&amp;""),IF(_xlpm.p="","Not set",_xlpm.p)),"Not set")</f>
        <v>Smart Watch</v>
      </c>
      <c r="BI21" cm="1">
        <f t="array" ref="BI21">IF($BF21="",0,_xlfn.LET(_xlpm.d,IFERROR(--'Sales and count'!$G$2:$CC$2,0),SUMPRODUCT(('Sales and count'!$G$3:$CC$3="Total")*(_xlpm.d&gt;=$BZ$5)*(_xlpm.d&lt;=$BZ$6),INDEX('Sales and count'!$G$4:$CC$300,$BF21,0))))</f>
        <v>107371.09000000003</v>
      </c>
      <c r="BJ21" cm="1">
        <f t="array" ref="BJ21">IF($AW21="",0,SUMPRODUCT((TRIM('LY Sales '!$B$5:$B$200)=$AW21)*('LY Sales '!$C$2:$AG$2&gt;=EDATE($BZ$5,-12))*('LY Sales '!$C$2:$AG$2&lt;=EDATE($BZ$6,-12)),'LY Sales '!$C$5:$AG$200))</f>
        <v>111021.74000000002</v>
      </c>
      <c r="BK21" cm="1">
        <f t="array" ref="BK21">IF($AW21="",0,SUMPRODUCT((TRIM('LY Sales '!$B$5:$B$200)=$AW21)*('LY Sales '!$C$2:$AG$2&gt;=EDATE($BZ$5,-12))*('LY Sales '!$C$2:$AG$2&lt;=EDATE($BZ$7,-12)),'LY Sales '!$C$5:$AG$200))</f>
        <v>135923.25000000003</v>
      </c>
      <c r="BL21" cm="1">
        <f t="array" ref="BL21">IF($AW21="",0,SUMPRODUCT((TRIM('LY Sales '!$B$5:$B$200)=$AW21)*('LY Sales '!$C$2:$AG$2&gt;=EDATE($BZ$5,-12))*('LY Sales '!$C$2:$AG$2&lt;=EDATE($BZ$6,-12))*('LY Sales '!$C$5:$AG$200&gt;0)))</f>
        <v>26</v>
      </c>
      <c r="BM21" cm="1">
        <f t="array" ref="BM21">IF(NOT(ISNUMBER($BG21)),0,SUMPRODUCT(('TY Sales Target'!$K$2:$AO$2&gt;=$BZ$5)*('TY Sales Target'!$K$2:$AO$2&lt;=$BZ$6),INDEX('TY Sales Target'!$K$5:$AO$300,$BG21,0)))</f>
        <v>103433.62033511861</v>
      </c>
      <c r="BN21" cm="1">
        <f t="array" ref="BN21">IF(NOT(ISNUMBER($BG21)),0,SUMPRODUCT(('TY Sales Target'!$K$2:$AO$2&gt;=$BZ$5)*('TY Sales Target'!$K$2:$AO$2&lt;=$BZ$7),INDEX('TY Sales Target'!$K$5:$AO$300,$BG21,0)))</f>
        <v>135000</v>
      </c>
      <c r="BO21" cm="1">
        <f t="array" ref="BO21">IF($AW21="",0,IFERROR(_xlfn.SWITCH($BP21,"LY trend",$BI21*$BK21/$BJ21,"Target curve",$BI21*$BN21/$BM21,"Run rate",$BI21/$BZ$8*$BZ$9,0),0))</f>
        <v>131453.78111388368</v>
      </c>
      <c r="BP21" t="str">
        <f t="shared" si="1"/>
        <v>LY trend</v>
      </c>
      <c r="BR21" t="str">
        <v>HAMAYASMAD</v>
      </c>
      <c r="BX21" t="str">
        <v>Khobar</v>
      </c>
      <c r="CB21" cm="1">
        <f t="array" ref="CB21">IF($AW21="",0,_xlfn.LET(_xlpm.k,IFERROR(_xlfn.XLOOKUP($AW21,$CD$6:$CD$21,$CE$6:$CE$21),$AW21),SUMPRODUCT((TRIM('Makeup '!$A$2:$A$300&amp;"")=_xlpm.k)*1,IFERROR('Makeup '!$F$2:$F$300*1,0))))</f>
        <v>0</v>
      </c>
      <c r="CF21" t="str" cm="1">
        <f t="array" ref="CF21">IF($AW21="","",_xlfn.LET(_xlpm.c,IFERROR(TRIM(INDEX('Sales and count'!$B$4:$B$300,$BF21)&amp;""),""),IF(OR(_xlpm.c="",_xlpm.c="0",LEFT(_xlpm.c,1)="#"),"Not set",_xlpm.c)))</f>
        <v>KSA</v>
      </c>
      <c r="CH21" cm="1">
        <f t="array" ref="CH21">IF($AW21="",0,_xlfn.LET(_xlpm.k,IFERROR(_xlfn.XLOOKUP($AW21,$CD$6:$CD$21,$CE$6:$CE$21),$AW21),--(SUMPRODUCT((TRIM('Makeup '!$A$2:$A$300&amp;"")=_xlpm.k)*ISNUMBER('Makeup '!$F$2:$F$300))&gt;0)))</f>
        <v>1</v>
      </c>
      <c r="CI21">
        <f t="shared" si="4"/>
        <v>107371.09000000003</v>
      </c>
      <c r="CJ21" cm="1">
        <f t="array" ref="CJ21">IF($AW21="",0,--(SUMPRODUCT(--(TRIM(Footfall!$B$5:$B$301)=$AW21))&gt;0))</f>
        <v>0</v>
      </c>
      <c r="CK21" s="8" cm="1">
        <f t="array" ref="CK21">IF($AW21="",0,_xlfn.LET(_xlpm.r,IFERROR(MATCH(IFERROR(_xlfn.XLOOKUP($AW21,$BT$5:$BT$22,$BU$5:$BU$22),$AW21),TRIM('TY Beauty Target'!$B$5:$B$300&amp;""),0),""),IF(ISNUMBER(_xlpm.r),SUMPRODUCT(('TY Beauty Target'!$L$2:$AP$2&gt;=$U$4)*('TY Beauty Target'!$L$2:$AP$2&lt;=$U$5),INDEX('TY Beauty Target'!$L$5:$AP$300,_xlpm.r,0)),0)))</f>
        <v>517.16810167559322</v>
      </c>
    </row>
    <row r="22" spans="1:89" ht="15" customHeight="1" x14ac:dyDescent="0.25">
      <c r="A22" s="18" t="str" cm="1">
        <f t="array" ref="A22">IFERROR(INDEX(_xlfn._xlws.SORT(_xlfn.UNIQUE(_xlfn._xlws.FILTER($AN$5:$AN$302,$AP$5:$AP$302=1))),ROWS($A$18:A22)),"")</f>
        <v/>
      </c>
      <c r="B22" s="19" t="str" cm="1">
        <f t="array" ref="B22">IF($C22="","",ROWS(_xlfn.UNIQUE(_xlfn._xlws.FILTER($AO$5:$AO$302,($AP$5:$AP$302=1)*($AN$5:$AN$302=$A22)))))</f>
        <v/>
      </c>
      <c r="C22" s="19" t="str" cm="1">
        <f t="array" ref="C22">_xlfn.LET(_xlpm.n,SUMPRODUCT($AP$5:$AP$302*($AN$5:$AN$302=$A22)),IF(_xlpm.n=0,"",_xlpm.n))</f>
        <v/>
      </c>
      <c r="D22" s="20" t="str" cm="1">
        <f t="array" ref="D22">IF($C22="","",SUMPRODUCT($AP$5:$AP$302*($AN$5:$AN$302=$A22),$AR$5:$AR$302))</f>
        <v/>
      </c>
      <c r="E22" s="20" t="str" cm="1">
        <f t="array" ref="E22">IF($C22="","",SUMPRODUCT($AP$5:$AP$302*($AN$5:$AN$302=$A22),$AT$5:$AT$302))</f>
        <v/>
      </c>
      <c r="F22" s="21" t="str">
        <f t="shared" si="5"/>
        <v/>
      </c>
      <c r="G22" s="21" t="str">
        <f t="shared" si="6"/>
        <v/>
      </c>
      <c r="H22" s="20" t="str" cm="1">
        <f t="array" ref="H22">IF($C22="","",SUMPRODUCT($AP$5:$AP$302*($AN$5:$AN$302=$A22),$AV$5:$AV$302))</f>
        <v/>
      </c>
      <c r="I22" s="21" t="str">
        <f t="shared" si="7"/>
        <v/>
      </c>
      <c r="J22" s="20" t="str">
        <f t="shared" si="8"/>
        <v/>
      </c>
      <c r="K22" s="21" t="str">
        <f t="shared" si="9"/>
        <v/>
      </c>
      <c r="L22" s="20" t="str" cm="1">
        <f t="array" ref="L22">IF($C22="","",SUMPRODUCT($AP$5:$AP$302*($AN$5:$AN$302=$A22),$BN$5:$BN$302))</f>
        <v/>
      </c>
      <c r="M22" s="20" t="str" cm="1">
        <f t="array" ref="M22">IF($C22="","",SUMPRODUCT($AP$5:$AP$302*($AN$5:$AN$302=$A22),$BO$5:$BO$302))</f>
        <v/>
      </c>
      <c r="N22" s="21" t="str">
        <f t="shared" si="16"/>
        <v/>
      </c>
      <c r="O22" s="21" t="str" cm="1">
        <f t="array" ref="O22">IF($C22="","",IFERROR(M22/SUMPRODUCT($AP$5:$AP$302*($AN$5:$AN$302=$A22),$BK$5:$BK$302)-1,""))</f>
        <v/>
      </c>
      <c r="P22" s="20" t="str" cm="1">
        <f t="array" ref="P22">IF($C22="","",SUMPRODUCT($AP$5:$AP$302*($AN$5:$AN$302=$A22),$AS$5:$AS$302))</f>
        <v/>
      </c>
      <c r="Q22" s="20" t="str" cm="1">
        <f t="array" ref="Q22">IF($C22="","",SUMPRODUCT($AP$5:$AP$302*($AN$5:$AN$302=$A22),$AU$5:$AU$302))</f>
        <v/>
      </c>
      <c r="R22" s="21" t="str">
        <f t="shared" si="10"/>
        <v/>
      </c>
      <c r="S22" s="21" t="str">
        <f t="shared" si="11"/>
        <v/>
      </c>
      <c r="T22" s="22" t="str">
        <f t="shared" si="12"/>
        <v/>
      </c>
      <c r="U22" s="22" t="str">
        <f t="shared" si="13"/>
        <v/>
      </c>
      <c r="V22" s="21" t="str">
        <f t="shared" si="14"/>
        <v/>
      </c>
      <c r="W22" s="20" t="str" cm="1">
        <f t="array" ref="W22">IF($C22="","",_xlfn.LET(_xlpm.n,SUMPRODUCT($AP$5:$AP$302*($AN$5:$AN$302=$A22),$BB$5:$BB$302),IF(_xlpm.n=0,"",_xlpm.n)))</f>
        <v/>
      </c>
      <c r="X22" s="20" t="str" cm="1">
        <f t="array" ref="X22">IF(W22="","",SUMPRODUCT($AP$5:$AP$302*($AN$5:$AN$302=$A22),$BC$5:$BC$302))</f>
        <v/>
      </c>
      <c r="Y22" s="21" t="str">
        <f t="shared" si="17"/>
        <v/>
      </c>
      <c r="Z22" s="20" t="str" cm="1">
        <f t="array" ref="Z22">IF($C22="","",SUMPRODUCT($AP$5:$AP$302*($AN$5:$AN$302=$A22),$CB$5:$CB$302))</f>
        <v/>
      </c>
      <c r="AA22" s="21" t="str">
        <f t="shared" si="15"/>
        <v/>
      </c>
      <c r="AB22" s="190" t="str" cm="1">
        <f t="array" ref="AB22">IF($C22="","",SUMPRODUCT($AP$5:$AP$302*($AN$5:$AN$302=$A22),$CK$5:$CK$302))</f>
        <v/>
      </c>
      <c r="AC22" s="191" t="str">
        <f t="shared" si="18"/>
        <v/>
      </c>
      <c r="AD22" s="20" t="str" cm="1">
        <f t="array" ref="AD22">IF($C22="","",SUMPRODUCT($AP$5:$AP$302*($AN$5:$AN$302=$A22),$CI$5:$CI$302))</f>
        <v/>
      </c>
      <c r="AE22" s="37" t="str" cm="1">
        <f t="array" ref="AE22">IF($C22="","",SUMPRODUCT($AP$5:$AP$302*($AN$5:$AN$302=$A22)*$AQ$5:$AQ$302,$AR$5:$AR$302))</f>
        <v/>
      </c>
      <c r="AF22" s="37" t="str" cm="1">
        <f t="array" ref="AF22">IF($C22="","",SUMPRODUCT($AP$5:$AP$302*($AN$5:$AN$302=$A22)*$AQ$5:$AQ$302,$AS$5:$AS$302))</f>
        <v/>
      </c>
      <c r="AG22" s="35"/>
      <c r="AH22" s="35"/>
      <c r="AN22" s="8" t="str" cm="1">
        <f t="array" ref="AN22">IF($AW22="","",_xlfn.LET(_xlpm.sa,IFERROR(TRIM(INDEX('Sales and count'!$D$4:$D$300,$BF22)&amp;""),""),_xlpm.ta,IFERROR(TRIM(INDEX('TY Sales Target'!$F$5:$F$300,$BG22)&amp;""),""),IF(AND(_xlpm.sa&lt;&gt;"",LEFT(_xlpm.sa,1)&lt;&gt;"#",_xlpm.sa&lt;&gt;"0"),_xlpm.sa,IF(AND(_xlpm.ta&lt;&gt;"",LEFT(_xlpm.ta,1)&lt;&gt;"#",_xlpm.ta&lt;&gt;"0"),_xlpm.ta,IF(ISNUMBER($BG22),"Unassigned","")))))</f>
        <v>Mohammed Sanad</v>
      </c>
      <c r="AO22" s="8" t="str" cm="1">
        <f t="array" ref="AO22">IF($AW22="","",_xlfn.LET(_xlpm.sa,IFERROR(TRIM(INDEX('Sales and count'!$C$4:$C$300,$BF22)&amp;""),""),_xlpm.ta,IFERROR(TRIM(INDEX('TY Sales Target'!$D$5:$D$300,$BG22)&amp;""),""),IF(AND(_xlpm.sa&lt;&gt;"",LEFT(_xlpm.sa,1)&lt;&gt;"#",_xlpm.sa&lt;&gt;"0"),_xlpm.sa,IF(AND(_xlpm.ta&lt;&gt;"",LEFT(_xlpm.ta,1)&lt;&gt;"#",_xlpm.ta&lt;&gt;"0"),_xlpm.ta,""))))</f>
        <v>Riyadh</v>
      </c>
      <c r="AP22" s="8">
        <f t="shared" si="2"/>
        <v>0</v>
      </c>
      <c r="AQ22" s="8">
        <f t="shared" si="0"/>
        <v>0</v>
      </c>
      <c r="AR22" s="8" cm="1">
        <f t="array" ref="AR22">IF($BF22="",0,_xlfn.LET(_xlpm.d,IFERROR(--'Sales and count'!$G$2:$CC$2,0),SUMPRODUCT(('Sales and count'!$G$3:$CC$3="Total")*(_xlpm.d&gt;=$U$4)*(_xlpm.d&lt;=$U$5),INDEX('Sales and count'!$G$4:$CC$300,$BF22,0))))</f>
        <v>170518.41999999998</v>
      </c>
      <c r="AS22" s="8" cm="1">
        <f t="array" aca="1" ref="AS22" ca="1">IF($BF22="",0,_xlfn.LET(_xlpm.d,IFERROR(--'Sales and count'!$F$2:$CB$2,0),SUMPRODUCT(('Sales and count'!$G$3:$CC$3="Transactions")*(_xlpm.d&gt;=$U$4)*(_xlpm.d&lt;=$U$5),INDEX('Sales and count'!$G$4:$CC$300,$BF22,0))))</f>
        <v>1144</v>
      </c>
      <c r="AT22" s="8" cm="1">
        <f t="array" ref="AT22">IF($AW22="",0,SUMPRODUCT((TRIM('LY Sales '!$B$5:$B$200)=$AW22)*('LY Sales '!$C$2:$AG$2&gt;=EDATE($U$4,-12))*('LY Sales '!$C$2:$AG$2&lt;=EDATE($U$5,-12)),'LY Sales '!$C$5:$AG$200))</f>
        <v>0</v>
      </c>
      <c r="AU22" s="8" cm="1">
        <f t="array" ref="AU22">IF($AW22="",0,SUMPRODUCT((TRIM('LY Transaction'!$B$5:$B$200)=$AW22)*('LY Transaction'!$C$2:$AG$2&gt;=EDATE($U$4,-12))*('LY Transaction'!$C$2:$AG$2&lt;=EDATE($U$5,-12)),'LY Transaction'!$C$5:$AG$200))</f>
        <v>0</v>
      </c>
      <c r="AV22" s="8" cm="1">
        <f t="array" ref="AV22">IF(NOT(ISNUMBER($BG22)),0,SUMPRODUCT(('TY Sales Target'!$K$2:$AO$2&gt;=$U$4)*('TY Sales Target'!$K$2:$AO$2&lt;=$U$5),INDEX('TY Sales Target'!$K$5:$AO$300,$BG22,0)))</f>
        <v>219126.04011736246</v>
      </c>
      <c r="AW22" s="8" t="str" cm="1">
        <f t="array" ref="AW22">IFERROR(INDEX(_xlfn.ANCHORARRAY($BR$5),ROWS($AW$5:AW22)),"")</f>
        <v>HAWADILABN</v>
      </c>
      <c r="AY22" s="132">
        <v>46312</v>
      </c>
      <c r="AZ22" s="132"/>
      <c r="BB22" cm="1">
        <f t="array" ref="BB22">IF($AW22="",0,SUMPRODUCT((TRIM(Footfall!$B$5:$B$301)=$AW22)*(Footfall!$C$1:$BZ$1&gt;=$U$4)*(Footfall!$C$2:$BZ$2&lt;=$U$5)*(Footfall!$C$1:$BZ$1&lt;&gt;""),Footfall!$C$5:$BZ$301))</f>
        <v>0</v>
      </c>
      <c r="BC22" cm="1">
        <f t="array" ref="BC22">IF(OR($BB22&lt;=0,$BD$1="",$BF22=""),0,_xlfn.LET(_xlpm.d,IFERROR(--'Sales and count'!$F$2:$CB$2,0),SUMPRODUCT(('Sales and count'!$G$3:$CC$3="Transactions")*(_xlpm.d&gt;=$BD$1)*(_xlpm.d&lt;=$BD$2),INDEX('Sales and count'!$G$4:$CC$300,$BF22,0))))</f>
        <v>0</v>
      </c>
      <c r="BF22" cm="1">
        <f t="array" ref="BF22">IF($AW22="","",IFERROR(MATCH($AW22,TRIM('Sales and count'!$A$4:$A$300&amp;""),0),""))</f>
        <v>18</v>
      </c>
      <c r="BG22" cm="1">
        <f t="array" ref="BG22">IF($AW22="","",IFERROR(MATCH(IFERROR(_xlfn.XLOOKUP($AW22,$BT$5:$BT$22,$BU$5:$BU$22),$AW22),TRIM('TY Sales Target'!$B$5:$B$300&amp;""),0),""))</f>
        <v>37</v>
      </c>
      <c r="BH22" t="str" cm="1">
        <f t="array" ref="BH22">IF(ISNUMBER($BG22),_xlfn.LET(_xlpm.p,TRIM(INDEX('TY Sales Target'!$I$5:$I$300,$BG22)&amp;""),IF(_xlpm.p="","Not set",_xlpm.p)),"Not set")</f>
        <v>Smart Phone</v>
      </c>
      <c r="BI22" cm="1">
        <f t="array" ref="BI22">IF($BF22="",0,_xlfn.LET(_xlpm.d,IFERROR(--'Sales and count'!$G$2:$CC$2,0),SUMPRODUCT(('Sales and count'!$G$3:$CC$3="Total")*(_xlpm.d&gt;=$BZ$5)*(_xlpm.d&lt;=$BZ$6),INDEX('Sales and count'!$G$4:$CC$300,$BF22,0))))</f>
        <v>170518.41999999998</v>
      </c>
      <c r="BJ22" cm="1">
        <f t="array" ref="BJ22">IF($AW22="",0,SUMPRODUCT((TRIM('LY Sales '!$B$5:$B$200)=$AW22)*('LY Sales '!$C$2:$AG$2&gt;=EDATE($BZ$5,-12))*('LY Sales '!$C$2:$AG$2&lt;=EDATE($BZ$6,-12)),'LY Sales '!$C$5:$AG$200))</f>
        <v>0</v>
      </c>
      <c r="BK22" cm="1">
        <f t="array" ref="BK22">IF($AW22="",0,SUMPRODUCT((TRIM('LY Sales '!$B$5:$B$200)=$AW22)*('LY Sales '!$C$2:$AG$2&gt;=EDATE($BZ$5,-12))*('LY Sales '!$C$2:$AG$2&lt;=EDATE($BZ$7,-12)),'LY Sales '!$C$5:$AG$200))</f>
        <v>0</v>
      </c>
      <c r="BL22" cm="1">
        <f t="array" ref="BL22">IF($AW22="",0,SUMPRODUCT((TRIM('LY Sales '!$B$5:$B$200)=$AW22)*('LY Sales '!$C$2:$AG$2&gt;=EDATE($BZ$5,-12))*('LY Sales '!$C$2:$AG$2&lt;=EDATE($BZ$6,-12))*('LY Sales '!$C$5:$AG$200&gt;0)))</f>
        <v>0</v>
      </c>
      <c r="BM22" cm="1">
        <f t="array" ref="BM22">IF(NOT(ISNUMBER($BG22)),0,SUMPRODUCT(('TY Sales Target'!$K$2:$AO$2&gt;=$BZ$5)*('TY Sales Target'!$K$2:$AO$2&lt;=$BZ$6),INDEX('TY Sales Target'!$K$5:$AO$300,$BG22,0)))</f>
        <v>219126.04011736246</v>
      </c>
      <c r="BN22" cm="1">
        <f t="array" ref="BN22">IF(NOT(ISNUMBER($BG22)),0,SUMPRODUCT(('TY Sales Target'!$K$2:$AO$2&gt;=$BZ$5)*('TY Sales Target'!$K$2:$AO$2&lt;=$BZ$7),INDEX('TY Sales Target'!$K$5:$AO$300,$BG22,0)))</f>
        <v>286000</v>
      </c>
      <c r="BO22" cm="1">
        <f t="array" ref="BO22">IF($AW22="",0,IFERROR(_xlfn.SWITCH($BP22,"LY trend",$BI22*$BK22/$BJ22,"Target curve",$BI22*$BN22/$BM22,"Run rate",$BI22/$BZ$8*$BZ$9,0),0))</f>
        <v>222558.0679223703</v>
      </c>
      <c r="BP22" t="str">
        <f t="shared" si="1"/>
        <v>Target curve</v>
      </c>
      <c r="BR22" t="str">
        <v>HAWADILABN</v>
      </c>
      <c r="BX22" t="str">
        <v>Madinah</v>
      </c>
      <c r="CB22" cm="1">
        <f t="array" ref="CB22">IF($AW22="",0,_xlfn.LET(_xlpm.k,IFERROR(_xlfn.XLOOKUP($AW22,$CD$6:$CD$21,$CE$6:$CE$21),$AW22),SUMPRODUCT((TRIM('Makeup '!$A$2:$A$300&amp;"")=_xlpm.k)*1,IFERROR('Makeup '!$F$2:$F$300*1,0))))</f>
        <v>10541.13</v>
      </c>
      <c r="CF22" t="str" cm="1">
        <f t="array" ref="CF22">IF($AW22="","",_xlfn.LET(_xlpm.c,IFERROR(TRIM(INDEX('Sales and count'!$B$4:$B$300,$BF22)&amp;""),""),IF(OR(_xlpm.c="",_xlpm.c="0",LEFT(_xlpm.c,1)="#"),"Not set",_xlpm.c)))</f>
        <v>KSA</v>
      </c>
      <c r="CH22" cm="1">
        <f t="array" ref="CH22">IF($AW22="",0,_xlfn.LET(_xlpm.k,IFERROR(_xlfn.XLOOKUP($AW22,$CD$6:$CD$21,$CE$6:$CE$21),$AW22),--(SUMPRODUCT((TRIM('Makeup '!$A$2:$A$300&amp;"")=_xlpm.k)*ISNUMBER('Makeup '!$F$2:$F$300))&gt;0)))</f>
        <v>1</v>
      </c>
      <c r="CI22">
        <f t="shared" si="4"/>
        <v>170518.41999999998</v>
      </c>
      <c r="CJ22" cm="1">
        <f t="array" ref="CJ22">IF($AW22="",0,--(SUMPRODUCT(--(TRIM(Footfall!$B$5:$B$301)=$AW22))&gt;0))</f>
        <v>0</v>
      </c>
      <c r="CK22" s="8" cm="1">
        <f t="array" ref="CK22">IF($AW22="",0,_xlfn.LET(_xlpm.r,IFERROR(MATCH(IFERROR(_xlfn.XLOOKUP($AW22,$BT$5:$BT$22,$BU$5:$BU$22),$AW22),TRIM('TY Beauty Target'!$B$5:$B$300&amp;""),0),""),IF(ISNUMBER(_xlpm.r),SUMPRODUCT(('TY Beauty Target'!$L$2:$AP$2&gt;=$U$4)*('TY Beauty Target'!$L$2:$AP$2&lt;=$U$5),INDEX('TY Beauty Target'!$L$5:$AP$300,_xlpm.r,0)),0)))</f>
        <v>6528.4108624663695</v>
      </c>
    </row>
    <row r="23" spans="1:89" ht="15" customHeight="1" x14ac:dyDescent="0.25">
      <c r="A23" s="18" t="str" cm="1">
        <f t="array" ref="A23">IFERROR(INDEX(_xlfn._xlws.SORT(_xlfn.UNIQUE(_xlfn._xlws.FILTER($AN$5:$AN$302,$AP$5:$AP$302=1))),ROWS($A$18:A23)),"")</f>
        <v/>
      </c>
      <c r="B23" s="19" t="str" cm="1">
        <f t="array" ref="B23">IF($C23="","",ROWS(_xlfn.UNIQUE(_xlfn._xlws.FILTER($AO$5:$AO$302,($AP$5:$AP$302=1)*($AN$5:$AN$302=$A23)))))</f>
        <v/>
      </c>
      <c r="C23" s="19" t="str" cm="1">
        <f t="array" ref="C23">_xlfn.LET(_xlpm.n,SUMPRODUCT($AP$5:$AP$302*($AN$5:$AN$302=$A23)),IF(_xlpm.n=0,"",_xlpm.n))</f>
        <v/>
      </c>
      <c r="D23" s="20" t="str" cm="1">
        <f t="array" ref="D23">IF($C23="","",SUMPRODUCT($AP$5:$AP$302*($AN$5:$AN$302=$A23),$AR$5:$AR$302))</f>
        <v/>
      </c>
      <c r="E23" s="20" t="str" cm="1">
        <f t="array" ref="E23">IF($C23="","",SUMPRODUCT($AP$5:$AP$302*($AN$5:$AN$302=$A23),$AT$5:$AT$302))</f>
        <v/>
      </c>
      <c r="F23" s="21" t="str">
        <f t="shared" si="5"/>
        <v/>
      </c>
      <c r="G23" s="21" t="str">
        <f t="shared" si="6"/>
        <v/>
      </c>
      <c r="H23" s="20" t="str" cm="1">
        <f t="array" ref="H23">IF($C23="","",SUMPRODUCT($AP$5:$AP$302*($AN$5:$AN$302=$A23),$AV$5:$AV$302))</f>
        <v/>
      </c>
      <c r="I23" s="21" t="str">
        <f t="shared" si="7"/>
        <v/>
      </c>
      <c r="J23" s="20" t="str">
        <f t="shared" si="8"/>
        <v/>
      </c>
      <c r="K23" s="21" t="str">
        <f t="shared" si="9"/>
        <v/>
      </c>
      <c r="L23" s="20" t="str" cm="1">
        <f t="array" ref="L23">IF($C23="","",SUMPRODUCT($AP$5:$AP$302*($AN$5:$AN$302=$A23),$BN$5:$BN$302))</f>
        <v/>
      </c>
      <c r="M23" s="20" t="str" cm="1">
        <f t="array" ref="M23">IF($C23="","",SUMPRODUCT($AP$5:$AP$302*($AN$5:$AN$302=$A23),$BO$5:$BO$302))</f>
        <v/>
      </c>
      <c r="N23" s="21" t="str">
        <f t="shared" si="16"/>
        <v/>
      </c>
      <c r="O23" s="21" t="str" cm="1">
        <f t="array" ref="O23">IF($C23="","",IFERROR(M23/SUMPRODUCT($AP$5:$AP$302*($AN$5:$AN$302=$A23),$BK$5:$BK$302)-1,""))</f>
        <v/>
      </c>
      <c r="P23" s="20" t="str" cm="1">
        <f t="array" ref="P23">IF($C23="","",SUMPRODUCT($AP$5:$AP$302*($AN$5:$AN$302=$A23),$AS$5:$AS$302))</f>
        <v/>
      </c>
      <c r="Q23" s="20" t="str" cm="1">
        <f t="array" ref="Q23">IF($C23="","",SUMPRODUCT($AP$5:$AP$302*($AN$5:$AN$302=$A23),$AU$5:$AU$302))</f>
        <v/>
      </c>
      <c r="R23" s="21" t="str">
        <f t="shared" si="10"/>
        <v/>
      </c>
      <c r="S23" s="21" t="str">
        <f t="shared" si="11"/>
        <v/>
      </c>
      <c r="T23" s="22" t="str">
        <f t="shared" si="12"/>
        <v/>
      </c>
      <c r="U23" s="22" t="str">
        <f t="shared" si="13"/>
        <v/>
      </c>
      <c r="V23" s="21" t="str">
        <f t="shared" si="14"/>
        <v/>
      </c>
      <c r="W23" s="20" t="str" cm="1">
        <f t="array" ref="W23">IF($C23="","",_xlfn.LET(_xlpm.n,SUMPRODUCT($AP$5:$AP$302*($AN$5:$AN$302=$A23),$BB$5:$BB$302),IF(_xlpm.n=0,"",_xlpm.n)))</f>
        <v/>
      </c>
      <c r="X23" s="20" t="str" cm="1">
        <f t="array" ref="X23">IF(W23="","",SUMPRODUCT($AP$5:$AP$302*($AN$5:$AN$302=$A23),$BC$5:$BC$302))</f>
        <v/>
      </c>
      <c r="Y23" s="21" t="str">
        <f t="shared" si="17"/>
        <v/>
      </c>
      <c r="Z23" s="20" t="str" cm="1">
        <f t="array" ref="Z23">IF($C23="","",SUMPRODUCT($AP$5:$AP$302*($AN$5:$AN$302=$A23),$CB$5:$CB$302))</f>
        <v/>
      </c>
      <c r="AA23" s="21" t="str">
        <f t="shared" si="15"/>
        <v/>
      </c>
      <c r="AB23" s="190" t="str" cm="1">
        <f t="array" ref="AB23">IF($C23="","",SUMPRODUCT($AP$5:$AP$302*($AN$5:$AN$302=$A23),$CK$5:$CK$302))</f>
        <v/>
      </c>
      <c r="AC23" s="191" t="str">
        <f t="shared" si="18"/>
        <v/>
      </c>
      <c r="AD23" s="20" t="str" cm="1">
        <f t="array" ref="AD23">IF($C23="","",SUMPRODUCT($AP$5:$AP$302*($AN$5:$AN$302=$A23),$CI$5:$CI$302))</f>
        <v/>
      </c>
      <c r="AE23" s="37" t="str" cm="1">
        <f t="array" ref="AE23">IF($C23="","",SUMPRODUCT($AP$5:$AP$302*($AN$5:$AN$302=$A23)*$AQ$5:$AQ$302,$AR$5:$AR$302))</f>
        <v/>
      </c>
      <c r="AF23" s="37" t="str" cm="1">
        <f t="array" ref="AF23">IF($C23="","",SUMPRODUCT($AP$5:$AP$302*($AN$5:$AN$302=$A23)*$AQ$5:$AQ$302,$AS$5:$AS$302))</f>
        <v/>
      </c>
      <c r="AG23" s="35"/>
      <c r="AH23" s="35"/>
      <c r="AN23" s="8" t="str" cm="1">
        <f t="array" ref="AN23">IF($AW23="","",_xlfn.LET(_xlpm.sa,IFERROR(TRIM(INDEX('Sales and count'!$D$4:$D$300,$BF23)&amp;""),""),_xlpm.ta,IFERROR(TRIM(INDEX('TY Sales Target'!$F$5:$F$300,$BG23)&amp;""),""),IF(AND(_xlpm.sa&lt;&gt;"",LEFT(_xlpm.sa,1)&lt;&gt;"#",_xlpm.sa&lt;&gt;"0"),_xlpm.sa,IF(AND(_xlpm.ta&lt;&gt;"",LEFT(_xlpm.ta,1)&lt;&gt;"#",_xlpm.ta&lt;&gt;"0"),_xlpm.ta,IF(ISNUMBER($BG23),"Unassigned","")))))</f>
        <v>Hamzah Al Makhadam</v>
      </c>
      <c r="AO23" s="8" t="str" cm="1">
        <f t="array" ref="AO23">IF($AW23="","",_xlfn.LET(_xlpm.sa,IFERROR(TRIM(INDEX('Sales and count'!$C$4:$C$300,$BF23)&amp;""),""),_xlpm.ta,IFERROR(TRIM(INDEX('TY Sales Target'!$D$5:$D$300,$BG23)&amp;""),""),IF(AND(_xlpm.sa&lt;&gt;"",LEFT(_xlpm.sa,1)&lt;&gt;"#",_xlpm.sa&lt;&gt;"0"),_xlpm.sa,IF(AND(_xlpm.ta&lt;&gt;"",LEFT(_xlpm.ta,1)&lt;&gt;"#",_xlpm.ta&lt;&gt;"0"),_xlpm.ta,""))))</f>
        <v>Al Hasa</v>
      </c>
      <c r="AP23" s="8">
        <f t="shared" si="2"/>
        <v>0</v>
      </c>
      <c r="AQ23" s="8">
        <f t="shared" si="0"/>
        <v>1</v>
      </c>
      <c r="AR23" s="8" cm="1">
        <f t="array" ref="AR23">IF($BF23="",0,_xlfn.LET(_xlpm.d,IFERROR(--'Sales and count'!$G$2:$CC$2,0),SUMPRODUCT(('Sales and count'!$G$3:$CC$3="Total")*(_xlpm.d&gt;=$U$4)*(_xlpm.d&lt;=$U$5),INDEX('Sales and count'!$G$4:$CC$300,$BF23,0))))</f>
        <v>215548.54</v>
      </c>
      <c r="AS23" s="8" cm="1">
        <f t="array" aca="1" ref="AS23" ca="1">IF($BF23="",0,_xlfn.LET(_xlpm.d,IFERROR(--'Sales and count'!$F$2:$CB$2,0),SUMPRODUCT(('Sales and count'!$G$3:$CC$3="Transactions")*(_xlpm.d&gt;=$U$4)*(_xlpm.d&lt;=$U$5),INDEX('Sales and count'!$G$4:$CC$300,$BF23,0))))</f>
        <v>1149</v>
      </c>
      <c r="AT23" s="8" cm="1">
        <f t="array" ref="AT23">IF($AW23="",0,SUMPRODUCT((TRIM('LY Sales '!$B$5:$B$200)=$AW23)*('LY Sales '!$C$2:$AG$2&gt;=EDATE($U$4,-12))*('LY Sales '!$C$2:$AG$2&lt;=EDATE($U$5,-12)),'LY Sales '!$C$5:$AG$200))</f>
        <v>371594.74000000005</v>
      </c>
      <c r="AU23" s="8" cm="1">
        <f t="array" ref="AU23">IF($AW23="",0,SUMPRODUCT((TRIM('LY Transaction'!$B$5:$B$200)=$AW23)*('LY Transaction'!$C$2:$AG$2&gt;=EDATE($U$4,-12))*('LY Transaction'!$C$2:$AG$2&lt;=EDATE($U$5,-12)),'LY Transaction'!$C$5:$AG$200))</f>
        <v>1985</v>
      </c>
      <c r="AV23" s="8" cm="1">
        <f t="array" ref="AV23">IF(NOT(ISNUMBER($BG23)),0,SUMPRODUCT(('TY Sales Target'!$K$2:$AO$2&gt;=$U$4)*('TY Sales Target'!$K$2:$AO$2&lt;=$U$5),INDEX('TY Sales Target'!$K$5:$AO$300,$BG23,0)))</f>
        <v>291146.48686922283</v>
      </c>
      <c r="AW23" s="8" t="str" cm="1">
        <f t="array" ref="AW23">IFERROR(INDEX(_xlfn.ANCHORARRAY($BR$5),ROWS($AW$5:AW23)),"")</f>
        <v>ALBUSTAN</v>
      </c>
      <c r="AY23" s="132">
        <v>46313</v>
      </c>
      <c r="AZ23" s="132"/>
      <c r="BB23" cm="1">
        <f t="array" ref="BB23">IF($AW23="",0,SUMPRODUCT((TRIM(Footfall!$B$5:$B$301)=$AW23)*(Footfall!$C$1:$BZ$1&gt;=$U$4)*(Footfall!$C$2:$BZ$2&lt;=$U$5)*(Footfall!$C$1:$BZ$1&lt;&gt;""),Footfall!$C$5:$BZ$301))</f>
        <v>4110</v>
      </c>
      <c r="BC23" cm="1">
        <f t="array" aca="1" ref="BC23" ca="1">IF(OR($BB23&lt;=0,$BD$1="",$BF23=""),0,_xlfn.LET(_xlpm.d,IFERROR(--'Sales and count'!$F$2:$CB$2,0),SUMPRODUCT(('Sales and count'!$G$3:$CC$3="Transactions")*(_xlpm.d&gt;=$BD$1)*(_xlpm.d&lt;=$BD$2),INDEX('Sales and count'!$G$4:$CC$300,$BF23,0))))</f>
        <v>1149</v>
      </c>
      <c r="BF23" cm="1">
        <f t="array" ref="BF23">IF($AW23="","",IFERROR(MATCH($AW23,TRIM('Sales and count'!$A$4:$A$300&amp;""),0),""))</f>
        <v>19</v>
      </c>
      <c r="BG23" cm="1">
        <f t="array" ref="BG23">IF($AW23="","",IFERROR(MATCH(IFERROR(_xlfn.XLOOKUP($AW23,$BT$5:$BT$22,$BU$5:$BU$22),$AW23),TRIM('TY Sales Target'!$B$5:$B$300&amp;""),0),""))</f>
        <v>19</v>
      </c>
      <c r="BH23" t="str" cm="1">
        <f t="array" ref="BH23">IF(ISNUMBER($BG23),_xlfn.LET(_xlpm.p,TRIM(INDEX('TY Sales Target'!$I$5:$I$300,$BG23)&amp;""),IF(_xlpm.p="","Not set",_xlpm.p)),"Not set")</f>
        <v>Smart Phone</v>
      </c>
      <c r="BI23" cm="1">
        <f t="array" ref="BI23">IF($BF23="",0,_xlfn.LET(_xlpm.d,IFERROR(--'Sales and count'!$G$2:$CC$2,0),SUMPRODUCT(('Sales and count'!$G$3:$CC$3="Total")*(_xlpm.d&gt;=$BZ$5)*(_xlpm.d&lt;=$BZ$6),INDEX('Sales and count'!$G$4:$CC$300,$BF23,0))))</f>
        <v>215548.54</v>
      </c>
      <c r="BJ23" cm="1">
        <f t="array" ref="BJ23">IF($AW23="",0,SUMPRODUCT((TRIM('LY Sales '!$B$5:$B$200)=$AW23)*('LY Sales '!$C$2:$AG$2&gt;=EDATE($BZ$5,-12))*('LY Sales '!$C$2:$AG$2&lt;=EDATE($BZ$6,-12)),'LY Sales '!$C$5:$AG$200))</f>
        <v>371594.74000000005</v>
      </c>
      <c r="BK23" cm="1">
        <f t="array" ref="BK23">IF($AW23="",0,SUMPRODUCT((TRIM('LY Sales '!$B$5:$B$200)=$AW23)*('LY Sales '!$C$2:$AG$2&gt;=EDATE($BZ$5,-12))*('LY Sales '!$C$2:$AG$2&lt;=EDATE($BZ$7,-12)),'LY Sales '!$C$5:$AG$200))</f>
        <v>481550.44000000012</v>
      </c>
      <c r="BL23" cm="1">
        <f t="array" ref="BL23">IF($AW23="",0,SUMPRODUCT((TRIM('LY Sales '!$B$5:$B$200)=$AW23)*('LY Sales '!$C$2:$AG$2&gt;=EDATE($BZ$5,-12))*('LY Sales '!$C$2:$AG$2&lt;=EDATE($BZ$6,-12))*('LY Sales '!$C$5:$AG$200&gt;0)))</f>
        <v>26</v>
      </c>
      <c r="BM23" cm="1">
        <f t="array" ref="BM23">IF(NOT(ISNUMBER($BG23)),0,SUMPRODUCT(('TY Sales Target'!$K$2:$AO$2&gt;=$BZ$5)*('TY Sales Target'!$K$2:$AO$2&lt;=$BZ$6),INDEX('TY Sales Target'!$K$5:$AO$300,$BG23,0)))</f>
        <v>291146.48686922283</v>
      </c>
      <c r="BN23" cm="1">
        <f t="array" ref="BN23">IF(NOT(ISNUMBER($BG23)),0,SUMPRODUCT(('TY Sales Target'!$K$2:$AO$2&gt;=$BZ$5)*('TY Sales Target'!$K$2:$AO$2&lt;=$BZ$7),INDEX('TY Sales Target'!$K$5:$AO$300,$BG23,0)))</f>
        <v>380000</v>
      </c>
      <c r="BO23" cm="1">
        <f t="array" ref="BO23">IF($AW23="",0,IFERROR(_xlfn.SWITCH($BP23,"LY trend",$BI23*$BK23/$BJ23,"Target curve",$BI23*$BN23/$BM23,"Run rate",$BI23/$BZ$8*$BZ$9,0),0))</f>
        <v>279329.8265695516</v>
      </c>
      <c r="BP23" t="str">
        <f t="shared" si="1"/>
        <v>LY trend</v>
      </c>
      <c r="BR23" t="str">
        <v>ALBUSTAN</v>
      </c>
      <c r="BX23" t="str">
        <v>Makkah</v>
      </c>
      <c r="CB23" cm="1">
        <f t="array" ref="CB23">IF($AW23="",0,_xlfn.LET(_xlpm.k,IFERROR(_xlfn.XLOOKUP($AW23,$CD$6:$CD$21,$CE$6:$CE$21),$AW23),SUMPRODUCT((TRIM('Makeup '!$A$2:$A$300&amp;"")=_xlpm.k)*1,IFERROR('Makeup '!$F$2:$F$300*1,0))))</f>
        <v>13452.65</v>
      </c>
      <c r="CF23" t="str" cm="1">
        <f t="array" ref="CF23">IF($AW23="","",_xlfn.LET(_xlpm.c,IFERROR(TRIM(INDEX('Sales and count'!$B$4:$B$300,$BF23)&amp;""),""),IF(OR(_xlpm.c="",_xlpm.c="0",LEFT(_xlpm.c,1)="#"),"Not set",_xlpm.c)))</f>
        <v>KSA</v>
      </c>
      <c r="CH23" cm="1">
        <f t="array" ref="CH23">IF($AW23="",0,_xlfn.LET(_xlpm.k,IFERROR(_xlfn.XLOOKUP($AW23,$CD$6:$CD$21,$CE$6:$CE$21),$AW23),--(SUMPRODUCT((TRIM('Makeup '!$A$2:$A$300&amp;"")=_xlpm.k)*ISNUMBER('Makeup '!$F$2:$F$300))&gt;0)))</f>
        <v>1</v>
      </c>
      <c r="CI23">
        <f t="shared" si="4"/>
        <v>215548.54</v>
      </c>
      <c r="CJ23" cm="1">
        <f t="array" ref="CJ23">IF($AW23="",0,--(SUMPRODUCT(--(TRIM(Footfall!$B$5:$B$301)=$AW23))&gt;0))</f>
        <v>1</v>
      </c>
      <c r="CK23" s="8" cm="1">
        <f t="array" ref="CK23">IF($AW23="",0,_xlfn.LET(_xlpm.r,IFERROR(MATCH(IFERROR(_xlfn.XLOOKUP($AW23,$BT$5:$BT$22,$BU$5:$BU$22),$AW23),TRIM('TY Beauty Target'!$B$5:$B$300&amp;""),0),""),IF(ISNUMBER(_xlpm.r),SUMPRODUCT(('TY Beauty Target'!$L$2:$AP$2&gt;=$U$4)*('TY Beauty Target'!$L$2:$AP$2&lt;=$U$5),INDEX('TY Beauty Target'!$L$5:$AP$300,_xlpm.r,0)),0)))</f>
        <v>11073.845886916633</v>
      </c>
    </row>
    <row r="24" spans="1:89" ht="15" customHeight="1" x14ac:dyDescent="0.25">
      <c r="A24" s="18" t="str" cm="1">
        <f t="array" ref="A24">IFERROR(INDEX(_xlfn._xlws.SORT(_xlfn.UNIQUE(_xlfn._xlws.FILTER($AN$5:$AN$302,$AP$5:$AP$302=1))),ROWS($A$18:A24)),"")</f>
        <v/>
      </c>
      <c r="B24" s="19" t="str" cm="1">
        <f t="array" ref="B24">IF($C24="","",ROWS(_xlfn.UNIQUE(_xlfn._xlws.FILTER($AO$5:$AO$302,($AP$5:$AP$302=1)*($AN$5:$AN$302=$A24)))))</f>
        <v/>
      </c>
      <c r="C24" s="19" t="str" cm="1">
        <f t="array" ref="C24">_xlfn.LET(_xlpm.n,SUMPRODUCT($AP$5:$AP$302*($AN$5:$AN$302=$A24)),IF(_xlpm.n=0,"",_xlpm.n))</f>
        <v/>
      </c>
      <c r="D24" s="20" t="str" cm="1">
        <f t="array" ref="D24">IF($C24="","",SUMPRODUCT($AP$5:$AP$302*($AN$5:$AN$302=$A24),$AR$5:$AR$302))</f>
        <v/>
      </c>
      <c r="E24" s="20" t="str" cm="1">
        <f t="array" ref="E24">IF($C24="","",SUMPRODUCT($AP$5:$AP$302*($AN$5:$AN$302=$A24),$AT$5:$AT$302))</f>
        <v/>
      </c>
      <c r="F24" s="21" t="str">
        <f t="shared" si="5"/>
        <v/>
      </c>
      <c r="G24" s="21" t="str">
        <f t="shared" si="6"/>
        <v/>
      </c>
      <c r="H24" s="20" t="str" cm="1">
        <f t="array" ref="H24">IF($C24="","",SUMPRODUCT($AP$5:$AP$302*($AN$5:$AN$302=$A24),$AV$5:$AV$302))</f>
        <v/>
      </c>
      <c r="I24" s="21" t="str">
        <f t="shared" si="7"/>
        <v/>
      </c>
      <c r="J24" s="20" t="str">
        <f t="shared" si="8"/>
        <v/>
      </c>
      <c r="K24" s="21" t="str">
        <f t="shared" si="9"/>
        <v/>
      </c>
      <c r="L24" s="20" t="str" cm="1">
        <f t="array" ref="L24">IF($C24="","",SUMPRODUCT($AP$5:$AP$302*($AN$5:$AN$302=$A24),$BN$5:$BN$302))</f>
        <v/>
      </c>
      <c r="M24" s="20" t="str" cm="1">
        <f t="array" ref="M24">IF($C24="","",SUMPRODUCT($AP$5:$AP$302*($AN$5:$AN$302=$A24),$BO$5:$BO$302))</f>
        <v/>
      </c>
      <c r="N24" s="21" t="str">
        <f t="shared" si="16"/>
        <v/>
      </c>
      <c r="O24" s="21" t="str" cm="1">
        <f t="array" ref="O24">IF($C24="","",IFERROR(M24/SUMPRODUCT($AP$5:$AP$302*($AN$5:$AN$302=$A24),$BK$5:$BK$302)-1,""))</f>
        <v/>
      </c>
      <c r="P24" s="20" t="str" cm="1">
        <f t="array" ref="P24">IF($C24="","",SUMPRODUCT($AP$5:$AP$302*($AN$5:$AN$302=$A24),$AS$5:$AS$302))</f>
        <v/>
      </c>
      <c r="Q24" s="20" t="str" cm="1">
        <f t="array" ref="Q24">IF($C24="","",SUMPRODUCT($AP$5:$AP$302*($AN$5:$AN$302=$A24),$AU$5:$AU$302))</f>
        <v/>
      </c>
      <c r="R24" s="21" t="str">
        <f t="shared" si="10"/>
        <v/>
      </c>
      <c r="S24" s="21" t="str">
        <f t="shared" si="11"/>
        <v/>
      </c>
      <c r="T24" s="22" t="str">
        <f t="shared" si="12"/>
        <v/>
      </c>
      <c r="U24" s="22" t="str">
        <f t="shared" si="13"/>
        <v/>
      </c>
      <c r="V24" s="21" t="str">
        <f t="shared" si="14"/>
        <v/>
      </c>
      <c r="W24" s="20" t="str" cm="1">
        <f t="array" ref="W24">IF($C24="","",_xlfn.LET(_xlpm.n,SUMPRODUCT($AP$5:$AP$302*($AN$5:$AN$302=$A24),$BB$5:$BB$302),IF(_xlpm.n=0,"",_xlpm.n)))</f>
        <v/>
      </c>
      <c r="X24" s="20" t="str" cm="1">
        <f t="array" ref="X24">IF(W24="","",SUMPRODUCT($AP$5:$AP$302*($AN$5:$AN$302=$A24),$BC$5:$BC$302))</f>
        <v/>
      </c>
      <c r="Y24" s="21" t="str">
        <f t="shared" si="17"/>
        <v/>
      </c>
      <c r="Z24" s="20" t="str" cm="1">
        <f t="array" ref="Z24">IF($C24="","",SUMPRODUCT($AP$5:$AP$302*($AN$5:$AN$302=$A24),$CB$5:$CB$302))</f>
        <v/>
      </c>
      <c r="AA24" s="21" t="str">
        <f t="shared" si="15"/>
        <v/>
      </c>
      <c r="AB24" s="190" t="str" cm="1">
        <f t="array" ref="AB24">IF($C24="","",SUMPRODUCT($AP$5:$AP$302*($AN$5:$AN$302=$A24),$CK$5:$CK$302))</f>
        <v/>
      </c>
      <c r="AC24" s="191" t="str">
        <f t="shared" si="18"/>
        <v/>
      </c>
      <c r="AD24" s="20" t="str" cm="1">
        <f t="array" ref="AD24">IF($C24="","",SUMPRODUCT($AP$5:$AP$302*($AN$5:$AN$302=$A24),$CI$5:$CI$302))</f>
        <v/>
      </c>
      <c r="AE24" s="37" t="str" cm="1">
        <f t="array" ref="AE24">IF($C24="","",SUMPRODUCT($AP$5:$AP$302*($AN$5:$AN$302=$A24)*$AQ$5:$AQ$302,$AR$5:$AR$302))</f>
        <v/>
      </c>
      <c r="AF24" s="37" t="str" cm="1">
        <f t="array" ref="AF24">IF($C24="","",SUMPRODUCT($AP$5:$AP$302*($AN$5:$AN$302=$A24)*$AQ$5:$AQ$302,$AS$5:$AS$302))</f>
        <v/>
      </c>
      <c r="AG24" s="35"/>
      <c r="AH24" s="35"/>
      <c r="AN24" s="8" t="str" cm="1">
        <f t="array" ref="AN24">IF($AW24="","",_xlfn.LET(_xlpm.sa,IFERROR(TRIM(INDEX('Sales and count'!$D$4:$D$300,$BF24)&amp;""),""),_xlpm.ta,IFERROR(TRIM(INDEX('TY Sales Target'!$F$5:$F$300,$BG24)&amp;""),""),IF(AND(_xlpm.sa&lt;&gt;"",LEFT(_xlpm.sa,1)&lt;&gt;"#",_xlpm.sa&lt;&gt;"0"),_xlpm.sa,IF(AND(_xlpm.ta&lt;&gt;"",LEFT(_xlpm.ta,1)&lt;&gt;"#",_xlpm.ta&lt;&gt;"0"),_xlpm.ta,IF(ISNUMBER($BG24),"Unassigned","")))))</f>
        <v/>
      </c>
      <c r="AO24" s="8" t="str" cm="1">
        <f t="array" ref="AO24">IF($AW24="","",_xlfn.LET(_xlpm.sa,IFERROR(TRIM(INDEX('Sales and count'!$C$4:$C$300,$BF24)&amp;""),""),_xlpm.ta,IFERROR(TRIM(INDEX('TY Sales Target'!$D$5:$D$300,$BG24)&amp;""),""),IF(AND(_xlpm.sa&lt;&gt;"",LEFT(_xlpm.sa,1)&lt;&gt;"#",_xlpm.sa&lt;&gt;"0"),_xlpm.sa,IF(AND(_xlpm.ta&lt;&gt;"",LEFT(_xlpm.ta,1)&lt;&gt;"#",_xlpm.ta&lt;&gt;"0"),_xlpm.ta,""))))</f>
        <v>Abu Dhabi</v>
      </c>
      <c r="AP24" s="8">
        <f t="shared" si="2"/>
        <v>0</v>
      </c>
      <c r="AQ24" s="8">
        <f t="shared" si="0"/>
        <v>0</v>
      </c>
      <c r="AR24" s="8" cm="1">
        <f t="array" ref="AR24">IF($BF24="",0,_xlfn.LET(_xlpm.d,IFERROR(--'Sales and count'!$G$2:$CC$2,0),SUMPRODUCT(('Sales and count'!$G$3:$CC$3="Total")*(_xlpm.d&gt;=$U$4)*(_xlpm.d&lt;=$U$5),INDEX('Sales and count'!$G$4:$CC$300,$BF24,0))))</f>
        <v>973052.61</v>
      </c>
      <c r="AS24" s="8" cm="1">
        <f t="array" aca="1" ref="AS24" ca="1">IF($BF24="",0,_xlfn.LET(_xlpm.d,IFERROR(--'Sales and count'!$F$2:$CB$2,0),SUMPRODUCT(('Sales and count'!$G$3:$CC$3="Transactions")*(_xlpm.d&gt;=$U$4)*(_xlpm.d&lt;=$U$5),INDEX('Sales and count'!$G$4:$CC$300,$BF24,0))))</f>
        <v>3316</v>
      </c>
      <c r="AT24" s="8" cm="1">
        <f t="array" ref="AT24">IF($AW24="",0,SUMPRODUCT((TRIM('LY Sales '!$B$5:$B$200)=$AW24)*('LY Sales '!$C$2:$AG$2&gt;=EDATE($U$4,-12))*('LY Sales '!$C$2:$AG$2&lt;=EDATE($U$5,-12)),'LY Sales '!$C$5:$AG$200))</f>
        <v>0</v>
      </c>
      <c r="AU24" s="8" cm="1">
        <f t="array" ref="AU24">IF($AW24="",0,SUMPRODUCT((TRIM('LY Transaction'!$B$5:$B$200)=$AW24)*('LY Transaction'!$C$2:$AG$2&gt;=EDATE($U$4,-12))*('LY Transaction'!$C$2:$AG$2&lt;=EDATE($U$5,-12)),'LY Transaction'!$C$5:$AG$200))</f>
        <v>0</v>
      </c>
      <c r="AV24" s="8" cm="1">
        <f t="array" ref="AV24">IF(NOT(ISNUMBER($BG24)),0,SUMPRODUCT(('TY Sales Target'!$K$2:$AO$2&gt;=$U$4)*('TY Sales Target'!$K$2:$AO$2&lt;=$U$5),INDEX('TY Sales Target'!$K$5:$AO$300,$BG24,0)))</f>
        <v>0</v>
      </c>
      <c r="AW24" s="8" t="str" cm="1">
        <f t="array" ref="AW24">IFERROR(INDEX(_xlfn.ANCHORARRAY($BR$5),ROWS($AW$5:AW24)),"")</f>
        <v>Dubai</v>
      </c>
      <c r="AY24" s="132">
        <v>46314</v>
      </c>
      <c r="AZ24" s="132"/>
      <c r="BB24" cm="1">
        <f t="array" ref="BB24">IF($AW24="",0,SUMPRODUCT((TRIM(Footfall!$B$5:$B$301)=$AW24)*(Footfall!$C$1:$BZ$1&gt;=$U$4)*(Footfall!$C$2:$BZ$2&lt;=$U$5)*(Footfall!$C$1:$BZ$1&lt;&gt;""),Footfall!$C$5:$BZ$301))</f>
        <v>0</v>
      </c>
      <c r="BC24" cm="1">
        <f t="array" ref="BC24">IF(OR($BB24&lt;=0,$BD$1="",$BF24=""),0,_xlfn.LET(_xlpm.d,IFERROR(--'Sales and count'!$F$2:$CB$2,0),SUMPRODUCT(('Sales and count'!$G$3:$CC$3="Transactions")*(_xlpm.d&gt;=$BD$1)*(_xlpm.d&lt;=$BD$2),INDEX('Sales and count'!$G$4:$CC$300,$BF24,0))))</f>
        <v>0</v>
      </c>
      <c r="BF24" cm="1">
        <f t="array" ref="BF24">IF($AW24="","",IFERROR(MATCH($AW24,TRIM('Sales and count'!$A$4:$A$300&amp;""),0),""))</f>
        <v>20</v>
      </c>
      <c r="BG24" t="str" cm="1">
        <f t="array" ref="BG24">IF($AW24="","",IFERROR(MATCH(IFERROR(_xlfn.XLOOKUP($AW24,$BT$5:$BT$22,$BU$5:$BU$22),$AW24),TRIM('TY Sales Target'!$B$5:$B$300&amp;""),0),""))</f>
        <v/>
      </c>
      <c r="BH24" t="str" cm="1">
        <f t="array" ref="BH24">IF(ISNUMBER($BG24),_xlfn.LET(_xlpm.p,TRIM(INDEX('TY Sales Target'!$I$5:$I$300,$BG24)&amp;""),IF(_xlpm.p="","Not set",_xlpm.p)),"Not set")</f>
        <v>Not set</v>
      </c>
      <c r="BI24" cm="1">
        <f t="array" ref="BI24">IF($BF24="",0,_xlfn.LET(_xlpm.d,IFERROR(--'Sales and count'!$G$2:$CC$2,0),SUMPRODUCT(('Sales and count'!$G$3:$CC$3="Total")*(_xlpm.d&gt;=$BZ$5)*(_xlpm.d&lt;=$BZ$6),INDEX('Sales and count'!$G$4:$CC$300,$BF24,0))))</f>
        <v>973052.61</v>
      </c>
      <c r="BJ24" cm="1">
        <f t="array" ref="BJ24">IF($AW24="",0,SUMPRODUCT((TRIM('LY Sales '!$B$5:$B$200)=$AW24)*('LY Sales '!$C$2:$AG$2&gt;=EDATE($BZ$5,-12))*('LY Sales '!$C$2:$AG$2&lt;=EDATE($BZ$6,-12)),'LY Sales '!$C$5:$AG$200))</f>
        <v>0</v>
      </c>
      <c r="BK24" cm="1">
        <f t="array" ref="BK24">IF($AW24="",0,SUMPRODUCT((TRIM('LY Sales '!$B$5:$B$200)=$AW24)*('LY Sales '!$C$2:$AG$2&gt;=EDATE($BZ$5,-12))*('LY Sales '!$C$2:$AG$2&lt;=EDATE($BZ$7,-12)),'LY Sales '!$C$5:$AG$200))</f>
        <v>0</v>
      </c>
      <c r="BL24" cm="1">
        <f t="array" ref="BL24">IF($AW24="",0,SUMPRODUCT((TRIM('LY Sales '!$B$5:$B$200)=$AW24)*('LY Sales '!$C$2:$AG$2&gt;=EDATE($BZ$5,-12))*('LY Sales '!$C$2:$AG$2&lt;=EDATE($BZ$6,-12))*('LY Sales '!$C$5:$AG$200&gt;0)))</f>
        <v>0</v>
      </c>
      <c r="BM24" cm="1">
        <f t="array" ref="BM24">IF(NOT(ISNUMBER($BG24)),0,SUMPRODUCT(('TY Sales Target'!$K$2:$AO$2&gt;=$BZ$5)*('TY Sales Target'!$K$2:$AO$2&lt;=$BZ$6),INDEX('TY Sales Target'!$K$5:$AO$300,$BG24,0)))</f>
        <v>0</v>
      </c>
      <c r="BN24" cm="1">
        <f t="array" ref="BN24">IF(NOT(ISNUMBER($BG24)),0,SUMPRODUCT(('TY Sales Target'!$K$2:$AO$2&gt;=$BZ$5)*('TY Sales Target'!$K$2:$AO$2&lt;=$BZ$7),INDEX('TY Sales Target'!$K$5:$AO$300,$BG24,0)))</f>
        <v>0</v>
      </c>
      <c r="BO24" cm="1">
        <f t="array" ref="BO24">IF($AW24="",0,IFERROR(_xlfn.SWITCH($BP24,"LY trend",$BI24*$BK24/$BJ24,"Target curve",$BI24*$BN24/$BM24,"Run rate",$BI24/$BZ$8*$BZ$9,0),0))</f>
        <v>1160178.1119230769</v>
      </c>
      <c r="BP24" t="str">
        <f t="shared" si="1"/>
        <v>Run rate</v>
      </c>
      <c r="BR24" t="str">
        <v>Dubai</v>
      </c>
      <c r="BX24" t="str">
        <v>Muthnab</v>
      </c>
      <c r="CB24" cm="1">
        <f t="array" ref="CB24">IF($AW24="",0,_xlfn.LET(_xlpm.k,IFERROR(_xlfn.XLOOKUP($AW24,$CD$6:$CD$21,$CE$6:$CE$21),$AW24),SUMPRODUCT((TRIM('Makeup '!$A$2:$A$300&amp;"")=_xlpm.k)*1,IFERROR('Makeup '!$F$2:$F$300*1,0))))</f>
        <v>0</v>
      </c>
      <c r="CF24" t="str" cm="1">
        <f t="array" ref="CF24">IF($AW24="","",_xlfn.LET(_xlpm.c,IFERROR(TRIM(INDEX('Sales and count'!$B$4:$B$300,$BF24)&amp;""),""),IF(OR(_xlpm.c="",_xlpm.c="0",LEFT(_xlpm.c,1)="#"),"Not set",_xlpm.c)))</f>
        <v>UAE</v>
      </c>
      <c r="CH24" cm="1">
        <f t="array" ref="CH24">IF($AW24="",0,_xlfn.LET(_xlpm.k,IFERROR(_xlfn.XLOOKUP($AW24,$CD$6:$CD$21,$CE$6:$CE$21),$AW24),--(SUMPRODUCT((TRIM('Makeup '!$A$2:$A$300&amp;"")=_xlpm.k)*ISNUMBER('Makeup '!$F$2:$F$300))&gt;0)))</f>
        <v>0</v>
      </c>
      <c r="CI24">
        <f t="shared" si="4"/>
        <v>0</v>
      </c>
      <c r="CJ24" cm="1">
        <f t="array" ref="CJ24">IF($AW24="",0,--(SUMPRODUCT(--(TRIM(Footfall!$B$5:$B$301)=$AW24))&gt;0))</f>
        <v>0</v>
      </c>
      <c r="CK24" s="8" cm="1">
        <f t="array" ref="CK24">IF($AW24="",0,_xlfn.LET(_xlpm.r,IFERROR(MATCH(IFERROR(_xlfn.XLOOKUP($AW24,$BT$5:$BT$22,$BU$5:$BU$22),$AW24),TRIM('TY Beauty Target'!$B$5:$B$300&amp;""),0),""),IF(ISNUMBER(_xlpm.r),SUMPRODUCT(('TY Beauty Target'!$L$2:$AP$2&gt;=$U$4)*('TY Beauty Target'!$L$2:$AP$2&lt;=$U$5),INDEX('TY Beauty Target'!$L$5:$AP$300,_xlpm.r,0)),0)))</f>
        <v>0</v>
      </c>
    </row>
    <row r="25" spans="1:89" ht="15" customHeight="1" x14ac:dyDescent="0.25">
      <c r="A25" s="18" t="str" cm="1">
        <f t="array" ref="A25">IFERROR(INDEX(_xlfn._xlws.SORT(_xlfn.UNIQUE(_xlfn._xlws.FILTER($AN$5:$AN$302,$AP$5:$AP$302=1))),ROWS($A$18:A25)),"")</f>
        <v/>
      </c>
      <c r="B25" s="19" t="str" cm="1">
        <f t="array" ref="B25">IF($C25="","",ROWS(_xlfn.UNIQUE(_xlfn._xlws.FILTER($AO$5:$AO$302,($AP$5:$AP$302=1)*($AN$5:$AN$302=$A25)))))</f>
        <v/>
      </c>
      <c r="C25" s="19" t="str" cm="1">
        <f t="array" ref="C25">_xlfn.LET(_xlpm.n,SUMPRODUCT($AP$5:$AP$302*($AN$5:$AN$302=$A25)),IF(_xlpm.n=0,"",_xlpm.n))</f>
        <v/>
      </c>
      <c r="D25" s="20" t="str" cm="1">
        <f t="array" ref="D25">IF($C25="","",SUMPRODUCT($AP$5:$AP$302*($AN$5:$AN$302=$A25),$AR$5:$AR$302))</f>
        <v/>
      </c>
      <c r="E25" s="20" t="str" cm="1">
        <f t="array" ref="E25">IF($C25="","",SUMPRODUCT($AP$5:$AP$302*($AN$5:$AN$302=$A25),$AT$5:$AT$302))</f>
        <v/>
      </c>
      <c r="F25" s="21" t="str">
        <f t="shared" si="5"/>
        <v/>
      </c>
      <c r="G25" s="21" t="str">
        <f t="shared" si="6"/>
        <v/>
      </c>
      <c r="H25" s="20" t="str" cm="1">
        <f t="array" ref="H25">IF($C25="","",SUMPRODUCT($AP$5:$AP$302*($AN$5:$AN$302=$A25),$AV$5:$AV$302))</f>
        <v/>
      </c>
      <c r="I25" s="21" t="str">
        <f t="shared" si="7"/>
        <v/>
      </c>
      <c r="J25" s="20" t="str">
        <f t="shared" si="8"/>
        <v/>
      </c>
      <c r="K25" s="21" t="str">
        <f t="shared" si="9"/>
        <v/>
      </c>
      <c r="L25" s="20" t="str" cm="1">
        <f t="array" ref="L25">IF($C25="","",SUMPRODUCT($AP$5:$AP$302*($AN$5:$AN$302=$A25),$BN$5:$BN$302))</f>
        <v/>
      </c>
      <c r="M25" s="20" t="str" cm="1">
        <f t="array" ref="M25">IF($C25="","",SUMPRODUCT($AP$5:$AP$302*($AN$5:$AN$302=$A25),$BO$5:$BO$302))</f>
        <v/>
      </c>
      <c r="N25" s="21" t="str">
        <f t="shared" si="16"/>
        <v/>
      </c>
      <c r="O25" s="21" t="str" cm="1">
        <f t="array" ref="O25">IF($C25="","",IFERROR(M25/SUMPRODUCT($AP$5:$AP$302*($AN$5:$AN$302=$A25),$BK$5:$BK$302)-1,""))</f>
        <v/>
      </c>
      <c r="P25" s="20" t="str" cm="1">
        <f t="array" ref="P25">IF($C25="","",SUMPRODUCT($AP$5:$AP$302*($AN$5:$AN$302=$A25),$AS$5:$AS$302))</f>
        <v/>
      </c>
      <c r="Q25" s="20" t="str" cm="1">
        <f t="array" ref="Q25">IF($C25="","",SUMPRODUCT($AP$5:$AP$302*($AN$5:$AN$302=$A25),$AU$5:$AU$302))</f>
        <v/>
      </c>
      <c r="R25" s="21" t="str">
        <f t="shared" si="10"/>
        <v/>
      </c>
      <c r="S25" s="21" t="str">
        <f t="shared" si="11"/>
        <v/>
      </c>
      <c r="T25" s="22" t="str">
        <f t="shared" si="12"/>
        <v/>
      </c>
      <c r="U25" s="22" t="str">
        <f t="shared" si="13"/>
        <v/>
      </c>
      <c r="V25" s="21" t="str">
        <f t="shared" si="14"/>
        <v/>
      </c>
      <c r="W25" s="20" t="str" cm="1">
        <f t="array" ref="W25">IF($C25="","",_xlfn.LET(_xlpm.n,SUMPRODUCT($AP$5:$AP$302*($AN$5:$AN$302=$A25),$BB$5:$BB$302),IF(_xlpm.n=0,"",_xlpm.n)))</f>
        <v/>
      </c>
      <c r="X25" s="20" t="str" cm="1">
        <f t="array" ref="X25">IF(W25="","",SUMPRODUCT($AP$5:$AP$302*($AN$5:$AN$302=$A25),$BC$5:$BC$302))</f>
        <v/>
      </c>
      <c r="Y25" s="21" t="str">
        <f t="shared" si="17"/>
        <v/>
      </c>
      <c r="Z25" s="20" t="str" cm="1">
        <f t="array" ref="Z25">IF($C25="","",SUMPRODUCT($AP$5:$AP$302*($AN$5:$AN$302=$A25),$CB$5:$CB$302))</f>
        <v/>
      </c>
      <c r="AA25" s="21" t="str">
        <f t="shared" si="15"/>
        <v/>
      </c>
      <c r="AB25" s="190" t="str" cm="1">
        <f t="array" ref="AB25">IF($C25="","",SUMPRODUCT($AP$5:$AP$302*($AN$5:$AN$302=$A25),$CK$5:$CK$302))</f>
        <v/>
      </c>
      <c r="AC25" s="191" t="str">
        <f t="shared" si="18"/>
        <v/>
      </c>
      <c r="AD25" s="20" t="str" cm="1">
        <f t="array" ref="AD25">IF($C25="","",SUMPRODUCT($AP$5:$AP$302*($AN$5:$AN$302=$A25),$CI$5:$CI$302))</f>
        <v/>
      </c>
      <c r="AE25" s="37" t="str" cm="1">
        <f t="array" ref="AE25">IF($C25="","",SUMPRODUCT($AP$5:$AP$302*($AN$5:$AN$302=$A25)*$AQ$5:$AQ$302,$AR$5:$AR$302))</f>
        <v/>
      </c>
      <c r="AF25" s="37" t="str" cm="1">
        <f t="array" ref="AF25">IF($C25="","",SUMPRODUCT($AP$5:$AP$302*($AN$5:$AN$302=$A25)*$AQ$5:$AQ$302,$AS$5:$AS$302))</f>
        <v/>
      </c>
      <c r="AG25" s="35"/>
      <c r="AH25" s="35"/>
      <c r="AN25" s="8" t="str" cm="1">
        <f t="array" ref="AN25">IF($AW25="","",_xlfn.LET(_xlpm.sa,IFERROR(TRIM(INDEX('Sales and count'!$D$4:$D$300,$BF25)&amp;""),""),_xlpm.ta,IFERROR(TRIM(INDEX('TY Sales Target'!$F$5:$F$300,$BG25)&amp;""),""),IF(AND(_xlpm.sa&lt;&gt;"",LEFT(_xlpm.sa,1)&lt;&gt;"#",_xlpm.sa&lt;&gt;"0"),_xlpm.sa,IF(AND(_xlpm.ta&lt;&gt;"",LEFT(_xlpm.ta,1)&lt;&gt;"#",_xlpm.ta&lt;&gt;"0"),_xlpm.ta,IF(ISNUMBER($BG25),"Unassigned","")))))</f>
        <v>Mohammed Sanad</v>
      </c>
      <c r="AO25" s="8" t="str" cm="1">
        <f t="array" ref="AO25">IF($AW25="","",_xlfn.LET(_xlpm.sa,IFERROR(TRIM(INDEX('Sales and count'!$C$4:$C$300,$BF25)&amp;""),""),_xlpm.ta,IFERROR(TRIM(INDEX('TY Sales Target'!$D$5:$D$300,$BG25)&amp;""),""),IF(AND(_xlpm.sa&lt;&gt;"",LEFT(_xlpm.sa,1)&lt;&gt;"#",_xlpm.sa&lt;&gt;"0"),_xlpm.sa,IF(AND(_xlpm.ta&lt;&gt;"",LEFT(_xlpm.ta,1)&lt;&gt;"#",_xlpm.ta&lt;&gt;"0"),_xlpm.ta,""))))</f>
        <v>Riyadh</v>
      </c>
      <c r="AP25" s="8">
        <f t="shared" si="2"/>
        <v>0</v>
      </c>
      <c r="AQ25" s="8">
        <f t="shared" si="0"/>
        <v>0</v>
      </c>
      <c r="AR25" s="8" cm="1">
        <f t="array" ref="AR25">IF($BF25="",0,_xlfn.LET(_xlpm.d,IFERROR(--'Sales and count'!$G$2:$CC$2,0),SUMPRODUCT(('Sales and count'!$G$3:$CC$3="Total")*(_xlpm.d&gt;=$U$4)*(_xlpm.d&lt;=$U$5),INDEX('Sales and count'!$G$4:$CC$300,$BF25,0))))</f>
        <v>120526.63</v>
      </c>
      <c r="AS25" s="8" cm="1">
        <f t="array" aca="1" ref="AS25" ca="1">IF($BF25="",0,_xlfn.LET(_xlpm.d,IFERROR(--'Sales and count'!$F$2:$CB$2,0),SUMPRODUCT(('Sales and count'!$G$3:$CC$3="Transactions")*(_xlpm.d&gt;=$U$4)*(_xlpm.d&lt;=$U$5),INDEX('Sales and count'!$G$4:$CC$300,$BF25,0))))</f>
        <v>639</v>
      </c>
      <c r="AT25" s="8" cm="1">
        <f t="array" ref="AT25">IF($AW25="",0,SUMPRODUCT((TRIM('LY Sales '!$B$5:$B$200)=$AW25)*('LY Sales '!$C$2:$AG$2&gt;=EDATE($U$4,-12))*('LY Sales '!$C$2:$AG$2&lt;=EDATE($U$5,-12)),'LY Sales '!$C$5:$AG$200))</f>
        <v>0</v>
      </c>
      <c r="AU25" s="8" cm="1">
        <f t="array" ref="AU25">IF($AW25="",0,SUMPRODUCT((TRIM('LY Transaction'!$B$5:$B$200)=$AW25)*('LY Transaction'!$C$2:$AG$2&gt;=EDATE($U$4,-12))*('LY Transaction'!$C$2:$AG$2&lt;=EDATE($U$5,-12)),'LY Transaction'!$C$5:$AG$200))</f>
        <v>0</v>
      </c>
      <c r="AV25" s="8" cm="1">
        <f t="array" ref="AV25">IF(NOT(ISNUMBER($BG25)),0,SUMPRODUCT(('TY Sales Target'!$K$2:$AO$2&gt;=$U$4)*('TY Sales Target'!$K$2:$AO$2&lt;=$U$5),INDEX('TY Sales Target'!$K$5:$AO$300,$BG25,0)))</f>
        <v>163195.26763985385</v>
      </c>
      <c r="AW25" s="8" t="str" cm="1">
        <f t="array" ref="AW25">IFERROR(INDEX(_xlfn.ANCHORARRAY($BR$5),ROWS($AW$5:AW25)),"")</f>
        <v>HAMALQARYD</v>
      </c>
      <c r="AY25" s="132">
        <v>46315</v>
      </c>
      <c r="AZ25" s="132"/>
      <c r="BB25" cm="1">
        <f t="array" ref="BB25">IF($AW25="",0,SUMPRODUCT((TRIM(Footfall!$B$5:$B$301)=$AW25)*(Footfall!$C$1:$BZ$1&gt;=$U$4)*(Footfall!$C$2:$BZ$2&lt;=$U$5)*(Footfall!$C$1:$BZ$1&lt;&gt;""),Footfall!$C$5:$BZ$301))</f>
        <v>1800</v>
      </c>
      <c r="BC25" cm="1">
        <f t="array" aca="1" ref="BC25" ca="1">IF(OR($BB25&lt;=0,$BD$1="",$BF25=""),0,_xlfn.LET(_xlpm.d,IFERROR(--'Sales and count'!$F$2:$CB$2,0),SUMPRODUCT(('Sales and count'!$G$3:$CC$3="Transactions")*(_xlpm.d&gt;=$BD$1)*(_xlpm.d&lt;=$BD$2),INDEX('Sales and count'!$G$4:$CC$300,$BF25,0))))</f>
        <v>639</v>
      </c>
      <c r="BF25" cm="1">
        <f t="array" ref="BF25">IF($AW25="","",IFERROR(MATCH($AW25,TRIM('Sales and count'!$A$4:$A$300&amp;""),0),""))</f>
        <v>21</v>
      </c>
      <c r="BG25" cm="1">
        <f t="array" ref="BG25">IF($AW25="","",IFERROR(MATCH(IFERROR(_xlfn.XLOOKUP($AW25,$BT$5:$BT$22,$BU$5:$BU$22),$AW25),TRIM('TY Sales Target'!$B$5:$B$300&amp;""),0),""))</f>
        <v>61</v>
      </c>
      <c r="BH25" t="str" cm="1">
        <f t="array" ref="BH25">IF(ISNUMBER($BG25),_xlfn.LET(_xlpm.p,TRIM(INDEX('TY Sales Target'!$I$5:$I$300,$BG25)&amp;""),IF(_xlpm.p="","Not set",_xlpm.p)),"Not set")</f>
        <v>Smart Phone</v>
      </c>
      <c r="BI25" cm="1">
        <f t="array" ref="BI25">IF($BF25="",0,_xlfn.LET(_xlpm.d,IFERROR(--'Sales and count'!$G$2:$CC$2,0),SUMPRODUCT(('Sales and count'!$G$3:$CC$3="Total")*(_xlpm.d&gt;=$BZ$5)*(_xlpm.d&lt;=$BZ$6),INDEX('Sales and count'!$G$4:$CC$300,$BF25,0))))</f>
        <v>120526.63</v>
      </c>
      <c r="BJ25" cm="1">
        <f t="array" ref="BJ25">IF($AW25="",0,SUMPRODUCT((TRIM('LY Sales '!$B$5:$B$200)=$AW25)*('LY Sales '!$C$2:$AG$2&gt;=EDATE($BZ$5,-12))*('LY Sales '!$C$2:$AG$2&lt;=EDATE($BZ$6,-12)),'LY Sales '!$C$5:$AG$200))</f>
        <v>0</v>
      </c>
      <c r="BK25" cm="1">
        <f t="array" ref="BK25">IF($AW25="",0,SUMPRODUCT((TRIM('LY Sales '!$B$5:$B$200)=$AW25)*('LY Sales '!$C$2:$AG$2&gt;=EDATE($BZ$5,-12))*('LY Sales '!$C$2:$AG$2&lt;=EDATE($BZ$7,-12)),'LY Sales '!$C$5:$AG$200))</f>
        <v>0</v>
      </c>
      <c r="BL25" cm="1">
        <f t="array" ref="BL25">IF($AW25="",0,SUMPRODUCT((TRIM('LY Sales '!$B$5:$B$200)=$AW25)*('LY Sales '!$C$2:$AG$2&gt;=EDATE($BZ$5,-12))*('LY Sales '!$C$2:$AG$2&lt;=EDATE($BZ$6,-12))*('LY Sales '!$C$5:$AG$200&gt;0)))</f>
        <v>0</v>
      </c>
      <c r="BM25" cm="1">
        <f t="array" ref="BM25">IF(NOT(ISNUMBER($BG25)),0,SUMPRODUCT(('TY Sales Target'!$K$2:$AO$2&gt;=$BZ$5)*('TY Sales Target'!$K$2:$AO$2&lt;=$BZ$6),INDEX('TY Sales Target'!$K$5:$AO$300,$BG25,0)))</f>
        <v>163195.26763985385</v>
      </c>
      <c r="BN25" cm="1">
        <f t="array" ref="BN25">IF(NOT(ISNUMBER($BG25)),0,SUMPRODUCT(('TY Sales Target'!$K$2:$AO$2&gt;=$BZ$5)*('TY Sales Target'!$K$2:$AO$2&lt;=$BZ$7),INDEX('TY Sales Target'!$K$5:$AO$300,$BG25,0)))</f>
        <v>213000.00000000003</v>
      </c>
      <c r="BO25" cm="1">
        <f t="array" ref="BO25">IF($AW25="",0,IFERROR(_xlfn.SWITCH($BP25,"LY trend",$BI25*$BK25/$BJ25,"Target curve",$BI25*$BN25/$BM25,"Run rate",$BI25/$BZ$8*$BZ$9,0),0))</f>
        <v>157309.53820704183</v>
      </c>
      <c r="BP25" t="str">
        <f t="shared" si="1"/>
        <v>Target curve</v>
      </c>
      <c r="BR25" t="str">
        <v>HAMALQARYD</v>
      </c>
      <c r="BX25" t="str">
        <v>Najran</v>
      </c>
      <c r="CB25" cm="1">
        <f t="array" ref="CB25">IF($AW25="",0,_xlfn.LET(_xlpm.k,IFERROR(_xlfn.XLOOKUP($AW25,$CD$6:$CD$21,$CE$6:$CE$21),$AW25),SUMPRODUCT((TRIM('Makeup '!$A$2:$A$300&amp;"")=_xlpm.k)*1,IFERROR('Makeup '!$F$2:$F$300*1,0))))</f>
        <v>4602.08</v>
      </c>
      <c r="CF25" t="str" cm="1">
        <f t="array" ref="CF25">IF($AW25="","",_xlfn.LET(_xlpm.c,IFERROR(TRIM(INDEX('Sales and count'!$B$4:$B$300,$BF25)&amp;""),""),IF(OR(_xlpm.c="",_xlpm.c="0",LEFT(_xlpm.c,1)="#"),"Not set",_xlpm.c)))</f>
        <v>KSA</v>
      </c>
      <c r="CH25" cm="1">
        <f t="array" ref="CH25">IF($AW25="",0,_xlfn.LET(_xlpm.k,IFERROR(_xlfn.XLOOKUP($AW25,$CD$6:$CD$21,$CE$6:$CE$21),$AW25),--(SUMPRODUCT((TRIM('Makeup '!$A$2:$A$300&amp;"")=_xlpm.k)*ISNUMBER('Makeup '!$F$2:$F$300))&gt;0)))</f>
        <v>1</v>
      </c>
      <c r="CI25">
        <f t="shared" si="4"/>
        <v>120526.63</v>
      </c>
      <c r="CJ25" cm="1">
        <f t="array" ref="CJ25">IF($AW25="",0,--(SUMPRODUCT(--(TRIM(Footfall!$B$5:$B$301)=$AW25))&gt;0))</f>
        <v>1</v>
      </c>
      <c r="CK25" s="8" cm="1">
        <f t="array" ref="CK25">IF($AW25="",0,_xlfn.LET(_xlpm.r,IFERROR(MATCH(IFERROR(_xlfn.XLOOKUP($AW25,$BT$5:$BT$22,$BU$5:$BU$22),$AW25),TRIM('TY Beauty Target'!$B$5:$B$300&amp;""),0),""),IF(ISNUMBER(_xlpm.r),SUMPRODUCT(('TY Beauty Target'!$L$2:$AP$2&gt;=$U$4)*('TY Beauty Target'!$L$2:$AP$2&lt;=$U$5),INDEX('TY Beauty Target'!$L$5:$AP$300,_xlpm.r,0)),0)))</f>
        <v>9667.061862445511</v>
      </c>
    </row>
    <row r="26" spans="1:89" ht="15" customHeight="1" x14ac:dyDescent="0.25">
      <c r="A26" s="197" t="str" cm="1">
        <f t="array" ref="A26">IFERROR(INDEX(_xlfn._xlws.SORT(_xlfn.UNIQUE(_xlfn._xlws.FILTER($AN$5:$AN$302,$AP$5:$AP$302=1))),ROWS($A$18:A26)),"")</f>
        <v/>
      </c>
      <c r="B26" s="198" t="str" cm="1">
        <f t="array" ref="B26">IF($C26="","",ROWS(_xlfn.UNIQUE(_xlfn._xlws.FILTER($AO$5:$AO$302,($AP$5:$AP$302=1)*($AN$5:$AN$302=$A26)))))</f>
        <v/>
      </c>
      <c r="C26" s="198" t="str" cm="1">
        <f t="array" ref="C26">_xlfn.LET(_xlpm.n,SUMPRODUCT($AP$5:$AP$302*($AN$5:$AN$302=$A26)),IF(_xlpm.n=0,"",_xlpm.n))</f>
        <v/>
      </c>
      <c r="D26" s="199" t="str" cm="1">
        <f t="array" ref="D26">IF($C26="","",SUMPRODUCT($AP$5:$AP$302*($AN$5:$AN$302=$A26),$AR$5:$AR$302))</f>
        <v/>
      </c>
      <c r="E26" s="199" t="str" cm="1">
        <f t="array" ref="E26">IF($C26="","",SUMPRODUCT($AP$5:$AP$302*($AN$5:$AN$302=$A26),$AT$5:$AT$302))</f>
        <v/>
      </c>
      <c r="F26" s="200" t="str">
        <f t="shared" ref="F26" si="19">IF($C26="","",IFERROR(AE26/E26-1,""))</f>
        <v/>
      </c>
      <c r="G26" s="200" t="str">
        <f t="shared" ref="G26" si="20">IF(D26="","",IFERROR(D26/E26-1,""))</f>
        <v/>
      </c>
      <c r="H26" s="199" t="str" cm="1">
        <f t="array" ref="H26">IF($C26="","",SUMPRODUCT($AP$5:$AP$302*($AN$5:$AN$302=$A26),$AV$5:$AV$302))</f>
        <v/>
      </c>
      <c r="I26" s="200" t="str">
        <f t="shared" ref="I26" si="21">IF($C26="","",IFERROR(D26/H26,""))</f>
        <v/>
      </c>
      <c r="J26" s="199" t="str">
        <f t="shared" ref="J26" si="22">IF($C26="","",IF(H26=0,"",D26-H26))</f>
        <v/>
      </c>
      <c r="K26" s="200" t="str">
        <f t="shared" si="9"/>
        <v/>
      </c>
      <c r="L26" s="199" t="str" cm="1">
        <f t="array" ref="L26">IF($C26="","",SUMPRODUCT($AP$5:$AP$302*($AN$5:$AN$302=$A26),$BN$5:$BN$302))</f>
        <v/>
      </c>
      <c r="M26" s="199" t="str" cm="1">
        <f t="array" ref="M26">IF($C26="","",SUMPRODUCT($AP$5:$AP$302*($AN$5:$AN$302=$A26),$BO$5:$BO$302))</f>
        <v/>
      </c>
      <c r="N26" s="200" t="str">
        <f t="shared" si="16"/>
        <v/>
      </c>
      <c r="O26" s="200" t="str" cm="1">
        <f t="array" ref="O26">IF($C26="","",IFERROR(M26/SUMPRODUCT($AP$5:$AP$302*($AN$5:$AN$302=$A26),$BK$5:$BK$302)-1,""))</f>
        <v/>
      </c>
      <c r="P26" s="199" t="str" cm="1">
        <f t="array" ref="P26">IF($C26="","",SUMPRODUCT($AP$5:$AP$302*($AN$5:$AN$302=$A26),$AS$5:$AS$302))</f>
        <v/>
      </c>
      <c r="Q26" s="199" t="str" cm="1">
        <f t="array" ref="Q26">IF($C26="","",SUMPRODUCT($AP$5:$AP$302*($AN$5:$AN$302=$A26),$AU$5:$AU$302))</f>
        <v/>
      </c>
      <c r="R26" s="200" t="str">
        <f t="shared" ref="R26" si="23">IF($C26="","",IFERROR(AF26/Q26-1,""))</f>
        <v/>
      </c>
      <c r="S26" s="200" t="str">
        <f t="shared" ref="S26" si="24">IF(P26="","",IFERROR(P26/Q26-1,""))</f>
        <v/>
      </c>
      <c r="T26" s="201" t="str">
        <f t="shared" si="12"/>
        <v/>
      </c>
      <c r="U26" s="201" t="str">
        <f t="shared" si="13"/>
        <v/>
      </c>
      <c r="V26" s="200" t="str">
        <f t="shared" ref="V26" si="25">IF($C26="","",IFERROR((AE26/AF26)/U26-1,""))</f>
        <v/>
      </c>
      <c r="W26" s="199" t="str" cm="1">
        <f t="array" ref="W26">IF($C26="","",_xlfn.LET(_xlpm.n,SUMPRODUCT($AP$5:$AP$302*($AN$5:$AN$302=$A26),$BB$5:$BB$302),IF(_xlpm.n=0,"",_xlpm.n)))</f>
        <v/>
      </c>
      <c r="X26" s="199" t="str" cm="1">
        <f t="array" ref="X26">IF(W26="","",SUMPRODUCT($AP$5:$AP$302*($AN$5:$AN$302=$A26),$BC$5:$BC$302))</f>
        <v/>
      </c>
      <c r="Y26" s="200" t="str">
        <f t="shared" ref="Y26" si="26">IF(OR(W26="",X26=""),"",IFERROR(X26/W26,""))</f>
        <v/>
      </c>
      <c r="Z26" s="199" t="str" cm="1">
        <f t="array" ref="Z26">IF($C26="","",SUMPRODUCT($AP$5:$AP$302*($AN$5:$AN$302=$A26),$CB$5:$CB$302))</f>
        <v/>
      </c>
      <c r="AA26" s="200" t="str">
        <f t="shared" si="15"/>
        <v/>
      </c>
      <c r="AB26" s="190" t="str" cm="1">
        <f t="array" ref="AB26">IF($C26="","",SUMPRODUCT($AP$5:$AP$302*($AN$5:$AN$302=$A26),$CK$5:$CK$302))</f>
        <v/>
      </c>
      <c r="AC26" s="191" t="str">
        <f t="shared" si="18"/>
        <v/>
      </c>
      <c r="AD26" s="199" t="str" cm="1">
        <f t="array" ref="AD26">IF($C26="","",SUMPRODUCT($AP$5:$AP$302*($AN$5:$AN$302=$A26),$CI$5:$CI$302))</f>
        <v/>
      </c>
      <c r="AE26" s="37" t="str" cm="1">
        <f t="array" ref="AE26">IF($C26="","",SUMPRODUCT($AP$5:$AP$302*($AN$5:$AN$302=$A26)*$AQ$5:$AQ$302,$AR$5:$AR$302))</f>
        <v/>
      </c>
      <c r="AF26" s="37" t="str" cm="1">
        <f t="array" ref="AF26">IF($C26="","",SUMPRODUCT($AP$5:$AP$302*($AN$5:$AN$302=$A26)*$AQ$5:$AQ$302,$AS$5:$AS$302))</f>
        <v/>
      </c>
      <c r="AG26" s="35"/>
      <c r="AH26" s="35"/>
      <c r="AN26" s="8" t="str" cm="1">
        <f t="array" ref="AN26">IF($AW26="","",_xlfn.LET(_xlpm.sa,IFERROR(TRIM(INDEX('Sales and count'!$D$4:$D$300,$BF26)&amp;""),""),_xlpm.ta,IFERROR(TRIM(INDEX('TY Sales Target'!$F$5:$F$300,$BG26)&amp;""),""),IF(AND(_xlpm.sa&lt;&gt;"",LEFT(_xlpm.sa,1)&lt;&gt;"#",_xlpm.sa&lt;&gt;"0"),_xlpm.sa,IF(AND(_xlpm.ta&lt;&gt;"",LEFT(_xlpm.ta,1)&lt;&gt;"#",_xlpm.ta&lt;&gt;"0"),_xlpm.ta,IF(ISNUMBER($BG26),"Unassigned","")))))</f>
        <v>Ahlam Al Zahrani</v>
      </c>
      <c r="AO26" s="8" t="str" cm="1">
        <f t="array" ref="AO26">IF($AW26="","",_xlfn.LET(_xlpm.sa,IFERROR(TRIM(INDEX('Sales and count'!$C$4:$C$300,$BF26)&amp;""),""),_xlpm.ta,IFERROR(TRIM(INDEX('TY Sales Target'!$D$5:$D$300,$BG26)&amp;""),""),IF(AND(_xlpm.sa&lt;&gt;"",LEFT(_xlpm.sa,1)&lt;&gt;"#",_xlpm.sa&lt;&gt;"0"),_xlpm.sa,IF(AND(_xlpm.ta&lt;&gt;"",LEFT(_xlpm.ta,1)&lt;&gt;"#",_xlpm.ta&lt;&gt;"0"),_xlpm.ta,""))))</f>
        <v>Jeddah</v>
      </c>
      <c r="AP26" s="8">
        <f t="shared" si="2"/>
        <v>0</v>
      </c>
      <c r="AQ26" s="8">
        <f t="shared" si="0"/>
        <v>1</v>
      </c>
      <c r="AR26" s="8" cm="1">
        <f t="array" ref="AR26">IF($BF26="",0,_xlfn.LET(_xlpm.d,IFERROR(--'Sales and count'!$G$2:$CC$2,0),SUMPRODUCT(('Sales and count'!$G$3:$CC$3="Total")*(_xlpm.d&gt;=$U$4)*(_xlpm.d&lt;=$U$5),INDEX('Sales and count'!$G$4:$CC$300,$BF26,0))))</f>
        <v>212529.08</v>
      </c>
      <c r="AS26" s="8" cm="1">
        <f t="array" aca="1" ref="AS26" ca="1">IF($BF26="",0,_xlfn.LET(_xlpm.d,IFERROR(--'Sales and count'!$F$2:$CB$2,0),SUMPRODUCT(('Sales and count'!$G$3:$CC$3="Transactions")*(_xlpm.d&gt;=$U$4)*(_xlpm.d&lt;=$U$5),INDEX('Sales and count'!$G$4:$CC$300,$BF26,0))))</f>
        <v>1510</v>
      </c>
      <c r="AT26" s="8" cm="1">
        <f t="array" ref="AT26">IF($AW26="",0,SUMPRODUCT((TRIM('LY Sales '!$B$5:$B$200)=$AW26)*('LY Sales '!$C$2:$AG$2&gt;=EDATE($U$4,-12))*('LY Sales '!$C$2:$AG$2&lt;=EDATE($U$5,-12)),'LY Sales '!$C$5:$AG$200))</f>
        <v>270315.40000000002</v>
      </c>
      <c r="AU26" s="8" cm="1">
        <f t="array" ref="AU26">IF($AW26="",0,SUMPRODUCT((TRIM('LY Transaction'!$B$5:$B$200)=$AW26)*('LY Transaction'!$C$2:$AG$2&gt;=EDATE($U$4,-12))*('LY Transaction'!$C$2:$AG$2&lt;=EDATE($U$5,-12)),'LY Transaction'!$C$5:$AG$200))</f>
        <v>2054</v>
      </c>
      <c r="AV26" s="8" cm="1">
        <f t="array" ref="AV26">IF(NOT(ISNUMBER($BG26)),0,SUMPRODUCT(('TY Sales Target'!$K$2:$AO$2&gt;=$U$4)*('TY Sales Target'!$K$2:$AO$2&lt;=$U$5),INDEX('TY Sales Target'!$K$5:$AO$300,$BG26,0)))</f>
        <v>268161.23790586309</v>
      </c>
      <c r="AW26" s="8" t="str" cm="1">
        <f t="array" ref="AW26">IFERROR(INDEX(_xlfn.ANCHORARRAY($BR$5),ROWS($AW$5:AW26)),"")</f>
        <v>JEDDPARK</v>
      </c>
      <c r="AY26" s="132">
        <v>46316</v>
      </c>
      <c r="AZ26" s="132"/>
      <c r="BB26" cm="1">
        <f t="array" ref="BB26">IF($AW26="",0,SUMPRODUCT((TRIM(Footfall!$B$5:$B$301)=$AW26)*(Footfall!$C$1:$BZ$1&gt;=$U$4)*(Footfall!$C$2:$BZ$2&lt;=$U$5)*(Footfall!$C$1:$BZ$1&lt;&gt;""),Footfall!$C$5:$BZ$301))</f>
        <v>11397</v>
      </c>
      <c r="BC26" cm="1">
        <f t="array" aca="1" ref="BC26" ca="1">IF(OR($BB26&lt;=0,$BD$1="",$BF26=""),0,_xlfn.LET(_xlpm.d,IFERROR(--'Sales and count'!$F$2:$CB$2,0),SUMPRODUCT(('Sales and count'!$G$3:$CC$3="Transactions")*(_xlpm.d&gt;=$BD$1)*(_xlpm.d&lt;=$BD$2),INDEX('Sales and count'!$G$4:$CC$300,$BF26,0))))</f>
        <v>1510</v>
      </c>
      <c r="BF26" cm="1">
        <f t="array" ref="BF26">IF($AW26="","",IFERROR(MATCH($AW26,TRIM('Sales and count'!$A$4:$A$300&amp;""),0),""))</f>
        <v>22</v>
      </c>
      <c r="BG26" cm="1">
        <f t="array" ref="BG26">IF($AW26="","",IFERROR(MATCH(IFERROR(_xlfn.XLOOKUP($AW26,$BT$5:$BT$22,$BU$5:$BU$22),$AW26),TRIM('TY Sales Target'!$B$5:$B$300&amp;""),0),""))</f>
        <v>23</v>
      </c>
      <c r="BH26" t="str" cm="1">
        <f t="array" ref="BH26">IF(ISNUMBER($BG26),_xlfn.LET(_xlpm.p,TRIM(INDEX('TY Sales Target'!$I$5:$I$300,$BG26)&amp;""),IF(_xlpm.p="","Not set",_xlpm.p)),"Not set")</f>
        <v>Smart Phone</v>
      </c>
      <c r="BI26" cm="1">
        <f t="array" ref="BI26">IF($BF26="",0,_xlfn.LET(_xlpm.d,IFERROR(--'Sales and count'!$G$2:$CC$2,0),SUMPRODUCT(('Sales and count'!$G$3:$CC$3="Total")*(_xlpm.d&gt;=$BZ$5)*(_xlpm.d&lt;=$BZ$6),INDEX('Sales and count'!$G$4:$CC$300,$BF26,0))))</f>
        <v>212529.08</v>
      </c>
      <c r="BJ26" cm="1">
        <f t="array" ref="BJ26">IF($AW26="",0,SUMPRODUCT((TRIM('LY Sales '!$B$5:$B$200)=$AW26)*('LY Sales '!$C$2:$AG$2&gt;=EDATE($BZ$5,-12))*('LY Sales '!$C$2:$AG$2&lt;=EDATE($BZ$6,-12)),'LY Sales '!$C$5:$AG$200))</f>
        <v>270315.40000000002</v>
      </c>
      <c r="BK26" cm="1">
        <f t="array" ref="BK26">IF($AW26="",0,SUMPRODUCT((TRIM('LY Sales '!$B$5:$B$200)=$AW26)*('LY Sales '!$C$2:$AG$2&gt;=EDATE($BZ$5,-12))*('LY Sales '!$C$2:$AG$2&lt;=EDATE($BZ$7,-12)),'LY Sales '!$C$5:$AG$200))</f>
        <v>326967.38</v>
      </c>
      <c r="BL26" cm="1">
        <f t="array" ref="BL26">IF($AW26="",0,SUMPRODUCT((TRIM('LY Sales '!$B$5:$B$200)=$AW26)*('LY Sales '!$C$2:$AG$2&gt;=EDATE($BZ$5,-12))*('LY Sales '!$C$2:$AG$2&lt;=EDATE($BZ$6,-12))*('LY Sales '!$C$5:$AG$200&gt;0)))</f>
        <v>26</v>
      </c>
      <c r="BM26" cm="1">
        <f t="array" ref="BM26">IF(NOT(ISNUMBER($BG26)),0,SUMPRODUCT(('TY Sales Target'!$K$2:$AO$2&gt;=$BZ$5)*('TY Sales Target'!$K$2:$AO$2&lt;=$BZ$6),INDEX('TY Sales Target'!$K$5:$AO$300,$BG26,0)))</f>
        <v>268161.23790586309</v>
      </c>
      <c r="BN26" cm="1">
        <f t="array" ref="BN26">IF(NOT(ISNUMBER($BG26)),0,SUMPRODUCT(('TY Sales Target'!$K$2:$AO$2&gt;=$BZ$5)*('TY Sales Target'!$K$2:$AO$2&lt;=$BZ$7),INDEX('TY Sales Target'!$K$5:$AO$300,$BG26,0)))</f>
        <v>349999.99999999994</v>
      </c>
      <c r="BO26" cm="1">
        <f t="array" ref="BO26">IF($AW26="",0,IFERROR(_xlfn.SWITCH($BP26,"LY trend",$BI26*$BK26/$BJ26,"Target curve",$BI26*$BN26/$BM26,"Run rate",$BI26/$BZ$8*$BZ$9,0),0))</f>
        <v>257070.35729895669</v>
      </c>
      <c r="BP26" t="str">
        <f t="shared" si="1"/>
        <v>LY trend</v>
      </c>
      <c r="BR26" t="str">
        <v>JEDDPARK</v>
      </c>
      <c r="BX26" t="str">
        <v>Onaizah</v>
      </c>
      <c r="CB26" cm="1">
        <f t="array" ref="CB26">IF($AW26="",0,_xlfn.LET(_xlpm.k,IFERROR(_xlfn.XLOOKUP($AW26,$CD$6:$CD$21,$CE$6:$CE$21),$AW26),SUMPRODUCT((TRIM('Makeup '!$A$2:$A$300&amp;"")=_xlpm.k)*1,IFERROR('Makeup '!$F$2:$F$300*1,0))))</f>
        <v>18695.84</v>
      </c>
      <c r="CF26" t="str" cm="1">
        <f t="array" ref="CF26">IF($AW26="","",_xlfn.LET(_xlpm.c,IFERROR(TRIM(INDEX('Sales and count'!$B$4:$B$300,$BF26)&amp;""),""),IF(OR(_xlpm.c="",_xlpm.c="0",LEFT(_xlpm.c,1)="#"),"Not set",_xlpm.c)))</f>
        <v>KSA</v>
      </c>
      <c r="CH26" cm="1">
        <f t="array" ref="CH26">IF($AW26="",0,_xlfn.LET(_xlpm.k,IFERROR(_xlfn.XLOOKUP($AW26,$CD$6:$CD$21,$CE$6:$CE$21),$AW26),--(SUMPRODUCT((TRIM('Makeup '!$A$2:$A$300&amp;"")=_xlpm.k)*ISNUMBER('Makeup '!$F$2:$F$300))&gt;0)))</f>
        <v>1</v>
      </c>
      <c r="CI26">
        <f t="shared" si="4"/>
        <v>212529.08</v>
      </c>
      <c r="CJ26" cm="1">
        <f t="array" ref="CJ26">IF($AW26="",0,--(SUMPRODUCT(--(TRIM(Footfall!$B$5:$B$301)=$AW26))&gt;0))</f>
        <v>1</v>
      </c>
      <c r="CK26" s="8" cm="1">
        <f t="array" ref="CK26">IF($AW26="",0,_xlfn.LET(_xlpm.r,IFERROR(MATCH(IFERROR(_xlfn.XLOOKUP($AW26,$BT$5:$BT$22,$BU$5:$BU$22),$AW26),TRIM('TY Beauty Target'!$B$5:$B$300&amp;""),0),""),IF(ISNUMBER(_xlpm.r),SUMPRODUCT(('TY Beauty Target'!$L$2:$AP$2&gt;=$U$4)*('TY Beauty Target'!$L$2:$AP$2&lt;=$U$5),INDEX('TY Beauty Target'!$L$5:$AP$300,_xlpm.r,0)),0)))</f>
        <v>28367.000292888239</v>
      </c>
    </row>
    <row r="27" spans="1:89" ht="15" customHeight="1" x14ac:dyDescent="0.25">
      <c r="A27" s="28" t="s">
        <v>194</v>
      </c>
      <c r="B27" s="30">
        <f>B13</f>
        <v>2</v>
      </c>
      <c r="C27" s="29">
        <f>C13</f>
        <v>14</v>
      </c>
      <c r="D27" s="31">
        <f>D13</f>
        <v>1764899.2400000002</v>
      </c>
      <c r="E27" s="31">
        <f>E13</f>
        <v>1700848.1199999996</v>
      </c>
      <c r="F27" s="32">
        <f>F13</f>
        <v>-0.26511873382321727</v>
      </c>
      <c r="G27" s="32">
        <f>IF(D27="","",IFERROR(D27/E27-1,""))</f>
        <v>3.765834188651751E-2</v>
      </c>
      <c r="H27" s="31">
        <f t="shared" ref="H27:R27" si="27">H13</f>
        <v>2724934.8577755233</v>
      </c>
      <c r="I27" s="32">
        <f t="shared" si="27"/>
        <v>0.64768492904111485</v>
      </c>
      <c r="J27" s="31">
        <f t="shared" si="27"/>
        <v>-960035.6177755231</v>
      </c>
      <c r="K27" s="32">
        <f t="shared" si="27"/>
        <v>1</v>
      </c>
      <c r="L27" s="31">
        <f t="shared" si="27"/>
        <v>3556543.8452974143</v>
      </c>
      <c r="M27" s="31">
        <f t="shared" si="27"/>
        <v>2258685.080763713</v>
      </c>
      <c r="N27" s="32">
        <f t="shared" si="27"/>
        <v>0.63507865473111624</v>
      </c>
      <c r="O27" s="32">
        <f t="shared" si="27"/>
        <v>4.7148683092635757E-2</v>
      </c>
      <c r="P27" s="31">
        <f t="shared" ca="1" si="27"/>
        <v>12271</v>
      </c>
      <c r="Q27" s="31">
        <f t="shared" si="27"/>
        <v>12430</v>
      </c>
      <c r="R27" s="32">
        <f t="shared" ca="1" si="27"/>
        <v>-0.31303298471440066</v>
      </c>
      <c r="S27" s="32">
        <f ca="1">IF(P27="","",IFERROR(P27/Q27-1,""))</f>
        <v>-1.2791633145615489E-2</v>
      </c>
      <c r="T27" s="33">
        <f t="shared" ref="T27:Y27" ca="1" si="28">T13</f>
        <v>143.82684703773126</v>
      </c>
      <c r="U27" s="33">
        <f t="shared" si="28"/>
        <v>136.83412067578436</v>
      </c>
      <c r="V27" s="32">
        <f t="shared" ca="1" si="28"/>
        <v>6.9747527646962126E-2</v>
      </c>
      <c r="W27" s="31">
        <f t="shared" si="28"/>
        <v>45821</v>
      </c>
      <c r="X27" s="31">
        <f t="shared" ca="1" si="28"/>
        <v>9531</v>
      </c>
      <c r="Y27" s="32">
        <f t="shared" ca="1" si="28"/>
        <v>0.20800506318063769</v>
      </c>
      <c r="Z27" s="31">
        <f t="shared" ref="Z27:AF27" si="29">Z13</f>
        <v>99427.38</v>
      </c>
      <c r="AA27" s="32">
        <f t="shared" si="29"/>
        <v>5.6336009301018224E-2</v>
      </c>
      <c r="AB27" s="31">
        <f t="shared" si="29"/>
        <v>171690.27834359545</v>
      </c>
      <c r="AC27" s="32">
        <f t="shared" si="29"/>
        <v>0.57910896854055305</v>
      </c>
      <c r="AD27" s="31">
        <f t="shared" si="29"/>
        <v>1764899.2400000002</v>
      </c>
      <c r="AE27" s="37">
        <f t="shared" si="29"/>
        <v>1249921.4200000002</v>
      </c>
      <c r="AF27" s="37">
        <f t="shared" ca="1" si="29"/>
        <v>8539</v>
      </c>
      <c r="AG27" s="35"/>
      <c r="AH27" s="35"/>
      <c r="AN27" s="8" t="str" cm="1">
        <f t="array" ref="AN27">IF($AW27="","",_xlfn.LET(_xlpm.sa,IFERROR(TRIM(INDEX('Sales and count'!$D$4:$D$300,$BF27)&amp;""),""),_xlpm.ta,IFERROR(TRIM(INDEX('TY Sales Target'!$F$5:$F$300,$BG27)&amp;""),""),IF(AND(_xlpm.sa&lt;&gt;"",LEFT(_xlpm.sa,1)&lt;&gt;"#",_xlpm.sa&lt;&gt;"0"),_xlpm.sa,IF(AND(_xlpm.ta&lt;&gt;"",LEFT(_xlpm.ta,1)&lt;&gt;"#",_xlpm.ta&lt;&gt;"0"),_xlpm.ta,IF(ISNUMBER($BG27),"Unassigned","")))))</f>
        <v>Ahlam Al Zahrani</v>
      </c>
      <c r="AO27" s="8" t="str" cm="1">
        <f t="array" ref="AO27">IF($AW27="","",_xlfn.LET(_xlpm.sa,IFERROR(TRIM(INDEX('Sales and count'!$C$4:$C$300,$BF27)&amp;""),""),_xlpm.ta,IFERROR(TRIM(INDEX('TY Sales Target'!$D$5:$D$300,$BG27)&amp;""),""),IF(AND(_xlpm.sa&lt;&gt;"",LEFT(_xlpm.sa,1)&lt;&gt;"#",_xlpm.sa&lt;&gt;"0"),_xlpm.sa,IF(AND(_xlpm.ta&lt;&gt;"",LEFT(_xlpm.ta,1)&lt;&gt;"#",_xlpm.ta&lt;&gt;"0"),_xlpm.ta,""))))</f>
        <v>Jeddah</v>
      </c>
      <c r="AP27" s="8">
        <f t="shared" si="2"/>
        <v>0</v>
      </c>
      <c r="AQ27" s="8">
        <f t="shared" si="0"/>
        <v>0</v>
      </c>
      <c r="AR27" s="8" cm="1">
        <f t="array" ref="AR27">IF($BF27="",0,_xlfn.LET(_xlpm.d,IFERROR(--'Sales and count'!$G$2:$CC$2,0),SUMPRODUCT(('Sales and count'!$G$3:$CC$3="Total")*(_xlpm.d&gt;=$U$4)*(_xlpm.d&lt;=$U$5),INDEX('Sales and count'!$G$4:$CC$300,$BF27,0))))</f>
        <v>126338.01999999995</v>
      </c>
      <c r="AS27" s="8" cm="1">
        <f t="array" aca="1" ref="AS27" ca="1">IF($BF27="",0,_xlfn.LET(_xlpm.d,IFERROR(--'Sales and count'!$F$2:$CB$2,0),SUMPRODUCT(('Sales and count'!$G$3:$CC$3="Transactions")*(_xlpm.d&gt;=$U$4)*(_xlpm.d&lt;=$U$5),INDEX('Sales and count'!$G$4:$CC$300,$BF27,0))))</f>
        <v>892</v>
      </c>
      <c r="AT27" s="8" cm="1">
        <f t="array" ref="AT27">IF($AW27="",0,SUMPRODUCT((TRIM('LY Sales '!$B$5:$B$200)=$AW27)*('LY Sales '!$C$2:$AG$2&gt;=EDATE($U$4,-12))*('LY Sales '!$C$2:$AG$2&lt;=EDATE($U$5,-12)),'LY Sales '!$C$5:$AG$200))</f>
        <v>0</v>
      </c>
      <c r="AU27" s="8" cm="1">
        <f t="array" ref="AU27">IF($AW27="",0,SUMPRODUCT((TRIM('LY Transaction'!$B$5:$B$200)=$AW27)*('LY Transaction'!$C$2:$AG$2&gt;=EDATE($U$4,-12))*('LY Transaction'!$C$2:$AG$2&lt;=EDATE($U$5,-12)),'LY Transaction'!$C$5:$AG$200))</f>
        <v>0</v>
      </c>
      <c r="AV27" s="8" cm="1">
        <f t="array" ref="AV27">IF(NOT(ISNUMBER($BG27)),0,SUMPRODUCT(('TY Sales Target'!$K$2:$AO$2&gt;=$U$4)*('TY Sales Target'!$K$2:$AO$2&lt;=$U$5),INDEX('TY Sales Target'!$K$5:$AO$300,$BG27,0)))</f>
        <v>172389.36722519776</v>
      </c>
      <c r="AW27" s="8" t="str" cm="1">
        <f t="array" ref="AW27">IFERROR(INDEX(_xlfn.ANCHORARRAY($BR$5),ROWS($AW$5:AW27)),"")</f>
        <v>HAAJAWED</v>
      </c>
      <c r="AY27" s="132">
        <v>46317</v>
      </c>
      <c r="AZ27" s="132"/>
      <c r="BB27" cm="1">
        <f t="array" ref="BB27">IF($AW27="",0,SUMPRODUCT((TRIM(Footfall!$B$5:$B$301)=$AW27)*(Footfall!$C$1:$BZ$1&gt;=$U$4)*(Footfall!$C$2:$BZ$2&lt;=$U$5)*(Footfall!$C$1:$BZ$1&lt;&gt;""),Footfall!$C$5:$BZ$301))</f>
        <v>0</v>
      </c>
      <c r="BC27" cm="1">
        <f t="array" ref="BC27">IF(OR($BB27&lt;=0,$BD$1="",$BF27=""),0,_xlfn.LET(_xlpm.d,IFERROR(--'Sales and count'!$F$2:$CB$2,0),SUMPRODUCT(('Sales and count'!$G$3:$CC$3="Transactions")*(_xlpm.d&gt;=$BD$1)*(_xlpm.d&lt;=$BD$2),INDEX('Sales and count'!$G$4:$CC$300,$BF27,0))))</f>
        <v>0</v>
      </c>
      <c r="BF27" cm="1">
        <f t="array" ref="BF27">IF($AW27="","",IFERROR(MATCH($AW27,TRIM('Sales and count'!$A$4:$A$300&amp;""),0),""))</f>
        <v>23</v>
      </c>
      <c r="BG27" cm="1">
        <f t="array" ref="BG27">IF($AW27="","",IFERROR(MATCH(IFERROR(_xlfn.XLOOKUP($AW27,$BT$5:$BT$22,$BU$5:$BU$22),$AW27),TRIM('TY Sales Target'!$B$5:$B$300&amp;""),0),""))</f>
        <v>56</v>
      </c>
      <c r="BH27" t="str" cm="1">
        <f t="array" ref="BH27">IF(ISNUMBER($BG27),_xlfn.LET(_xlpm.p,TRIM(INDEX('TY Sales Target'!$I$5:$I$300,$BG27)&amp;""),IF(_xlpm.p="","Not set",_xlpm.p)),"Not set")</f>
        <v>Smart Phone</v>
      </c>
      <c r="BI27" cm="1">
        <f t="array" ref="BI27">IF($BF27="",0,_xlfn.LET(_xlpm.d,IFERROR(--'Sales and count'!$G$2:$CC$2,0),SUMPRODUCT(('Sales and count'!$G$3:$CC$3="Total")*(_xlpm.d&gt;=$BZ$5)*(_xlpm.d&lt;=$BZ$6),INDEX('Sales and count'!$G$4:$CC$300,$BF27,0))))</f>
        <v>126338.01999999995</v>
      </c>
      <c r="BJ27" cm="1">
        <f t="array" ref="BJ27">IF($AW27="",0,SUMPRODUCT((TRIM('LY Sales '!$B$5:$B$200)=$AW27)*('LY Sales '!$C$2:$AG$2&gt;=EDATE($BZ$5,-12))*('LY Sales '!$C$2:$AG$2&lt;=EDATE($BZ$6,-12)),'LY Sales '!$C$5:$AG$200))</f>
        <v>0</v>
      </c>
      <c r="BK27" cm="1">
        <f t="array" ref="BK27">IF($AW27="",0,SUMPRODUCT((TRIM('LY Sales '!$B$5:$B$200)=$AW27)*('LY Sales '!$C$2:$AG$2&gt;=EDATE($BZ$5,-12))*('LY Sales '!$C$2:$AG$2&lt;=EDATE($BZ$7,-12)),'LY Sales '!$C$5:$AG$200))</f>
        <v>0</v>
      </c>
      <c r="BL27" cm="1">
        <f t="array" ref="BL27">IF($AW27="",0,SUMPRODUCT((TRIM('LY Sales '!$B$5:$B$200)=$AW27)*('LY Sales '!$C$2:$AG$2&gt;=EDATE($BZ$5,-12))*('LY Sales '!$C$2:$AG$2&lt;=EDATE($BZ$6,-12))*('LY Sales '!$C$5:$AG$200&gt;0)))</f>
        <v>0</v>
      </c>
      <c r="BM27" cm="1">
        <f t="array" ref="BM27">IF(NOT(ISNUMBER($BG27)),0,SUMPRODUCT(('TY Sales Target'!$K$2:$AO$2&gt;=$BZ$5)*('TY Sales Target'!$K$2:$AO$2&lt;=$BZ$6),INDEX('TY Sales Target'!$K$5:$AO$300,$BG27,0)))</f>
        <v>172389.36722519776</v>
      </c>
      <c r="BN27" cm="1">
        <f t="array" ref="BN27">IF(NOT(ISNUMBER($BG27)),0,SUMPRODUCT(('TY Sales Target'!$K$2:$AO$2&gt;=$BZ$5)*('TY Sales Target'!$K$2:$AO$2&lt;=$BZ$7),INDEX('TY Sales Target'!$K$5:$AO$300,$BG27,0)))</f>
        <v>225000.00000000006</v>
      </c>
      <c r="BO27" cm="1">
        <f t="array" ref="BO27">IF($AW27="",0,IFERROR(_xlfn.SWITCH($BP27,"LY trend",$BI27*$BK27/$BJ27,"Target curve",$BI27*$BN27/$BM27,"Run rate",$BI27/$BZ$8*$BZ$9,0),0))</f>
        <v>164894.47671599218</v>
      </c>
      <c r="BP27" t="str">
        <f t="shared" si="1"/>
        <v>Target curve</v>
      </c>
      <c r="BR27" t="str">
        <v>HAAJAWED</v>
      </c>
      <c r="BX27" t="str">
        <v>Qatif</v>
      </c>
      <c r="CB27" cm="1">
        <f t="array" ref="CB27">IF($AW27="",0,_xlfn.LET(_xlpm.k,IFERROR(_xlfn.XLOOKUP($AW27,$CD$6:$CD$21,$CE$6:$CE$21),$AW27),SUMPRODUCT((TRIM('Makeup '!$A$2:$A$300&amp;"")=_xlpm.k)*1,IFERROR('Makeup '!$F$2:$F$300*1,0))))</f>
        <v>3099.65</v>
      </c>
      <c r="CF27" t="str" cm="1">
        <f t="array" ref="CF27">IF($AW27="","",_xlfn.LET(_xlpm.c,IFERROR(TRIM(INDEX('Sales and count'!$B$4:$B$300,$BF27)&amp;""),""),IF(OR(_xlpm.c="",_xlpm.c="0",LEFT(_xlpm.c,1)="#"),"Not set",_xlpm.c)))</f>
        <v>KSA</v>
      </c>
      <c r="CH27" cm="1">
        <f t="array" ref="CH27">IF($AW27="",0,_xlfn.LET(_xlpm.k,IFERROR(_xlfn.XLOOKUP($AW27,$CD$6:$CD$21,$CE$6:$CE$21),$AW27),--(SUMPRODUCT((TRIM('Makeup '!$A$2:$A$300&amp;"")=_xlpm.k)*ISNUMBER('Makeup '!$F$2:$F$300))&gt;0)))</f>
        <v>1</v>
      </c>
      <c r="CI27">
        <f t="shared" si="4"/>
        <v>126338.01999999995</v>
      </c>
      <c r="CJ27" cm="1">
        <f t="array" ref="CJ27">IF($AW27="",0,--(SUMPRODUCT(--(TRIM(Footfall!$B$5:$B$301)=$AW27))&gt;0))</f>
        <v>0</v>
      </c>
      <c r="CK27" s="8" cm="1">
        <f t="array" ref="CK27">IF($AW27="",0,_xlfn.LET(_xlpm.r,IFERROR(MATCH(IFERROR(_xlfn.XLOOKUP($AW27,$BT$5:$BT$22,$BU$5:$BU$22),$AW27),TRIM('TY Beauty Target'!$B$5:$B$300&amp;""),0),""),IF(ISNUMBER(_xlpm.r),SUMPRODUCT(('TY Beauty Target'!$L$2:$AP$2&gt;=$U$4)*('TY Beauty Target'!$L$2:$AP$2&lt;=$U$5),INDEX('TY Beauty Target'!$L$5:$AP$300,_xlpm.r,0)),0)))</f>
        <v>9154.7850385284273</v>
      </c>
    </row>
    <row r="28" spans="1:89" ht="15.75" customHeight="1" x14ac:dyDescent="0.25">
      <c r="A28" s="34" t="s">
        <v>197</v>
      </c>
      <c r="B28" s="16"/>
      <c r="C28" s="16"/>
      <c r="D28" s="27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35"/>
      <c r="AF28" s="35"/>
      <c r="AG28" s="35"/>
      <c r="AH28" s="35"/>
      <c r="AN28" s="8" t="str" cm="1">
        <f t="array" ref="AN28">IF($AW28="","",_xlfn.LET(_xlpm.sa,IFERROR(TRIM(INDEX('Sales and count'!$D$4:$D$300,$BF28)&amp;""),""),_xlpm.ta,IFERROR(TRIM(INDEX('TY Sales Target'!$F$5:$F$300,$BG28)&amp;""),""),IF(AND(_xlpm.sa&lt;&gt;"",LEFT(_xlpm.sa,1)&lt;&gt;"#",_xlpm.sa&lt;&gt;"0"),_xlpm.sa,IF(AND(_xlpm.ta&lt;&gt;"",LEFT(_xlpm.ta,1)&lt;&gt;"#",_xlpm.ta&lt;&gt;"0"),_xlpm.ta,IF(ISNUMBER($BG28),"Unassigned","")))))</f>
        <v>Hamzah Al Makhadam</v>
      </c>
      <c r="AO28" s="8" t="str" cm="1">
        <f t="array" ref="AO28">IF($AW28="","",_xlfn.LET(_xlpm.sa,IFERROR(TRIM(INDEX('Sales and count'!$C$4:$C$300,$BF28)&amp;""),""),_xlpm.ta,IFERROR(TRIM(INDEX('TY Sales Target'!$D$5:$D$300,$BG28)&amp;""),""),IF(AND(_xlpm.sa&lt;&gt;"",LEFT(_xlpm.sa,1)&lt;&gt;"#",_xlpm.sa&lt;&gt;"0"),_xlpm.sa,IF(AND(_xlpm.ta&lt;&gt;"",LEFT(_xlpm.ta,1)&lt;&gt;"#",_xlpm.ta&lt;&gt;"0"),_xlpm.ta,""))))</f>
        <v>Dammam</v>
      </c>
      <c r="AP28" s="8">
        <f t="shared" si="2"/>
        <v>0</v>
      </c>
      <c r="AQ28" s="8">
        <f t="shared" si="0"/>
        <v>1</v>
      </c>
      <c r="AR28" s="8" cm="1">
        <f t="array" ref="AR28">IF($BF28="",0,_xlfn.LET(_xlpm.d,IFERROR(--'Sales and count'!$G$2:$CC$2,0),SUMPRODUCT(('Sales and count'!$G$3:$CC$3="Total")*(_xlpm.d&gt;=$U$4)*(_xlpm.d&lt;=$U$5),INDEX('Sales and count'!$G$4:$CC$300,$BF28,0))))</f>
        <v>136319.34999999998</v>
      </c>
      <c r="AS28" s="8" cm="1">
        <f t="array" aca="1" ref="AS28" ca="1">IF($BF28="",0,_xlfn.LET(_xlpm.d,IFERROR(--'Sales and count'!$F$2:$CB$2,0),SUMPRODUCT(('Sales and count'!$G$3:$CC$3="Transactions")*(_xlpm.d&gt;=$U$4)*(_xlpm.d&lt;=$U$5),INDEX('Sales and count'!$G$4:$CC$300,$BF28,0))))</f>
        <v>823</v>
      </c>
      <c r="AT28" s="8" cm="1">
        <f t="array" ref="AT28">IF($AW28="",0,SUMPRODUCT((TRIM('LY Sales '!$B$5:$B$200)=$AW28)*('LY Sales '!$C$2:$AG$2&gt;=EDATE($U$4,-12))*('LY Sales '!$C$2:$AG$2&lt;=EDATE($U$5,-12)),'LY Sales '!$C$5:$AG$200))</f>
        <v>134895.59000000003</v>
      </c>
      <c r="AU28" s="8" cm="1">
        <f t="array" ref="AU28">IF($AW28="",0,SUMPRODUCT((TRIM('LY Transaction'!$B$5:$B$200)=$AW28)*('LY Transaction'!$C$2:$AG$2&gt;=EDATE($U$4,-12))*('LY Transaction'!$C$2:$AG$2&lt;=EDATE($U$5,-12)),'LY Transaction'!$C$5:$AG$200))</f>
        <v>946</v>
      </c>
      <c r="AV28" s="8" cm="1">
        <f t="array" ref="AV28">IF(NOT(ISNUMBER($BG28)),0,SUMPRODUCT(('TY Sales Target'!$K$2:$AO$2&gt;=$U$4)*('TY Sales Target'!$K$2:$AO$2&lt;=$U$5),INDEX('TY Sales Target'!$K$5:$AO$300,$BG28,0)))</f>
        <v>173921.71715608836</v>
      </c>
      <c r="AW28" s="8" t="str" cm="1">
        <f t="array" ref="AW28">IFERROR(INDEX(_xlfn.ANCHORARRAY($BR$5),ROWS($AW$5:AW28)),"")</f>
        <v>HAOTHDMM</v>
      </c>
      <c r="AY28" s="132">
        <v>46318</v>
      </c>
      <c r="AZ28" s="132"/>
      <c r="BB28" cm="1">
        <f t="array" ref="BB28">IF($AW28="",0,SUMPRODUCT((TRIM(Footfall!$B$5:$B$301)=$AW28)*(Footfall!$C$1:$BZ$1&gt;=$U$4)*(Footfall!$C$2:$BZ$2&lt;=$U$5)*(Footfall!$C$1:$BZ$1&lt;&gt;""),Footfall!$C$5:$BZ$301))</f>
        <v>0</v>
      </c>
      <c r="BC28" cm="1">
        <f t="array" ref="BC28">IF(OR($BB28&lt;=0,$BD$1="",$BF28=""),0,_xlfn.LET(_xlpm.d,IFERROR(--'Sales and count'!$F$2:$CB$2,0),SUMPRODUCT(('Sales and count'!$G$3:$CC$3="Transactions")*(_xlpm.d&gt;=$BD$1)*(_xlpm.d&lt;=$BD$2),INDEX('Sales and count'!$G$4:$CC$300,$BF28,0))))</f>
        <v>0</v>
      </c>
      <c r="BF28" cm="1">
        <f t="array" ref="BF28">IF($AW28="","",IFERROR(MATCH($AW28,TRIM('Sales and count'!$A$4:$A$300&amp;""),0),""))</f>
        <v>24</v>
      </c>
      <c r="BG28" cm="1">
        <f t="array" ref="BG28">IF($AW28="","",IFERROR(MATCH(IFERROR(_xlfn.XLOOKUP($AW28,$BT$5:$BT$22,$BU$5:$BU$22),$AW28),TRIM('TY Sales Target'!$B$5:$B$300&amp;""),0),""))</f>
        <v>54</v>
      </c>
      <c r="BH28" t="str" cm="1">
        <f t="array" ref="BH28">IF(ISNUMBER($BG28),_xlfn.LET(_xlpm.p,TRIM(INDEX('TY Sales Target'!$I$5:$I$300,$BG28)&amp;""),IF(_xlpm.p="","Not set",_xlpm.p)),"Not set")</f>
        <v>Smart Phone</v>
      </c>
      <c r="BI28" cm="1">
        <f t="array" ref="BI28">IF($BF28="",0,_xlfn.LET(_xlpm.d,IFERROR(--'Sales and count'!$G$2:$CC$2,0),SUMPRODUCT(('Sales and count'!$G$3:$CC$3="Total")*(_xlpm.d&gt;=$BZ$5)*(_xlpm.d&lt;=$BZ$6),INDEX('Sales and count'!$G$4:$CC$300,$BF28,0))))</f>
        <v>136319.34999999998</v>
      </c>
      <c r="BJ28" cm="1">
        <f t="array" ref="BJ28">IF($AW28="",0,SUMPRODUCT((TRIM('LY Sales '!$B$5:$B$200)=$AW28)*('LY Sales '!$C$2:$AG$2&gt;=EDATE($BZ$5,-12))*('LY Sales '!$C$2:$AG$2&lt;=EDATE($BZ$6,-12)),'LY Sales '!$C$5:$AG$200))</f>
        <v>134895.59000000003</v>
      </c>
      <c r="BK28" cm="1">
        <f t="array" ref="BK28">IF($AW28="",0,SUMPRODUCT((TRIM('LY Sales '!$B$5:$B$200)=$AW28)*('LY Sales '!$C$2:$AG$2&gt;=EDATE($BZ$5,-12))*('LY Sales '!$C$2:$AG$2&lt;=EDATE($BZ$7,-12)),'LY Sales '!$C$5:$AG$200))</f>
        <v>168731.17</v>
      </c>
      <c r="BL28" cm="1">
        <f t="array" ref="BL28">IF($AW28="",0,SUMPRODUCT((TRIM('LY Sales '!$B$5:$B$200)=$AW28)*('LY Sales '!$C$2:$AG$2&gt;=EDATE($BZ$5,-12))*('LY Sales '!$C$2:$AG$2&lt;=EDATE($BZ$6,-12))*('LY Sales '!$C$5:$AG$200&gt;0)))</f>
        <v>26</v>
      </c>
      <c r="BM28" cm="1">
        <f t="array" ref="BM28">IF(NOT(ISNUMBER($BG28)),0,SUMPRODUCT(('TY Sales Target'!$K$2:$AO$2&gt;=$BZ$5)*('TY Sales Target'!$K$2:$AO$2&lt;=$BZ$6),INDEX('TY Sales Target'!$K$5:$AO$300,$BG28,0)))</f>
        <v>173921.71715608836</v>
      </c>
      <c r="BN28" cm="1">
        <f t="array" ref="BN28">IF(NOT(ISNUMBER($BG28)),0,SUMPRODUCT(('TY Sales Target'!$K$2:$AO$2&gt;=$BZ$5)*('TY Sales Target'!$K$2:$AO$2&lt;=$BZ$7),INDEX('TY Sales Target'!$K$5:$AO$300,$BG28,0)))</f>
        <v>226999.99999999997</v>
      </c>
      <c r="BO28" cm="1">
        <f t="array" ref="BO28">IF($AW28="",0,IFERROR(_xlfn.SWITCH($BP28,"LY trend",$BI28*$BK28/$BJ28,"Target curve",$BI28*$BN28/$BM28,"Run rate",$BI28/$BZ$8*$BZ$9,0),0))</f>
        <v>170512.04875666799</v>
      </c>
      <c r="BP28" t="str">
        <f t="shared" si="1"/>
        <v>LY trend</v>
      </c>
      <c r="BR28" t="str">
        <v>HAOTHDMM</v>
      </c>
      <c r="BX28" t="str">
        <v>Qunfudah</v>
      </c>
      <c r="CB28" cm="1">
        <f t="array" ref="CB28">IF($AW28="",0,_xlfn.LET(_xlpm.k,IFERROR(_xlfn.XLOOKUP($AW28,$CD$6:$CD$21,$CE$6:$CE$21),$AW28),SUMPRODUCT((TRIM('Makeup '!$A$2:$A$300&amp;"")=_xlpm.k)*1,IFERROR('Makeup '!$F$2:$F$300*1,0))))</f>
        <v>5214.21</v>
      </c>
      <c r="CF28" t="str" cm="1">
        <f t="array" ref="CF28">IF($AW28="","",_xlfn.LET(_xlpm.c,IFERROR(TRIM(INDEX('Sales and count'!$B$4:$B$300,$BF28)&amp;""),""),IF(OR(_xlpm.c="",_xlpm.c="0",LEFT(_xlpm.c,1)="#"),"Not set",_xlpm.c)))</f>
        <v>KSA</v>
      </c>
      <c r="CH28" cm="1">
        <f t="array" ref="CH28">IF($AW28="",0,_xlfn.LET(_xlpm.k,IFERROR(_xlfn.XLOOKUP($AW28,$CD$6:$CD$21,$CE$6:$CE$21),$AW28),--(SUMPRODUCT((TRIM('Makeup '!$A$2:$A$300&amp;"")=_xlpm.k)*ISNUMBER('Makeup '!$F$2:$F$300))&gt;0)))</f>
        <v>1</v>
      </c>
      <c r="CI28">
        <f t="shared" si="4"/>
        <v>136319.34999999998</v>
      </c>
      <c r="CJ28" cm="1">
        <f t="array" ref="CJ28">IF($AW28="",0,--(SUMPRODUCT(--(TRIM(Footfall!$B$5:$B$301)=$AW28))&gt;0))</f>
        <v>0</v>
      </c>
      <c r="CK28" s="8" cm="1">
        <f t="array" ref="CK28">IF($AW28="",0,_xlfn.LET(_xlpm.r,IFERROR(MATCH(IFERROR(_xlfn.XLOOKUP($AW28,$BT$5:$BT$22,$BU$5:$BU$22),$AW28),TRIM('TY Beauty Target'!$B$5:$B$300&amp;""),0),""),IF(ISNUMBER(_xlpm.r),SUMPRODUCT(('TY Beauty Target'!$L$2:$AP$2&gt;=$U$4)*('TY Beauty Target'!$L$2:$AP$2&lt;=$U$5),INDEX('TY Beauty Target'!$L$5:$AP$300,_xlpm.r,0)),0)))</f>
        <v>12026.699503074546</v>
      </c>
    </row>
    <row r="29" spans="1:89" ht="32.1" customHeight="1" x14ac:dyDescent="0.25">
      <c r="A29" s="186" t="s">
        <v>179</v>
      </c>
      <c r="B29" s="187" t="s">
        <v>198</v>
      </c>
      <c r="C29" s="187" t="s">
        <v>181</v>
      </c>
      <c r="D29" s="187" t="s">
        <v>173</v>
      </c>
      <c r="E29" s="187" t="s">
        <v>175</v>
      </c>
      <c r="F29" s="187" t="s">
        <v>182</v>
      </c>
      <c r="G29" s="187" t="s">
        <v>199</v>
      </c>
      <c r="H29" s="187" t="str">
        <f>"Target ("&amp;$U$7&amp;" days)"</f>
        <v>Target (26 days)</v>
      </c>
      <c r="I29" s="187" t="s">
        <v>183</v>
      </c>
      <c r="J29" s="187" t="s">
        <v>184</v>
      </c>
      <c r="K29" s="187" t="s">
        <v>185</v>
      </c>
      <c r="L29" s="187" t="s">
        <v>541</v>
      </c>
      <c r="M29" s="187" t="str">
        <f>"Projected Close ("&amp;TEXT($BZ$7,"dd mmm")&amp;")"</f>
        <v>Projected Close (31 Oct)</v>
      </c>
      <c r="N29" s="187" t="s">
        <v>548</v>
      </c>
      <c r="O29" s="187" t="s">
        <v>547</v>
      </c>
      <c r="P29" s="187" t="s">
        <v>186</v>
      </c>
      <c r="Q29" s="187" t="s">
        <v>187</v>
      </c>
      <c r="R29" s="187" t="s">
        <v>188</v>
      </c>
      <c r="S29" s="187" t="s">
        <v>200</v>
      </c>
      <c r="T29" s="187" t="s">
        <v>189</v>
      </c>
      <c r="U29" s="187" t="s">
        <v>190</v>
      </c>
      <c r="V29" s="187" t="s">
        <v>191</v>
      </c>
      <c r="W29" s="187" t="s">
        <v>503</v>
      </c>
      <c r="X29" s="187" t="s">
        <v>510</v>
      </c>
      <c r="Y29" s="187" t="s">
        <v>511</v>
      </c>
      <c r="Z29" s="187" t="s">
        <v>683</v>
      </c>
      <c r="AA29" s="187" t="s">
        <v>684</v>
      </c>
      <c r="AB29" s="187" t="str">
        <f>"Makeup Target ("&amp;$U$7&amp;" days)"</f>
        <v>Makeup Target (26 days)</v>
      </c>
      <c r="AC29" s="187" t="s">
        <v>1604</v>
      </c>
      <c r="AD29" s="187" t="s">
        <v>1373</v>
      </c>
      <c r="AE29" s="36" t="s">
        <v>192</v>
      </c>
      <c r="AF29" s="36" t="s">
        <v>193</v>
      </c>
      <c r="AG29" s="36"/>
      <c r="AH29" s="36"/>
      <c r="AI29" t="s">
        <v>204</v>
      </c>
      <c r="AN29" s="8" t="str" cm="1">
        <f t="array" ref="AN29">IF($AW29="","",_xlfn.LET(_xlpm.sa,IFERROR(TRIM(INDEX('Sales and count'!$D$4:$D$300,$BF29)&amp;""),""),_xlpm.ta,IFERROR(TRIM(INDEX('TY Sales Target'!$F$5:$F$300,$BG29)&amp;""),""),IF(AND(_xlpm.sa&lt;&gt;"",LEFT(_xlpm.sa,1)&lt;&gt;"#",_xlpm.sa&lt;&gt;"0"),_xlpm.sa,IF(AND(_xlpm.ta&lt;&gt;"",LEFT(_xlpm.ta,1)&lt;&gt;"#",_xlpm.ta&lt;&gt;"0"),_xlpm.ta,IF(ISNUMBER($BG29),"Unassigned","")))))</f>
        <v>Mohammed Sanad</v>
      </c>
      <c r="AO29" s="8" t="str" cm="1">
        <f t="array" ref="AO29">IF($AW29="","",_xlfn.LET(_xlpm.sa,IFERROR(TRIM(INDEX('Sales and count'!$C$4:$C$300,$BF29)&amp;""),""),_xlpm.ta,IFERROR(TRIM(INDEX('TY Sales Target'!$D$5:$D$300,$BG29)&amp;""),""),IF(AND(_xlpm.sa&lt;&gt;"",LEFT(_xlpm.sa,1)&lt;&gt;"#",_xlpm.sa&lt;&gt;"0"),_xlpm.sa,IF(AND(_xlpm.ta&lt;&gt;"",LEFT(_xlpm.ta,1)&lt;&gt;"#",_xlpm.ta&lt;&gt;"0"),_xlpm.ta,""))))</f>
        <v>Riyadh</v>
      </c>
      <c r="AP29" s="8">
        <f t="shared" si="2"/>
        <v>0</v>
      </c>
      <c r="AQ29" s="8">
        <f t="shared" si="0"/>
        <v>1</v>
      </c>
      <c r="AR29" s="8" cm="1">
        <f t="array" ref="AR29">IF($BF29="",0,_xlfn.LET(_xlpm.d,IFERROR(--'Sales and count'!$G$2:$CC$2,0),SUMPRODUCT(('Sales and count'!$G$3:$CC$3="Total")*(_xlpm.d&gt;=$U$4)*(_xlpm.d&lt;=$U$5),INDEX('Sales and count'!$G$4:$CC$300,$BF29,0))))</f>
        <v>280340.41000000009</v>
      </c>
      <c r="AS29" s="8" cm="1">
        <f t="array" aca="1" ref="AS29" ca="1">IF($BF29="",0,_xlfn.LET(_xlpm.d,IFERROR(--'Sales and count'!$F$2:$CB$2,0),SUMPRODUCT(('Sales and count'!$G$3:$CC$3="Transactions")*(_xlpm.d&gt;=$U$4)*(_xlpm.d&lt;=$U$5),INDEX('Sales and count'!$G$4:$CC$300,$BF29,0))))</f>
        <v>1743</v>
      </c>
      <c r="AT29" s="8" cm="1">
        <f t="array" ref="AT29">IF($AW29="",0,SUMPRODUCT((TRIM('LY Sales '!$B$5:$B$200)=$AW29)*('LY Sales '!$C$2:$AG$2&gt;=EDATE($U$4,-12))*('LY Sales '!$C$2:$AG$2&lt;=EDATE($U$5,-12)),'LY Sales '!$C$5:$AG$200))</f>
        <v>388713.45999999996</v>
      </c>
      <c r="AU29" s="8" cm="1">
        <f t="array" ref="AU29">IF($AW29="",0,SUMPRODUCT((TRIM('LY Transaction'!$B$5:$B$200)=$AW29)*('LY Transaction'!$C$2:$AG$2&gt;=EDATE($U$4,-12))*('LY Transaction'!$C$2:$AG$2&lt;=EDATE($U$5,-12)),'LY Transaction'!$C$5:$AG$200))</f>
        <v>2556</v>
      </c>
      <c r="AV29" s="8" cm="1">
        <f t="array" ref="AV29">IF(NOT(ISNUMBER($BG29)),0,SUMPRODUCT(('TY Sales Target'!$K$2:$AO$2&gt;=$U$4)*('TY Sales Target'!$K$2:$AO$2&lt;=$U$5),INDEX('TY Sales Target'!$K$5:$AO$300,$BG29,0)))</f>
        <v>364699.28355197387</v>
      </c>
      <c r="AW29" s="8" t="str" cm="1">
        <f t="array" ref="AW29">IFERROR(INDEX(_xlfn.ANCHORARRAY($BR$5),ROWS($AW$5:AW29)),"")</f>
        <v>MEDAD</v>
      </c>
      <c r="AY29" s="132">
        <v>46319</v>
      </c>
      <c r="AZ29" s="132"/>
      <c r="BB29" cm="1">
        <f t="array" ref="BB29">IF($AW29="",0,SUMPRODUCT((TRIM(Footfall!$B$5:$B$301)=$AW29)*(Footfall!$C$1:$BZ$1&gt;=$U$4)*(Footfall!$C$2:$BZ$2&lt;=$U$5)*(Footfall!$C$1:$BZ$1&lt;&gt;""),Footfall!$C$5:$BZ$301))</f>
        <v>5351</v>
      </c>
      <c r="BC29" cm="1">
        <f t="array" aca="1" ref="BC29" ca="1">IF(OR($BB29&lt;=0,$BD$1="",$BF29=""),0,_xlfn.LET(_xlpm.d,IFERROR(--'Sales and count'!$F$2:$CB$2,0),SUMPRODUCT(('Sales and count'!$G$3:$CC$3="Transactions")*(_xlpm.d&gt;=$BD$1)*(_xlpm.d&lt;=$BD$2),INDEX('Sales and count'!$G$4:$CC$300,$BF29,0))))</f>
        <v>1743</v>
      </c>
      <c r="BF29" cm="1">
        <f t="array" ref="BF29">IF($AW29="","",IFERROR(MATCH($AW29,TRIM('Sales and count'!$A$4:$A$300&amp;""),0),""))</f>
        <v>25</v>
      </c>
      <c r="BG29" cm="1">
        <f t="array" ref="BG29">IF($AW29="","",IFERROR(MATCH(IFERROR(_xlfn.XLOOKUP($AW29,$BT$5:$BT$22,$BU$5:$BU$22),$AW29),TRIM('TY Sales Target'!$B$5:$B$300&amp;""),0),""))</f>
        <v>11</v>
      </c>
      <c r="BH29" t="str" cm="1">
        <f t="array" ref="BH29">IF(ISNUMBER($BG29),_xlfn.LET(_xlpm.p,TRIM(INDEX('TY Sales Target'!$I$5:$I$300,$BG29)&amp;""),IF(_xlpm.p="","Not set",_xlpm.p)),"Not set")</f>
        <v>Car</v>
      </c>
      <c r="BI29" cm="1">
        <f t="array" ref="BI29">IF($BF29="",0,_xlfn.LET(_xlpm.d,IFERROR(--'Sales and count'!$G$2:$CC$2,0),SUMPRODUCT(('Sales and count'!$G$3:$CC$3="Total")*(_xlpm.d&gt;=$BZ$5)*(_xlpm.d&lt;=$BZ$6),INDEX('Sales and count'!$G$4:$CC$300,$BF29,0))))</f>
        <v>280340.41000000009</v>
      </c>
      <c r="BJ29" cm="1">
        <f t="array" ref="BJ29">IF($AW29="",0,SUMPRODUCT((TRIM('LY Sales '!$B$5:$B$200)=$AW29)*('LY Sales '!$C$2:$AG$2&gt;=EDATE($BZ$5,-12))*('LY Sales '!$C$2:$AG$2&lt;=EDATE($BZ$6,-12)),'LY Sales '!$C$5:$AG$200))</f>
        <v>388713.45999999996</v>
      </c>
      <c r="BK29" cm="1">
        <f t="array" ref="BK29">IF($AW29="",0,SUMPRODUCT((TRIM('LY Sales '!$B$5:$B$200)=$AW29)*('LY Sales '!$C$2:$AG$2&gt;=EDATE($BZ$5,-12))*('LY Sales '!$C$2:$AG$2&lt;=EDATE($BZ$7,-12)),'LY Sales '!$C$5:$AG$200))</f>
        <v>490528.1</v>
      </c>
      <c r="BL29" cm="1">
        <f t="array" ref="BL29">IF($AW29="",0,SUMPRODUCT((TRIM('LY Sales '!$B$5:$B$200)=$AW29)*('LY Sales '!$C$2:$AG$2&gt;=EDATE($BZ$5,-12))*('LY Sales '!$C$2:$AG$2&lt;=EDATE($BZ$6,-12))*('LY Sales '!$C$5:$AG$200&gt;0)))</f>
        <v>26</v>
      </c>
      <c r="BM29" cm="1">
        <f t="array" ref="BM29">IF(NOT(ISNUMBER($BG29)),0,SUMPRODUCT(('TY Sales Target'!$K$2:$AO$2&gt;=$BZ$5)*('TY Sales Target'!$K$2:$AO$2&lt;=$BZ$6),INDEX('TY Sales Target'!$K$5:$AO$300,$BG29,0)))</f>
        <v>364699.28355197387</v>
      </c>
      <c r="BN29" cm="1">
        <f t="array" ref="BN29">IF(NOT(ISNUMBER($BG29)),0,SUMPRODUCT(('TY Sales Target'!$K$2:$AO$2&gt;=$BZ$5)*('TY Sales Target'!$K$2:$AO$2&lt;=$BZ$7),INDEX('TY Sales Target'!$K$5:$AO$300,$BG29,0)))</f>
        <v>476000.00000000006</v>
      </c>
      <c r="BO29" cm="1">
        <f t="array" ref="BO29">IF($AW29="",0,IFERROR(_xlfn.SWITCH($BP29,"LY trend",$BI29*$BK29/$BJ29,"Target curve",$BI29*$BN29/$BM29,"Run rate",$BI29/$BZ$8*$BZ$9,0),0))</f>
        <v>353769.19716266333</v>
      </c>
      <c r="BP29" t="str">
        <f t="shared" si="1"/>
        <v>LY trend</v>
      </c>
      <c r="BR29" t="str">
        <v>MEDAD</v>
      </c>
      <c r="BX29" t="str">
        <v>Qurayat</v>
      </c>
      <c r="CB29" cm="1">
        <f t="array" ref="CB29">IF($AW29="",0,_xlfn.LET(_xlpm.k,IFERROR(_xlfn.XLOOKUP($AW29,$CD$6:$CD$21,$CE$6:$CE$21),$AW29),SUMPRODUCT((TRIM('Makeup '!$A$2:$A$300&amp;"")=_xlpm.k)*1,IFERROR('Makeup '!$F$2:$F$300*1,0))))</f>
        <v>10032.26</v>
      </c>
      <c r="CF29" t="str" cm="1">
        <f t="array" ref="CF29">IF($AW29="","",_xlfn.LET(_xlpm.c,IFERROR(TRIM(INDEX('Sales and count'!$B$4:$B$300,$BF29)&amp;""),""),IF(OR(_xlpm.c="",_xlpm.c="0",LEFT(_xlpm.c,1)="#"),"Not set",_xlpm.c)))</f>
        <v>KSA</v>
      </c>
      <c r="CH29" cm="1">
        <f t="array" ref="CH29">IF($AW29="",0,_xlfn.LET(_xlpm.k,IFERROR(_xlfn.XLOOKUP($AW29,$CD$6:$CD$21,$CE$6:$CE$21),$AW29),--(SUMPRODUCT((TRIM('Makeup '!$A$2:$A$300&amp;"")=_xlpm.k)*ISNUMBER('Makeup '!$F$2:$F$300))&gt;0)))</f>
        <v>1</v>
      </c>
      <c r="CI29">
        <f t="shared" si="4"/>
        <v>280340.41000000009</v>
      </c>
      <c r="CJ29" cm="1">
        <f t="array" ref="CJ29">IF($AW29="",0,--(SUMPRODUCT(--(TRIM(Footfall!$B$5:$B$301)=$AW29))&gt;0))</f>
        <v>1</v>
      </c>
      <c r="CK29" s="8" cm="1">
        <f t="array" ref="CK29">IF($AW29="",0,_xlfn.LET(_xlpm.r,IFERROR(MATCH(IFERROR(_xlfn.XLOOKUP($AW29,$BT$5:$BT$22,$BU$5:$BU$22),$AW29),TRIM('TY Beauty Target'!$B$5:$B$300&amp;""),0),""),IF(ISNUMBER(_xlpm.r),SUMPRODUCT(('TY Beauty Target'!$L$2:$AP$2&gt;=$U$4)*('TY Beauty Target'!$L$2:$AP$2&lt;=$U$5),INDEX('TY Beauty Target'!$L$5:$AP$300,_xlpm.r,0)),0)))</f>
        <v>15991.645140731409</v>
      </c>
    </row>
    <row r="30" spans="1:89" ht="15" customHeight="1" x14ac:dyDescent="0.25">
      <c r="A30" s="38" t="str">
        <f t="shared" ref="A30:A61" si="30">IF($AI30="","",IF(LEFT($AI30,2)="C|",MID($AI30,3,200),IF($AI30="CT","Total (selection)",IF(LEFT($AI30,3)="AM|",MID($AI30,4,200),IF(LEFT($AI30,2)="S|",MID($AI30,3,200),IF($AI30="HDR","Name",IF($AI30="SEC","AREA MANAGER → STORES","")))))))</f>
        <v>Jeddah</v>
      </c>
      <c r="B30" s="43" t="str" cm="1">
        <f t="array" ref="B30">IF($AI30="","",IF(LEFT($AI30,2)="C|",IF($C30="","",_xlfn.TEXTJOIN(", ",TRUE,_xlfn.UNIQUE(_xlfn._xlws.FILTER($AN$5:$AN$302,($AP$5:$AP$302=1)*($AO$5:$AO$302=$A30))))),IF($AI30="CT",B$13,IF(LEFT($AI30,3)="AM|",IF($C30="","",ROWS(_xlfn.UNIQUE(_xlfn._xlws.FILTER($AO$5:$AO$302,($AP$5:$AP$302=1)*($AN$5:$AN$302=$A30))))),IF(LEFT($AI30,2)="S|",IF($AG30="","",INDEX($AO$5:$AO$302,$AH30)),IF($AI30="HDR","City",""))))))</f>
        <v>Saleh Bin Hoiel</v>
      </c>
      <c r="C30" s="39" cm="1">
        <f t="array" ref="C30">IF($AI30="","",IF(LEFT($AI30,2)="C|",_xlfn.LET(_xlpm.n,SUMPRODUCT($AP$5:$AP$302*($AO$5:$AO$302=$A30)),IF(_xlpm.n=0,"",_xlpm.n)),IF($AI30="CT",C$13,IF(LEFT($AI30,3)="AM|",_xlfn.LET(_xlpm.n,SUMPRODUCT($AP$5:$AP$302*($AN$5:$AN$302=$A30)),IF(_xlpm.n=0,"",_xlpm.n)),IF(LEFT($AI30,2)="S|","",IF($AI30="HDR","# Stores",""))))))</f>
        <v>10</v>
      </c>
      <c r="D30" s="40" cm="1">
        <f t="array" ref="D30">IF($AI30="","",IF(LEFT($AI30,2)="C|",IF($C30="","",SUMPRODUCT($AP$5:$AP$302*($AO$5:$AO$302=$A30),$AR$5:$AR$302)),IF($AI30="CT",D$13,IF(LEFT($AI30,3)="AM|",IF($C30="","",SUMPRODUCT($AP$5:$AP$302*($AN$5:$AN$302=$A30),$AR$5:$AR$302)),IF(LEFT($AI30,2)="S|",IF($AG30="","",INDEX($AR$5:$AR$302,$AH30)),IF($AI30="HDR","Sales TY",""))))))</f>
        <v>1383925.1400000001</v>
      </c>
      <c r="E30" s="40" cm="1">
        <f t="array" ref="E30">IF($AI30="","",IF(LEFT($AI30,2)="C|",IF($C30="","",SUMPRODUCT($AP$5:$AP$302*($AO$5:$AO$302=$A30),$AT$5:$AT$302)),IF($AI30="CT",E$13,IF(LEFT($AI30,3)="AM|",IF($C30="","",SUMPRODUCT($AP$5:$AP$302*($AN$5:$AN$302=$A30),$AT$5:$AT$302)),IF(LEFT($AI30,2)="S|",IF($AG30="","",INDEX($AT$5:$AT$302,$AH30)),IF($AI30="HDR","Sales LY",""))))))</f>
        <v>1326011.4499999997</v>
      </c>
      <c r="F30" s="41">
        <f t="shared" ref="F30:F61" si="31">IF($AI30="","",IF(LEFT($AI30,2)="C|",IF($C30="","",IFERROR(AE30/E30-1,"")),IF($AI30="CT",F$13,IF(LEFT($AI30,3)="AM|",IF($C30="","",IFERROR(AE30/E30-1,"")),IF(LEFT($AI30,2)="S|",IF($AG30="","",IFERROR(AE30/E30-1,"")),IF($AI30="HDR","LFL vs LY",""))))))</f>
        <v>-0.25621276498027201</v>
      </c>
      <c r="G30" s="41">
        <f t="shared" ref="G30:G61" si="32">IF($AI30="","",IF(LEFT($AI30,2)="C|",IF(D30="","",IFERROR(D30/E30-1,"")),IF($AI30="CT",G$13,IF(LEFT($AI30,3)="AM|",IF(D30="","",IFERROR(D30/E30-1,"")),IF(LEFT($AI30,2)="S|",IF(D30="","",IFERROR(D30/E30-1,"")),IF($AI30="HDR","Total Growth",""))))))</f>
        <v>4.3675105520393886E-2</v>
      </c>
      <c r="H30" s="40" cm="1">
        <f t="array" ref="H30">IF($AI30="","",IF(LEFT($AI30,2)="C|",IF($C30="","",SUMPRODUCT($AP$5:$AP$302*($AO$5:$AO$302=$A30),$AV$5:$AV$302)),IF($AI30="CT",H$13,IF(LEFT($AI30,3)="AM|",IF($C30="","",SUMPRODUCT($AP$5:$AP$302*($AN$5:$AN$302=$A30),$AV$5:$AV$302)),IF(LEFT($AI30,2)="S|",IF($AG30="","",INDEX($AV$5:$AV$302,$AH30)),IF($AI30="HDR","Target",""))))))</f>
        <v>1953746.1618855745</v>
      </c>
      <c r="I30" s="41">
        <f t="shared" ref="I30:I61" si="33">IF($AI30="","",IF(LEFT($AI30,2)="C|",IF($C30="","",IFERROR(D30/H30,"")),IF($AI30="CT",I$13,IF(LEFT($AI30,3)="AM|",IF($C30="","",IFERROR(D30/H30,"")),IF(LEFT($AI30,2)="S|",IF($AG30="","",IFERROR(D30/H30,"")),IF($AI30="HDR","Ach. %",""))))))</f>
        <v>0.70834439345199485</v>
      </c>
      <c r="J30" s="40">
        <f t="shared" ref="J30:J61" si="34">IF($AI30="","",IF(LEFT($AI30,2)="C|",IF($C30="","",IF(H30=0,"",D30-H30)),IF($AI30="CT",J$13,IF(LEFT($AI30,3)="AM|",IF($C30="","",IF(H30=0,"",D30-H30)),IF(LEFT($AI30,2)="S|",IF($AG30="","",IF(H30=0,"",D30-H30)),IF($AI30="HDR","Var Target",""))))))</f>
        <v>-569821.02188557433</v>
      </c>
      <c r="K30" s="41">
        <f t="shared" ref="K30:K61" si="35">IF($AI30="","",IF(LEFT($AI30,2)="C|",IF($C30="","",IFERROR(D30/$D$13,"")),IF($AI30="CT",K$13,IF(LEFT($AI30,3)="AM|",IF($C30="","",IFERROR(D30/$D$13,"")),IF(LEFT($AI30,2)="S|",IF($AG30="","",IFERROR(D30/$D$13,"")),IF($AI30="HDR","% Share",""))))))</f>
        <v>0.78413832848610665</v>
      </c>
      <c r="L30" s="40" cm="1">
        <f t="array" ref="L30">IF($AI30="","",IF(LEFT($AI30,2)="C|",IF($C30="","",SUMPRODUCT($AP$5:$AP$302*($AO$5:$AO$302=$A30),$BN$5:$BN$302)),IF($AI30="CT",L$13,IF(LEFT($AI30,3)="AM|",IF($C30="","",SUMPRODUCT($AP$5:$AP$302*($AN$5:$AN$302=$A30),$BN$5:$BN$302)),IF(LEFT($AI30,2)="S|",IF($AG30="","",INDEX($BN$5:$BN$302,$AH30)),IF($AI30="HDR","Month Target",""))))))</f>
        <v>2550000</v>
      </c>
      <c r="M30" s="40" cm="1">
        <f t="array" ref="M30">IF($AI30="","",IF(LEFT($AI30,2)="C|",IF($C30="","",SUMPRODUCT($AP$5:$AP$302*($AO$5:$AO$302=$A30),$BO$5:$BO$302)),IF($AI30="CT",M$13,IF(LEFT($AI30,3)="AM|",IF($C30="","",SUMPRODUCT($AP$5:$AP$302*($AN$5:$AN$302=$A30),$BO$5:$BO$302)),IF(LEFT($AI30,2)="S|",IF($AG30="","",INDEX($BO$5:$BO$302,$AH30)),IF($AI30="HDR","Projected Close",""))))))</f>
        <v>1764223.147094188</v>
      </c>
      <c r="N30" s="41">
        <f>IF($AI30="HDR","Proj. Ach %",IF(OR(L30="",M30=""),"",IFERROR(M30/L30,"")))</f>
        <v>0.6918522145467404</v>
      </c>
      <c r="O30" s="41" cm="1">
        <f t="array" ref="O30">IF($AI30="HDR","Proj. vs LY",IF(OR($AI30="",M30=""),"",_xlfn.LET(_xlpm.ly,IF(LEFT($AI30,2)="C|",SUMPRODUCT($AP$5:$AP$302*($AO$5:$AO$302=$A30),$BK$5:$BK$302),IF($AI30="CT",SUMPRODUCT($AP$5:$AP$302,$BK$5:$BK$302),IF(LEFT($AI30,3)="AM|",SUMPRODUCT($AP$5:$AP$302*($AN$5:$AN$302=$A30),$BK$5:$BK$302),IF(LEFT($AI30,2)="S|",INDEX($BK$5:$BK$302,$AH30),0)))),IFERROR(M30/_xlpm.ly-1,""))))</f>
        <v>5.4703231432826405E-2</v>
      </c>
      <c r="P30" s="40" cm="1">
        <f t="array" aca="1" ref="P30" ca="1">IF($AI30="","",IF(LEFT($AI30,2)="C|",IF($C30="","",SUMPRODUCT($AP$5:$AP$302*($AO$5:$AO$302=$A30),$AS$5:$AS$302)),IF($AI30="CT",P$13,IF(LEFT($AI30,3)="AM|",IF($C30="","",SUMPRODUCT($AP$5:$AP$302*($AN$5:$AN$302=$A30),$AS$5:$AS$302)),IF(LEFT($AI30,2)="S|",IF($AG30="","",INDEX($AS$5:$AS$302,$AH30)),IF($AI30="HDR","Trans TY",""))))))</f>
        <v>9148</v>
      </c>
      <c r="Q30" s="40" cm="1">
        <f t="array" ref="Q30">IF($AI30="","",IF(LEFT($AI30,2)="C|",IF($C30="","",SUMPRODUCT($AP$5:$AP$302*($AO$5:$AO$302=$A30),$AU$5:$AU$302)),IF($AI30="CT",Q$13,IF(LEFT($AI30,3)="AM|",IF($C30="","",SUMPRODUCT($AP$5:$AP$302*($AN$5:$AN$302=$A30),$AU$5:$AU$302)),IF(LEFT($AI30,2)="S|",IF($AG30="","",INDEX($AU$5:$AU$302,$AH30)),IF($AI30="HDR","Trans LY",""))))))</f>
        <v>9326</v>
      </c>
      <c r="R30" s="41">
        <f t="shared" ref="R30:R61" ca="1" si="36">IF($AI30="","",IF(LEFT($AI30,2)="C|",IF($C30="","",IFERROR(AF30/Q30-1,"")),IF($AI30="CT",R$13,IF(LEFT($AI30,3)="AM|",IF($C30="","",IFERROR(AF30/Q30-1,"")),IF(LEFT($AI30,2)="S|",IF($AG30="","",IFERROR(AF30/Q30-1,"")),IF($AI30="HDR","Trans LFL",""))))))</f>
        <v>-0.31288869826292087</v>
      </c>
      <c r="S30" s="41">
        <f t="shared" ref="S30:S61" ca="1" si="37">IF($AI30="","",IF(LEFT($AI30,2)="C|",IF(P30="","",IFERROR(P30/Q30-1,"")),IF($AI30="CT",S$13,IF(LEFT($AI30,3)="AM|",IF(P30="","",IFERROR(P30/Q30-1,"")),IF(LEFT($AI30,2)="S|",IF(P30="","",IFERROR(P30/Q30-1,"")),IF($AI30="HDR","Trans Growth",""))))))</f>
        <v>-1.9086425048252198E-2</v>
      </c>
      <c r="T30" s="42">
        <f t="shared" ref="T30:T61" ca="1" si="38">IF($AI30="","",IF(LEFT($AI30,2)="C|",IF($C30="","",IFERROR(D30/P30,"")),IF($AI30="CT",T$13,IF(LEFT($AI30,3)="AM|",IF($C30="","",IFERROR(D30/P30,"")),IF(LEFT($AI30,2)="S|",IF($AG30="","",IFERROR(D30/P30,"")),IF($AI30="HDR","ATV TY",""))))))</f>
        <v>151.28171622212506</v>
      </c>
      <c r="U30" s="42">
        <f t="shared" ref="U30:U61" si="39">IF($AI30="","",IF(LEFT($AI30,2)="C|",IF($C30="","",IFERROR(E30/Q30,"")),IF($AI30="CT",U$13,IF(LEFT($AI30,3)="AM|",IF($C30="","",IFERROR(E30/Q30,"")),IF(LEFT($AI30,2)="S|",IF($AG30="","",IFERROR(E30/Q30,"")),IF($AI30="HDR","ATV LY",""))))))</f>
        <v>142.18437164915287</v>
      </c>
      <c r="V30" s="41">
        <f t="shared" ref="V30:V61" ca="1" si="40">IF($AI30="","",IF(LEFT($AI30,2)="C|",IF($C30="","",IFERROR((AE30/AF30)/U30-1,"")),IF($AI30="CT",V$13,IF(LEFT($AI30,3)="AM|",IF($C30="","",IFERROR((AE30/AF30)/U30-1,"")),IF(LEFT($AI30,2)="S|",IF($AG30="","",IFERROR((AE30/AF30)/U30-1,"")),IF($AI30="HDR","ATV LFL",""))))))</f>
        <v>8.2484356085203325E-2</v>
      </c>
      <c r="W30" s="40" cm="1">
        <f t="array" ref="W30">IF($AI30="","",IF(LEFT($AI30,2)="C|",_xlfn.LET(_xlpm.n,SUMPRODUCT($AP$5:$AP$302*($AO$5:$AO$302=$A30),$BB$5:$BB$302),IF(_xlpm.n=0,"",_xlpm.n)),IF($AI30="CT",W$13,IF(LEFT($AI30,3)="AM|",_xlfn.LET(_xlpm.n,SUMPRODUCT($AP$5:$AP$302*($AN$5:$AN$302=$A30),$BB$5:$BB$302),IF(_xlpm.n=0,"",_xlpm.n)),IF(LEFT($AI30,2)="S|",IF($AG30="","",_xlfn.LET(_xlpm.n,INDEX($BB$5:$BB$302,$AH30),IF(_xlpm.n=0,"",_xlpm.n))),IF($AI30="HDR","Footfall",""))))))</f>
        <v>27445</v>
      </c>
      <c r="X30" s="40" cm="1">
        <f t="array" aca="1" ref="X30" ca="1">IF($AI30="","",IF($AI30="HDR","Trans (FF stores)",IF(W30="","",IF(LEFT($AI30,2)="C|",SUMPRODUCT($AP$5:$AP$302*($AO$5:$AO$302=$A30),$BC$5:$BC$302),IF($AI30="CT",X$13,IF(LEFT($AI30,3)="AM|",SUMPRODUCT($AP$5:$AP$302*($AN$5:$AN$302=$A30),$BC$5:$BC$302),IF(LEFT($AI30,2)="S|",INDEX($BC$5:$BC$302,$AH30),"")))))))</f>
        <v>6408</v>
      </c>
      <c r="Y30" s="41">
        <f ca="1">IF($AI30="","",IF($AI30="HDR","Conversion %",IF(OR(W30="",X30=""),"",IFERROR(X30/W30,""))))</f>
        <v>0.23348515212242668</v>
      </c>
      <c r="Z30" s="40" cm="1">
        <f t="array" ref="Z30">IF($AI30="","",IF(LEFT($AI30,2)="C|",IF($C30="","",SUMPRODUCT($AP$5:$AP$302*($AO$5:$AO$302=$A30),$CB$5:$CB$302)),IF($AI30="CT",Z$13,IF(LEFT($AI30,3)="AM|",IF($C30="","",SUMPRODUCT($AP$5:$AP$302*($AN$5:$AN$302=$A30),$CB$5:$CB$302)),IF(LEFT($AI30,2)="S|",IF($AG30="","",INDEX($CB$5:$CB$302,$AH30)),IF($AI30="HDR","Makeup Sales",""))))))</f>
        <v>77644.430000000008</v>
      </c>
      <c r="AA30" s="41">
        <f t="shared" ref="AA30:AA61" si="41">IF($AI30="HDR","Makeup % of Sales",IF(OR(Z30="",AD30=""),"",IFERROR(Z30/AD30,"")))</f>
        <v>5.6104501432787036E-2</v>
      </c>
      <c r="AB30" s="40" cm="1">
        <f t="array" ref="AB30">IF($AI30="","",IF(LEFT($AI30,2)="C|",IF($C30="","",SUMPRODUCT($AP$5:$AP$302*($AO$5:$AO$302=$A30),$CK$5:$CK$302)),IF($AI30="CT",AB$13,IF(LEFT($AI30,3)="AM|",IF($C30="","",SUMPRODUCT($AP$5:$AP$302*($AN$5:$AN$302=$A30),$CK$5:$CK$302)),IF(LEFT($AI30,2)="S|",IF($AG30="","",INDEX($CK$5:$CK$302,$AH30)),IF($AI30="HDR","Makeup Target",""))))))</f>
        <v>130195.19655775491</v>
      </c>
      <c r="AC30" s="41">
        <f>IF($AI30="HDR","Makeup Ach. %",IF(OR(Z30="",AB30=""),"",IFERROR(Z30/AB30,"")))</f>
        <v>0.59636939036807513</v>
      </c>
      <c r="AD30" s="40" cm="1">
        <f t="array" ref="AD30">IF($AI30="","",IF(LEFT($AI30,2)="C|",IF($C30="","",SUMPRODUCT($AP$5:$AP$302*($AO$5:$AO$302=$A30),$CI$5:$CI$302)),IF($AI30="CT",AD$13,IF(LEFT($AI30,3)="AM|",IF($C30="","",SUMPRODUCT($AP$5:$AP$302*($AN$5:$AN$302=$A30),$CI$5:$CI$302)),IF(LEFT($AI30,2)="S|",IF($AG30="","",INDEX($CI$5:$CI$302,$AH30)),IF($AI30="HDR","Cosmetic Sales",""))))))</f>
        <v>1383925.1400000001</v>
      </c>
      <c r="AE30" s="8" cm="1">
        <f t="array" ref="AE30">IF($AI30="","",IF(LEFT($AI30,2)="C|",IF($C30="","",SUMPRODUCT($AP$5:$AP$302*($AO$5:$AO$302=$A30)*$AQ$5:$AQ$302,$AR$5:$AR$302)),IF($AI30="CT",AE$13,IF(LEFT($AI30,3)="AM|",IF($C30="","",SUMPRODUCT($AP$5:$AP$302*($AN$5:$AN$302=$A30)*$AQ$5:$AQ$302,$AR$5:$AR$302)),IF(LEFT($AI30,2)="S|",IF($AG30="","",IF(INDEX($AQ$5:$AQ$302,$AH30)=1,D30,0)),IF($AI30="HDR","LFL Sales",""))))))</f>
        <v>986270.39</v>
      </c>
      <c r="AF30" s="8" cm="1">
        <f t="array" aca="1" ref="AF30" ca="1">IF($AI30="","",IF(LEFT($AI30,2)="C|",IF($C30="","",SUMPRODUCT($AP$5:$AP$302*($AO$5:$AO$302=$A30)*$AQ$5:$AQ$302,$AS$5:$AS$302)),IF($AI30="CT",AF$13,IF(LEFT($AI30,3)="AM|",IF($C30="","",SUMPRODUCT($AP$5:$AP$302*($AN$5:$AN$302=$A30)*$AQ$5:$AQ$302,$AS$5:$AS$302)),IF(LEFT($AI30,2)="S|",IF($AG30="","",IF(INDEX($AQ$5:$AQ$302,$AH30)=1,P30,0)),IF($AI30="HDR","LFL Trans",""))))))</f>
        <v>6408</v>
      </c>
      <c r="AG30" s="8" t="str" cm="1">
        <f t="array" ref="AG30">IF($AI30="","",IF(LEFT($AI30,2)="C|","",IF($AI30="CT","",IF(LEFT($AI30,3)="AM|","",IF(LEFT($AI30,2)="S|",IF($AH30="","",IF(INDEX($AP$5:$AP$302,$AH30)=1,1,"")),IF($AI30="HDR","Show",""))))))</f>
        <v/>
      </c>
      <c r="AH30" s="8" t="str">
        <f t="shared" ref="AH30:AH61" si="42">IF($AI30="","",IF(LEFT($AI30,2)="C|","",IF($AI30="CT","",IF(LEFT($AI30,3)="AM|","",IF(LEFT($AI30,2)="S|",IFERROR(MATCH($A30,$AW$5:$AW$302,0),""),IF($AI30="HDR","Src Row",""))))))</f>
        <v/>
      </c>
      <c r="AI30" s="8" t="str" cm="1">
        <f t="array" ref="AI30:AI50">_xlfn.LET(_xlpm.m,$AP$5:$AP$302,_xlpm.am,$AN$5:$AN$302,_xlpm.ct,$AO$5:$AO$302,_xlpm.id,$AW$5:$AW$302,_xlpm.s,$AR$5:$AR$302,_xlpm.c,IFERROR("C|"&amp;_xlfn._xlws.SORT(_xlfn.UNIQUE(_xlfn._xlws.FILTER(_xlpm.ct,(_xlpm.m=1)*(_xlpm.ct&lt;&gt;"")))),"BL"),_xlpm.a,IFERROR(_xlfn._xlws.SORT(_xlfn.UNIQUE(_xlfn._xlws.FILTER(_xlpm.am,(_xlpm.m=1)*(_xlpm.am&lt;&gt;"")))),""),_xlpm.st,IFERROR(_xlfn.DROP(_xlfn.REDUCE("",_xlpm.a,_xlfn.LAMBDA(_xlpm.acc,_xlpm.x,_xlfn.VSTACK(_xlpm.acc,"AM|"&amp;_xlpm.x,"S|"&amp;_xlfn.SORTBY(_xlfn._xlws.FILTER(_xlpm.id,(_xlpm.m=1)*(_xlpm.am=_xlpm.x)),_xlfn._xlws.FILTER(_xlpm.s,(_xlpm.m=1)*(_xlpm.am=_xlpm.x)),-1)))),1),"BL"),_xlfn.VSTACK(_xlpm.c,"CT","BL","SEC","HDR",_xlpm.st))</f>
        <v>C|Jeddah</v>
      </c>
      <c r="AN30" s="8" t="str" cm="1">
        <f t="array" ref="AN30">IF($AW30="","",_xlfn.LET(_xlpm.sa,IFERROR(TRIM(INDEX('Sales and count'!$D$4:$D$300,$BF30)&amp;""),""),_xlpm.ta,IFERROR(TRIM(INDEX('TY Sales Target'!$F$5:$F$300,$BG30)&amp;""),""),IF(AND(_xlpm.sa&lt;&gt;"",LEFT(_xlpm.sa,1)&lt;&gt;"#",_xlpm.sa&lt;&gt;"0"),_xlpm.sa,IF(AND(_xlpm.ta&lt;&gt;"",LEFT(_xlpm.ta,1)&lt;&gt;"#",_xlpm.ta&lt;&gt;"0"),_xlpm.ta,IF(ISNUMBER($BG30),"Unassigned","")))))</f>
        <v>Ahlam Al Zahrani</v>
      </c>
      <c r="AO30" s="8" t="str" cm="1">
        <f t="array" ref="AO30">IF($AW30="","",_xlfn.LET(_xlpm.sa,IFERROR(TRIM(INDEX('Sales and count'!$C$4:$C$300,$BF30)&amp;""),""),_xlpm.ta,IFERROR(TRIM(INDEX('TY Sales Target'!$D$5:$D$300,$BG30)&amp;""),""),IF(AND(_xlpm.sa&lt;&gt;"",LEFT(_xlpm.sa,1)&lt;&gt;"#",_xlpm.sa&lt;&gt;"0"),_xlpm.sa,IF(AND(_xlpm.ta&lt;&gt;"",LEFT(_xlpm.ta,1)&lt;&gt;"#",_xlpm.ta&lt;&gt;"0"),_xlpm.ta,""))))</f>
        <v>Jeddah</v>
      </c>
      <c r="AP30" s="8">
        <f t="shared" si="2"/>
        <v>0</v>
      </c>
      <c r="AQ30" s="8">
        <f t="shared" si="0"/>
        <v>1</v>
      </c>
      <c r="AR30" s="8" cm="1">
        <f t="array" ref="AR30">IF($BF30="",0,_xlfn.LET(_xlpm.d,IFERROR(--'Sales and count'!$G$2:$CC$2,0),SUMPRODUCT(('Sales and count'!$G$3:$CC$3="Total")*(_xlpm.d&gt;=$U$4)*(_xlpm.d&lt;=$U$5),INDEX('Sales and count'!$G$4:$CC$300,$BF30,0))))</f>
        <v>121471.73</v>
      </c>
      <c r="AS30" s="8" cm="1">
        <f t="array" aca="1" ref="AS30" ca="1">IF($BF30="",0,_xlfn.LET(_xlpm.d,IFERROR(--'Sales and count'!$F$2:$CB$2,0),SUMPRODUCT(('Sales and count'!$G$3:$CC$3="Transactions")*(_xlpm.d&gt;=$U$4)*(_xlpm.d&lt;=$U$5),INDEX('Sales and count'!$G$4:$CC$300,$BF30,0))))</f>
        <v>751</v>
      </c>
      <c r="AT30" s="8" cm="1">
        <f t="array" ref="AT30">IF($AW30="",0,SUMPRODUCT((TRIM('LY Sales '!$B$5:$B$200)=$AW30)*('LY Sales '!$C$2:$AG$2&gt;=EDATE($U$4,-12))*('LY Sales '!$C$2:$AG$2&lt;=EDATE($U$5,-12)),'LY Sales '!$C$5:$AG$200))</f>
        <v>112098.67999999998</v>
      </c>
      <c r="AU30" s="8" cm="1">
        <f t="array" ref="AU30">IF($AW30="",0,SUMPRODUCT((TRIM('LY Transaction'!$B$5:$B$200)=$AW30)*('LY Transaction'!$C$2:$AG$2&gt;=EDATE($U$4,-12))*('LY Transaction'!$C$2:$AG$2&lt;=EDATE($U$5,-12)),'LY Transaction'!$C$5:$AG$200))</f>
        <v>742</v>
      </c>
      <c r="AV30" s="8" cm="1">
        <f t="array" ref="AV30">IF(NOT(ISNUMBER($BG30)),0,SUMPRODUCT(('TY Sales Target'!$K$2:$AO$2&gt;=$U$4)*('TY Sales Target'!$K$2:$AO$2&lt;=$U$5),INDEX('TY Sales Target'!$K$5:$AO$300,$BG30,0)))</f>
        <v>164727.61757074451</v>
      </c>
      <c r="AW30" s="8" t="str" cm="1">
        <f t="array" ref="AW30">IFERROR(INDEX(_xlfn.ANCHORARRAY($BR$5),ROWS($AW$5:AW30)),"")</f>
        <v>JEDDHAIFA</v>
      </c>
      <c r="AY30" s="132">
        <v>46320</v>
      </c>
      <c r="AZ30" s="132"/>
      <c r="BB30" cm="1">
        <f t="array" ref="BB30">IF($AW30="",0,SUMPRODUCT((TRIM(Footfall!$B$5:$B$301)=$AW30)*(Footfall!$C$1:$BZ$1&gt;=$U$4)*(Footfall!$C$2:$BZ$2&lt;=$U$5)*(Footfall!$C$1:$BZ$1&lt;&gt;""),Footfall!$C$5:$BZ$301))</f>
        <v>6625</v>
      </c>
      <c r="BC30" cm="1">
        <f t="array" aca="1" ref="BC30" ca="1">IF(OR($BB30&lt;=0,$BD$1="",$BF30=""),0,_xlfn.LET(_xlpm.d,IFERROR(--'Sales and count'!$F$2:$CB$2,0),SUMPRODUCT(('Sales and count'!$G$3:$CC$3="Transactions")*(_xlpm.d&gt;=$BD$1)*(_xlpm.d&lt;=$BD$2),INDEX('Sales and count'!$G$4:$CC$300,$BF30,0))))</f>
        <v>751</v>
      </c>
      <c r="BF30" cm="1">
        <f t="array" ref="BF30">IF($AW30="","",IFERROR(MATCH($AW30,TRIM('Sales and count'!$A$4:$A$300&amp;""),0),""))</f>
        <v>26</v>
      </c>
      <c r="BG30" cm="1">
        <f t="array" ref="BG30">IF($AW30="","",IFERROR(MATCH(IFERROR(_xlfn.XLOOKUP($AW30,$BT$5:$BT$22,$BU$5:$BU$22),$AW30),TRIM('TY Sales Target'!$B$5:$B$300&amp;""),0),""))</f>
        <v>60</v>
      </c>
      <c r="BH30" t="str" cm="1">
        <f t="array" ref="BH30">IF(ISNUMBER($BG30),_xlfn.LET(_xlpm.p,TRIM(INDEX('TY Sales Target'!$I$5:$I$300,$BG30)&amp;""),IF(_xlpm.p="","Not set",_xlpm.p)),"Not set")</f>
        <v>Smart Phone</v>
      </c>
      <c r="BI30" cm="1">
        <f t="array" ref="BI30">IF($BF30="",0,_xlfn.LET(_xlpm.d,IFERROR(--'Sales and count'!$G$2:$CC$2,0),SUMPRODUCT(('Sales and count'!$G$3:$CC$3="Total")*(_xlpm.d&gt;=$BZ$5)*(_xlpm.d&lt;=$BZ$6),INDEX('Sales and count'!$G$4:$CC$300,$BF30,0))))</f>
        <v>121471.73</v>
      </c>
      <c r="BJ30" cm="1">
        <f t="array" ref="BJ30">IF($AW30="",0,SUMPRODUCT((TRIM('LY Sales '!$B$5:$B$200)=$AW30)*('LY Sales '!$C$2:$AG$2&gt;=EDATE($BZ$5,-12))*('LY Sales '!$C$2:$AG$2&lt;=EDATE($BZ$6,-12)),'LY Sales '!$C$5:$AG$200))</f>
        <v>112098.67999999998</v>
      </c>
      <c r="BK30" cm="1">
        <f t="array" ref="BK30">IF($AW30="",0,SUMPRODUCT((TRIM('LY Sales '!$B$5:$B$200)=$AW30)*('LY Sales '!$C$2:$AG$2&gt;=EDATE($BZ$5,-12))*('LY Sales '!$C$2:$AG$2&lt;=EDATE($BZ$7,-12)),'LY Sales '!$C$5:$AG$200))</f>
        <v>141422.35999999999</v>
      </c>
      <c r="BL30" cm="1">
        <f t="array" ref="BL30">IF($AW30="",0,SUMPRODUCT((TRIM('LY Sales '!$B$5:$B$200)=$AW30)*('LY Sales '!$C$2:$AG$2&gt;=EDATE($BZ$5,-12))*('LY Sales '!$C$2:$AG$2&lt;=EDATE($BZ$6,-12))*('LY Sales '!$C$5:$AG$200&gt;0)))</f>
        <v>26</v>
      </c>
      <c r="BM30" cm="1">
        <f t="array" ref="BM30">IF(NOT(ISNUMBER($BG30)),0,SUMPRODUCT(('TY Sales Target'!$K$2:$AO$2&gt;=$BZ$5)*('TY Sales Target'!$K$2:$AO$2&lt;=$BZ$6),INDEX('TY Sales Target'!$K$5:$AO$300,$BG30,0)))</f>
        <v>164727.61757074451</v>
      </c>
      <c r="BN30" cm="1">
        <f t="array" ref="BN30">IF(NOT(ISNUMBER($BG30)),0,SUMPRODUCT(('TY Sales Target'!$K$2:$AO$2&gt;=$BZ$5)*('TY Sales Target'!$K$2:$AO$2&lt;=$BZ$7),INDEX('TY Sales Target'!$K$5:$AO$300,$BG30,0)))</f>
        <v>215000.00000000003</v>
      </c>
      <c r="BO30" cm="1">
        <f t="array" ref="BO30">IF($AW30="",0,IFERROR(_xlfn.SWITCH($BP30,"LY trend",$BI30*$BK30/$BJ30,"Target curve",$BI30*$BN30/$BM30,"Run rate",$BI30/$BZ$8*$BZ$9,0),0))</f>
        <v>153247.28828102883</v>
      </c>
      <c r="BP30" t="str">
        <f t="shared" si="1"/>
        <v>LY trend</v>
      </c>
      <c r="BR30" t="str">
        <v>JEDDHAIFA</v>
      </c>
      <c r="BX30" t="str">
        <v>Riyadh</v>
      </c>
      <c r="CB30" cm="1">
        <f t="array" ref="CB30">IF($AW30="",0,_xlfn.LET(_xlpm.k,IFERROR(_xlfn.XLOOKUP($AW30,$CD$6:$CD$21,$CE$6:$CE$21),$AW30),SUMPRODUCT((TRIM('Makeup '!$A$2:$A$300&amp;"")=_xlpm.k)*1,IFERROR('Makeup '!$F$2:$F$300*1,0))))</f>
        <v>3802.98</v>
      </c>
      <c r="CF30" t="str" cm="1">
        <f t="array" ref="CF30">IF($AW30="","",_xlfn.LET(_xlpm.c,IFERROR(TRIM(INDEX('Sales and count'!$B$4:$B$300,$BF30)&amp;""),""),IF(OR(_xlpm.c="",_xlpm.c="0",LEFT(_xlpm.c,1)="#"),"Not set",_xlpm.c)))</f>
        <v>KSA</v>
      </c>
      <c r="CH30" cm="1">
        <f t="array" ref="CH30">IF($AW30="",0,_xlfn.LET(_xlpm.k,IFERROR(_xlfn.XLOOKUP($AW30,$CD$6:$CD$21,$CE$6:$CE$21),$AW30),--(SUMPRODUCT((TRIM('Makeup '!$A$2:$A$300&amp;"")=_xlpm.k)*ISNUMBER('Makeup '!$F$2:$F$300))&gt;0)))</f>
        <v>1</v>
      </c>
      <c r="CI30">
        <f t="shared" si="4"/>
        <v>121471.73</v>
      </c>
      <c r="CJ30" cm="1">
        <f t="array" ref="CJ30">IF($AW30="",0,--(SUMPRODUCT(--(TRIM(Footfall!$B$5:$B$301)=$AW30))&gt;0))</f>
        <v>1</v>
      </c>
      <c r="CK30" s="8" cm="1">
        <f t="array" ref="CK30">IF($AW30="",0,_xlfn.LET(_xlpm.r,IFERROR(MATCH(IFERROR(_xlfn.XLOOKUP($AW30,$BT$5:$BT$22,$BU$5:$BU$22),$AW30),TRIM('TY Beauty Target'!$B$5:$B$300&amp;""),0),""),IF(ISNUMBER(_xlpm.r),SUMPRODUCT(('TY Beauty Target'!$L$2:$AP$2&gt;=$U$4)*('TY Beauty Target'!$L$2:$AP$2&lt;=$U$5),INDEX('TY Beauty Target'!$L$5:$AP$300,_xlpm.r,0)),0)))</f>
        <v>6523.5967189940748</v>
      </c>
    </row>
    <row r="31" spans="1:89" ht="15" customHeight="1" x14ac:dyDescent="0.25">
      <c r="A31" s="38" t="str">
        <f t="shared" si="30"/>
        <v>Taif</v>
      </c>
      <c r="B31" s="43" t="str" cm="1">
        <f t="array" ref="B31">IF($AI31="","",IF(LEFT($AI31,2)="C|",IF($C31="","",_xlfn.TEXTJOIN(", ",TRUE,_xlfn.UNIQUE(_xlfn._xlws.FILTER($AN$5:$AN$302,($AP$5:$AP$302=1)*($AO$5:$AO$302=$A31))))),IF($AI31="CT",B$13,IF(LEFT($AI31,3)="AM|",IF($C31="","",ROWS(_xlfn.UNIQUE(_xlfn._xlws.FILTER($AO$5:$AO$302,($AP$5:$AP$302=1)*($AN$5:$AN$302=$A31))))),IF(LEFT($AI31,2)="S|",IF($AG31="","",INDEX($AO$5:$AO$302,$AH31)),IF($AI31="HDR","City",""))))))</f>
        <v>Saleh Bin Hoiel</v>
      </c>
      <c r="C31" s="39" cm="1">
        <f t="array" ref="C31">IF($AI31="","",IF(LEFT($AI31,2)="C|",_xlfn.LET(_xlpm.n,SUMPRODUCT($AP$5:$AP$302*($AO$5:$AO$302=$A31)),IF(_xlpm.n=0,"",_xlpm.n)),IF($AI31="CT",C$13,IF(LEFT($AI31,3)="AM|",_xlfn.LET(_xlpm.n,SUMPRODUCT($AP$5:$AP$302*($AN$5:$AN$302=$A31)),IF(_xlpm.n=0,"",_xlpm.n)),IF(LEFT($AI31,2)="S|","",IF($AI31="HDR","# Stores",""))))))</f>
        <v>4</v>
      </c>
      <c r="D31" s="40" cm="1">
        <f t="array" ref="D31">IF($AI31="","",IF(LEFT($AI31,2)="C|",IF($C31="","",SUMPRODUCT($AP$5:$AP$302*($AO$5:$AO$302=$A31),$AR$5:$AR$302)),IF($AI31="CT",D$13,IF(LEFT($AI31,3)="AM|",IF($C31="","",SUMPRODUCT($AP$5:$AP$302*($AN$5:$AN$302=$A31),$AR$5:$AR$302)),IF(LEFT($AI31,2)="S|",IF($AG31="","",INDEX($AR$5:$AR$302,$AH31)),IF($AI31="HDR","Sales TY",""))))))</f>
        <v>380974.1</v>
      </c>
      <c r="E31" s="40" cm="1">
        <f t="array" ref="E31">IF($AI31="","",IF(LEFT($AI31,2)="C|",IF($C31="","",SUMPRODUCT($AP$5:$AP$302*($AO$5:$AO$302=$A31),$AT$5:$AT$302)),IF($AI31="CT",E$13,IF(LEFT($AI31,3)="AM|",IF($C31="","",SUMPRODUCT($AP$5:$AP$302*($AN$5:$AN$302=$A31),$AT$5:$AT$302)),IF(LEFT($AI31,2)="S|",IF($AG31="","",INDEX($AT$5:$AT$302,$AH31)),IF($AI31="HDR","Sales LY",""))))))</f>
        <v>374836.66999999993</v>
      </c>
      <c r="F31" s="41">
        <f t="shared" si="31"/>
        <v>-0.29662423369623869</v>
      </c>
      <c r="G31" s="41">
        <f t="shared" si="32"/>
        <v>1.6373611471897975E-2</v>
      </c>
      <c r="H31" s="40" cm="1">
        <f t="array" ref="H31">IF($AI31="","",IF(LEFT($AI31,2)="C|",IF($C31="","",SUMPRODUCT($AP$5:$AP$302*($AO$5:$AO$302=$A31),$AV$5:$AV$302)),IF($AI31="CT",H$13,IF(LEFT($AI31,3)="AM|",IF($C31="","",SUMPRODUCT($AP$5:$AP$302*($AN$5:$AN$302=$A31),$AV$5:$AV$302)),IF(LEFT($AI31,2)="S|",IF($AG31="","",INDEX($AV$5:$AV$302,$AH31)),IF($AI31="HDR","Target",""))))))</f>
        <v>771188.69588994887</v>
      </c>
      <c r="I31" s="41">
        <f t="shared" si="33"/>
        <v>0.49400892677810493</v>
      </c>
      <c r="J31" s="40">
        <f t="shared" si="34"/>
        <v>-390214.59588994889</v>
      </c>
      <c r="K31" s="41">
        <f t="shared" si="35"/>
        <v>0.21586167151389329</v>
      </c>
      <c r="L31" s="40" cm="1">
        <f t="array" ref="L31">IF($AI31="","",IF(LEFT($AI31,2)="C|",IF($C31="","",SUMPRODUCT($AP$5:$AP$302*($AO$5:$AO$302=$A31),$BN$5:$BN$302)),IF($AI31="CT",L$13,IF(LEFT($AI31,3)="AM|",IF($C31="","",SUMPRODUCT($AP$5:$AP$302*($AN$5:$AN$302=$A31),$BN$5:$BN$302)),IF(LEFT($AI31,2)="S|",IF($AG31="","",INDEX($BN$5:$BN$302,$AH31)),IF($AI31="HDR","Month Target",""))))))</f>
        <v>1006543.8452974141</v>
      </c>
      <c r="M31" s="40" cm="1">
        <f t="array" ref="M31">IF($AI31="","",IF(LEFT($AI31,2)="C|",IF($C31="","",SUMPRODUCT($AP$5:$AP$302*($AO$5:$AO$302=$A31),$BO$5:$BO$302)),IF($AI31="CT",M$13,IF(LEFT($AI31,3)="AM|",IF($C31="","",SUMPRODUCT($AP$5:$AP$302*($AN$5:$AN$302=$A31),$BO$5:$BO$302)),IF(LEFT($AI31,2)="S|",IF($AG31="","",INDEX($BO$5:$BO$302,$AH31)),IF($AI31="HDR","Projected Close",""))))))</f>
        <v>494461.93366952485</v>
      </c>
      <c r="N31" s="41">
        <f t="shared" ref="N31:N94" si="43">IF($AI31="HDR","Proj. Ach %",IF(OR(L31="",M31=""),"",IFERROR(M31/L31,"")))</f>
        <v>0.49124728741788787</v>
      </c>
      <c r="O31" s="41" cm="1">
        <f t="array" ref="O31">IF($AI31="HDR","Proj. vs LY",IF(OR($AI31="",M31=""),"",_xlfn.LET(_xlpm.ly,IF(LEFT($AI31,2)="C|",SUMPRODUCT($AP$5:$AP$302*($AO$5:$AO$302=$A31),$BK$5:$BK$302),IF($AI31="CT",SUMPRODUCT($AP$5:$AP$302,$BK$5:$BK$302),IF(LEFT($AI31,3)="AM|",SUMPRODUCT($AP$5:$AP$302*($AN$5:$AN$302=$A31),$BK$5:$BK$302),IF(LEFT($AI31,2)="S|",INDEX($BK$5:$BK$302,$AH31),0)))),IFERROR(M31/_xlpm.ly-1,""))))</f>
        <v>2.1054259840101786E-2</v>
      </c>
      <c r="P31" s="40" cm="1">
        <f t="array" aca="1" ref="P31" ca="1">IF($AI31="","",IF(LEFT($AI31,2)="C|",IF($C31="","",SUMPRODUCT($AP$5:$AP$302*($AO$5:$AO$302=$A31),$AS$5:$AS$302)),IF($AI31="CT",P$13,IF(LEFT($AI31,3)="AM|",IF($C31="","",SUMPRODUCT($AP$5:$AP$302*($AN$5:$AN$302=$A31),$AS$5:$AS$302)),IF(LEFT($AI31,2)="S|",IF($AG31="","",INDEX($AS$5:$AS$302,$AH31)),IF($AI31="HDR","Trans TY",""))))))</f>
        <v>3123</v>
      </c>
      <c r="Q31" s="40" cm="1">
        <f t="array" ref="Q31">IF($AI31="","",IF(LEFT($AI31,2)="C|",IF($C31="","",SUMPRODUCT($AP$5:$AP$302*($AO$5:$AO$302=$A31),$AU$5:$AU$302)),IF($AI31="CT",Q$13,IF(LEFT($AI31,3)="AM|",IF($C31="","",SUMPRODUCT($AP$5:$AP$302*($AN$5:$AN$302=$A31),$AU$5:$AU$302)),IF(LEFT($AI31,2)="S|",IF($AG31="","",INDEX($AU$5:$AU$302,$AH31)),IF($AI31="HDR","Trans LY",""))))))</f>
        <v>3104</v>
      </c>
      <c r="R31" s="41">
        <f t="shared" ca="1" si="36"/>
        <v>-0.31346649484536082</v>
      </c>
      <c r="S31" s="41">
        <f t="shared" ca="1" si="37"/>
        <v>6.121134020618646E-3</v>
      </c>
      <c r="T31" s="42">
        <f t="shared" ca="1" si="38"/>
        <v>121.98978546269612</v>
      </c>
      <c r="U31" s="42">
        <f t="shared" si="39"/>
        <v>120.75923646907214</v>
      </c>
      <c r="V31" s="41">
        <f t="shared" ca="1" si="40"/>
        <v>2.4532322199378287E-2</v>
      </c>
      <c r="W31" s="40" cm="1">
        <f t="array" ref="W31">IF($AI31="","",IF(LEFT($AI31,2)="C|",_xlfn.LET(_xlpm.n,SUMPRODUCT($AP$5:$AP$302*($AO$5:$AO$302=$A31),$BB$5:$BB$302),IF(_xlpm.n=0,"",_xlpm.n)),IF($AI31="CT",W$13,IF(LEFT($AI31,3)="AM|",_xlfn.LET(_xlpm.n,SUMPRODUCT($AP$5:$AP$302*($AN$5:$AN$302=$A31),$BB$5:$BB$302),IF(_xlpm.n=0,"",_xlpm.n)),IF(LEFT($AI31,2)="S|",IF($AG31="","",_xlfn.LET(_xlpm.n,INDEX($BB$5:$BB$302,$AH31),IF(_xlpm.n=0,"",_xlpm.n))),IF($AI31="HDR","Footfall",""))))))</f>
        <v>18376</v>
      </c>
      <c r="X31" s="40" cm="1">
        <f t="array" aca="1" ref="X31" ca="1">IF($AI31="","",IF($AI31="HDR","Trans (FF stores)",IF(W31="","",IF(LEFT($AI31,2)="C|",SUMPRODUCT($AP$5:$AP$302*($AO$5:$AO$302=$A31),$BC$5:$BC$302),IF($AI31="CT",X$13,IF(LEFT($AI31,3)="AM|",SUMPRODUCT($AP$5:$AP$302*($AN$5:$AN$302=$A31),$BC$5:$BC$302),IF(LEFT($AI31,2)="S|",INDEX($BC$5:$BC$302,$AH31),"")))))))</f>
        <v>3123</v>
      </c>
      <c r="Y31" s="41">
        <f t="shared" ref="Y31:Y94" ca="1" si="44">IF($AI31="","",IF($AI31="HDR","Conversion %",IF(OR(W31="",X31=""),"",IFERROR(X31/W31,""))))</f>
        <v>0.16994993469743144</v>
      </c>
      <c r="Z31" s="40" cm="1">
        <f t="array" ref="Z31">IF($AI31="","",IF(LEFT($AI31,2)="C|",IF($C31="","",SUMPRODUCT($AP$5:$AP$302*($AO$5:$AO$302=$A31),$CB$5:$CB$302)),IF($AI31="CT",Z$13,IF(LEFT($AI31,3)="AM|",IF($C31="","",SUMPRODUCT($AP$5:$AP$302*($AN$5:$AN$302=$A31),$CB$5:$CB$302)),IF(LEFT($AI31,2)="S|",IF($AG31="","",INDEX($CB$5:$CB$302,$AH31)),IF($AI31="HDR","Makeup Sales",""))))))</f>
        <v>21782.949999999997</v>
      </c>
      <c r="AA31" s="41">
        <f t="shared" si="41"/>
        <v>5.7176983947202706E-2</v>
      </c>
      <c r="AB31" s="40" cm="1">
        <f t="array" ref="AB31">IF($AI31="","",IF(LEFT($AI31,2)="C|",IF($C31="","",SUMPRODUCT($AP$5:$AP$302*($AO$5:$AO$302=$A31),$CK$5:$CK$302)),IF($AI31="CT",AB$13,IF(LEFT($AI31,3)="AM|",IF($C31="","",SUMPRODUCT($AP$5:$AP$302*($AN$5:$AN$302=$A31),$CK$5:$CK$302)),IF(LEFT($AI31,2)="S|",IF($AG31="","",INDEX($CK$5:$CK$302,$AH31)),IF($AI31="HDR","Makeup Target",""))))))</f>
        <v>41495.081785840521</v>
      </c>
      <c r="AC31" s="41">
        <f t="shared" ref="AC31:AC94" si="45">IF($AI31="HDR","Makeup Ach. %",IF(OR(Z31="",AB31=""),"",IFERROR(Z31/AB31,"")))</f>
        <v>0.52495257419719199</v>
      </c>
      <c r="AD31" s="40" cm="1">
        <f t="array" ref="AD31">IF($AI31="","",IF(LEFT($AI31,2)="C|",IF($C31="","",SUMPRODUCT($AP$5:$AP$302*($AO$5:$AO$302=$A31),$CI$5:$CI$302)),IF($AI31="CT",AD$13,IF(LEFT($AI31,3)="AM|",IF($C31="","",SUMPRODUCT($AP$5:$AP$302*($AN$5:$AN$302=$A31),$CI$5:$CI$302)),IF(LEFT($AI31,2)="S|",IF($AG31="","",INDEX($CI$5:$CI$302,$AH31)),IF($AI31="HDR","Cosmetic Sales",""))))))</f>
        <v>380974.1</v>
      </c>
      <c r="AE31" s="8" cm="1">
        <f t="array" ref="AE31">IF($AI31="","",IF(LEFT($AI31,2)="C|",IF($C31="","",SUMPRODUCT($AP$5:$AP$302*($AO$5:$AO$302=$A31)*$AQ$5:$AQ$302,$AR$5:$AR$302)),IF($AI31="CT",AE$13,IF(LEFT($AI31,3)="AM|",IF($C31="","",SUMPRODUCT($AP$5:$AP$302*($AN$5:$AN$302=$A31)*$AQ$5:$AQ$302,$AR$5:$AR$302)),IF(LEFT($AI31,2)="S|",IF($AG31="","",IF(INDEX($AQ$5:$AQ$302,$AH31)=1,D31,0)),IF($AI31="HDR","LFL Sales",""))))))</f>
        <v>263651.03000000003</v>
      </c>
      <c r="AF31" s="8" cm="1">
        <f t="array" aca="1" ref="AF31" ca="1">IF($AI31="","",IF(LEFT($AI31,2)="C|",IF($C31="","",SUMPRODUCT($AP$5:$AP$302*($AO$5:$AO$302=$A31)*$AQ$5:$AQ$302,$AS$5:$AS$302)),IF($AI31="CT",AF$13,IF(LEFT($AI31,3)="AM|",IF($C31="","",SUMPRODUCT($AP$5:$AP$302*($AN$5:$AN$302=$A31)*$AQ$5:$AQ$302,$AS$5:$AS$302)),IF(LEFT($AI31,2)="S|",IF($AG31="","",IF(INDEX($AQ$5:$AQ$302,$AH31)=1,P31,0)),IF($AI31="HDR","LFL Trans",""))))))</f>
        <v>2131</v>
      </c>
      <c r="AG31" s="8" t="str" cm="1">
        <f t="array" ref="AG31">IF($AI31="","",IF(LEFT($AI31,2)="C|","",IF($AI31="CT","",IF(LEFT($AI31,3)="AM|","",IF(LEFT($AI31,2)="S|",IF($AH31="","",IF(INDEX($AP$5:$AP$302,$AH31)=1,1,"")),IF($AI31="HDR","Show",""))))))</f>
        <v/>
      </c>
      <c r="AH31" s="8" t="str">
        <f t="shared" si="42"/>
        <v/>
      </c>
      <c r="AI31" s="8" t="str">
        <v>C|Taif</v>
      </c>
      <c r="AN31" s="8" t="str" cm="1">
        <f t="array" ref="AN31">IF($AW31="","",_xlfn.LET(_xlpm.sa,IFERROR(TRIM(INDEX('Sales and count'!$D$4:$D$300,$BF31)&amp;""),""),_xlpm.ta,IFERROR(TRIM(INDEX('TY Sales Target'!$F$5:$F$300,$BG31)&amp;""),""),IF(AND(_xlpm.sa&lt;&gt;"",LEFT(_xlpm.sa,1)&lt;&gt;"#",_xlpm.sa&lt;&gt;"0"),_xlpm.sa,IF(AND(_xlpm.ta&lt;&gt;"",LEFT(_xlpm.ta,1)&lt;&gt;"#",_xlpm.ta&lt;&gt;"0"),_xlpm.ta,IF(ISNUMBER($BG31),"Unassigned","")))))</f>
        <v>Ahlam Al Zahrani</v>
      </c>
      <c r="AO31" s="8" t="str" cm="1">
        <f t="array" ref="AO31">IF($AW31="","",_xlfn.LET(_xlpm.sa,IFERROR(TRIM(INDEX('Sales and count'!$C$4:$C$300,$BF31)&amp;""),""),_xlpm.ta,IFERROR(TRIM(INDEX('TY Sales Target'!$D$5:$D$300,$BG31)&amp;""),""),IF(AND(_xlpm.sa&lt;&gt;"",LEFT(_xlpm.sa,1)&lt;&gt;"#",_xlpm.sa&lt;&gt;"0"),_xlpm.sa,IF(AND(_xlpm.ta&lt;&gt;"",LEFT(_xlpm.ta,1)&lt;&gt;"#",_xlpm.ta&lt;&gt;"0"),_xlpm.ta,""))))</f>
        <v>Jeddah</v>
      </c>
      <c r="AP31" s="8">
        <f t="shared" si="2"/>
        <v>0</v>
      </c>
      <c r="AQ31" s="8">
        <f t="shared" si="0"/>
        <v>1</v>
      </c>
      <c r="AR31" s="8" cm="1">
        <f t="array" ref="AR31">IF($BF31="",0,_xlfn.LET(_xlpm.d,IFERROR(--'Sales and count'!$G$2:$CC$2,0),SUMPRODUCT(('Sales and count'!$G$3:$CC$3="Total")*(_xlpm.d&gt;=$U$4)*(_xlpm.d&lt;=$U$5),INDEX('Sales and count'!$G$4:$CC$300,$BF31,0))))</f>
        <v>189881.15</v>
      </c>
      <c r="AS31" s="8" cm="1">
        <f t="array" aca="1" ref="AS31" ca="1">IF($BF31="",0,_xlfn.LET(_xlpm.d,IFERROR(--'Sales and count'!$F$2:$CB$2,0),SUMPRODUCT(('Sales and count'!$G$3:$CC$3="Transactions")*(_xlpm.d&gt;=$U$4)*(_xlpm.d&lt;=$U$5),INDEX('Sales and count'!$G$4:$CC$300,$BF31,0))))</f>
        <v>1504</v>
      </c>
      <c r="AT31" s="8" cm="1">
        <f t="array" ref="AT31">IF($AW31="",0,SUMPRODUCT((TRIM('LY Sales '!$B$5:$B$200)=$AW31)*('LY Sales '!$C$2:$AG$2&gt;=EDATE($U$4,-12))*('LY Sales '!$C$2:$AG$2&lt;=EDATE($U$5,-12)),'LY Sales '!$C$5:$AG$200))</f>
        <v>242569.79999999996</v>
      </c>
      <c r="AU31" s="8" cm="1">
        <f t="array" ref="AU31">IF($AW31="",0,SUMPRODUCT((TRIM('LY Transaction'!$B$5:$B$200)=$AW31)*('LY Transaction'!$C$2:$AG$2&gt;=EDATE($U$4,-12))*('LY Transaction'!$C$2:$AG$2&lt;=EDATE($U$5,-12)),'LY Transaction'!$C$5:$AG$200))</f>
        <v>1866</v>
      </c>
      <c r="AV31" s="8" cm="1">
        <f t="array" ref="AV31">IF(NOT(ISNUMBER($BG31)),0,SUMPRODUCT(('TY Sales Target'!$K$2:$AO$2&gt;=$U$4)*('TY Sales Target'!$K$2:$AO$2&lt;=$U$5),INDEX('TY Sales Target'!$K$5:$AO$300,$BG31,0)))</f>
        <v>337116.9847959422</v>
      </c>
      <c r="AW31" s="8" t="str" cm="1">
        <f t="array" ref="AW31">IFERROR(INDEX(_xlfn.ANCHORARRAY($BR$5),ROWS($AW$5:AW31)),"")</f>
        <v>ANDLUSMALL</v>
      </c>
      <c r="AY31" s="132">
        <v>46321</v>
      </c>
      <c r="AZ31" s="132"/>
      <c r="BB31" cm="1">
        <f t="array" ref="BB31">IF($AW31="",0,SUMPRODUCT((TRIM(Footfall!$B$5:$B$301)=$AW31)*(Footfall!$C$1:$BZ$1&gt;=$U$4)*(Footfall!$C$2:$BZ$2&lt;=$U$5)*(Footfall!$C$1:$BZ$1&lt;&gt;""),Footfall!$C$5:$BZ$301))</f>
        <v>10855</v>
      </c>
      <c r="BC31" cm="1">
        <f t="array" aca="1" ref="BC31" ca="1">IF(OR($BB31&lt;=0,$BD$1="",$BF31=""),0,_xlfn.LET(_xlpm.d,IFERROR(--'Sales and count'!$F$2:$CB$2,0),SUMPRODUCT(('Sales and count'!$G$3:$CC$3="Transactions")*(_xlpm.d&gt;=$BD$1)*(_xlpm.d&lt;=$BD$2),INDEX('Sales and count'!$G$4:$CC$300,$BF31,0))))</f>
        <v>1504</v>
      </c>
      <c r="BF31" cm="1">
        <f t="array" ref="BF31">IF($AW31="","",IFERROR(MATCH($AW31,TRIM('Sales and count'!$A$4:$A$300&amp;""),0),""))</f>
        <v>27</v>
      </c>
      <c r="BG31" cm="1">
        <f t="array" ref="BG31">IF($AW31="","",IFERROR(MATCH(IFERROR(_xlfn.XLOOKUP($AW31,$BT$5:$BT$22,$BU$5:$BU$22),$AW31),TRIM('TY Sales Target'!$B$5:$B$300&amp;""),0),""))</f>
        <v>13</v>
      </c>
      <c r="BH31" t="str" cm="1">
        <f t="array" ref="BH31">IF(ISNUMBER($BG31),_xlfn.LET(_xlpm.p,TRIM(INDEX('TY Sales Target'!$I$5:$I$300,$BG31)&amp;""),IF(_xlpm.p="","Not set",_xlpm.p)),"Not set")</f>
        <v>Car</v>
      </c>
      <c r="BI31" cm="1">
        <f t="array" ref="BI31">IF($BF31="",0,_xlfn.LET(_xlpm.d,IFERROR(--'Sales and count'!$G$2:$CC$2,0),SUMPRODUCT(('Sales and count'!$G$3:$CC$3="Total")*(_xlpm.d&gt;=$BZ$5)*(_xlpm.d&lt;=$BZ$6),INDEX('Sales and count'!$G$4:$CC$300,$BF31,0))))</f>
        <v>189881.15</v>
      </c>
      <c r="BJ31" cm="1">
        <f t="array" ref="BJ31">IF($AW31="",0,SUMPRODUCT((TRIM('LY Sales '!$B$5:$B$200)=$AW31)*('LY Sales '!$C$2:$AG$2&gt;=EDATE($BZ$5,-12))*('LY Sales '!$C$2:$AG$2&lt;=EDATE($BZ$6,-12)),'LY Sales '!$C$5:$AG$200))</f>
        <v>242569.79999999996</v>
      </c>
      <c r="BK31" cm="1">
        <f t="array" ref="BK31">IF($AW31="",0,SUMPRODUCT((TRIM('LY Sales '!$B$5:$B$200)=$AW31)*('LY Sales '!$C$2:$AG$2&gt;=EDATE($BZ$5,-12))*('LY Sales '!$C$2:$AG$2&lt;=EDATE($BZ$7,-12)),'LY Sales '!$C$5:$AG$200))</f>
        <v>307877.61999999988</v>
      </c>
      <c r="BL31" cm="1">
        <f t="array" ref="BL31">IF($AW31="",0,SUMPRODUCT((TRIM('LY Sales '!$B$5:$B$200)=$AW31)*('LY Sales '!$C$2:$AG$2&gt;=EDATE($BZ$5,-12))*('LY Sales '!$C$2:$AG$2&lt;=EDATE($BZ$6,-12))*('LY Sales '!$C$5:$AG$200&gt;0)))</f>
        <v>26</v>
      </c>
      <c r="BM31" cm="1">
        <f t="array" ref="BM31">IF(NOT(ISNUMBER($BG31)),0,SUMPRODUCT(('TY Sales Target'!$K$2:$AO$2&gt;=$BZ$5)*('TY Sales Target'!$K$2:$AO$2&lt;=$BZ$6),INDEX('TY Sales Target'!$K$5:$AO$300,$BG31,0)))</f>
        <v>337116.9847959422</v>
      </c>
      <c r="BN31" cm="1">
        <f t="array" ref="BN31">IF(NOT(ISNUMBER($BG31)),0,SUMPRODUCT(('TY Sales Target'!$K$2:$AO$2&gt;=$BZ$5)*('TY Sales Target'!$K$2:$AO$2&lt;=$BZ$7),INDEX('TY Sales Target'!$K$5:$AO$300,$BG31,0)))</f>
        <v>440000</v>
      </c>
      <c r="BO31" cm="1">
        <f t="array" ref="BO31">IF($AW31="",0,IFERROR(_xlfn.SWITCH($BP31,"LY trend",$BI31*$BK31/$BJ31,"Target curve",$BI31*$BN31/$BM31,"Run rate",$BI31/$BZ$8*$BZ$9,0),0))</f>
        <v>241003.44125634347</v>
      </c>
      <c r="BP31" t="str">
        <f t="shared" si="1"/>
        <v>LY trend</v>
      </c>
      <c r="BR31" t="str">
        <v>ANDLUSMALL</v>
      </c>
      <c r="BX31" t="str">
        <v>Sabya</v>
      </c>
      <c r="CB31" cm="1">
        <f t="array" ref="CB31">IF($AW31="",0,_xlfn.LET(_xlpm.k,IFERROR(_xlfn.XLOOKUP($AW31,$CD$6:$CD$21,$CE$6:$CE$21),$AW31),SUMPRODUCT((TRIM('Makeup '!$A$2:$A$300&amp;"")=_xlpm.k)*1,IFERROR('Makeup '!$F$2:$F$300*1,0))))</f>
        <v>10723.28</v>
      </c>
      <c r="CF31" t="str" cm="1">
        <f t="array" ref="CF31">IF($AW31="","",_xlfn.LET(_xlpm.c,IFERROR(TRIM(INDEX('Sales and count'!$B$4:$B$300,$BF31)&amp;""),""),IF(OR(_xlpm.c="",_xlpm.c="0",LEFT(_xlpm.c,1)="#"),"Not set",_xlpm.c)))</f>
        <v>KSA</v>
      </c>
      <c r="CH31" cm="1">
        <f t="array" ref="CH31">IF($AW31="",0,_xlfn.LET(_xlpm.k,IFERROR(_xlfn.XLOOKUP($AW31,$CD$6:$CD$21,$CE$6:$CE$21),$AW31),--(SUMPRODUCT((TRIM('Makeup '!$A$2:$A$300&amp;"")=_xlpm.k)*ISNUMBER('Makeup '!$F$2:$F$300))&gt;0)))</f>
        <v>1</v>
      </c>
      <c r="CI31">
        <f t="shared" si="4"/>
        <v>189881.15</v>
      </c>
      <c r="CJ31" cm="1">
        <f t="array" ref="CJ31">IF($AW31="",0,--(SUMPRODUCT(--(TRIM(Footfall!$B$5:$B$301)=$AW31))&gt;0))</f>
        <v>1</v>
      </c>
      <c r="CK31" s="8" cm="1">
        <f t="array" ref="CK31">IF($AW31="",0,_xlfn.LET(_xlpm.r,IFERROR(MATCH(IFERROR(_xlfn.XLOOKUP($AW31,$BT$5:$BT$22,$BU$5:$BU$22),$AW31),TRIM('TY Beauty Target'!$B$5:$B$300&amp;""),0),""),IF(ISNUMBER(_xlpm.r),SUMPRODUCT(('TY Beauty Target'!$L$2:$AP$2&gt;=$U$4)*('TY Beauty Target'!$L$2:$AP$2&lt;=$U$5),INDEX('TY Beauty Target'!$L$5:$AP$300,_xlpm.r,0)),0)))</f>
        <v>29541.105193680254</v>
      </c>
    </row>
    <row r="32" spans="1:89" ht="15" customHeight="1" x14ac:dyDescent="0.25">
      <c r="A32" s="38" t="str">
        <f t="shared" si="30"/>
        <v>Total (selection)</v>
      </c>
      <c r="B32" s="43" cm="1">
        <f t="array" ref="B32">IF($AI32="","",IF(LEFT($AI32,2)="C|",IF($C32="","",_xlfn.TEXTJOIN(", ",TRUE,_xlfn.UNIQUE(_xlfn._xlws.FILTER($AN$5:$AN$302,($AP$5:$AP$302=1)*($AO$5:$AO$302=$A32))))),IF($AI32="CT",B$13,IF(LEFT($AI32,3)="AM|",IF($C32="","",ROWS(_xlfn.UNIQUE(_xlfn._xlws.FILTER($AO$5:$AO$302,($AP$5:$AP$302=1)*($AN$5:$AN$302=$A32))))),IF(LEFT($AI32,2)="S|",IF($AG32="","",INDEX($AO$5:$AO$302,$AH32)),IF($AI32="HDR","City",""))))))</f>
        <v>2</v>
      </c>
      <c r="C32" s="39" cm="1">
        <f t="array" ref="C32">IF($AI32="","",IF(LEFT($AI32,2)="C|",_xlfn.LET(_xlpm.n,SUMPRODUCT($AP$5:$AP$302*($AO$5:$AO$302=$A32)),IF(_xlpm.n=0,"",_xlpm.n)),IF($AI32="CT",C$13,IF(LEFT($AI32,3)="AM|",_xlfn.LET(_xlpm.n,SUMPRODUCT($AP$5:$AP$302*($AN$5:$AN$302=$A32)),IF(_xlpm.n=0,"",_xlpm.n)),IF(LEFT($AI32,2)="S|","",IF($AI32="HDR","# Stores",""))))))</f>
        <v>14</v>
      </c>
      <c r="D32" s="40" cm="1">
        <f t="array" ref="D32">IF($AI32="","",IF(LEFT($AI32,2)="C|",IF($C32="","",SUMPRODUCT($AP$5:$AP$302*($AO$5:$AO$302=$A32),$AR$5:$AR$302)),IF($AI32="CT",D$13,IF(LEFT($AI32,3)="AM|",IF($C32="","",SUMPRODUCT($AP$5:$AP$302*($AN$5:$AN$302=$A32),$AR$5:$AR$302)),IF(LEFT($AI32,2)="S|",IF($AG32="","",INDEX($AR$5:$AR$302,$AH32)),IF($AI32="HDR","Sales TY",""))))))</f>
        <v>1764899.2400000002</v>
      </c>
      <c r="E32" s="40" cm="1">
        <f t="array" ref="E32">IF($AI32="","",IF(LEFT($AI32,2)="C|",IF($C32="","",SUMPRODUCT($AP$5:$AP$302*($AO$5:$AO$302=$A32),$AT$5:$AT$302)),IF($AI32="CT",E$13,IF(LEFT($AI32,3)="AM|",IF($C32="","",SUMPRODUCT($AP$5:$AP$302*($AN$5:$AN$302=$A32),$AT$5:$AT$302)),IF(LEFT($AI32,2)="S|",IF($AG32="","",INDEX($AT$5:$AT$302,$AH32)),IF($AI32="HDR","Sales LY",""))))))</f>
        <v>1700848.1199999996</v>
      </c>
      <c r="F32" s="41">
        <f t="shared" si="31"/>
        <v>-0.26511873382321727</v>
      </c>
      <c r="G32" s="41">
        <f t="shared" si="32"/>
        <v>3.765834188651751E-2</v>
      </c>
      <c r="H32" s="40" cm="1">
        <f t="array" ref="H32">IF($AI32="","",IF(LEFT($AI32,2)="C|",IF($C32="","",SUMPRODUCT($AP$5:$AP$302*($AO$5:$AO$302=$A32),$AV$5:$AV$302)),IF($AI32="CT",H$13,IF(LEFT($AI32,3)="AM|",IF($C32="","",SUMPRODUCT($AP$5:$AP$302*($AN$5:$AN$302=$A32),$AV$5:$AV$302)),IF(LEFT($AI32,2)="S|",IF($AG32="","",INDEX($AV$5:$AV$302,$AH32)),IF($AI32="HDR","Target",""))))))</f>
        <v>2724934.8577755233</v>
      </c>
      <c r="I32" s="41">
        <f t="shared" si="33"/>
        <v>0.64768492904111485</v>
      </c>
      <c r="J32" s="40">
        <f t="shared" si="34"/>
        <v>-960035.6177755231</v>
      </c>
      <c r="K32" s="41">
        <f t="shared" si="35"/>
        <v>1</v>
      </c>
      <c r="L32" s="40" cm="1">
        <f t="array" ref="L32">IF($AI32="","",IF(LEFT($AI32,2)="C|",IF($C32="","",SUMPRODUCT($AP$5:$AP$302*($AO$5:$AO$302=$A32),$BN$5:$BN$302)),IF($AI32="CT",L$13,IF(LEFT($AI32,3)="AM|",IF($C32="","",SUMPRODUCT($AP$5:$AP$302*($AN$5:$AN$302=$A32),$BN$5:$BN$302)),IF(LEFT($AI32,2)="S|",IF($AG32="","",INDEX($BN$5:$BN$302,$AH32)),IF($AI32="HDR","Month Target",""))))))</f>
        <v>3556543.8452974143</v>
      </c>
      <c r="M32" s="40" cm="1">
        <f t="array" ref="M32">IF($AI32="","",IF(LEFT($AI32,2)="C|",IF($C32="","",SUMPRODUCT($AP$5:$AP$302*($AO$5:$AO$302=$A32),$BO$5:$BO$302)),IF($AI32="CT",M$13,IF(LEFT($AI32,3)="AM|",IF($C32="","",SUMPRODUCT($AP$5:$AP$302*($AN$5:$AN$302=$A32),$BO$5:$BO$302)),IF(LEFT($AI32,2)="S|",IF($AG32="","",INDEX($BO$5:$BO$302,$AH32)),IF($AI32="HDR","Projected Close",""))))))</f>
        <v>2258685.080763713</v>
      </c>
      <c r="N32" s="41">
        <f t="shared" si="43"/>
        <v>0.63507865473111624</v>
      </c>
      <c r="O32" s="41" cm="1">
        <f t="array" ref="O32">IF($AI32="HDR","Proj. vs LY",IF(OR($AI32="",M32=""),"",_xlfn.LET(_xlpm.ly,IF(LEFT($AI32,2)="C|",SUMPRODUCT($AP$5:$AP$302*($AO$5:$AO$302=$A32),$BK$5:$BK$302),IF($AI32="CT",SUMPRODUCT($AP$5:$AP$302,$BK$5:$BK$302),IF(LEFT($AI32,3)="AM|",SUMPRODUCT($AP$5:$AP$302*($AN$5:$AN$302=$A32),$BK$5:$BK$302),IF(LEFT($AI32,2)="S|",INDEX($BK$5:$BK$302,$AH32),0)))),IFERROR(M32/_xlpm.ly-1,""))))</f>
        <v>4.7148683092635757E-2</v>
      </c>
      <c r="P32" s="40" cm="1">
        <f t="array" aca="1" ref="P32" ca="1">IF($AI32="","",IF(LEFT($AI32,2)="C|",IF($C32="","",SUMPRODUCT($AP$5:$AP$302*($AO$5:$AO$302=$A32),$AS$5:$AS$302)),IF($AI32="CT",P$13,IF(LEFT($AI32,3)="AM|",IF($C32="","",SUMPRODUCT($AP$5:$AP$302*($AN$5:$AN$302=$A32),$AS$5:$AS$302)),IF(LEFT($AI32,2)="S|",IF($AG32="","",INDEX($AS$5:$AS$302,$AH32)),IF($AI32="HDR","Trans TY",""))))))</f>
        <v>12271</v>
      </c>
      <c r="Q32" s="40" cm="1">
        <f t="array" ref="Q32">IF($AI32="","",IF(LEFT($AI32,2)="C|",IF($C32="","",SUMPRODUCT($AP$5:$AP$302*($AO$5:$AO$302=$A32),$AU$5:$AU$302)),IF($AI32="CT",Q$13,IF(LEFT($AI32,3)="AM|",IF($C32="","",SUMPRODUCT($AP$5:$AP$302*($AN$5:$AN$302=$A32),$AU$5:$AU$302)),IF(LEFT($AI32,2)="S|",IF($AG32="","",INDEX($AU$5:$AU$302,$AH32)),IF($AI32="HDR","Trans LY",""))))))</f>
        <v>12430</v>
      </c>
      <c r="R32" s="41">
        <f t="shared" ca="1" si="36"/>
        <v>-0.31303298471440066</v>
      </c>
      <c r="S32" s="41">
        <f t="shared" ca="1" si="37"/>
        <v>-1.2791633145615489E-2</v>
      </c>
      <c r="T32" s="42">
        <f t="shared" ca="1" si="38"/>
        <v>143.82684703773126</v>
      </c>
      <c r="U32" s="42">
        <f t="shared" si="39"/>
        <v>136.83412067578436</v>
      </c>
      <c r="V32" s="41">
        <f t="shared" ca="1" si="40"/>
        <v>6.9747527646962126E-2</v>
      </c>
      <c r="W32" s="40" cm="1">
        <f t="array" ref="W32">IF($AI32="","",IF(LEFT($AI32,2)="C|",_xlfn.LET(_xlpm.n,SUMPRODUCT($AP$5:$AP$302*($AO$5:$AO$302=$A32),$BB$5:$BB$302),IF(_xlpm.n=0,"",_xlpm.n)),IF($AI32="CT",W$13,IF(LEFT($AI32,3)="AM|",_xlfn.LET(_xlpm.n,SUMPRODUCT($AP$5:$AP$302*($AN$5:$AN$302=$A32),$BB$5:$BB$302),IF(_xlpm.n=0,"",_xlpm.n)),IF(LEFT($AI32,2)="S|",IF($AG32="","",_xlfn.LET(_xlpm.n,INDEX($BB$5:$BB$302,$AH32),IF(_xlpm.n=0,"",_xlpm.n))),IF($AI32="HDR","Footfall",""))))))</f>
        <v>45821</v>
      </c>
      <c r="X32" s="40" cm="1">
        <f t="array" aca="1" ref="X32" ca="1">IF($AI32="","",IF($AI32="HDR","Trans (FF stores)",IF(W32="","",IF(LEFT($AI32,2)="C|",SUMPRODUCT($AP$5:$AP$302*($AO$5:$AO$302=$A32),$BC$5:$BC$302),IF($AI32="CT",X$13,IF(LEFT($AI32,3)="AM|",SUMPRODUCT($AP$5:$AP$302*($AN$5:$AN$302=$A32),$BC$5:$BC$302),IF(LEFT($AI32,2)="S|",INDEX($BC$5:$BC$302,$AH32),"")))))))</f>
        <v>9531</v>
      </c>
      <c r="Y32" s="41">
        <f t="shared" ca="1" si="44"/>
        <v>0.20800506318063769</v>
      </c>
      <c r="Z32" s="40" cm="1">
        <f t="array" ref="Z32">IF($AI32="","",IF(LEFT($AI32,2)="C|",IF($C32="","",SUMPRODUCT($AP$5:$AP$302*($AO$5:$AO$302=$A32),$CB$5:$CB$302)),IF($AI32="CT",Z$13,IF(LEFT($AI32,3)="AM|",IF($C32="","",SUMPRODUCT($AP$5:$AP$302*($AN$5:$AN$302=$A32),$CB$5:$CB$302)),IF(LEFT($AI32,2)="S|",IF($AG32="","",INDEX($CB$5:$CB$302,$AH32)),IF($AI32="HDR","Makeup Sales",""))))))</f>
        <v>99427.38</v>
      </c>
      <c r="AA32" s="41">
        <f t="shared" si="41"/>
        <v>5.6336009301018224E-2</v>
      </c>
      <c r="AB32" s="40" cm="1">
        <f t="array" ref="AB32">IF($AI32="","",IF(LEFT($AI32,2)="C|",IF($C32="","",SUMPRODUCT($AP$5:$AP$302*($AO$5:$AO$302=$A32),$CK$5:$CK$302)),IF($AI32="CT",AB$13,IF(LEFT($AI32,3)="AM|",IF($C32="","",SUMPRODUCT($AP$5:$AP$302*($AN$5:$AN$302=$A32),$CK$5:$CK$302)),IF(LEFT($AI32,2)="S|",IF($AG32="","",INDEX($CK$5:$CK$302,$AH32)),IF($AI32="HDR","Makeup Target",""))))))</f>
        <v>171690.27834359545</v>
      </c>
      <c r="AC32" s="41">
        <f t="shared" si="45"/>
        <v>0.57910896854055305</v>
      </c>
      <c r="AD32" s="40" cm="1">
        <f t="array" ref="AD32">IF($AI32="","",IF(LEFT($AI32,2)="C|",IF($C32="","",SUMPRODUCT($AP$5:$AP$302*($AO$5:$AO$302=$A32),$CI$5:$CI$302)),IF($AI32="CT",AD$13,IF(LEFT($AI32,3)="AM|",IF($C32="","",SUMPRODUCT($AP$5:$AP$302*($AN$5:$AN$302=$A32),$CI$5:$CI$302)),IF(LEFT($AI32,2)="S|",IF($AG32="","",INDEX($CI$5:$CI$302,$AH32)),IF($AI32="HDR","Cosmetic Sales",""))))))</f>
        <v>1764899.2400000002</v>
      </c>
      <c r="AE32" s="8" cm="1">
        <f t="array" ref="AE32">IF($AI32="","",IF(LEFT($AI32,2)="C|",IF($C32="","",SUMPRODUCT($AP$5:$AP$302*($AO$5:$AO$302=$A32)*$AQ$5:$AQ$302,$AR$5:$AR$302)),IF($AI32="CT",AE$13,IF(LEFT($AI32,3)="AM|",IF($C32="","",SUMPRODUCT($AP$5:$AP$302*($AN$5:$AN$302=$A32)*$AQ$5:$AQ$302,$AR$5:$AR$302)),IF(LEFT($AI32,2)="S|",IF($AG32="","",IF(INDEX($AQ$5:$AQ$302,$AH32)=1,D32,0)),IF($AI32="HDR","LFL Sales",""))))))</f>
        <v>1249921.4200000002</v>
      </c>
      <c r="AF32" s="8" cm="1">
        <f t="array" aca="1" ref="AF32" ca="1">IF($AI32="","",IF(LEFT($AI32,2)="C|",IF($C32="","",SUMPRODUCT($AP$5:$AP$302*($AO$5:$AO$302=$A32)*$AQ$5:$AQ$302,$AS$5:$AS$302)),IF($AI32="CT",AF$13,IF(LEFT($AI32,3)="AM|",IF($C32="","",SUMPRODUCT($AP$5:$AP$302*($AN$5:$AN$302=$A32)*$AQ$5:$AQ$302,$AS$5:$AS$302)),IF(LEFT($AI32,2)="S|",IF($AG32="","",IF(INDEX($AQ$5:$AQ$302,$AH32)=1,P32,0)),IF($AI32="HDR","LFL Trans",""))))))</f>
        <v>8539</v>
      </c>
      <c r="AG32" s="8" t="str" cm="1">
        <f t="array" ref="AG32">IF($AI32="","",IF(LEFT($AI32,2)="C|","",IF($AI32="CT","",IF(LEFT($AI32,3)="AM|","",IF(LEFT($AI32,2)="S|",IF($AH32="","",IF(INDEX($AP$5:$AP$302,$AH32)=1,1,"")),IF($AI32="HDR","Show",""))))))</f>
        <v/>
      </c>
      <c r="AH32" s="8" t="str">
        <f t="shared" si="42"/>
        <v/>
      </c>
      <c r="AI32" s="8" t="str">
        <v>CT</v>
      </c>
      <c r="AN32" s="8" t="str" cm="1">
        <f t="array" ref="AN32">IF($AW32="","",_xlfn.LET(_xlpm.sa,IFERROR(TRIM(INDEX('Sales and count'!$D$4:$D$300,$BF32)&amp;""),""),_xlpm.ta,IFERROR(TRIM(INDEX('TY Sales Target'!$F$5:$F$300,$BG32)&amp;""),""),IF(AND(_xlpm.sa&lt;&gt;"",LEFT(_xlpm.sa,1)&lt;&gt;"#",_xlpm.sa&lt;&gt;"0"),_xlpm.sa,IF(AND(_xlpm.ta&lt;&gt;"",LEFT(_xlpm.ta,1)&lt;&gt;"#",_xlpm.ta&lt;&gt;"0"),_xlpm.ta,IF(ISNUMBER($BG32),"Unassigned","")))))</f>
        <v>Mohammed Haidar</v>
      </c>
      <c r="AO32" s="8" t="str" cm="1">
        <f t="array" ref="AO32">IF($AW32="","",_xlfn.LET(_xlpm.sa,IFERROR(TRIM(INDEX('Sales and count'!$C$4:$C$300,$BF32)&amp;""),""),_xlpm.ta,IFERROR(TRIM(INDEX('TY Sales Target'!$D$5:$D$300,$BG32)&amp;""),""),IF(AND(_xlpm.sa&lt;&gt;"",LEFT(_xlpm.sa,1)&lt;&gt;"#",_xlpm.sa&lt;&gt;"0"),_xlpm.sa,IF(AND(_xlpm.ta&lt;&gt;"",LEFT(_xlpm.ta,1)&lt;&gt;"#",_xlpm.ta&lt;&gt;"0"),_xlpm.ta,""))))</f>
        <v>Madinah</v>
      </c>
      <c r="AP32" s="8">
        <f t="shared" si="2"/>
        <v>0</v>
      </c>
      <c r="AQ32" s="8">
        <f t="shared" si="0"/>
        <v>1</v>
      </c>
      <c r="AR32" s="8" cm="1">
        <f t="array" ref="AR32">IF($BF32="",0,_xlfn.LET(_xlpm.d,IFERROR(--'Sales and count'!$G$2:$CC$2,0),SUMPRODUCT(('Sales and count'!$G$3:$CC$3="Total")*(_xlpm.d&gt;=$U$4)*(_xlpm.d&lt;=$U$5),INDEX('Sales and count'!$G$4:$CC$300,$BF32,0))))</f>
        <v>133069.97</v>
      </c>
      <c r="AS32" s="8" cm="1">
        <f t="array" aca="1" ref="AS32" ca="1">IF($BF32="",0,_xlfn.LET(_xlpm.d,IFERROR(--'Sales and count'!$F$2:$CB$2,0),SUMPRODUCT(('Sales and count'!$G$3:$CC$3="Transactions")*(_xlpm.d&gt;=$U$4)*(_xlpm.d&lt;=$U$5),INDEX('Sales and count'!$G$4:$CC$300,$BF32,0))))</f>
        <v>765</v>
      </c>
      <c r="AT32" s="8" cm="1">
        <f t="array" ref="AT32">IF($AW32="",0,SUMPRODUCT((TRIM('LY Sales '!$B$5:$B$200)=$AW32)*('LY Sales '!$C$2:$AG$2&gt;=EDATE($U$4,-12))*('LY Sales '!$C$2:$AG$2&lt;=EDATE($U$5,-12)),'LY Sales '!$C$5:$AG$200))</f>
        <v>179939.74</v>
      </c>
      <c r="AU32" s="8" cm="1">
        <f t="array" ref="AU32">IF($AW32="",0,SUMPRODUCT((TRIM('LY Transaction'!$B$5:$B$200)=$AW32)*('LY Transaction'!$C$2:$AG$2&gt;=EDATE($U$4,-12))*('LY Transaction'!$C$2:$AG$2&lt;=EDATE($U$5,-12)),'LY Transaction'!$C$5:$AG$200))</f>
        <v>1553</v>
      </c>
      <c r="AV32" s="8" cm="1">
        <f t="array" ref="AV32">IF(NOT(ISNUMBER($BG32)),0,SUMPRODUCT(('TY Sales Target'!$K$2:$AO$2&gt;=$U$4)*('TY Sales Target'!$K$2:$AO$2&lt;=$U$5),INDEX('TY Sales Target'!$K$5:$AO$300,$BG32,0)))</f>
        <v>173155.54219064303</v>
      </c>
      <c r="AW32" s="8" t="str" cm="1">
        <f t="array" ref="AW32">IFERROR(INDEX(_xlfn.ANCHORARRAY($BR$5),ROWS($AW$5:AW32)),"")</f>
        <v>HAJWALK</v>
      </c>
      <c r="AY32" s="132">
        <v>46322</v>
      </c>
      <c r="AZ32" s="132"/>
      <c r="BB32" cm="1">
        <f t="array" ref="BB32">IF($AW32="",0,SUMPRODUCT((TRIM(Footfall!$B$5:$B$301)=$AW32)*(Footfall!$C$1:$BZ$1&gt;=$U$4)*(Footfall!$C$2:$BZ$2&lt;=$U$5)*(Footfall!$C$1:$BZ$1&lt;&gt;""),Footfall!$C$5:$BZ$301))</f>
        <v>5643</v>
      </c>
      <c r="BC32" cm="1">
        <f t="array" aca="1" ref="BC32" ca="1">IF(OR($BB32&lt;=0,$BD$1="",$BF32=""),0,_xlfn.LET(_xlpm.d,IFERROR(--'Sales and count'!$F$2:$CB$2,0),SUMPRODUCT(('Sales and count'!$G$3:$CC$3="Transactions")*(_xlpm.d&gt;=$BD$1)*(_xlpm.d&lt;=$BD$2),INDEX('Sales and count'!$G$4:$CC$300,$BF32,0))))</f>
        <v>765</v>
      </c>
      <c r="BF32" cm="1">
        <f t="array" ref="BF32">IF($AW32="","",IFERROR(MATCH($AW32,TRIM('Sales and count'!$A$4:$A$300&amp;""),0),""))</f>
        <v>28</v>
      </c>
      <c r="BG32" cm="1">
        <f t="array" ref="BG32">IF($AW32="","",IFERROR(MATCH(IFERROR(_xlfn.XLOOKUP($AW32,$BT$5:$BT$22,$BU$5:$BU$22),$AW32),TRIM('TY Sales Target'!$B$5:$B$300&amp;""),0),""))</f>
        <v>55</v>
      </c>
      <c r="BH32" t="str" cm="1">
        <f t="array" ref="BH32">IF(ISNUMBER($BG32),_xlfn.LET(_xlpm.p,TRIM(INDEX('TY Sales Target'!$I$5:$I$300,$BG32)&amp;""),IF(_xlpm.p="","Not set",_xlpm.p)),"Not set")</f>
        <v>Smart Phone</v>
      </c>
      <c r="BI32" cm="1">
        <f t="array" ref="BI32">IF($BF32="",0,_xlfn.LET(_xlpm.d,IFERROR(--'Sales and count'!$G$2:$CC$2,0),SUMPRODUCT(('Sales and count'!$G$3:$CC$3="Total")*(_xlpm.d&gt;=$BZ$5)*(_xlpm.d&lt;=$BZ$6),INDEX('Sales and count'!$G$4:$CC$300,$BF32,0))))</f>
        <v>133069.97</v>
      </c>
      <c r="BJ32" cm="1">
        <f t="array" ref="BJ32">IF($AW32="",0,SUMPRODUCT((TRIM('LY Sales '!$B$5:$B$200)=$AW32)*('LY Sales '!$C$2:$AG$2&gt;=EDATE($BZ$5,-12))*('LY Sales '!$C$2:$AG$2&lt;=EDATE($BZ$6,-12)),'LY Sales '!$C$5:$AG$200))</f>
        <v>179939.74</v>
      </c>
      <c r="BK32" cm="1">
        <f t="array" ref="BK32">IF($AW32="",0,SUMPRODUCT((TRIM('LY Sales '!$B$5:$B$200)=$AW32)*('LY Sales '!$C$2:$AG$2&gt;=EDATE($BZ$5,-12))*('LY Sales '!$C$2:$AG$2&lt;=EDATE($BZ$7,-12)),'LY Sales '!$C$5:$AG$200))</f>
        <v>238640.58</v>
      </c>
      <c r="BL32" cm="1">
        <f t="array" ref="BL32">IF($AW32="",0,SUMPRODUCT((TRIM('LY Sales '!$B$5:$B$200)=$AW32)*('LY Sales '!$C$2:$AG$2&gt;=EDATE($BZ$5,-12))*('LY Sales '!$C$2:$AG$2&lt;=EDATE($BZ$6,-12))*('LY Sales '!$C$5:$AG$200&gt;0)))</f>
        <v>26</v>
      </c>
      <c r="BM32" cm="1">
        <f t="array" ref="BM32">IF(NOT(ISNUMBER($BG32)),0,SUMPRODUCT(('TY Sales Target'!$K$2:$AO$2&gt;=$BZ$5)*('TY Sales Target'!$K$2:$AO$2&lt;=$BZ$6),INDEX('TY Sales Target'!$K$5:$AO$300,$BG32,0)))</f>
        <v>173155.54219064303</v>
      </c>
      <c r="BN32" cm="1">
        <f t="array" ref="BN32">IF(NOT(ISNUMBER($BG32)),0,SUMPRODUCT(('TY Sales Target'!$K$2:$AO$2&gt;=$BZ$5)*('TY Sales Target'!$K$2:$AO$2&lt;=$BZ$7),INDEX('TY Sales Target'!$K$5:$AO$300,$BG32,0)))</f>
        <v>226000</v>
      </c>
      <c r="BO32" cm="1">
        <f t="array" ref="BO32">IF($AW32="",0,IFERROR(_xlfn.SWITCH($BP32,"LY trend",$BI32*$BK32/$BJ32,"Target curve",$BI32*$BN32/$BM32,"Run rate",$BI32/$BZ$8*$BZ$9,0),0))</f>
        <v>176480.71971973841</v>
      </c>
      <c r="BP32" t="str">
        <f t="shared" si="1"/>
        <v>LY trend</v>
      </c>
      <c r="BR32" t="str">
        <v>HAJWALK</v>
      </c>
      <c r="BX32" t="str">
        <v>Samtah</v>
      </c>
      <c r="CB32" cm="1">
        <f t="array" ref="CB32">IF($AW32="",0,_xlfn.LET(_xlpm.k,IFERROR(_xlfn.XLOOKUP($AW32,$CD$6:$CD$21,$CE$6:$CE$21),$AW32),SUMPRODUCT((TRIM('Makeup '!$A$2:$A$300&amp;"")=_xlpm.k)*1,IFERROR('Makeup '!$F$2:$F$300*1,0))))</f>
        <v>8691.67</v>
      </c>
      <c r="CF32" t="str" cm="1">
        <f t="array" ref="CF32">IF($AW32="","",_xlfn.LET(_xlpm.c,IFERROR(TRIM(INDEX('Sales and count'!$B$4:$B$300,$BF32)&amp;""),""),IF(OR(_xlpm.c="",_xlpm.c="0",LEFT(_xlpm.c,1)="#"),"Not set",_xlpm.c)))</f>
        <v>KSA</v>
      </c>
      <c r="CH32" cm="1">
        <f t="array" ref="CH32">IF($AW32="",0,_xlfn.LET(_xlpm.k,IFERROR(_xlfn.XLOOKUP($AW32,$CD$6:$CD$21,$CE$6:$CE$21),$AW32),--(SUMPRODUCT((TRIM('Makeup '!$A$2:$A$300&amp;"")=_xlpm.k)*ISNUMBER('Makeup '!$F$2:$F$300))&gt;0)))</f>
        <v>1</v>
      </c>
      <c r="CI32">
        <f t="shared" si="4"/>
        <v>133069.97</v>
      </c>
      <c r="CJ32" cm="1">
        <f t="array" ref="CJ32">IF($AW32="",0,--(SUMPRODUCT(--(TRIM(Footfall!$B$5:$B$301)=$AW32))&gt;0))</f>
        <v>1</v>
      </c>
      <c r="CK32" s="8" cm="1">
        <f t="array" ref="CK32">IF($AW32="",0,_xlfn.LET(_xlpm.r,IFERROR(MATCH(IFERROR(_xlfn.XLOOKUP($AW32,$BT$5:$BT$22,$BU$5:$BU$22),$AW32),TRIM('TY Beauty Target'!$B$5:$B$300&amp;""),0),""),IF(ISNUMBER(_xlpm.r),SUMPRODUCT(('TY Beauty Target'!$L$2:$AP$2&gt;=$U$4)*('TY Beauty Target'!$L$2:$AP$2&lt;=$U$5),INDEX('TY Beauty Target'!$L$5:$AP$300,_xlpm.r,0)),0)))</f>
        <v>14403.603082945527</v>
      </c>
    </row>
    <row r="33" spans="1:89" ht="15" customHeight="1" x14ac:dyDescent="0.25">
      <c r="A33" s="38" t="str">
        <f t="shared" si="30"/>
        <v/>
      </c>
      <c r="B33" s="43" t="str" cm="1">
        <f t="array" ref="B33">IF($AI33="","",IF(LEFT($AI33,2)="C|",IF($C33="","",_xlfn.TEXTJOIN(", ",TRUE,_xlfn.UNIQUE(_xlfn._xlws.FILTER($AN$5:$AN$302,($AP$5:$AP$302=1)*($AO$5:$AO$302=$A33))))),IF($AI33="CT",B$13,IF(LEFT($AI33,3)="AM|",IF($C33="","",ROWS(_xlfn.UNIQUE(_xlfn._xlws.FILTER($AO$5:$AO$302,($AP$5:$AP$302=1)*($AN$5:$AN$302=$A33))))),IF(LEFT($AI33,2)="S|",IF($AG33="","",INDEX($AO$5:$AO$302,$AH33)),IF($AI33="HDR","City",""))))))</f>
        <v/>
      </c>
      <c r="C33" s="39" t="str" cm="1">
        <f t="array" ref="C33">IF($AI33="","",IF(LEFT($AI33,2)="C|",_xlfn.LET(_xlpm.n,SUMPRODUCT($AP$5:$AP$302*($AO$5:$AO$302=$A33)),IF(_xlpm.n=0,"",_xlpm.n)),IF($AI33="CT",C$13,IF(LEFT($AI33,3)="AM|",_xlfn.LET(_xlpm.n,SUMPRODUCT($AP$5:$AP$302*($AN$5:$AN$302=$A33)),IF(_xlpm.n=0,"",_xlpm.n)),IF(LEFT($AI33,2)="S|","",IF($AI33="HDR","# Stores",""))))))</f>
        <v/>
      </c>
      <c r="D33" s="40" t="str" cm="1">
        <f t="array" ref="D33">IF($AI33="","",IF(LEFT($AI33,2)="C|",IF($C33="","",SUMPRODUCT($AP$5:$AP$302*($AO$5:$AO$302=$A33),$AR$5:$AR$302)),IF($AI33="CT",D$13,IF(LEFT($AI33,3)="AM|",IF($C33="","",SUMPRODUCT($AP$5:$AP$302*($AN$5:$AN$302=$A33),$AR$5:$AR$302)),IF(LEFT($AI33,2)="S|",IF($AG33="","",INDEX($AR$5:$AR$302,$AH33)),IF($AI33="HDR","Sales TY",""))))))</f>
        <v/>
      </c>
      <c r="E33" s="40" t="str" cm="1">
        <f t="array" ref="E33">IF($AI33="","",IF(LEFT($AI33,2)="C|",IF($C33="","",SUMPRODUCT($AP$5:$AP$302*($AO$5:$AO$302=$A33),$AT$5:$AT$302)),IF($AI33="CT",E$13,IF(LEFT($AI33,3)="AM|",IF($C33="","",SUMPRODUCT($AP$5:$AP$302*($AN$5:$AN$302=$A33),$AT$5:$AT$302)),IF(LEFT($AI33,2)="S|",IF($AG33="","",INDEX($AT$5:$AT$302,$AH33)),IF($AI33="HDR","Sales LY",""))))))</f>
        <v/>
      </c>
      <c r="F33" s="41" t="str">
        <f t="shared" si="31"/>
        <v/>
      </c>
      <c r="G33" s="41" t="str">
        <f t="shared" si="32"/>
        <v/>
      </c>
      <c r="H33" s="40" t="str" cm="1">
        <f t="array" ref="H33">IF($AI33="","",IF(LEFT($AI33,2)="C|",IF($C33="","",SUMPRODUCT($AP$5:$AP$302*($AO$5:$AO$302=$A33),$AV$5:$AV$302)),IF($AI33="CT",H$13,IF(LEFT($AI33,3)="AM|",IF($C33="","",SUMPRODUCT($AP$5:$AP$302*($AN$5:$AN$302=$A33),$AV$5:$AV$302)),IF(LEFT($AI33,2)="S|",IF($AG33="","",INDEX($AV$5:$AV$302,$AH33)),IF($AI33="HDR","Target",""))))))</f>
        <v/>
      </c>
      <c r="I33" s="41" t="str">
        <f t="shared" si="33"/>
        <v/>
      </c>
      <c r="J33" s="40" t="str">
        <f t="shared" si="34"/>
        <v/>
      </c>
      <c r="K33" s="41" t="str">
        <f t="shared" si="35"/>
        <v/>
      </c>
      <c r="L33" s="40" t="str" cm="1">
        <f t="array" ref="L33">IF($AI33="","",IF(LEFT($AI33,2)="C|",IF($C33="","",SUMPRODUCT($AP$5:$AP$302*($AO$5:$AO$302=$A33),$BN$5:$BN$302)),IF($AI33="CT",L$13,IF(LEFT($AI33,3)="AM|",IF($C33="","",SUMPRODUCT($AP$5:$AP$302*($AN$5:$AN$302=$A33),$BN$5:$BN$302)),IF(LEFT($AI33,2)="S|",IF($AG33="","",INDEX($BN$5:$BN$302,$AH33)),IF($AI33="HDR","Month Target",""))))))</f>
        <v/>
      </c>
      <c r="M33" s="40" t="str" cm="1">
        <f t="array" ref="M33">IF($AI33="","",IF(LEFT($AI33,2)="C|",IF($C33="","",SUMPRODUCT($AP$5:$AP$302*($AO$5:$AO$302=$A33),$BO$5:$BO$302)),IF($AI33="CT",M$13,IF(LEFT($AI33,3)="AM|",IF($C33="","",SUMPRODUCT($AP$5:$AP$302*($AN$5:$AN$302=$A33),$BO$5:$BO$302)),IF(LEFT($AI33,2)="S|",IF($AG33="","",INDEX($BO$5:$BO$302,$AH33)),IF($AI33="HDR","Projected Close",""))))))</f>
        <v/>
      </c>
      <c r="N33" s="41" t="str">
        <f t="shared" si="43"/>
        <v/>
      </c>
      <c r="O33" s="41" t="str" cm="1">
        <f t="array" ref="O33">IF($AI33="HDR","Proj. vs LY",IF(OR($AI33="",M33=""),"",_xlfn.LET(_xlpm.ly,IF(LEFT($AI33,2)="C|",SUMPRODUCT($AP$5:$AP$302*($AO$5:$AO$302=$A33),$BK$5:$BK$302),IF($AI33="CT",SUMPRODUCT($AP$5:$AP$302,$BK$5:$BK$302),IF(LEFT($AI33,3)="AM|",SUMPRODUCT($AP$5:$AP$302*($AN$5:$AN$302=$A33),$BK$5:$BK$302),IF(LEFT($AI33,2)="S|",INDEX($BK$5:$BK$302,$AH33),0)))),IFERROR(M33/_xlpm.ly-1,""))))</f>
        <v/>
      </c>
      <c r="P33" s="40" t="str" cm="1">
        <f t="array" ref="P33">IF($AI33="","",IF(LEFT($AI33,2)="C|",IF($C33="","",SUMPRODUCT($AP$5:$AP$302*($AO$5:$AO$302=$A33),$AS$5:$AS$302)),IF($AI33="CT",P$13,IF(LEFT($AI33,3)="AM|",IF($C33="","",SUMPRODUCT($AP$5:$AP$302*($AN$5:$AN$302=$A33),$AS$5:$AS$302)),IF(LEFT($AI33,2)="S|",IF($AG33="","",INDEX($AS$5:$AS$302,$AH33)),IF($AI33="HDR","Trans TY",""))))))</f>
        <v/>
      </c>
      <c r="Q33" s="40" t="str" cm="1">
        <f t="array" ref="Q33">IF($AI33="","",IF(LEFT($AI33,2)="C|",IF($C33="","",SUMPRODUCT($AP$5:$AP$302*($AO$5:$AO$302=$A33),$AU$5:$AU$302)),IF($AI33="CT",Q$13,IF(LEFT($AI33,3)="AM|",IF($C33="","",SUMPRODUCT($AP$5:$AP$302*($AN$5:$AN$302=$A33),$AU$5:$AU$302)),IF(LEFT($AI33,2)="S|",IF($AG33="","",INDEX($AU$5:$AU$302,$AH33)),IF($AI33="HDR","Trans LY",""))))))</f>
        <v/>
      </c>
      <c r="R33" s="41" t="str">
        <f t="shared" si="36"/>
        <v/>
      </c>
      <c r="S33" s="41" t="str">
        <f t="shared" si="37"/>
        <v/>
      </c>
      <c r="T33" s="42" t="str">
        <f t="shared" si="38"/>
        <v/>
      </c>
      <c r="U33" s="42" t="str">
        <f t="shared" si="39"/>
        <v/>
      </c>
      <c r="V33" s="41" t="str">
        <f t="shared" si="40"/>
        <v/>
      </c>
      <c r="W33" s="40" t="str" cm="1">
        <f t="array" ref="W33">IF($AI33="","",IF(LEFT($AI33,2)="C|",_xlfn.LET(_xlpm.n,SUMPRODUCT($AP$5:$AP$302*($AO$5:$AO$302=$A33),$BB$5:$BB$302),IF(_xlpm.n=0,"",_xlpm.n)),IF($AI33="CT",W$13,IF(LEFT($AI33,3)="AM|",_xlfn.LET(_xlpm.n,SUMPRODUCT($AP$5:$AP$302*($AN$5:$AN$302=$A33),$BB$5:$BB$302),IF(_xlpm.n=0,"",_xlpm.n)),IF(LEFT($AI33,2)="S|",IF($AG33="","",_xlfn.LET(_xlpm.n,INDEX($BB$5:$BB$302,$AH33),IF(_xlpm.n=0,"",_xlpm.n))),IF($AI33="HDR","Footfall",""))))))</f>
        <v/>
      </c>
      <c r="X33" s="40" t="str" cm="1">
        <f t="array" ref="X33">IF($AI33="","",IF($AI33="HDR","Trans (FF stores)",IF(W33="","",IF(LEFT($AI33,2)="C|",SUMPRODUCT($AP$5:$AP$302*($AO$5:$AO$302=$A33),$BC$5:$BC$302),IF($AI33="CT",X$13,IF(LEFT($AI33,3)="AM|",SUMPRODUCT($AP$5:$AP$302*($AN$5:$AN$302=$A33),$BC$5:$BC$302),IF(LEFT($AI33,2)="S|",INDEX($BC$5:$BC$302,$AH33),"")))))))</f>
        <v/>
      </c>
      <c r="Y33" s="41" t="str">
        <f t="shared" si="44"/>
        <v/>
      </c>
      <c r="Z33" s="40" t="str" cm="1">
        <f t="array" ref="Z33">IF($AI33="","",IF(LEFT($AI33,2)="C|",IF($C33="","",SUMPRODUCT($AP$5:$AP$302*($AO$5:$AO$302=$A33),$CB$5:$CB$302)),IF($AI33="CT",Z$13,IF(LEFT($AI33,3)="AM|",IF($C33="","",SUMPRODUCT($AP$5:$AP$302*($AN$5:$AN$302=$A33),$CB$5:$CB$302)),IF(LEFT($AI33,2)="S|",IF($AG33="","",INDEX($CB$5:$CB$302,$AH33)),IF($AI33="HDR","Makeup Sales",""))))))</f>
        <v/>
      </c>
      <c r="AA33" s="41" t="str">
        <f t="shared" si="41"/>
        <v/>
      </c>
      <c r="AB33" s="40" t="str" cm="1">
        <f t="array" ref="AB33">IF($AI33="","",IF(LEFT($AI33,2)="C|",IF($C33="","",SUMPRODUCT($AP$5:$AP$302*($AO$5:$AO$302=$A33),$CK$5:$CK$302)),IF($AI33="CT",AB$13,IF(LEFT($AI33,3)="AM|",IF($C33="","",SUMPRODUCT($AP$5:$AP$302*($AN$5:$AN$302=$A33),$CK$5:$CK$302)),IF(LEFT($AI33,2)="S|",IF($AG33="","",INDEX($CK$5:$CK$302,$AH33)),IF($AI33="HDR","Makeup Target",""))))))</f>
        <v/>
      </c>
      <c r="AC33" s="41" t="str">
        <f t="shared" si="45"/>
        <v/>
      </c>
      <c r="AD33" s="40" t="str" cm="1">
        <f t="array" ref="AD33">IF($AI33="","",IF(LEFT($AI33,2)="C|",IF($C33="","",SUMPRODUCT($AP$5:$AP$302*($AO$5:$AO$302=$A33),$CI$5:$CI$302)),IF($AI33="CT",AD$13,IF(LEFT($AI33,3)="AM|",IF($C33="","",SUMPRODUCT($AP$5:$AP$302*($AN$5:$AN$302=$A33),$CI$5:$CI$302)),IF(LEFT($AI33,2)="S|",IF($AG33="","",INDEX($CI$5:$CI$302,$AH33)),IF($AI33="HDR","Cosmetic Sales",""))))))</f>
        <v/>
      </c>
      <c r="AE33" s="8" t="str" cm="1">
        <f t="array" ref="AE33">IF($AI33="","",IF(LEFT($AI33,2)="C|",IF($C33="","",SUMPRODUCT($AP$5:$AP$302*($AO$5:$AO$302=$A33)*$AQ$5:$AQ$302,$AR$5:$AR$302)),IF($AI33="CT",AE$13,IF(LEFT($AI33,3)="AM|",IF($C33="","",SUMPRODUCT($AP$5:$AP$302*($AN$5:$AN$302=$A33)*$AQ$5:$AQ$302,$AR$5:$AR$302)),IF(LEFT($AI33,2)="S|",IF($AG33="","",IF(INDEX($AQ$5:$AQ$302,$AH33)=1,D33,0)),IF($AI33="HDR","LFL Sales",""))))))</f>
        <v/>
      </c>
      <c r="AF33" s="8" t="str" cm="1">
        <f t="array" ref="AF33">IF($AI33="","",IF(LEFT($AI33,2)="C|",IF($C33="","",SUMPRODUCT($AP$5:$AP$302*($AO$5:$AO$302=$A33)*$AQ$5:$AQ$302,$AS$5:$AS$302)),IF($AI33="CT",AF$13,IF(LEFT($AI33,3)="AM|",IF($C33="","",SUMPRODUCT($AP$5:$AP$302*($AN$5:$AN$302=$A33)*$AQ$5:$AQ$302,$AS$5:$AS$302)),IF(LEFT($AI33,2)="S|",IF($AG33="","",IF(INDEX($AQ$5:$AQ$302,$AH33)=1,P33,0)),IF($AI33="HDR","LFL Trans",""))))))</f>
        <v/>
      </c>
      <c r="AG33" s="8" t="str" cm="1">
        <f t="array" ref="AG33">IF($AI33="","",IF(LEFT($AI33,2)="C|","",IF($AI33="CT","",IF(LEFT($AI33,3)="AM|","",IF(LEFT($AI33,2)="S|",IF($AH33="","",IF(INDEX($AP$5:$AP$302,$AH33)=1,1,"")),IF($AI33="HDR","Show",""))))))</f>
        <v/>
      </c>
      <c r="AH33" s="8" t="str">
        <f t="shared" si="42"/>
        <v/>
      </c>
      <c r="AI33" s="8" t="str">
        <v>BL</v>
      </c>
      <c r="AN33" s="8" t="str" cm="1">
        <f t="array" ref="AN33">IF($AW33="","",_xlfn.LET(_xlpm.sa,IFERROR(TRIM(INDEX('Sales and count'!$D$4:$D$300,$BF33)&amp;""),""),_xlpm.ta,IFERROR(TRIM(INDEX('TY Sales Target'!$F$5:$F$300,$BG33)&amp;""),""),IF(AND(_xlpm.sa&lt;&gt;"",LEFT(_xlpm.sa,1)&lt;&gt;"#",_xlpm.sa&lt;&gt;"0"),_xlpm.sa,IF(AND(_xlpm.ta&lt;&gt;"",LEFT(_xlpm.ta,1)&lt;&gt;"#",_xlpm.ta&lt;&gt;"0"),_xlpm.ta,IF(ISNUMBER($BG33),"Unassigned","")))))</f>
        <v>Ahlam Al Zahrani</v>
      </c>
      <c r="AO33" s="8" t="str" cm="1">
        <f t="array" ref="AO33">IF($AW33="","",_xlfn.LET(_xlpm.sa,IFERROR(TRIM(INDEX('Sales and count'!$C$4:$C$300,$BF33)&amp;""),""),_xlpm.ta,IFERROR(TRIM(INDEX('TY Sales Target'!$D$5:$D$300,$BG33)&amp;""),""),IF(AND(_xlpm.sa&lt;&gt;"",LEFT(_xlpm.sa,1)&lt;&gt;"#",_xlpm.sa&lt;&gt;"0"),_xlpm.sa,IF(AND(_xlpm.ta&lt;&gt;"",LEFT(_xlpm.ta,1)&lt;&gt;"#",_xlpm.ta&lt;&gt;"0"),_xlpm.ta,""))))</f>
        <v>Jeddah</v>
      </c>
      <c r="AP33" s="8">
        <f t="shared" si="2"/>
        <v>0</v>
      </c>
      <c r="AQ33" s="8">
        <f t="shared" si="0"/>
        <v>1</v>
      </c>
      <c r="AR33" s="8" cm="1">
        <f t="array" ref="AR33">IF($BF33="",0,_xlfn.LET(_xlpm.d,IFERROR(--'Sales and count'!$G$2:$CC$2,0),SUMPRODUCT(('Sales and count'!$G$3:$CC$3="Total")*(_xlpm.d&gt;=$U$4)*(_xlpm.d&lt;=$U$5),INDEX('Sales and count'!$G$4:$CC$300,$BF33,0))))</f>
        <v>109726.64000000001</v>
      </c>
      <c r="AS33" s="8" cm="1">
        <f t="array" aca="1" ref="AS33" ca="1">IF($BF33="",0,_xlfn.LET(_xlpm.d,IFERROR(--'Sales and count'!$F$2:$CB$2,0),SUMPRODUCT(('Sales and count'!$G$3:$CC$3="Transactions")*(_xlpm.d&gt;=$U$4)*(_xlpm.d&lt;=$U$5),INDEX('Sales and count'!$G$4:$CC$300,$BF33,0))))</f>
        <v>803</v>
      </c>
      <c r="AT33" s="8" cm="1">
        <f t="array" ref="AT33">IF($AW33="",0,SUMPRODUCT((TRIM('LY Sales '!$B$5:$B$200)=$AW33)*('LY Sales '!$C$2:$AG$2&gt;=EDATE($U$4,-12))*('LY Sales '!$C$2:$AG$2&lt;=EDATE($U$5,-12)),'LY Sales '!$C$5:$AG$200))</f>
        <v>99371.239999999991</v>
      </c>
      <c r="AU33" s="8" cm="1">
        <f t="array" ref="AU33">IF($AW33="",0,SUMPRODUCT((TRIM('LY Transaction'!$B$5:$B$200)=$AW33)*('LY Transaction'!$C$2:$AG$2&gt;=EDATE($U$4,-12))*('LY Transaction'!$C$2:$AG$2&lt;=EDATE($U$5,-12)),'LY Transaction'!$C$5:$AG$200))</f>
        <v>848</v>
      </c>
      <c r="AV33" s="8" cm="1">
        <f t="array" ref="AV33">IF(NOT(ISNUMBER($BG33)),0,SUMPRODUCT(('TY Sales Target'!$K$2:$AO$2&gt;=$U$4)*('TY Sales Target'!$K$2:$AO$2&lt;=$U$5),INDEX('TY Sales Target'!$K$5:$AO$300,$BG33,0)))</f>
        <v>172389.36722519776</v>
      </c>
      <c r="AW33" s="8" t="str" cm="1">
        <f t="array" ref="AW33">IFERROR(INDEX(_xlfn.ANCHORARRAY($BR$5),ROWS($AW$5:AW33)),"")</f>
        <v>JEDDAZIZ</v>
      </c>
      <c r="AY33" s="132">
        <v>46323</v>
      </c>
      <c r="AZ33" s="132"/>
      <c r="BB33" cm="1">
        <f t="array" ref="BB33">IF($AW33="",0,SUMPRODUCT((TRIM(Footfall!$B$5:$B$301)=$AW33)*(Footfall!$C$1:$BZ$1&gt;=$U$4)*(Footfall!$C$2:$BZ$2&lt;=$U$5)*(Footfall!$C$1:$BZ$1&lt;&gt;""),Footfall!$C$5:$BZ$301))</f>
        <v>6203</v>
      </c>
      <c r="BC33" cm="1">
        <f t="array" aca="1" ref="BC33" ca="1">IF(OR($BB33&lt;=0,$BD$1="",$BF33=""),0,_xlfn.LET(_xlpm.d,IFERROR(--'Sales and count'!$F$2:$CB$2,0),SUMPRODUCT(('Sales and count'!$G$3:$CC$3="Transactions")*(_xlpm.d&gt;=$BD$1)*(_xlpm.d&lt;=$BD$2),INDEX('Sales and count'!$G$4:$CC$300,$BF33,0))))</f>
        <v>803</v>
      </c>
      <c r="BF33" cm="1">
        <f t="array" ref="BF33">IF($AW33="","",IFERROR(MATCH($AW33,TRIM('Sales and count'!$A$4:$A$300&amp;""),0),""))</f>
        <v>29</v>
      </c>
      <c r="BG33" cm="1">
        <f t="array" ref="BG33">IF($AW33="","",IFERROR(MATCH(IFERROR(_xlfn.XLOOKUP($AW33,$BT$5:$BT$22,$BU$5:$BU$22),$AW33),TRIM('TY Sales Target'!$B$5:$B$300&amp;""),0),""))</f>
        <v>57</v>
      </c>
      <c r="BH33" t="str" cm="1">
        <f t="array" ref="BH33">IF(ISNUMBER($BG33),_xlfn.LET(_xlpm.p,TRIM(INDEX('TY Sales Target'!$I$5:$I$300,$BG33)&amp;""),IF(_xlpm.p="","Not set",_xlpm.p)),"Not set")</f>
        <v>Smart Phone</v>
      </c>
      <c r="BI33" cm="1">
        <f t="array" ref="BI33">IF($BF33="",0,_xlfn.LET(_xlpm.d,IFERROR(--'Sales and count'!$G$2:$CC$2,0),SUMPRODUCT(('Sales and count'!$G$3:$CC$3="Total")*(_xlpm.d&gt;=$BZ$5)*(_xlpm.d&lt;=$BZ$6),INDEX('Sales and count'!$G$4:$CC$300,$BF33,0))))</f>
        <v>109726.64000000001</v>
      </c>
      <c r="BJ33" cm="1">
        <f t="array" ref="BJ33">IF($AW33="",0,SUMPRODUCT((TRIM('LY Sales '!$B$5:$B$200)=$AW33)*('LY Sales '!$C$2:$AG$2&gt;=EDATE($BZ$5,-12))*('LY Sales '!$C$2:$AG$2&lt;=EDATE($BZ$6,-12)),'LY Sales '!$C$5:$AG$200))</f>
        <v>99371.239999999991</v>
      </c>
      <c r="BK33" cm="1">
        <f t="array" ref="BK33">IF($AW33="",0,SUMPRODUCT((TRIM('LY Sales '!$B$5:$B$200)=$AW33)*('LY Sales '!$C$2:$AG$2&gt;=EDATE($BZ$5,-12))*('LY Sales '!$C$2:$AG$2&lt;=EDATE($BZ$7,-12)),'LY Sales '!$C$5:$AG$200))</f>
        <v>118794.64</v>
      </c>
      <c r="BL33" cm="1">
        <f t="array" ref="BL33">IF($AW33="",0,SUMPRODUCT((TRIM('LY Sales '!$B$5:$B$200)=$AW33)*('LY Sales '!$C$2:$AG$2&gt;=EDATE($BZ$5,-12))*('LY Sales '!$C$2:$AG$2&lt;=EDATE($BZ$6,-12))*('LY Sales '!$C$5:$AG$200&gt;0)))</f>
        <v>26</v>
      </c>
      <c r="BM33" cm="1">
        <f t="array" ref="BM33">IF(NOT(ISNUMBER($BG33)),0,SUMPRODUCT(('TY Sales Target'!$K$2:$AO$2&gt;=$BZ$5)*('TY Sales Target'!$K$2:$AO$2&lt;=$BZ$6),INDEX('TY Sales Target'!$K$5:$AO$300,$BG33,0)))</f>
        <v>172389.36722519776</v>
      </c>
      <c r="BN33" cm="1">
        <f t="array" ref="BN33">IF(NOT(ISNUMBER($BG33)),0,SUMPRODUCT(('TY Sales Target'!$K$2:$AO$2&gt;=$BZ$5)*('TY Sales Target'!$K$2:$AO$2&lt;=$BZ$7),INDEX('TY Sales Target'!$K$5:$AO$300,$BG33,0)))</f>
        <v>225000.00000000006</v>
      </c>
      <c r="BO33" cm="1">
        <f t="array" ref="BO33">IF($AW33="",0,IFERROR(_xlfn.SWITCH($BP33,"LY trend",$BI33*$BK33/$BJ33,"Target curve",$BI33*$BN33/$BM33,"Run rate",$BI33/$BZ$8*$BZ$9,0),0))</f>
        <v>131174.13747890841</v>
      </c>
      <c r="BP33" t="str">
        <f t="shared" si="1"/>
        <v>LY trend</v>
      </c>
      <c r="BR33" t="str">
        <v>JEDDAZIZ</v>
      </c>
      <c r="BX33" t="str">
        <v>Skaka</v>
      </c>
      <c r="CB33" cm="1">
        <f t="array" ref="CB33">IF($AW33="",0,_xlfn.LET(_xlpm.k,IFERROR(_xlfn.XLOOKUP($AW33,$CD$6:$CD$21,$CE$6:$CE$21),$AW33),SUMPRODUCT((TRIM('Makeup '!$A$2:$A$300&amp;"")=_xlpm.k)*1,IFERROR('Makeup '!$F$2:$F$300*1,0))))</f>
        <v>7531.76</v>
      </c>
      <c r="CF33" t="str" cm="1">
        <f t="array" ref="CF33">IF($AW33="","",_xlfn.LET(_xlpm.c,IFERROR(TRIM(INDEX('Sales and count'!$B$4:$B$300,$BF33)&amp;""),""),IF(OR(_xlpm.c="",_xlpm.c="0",LEFT(_xlpm.c,1)="#"),"Not set",_xlpm.c)))</f>
        <v>KSA</v>
      </c>
      <c r="CH33" cm="1">
        <f t="array" ref="CH33">IF($AW33="",0,_xlfn.LET(_xlpm.k,IFERROR(_xlfn.XLOOKUP($AW33,$CD$6:$CD$21,$CE$6:$CE$21),$AW33),--(SUMPRODUCT((TRIM('Makeup '!$A$2:$A$300&amp;"")=_xlpm.k)*ISNUMBER('Makeup '!$F$2:$F$300))&gt;0)))</f>
        <v>1</v>
      </c>
      <c r="CI33">
        <f t="shared" si="4"/>
        <v>109726.64000000001</v>
      </c>
      <c r="CJ33" cm="1">
        <f t="array" ref="CJ33">IF($AW33="",0,--(SUMPRODUCT(--(TRIM(Footfall!$B$5:$B$301)=$AW33))&gt;0))</f>
        <v>1</v>
      </c>
      <c r="CK33" s="8" cm="1">
        <f t="array" ref="CK33">IF($AW33="",0,_xlfn.LET(_xlpm.r,IFERROR(MATCH(IFERROR(_xlfn.XLOOKUP($AW33,$BT$5:$BT$22,$BU$5:$BU$22),$AW33),TRIM('TY Beauty Target'!$B$5:$B$300&amp;""),0),""),IF(ISNUMBER(_xlpm.r),SUMPRODUCT(('TY Beauty Target'!$L$2:$AP$2&gt;=$U$4)*('TY Beauty Target'!$L$2:$AP$2&lt;=$U$5),INDEX('TY Beauty Target'!$L$5:$AP$300,_xlpm.r,0)),0)))</f>
        <v>13337.465856362272</v>
      </c>
    </row>
    <row r="34" spans="1:89" ht="15" customHeight="1" x14ac:dyDescent="0.25">
      <c r="A34" s="38" t="str">
        <f t="shared" si="30"/>
        <v>AREA MANAGER → STORES</v>
      </c>
      <c r="B34" s="43" t="str" cm="1">
        <f t="array" ref="B34">IF($AI34="","",IF(LEFT($AI34,2)="C|",IF($C34="","",_xlfn.TEXTJOIN(", ",TRUE,_xlfn.UNIQUE(_xlfn._xlws.FILTER($AN$5:$AN$302,($AP$5:$AP$302=1)*($AO$5:$AO$302=$A34))))),IF($AI34="CT",B$13,IF(LEFT($AI34,3)="AM|",IF($C34="","",ROWS(_xlfn.UNIQUE(_xlfn._xlws.FILTER($AO$5:$AO$302,($AP$5:$AP$302=1)*($AN$5:$AN$302=$A34))))),IF(LEFT($AI34,2)="S|",IF($AG34="","",INDEX($AO$5:$AO$302,$AH34)),IF($AI34="HDR","City",""))))))</f>
        <v/>
      </c>
      <c r="C34" s="39" t="str" cm="1">
        <f t="array" ref="C34">IF($AI34="","",IF(LEFT($AI34,2)="C|",_xlfn.LET(_xlpm.n,SUMPRODUCT($AP$5:$AP$302*($AO$5:$AO$302=$A34)),IF(_xlpm.n=0,"",_xlpm.n)),IF($AI34="CT",C$13,IF(LEFT($AI34,3)="AM|",_xlfn.LET(_xlpm.n,SUMPRODUCT($AP$5:$AP$302*($AN$5:$AN$302=$A34)),IF(_xlpm.n=0,"",_xlpm.n)),IF(LEFT($AI34,2)="S|","",IF($AI34="HDR","# Stores",""))))))</f>
        <v/>
      </c>
      <c r="D34" s="40" t="str" cm="1">
        <f t="array" ref="D34">IF($AI34="","",IF(LEFT($AI34,2)="C|",IF($C34="","",SUMPRODUCT($AP$5:$AP$302*($AO$5:$AO$302=$A34),$AR$5:$AR$302)),IF($AI34="CT",D$13,IF(LEFT($AI34,3)="AM|",IF($C34="","",SUMPRODUCT($AP$5:$AP$302*($AN$5:$AN$302=$A34),$AR$5:$AR$302)),IF(LEFT($AI34,2)="S|",IF($AG34="","",INDEX($AR$5:$AR$302,$AH34)),IF($AI34="HDR","Sales TY",""))))))</f>
        <v/>
      </c>
      <c r="E34" s="40" t="str" cm="1">
        <f t="array" ref="E34">IF($AI34="","",IF(LEFT($AI34,2)="C|",IF($C34="","",SUMPRODUCT($AP$5:$AP$302*($AO$5:$AO$302=$A34),$AT$5:$AT$302)),IF($AI34="CT",E$13,IF(LEFT($AI34,3)="AM|",IF($C34="","",SUMPRODUCT($AP$5:$AP$302*($AN$5:$AN$302=$A34),$AT$5:$AT$302)),IF(LEFT($AI34,2)="S|",IF($AG34="","",INDEX($AT$5:$AT$302,$AH34)),IF($AI34="HDR","Sales LY",""))))))</f>
        <v/>
      </c>
      <c r="F34" s="41" t="str">
        <f t="shared" si="31"/>
        <v/>
      </c>
      <c r="G34" s="41" t="str">
        <f t="shared" si="32"/>
        <v/>
      </c>
      <c r="H34" s="40" t="str" cm="1">
        <f t="array" ref="H34">IF($AI34="","",IF(LEFT($AI34,2)="C|",IF($C34="","",SUMPRODUCT($AP$5:$AP$302*($AO$5:$AO$302=$A34),$AV$5:$AV$302)),IF($AI34="CT",H$13,IF(LEFT($AI34,3)="AM|",IF($C34="","",SUMPRODUCT($AP$5:$AP$302*($AN$5:$AN$302=$A34),$AV$5:$AV$302)),IF(LEFT($AI34,2)="S|",IF($AG34="","",INDEX($AV$5:$AV$302,$AH34)),IF($AI34="HDR","Target",""))))))</f>
        <v/>
      </c>
      <c r="I34" s="41" t="str">
        <f t="shared" si="33"/>
        <v/>
      </c>
      <c r="J34" s="40" t="str">
        <f t="shared" si="34"/>
        <v/>
      </c>
      <c r="K34" s="41" t="str">
        <f t="shared" si="35"/>
        <v/>
      </c>
      <c r="L34" s="40" t="str" cm="1">
        <f t="array" ref="L34">IF($AI34="","",IF(LEFT($AI34,2)="C|",IF($C34="","",SUMPRODUCT($AP$5:$AP$302*($AO$5:$AO$302=$A34),$BN$5:$BN$302)),IF($AI34="CT",L$13,IF(LEFT($AI34,3)="AM|",IF($C34="","",SUMPRODUCT($AP$5:$AP$302*($AN$5:$AN$302=$A34),$BN$5:$BN$302)),IF(LEFT($AI34,2)="S|",IF($AG34="","",INDEX($BN$5:$BN$302,$AH34)),IF($AI34="HDR","Month Target",""))))))</f>
        <v/>
      </c>
      <c r="M34" s="40" t="str" cm="1">
        <f t="array" ref="M34">IF($AI34="","",IF(LEFT($AI34,2)="C|",IF($C34="","",SUMPRODUCT($AP$5:$AP$302*($AO$5:$AO$302=$A34),$BO$5:$BO$302)),IF($AI34="CT",M$13,IF(LEFT($AI34,3)="AM|",IF($C34="","",SUMPRODUCT($AP$5:$AP$302*($AN$5:$AN$302=$A34),$BO$5:$BO$302)),IF(LEFT($AI34,2)="S|",IF($AG34="","",INDEX($BO$5:$BO$302,$AH34)),IF($AI34="HDR","Projected Close",""))))))</f>
        <v/>
      </c>
      <c r="N34" s="41" t="str">
        <f t="shared" si="43"/>
        <v/>
      </c>
      <c r="O34" s="41" t="str" cm="1">
        <f t="array" ref="O34">IF($AI34="HDR","Proj. vs LY",IF(OR($AI34="",M34=""),"",_xlfn.LET(_xlpm.ly,IF(LEFT($AI34,2)="C|",SUMPRODUCT($AP$5:$AP$302*($AO$5:$AO$302=$A34),$BK$5:$BK$302),IF($AI34="CT",SUMPRODUCT($AP$5:$AP$302,$BK$5:$BK$302),IF(LEFT($AI34,3)="AM|",SUMPRODUCT($AP$5:$AP$302*($AN$5:$AN$302=$A34),$BK$5:$BK$302),IF(LEFT($AI34,2)="S|",INDEX($BK$5:$BK$302,$AH34),0)))),IFERROR(M34/_xlpm.ly-1,""))))</f>
        <v/>
      </c>
      <c r="P34" s="40" t="str" cm="1">
        <f t="array" ref="P34">IF($AI34="","",IF(LEFT($AI34,2)="C|",IF($C34="","",SUMPRODUCT($AP$5:$AP$302*($AO$5:$AO$302=$A34),$AS$5:$AS$302)),IF($AI34="CT",P$13,IF(LEFT($AI34,3)="AM|",IF($C34="","",SUMPRODUCT($AP$5:$AP$302*($AN$5:$AN$302=$A34),$AS$5:$AS$302)),IF(LEFT($AI34,2)="S|",IF($AG34="","",INDEX($AS$5:$AS$302,$AH34)),IF($AI34="HDR","Trans TY",""))))))</f>
        <v/>
      </c>
      <c r="Q34" s="40" t="str" cm="1">
        <f t="array" ref="Q34">IF($AI34="","",IF(LEFT($AI34,2)="C|",IF($C34="","",SUMPRODUCT($AP$5:$AP$302*($AO$5:$AO$302=$A34),$AU$5:$AU$302)),IF($AI34="CT",Q$13,IF(LEFT($AI34,3)="AM|",IF($C34="","",SUMPRODUCT($AP$5:$AP$302*($AN$5:$AN$302=$A34),$AU$5:$AU$302)),IF(LEFT($AI34,2)="S|",IF($AG34="","",INDEX($AU$5:$AU$302,$AH34)),IF($AI34="HDR","Trans LY",""))))))</f>
        <v/>
      </c>
      <c r="R34" s="41" t="str">
        <f t="shared" si="36"/>
        <v/>
      </c>
      <c r="S34" s="41" t="str">
        <f t="shared" si="37"/>
        <v/>
      </c>
      <c r="T34" s="42" t="str">
        <f t="shared" si="38"/>
        <v/>
      </c>
      <c r="U34" s="42" t="str">
        <f t="shared" si="39"/>
        <v/>
      </c>
      <c r="V34" s="41" t="str">
        <f t="shared" si="40"/>
        <v/>
      </c>
      <c r="W34" s="40" t="str" cm="1">
        <f t="array" ref="W34">IF($AI34="","",IF(LEFT($AI34,2)="C|",_xlfn.LET(_xlpm.n,SUMPRODUCT($AP$5:$AP$302*($AO$5:$AO$302=$A34),$BB$5:$BB$302),IF(_xlpm.n=0,"",_xlpm.n)),IF($AI34="CT",W$13,IF(LEFT($AI34,3)="AM|",_xlfn.LET(_xlpm.n,SUMPRODUCT($AP$5:$AP$302*($AN$5:$AN$302=$A34),$BB$5:$BB$302),IF(_xlpm.n=0,"",_xlpm.n)),IF(LEFT($AI34,2)="S|",IF($AG34="","",_xlfn.LET(_xlpm.n,INDEX($BB$5:$BB$302,$AH34),IF(_xlpm.n=0,"",_xlpm.n))),IF($AI34="HDR","Footfall",""))))))</f>
        <v/>
      </c>
      <c r="X34" s="40" t="str" cm="1">
        <f t="array" ref="X34">IF($AI34="","",IF($AI34="HDR","Trans (FF stores)",IF(W34="","",IF(LEFT($AI34,2)="C|",SUMPRODUCT($AP$5:$AP$302*($AO$5:$AO$302=$A34),$BC$5:$BC$302),IF($AI34="CT",X$13,IF(LEFT($AI34,3)="AM|",SUMPRODUCT($AP$5:$AP$302*($AN$5:$AN$302=$A34),$BC$5:$BC$302),IF(LEFT($AI34,2)="S|",INDEX($BC$5:$BC$302,$AH34),"")))))))</f>
        <v/>
      </c>
      <c r="Y34" s="41" t="str">
        <f t="shared" si="44"/>
        <v/>
      </c>
      <c r="Z34" s="40" t="str" cm="1">
        <f t="array" ref="Z34">IF($AI34="","",IF(LEFT($AI34,2)="C|",IF($C34="","",SUMPRODUCT($AP$5:$AP$302*($AO$5:$AO$302=$A34),$CB$5:$CB$302)),IF($AI34="CT",Z$13,IF(LEFT($AI34,3)="AM|",IF($C34="","",SUMPRODUCT($AP$5:$AP$302*($AN$5:$AN$302=$A34),$CB$5:$CB$302)),IF(LEFT($AI34,2)="S|",IF($AG34="","",INDEX($CB$5:$CB$302,$AH34)),IF($AI34="HDR","Makeup Sales",""))))))</f>
        <v/>
      </c>
      <c r="AA34" s="41" t="str">
        <f t="shared" si="41"/>
        <v/>
      </c>
      <c r="AB34" s="40" t="str" cm="1">
        <f t="array" ref="AB34">IF($AI34="","",IF(LEFT($AI34,2)="C|",IF($C34="","",SUMPRODUCT($AP$5:$AP$302*($AO$5:$AO$302=$A34),$CK$5:$CK$302)),IF($AI34="CT",AB$13,IF(LEFT($AI34,3)="AM|",IF($C34="","",SUMPRODUCT($AP$5:$AP$302*($AN$5:$AN$302=$A34),$CK$5:$CK$302)),IF(LEFT($AI34,2)="S|",IF($AG34="","",INDEX($CK$5:$CK$302,$AH34)),IF($AI34="HDR","Makeup Target",""))))))</f>
        <v/>
      </c>
      <c r="AC34" s="41" t="str">
        <f t="shared" si="45"/>
        <v/>
      </c>
      <c r="AD34" s="40" t="str" cm="1">
        <f t="array" ref="AD34">IF($AI34="","",IF(LEFT($AI34,2)="C|",IF($C34="","",SUMPRODUCT($AP$5:$AP$302*($AO$5:$AO$302=$A34),$CI$5:$CI$302)),IF($AI34="CT",AD$13,IF(LEFT($AI34,3)="AM|",IF($C34="","",SUMPRODUCT($AP$5:$AP$302*($AN$5:$AN$302=$A34),$CI$5:$CI$302)),IF(LEFT($AI34,2)="S|",IF($AG34="","",INDEX($CI$5:$CI$302,$AH34)),IF($AI34="HDR","Cosmetic Sales",""))))))</f>
        <v/>
      </c>
      <c r="AE34" s="8" t="str" cm="1">
        <f t="array" ref="AE34">IF($AI34="","",IF(LEFT($AI34,2)="C|",IF($C34="","",SUMPRODUCT($AP$5:$AP$302*($AO$5:$AO$302=$A34)*$AQ$5:$AQ$302,$AR$5:$AR$302)),IF($AI34="CT",AE$13,IF(LEFT($AI34,3)="AM|",IF($C34="","",SUMPRODUCT($AP$5:$AP$302*($AN$5:$AN$302=$A34)*$AQ$5:$AQ$302,$AR$5:$AR$302)),IF(LEFT($AI34,2)="S|",IF($AG34="","",IF(INDEX($AQ$5:$AQ$302,$AH34)=1,D34,0)),IF($AI34="HDR","LFL Sales",""))))))</f>
        <v/>
      </c>
      <c r="AF34" s="8" t="str" cm="1">
        <f t="array" ref="AF34">IF($AI34="","",IF(LEFT($AI34,2)="C|",IF($C34="","",SUMPRODUCT($AP$5:$AP$302*($AO$5:$AO$302=$A34)*$AQ$5:$AQ$302,$AS$5:$AS$302)),IF($AI34="CT",AF$13,IF(LEFT($AI34,3)="AM|",IF($C34="","",SUMPRODUCT($AP$5:$AP$302*($AN$5:$AN$302=$A34)*$AQ$5:$AQ$302,$AS$5:$AS$302)),IF(LEFT($AI34,2)="S|",IF($AG34="","",IF(INDEX($AQ$5:$AQ$302,$AH34)=1,P34,0)),IF($AI34="HDR","LFL Trans",""))))))</f>
        <v/>
      </c>
      <c r="AG34" s="8" t="str" cm="1">
        <f t="array" ref="AG34">IF($AI34="","",IF(LEFT($AI34,2)="C|","",IF($AI34="CT","",IF(LEFT($AI34,3)="AM|","",IF(LEFT($AI34,2)="S|",IF($AH34="","",IF(INDEX($AP$5:$AP$302,$AH34)=1,1,"")),IF($AI34="HDR","Show",""))))))</f>
        <v/>
      </c>
      <c r="AH34" s="8" t="str">
        <f t="shared" si="42"/>
        <v/>
      </c>
      <c r="AI34" s="8" t="str">
        <v>SEC</v>
      </c>
      <c r="AN34" s="8" t="str" cm="1">
        <f t="array" ref="AN34">IF($AW34="","",_xlfn.LET(_xlpm.sa,IFERROR(TRIM(INDEX('Sales and count'!$D$4:$D$300,$BF34)&amp;""),""),_xlpm.ta,IFERROR(TRIM(INDEX('TY Sales Target'!$F$5:$F$300,$BG34)&amp;""),""),IF(AND(_xlpm.sa&lt;&gt;"",LEFT(_xlpm.sa,1)&lt;&gt;"#",_xlpm.sa&lt;&gt;"0"),_xlpm.sa,IF(AND(_xlpm.ta&lt;&gt;"",LEFT(_xlpm.ta,1)&lt;&gt;"#",_xlpm.ta&lt;&gt;"0"),_xlpm.ta,IF(ISNUMBER($BG34),"Unassigned","")))))</f>
        <v>Hamzah Al Makhadam</v>
      </c>
      <c r="AO34" s="8" t="str" cm="1">
        <f t="array" ref="AO34">IF($AW34="","",_xlfn.LET(_xlpm.sa,IFERROR(TRIM(INDEX('Sales and count'!$C$4:$C$300,$BF34)&amp;""),""),_xlpm.ta,IFERROR(TRIM(INDEX('TY Sales Target'!$D$5:$D$300,$BG34)&amp;""),""),IF(AND(_xlpm.sa&lt;&gt;"",LEFT(_xlpm.sa,1)&lt;&gt;"#",_xlpm.sa&lt;&gt;"0"),_xlpm.sa,IF(AND(_xlpm.ta&lt;&gt;"",LEFT(_xlpm.ta,1)&lt;&gt;"#",_xlpm.ta&lt;&gt;"0"),_xlpm.ta,""))))</f>
        <v>Dammam</v>
      </c>
      <c r="AP34" s="8">
        <f t="shared" si="2"/>
        <v>0</v>
      </c>
      <c r="AQ34" s="8">
        <f t="shared" si="0"/>
        <v>1</v>
      </c>
      <c r="AR34" s="8" cm="1">
        <f t="array" ref="AR34">IF($BF34="",0,_xlfn.LET(_xlpm.d,IFERROR(--'Sales and count'!$G$2:$CC$2,0),SUMPRODUCT(('Sales and count'!$G$3:$CC$3="Total")*(_xlpm.d&gt;=$U$4)*(_xlpm.d&lt;=$U$5),INDEX('Sales and count'!$G$4:$CC$300,$BF34,0))))</f>
        <v>296245.31000000006</v>
      </c>
      <c r="AS34" s="8" cm="1">
        <f t="array" aca="1" ref="AS34" ca="1">IF($BF34="",0,_xlfn.LET(_xlpm.d,IFERROR(--'Sales and count'!$F$2:$CB$2,0),SUMPRODUCT(('Sales and count'!$G$3:$CC$3="Transactions")*(_xlpm.d&gt;=$U$4)*(_xlpm.d&lt;=$U$5),INDEX('Sales and count'!$G$4:$CC$300,$BF34,0))))</f>
        <v>1841</v>
      </c>
      <c r="AT34" s="8" cm="1">
        <f t="array" ref="AT34">IF($AW34="",0,SUMPRODUCT((TRIM('LY Sales '!$B$5:$B$200)=$AW34)*('LY Sales '!$C$2:$AG$2&gt;=EDATE($U$4,-12))*('LY Sales '!$C$2:$AG$2&lt;=EDATE($U$5,-12)),'LY Sales '!$C$5:$AG$200))</f>
        <v>459421.8</v>
      </c>
      <c r="AU34" s="8" cm="1">
        <f t="array" ref="AU34">IF($AW34="",0,SUMPRODUCT((TRIM('LY Transaction'!$B$5:$B$200)=$AW34)*('LY Transaction'!$C$2:$AG$2&gt;=EDATE($U$4,-12))*('LY Transaction'!$C$2:$AG$2&lt;=EDATE($U$5,-12)),'LY Transaction'!$C$5:$AG$200))</f>
        <v>3001</v>
      </c>
      <c r="AV34" s="8" cm="1">
        <f t="array" ref="AV34">IF(NOT(ISNUMBER($BG34)),0,SUMPRODUCT(('TY Sales Target'!$K$2:$AO$2&gt;=$U$4)*('TY Sales Target'!$K$2:$AO$2&lt;=$U$5),INDEX('TY Sales Target'!$K$5:$AO$300,$BG34,0)))</f>
        <v>406072.73168602132</v>
      </c>
      <c r="AW34" s="8" t="str" cm="1">
        <f t="array" ref="AW34">IFERROR(INDEX(_xlfn.ANCHORARRAY($BR$5),ROWS($AW$5:AW34)),"")</f>
        <v>DAMNAKHL</v>
      </c>
      <c r="AY34" s="132">
        <v>46324</v>
      </c>
      <c r="AZ34" s="132"/>
      <c r="BB34" cm="1">
        <f t="array" ref="BB34">IF($AW34="",0,SUMPRODUCT((TRIM(Footfall!$B$5:$B$301)=$AW34)*(Footfall!$C$1:$BZ$1&gt;=$U$4)*(Footfall!$C$2:$BZ$2&lt;=$U$5)*(Footfall!$C$1:$BZ$1&lt;&gt;""),Footfall!$C$5:$BZ$301))</f>
        <v>13102</v>
      </c>
      <c r="BC34" cm="1">
        <f t="array" aca="1" ref="BC34" ca="1">IF(OR($BB34&lt;=0,$BD$1="",$BF34=""),0,_xlfn.LET(_xlpm.d,IFERROR(--'Sales and count'!$F$2:$CB$2,0),SUMPRODUCT(('Sales and count'!$G$3:$CC$3="Transactions")*(_xlpm.d&gt;=$BD$1)*(_xlpm.d&lt;=$BD$2),INDEX('Sales and count'!$G$4:$CC$300,$BF34,0))))</f>
        <v>1841</v>
      </c>
      <c r="BF34" cm="1">
        <f t="array" ref="BF34">IF($AW34="","",IFERROR(MATCH($AW34,TRIM('Sales and count'!$A$4:$A$300&amp;""),0),""))</f>
        <v>30</v>
      </c>
      <c r="BG34" cm="1">
        <f t="array" ref="BG34">IF($AW34="","",IFERROR(MATCH(IFERROR(_xlfn.XLOOKUP($AW34,$BT$5:$BT$22,$BU$5:$BU$22),$AW34),TRIM('TY Sales Target'!$B$5:$B$300&amp;""),0),""))</f>
        <v>9</v>
      </c>
      <c r="BH34" t="str" cm="1">
        <f t="array" ref="BH34">IF(ISNUMBER($BG34),_xlfn.LET(_xlpm.p,TRIM(INDEX('TY Sales Target'!$I$5:$I$300,$BG34)&amp;""),IF(_xlpm.p="","Not set",_xlpm.p)),"Not set")</f>
        <v>Car</v>
      </c>
      <c r="BI34" cm="1">
        <f t="array" ref="BI34">IF($BF34="",0,_xlfn.LET(_xlpm.d,IFERROR(--'Sales and count'!$G$2:$CC$2,0),SUMPRODUCT(('Sales and count'!$G$3:$CC$3="Total")*(_xlpm.d&gt;=$BZ$5)*(_xlpm.d&lt;=$BZ$6),INDEX('Sales and count'!$G$4:$CC$300,$BF34,0))))</f>
        <v>296245.31000000006</v>
      </c>
      <c r="BJ34" cm="1">
        <f t="array" ref="BJ34">IF($AW34="",0,SUMPRODUCT((TRIM('LY Sales '!$B$5:$B$200)=$AW34)*('LY Sales '!$C$2:$AG$2&gt;=EDATE($BZ$5,-12))*('LY Sales '!$C$2:$AG$2&lt;=EDATE($BZ$6,-12)),'LY Sales '!$C$5:$AG$200))</f>
        <v>459421.8</v>
      </c>
      <c r="BK34" cm="1">
        <f t="array" ref="BK34">IF($AW34="",0,SUMPRODUCT((TRIM('LY Sales '!$B$5:$B$200)=$AW34)*('LY Sales '!$C$2:$AG$2&gt;=EDATE($BZ$5,-12))*('LY Sales '!$C$2:$AG$2&lt;=EDATE($BZ$7,-12)),'LY Sales '!$C$5:$AG$200))</f>
        <v>572280.86</v>
      </c>
      <c r="BL34" cm="1">
        <f t="array" ref="BL34">IF($AW34="",0,SUMPRODUCT((TRIM('LY Sales '!$B$5:$B$200)=$AW34)*('LY Sales '!$C$2:$AG$2&gt;=EDATE($BZ$5,-12))*('LY Sales '!$C$2:$AG$2&lt;=EDATE($BZ$6,-12))*('LY Sales '!$C$5:$AG$200&gt;0)))</f>
        <v>26</v>
      </c>
      <c r="BM34" cm="1">
        <f t="array" ref="BM34">IF(NOT(ISNUMBER($BG34)),0,SUMPRODUCT(('TY Sales Target'!$K$2:$AO$2&gt;=$BZ$5)*('TY Sales Target'!$K$2:$AO$2&lt;=$BZ$6),INDEX('TY Sales Target'!$K$5:$AO$300,$BG34,0)))</f>
        <v>406072.73168602132</v>
      </c>
      <c r="BN34" cm="1">
        <f t="array" ref="BN34">IF(NOT(ISNUMBER($BG34)),0,SUMPRODUCT(('TY Sales Target'!$K$2:$AO$2&gt;=$BZ$5)*('TY Sales Target'!$K$2:$AO$2&lt;=$BZ$7),INDEX('TY Sales Target'!$K$5:$AO$300,$BG34,0)))</f>
        <v>530000</v>
      </c>
      <c r="BO34" cm="1">
        <f t="array" ref="BO34">IF($AW34="",0,IFERROR(_xlfn.SWITCH($BP34,"LY trend",$BI34*$BK34/$BJ34,"Target curve",$BI34*$BN34/$BM34,"Run rate",$BI34/$BZ$8*$BZ$9,0),0))</f>
        <v>369019.32119408925</v>
      </c>
      <c r="BP34" t="str">
        <f t="shared" si="1"/>
        <v>LY trend</v>
      </c>
      <c r="BR34" t="str">
        <v>DAMNAKHL</v>
      </c>
      <c r="BX34" t="str">
        <v>Tabuk</v>
      </c>
      <c r="CB34" cm="1">
        <f t="array" ref="CB34">IF($AW34="",0,_xlfn.LET(_xlpm.k,IFERROR(_xlfn.XLOOKUP($AW34,$CD$6:$CD$21,$CE$6:$CE$21),$AW34),SUMPRODUCT((TRIM('Makeup '!$A$2:$A$300&amp;"")=_xlpm.k)*1,IFERROR('Makeup '!$F$2:$F$300*1,0))))</f>
        <v>20520.669999999998</v>
      </c>
      <c r="CF34" t="str" cm="1">
        <f t="array" ref="CF34">IF($AW34="","",_xlfn.LET(_xlpm.c,IFERROR(TRIM(INDEX('Sales and count'!$B$4:$B$300,$BF34)&amp;""),""),IF(OR(_xlpm.c="",_xlpm.c="0",LEFT(_xlpm.c,1)="#"),"Not set",_xlpm.c)))</f>
        <v>KSA</v>
      </c>
      <c r="CH34" cm="1">
        <f t="array" ref="CH34">IF($AW34="",0,_xlfn.LET(_xlpm.k,IFERROR(_xlfn.XLOOKUP($AW34,$CD$6:$CD$21,$CE$6:$CE$21),$AW34),--(SUMPRODUCT((TRIM('Makeup '!$A$2:$A$300&amp;"")=_xlpm.k)*ISNUMBER('Makeup '!$F$2:$F$300))&gt;0)))</f>
        <v>1</v>
      </c>
      <c r="CI34">
        <f t="shared" si="4"/>
        <v>296245.31000000006</v>
      </c>
      <c r="CJ34" cm="1">
        <f t="array" ref="CJ34">IF($AW34="",0,--(SUMPRODUCT(--(TRIM(Footfall!$B$5:$B$301)=$AW34))&gt;0))</f>
        <v>1</v>
      </c>
      <c r="CK34" s="8" cm="1">
        <f t="array" ref="CK34">IF($AW34="",0,_xlfn.LET(_xlpm.r,IFERROR(MATCH(IFERROR(_xlfn.XLOOKUP($AW34,$BT$5:$BT$22,$BU$5:$BU$22),$AW34),TRIM('TY Beauty Target'!$B$5:$B$300&amp;""),0),""),IF(ISNUMBER(_xlpm.r),SUMPRODUCT(('TY Beauty Target'!$L$2:$AP$2&gt;=$U$4)*('TY Beauty Target'!$L$2:$AP$2&lt;=$U$5),INDEX('TY Beauty Target'!$L$5:$AP$300,_xlpm.r,0)),0)))</f>
        <v>48213.933482385597</v>
      </c>
    </row>
    <row r="35" spans="1:89" ht="15" customHeight="1" x14ac:dyDescent="0.25">
      <c r="A35" s="38" t="str">
        <f t="shared" si="30"/>
        <v>Name</v>
      </c>
      <c r="B35" s="43" t="str" cm="1">
        <f t="array" ref="B35">IF($AI35="","",IF(LEFT($AI35,2)="C|",IF($C35="","",_xlfn.TEXTJOIN(", ",TRUE,_xlfn.UNIQUE(_xlfn._xlws.FILTER($AN$5:$AN$302,($AP$5:$AP$302=1)*($AO$5:$AO$302=$A35))))),IF($AI35="CT",B$13,IF(LEFT($AI35,3)="AM|",IF($C35="","",ROWS(_xlfn.UNIQUE(_xlfn._xlws.FILTER($AO$5:$AO$302,($AP$5:$AP$302=1)*($AN$5:$AN$302=$A35))))),IF(LEFT($AI35,2)="S|",IF($AG35="","",INDEX($AO$5:$AO$302,$AH35)),IF($AI35="HDR","City",""))))))</f>
        <v>City</v>
      </c>
      <c r="C35" s="39" t="str" cm="1">
        <f t="array" ref="C35">IF($AI35="","",IF(LEFT($AI35,2)="C|",_xlfn.LET(_xlpm.n,SUMPRODUCT($AP$5:$AP$302*($AO$5:$AO$302=$A35)),IF(_xlpm.n=0,"",_xlpm.n)),IF($AI35="CT",C$13,IF(LEFT($AI35,3)="AM|",_xlfn.LET(_xlpm.n,SUMPRODUCT($AP$5:$AP$302*($AN$5:$AN$302=$A35)),IF(_xlpm.n=0,"",_xlpm.n)),IF(LEFT($AI35,2)="S|","",IF($AI35="HDR","# Stores",""))))))</f>
        <v># Stores</v>
      </c>
      <c r="D35" s="40" t="str" cm="1">
        <f t="array" ref="D35">IF($AI35="","",IF(LEFT($AI35,2)="C|",IF($C35="","",SUMPRODUCT($AP$5:$AP$302*($AO$5:$AO$302=$A35),$AR$5:$AR$302)),IF($AI35="CT",D$13,IF(LEFT($AI35,3)="AM|",IF($C35="","",SUMPRODUCT($AP$5:$AP$302*($AN$5:$AN$302=$A35),$AR$5:$AR$302)),IF(LEFT($AI35,2)="S|",IF($AG35="","",INDEX($AR$5:$AR$302,$AH35)),IF($AI35="HDR","Sales TY",""))))))</f>
        <v>Sales TY</v>
      </c>
      <c r="E35" s="40" t="str" cm="1">
        <f t="array" ref="E35">IF($AI35="","",IF(LEFT($AI35,2)="C|",IF($C35="","",SUMPRODUCT($AP$5:$AP$302*($AO$5:$AO$302=$A35),$AT$5:$AT$302)),IF($AI35="CT",E$13,IF(LEFT($AI35,3)="AM|",IF($C35="","",SUMPRODUCT($AP$5:$AP$302*($AN$5:$AN$302=$A35),$AT$5:$AT$302)),IF(LEFT($AI35,2)="S|",IF($AG35="","",INDEX($AT$5:$AT$302,$AH35)),IF($AI35="HDR","Sales LY",""))))))</f>
        <v>Sales LY</v>
      </c>
      <c r="F35" s="41" t="str">
        <f t="shared" si="31"/>
        <v>LFL vs LY</v>
      </c>
      <c r="G35" s="41" t="str">
        <f t="shared" si="32"/>
        <v>Total Growth</v>
      </c>
      <c r="H35" s="40" t="str" cm="1">
        <f t="array" ref="H35">IF($AI35="","",IF(LEFT($AI35,2)="C|",IF($C35="","",SUMPRODUCT($AP$5:$AP$302*($AO$5:$AO$302=$A35),$AV$5:$AV$302)),IF($AI35="CT",H$13,IF(LEFT($AI35,3)="AM|",IF($C35="","",SUMPRODUCT($AP$5:$AP$302*($AN$5:$AN$302=$A35),$AV$5:$AV$302)),IF(LEFT($AI35,2)="S|",IF($AG35="","",INDEX($AV$5:$AV$302,$AH35)),IF($AI35="HDR","Target",""))))))</f>
        <v>Target</v>
      </c>
      <c r="I35" s="41" t="str">
        <f t="shared" si="33"/>
        <v>Ach. %</v>
      </c>
      <c r="J35" s="40" t="str">
        <f t="shared" si="34"/>
        <v>Var Target</v>
      </c>
      <c r="K35" s="41" t="str">
        <f t="shared" si="35"/>
        <v>% Share</v>
      </c>
      <c r="L35" s="40" t="str" cm="1">
        <f t="array" ref="L35">IF($AI35="","",IF(LEFT($AI35,2)="C|",IF($C35="","",SUMPRODUCT($AP$5:$AP$302*($AO$5:$AO$302=$A35),$BN$5:$BN$302)),IF($AI35="CT",L$13,IF(LEFT($AI35,3)="AM|",IF($C35="","",SUMPRODUCT($AP$5:$AP$302*($AN$5:$AN$302=$A35),$BN$5:$BN$302)),IF(LEFT($AI35,2)="S|",IF($AG35="","",INDEX($BN$5:$BN$302,$AH35)),IF($AI35="HDR","Month Target",""))))))</f>
        <v>Month Target</v>
      </c>
      <c r="M35" s="40" t="str" cm="1">
        <f t="array" ref="M35">IF($AI35="","",IF(LEFT($AI35,2)="C|",IF($C35="","",SUMPRODUCT($AP$5:$AP$302*($AO$5:$AO$302=$A35),$BO$5:$BO$302)),IF($AI35="CT",M$13,IF(LEFT($AI35,3)="AM|",IF($C35="","",SUMPRODUCT($AP$5:$AP$302*($AN$5:$AN$302=$A35),$BO$5:$BO$302)),IF(LEFT($AI35,2)="S|",IF($AG35="","",INDEX($BO$5:$BO$302,$AH35)),IF($AI35="HDR","Projected Close",""))))))</f>
        <v>Projected Close</v>
      </c>
      <c r="N35" s="41" t="str">
        <f t="shared" si="43"/>
        <v>Proj. Ach %</v>
      </c>
      <c r="O35" s="41" t="str" cm="1">
        <f t="array" ref="O35">IF($AI35="HDR","Proj. vs LY",IF(OR($AI35="",M35=""),"",_xlfn.LET(_xlpm.ly,IF(LEFT($AI35,2)="C|",SUMPRODUCT($AP$5:$AP$302*($AO$5:$AO$302=$A35),$BK$5:$BK$302),IF($AI35="CT",SUMPRODUCT($AP$5:$AP$302,$BK$5:$BK$302),IF(LEFT($AI35,3)="AM|",SUMPRODUCT($AP$5:$AP$302*($AN$5:$AN$302=$A35),$BK$5:$BK$302),IF(LEFT($AI35,2)="S|",INDEX($BK$5:$BK$302,$AH35),0)))),IFERROR(M35/_xlpm.ly-1,""))))</f>
        <v>Proj. vs LY</v>
      </c>
      <c r="P35" s="40" t="str" cm="1">
        <f t="array" ref="P35">IF($AI35="","",IF(LEFT($AI35,2)="C|",IF($C35="","",SUMPRODUCT($AP$5:$AP$302*($AO$5:$AO$302=$A35),$AS$5:$AS$302)),IF($AI35="CT",P$13,IF(LEFT($AI35,3)="AM|",IF($C35="","",SUMPRODUCT($AP$5:$AP$302*($AN$5:$AN$302=$A35),$AS$5:$AS$302)),IF(LEFT($AI35,2)="S|",IF($AG35="","",INDEX($AS$5:$AS$302,$AH35)),IF($AI35="HDR","Trans TY",""))))))</f>
        <v>Trans TY</v>
      </c>
      <c r="Q35" s="40" t="str" cm="1">
        <f t="array" ref="Q35">IF($AI35="","",IF(LEFT($AI35,2)="C|",IF($C35="","",SUMPRODUCT($AP$5:$AP$302*($AO$5:$AO$302=$A35),$AU$5:$AU$302)),IF($AI35="CT",Q$13,IF(LEFT($AI35,3)="AM|",IF($C35="","",SUMPRODUCT($AP$5:$AP$302*($AN$5:$AN$302=$A35),$AU$5:$AU$302)),IF(LEFT($AI35,2)="S|",IF($AG35="","",INDEX($AU$5:$AU$302,$AH35)),IF($AI35="HDR","Trans LY",""))))))</f>
        <v>Trans LY</v>
      </c>
      <c r="R35" s="41" t="str">
        <f t="shared" si="36"/>
        <v>Trans LFL</v>
      </c>
      <c r="S35" s="41" t="str">
        <f t="shared" si="37"/>
        <v>Trans Growth</v>
      </c>
      <c r="T35" s="42" t="str">
        <f t="shared" si="38"/>
        <v>ATV TY</v>
      </c>
      <c r="U35" s="42" t="str">
        <f t="shared" si="39"/>
        <v>ATV LY</v>
      </c>
      <c r="V35" s="41" t="str">
        <f t="shared" si="40"/>
        <v>ATV LFL</v>
      </c>
      <c r="W35" s="40" t="str" cm="1">
        <f t="array" ref="W35">IF($AI35="","",IF(LEFT($AI35,2)="C|",_xlfn.LET(_xlpm.n,SUMPRODUCT($AP$5:$AP$302*($AO$5:$AO$302=$A35),$BB$5:$BB$302),IF(_xlpm.n=0,"",_xlpm.n)),IF($AI35="CT",W$13,IF(LEFT($AI35,3)="AM|",_xlfn.LET(_xlpm.n,SUMPRODUCT($AP$5:$AP$302*($AN$5:$AN$302=$A35),$BB$5:$BB$302),IF(_xlpm.n=0,"",_xlpm.n)),IF(LEFT($AI35,2)="S|",IF($AG35="","",_xlfn.LET(_xlpm.n,INDEX($BB$5:$BB$302,$AH35),IF(_xlpm.n=0,"",_xlpm.n))),IF($AI35="HDR","Footfall",""))))))</f>
        <v>Footfall</v>
      </c>
      <c r="X35" s="40" t="str" cm="1">
        <f t="array" ref="X35">IF($AI35="","",IF($AI35="HDR","Trans (FF stores)",IF(W35="","",IF(LEFT($AI35,2)="C|",SUMPRODUCT($AP$5:$AP$302*($AO$5:$AO$302=$A35),$BC$5:$BC$302),IF($AI35="CT",X$13,IF(LEFT($AI35,3)="AM|",SUMPRODUCT($AP$5:$AP$302*($AN$5:$AN$302=$A35),$BC$5:$BC$302),IF(LEFT($AI35,2)="S|",INDEX($BC$5:$BC$302,$AH35),"")))))))</f>
        <v>Trans (FF stores)</v>
      </c>
      <c r="Y35" s="41" t="str">
        <f t="shared" si="44"/>
        <v>Conversion %</v>
      </c>
      <c r="Z35" s="40" t="str" cm="1">
        <f t="array" ref="Z35">IF($AI35="","",IF(LEFT($AI35,2)="C|",IF($C35="","",SUMPRODUCT($AP$5:$AP$302*($AO$5:$AO$302=$A35),$CB$5:$CB$302)),IF($AI35="CT",Z$13,IF(LEFT($AI35,3)="AM|",IF($C35="","",SUMPRODUCT($AP$5:$AP$302*($AN$5:$AN$302=$A35),$CB$5:$CB$302)),IF(LEFT($AI35,2)="S|",IF($AG35="","",INDEX($CB$5:$CB$302,$AH35)),IF($AI35="HDR","Makeup Sales",""))))))</f>
        <v>Makeup Sales</v>
      </c>
      <c r="AA35" s="41" t="str">
        <f t="shared" si="41"/>
        <v>Makeup % of Sales</v>
      </c>
      <c r="AB35" s="40" t="str" cm="1">
        <f t="array" ref="AB35">IF($AI35="","",IF(LEFT($AI35,2)="C|",IF($C35="","",SUMPRODUCT($AP$5:$AP$302*($AO$5:$AO$302=$A35),$CK$5:$CK$302)),IF($AI35="CT",AB$13,IF(LEFT($AI35,3)="AM|",IF($C35="","",SUMPRODUCT($AP$5:$AP$302*($AN$5:$AN$302=$A35),$CK$5:$CK$302)),IF(LEFT($AI35,2)="S|",IF($AG35="","",INDEX($CK$5:$CK$302,$AH35)),IF($AI35="HDR","Makeup Target",""))))))</f>
        <v>Makeup Target</v>
      </c>
      <c r="AC35" s="41" t="str">
        <f t="shared" si="45"/>
        <v>Makeup Ach. %</v>
      </c>
      <c r="AD35" s="40" t="str" cm="1">
        <f t="array" ref="AD35">IF($AI35="","",IF(LEFT($AI35,2)="C|",IF($C35="","",SUMPRODUCT($AP$5:$AP$302*($AO$5:$AO$302=$A35),$CI$5:$CI$302)),IF($AI35="CT",AD$13,IF(LEFT($AI35,3)="AM|",IF($C35="","",SUMPRODUCT($AP$5:$AP$302*($AN$5:$AN$302=$A35),$CI$5:$CI$302)),IF(LEFT($AI35,2)="S|",IF($AG35="","",INDEX($CI$5:$CI$302,$AH35)),IF($AI35="HDR","Cosmetic Sales",""))))))</f>
        <v>Cosmetic Sales</v>
      </c>
      <c r="AE35" s="8" t="str" cm="1">
        <f t="array" ref="AE35">IF($AI35="","",IF(LEFT($AI35,2)="C|",IF($C35="","",SUMPRODUCT($AP$5:$AP$302*($AO$5:$AO$302=$A35)*$AQ$5:$AQ$302,$AR$5:$AR$302)),IF($AI35="CT",AE$13,IF(LEFT($AI35,3)="AM|",IF($C35="","",SUMPRODUCT($AP$5:$AP$302*($AN$5:$AN$302=$A35)*$AQ$5:$AQ$302,$AR$5:$AR$302)),IF(LEFT($AI35,2)="S|",IF($AG35="","",IF(INDEX($AQ$5:$AQ$302,$AH35)=1,D35,0)),IF($AI35="HDR","LFL Sales",""))))))</f>
        <v>LFL Sales</v>
      </c>
      <c r="AF35" s="8" t="str" cm="1">
        <f t="array" ref="AF35">IF($AI35="","",IF(LEFT($AI35,2)="C|",IF($C35="","",SUMPRODUCT($AP$5:$AP$302*($AO$5:$AO$302=$A35)*$AQ$5:$AQ$302,$AS$5:$AS$302)),IF($AI35="CT",AF$13,IF(LEFT($AI35,3)="AM|",IF($C35="","",SUMPRODUCT($AP$5:$AP$302*($AN$5:$AN$302=$A35)*$AQ$5:$AQ$302,$AS$5:$AS$302)),IF(LEFT($AI35,2)="S|",IF($AG35="","",IF(INDEX($AQ$5:$AQ$302,$AH35)=1,P35,0)),IF($AI35="HDR","LFL Trans",""))))))</f>
        <v>LFL Trans</v>
      </c>
      <c r="AG35" s="8" t="str" cm="1">
        <f t="array" ref="AG35">IF($AI35="","",IF(LEFT($AI35,2)="C|","",IF($AI35="CT","",IF(LEFT($AI35,3)="AM|","",IF(LEFT($AI35,2)="S|",IF($AH35="","",IF(INDEX($AP$5:$AP$302,$AH35)=1,1,"")),IF($AI35="HDR","Show",""))))))</f>
        <v>Show</v>
      </c>
      <c r="AH35" s="8" t="str">
        <f t="shared" si="42"/>
        <v>Src Row</v>
      </c>
      <c r="AI35" s="8" t="str">
        <v>HDR</v>
      </c>
      <c r="AN35" s="8" t="str" cm="1">
        <f t="array" ref="AN35">IF($AW35="","",_xlfn.LET(_xlpm.sa,IFERROR(TRIM(INDEX('Sales and count'!$D$4:$D$300,$BF35)&amp;""),""),_xlpm.ta,IFERROR(TRIM(INDEX('TY Sales Target'!$F$5:$F$300,$BG35)&amp;""),""),IF(AND(_xlpm.sa&lt;&gt;"",LEFT(_xlpm.sa,1)&lt;&gt;"#",_xlpm.sa&lt;&gt;"0"),_xlpm.sa,IF(AND(_xlpm.ta&lt;&gt;"",LEFT(_xlpm.ta,1)&lt;&gt;"#",_xlpm.ta&lt;&gt;"0"),_xlpm.ta,IF(ISNUMBER($BG35),"Unassigned","")))))</f>
        <v>Mohammed Haidar</v>
      </c>
      <c r="AO35" s="8" t="str" cm="1">
        <f t="array" ref="AO35">IF($AW35="","",_xlfn.LET(_xlpm.sa,IFERROR(TRIM(INDEX('Sales and count'!$C$4:$C$300,$BF35)&amp;""),""),_xlpm.ta,IFERROR(TRIM(INDEX('TY Sales Target'!$D$5:$D$300,$BG35)&amp;""),""),IF(AND(_xlpm.sa&lt;&gt;"",LEFT(_xlpm.sa,1)&lt;&gt;"#",_xlpm.sa&lt;&gt;"0"),_xlpm.sa,IF(AND(_xlpm.ta&lt;&gt;"",LEFT(_xlpm.ta,1)&lt;&gt;"#",_xlpm.ta&lt;&gt;"0"),_xlpm.ta,""))))</f>
        <v>Madinah</v>
      </c>
      <c r="AP35" s="8">
        <f t="shared" si="2"/>
        <v>0</v>
      </c>
      <c r="AQ35" s="8">
        <f t="shared" si="0"/>
        <v>0</v>
      </c>
      <c r="AR35" s="8" cm="1">
        <f t="array" ref="AR35">IF($BF35="",0,_xlfn.LET(_xlpm.d,IFERROR(--'Sales and count'!$G$2:$CC$2,0),SUMPRODUCT(('Sales and count'!$G$3:$CC$3="Total")*(_xlpm.d&gt;=$U$4)*(_xlpm.d&lt;=$U$5),INDEX('Sales and count'!$G$4:$CC$300,$BF35,0))))</f>
        <v>199448.37999999998</v>
      </c>
      <c r="AS35" s="8" cm="1">
        <f t="array" aca="1" ref="AS35" ca="1">IF($BF35="",0,_xlfn.LET(_xlpm.d,IFERROR(--'Sales and count'!$F$2:$CB$2,0),SUMPRODUCT(('Sales and count'!$G$3:$CC$3="Transactions")*(_xlpm.d&gt;=$U$4)*(_xlpm.d&lt;=$U$5),INDEX('Sales and count'!$G$4:$CC$300,$BF35,0))))</f>
        <v>1072</v>
      </c>
      <c r="AT35" s="8" cm="1">
        <f t="array" ref="AT35">IF($AW35="",0,SUMPRODUCT((TRIM('LY Sales '!$B$5:$B$200)=$AW35)*('LY Sales '!$C$2:$AG$2&gt;=EDATE($U$4,-12))*('LY Sales '!$C$2:$AG$2&lt;=EDATE($U$5,-12)),'LY Sales '!$C$5:$AG$200))</f>
        <v>0</v>
      </c>
      <c r="AU35" s="8" cm="1">
        <f t="array" ref="AU35">IF($AW35="",0,SUMPRODUCT((TRIM('LY Transaction'!$B$5:$B$200)=$AW35)*('LY Transaction'!$C$2:$AG$2&gt;=EDATE($U$4,-12))*('LY Transaction'!$C$2:$AG$2&lt;=EDATE($U$5,-12)),'LY Transaction'!$C$5:$AG$200))</f>
        <v>0</v>
      </c>
      <c r="AV35" s="8" cm="1">
        <f t="array" ref="AV35">IF(NOT(ISNUMBER($BG35)),0,SUMPRODUCT(('TY Sales Target'!$K$2:$AO$2&gt;=$U$4)*('TY Sales Target'!$K$2:$AO$2&lt;=$U$5),INDEX('TY Sales Target'!$K$5:$AO$300,$BG35,0)))</f>
        <v>201504.01591212003</v>
      </c>
      <c r="AW35" s="8" t="str" cm="1">
        <f t="array" ref="AW35">IFERROR(INDEX(_xlfn.ANCHORARRAY($BR$5),ROWS($AW$5:AW35)),"")</f>
        <v>HADLHTBHHT</v>
      </c>
      <c r="AY35" s="132">
        <v>46325</v>
      </c>
      <c r="AZ35" s="132"/>
      <c r="BB35" cm="1">
        <f t="array" ref="BB35">IF($AW35="",0,SUMPRODUCT((TRIM(Footfall!$B$5:$B$301)=$AW35)*(Footfall!$C$1:$BZ$1&gt;=$U$4)*(Footfall!$C$2:$BZ$2&lt;=$U$5)*(Footfall!$C$1:$BZ$1&lt;&gt;""),Footfall!$C$5:$BZ$301))</f>
        <v>7994</v>
      </c>
      <c r="BC35" cm="1">
        <f t="array" aca="1" ref="BC35" ca="1">IF(OR($BB35&lt;=0,$BD$1="",$BF35=""),0,_xlfn.LET(_xlpm.d,IFERROR(--'Sales and count'!$F$2:$CB$2,0),SUMPRODUCT(('Sales and count'!$G$3:$CC$3="Transactions")*(_xlpm.d&gt;=$BD$1)*(_xlpm.d&lt;=$BD$2),INDEX('Sales and count'!$G$4:$CC$300,$BF35,0))))</f>
        <v>1072</v>
      </c>
      <c r="BF35" cm="1">
        <f t="array" ref="BF35">IF($AW35="","",IFERROR(MATCH($AW35,TRIM('Sales and count'!$A$4:$A$300&amp;""),0),""))</f>
        <v>31</v>
      </c>
      <c r="BG35" cm="1">
        <f t="array" ref="BG35">IF($AW35="","",IFERROR(MATCH(IFERROR(_xlfn.XLOOKUP($AW35,$BT$5:$BT$22,$BU$5:$BU$22),$AW35),TRIM('TY Sales Target'!$B$5:$B$300&amp;""),0),""))</f>
        <v>41</v>
      </c>
      <c r="BH35" t="str" cm="1">
        <f t="array" ref="BH35">IF(ISNUMBER($BG35),_xlfn.LET(_xlpm.p,TRIM(INDEX('TY Sales Target'!$I$5:$I$300,$BG35)&amp;""),IF(_xlpm.p="","Not set",_xlpm.p)),"Not set")</f>
        <v>Smart Phone</v>
      </c>
      <c r="BI35" cm="1">
        <f t="array" ref="BI35">IF($BF35="",0,_xlfn.LET(_xlpm.d,IFERROR(--'Sales and count'!$G$2:$CC$2,0),SUMPRODUCT(('Sales and count'!$G$3:$CC$3="Total")*(_xlpm.d&gt;=$BZ$5)*(_xlpm.d&lt;=$BZ$6),INDEX('Sales and count'!$G$4:$CC$300,$BF35,0))))</f>
        <v>199448.37999999998</v>
      </c>
      <c r="BJ35" cm="1">
        <f t="array" ref="BJ35">IF($AW35="",0,SUMPRODUCT((TRIM('LY Sales '!$B$5:$B$200)=$AW35)*('LY Sales '!$C$2:$AG$2&gt;=EDATE($BZ$5,-12))*('LY Sales '!$C$2:$AG$2&lt;=EDATE($BZ$6,-12)),'LY Sales '!$C$5:$AG$200))</f>
        <v>0</v>
      </c>
      <c r="BK35" cm="1">
        <f t="array" ref="BK35">IF($AW35="",0,SUMPRODUCT((TRIM('LY Sales '!$B$5:$B$200)=$AW35)*('LY Sales '!$C$2:$AG$2&gt;=EDATE($BZ$5,-12))*('LY Sales '!$C$2:$AG$2&lt;=EDATE($BZ$7,-12)),'LY Sales '!$C$5:$AG$200))</f>
        <v>0</v>
      </c>
      <c r="BL35" cm="1">
        <f t="array" ref="BL35">IF($AW35="",0,SUMPRODUCT((TRIM('LY Sales '!$B$5:$B$200)=$AW35)*('LY Sales '!$C$2:$AG$2&gt;=EDATE($BZ$5,-12))*('LY Sales '!$C$2:$AG$2&lt;=EDATE($BZ$6,-12))*('LY Sales '!$C$5:$AG$200&gt;0)))</f>
        <v>0</v>
      </c>
      <c r="BM35" cm="1">
        <f t="array" ref="BM35">IF(NOT(ISNUMBER($BG35)),0,SUMPRODUCT(('TY Sales Target'!$K$2:$AO$2&gt;=$BZ$5)*('TY Sales Target'!$K$2:$AO$2&lt;=$BZ$6),INDEX('TY Sales Target'!$K$5:$AO$300,$BG35,0)))</f>
        <v>201504.01591212003</v>
      </c>
      <c r="BN35" cm="1">
        <f t="array" ref="BN35">IF(NOT(ISNUMBER($BG35)),0,SUMPRODUCT(('TY Sales Target'!$K$2:$AO$2&gt;=$BZ$5)*('TY Sales Target'!$K$2:$AO$2&lt;=$BZ$7),INDEX('TY Sales Target'!$K$5:$AO$300,$BG35,0)))</f>
        <v>263000</v>
      </c>
      <c r="BO35" cm="1">
        <f t="array" ref="BO35">IF($AW35="",0,IFERROR(_xlfn.SWITCH($BP35,"LY trend",$BI35*$BK35/$BJ35,"Target curve",$BI35*$BN35/$BM35,"Run rate",$BI35/$BZ$8*$BZ$9,0),0))</f>
        <v>260317.01503595166</v>
      </c>
      <c r="BP35" t="str">
        <f t="shared" si="1"/>
        <v>Target curve</v>
      </c>
      <c r="BR35" t="str">
        <v>HADLHTBHHT</v>
      </c>
      <c r="BX35" t="str">
        <v>Taif</v>
      </c>
      <c r="CB35" cm="1">
        <f t="array" ref="CB35">IF($AW35="",0,_xlfn.LET(_xlpm.k,IFERROR(_xlfn.XLOOKUP($AW35,$CD$6:$CD$21,$CE$6:$CE$21),$AW35),SUMPRODUCT((TRIM('Makeup '!$A$2:$A$300&amp;"")=_xlpm.k)*1,IFERROR('Makeup '!$F$2:$F$300*1,0))))</f>
        <v>0</v>
      </c>
      <c r="CF35" t="str" cm="1">
        <f t="array" ref="CF35">IF($AW35="","",_xlfn.LET(_xlpm.c,IFERROR(TRIM(INDEX('Sales and count'!$B$4:$B$300,$BF35)&amp;""),""),IF(OR(_xlpm.c="",_xlpm.c="0",LEFT(_xlpm.c,1)="#"),"Not set",_xlpm.c)))</f>
        <v>KSA</v>
      </c>
      <c r="CH35" cm="1">
        <f t="array" ref="CH35">IF($AW35="",0,_xlfn.LET(_xlpm.k,IFERROR(_xlfn.XLOOKUP($AW35,$CD$6:$CD$21,$CE$6:$CE$21),$AW35),--(SUMPRODUCT((TRIM('Makeup '!$A$2:$A$300&amp;"")=_xlpm.k)*ISNUMBER('Makeup '!$F$2:$F$300))&gt;0)))</f>
        <v>1</v>
      </c>
      <c r="CI35">
        <f t="shared" si="4"/>
        <v>199448.37999999998</v>
      </c>
      <c r="CJ35" cm="1">
        <f t="array" ref="CJ35">IF($AW35="",0,--(SUMPRODUCT(--(TRIM(Footfall!$B$5:$B$301)=$AW35))&gt;0))</f>
        <v>1</v>
      </c>
      <c r="CK35" s="8" cm="1">
        <f t="array" ref="CK35">IF($AW35="",0,_xlfn.LET(_xlpm.r,IFERROR(MATCH(IFERROR(_xlfn.XLOOKUP($AW35,$BT$5:$BT$22,$BU$5:$BU$22),$AW35),TRIM('TY Beauty Target'!$B$5:$B$300&amp;""),0),""),IF(ISNUMBER(_xlpm.r),SUMPRODUCT(('TY Beauty Target'!$L$2:$AP$2&gt;=$U$4)*('TY Beauty Target'!$L$2:$AP$2&lt;=$U$5),INDEX('TY Beauty Target'!$L$5:$AP$300,_xlpm.r,0)),0)))</f>
        <v>1007.5200795605999</v>
      </c>
    </row>
    <row r="36" spans="1:89" ht="15" customHeight="1" x14ac:dyDescent="0.25">
      <c r="A36" s="38" t="str">
        <f t="shared" si="30"/>
        <v>Saleh Bin Hoiel</v>
      </c>
      <c r="B36" s="43" cm="1">
        <f t="array" ref="B36">IF($AI36="","",IF(LEFT($AI36,2)="C|",IF($C36="","",_xlfn.TEXTJOIN(", ",TRUE,_xlfn.UNIQUE(_xlfn._xlws.FILTER($AN$5:$AN$302,($AP$5:$AP$302=1)*($AO$5:$AO$302=$A36))))),IF($AI36="CT",B$13,IF(LEFT($AI36,3)="AM|",IF($C36="","",ROWS(_xlfn.UNIQUE(_xlfn._xlws.FILTER($AO$5:$AO$302,($AP$5:$AP$302=1)*($AN$5:$AN$302=$A36))))),IF(LEFT($AI36,2)="S|",IF($AG36="","",INDEX($AO$5:$AO$302,$AH36)),IF($AI36="HDR","City",""))))))</f>
        <v>2</v>
      </c>
      <c r="C36" s="39" cm="1">
        <f t="array" ref="C36">IF($AI36="","",IF(LEFT($AI36,2)="C|",_xlfn.LET(_xlpm.n,SUMPRODUCT($AP$5:$AP$302*($AO$5:$AO$302=$A36)),IF(_xlpm.n=0,"",_xlpm.n)),IF($AI36="CT",C$13,IF(LEFT($AI36,3)="AM|",_xlfn.LET(_xlpm.n,SUMPRODUCT($AP$5:$AP$302*($AN$5:$AN$302=$A36)),IF(_xlpm.n=0,"",_xlpm.n)),IF(LEFT($AI36,2)="S|","",IF($AI36="HDR","# Stores",""))))))</f>
        <v>14</v>
      </c>
      <c r="D36" s="40" cm="1">
        <f t="array" ref="D36">IF($AI36="","",IF(LEFT($AI36,2)="C|",IF($C36="","",SUMPRODUCT($AP$5:$AP$302*($AO$5:$AO$302=$A36),$AR$5:$AR$302)),IF($AI36="CT",D$13,IF(LEFT($AI36,3)="AM|",IF($C36="","",SUMPRODUCT($AP$5:$AP$302*($AN$5:$AN$302=$A36),$AR$5:$AR$302)),IF(LEFT($AI36,2)="S|",IF($AG36="","",INDEX($AR$5:$AR$302,$AH36)),IF($AI36="HDR","Sales TY",""))))))</f>
        <v>1764899.2400000002</v>
      </c>
      <c r="E36" s="40" cm="1">
        <f t="array" ref="E36">IF($AI36="","",IF(LEFT($AI36,2)="C|",IF($C36="","",SUMPRODUCT($AP$5:$AP$302*($AO$5:$AO$302=$A36),$AT$5:$AT$302)),IF($AI36="CT",E$13,IF(LEFT($AI36,3)="AM|",IF($C36="","",SUMPRODUCT($AP$5:$AP$302*($AN$5:$AN$302=$A36),$AT$5:$AT$302)),IF(LEFT($AI36,2)="S|",IF($AG36="","",INDEX($AT$5:$AT$302,$AH36)),IF($AI36="HDR","Sales LY",""))))))</f>
        <v>1700848.1199999996</v>
      </c>
      <c r="F36" s="41">
        <f t="shared" si="31"/>
        <v>-0.26511873382321727</v>
      </c>
      <c r="G36" s="41">
        <f t="shared" si="32"/>
        <v>3.765834188651751E-2</v>
      </c>
      <c r="H36" s="40" cm="1">
        <f t="array" ref="H36">IF($AI36="","",IF(LEFT($AI36,2)="C|",IF($C36="","",SUMPRODUCT($AP$5:$AP$302*($AO$5:$AO$302=$A36),$AV$5:$AV$302)),IF($AI36="CT",H$13,IF(LEFT($AI36,3)="AM|",IF($C36="","",SUMPRODUCT($AP$5:$AP$302*($AN$5:$AN$302=$A36),$AV$5:$AV$302)),IF(LEFT($AI36,2)="S|",IF($AG36="","",INDEX($AV$5:$AV$302,$AH36)),IF($AI36="HDR","Target",""))))))</f>
        <v>2724934.8577755233</v>
      </c>
      <c r="I36" s="41">
        <f t="shared" si="33"/>
        <v>0.64768492904111485</v>
      </c>
      <c r="J36" s="40">
        <f t="shared" si="34"/>
        <v>-960035.6177755231</v>
      </c>
      <c r="K36" s="41">
        <f t="shared" si="35"/>
        <v>1</v>
      </c>
      <c r="L36" s="40" cm="1">
        <f t="array" ref="L36">IF($AI36="","",IF(LEFT($AI36,2)="C|",IF($C36="","",SUMPRODUCT($AP$5:$AP$302*($AO$5:$AO$302=$A36),$BN$5:$BN$302)),IF($AI36="CT",L$13,IF(LEFT($AI36,3)="AM|",IF($C36="","",SUMPRODUCT($AP$5:$AP$302*($AN$5:$AN$302=$A36),$BN$5:$BN$302)),IF(LEFT($AI36,2)="S|",IF($AG36="","",INDEX($BN$5:$BN$302,$AH36)),IF($AI36="HDR","Month Target",""))))))</f>
        <v>3556543.8452974143</v>
      </c>
      <c r="M36" s="40" cm="1">
        <f t="array" ref="M36">IF($AI36="","",IF(LEFT($AI36,2)="C|",IF($C36="","",SUMPRODUCT($AP$5:$AP$302*($AO$5:$AO$302=$A36),$BO$5:$BO$302)),IF($AI36="CT",M$13,IF(LEFT($AI36,3)="AM|",IF($C36="","",SUMPRODUCT($AP$5:$AP$302*($AN$5:$AN$302=$A36),$BO$5:$BO$302)),IF(LEFT($AI36,2)="S|",IF($AG36="","",INDEX($BO$5:$BO$302,$AH36)),IF($AI36="HDR","Projected Close",""))))))</f>
        <v>2258685.080763713</v>
      </c>
      <c r="N36" s="41">
        <f t="shared" si="43"/>
        <v>0.63507865473111624</v>
      </c>
      <c r="O36" s="41" cm="1">
        <f t="array" ref="O36">IF($AI36="HDR","Proj. vs LY",IF(OR($AI36="",M36=""),"",_xlfn.LET(_xlpm.ly,IF(LEFT($AI36,2)="C|",SUMPRODUCT($AP$5:$AP$302*($AO$5:$AO$302=$A36),$BK$5:$BK$302),IF($AI36="CT",SUMPRODUCT($AP$5:$AP$302,$BK$5:$BK$302),IF(LEFT($AI36,3)="AM|",SUMPRODUCT($AP$5:$AP$302*($AN$5:$AN$302=$A36),$BK$5:$BK$302),IF(LEFT($AI36,2)="S|",INDEX($BK$5:$BK$302,$AH36),0)))),IFERROR(M36/_xlpm.ly-1,""))))</f>
        <v>4.7148683092635757E-2</v>
      </c>
      <c r="P36" s="40" cm="1">
        <f t="array" aca="1" ref="P36" ca="1">IF($AI36="","",IF(LEFT($AI36,2)="C|",IF($C36="","",SUMPRODUCT($AP$5:$AP$302*($AO$5:$AO$302=$A36),$AS$5:$AS$302)),IF($AI36="CT",P$13,IF(LEFT($AI36,3)="AM|",IF($C36="","",SUMPRODUCT($AP$5:$AP$302*($AN$5:$AN$302=$A36),$AS$5:$AS$302)),IF(LEFT($AI36,2)="S|",IF($AG36="","",INDEX($AS$5:$AS$302,$AH36)),IF($AI36="HDR","Trans TY",""))))))</f>
        <v>12271</v>
      </c>
      <c r="Q36" s="40" cm="1">
        <f t="array" ref="Q36">IF($AI36="","",IF(LEFT($AI36,2)="C|",IF($C36="","",SUMPRODUCT($AP$5:$AP$302*($AO$5:$AO$302=$A36),$AU$5:$AU$302)),IF($AI36="CT",Q$13,IF(LEFT($AI36,3)="AM|",IF($C36="","",SUMPRODUCT($AP$5:$AP$302*($AN$5:$AN$302=$A36),$AU$5:$AU$302)),IF(LEFT($AI36,2)="S|",IF($AG36="","",INDEX($AU$5:$AU$302,$AH36)),IF($AI36="HDR","Trans LY",""))))))</f>
        <v>12430</v>
      </c>
      <c r="R36" s="41">
        <f t="shared" ca="1" si="36"/>
        <v>-0.31303298471440066</v>
      </c>
      <c r="S36" s="41">
        <f t="shared" ca="1" si="37"/>
        <v>-1.2791633145615489E-2</v>
      </c>
      <c r="T36" s="42">
        <f t="shared" ca="1" si="38"/>
        <v>143.82684703773126</v>
      </c>
      <c r="U36" s="42">
        <f t="shared" si="39"/>
        <v>136.83412067578436</v>
      </c>
      <c r="V36" s="41">
        <f t="shared" ca="1" si="40"/>
        <v>6.9747527646962126E-2</v>
      </c>
      <c r="W36" s="40" cm="1">
        <f t="array" ref="W36">IF($AI36="","",IF(LEFT($AI36,2)="C|",_xlfn.LET(_xlpm.n,SUMPRODUCT($AP$5:$AP$302*($AO$5:$AO$302=$A36),$BB$5:$BB$302),IF(_xlpm.n=0,"",_xlpm.n)),IF($AI36="CT",W$13,IF(LEFT($AI36,3)="AM|",_xlfn.LET(_xlpm.n,SUMPRODUCT($AP$5:$AP$302*($AN$5:$AN$302=$A36),$BB$5:$BB$302),IF(_xlpm.n=0,"",_xlpm.n)),IF(LEFT($AI36,2)="S|",IF($AG36="","",_xlfn.LET(_xlpm.n,INDEX($BB$5:$BB$302,$AH36),IF(_xlpm.n=0,"",_xlpm.n))),IF($AI36="HDR","Footfall",""))))))</f>
        <v>45821</v>
      </c>
      <c r="X36" s="40" cm="1">
        <f t="array" aca="1" ref="X36" ca="1">IF($AI36="","",IF($AI36="HDR","Trans (FF stores)",IF(W36="","",IF(LEFT($AI36,2)="C|",SUMPRODUCT($AP$5:$AP$302*($AO$5:$AO$302=$A36),$BC$5:$BC$302),IF($AI36="CT",X$13,IF(LEFT($AI36,3)="AM|",SUMPRODUCT($AP$5:$AP$302*($AN$5:$AN$302=$A36),$BC$5:$BC$302),IF(LEFT($AI36,2)="S|",INDEX($BC$5:$BC$302,$AH36),"")))))))</f>
        <v>9531</v>
      </c>
      <c r="Y36" s="41">
        <f t="shared" ca="1" si="44"/>
        <v>0.20800506318063769</v>
      </c>
      <c r="Z36" s="40" cm="1">
        <f t="array" ref="Z36">IF($AI36="","",IF(LEFT($AI36,2)="C|",IF($C36="","",SUMPRODUCT($AP$5:$AP$302*($AO$5:$AO$302=$A36),$CB$5:$CB$302)),IF($AI36="CT",Z$13,IF(LEFT($AI36,3)="AM|",IF($C36="","",SUMPRODUCT($AP$5:$AP$302*($AN$5:$AN$302=$A36),$CB$5:$CB$302)),IF(LEFT($AI36,2)="S|",IF($AG36="","",INDEX($CB$5:$CB$302,$AH36)),IF($AI36="HDR","Makeup Sales",""))))))</f>
        <v>99427.38</v>
      </c>
      <c r="AA36" s="41">
        <f t="shared" si="41"/>
        <v>5.6336009301018224E-2</v>
      </c>
      <c r="AB36" s="40" cm="1">
        <f t="array" ref="AB36">IF($AI36="","",IF(LEFT($AI36,2)="C|",IF($C36="","",SUMPRODUCT($AP$5:$AP$302*($AO$5:$AO$302=$A36),$CK$5:$CK$302)),IF($AI36="CT",AB$13,IF(LEFT($AI36,3)="AM|",IF($C36="","",SUMPRODUCT($AP$5:$AP$302*($AN$5:$AN$302=$A36),$CK$5:$CK$302)),IF(LEFT($AI36,2)="S|",IF($AG36="","",INDEX($CK$5:$CK$302,$AH36)),IF($AI36="HDR","Makeup Target",""))))))</f>
        <v>171690.27834359545</v>
      </c>
      <c r="AC36" s="41">
        <f t="shared" si="45"/>
        <v>0.57910896854055305</v>
      </c>
      <c r="AD36" s="40" cm="1">
        <f t="array" ref="AD36">IF($AI36="","",IF(LEFT($AI36,2)="C|",IF($C36="","",SUMPRODUCT($AP$5:$AP$302*($AO$5:$AO$302=$A36),$CI$5:$CI$302)),IF($AI36="CT",AD$13,IF(LEFT($AI36,3)="AM|",IF($C36="","",SUMPRODUCT($AP$5:$AP$302*($AN$5:$AN$302=$A36),$CI$5:$CI$302)),IF(LEFT($AI36,2)="S|",IF($AG36="","",INDEX($CI$5:$CI$302,$AH36)),IF($AI36="HDR","Cosmetic Sales",""))))))</f>
        <v>1764899.2400000002</v>
      </c>
      <c r="AE36" s="8" cm="1">
        <f t="array" ref="AE36">IF($AI36="","",IF(LEFT($AI36,2)="C|",IF($C36="","",SUMPRODUCT($AP$5:$AP$302*($AO$5:$AO$302=$A36)*$AQ$5:$AQ$302,$AR$5:$AR$302)),IF($AI36="CT",AE$13,IF(LEFT($AI36,3)="AM|",IF($C36="","",SUMPRODUCT($AP$5:$AP$302*($AN$5:$AN$302=$A36)*$AQ$5:$AQ$302,$AR$5:$AR$302)),IF(LEFT($AI36,2)="S|",IF($AG36="","",IF(INDEX($AQ$5:$AQ$302,$AH36)=1,D36,0)),IF($AI36="HDR","LFL Sales",""))))))</f>
        <v>1249921.4200000002</v>
      </c>
      <c r="AF36" s="8" cm="1">
        <f t="array" aca="1" ref="AF36" ca="1">IF($AI36="","",IF(LEFT($AI36,2)="C|",IF($C36="","",SUMPRODUCT($AP$5:$AP$302*($AO$5:$AO$302=$A36)*$AQ$5:$AQ$302,$AS$5:$AS$302)),IF($AI36="CT",AF$13,IF(LEFT($AI36,3)="AM|",IF($C36="","",SUMPRODUCT($AP$5:$AP$302*($AN$5:$AN$302=$A36)*$AQ$5:$AQ$302,$AS$5:$AS$302)),IF(LEFT($AI36,2)="S|",IF($AG36="","",IF(INDEX($AQ$5:$AQ$302,$AH36)=1,P36,0)),IF($AI36="HDR","LFL Trans",""))))))</f>
        <v>8539</v>
      </c>
      <c r="AG36" s="8" t="str" cm="1">
        <f t="array" ref="AG36">IF($AI36="","",IF(LEFT($AI36,2)="C|","",IF($AI36="CT","",IF(LEFT($AI36,3)="AM|","",IF(LEFT($AI36,2)="S|",IF($AH36="","",IF(INDEX($AP$5:$AP$302,$AH36)=1,1,"")),IF($AI36="HDR","Show",""))))))</f>
        <v/>
      </c>
      <c r="AH36" s="8" t="str">
        <f t="shared" si="42"/>
        <v/>
      </c>
      <c r="AI36" s="8" t="str">
        <v>AM|Saleh Bin Hoiel</v>
      </c>
      <c r="AN36" s="8" t="str" cm="1">
        <f t="array" ref="AN36">IF($AW36="","",_xlfn.LET(_xlpm.sa,IFERROR(TRIM(INDEX('Sales and count'!$D$4:$D$300,$BF36)&amp;""),""),_xlpm.ta,IFERROR(TRIM(INDEX('TY Sales Target'!$F$5:$F$300,$BG36)&amp;""),""),IF(AND(_xlpm.sa&lt;&gt;"",LEFT(_xlpm.sa,1)&lt;&gt;"#",_xlpm.sa&lt;&gt;"0"),_xlpm.sa,IF(AND(_xlpm.ta&lt;&gt;"",LEFT(_xlpm.ta,1)&lt;&gt;"#",_xlpm.ta&lt;&gt;"0"),_xlpm.ta,IF(ISNUMBER($BG36),"Unassigned","")))))</f>
        <v>Ahlam Al Zahrani</v>
      </c>
      <c r="AO36" s="8" t="str" cm="1">
        <f t="array" ref="AO36">IF($AW36="","",_xlfn.LET(_xlpm.sa,IFERROR(TRIM(INDEX('Sales and count'!$C$4:$C$300,$BF36)&amp;""),""),_xlpm.ta,IFERROR(TRIM(INDEX('TY Sales Target'!$D$5:$D$300,$BG36)&amp;""),""),IF(AND(_xlpm.sa&lt;&gt;"",LEFT(_xlpm.sa,1)&lt;&gt;"#",_xlpm.sa&lt;&gt;"0"),_xlpm.sa,IF(AND(_xlpm.ta&lt;&gt;"",LEFT(_xlpm.ta,1)&lt;&gt;"#",_xlpm.ta&lt;&gt;"0"),_xlpm.ta,""))))</f>
        <v>Jeddah</v>
      </c>
      <c r="AP36" s="8">
        <f t="shared" si="2"/>
        <v>0</v>
      </c>
      <c r="AQ36" s="8">
        <f t="shared" si="0"/>
        <v>1</v>
      </c>
      <c r="AR36" s="8" cm="1">
        <f t="array" ref="AR36">IF($BF36="",0,_xlfn.LET(_xlpm.d,IFERROR(--'Sales and count'!$G$2:$CC$2,0),SUMPRODUCT(('Sales and count'!$G$3:$CC$3="Total")*(_xlpm.d&gt;=$U$4)*(_xlpm.d&lt;=$U$5),INDEX('Sales and count'!$G$4:$CC$300,$BF36,0))))</f>
        <v>78577.3</v>
      </c>
      <c r="AS36" s="8" cm="1">
        <f t="array" aca="1" ref="AS36" ca="1">IF($BF36="",0,_xlfn.LET(_xlpm.d,IFERROR(--'Sales and count'!$F$2:$CB$2,0),SUMPRODUCT(('Sales and count'!$G$3:$CC$3="Transactions")*(_xlpm.d&gt;=$U$4)*(_xlpm.d&lt;=$U$5),INDEX('Sales and count'!$G$4:$CC$300,$BF36,0))))</f>
        <v>530</v>
      </c>
      <c r="AT36" s="8" cm="1">
        <f t="array" ref="AT36">IF($AW36="",0,SUMPRODUCT((TRIM('LY Sales '!$B$5:$B$200)=$AW36)*('LY Sales '!$C$2:$AG$2&gt;=EDATE($U$4,-12))*('LY Sales '!$C$2:$AG$2&lt;=EDATE($U$5,-12)),'LY Sales '!$C$5:$AG$200))</f>
        <v>149100.17999999996</v>
      </c>
      <c r="AU36" s="8" cm="1">
        <f t="array" ref="AU36">IF($AW36="",0,SUMPRODUCT((TRIM('LY Transaction'!$B$5:$B$200)=$AW36)*('LY Transaction'!$C$2:$AG$2&gt;=EDATE($U$4,-12))*('LY Transaction'!$C$2:$AG$2&lt;=EDATE($U$5,-12)),'LY Transaction'!$C$5:$AG$200))</f>
        <v>898</v>
      </c>
      <c r="AV36" s="8" cm="1">
        <f t="array" ref="AV36">IF(NOT(ISNUMBER($BG36)),0,SUMPRODUCT(('TY Sales Target'!$K$2:$AO$2&gt;=$U$4)*('TY Sales Target'!$K$2:$AO$2&lt;=$U$5),INDEX('TY Sales Target'!$K$5:$AO$300,$BG36,0)))</f>
        <v>149404.11826183807</v>
      </c>
      <c r="AW36" s="8" t="str" cm="1">
        <f t="array" ref="AW36">IFERROR(INDEX(_xlfn.ANCHORARRAY($BR$5),ROWS($AW$5:AW36)),"")</f>
        <v>JEDDSALAM</v>
      </c>
      <c r="AY36" s="132">
        <v>46326</v>
      </c>
      <c r="AZ36" s="132"/>
      <c r="BB36" cm="1">
        <f t="array" ref="BB36">IF($AW36="",0,SUMPRODUCT((TRIM(Footfall!$B$5:$B$301)=$AW36)*(Footfall!$C$1:$BZ$1&gt;=$U$4)*(Footfall!$C$2:$BZ$2&lt;=$U$5)*(Footfall!$C$1:$BZ$1&lt;&gt;""),Footfall!$C$5:$BZ$301))</f>
        <v>3421</v>
      </c>
      <c r="BC36" cm="1">
        <f t="array" aca="1" ref="BC36" ca="1">IF(OR($BB36&lt;=0,$BD$1="",$BF36=""),0,_xlfn.LET(_xlpm.d,IFERROR(--'Sales and count'!$F$2:$CB$2,0),SUMPRODUCT(('Sales and count'!$G$3:$CC$3="Transactions")*(_xlpm.d&gt;=$BD$1)*(_xlpm.d&lt;=$BD$2),INDEX('Sales and count'!$G$4:$CC$300,$BF36,0))))</f>
        <v>530</v>
      </c>
      <c r="BF36" cm="1">
        <f t="array" ref="BF36">IF($AW36="","",IFERROR(MATCH($AW36,TRIM('Sales and count'!$A$4:$A$300&amp;""),0),""))</f>
        <v>32</v>
      </c>
      <c r="BG36" cm="1">
        <f t="array" ref="BG36">IF($AW36="","",IFERROR(MATCH(IFERROR(_xlfn.XLOOKUP($AW36,$BT$5:$BT$22,$BU$5:$BU$22),$AW36),TRIM('TY Sales Target'!$B$5:$B$300&amp;""),0),""))</f>
        <v>72</v>
      </c>
      <c r="BH36" t="str" cm="1">
        <f t="array" ref="BH36">IF(ISNUMBER($BG36),_xlfn.LET(_xlpm.p,TRIM(INDEX('TY Sales Target'!$I$5:$I$300,$BG36)&amp;""),IF(_xlpm.p="","Not set",_xlpm.p)),"Not set")</f>
        <v>I Pad</v>
      </c>
      <c r="BI36" cm="1">
        <f t="array" ref="BI36">IF($BF36="",0,_xlfn.LET(_xlpm.d,IFERROR(--'Sales and count'!$G$2:$CC$2,0),SUMPRODUCT(('Sales and count'!$G$3:$CC$3="Total")*(_xlpm.d&gt;=$BZ$5)*(_xlpm.d&lt;=$BZ$6),INDEX('Sales and count'!$G$4:$CC$300,$BF36,0))))</f>
        <v>78577.3</v>
      </c>
      <c r="BJ36" cm="1">
        <f t="array" ref="BJ36">IF($AW36="",0,SUMPRODUCT((TRIM('LY Sales '!$B$5:$B$200)=$AW36)*('LY Sales '!$C$2:$AG$2&gt;=EDATE($BZ$5,-12))*('LY Sales '!$C$2:$AG$2&lt;=EDATE($BZ$6,-12)),'LY Sales '!$C$5:$AG$200))</f>
        <v>149100.17999999996</v>
      </c>
      <c r="BK36" cm="1">
        <f t="array" ref="BK36">IF($AW36="",0,SUMPRODUCT((TRIM('LY Sales '!$B$5:$B$200)=$AW36)*('LY Sales '!$C$2:$AG$2&gt;=EDATE($BZ$5,-12))*('LY Sales '!$C$2:$AG$2&lt;=EDATE($BZ$7,-12)),'LY Sales '!$C$5:$AG$200))</f>
        <v>184548.65999999995</v>
      </c>
      <c r="BL36" cm="1">
        <f t="array" ref="BL36">IF($AW36="",0,SUMPRODUCT((TRIM('LY Sales '!$B$5:$B$200)=$AW36)*('LY Sales '!$C$2:$AG$2&gt;=EDATE($BZ$5,-12))*('LY Sales '!$C$2:$AG$2&lt;=EDATE($BZ$6,-12))*('LY Sales '!$C$5:$AG$200&gt;0)))</f>
        <v>26</v>
      </c>
      <c r="BM36" cm="1">
        <f t="array" ref="BM36">IF(NOT(ISNUMBER($BG36)),0,SUMPRODUCT(('TY Sales Target'!$K$2:$AO$2&gt;=$BZ$5)*('TY Sales Target'!$K$2:$AO$2&lt;=$BZ$6),INDEX('TY Sales Target'!$K$5:$AO$300,$BG36,0)))</f>
        <v>149404.11826183807</v>
      </c>
      <c r="BN36" cm="1">
        <f t="array" ref="BN36">IF(NOT(ISNUMBER($BG36)),0,SUMPRODUCT(('TY Sales Target'!$K$2:$AO$2&gt;=$BZ$5)*('TY Sales Target'!$K$2:$AO$2&lt;=$BZ$7),INDEX('TY Sales Target'!$K$5:$AO$300,$BG36,0)))</f>
        <v>195000.00000000006</v>
      </c>
      <c r="BO36" cm="1">
        <f t="array" ref="BO36">IF($AW36="",0,IFERROR(_xlfn.SWITCH($BP36,"LY trend",$BI36*$BK36/$BJ36,"Target curve",$BI36*$BN36/$BM36,"Run rate",$BI36/$BZ$8*$BZ$9,0),0))</f>
        <v>97259.006806148711</v>
      </c>
      <c r="BP36" t="str">
        <f t="shared" si="1"/>
        <v>LY trend</v>
      </c>
      <c r="BR36" t="str">
        <v>JEDDSALAM</v>
      </c>
      <c r="BX36" t="str">
        <v>Yanbu</v>
      </c>
      <c r="CB36" cm="1">
        <f t="array" ref="CB36">IF($AW36="",0,_xlfn.LET(_xlpm.k,IFERROR(_xlfn.XLOOKUP($AW36,$CD$6:$CD$21,$CE$6:$CE$21),$AW36),SUMPRODUCT((TRIM('Makeup '!$A$2:$A$300&amp;"")=_xlpm.k)*1,IFERROR('Makeup '!$F$2:$F$300*1,0))))</f>
        <v>1954.52</v>
      </c>
      <c r="CF36" t="str" cm="1">
        <f t="array" ref="CF36">IF($AW36="","",_xlfn.LET(_xlpm.c,IFERROR(TRIM(INDEX('Sales and count'!$B$4:$B$300,$BF36)&amp;""),""),IF(OR(_xlpm.c="",_xlpm.c="0",LEFT(_xlpm.c,1)="#"),"Not set",_xlpm.c)))</f>
        <v>KSA</v>
      </c>
      <c r="CH36" cm="1">
        <f t="array" ref="CH36">IF($AW36="",0,_xlfn.LET(_xlpm.k,IFERROR(_xlfn.XLOOKUP($AW36,$CD$6:$CD$21,$CE$6:$CE$21),$AW36),--(SUMPRODUCT((TRIM('Makeup '!$A$2:$A$300&amp;"")=_xlpm.k)*ISNUMBER('Makeup '!$F$2:$F$300))&gt;0)))</f>
        <v>1</v>
      </c>
      <c r="CI36">
        <f t="shared" si="4"/>
        <v>78577.3</v>
      </c>
      <c r="CJ36" cm="1">
        <f t="array" ref="CJ36">IF($AW36="",0,--(SUMPRODUCT(--(TRIM(Footfall!$B$5:$B$301)=$AW36))&gt;0))</f>
        <v>1</v>
      </c>
      <c r="CK36" s="8" cm="1">
        <f t="array" ref="CK36">IF($AW36="",0,_xlfn.LET(_xlpm.r,IFERROR(MATCH(IFERROR(_xlfn.XLOOKUP($AW36,$BT$5:$BT$22,$BU$5:$BU$22),$AW36),TRIM('TY Beauty Target'!$B$5:$B$300&amp;""),0),""),IF(ISNUMBER(_xlpm.r),SUMPRODUCT(('TY Beauty Target'!$L$2:$AP$2&gt;=$U$4)*('TY Beauty Target'!$L$2:$AP$2&lt;=$U$5),INDEX('TY Beauty Target'!$L$5:$AP$300,_xlpm.r,0)),0)))</f>
        <v>8924.5720903032106</v>
      </c>
    </row>
    <row r="37" spans="1:89" ht="15" customHeight="1" x14ac:dyDescent="0.25">
      <c r="A37" s="327" t="str">
        <f t="shared" si="30"/>
        <v>SALAMA</v>
      </c>
      <c r="B37" s="43" t="str" cm="1">
        <f t="array" ref="B37">IF($AI37="","",IF(LEFT($AI37,2)="C|",IF($C37="","",_xlfn.TEXTJOIN(", ",TRUE,_xlfn.UNIQUE(_xlfn._xlws.FILTER($AN$5:$AN$302,($AP$5:$AP$302=1)*($AO$5:$AO$302=$A37))))),IF($AI37="CT",B$13,IF(LEFT($AI37,3)="AM|",IF($C37="","",ROWS(_xlfn.UNIQUE(_xlfn._xlws.FILTER($AO$5:$AO$302,($AP$5:$AP$302=1)*($AN$5:$AN$302=$A37))))),IF(LEFT($AI37,2)="S|",IF($AG37="","",INDEX($AO$5:$AO$302,$AH37)),IF($AI37="HDR","City",""))))))</f>
        <v>Jeddah</v>
      </c>
      <c r="C37" s="39" t="str" cm="1">
        <f t="array" ref="C37">IF($AI37="","",IF(LEFT($AI37,2)="C|",_xlfn.LET(_xlpm.n,SUMPRODUCT($AP$5:$AP$302*($AO$5:$AO$302=$A37)),IF(_xlpm.n=0,"",_xlpm.n)),IF($AI37="CT",C$13,IF(LEFT($AI37,3)="AM|",_xlfn.LET(_xlpm.n,SUMPRODUCT($AP$5:$AP$302*($AN$5:$AN$302=$A37)),IF(_xlpm.n=0,"",_xlpm.n)),IF(LEFT($AI37,2)="S|","",IF($AI37="HDR","# Stores",""))))))</f>
        <v/>
      </c>
      <c r="D37" s="40" cm="1">
        <f t="array" ref="D37">IF($AI37="","",IF(LEFT($AI37,2)="C|",IF($C37="","",SUMPRODUCT($AP$5:$AP$302*($AO$5:$AO$302=$A37),$AR$5:$AR$302)),IF($AI37="CT",D$13,IF(LEFT($AI37,3)="AM|",IF($C37="","",SUMPRODUCT($AP$5:$AP$302*($AN$5:$AN$302=$A37),$AR$5:$AR$302)),IF(LEFT($AI37,2)="S|",IF($AG37="","",INDEX($AR$5:$AR$302,$AH37)),IF($AI37="HDR","Sales TY",""))))))</f>
        <v>311989.38999999996</v>
      </c>
      <c r="E37" s="40" cm="1">
        <f t="array" ref="E37">IF($AI37="","",IF(LEFT($AI37,2)="C|",IF($C37="","",SUMPRODUCT($AP$5:$AP$302*($AO$5:$AO$302=$A37),$AT$5:$AT$302)),IF($AI37="CT",E$13,IF(LEFT($AI37,3)="AM|",IF($C37="","",SUMPRODUCT($AP$5:$AP$302*($AN$5:$AN$302=$A37),$AT$5:$AT$302)),IF(LEFT($AI37,2)="S|",IF($AG37="","",INDEX($AT$5:$AT$302,$AH37)),IF($AI37="HDR","Sales LY",""))))))</f>
        <v>391728.4499999999</v>
      </c>
      <c r="F37" s="41">
        <f t="shared" si="31"/>
        <v>-0.20355697933096251</v>
      </c>
      <c r="G37" s="41">
        <f t="shared" si="32"/>
        <v>-0.20355697933096251</v>
      </c>
      <c r="H37" s="40" cm="1">
        <f t="array" ref="H37">IF($AI37="","",IF(LEFT($AI37,2)="C|",IF($C37="","",SUMPRODUCT($AP$5:$AP$302*($AO$5:$AO$302=$A37),$AV$5:$AV$302)),IF($AI37="CT",H$13,IF(LEFT($AI37,3)="AM|",IF($C37="","",SUMPRODUCT($AP$5:$AP$302*($AN$5:$AN$302=$A37),$AV$5:$AV$302)),IF(LEFT($AI37,2)="S|",IF($AG37="","",INDEX($AV$5:$AV$302,$AH37)),IF($AI37="HDR","Target",""))))))</f>
        <v>440550.60513106087</v>
      </c>
      <c r="I37" s="41">
        <f t="shared" si="33"/>
        <v>0.70818059575059533</v>
      </c>
      <c r="J37" s="40">
        <f t="shared" si="34"/>
        <v>-128561.21513106092</v>
      </c>
      <c r="K37" s="41">
        <f t="shared" si="35"/>
        <v>0.17677461858955751</v>
      </c>
      <c r="L37" s="40" cm="1">
        <f t="array" ref="L37">IF($AI37="","",IF(LEFT($AI37,2)="C|",IF($C37="","",SUMPRODUCT($AP$5:$AP$302*($AO$5:$AO$302=$A37),$BN$5:$BN$302)),IF($AI37="CT",L$13,IF(LEFT($AI37,3)="AM|",IF($C37="","",SUMPRODUCT($AP$5:$AP$302*($AN$5:$AN$302=$A37),$BN$5:$BN$302)),IF(LEFT($AI37,2)="S|",IF($AG37="","",INDEX($BN$5:$BN$302,$AH37)),IF($AI37="HDR","Month Target",""))))))</f>
        <v>575000.00000000012</v>
      </c>
      <c r="M37" s="40" cm="1">
        <f t="array" ref="M37">IF($AI37="","",IF(LEFT($AI37,2)="C|",IF($C37="","",SUMPRODUCT($AP$5:$AP$302*($AO$5:$AO$302=$A37),$BO$5:$BO$302)),IF($AI37="CT",M$13,IF(LEFT($AI37,3)="AM|",IF($C37="","",SUMPRODUCT($AP$5:$AP$302*($AN$5:$AN$302=$A37),$BO$5:$BO$302)),IF(LEFT($AI37,2)="S|",IF($AG37="","",INDEX($BO$5:$BO$302,$AH37)),IF($AI37="HDR","Projected Close",""))))))</f>
        <v>386257.09638069198</v>
      </c>
      <c r="N37" s="41">
        <f t="shared" si="43"/>
        <v>0.67175147196642071</v>
      </c>
      <c r="O37" s="41" cm="1">
        <f t="array" ref="O37">IF($AI37="HDR","Proj. vs LY",IF(OR($AI37="",M37=""),"",_xlfn.LET(_xlpm.ly,IF(LEFT($AI37,2)="C|",SUMPRODUCT($AP$5:$AP$302*($AO$5:$AO$302=$A37),$BK$5:$BK$302),IF($AI37="CT",SUMPRODUCT($AP$5:$AP$302,$BK$5:$BK$302),IF(LEFT($AI37,3)="AM|",SUMPRODUCT($AP$5:$AP$302*($AN$5:$AN$302=$A37),$BK$5:$BK$302),IF(LEFT($AI37,2)="S|",INDEX($BK$5:$BK$302,$AH37),0)))),IFERROR(M37/_xlpm.ly-1,""))))</f>
        <v>-0.20355697933096251</v>
      </c>
      <c r="P37" s="40" cm="1">
        <f t="array" aca="1" ref="P37" ca="1">IF($AI37="","",IF(LEFT($AI37,2)="C|",IF($C37="","",SUMPRODUCT($AP$5:$AP$302*($AO$5:$AO$302=$A37),$AS$5:$AS$302)),IF($AI37="CT",P$13,IF(LEFT($AI37,3)="AM|",IF($C37="","",SUMPRODUCT($AP$5:$AP$302*($AN$5:$AN$302=$A37),$AS$5:$AS$302)),IF(LEFT($AI37,2)="S|",IF($AG37="","",INDEX($AS$5:$AS$302,$AH37)),IF($AI37="HDR","Trans TY",""))))))</f>
        <v>1813</v>
      </c>
      <c r="Q37" s="40" cm="1">
        <f t="array" ref="Q37">IF($AI37="","",IF(LEFT($AI37,2)="C|",IF($C37="","",SUMPRODUCT($AP$5:$AP$302*($AO$5:$AO$302=$A37),$AU$5:$AU$302)),IF($AI37="CT",Q$13,IF(LEFT($AI37,3)="AM|",IF($C37="","",SUMPRODUCT($AP$5:$AP$302*($AN$5:$AN$302=$A37),$AU$5:$AU$302)),IF(LEFT($AI37,2)="S|",IF($AG37="","",INDEX($AU$5:$AU$302,$AH37)),IF($AI37="HDR","Trans LY",""))))))</f>
        <v>2817</v>
      </c>
      <c r="R37" s="41">
        <f t="shared" ca="1" si="36"/>
        <v>-0.35640752573659917</v>
      </c>
      <c r="S37" s="41">
        <f t="shared" ca="1" si="37"/>
        <v>-0.35640752573659917</v>
      </c>
      <c r="T37" s="42">
        <f t="shared" ca="1" si="38"/>
        <v>172.08460562603418</v>
      </c>
      <c r="U37" s="42">
        <f t="shared" si="39"/>
        <v>139.05873269435565</v>
      </c>
      <c r="V37" s="41">
        <f t="shared" ca="1" si="40"/>
        <v>0.23749585726678379</v>
      </c>
      <c r="W37" s="40" cm="1">
        <f t="array" ref="W37">IF($AI37="","",IF(LEFT($AI37,2)="C|",_xlfn.LET(_xlpm.n,SUMPRODUCT($AP$5:$AP$302*($AO$5:$AO$302=$A37),$BB$5:$BB$302),IF(_xlpm.n=0,"",_xlpm.n)),IF($AI37="CT",W$13,IF(LEFT($AI37,3)="AM|",_xlfn.LET(_xlpm.n,SUMPRODUCT($AP$5:$AP$302*($AN$5:$AN$302=$A37),$BB$5:$BB$302),IF(_xlpm.n=0,"",_xlpm.n)),IF(LEFT($AI37,2)="S|",IF($AG37="","",_xlfn.LET(_xlpm.n,INDEX($BB$5:$BB$302,$AH37),IF(_xlpm.n=0,"",_xlpm.n))),IF($AI37="HDR","Footfall",""))))))</f>
        <v>4481</v>
      </c>
      <c r="X37" s="40" cm="1">
        <f t="array" aca="1" ref="X37" ca="1">IF($AI37="","",IF($AI37="HDR","Trans (FF stores)",IF(W37="","",IF(LEFT($AI37,2)="C|",SUMPRODUCT($AP$5:$AP$302*($AO$5:$AO$302=$A37),$BC$5:$BC$302),IF($AI37="CT",X$13,IF(LEFT($AI37,3)="AM|",SUMPRODUCT($AP$5:$AP$302*($AN$5:$AN$302=$A37),$BC$5:$BC$302),IF(LEFT($AI37,2)="S|",INDEX($BC$5:$BC$302,$AH37),"")))))))</f>
        <v>1813</v>
      </c>
      <c r="Y37" s="41">
        <f t="shared" ca="1" si="44"/>
        <v>0.40459718812765005</v>
      </c>
      <c r="Z37" s="40" cm="1">
        <f t="array" ref="Z37">IF($AI37="","",IF(LEFT($AI37,2)="C|",IF($C37="","",SUMPRODUCT($AP$5:$AP$302*($AO$5:$AO$302=$A37),$CB$5:$CB$302)),IF($AI37="CT",Z$13,IF(LEFT($AI37,3)="AM|",IF($C37="","",SUMPRODUCT($AP$5:$AP$302*($AN$5:$AN$302=$A37),$CB$5:$CB$302)),IF(LEFT($AI37,2)="S|",IF($AG37="","",INDEX($CB$5:$CB$302,$AH37)),IF($AI37="HDR","Makeup Sales",""))))))</f>
        <v>11259.06</v>
      </c>
      <c r="AA37" s="41">
        <f t="shared" si="41"/>
        <v>3.6087957991135539E-2</v>
      </c>
      <c r="AB37" s="40" cm="1">
        <f t="array" ref="AB37">IF($AI37="","",IF(LEFT($AI37,2)="C|",IF($C37="","",SUMPRODUCT($AP$5:$AP$302*($AO$5:$AO$302=$A37),$CK$5:$CK$302)),IF($AI37="CT",AB$13,IF(LEFT($AI37,3)="AM|",IF($C37="","",SUMPRODUCT($AP$5:$AP$302*($AN$5:$AN$302=$A37),$CK$5:$CK$302)),IF(LEFT($AI37,2)="S|",IF($AG37="","",INDEX($CK$5:$CK$302,$AH37)),IF($AI37="HDR","Makeup Target",""))))))</f>
        <v>28662.157445620061</v>
      </c>
      <c r="AC37" s="41">
        <f t="shared" si="45"/>
        <v>0.39281969688993268</v>
      </c>
      <c r="AD37" s="40" cm="1">
        <f t="array" ref="AD37">IF($AI37="","",IF(LEFT($AI37,2)="C|",IF($C37="","",SUMPRODUCT($AP$5:$AP$302*($AO$5:$AO$302=$A37),$CI$5:$CI$302)),IF($AI37="CT",AD$13,IF(LEFT($AI37,3)="AM|",IF($C37="","",SUMPRODUCT($AP$5:$AP$302*($AN$5:$AN$302=$A37),$CI$5:$CI$302)),IF(LEFT($AI37,2)="S|",IF($AG37="","",INDEX($CI$5:$CI$302,$AH37)),IF($AI37="HDR","Cosmetic Sales",""))))))</f>
        <v>311989.38999999996</v>
      </c>
      <c r="AE37" s="8" cm="1">
        <f t="array" ref="AE37">IF($AI37="","",IF(LEFT($AI37,2)="C|",IF($C37="","",SUMPRODUCT($AP$5:$AP$302*($AO$5:$AO$302=$A37)*$AQ$5:$AQ$302,$AR$5:$AR$302)),IF($AI37="CT",AE$13,IF(LEFT($AI37,3)="AM|",IF($C37="","",SUMPRODUCT($AP$5:$AP$302*($AN$5:$AN$302=$A37)*$AQ$5:$AQ$302,$AR$5:$AR$302)),IF(LEFT($AI37,2)="S|",IF($AG37="","",IF(INDEX($AQ$5:$AQ$302,$AH37)=1,D37,0)),IF($AI37="HDR","LFL Sales",""))))))</f>
        <v>311989.38999999996</v>
      </c>
      <c r="AF37" s="8" cm="1">
        <f t="array" aca="1" ref="AF37" ca="1">IF($AI37="","",IF(LEFT($AI37,2)="C|",IF($C37="","",SUMPRODUCT($AP$5:$AP$302*($AO$5:$AO$302=$A37)*$AQ$5:$AQ$302,$AS$5:$AS$302)),IF($AI37="CT",AF$13,IF(LEFT($AI37,3)="AM|",IF($C37="","",SUMPRODUCT($AP$5:$AP$302*($AN$5:$AN$302=$A37)*$AQ$5:$AQ$302,$AS$5:$AS$302)),IF(LEFT($AI37,2)="S|",IF($AG37="","",IF(INDEX($AQ$5:$AQ$302,$AH37)=1,P37,0)),IF($AI37="HDR","LFL Trans",""))))))</f>
        <v>1813</v>
      </c>
      <c r="AG37" s="8" cm="1">
        <f t="array" ref="AG37">IF($AI37="","",IF(LEFT($AI37,2)="C|","",IF($AI37="CT","",IF(LEFT($AI37,3)="AM|","",IF(LEFT($AI37,2)="S|",IF($AH37="","",IF(INDEX($AP$5:$AP$302,$AH37)=1,1,"")),IF($AI37="HDR","Show",""))))))</f>
        <v>1</v>
      </c>
      <c r="AH37" s="8">
        <f t="shared" si="42"/>
        <v>78</v>
      </c>
      <c r="AI37" s="8" t="str">
        <v>S|SALAMA</v>
      </c>
      <c r="AN37" s="8" t="str" cm="1">
        <f t="array" ref="AN37">IF($AW37="","",_xlfn.LET(_xlpm.sa,IFERROR(TRIM(INDEX('Sales and count'!$D$4:$D$300,$BF37)&amp;""),""),_xlpm.ta,IFERROR(TRIM(INDEX('TY Sales Target'!$F$5:$F$300,$BG37)&amp;""),""),IF(AND(_xlpm.sa&lt;&gt;"",LEFT(_xlpm.sa,1)&lt;&gt;"#",_xlpm.sa&lt;&gt;"0"),_xlpm.sa,IF(AND(_xlpm.ta&lt;&gt;"",LEFT(_xlpm.ta,1)&lt;&gt;"#",_xlpm.ta&lt;&gt;"0"),_xlpm.ta,IF(ISNUMBER($BG37),"Unassigned","")))))</f>
        <v>Mohammed Sanad</v>
      </c>
      <c r="AO37" s="8" t="str" cm="1">
        <f t="array" ref="AO37">IF($AW37="","",_xlfn.LET(_xlpm.sa,IFERROR(TRIM(INDEX('Sales and count'!$C$4:$C$300,$BF37)&amp;""),""),_xlpm.ta,IFERROR(TRIM(INDEX('TY Sales Target'!$D$5:$D$300,$BG37)&amp;""),""),IF(AND(_xlpm.sa&lt;&gt;"",LEFT(_xlpm.sa,1)&lt;&gt;"#",_xlpm.sa&lt;&gt;"0"),_xlpm.sa,IF(AND(_xlpm.ta&lt;&gt;"",LEFT(_xlpm.ta,1)&lt;&gt;"#",_xlpm.ta&lt;&gt;"0"),_xlpm.ta,""))))</f>
        <v>Skaka</v>
      </c>
      <c r="AP37" s="8">
        <f t="shared" si="2"/>
        <v>0</v>
      </c>
      <c r="AQ37" s="8">
        <f t="shared" si="0"/>
        <v>0</v>
      </c>
      <c r="AR37" s="8" cm="1">
        <f t="array" ref="AR37">IF($BF37="",0,_xlfn.LET(_xlpm.d,IFERROR(--'Sales and count'!$G$2:$CC$2,0),SUMPRODUCT(('Sales and count'!$G$3:$CC$3="Total")*(_xlpm.d&gt;=$U$4)*(_xlpm.d&lt;=$U$5),INDEX('Sales and count'!$G$4:$CC$300,$BF37,0))))</f>
        <v>112283.04999999997</v>
      </c>
      <c r="AS37" s="8" cm="1">
        <f t="array" aca="1" ref="AS37" ca="1">IF($BF37="",0,_xlfn.LET(_xlpm.d,IFERROR(--'Sales and count'!$F$2:$CB$2,0),SUMPRODUCT(('Sales and count'!$G$3:$CC$3="Transactions")*(_xlpm.d&gt;=$U$4)*(_xlpm.d&lt;=$U$5),INDEX('Sales and count'!$G$4:$CC$300,$BF37,0))))</f>
        <v>735</v>
      </c>
      <c r="AT37" s="8" cm="1">
        <f t="array" ref="AT37">IF($AW37="",0,SUMPRODUCT((TRIM('LY Sales '!$B$5:$B$200)=$AW37)*('LY Sales '!$C$2:$AG$2&gt;=EDATE($U$4,-12))*('LY Sales '!$C$2:$AG$2&lt;=EDATE($U$5,-12)),'LY Sales '!$C$5:$AG$200))</f>
        <v>0</v>
      </c>
      <c r="AU37" s="8" cm="1">
        <f t="array" ref="AU37">IF($AW37="",0,SUMPRODUCT((TRIM('LY Transaction'!$B$5:$B$200)=$AW37)*('LY Transaction'!$C$2:$AG$2&gt;=EDATE($U$4,-12))*('LY Transaction'!$C$2:$AG$2&lt;=EDATE($U$5,-12)),'LY Transaction'!$C$5:$AG$200))</f>
        <v>0</v>
      </c>
      <c r="AV37" s="8" cm="1">
        <f t="array" ref="AV37">IF(NOT(ISNUMBER($BG37)),0,SUMPRODUCT(('TY Sales Target'!$K$2:$AO$2&gt;=$U$4)*('TY Sales Target'!$K$2:$AO$2&lt;=$U$5),INDEX('TY Sales Target'!$K$5:$AO$300,$BG37,0)))</f>
        <v>162429.09267440854</v>
      </c>
      <c r="AW37" s="8" t="str" cm="1">
        <f t="array" ref="AW37">IFERROR(INDEX(_xlfn.ANCHORARRAY($BR$5),ROWS($AW$5:AW37)),"")</f>
        <v>HAGRIDPLZA</v>
      </c>
      <c r="AY37" s="132"/>
      <c r="AZ37" s="132"/>
      <c r="BB37" cm="1">
        <f t="array" ref="BB37">IF($AW37="",0,SUMPRODUCT((TRIM(Footfall!$B$5:$B$301)=$AW37)*(Footfall!$C$1:$BZ$1&gt;=$U$4)*(Footfall!$C$2:$BZ$2&lt;=$U$5)*(Footfall!$C$1:$BZ$1&lt;&gt;""),Footfall!$C$5:$BZ$301))</f>
        <v>0</v>
      </c>
      <c r="BC37" cm="1">
        <f t="array" ref="BC37">IF(OR($BB37&lt;=0,$BD$1="",$BF37=""),0,_xlfn.LET(_xlpm.d,IFERROR(--'Sales and count'!$F$2:$CB$2,0),SUMPRODUCT(('Sales and count'!$G$3:$CC$3="Transactions")*(_xlpm.d&gt;=$BD$1)*(_xlpm.d&lt;=$BD$2),INDEX('Sales and count'!$G$4:$CC$300,$BF37,0))))</f>
        <v>0</v>
      </c>
      <c r="BF37" cm="1">
        <f t="array" ref="BF37">IF($AW37="","",IFERROR(MATCH($AW37,TRIM('Sales and count'!$A$4:$A$300&amp;""),0),""))</f>
        <v>33</v>
      </c>
      <c r="BG37" cm="1">
        <f t="array" ref="BG37">IF($AW37="","",IFERROR(MATCH(IFERROR(_xlfn.XLOOKUP($AW37,$BT$5:$BT$22,$BU$5:$BU$22),$AW37),TRIM('TY Sales Target'!$B$5:$B$300&amp;""),0),""))</f>
        <v>62</v>
      </c>
      <c r="BH37" t="str" cm="1">
        <f t="array" ref="BH37">IF(ISNUMBER($BG37),_xlfn.LET(_xlpm.p,TRIM(INDEX('TY Sales Target'!$I$5:$I$300,$BG37)&amp;""),IF(_xlpm.p="","Not set",_xlpm.p)),"Not set")</f>
        <v>Smart Phone</v>
      </c>
      <c r="BI37" cm="1">
        <f t="array" ref="BI37">IF($BF37="",0,_xlfn.LET(_xlpm.d,IFERROR(--'Sales and count'!$G$2:$CC$2,0),SUMPRODUCT(('Sales and count'!$G$3:$CC$3="Total")*(_xlpm.d&gt;=$BZ$5)*(_xlpm.d&lt;=$BZ$6),INDEX('Sales and count'!$G$4:$CC$300,$BF37,0))))</f>
        <v>112283.04999999997</v>
      </c>
      <c r="BJ37" cm="1">
        <f t="array" ref="BJ37">IF($AW37="",0,SUMPRODUCT((TRIM('LY Sales '!$B$5:$B$200)=$AW37)*('LY Sales '!$C$2:$AG$2&gt;=EDATE($BZ$5,-12))*('LY Sales '!$C$2:$AG$2&lt;=EDATE($BZ$6,-12)),'LY Sales '!$C$5:$AG$200))</f>
        <v>0</v>
      </c>
      <c r="BK37" cm="1">
        <f t="array" ref="BK37">IF($AW37="",0,SUMPRODUCT((TRIM('LY Sales '!$B$5:$B$200)=$AW37)*('LY Sales '!$C$2:$AG$2&gt;=EDATE($BZ$5,-12))*('LY Sales '!$C$2:$AG$2&lt;=EDATE($BZ$7,-12)),'LY Sales '!$C$5:$AG$200))</f>
        <v>0</v>
      </c>
      <c r="BL37" cm="1">
        <f t="array" ref="BL37">IF($AW37="",0,SUMPRODUCT((TRIM('LY Sales '!$B$5:$B$200)=$AW37)*('LY Sales '!$C$2:$AG$2&gt;=EDATE($BZ$5,-12))*('LY Sales '!$C$2:$AG$2&lt;=EDATE($BZ$6,-12))*('LY Sales '!$C$5:$AG$200&gt;0)))</f>
        <v>0</v>
      </c>
      <c r="BM37" cm="1">
        <f t="array" ref="BM37">IF(NOT(ISNUMBER($BG37)),0,SUMPRODUCT(('TY Sales Target'!$K$2:$AO$2&gt;=$BZ$5)*('TY Sales Target'!$K$2:$AO$2&lt;=$BZ$6),INDEX('TY Sales Target'!$K$5:$AO$300,$BG37,0)))</f>
        <v>162429.09267440854</v>
      </c>
      <c r="BN37" cm="1">
        <f t="array" ref="BN37">IF(NOT(ISNUMBER($BG37)),0,SUMPRODUCT(('TY Sales Target'!$K$2:$AO$2&gt;=$BZ$5)*('TY Sales Target'!$K$2:$AO$2&lt;=$BZ$7),INDEX('TY Sales Target'!$K$5:$AO$300,$BG37,0)))</f>
        <v>212000.00000000003</v>
      </c>
      <c r="BO37" cm="1">
        <f t="array" ref="BO37">IF($AW37="",0,IFERROR(_xlfn.SWITCH($BP37,"LY trend",$BI37*$BK37/$BJ37,"Target curve",$BI37*$BN37/$BM37,"Run rate",$BI37/$BZ$8*$BZ$9,0),0))</f>
        <v>146550.14202237446</v>
      </c>
      <c r="BP37" t="str">
        <f t="shared" si="1"/>
        <v>Target curve</v>
      </c>
      <c r="BR37" t="str">
        <v>HAGRIDPLZA</v>
      </c>
      <c r="CB37" cm="1">
        <f t="array" ref="CB37">IF($AW37="",0,_xlfn.LET(_xlpm.k,IFERROR(_xlfn.XLOOKUP($AW37,$CD$6:$CD$21,$CE$6:$CE$21),$AW37),SUMPRODUCT((TRIM('Makeup '!$A$2:$A$300&amp;"")=_xlpm.k)*1,IFERROR('Makeup '!$F$2:$F$300*1,0))))</f>
        <v>3297.6</v>
      </c>
      <c r="CF37" t="str" cm="1">
        <f t="array" ref="CF37">IF($AW37="","",_xlfn.LET(_xlpm.c,IFERROR(TRIM(INDEX('Sales and count'!$B$4:$B$300,$BF37)&amp;""),""),IF(OR(_xlpm.c="",_xlpm.c="0",LEFT(_xlpm.c,1)="#"),"Not set",_xlpm.c)))</f>
        <v>KSA</v>
      </c>
      <c r="CH37" cm="1">
        <f t="array" ref="CH37">IF($AW37="",0,_xlfn.LET(_xlpm.k,IFERROR(_xlfn.XLOOKUP($AW37,$CD$6:$CD$21,$CE$6:$CE$21),$AW37),--(SUMPRODUCT((TRIM('Makeup '!$A$2:$A$300&amp;"")=_xlpm.k)*ISNUMBER('Makeup '!$F$2:$F$300))&gt;0)))</f>
        <v>1</v>
      </c>
      <c r="CI37">
        <f t="shared" si="4"/>
        <v>112283.04999999997</v>
      </c>
      <c r="CJ37" cm="1">
        <f t="array" ref="CJ37">IF($AW37="",0,--(SUMPRODUCT(--(TRIM(Footfall!$B$5:$B$301)=$AW37))&gt;0))</f>
        <v>0</v>
      </c>
      <c r="CK37" s="8" cm="1">
        <f t="array" ref="CK37">IF($AW37="",0,_xlfn.LET(_xlpm.r,IFERROR(MATCH(IFERROR(_xlfn.XLOOKUP($AW37,$BT$5:$BT$22,$BU$5:$BU$22),$AW37),TRIM('TY Beauty Target'!$B$5:$B$300&amp;""),0),""),IF(ISNUMBER(_xlpm.r),SUMPRODUCT(('TY Beauty Target'!$L$2:$AP$2&gt;=$U$4)*('TY Beauty Target'!$L$2:$AP$2&lt;=$U$5),INDEX('TY Beauty Target'!$L$5:$AP$300,_xlpm.r,0)),0)))</f>
        <v>8567.54651481972</v>
      </c>
    </row>
    <row r="38" spans="1:89" ht="15" customHeight="1" x14ac:dyDescent="0.25">
      <c r="A38" s="38" t="str">
        <f t="shared" si="30"/>
        <v>JEDDARAB</v>
      </c>
      <c r="B38" s="43" t="str" cm="1">
        <f t="array" ref="B38">IF($AI38="","",IF(LEFT($AI38,2)="C|",IF($C38="","",_xlfn.TEXTJOIN(", ",TRUE,_xlfn.UNIQUE(_xlfn._xlws.FILTER($AN$5:$AN$302,($AP$5:$AP$302=1)*($AO$5:$AO$302=$A38))))),IF($AI38="CT",B$13,IF(LEFT($AI38,3)="AM|",IF($C38="","",ROWS(_xlfn.UNIQUE(_xlfn._xlws.FILTER($AO$5:$AO$302,($AP$5:$AP$302=1)*($AN$5:$AN$302=$A38))))),IF(LEFT($AI38,2)="S|",IF($AG38="","",INDEX($AO$5:$AO$302,$AH38)),IF($AI38="HDR","City",""))))))</f>
        <v>Jeddah</v>
      </c>
      <c r="C38" s="39" t="str" cm="1">
        <f t="array" ref="C38">IF($AI38="","",IF(LEFT($AI38,2)="C|",_xlfn.LET(_xlpm.n,SUMPRODUCT($AP$5:$AP$302*($AO$5:$AO$302=$A38)),IF(_xlpm.n=0,"",_xlpm.n)),IF($AI38="CT",C$13,IF(LEFT($AI38,3)="AM|",_xlfn.LET(_xlpm.n,SUMPRODUCT($AP$5:$AP$302*($AN$5:$AN$302=$A38)),IF(_xlpm.n=0,"",_xlpm.n)),IF(LEFT($AI38,2)="S|","",IF($AI38="HDR","# Stores",""))))))</f>
        <v/>
      </c>
      <c r="D38" s="40" cm="1">
        <f t="array" ref="D38">IF($AI38="","",IF(LEFT($AI38,2)="C|",IF($C38="","",SUMPRODUCT($AP$5:$AP$302*($AO$5:$AO$302=$A38),$AR$5:$AR$302)),IF($AI38="CT",D$13,IF(LEFT($AI38,3)="AM|",IF($C38="","",SUMPRODUCT($AP$5:$AP$302*($AN$5:$AN$302=$A38),$AR$5:$AR$302)),IF(LEFT($AI38,2)="S|",IF($AG38="","",INDEX($AR$5:$AR$302,$AH38)),IF($AI38="HDR","Sales TY",""))))))</f>
        <v>193010.85000000003</v>
      </c>
      <c r="E38" s="40" cm="1">
        <f t="array" ref="E38">IF($AI38="","",IF(LEFT($AI38,2)="C|",IF($C38="","",SUMPRODUCT($AP$5:$AP$302*($AO$5:$AO$302=$A38),$AT$5:$AT$302)),IF($AI38="CT",E$13,IF(LEFT($AI38,3)="AM|",IF($C38="","",SUMPRODUCT($AP$5:$AP$302*($AN$5:$AN$302=$A38),$AT$5:$AT$302)),IF(LEFT($AI38,2)="S|",IF($AG38="","",INDEX($AT$5:$AT$302,$AH38)),IF($AI38="HDR","Sales LY",""))))))</f>
        <v>233662.21</v>
      </c>
      <c r="F38" s="41">
        <f t="shared" si="31"/>
        <v>-0.17397490163257445</v>
      </c>
      <c r="G38" s="41">
        <f t="shared" si="32"/>
        <v>-0.17397490163257445</v>
      </c>
      <c r="H38" s="40" cm="1">
        <f t="array" ref="H38">IF($AI38="","",IF(LEFT($AI38,2)="C|",IF($C38="","",SUMPRODUCT($AP$5:$AP$302*($AO$5:$AO$302=$A38),$AV$5:$AV$302)),IF($AI38="CT",H$13,IF(LEFT($AI38,3)="AM|",IF($C38="","",SUMPRODUCT($AP$5:$AP$302*($AN$5:$AN$302=$A38),$AV$5:$AV$302)),IF(LEFT($AI38,2)="S|",IF($AG38="","",INDEX($AV$5:$AV$302,$AH38)),IF($AI38="HDR","Target",""))))))</f>
        <v>260499.48825140987</v>
      </c>
      <c r="I38" s="41">
        <f t="shared" si="33"/>
        <v>0.74092602367695981</v>
      </c>
      <c r="J38" s="40">
        <f t="shared" si="34"/>
        <v>-67488.638251409837</v>
      </c>
      <c r="K38" s="41">
        <f t="shared" si="35"/>
        <v>0.10936083240650045</v>
      </c>
      <c r="L38" s="40" cm="1">
        <f t="array" ref="L38">IF($AI38="","",IF(LEFT($AI38,2)="C|",IF($C38="","",SUMPRODUCT($AP$5:$AP$302*($AO$5:$AO$302=$A38),$BN$5:$BN$302)),IF($AI38="CT",L$13,IF(LEFT($AI38,3)="AM|",IF($C38="","",SUMPRODUCT($AP$5:$AP$302*($AN$5:$AN$302=$A38),$BN$5:$BN$302)),IF(LEFT($AI38,2)="S|",IF($AG38="","",INDEX($BN$5:$BN$302,$AH38)),IF($AI38="HDR","Month Target",""))))))</f>
        <v>340000</v>
      </c>
      <c r="M38" s="40" cm="1">
        <f t="array" ref="M38">IF($AI38="","",IF(LEFT($AI38,2)="C|",IF($C38="","",SUMPRODUCT($AP$5:$AP$302*($AO$5:$AO$302=$A38),$BO$5:$BO$302)),IF($AI38="CT",M$13,IF(LEFT($AI38,3)="AM|",IF($C38="","",SUMPRODUCT($AP$5:$AP$302*($AN$5:$AN$302=$A38),$BO$5:$BO$302)),IF(LEFT($AI38,2)="S|",IF($AG38="","",INDEX($BO$5:$BO$302,$AH38)),IF($AI38="HDR","Projected Close",""))))))</f>
        <v>249039.36421892105</v>
      </c>
      <c r="N38" s="41">
        <f t="shared" si="43"/>
        <v>0.73246871829094429</v>
      </c>
      <c r="O38" s="41" cm="1">
        <f t="array" ref="O38">IF($AI38="HDR","Proj. vs LY",IF(OR($AI38="",M38=""),"",_xlfn.LET(_xlpm.ly,IF(LEFT($AI38,2)="C|",SUMPRODUCT($AP$5:$AP$302*($AO$5:$AO$302=$A38),$BK$5:$BK$302),IF($AI38="CT",SUMPRODUCT($AP$5:$AP$302,$BK$5:$BK$302),IF(LEFT($AI38,3)="AM|",SUMPRODUCT($AP$5:$AP$302*($AN$5:$AN$302=$A38),$BK$5:$BK$302),IF(LEFT($AI38,2)="S|",INDEX($BK$5:$BK$302,$AH38),0)))),IFERROR(M38/_xlpm.ly-1,""))))</f>
        <v>-0.17397490163257445</v>
      </c>
      <c r="P38" s="40" cm="1">
        <f t="array" aca="1" ref="P38" ca="1">IF($AI38="","",IF(LEFT($AI38,2)="C|",IF($C38="","",SUMPRODUCT($AP$5:$AP$302*($AO$5:$AO$302=$A38),$AS$5:$AS$302)),IF($AI38="CT",P$13,IF(LEFT($AI38,3)="AM|",IF($C38="","",SUMPRODUCT($AP$5:$AP$302*($AN$5:$AN$302=$A38),$AS$5:$AS$302)),IF(LEFT($AI38,2)="S|",IF($AG38="","",INDEX($AS$5:$AS$302,$AH38)),IF($AI38="HDR","Trans TY",""))))))</f>
        <v>1386</v>
      </c>
      <c r="Q38" s="40" cm="1">
        <f t="array" ref="Q38">IF($AI38="","",IF(LEFT($AI38,2)="C|",IF($C38="","",SUMPRODUCT($AP$5:$AP$302*($AO$5:$AO$302=$A38),$AU$5:$AU$302)),IF($AI38="CT",Q$13,IF(LEFT($AI38,3)="AM|",IF($C38="","",SUMPRODUCT($AP$5:$AP$302*($AN$5:$AN$302=$A38),$AU$5:$AU$302)),IF(LEFT($AI38,2)="S|",IF($AG38="","",INDEX($AU$5:$AU$302,$AH38)),IF($AI38="HDR","Trans LY",""))))))</f>
        <v>1493</v>
      </c>
      <c r="R38" s="41">
        <f t="shared" ca="1" si="36"/>
        <v>-7.1667782987273942E-2</v>
      </c>
      <c r="S38" s="41">
        <f t="shared" ca="1" si="37"/>
        <v>-7.1667782987273942E-2</v>
      </c>
      <c r="T38" s="42">
        <f t="shared" ca="1" si="38"/>
        <v>139.25746753246756</v>
      </c>
      <c r="U38" s="42">
        <f t="shared" si="39"/>
        <v>156.50516409912927</v>
      </c>
      <c r="V38" s="41">
        <f t="shared" ca="1" si="40"/>
        <v>-0.11020528725644574</v>
      </c>
      <c r="W38" s="40" cm="1">
        <f t="array" ref="W38">IF($AI38="","",IF(LEFT($AI38,2)="C|",_xlfn.LET(_xlpm.n,SUMPRODUCT($AP$5:$AP$302*($AO$5:$AO$302=$A38),$BB$5:$BB$302),IF(_xlpm.n=0,"",_xlpm.n)),IF($AI38="CT",W$13,IF(LEFT($AI38,3)="AM|",_xlfn.LET(_xlpm.n,SUMPRODUCT($AP$5:$AP$302*($AN$5:$AN$302=$A38),$BB$5:$BB$302),IF(_xlpm.n=0,"",_xlpm.n)),IF(LEFT($AI38,2)="S|",IF($AG38="","",_xlfn.LET(_xlpm.n,INDEX($BB$5:$BB$302,$AH38),IF(_xlpm.n=0,"",_xlpm.n))),IF($AI38="HDR","Footfall",""))))))</f>
        <v>8579</v>
      </c>
      <c r="X38" s="40" cm="1">
        <f t="array" aca="1" ref="X38" ca="1">IF($AI38="","",IF($AI38="HDR","Trans (FF stores)",IF(W38="","",IF(LEFT($AI38,2)="C|",SUMPRODUCT($AP$5:$AP$302*($AO$5:$AO$302=$A38),$BC$5:$BC$302),IF($AI38="CT",X$13,IF(LEFT($AI38,3)="AM|",SUMPRODUCT($AP$5:$AP$302*($AN$5:$AN$302=$A38),$BC$5:$BC$302),IF(LEFT($AI38,2)="S|",INDEX($BC$5:$BC$302,$AH38),"")))))))</f>
        <v>1386</v>
      </c>
      <c r="Y38" s="41">
        <f t="shared" ca="1" si="44"/>
        <v>0.16155729105956404</v>
      </c>
      <c r="Z38" s="40" cm="1">
        <f t="array" ref="Z38">IF($AI38="","",IF(LEFT($AI38,2)="C|",IF($C38="","",SUMPRODUCT($AP$5:$AP$302*($AO$5:$AO$302=$A38),$CB$5:$CB$302)),IF($AI38="CT",Z$13,IF(LEFT($AI38,3)="AM|",IF($C38="","",SUMPRODUCT($AP$5:$AP$302*($AN$5:$AN$302=$A38),$CB$5:$CB$302)),IF(LEFT($AI38,2)="S|",IF($AG38="","",INDEX($CB$5:$CB$302,$AH38)),IF($AI38="HDR","Makeup Sales",""))))))</f>
        <v>18432.52</v>
      </c>
      <c r="AA38" s="41">
        <f t="shared" si="41"/>
        <v>9.5499916196421064E-2</v>
      </c>
      <c r="AB38" s="40" cm="1">
        <f t="array" ref="AB38">IF($AI38="","",IF(LEFT($AI38,2)="C|",IF($C38="","",SUMPRODUCT($AP$5:$AP$302*($AO$5:$AO$302=$A38),$CK$5:$CK$302)),IF($AI38="CT",AB$13,IF(LEFT($AI38,3)="AM|",IF($C38="","",SUMPRODUCT($AP$5:$AP$302*($AN$5:$AN$302=$A38),$CK$5:$CK$302)),IF(LEFT($AI38,2)="S|",IF($AG38="","",INDEX($CK$5:$CK$302,$AH38)),IF($AI38="HDR","Makeup Target",""))))))</f>
        <v>25448.968167323601</v>
      </c>
      <c r="AC38" s="41">
        <f t="shared" si="45"/>
        <v>0.72429341255836455</v>
      </c>
      <c r="AD38" s="40" cm="1">
        <f t="array" ref="AD38">IF($AI38="","",IF(LEFT($AI38,2)="C|",IF($C38="","",SUMPRODUCT($AP$5:$AP$302*($AO$5:$AO$302=$A38),$CI$5:$CI$302)),IF($AI38="CT",AD$13,IF(LEFT($AI38,3)="AM|",IF($C38="","",SUMPRODUCT($AP$5:$AP$302*($AN$5:$AN$302=$A38),$CI$5:$CI$302)),IF(LEFT($AI38,2)="S|",IF($AG38="","",INDEX($CI$5:$CI$302,$AH38)),IF($AI38="HDR","Cosmetic Sales",""))))))</f>
        <v>193010.85000000003</v>
      </c>
      <c r="AE38" s="8" cm="1">
        <f t="array" ref="AE38">IF($AI38="","",IF(LEFT($AI38,2)="C|",IF($C38="","",SUMPRODUCT($AP$5:$AP$302*($AO$5:$AO$302=$A38)*$AQ$5:$AQ$302,$AR$5:$AR$302)),IF($AI38="CT",AE$13,IF(LEFT($AI38,3)="AM|",IF($C38="","",SUMPRODUCT($AP$5:$AP$302*($AN$5:$AN$302=$A38)*$AQ$5:$AQ$302,$AR$5:$AR$302)),IF(LEFT($AI38,2)="S|",IF($AG38="","",IF(INDEX($AQ$5:$AQ$302,$AH38)=1,D38,0)),IF($AI38="HDR","LFL Sales",""))))))</f>
        <v>193010.85000000003</v>
      </c>
      <c r="AF38" s="8" cm="1">
        <f t="array" aca="1" ref="AF38" ca="1">IF($AI38="","",IF(LEFT($AI38,2)="C|",IF($C38="","",SUMPRODUCT($AP$5:$AP$302*($AO$5:$AO$302=$A38)*$AQ$5:$AQ$302,$AS$5:$AS$302)),IF($AI38="CT",AF$13,IF(LEFT($AI38,3)="AM|",IF($C38="","",SUMPRODUCT($AP$5:$AP$302*($AN$5:$AN$302=$A38)*$AQ$5:$AQ$302,$AS$5:$AS$302)),IF(LEFT($AI38,2)="S|",IF($AG38="","",IF(INDEX($AQ$5:$AQ$302,$AH38)=1,P38,0)),IF($AI38="HDR","LFL Trans",""))))))</f>
        <v>1386</v>
      </c>
      <c r="AG38" s="8" cm="1">
        <f t="array" ref="AG38">IF($AI38="","",IF(LEFT($AI38,2)="C|","",IF($AI38="CT","",IF(LEFT($AI38,3)="AM|","",IF(LEFT($AI38,2)="S|",IF($AH38="","",IF(INDEX($AP$5:$AP$302,$AH38)=1,1,"")),IF($AI38="HDR","Show",""))))))</f>
        <v>1</v>
      </c>
      <c r="AH38" s="8">
        <f t="shared" si="42"/>
        <v>42</v>
      </c>
      <c r="AI38" s="8" t="str">
        <v>S|JEDDARAB</v>
      </c>
      <c r="AN38" s="8" t="str" cm="1">
        <f t="array" ref="AN38">IF($AW38="","",_xlfn.LET(_xlpm.sa,IFERROR(TRIM(INDEX('Sales and count'!$D$4:$D$300,$BF38)&amp;""),""),_xlpm.ta,IFERROR(TRIM(INDEX('TY Sales Target'!$F$5:$F$300,$BG38)&amp;""),""),IF(AND(_xlpm.sa&lt;&gt;"",LEFT(_xlpm.sa,1)&lt;&gt;"#",_xlpm.sa&lt;&gt;"0"),_xlpm.sa,IF(AND(_xlpm.ta&lt;&gt;"",LEFT(_xlpm.ta,1)&lt;&gt;"#",_xlpm.ta&lt;&gt;"0"),_xlpm.ta,IF(ISNUMBER($BG38),"Unassigned","")))))</f>
        <v>Lina Al Ghathami</v>
      </c>
      <c r="AO38" s="8" t="str" cm="1">
        <f t="array" ref="AO38">IF($AW38="","",_xlfn.LET(_xlpm.sa,IFERROR(TRIM(INDEX('Sales and count'!$C$4:$C$300,$BF38)&amp;""),""),_xlpm.ta,IFERROR(TRIM(INDEX('TY Sales Target'!$D$5:$D$300,$BG38)&amp;""),""),IF(AND(_xlpm.sa&lt;&gt;"",LEFT(_xlpm.sa,1)&lt;&gt;"#",_xlpm.sa&lt;&gt;"0"),_xlpm.sa,IF(AND(_xlpm.ta&lt;&gt;"",LEFT(_xlpm.ta,1)&lt;&gt;"#",_xlpm.ta&lt;&gt;"0"),_xlpm.ta,""))))</f>
        <v>Riyadh</v>
      </c>
      <c r="AP38" s="8">
        <f t="shared" si="2"/>
        <v>0</v>
      </c>
      <c r="AQ38" s="8">
        <f t="shared" si="0"/>
        <v>1</v>
      </c>
      <c r="AR38" s="8" cm="1">
        <f t="array" ref="AR38">IF($BF38="",0,_xlfn.LET(_xlpm.d,IFERROR(--'Sales and count'!$G$2:$CC$2,0),SUMPRODUCT(('Sales and count'!$G$3:$CC$3="Total")*(_xlpm.d&gt;=$U$4)*(_xlpm.d&lt;=$U$5),INDEX('Sales and count'!$G$4:$CC$300,$BF38,0))))</f>
        <v>138152.43</v>
      </c>
      <c r="AS38" s="8" cm="1">
        <f t="array" aca="1" ref="AS38" ca="1">IF($BF38="",0,_xlfn.LET(_xlpm.d,IFERROR(--'Sales and count'!$F$2:$CB$2,0),SUMPRODUCT(('Sales and count'!$G$3:$CC$3="Transactions")*(_xlpm.d&gt;=$U$4)*(_xlpm.d&lt;=$U$5),INDEX('Sales and count'!$G$4:$CC$300,$BF38,0))))</f>
        <v>1145</v>
      </c>
      <c r="AT38" s="8" cm="1">
        <f t="array" ref="AT38">IF($AW38="",0,SUMPRODUCT((TRIM('LY Sales '!$B$5:$B$200)=$AW38)*('LY Sales '!$C$2:$AG$2&gt;=EDATE($U$4,-12))*('LY Sales '!$C$2:$AG$2&lt;=EDATE($U$5,-12)),'LY Sales '!$C$5:$AG$200))</f>
        <v>186688.06</v>
      </c>
      <c r="AU38" s="8" cm="1">
        <f t="array" ref="AU38">IF($AW38="",0,SUMPRODUCT((TRIM('LY Transaction'!$B$5:$B$200)=$AW38)*('LY Transaction'!$C$2:$AG$2&gt;=EDATE($U$4,-12))*('LY Transaction'!$C$2:$AG$2&lt;=EDATE($U$5,-12)),'LY Transaction'!$C$5:$AG$200))</f>
        <v>1594</v>
      </c>
      <c r="AV38" s="8" cm="1">
        <f t="array" ref="AV38">IF(NOT(ISNUMBER($BG38)),0,SUMPRODUCT(('TY Sales Target'!$K$2:$AO$2&gt;=$U$4)*('TY Sales Target'!$K$2:$AO$2&lt;=$U$5),INDEX('TY Sales Target'!$K$5:$AO$300,$BG38,0)))</f>
        <v>196906.96611944807</v>
      </c>
      <c r="AW38" s="8" t="str" cm="1">
        <f t="array" ref="AW38">IFERROR(INDEX(_xlfn.ANCHORARRAY($BR$5),ROWS($AW$5:AW38)),"")</f>
        <v>HASALMMAL</v>
      </c>
      <c r="AY38" s="132"/>
      <c r="AZ38" s="132"/>
      <c r="BB38" cm="1">
        <f t="array" ref="BB38">IF($AW38="",0,SUMPRODUCT((TRIM(Footfall!$B$5:$B$301)=$AW38)*(Footfall!$C$1:$BZ$1&gt;=$U$4)*(Footfall!$C$2:$BZ$2&lt;=$U$5)*(Footfall!$C$1:$BZ$1&lt;&gt;""),Footfall!$C$5:$BZ$301))</f>
        <v>8061</v>
      </c>
      <c r="BC38" cm="1">
        <f t="array" aca="1" ref="BC38" ca="1">IF(OR($BB38&lt;=0,$BD$1="",$BF38=""),0,_xlfn.LET(_xlpm.d,IFERROR(--'Sales and count'!$F$2:$CB$2,0),SUMPRODUCT(('Sales and count'!$G$3:$CC$3="Transactions")*(_xlpm.d&gt;=$BD$1)*(_xlpm.d&lt;=$BD$2),INDEX('Sales and count'!$G$4:$CC$300,$BF38,0))))</f>
        <v>1145</v>
      </c>
      <c r="BF38" cm="1">
        <f t="array" ref="BF38">IF($AW38="","",IFERROR(MATCH($AW38,TRIM('Sales and count'!$A$4:$A$300&amp;""),0),""))</f>
        <v>34</v>
      </c>
      <c r="BG38" cm="1">
        <f t="array" ref="BG38">IF($AW38="","",IFERROR(MATCH(IFERROR(_xlfn.XLOOKUP($AW38,$BT$5:$BT$22,$BU$5:$BU$22),$AW38),TRIM('TY Sales Target'!$B$5:$B$300&amp;""),0),""))</f>
        <v>43</v>
      </c>
      <c r="BH38" t="str" cm="1">
        <f t="array" ref="BH38">IF(ISNUMBER($BG38),_xlfn.LET(_xlpm.p,TRIM(INDEX('TY Sales Target'!$I$5:$I$300,$BG38)&amp;""),IF(_xlpm.p="","Not set",_xlpm.p)),"Not set")</f>
        <v>Smart Phone</v>
      </c>
      <c r="BI38" cm="1">
        <f t="array" ref="BI38">IF($BF38="",0,_xlfn.LET(_xlpm.d,IFERROR(--'Sales and count'!$G$2:$CC$2,0),SUMPRODUCT(('Sales and count'!$G$3:$CC$3="Total")*(_xlpm.d&gt;=$BZ$5)*(_xlpm.d&lt;=$BZ$6),INDEX('Sales and count'!$G$4:$CC$300,$BF38,0))))</f>
        <v>138152.43</v>
      </c>
      <c r="BJ38" cm="1">
        <f t="array" ref="BJ38">IF($AW38="",0,SUMPRODUCT((TRIM('LY Sales '!$B$5:$B$200)=$AW38)*('LY Sales '!$C$2:$AG$2&gt;=EDATE($BZ$5,-12))*('LY Sales '!$C$2:$AG$2&lt;=EDATE($BZ$6,-12)),'LY Sales '!$C$5:$AG$200))</f>
        <v>186688.06</v>
      </c>
      <c r="BK38" cm="1">
        <f t="array" ref="BK38">IF($AW38="",0,SUMPRODUCT((TRIM('LY Sales '!$B$5:$B$200)=$AW38)*('LY Sales '!$C$2:$AG$2&gt;=EDATE($BZ$5,-12))*('LY Sales '!$C$2:$AG$2&lt;=EDATE($BZ$7,-12)),'LY Sales '!$C$5:$AG$200))</f>
        <v>237691.78</v>
      </c>
      <c r="BL38" cm="1">
        <f t="array" ref="BL38">IF($AW38="",0,SUMPRODUCT((TRIM('LY Sales '!$B$5:$B$200)=$AW38)*('LY Sales '!$C$2:$AG$2&gt;=EDATE($BZ$5,-12))*('LY Sales '!$C$2:$AG$2&lt;=EDATE($BZ$6,-12))*('LY Sales '!$C$5:$AG$200&gt;0)))</f>
        <v>26</v>
      </c>
      <c r="BM38" cm="1">
        <f t="array" ref="BM38">IF(NOT(ISNUMBER($BG38)),0,SUMPRODUCT(('TY Sales Target'!$K$2:$AO$2&gt;=$BZ$5)*('TY Sales Target'!$K$2:$AO$2&lt;=$BZ$6),INDEX('TY Sales Target'!$K$5:$AO$300,$BG38,0)))</f>
        <v>196906.96611944807</v>
      </c>
      <c r="BN38" cm="1">
        <f t="array" ref="BN38">IF(NOT(ISNUMBER($BG38)),0,SUMPRODUCT(('TY Sales Target'!$K$2:$AO$2&gt;=$BZ$5)*('TY Sales Target'!$K$2:$AO$2&lt;=$BZ$7),INDEX('TY Sales Target'!$K$5:$AO$300,$BG38,0)))</f>
        <v>257000.00000000003</v>
      </c>
      <c r="BO38" cm="1">
        <f t="array" ref="BO38">IF($AW38="",0,IFERROR(_xlfn.SWITCH($BP38,"LY trend",$BI38*$BK38/$BJ38,"Target curve",$BI38*$BN38/$BM38,"Run rate",$BI38/$BZ$8*$BZ$9,0),0))</f>
        <v>175896.07497140096</v>
      </c>
      <c r="BP38" t="str">
        <f t="shared" si="1"/>
        <v>LY trend</v>
      </c>
      <c r="BR38" t="str">
        <v>HASALMMAL</v>
      </c>
      <c r="CB38" cm="1">
        <f t="array" ref="CB38">IF($AW38="",0,_xlfn.LET(_xlpm.k,IFERROR(_xlfn.XLOOKUP($AW38,$CD$6:$CD$21,$CE$6:$CE$21),$AW38),SUMPRODUCT((TRIM('Makeup '!$A$2:$A$300&amp;"")=_xlpm.k)*1,IFERROR('Makeup '!$F$2:$F$300*1,0))))</f>
        <v>11643.85</v>
      </c>
      <c r="CF38" t="str" cm="1">
        <f t="array" ref="CF38">IF($AW38="","",_xlfn.LET(_xlpm.c,IFERROR(TRIM(INDEX('Sales and count'!$B$4:$B$300,$BF38)&amp;""),""),IF(OR(_xlpm.c="",_xlpm.c="0",LEFT(_xlpm.c,1)="#"),"Not set",_xlpm.c)))</f>
        <v>KSA</v>
      </c>
      <c r="CH38" cm="1">
        <f t="array" ref="CH38">IF($AW38="",0,_xlfn.LET(_xlpm.k,IFERROR(_xlfn.XLOOKUP($AW38,$CD$6:$CD$21,$CE$6:$CE$21),$AW38),--(SUMPRODUCT((TRIM('Makeup '!$A$2:$A$300&amp;"")=_xlpm.k)*ISNUMBER('Makeup '!$F$2:$F$300))&gt;0)))</f>
        <v>1</v>
      </c>
      <c r="CI38">
        <f t="shared" si="4"/>
        <v>138152.43</v>
      </c>
      <c r="CJ38" cm="1">
        <f t="array" ref="CJ38">IF($AW38="",0,--(SUMPRODUCT(--(TRIM(Footfall!$B$5:$B$301)=$AW38))&gt;0))</f>
        <v>1</v>
      </c>
      <c r="CK38" s="8" cm="1">
        <f t="array" ref="CK38">IF($AW38="",0,_xlfn.LET(_xlpm.r,IFERROR(MATCH(IFERROR(_xlfn.XLOOKUP($AW38,$BT$5:$BT$22,$BU$5:$BU$22),$AW38),TRIM('TY Beauty Target'!$B$5:$B$300&amp;""),0),""),IF(ISNUMBER(_xlpm.r),SUMPRODUCT(('TY Beauty Target'!$L$2:$AP$2&gt;=$U$4)*('TY Beauty Target'!$L$2:$AP$2&lt;=$U$5),INDEX('TY Beauty Target'!$L$5:$AP$300,_xlpm.r,0)),0)))</f>
        <v>14037.26927768803</v>
      </c>
    </row>
    <row r="39" spans="1:89" ht="15" customHeight="1" x14ac:dyDescent="0.25">
      <c r="A39" s="38" t="str">
        <f t="shared" si="30"/>
        <v>HAMDANYA</v>
      </c>
      <c r="B39" s="43" t="str" cm="1">
        <f t="array" ref="B39">IF($AI39="","",IF(LEFT($AI39,2)="C|",IF($C39="","",_xlfn.TEXTJOIN(", ",TRUE,_xlfn.UNIQUE(_xlfn._xlws.FILTER($AN$5:$AN$302,($AP$5:$AP$302=1)*($AO$5:$AO$302=$A39))))),IF($AI39="CT",B$13,IF(LEFT($AI39,3)="AM|",IF($C39="","",ROWS(_xlfn.UNIQUE(_xlfn._xlws.FILTER($AO$5:$AO$302,($AP$5:$AP$302=1)*($AN$5:$AN$302=$A39))))),IF(LEFT($AI39,2)="S|",IF($AG39="","",INDEX($AO$5:$AO$302,$AH39)),IF($AI39="HDR","City",""))))))</f>
        <v>Jeddah</v>
      </c>
      <c r="C39" s="39" t="str" cm="1">
        <f t="array" ref="C39">IF($AI39="","",IF(LEFT($AI39,2)="C|",_xlfn.LET(_xlpm.n,SUMPRODUCT($AP$5:$AP$302*($AO$5:$AO$302=$A39)),IF(_xlpm.n=0,"",_xlpm.n)),IF($AI39="CT",C$13,IF(LEFT($AI39,3)="AM|",_xlfn.LET(_xlpm.n,SUMPRODUCT($AP$5:$AP$302*($AN$5:$AN$302=$A39)),IF(_xlpm.n=0,"",_xlpm.n)),IF(LEFT($AI39,2)="S|","",IF($AI39="HDR","# Stores",""))))))</f>
        <v/>
      </c>
      <c r="D39" s="40" cm="1">
        <f t="array" ref="D39">IF($AI39="","",IF(LEFT($AI39,2)="C|",IF($C39="","",SUMPRODUCT($AP$5:$AP$302*($AO$5:$AO$302=$A39),$AR$5:$AR$302)),IF($AI39="CT",D$13,IF(LEFT($AI39,3)="AM|",IF($C39="","",SUMPRODUCT($AP$5:$AP$302*($AN$5:$AN$302=$A39),$AR$5:$AR$302)),IF(LEFT($AI39,2)="S|",IF($AG39="","",INDEX($AR$5:$AR$302,$AH39)),IF($AI39="HDR","Sales TY",""))))))</f>
        <v>169871.14999999997</v>
      </c>
      <c r="E39" s="40" cm="1">
        <f t="array" ref="E39">IF($AI39="","",IF(LEFT($AI39,2)="C|",IF($C39="","",SUMPRODUCT($AP$5:$AP$302*($AO$5:$AO$302=$A39),$AT$5:$AT$302)),IF($AI39="CT",E$13,IF(LEFT($AI39,3)="AM|",IF($C39="","",SUMPRODUCT($AP$5:$AP$302*($AN$5:$AN$302=$A39),$AT$5:$AT$302)),IF(LEFT($AI39,2)="S|",IF($AG39="","",INDEX($AT$5:$AT$302,$AH39)),IF($AI39="HDR","Sales LY",""))))))</f>
        <v>218032.36</v>
      </c>
      <c r="F39" s="41">
        <f t="shared" si="31"/>
        <v>-0.22089019263012166</v>
      </c>
      <c r="G39" s="41">
        <f t="shared" si="32"/>
        <v>-0.22089019263012166</v>
      </c>
      <c r="H39" s="40" cm="1">
        <f t="array" ref="H39">IF($AI39="","",IF(LEFT($AI39,2)="C|",IF($C39="","",SUMPRODUCT($AP$5:$AP$302*($AO$5:$AO$302=$A39),$AV$5:$AV$302)),IF($AI39="CT",H$13,IF(LEFT($AI39,3)="AM|",IF($C39="","",SUMPRODUCT($AP$5:$AP$302*($AN$5:$AN$302=$A39),$AV$5:$AV$302)),IF(LEFT($AI39,2)="S|",IF($AG39="","",INDEX($AV$5:$AV$302,$AH39)),IF($AI39="HDR","Target",""))))))</f>
        <v>241345.11411527681</v>
      </c>
      <c r="I39" s="41">
        <f t="shared" si="33"/>
        <v>0.70385162186818584</v>
      </c>
      <c r="J39" s="40">
        <f t="shared" si="34"/>
        <v>-71473.964115276845</v>
      </c>
      <c r="K39" s="41">
        <f t="shared" si="35"/>
        <v>9.6249772309947815E-2</v>
      </c>
      <c r="L39" s="40" cm="1">
        <f t="array" ref="L39">IF($AI39="","",IF(LEFT($AI39,2)="C|",IF($C39="","",SUMPRODUCT($AP$5:$AP$302*($AO$5:$AO$302=$A39),$BN$5:$BN$302)),IF($AI39="CT",L$13,IF(LEFT($AI39,3)="AM|",IF($C39="","",SUMPRODUCT($AP$5:$AP$302*($AN$5:$AN$302=$A39),$BN$5:$BN$302)),IF(LEFT($AI39,2)="S|",IF($AG39="","",INDEX($BN$5:$BN$302,$AH39)),IF($AI39="HDR","Month Target",""))))))</f>
        <v>315000</v>
      </c>
      <c r="M39" s="40" cm="1">
        <f t="array" ref="M39">IF($AI39="","",IF(LEFT($AI39,2)="C|",IF($C39="","",SUMPRODUCT($AP$5:$AP$302*($AO$5:$AO$302=$A39),$BO$5:$BO$302)),IF($AI39="CT",M$13,IF(LEFT($AI39,3)="AM|",IF($C39="","",SUMPRODUCT($AP$5:$AP$302*($AN$5:$AN$302=$A39),$BO$5:$BO$302)),IF(LEFT($AI39,2)="S|",IF($AG39="","",INDEX($BO$5:$BO$302,$AH39)),IF($AI39="HDR","Projected Close",""))))))</f>
        <v>217949.34617836084</v>
      </c>
      <c r="N39" s="41">
        <f t="shared" si="43"/>
        <v>0.69190268628051055</v>
      </c>
      <c r="O39" s="41" cm="1">
        <f t="array" ref="O39">IF($AI39="HDR","Proj. vs LY",IF(OR($AI39="",M39=""),"",_xlfn.LET(_xlpm.ly,IF(LEFT($AI39,2)="C|",SUMPRODUCT($AP$5:$AP$302*($AO$5:$AO$302=$A39),$BK$5:$BK$302),IF($AI39="CT",SUMPRODUCT($AP$5:$AP$302,$BK$5:$BK$302),IF(LEFT($AI39,3)="AM|",SUMPRODUCT($AP$5:$AP$302*($AN$5:$AN$302=$A39),$BK$5:$BK$302),IF(LEFT($AI39,2)="S|",INDEX($BK$5:$BK$302,$AH39),0)))),IFERROR(M39/_xlpm.ly-1,""))))</f>
        <v>-0.22089019263012166</v>
      </c>
      <c r="P39" s="40" cm="1">
        <f t="array" aca="1" ref="P39" ca="1">IF($AI39="","",IF(LEFT($AI39,2)="C|",IF($C39="","",SUMPRODUCT($AP$5:$AP$302*($AO$5:$AO$302=$A39),$AS$5:$AS$302)),IF($AI39="CT",P$13,IF(LEFT($AI39,3)="AM|",IF($C39="","",SUMPRODUCT($AP$5:$AP$302*($AN$5:$AN$302=$A39),$AS$5:$AS$302)),IF(LEFT($AI39,2)="S|",IF($AG39="","",INDEX($AS$5:$AS$302,$AH39)),IF($AI39="HDR","Trans TY",""))))))</f>
        <v>1124</v>
      </c>
      <c r="Q39" s="40" cm="1">
        <f t="array" ref="Q39">IF($AI39="","",IF(LEFT($AI39,2)="C|",IF($C39="","",SUMPRODUCT($AP$5:$AP$302*($AO$5:$AO$302=$A39),$AU$5:$AU$302)),IF($AI39="CT",Q$13,IF(LEFT($AI39,3)="AM|",IF($C39="","",SUMPRODUCT($AP$5:$AP$302*($AN$5:$AN$302=$A39),$AU$5:$AU$302)),IF(LEFT($AI39,2)="S|",IF($AG39="","",INDEX($AU$5:$AU$302,$AH39)),IF($AI39="HDR","Trans LY",""))))))</f>
        <v>1634</v>
      </c>
      <c r="R39" s="41">
        <f t="shared" ca="1" si="36"/>
        <v>-0.31211750305997554</v>
      </c>
      <c r="S39" s="41">
        <f t="shared" ca="1" si="37"/>
        <v>-0.31211750305997554</v>
      </c>
      <c r="T39" s="42">
        <f t="shared" ca="1" si="38"/>
        <v>151.13091637010672</v>
      </c>
      <c r="U39" s="42">
        <f t="shared" si="39"/>
        <v>133.43473684210525</v>
      </c>
      <c r="V39" s="41">
        <f t="shared" ca="1" si="40"/>
        <v>0.13262048509108637</v>
      </c>
      <c r="W39" s="40" cm="1">
        <f t="array" ref="W39">IF($AI39="","",IF(LEFT($AI39,2)="C|",_xlfn.LET(_xlpm.n,SUMPRODUCT($AP$5:$AP$302*($AO$5:$AO$302=$A39),$BB$5:$BB$302),IF(_xlpm.n=0,"",_xlpm.n)),IF($AI39="CT",W$13,IF(LEFT($AI39,3)="AM|",_xlfn.LET(_xlpm.n,SUMPRODUCT($AP$5:$AP$302*($AN$5:$AN$302=$A39),$BB$5:$BB$302),IF(_xlpm.n=0,"",_xlpm.n)),IF(LEFT($AI39,2)="S|",IF($AG39="","",_xlfn.LET(_xlpm.n,INDEX($BB$5:$BB$302,$AH39),IF(_xlpm.n=0,"",_xlpm.n))),IF($AI39="HDR","Footfall",""))))))</f>
        <v>2952</v>
      </c>
      <c r="X39" s="40" cm="1">
        <f t="array" aca="1" ref="X39" ca="1">IF($AI39="","",IF($AI39="HDR","Trans (FF stores)",IF(W39="","",IF(LEFT($AI39,2)="C|",SUMPRODUCT($AP$5:$AP$302*($AO$5:$AO$302=$A39),$BC$5:$BC$302),IF($AI39="CT",X$13,IF(LEFT($AI39,3)="AM|",SUMPRODUCT($AP$5:$AP$302*($AN$5:$AN$302=$A39),$BC$5:$BC$302),IF(LEFT($AI39,2)="S|",INDEX($BC$5:$BC$302,$AH39),"")))))))</f>
        <v>1124</v>
      </c>
      <c r="Y39" s="41">
        <f t="shared" ca="1" si="44"/>
        <v>0.3807588075880759</v>
      </c>
      <c r="Z39" s="40" cm="1">
        <f t="array" ref="Z39">IF($AI39="","",IF(LEFT($AI39,2)="C|",IF($C39="","",SUMPRODUCT($AP$5:$AP$302*($AO$5:$AO$302=$A39),$CB$5:$CB$302)),IF($AI39="CT",Z$13,IF(LEFT($AI39,3)="AM|",IF($C39="","",SUMPRODUCT($AP$5:$AP$302*($AN$5:$AN$302=$A39),$CB$5:$CB$302)),IF(LEFT($AI39,2)="S|",IF($AG39="","",INDEX($CB$5:$CB$302,$AH39)),IF($AI39="HDR","Makeup Sales",""))))))</f>
        <v>7310.81</v>
      </c>
      <c r="AA39" s="41">
        <f t="shared" si="41"/>
        <v>4.3037384511731405E-2</v>
      </c>
      <c r="AB39" s="40" cm="1">
        <f t="array" ref="AB39">IF($AI39="","",IF(LEFT($AI39,2)="C|",IF($C39="","",SUMPRODUCT($AP$5:$AP$302*($AO$5:$AO$302=$A39),$CK$5:$CK$302)),IF($AI39="CT",AB$13,IF(LEFT($AI39,3)="AM|",IF($C39="","",SUMPRODUCT($AP$5:$AP$302*($AN$5:$AN$302=$A39),$CK$5:$CK$302)),IF(LEFT($AI39,2)="S|",IF($AG39="","",INDEX($CK$5:$CK$302,$AH39)),IF($AI39="HDR","Makeup Target",""))))))</f>
        <v>11993.876482008376</v>
      </c>
      <c r="AC39" s="41">
        <f t="shared" si="45"/>
        <v>0.6095452134234256</v>
      </c>
      <c r="AD39" s="40" cm="1">
        <f t="array" ref="AD39">IF($AI39="","",IF(LEFT($AI39,2)="C|",IF($C39="","",SUMPRODUCT($AP$5:$AP$302*($AO$5:$AO$302=$A39),$CI$5:$CI$302)),IF($AI39="CT",AD$13,IF(LEFT($AI39,3)="AM|",IF($C39="","",SUMPRODUCT($AP$5:$AP$302*($AN$5:$AN$302=$A39),$CI$5:$CI$302)),IF(LEFT($AI39,2)="S|",IF($AG39="","",INDEX($CI$5:$CI$302,$AH39)),IF($AI39="HDR","Cosmetic Sales",""))))))</f>
        <v>169871.14999999997</v>
      </c>
      <c r="AE39" s="8" cm="1">
        <f t="array" ref="AE39">IF($AI39="","",IF(LEFT($AI39,2)="C|",IF($C39="","",SUMPRODUCT($AP$5:$AP$302*($AO$5:$AO$302=$A39)*$AQ$5:$AQ$302,$AR$5:$AR$302)),IF($AI39="CT",AE$13,IF(LEFT($AI39,3)="AM|",IF($C39="","",SUMPRODUCT($AP$5:$AP$302*($AN$5:$AN$302=$A39)*$AQ$5:$AQ$302,$AR$5:$AR$302)),IF(LEFT($AI39,2)="S|",IF($AG39="","",IF(INDEX($AQ$5:$AQ$302,$AH39)=1,D39,0)),IF($AI39="HDR","LFL Sales",""))))))</f>
        <v>169871.14999999997</v>
      </c>
      <c r="AF39" s="8" cm="1">
        <f t="array" aca="1" ref="AF39" ca="1">IF($AI39="","",IF(LEFT($AI39,2)="C|",IF($C39="","",SUMPRODUCT($AP$5:$AP$302*($AO$5:$AO$302=$A39)*$AQ$5:$AQ$302,$AS$5:$AS$302)),IF($AI39="CT",AF$13,IF(LEFT($AI39,3)="AM|",IF($C39="","",SUMPRODUCT($AP$5:$AP$302*($AN$5:$AN$302=$A39)*$AQ$5:$AQ$302,$AS$5:$AS$302)),IF(LEFT($AI39,2)="S|",IF($AG39="","",IF(INDEX($AQ$5:$AQ$302,$AH39)=1,P39,0)),IF($AI39="HDR","LFL Trans",""))))))</f>
        <v>1124</v>
      </c>
      <c r="AG39" s="8" cm="1">
        <f t="array" ref="AG39">IF($AI39="","",IF(LEFT($AI39,2)="C|","",IF($AI39="CT","",IF(LEFT($AI39,3)="AM|","",IF(LEFT($AI39,2)="S|",IF($AH39="","",IF(INDEX($AP$5:$AP$302,$AH39)=1,1,"")),IF($AI39="HDR","Show",""))))))</f>
        <v>1</v>
      </c>
      <c r="AH39" s="8">
        <f t="shared" si="42"/>
        <v>54</v>
      </c>
      <c r="AI39" s="8" t="str">
        <v>S|HAMDANYA</v>
      </c>
      <c r="AN39" s="8" t="str" cm="1">
        <f t="array" ref="AN39">IF($AW39="","",_xlfn.LET(_xlpm.sa,IFERROR(TRIM(INDEX('Sales and count'!$D$4:$D$300,$BF39)&amp;""),""),_xlpm.ta,IFERROR(TRIM(INDEX('TY Sales Target'!$F$5:$F$300,$BG39)&amp;""),""),IF(AND(_xlpm.sa&lt;&gt;"",LEFT(_xlpm.sa,1)&lt;&gt;"#",_xlpm.sa&lt;&gt;"0"),_xlpm.sa,IF(AND(_xlpm.ta&lt;&gt;"",LEFT(_xlpm.ta,1)&lt;&gt;"#",_xlpm.ta&lt;&gt;"0"),_xlpm.ta,IF(ISNUMBER($BG39),"Unassigned","")))))</f>
        <v>Saleh Bin Hoiel</v>
      </c>
      <c r="AO39" s="8" t="str" cm="1">
        <f t="array" ref="AO39">IF($AW39="","",_xlfn.LET(_xlpm.sa,IFERROR(TRIM(INDEX('Sales and count'!$C$4:$C$300,$BF39)&amp;""),""),_xlpm.ta,IFERROR(TRIM(INDEX('TY Sales Target'!$D$5:$D$300,$BG39)&amp;""),""),IF(AND(_xlpm.sa&lt;&gt;"",LEFT(_xlpm.sa,1)&lt;&gt;"#",_xlpm.sa&lt;&gt;"0"),_xlpm.sa,IF(AND(_xlpm.ta&lt;&gt;"",LEFT(_xlpm.ta,1)&lt;&gt;"#",_xlpm.ta&lt;&gt;"0"),_xlpm.ta,""))))</f>
        <v>Jeddah</v>
      </c>
      <c r="AP39" s="8">
        <f t="shared" si="2"/>
        <v>1</v>
      </c>
      <c r="AQ39" s="8">
        <f t="shared" si="0"/>
        <v>0</v>
      </c>
      <c r="AR39" s="8" cm="1">
        <f t="array" ref="AR39">IF($BF39="",0,_xlfn.LET(_xlpm.d,IFERROR(--'Sales and count'!$G$2:$CC$2,0),SUMPRODUCT(('Sales and count'!$G$3:$CC$3="Total")*(_xlpm.d&gt;=$U$4)*(_xlpm.d&lt;=$U$5),INDEX('Sales and count'!$G$4:$CC$300,$BF39,0))))</f>
        <v>71456.680000000008</v>
      </c>
      <c r="AS39" s="8" cm="1">
        <f t="array" aca="1" ref="AS39" ca="1">IF($BF39="",0,_xlfn.LET(_xlpm.d,IFERROR(--'Sales and count'!$F$2:$CB$2,0),SUMPRODUCT(('Sales and count'!$G$3:$CC$3="Transactions")*(_xlpm.d&gt;=$U$4)*(_xlpm.d&lt;=$U$5),INDEX('Sales and count'!$G$4:$CC$300,$BF39,0))))</f>
        <v>446</v>
      </c>
      <c r="AT39" s="8" cm="1">
        <f t="array" ref="AT39">IF($AW39="",0,SUMPRODUCT((TRIM('LY Sales '!$B$5:$B$200)=$AW39)*('LY Sales '!$C$2:$AG$2&gt;=EDATE($U$4,-12))*('LY Sales '!$C$2:$AG$2&lt;=EDATE($U$5,-12)),'LY Sales '!$C$5:$AG$200))</f>
        <v>0</v>
      </c>
      <c r="AU39" s="8" cm="1">
        <f t="array" ref="AU39">IF($AW39="",0,SUMPRODUCT((TRIM('LY Transaction'!$B$5:$B$200)=$AW39)*('LY Transaction'!$C$2:$AG$2&gt;=EDATE($U$4,-12))*('LY Transaction'!$C$2:$AG$2&lt;=EDATE($U$5,-12)),'LY Transaction'!$C$5:$AG$200))</f>
        <v>0</v>
      </c>
      <c r="AV39" s="8" cm="1">
        <f t="array" ref="AV39">IF(NOT(ISNUMBER($BG39)),0,SUMPRODUCT(('TY Sales Target'!$K$2:$AO$2&gt;=$U$4)*('TY Sales Target'!$K$2:$AO$2&lt;=$U$5),INDEX('TY Sales Target'!$K$5:$AO$300,$BG39,0)))</f>
        <v>65124.872062852468</v>
      </c>
      <c r="AW39" s="8" t="str" cm="1">
        <f t="array" ref="AW39">IFERROR(INDEX(_xlfn.ANCHORARRAY($BR$5),ROWS($AW$5:AW39)),"")</f>
        <v>HAMUNAIRA</v>
      </c>
      <c r="AY39" s="132"/>
      <c r="AZ39" s="132"/>
      <c r="BB39" cm="1">
        <f t="array" ref="BB39">IF($AW39="",0,SUMPRODUCT((TRIM(Footfall!$B$5:$B$301)=$AW39)*(Footfall!$C$1:$BZ$1&gt;=$U$4)*(Footfall!$C$2:$BZ$2&lt;=$U$5)*(Footfall!$C$1:$BZ$1&lt;&gt;""),Footfall!$C$5:$BZ$301))</f>
        <v>0</v>
      </c>
      <c r="BC39" cm="1">
        <f t="array" ref="BC39">IF(OR($BB39&lt;=0,$BD$1="",$BF39=""),0,_xlfn.LET(_xlpm.d,IFERROR(--'Sales and count'!$F$2:$CB$2,0),SUMPRODUCT(('Sales and count'!$G$3:$CC$3="Transactions")*(_xlpm.d&gt;=$BD$1)*(_xlpm.d&lt;=$BD$2),INDEX('Sales and count'!$G$4:$CC$300,$BF39,0))))</f>
        <v>0</v>
      </c>
      <c r="BF39" cm="1">
        <f t="array" ref="BF39">IF($AW39="","",IFERROR(MATCH($AW39,TRIM('Sales and count'!$A$4:$A$300&amp;""),0),""))</f>
        <v>35</v>
      </c>
      <c r="BG39" cm="1">
        <f t="array" ref="BG39">IF($AW39="","",IFERROR(MATCH(IFERROR(_xlfn.XLOOKUP($AW39,$BT$5:$BT$22,$BU$5:$BU$22),$AW39),TRIM('TY Sales Target'!$B$5:$B$300&amp;""),0),""))</f>
        <v>109</v>
      </c>
      <c r="BH39" t="str" cm="1">
        <f t="array" ref="BH39">IF(ISNUMBER($BG39),_xlfn.LET(_xlpm.p,TRIM(INDEX('TY Sales Target'!$I$5:$I$300,$BG39)&amp;""),IF(_xlpm.p="","Not set",_xlpm.p)),"Not set")</f>
        <v>Gold Bar</v>
      </c>
      <c r="BI39" cm="1">
        <f t="array" ref="BI39">IF($BF39="",0,_xlfn.LET(_xlpm.d,IFERROR(--'Sales and count'!$G$2:$CC$2,0),SUMPRODUCT(('Sales and count'!$G$3:$CC$3="Total")*(_xlpm.d&gt;=$BZ$5)*(_xlpm.d&lt;=$BZ$6),INDEX('Sales and count'!$G$4:$CC$300,$BF39,0))))</f>
        <v>71456.680000000008</v>
      </c>
      <c r="BJ39" cm="1">
        <f t="array" ref="BJ39">IF($AW39="",0,SUMPRODUCT((TRIM('LY Sales '!$B$5:$B$200)=$AW39)*('LY Sales '!$C$2:$AG$2&gt;=EDATE($BZ$5,-12))*('LY Sales '!$C$2:$AG$2&lt;=EDATE($BZ$6,-12)),'LY Sales '!$C$5:$AG$200))</f>
        <v>0</v>
      </c>
      <c r="BK39" cm="1">
        <f t="array" ref="BK39">IF($AW39="",0,SUMPRODUCT((TRIM('LY Sales '!$B$5:$B$200)=$AW39)*('LY Sales '!$C$2:$AG$2&gt;=EDATE($BZ$5,-12))*('LY Sales '!$C$2:$AG$2&lt;=EDATE($BZ$7,-12)),'LY Sales '!$C$5:$AG$200))</f>
        <v>0</v>
      </c>
      <c r="BL39" cm="1">
        <f t="array" ref="BL39">IF($AW39="",0,SUMPRODUCT((TRIM('LY Sales '!$B$5:$B$200)=$AW39)*('LY Sales '!$C$2:$AG$2&gt;=EDATE($BZ$5,-12))*('LY Sales '!$C$2:$AG$2&lt;=EDATE($BZ$6,-12))*('LY Sales '!$C$5:$AG$200&gt;0)))</f>
        <v>0</v>
      </c>
      <c r="BM39" cm="1">
        <f t="array" ref="BM39">IF(NOT(ISNUMBER($BG39)),0,SUMPRODUCT(('TY Sales Target'!$K$2:$AO$2&gt;=$BZ$5)*('TY Sales Target'!$K$2:$AO$2&lt;=$BZ$6),INDEX('TY Sales Target'!$K$5:$AO$300,$BG39,0)))</f>
        <v>65124.872062852468</v>
      </c>
      <c r="BN39" cm="1">
        <f t="array" ref="BN39">IF(NOT(ISNUMBER($BG39)),0,SUMPRODUCT(('TY Sales Target'!$K$2:$AO$2&gt;=$BZ$5)*('TY Sales Target'!$K$2:$AO$2&lt;=$BZ$7),INDEX('TY Sales Target'!$K$5:$AO$300,$BG39,0)))</f>
        <v>85000</v>
      </c>
      <c r="BO39" cm="1">
        <f t="array" ref="BO39">IF($AW39="",0,IFERROR(_xlfn.SWITCH($BP39,"LY trend",$BI39*$BK39/$BJ39,"Target curve",$BI39*$BN39/$BM39,"Run rate",$BI39/$BZ$8*$BZ$9,0),0))</f>
        <v>93264.180145154329</v>
      </c>
      <c r="BP39" t="str">
        <f t="shared" si="1"/>
        <v>Target curve</v>
      </c>
      <c r="BR39" t="str">
        <v>HAMUNAIRA</v>
      </c>
      <c r="CB39" cm="1">
        <f t="array" ref="CB39">IF($AW39="",0,_xlfn.LET(_xlpm.k,IFERROR(_xlfn.XLOOKUP($AW39,$CD$6:$CD$21,$CE$6:$CE$21),$AW39),SUMPRODUCT((TRIM('Makeup '!$A$2:$A$300&amp;"")=_xlpm.k)*1,IFERROR('Makeup '!$F$2:$F$300*1,0))))</f>
        <v>3266.18</v>
      </c>
      <c r="CF39" t="str" cm="1">
        <f t="array" ref="CF39">IF($AW39="","",_xlfn.LET(_xlpm.c,IFERROR(TRIM(INDEX('Sales and count'!$B$4:$B$300,$BF39)&amp;""),""),IF(OR(_xlpm.c="",_xlpm.c="0",LEFT(_xlpm.c,1)="#"),"Not set",_xlpm.c)))</f>
        <v>KSA</v>
      </c>
      <c r="CH39" cm="1">
        <f t="array" ref="CH39">IF($AW39="",0,_xlfn.LET(_xlpm.k,IFERROR(_xlfn.XLOOKUP($AW39,$CD$6:$CD$21,$CE$6:$CE$21),$AW39),--(SUMPRODUCT((TRIM('Makeup '!$A$2:$A$300&amp;"")=_xlpm.k)*ISNUMBER('Makeup '!$F$2:$F$300))&gt;0)))</f>
        <v>1</v>
      </c>
      <c r="CI39">
        <f t="shared" si="4"/>
        <v>71456.680000000008</v>
      </c>
      <c r="CJ39" cm="1">
        <f t="array" ref="CJ39">IF($AW39="",0,--(SUMPRODUCT(--(TRIM(Footfall!$B$5:$B$301)=$AW39))&gt;0))</f>
        <v>0</v>
      </c>
      <c r="CK39" s="8" cm="1">
        <f t="array" ref="CK39">IF($AW39="",0,_xlfn.LET(_xlpm.r,IFERROR(MATCH(IFERROR(_xlfn.XLOOKUP($AW39,$BT$5:$BT$22,$BU$5:$BU$22),$AW39),TRIM('TY Beauty Target'!$B$5:$B$300&amp;""),0),""),IF(ISNUMBER(_xlpm.r),SUMPRODUCT(('TY Beauty Target'!$L$2:$AP$2&gt;=$U$4)*('TY Beauty Target'!$L$2:$AP$2&lt;=$U$5),INDEX('TY Beauty Target'!$L$5:$AP$300,_xlpm.r,0)),0)))</f>
        <v>4199.9308028964842</v>
      </c>
    </row>
    <row r="40" spans="1:89" ht="15" customHeight="1" x14ac:dyDescent="0.25">
      <c r="A40" s="38" t="str">
        <f t="shared" si="30"/>
        <v>SHIHAR</v>
      </c>
      <c r="B40" s="43" t="str" cm="1">
        <f t="array" ref="B40">IF($AI40="","",IF(LEFT($AI40,2)="C|",IF($C40="","",_xlfn.TEXTJOIN(", ",TRUE,_xlfn.UNIQUE(_xlfn._xlws.FILTER($AN$5:$AN$302,($AP$5:$AP$302=1)*($AO$5:$AO$302=$A40))))),IF($AI40="CT",B$13,IF(LEFT($AI40,3)="AM|",IF($C40="","",ROWS(_xlfn.UNIQUE(_xlfn._xlws.FILTER($AO$5:$AO$302,($AP$5:$AP$302=1)*($AN$5:$AN$302=$A40))))),IF(LEFT($AI40,2)="S|",IF($AG40="","",INDEX($AO$5:$AO$302,$AH40)),IF($AI40="HDR","City",""))))))</f>
        <v>Taif</v>
      </c>
      <c r="C40" s="39" t="str" cm="1">
        <f t="array" ref="C40">IF($AI40="","",IF(LEFT($AI40,2)="C|",_xlfn.LET(_xlpm.n,SUMPRODUCT($AP$5:$AP$302*($AO$5:$AO$302=$A40)),IF(_xlpm.n=0,"",_xlpm.n)),IF($AI40="CT",C$13,IF(LEFT($AI40,3)="AM|",_xlfn.LET(_xlpm.n,SUMPRODUCT($AP$5:$AP$302*($AN$5:$AN$302=$A40)),IF(_xlpm.n=0,"",_xlpm.n)),IF(LEFT($AI40,2)="S|","",IF($AI40="HDR","# Stores",""))))))</f>
        <v/>
      </c>
      <c r="D40" s="40" cm="1">
        <f t="array" ref="D40">IF($AI40="","",IF(LEFT($AI40,2)="C|",IF($C40="","",SUMPRODUCT($AP$5:$AP$302*($AO$5:$AO$302=$A40),$AR$5:$AR$302)),IF($AI40="CT",D$13,IF(LEFT($AI40,3)="AM|",IF($C40="","",SUMPRODUCT($AP$5:$AP$302*($AN$5:$AN$302=$A40),$AR$5:$AR$302)),IF(LEFT($AI40,2)="S|",IF($AG40="","",INDEX($AR$5:$AR$302,$AH40)),IF($AI40="HDR","Sales TY",""))))))</f>
        <v>167097.34000000003</v>
      </c>
      <c r="E40" s="40" cm="1">
        <f t="array" ref="E40">IF($AI40="","",IF(LEFT($AI40,2)="C|",IF($C40="","",SUMPRODUCT($AP$5:$AP$302*($AO$5:$AO$302=$A40),$AT$5:$AT$302)),IF($AI40="CT",E$13,IF(LEFT($AI40,3)="AM|",IF($C40="","",SUMPRODUCT($AP$5:$AP$302*($AN$5:$AN$302=$A40),$AT$5:$AT$302)),IF(LEFT($AI40,2)="S|",IF($AG40="","",INDEX($AT$5:$AT$302,$AH40)),IF($AI40="HDR","Sales LY",""))))))</f>
        <v>222997.33999999994</v>
      </c>
      <c r="F40" s="41">
        <f t="shared" si="31"/>
        <v>-0.25067563586184449</v>
      </c>
      <c r="G40" s="41">
        <f t="shared" si="32"/>
        <v>-0.25067563586184449</v>
      </c>
      <c r="H40" s="40" cm="1">
        <f t="array" ref="H40">IF($AI40="","",IF(LEFT($AI40,2)="C|",IF($C40="","",SUMPRODUCT($AP$5:$AP$302*($AO$5:$AO$302=$A40),$AV$5:$AV$302)),IF($AI40="CT",H$13,IF(LEFT($AI40,3)="AM|",IF($C40="","",SUMPRODUCT($AP$5:$AP$302*($AN$5:$AN$302=$A40),$AV$5:$AV$302)),IF(LEFT($AI40,2)="S|",IF($AG40="","",INDEX($AV$5:$AV$302,$AH40)),IF($AI40="HDR","Target",""))))))</f>
        <v>313240.32301489025</v>
      </c>
      <c r="I40" s="41">
        <f t="shared" si="33"/>
        <v>0.53344773237274712</v>
      </c>
      <c r="J40" s="40">
        <f t="shared" si="34"/>
        <v>-146142.98301489023</v>
      </c>
      <c r="K40" s="41">
        <f t="shared" si="35"/>
        <v>9.4678118848303211E-2</v>
      </c>
      <c r="L40" s="40" cm="1">
        <f t="array" ref="L40">IF($AI40="","",IF(LEFT($AI40,2)="C|",IF($C40="","",SUMPRODUCT($AP$5:$AP$302*($AO$5:$AO$302=$A40),$BN$5:$BN$302)),IF($AI40="CT",L$13,IF(LEFT($AI40,3)="AM|",IF($C40="","",SUMPRODUCT($AP$5:$AP$302*($AN$5:$AN$302=$A40),$BN$5:$BN$302)),IF(LEFT($AI40,2)="S|",IF($AG40="","",INDEX($BN$5:$BN$302,$AH40)),IF($AI40="HDR","Month Target",""))))))</f>
        <v>408836.54144562903</v>
      </c>
      <c r="M40" s="40" cm="1">
        <f t="array" ref="M40">IF($AI40="","",IF(LEFT($AI40,2)="C|",IF($C40="","",SUMPRODUCT($AP$5:$AP$302*($AO$5:$AO$302=$A40),$BO$5:$BO$302)),IF($AI40="CT",M$13,IF(LEFT($AI40,3)="AM|",IF($C40="","",SUMPRODUCT($AP$5:$AP$302*($AN$5:$AN$302=$A40),$BO$5:$BO$302)),IF(LEFT($AI40,2)="S|",IF($AG40="","",INDEX($BO$5:$BO$302,$AH40)),IF($AI40="HDR","Projected Close",""))))))</f>
        <v>220587.10291639451</v>
      </c>
      <c r="N40" s="41">
        <f t="shared" si="43"/>
        <v>0.53954840273427529</v>
      </c>
      <c r="O40" s="41" cm="1">
        <f t="array" ref="O40">IF($AI40="HDR","Proj. vs LY",IF(OR($AI40="",M40=""),"",_xlfn.LET(_xlpm.ly,IF(LEFT($AI40,2)="C|",SUMPRODUCT($AP$5:$AP$302*($AO$5:$AO$302=$A40),$BK$5:$BK$302),IF($AI40="CT",SUMPRODUCT($AP$5:$AP$302,$BK$5:$BK$302),IF(LEFT($AI40,3)="AM|",SUMPRODUCT($AP$5:$AP$302*($AN$5:$AN$302=$A40),$BK$5:$BK$302),IF(LEFT($AI40,2)="S|",INDEX($BK$5:$BK$302,$AH40),0)))),IFERROR(M40/_xlpm.ly-1,""))))</f>
        <v>-0.25067563586184449</v>
      </c>
      <c r="P40" s="40" cm="1">
        <f t="array" aca="1" ref="P40" ca="1">IF($AI40="","",IF(LEFT($AI40,2)="C|",IF($C40="","",SUMPRODUCT($AP$5:$AP$302*($AO$5:$AO$302=$A40),$AS$5:$AS$302)),IF($AI40="CT",P$13,IF(LEFT($AI40,3)="AM|",IF($C40="","",SUMPRODUCT($AP$5:$AP$302*($AN$5:$AN$302=$A40),$AS$5:$AS$302)),IF(LEFT($AI40,2)="S|",IF($AG40="","",INDEX($AS$5:$AS$302,$AH40)),IF($AI40="HDR","Trans TY",""))))))</f>
        <v>1311</v>
      </c>
      <c r="Q40" s="40" cm="1">
        <f t="array" ref="Q40">IF($AI40="","",IF(LEFT($AI40,2)="C|",IF($C40="","",SUMPRODUCT($AP$5:$AP$302*($AO$5:$AO$302=$A40),$AU$5:$AU$302)),IF($AI40="CT",Q$13,IF(LEFT($AI40,3)="AM|",IF($C40="","",SUMPRODUCT($AP$5:$AP$302*($AN$5:$AN$302=$A40),$AU$5:$AU$302)),IF(LEFT($AI40,2)="S|",IF($AG40="","",INDEX($AU$5:$AU$302,$AH40)),IF($AI40="HDR","Trans LY",""))))))</f>
        <v>1829</v>
      </c>
      <c r="R40" s="41">
        <f t="shared" ca="1" si="36"/>
        <v>-0.28321487151448876</v>
      </c>
      <c r="S40" s="41">
        <f t="shared" ca="1" si="37"/>
        <v>-0.28321487151448876</v>
      </c>
      <c r="T40" s="42">
        <f t="shared" ca="1" si="38"/>
        <v>127.45792524790238</v>
      </c>
      <c r="U40" s="42">
        <f t="shared" si="39"/>
        <v>121.92309458720609</v>
      </c>
      <c r="V40" s="41">
        <f t="shared" ca="1" si="40"/>
        <v>4.5396080860935495E-2</v>
      </c>
      <c r="W40" s="40" cm="1">
        <f t="array" ref="W40">IF($AI40="","",IF(LEFT($AI40,2)="C|",_xlfn.LET(_xlpm.n,SUMPRODUCT($AP$5:$AP$302*($AO$5:$AO$302=$A40),$BB$5:$BB$302),IF(_xlpm.n=0,"",_xlpm.n)),IF($AI40="CT",W$13,IF(LEFT($AI40,3)="AM|",_xlfn.LET(_xlpm.n,SUMPRODUCT($AP$5:$AP$302*($AN$5:$AN$302=$A40),$BB$5:$BB$302),IF(_xlpm.n=0,"",_xlpm.n)),IF(LEFT($AI40,2)="S|",IF($AG40="","",_xlfn.LET(_xlpm.n,INDEX($BB$5:$BB$302,$AH40),IF(_xlpm.n=0,"",_xlpm.n))),IF($AI40="HDR","Footfall",""))))))</f>
        <v>5687</v>
      </c>
      <c r="X40" s="40" cm="1">
        <f t="array" aca="1" ref="X40" ca="1">IF($AI40="","",IF($AI40="HDR","Trans (FF stores)",IF(W40="","",IF(LEFT($AI40,2)="C|",SUMPRODUCT($AP$5:$AP$302*($AO$5:$AO$302=$A40),$BC$5:$BC$302),IF($AI40="CT",X$13,IF(LEFT($AI40,3)="AM|",SUMPRODUCT($AP$5:$AP$302*($AN$5:$AN$302=$A40),$BC$5:$BC$302),IF(LEFT($AI40,2)="S|",INDEX($BC$5:$BC$302,$AH40),"")))))))</f>
        <v>1311</v>
      </c>
      <c r="Y40" s="41">
        <f t="shared" ca="1" si="44"/>
        <v>0.23052576050641815</v>
      </c>
      <c r="Z40" s="40" cm="1">
        <f t="array" ref="Z40">IF($AI40="","",IF(LEFT($AI40,2)="C|",IF($C40="","",SUMPRODUCT($AP$5:$AP$302*($AO$5:$AO$302=$A40),$CB$5:$CB$302)),IF($AI40="CT",Z$13,IF(LEFT($AI40,3)="AM|",IF($C40="","",SUMPRODUCT($AP$5:$AP$302*($AN$5:$AN$302=$A40),$CB$5:$CB$302)),IF(LEFT($AI40,2)="S|",IF($AG40="","",INDEX($CB$5:$CB$302,$AH40)),IF($AI40="HDR","Makeup Sales",""))))))</f>
        <v>6868.91</v>
      </c>
      <c r="AA40" s="41">
        <f t="shared" si="41"/>
        <v>4.1107237254644498E-2</v>
      </c>
      <c r="AB40" s="40" cm="1">
        <f t="array" ref="AB40">IF($AI40="","",IF(LEFT($AI40,2)="C|",IF($C40="","",SUMPRODUCT($AP$5:$AP$302*($AO$5:$AO$302=$A40),$CK$5:$CK$302)),IF($AI40="CT",AB$13,IF(LEFT($AI40,3)="AM|",IF($C40="","",SUMPRODUCT($AP$5:$AP$302*($AN$5:$AN$302=$A40),$CK$5:$CK$302)),IF(LEFT($AI40,2)="S|",IF($AG40="","",INDEX($CK$5:$CK$302,$AH40)),IF($AI40="HDR","Makeup Target",""))))))</f>
        <v>9473.4857014908321</v>
      </c>
      <c r="AC40" s="41">
        <f t="shared" si="45"/>
        <v>0.72506680396625789</v>
      </c>
      <c r="AD40" s="40" cm="1">
        <f t="array" ref="AD40">IF($AI40="","",IF(LEFT($AI40,2)="C|",IF($C40="","",SUMPRODUCT($AP$5:$AP$302*($AO$5:$AO$302=$A40),$CI$5:$CI$302)),IF($AI40="CT",AD$13,IF(LEFT($AI40,3)="AM|",IF($C40="","",SUMPRODUCT($AP$5:$AP$302*($AN$5:$AN$302=$A40),$CI$5:$CI$302)),IF(LEFT($AI40,2)="S|",IF($AG40="","",INDEX($CI$5:$CI$302,$AH40)),IF($AI40="HDR","Cosmetic Sales",""))))))</f>
        <v>167097.34000000003</v>
      </c>
      <c r="AE40" s="8" cm="1">
        <f t="array" ref="AE40">IF($AI40="","",IF(LEFT($AI40,2)="C|",IF($C40="","",SUMPRODUCT($AP$5:$AP$302*($AO$5:$AO$302=$A40)*$AQ$5:$AQ$302,$AR$5:$AR$302)),IF($AI40="CT",AE$13,IF(LEFT($AI40,3)="AM|",IF($C40="","",SUMPRODUCT($AP$5:$AP$302*($AN$5:$AN$302=$A40)*$AQ$5:$AQ$302,$AR$5:$AR$302)),IF(LEFT($AI40,2)="S|",IF($AG40="","",IF(INDEX($AQ$5:$AQ$302,$AH40)=1,D40,0)),IF($AI40="HDR","LFL Sales",""))))))</f>
        <v>167097.34000000003</v>
      </c>
      <c r="AF40" s="8" cm="1">
        <f t="array" aca="1" ref="AF40" ca="1">IF($AI40="","",IF(LEFT($AI40,2)="C|",IF($C40="","",SUMPRODUCT($AP$5:$AP$302*($AO$5:$AO$302=$A40)*$AQ$5:$AQ$302,$AS$5:$AS$302)),IF($AI40="CT",AF$13,IF(LEFT($AI40,3)="AM|",IF($C40="","",SUMPRODUCT($AP$5:$AP$302*($AN$5:$AN$302=$A40)*$AQ$5:$AQ$302,$AS$5:$AS$302)),IF(LEFT($AI40,2)="S|",IF($AG40="","",IF(INDEX($AQ$5:$AQ$302,$AH40)=1,P40,0)),IF($AI40="HDR","LFL Trans",""))))))</f>
        <v>1311</v>
      </c>
      <c r="AG40" s="8" cm="1">
        <f t="array" ref="AG40">IF($AI40="","",IF(LEFT($AI40,2)="C|","",IF($AI40="CT","",IF(LEFT($AI40,3)="AM|","",IF(LEFT($AI40,2)="S|",IF($AH40="","",IF(INDEX($AP$5:$AP$302,$AH40)=1,1,"")),IF($AI40="HDR","Show",""))))))</f>
        <v>1</v>
      </c>
      <c r="AH40" s="8">
        <f t="shared" si="42"/>
        <v>86</v>
      </c>
      <c r="AI40" s="8" t="str">
        <v>S|SHIHAR</v>
      </c>
      <c r="AN40" s="8" t="str" cm="1">
        <f t="array" ref="AN40">IF($AW40="","",_xlfn.LET(_xlpm.sa,IFERROR(TRIM(INDEX('Sales and count'!$D$4:$D$300,$BF40)&amp;""),""),_xlpm.ta,IFERROR(TRIM(INDEX('TY Sales Target'!$F$5:$F$300,$BG40)&amp;""),""),IF(AND(_xlpm.sa&lt;&gt;"",LEFT(_xlpm.sa,1)&lt;&gt;"#",_xlpm.sa&lt;&gt;"0"),_xlpm.sa,IF(AND(_xlpm.ta&lt;&gt;"",LEFT(_xlpm.ta,1)&lt;&gt;"#",_xlpm.ta&lt;&gt;"0"),_xlpm.ta,IF(ISNUMBER($BG40),"Unassigned","")))))</f>
        <v>Hamzah Al Makhadam</v>
      </c>
      <c r="AO40" s="8" t="str" cm="1">
        <f t="array" ref="AO40">IF($AW40="","",_xlfn.LET(_xlpm.sa,IFERROR(TRIM(INDEX('Sales and count'!$C$4:$C$300,$BF40)&amp;""),""),_xlpm.ta,IFERROR(TRIM(INDEX('TY Sales Target'!$D$5:$D$300,$BG40)&amp;""),""),IF(AND(_xlpm.sa&lt;&gt;"",LEFT(_xlpm.sa,1)&lt;&gt;"#",_xlpm.sa&lt;&gt;"0"),_xlpm.sa,IF(AND(_xlpm.ta&lt;&gt;"",LEFT(_xlpm.ta,1)&lt;&gt;"#",_xlpm.ta&lt;&gt;"0"),_xlpm.ta,""))))</f>
        <v>Jubail</v>
      </c>
      <c r="AP40" s="8">
        <f t="shared" si="2"/>
        <v>0</v>
      </c>
      <c r="AQ40" s="8">
        <f t="shared" si="0"/>
        <v>1</v>
      </c>
      <c r="AR40" s="8" cm="1">
        <f t="array" ref="AR40">IF($BF40="",0,_xlfn.LET(_xlpm.d,IFERROR(--'Sales and count'!$G$2:$CC$2,0),SUMPRODUCT(('Sales and count'!$G$3:$CC$3="Total")*(_xlpm.d&gt;=$U$4)*(_xlpm.d&lt;=$U$5),INDEX('Sales and count'!$G$4:$CC$300,$BF40,0))))</f>
        <v>74726.929999999993</v>
      </c>
      <c r="AS40" s="8" cm="1">
        <f t="array" aca="1" ref="AS40" ca="1">IF($BF40="",0,_xlfn.LET(_xlpm.d,IFERROR(--'Sales and count'!$F$2:$CB$2,0),SUMPRODUCT(('Sales and count'!$G$3:$CC$3="Transactions")*(_xlpm.d&gt;=$U$4)*(_xlpm.d&lt;=$U$5),INDEX('Sales and count'!$G$4:$CC$300,$BF40,0))))</f>
        <v>555</v>
      </c>
      <c r="AT40" s="8" cm="1">
        <f t="array" ref="AT40">IF($AW40="",0,SUMPRODUCT((TRIM('LY Sales '!$B$5:$B$200)=$AW40)*('LY Sales '!$C$2:$AG$2&gt;=EDATE($U$4,-12))*('LY Sales '!$C$2:$AG$2&lt;=EDATE($U$5,-12)),'LY Sales '!$C$5:$AG$200))</f>
        <v>81195.539999999994</v>
      </c>
      <c r="AU40" s="8" cm="1">
        <f t="array" ref="AU40">IF($AW40="",0,SUMPRODUCT((TRIM('LY Transaction'!$B$5:$B$200)=$AW40)*('LY Transaction'!$C$2:$AG$2&gt;=EDATE($U$4,-12))*('LY Transaction'!$C$2:$AG$2&lt;=EDATE($U$5,-12)),'LY Transaction'!$C$5:$AG$200))</f>
        <v>657</v>
      </c>
      <c r="AV40" s="8" cm="1">
        <f t="array" ref="AV40">IF(NOT(ISNUMBER($BG40)),0,SUMPRODUCT(('TY Sales Target'!$K$2:$AO$2&gt;=$U$4)*('TY Sales Target'!$K$2:$AO$2&lt;=$U$5),INDEX('TY Sales Target'!$K$5:$AO$300,$BG40,0)))</f>
        <v>101135.09543878269</v>
      </c>
      <c r="AW40" s="8" t="str" cm="1">
        <f t="array" ref="AW40">IFERROR(INDEX(_xlfn.ANCHORARRAY($BR$5),ROWS($AW$5:AW40)),"")</f>
        <v>HAJUBAILML</v>
      </c>
      <c r="AY40" s="132"/>
      <c r="AZ40" s="132"/>
      <c r="BB40" cm="1">
        <f t="array" ref="BB40">IF($AW40="",0,SUMPRODUCT((TRIM(Footfall!$B$5:$B$301)=$AW40)*(Footfall!$C$1:$BZ$1&gt;=$U$4)*(Footfall!$C$2:$BZ$2&lt;=$U$5)*(Footfall!$C$1:$BZ$1&lt;&gt;""),Footfall!$C$5:$BZ$301))</f>
        <v>3938</v>
      </c>
      <c r="BC40" cm="1">
        <f t="array" aca="1" ref="BC40" ca="1">IF(OR($BB40&lt;=0,$BD$1="",$BF40=""),0,_xlfn.LET(_xlpm.d,IFERROR(--'Sales and count'!$F$2:$CB$2,0),SUMPRODUCT(('Sales and count'!$G$3:$CC$3="Transactions")*(_xlpm.d&gt;=$BD$1)*(_xlpm.d&lt;=$BD$2),INDEX('Sales and count'!$G$4:$CC$300,$BF40,0))))</f>
        <v>555</v>
      </c>
      <c r="BF40" cm="1">
        <f t="array" ref="BF40">IF($AW40="","",IFERROR(MATCH($AW40,TRIM('Sales and count'!$A$4:$A$300&amp;""),0),""))</f>
        <v>36</v>
      </c>
      <c r="BG40" cm="1">
        <f t="array" ref="BG40">IF($AW40="","",IFERROR(MATCH(IFERROR(_xlfn.XLOOKUP($AW40,$BT$5:$BT$22,$BU$5:$BU$22),$AW40),TRIM('TY Sales Target'!$B$5:$B$300&amp;""),0),""))</f>
        <v>98</v>
      </c>
      <c r="BH40" t="str" cm="1">
        <f t="array" ref="BH40">IF(ISNUMBER($BG40),_xlfn.LET(_xlpm.p,TRIM(INDEX('TY Sales Target'!$I$5:$I$300,$BG40)&amp;""),IF(_xlpm.p="","Not set",_xlpm.p)),"Not set")</f>
        <v>Smart Watch</v>
      </c>
      <c r="BI40" cm="1">
        <f t="array" ref="BI40">IF($BF40="",0,_xlfn.LET(_xlpm.d,IFERROR(--'Sales and count'!$G$2:$CC$2,0),SUMPRODUCT(('Sales and count'!$G$3:$CC$3="Total")*(_xlpm.d&gt;=$BZ$5)*(_xlpm.d&lt;=$BZ$6),INDEX('Sales and count'!$G$4:$CC$300,$BF40,0))))</f>
        <v>74726.929999999993</v>
      </c>
      <c r="BJ40" cm="1">
        <f t="array" ref="BJ40">IF($AW40="",0,SUMPRODUCT((TRIM('LY Sales '!$B$5:$B$200)=$AW40)*('LY Sales '!$C$2:$AG$2&gt;=EDATE($BZ$5,-12))*('LY Sales '!$C$2:$AG$2&lt;=EDATE($BZ$6,-12)),'LY Sales '!$C$5:$AG$200))</f>
        <v>81195.539999999994</v>
      </c>
      <c r="BK40" cm="1">
        <f t="array" ref="BK40">IF($AW40="",0,SUMPRODUCT((TRIM('LY Sales '!$B$5:$B$200)=$AW40)*('LY Sales '!$C$2:$AG$2&gt;=EDATE($BZ$5,-12))*('LY Sales '!$C$2:$AG$2&lt;=EDATE($BZ$7,-12)),'LY Sales '!$C$5:$AG$200))</f>
        <v>103015.78999999998</v>
      </c>
      <c r="BL40" cm="1">
        <f t="array" ref="BL40">IF($AW40="",0,SUMPRODUCT((TRIM('LY Sales '!$B$5:$B$200)=$AW40)*('LY Sales '!$C$2:$AG$2&gt;=EDATE($BZ$5,-12))*('LY Sales '!$C$2:$AG$2&lt;=EDATE($BZ$6,-12))*('LY Sales '!$C$5:$AG$200&gt;0)))</f>
        <v>26</v>
      </c>
      <c r="BM40" cm="1">
        <f t="array" ref="BM40">IF(NOT(ISNUMBER($BG40)),0,SUMPRODUCT(('TY Sales Target'!$K$2:$AO$2&gt;=$BZ$5)*('TY Sales Target'!$K$2:$AO$2&lt;=$BZ$6),INDEX('TY Sales Target'!$K$5:$AO$300,$BG40,0)))</f>
        <v>101135.09543878269</v>
      </c>
      <c r="BN40" cm="1">
        <f t="array" ref="BN40">IF(NOT(ISNUMBER($BG40)),0,SUMPRODUCT(('TY Sales Target'!$K$2:$AO$2&gt;=$BZ$5)*('TY Sales Target'!$K$2:$AO$2&lt;=$BZ$7),INDEX('TY Sales Target'!$K$5:$AO$300,$BG40,0)))</f>
        <v>132000.00000000003</v>
      </c>
      <c r="BO40" cm="1">
        <f t="array" ref="BO40">IF($AW40="",0,IFERROR(_xlfn.SWITCH($BP40,"LY trend",$BI40*$BK40/$BJ40,"Target curve",$BI40*$BN40/$BM40,"Run rate",$BI40/$BZ$8*$BZ$9,0),0))</f>
        <v>94808.824822455746</v>
      </c>
      <c r="BP40" t="str">
        <f t="shared" si="1"/>
        <v>LY trend</v>
      </c>
      <c r="BR40" t="str">
        <v>HAJUBAILML</v>
      </c>
      <c r="CB40" cm="1">
        <f t="array" ref="CB40">IF($AW40="",0,_xlfn.LET(_xlpm.k,IFERROR(_xlfn.XLOOKUP($AW40,$CD$6:$CD$21,$CE$6:$CE$21),$AW40),SUMPRODUCT((TRIM('Makeup '!$A$2:$A$300&amp;"")=_xlpm.k)*1,IFERROR('Makeup '!$F$2:$F$300*1,0))))</f>
        <v>2479.92</v>
      </c>
      <c r="CF40" t="str" cm="1">
        <f t="array" ref="CF40">IF($AW40="","",_xlfn.LET(_xlpm.c,IFERROR(TRIM(INDEX('Sales and count'!$B$4:$B$300,$BF40)&amp;""),""),IF(OR(_xlpm.c="",_xlpm.c="0",LEFT(_xlpm.c,1)="#"),"Not set",_xlpm.c)))</f>
        <v>KSA</v>
      </c>
      <c r="CH40" cm="1">
        <f t="array" ref="CH40">IF($AW40="",0,_xlfn.LET(_xlpm.k,IFERROR(_xlfn.XLOOKUP($AW40,$CD$6:$CD$21,$CE$6:$CE$21),$AW40),--(SUMPRODUCT((TRIM('Makeup '!$A$2:$A$300&amp;"")=_xlpm.k)*ISNUMBER('Makeup '!$F$2:$F$300))&gt;0)))</f>
        <v>1</v>
      </c>
      <c r="CI40">
        <f t="shared" si="4"/>
        <v>74726.929999999993</v>
      </c>
      <c r="CJ40" cm="1">
        <f t="array" ref="CJ40">IF($AW40="",0,--(SUMPRODUCT(--(TRIM(Footfall!$B$5:$B$301)=$AW40))&gt;0))</f>
        <v>1</v>
      </c>
      <c r="CK40" s="8" cm="1">
        <f t="array" ref="CK40">IF($AW40="",0,_xlfn.LET(_xlpm.r,IFERROR(MATCH(IFERROR(_xlfn.XLOOKUP($AW40,$BT$5:$BT$22,$BU$5:$BU$22),$AW40),TRIM('TY Beauty Target'!$B$5:$B$300&amp;""),0),""),IF(ISNUMBER(_xlpm.r),SUMPRODUCT(('TY Beauty Target'!$L$2:$AP$2&gt;=$U$4)*('TY Beauty Target'!$L$2:$AP$2&lt;=$U$5),INDEX('TY Beauty Target'!$L$5:$AP$300,_xlpm.r,0)),0)))</f>
        <v>6978.5752997936543</v>
      </c>
    </row>
    <row r="41" spans="1:89" ht="15" customHeight="1" x14ac:dyDescent="0.25">
      <c r="A41" s="38" t="str">
        <f t="shared" si="30"/>
        <v>HAJEDSULTN</v>
      </c>
      <c r="B41" s="43" t="str" cm="1">
        <f t="array" ref="B41">IF($AI41="","",IF(LEFT($AI41,2)="C|",IF($C41="","",_xlfn.TEXTJOIN(", ",TRUE,_xlfn.UNIQUE(_xlfn._xlws.FILTER($AN$5:$AN$302,($AP$5:$AP$302=1)*($AO$5:$AO$302=$A41))))),IF($AI41="CT",B$13,IF(LEFT($AI41,3)="AM|",IF($C41="","",ROWS(_xlfn.UNIQUE(_xlfn._xlws.FILTER($AO$5:$AO$302,($AP$5:$AP$302=1)*($AN$5:$AN$302=$A41))))),IF(LEFT($AI41,2)="S|",IF($AG41="","",INDEX($AO$5:$AO$302,$AH41)),IF($AI41="HDR","City",""))))))</f>
        <v>Jeddah</v>
      </c>
      <c r="C41" s="39" t="str" cm="1">
        <f t="array" ref="C41">IF($AI41="","",IF(LEFT($AI41,2)="C|",_xlfn.LET(_xlpm.n,SUMPRODUCT($AP$5:$AP$302*($AO$5:$AO$302=$A41)),IF(_xlpm.n=0,"",_xlpm.n)),IF($AI41="CT",C$13,IF(LEFT($AI41,3)="AM|",_xlfn.LET(_xlpm.n,SUMPRODUCT($AP$5:$AP$302*($AN$5:$AN$302=$A41)),IF(_xlpm.n=0,"",_xlpm.n)),IF(LEFT($AI41,2)="S|","",IF($AI41="HDR","# Stores",""))))))</f>
        <v/>
      </c>
      <c r="D41" s="40" cm="1">
        <f t="array" ref="D41">IF($AI41="","",IF(LEFT($AI41,2)="C|",IF($C41="","",SUMPRODUCT($AP$5:$AP$302*($AO$5:$AO$302=$A41),$AR$5:$AR$302)),IF($AI41="CT",D$13,IF(LEFT($AI41,3)="AM|",IF($C41="","",SUMPRODUCT($AP$5:$AP$302*($AN$5:$AN$302=$A41),$AR$5:$AR$302)),IF(LEFT($AI41,2)="S|",IF($AG41="","",INDEX($AR$5:$AR$302,$AH41)),IF($AI41="HDR","Sales TY",""))))))</f>
        <v>135891.62</v>
      </c>
      <c r="E41" s="40" cm="1">
        <f t="array" ref="E41">IF($AI41="","",IF(LEFT($AI41,2)="C|",IF($C41="","",SUMPRODUCT($AP$5:$AP$302*($AO$5:$AO$302=$A41),$AT$5:$AT$302)),IF($AI41="CT",E$13,IF(LEFT($AI41,3)="AM|",IF($C41="","",SUMPRODUCT($AP$5:$AP$302*($AN$5:$AN$302=$A41),$AT$5:$AT$302)),IF(LEFT($AI41,2)="S|",IF($AG41="","",INDEX($AT$5:$AT$302,$AH41)),IF($AI41="HDR","Sales LY",""))))))</f>
        <v>0</v>
      </c>
      <c r="F41" s="41" t="str">
        <f t="shared" si="31"/>
        <v/>
      </c>
      <c r="G41" s="41" t="str">
        <f t="shared" si="32"/>
        <v/>
      </c>
      <c r="H41" s="40" cm="1">
        <f t="array" ref="H41">IF($AI41="","",IF(LEFT($AI41,2)="C|",IF($C41="","",SUMPRODUCT($AP$5:$AP$302*($AO$5:$AO$302=$A41),$AV$5:$AV$302)),IF($AI41="CT",H$13,IF(LEFT($AI41,3)="AM|",IF($C41="","",SUMPRODUCT($AP$5:$AP$302*($AN$5:$AN$302=$A41),$AV$5:$AV$302)),IF(LEFT($AI41,2)="S|",IF($AG41="","",INDEX($AV$5:$AV$302,$AH41)),IF($AI41="HDR","Target",""))))))</f>
        <v>191543.74136133082</v>
      </c>
      <c r="I41" s="41">
        <f t="shared" si="33"/>
        <v>0.7094547649231312</v>
      </c>
      <c r="J41" s="40">
        <f t="shared" si="34"/>
        <v>-55652.121361330821</v>
      </c>
      <c r="K41" s="41">
        <f t="shared" si="35"/>
        <v>7.6996814843662109E-2</v>
      </c>
      <c r="L41" s="40" cm="1">
        <f t="array" ref="L41">IF($AI41="","",IF(LEFT($AI41,2)="C|",IF($C41="","",SUMPRODUCT($AP$5:$AP$302*($AO$5:$AO$302=$A41),$BN$5:$BN$302)),IF($AI41="CT",L$13,IF(LEFT($AI41,3)="AM|",IF($C41="","",SUMPRODUCT($AP$5:$AP$302*($AN$5:$AN$302=$A41),$BN$5:$BN$302)),IF(LEFT($AI41,2)="S|",IF($AG41="","",INDEX($BN$5:$BN$302,$AH41)),IF($AI41="HDR","Month Target",""))))))</f>
        <v>250000.00000000003</v>
      </c>
      <c r="M41" s="40" cm="1">
        <f t="array" ref="M41">IF($AI41="","",IF(LEFT($AI41,2)="C|",IF($C41="","",SUMPRODUCT($AP$5:$AP$302*($AO$5:$AO$302=$A41),$BO$5:$BO$302)),IF($AI41="CT",M$13,IF(LEFT($AI41,3)="AM|",IF($C41="","",SUMPRODUCT($AP$5:$AP$302*($AN$5:$AN$302=$A41),$BO$5:$BO$302)),IF(LEFT($AI41,2)="S|",IF($AG41="","",INDEX($BO$5:$BO$302,$AH41)),IF($AI41="HDR","Projected Close",""))))))</f>
        <v>177363.69123078283</v>
      </c>
      <c r="N41" s="41">
        <f t="shared" si="43"/>
        <v>0.7094547649231312</v>
      </c>
      <c r="O41" s="41" t="str" cm="1">
        <f t="array" ref="O41">IF($AI41="HDR","Proj. vs LY",IF(OR($AI41="",M41=""),"",_xlfn.LET(_xlpm.ly,IF(LEFT($AI41,2)="C|",SUMPRODUCT($AP$5:$AP$302*($AO$5:$AO$302=$A41),$BK$5:$BK$302),IF($AI41="CT",SUMPRODUCT($AP$5:$AP$302,$BK$5:$BK$302),IF(LEFT($AI41,3)="AM|",SUMPRODUCT($AP$5:$AP$302*($AN$5:$AN$302=$A41),$BK$5:$BK$302),IF(LEFT($AI41,2)="S|",INDEX($BK$5:$BK$302,$AH41),0)))),IFERROR(M41/_xlpm.ly-1,""))))</f>
        <v/>
      </c>
      <c r="P41" s="40" cm="1">
        <f t="array" aca="1" ref="P41" ca="1">IF($AI41="","",IF(LEFT($AI41,2)="C|",IF($C41="","",SUMPRODUCT($AP$5:$AP$302*($AO$5:$AO$302=$A41),$AS$5:$AS$302)),IF($AI41="CT",P$13,IF(LEFT($AI41,3)="AM|",IF($C41="","",SUMPRODUCT($AP$5:$AP$302*($AN$5:$AN$302=$A41),$AS$5:$AS$302)),IF(LEFT($AI41,2)="S|",IF($AG41="","",INDEX($AS$5:$AS$302,$AH41)),IF($AI41="HDR","Trans TY",""))))))</f>
        <v>832</v>
      </c>
      <c r="Q41" s="40" cm="1">
        <f t="array" ref="Q41">IF($AI41="","",IF(LEFT($AI41,2)="C|",IF($C41="","",SUMPRODUCT($AP$5:$AP$302*($AO$5:$AO$302=$A41),$AU$5:$AU$302)),IF($AI41="CT",Q$13,IF(LEFT($AI41,3)="AM|",IF($C41="","",SUMPRODUCT($AP$5:$AP$302*($AN$5:$AN$302=$A41),$AU$5:$AU$302)),IF(LEFT($AI41,2)="S|",IF($AG41="","",INDEX($AU$5:$AU$302,$AH41)),IF($AI41="HDR","Trans LY",""))))))</f>
        <v>0</v>
      </c>
      <c r="R41" s="41" t="str">
        <f t="shared" si="36"/>
        <v/>
      </c>
      <c r="S41" s="41" t="str">
        <f t="shared" ca="1" si="37"/>
        <v/>
      </c>
      <c r="T41" s="42">
        <f t="shared" ca="1" si="38"/>
        <v>163.33127403846154</v>
      </c>
      <c r="U41" s="42" t="str">
        <f t="shared" si="39"/>
        <v/>
      </c>
      <c r="V41" s="41" t="str">
        <f t="shared" si="40"/>
        <v/>
      </c>
      <c r="W41" s="40" t="str" cm="1">
        <f t="array" ref="W41">IF($AI41="","",IF(LEFT($AI41,2)="C|",_xlfn.LET(_xlpm.n,SUMPRODUCT($AP$5:$AP$302*($AO$5:$AO$302=$A41),$BB$5:$BB$302),IF(_xlpm.n=0,"",_xlpm.n)),IF($AI41="CT",W$13,IF(LEFT($AI41,3)="AM|",_xlfn.LET(_xlpm.n,SUMPRODUCT($AP$5:$AP$302*($AN$5:$AN$302=$A41),$BB$5:$BB$302),IF(_xlpm.n=0,"",_xlpm.n)),IF(LEFT($AI41,2)="S|",IF($AG41="","",_xlfn.LET(_xlpm.n,INDEX($BB$5:$BB$302,$AH41),IF(_xlpm.n=0,"",_xlpm.n))),IF($AI41="HDR","Footfall",""))))))</f>
        <v/>
      </c>
      <c r="X41" s="40" t="str" cm="1">
        <f t="array" ref="X41">IF($AI41="","",IF($AI41="HDR","Trans (FF stores)",IF(W41="","",IF(LEFT($AI41,2)="C|",SUMPRODUCT($AP$5:$AP$302*($AO$5:$AO$302=$A41),$BC$5:$BC$302),IF($AI41="CT",X$13,IF(LEFT($AI41,3)="AM|",SUMPRODUCT($AP$5:$AP$302*($AN$5:$AN$302=$A41),$BC$5:$BC$302),IF(LEFT($AI41,2)="S|",INDEX($BC$5:$BC$302,$AH41),"")))))))</f>
        <v/>
      </c>
      <c r="Y41" s="41" t="str">
        <f t="shared" si="44"/>
        <v/>
      </c>
      <c r="Z41" s="40" cm="1">
        <f t="array" ref="Z41">IF($AI41="","",IF(LEFT($AI41,2)="C|",IF($C41="","",SUMPRODUCT($AP$5:$AP$302*($AO$5:$AO$302=$A41),$CB$5:$CB$302)),IF($AI41="CT",Z$13,IF(LEFT($AI41,3)="AM|",IF($C41="","",SUMPRODUCT($AP$5:$AP$302*($AN$5:$AN$302=$A41),$CB$5:$CB$302)),IF(LEFT($AI41,2)="S|",IF($AG41="","",INDEX($CB$5:$CB$302,$AH41)),IF($AI41="HDR","Makeup Sales",""))))))</f>
        <v>5810.36</v>
      </c>
      <c r="AA41" s="41">
        <f t="shared" si="41"/>
        <v>4.2757309096764021E-2</v>
      </c>
      <c r="AB41" s="40" cm="1">
        <f t="array" ref="AB41">IF($AI41="","",IF(LEFT($AI41,2)="C|",IF($C41="","",SUMPRODUCT($AP$5:$AP$302*($AO$5:$AO$302=$A41),$CK$5:$CK$302)),IF($AI41="CT",AB$13,IF(LEFT($AI41,3)="AM|",IF($C41="","",SUMPRODUCT($AP$5:$AP$302*($AN$5:$AN$302=$A41),$CK$5:$CK$302)),IF(LEFT($AI41,2)="S|",IF($AG41="","",INDEX($CK$5:$CK$302,$AH41)),IF($AI41="HDR","Makeup Target",""))))))</f>
        <v>8932.5348604161318</v>
      </c>
      <c r="AC41" s="41">
        <f t="shared" si="45"/>
        <v>0.65047157282846779</v>
      </c>
      <c r="AD41" s="40" cm="1">
        <f t="array" ref="AD41">IF($AI41="","",IF(LEFT($AI41,2)="C|",IF($C41="","",SUMPRODUCT($AP$5:$AP$302*($AO$5:$AO$302=$A41),$CI$5:$CI$302)),IF($AI41="CT",AD$13,IF(LEFT($AI41,3)="AM|",IF($C41="","",SUMPRODUCT($AP$5:$AP$302*($AN$5:$AN$302=$A41),$CI$5:$CI$302)),IF(LEFT($AI41,2)="S|",IF($AG41="","",INDEX($CI$5:$CI$302,$AH41)),IF($AI41="HDR","Cosmetic Sales",""))))))</f>
        <v>135891.62</v>
      </c>
      <c r="AE41" s="8" cm="1">
        <f t="array" ref="AE41">IF($AI41="","",IF(LEFT($AI41,2)="C|",IF($C41="","",SUMPRODUCT($AP$5:$AP$302*($AO$5:$AO$302=$A41)*$AQ$5:$AQ$302,$AR$5:$AR$302)),IF($AI41="CT",AE$13,IF(LEFT($AI41,3)="AM|",IF($C41="","",SUMPRODUCT($AP$5:$AP$302*($AN$5:$AN$302=$A41)*$AQ$5:$AQ$302,$AR$5:$AR$302)),IF(LEFT($AI41,2)="S|",IF($AG41="","",IF(INDEX($AQ$5:$AQ$302,$AH41)=1,D41,0)),IF($AI41="HDR","LFL Sales",""))))))</f>
        <v>0</v>
      </c>
      <c r="AF41" s="8" cm="1">
        <f t="array" ref="AF41">IF($AI41="","",IF(LEFT($AI41,2)="C|",IF($C41="","",SUMPRODUCT($AP$5:$AP$302*($AO$5:$AO$302=$A41)*$AQ$5:$AQ$302,$AS$5:$AS$302)),IF($AI41="CT",AF$13,IF(LEFT($AI41,3)="AM|",IF($C41="","",SUMPRODUCT($AP$5:$AP$302*($AN$5:$AN$302=$A41)*$AQ$5:$AQ$302,$AS$5:$AS$302)),IF(LEFT($AI41,2)="S|",IF($AG41="","",IF(INDEX($AQ$5:$AQ$302,$AH41)=1,P41,0)),IF($AI41="HDR","LFL Trans",""))))))</f>
        <v>0</v>
      </c>
      <c r="AG41" s="8" cm="1">
        <f t="array" ref="AG41">IF($AI41="","",IF(LEFT($AI41,2)="C|","",IF($AI41="CT","",IF(LEFT($AI41,3)="AM|","",IF(LEFT($AI41,2)="S|",IF($AH41="","",IF(INDEX($AP$5:$AP$302,$AH41)=1,1,"")),IF($AI41="HDR","Show",""))))))</f>
        <v>1</v>
      </c>
      <c r="AH41" s="8">
        <f t="shared" si="42"/>
        <v>43</v>
      </c>
      <c r="AI41" s="8" t="str">
        <v>S|HAJEDSULTN</v>
      </c>
      <c r="AN41" s="8" t="str" cm="1">
        <f t="array" ref="AN41">IF($AW41="","",_xlfn.LET(_xlpm.sa,IFERROR(TRIM(INDEX('Sales and count'!$D$4:$D$300,$BF41)&amp;""),""),_xlpm.ta,IFERROR(TRIM(INDEX('TY Sales Target'!$F$5:$F$300,$BG41)&amp;""),""),IF(AND(_xlpm.sa&lt;&gt;"",LEFT(_xlpm.sa,1)&lt;&gt;"#",_xlpm.sa&lt;&gt;"0"),_xlpm.sa,IF(AND(_xlpm.ta&lt;&gt;"",LEFT(_xlpm.ta,1)&lt;&gt;"#",_xlpm.ta&lt;&gt;"0"),_xlpm.ta,IF(ISNUMBER($BG41),"Unassigned","")))))</f>
        <v>Lina Al Ghathami</v>
      </c>
      <c r="AO41" s="8" t="str" cm="1">
        <f t="array" ref="AO41">IF($AW41="","",_xlfn.LET(_xlpm.sa,IFERROR(TRIM(INDEX('Sales and count'!$C$4:$C$300,$BF41)&amp;""),""),_xlpm.ta,IFERROR(TRIM(INDEX('TY Sales Target'!$D$5:$D$300,$BG41)&amp;""),""),IF(AND(_xlpm.sa&lt;&gt;"",LEFT(_xlpm.sa,1)&lt;&gt;"#",_xlpm.sa&lt;&gt;"0"),_xlpm.sa,IF(AND(_xlpm.ta&lt;&gt;"",LEFT(_xlpm.ta,1)&lt;&gt;"#",_xlpm.ta&lt;&gt;"0"),_xlpm.ta,""))))</f>
        <v>Riyadh</v>
      </c>
      <c r="AP41" s="8">
        <f t="shared" si="2"/>
        <v>0</v>
      </c>
      <c r="AQ41" s="8">
        <f t="shared" si="0"/>
        <v>0</v>
      </c>
      <c r="AR41" s="8" cm="1">
        <f t="array" ref="AR41">IF($BF41="",0,_xlfn.LET(_xlpm.d,IFERROR(--'Sales and count'!$G$2:$CC$2,0),SUMPRODUCT(('Sales and count'!$G$3:$CC$3="Total")*(_xlpm.d&gt;=$U$4)*(_xlpm.d&lt;=$U$5),INDEX('Sales and count'!$G$4:$CC$300,$BF41,0))))</f>
        <v>327987.03999999992</v>
      </c>
      <c r="AS41" s="8" cm="1">
        <f t="array" aca="1" ref="AS41" ca="1">IF($BF41="",0,_xlfn.LET(_xlpm.d,IFERROR(--'Sales and count'!$F$2:$CB$2,0),SUMPRODUCT(('Sales and count'!$G$3:$CC$3="Transactions")*(_xlpm.d&gt;=$U$4)*(_xlpm.d&lt;=$U$5),INDEX('Sales and count'!$G$4:$CC$300,$BF41,0))))</f>
        <v>2024</v>
      </c>
      <c r="AT41" s="8" cm="1">
        <f t="array" ref="AT41">IF($AW41="",0,SUMPRODUCT((TRIM('LY Sales '!$B$5:$B$200)=$AW41)*('LY Sales '!$C$2:$AG$2&gt;=EDATE($U$4,-12))*('LY Sales '!$C$2:$AG$2&lt;=EDATE($U$5,-12)),'LY Sales '!$C$5:$AG$200))</f>
        <v>0</v>
      </c>
      <c r="AU41" s="8" cm="1">
        <f t="array" ref="AU41">IF($AW41="",0,SUMPRODUCT((TRIM('LY Transaction'!$B$5:$B$200)=$AW41)*('LY Transaction'!$C$2:$AG$2&gt;=EDATE($U$4,-12))*('LY Transaction'!$C$2:$AG$2&lt;=EDATE($U$5,-12)),'LY Transaction'!$C$5:$AG$200))</f>
        <v>0</v>
      </c>
      <c r="AV41" s="8" cm="1">
        <f t="array" ref="AV41">IF(NOT(ISNUMBER($BG41)),0,SUMPRODUCT(('TY Sales Target'!$K$2:$AO$2&gt;=$U$4)*('TY Sales Target'!$K$2:$AO$2&lt;=$U$5),INDEX('TY Sales Target'!$K$5:$AO$300,$BG41,0)))</f>
        <v>445147.65492373286</v>
      </c>
      <c r="AW41" s="8" t="str" cm="1">
        <f t="array" ref="AW41">IFERROR(INDEX(_xlfn.ANCHORARRAY($BR$5),ROWS($AW$5:AW41)),"")</f>
        <v>HACOMPLZ</v>
      </c>
      <c r="AY41" s="132"/>
      <c r="AZ41" s="132"/>
      <c r="BB41" cm="1">
        <f t="array" ref="BB41">IF($AW41="",0,SUMPRODUCT((TRIM(Footfall!$B$5:$B$301)=$AW41)*(Footfall!$C$1:$BZ$1&gt;=$U$4)*(Footfall!$C$2:$BZ$2&lt;=$U$5)*(Footfall!$C$1:$BZ$1&lt;&gt;""),Footfall!$C$5:$BZ$301))</f>
        <v>4265</v>
      </c>
      <c r="BC41" cm="1">
        <f t="array" aca="1" ref="BC41" ca="1">IF(OR($BB41&lt;=0,$BD$1="",$BF41=""),0,_xlfn.LET(_xlpm.d,IFERROR(--'Sales and count'!$F$2:$CB$2,0),SUMPRODUCT(('Sales and count'!$G$3:$CC$3="Transactions")*(_xlpm.d&gt;=$BD$1)*(_xlpm.d&lt;=$BD$2),INDEX('Sales and count'!$G$4:$CC$300,$BF41,0))))</f>
        <v>2024</v>
      </c>
      <c r="BF41" cm="1">
        <f t="array" ref="BF41">IF($AW41="","",IFERROR(MATCH($AW41,TRIM('Sales and count'!$A$4:$A$300&amp;""),0),""))</f>
        <v>37</v>
      </c>
      <c r="BG41" cm="1">
        <f t="array" ref="BG41">IF($AW41="","",IFERROR(MATCH(IFERROR(_xlfn.XLOOKUP($AW41,$BT$5:$BT$22,$BU$5:$BU$22),$AW41),TRIM('TY Sales Target'!$B$5:$B$300&amp;""),0),""))</f>
        <v>6</v>
      </c>
      <c r="BH41" t="str" cm="1">
        <f t="array" ref="BH41">IF(ISNUMBER($BG41),_xlfn.LET(_xlpm.p,TRIM(INDEX('TY Sales Target'!$I$5:$I$300,$BG41)&amp;""),IF(_xlpm.p="","Not set",_xlpm.p)),"Not set")</f>
        <v>Car</v>
      </c>
      <c r="BI41" cm="1">
        <f t="array" ref="BI41">IF($BF41="",0,_xlfn.LET(_xlpm.d,IFERROR(--'Sales and count'!$G$2:$CC$2,0),SUMPRODUCT(('Sales and count'!$G$3:$CC$3="Total")*(_xlpm.d&gt;=$BZ$5)*(_xlpm.d&lt;=$BZ$6),INDEX('Sales and count'!$G$4:$CC$300,$BF41,0))))</f>
        <v>327987.03999999992</v>
      </c>
      <c r="BJ41" cm="1">
        <f t="array" ref="BJ41">IF($AW41="",0,SUMPRODUCT((TRIM('LY Sales '!$B$5:$B$200)=$AW41)*('LY Sales '!$C$2:$AG$2&gt;=EDATE($BZ$5,-12))*('LY Sales '!$C$2:$AG$2&lt;=EDATE($BZ$6,-12)),'LY Sales '!$C$5:$AG$200))</f>
        <v>0</v>
      </c>
      <c r="BK41" cm="1">
        <f t="array" ref="BK41">IF($AW41="",0,SUMPRODUCT((TRIM('LY Sales '!$B$5:$B$200)=$AW41)*('LY Sales '!$C$2:$AG$2&gt;=EDATE($BZ$5,-12))*('LY Sales '!$C$2:$AG$2&lt;=EDATE($BZ$7,-12)),'LY Sales '!$C$5:$AG$200))</f>
        <v>0</v>
      </c>
      <c r="BL41" cm="1">
        <f t="array" ref="BL41">IF($AW41="",0,SUMPRODUCT((TRIM('LY Sales '!$B$5:$B$200)=$AW41)*('LY Sales '!$C$2:$AG$2&gt;=EDATE($BZ$5,-12))*('LY Sales '!$C$2:$AG$2&lt;=EDATE($BZ$6,-12))*('LY Sales '!$C$5:$AG$200&gt;0)))</f>
        <v>0</v>
      </c>
      <c r="BM41" cm="1">
        <f t="array" ref="BM41">IF(NOT(ISNUMBER($BG41)),0,SUMPRODUCT(('TY Sales Target'!$K$2:$AO$2&gt;=$BZ$5)*('TY Sales Target'!$K$2:$AO$2&lt;=$BZ$6),INDEX('TY Sales Target'!$K$5:$AO$300,$BG41,0)))</f>
        <v>445147.65492373286</v>
      </c>
      <c r="BN41" cm="1">
        <f t="array" ref="BN41">IF(NOT(ISNUMBER($BG41)),0,SUMPRODUCT(('TY Sales Target'!$K$2:$AO$2&gt;=$BZ$5)*('TY Sales Target'!$K$2:$AO$2&lt;=$BZ$7),INDEX('TY Sales Target'!$K$5:$AO$300,$BG41,0)))</f>
        <v>581000.00000000023</v>
      </c>
      <c r="BO41" cm="1">
        <f t="array" ref="BO41">IF($AW41="",0,IFERROR(_xlfn.SWITCH($BP41,"LY trend",$BI41*$BK41/$BJ41,"Target curve",$BI41*$BN41/$BM41,"Run rate",$BI41/$BZ$8*$BZ$9,0),0))</f>
        <v>428083.73386275338</v>
      </c>
      <c r="BP41" t="str">
        <f t="shared" si="1"/>
        <v>Target curve</v>
      </c>
      <c r="BR41" t="str">
        <v>HACOMPLZ</v>
      </c>
      <c r="CB41" cm="1">
        <f t="array" ref="CB41">IF($AW41="",0,_xlfn.LET(_xlpm.k,IFERROR(_xlfn.XLOOKUP($AW41,$CD$6:$CD$21,$CE$6:$CE$21),$AW41),SUMPRODUCT((TRIM('Makeup '!$A$2:$A$300&amp;"")=_xlpm.k)*1,IFERROR('Makeup '!$F$2:$F$300*1,0))))</f>
        <v>16525.52</v>
      </c>
      <c r="CF41" t="str" cm="1">
        <f t="array" ref="CF41">IF($AW41="","",_xlfn.LET(_xlpm.c,IFERROR(TRIM(INDEX('Sales and count'!$B$4:$B$300,$BF41)&amp;""),""),IF(OR(_xlpm.c="",_xlpm.c="0",LEFT(_xlpm.c,1)="#"),"Not set",_xlpm.c)))</f>
        <v>KSA</v>
      </c>
      <c r="CH41" cm="1">
        <f t="array" ref="CH41">IF($AW41="",0,_xlfn.LET(_xlpm.k,IFERROR(_xlfn.XLOOKUP($AW41,$CD$6:$CD$21,$CE$6:$CE$21),$AW41),--(SUMPRODUCT((TRIM('Makeup '!$A$2:$A$300&amp;"")=_xlpm.k)*ISNUMBER('Makeup '!$F$2:$F$300))&gt;0)))</f>
        <v>1</v>
      </c>
      <c r="CI41">
        <f t="shared" si="4"/>
        <v>327987.03999999992</v>
      </c>
      <c r="CJ41" cm="1">
        <f t="array" ref="CJ41">IF($AW41="",0,--(SUMPRODUCT(--(TRIM(Footfall!$B$5:$B$301)=$AW41))&gt;0))</f>
        <v>1</v>
      </c>
      <c r="CK41" s="8" cm="1">
        <f t="array" ref="CK41">IF($AW41="",0,_xlfn.LET(_xlpm.r,IFERROR(MATCH(IFERROR(_xlfn.XLOOKUP($AW41,$BT$5:$BT$22,$BU$5:$BU$22),$AW41),TRIM('TY Beauty Target'!$B$5:$B$300&amp;""),0),""),IF(ISNUMBER(_xlpm.r),SUMPRODUCT(('TY Beauty Target'!$L$2:$AP$2&gt;=$U$4)*('TY Beauty Target'!$L$2:$AP$2&lt;=$U$5),INDEX('TY Beauty Target'!$L$5:$AP$300,_xlpm.r,0)),0)))</f>
        <v>24305.446157931387</v>
      </c>
    </row>
    <row r="42" spans="1:89" ht="15" customHeight="1" x14ac:dyDescent="0.25">
      <c r="A42" s="38" t="str">
        <f t="shared" si="30"/>
        <v>JEDDYASMN</v>
      </c>
      <c r="B42" s="43" t="str" cm="1">
        <f t="array" ref="B42">IF($AI42="","",IF(LEFT($AI42,2)="C|",IF($C42="","",_xlfn.TEXTJOIN(", ",TRUE,_xlfn.UNIQUE(_xlfn._xlws.FILTER($AN$5:$AN$302,($AP$5:$AP$302=1)*($AO$5:$AO$302=$A42))))),IF($AI42="CT",B$13,IF(LEFT($AI42,3)="AM|",IF($C42="","",ROWS(_xlfn.UNIQUE(_xlfn._xlws.FILTER($AO$5:$AO$302,($AP$5:$AP$302=1)*($AN$5:$AN$302=$A42))))),IF(LEFT($AI42,2)="S|",IF($AG42="","",INDEX($AO$5:$AO$302,$AH42)),IF($AI42="HDR","City",""))))))</f>
        <v>Jeddah</v>
      </c>
      <c r="C42" s="39" t="str" cm="1">
        <f t="array" ref="C42">IF($AI42="","",IF(LEFT($AI42,2)="C|",_xlfn.LET(_xlpm.n,SUMPRODUCT($AP$5:$AP$302*($AO$5:$AO$302=$A42)),IF(_xlpm.n=0,"",_xlpm.n)),IF($AI42="CT",C$13,IF(LEFT($AI42,3)="AM|",_xlfn.LET(_xlpm.n,SUMPRODUCT($AP$5:$AP$302*($AN$5:$AN$302=$A42)),IF(_xlpm.n=0,"",_xlpm.n)),IF(LEFT($AI42,2)="S|","",IF($AI42="HDR","# Stores",""))))))</f>
        <v/>
      </c>
      <c r="D42" s="40" cm="1">
        <f t="array" ref="D42">IF($AI42="","",IF(LEFT($AI42,2)="C|",IF($C42="","",SUMPRODUCT($AP$5:$AP$302*($AO$5:$AO$302=$A42),$AR$5:$AR$302)),IF($AI42="CT",D$13,IF(LEFT($AI42,3)="AM|",IF($C42="","",SUMPRODUCT($AP$5:$AP$302*($AN$5:$AN$302=$A42),$AR$5:$AR$302)),IF(LEFT($AI42,2)="S|",IF($AG42="","",INDEX($AR$5:$AR$302,$AH42)),IF($AI42="HDR","Sales TY",""))))))</f>
        <v>131653.41</v>
      </c>
      <c r="E42" s="40" cm="1">
        <f t="array" ref="E42">IF($AI42="","",IF(LEFT($AI42,2)="C|",IF($C42="","",SUMPRODUCT($AP$5:$AP$302*($AO$5:$AO$302=$A42),$AT$5:$AT$302)),IF($AI42="CT",E$13,IF(LEFT($AI42,3)="AM|",IF($C42="","",SUMPRODUCT($AP$5:$AP$302*($AN$5:$AN$302=$A42),$AT$5:$AT$302)),IF(LEFT($AI42,2)="S|",IF($AG42="","",INDEX($AT$5:$AT$302,$AH42)),IF($AI42="HDR","Sales LY",""))))))</f>
        <v>179665.67999999996</v>
      </c>
      <c r="F42" s="41">
        <f t="shared" si="31"/>
        <v>-0.26723117069436952</v>
      </c>
      <c r="G42" s="41">
        <f t="shared" si="32"/>
        <v>-0.26723117069436952</v>
      </c>
      <c r="H42" s="40" cm="1">
        <f t="array" ref="H42">IF($AI42="","",IF(LEFT($AI42,2)="C|",IF($C42="","",SUMPRODUCT($AP$5:$AP$302*($AO$5:$AO$302=$A42),$AV$5:$AV$302)),IF($AI42="CT",H$13,IF(LEFT($AI42,3)="AM|",IF($C42="","",SUMPRODUCT($AP$5:$AP$302*($AN$5:$AN$302=$A42),$AV$5:$AV$302)),IF(LEFT($AI42,2)="S|",IF($AG42="","",INDEX($AV$5:$AV$302,$AH42)),IF($AI42="HDR","Target",""))))))</f>
        <v>210698.11549746388</v>
      </c>
      <c r="I42" s="41">
        <f t="shared" si="33"/>
        <v>0.62484379458811379</v>
      </c>
      <c r="J42" s="40">
        <f t="shared" si="34"/>
        <v>-79044.705497463874</v>
      </c>
      <c r="K42" s="41">
        <f t="shared" si="35"/>
        <v>7.4595425628944112E-2</v>
      </c>
      <c r="L42" s="40" cm="1">
        <f t="array" ref="L42">IF($AI42="","",IF(LEFT($AI42,2)="C|",IF($C42="","",SUMPRODUCT($AP$5:$AP$302*($AO$5:$AO$302=$A42),$BN$5:$BN$302)),IF($AI42="CT",L$13,IF(LEFT($AI42,3)="AM|",IF($C42="","",SUMPRODUCT($AP$5:$AP$302*($AN$5:$AN$302=$A42),$BN$5:$BN$302)),IF(LEFT($AI42,2)="S|",IF($AG42="","",INDEX($BN$5:$BN$302,$AH42)),IF($AI42="HDR","Month Target",""))))))</f>
        <v>275000</v>
      </c>
      <c r="M42" s="40" cm="1">
        <f t="array" ref="M42">IF($AI42="","",IF(LEFT($AI42,2)="C|",IF($C42="","",SUMPRODUCT($AP$5:$AP$302*($AO$5:$AO$302=$A42),$BO$5:$BO$302)),IF($AI42="CT",M$13,IF(LEFT($AI42,3)="AM|",IF($C42="","",SUMPRODUCT($AP$5:$AP$302*($AN$5:$AN$302=$A42),$BO$5:$BO$302)),IF(LEFT($AI42,2)="S|",IF($AG42="","",INDEX($BO$5:$BO$302,$AH42)),IF($AI42="HDR","Projected Close",""))))))</f>
        <v>168605.293332017</v>
      </c>
      <c r="N42" s="41">
        <f t="shared" si="43"/>
        <v>0.61311015757097087</v>
      </c>
      <c r="O42" s="41" cm="1">
        <f t="array" ref="O42">IF($AI42="HDR","Proj. vs LY",IF(OR($AI42="",M42=""),"",_xlfn.LET(_xlpm.ly,IF(LEFT($AI42,2)="C|",SUMPRODUCT($AP$5:$AP$302*($AO$5:$AO$302=$A42),$BK$5:$BK$302),IF($AI42="CT",SUMPRODUCT($AP$5:$AP$302,$BK$5:$BK$302),IF(LEFT($AI42,3)="AM|",SUMPRODUCT($AP$5:$AP$302*($AN$5:$AN$302=$A42),$BK$5:$BK$302),IF(LEFT($AI42,2)="S|",INDEX($BK$5:$BK$302,$AH42),0)))),IFERROR(M42/_xlpm.ly-1,""))))</f>
        <v>-0.26723117069436952</v>
      </c>
      <c r="P42" s="40" cm="1">
        <f t="array" aca="1" ref="P42" ca="1">IF($AI42="","",IF(LEFT($AI42,2)="C|",IF($C42="","",SUMPRODUCT($AP$5:$AP$302*($AO$5:$AO$302=$A42),$AS$5:$AS$302)),IF($AI42="CT",P$13,IF(LEFT($AI42,3)="AM|",IF($C42="","",SUMPRODUCT($AP$5:$AP$302*($AN$5:$AN$302=$A42),$AS$5:$AS$302)),IF(LEFT($AI42,2)="S|",IF($AG42="","",INDEX($AS$5:$AS$302,$AH42)),IF($AI42="HDR","Trans TY",""))))))</f>
        <v>958</v>
      </c>
      <c r="Q42" s="40" cm="1">
        <f t="array" ref="Q42">IF($AI42="","",IF(LEFT($AI42,2)="C|",IF($C42="","",SUMPRODUCT($AP$5:$AP$302*($AO$5:$AO$302=$A42),$AU$5:$AU$302)),IF($AI42="CT",Q$13,IF(LEFT($AI42,3)="AM|",IF($C42="","",SUMPRODUCT($AP$5:$AP$302*($AN$5:$AN$302=$A42),$AU$5:$AU$302)),IF(LEFT($AI42,2)="S|",IF($AG42="","",INDEX($AU$5:$AU$302,$AH42)),IF($AI42="HDR","Trans LY",""))))))</f>
        <v>1401</v>
      </c>
      <c r="R42" s="41">
        <f t="shared" ca="1" si="36"/>
        <v>-0.31620271234832265</v>
      </c>
      <c r="S42" s="41">
        <f t="shared" ca="1" si="37"/>
        <v>-0.31620271234832265</v>
      </c>
      <c r="T42" s="42">
        <f t="shared" ca="1" si="38"/>
        <v>137.42527139874738</v>
      </c>
      <c r="U42" s="42">
        <f t="shared" si="39"/>
        <v>128.24102783725908</v>
      </c>
      <c r="V42" s="41">
        <f t="shared" ca="1" si="40"/>
        <v>7.1617045779945876E-2</v>
      </c>
      <c r="W42" s="40" cm="1">
        <f t="array" ref="W42">IF($AI42="","",IF(LEFT($AI42,2)="C|",_xlfn.LET(_xlpm.n,SUMPRODUCT($AP$5:$AP$302*($AO$5:$AO$302=$A42),$BB$5:$BB$302),IF(_xlpm.n=0,"",_xlpm.n)),IF($AI42="CT",W$13,IF(LEFT($AI42,3)="AM|",_xlfn.LET(_xlpm.n,SUMPRODUCT($AP$5:$AP$302*($AN$5:$AN$302=$A42),$BB$5:$BB$302),IF(_xlpm.n=0,"",_xlpm.n)),IF(LEFT($AI42,2)="S|",IF($AG42="","",_xlfn.LET(_xlpm.n,INDEX($BB$5:$BB$302,$AH42),IF(_xlpm.n=0,"",_xlpm.n))),IF($AI42="HDR","Footfall",""))))))</f>
        <v>6095</v>
      </c>
      <c r="X42" s="40" cm="1">
        <f t="array" aca="1" ref="X42" ca="1">IF($AI42="","",IF($AI42="HDR","Trans (FF stores)",IF(W42="","",IF(LEFT($AI42,2)="C|",SUMPRODUCT($AP$5:$AP$302*($AO$5:$AO$302=$A42),$BC$5:$BC$302),IF($AI42="CT",X$13,IF(LEFT($AI42,3)="AM|",SUMPRODUCT($AP$5:$AP$302*($AN$5:$AN$302=$A42),$BC$5:$BC$302),IF(LEFT($AI42,2)="S|",INDEX($BC$5:$BC$302,$AH42),"")))))))</f>
        <v>958</v>
      </c>
      <c r="Y42" s="41">
        <f t="shared" ca="1" si="44"/>
        <v>0.1571780147662018</v>
      </c>
      <c r="Z42" s="40" cm="1">
        <f t="array" ref="Z42">IF($AI42="","",IF(LEFT($AI42,2)="C|",IF($C42="","",SUMPRODUCT($AP$5:$AP$302*($AO$5:$AO$302=$A42),$CB$5:$CB$302)),IF($AI42="CT",Z$13,IF(LEFT($AI42,3)="AM|",IF($C42="","",SUMPRODUCT($AP$5:$AP$302*($AN$5:$AN$302=$A42),$CB$5:$CB$302)),IF(LEFT($AI42,2)="S|",IF($AG42="","",INDEX($CB$5:$CB$302,$AH42)),IF($AI42="HDR","Makeup Sales",""))))))</f>
        <v>6609.55</v>
      </c>
      <c r="AA42" s="41">
        <f t="shared" si="41"/>
        <v>5.0204168657689917E-2</v>
      </c>
      <c r="AB42" s="40" cm="1">
        <f t="array" ref="AB42">IF($AI42="","",IF(LEFT($AI42,2)="C|",IF($C42="","",SUMPRODUCT($AP$5:$AP$302*($AO$5:$AO$302=$A42),$CK$5:$CK$302)),IF($AI42="CT",AB$13,IF(LEFT($AI42,3)="AM|",IF($C42="","",SUMPRODUCT($AP$5:$AP$302*($AN$5:$AN$302=$A42),$CK$5:$CK$302)),IF(LEFT($AI42,2)="S|",IF($AG42="","",INDEX($CK$5:$CK$302,$AH42)),IF($AI42="HDR","Makeup Target",""))))))</f>
        <v>14888.572130525299</v>
      </c>
      <c r="AC42" s="41">
        <f t="shared" si="45"/>
        <v>0.44393444462338794</v>
      </c>
      <c r="AD42" s="40" cm="1">
        <f t="array" ref="AD42">IF($AI42="","",IF(LEFT($AI42,2)="C|",IF($C42="","",SUMPRODUCT($AP$5:$AP$302*($AO$5:$AO$302=$A42),$CI$5:$CI$302)),IF($AI42="CT",AD$13,IF(LEFT($AI42,3)="AM|",IF($C42="","",SUMPRODUCT($AP$5:$AP$302*($AN$5:$AN$302=$A42),$CI$5:$CI$302)),IF(LEFT($AI42,2)="S|",IF($AG42="","",INDEX($CI$5:$CI$302,$AH42)),IF($AI42="HDR","Cosmetic Sales",""))))))</f>
        <v>131653.41</v>
      </c>
      <c r="AE42" s="8" cm="1">
        <f t="array" ref="AE42">IF($AI42="","",IF(LEFT($AI42,2)="C|",IF($C42="","",SUMPRODUCT($AP$5:$AP$302*($AO$5:$AO$302=$A42)*$AQ$5:$AQ$302,$AR$5:$AR$302)),IF($AI42="CT",AE$13,IF(LEFT($AI42,3)="AM|",IF($C42="","",SUMPRODUCT($AP$5:$AP$302*($AN$5:$AN$302=$A42)*$AQ$5:$AQ$302,$AR$5:$AR$302)),IF(LEFT($AI42,2)="S|",IF($AG42="","",IF(INDEX($AQ$5:$AQ$302,$AH42)=1,D42,0)),IF($AI42="HDR","LFL Sales",""))))))</f>
        <v>131653.41</v>
      </c>
      <c r="AF42" s="8" cm="1">
        <f t="array" aca="1" ref="AF42" ca="1">IF($AI42="","",IF(LEFT($AI42,2)="C|",IF($C42="","",SUMPRODUCT($AP$5:$AP$302*($AO$5:$AO$302=$A42)*$AQ$5:$AQ$302,$AS$5:$AS$302)),IF($AI42="CT",AF$13,IF(LEFT($AI42,3)="AM|",IF($C42="","",SUMPRODUCT($AP$5:$AP$302*($AN$5:$AN$302=$A42)*$AQ$5:$AQ$302,$AS$5:$AS$302)),IF(LEFT($AI42,2)="S|",IF($AG42="","",IF(INDEX($AQ$5:$AQ$302,$AH42)=1,P42,0)),IF($AI42="HDR","LFL Trans",""))))))</f>
        <v>958</v>
      </c>
      <c r="AG42" s="8" cm="1">
        <f t="array" ref="AG42">IF($AI42="","",IF(LEFT($AI42,2)="C|","",IF($AI42="CT","",IF(LEFT($AI42,3)="AM|","",IF(LEFT($AI42,2)="S|",IF($AH42="","",IF(INDEX($AP$5:$AP$302,$AH42)=1,1,"")),IF($AI42="HDR","Show",""))))))</f>
        <v>1</v>
      </c>
      <c r="AH42" s="8">
        <f t="shared" si="42"/>
        <v>75</v>
      </c>
      <c r="AI42" s="8" t="str">
        <v>S|JEDDYASMN</v>
      </c>
      <c r="AN42" s="8" t="str" cm="1">
        <f t="array" ref="AN42">IF($AW42="","",_xlfn.LET(_xlpm.sa,IFERROR(TRIM(INDEX('Sales and count'!$D$4:$D$300,$BF42)&amp;""),""),_xlpm.ta,IFERROR(TRIM(INDEX('TY Sales Target'!$F$5:$F$300,$BG42)&amp;""),""),IF(AND(_xlpm.sa&lt;&gt;"",LEFT(_xlpm.sa,1)&lt;&gt;"#",_xlpm.sa&lt;&gt;"0"),_xlpm.sa,IF(AND(_xlpm.ta&lt;&gt;"",LEFT(_xlpm.ta,1)&lt;&gt;"#",_xlpm.ta&lt;&gt;"0"),_xlpm.ta,IF(ISNUMBER($BG42),"Unassigned","")))))</f>
        <v>Lina Al Ghathami</v>
      </c>
      <c r="AO42" s="8" t="str" cm="1">
        <f t="array" ref="AO42">IF($AW42="","",_xlfn.LET(_xlpm.sa,IFERROR(TRIM(INDEX('Sales and count'!$C$4:$C$300,$BF42)&amp;""),""),_xlpm.ta,IFERROR(TRIM(INDEX('TY Sales Target'!$D$5:$D$300,$BG42)&amp;""),""),IF(AND(_xlpm.sa&lt;&gt;"",LEFT(_xlpm.sa,1)&lt;&gt;"#",_xlpm.sa&lt;&gt;"0"),_xlpm.sa,IF(AND(_xlpm.ta&lt;&gt;"",LEFT(_xlpm.ta,1)&lt;&gt;"#",_xlpm.ta&lt;&gt;"0"),_xlpm.ta,""))))</f>
        <v>Riyadh</v>
      </c>
      <c r="AP42" s="8">
        <f t="shared" si="2"/>
        <v>0</v>
      </c>
      <c r="AQ42" s="8">
        <f t="shared" si="0"/>
        <v>1</v>
      </c>
      <c r="AR42" s="8" cm="1">
        <f t="array" ref="AR42">IF($BF42="",0,_xlfn.LET(_xlpm.d,IFERROR(--'Sales and count'!$G$2:$CC$2,0),SUMPRODUCT(('Sales and count'!$G$3:$CC$3="Total")*(_xlpm.d&gt;=$U$4)*(_xlpm.d&lt;=$U$5),INDEX('Sales and count'!$G$4:$CC$300,$BF42,0))))</f>
        <v>148210.6</v>
      </c>
      <c r="AS42" s="8" cm="1">
        <f t="array" aca="1" ref="AS42" ca="1">IF($BF42="",0,_xlfn.LET(_xlpm.d,IFERROR(--'Sales and count'!$F$2:$CB$2,0),SUMPRODUCT(('Sales and count'!$G$3:$CC$3="Transactions")*(_xlpm.d&gt;=$U$4)*(_xlpm.d&lt;=$U$5),INDEX('Sales and count'!$G$4:$CC$300,$BF42,0))))</f>
        <v>892</v>
      </c>
      <c r="AT42" s="8" cm="1">
        <f t="array" ref="AT42">IF($AW42="",0,SUMPRODUCT((TRIM('LY Sales '!$B$5:$B$200)=$AW42)*('LY Sales '!$C$2:$AG$2&gt;=EDATE($U$4,-12))*('LY Sales '!$C$2:$AG$2&lt;=EDATE($U$5,-12)),'LY Sales '!$C$5:$AG$200))</f>
        <v>328872.27000000008</v>
      </c>
      <c r="AU42" s="8" cm="1">
        <f t="array" ref="AU42">IF($AW42="",0,SUMPRODUCT((TRIM('LY Transaction'!$B$5:$B$200)=$AW42)*('LY Transaction'!$C$2:$AG$2&gt;=EDATE($U$4,-12))*('LY Transaction'!$C$2:$AG$2&lt;=EDATE($U$5,-12)),'LY Transaction'!$C$5:$AG$200))</f>
        <v>1771</v>
      </c>
      <c r="AV42" s="8" cm="1">
        <f t="array" ref="AV42">IF(NOT(ISNUMBER($BG42)),0,SUMPRODUCT(('TY Sales Target'!$K$2:$AO$2&gt;=$U$4)*('TY Sales Target'!$K$2:$AO$2&lt;=$U$5),INDEX('TY Sales Target'!$K$5:$AO$300,$BG42,0)))</f>
        <v>211464.29046290921</v>
      </c>
      <c r="AW42" s="8" t="str" cm="1">
        <f t="array" ref="AW42">IFERROR(INDEX(_xlfn.ANCHORARRAY($BR$5),ROWS($AW$5:AW42)),"")</f>
        <v>OTHAFAN</v>
      </c>
      <c r="BB42" cm="1">
        <f t="array" ref="BB42">IF($AW42="",0,SUMPRODUCT((TRIM(Footfall!$B$5:$B$301)=$AW42)*(Footfall!$C$1:$BZ$1&gt;=$U$4)*(Footfall!$C$2:$BZ$2&lt;=$U$5)*(Footfall!$C$1:$BZ$1&lt;&gt;""),Footfall!$C$5:$BZ$301))</f>
        <v>2939</v>
      </c>
      <c r="BC42" cm="1">
        <f t="array" aca="1" ref="BC42" ca="1">IF(OR($BB42&lt;=0,$BD$1="",$BF42=""),0,_xlfn.LET(_xlpm.d,IFERROR(--'Sales and count'!$F$2:$CB$2,0),SUMPRODUCT(('Sales and count'!$G$3:$CC$3="Transactions")*(_xlpm.d&gt;=$BD$1)*(_xlpm.d&lt;=$BD$2),INDEX('Sales and count'!$G$4:$CC$300,$BF42,0))))</f>
        <v>892</v>
      </c>
      <c r="BF42" cm="1">
        <f t="array" ref="BF42">IF($AW42="","",IFERROR(MATCH($AW42,TRIM('Sales and count'!$A$4:$A$300&amp;""),0),""))</f>
        <v>38</v>
      </c>
      <c r="BG42" cm="1">
        <f t="array" ref="BG42">IF($AW42="","",IFERROR(MATCH(IFERROR(_xlfn.XLOOKUP($AW42,$BT$5:$BT$22,$BU$5:$BU$22),$AW42),TRIM('TY Sales Target'!$B$5:$B$300&amp;""),0),""))</f>
        <v>38</v>
      </c>
      <c r="BH42" t="str" cm="1">
        <f t="array" ref="BH42">IF(ISNUMBER($BG42),_xlfn.LET(_xlpm.p,TRIM(INDEX('TY Sales Target'!$I$5:$I$300,$BG42)&amp;""),IF(_xlpm.p="","Not set",_xlpm.p)),"Not set")</f>
        <v>Smart Phone</v>
      </c>
      <c r="BI42" cm="1">
        <f t="array" ref="BI42">IF($BF42="",0,_xlfn.LET(_xlpm.d,IFERROR(--'Sales and count'!$G$2:$CC$2,0),SUMPRODUCT(('Sales and count'!$G$3:$CC$3="Total")*(_xlpm.d&gt;=$BZ$5)*(_xlpm.d&lt;=$BZ$6),INDEX('Sales and count'!$G$4:$CC$300,$BF42,0))))</f>
        <v>148210.6</v>
      </c>
      <c r="BJ42" cm="1">
        <f t="array" ref="BJ42">IF($AW42="",0,SUMPRODUCT((TRIM('LY Sales '!$B$5:$B$200)=$AW42)*('LY Sales '!$C$2:$AG$2&gt;=EDATE($BZ$5,-12))*('LY Sales '!$C$2:$AG$2&lt;=EDATE($BZ$6,-12)),'LY Sales '!$C$5:$AG$200))</f>
        <v>328872.27000000008</v>
      </c>
      <c r="BK42" cm="1">
        <f t="array" ref="BK42">IF($AW42="",0,SUMPRODUCT((TRIM('LY Sales '!$B$5:$B$200)=$AW42)*('LY Sales '!$C$2:$AG$2&gt;=EDATE($BZ$5,-12))*('LY Sales '!$C$2:$AG$2&lt;=EDATE($BZ$7,-12)),'LY Sales '!$C$5:$AG$200))</f>
        <v>396628.47000000009</v>
      </c>
      <c r="BL42" cm="1">
        <f t="array" ref="BL42">IF($AW42="",0,SUMPRODUCT((TRIM('LY Sales '!$B$5:$B$200)=$AW42)*('LY Sales '!$C$2:$AG$2&gt;=EDATE($BZ$5,-12))*('LY Sales '!$C$2:$AG$2&lt;=EDATE($BZ$6,-12))*('LY Sales '!$C$5:$AG$200&gt;0)))</f>
        <v>26</v>
      </c>
      <c r="BM42" cm="1">
        <f t="array" ref="BM42">IF(NOT(ISNUMBER($BG42)),0,SUMPRODUCT(('TY Sales Target'!$K$2:$AO$2&gt;=$BZ$5)*('TY Sales Target'!$K$2:$AO$2&lt;=$BZ$6),INDEX('TY Sales Target'!$K$5:$AO$300,$BG42,0)))</f>
        <v>211464.29046290921</v>
      </c>
      <c r="BN42" cm="1">
        <f t="array" ref="BN42">IF(NOT(ISNUMBER($BG42)),0,SUMPRODUCT(('TY Sales Target'!$K$2:$AO$2&gt;=$BZ$5)*('TY Sales Target'!$K$2:$AO$2&lt;=$BZ$7),INDEX('TY Sales Target'!$K$5:$AO$300,$BG42,0)))</f>
        <v>276000</v>
      </c>
      <c r="BO42" cm="1">
        <f t="array" ref="BO42">IF($AW42="",0,IFERROR(_xlfn.SWITCH($BP42,"LY trend",$BI42*$BK42/$BJ42,"Target curve",$BI42*$BN42/$BM42,"Run rate",$BI42/$BZ$8*$BZ$9,0),0))</f>
        <v>178745.81981564453</v>
      </c>
      <c r="BP42" t="str">
        <f t="shared" si="1"/>
        <v>LY trend</v>
      </c>
      <c r="BR42" t="str">
        <v>OTHAFAN</v>
      </c>
      <c r="CB42" cm="1">
        <f t="array" ref="CB42">IF($AW42="",0,_xlfn.LET(_xlpm.k,IFERROR(_xlfn.XLOOKUP($AW42,$CD$6:$CD$21,$CE$6:$CE$21),$AW42),SUMPRODUCT((TRIM('Makeup '!$A$2:$A$300&amp;"")=_xlpm.k)*1,IFERROR('Makeup '!$F$2:$F$300*1,0))))</f>
        <v>4020.71</v>
      </c>
      <c r="CF42" t="str" cm="1">
        <f t="array" ref="CF42">IF($AW42="","",_xlfn.LET(_xlpm.c,IFERROR(TRIM(INDEX('Sales and count'!$B$4:$B$300,$BF42)&amp;""),""),IF(OR(_xlpm.c="",_xlpm.c="0",LEFT(_xlpm.c,1)="#"),"Not set",_xlpm.c)))</f>
        <v>KSA</v>
      </c>
      <c r="CH42" cm="1">
        <f t="array" ref="CH42">IF($AW42="",0,_xlfn.LET(_xlpm.k,IFERROR(_xlfn.XLOOKUP($AW42,$CD$6:$CD$21,$CE$6:$CE$21),$AW42),--(SUMPRODUCT((TRIM('Makeup '!$A$2:$A$300&amp;"")=_xlpm.k)*ISNUMBER('Makeup '!$F$2:$F$300))&gt;0)))</f>
        <v>1</v>
      </c>
      <c r="CI42">
        <f t="shared" si="4"/>
        <v>148210.6</v>
      </c>
      <c r="CJ42" cm="1">
        <f t="array" ref="CJ42">IF($AW42="",0,--(SUMPRODUCT(--(TRIM(Footfall!$B$5:$B$301)=$AW42))&gt;0))</f>
        <v>1</v>
      </c>
      <c r="CK42" s="8" cm="1">
        <f t="array" ref="CK42">IF($AW42="",0,_xlfn.LET(_xlpm.r,IFERROR(MATCH(IFERROR(_xlfn.XLOOKUP($AW42,$BT$5:$BT$22,$BU$5:$BU$22),$AW42),TRIM('TY Beauty Target'!$B$5:$B$300&amp;""),0),""),IF(ISNUMBER(_xlpm.r),SUMPRODUCT(('TY Beauty Target'!$L$2:$AP$2&gt;=$U$4)*('TY Beauty Target'!$L$2:$AP$2&lt;=$U$5),INDEX('TY Beauty Target'!$L$5:$AP$300,_xlpm.r,0)),0)))</f>
        <v>10664.632179132044</v>
      </c>
    </row>
    <row r="43" spans="1:89" ht="15" customHeight="1" x14ac:dyDescent="0.25">
      <c r="A43" s="38" t="str">
        <f t="shared" si="30"/>
        <v>ALSHATEA</v>
      </c>
      <c r="B43" s="43" t="str" cm="1">
        <f t="array" ref="B43">IF($AI43="","",IF(LEFT($AI43,2)="C|",IF($C43="","",_xlfn.TEXTJOIN(", ",TRUE,_xlfn.UNIQUE(_xlfn._xlws.FILTER($AN$5:$AN$302,($AP$5:$AP$302=1)*($AO$5:$AO$302=$A43))))),IF($AI43="CT",B$13,IF(LEFT($AI43,3)="AM|",IF($C43="","",ROWS(_xlfn.UNIQUE(_xlfn._xlws.FILTER($AO$5:$AO$302,($AP$5:$AP$302=1)*($AN$5:$AN$302=$A43))))),IF(LEFT($AI43,2)="S|",IF($AG43="","",INDEX($AO$5:$AO$302,$AH43)),IF($AI43="HDR","City",""))))))</f>
        <v>Jeddah</v>
      </c>
      <c r="C43" s="39" t="str" cm="1">
        <f t="array" ref="C43">IF($AI43="","",IF(LEFT($AI43,2)="C|",_xlfn.LET(_xlpm.n,SUMPRODUCT($AP$5:$AP$302*($AO$5:$AO$302=$A43)),IF(_xlpm.n=0,"",_xlpm.n)),IF($AI43="CT",C$13,IF(LEFT($AI43,3)="AM|",_xlfn.LET(_xlpm.n,SUMPRODUCT($AP$5:$AP$302*($AN$5:$AN$302=$A43)),IF(_xlpm.n=0,"",_xlpm.n)),IF(LEFT($AI43,2)="S|","",IF($AI43="HDR","# Stores",""))))))</f>
        <v/>
      </c>
      <c r="D43" s="40" cm="1">
        <f t="array" ref="D43">IF($AI43="","",IF(LEFT($AI43,2)="C|",IF($C43="","",SUMPRODUCT($AP$5:$AP$302*($AO$5:$AO$302=$A43),$AR$5:$AR$302)),IF($AI43="CT",D$13,IF(LEFT($AI43,3)="AM|",IF($C43="","",SUMPRODUCT($AP$5:$AP$302*($AN$5:$AN$302=$A43),$AR$5:$AR$302)),IF(LEFT($AI43,2)="S|",IF($AG43="","",INDEX($AR$5:$AR$302,$AH43)),IF($AI43="HDR","Sales TY",""))))))</f>
        <v>116988.98000000001</v>
      </c>
      <c r="E43" s="40" cm="1">
        <f t="array" ref="E43">IF($AI43="","",IF(LEFT($AI43,2)="C|",IF($C43="","",SUMPRODUCT($AP$5:$AP$302*($AO$5:$AO$302=$A43),$AT$5:$AT$302)),IF($AI43="CT",E$13,IF(LEFT($AI43,3)="AM|",IF($C43="","",SUMPRODUCT($AP$5:$AP$302*($AN$5:$AN$302=$A43),$AT$5:$AT$302)),IF(LEFT($AI43,2)="S|",IF($AG43="","",INDEX($AT$5:$AT$302,$AH43)),IF($AI43="HDR","Sales LY",""))))))</f>
        <v>197252.11</v>
      </c>
      <c r="F43" s="41">
        <f t="shared" si="31"/>
        <v>-0.40690631902492691</v>
      </c>
      <c r="G43" s="41">
        <f t="shared" si="32"/>
        <v>-0.40690631902492691</v>
      </c>
      <c r="H43" s="40" cm="1">
        <f t="array" ref="H43">IF($AI43="","",IF(LEFT($AI43,2)="C|",IF($C43="","",SUMPRODUCT($AP$5:$AP$302*($AO$5:$AO$302=$A43),$AV$5:$AV$302)),IF($AI43="CT",H$13,IF(LEFT($AI43,3)="AM|",IF($C43="","",SUMPRODUCT($AP$5:$AP$302*($AN$5:$AN$302=$A43),$AV$5:$AV$302)),IF(LEFT($AI43,2)="S|",IF($AG43="","",INDEX($AV$5:$AV$302,$AH43)),IF($AI43="HDR","Target",""))))))</f>
        <v>183881.99170687763</v>
      </c>
      <c r="I43" s="41">
        <f t="shared" si="33"/>
        <v>0.63621771177293784</v>
      </c>
      <c r="J43" s="40">
        <f t="shared" si="34"/>
        <v>-66893.011706877616</v>
      </c>
      <c r="K43" s="41">
        <f t="shared" si="35"/>
        <v>6.6286492366555719E-2</v>
      </c>
      <c r="L43" s="40" cm="1">
        <f t="array" ref="L43">IF($AI43="","",IF(LEFT($AI43,2)="C|",IF($C43="","",SUMPRODUCT($AP$5:$AP$302*($AO$5:$AO$302=$A43),$BN$5:$BN$302)),IF($AI43="CT",L$13,IF(LEFT($AI43,3)="AM|",IF($C43="","",SUMPRODUCT($AP$5:$AP$302*($AN$5:$AN$302=$A43),$BN$5:$BN$302)),IF(LEFT($AI43,2)="S|",IF($AG43="","",INDEX($BN$5:$BN$302,$AH43)),IF($AI43="HDR","Month Target",""))))))</f>
        <v>240000.00000000006</v>
      </c>
      <c r="M43" s="40" cm="1">
        <f t="array" ref="M43">IF($AI43="","",IF(LEFT($AI43,2)="C|",IF($C43="","",SUMPRODUCT($AP$5:$AP$302*($AO$5:$AO$302=$A43),$BO$5:$BO$302)),IF($AI43="CT",M$13,IF(LEFT($AI43,3)="AM|",IF($C43="","",SUMPRODUCT($AP$5:$AP$302*($AN$5:$AN$302=$A43),$BO$5:$BO$302)),IF(LEFT($AI43,2)="S|",IF($AG43="","",INDEX($BO$5:$BO$302,$AH43)),IF($AI43="HDR","Projected Close",""))))))</f>
        <v>141883.39333932195</v>
      </c>
      <c r="N43" s="41">
        <f t="shared" si="43"/>
        <v>0.59118080558050801</v>
      </c>
      <c r="O43" s="41" cm="1">
        <f t="array" ref="O43">IF($AI43="HDR","Proj. vs LY",IF(OR($AI43="",M43=""),"",_xlfn.LET(_xlpm.ly,IF(LEFT($AI43,2)="C|",SUMPRODUCT($AP$5:$AP$302*($AO$5:$AO$302=$A43),$BK$5:$BK$302),IF($AI43="CT",SUMPRODUCT($AP$5:$AP$302,$BK$5:$BK$302),IF(LEFT($AI43,3)="AM|",SUMPRODUCT($AP$5:$AP$302*($AN$5:$AN$302=$A43),$BK$5:$BK$302),IF(LEFT($AI43,2)="S|",INDEX($BK$5:$BK$302,$AH43),0)))),IFERROR(M43/_xlpm.ly-1,""))))</f>
        <v>-0.40690631902492691</v>
      </c>
      <c r="P43" s="40" cm="1">
        <f t="array" aca="1" ref="P43" ca="1">IF($AI43="","",IF(LEFT($AI43,2)="C|",IF($C43="","",SUMPRODUCT($AP$5:$AP$302*($AO$5:$AO$302=$A43),$AS$5:$AS$302)),IF($AI43="CT",P$13,IF(LEFT($AI43,3)="AM|",IF($C43="","",SUMPRODUCT($AP$5:$AP$302*($AN$5:$AN$302=$A43),$AS$5:$AS$302)),IF(LEFT($AI43,2)="S|",IF($AG43="","",INDEX($AS$5:$AS$302,$AH43)),IF($AI43="HDR","Trans TY",""))))))</f>
        <v>709</v>
      </c>
      <c r="Q43" s="40" cm="1">
        <f t="array" ref="Q43">IF($AI43="","",IF(LEFT($AI43,2)="C|",IF($C43="","",SUMPRODUCT($AP$5:$AP$302*($AO$5:$AO$302=$A43),$AU$5:$AU$302)),IF($AI43="CT",Q$13,IF(LEFT($AI43,3)="AM|",IF($C43="","",SUMPRODUCT($AP$5:$AP$302*($AN$5:$AN$302=$A43),$AU$5:$AU$302)),IF(LEFT($AI43,2)="S|",IF($AG43="","",INDEX($AU$5:$AU$302,$AH43)),IF($AI43="HDR","Trans LY",""))))))</f>
        <v>1228</v>
      </c>
      <c r="R43" s="41">
        <f t="shared" ca="1" si="36"/>
        <v>-0.42263843648208466</v>
      </c>
      <c r="S43" s="41">
        <f t="shared" ca="1" si="37"/>
        <v>-0.42263843648208466</v>
      </c>
      <c r="T43" s="42">
        <f t="shared" ca="1" si="38"/>
        <v>165.00561354019749</v>
      </c>
      <c r="U43" s="42">
        <f t="shared" si="39"/>
        <v>160.62875407166123</v>
      </c>
      <c r="V43" s="41">
        <f t="shared" ca="1" si="40"/>
        <v>2.7248293705768312E-2</v>
      </c>
      <c r="W43" s="40" cm="1">
        <f t="array" ref="W43">IF($AI43="","",IF(LEFT($AI43,2)="C|",_xlfn.LET(_xlpm.n,SUMPRODUCT($AP$5:$AP$302*($AO$5:$AO$302=$A43),$BB$5:$BB$302),IF(_xlpm.n=0,"",_xlpm.n)),IF($AI43="CT",W$13,IF(LEFT($AI43,3)="AM|",_xlfn.LET(_xlpm.n,SUMPRODUCT($AP$5:$AP$302*($AN$5:$AN$302=$A43),$BB$5:$BB$302),IF(_xlpm.n=0,"",_xlpm.n)),IF(LEFT($AI43,2)="S|",IF($AG43="","",_xlfn.LET(_xlpm.n,INDEX($BB$5:$BB$302,$AH43),IF(_xlpm.n=0,"",_xlpm.n))),IF($AI43="HDR","Footfall",""))))))</f>
        <v>3279</v>
      </c>
      <c r="X43" s="40" cm="1">
        <f t="array" aca="1" ref="X43" ca="1">IF($AI43="","",IF($AI43="HDR","Trans (FF stores)",IF(W43="","",IF(LEFT($AI43,2)="C|",SUMPRODUCT($AP$5:$AP$302*($AO$5:$AO$302=$A43),$BC$5:$BC$302),IF($AI43="CT",X$13,IF(LEFT($AI43,3)="AM|",SUMPRODUCT($AP$5:$AP$302*($AN$5:$AN$302=$A43),$BC$5:$BC$302),IF(LEFT($AI43,2)="S|",INDEX($BC$5:$BC$302,$AH43),"")))))))</f>
        <v>709</v>
      </c>
      <c r="Y43" s="41">
        <f t="shared" ca="1" si="44"/>
        <v>0.21622445867642573</v>
      </c>
      <c r="Z43" s="40" cm="1">
        <f t="array" ref="Z43">IF($AI43="","",IF(LEFT($AI43,2)="C|",IF($C43="","",SUMPRODUCT($AP$5:$AP$302*($AO$5:$AO$302=$A43),$CB$5:$CB$302)),IF($AI43="CT",Z$13,IF(LEFT($AI43,3)="AM|",IF($C43="","",SUMPRODUCT($AP$5:$AP$302*($AN$5:$AN$302=$A43),$CB$5:$CB$302)),IF(LEFT($AI43,2)="S|",IF($AG43="","",INDEX($CB$5:$CB$302,$AH43)),IF($AI43="HDR","Makeup Sales",""))))))</f>
        <v>4682.55</v>
      </c>
      <c r="AA43" s="41">
        <f t="shared" si="41"/>
        <v>4.0025564801060745E-2</v>
      </c>
      <c r="AB43" s="40" cm="1">
        <f t="array" ref="AB43">IF($AI43="","",IF(LEFT($AI43,2)="C|",IF($C43="","",SUMPRODUCT($AP$5:$AP$302*($AO$5:$AO$302=$A43),$CK$5:$CK$302)),IF($AI43="CT",AB$13,IF(LEFT($AI43,3)="AM|",IF($C43="","",SUMPRODUCT($AP$5:$AP$302*($AN$5:$AN$302=$A43),$CK$5:$CK$302)),IF(LEFT($AI43,2)="S|",IF($AG43="","",INDEX($CK$5:$CK$302,$AH43)),IF($AI43="HDR","Makeup Target",""))))))</f>
        <v>6260.1855495627287</v>
      </c>
      <c r="AC43" s="41">
        <f t="shared" si="45"/>
        <v>0.74798901133642504</v>
      </c>
      <c r="AD43" s="40" cm="1">
        <f t="array" ref="AD43">IF($AI43="","",IF(LEFT($AI43,2)="C|",IF($C43="","",SUMPRODUCT($AP$5:$AP$302*($AO$5:$AO$302=$A43),$CI$5:$CI$302)),IF($AI43="CT",AD$13,IF(LEFT($AI43,3)="AM|",IF($C43="","",SUMPRODUCT($AP$5:$AP$302*($AN$5:$AN$302=$A43),$CI$5:$CI$302)),IF(LEFT($AI43,2)="S|",IF($AG43="","",INDEX($CI$5:$CI$302,$AH43)),IF($AI43="HDR","Cosmetic Sales",""))))))</f>
        <v>116988.98000000001</v>
      </c>
      <c r="AE43" s="8" cm="1">
        <f t="array" ref="AE43">IF($AI43="","",IF(LEFT($AI43,2)="C|",IF($C43="","",SUMPRODUCT($AP$5:$AP$302*($AO$5:$AO$302=$A43)*$AQ$5:$AQ$302,$AR$5:$AR$302)),IF($AI43="CT",AE$13,IF(LEFT($AI43,3)="AM|",IF($C43="","",SUMPRODUCT($AP$5:$AP$302*($AN$5:$AN$302=$A43)*$AQ$5:$AQ$302,$AR$5:$AR$302)),IF(LEFT($AI43,2)="S|",IF($AG43="","",IF(INDEX($AQ$5:$AQ$302,$AH43)=1,D43,0)),IF($AI43="HDR","LFL Sales",""))))))</f>
        <v>116988.98000000001</v>
      </c>
      <c r="AF43" s="8" cm="1">
        <f t="array" aca="1" ref="AF43" ca="1">IF($AI43="","",IF(LEFT($AI43,2)="C|",IF($C43="","",SUMPRODUCT($AP$5:$AP$302*($AO$5:$AO$302=$A43)*$AQ$5:$AQ$302,$AS$5:$AS$302)),IF($AI43="CT",AF$13,IF(LEFT($AI43,3)="AM|",IF($C43="","",SUMPRODUCT($AP$5:$AP$302*($AN$5:$AN$302=$A43)*$AQ$5:$AQ$302,$AS$5:$AS$302)),IF(LEFT($AI43,2)="S|",IF($AG43="","",IF(INDEX($AQ$5:$AQ$302,$AH43)=1,P43,0)),IF($AI43="HDR","LFL Trans",""))))))</f>
        <v>709</v>
      </c>
      <c r="AG43" s="8" cm="1">
        <f t="array" ref="AG43">IF($AI43="","",IF(LEFT($AI43,2)="C|","",IF($AI43="CT","",IF(LEFT($AI43,3)="AM|","",IF(LEFT($AI43,2)="S|",IF($AH43="","",IF(INDEX($AP$5:$AP$302,$AH43)=1,1,"")),IF($AI43="HDR","Show",""))))))</f>
        <v>1</v>
      </c>
      <c r="AH43" s="8">
        <f t="shared" si="42"/>
        <v>76</v>
      </c>
      <c r="AI43" s="8" t="str">
        <v>S|ALSHATEA</v>
      </c>
      <c r="AN43" s="8" t="str" cm="1">
        <f t="array" ref="AN43">IF($AW43="","",_xlfn.LET(_xlpm.sa,IFERROR(TRIM(INDEX('Sales and count'!$D$4:$D$300,$BF43)&amp;""),""),_xlpm.ta,IFERROR(TRIM(INDEX('TY Sales Target'!$F$5:$F$300,$BG43)&amp;""),""),IF(AND(_xlpm.sa&lt;&gt;"",LEFT(_xlpm.sa,1)&lt;&gt;"#",_xlpm.sa&lt;&gt;"0"),_xlpm.sa,IF(AND(_xlpm.ta&lt;&gt;"",LEFT(_xlpm.ta,1)&lt;&gt;"#",_xlpm.ta&lt;&gt;"0"),_xlpm.ta,IF(ISNUMBER($BG43),"Unassigned","")))))</f>
        <v>Maram Zamzami</v>
      </c>
      <c r="AO43" s="8" t="str" cm="1">
        <f t="array" ref="AO43">IF($AW43="","",_xlfn.LET(_xlpm.sa,IFERROR(TRIM(INDEX('Sales and count'!$C$4:$C$300,$BF43)&amp;""),""),_xlpm.ta,IFERROR(TRIM(INDEX('TY Sales Target'!$D$5:$D$300,$BG43)&amp;""),""),IF(AND(_xlpm.sa&lt;&gt;"",LEFT(_xlpm.sa,1)&lt;&gt;"#",_xlpm.sa&lt;&gt;"0"),_xlpm.sa,IF(AND(_xlpm.ta&lt;&gt;"",LEFT(_xlpm.ta,1)&lt;&gt;"#",_xlpm.ta&lt;&gt;"0"),_xlpm.ta,""))))</f>
        <v>Makkah</v>
      </c>
      <c r="AP43" s="8">
        <f t="shared" si="2"/>
        <v>0</v>
      </c>
      <c r="AQ43" s="8">
        <f t="shared" si="0"/>
        <v>0</v>
      </c>
      <c r="AR43" s="8" cm="1">
        <f t="array" ref="AR43">IF($BF43="",0,_xlfn.LET(_xlpm.d,IFERROR(--'Sales and count'!$G$2:$CC$2,0),SUMPRODUCT(('Sales and count'!$G$3:$CC$3="Total")*(_xlpm.d&gt;=$U$4)*(_xlpm.d&lt;=$U$5),INDEX('Sales and count'!$G$4:$CC$300,$BF43,0))))</f>
        <v>368227.86000000004</v>
      </c>
      <c r="AS43" s="8" cm="1">
        <f t="array" aca="1" ref="AS43" ca="1">IF($BF43="",0,_xlfn.LET(_xlpm.d,IFERROR(--'Sales and count'!$F$2:$CB$2,0),SUMPRODUCT(('Sales and count'!$G$3:$CC$3="Transactions")*(_xlpm.d&gt;=$U$4)*(_xlpm.d&lt;=$U$5),INDEX('Sales and count'!$G$4:$CC$300,$BF43,0))))</f>
        <v>1852</v>
      </c>
      <c r="AT43" s="8" cm="1">
        <f t="array" ref="AT43">IF($AW43="",0,SUMPRODUCT((TRIM('LY Sales '!$B$5:$B$200)=$AW43)*('LY Sales '!$C$2:$AG$2&gt;=EDATE($U$4,-12))*('LY Sales '!$C$2:$AG$2&lt;=EDATE($U$5,-12)),'LY Sales '!$C$5:$AG$200))</f>
        <v>0</v>
      </c>
      <c r="AU43" s="8" cm="1">
        <f t="array" ref="AU43">IF($AW43="",0,SUMPRODUCT((TRIM('LY Transaction'!$B$5:$B$200)=$AW43)*('LY Transaction'!$C$2:$AG$2&gt;=EDATE($U$4,-12))*('LY Transaction'!$C$2:$AG$2&lt;=EDATE($U$5,-12)),'LY Transaction'!$C$5:$AG$200))</f>
        <v>0</v>
      </c>
      <c r="AV43" s="8" cm="1">
        <f t="array" ref="AV43">IF(NOT(ISNUMBER($BG43)),0,SUMPRODUCT(('TY Sales Target'!$K$2:$AO$2&gt;=$U$4)*('TY Sales Target'!$K$2:$AO$2&lt;=$U$5),INDEX('TY Sales Target'!$K$5:$AO$300,$BG43,0)))</f>
        <v>498013.72753946012</v>
      </c>
      <c r="AW43" s="8" t="str" cm="1">
        <f t="array" ref="AW43">IFERROR(INDEX(_xlfn.ANCHORARRAY($BR$5),ROWS($AW$5:AW43)),"")</f>
        <v>HAMAKHLTON</v>
      </c>
      <c r="BB43" cm="1">
        <f t="array" ref="BB43">IF($AW43="",0,SUMPRODUCT((TRIM(Footfall!$B$5:$B$301)=$AW43)*(Footfall!$C$1:$BZ$1&gt;=$U$4)*(Footfall!$C$2:$BZ$2&lt;=$U$5)*(Footfall!$C$1:$BZ$1&lt;&gt;""),Footfall!$C$5:$BZ$301))</f>
        <v>0</v>
      </c>
      <c r="BC43" cm="1">
        <f t="array" ref="BC43">IF(OR($BB43&lt;=0,$BD$1="",$BF43=""),0,_xlfn.LET(_xlpm.d,IFERROR(--'Sales and count'!$F$2:$CB$2,0),SUMPRODUCT(('Sales and count'!$G$3:$CC$3="Transactions")*(_xlpm.d&gt;=$BD$1)*(_xlpm.d&lt;=$BD$2),INDEX('Sales and count'!$G$4:$CC$300,$BF43,0))))</f>
        <v>0</v>
      </c>
      <c r="BF43" cm="1">
        <f t="array" ref="BF43">IF($AW43="","",IFERROR(MATCH($AW43,TRIM('Sales and count'!$A$4:$A$300&amp;""),0),""))</f>
        <v>39</v>
      </c>
      <c r="BG43" cm="1">
        <f t="array" ref="BG43">IF($AW43="","",IFERROR(MATCH(IFERROR(_xlfn.XLOOKUP($AW43,$BT$5:$BT$22,$BU$5:$BU$22),$AW43),TRIM('TY Sales Target'!$B$5:$B$300&amp;""),0),""))</f>
        <v>5</v>
      </c>
      <c r="BH43" t="str" cm="1">
        <f t="array" ref="BH43">IF(ISNUMBER($BG43),_xlfn.LET(_xlpm.p,TRIM(INDEX('TY Sales Target'!$I$5:$I$300,$BG43)&amp;""),IF(_xlpm.p="","Not set",_xlpm.p)),"Not set")</f>
        <v>Car</v>
      </c>
      <c r="BI43" cm="1">
        <f t="array" ref="BI43">IF($BF43="",0,_xlfn.LET(_xlpm.d,IFERROR(--'Sales and count'!$G$2:$CC$2,0),SUMPRODUCT(('Sales and count'!$G$3:$CC$3="Total")*(_xlpm.d&gt;=$BZ$5)*(_xlpm.d&lt;=$BZ$6),INDEX('Sales and count'!$G$4:$CC$300,$BF43,0))))</f>
        <v>368227.86000000004</v>
      </c>
      <c r="BJ43" cm="1">
        <f t="array" ref="BJ43">IF($AW43="",0,SUMPRODUCT((TRIM('LY Sales '!$B$5:$B$200)=$AW43)*('LY Sales '!$C$2:$AG$2&gt;=EDATE($BZ$5,-12))*('LY Sales '!$C$2:$AG$2&lt;=EDATE($BZ$6,-12)),'LY Sales '!$C$5:$AG$200))</f>
        <v>0</v>
      </c>
      <c r="BK43" cm="1">
        <f t="array" ref="BK43">IF($AW43="",0,SUMPRODUCT((TRIM('LY Sales '!$B$5:$B$200)=$AW43)*('LY Sales '!$C$2:$AG$2&gt;=EDATE($BZ$5,-12))*('LY Sales '!$C$2:$AG$2&lt;=EDATE($BZ$7,-12)),'LY Sales '!$C$5:$AG$200))</f>
        <v>0</v>
      </c>
      <c r="BL43" cm="1">
        <f t="array" ref="BL43">IF($AW43="",0,SUMPRODUCT((TRIM('LY Sales '!$B$5:$B$200)=$AW43)*('LY Sales '!$C$2:$AG$2&gt;=EDATE($BZ$5,-12))*('LY Sales '!$C$2:$AG$2&lt;=EDATE($BZ$6,-12))*('LY Sales '!$C$5:$AG$200&gt;0)))</f>
        <v>0</v>
      </c>
      <c r="BM43" cm="1">
        <f t="array" ref="BM43">IF(NOT(ISNUMBER($BG43)),0,SUMPRODUCT(('TY Sales Target'!$K$2:$AO$2&gt;=$BZ$5)*('TY Sales Target'!$K$2:$AO$2&lt;=$BZ$6),INDEX('TY Sales Target'!$K$5:$AO$300,$BG43,0)))</f>
        <v>498013.72753946012</v>
      </c>
      <c r="BN43" cm="1">
        <f t="array" ref="BN43">IF(NOT(ISNUMBER($BG43)),0,SUMPRODUCT(('TY Sales Target'!$K$2:$AO$2&gt;=$BZ$5)*('TY Sales Target'!$K$2:$AO$2&lt;=$BZ$7),INDEX('TY Sales Target'!$K$5:$AO$300,$BG43,0)))</f>
        <v>650000.00000000012</v>
      </c>
      <c r="BO43" cm="1">
        <f t="array" ref="BO43">IF($AW43="",0,IFERROR(_xlfn.SWITCH($BP43,"LY trend",$BI43*$BK43/$BJ43,"Target curve",$BI43*$BN43/$BM43,"Run rate",$BI43/$BZ$8*$BZ$9,0),0))</f>
        <v>480605.44471845974</v>
      </c>
      <c r="BP43" t="str">
        <f t="shared" si="1"/>
        <v>Target curve</v>
      </c>
      <c r="BR43" t="str">
        <v>HAMAKHLTON</v>
      </c>
      <c r="CB43" cm="1">
        <f t="array" ref="CB43">IF($AW43="",0,_xlfn.LET(_xlpm.k,IFERROR(_xlfn.XLOOKUP($AW43,$CD$6:$CD$21,$CE$6:$CE$21),$AW43),SUMPRODUCT((TRIM('Makeup '!$A$2:$A$300&amp;"")=_xlpm.k)*1,IFERROR('Makeup '!$F$2:$F$300*1,0))))</f>
        <v>28786.27</v>
      </c>
      <c r="CF43" t="str" cm="1">
        <f t="array" ref="CF43">IF($AW43="","",_xlfn.LET(_xlpm.c,IFERROR(TRIM(INDEX('Sales and count'!$B$4:$B$300,$BF43)&amp;""),""),IF(OR(_xlpm.c="",_xlpm.c="0",LEFT(_xlpm.c,1)="#"),"Not set",_xlpm.c)))</f>
        <v>KSA</v>
      </c>
      <c r="CH43" cm="1">
        <f t="array" ref="CH43">IF($AW43="",0,_xlfn.LET(_xlpm.k,IFERROR(_xlfn.XLOOKUP($AW43,$CD$6:$CD$21,$CE$6:$CE$21),$AW43),--(SUMPRODUCT((TRIM('Makeup '!$A$2:$A$300&amp;"")=_xlpm.k)*ISNUMBER('Makeup '!$F$2:$F$300))&gt;0)))</f>
        <v>1</v>
      </c>
      <c r="CI43">
        <f t="shared" si="4"/>
        <v>368227.86000000004</v>
      </c>
      <c r="CJ43" cm="1">
        <f t="array" ref="CJ43">IF($AW43="",0,--(SUMPRODUCT(--(TRIM(Footfall!$B$5:$B$301)=$AW43))&gt;0))</f>
        <v>0</v>
      </c>
      <c r="CK43" s="8" cm="1">
        <f t="array" ref="CK43">IF($AW43="",0,_xlfn.LET(_xlpm.r,IFERROR(MATCH(IFERROR(_xlfn.XLOOKUP($AW43,$BT$5:$BT$22,$BU$5:$BU$22),$AW43),TRIM('TY Beauty Target'!$B$5:$B$300&amp;""),0),""),IF(ISNUMBER(_xlpm.r),SUMPRODUCT(('TY Beauty Target'!$L$2:$AP$2&gt;=$U$4)*('TY Beauty Target'!$L$2:$AP$2&lt;=$U$5),INDEX('TY Beauty Target'!$L$5:$AP$300,_xlpm.r,0)),0)))</f>
        <v>56361.920189613782</v>
      </c>
    </row>
    <row r="44" spans="1:89" ht="15" customHeight="1" x14ac:dyDescent="0.25">
      <c r="A44" s="38" t="str">
        <f t="shared" si="30"/>
        <v>HAVILLAGE</v>
      </c>
      <c r="B44" s="43" t="str" cm="1">
        <f t="array" ref="B44">IF($AI44="","",IF(LEFT($AI44,2)="C|",IF($C44="","",_xlfn.TEXTJOIN(", ",TRUE,_xlfn.UNIQUE(_xlfn._xlws.FILTER($AN$5:$AN$302,($AP$5:$AP$302=1)*($AO$5:$AO$302=$A44))))),IF($AI44="CT",B$13,IF(LEFT($AI44,3)="AM|",IF($C44="","",ROWS(_xlfn.UNIQUE(_xlfn._xlws.FILTER($AO$5:$AO$302,($AP$5:$AP$302=1)*($AN$5:$AN$302=$A44))))),IF(LEFT($AI44,2)="S|",IF($AG44="","",INDEX($AO$5:$AO$302,$AH44)),IF($AI44="HDR","City",""))))))</f>
        <v>Jeddah</v>
      </c>
      <c r="C44" s="39" t="str" cm="1">
        <f t="array" ref="C44">IF($AI44="","",IF(LEFT($AI44,2)="C|",_xlfn.LET(_xlpm.n,SUMPRODUCT($AP$5:$AP$302*($AO$5:$AO$302=$A44)),IF(_xlpm.n=0,"",_xlpm.n)),IF($AI44="CT",C$13,IF(LEFT($AI44,3)="AM|",_xlfn.LET(_xlpm.n,SUMPRODUCT($AP$5:$AP$302*($AN$5:$AN$302=$A44)),IF(_xlpm.n=0,"",_xlpm.n)),IF(LEFT($AI44,2)="S|","",IF($AI44="HDR","# Stores",""))))))</f>
        <v/>
      </c>
      <c r="D44" s="40" cm="1">
        <f t="array" ref="D44">IF($AI44="","",IF(LEFT($AI44,2)="C|",IF($C44="","",SUMPRODUCT($AP$5:$AP$302*($AO$5:$AO$302=$A44),$AR$5:$AR$302)),IF($AI44="CT",D$13,IF(LEFT($AI44,3)="AM|",IF($C44="","",SUMPRODUCT($AP$5:$AP$302*($AN$5:$AN$302=$A44),$AR$5:$AR$302)),IF(LEFT($AI44,2)="S|",IF($AG44="","",INDEX($AR$5:$AR$302,$AH44)),IF($AI44="HDR","Sales TY",""))))))</f>
        <v>108959.47999999997</v>
      </c>
      <c r="E44" s="40" cm="1">
        <f t="array" ref="E44">IF($AI44="","",IF(LEFT($AI44,2)="C|",IF($C44="","",SUMPRODUCT($AP$5:$AP$302*($AO$5:$AO$302=$A44),$AT$5:$AT$302)),IF($AI44="CT",E$13,IF(LEFT($AI44,3)="AM|",IF($C44="","",SUMPRODUCT($AP$5:$AP$302*($AN$5:$AN$302=$A44),$AT$5:$AT$302)),IF(LEFT($AI44,2)="S|",IF($AG44="","",INDEX($AT$5:$AT$302,$AH44)),IF($AI44="HDR","Sales LY",""))))))</f>
        <v>0</v>
      </c>
      <c r="F44" s="41" t="str">
        <f t="shared" si="31"/>
        <v/>
      </c>
      <c r="G44" s="41" t="str">
        <f t="shared" si="32"/>
        <v/>
      </c>
      <c r="H44" s="40" cm="1">
        <f t="array" ref="H44">IF($AI44="","",IF(LEFT($AI44,2)="C|",IF($C44="","",SUMPRODUCT($AP$5:$AP$302*($AO$5:$AO$302=$A44),$AV$5:$AV$302)),IF($AI44="CT",H$13,IF(LEFT($AI44,3)="AM|",IF($C44="","",SUMPRODUCT($AP$5:$AP$302*($AN$5:$AN$302=$A44),$AV$5:$AV$302)),IF(LEFT($AI44,2)="S|",IF($AG44="","",INDEX($AV$5:$AV$302,$AH44)),IF($AI44="HDR","Target",""))))))</f>
        <v>157065.86791629126</v>
      </c>
      <c r="I44" s="41">
        <f t="shared" si="33"/>
        <v>0.69371838353874726</v>
      </c>
      <c r="J44" s="40">
        <f t="shared" si="34"/>
        <v>-48106.387916291293</v>
      </c>
      <c r="K44" s="41">
        <f t="shared" si="35"/>
        <v>6.1736940857881471E-2</v>
      </c>
      <c r="L44" s="40" cm="1">
        <f t="array" ref="L44">IF($AI44="","",IF(LEFT($AI44,2)="C|",IF($C44="","",SUMPRODUCT($AP$5:$AP$302*($AO$5:$AO$302=$A44),$BN$5:$BN$302)),IF($AI44="CT",L$13,IF(LEFT($AI44,3)="AM|",IF($C44="","",SUMPRODUCT($AP$5:$AP$302*($AN$5:$AN$302=$A44),$BN$5:$BN$302)),IF(LEFT($AI44,2)="S|",IF($AG44="","",INDEX($BN$5:$BN$302,$AH44)),IF($AI44="HDR","Month Target",""))))))</f>
        <v>205000</v>
      </c>
      <c r="M44" s="40" cm="1">
        <f t="array" ref="M44">IF($AI44="","",IF(LEFT($AI44,2)="C|",IF($C44="","",SUMPRODUCT($AP$5:$AP$302*($AO$5:$AO$302=$A44),$BO$5:$BO$302)),IF($AI44="CT",M$13,IF(LEFT($AI44,3)="AM|",IF($C44="","",SUMPRODUCT($AP$5:$AP$302*($AN$5:$AN$302=$A44),$BO$5:$BO$302)),IF(LEFT($AI44,2)="S|",IF($AG44="","",INDEX($BO$5:$BO$302,$AH44)),IF($AI44="HDR","Projected Close",""))))))</f>
        <v>142212.26862544319</v>
      </c>
      <c r="N44" s="41">
        <f t="shared" si="43"/>
        <v>0.69371838353874726</v>
      </c>
      <c r="O44" s="41" t="str" cm="1">
        <f t="array" ref="O44">IF($AI44="HDR","Proj. vs LY",IF(OR($AI44="",M44=""),"",_xlfn.LET(_xlpm.ly,IF(LEFT($AI44,2)="C|",SUMPRODUCT($AP$5:$AP$302*($AO$5:$AO$302=$A44),$BK$5:$BK$302),IF($AI44="CT",SUMPRODUCT($AP$5:$AP$302,$BK$5:$BK$302),IF(LEFT($AI44,3)="AM|",SUMPRODUCT($AP$5:$AP$302*($AN$5:$AN$302=$A44),$BK$5:$BK$302),IF(LEFT($AI44,2)="S|",INDEX($BK$5:$BK$302,$AH44),0)))),IFERROR(M44/_xlpm.ly-1,""))))</f>
        <v/>
      </c>
      <c r="P44" s="40" cm="1">
        <f t="array" aca="1" ref="P44" ca="1">IF($AI44="","",IF(LEFT($AI44,2)="C|",IF($C44="","",SUMPRODUCT($AP$5:$AP$302*($AO$5:$AO$302=$A44),$AS$5:$AS$302)),IF($AI44="CT",P$13,IF(LEFT($AI44,3)="AM|",IF($C44="","",SUMPRODUCT($AP$5:$AP$302*($AN$5:$AN$302=$A44),$AS$5:$AS$302)),IF(LEFT($AI44,2)="S|",IF($AG44="","",INDEX($AS$5:$AS$302,$AH44)),IF($AI44="HDR","Trans TY",""))))))</f>
        <v>918</v>
      </c>
      <c r="Q44" s="40" cm="1">
        <f t="array" ref="Q44">IF($AI44="","",IF(LEFT($AI44,2)="C|",IF($C44="","",SUMPRODUCT($AP$5:$AP$302*($AO$5:$AO$302=$A44),$AU$5:$AU$302)),IF($AI44="CT",Q$13,IF(LEFT($AI44,3)="AM|",IF($C44="","",SUMPRODUCT($AP$5:$AP$302*($AN$5:$AN$302=$A44),$AU$5:$AU$302)),IF(LEFT($AI44,2)="S|",IF($AG44="","",INDEX($AU$5:$AU$302,$AH44)),IF($AI44="HDR","Trans LY",""))))))</f>
        <v>0</v>
      </c>
      <c r="R44" s="41" t="str">
        <f t="shared" si="36"/>
        <v/>
      </c>
      <c r="S44" s="41" t="str">
        <f t="shared" ca="1" si="37"/>
        <v/>
      </c>
      <c r="T44" s="42">
        <f t="shared" ca="1" si="38"/>
        <v>118.69224400871457</v>
      </c>
      <c r="U44" s="42" t="str">
        <f t="shared" si="39"/>
        <v/>
      </c>
      <c r="V44" s="41" t="str">
        <f t="shared" si="40"/>
        <v/>
      </c>
      <c r="W44" s="40" t="str" cm="1">
        <f t="array" ref="W44">IF($AI44="","",IF(LEFT($AI44,2)="C|",_xlfn.LET(_xlpm.n,SUMPRODUCT($AP$5:$AP$302*($AO$5:$AO$302=$A44),$BB$5:$BB$302),IF(_xlpm.n=0,"",_xlpm.n)),IF($AI44="CT",W$13,IF(LEFT($AI44,3)="AM|",_xlfn.LET(_xlpm.n,SUMPRODUCT($AP$5:$AP$302*($AN$5:$AN$302=$A44),$BB$5:$BB$302),IF(_xlpm.n=0,"",_xlpm.n)),IF(LEFT($AI44,2)="S|",IF($AG44="","",_xlfn.LET(_xlpm.n,INDEX($BB$5:$BB$302,$AH44),IF(_xlpm.n=0,"",_xlpm.n))),IF($AI44="HDR","Footfall",""))))))</f>
        <v/>
      </c>
      <c r="X44" s="40" t="str" cm="1">
        <f t="array" ref="X44">IF($AI44="","",IF($AI44="HDR","Trans (FF stores)",IF(W44="","",IF(LEFT($AI44,2)="C|",SUMPRODUCT($AP$5:$AP$302*($AO$5:$AO$302=$A44),$BC$5:$BC$302),IF($AI44="CT",X$13,IF(LEFT($AI44,3)="AM|",SUMPRODUCT($AP$5:$AP$302*($AN$5:$AN$302=$A44),$BC$5:$BC$302),IF(LEFT($AI44,2)="S|",INDEX($BC$5:$BC$302,$AH44),"")))))))</f>
        <v/>
      </c>
      <c r="Y44" s="41" t="str">
        <f t="shared" si="44"/>
        <v/>
      </c>
      <c r="Z44" s="40" cm="1">
        <f t="array" ref="Z44">IF($AI44="","",IF(LEFT($AI44,2)="C|",IF($C44="","",SUMPRODUCT($AP$5:$AP$302*($AO$5:$AO$302=$A44),$CB$5:$CB$302)),IF($AI44="CT",Z$13,IF(LEFT($AI44,3)="AM|",IF($C44="","",SUMPRODUCT($AP$5:$AP$302*($AN$5:$AN$302=$A44),$CB$5:$CB$302)),IF(LEFT($AI44,2)="S|",IF($AG44="","",INDEX($CB$5:$CB$302,$AH44)),IF($AI44="HDR","Makeup Sales",""))))))</f>
        <v>14810.28</v>
      </c>
      <c r="AA44" s="41">
        <f t="shared" si="41"/>
        <v>0.13592465749652996</v>
      </c>
      <c r="AB44" s="40" cm="1">
        <f t="array" ref="AB44">IF($AI44="","",IF(LEFT($AI44,2)="C|",IF($C44="","",SUMPRODUCT($AP$5:$AP$302*($AO$5:$AO$302=$A44),$CK$5:$CK$302)),IF($AI44="CT",AB$13,IF(LEFT($AI44,3)="AM|",IF($C44="","",SUMPRODUCT($AP$5:$AP$302*($AN$5:$AN$302=$A44),$CK$5:$CK$302)),IF(LEFT($AI44,2)="S|",IF($AG44="","",INDEX($CK$5:$CK$302,$AH44)),IF($AI44="HDR","Makeup Target",""))))))</f>
        <v>20027.652675468569</v>
      </c>
      <c r="AC44" s="41">
        <f t="shared" si="45"/>
        <v>0.7394915540022714</v>
      </c>
      <c r="AD44" s="40" cm="1">
        <f t="array" ref="AD44">IF($AI44="","",IF(LEFT($AI44,2)="C|",IF($C44="","",SUMPRODUCT($AP$5:$AP$302*($AO$5:$AO$302=$A44),$CI$5:$CI$302)),IF($AI44="CT",AD$13,IF(LEFT($AI44,3)="AM|",IF($C44="","",SUMPRODUCT($AP$5:$AP$302*($AN$5:$AN$302=$A44),$CI$5:$CI$302)),IF(LEFT($AI44,2)="S|",IF($AG44="","",INDEX($CI$5:$CI$302,$AH44)),IF($AI44="HDR","Cosmetic Sales",""))))))</f>
        <v>108959.47999999997</v>
      </c>
      <c r="AE44" s="8" cm="1">
        <f t="array" ref="AE44">IF($AI44="","",IF(LEFT($AI44,2)="C|",IF($C44="","",SUMPRODUCT($AP$5:$AP$302*($AO$5:$AO$302=$A44)*$AQ$5:$AQ$302,$AR$5:$AR$302)),IF($AI44="CT",AE$13,IF(LEFT($AI44,3)="AM|",IF($C44="","",SUMPRODUCT($AP$5:$AP$302*($AN$5:$AN$302=$A44)*$AQ$5:$AQ$302,$AR$5:$AR$302)),IF(LEFT($AI44,2)="S|",IF($AG44="","",IF(INDEX($AQ$5:$AQ$302,$AH44)=1,D44,0)),IF($AI44="HDR","LFL Sales",""))))))</f>
        <v>0</v>
      </c>
      <c r="AF44" s="8" cm="1">
        <f t="array" ref="AF44">IF($AI44="","",IF(LEFT($AI44,2)="C|",IF($C44="","",SUMPRODUCT($AP$5:$AP$302*($AO$5:$AO$302=$A44)*$AQ$5:$AQ$302,$AS$5:$AS$302)),IF($AI44="CT",AF$13,IF(LEFT($AI44,3)="AM|",IF($C44="","",SUMPRODUCT($AP$5:$AP$302*($AN$5:$AN$302=$A44)*$AQ$5:$AQ$302,$AS$5:$AS$302)),IF(LEFT($AI44,2)="S|",IF($AG44="","",IF(INDEX($AQ$5:$AQ$302,$AH44)=1,P44,0)),IF($AI44="HDR","LFL Trans",""))))))</f>
        <v>0</v>
      </c>
      <c r="AG44" s="8" cm="1">
        <f t="array" ref="AG44">IF($AI44="","",IF(LEFT($AI44,2)="C|","",IF($AI44="CT","",IF(LEFT($AI44,3)="AM|","",IF(LEFT($AI44,2)="S|",IF($AH44="","",IF(INDEX($AP$5:$AP$302,$AH44)=1,1,"")),IF($AI44="HDR","Show",""))))))</f>
        <v>1</v>
      </c>
      <c r="AH44" s="8">
        <f t="shared" si="42"/>
        <v>61</v>
      </c>
      <c r="AI44" s="8" t="str">
        <v>S|HAVILLAGE</v>
      </c>
      <c r="AN44" s="8" t="str" cm="1">
        <f t="array" ref="AN44">IF($AW44="","",_xlfn.LET(_xlpm.sa,IFERROR(TRIM(INDEX('Sales and count'!$D$4:$D$300,$BF44)&amp;""),""),_xlpm.ta,IFERROR(TRIM(INDEX('TY Sales Target'!$F$5:$F$300,$BG44)&amp;""),""),IF(AND(_xlpm.sa&lt;&gt;"",LEFT(_xlpm.sa,1)&lt;&gt;"#",_xlpm.sa&lt;&gt;"0"),_xlpm.sa,IF(AND(_xlpm.ta&lt;&gt;"",LEFT(_xlpm.ta,1)&lt;&gt;"#",_xlpm.ta&lt;&gt;"0"),_xlpm.ta,IF(ISNUMBER($BG44),"Unassigned","")))))</f>
        <v>Hamzah Al Makhadam</v>
      </c>
      <c r="AO44" s="8" t="str" cm="1">
        <f t="array" ref="AO44">IF($AW44="","",_xlfn.LET(_xlpm.sa,IFERROR(TRIM(INDEX('Sales and count'!$C$4:$C$300,$BF44)&amp;""),""),_xlpm.ta,IFERROR(TRIM(INDEX('TY Sales Target'!$D$5:$D$300,$BG44)&amp;""),""),IF(AND(_xlpm.sa&lt;&gt;"",LEFT(_xlpm.sa,1)&lt;&gt;"#",_xlpm.sa&lt;&gt;"0"),_xlpm.sa,IF(AND(_xlpm.ta&lt;&gt;"",LEFT(_xlpm.ta,1)&lt;&gt;"#",_xlpm.ta&lt;&gt;"0"),_xlpm.ta,""))))</f>
        <v>Al Hasa</v>
      </c>
      <c r="AP44" s="8">
        <f t="shared" si="2"/>
        <v>0</v>
      </c>
      <c r="AQ44" s="8">
        <f t="shared" si="0"/>
        <v>1</v>
      </c>
      <c r="AR44" s="8" cm="1">
        <f t="array" ref="AR44">IF($BF44="",0,_xlfn.LET(_xlpm.d,IFERROR(--'Sales and count'!$G$2:$CC$2,0),SUMPRODUCT(('Sales and count'!$G$3:$CC$3="Total")*(_xlpm.d&gt;=$U$4)*(_xlpm.d&lt;=$U$5),INDEX('Sales and count'!$G$4:$CC$300,$BF44,0))))</f>
        <v>169167.12</v>
      </c>
      <c r="AS44" s="8" cm="1">
        <f t="array" aca="1" ref="AS44" ca="1">IF($BF44="",0,_xlfn.LET(_xlpm.d,IFERROR(--'Sales and count'!$F$2:$CB$2,0),SUMPRODUCT(('Sales and count'!$G$3:$CC$3="Transactions")*(_xlpm.d&gt;=$U$4)*(_xlpm.d&lt;=$U$5),INDEX('Sales and count'!$G$4:$CC$300,$BF44,0))))</f>
        <v>1038</v>
      </c>
      <c r="AT44" s="8" cm="1">
        <f t="array" ref="AT44">IF($AW44="",0,SUMPRODUCT((TRIM('LY Sales '!$B$5:$B$200)=$AW44)*('LY Sales '!$C$2:$AG$2&gt;=EDATE($U$4,-12))*('LY Sales '!$C$2:$AG$2&lt;=EDATE($U$5,-12)),'LY Sales '!$C$5:$AG$200))</f>
        <v>219172.52000000002</v>
      </c>
      <c r="AU44" s="8" cm="1">
        <f t="array" ref="AU44">IF($AW44="",0,SUMPRODUCT((TRIM('LY Transaction'!$B$5:$B$200)=$AW44)*('LY Transaction'!$C$2:$AG$2&gt;=EDATE($U$4,-12))*('LY Transaction'!$C$2:$AG$2&lt;=EDATE($U$5,-12)),'LY Transaction'!$C$5:$AG$200))</f>
        <v>1372</v>
      </c>
      <c r="AV44" s="8" cm="1">
        <f t="array" ref="AV44">IF(NOT(ISNUMBER($BG44)),0,SUMPRODUCT(('TY Sales Target'!$K$2:$AO$2&gt;=$U$4)*('TY Sales Target'!$K$2:$AO$2&lt;=$U$5),INDEX('TY Sales Target'!$K$5:$AO$300,$BG44,0)))</f>
        <v>259733.3132859646</v>
      </c>
      <c r="AW44" s="8" t="str" cm="1">
        <f t="array" ref="AW44">IFERROR(INDEX(_xlfn.ANCHORARRAY($BR$5),ROWS($AW$5:AW44)),"")</f>
        <v>HASEHSA</v>
      </c>
      <c r="BB44" cm="1">
        <f t="array" ref="BB44">IF($AW44="",0,SUMPRODUCT((TRIM(Footfall!$B$5:$B$301)=$AW44)*(Footfall!$C$1:$BZ$1&gt;=$U$4)*(Footfall!$C$2:$BZ$2&lt;=$U$5)*(Footfall!$C$1:$BZ$1&lt;&gt;""),Footfall!$C$5:$BZ$301))</f>
        <v>7292</v>
      </c>
      <c r="BC44" cm="1">
        <f t="array" aca="1" ref="BC44" ca="1">IF(OR($BB44&lt;=0,$BD$1="",$BF44=""),0,_xlfn.LET(_xlpm.d,IFERROR(--'Sales and count'!$F$2:$CB$2,0),SUMPRODUCT(('Sales and count'!$G$3:$CC$3="Transactions")*(_xlpm.d&gt;=$BD$1)*(_xlpm.d&lt;=$BD$2),INDEX('Sales and count'!$G$4:$CC$300,$BF44,0))))</f>
        <v>1038</v>
      </c>
      <c r="BF44" cm="1">
        <f t="array" ref="BF44">IF($AW44="","",IFERROR(MATCH($AW44,TRIM('Sales and count'!$A$4:$A$300&amp;""),0),""))</f>
        <v>40</v>
      </c>
      <c r="BG44" cm="1">
        <f t="array" ref="BG44">IF($AW44="","",IFERROR(MATCH(IFERROR(_xlfn.XLOOKUP($AW44,$BT$5:$BT$22,$BU$5:$BU$22),$AW44),TRIM('TY Sales Target'!$B$5:$B$300&amp;""),0),""))</f>
        <v>27</v>
      </c>
      <c r="BH44" t="str" cm="1">
        <f t="array" ref="BH44">IF(ISNUMBER($BG44),_xlfn.LET(_xlpm.p,TRIM(INDEX('TY Sales Target'!$I$5:$I$300,$BG44)&amp;""),IF(_xlpm.p="","Not set",_xlpm.p)),"Not set")</f>
        <v>Smart Phone</v>
      </c>
      <c r="BI44" cm="1">
        <f t="array" ref="BI44">IF($BF44="",0,_xlfn.LET(_xlpm.d,IFERROR(--'Sales and count'!$G$2:$CC$2,0),SUMPRODUCT(('Sales and count'!$G$3:$CC$3="Total")*(_xlpm.d&gt;=$BZ$5)*(_xlpm.d&lt;=$BZ$6),INDEX('Sales and count'!$G$4:$CC$300,$BF44,0))))</f>
        <v>169167.12</v>
      </c>
      <c r="BJ44" cm="1">
        <f t="array" ref="BJ44">IF($AW44="",0,SUMPRODUCT((TRIM('LY Sales '!$B$5:$B$200)=$AW44)*('LY Sales '!$C$2:$AG$2&gt;=EDATE($BZ$5,-12))*('LY Sales '!$C$2:$AG$2&lt;=EDATE($BZ$6,-12)),'LY Sales '!$C$5:$AG$200))</f>
        <v>219172.52000000002</v>
      </c>
      <c r="BK44" cm="1">
        <f t="array" ref="BK44">IF($AW44="",0,SUMPRODUCT((TRIM('LY Sales '!$B$5:$B$200)=$AW44)*('LY Sales '!$C$2:$AG$2&gt;=EDATE($BZ$5,-12))*('LY Sales '!$C$2:$AG$2&lt;=EDATE($BZ$7,-12)),'LY Sales '!$C$5:$AG$200))</f>
        <v>313602.65999999997</v>
      </c>
      <c r="BL44" cm="1">
        <f t="array" ref="BL44">IF($AW44="",0,SUMPRODUCT((TRIM('LY Sales '!$B$5:$B$200)=$AW44)*('LY Sales '!$C$2:$AG$2&gt;=EDATE($BZ$5,-12))*('LY Sales '!$C$2:$AG$2&lt;=EDATE($BZ$6,-12))*('LY Sales '!$C$5:$AG$200&gt;0)))</f>
        <v>26</v>
      </c>
      <c r="BM44" cm="1">
        <f t="array" ref="BM44">IF(NOT(ISNUMBER($BG44)),0,SUMPRODUCT(('TY Sales Target'!$K$2:$AO$2&gt;=$BZ$5)*('TY Sales Target'!$K$2:$AO$2&lt;=$BZ$6),INDEX('TY Sales Target'!$K$5:$AO$300,$BG44,0)))</f>
        <v>259733.3132859646</v>
      </c>
      <c r="BN44" cm="1">
        <f t="array" ref="BN44">IF(NOT(ISNUMBER($BG44)),0,SUMPRODUCT(('TY Sales Target'!$K$2:$AO$2&gt;=$BZ$5)*('TY Sales Target'!$K$2:$AO$2&lt;=$BZ$7),INDEX('TY Sales Target'!$K$5:$AO$300,$BG44,0)))</f>
        <v>339000.00000000006</v>
      </c>
      <c r="BO44" cm="1">
        <f t="array" ref="BO44">IF($AW44="",0,IFERROR(_xlfn.SWITCH($BP44,"LY trend",$BI44*$BK44/$BJ44,"Target curve",$BI44*$BN44/$BM44,"Run rate",$BI44/$BZ$8*$BZ$9,0),0))</f>
        <v>242052.5110380589</v>
      </c>
      <c r="BP44" t="str">
        <f t="shared" si="1"/>
        <v>LY trend</v>
      </c>
      <c r="BR44" t="str">
        <v>HASEHSA</v>
      </c>
      <c r="CB44" cm="1">
        <f t="array" ref="CB44">IF($AW44="",0,_xlfn.LET(_xlpm.k,IFERROR(_xlfn.XLOOKUP($AW44,$CD$6:$CD$21,$CE$6:$CE$21),$AW44),SUMPRODUCT((TRIM('Makeup '!$A$2:$A$300&amp;"")=_xlpm.k)*1,IFERROR('Makeup '!$F$2:$F$300*1,0))))</f>
        <v>13403.69</v>
      </c>
      <c r="CF44" t="str" cm="1">
        <f t="array" ref="CF44">IF($AW44="","",_xlfn.LET(_xlpm.c,IFERROR(TRIM(INDEX('Sales and count'!$B$4:$B$300,$BF44)&amp;""),""),IF(OR(_xlpm.c="",_xlpm.c="0",LEFT(_xlpm.c,1)="#"),"Not set",_xlpm.c)))</f>
        <v>KSA</v>
      </c>
      <c r="CH44" cm="1">
        <f t="array" ref="CH44">IF($AW44="",0,_xlfn.LET(_xlpm.k,IFERROR(_xlfn.XLOOKUP($AW44,$CD$6:$CD$21,$CE$6:$CE$21),$AW44),--(SUMPRODUCT((TRIM('Makeup '!$A$2:$A$300&amp;"")=_xlpm.k)*ISNUMBER('Makeup '!$F$2:$F$300))&gt;0)))</f>
        <v>1</v>
      </c>
      <c r="CI44">
        <f t="shared" si="4"/>
        <v>169167.12</v>
      </c>
      <c r="CJ44" cm="1">
        <f t="array" ref="CJ44">IF($AW44="",0,--(SUMPRODUCT(--(TRIM(Footfall!$B$5:$B$301)=$AW44))&gt;0))</f>
        <v>1</v>
      </c>
      <c r="CK44" s="8" cm="1">
        <f t="array" ref="CK44">IF($AW44="",0,_xlfn.LET(_xlpm.r,IFERROR(MATCH(IFERROR(_xlfn.XLOOKUP($AW44,$BT$5:$BT$22,$BU$5:$BU$22),$AW44),TRIM('TY Beauty Target'!$B$5:$B$300&amp;""),0),""),IF(ISNUMBER(_xlpm.r),SUMPRODUCT(('TY Beauty Target'!$L$2:$AP$2&gt;=$U$4)*('TY Beauty Target'!$L$2:$AP$2&lt;=$U$5),INDEX('TY Beauty Target'!$L$5:$AP$300,_xlpm.r,0)),0)))</f>
        <v>16458.190837647071</v>
      </c>
    </row>
    <row r="45" spans="1:89" ht="15" customHeight="1" x14ac:dyDescent="0.25">
      <c r="A45" s="38" t="str">
        <f t="shared" si="30"/>
        <v>HATAIFJRY</v>
      </c>
      <c r="B45" s="43" t="str" cm="1">
        <f t="array" ref="B45">IF($AI45="","",IF(LEFT($AI45,2)="C|",IF($C45="","",_xlfn.TEXTJOIN(", ",TRUE,_xlfn.UNIQUE(_xlfn._xlws.FILTER($AN$5:$AN$302,($AP$5:$AP$302=1)*($AO$5:$AO$302=$A45))))),IF($AI45="CT",B$13,IF(LEFT($AI45,3)="AM|",IF($C45="","",ROWS(_xlfn.UNIQUE(_xlfn._xlws.FILTER($AO$5:$AO$302,($AP$5:$AP$302=1)*($AN$5:$AN$302=$A45))))),IF(LEFT($AI45,2)="S|",IF($AG45="","",INDEX($AO$5:$AO$302,$AH45)),IF($AI45="HDR","City",""))))))</f>
        <v>Taif</v>
      </c>
      <c r="C45" s="39" t="str" cm="1">
        <f t="array" ref="C45">IF($AI45="","",IF(LEFT($AI45,2)="C|",_xlfn.LET(_xlpm.n,SUMPRODUCT($AP$5:$AP$302*($AO$5:$AO$302=$A45)),IF(_xlpm.n=0,"",_xlpm.n)),IF($AI45="CT",C$13,IF(LEFT($AI45,3)="AM|",_xlfn.LET(_xlpm.n,SUMPRODUCT($AP$5:$AP$302*($AN$5:$AN$302=$A45)),IF(_xlpm.n=0,"",_xlpm.n)),IF(LEFT($AI45,2)="S|","",IF($AI45="HDR","# Stores",""))))))</f>
        <v/>
      </c>
      <c r="D45" s="40" cm="1">
        <f t="array" ref="D45">IF($AI45="","",IF(LEFT($AI45,2)="C|",IF($C45="","",SUMPRODUCT($AP$5:$AP$302*($AO$5:$AO$302=$A45),$AR$5:$AR$302)),IF($AI45="CT",D$13,IF(LEFT($AI45,3)="AM|",IF($C45="","",SUMPRODUCT($AP$5:$AP$302*($AN$5:$AN$302=$A45),$AR$5:$AR$302)),IF(LEFT($AI45,2)="S|",IF($AG45="","",INDEX($AR$5:$AR$302,$AH45)),IF($AI45="HDR","Sales TY",""))))))</f>
        <v>96553.689999999973</v>
      </c>
      <c r="E45" s="40" cm="1">
        <f t="array" ref="E45">IF($AI45="","",IF(LEFT($AI45,2)="C|",IF($C45="","",SUMPRODUCT($AP$5:$AP$302*($AO$5:$AO$302=$A45),$AT$5:$AT$302)),IF($AI45="CT",E$13,IF(LEFT($AI45,3)="AM|",IF($C45="","",SUMPRODUCT($AP$5:$AP$302*($AN$5:$AN$302=$A45),$AT$5:$AT$302)),IF(LEFT($AI45,2)="S|",IF($AG45="","",INDEX($AT$5:$AT$302,$AH45)),IF($AI45="HDR","Sales LY",""))))))</f>
        <v>151839.33000000002</v>
      </c>
      <c r="F45" s="41">
        <f t="shared" si="31"/>
        <v>-0.3641061904053452</v>
      </c>
      <c r="G45" s="41">
        <f t="shared" si="32"/>
        <v>-0.3641061904053452</v>
      </c>
      <c r="H45" s="40" cm="1">
        <f t="array" ref="H45">IF($AI45="","",IF(LEFT($AI45,2)="C|",IF($C45="","",SUMPRODUCT($AP$5:$AP$302*($AO$5:$AO$302=$A45),$AV$5:$AV$302)),IF($AI45="CT",H$13,IF(LEFT($AI45,3)="AM|",IF($C45="","",SUMPRODUCT($AP$5:$AP$302*($AN$5:$AN$302=$A45),$AV$5:$AV$302)),IF(LEFT($AI45,2)="S|",IF($AG45="","",INDEX($AV$5:$AV$302,$AH45)),IF($AI45="HDR","Target",""))))))</f>
        <v>191160.06075691429</v>
      </c>
      <c r="I45" s="41">
        <f t="shared" si="33"/>
        <v>0.50509342598912943</v>
      </c>
      <c r="J45" s="40">
        <f t="shared" si="34"/>
        <v>-94606.370756914315</v>
      </c>
      <c r="K45" s="41">
        <f t="shared" si="35"/>
        <v>5.470776337350565E-2</v>
      </c>
      <c r="L45" s="40" cm="1">
        <f t="array" ref="L45">IF($AI45="","",IF(LEFT($AI45,2)="C|",IF($C45="","",SUMPRODUCT($AP$5:$AP$302*($AO$5:$AO$302=$A45),$BN$5:$BN$302)),IF($AI45="CT",L$13,IF(LEFT($AI45,3)="AM|",IF($C45="","",SUMPRODUCT($AP$5:$AP$302*($AN$5:$AN$302=$A45),$BN$5:$BN$302)),IF(LEFT($AI45,2)="S|",IF($AG45="","",INDEX($BN$5:$BN$302,$AH45)),IF($AI45="HDR","Month Target",""))))))</f>
        <v>249499.22586651795</v>
      </c>
      <c r="M45" s="40" cm="1">
        <f t="array" ref="M45">IF($AI45="","",IF(LEFT($AI45,2)="C|",IF($C45="","",SUMPRODUCT($AP$5:$AP$302*($AO$5:$AO$302=$A45),$BO$5:$BO$302)),IF($AI45="CT",M$13,IF(LEFT($AI45,3)="AM|",IF($C45="","",SUMPRODUCT($AP$5:$AP$302*($AN$5:$AN$302=$A45),$BO$5:$BO$302)),IF(LEFT($AI45,2)="S|",IF($AG45="","",INDEX($BO$5:$BO$302,$AH45)),IF($AI45="HDR","Projected Close",""))))))</f>
        <v>120746.53070249056</v>
      </c>
      <c r="N45" s="41">
        <f t="shared" si="43"/>
        <v>0.48395553245960748</v>
      </c>
      <c r="O45" s="41" cm="1">
        <f t="array" ref="O45">IF($AI45="HDR","Proj. vs LY",IF(OR($AI45="",M45=""),"",_xlfn.LET(_xlpm.ly,IF(LEFT($AI45,2)="C|",SUMPRODUCT($AP$5:$AP$302*($AO$5:$AO$302=$A45),$BK$5:$BK$302),IF($AI45="CT",SUMPRODUCT($AP$5:$AP$302,$BK$5:$BK$302),IF(LEFT($AI45,3)="AM|",SUMPRODUCT($AP$5:$AP$302*($AN$5:$AN$302=$A45),$BK$5:$BK$302),IF(LEFT($AI45,2)="S|",INDEX($BK$5:$BK$302,$AH45),0)))),IFERROR(M45/_xlpm.ly-1,""))))</f>
        <v>-0.36410619040534509</v>
      </c>
      <c r="P45" s="40" cm="1">
        <f t="array" aca="1" ref="P45" ca="1">IF($AI45="","",IF(LEFT($AI45,2)="C|",IF($C45="","",SUMPRODUCT($AP$5:$AP$302*($AO$5:$AO$302=$A45),$AS$5:$AS$302)),IF($AI45="CT",P$13,IF(LEFT($AI45,3)="AM|",IF($C45="","",SUMPRODUCT($AP$5:$AP$302*($AN$5:$AN$302=$A45),$AS$5:$AS$302)),IF(LEFT($AI45,2)="S|",IF($AG45="","",INDEX($AS$5:$AS$302,$AH45)),IF($AI45="HDR","Trans TY",""))))))</f>
        <v>820</v>
      </c>
      <c r="Q45" s="40" cm="1">
        <f t="array" ref="Q45">IF($AI45="","",IF(LEFT($AI45,2)="C|",IF($C45="","",SUMPRODUCT($AP$5:$AP$302*($AO$5:$AO$302=$A45),$AU$5:$AU$302)),IF($AI45="CT",Q$13,IF(LEFT($AI45,3)="AM|",IF($C45="","",SUMPRODUCT($AP$5:$AP$302*($AN$5:$AN$302=$A45),$AU$5:$AU$302)),IF(LEFT($AI45,2)="S|",IF($AG45="","",INDEX($AU$5:$AU$302,$AH45)),IF($AI45="HDR","Trans LY",""))))))</f>
        <v>1275</v>
      </c>
      <c r="R45" s="41">
        <f t="shared" ca="1" si="36"/>
        <v>-0.35686274509803917</v>
      </c>
      <c r="S45" s="41">
        <f t="shared" ca="1" si="37"/>
        <v>-0.35686274509803917</v>
      </c>
      <c r="T45" s="42">
        <f t="shared" ca="1" si="38"/>
        <v>117.74840243902436</v>
      </c>
      <c r="U45" s="42">
        <f t="shared" si="39"/>
        <v>119.08967058823531</v>
      </c>
      <c r="V45" s="41">
        <f t="shared" ca="1" si="40"/>
        <v>-1.1262674105872006E-2</v>
      </c>
      <c r="W45" s="40" cm="1">
        <f t="array" ref="W45">IF($AI45="","",IF(LEFT($AI45,2)="C|",_xlfn.LET(_xlpm.n,SUMPRODUCT($AP$5:$AP$302*($AO$5:$AO$302=$A45),$BB$5:$BB$302),IF(_xlpm.n=0,"",_xlpm.n)),IF($AI45="CT",W$13,IF(LEFT($AI45,3)="AM|",_xlfn.LET(_xlpm.n,SUMPRODUCT($AP$5:$AP$302*($AN$5:$AN$302=$A45),$BB$5:$BB$302),IF(_xlpm.n=0,"",_xlpm.n)),IF(LEFT($AI45,2)="S|",IF($AG45="","",_xlfn.LET(_xlpm.n,INDEX($BB$5:$BB$302,$AH45),IF(_xlpm.n=0,"",_xlpm.n))),IF($AI45="HDR","Footfall",""))))))</f>
        <v>5426</v>
      </c>
      <c r="X45" s="40" cm="1">
        <f t="array" aca="1" ref="X45" ca="1">IF($AI45="","",IF($AI45="HDR","Trans (FF stores)",IF(W45="","",IF(LEFT($AI45,2)="C|",SUMPRODUCT($AP$5:$AP$302*($AO$5:$AO$302=$A45),$BC$5:$BC$302),IF($AI45="CT",X$13,IF(LEFT($AI45,3)="AM|",SUMPRODUCT($AP$5:$AP$302*($AN$5:$AN$302=$A45),$BC$5:$BC$302),IF(LEFT($AI45,2)="S|",INDEX($BC$5:$BC$302,$AH45),"")))))))</f>
        <v>820</v>
      </c>
      <c r="Y45" s="41">
        <f t="shared" ca="1" si="44"/>
        <v>0.15112421673424253</v>
      </c>
      <c r="Z45" s="40" cm="1">
        <f t="array" ref="Z45">IF($AI45="","",IF(LEFT($AI45,2)="C|",IF($C45="","",SUMPRODUCT($AP$5:$AP$302*($AO$5:$AO$302=$A45),$CB$5:$CB$302)),IF($AI45="CT",Z$13,IF(LEFT($AI45,3)="AM|",IF($C45="","",SUMPRODUCT($AP$5:$AP$302*($AN$5:$AN$302=$A45),$CB$5:$CB$302)),IF(LEFT($AI45,2)="S|",IF($AG45="","",INDEX($CB$5:$CB$302,$AH45)),IF($AI45="HDR","Makeup Sales",""))))))</f>
        <v>9906.74</v>
      </c>
      <c r="AA45" s="41">
        <f t="shared" si="41"/>
        <v>0.10260343234940066</v>
      </c>
      <c r="AB45" s="40" cm="1">
        <f t="array" ref="AB45">IF($AI45="","",IF(LEFT($AI45,2)="C|",IF($C45="","",SUMPRODUCT($AP$5:$AP$302*($AO$5:$AO$302=$A45),$CK$5:$CK$302)),IF($AI45="CT",AB$13,IF(LEFT($AI45,3)="AM|",IF($C45="","",SUMPRODUCT($AP$5:$AP$302*($AN$5:$AN$302=$A45),$CK$5:$CK$302)),IF(LEFT($AI45,2)="S|",IF($AG45="","",INDEX($CK$5:$CK$302,$AH45)),IF($AI45="HDR","Makeup Target",""))))))</f>
        <v>18365.840872555447</v>
      </c>
      <c r="AC45" s="41">
        <f t="shared" si="45"/>
        <v>0.53941118562144896</v>
      </c>
      <c r="AD45" s="40" cm="1">
        <f t="array" ref="AD45">IF($AI45="","",IF(LEFT($AI45,2)="C|",IF($C45="","",SUMPRODUCT($AP$5:$AP$302*($AO$5:$AO$302=$A45),$CI$5:$CI$302)),IF($AI45="CT",AD$13,IF(LEFT($AI45,3)="AM|",IF($C45="","",SUMPRODUCT($AP$5:$AP$302*($AN$5:$AN$302=$A45),$CI$5:$CI$302)),IF(LEFT($AI45,2)="S|",IF($AG45="","",INDEX($CI$5:$CI$302,$AH45)),IF($AI45="HDR","Cosmetic Sales",""))))))</f>
        <v>96553.689999999973</v>
      </c>
      <c r="AE45" s="8" cm="1">
        <f t="array" ref="AE45">IF($AI45="","",IF(LEFT($AI45,2)="C|",IF($C45="","",SUMPRODUCT($AP$5:$AP$302*($AO$5:$AO$302=$A45)*$AQ$5:$AQ$302,$AR$5:$AR$302)),IF($AI45="CT",AE$13,IF(LEFT($AI45,3)="AM|",IF($C45="","",SUMPRODUCT($AP$5:$AP$302*($AN$5:$AN$302=$A45)*$AQ$5:$AQ$302,$AR$5:$AR$302)),IF(LEFT($AI45,2)="S|",IF($AG45="","",IF(INDEX($AQ$5:$AQ$302,$AH45)=1,D45,0)),IF($AI45="HDR","LFL Sales",""))))))</f>
        <v>96553.689999999973</v>
      </c>
      <c r="AF45" s="8" cm="1">
        <f t="array" aca="1" ref="AF45" ca="1">IF($AI45="","",IF(LEFT($AI45,2)="C|",IF($C45="","",SUMPRODUCT($AP$5:$AP$302*($AO$5:$AO$302=$A45)*$AQ$5:$AQ$302,$AS$5:$AS$302)),IF($AI45="CT",AF$13,IF(LEFT($AI45,3)="AM|",IF($C45="","",SUMPRODUCT($AP$5:$AP$302*($AN$5:$AN$302=$A45)*$AQ$5:$AQ$302,$AS$5:$AS$302)),IF(LEFT($AI45,2)="S|",IF($AG45="","",IF(INDEX($AQ$5:$AQ$302,$AH45)=1,P45,0)),IF($AI45="HDR","LFL Trans",""))))))</f>
        <v>820</v>
      </c>
      <c r="AG45" s="8" cm="1">
        <f t="array" ref="AG45">IF($AI45="","",IF(LEFT($AI45,2)="C|","",IF($AI45="CT","",IF(LEFT($AI45,3)="AM|","",IF(LEFT($AI45,2)="S|",IF($AH45="","",IF(INDEX($AP$5:$AP$302,$AH45)=1,1,"")),IF($AI45="HDR","Show",""))))))</f>
        <v>1</v>
      </c>
      <c r="AH45" s="8">
        <f t="shared" si="42"/>
        <v>103</v>
      </c>
      <c r="AI45" s="8" t="str">
        <v>S|HATAIFJRY</v>
      </c>
      <c r="AN45" s="8" t="str" cm="1">
        <f t="array" ref="AN45">IF($AW45="","",_xlfn.LET(_xlpm.sa,IFERROR(TRIM(INDEX('Sales and count'!$D$4:$D$300,$BF45)&amp;""),""),_xlpm.ta,IFERROR(TRIM(INDEX('TY Sales Target'!$F$5:$F$300,$BG45)&amp;""),""),IF(AND(_xlpm.sa&lt;&gt;"",LEFT(_xlpm.sa,1)&lt;&gt;"#",_xlpm.sa&lt;&gt;"0"),_xlpm.sa,IF(AND(_xlpm.ta&lt;&gt;"",LEFT(_xlpm.ta,1)&lt;&gt;"#",_xlpm.ta&lt;&gt;"0"),_xlpm.ta,IF(ISNUMBER($BG45),"Unassigned","")))))</f>
        <v>Saleh Bin Hoiel</v>
      </c>
      <c r="AO45" s="8" t="str" cm="1">
        <f t="array" ref="AO45">IF($AW45="","",_xlfn.LET(_xlpm.sa,IFERROR(TRIM(INDEX('Sales and count'!$C$4:$C$300,$BF45)&amp;""),""),_xlpm.ta,IFERROR(TRIM(INDEX('TY Sales Target'!$D$5:$D$300,$BG45)&amp;""),""),IF(AND(_xlpm.sa&lt;&gt;"",LEFT(_xlpm.sa,1)&lt;&gt;"#",_xlpm.sa&lt;&gt;"0"),_xlpm.sa,IF(AND(_xlpm.ta&lt;&gt;"",LEFT(_xlpm.ta,1)&lt;&gt;"#",_xlpm.ta&lt;&gt;"0"),_xlpm.ta,""))))</f>
        <v>Jeddah</v>
      </c>
      <c r="AP45" s="8">
        <f t="shared" si="2"/>
        <v>1</v>
      </c>
      <c r="AQ45" s="8">
        <f t="shared" si="0"/>
        <v>0</v>
      </c>
      <c r="AR45" s="8" cm="1">
        <f t="array" ref="AR45">IF($BF45="",0,_xlfn.LET(_xlpm.d,IFERROR(--'Sales and count'!$G$2:$CC$2,0),SUMPRODUCT(('Sales and count'!$G$3:$CC$3="Total")*(_xlpm.d&gt;=$U$4)*(_xlpm.d&lt;=$U$5),INDEX('Sales and count'!$G$4:$CC$300,$BF45,0))))</f>
        <v>81346.97</v>
      </c>
      <c r="AS45" s="8" cm="1">
        <f t="array" aca="1" ref="AS45" ca="1">IF($BF45="",0,_xlfn.LET(_xlpm.d,IFERROR(--'Sales and count'!$F$2:$CB$2,0),SUMPRODUCT(('Sales and count'!$G$3:$CC$3="Transactions")*(_xlpm.d&gt;=$U$4)*(_xlpm.d&lt;=$U$5),INDEX('Sales and count'!$G$4:$CC$300,$BF45,0))))</f>
        <v>544</v>
      </c>
      <c r="AT45" s="8" cm="1">
        <f t="array" ref="AT45">IF($AW45="",0,SUMPRODUCT((TRIM('LY Sales '!$B$5:$B$200)=$AW45)*('LY Sales '!$C$2:$AG$2&gt;=EDATE($U$4,-12))*('LY Sales '!$C$2:$AG$2&lt;=EDATE($U$5,-12)),'LY Sales '!$C$5:$AG$200))</f>
        <v>0</v>
      </c>
      <c r="AU45" s="8" cm="1">
        <f t="array" ref="AU45">IF($AW45="",0,SUMPRODUCT((TRIM('LY Transaction'!$B$5:$B$200)=$AW45)*('LY Transaction'!$C$2:$AG$2&gt;=EDATE($U$4,-12))*('LY Transaction'!$C$2:$AG$2&lt;=EDATE($U$5,-12)),'LY Transaction'!$C$5:$AG$200))</f>
        <v>0</v>
      </c>
      <c r="AV45" s="8" cm="1">
        <f t="array" ref="AV45">IF(NOT(ISNUMBER($BG45)),0,SUMPRODUCT(('TY Sales Target'!$K$2:$AO$2&gt;=$U$4)*('TY Sales Target'!$K$2:$AO$2&lt;=$U$5),INDEX('TY Sales Target'!$K$5:$AO$300,$BG45,0)))</f>
        <v>91940.995853438813</v>
      </c>
      <c r="AW45" s="8" t="str" cm="1">
        <f t="array" ref="AW45">IFERROR(INDEX(_xlfn.ANCHORARRAY($BR$5),ROWS($AW$5:AW45)),"")</f>
        <v>HAFALLSQ</v>
      </c>
      <c r="BB45" cm="1">
        <f t="array" ref="BB45">IF($AW45="",0,SUMPRODUCT((TRIM(Footfall!$B$5:$B$301)=$AW45)*(Footfall!$C$1:$BZ$1&gt;=$U$4)*(Footfall!$C$2:$BZ$2&lt;=$U$5)*(Footfall!$C$1:$BZ$1&lt;&gt;""),Footfall!$C$5:$BZ$301))</f>
        <v>0</v>
      </c>
      <c r="BC45" cm="1">
        <f t="array" ref="BC45">IF(OR($BB45&lt;=0,$BD$1="",$BF45=""),0,_xlfn.LET(_xlpm.d,IFERROR(--'Sales and count'!$F$2:$CB$2,0),SUMPRODUCT(('Sales and count'!$G$3:$CC$3="Transactions")*(_xlpm.d&gt;=$BD$1)*(_xlpm.d&lt;=$BD$2),INDEX('Sales and count'!$G$4:$CC$300,$BF45,0))))</f>
        <v>0</v>
      </c>
      <c r="BF45" cm="1">
        <f t="array" ref="BF45">IF($AW45="","",IFERROR(MATCH($AW45,TRIM('Sales and count'!$A$4:$A$300&amp;""),0),""))</f>
        <v>41</v>
      </c>
      <c r="BG45" cm="1">
        <f t="array" ref="BG45">IF($AW45="","",IFERROR(MATCH(IFERROR(_xlfn.XLOOKUP($AW45,$BT$5:$BT$22,$BU$5:$BU$22),$AW45),TRIM('TY Sales Target'!$B$5:$B$300&amp;""),0),""))</f>
        <v>103</v>
      </c>
      <c r="BH45" t="str" cm="1">
        <f t="array" ref="BH45">IF(ISNUMBER($BG45),_xlfn.LET(_xlpm.p,TRIM(INDEX('TY Sales Target'!$I$5:$I$300,$BG45)&amp;""),IF(_xlpm.p="","Not set",_xlpm.p)),"Not set")</f>
        <v>Smart Watch</v>
      </c>
      <c r="BI45" cm="1">
        <f t="array" ref="BI45">IF($BF45="",0,_xlfn.LET(_xlpm.d,IFERROR(--'Sales and count'!$G$2:$CC$2,0),SUMPRODUCT(('Sales and count'!$G$3:$CC$3="Total")*(_xlpm.d&gt;=$BZ$5)*(_xlpm.d&lt;=$BZ$6),INDEX('Sales and count'!$G$4:$CC$300,$BF45,0))))</f>
        <v>81346.97</v>
      </c>
      <c r="BJ45" cm="1">
        <f t="array" ref="BJ45">IF($AW45="",0,SUMPRODUCT((TRIM('LY Sales '!$B$5:$B$200)=$AW45)*('LY Sales '!$C$2:$AG$2&gt;=EDATE($BZ$5,-12))*('LY Sales '!$C$2:$AG$2&lt;=EDATE($BZ$6,-12)),'LY Sales '!$C$5:$AG$200))</f>
        <v>0</v>
      </c>
      <c r="BK45" cm="1">
        <f t="array" ref="BK45">IF($AW45="",0,SUMPRODUCT((TRIM('LY Sales '!$B$5:$B$200)=$AW45)*('LY Sales '!$C$2:$AG$2&gt;=EDATE($BZ$5,-12))*('LY Sales '!$C$2:$AG$2&lt;=EDATE($BZ$7,-12)),'LY Sales '!$C$5:$AG$200))</f>
        <v>0</v>
      </c>
      <c r="BL45" cm="1">
        <f t="array" ref="BL45">IF($AW45="",0,SUMPRODUCT((TRIM('LY Sales '!$B$5:$B$200)=$AW45)*('LY Sales '!$C$2:$AG$2&gt;=EDATE($BZ$5,-12))*('LY Sales '!$C$2:$AG$2&lt;=EDATE($BZ$6,-12))*('LY Sales '!$C$5:$AG$200&gt;0)))</f>
        <v>0</v>
      </c>
      <c r="BM45" cm="1">
        <f t="array" ref="BM45">IF(NOT(ISNUMBER($BG45)),0,SUMPRODUCT(('TY Sales Target'!$K$2:$AO$2&gt;=$BZ$5)*('TY Sales Target'!$K$2:$AO$2&lt;=$BZ$6),INDEX('TY Sales Target'!$K$5:$AO$300,$BG45,0)))</f>
        <v>91940.995853438813</v>
      </c>
      <c r="BN45" cm="1">
        <f t="array" ref="BN45">IF(NOT(ISNUMBER($BG45)),0,SUMPRODUCT(('TY Sales Target'!$K$2:$AO$2&gt;=$BZ$5)*('TY Sales Target'!$K$2:$AO$2&lt;=$BZ$7),INDEX('TY Sales Target'!$K$5:$AO$300,$BG45,0)))</f>
        <v>120000.00000000003</v>
      </c>
      <c r="BO45" cm="1">
        <f t="array" ref="BO45">IF($AW45="",0,IFERROR(_xlfn.SWITCH($BP45,"LY trend",$BI45*$BK45/$BJ45,"Target curve",$BI45*$BN45/$BM45,"Run rate",$BI45/$BZ$8*$BZ$9,0),0))</f>
        <v>106172.83736583426</v>
      </c>
      <c r="BP45" t="str">
        <f t="shared" si="1"/>
        <v>Target curve</v>
      </c>
      <c r="BR45" t="str">
        <v>HAFALLSQ</v>
      </c>
      <c r="CB45" cm="1">
        <f t="array" ref="CB45">IF($AW45="",0,_xlfn.LET(_xlpm.k,IFERROR(_xlfn.XLOOKUP($AW45,$CD$6:$CD$21,$CE$6:$CE$21),$AW45),SUMPRODUCT((TRIM('Makeup '!$A$2:$A$300&amp;"")=_xlpm.k)*1,IFERROR('Makeup '!$F$2:$F$300*1,0))))</f>
        <v>3689.99</v>
      </c>
      <c r="CF45" t="str" cm="1">
        <f t="array" ref="CF45">IF($AW45="","",_xlfn.LET(_xlpm.c,IFERROR(TRIM(INDEX('Sales and count'!$B$4:$B$300,$BF45)&amp;""),""),IF(OR(_xlpm.c="",_xlpm.c="0",LEFT(_xlpm.c,1)="#"),"Not set",_xlpm.c)))</f>
        <v>KSA</v>
      </c>
      <c r="CH45" cm="1">
        <f t="array" ref="CH45">IF($AW45="",0,_xlfn.LET(_xlpm.k,IFERROR(_xlfn.XLOOKUP($AW45,$CD$6:$CD$21,$CE$6:$CE$21),$AW45),--(SUMPRODUCT((TRIM('Makeup '!$A$2:$A$300&amp;"")=_xlpm.k)*ISNUMBER('Makeup '!$F$2:$F$300))&gt;0)))</f>
        <v>1</v>
      </c>
      <c r="CI45">
        <f t="shared" si="4"/>
        <v>81346.97</v>
      </c>
      <c r="CJ45" cm="1">
        <f t="array" ref="CJ45">IF($AW45="",0,--(SUMPRODUCT(--(TRIM(Footfall!$B$5:$B$301)=$AW45))&gt;0))</f>
        <v>0</v>
      </c>
      <c r="CK45" s="8" cm="1">
        <f t="array" ref="CK45">IF($AW45="",0,_xlfn.LET(_xlpm.r,IFERROR(MATCH(IFERROR(_xlfn.XLOOKUP($AW45,$BT$5:$BT$22,$BU$5:$BU$22),$AW45),TRIM('TY Beauty Target'!$B$5:$B$300&amp;""),0),""),IF(ISNUMBER(_xlpm.r),SUMPRODUCT(('TY Beauty Target'!$L$2:$AP$2&gt;=$U$4)*('TY Beauty Target'!$L$2:$AP$2&lt;=$U$5),INDEX('TY Beauty Target'!$L$5:$AP$300,_xlpm.r,0)),0)))</f>
        <v>5738.9623684271683</v>
      </c>
    </row>
    <row r="46" spans="1:89" ht="15" customHeight="1" x14ac:dyDescent="0.25">
      <c r="A46" s="38" t="str">
        <f t="shared" si="30"/>
        <v>HAFALLSQ</v>
      </c>
      <c r="B46" s="43" t="str" cm="1">
        <f t="array" ref="B46">IF($AI46="","",IF(LEFT($AI46,2)="C|",IF($C46="","",_xlfn.TEXTJOIN(", ",TRUE,_xlfn.UNIQUE(_xlfn._xlws.FILTER($AN$5:$AN$302,($AP$5:$AP$302=1)*($AO$5:$AO$302=$A46))))),IF($AI46="CT",B$13,IF(LEFT($AI46,3)="AM|",IF($C46="","",ROWS(_xlfn.UNIQUE(_xlfn._xlws.FILTER($AO$5:$AO$302,($AP$5:$AP$302=1)*($AN$5:$AN$302=$A46))))),IF(LEFT($AI46,2)="S|",IF($AG46="","",INDEX($AO$5:$AO$302,$AH46)),IF($AI46="HDR","City",""))))))</f>
        <v>Jeddah</v>
      </c>
      <c r="C46" s="39" t="str" cm="1">
        <f t="array" ref="C46">IF($AI46="","",IF(LEFT($AI46,2)="C|",_xlfn.LET(_xlpm.n,SUMPRODUCT($AP$5:$AP$302*($AO$5:$AO$302=$A46)),IF(_xlpm.n=0,"",_xlpm.n)),IF($AI46="CT",C$13,IF(LEFT($AI46,3)="AM|",_xlfn.LET(_xlpm.n,SUMPRODUCT($AP$5:$AP$302*($AN$5:$AN$302=$A46)),IF(_xlpm.n=0,"",_xlpm.n)),IF(LEFT($AI46,2)="S|","",IF($AI46="HDR","# Stores",""))))))</f>
        <v/>
      </c>
      <c r="D46" s="40" cm="1">
        <f t="array" ref="D46">IF($AI46="","",IF(LEFT($AI46,2)="C|",IF($C46="","",SUMPRODUCT($AP$5:$AP$302*($AO$5:$AO$302=$A46),$AR$5:$AR$302)),IF($AI46="CT",D$13,IF(LEFT($AI46,3)="AM|",IF($C46="","",SUMPRODUCT($AP$5:$AP$302*($AN$5:$AN$302=$A46),$AR$5:$AR$302)),IF(LEFT($AI46,2)="S|",IF($AG46="","",INDEX($AR$5:$AR$302,$AH46)),IF($AI46="HDR","Sales TY",""))))))</f>
        <v>81346.97</v>
      </c>
      <c r="E46" s="40" cm="1">
        <f t="array" ref="E46">IF($AI46="","",IF(LEFT($AI46,2)="C|",IF($C46="","",SUMPRODUCT($AP$5:$AP$302*($AO$5:$AO$302=$A46),$AT$5:$AT$302)),IF($AI46="CT",E$13,IF(LEFT($AI46,3)="AM|",IF($C46="","",SUMPRODUCT($AP$5:$AP$302*($AN$5:$AN$302=$A46),$AT$5:$AT$302)),IF(LEFT($AI46,2)="S|",IF($AG46="","",INDEX($AT$5:$AT$302,$AH46)),IF($AI46="HDR","Sales LY",""))))))</f>
        <v>0</v>
      </c>
      <c r="F46" s="41" t="str">
        <f t="shared" si="31"/>
        <v/>
      </c>
      <c r="G46" s="41" t="str">
        <f t="shared" si="32"/>
        <v/>
      </c>
      <c r="H46" s="40" cm="1">
        <f t="array" ref="H46">IF($AI46="","",IF(LEFT($AI46,2)="C|",IF($C46="","",SUMPRODUCT($AP$5:$AP$302*($AO$5:$AO$302=$A46),$AV$5:$AV$302)),IF($AI46="CT",H$13,IF(LEFT($AI46,3)="AM|",IF($C46="","",SUMPRODUCT($AP$5:$AP$302*($AN$5:$AN$302=$A46),$AV$5:$AV$302)),IF(LEFT($AI46,2)="S|",IF($AG46="","",INDEX($AV$5:$AV$302,$AH46)),IF($AI46="HDR","Target",""))))))</f>
        <v>91940.995853438813</v>
      </c>
      <c r="I46" s="41">
        <f t="shared" si="33"/>
        <v>0.88477364471528541</v>
      </c>
      <c r="J46" s="40">
        <f t="shared" si="34"/>
        <v>-10594.025853438812</v>
      </c>
      <c r="K46" s="41">
        <f t="shared" si="35"/>
        <v>4.609156611116224E-2</v>
      </c>
      <c r="L46" s="40" cm="1">
        <f t="array" ref="L46">IF($AI46="","",IF(LEFT($AI46,2)="C|",IF($C46="","",SUMPRODUCT($AP$5:$AP$302*($AO$5:$AO$302=$A46),$BN$5:$BN$302)),IF($AI46="CT",L$13,IF(LEFT($AI46,3)="AM|",IF($C46="","",SUMPRODUCT($AP$5:$AP$302*($AN$5:$AN$302=$A46),$BN$5:$BN$302)),IF(LEFT($AI46,2)="S|",IF($AG46="","",INDEX($BN$5:$BN$302,$AH46)),IF($AI46="HDR","Month Target",""))))))</f>
        <v>120000.00000000003</v>
      </c>
      <c r="M46" s="40" cm="1">
        <f t="array" ref="M46">IF($AI46="","",IF(LEFT($AI46,2)="C|",IF($C46="","",SUMPRODUCT($AP$5:$AP$302*($AO$5:$AO$302=$A46),$BO$5:$BO$302)),IF($AI46="CT",M$13,IF(LEFT($AI46,3)="AM|",IF($C46="","",SUMPRODUCT($AP$5:$AP$302*($AN$5:$AN$302=$A46),$BO$5:$BO$302)),IF(LEFT($AI46,2)="S|",IF($AG46="","",INDEX($BO$5:$BO$302,$AH46)),IF($AI46="HDR","Projected Close",""))))))</f>
        <v>106172.83736583426</v>
      </c>
      <c r="N46" s="41">
        <f t="shared" si="43"/>
        <v>0.8847736447152853</v>
      </c>
      <c r="O46" s="41" t="str" cm="1">
        <f t="array" ref="O46">IF($AI46="HDR","Proj. vs LY",IF(OR($AI46="",M46=""),"",_xlfn.LET(_xlpm.ly,IF(LEFT($AI46,2)="C|",SUMPRODUCT($AP$5:$AP$302*($AO$5:$AO$302=$A46),$BK$5:$BK$302),IF($AI46="CT",SUMPRODUCT($AP$5:$AP$302,$BK$5:$BK$302),IF(LEFT($AI46,3)="AM|",SUMPRODUCT($AP$5:$AP$302*($AN$5:$AN$302=$A46),$BK$5:$BK$302),IF(LEFT($AI46,2)="S|",INDEX($BK$5:$BK$302,$AH46),0)))),IFERROR(M46/_xlpm.ly-1,""))))</f>
        <v/>
      </c>
      <c r="P46" s="40" cm="1">
        <f t="array" aca="1" ref="P46" ca="1">IF($AI46="","",IF(LEFT($AI46,2)="C|",IF($C46="","",SUMPRODUCT($AP$5:$AP$302*($AO$5:$AO$302=$A46),$AS$5:$AS$302)),IF($AI46="CT",P$13,IF(LEFT($AI46,3)="AM|",IF($C46="","",SUMPRODUCT($AP$5:$AP$302*($AN$5:$AN$302=$A46),$AS$5:$AS$302)),IF(LEFT($AI46,2)="S|",IF($AG46="","",INDEX($AS$5:$AS$302,$AH46)),IF($AI46="HDR","Trans TY",""))))))</f>
        <v>544</v>
      </c>
      <c r="Q46" s="40" cm="1">
        <f t="array" ref="Q46">IF($AI46="","",IF(LEFT($AI46,2)="C|",IF($C46="","",SUMPRODUCT($AP$5:$AP$302*($AO$5:$AO$302=$A46),$AU$5:$AU$302)),IF($AI46="CT",Q$13,IF(LEFT($AI46,3)="AM|",IF($C46="","",SUMPRODUCT($AP$5:$AP$302*($AN$5:$AN$302=$A46),$AU$5:$AU$302)),IF(LEFT($AI46,2)="S|",IF($AG46="","",INDEX($AU$5:$AU$302,$AH46)),IF($AI46="HDR","Trans LY",""))))))</f>
        <v>0</v>
      </c>
      <c r="R46" s="41" t="str">
        <f t="shared" si="36"/>
        <v/>
      </c>
      <c r="S46" s="41" t="str">
        <f t="shared" ca="1" si="37"/>
        <v/>
      </c>
      <c r="T46" s="42">
        <f t="shared" ca="1" si="38"/>
        <v>149.53487132352942</v>
      </c>
      <c r="U46" s="42" t="str">
        <f t="shared" si="39"/>
        <v/>
      </c>
      <c r="V46" s="41" t="str">
        <f t="shared" si="40"/>
        <v/>
      </c>
      <c r="W46" s="40" t="str" cm="1">
        <f t="array" ref="W46">IF($AI46="","",IF(LEFT($AI46,2)="C|",_xlfn.LET(_xlpm.n,SUMPRODUCT($AP$5:$AP$302*($AO$5:$AO$302=$A46),$BB$5:$BB$302),IF(_xlpm.n=0,"",_xlpm.n)),IF($AI46="CT",W$13,IF(LEFT($AI46,3)="AM|",_xlfn.LET(_xlpm.n,SUMPRODUCT($AP$5:$AP$302*($AN$5:$AN$302=$A46),$BB$5:$BB$302),IF(_xlpm.n=0,"",_xlpm.n)),IF(LEFT($AI46,2)="S|",IF($AG46="","",_xlfn.LET(_xlpm.n,INDEX($BB$5:$BB$302,$AH46),IF(_xlpm.n=0,"",_xlpm.n))),IF($AI46="HDR","Footfall",""))))))</f>
        <v/>
      </c>
      <c r="X46" s="40" t="str" cm="1">
        <f t="array" ref="X46">IF($AI46="","",IF($AI46="HDR","Trans (FF stores)",IF(W46="","",IF(LEFT($AI46,2)="C|",SUMPRODUCT($AP$5:$AP$302*($AO$5:$AO$302=$A46),$BC$5:$BC$302),IF($AI46="CT",X$13,IF(LEFT($AI46,3)="AM|",SUMPRODUCT($AP$5:$AP$302*($AN$5:$AN$302=$A46),$BC$5:$BC$302),IF(LEFT($AI46,2)="S|",INDEX($BC$5:$BC$302,$AH46),"")))))))</f>
        <v/>
      </c>
      <c r="Y46" s="41" t="str">
        <f t="shared" si="44"/>
        <v/>
      </c>
      <c r="Z46" s="40" cm="1">
        <f t="array" ref="Z46">IF($AI46="","",IF(LEFT($AI46,2)="C|",IF($C46="","",SUMPRODUCT($AP$5:$AP$302*($AO$5:$AO$302=$A46),$CB$5:$CB$302)),IF($AI46="CT",Z$13,IF(LEFT($AI46,3)="AM|",IF($C46="","",SUMPRODUCT($AP$5:$AP$302*($AN$5:$AN$302=$A46),$CB$5:$CB$302)),IF(LEFT($AI46,2)="S|",IF($AG46="","",INDEX($CB$5:$CB$302,$AH46)),IF($AI46="HDR","Makeup Sales",""))))))</f>
        <v>3689.99</v>
      </c>
      <c r="AA46" s="41">
        <f t="shared" si="41"/>
        <v>4.5361124083662857E-2</v>
      </c>
      <c r="AB46" s="40" cm="1">
        <f t="array" ref="AB46">IF($AI46="","",IF(LEFT($AI46,2)="C|",IF($C46="","",SUMPRODUCT($AP$5:$AP$302*($AO$5:$AO$302=$A46),$CK$5:$CK$302)),IF($AI46="CT",AB$13,IF(LEFT($AI46,3)="AM|",IF($C46="","",SUMPRODUCT($AP$5:$AP$302*($AN$5:$AN$302=$A46),$CK$5:$CK$302)),IF(LEFT($AI46,2)="S|",IF($AG46="","",INDEX($CK$5:$CK$302,$AH46)),IF($AI46="HDR","Makeup Target",""))))))</f>
        <v>5738.9623684271683</v>
      </c>
      <c r="AC46" s="41">
        <f t="shared" si="45"/>
        <v>0.64297163199752538</v>
      </c>
      <c r="AD46" s="40" cm="1">
        <f t="array" ref="AD46">IF($AI46="","",IF(LEFT($AI46,2)="C|",IF($C46="","",SUMPRODUCT($AP$5:$AP$302*($AO$5:$AO$302=$A46),$CI$5:$CI$302)),IF($AI46="CT",AD$13,IF(LEFT($AI46,3)="AM|",IF($C46="","",SUMPRODUCT($AP$5:$AP$302*($AN$5:$AN$302=$A46),$CI$5:$CI$302)),IF(LEFT($AI46,2)="S|",IF($AG46="","",INDEX($CI$5:$CI$302,$AH46)),IF($AI46="HDR","Cosmetic Sales",""))))))</f>
        <v>81346.97</v>
      </c>
      <c r="AE46" s="8" cm="1">
        <f t="array" ref="AE46">IF($AI46="","",IF(LEFT($AI46,2)="C|",IF($C46="","",SUMPRODUCT($AP$5:$AP$302*($AO$5:$AO$302=$A46)*$AQ$5:$AQ$302,$AR$5:$AR$302)),IF($AI46="CT",AE$13,IF(LEFT($AI46,3)="AM|",IF($C46="","",SUMPRODUCT($AP$5:$AP$302*($AN$5:$AN$302=$A46)*$AQ$5:$AQ$302,$AR$5:$AR$302)),IF(LEFT($AI46,2)="S|",IF($AG46="","",IF(INDEX($AQ$5:$AQ$302,$AH46)=1,D46,0)),IF($AI46="HDR","LFL Sales",""))))))</f>
        <v>0</v>
      </c>
      <c r="AF46" s="8" cm="1">
        <f t="array" ref="AF46">IF($AI46="","",IF(LEFT($AI46,2)="C|",IF($C46="","",SUMPRODUCT($AP$5:$AP$302*($AO$5:$AO$302=$A46)*$AQ$5:$AQ$302,$AS$5:$AS$302)),IF($AI46="CT",AF$13,IF(LEFT($AI46,3)="AM|",IF($C46="","",SUMPRODUCT($AP$5:$AP$302*($AN$5:$AN$302=$A46)*$AQ$5:$AQ$302,$AS$5:$AS$302)),IF(LEFT($AI46,2)="S|",IF($AG46="","",IF(INDEX($AQ$5:$AQ$302,$AH46)=1,P46,0)),IF($AI46="HDR","LFL Trans",""))))))</f>
        <v>0</v>
      </c>
      <c r="AG46" s="8" cm="1">
        <f t="array" ref="AG46">IF($AI46="","",IF(LEFT($AI46,2)="C|","",IF($AI46="CT","",IF(LEFT($AI46,3)="AM|","",IF(LEFT($AI46,2)="S|",IF($AH46="","",IF(INDEX($AP$5:$AP$302,$AH46)=1,1,"")),IF($AI46="HDR","Show",""))))))</f>
        <v>1</v>
      </c>
      <c r="AH46" s="8">
        <f t="shared" si="42"/>
        <v>41</v>
      </c>
      <c r="AI46" s="8" t="str">
        <v>S|HAFALLSQ</v>
      </c>
      <c r="AN46" s="8" t="str" cm="1">
        <f t="array" ref="AN46">IF($AW46="","",_xlfn.LET(_xlpm.sa,IFERROR(TRIM(INDEX('Sales and count'!$D$4:$D$300,$BF46)&amp;""),""),_xlpm.ta,IFERROR(TRIM(INDEX('TY Sales Target'!$F$5:$F$300,$BG46)&amp;""),""),IF(AND(_xlpm.sa&lt;&gt;"",LEFT(_xlpm.sa,1)&lt;&gt;"#",_xlpm.sa&lt;&gt;"0"),_xlpm.sa,IF(AND(_xlpm.ta&lt;&gt;"",LEFT(_xlpm.ta,1)&lt;&gt;"#",_xlpm.ta&lt;&gt;"0"),_xlpm.ta,IF(ISNUMBER($BG46),"Unassigned","")))))</f>
        <v>Saleh Bin Hoiel</v>
      </c>
      <c r="AO46" s="8" t="str" cm="1">
        <f t="array" ref="AO46">IF($AW46="","",_xlfn.LET(_xlpm.sa,IFERROR(TRIM(INDEX('Sales and count'!$C$4:$C$300,$BF46)&amp;""),""),_xlpm.ta,IFERROR(TRIM(INDEX('TY Sales Target'!$D$5:$D$300,$BG46)&amp;""),""),IF(AND(_xlpm.sa&lt;&gt;"",LEFT(_xlpm.sa,1)&lt;&gt;"#",_xlpm.sa&lt;&gt;"0"),_xlpm.sa,IF(AND(_xlpm.ta&lt;&gt;"",LEFT(_xlpm.ta,1)&lt;&gt;"#",_xlpm.ta&lt;&gt;"0"),_xlpm.ta,""))))</f>
        <v>Jeddah</v>
      </c>
      <c r="AP46" s="8">
        <f t="shared" si="2"/>
        <v>1</v>
      </c>
      <c r="AQ46" s="8">
        <f t="shared" si="0"/>
        <v>1</v>
      </c>
      <c r="AR46" s="8" cm="1">
        <f t="array" ref="AR46">IF($BF46="",0,_xlfn.LET(_xlpm.d,IFERROR(--'Sales and count'!$G$2:$CC$2,0),SUMPRODUCT(('Sales and count'!$G$3:$CC$3="Total")*(_xlpm.d&gt;=$U$4)*(_xlpm.d&lt;=$U$5),INDEX('Sales and count'!$G$4:$CC$300,$BF46,0))))</f>
        <v>193010.85000000003</v>
      </c>
      <c r="AS46" s="8" cm="1">
        <f t="array" aca="1" ref="AS46" ca="1">IF($BF46="",0,_xlfn.LET(_xlpm.d,IFERROR(--'Sales and count'!$F$2:$CB$2,0),SUMPRODUCT(('Sales and count'!$G$3:$CC$3="Transactions")*(_xlpm.d&gt;=$U$4)*(_xlpm.d&lt;=$U$5),INDEX('Sales and count'!$G$4:$CC$300,$BF46,0))))</f>
        <v>1386</v>
      </c>
      <c r="AT46" s="8" cm="1">
        <f t="array" ref="AT46">IF($AW46="",0,SUMPRODUCT((TRIM('LY Sales '!$B$5:$B$200)=$AW46)*('LY Sales '!$C$2:$AG$2&gt;=EDATE($U$4,-12))*('LY Sales '!$C$2:$AG$2&lt;=EDATE($U$5,-12)),'LY Sales '!$C$5:$AG$200))</f>
        <v>233662.21</v>
      </c>
      <c r="AU46" s="8" cm="1">
        <f t="array" ref="AU46">IF($AW46="",0,SUMPRODUCT((TRIM('LY Transaction'!$B$5:$B$200)=$AW46)*('LY Transaction'!$C$2:$AG$2&gt;=EDATE($U$4,-12))*('LY Transaction'!$C$2:$AG$2&lt;=EDATE($U$5,-12)),'LY Transaction'!$C$5:$AG$200))</f>
        <v>1493</v>
      </c>
      <c r="AV46" s="8" cm="1">
        <f t="array" ref="AV46">IF(NOT(ISNUMBER($BG46)),0,SUMPRODUCT(('TY Sales Target'!$K$2:$AO$2&gt;=$U$4)*('TY Sales Target'!$K$2:$AO$2&lt;=$U$5),INDEX('TY Sales Target'!$K$5:$AO$300,$BG46,0)))</f>
        <v>260499.48825140987</v>
      </c>
      <c r="AW46" s="8" t="str" cm="1">
        <f t="array" ref="AW46">IFERROR(INDEX(_xlfn.ANCHORARRAY($BR$5),ROWS($AW$5:AW46)),"")</f>
        <v>JEDDARAB</v>
      </c>
      <c r="BB46" cm="1">
        <f t="array" ref="BB46">IF($AW46="",0,SUMPRODUCT((TRIM(Footfall!$B$5:$B$301)=$AW46)*(Footfall!$C$1:$BZ$1&gt;=$U$4)*(Footfall!$C$2:$BZ$2&lt;=$U$5)*(Footfall!$C$1:$BZ$1&lt;&gt;""),Footfall!$C$5:$BZ$301))</f>
        <v>8579</v>
      </c>
      <c r="BC46" cm="1">
        <f t="array" aca="1" ref="BC46" ca="1">IF(OR($BB46&lt;=0,$BD$1="",$BF46=""),0,_xlfn.LET(_xlpm.d,IFERROR(--'Sales and count'!$F$2:$CB$2,0),SUMPRODUCT(('Sales and count'!$G$3:$CC$3="Transactions")*(_xlpm.d&gt;=$BD$1)*(_xlpm.d&lt;=$BD$2),INDEX('Sales and count'!$G$4:$CC$300,$BF46,0))))</f>
        <v>1386</v>
      </c>
      <c r="BF46" cm="1">
        <f t="array" ref="BF46">IF($AW46="","",IFERROR(MATCH($AW46,TRIM('Sales and count'!$A$4:$A$300&amp;""),0),""))</f>
        <v>42</v>
      </c>
      <c r="BG46" cm="1">
        <f t="array" ref="BG46">IF($AW46="","",IFERROR(MATCH(IFERROR(_xlfn.XLOOKUP($AW46,$BT$5:$BT$22,$BU$5:$BU$22),$AW46),TRIM('TY Sales Target'!$B$5:$B$300&amp;""),0),""))</f>
        <v>25</v>
      </c>
      <c r="BH46" t="str" cm="1">
        <f t="array" ref="BH46">IF(ISNUMBER($BG46),_xlfn.LET(_xlpm.p,TRIM(INDEX('TY Sales Target'!$I$5:$I$300,$BG46)&amp;""),IF(_xlpm.p="","Not set",_xlpm.p)),"Not set")</f>
        <v>Smart Phone</v>
      </c>
      <c r="BI46" cm="1">
        <f t="array" ref="BI46">IF($BF46="",0,_xlfn.LET(_xlpm.d,IFERROR(--'Sales and count'!$G$2:$CC$2,0),SUMPRODUCT(('Sales and count'!$G$3:$CC$3="Total")*(_xlpm.d&gt;=$BZ$5)*(_xlpm.d&lt;=$BZ$6),INDEX('Sales and count'!$G$4:$CC$300,$BF46,0))))</f>
        <v>193010.85000000003</v>
      </c>
      <c r="BJ46" cm="1">
        <f t="array" ref="BJ46">IF($AW46="",0,SUMPRODUCT((TRIM('LY Sales '!$B$5:$B$200)=$AW46)*('LY Sales '!$C$2:$AG$2&gt;=EDATE($BZ$5,-12))*('LY Sales '!$C$2:$AG$2&lt;=EDATE($BZ$6,-12)),'LY Sales '!$C$5:$AG$200))</f>
        <v>233662.21</v>
      </c>
      <c r="BK46" cm="1">
        <f t="array" ref="BK46">IF($AW46="",0,SUMPRODUCT((TRIM('LY Sales '!$B$5:$B$200)=$AW46)*('LY Sales '!$C$2:$AG$2&gt;=EDATE($BZ$5,-12))*('LY Sales '!$C$2:$AG$2&lt;=EDATE($BZ$7,-12)),'LY Sales '!$C$5:$AG$200))</f>
        <v>301491.28000000003</v>
      </c>
      <c r="BL46" cm="1">
        <f t="array" ref="BL46">IF($AW46="",0,SUMPRODUCT((TRIM('LY Sales '!$B$5:$B$200)=$AW46)*('LY Sales '!$C$2:$AG$2&gt;=EDATE($BZ$5,-12))*('LY Sales '!$C$2:$AG$2&lt;=EDATE($BZ$6,-12))*('LY Sales '!$C$5:$AG$200&gt;0)))</f>
        <v>26</v>
      </c>
      <c r="BM46" cm="1">
        <f t="array" ref="BM46">IF(NOT(ISNUMBER($BG46)),0,SUMPRODUCT(('TY Sales Target'!$K$2:$AO$2&gt;=$BZ$5)*('TY Sales Target'!$K$2:$AO$2&lt;=$BZ$6),INDEX('TY Sales Target'!$K$5:$AO$300,$BG46,0)))</f>
        <v>260499.48825140987</v>
      </c>
      <c r="BN46" cm="1">
        <f t="array" ref="BN46">IF(NOT(ISNUMBER($BG46)),0,SUMPRODUCT(('TY Sales Target'!$K$2:$AO$2&gt;=$BZ$5)*('TY Sales Target'!$K$2:$AO$2&lt;=$BZ$7),INDEX('TY Sales Target'!$K$5:$AO$300,$BG46,0)))</f>
        <v>340000</v>
      </c>
      <c r="BO46" cm="1">
        <f t="array" ref="BO46">IF($AW46="",0,IFERROR(_xlfn.SWITCH($BP46,"LY trend",$BI46*$BK46/$BJ46,"Target curve",$BI46*$BN46/$BM46,"Run rate",$BI46/$BZ$8*$BZ$9,0),0))</f>
        <v>249039.36421892105</v>
      </c>
      <c r="BP46" t="str">
        <f t="shared" si="1"/>
        <v>LY trend</v>
      </c>
      <c r="BR46" t="str">
        <v>JEDDARAB</v>
      </c>
      <c r="CB46" cm="1">
        <f t="array" ref="CB46">IF($AW46="",0,_xlfn.LET(_xlpm.k,IFERROR(_xlfn.XLOOKUP($AW46,$CD$6:$CD$21,$CE$6:$CE$21),$AW46),SUMPRODUCT((TRIM('Makeup '!$A$2:$A$300&amp;"")=_xlpm.k)*1,IFERROR('Makeup '!$F$2:$F$300*1,0))))</f>
        <v>18432.52</v>
      </c>
      <c r="CF46" t="str" cm="1">
        <f t="array" ref="CF46">IF($AW46="","",_xlfn.LET(_xlpm.c,IFERROR(TRIM(INDEX('Sales and count'!$B$4:$B$300,$BF46)&amp;""),""),IF(OR(_xlpm.c="",_xlpm.c="0",LEFT(_xlpm.c,1)="#"),"Not set",_xlpm.c)))</f>
        <v>KSA</v>
      </c>
      <c r="CH46" cm="1">
        <f t="array" ref="CH46">IF($AW46="",0,_xlfn.LET(_xlpm.k,IFERROR(_xlfn.XLOOKUP($AW46,$CD$6:$CD$21,$CE$6:$CE$21),$AW46),--(SUMPRODUCT((TRIM('Makeup '!$A$2:$A$300&amp;"")=_xlpm.k)*ISNUMBER('Makeup '!$F$2:$F$300))&gt;0)))</f>
        <v>1</v>
      </c>
      <c r="CI46">
        <f t="shared" si="4"/>
        <v>193010.85000000003</v>
      </c>
      <c r="CJ46" cm="1">
        <f t="array" ref="CJ46">IF($AW46="",0,--(SUMPRODUCT(--(TRIM(Footfall!$B$5:$B$301)=$AW46))&gt;0))</f>
        <v>1</v>
      </c>
      <c r="CK46" s="8" cm="1">
        <f t="array" ref="CK46">IF($AW46="",0,_xlfn.LET(_xlpm.r,IFERROR(MATCH(IFERROR(_xlfn.XLOOKUP($AW46,$BT$5:$BT$22,$BU$5:$BU$22),$AW46),TRIM('TY Beauty Target'!$B$5:$B$300&amp;""),0),""),IF(ISNUMBER(_xlpm.r),SUMPRODUCT(('TY Beauty Target'!$L$2:$AP$2&gt;=$U$4)*('TY Beauty Target'!$L$2:$AP$2&lt;=$U$5),INDEX('TY Beauty Target'!$L$5:$AP$300,_xlpm.r,0)),0)))</f>
        <v>25448.968167323601</v>
      </c>
    </row>
    <row r="47" spans="1:89" ht="15" customHeight="1" x14ac:dyDescent="0.25">
      <c r="A47" s="38" t="str">
        <f t="shared" si="30"/>
        <v>HAMUNAIRA</v>
      </c>
      <c r="B47" s="43" t="str" cm="1">
        <f t="array" ref="B47">IF($AI47="","",IF(LEFT($AI47,2)="C|",IF($C47="","",_xlfn.TEXTJOIN(", ",TRUE,_xlfn.UNIQUE(_xlfn._xlws.FILTER($AN$5:$AN$302,($AP$5:$AP$302=1)*($AO$5:$AO$302=$A47))))),IF($AI47="CT",B$13,IF(LEFT($AI47,3)="AM|",IF($C47="","",ROWS(_xlfn.UNIQUE(_xlfn._xlws.FILTER($AO$5:$AO$302,($AP$5:$AP$302=1)*($AN$5:$AN$302=$A47))))),IF(LEFT($AI47,2)="S|",IF($AG47="","",INDEX($AO$5:$AO$302,$AH47)),IF($AI47="HDR","City",""))))))</f>
        <v>Jeddah</v>
      </c>
      <c r="C47" s="39" t="str" cm="1">
        <f t="array" ref="C47">IF($AI47="","",IF(LEFT($AI47,2)="C|",_xlfn.LET(_xlpm.n,SUMPRODUCT($AP$5:$AP$302*($AO$5:$AO$302=$A47)),IF(_xlpm.n=0,"",_xlpm.n)),IF($AI47="CT",C$13,IF(LEFT($AI47,3)="AM|",_xlfn.LET(_xlpm.n,SUMPRODUCT($AP$5:$AP$302*($AN$5:$AN$302=$A47)),IF(_xlpm.n=0,"",_xlpm.n)),IF(LEFT($AI47,2)="S|","",IF($AI47="HDR","# Stores",""))))))</f>
        <v/>
      </c>
      <c r="D47" s="40" cm="1">
        <f t="array" ref="D47">IF($AI47="","",IF(LEFT($AI47,2)="C|",IF($C47="","",SUMPRODUCT($AP$5:$AP$302*($AO$5:$AO$302=$A47),$AR$5:$AR$302)),IF($AI47="CT",D$13,IF(LEFT($AI47,3)="AM|",IF($C47="","",SUMPRODUCT($AP$5:$AP$302*($AN$5:$AN$302=$A47),$AR$5:$AR$302)),IF(LEFT($AI47,2)="S|",IF($AG47="","",INDEX($AR$5:$AR$302,$AH47)),IF($AI47="HDR","Sales TY",""))))))</f>
        <v>71456.680000000008</v>
      </c>
      <c r="E47" s="40" cm="1">
        <f t="array" ref="E47">IF($AI47="","",IF(LEFT($AI47,2)="C|",IF($C47="","",SUMPRODUCT($AP$5:$AP$302*($AO$5:$AO$302=$A47),$AT$5:$AT$302)),IF($AI47="CT",E$13,IF(LEFT($AI47,3)="AM|",IF($C47="","",SUMPRODUCT($AP$5:$AP$302*($AN$5:$AN$302=$A47),$AT$5:$AT$302)),IF(LEFT($AI47,2)="S|",IF($AG47="","",INDEX($AT$5:$AT$302,$AH47)),IF($AI47="HDR","Sales LY",""))))))</f>
        <v>0</v>
      </c>
      <c r="F47" s="41" t="str">
        <f t="shared" si="31"/>
        <v/>
      </c>
      <c r="G47" s="41" t="str">
        <f t="shared" si="32"/>
        <v/>
      </c>
      <c r="H47" s="40" cm="1">
        <f t="array" ref="H47">IF($AI47="","",IF(LEFT($AI47,2)="C|",IF($C47="","",SUMPRODUCT($AP$5:$AP$302*($AO$5:$AO$302=$A47),$AV$5:$AV$302)),IF($AI47="CT",H$13,IF(LEFT($AI47,3)="AM|",IF($C47="","",SUMPRODUCT($AP$5:$AP$302*($AN$5:$AN$302=$A47),$AV$5:$AV$302)),IF(LEFT($AI47,2)="S|",IF($AG47="","",INDEX($AV$5:$AV$302,$AH47)),IF($AI47="HDR","Target",""))))))</f>
        <v>65124.872062852468</v>
      </c>
      <c r="I47" s="41">
        <f t="shared" si="33"/>
        <v>1.0972256487665215</v>
      </c>
      <c r="J47" s="40">
        <f t="shared" si="34"/>
        <v>6331.8079371475396</v>
      </c>
      <c r="K47" s="41">
        <f t="shared" si="35"/>
        <v>4.0487682458291499E-2</v>
      </c>
      <c r="L47" s="40" cm="1">
        <f t="array" ref="L47">IF($AI47="","",IF(LEFT($AI47,2)="C|",IF($C47="","",SUMPRODUCT($AP$5:$AP$302*($AO$5:$AO$302=$A47),$BN$5:$BN$302)),IF($AI47="CT",L$13,IF(LEFT($AI47,3)="AM|",IF($C47="","",SUMPRODUCT($AP$5:$AP$302*($AN$5:$AN$302=$A47),$BN$5:$BN$302)),IF(LEFT($AI47,2)="S|",IF($AG47="","",INDEX($BN$5:$BN$302,$AH47)),IF($AI47="HDR","Month Target",""))))))</f>
        <v>85000</v>
      </c>
      <c r="M47" s="40" cm="1">
        <f t="array" ref="M47">IF($AI47="","",IF(LEFT($AI47,2)="C|",IF($C47="","",SUMPRODUCT($AP$5:$AP$302*($AO$5:$AO$302=$A47),$BO$5:$BO$302)),IF($AI47="CT",M$13,IF(LEFT($AI47,3)="AM|",IF($C47="","",SUMPRODUCT($AP$5:$AP$302*($AN$5:$AN$302=$A47),$BO$5:$BO$302)),IF(LEFT($AI47,2)="S|",IF($AG47="","",INDEX($BO$5:$BO$302,$AH47)),IF($AI47="HDR","Projected Close",""))))))</f>
        <v>93264.180145154329</v>
      </c>
      <c r="N47" s="41">
        <f t="shared" si="43"/>
        <v>1.0972256487665215</v>
      </c>
      <c r="O47" s="41" t="str" cm="1">
        <f t="array" ref="O47">IF($AI47="HDR","Proj. vs LY",IF(OR($AI47="",M47=""),"",_xlfn.LET(_xlpm.ly,IF(LEFT($AI47,2)="C|",SUMPRODUCT($AP$5:$AP$302*($AO$5:$AO$302=$A47),$BK$5:$BK$302),IF($AI47="CT",SUMPRODUCT($AP$5:$AP$302,$BK$5:$BK$302),IF(LEFT($AI47,3)="AM|",SUMPRODUCT($AP$5:$AP$302*($AN$5:$AN$302=$A47),$BK$5:$BK$302),IF(LEFT($AI47,2)="S|",INDEX($BK$5:$BK$302,$AH47),0)))),IFERROR(M47/_xlpm.ly-1,""))))</f>
        <v/>
      </c>
      <c r="P47" s="40" cm="1">
        <f t="array" aca="1" ref="P47" ca="1">IF($AI47="","",IF(LEFT($AI47,2)="C|",IF($C47="","",SUMPRODUCT($AP$5:$AP$302*($AO$5:$AO$302=$A47),$AS$5:$AS$302)),IF($AI47="CT",P$13,IF(LEFT($AI47,3)="AM|",IF($C47="","",SUMPRODUCT($AP$5:$AP$302*($AN$5:$AN$302=$A47),$AS$5:$AS$302)),IF(LEFT($AI47,2)="S|",IF($AG47="","",INDEX($AS$5:$AS$302,$AH47)),IF($AI47="HDR","Trans TY",""))))))</f>
        <v>446</v>
      </c>
      <c r="Q47" s="40" cm="1">
        <f t="array" ref="Q47">IF($AI47="","",IF(LEFT($AI47,2)="C|",IF($C47="","",SUMPRODUCT($AP$5:$AP$302*($AO$5:$AO$302=$A47),$AU$5:$AU$302)),IF($AI47="CT",Q$13,IF(LEFT($AI47,3)="AM|",IF($C47="","",SUMPRODUCT($AP$5:$AP$302*($AN$5:$AN$302=$A47),$AU$5:$AU$302)),IF(LEFT($AI47,2)="S|",IF($AG47="","",INDEX($AU$5:$AU$302,$AH47)),IF($AI47="HDR","Trans LY",""))))))</f>
        <v>0</v>
      </c>
      <c r="R47" s="41" t="str">
        <f t="shared" si="36"/>
        <v/>
      </c>
      <c r="S47" s="41" t="str">
        <f t="shared" ca="1" si="37"/>
        <v/>
      </c>
      <c r="T47" s="42">
        <f t="shared" ca="1" si="38"/>
        <v>160.21677130044844</v>
      </c>
      <c r="U47" s="42" t="str">
        <f t="shared" si="39"/>
        <v/>
      </c>
      <c r="V47" s="41" t="str">
        <f t="shared" si="40"/>
        <v/>
      </c>
      <c r="W47" s="40" t="str" cm="1">
        <f t="array" ref="W47">IF($AI47="","",IF(LEFT($AI47,2)="C|",_xlfn.LET(_xlpm.n,SUMPRODUCT($AP$5:$AP$302*($AO$5:$AO$302=$A47),$BB$5:$BB$302),IF(_xlpm.n=0,"",_xlpm.n)),IF($AI47="CT",W$13,IF(LEFT($AI47,3)="AM|",_xlfn.LET(_xlpm.n,SUMPRODUCT($AP$5:$AP$302*($AN$5:$AN$302=$A47),$BB$5:$BB$302),IF(_xlpm.n=0,"",_xlpm.n)),IF(LEFT($AI47,2)="S|",IF($AG47="","",_xlfn.LET(_xlpm.n,INDEX($BB$5:$BB$302,$AH47),IF(_xlpm.n=0,"",_xlpm.n))),IF($AI47="HDR","Footfall",""))))))</f>
        <v/>
      </c>
      <c r="X47" s="40" t="str" cm="1">
        <f t="array" ref="X47">IF($AI47="","",IF($AI47="HDR","Trans (FF stores)",IF(W47="","",IF(LEFT($AI47,2)="C|",SUMPRODUCT($AP$5:$AP$302*($AO$5:$AO$302=$A47),$BC$5:$BC$302),IF($AI47="CT",X$13,IF(LEFT($AI47,3)="AM|",SUMPRODUCT($AP$5:$AP$302*($AN$5:$AN$302=$A47),$BC$5:$BC$302),IF(LEFT($AI47,2)="S|",INDEX($BC$5:$BC$302,$AH47),"")))))))</f>
        <v/>
      </c>
      <c r="Y47" s="41" t="str">
        <f t="shared" si="44"/>
        <v/>
      </c>
      <c r="Z47" s="40" cm="1">
        <f t="array" ref="Z47">IF($AI47="","",IF(LEFT($AI47,2)="C|",IF($C47="","",SUMPRODUCT($AP$5:$AP$302*($AO$5:$AO$302=$A47),$CB$5:$CB$302)),IF($AI47="CT",Z$13,IF(LEFT($AI47,3)="AM|",IF($C47="","",SUMPRODUCT($AP$5:$AP$302*($AN$5:$AN$302=$A47),$CB$5:$CB$302)),IF(LEFT($AI47,2)="S|",IF($AG47="","",INDEX($CB$5:$CB$302,$AH47)),IF($AI47="HDR","Makeup Sales",""))))))</f>
        <v>3266.18</v>
      </c>
      <c r="AA47" s="41">
        <f t="shared" si="41"/>
        <v>4.570853277818112E-2</v>
      </c>
      <c r="AB47" s="40" cm="1">
        <f t="array" ref="AB47">IF($AI47="","",IF(LEFT($AI47,2)="C|",IF($C47="","",SUMPRODUCT($AP$5:$AP$302*($AO$5:$AO$302=$A47),$CK$5:$CK$302)),IF($AI47="CT",AB$13,IF(LEFT($AI47,3)="AM|",IF($C47="","",SUMPRODUCT($AP$5:$AP$302*($AN$5:$AN$302=$A47),$CK$5:$CK$302)),IF(LEFT($AI47,2)="S|",IF($AG47="","",INDEX($CK$5:$CK$302,$AH47)),IF($AI47="HDR","Makeup Target",""))))))</f>
        <v>4199.9308028964842</v>
      </c>
      <c r="AC47" s="41">
        <f t="shared" si="45"/>
        <v>0.77767471734236127</v>
      </c>
      <c r="AD47" s="40" cm="1">
        <f t="array" ref="AD47">IF($AI47="","",IF(LEFT($AI47,2)="C|",IF($C47="","",SUMPRODUCT($AP$5:$AP$302*($AO$5:$AO$302=$A47),$CI$5:$CI$302)),IF($AI47="CT",AD$13,IF(LEFT($AI47,3)="AM|",IF($C47="","",SUMPRODUCT($AP$5:$AP$302*($AN$5:$AN$302=$A47),$CI$5:$CI$302)),IF(LEFT($AI47,2)="S|",IF($AG47="","",INDEX($CI$5:$CI$302,$AH47)),IF($AI47="HDR","Cosmetic Sales",""))))))</f>
        <v>71456.680000000008</v>
      </c>
      <c r="AE47" s="8" cm="1">
        <f t="array" ref="AE47">IF($AI47="","",IF(LEFT($AI47,2)="C|",IF($C47="","",SUMPRODUCT($AP$5:$AP$302*($AO$5:$AO$302=$A47)*$AQ$5:$AQ$302,$AR$5:$AR$302)),IF($AI47="CT",AE$13,IF(LEFT($AI47,3)="AM|",IF($C47="","",SUMPRODUCT($AP$5:$AP$302*($AN$5:$AN$302=$A47)*$AQ$5:$AQ$302,$AR$5:$AR$302)),IF(LEFT($AI47,2)="S|",IF($AG47="","",IF(INDEX($AQ$5:$AQ$302,$AH47)=1,D47,0)),IF($AI47="HDR","LFL Sales",""))))))</f>
        <v>0</v>
      </c>
      <c r="AF47" s="8" cm="1">
        <f t="array" ref="AF47">IF($AI47="","",IF(LEFT($AI47,2)="C|",IF($C47="","",SUMPRODUCT($AP$5:$AP$302*($AO$5:$AO$302=$A47)*$AQ$5:$AQ$302,$AS$5:$AS$302)),IF($AI47="CT",AF$13,IF(LEFT($AI47,3)="AM|",IF($C47="","",SUMPRODUCT($AP$5:$AP$302*($AN$5:$AN$302=$A47)*$AQ$5:$AQ$302,$AS$5:$AS$302)),IF(LEFT($AI47,2)="S|",IF($AG47="","",IF(INDEX($AQ$5:$AQ$302,$AH47)=1,P47,0)),IF($AI47="HDR","LFL Trans",""))))))</f>
        <v>0</v>
      </c>
      <c r="AG47" s="8" cm="1">
        <f t="array" ref="AG47">IF($AI47="","",IF(LEFT($AI47,2)="C|","",IF($AI47="CT","",IF(LEFT($AI47,3)="AM|","",IF(LEFT($AI47,2)="S|",IF($AH47="","",IF(INDEX($AP$5:$AP$302,$AH47)=1,1,"")),IF($AI47="HDR","Show",""))))))</f>
        <v>1</v>
      </c>
      <c r="AH47" s="8">
        <f t="shared" si="42"/>
        <v>35</v>
      </c>
      <c r="AI47" s="8" t="str">
        <v>S|HAMUNAIRA</v>
      </c>
      <c r="AN47" s="8" t="str" cm="1">
        <f t="array" ref="AN47">IF($AW47="","",_xlfn.LET(_xlpm.sa,IFERROR(TRIM(INDEX('Sales and count'!$D$4:$D$300,$BF47)&amp;""),""),_xlpm.ta,IFERROR(TRIM(INDEX('TY Sales Target'!$F$5:$F$300,$BG47)&amp;""),""),IF(AND(_xlpm.sa&lt;&gt;"",LEFT(_xlpm.sa,1)&lt;&gt;"#",_xlpm.sa&lt;&gt;"0"),_xlpm.sa,IF(AND(_xlpm.ta&lt;&gt;"",LEFT(_xlpm.ta,1)&lt;&gt;"#",_xlpm.ta&lt;&gt;"0"),_xlpm.ta,IF(ISNUMBER($BG47),"Unassigned","")))))</f>
        <v>Saleh Bin Hoiel</v>
      </c>
      <c r="AO47" s="8" t="str" cm="1">
        <f t="array" ref="AO47">IF($AW47="","",_xlfn.LET(_xlpm.sa,IFERROR(TRIM(INDEX('Sales and count'!$C$4:$C$300,$BF47)&amp;""),""),_xlpm.ta,IFERROR(TRIM(INDEX('TY Sales Target'!$D$5:$D$300,$BG47)&amp;""),""),IF(AND(_xlpm.sa&lt;&gt;"",LEFT(_xlpm.sa,1)&lt;&gt;"#",_xlpm.sa&lt;&gt;"0"),_xlpm.sa,IF(AND(_xlpm.ta&lt;&gt;"",LEFT(_xlpm.ta,1)&lt;&gt;"#",_xlpm.ta&lt;&gt;"0"),_xlpm.ta,""))))</f>
        <v>Jeddah</v>
      </c>
      <c r="AP47" s="8">
        <f t="shared" si="2"/>
        <v>1</v>
      </c>
      <c r="AQ47" s="8">
        <f t="shared" si="0"/>
        <v>0</v>
      </c>
      <c r="AR47" s="8" cm="1">
        <f t="array" ref="AR47">IF($BF47="",0,_xlfn.LET(_xlpm.d,IFERROR(--'Sales and count'!$G$2:$CC$2,0),SUMPRODUCT(('Sales and count'!$G$3:$CC$3="Total")*(_xlpm.d&gt;=$U$4)*(_xlpm.d&lt;=$U$5),INDEX('Sales and count'!$G$4:$CC$300,$BF47,0))))</f>
        <v>135891.62</v>
      </c>
      <c r="AS47" s="8" cm="1">
        <f t="array" aca="1" ref="AS47" ca="1">IF($BF47="",0,_xlfn.LET(_xlpm.d,IFERROR(--'Sales and count'!$F$2:$CB$2,0),SUMPRODUCT(('Sales and count'!$G$3:$CC$3="Transactions")*(_xlpm.d&gt;=$U$4)*(_xlpm.d&lt;=$U$5),INDEX('Sales and count'!$G$4:$CC$300,$BF47,0))))</f>
        <v>832</v>
      </c>
      <c r="AT47" s="8" cm="1">
        <f t="array" ref="AT47">IF($AW47="",0,SUMPRODUCT((TRIM('LY Sales '!$B$5:$B$200)=$AW47)*('LY Sales '!$C$2:$AG$2&gt;=EDATE($U$4,-12))*('LY Sales '!$C$2:$AG$2&lt;=EDATE($U$5,-12)),'LY Sales '!$C$5:$AG$200))</f>
        <v>0</v>
      </c>
      <c r="AU47" s="8" cm="1">
        <f t="array" ref="AU47">IF($AW47="",0,SUMPRODUCT((TRIM('LY Transaction'!$B$5:$B$200)=$AW47)*('LY Transaction'!$C$2:$AG$2&gt;=EDATE($U$4,-12))*('LY Transaction'!$C$2:$AG$2&lt;=EDATE($U$5,-12)),'LY Transaction'!$C$5:$AG$200))</f>
        <v>0</v>
      </c>
      <c r="AV47" s="8" cm="1">
        <f t="array" ref="AV47">IF(NOT(ISNUMBER($BG47)),0,SUMPRODUCT(('TY Sales Target'!$K$2:$AO$2&gt;=$U$4)*('TY Sales Target'!$K$2:$AO$2&lt;=$U$5),INDEX('TY Sales Target'!$K$5:$AO$300,$BG47,0)))</f>
        <v>191543.74136133082</v>
      </c>
      <c r="AW47" s="8" t="str" cm="1">
        <f t="array" ref="AW47">IFERROR(INDEX(_xlfn.ANCHORARRAY($BR$5),ROWS($AW$5:AW47)),"")</f>
        <v>HAJEDSULTN</v>
      </c>
      <c r="BB47" cm="1">
        <f t="array" ref="BB47">IF($AW47="",0,SUMPRODUCT((TRIM(Footfall!$B$5:$B$301)=$AW47)*(Footfall!$C$1:$BZ$1&gt;=$U$4)*(Footfall!$C$2:$BZ$2&lt;=$U$5)*(Footfall!$C$1:$BZ$1&lt;&gt;""),Footfall!$C$5:$BZ$301))</f>
        <v>0</v>
      </c>
      <c r="BC47" cm="1">
        <f t="array" ref="BC47">IF(OR($BB47&lt;=0,$BD$1="",$BF47=""),0,_xlfn.LET(_xlpm.d,IFERROR(--'Sales and count'!$F$2:$CB$2,0),SUMPRODUCT(('Sales and count'!$G$3:$CC$3="Transactions")*(_xlpm.d&gt;=$BD$1)*(_xlpm.d&lt;=$BD$2),INDEX('Sales and count'!$G$4:$CC$300,$BF47,0))))</f>
        <v>0</v>
      </c>
      <c r="BF47" cm="1">
        <f t="array" ref="BF47">IF($AW47="","",IFERROR(MATCH($AW47,TRIM('Sales and count'!$A$4:$A$300&amp;""),0),""))</f>
        <v>43</v>
      </c>
      <c r="BG47" cm="1">
        <f t="array" ref="BG47">IF($AW47="","",IFERROR(MATCH(IFERROR(_xlfn.XLOOKUP($AW47,$BT$5:$BT$22,$BU$5:$BU$22),$AW47),TRIM('TY Sales Target'!$B$5:$B$300&amp;""),0),""))</f>
        <v>46</v>
      </c>
      <c r="BH47" t="str" cm="1">
        <f t="array" ref="BH47">IF(ISNUMBER($BG47),_xlfn.LET(_xlpm.p,TRIM(INDEX('TY Sales Target'!$I$5:$I$300,$BG47)&amp;""),IF(_xlpm.p="","Not set",_xlpm.p)),"Not set")</f>
        <v>Smart Phone</v>
      </c>
      <c r="BI47" cm="1">
        <f t="array" ref="BI47">IF($BF47="",0,_xlfn.LET(_xlpm.d,IFERROR(--'Sales and count'!$G$2:$CC$2,0),SUMPRODUCT(('Sales and count'!$G$3:$CC$3="Total")*(_xlpm.d&gt;=$BZ$5)*(_xlpm.d&lt;=$BZ$6),INDEX('Sales and count'!$G$4:$CC$300,$BF47,0))))</f>
        <v>135891.62</v>
      </c>
      <c r="BJ47" cm="1">
        <f t="array" ref="BJ47">IF($AW47="",0,SUMPRODUCT((TRIM('LY Sales '!$B$5:$B$200)=$AW47)*('LY Sales '!$C$2:$AG$2&gt;=EDATE($BZ$5,-12))*('LY Sales '!$C$2:$AG$2&lt;=EDATE($BZ$6,-12)),'LY Sales '!$C$5:$AG$200))</f>
        <v>0</v>
      </c>
      <c r="BK47" cm="1">
        <f t="array" ref="BK47">IF($AW47="",0,SUMPRODUCT((TRIM('LY Sales '!$B$5:$B$200)=$AW47)*('LY Sales '!$C$2:$AG$2&gt;=EDATE($BZ$5,-12))*('LY Sales '!$C$2:$AG$2&lt;=EDATE($BZ$7,-12)),'LY Sales '!$C$5:$AG$200))</f>
        <v>0</v>
      </c>
      <c r="BL47" cm="1">
        <f t="array" ref="BL47">IF($AW47="",0,SUMPRODUCT((TRIM('LY Sales '!$B$5:$B$200)=$AW47)*('LY Sales '!$C$2:$AG$2&gt;=EDATE($BZ$5,-12))*('LY Sales '!$C$2:$AG$2&lt;=EDATE($BZ$6,-12))*('LY Sales '!$C$5:$AG$200&gt;0)))</f>
        <v>0</v>
      </c>
      <c r="BM47" cm="1">
        <f t="array" ref="BM47">IF(NOT(ISNUMBER($BG47)),0,SUMPRODUCT(('TY Sales Target'!$K$2:$AO$2&gt;=$BZ$5)*('TY Sales Target'!$K$2:$AO$2&lt;=$BZ$6),INDEX('TY Sales Target'!$K$5:$AO$300,$BG47,0)))</f>
        <v>191543.74136133082</v>
      </c>
      <c r="BN47" cm="1">
        <f t="array" ref="BN47">IF(NOT(ISNUMBER($BG47)),0,SUMPRODUCT(('TY Sales Target'!$K$2:$AO$2&gt;=$BZ$5)*('TY Sales Target'!$K$2:$AO$2&lt;=$BZ$7),INDEX('TY Sales Target'!$K$5:$AO$300,$BG47,0)))</f>
        <v>250000.00000000003</v>
      </c>
      <c r="BO47" cm="1">
        <f t="array" ref="BO47">IF($AW47="",0,IFERROR(_xlfn.SWITCH($BP47,"LY trend",$BI47*$BK47/$BJ47,"Target curve",$BI47*$BN47/$BM47,"Run rate",$BI47/$BZ$8*$BZ$9,0),0))</f>
        <v>177363.69123078283</v>
      </c>
      <c r="BP47" t="str">
        <f t="shared" si="1"/>
        <v>Target curve</v>
      </c>
      <c r="BR47" t="str">
        <v>HAJEDSULTN</v>
      </c>
      <c r="CB47" cm="1">
        <f t="array" ref="CB47">IF($AW47="",0,_xlfn.LET(_xlpm.k,IFERROR(_xlfn.XLOOKUP($AW47,$CD$6:$CD$21,$CE$6:$CE$21),$AW47),SUMPRODUCT((TRIM('Makeup '!$A$2:$A$300&amp;"")=_xlpm.k)*1,IFERROR('Makeup '!$F$2:$F$300*1,0))))</f>
        <v>5810.36</v>
      </c>
      <c r="CF47" t="str" cm="1">
        <f t="array" ref="CF47">IF($AW47="","",_xlfn.LET(_xlpm.c,IFERROR(TRIM(INDEX('Sales and count'!$B$4:$B$300,$BF47)&amp;""),""),IF(OR(_xlpm.c="",_xlpm.c="0",LEFT(_xlpm.c,1)="#"),"Not set",_xlpm.c)))</f>
        <v>KSA</v>
      </c>
      <c r="CH47" cm="1">
        <f t="array" ref="CH47">IF($AW47="",0,_xlfn.LET(_xlpm.k,IFERROR(_xlfn.XLOOKUP($AW47,$CD$6:$CD$21,$CE$6:$CE$21),$AW47),--(SUMPRODUCT((TRIM('Makeup '!$A$2:$A$300&amp;"")=_xlpm.k)*ISNUMBER('Makeup '!$F$2:$F$300))&gt;0)))</f>
        <v>1</v>
      </c>
      <c r="CI47">
        <f t="shared" si="4"/>
        <v>135891.62</v>
      </c>
      <c r="CJ47" cm="1">
        <f t="array" ref="CJ47">IF($AW47="",0,--(SUMPRODUCT(--(TRIM(Footfall!$B$5:$B$301)=$AW47))&gt;0))</f>
        <v>0</v>
      </c>
      <c r="CK47" s="8" cm="1">
        <f t="array" ref="CK47">IF($AW47="",0,_xlfn.LET(_xlpm.r,IFERROR(MATCH(IFERROR(_xlfn.XLOOKUP($AW47,$BT$5:$BT$22,$BU$5:$BU$22),$AW47),TRIM('TY Beauty Target'!$B$5:$B$300&amp;""),0),""),IF(ISNUMBER(_xlpm.r),SUMPRODUCT(('TY Beauty Target'!$L$2:$AP$2&gt;=$U$4)*('TY Beauty Target'!$L$2:$AP$2&lt;=$U$5),INDEX('TY Beauty Target'!$L$5:$AP$300,_xlpm.r,0)),0)))</f>
        <v>8932.5348604161318</v>
      </c>
    </row>
    <row r="48" spans="1:89" ht="15" customHeight="1" x14ac:dyDescent="0.25">
      <c r="A48" s="38" t="str">
        <f t="shared" si="30"/>
        <v>HAOBHRPLZ</v>
      </c>
      <c r="B48" s="43" t="str" cm="1">
        <f t="array" ref="B48">IF($AI48="","",IF(LEFT($AI48,2)="C|",IF($C48="","",_xlfn.TEXTJOIN(", ",TRUE,_xlfn.UNIQUE(_xlfn._xlws.FILTER($AN$5:$AN$302,($AP$5:$AP$302=1)*($AO$5:$AO$302=$A48))))),IF($AI48="CT",B$13,IF(LEFT($AI48,3)="AM|",IF($C48="","",ROWS(_xlfn.UNIQUE(_xlfn._xlws.FILTER($AO$5:$AO$302,($AP$5:$AP$302=1)*($AN$5:$AN$302=$A48))))),IF(LEFT($AI48,2)="S|",IF($AG48="","",INDEX($AO$5:$AO$302,$AH48)),IF($AI48="HDR","City",""))))))</f>
        <v>Jeddah</v>
      </c>
      <c r="C48" s="39" t="str" cm="1">
        <f t="array" ref="C48">IF($AI48="","",IF(LEFT($AI48,2)="C|",_xlfn.LET(_xlpm.n,SUMPRODUCT($AP$5:$AP$302*($AO$5:$AO$302=$A48)),IF(_xlpm.n=0,"",_xlpm.n)),IF($AI48="CT",C$13,IF(LEFT($AI48,3)="AM|",_xlfn.LET(_xlpm.n,SUMPRODUCT($AP$5:$AP$302*($AN$5:$AN$302=$A48)),IF(_xlpm.n=0,"",_xlpm.n)),IF(LEFT($AI48,2)="S|","",IF($AI48="HDR","# Stores",""))))))</f>
        <v/>
      </c>
      <c r="D48" s="40" cm="1">
        <f t="array" ref="D48">IF($AI48="","",IF(LEFT($AI48,2)="C|",IF($C48="","",SUMPRODUCT($AP$5:$AP$302*($AO$5:$AO$302=$A48),$AR$5:$AR$302)),IF($AI48="CT",D$13,IF(LEFT($AI48,3)="AM|",IF($C48="","",SUMPRODUCT($AP$5:$AP$302*($AN$5:$AN$302=$A48),$AR$5:$AR$302)),IF(LEFT($AI48,2)="S|",IF($AG48="","",INDEX($AR$5:$AR$302,$AH48)),IF($AI48="HDR","Sales TY",""))))))</f>
        <v>62756.610000000008</v>
      </c>
      <c r="E48" s="40" cm="1">
        <f t="array" ref="E48">IF($AI48="","",IF(LEFT($AI48,2)="C|",IF($C48="","",SUMPRODUCT($AP$5:$AP$302*($AO$5:$AO$302=$A48),$AT$5:$AT$302)),IF($AI48="CT",E$13,IF(LEFT($AI48,3)="AM|",IF($C48="","",SUMPRODUCT($AP$5:$AP$302*($AN$5:$AN$302=$A48),$AT$5:$AT$302)),IF(LEFT($AI48,2)="S|",IF($AG48="","",INDEX($AT$5:$AT$302,$AH48)),IF($AI48="HDR","Sales LY",""))))))</f>
        <v>105670.64000000001</v>
      </c>
      <c r="F48" s="41">
        <f t="shared" si="31"/>
        <v>-0.40611119607111301</v>
      </c>
      <c r="G48" s="41">
        <f t="shared" si="32"/>
        <v>-0.40611119607111301</v>
      </c>
      <c r="H48" s="40" cm="1">
        <f t="array" ref="H48">IF($AI48="","",IF(LEFT($AI48,2)="C|",IF($C48="","",SUMPRODUCT($AP$5:$AP$302*($AO$5:$AO$302=$A48),$AV$5:$AV$302)),IF($AI48="CT",H$13,IF(LEFT($AI48,3)="AM|",IF($C48="","",SUMPRODUCT($AP$5:$AP$302*($AN$5:$AN$302=$A48),$AV$5:$AV$302)),IF(LEFT($AI48,2)="S|",IF($AG48="","",INDEX($AV$5:$AV$302,$AH48)),IF($AI48="HDR","Target",""))))))</f>
        <v>111095.36998957187</v>
      </c>
      <c r="I48" s="41">
        <f t="shared" si="33"/>
        <v>0.56488951795102482</v>
      </c>
      <c r="J48" s="40">
        <f t="shared" si="34"/>
        <v>-48338.759989571867</v>
      </c>
      <c r="K48" s="41">
        <f t="shared" si="35"/>
        <v>3.555818291360361E-2</v>
      </c>
      <c r="L48" s="40" cm="1">
        <f t="array" ref="L48">IF($AI48="","",IF(LEFT($AI48,2)="C|",IF($C48="","",SUMPRODUCT($AP$5:$AP$302*($AO$5:$AO$302=$A48),$BN$5:$BN$302)),IF($AI48="CT",L$13,IF(LEFT($AI48,3)="AM|",IF($C48="","",SUMPRODUCT($AP$5:$AP$302*($AN$5:$AN$302=$A48),$BN$5:$BN$302)),IF(LEFT($AI48,2)="S|",IF($AG48="","",INDEX($BN$5:$BN$302,$AH48)),IF($AI48="HDR","Month Target",""))))))</f>
        <v>145000</v>
      </c>
      <c r="M48" s="40" cm="1">
        <f t="array" ref="M48">IF($AI48="","",IF(LEFT($AI48,2)="C|",IF($C48="","",SUMPRODUCT($AP$5:$AP$302*($AO$5:$AO$302=$A48),$BO$5:$BO$302)),IF($AI48="CT",M$13,IF(LEFT($AI48,3)="AM|",IF($C48="","",SUMPRODUCT($AP$5:$AP$302*($AN$5:$AN$302=$A48),$BO$5:$BO$302)),IF(LEFT($AI48,2)="S|",IF($AG48="","",INDEX($BO$5:$BO$302,$AH48)),IF($AI48="HDR","Projected Close",""))))))</f>
        <v>81475.676277660474</v>
      </c>
      <c r="N48" s="41">
        <f t="shared" si="43"/>
        <v>0.56190121570800322</v>
      </c>
      <c r="O48" s="41" cm="1">
        <f t="array" ref="O48">IF($AI48="HDR","Proj. vs LY",IF(OR($AI48="",M48=""),"",_xlfn.LET(_xlpm.ly,IF(LEFT($AI48,2)="C|",SUMPRODUCT($AP$5:$AP$302*($AO$5:$AO$302=$A48),$BK$5:$BK$302),IF($AI48="CT",SUMPRODUCT($AP$5:$AP$302,$BK$5:$BK$302),IF(LEFT($AI48,3)="AM|",SUMPRODUCT($AP$5:$AP$302*($AN$5:$AN$302=$A48),$BK$5:$BK$302),IF(LEFT($AI48,2)="S|",INDEX($BK$5:$BK$302,$AH48),0)))),IFERROR(M48/_xlpm.ly-1,""))))</f>
        <v>-0.40611119607111301</v>
      </c>
      <c r="P48" s="40" cm="1">
        <f t="array" aca="1" ref="P48" ca="1">IF($AI48="","",IF(LEFT($AI48,2)="C|",IF($C48="","",SUMPRODUCT($AP$5:$AP$302*($AO$5:$AO$302=$A48),$AS$5:$AS$302)),IF($AI48="CT",P$13,IF(LEFT($AI48,3)="AM|",IF($C48="","",SUMPRODUCT($AP$5:$AP$302*($AN$5:$AN$302=$A48),$AS$5:$AS$302)),IF(LEFT($AI48,2)="S|",IF($AG48="","",INDEX($AS$5:$AS$302,$AH48)),IF($AI48="HDR","Trans TY",""))))))</f>
        <v>418</v>
      </c>
      <c r="Q48" s="40" cm="1">
        <f t="array" ref="Q48">IF($AI48="","",IF(LEFT($AI48,2)="C|",IF($C48="","",SUMPRODUCT($AP$5:$AP$302*($AO$5:$AO$302=$A48),$AU$5:$AU$302)),IF($AI48="CT",Q$13,IF(LEFT($AI48,3)="AM|",IF($C48="","",SUMPRODUCT($AP$5:$AP$302*($AN$5:$AN$302=$A48),$AU$5:$AU$302)),IF(LEFT($AI48,2)="S|",IF($AG48="","",INDEX($AU$5:$AU$302,$AH48)),IF($AI48="HDR","Trans LY",""))))))</f>
        <v>753</v>
      </c>
      <c r="R48" s="41">
        <f t="shared" ca="1" si="36"/>
        <v>-0.44488711819389115</v>
      </c>
      <c r="S48" s="41">
        <f t="shared" ca="1" si="37"/>
        <v>-0.44488711819389115</v>
      </c>
      <c r="T48" s="42">
        <f t="shared" ca="1" si="38"/>
        <v>150.13543062200958</v>
      </c>
      <c r="U48" s="42">
        <f t="shared" si="39"/>
        <v>140.33285524568396</v>
      </c>
      <c r="V48" s="41">
        <f t="shared" ca="1" si="40"/>
        <v>6.9852319039358512E-2</v>
      </c>
      <c r="W48" s="40" cm="1">
        <f t="array" ref="W48">IF($AI48="","",IF(LEFT($AI48,2)="C|",_xlfn.LET(_xlpm.n,SUMPRODUCT($AP$5:$AP$302*($AO$5:$AO$302=$A48),$BB$5:$BB$302),IF(_xlpm.n=0,"",_xlpm.n)),IF($AI48="CT",W$13,IF(LEFT($AI48,3)="AM|",_xlfn.LET(_xlpm.n,SUMPRODUCT($AP$5:$AP$302*($AN$5:$AN$302=$A48),$BB$5:$BB$302),IF(_xlpm.n=0,"",_xlpm.n)),IF(LEFT($AI48,2)="S|",IF($AG48="","",_xlfn.LET(_xlpm.n,INDEX($BB$5:$BB$302,$AH48),IF(_xlpm.n=0,"",_xlpm.n))),IF($AI48="HDR","Footfall",""))))))</f>
        <v>2059</v>
      </c>
      <c r="X48" s="40" cm="1">
        <f t="array" aca="1" ref="X48" ca="1">IF($AI48="","",IF($AI48="HDR","Trans (FF stores)",IF(W48="","",IF(LEFT($AI48,2)="C|",SUMPRODUCT($AP$5:$AP$302*($AO$5:$AO$302=$A48),$BC$5:$BC$302),IF($AI48="CT",X$13,IF(LEFT($AI48,3)="AM|",SUMPRODUCT($AP$5:$AP$302*($AN$5:$AN$302=$A48),$BC$5:$BC$302),IF(LEFT($AI48,2)="S|",INDEX($BC$5:$BC$302,$AH48),"")))))))</f>
        <v>418</v>
      </c>
      <c r="Y48" s="41">
        <f t="shared" ca="1" si="44"/>
        <v>0.20301117047110248</v>
      </c>
      <c r="Z48" s="40" cm="1">
        <f t="array" ref="Z48">IF($AI48="","",IF(LEFT($AI48,2)="C|",IF($C48="","",SUMPRODUCT($AP$5:$AP$302*($AO$5:$AO$302=$A48),$CB$5:$CB$302)),IF($AI48="CT",Z$13,IF(LEFT($AI48,3)="AM|",IF($C48="","",SUMPRODUCT($AP$5:$AP$302*($AN$5:$AN$302=$A48),$CB$5:$CB$302)),IF(LEFT($AI48,2)="S|",IF($AG48="","",INDEX($CB$5:$CB$302,$AH48)),IF($AI48="HDR","Makeup Sales",""))))))</f>
        <v>1773.13</v>
      </c>
      <c r="AA48" s="41">
        <f t="shared" si="41"/>
        <v>2.8254075546783039E-2</v>
      </c>
      <c r="AB48" s="40" cm="1">
        <f t="array" ref="AB48">IF($AI48="","",IF(LEFT($AI48,2)="C|",IF($C48="","",SUMPRODUCT($AP$5:$AP$302*($AO$5:$AO$302=$A48),$CK$5:$CK$302)),IF($AI48="CT",AB$13,IF(LEFT($AI48,3)="AM|",IF($C48="","",SUMPRODUCT($AP$5:$AP$302*($AN$5:$AN$302=$A48),$CK$5:$CK$302)),IF(LEFT($AI48,2)="S|",IF($AG48="","",INDEX($CK$5:$CK$302,$AH48)),IF($AI48="HDR","Makeup Target",""))))))</f>
        <v>4042.3560755064987</v>
      </c>
      <c r="AC48" s="41">
        <f t="shared" si="45"/>
        <v>0.43863775651624914</v>
      </c>
      <c r="AD48" s="40" cm="1">
        <f t="array" ref="AD48">IF($AI48="","",IF(LEFT($AI48,2)="C|",IF($C48="","",SUMPRODUCT($AP$5:$AP$302*($AO$5:$AO$302=$A48),$CI$5:$CI$302)),IF($AI48="CT",AD$13,IF(LEFT($AI48,3)="AM|",IF($C48="","",SUMPRODUCT($AP$5:$AP$302*($AN$5:$AN$302=$A48),$CI$5:$CI$302)),IF(LEFT($AI48,2)="S|",IF($AG48="","",INDEX($CI$5:$CI$302,$AH48)),IF($AI48="HDR","Cosmetic Sales",""))))))</f>
        <v>62756.610000000008</v>
      </c>
      <c r="AE48" s="8" cm="1">
        <f t="array" ref="AE48">IF($AI48="","",IF(LEFT($AI48,2)="C|",IF($C48="","",SUMPRODUCT($AP$5:$AP$302*($AO$5:$AO$302=$A48)*$AQ$5:$AQ$302,$AR$5:$AR$302)),IF($AI48="CT",AE$13,IF(LEFT($AI48,3)="AM|",IF($C48="","",SUMPRODUCT($AP$5:$AP$302*($AN$5:$AN$302=$A48)*$AQ$5:$AQ$302,$AR$5:$AR$302)),IF(LEFT($AI48,2)="S|",IF($AG48="","",IF(INDEX($AQ$5:$AQ$302,$AH48)=1,D48,0)),IF($AI48="HDR","LFL Sales",""))))))</f>
        <v>62756.610000000008</v>
      </c>
      <c r="AF48" s="8" cm="1">
        <f t="array" aca="1" ref="AF48" ca="1">IF($AI48="","",IF(LEFT($AI48,2)="C|",IF($C48="","",SUMPRODUCT($AP$5:$AP$302*($AO$5:$AO$302=$A48)*$AQ$5:$AQ$302,$AS$5:$AS$302)),IF($AI48="CT",AF$13,IF(LEFT($AI48,3)="AM|",IF($C48="","",SUMPRODUCT($AP$5:$AP$302*($AN$5:$AN$302=$A48)*$AQ$5:$AQ$302,$AS$5:$AS$302)),IF(LEFT($AI48,2)="S|",IF($AG48="","",IF(INDEX($AQ$5:$AQ$302,$AH48)=1,P48,0)),IF($AI48="HDR","LFL Trans",""))))))</f>
        <v>418</v>
      </c>
      <c r="AG48" s="8" cm="1">
        <f t="array" ref="AG48">IF($AI48="","",IF(LEFT($AI48,2)="C|","",IF($AI48="CT","",IF(LEFT($AI48,3)="AM|","",IF(LEFT($AI48,2)="S|",IF($AH48="","",IF(INDEX($AP$5:$AP$302,$AH48)=1,1,"")),IF($AI48="HDR","Show",""))))))</f>
        <v>1</v>
      </c>
      <c r="AH48" s="8">
        <f t="shared" si="42"/>
        <v>91</v>
      </c>
      <c r="AI48" s="8" t="str">
        <v>S|HAOBHRPLZ</v>
      </c>
      <c r="AN48" s="8" t="str" cm="1">
        <f t="array" ref="AN48">IF($AW48="","",_xlfn.LET(_xlpm.sa,IFERROR(TRIM(INDEX('Sales and count'!$D$4:$D$300,$BF48)&amp;""),""),_xlpm.ta,IFERROR(TRIM(INDEX('TY Sales Target'!$F$5:$F$300,$BG48)&amp;""),""),IF(AND(_xlpm.sa&lt;&gt;"",LEFT(_xlpm.sa,1)&lt;&gt;"#",_xlpm.sa&lt;&gt;"0"),_xlpm.sa,IF(AND(_xlpm.ta&lt;&gt;"",LEFT(_xlpm.ta,1)&lt;&gt;"#",_xlpm.ta&lt;&gt;"0"),_xlpm.ta,IF(ISNUMBER($BG48),"Unassigned","")))))</f>
        <v>Mohammed Haidar</v>
      </c>
      <c r="AO48" s="8" t="str" cm="1">
        <f t="array" ref="AO48">IF($AW48="","",_xlfn.LET(_xlpm.sa,IFERROR(TRIM(INDEX('Sales and count'!$C$4:$C$300,$BF48)&amp;""),""),_xlpm.ta,IFERROR(TRIM(INDEX('TY Sales Target'!$D$5:$D$300,$BG48)&amp;""),""),IF(AND(_xlpm.sa&lt;&gt;"",LEFT(_xlpm.sa,1)&lt;&gt;"#",_xlpm.sa&lt;&gt;"0"),_xlpm.sa,IF(AND(_xlpm.ta&lt;&gt;"",LEFT(_xlpm.ta,1)&lt;&gt;"#",_xlpm.ta&lt;&gt;"0"),_xlpm.ta,""))))</f>
        <v>Madinah</v>
      </c>
      <c r="AP48" s="8">
        <f t="shared" si="2"/>
        <v>0</v>
      </c>
      <c r="AQ48" s="8">
        <f t="shared" si="0"/>
        <v>0</v>
      </c>
      <c r="AR48" s="8" cm="1">
        <f t="array" ref="AR48">IF($BF48="",0,_xlfn.LET(_xlpm.d,IFERROR(--'Sales and count'!$G$2:$CC$2,0),SUMPRODUCT(('Sales and count'!$G$3:$CC$3="Total")*(_xlpm.d&gt;=$U$4)*(_xlpm.d&lt;=$U$5),INDEX('Sales and count'!$G$4:$CC$300,$BF48,0))))</f>
        <v>73765.619999999981</v>
      </c>
      <c r="AS48" s="8" cm="1">
        <f t="array" aca="1" ref="AS48" ca="1">IF($BF48="",0,_xlfn.LET(_xlpm.d,IFERROR(--'Sales and count'!$F$2:$CB$2,0),SUMPRODUCT(('Sales and count'!$G$3:$CC$3="Transactions")*(_xlpm.d&gt;=$U$4)*(_xlpm.d&lt;=$U$5),INDEX('Sales and count'!$G$4:$CC$300,$BF48,0))))</f>
        <v>406</v>
      </c>
      <c r="AT48" s="8" cm="1">
        <f t="array" ref="AT48">IF($AW48="",0,SUMPRODUCT((TRIM('LY Sales '!$B$5:$B$200)=$AW48)*('LY Sales '!$C$2:$AG$2&gt;=EDATE($U$4,-12))*('LY Sales '!$C$2:$AG$2&lt;=EDATE($U$5,-12)),'LY Sales '!$C$5:$AG$200))</f>
        <v>0</v>
      </c>
      <c r="AU48" s="8" cm="1">
        <f t="array" ref="AU48">IF($AW48="",0,SUMPRODUCT((TRIM('LY Transaction'!$B$5:$B$200)=$AW48)*('LY Transaction'!$C$2:$AG$2&gt;=EDATE($U$4,-12))*('LY Transaction'!$C$2:$AG$2&lt;=EDATE($U$5,-12)),'LY Transaction'!$C$5:$AG$200))</f>
        <v>0</v>
      </c>
      <c r="AV48" s="8" cm="1">
        <f t="array" ref="AV48">IF(NOT(ISNUMBER($BG48)),0,SUMPRODUCT(('TY Sales Target'!$K$2:$AO$2&gt;=$U$4)*('TY Sales Target'!$K$2:$AO$2&lt;=$U$5),INDEX('TY Sales Target'!$K$5:$AO$300,$BG48,0)))</f>
        <v>101901.27040422799</v>
      </c>
      <c r="AW48" s="8" t="str" cm="1">
        <f t="array" ref="AW48">IFERROR(INDEX(_xlfn.ANCHORARRAY($BR$5),ROWS($AW$5:AW48)),"")</f>
        <v>HASULTANA</v>
      </c>
      <c r="BB48" cm="1">
        <f t="array" ref="BB48">IF($AW48="",0,SUMPRODUCT((TRIM(Footfall!$B$5:$B$301)=$AW48)*(Footfall!$C$1:$BZ$1&gt;=$U$4)*(Footfall!$C$2:$BZ$2&lt;=$U$5)*(Footfall!$C$1:$BZ$1&lt;&gt;""),Footfall!$C$5:$BZ$301))</f>
        <v>2086</v>
      </c>
      <c r="BC48" cm="1">
        <f t="array" aca="1" ref="BC48" ca="1">IF(OR($BB48&lt;=0,$BD$1="",$BF48=""),0,_xlfn.LET(_xlpm.d,IFERROR(--'Sales and count'!$F$2:$CB$2,0),SUMPRODUCT(('Sales and count'!$G$3:$CC$3="Transactions")*(_xlpm.d&gt;=$BD$1)*(_xlpm.d&lt;=$BD$2),INDEX('Sales and count'!$G$4:$CC$300,$BF48,0))))</f>
        <v>406</v>
      </c>
      <c r="BF48" cm="1">
        <f t="array" ref="BF48">IF($AW48="","",IFERROR(MATCH($AW48,TRIM('Sales and count'!$A$4:$A$300&amp;""),0),""))</f>
        <v>44</v>
      </c>
      <c r="BG48" cm="1">
        <f t="array" ref="BG48">IF($AW48="","",IFERROR(MATCH(IFERROR(_xlfn.XLOOKUP($AW48,$BT$5:$BT$22,$BU$5:$BU$22),$AW48),TRIM('TY Sales Target'!$B$5:$B$300&amp;""),0),""))</f>
        <v>97</v>
      </c>
      <c r="BH48" t="str" cm="1">
        <f t="array" ref="BH48">IF(ISNUMBER($BG48),_xlfn.LET(_xlpm.p,TRIM(INDEX('TY Sales Target'!$I$5:$I$300,$BG48)&amp;""),IF(_xlpm.p="","Not set",_xlpm.p)),"Not set")</f>
        <v>Smart Watch</v>
      </c>
      <c r="BI48" cm="1">
        <f t="array" ref="BI48">IF($BF48="",0,_xlfn.LET(_xlpm.d,IFERROR(--'Sales and count'!$G$2:$CC$2,0),SUMPRODUCT(('Sales and count'!$G$3:$CC$3="Total")*(_xlpm.d&gt;=$BZ$5)*(_xlpm.d&lt;=$BZ$6),INDEX('Sales and count'!$G$4:$CC$300,$BF48,0))))</f>
        <v>73765.619999999981</v>
      </c>
      <c r="BJ48" cm="1">
        <f t="array" ref="BJ48">IF($AW48="",0,SUMPRODUCT((TRIM('LY Sales '!$B$5:$B$200)=$AW48)*('LY Sales '!$C$2:$AG$2&gt;=EDATE($BZ$5,-12))*('LY Sales '!$C$2:$AG$2&lt;=EDATE($BZ$6,-12)),'LY Sales '!$C$5:$AG$200))</f>
        <v>0</v>
      </c>
      <c r="BK48" cm="1">
        <f t="array" ref="BK48">IF($AW48="",0,SUMPRODUCT((TRIM('LY Sales '!$B$5:$B$200)=$AW48)*('LY Sales '!$C$2:$AG$2&gt;=EDATE($BZ$5,-12))*('LY Sales '!$C$2:$AG$2&lt;=EDATE($BZ$7,-12)),'LY Sales '!$C$5:$AG$200))</f>
        <v>0</v>
      </c>
      <c r="BL48" cm="1">
        <f t="array" ref="BL48">IF($AW48="",0,SUMPRODUCT((TRIM('LY Sales '!$B$5:$B$200)=$AW48)*('LY Sales '!$C$2:$AG$2&gt;=EDATE($BZ$5,-12))*('LY Sales '!$C$2:$AG$2&lt;=EDATE($BZ$6,-12))*('LY Sales '!$C$5:$AG$200&gt;0)))</f>
        <v>0</v>
      </c>
      <c r="BM48" cm="1">
        <f t="array" ref="BM48">IF(NOT(ISNUMBER($BG48)),0,SUMPRODUCT(('TY Sales Target'!$K$2:$AO$2&gt;=$BZ$5)*('TY Sales Target'!$K$2:$AO$2&lt;=$BZ$6),INDEX('TY Sales Target'!$K$5:$AO$300,$BG48,0)))</f>
        <v>101901.27040422799</v>
      </c>
      <c r="BN48" cm="1">
        <f t="array" ref="BN48">IF(NOT(ISNUMBER($BG48)),0,SUMPRODUCT(('TY Sales Target'!$K$2:$AO$2&gt;=$BZ$5)*('TY Sales Target'!$K$2:$AO$2&lt;=$BZ$7),INDEX('TY Sales Target'!$K$5:$AO$300,$BG48,0)))</f>
        <v>133000</v>
      </c>
      <c r="BO48" cm="1">
        <f t="array" ref="BO48">IF($AW48="",0,IFERROR(_xlfn.SWITCH($BP48,"LY trend",$BI48*$BK48/$BJ48,"Target curve",$BI48*$BN48/$BM48,"Run rate",$BI48/$BZ$8*$BZ$9,0),0))</f>
        <v>96277.773781247539</v>
      </c>
      <c r="BP48" t="str">
        <f t="shared" si="1"/>
        <v>Target curve</v>
      </c>
      <c r="BR48" t="str">
        <v>HASULTANA</v>
      </c>
      <c r="CB48" cm="1">
        <f t="array" ref="CB48">IF($AW48="",0,_xlfn.LET(_xlpm.k,IFERROR(_xlfn.XLOOKUP($AW48,$CD$6:$CD$21,$CE$6:$CE$21),$AW48),SUMPRODUCT((TRIM('Makeup '!$A$2:$A$300&amp;"")=_xlpm.k)*1,IFERROR('Makeup '!$F$2:$F$300*1,0))))</f>
        <v>1536.97</v>
      </c>
      <c r="CF48" t="str" cm="1">
        <f t="array" ref="CF48">IF($AW48="","",_xlfn.LET(_xlpm.c,IFERROR(TRIM(INDEX('Sales and count'!$B$4:$B$300,$BF48)&amp;""),""),IF(OR(_xlpm.c="",_xlpm.c="0",LEFT(_xlpm.c,1)="#"),"Not set",_xlpm.c)))</f>
        <v>KSA</v>
      </c>
      <c r="CH48" cm="1">
        <f t="array" ref="CH48">IF($AW48="",0,_xlfn.LET(_xlpm.k,IFERROR(_xlfn.XLOOKUP($AW48,$CD$6:$CD$21,$CE$6:$CE$21),$AW48),--(SUMPRODUCT((TRIM('Makeup '!$A$2:$A$300&amp;"")=_xlpm.k)*ISNUMBER('Makeup '!$F$2:$F$300))&gt;0)))</f>
        <v>1</v>
      </c>
      <c r="CI48">
        <f t="shared" si="4"/>
        <v>73765.619999999981</v>
      </c>
      <c r="CJ48" cm="1">
        <f t="array" ref="CJ48">IF($AW48="",0,--(SUMPRODUCT(--(TRIM(Footfall!$B$5:$B$301)=$AW48))&gt;0))</f>
        <v>1</v>
      </c>
      <c r="CK48" s="8" cm="1">
        <f t="array" ref="CK48">IF($AW48="",0,_xlfn.LET(_xlpm.r,IFERROR(MATCH(IFERROR(_xlfn.XLOOKUP($AW48,$BT$5:$BT$22,$BU$5:$BU$22),$AW48),TRIM('TY Beauty Target'!$B$5:$B$300&amp;""),0),""),IF(ISNUMBER(_xlpm.r),SUMPRODUCT(('TY Beauty Target'!$L$2:$AP$2&gt;=$U$4)*('TY Beauty Target'!$L$2:$AP$2&lt;=$U$5),INDEX('TY Beauty Target'!$L$5:$AP$300,_xlpm.r,0)),0)))</f>
        <v>2744.7997638470483</v>
      </c>
    </row>
    <row r="49" spans="1:89" ht="15" customHeight="1" x14ac:dyDescent="0.25">
      <c r="A49" s="38" t="str">
        <f t="shared" si="30"/>
        <v>HAPARKTAIF</v>
      </c>
      <c r="B49" s="43" t="str" cm="1">
        <f t="array" ref="B49">IF($AI49="","",IF(LEFT($AI49,2)="C|",IF($C49="","",_xlfn.TEXTJOIN(", ",TRUE,_xlfn.UNIQUE(_xlfn._xlws.FILTER($AN$5:$AN$302,($AP$5:$AP$302=1)*($AO$5:$AO$302=$A49))))),IF($AI49="CT",B$13,IF(LEFT($AI49,3)="AM|",IF($C49="","",ROWS(_xlfn.UNIQUE(_xlfn._xlws.FILTER($AO$5:$AO$302,($AP$5:$AP$302=1)*($AN$5:$AN$302=$A49))))),IF(LEFT($AI49,2)="S|",IF($AG49="","",INDEX($AO$5:$AO$302,$AH49)),IF($AI49="HDR","City",""))))))</f>
        <v>Taif</v>
      </c>
      <c r="C49" s="39" t="str" cm="1">
        <f t="array" ref="C49">IF($AI49="","",IF(LEFT($AI49,2)="C|",_xlfn.LET(_xlpm.n,SUMPRODUCT($AP$5:$AP$302*($AO$5:$AO$302=$A49)),IF(_xlpm.n=0,"",_xlpm.n)),IF($AI49="CT",C$13,IF(LEFT($AI49,3)="AM|",_xlfn.LET(_xlpm.n,SUMPRODUCT($AP$5:$AP$302*($AN$5:$AN$302=$A49)),IF(_xlpm.n=0,"",_xlpm.n)),IF(LEFT($AI49,2)="S|","",IF($AI49="HDR","# Stores",""))))))</f>
        <v/>
      </c>
      <c r="D49" s="40" cm="1">
        <f t="array" ref="D49">IF($AI49="","",IF(LEFT($AI49,2)="C|",IF($C49="","",SUMPRODUCT($AP$5:$AP$302*($AO$5:$AO$302=$A49),$AR$5:$AR$302)),IF($AI49="CT",D$13,IF(LEFT($AI49,3)="AM|",IF($C49="","",SUMPRODUCT($AP$5:$AP$302*($AN$5:$AN$302=$A49),$AR$5:$AR$302)),IF(LEFT($AI49,2)="S|",IF($AG49="","",INDEX($AR$5:$AR$302,$AH49)),IF($AI49="HDR","Sales TY",""))))))</f>
        <v>59828.509999999987</v>
      </c>
      <c r="E49" s="40" cm="1">
        <f t="array" ref="E49">IF($AI49="","",IF(LEFT($AI49,2)="C|",IF($C49="","",SUMPRODUCT($AP$5:$AP$302*($AO$5:$AO$302=$A49),$AT$5:$AT$302)),IF($AI49="CT",E$13,IF(LEFT($AI49,3)="AM|",IF($C49="","",SUMPRODUCT($AP$5:$AP$302*($AN$5:$AN$302=$A49),$AT$5:$AT$302)),IF(LEFT($AI49,2)="S|",IF($AG49="","",INDEX($AT$5:$AT$302,$AH49)),IF($AI49="HDR","Sales LY",""))))))</f>
        <v>0</v>
      </c>
      <c r="F49" s="41" t="str">
        <f t="shared" si="31"/>
        <v/>
      </c>
      <c r="G49" s="41" t="str">
        <f t="shared" si="32"/>
        <v/>
      </c>
      <c r="H49" s="40" cm="1">
        <f t="array" ref="H49">IF($AI49="","",IF(LEFT($AI49,2)="C|",IF($C49="","",SUMPRODUCT($AP$5:$AP$302*($AO$5:$AO$302=$A49),$AV$5:$AV$302)),IF($AI49="CT",H$13,IF(LEFT($AI49,3)="AM|",IF($C49="","",SUMPRODUCT($AP$5:$AP$302*($AN$5:$AN$302=$A49),$AV$5:$AV$302)),IF(LEFT($AI49,2)="S|",IF($AG49="","",INDEX($AV$5:$AV$302,$AH49)),IF($AI49="HDR","Target",""))))))</f>
        <v>149687.82994513359</v>
      </c>
      <c r="I49" s="41">
        <f t="shared" si="33"/>
        <v>0.39968853862020354</v>
      </c>
      <c r="J49" s="40">
        <f t="shared" si="34"/>
        <v>-89859.319945133611</v>
      </c>
      <c r="K49" s="41">
        <f t="shared" si="35"/>
        <v>3.3899108030665807E-2</v>
      </c>
      <c r="L49" s="40" cm="1">
        <f t="array" ref="L49">IF($AI49="","",IF(LEFT($AI49,2)="C|",IF($C49="","",SUMPRODUCT($AP$5:$AP$302*($AO$5:$AO$302=$A49),$BN$5:$BN$302)),IF($AI49="CT",L$13,IF(LEFT($AI49,3)="AM|",IF($C49="","",SUMPRODUCT($AP$5:$AP$302*($AN$5:$AN$302=$A49),$BN$5:$BN$302)),IF(LEFT($AI49,2)="S|",IF($AG49="","",INDEX($BN$5:$BN$302,$AH49)),IF($AI49="HDR","Month Target",""))))))</f>
        <v>195370.29620659907</v>
      </c>
      <c r="M49" s="40" cm="1">
        <f t="array" ref="M49">IF($AI49="","",IF(LEFT($AI49,2)="C|",IF($C49="","",SUMPRODUCT($AP$5:$AP$302*($AO$5:$AO$302=$A49),$BO$5:$BO$302)),IF($AI49="CT",M$13,IF(LEFT($AI49,3)="AM|",IF($C49="","",SUMPRODUCT($AP$5:$AP$302*($AN$5:$AN$302=$A49),$BO$5:$BO$302)),IF(LEFT($AI49,2)="S|",IF($AG49="","",INDEX($BO$5:$BO$302,$AH49)),IF($AI49="HDR","Projected Close",""))))))</f>
        <v>78087.268180611878</v>
      </c>
      <c r="N49" s="41">
        <f t="shared" si="43"/>
        <v>0.39968853862020354</v>
      </c>
      <c r="O49" s="41" t="str" cm="1">
        <f t="array" ref="O49">IF($AI49="HDR","Proj. vs LY",IF(OR($AI49="",M49=""),"",_xlfn.LET(_xlpm.ly,IF(LEFT($AI49,2)="C|",SUMPRODUCT($AP$5:$AP$302*($AO$5:$AO$302=$A49),$BK$5:$BK$302),IF($AI49="CT",SUMPRODUCT($AP$5:$AP$302,$BK$5:$BK$302),IF(LEFT($AI49,3)="AM|",SUMPRODUCT($AP$5:$AP$302*($AN$5:$AN$302=$A49),$BK$5:$BK$302),IF(LEFT($AI49,2)="S|",INDEX($BK$5:$BK$302,$AH49),0)))),IFERROR(M49/_xlpm.ly-1,""))))</f>
        <v/>
      </c>
      <c r="P49" s="40" cm="1">
        <f t="array" aca="1" ref="P49" ca="1">IF($AI49="","",IF(LEFT($AI49,2)="C|",IF($C49="","",SUMPRODUCT($AP$5:$AP$302*($AO$5:$AO$302=$A49),$AS$5:$AS$302)),IF($AI49="CT",P$13,IF(LEFT($AI49,3)="AM|",IF($C49="","",SUMPRODUCT($AP$5:$AP$302*($AN$5:$AN$302=$A49),$AS$5:$AS$302)),IF(LEFT($AI49,2)="S|",IF($AG49="","",INDEX($AS$5:$AS$302,$AH49)),IF($AI49="HDR","Trans TY",""))))))</f>
        <v>505</v>
      </c>
      <c r="Q49" s="40" cm="1">
        <f t="array" ref="Q49">IF($AI49="","",IF(LEFT($AI49,2)="C|",IF($C49="","",SUMPRODUCT($AP$5:$AP$302*($AO$5:$AO$302=$A49),$AU$5:$AU$302)),IF($AI49="CT",Q$13,IF(LEFT($AI49,3)="AM|",IF($C49="","",SUMPRODUCT($AP$5:$AP$302*($AN$5:$AN$302=$A49),$AU$5:$AU$302)),IF(LEFT($AI49,2)="S|",IF($AG49="","",INDEX($AU$5:$AU$302,$AH49)),IF($AI49="HDR","Trans LY",""))))))</f>
        <v>0</v>
      </c>
      <c r="R49" s="41" t="str">
        <f t="shared" si="36"/>
        <v/>
      </c>
      <c r="S49" s="41" t="str">
        <f t="shared" ca="1" si="37"/>
        <v/>
      </c>
      <c r="T49" s="42">
        <f t="shared" ca="1" si="38"/>
        <v>118.47229702970294</v>
      </c>
      <c r="U49" s="42" t="str">
        <f t="shared" si="39"/>
        <v/>
      </c>
      <c r="V49" s="41" t="str">
        <f t="shared" si="40"/>
        <v/>
      </c>
      <c r="W49" s="40" cm="1">
        <f t="array" ref="W49">IF($AI49="","",IF(LEFT($AI49,2)="C|",_xlfn.LET(_xlpm.n,SUMPRODUCT($AP$5:$AP$302*($AO$5:$AO$302=$A49),$BB$5:$BB$302),IF(_xlpm.n=0,"",_xlpm.n)),IF($AI49="CT",W$13,IF(LEFT($AI49,3)="AM|",_xlfn.LET(_xlpm.n,SUMPRODUCT($AP$5:$AP$302*($AN$5:$AN$302=$A49),$BB$5:$BB$302),IF(_xlpm.n=0,"",_xlpm.n)),IF(LEFT($AI49,2)="S|",IF($AG49="","",_xlfn.LET(_xlpm.n,INDEX($BB$5:$BB$302,$AH49),IF(_xlpm.n=0,"",_xlpm.n))),IF($AI49="HDR","Footfall",""))))))</f>
        <v>4370</v>
      </c>
      <c r="X49" s="40" cm="1">
        <f t="array" aca="1" ref="X49" ca="1">IF($AI49="","",IF($AI49="HDR","Trans (FF stores)",IF(W49="","",IF(LEFT($AI49,2)="C|",SUMPRODUCT($AP$5:$AP$302*($AO$5:$AO$302=$A49),$BC$5:$BC$302),IF($AI49="CT",X$13,IF(LEFT($AI49,3)="AM|",SUMPRODUCT($AP$5:$AP$302*($AN$5:$AN$302=$A49),$BC$5:$BC$302),IF(LEFT($AI49,2)="S|",INDEX($BC$5:$BC$302,$AH49),"")))))))</f>
        <v>505</v>
      </c>
      <c r="Y49" s="41">
        <f t="shared" ca="1" si="44"/>
        <v>0.11556064073226545</v>
      </c>
      <c r="Z49" s="40" cm="1">
        <f t="array" ref="Z49">IF($AI49="","",IF(LEFT($AI49,2)="C|",IF($C49="","",SUMPRODUCT($AP$5:$AP$302*($AO$5:$AO$302=$A49),$CB$5:$CB$302)),IF($AI49="CT",Z$13,IF(LEFT($AI49,3)="AM|",IF($C49="","",SUMPRODUCT($AP$5:$AP$302*($AN$5:$AN$302=$A49),$CB$5:$CB$302)),IF(LEFT($AI49,2)="S|",IF($AG49="","",INDEX($CB$5:$CB$302,$AH49)),IF($AI49="HDR","Makeup Sales",""))))))</f>
        <v>2976.68</v>
      </c>
      <c r="AA49" s="41">
        <f t="shared" si="41"/>
        <v>4.9753537235007195E-2</v>
      </c>
      <c r="AB49" s="40" cm="1">
        <f t="array" ref="AB49">IF($AI49="","",IF(LEFT($AI49,2)="C|",IF($C49="","",SUMPRODUCT($AP$5:$AP$302*($AO$5:$AO$302=$A49),$CK$5:$CK$302)),IF($AI49="CT",AB$13,IF(LEFT($AI49,3)="AM|",IF($C49="","",SUMPRODUCT($AP$5:$AP$302*($AN$5:$AN$302=$A49),$CK$5:$CK$302)),IF(LEFT($AI49,2)="S|",IF($AG49="","",INDEX($CK$5:$CK$302,$AH49)),IF($AI49="HDR","Makeup Target",""))))))</f>
        <v>8221.1509273328629</v>
      </c>
      <c r="AC49" s="41">
        <f t="shared" si="45"/>
        <v>0.36207582445706366</v>
      </c>
      <c r="AD49" s="40" cm="1">
        <f t="array" ref="AD49">IF($AI49="","",IF(LEFT($AI49,2)="C|",IF($C49="","",SUMPRODUCT($AP$5:$AP$302*($AO$5:$AO$302=$A49),$CI$5:$CI$302)),IF($AI49="CT",AD$13,IF(LEFT($AI49,3)="AM|",IF($C49="","",SUMPRODUCT($AP$5:$AP$302*($AN$5:$AN$302=$A49),$CI$5:$CI$302)),IF(LEFT($AI49,2)="S|",IF($AG49="","",INDEX($CI$5:$CI$302,$AH49)),IF($AI49="HDR","Cosmetic Sales",""))))))</f>
        <v>59828.509999999987</v>
      </c>
      <c r="AE49" s="8" cm="1">
        <f t="array" ref="AE49">IF($AI49="","",IF(LEFT($AI49,2)="C|",IF($C49="","",SUMPRODUCT($AP$5:$AP$302*($AO$5:$AO$302=$A49)*$AQ$5:$AQ$302,$AR$5:$AR$302)),IF($AI49="CT",AE$13,IF(LEFT($AI49,3)="AM|",IF($C49="","",SUMPRODUCT($AP$5:$AP$302*($AN$5:$AN$302=$A49)*$AQ$5:$AQ$302,$AR$5:$AR$302)),IF(LEFT($AI49,2)="S|",IF($AG49="","",IF(INDEX($AQ$5:$AQ$302,$AH49)=1,D49,0)),IF($AI49="HDR","LFL Sales",""))))))</f>
        <v>0</v>
      </c>
      <c r="AF49" s="8" cm="1">
        <f t="array" ref="AF49">IF($AI49="","",IF(LEFT($AI49,2)="C|",IF($C49="","",SUMPRODUCT($AP$5:$AP$302*($AO$5:$AO$302=$A49)*$AQ$5:$AQ$302,$AS$5:$AS$302)),IF($AI49="CT",AF$13,IF(LEFT($AI49,3)="AM|",IF($C49="","",SUMPRODUCT($AP$5:$AP$302*($AN$5:$AN$302=$A49)*$AQ$5:$AQ$302,$AS$5:$AS$302)),IF(LEFT($AI49,2)="S|",IF($AG49="","",IF(INDEX($AQ$5:$AQ$302,$AH49)=1,P49,0)),IF($AI49="HDR","LFL Trans",""))))))</f>
        <v>0</v>
      </c>
      <c r="AG49" s="8" cm="1">
        <f t="array" ref="AG49">IF($AI49="","",IF(LEFT($AI49,2)="C|","",IF($AI49="CT","",IF(LEFT($AI49,3)="AM|","",IF(LEFT($AI49,2)="S|",IF($AH49="","",IF(INDEX($AP$5:$AP$302,$AH49)=1,1,"")),IF($AI49="HDR","Show",""))))))</f>
        <v>1</v>
      </c>
      <c r="AH49" s="8">
        <f t="shared" si="42"/>
        <v>101</v>
      </c>
      <c r="AI49" s="8" t="str">
        <v>S|HAPARKTAIF</v>
      </c>
      <c r="AN49" s="8" t="str" cm="1">
        <f t="array" ref="AN49">IF($AW49="","",_xlfn.LET(_xlpm.sa,IFERROR(TRIM(INDEX('Sales and count'!$D$4:$D$300,$BF49)&amp;""),""),_xlpm.ta,IFERROR(TRIM(INDEX('TY Sales Target'!$F$5:$F$300,$BG49)&amp;""),""),IF(AND(_xlpm.sa&lt;&gt;"",LEFT(_xlpm.sa,1)&lt;&gt;"#",_xlpm.sa&lt;&gt;"0"),_xlpm.sa,IF(AND(_xlpm.ta&lt;&gt;"",LEFT(_xlpm.ta,1)&lt;&gt;"#",_xlpm.ta&lt;&gt;"0"),_xlpm.ta,IF(ISNUMBER($BG49),"Unassigned","")))))</f>
        <v>Mohammed Sanad</v>
      </c>
      <c r="AO49" s="8" t="str" cm="1">
        <f t="array" ref="AO49">IF($AW49="","",_xlfn.LET(_xlpm.sa,IFERROR(TRIM(INDEX('Sales and count'!$C$4:$C$300,$BF49)&amp;""),""),_xlpm.ta,IFERROR(TRIM(INDEX('TY Sales Target'!$D$5:$D$300,$BG49)&amp;""),""),IF(AND(_xlpm.sa&lt;&gt;"",LEFT(_xlpm.sa,1)&lt;&gt;"#",_xlpm.sa&lt;&gt;"0"),_xlpm.sa,IF(AND(_xlpm.ta&lt;&gt;"",LEFT(_xlpm.ta,1)&lt;&gt;"#",_xlpm.ta&lt;&gt;"0"),_xlpm.ta,""))))</f>
        <v>Qurayat</v>
      </c>
      <c r="AP49" s="8">
        <f t="shared" si="2"/>
        <v>0</v>
      </c>
      <c r="AQ49" s="8">
        <f t="shared" si="0"/>
        <v>1</v>
      </c>
      <c r="AR49" s="8" cm="1">
        <f t="array" ref="AR49">IF($BF49="",0,_xlfn.LET(_xlpm.d,IFERROR(--'Sales and count'!$G$2:$CC$2,0),SUMPRODUCT(('Sales and count'!$G$3:$CC$3="Total")*(_xlpm.d&gt;=$U$4)*(_xlpm.d&lt;=$U$5),INDEX('Sales and count'!$G$4:$CC$300,$BF49,0))))</f>
        <v>90402.119999999966</v>
      </c>
      <c r="AS49" s="8" cm="1">
        <f t="array" aca="1" ref="AS49" ca="1">IF($BF49="",0,_xlfn.LET(_xlpm.d,IFERROR(--'Sales and count'!$F$2:$CB$2,0),SUMPRODUCT(('Sales and count'!$G$3:$CC$3="Transactions")*(_xlpm.d&gt;=$U$4)*(_xlpm.d&lt;=$U$5),INDEX('Sales and count'!$G$4:$CC$300,$BF49,0))))</f>
        <v>572</v>
      </c>
      <c r="AT49" s="8" cm="1">
        <f t="array" ref="AT49">IF($AW49="",0,SUMPRODUCT((TRIM('LY Sales '!$B$5:$B$200)=$AW49)*('LY Sales '!$C$2:$AG$2&gt;=EDATE($U$4,-12))*('LY Sales '!$C$2:$AG$2&lt;=EDATE($U$5,-12)),'LY Sales '!$C$5:$AG$200))</f>
        <v>44533.040000000008</v>
      </c>
      <c r="AU49" s="8" cm="1">
        <f t="array" ref="AU49">IF($AW49="",0,SUMPRODUCT((TRIM('LY Transaction'!$B$5:$B$200)=$AW49)*('LY Transaction'!$C$2:$AG$2&gt;=EDATE($U$4,-12))*('LY Transaction'!$C$2:$AG$2&lt;=EDATE($U$5,-12)),'LY Transaction'!$C$5:$AG$200))</f>
        <v>318</v>
      </c>
      <c r="AV49" s="8" cm="1">
        <f t="array" ref="AV49">IF(NOT(ISNUMBER($BG49)),0,SUMPRODUCT(('TY Sales Target'!$K$2:$AO$2&gt;=$U$4)*('TY Sales Target'!$K$2:$AO$2&lt;=$U$5),INDEX('TY Sales Target'!$K$5:$AO$300,$BG49,0)))</f>
        <v>114926.2448167985</v>
      </c>
      <c r="AW49" s="8" t="str" cm="1">
        <f t="array" ref="AW49">IFERROR(INDEX(_xlfn.ANCHORARRAY($BR$5),ROWS($AW$5:AW49)),"")</f>
        <v>HAQURSOQ</v>
      </c>
      <c r="BB49" cm="1">
        <f t="array" ref="BB49">IF($AW49="",0,SUMPRODUCT((TRIM(Footfall!$B$5:$B$301)=$AW49)*(Footfall!$C$1:$BZ$1&gt;=$U$4)*(Footfall!$C$2:$BZ$2&lt;=$U$5)*(Footfall!$C$1:$BZ$1&lt;&gt;""),Footfall!$C$5:$BZ$301))</f>
        <v>0</v>
      </c>
      <c r="BC49" cm="1">
        <f t="array" ref="BC49">IF(OR($BB49&lt;=0,$BD$1="",$BF49=""),0,_xlfn.LET(_xlpm.d,IFERROR(--'Sales and count'!$F$2:$CB$2,0),SUMPRODUCT(('Sales and count'!$G$3:$CC$3="Transactions")*(_xlpm.d&gt;=$BD$1)*(_xlpm.d&lt;=$BD$2),INDEX('Sales and count'!$G$4:$CC$300,$BF49,0))))</f>
        <v>0</v>
      </c>
      <c r="BF49" cm="1">
        <f t="array" ref="BF49">IF($AW49="","",IFERROR(MATCH($AW49,TRIM('Sales and count'!$A$4:$A$300&amp;""),0),""))</f>
        <v>45</v>
      </c>
      <c r="BG49" cm="1">
        <f t="array" ref="BG49">IF($AW49="","",IFERROR(MATCH(IFERROR(_xlfn.XLOOKUP($AW49,$BT$5:$BT$22,$BU$5:$BU$22),$AW49),TRIM('TY Sales Target'!$B$5:$B$300&amp;""),0),""))</f>
        <v>88</v>
      </c>
      <c r="BH49" t="str" cm="1">
        <f t="array" ref="BH49">IF(ISNUMBER($BG49),_xlfn.LET(_xlpm.p,TRIM(INDEX('TY Sales Target'!$I$5:$I$300,$BG49)&amp;""),IF(_xlpm.p="","Not set",_xlpm.p)),"Not set")</f>
        <v>I Pad</v>
      </c>
      <c r="BI49" cm="1">
        <f t="array" ref="BI49">IF($BF49="",0,_xlfn.LET(_xlpm.d,IFERROR(--'Sales and count'!$G$2:$CC$2,0),SUMPRODUCT(('Sales and count'!$G$3:$CC$3="Total")*(_xlpm.d&gt;=$BZ$5)*(_xlpm.d&lt;=$BZ$6),INDEX('Sales and count'!$G$4:$CC$300,$BF49,0))))</f>
        <v>90402.119999999966</v>
      </c>
      <c r="BJ49" cm="1">
        <f t="array" ref="BJ49">IF($AW49="",0,SUMPRODUCT((TRIM('LY Sales '!$B$5:$B$200)=$AW49)*('LY Sales '!$C$2:$AG$2&gt;=EDATE($BZ$5,-12))*('LY Sales '!$C$2:$AG$2&lt;=EDATE($BZ$6,-12)),'LY Sales '!$C$5:$AG$200))</f>
        <v>44533.040000000008</v>
      </c>
      <c r="BK49" cm="1">
        <f t="array" ref="BK49">IF($AW49="",0,SUMPRODUCT((TRIM('LY Sales '!$B$5:$B$200)=$AW49)*('LY Sales '!$C$2:$AG$2&gt;=EDATE($BZ$5,-12))*('LY Sales '!$C$2:$AG$2&lt;=EDATE($BZ$7,-12)),'LY Sales '!$C$5:$AG$200))</f>
        <v>92586.18</v>
      </c>
      <c r="BL49" cm="1">
        <f t="array" ref="BL49">IF($AW49="",0,SUMPRODUCT((TRIM('LY Sales '!$B$5:$B$200)=$AW49)*('LY Sales '!$C$2:$AG$2&gt;=EDATE($BZ$5,-12))*('LY Sales '!$C$2:$AG$2&lt;=EDATE($BZ$6,-12))*('LY Sales '!$C$5:$AG$200&gt;0)))</f>
        <v>12</v>
      </c>
      <c r="BM49" cm="1">
        <f t="array" ref="BM49">IF(NOT(ISNUMBER($BG49)),0,SUMPRODUCT(('TY Sales Target'!$K$2:$AO$2&gt;=$BZ$5)*('TY Sales Target'!$K$2:$AO$2&lt;=$BZ$6),INDEX('TY Sales Target'!$K$5:$AO$300,$BG49,0)))</f>
        <v>114926.2448167985</v>
      </c>
      <c r="BN49" cm="1">
        <f t="array" ref="BN49">IF(NOT(ISNUMBER($BG49)),0,SUMPRODUCT(('TY Sales Target'!$K$2:$AO$2&gt;=$BZ$5)*('TY Sales Target'!$K$2:$AO$2&lt;=$BZ$7),INDEX('TY Sales Target'!$K$5:$AO$300,$BG49,0)))</f>
        <v>150000</v>
      </c>
      <c r="BO49" cm="1">
        <f t="array" ref="BO49">IF($AW49="",0,IFERROR(_xlfn.SWITCH($BP49,"LY trend",$BI49*$BK49/$BJ49,"Target curve",$BI49*$BN49/$BM49,"Run rate",$BI49/$BZ$8*$BZ$9,0),0))</f>
        <v>117991.48246439455</v>
      </c>
      <c r="BP49" t="str">
        <f t="shared" si="1"/>
        <v>Target curve</v>
      </c>
      <c r="BR49" t="str">
        <v>HAQURSOQ</v>
      </c>
      <c r="CB49" cm="1">
        <f t="array" ref="CB49">IF($AW49="",0,_xlfn.LET(_xlpm.k,IFERROR(_xlfn.XLOOKUP($AW49,$CD$6:$CD$21,$CE$6:$CE$21),$AW49),SUMPRODUCT((TRIM('Makeup '!$A$2:$A$300&amp;"")=_xlpm.k)*1,IFERROR('Makeup '!$F$2:$F$300*1,0))))</f>
        <v>1474.12</v>
      </c>
      <c r="CF49" t="str" cm="1">
        <f t="array" ref="CF49">IF($AW49="","",_xlfn.LET(_xlpm.c,IFERROR(TRIM(INDEX('Sales and count'!$B$4:$B$300,$BF49)&amp;""),""),IF(OR(_xlpm.c="",_xlpm.c="0",LEFT(_xlpm.c,1)="#"),"Not set",_xlpm.c)))</f>
        <v>KSA</v>
      </c>
      <c r="CH49" cm="1">
        <f t="array" ref="CH49">IF($AW49="",0,_xlfn.LET(_xlpm.k,IFERROR(_xlfn.XLOOKUP($AW49,$CD$6:$CD$21,$CE$6:$CE$21),$AW49),--(SUMPRODUCT((TRIM('Makeup '!$A$2:$A$300&amp;"")=_xlpm.k)*ISNUMBER('Makeup '!$F$2:$F$300))&gt;0)))</f>
        <v>1</v>
      </c>
      <c r="CI49">
        <f t="shared" si="4"/>
        <v>90402.119999999966</v>
      </c>
      <c r="CJ49" cm="1">
        <f t="array" ref="CJ49">IF($AW49="",0,--(SUMPRODUCT(--(TRIM(Footfall!$B$5:$B$301)=$AW49))&gt;0))</f>
        <v>0</v>
      </c>
      <c r="CK49" s="8" cm="1">
        <f t="array" ref="CK49">IF($AW49="",0,_xlfn.LET(_xlpm.r,IFERROR(MATCH(IFERROR(_xlfn.XLOOKUP($AW49,$BT$5:$BT$22,$BU$5:$BU$22),$AW49),TRIM('TY Beauty Target'!$B$5:$B$300&amp;""),0),""),IF(ISNUMBER(_xlpm.r),SUMPRODUCT(('TY Beauty Target'!$L$2:$AP$2&gt;=$U$4)*('TY Beauty Target'!$L$2:$AP$2&lt;=$U$5),INDEX('TY Beauty Target'!$L$5:$AP$300,_xlpm.r,0)),0)))</f>
        <v>5291.4969541491328</v>
      </c>
    </row>
    <row r="50" spans="1:89" ht="15" customHeight="1" x14ac:dyDescent="0.25">
      <c r="A50" s="38" t="str">
        <f t="shared" si="30"/>
        <v>HATERATIF</v>
      </c>
      <c r="B50" s="43" t="str" cm="1">
        <f t="array" ref="B50">IF($AI50="","",IF(LEFT($AI50,2)="C|",IF($C50="","",_xlfn.TEXTJOIN(", ",TRUE,_xlfn.UNIQUE(_xlfn._xlws.FILTER($AN$5:$AN$302,($AP$5:$AP$302=1)*($AO$5:$AO$302=$A50))))),IF($AI50="CT",B$13,IF(LEFT($AI50,3)="AM|",IF($C50="","",ROWS(_xlfn.UNIQUE(_xlfn._xlws.FILTER($AO$5:$AO$302,($AP$5:$AP$302=1)*($AN$5:$AN$302=$A50))))),IF(LEFT($AI50,2)="S|",IF($AG50="","",INDEX($AO$5:$AO$302,$AH50)),IF($AI50="HDR","City",""))))))</f>
        <v>Taif</v>
      </c>
      <c r="C50" s="39" t="str" cm="1">
        <f t="array" ref="C50">IF($AI50="","",IF(LEFT($AI50,2)="C|",_xlfn.LET(_xlpm.n,SUMPRODUCT($AP$5:$AP$302*($AO$5:$AO$302=$A50)),IF(_xlpm.n=0,"",_xlpm.n)),IF($AI50="CT",C$13,IF(LEFT($AI50,3)="AM|",_xlfn.LET(_xlpm.n,SUMPRODUCT($AP$5:$AP$302*($AN$5:$AN$302=$A50)),IF(_xlpm.n=0,"",_xlpm.n)),IF(LEFT($AI50,2)="S|","",IF($AI50="HDR","# Stores",""))))))</f>
        <v/>
      </c>
      <c r="D50" s="40" cm="1">
        <f t="array" ref="D50">IF($AI50="","",IF(LEFT($AI50,2)="C|",IF($C50="","",SUMPRODUCT($AP$5:$AP$302*($AO$5:$AO$302=$A50),$AR$5:$AR$302)),IF($AI50="CT",D$13,IF(LEFT($AI50,3)="AM|",IF($C50="","",SUMPRODUCT($AP$5:$AP$302*($AN$5:$AN$302=$A50),$AR$5:$AR$302)),IF(LEFT($AI50,2)="S|",IF($AG50="","",INDEX($AR$5:$AR$302,$AH50)),IF($AI50="HDR","Sales TY",""))))))</f>
        <v>57494.560000000005</v>
      </c>
      <c r="E50" s="40" cm="1">
        <f t="array" ref="E50">IF($AI50="","",IF(LEFT($AI50,2)="C|",IF($C50="","",SUMPRODUCT($AP$5:$AP$302*($AO$5:$AO$302=$A50),$AT$5:$AT$302)),IF($AI50="CT",E$13,IF(LEFT($AI50,3)="AM|",IF($C50="","",SUMPRODUCT($AP$5:$AP$302*($AN$5:$AN$302=$A50),$AT$5:$AT$302)),IF(LEFT($AI50,2)="S|",IF($AG50="","",INDEX($AT$5:$AT$302,$AH50)),IF($AI50="HDR","Sales LY",""))))))</f>
        <v>0</v>
      </c>
      <c r="F50" s="41" t="str">
        <f t="shared" si="31"/>
        <v/>
      </c>
      <c r="G50" s="41" t="str">
        <f t="shared" si="32"/>
        <v/>
      </c>
      <c r="H50" s="40" cm="1">
        <f t="array" ref="H50">IF($AI50="","",IF(LEFT($AI50,2)="C|",IF($C50="","",SUMPRODUCT($AP$5:$AP$302*($AO$5:$AO$302=$A50),$AV$5:$AV$302)),IF($AI50="CT",H$13,IF(LEFT($AI50,3)="AM|",IF($C50="","",SUMPRODUCT($AP$5:$AP$302*($AN$5:$AN$302=$A50),$AV$5:$AV$302)),IF(LEFT($AI50,2)="S|",IF($AG50="","",INDEX($AV$5:$AV$302,$AH50)),IF($AI50="HDR","Target",""))))))</f>
        <v>117100.48217301079</v>
      </c>
      <c r="I50" s="41">
        <f t="shared" si="33"/>
        <v>0.49098482715941622</v>
      </c>
      <c r="J50" s="40">
        <f t="shared" si="34"/>
        <v>-59605.922173010789</v>
      </c>
      <c r="K50" s="41">
        <f t="shared" si="35"/>
        <v>3.257668126141864E-2</v>
      </c>
      <c r="L50" s="40" cm="1">
        <f t="array" ref="L50">IF($AI50="","",IF(LEFT($AI50,2)="C|",IF($C50="","",SUMPRODUCT($AP$5:$AP$302*($AO$5:$AO$302=$A50),$BN$5:$BN$302)),IF($AI50="CT",L$13,IF(LEFT($AI50,3)="AM|",IF($C50="","",SUMPRODUCT($AP$5:$AP$302*($AN$5:$AN$302=$A50),$BN$5:$BN$302)),IF(LEFT($AI50,2)="S|",IF($AG50="","",INDEX($BN$5:$BN$302,$AH50)),IF($AI50="HDR","Month Target",""))))))</f>
        <v>152837.78177866802</v>
      </c>
      <c r="M50" s="40" cm="1">
        <f t="array" ref="M50">IF($AI50="","",IF(LEFT($AI50,2)="C|",IF($C50="","",SUMPRODUCT($AP$5:$AP$302*($AO$5:$AO$302=$A50),$BO$5:$BO$302)),IF($AI50="CT",M$13,IF(LEFT($AI50,3)="AM|",IF($C50="","",SUMPRODUCT($AP$5:$AP$302*($AN$5:$AN$302=$A50),$BO$5:$BO$302)),IF(LEFT($AI50,2)="S|",IF($AG50="","",INDEX($BO$5:$BO$302,$AH50)),IF($AI50="HDR","Projected Close",""))))))</f>
        <v>75041.031870027888</v>
      </c>
      <c r="N50" s="41">
        <f t="shared" si="43"/>
        <v>0.49098482715941616</v>
      </c>
      <c r="O50" s="41" t="str" cm="1">
        <f t="array" ref="O50">IF($AI50="HDR","Proj. vs LY",IF(OR($AI50="",M50=""),"",_xlfn.LET(_xlpm.ly,IF(LEFT($AI50,2)="C|",SUMPRODUCT($AP$5:$AP$302*($AO$5:$AO$302=$A50),$BK$5:$BK$302),IF($AI50="CT",SUMPRODUCT($AP$5:$AP$302,$BK$5:$BK$302),IF(LEFT($AI50,3)="AM|",SUMPRODUCT($AP$5:$AP$302*($AN$5:$AN$302=$A50),$BK$5:$BK$302),IF(LEFT($AI50,2)="S|",INDEX($BK$5:$BK$302,$AH50),0)))),IFERROR(M50/_xlpm.ly-1,""))))</f>
        <v/>
      </c>
      <c r="P50" s="40" cm="1">
        <f t="array" aca="1" ref="P50" ca="1">IF($AI50="","",IF(LEFT($AI50,2)="C|",IF($C50="","",SUMPRODUCT($AP$5:$AP$302*($AO$5:$AO$302=$A50),$AS$5:$AS$302)),IF($AI50="CT",P$13,IF(LEFT($AI50,3)="AM|",IF($C50="","",SUMPRODUCT($AP$5:$AP$302*($AN$5:$AN$302=$A50),$AS$5:$AS$302)),IF(LEFT($AI50,2)="S|",IF($AG50="","",INDEX($AS$5:$AS$302,$AH50)),IF($AI50="HDR","Trans TY",""))))))</f>
        <v>487</v>
      </c>
      <c r="Q50" s="40" cm="1">
        <f t="array" ref="Q50">IF($AI50="","",IF(LEFT($AI50,2)="C|",IF($C50="","",SUMPRODUCT($AP$5:$AP$302*($AO$5:$AO$302=$A50),$AU$5:$AU$302)),IF($AI50="CT",Q$13,IF(LEFT($AI50,3)="AM|",IF($C50="","",SUMPRODUCT($AP$5:$AP$302*($AN$5:$AN$302=$A50),$AU$5:$AU$302)),IF(LEFT($AI50,2)="S|",IF($AG50="","",INDEX($AU$5:$AU$302,$AH50)),IF($AI50="HDR","Trans LY",""))))))</f>
        <v>0</v>
      </c>
      <c r="R50" s="41" t="str">
        <f t="shared" si="36"/>
        <v/>
      </c>
      <c r="S50" s="41" t="str">
        <f t="shared" ca="1" si="37"/>
        <v/>
      </c>
      <c r="T50" s="42">
        <f t="shared" ca="1" si="38"/>
        <v>118.05864476386039</v>
      </c>
      <c r="U50" s="42" t="str">
        <f t="shared" si="39"/>
        <v/>
      </c>
      <c r="V50" s="41" t="str">
        <f t="shared" si="40"/>
        <v/>
      </c>
      <c r="W50" s="40" cm="1">
        <f t="array" ref="W50">IF($AI50="","",IF(LEFT($AI50,2)="C|",_xlfn.LET(_xlpm.n,SUMPRODUCT($AP$5:$AP$302*($AO$5:$AO$302=$A50),$BB$5:$BB$302),IF(_xlpm.n=0,"",_xlpm.n)),IF($AI50="CT",W$13,IF(LEFT($AI50,3)="AM|",_xlfn.LET(_xlpm.n,SUMPRODUCT($AP$5:$AP$302*($AN$5:$AN$302=$A50),$BB$5:$BB$302),IF(_xlpm.n=0,"",_xlpm.n)),IF(LEFT($AI50,2)="S|",IF($AG50="","",_xlfn.LET(_xlpm.n,INDEX($BB$5:$BB$302,$AH50),IF(_xlpm.n=0,"",_xlpm.n))),IF($AI50="HDR","Footfall",""))))))</f>
        <v>2893</v>
      </c>
      <c r="X50" s="40" cm="1">
        <f t="array" aca="1" ref="X50" ca="1">IF($AI50="","",IF($AI50="HDR","Trans (FF stores)",IF(W50="","",IF(LEFT($AI50,2)="C|",SUMPRODUCT($AP$5:$AP$302*($AO$5:$AO$302=$A50),$BC$5:$BC$302),IF($AI50="CT",X$13,IF(LEFT($AI50,3)="AM|",SUMPRODUCT($AP$5:$AP$302*($AN$5:$AN$302=$A50),$BC$5:$BC$302),IF(LEFT($AI50,2)="S|",INDEX($BC$5:$BC$302,$AH50),"")))))))</f>
        <v>487</v>
      </c>
      <c r="Y50" s="41">
        <f t="shared" ca="1" si="44"/>
        <v>0.16833736605599722</v>
      </c>
      <c r="Z50" s="40" cm="1">
        <f t="array" ref="Z50">IF($AI50="","",IF(LEFT($AI50,2)="C|",IF($C50="","",SUMPRODUCT($AP$5:$AP$302*($AO$5:$AO$302=$A50),$CB$5:$CB$302)),IF($AI50="CT",Z$13,IF(LEFT($AI50,3)="AM|",IF($C50="","",SUMPRODUCT($AP$5:$AP$302*($AN$5:$AN$302=$A50),$CB$5:$CB$302)),IF(LEFT($AI50,2)="S|",IF($AG50="","",INDEX($CB$5:$CB$302,$AH50)),IF($AI50="HDR","Makeup Sales",""))))))</f>
        <v>2030.62</v>
      </c>
      <c r="AA50" s="41">
        <f t="shared" si="41"/>
        <v>3.5318471869338591E-2</v>
      </c>
      <c r="AB50" s="40" cm="1">
        <f t="array" ref="AB50">IF($AI50="","",IF(LEFT($AI50,2)="C|",IF($C50="","",SUMPRODUCT($AP$5:$AP$302*($AO$5:$AO$302=$A50),$CK$5:$CK$302)),IF($AI50="CT",AB$13,IF(LEFT($AI50,3)="AM|",IF($C50="","",SUMPRODUCT($AP$5:$AP$302*($AN$5:$AN$302=$A50),$CK$5:$CK$302)),IF(LEFT($AI50,2)="S|",IF($AG50="","",INDEX($CK$5:$CK$302,$AH50)),IF($AI50="HDR","Makeup Target",""))))))</f>
        <v>5434.6042844613803</v>
      </c>
      <c r="AC50" s="41">
        <f t="shared" si="45"/>
        <v>0.37364633995633284</v>
      </c>
      <c r="AD50" s="40" cm="1">
        <f t="array" ref="AD50">IF($AI50="","",IF(LEFT($AI50,2)="C|",IF($C50="","",SUMPRODUCT($AP$5:$AP$302*($AO$5:$AO$302=$A50),$CI$5:$CI$302)),IF($AI50="CT",AD$13,IF(LEFT($AI50,3)="AM|",IF($C50="","",SUMPRODUCT($AP$5:$AP$302*($AN$5:$AN$302=$A50),$CI$5:$CI$302)),IF(LEFT($AI50,2)="S|",IF($AG50="","",INDEX($CI$5:$CI$302,$AH50)),IF($AI50="HDR","Cosmetic Sales",""))))))</f>
        <v>57494.560000000005</v>
      </c>
      <c r="AE50" s="8" cm="1">
        <f t="array" ref="AE50">IF($AI50="","",IF(LEFT($AI50,2)="C|",IF($C50="","",SUMPRODUCT($AP$5:$AP$302*($AO$5:$AO$302=$A50)*$AQ$5:$AQ$302,$AR$5:$AR$302)),IF($AI50="CT",AE$13,IF(LEFT($AI50,3)="AM|",IF($C50="","",SUMPRODUCT($AP$5:$AP$302*($AN$5:$AN$302=$A50)*$AQ$5:$AQ$302,$AR$5:$AR$302)),IF(LEFT($AI50,2)="S|",IF($AG50="","",IF(INDEX($AQ$5:$AQ$302,$AH50)=1,D50,0)),IF($AI50="HDR","LFL Sales",""))))))</f>
        <v>0</v>
      </c>
      <c r="AF50" s="8" cm="1">
        <f t="array" ref="AF50">IF($AI50="","",IF(LEFT($AI50,2)="C|",IF($C50="","",SUMPRODUCT($AP$5:$AP$302*($AO$5:$AO$302=$A50)*$AQ$5:$AQ$302,$AS$5:$AS$302)),IF($AI50="CT",AF$13,IF(LEFT($AI50,3)="AM|",IF($C50="","",SUMPRODUCT($AP$5:$AP$302*($AN$5:$AN$302=$A50)*$AQ$5:$AQ$302,$AS$5:$AS$302)),IF(LEFT($AI50,2)="S|",IF($AG50="","",IF(INDEX($AQ$5:$AQ$302,$AH50)=1,P50,0)),IF($AI50="HDR","LFL Trans",""))))))</f>
        <v>0</v>
      </c>
      <c r="AG50" s="8" cm="1">
        <f t="array" ref="AG50">IF($AI50="","",IF(LEFT($AI50,2)="C|","",IF($AI50="CT","",IF(LEFT($AI50,3)="AM|","",IF(LEFT($AI50,2)="S|",IF($AH50="","",IF(INDEX($AP$5:$AP$302,$AH50)=1,1,"")),IF($AI50="HDR","Show",""))))))</f>
        <v>1</v>
      </c>
      <c r="AH50" s="8">
        <f t="shared" si="42"/>
        <v>98</v>
      </c>
      <c r="AI50" s="8" t="str">
        <v>S|HATERATIF</v>
      </c>
      <c r="AN50" s="8" t="str" cm="1">
        <f t="array" ref="AN50">IF($AW50="","",_xlfn.LET(_xlpm.sa,IFERROR(TRIM(INDEX('Sales and count'!$D$4:$D$300,$BF50)&amp;""),""),_xlpm.ta,IFERROR(TRIM(INDEX('TY Sales Target'!$F$5:$F$300,$BG50)&amp;""),""),IF(AND(_xlpm.sa&lt;&gt;"",LEFT(_xlpm.sa,1)&lt;&gt;"#",_xlpm.sa&lt;&gt;"0"),_xlpm.sa,IF(AND(_xlpm.ta&lt;&gt;"",LEFT(_xlpm.ta,1)&lt;&gt;"#",_xlpm.ta&lt;&gt;"0"),_xlpm.ta,IF(ISNUMBER($BG50),"Unassigned","")))))</f>
        <v>Ahmed Jaffari</v>
      </c>
      <c r="AO50" s="8" t="str" cm="1">
        <f t="array" ref="AO50">IF($AW50="","",_xlfn.LET(_xlpm.sa,IFERROR(TRIM(INDEX('Sales and count'!$C$4:$C$300,$BF50)&amp;""),""),_xlpm.ta,IFERROR(TRIM(INDEX('TY Sales Target'!$D$5:$D$300,$BG50)&amp;""),""),IF(AND(_xlpm.sa&lt;&gt;"",LEFT(_xlpm.sa,1)&lt;&gt;"#",_xlpm.sa&lt;&gt;"0"),_xlpm.sa,IF(AND(_xlpm.ta&lt;&gt;"",LEFT(_xlpm.ta,1)&lt;&gt;"#",_xlpm.ta&lt;&gt;"0"),_xlpm.ta,""))))</f>
        <v>Jizan</v>
      </c>
      <c r="AP50" s="8">
        <f t="shared" si="2"/>
        <v>0</v>
      </c>
      <c r="AQ50" s="8">
        <f t="shared" si="0"/>
        <v>1</v>
      </c>
      <c r="AR50" s="8" cm="1">
        <f t="array" ref="AR50">IF($BF50="",0,_xlfn.LET(_xlpm.d,IFERROR(--'Sales and count'!$G$2:$CC$2,0),SUMPRODUCT(('Sales and count'!$G$3:$CC$3="Total")*(_xlpm.d&gt;=$U$4)*(_xlpm.d&lt;=$U$5),INDEX('Sales and count'!$G$4:$CC$300,$BF50,0))))</f>
        <v>213997.33999999997</v>
      </c>
      <c r="AS50" s="8" cm="1">
        <f t="array" aca="1" ref="AS50" ca="1">IF($BF50="",0,_xlfn.LET(_xlpm.d,IFERROR(--'Sales and count'!$F$2:$CB$2,0),SUMPRODUCT(('Sales and count'!$G$3:$CC$3="Transactions")*(_xlpm.d&gt;=$U$4)*(_xlpm.d&lt;=$U$5),INDEX('Sales and count'!$G$4:$CC$300,$BF50,0))))</f>
        <v>1452</v>
      </c>
      <c r="AT50" s="8" cm="1">
        <f t="array" ref="AT50">IF($AW50="",0,SUMPRODUCT((TRIM('LY Sales '!$B$5:$B$200)=$AW50)*('LY Sales '!$C$2:$AG$2&gt;=EDATE($U$4,-12))*('LY Sales '!$C$2:$AG$2&lt;=EDATE($U$5,-12)),'LY Sales '!$C$5:$AG$200))</f>
        <v>337710.30000000005</v>
      </c>
      <c r="AU50" s="8" cm="1">
        <f t="array" ref="AU50">IF($AW50="",0,SUMPRODUCT((TRIM('LY Transaction'!$B$5:$B$200)=$AW50)*('LY Transaction'!$C$2:$AG$2&gt;=EDATE($U$4,-12))*('LY Transaction'!$C$2:$AG$2&lt;=EDATE($U$5,-12)),'LY Transaction'!$C$5:$AG$200))</f>
        <v>2673</v>
      </c>
      <c r="AV50" s="8" cm="1">
        <f t="array" ref="AV50">IF(NOT(ISNUMBER($BG50)),0,SUMPRODUCT(('TY Sales Target'!$K$2:$AO$2&gt;=$U$4)*('TY Sales Target'!$K$2:$AO$2&lt;=$U$5),INDEX('TY Sales Target'!$K$5:$AO$300,$BG50,0)))</f>
        <v>344778.73445039551</v>
      </c>
      <c r="AW50" s="8" t="str" cm="1">
        <f t="array" ref="AW50">IFERROR(INDEX(_xlfn.ANCHORARRAY($BR$5),ROWS($AW$5:AW50)),"")</f>
        <v>JIZWFPLZ</v>
      </c>
      <c r="BB50" cm="1">
        <f t="array" ref="BB50">IF($AW50="",0,SUMPRODUCT((TRIM(Footfall!$B$5:$B$301)=$AW50)*(Footfall!$C$1:$BZ$1&gt;=$U$4)*(Footfall!$C$2:$BZ$2&lt;=$U$5)*(Footfall!$C$1:$BZ$1&lt;&gt;""),Footfall!$C$5:$BZ$301))</f>
        <v>4451</v>
      </c>
      <c r="BC50" cm="1">
        <f t="array" aca="1" ref="BC50" ca="1">IF(OR($BB50&lt;=0,$BD$1="",$BF50=""),0,_xlfn.LET(_xlpm.d,IFERROR(--'Sales and count'!$F$2:$CB$2,0),SUMPRODUCT(('Sales and count'!$G$3:$CC$3="Transactions")*(_xlpm.d&gt;=$BD$1)*(_xlpm.d&lt;=$BD$2),INDEX('Sales and count'!$G$4:$CC$300,$BF50,0))))</f>
        <v>1452</v>
      </c>
      <c r="BF50" cm="1">
        <f t="array" ref="BF50">IF($AW50="","",IFERROR(MATCH($AW50,TRIM('Sales and count'!$A$4:$A$300&amp;""),0),""))</f>
        <v>46</v>
      </c>
      <c r="BG50" cm="1">
        <f t="array" ref="BG50">IF($AW50="","",IFERROR(MATCH(IFERROR(_xlfn.XLOOKUP($AW50,$BT$5:$BT$22,$BU$5:$BU$22),$AW50),TRIM('TY Sales Target'!$B$5:$B$300&amp;""),0),""))</f>
        <v>12</v>
      </c>
      <c r="BH50" t="str" cm="1">
        <f t="array" ref="BH50">IF(ISNUMBER($BG50),_xlfn.LET(_xlpm.p,TRIM(INDEX('TY Sales Target'!$I$5:$I$300,$BG50)&amp;""),IF(_xlpm.p="","Not set",_xlpm.p)),"Not set")</f>
        <v>Car</v>
      </c>
      <c r="BI50" cm="1">
        <f t="array" ref="BI50">IF($BF50="",0,_xlfn.LET(_xlpm.d,IFERROR(--'Sales and count'!$G$2:$CC$2,0),SUMPRODUCT(('Sales and count'!$G$3:$CC$3="Total")*(_xlpm.d&gt;=$BZ$5)*(_xlpm.d&lt;=$BZ$6),INDEX('Sales and count'!$G$4:$CC$300,$BF50,0))))</f>
        <v>213997.33999999997</v>
      </c>
      <c r="BJ50" cm="1">
        <f t="array" ref="BJ50">IF($AW50="",0,SUMPRODUCT((TRIM('LY Sales '!$B$5:$B$200)=$AW50)*('LY Sales '!$C$2:$AG$2&gt;=EDATE($BZ$5,-12))*('LY Sales '!$C$2:$AG$2&lt;=EDATE($BZ$6,-12)),'LY Sales '!$C$5:$AG$200))</f>
        <v>337710.30000000005</v>
      </c>
      <c r="BK50" cm="1">
        <f t="array" ref="BK50">IF($AW50="",0,SUMPRODUCT((TRIM('LY Sales '!$B$5:$B$200)=$AW50)*('LY Sales '!$C$2:$AG$2&gt;=EDATE($BZ$5,-12))*('LY Sales '!$C$2:$AG$2&lt;=EDATE($BZ$7,-12)),'LY Sales '!$C$5:$AG$200))</f>
        <v>438961.82000000018</v>
      </c>
      <c r="BL50" cm="1">
        <f t="array" ref="BL50">IF($AW50="",0,SUMPRODUCT((TRIM('LY Sales '!$B$5:$B$200)=$AW50)*('LY Sales '!$C$2:$AG$2&gt;=EDATE($BZ$5,-12))*('LY Sales '!$C$2:$AG$2&lt;=EDATE($BZ$6,-12))*('LY Sales '!$C$5:$AG$200&gt;0)))</f>
        <v>26</v>
      </c>
      <c r="BM50" cm="1">
        <f t="array" ref="BM50">IF(NOT(ISNUMBER($BG50)),0,SUMPRODUCT(('TY Sales Target'!$K$2:$AO$2&gt;=$BZ$5)*('TY Sales Target'!$K$2:$AO$2&lt;=$BZ$6),INDEX('TY Sales Target'!$K$5:$AO$300,$BG50,0)))</f>
        <v>344778.73445039551</v>
      </c>
      <c r="BN50" cm="1">
        <f t="array" ref="BN50">IF(NOT(ISNUMBER($BG50)),0,SUMPRODUCT(('TY Sales Target'!$K$2:$AO$2&gt;=$BZ$5)*('TY Sales Target'!$K$2:$AO$2&lt;=$BZ$7),INDEX('TY Sales Target'!$K$5:$AO$300,$BG50,0)))</f>
        <v>450000.00000000012</v>
      </c>
      <c r="BO50" cm="1">
        <f t="array" ref="BO50">IF($AW50="",0,IFERROR(_xlfn.SWITCH($BP50,"LY trend",$BI50*$BK50/$BJ50,"Target curve",$BI50*$BN50/$BM50,"Run rate",$BI50/$BZ$8*$BZ$9,0),0))</f>
        <v>278157.52685529226</v>
      </c>
      <c r="BP50" t="str">
        <f t="shared" si="1"/>
        <v>LY trend</v>
      </c>
      <c r="BR50" t="str">
        <v>JIZWFPLZ</v>
      </c>
      <c r="CB50" cm="1">
        <f t="array" ref="CB50">IF($AW50="",0,_xlfn.LET(_xlpm.k,IFERROR(_xlfn.XLOOKUP($AW50,$CD$6:$CD$21,$CE$6:$CE$21),$AW50),SUMPRODUCT((TRIM('Makeup '!$A$2:$A$300&amp;"")=_xlpm.k)*1,IFERROR('Makeup '!$F$2:$F$300*1,0))))</f>
        <v>12864.1</v>
      </c>
      <c r="CF50" t="str" cm="1">
        <f t="array" ref="CF50">IF($AW50="","",_xlfn.LET(_xlpm.c,IFERROR(TRIM(INDEX('Sales and count'!$B$4:$B$300,$BF50)&amp;""),""),IF(OR(_xlpm.c="",_xlpm.c="0",LEFT(_xlpm.c,1)="#"),"Not set",_xlpm.c)))</f>
        <v>KSA</v>
      </c>
      <c r="CH50" cm="1">
        <f t="array" ref="CH50">IF($AW50="",0,_xlfn.LET(_xlpm.k,IFERROR(_xlfn.XLOOKUP($AW50,$CD$6:$CD$21,$CE$6:$CE$21),$AW50),--(SUMPRODUCT((TRIM('Makeup '!$A$2:$A$300&amp;"")=_xlpm.k)*ISNUMBER('Makeup '!$F$2:$F$300))&gt;0)))</f>
        <v>1</v>
      </c>
      <c r="CI50">
        <f t="shared" si="4"/>
        <v>213997.33999999997</v>
      </c>
      <c r="CJ50" cm="1">
        <f t="array" ref="CJ50">IF($AW50="",0,--(SUMPRODUCT(--(TRIM(Footfall!$B$5:$B$301)=$AW50))&gt;0))</f>
        <v>1</v>
      </c>
      <c r="CK50" s="8" cm="1">
        <f t="array" ref="CK50">IF($AW50="",0,_xlfn.LET(_xlpm.r,IFERROR(MATCH(IFERROR(_xlfn.XLOOKUP($AW50,$BT$5:$BT$22,$BU$5:$BU$22),$AW50),TRIM('TY Beauty Target'!$B$5:$B$300&amp;""),0),""),IF(ISNUMBER(_xlpm.r),SUMPRODUCT(('TY Beauty Target'!$L$2:$AP$2&gt;=$U$4)*('TY Beauty Target'!$L$2:$AP$2&lt;=$U$5),INDEX('TY Beauty Target'!$L$5:$AP$300,_xlpm.r,0)),0)))</f>
        <v>19253.375902576772</v>
      </c>
    </row>
    <row r="51" spans="1:89" ht="15" customHeight="1" x14ac:dyDescent="0.25">
      <c r="A51" s="38" t="str">
        <f t="shared" si="30"/>
        <v/>
      </c>
      <c r="B51" s="43" t="str" cm="1">
        <f t="array" ref="B51">IF($AI51="","",IF(LEFT($AI51,2)="C|",IF($C51="","",_xlfn.TEXTJOIN(", ",TRUE,_xlfn.UNIQUE(_xlfn._xlws.FILTER($AN$5:$AN$302,($AP$5:$AP$302=1)*($AO$5:$AO$302=$A51))))),IF($AI51="CT",B$13,IF(LEFT($AI51,3)="AM|",IF($C51="","",ROWS(_xlfn.UNIQUE(_xlfn._xlws.FILTER($AO$5:$AO$302,($AP$5:$AP$302=1)*($AN$5:$AN$302=$A51))))),IF(LEFT($AI51,2)="S|",IF($AG51="","",INDEX($AO$5:$AO$302,$AH51)),IF($AI51="HDR","City",""))))))</f>
        <v/>
      </c>
      <c r="C51" s="39" t="str" cm="1">
        <f t="array" ref="C51">IF($AI51="","",IF(LEFT($AI51,2)="C|",_xlfn.LET(_xlpm.n,SUMPRODUCT($AP$5:$AP$302*($AO$5:$AO$302=$A51)),IF(_xlpm.n=0,"",_xlpm.n)),IF($AI51="CT",C$13,IF(LEFT($AI51,3)="AM|",_xlfn.LET(_xlpm.n,SUMPRODUCT($AP$5:$AP$302*($AN$5:$AN$302=$A51)),IF(_xlpm.n=0,"",_xlpm.n)),IF(LEFT($AI51,2)="S|","",IF($AI51="HDR","# Stores",""))))))</f>
        <v/>
      </c>
      <c r="D51" s="40" t="str" cm="1">
        <f t="array" ref="D51">IF($AI51="","",IF(LEFT($AI51,2)="C|",IF($C51="","",SUMPRODUCT($AP$5:$AP$302*($AO$5:$AO$302=$A51),$AR$5:$AR$302)),IF($AI51="CT",D$13,IF(LEFT($AI51,3)="AM|",IF($C51="","",SUMPRODUCT($AP$5:$AP$302*($AN$5:$AN$302=$A51),$AR$5:$AR$302)),IF(LEFT($AI51,2)="S|",IF($AG51="","",INDEX($AR$5:$AR$302,$AH51)),IF($AI51="HDR","Sales TY",""))))))</f>
        <v/>
      </c>
      <c r="E51" s="40" t="str" cm="1">
        <f t="array" ref="E51">IF($AI51="","",IF(LEFT($AI51,2)="C|",IF($C51="","",SUMPRODUCT($AP$5:$AP$302*($AO$5:$AO$302=$A51),$AT$5:$AT$302)),IF($AI51="CT",E$13,IF(LEFT($AI51,3)="AM|",IF($C51="","",SUMPRODUCT($AP$5:$AP$302*($AN$5:$AN$302=$A51),$AT$5:$AT$302)),IF(LEFT($AI51,2)="S|",IF($AG51="","",INDEX($AT$5:$AT$302,$AH51)),IF($AI51="HDR","Sales LY",""))))))</f>
        <v/>
      </c>
      <c r="F51" s="41" t="str">
        <f t="shared" si="31"/>
        <v/>
      </c>
      <c r="G51" s="41" t="str">
        <f t="shared" si="32"/>
        <v/>
      </c>
      <c r="H51" s="40" t="str" cm="1">
        <f t="array" ref="H51">IF($AI51="","",IF(LEFT($AI51,2)="C|",IF($C51="","",SUMPRODUCT($AP$5:$AP$302*($AO$5:$AO$302=$A51),$AV$5:$AV$302)),IF($AI51="CT",H$13,IF(LEFT($AI51,3)="AM|",IF($C51="","",SUMPRODUCT($AP$5:$AP$302*($AN$5:$AN$302=$A51),$AV$5:$AV$302)),IF(LEFT($AI51,2)="S|",IF($AG51="","",INDEX($AV$5:$AV$302,$AH51)),IF($AI51="HDR","Target",""))))))</f>
        <v/>
      </c>
      <c r="I51" s="41" t="str">
        <f t="shared" si="33"/>
        <v/>
      </c>
      <c r="J51" s="40" t="str">
        <f t="shared" si="34"/>
        <v/>
      </c>
      <c r="K51" s="41" t="str">
        <f t="shared" si="35"/>
        <v/>
      </c>
      <c r="L51" s="40" t="str" cm="1">
        <f t="array" ref="L51">IF($AI51="","",IF(LEFT($AI51,2)="C|",IF($C51="","",SUMPRODUCT($AP$5:$AP$302*($AO$5:$AO$302=$A51),$BN$5:$BN$302)),IF($AI51="CT",L$13,IF(LEFT($AI51,3)="AM|",IF($C51="","",SUMPRODUCT($AP$5:$AP$302*($AN$5:$AN$302=$A51),$BN$5:$BN$302)),IF(LEFT($AI51,2)="S|",IF($AG51="","",INDEX($BN$5:$BN$302,$AH51)),IF($AI51="HDR","Month Target",""))))))</f>
        <v/>
      </c>
      <c r="M51" s="40" t="str" cm="1">
        <f t="array" ref="M51">IF($AI51="","",IF(LEFT($AI51,2)="C|",IF($C51="","",SUMPRODUCT($AP$5:$AP$302*($AO$5:$AO$302=$A51),$BO$5:$BO$302)),IF($AI51="CT",M$13,IF(LEFT($AI51,3)="AM|",IF($C51="","",SUMPRODUCT($AP$5:$AP$302*($AN$5:$AN$302=$A51),$BO$5:$BO$302)),IF(LEFT($AI51,2)="S|",IF($AG51="","",INDEX($BO$5:$BO$302,$AH51)),IF($AI51="HDR","Projected Close",""))))))</f>
        <v/>
      </c>
      <c r="N51" s="41" t="str">
        <f t="shared" si="43"/>
        <v/>
      </c>
      <c r="O51" s="41" t="str" cm="1">
        <f t="array" ref="O51">IF($AI51="HDR","Proj. vs LY",IF(OR($AI51="",M51=""),"",_xlfn.LET(_xlpm.ly,IF(LEFT($AI51,2)="C|",SUMPRODUCT($AP$5:$AP$302*($AO$5:$AO$302=$A51),$BK$5:$BK$302),IF($AI51="CT",SUMPRODUCT($AP$5:$AP$302,$BK$5:$BK$302),IF(LEFT($AI51,3)="AM|",SUMPRODUCT($AP$5:$AP$302*($AN$5:$AN$302=$A51),$BK$5:$BK$302),IF(LEFT($AI51,2)="S|",INDEX($BK$5:$BK$302,$AH51),0)))),IFERROR(M51/_xlpm.ly-1,""))))</f>
        <v/>
      </c>
      <c r="P51" s="40" t="str" cm="1">
        <f t="array" ref="P51">IF($AI51="","",IF(LEFT($AI51,2)="C|",IF($C51="","",SUMPRODUCT($AP$5:$AP$302*($AO$5:$AO$302=$A51),$AS$5:$AS$302)),IF($AI51="CT",P$13,IF(LEFT($AI51,3)="AM|",IF($C51="","",SUMPRODUCT($AP$5:$AP$302*($AN$5:$AN$302=$A51),$AS$5:$AS$302)),IF(LEFT($AI51,2)="S|",IF($AG51="","",INDEX($AS$5:$AS$302,$AH51)),IF($AI51="HDR","Trans TY",""))))))</f>
        <v/>
      </c>
      <c r="Q51" s="40" t="str" cm="1">
        <f t="array" ref="Q51">IF($AI51="","",IF(LEFT($AI51,2)="C|",IF($C51="","",SUMPRODUCT($AP$5:$AP$302*($AO$5:$AO$302=$A51),$AU$5:$AU$302)),IF($AI51="CT",Q$13,IF(LEFT($AI51,3)="AM|",IF($C51="","",SUMPRODUCT($AP$5:$AP$302*($AN$5:$AN$302=$A51),$AU$5:$AU$302)),IF(LEFT($AI51,2)="S|",IF($AG51="","",INDEX($AU$5:$AU$302,$AH51)),IF($AI51="HDR","Trans LY",""))))))</f>
        <v/>
      </c>
      <c r="R51" s="41" t="str">
        <f t="shared" si="36"/>
        <v/>
      </c>
      <c r="S51" s="41" t="str">
        <f t="shared" si="37"/>
        <v/>
      </c>
      <c r="T51" s="42" t="str">
        <f t="shared" si="38"/>
        <v/>
      </c>
      <c r="U51" s="42" t="str">
        <f t="shared" si="39"/>
        <v/>
      </c>
      <c r="V51" s="41" t="str">
        <f t="shared" si="40"/>
        <v/>
      </c>
      <c r="W51" s="40" t="str" cm="1">
        <f t="array" ref="W51">IF($AI51="","",IF(LEFT($AI51,2)="C|",_xlfn.LET(_xlpm.n,SUMPRODUCT($AP$5:$AP$302*($AO$5:$AO$302=$A51),$BB$5:$BB$302),IF(_xlpm.n=0,"",_xlpm.n)),IF($AI51="CT",W$13,IF(LEFT($AI51,3)="AM|",_xlfn.LET(_xlpm.n,SUMPRODUCT($AP$5:$AP$302*($AN$5:$AN$302=$A51),$BB$5:$BB$302),IF(_xlpm.n=0,"",_xlpm.n)),IF(LEFT($AI51,2)="S|",IF($AG51="","",_xlfn.LET(_xlpm.n,INDEX($BB$5:$BB$302,$AH51),IF(_xlpm.n=0,"",_xlpm.n))),IF($AI51="HDR","Footfall",""))))))</f>
        <v/>
      </c>
      <c r="X51" s="40" t="str" cm="1">
        <f t="array" ref="X51">IF($AI51="","",IF($AI51="HDR","Trans (FF stores)",IF(W51="","",IF(LEFT($AI51,2)="C|",SUMPRODUCT($AP$5:$AP$302*($AO$5:$AO$302=$A51),$BC$5:$BC$302),IF($AI51="CT",X$13,IF(LEFT($AI51,3)="AM|",SUMPRODUCT($AP$5:$AP$302*($AN$5:$AN$302=$A51),$BC$5:$BC$302),IF(LEFT($AI51,2)="S|",INDEX($BC$5:$BC$302,$AH51),"")))))))</f>
        <v/>
      </c>
      <c r="Y51" s="41" t="str">
        <f t="shared" si="44"/>
        <v/>
      </c>
      <c r="Z51" s="40" t="str" cm="1">
        <f t="array" ref="Z51">IF($AI51="","",IF(LEFT($AI51,2)="C|",IF($C51="","",SUMPRODUCT($AP$5:$AP$302*($AO$5:$AO$302=$A51),$CB$5:$CB$302)),IF($AI51="CT",Z$13,IF(LEFT($AI51,3)="AM|",IF($C51="","",SUMPRODUCT($AP$5:$AP$302*($AN$5:$AN$302=$A51),$CB$5:$CB$302)),IF(LEFT($AI51,2)="S|",IF($AG51="","",INDEX($CB$5:$CB$302,$AH51)),IF($AI51="HDR","Makeup Sales",""))))))</f>
        <v/>
      </c>
      <c r="AA51" s="41" t="str">
        <f t="shared" si="41"/>
        <v/>
      </c>
      <c r="AB51" s="40" t="str" cm="1">
        <f t="array" ref="AB51">IF($AI51="","",IF(LEFT($AI51,2)="C|",IF($C51="","",SUMPRODUCT($AP$5:$AP$302*($AO$5:$AO$302=$A51),$CK$5:$CK$302)),IF($AI51="CT",AB$13,IF(LEFT($AI51,3)="AM|",IF($C51="","",SUMPRODUCT($AP$5:$AP$302*($AN$5:$AN$302=$A51),$CK$5:$CK$302)),IF(LEFT($AI51,2)="S|",IF($AG51="","",INDEX($CK$5:$CK$302,$AH51)),IF($AI51="HDR","Makeup Target",""))))))</f>
        <v/>
      </c>
      <c r="AC51" s="41" t="str">
        <f t="shared" si="45"/>
        <v/>
      </c>
      <c r="AD51" s="40" t="str" cm="1">
        <f t="array" ref="AD51">IF($AI51="","",IF(LEFT($AI51,2)="C|",IF($C51="","",SUMPRODUCT($AP$5:$AP$302*($AO$5:$AO$302=$A51),$CI$5:$CI$302)),IF($AI51="CT",AD$13,IF(LEFT($AI51,3)="AM|",IF($C51="","",SUMPRODUCT($AP$5:$AP$302*($AN$5:$AN$302=$A51),$CI$5:$CI$302)),IF(LEFT($AI51,2)="S|",IF($AG51="","",INDEX($CI$5:$CI$302,$AH51)),IF($AI51="HDR","Cosmetic Sales",""))))))</f>
        <v/>
      </c>
      <c r="AE51" s="8" t="str" cm="1">
        <f t="array" ref="AE51">IF($AI51="","",IF(LEFT($AI51,2)="C|",IF($C51="","",SUMPRODUCT($AP$5:$AP$302*($AO$5:$AO$302=$A51)*$AQ$5:$AQ$302,$AR$5:$AR$302)),IF($AI51="CT",AE$13,IF(LEFT($AI51,3)="AM|",IF($C51="","",SUMPRODUCT($AP$5:$AP$302*($AN$5:$AN$302=$A51)*$AQ$5:$AQ$302,$AR$5:$AR$302)),IF(LEFT($AI51,2)="S|",IF($AG51="","",IF(INDEX($AQ$5:$AQ$302,$AH51)=1,D51,0)),IF($AI51="HDR","LFL Sales",""))))))</f>
        <v/>
      </c>
      <c r="AF51" s="8" t="str" cm="1">
        <f t="array" ref="AF51">IF($AI51="","",IF(LEFT($AI51,2)="C|",IF($C51="","",SUMPRODUCT($AP$5:$AP$302*($AO$5:$AO$302=$A51)*$AQ$5:$AQ$302,$AS$5:$AS$302)),IF($AI51="CT",AF$13,IF(LEFT($AI51,3)="AM|",IF($C51="","",SUMPRODUCT($AP$5:$AP$302*($AN$5:$AN$302=$A51)*$AQ$5:$AQ$302,$AS$5:$AS$302)),IF(LEFT($AI51,2)="S|",IF($AG51="","",IF(INDEX($AQ$5:$AQ$302,$AH51)=1,P51,0)),IF($AI51="HDR","LFL Trans",""))))))</f>
        <v/>
      </c>
      <c r="AG51" s="8" t="str" cm="1">
        <f t="array" ref="AG51">IF($AI51="","",IF(LEFT($AI51,2)="C|","",IF($AI51="CT","",IF(LEFT($AI51,3)="AM|","",IF(LEFT($AI51,2)="S|",IF($AH51="","",IF(INDEX($AP$5:$AP$302,$AH51)=1,1,"")),IF($AI51="HDR","Show",""))))))</f>
        <v/>
      </c>
      <c r="AH51" s="8" t="str">
        <f t="shared" si="42"/>
        <v/>
      </c>
      <c r="AI51" s="8"/>
      <c r="AN51" s="8" t="str" cm="1">
        <f t="array" ref="AN51">IF($AW51="","",_xlfn.LET(_xlpm.sa,IFERROR(TRIM(INDEX('Sales and count'!$D$4:$D$300,$BF51)&amp;""),""),_xlpm.ta,IFERROR(TRIM(INDEX('TY Sales Target'!$F$5:$F$300,$BG51)&amp;""),""),IF(AND(_xlpm.sa&lt;&gt;"",LEFT(_xlpm.sa,1)&lt;&gt;"#",_xlpm.sa&lt;&gt;"0"),_xlpm.sa,IF(AND(_xlpm.ta&lt;&gt;"",LEFT(_xlpm.ta,1)&lt;&gt;"#",_xlpm.ta&lt;&gt;"0"),_xlpm.ta,IF(ISNUMBER($BG51),"Unassigned","")))))</f>
        <v>Hamzah Al Makhadam</v>
      </c>
      <c r="AO51" s="8" t="str" cm="1">
        <f t="array" ref="AO51">IF($AW51="","",_xlfn.LET(_xlpm.sa,IFERROR(TRIM(INDEX('Sales and count'!$C$4:$C$300,$BF51)&amp;""),""),_xlpm.ta,IFERROR(TRIM(INDEX('TY Sales Target'!$D$5:$D$300,$BG51)&amp;""),""),IF(AND(_xlpm.sa&lt;&gt;"",LEFT(_xlpm.sa,1)&lt;&gt;"#",_xlpm.sa&lt;&gt;"0"),_xlpm.sa,IF(AND(_xlpm.ta&lt;&gt;"",LEFT(_xlpm.ta,1)&lt;&gt;"#",_xlpm.ta&lt;&gt;"0"),_xlpm.ta,""))))</f>
        <v>Tabuk</v>
      </c>
      <c r="AP51" s="8">
        <f t="shared" si="2"/>
        <v>0</v>
      </c>
      <c r="AQ51" s="8">
        <f t="shared" si="0"/>
        <v>0</v>
      </c>
      <c r="AR51" s="8" cm="1">
        <f t="array" ref="AR51">IF($BF51="",0,_xlfn.LET(_xlpm.d,IFERROR(--'Sales and count'!$G$2:$CC$2,0),SUMPRODUCT(('Sales and count'!$G$3:$CC$3="Total")*(_xlpm.d&gt;=$U$4)*(_xlpm.d&lt;=$U$5),INDEX('Sales and count'!$G$4:$CC$300,$BF51,0))))</f>
        <v>103202.79999999999</v>
      </c>
      <c r="AS51" s="8" cm="1">
        <f t="array" aca="1" ref="AS51" ca="1">IF($BF51="",0,_xlfn.LET(_xlpm.d,IFERROR(--'Sales and count'!$F$2:$CB$2,0),SUMPRODUCT(('Sales and count'!$G$3:$CC$3="Transactions")*(_xlpm.d&gt;=$U$4)*(_xlpm.d&lt;=$U$5),INDEX('Sales and count'!$G$4:$CC$300,$BF51,0))))</f>
        <v>621</v>
      </c>
      <c r="AT51" s="8" cm="1">
        <f t="array" ref="AT51">IF($AW51="",0,SUMPRODUCT((TRIM('LY Sales '!$B$5:$B$200)=$AW51)*('LY Sales '!$C$2:$AG$2&gt;=EDATE($U$4,-12))*('LY Sales '!$C$2:$AG$2&lt;=EDATE($U$5,-12)),'LY Sales '!$C$5:$AG$200))</f>
        <v>0</v>
      </c>
      <c r="AU51" s="8" cm="1">
        <f t="array" ref="AU51">IF($AW51="",0,SUMPRODUCT((TRIM('LY Transaction'!$B$5:$B$200)=$AW51)*('LY Transaction'!$C$2:$AG$2&gt;=EDATE($U$4,-12))*('LY Transaction'!$C$2:$AG$2&lt;=EDATE($U$5,-12)),'LY Transaction'!$C$5:$AG$200))</f>
        <v>0</v>
      </c>
      <c r="AV51" s="8" cm="1">
        <f t="array" ref="AV51">IF(NOT(ISNUMBER($BG51)),0,SUMPRODUCT(('TY Sales Target'!$K$2:$AO$2&gt;=$U$4)*('TY Sales Target'!$K$2:$AO$2&lt;=$U$5),INDEX('TY Sales Target'!$K$5:$AO$300,$BG51,0)))</f>
        <v>144807.06846916612</v>
      </c>
      <c r="AW51" s="8" t="str" cm="1">
        <f t="array" ref="AW51">IFERROR(INDEX(_xlfn.ANCHORARRAY($BR$5),ROWS($AW$5:AW51)),"")</f>
        <v>HATABUKPR</v>
      </c>
      <c r="BB51" cm="1">
        <f t="array" ref="BB51">IF($AW51="",0,SUMPRODUCT((TRIM(Footfall!$B$5:$B$301)=$AW51)*(Footfall!$C$1:$BZ$1&gt;=$U$4)*(Footfall!$C$2:$BZ$2&lt;=$U$5)*(Footfall!$C$1:$BZ$1&lt;&gt;""),Footfall!$C$5:$BZ$301))</f>
        <v>2307</v>
      </c>
      <c r="BC51" cm="1">
        <f t="array" aca="1" ref="BC51" ca="1">IF(OR($BB51&lt;=0,$BD$1="",$BF51=""),0,_xlfn.LET(_xlpm.d,IFERROR(--'Sales and count'!$F$2:$CB$2,0),SUMPRODUCT(('Sales and count'!$G$3:$CC$3="Transactions")*(_xlpm.d&gt;=$BD$1)*(_xlpm.d&lt;=$BD$2),INDEX('Sales and count'!$G$4:$CC$300,$BF51,0))))</f>
        <v>621</v>
      </c>
      <c r="BF51" cm="1">
        <f t="array" ref="BF51">IF($AW51="","",IFERROR(MATCH($AW51,TRIM('Sales and count'!$A$4:$A$300&amp;""),0),""))</f>
        <v>47</v>
      </c>
      <c r="BG51" cm="1">
        <f t="array" ref="BG51">IF($AW51="","",IFERROR(MATCH(IFERROR(_xlfn.XLOOKUP($AW51,$BT$5:$BT$22,$BU$5:$BU$22),$AW51),TRIM('TY Sales Target'!$B$5:$B$300&amp;""),0),""))</f>
        <v>73</v>
      </c>
      <c r="BH51" t="str" cm="1">
        <f t="array" ref="BH51">IF(ISNUMBER($BG51),_xlfn.LET(_xlpm.p,TRIM(INDEX('TY Sales Target'!$I$5:$I$300,$BG51)&amp;""),IF(_xlpm.p="","Not set",_xlpm.p)),"Not set")</f>
        <v>I Pad</v>
      </c>
      <c r="BI51" cm="1">
        <f t="array" ref="BI51">IF($BF51="",0,_xlfn.LET(_xlpm.d,IFERROR(--'Sales and count'!$G$2:$CC$2,0),SUMPRODUCT(('Sales and count'!$G$3:$CC$3="Total")*(_xlpm.d&gt;=$BZ$5)*(_xlpm.d&lt;=$BZ$6),INDEX('Sales and count'!$G$4:$CC$300,$BF51,0))))</f>
        <v>103202.79999999999</v>
      </c>
      <c r="BJ51" cm="1">
        <f t="array" ref="BJ51">IF($AW51="",0,SUMPRODUCT((TRIM('LY Sales '!$B$5:$B$200)=$AW51)*('LY Sales '!$C$2:$AG$2&gt;=EDATE($BZ$5,-12))*('LY Sales '!$C$2:$AG$2&lt;=EDATE($BZ$6,-12)),'LY Sales '!$C$5:$AG$200))</f>
        <v>0</v>
      </c>
      <c r="BK51" cm="1">
        <f t="array" ref="BK51">IF($AW51="",0,SUMPRODUCT((TRIM('LY Sales '!$B$5:$B$200)=$AW51)*('LY Sales '!$C$2:$AG$2&gt;=EDATE($BZ$5,-12))*('LY Sales '!$C$2:$AG$2&lt;=EDATE($BZ$7,-12)),'LY Sales '!$C$5:$AG$200))</f>
        <v>0</v>
      </c>
      <c r="BL51" cm="1">
        <f t="array" ref="BL51">IF($AW51="",0,SUMPRODUCT((TRIM('LY Sales '!$B$5:$B$200)=$AW51)*('LY Sales '!$C$2:$AG$2&gt;=EDATE($BZ$5,-12))*('LY Sales '!$C$2:$AG$2&lt;=EDATE($BZ$6,-12))*('LY Sales '!$C$5:$AG$200&gt;0)))</f>
        <v>0</v>
      </c>
      <c r="BM51" cm="1">
        <f t="array" ref="BM51">IF(NOT(ISNUMBER($BG51)),0,SUMPRODUCT(('TY Sales Target'!$K$2:$AO$2&gt;=$BZ$5)*('TY Sales Target'!$K$2:$AO$2&lt;=$BZ$6),INDEX('TY Sales Target'!$K$5:$AO$300,$BG51,0)))</f>
        <v>144807.06846916612</v>
      </c>
      <c r="BN51" cm="1">
        <f t="array" ref="BN51">IF(NOT(ISNUMBER($BG51)),0,SUMPRODUCT(('TY Sales Target'!$K$2:$AO$2&gt;=$BZ$5)*('TY Sales Target'!$K$2:$AO$2&lt;=$BZ$7),INDEX('TY Sales Target'!$K$5:$AO$300,$BG51,0)))</f>
        <v>189000.00000000003</v>
      </c>
      <c r="BO51" cm="1">
        <f t="array" ref="BO51">IF($AW51="",0,IFERROR(_xlfn.SWITCH($BP51,"LY trend",$BI51*$BK51/$BJ51,"Target curve",$BI51*$BN51/$BM51,"Run rate",$BI51/$BZ$8*$BZ$9,0),0))</f>
        <v>134698.7367826819</v>
      </c>
      <c r="BP51" t="str">
        <f t="shared" si="1"/>
        <v>Target curve</v>
      </c>
      <c r="BR51" t="str">
        <v>HATABUKPR</v>
      </c>
      <c r="CB51" cm="1">
        <f t="array" ref="CB51">IF($AW51="",0,_xlfn.LET(_xlpm.k,IFERROR(_xlfn.XLOOKUP($AW51,$CD$6:$CD$21,$CE$6:$CE$21),$AW51),SUMPRODUCT((TRIM('Makeup '!$A$2:$A$300&amp;"")=_xlpm.k)*1,IFERROR('Makeup '!$F$2:$F$300*1,0))))</f>
        <v>7206.97</v>
      </c>
      <c r="CF51" t="str" cm="1">
        <f t="array" ref="CF51">IF($AW51="","",_xlfn.LET(_xlpm.c,IFERROR(TRIM(INDEX('Sales and count'!$B$4:$B$300,$BF51)&amp;""),""),IF(OR(_xlpm.c="",_xlpm.c="0",LEFT(_xlpm.c,1)="#"),"Not set",_xlpm.c)))</f>
        <v>KSA</v>
      </c>
      <c r="CH51" cm="1">
        <f t="array" ref="CH51">IF($AW51="",0,_xlfn.LET(_xlpm.k,IFERROR(_xlfn.XLOOKUP($AW51,$CD$6:$CD$21,$CE$6:$CE$21),$AW51),--(SUMPRODUCT((TRIM('Makeup '!$A$2:$A$300&amp;"")=_xlpm.k)*ISNUMBER('Makeup '!$F$2:$F$300))&gt;0)))</f>
        <v>1</v>
      </c>
      <c r="CI51">
        <f t="shared" si="4"/>
        <v>103202.79999999999</v>
      </c>
      <c r="CJ51" cm="1">
        <f t="array" ref="CJ51">IF($AW51="",0,--(SUMPRODUCT(--(TRIM(Footfall!$B$5:$B$301)=$AW51))&gt;0))</f>
        <v>1</v>
      </c>
      <c r="CK51" s="8" cm="1">
        <f t="array" ref="CK51">IF($AW51="",0,_xlfn.LET(_xlpm.r,IFERROR(MATCH(IFERROR(_xlfn.XLOOKUP($AW51,$BT$5:$BT$22,$BU$5:$BU$22),$AW51),TRIM('TY Beauty Target'!$B$5:$B$300&amp;""),0),""),IF(ISNUMBER(_xlpm.r),SUMPRODUCT(('TY Beauty Target'!$L$2:$AP$2&gt;=$U$4)*('TY Beauty Target'!$L$2:$AP$2&lt;=$U$5),INDEX('TY Beauty Target'!$L$5:$AP$300,_xlpm.r,0)),0)))</f>
        <v>12954.780442193076</v>
      </c>
    </row>
    <row r="52" spans="1:89" ht="15" customHeight="1" x14ac:dyDescent="0.25">
      <c r="A52" s="38" t="str">
        <f t="shared" si="30"/>
        <v/>
      </c>
      <c r="B52" s="43" t="str" cm="1">
        <f t="array" ref="B52">IF($AI52="","",IF(LEFT($AI52,2)="C|",IF($C52="","",_xlfn.TEXTJOIN(", ",TRUE,_xlfn.UNIQUE(_xlfn._xlws.FILTER($AN$5:$AN$302,($AP$5:$AP$302=1)*($AO$5:$AO$302=$A52))))),IF($AI52="CT",B$13,IF(LEFT($AI52,3)="AM|",IF($C52="","",ROWS(_xlfn.UNIQUE(_xlfn._xlws.FILTER($AO$5:$AO$302,($AP$5:$AP$302=1)*($AN$5:$AN$302=$A52))))),IF(LEFT($AI52,2)="S|",IF($AG52="","",INDEX($AO$5:$AO$302,$AH52)),IF($AI52="HDR","City",""))))))</f>
        <v/>
      </c>
      <c r="C52" s="39" t="str" cm="1">
        <f t="array" ref="C52">IF($AI52="","",IF(LEFT($AI52,2)="C|",_xlfn.LET(_xlpm.n,SUMPRODUCT($AP$5:$AP$302*($AO$5:$AO$302=$A52)),IF(_xlpm.n=0,"",_xlpm.n)),IF($AI52="CT",C$13,IF(LEFT($AI52,3)="AM|",_xlfn.LET(_xlpm.n,SUMPRODUCT($AP$5:$AP$302*($AN$5:$AN$302=$A52)),IF(_xlpm.n=0,"",_xlpm.n)),IF(LEFT($AI52,2)="S|","",IF($AI52="HDR","# Stores",""))))))</f>
        <v/>
      </c>
      <c r="D52" s="40" t="str" cm="1">
        <f t="array" ref="D52">IF($AI52="","",IF(LEFT($AI52,2)="C|",IF($C52="","",SUMPRODUCT($AP$5:$AP$302*($AO$5:$AO$302=$A52),$AR$5:$AR$302)),IF($AI52="CT",D$13,IF(LEFT($AI52,3)="AM|",IF($C52="","",SUMPRODUCT($AP$5:$AP$302*($AN$5:$AN$302=$A52),$AR$5:$AR$302)),IF(LEFT($AI52,2)="S|",IF($AG52="","",INDEX($AR$5:$AR$302,$AH52)),IF($AI52="HDR","Sales TY",""))))))</f>
        <v/>
      </c>
      <c r="E52" s="40" t="str" cm="1">
        <f t="array" ref="E52">IF($AI52="","",IF(LEFT($AI52,2)="C|",IF($C52="","",SUMPRODUCT($AP$5:$AP$302*($AO$5:$AO$302=$A52),$AT$5:$AT$302)),IF($AI52="CT",E$13,IF(LEFT($AI52,3)="AM|",IF($C52="","",SUMPRODUCT($AP$5:$AP$302*($AN$5:$AN$302=$A52),$AT$5:$AT$302)),IF(LEFT($AI52,2)="S|",IF($AG52="","",INDEX($AT$5:$AT$302,$AH52)),IF($AI52="HDR","Sales LY",""))))))</f>
        <v/>
      </c>
      <c r="F52" s="41" t="str">
        <f t="shared" si="31"/>
        <v/>
      </c>
      <c r="G52" s="41" t="str">
        <f t="shared" si="32"/>
        <v/>
      </c>
      <c r="H52" s="40" t="str" cm="1">
        <f t="array" ref="H52">IF($AI52="","",IF(LEFT($AI52,2)="C|",IF($C52="","",SUMPRODUCT($AP$5:$AP$302*($AO$5:$AO$302=$A52),$AV$5:$AV$302)),IF($AI52="CT",H$13,IF(LEFT($AI52,3)="AM|",IF($C52="","",SUMPRODUCT($AP$5:$AP$302*($AN$5:$AN$302=$A52),$AV$5:$AV$302)),IF(LEFT($AI52,2)="S|",IF($AG52="","",INDEX($AV$5:$AV$302,$AH52)),IF($AI52="HDR","Target",""))))))</f>
        <v/>
      </c>
      <c r="I52" s="41" t="str">
        <f t="shared" si="33"/>
        <v/>
      </c>
      <c r="J52" s="40" t="str">
        <f t="shared" si="34"/>
        <v/>
      </c>
      <c r="K52" s="41" t="str">
        <f t="shared" si="35"/>
        <v/>
      </c>
      <c r="L52" s="40" t="str" cm="1">
        <f t="array" ref="L52">IF($AI52="","",IF(LEFT($AI52,2)="C|",IF($C52="","",SUMPRODUCT($AP$5:$AP$302*($AO$5:$AO$302=$A52),$BN$5:$BN$302)),IF($AI52="CT",L$13,IF(LEFT($AI52,3)="AM|",IF($C52="","",SUMPRODUCT($AP$5:$AP$302*($AN$5:$AN$302=$A52),$BN$5:$BN$302)),IF(LEFT($AI52,2)="S|",IF($AG52="","",INDEX($BN$5:$BN$302,$AH52)),IF($AI52="HDR","Month Target",""))))))</f>
        <v/>
      </c>
      <c r="M52" s="40" t="str" cm="1">
        <f t="array" ref="M52">IF($AI52="","",IF(LEFT($AI52,2)="C|",IF($C52="","",SUMPRODUCT($AP$5:$AP$302*($AO$5:$AO$302=$A52),$BO$5:$BO$302)),IF($AI52="CT",M$13,IF(LEFT($AI52,3)="AM|",IF($C52="","",SUMPRODUCT($AP$5:$AP$302*($AN$5:$AN$302=$A52),$BO$5:$BO$302)),IF(LEFT($AI52,2)="S|",IF($AG52="","",INDEX($BO$5:$BO$302,$AH52)),IF($AI52="HDR","Projected Close",""))))))</f>
        <v/>
      </c>
      <c r="N52" s="41" t="str">
        <f t="shared" si="43"/>
        <v/>
      </c>
      <c r="O52" s="41" t="str" cm="1">
        <f t="array" ref="O52">IF($AI52="HDR","Proj. vs LY",IF(OR($AI52="",M52=""),"",_xlfn.LET(_xlpm.ly,IF(LEFT($AI52,2)="C|",SUMPRODUCT($AP$5:$AP$302*($AO$5:$AO$302=$A52),$BK$5:$BK$302),IF($AI52="CT",SUMPRODUCT($AP$5:$AP$302,$BK$5:$BK$302),IF(LEFT($AI52,3)="AM|",SUMPRODUCT($AP$5:$AP$302*($AN$5:$AN$302=$A52),$BK$5:$BK$302),IF(LEFT($AI52,2)="S|",INDEX($BK$5:$BK$302,$AH52),0)))),IFERROR(M52/_xlpm.ly-1,""))))</f>
        <v/>
      </c>
      <c r="P52" s="40" t="str" cm="1">
        <f t="array" ref="P52">IF($AI52="","",IF(LEFT($AI52,2)="C|",IF($C52="","",SUMPRODUCT($AP$5:$AP$302*($AO$5:$AO$302=$A52),$AS$5:$AS$302)),IF($AI52="CT",P$13,IF(LEFT($AI52,3)="AM|",IF($C52="","",SUMPRODUCT($AP$5:$AP$302*($AN$5:$AN$302=$A52),$AS$5:$AS$302)),IF(LEFT($AI52,2)="S|",IF($AG52="","",INDEX($AS$5:$AS$302,$AH52)),IF($AI52="HDR","Trans TY",""))))))</f>
        <v/>
      </c>
      <c r="Q52" s="40" t="str" cm="1">
        <f t="array" ref="Q52">IF($AI52="","",IF(LEFT($AI52,2)="C|",IF($C52="","",SUMPRODUCT($AP$5:$AP$302*($AO$5:$AO$302=$A52),$AU$5:$AU$302)),IF($AI52="CT",Q$13,IF(LEFT($AI52,3)="AM|",IF($C52="","",SUMPRODUCT($AP$5:$AP$302*($AN$5:$AN$302=$A52),$AU$5:$AU$302)),IF(LEFT($AI52,2)="S|",IF($AG52="","",INDEX($AU$5:$AU$302,$AH52)),IF($AI52="HDR","Trans LY",""))))))</f>
        <v/>
      </c>
      <c r="R52" s="41" t="str">
        <f t="shared" si="36"/>
        <v/>
      </c>
      <c r="S52" s="41" t="str">
        <f t="shared" si="37"/>
        <v/>
      </c>
      <c r="T52" s="42" t="str">
        <f t="shared" si="38"/>
        <v/>
      </c>
      <c r="U52" s="42" t="str">
        <f t="shared" si="39"/>
        <v/>
      </c>
      <c r="V52" s="41" t="str">
        <f t="shared" si="40"/>
        <v/>
      </c>
      <c r="W52" s="40" t="str" cm="1">
        <f t="array" ref="W52">IF($AI52="","",IF(LEFT($AI52,2)="C|",_xlfn.LET(_xlpm.n,SUMPRODUCT($AP$5:$AP$302*($AO$5:$AO$302=$A52),$BB$5:$BB$302),IF(_xlpm.n=0,"",_xlpm.n)),IF($AI52="CT",W$13,IF(LEFT($AI52,3)="AM|",_xlfn.LET(_xlpm.n,SUMPRODUCT($AP$5:$AP$302*($AN$5:$AN$302=$A52),$BB$5:$BB$302),IF(_xlpm.n=0,"",_xlpm.n)),IF(LEFT($AI52,2)="S|",IF($AG52="","",_xlfn.LET(_xlpm.n,INDEX($BB$5:$BB$302,$AH52),IF(_xlpm.n=0,"",_xlpm.n))),IF($AI52="HDR","Footfall",""))))))</f>
        <v/>
      </c>
      <c r="X52" s="40" t="str" cm="1">
        <f t="array" ref="X52">IF($AI52="","",IF($AI52="HDR","Trans (FF stores)",IF(W52="","",IF(LEFT($AI52,2)="C|",SUMPRODUCT($AP$5:$AP$302*($AO$5:$AO$302=$A52),$BC$5:$BC$302),IF($AI52="CT",X$13,IF(LEFT($AI52,3)="AM|",SUMPRODUCT($AP$5:$AP$302*($AN$5:$AN$302=$A52),$BC$5:$BC$302),IF(LEFT($AI52,2)="S|",INDEX($BC$5:$BC$302,$AH52),"")))))))</f>
        <v/>
      </c>
      <c r="Y52" s="41" t="str">
        <f t="shared" si="44"/>
        <v/>
      </c>
      <c r="Z52" s="40" t="str" cm="1">
        <f t="array" ref="Z52">IF($AI52="","",IF(LEFT($AI52,2)="C|",IF($C52="","",SUMPRODUCT($AP$5:$AP$302*($AO$5:$AO$302=$A52),$CB$5:$CB$302)),IF($AI52="CT",Z$13,IF(LEFT($AI52,3)="AM|",IF($C52="","",SUMPRODUCT($AP$5:$AP$302*($AN$5:$AN$302=$A52),$CB$5:$CB$302)),IF(LEFT($AI52,2)="S|",IF($AG52="","",INDEX($CB$5:$CB$302,$AH52)),IF($AI52="HDR","Makeup Sales",""))))))</f>
        <v/>
      </c>
      <c r="AA52" s="41" t="str">
        <f t="shared" si="41"/>
        <v/>
      </c>
      <c r="AB52" s="40" t="str" cm="1">
        <f t="array" ref="AB52">IF($AI52="","",IF(LEFT($AI52,2)="C|",IF($C52="","",SUMPRODUCT($AP$5:$AP$302*($AO$5:$AO$302=$A52),$CK$5:$CK$302)),IF($AI52="CT",AB$13,IF(LEFT($AI52,3)="AM|",IF($C52="","",SUMPRODUCT($AP$5:$AP$302*($AN$5:$AN$302=$A52),$CK$5:$CK$302)),IF(LEFT($AI52,2)="S|",IF($AG52="","",INDEX($CK$5:$CK$302,$AH52)),IF($AI52="HDR","Makeup Target",""))))))</f>
        <v/>
      </c>
      <c r="AC52" s="41" t="str">
        <f t="shared" si="45"/>
        <v/>
      </c>
      <c r="AD52" s="40" t="str" cm="1">
        <f t="array" ref="AD52">IF($AI52="","",IF(LEFT($AI52,2)="C|",IF($C52="","",SUMPRODUCT($AP$5:$AP$302*($AO$5:$AO$302=$A52),$CI$5:$CI$302)),IF($AI52="CT",AD$13,IF(LEFT($AI52,3)="AM|",IF($C52="","",SUMPRODUCT($AP$5:$AP$302*($AN$5:$AN$302=$A52),$CI$5:$CI$302)),IF(LEFT($AI52,2)="S|",IF($AG52="","",INDEX($CI$5:$CI$302,$AH52)),IF($AI52="HDR","Cosmetic Sales",""))))))</f>
        <v/>
      </c>
      <c r="AE52" s="8" t="str" cm="1">
        <f t="array" ref="AE52">IF($AI52="","",IF(LEFT($AI52,2)="C|",IF($C52="","",SUMPRODUCT($AP$5:$AP$302*($AO$5:$AO$302=$A52)*$AQ$5:$AQ$302,$AR$5:$AR$302)),IF($AI52="CT",AE$13,IF(LEFT($AI52,3)="AM|",IF($C52="","",SUMPRODUCT($AP$5:$AP$302*($AN$5:$AN$302=$A52)*$AQ$5:$AQ$302,$AR$5:$AR$302)),IF(LEFT($AI52,2)="S|",IF($AG52="","",IF(INDEX($AQ$5:$AQ$302,$AH52)=1,D52,0)),IF($AI52="HDR","LFL Sales",""))))))</f>
        <v/>
      </c>
      <c r="AF52" s="8" t="str" cm="1">
        <f t="array" ref="AF52">IF($AI52="","",IF(LEFT($AI52,2)="C|",IF($C52="","",SUMPRODUCT($AP$5:$AP$302*($AO$5:$AO$302=$A52)*$AQ$5:$AQ$302,$AS$5:$AS$302)),IF($AI52="CT",AF$13,IF(LEFT($AI52,3)="AM|",IF($C52="","",SUMPRODUCT($AP$5:$AP$302*($AN$5:$AN$302=$A52)*$AQ$5:$AQ$302,$AS$5:$AS$302)),IF(LEFT($AI52,2)="S|",IF($AG52="","",IF(INDEX($AQ$5:$AQ$302,$AH52)=1,P52,0)),IF($AI52="HDR","LFL Trans",""))))))</f>
        <v/>
      </c>
      <c r="AG52" s="8" t="str" cm="1">
        <f t="array" ref="AG52">IF($AI52="","",IF(LEFT($AI52,2)="C|","",IF($AI52="CT","",IF(LEFT($AI52,3)="AM|","",IF(LEFT($AI52,2)="S|",IF($AH52="","",IF(INDEX($AP$5:$AP$302,$AH52)=1,1,"")),IF($AI52="HDR","Show",""))))))</f>
        <v/>
      </c>
      <c r="AH52" s="8" t="str">
        <f t="shared" si="42"/>
        <v/>
      </c>
      <c r="AI52" s="8"/>
      <c r="AN52" s="8" t="str" cm="1">
        <f t="array" ref="AN52">IF($AW52="","",_xlfn.LET(_xlpm.sa,IFERROR(TRIM(INDEX('Sales and count'!$D$4:$D$300,$BF52)&amp;""),""),_xlpm.ta,IFERROR(TRIM(INDEX('TY Sales Target'!$F$5:$F$300,$BG52)&amp;""),""),IF(AND(_xlpm.sa&lt;&gt;"",LEFT(_xlpm.sa,1)&lt;&gt;"#",_xlpm.sa&lt;&gt;"0"),_xlpm.sa,IF(AND(_xlpm.ta&lt;&gt;"",LEFT(_xlpm.ta,1)&lt;&gt;"#",_xlpm.ta&lt;&gt;"0"),_xlpm.ta,IF(ISNUMBER($BG52),"Unassigned","")))))</f>
        <v>Hamzah Al Makhadam</v>
      </c>
      <c r="AO52" s="8" t="str" cm="1">
        <f t="array" ref="AO52">IF($AW52="","",_xlfn.LET(_xlpm.sa,IFERROR(TRIM(INDEX('Sales and count'!$C$4:$C$300,$BF52)&amp;""),""),_xlpm.ta,IFERROR(TRIM(INDEX('TY Sales Target'!$D$5:$D$300,$BG52)&amp;""),""),IF(AND(_xlpm.sa&lt;&gt;"",LEFT(_xlpm.sa,1)&lt;&gt;"#",_xlpm.sa&lt;&gt;"0"),_xlpm.sa,IF(AND(_xlpm.ta&lt;&gt;"",LEFT(_xlpm.ta,1)&lt;&gt;"#",_xlpm.ta&lt;&gt;"0"),_xlpm.ta,""))))</f>
        <v>Dammam</v>
      </c>
      <c r="AP52" s="8">
        <f t="shared" si="2"/>
        <v>0</v>
      </c>
      <c r="AQ52" s="8">
        <f t="shared" si="0"/>
        <v>1</v>
      </c>
      <c r="AR52" s="8" cm="1">
        <f t="array" ref="AR52">IF($BF52="",0,_xlfn.LET(_xlpm.d,IFERROR(--'Sales and count'!$G$2:$CC$2,0),SUMPRODUCT(('Sales and count'!$G$3:$CC$3="Total")*(_xlpm.d&gt;=$U$4)*(_xlpm.d&lt;=$U$5),INDEX('Sales and count'!$G$4:$CC$300,$BF52,0))))</f>
        <v>136426.42000000001</v>
      </c>
      <c r="AS52" s="8" cm="1">
        <f t="array" aca="1" ref="AS52" ca="1">IF($BF52="",0,_xlfn.LET(_xlpm.d,IFERROR(--'Sales and count'!$F$2:$CB$2,0),SUMPRODUCT(('Sales and count'!$G$3:$CC$3="Transactions")*(_xlpm.d&gt;=$U$4)*(_xlpm.d&lt;=$U$5),INDEX('Sales and count'!$G$4:$CC$300,$BF52,0))))</f>
        <v>919</v>
      </c>
      <c r="AT52" s="8" cm="1">
        <f t="array" ref="AT52">IF($AW52="",0,SUMPRODUCT((TRIM('LY Sales '!$B$5:$B$200)=$AW52)*('LY Sales '!$C$2:$AG$2&gt;=EDATE($U$4,-12))*('LY Sales '!$C$2:$AG$2&lt;=EDATE($U$5,-12)),'LY Sales '!$C$5:$AG$200))</f>
        <v>95560.849999999977</v>
      </c>
      <c r="AU52" s="8" cm="1">
        <f t="array" ref="AU52">IF($AW52="",0,SUMPRODUCT((TRIM('LY Transaction'!$B$5:$B$200)=$AW52)*('LY Transaction'!$C$2:$AG$2&gt;=EDATE($U$4,-12))*('LY Transaction'!$C$2:$AG$2&lt;=EDATE($U$5,-12)),'LY Transaction'!$C$5:$AG$200))</f>
        <v>792</v>
      </c>
      <c r="AV52" s="8" cm="1">
        <f t="array" ref="AV52">IF(NOT(ISNUMBER($BG52)),0,SUMPRODUCT(('TY Sales Target'!$K$2:$AO$2&gt;=$U$4)*('TY Sales Target'!$K$2:$AO$2&lt;=$U$5),INDEX('TY Sales Target'!$K$5:$AO$300,$BG52,0)))</f>
        <v>208399.59060112794</v>
      </c>
      <c r="AW52" s="8" t="str" cm="1">
        <f t="array" ref="AW52">IFERROR(INDEX(_xlfn.ANCHORARRAY($BR$5),ROWS($AW$5:AW52)),"")</f>
        <v>HADARENMAL</v>
      </c>
      <c r="BB52" cm="1">
        <f t="array" ref="BB52">IF($AW52="",0,SUMPRODUCT((TRIM(Footfall!$B$5:$B$301)=$AW52)*(Footfall!$C$1:$BZ$1&gt;=$U$4)*(Footfall!$C$2:$BZ$2&lt;=$U$5)*(Footfall!$C$1:$BZ$1&lt;&gt;""),Footfall!$C$5:$BZ$301))</f>
        <v>0</v>
      </c>
      <c r="BC52" cm="1">
        <f t="array" ref="BC52">IF(OR($BB52&lt;=0,$BD$1="",$BF52=""),0,_xlfn.LET(_xlpm.d,IFERROR(--'Sales and count'!$F$2:$CB$2,0),SUMPRODUCT(('Sales and count'!$G$3:$CC$3="Transactions")*(_xlpm.d&gt;=$BD$1)*(_xlpm.d&lt;=$BD$2),INDEX('Sales and count'!$G$4:$CC$300,$BF52,0))))</f>
        <v>0</v>
      </c>
      <c r="BF52" cm="1">
        <f t="array" ref="BF52">IF($AW52="","",IFERROR(MATCH($AW52,TRIM('Sales and count'!$A$4:$A$300&amp;""),0),""))</f>
        <v>48</v>
      </c>
      <c r="BG52" cm="1">
        <f t="array" ref="BG52">IF($AW52="","",IFERROR(MATCH(IFERROR(_xlfn.XLOOKUP($AW52,$BT$5:$BT$22,$BU$5:$BU$22),$AW52),TRIM('TY Sales Target'!$B$5:$B$300&amp;""),0),""))</f>
        <v>40</v>
      </c>
      <c r="BH52" t="str" cm="1">
        <f t="array" ref="BH52">IF(ISNUMBER($BG52),_xlfn.LET(_xlpm.p,TRIM(INDEX('TY Sales Target'!$I$5:$I$300,$BG52)&amp;""),IF(_xlpm.p="","Not set",_xlpm.p)),"Not set")</f>
        <v>Smart Phone</v>
      </c>
      <c r="BI52" cm="1">
        <f t="array" ref="BI52">IF($BF52="",0,_xlfn.LET(_xlpm.d,IFERROR(--'Sales and count'!$G$2:$CC$2,0),SUMPRODUCT(('Sales and count'!$G$3:$CC$3="Total")*(_xlpm.d&gt;=$BZ$5)*(_xlpm.d&lt;=$BZ$6),INDEX('Sales and count'!$G$4:$CC$300,$BF52,0))))</f>
        <v>136426.42000000001</v>
      </c>
      <c r="BJ52" cm="1">
        <f t="array" ref="BJ52">IF($AW52="",0,SUMPRODUCT((TRIM('LY Sales '!$B$5:$B$200)=$AW52)*('LY Sales '!$C$2:$AG$2&gt;=EDATE($BZ$5,-12))*('LY Sales '!$C$2:$AG$2&lt;=EDATE($BZ$6,-12)),'LY Sales '!$C$5:$AG$200))</f>
        <v>95560.849999999977</v>
      </c>
      <c r="BK52" cm="1">
        <f t="array" ref="BK52">IF($AW52="",0,SUMPRODUCT((TRIM('LY Sales '!$B$5:$B$200)=$AW52)*('LY Sales '!$C$2:$AG$2&gt;=EDATE($BZ$5,-12))*('LY Sales '!$C$2:$AG$2&lt;=EDATE($BZ$7,-12)),'LY Sales '!$C$5:$AG$200))</f>
        <v>118334.09999999996</v>
      </c>
      <c r="BL52" cm="1">
        <f t="array" ref="BL52">IF($AW52="",0,SUMPRODUCT((TRIM('LY Sales '!$B$5:$B$200)=$AW52)*('LY Sales '!$C$2:$AG$2&gt;=EDATE($BZ$5,-12))*('LY Sales '!$C$2:$AG$2&lt;=EDATE($BZ$6,-12))*('LY Sales '!$C$5:$AG$200&gt;0)))</f>
        <v>26</v>
      </c>
      <c r="BM52" cm="1">
        <f t="array" ref="BM52">IF(NOT(ISNUMBER($BG52)),0,SUMPRODUCT(('TY Sales Target'!$K$2:$AO$2&gt;=$BZ$5)*('TY Sales Target'!$K$2:$AO$2&lt;=$BZ$6),INDEX('TY Sales Target'!$K$5:$AO$300,$BG52,0)))</f>
        <v>208399.59060112794</v>
      </c>
      <c r="BN52" cm="1">
        <f t="array" ref="BN52">IF(NOT(ISNUMBER($BG52)),0,SUMPRODUCT(('TY Sales Target'!$K$2:$AO$2&gt;=$BZ$5)*('TY Sales Target'!$K$2:$AO$2&lt;=$BZ$7),INDEX('TY Sales Target'!$K$5:$AO$300,$BG52,0)))</f>
        <v>272000.00000000006</v>
      </c>
      <c r="BO52" cm="1">
        <f t="array" ref="BO52">IF($AW52="",0,IFERROR(_xlfn.SWITCH($BP52,"LY trend",$BI52*$BK52/$BJ52,"Target curve",$BI52*$BN52/$BM52,"Run rate",$BI52/$BZ$8*$BZ$9,0),0))</f>
        <v>168938.40549683265</v>
      </c>
      <c r="BP52" t="str">
        <f t="shared" si="1"/>
        <v>LY trend</v>
      </c>
      <c r="BR52" t="str">
        <v>HADARENMAL</v>
      </c>
      <c r="CB52" cm="1">
        <f t="array" ref="CB52">IF($AW52="",0,_xlfn.LET(_xlpm.k,IFERROR(_xlfn.XLOOKUP($AW52,$CD$6:$CD$21,$CE$6:$CE$21),$AW52),SUMPRODUCT((TRIM('Makeup '!$A$2:$A$300&amp;"")=_xlpm.k)*1,IFERROR('Makeup '!$F$2:$F$300*1,0))))</f>
        <v>5588.31</v>
      </c>
      <c r="CF52" t="str" cm="1">
        <f t="array" ref="CF52">IF($AW52="","",_xlfn.LET(_xlpm.c,IFERROR(TRIM(INDEX('Sales and count'!$B$4:$B$300,$BF52)&amp;""),""),IF(OR(_xlpm.c="",_xlpm.c="0",LEFT(_xlpm.c,1)="#"),"Not set",_xlpm.c)))</f>
        <v>KSA</v>
      </c>
      <c r="CH52" cm="1">
        <f t="array" ref="CH52">IF($AW52="",0,_xlfn.LET(_xlpm.k,IFERROR(_xlfn.XLOOKUP($AW52,$CD$6:$CD$21,$CE$6:$CE$21),$AW52),--(SUMPRODUCT((TRIM('Makeup '!$A$2:$A$300&amp;"")=_xlpm.k)*ISNUMBER('Makeup '!$F$2:$F$300))&gt;0)))</f>
        <v>1</v>
      </c>
      <c r="CI52">
        <f t="shared" si="4"/>
        <v>136426.42000000001</v>
      </c>
      <c r="CJ52" cm="1">
        <f t="array" ref="CJ52">IF($AW52="",0,--(SUMPRODUCT(--(TRIM(Footfall!$B$5:$B$301)=$AW52))&gt;0))</f>
        <v>0</v>
      </c>
      <c r="CK52" s="8" cm="1">
        <f t="array" ref="CK52">IF($AW52="",0,_xlfn.LET(_xlpm.r,IFERROR(MATCH(IFERROR(_xlfn.XLOOKUP($AW52,$BT$5:$BT$22,$BU$5:$BU$22),$AW52),TRIM('TY Beauty Target'!$B$5:$B$300&amp;""),0),""),IF(ISNUMBER(_xlpm.r),SUMPRODUCT(('TY Beauty Target'!$L$2:$AP$2&gt;=$U$4)*('TY Beauty Target'!$L$2:$AP$2&lt;=$U$5),INDEX('TY Beauty Target'!$L$5:$AP$300,_xlpm.r,0)),0)))</f>
        <v>11154.661245130876</v>
      </c>
    </row>
    <row r="53" spans="1:89" ht="15" customHeight="1" x14ac:dyDescent="0.25">
      <c r="A53" s="38" t="str">
        <f t="shared" si="30"/>
        <v/>
      </c>
      <c r="B53" s="43" t="str" cm="1">
        <f t="array" ref="B53">IF($AI53="","",IF(LEFT($AI53,2)="C|",IF($C53="","",_xlfn.TEXTJOIN(", ",TRUE,_xlfn.UNIQUE(_xlfn._xlws.FILTER($AN$5:$AN$302,($AP$5:$AP$302=1)*($AO$5:$AO$302=$A53))))),IF($AI53="CT",B$13,IF(LEFT($AI53,3)="AM|",IF($C53="","",ROWS(_xlfn.UNIQUE(_xlfn._xlws.FILTER($AO$5:$AO$302,($AP$5:$AP$302=1)*($AN$5:$AN$302=$A53))))),IF(LEFT($AI53,2)="S|",IF($AG53="","",INDEX($AO$5:$AO$302,$AH53)),IF($AI53="HDR","City",""))))))</f>
        <v/>
      </c>
      <c r="C53" s="39" t="str" cm="1">
        <f t="array" ref="C53">IF($AI53="","",IF(LEFT($AI53,2)="C|",_xlfn.LET(_xlpm.n,SUMPRODUCT($AP$5:$AP$302*($AO$5:$AO$302=$A53)),IF(_xlpm.n=0,"",_xlpm.n)),IF($AI53="CT",C$13,IF(LEFT($AI53,3)="AM|",_xlfn.LET(_xlpm.n,SUMPRODUCT($AP$5:$AP$302*($AN$5:$AN$302=$A53)),IF(_xlpm.n=0,"",_xlpm.n)),IF(LEFT($AI53,2)="S|","",IF($AI53="HDR","# Stores",""))))))</f>
        <v/>
      </c>
      <c r="D53" s="40" t="str" cm="1">
        <f t="array" ref="D53">IF($AI53="","",IF(LEFT($AI53,2)="C|",IF($C53="","",SUMPRODUCT($AP$5:$AP$302*($AO$5:$AO$302=$A53),$AR$5:$AR$302)),IF($AI53="CT",D$13,IF(LEFT($AI53,3)="AM|",IF($C53="","",SUMPRODUCT($AP$5:$AP$302*($AN$5:$AN$302=$A53),$AR$5:$AR$302)),IF(LEFT($AI53,2)="S|",IF($AG53="","",INDEX($AR$5:$AR$302,$AH53)),IF($AI53="HDR","Sales TY",""))))))</f>
        <v/>
      </c>
      <c r="E53" s="40" t="str" cm="1">
        <f t="array" ref="E53">IF($AI53="","",IF(LEFT($AI53,2)="C|",IF($C53="","",SUMPRODUCT($AP$5:$AP$302*($AO$5:$AO$302=$A53),$AT$5:$AT$302)),IF($AI53="CT",E$13,IF(LEFT($AI53,3)="AM|",IF($C53="","",SUMPRODUCT($AP$5:$AP$302*($AN$5:$AN$302=$A53),$AT$5:$AT$302)),IF(LEFT($AI53,2)="S|",IF($AG53="","",INDEX($AT$5:$AT$302,$AH53)),IF($AI53="HDR","Sales LY",""))))))</f>
        <v/>
      </c>
      <c r="F53" s="41" t="str">
        <f t="shared" si="31"/>
        <v/>
      </c>
      <c r="G53" s="41" t="str">
        <f t="shared" si="32"/>
        <v/>
      </c>
      <c r="H53" s="40" t="str" cm="1">
        <f t="array" ref="H53">IF($AI53="","",IF(LEFT($AI53,2)="C|",IF($C53="","",SUMPRODUCT($AP$5:$AP$302*($AO$5:$AO$302=$A53),$AV$5:$AV$302)),IF($AI53="CT",H$13,IF(LEFT($AI53,3)="AM|",IF($C53="","",SUMPRODUCT($AP$5:$AP$302*($AN$5:$AN$302=$A53),$AV$5:$AV$302)),IF(LEFT($AI53,2)="S|",IF($AG53="","",INDEX($AV$5:$AV$302,$AH53)),IF($AI53="HDR","Target",""))))))</f>
        <v/>
      </c>
      <c r="I53" s="41" t="str">
        <f t="shared" si="33"/>
        <v/>
      </c>
      <c r="J53" s="40" t="str">
        <f t="shared" si="34"/>
        <v/>
      </c>
      <c r="K53" s="41" t="str">
        <f t="shared" si="35"/>
        <v/>
      </c>
      <c r="L53" s="40" t="str" cm="1">
        <f t="array" ref="L53">IF($AI53="","",IF(LEFT($AI53,2)="C|",IF($C53="","",SUMPRODUCT($AP$5:$AP$302*($AO$5:$AO$302=$A53),$BN$5:$BN$302)),IF($AI53="CT",L$13,IF(LEFT($AI53,3)="AM|",IF($C53="","",SUMPRODUCT($AP$5:$AP$302*($AN$5:$AN$302=$A53),$BN$5:$BN$302)),IF(LEFT($AI53,2)="S|",IF($AG53="","",INDEX($BN$5:$BN$302,$AH53)),IF($AI53="HDR","Month Target",""))))))</f>
        <v/>
      </c>
      <c r="M53" s="40" t="str" cm="1">
        <f t="array" ref="M53">IF($AI53="","",IF(LEFT($AI53,2)="C|",IF($C53="","",SUMPRODUCT($AP$5:$AP$302*($AO$5:$AO$302=$A53),$BO$5:$BO$302)),IF($AI53="CT",M$13,IF(LEFT($AI53,3)="AM|",IF($C53="","",SUMPRODUCT($AP$5:$AP$302*($AN$5:$AN$302=$A53),$BO$5:$BO$302)),IF(LEFT($AI53,2)="S|",IF($AG53="","",INDEX($BO$5:$BO$302,$AH53)),IF($AI53="HDR","Projected Close",""))))))</f>
        <v/>
      </c>
      <c r="N53" s="41" t="str">
        <f t="shared" si="43"/>
        <v/>
      </c>
      <c r="O53" s="41" t="str" cm="1">
        <f t="array" ref="O53">IF($AI53="HDR","Proj. vs LY",IF(OR($AI53="",M53=""),"",_xlfn.LET(_xlpm.ly,IF(LEFT($AI53,2)="C|",SUMPRODUCT($AP$5:$AP$302*($AO$5:$AO$302=$A53),$BK$5:$BK$302),IF($AI53="CT",SUMPRODUCT($AP$5:$AP$302,$BK$5:$BK$302),IF(LEFT($AI53,3)="AM|",SUMPRODUCT($AP$5:$AP$302*($AN$5:$AN$302=$A53),$BK$5:$BK$302),IF(LEFT($AI53,2)="S|",INDEX($BK$5:$BK$302,$AH53),0)))),IFERROR(M53/_xlpm.ly-1,""))))</f>
        <v/>
      </c>
      <c r="P53" s="40" t="str" cm="1">
        <f t="array" ref="P53">IF($AI53="","",IF(LEFT($AI53,2)="C|",IF($C53="","",SUMPRODUCT($AP$5:$AP$302*($AO$5:$AO$302=$A53),$AS$5:$AS$302)),IF($AI53="CT",P$13,IF(LEFT($AI53,3)="AM|",IF($C53="","",SUMPRODUCT($AP$5:$AP$302*($AN$5:$AN$302=$A53),$AS$5:$AS$302)),IF(LEFT($AI53,2)="S|",IF($AG53="","",INDEX($AS$5:$AS$302,$AH53)),IF($AI53="HDR","Trans TY",""))))))</f>
        <v/>
      </c>
      <c r="Q53" s="40" t="str" cm="1">
        <f t="array" ref="Q53">IF($AI53="","",IF(LEFT($AI53,2)="C|",IF($C53="","",SUMPRODUCT($AP$5:$AP$302*($AO$5:$AO$302=$A53),$AU$5:$AU$302)),IF($AI53="CT",Q$13,IF(LEFT($AI53,3)="AM|",IF($C53="","",SUMPRODUCT($AP$5:$AP$302*($AN$5:$AN$302=$A53),$AU$5:$AU$302)),IF(LEFT($AI53,2)="S|",IF($AG53="","",INDEX($AU$5:$AU$302,$AH53)),IF($AI53="HDR","Trans LY",""))))))</f>
        <v/>
      </c>
      <c r="R53" s="41" t="str">
        <f t="shared" si="36"/>
        <v/>
      </c>
      <c r="S53" s="41" t="str">
        <f t="shared" si="37"/>
        <v/>
      </c>
      <c r="T53" s="42" t="str">
        <f t="shared" si="38"/>
        <v/>
      </c>
      <c r="U53" s="42" t="str">
        <f t="shared" si="39"/>
        <v/>
      </c>
      <c r="V53" s="41" t="str">
        <f t="shared" si="40"/>
        <v/>
      </c>
      <c r="W53" s="40" t="str" cm="1">
        <f t="array" ref="W53">IF($AI53="","",IF(LEFT($AI53,2)="C|",_xlfn.LET(_xlpm.n,SUMPRODUCT($AP$5:$AP$302*($AO$5:$AO$302=$A53),$BB$5:$BB$302),IF(_xlpm.n=0,"",_xlpm.n)),IF($AI53="CT",W$13,IF(LEFT($AI53,3)="AM|",_xlfn.LET(_xlpm.n,SUMPRODUCT($AP$5:$AP$302*($AN$5:$AN$302=$A53),$BB$5:$BB$302),IF(_xlpm.n=0,"",_xlpm.n)),IF(LEFT($AI53,2)="S|",IF($AG53="","",_xlfn.LET(_xlpm.n,INDEX($BB$5:$BB$302,$AH53),IF(_xlpm.n=0,"",_xlpm.n))),IF($AI53="HDR","Footfall",""))))))</f>
        <v/>
      </c>
      <c r="X53" s="40" t="str" cm="1">
        <f t="array" ref="X53">IF($AI53="","",IF($AI53="HDR","Trans (FF stores)",IF(W53="","",IF(LEFT($AI53,2)="C|",SUMPRODUCT($AP$5:$AP$302*($AO$5:$AO$302=$A53),$BC$5:$BC$302),IF($AI53="CT",X$13,IF(LEFT($AI53,3)="AM|",SUMPRODUCT($AP$5:$AP$302*($AN$5:$AN$302=$A53),$BC$5:$BC$302),IF(LEFT($AI53,2)="S|",INDEX($BC$5:$BC$302,$AH53),"")))))))</f>
        <v/>
      </c>
      <c r="Y53" s="41" t="str">
        <f t="shared" si="44"/>
        <v/>
      </c>
      <c r="Z53" s="40" t="str" cm="1">
        <f t="array" ref="Z53">IF($AI53="","",IF(LEFT($AI53,2)="C|",IF($C53="","",SUMPRODUCT($AP$5:$AP$302*($AO$5:$AO$302=$A53),$CB$5:$CB$302)),IF($AI53="CT",Z$13,IF(LEFT($AI53,3)="AM|",IF($C53="","",SUMPRODUCT($AP$5:$AP$302*($AN$5:$AN$302=$A53),$CB$5:$CB$302)),IF(LEFT($AI53,2)="S|",IF($AG53="","",INDEX($CB$5:$CB$302,$AH53)),IF($AI53="HDR","Makeup Sales",""))))))</f>
        <v/>
      </c>
      <c r="AA53" s="41" t="str">
        <f t="shared" si="41"/>
        <v/>
      </c>
      <c r="AB53" s="40" t="str" cm="1">
        <f t="array" ref="AB53">IF($AI53="","",IF(LEFT($AI53,2)="C|",IF($C53="","",SUMPRODUCT($AP$5:$AP$302*($AO$5:$AO$302=$A53),$CK$5:$CK$302)),IF($AI53="CT",AB$13,IF(LEFT($AI53,3)="AM|",IF($C53="","",SUMPRODUCT($AP$5:$AP$302*($AN$5:$AN$302=$A53),$CK$5:$CK$302)),IF(LEFT($AI53,2)="S|",IF($AG53="","",INDEX($CK$5:$CK$302,$AH53)),IF($AI53="HDR","Makeup Target",""))))))</f>
        <v/>
      </c>
      <c r="AC53" s="41" t="str">
        <f t="shared" si="45"/>
        <v/>
      </c>
      <c r="AD53" s="40" t="str" cm="1">
        <f t="array" ref="AD53">IF($AI53="","",IF(LEFT($AI53,2)="C|",IF($C53="","",SUMPRODUCT($AP$5:$AP$302*($AO$5:$AO$302=$A53),$CI$5:$CI$302)),IF($AI53="CT",AD$13,IF(LEFT($AI53,3)="AM|",IF($C53="","",SUMPRODUCT($AP$5:$AP$302*($AN$5:$AN$302=$A53),$CI$5:$CI$302)),IF(LEFT($AI53,2)="S|",IF($AG53="","",INDEX($CI$5:$CI$302,$AH53)),IF($AI53="HDR","Cosmetic Sales",""))))))</f>
        <v/>
      </c>
      <c r="AE53" s="8" t="str" cm="1">
        <f t="array" ref="AE53">IF($AI53="","",IF(LEFT($AI53,2)="C|",IF($C53="","",SUMPRODUCT($AP$5:$AP$302*($AO$5:$AO$302=$A53)*$AQ$5:$AQ$302,$AR$5:$AR$302)),IF($AI53="CT",AE$13,IF(LEFT($AI53,3)="AM|",IF($C53="","",SUMPRODUCT($AP$5:$AP$302*($AN$5:$AN$302=$A53)*$AQ$5:$AQ$302,$AR$5:$AR$302)),IF(LEFT($AI53,2)="S|",IF($AG53="","",IF(INDEX($AQ$5:$AQ$302,$AH53)=1,D53,0)),IF($AI53="HDR","LFL Sales",""))))))</f>
        <v/>
      </c>
      <c r="AF53" s="8" t="str" cm="1">
        <f t="array" ref="AF53">IF($AI53="","",IF(LEFT($AI53,2)="C|",IF($C53="","",SUMPRODUCT($AP$5:$AP$302*($AO$5:$AO$302=$A53)*$AQ$5:$AQ$302,$AS$5:$AS$302)),IF($AI53="CT",AF$13,IF(LEFT($AI53,3)="AM|",IF($C53="","",SUMPRODUCT($AP$5:$AP$302*($AN$5:$AN$302=$A53)*$AQ$5:$AQ$302,$AS$5:$AS$302)),IF(LEFT($AI53,2)="S|",IF($AG53="","",IF(INDEX($AQ$5:$AQ$302,$AH53)=1,P53,0)),IF($AI53="HDR","LFL Trans",""))))))</f>
        <v/>
      </c>
      <c r="AG53" s="8" t="str" cm="1">
        <f t="array" ref="AG53">IF($AI53="","",IF(LEFT($AI53,2)="C|","",IF($AI53="CT","",IF(LEFT($AI53,3)="AM|","",IF(LEFT($AI53,2)="S|",IF($AH53="","",IF(INDEX($AP$5:$AP$302,$AH53)=1,1,"")),IF($AI53="HDR","Show",""))))))</f>
        <v/>
      </c>
      <c r="AH53" s="8" t="str">
        <f t="shared" si="42"/>
        <v/>
      </c>
      <c r="AI53" s="8"/>
      <c r="AN53" s="8" t="str" cm="1">
        <f t="array" ref="AN53">IF($AW53="","",_xlfn.LET(_xlpm.sa,IFERROR(TRIM(INDEX('Sales and count'!$D$4:$D$300,$BF53)&amp;""),""),_xlpm.ta,IFERROR(TRIM(INDEX('TY Sales Target'!$F$5:$F$300,$BG53)&amp;""),""),IF(AND(_xlpm.sa&lt;&gt;"",LEFT(_xlpm.sa,1)&lt;&gt;"#",_xlpm.sa&lt;&gt;"0"),_xlpm.sa,IF(AND(_xlpm.ta&lt;&gt;"",LEFT(_xlpm.ta,1)&lt;&gt;"#",_xlpm.ta&lt;&gt;"0"),_xlpm.ta,IF(ISNUMBER($BG53),"Unassigned","")))))</f>
        <v>Hamzah Al Makhadam</v>
      </c>
      <c r="AO53" s="8" t="str" cm="1">
        <f t="array" ref="AO53">IF($AW53="","",_xlfn.LET(_xlpm.sa,IFERROR(TRIM(INDEX('Sales and count'!$C$4:$C$300,$BF53)&amp;""),""),_xlpm.ta,IFERROR(TRIM(INDEX('TY Sales Target'!$D$5:$D$300,$BG53)&amp;""),""),IF(AND(_xlpm.sa&lt;&gt;"",LEFT(_xlpm.sa,1)&lt;&gt;"#",_xlpm.sa&lt;&gt;"0"),_xlpm.sa,IF(AND(_xlpm.ta&lt;&gt;"",LEFT(_xlpm.ta,1)&lt;&gt;"#",_xlpm.ta&lt;&gt;"0"),_xlpm.ta,""))))</f>
        <v>Jubail</v>
      </c>
      <c r="AP53" s="8">
        <f t="shared" si="2"/>
        <v>0</v>
      </c>
      <c r="AQ53" s="8">
        <f t="shared" si="0"/>
        <v>1</v>
      </c>
      <c r="AR53" s="8" cm="1">
        <f t="array" ref="AR53">IF($BF53="",0,_xlfn.LET(_xlpm.d,IFERROR(--'Sales and count'!$G$2:$CC$2,0),SUMPRODUCT(('Sales and count'!$G$3:$CC$3="Total")*(_xlpm.d&gt;=$U$4)*(_xlpm.d&lt;=$U$5),INDEX('Sales and count'!$G$4:$CC$300,$BF53,0))))</f>
        <v>167032.47</v>
      </c>
      <c r="AS53" s="8" cm="1">
        <f t="array" aca="1" ref="AS53" ca="1">IF($BF53="",0,_xlfn.LET(_xlpm.d,IFERROR(--'Sales and count'!$F$2:$CB$2,0),SUMPRODUCT(('Sales and count'!$G$3:$CC$3="Transactions")*(_xlpm.d&gt;=$U$4)*(_xlpm.d&lt;=$U$5),INDEX('Sales and count'!$G$4:$CC$300,$BF53,0))))</f>
        <v>1213</v>
      </c>
      <c r="AT53" s="8" cm="1">
        <f t="array" ref="AT53">IF($AW53="",0,SUMPRODUCT((TRIM('LY Sales '!$B$5:$B$200)=$AW53)*('LY Sales '!$C$2:$AG$2&gt;=EDATE($U$4,-12))*('LY Sales '!$C$2:$AG$2&lt;=EDATE($U$5,-12)),'LY Sales '!$C$5:$AG$200))</f>
        <v>233146.59</v>
      </c>
      <c r="AU53" s="8" cm="1">
        <f t="array" ref="AU53">IF($AW53="",0,SUMPRODUCT((TRIM('LY Transaction'!$B$5:$B$200)=$AW53)*('LY Transaction'!$C$2:$AG$2&gt;=EDATE($U$4,-12))*('LY Transaction'!$C$2:$AG$2&lt;=EDATE($U$5,-12)),'LY Transaction'!$C$5:$AG$200))</f>
        <v>1654</v>
      </c>
      <c r="AV53" s="8" cm="1">
        <f t="array" ref="AV53">IF(NOT(ISNUMBER($BG53)),0,SUMPRODUCT(('TY Sales Target'!$K$2:$AO$2&gt;=$U$4)*('TY Sales Target'!$K$2:$AO$2&lt;=$U$5),INDEX('TY Sales Target'!$K$5:$AO$300,$BG53,0)))</f>
        <v>226021.61480637037</v>
      </c>
      <c r="AW53" s="8" t="str" cm="1">
        <f t="array" ref="AW53">IFERROR(INDEX(_xlfn.ANCHORARRAY($BR$5),ROWS($AW$5:AW53)),"")</f>
        <v>JUBGALRY</v>
      </c>
      <c r="BB53" cm="1">
        <f t="array" ref="BB53">IF($AW53="",0,SUMPRODUCT((TRIM(Footfall!$B$5:$B$301)=$AW53)*(Footfall!$C$1:$BZ$1&gt;=$U$4)*(Footfall!$C$2:$BZ$2&lt;=$U$5)*(Footfall!$C$1:$BZ$1&lt;&gt;""),Footfall!$C$5:$BZ$301))</f>
        <v>6648</v>
      </c>
      <c r="BC53" cm="1">
        <f t="array" aca="1" ref="BC53" ca="1">IF(OR($BB53&lt;=0,$BD$1="",$BF53=""),0,_xlfn.LET(_xlpm.d,IFERROR(--'Sales and count'!$F$2:$CB$2,0),SUMPRODUCT(('Sales and count'!$G$3:$CC$3="Transactions")*(_xlpm.d&gt;=$BD$1)*(_xlpm.d&lt;=$BD$2),INDEX('Sales and count'!$G$4:$CC$300,$BF53,0))))</f>
        <v>1213</v>
      </c>
      <c r="BF53" cm="1">
        <f t="array" ref="BF53">IF($AW53="","",IFERROR(MATCH($AW53,TRIM('Sales and count'!$A$4:$A$300&amp;""),0),""))</f>
        <v>49</v>
      </c>
      <c r="BG53" cm="1">
        <f t="array" ref="BG53">IF($AW53="","",IFERROR(MATCH(IFERROR(_xlfn.XLOOKUP($AW53,$BT$5:$BT$22,$BU$5:$BU$22),$AW53),TRIM('TY Sales Target'!$B$5:$B$300&amp;""),0),""))</f>
        <v>36</v>
      </c>
      <c r="BH53" t="str" cm="1">
        <f t="array" ref="BH53">IF(ISNUMBER($BG53),_xlfn.LET(_xlpm.p,TRIM(INDEX('TY Sales Target'!$I$5:$I$300,$BG53)&amp;""),IF(_xlpm.p="","Not set",_xlpm.p)),"Not set")</f>
        <v>Smart Phone</v>
      </c>
      <c r="BI53" cm="1">
        <f t="array" ref="BI53">IF($BF53="",0,_xlfn.LET(_xlpm.d,IFERROR(--'Sales and count'!$G$2:$CC$2,0),SUMPRODUCT(('Sales and count'!$G$3:$CC$3="Total")*(_xlpm.d&gt;=$BZ$5)*(_xlpm.d&lt;=$BZ$6),INDEX('Sales and count'!$G$4:$CC$300,$BF53,0))))</f>
        <v>167032.47</v>
      </c>
      <c r="BJ53" cm="1">
        <f t="array" ref="BJ53">IF($AW53="",0,SUMPRODUCT((TRIM('LY Sales '!$B$5:$B$200)=$AW53)*('LY Sales '!$C$2:$AG$2&gt;=EDATE($BZ$5,-12))*('LY Sales '!$C$2:$AG$2&lt;=EDATE($BZ$6,-12)),'LY Sales '!$C$5:$AG$200))</f>
        <v>233146.59</v>
      </c>
      <c r="BK53" cm="1">
        <f t="array" ref="BK53">IF($AW53="",0,SUMPRODUCT((TRIM('LY Sales '!$B$5:$B$200)=$AW53)*('LY Sales '!$C$2:$AG$2&gt;=EDATE($BZ$5,-12))*('LY Sales '!$C$2:$AG$2&lt;=EDATE($BZ$7,-12)),'LY Sales '!$C$5:$AG$200))</f>
        <v>296740.68</v>
      </c>
      <c r="BL53" cm="1">
        <f t="array" ref="BL53">IF($AW53="",0,SUMPRODUCT((TRIM('LY Sales '!$B$5:$B$200)=$AW53)*('LY Sales '!$C$2:$AG$2&gt;=EDATE($BZ$5,-12))*('LY Sales '!$C$2:$AG$2&lt;=EDATE($BZ$6,-12))*('LY Sales '!$C$5:$AG$200&gt;0)))</f>
        <v>26</v>
      </c>
      <c r="BM53" cm="1">
        <f t="array" ref="BM53">IF(NOT(ISNUMBER($BG53)),0,SUMPRODUCT(('TY Sales Target'!$K$2:$AO$2&gt;=$BZ$5)*('TY Sales Target'!$K$2:$AO$2&lt;=$BZ$6),INDEX('TY Sales Target'!$K$5:$AO$300,$BG53,0)))</f>
        <v>226021.61480637037</v>
      </c>
      <c r="BN53" cm="1">
        <f t="array" ref="BN53">IF(NOT(ISNUMBER($BG53)),0,SUMPRODUCT(('TY Sales Target'!$K$2:$AO$2&gt;=$BZ$5)*('TY Sales Target'!$K$2:$AO$2&lt;=$BZ$7),INDEX('TY Sales Target'!$K$5:$AO$300,$BG53,0)))</f>
        <v>295000.00000000006</v>
      </c>
      <c r="BO53" cm="1">
        <f t="array" ref="BO53">IF($AW53="",0,IFERROR(_xlfn.SWITCH($BP53,"LY trend",$BI53*$BK53/$BJ53,"Target curve",$BI53*$BN53/$BM53,"Run rate",$BI53/$BZ$8*$BZ$9,0),0))</f>
        <v>212592.98165107027</v>
      </c>
      <c r="BP53" t="str">
        <f t="shared" si="1"/>
        <v>LY trend</v>
      </c>
      <c r="BR53" t="str">
        <v>JUBGALRY</v>
      </c>
      <c r="CB53" cm="1">
        <f t="array" ref="CB53">IF($AW53="",0,_xlfn.LET(_xlpm.k,IFERROR(_xlfn.XLOOKUP($AW53,$CD$6:$CD$21,$CE$6:$CE$21),$AW53),SUMPRODUCT((TRIM('Makeup '!$A$2:$A$300&amp;"")=_xlpm.k)*1,IFERROR('Makeup '!$F$2:$F$300*1,0))))</f>
        <v>11979.31</v>
      </c>
      <c r="CF53" t="str" cm="1">
        <f t="array" ref="CF53">IF($AW53="","",_xlfn.LET(_xlpm.c,IFERROR(TRIM(INDEX('Sales and count'!$B$4:$B$300,$BF53)&amp;""),""),IF(OR(_xlpm.c="",_xlpm.c="0",LEFT(_xlpm.c,1)="#"),"Not set",_xlpm.c)))</f>
        <v>KSA</v>
      </c>
      <c r="CH53" cm="1">
        <f t="array" ref="CH53">IF($AW53="",0,_xlfn.LET(_xlpm.k,IFERROR(_xlfn.XLOOKUP($AW53,$CD$6:$CD$21,$CE$6:$CE$21),$AW53),--(SUMPRODUCT((TRIM('Makeup '!$A$2:$A$300&amp;"")=_xlpm.k)*ISNUMBER('Makeup '!$F$2:$F$300))&gt;0)))</f>
        <v>1</v>
      </c>
      <c r="CI53">
        <f t="shared" si="4"/>
        <v>167032.47</v>
      </c>
      <c r="CJ53" cm="1">
        <f t="array" ref="CJ53">IF($AW53="",0,--(SUMPRODUCT(--(TRIM(Footfall!$B$5:$B$301)=$AW53))&gt;0))</f>
        <v>1</v>
      </c>
      <c r="CK53" s="8" cm="1">
        <f t="array" ref="CK53">IF($AW53="",0,_xlfn.LET(_xlpm.r,IFERROR(MATCH(IFERROR(_xlfn.XLOOKUP($AW53,$BT$5:$BT$22,$BU$5:$BU$22),$AW53),TRIM('TY Beauty Target'!$B$5:$B$300&amp;""),0),""),IF(ISNUMBER(_xlpm.r),SUMPRODUCT(('TY Beauty Target'!$L$2:$AP$2&gt;=$U$4)*('TY Beauty Target'!$L$2:$AP$2&lt;=$U$5),INDEX('TY Beauty Target'!$L$5:$AP$300,_xlpm.r,0)),0)))</f>
        <v>21555.766281430642</v>
      </c>
    </row>
    <row r="54" spans="1:89" ht="15" customHeight="1" x14ac:dyDescent="0.25">
      <c r="A54" s="38" t="str">
        <f t="shared" si="30"/>
        <v/>
      </c>
      <c r="B54" s="43" t="str" cm="1">
        <f t="array" ref="B54">IF($AI54="","",IF(LEFT($AI54,2)="C|",IF($C54="","",_xlfn.TEXTJOIN(", ",TRUE,_xlfn.UNIQUE(_xlfn._xlws.FILTER($AN$5:$AN$302,($AP$5:$AP$302=1)*($AO$5:$AO$302=$A54))))),IF($AI54="CT",B$13,IF(LEFT($AI54,3)="AM|",IF($C54="","",ROWS(_xlfn.UNIQUE(_xlfn._xlws.FILTER($AO$5:$AO$302,($AP$5:$AP$302=1)*($AN$5:$AN$302=$A54))))),IF(LEFT($AI54,2)="S|",IF($AG54="","",INDEX($AO$5:$AO$302,$AH54)),IF($AI54="HDR","City",""))))))</f>
        <v/>
      </c>
      <c r="C54" s="39" t="str" cm="1">
        <f t="array" ref="C54">IF($AI54="","",IF(LEFT($AI54,2)="C|",_xlfn.LET(_xlpm.n,SUMPRODUCT($AP$5:$AP$302*($AO$5:$AO$302=$A54)),IF(_xlpm.n=0,"",_xlpm.n)),IF($AI54="CT",C$13,IF(LEFT($AI54,3)="AM|",_xlfn.LET(_xlpm.n,SUMPRODUCT($AP$5:$AP$302*($AN$5:$AN$302=$A54)),IF(_xlpm.n=0,"",_xlpm.n)),IF(LEFT($AI54,2)="S|","",IF($AI54="HDR","# Stores",""))))))</f>
        <v/>
      </c>
      <c r="D54" s="40" t="str" cm="1">
        <f t="array" ref="D54">IF($AI54="","",IF(LEFT($AI54,2)="C|",IF($C54="","",SUMPRODUCT($AP$5:$AP$302*($AO$5:$AO$302=$A54),$AR$5:$AR$302)),IF($AI54="CT",D$13,IF(LEFT($AI54,3)="AM|",IF($C54="","",SUMPRODUCT($AP$5:$AP$302*($AN$5:$AN$302=$A54),$AR$5:$AR$302)),IF(LEFT($AI54,2)="S|",IF($AG54="","",INDEX($AR$5:$AR$302,$AH54)),IF($AI54="HDR","Sales TY",""))))))</f>
        <v/>
      </c>
      <c r="E54" s="40" t="str" cm="1">
        <f t="array" ref="E54">IF($AI54="","",IF(LEFT($AI54,2)="C|",IF($C54="","",SUMPRODUCT($AP$5:$AP$302*($AO$5:$AO$302=$A54),$AT$5:$AT$302)),IF($AI54="CT",E$13,IF(LEFT($AI54,3)="AM|",IF($C54="","",SUMPRODUCT($AP$5:$AP$302*($AN$5:$AN$302=$A54),$AT$5:$AT$302)),IF(LEFT($AI54,2)="S|",IF($AG54="","",INDEX($AT$5:$AT$302,$AH54)),IF($AI54="HDR","Sales LY",""))))))</f>
        <v/>
      </c>
      <c r="F54" s="41" t="str">
        <f t="shared" si="31"/>
        <v/>
      </c>
      <c r="G54" s="41" t="str">
        <f t="shared" si="32"/>
        <v/>
      </c>
      <c r="H54" s="40" t="str" cm="1">
        <f t="array" ref="H54">IF($AI54="","",IF(LEFT($AI54,2)="C|",IF($C54="","",SUMPRODUCT($AP$5:$AP$302*($AO$5:$AO$302=$A54),$AV$5:$AV$302)),IF($AI54="CT",H$13,IF(LEFT($AI54,3)="AM|",IF($C54="","",SUMPRODUCT($AP$5:$AP$302*($AN$5:$AN$302=$A54),$AV$5:$AV$302)),IF(LEFT($AI54,2)="S|",IF($AG54="","",INDEX($AV$5:$AV$302,$AH54)),IF($AI54="HDR","Target",""))))))</f>
        <v/>
      </c>
      <c r="I54" s="41" t="str">
        <f t="shared" si="33"/>
        <v/>
      </c>
      <c r="J54" s="40" t="str">
        <f t="shared" si="34"/>
        <v/>
      </c>
      <c r="K54" s="41" t="str">
        <f t="shared" si="35"/>
        <v/>
      </c>
      <c r="L54" s="40" t="str" cm="1">
        <f t="array" ref="L54">IF($AI54="","",IF(LEFT($AI54,2)="C|",IF($C54="","",SUMPRODUCT($AP$5:$AP$302*($AO$5:$AO$302=$A54),$BN$5:$BN$302)),IF($AI54="CT",L$13,IF(LEFT($AI54,3)="AM|",IF($C54="","",SUMPRODUCT($AP$5:$AP$302*($AN$5:$AN$302=$A54),$BN$5:$BN$302)),IF(LEFT($AI54,2)="S|",IF($AG54="","",INDEX($BN$5:$BN$302,$AH54)),IF($AI54="HDR","Month Target",""))))))</f>
        <v/>
      </c>
      <c r="M54" s="40" t="str" cm="1">
        <f t="array" ref="M54">IF($AI54="","",IF(LEFT($AI54,2)="C|",IF($C54="","",SUMPRODUCT($AP$5:$AP$302*($AO$5:$AO$302=$A54),$BO$5:$BO$302)),IF($AI54="CT",M$13,IF(LEFT($AI54,3)="AM|",IF($C54="","",SUMPRODUCT($AP$5:$AP$302*($AN$5:$AN$302=$A54),$BO$5:$BO$302)),IF(LEFT($AI54,2)="S|",IF($AG54="","",INDEX($BO$5:$BO$302,$AH54)),IF($AI54="HDR","Projected Close",""))))))</f>
        <v/>
      </c>
      <c r="N54" s="41" t="str">
        <f t="shared" si="43"/>
        <v/>
      </c>
      <c r="O54" s="41" t="str" cm="1">
        <f t="array" ref="O54">IF($AI54="HDR","Proj. vs LY",IF(OR($AI54="",M54=""),"",_xlfn.LET(_xlpm.ly,IF(LEFT($AI54,2)="C|",SUMPRODUCT($AP$5:$AP$302*($AO$5:$AO$302=$A54),$BK$5:$BK$302),IF($AI54="CT",SUMPRODUCT($AP$5:$AP$302,$BK$5:$BK$302),IF(LEFT($AI54,3)="AM|",SUMPRODUCT($AP$5:$AP$302*($AN$5:$AN$302=$A54),$BK$5:$BK$302),IF(LEFT($AI54,2)="S|",INDEX($BK$5:$BK$302,$AH54),0)))),IFERROR(M54/_xlpm.ly-1,""))))</f>
        <v/>
      </c>
      <c r="P54" s="40" t="str" cm="1">
        <f t="array" ref="P54">IF($AI54="","",IF(LEFT($AI54,2)="C|",IF($C54="","",SUMPRODUCT($AP$5:$AP$302*($AO$5:$AO$302=$A54),$AS$5:$AS$302)),IF($AI54="CT",P$13,IF(LEFT($AI54,3)="AM|",IF($C54="","",SUMPRODUCT($AP$5:$AP$302*($AN$5:$AN$302=$A54),$AS$5:$AS$302)),IF(LEFT($AI54,2)="S|",IF($AG54="","",INDEX($AS$5:$AS$302,$AH54)),IF($AI54="HDR","Trans TY",""))))))</f>
        <v/>
      </c>
      <c r="Q54" s="40" t="str" cm="1">
        <f t="array" ref="Q54">IF($AI54="","",IF(LEFT($AI54,2)="C|",IF($C54="","",SUMPRODUCT($AP$5:$AP$302*($AO$5:$AO$302=$A54),$AU$5:$AU$302)),IF($AI54="CT",Q$13,IF(LEFT($AI54,3)="AM|",IF($C54="","",SUMPRODUCT($AP$5:$AP$302*($AN$5:$AN$302=$A54),$AU$5:$AU$302)),IF(LEFT($AI54,2)="S|",IF($AG54="","",INDEX($AU$5:$AU$302,$AH54)),IF($AI54="HDR","Trans LY",""))))))</f>
        <v/>
      </c>
      <c r="R54" s="41" t="str">
        <f t="shared" si="36"/>
        <v/>
      </c>
      <c r="S54" s="41" t="str">
        <f t="shared" si="37"/>
        <v/>
      </c>
      <c r="T54" s="42" t="str">
        <f t="shared" si="38"/>
        <v/>
      </c>
      <c r="U54" s="42" t="str">
        <f t="shared" si="39"/>
        <v/>
      </c>
      <c r="V54" s="41" t="str">
        <f t="shared" si="40"/>
        <v/>
      </c>
      <c r="W54" s="40" t="str" cm="1">
        <f t="array" ref="W54">IF($AI54="","",IF(LEFT($AI54,2)="C|",_xlfn.LET(_xlpm.n,SUMPRODUCT($AP$5:$AP$302*($AO$5:$AO$302=$A54),$BB$5:$BB$302),IF(_xlpm.n=0,"",_xlpm.n)),IF($AI54="CT",W$13,IF(LEFT($AI54,3)="AM|",_xlfn.LET(_xlpm.n,SUMPRODUCT($AP$5:$AP$302*($AN$5:$AN$302=$A54),$BB$5:$BB$302),IF(_xlpm.n=0,"",_xlpm.n)),IF(LEFT($AI54,2)="S|",IF($AG54="","",_xlfn.LET(_xlpm.n,INDEX($BB$5:$BB$302,$AH54),IF(_xlpm.n=0,"",_xlpm.n))),IF($AI54="HDR","Footfall",""))))))</f>
        <v/>
      </c>
      <c r="X54" s="40" t="str" cm="1">
        <f t="array" ref="X54">IF($AI54="","",IF($AI54="HDR","Trans (FF stores)",IF(W54="","",IF(LEFT($AI54,2)="C|",SUMPRODUCT($AP$5:$AP$302*($AO$5:$AO$302=$A54),$BC$5:$BC$302),IF($AI54="CT",X$13,IF(LEFT($AI54,3)="AM|",SUMPRODUCT($AP$5:$AP$302*($AN$5:$AN$302=$A54),$BC$5:$BC$302),IF(LEFT($AI54,2)="S|",INDEX($BC$5:$BC$302,$AH54),"")))))))</f>
        <v/>
      </c>
      <c r="Y54" s="41" t="str">
        <f t="shared" si="44"/>
        <v/>
      </c>
      <c r="Z54" s="40" t="str" cm="1">
        <f t="array" ref="Z54">IF($AI54="","",IF(LEFT($AI54,2)="C|",IF($C54="","",SUMPRODUCT($AP$5:$AP$302*($AO$5:$AO$302=$A54),$CB$5:$CB$302)),IF($AI54="CT",Z$13,IF(LEFT($AI54,3)="AM|",IF($C54="","",SUMPRODUCT($AP$5:$AP$302*($AN$5:$AN$302=$A54),$CB$5:$CB$302)),IF(LEFT($AI54,2)="S|",IF($AG54="","",INDEX($CB$5:$CB$302,$AH54)),IF($AI54="HDR","Makeup Sales",""))))))</f>
        <v/>
      </c>
      <c r="AA54" s="41" t="str">
        <f t="shared" si="41"/>
        <v/>
      </c>
      <c r="AB54" s="40" t="str" cm="1">
        <f t="array" ref="AB54">IF($AI54="","",IF(LEFT($AI54,2)="C|",IF($C54="","",SUMPRODUCT($AP$5:$AP$302*($AO$5:$AO$302=$A54),$CK$5:$CK$302)),IF($AI54="CT",AB$13,IF(LEFT($AI54,3)="AM|",IF($C54="","",SUMPRODUCT($AP$5:$AP$302*($AN$5:$AN$302=$A54),$CK$5:$CK$302)),IF(LEFT($AI54,2)="S|",IF($AG54="","",INDEX($CK$5:$CK$302,$AH54)),IF($AI54="HDR","Makeup Target",""))))))</f>
        <v/>
      </c>
      <c r="AC54" s="41" t="str">
        <f t="shared" si="45"/>
        <v/>
      </c>
      <c r="AD54" s="40" t="str" cm="1">
        <f t="array" ref="AD54">IF($AI54="","",IF(LEFT($AI54,2)="C|",IF($C54="","",SUMPRODUCT($AP$5:$AP$302*($AO$5:$AO$302=$A54),$CI$5:$CI$302)),IF($AI54="CT",AD$13,IF(LEFT($AI54,3)="AM|",IF($C54="","",SUMPRODUCT($AP$5:$AP$302*($AN$5:$AN$302=$A54),$CI$5:$CI$302)),IF(LEFT($AI54,2)="S|",IF($AG54="","",INDEX($CI$5:$CI$302,$AH54)),IF($AI54="HDR","Cosmetic Sales",""))))))</f>
        <v/>
      </c>
      <c r="AE54" s="8" t="str" cm="1">
        <f t="array" ref="AE54">IF($AI54="","",IF(LEFT($AI54,2)="C|",IF($C54="","",SUMPRODUCT($AP$5:$AP$302*($AO$5:$AO$302=$A54)*$AQ$5:$AQ$302,$AR$5:$AR$302)),IF($AI54="CT",AE$13,IF(LEFT($AI54,3)="AM|",IF($C54="","",SUMPRODUCT($AP$5:$AP$302*($AN$5:$AN$302=$A54)*$AQ$5:$AQ$302,$AR$5:$AR$302)),IF(LEFT($AI54,2)="S|",IF($AG54="","",IF(INDEX($AQ$5:$AQ$302,$AH54)=1,D54,0)),IF($AI54="HDR","LFL Sales",""))))))</f>
        <v/>
      </c>
      <c r="AF54" s="8" t="str" cm="1">
        <f t="array" ref="AF54">IF($AI54="","",IF(LEFT($AI54,2)="C|",IF($C54="","",SUMPRODUCT($AP$5:$AP$302*($AO$5:$AO$302=$A54)*$AQ$5:$AQ$302,$AS$5:$AS$302)),IF($AI54="CT",AF$13,IF(LEFT($AI54,3)="AM|",IF($C54="","",SUMPRODUCT($AP$5:$AP$302*($AN$5:$AN$302=$A54)*$AQ$5:$AQ$302,$AS$5:$AS$302)),IF(LEFT($AI54,2)="S|",IF($AG54="","",IF(INDEX($AQ$5:$AQ$302,$AH54)=1,P54,0)),IF($AI54="HDR","LFL Trans",""))))))</f>
        <v/>
      </c>
      <c r="AG54" s="8" t="str" cm="1">
        <f t="array" ref="AG54">IF($AI54="","",IF(LEFT($AI54,2)="C|","",IF($AI54="CT","",IF(LEFT($AI54,3)="AM|","",IF(LEFT($AI54,2)="S|",IF($AH54="","",IF(INDEX($AP$5:$AP$302,$AH54)=1,1,"")),IF($AI54="HDR","Show",""))))))</f>
        <v/>
      </c>
      <c r="AH54" s="8" t="str">
        <f t="shared" si="42"/>
        <v/>
      </c>
      <c r="AI54" s="8"/>
      <c r="AN54" s="8" t="str" cm="1">
        <f t="array" ref="AN54">IF($AW54="","",_xlfn.LET(_xlpm.sa,IFERROR(TRIM(INDEX('Sales and count'!$D$4:$D$300,$BF54)&amp;""),""),_xlpm.ta,IFERROR(TRIM(INDEX('TY Sales Target'!$F$5:$F$300,$BG54)&amp;""),""),IF(AND(_xlpm.sa&lt;&gt;"",LEFT(_xlpm.sa,1)&lt;&gt;"#",_xlpm.sa&lt;&gt;"0"),_xlpm.sa,IF(AND(_xlpm.ta&lt;&gt;"",LEFT(_xlpm.ta,1)&lt;&gt;"#",_xlpm.ta&lt;&gt;"0"),_xlpm.ta,IF(ISNUMBER($BG54),"Unassigned","")))))</f>
        <v>Mohammed Sanad</v>
      </c>
      <c r="AO54" s="8" t="str" cm="1">
        <f t="array" ref="AO54">IF($AW54="","",_xlfn.LET(_xlpm.sa,IFERROR(TRIM(INDEX('Sales and count'!$C$4:$C$300,$BF54)&amp;""),""),_xlpm.ta,IFERROR(TRIM(INDEX('TY Sales Target'!$D$5:$D$300,$BG54)&amp;""),""),IF(AND(_xlpm.sa&lt;&gt;"",LEFT(_xlpm.sa,1)&lt;&gt;"#",_xlpm.sa&lt;&gt;"0"),_xlpm.sa,IF(AND(_xlpm.ta&lt;&gt;"",LEFT(_xlpm.ta,1)&lt;&gt;"#",_xlpm.ta&lt;&gt;"0"),_xlpm.ta,""))))</f>
        <v>Riyadh</v>
      </c>
      <c r="AP54" s="8">
        <f t="shared" si="2"/>
        <v>0</v>
      </c>
      <c r="AQ54" s="8">
        <f t="shared" si="0"/>
        <v>1</v>
      </c>
      <c r="AR54" s="8" cm="1">
        <f t="array" ref="AR54">IF($BF54="",0,_xlfn.LET(_xlpm.d,IFERROR(--'Sales and count'!$G$2:$CC$2,0),SUMPRODUCT(('Sales and count'!$G$3:$CC$3="Total")*(_xlpm.d&gt;=$U$4)*(_xlpm.d&lt;=$U$5),INDEX('Sales and count'!$G$4:$CC$300,$BF54,0))))</f>
        <v>347859.51000000007</v>
      </c>
      <c r="AS54" s="8" cm="1">
        <f t="array" aca="1" ref="AS54" ca="1">IF($BF54="",0,_xlfn.LET(_xlpm.d,IFERROR(--'Sales and count'!$F$2:$CB$2,0),SUMPRODUCT(('Sales and count'!$G$3:$CC$3="Transactions")*(_xlpm.d&gt;=$U$4)*(_xlpm.d&lt;=$U$5),INDEX('Sales and count'!$G$4:$CC$300,$BF54,0))))</f>
        <v>1956</v>
      </c>
      <c r="AT54" s="8" cm="1">
        <f t="array" ref="AT54">IF($AW54="",0,SUMPRODUCT((TRIM('LY Sales '!$B$5:$B$200)=$AW54)*('LY Sales '!$C$2:$AG$2&gt;=EDATE($U$4,-12))*('LY Sales '!$C$2:$AG$2&lt;=EDATE($U$5,-12)),'LY Sales '!$C$5:$AG$200))</f>
        <v>754685.58</v>
      </c>
      <c r="AU54" s="8" cm="1">
        <f t="array" ref="AU54">IF($AW54="",0,SUMPRODUCT((TRIM('LY Transaction'!$B$5:$B$200)=$AW54)*('LY Transaction'!$C$2:$AG$2&gt;=EDATE($U$4,-12))*('LY Transaction'!$C$2:$AG$2&lt;=EDATE($U$5,-12)),'LY Transaction'!$C$5:$AG$200))</f>
        <v>3958</v>
      </c>
      <c r="AV54" s="8" cm="1">
        <f t="array" ref="AV54">IF(NOT(ISNUMBER($BG54)),0,SUMPRODUCT(('TY Sales Target'!$K$2:$AO$2&gt;=$U$4)*('TY Sales Target'!$K$2:$AO$2&lt;=$U$5),INDEX('TY Sales Target'!$K$5:$AO$300,$BG54,0)))</f>
        <v>502610.77733213198</v>
      </c>
      <c r="AW54" s="8" t="str" cm="1">
        <f t="array" ref="AW54">IFERROR(INDEX(_xlfn.ANCHORARRAY($BR$5),ROWS($AW$5:AW54)),"")</f>
        <v>ALAQUEQ</v>
      </c>
      <c r="BB54" cm="1">
        <f t="array" ref="BB54">IF($AW54="",0,SUMPRODUCT((TRIM(Footfall!$B$5:$B$301)=$AW54)*(Footfall!$C$1:$BZ$1&gt;=$U$4)*(Footfall!$C$2:$BZ$2&lt;=$U$5)*(Footfall!$C$1:$BZ$1&lt;&gt;""),Footfall!$C$5:$BZ$301))</f>
        <v>6422</v>
      </c>
      <c r="BC54" cm="1">
        <f t="array" aca="1" ref="BC54" ca="1">IF(OR($BB54&lt;=0,$BD$1="",$BF54=""),0,_xlfn.LET(_xlpm.d,IFERROR(--'Sales and count'!$F$2:$CB$2,0),SUMPRODUCT(('Sales and count'!$G$3:$CC$3="Transactions")*(_xlpm.d&gt;=$BD$1)*(_xlpm.d&lt;=$BD$2),INDEX('Sales and count'!$G$4:$CC$300,$BF54,0))))</f>
        <v>1956</v>
      </c>
      <c r="BF54" cm="1">
        <f t="array" ref="BF54">IF($AW54="","",IFERROR(MATCH($AW54,TRIM('Sales and count'!$A$4:$A$300&amp;""),0),""))</f>
        <v>50</v>
      </c>
      <c r="BG54" cm="1">
        <f t="array" ref="BG54">IF($AW54="","",IFERROR(MATCH(IFERROR(_xlfn.XLOOKUP($AW54,$BT$5:$BT$22,$BU$5:$BU$22),$AW54),TRIM('TY Sales Target'!$B$5:$B$300&amp;""),0),""))</f>
        <v>4</v>
      </c>
      <c r="BH54" t="str" cm="1">
        <f t="array" ref="BH54">IF(ISNUMBER($BG54),_xlfn.LET(_xlpm.p,TRIM(INDEX('TY Sales Target'!$I$5:$I$300,$BG54)&amp;""),IF(_xlpm.p="","Not set",_xlpm.p)),"Not set")</f>
        <v>Car</v>
      </c>
      <c r="BI54" cm="1">
        <f t="array" ref="BI54">IF($BF54="",0,_xlfn.LET(_xlpm.d,IFERROR(--'Sales and count'!$G$2:$CC$2,0),SUMPRODUCT(('Sales and count'!$G$3:$CC$3="Total")*(_xlpm.d&gt;=$BZ$5)*(_xlpm.d&lt;=$BZ$6),INDEX('Sales and count'!$G$4:$CC$300,$BF54,0))))</f>
        <v>347859.51000000007</v>
      </c>
      <c r="BJ54" cm="1">
        <f t="array" ref="BJ54">IF($AW54="",0,SUMPRODUCT((TRIM('LY Sales '!$B$5:$B$200)=$AW54)*('LY Sales '!$C$2:$AG$2&gt;=EDATE($BZ$5,-12))*('LY Sales '!$C$2:$AG$2&lt;=EDATE($BZ$6,-12)),'LY Sales '!$C$5:$AG$200))</f>
        <v>754685.58</v>
      </c>
      <c r="BK54" cm="1">
        <f t="array" ref="BK54">IF($AW54="",0,SUMPRODUCT((TRIM('LY Sales '!$B$5:$B$200)=$AW54)*('LY Sales '!$C$2:$AG$2&gt;=EDATE($BZ$5,-12))*('LY Sales '!$C$2:$AG$2&lt;=EDATE($BZ$7,-12)),'LY Sales '!$C$5:$AG$200))</f>
        <v>975194.92</v>
      </c>
      <c r="BL54" cm="1">
        <f t="array" ref="BL54">IF($AW54="",0,SUMPRODUCT((TRIM('LY Sales '!$B$5:$B$200)=$AW54)*('LY Sales '!$C$2:$AG$2&gt;=EDATE($BZ$5,-12))*('LY Sales '!$C$2:$AG$2&lt;=EDATE($BZ$6,-12))*('LY Sales '!$C$5:$AG$200&gt;0)))</f>
        <v>25</v>
      </c>
      <c r="BM54" cm="1">
        <f t="array" ref="BM54">IF(NOT(ISNUMBER($BG54)),0,SUMPRODUCT(('TY Sales Target'!$K$2:$AO$2&gt;=$BZ$5)*('TY Sales Target'!$K$2:$AO$2&lt;=$BZ$6),INDEX('TY Sales Target'!$K$5:$AO$300,$BG54,0)))</f>
        <v>502610.77733213198</v>
      </c>
      <c r="BN54" cm="1">
        <f t="array" ref="BN54">IF(NOT(ISNUMBER($BG54)),0,SUMPRODUCT(('TY Sales Target'!$K$2:$AO$2&gt;=$BZ$5)*('TY Sales Target'!$K$2:$AO$2&lt;=$BZ$7),INDEX('TY Sales Target'!$K$5:$AO$300,$BG54,0)))</f>
        <v>656000</v>
      </c>
      <c r="BO54" cm="1">
        <f t="array" ref="BO54">IF($AW54="",0,IFERROR(_xlfn.SWITCH($BP54,"LY trend",$BI54*$BK54/$BJ54,"Target curve",$BI54*$BN54/$BM54,"Run rate",$BI54/$BZ$8*$BZ$9,0),0))</f>
        <v>454020.98174509523</v>
      </c>
      <c r="BP54" t="str">
        <f t="shared" si="1"/>
        <v>Target curve</v>
      </c>
      <c r="BR54" t="str">
        <v>ALAQUEQ</v>
      </c>
      <c r="CB54" cm="1">
        <f t="array" ref="CB54">IF($AW54="",0,_xlfn.LET(_xlpm.k,IFERROR(_xlfn.XLOOKUP($AW54,$CD$6:$CD$21,$CE$6:$CE$21),$AW54),SUMPRODUCT((TRIM('Makeup '!$A$2:$A$300&amp;"")=_xlpm.k)*1,IFERROR('Makeup '!$F$2:$F$300*1,0))))</f>
        <v>14910.52</v>
      </c>
      <c r="CF54" t="str" cm="1">
        <f t="array" ref="CF54">IF($AW54="","",_xlfn.LET(_xlpm.c,IFERROR(TRIM(INDEX('Sales and count'!$B$4:$B$300,$BF54)&amp;""),""),IF(OR(_xlpm.c="",_xlpm.c="0",LEFT(_xlpm.c,1)="#"),"Not set",_xlpm.c)))</f>
        <v>KSA</v>
      </c>
      <c r="CH54" cm="1">
        <f t="array" ref="CH54">IF($AW54="",0,_xlfn.LET(_xlpm.k,IFERROR(_xlfn.XLOOKUP($AW54,$CD$6:$CD$21,$CE$6:$CE$21),$AW54),--(SUMPRODUCT((TRIM('Makeup '!$A$2:$A$300&amp;"")=_xlpm.k)*ISNUMBER('Makeup '!$F$2:$F$300))&gt;0)))</f>
        <v>1</v>
      </c>
      <c r="CI54">
        <f t="shared" si="4"/>
        <v>347859.51000000007</v>
      </c>
      <c r="CJ54" cm="1">
        <f t="array" ref="CJ54">IF($AW54="",0,--(SUMPRODUCT(--(TRIM(Footfall!$B$5:$B$301)=$AW54))&gt;0))</f>
        <v>1</v>
      </c>
      <c r="CK54" s="8" cm="1">
        <f t="array" ref="CK54">IF($AW54="",0,_xlfn.LET(_xlpm.r,IFERROR(MATCH(IFERROR(_xlfn.XLOOKUP($AW54,$BT$5:$BT$22,$BU$5:$BU$22),$AW54),TRIM('TY Beauty Target'!$B$5:$B$300&amp;""),0),""),IF(ISNUMBER(_xlpm.r),SUMPRODUCT(('TY Beauty Target'!$L$2:$AP$2&gt;=$U$4)*('TY Beauty Target'!$L$2:$AP$2&lt;=$U$5),INDEX('TY Beauty Target'!$L$5:$AP$300,_xlpm.r,0)),0)))</f>
        <v>30672.538326199367</v>
      </c>
    </row>
    <row r="55" spans="1:89" ht="15" customHeight="1" x14ac:dyDescent="0.25">
      <c r="A55" s="38" t="str">
        <f t="shared" si="30"/>
        <v/>
      </c>
      <c r="B55" s="43" t="str" cm="1">
        <f t="array" ref="B55">IF($AI55="","",IF(LEFT($AI55,2)="C|",IF($C55="","",_xlfn.TEXTJOIN(", ",TRUE,_xlfn.UNIQUE(_xlfn._xlws.FILTER($AN$5:$AN$302,($AP$5:$AP$302=1)*($AO$5:$AO$302=$A55))))),IF($AI55="CT",B$13,IF(LEFT($AI55,3)="AM|",IF($C55="","",ROWS(_xlfn.UNIQUE(_xlfn._xlws.FILTER($AO$5:$AO$302,($AP$5:$AP$302=1)*($AN$5:$AN$302=$A55))))),IF(LEFT($AI55,2)="S|",IF($AG55="","",INDEX($AO$5:$AO$302,$AH55)),IF($AI55="HDR","City",""))))))</f>
        <v/>
      </c>
      <c r="C55" s="39" t="str" cm="1">
        <f t="array" ref="C55">IF($AI55="","",IF(LEFT($AI55,2)="C|",_xlfn.LET(_xlpm.n,SUMPRODUCT($AP$5:$AP$302*($AO$5:$AO$302=$A55)),IF(_xlpm.n=0,"",_xlpm.n)),IF($AI55="CT",C$13,IF(LEFT($AI55,3)="AM|",_xlfn.LET(_xlpm.n,SUMPRODUCT($AP$5:$AP$302*($AN$5:$AN$302=$A55)),IF(_xlpm.n=0,"",_xlpm.n)),IF(LEFT($AI55,2)="S|","",IF($AI55="HDR","# Stores",""))))))</f>
        <v/>
      </c>
      <c r="D55" s="40" t="str" cm="1">
        <f t="array" ref="D55">IF($AI55="","",IF(LEFT($AI55,2)="C|",IF($C55="","",SUMPRODUCT($AP$5:$AP$302*($AO$5:$AO$302=$A55),$AR$5:$AR$302)),IF($AI55="CT",D$13,IF(LEFT($AI55,3)="AM|",IF($C55="","",SUMPRODUCT($AP$5:$AP$302*($AN$5:$AN$302=$A55),$AR$5:$AR$302)),IF(LEFT($AI55,2)="S|",IF($AG55="","",INDEX($AR$5:$AR$302,$AH55)),IF($AI55="HDR","Sales TY",""))))))</f>
        <v/>
      </c>
      <c r="E55" s="40" t="str" cm="1">
        <f t="array" ref="E55">IF($AI55="","",IF(LEFT($AI55,2)="C|",IF($C55="","",SUMPRODUCT($AP$5:$AP$302*($AO$5:$AO$302=$A55),$AT$5:$AT$302)),IF($AI55="CT",E$13,IF(LEFT($AI55,3)="AM|",IF($C55="","",SUMPRODUCT($AP$5:$AP$302*($AN$5:$AN$302=$A55),$AT$5:$AT$302)),IF(LEFT($AI55,2)="S|",IF($AG55="","",INDEX($AT$5:$AT$302,$AH55)),IF($AI55="HDR","Sales LY",""))))))</f>
        <v/>
      </c>
      <c r="F55" s="41" t="str">
        <f t="shared" si="31"/>
        <v/>
      </c>
      <c r="G55" s="41" t="str">
        <f t="shared" si="32"/>
        <v/>
      </c>
      <c r="H55" s="40" t="str" cm="1">
        <f t="array" ref="H55">IF($AI55="","",IF(LEFT($AI55,2)="C|",IF($C55="","",SUMPRODUCT($AP$5:$AP$302*($AO$5:$AO$302=$A55),$AV$5:$AV$302)),IF($AI55="CT",H$13,IF(LEFT($AI55,3)="AM|",IF($C55="","",SUMPRODUCT($AP$5:$AP$302*($AN$5:$AN$302=$A55),$AV$5:$AV$302)),IF(LEFT($AI55,2)="S|",IF($AG55="","",INDEX($AV$5:$AV$302,$AH55)),IF($AI55="HDR","Target",""))))))</f>
        <v/>
      </c>
      <c r="I55" s="41" t="str">
        <f t="shared" si="33"/>
        <v/>
      </c>
      <c r="J55" s="40" t="str">
        <f t="shared" si="34"/>
        <v/>
      </c>
      <c r="K55" s="41" t="str">
        <f t="shared" si="35"/>
        <v/>
      </c>
      <c r="L55" s="40" t="str" cm="1">
        <f t="array" ref="L55">IF($AI55="","",IF(LEFT($AI55,2)="C|",IF($C55="","",SUMPRODUCT($AP$5:$AP$302*($AO$5:$AO$302=$A55),$BN$5:$BN$302)),IF($AI55="CT",L$13,IF(LEFT($AI55,3)="AM|",IF($C55="","",SUMPRODUCT($AP$5:$AP$302*($AN$5:$AN$302=$A55),$BN$5:$BN$302)),IF(LEFT($AI55,2)="S|",IF($AG55="","",INDEX($BN$5:$BN$302,$AH55)),IF($AI55="HDR","Month Target",""))))))</f>
        <v/>
      </c>
      <c r="M55" s="40" t="str" cm="1">
        <f t="array" ref="M55">IF($AI55="","",IF(LEFT($AI55,2)="C|",IF($C55="","",SUMPRODUCT($AP$5:$AP$302*($AO$5:$AO$302=$A55),$BO$5:$BO$302)),IF($AI55="CT",M$13,IF(LEFT($AI55,3)="AM|",IF($C55="","",SUMPRODUCT($AP$5:$AP$302*($AN$5:$AN$302=$A55),$BO$5:$BO$302)),IF(LEFT($AI55,2)="S|",IF($AG55="","",INDEX($BO$5:$BO$302,$AH55)),IF($AI55="HDR","Projected Close",""))))))</f>
        <v/>
      </c>
      <c r="N55" s="41" t="str">
        <f t="shared" si="43"/>
        <v/>
      </c>
      <c r="O55" s="41" t="str" cm="1">
        <f t="array" ref="O55">IF($AI55="HDR","Proj. vs LY",IF(OR($AI55="",M55=""),"",_xlfn.LET(_xlpm.ly,IF(LEFT($AI55,2)="C|",SUMPRODUCT($AP$5:$AP$302*($AO$5:$AO$302=$A55),$BK$5:$BK$302),IF($AI55="CT",SUMPRODUCT($AP$5:$AP$302,$BK$5:$BK$302),IF(LEFT($AI55,3)="AM|",SUMPRODUCT($AP$5:$AP$302*($AN$5:$AN$302=$A55),$BK$5:$BK$302),IF(LEFT($AI55,2)="S|",INDEX($BK$5:$BK$302,$AH55),0)))),IFERROR(M55/_xlpm.ly-1,""))))</f>
        <v/>
      </c>
      <c r="P55" s="40" t="str" cm="1">
        <f t="array" ref="P55">IF($AI55="","",IF(LEFT($AI55,2)="C|",IF($C55="","",SUMPRODUCT($AP$5:$AP$302*($AO$5:$AO$302=$A55),$AS$5:$AS$302)),IF($AI55="CT",P$13,IF(LEFT($AI55,3)="AM|",IF($C55="","",SUMPRODUCT($AP$5:$AP$302*($AN$5:$AN$302=$A55),$AS$5:$AS$302)),IF(LEFT($AI55,2)="S|",IF($AG55="","",INDEX($AS$5:$AS$302,$AH55)),IF($AI55="HDR","Trans TY",""))))))</f>
        <v/>
      </c>
      <c r="Q55" s="40" t="str" cm="1">
        <f t="array" ref="Q55">IF($AI55="","",IF(LEFT($AI55,2)="C|",IF($C55="","",SUMPRODUCT($AP$5:$AP$302*($AO$5:$AO$302=$A55),$AU$5:$AU$302)),IF($AI55="CT",Q$13,IF(LEFT($AI55,3)="AM|",IF($C55="","",SUMPRODUCT($AP$5:$AP$302*($AN$5:$AN$302=$A55),$AU$5:$AU$302)),IF(LEFT($AI55,2)="S|",IF($AG55="","",INDEX($AU$5:$AU$302,$AH55)),IF($AI55="HDR","Trans LY",""))))))</f>
        <v/>
      </c>
      <c r="R55" s="41" t="str">
        <f t="shared" si="36"/>
        <v/>
      </c>
      <c r="S55" s="41" t="str">
        <f t="shared" si="37"/>
        <v/>
      </c>
      <c r="T55" s="42" t="str">
        <f t="shared" si="38"/>
        <v/>
      </c>
      <c r="U55" s="42" t="str">
        <f t="shared" si="39"/>
        <v/>
      </c>
      <c r="V55" s="41" t="str">
        <f t="shared" si="40"/>
        <v/>
      </c>
      <c r="W55" s="40" t="str" cm="1">
        <f t="array" ref="W55">IF($AI55="","",IF(LEFT($AI55,2)="C|",_xlfn.LET(_xlpm.n,SUMPRODUCT($AP$5:$AP$302*($AO$5:$AO$302=$A55),$BB$5:$BB$302),IF(_xlpm.n=0,"",_xlpm.n)),IF($AI55="CT",W$13,IF(LEFT($AI55,3)="AM|",_xlfn.LET(_xlpm.n,SUMPRODUCT($AP$5:$AP$302*($AN$5:$AN$302=$A55),$BB$5:$BB$302),IF(_xlpm.n=0,"",_xlpm.n)),IF(LEFT($AI55,2)="S|",IF($AG55="","",_xlfn.LET(_xlpm.n,INDEX($BB$5:$BB$302,$AH55),IF(_xlpm.n=0,"",_xlpm.n))),IF($AI55="HDR","Footfall",""))))))</f>
        <v/>
      </c>
      <c r="X55" s="40" t="str" cm="1">
        <f t="array" ref="X55">IF($AI55="","",IF($AI55="HDR","Trans (FF stores)",IF(W55="","",IF(LEFT($AI55,2)="C|",SUMPRODUCT($AP$5:$AP$302*($AO$5:$AO$302=$A55),$BC$5:$BC$302),IF($AI55="CT",X$13,IF(LEFT($AI55,3)="AM|",SUMPRODUCT($AP$5:$AP$302*($AN$5:$AN$302=$A55),$BC$5:$BC$302),IF(LEFT($AI55,2)="S|",INDEX($BC$5:$BC$302,$AH55),"")))))))</f>
        <v/>
      </c>
      <c r="Y55" s="41" t="str">
        <f t="shared" si="44"/>
        <v/>
      </c>
      <c r="Z55" s="40" t="str" cm="1">
        <f t="array" ref="Z55">IF($AI55="","",IF(LEFT($AI55,2)="C|",IF($C55="","",SUMPRODUCT($AP$5:$AP$302*($AO$5:$AO$302=$A55),$CB$5:$CB$302)),IF($AI55="CT",Z$13,IF(LEFT($AI55,3)="AM|",IF($C55="","",SUMPRODUCT($AP$5:$AP$302*($AN$5:$AN$302=$A55),$CB$5:$CB$302)),IF(LEFT($AI55,2)="S|",IF($AG55="","",INDEX($CB$5:$CB$302,$AH55)),IF($AI55="HDR","Makeup Sales",""))))))</f>
        <v/>
      </c>
      <c r="AA55" s="41" t="str">
        <f t="shared" si="41"/>
        <v/>
      </c>
      <c r="AB55" s="40" t="str" cm="1">
        <f t="array" ref="AB55">IF($AI55="","",IF(LEFT($AI55,2)="C|",IF($C55="","",SUMPRODUCT($AP$5:$AP$302*($AO$5:$AO$302=$A55),$CK$5:$CK$302)),IF($AI55="CT",AB$13,IF(LEFT($AI55,3)="AM|",IF($C55="","",SUMPRODUCT($AP$5:$AP$302*($AN$5:$AN$302=$A55),$CK$5:$CK$302)),IF(LEFT($AI55,2)="S|",IF($AG55="","",INDEX($CK$5:$CK$302,$AH55)),IF($AI55="HDR","Makeup Target",""))))))</f>
        <v/>
      </c>
      <c r="AC55" s="41" t="str">
        <f t="shared" si="45"/>
        <v/>
      </c>
      <c r="AD55" s="40" t="str" cm="1">
        <f t="array" ref="AD55">IF($AI55="","",IF(LEFT($AI55,2)="C|",IF($C55="","",SUMPRODUCT($AP$5:$AP$302*($AO$5:$AO$302=$A55),$CI$5:$CI$302)),IF($AI55="CT",AD$13,IF(LEFT($AI55,3)="AM|",IF($C55="","",SUMPRODUCT($AP$5:$AP$302*($AN$5:$AN$302=$A55),$CI$5:$CI$302)),IF(LEFT($AI55,2)="S|",IF($AG55="","",INDEX($CI$5:$CI$302,$AH55)),IF($AI55="HDR","Cosmetic Sales",""))))))</f>
        <v/>
      </c>
      <c r="AE55" s="8" t="str" cm="1">
        <f t="array" ref="AE55">IF($AI55="","",IF(LEFT($AI55,2)="C|",IF($C55="","",SUMPRODUCT($AP$5:$AP$302*($AO$5:$AO$302=$A55)*$AQ$5:$AQ$302,$AR$5:$AR$302)),IF($AI55="CT",AE$13,IF(LEFT($AI55,3)="AM|",IF($C55="","",SUMPRODUCT($AP$5:$AP$302*($AN$5:$AN$302=$A55)*$AQ$5:$AQ$302,$AR$5:$AR$302)),IF(LEFT($AI55,2)="S|",IF($AG55="","",IF(INDEX($AQ$5:$AQ$302,$AH55)=1,D55,0)),IF($AI55="HDR","LFL Sales",""))))))</f>
        <v/>
      </c>
      <c r="AF55" s="8" t="str" cm="1">
        <f t="array" ref="AF55">IF($AI55="","",IF(LEFT($AI55,2)="C|",IF($C55="","",SUMPRODUCT($AP$5:$AP$302*($AO$5:$AO$302=$A55)*$AQ$5:$AQ$302,$AS$5:$AS$302)),IF($AI55="CT",AF$13,IF(LEFT($AI55,3)="AM|",IF($C55="","",SUMPRODUCT($AP$5:$AP$302*($AN$5:$AN$302=$A55)*$AQ$5:$AQ$302,$AS$5:$AS$302)),IF(LEFT($AI55,2)="S|",IF($AG55="","",IF(INDEX($AQ$5:$AQ$302,$AH55)=1,P55,0)),IF($AI55="HDR","LFL Trans",""))))))</f>
        <v/>
      </c>
      <c r="AG55" s="8" t="str" cm="1">
        <f t="array" ref="AG55">IF($AI55="","",IF(LEFT($AI55,2)="C|","",IF($AI55="CT","",IF(LEFT($AI55,3)="AM|","",IF(LEFT($AI55,2)="S|",IF($AH55="","",IF(INDEX($AP$5:$AP$302,$AH55)=1,1,"")),IF($AI55="HDR","Show",""))))))</f>
        <v/>
      </c>
      <c r="AH55" s="8" t="str">
        <f t="shared" si="42"/>
        <v/>
      </c>
      <c r="AI55" s="8"/>
      <c r="AN55" s="8" t="str" cm="1">
        <f t="array" ref="AN55">IF($AW55="","",_xlfn.LET(_xlpm.sa,IFERROR(TRIM(INDEX('Sales and count'!$D$4:$D$300,$BF55)&amp;""),""),_xlpm.ta,IFERROR(TRIM(INDEX('TY Sales Target'!$F$5:$F$300,$BG55)&amp;""),""),IF(AND(_xlpm.sa&lt;&gt;"",LEFT(_xlpm.sa,1)&lt;&gt;"#",_xlpm.sa&lt;&gt;"0"),_xlpm.sa,IF(AND(_xlpm.ta&lt;&gt;"",LEFT(_xlpm.ta,1)&lt;&gt;"#",_xlpm.ta&lt;&gt;"0"),_xlpm.ta,IF(ISNUMBER($BG55),"Unassigned","")))))</f>
        <v>Mohammed Haidar</v>
      </c>
      <c r="AO55" s="8" t="str" cm="1">
        <f t="array" ref="AO55">IF($AW55="","",_xlfn.LET(_xlpm.sa,IFERROR(TRIM(INDEX('Sales and count'!$C$4:$C$300,$BF55)&amp;""),""),_xlpm.ta,IFERROR(TRIM(INDEX('TY Sales Target'!$D$5:$D$300,$BG55)&amp;""),""),IF(AND(_xlpm.sa&lt;&gt;"",LEFT(_xlpm.sa,1)&lt;&gt;"#",_xlpm.sa&lt;&gt;"0"),_xlpm.sa,IF(AND(_xlpm.ta&lt;&gt;"",LEFT(_xlpm.ta,1)&lt;&gt;"#",_xlpm.ta&lt;&gt;"0"),_xlpm.ta,""))))</f>
        <v>Madinah</v>
      </c>
      <c r="AP55" s="8">
        <f t="shared" si="2"/>
        <v>0</v>
      </c>
      <c r="AQ55" s="8">
        <f t="shared" si="0"/>
        <v>0</v>
      </c>
      <c r="AR55" s="8" cm="1">
        <f t="array" ref="AR55">IF($BF55="",0,_xlfn.LET(_xlpm.d,IFERROR(--'Sales and count'!$G$2:$CC$2,0),SUMPRODUCT(('Sales and count'!$G$3:$CC$3="Total")*(_xlpm.d&gt;=$U$4)*(_xlpm.d&lt;=$U$5),INDEX('Sales and count'!$G$4:$CC$300,$BF55,0))))</f>
        <v>74888.010000000009</v>
      </c>
      <c r="AS55" s="8" cm="1">
        <f t="array" aca="1" ref="AS55" ca="1">IF($BF55="",0,_xlfn.LET(_xlpm.d,IFERROR(--'Sales and count'!$F$2:$CB$2,0),SUMPRODUCT(('Sales and count'!$G$3:$CC$3="Transactions")*(_xlpm.d&gt;=$U$4)*(_xlpm.d&lt;=$U$5),INDEX('Sales and count'!$G$4:$CC$300,$BF55,0))))</f>
        <v>406</v>
      </c>
      <c r="AT55" s="8" cm="1">
        <f t="array" ref="AT55">IF($AW55="",0,SUMPRODUCT((TRIM('LY Sales '!$B$5:$B$200)=$AW55)*('LY Sales '!$C$2:$AG$2&gt;=EDATE($U$4,-12))*('LY Sales '!$C$2:$AG$2&lt;=EDATE($U$5,-12)),'LY Sales '!$C$5:$AG$200))</f>
        <v>0</v>
      </c>
      <c r="AU55" s="8" cm="1">
        <f t="array" ref="AU55">IF($AW55="",0,SUMPRODUCT((TRIM('LY Transaction'!$B$5:$B$200)=$AW55)*('LY Transaction'!$C$2:$AG$2&gt;=EDATE($U$4,-12))*('LY Transaction'!$C$2:$AG$2&lt;=EDATE($U$5,-12)),'LY Transaction'!$C$5:$AG$200))</f>
        <v>0</v>
      </c>
      <c r="AV55" s="8" cm="1">
        <f t="array" ref="AV55">IF(NOT(ISNUMBER($BG55)),0,SUMPRODUCT(('TY Sales Target'!$K$2:$AO$2&gt;=$U$4)*('TY Sales Target'!$K$2:$AO$2&lt;=$U$5),INDEX('TY Sales Target'!$K$5:$AO$300,$BG55,0)))</f>
        <v>104199.79530056397</v>
      </c>
      <c r="AW55" s="8" t="str" cm="1">
        <f t="array" ref="AW55">IFERROR(INDEX(_xlfn.ANCHORARRAY($BR$5),ROWS($AW$5:AW55)),"")</f>
        <v>HAALITMED</v>
      </c>
      <c r="BB55" cm="1">
        <f t="array" ref="BB55">IF($AW55="",0,SUMPRODUCT((TRIM(Footfall!$B$5:$B$301)=$AW55)*(Footfall!$C$1:$BZ$1&gt;=$U$4)*(Footfall!$C$2:$BZ$2&lt;=$U$5)*(Footfall!$C$1:$BZ$1&lt;&gt;""),Footfall!$C$5:$BZ$301))</f>
        <v>0</v>
      </c>
      <c r="BC55" cm="1">
        <f t="array" ref="BC55">IF(OR($BB55&lt;=0,$BD$1="",$BF55=""),0,_xlfn.LET(_xlpm.d,IFERROR(--'Sales and count'!$F$2:$CB$2,0),SUMPRODUCT(('Sales and count'!$G$3:$CC$3="Transactions")*(_xlpm.d&gt;=$BD$1)*(_xlpm.d&lt;=$BD$2),INDEX('Sales and count'!$G$4:$CC$300,$BF55,0))))</f>
        <v>0</v>
      </c>
      <c r="BF55" cm="1">
        <f t="array" ref="BF55">IF($AW55="","",IFERROR(MATCH($AW55,TRIM('Sales and count'!$A$4:$A$300&amp;""),0),""))</f>
        <v>51</v>
      </c>
      <c r="BG55" cm="1">
        <f t="array" ref="BG55">IF($AW55="","",IFERROR(MATCH(IFERROR(_xlfn.XLOOKUP($AW55,$BT$5:$BT$22,$BU$5:$BU$22),$AW55),TRIM('TY Sales Target'!$B$5:$B$300&amp;""),0),""))</f>
        <v>94</v>
      </c>
      <c r="BH55" t="str" cm="1">
        <f t="array" ref="BH55">IF(ISNUMBER($BG55),_xlfn.LET(_xlpm.p,TRIM(INDEX('TY Sales Target'!$I$5:$I$300,$BG55)&amp;""),IF(_xlpm.p="","Not set",_xlpm.p)),"Not set")</f>
        <v>Smart Watch</v>
      </c>
      <c r="BI55" cm="1">
        <f t="array" ref="BI55">IF($BF55="",0,_xlfn.LET(_xlpm.d,IFERROR(--'Sales and count'!$G$2:$CC$2,0),SUMPRODUCT(('Sales and count'!$G$3:$CC$3="Total")*(_xlpm.d&gt;=$BZ$5)*(_xlpm.d&lt;=$BZ$6),INDEX('Sales and count'!$G$4:$CC$300,$BF55,0))))</f>
        <v>74888.010000000009</v>
      </c>
      <c r="BJ55" cm="1">
        <f t="array" ref="BJ55">IF($AW55="",0,SUMPRODUCT((TRIM('LY Sales '!$B$5:$B$200)=$AW55)*('LY Sales '!$C$2:$AG$2&gt;=EDATE($BZ$5,-12))*('LY Sales '!$C$2:$AG$2&lt;=EDATE($BZ$6,-12)),'LY Sales '!$C$5:$AG$200))</f>
        <v>0</v>
      </c>
      <c r="BK55" cm="1">
        <f t="array" ref="BK55">IF($AW55="",0,SUMPRODUCT((TRIM('LY Sales '!$B$5:$B$200)=$AW55)*('LY Sales '!$C$2:$AG$2&gt;=EDATE($BZ$5,-12))*('LY Sales '!$C$2:$AG$2&lt;=EDATE($BZ$7,-12)),'LY Sales '!$C$5:$AG$200))</f>
        <v>0</v>
      </c>
      <c r="BL55" cm="1">
        <f t="array" ref="BL55">IF($AW55="",0,SUMPRODUCT((TRIM('LY Sales '!$B$5:$B$200)=$AW55)*('LY Sales '!$C$2:$AG$2&gt;=EDATE($BZ$5,-12))*('LY Sales '!$C$2:$AG$2&lt;=EDATE($BZ$6,-12))*('LY Sales '!$C$5:$AG$200&gt;0)))</f>
        <v>0</v>
      </c>
      <c r="BM55" cm="1">
        <f t="array" ref="BM55">IF(NOT(ISNUMBER($BG55)),0,SUMPRODUCT(('TY Sales Target'!$K$2:$AO$2&gt;=$BZ$5)*('TY Sales Target'!$K$2:$AO$2&lt;=$BZ$6),INDEX('TY Sales Target'!$K$5:$AO$300,$BG55,0)))</f>
        <v>104199.79530056397</v>
      </c>
      <c r="BN55" cm="1">
        <f t="array" ref="BN55">IF(NOT(ISNUMBER($BG55)),0,SUMPRODUCT(('TY Sales Target'!$K$2:$AO$2&gt;=$BZ$5)*('TY Sales Target'!$K$2:$AO$2&lt;=$BZ$7),INDEX('TY Sales Target'!$K$5:$AO$300,$BG55,0)))</f>
        <v>136000.00000000003</v>
      </c>
      <c r="BO55" cm="1">
        <f t="array" ref="BO55">IF($AW55="",0,IFERROR(_xlfn.SWITCH($BP55,"LY trend",$BI55*$BK55/$BJ55,"Target curve",$BI55*$BN55/$BM55,"Run rate",$BI55/$BZ$8*$BZ$9,0),0))</f>
        <v>97742.700267520384</v>
      </c>
      <c r="BP55" t="str">
        <f t="shared" si="1"/>
        <v>Target curve</v>
      </c>
      <c r="BR55" t="str">
        <v>HAALITMED</v>
      </c>
      <c r="CB55" cm="1">
        <f t="array" ref="CB55">IF($AW55="",0,_xlfn.LET(_xlpm.k,IFERROR(_xlfn.XLOOKUP($AW55,$CD$6:$CD$21,$CE$6:$CE$21),$AW55),SUMPRODUCT((TRIM('Makeup '!$A$2:$A$300&amp;"")=_xlpm.k)*1,IFERROR('Makeup '!$F$2:$F$300*1,0))))</f>
        <v>6282.42</v>
      </c>
      <c r="CF55" t="str" cm="1">
        <f t="array" ref="CF55">IF($AW55="","",_xlfn.LET(_xlpm.c,IFERROR(TRIM(INDEX('Sales and count'!$B$4:$B$300,$BF55)&amp;""),""),IF(OR(_xlpm.c="",_xlpm.c="0",LEFT(_xlpm.c,1)="#"),"Not set",_xlpm.c)))</f>
        <v>KSA</v>
      </c>
      <c r="CH55" cm="1">
        <f t="array" ref="CH55">IF($AW55="",0,_xlfn.LET(_xlpm.k,IFERROR(_xlfn.XLOOKUP($AW55,$CD$6:$CD$21,$CE$6:$CE$21),$AW55),--(SUMPRODUCT((TRIM('Makeup '!$A$2:$A$300&amp;"")=_xlpm.k)*ISNUMBER('Makeup '!$F$2:$F$300))&gt;0)))</f>
        <v>1</v>
      </c>
      <c r="CI55">
        <f t="shared" si="4"/>
        <v>74888.010000000009</v>
      </c>
      <c r="CJ55" cm="1">
        <f t="array" ref="CJ55">IF($AW55="",0,--(SUMPRODUCT(--(TRIM(Footfall!$B$5:$B$301)=$AW55))&gt;0))</f>
        <v>0</v>
      </c>
      <c r="CK55" s="8" cm="1">
        <f t="array" ref="CK55">IF($AW55="",0,_xlfn.LET(_xlpm.r,IFERROR(MATCH(IFERROR(_xlfn.XLOOKUP($AW55,$BT$5:$BT$22,$BU$5:$BU$22),$AW55),TRIM('TY Beauty Target'!$B$5:$B$300&amp;""),0),""),IF(ISNUMBER(_xlpm.r),SUMPRODUCT(('TY Beauty Target'!$L$2:$AP$2&gt;=$U$4)*('TY Beauty Target'!$L$2:$AP$2&lt;=$U$5),INDEX('TY Beauty Target'!$L$5:$AP$300,_xlpm.r,0)),0)))</f>
        <v>9775.439303429881</v>
      </c>
    </row>
    <row r="56" spans="1:89" ht="15" customHeight="1" x14ac:dyDescent="0.25">
      <c r="A56" s="38" t="str">
        <f t="shared" si="30"/>
        <v/>
      </c>
      <c r="B56" s="43" t="str" cm="1">
        <f t="array" ref="B56">IF($AI56="","",IF(LEFT($AI56,2)="C|",IF($C56="","",_xlfn.TEXTJOIN(", ",TRUE,_xlfn.UNIQUE(_xlfn._xlws.FILTER($AN$5:$AN$302,($AP$5:$AP$302=1)*($AO$5:$AO$302=$A56))))),IF($AI56="CT",B$13,IF(LEFT($AI56,3)="AM|",IF($C56="","",ROWS(_xlfn.UNIQUE(_xlfn._xlws.FILTER($AO$5:$AO$302,($AP$5:$AP$302=1)*($AN$5:$AN$302=$A56))))),IF(LEFT($AI56,2)="S|",IF($AG56="","",INDEX($AO$5:$AO$302,$AH56)),IF($AI56="HDR","City",""))))))</f>
        <v/>
      </c>
      <c r="C56" s="39" t="str" cm="1">
        <f t="array" ref="C56">IF($AI56="","",IF(LEFT($AI56,2)="C|",_xlfn.LET(_xlpm.n,SUMPRODUCT($AP$5:$AP$302*($AO$5:$AO$302=$A56)),IF(_xlpm.n=0,"",_xlpm.n)),IF($AI56="CT",C$13,IF(LEFT($AI56,3)="AM|",_xlfn.LET(_xlpm.n,SUMPRODUCT($AP$5:$AP$302*($AN$5:$AN$302=$A56)),IF(_xlpm.n=0,"",_xlpm.n)),IF(LEFT($AI56,2)="S|","",IF($AI56="HDR","# Stores",""))))))</f>
        <v/>
      </c>
      <c r="D56" s="40" t="str" cm="1">
        <f t="array" ref="D56">IF($AI56="","",IF(LEFT($AI56,2)="C|",IF($C56="","",SUMPRODUCT($AP$5:$AP$302*($AO$5:$AO$302=$A56),$AR$5:$AR$302)),IF($AI56="CT",D$13,IF(LEFT($AI56,3)="AM|",IF($C56="","",SUMPRODUCT($AP$5:$AP$302*($AN$5:$AN$302=$A56),$AR$5:$AR$302)),IF(LEFT($AI56,2)="S|",IF($AG56="","",INDEX($AR$5:$AR$302,$AH56)),IF($AI56="HDR","Sales TY",""))))))</f>
        <v/>
      </c>
      <c r="E56" s="40" t="str" cm="1">
        <f t="array" ref="E56">IF($AI56="","",IF(LEFT($AI56,2)="C|",IF($C56="","",SUMPRODUCT($AP$5:$AP$302*($AO$5:$AO$302=$A56),$AT$5:$AT$302)),IF($AI56="CT",E$13,IF(LEFT($AI56,3)="AM|",IF($C56="","",SUMPRODUCT($AP$5:$AP$302*($AN$5:$AN$302=$A56),$AT$5:$AT$302)),IF(LEFT($AI56,2)="S|",IF($AG56="","",INDEX($AT$5:$AT$302,$AH56)),IF($AI56="HDR","Sales LY",""))))))</f>
        <v/>
      </c>
      <c r="F56" s="41" t="str">
        <f t="shared" si="31"/>
        <v/>
      </c>
      <c r="G56" s="41" t="str">
        <f t="shared" si="32"/>
        <v/>
      </c>
      <c r="H56" s="40" t="str" cm="1">
        <f t="array" ref="H56">IF($AI56="","",IF(LEFT($AI56,2)="C|",IF($C56="","",SUMPRODUCT($AP$5:$AP$302*($AO$5:$AO$302=$A56),$AV$5:$AV$302)),IF($AI56="CT",H$13,IF(LEFT($AI56,3)="AM|",IF($C56="","",SUMPRODUCT($AP$5:$AP$302*($AN$5:$AN$302=$A56),$AV$5:$AV$302)),IF(LEFT($AI56,2)="S|",IF($AG56="","",INDEX($AV$5:$AV$302,$AH56)),IF($AI56="HDR","Target",""))))))</f>
        <v/>
      </c>
      <c r="I56" s="41" t="str">
        <f t="shared" si="33"/>
        <v/>
      </c>
      <c r="J56" s="40" t="str">
        <f t="shared" si="34"/>
        <v/>
      </c>
      <c r="K56" s="41" t="str">
        <f t="shared" si="35"/>
        <v/>
      </c>
      <c r="L56" s="40" t="str" cm="1">
        <f t="array" ref="L56">IF($AI56="","",IF(LEFT($AI56,2)="C|",IF($C56="","",SUMPRODUCT($AP$5:$AP$302*($AO$5:$AO$302=$A56),$BN$5:$BN$302)),IF($AI56="CT",L$13,IF(LEFT($AI56,3)="AM|",IF($C56="","",SUMPRODUCT($AP$5:$AP$302*($AN$5:$AN$302=$A56),$BN$5:$BN$302)),IF(LEFT($AI56,2)="S|",IF($AG56="","",INDEX($BN$5:$BN$302,$AH56)),IF($AI56="HDR","Month Target",""))))))</f>
        <v/>
      </c>
      <c r="M56" s="40" t="str" cm="1">
        <f t="array" ref="M56">IF($AI56="","",IF(LEFT($AI56,2)="C|",IF($C56="","",SUMPRODUCT($AP$5:$AP$302*($AO$5:$AO$302=$A56),$BO$5:$BO$302)),IF($AI56="CT",M$13,IF(LEFT($AI56,3)="AM|",IF($C56="","",SUMPRODUCT($AP$5:$AP$302*($AN$5:$AN$302=$A56),$BO$5:$BO$302)),IF(LEFT($AI56,2)="S|",IF($AG56="","",INDEX($BO$5:$BO$302,$AH56)),IF($AI56="HDR","Projected Close",""))))))</f>
        <v/>
      </c>
      <c r="N56" s="41" t="str">
        <f t="shared" si="43"/>
        <v/>
      </c>
      <c r="O56" s="41" t="str" cm="1">
        <f t="array" ref="O56">IF($AI56="HDR","Proj. vs LY",IF(OR($AI56="",M56=""),"",_xlfn.LET(_xlpm.ly,IF(LEFT($AI56,2)="C|",SUMPRODUCT($AP$5:$AP$302*($AO$5:$AO$302=$A56),$BK$5:$BK$302),IF($AI56="CT",SUMPRODUCT($AP$5:$AP$302,$BK$5:$BK$302),IF(LEFT($AI56,3)="AM|",SUMPRODUCT($AP$5:$AP$302*($AN$5:$AN$302=$A56),$BK$5:$BK$302),IF(LEFT($AI56,2)="S|",INDEX($BK$5:$BK$302,$AH56),0)))),IFERROR(M56/_xlpm.ly-1,""))))</f>
        <v/>
      </c>
      <c r="P56" s="40" t="str" cm="1">
        <f t="array" ref="P56">IF($AI56="","",IF(LEFT($AI56,2)="C|",IF($C56="","",SUMPRODUCT($AP$5:$AP$302*($AO$5:$AO$302=$A56),$AS$5:$AS$302)),IF($AI56="CT",P$13,IF(LEFT($AI56,3)="AM|",IF($C56="","",SUMPRODUCT($AP$5:$AP$302*($AN$5:$AN$302=$A56),$AS$5:$AS$302)),IF(LEFT($AI56,2)="S|",IF($AG56="","",INDEX($AS$5:$AS$302,$AH56)),IF($AI56="HDR","Trans TY",""))))))</f>
        <v/>
      </c>
      <c r="Q56" s="40" t="str" cm="1">
        <f t="array" ref="Q56">IF($AI56="","",IF(LEFT($AI56,2)="C|",IF($C56="","",SUMPRODUCT($AP$5:$AP$302*($AO$5:$AO$302=$A56),$AU$5:$AU$302)),IF($AI56="CT",Q$13,IF(LEFT($AI56,3)="AM|",IF($C56="","",SUMPRODUCT($AP$5:$AP$302*($AN$5:$AN$302=$A56),$AU$5:$AU$302)),IF(LEFT($AI56,2)="S|",IF($AG56="","",INDEX($AU$5:$AU$302,$AH56)),IF($AI56="HDR","Trans LY",""))))))</f>
        <v/>
      </c>
      <c r="R56" s="41" t="str">
        <f t="shared" si="36"/>
        <v/>
      </c>
      <c r="S56" s="41" t="str">
        <f t="shared" si="37"/>
        <v/>
      </c>
      <c r="T56" s="42" t="str">
        <f t="shared" si="38"/>
        <v/>
      </c>
      <c r="U56" s="42" t="str">
        <f t="shared" si="39"/>
        <v/>
      </c>
      <c r="V56" s="41" t="str">
        <f t="shared" si="40"/>
        <v/>
      </c>
      <c r="W56" s="40" t="str" cm="1">
        <f t="array" ref="W56">IF($AI56="","",IF(LEFT($AI56,2)="C|",_xlfn.LET(_xlpm.n,SUMPRODUCT($AP$5:$AP$302*($AO$5:$AO$302=$A56),$BB$5:$BB$302),IF(_xlpm.n=0,"",_xlpm.n)),IF($AI56="CT",W$13,IF(LEFT($AI56,3)="AM|",_xlfn.LET(_xlpm.n,SUMPRODUCT($AP$5:$AP$302*($AN$5:$AN$302=$A56),$BB$5:$BB$302),IF(_xlpm.n=0,"",_xlpm.n)),IF(LEFT($AI56,2)="S|",IF($AG56="","",_xlfn.LET(_xlpm.n,INDEX($BB$5:$BB$302,$AH56),IF(_xlpm.n=0,"",_xlpm.n))),IF($AI56="HDR","Footfall",""))))))</f>
        <v/>
      </c>
      <c r="X56" s="40" t="str" cm="1">
        <f t="array" ref="X56">IF($AI56="","",IF($AI56="HDR","Trans (FF stores)",IF(W56="","",IF(LEFT($AI56,2)="C|",SUMPRODUCT($AP$5:$AP$302*($AO$5:$AO$302=$A56),$BC$5:$BC$302),IF($AI56="CT",X$13,IF(LEFT($AI56,3)="AM|",SUMPRODUCT($AP$5:$AP$302*($AN$5:$AN$302=$A56),$BC$5:$BC$302),IF(LEFT($AI56,2)="S|",INDEX($BC$5:$BC$302,$AH56),"")))))))</f>
        <v/>
      </c>
      <c r="Y56" s="41" t="str">
        <f t="shared" si="44"/>
        <v/>
      </c>
      <c r="Z56" s="40" t="str" cm="1">
        <f t="array" ref="Z56">IF($AI56="","",IF(LEFT($AI56,2)="C|",IF($C56="","",SUMPRODUCT($AP$5:$AP$302*($AO$5:$AO$302=$A56),$CB$5:$CB$302)),IF($AI56="CT",Z$13,IF(LEFT($AI56,3)="AM|",IF($C56="","",SUMPRODUCT($AP$5:$AP$302*($AN$5:$AN$302=$A56),$CB$5:$CB$302)),IF(LEFT($AI56,2)="S|",IF($AG56="","",INDEX($CB$5:$CB$302,$AH56)),IF($AI56="HDR","Makeup Sales",""))))))</f>
        <v/>
      </c>
      <c r="AA56" s="41" t="str">
        <f t="shared" si="41"/>
        <v/>
      </c>
      <c r="AB56" s="40" t="str" cm="1">
        <f t="array" ref="AB56">IF($AI56="","",IF(LEFT($AI56,2)="C|",IF($C56="","",SUMPRODUCT($AP$5:$AP$302*($AO$5:$AO$302=$A56),$CK$5:$CK$302)),IF($AI56="CT",AB$13,IF(LEFT($AI56,3)="AM|",IF($C56="","",SUMPRODUCT($AP$5:$AP$302*($AN$5:$AN$302=$A56),$CK$5:$CK$302)),IF(LEFT($AI56,2)="S|",IF($AG56="","",INDEX($CK$5:$CK$302,$AH56)),IF($AI56="HDR","Makeup Target",""))))))</f>
        <v/>
      </c>
      <c r="AC56" s="41" t="str">
        <f t="shared" si="45"/>
        <v/>
      </c>
      <c r="AD56" s="40" t="str" cm="1">
        <f t="array" ref="AD56">IF($AI56="","",IF(LEFT($AI56,2)="C|",IF($C56="","",SUMPRODUCT($AP$5:$AP$302*($AO$5:$AO$302=$A56),$CI$5:$CI$302)),IF($AI56="CT",AD$13,IF(LEFT($AI56,3)="AM|",IF($C56="","",SUMPRODUCT($AP$5:$AP$302*($AN$5:$AN$302=$A56),$CI$5:$CI$302)),IF(LEFT($AI56,2)="S|",IF($AG56="","",INDEX($CI$5:$CI$302,$AH56)),IF($AI56="HDR","Cosmetic Sales",""))))))</f>
        <v/>
      </c>
      <c r="AE56" s="8" t="str" cm="1">
        <f t="array" ref="AE56">IF($AI56="","",IF(LEFT($AI56,2)="C|",IF($C56="","",SUMPRODUCT($AP$5:$AP$302*($AO$5:$AO$302=$A56)*$AQ$5:$AQ$302,$AR$5:$AR$302)),IF($AI56="CT",AE$13,IF(LEFT($AI56,3)="AM|",IF($C56="","",SUMPRODUCT($AP$5:$AP$302*($AN$5:$AN$302=$A56)*$AQ$5:$AQ$302,$AR$5:$AR$302)),IF(LEFT($AI56,2)="S|",IF($AG56="","",IF(INDEX($AQ$5:$AQ$302,$AH56)=1,D56,0)),IF($AI56="HDR","LFL Sales",""))))))</f>
        <v/>
      </c>
      <c r="AF56" s="8" t="str" cm="1">
        <f t="array" ref="AF56">IF($AI56="","",IF(LEFT($AI56,2)="C|",IF($C56="","",SUMPRODUCT($AP$5:$AP$302*($AO$5:$AO$302=$A56)*$AQ$5:$AQ$302,$AS$5:$AS$302)),IF($AI56="CT",AF$13,IF(LEFT($AI56,3)="AM|",IF($C56="","",SUMPRODUCT($AP$5:$AP$302*($AN$5:$AN$302=$A56)*$AQ$5:$AQ$302,$AS$5:$AS$302)),IF(LEFT($AI56,2)="S|",IF($AG56="","",IF(INDEX($AQ$5:$AQ$302,$AH56)=1,P56,0)),IF($AI56="HDR","LFL Trans",""))))))</f>
        <v/>
      </c>
      <c r="AG56" s="8" t="str" cm="1">
        <f t="array" ref="AG56">IF($AI56="","",IF(LEFT($AI56,2)="C|","",IF($AI56="CT","",IF(LEFT($AI56,3)="AM|","",IF(LEFT($AI56,2)="S|",IF($AH56="","",IF(INDEX($AP$5:$AP$302,$AH56)=1,1,"")),IF($AI56="HDR","Show",""))))))</f>
        <v/>
      </c>
      <c r="AH56" s="8" t="str">
        <f t="shared" si="42"/>
        <v/>
      </c>
      <c r="AI56" s="8"/>
      <c r="AN56" s="8" t="str" cm="1">
        <f t="array" ref="AN56">IF($AW56="","",_xlfn.LET(_xlpm.sa,IFERROR(TRIM(INDEX('Sales and count'!$D$4:$D$300,$BF56)&amp;""),""),_xlpm.ta,IFERROR(TRIM(INDEX('TY Sales Target'!$F$5:$F$300,$BG56)&amp;""),""),IF(AND(_xlpm.sa&lt;&gt;"",LEFT(_xlpm.sa,1)&lt;&gt;"#",_xlpm.sa&lt;&gt;"0"),_xlpm.sa,IF(AND(_xlpm.ta&lt;&gt;"",LEFT(_xlpm.ta,1)&lt;&gt;"#",_xlpm.ta&lt;&gt;"0"),_xlpm.ta,IF(ISNUMBER($BG56),"Unassigned","")))))</f>
        <v>Lina Al Ghathami</v>
      </c>
      <c r="AO56" s="8" t="str" cm="1">
        <f t="array" ref="AO56">IF($AW56="","",_xlfn.LET(_xlpm.sa,IFERROR(TRIM(INDEX('Sales and count'!$C$4:$C$300,$BF56)&amp;""),""),_xlpm.ta,IFERROR(TRIM(INDEX('TY Sales Target'!$D$5:$D$300,$BG56)&amp;""),""),IF(AND(_xlpm.sa&lt;&gt;"",LEFT(_xlpm.sa,1)&lt;&gt;"#",_xlpm.sa&lt;&gt;"0"),_xlpm.sa,IF(AND(_xlpm.ta&lt;&gt;"",LEFT(_xlpm.ta,1)&lt;&gt;"#",_xlpm.ta&lt;&gt;"0"),_xlpm.ta,""))))</f>
        <v>Riyadh</v>
      </c>
      <c r="AP56" s="8">
        <f t="shared" si="2"/>
        <v>0</v>
      </c>
      <c r="AQ56" s="8">
        <f t="shared" si="0"/>
        <v>0</v>
      </c>
      <c r="AR56" s="8" cm="1">
        <f t="array" ref="AR56">IF($BF56="",0,_xlfn.LET(_xlpm.d,IFERROR(--'Sales and count'!$G$2:$CC$2,0),SUMPRODUCT(('Sales and count'!$G$3:$CC$3="Total")*(_xlpm.d&gt;=$U$4)*(_xlpm.d&lt;=$U$5),INDEX('Sales and count'!$G$4:$CC$300,$BF56,0))))</f>
        <v>59644.679999999993</v>
      </c>
      <c r="AS56" s="8" cm="1">
        <f t="array" aca="1" ref="AS56" ca="1">IF($BF56="",0,_xlfn.LET(_xlpm.d,IFERROR(--'Sales and count'!$F$2:$CB$2,0),SUMPRODUCT(('Sales and count'!$G$3:$CC$3="Transactions")*(_xlpm.d&gt;=$U$4)*(_xlpm.d&lt;=$U$5),INDEX('Sales and count'!$G$4:$CC$300,$BF56,0))))</f>
        <v>443</v>
      </c>
      <c r="AT56" s="8" cm="1">
        <f t="array" ref="AT56">IF($AW56="",0,SUMPRODUCT((TRIM('LY Sales '!$B$5:$B$200)=$AW56)*('LY Sales '!$C$2:$AG$2&gt;=EDATE($U$4,-12))*('LY Sales '!$C$2:$AG$2&lt;=EDATE($U$5,-12)),'LY Sales '!$C$5:$AG$200))</f>
        <v>0</v>
      </c>
      <c r="AU56" s="8" cm="1">
        <f t="array" ref="AU56">IF($AW56="",0,SUMPRODUCT((TRIM('LY Transaction'!$B$5:$B$200)=$AW56)*('LY Transaction'!$C$2:$AG$2&gt;=EDATE($U$4,-12))*('LY Transaction'!$C$2:$AG$2&lt;=EDATE($U$5,-12)),'LY Transaction'!$C$5:$AG$200))</f>
        <v>0</v>
      </c>
      <c r="AV56" s="8" cm="1">
        <f t="array" ref="AV56">IF(NOT(ISNUMBER($BG56)),0,SUMPRODUCT(('TY Sales Target'!$K$2:$AO$2&gt;=$U$4)*('TY Sales Target'!$K$2:$AO$2&lt;=$U$5),INDEX('TY Sales Target'!$K$5:$AO$300,$BG56,0)))</f>
        <v>87343.946060766873</v>
      </c>
      <c r="AW56" s="8" t="str" cm="1">
        <f t="array" ref="AW56">IFERROR(INDEX(_xlfn.ANCHORARRAY($BR$5),ROWS($AW$5:AW56)),"")</f>
        <v>HARSHNRYD</v>
      </c>
      <c r="BB56" cm="1">
        <f t="array" ref="BB56">IF($AW56="",0,SUMPRODUCT((TRIM(Footfall!$B$5:$B$301)=$AW56)*(Footfall!$C$1:$BZ$1&gt;=$U$4)*(Footfall!$C$2:$BZ$2&lt;=$U$5)*(Footfall!$C$1:$BZ$1&lt;&gt;""),Footfall!$C$5:$BZ$301))</f>
        <v>0</v>
      </c>
      <c r="BC56" cm="1">
        <f t="array" ref="BC56">IF(OR($BB56&lt;=0,$BD$1="",$BF56=""),0,_xlfn.LET(_xlpm.d,IFERROR(--'Sales and count'!$F$2:$CB$2,0),SUMPRODUCT(('Sales and count'!$G$3:$CC$3="Transactions")*(_xlpm.d&gt;=$BD$1)*(_xlpm.d&lt;=$BD$2),INDEX('Sales and count'!$G$4:$CC$300,$BF56,0))))</f>
        <v>0</v>
      </c>
      <c r="BF56" cm="1">
        <f t="array" ref="BF56">IF($AW56="","",IFERROR(MATCH($AW56,TRIM('Sales and count'!$A$4:$A$300&amp;""),0),""))</f>
        <v>52</v>
      </c>
      <c r="BG56" cm="1">
        <f t="array" ref="BG56">IF($AW56="","",IFERROR(MATCH(IFERROR(_xlfn.XLOOKUP($AW56,$BT$5:$BT$22,$BU$5:$BU$22),$AW56),TRIM('TY Sales Target'!$B$5:$B$300&amp;""),0),""))</f>
        <v>104</v>
      </c>
      <c r="BH56" t="str" cm="1">
        <f t="array" ref="BH56">IF(ISNUMBER($BG56),_xlfn.LET(_xlpm.p,TRIM(INDEX('TY Sales Target'!$I$5:$I$300,$BG56)&amp;""),IF(_xlpm.p="","Not set",_xlpm.p)),"Not set")</f>
        <v>Smart Watch</v>
      </c>
      <c r="BI56" cm="1">
        <f t="array" ref="BI56">IF($BF56="",0,_xlfn.LET(_xlpm.d,IFERROR(--'Sales and count'!$G$2:$CC$2,0),SUMPRODUCT(('Sales and count'!$G$3:$CC$3="Total")*(_xlpm.d&gt;=$BZ$5)*(_xlpm.d&lt;=$BZ$6),INDEX('Sales and count'!$G$4:$CC$300,$BF56,0))))</f>
        <v>59644.679999999993</v>
      </c>
      <c r="BJ56" cm="1">
        <f t="array" ref="BJ56">IF($AW56="",0,SUMPRODUCT((TRIM('LY Sales '!$B$5:$B$200)=$AW56)*('LY Sales '!$C$2:$AG$2&gt;=EDATE($BZ$5,-12))*('LY Sales '!$C$2:$AG$2&lt;=EDATE($BZ$6,-12)),'LY Sales '!$C$5:$AG$200))</f>
        <v>0</v>
      </c>
      <c r="BK56" cm="1">
        <f t="array" ref="BK56">IF($AW56="",0,SUMPRODUCT((TRIM('LY Sales '!$B$5:$B$200)=$AW56)*('LY Sales '!$C$2:$AG$2&gt;=EDATE($BZ$5,-12))*('LY Sales '!$C$2:$AG$2&lt;=EDATE($BZ$7,-12)),'LY Sales '!$C$5:$AG$200))</f>
        <v>0</v>
      </c>
      <c r="BL56" cm="1">
        <f t="array" ref="BL56">IF($AW56="",0,SUMPRODUCT((TRIM('LY Sales '!$B$5:$B$200)=$AW56)*('LY Sales '!$C$2:$AG$2&gt;=EDATE($BZ$5,-12))*('LY Sales '!$C$2:$AG$2&lt;=EDATE($BZ$6,-12))*('LY Sales '!$C$5:$AG$200&gt;0)))</f>
        <v>0</v>
      </c>
      <c r="BM56" cm="1">
        <f t="array" ref="BM56">IF(NOT(ISNUMBER($BG56)),0,SUMPRODUCT(('TY Sales Target'!$K$2:$AO$2&gt;=$BZ$5)*('TY Sales Target'!$K$2:$AO$2&lt;=$BZ$6),INDEX('TY Sales Target'!$K$5:$AO$300,$BG56,0)))</f>
        <v>87343.946060766873</v>
      </c>
      <c r="BN56" cm="1">
        <f t="array" ref="BN56">IF(NOT(ISNUMBER($BG56)),0,SUMPRODUCT(('TY Sales Target'!$K$2:$AO$2&gt;=$BZ$5)*('TY Sales Target'!$K$2:$AO$2&lt;=$BZ$7),INDEX('TY Sales Target'!$K$5:$AO$300,$BG56,0)))</f>
        <v>114000.00000000004</v>
      </c>
      <c r="BO56" cm="1">
        <f t="array" ref="BO56">IF($AW56="",0,IFERROR(_xlfn.SWITCH($BP56,"LY trend",$BI56*$BK56/$BJ56,"Target curve",$BI56*$BN56/$BM56,"Run rate",$BI56/$BZ$8*$BZ$9,0),0))</f>
        <v>77847.336039402915</v>
      </c>
      <c r="BP56" t="str">
        <f t="shared" si="1"/>
        <v>Target curve</v>
      </c>
      <c r="BR56" t="str">
        <v>HARSHNRYD</v>
      </c>
      <c r="CB56" cm="1">
        <f t="array" ref="CB56">IF($AW56="",0,_xlfn.LET(_xlpm.k,IFERROR(_xlfn.XLOOKUP($AW56,$CD$6:$CD$21,$CE$6:$CE$21),$AW56),SUMPRODUCT((TRIM('Makeup '!$A$2:$A$300&amp;"")=_xlpm.k)*1,IFERROR('Makeup '!$F$2:$F$300*1,0))))</f>
        <v>3803.65</v>
      </c>
      <c r="CF56" t="str" cm="1">
        <f t="array" ref="CF56">IF($AW56="","",_xlfn.LET(_xlpm.c,IFERROR(TRIM(INDEX('Sales and count'!$B$4:$B$300,$BF56)&amp;""),""),IF(OR(_xlpm.c="",_xlpm.c="0",LEFT(_xlpm.c,1)="#"),"Not set",_xlpm.c)))</f>
        <v>KSA</v>
      </c>
      <c r="CH56" cm="1">
        <f t="array" ref="CH56">IF($AW56="",0,_xlfn.LET(_xlpm.k,IFERROR(_xlfn.XLOOKUP($AW56,$CD$6:$CD$21,$CE$6:$CE$21),$AW56),--(SUMPRODUCT((TRIM('Makeup '!$A$2:$A$300&amp;"")=_xlpm.k)*ISNUMBER('Makeup '!$F$2:$F$300))&gt;0)))</f>
        <v>1</v>
      </c>
      <c r="CI56">
        <f t="shared" si="4"/>
        <v>59644.679999999993</v>
      </c>
      <c r="CJ56" cm="1">
        <f t="array" ref="CJ56">IF($AW56="",0,--(SUMPRODUCT(--(TRIM(Footfall!$B$5:$B$301)=$AW56))&gt;0))</f>
        <v>0</v>
      </c>
      <c r="CK56" s="8" cm="1">
        <f t="array" ref="CK56">IF($AW56="",0,_xlfn.LET(_xlpm.r,IFERROR(MATCH(IFERROR(_xlfn.XLOOKUP($AW56,$BT$5:$BT$22,$BU$5:$BU$22),$AW56),TRIM('TY Beauty Target'!$B$5:$B$300&amp;""),0),""),IF(ISNUMBER(_xlpm.r),SUMPRODUCT(('TY Beauty Target'!$L$2:$AP$2&gt;=$U$4)*('TY Beauty Target'!$L$2:$AP$2&lt;=$U$5),INDEX('TY Beauty Target'!$L$5:$AP$300,_xlpm.r,0)),0)))</f>
        <v>8050.9159386581041</v>
      </c>
    </row>
    <row r="57" spans="1:89" ht="15" customHeight="1" x14ac:dyDescent="0.25">
      <c r="A57" s="38" t="str">
        <f t="shared" si="30"/>
        <v/>
      </c>
      <c r="B57" s="43" t="str" cm="1">
        <f t="array" ref="B57">IF($AI57="","",IF(LEFT($AI57,2)="C|",IF($C57="","",_xlfn.TEXTJOIN(", ",TRUE,_xlfn.UNIQUE(_xlfn._xlws.FILTER($AN$5:$AN$302,($AP$5:$AP$302=1)*($AO$5:$AO$302=$A57))))),IF($AI57="CT",B$13,IF(LEFT($AI57,3)="AM|",IF($C57="","",ROWS(_xlfn.UNIQUE(_xlfn._xlws.FILTER($AO$5:$AO$302,($AP$5:$AP$302=1)*($AN$5:$AN$302=$A57))))),IF(LEFT($AI57,2)="S|",IF($AG57="","",INDEX($AO$5:$AO$302,$AH57)),IF($AI57="HDR","City",""))))))</f>
        <v/>
      </c>
      <c r="C57" s="39" t="str" cm="1">
        <f t="array" ref="C57">IF($AI57="","",IF(LEFT($AI57,2)="C|",_xlfn.LET(_xlpm.n,SUMPRODUCT($AP$5:$AP$302*($AO$5:$AO$302=$A57)),IF(_xlpm.n=0,"",_xlpm.n)),IF($AI57="CT",C$13,IF(LEFT($AI57,3)="AM|",_xlfn.LET(_xlpm.n,SUMPRODUCT($AP$5:$AP$302*($AN$5:$AN$302=$A57)),IF(_xlpm.n=0,"",_xlpm.n)),IF(LEFT($AI57,2)="S|","",IF($AI57="HDR","# Stores",""))))))</f>
        <v/>
      </c>
      <c r="D57" s="40" t="str" cm="1">
        <f t="array" ref="D57">IF($AI57="","",IF(LEFT($AI57,2)="C|",IF($C57="","",SUMPRODUCT($AP$5:$AP$302*($AO$5:$AO$302=$A57),$AR$5:$AR$302)),IF($AI57="CT",D$13,IF(LEFT($AI57,3)="AM|",IF($C57="","",SUMPRODUCT($AP$5:$AP$302*($AN$5:$AN$302=$A57),$AR$5:$AR$302)),IF(LEFT($AI57,2)="S|",IF($AG57="","",INDEX($AR$5:$AR$302,$AH57)),IF($AI57="HDR","Sales TY",""))))))</f>
        <v/>
      </c>
      <c r="E57" s="40" t="str" cm="1">
        <f t="array" ref="E57">IF($AI57="","",IF(LEFT($AI57,2)="C|",IF($C57="","",SUMPRODUCT($AP$5:$AP$302*($AO$5:$AO$302=$A57),$AT$5:$AT$302)),IF($AI57="CT",E$13,IF(LEFT($AI57,3)="AM|",IF($C57="","",SUMPRODUCT($AP$5:$AP$302*($AN$5:$AN$302=$A57),$AT$5:$AT$302)),IF(LEFT($AI57,2)="S|",IF($AG57="","",INDEX($AT$5:$AT$302,$AH57)),IF($AI57="HDR","Sales LY",""))))))</f>
        <v/>
      </c>
      <c r="F57" s="41" t="str">
        <f t="shared" si="31"/>
        <v/>
      </c>
      <c r="G57" s="41" t="str">
        <f t="shared" si="32"/>
        <v/>
      </c>
      <c r="H57" s="40" t="str" cm="1">
        <f t="array" ref="H57">IF($AI57="","",IF(LEFT($AI57,2)="C|",IF($C57="","",SUMPRODUCT($AP$5:$AP$302*($AO$5:$AO$302=$A57),$AV$5:$AV$302)),IF($AI57="CT",H$13,IF(LEFT($AI57,3)="AM|",IF($C57="","",SUMPRODUCT($AP$5:$AP$302*($AN$5:$AN$302=$A57),$AV$5:$AV$302)),IF(LEFT($AI57,2)="S|",IF($AG57="","",INDEX($AV$5:$AV$302,$AH57)),IF($AI57="HDR","Target",""))))))</f>
        <v/>
      </c>
      <c r="I57" s="41" t="str">
        <f t="shared" si="33"/>
        <v/>
      </c>
      <c r="J57" s="40" t="str">
        <f t="shared" si="34"/>
        <v/>
      </c>
      <c r="K57" s="41" t="str">
        <f t="shared" si="35"/>
        <v/>
      </c>
      <c r="L57" s="40" t="str" cm="1">
        <f t="array" ref="L57">IF($AI57="","",IF(LEFT($AI57,2)="C|",IF($C57="","",SUMPRODUCT($AP$5:$AP$302*($AO$5:$AO$302=$A57),$BN$5:$BN$302)),IF($AI57="CT",L$13,IF(LEFT($AI57,3)="AM|",IF($C57="","",SUMPRODUCT($AP$5:$AP$302*($AN$5:$AN$302=$A57),$BN$5:$BN$302)),IF(LEFT($AI57,2)="S|",IF($AG57="","",INDEX($BN$5:$BN$302,$AH57)),IF($AI57="HDR","Month Target",""))))))</f>
        <v/>
      </c>
      <c r="M57" s="40" t="str" cm="1">
        <f t="array" ref="M57">IF($AI57="","",IF(LEFT($AI57,2)="C|",IF($C57="","",SUMPRODUCT($AP$5:$AP$302*($AO$5:$AO$302=$A57),$BO$5:$BO$302)),IF($AI57="CT",M$13,IF(LEFT($AI57,3)="AM|",IF($C57="","",SUMPRODUCT($AP$5:$AP$302*($AN$5:$AN$302=$A57),$BO$5:$BO$302)),IF(LEFT($AI57,2)="S|",IF($AG57="","",INDEX($BO$5:$BO$302,$AH57)),IF($AI57="HDR","Projected Close",""))))))</f>
        <v/>
      </c>
      <c r="N57" s="41" t="str">
        <f t="shared" si="43"/>
        <v/>
      </c>
      <c r="O57" s="41" t="str" cm="1">
        <f t="array" ref="O57">IF($AI57="HDR","Proj. vs LY",IF(OR($AI57="",M57=""),"",_xlfn.LET(_xlpm.ly,IF(LEFT($AI57,2)="C|",SUMPRODUCT($AP$5:$AP$302*($AO$5:$AO$302=$A57),$BK$5:$BK$302),IF($AI57="CT",SUMPRODUCT($AP$5:$AP$302,$BK$5:$BK$302),IF(LEFT($AI57,3)="AM|",SUMPRODUCT($AP$5:$AP$302*($AN$5:$AN$302=$A57),$BK$5:$BK$302),IF(LEFT($AI57,2)="S|",INDEX($BK$5:$BK$302,$AH57),0)))),IFERROR(M57/_xlpm.ly-1,""))))</f>
        <v/>
      </c>
      <c r="P57" s="40" t="str" cm="1">
        <f t="array" ref="P57">IF($AI57="","",IF(LEFT($AI57,2)="C|",IF($C57="","",SUMPRODUCT($AP$5:$AP$302*($AO$5:$AO$302=$A57),$AS$5:$AS$302)),IF($AI57="CT",P$13,IF(LEFT($AI57,3)="AM|",IF($C57="","",SUMPRODUCT($AP$5:$AP$302*($AN$5:$AN$302=$A57),$AS$5:$AS$302)),IF(LEFT($AI57,2)="S|",IF($AG57="","",INDEX($AS$5:$AS$302,$AH57)),IF($AI57="HDR","Trans TY",""))))))</f>
        <v/>
      </c>
      <c r="Q57" s="40" t="str" cm="1">
        <f t="array" ref="Q57">IF($AI57="","",IF(LEFT($AI57,2)="C|",IF($C57="","",SUMPRODUCT($AP$5:$AP$302*($AO$5:$AO$302=$A57),$AU$5:$AU$302)),IF($AI57="CT",Q$13,IF(LEFT($AI57,3)="AM|",IF($C57="","",SUMPRODUCT($AP$5:$AP$302*($AN$5:$AN$302=$A57),$AU$5:$AU$302)),IF(LEFT($AI57,2)="S|",IF($AG57="","",INDEX($AU$5:$AU$302,$AH57)),IF($AI57="HDR","Trans LY",""))))))</f>
        <v/>
      </c>
      <c r="R57" s="41" t="str">
        <f t="shared" si="36"/>
        <v/>
      </c>
      <c r="S57" s="41" t="str">
        <f t="shared" si="37"/>
        <v/>
      </c>
      <c r="T57" s="42" t="str">
        <f t="shared" si="38"/>
        <v/>
      </c>
      <c r="U57" s="42" t="str">
        <f t="shared" si="39"/>
        <v/>
      </c>
      <c r="V57" s="41" t="str">
        <f t="shared" si="40"/>
        <v/>
      </c>
      <c r="W57" s="40" t="str" cm="1">
        <f t="array" ref="W57">IF($AI57="","",IF(LEFT($AI57,2)="C|",_xlfn.LET(_xlpm.n,SUMPRODUCT($AP$5:$AP$302*($AO$5:$AO$302=$A57),$BB$5:$BB$302),IF(_xlpm.n=0,"",_xlpm.n)),IF($AI57="CT",W$13,IF(LEFT($AI57,3)="AM|",_xlfn.LET(_xlpm.n,SUMPRODUCT($AP$5:$AP$302*($AN$5:$AN$302=$A57),$BB$5:$BB$302),IF(_xlpm.n=0,"",_xlpm.n)),IF(LEFT($AI57,2)="S|",IF($AG57="","",_xlfn.LET(_xlpm.n,INDEX($BB$5:$BB$302,$AH57),IF(_xlpm.n=0,"",_xlpm.n))),IF($AI57="HDR","Footfall",""))))))</f>
        <v/>
      </c>
      <c r="X57" s="40" t="str" cm="1">
        <f t="array" ref="X57">IF($AI57="","",IF($AI57="HDR","Trans (FF stores)",IF(W57="","",IF(LEFT($AI57,2)="C|",SUMPRODUCT($AP$5:$AP$302*($AO$5:$AO$302=$A57),$BC$5:$BC$302),IF($AI57="CT",X$13,IF(LEFT($AI57,3)="AM|",SUMPRODUCT($AP$5:$AP$302*($AN$5:$AN$302=$A57),$BC$5:$BC$302),IF(LEFT($AI57,2)="S|",INDEX($BC$5:$BC$302,$AH57),"")))))))</f>
        <v/>
      </c>
      <c r="Y57" s="41" t="str">
        <f t="shared" si="44"/>
        <v/>
      </c>
      <c r="Z57" s="40" t="str" cm="1">
        <f t="array" ref="Z57">IF($AI57="","",IF(LEFT($AI57,2)="C|",IF($C57="","",SUMPRODUCT($AP$5:$AP$302*($AO$5:$AO$302=$A57),$CB$5:$CB$302)),IF($AI57="CT",Z$13,IF(LEFT($AI57,3)="AM|",IF($C57="","",SUMPRODUCT($AP$5:$AP$302*($AN$5:$AN$302=$A57),$CB$5:$CB$302)),IF(LEFT($AI57,2)="S|",IF($AG57="","",INDEX($CB$5:$CB$302,$AH57)),IF($AI57="HDR","Makeup Sales",""))))))</f>
        <v/>
      </c>
      <c r="AA57" s="41" t="str">
        <f t="shared" si="41"/>
        <v/>
      </c>
      <c r="AB57" s="40" t="str" cm="1">
        <f t="array" ref="AB57">IF($AI57="","",IF(LEFT($AI57,2)="C|",IF($C57="","",SUMPRODUCT($AP$5:$AP$302*($AO$5:$AO$302=$A57),$CK$5:$CK$302)),IF($AI57="CT",AB$13,IF(LEFT($AI57,3)="AM|",IF($C57="","",SUMPRODUCT($AP$5:$AP$302*($AN$5:$AN$302=$A57),$CK$5:$CK$302)),IF(LEFT($AI57,2)="S|",IF($AG57="","",INDEX($CK$5:$CK$302,$AH57)),IF($AI57="HDR","Makeup Target",""))))))</f>
        <v/>
      </c>
      <c r="AC57" s="41" t="str">
        <f t="shared" si="45"/>
        <v/>
      </c>
      <c r="AD57" s="40" t="str" cm="1">
        <f t="array" ref="AD57">IF($AI57="","",IF(LEFT($AI57,2)="C|",IF($C57="","",SUMPRODUCT($AP$5:$AP$302*($AO$5:$AO$302=$A57),$CI$5:$CI$302)),IF($AI57="CT",AD$13,IF(LEFT($AI57,3)="AM|",IF($C57="","",SUMPRODUCT($AP$5:$AP$302*($AN$5:$AN$302=$A57),$CI$5:$CI$302)),IF(LEFT($AI57,2)="S|",IF($AG57="","",INDEX($CI$5:$CI$302,$AH57)),IF($AI57="HDR","Cosmetic Sales",""))))))</f>
        <v/>
      </c>
      <c r="AE57" s="8" t="str" cm="1">
        <f t="array" ref="AE57">IF($AI57="","",IF(LEFT($AI57,2)="C|",IF($C57="","",SUMPRODUCT($AP$5:$AP$302*($AO$5:$AO$302=$A57)*$AQ$5:$AQ$302,$AR$5:$AR$302)),IF($AI57="CT",AE$13,IF(LEFT($AI57,3)="AM|",IF($C57="","",SUMPRODUCT($AP$5:$AP$302*($AN$5:$AN$302=$A57)*$AQ$5:$AQ$302,$AR$5:$AR$302)),IF(LEFT($AI57,2)="S|",IF($AG57="","",IF(INDEX($AQ$5:$AQ$302,$AH57)=1,D57,0)),IF($AI57="HDR","LFL Sales",""))))))</f>
        <v/>
      </c>
      <c r="AF57" s="8" t="str" cm="1">
        <f t="array" ref="AF57">IF($AI57="","",IF(LEFT($AI57,2)="C|",IF($C57="","",SUMPRODUCT($AP$5:$AP$302*($AO$5:$AO$302=$A57)*$AQ$5:$AQ$302,$AS$5:$AS$302)),IF($AI57="CT",AF$13,IF(LEFT($AI57,3)="AM|",IF($C57="","",SUMPRODUCT($AP$5:$AP$302*($AN$5:$AN$302=$A57)*$AQ$5:$AQ$302,$AS$5:$AS$302)),IF(LEFT($AI57,2)="S|",IF($AG57="","",IF(INDEX($AQ$5:$AQ$302,$AH57)=1,P57,0)),IF($AI57="HDR","LFL Trans",""))))))</f>
        <v/>
      </c>
      <c r="AG57" s="8" t="str" cm="1">
        <f t="array" ref="AG57">IF($AI57="","",IF(LEFT($AI57,2)="C|","",IF($AI57="CT","",IF(LEFT($AI57,3)="AM|","",IF(LEFT($AI57,2)="S|",IF($AH57="","",IF(INDEX($AP$5:$AP$302,$AH57)=1,1,"")),IF($AI57="HDR","Show",""))))))</f>
        <v/>
      </c>
      <c r="AH57" s="8" t="str">
        <f t="shared" si="42"/>
        <v/>
      </c>
      <c r="AI57" s="8"/>
      <c r="AN57" s="8" t="str" cm="1">
        <f t="array" ref="AN57">IF($AW57="","",_xlfn.LET(_xlpm.sa,IFERROR(TRIM(INDEX('Sales and count'!$D$4:$D$300,$BF57)&amp;""),""),_xlpm.ta,IFERROR(TRIM(INDEX('TY Sales Target'!$F$5:$F$300,$BG57)&amp;""),""),IF(AND(_xlpm.sa&lt;&gt;"",LEFT(_xlpm.sa,1)&lt;&gt;"#",_xlpm.sa&lt;&gt;"0"),_xlpm.sa,IF(AND(_xlpm.ta&lt;&gt;"",LEFT(_xlpm.ta,1)&lt;&gt;"#",_xlpm.ta&lt;&gt;"0"),_xlpm.ta,IF(ISNUMBER($BG57),"Unassigned","")))))</f>
        <v>Hamzah Al Makhadam</v>
      </c>
      <c r="AO57" s="8" t="str" cm="1">
        <f t="array" ref="AO57">IF($AW57="","",_xlfn.LET(_xlpm.sa,IFERROR(TRIM(INDEX('Sales and count'!$C$4:$C$300,$BF57)&amp;""),""),_xlpm.ta,IFERROR(TRIM(INDEX('TY Sales Target'!$D$5:$D$300,$BG57)&amp;""),""),IF(AND(_xlpm.sa&lt;&gt;"",LEFT(_xlpm.sa,1)&lt;&gt;"#",_xlpm.sa&lt;&gt;"0"),_xlpm.sa,IF(AND(_xlpm.ta&lt;&gt;"",LEFT(_xlpm.ta,1)&lt;&gt;"#",_xlpm.ta&lt;&gt;"0"),_xlpm.ta,""))))</f>
        <v>Qatif</v>
      </c>
      <c r="AP57" s="8">
        <f t="shared" si="2"/>
        <v>0</v>
      </c>
      <c r="AQ57" s="8">
        <f t="shared" si="0"/>
        <v>1</v>
      </c>
      <c r="AR57" s="8" cm="1">
        <f t="array" ref="AR57">IF($BF57="",0,_xlfn.LET(_xlpm.d,IFERROR(--'Sales and count'!$G$2:$CC$2,0),SUMPRODUCT(('Sales and count'!$G$3:$CC$3="Total")*(_xlpm.d&gt;=$U$4)*(_xlpm.d&lt;=$U$5),INDEX('Sales and count'!$G$4:$CC$300,$BF57,0))))</f>
        <v>74292.299999999988</v>
      </c>
      <c r="AS57" s="8" cm="1">
        <f t="array" aca="1" ref="AS57" ca="1">IF($BF57="",0,_xlfn.LET(_xlpm.d,IFERROR(--'Sales and count'!$F$2:$CB$2,0),SUMPRODUCT(('Sales and count'!$G$3:$CC$3="Transactions")*(_xlpm.d&gt;=$U$4)*(_xlpm.d&lt;=$U$5),INDEX('Sales and count'!$G$4:$CC$300,$BF57,0))))</f>
        <v>395</v>
      </c>
      <c r="AT57" s="8" cm="1">
        <f t="array" ref="AT57">IF($AW57="",0,SUMPRODUCT((TRIM('LY Sales '!$B$5:$B$200)=$AW57)*('LY Sales '!$C$2:$AG$2&gt;=EDATE($U$4,-12))*('LY Sales '!$C$2:$AG$2&lt;=EDATE($U$5,-12)),'LY Sales '!$C$5:$AG$200))</f>
        <v>74760.62999999999</v>
      </c>
      <c r="AU57" s="8" cm="1">
        <f t="array" ref="AU57">IF($AW57="",0,SUMPRODUCT((TRIM('LY Transaction'!$B$5:$B$200)=$AW57)*('LY Transaction'!$C$2:$AG$2&gt;=EDATE($U$4,-12))*('LY Transaction'!$C$2:$AG$2&lt;=EDATE($U$5,-12)),'LY Transaction'!$C$5:$AG$200))</f>
        <v>643</v>
      </c>
      <c r="AV57" s="8" cm="1">
        <f t="array" ref="AV57">IF(NOT(ISNUMBER($BG57)),0,SUMPRODUCT(('TY Sales Target'!$K$2:$AO$2&gt;=$U$4)*('TY Sales Target'!$K$2:$AO$2&lt;=$U$5),INDEX('TY Sales Target'!$K$5:$AO$300,$BG57,0)))</f>
        <v>108796.84509323587</v>
      </c>
      <c r="AW57" s="8" t="str" cm="1">
        <f t="array" ref="AW57">IFERROR(INDEX(_xlfn.ANCHORARRAY($BR$5),ROWS($AW$5:AW57)),"")</f>
        <v>HAQATIFCC</v>
      </c>
      <c r="BB57" cm="1">
        <f t="array" ref="BB57">IF($AW57="",0,SUMPRODUCT((TRIM(Footfall!$B$5:$B$301)=$AW57)*(Footfall!$C$1:$BZ$1&gt;=$U$4)*(Footfall!$C$2:$BZ$2&lt;=$U$5)*(Footfall!$C$1:$BZ$1&lt;&gt;""),Footfall!$C$5:$BZ$301))</f>
        <v>3332</v>
      </c>
      <c r="BC57" cm="1">
        <f t="array" aca="1" ref="BC57" ca="1">IF(OR($BB57&lt;=0,$BD$1="",$BF57=""),0,_xlfn.LET(_xlpm.d,IFERROR(--'Sales and count'!$F$2:$CB$2,0),SUMPRODUCT(('Sales and count'!$G$3:$CC$3="Transactions")*(_xlpm.d&gt;=$BD$1)*(_xlpm.d&lt;=$BD$2),INDEX('Sales and count'!$G$4:$CC$300,$BF57,0))))</f>
        <v>395</v>
      </c>
      <c r="BF57" cm="1">
        <f t="array" ref="BF57">IF($AW57="","",IFERROR(MATCH($AW57,TRIM('Sales and count'!$A$4:$A$300&amp;""),0),""))</f>
        <v>53</v>
      </c>
      <c r="BG57" cm="1">
        <f t="array" ref="BG57">IF($AW57="","",IFERROR(MATCH(IFERROR(_xlfn.XLOOKUP($AW57,$BT$5:$BT$22,$BU$5:$BU$22),$AW57),TRIM('TY Sales Target'!$B$5:$B$300&amp;""),0),""))</f>
        <v>91</v>
      </c>
      <c r="BH57" t="str" cm="1">
        <f t="array" ref="BH57">IF(ISNUMBER($BG57),_xlfn.LET(_xlpm.p,TRIM(INDEX('TY Sales Target'!$I$5:$I$300,$BG57)&amp;""),IF(_xlpm.p="","Not set",_xlpm.p)),"Not set")</f>
        <v>Smart Watch</v>
      </c>
      <c r="BI57" cm="1">
        <f t="array" ref="BI57">IF($BF57="",0,_xlfn.LET(_xlpm.d,IFERROR(--'Sales and count'!$G$2:$CC$2,0),SUMPRODUCT(('Sales and count'!$G$3:$CC$3="Total")*(_xlpm.d&gt;=$BZ$5)*(_xlpm.d&lt;=$BZ$6),INDEX('Sales and count'!$G$4:$CC$300,$BF57,0))))</f>
        <v>74292.299999999988</v>
      </c>
      <c r="BJ57" cm="1">
        <f t="array" ref="BJ57">IF($AW57="",0,SUMPRODUCT((TRIM('LY Sales '!$B$5:$B$200)=$AW57)*('LY Sales '!$C$2:$AG$2&gt;=EDATE($BZ$5,-12))*('LY Sales '!$C$2:$AG$2&lt;=EDATE($BZ$6,-12)),'LY Sales '!$C$5:$AG$200))</f>
        <v>74760.62999999999</v>
      </c>
      <c r="BK57" cm="1">
        <f t="array" ref="BK57">IF($AW57="",0,SUMPRODUCT((TRIM('LY Sales '!$B$5:$B$200)=$AW57)*('LY Sales '!$C$2:$AG$2&gt;=EDATE($BZ$5,-12))*('LY Sales '!$C$2:$AG$2&lt;=EDATE($BZ$7,-12)),'LY Sales '!$C$5:$AG$200))</f>
        <v>90471.799999999988</v>
      </c>
      <c r="BL57" cm="1">
        <f t="array" ref="BL57">IF($AW57="",0,SUMPRODUCT((TRIM('LY Sales '!$B$5:$B$200)=$AW57)*('LY Sales '!$C$2:$AG$2&gt;=EDATE($BZ$5,-12))*('LY Sales '!$C$2:$AG$2&lt;=EDATE($BZ$6,-12))*('LY Sales '!$C$5:$AG$200&gt;0)))</f>
        <v>26</v>
      </c>
      <c r="BM57" cm="1">
        <f t="array" ref="BM57">IF(NOT(ISNUMBER($BG57)),0,SUMPRODUCT(('TY Sales Target'!$K$2:$AO$2&gt;=$BZ$5)*('TY Sales Target'!$K$2:$AO$2&lt;=$BZ$6),INDEX('TY Sales Target'!$K$5:$AO$300,$BG57,0)))</f>
        <v>108796.84509323587</v>
      </c>
      <c r="BN57" cm="1">
        <f t="array" ref="BN57">IF(NOT(ISNUMBER($BG57)),0,SUMPRODUCT(('TY Sales Target'!$K$2:$AO$2&gt;=$BZ$5)*('TY Sales Target'!$K$2:$AO$2&lt;=$BZ$7),INDEX('TY Sales Target'!$K$5:$AO$300,$BG57,0)))</f>
        <v>141999.99999999997</v>
      </c>
      <c r="BO57" cm="1">
        <f t="array" ref="BO57">IF($AW57="",0,IFERROR(_xlfn.SWITCH($BP57,"LY trend",$BI57*$BK57/$BJ57,"Target curve",$BI57*$BN57/$BM57,"Run rate",$BI57/$BZ$8*$BZ$9,0),0))</f>
        <v>89905.049049747162</v>
      </c>
      <c r="BP57" t="str">
        <f t="shared" si="1"/>
        <v>LY trend</v>
      </c>
      <c r="BR57" t="str">
        <v>HAQATIFCC</v>
      </c>
      <c r="CB57" cm="1">
        <f t="array" ref="CB57">IF($AW57="",0,_xlfn.LET(_xlpm.k,IFERROR(_xlfn.XLOOKUP($AW57,$CD$6:$CD$21,$CE$6:$CE$21),$AW57),SUMPRODUCT((TRIM('Makeup '!$A$2:$A$300&amp;"")=_xlpm.k)*1,IFERROR('Makeup '!$F$2:$F$300*1,0))))</f>
        <v>4553.21</v>
      </c>
      <c r="CF57" t="str" cm="1">
        <f t="array" ref="CF57">IF($AW57="","",_xlfn.LET(_xlpm.c,IFERROR(TRIM(INDEX('Sales and count'!$B$4:$B$300,$BF57)&amp;""),""),IF(OR(_xlpm.c="",_xlpm.c="0",LEFT(_xlpm.c,1)="#"),"Not set",_xlpm.c)))</f>
        <v>KSA</v>
      </c>
      <c r="CH57" cm="1">
        <f t="array" ref="CH57">IF($AW57="",0,_xlfn.LET(_xlpm.k,IFERROR(_xlfn.XLOOKUP($AW57,$CD$6:$CD$21,$CE$6:$CE$21),$AW57),--(SUMPRODUCT((TRIM('Makeup '!$A$2:$A$300&amp;"")=_xlpm.k)*ISNUMBER('Makeup '!$F$2:$F$300))&gt;0)))</f>
        <v>1</v>
      </c>
      <c r="CI57">
        <f t="shared" si="4"/>
        <v>74292.299999999988</v>
      </c>
      <c r="CJ57" cm="1">
        <f t="array" ref="CJ57">IF($AW57="",0,--(SUMPRODUCT(--(TRIM(Footfall!$B$5:$B$301)=$AW57))&gt;0))</f>
        <v>1</v>
      </c>
      <c r="CK57" s="8" cm="1">
        <f t="array" ref="CK57">IF($AW57="",0,_xlfn.LET(_xlpm.r,IFERROR(MATCH(IFERROR(_xlfn.XLOOKUP($AW57,$BT$5:$BT$22,$BU$5:$BU$22),$AW57),TRIM('TY Beauty Target'!$B$5:$B$300&amp;""),0),""),IF(ISNUMBER(_xlpm.r),SUMPRODUCT(('TY Beauty Target'!$L$2:$AP$2&gt;=$U$4)*('TY Beauty Target'!$L$2:$AP$2&lt;=$U$5),INDEX('TY Beauty Target'!$L$5:$AP$300,_xlpm.r,0)),0)))</f>
        <v>11979.360910536099</v>
      </c>
    </row>
    <row r="58" spans="1:89" ht="15" customHeight="1" x14ac:dyDescent="0.25">
      <c r="A58" s="38" t="str">
        <f t="shared" si="30"/>
        <v/>
      </c>
      <c r="B58" s="43" t="str" cm="1">
        <f t="array" ref="B58">IF($AI58="","",IF(LEFT($AI58,2)="C|",IF($C58="","",_xlfn.TEXTJOIN(", ",TRUE,_xlfn.UNIQUE(_xlfn._xlws.FILTER($AN$5:$AN$302,($AP$5:$AP$302=1)*($AO$5:$AO$302=$A58))))),IF($AI58="CT",B$13,IF(LEFT($AI58,3)="AM|",IF($C58="","",ROWS(_xlfn.UNIQUE(_xlfn._xlws.FILTER($AO$5:$AO$302,($AP$5:$AP$302=1)*($AN$5:$AN$302=$A58))))),IF(LEFT($AI58,2)="S|",IF($AG58="","",INDEX($AO$5:$AO$302,$AH58)),IF($AI58="HDR","City",""))))))</f>
        <v/>
      </c>
      <c r="C58" s="39" t="str" cm="1">
        <f t="array" ref="C58">IF($AI58="","",IF(LEFT($AI58,2)="C|",_xlfn.LET(_xlpm.n,SUMPRODUCT($AP$5:$AP$302*($AO$5:$AO$302=$A58)),IF(_xlpm.n=0,"",_xlpm.n)),IF($AI58="CT",C$13,IF(LEFT($AI58,3)="AM|",_xlfn.LET(_xlpm.n,SUMPRODUCT($AP$5:$AP$302*($AN$5:$AN$302=$A58)),IF(_xlpm.n=0,"",_xlpm.n)),IF(LEFT($AI58,2)="S|","",IF($AI58="HDR","# Stores",""))))))</f>
        <v/>
      </c>
      <c r="D58" s="40" t="str" cm="1">
        <f t="array" ref="D58">IF($AI58="","",IF(LEFT($AI58,2)="C|",IF($C58="","",SUMPRODUCT($AP$5:$AP$302*($AO$5:$AO$302=$A58),$AR$5:$AR$302)),IF($AI58="CT",D$13,IF(LEFT($AI58,3)="AM|",IF($C58="","",SUMPRODUCT($AP$5:$AP$302*($AN$5:$AN$302=$A58),$AR$5:$AR$302)),IF(LEFT($AI58,2)="S|",IF($AG58="","",INDEX($AR$5:$AR$302,$AH58)),IF($AI58="HDR","Sales TY",""))))))</f>
        <v/>
      </c>
      <c r="E58" s="40" t="str" cm="1">
        <f t="array" ref="E58">IF($AI58="","",IF(LEFT($AI58,2)="C|",IF($C58="","",SUMPRODUCT($AP$5:$AP$302*($AO$5:$AO$302=$A58),$AT$5:$AT$302)),IF($AI58="CT",E$13,IF(LEFT($AI58,3)="AM|",IF($C58="","",SUMPRODUCT($AP$5:$AP$302*($AN$5:$AN$302=$A58),$AT$5:$AT$302)),IF(LEFT($AI58,2)="S|",IF($AG58="","",INDEX($AT$5:$AT$302,$AH58)),IF($AI58="HDR","Sales LY",""))))))</f>
        <v/>
      </c>
      <c r="F58" s="41" t="str">
        <f t="shared" si="31"/>
        <v/>
      </c>
      <c r="G58" s="41" t="str">
        <f t="shared" si="32"/>
        <v/>
      </c>
      <c r="H58" s="40" t="str" cm="1">
        <f t="array" ref="H58">IF($AI58="","",IF(LEFT($AI58,2)="C|",IF($C58="","",SUMPRODUCT($AP$5:$AP$302*($AO$5:$AO$302=$A58),$AV$5:$AV$302)),IF($AI58="CT",H$13,IF(LEFT($AI58,3)="AM|",IF($C58="","",SUMPRODUCT($AP$5:$AP$302*($AN$5:$AN$302=$A58),$AV$5:$AV$302)),IF(LEFT($AI58,2)="S|",IF($AG58="","",INDEX($AV$5:$AV$302,$AH58)),IF($AI58="HDR","Target",""))))))</f>
        <v/>
      </c>
      <c r="I58" s="41" t="str">
        <f t="shared" si="33"/>
        <v/>
      </c>
      <c r="J58" s="40" t="str">
        <f t="shared" si="34"/>
        <v/>
      </c>
      <c r="K58" s="41" t="str">
        <f t="shared" si="35"/>
        <v/>
      </c>
      <c r="L58" s="40" t="str" cm="1">
        <f t="array" ref="L58">IF($AI58="","",IF(LEFT($AI58,2)="C|",IF($C58="","",SUMPRODUCT($AP$5:$AP$302*($AO$5:$AO$302=$A58),$BN$5:$BN$302)),IF($AI58="CT",L$13,IF(LEFT($AI58,3)="AM|",IF($C58="","",SUMPRODUCT($AP$5:$AP$302*($AN$5:$AN$302=$A58),$BN$5:$BN$302)),IF(LEFT($AI58,2)="S|",IF($AG58="","",INDEX($BN$5:$BN$302,$AH58)),IF($AI58="HDR","Month Target",""))))))</f>
        <v/>
      </c>
      <c r="M58" s="40" t="str" cm="1">
        <f t="array" ref="M58">IF($AI58="","",IF(LEFT($AI58,2)="C|",IF($C58="","",SUMPRODUCT($AP$5:$AP$302*($AO$5:$AO$302=$A58),$BO$5:$BO$302)),IF($AI58="CT",M$13,IF(LEFT($AI58,3)="AM|",IF($C58="","",SUMPRODUCT($AP$5:$AP$302*($AN$5:$AN$302=$A58),$BO$5:$BO$302)),IF(LEFT($AI58,2)="S|",IF($AG58="","",INDEX($BO$5:$BO$302,$AH58)),IF($AI58="HDR","Projected Close",""))))))</f>
        <v/>
      </c>
      <c r="N58" s="41" t="str">
        <f t="shared" si="43"/>
        <v/>
      </c>
      <c r="O58" s="41" t="str" cm="1">
        <f t="array" ref="O58">IF($AI58="HDR","Proj. vs LY",IF(OR($AI58="",M58=""),"",_xlfn.LET(_xlpm.ly,IF(LEFT($AI58,2)="C|",SUMPRODUCT($AP$5:$AP$302*($AO$5:$AO$302=$A58),$BK$5:$BK$302),IF($AI58="CT",SUMPRODUCT($AP$5:$AP$302,$BK$5:$BK$302),IF(LEFT($AI58,3)="AM|",SUMPRODUCT($AP$5:$AP$302*($AN$5:$AN$302=$A58),$BK$5:$BK$302),IF(LEFT($AI58,2)="S|",INDEX($BK$5:$BK$302,$AH58),0)))),IFERROR(M58/_xlpm.ly-1,""))))</f>
        <v/>
      </c>
      <c r="P58" s="40" t="str" cm="1">
        <f t="array" ref="P58">IF($AI58="","",IF(LEFT($AI58,2)="C|",IF($C58="","",SUMPRODUCT($AP$5:$AP$302*($AO$5:$AO$302=$A58),$AS$5:$AS$302)),IF($AI58="CT",P$13,IF(LEFT($AI58,3)="AM|",IF($C58="","",SUMPRODUCT($AP$5:$AP$302*($AN$5:$AN$302=$A58),$AS$5:$AS$302)),IF(LEFT($AI58,2)="S|",IF($AG58="","",INDEX($AS$5:$AS$302,$AH58)),IF($AI58="HDR","Trans TY",""))))))</f>
        <v/>
      </c>
      <c r="Q58" s="40" t="str" cm="1">
        <f t="array" ref="Q58">IF($AI58="","",IF(LEFT($AI58,2)="C|",IF($C58="","",SUMPRODUCT($AP$5:$AP$302*($AO$5:$AO$302=$A58),$AU$5:$AU$302)),IF($AI58="CT",Q$13,IF(LEFT($AI58,3)="AM|",IF($C58="","",SUMPRODUCT($AP$5:$AP$302*($AN$5:$AN$302=$A58),$AU$5:$AU$302)),IF(LEFT($AI58,2)="S|",IF($AG58="","",INDEX($AU$5:$AU$302,$AH58)),IF($AI58="HDR","Trans LY",""))))))</f>
        <v/>
      </c>
      <c r="R58" s="41" t="str">
        <f t="shared" si="36"/>
        <v/>
      </c>
      <c r="S58" s="41" t="str">
        <f t="shared" si="37"/>
        <v/>
      </c>
      <c r="T58" s="42" t="str">
        <f t="shared" si="38"/>
        <v/>
      </c>
      <c r="U58" s="42" t="str">
        <f t="shared" si="39"/>
        <v/>
      </c>
      <c r="V58" s="41" t="str">
        <f t="shared" si="40"/>
        <v/>
      </c>
      <c r="W58" s="40" t="str" cm="1">
        <f t="array" ref="W58">IF($AI58="","",IF(LEFT($AI58,2)="C|",_xlfn.LET(_xlpm.n,SUMPRODUCT($AP$5:$AP$302*($AO$5:$AO$302=$A58),$BB$5:$BB$302),IF(_xlpm.n=0,"",_xlpm.n)),IF($AI58="CT",W$13,IF(LEFT($AI58,3)="AM|",_xlfn.LET(_xlpm.n,SUMPRODUCT($AP$5:$AP$302*($AN$5:$AN$302=$A58),$BB$5:$BB$302),IF(_xlpm.n=0,"",_xlpm.n)),IF(LEFT($AI58,2)="S|",IF($AG58="","",_xlfn.LET(_xlpm.n,INDEX($BB$5:$BB$302,$AH58),IF(_xlpm.n=0,"",_xlpm.n))),IF($AI58="HDR","Footfall",""))))))</f>
        <v/>
      </c>
      <c r="X58" s="40" t="str" cm="1">
        <f t="array" ref="X58">IF($AI58="","",IF($AI58="HDR","Trans (FF stores)",IF(W58="","",IF(LEFT($AI58,2)="C|",SUMPRODUCT($AP$5:$AP$302*($AO$5:$AO$302=$A58),$BC$5:$BC$302),IF($AI58="CT",X$13,IF(LEFT($AI58,3)="AM|",SUMPRODUCT($AP$5:$AP$302*($AN$5:$AN$302=$A58),$BC$5:$BC$302),IF(LEFT($AI58,2)="S|",INDEX($BC$5:$BC$302,$AH58),"")))))))</f>
        <v/>
      </c>
      <c r="Y58" s="41" t="str">
        <f t="shared" si="44"/>
        <v/>
      </c>
      <c r="Z58" s="40" t="str" cm="1">
        <f t="array" ref="Z58">IF($AI58="","",IF(LEFT($AI58,2)="C|",IF($C58="","",SUMPRODUCT($AP$5:$AP$302*($AO$5:$AO$302=$A58),$CB$5:$CB$302)),IF($AI58="CT",Z$13,IF(LEFT($AI58,3)="AM|",IF($C58="","",SUMPRODUCT($AP$5:$AP$302*($AN$5:$AN$302=$A58),$CB$5:$CB$302)),IF(LEFT($AI58,2)="S|",IF($AG58="","",INDEX($CB$5:$CB$302,$AH58)),IF($AI58="HDR","Makeup Sales",""))))))</f>
        <v/>
      </c>
      <c r="AA58" s="41" t="str">
        <f t="shared" si="41"/>
        <v/>
      </c>
      <c r="AB58" s="40" t="str" cm="1">
        <f t="array" ref="AB58">IF($AI58="","",IF(LEFT($AI58,2)="C|",IF($C58="","",SUMPRODUCT($AP$5:$AP$302*($AO$5:$AO$302=$A58),$CK$5:$CK$302)),IF($AI58="CT",AB$13,IF(LEFT($AI58,3)="AM|",IF($C58="","",SUMPRODUCT($AP$5:$AP$302*($AN$5:$AN$302=$A58),$CK$5:$CK$302)),IF(LEFT($AI58,2)="S|",IF($AG58="","",INDEX($CK$5:$CK$302,$AH58)),IF($AI58="HDR","Makeup Target",""))))))</f>
        <v/>
      </c>
      <c r="AC58" s="41" t="str">
        <f t="shared" si="45"/>
        <v/>
      </c>
      <c r="AD58" s="40" t="str" cm="1">
        <f t="array" ref="AD58">IF($AI58="","",IF(LEFT($AI58,2)="C|",IF($C58="","",SUMPRODUCT($AP$5:$AP$302*($AO$5:$AO$302=$A58),$CI$5:$CI$302)),IF($AI58="CT",AD$13,IF(LEFT($AI58,3)="AM|",IF($C58="","",SUMPRODUCT($AP$5:$AP$302*($AN$5:$AN$302=$A58),$CI$5:$CI$302)),IF(LEFT($AI58,2)="S|",IF($AG58="","",INDEX($CI$5:$CI$302,$AH58)),IF($AI58="HDR","Cosmetic Sales",""))))))</f>
        <v/>
      </c>
      <c r="AE58" s="8" t="str" cm="1">
        <f t="array" ref="AE58">IF($AI58="","",IF(LEFT($AI58,2)="C|",IF($C58="","",SUMPRODUCT($AP$5:$AP$302*($AO$5:$AO$302=$A58)*$AQ$5:$AQ$302,$AR$5:$AR$302)),IF($AI58="CT",AE$13,IF(LEFT($AI58,3)="AM|",IF($C58="","",SUMPRODUCT($AP$5:$AP$302*($AN$5:$AN$302=$A58)*$AQ$5:$AQ$302,$AR$5:$AR$302)),IF(LEFT($AI58,2)="S|",IF($AG58="","",IF(INDEX($AQ$5:$AQ$302,$AH58)=1,D58,0)),IF($AI58="HDR","LFL Sales",""))))))</f>
        <v/>
      </c>
      <c r="AF58" s="8" t="str" cm="1">
        <f t="array" ref="AF58">IF($AI58="","",IF(LEFT($AI58,2)="C|",IF($C58="","",SUMPRODUCT($AP$5:$AP$302*($AO$5:$AO$302=$A58)*$AQ$5:$AQ$302,$AS$5:$AS$302)),IF($AI58="CT",AF$13,IF(LEFT($AI58,3)="AM|",IF($C58="","",SUMPRODUCT($AP$5:$AP$302*($AN$5:$AN$302=$A58)*$AQ$5:$AQ$302,$AS$5:$AS$302)),IF(LEFT($AI58,2)="S|",IF($AG58="","",IF(INDEX($AQ$5:$AQ$302,$AH58)=1,P58,0)),IF($AI58="HDR","LFL Trans",""))))))</f>
        <v/>
      </c>
      <c r="AG58" s="8" t="str" cm="1">
        <f t="array" ref="AG58">IF($AI58="","",IF(LEFT($AI58,2)="C|","",IF($AI58="CT","",IF(LEFT($AI58,3)="AM|","",IF(LEFT($AI58,2)="S|",IF($AH58="","",IF(INDEX($AP$5:$AP$302,$AH58)=1,1,"")),IF($AI58="HDR","Show",""))))))</f>
        <v/>
      </c>
      <c r="AH58" s="8" t="str">
        <f t="shared" si="42"/>
        <v/>
      </c>
      <c r="AI58" s="8"/>
      <c r="AN58" s="8" t="str" cm="1">
        <f t="array" ref="AN58">IF($AW58="","",_xlfn.LET(_xlpm.sa,IFERROR(TRIM(INDEX('Sales and count'!$D$4:$D$300,$BF58)&amp;""),""),_xlpm.ta,IFERROR(TRIM(INDEX('TY Sales Target'!$F$5:$F$300,$BG58)&amp;""),""),IF(AND(_xlpm.sa&lt;&gt;"",LEFT(_xlpm.sa,1)&lt;&gt;"#",_xlpm.sa&lt;&gt;"0"),_xlpm.sa,IF(AND(_xlpm.ta&lt;&gt;"",LEFT(_xlpm.ta,1)&lt;&gt;"#",_xlpm.ta&lt;&gt;"0"),_xlpm.ta,IF(ISNUMBER($BG58),"Unassigned","")))))</f>
        <v>Saleh Bin Hoiel</v>
      </c>
      <c r="AO58" s="8" t="str" cm="1">
        <f t="array" ref="AO58">IF($AW58="","",_xlfn.LET(_xlpm.sa,IFERROR(TRIM(INDEX('Sales and count'!$C$4:$C$300,$BF58)&amp;""),""),_xlpm.ta,IFERROR(TRIM(INDEX('TY Sales Target'!$D$5:$D$300,$BG58)&amp;""),""),IF(AND(_xlpm.sa&lt;&gt;"",LEFT(_xlpm.sa,1)&lt;&gt;"#",_xlpm.sa&lt;&gt;"0"),_xlpm.sa,IF(AND(_xlpm.ta&lt;&gt;"",LEFT(_xlpm.ta,1)&lt;&gt;"#",_xlpm.ta&lt;&gt;"0"),_xlpm.ta,""))))</f>
        <v>Jeddah</v>
      </c>
      <c r="AP58" s="8">
        <f t="shared" si="2"/>
        <v>1</v>
      </c>
      <c r="AQ58" s="8">
        <f t="shared" si="0"/>
        <v>1</v>
      </c>
      <c r="AR58" s="8" cm="1">
        <f t="array" ref="AR58">IF($BF58="",0,_xlfn.LET(_xlpm.d,IFERROR(--'Sales and count'!$G$2:$CC$2,0),SUMPRODUCT(('Sales and count'!$G$3:$CC$3="Total")*(_xlpm.d&gt;=$U$4)*(_xlpm.d&lt;=$U$5),INDEX('Sales and count'!$G$4:$CC$300,$BF58,0))))</f>
        <v>169871.14999999997</v>
      </c>
      <c r="AS58" s="8" cm="1">
        <f t="array" aca="1" ref="AS58" ca="1">IF($BF58="",0,_xlfn.LET(_xlpm.d,IFERROR(--'Sales and count'!$F$2:$CB$2,0),SUMPRODUCT(('Sales and count'!$G$3:$CC$3="Transactions")*(_xlpm.d&gt;=$U$4)*(_xlpm.d&lt;=$U$5),INDEX('Sales and count'!$G$4:$CC$300,$BF58,0))))</f>
        <v>1124</v>
      </c>
      <c r="AT58" s="8" cm="1">
        <f t="array" ref="AT58">IF($AW58="",0,SUMPRODUCT((TRIM('LY Sales '!$B$5:$B$200)=$AW58)*('LY Sales '!$C$2:$AG$2&gt;=EDATE($U$4,-12))*('LY Sales '!$C$2:$AG$2&lt;=EDATE($U$5,-12)),'LY Sales '!$C$5:$AG$200))</f>
        <v>218032.36</v>
      </c>
      <c r="AU58" s="8" cm="1">
        <f t="array" ref="AU58">IF($AW58="",0,SUMPRODUCT((TRIM('LY Transaction'!$B$5:$B$200)=$AW58)*('LY Transaction'!$C$2:$AG$2&gt;=EDATE($U$4,-12))*('LY Transaction'!$C$2:$AG$2&lt;=EDATE($U$5,-12)),'LY Transaction'!$C$5:$AG$200))</f>
        <v>1634</v>
      </c>
      <c r="AV58" s="8" cm="1">
        <f t="array" ref="AV58">IF(NOT(ISNUMBER($BG58)),0,SUMPRODUCT(('TY Sales Target'!$K$2:$AO$2&gt;=$U$4)*('TY Sales Target'!$K$2:$AO$2&lt;=$U$5),INDEX('TY Sales Target'!$K$5:$AO$300,$BG58,0)))</f>
        <v>241345.11411527681</v>
      </c>
      <c r="AW58" s="8" t="str" cm="1">
        <f t="array" ref="AW58">IFERROR(INDEX(_xlfn.ANCHORARRAY($BR$5),ROWS($AW$5:AW58)),"")</f>
        <v>HAMDANYA</v>
      </c>
      <c r="BB58" cm="1">
        <f t="array" ref="BB58">IF($AW58="",0,SUMPRODUCT((TRIM(Footfall!$B$5:$B$301)=$AW58)*(Footfall!$C$1:$BZ$1&gt;=$U$4)*(Footfall!$C$2:$BZ$2&lt;=$U$5)*(Footfall!$C$1:$BZ$1&lt;&gt;""),Footfall!$C$5:$BZ$301))</f>
        <v>2952</v>
      </c>
      <c r="BC58" cm="1">
        <f t="array" aca="1" ref="BC58" ca="1">IF(OR($BB58&lt;=0,$BD$1="",$BF58=""),0,_xlfn.LET(_xlpm.d,IFERROR(--'Sales and count'!$F$2:$CB$2,0),SUMPRODUCT(('Sales and count'!$G$3:$CC$3="Transactions")*(_xlpm.d&gt;=$BD$1)*(_xlpm.d&lt;=$BD$2),INDEX('Sales and count'!$G$4:$CC$300,$BF58,0))))</f>
        <v>1124</v>
      </c>
      <c r="BF58" cm="1">
        <f t="array" ref="BF58">IF($AW58="","",IFERROR(MATCH($AW58,TRIM('Sales and count'!$A$4:$A$300&amp;""),0),""))</f>
        <v>54</v>
      </c>
      <c r="BG58" cm="1">
        <f t="array" ref="BG58">IF($AW58="","",IFERROR(MATCH(IFERROR(_xlfn.XLOOKUP($AW58,$BT$5:$BT$22,$BU$5:$BU$22),$AW58),TRIM('TY Sales Target'!$B$5:$B$300&amp;""),0),""))</f>
        <v>30</v>
      </c>
      <c r="BH58" t="str" cm="1">
        <f t="array" ref="BH58">IF(ISNUMBER($BG58),_xlfn.LET(_xlpm.p,TRIM(INDEX('TY Sales Target'!$I$5:$I$300,$BG58)&amp;""),IF(_xlpm.p="","Not set",_xlpm.p)),"Not set")</f>
        <v>Smart Phone</v>
      </c>
      <c r="BI58" cm="1">
        <f t="array" ref="BI58">IF($BF58="",0,_xlfn.LET(_xlpm.d,IFERROR(--'Sales and count'!$G$2:$CC$2,0),SUMPRODUCT(('Sales and count'!$G$3:$CC$3="Total")*(_xlpm.d&gt;=$BZ$5)*(_xlpm.d&lt;=$BZ$6),INDEX('Sales and count'!$G$4:$CC$300,$BF58,0))))</f>
        <v>169871.14999999997</v>
      </c>
      <c r="BJ58" cm="1">
        <f t="array" ref="BJ58">IF($AW58="",0,SUMPRODUCT((TRIM('LY Sales '!$B$5:$B$200)=$AW58)*('LY Sales '!$C$2:$AG$2&gt;=EDATE($BZ$5,-12))*('LY Sales '!$C$2:$AG$2&lt;=EDATE($BZ$6,-12)),'LY Sales '!$C$5:$AG$200))</f>
        <v>218032.36</v>
      </c>
      <c r="BK58" cm="1">
        <f t="array" ref="BK58">IF($AW58="",0,SUMPRODUCT((TRIM('LY Sales '!$B$5:$B$200)=$AW58)*('LY Sales '!$C$2:$AG$2&gt;=EDATE($BZ$5,-12))*('LY Sales '!$C$2:$AG$2&lt;=EDATE($BZ$7,-12)),'LY Sales '!$C$5:$AG$200))</f>
        <v>279741.5</v>
      </c>
      <c r="BL58" cm="1">
        <f t="array" ref="BL58">IF($AW58="",0,SUMPRODUCT((TRIM('LY Sales '!$B$5:$B$200)=$AW58)*('LY Sales '!$C$2:$AG$2&gt;=EDATE($BZ$5,-12))*('LY Sales '!$C$2:$AG$2&lt;=EDATE($BZ$6,-12))*('LY Sales '!$C$5:$AG$200&gt;0)))</f>
        <v>26</v>
      </c>
      <c r="BM58" cm="1">
        <f t="array" ref="BM58">IF(NOT(ISNUMBER($BG58)),0,SUMPRODUCT(('TY Sales Target'!$K$2:$AO$2&gt;=$BZ$5)*('TY Sales Target'!$K$2:$AO$2&lt;=$BZ$6),INDEX('TY Sales Target'!$K$5:$AO$300,$BG58,0)))</f>
        <v>241345.11411527681</v>
      </c>
      <c r="BN58" cm="1">
        <f t="array" ref="BN58">IF(NOT(ISNUMBER($BG58)),0,SUMPRODUCT(('TY Sales Target'!$K$2:$AO$2&gt;=$BZ$5)*('TY Sales Target'!$K$2:$AO$2&lt;=$BZ$7),INDEX('TY Sales Target'!$K$5:$AO$300,$BG58,0)))</f>
        <v>315000</v>
      </c>
      <c r="BO58" cm="1">
        <f t="array" ref="BO58">IF($AW58="",0,IFERROR(_xlfn.SWITCH($BP58,"LY trend",$BI58*$BK58/$BJ58,"Target curve",$BI58*$BN58/$BM58,"Run rate",$BI58/$BZ$8*$BZ$9,0),0))</f>
        <v>217949.34617836084</v>
      </c>
      <c r="BP58" t="str">
        <f t="shared" si="1"/>
        <v>LY trend</v>
      </c>
      <c r="BR58" t="str">
        <v>HAMDANYA</v>
      </c>
      <c r="CB58" cm="1">
        <f t="array" ref="CB58">IF($AW58="",0,_xlfn.LET(_xlpm.k,IFERROR(_xlfn.XLOOKUP($AW58,$CD$6:$CD$21,$CE$6:$CE$21),$AW58),SUMPRODUCT((TRIM('Makeup '!$A$2:$A$300&amp;"")=_xlpm.k)*1,IFERROR('Makeup '!$F$2:$F$300*1,0))))</f>
        <v>7310.81</v>
      </c>
      <c r="CF58" t="str" cm="1">
        <f t="array" ref="CF58">IF($AW58="","",_xlfn.LET(_xlpm.c,IFERROR(TRIM(INDEX('Sales and count'!$B$4:$B$300,$BF58)&amp;""),""),IF(OR(_xlpm.c="",_xlpm.c="0",LEFT(_xlpm.c,1)="#"),"Not set",_xlpm.c)))</f>
        <v>KSA</v>
      </c>
      <c r="CH58" cm="1">
        <f t="array" ref="CH58">IF($AW58="",0,_xlfn.LET(_xlpm.k,IFERROR(_xlfn.XLOOKUP($AW58,$CD$6:$CD$21,$CE$6:$CE$21),$AW58),--(SUMPRODUCT((TRIM('Makeup '!$A$2:$A$300&amp;"")=_xlpm.k)*ISNUMBER('Makeup '!$F$2:$F$300))&gt;0)))</f>
        <v>1</v>
      </c>
      <c r="CI58">
        <f t="shared" si="4"/>
        <v>169871.14999999997</v>
      </c>
      <c r="CJ58" cm="1">
        <f t="array" ref="CJ58">IF($AW58="",0,--(SUMPRODUCT(--(TRIM(Footfall!$B$5:$B$301)=$AW58))&gt;0))</f>
        <v>1</v>
      </c>
      <c r="CK58" s="8" cm="1">
        <f t="array" ref="CK58">IF($AW58="",0,_xlfn.LET(_xlpm.r,IFERROR(MATCH(IFERROR(_xlfn.XLOOKUP($AW58,$BT$5:$BT$22,$BU$5:$BU$22),$AW58),TRIM('TY Beauty Target'!$B$5:$B$300&amp;""),0),""),IF(ISNUMBER(_xlpm.r),SUMPRODUCT(('TY Beauty Target'!$L$2:$AP$2&gt;=$U$4)*('TY Beauty Target'!$L$2:$AP$2&lt;=$U$5),INDEX('TY Beauty Target'!$L$5:$AP$300,_xlpm.r,0)),0)))</f>
        <v>11993.876482008376</v>
      </c>
    </row>
    <row r="59" spans="1:89" ht="15" customHeight="1" x14ac:dyDescent="0.25">
      <c r="A59" s="38" t="str">
        <f t="shared" si="30"/>
        <v/>
      </c>
      <c r="B59" s="43" t="str" cm="1">
        <f t="array" ref="B59">IF($AI59="","",IF(LEFT($AI59,2)="C|",IF($C59="","",_xlfn.TEXTJOIN(", ",TRUE,_xlfn.UNIQUE(_xlfn._xlws.FILTER($AN$5:$AN$302,($AP$5:$AP$302=1)*($AO$5:$AO$302=$A59))))),IF($AI59="CT",B$13,IF(LEFT($AI59,3)="AM|",IF($C59="","",ROWS(_xlfn.UNIQUE(_xlfn._xlws.FILTER($AO$5:$AO$302,($AP$5:$AP$302=1)*($AN$5:$AN$302=$A59))))),IF(LEFT($AI59,2)="S|",IF($AG59="","",INDEX($AO$5:$AO$302,$AH59)),IF($AI59="HDR","City",""))))))</f>
        <v/>
      </c>
      <c r="C59" s="39" t="str" cm="1">
        <f t="array" ref="C59">IF($AI59="","",IF(LEFT($AI59,2)="C|",_xlfn.LET(_xlpm.n,SUMPRODUCT($AP$5:$AP$302*($AO$5:$AO$302=$A59)),IF(_xlpm.n=0,"",_xlpm.n)),IF($AI59="CT",C$13,IF(LEFT($AI59,3)="AM|",_xlfn.LET(_xlpm.n,SUMPRODUCT($AP$5:$AP$302*($AN$5:$AN$302=$A59)),IF(_xlpm.n=0,"",_xlpm.n)),IF(LEFT($AI59,2)="S|","",IF($AI59="HDR","# Stores",""))))))</f>
        <v/>
      </c>
      <c r="D59" s="40" t="str" cm="1">
        <f t="array" ref="D59">IF($AI59="","",IF(LEFT($AI59,2)="C|",IF($C59="","",SUMPRODUCT($AP$5:$AP$302*($AO$5:$AO$302=$A59),$AR$5:$AR$302)),IF($AI59="CT",D$13,IF(LEFT($AI59,3)="AM|",IF($C59="","",SUMPRODUCT($AP$5:$AP$302*($AN$5:$AN$302=$A59),$AR$5:$AR$302)),IF(LEFT($AI59,2)="S|",IF($AG59="","",INDEX($AR$5:$AR$302,$AH59)),IF($AI59="HDR","Sales TY",""))))))</f>
        <v/>
      </c>
      <c r="E59" s="40" t="str" cm="1">
        <f t="array" ref="E59">IF($AI59="","",IF(LEFT($AI59,2)="C|",IF($C59="","",SUMPRODUCT($AP$5:$AP$302*($AO$5:$AO$302=$A59),$AT$5:$AT$302)),IF($AI59="CT",E$13,IF(LEFT($AI59,3)="AM|",IF($C59="","",SUMPRODUCT($AP$5:$AP$302*($AN$5:$AN$302=$A59),$AT$5:$AT$302)),IF(LEFT($AI59,2)="S|",IF($AG59="","",INDEX($AT$5:$AT$302,$AH59)),IF($AI59="HDR","Sales LY",""))))))</f>
        <v/>
      </c>
      <c r="F59" s="41" t="str">
        <f t="shared" si="31"/>
        <v/>
      </c>
      <c r="G59" s="41" t="str">
        <f t="shared" si="32"/>
        <v/>
      </c>
      <c r="H59" s="40" t="str" cm="1">
        <f t="array" ref="H59">IF($AI59="","",IF(LEFT($AI59,2)="C|",IF($C59="","",SUMPRODUCT($AP$5:$AP$302*($AO$5:$AO$302=$A59),$AV$5:$AV$302)),IF($AI59="CT",H$13,IF(LEFT($AI59,3)="AM|",IF($C59="","",SUMPRODUCT($AP$5:$AP$302*($AN$5:$AN$302=$A59),$AV$5:$AV$302)),IF(LEFT($AI59,2)="S|",IF($AG59="","",INDEX($AV$5:$AV$302,$AH59)),IF($AI59="HDR","Target",""))))))</f>
        <v/>
      </c>
      <c r="I59" s="41" t="str">
        <f t="shared" si="33"/>
        <v/>
      </c>
      <c r="J59" s="40" t="str">
        <f t="shared" si="34"/>
        <v/>
      </c>
      <c r="K59" s="41" t="str">
        <f t="shared" si="35"/>
        <v/>
      </c>
      <c r="L59" s="40" t="str" cm="1">
        <f t="array" ref="L59">IF($AI59="","",IF(LEFT($AI59,2)="C|",IF($C59="","",SUMPRODUCT($AP$5:$AP$302*($AO$5:$AO$302=$A59),$BN$5:$BN$302)),IF($AI59="CT",L$13,IF(LEFT($AI59,3)="AM|",IF($C59="","",SUMPRODUCT($AP$5:$AP$302*($AN$5:$AN$302=$A59),$BN$5:$BN$302)),IF(LEFT($AI59,2)="S|",IF($AG59="","",INDEX($BN$5:$BN$302,$AH59)),IF($AI59="HDR","Month Target",""))))))</f>
        <v/>
      </c>
      <c r="M59" s="40" t="str" cm="1">
        <f t="array" ref="M59">IF($AI59="","",IF(LEFT($AI59,2)="C|",IF($C59="","",SUMPRODUCT($AP$5:$AP$302*($AO$5:$AO$302=$A59),$BO$5:$BO$302)),IF($AI59="CT",M$13,IF(LEFT($AI59,3)="AM|",IF($C59="","",SUMPRODUCT($AP$5:$AP$302*($AN$5:$AN$302=$A59),$BO$5:$BO$302)),IF(LEFT($AI59,2)="S|",IF($AG59="","",INDEX($BO$5:$BO$302,$AH59)),IF($AI59="HDR","Projected Close",""))))))</f>
        <v/>
      </c>
      <c r="N59" s="41" t="str">
        <f t="shared" si="43"/>
        <v/>
      </c>
      <c r="O59" s="41" t="str" cm="1">
        <f t="array" ref="O59">IF($AI59="HDR","Proj. vs LY",IF(OR($AI59="",M59=""),"",_xlfn.LET(_xlpm.ly,IF(LEFT($AI59,2)="C|",SUMPRODUCT($AP$5:$AP$302*($AO$5:$AO$302=$A59),$BK$5:$BK$302),IF($AI59="CT",SUMPRODUCT($AP$5:$AP$302,$BK$5:$BK$302),IF(LEFT($AI59,3)="AM|",SUMPRODUCT($AP$5:$AP$302*($AN$5:$AN$302=$A59),$BK$5:$BK$302),IF(LEFT($AI59,2)="S|",INDEX($BK$5:$BK$302,$AH59),0)))),IFERROR(M59/_xlpm.ly-1,""))))</f>
        <v/>
      </c>
      <c r="P59" s="40" t="str" cm="1">
        <f t="array" ref="P59">IF($AI59="","",IF(LEFT($AI59,2)="C|",IF($C59="","",SUMPRODUCT($AP$5:$AP$302*($AO$5:$AO$302=$A59),$AS$5:$AS$302)),IF($AI59="CT",P$13,IF(LEFT($AI59,3)="AM|",IF($C59="","",SUMPRODUCT($AP$5:$AP$302*($AN$5:$AN$302=$A59),$AS$5:$AS$302)),IF(LEFT($AI59,2)="S|",IF($AG59="","",INDEX($AS$5:$AS$302,$AH59)),IF($AI59="HDR","Trans TY",""))))))</f>
        <v/>
      </c>
      <c r="Q59" s="40" t="str" cm="1">
        <f t="array" ref="Q59">IF($AI59="","",IF(LEFT($AI59,2)="C|",IF($C59="","",SUMPRODUCT($AP$5:$AP$302*($AO$5:$AO$302=$A59),$AU$5:$AU$302)),IF($AI59="CT",Q$13,IF(LEFT($AI59,3)="AM|",IF($C59="","",SUMPRODUCT($AP$5:$AP$302*($AN$5:$AN$302=$A59),$AU$5:$AU$302)),IF(LEFT($AI59,2)="S|",IF($AG59="","",INDEX($AU$5:$AU$302,$AH59)),IF($AI59="HDR","Trans LY",""))))))</f>
        <v/>
      </c>
      <c r="R59" s="41" t="str">
        <f t="shared" si="36"/>
        <v/>
      </c>
      <c r="S59" s="41" t="str">
        <f t="shared" si="37"/>
        <v/>
      </c>
      <c r="T59" s="42" t="str">
        <f t="shared" si="38"/>
        <v/>
      </c>
      <c r="U59" s="42" t="str">
        <f t="shared" si="39"/>
        <v/>
      </c>
      <c r="V59" s="41" t="str">
        <f t="shared" si="40"/>
        <v/>
      </c>
      <c r="W59" s="40" t="str" cm="1">
        <f t="array" ref="W59">IF($AI59="","",IF(LEFT($AI59,2)="C|",_xlfn.LET(_xlpm.n,SUMPRODUCT($AP$5:$AP$302*($AO$5:$AO$302=$A59),$BB$5:$BB$302),IF(_xlpm.n=0,"",_xlpm.n)),IF($AI59="CT",W$13,IF(LEFT($AI59,3)="AM|",_xlfn.LET(_xlpm.n,SUMPRODUCT($AP$5:$AP$302*($AN$5:$AN$302=$A59),$BB$5:$BB$302),IF(_xlpm.n=0,"",_xlpm.n)),IF(LEFT($AI59,2)="S|",IF($AG59="","",_xlfn.LET(_xlpm.n,INDEX($BB$5:$BB$302,$AH59),IF(_xlpm.n=0,"",_xlpm.n))),IF($AI59="HDR","Footfall",""))))))</f>
        <v/>
      </c>
      <c r="X59" s="40" t="str" cm="1">
        <f t="array" ref="X59">IF($AI59="","",IF($AI59="HDR","Trans (FF stores)",IF(W59="","",IF(LEFT($AI59,2)="C|",SUMPRODUCT($AP$5:$AP$302*($AO$5:$AO$302=$A59),$BC$5:$BC$302),IF($AI59="CT",X$13,IF(LEFT($AI59,3)="AM|",SUMPRODUCT($AP$5:$AP$302*($AN$5:$AN$302=$A59),$BC$5:$BC$302),IF(LEFT($AI59,2)="S|",INDEX($BC$5:$BC$302,$AH59),"")))))))</f>
        <v/>
      </c>
      <c r="Y59" s="41" t="str">
        <f t="shared" si="44"/>
        <v/>
      </c>
      <c r="Z59" s="40" t="str" cm="1">
        <f t="array" ref="Z59">IF($AI59="","",IF(LEFT($AI59,2)="C|",IF($C59="","",SUMPRODUCT($AP$5:$AP$302*($AO$5:$AO$302=$A59),$CB$5:$CB$302)),IF($AI59="CT",Z$13,IF(LEFT($AI59,3)="AM|",IF($C59="","",SUMPRODUCT($AP$5:$AP$302*($AN$5:$AN$302=$A59),$CB$5:$CB$302)),IF(LEFT($AI59,2)="S|",IF($AG59="","",INDEX($CB$5:$CB$302,$AH59)),IF($AI59="HDR","Makeup Sales",""))))))</f>
        <v/>
      </c>
      <c r="AA59" s="41" t="str">
        <f t="shared" si="41"/>
        <v/>
      </c>
      <c r="AB59" s="40" t="str" cm="1">
        <f t="array" ref="AB59">IF($AI59="","",IF(LEFT($AI59,2)="C|",IF($C59="","",SUMPRODUCT($AP$5:$AP$302*($AO$5:$AO$302=$A59),$CK$5:$CK$302)),IF($AI59="CT",AB$13,IF(LEFT($AI59,3)="AM|",IF($C59="","",SUMPRODUCT($AP$5:$AP$302*($AN$5:$AN$302=$A59),$CK$5:$CK$302)),IF(LEFT($AI59,2)="S|",IF($AG59="","",INDEX($CK$5:$CK$302,$AH59)),IF($AI59="HDR","Makeup Target",""))))))</f>
        <v/>
      </c>
      <c r="AC59" s="41" t="str">
        <f t="shared" si="45"/>
        <v/>
      </c>
      <c r="AD59" s="40" t="str" cm="1">
        <f t="array" ref="AD59">IF($AI59="","",IF(LEFT($AI59,2)="C|",IF($C59="","",SUMPRODUCT($AP$5:$AP$302*($AO$5:$AO$302=$A59),$CI$5:$CI$302)),IF($AI59="CT",AD$13,IF(LEFT($AI59,3)="AM|",IF($C59="","",SUMPRODUCT($AP$5:$AP$302*($AN$5:$AN$302=$A59),$CI$5:$CI$302)),IF(LEFT($AI59,2)="S|",IF($AG59="","",INDEX($CI$5:$CI$302,$AH59)),IF($AI59="HDR","Cosmetic Sales",""))))))</f>
        <v/>
      </c>
      <c r="AE59" s="8" t="str" cm="1">
        <f t="array" ref="AE59">IF($AI59="","",IF(LEFT($AI59,2)="C|",IF($C59="","",SUMPRODUCT($AP$5:$AP$302*($AO$5:$AO$302=$A59)*$AQ$5:$AQ$302,$AR$5:$AR$302)),IF($AI59="CT",AE$13,IF(LEFT($AI59,3)="AM|",IF($C59="","",SUMPRODUCT($AP$5:$AP$302*($AN$5:$AN$302=$A59)*$AQ$5:$AQ$302,$AR$5:$AR$302)),IF(LEFT($AI59,2)="S|",IF($AG59="","",IF(INDEX($AQ$5:$AQ$302,$AH59)=1,D59,0)),IF($AI59="HDR","LFL Sales",""))))))</f>
        <v/>
      </c>
      <c r="AF59" s="8" t="str" cm="1">
        <f t="array" ref="AF59">IF($AI59="","",IF(LEFT($AI59,2)="C|",IF($C59="","",SUMPRODUCT($AP$5:$AP$302*($AO$5:$AO$302=$A59)*$AQ$5:$AQ$302,$AS$5:$AS$302)),IF($AI59="CT",AF$13,IF(LEFT($AI59,3)="AM|",IF($C59="","",SUMPRODUCT($AP$5:$AP$302*($AN$5:$AN$302=$A59)*$AQ$5:$AQ$302,$AS$5:$AS$302)),IF(LEFT($AI59,2)="S|",IF($AG59="","",IF(INDEX($AQ$5:$AQ$302,$AH59)=1,P59,0)),IF($AI59="HDR","LFL Trans",""))))))</f>
        <v/>
      </c>
      <c r="AG59" s="8" t="str" cm="1">
        <f t="array" ref="AG59">IF($AI59="","",IF(LEFT($AI59,2)="C|","",IF($AI59="CT","",IF(LEFT($AI59,3)="AM|","",IF(LEFT($AI59,2)="S|",IF($AH59="","",IF(INDEX($AP$5:$AP$302,$AH59)=1,1,"")),IF($AI59="HDR","Show",""))))))</f>
        <v/>
      </c>
      <c r="AH59" s="8" t="str">
        <f t="shared" si="42"/>
        <v/>
      </c>
      <c r="AI59" s="8"/>
      <c r="AN59" s="8" t="str" cm="1">
        <f t="array" ref="AN59">IF($AW59="","",_xlfn.LET(_xlpm.sa,IFERROR(TRIM(INDEX('Sales and count'!$D$4:$D$300,$BF59)&amp;""),""),_xlpm.ta,IFERROR(TRIM(INDEX('TY Sales Target'!$F$5:$F$300,$BG59)&amp;""),""),IF(AND(_xlpm.sa&lt;&gt;"",LEFT(_xlpm.sa,1)&lt;&gt;"#",_xlpm.sa&lt;&gt;"0"),_xlpm.sa,IF(AND(_xlpm.ta&lt;&gt;"",LEFT(_xlpm.ta,1)&lt;&gt;"#",_xlpm.ta&lt;&gt;"0"),_xlpm.ta,IF(ISNUMBER($BG59),"Unassigned","")))))</f>
        <v>Lina Al Ghathami</v>
      </c>
      <c r="AO59" s="8" t="str" cm="1">
        <f t="array" ref="AO59">IF($AW59="","",_xlfn.LET(_xlpm.sa,IFERROR(TRIM(INDEX('Sales and count'!$C$4:$C$300,$BF59)&amp;""),""),_xlpm.ta,IFERROR(TRIM(INDEX('TY Sales Target'!$D$5:$D$300,$BG59)&amp;""),""),IF(AND(_xlpm.sa&lt;&gt;"",LEFT(_xlpm.sa,1)&lt;&gt;"#",_xlpm.sa&lt;&gt;"0"),_xlpm.sa,IF(AND(_xlpm.ta&lt;&gt;"",LEFT(_xlpm.ta,1)&lt;&gt;"#",_xlpm.ta&lt;&gt;"0"),_xlpm.ta,""))))</f>
        <v>Riyadh</v>
      </c>
      <c r="AP59" s="8">
        <f t="shared" si="2"/>
        <v>0</v>
      </c>
      <c r="AQ59" s="8">
        <f t="shared" si="0"/>
        <v>1</v>
      </c>
      <c r="AR59" s="8" cm="1">
        <f t="array" ref="AR59">IF($BF59="",0,_xlfn.LET(_xlpm.d,IFERROR(--'Sales and count'!$G$2:$CC$2,0),SUMPRODUCT(('Sales and count'!$G$3:$CC$3="Total")*(_xlpm.d&gt;=$U$4)*(_xlpm.d&lt;=$U$5),INDEX('Sales and count'!$G$4:$CC$300,$BF59,0))))</f>
        <v>269003.87999999995</v>
      </c>
      <c r="AS59" s="8" cm="1">
        <f t="array" aca="1" ref="AS59" ca="1">IF($BF59="",0,_xlfn.LET(_xlpm.d,IFERROR(--'Sales and count'!$F$2:$CB$2,0),SUMPRODUCT(('Sales and count'!$G$3:$CC$3="Transactions")*(_xlpm.d&gt;=$U$4)*(_xlpm.d&lt;=$U$5),INDEX('Sales and count'!$G$4:$CC$300,$BF59,0))))</f>
        <v>1458</v>
      </c>
      <c r="AT59" s="8" cm="1">
        <f t="array" ref="AT59">IF($AW59="",0,SUMPRODUCT((TRIM('LY Sales '!$B$5:$B$200)=$AW59)*('LY Sales '!$C$2:$AG$2&gt;=EDATE($U$4,-12))*('LY Sales '!$C$2:$AG$2&lt;=EDATE($U$5,-12)),'LY Sales '!$C$5:$AG$200))</f>
        <v>460316.10999999993</v>
      </c>
      <c r="AU59" s="8" cm="1">
        <f t="array" ref="AU59">IF($AW59="",0,SUMPRODUCT((TRIM('LY Transaction'!$B$5:$B$200)=$AW59)*('LY Transaction'!$C$2:$AG$2&gt;=EDATE($U$4,-12))*('LY Transaction'!$C$2:$AG$2&lt;=EDATE($U$5,-12)),'LY Transaction'!$C$5:$AG$200))</f>
        <v>2349</v>
      </c>
      <c r="AV59" s="8" cm="1">
        <f t="array" ref="AV59">IF(NOT(ISNUMBER($BG59)),0,SUMPRODUCT(('TY Sales Target'!$K$2:$AO$2&gt;=$U$4)*('TY Sales Target'!$K$2:$AO$2&lt;=$U$5),INDEX('TY Sales Target'!$K$5:$AO$300,$BG59,0)))</f>
        <v>391515.40734256012</v>
      </c>
      <c r="AW59" s="8" t="str" cm="1">
        <f t="array" ref="AW59">IFERROR(INDEX(_xlfn.ANCHORARRAY($BR$5),ROWS($AW$5:AW59)),"")</f>
        <v>KFAHADRD</v>
      </c>
      <c r="BB59" cm="1">
        <f t="array" ref="BB59">IF($AW59="",0,SUMPRODUCT((TRIM(Footfall!$B$5:$B$301)=$AW59)*(Footfall!$C$1:$BZ$1&gt;=$U$4)*(Footfall!$C$2:$BZ$2&lt;=$U$5)*(Footfall!$C$1:$BZ$1&lt;&gt;""),Footfall!$C$5:$BZ$301))</f>
        <v>3282</v>
      </c>
      <c r="BC59" cm="1">
        <f t="array" aca="1" ref="BC59" ca="1">IF(OR($BB59&lt;=0,$BD$1="",$BF59=""),0,_xlfn.LET(_xlpm.d,IFERROR(--'Sales and count'!$F$2:$CB$2,0),SUMPRODUCT(('Sales and count'!$G$3:$CC$3="Transactions")*(_xlpm.d&gt;=$BD$1)*(_xlpm.d&lt;=$BD$2),INDEX('Sales and count'!$G$4:$CC$300,$BF59,0))))</f>
        <v>1458</v>
      </c>
      <c r="BF59" cm="1">
        <f t="array" ref="BF59">IF($AW59="","",IFERROR(MATCH($AW59,TRIM('Sales and count'!$A$4:$A$300&amp;""),0),""))</f>
        <v>55</v>
      </c>
      <c r="BG59" cm="1">
        <f t="array" ref="BG59">IF($AW59="","",IFERROR(MATCH(IFERROR(_xlfn.XLOOKUP($AW59,$BT$5:$BT$22,$BU$5:$BU$22),$AW59),TRIM('TY Sales Target'!$B$5:$B$300&amp;""),0),""))</f>
        <v>10</v>
      </c>
      <c r="BH59" t="str" cm="1">
        <f t="array" ref="BH59">IF(ISNUMBER($BG59),_xlfn.LET(_xlpm.p,TRIM(INDEX('TY Sales Target'!$I$5:$I$300,$BG59)&amp;""),IF(_xlpm.p="","Not set",_xlpm.p)),"Not set")</f>
        <v>Car</v>
      </c>
      <c r="BI59" cm="1">
        <f t="array" ref="BI59">IF($BF59="",0,_xlfn.LET(_xlpm.d,IFERROR(--'Sales and count'!$G$2:$CC$2,0),SUMPRODUCT(('Sales and count'!$G$3:$CC$3="Total")*(_xlpm.d&gt;=$BZ$5)*(_xlpm.d&lt;=$BZ$6),INDEX('Sales and count'!$G$4:$CC$300,$BF59,0))))</f>
        <v>269003.87999999995</v>
      </c>
      <c r="BJ59" cm="1">
        <f t="array" ref="BJ59">IF($AW59="",0,SUMPRODUCT((TRIM('LY Sales '!$B$5:$B$200)=$AW59)*('LY Sales '!$C$2:$AG$2&gt;=EDATE($BZ$5,-12))*('LY Sales '!$C$2:$AG$2&lt;=EDATE($BZ$6,-12)),'LY Sales '!$C$5:$AG$200))</f>
        <v>460316.10999999993</v>
      </c>
      <c r="BK59" cm="1">
        <f t="array" ref="BK59">IF($AW59="",0,SUMPRODUCT((TRIM('LY Sales '!$B$5:$B$200)=$AW59)*('LY Sales '!$C$2:$AG$2&gt;=EDATE($BZ$5,-12))*('LY Sales '!$C$2:$AG$2&lt;=EDATE($BZ$7,-12)),'LY Sales '!$C$5:$AG$200))</f>
        <v>558523.98999999987</v>
      </c>
      <c r="BL59" cm="1">
        <f t="array" ref="BL59">IF($AW59="",0,SUMPRODUCT((TRIM('LY Sales '!$B$5:$B$200)=$AW59)*('LY Sales '!$C$2:$AG$2&gt;=EDATE($BZ$5,-12))*('LY Sales '!$C$2:$AG$2&lt;=EDATE($BZ$6,-12))*('LY Sales '!$C$5:$AG$200&gt;0)))</f>
        <v>26</v>
      </c>
      <c r="BM59" cm="1">
        <f t="array" ref="BM59">IF(NOT(ISNUMBER($BG59)),0,SUMPRODUCT(('TY Sales Target'!$K$2:$AO$2&gt;=$BZ$5)*('TY Sales Target'!$K$2:$AO$2&lt;=$BZ$6),INDEX('TY Sales Target'!$K$5:$AO$300,$BG59,0)))</f>
        <v>391515.40734256012</v>
      </c>
      <c r="BN59" cm="1">
        <f t="array" ref="BN59">IF(NOT(ISNUMBER($BG59)),0,SUMPRODUCT(('TY Sales Target'!$K$2:$AO$2&gt;=$BZ$5)*('TY Sales Target'!$K$2:$AO$2&lt;=$BZ$7),INDEX('TY Sales Target'!$K$5:$AO$300,$BG59,0)))</f>
        <v>511000.00000000006</v>
      </c>
      <c r="BO59" cm="1">
        <f t="array" ref="BO59">IF($AW59="",0,IFERROR(_xlfn.SWITCH($BP59,"LY trend",$BI59*$BK59/$BJ59,"Target curve",$BI59*$BN59/$BM59,"Run rate",$BI59/$BZ$8*$BZ$9,0),0))</f>
        <v>326395.52933109633</v>
      </c>
      <c r="BP59" t="str">
        <f t="shared" si="1"/>
        <v>LY trend</v>
      </c>
      <c r="BR59" t="str">
        <v>KFAHADRD</v>
      </c>
      <c r="CB59" cm="1">
        <f t="array" ref="CB59">IF($AW59="",0,_xlfn.LET(_xlpm.k,IFERROR(_xlfn.XLOOKUP($AW59,$CD$6:$CD$21,$CE$6:$CE$21),$AW59),SUMPRODUCT((TRIM('Makeup '!$A$2:$A$300&amp;"")=_xlpm.k)*1,IFERROR('Makeup '!$F$2:$F$300*1,0))))</f>
        <v>14485.04</v>
      </c>
      <c r="CF59" t="str" cm="1">
        <f t="array" ref="CF59">IF($AW59="","",_xlfn.LET(_xlpm.c,IFERROR(TRIM(INDEX('Sales and count'!$B$4:$B$300,$BF59)&amp;""),""),IF(OR(_xlpm.c="",_xlpm.c="0",LEFT(_xlpm.c,1)="#"),"Not set",_xlpm.c)))</f>
        <v>KSA</v>
      </c>
      <c r="CH59" cm="1">
        <f t="array" ref="CH59">IF($AW59="",0,_xlfn.LET(_xlpm.k,IFERROR(_xlfn.XLOOKUP($AW59,$CD$6:$CD$21,$CE$6:$CE$21),$AW59),--(SUMPRODUCT((TRIM('Makeup '!$A$2:$A$300&amp;"")=_xlpm.k)*ISNUMBER('Makeup '!$F$2:$F$300))&gt;0)))</f>
        <v>1</v>
      </c>
      <c r="CI59">
        <f t="shared" si="4"/>
        <v>269003.87999999995</v>
      </c>
      <c r="CJ59" cm="1">
        <f t="array" ref="CJ59">IF($AW59="",0,--(SUMPRODUCT(--(TRIM(Footfall!$B$5:$B$301)=$AW59))&gt;0))</f>
        <v>1</v>
      </c>
      <c r="CK59" s="8" cm="1">
        <f t="array" ref="CK59">IF($AW59="",0,_xlfn.LET(_xlpm.r,IFERROR(MATCH(IFERROR(_xlfn.XLOOKUP($AW59,$BT$5:$BT$22,$BU$5:$BU$22),$AW59),TRIM('TY Beauty Target'!$B$5:$B$300&amp;""),0),""),IF(ISNUMBER(_xlpm.r),SUMPRODUCT(('TY Beauty Target'!$L$2:$AP$2&gt;=$U$4)*('TY Beauty Target'!$L$2:$AP$2&lt;=$U$5),INDEX('TY Beauty Target'!$L$5:$AP$300,_xlpm.r,0)),0)))</f>
        <v>17845.471032922458</v>
      </c>
    </row>
    <row r="60" spans="1:89" ht="15" customHeight="1" x14ac:dyDescent="0.25">
      <c r="A60" s="38" t="str">
        <f t="shared" si="30"/>
        <v/>
      </c>
      <c r="B60" s="43" t="str" cm="1">
        <f t="array" ref="B60">IF($AI60="","",IF(LEFT($AI60,2)="C|",IF($C60="","",_xlfn.TEXTJOIN(", ",TRUE,_xlfn.UNIQUE(_xlfn._xlws.FILTER($AN$5:$AN$302,($AP$5:$AP$302=1)*($AO$5:$AO$302=$A60))))),IF($AI60="CT",B$13,IF(LEFT($AI60,3)="AM|",IF($C60="","",ROWS(_xlfn.UNIQUE(_xlfn._xlws.FILTER($AO$5:$AO$302,($AP$5:$AP$302=1)*($AN$5:$AN$302=$A60))))),IF(LEFT($AI60,2)="S|",IF($AG60="","",INDEX($AO$5:$AO$302,$AH60)),IF($AI60="HDR","City",""))))))</f>
        <v/>
      </c>
      <c r="C60" s="39" t="str" cm="1">
        <f t="array" ref="C60">IF($AI60="","",IF(LEFT($AI60,2)="C|",_xlfn.LET(_xlpm.n,SUMPRODUCT($AP$5:$AP$302*($AO$5:$AO$302=$A60)),IF(_xlpm.n=0,"",_xlpm.n)),IF($AI60="CT",C$13,IF(LEFT($AI60,3)="AM|",_xlfn.LET(_xlpm.n,SUMPRODUCT($AP$5:$AP$302*($AN$5:$AN$302=$A60)),IF(_xlpm.n=0,"",_xlpm.n)),IF(LEFT($AI60,2)="S|","",IF($AI60="HDR","# Stores",""))))))</f>
        <v/>
      </c>
      <c r="D60" s="40" t="str" cm="1">
        <f t="array" ref="D60">IF($AI60="","",IF(LEFT($AI60,2)="C|",IF($C60="","",SUMPRODUCT($AP$5:$AP$302*($AO$5:$AO$302=$A60),$AR$5:$AR$302)),IF($AI60="CT",D$13,IF(LEFT($AI60,3)="AM|",IF($C60="","",SUMPRODUCT($AP$5:$AP$302*($AN$5:$AN$302=$A60),$AR$5:$AR$302)),IF(LEFT($AI60,2)="S|",IF($AG60="","",INDEX($AR$5:$AR$302,$AH60)),IF($AI60="HDR","Sales TY",""))))))</f>
        <v/>
      </c>
      <c r="E60" s="40" t="str" cm="1">
        <f t="array" ref="E60">IF($AI60="","",IF(LEFT($AI60,2)="C|",IF($C60="","",SUMPRODUCT($AP$5:$AP$302*($AO$5:$AO$302=$A60),$AT$5:$AT$302)),IF($AI60="CT",E$13,IF(LEFT($AI60,3)="AM|",IF($C60="","",SUMPRODUCT($AP$5:$AP$302*($AN$5:$AN$302=$A60),$AT$5:$AT$302)),IF(LEFT($AI60,2)="S|",IF($AG60="","",INDEX($AT$5:$AT$302,$AH60)),IF($AI60="HDR","Sales LY",""))))))</f>
        <v/>
      </c>
      <c r="F60" s="41" t="str">
        <f t="shared" si="31"/>
        <v/>
      </c>
      <c r="G60" s="41" t="str">
        <f t="shared" si="32"/>
        <v/>
      </c>
      <c r="H60" s="40" t="str" cm="1">
        <f t="array" ref="H60">IF($AI60="","",IF(LEFT($AI60,2)="C|",IF($C60="","",SUMPRODUCT($AP$5:$AP$302*($AO$5:$AO$302=$A60),$AV$5:$AV$302)),IF($AI60="CT",H$13,IF(LEFT($AI60,3)="AM|",IF($C60="","",SUMPRODUCT($AP$5:$AP$302*($AN$5:$AN$302=$A60),$AV$5:$AV$302)),IF(LEFT($AI60,2)="S|",IF($AG60="","",INDEX($AV$5:$AV$302,$AH60)),IF($AI60="HDR","Target",""))))))</f>
        <v/>
      </c>
      <c r="I60" s="41" t="str">
        <f t="shared" si="33"/>
        <v/>
      </c>
      <c r="J60" s="40" t="str">
        <f t="shared" si="34"/>
        <v/>
      </c>
      <c r="K60" s="41" t="str">
        <f t="shared" si="35"/>
        <v/>
      </c>
      <c r="L60" s="40" t="str" cm="1">
        <f t="array" ref="L60">IF($AI60="","",IF(LEFT($AI60,2)="C|",IF($C60="","",SUMPRODUCT($AP$5:$AP$302*($AO$5:$AO$302=$A60),$BN$5:$BN$302)),IF($AI60="CT",L$13,IF(LEFT($AI60,3)="AM|",IF($C60="","",SUMPRODUCT($AP$5:$AP$302*($AN$5:$AN$302=$A60),$BN$5:$BN$302)),IF(LEFT($AI60,2)="S|",IF($AG60="","",INDEX($BN$5:$BN$302,$AH60)),IF($AI60="HDR","Month Target",""))))))</f>
        <v/>
      </c>
      <c r="M60" s="40" t="str" cm="1">
        <f t="array" ref="M60">IF($AI60="","",IF(LEFT($AI60,2)="C|",IF($C60="","",SUMPRODUCT($AP$5:$AP$302*($AO$5:$AO$302=$A60),$BO$5:$BO$302)),IF($AI60="CT",M$13,IF(LEFT($AI60,3)="AM|",IF($C60="","",SUMPRODUCT($AP$5:$AP$302*($AN$5:$AN$302=$A60),$BO$5:$BO$302)),IF(LEFT($AI60,2)="S|",IF($AG60="","",INDEX($BO$5:$BO$302,$AH60)),IF($AI60="HDR","Projected Close",""))))))</f>
        <v/>
      </c>
      <c r="N60" s="41" t="str">
        <f t="shared" si="43"/>
        <v/>
      </c>
      <c r="O60" s="41" t="str" cm="1">
        <f t="array" ref="O60">IF($AI60="HDR","Proj. vs LY",IF(OR($AI60="",M60=""),"",_xlfn.LET(_xlpm.ly,IF(LEFT($AI60,2)="C|",SUMPRODUCT($AP$5:$AP$302*($AO$5:$AO$302=$A60),$BK$5:$BK$302),IF($AI60="CT",SUMPRODUCT($AP$5:$AP$302,$BK$5:$BK$302),IF(LEFT($AI60,3)="AM|",SUMPRODUCT($AP$5:$AP$302*($AN$5:$AN$302=$A60),$BK$5:$BK$302),IF(LEFT($AI60,2)="S|",INDEX($BK$5:$BK$302,$AH60),0)))),IFERROR(M60/_xlpm.ly-1,""))))</f>
        <v/>
      </c>
      <c r="P60" s="40" t="str" cm="1">
        <f t="array" ref="P60">IF($AI60="","",IF(LEFT($AI60,2)="C|",IF($C60="","",SUMPRODUCT($AP$5:$AP$302*($AO$5:$AO$302=$A60),$AS$5:$AS$302)),IF($AI60="CT",P$13,IF(LEFT($AI60,3)="AM|",IF($C60="","",SUMPRODUCT($AP$5:$AP$302*($AN$5:$AN$302=$A60),$AS$5:$AS$302)),IF(LEFT($AI60,2)="S|",IF($AG60="","",INDEX($AS$5:$AS$302,$AH60)),IF($AI60="HDR","Trans TY",""))))))</f>
        <v/>
      </c>
      <c r="Q60" s="40" t="str" cm="1">
        <f t="array" ref="Q60">IF($AI60="","",IF(LEFT($AI60,2)="C|",IF($C60="","",SUMPRODUCT($AP$5:$AP$302*($AO$5:$AO$302=$A60),$AU$5:$AU$302)),IF($AI60="CT",Q$13,IF(LEFT($AI60,3)="AM|",IF($C60="","",SUMPRODUCT($AP$5:$AP$302*($AN$5:$AN$302=$A60),$AU$5:$AU$302)),IF(LEFT($AI60,2)="S|",IF($AG60="","",INDEX($AU$5:$AU$302,$AH60)),IF($AI60="HDR","Trans LY",""))))))</f>
        <v/>
      </c>
      <c r="R60" s="41" t="str">
        <f t="shared" si="36"/>
        <v/>
      </c>
      <c r="S60" s="41" t="str">
        <f t="shared" si="37"/>
        <v/>
      </c>
      <c r="T60" s="42" t="str">
        <f t="shared" si="38"/>
        <v/>
      </c>
      <c r="U60" s="42" t="str">
        <f t="shared" si="39"/>
        <v/>
      </c>
      <c r="V60" s="41" t="str">
        <f t="shared" si="40"/>
        <v/>
      </c>
      <c r="W60" s="40" t="str" cm="1">
        <f t="array" ref="W60">IF($AI60="","",IF(LEFT($AI60,2)="C|",_xlfn.LET(_xlpm.n,SUMPRODUCT($AP$5:$AP$302*($AO$5:$AO$302=$A60),$BB$5:$BB$302),IF(_xlpm.n=0,"",_xlpm.n)),IF($AI60="CT",W$13,IF(LEFT($AI60,3)="AM|",_xlfn.LET(_xlpm.n,SUMPRODUCT($AP$5:$AP$302*($AN$5:$AN$302=$A60),$BB$5:$BB$302),IF(_xlpm.n=0,"",_xlpm.n)),IF(LEFT($AI60,2)="S|",IF($AG60="","",_xlfn.LET(_xlpm.n,INDEX($BB$5:$BB$302,$AH60),IF(_xlpm.n=0,"",_xlpm.n))),IF($AI60="HDR","Footfall",""))))))</f>
        <v/>
      </c>
      <c r="X60" s="40" t="str" cm="1">
        <f t="array" ref="X60">IF($AI60="","",IF($AI60="HDR","Trans (FF stores)",IF(W60="","",IF(LEFT($AI60,2)="C|",SUMPRODUCT($AP$5:$AP$302*($AO$5:$AO$302=$A60),$BC$5:$BC$302),IF($AI60="CT",X$13,IF(LEFT($AI60,3)="AM|",SUMPRODUCT($AP$5:$AP$302*($AN$5:$AN$302=$A60),$BC$5:$BC$302),IF(LEFT($AI60,2)="S|",INDEX($BC$5:$BC$302,$AH60),"")))))))</f>
        <v/>
      </c>
      <c r="Y60" s="41" t="str">
        <f t="shared" si="44"/>
        <v/>
      </c>
      <c r="Z60" s="40" t="str" cm="1">
        <f t="array" ref="Z60">IF($AI60="","",IF(LEFT($AI60,2)="C|",IF($C60="","",SUMPRODUCT($AP$5:$AP$302*($AO$5:$AO$302=$A60),$CB$5:$CB$302)),IF($AI60="CT",Z$13,IF(LEFT($AI60,3)="AM|",IF($C60="","",SUMPRODUCT($AP$5:$AP$302*($AN$5:$AN$302=$A60),$CB$5:$CB$302)),IF(LEFT($AI60,2)="S|",IF($AG60="","",INDEX($CB$5:$CB$302,$AH60)),IF($AI60="HDR","Makeup Sales",""))))))</f>
        <v/>
      </c>
      <c r="AA60" s="41" t="str">
        <f t="shared" si="41"/>
        <v/>
      </c>
      <c r="AB60" s="40" t="str" cm="1">
        <f t="array" ref="AB60">IF($AI60="","",IF(LEFT($AI60,2)="C|",IF($C60="","",SUMPRODUCT($AP$5:$AP$302*($AO$5:$AO$302=$A60),$CK$5:$CK$302)),IF($AI60="CT",AB$13,IF(LEFT($AI60,3)="AM|",IF($C60="","",SUMPRODUCT($AP$5:$AP$302*($AN$5:$AN$302=$A60),$CK$5:$CK$302)),IF(LEFT($AI60,2)="S|",IF($AG60="","",INDEX($CK$5:$CK$302,$AH60)),IF($AI60="HDR","Makeup Target",""))))))</f>
        <v/>
      </c>
      <c r="AC60" s="41" t="str">
        <f t="shared" si="45"/>
        <v/>
      </c>
      <c r="AD60" s="40" t="str" cm="1">
        <f t="array" ref="AD60">IF($AI60="","",IF(LEFT($AI60,2)="C|",IF($C60="","",SUMPRODUCT($AP$5:$AP$302*($AO$5:$AO$302=$A60),$CI$5:$CI$302)),IF($AI60="CT",AD$13,IF(LEFT($AI60,3)="AM|",IF($C60="","",SUMPRODUCT($AP$5:$AP$302*($AN$5:$AN$302=$A60),$CI$5:$CI$302)),IF(LEFT($AI60,2)="S|",IF($AG60="","",INDEX($CI$5:$CI$302,$AH60)),IF($AI60="HDR","Cosmetic Sales",""))))))</f>
        <v/>
      </c>
      <c r="AE60" s="8" t="str" cm="1">
        <f t="array" ref="AE60">IF($AI60="","",IF(LEFT($AI60,2)="C|",IF($C60="","",SUMPRODUCT($AP$5:$AP$302*($AO$5:$AO$302=$A60)*$AQ$5:$AQ$302,$AR$5:$AR$302)),IF($AI60="CT",AE$13,IF(LEFT($AI60,3)="AM|",IF($C60="","",SUMPRODUCT($AP$5:$AP$302*($AN$5:$AN$302=$A60)*$AQ$5:$AQ$302,$AR$5:$AR$302)),IF(LEFT($AI60,2)="S|",IF($AG60="","",IF(INDEX($AQ$5:$AQ$302,$AH60)=1,D60,0)),IF($AI60="HDR","LFL Sales",""))))))</f>
        <v/>
      </c>
      <c r="AF60" s="8" t="str" cm="1">
        <f t="array" ref="AF60">IF($AI60="","",IF(LEFT($AI60,2)="C|",IF($C60="","",SUMPRODUCT($AP$5:$AP$302*($AO$5:$AO$302=$A60)*$AQ$5:$AQ$302,$AS$5:$AS$302)),IF($AI60="CT",AF$13,IF(LEFT($AI60,3)="AM|",IF($C60="","",SUMPRODUCT($AP$5:$AP$302*($AN$5:$AN$302=$A60)*$AQ$5:$AQ$302,$AS$5:$AS$302)),IF(LEFT($AI60,2)="S|",IF($AG60="","",IF(INDEX($AQ$5:$AQ$302,$AH60)=1,P60,0)),IF($AI60="HDR","LFL Trans",""))))))</f>
        <v/>
      </c>
      <c r="AG60" s="8" t="str" cm="1">
        <f t="array" ref="AG60">IF($AI60="","",IF(LEFT($AI60,2)="C|","",IF($AI60="CT","",IF(LEFT($AI60,3)="AM|","",IF(LEFT($AI60,2)="S|",IF($AH60="","",IF(INDEX($AP$5:$AP$302,$AH60)=1,1,"")),IF($AI60="HDR","Show",""))))))</f>
        <v/>
      </c>
      <c r="AH60" s="8" t="str">
        <f t="shared" si="42"/>
        <v/>
      </c>
      <c r="AI60" s="8"/>
      <c r="AN60" s="8" t="str" cm="1">
        <f t="array" ref="AN60">IF($AW60="","",_xlfn.LET(_xlpm.sa,IFERROR(TRIM(INDEX('Sales and count'!$D$4:$D$300,$BF60)&amp;""),""),_xlpm.ta,IFERROR(TRIM(INDEX('TY Sales Target'!$F$5:$F$300,$BG60)&amp;""),""),IF(AND(_xlpm.sa&lt;&gt;"",LEFT(_xlpm.sa,1)&lt;&gt;"#",_xlpm.sa&lt;&gt;"0"),_xlpm.sa,IF(AND(_xlpm.ta&lt;&gt;"",LEFT(_xlpm.ta,1)&lt;&gt;"#",_xlpm.ta&lt;&gt;"0"),_xlpm.ta,IF(ISNUMBER($BG60),"Unassigned","")))))</f>
        <v>Mohammed Sanad</v>
      </c>
      <c r="AO60" s="8" t="str" cm="1">
        <f t="array" ref="AO60">IF($AW60="","",_xlfn.LET(_xlpm.sa,IFERROR(TRIM(INDEX('Sales and count'!$C$4:$C$300,$BF60)&amp;""),""),_xlpm.ta,IFERROR(TRIM(INDEX('TY Sales Target'!$D$5:$D$300,$BG60)&amp;""),""),IF(AND(_xlpm.sa&lt;&gt;"",LEFT(_xlpm.sa,1)&lt;&gt;"#",_xlpm.sa&lt;&gt;"0"),_xlpm.sa,IF(AND(_xlpm.ta&lt;&gt;"",LEFT(_xlpm.ta,1)&lt;&gt;"#",_xlpm.ta&lt;&gt;"0"),_xlpm.ta,""))))</f>
        <v>Hail</v>
      </c>
      <c r="AP60" s="8">
        <f t="shared" si="2"/>
        <v>0</v>
      </c>
      <c r="AQ60" s="8">
        <f t="shared" si="0"/>
        <v>1</v>
      </c>
      <c r="AR60" s="8" cm="1">
        <f t="array" ref="AR60">IF($BF60="",0,_xlfn.LET(_xlpm.d,IFERROR(--'Sales and count'!$G$2:$CC$2,0),SUMPRODUCT(('Sales and count'!$G$3:$CC$3="Total")*(_xlpm.d&gt;=$U$4)*(_xlpm.d&lt;=$U$5),INDEX('Sales and count'!$G$4:$CC$300,$BF60,0))))</f>
        <v>100224.83</v>
      </c>
      <c r="AS60" s="8" cm="1">
        <f t="array" aca="1" ref="AS60" ca="1">IF($BF60="",0,_xlfn.LET(_xlpm.d,IFERROR(--'Sales and count'!$F$2:$CB$2,0),SUMPRODUCT(('Sales and count'!$G$3:$CC$3="Transactions")*(_xlpm.d&gt;=$U$4)*(_xlpm.d&lt;=$U$5),INDEX('Sales and count'!$G$4:$CC$300,$BF60,0))))</f>
        <v>661</v>
      </c>
      <c r="AT60" s="8" cm="1">
        <f t="array" ref="AT60">IF($AW60="",0,SUMPRODUCT((TRIM('LY Sales '!$B$5:$B$200)=$AW60)*('LY Sales '!$C$2:$AG$2&gt;=EDATE($U$4,-12))*('LY Sales '!$C$2:$AG$2&lt;=EDATE($U$5,-12)),'LY Sales '!$C$5:$AG$200))</f>
        <v>193270.75999999998</v>
      </c>
      <c r="AU60" s="8" cm="1">
        <f t="array" ref="AU60">IF($AW60="",0,SUMPRODUCT((TRIM('LY Transaction'!$B$5:$B$200)=$AW60)*('LY Transaction'!$C$2:$AG$2&gt;=EDATE($U$4,-12))*('LY Transaction'!$C$2:$AG$2&lt;=EDATE($U$5,-12)),'LY Transaction'!$C$5:$AG$200))</f>
        <v>1440</v>
      </c>
      <c r="AV60" s="8" cm="1">
        <f t="array" ref="AV60">IF(NOT(ISNUMBER($BG60)),0,SUMPRODUCT(('TY Sales Target'!$K$2:$AO$2&gt;=$U$4)*('TY Sales Target'!$K$2:$AO$2&lt;=$U$5),INDEX('TY Sales Target'!$K$5:$AO$300,$BG60,0)))</f>
        <v>144040.89350372078</v>
      </c>
      <c r="AW60" s="8" t="str" cm="1">
        <f t="array" ref="AW60">IFERROR(INDEX(_xlfn.ANCHORARRAY($BR$5),ROWS($AW$5:AW60)),"")</f>
        <v>HAHAILZONE</v>
      </c>
      <c r="BB60" cm="1">
        <f t="array" ref="BB60">IF($AW60="",0,SUMPRODUCT((TRIM(Footfall!$B$5:$B$301)=$AW60)*(Footfall!$C$1:$BZ$1&gt;=$U$4)*(Footfall!$C$2:$BZ$2&lt;=$U$5)*(Footfall!$C$1:$BZ$1&lt;&gt;""),Footfall!$C$5:$BZ$301))</f>
        <v>5668</v>
      </c>
      <c r="BC60" cm="1">
        <f t="array" aca="1" ref="BC60" ca="1">IF(OR($BB60&lt;=0,$BD$1="",$BF60=""),0,_xlfn.LET(_xlpm.d,IFERROR(--'Sales and count'!$F$2:$CB$2,0),SUMPRODUCT(('Sales and count'!$G$3:$CC$3="Transactions")*(_xlpm.d&gt;=$BD$1)*(_xlpm.d&lt;=$BD$2),INDEX('Sales and count'!$G$4:$CC$300,$BF60,0))))</f>
        <v>661</v>
      </c>
      <c r="BF60" cm="1">
        <f t="array" ref="BF60">IF($AW60="","",IFERROR(MATCH($AW60,TRIM('Sales and count'!$A$4:$A$300&amp;""),0),""))</f>
        <v>56</v>
      </c>
      <c r="BG60" cm="1">
        <f t="array" ref="BG60">IF($AW60="","",IFERROR(MATCH(IFERROR(_xlfn.XLOOKUP($AW60,$BT$5:$BT$22,$BU$5:$BU$22),$AW60),TRIM('TY Sales Target'!$B$5:$B$300&amp;""),0),""))</f>
        <v>74</v>
      </c>
      <c r="BH60" t="str" cm="1">
        <f t="array" ref="BH60">IF(ISNUMBER($BG60),_xlfn.LET(_xlpm.p,TRIM(INDEX('TY Sales Target'!$I$5:$I$300,$BG60)&amp;""),IF(_xlpm.p="","Not set",_xlpm.p)),"Not set")</f>
        <v>I Pad</v>
      </c>
      <c r="BI60" cm="1">
        <f t="array" ref="BI60">IF($BF60="",0,_xlfn.LET(_xlpm.d,IFERROR(--'Sales and count'!$G$2:$CC$2,0),SUMPRODUCT(('Sales and count'!$G$3:$CC$3="Total")*(_xlpm.d&gt;=$BZ$5)*(_xlpm.d&lt;=$BZ$6),INDEX('Sales and count'!$G$4:$CC$300,$BF60,0))))</f>
        <v>100224.83</v>
      </c>
      <c r="BJ60" cm="1">
        <f t="array" ref="BJ60">IF($AW60="",0,SUMPRODUCT((TRIM('LY Sales '!$B$5:$B$200)=$AW60)*('LY Sales '!$C$2:$AG$2&gt;=EDATE($BZ$5,-12))*('LY Sales '!$C$2:$AG$2&lt;=EDATE($BZ$6,-12)),'LY Sales '!$C$5:$AG$200))</f>
        <v>193270.75999999998</v>
      </c>
      <c r="BK60" cm="1">
        <f t="array" ref="BK60">IF($AW60="",0,SUMPRODUCT((TRIM('LY Sales '!$B$5:$B$200)=$AW60)*('LY Sales '!$C$2:$AG$2&gt;=EDATE($BZ$5,-12))*('LY Sales '!$C$2:$AG$2&lt;=EDATE($BZ$7,-12)),'LY Sales '!$C$5:$AG$200))</f>
        <v>244150.46999999997</v>
      </c>
      <c r="BL60" cm="1">
        <f t="array" ref="BL60">IF($AW60="",0,SUMPRODUCT((TRIM('LY Sales '!$B$5:$B$200)=$AW60)*('LY Sales '!$C$2:$AG$2&gt;=EDATE($BZ$5,-12))*('LY Sales '!$C$2:$AG$2&lt;=EDATE($BZ$6,-12))*('LY Sales '!$C$5:$AG$200&gt;0)))</f>
        <v>26</v>
      </c>
      <c r="BM60" cm="1">
        <f t="array" ref="BM60">IF(NOT(ISNUMBER($BG60)),0,SUMPRODUCT(('TY Sales Target'!$K$2:$AO$2&gt;=$BZ$5)*('TY Sales Target'!$K$2:$AO$2&lt;=$BZ$6),INDEX('TY Sales Target'!$K$5:$AO$300,$BG60,0)))</f>
        <v>144040.89350372078</v>
      </c>
      <c r="BN60" cm="1">
        <f t="array" ref="BN60">IF(NOT(ISNUMBER($BG60)),0,SUMPRODUCT(('TY Sales Target'!$K$2:$AO$2&gt;=$BZ$5)*('TY Sales Target'!$K$2:$AO$2&lt;=$BZ$7),INDEX('TY Sales Target'!$K$5:$AO$300,$BG60,0)))</f>
        <v>188000.00000000009</v>
      </c>
      <c r="BO60" cm="1">
        <f t="array" ref="BO60">IF($AW60="",0,IFERROR(_xlfn.SWITCH($BP60,"LY trend",$BI60*$BK60/$BJ60,"Target curve",$BI60*$BN60/$BM60,"Run rate",$BI60/$BZ$8*$BZ$9,0),0))</f>
        <v>126609.62967274564</v>
      </c>
      <c r="BP60" t="str">
        <f t="shared" si="1"/>
        <v>LY trend</v>
      </c>
      <c r="BR60" t="str">
        <v>HAHAILZONE</v>
      </c>
      <c r="CB60" cm="1">
        <f t="array" ref="CB60">IF($AW60="",0,_xlfn.LET(_xlpm.k,IFERROR(_xlfn.XLOOKUP($AW60,$CD$6:$CD$21,$CE$6:$CE$21),$AW60),SUMPRODUCT((TRIM('Makeup '!$A$2:$A$300&amp;"")=_xlpm.k)*1,IFERROR('Makeup '!$F$2:$F$300*1,0))))</f>
        <v>8575.15</v>
      </c>
      <c r="CF60" t="str" cm="1">
        <f t="array" ref="CF60">IF($AW60="","",_xlfn.LET(_xlpm.c,IFERROR(TRIM(INDEX('Sales and count'!$B$4:$B$300,$BF60)&amp;""),""),IF(OR(_xlpm.c="",_xlpm.c="0",LEFT(_xlpm.c,1)="#"),"Not set",_xlpm.c)))</f>
        <v>KSA</v>
      </c>
      <c r="CH60" cm="1">
        <f t="array" ref="CH60">IF($AW60="",0,_xlfn.LET(_xlpm.k,IFERROR(_xlfn.XLOOKUP($AW60,$CD$6:$CD$21,$CE$6:$CE$21),$AW60),--(SUMPRODUCT((TRIM('Makeup '!$A$2:$A$300&amp;"")=_xlpm.k)*ISNUMBER('Makeup '!$F$2:$F$300))&gt;0)))</f>
        <v>1</v>
      </c>
      <c r="CI60">
        <f t="shared" si="4"/>
        <v>100224.83</v>
      </c>
      <c r="CJ60" cm="1">
        <f t="array" ref="CJ60">IF($AW60="",0,--(SUMPRODUCT(--(TRIM(Footfall!$B$5:$B$301)=$AW60))&gt;0))</f>
        <v>1</v>
      </c>
      <c r="CK60" s="8" cm="1">
        <f t="array" ref="CK60">IF($AW60="",0,_xlfn.LET(_xlpm.r,IFERROR(MATCH(IFERROR(_xlfn.XLOOKUP($AW60,$BT$5:$BT$22,$BU$5:$BU$22),$AW60),TRIM('TY Beauty Target'!$B$5:$B$300&amp;""),0),""),IF(ISNUMBER(_xlpm.r),SUMPRODUCT(('TY Beauty Target'!$L$2:$AP$2&gt;=$U$4)*('TY Beauty Target'!$L$2:$AP$2&lt;=$U$5),INDEX('TY Beauty Target'!$L$5:$AP$300,_xlpm.r,0)),0)))</f>
        <v>13037.659810707393</v>
      </c>
    </row>
    <row r="61" spans="1:89" ht="15" customHeight="1" x14ac:dyDescent="0.25">
      <c r="A61" s="38" t="str">
        <f t="shared" si="30"/>
        <v/>
      </c>
      <c r="B61" s="43" t="str" cm="1">
        <f t="array" ref="B61">IF($AI61="","",IF(LEFT($AI61,2)="C|",IF($C61="","",_xlfn.TEXTJOIN(", ",TRUE,_xlfn.UNIQUE(_xlfn._xlws.FILTER($AN$5:$AN$302,($AP$5:$AP$302=1)*($AO$5:$AO$302=$A61))))),IF($AI61="CT",B$13,IF(LEFT($AI61,3)="AM|",IF($C61="","",ROWS(_xlfn.UNIQUE(_xlfn._xlws.FILTER($AO$5:$AO$302,($AP$5:$AP$302=1)*($AN$5:$AN$302=$A61))))),IF(LEFT($AI61,2)="S|",IF($AG61="","",INDEX($AO$5:$AO$302,$AH61)),IF($AI61="HDR","City",""))))))</f>
        <v/>
      </c>
      <c r="C61" s="39" t="str" cm="1">
        <f t="array" ref="C61">IF($AI61="","",IF(LEFT($AI61,2)="C|",_xlfn.LET(_xlpm.n,SUMPRODUCT($AP$5:$AP$302*($AO$5:$AO$302=$A61)),IF(_xlpm.n=0,"",_xlpm.n)),IF($AI61="CT",C$13,IF(LEFT($AI61,3)="AM|",_xlfn.LET(_xlpm.n,SUMPRODUCT($AP$5:$AP$302*($AN$5:$AN$302=$A61)),IF(_xlpm.n=0,"",_xlpm.n)),IF(LEFT($AI61,2)="S|","",IF($AI61="HDR","# Stores",""))))))</f>
        <v/>
      </c>
      <c r="D61" s="40" t="str" cm="1">
        <f t="array" ref="D61">IF($AI61="","",IF(LEFT($AI61,2)="C|",IF($C61="","",SUMPRODUCT($AP$5:$AP$302*($AO$5:$AO$302=$A61),$AR$5:$AR$302)),IF($AI61="CT",D$13,IF(LEFT($AI61,3)="AM|",IF($C61="","",SUMPRODUCT($AP$5:$AP$302*($AN$5:$AN$302=$A61),$AR$5:$AR$302)),IF(LEFT($AI61,2)="S|",IF($AG61="","",INDEX($AR$5:$AR$302,$AH61)),IF($AI61="HDR","Sales TY",""))))))</f>
        <v/>
      </c>
      <c r="E61" s="40" t="str" cm="1">
        <f t="array" ref="E61">IF($AI61="","",IF(LEFT($AI61,2)="C|",IF($C61="","",SUMPRODUCT($AP$5:$AP$302*($AO$5:$AO$302=$A61),$AT$5:$AT$302)),IF($AI61="CT",E$13,IF(LEFT($AI61,3)="AM|",IF($C61="","",SUMPRODUCT($AP$5:$AP$302*($AN$5:$AN$302=$A61),$AT$5:$AT$302)),IF(LEFT($AI61,2)="S|",IF($AG61="","",INDEX($AT$5:$AT$302,$AH61)),IF($AI61="HDR","Sales LY",""))))))</f>
        <v/>
      </c>
      <c r="F61" s="41" t="str">
        <f t="shared" si="31"/>
        <v/>
      </c>
      <c r="G61" s="41" t="str">
        <f t="shared" si="32"/>
        <v/>
      </c>
      <c r="H61" s="40" t="str" cm="1">
        <f t="array" ref="H61">IF($AI61="","",IF(LEFT($AI61,2)="C|",IF($C61="","",SUMPRODUCT($AP$5:$AP$302*($AO$5:$AO$302=$A61),$AV$5:$AV$302)),IF($AI61="CT",H$13,IF(LEFT($AI61,3)="AM|",IF($C61="","",SUMPRODUCT($AP$5:$AP$302*($AN$5:$AN$302=$A61),$AV$5:$AV$302)),IF(LEFT($AI61,2)="S|",IF($AG61="","",INDEX($AV$5:$AV$302,$AH61)),IF($AI61="HDR","Target",""))))))</f>
        <v/>
      </c>
      <c r="I61" s="41" t="str">
        <f t="shared" si="33"/>
        <v/>
      </c>
      <c r="J61" s="40" t="str">
        <f t="shared" si="34"/>
        <v/>
      </c>
      <c r="K61" s="41" t="str">
        <f t="shared" si="35"/>
        <v/>
      </c>
      <c r="L61" s="40" t="str" cm="1">
        <f t="array" ref="L61">IF($AI61="","",IF(LEFT($AI61,2)="C|",IF($C61="","",SUMPRODUCT($AP$5:$AP$302*($AO$5:$AO$302=$A61),$BN$5:$BN$302)),IF($AI61="CT",L$13,IF(LEFT($AI61,3)="AM|",IF($C61="","",SUMPRODUCT($AP$5:$AP$302*($AN$5:$AN$302=$A61),$BN$5:$BN$302)),IF(LEFT($AI61,2)="S|",IF($AG61="","",INDEX($BN$5:$BN$302,$AH61)),IF($AI61="HDR","Month Target",""))))))</f>
        <v/>
      </c>
      <c r="M61" s="40" t="str" cm="1">
        <f t="array" ref="M61">IF($AI61="","",IF(LEFT($AI61,2)="C|",IF($C61="","",SUMPRODUCT($AP$5:$AP$302*($AO$5:$AO$302=$A61),$BO$5:$BO$302)),IF($AI61="CT",M$13,IF(LEFT($AI61,3)="AM|",IF($C61="","",SUMPRODUCT($AP$5:$AP$302*($AN$5:$AN$302=$A61),$BO$5:$BO$302)),IF(LEFT($AI61,2)="S|",IF($AG61="","",INDEX($BO$5:$BO$302,$AH61)),IF($AI61="HDR","Projected Close",""))))))</f>
        <v/>
      </c>
      <c r="N61" s="41" t="str">
        <f t="shared" si="43"/>
        <v/>
      </c>
      <c r="O61" s="41" t="str" cm="1">
        <f t="array" ref="O61">IF($AI61="HDR","Proj. vs LY",IF(OR($AI61="",M61=""),"",_xlfn.LET(_xlpm.ly,IF(LEFT($AI61,2)="C|",SUMPRODUCT($AP$5:$AP$302*($AO$5:$AO$302=$A61),$BK$5:$BK$302),IF($AI61="CT",SUMPRODUCT($AP$5:$AP$302,$BK$5:$BK$302),IF(LEFT($AI61,3)="AM|",SUMPRODUCT($AP$5:$AP$302*($AN$5:$AN$302=$A61),$BK$5:$BK$302),IF(LEFT($AI61,2)="S|",INDEX($BK$5:$BK$302,$AH61),0)))),IFERROR(M61/_xlpm.ly-1,""))))</f>
        <v/>
      </c>
      <c r="P61" s="40" t="str" cm="1">
        <f t="array" ref="P61">IF($AI61="","",IF(LEFT($AI61,2)="C|",IF($C61="","",SUMPRODUCT($AP$5:$AP$302*($AO$5:$AO$302=$A61),$AS$5:$AS$302)),IF($AI61="CT",P$13,IF(LEFT($AI61,3)="AM|",IF($C61="","",SUMPRODUCT($AP$5:$AP$302*($AN$5:$AN$302=$A61),$AS$5:$AS$302)),IF(LEFT($AI61,2)="S|",IF($AG61="","",INDEX($AS$5:$AS$302,$AH61)),IF($AI61="HDR","Trans TY",""))))))</f>
        <v/>
      </c>
      <c r="Q61" s="40" t="str" cm="1">
        <f t="array" ref="Q61">IF($AI61="","",IF(LEFT($AI61,2)="C|",IF($C61="","",SUMPRODUCT($AP$5:$AP$302*($AO$5:$AO$302=$A61),$AU$5:$AU$302)),IF($AI61="CT",Q$13,IF(LEFT($AI61,3)="AM|",IF($C61="","",SUMPRODUCT($AP$5:$AP$302*($AN$5:$AN$302=$A61),$AU$5:$AU$302)),IF(LEFT($AI61,2)="S|",IF($AG61="","",INDEX($AU$5:$AU$302,$AH61)),IF($AI61="HDR","Trans LY",""))))))</f>
        <v/>
      </c>
      <c r="R61" s="41" t="str">
        <f t="shared" si="36"/>
        <v/>
      </c>
      <c r="S61" s="41" t="str">
        <f t="shared" si="37"/>
        <v/>
      </c>
      <c r="T61" s="42" t="str">
        <f t="shared" si="38"/>
        <v/>
      </c>
      <c r="U61" s="42" t="str">
        <f t="shared" si="39"/>
        <v/>
      </c>
      <c r="V61" s="41" t="str">
        <f t="shared" si="40"/>
        <v/>
      </c>
      <c r="W61" s="40" t="str" cm="1">
        <f t="array" ref="W61">IF($AI61="","",IF(LEFT($AI61,2)="C|",_xlfn.LET(_xlpm.n,SUMPRODUCT($AP$5:$AP$302*($AO$5:$AO$302=$A61),$BB$5:$BB$302),IF(_xlpm.n=0,"",_xlpm.n)),IF($AI61="CT",W$13,IF(LEFT($AI61,3)="AM|",_xlfn.LET(_xlpm.n,SUMPRODUCT($AP$5:$AP$302*($AN$5:$AN$302=$A61),$BB$5:$BB$302),IF(_xlpm.n=0,"",_xlpm.n)),IF(LEFT($AI61,2)="S|",IF($AG61="","",_xlfn.LET(_xlpm.n,INDEX($BB$5:$BB$302,$AH61),IF(_xlpm.n=0,"",_xlpm.n))),IF($AI61="HDR","Footfall",""))))))</f>
        <v/>
      </c>
      <c r="X61" s="40" t="str" cm="1">
        <f t="array" ref="X61">IF($AI61="","",IF($AI61="HDR","Trans (FF stores)",IF(W61="","",IF(LEFT($AI61,2)="C|",SUMPRODUCT($AP$5:$AP$302*($AO$5:$AO$302=$A61),$BC$5:$BC$302),IF($AI61="CT",X$13,IF(LEFT($AI61,3)="AM|",SUMPRODUCT($AP$5:$AP$302*($AN$5:$AN$302=$A61),$BC$5:$BC$302),IF(LEFT($AI61,2)="S|",INDEX($BC$5:$BC$302,$AH61),"")))))))</f>
        <v/>
      </c>
      <c r="Y61" s="41" t="str">
        <f t="shared" si="44"/>
        <v/>
      </c>
      <c r="Z61" s="40" t="str" cm="1">
        <f t="array" ref="Z61">IF($AI61="","",IF(LEFT($AI61,2)="C|",IF($C61="","",SUMPRODUCT($AP$5:$AP$302*($AO$5:$AO$302=$A61),$CB$5:$CB$302)),IF($AI61="CT",Z$13,IF(LEFT($AI61,3)="AM|",IF($C61="","",SUMPRODUCT($AP$5:$AP$302*($AN$5:$AN$302=$A61),$CB$5:$CB$302)),IF(LEFT($AI61,2)="S|",IF($AG61="","",INDEX($CB$5:$CB$302,$AH61)),IF($AI61="HDR","Makeup Sales",""))))))</f>
        <v/>
      </c>
      <c r="AA61" s="41" t="str">
        <f t="shared" si="41"/>
        <v/>
      </c>
      <c r="AB61" s="40" t="str" cm="1">
        <f t="array" ref="AB61">IF($AI61="","",IF(LEFT($AI61,2)="C|",IF($C61="","",SUMPRODUCT($AP$5:$AP$302*($AO$5:$AO$302=$A61),$CK$5:$CK$302)),IF($AI61="CT",AB$13,IF(LEFT($AI61,3)="AM|",IF($C61="","",SUMPRODUCT($AP$5:$AP$302*($AN$5:$AN$302=$A61),$CK$5:$CK$302)),IF(LEFT($AI61,2)="S|",IF($AG61="","",INDEX($CK$5:$CK$302,$AH61)),IF($AI61="HDR","Makeup Target",""))))))</f>
        <v/>
      </c>
      <c r="AC61" s="41" t="str">
        <f t="shared" si="45"/>
        <v/>
      </c>
      <c r="AD61" s="40" t="str" cm="1">
        <f t="array" ref="AD61">IF($AI61="","",IF(LEFT($AI61,2)="C|",IF($C61="","",SUMPRODUCT($AP$5:$AP$302*($AO$5:$AO$302=$A61),$CI$5:$CI$302)),IF($AI61="CT",AD$13,IF(LEFT($AI61,3)="AM|",IF($C61="","",SUMPRODUCT($AP$5:$AP$302*($AN$5:$AN$302=$A61),$CI$5:$CI$302)),IF(LEFT($AI61,2)="S|",IF($AG61="","",INDEX($CI$5:$CI$302,$AH61)),IF($AI61="HDR","Cosmetic Sales",""))))))</f>
        <v/>
      </c>
      <c r="AE61" s="8" t="str" cm="1">
        <f t="array" ref="AE61">IF($AI61="","",IF(LEFT($AI61,2)="C|",IF($C61="","",SUMPRODUCT($AP$5:$AP$302*($AO$5:$AO$302=$A61)*$AQ$5:$AQ$302,$AR$5:$AR$302)),IF($AI61="CT",AE$13,IF(LEFT($AI61,3)="AM|",IF($C61="","",SUMPRODUCT($AP$5:$AP$302*($AN$5:$AN$302=$A61)*$AQ$5:$AQ$302,$AR$5:$AR$302)),IF(LEFT($AI61,2)="S|",IF($AG61="","",IF(INDEX($AQ$5:$AQ$302,$AH61)=1,D61,0)),IF($AI61="HDR","LFL Sales",""))))))</f>
        <v/>
      </c>
      <c r="AF61" s="8" t="str" cm="1">
        <f t="array" ref="AF61">IF($AI61="","",IF(LEFT($AI61,2)="C|",IF($C61="","",SUMPRODUCT($AP$5:$AP$302*($AO$5:$AO$302=$A61)*$AQ$5:$AQ$302,$AS$5:$AS$302)),IF($AI61="CT",AF$13,IF(LEFT($AI61,3)="AM|",IF($C61="","",SUMPRODUCT($AP$5:$AP$302*($AN$5:$AN$302=$A61)*$AQ$5:$AQ$302,$AS$5:$AS$302)),IF(LEFT($AI61,2)="S|",IF($AG61="","",IF(INDEX($AQ$5:$AQ$302,$AH61)=1,P61,0)),IF($AI61="HDR","LFL Trans",""))))))</f>
        <v/>
      </c>
      <c r="AG61" s="8" t="str" cm="1">
        <f t="array" ref="AG61">IF($AI61="","",IF(LEFT($AI61,2)="C|","",IF($AI61="CT","",IF(LEFT($AI61,3)="AM|","",IF(LEFT($AI61,2)="S|",IF($AH61="","",IF(INDEX($AP$5:$AP$302,$AH61)=1,1,"")),IF($AI61="HDR","Show",""))))))</f>
        <v/>
      </c>
      <c r="AH61" s="8" t="str">
        <f t="shared" si="42"/>
        <v/>
      </c>
      <c r="AI61" s="8"/>
      <c r="AN61" s="8" t="str" cm="1">
        <f t="array" ref="AN61">IF($AW61="","",_xlfn.LET(_xlpm.sa,IFERROR(TRIM(INDEX('Sales and count'!$D$4:$D$300,$BF61)&amp;""),""),_xlpm.ta,IFERROR(TRIM(INDEX('TY Sales Target'!$F$5:$F$300,$BG61)&amp;""),""),IF(AND(_xlpm.sa&lt;&gt;"",LEFT(_xlpm.sa,1)&lt;&gt;"#",_xlpm.sa&lt;&gt;"0"),_xlpm.sa,IF(AND(_xlpm.ta&lt;&gt;"",LEFT(_xlpm.ta,1)&lt;&gt;"#",_xlpm.ta&lt;&gt;"0"),_xlpm.ta,IF(ISNUMBER($BG61),"Unassigned","")))))</f>
        <v>Hamzah Al Makhadam</v>
      </c>
      <c r="AO61" s="8" t="str" cm="1">
        <f t="array" ref="AO61">IF($AW61="","",_xlfn.LET(_xlpm.sa,IFERROR(TRIM(INDEX('Sales and count'!$C$4:$C$300,$BF61)&amp;""),""),_xlpm.ta,IFERROR(TRIM(INDEX('TY Sales Target'!$D$5:$D$300,$BG61)&amp;""),""),IF(AND(_xlpm.sa&lt;&gt;"",LEFT(_xlpm.sa,1)&lt;&gt;"#",_xlpm.sa&lt;&gt;"0"),_xlpm.sa,IF(AND(_xlpm.ta&lt;&gt;"",LEFT(_xlpm.ta,1)&lt;&gt;"#",_xlpm.ta&lt;&gt;"0"),_xlpm.ta,""))))</f>
        <v>Tabuk</v>
      </c>
      <c r="AP61" s="8">
        <f t="shared" si="2"/>
        <v>0</v>
      </c>
      <c r="AQ61" s="8">
        <f t="shared" si="0"/>
        <v>1</v>
      </c>
      <c r="AR61" s="8" cm="1">
        <f t="array" ref="AR61">IF($BF61="",0,_xlfn.LET(_xlpm.d,IFERROR(--'Sales and count'!$G$2:$CC$2,0),SUMPRODUCT(('Sales and count'!$G$3:$CC$3="Total")*(_xlpm.d&gt;=$U$4)*(_xlpm.d&lt;=$U$5),INDEX('Sales and count'!$G$4:$CC$300,$BF61,0))))</f>
        <v>162963.75</v>
      </c>
      <c r="AS61" s="8" cm="1">
        <f t="array" aca="1" ref="AS61" ca="1">IF($BF61="",0,_xlfn.LET(_xlpm.d,IFERROR(--'Sales and count'!$F$2:$CB$2,0),SUMPRODUCT(('Sales and count'!$G$3:$CC$3="Transactions")*(_xlpm.d&gt;=$U$4)*(_xlpm.d&lt;=$U$5),INDEX('Sales and count'!$G$4:$CC$300,$BF61,0))))</f>
        <v>1079</v>
      </c>
      <c r="AT61" s="8" cm="1">
        <f t="array" ref="AT61">IF($AW61="",0,SUMPRODUCT((TRIM('LY Sales '!$B$5:$B$200)=$AW61)*('LY Sales '!$C$2:$AG$2&gt;=EDATE($U$4,-12))*('LY Sales '!$C$2:$AG$2&lt;=EDATE($U$5,-12)),'LY Sales '!$C$5:$AG$200))</f>
        <v>270982.27000000008</v>
      </c>
      <c r="AU61" s="8" cm="1">
        <f t="array" ref="AU61">IF($AW61="",0,SUMPRODUCT((TRIM('LY Transaction'!$B$5:$B$200)=$AW61)*('LY Transaction'!$C$2:$AG$2&gt;=EDATE($U$4,-12))*('LY Transaction'!$C$2:$AG$2&lt;=EDATE($U$5,-12)),'LY Transaction'!$C$5:$AG$200))</f>
        <v>2145</v>
      </c>
      <c r="AV61" s="8" cm="1">
        <f t="array" ref="AV61">IF(NOT(ISNUMBER($BG61)),0,SUMPRODUCT(('TY Sales Target'!$K$2:$AO$2&gt;=$U$4)*('TY Sales Target'!$K$2:$AO$2&lt;=$U$5),INDEX('TY Sales Target'!$K$5:$AO$300,$BG61,0)))</f>
        <v>230618.6645990423</v>
      </c>
      <c r="AW61" s="8" t="str" cm="1">
        <f t="array" ref="AW61">IFERROR(INDEX(_xlfn.ANCHORARRAY($BR$5),ROWS($AW$5:AW61)),"")</f>
        <v>MILAGROPLZ</v>
      </c>
      <c r="BB61" cm="1">
        <f t="array" ref="BB61">IF($AW61="",0,SUMPRODUCT((TRIM(Footfall!$B$5:$B$301)=$AW61)*(Footfall!$C$1:$BZ$1&gt;=$U$4)*(Footfall!$C$2:$BZ$2&lt;=$U$5)*(Footfall!$C$1:$BZ$1&lt;&gt;""),Footfall!$C$5:$BZ$301))</f>
        <v>5092</v>
      </c>
      <c r="BC61" cm="1">
        <f t="array" aca="1" ref="BC61" ca="1">IF(OR($BB61&lt;=0,$BD$1="",$BF61=""),0,_xlfn.LET(_xlpm.d,IFERROR(--'Sales and count'!$F$2:$CB$2,0),SUMPRODUCT(('Sales and count'!$G$3:$CC$3="Transactions")*(_xlpm.d&gt;=$BD$1)*(_xlpm.d&lt;=$BD$2),INDEX('Sales and count'!$G$4:$CC$300,$BF61,0))))</f>
        <v>1079</v>
      </c>
      <c r="BF61" cm="1">
        <f t="array" ref="BF61">IF($AW61="","",IFERROR(MATCH($AW61,TRIM('Sales and count'!$A$4:$A$300&amp;""),0),""))</f>
        <v>57</v>
      </c>
      <c r="BG61" cm="1">
        <f t="array" ref="BG61">IF($AW61="","",IFERROR(MATCH(IFERROR(_xlfn.XLOOKUP($AW61,$BT$5:$BT$22,$BU$5:$BU$22),$AW61),TRIM('TY Sales Target'!$B$5:$B$300&amp;""),0),""))</f>
        <v>33</v>
      </c>
      <c r="BH61" t="str" cm="1">
        <f t="array" ref="BH61">IF(ISNUMBER($BG61),_xlfn.LET(_xlpm.p,TRIM(INDEX('TY Sales Target'!$I$5:$I$300,$BG61)&amp;""),IF(_xlpm.p="","Not set",_xlpm.p)),"Not set")</f>
        <v>Smart Phone</v>
      </c>
      <c r="BI61" cm="1">
        <f t="array" ref="BI61">IF($BF61="",0,_xlfn.LET(_xlpm.d,IFERROR(--'Sales and count'!$G$2:$CC$2,0),SUMPRODUCT(('Sales and count'!$G$3:$CC$3="Total")*(_xlpm.d&gt;=$BZ$5)*(_xlpm.d&lt;=$BZ$6),INDEX('Sales and count'!$G$4:$CC$300,$BF61,0))))</f>
        <v>162963.75</v>
      </c>
      <c r="BJ61" cm="1">
        <f t="array" ref="BJ61">IF($AW61="",0,SUMPRODUCT((TRIM('LY Sales '!$B$5:$B$200)=$AW61)*('LY Sales '!$C$2:$AG$2&gt;=EDATE($BZ$5,-12))*('LY Sales '!$C$2:$AG$2&lt;=EDATE($BZ$6,-12)),'LY Sales '!$C$5:$AG$200))</f>
        <v>270982.27000000008</v>
      </c>
      <c r="BK61" cm="1">
        <f t="array" ref="BK61">IF($AW61="",0,SUMPRODUCT((TRIM('LY Sales '!$B$5:$B$200)=$AW61)*('LY Sales '!$C$2:$AG$2&gt;=EDATE($BZ$5,-12))*('LY Sales '!$C$2:$AG$2&lt;=EDATE($BZ$7,-12)),'LY Sales '!$C$5:$AG$200))</f>
        <v>365516.08000000013</v>
      </c>
      <c r="BL61" cm="1">
        <f t="array" ref="BL61">IF($AW61="",0,SUMPRODUCT((TRIM('LY Sales '!$B$5:$B$200)=$AW61)*('LY Sales '!$C$2:$AG$2&gt;=EDATE($BZ$5,-12))*('LY Sales '!$C$2:$AG$2&lt;=EDATE($BZ$6,-12))*('LY Sales '!$C$5:$AG$200&gt;0)))</f>
        <v>26</v>
      </c>
      <c r="BM61" cm="1">
        <f t="array" ref="BM61">IF(NOT(ISNUMBER($BG61)),0,SUMPRODUCT(('TY Sales Target'!$K$2:$AO$2&gt;=$BZ$5)*('TY Sales Target'!$K$2:$AO$2&lt;=$BZ$6),INDEX('TY Sales Target'!$K$5:$AO$300,$BG61,0)))</f>
        <v>230618.6645990423</v>
      </c>
      <c r="BN61" cm="1">
        <f t="array" ref="BN61">IF(NOT(ISNUMBER($BG61)),0,SUMPRODUCT(('TY Sales Target'!$K$2:$AO$2&gt;=$BZ$5)*('TY Sales Target'!$K$2:$AO$2&lt;=$BZ$7),INDEX('TY Sales Target'!$K$5:$AO$300,$BG61,0)))</f>
        <v>301000.00000000006</v>
      </c>
      <c r="BO61" cm="1">
        <f t="array" ref="BO61">IF($AW61="",0,IFERROR(_xlfn.SWITCH($BP61,"LY trend",$BI61*$BK61/$BJ61,"Target curve",$BI61*$BN61/$BM61,"Run rate",$BI61/$BZ$8*$BZ$9,0),0))</f>
        <v>219814.64352667797</v>
      </c>
      <c r="BP61" t="str">
        <f t="shared" si="1"/>
        <v>LY trend</v>
      </c>
      <c r="BR61" t="str">
        <v>MILAGROPLZ</v>
      </c>
      <c r="CB61" cm="1">
        <f t="array" ref="CB61">IF($AW61="",0,_xlfn.LET(_xlpm.k,IFERROR(_xlfn.XLOOKUP($AW61,$CD$6:$CD$21,$CE$6:$CE$21),$AW61),SUMPRODUCT((TRIM('Makeup '!$A$2:$A$300&amp;"")=_xlpm.k)*1,IFERROR('Makeup '!$F$2:$F$300*1,0))))</f>
        <v>3037.58</v>
      </c>
      <c r="CF61" t="str" cm="1">
        <f t="array" ref="CF61">IF($AW61="","",_xlfn.LET(_xlpm.c,IFERROR(TRIM(INDEX('Sales and count'!$B$4:$B$300,$BF61)&amp;""),""),IF(OR(_xlpm.c="",_xlpm.c="0",LEFT(_xlpm.c,1)="#"),"Not set",_xlpm.c)))</f>
        <v>KSA</v>
      </c>
      <c r="CH61" cm="1">
        <f t="array" ref="CH61">IF($AW61="",0,_xlfn.LET(_xlpm.k,IFERROR(_xlfn.XLOOKUP($AW61,$CD$6:$CD$21,$CE$6:$CE$21),$AW61),--(SUMPRODUCT((TRIM('Makeup '!$A$2:$A$300&amp;"")=_xlpm.k)*ISNUMBER('Makeup '!$F$2:$F$300))&gt;0)))</f>
        <v>1</v>
      </c>
      <c r="CI61">
        <f t="shared" si="4"/>
        <v>162963.75</v>
      </c>
      <c r="CJ61" cm="1">
        <f t="array" ref="CJ61">IF($AW61="",0,--(SUMPRODUCT(--(TRIM(Footfall!$B$5:$B$301)=$AW61))&gt;0))</f>
        <v>1</v>
      </c>
      <c r="CK61" s="8" cm="1">
        <f t="array" ref="CK61">IF($AW61="",0,_xlfn.LET(_xlpm.r,IFERROR(MATCH(IFERROR(_xlfn.XLOOKUP($AW61,$BT$5:$BT$22,$BU$5:$BU$22),$AW61),TRIM('TY Beauty Target'!$B$5:$B$300&amp;""),0),""),IF(ISNUMBER(_xlpm.r),SUMPRODUCT(('TY Beauty Target'!$L$2:$AP$2&gt;=$U$4)*('TY Beauty Target'!$L$2:$AP$2&lt;=$U$5),INDEX('TY Beauty Target'!$L$5:$AP$300,_xlpm.r,0)),0)))</f>
        <v>8585.6468490428288</v>
      </c>
    </row>
    <row r="62" spans="1:89" ht="32.1" customHeight="1" x14ac:dyDescent="0.25">
      <c r="A62" s="335"/>
      <c r="B62" s="43" t="str" cm="1">
        <f t="array" ref="B62">IF($AI62="","",IF(LEFT($AI62,2)="C|",IF($C62="","",_xlfn.TEXTJOIN(", ",TRUE,_xlfn.UNIQUE(_xlfn._xlws.FILTER($AN$5:$AN$302,($AP$5:$AP$302=1)*($AO$5:$AO$302=$A62))))),IF($AI62="CT",B$13,IF(LEFT($AI62,3)="AM|",IF($C62="","",ROWS(_xlfn.UNIQUE(_xlfn._xlws.FILTER($AO$5:$AO$302,($AP$5:$AP$302=1)*($AN$5:$AN$302=$A62))))),IF(LEFT($AI62,2)="S|",IF($AG62="","",INDEX($AO$5:$AO$302,$AH62)),IF($AI62="HDR","City",""))))))</f>
        <v/>
      </c>
      <c r="C62" s="39" t="str" cm="1">
        <f t="array" ref="C62">IF($AI62="","",IF(LEFT($AI62,2)="C|",_xlfn.LET(_xlpm.n,SUMPRODUCT($AP$5:$AP$302*($AO$5:$AO$302=$A62)),IF(_xlpm.n=0,"",_xlpm.n)),IF($AI62="CT",C$13,IF(LEFT($AI62,3)="AM|",_xlfn.LET(_xlpm.n,SUMPRODUCT($AP$5:$AP$302*($AN$5:$AN$302=$A62)),IF(_xlpm.n=0,"",_xlpm.n)),IF(LEFT($AI62,2)="S|","",IF($AI62="HDR","# Stores",""))))))</f>
        <v/>
      </c>
      <c r="D62" s="40" t="str" cm="1">
        <f t="array" ref="D62">IF($AI62="","",IF(LEFT($AI62,2)="C|",IF($C62="","",SUMPRODUCT($AP$5:$AP$302*($AO$5:$AO$302=$A62),$AR$5:$AR$302)),IF($AI62="CT",D$13,IF(LEFT($AI62,3)="AM|",IF($C62="","",SUMPRODUCT($AP$5:$AP$302*($AN$5:$AN$302=$A62),$AR$5:$AR$302)),IF(LEFT($AI62,2)="S|",IF($AG62="","",INDEX($AR$5:$AR$302,$AH62)),IF($AI62="HDR","Sales TY",""))))))</f>
        <v/>
      </c>
      <c r="E62" s="40" t="str" cm="1">
        <f t="array" ref="E62">IF($AI62="","",IF(LEFT($AI62,2)="C|",IF($C62="","",SUMPRODUCT($AP$5:$AP$302*($AO$5:$AO$302=$A62),$AT$5:$AT$302)),IF($AI62="CT",E$13,IF(LEFT($AI62,3)="AM|",IF($C62="","",SUMPRODUCT($AP$5:$AP$302*($AN$5:$AN$302=$A62),$AT$5:$AT$302)),IF(LEFT($AI62,2)="S|",IF($AG62="","",INDEX($AT$5:$AT$302,$AH62)),IF($AI62="HDR","Sales LY",""))))))</f>
        <v/>
      </c>
      <c r="F62" s="41" t="str">
        <f t="shared" ref="F62:F93" si="46">IF($AI62="","",IF(LEFT($AI62,2)="C|",IF($C62="","",IFERROR(AE62/E62-1,"")),IF($AI62="CT",F$13,IF(LEFT($AI62,3)="AM|",IF($C62="","",IFERROR(AE62/E62-1,"")),IF(LEFT($AI62,2)="S|",IF($AG62="","",IFERROR(AE62/E62-1,"")),IF($AI62="HDR","LFL vs LY",""))))))</f>
        <v/>
      </c>
      <c r="G62" s="41" t="str">
        <f t="shared" ref="G62:G93" si="47">IF($AI62="","",IF(LEFT($AI62,2)="C|",IF(D62="","",IFERROR(D62/E62-1,"")),IF($AI62="CT",G$13,IF(LEFT($AI62,3)="AM|",IF(D62="","",IFERROR(D62/E62-1,"")),IF(LEFT($AI62,2)="S|",IF(D62="","",IFERROR(D62/E62-1,"")),IF($AI62="HDR","Total Growth",""))))))</f>
        <v/>
      </c>
      <c r="H62" s="40" t="str" cm="1">
        <f t="array" ref="H62">IF($AI62="","",IF(LEFT($AI62,2)="C|",IF($C62="","",SUMPRODUCT($AP$5:$AP$302*($AO$5:$AO$302=$A62),$AV$5:$AV$302)),IF($AI62="CT",H$13,IF(LEFT($AI62,3)="AM|",IF($C62="","",SUMPRODUCT($AP$5:$AP$302*($AN$5:$AN$302=$A62),$AV$5:$AV$302)),IF(LEFT($AI62,2)="S|",IF($AG62="","",INDEX($AV$5:$AV$302,$AH62)),IF($AI62="HDR","Target",""))))))</f>
        <v/>
      </c>
      <c r="I62" s="41" t="str">
        <f t="shared" ref="I62:I93" si="48">IF($AI62="","",IF(LEFT($AI62,2)="C|",IF($C62="","",IFERROR(D62/H62,"")),IF($AI62="CT",I$13,IF(LEFT($AI62,3)="AM|",IF($C62="","",IFERROR(D62/H62,"")),IF(LEFT($AI62,2)="S|",IF($AG62="","",IFERROR(D62/H62,"")),IF($AI62="HDR","Ach. %",""))))))</f>
        <v/>
      </c>
      <c r="J62" s="40" t="str">
        <f t="shared" ref="J62:J93" si="49">IF($AI62="","",IF(LEFT($AI62,2)="C|",IF($C62="","",IF(H62=0,"",D62-H62)),IF($AI62="CT",J$13,IF(LEFT($AI62,3)="AM|",IF($C62="","",IF(H62=0,"",D62-H62)),IF(LEFT($AI62,2)="S|",IF($AG62="","",IF(H62=0,"",D62-H62)),IF($AI62="HDR","Var Target",""))))))</f>
        <v/>
      </c>
      <c r="K62" s="41" t="str">
        <f t="shared" ref="K62:K93" si="50">IF($AI62="","",IF(LEFT($AI62,2)="C|",IF($C62="","",IFERROR(D62/$D$13,"")),IF($AI62="CT",K$13,IF(LEFT($AI62,3)="AM|",IF($C62="","",IFERROR(D62/$D$13,"")),IF(LEFT($AI62,2)="S|",IF($AG62="","",IFERROR(D62/$D$13,"")),IF($AI62="HDR","% Share",""))))))</f>
        <v/>
      </c>
      <c r="L62" s="40" t="str" cm="1">
        <f t="array" ref="L62">IF($AI62="","",IF(LEFT($AI62,2)="C|",IF($C62="","",SUMPRODUCT($AP$5:$AP$302*($AO$5:$AO$302=$A62),$BN$5:$BN$302)),IF($AI62="CT",L$13,IF(LEFT($AI62,3)="AM|",IF($C62="","",SUMPRODUCT($AP$5:$AP$302*($AN$5:$AN$302=$A62),$BN$5:$BN$302)),IF(LEFT($AI62,2)="S|",IF($AG62="","",INDEX($BN$5:$BN$302,$AH62)),IF($AI62="HDR","Month Target",""))))))</f>
        <v/>
      </c>
      <c r="M62" s="40" t="str" cm="1">
        <f t="array" ref="M62">IF($AI62="","",IF(LEFT($AI62,2)="C|",IF($C62="","",SUMPRODUCT($AP$5:$AP$302*($AO$5:$AO$302=$A62),$BO$5:$BO$302)),IF($AI62="CT",M$13,IF(LEFT($AI62,3)="AM|",IF($C62="","",SUMPRODUCT($AP$5:$AP$302*($AN$5:$AN$302=$A62),$BO$5:$BO$302)),IF(LEFT($AI62,2)="S|",IF($AG62="","",INDEX($BO$5:$BO$302,$AH62)),IF($AI62="HDR","Projected Close",""))))))</f>
        <v/>
      </c>
      <c r="N62" s="41" t="str">
        <f t="shared" si="43"/>
        <v/>
      </c>
      <c r="O62" s="41" t="str" cm="1">
        <f t="array" ref="O62">IF($AI62="HDR","Proj. vs LY",IF(OR($AI62="",M62=""),"",_xlfn.LET(_xlpm.ly,IF(LEFT($AI62,2)="C|",SUMPRODUCT($AP$5:$AP$302*($AO$5:$AO$302=$A62),$BK$5:$BK$302),IF($AI62="CT",SUMPRODUCT($AP$5:$AP$302,$BK$5:$BK$302),IF(LEFT($AI62,3)="AM|",SUMPRODUCT($AP$5:$AP$302*($AN$5:$AN$302=$A62),$BK$5:$BK$302),IF(LEFT($AI62,2)="S|",INDEX($BK$5:$BK$302,$AH62),0)))),IFERROR(M62/_xlpm.ly-1,""))))</f>
        <v/>
      </c>
      <c r="P62" s="40" t="str" cm="1">
        <f t="array" ref="P62">IF($AI62="","",IF(LEFT($AI62,2)="C|",IF($C62="","",SUMPRODUCT($AP$5:$AP$302*($AO$5:$AO$302=$A62),$AS$5:$AS$302)),IF($AI62="CT",P$13,IF(LEFT($AI62,3)="AM|",IF($C62="","",SUMPRODUCT($AP$5:$AP$302*($AN$5:$AN$302=$A62),$AS$5:$AS$302)),IF(LEFT($AI62,2)="S|",IF($AG62="","",INDEX($AS$5:$AS$302,$AH62)),IF($AI62="HDR","Trans TY",""))))))</f>
        <v/>
      </c>
      <c r="Q62" s="40" t="str" cm="1">
        <f t="array" ref="Q62">IF($AI62="","",IF(LEFT($AI62,2)="C|",IF($C62="","",SUMPRODUCT($AP$5:$AP$302*($AO$5:$AO$302=$A62),$AU$5:$AU$302)),IF($AI62="CT",Q$13,IF(LEFT($AI62,3)="AM|",IF($C62="","",SUMPRODUCT($AP$5:$AP$302*($AN$5:$AN$302=$A62),$AU$5:$AU$302)),IF(LEFT($AI62,2)="S|",IF($AG62="","",INDEX($AU$5:$AU$302,$AH62)),IF($AI62="HDR","Trans LY",""))))))</f>
        <v/>
      </c>
      <c r="R62" s="41" t="str">
        <f t="shared" ref="R62:R93" si="51">IF($AI62="","",IF(LEFT($AI62,2)="C|",IF($C62="","",IFERROR(AF62/Q62-1,"")),IF($AI62="CT",R$13,IF(LEFT($AI62,3)="AM|",IF($C62="","",IFERROR(AF62/Q62-1,"")),IF(LEFT($AI62,2)="S|",IF($AG62="","",IFERROR(AF62/Q62-1,"")),IF($AI62="HDR","Trans LFL",""))))))</f>
        <v/>
      </c>
      <c r="S62" s="41" t="str">
        <f t="shared" ref="S62:S93" si="52">IF($AI62="","",IF(LEFT($AI62,2)="C|",IF(P62="","",IFERROR(P62/Q62-1,"")),IF($AI62="CT",S$13,IF(LEFT($AI62,3)="AM|",IF(P62="","",IFERROR(P62/Q62-1,"")),IF(LEFT($AI62,2)="S|",IF(P62="","",IFERROR(P62/Q62-1,"")),IF($AI62="HDR","Trans Growth",""))))))</f>
        <v/>
      </c>
      <c r="T62" s="42" t="str">
        <f t="shared" ref="T62:T93" si="53">IF($AI62="","",IF(LEFT($AI62,2)="C|",IF($C62="","",IFERROR(D62/P62,"")),IF($AI62="CT",T$13,IF(LEFT($AI62,3)="AM|",IF($C62="","",IFERROR(D62/P62,"")),IF(LEFT($AI62,2)="S|",IF($AG62="","",IFERROR(D62/P62,"")),IF($AI62="HDR","ATV TY",""))))))</f>
        <v/>
      </c>
      <c r="U62" s="42" t="str">
        <f t="shared" ref="U62:U93" si="54">IF($AI62="","",IF(LEFT($AI62,2)="C|",IF($C62="","",IFERROR(E62/Q62,"")),IF($AI62="CT",U$13,IF(LEFT($AI62,3)="AM|",IF($C62="","",IFERROR(E62/Q62,"")),IF(LEFT($AI62,2)="S|",IF($AG62="","",IFERROR(E62/Q62,"")),IF($AI62="HDR","ATV LY",""))))))</f>
        <v/>
      </c>
      <c r="V62" s="41" t="str">
        <f t="shared" ref="V62:V93" si="55">IF($AI62="","",IF(LEFT($AI62,2)="C|",IF($C62="","",IFERROR((AE62/AF62)/U62-1,"")),IF($AI62="CT",V$13,IF(LEFT($AI62,3)="AM|",IF($C62="","",IFERROR((AE62/AF62)/U62-1,"")),IF(LEFT($AI62,2)="S|",IF($AG62="","",IFERROR((AE62/AF62)/U62-1,"")),IF($AI62="HDR","ATV LFL",""))))))</f>
        <v/>
      </c>
      <c r="W62" s="40" t="str" cm="1">
        <f t="array" ref="W62">IF($AI62="","",IF(LEFT($AI62,2)="C|",_xlfn.LET(_xlpm.n,SUMPRODUCT($AP$5:$AP$302*($AO$5:$AO$302=$A62),$BB$5:$BB$302),IF(_xlpm.n=0,"",_xlpm.n)),IF($AI62="CT",W$13,IF(LEFT($AI62,3)="AM|",_xlfn.LET(_xlpm.n,SUMPRODUCT($AP$5:$AP$302*($AN$5:$AN$302=$A62),$BB$5:$BB$302),IF(_xlpm.n=0,"",_xlpm.n)),IF(LEFT($AI62,2)="S|",IF($AG62="","",_xlfn.LET(_xlpm.n,INDEX($BB$5:$BB$302,$AH62),IF(_xlpm.n=0,"",_xlpm.n))),IF($AI62="HDR","Footfall",""))))))</f>
        <v/>
      </c>
      <c r="X62" s="40" t="str" cm="1">
        <f t="array" ref="X62">IF($AI62="","",IF($AI62="HDR","Trans (FF stores)",IF(W62="","",IF(LEFT($AI62,2)="C|",SUMPRODUCT($AP$5:$AP$302*($AO$5:$AO$302=$A62),$BC$5:$BC$302),IF($AI62="CT",X$13,IF(LEFT($AI62,3)="AM|",SUMPRODUCT($AP$5:$AP$302*($AN$5:$AN$302=$A62),$BC$5:$BC$302),IF(LEFT($AI62,2)="S|",INDEX($BC$5:$BC$302,$AH62),"")))))))</f>
        <v/>
      </c>
      <c r="Y62" s="41" t="str">
        <f t="shared" si="44"/>
        <v/>
      </c>
      <c r="Z62" s="40" t="str" cm="1">
        <f t="array" ref="Z62">IF($AI62="","",IF(LEFT($AI62,2)="C|",IF($C62="","",SUMPRODUCT($AP$5:$AP$302*($AO$5:$AO$302=$A62),$CB$5:$CB$302)),IF($AI62="CT",Z$13,IF(LEFT($AI62,3)="AM|",IF($C62="","",SUMPRODUCT($AP$5:$AP$302*($AN$5:$AN$302=$A62),$CB$5:$CB$302)),IF(LEFT($AI62,2)="S|",IF($AG62="","",INDEX($CB$5:$CB$302,$AH62)),IF($AI62="HDR","Makeup Sales",""))))))</f>
        <v/>
      </c>
      <c r="AA62" s="41" t="str">
        <f t="shared" ref="AA62:AA93" si="56">IF($AI62="HDR","Makeup % of Sales",IF(OR(Z62="",AD62=""),"",IFERROR(Z62/AD62,"")))</f>
        <v/>
      </c>
      <c r="AB62" s="40" t="str" cm="1">
        <f t="array" ref="AB62">IF($AI62="","",IF(LEFT($AI62,2)="C|",IF($C62="","",SUMPRODUCT($AP$5:$AP$302*($AO$5:$AO$302=$A62),$CK$5:$CK$302)),IF($AI62="CT",AB$13,IF(LEFT($AI62,3)="AM|",IF($C62="","",SUMPRODUCT($AP$5:$AP$302*($AN$5:$AN$302=$A62),$CK$5:$CK$302)),IF(LEFT($AI62,2)="S|",IF($AG62="","",INDEX($CK$5:$CK$302,$AH62)),IF($AI62="HDR","Makeup Target",""))))))</f>
        <v/>
      </c>
      <c r="AC62" s="41" t="str">
        <f t="shared" si="45"/>
        <v/>
      </c>
      <c r="AD62" s="40" t="str" cm="1">
        <f t="array" ref="AD62">IF($AI62="","",IF(LEFT($AI62,2)="C|",IF($C62="","",SUMPRODUCT($AP$5:$AP$302*($AO$5:$AO$302=$A62),$CI$5:$CI$302)),IF($AI62="CT",AD$13,IF(LEFT($AI62,3)="AM|",IF($C62="","",SUMPRODUCT($AP$5:$AP$302*($AN$5:$AN$302=$A62),$CI$5:$CI$302)),IF(LEFT($AI62,2)="S|",IF($AG62="","",INDEX($CI$5:$CI$302,$AH62)),IF($AI62="HDR","Cosmetic Sales",""))))))</f>
        <v/>
      </c>
      <c r="AE62" s="8" t="str" cm="1">
        <f t="array" ref="AE62">IF($AI62="","",IF(LEFT($AI62,2)="C|",IF($C62="","",SUMPRODUCT($AP$5:$AP$302*($AO$5:$AO$302=$A62)*$AQ$5:$AQ$302,$AR$5:$AR$302)),IF($AI62="CT",AE$13,IF(LEFT($AI62,3)="AM|",IF($C62="","",SUMPRODUCT($AP$5:$AP$302*($AN$5:$AN$302=$A62)*$AQ$5:$AQ$302,$AR$5:$AR$302)),IF(LEFT($AI62,2)="S|",IF($AG62="","",IF(INDEX($AQ$5:$AQ$302,$AH62)=1,D62,0)),IF($AI62="HDR","LFL Sales",""))))))</f>
        <v/>
      </c>
      <c r="AF62" s="8" t="str" cm="1">
        <f t="array" ref="AF62">IF($AI62="","",IF(LEFT($AI62,2)="C|",IF($C62="","",SUMPRODUCT($AP$5:$AP$302*($AO$5:$AO$302=$A62)*$AQ$5:$AQ$302,$AS$5:$AS$302)),IF($AI62="CT",AF$13,IF(LEFT($AI62,3)="AM|",IF($C62="","",SUMPRODUCT($AP$5:$AP$302*($AN$5:$AN$302=$A62)*$AQ$5:$AQ$302,$AS$5:$AS$302)),IF(LEFT($AI62,2)="S|",IF($AG62="","",IF(INDEX($AQ$5:$AQ$302,$AH62)=1,P62,0)),IF($AI62="HDR","LFL Trans",""))))))</f>
        <v/>
      </c>
      <c r="AG62" s="8" t="str" cm="1">
        <f t="array" ref="AG62">IF($AI62="","",IF(LEFT($AI62,2)="C|","",IF($AI62="CT","",IF(LEFT($AI62,3)="AM|","",IF(LEFT($AI62,2)="S|",IF($AH62="","",IF(INDEX($AP$5:$AP$302,$AH62)=1,1,"")),IF($AI62="HDR","Show",""))))))</f>
        <v/>
      </c>
      <c r="AH62" s="8" t="str">
        <f t="shared" ref="AH62:AH93" si="57">IF($AI62="","",IF(LEFT($AI62,2)="C|","",IF($AI62="CT","",IF(LEFT($AI62,3)="AM|","",IF(LEFT($AI62,2)="S|",IFERROR(MATCH($A62,$AW$5:$AW$302,0),""),IF($AI62="HDR","Src Row",""))))))</f>
        <v/>
      </c>
      <c r="AI62" s="8"/>
      <c r="AN62" s="8" t="str" cm="1">
        <f t="array" ref="AN62">IF($AW62="","",_xlfn.LET(_xlpm.sa,IFERROR(TRIM(INDEX('Sales and count'!$D$4:$D$300,$BF62)&amp;""),""),_xlpm.ta,IFERROR(TRIM(INDEX('TY Sales Target'!$F$5:$F$300,$BG62)&amp;""),""),IF(AND(_xlpm.sa&lt;&gt;"",LEFT(_xlpm.sa,1)&lt;&gt;"#",_xlpm.sa&lt;&gt;"0"),_xlpm.sa,IF(AND(_xlpm.ta&lt;&gt;"",LEFT(_xlpm.ta,1)&lt;&gt;"#",_xlpm.ta&lt;&gt;"0"),_xlpm.ta,IF(ISNUMBER($BG62),"Unassigned","")))))</f>
        <v>Lina Al Ghathami</v>
      </c>
      <c r="AO62" s="8" t="str" cm="1">
        <f t="array" ref="AO62">IF($AW62="","",_xlfn.LET(_xlpm.sa,IFERROR(TRIM(INDEX('Sales and count'!$C$4:$C$300,$BF62)&amp;""),""),_xlpm.ta,IFERROR(TRIM(INDEX('TY Sales Target'!$D$5:$D$300,$BG62)&amp;""),""),IF(AND(_xlpm.sa&lt;&gt;"",LEFT(_xlpm.sa,1)&lt;&gt;"#",_xlpm.sa&lt;&gt;"0"),_xlpm.sa,IF(AND(_xlpm.ta&lt;&gt;"",LEFT(_xlpm.ta,1)&lt;&gt;"#",_xlpm.ta&lt;&gt;"0"),_xlpm.ta,""))))</f>
        <v>Riyadh</v>
      </c>
      <c r="AP62" s="8">
        <f t="shared" si="2"/>
        <v>0</v>
      </c>
      <c r="AQ62" s="8">
        <f t="shared" si="0"/>
        <v>1</v>
      </c>
      <c r="AR62" s="8" cm="1">
        <f t="array" ref="AR62">IF($BF62="",0,_xlfn.LET(_xlpm.d,IFERROR(--'Sales and count'!$G$2:$CC$2,0),SUMPRODUCT(('Sales and count'!$G$3:$CC$3="Total")*(_xlpm.d&gt;=$U$4)*(_xlpm.d&lt;=$U$5),INDEX('Sales and count'!$G$4:$CC$300,$BF62,0))))</f>
        <v>214352.69000000003</v>
      </c>
      <c r="AS62" s="8" cm="1">
        <f t="array" aca="1" ref="AS62" ca="1">IF($BF62="",0,_xlfn.LET(_xlpm.d,IFERROR(--'Sales and count'!$F$2:$CB$2,0),SUMPRODUCT(('Sales and count'!$G$3:$CC$3="Transactions")*(_xlpm.d&gt;=$U$4)*(_xlpm.d&lt;=$U$5),INDEX('Sales and count'!$G$4:$CC$300,$BF62,0))))</f>
        <v>1429</v>
      </c>
      <c r="AT62" s="8" cm="1">
        <f t="array" ref="AT62">IF($AW62="",0,SUMPRODUCT((TRIM('LY Sales '!$B$5:$B$200)=$AW62)*('LY Sales '!$C$2:$AG$2&gt;=EDATE($U$4,-12))*('LY Sales '!$C$2:$AG$2&lt;=EDATE($U$5,-12)),'LY Sales '!$C$5:$AG$200))</f>
        <v>356056.57999999996</v>
      </c>
      <c r="AU62" s="8" cm="1">
        <f t="array" ref="AU62">IF($AW62="",0,SUMPRODUCT((TRIM('LY Transaction'!$B$5:$B$200)=$AW62)*('LY Transaction'!$C$2:$AG$2&gt;=EDATE($U$4,-12))*('LY Transaction'!$C$2:$AG$2&lt;=EDATE($U$5,-12)),'LY Transaction'!$C$5:$AG$200))</f>
        <v>2137</v>
      </c>
      <c r="AV62" s="8" cm="1">
        <f t="array" ref="AV62">IF(NOT(ISNUMBER($BG62)),0,SUMPRODUCT(('TY Sales Target'!$K$2:$AO$2&gt;=$U$4)*('TY Sales Target'!$K$2:$AO$2&lt;=$U$5),INDEX('TY Sales Target'!$K$5:$AO$300,$BG62,0)))</f>
        <v>316430.26072891848</v>
      </c>
      <c r="AW62" s="8" t="str" cm="1">
        <f t="array" ref="AW62">IFERROR(INDEX(_xlfn.ANCHORARRAY($BR$5),ROWS($AW$5:AW62)),"")</f>
        <v>RYDNAKHL</v>
      </c>
      <c r="BB62" cm="1">
        <f t="array" ref="BB62">IF($AW62="",0,SUMPRODUCT((TRIM(Footfall!$B$5:$B$301)=$AW62)*(Footfall!$C$1:$BZ$1&gt;=$U$4)*(Footfall!$C$2:$BZ$2&lt;=$U$5)*(Footfall!$C$1:$BZ$1&lt;&gt;""),Footfall!$C$5:$BZ$301))</f>
        <v>8399</v>
      </c>
      <c r="BC62" cm="1">
        <f t="array" aca="1" ref="BC62" ca="1">IF(OR($BB62&lt;=0,$BD$1="",$BF62=""),0,_xlfn.LET(_xlpm.d,IFERROR(--'Sales and count'!$F$2:$CB$2,0),SUMPRODUCT(('Sales and count'!$G$3:$CC$3="Transactions")*(_xlpm.d&gt;=$BD$1)*(_xlpm.d&lt;=$BD$2),INDEX('Sales and count'!$G$4:$CC$300,$BF62,0))))</f>
        <v>1429</v>
      </c>
      <c r="BF62" cm="1">
        <f t="array" ref="BF62">IF($AW62="","",IFERROR(MATCH($AW62,TRIM('Sales and count'!$A$4:$A$300&amp;""),0),""))</f>
        <v>58</v>
      </c>
      <c r="BG62" cm="1">
        <f t="array" ref="BG62">IF($AW62="","",IFERROR(MATCH(IFERROR(_xlfn.XLOOKUP($AW62,$BT$5:$BT$22,$BU$5:$BU$22),$AW62),TRIM('TY Sales Target'!$B$5:$B$300&amp;""),0),""))</f>
        <v>14</v>
      </c>
      <c r="BH62" t="str" cm="1">
        <f t="array" ref="BH62">IF(ISNUMBER($BG62),_xlfn.LET(_xlpm.p,TRIM(INDEX('TY Sales Target'!$I$5:$I$300,$BG62)&amp;""),IF(_xlpm.p="","Not set",_xlpm.p)),"Not set")</f>
        <v>Car</v>
      </c>
      <c r="BI62" cm="1">
        <f t="array" ref="BI62">IF($BF62="",0,_xlfn.LET(_xlpm.d,IFERROR(--'Sales and count'!$G$2:$CC$2,0),SUMPRODUCT(('Sales and count'!$G$3:$CC$3="Total")*(_xlpm.d&gt;=$BZ$5)*(_xlpm.d&lt;=$BZ$6),INDEX('Sales and count'!$G$4:$CC$300,$BF62,0))))</f>
        <v>214352.69000000003</v>
      </c>
      <c r="BJ62" cm="1">
        <f t="array" ref="BJ62">IF($AW62="",0,SUMPRODUCT((TRIM('LY Sales '!$B$5:$B$200)=$AW62)*('LY Sales '!$C$2:$AG$2&gt;=EDATE($BZ$5,-12))*('LY Sales '!$C$2:$AG$2&lt;=EDATE($BZ$6,-12)),'LY Sales '!$C$5:$AG$200))</f>
        <v>356056.57999999996</v>
      </c>
      <c r="BK62" cm="1">
        <f t="array" ref="BK62">IF($AW62="",0,SUMPRODUCT((TRIM('LY Sales '!$B$5:$B$200)=$AW62)*('LY Sales '!$C$2:$AG$2&gt;=EDATE($BZ$5,-12))*('LY Sales '!$C$2:$AG$2&lt;=EDATE($BZ$7,-12)),'LY Sales '!$C$5:$AG$200))</f>
        <v>430532.79</v>
      </c>
      <c r="BL62" cm="1">
        <f t="array" ref="BL62">IF($AW62="",0,SUMPRODUCT((TRIM('LY Sales '!$B$5:$B$200)=$AW62)*('LY Sales '!$C$2:$AG$2&gt;=EDATE($BZ$5,-12))*('LY Sales '!$C$2:$AG$2&lt;=EDATE($BZ$6,-12))*('LY Sales '!$C$5:$AG$200&gt;0)))</f>
        <v>26</v>
      </c>
      <c r="BM62" cm="1">
        <f t="array" ref="BM62">IF(NOT(ISNUMBER($BG62)),0,SUMPRODUCT(('TY Sales Target'!$K$2:$AO$2&gt;=$BZ$5)*('TY Sales Target'!$K$2:$AO$2&lt;=$BZ$6),INDEX('TY Sales Target'!$K$5:$AO$300,$BG62,0)))</f>
        <v>316430.26072891848</v>
      </c>
      <c r="BN62" cm="1">
        <f t="array" ref="BN62">IF(NOT(ISNUMBER($BG62)),0,SUMPRODUCT(('TY Sales Target'!$K$2:$AO$2&gt;=$BZ$5)*('TY Sales Target'!$K$2:$AO$2&lt;=$BZ$7),INDEX('TY Sales Target'!$K$5:$AO$300,$BG62,0)))</f>
        <v>413000.00000000012</v>
      </c>
      <c r="BO62" cm="1">
        <f t="array" ref="BO62">IF($AW62="",0,IFERROR(_xlfn.SWITCH($BP62,"LY trend",$BI62*$BK62/$BJ62,"Target curve",$BI62*$BN62/$BM62,"Run rate",$BI62/$BZ$8*$BZ$9,0),0))</f>
        <v>259188.75497176635</v>
      </c>
      <c r="BP62" t="str">
        <f t="shared" si="1"/>
        <v>LY trend</v>
      </c>
      <c r="BR62" t="str">
        <v>RYDNAKHL</v>
      </c>
      <c r="CB62" cm="1">
        <f t="array" ref="CB62">IF($AW62="",0,_xlfn.LET(_xlpm.k,IFERROR(_xlfn.XLOOKUP($AW62,$CD$6:$CD$21,$CE$6:$CE$21),$AW62),SUMPRODUCT((TRIM('Makeup '!$A$2:$A$300&amp;"")=_xlpm.k)*1,IFERROR('Makeup '!$F$2:$F$300*1,0))))</f>
        <v>17281.7</v>
      </c>
      <c r="CF62" t="str" cm="1">
        <f t="array" ref="CF62">IF($AW62="","",_xlfn.LET(_xlpm.c,IFERROR(TRIM(INDEX('Sales and count'!$B$4:$B$300,$BF62)&amp;""),""),IF(OR(_xlpm.c="",_xlpm.c="0",LEFT(_xlpm.c,1)="#"),"Not set",_xlpm.c)))</f>
        <v>KSA</v>
      </c>
      <c r="CH62" cm="1">
        <f t="array" ref="CH62">IF($AW62="",0,_xlfn.LET(_xlpm.k,IFERROR(_xlfn.XLOOKUP($AW62,$CD$6:$CD$21,$CE$6:$CE$21),$AW62),--(SUMPRODUCT((TRIM('Makeup '!$A$2:$A$300&amp;"")=_xlpm.k)*ISNUMBER('Makeup '!$F$2:$F$300))&gt;0)))</f>
        <v>1</v>
      </c>
      <c r="CI62">
        <f t="shared" si="4"/>
        <v>214352.69000000003</v>
      </c>
      <c r="CJ62" cm="1">
        <f t="array" ref="CJ62">IF($AW62="",0,--(SUMPRODUCT(--(TRIM(Footfall!$B$5:$B$301)=$AW62))&gt;0))</f>
        <v>1</v>
      </c>
      <c r="CK62" s="8" cm="1">
        <f t="array" ref="CK62">IF($AW62="",0,_xlfn.LET(_xlpm.r,IFERROR(MATCH(IFERROR(_xlfn.XLOOKUP($AW62,$BT$5:$BT$22,$BU$5:$BU$22),$AW62),TRIM('TY Beauty Target'!$B$5:$B$300&amp;""),0),""),IF(ISNUMBER(_xlpm.r),SUMPRODUCT(('TY Beauty Target'!$L$2:$AP$2&gt;=$U$4)*('TY Beauty Target'!$L$2:$AP$2&lt;=$U$5),INDEX('TY Beauty Target'!$L$5:$AP$300,_xlpm.r,0)),0)))</f>
        <v>30369.996690094162</v>
      </c>
    </row>
    <row r="63" spans="1:89" ht="15" customHeight="1" x14ac:dyDescent="0.25">
      <c r="A63" s="38" t="str">
        <f t="shared" ref="A63:A93" si="58">IF($AI63="","",IF(LEFT($AI63,2)="C|",MID($AI63,3,200),IF($AI63="CT","Total (selection)",IF(LEFT($AI63,3)="AM|",MID($AI63,4,200),IF(LEFT($AI63,2)="S|",MID($AI63,3,200),IF($AI63="HDR","Name",IF($AI63="SEC","AREA MANAGER → STORES","")))))))</f>
        <v/>
      </c>
      <c r="B63" s="43" t="str" cm="1">
        <f t="array" ref="B63">IF($AI63="","",IF(LEFT($AI63,2)="C|",IF($C63="","",_xlfn.TEXTJOIN(", ",TRUE,_xlfn.UNIQUE(_xlfn._xlws.FILTER($AN$5:$AN$302,($AP$5:$AP$302=1)*($AO$5:$AO$302=$A63))))),IF($AI63="CT",B$13,IF(LEFT($AI63,3)="AM|",IF($C63="","",ROWS(_xlfn.UNIQUE(_xlfn._xlws.FILTER($AO$5:$AO$302,($AP$5:$AP$302=1)*($AN$5:$AN$302=$A63))))),IF(LEFT($AI63,2)="S|",IF($AG63="","",INDEX($AO$5:$AO$302,$AH63)),IF($AI63="HDR","City",""))))))</f>
        <v/>
      </c>
      <c r="C63" s="39" t="str" cm="1">
        <f t="array" ref="C63">IF($AI63="","",IF(LEFT($AI63,2)="C|",_xlfn.LET(_xlpm.n,SUMPRODUCT($AP$5:$AP$302*($AO$5:$AO$302=$A63)),IF(_xlpm.n=0,"",_xlpm.n)),IF($AI63="CT",C$13,IF(LEFT($AI63,3)="AM|",_xlfn.LET(_xlpm.n,SUMPRODUCT($AP$5:$AP$302*($AN$5:$AN$302=$A63)),IF(_xlpm.n=0,"",_xlpm.n)),IF(LEFT($AI63,2)="S|","",IF($AI63="HDR","# Stores",""))))))</f>
        <v/>
      </c>
      <c r="D63" s="40" t="str" cm="1">
        <f t="array" ref="D63">IF($AI63="","",IF(LEFT($AI63,2)="C|",IF($C63="","",SUMPRODUCT($AP$5:$AP$302*($AO$5:$AO$302=$A63),$AR$5:$AR$302)),IF($AI63="CT",D$13,IF(LEFT($AI63,3)="AM|",IF($C63="","",SUMPRODUCT($AP$5:$AP$302*($AN$5:$AN$302=$A63),$AR$5:$AR$302)),IF(LEFT($AI63,2)="S|",IF($AG63="","",INDEX($AR$5:$AR$302,$AH63)),IF($AI63="HDR","Sales TY",""))))))</f>
        <v/>
      </c>
      <c r="E63" s="40" t="str" cm="1">
        <f t="array" ref="E63">IF($AI63="","",IF(LEFT($AI63,2)="C|",IF($C63="","",SUMPRODUCT($AP$5:$AP$302*($AO$5:$AO$302=$A63),$AT$5:$AT$302)),IF($AI63="CT",E$13,IF(LEFT($AI63,3)="AM|",IF($C63="","",SUMPRODUCT($AP$5:$AP$302*($AN$5:$AN$302=$A63),$AT$5:$AT$302)),IF(LEFT($AI63,2)="S|",IF($AG63="","",INDEX($AT$5:$AT$302,$AH63)),IF($AI63="HDR","Sales LY",""))))))</f>
        <v/>
      </c>
      <c r="F63" s="41" t="str">
        <f t="shared" si="46"/>
        <v/>
      </c>
      <c r="G63" s="41" t="str">
        <f t="shared" si="47"/>
        <v/>
      </c>
      <c r="H63" s="40" t="str" cm="1">
        <f t="array" ref="H63">IF($AI63="","",IF(LEFT($AI63,2)="C|",IF($C63="","",SUMPRODUCT($AP$5:$AP$302*($AO$5:$AO$302=$A63),$AV$5:$AV$302)),IF($AI63="CT",H$13,IF(LEFT($AI63,3)="AM|",IF($C63="","",SUMPRODUCT($AP$5:$AP$302*($AN$5:$AN$302=$A63),$AV$5:$AV$302)),IF(LEFT($AI63,2)="S|",IF($AG63="","",INDEX($AV$5:$AV$302,$AH63)),IF($AI63="HDR","Target",""))))))</f>
        <v/>
      </c>
      <c r="I63" s="41" t="str">
        <f t="shared" si="48"/>
        <v/>
      </c>
      <c r="J63" s="40" t="str">
        <f t="shared" si="49"/>
        <v/>
      </c>
      <c r="K63" s="41" t="str">
        <f t="shared" si="50"/>
        <v/>
      </c>
      <c r="L63" s="40" t="str" cm="1">
        <f t="array" ref="L63">IF($AI63="","",IF(LEFT($AI63,2)="C|",IF($C63="","",SUMPRODUCT($AP$5:$AP$302*($AO$5:$AO$302=$A63),$BN$5:$BN$302)),IF($AI63="CT",L$13,IF(LEFT($AI63,3)="AM|",IF($C63="","",SUMPRODUCT($AP$5:$AP$302*($AN$5:$AN$302=$A63),$BN$5:$BN$302)),IF(LEFT($AI63,2)="S|",IF($AG63="","",INDEX($BN$5:$BN$302,$AH63)),IF($AI63="HDR","Month Target",""))))))</f>
        <v/>
      </c>
      <c r="M63" s="40" t="str" cm="1">
        <f t="array" ref="M63">IF($AI63="","",IF(LEFT($AI63,2)="C|",IF($C63="","",SUMPRODUCT($AP$5:$AP$302*($AO$5:$AO$302=$A63),$BO$5:$BO$302)),IF($AI63="CT",M$13,IF(LEFT($AI63,3)="AM|",IF($C63="","",SUMPRODUCT($AP$5:$AP$302*($AN$5:$AN$302=$A63),$BO$5:$BO$302)),IF(LEFT($AI63,2)="S|",IF($AG63="","",INDEX($BO$5:$BO$302,$AH63)),IF($AI63="HDR","Projected Close",""))))))</f>
        <v/>
      </c>
      <c r="N63" s="41" t="str">
        <f t="shared" si="43"/>
        <v/>
      </c>
      <c r="O63" s="41" t="str" cm="1">
        <f t="array" ref="O63">IF($AI63="HDR","Proj. vs LY",IF(OR($AI63="",M63=""),"",_xlfn.LET(_xlpm.ly,IF(LEFT($AI63,2)="C|",SUMPRODUCT($AP$5:$AP$302*($AO$5:$AO$302=$A63),$BK$5:$BK$302),IF($AI63="CT",SUMPRODUCT($AP$5:$AP$302,$BK$5:$BK$302),IF(LEFT($AI63,3)="AM|",SUMPRODUCT($AP$5:$AP$302*($AN$5:$AN$302=$A63),$BK$5:$BK$302),IF(LEFT($AI63,2)="S|",INDEX($BK$5:$BK$302,$AH63),0)))),IFERROR(M63/_xlpm.ly-1,""))))</f>
        <v/>
      </c>
      <c r="P63" s="40" t="str" cm="1">
        <f t="array" ref="P63">IF($AI63="","",IF(LEFT($AI63,2)="C|",IF($C63="","",SUMPRODUCT($AP$5:$AP$302*($AO$5:$AO$302=$A63),$AS$5:$AS$302)),IF($AI63="CT",P$13,IF(LEFT($AI63,3)="AM|",IF($C63="","",SUMPRODUCT($AP$5:$AP$302*($AN$5:$AN$302=$A63),$AS$5:$AS$302)),IF(LEFT($AI63,2)="S|",IF($AG63="","",INDEX($AS$5:$AS$302,$AH63)),IF($AI63="HDR","Trans TY",""))))))</f>
        <v/>
      </c>
      <c r="Q63" s="40" t="str" cm="1">
        <f t="array" ref="Q63">IF($AI63="","",IF(LEFT($AI63,2)="C|",IF($C63="","",SUMPRODUCT($AP$5:$AP$302*($AO$5:$AO$302=$A63),$AU$5:$AU$302)),IF($AI63="CT",Q$13,IF(LEFT($AI63,3)="AM|",IF($C63="","",SUMPRODUCT($AP$5:$AP$302*($AN$5:$AN$302=$A63),$AU$5:$AU$302)),IF(LEFT($AI63,2)="S|",IF($AG63="","",INDEX($AU$5:$AU$302,$AH63)),IF($AI63="HDR","Trans LY",""))))))</f>
        <v/>
      </c>
      <c r="R63" s="41" t="str">
        <f t="shared" si="51"/>
        <v/>
      </c>
      <c r="S63" s="41" t="str">
        <f t="shared" si="52"/>
        <v/>
      </c>
      <c r="T63" s="42" t="str">
        <f t="shared" si="53"/>
        <v/>
      </c>
      <c r="U63" s="42" t="str">
        <f t="shared" si="54"/>
        <v/>
      </c>
      <c r="V63" s="41" t="str">
        <f t="shared" si="55"/>
        <v/>
      </c>
      <c r="W63" s="40" t="str" cm="1">
        <f t="array" ref="W63">IF($AI63="","",IF(LEFT($AI63,2)="C|",_xlfn.LET(_xlpm.n,SUMPRODUCT($AP$5:$AP$302*($AO$5:$AO$302=$A63),$BB$5:$BB$302),IF(_xlpm.n=0,"",_xlpm.n)),IF($AI63="CT",W$13,IF(LEFT($AI63,3)="AM|",_xlfn.LET(_xlpm.n,SUMPRODUCT($AP$5:$AP$302*($AN$5:$AN$302=$A63),$BB$5:$BB$302),IF(_xlpm.n=0,"",_xlpm.n)),IF(LEFT($AI63,2)="S|",IF($AG63="","",_xlfn.LET(_xlpm.n,INDEX($BB$5:$BB$302,$AH63),IF(_xlpm.n=0,"",_xlpm.n))),IF($AI63="HDR","Footfall",""))))))</f>
        <v/>
      </c>
      <c r="X63" s="40" t="str" cm="1">
        <f t="array" ref="X63">IF($AI63="","",IF($AI63="HDR","Trans (FF stores)",IF(W63="","",IF(LEFT($AI63,2)="C|",SUMPRODUCT($AP$5:$AP$302*($AO$5:$AO$302=$A63),$BC$5:$BC$302),IF($AI63="CT",X$13,IF(LEFT($AI63,3)="AM|",SUMPRODUCT($AP$5:$AP$302*($AN$5:$AN$302=$A63),$BC$5:$BC$302),IF(LEFT($AI63,2)="S|",INDEX($BC$5:$BC$302,$AH63),"")))))))</f>
        <v/>
      </c>
      <c r="Y63" s="41" t="str">
        <f t="shared" si="44"/>
        <v/>
      </c>
      <c r="Z63" s="40" t="str" cm="1">
        <f t="array" ref="Z63">IF($AI63="","",IF(LEFT($AI63,2)="C|",IF($C63="","",SUMPRODUCT($AP$5:$AP$302*($AO$5:$AO$302=$A63),$CB$5:$CB$302)),IF($AI63="CT",Z$13,IF(LEFT($AI63,3)="AM|",IF($C63="","",SUMPRODUCT($AP$5:$AP$302*($AN$5:$AN$302=$A63),$CB$5:$CB$302)),IF(LEFT($AI63,2)="S|",IF($AG63="","",INDEX($CB$5:$CB$302,$AH63)),IF($AI63="HDR","Makeup Sales",""))))))</f>
        <v/>
      </c>
      <c r="AA63" s="41" t="str">
        <f t="shared" si="56"/>
        <v/>
      </c>
      <c r="AB63" s="40" t="str" cm="1">
        <f t="array" ref="AB63">IF($AI63="","",IF(LEFT($AI63,2)="C|",IF($C63="","",SUMPRODUCT($AP$5:$AP$302*($AO$5:$AO$302=$A63),$CK$5:$CK$302)),IF($AI63="CT",AB$13,IF(LEFT($AI63,3)="AM|",IF($C63="","",SUMPRODUCT($AP$5:$AP$302*($AN$5:$AN$302=$A63),$CK$5:$CK$302)),IF(LEFT($AI63,2)="S|",IF($AG63="","",INDEX($CK$5:$CK$302,$AH63)),IF($AI63="HDR","Makeup Target",""))))))</f>
        <v/>
      </c>
      <c r="AC63" s="41" t="str">
        <f t="shared" si="45"/>
        <v/>
      </c>
      <c r="AD63" s="40" t="str" cm="1">
        <f t="array" ref="AD63">IF($AI63="","",IF(LEFT($AI63,2)="C|",IF($C63="","",SUMPRODUCT($AP$5:$AP$302*($AO$5:$AO$302=$A63),$CI$5:$CI$302)),IF($AI63="CT",AD$13,IF(LEFT($AI63,3)="AM|",IF($C63="","",SUMPRODUCT($AP$5:$AP$302*($AN$5:$AN$302=$A63),$CI$5:$CI$302)),IF(LEFT($AI63,2)="S|",IF($AG63="","",INDEX($CI$5:$CI$302,$AH63)),IF($AI63="HDR","Cosmetic Sales",""))))))</f>
        <v/>
      </c>
      <c r="AE63" s="8" t="str" cm="1">
        <f t="array" ref="AE63">IF($AI63="","",IF(LEFT($AI63,2)="C|",IF($C63="","",SUMPRODUCT($AP$5:$AP$302*($AO$5:$AO$302=$A63)*$AQ$5:$AQ$302,$AR$5:$AR$302)),IF($AI63="CT",AE$13,IF(LEFT($AI63,3)="AM|",IF($C63="","",SUMPRODUCT($AP$5:$AP$302*($AN$5:$AN$302=$A63)*$AQ$5:$AQ$302,$AR$5:$AR$302)),IF(LEFT($AI63,2)="S|",IF($AG63="","",IF(INDEX($AQ$5:$AQ$302,$AH63)=1,D63,0)),IF($AI63="HDR","LFL Sales",""))))))</f>
        <v/>
      </c>
      <c r="AF63" s="8" t="str" cm="1">
        <f t="array" ref="AF63">IF($AI63="","",IF(LEFT($AI63,2)="C|",IF($C63="","",SUMPRODUCT($AP$5:$AP$302*($AO$5:$AO$302=$A63)*$AQ$5:$AQ$302,$AS$5:$AS$302)),IF($AI63="CT",AF$13,IF(LEFT($AI63,3)="AM|",IF($C63="","",SUMPRODUCT($AP$5:$AP$302*($AN$5:$AN$302=$A63)*$AQ$5:$AQ$302,$AS$5:$AS$302)),IF(LEFT($AI63,2)="S|",IF($AG63="","",IF(INDEX($AQ$5:$AQ$302,$AH63)=1,P63,0)),IF($AI63="HDR","LFL Trans",""))))))</f>
        <v/>
      </c>
      <c r="AG63" s="8" t="str" cm="1">
        <f t="array" ref="AG63">IF($AI63="","",IF(LEFT($AI63,2)="C|","",IF($AI63="CT","",IF(LEFT($AI63,3)="AM|","",IF(LEFT($AI63,2)="S|",IF($AH63="","",IF(INDEX($AP$5:$AP$302,$AH63)=1,1,"")),IF($AI63="HDR","Show",""))))))</f>
        <v/>
      </c>
      <c r="AH63" s="8" t="str">
        <f t="shared" si="57"/>
        <v/>
      </c>
      <c r="AI63" s="8"/>
      <c r="AN63" s="8" t="str" cm="1">
        <f t="array" ref="AN63">IF($AW63="","",_xlfn.LET(_xlpm.sa,IFERROR(TRIM(INDEX('Sales and count'!$D$4:$D$300,$BF63)&amp;""),""),_xlpm.ta,IFERROR(TRIM(INDEX('TY Sales Target'!$F$5:$F$300,$BG63)&amp;""),""),IF(AND(_xlpm.sa&lt;&gt;"",LEFT(_xlpm.sa,1)&lt;&gt;"#",_xlpm.sa&lt;&gt;"0"),_xlpm.sa,IF(AND(_xlpm.ta&lt;&gt;"",LEFT(_xlpm.ta,1)&lt;&gt;"#",_xlpm.ta&lt;&gt;"0"),_xlpm.ta,IF(ISNUMBER($BG63),"Unassigned","")))))</f>
        <v>Lina Al Ghathami</v>
      </c>
      <c r="AO63" s="8" t="str" cm="1">
        <f t="array" ref="AO63">IF($AW63="","",_xlfn.LET(_xlpm.sa,IFERROR(TRIM(INDEX('Sales and count'!$C$4:$C$300,$BF63)&amp;""),""),_xlpm.ta,IFERROR(TRIM(INDEX('TY Sales Target'!$D$5:$D$300,$BG63)&amp;""),""),IF(AND(_xlpm.sa&lt;&gt;"",LEFT(_xlpm.sa,1)&lt;&gt;"#",_xlpm.sa&lt;&gt;"0"),_xlpm.sa,IF(AND(_xlpm.ta&lt;&gt;"",LEFT(_xlpm.ta,1)&lt;&gt;"#",_xlpm.ta&lt;&gt;"0"),_xlpm.ta,""))))</f>
        <v>Riyadh</v>
      </c>
      <c r="AP63" s="8">
        <f t="shared" si="2"/>
        <v>0</v>
      </c>
      <c r="AQ63" s="8">
        <f t="shared" si="0"/>
        <v>1</v>
      </c>
      <c r="AR63" s="8" cm="1">
        <f t="array" ref="AR63">IF($BF63="",0,_xlfn.LET(_xlpm.d,IFERROR(--'Sales and count'!$G$2:$CC$2,0),SUMPRODUCT(('Sales and count'!$G$3:$CC$3="Total")*(_xlpm.d&gt;=$U$4)*(_xlpm.d&lt;=$U$5),INDEX('Sales and count'!$G$4:$CC$300,$BF63,0))))</f>
        <v>201607.33</v>
      </c>
      <c r="AS63" s="8" cm="1">
        <f t="array" aca="1" ref="AS63" ca="1">IF($BF63="",0,_xlfn.LET(_xlpm.d,IFERROR(--'Sales and count'!$F$2:$CB$2,0),SUMPRODUCT(('Sales and count'!$G$3:$CC$3="Transactions")*(_xlpm.d&gt;=$U$4)*(_xlpm.d&lt;=$U$5),INDEX('Sales and count'!$G$4:$CC$300,$BF63,0))))</f>
        <v>1359</v>
      </c>
      <c r="AT63" s="8" cm="1">
        <f t="array" ref="AT63">IF($AW63="",0,SUMPRODUCT((TRIM('LY Sales '!$B$5:$B$200)=$AW63)*('LY Sales '!$C$2:$AG$2&gt;=EDATE($U$4,-12))*('LY Sales '!$C$2:$AG$2&lt;=EDATE($U$5,-12)),'LY Sales '!$C$5:$AG$200))</f>
        <v>242990.86000000002</v>
      </c>
      <c r="AU63" s="8" cm="1">
        <f t="array" ref="AU63">IF($AW63="",0,SUMPRODUCT((TRIM('LY Transaction'!$B$5:$B$200)=$AW63)*('LY Transaction'!$C$2:$AG$2&gt;=EDATE($U$4,-12))*('LY Transaction'!$C$2:$AG$2&lt;=EDATE($U$5,-12)),'LY Transaction'!$C$5:$AG$200))</f>
        <v>1704</v>
      </c>
      <c r="AV63" s="8" cm="1">
        <f t="array" ref="AV63">IF(NOT(ISNUMBER($BG63)),0,SUMPRODUCT(('TY Sales Target'!$K$2:$AO$2&gt;=$U$4)*('TY Sales Target'!$K$2:$AO$2&lt;=$U$5),INDEX('TY Sales Target'!$K$5:$AO$300,$BG63,0)))</f>
        <v>308768.51107446523</v>
      </c>
      <c r="AW63" s="8" t="str" cm="1">
        <f t="array" ref="AW63">IFERROR(INDEX(_xlfn.ANCHORARRAY($BR$5),ROWS($AW$5:AW63)),"")</f>
        <v>ALAZIZIYAH</v>
      </c>
      <c r="BB63" cm="1">
        <f t="array" ref="BB63">IF($AW63="",0,SUMPRODUCT((TRIM(Footfall!$B$5:$B$301)=$AW63)*(Footfall!$C$1:$BZ$1&gt;=$U$4)*(Footfall!$C$2:$BZ$2&lt;=$U$5)*(Footfall!$C$1:$BZ$1&lt;&gt;""),Footfall!$C$5:$BZ$301))</f>
        <v>4929</v>
      </c>
      <c r="BC63" cm="1">
        <f t="array" aca="1" ref="BC63" ca="1">IF(OR($BB63&lt;=0,$BD$1="",$BF63=""),0,_xlfn.LET(_xlpm.d,IFERROR(--'Sales and count'!$F$2:$CB$2,0),SUMPRODUCT(('Sales and count'!$G$3:$CC$3="Transactions")*(_xlpm.d&gt;=$BD$1)*(_xlpm.d&lt;=$BD$2),INDEX('Sales and count'!$G$4:$CC$300,$BF63,0))))</f>
        <v>1359</v>
      </c>
      <c r="BF63" cm="1">
        <f t="array" ref="BF63">IF($AW63="","",IFERROR(MATCH($AW63,TRIM('Sales and count'!$A$4:$A$300&amp;""),0),""))</f>
        <v>59</v>
      </c>
      <c r="BG63" cm="1">
        <f t="array" ref="BG63">IF($AW63="","",IFERROR(MATCH(IFERROR(_xlfn.XLOOKUP($AW63,$BT$5:$BT$22,$BU$5:$BU$22),$AW63),TRIM('TY Sales Target'!$B$5:$B$300&amp;""),0),""))</f>
        <v>16</v>
      </c>
      <c r="BH63" t="str" cm="1">
        <f t="array" ref="BH63">IF(ISNUMBER($BG63),_xlfn.LET(_xlpm.p,TRIM(INDEX('TY Sales Target'!$I$5:$I$300,$BG63)&amp;""),IF(_xlpm.p="","Not set",_xlpm.p)),"Not set")</f>
        <v>Car</v>
      </c>
      <c r="BI63" cm="1">
        <f t="array" ref="BI63">IF($BF63="",0,_xlfn.LET(_xlpm.d,IFERROR(--'Sales and count'!$G$2:$CC$2,0),SUMPRODUCT(('Sales and count'!$G$3:$CC$3="Total")*(_xlpm.d&gt;=$BZ$5)*(_xlpm.d&lt;=$BZ$6),INDEX('Sales and count'!$G$4:$CC$300,$BF63,0))))</f>
        <v>201607.33</v>
      </c>
      <c r="BJ63" cm="1">
        <f t="array" ref="BJ63">IF($AW63="",0,SUMPRODUCT((TRIM('LY Sales '!$B$5:$B$200)=$AW63)*('LY Sales '!$C$2:$AG$2&gt;=EDATE($BZ$5,-12))*('LY Sales '!$C$2:$AG$2&lt;=EDATE($BZ$6,-12)),'LY Sales '!$C$5:$AG$200))</f>
        <v>242990.86000000002</v>
      </c>
      <c r="BK63" cm="1">
        <f t="array" ref="BK63">IF($AW63="",0,SUMPRODUCT((TRIM('LY Sales '!$B$5:$B$200)=$AW63)*('LY Sales '!$C$2:$AG$2&gt;=EDATE($BZ$5,-12))*('LY Sales '!$C$2:$AG$2&lt;=EDATE($BZ$7,-12)),'LY Sales '!$C$5:$AG$200))</f>
        <v>306141.96999999997</v>
      </c>
      <c r="BL63" cm="1">
        <f t="array" ref="BL63">IF($AW63="",0,SUMPRODUCT((TRIM('LY Sales '!$B$5:$B$200)=$AW63)*('LY Sales '!$C$2:$AG$2&gt;=EDATE($BZ$5,-12))*('LY Sales '!$C$2:$AG$2&lt;=EDATE($BZ$6,-12))*('LY Sales '!$C$5:$AG$200&gt;0)))</f>
        <v>26</v>
      </c>
      <c r="BM63" cm="1">
        <f t="array" ref="BM63">IF(NOT(ISNUMBER($BG63)),0,SUMPRODUCT(('TY Sales Target'!$K$2:$AO$2&gt;=$BZ$5)*('TY Sales Target'!$K$2:$AO$2&lt;=$BZ$6),INDEX('TY Sales Target'!$K$5:$AO$300,$BG63,0)))</f>
        <v>308768.51107446523</v>
      </c>
      <c r="BN63" cm="1">
        <f t="array" ref="BN63">IF(NOT(ISNUMBER($BG63)),0,SUMPRODUCT(('TY Sales Target'!$K$2:$AO$2&gt;=$BZ$5)*('TY Sales Target'!$K$2:$AO$2&lt;=$BZ$7),INDEX('TY Sales Target'!$K$5:$AO$300,$BG63,0)))</f>
        <v>403000</v>
      </c>
      <c r="BO63" cm="1">
        <f t="array" ref="BO63">IF($AW63="",0,IFERROR(_xlfn.SWITCH($BP63,"LY trend",$BI63*$BK63/$BJ63,"Target curve",$BI63*$BN63/$BM63,"Run rate",$BI63/$BZ$8*$BZ$9,0),0))</f>
        <v>254003.23770466135</v>
      </c>
      <c r="BP63" t="str">
        <f t="shared" si="1"/>
        <v>LY trend</v>
      </c>
      <c r="BR63" t="str">
        <v>ALAZIZIYAH</v>
      </c>
      <c r="CB63" cm="1">
        <f t="array" ref="CB63">IF($AW63="",0,_xlfn.LET(_xlpm.k,IFERROR(_xlfn.XLOOKUP($AW63,$CD$6:$CD$21,$CE$6:$CE$21),$AW63),SUMPRODUCT((TRIM('Makeup '!$A$2:$A$300&amp;"")=_xlpm.k)*1,IFERROR('Makeup '!$F$2:$F$300*1,0))))</f>
        <v>9320.08</v>
      </c>
      <c r="CF63" t="str" cm="1">
        <f t="array" ref="CF63">IF($AW63="","",_xlfn.LET(_xlpm.c,IFERROR(TRIM(INDEX('Sales and count'!$B$4:$B$300,$BF63)&amp;""),""),IF(OR(_xlpm.c="",_xlpm.c="0",LEFT(_xlpm.c,1)="#"),"Not set",_xlpm.c)))</f>
        <v>KSA</v>
      </c>
      <c r="CH63" cm="1">
        <f t="array" ref="CH63">IF($AW63="",0,_xlfn.LET(_xlpm.k,IFERROR(_xlfn.XLOOKUP($AW63,$CD$6:$CD$21,$CE$6:$CE$21),$AW63),--(SUMPRODUCT((TRIM('Makeup '!$A$2:$A$300&amp;"")=_xlpm.k)*ISNUMBER('Makeup '!$F$2:$F$300))&gt;0)))</f>
        <v>1</v>
      </c>
      <c r="CI63">
        <f t="shared" si="4"/>
        <v>201607.33</v>
      </c>
      <c r="CJ63" cm="1">
        <f t="array" ref="CJ63">IF($AW63="",0,--(SUMPRODUCT(--(TRIM(Footfall!$B$5:$B$301)=$AW63))&gt;0))</f>
        <v>1</v>
      </c>
      <c r="CK63" s="8" cm="1">
        <f t="array" ref="CK63">IF($AW63="",0,_xlfn.LET(_xlpm.r,IFERROR(MATCH(IFERROR(_xlfn.XLOOKUP($AW63,$BT$5:$BT$22,$BU$5:$BU$22),$AW63),TRIM('TY Beauty Target'!$B$5:$B$300&amp;""),0),""),IF(ISNUMBER(_xlpm.r),SUMPRODUCT(('TY Beauty Target'!$L$2:$AP$2&gt;=$U$4)*('TY Beauty Target'!$L$2:$AP$2&lt;=$U$5),INDEX('TY Beauty Target'!$L$5:$AP$300,_xlpm.r,0)),0)))</f>
        <v>13949.419130253231</v>
      </c>
    </row>
    <row r="64" spans="1:89" ht="15" customHeight="1" x14ac:dyDescent="0.25">
      <c r="A64" s="38" t="str">
        <f t="shared" si="58"/>
        <v/>
      </c>
      <c r="B64" s="43" t="str" cm="1">
        <f t="array" ref="B64">IF($AI64="","",IF(LEFT($AI64,2)="C|",IF($C64="","",_xlfn.TEXTJOIN(", ",TRUE,_xlfn.UNIQUE(_xlfn._xlws.FILTER($AN$5:$AN$302,($AP$5:$AP$302=1)*($AO$5:$AO$302=$A64))))),IF($AI64="CT",B$13,IF(LEFT($AI64,3)="AM|",IF($C64="","",ROWS(_xlfn.UNIQUE(_xlfn._xlws.FILTER($AO$5:$AO$302,($AP$5:$AP$302=1)*($AN$5:$AN$302=$A64))))),IF(LEFT($AI64,2)="S|",IF($AG64="","",INDEX($AO$5:$AO$302,$AH64)),IF($AI64="HDR","City",""))))))</f>
        <v/>
      </c>
      <c r="C64" s="39" t="str" cm="1">
        <f t="array" ref="C64">IF($AI64="","",IF(LEFT($AI64,2)="C|",_xlfn.LET(_xlpm.n,SUMPRODUCT($AP$5:$AP$302*($AO$5:$AO$302=$A64)),IF(_xlpm.n=0,"",_xlpm.n)),IF($AI64="CT",C$13,IF(LEFT($AI64,3)="AM|",_xlfn.LET(_xlpm.n,SUMPRODUCT($AP$5:$AP$302*($AN$5:$AN$302=$A64)),IF(_xlpm.n=0,"",_xlpm.n)),IF(LEFT($AI64,2)="S|","",IF($AI64="HDR","# Stores",""))))))</f>
        <v/>
      </c>
      <c r="D64" s="40" t="str" cm="1">
        <f t="array" ref="D64">IF($AI64="","",IF(LEFT($AI64,2)="C|",IF($C64="","",SUMPRODUCT($AP$5:$AP$302*($AO$5:$AO$302=$A64),$AR$5:$AR$302)),IF($AI64="CT",D$13,IF(LEFT($AI64,3)="AM|",IF($C64="","",SUMPRODUCT($AP$5:$AP$302*($AN$5:$AN$302=$A64),$AR$5:$AR$302)),IF(LEFT($AI64,2)="S|",IF($AG64="","",INDEX($AR$5:$AR$302,$AH64)),IF($AI64="HDR","Sales TY",""))))))</f>
        <v/>
      </c>
      <c r="E64" s="40" t="str" cm="1">
        <f t="array" ref="E64">IF($AI64="","",IF(LEFT($AI64,2)="C|",IF($C64="","",SUMPRODUCT($AP$5:$AP$302*($AO$5:$AO$302=$A64),$AT$5:$AT$302)),IF($AI64="CT",E$13,IF(LEFT($AI64,3)="AM|",IF($C64="","",SUMPRODUCT($AP$5:$AP$302*($AN$5:$AN$302=$A64),$AT$5:$AT$302)),IF(LEFT($AI64,2)="S|",IF($AG64="","",INDEX($AT$5:$AT$302,$AH64)),IF($AI64="HDR","Sales LY",""))))))</f>
        <v/>
      </c>
      <c r="F64" s="41" t="str">
        <f t="shared" si="46"/>
        <v/>
      </c>
      <c r="G64" s="41" t="str">
        <f t="shared" si="47"/>
        <v/>
      </c>
      <c r="H64" s="40" t="str" cm="1">
        <f t="array" ref="H64">IF($AI64="","",IF(LEFT($AI64,2)="C|",IF($C64="","",SUMPRODUCT($AP$5:$AP$302*($AO$5:$AO$302=$A64),$AV$5:$AV$302)),IF($AI64="CT",H$13,IF(LEFT($AI64,3)="AM|",IF($C64="","",SUMPRODUCT($AP$5:$AP$302*($AN$5:$AN$302=$A64),$AV$5:$AV$302)),IF(LEFT($AI64,2)="S|",IF($AG64="","",INDEX($AV$5:$AV$302,$AH64)),IF($AI64="HDR","Target",""))))))</f>
        <v/>
      </c>
      <c r="I64" s="41" t="str">
        <f t="shared" si="48"/>
        <v/>
      </c>
      <c r="J64" s="40" t="str">
        <f t="shared" si="49"/>
        <v/>
      </c>
      <c r="K64" s="41" t="str">
        <f t="shared" si="50"/>
        <v/>
      </c>
      <c r="L64" s="40" t="str" cm="1">
        <f t="array" ref="L64">IF($AI64="","",IF(LEFT($AI64,2)="C|",IF($C64="","",SUMPRODUCT($AP$5:$AP$302*($AO$5:$AO$302=$A64),$BN$5:$BN$302)),IF($AI64="CT",L$13,IF(LEFT($AI64,3)="AM|",IF($C64="","",SUMPRODUCT($AP$5:$AP$302*($AN$5:$AN$302=$A64),$BN$5:$BN$302)),IF(LEFT($AI64,2)="S|",IF($AG64="","",INDEX($BN$5:$BN$302,$AH64)),IF($AI64="HDR","Month Target",""))))))</f>
        <v/>
      </c>
      <c r="M64" s="40" t="str" cm="1">
        <f t="array" ref="M64">IF($AI64="","",IF(LEFT($AI64,2)="C|",IF($C64="","",SUMPRODUCT($AP$5:$AP$302*($AO$5:$AO$302=$A64),$BO$5:$BO$302)),IF($AI64="CT",M$13,IF(LEFT($AI64,3)="AM|",IF($C64="","",SUMPRODUCT($AP$5:$AP$302*($AN$5:$AN$302=$A64),$BO$5:$BO$302)),IF(LEFT($AI64,2)="S|",IF($AG64="","",INDEX($BO$5:$BO$302,$AH64)),IF($AI64="HDR","Projected Close",""))))))</f>
        <v/>
      </c>
      <c r="N64" s="41" t="str">
        <f t="shared" si="43"/>
        <v/>
      </c>
      <c r="O64" s="41" t="str" cm="1">
        <f t="array" ref="O64">IF($AI64="HDR","Proj. vs LY",IF(OR($AI64="",M64=""),"",_xlfn.LET(_xlpm.ly,IF(LEFT($AI64,2)="C|",SUMPRODUCT($AP$5:$AP$302*($AO$5:$AO$302=$A64),$BK$5:$BK$302),IF($AI64="CT",SUMPRODUCT($AP$5:$AP$302,$BK$5:$BK$302),IF(LEFT($AI64,3)="AM|",SUMPRODUCT($AP$5:$AP$302*($AN$5:$AN$302=$A64),$BK$5:$BK$302),IF(LEFT($AI64,2)="S|",INDEX($BK$5:$BK$302,$AH64),0)))),IFERROR(M64/_xlpm.ly-1,""))))</f>
        <v/>
      </c>
      <c r="P64" s="40" t="str" cm="1">
        <f t="array" ref="P64">IF($AI64="","",IF(LEFT($AI64,2)="C|",IF($C64="","",SUMPRODUCT($AP$5:$AP$302*($AO$5:$AO$302=$A64),$AS$5:$AS$302)),IF($AI64="CT",P$13,IF(LEFT($AI64,3)="AM|",IF($C64="","",SUMPRODUCT($AP$5:$AP$302*($AN$5:$AN$302=$A64),$AS$5:$AS$302)),IF(LEFT($AI64,2)="S|",IF($AG64="","",INDEX($AS$5:$AS$302,$AH64)),IF($AI64="HDR","Trans TY",""))))))</f>
        <v/>
      </c>
      <c r="Q64" s="40" t="str" cm="1">
        <f t="array" ref="Q64">IF($AI64="","",IF(LEFT($AI64,2)="C|",IF($C64="","",SUMPRODUCT($AP$5:$AP$302*($AO$5:$AO$302=$A64),$AU$5:$AU$302)),IF($AI64="CT",Q$13,IF(LEFT($AI64,3)="AM|",IF($C64="","",SUMPRODUCT($AP$5:$AP$302*($AN$5:$AN$302=$A64),$AU$5:$AU$302)),IF(LEFT($AI64,2)="S|",IF($AG64="","",INDEX($AU$5:$AU$302,$AH64)),IF($AI64="HDR","Trans LY",""))))))</f>
        <v/>
      </c>
      <c r="R64" s="41" t="str">
        <f t="shared" si="51"/>
        <v/>
      </c>
      <c r="S64" s="41" t="str">
        <f t="shared" si="52"/>
        <v/>
      </c>
      <c r="T64" s="42" t="str">
        <f t="shared" si="53"/>
        <v/>
      </c>
      <c r="U64" s="42" t="str">
        <f t="shared" si="54"/>
        <v/>
      </c>
      <c r="V64" s="41" t="str">
        <f t="shared" si="55"/>
        <v/>
      </c>
      <c r="W64" s="40" t="str" cm="1">
        <f t="array" ref="W64">IF($AI64="","",IF(LEFT($AI64,2)="C|",_xlfn.LET(_xlpm.n,SUMPRODUCT($AP$5:$AP$302*($AO$5:$AO$302=$A64),$BB$5:$BB$302),IF(_xlpm.n=0,"",_xlpm.n)),IF($AI64="CT",W$13,IF(LEFT($AI64,3)="AM|",_xlfn.LET(_xlpm.n,SUMPRODUCT($AP$5:$AP$302*($AN$5:$AN$302=$A64),$BB$5:$BB$302),IF(_xlpm.n=0,"",_xlpm.n)),IF(LEFT($AI64,2)="S|",IF($AG64="","",_xlfn.LET(_xlpm.n,INDEX($BB$5:$BB$302,$AH64),IF(_xlpm.n=0,"",_xlpm.n))),IF($AI64="HDR","Footfall",""))))))</f>
        <v/>
      </c>
      <c r="X64" s="40" t="str" cm="1">
        <f t="array" ref="X64">IF($AI64="","",IF($AI64="HDR","Trans (FF stores)",IF(W64="","",IF(LEFT($AI64,2)="C|",SUMPRODUCT($AP$5:$AP$302*($AO$5:$AO$302=$A64),$BC$5:$BC$302),IF($AI64="CT",X$13,IF(LEFT($AI64,3)="AM|",SUMPRODUCT($AP$5:$AP$302*($AN$5:$AN$302=$A64),$BC$5:$BC$302),IF(LEFT($AI64,2)="S|",INDEX($BC$5:$BC$302,$AH64),"")))))))</f>
        <v/>
      </c>
      <c r="Y64" s="41" t="str">
        <f t="shared" si="44"/>
        <v/>
      </c>
      <c r="Z64" s="40" t="str" cm="1">
        <f t="array" ref="Z64">IF($AI64="","",IF(LEFT($AI64,2)="C|",IF($C64="","",SUMPRODUCT($AP$5:$AP$302*($AO$5:$AO$302=$A64),$CB$5:$CB$302)),IF($AI64="CT",Z$13,IF(LEFT($AI64,3)="AM|",IF($C64="","",SUMPRODUCT($AP$5:$AP$302*($AN$5:$AN$302=$A64),$CB$5:$CB$302)),IF(LEFT($AI64,2)="S|",IF($AG64="","",INDEX($CB$5:$CB$302,$AH64)),IF($AI64="HDR","Makeup Sales",""))))))</f>
        <v/>
      </c>
      <c r="AA64" s="41" t="str">
        <f t="shared" si="56"/>
        <v/>
      </c>
      <c r="AB64" s="40" t="str" cm="1">
        <f t="array" ref="AB64">IF($AI64="","",IF(LEFT($AI64,2)="C|",IF($C64="","",SUMPRODUCT($AP$5:$AP$302*($AO$5:$AO$302=$A64),$CK$5:$CK$302)),IF($AI64="CT",AB$13,IF(LEFT($AI64,3)="AM|",IF($C64="","",SUMPRODUCT($AP$5:$AP$302*($AN$5:$AN$302=$A64),$CK$5:$CK$302)),IF(LEFT($AI64,2)="S|",IF($AG64="","",INDEX($CK$5:$CK$302,$AH64)),IF($AI64="HDR","Makeup Target",""))))))</f>
        <v/>
      </c>
      <c r="AC64" s="41" t="str">
        <f t="shared" si="45"/>
        <v/>
      </c>
      <c r="AD64" s="40" t="str" cm="1">
        <f t="array" ref="AD64">IF($AI64="","",IF(LEFT($AI64,2)="C|",IF($C64="","",SUMPRODUCT($AP$5:$AP$302*($AO$5:$AO$302=$A64),$CI$5:$CI$302)),IF($AI64="CT",AD$13,IF(LEFT($AI64,3)="AM|",IF($C64="","",SUMPRODUCT($AP$5:$AP$302*($AN$5:$AN$302=$A64),$CI$5:$CI$302)),IF(LEFT($AI64,2)="S|",IF($AG64="","",INDEX($CI$5:$CI$302,$AH64)),IF($AI64="HDR","Cosmetic Sales",""))))))</f>
        <v/>
      </c>
      <c r="AE64" s="8" t="str" cm="1">
        <f t="array" ref="AE64">IF($AI64="","",IF(LEFT($AI64,2)="C|",IF($C64="","",SUMPRODUCT($AP$5:$AP$302*($AO$5:$AO$302=$A64)*$AQ$5:$AQ$302,$AR$5:$AR$302)),IF($AI64="CT",AE$13,IF(LEFT($AI64,3)="AM|",IF($C64="","",SUMPRODUCT($AP$5:$AP$302*($AN$5:$AN$302=$A64)*$AQ$5:$AQ$302,$AR$5:$AR$302)),IF(LEFT($AI64,2)="S|",IF($AG64="","",IF(INDEX($AQ$5:$AQ$302,$AH64)=1,D64,0)),IF($AI64="HDR","LFL Sales",""))))))</f>
        <v/>
      </c>
      <c r="AF64" s="8" t="str" cm="1">
        <f t="array" ref="AF64">IF($AI64="","",IF(LEFT($AI64,2)="C|",IF($C64="","",SUMPRODUCT($AP$5:$AP$302*($AO$5:$AO$302=$A64)*$AQ$5:$AQ$302,$AS$5:$AS$302)),IF($AI64="CT",AF$13,IF(LEFT($AI64,3)="AM|",IF($C64="","",SUMPRODUCT($AP$5:$AP$302*($AN$5:$AN$302=$A64)*$AQ$5:$AQ$302,$AS$5:$AS$302)),IF(LEFT($AI64,2)="S|",IF($AG64="","",IF(INDEX($AQ$5:$AQ$302,$AH64)=1,P64,0)),IF($AI64="HDR","LFL Trans",""))))))</f>
        <v/>
      </c>
      <c r="AG64" s="8" t="str" cm="1">
        <f t="array" ref="AG64">IF($AI64="","",IF(LEFT($AI64,2)="C|","",IF($AI64="CT","",IF(LEFT($AI64,3)="AM|","",IF(LEFT($AI64,2)="S|",IF($AH64="","",IF(INDEX($AP$5:$AP$302,$AH64)=1,1,"")),IF($AI64="HDR","Show",""))))))</f>
        <v/>
      </c>
      <c r="AH64" s="8" t="str">
        <f t="shared" si="57"/>
        <v/>
      </c>
      <c r="AI64" s="8"/>
      <c r="AN64" s="8" t="str" cm="1">
        <f t="array" ref="AN64">IF($AW64="","",_xlfn.LET(_xlpm.sa,IFERROR(TRIM(INDEX('Sales and count'!$D$4:$D$300,$BF64)&amp;""),""),_xlpm.ta,IFERROR(TRIM(INDEX('TY Sales Target'!$F$5:$F$300,$BG64)&amp;""),""),IF(AND(_xlpm.sa&lt;&gt;"",LEFT(_xlpm.sa,1)&lt;&gt;"#",_xlpm.sa&lt;&gt;"0"),_xlpm.sa,IF(AND(_xlpm.ta&lt;&gt;"",LEFT(_xlpm.ta,1)&lt;&gt;"#",_xlpm.ta&lt;&gt;"0"),_xlpm.ta,IF(ISNUMBER($BG64),"Unassigned","")))))</f>
        <v>Hamzah Al Makhadam</v>
      </c>
      <c r="AO64" s="8" t="str" cm="1">
        <f t="array" ref="AO64">IF($AW64="","",_xlfn.LET(_xlpm.sa,IFERROR(TRIM(INDEX('Sales and count'!$C$4:$C$300,$BF64)&amp;""),""),_xlpm.ta,IFERROR(TRIM(INDEX('TY Sales Target'!$D$5:$D$300,$BG64)&amp;""),""),IF(AND(_xlpm.sa&lt;&gt;"",LEFT(_xlpm.sa,1)&lt;&gt;"#",_xlpm.sa&lt;&gt;"0"),_xlpm.sa,IF(AND(_xlpm.ta&lt;&gt;"",LEFT(_xlpm.ta,1)&lt;&gt;"#",_xlpm.ta&lt;&gt;"0"),_xlpm.ta,""))))</f>
        <v>Khobar</v>
      </c>
      <c r="AP64" s="8">
        <f t="shared" si="2"/>
        <v>0</v>
      </c>
      <c r="AQ64" s="8">
        <f t="shared" si="0"/>
        <v>0</v>
      </c>
      <c r="AR64" s="8" cm="1">
        <f t="array" ref="AR64">IF($BF64="",0,_xlfn.LET(_xlpm.d,IFERROR(--'Sales and count'!$G$2:$CC$2,0),SUMPRODUCT(('Sales and count'!$G$3:$CC$3="Total")*(_xlpm.d&gt;=$U$4)*(_xlpm.d&lt;=$U$5),INDEX('Sales and count'!$G$4:$CC$300,$BF64,0))))</f>
        <v>199138.49999999997</v>
      </c>
      <c r="AS64" s="8" cm="1">
        <f t="array" aca="1" ref="AS64" ca="1">IF($BF64="",0,_xlfn.LET(_xlpm.d,IFERROR(--'Sales and count'!$F$2:$CB$2,0),SUMPRODUCT(('Sales and count'!$G$3:$CC$3="Transactions")*(_xlpm.d&gt;=$U$4)*(_xlpm.d&lt;=$U$5),INDEX('Sales and count'!$G$4:$CC$300,$BF64,0))))</f>
        <v>804</v>
      </c>
      <c r="AT64" s="8" cm="1">
        <f t="array" ref="AT64">IF($AW64="",0,SUMPRODUCT((TRIM('LY Sales '!$B$5:$B$200)=$AW64)*('LY Sales '!$C$2:$AG$2&gt;=EDATE($U$4,-12))*('LY Sales '!$C$2:$AG$2&lt;=EDATE($U$5,-12)),'LY Sales '!$C$5:$AG$200))</f>
        <v>0</v>
      </c>
      <c r="AU64" s="8" cm="1">
        <f t="array" ref="AU64">IF($AW64="",0,SUMPRODUCT((TRIM('LY Transaction'!$B$5:$B$200)=$AW64)*('LY Transaction'!$C$2:$AG$2&gt;=EDATE($U$4,-12))*('LY Transaction'!$C$2:$AG$2&lt;=EDATE($U$5,-12)),'LY Transaction'!$C$5:$AG$200))</f>
        <v>0</v>
      </c>
      <c r="AV64" s="8" cm="1">
        <f t="array" ref="AV64">IF(NOT(ISNUMBER($BG64)),0,SUMPRODUCT(('TY Sales Target'!$K$2:$AO$2&gt;=$U$4)*('TY Sales Target'!$K$2:$AO$2&lt;=$U$5),INDEX('TY Sales Target'!$K$5:$AO$300,$BG64,0)))</f>
        <v>296509.71162734018</v>
      </c>
      <c r="AW64" s="8" t="str" cm="1">
        <f t="array" ref="AW64">IFERROR(INDEX(_xlfn.ANCHORARRAY($BR$5),ROWS($AW$5:AW64)),"")</f>
        <v>HARASHID</v>
      </c>
      <c r="BB64" cm="1">
        <f t="array" ref="BB64">IF($AW64="",0,SUMPRODUCT((TRIM(Footfall!$B$5:$B$301)=$AW64)*(Footfall!$C$1:$BZ$1&gt;=$U$4)*(Footfall!$C$2:$BZ$2&lt;=$U$5)*(Footfall!$C$1:$BZ$1&lt;&gt;""),Footfall!$C$5:$BZ$301))</f>
        <v>0</v>
      </c>
      <c r="BC64" cm="1">
        <f t="array" ref="BC64">IF(OR($BB64&lt;=0,$BD$1="",$BF64=""),0,_xlfn.LET(_xlpm.d,IFERROR(--'Sales and count'!$F$2:$CB$2,0),SUMPRODUCT(('Sales and count'!$G$3:$CC$3="Transactions")*(_xlpm.d&gt;=$BD$1)*(_xlpm.d&lt;=$BD$2),INDEX('Sales and count'!$G$4:$CC$300,$BF64,0))))</f>
        <v>0</v>
      </c>
      <c r="BF64" cm="1">
        <f t="array" ref="BF64">IF($AW64="","",IFERROR(MATCH($AW64,TRIM('Sales and count'!$A$4:$A$300&amp;""),0),""))</f>
        <v>60</v>
      </c>
      <c r="BG64" cm="1">
        <f t="array" ref="BG64">IF($AW64="","",IFERROR(MATCH(IFERROR(_xlfn.XLOOKUP($AW64,$BT$5:$BT$22,$BU$5:$BU$22),$AW64),TRIM('TY Sales Target'!$B$5:$B$300&amp;""),0),""))</f>
        <v>18</v>
      </c>
      <c r="BH64" t="str" cm="1">
        <f t="array" ref="BH64">IF(ISNUMBER($BG64),_xlfn.LET(_xlpm.p,TRIM(INDEX('TY Sales Target'!$I$5:$I$300,$BG64)&amp;""),IF(_xlpm.p="","Not set",_xlpm.p)),"Not set")</f>
        <v>Smart Phone</v>
      </c>
      <c r="BI64" cm="1">
        <f t="array" ref="BI64">IF($BF64="",0,_xlfn.LET(_xlpm.d,IFERROR(--'Sales and count'!$G$2:$CC$2,0),SUMPRODUCT(('Sales and count'!$G$3:$CC$3="Total")*(_xlpm.d&gt;=$BZ$5)*(_xlpm.d&lt;=$BZ$6),INDEX('Sales and count'!$G$4:$CC$300,$BF64,0))))</f>
        <v>199138.49999999997</v>
      </c>
      <c r="BJ64" cm="1">
        <f t="array" ref="BJ64">IF($AW64="",0,SUMPRODUCT((TRIM('LY Sales '!$B$5:$B$200)=$AW64)*('LY Sales '!$C$2:$AG$2&gt;=EDATE($BZ$5,-12))*('LY Sales '!$C$2:$AG$2&lt;=EDATE($BZ$6,-12)),'LY Sales '!$C$5:$AG$200))</f>
        <v>0</v>
      </c>
      <c r="BK64" cm="1">
        <f t="array" ref="BK64">IF($AW64="",0,SUMPRODUCT((TRIM('LY Sales '!$B$5:$B$200)=$AW64)*('LY Sales '!$C$2:$AG$2&gt;=EDATE($BZ$5,-12))*('LY Sales '!$C$2:$AG$2&lt;=EDATE($BZ$7,-12)),'LY Sales '!$C$5:$AG$200))</f>
        <v>0</v>
      </c>
      <c r="BL64" cm="1">
        <f t="array" ref="BL64">IF($AW64="",0,SUMPRODUCT((TRIM('LY Sales '!$B$5:$B$200)=$AW64)*('LY Sales '!$C$2:$AG$2&gt;=EDATE($BZ$5,-12))*('LY Sales '!$C$2:$AG$2&lt;=EDATE($BZ$6,-12))*('LY Sales '!$C$5:$AG$200&gt;0)))</f>
        <v>0</v>
      </c>
      <c r="BM64" cm="1">
        <f t="array" ref="BM64">IF(NOT(ISNUMBER($BG64)),0,SUMPRODUCT(('TY Sales Target'!$K$2:$AO$2&gt;=$BZ$5)*('TY Sales Target'!$K$2:$AO$2&lt;=$BZ$6),INDEX('TY Sales Target'!$K$5:$AO$300,$BG64,0)))</f>
        <v>296509.71162734018</v>
      </c>
      <c r="BN64" cm="1">
        <f t="array" ref="BN64">IF(NOT(ISNUMBER($BG64)),0,SUMPRODUCT(('TY Sales Target'!$K$2:$AO$2&gt;=$BZ$5)*('TY Sales Target'!$K$2:$AO$2&lt;=$BZ$7),INDEX('TY Sales Target'!$K$5:$AO$300,$BG64,0)))</f>
        <v>387000.00000000012</v>
      </c>
      <c r="BO64" cm="1">
        <f t="array" ref="BO64">IF($AW64="",0,IFERROR(_xlfn.SWITCH($BP64,"LY trend",$BI64*$BK64/$BJ64,"Target curve",$BI64*$BN64/$BM64,"Run rate",$BI64/$BZ$8*$BZ$9,0),0))</f>
        <v>259912.56433738329</v>
      </c>
      <c r="BP64" t="str">
        <f t="shared" si="1"/>
        <v>Target curve</v>
      </c>
      <c r="BR64" t="str">
        <v>HARASHID</v>
      </c>
      <c r="CB64" cm="1">
        <f t="array" ref="CB64">IF($AW64="",0,_xlfn.LET(_xlpm.k,IFERROR(_xlfn.XLOOKUP($AW64,$CD$6:$CD$21,$CE$6:$CE$21),$AW64),SUMPRODUCT((TRIM('Makeup '!$A$2:$A$300&amp;"")=_xlpm.k)*1,IFERROR('Makeup '!$F$2:$F$300*1,0))))</f>
        <v>10726.81</v>
      </c>
      <c r="CF64" t="str" cm="1">
        <f t="array" ref="CF64">IF($AW64="","",_xlfn.LET(_xlpm.c,IFERROR(TRIM(INDEX('Sales and count'!$B$4:$B$300,$BF64)&amp;""),""),IF(OR(_xlpm.c="",_xlpm.c="0",LEFT(_xlpm.c,1)="#"),"Not set",_xlpm.c)))</f>
        <v>KSA</v>
      </c>
      <c r="CH64" cm="1">
        <f t="array" ref="CH64">IF($AW64="",0,_xlfn.LET(_xlpm.k,IFERROR(_xlfn.XLOOKUP($AW64,$CD$6:$CD$21,$CE$6:$CE$21),$AW64),--(SUMPRODUCT((TRIM('Makeup '!$A$2:$A$300&amp;"")=_xlpm.k)*ISNUMBER('Makeup '!$F$2:$F$300))&gt;0)))</f>
        <v>1</v>
      </c>
      <c r="CI64">
        <f t="shared" si="4"/>
        <v>199138.49999999997</v>
      </c>
      <c r="CJ64" cm="1">
        <f t="array" ref="CJ64">IF($AW64="",0,--(SUMPRODUCT(--(TRIM(Footfall!$B$5:$B$301)=$AW64))&gt;0))</f>
        <v>0</v>
      </c>
      <c r="CK64" s="8" cm="1">
        <f t="array" ref="CK64">IF($AW64="",0,_xlfn.LET(_xlpm.r,IFERROR(MATCH(IFERROR(_xlfn.XLOOKUP($AW64,$BT$5:$BT$22,$BU$5:$BU$22),$AW64),TRIM('TY Beauty Target'!$B$5:$B$300&amp;""),0),""),IF(ISNUMBER(_xlpm.r),SUMPRODUCT(('TY Beauty Target'!$L$2:$AP$2&gt;=$U$4)*('TY Beauty Target'!$L$2:$AP$2&lt;=$U$5),INDEX('TY Beauty Target'!$L$5:$AP$300,_xlpm.r,0)),0)))</f>
        <v>18229.057864297749</v>
      </c>
    </row>
    <row r="65" spans="1:89" ht="15" customHeight="1" x14ac:dyDescent="0.25">
      <c r="A65" s="38" t="str">
        <f t="shared" si="58"/>
        <v/>
      </c>
      <c r="B65" s="43" t="str" cm="1">
        <f t="array" ref="B65">IF($AI65="","",IF(LEFT($AI65,2)="C|",IF($C65="","",_xlfn.TEXTJOIN(", ",TRUE,_xlfn.UNIQUE(_xlfn._xlws.FILTER($AN$5:$AN$302,($AP$5:$AP$302=1)*($AO$5:$AO$302=$A65))))),IF($AI65="CT",B$13,IF(LEFT($AI65,3)="AM|",IF($C65="","",ROWS(_xlfn.UNIQUE(_xlfn._xlws.FILTER($AO$5:$AO$302,($AP$5:$AP$302=1)*($AN$5:$AN$302=$A65))))),IF(LEFT($AI65,2)="S|",IF($AG65="","",INDEX($AO$5:$AO$302,$AH65)),IF($AI65="HDR","City",""))))))</f>
        <v/>
      </c>
      <c r="C65" s="39" t="str" cm="1">
        <f t="array" ref="C65">IF($AI65="","",IF(LEFT($AI65,2)="C|",_xlfn.LET(_xlpm.n,SUMPRODUCT($AP$5:$AP$302*($AO$5:$AO$302=$A65)),IF(_xlpm.n=0,"",_xlpm.n)),IF($AI65="CT",C$13,IF(LEFT($AI65,3)="AM|",_xlfn.LET(_xlpm.n,SUMPRODUCT($AP$5:$AP$302*($AN$5:$AN$302=$A65)),IF(_xlpm.n=0,"",_xlpm.n)),IF(LEFT($AI65,2)="S|","",IF($AI65="HDR","# Stores",""))))))</f>
        <v/>
      </c>
      <c r="D65" s="40" t="str" cm="1">
        <f t="array" ref="D65">IF($AI65="","",IF(LEFT($AI65,2)="C|",IF($C65="","",SUMPRODUCT($AP$5:$AP$302*($AO$5:$AO$302=$A65),$AR$5:$AR$302)),IF($AI65="CT",D$13,IF(LEFT($AI65,3)="AM|",IF($C65="","",SUMPRODUCT($AP$5:$AP$302*($AN$5:$AN$302=$A65),$AR$5:$AR$302)),IF(LEFT($AI65,2)="S|",IF($AG65="","",INDEX($AR$5:$AR$302,$AH65)),IF($AI65="HDR","Sales TY",""))))))</f>
        <v/>
      </c>
      <c r="E65" s="40" t="str" cm="1">
        <f t="array" ref="E65">IF($AI65="","",IF(LEFT($AI65,2)="C|",IF($C65="","",SUMPRODUCT($AP$5:$AP$302*($AO$5:$AO$302=$A65),$AT$5:$AT$302)),IF($AI65="CT",E$13,IF(LEFT($AI65,3)="AM|",IF($C65="","",SUMPRODUCT($AP$5:$AP$302*($AN$5:$AN$302=$A65),$AT$5:$AT$302)),IF(LEFT($AI65,2)="S|",IF($AG65="","",INDEX($AT$5:$AT$302,$AH65)),IF($AI65="HDR","Sales LY",""))))))</f>
        <v/>
      </c>
      <c r="F65" s="41" t="str">
        <f t="shared" si="46"/>
        <v/>
      </c>
      <c r="G65" s="41" t="str">
        <f t="shared" si="47"/>
        <v/>
      </c>
      <c r="H65" s="40" t="str" cm="1">
        <f t="array" ref="H65">IF($AI65="","",IF(LEFT($AI65,2)="C|",IF($C65="","",SUMPRODUCT($AP$5:$AP$302*($AO$5:$AO$302=$A65),$AV$5:$AV$302)),IF($AI65="CT",H$13,IF(LEFT($AI65,3)="AM|",IF($C65="","",SUMPRODUCT($AP$5:$AP$302*($AN$5:$AN$302=$A65),$AV$5:$AV$302)),IF(LEFT($AI65,2)="S|",IF($AG65="","",INDEX($AV$5:$AV$302,$AH65)),IF($AI65="HDR","Target",""))))))</f>
        <v/>
      </c>
      <c r="I65" s="41" t="str">
        <f t="shared" si="48"/>
        <v/>
      </c>
      <c r="J65" s="40" t="str">
        <f t="shared" si="49"/>
        <v/>
      </c>
      <c r="K65" s="41" t="str">
        <f t="shared" si="50"/>
        <v/>
      </c>
      <c r="L65" s="40" t="str" cm="1">
        <f t="array" ref="L65">IF($AI65="","",IF(LEFT($AI65,2)="C|",IF($C65="","",SUMPRODUCT($AP$5:$AP$302*($AO$5:$AO$302=$A65),$BN$5:$BN$302)),IF($AI65="CT",L$13,IF(LEFT($AI65,3)="AM|",IF($C65="","",SUMPRODUCT($AP$5:$AP$302*($AN$5:$AN$302=$A65),$BN$5:$BN$302)),IF(LEFT($AI65,2)="S|",IF($AG65="","",INDEX($BN$5:$BN$302,$AH65)),IF($AI65="HDR","Month Target",""))))))</f>
        <v/>
      </c>
      <c r="M65" s="40" t="str" cm="1">
        <f t="array" ref="M65">IF($AI65="","",IF(LEFT($AI65,2)="C|",IF($C65="","",SUMPRODUCT($AP$5:$AP$302*($AO$5:$AO$302=$A65),$BO$5:$BO$302)),IF($AI65="CT",M$13,IF(LEFT($AI65,3)="AM|",IF($C65="","",SUMPRODUCT($AP$5:$AP$302*($AN$5:$AN$302=$A65),$BO$5:$BO$302)),IF(LEFT($AI65,2)="S|",IF($AG65="","",INDEX($BO$5:$BO$302,$AH65)),IF($AI65="HDR","Projected Close",""))))))</f>
        <v/>
      </c>
      <c r="N65" s="41" t="str">
        <f t="shared" si="43"/>
        <v/>
      </c>
      <c r="O65" s="41" t="str" cm="1">
        <f t="array" ref="O65">IF($AI65="HDR","Proj. vs LY",IF(OR($AI65="",M65=""),"",_xlfn.LET(_xlpm.ly,IF(LEFT($AI65,2)="C|",SUMPRODUCT($AP$5:$AP$302*($AO$5:$AO$302=$A65),$BK$5:$BK$302),IF($AI65="CT",SUMPRODUCT($AP$5:$AP$302,$BK$5:$BK$302),IF(LEFT($AI65,3)="AM|",SUMPRODUCT($AP$5:$AP$302*($AN$5:$AN$302=$A65),$BK$5:$BK$302),IF(LEFT($AI65,2)="S|",INDEX($BK$5:$BK$302,$AH65),0)))),IFERROR(M65/_xlpm.ly-1,""))))</f>
        <v/>
      </c>
      <c r="P65" s="40" t="str" cm="1">
        <f t="array" ref="P65">IF($AI65="","",IF(LEFT($AI65,2)="C|",IF($C65="","",SUMPRODUCT($AP$5:$AP$302*($AO$5:$AO$302=$A65),$AS$5:$AS$302)),IF($AI65="CT",P$13,IF(LEFT($AI65,3)="AM|",IF($C65="","",SUMPRODUCT($AP$5:$AP$302*($AN$5:$AN$302=$A65),$AS$5:$AS$302)),IF(LEFT($AI65,2)="S|",IF($AG65="","",INDEX($AS$5:$AS$302,$AH65)),IF($AI65="HDR","Trans TY",""))))))</f>
        <v/>
      </c>
      <c r="Q65" s="40" t="str" cm="1">
        <f t="array" ref="Q65">IF($AI65="","",IF(LEFT($AI65,2)="C|",IF($C65="","",SUMPRODUCT($AP$5:$AP$302*($AO$5:$AO$302=$A65),$AU$5:$AU$302)),IF($AI65="CT",Q$13,IF(LEFT($AI65,3)="AM|",IF($C65="","",SUMPRODUCT($AP$5:$AP$302*($AN$5:$AN$302=$A65),$AU$5:$AU$302)),IF(LEFT($AI65,2)="S|",IF($AG65="","",INDEX($AU$5:$AU$302,$AH65)),IF($AI65="HDR","Trans LY",""))))))</f>
        <v/>
      </c>
      <c r="R65" s="41" t="str">
        <f t="shared" si="51"/>
        <v/>
      </c>
      <c r="S65" s="41" t="str">
        <f t="shared" si="52"/>
        <v/>
      </c>
      <c r="T65" s="42" t="str">
        <f t="shared" si="53"/>
        <v/>
      </c>
      <c r="U65" s="42" t="str">
        <f t="shared" si="54"/>
        <v/>
      </c>
      <c r="V65" s="41" t="str">
        <f t="shared" si="55"/>
        <v/>
      </c>
      <c r="W65" s="40" t="str" cm="1">
        <f t="array" ref="W65">IF($AI65="","",IF(LEFT($AI65,2)="C|",_xlfn.LET(_xlpm.n,SUMPRODUCT($AP$5:$AP$302*($AO$5:$AO$302=$A65),$BB$5:$BB$302),IF(_xlpm.n=0,"",_xlpm.n)),IF($AI65="CT",W$13,IF(LEFT($AI65,3)="AM|",_xlfn.LET(_xlpm.n,SUMPRODUCT($AP$5:$AP$302*($AN$5:$AN$302=$A65),$BB$5:$BB$302),IF(_xlpm.n=0,"",_xlpm.n)),IF(LEFT($AI65,2)="S|",IF($AG65="","",_xlfn.LET(_xlpm.n,INDEX($BB$5:$BB$302,$AH65),IF(_xlpm.n=0,"",_xlpm.n))),IF($AI65="HDR","Footfall",""))))))</f>
        <v/>
      </c>
      <c r="X65" s="40" t="str" cm="1">
        <f t="array" ref="X65">IF($AI65="","",IF($AI65="HDR","Trans (FF stores)",IF(W65="","",IF(LEFT($AI65,2)="C|",SUMPRODUCT($AP$5:$AP$302*($AO$5:$AO$302=$A65),$BC$5:$BC$302),IF($AI65="CT",X$13,IF(LEFT($AI65,3)="AM|",SUMPRODUCT($AP$5:$AP$302*($AN$5:$AN$302=$A65),$BC$5:$BC$302),IF(LEFT($AI65,2)="S|",INDEX($BC$5:$BC$302,$AH65),"")))))))</f>
        <v/>
      </c>
      <c r="Y65" s="41" t="str">
        <f t="shared" si="44"/>
        <v/>
      </c>
      <c r="Z65" s="40" t="str" cm="1">
        <f t="array" ref="Z65">IF($AI65="","",IF(LEFT($AI65,2)="C|",IF($C65="","",SUMPRODUCT($AP$5:$AP$302*($AO$5:$AO$302=$A65),$CB$5:$CB$302)),IF($AI65="CT",Z$13,IF(LEFT($AI65,3)="AM|",IF($C65="","",SUMPRODUCT($AP$5:$AP$302*($AN$5:$AN$302=$A65),$CB$5:$CB$302)),IF(LEFT($AI65,2)="S|",IF($AG65="","",INDEX($CB$5:$CB$302,$AH65)),IF($AI65="HDR","Makeup Sales",""))))))</f>
        <v/>
      </c>
      <c r="AA65" s="41" t="str">
        <f t="shared" si="56"/>
        <v/>
      </c>
      <c r="AB65" s="40" t="str" cm="1">
        <f t="array" ref="AB65">IF($AI65="","",IF(LEFT($AI65,2)="C|",IF($C65="","",SUMPRODUCT($AP$5:$AP$302*($AO$5:$AO$302=$A65),$CK$5:$CK$302)),IF($AI65="CT",AB$13,IF(LEFT($AI65,3)="AM|",IF($C65="","",SUMPRODUCT($AP$5:$AP$302*($AN$5:$AN$302=$A65),$CK$5:$CK$302)),IF(LEFT($AI65,2)="S|",IF($AG65="","",INDEX($CK$5:$CK$302,$AH65)),IF($AI65="HDR","Makeup Target",""))))))</f>
        <v/>
      </c>
      <c r="AC65" s="41" t="str">
        <f t="shared" si="45"/>
        <v/>
      </c>
      <c r="AD65" s="40" t="str" cm="1">
        <f t="array" ref="AD65">IF($AI65="","",IF(LEFT($AI65,2)="C|",IF($C65="","",SUMPRODUCT($AP$5:$AP$302*($AO$5:$AO$302=$A65),$CI$5:$CI$302)),IF($AI65="CT",AD$13,IF(LEFT($AI65,3)="AM|",IF($C65="","",SUMPRODUCT($AP$5:$AP$302*($AN$5:$AN$302=$A65),$CI$5:$CI$302)),IF(LEFT($AI65,2)="S|",IF($AG65="","",INDEX($CI$5:$CI$302,$AH65)),IF($AI65="HDR","Cosmetic Sales",""))))))</f>
        <v/>
      </c>
      <c r="AE65" s="8" t="str" cm="1">
        <f t="array" ref="AE65">IF($AI65="","",IF(LEFT($AI65,2)="C|",IF($C65="","",SUMPRODUCT($AP$5:$AP$302*($AO$5:$AO$302=$A65)*$AQ$5:$AQ$302,$AR$5:$AR$302)),IF($AI65="CT",AE$13,IF(LEFT($AI65,3)="AM|",IF($C65="","",SUMPRODUCT($AP$5:$AP$302*($AN$5:$AN$302=$A65)*$AQ$5:$AQ$302,$AR$5:$AR$302)),IF(LEFT($AI65,2)="S|",IF($AG65="","",IF(INDEX($AQ$5:$AQ$302,$AH65)=1,D65,0)),IF($AI65="HDR","LFL Sales",""))))))</f>
        <v/>
      </c>
      <c r="AF65" s="8" t="str" cm="1">
        <f t="array" ref="AF65">IF($AI65="","",IF(LEFT($AI65,2)="C|",IF($C65="","",SUMPRODUCT($AP$5:$AP$302*($AO$5:$AO$302=$A65)*$AQ$5:$AQ$302,$AS$5:$AS$302)),IF($AI65="CT",AF$13,IF(LEFT($AI65,3)="AM|",IF($C65="","",SUMPRODUCT($AP$5:$AP$302*($AN$5:$AN$302=$A65)*$AQ$5:$AQ$302,$AS$5:$AS$302)),IF(LEFT($AI65,2)="S|",IF($AG65="","",IF(INDEX($AQ$5:$AQ$302,$AH65)=1,P65,0)),IF($AI65="HDR","LFL Trans",""))))))</f>
        <v/>
      </c>
      <c r="AG65" s="8" t="str" cm="1">
        <f t="array" ref="AG65">IF($AI65="","",IF(LEFT($AI65,2)="C|","",IF($AI65="CT","",IF(LEFT($AI65,3)="AM|","",IF(LEFT($AI65,2)="S|",IF($AH65="","",IF(INDEX($AP$5:$AP$302,$AH65)=1,1,"")),IF($AI65="HDR","Show",""))))))</f>
        <v/>
      </c>
      <c r="AH65" s="8" t="str">
        <f t="shared" si="57"/>
        <v/>
      </c>
      <c r="AI65" s="8"/>
      <c r="AN65" s="8" t="str" cm="1">
        <f t="array" ref="AN65">IF($AW65="","",_xlfn.LET(_xlpm.sa,IFERROR(TRIM(INDEX('Sales and count'!$D$4:$D$300,$BF65)&amp;""),""),_xlpm.ta,IFERROR(TRIM(INDEX('TY Sales Target'!$F$5:$F$300,$BG65)&amp;""),""),IF(AND(_xlpm.sa&lt;&gt;"",LEFT(_xlpm.sa,1)&lt;&gt;"#",_xlpm.sa&lt;&gt;"0"),_xlpm.sa,IF(AND(_xlpm.ta&lt;&gt;"",LEFT(_xlpm.ta,1)&lt;&gt;"#",_xlpm.ta&lt;&gt;"0"),_xlpm.ta,IF(ISNUMBER($BG65),"Unassigned","")))))</f>
        <v>Saleh Bin Hoiel</v>
      </c>
      <c r="AO65" s="8" t="str" cm="1">
        <f t="array" ref="AO65">IF($AW65="","",_xlfn.LET(_xlpm.sa,IFERROR(TRIM(INDEX('Sales and count'!$C$4:$C$300,$BF65)&amp;""),""),_xlpm.ta,IFERROR(TRIM(INDEX('TY Sales Target'!$D$5:$D$300,$BG65)&amp;""),""),IF(AND(_xlpm.sa&lt;&gt;"",LEFT(_xlpm.sa,1)&lt;&gt;"#",_xlpm.sa&lt;&gt;"0"),_xlpm.sa,IF(AND(_xlpm.ta&lt;&gt;"",LEFT(_xlpm.ta,1)&lt;&gt;"#",_xlpm.ta&lt;&gt;"0"),_xlpm.ta,""))))</f>
        <v>Jeddah</v>
      </c>
      <c r="AP65" s="8">
        <f t="shared" si="2"/>
        <v>1</v>
      </c>
      <c r="AQ65" s="8">
        <f t="shared" si="0"/>
        <v>0</v>
      </c>
      <c r="AR65" s="8" cm="1">
        <f t="array" ref="AR65">IF($BF65="",0,_xlfn.LET(_xlpm.d,IFERROR(--'Sales and count'!$G$2:$CC$2,0),SUMPRODUCT(('Sales and count'!$G$3:$CC$3="Total")*(_xlpm.d&gt;=$U$4)*(_xlpm.d&lt;=$U$5),INDEX('Sales and count'!$G$4:$CC$300,$BF65,0))))</f>
        <v>108959.47999999997</v>
      </c>
      <c r="AS65" s="8" cm="1">
        <f t="array" aca="1" ref="AS65" ca="1">IF($BF65="",0,_xlfn.LET(_xlpm.d,IFERROR(--'Sales and count'!$F$2:$CB$2,0),SUMPRODUCT(('Sales and count'!$G$3:$CC$3="Transactions")*(_xlpm.d&gt;=$U$4)*(_xlpm.d&lt;=$U$5),INDEX('Sales and count'!$G$4:$CC$300,$BF65,0))))</f>
        <v>918</v>
      </c>
      <c r="AT65" s="8" cm="1">
        <f t="array" ref="AT65">IF($AW65="",0,SUMPRODUCT((TRIM('LY Sales '!$B$5:$B$200)=$AW65)*('LY Sales '!$C$2:$AG$2&gt;=EDATE($U$4,-12))*('LY Sales '!$C$2:$AG$2&lt;=EDATE($U$5,-12)),'LY Sales '!$C$5:$AG$200))</f>
        <v>0</v>
      </c>
      <c r="AU65" s="8" cm="1">
        <f t="array" ref="AU65">IF($AW65="",0,SUMPRODUCT((TRIM('LY Transaction'!$B$5:$B$200)=$AW65)*('LY Transaction'!$C$2:$AG$2&gt;=EDATE($U$4,-12))*('LY Transaction'!$C$2:$AG$2&lt;=EDATE($U$5,-12)),'LY Transaction'!$C$5:$AG$200))</f>
        <v>0</v>
      </c>
      <c r="AV65" s="8" cm="1">
        <f t="array" ref="AV65">IF(NOT(ISNUMBER($BG65)),0,SUMPRODUCT(('TY Sales Target'!$K$2:$AO$2&gt;=$U$4)*('TY Sales Target'!$K$2:$AO$2&lt;=$U$5),INDEX('TY Sales Target'!$K$5:$AO$300,$BG65,0)))</f>
        <v>157065.86791629126</v>
      </c>
      <c r="AW65" s="8" t="str" cm="1">
        <f t="array" ref="AW65">IFERROR(INDEX(_xlfn.ANCHORARRAY($BR$5),ROWS($AW$5:AW65)),"")</f>
        <v>HAVILLAGE</v>
      </c>
      <c r="BB65" cm="1">
        <f t="array" ref="BB65">IF($AW65="",0,SUMPRODUCT((TRIM(Footfall!$B$5:$B$301)=$AW65)*(Footfall!$C$1:$BZ$1&gt;=$U$4)*(Footfall!$C$2:$BZ$2&lt;=$U$5)*(Footfall!$C$1:$BZ$1&lt;&gt;""),Footfall!$C$5:$BZ$301))</f>
        <v>0</v>
      </c>
      <c r="BC65" cm="1">
        <f t="array" ref="BC65">IF(OR($BB65&lt;=0,$BD$1="",$BF65=""),0,_xlfn.LET(_xlpm.d,IFERROR(--'Sales and count'!$F$2:$CB$2,0),SUMPRODUCT(('Sales and count'!$G$3:$CC$3="Transactions")*(_xlpm.d&gt;=$BD$1)*(_xlpm.d&lt;=$BD$2),INDEX('Sales and count'!$G$4:$CC$300,$BF65,0))))</f>
        <v>0</v>
      </c>
      <c r="BF65" cm="1">
        <f t="array" ref="BF65">IF($AW65="","",IFERROR(MATCH($AW65,TRIM('Sales and count'!$A$4:$A$300&amp;""),0),""))</f>
        <v>61</v>
      </c>
      <c r="BG65" cm="1">
        <f t="array" ref="BG65">IF($AW65="","",IFERROR(MATCH(IFERROR(_xlfn.XLOOKUP($AW65,$BT$5:$BT$22,$BU$5:$BU$22),$AW65),TRIM('TY Sales Target'!$B$5:$B$300&amp;""),0),""))</f>
        <v>66</v>
      </c>
      <c r="BH65" t="str" cm="1">
        <f t="array" ref="BH65">IF(ISNUMBER($BG65),_xlfn.LET(_xlpm.p,TRIM(INDEX('TY Sales Target'!$I$5:$I$300,$BG65)&amp;""),IF(_xlpm.p="","Not set",_xlpm.p)),"Not set")</f>
        <v>Smart Phone</v>
      </c>
      <c r="BI65" cm="1">
        <f t="array" ref="BI65">IF($BF65="",0,_xlfn.LET(_xlpm.d,IFERROR(--'Sales and count'!$G$2:$CC$2,0),SUMPRODUCT(('Sales and count'!$G$3:$CC$3="Total")*(_xlpm.d&gt;=$BZ$5)*(_xlpm.d&lt;=$BZ$6),INDEX('Sales and count'!$G$4:$CC$300,$BF65,0))))</f>
        <v>108959.47999999997</v>
      </c>
      <c r="BJ65" cm="1">
        <f t="array" ref="BJ65">IF($AW65="",0,SUMPRODUCT((TRIM('LY Sales '!$B$5:$B$200)=$AW65)*('LY Sales '!$C$2:$AG$2&gt;=EDATE($BZ$5,-12))*('LY Sales '!$C$2:$AG$2&lt;=EDATE($BZ$6,-12)),'LY Sales '!$C$5:$AG$200))</f>
        <v>0</v>
      </c>
      <c r="BK65" cm="1">
        <f t="array" ref="BK65">IF($AW65="",0,SUMPRODUCT((TRIM('LY Sales '!$B$5:$B$200)=$AW65)*('LY Sales '!$C$2:$AG$2&gt;=EDATE($BZ$5,-12))*('LY Sales '!$C$2:$AG$2&lt;=EDATE($BZ$7,-12)),'LY Sales '!$C$5:$AG$200))</f>
        <v>0</v>
      </c>
      <c r="BL65" cm="1">
        <f t="array" ref="BL65">IF($AW65="",0,SUMPRODUCT((TRIM('LY Sales '!$B$5:$B$200)=$AW65)*('LY Sales '!$C$2:$AG$2&gt;=EDATE($BZ$5,-12))*('LY Sales '!$C$2:$AG$2&lt;=EDATE($BZ$6,-12))*('LY Sales '!$C$5:$AG$200&gt;0)))</f>
        <v>0</v>
      </c>
      <c r="BM65" cm="1">
        <f t="array" ref="BM65">IF(NOT(ISNUMBER($BG65)),0,SUMPRODUCT(('TY Sales Target'!$K$2:$AO$2&gt;=$BZ$5)*('TY Sales Target'!$K$2:$AO$2&lt;=$BZ$6),INDEX('TY Sales Target'!$K$5:$AO$300,$BG65,0)))</f>
        <v>157065.86791629126</v>
      </c>
      <c r="BN65" cm="1">
        <f t="array" ref="BN65">IF(NOT(ISNUMBER($BG65)),0,SUMPRODUCT(('TY Sales Target'!$K$2:$AO$2&gt;=$BZ$5)*('TY Sales Target'!$K$2:$AO$2&lt;=$BZ$7),INDEX('TY Sales Target'!$K$5:$AO$300,$BG65,0)))</f>
        <v>205000</v>
      </c>
      <c r="BO65" cm="1">
        <f t="array" ref="BO65">IF($AW65="",0,IFERROR(_xlfn.SWITCH($BP65,"LY trend",$BI65*$BK65/$BJ65,"Target curve",$BI65*$BN65/$BM65,"Run rate",$BI65/$BZ$8*$BZ$9,0),0))</f>
        <v>142212.26862544319</v>
      </c>
      <c r="BP65" t="str">
        <f t="shared" si="1"/>
        <v>Target curve</v>
      </c>
      <c r="BR65" t="str">
        <v>HAVILLAGE</v>
      </c>
      <c r="CB65" cm="1">
        <f t="array" ref="CB65">IF($AW65="",0,_xlfn.LET(_xlpm.k,IFERROR(_xlfn.XLOOKUP($AW65,$CD$6:$CD$21,$CE$6:$CE$21),$AW65),SUMPRODUCT((TRIM('Makeup '!$A$2:$A$300&amp;"")=_xlpm.k)*1,IFERROR('Makeup '!$F$2:$F$300*1,0))))</f>
        <v>14810.28</v>
      </c>
      <c r="CF65" t="str" cm="1">
        <f t="array" ref="CF65">IF($AW65="","",_xlfn.LET(_xlpm.c,IFERROR(TRIM(INDEX('Sales and count'!$B$4:$B$300,$BF65)&amp;""),""),IF(OR(_xlpm.c="",_xlpm.c="0",LEFT(_xlpm.c,1)="#"),"Not set",_xlpm.c)))</f>
        <v>KSA</v>
      </c>
      <c r="CH65" cm="1">
        <f t="array" ref="CH65">IF($AW65="",0,_xlfn.LET(_xlpm.k,IFERROR(_xlfn.XLOOKUP($AW65,$CD$6:$CD$21,$CE$6:$CE$21),$AW65),--(SUMPRODUCT((TRIM('Makeup '!$A$2:$A$300&amp;"")=_xlpm.k)*ISNUMBER('Makeup '!$F$2:$F$300))&gt;0)))</f>
        <v>1</v>
      </c>
      <c r="CI65">
        <f t="shared" si="4"/>
        <v>108959.47999999997</v>
      </c>
      <c r="CJ65" cm="1">
        <f t="array" ref="CJ65">IF($AW65="",0,--(SUMPRODUCT(--(TRIM(Footfall!$B$5:$B$301)=$AW65))&gt;0))</f>
        <v>0</v>
      </c>
      <c r="CK65" s="8" cm="1">
        <f t="array" ref="CK65">IF($AW65="",0,_xlfn.LET(_xlpm.r,IFERROR(MATCH(IFERROR(_xlfn.XLOOKUP($AW65,$BT$5:$BT$22,$BU$5:$BU$22),$AW65),TRIM('TY Beauty Target'!$B$5:$B$300&amp;""),0),""),IF(ISNUMBER(_xlpm.r),SUMPRODUCT(('TY Beauty Target'!$L$2:$AP$2&gt;=$U$4)*('TY Beauty Target'!$L$2:$AP$2&lt;=$U$5),INDEX('TY Beauty Target'!$L$5:$AP$300,_xlpm.r,0)),0)))</f>
        <v>20027.652675468569</v>
      </c>
    </row>
    <row r="66" spans="1:89" ht="15" customHeight="1" x14ac:dyDescent="0.25">
      <c r="A66" s="38" t="str">
        <f t="shared" si="58"/>
        <v/>
      </c>
      <c r="B66" s="43" t="str" cm="1">
        <f t="array" ref="B66">IF($AI66="","",IF(LEFT($AI66,2)="C|",IF($C66="","",_xlfn.TEXTJOIN(", ",TRUE,_xlfn.UNIQUE(_xlfn._xlws.FILTER($AN$5:$AN$302,($AP$5:$AP$302=1)*($AO$5:$AO$302=$A66))))),IF($AI66="CT",B$13,IF(LEFT($AI66,3)="AM|",IF($C66="","",ROWS(_xlfn.UNIQUE(_xlfn._xlws.FILTER($AO$5:$AO$302,($AP$5:$AP$302=1)*($AN$5:$AN$302=$A66))))),IF(LEFT($AI66,2)="S|",IF($AG66="","",INDEX($AO$5:$AO$302,$AH66)),IF($AI66="HDR","City",""))))))</f>
        <v/>
      </c>
      <c r="C66" s="39" t="str" cm="1">
        <f t="array" ref="C66">IF($AI66="","",IF(LEFT($AI66,2)="C|",_xlfn.LET(_xlpm.n,SUMPRODUCT($AP$5:$AP$302*($AO$5:$AO$302=$A66)),IF(_xlpm.n=0,"",_xlpm.n)),IF($AI66="CT",C$13,IF(LEFT($AI66,3)="AM|",_xlfn.LET(_xlpm.n,SUMPRODUCT($AP$5:$AP$302*($AN$5:$AN$302=$A66)),IF(_xlpm.n=0,"",_xlpm.n)),IF(LEFT($AI66,2)="S|","",IF($AI66="HDR","# Stores",""))))))</f>
        <v/>
      </c>
      <c r="D66" s="40" t="str" cm="1">
        <f t="array" ref="D66">IF($AI66="","",IF(LEFT($AI66,2)="C|",IF($C66="","",SUMPRODUCT($AP$5:$AP$302*($AO$5:$AO$302=$A66),$AR$5:$AR$302)),IF($AI66="CT",D$13,IF(LEFT($AI66,3)="AM|",IF($C66="","",SUMPRODUCT($AP$5:$AP$302*($AN$5:$AN$302=$A66),$AR$5:$AR$302)),IF(LEFT($AI66,2)="S|",IF($AG66="","",INDEX($AR$5:$AR$302,$AH66)),IF($AI66="HDR","Sales TY",""))))))</f>
        <v/>
      </c>
      <c r="E66" s="40" t="str" cm="1">
        <f t="array" ref="E66">IF($AI66="","",IF(LEFT($AI66,2)="C|",IF($C66="","",SUMPRODUCT($AP$5:$AP$302*($AO$5:$AO$302=$A66),$AT$5:$AT$302)),IF($AI66="CT",E$13,IF(LEFT($AI66,3)="AM|",IF($C66="","",SUMPRODUCT($AP$5:$AP$302*($AN$5:$AN$302=$A66),$AT$5:$AT$302)),IF(LEFT($AI66,2)="S|",IF($AG66="","",INDEX($AT$5:$AT$302,$AH66)),IF($AI66="HDR","Sales LY",""))))))</f>
        <v/>
      </c>
      <c r="F66" s="41" t="str">
        <f t="shared" si="46"/>
        <v/>
      </c>
      <c r="G66" s="41" t="str">
        <f t="shared" si="47"/>
        <v/>
      </c>
      <c r="H66" s="40" t="str" cm="1">
        <f t="array" ref="H66">IF($AI66="","",IF(LEFT($AI66,2)="C|",IF($C66="","",SUMPRODUCT($AP$5:$AP$302*($AO$5:$AO$302=$A66),$AV$5:$AV$302)),IF($AI66="CT",H$13,IF(LEFT($AI66,3)="AM|",IF($C66="","",SUMPRODUCT($AP$5:$AP$302*($AN$5:$AN$302=$A66),$AV$5:$AV$302)),IF(LEFT($AI66,2)="S|",IF($AG66="","",INDEX($AV$5:$AV$302,$AH66)),IF($AI66="HDR","Target",""))))))</f>
        <v/>
      </c>
      <c r="I66" s="41" t="str">
        <f t="shared" si="48"/>
        <v/>
      </c>
      <c r="J66" s="40" t="str">
        <f t="shared" si="49"/>
        <v/>
      </c>
      <c r="K66" s="41" t="str">
        <f t="shared" si="50"/>
        <v/>
      </c>
      <c r="L66" s="40" t="str" cm="1">
        <f t="array" ref="L66">IF($AI66="","",IF(LEFT($AI66,2)="C|",IF($C66="","",SUMPRODUCT($AP$5:$AP$302*($AO$5:$AO$302=$A66),$BN$5:$BN$302)),IF($AI66="CT",L$13,IF(LEFT($AI66,3)="AM|",IF($C66="","",SUMPRODUCT($AP$5:$AP$302*($AN$5:$AN$302=$A66),$BN$5:$BN$302)),IF(LEFT($AI66,2)="S|",IF($AG66="","",INDEX($BN$5:$BN$302,$AH66)),IF($AI66="HDR","Month Target",""))))))</f>
        <v/>
      </c>
      <c r="M66" s="40" t="str" cm="1">
        <f t="array" ref="M66">IF($AI66="","",IF(LEFT($AI66,2)="C|",IF($C66="","",SUMPRODUCT($AP$5:$AP$302*($AO$5:$AO$302=$A66),$BO$5:$BO$302)),IF($AI66="CT",M$13,IF(LEFT($AI66,3)="AM|",IF($C66="","",SUMPRODUCT($AP$5:$AP$302*($AN$5:$AN$302=$A66),$BO$5:$BO$302)),IF(LEFT($AI66,2)="S|",IF($AG66="","",INDEX($BO$5:$BO$302,$AH66)),IF($AI66="HDR","Projected Close",""))))))</f>
        <v/>
      </c>
      <c r="N66" s="41" t="str">
        <f t="shared" si="43"/>
        <v/>
      </c>
      <c r="O66" s="41" t="str" cm="1">
        <f t="array" ref="O66">IF($AI66="HDR","Proj. vs LY",IF(OR($AI66="",M66=""),"",_xlfn.LET(_xlpm.ly,IF(LEFT($AI66,2)="C|",SUMPRODUCT($AP$5:$AP$302*($AO$5:$AO$302=$A66),$BK$5:$BK$302),IF($AI66="CT",SUMPRODUCT($AP$5:$AP$302,$BK$5:$BK$302),IF(LEFT($AI66,3)="AM|",SUMPRODUCT($AP$5:$AP$302*($AN$5:$AN$302=$A66),$BK$5:$BK$302),IF(LEFT($AI66,2)="S|",INDEX($BK$5:$BK$302,$AH66),0)))),IFERROR(M66/_xlpm.ly-1,""))))</f>
        <v/>
      </c>
      <c r="P66" s="40" t="str" cm="1">
        <f t="array" ref="P66">IF($AI66="","",IF(LEFT($AI66,2)="C|",IF($C66="","",SUMPRODUCT($AP$5:$AP$302*($AO$5:$AO$302=$A66),$AS$5:$AS$302)),IF($AI66="CT",P$13,IF(LEFT($AI66,3)="AM|",IF($C66="","",SUMPRODUCT($AP$5:$AP$302*($AN$5:$AN$302=$A66),$AS$5:$AS$302)),IF(LEFT($AI66,2)="S|",IF($AG66="","",INDEX($AS$5:$AS$302,$AH66)),IF($AI66="HDR","Trans TY",""))))))</f>
        <v/>
      </c>
      <c r="Q66" s="40" t="str" cm="1">
        <f t="array" ref="Q66">IF($AI66="","",IF(LEFT($AI66,2)="C|",IF($C66="","",SUMPRODUCT($AP$5:$AP$302*($AO$5:$AO$302=$A66),$AU$5:$AU$302)),IF($AI66="CT",Q$13,IF(LEFT($AI66,3)="AM|",IF($C66="","",SUMPRODUCT($AP$5:$AP$302*($AN$5:$AN$302=$A66),$AU$5:$AU$302)),IF(LEFT($AI66,2)="S|",IF($AG66="","",INDEX($AU$5:$AU$302,$AH66)),IF($AI66="HDR","Trans LY",""))))))</f>
        <v/>
      </c>
      <c r="R66" s="41" t="str">
        <f t="shared" si="51"/>
        <v/>
      </c>
      <c r="S66" s="41" t="str">
        <f t="shared" si="52"/>
        <v/>
      </c>
      <c r="T66" s="42" t="str">
        <f t="shared" si="53"/>
        <v/>
      </c>
      <c r="U66" s="42" t="str">
        <f t="shared" si="54"/>
        <v/>
      </c>
      <c r="V66" s="41" t="str">
        <f t="shared" si="55"/>
        <v/>
      </c>
      <c r="W66" s="40" t="str" cm="1">
        <f t="array" ref="W66">IF($AI66="","",IF(LEFT($AI66,2)="C|",_xlfn.LET(_xlpm.n,SUMPRODUCT($AP$5:$AP$302*($AO$5:$AO$302=$A66),$BB$5:$BB$302),IF(_xlpm.n=0,"",_xlpm.n)),IF($AI66="CT",W$13,IF(LEFT($AI66,3)="AM|",_xlfn.LET(_xlpm.n,SUMPRODUCT($AP$5:$AP$302*($AN$5:$AN$302=$A66),$BB$5:$BB$302),IF(_xlpm.n=0,"",_xlpm.n)),IF(LEFT($AI66,2)="S|",IF($AG66="","",_xlfn.LET(_xlpm.n,INDEX($BB$5:$BB$302,$AH66),IF(_xlpm.n=0,"",_xlpm.n))),IF($AI66="HDR","Footfall",""))))))</f>
        <v/>
      </c>
      <c r="X66" s="40" t="str" cm="1">
        <f t="array" ref="X66">IF($AI66="","",IF($AI66="HDR","Trans (FF stores)",IF(W66="","",IF(LEFT($AI66,2)="C|",SUMPRODUCT($AP$5:$AP$302*($AO$5:$AO$302=$A66),$BC$5:$BC$302),IF($AI66="CT",X$13,IF(LEFT($AI66,3)="AM|",SUMPRODUCT($AP$5:$AP$302*($AN$5:$AN$302=$A66),$BC$5:$BC$302),IF(LEFT($AI66,2)="S|",INDEX($BC$5:$BC$302,$AH66),"")))))))</f>
        <v/>
      </c>
      <c r="Y66" s="41" t="str">
        <f t="shared" si="44"/>
        <v/>
      </c>
      <c r="Z66" s="40" t="str" cm="1">
        <f t="array" ref="Z66">IF($AI66="","",IF(LEFT($AI66,2)="C|",IF($C66="","",SUMPRODUCT($AP$5:$AP$302*($AO$5:$AO$302=$A66),$CB$5:$CB$302)),IF($AI66="CT",Z$13,IF(LEFT($AI66,3)="AM|",IF($C66="","",SUMPRODUCT($AP$5:$AP$302*($AN$5:$AN$302=$A66),$CB$5:$CB$302)),IF(LEFT($AI66,2)="S|",IF($AG66="","",INDEX($CB$5:$CB$302,$AH66)),IF($AI66="HDR","Makeup Sales",""))))))</f>
        <v/>
      </c>
      <c r="AA66" s="41" t="str">
        <f t="shared" si="56"/>
        <v/>
      </c>
      <c r="AB66" s="40" t="str" cm="1">
        <f t="array" ref="AB66">IF($AI66="","",IF(LEFT($AI66,2)="C|",IF($C66="","",SUMPRODUCT($AP$5:$AP$302*($AO$5:$AO$302=$A66),$CK$5:$CK$302)),IF($AI66="CT",AB$13,IF(LEFT($AI66,3)="AM|",IF($C66="","",SUMPRODUCT($AP$5:$AP$302*($AN$5:$AN$302=$A66),$CK$5:$CK$302)),IF(LEFT($AI66,2)="S|",IF($AG66="","",INDEX($CK$5:$CK$302,$AH66)),IF($AI66="HDR","Makeup Target",""))))))</f>
        <v/>
      </c>
      <c r="AC66" s="41" t="str">
        <f t="shared" si="45"/>
        <v/>
      </c>
      <c r="AD66" s="40" t="str" cm="1">
        <f t="array" ref="AD66">IF($AI66="","",IF(LEFT($AI66,2)="C|",IF($C66="","",SUMPRODUCT($AP$5:$AP$302*($AO$5:$AO$302=$A66),$CI$5:$CI$302)),IF($AI66="CT",AD$13,IF(LEFT($AI66,3)="AM|",IF($C66="","",SUMPRODUCT($AP$5:$AP$302*($AN$5:$AN$302=$A66),$CI$5:$CI$302)),IF(LEFT($AI66,2)="S|",IF($AG66="","",INDEX($CI$5:$CI$302,$AH66)),IF($AI66="HDR","Cosmetic Sales",""))))))</f>
        <v/>
      </c>
      <c r="AE66" s="8" t="str" cm="1">
        <f t="array" ref="AE66">IF($AI66="","",IF(LEFT($AI66,2)="C|",IF($C66="","",SUMPRODUCT($AP$5:$AP$302*($AO$5:$AO$302=$A66)*$AQ$5:$AQ$302,$AR$5:$AR$302)),IF($AI66="CT",AE$13,IF(LEFT($AI66,3)="AM|",IF($C66="","",SUMPRODUCT($AP$5:$AP$302*($AN$5:$AN$302=$A66)*$AQ$5:$AQ$302,$AR$5:$AR$302)),IF(LEFT($AI66,2)="S|",IF($AG66="","",IF(INDEX($AQ$5:$AQ$302,$AH66)=1,D66,0)),IF($AI66="HDR","LFL Sales",""))))))</f>
        <v/>
      </c>
      <c r="AF66" s="8" t="str" cm="1">
        <f t="array" ref="AF66">IF($AI66="","",IF(LEFT($AI66,2)="C|",IF($C66="","",SUMPRODUCT($AP$5:$AP$302*($AO$5:$AO$302=$A66)*$AQ$5:$AQ$302,$AS$5:$AS$302)),IF($AI66="CT",AF$13,IF(LEFT($AI66,3)="AM|",IF($C66="","",SUMPRODUCT($AP$5:$AP$302*($AN$5:$AN$302=$A66)*$AQ$5:$AQ$302,$AS$5:$AS$302)),IF(LEFT($AI66,2)="S|",IF($AG66="","",IF(INDEX($AQ$5:$AQ$302,$AH66)=1,P66,0)),IF($AI66="HDR","LFL Trans",""))))))</f>
        <v/>
      </c>
      <c r="AG66" s="8" t="str" cm="1">
        <f t="array" ref="AG66">IF($AI66="","",IF(LEFT($AI66,2)="C|","",IF($AI66="CT","",IF(LEFT($AI66,3)="AM|","",IF(LEFT($AI66,2)="S|",IF($AH66="","",IF(INDEX($AP$5:$AP$302,$AH66)=1,1,"")),IF($AI66="HDR","Show",""))))))</f>
        <v/>
      </c>
      <c r="AH66" s="8" t="str">
        <f t="shared" si="57"/>
        <v/>
      </c>
      <c r="AI66" s="8"/>
      <c r="AN66" s="8" t="str" cm="1">
        <f t="array" ref="AN66">IF($AW66="","",_xlfn.LET(_xlpm.sa,IFERROR(TRIM(INDEX('Sales and count'!$D$4:$D$300,$BF66)&amp;""),""),_xlpm.ta,IFERROR(TRIM(INDEX('TY Sales Target'!$F$5:$F$300,$BG66)&amp;""),""),IF(AND(_xlpm.sa&lt;&gt;"",LEFT(_xlpm.sa,1)&lt;&gt;"#",_xlpm.sa&lt;&gt;"0"),_xlpm.sa,IF(AND(_xlpm.ta&lt;&gt;"",LEFT(_xlpm.ta,1)&lt;&gt;"#",_xlpm.ta&lt;&gt;"0"),_xlpm.ta,IF(ISNUMBER($BG66),"Unassigned","")))))</f>
        <v>Maram Zamzami</v>
      </c>
      <c r="AO66" s="8" t="str" cm="1">
        <f t="array" ref="AO66">IF($AW66="","",_xlfn.LET(_xlpm.sa,IFERROR(TRIM(INDEX('Sales and count'!$C$4:$C$300,$BF66)&amp;""),""),_xlpm.ta,IFERROR(TRIM(INDEX('TY Sales Target'!$D$5:$D$300,$BG66)&amp;""),""),IF(AND(_xlpm.sa&lt;&gt;"",LEFT(_xlpm.sa,1)&lt;&gt;"#",_xlpm.sa&lt;&gt;"0"),_xlpm.sa,IF(AND(_xlpm.ta&lt;&gt;"",LEFT(_xlpm.ta,1)&lt;&gt;"#",_xlpm.ta&lt;&gt;"0"),_xlpm.ta,""))))</f>
        <v>Makkah</v>
      </c>
      <c r="AP66" s="8">
        <f t="shared" si="2"/>
        <v>0</v>
      </c>
      <c r="AQ66" s="8">
        <f t="shared" si="0"/>
        <v>1</v>
      </c>
      <c r="AR66" s="8" cm="1">
        <f t="array" ref="AR66">IF($BF66="",0,_xlfn.LET(_xlpm.d,IFERROR(--'Sales and count'!$G$2:$CC$2,0),SUMPRODUCT(('Sales and count'!$G$3:$CC$3="Total")*(_xlpm.d&gt;=$U$4)*(_xlpm.d&lt;=$U$5),INDEX('Sales and count'!$G$4:$CC$300,$BF66,0))))</f>
        <v>187788.29</v>
      </c>
      <c r="AS66" s="8" cm="1">
        <f t="array" aca="1" ref="AS66" ca="1">IF($BF66="",0,_xlfn.LET(_xlpm.d,IFERROR(--'Sales and count'!$F$2:$CB$2,0),SUMPRODUCT(('Sales and count'!$G$3:$CC$3="Transactions")*(_xlpm.d&gt;=$U$4)*(_xlpm.d&lt;=$U$5),INDEX('Sales and count'!$G$4:$CC$300,$BF66,0))))</f>
        <v>1197</v>
      </c>
      <c r="AT66" s="8" cm="1">
        <f t="array" ref="AT66">IF($AW66="",0,SUMPRODUCT((TRIM('LY Sales '!$B$5:$B$200)=$AW66)*('LY Sales '!$C$2:$AG$2&gt;=EDATE($U$4,-12))*('LY Sales '!$C$2:$AG$2&lt;=EDATE($U$5,-12)),'LY Sales '!$C$5:$AG$200))</f>
        <v>349883.10000000003</v>
      </c>
      <c r="AU66" s="8" cm="1">
        <f t="array" ref="AU66">IF($AW66="",0,SUMPRODUCT((TRIM('LY Transaction'!$B$5:$B$200)=$AW66)*('LY Transaction'!$C$2:$AG$2&gt;=EDATE($U$4,-12))*('LY Transaction'!$C$2:$AG$2&lt;=EDATE($U$5,-12)),'LY Transaction'!$C$5:$AG$200))</f>
        <v>1576</v>
      </c>
      <c r="AV66" s="8" cm="1">
        <f t="array" ref="AV66">IF(NOT(ISNUMBER($BG66)),0,SUMPRODUCT(('TY Sales Target'!$K$2:$AO$2&gt;=$U$4)*('TY Sales Target'!$K$2:$AO$2&lt;=$U$5),INDEX('TY Sales Target'!$K$5:$AO$300,$BG66,0)))</f>
        <v>271992.11273308971</v>
      </c>
      <c r="AW66" s="8" t="str" cm="1">
        <f t="array" ref="AW66">IFERROR(INDEX(_xlfn.ANCHORARRAY($BR$5),ROWS($AW$5:AW66)),"")</f>
        <v>ALSHAWGIYAH</v>
      </c>
      <c r="BB66" cm="1">
        <f t="array" ref="BB66">IF($AW66="",0,SUMPRODUCT((TRIM(Footfall!$B$5:$B$301)=$AW66)*(Footfall!$C$1:$BZ$1&gt;=$U$4)*(Footfall!$C$2:$BZ$2&lt;=$U$5)*(Footfall!$C$1:$BZ$1&lt;&gt;""),Footfall!$C$5:$BZ$301))</f>
        <v>4518</v>
      </c>
      <c r="BC66" cm="1">
        <f t="array" aca="1" ref="BC66" ca="1">IF(OR($BB66&lt;=0,$BD$1="",$BF66=""),0,_xlfn.LET(_xlpm.d,IFERROR(--'Sales and count'!$F$2:$CB$2,0),SUMPRODUCT(('Sales and count'!$G$3:$CC$3="Transactions")*(_xlpm.d&gt;=$BD$1)*(_xlpm.d&lt;=$BD$2),INDEX('Sales and count'!$G$4:$CC$300,$BF66,0))))</f>
        <v>1197</v>
      </c>
      <c r="BF66" cm="1">
        <f t="array" ref="BF66">IF($AW66="","",IFERROR(MATCH($AW66,TRIM('Sales and count'!$A$4:$A$300&amp;""),0),""))</f>
        <v>62</v>
      </c>
      <c r="BG66" cm="1">
        <f t="array" ref="BG66">IF($AW66="","",IFERROR(MATCH(IFERROR(_xlfn.XLOOKUP($AW66,$BT$5:$BT$22,$BU$5:$BU$22),$AW66),TRIM('TY Sales Target'!$B$5:$B$300&amp;""),0),""))</f>
        <v>21</v>
      </c>
      <c r="BH66" t="str" cm="1">
        <f t="array" ref="BH66">IF(ISNUMBER($BG66),_xlfn.LET(_xlpm.p,TRIM(INDEX('TY Sales Target'!$I$5:$I$300,$BG66)&amp;""),IF(_xlpm.p="","Not set",_xlpm.p)),"Not set")</f>
        <v>Smart Phone</v>
      </c>
      <c r="BI66" cm="1">
        <f t="array" ref="BI66">IF($BF66="",0,_xlfn.LET(_xlpm.d,IFERROR(--'Sales and count'!$G$2:$CC$2,0),SUMPRODUCT(('Sales and count'!$G$3:$CC$3="Total")*(_xlpm.d&gt;=$BZ$5)*(_xlpm.d&lt;=$BZ$6),INDEX('Sales and count'!$G$4:$CC$300,$BF66,0))))</f>
        <v>187788.29</v>
      </c>
      <c r="BJ66" cm="1">
        <f t="array" ref="BJ66">IF($AW66="",0,SUMPRODUCT((TRIM('LY Sales '!$B$5:$B$200)=$AW66)*('LY Sales '!$C$2:$AG$2&gt;=EDATE($BZ$5,-12))*('LY Sales '!$C$2:$AG$2&lt;=EDATE($BZ$6,-12)),'LY Sales '!$C$5:$AG$200))</f>
        <v>349883.10000000003</v>
      </c>
      <c r="BK66" cm="1">
        <f t="array" ref="BK66">IF($AW66="",0,SUMPRODUCT((TRIM('LY Sales '!$B$5:$B$200)=$AW66)*('LY Sales '!$C$2:$AG$2&gt;=EDATE($BZ$5,-12))*('LY Sales '!$C$2:$AG$2&lt;=EDATE($BZ$7,-12)),'LY Sales '!$C$5:$AG$200))</f>
        <v>419808.21000000008</v>
      </c>
      <c r="BL66" cm="1">
        <f t="array" ref="BL66">IF($AW66="",0,SUMPRODUCT((TRIM('LY Sales '!$B$5:$B$200)=$AW66)*('LY Sales '!$C$2:$AG$2&gt;=EDATE($BZ$5,-12))*('LY Sales '!$C$2:$AG$2&lt;=EDATE($BZ$6,-12))*('LY Sales '!$C$5:$AG$200&gt;0)))</f>
        <v>26</v>
      </c>
      <c r="BM66" cm="1">
        <f t="array" ref="BM66">IF(NOT(ISNUMBER($BG66)),0,SUMPRODUCT(('TY Sales Target'!$K$2:$AO$2&gt;=$BZ$5)*('TY Sales Target'!$K$2:$AO$2&lt;=$BZ$6),INDEX('TY Sales Target'!$K$5:$AO$300,$BG66,0)))</f>
        <v>271992.11273308971</v>
      </c>
      <c r="BN66" cm="1">
        <f t="array" ref="BN66">IF(NOT(ISNUMBER($BG66)),0,SUMPRODUCT(('TY Sales Target'!$K$2:$AO$2&gt;=$BZ$5)*('TY Sales Target'!$K$2:$AO$2&lt;=$BZ$7),INDEX('TY Sales Target'!$K$5:$AO$300,$BG66,0)))</f>
        <v>355000</v>
      </c>
      <c r="BO66" cm="1">
        <f t="array" ref="BO66">IF($AW66="",0,IFERROR(_xlfn.SWITCH($BP66,"LY trend",$BI66*$BK66/$BJ66,"Target curve",$BI66*$BN66/$BM66,"Run rate",$BI66/$BZ$8*$BZ$9,0),0))</f>
        <v>225318.30169522593</v>
      </c>
      <c r="BP66" t="str">
        <f t="shared" si="1"/>
        <v>LY trend</v>
      </c>
      <c r="BR66" t="str">
        <v>ALSHAWGIYAH</v>
      </c>
      <c r="CB66" cm="1">
        <f t="array" ref="CB66">IF($AW66="",0,_xlfn.LET(_xlpm.k,IFERROR(_xlfn.XLOOKUP($AW66,$CD$6:$CD$21,$CE$6:$CE$21),$AW66),SUMPRODUCT((TRIM('Makeup '!$A$2:$A$300&amp;"")=_xlpm.k)*1,IFERROR('Makeup '!$F$2:$F$300*1,0))))</f>
        <v>11269.87</v>
      </c>
      <c r="CF66" t="str" cm="1">
        <f t="array" ref="CF66">IF($AW66="","",_xlfn.LET(_xlpm.c,IFERROR(TRIM(INDEX('Sales and count'!$B$4:$B$300,$BF66)&amp;""),""),IF(OR(_xlpm.c="",_xlpm.c="0",LEFT(_xlpm.c,1)="#"),"Not set",_xlpm.c)))</f>
        <v>KSA</v>
      </c>
      <c r="CH66" cm="1">
        <f t="array" ref="CH66">IF($AW66="",0,_xlfn.LET(_xlpm.k,IFERROR(_xlfn.XLOOKUP($AW66,$CD$6:$CD$21,$CE$6:$CE$21),$AW66),--(SUMPRODUCT((TRIM('Makeup '!$A$2:$A$300&amp;"")=_xlpm.k)*ISNUMBER('Makeup '!$F$2:$F$300))&gt;0)))</f>
        <v>1</v>
      </c>
      <c r="CI66">
        <f t="shared" si="4"/>
        <v>187788.29</v>
      </c>
      <c r="CJ66" cm="1">
        <f t="array" ref="CJ66">IF($AW66="",0,--(SUMPRODUCT(--(TRIM(Footfall!$B$5:$B$301)=$AW66))&gt;0))</f>
        <v>1</v>
      </c>
      <c r="CK66" s="8" cm="1">
        <f t="array" ref="CK66">IF($AW66="",0,_xlfn.LET(_xlpm.r,IFERROR(MATCH(IFERROR(_xlfn.XLOOKUP($AW66,$BT$5:$BT$22,$BU$5:$BU$22),$AW66),TRIM('TY Beauty Target'!$B$5:$B$300&amp;""),0),""),IF(ISNUMBER(_xlpm.r),SUMPRODUCT(('TY Beauty Target'!$L$2:$AP$2&gt;=$U$4)*('TY Beauty Target'!$L$2:$AP$2&lt;=$U$5),INDEX('TY Beauty Target'!$L$5:$AP$300,_xlpm.r,0)),0)))</f>
        <v>16432.183588361826</v>
      </c>
    </row>
    <row r="67" spans="1:89" ht="15" customHeight="1" x14ac:dyDescent="0.25">
      <c r="A67" s="38" t="str">
        <f t="shared" si="58"/>
        <v/>
      </c>
      <c r="B67" s="43" t="str" cm="1">
        <f t="array" ref="B67">IF($AI67="","",IF(LEFT($AI67,2)="C|",IF($C67="","",_xlfn.TEXTJOIN(", ",TRUE,_xlfn.UNIQUE(_xlfn._xlws.FILTER($AN$5:$AN$302,($AP$5:$AP$302=1)*($AO$5:$AO$302=$A67))))),IF($AI67="CT",B$13,IF(LEFT($AI67,3)="AM|",IF($C67="","",ROWS(_xlfn.UNIQUE(_xlfn._xlws.FILTER($AO$5:$AO$302,($AP$5:$AP$302=1)*($AN$5:$AN$302=$A67))))),IF(LEFT($AI67,2)="S|",IF($AG67="","",INDEX($AO$5:$AO$302,$AH67)),IF($AI67="HDR","City",""))))))</f>
        <v/>
      </c>
      <c r="C67" s="39" t="str" cm="1">
        <f t="array" ref="C67">IF($AI67="","",IF(LEFT($AI67,2)="C|",_xlfn.LET(_xlpm.n,SUMPRODUCT($AP$5:$AP$302*($AO$5:$AO$302=$A67)),IF(_xlpm.n=0,"",_xlpm.n)),IF($AI67="CT",C$13,IF(LEFT($AI67,3)="AM|",_xlfn.LET(_xlpm.n,SUMPRODUCT($AP$5:$AP$302*($AN$5:$AN$302=$A67)),IF(_xlpm.n=0,"",_xlpm.n)),IF(LEFT($AI67,2)="S|","",IF($AI67="HDR","# Stores",""))))))</f>
        <v/>
      </c>
      <c r="D67" s="40" t="str" cm="1">
        <f t="array" ref="D67">IF($AI67="","",IF(LEFT($AI67,2)="C|",IF($C67="","",SUMPRODUCT($AP$5:$AP$302*($AO$5:$AO$302=$A67),$AR$5:$AR$302)),IF($AI67="CT",D$13,IF(LEFT($AI67,3)="AM|",IF($C67="","",SUMPRODUCT($AP$5:$AP$302*($AN$5:$AN$302=$A67),$AR$5:$AR$302)),IF(LEFT($AI67,2)="S|",IF($AG67="","",INDEX($AR$5:$AR$302,$AH67)),IF($AI67="HDR","Sales TY",""))))))</f>
        <v/>
      </c>
      <c r="E67" s="40" t="str" cm="1">
        <f t="array" ref="E67">IF($AI67="","",IF(LEFT($AI67,2)="C|",IF($C67="","",SUMPRODUCT($AP$5:$AP$302*($AO$5:$AO$302=$A67),$AT$5:$AT$302)),IF($AI67="CT",E$13,IF(LEFT($AI67,3)="AM|",IF($C67="","",SUMPRODUCT($AP$5:$AP$302*($AN$5:$AN$302=$A67),$AT$5:$AT$302)),IF(LEFT($AI67,2)="S|",IF($AG67="","",INDEX($AT$5:$AT$302,$AH67)),IF($AI67="HDR","Sales LY",""))))))</f>
        <v/>
      </c>
      <c r="F67" s="41" t="str">
        <f t="shared" si="46"/>
        <v/>
      </c>
      <c r="G67" s="41" t="str">
        <f t="shared" si="47"/>
        <v/>
      </c>
      <c r="H67" s="40" t="str" cm="1">
        <f t="array" ref="H67">IF($AI67="","",IF(LEFT($AI67,2)="C|",IF($C67="","",SUMPRODUCT($AP$5:$AP$302*($AO$5:$AO$302=$A67),$AV$5:$AV$302)),IF($AI67="CT",H$13,IF(LEFT($AI67,3)="AM|",IF($C67="","",SUMPRODUCT($AP$5:$AP$302*($AN$5:$AN$302=$A67),$AV$5:$AV$302)),IF(LEFT($AI67,2)="S|",IF($AG67="","",INDEX($AV$5:$AV$302,$AH67)),IF($AI67="HDR","Target",""))))))</f>
        <v/>
      </c>
      <c r="I67" s="41" t="str">
        <f t="shared" si="48"/>
        <v/>
      </c>
      <c r="J67" s="40" t="str">
        <f t="shared" si="49"/>
        <v/>
      </c>
      <c r="K67" s="41" t="str">
        <f t="shared" si="50"/>
        <v/>
      </c>
      <c r="L67" s="40" t="str" cm="1">
        <f t="array" ref="L67">IF($AI67="","",IF(LEFT($AI67,2)="C|",IF($C67="","",SUMPRODUCT($AP$5:$AP$302*($AO$5:$AO$302=$A67),$BN$5:$BN$302)),IF($AI67="CT",L$13,IF(LEFT($AI67,3)="AM|",IF($C67="","",SUMPRODUCT($AP$5:$AP$302*($AN$5:$AN$302=$A67),$BN$5:$BN$302)),IF(LEFT($AI67,2)="S|",IF($AG67="","",INDEX($BN$5:$BN$302,$AH67)),IF($AI67="HDR","Month Target",""))))))</f>
        <v/>
      </c>
      <c r="M67" s="40" t="str" cm="1">
        <f t="array" ref="M67">IF($AI67="","",IF(LEFT($AI67,2)="C|",IF($C67="","",SUMPRODUCT($AP$5:$AP$302*($AO$5:$AO$302=$A67),$BO$5:$BO$302)),IF($AI67="CT",M$13,IF(LEFT($AI67,3)="AM|",IF($C67="","",SUMPRODUCT($AP$5:$AP$302*($AN$5:$AN$302=$A67),$BO$5:$BO$302)),IF(LEFT($AI67,2)="S|",IF($AG67="","",INDEX($BO$5:$BO$302,$AH67)),IF($AI67="HDR","Projected Close",""))))))</f>
        <v/>
      </c>
      <c r="N67" s="41" t="str">
        <f t="shared" si="43"/>
        <v/>
      </c>
      <c r="O67" s="41" t="str" cm="1">
        <f t="array" ref="O67">IF($AI67="HDR","Proj. vs LY",IF(OR($AI67="",M67=""),"",_xlfn.LET(_xlpm.ly,IF(LEFT($AI67,2)="C|",SUMPRODUCT($AP$5:$AP$302*($AO$5:$AO$302=$A67),$BK$5:$BK$302),IF($AI67="CT",SUMPRODUCT($AP$5:$AP$302,$BK$5:$BK$302),IF(LEFT($AI67,3)="AM|",SUMPRODUCT($AP$5:$AP$302*($AN$5:$AN$302=$A67),$BK$5:$BK$302),IF(LEFT($AI67,2)="S|",INDEX($BK$5:$BK$302,$AH67),0)))),IFERROR(M67/_xlpm.ly-1,""))))</f>
        <v/>
      </c>
      <c r="P67" s="40" t="str" cm="1">
        <f t="array" ref="P67">IF($AI67="","",IF(LEFT($AI67,2)="C|",IF($C67="","",SUMPRODUCT($AP$5:$AP$302*($AO$5:$AO$302=$A67),$AS$5:$AS$302)),IF($AI67="CT",P$13,IF(LEFT($AI67,3)="AM|",IF($C67="","",SUMPRODUCT($AP$5:$AP$302*($AN$5:$AN$302=$A67),$AS$5:$AS$302)),IF(LEFT($AI67,2)="S|",IF($AG67="","",INDEX($AS$5:$AS$302,$AH67)),IF($AI67="HDR","Trans TY",""))))))</f>
        <v/>
      </c>
      <c r="Q67" s="40" t="str" cm="1">
        <f t="array" ref="Q67">IF($AI67="","",IF(LEFT($AI67,2)="C|",IF($C67="","",SUMPRODUCT($AP$5:$AP$302*($AO$5:$AO$302=$A67),$AU$5:$AU$302)),IF($AI67="CT",Q$13,IF(LEFT($AI67,3)="AM|",IF($C67="","",SUMPRODUCT($AP$5:$AP$302*($AN$5:$AN$302=$A67),$AU$5:$AU$302)),IF(LEFT($AI67,2)="S|",IF($AG67="","",INDEX($AU$5:$AU$302,$AH67)),IF($AI67="HDR","Trans LY",""))))))</f>
        <v/>
      </c>
      <c r="R67" s="41" t="str">
        <f t="shared" si="51"/>
        <v/>
      </c>
      <c r="S67" s="41" t="str">
        <f t="shared" si="52"/>
        <v/>
      </c>
      <c r="T67" s="42" t="str">
        <f t="shared" si="53"/>
        <v/>
      </c>
      <c r="U67" s="42" t="str">
        <f t="shared" si="54"/>
        <v/>
      </c>
      <c r="V67" s="41" t="str">
        <f t="shared" si="55"/>
        <v/>
      </c>
      <c r="W67" s="40" t="str" cm="1">
        <f t="array" ref="W67">IF($AI67="","",IF(LEFT($AI67,2)="C|",_xlfn.LET(_xlpm.n,SUMPRODUCT($AP$5:$AP$302*($AO$5:$AO$302=$A67),$BB$5:$BB$302),IF(_xlpm.n=0,"",_xlpm.n)),IF($AI67="CT",W$13,IF(LEFT($AI67,3)="AM|",_xlfn.LET(_xlpm.n,SUMPRODUCT($AP$5:$AP$302*($AN$5:$AN$302=$A67),$BB$5:$BB$302),IF(_xlpm.n=0,"",_xlpm.n)),IF(LEFT($AI67,2)="S|",IF($AG67="","",_xlfn.LET(_xlpm.n,INDEX($BB$5:$BB$302,$AH67),IF(_xlpm.n=0,"",_xlpm.n))),IF($AI67="HDR","Footfall",""))))))</f>
        <v/>
      </c>
      <c r="X67" s="40" t="str" cm="1">
        <f t="array" ref="X67">IF($AI67="","",IF($AI67="HDR","Trans (FF stores)",IF(W67="","",IF(LEFT($AI67,2)="C|",SUMPRODUCT($AP$5:$AP$302*($AO$5:$AO$302=$A67),$BC$5:$BC$302),IF($AI67="CT",X$13,IF(LEFT($AI67,3)="AM|",SUMPRODUCT($AP$5:$AP$302*($AN$5:$AN$302=$A67),$BC$5:$BC$302),IF(LEFT($AI67,2)="S|",INDEX($BC$5:$BC$302,$AH67),"")))))))</f>
        <v/>
      </c>
      <c r="Y67" s="41" t="str">
        <f t="shared" si="44"/>
        <v/>
      </c>
      <c r="Z67" s="40" t="str" cm="1">
        <f t="array" ref="Z67">IF($AI67="","",IF(LEFT($AI67,2)="C|",IF($C67="","",SUMPRODUCT($AP$5:$AP$302*($AO$5:$AO$302=$A67),$CB$5:$CB$302)),IF($AI67="CT",Z$13,IF(LEFT($AI67,3)="AM|",IF($C67="","",SUMPRODUCT($AP$5:$AP$302*($AN$5:$AN$302=$A67),$CB$5:$CB$302)),IF(LEFT($AI67,2)="S|",IF($AG67="","",INDEX($CB$5:$CB$302,$AH67)),IF($AI67="HDR","Makeup Sales",""))))))</f>
        <v/>
      </c>
      <c r="AA67" s="41" t="str">
        <f t="shared" si="56"/>
        <v/>
      </c>
      <c r="AB67" s="40" t="str" cm="1">
        <f t="array" ref="AB67">IF($AI67="","",IF(LEFT($AI67,2)="C|",IF($C67="","",SUMPRODUCT($AP$5:$AP$302*($AO$5:$AO$302=$A67),$CK$5:$CK$302)),IF($AI67="CT",AB$13,IF(LEFT($AI67,3)="AM|",IF($C67="","",SUMPRODUCT($AP$5:$AP$302*($AN$5:$AN$302=$A67),$CK$5:$CK$302)),IF(LEFT($AI67,2)="S|",IF($AG67="","",INDEX($CK$5:$CK$302,$AH67)),IF($AI67="HDR","Makeup Target",""))))))</f>
        <v/>
      </c>
      <c r="AC67" s="41" t="str">
        <f t="shared" si="45"/>
        <v/>
      </c>
      <c r="AD67" s="40" t="str" cm="1">
        <f t="array" ref="AD67">IF($AI67="","",IF(LEFT($AI67,2)="C|",IF($C67="","",SUMPRODUCT($AP$5:$AP$302*($AO$5:$AO$302=$A67),$CI$5:$CI$302)),IF($AI67="CT",AD$13,IF(LEFT($AI67,3)="AM|",IF($C67="","",SUMPRODUCT($AP$5:$AP$302*($AN$5:$AN$302=$A67),$CI$5:$CI$302)),IF(LEFT($AI67,2)="S|",IF($AG67="","",INDEX($CI$5:$CI$302,$AH67)),IF($AI67="HDR","Cosmetic Sales",""))))))</f>
        <v/>
      </c>
      <c r="AE67" s="8" t="str" cm="1">
        <f t="array" ref="AE67">IF($AI67="","",IF(LEFT($AI67,2)="C|",IF($C67="","",SUMPRODUCT($AP$5:$AP$302*($AO$5:$AO$302=$A67)*$AQ$5:$AQ$302,$AR$5:$AR$302)),IF($AI67="CT",AE$13,IF(LEFT($AI67,3)="AM|",IF($C67="","",SUMPRODUCT($AP$5:$AP$302*($AN$5:$AN$302=$A67)*$AQ$5:$AQ$302,$AR$5:$AR$302)),IF(LEFT($AI67,2)="S|",IF($AG67="","",IF(INDEX($AQ$5:$AQ$302,$AH67)=1,D67,0)),IF($AI67="HDR","LFL Sales",""))))))</f>
        <v/>
      </c>
      <c r="AF67" s="8" t="str" cm="1">
        <f t="array" ref="AF67">IF($AI67="","",IF(LEFT($AI67,2)="C|",IF($C67="","",SUMPRODUCT($AP$5:$AP$302*($AO$5:$AO$302=$A67)*$AQ$5:$AQ$302,$AS$5:$AS$302)),IF($AI67="CT",AF$13,IF(LEFT($AI67,3)="AM|",IF($C67="","",SUMPRODUCT($AP$5:$AP$302*($AN$5:$AN$302=$A67)*$AQ$5:$AQ$302,$AS$5:$AS$302)),IF(LEFT($AI67,2)="S|",IF($AG67="","",IF(INDEX($AQ$5:$AQ$302,$AH67)=1,P67,0)),IF($AI67="HDR","LFL Trans",""))))))</f>
        <v/>
      </c>
      <c r="AG67" s="8" t="str" cm="1">
        <f t="array" ref="AG67">IF($AI67="","",IF(LEFT($AI67,2)="C|","",IF($AI67="CT","",IF(LEFT($AI67,3)="AM|","",IF(LEFT($AI67,2)="S|",IF($AH67="","",IF(INDEX($AP$5:$AP$302,$AH67)=1,1,"")),IF($AI67="HDR","Show",""))))))</f>
        <v/>
      </c>
      <c r="AH67" s="8" t="str">
        <f t="shared" si="57"/>
        <v/>
      </c>
      <c r="AI67" s="8"/>
      <c r="AN67" s="8" t="str" cm="1">
        <f t="array" ref="AN67">IF($AW67="","",_xlfn.LET(_xlpm.sa,IFERROR(TRIM(INDEX('Sales and count'!$D$4:$D$300,$BF67)&amp;""),""),_xlpm.ta,IFERROR(TRIM(INDEX('TY Sales Target'!$F$5:$F$300,$BG67)&amp;""),""),IF(AND(_xlpm.sa&lt;&gt;"",LEFT(_xlpm.sa,1)&lt;&gt;"#",_xlpm.sa&lt;&gt;"0"),_xlpm.sa,IF(AND(_xlpm.ta&lt;&gt;"",LEFT(_xlpm.ta,1)&lt;&gt;"#",_xlpm.ta&lt;&gt;"0"),_xlpm.ta,IF(ISNUMBER($BG67),"Unassigned","")))))</f>
        <v>Mohammed Haidar</v>
      </c>
      <c r="AO67" s="8" t="str" cm="1">
        <f t="array" ref="AO67">IF($AW67="","",_xlfn.LET(_xlpm.sa,IFERROR(TRIM(INDEX('Sales and count'!$C$4:$C$300,$BF67)&amp;""),""),_xlpm.ta,IFERROR(TRIM(INDEX('TY Sales Target'!$D$5:$D$300,$BG67)&amp;""),""),IF(AND(_xlpm.sa&lt;&gt;"",LEFT(_xlpm.sa,1)&lt;&gt;"#",_xlpm.sa&lt;&gt;"0"),_xlpm.sa,IF(AND(_xlpm.ta&lt;&gt;"",LEFT(_xlpm.ta,1)&lt;&gt;"#",_xlpm.ta&lt;&gt;"0"),_xlpm.ta,""))))</f>
        <v>Madinah</v>
      </c>
      <c r="AP67" s="8">
        <f t="shared" si="2"/>
        <v>0</v>
      </c>
      <c r="AQ67" s="8">
        <f t="shared" si="0"/>
        <v>0</v>
      </c>
      <c r="AR67" s="8" cm="1">
        <f t="array" ref="AR67">IF($BF67="",0,_xlfn.LET(_xlpm.d,IFERROR(--'Sales and count'!$G$2:$CC$2,0),SUMPRODUCT(('Sales and count'!$G$3:$CC$3="Total")*(_xlpm.d&gt;=$U$4)*(_xlpm.d&lt;=$U$5),INDEX('Sales and count'!$G$4:$CC$300,$BF67,0))))</f>
        <v>101429.12</v>
      </c>
      <c r="AS67" s="8" cm="1">
        <f t="array" aca="1" ref="AS67" ca="1">IF($BF67="",0,_xlfn.LET(_xlpm.d,IFERROR(--'Sales and count'!$F$2:$CB$2,0),SUMPRODUCT(('Sales and count'!$G$3:$CC$3="Transactions")*(_xlpm.d&gt;=$U$4)*(_xlpm.d&lt;=$U$5),INDEX('Sales and count'!$G$4:$CC$300,$BF67,0))))</f>
        <v>628</v>
      </c>
      <c r="AT67" s="8" cm="1">
        <f t="array" ref="AT67">IF($AW67="",0,SUMPRODUCT((TRIM('LY Sales '!$B$5:$B$200)=$AW67)*('LY Sales '!$C$2:$AG$2&gt;=EDATE($U$4,-12))*('LY Sales '!$C$2:$AG$2&lt;=EDATE($U$5,-12)),'LY Sales '!$C$5:$AG$200))</f>
        <v>0</v>
      </c>
      <c r="AU67" s="8" cm="1">
        <f t="array" ref="AU67">IF($AW67="",0,SUMPRODUCT((TRIM('LY Transaction'!$B$5:$B$200)=$AW67)*('LY Transaction'!$C$2:$AG$2&gt;=EDATE($U$4,-12))*('LY Transaction'!$C$2:$AG$2&lt;=EDATE($U$5,-12)),'LY Transaction'!$C$5:$AG$200))</f>
        <v>0</v>
      </c>
      <c r="AV67" s="8" cm="1">
        <f t="array" ref="AV67">IF(NOT(ISNUMBER($BG67)),0,SUMPRODUCT(('TY Sales Target'!$K$2:$AO$2&gt;=$U$4)*('TY Sales Target'!$K$2:$AO$2&lt;=$U$5),INDEX('TY Sales Target'!$K$5:$AO$300,$BG67,0)))</f>
        <v>164727.61757074451</v>
      </c>
      <c r="AW67" s="8" t="str" cm="1">
        <f t="array" ref="AW67">IFERROR(INDEX(_xlfn.ANCHORARRAY($BR$5),ROWS($AW$5:AW67)),"")</f>
        <v>HARASHMAD</v>
      </c>
      <c r="BB67" cm="1">
        <f t="array" ref="BB67">IF($AW67="",0,SUMPRODUCT((TRIM(Footfall!$B$5:$B$301)=$AW67)*(Footfall!$C$1:$BZ$1&gt;=$U$4)*(Footfall!$C$2:$BZ$2&lt;=$U$5)*(Footfall!$C$1:$BZ$1&lt;&gt;""),Footfall!$C$5:$BZ$301))</f>
        <v>3161</v>
      </c>
      <c r="BC67" cm="1">
        <f t="array" aca="1" ref="BC67" ca="1">IF(OR($BB67&lt;=0,$BD$1="",$BF67=""),0,_xlfn.LET(_xlpm.d,IFERROR(--'Sales and count'!$F$2:$CB$2,0),SUMPRODUCT(('Sales and count'!$G$3:$CC$3="Transactions")*(_xlpm.d&gt;=$BD$1)*(_xlpm.d&lt;=$BD$2),INDEX('Sales and count'!$G$4:$CC$300,$BF67,0))))</f>
        <v>628</v>
      </c>
      <c r="BF67" cm="1">
        <f t="array" ref="BF67">IF($AW67="","",IFERROR(MATCH($AW67,TRIM('Sales and count'!$A$4:$A$300&amp;""),0),""))</f>
        <v>63</v>
      </c>
      <c r="BG67" cm="1">
        <f t="array" ref="BG67">IF($AW67="","",IFERROR(MATCH(IFERROR(_xlfn.XLOOKUP($AW67,$BT$5:$BT$22,$BU$5:$BU$22),$AW67),TRIM('TY Sales Target'!$B$5:$B$300&amp;""),0),""))</f>
        <v>59</v>
      </c>
      <c r="BH67" t="str" cm="1">
        <f t="array" ref="BH67">IF(ISNUMBER($BG67),_xlfn.LET(_xlpm.p,TRIM(INDEX('TY Sales Target'!$I$5:$I$300,$BG67)&amp;""),IF(_xlpm.p="","Not set",_xlpm.p)),"Not set")</f>
        <v>Smart Phone</v>
      </c>
      <c r="BI67" cm="1">
        <f t="array" ref="BI67">IF($BF67="",0,_xlfn.LET(_xlpm.d,IFERROR(--'Sales and count'!$G$2:$CC$2,0),SUMPRODUCT(('Sales and count'!$G$3:$CC$3="Total")*(_xlpm.d&gt;=$BZ$5)*(_xlpm.d&lt;=$BZ$6),INDEX('Sales and count'!$G$4:$CC$300,$BF67,0))))</f>
        <v>101429.12</v>
      </c>
      <c r="BJ67" cm="1">
        <f t="array" ref="BJ67">IF($AW67="",0,SUMPRODUCT((TRIM('LY Sales '!$B$5:$B$200)=$AW67)*('LY Sales '!$C$2:$AG$2&gt;=EDATE($BZ$5,-12))*('LY Sales '!$C$2:$AG$2&lt;=EDATE($BZ$6,-12)),'LY Sales '!$C$5:$AG$200))</f>
        <v>0</v>
      </c>
      <c r="BK67" cm="1">
        <f t="array" ref="BK67">IF($AW67="",0,SUMPRODUCT((TRIM('LY Sales '!$B$5:$B$200)=$AW67)*('LY Sales '!$C$2:$AG$2&gt;=EDATE($BZ$5,-12))*('LY Sales '!$C$2:$AG$2&lt;=EDATE($BZ$7,-12)),'LY Sales '!$C$5:$AG$200))</f>
        <v>0</v>
      </c>
      <c r="BL67" cm="1">
        <f t="array" ref="BL67">IF($AW67="",0,SUMPRODUCT((TRIM('LY Sales '!$B$5:$B$200)=$AW67)*('LY Sales '!$C$2:$AG$2&gt;=EDATE($BZ$5,-12))*('LY Sales '!$C$2:$AG$2&lt;=EDATE($BZ$6,-12))*('LY Sales '!$C$5:$AG$200&gt;0)))</f>
        <v>0</v>
      </c>
      <c r="BM67" cm="1">
        <f t="array" ref="BM67">IF(NOT(ISNUMBER($BG67)),0,SUMPRODUCT(('TY Sales Target'!$K$2:$AO$2&gt;=$BZ$5)*('TY Sales Target'!$K$2:$AO$2&lt;=$BZ$6),INDEX('TY Sales Target'!$K$5:$AO$300,$BG67,0)))</f>
        <v>164727.61757074451</v>
      </c>
      <c r="BN67" cm="1">
        <f t="array" ref="BN67">IF(NOT(ISNUMBER($BG67)),0,SUMPRODUCT(('TY Sales Target'!$K$2:$AO$2&gt;=$BZ$5)*('TY Sales Target'!$K$2:$AO$2&lt;=$BZ$7),INDEX('TY Sales Target'!$K$5:$AO$300,$BG67,0)))</f>
        <v>215000.00000000003</v>
      </c>
      <c r="BO67" cm="1">
        <f t="array" ref="BO67">IF($AW67="",0,IFERROR(_xlfn.SWITCH($BP67,"LY trend",$BI67*$BK67/$BJ67,"Target curve",$BI67*$BN67/$BM67,"Run rate",$BI67/$BZ$8*$BZ$9,0),0))</f>
        <v>132383.75641919655</v>
      </c>
      <c r="BP67" t="str">
        <f t="shared" si="1"/>
        <v>Target curve</v>
      </c>
      <c r="BR67" t="str">
        <v>HARASHMAD</v>
      </c>
      <c r="CB67" cm="1">
        <f t="array" ref="CB67">IF($AW67="",0,_xlfn.LET(_xlpm.k,IFERROR(_xlfn.XLOOKUP($AW67,$CD$6:$CD$21,$CE$6:$CE$21),$AW67),SUMPRODUCT((TRIM('Makeup '!$A$2:$A$300&amp;"")=_xlpm.k)*1,IFERROR('Makeup '!$F$2:$F$300*1,0))))</f>
        <v>3906.23</v>
      </c>
      <c r="CF67" t="str" cm="1">
        <f t="array" ref="CF67">IF($AW67="","",_xlfn.LET(_xlpm.c,IFERROR(TRIM(INDEX('Sales and count'!$B$4:$B$300,$BF67)&amp;""),""),IF(OR(_xlpm.c="",_xlpm.c="0",LEFT(_xlpm.c,1)="#"),"Not set",_xlpm.c)))</f>
        <v>KSA</v>
      </c>
      <c r="CH67" cm="1">
        <f t="array" ref="CH67">IF($AW67="",0,_xlfn.LET(_xlpm.k,IFERROR(_xlfn.XLOOKUP($AW67,$CD$6:$CD$21,$CE$6:$CE$21),$AW67),--(SUMPRODUCT((TRIM('Makeup '!$A$2:$A$300&amp;"")=_xlpm.k)*ISNUMBER('Makeup '!$F$2:$F$300))&gt;0)))</f>
        <v>1</v>
      </c>
      <c r="CI67">
        <f t="shared" si="4"/>
        <v>101429.12</v>
      </c>
      <c r="CJ67" cm="1">
        <f t="array" ref="CJ67">IF($AW67="",0,--(SUMPRODUCT(--(TRIM(Footfall!$B$5:$B$301)=$AW67))&gt;0))</f>
        <v>1</v>
      </c>
      <c r="CK67" s="8" cm="1">
        <f t="array" ref="CK67">IF($AW67="",0,_xlfn.LET(_xlpm.r,IFERROR(MATCH(IFERROR(_xlfn.XLOOKUP($AW67,$BT$5:$BT$22,$BU$5:$BU$22),$AW67),TRIM('TY Beauty Target'!$B$5:$B$300&amp;""),0),""),IF(ISNUMBER(_xlpm.r),SUMPRODUCT(('TY Beauty Target'!$L$2:$AP$2&gt;=$U$4)*('TY Beauty Target'!$L$2:$AP$2&lt;=$U$5),INDEX('TY Beauty Target'!$L$5:$AP$300,_xlpm.r,0)),0)))</f>
        <v>9463.1642526298583</v>
      </c>
    </row>
    <row r="68" spans="1:89" ht="15" customHeight="1" x14ac:dyDescent="0.25">
      <c r="A68" s="38" t="str">
        <f t="shared" si="58"/>
        <v/>
      </c>
      <c r="B68" s="43" t="str" cm="1">
        <f t="array" ref="B68">IF($AI68="","",IF(LEFT($AI68,2)="C|",IF($C68="","",_xlfn.TEXTJOIN(", ",TRUE,_xlfn.UNIQUE(_xlfn._xlws.FILTER($AN$5:$AN$302,($AP$5:$AP$302=1)*($AO$5:$AO$302=$A68))))),IF($AI68="CT",B$13,IF(LEFT($AI68,3)="AM|",IF($C68="","",ROWS(_xlfn.UNIQUE(_xlfn._xlws.FILTER($AO$5:$AO$302,($AP$5:$AP$302=1)*($AN$5:$AN$302=$A68))))),IF(LEFT($AI68,2)="S|",IF($AG68="","",INDEX($AO$5:$AO$302,$AH68)),IF($AI68="HDR","City",""))))))</f>
        <v/>
      </c>
      <c r="C68" s="39" t="str" cm="1">
        <f t="array" ref="C68">IF($AI68="","",IF(LEFT($AI68,2)="C|",_xlfn.LET(_xlpm.n,SUMPRODUCT($AP$5:$AP$302*($AO$5:$AO$302=$A68)),IF(_xlpm.n=0,"",_xlpm.n)),IF($AI68="CT",C$13,IF(LEFT($AI68,3)="AM|",_xlfn.LET(_xlpm.n,SUMPRODUCT($AP$5:$AP$302*($AN$5:$AN$302=$A68)),IF(_xlpm.n=0,"",_xlpm.n)),IF(LEFT($AI68,2)="S|","",IF($AI68="HDR","# Stores",""))))))</f>
        <v/>
      </c>
      <c r="D68" s="40" t="str" cm="1">
        <f t="array" ref="D68">IF($AI68="","",IF(LEFT($AI68,2)="C|",IF($C68="","",SUMPRODUCT($AP$5:$AP$302*($AO$5:$AO$302=$A68),$AR$5:$AR$302)),IF($AI68="CT",D$13,IF(LEFT($AI68,3)="AM|",IF($C68="","",SUMPRODUCT($AP$5:$AP$302*($AN$5:$AN$302=$A68),$AR$5:$AR$302)),IF(LEFT($AI68,2)="S|",IF($AG68="","",INDEX($AR$5:$AR$302,$AH68)),IF($AI68="HDR","Sales TY",""))))))</f>
        <v/>
      </c>
      <c r="E68" s="40" t="str" cm="1">
        <f t="array" ref="E68">IF($AI68="","",IF(LEFT($AI68,2)="C|",IF($C68="","",SUMPRODUCT($AP$5:$AP$302*($AO$5:$AO$302=$A68),$AT$5:$AT$302)),IF($AI68="CT",E$13,IF(LEFT($AI68,3)="AM|",IF($C68="","",SUMPRODUCT($AP$5:$AP$302*($AN$5:$AN$302=$A68),$AT$5:$AT$302)),IF(LEFT($AI68,2)="S|",IF($AG68="","",INDEX($AT$5:$AT$302,$AH68)),IF($AI68="HDR","Sales LY",""))))))</f>
        <v/>
      </c>
      <c r="F68" s="41" t="str">
        <f t="shared" si="46"/>
        <v/>
      </c>
      <c r="G68" s="41" t="str">
        <f t="shared" si="47"/>
        <v/>
      </c>
      <c r="H68" s="40" t="str" cm="1">
        <f t="array" ref="H68">IF($AI68="","",IF(LEFT($AI68,2)="C|",IF($C68="","",SUMPRODUCT($AP$5:$AP$302*($AO$5:$AO$302=$A68),$AV$5:$AV$302)),IF($AI68="CT",H$13,IF(LEFT($AI68,3)="AM|",IF($C68="","",SUMPRODUCT($AP$5:$AP$302*($AN$5:$AN$302=$A68),$AV$5:$AV$302)),IF(LEFT($AI68,2)="S|",IF($AG68="","",INDEX($AV$5:$AV$302,$AH68)),IF($AI68="HDR","Target",""))))))</f>
        <v/>
      </c>
      <c r="I68" s="41" t="str">
        <f t="shared" si="48"/>
        <v/>
      </c>
      <c r="J68" s="40" t="str">
        <f t="shared" si="49"/>
        <v/>
      </c>
      <c r="K68" s="41" t="str">
        <f t="shared" si="50"/>
        <v/>
      </c>
      <c r="L68" s="40" t="str" cm="1">
        <f t="array" ref="L68">IF($AI68="","",IF(LEFT($AI68,2)="C|",IF($C68="","",SUMPRODUCT($AP$5:$AP$302*($AO$5:$AO$302=$A68),$BN$5:$BN$302)),IF($AI68="CT",L$13,IF(LEFT($AI68,3)="AM|",IF($C68="","",SUMPRODUCT($AP$5:$AP$302*($AN$5:$AN$302=$A68),$BN$5:$BN$302)),IF(LEFT($AI68,2)="S|",IF($AG68="","",INDEX($BN$5:$BN$302,$AH68)),IF($AI68="HDR","Month Target",""))))))</f>
        <v/>
      </c>
      <c r="M68" s="40" t="str" cm="1">
        <f t="array" ref="M68">IF($AI68="","",IF(LEFT($AI68,2)="C|",IF($C68="","",SUMPRODUCT($AP$5:$AP$302*($AO$5:$AO$302=$A68),$BO$5:$BO$302)),IF($AI68="CT",M$13,IF(LEFT($AI68,3)="AM|",IF($C68="","",SUMPRODUCT($AP$5:$AP$302*($AN$5:$AN$302=$A68),$BO$5:$BO$302)),IF(LEFT($AI68,2)="S|",IF($AG68="","",INDEX($BO$5:$BO$302,$AH68)),IF($AI68="HDR","Projected Close",""))))))</f>
        <v/>
      </c>
      <c r="N68" s="41" t="str">
        <f t="shared" si="43"/>
        <v/>
      </c>
      <c r="O68" s="41" t="str" cm="1">
        <f t="array" ref="O68">IF($AI68="HDR","Proj. vs LY",IF(OR($AI68="",M68=""),"",_xlfn.LET(_xlpm.ly,IF(LEFT($AI68,2)="C|",SUMPRODUCT($AP$5:$AP$302*($AO$5:$AO$302=$A68),$BK$5:$BK$302),IF($AI68="CT",SUMPRODUCT($AP$5:$AP$302,$BK$5:$BK$302),IF(LEFT($AI68,3)="AM|",SUMPRODUCT($AP$5:$AP$302*($AN$5:$AN$302=$A68),$BK$5:$BK$302),IF(LEFT($AI68,2)="S|",INDEX($BK$5:$BK$302,$AH68),0)))),IFERROR(M68/_xlpm.ly-1,""))))</f>
        <v/>
      </c>
      <c r="P68" s="40" t="str" cm="1">
        <f t="array" ref="P68">IF($AI68="","",IF(LEFT($AI68,2)="C|",IF($C68="","",SUMPRODUCT($AP$5:$AP$302*($AO$5:$AO$302=$A68),$AS$5:$AS$302)),IF($AI68="CT",P$13,IF(LEFT($AI68,3)="AM|",IF($C68="","",SUMPRODUCT($AP$5:$AP$302*($AN$5:$AN$302=$A68),$AS$5:$AS$302)),IF(LEFT($AI68,2)="S|",IF($AG68="","",INDEX($AS$5:$AS$302,$AH68)),IF($AI68="HDR","Trans TY",""))))))</f>
        <v/>
      </c>
      <c r="Q68" s="40" t="str" cm="1">
        <f t="array" ref="Q68">IF($AI68="","",IF(LEFT($AI68,2)="C|",IF($C68="","",SUMPRODUCT($AP$5:$AP$302*($AO$5:$AO$302=$A68),$AU$5:$AU$302)),IF($AI68="CT",Q$13,IF(LEFT($AI68,3)="AM|",IF($C68="","",SUMPRODUCT($AP$5:$AP$302*($AN$5:$AN$302=$A68),$AU$5:$AU$302)),IF(LEFT($AI68,2)="S|",IF($AG68="","",INDEX($AU$5:$AU$302,$AH68)),IF($AI68="HDR","Trans LY",""))))))</f>
        <v/>
      </c>
      <c r="R68" s="41" t="str">
        <f t="shared" si="51"/>
        <v/>
      </c>
      <c r="S68" s="41" t="str">
        <f t="shared" si="52"/>
        <v/>
      </c>
      <c r="T68" s="42" t="str">
        <f t="shared" si="53"/>
        <v/>
      </c>
      <c r="U68" s="42" t="str">
        <f t="shared" si="54"/>
        <v/>
      </c>
      <c r="V68" s="41" t="str">
        <f t="shared" si="55"/>
        <v/>
      </c>
      <c r="W68" s="40" t="str" cm="1">
        <f t="array" ref="W68">IF($AI68="","",IF(LEFT($AI68,2)="C|",_xlfn.LET(_xlpm.n,SUMPRODUCT($AP$5:$AP$302*($AO$5:$AO$302=$A68),$BB$5:$BB$302),IF(_xlpm.n=0,"",_xlpm.n)),IF($AI68="CT",W$13,IF(LEFT($AI68,3)="AM|",_xlfn.LET(_xlpm.n,SUMPRODUCT($AP$5:$AP$302*($AN$5:$AN$302=$A68),$BB$5:$BB$302),IF(_xlpm.n=0,"",_xlpm.n)),IF(LEFT($AI68,2)="S|",IF($AG68="","",_xlfn.LET(_xlpm.n,INDEX($BB$5:$BB$302,$AH68),IF(_xlpm.n=0,"",_xlpm.n))),IF($AI68="HDR","Footfall",""))))))</f>
        <v/>
      </c>
      <c r="X68" s="40" t="str" cm="1">
        <f t="array" ref="X68">IF($AI68="","",IF($AI68="HDR","Trans (FF stores)",IF(W68="","",IF(LEFT($AI68,2)="C|",SUMPRODUCT($AP$5:$AP$302*($AO$5:$AO$302=$A68),$BC$5:$BC$302),IF($AI68="CT",X$13,IF(LEFT($AI68,3)="AM|",SUMPRODUCT($AP$5:$AP$302*($AN$5:$AN$302=$A68),$BC$5:$BC$302),IF(LEFT($AI68,2)="S|",INDEX($BC$5:$BC$302,$AH68),"")))))))</f>
        <v/>
      </c>
      <c r="Y68" s="41" t="str">
        <f t="shared" si="44"/>
        <v/>
      </c>
      <c r="Z68" s="40" t="str" cm="1">
        <f t="array" ref="Z68">IF($AI68="","",IF(LEFT($AI68,2)="C|",IF($C68="","",SUMPRODUCT($AP$5:$AP$302*($AO$5:$AO$302=$A68),$CB$5:$CB$302)),IF($AI68="CT",Z$13,IF(LEFT($AI68,3)="AM|",IF($C68="","",SUMPRODUCT($AP$5:$AP$302*($AN$5:$AN$302=$A68),$CB$5:$CB$302)),IF(LEFT($AI68,2)="S|",IF($AG68="","",INDEX($CB$5:$CB$302,$AH68)),IF($AI68="HDR","Makeup Sales",""))))))</f>
        <v/>
      </c>
      <c r="AA68" s="41" t="str">
        <f t="shared" si="56"/>
        <v/>
      </c>
      <c r="AB68" s="40" t="str" cm="1">
        <f t="array" ref="AB68">IF($AI68="","",IF(LEFT($AI68,2)="C|",IF($C68="","",SUMPRODUCT($AP$5:$AP$302*($AO$5:$AO$302=$A68),$CK$5:$CK$302)),IF($AI68="CT",AB$13,IF(LEFT($AI68,3)="AM|",IF($C68="","",SUMPRODUCT($AP$5:$AP$302*($AN$5:$AN$302=$A68),$CK$5:$CK$302)),IF(LEFT($AI68,2)="S|",IF($AG68="","",INDEX($CK$5:$CK$302,$AH68)),IF($AI68="HDR","Makeup Target",""))))))</f>
        <v/>
      </c>
      <c r="AC68" s="41" t="str">
        <f t="shared" si="45"/>
        <v/>
      </c>
      <c r="AD68" s="40" t="str" cm="1">
        <f t="array" ref="AD68">IF($AI68="","",IF(LEFT($AI68,2)="C|",IF($C68="","",SUMPRODUCT($AP$5:$AP$302*($AO$5:$AO$302=$A68),$CI$5:$CI$302)),IF($AI68="CT",AD$13,IF(LEFT($AI68,3)="AM|",IF($C68="","",SUMPRODUCT($AP$5:$AP$302*($AN$5:$AN$302=$A68),$CI$5:$CI$302)),IF(LEFT($AI68,2)="S|",IF($AG68="","",INDEX($CI$5:$CI$302,$AH68)),IF($AI68="HDR","Cosmetic Sales",""))))))</f>
        <v/>
      </c>
      <c r="AE68" s="8" t="str" cm="1">
        <f t="array" ref="AE68">IF($AI68="","",IF(LEFT($AI68,2)="C|",IF($C68="","",SUMPRODUCT($AP$5:$AP$302*($AO$5:$AO$302=$A68)*$AQ$5:$AQ$302,$AR$5:$AR$302)),IF($AI68="CT",AE$13,IF(LEFT($AI68,3)="AM|",IF($C68="","",SUMPRODUCT($AP$5:$AP$302*($AN$5:$AN$302=$A68)*$AQ$5:$AQ$302,$AR$5:$AR$302)),IF(LEFT($AI68,2)="S|",IF($AG68="","",IF(INDEX($AQ$5:$AQ$302,$AH68)=1,D68,0)),IF($AI68="HDR","LFL Sales",""))))))</f>
        <v/>
      </c>
      <c r="AF68" s="8" t="str" cm="1">
        <f t="array" ref="AF68">IF($AI68="","",IF(LEFT($AI68,2)="C|",IF($C68="","",SUMPRODUCT($AP$5:$AP$302*($AO$5:$AO$302=$A68)*$AQ$5:$AQ$302,$AS$5:$AS$302)),IF($AI68="CT",AF$13,IF(LEFT($AI68,3)="AM|",IF($C68="","",SUMPRODUCT($AP$5:$AP$302*($AN$5:$AN$302=$A68)*$AQ$5:$AQ$302,$AS$5:$AS$302)),IF(LEFT($AI68,2)="S|",IF($AG68="","",IF(INDEX($AQ$5:$AQ$302,$AH68)=1,P68,0)),IF($AI68="HDR","LFL Trans",""))))))</f>
        <v/>
      </c>
      <c r="AG68" s="8" t="str" cm="1">
        <f t="array" ref="AG68">IF($AI68="","",IF(LEFT($AI68,2)="C|","",IF($AI68="CT","",IF(LEFT($AI68,3)="AM|","",IF(LEFT($AI68,2)="S|",IF($AH68="","",IF(INDEX($AP$5:$AP$302,$AH68)=1,1,"")),IF($AI68="HDR","Show",""))))))</f>
        <v/>
      </c>
      <c r="AH68" s="8" t="str">
        <f t="shared" si="57"/>
        <v/>
      </c>
      <c r="AI68" s="8"/>
      <c r="AN68" s="8" t="str" cm="1">
        <f t="array" ref="AN68">IF($AW68="","",_xlfn.LET(_xlpm.sa,IFERROR(TRIM(INDEX('Sales and count'!$D$4:$D$300,$BF68)&amp;""),""),_xlpm.ta,IFERROR(TRIM(INDEX('TY Sales Target'!$F$5:$F$300,$BG68)&amp;""),""),IF(AND(_xlpm.sa&lt;&gt;"",LEFT(_xlpm.sa,1)&lt;&gt;"#",_xlpm.sa&lt;&gt;"0"),_xlpm.sa,IF(AND(_xlpm.ta&lt;&gt;"",LEFT(_xlpm.ta,1)&lt;&gt;"#",_xlpm.ta&lt;&gt;"0"),_xlpm.ta,IF(ISNUMBER($BG68),"Unassigned","")))))</f>
        <v>Maram Zamzami</v>
      </c>
      <c r="AO68" s="8" t="str" cm="1">
        <f t="array" ref="AO68">IF($AW68="","",_xlfn.LET(_xlpm.sa,IFERROR(TRIM(INDEX('Sales and count'!$C$4:$C$300,$BF68)&amp;""),""),_xlpm.ta,IFERROR(TRIM(INDEX('TY Sales Target'!$D$5:$D$300,$BG68)&amp;""),""),IF(AND(_xlpm.sa&lt;&gt;"",LEFT(_xlpm.sa,1)&lt;&gt;"#",_xlpm.sa&lt;&gt;"0"),_xlpm.sa,IF(AND(_xlpm.ta&lt;&gt;"",LEFT(_xlpm.ta,1)&lt;&gt;"#",_xlpm.ta&lt;&gt;"0"),_xlpm.ta,""))))</f>
        <v>Makkah</v>
      </c>
      <c r="AP68" s="8">
        <f t="shared" si="2"/>
        <v>0</v>
      </c>
      <c r="AQ68" s="8">
        <f t="shared" si="0"/>
        <v>1</v>
      </c>
      <c r="AR68" s="8" cm="1">
        <f t="array" ref="AR68">IF($BF68="",0,_xlfn.LET(_xlpm.d,IFERROR(--'Sales and count'!$G$2:$CC$2,0),SUMPRODUCT(('Sales and count'!$G$3:$CC$3="Total")*(_xlpm.d&gt;=$U$4)*(_xlpm.d&lt;=$U$5),INDEX('Sales and count'!$G$4:$CC$300,$BF68,0))))</f>
        <v>105744.53999999998</v>
      </c>
      <c r="AS68" s="8" cm="1">
        <f t="array" aca="1" ref="AS68" ca="1">IF($BF68="",0,_xlfn.LET(_xlpm.d,IFERROR(--'Sales and count'!$F$2:$CB$2,0),SUMPRODUCT(('Sales and count'!$G$3:$CC$3="Transactions")*(_xlpm.d&gt;=$U$4)*(_xlpm.d&lt;=$U$5),INDEX('Sales and count'!$G$4:$CC$300,$BF68,0))))</f>
        <v>521</v>
      </c>
      <c r="AT68" s="8" cm="1">
        <f t="array" ref="AT68">IF($AW68="",0,SUMPRODUCT((TRIM('LY Sales '!$B$5:$B$200)=$AW68)*('LY Sales '!$C$2:$AG$2&gt;=EDATE($U$4,-12))*('LY Sales '!$C$2:$AG$2&lt;=EDATE($U$5,-12)),'LY Sales '!$C$5:$AG$200))</f>
        <v>137221.46000000005</v>
      </c>
      <c r="AU68" s="8" cm="1">
        <f t="array" ref="AU68">IF($AW68="",0,SUMPRODUCT((TRIM('LY Transaction'!$B$5:$B$200)=$AW68)*('LY Transaction'!$C$2:$AG$2&gt;=EDATE($U$4,-12))*('LY Transaction'!$C$2:$AG$2&lt;=EDATE($U$5,-12)),'LY Transaction'!$C$5:$AG$200))</f>
        <v>808</v>
      </c>
      <c r="AV68" s="8" cm="1">
        <f t="array" ref="AV68">IF(NOT(ISNUMBER($BG68)),0,SUMPRODUCT(('TY Sales Target'!$K$2:$AO$2&gt;=$U$4)*('TY Sales Target'!$K$2:$AO$2&lt;=$U$5),INDEX('TY Sales Target'!$K$5:$AO$300,$BG68,0)))</f>
        <v>130249.74412570494</v>
      </c>
      <c r="AW68" s="8" t="str" cm="1">
        <f t="array" ref="AW68">IFERROR(INDEX(_xlfn.ANCHORARRAY($BR$5),ROWS($AW$5:AW68)),"")</f>
        <v>HAMAJAZCC</v>
      </c>
      <c r="BB68" cm="1">
        <f t="array" ref="BB68">IF($AW68="",0,SUMPRODUCT((TRIM(Footfall!$B$5:$B$301)=$AW68)*(Footfall!$C$1:$BZ$1&gt;=$U$4)*(Footfall!$C$2:$BZ$2&lt;=$U$5)*(Footfall!$C$1:$BZ$1&lt;&gt;""),Footfall!$C$5:$BZ$301))</f>
        <v>0</v>
      </c>
      <c r="BC68" cm="1">
        <f t="array" ref="BC68">IF(OR($BB68&lt;=0,$BD$1="",$BF68=""),0,_xlfn.LET(_xlpm.d,IFERROR(--'Sales and count'!$F$2:$CB$2,0),SUMPRODUCT(('Sales and count'!$G$3:$CC$3="Transactions")*(_xlpm.d&gt;=$BD$1)*(_xlpm.d&lt;=$BD$2),INDEX('Sales and count'!$G$4:$CC$300,$BF68,0))))</f>
        <v>0</v>
      </c>
      <c r="BF68" cm="1">
        <f t="array" ref="BF68">IF($AW68="","",IFERROR(MATCH($AW68,TRIM('Sales and count'!$A$4:$A$300&amp;""),0),""))</f>
        <v>64</v>
      </c>
      <c r="BG68" cm="1">
        <f t="array" ref="BG68">IF($AW68="","",IFERROR(MATCH(IFERROR(_xlfn.XLOOKUP($AW68,$BT$5:$BT$22,$BU$5:$BU$22),$AW68),TRIM('TY Sales Target'!$B$5:$B$300&amp;""),0),""))</f>
        <v>77</v>
      </c>
      <c r="BH68" t="str" cm="1">
        <f t="array" ref="BH68">IF(ISNUMBER($BG68),_xlfn.LET(_xlpm.p,TRIM(INDEX('TY Sales Target'!$I$5:$I$300,$BG68)&amp;""),IF(_xlpm.p="","Not set",_xlpm.p)),"Not set")</f>
        <v>I Pad</v>
      </c>
      <c r="BI68" cm="1">
        <f t="array" ref="BI68">IF($BF68="",0,_xlfn.LET(_xlpm.d,IFERROR(--'Sales and count'!$G$2:$CC$2,0),SUMPRODUCT(('Sales and count'!$G$3:$CC$3="Total")*(_xlpm.d&gt;=$BZ$5)*(_xlpm.d&lt;=$BZ$6),INDEX('Sales and count'!$G$4:$CC$300,$BF68,0))))</f>
        <v>105744.53999999998</v>
      </c>
      <c r="BJ68" cm="1">
        <f t="array" ref="BJ68">IF($AW68="",0,SUMPRODUCT((TRIM('LY Sales '!$B$5:$B$200)=$AW68)*('LY Sales '!$C$2:$AG$2&gt;=EDATE($BZ$5,-12))*('LY Sales '!$C$2:$AG$2&lt;=EDATE($BZ$6,-12)),'LY Sales '!$C$5:$AG$200))</f>
        <v>137221.46000000005</v>
      </c>
      <c r="BK68" cm="1">
        <f t="array" ref="BK68">IF($AW68="",0,SUMPRODUCT((TRIM('LY Sales '!$B$5:$B$200)=$AW68)*('LY Sales '!$C$2:$AG$2&gt;=EDATE($BZ$5,-12))*('LY Sales '!$C$2:$AG$2&lt;=EDATE($BZ$7,-12)),'LY Sales '!$C$5:$AG$200))</f>
        <v>167553.07000000007</v>
      </c>
      <c r="BL68" cm="1">
        <f t="array" ref="BL68">IF($AW68="",0,SUMPRODUCT((TRIM('LY Sales '!$B$5:$B$200)=$AW68)*('LY Sales '!$C$2:$AG$2&gt;=EDATE($BZ$5,-12))*('LY Sales '!$C$2:$AG$2&lt;=EDATE($BZ$6,-12))*('LY Sales '!$C$5:$AG$200&gt;0)))</f>
        <v>26</v>
      </c>
      <c r="BM68" cm="1">
        <f t="array" ref="BM68">IF(NOT(ISNUMBER($BG68)),0,SUMPRODUCT(('TY Sales Target'!$K$2:$AO$2&gt;=$BZ$5)*('TY Sales Target'!$K$2:$AO$2&lt;=$BZ$6),INDEX('TY Sales Target'!$K$5:$AO$300,$BG68,0)))</f>
        <v>130249.74412570494</v>
      </c>
      <c r="BN68" cm="1">
        <f t="array" ref="BN68">IF(NOT(ISNUMBER($BG68)),0,SUMPRODUCT(('TY Sales Target'!$K$2:$AO$2&gt;=$BZ$5)*('TY Sales Target'!$K$2:$AO$2&lt;=$BZ$7),INDEX('TY Sales Target'!$K$5:$AO$300,$BG68,0)))</f>
        <v>170000</v>
      </c>
      <c r="BO68" cm="1">
        <f t="array" ref="BO68">IF($AW68="",0,IFERROR(_xlfn.SWITCH($BP68,"LY trend",$BI68*$BK68/$BJ68,"Target curve",$BI68*$BN68/$BM68,"Run rate",$BI68/$BZ$8*$BZ$9,0),0))</f>
        <v>129118.4506617099</v>
      </c>
      <c r="BP68" t="str">
        <f t="shared" si="1"/>
        <v>LY trend</v>
      </c>
      <c r="BR68" t="str">
        <v>HAMAJAZCC</v>
      </c>
      <c r="CB68" cm="1">
        <f t="array" ref="CB68">IF($AW68="",0,_xlfn.LET(_xlpm.k,IFERROR(_xlfn.XLOOKUP($AW68,$CD$6:$CD$21,$CE$6:$CE$21),$AW68),SUMPRODUCT((TRIM('Makeup '!$A$2:$A$300&amp;"")=_xlpm.k)*1,IFERROR('Makeup '!$F$2:$F$300*1,0))))</f>
        <v>3772.51</v>
      </c>
      <c r="CF68" t="str" cm="1">
        <f t="array" ref="CF68">IF($AW68="","",_xlfn.LET(_xlpm.c,IFERROR(TRIM(INDEX('Sales and count'!$B$4:$B$300,$BF68)&amp;""),""),IF(OR(_xlpm.c="",_xlpm.c="0",LEFT(_xlpm.c,1)="#"),"Not set",_xlpm.c)))</f>
        <v>KSA</v>
      </c>
      <c r="CH68" cm="1">
        <f t="array" ref="CH68">IF($AW68="",0,_xlfn.LET(_xlpm.k,IFERROR(_xlfn.XLOOKUP($AW68,$CD$6:$CD$21,$CE$6:$CE$21),$AW68),--(SUMPRODUCT((TRIM('Makeup '!$A$2:$A$300&amp;"")=_xlpm.k)*ISNUMBER('Makeup '!$F$2:$F$300))&gt;0)))</f>
        <v>1</v>
      </c>
      <c r="CI68">
        <f t="shared" si="4"/>
        <v>105744.53999999998</v>
      </c>
      <c r="CJ68" cm="1">
        <f t="array" ref="CJ68">IF($AW68="",0,--(SUMPRODUCT(--(TRIM(Footfall!$B$5:$B$301)=$AW68))&gt;0))</f>
        <v>0</v>
      </c>
      <c r="CK68" s="8" cm="1">
        <f t="array" ref="CK68">IF($AW68="",0,_xlfn.LET(_xlpm.r,IFERROR(MATCH(IFERROR(_xlfn.XLOOKUP($AW68,$BT$5:$BT$22,$BU$5:$BU$22),$AW68),TRIM('TY Beauty Target'!$B$5:$B$300&amp;""),0),""),IF(ISNUMBER(_xlpm.r),SUMPRODUCT(('TY Beauty Target'!$L$2:$AP$2&gt;=$U$4)*('TY Beauty Target'!$L$2:$AP$2&lt;=$U$5),INDEX('TY Beauty Target'!$L$5:$AP$300,_xlpm.r,0)),0)))</f>
        <v>4376.1134506666021</v>
      </c>
    </row>
    <row r="69" spans="1:89" ht="15" customHeight="1" x14ac:dyDescent="0.25">
      <c r="A69" s="38" t="str">
        <f t="shared" si="58"/>
        <v/>
      </c>
      <c r="B69" s="43" t="str" cm="1">
        <f t="array" ref="B69">IF($AI69="","",IF(LEFT($AI69,2)="C|",IF($C69="","",_xlfn.TEXTJOIN(", ",TRUE,_xlfn.UNIQUE(_xlfn._xlws.FILTER($AN$5:$AN$302,($AP$5:$AP$302=1)*($AO$5:$AO$302=$A69))))),IF($AI69="CT",B$13,IF(LEFT($AI69,3)="AM|",IF($C69="","",ROWS(_xlfn.UNIQUE(_xlfn._xlws.FILTER($AO$5:$AO$302,($AP$5:$AP$302=1)*($AN$5:$AN$302=$A69))))),IF(LEFT($AI69,2)="S|",IF($AG69="","",INDEX($AO$5:$AO$302,$AH69)),IF($AI69="HDR","City",""))))))</f>
        <v/>
      </c>
      <c r="C69" s="39" t="str" cm="1">
        <f t="array" ref="C69">IF($AI69="","",IF(LEFT($AI69,2)="C|",_xlfn.LET(_xlpm.n,SUMPRODUCT($AP$5:$AP$302*($AO$5:$AO$302=$A69)),IF(_xlpm.n=0,"",_xlpm.n)),IF($AI69="CT",C$13,IF(LEFT($AI69,3)="AM|",_xlfn.LET(_xlpm.n,SUMPRODUCT($AP$5:$AP$302*($AN$5:$AN$302=$A69)),IF(_xlpm.n=0,"",_xlpm.n)),IF(LEFT($AI69,2)="S|","",IF($AI69="HDR","# Stores",""))))))</f>
        <v/>
      </c>
      <c r="D69" s="40" t="str" cm="1">
        <f t="array" ref="D69">IF($AI69="","",IF(LEFT($AI69,2)="C|",IF($C69="","",SUMPRODUCT($AP$5:$AP$302*($AO$5:$AO$302=$A69),$AR$5:$AR$302)),IF($AI69="CT",D$13,IF(LEFT($AI69,3)="AM|",IF($C69="","",SUMPRODUCT($AP$5:$AP$302*($AN$5:$AN$302=$A69),$AR$5:$AR$302)),IF(LEFT($AI69,2)="S|",IF($AG69="","",INDEX($AR$5:$AR$302,$AH69)),IF($AI69="HDR","Sales TY",""))))))</f>
        <v/>
      </c>
      <c r="E69" s="40" t="str" cm="1">
        <f t="array" ref="E69">IF($AI69="","",IF(LEFT($AI69,2)="C|",IF($C69="","",SUMPRODUCT($AP$5:$AP$302*($AO$5:$AO$302=$A69),$AT$5:$AT$302)),IF($AI69="CT",E$13,IF(LEFT($AI69,3)="AM|",IF($C69="","",SUMPRODUCT($AP$5:$AP$302*($AN$5:$AN$302=$A69),$AT$5:$AT$302)),IF(LEFT($AI69,2)="S|",IF($AG69="","",INDEX($AT$5:$AT$302,$AH69)),IF($AI69="HDR","Sales LY",""))))))</f>
        <v/>
      </c>
      <c r="F69" s="41" t="str">
        <f t="shared" si="46"/>
        <v/>
      </c>
      <c r="G69" s="41" t="str">
        <f t="shared" si="47"/>
        <v/>
      </c>
      <c r="H69" s="40" t="str" cm="1">
        <f t="array" ref="H69">IF($AI69="","",IF(LEFT($AI69,2)="C|",IF($C69="","",SUMPRODUCT($AP$5:$AP$302*($AO$5:$AO$302=$A69),$AV$5:$AV$302)),IF($AI69="CT",H$13,IF(LEFT($AI69,3)="AM|",IF($C69="","",SUMPRODUCT($AP$5:$AP$302*($AN$5:$AN$302=$A69),$AV$5:$AV$302)),IF(LEFT($AI69,2)="S|",IF($AG69="","",INDEX($AV$5:$AV$302,$AH69)),IF($AI69="HDR","Target",""))))))</f>
        <v/>
      </c>
      <c r="I69" s="41" t="str">
        <f t="shared" si="48"/>
        <v/>
      </c>
      <c r="J69" s="40" t="str">
        <f t="shared" si="49"/>
        <v/>
      </c>
      <c r="K69" s="41" t="str">
        <f t="shared" si="50"/>
        <v/>
      </c>
      <c r="L69" s="40" t="str" cm="1">
        <f t="array" ref="L69">IF($AI69="","",IF(LEFT($AI69,2)="C|",IF($C69="","",SUMPRODUCT($AP$5:$AP$302*($AO$5:$AO$302=$A69),$BN$5:$BN$302)),IF($AI69="CT",L$13,IF(LEFT($AI69,3)="AM|",IF($C69="","",SUMPRODUCT($AP$5:$AP$302*($AN$5:$AN$302=$A69),$BN$5:$BN$302)),IF(LEFT($AI69,2)="S|",IF($AG69="","",INDEX($BN$5:$BN$302,$AH69)),IF($AI69="HDR","Month Target",""))))))</f>
        <v/>
      </c>
      <c r="M69" s="40" t="str" cm="1">
        <f t="array" ref="M69">IF($AI69="","",IF(LEFT($AI69,2)="C|",IF($C69="","",SUMPRODUCT($AP$5:$AP$302*($AO$5:$AO$302=$A69),$BO$5:$BO$302)),IF($AI69="CT",M$13,IF(LEFT($AI69,3)="AM|",IF($C69="","",SUMPRODUCT($AP$5:$AP$302*($AN$5:$AN$302=$A69),$BO$5:$BO$302)),IF(LEFT($AI69,2)="S|",IF($AG69="","",INDEX($BO$5:$BO$302,$AH69)),IF($AI69="HDR","Projected Close",""))))))</f>
        <v/>
      </c>
      <c r="N69" s="41" t="str">
        <f t="shared" si="43"/>
        <v/>
      </c>
      <c r="O69" s="41" t="str" cm="1">
        <f t="array" ref="O69">IF($AI69="HDR","Proj. vs LY",IF(OR($AI69="",M69=""),"",_xlfn.LET(_xlpm.ly,IF(LEFT($AI69,2)="C|",SUMPRODUCT($AP$5:$AP$302*($AO$5:$AO$302=$A69),$BK$5:$BK$302),IF($AI69="CT",SUMPRODUCT($AP$5:$AP$302,$BK$5:$BK$302),IF(LEFT($AI69,3)="AM|",SUMPRODUCT($AP$5:$AP$302*($AN$5:$AN$302=$A69),$BK$5:$BK$302),IF(LEFT($AI69,2)="S|",INDEX($BK$5:$BK$302,$AH69),0)))),IFERROR(M69/_xlpm.ly-1,""))))</f>
        <v/>
      </c>
      <c r="P69" s="40" t="str" cm="1">
        <f t="array" ref="P69">IF($AI69="","",IF(LEFT($AI69,2)="C|",IF($C69="","",SUMPRODUCT($AP$5:$AP$302*($AO$5:$AO$302=$A69),$AS$5:$AS$302)),IF($AI69="CT",P$13,IF(LEFT($AI69,3)="AM|",IF($C69="","",SUMPRODUCT($AP$5:$AP$302*($AN$5:$AN$302=$A69),$AS$5:$AS$302)),IF(LEFT($AI69,2)="S|",IF($AG69="","",INDEX($AS$5:$AS$302,$AH69)),IF($AI69="HDR","Trans TY",""))))))</f>
        <v/>
      </c>
      <c r="Q69" s="40" t="str" cm="1">
        <f t="array" ref="Q69">IF($AI69="","",IF(LEFT($AI69,2)="C|",IF($C69="","",SUMPRODUCT($AP$5:$AP$302*($AO$5:$AO$302=$A69),$AU$5:$AU$302)),IF($AI69="CT",Q$13,IF(LEFT($AI69,3)="AM|",IF($C69="","",SUMPRODUCT($AP$5:$AP$302*($AN$5:$AN$302=$A69),$AU$5:$AU$302)),IF(LEFT($AI69,2)="S|",IF($AG69="","",INDEX($AU$5:$AU$302,$AH69)),IF($AI69="HDR","Trans LY",""))))))</f>
        <v/>
      </c>
      <c r="R69" s="41" t="str">
        <f t="shared" si="51"/>
        <v/>
      </c>
      <c r="S69" s="41" t="str">
        <f t="shared" si="52"/>
        <v/>
      </c>
      <c r="T69" s="42" t="str">
        <f t="shared" si="53"/>
        <v/>
      </c>
      <c r="U69" s="42" t="str">
        <f t="shared" si="54"/>
        <v/>
      </c>
      <c r="V69" s="41" t="str">
        <f t="shared" si="55"/>
        <v/>
      </c>
      <c r="W69" s="40" t="str" cm="1">
        <f t="array" ref="W69">IF($AI69="","",IF(LEFT($AI69,2)="C|",_xlfn.LET(_xlpm.n,SUMPRODUCT($AP$5:$AP$302*($AO$5:$AO$302=$A69),$BB$5:$BB$302),IF(_xlpm.n=0,"",_xlpm.n)),IF($AI69="CT",W$13,IF(LEFT($AI69,3)="AM|",_xlfn.LET(_xlpm.n,SUMPRODUCT($AP$5:$AP$302*($AN$5:$AN$302=$A69),$BB$5:$BB$302),IF(_xlpm.n=0,"",_xlpm.n)),IF(LEFT($AI69,2)="S|",IF($AG69="","",_xlfn.LET(_xlpm.n,INDEX($BB$5:$BB$302,$AH69),IF(_xlpm.n=0,"",_xlpm.n))),IF($AI69="HDR","Footfall",""))))))</f>
        <v/>
      </c>
      <c r="X69" s="40" t="str" cm="1">
        <f t="array" ref="X69">IF($AI69="","",IF($AI69="HDR","Trans (FF stores)",IF(W69="","",IF(LEFT($AI69,2)="C|",SUMPRODUCT($AP$5:$AP$302*($AO$5:$AO$302=$A69),$BC$5:$BC$302),IF($AI69="CT",X$13,IF(LEFT($AI69,3)="AM|",SUMPRODUCT($AP$5:$AP$302*($AN$5:$AN$302=$A69),$BC$5:$BC$302),IF(LEFT($AI69,2)="S|",INDEX($BC$5:$BC$302,$AH69),"")))))))</f>
        <v/>
      </c>
      <c r="Y69" s="41" t="str">
        <f t="shared" si="44"/>
        <v/>
      </c>
      <c r="Z69" s="40" t="str" cm="1">
        <f t="array" ref="Z69">IF($AI69="","",IF(LEFT($AI69,2)="C|",IF($C69="","",SUMPRODUCT($AP$5:$AP$302*($AO$5:$AO$302=$A69),$CB$5:$CB$302)),IF($AI69="CT",Z$13,IF(LEFT($AI69,3)="AM|",IF($C69="","",SUMPRODUCT($AP$5:$AP$302*($AN$5:$AN$302=$A69),$CB$5:$CB$302)),IF(LEFT($AI69,2)="S|",IF($AG69="","",INDEX($CB$5:$CB$302,$AH69)),IF($AI69="HDR","Makeup Sales",""))))))</f>
        <v/>
      </c>
      <c r="AA69" s="41" t="str">
        <f t="shared" si="56"/>
        <v/>
      </c>
      <c r="AB69" s="40" t="str" cm="1">
        <f t="array" ref="AB69">IF($AI69="","",IF(LEFT($AI69,2)="C|",IF($C69="","",SUMPRODUCT($AP$5:$AP$302*($AO$5:$AO$302=$A69),$CK$5:$CK$302)),IF($AI69="CT",AB$13,IF(LEFT($AI69,3)="AM|",IF($C69="","",SUMPRODUCT($AP$5:$AP$302*($AN$5:$AN$302=$A69),$CK$5:$CK$302)),IF(LEFT($AI69,2)="S|",IF($AG69="","",INDEX($CK$5:$CK$302,$AH69)),IF($AI69="HDR","Makeup Target",""))))))</f>
        <v/>
      </c>
      <c r="AC69" s="41" t="str">
        <f t="shared" si="45"/>
        <v/>
      </c>
      <c r="AD69" s="40" t="str" cm="1">
        <f t="array" ref="AD69">IF($AI69="","",IF(LEFT($AI69,2)="C|",IF($C69="","",SUMPRODUCT($AP$5:$AP$302*($AO$5:$AO$302=$A69),$CI$5:$CI$302)),IF($AI69="CT",AD$13,IF(LEFT($AI69,3)="AM|",IF($C69="","",SUMPRODUCT($AP$5:$AP$302*($AN$5:$AN$302=$A69),$CI$5:$CI$302)),IF(LEFT($AI69,2)="S|",IF($AG69="","",INDEX($CI$5:$CI$302,$AH69)),IF($AI69="HDR","Cosmetic Sales",""))))))</f>
        <v/>
      </c>
      <c r="AE69" s="8" t="str" cm="1">
        <f t="array" ref="AE69">IF($AI69="","",IF(LEFT($AI69,2)="C|",IF($C69="","",SUMPRODUCT($AP$5:$AP$302*($AO$5:$AO$302=$A69)*$AQ$5:$AQ$302,$AR$5:$AR$302)),IF($AI69="CT",AE$13,IF(LEFT($AI69,3)="AM|",IF($C69="","",SUMPRODUCT($AP$5:$AP$302*($AN$5:$AN$302=$A69)*$AQ$5:$AQ$302,$AR$5:$AR$302)),IF(LEFT($AI69,2)="S|",IF($AG69="","",IF(INDEX($AQ$5:$AQ$302,$AH69)=1,D69,0)),IF($AI69="HDR","LFL Sales",""))))))</f>
        <v/>
      </c>
      <c r="AF69" s="8" t="str" cm="1">
        <f t="array" ref="AF69">IF($AI69="","",IF(LEFT($AI69,2)="C|",IF($C69="","",SUMPRODUCT($AP$5:$AP$302*($AO$5:$AO$302=$A69)*$AQ$5:$AQ$302,$AS$5:$AS$302)),IF($AI69="CT",AF$13,IF(LEFT($AI69,3)="AM|",IF($C69="","",SUMPRODUCT($AP$5:$AP$302*($AN$5:$AN$302=$A69)*$AQ$5:$AQ$302,$AS$5:$AS$302)),IF(LEFT($AI69,2)="S|",IF($AG69="","",IF(INDEX($AQ$5:$AQ$302,$AH69)=1,P69,0)),IF($AI69="HDR","LFL Trans",""))))))</f>
        <v/>
      </c>
      <c r="AG69" s="8" t="str" cm="1">
        <f t="array" ref="AG69">IF($AI69="","",IF(LEFT($AI69,2)="C|","",IF($AI69="CT","",IF(LEFT($AI69,3)="AM|","",IF(LEFT($AI69,2)="S|",IF($AH69="","",IF(INDEX($AP$5:$AP$302,$AH69)=1,1,"")),IF($AI69="HDR","Show",""))))))</f>
        <v/>
      </c>
      <c r="AH69" s="8" t="str">
        <f t="shared" si="57"/>
        <v/>
      </c>
      <c r="AI69" s="8"/>
      <c r="AN69" s="8" t="str" cm="1">
        <f t="array" ref="AN69">IF($AW69="","",_xlfn.LET(_xlpm.sa,IFERROR(TRIM(INDEX('Sales and count'!$D$4:$D$300,$BF69)&amp;""),""),_xlpm.ta,IFERROR(TRIM(INDEX('TY Sales Target'!$F$5:$F$300,$BG69)&amp;""),""),IF(AND(_xlpm.sa&lt;&gt;"",LEFT(_xlpm.sa,1)&lt;&gt;"#",_xlpm.sa&lt;&gt;"0"),_xlpm.sa,IF(AND(_xlpm.ta&lt;&gt;"",LEFT(_xlpm.ta,1)&lt;&gt;"#",_xlpm.ta&lt;&gt;"0"),_xlpm.ta,IF(ISNUMBER($BG69),"Unassigned","")))))</f>
        <v>Mohammed Sanad</v>
      </c>
      <c r="AO69" s="8" t="str" cm="1">
        <f t="array" ref="AO69">IF($AW69="","",_xlfn.LET(_xlpm.sa,IFERROR(TRIM(INDEX('Sales and count'!$C$4:$C$300,$BF69)&amp;""),""),_xlpm.ta,IFERROR(TRIM(INDEX('TY Sales Target'!$D$5:$D$300,$BG69)&amp;""),""),IF(AND(_xlpm.sa&lt;&gt;"",LEFT(_xlpm.sa,1)&lt;&gt;"#",_xlpm.sa&lt;&gt;"0"),_xlpm.sa,IF(AND(_xlpm.ta&lt;&gt;"",LEFT(_xlpm.ta,1)&lt;&gt;"#",_xlpm.ta&lt;&gt;"0"),_xlpm.ta,""))))</f>
        <v>Riyadh</v>
      </c>
      <c r="AP69" s="8">
        <f t="shared" si="2"/>
        <v>0</v>
      </c>
      <c r="AQ69" s="8">
        <f t="shared" si="0"/>
        <v>1</v>
      </c>
      <c r="AR69" s="8" cm="1">
        <f t="array" ref="AR69">IF($BF69="",0,_xlfn.LET(_xlpm.d,IFERROR(--'Sales and count'!$G$2:$CC$2,0),SUMPRODUCT(('Sales and count'!$G$3:$CC$3="Total")*(_xlpm.d&gt;=$U$4)*(_xlpm.d&lt;=$U$5),INDEX('Sales and count'!$G$4:$CC$300,$BF69,0))))</f>
        <v>67583.700000000012</v>
      </c>
      <c r="AS69" s="8" cm="1">
        <f t="array" aca="1" ref="AS69" ca="1">IF($BF69="",0,_xlfn.LET(_xlpm.d,IFERROR(--'Sales and count'!$F$2:$CB$2,0),SUMPRODUCT(('Sales and count'!$G$3:$CC$3="Transactions")*(_xlpm.d&gt;=$U$4)*(_xlpm.d&lt;=$U$5),INDEX('Sales and count'!$G$4:$CC$300,$BF69,0))))</f>
        <v>445</v>
      </c>
      <c r="AT69" s="8" cm="1">
        <f t="array" ref="AT69">IF($AW69="",0,SUMPRODUCT((TRIM('LY Sales '!$B$5:$B$200)=$AW69)*('LY Sales '!$C$2:$AG$2&gt;=EDATE($U$4,-12))*('LY Sales '!$C$2:$AG$2&lt;=EDATE($U$5,-12)),'LY Sales '!$C$5:$AG$200))</f>
        <v>193966.15999999995</v>
      </c>
      <c r="AU69" s="8" cm="1">
        <f t="array" ref="AU69">IF($AW69="",0,SUMPRODUCT((TRIM('LY Transaction'!$B$5:$B$200)=$AW69)*('LY Transaction'!$C$2:$AG$2&gt;=EDATE($U$4,-12))*('LY Transaction'!$C$2:$AG$2&lt;=EDATE($U$5,-12)),'LY Transaction'!$C$5:$AG$200))</f>
        <v>1061</v>
      </c>
      <c r="AV69" s="8" cm="1">
        <f t="array" ref="AV69">IF(NOT(ISNUMBER($BG69)),0,SUMPRODUCT(('TY Sales Target'!$K$2:$AO$2&gt;=$U$4)*('TY Sales Target'!$K$2:$AO$2&lt;=$U$5),INDEX('TY Sales Target'!$K$5:$AO$300,$BG69,0)))</f>
        <v>108796.84509323587</v>
      </c>
      <c r="AW69" s="8" t="str" cm="1">
        <f t="array" ref="AW69">IFERROR(INDEX(_xlfn.ANCHORARRAY($BR$5),ROWS($AW$5:AW69)),"")</f>
        <v>RYDUWALK</v>
      </c>
      <c r="BB69" cm="1">
        <f t="array" ref="BB69">IF($AW69="",0,SUMPRODUCT((TRIM(Footfall!$B$5:$B$301)=$AW69)*(Footfall!$C$1:$BZ$1&gt;=$U$4)*(Footfall!$C$2:$BZ$2&lt;=$U$5)*(Footfall!$C$1:$BZ$1&lt;&gt;""),Footfall!$C$5:$BZ$301))</f>
        <v>2668</v>
      </c>
      <c r="BC69" cm="1">
        <f t="array" aca="1" ref="BC69" ca="1">IF(OR($BB69&lt;=0,$BD$1="",$BF69=""),0,_xlfn.LET(_xlpm.d,IFERROR(--'Sales and count'!$F$2:$CB$2,0),SUMPRODUCT(('Sales and count'!$G$3:$CC$3="Transactions")*(_xlpm.d&gt;=$BD$1)*(_xlpm.d&lt;=$BD$2),INDEX('Sales and count'!$G$4:$CC$300,$BF69,0))))</f>
        <v>445</v>
      </c>
      <c r="BF69" cm="1">
        <f t="array" ref="BF69">IF($AW69="","",IFERROR(MATCH($AW69,TRIM('Sales and count'!$A$4:$A$300&amp;""),0),""))</f>
        <v>65</v>
      </c>
      <c r="BG69" cm="1">
        <f t="array" ref="BG69">IF($AW69="","",IFERROR(MATCH(IFERROR(_xlfn.XLOOKUP($AW69,$BT$5:$BT$22,$BU$5:$BU$22),$AW69),TRIM('TY Sales Target'!$B$5:$B$300&amp;""),0),""))</f>
        <v>92</v>
      </c>
      <c r="BH69" t="str" cm="1">
        <f t="array" ref="BH69">IF(ISNUMBER($BG69),_xlfn.LET(_xlpm.p,TRIM(INDEX('TY Sales Target'!$I$5:$I$300,$BG69)&amp;""),IF(_xlpm.p="","Not set",_xlpm.p)),"Not set")</f>
        <v>Smart Watch</v>
      </c>
      <c r="BI69" cm="1">
        <f t="array" ref="BI69">IF($BF69="",0,_xlfn.LET(_xlpm.d,IFERROR(--'Sales and count'!$G$2:$CC$2,0),SUMPRODUCT(('Sales and count'!$G$3:$CC$3="Total")*(_xlpm.d&gt;=$BZ$5)*(_xlpm.d&lt;=$BZ$6),INDEX('Sales and count'!$G$4:$CC$300,$BF69,0))))</f>
        <v>67583.700000000012</v>
      </c>
      <c r="BJ69" cm="1">
        <f t="array" ref="BJ69">IF($AW69="",0,SUMPRODUCT((TRIM('LY Sales '!$B$5:$B$200)=$AW69)*('LY Sales '!$C$2:$AG$2&gt;=EDATE($BZ$5,-12))*('LY Sales '!$C$2:$AG$2&lt;=EDATE($BZ$6,-12)),'LY Sales '!$C$5:$AG$200))</f>
        <v>193966.15999999995</v>
      </c>
      <c r="BK69" cm="1">
        <f t="array" ref="BK69">IF($AW69="",0,SUMPRODUCT((TRIM('LY Sales '!$B$5:$B$200)=$AW69)*('LY Sales '!$C$2:$AG$2&gt;=EDATE($BZ$5,-12))*('LY Sales '!$C$2:$AG$2&lt;=EDATE($BZ$7,-12)),'LY Sales '!$C$5:$AG$200))</f>
        <v>240539.92999999993</v>
      </c>
      <c r="BL69" cm="1">
        <f t="array" ref="BL69">IF($AW69="",0,SUMPRODUCT((TRIM('LY Sales '!$B$5:$B$200)=$AW69)*('LY Sales '!$C$2:$AG$2&gt;=EDATE($BZ$5,-12))*('LY Sales '!$C$2:$AG$2&lt;=EDATE($BZ$6,-12))*('LY Sales '!$C$5:$AG$200&gt;0)))</f>
        <v>26</v>
      </c>
      <c r="BM69" cm="1">
        <f t="array" ref="BM69">IF(NOT(ISNUMBER($BG69)),0,SUMPRODUCT(('TY Sales Target'!$K$2:$AO$2&gt;=$BZ$5)*('TY Sales Target'!$K$2:$AO$2&lt;=$BZ$6),INDEX('TY Sales Target'!$K$5:$AO$300,$BG69,0)))</f>
        <v>108796.84509323587</v>
      </c>
      <c r="BN69" cm="1">
        <f t="array" ref="BN69">IF(NOT(ISNUMBER($BG69)),0,SUMPRODUCT(('TY Sales Target'!$K$2:$AO$2&gt;=$BZ$5)*('TY Sales Target'!$K$2:$AO$2&lt;=$BZ$7),INDEX('TY Sales Target'!$K$5:$AO$300,$BG69,0)))</f>
        <v>141999.99999999997</v>
      </c>
      <c r="BO69" cm="1">
        <f t="array" ref="BO69">IF($AW69="",0,IFERROR(_xlfn.SWITCH($BP69,"LY trend",$BI69*$BK69/$BJ69,"Target curve",$BI69*$BN69/$BM69,"Run rate",$BI69/$BZ$8*$BZ$9,0),0))</f>
        <v>83811.415698186756</v>
      </c>
      <c r="BP69" t="str">
        <f t="shared" ref="BP69:BP132" si="59">IF($AW69="","",IF(AND($BL69&gt;=$BZ$8,$BJ69&gt;0,$BK69&gt;0),"LY trend",IF($BM69&gt;0,"Target curve",IF($BI69&gt;0,"Run rate",""))))</f>
        <v>LY trend</v>
      </c>
      <c r="BR69" t="str">
        <v>RYDUWALK</v>
      </c>
      <c r="CB69" cm="1">
        <f t="array" ref="CB69">IF($AW69="",0,_xlfn.LET(_xlpm.k,IFERROR(_xlfn.XLOOKUP($AW69,$CD$6:$CD$21,$CE$6:$CE$21),$AW69),SUMPRODUCT((TRIM('Makeup '!$A$2:$A$300&amp;"")=_xlpm.k)*1,IFERROR('Makeup '!$F$2:$F$300*1,0))))</f>
        <v>2789.93</v>
      </c>
      <c r="CF69" t="str" cm="1">
        <f t="array" ref="CF69">IF($AW69="","",_xlfn.LET(_xlpm.c,IFERROR(TRIM(INDEX('Sales and count'!$B$4:$B$300,$BF69)&amp;""),""),IF(OR(_xlpm.c="",_xlpm.c="0",LEFT(_xlpm.c,1)="#"),"Not set",_xlpm.c)))</f>
        <v>KSA</v>
      </c>
      <c r="CH69" cm="1">
        <f t="array" ref="CH69">IF($AW69="",0,_xlfn.LET(_xlpm.k,IFERROR(_xlfn.XLOOKUP($AW69,$CD$6:$CD$21,$CE$6:$CE$21),$AW69),--(SUMPRODUCT((TRIM('Makeup '!$A$2:$A$300&amp;"")=_xlpm.k)*ISNUMBER('Makeup '!$F$2:$F$300))&gt;0)))</f>
        <v>1</v>
      </c>
      <c r="CI69">
        <f t="shared" si="4"/>
        <v>67583.700000000012</v>
      </c>
      <c r="CJ69" cm="1">
        <f t="array" ref="CJ69">IF($AW69="",0,--(SUMPRODUCT(--(TRIM(Footfall!$B$5:$B$301)=$AW69))&gt;0))</f>
        <v>1</v>
      </c>
      <c r="CK69" s="8" cm="1">
        <f t="array" ref="CK69">IF($AW69="",0,_xlfn.LET(_xlpm.r,IFERROR(MATCH(IFERROR(_xlfn.XLOOKUP($AW69,$BT$5:$BT$22,$BU$5:$BU$22),$AW69),TRIM('TY Beauty Target'!$B$5:$B$300&amp;""),0),""),IF(ISNUMBER(_xlpm.r),SUMPRODUCT(('TY Beauty Target'!$L$2:$AP$2&gt;=$U$4)*('TY Beauty Target'!$L$2:$AP$2&lt;=$U$5),INDEX('TY Beauty Target'!$L$5:$AP$300,_xlpm.r,0)),0)))</f>
        <v>5550.6969276282334</v>
      </c>
    </row>
    <row r="70" spans="1:89" ht="15" customHeight="1" x14ac:dyDescent="0.25">
      <c r="A70" s="38" t="str">
        <f t="shared" si="58"/>
        <v/>
      </c>
      <c r="B70" s="43" t="str" cm="1">
        <f t="array" ref="B70">IF($AI70="","",IF(LEFT($AI70,2)="C|",IF($C70="","",_xlfn.TEXTJOIN(", ",TRUE,_xlfn.UNIQUE(_xlfn._xlws.FILTER($AN$5:$AN$302,($AP$5:$AP$302=1)*($AO$5:$AO$302=$A70))))),IF($AI70="CT",B$13,IF(LEFT($AI70,3)="AM|",IF($C70="","",ROWS(_xlfn.UNIQUE(_xlfn._xlws.FILTER($AO$5:$AO$302,($AP$5:$AP$302=1)*($AN$5:$AN$302=$A70))))),IF(LEFT($AI70,2)="S|",IF($AG70="","",INDEX($AO$5:$AO$302,$AH70)),IF($AI70="HDR","City",""))))))</f>
        <v/>
      </c>
      <c r="C70" s="39" t="str" cm="1">
        <f t="array" ref="C70">IF($AI70="","",IF(LEFT($AI70,2)="C|",_xlfn.LET(_xlpm.n,SUMPRODUCT($AP$5:$AP$302*($AO$5:$AO$302=$A70)),IF(_xlpm.n=0,"",_xlpm.n)),IF($AI70="CT",C$13,IF(LEFT($AI70,3)="AM|",_xlfn.LET(_xlpm.n,SUMPRODUCT($AP$5:$AP$302*($AN$5:$AN$302=$A70)),IF(_xlpm.n=0,"",_xlpm.n)),IF(LEFT($AI70,2)="S|","",IF($AI70="HDR","# Stores",""))))))</f>
        <v/>
      </c>
      <c r="D70" s="40" t="str" cm="1">
        <f t="array" ref="D70">IF($AI70="","",IF(LEFT($AI70,2)="C|",IF($C70="","",SUMPRODUCT($AP$5:$AP$302*($AO$5:$AO$302=$A70),$AR$5:$AR$302)),IF($AI70="CT",D$13,IF(LEFT($AI70,3)="AM|",IF($C70="","",SUMPRODUCT($AP$5:$AP$302*($AN$5:$AN$302=$A70),$AR$5:$AR$302)),IF(LEFT($AI70,2)="S|",IF($AG70="","",INDEX($AR$5:$AR$302,$AH70)),IF($AI70="HDR","Sales TY",""))))))</f>
        <v/>
      </c>
      <c r="E70" s="40" t="str" cm="1">
        <f t="array" ref="E70">IF($AI70="","",IF(LEFT($AI70,2)="C|",IF($C70="","",SUMPRODUCT($AP$5:$AP$302*($AO$5:$AO$302=$A70),$AT$5:$AT$302)),IF($AI70="CT",E$13,IF(LEFT($AI70,3)="AM|",IF($C70="","",SUMPRODUCT($AP$5:$AP$302*($AN$5:$AN$302=$A70),$AT$5:$AT$302)),IF(LEFT($AI70,2)="S|",IF($AG70="","",INDEX($AT$5:$AT$302,$AH70)),IF($AI70="HDR","Sales LY",""))))))</f>
        <v/>
      </c>
      <c r="F70" s="41" t="str">
        <f t="shared" si="46"/>
        <v/>
      </c>
      <c r="G70" s="41" t="str">
        <f t="shared" si="47"/>
        <v/>
      </c>
      <c r="H70" s="40" t="str" cm="1">
        <f t="array" ref="H70">IF($AI70="","",IF(LEFT($AI70,2)="C|",IF($C70="","",SUMPRODUCT($AP$5:$AP$302*($AO$5:$AO$302=$A70),$AV$5:$AV$302)),IF($AI70="CT",H$13,IF(LEFT($AI70,3)="AM|",IF($C70="","",SUMPRODUCT($AP$5:$AP$302*($AN$5:$AN$302=$A70),$AV$5:$AV$302)),IF(LEFT($AI70,2)="S|",IF($AG70="","",INDEX($AV$5:$AV$302,$AH70)),IF($AI70="HDR","Target",""))))))</f>
        <v/>
      </c>
      <c r="I70" s="41" t="str">
        <f t="shared" si="48"/>
        <v/>
      </c>
      <c r="J70" s="40" t="str">
        <f t="shared" si="49"/>
        <v/>
      </c>
      <c r="K70" s="41" t="str">
        <f t="shared" si="50"/>
        <v/>
      </c>
      <c r="L70" s="40" t="str" cm="1">
        <f t="array" ref="L70">IF($AI70="","",IF(LEFT($AI70,2)="C|",IF($C70="","",SUMPRODUCT($AP$5:$AP$302*($AO$5:$AO$302=$A70),$BN$5:$BN$302)),IF($AI70="CT",L$13,IF(LEFT($AI70,3)="AM|",IF($C70="","",SUMPRODUCT($AP$5:$AP$302*($AN$5:$AN$302=$A70),$BN$5:$BN$302)),IF(LEFT($AI70,2)="S|",IF($AG70="","",INDEX($BN$5:$BN$302,$AH70)),IF($AI70="HDR","Month Target",""))))))</f>
        <v/>
      </c>
      <c r="M70" s="40" t="str" cm="1">
        <f t="array" ref="M70">IF($AI70="","",IF(LEFT($AI70,2)="C|",IF($C70="","",SUMPRODUCT($AP$5:$AP$302*($AO$5:$AO$302=$A70),$BO$5:$BO$302)),IF($AI70="CT",M$13,IF(LEFT($AI70,3)="AM|",IF($C70="","",SUMPRODUCT($AP$5:$AP$302*($AN$5:$AN$302=$A70),$BO$5:$BO$302)),IF(LEFT($AI70,2)="S|",IF($AG70="","",INDEX($BO$5:$BO$302,$AH70)),IF($AI70="HDR","Projected Close",""))))))</f>
        <v/>
      </c>
      <c r="N70" s="41" t="str">
        <f t="shared" si="43"/>
        <v/>
      </c>
      <c r="O70" s="41" t="str" cm="1">
        <f t="array" ref="O70">IF($AI70="HDR","Proj. vs LY",IF(OR($AI70="",M70=""),"",_xlfn.LET(_xlpm.ly,IF(LEFT($AI70,2)="C|",SUMPRODUCT($AP$5:$AP$302*($AO$5:$AO$302=$A70),$BK$5:$BK$302),IF($AI70="CT",SUMPRODUCT($AP$5:$AP$302,$BK$5:$BK$302),IF(LEFT($AI70,3)="AM|",SUMPRODUCT($AP$5:$AP$302*($AN$5:$AN$302=$A70),$BK$5:$BK$302),IF(LEFT($AI70,2)="S|",INDEX($BK$5:$BK$302,$AH70),0)))),IFERROR(M70/_xlpm.ly-1,""))))</f>
        <v/>
      </c>
      <c r="P70" s="40" t="str" cm="1">
        <f t="array" ref="P70">IF($AI70="","",IF(LEFT($AI70,2)="C|",IF($C70="","",SUMPRODUCT($AP$5:$AP$302*($AO$5:$AO$302=$A70),$AS$5:$AS$302)),IF($AI70="CT",P$13,IF(LEFT($AI70,3)="AM|",IF($C70="","",SUMPRODUCT($AP$5:$AP$302*($AN$5:$AN$302=$A70),$AS$5:$AS$302)),IF(LEFT($AI70,2)="S|",IF($AG70="","",INDEX($AS$5:$AS$302,$AH70)),IF($AI70="HDR","Trans TY",""))))))</f>
        <v/>
      </c>
      <c r="Q70" s="40" t="str" cm="1">
        <f t="array" ref="Q70">IF($AI70="","",IF(LEFT($AI70,2)="C|",IF($C70="","",SUMPRODUCT($AP$5:$AP$302*($AO$5:$AO$302=$A70),$AU$5:$AU$302)),IF($AI70="CT",Q$13,IF(LEFT($AI70,3)="AM|",IF($C70="","",SUMPRODUCT($AP$5:$AP$302*($AN$5:$AN$302=$A70),$AU$5:$AU$302)),IF(LEFT($AI70,2)="S|",IF($AG70="","",INDEX($AU$5:$AU$302,$AH70)),IF($AI70="HDR","Trans LY",""))))))</f>
        <v/>
      </c>
      <c r="R70" s="41" t="str">
        <f t="shared" si="51"/>
        <v/>
      </c>
      <c r="S70" s="41" t="str">
        <f t="shared" si="52"/>
        <v/>
      </c>
      <c r="T70" s="42" t="str">
        <f t="shared" si="53"/>
        <v/>
      </c>
      <c r="U70" s="42" t="str">
        <f t="shared" si="54"/>
        <v/>
      </c>
      <c r="V70" s="41" t="str">
        <f t="shared" si="55"/>
        <v/>
      </c>
      <c r="W70" s="40" t="str" cm="1">
        <f t="array" ref="W70">IF($AI70="","",IF(LEFT($AI70,2)="C|",_xlfn.LET(_xlpm.n,SUMPRODUCT($AP$5:$AP$302*($AO$5:$AO$302=$A70),$BB$5:$BB$302),IF(_xlpm.n=0,"",_xlpm.n)),IF($AI70="CT",W$13,IF(LEFT($AI70,3)="AM|",_xlfn.LET(_xlpm.n,SUMPRODUCT($AP$5:$AP$302*($AN$5:$AN$302=$A70),$BB$5:$BB$302),IF(_xlpm.n=0,"",_xlpm.n)),IF(LEFT($AI70,2)="S|",IF($AG70="","",_xlfn.LET(_xlpm.n,INDEX($BB$5:$BB$302,$AH70),IF(_xlpm.n=0,"",_xlpm.n))),IF($AI70="HDR","Footfall",""))))))</f>
        <v/>
      </c>
      <c r="X70" s="40" t="str" cm="1">
        <f t="array" ref="X70">IF($AI70="","",IF($AI70="HDR","Trans (FF stores)",IF(W70="","",IF(LEFT($AI70,2)="C|",SUMPRODUCT($AP$5:$AP$302*($AO$5:$AO$302=$A70),$BC$5:$BC$302),IF($AI70="CT",X$13,IF(LEFT($AI70,3)="AM|",SUMPRODUCT($AP$5:$AP$302*($AN$5:$AN$302=$A70),$BC$5:$BC$302),IF(LEFT($AI70,2)="S|",INDEX($BC$5:$BC$302,$AH70),"")))))))</f>
        <v/>
      </c>
      <c r="Y70" s="41" t="str">
        <f t="shared" si="44"/>
        <v/>
      </c>
      <c r="Z70" s="40" t="str" cm="1">
        <f t="array" ref="Z70">IF($AI70="","",IF(LEFT($AI70,2)="C|",IF($C70="","",SUMPRODUCT($AP$5:$AP$302*($AO$5:$AO$302=$A70),$CB$5:$CB$302)),IF($AI70="CT",Z$13,IF(LEFT($AI70,3)="AM|",IF($C70="","",SUMPRODUCT($AP$5:$AP$302*($AN$5:$AN$302=$A70),$CB$5:$CB$302)),IF(LEFT($AI70,2)="S|",IF($AG70="","",INDEX($CB$5:$CB$302,$AH70)),IF($AI70="HDR","Makeup Sales",""))))))</f>
        <v/>
      </c>
      <c r="AA70" s="41" t="str">
        <f t="shared" si="56"/>
        <v/>
      </c>
      <c r="AB70" s="40" t="str" cm="1">
        <f t="array" ref="AB70">IF($AI70="","",IF(LEFT($AI70,2)="C|",IF($C70="","",SUMPRODUCT($AP$5:$AP$302*($AO$5:$AO$302=$A70),$CK$5:$CK$302)),IF($AI70="CT",AB$13,IF(LEFT($AI70,3)="AM|",IF($C70="","",SUMPRODUCT($AP$5:$AP$302*($AN$5:$AN$302=$A70),$CK$5:$CK$302)),IF(LEFT($AI70,2)="S|",IF($AG70="","",INDEX($CK$5:$CK$302,$AH70)),IF($AI70="HDR","Makeup Target",""))))))</f>
        <v/>
      </c>
      <c r="AC70" s="41" t="str">
        <f t="shared" si="45"/>
        <v/>
      </c>
      <c r="AD70" s="40" t="str" cm="1">
        <f t="array" ref="AD70">IF($AI70="","",IF(LEFT($AI70,2)="C|",IF($C70="","",SUMPRODUCT($AP$5:$AP$302*($AO$5:$AO$302=$A70),$CI$5:$CI$302)),IF($AI70="CT",AD$13,IF(LEFT($AI70,3)="AM|",IF($C70="","",SUMPRODUCT($AP$5:$AP$302*($AN$5:$AN$302=$A70),$CI$5:$CI$302)),IF(LEFT($AI70,2)="S|",IF($AG70="","",INDEX($CI$5:$CI$302,$AH70)),IF($AI70="HDR","Cosmetic Sales",""))))))</f>
        <v/>
      </c>
      <c r="AE70" s="8" t="str" cm="1">
        <f t="array" ref="AE70">IF($AI70="","",IF(LEFT($AI70,2)="C|",IF($C70="","",SUMPRODUCT($AP$5:$AP$302*($AO$5:$AO$302=$A70)*$AQ$5:$AQ$302,$AR$5:$AR$302)),IF($AI70="CT",AE$13,IF(LEFT($AI70,3)="AM|",IF($C70="","",SUMPRODUCT($AP$5:$AP$302*($AN$5:$AN$302=$A70)*$AQ$5:$AQ$302,$AR$5:$AR$302)),IF(LEFT($AI70,2)="S|",IF($AG70="","",IF(INDEX($AQ$5:$AQ$302,$AH70)=1,D70,0)),IF($AI70="HDR","LFL Sales",""))))))</f>
        <v/>
      </c>
      <c r="AF70" s="8" t="str" cm="1">
        <f t="array" ref="AF70">IF($AI70="","",IF(LEFT($AI70,2)="C|",IF($C70="","",SUMPRODUCT($AP$5:$AP$302*($AO$5:$AO$302=$A70)*$AQ$5:$AQ$302,$AS$5:$AS$302)),IF($AI70="CT",AF$13,IF(LEFT($AI70,3)="AM|",IF($C70="","",SUMPRODUCT($AP$5:$AP$302*($AN$5:$AN$302=$A70)*$AQ$5:$AQ$302,$AS$5:$AS$302)),IF(LEFT($AI70,2)="S|",IF($AG70="","",IF(INDEX($AQ$5:$AQ$302,$AH70)=1,P70,0)),IF($AI70="HDR","LFL Trans",""))))))</f>
        <v/>
      </c>
      <c r="AG70" s="8" t="str" cm="1">
        <f t="array" ref="AG70">IF($AI70="","",IF(LEFT($AI70,2)="C|","",IF($AI70="CT","",IF(LEFT($AI70,3)="AM|","",IF(LEFT($AI70,2)="S|",IF($AH70="","",IF(INDEX($AP$5:$AP$302,$AH70)=1,1,"")),IF($AI70="HDR","Show",""))))))</f>
        <v/>
      </c>
      <c r="AH70" s="8" t="str">
        <f t="shared" si="57"/>
        <v/>
      </c>
      <c r="AI70" s="8"/>
      <c r="AN70" s="8" t="str" cm="1">
        <f t="array" ref="AN70">IF($AW70="","",_xlfn.LET(_xlpm.sa,IFERROR(TRIM(INDEX('Sales and count'!$D$4:$D$300,$BF70)&amp;""),""),_xlpm.ta,IFERROR(TRIM(INDEX('TY Sales Target'!$F$5:$F$300,$BG70)&amp;""),""),IF(AND(_xlpm.sa&lt;&gt;"",LEFT(_xlpm.sa,1)&lt;&gt;"#",_xlpm.sa&lt;&gt;"0"),_xlpm.sa,IF(AND(_xlpm.ta&lt;&gt;"",LEFT(_xlpm.ta,1)&lt;&gt;"#",_xlpm.ta&lt;&gt;"0"),_xlpm.ta,IF(ISNUMBER($BG70),"Unassigned","")))))</f>
        <v>Hamzah Al Makhadam</v>
      </c>
      <c r="AO70" s="8" t="str" cm="1">
        <f t="array" ref="AO70">IF($AW70="","",_xlfn.LET(_xlpm.sa,IFERROR(TRIM(INDEX('Sales and count'!$C$4:$C$300,$BF70)&amp;""),""),_xlpm.ta,IFERROR(TRIM(INDEX('TY Sales Target'!$D$5:$D$300,$BG70)&amp;""),""),IF(AND(_xlpm.sa&lt;&gt;"",LEFT(_xlpm.sa,1)&lt;&gt;"#",_xlpm.sa&lt;&gt;"0"),_xlpm.sa,IF(AND(_xlpm.ta&lt;&gt;"",LEFT(_xlpm.ta,1)&lt;&gt;"#",_xlpm.ta&lt;&gt;"0"),_xlpm.ta,""))))</f>
        <v>Hafer Al Batin</v>
      </c>
      <c r="AP70" s="8">
        <f t="shared" ref="AP70:AP133" si="60">IF(AND(AN70&lt;&gt;"",OR($B$3="All",$CF70=$B$3),IF(OR($B$4="All",$B$4="Multiple (ticked)"),IF(COUNTIF($B$10:$M$10,"✔")&gt;0,COUNTIFS($B$9:$M$9,AN70,$B$10:$M$10,"✔")&gt;0,$B$4="All"),AN70=$B$4),OR($B$5="All",AO70=$B$5),OR($B$6="All Stores",CJ70=IF($B$6="With Footfall Device",1,0)),OR($B$7="All Stores",AQ70=1),OR($B$8="All",BH70=$B$8)),1,0)</f>
        <v>0</v>
      </c>
      <c r="AQ70" s="8">
        <f t="shared" ref="AQ70:AQ133" si="61">--(AT70&gt;0)</f>
        <v>1</v>
      </c>
      <c r="AR70" s="8" cm="1">
        <f t="array" ref="AR70">IF($BF70="",0,_xlfn.LET(_xlpm.d,IFERROR(--'Sales and count'!$G$2:$CC$2,0),SUMPRODUCT(('Sales and count'!$G$3:$CC$3="Total")*(_xlpm.d&gt;=$U$4)*(_xlpm.d&lt;=$U$5),INDEX('Sales and count'!$G$4:$CC$300,$BF70,0))))</f>
        <v>262065.16999999998</v>
      </c>
      <c r="AS70" s="8" cm="1">
        <f t="array" aca="1" ref="AS70" ca="1">IF($BF70="",0,_xlfn.LET(_xlpm.d,IFERROR(--'Sales and count'!$F$2:$CB$2,0),SUMPRODUCT(('Sales and count'!$G$3:$CC$3="Transactions")*(_xlpm.d&gt;=$U$4)*(_xlpm.d&lt;=$U$5),INDEX('Sales and count'!$G$4:$CC$300,$BF70,0))))</f>
        <v>1472</v>
      </c>
      <c r="AT70" s="8" cm="1">
        <f t="array" ref="AT70">IF($AW70="",0,SUMPRODUCT((TRIM('LY Sales '!$B$5:$B$200)=$AW70)*('LY Sales '!$C$2:$AG$2&gt;=EDATE($U$4,-12))*('LY Sales '!$C$2:$AG$2&lt;=EDATE($U$5,-12)),'LY Sales '!$C$5:$AG$200))</f>
        <v>606330.57999999996</v>
      </c>
      <c r="AU70" s="8" cm="1">
        <f t="array" ref="AU70">IF($AW70="",0,SUMPRODUCT((TRIM('LY Transaction'!$B$5:$B$200)=$AW70)*('LY Transaction'!$C$2:$AG$2&gt;=EDATE($U$4,-12))*('LY Transaction'!$C$2:$AG$2&lt;=EDATE($U$5,-12)),'LY Transaction'!$C$5:$AG$200))</f>
        <v>2769</v>
      </c>
      <c r="AV70" s="8" cm="1">
        <f t="array" ref="AV70">IF(NOT(ISNUMBER($BG70)),0,SUMPRODUCT(('TY Sales Target'!$K$2:$AO$2&gt;=$U$4)*('TY Sales Target'!$K$2:$AO$2&lt;=$U$5),INDEX('TY Sales Target'!$K$5:$AO$300,$BG70,0)))</f>
        <v>412968.30637502926</v>
      </c>
      <c r="AW70" s="8" t="str" cm="1">
        <f t="array" ref="AW70">IFERROR(INDEX(_xlfn.ANCHORARRAY($BR$5),ROWS($AW$5:AW70)),"")</f>
        <v>ALWATANIAH</v>
      </c>
      <c r="BB70" cm="1">
        <f t="array" ref="BB70">IF($AW70="",0,SUMPRODUCT((TRIM(Footfall!$B$5:$B$301)=$AW70)*(Footfall!$C$1:$BZ$1&gt;=$U$4)*(Footfall!$C$2:$BZ$2&lt;=$U$5)*(Footfall!$C$1:$BZ$1&lt;&gt;""),Footfall!$C$5:$BZ$301))</f>
        <v>6558</v>
      </c>
      <c r="BC70" cm="1">
        <f t="array" aca="1" ref="BC70" ca="1">IF(OR($BB70&lt;=0,$BD$1="",$BF70=""),0,_xlfn.LET(_xlpm.d,IFERROR(--'Sales and count'!$F$2:$CB$2,0),SUMPRODUCT(('Sales and count'!$G$3:$CC$3="Transactions")*(_xlpm.d&gt;=$BD$1)*(_xlpm.d&lt;=$BD$2),INDEX('Sales and count'!$G$4:$CC$300,$BF70,0))))</f>
        <v>1472</v>
      </c>
      <c r="BF70" cm="1">
        <f t="array" ref="BF70">IF($AW70="","",IFERROR(MATCH($AW70,TRIM('Sales and count'!$A$4:$A$300&amp;""),0),""))</f>
        <v>66</v>
      </c>
      <c r="BG70" cm="1">
        <f t="array" ref="BG70">IF($AW70="","",IFERROR(MATCH(IFERROR(_xlfn.XLOOKUP($AW70,$BT$5:$BT$22,$BU$5:$BU$22),$AW70),TRIM('TY Sales Target'!$B$5:$B$300&amp;""),0),""))</f>
        <v>8</v>
      </c>
      <c r="BH70" t="str" cm="1">
        <f t="array" ref="BH70">IF(ISNUMBER($BG70),_xlfn.LET(_xlpm.p,TRIM(INDEX('TY Sales Target'!$I$5:$I$300,$BG70)&amp;""),IF(_xlpm.p="","Not set",_xlpm.p)),"Not set")</f>
        <v>Car</v>
      </c>
      <c r="BI70" cm="1">
        <f t="array" ref="BI70">IF($BF70="",0,_xlfn.LET(_xlpm.d,IFERROR(--'Sales and count'!$G$2:$CC$2,0),SUMPRODUCT(('Sales and count'!$G$3:$CC$3="Total")*(_xlpm.d&gt;=$BZ$5)*(_xlpm.d&lt;=$BZ$6),INDEX('Sales and count'!$G$4:$CC$300,$BF70,0))))</f>
        <v>262065.16999999998</v>
      </c>
      <c r="BJ70" cm="1">
        <f t="array" ref="BJ70">IF($AW70="",0,SUMPRODUCT((TRIM('LY Sales '!$B$5:$B$200)=$AW70)*('LY Sales '!$C$2:$AG$2&gt;=EDATE($BZ$5,-12))*('LY Sales '!$C$2:$AG$2&lt;=EDATE($BZ$6,-12)),'LY Sales '!$C$5:$AG$200))</f>
        <v>606330.57999999996</v>
      </c>
      <c r="BK70" cm="1">
        <f t="array" ref="BK70">IF($AW70="",0,SUMPRODUCT((TRIM('LY Sales '!$B$5:$B$200)=$AW70)*('LY Sales '!$C$2:$AG$2&gt;=EDATE($BZ$5,-12))*('LY Sales '!$C$2:$AG$2&lt;=EDATE($BZ$7,-12)),'LY Sales '!$C$5:$AG$200))</f>
        <v>727083.07000000007</v>
      </c>
      <c r="BL70" cm="1">
        <f t="array" ref="BL70">IF($AW70="",0,SUMPRODUCT((TRIM('LY Sales '!$B$5:$B$200)=$AW70)*('LY Sales '!$C$2:$AG$2&gt;=EDATE($BZ$5,-12))*('LY Sales '!$C$2:$AG$2&lt;=EDATE($BZ$6,-12))*('LY Sales '!$C$5:$AG$200&gt;0)))</f>
        <v>26</v>
      </c>
      <c r="BM70" cm="1">
        <f t="array" ref="BM70">IF(NOT(ISNUMBER($BG70)),0,SUMPRODUCT(('TY Sales Target'!$K$2:$AO$2&gt;=$BZ$5)*('TY Sales Target'!$K$2:$AO$2&lt;=$BZ$6),INDEX('TY Sales Target'!$K$5:$AO$300,$BG70,0)))</f>
        <v>412968.30637502926</v>
      </c>
      <c r="BN70" cm="1">
        <f t="array" ref="BN70">IF(NOT(ISNUMBER($BG70)),0,SUMPRODUCT(('TY Sales Target'!$K$2:$AO$2&gt;=$BZ$5)*('TY Sales Target'!$K$2:$AO$2&lt;=$BZ$7),INDEX('TY Sales Target'!$K$5:$AO$300,$BG70,0)))</f>
        <v>539000</v>
      </c>
      <c r="BO70" cm="1">
        <f t="array" ref="BO70">IF($AW70="",0,IFERROR(_xlfn.SWITCH($BP70,"LY trend",$BI70*$BK70/$BJ70,"Target curve",$BI70*$BN70/$BM70,"Run rate",$BI70/$BZ$8*$BZ$9,0),0))</f>
        <v>314256.20713979477</v>
      </c>
      <c r="BP70" t="str">
        <f t="shared" si="59"/>
        <v>LY trend</v>
      </c>
      <c r="BR70" t="str">
        <v>ALWATANIAH</v>
      </c>
      <c r="CB70" cm="1">
        <f t="array" ref="CB70">IF($AW70="",0,_xlfn.LET(_xlpm.k,IFERROR(_xlfn.XLOOKUP($AW70,$CD$6:$CD$21,$CE$6:$CE$21),$AW70),SUMPRODUCT((TRIM('Makeup '!$A$2:$A$300&amp;"")=_xlpm.k)*1,IFERROR('Makeup '!$F$2:$F$300*1,0))))</f>
        <v>12326.43</v>
      </c>
      <c r="CF70" t="str" cm="1">
        <f t="array" ref="CF70">IF($AW70="","",_xlfn.LET(_xlpm.c,IFERROR(TRIM(INDEX('Sales and count'!$B$4:$B$300,$BF70)&amp;""),""),IF(OR(_xlpm.c="",_xlpm.c="0",LEFT(_xlpm.c,1)="#"),"Not set",_xlpm.c)))</f>
        <v>KSA</v>
      </c>
      <c r="CH70" cm="1">
        <f t="array" ref="CH70">IF($AW70="",0,_xlfn.LET(_xlpm.k,IFERROR(_xlfn.XLOOKUP($AW70,$CD$6:$CD$21,$CE$6:$CE$21),$AW70),--(SUMPRODUCT((TRIM('Makeup '!$A$2:$A$300&amp;"")=_xlpm.k)*ISNUMBER('Makeup '!$F$2:$F$300))&gt;0)))</f>
        <v>1</v>
      </c>
      <c r="CI70">
        <f t="shared" si="4"/>
        <v>262065.16999999998</v>
      </c>
      <c r="CJ70" cm="1">
        <f t="array" ref="CJ70">IF($AW70="",0,--(SUMPRODUCT(--(TRIM(Footfall!$B$5:$B$301)=$AW70))&gt;0))</f>
        <v>1</v>
      </c>
      <c r="CK70" s="8" cm="1">
        <f t="array" ref="CK70">IF($AW70="",0,_xlfn.LET(_xlpm.r,IFERROR(MATCH(IFERROR(_xlfn.XLOOKUP($AW70,$BT$5:$BT$22,$BU$5:$BU$22),$AW70),TRIM('TY Beauty Target'!$B$5:$B$300&amp;""),0),""),IF(ISNUMBER(_xlpm.r),SUMPRODUCT(('TY Beauty Target'!$L$2:$AP$2&gt;=$U$4)*('TY Beauty Target'!$L$2:$AP$2&lt;=$U$5),INDEX('TY Beauty Target'!$L$5:$AP$300,_xlpm.r,0)),0)))</f>
        <v>18920.766507573673</v>
      </c>
    </row>
    <row r="71" spans="1:89" ht="15" customHeight="1" x14ac:dyDescent="0.25">
      <c r="A71" s="38" t="str">
        <f t="shared" si="58"/>
        <v/>
      </c>
      <c r="B71" s="43" t="str" cm="1">
        <f t="array" ref="B71">IF($AI71="","",IF(LEFT($AI71,2)="C|",IF($C71="","",_xlfn.TEXTJOIN(", ",TRUE,_xlfn.UNIQUE(_xlfn._xlws.FILTER($AN$5:$AN$302,($AP$5:$AP$302=1)*($AO$5:$AO$302=$A71))))),IF($AI71="CT",B$13,IF(LEFT($AI71,3)="AM|",IF($C71="","",ROWS(_xlfn.UNIQUE(_xlfn._xlws.FILTER($AO$5:$AO$302,($AP$5:$AP$302=1)*($AN$5:$AN$302=$A71))))),IF(LEFT($AI71,2)="S|",IF($AG71="","",INDEX($AO$5:$AO$302,$AH71)),IF($AI71="HDR","City",""))))))</f>
        <v/>
      </c>
      <c r="C71" s="39" t="str" cm="1">
        <f t="array" ref="C71">IF($AI71="","",IF(LEFT($AI71,2)="C|",_xlfn.LET(_xlpm.n,SUMPRODUCT($AP$5:$AP$302*($AO$5:$AO$302=$A71)),IF(_xlpm.n=0,"",_xlpm.n)),IF($AI71="CT",C$13,IF(LEFT($AI71,3)="AM|",_xlfn.LET(_xlpm.n,SUMPRODUCT($AP$5:$AP$302*($AN$5:$AN$302=$A71)),IF(_xlpm.n=0,"",_xlpm.n)),IF(LEFT($AI71,2)="S|","",IF($AI71="HDR","# Stores",""))))))</f>
        <v/>
      </c>
      <c r="D71" s="40" t="str" cm="1">
        <f t="array" ref="D71">IF($AI71="","",IF(LEFT($AI71,2)="C|",IF($C71="","",SUMPRODUCT($AP$5:$AP$302*($AO$5:$AO$302=$A71),$AR$5:$AR$302)),IF($AI71="CT",D$13,IF(LEFT($AI71,3)="AM|",IF($C71="","",SUMPRODUCT($AP$5:$AP$302*($AN$5:$AN$302=$A71),$AR$5:$AR$302)),IF(LEFT($AI71,2)="S|",IF($AG71="","",INDEX($AR$5:$AR$302,$AH71)),IF($AI71="HDR","Sales TY",""))))))</f>
        <v/>
      </c>
      <c r="E71" s="40" t="str" cm="1">
        <f t="array" ref="E71">IF($AI71="","",IF(LEFT($AI71,2)="C|",IF($C71="","",SUMPRODUCT($AP$5:$AP$302*($AO$5:$AO$302=$A71),$AT$5:$AT$302)),IF($AI71="CT",E$13,IF(LEFT($AI71,3)="AM|",IF($C71="","",SUMPRODUCT($AP$5:$AP$302*($AN$5:$AN$302=$A71),$AT$5:$AT$302)),IF(LEFT($AI71,2)="S|",IF($AG71="","",INDEX($AT$5:$AT$302,$AH71)),IF($AI71="HDR","Sales LY",""))))))</f>
        <v/>
      </c>
      <c r="F71" s="41" t="str">
        <f t="shared" si="46"/>
        <v/>
      </c>
      <c r="G71" s="41" t="str">
        <f t="shared" si="47"/>
        <v/>
      </c>
      <c r="H71" s="40" t="str" cm="1">
        <f t="array" ref="H71">IF($AI71="","",IF(LEFT($AI71,2)="C|",IF($C71="","",SUMPRODUCT($AP$5:$AP$302*($AO$5:$AO$302=$A71),$AV$5:$AV$302)),IF($AI71="CT",H$13,IF(LEFT($AI71,3)="AM|",IF($C71="","",SUMPRODUCT($AP$5:$AP$302*($AN$5:$AN$302=$A71),$AV$5:$AV$302)),IF(LEFT($AI71,2)="S|",IF($AG71="","",INDEX($AV$5:$AV$302,$AH71)),IF($AI71="HDR","Target",""))))))</f>
        <v/>
      </c>
      <c r="I71" s="41" t="str">
        <f t="shared" si="48"/>
        <v/>
      </c>
      <c r="J71" s="40" t="str">
        <f t="shared" si="49"/>
        <v/>
      </c>
      <c r="K71" s="41" t="str">
        <f t="shared" si="50"/>
        <v/>
      </c>
      <c r="L71" s="40" t="str" cm="1">
        <f t="array" ref="L71">IF($AI71="","",IF(LEFT($AI71,2)="C|",IF($C71="","",SUMPRODUCT($AP$5:$AP$302*($AO$5:$AO$302=$A71),$BN$5:$BN$302)),IF($AI71="CT",L$13,IF(LEFT($AI71,3)="AM|",IF($C71="","",SUMPRODUCT($AP$5:$AP$302*($AN$5:$AN$302=$A71),$BN$5:$BN$302)),IF(LEFT($AI71,2)="S|",IF($AG71="","",INDEX($BN$5:$BN$302,$AH71)),IF($AI71="HDR","Month Target",""))))))</f>
        <v/>
      </c>
      <c r="M71" s="40" t="str" cm="1">
        <f t="array" ref="M71">IF($AI71="","",IF(LEFT($AI71,2)="C|",IF($C71="","",SUMPRODUCT($AP$5:$AP$302*($AO$5:$AO$302=$A71),$BO$5:$BO$302)),IF($AI71="CT",M$13,IF(LEFT($AI71,3)="AM|",IF($C71="","",SUMPRODUCT($AP$5:$AP$302*($AN$5:$AN$302=$A71),$BO$5:$BO$302)),IF(LEFT($AI71,2)="S|",IF($AG71="","",INDEX($BO$5:$BO$302,$AH71)),IF($AI71="HDR","Projected Close",""))))))</f>
        <v/>
      </c>
      <c r="N71" s="41" t="str">
        <f t="shared" si="43"/>
        <v/>
      </c>
      <c r="O71" s="41" t="str" cm="1">
        <f t="array" ref="O71">IF($AI71="HDR","Proj. vs LY",IF(OR($AI71="",M71=""),"",_xlfn.LET(_xlpm.ly,IF(LEFT($AI71,2)="C|",SUMPRODUCT($AP$5:$AP$302*($AO$5:$AO$302=$A71),$BK$5:$BK$302),IF($AI71="CT",SUMPRODUCT($AP$5:$AP$302,$BK$5:$BK$302),IF(LEFT($AI71,3)="AM|",SUMPRODUCT($AP$5:$AP$302*($AN$5:$AN$302=$A71),$BK$5:$BK$302),IF(LEFT($AI71,2)="S|",INDEX($BK$5:$BK$302,$AH71),0)))),IFERROR(M71/_xlpm.ly-1,""))))</f>
        <v/>
      </c>
      <c r="P71" s="40" t="str" cm="1">
        <f t="array" ref="P71">IF($AI71="","",IF(LEFT($AI71,2)="C|",IF($C71="","",SUMPRODUCT($AP$5:$AP$302*($AO$5:$AO$302=$A71),$AS$5:$AS$302)),IF($AI71="CT",P$13,IF(LEFT($AI71,3)="AM|",IF($C71="","",SUMPRODUCT($AP$5:$AP$302*($AN$5:$AN$302=$A71),$AS$5:$AS$302)),IF(LEFT($AI71,2)="S|",IF($AG71="","",INDEX($AS$5:$AS$302,$AH71)),IF($AI71="HDR","Trans TY",""))))))</f>
        <v/>
      </c>
      <c r="Q71" s="40" t="str" cm="1">
        <f t="array" ref="Q71">IF($AI71="","",IF(LEFT($AI71,2)="C|",IF($C71="","",SUMPRODUCT($AP$5:$AP$302*($AO$5:$AO$302=$A71),$AU$5:$AU$302)),IF($AI71="CT",Q$13,IF(LEFT($AI71,3)="AM|",IF($C71="","",SUMPRODUCT($AP$5:$AP$302*($AN$5:$AN$302=$A71),$AU$5:$AU$302)),IF(LEFT($AI71,2)="S|",IF($AG71="","",INDEX($AU$5:$AU$302,$AH71)),IF($AI71="HDR","Trans LY",""))))))</f>
        <v/>
      </c>
      <c r="R71" s="41" t="str">
        <f t="shared" si="51"/>
        <v/>
      </c>
      <c r="S71" s="41" t="str">
        <f t="shared" si="52"/>
        <v/>
      </c>
      <c r="T71" s="42" t="str">
        <f t="shared" si="53"/>
        <v/>
      </c>
      <c r="U71" s="42" t="str">
        <f t="shared" si="54"/>
        <v/>
      </c>
      <c r="V71" s="41" t="str">
        <f t="shared" si="55"/>
        <v/>
      </c>
      <c r="W71" s="40" t="str" cm="1">
        <f t="array" ref="W71">IF($AI71="","",IF(LEFT($AI71,2)="C|",_xlfn.LET(_xlpm.n,SUMPRODUCT($AP$5:$AP$302*($AO$5:$AO$302=$A71),$BB$5:$BB$302),IF(_xlpm.n=0,"",_xlpm.n)),IF($AI71="CT",W$13,IF(LEFT($AI71,3)="AM|",_xlfn.LET(_xlpm.n,SUMPRODUCT($AP$5:$AP$302*($AN$5:$AN$302=$A71),$BB$5:$BB$302),IF(_xlpm.n=0,"",_xlpm.n)),IF(LEFT($AI71,2)="S|",IF($AG71="","",_xlfn.LET(_xlpm.n,INDEX($BB$5:$BB$302,$AH71),IF(_xlpm.n=0,"",_xlpm.n))),IF($AI71="HDR","Footfall",""))))))</f>
        <v/>
      </c>
      <c r="X71" s="40" t="str" cm="1">
        <f t="array" ref="X71">IF($AI71="","",IF($AI71="HDR","Trans (FF stores)",IF(W71="","",IF(LEFT($AI71,2)="C|",SUMPRODUCT($AP$5:$AP$302*($AO$5:$AO$302=$A71),$BC$5:$BC$302),IF($AI71="CT",X$13,IF(LEFT($AI71,3)="AM|",SUMPRODUCT($AP$5:$AP$302*($AN$5:$AN$302=$A71),$BC$5:$BC$302),IF(LEFT($AI71,2)="S|",INDEX($BC$5:$BC$302,$AH71),"")))))))</f>
        <v/>
      </c>
      <c r="Y71" s="41" t="str">
        <f t="shared" si="44"/>
        <v/>
      </c>
      <c r="Z71" s="40" t="str" cm="1">
        <f t="array" ref="Z71">IF($AI71="","",IF(LEFT($AI71,2)="C|",IF($C71="","",SUMPRODUCT($AP$5:$AP$302*($AO$5:$AO$302=$A71),$CB$5:$CB$302)),IF($AI71="CT",Z$13,IF(LEFT($AI71,3)="AM|",IF($C71="","",SUMPRODUCT($AP$5:$AP$302*($AN$5:$AN$302=$A71),$CB$5:$CB$302)),IF(LEFT($AI71,2)="S|",IF($AG71="","",INDEX($CB$5:$CB$302,$AH71)),IF($AI71="HDR","Makeup Sales",""))))))</f>
        <v/>
      </c>
      <c r="AA71" s="41" t="str">
        <f t="shared" si="56"/>
        <v/>
      </c>
      <c r="AB71" s="40" t="str" cm="1">
        <f t="array" ref="AB71">IF($AI71="","",IF(LEFT($AI71,2)="C|",IF($C71="","",SUMPRODUCT($AP$5:$AP$302*($AO$5:$AO$302=$A71),$CK$5:$CK$302)),IF($AI71="CT",AB$13,IF(LEFT($AI71,3)="AM|",IF($C71="","",SUMPRODUCT($AP$5:$AP$302*($AN$5:$AN$302=$A71),$CK$5:$CK$302)),IF(LEFT($AI71,2)="S|",IF($AG71="","",INDEX($CK$5:$CK$302,$AH71)),IF($AI71="HDR","Makeup Target",""))))))</f>
        <v/>
      </c>
      <c r="AC71" s="41" t="str">
        <f t="shared" si="45"/>
        <v/>
      </c>
      <c r="AD71" s="40" t="str" cm="1">
        <f t="array" ref="AD71">IF($AI71="","",IF(LEFT($AI71,2)="C|",IF($C71="","",SUMPRODUCT($AP$5:$AP$302*($AO$5:$AO$302=$A71),$CI$5:$CI$302)),IF($AI71="CT",AD$13,IF(LEFT($AI71,3)="AM|",IF($C71="","",SUMPRODUCT($AP$5:$AP$302*($AN$5:$AN$302=$A71),$CI$5:$CI$302)),IF(LEFT($AI71,2)="S|",IF($AG71="","",INDEX($CI$5:$CI$302,$AH71)),IF($AI71="HDR","Cosmetic Sales",""))))))</f>
        <v/>
      </c>
      <c r="AE71" s="8" t="str" cm="1">
        <f t="array" ref="AE71">IF($AI71="","",IF(LEFT($AI71,2)="C|",IF($C71="","",SUMPRODUCT($AP$5:$AP$302*($AO$5:$AO$302=$A71)*$AQ$5:$AQ$302,$AR$5:$AR$302)),IF($AI71="CT",AE$13,IF(LEFT($AI71,3)="AM|",IF($C71="","",SUMPRODUCT($AP$5:$AP$302*($AN$5:$AN$302=$A71)*$AQ$5:$AQ$302,$AR$5:$AR$302)),IF(LEFT($AI71,2)="S|",IF($AG71="","",IF(INDEX($AQ$5:$AQ$302,$AH71)=1,D71,0)),IF($AI71="HDR","LFL Sales",""))))))</f>
        <v/>
      </c>
      <c r="AF71" s="8" t="str" cm="1">
        <f t="array" ref="AF71">IF($AI71="","",IF(LEFT($AI71,2)="C|",IF($C71="","",SUMPRODUCT($AP$5:$AP$302*($AO$5:$AO$302=$A71)*$AQ$5:$AQ$302,$AS$5:$AS$302)),IF($AI71="CT",AF$13,IF(LEFT($AI71,3)="AM|",IF($C71="","",SUMPRODUCT($AP$5:$AP$302*($AN$5:$AN$302=$A71)*$AQ$5:$AQ$302,$AS$5:$AS$302)),IF(LEFT($AI71,2)="S|",IF($AG71="","",IF(INDEX($AQ$5:$AQ$302,$AH71)=1,P71,0)),IF($AI71="HDR","LFL Trans",""))))))</f>
        <v/>
      </c>
      <c r="AG71" s="8" t="str" cm="1">
        <f t="array" ref="AG71">IF($AI71="","",IF(LEFT($AI71,2)="C|","",IF($AI71="CT","",IF(LEFT($AI71,3)="AM|","",IF(LEFT($AI71,2)="S|",IF($AH71="","",IF(INDEX($AP$5:$AP$302,$AH71)=1,1,"")),IF($AI71="HDR","Show",""))))))</f>
        <v/>
      </c>
      <c r="AH71" s="8" t="str">
        <f t="shared" si="57"/>
        <v/>
      </c>
      <c r="AI71" s="8"/>
      <c r="AN71" s="8" t="str" cm="1">
        <f t="array" ref="AN71">IF($AW71="","",_xlfn.LET(_xlpm.sa,IFERROR(TRIM(INDEX('Sales and count'!$D$4:$D$300,$BF71)&amp;""),""),_xlpm.ta,IFERROR(TRIM(INDEX('TY Sales Target'!$F$5:$F$300,$BG71)&amp;""),""),IF(AND(_xlpm.sa&lt;&gt;"",LEFT(_xlpm.sa,1)&lt;&gt;"#",_xlpm.sa&lt;&gt;"0"),_xlpm.sa,IF(AND(_xlpm.ta&lt;&gt;"",LEFT(_xlpm.ta,1)&lt;&gt;"#",_xlpm.ta&lt;&gt;"0"),_xlpm.ta,IF(ISNUMBER($BG71),"Unassigned","")))))</f>
        <v>Maram Zamzami</v>
      </c>
      <c r="AO71" s="8" t="str" cm="1">
        <f t="array" ref="AO71">IF($AW71="","",_xlfn.LET(_xlpm.sa,IFERROR(TRIM(INDEX('Sales and count'!$C$4:$C$300,$BF71)&amp;""),""),_xlpm.ta,IFERROR(TRIM(INDEX('TY Sales Target'!$D$5:$D$300,$BG71)&amp;""),""),IF(AND(_xlpm.sa&lt;&gt;"",LEFT(_xlpm.sa,1)&lt;&gt;"#",_xlpm.sa&lt;&gt;"0"),_xlpm.sa,IF(AND(_xlpm.ta&lt;&gt;"",LEFT(_xlpm.ta,1)&lt;&gt;"#",_xlpm.ta&lt;&gt;"0"),_xlpm.ta,""))))</f>
        <v>Makkah</v>
      </c>
      <c r="AP71" s="8">
        <f t="shared" si="60"/>
        <v>0</v>
      </c>
      <c r="AQ71" s="8">
        <f t="shared" si="61"/>
        <v>1</v>
      </c>
      <c r="AR71" s="8" cm="1">
        <f t="array" ref="AR71">IF($BF71="",0,_xlfn.LET(_xlpm.d,IFERROR(--'Sales and count'!$G$2:$CC$2,0),SUMPRODUCT(('Sales and count'!$G$3:$CC$3="Total")*(_xlpm.d&gt;=$U$4)*(_xlpm.d&lt;=$U$5),INDEX('Sales and count'!$G$4:$CC$300,$BF71,0))))</f>
        <v>68459.64</v>
      </c>
      <c r="AS71" s="8" cm="1">
        <f t="array" aca="1" ref="AS71" ca="1">IF($BF71="",0,_xlfn.LET(_xlpm.d,IFERROR(--'Sales and count'!$F$2:$CB$2,0),SUMPRODUCT(('Sales and count'!$G$3:$CC$3="Transactions")*(_xlpm.d&gt;=$U$4)*(_xlpm.d&lt;=$U$5),INDEX('Sales and count'!$G$4:$CC$300,$BF71,0))))</f>
        <v>347</v>
      </c>
      <c r="AT71" s="8" cm="1">
        <f t="array" ref="AT71">IF($AW71="",0,SUMPRODUCT((TRIM('LY Sales '!$B$5:$B$200)=$AW71)*('LY Sales '!$C$2:$AG$2&gt;=EDATE($U$4,-12))*('LY Sales '!$C$2:$AG$2&lt;=EDATE($U$5,-12)),'LY Sales '!$C$5:$AG$200))</f>
        <v>104911.97</v>
      </c>
      <c r="AU71" s="8" cm="1">
        <f t="array" ref="AU71">IF($AW71="",0,SUMPRODUCT((TRIM('LY Transaction'!$B$5:$B$200)=$AW71)*('LY Transaction'!$C$2:$AG$2&gt;=EDATE($U$4,-12))*('LY Transaction'!$C$2:$AG$2&lt;=EDATE($U$5,-12)),'LY Transaction'!$C$5:$AG$200))</f>
        <v>544</v>
      </c>
      <c r="AV71" s="8" cm="1">
        <f t="array" ref="AV71">IF(NOT(ISNUMBER($BG71)),0,SUMPRODUCT(('TY Sales Target'!$K$2:$AO$2&gt;=$U$4)*('TY Sales Target'!$K$2:$AO$2&lt;=$U$5),INDEX('TY Sales Target'!$K$5:$AO$300,$BG71,0)))</f>
        <v>107264.49516234524</v>
      </c>
      <c r="AW71" s="8" t="str" cm="1">
        <f t="array" ref="AW71">IFERROR(INDEX(_xlfn.ANCHORARRAY($BR$5),ROWS($AW$5:AW71)),"")</f>
        <v>HATASSPLZ</v>
      </c>
      <c r="BB71" cm="1">
        <f t="array" ref="BB71">IF($AW71="",0,SUMPRODUCT((TRIM(Footfall!$B$5:$B$301)=$AW71)*(Footfall!$C$1:$BZ$1&gt;=$U$4)*(Footfall!$C$2:$BZ$2&lt;=$U$5)*(Footfall!$C$1:$BZ$1&lt;&gt;""),Footfall!$C$5:$BZ$301))</f>
        <v>1576</v>
      </c>
      <c r="BC71" cm="1">
        <f t="array" aca="1" ref="BC71" ca="1">IF(OR($BB71&lt;=0,$BD$1="",$BF71=""),0,_xlfn.LET(_xlpm.d,IFERROR(--'Sales and count'!$F$2:$CB$2,0),SUMPRODUCT(('Sales and count'!$G$3:$CC$3="Transactions")*(_xlpm.d&gt;=$BD$1)*(_xlpm.d&lt;=$BD$2),INDEX('Sales and count'!$G$4:$CC$300,$BF71,0))))</f>
        <v>347</v>
      </c>
      <c r="BF71" cm="1">
        <f t="array" ref="BF71">IF($AW71="","",IFERROR(MATCH($AW71,TRIM('Sales and count'!$A$4:$A$300&amp;""),0),""))</f>
        <v>67</v>
      </c>
      <c r="BG71" cm="1">
        <f t="array" ref="BG71">IF($AW71="","",IFERROR(MATCH(IFERROR(_xlfn.XLOOKUP($AW71,$BT$5:$BT$22,$BU$5:$BU$22),$AW71),TRIM('TY Sales Target'!$B$5:$B$300&amp;""),0),""))</f>
        <v>93</v>
      </c>
      <c r="BH71" t="str" cm="1">
        <f t="array" ref="BH71">IF(ISNUMBER($BG71),_xlfn.LET(_xlpm.p,TRIM(INDEX('TY Sales Target'!$I$5:$I$300,$BG71)&amp;""),IF(_xlpm.p="","Not set",_xlpm.p)),"Not set")</f>
        <v>Smart Watch</v>
      </c>
      <c r="BI71" cm="1">
        <f t="array" ref="BI71">IF($BF71="",0,_xlfn.LET(_xlpm.d,IFERROR(--'Sales and count'!$G$2:$CC$2,0),SUMPRODUCT(('Sales and count'!$G$3:$CC$3="Total")*(_xlpm.d&gt;=$BZ$5)*(_xlpm.d&lt;=$BZ$6),INDEX('Sales and count'!$G$4:$CC$300,$BF71,0))))</f>
        <v>68459.64</v>
      </c>
      <c r="BJ71" cm="1">
        <f t="array" ref="BJ71">IF($AW71="",0,SUMPRODUCT((TRIM('LY Sales '!$B$5:$B$200)=$AW71)*('LY Sales '!$C$2:$AG$2&gt;=EDATE($BZ$5,-12))*('LY Sales '!$C$2:$AG$2&lt;=EDATE($BZ$6,-12)),'LY Sales '!$C$5:$AG$200))</f>
        <v>104911.97</v>
      </c>
      <c r="BK71" cm="1">
        <f t="array" ref="BK71">IF($AW71="",0,SUMPRODUCT((TRIM('LY Sales '!$B$5:$B$200)=$AW71)*('LY Sales '!$C$2:$AG$2&gt;=EDATE($BZ$5,-12))*('LY Sales '!$C$2:$AG$2&lt;=EDATE($BZ$7,-12)),'LY Sales '!$C$5:$AG$200))</f>
        <v>126415.28000000001</v>
      </c>
      <c r="BL71" cm="1">
        <f t="array" ref="BL71">IF($AW71="",0,SUMPRODUCT((TRIM('LY Sales '!$B$5:$B$200)=$AW71)*('LY Sales '!$C$2:$AG$2&gt;=EDATE($BZ$5,-12))*('LY Sales '!$C$2:$AG$2&lt;=EDATE($BZ$6,-12))*('LY Sales '!$C$5:$AG$200&gt;0)))</f>
        <v>26</v>
      </c>
      <c r="BM71" cm="1">
        <f t="array" ref="BM71">IF(NOT(ISNUMBER($BG71)),0,SUMPRODUCT(('TY Sales Target'!$K$2:$AO$2&gt;=$BZ$5)*('TY Sales Target'!$K$2:$AO$2&lt;=$BZ$6),INDEX('TY Sales Target'!$K$5:$AO$300,$BG71,0)))</f>
        <v>107264.49516234524</v>
      </c>
      <c r="BN71" cm="1">
        <f t="array" ref="BN71">IF(NOT(ISNUMBER($BG71)),0,SUMPRODUCT(('TY Sales Target'!$K$2:$AO$2&gt;=$BZ$5)*('TY Sales Target'!$K$2:$AO$2&lt;=$BZ$7),INDEX('TY Sales Target'!$K$5:$AO$300,$BG71,0)))</f>
        <v>140000</v>
      </c>
      <c r="BO71" cm="1">
        <f t="array" ref="BO71">IF($AW71="",0,IFERROR(_xlfn.SWITCH($BP71,"LY trend",$BI71*$BK71/$BJ71,"Target curve",$BI71*$BN71/$BM71,"Run rate",$BI71/$BZ$8*$BZ$9,0),0))</f>
        <v>82491.488428815122</v>
      </c>
      <c r="BP71" t="str">
        <f t="shared" si="59"/>
        <v>LY trend</v>
      </c>
      <c r="BR71" t="str">
        <v>HATASSPLZ</v>
      </c>
      <c r="CB71" cm="1">
        <f t="array" ref="CB71">IF($AW71="",0,_xlfn.LET(_xlpm.k,IFERROR(_xlfn.XLOOKUP($AW71,$CD$6:$CD$21,$CE$6:$CE$21),$AW71),SUMPRODUCT((TRIM('Makeup '!$A$2:$A$300&amp;"")=_xlpm.k)*1,IFERROR('Makeup '!$F$2:$F$300*1,0))))</f>
        <v>3158.81</v>
      </c>
      <c r="CF71" t="str" cm="1">
        <f t="array" ref="CF71">IF($AW71="","",_xlfn.LET(_xlpm.c,IFERROR(TRIM(INDEX('Sales and count'!$B$4:$B$300,$BF71)&amp;""),""),IF(OR(_xlpm.c="",_xlpm.c="0",LEFT(_xlpm.c,1)="#"),"Not set",_xlpm.c)))</f>
        <v>KSA</v>
      </c>
      <c r="CH71" cm="1">
        <f t="array" ref="CH71">IF($AW71="",0,_xlfn.LET(_xlpm.k,IFERROR(_xlfn.XLOOKUP($AW71,$CD$6:$CD$21,$CE$6:$CE$21),$AW71),--(SUMPRODUCT((TRIM('Makeup '!$A$2:$A$300&amp;"")=_xlpm.k)*ISNUMBER('Makeup '!$F$2:$F$300))&gt;0)))</f>
        <v>1</v>
      </c>
      <c r="CI71">
        <f t="shared" ref="CI71:CI134" si="62">$AR71*$CH71</f>
        <v>68459.64</v>
      </c>
      <c r="CJ71" cm="1">
        <f t="array" ref="CJ71">IF($AW71="",0,--(SUMPRODUCT(--(TRIM(Footfall!$B$5:$B$301)=$AW71))&gt;0))</f>
        <v>1</v>
      </c>
      <c r="CK71" s="8" cm="1">
        <f t="array" ref="CK71">IF($AW71="",0,_xlfn.LET(_xlpm.r,IFERROR(MATCH(IFERROR(_xlfn.XLOOKUP($AW71,$BT$5:$BT$22,$BU$5:$BU$22),$AW71),TRIM('TY Beauty Target'!$B$5:$B$300&amp;""),0),""),IF(ISNUMBER(_xlpm.r),SUMPRODUCT(('TY Beauty Target'!$L$2:$AP$2&gt;=$U$4)*('TY Beauty Target'!$L$2:$AP$2&lt;=$U$5),INDEX('TY Beauty Target'!$L$5:$AP$300,_xlpm.r,0)),0)))</f>
        <v>8627.2127779338989</v>
      </c>
    </row>
    <row r="72" spans="1:89" ht="15" customHeight="1" x14ac:dyDescent="0.25">
      <c r="A72" s="38" t="str">
        <f t="shared" si="58"/>
        <v/>
      </c>
      <c r="B72" s="43" t="str" cm="1">
        <f t="array" ref="B72">IF($AI72="","",IF(LEFT($AI72,2)="C|",IF($C72="","",_xlfn.TEXTJOIN(", ",TRUE,_xlfn.UNIQUE(_xlfn._xlws.FILTER($AN$5:$AN$302,($AP$5:$AP$302=1)*($AO$5:$AO$302=$A72))))),IF($AI72="CT",B$13,IF(LEFT($AI72,3)="AM|",IF($C72="","",ROWS(_xlfn.UNIQUE(_xlfn._xlws.FILTER($AO$5:$AO$302,($AP$5:$AP$302=1)*($AN$5:$AN$302=$A72))))),IF(LEFT($AI72,2)="S|",IF($AG72="","",INDEX($AO$5:$AO$302,$AH72)),IF($AI72="HDR","City",""))))))</f>
        <v/>
      </c>
      <c r="C72" s="39" t="str" cm="1">
        <f t="array" ref="C72">IF($AI72="","",IF(LEFT($AI72,2)="C|",_xlfn.LET(_xlpm.n,SUMPRODUCT($AP$5:$AP$302*($AO$5:$AO$302=$A72)),IF(_xlpm.n=0,"",_xlpm.n)),IF($AI72="CT",C$13,IF(LEFT($AI72,3)="AM|",_xlfn.LET(_xlpm.n,SUMPRODUCT($AP$5:$AP$302*($AN$5:$AN$302=$A72)),IF(_xlpm.n=0,"",_xlpm.n)),IF(LEFT($AI72,2)="S|","",IF($AI72="HDR","# Stores",""))))))</f>
        <v/>
      </c>
      <c r="D72" s="40" t="str" cm="1">
        <f t="array" ref="D72">IF($AI72="","",IF(LEFT($AI72,2)="C|",IF($C72="","",SUMPRODUCT($AP$5:$AP$302*($AO$5:$AO$302=$A72),$AR$5:$AR$302)),IF($AI72="CT",D$13,IF(LEFT($AI72,3)="AM|",IF($C72="","",SUMPRODUCT($AP$5:$AP$302*($AN$5:$AN$302=$A72),$AR$5:$AR$302)),IF(LEFT($AI72,2)="S|",IF($AG72="","",INDEX($AR$5:$AR$302,$AH72)),IF($AI72="HDR","Sales TY",""))))))</f>
        <v/>
      </c>
      <c r="E72" s="40" t="str" cm="1">
        <f t="array" ref="E72">IF($AI72="","",IF(LEFT($AI72,2)="C|",IF($C72="","",SUMPRODUCT($AP$5:$AP$302*($AO$5:$AO$302=$A72),$AT$5:$AT$302)),IF($AI72="CT",E$13,IF(LEFT($AI72,3)="AM|",IF($C72="","",SUMPRODUCT($AP$5:$AP$302*($AN$5:$AN$302=$A72),$AT$5:$AT$302)),IF(LEFT($AI72,2)="S|",IF($AG72="","",INDEX($AT$5:$AT$302,$AH72)),IF($AI72="HDR","Sales LY",""))))))</f>
        <v/>
      </c>
      <c r="F72" s="41" t="str">
        <f t="shared" si="46"/>
        <v/>
      </c>
      <c r="G72" s="41" t="str">
        <f t="shared" si="47"/>
        <v/>
      </c>
      <c r="H72" s="40" t="str" cm="1">
        <f t="array" ref="H72">IF($AI72="","",IF(LEFT($AI72,2)="C|",IF($C72="","",SUMPRODUCT($AP$5:$AP$302*($AO$5:$AO$302=$A72),$AV$5:$AV$302)),IF($AI72="CT",H$13,IF(LEFT($AI72,3)="AM|",IF($C72="","",SUMPRODUCT($AP$5:$AP$302*($AN$5:$AN$302=$A72),$AV$5:$AV$302)),IF(LEFT($AI72,2)="S|",IF($AG72="","",INDEX($AV$5:$AV$302,$AH72)),IF($AI72="HDR","Target",""))))))</f>
        <v/>
      </c>
      <c r="I72" s="41" t="str">
        <f t="shared" si="48"/>
        <v/>
      </c>
      <c r="J72" s="40" t="str">
        <f t="shared" si="49"/>
        <v/>
      </c>
      <c r="K72" s="41" t="str">
        <f t="shared" si="50"/>
        <v/>
      </c>
      <c r="L72" s="40" t="str" cm="1">
        <f t="array" ref="L72">IF($AI72="","",IF(LEFT($AI72,2)="C|",IF($C72="","",SUMPRODUCT($AP$5:$AP$302*($AO$5:$AO$302=$A72),$BN$5:$BN$302)),IF($AI72="CT",L$13,IF(LEFT($AI72,3)="AM|",IF($C72="","",SUMPRODUCT($AP$5:$AP$302*($AN$5:$AN$302=$A72),$BN$5:$BN$302)),IF(LEFT($AI72,2)="S|",IF($AG72="","",INDEX($BN$5:$BN$302,$AH72)),IF($AI72="HDR","Month Target",""))))))</f>
        <v/>
      </c>
      <c r="M72" s="40" t="str" cm="1">
        <f t="array" ref="M72">IF($AI72="","",IF(LEFT($AI72,2)="C|",IF($C72="","",SUMPRODUCT($AP$5:$AP$302*($AO$5:$AO$302=$A72),$BO$5:$BO$302)),IF($AI72="CT",M$13,IF(LEFT($AI72,3)="AM|",IF($C72="","",SUMPRODUCT($AP$5:$AP$302*($AN$5:$AN$302=$A72),$BO$5:$BO$302)),IF(LEFT($AI72,2)="S|",IF($AG72="","",INDEX($BO$5:$BO$302,$AH72)),IF($AI72="HDR","Projected Close",""))))))</f>
        <v/>
      </c>
      <c r="N72" s="41" t="str">
        <f t="shared" si="43"/>
        <v/>
      </c>
      <c r="O72" s="41" t="str" cm="1">
        <f t="array" ref="O72">IF($AI72="HDR","Proj. vs LY",IF(OR($AI72="",M72=""),"",_xlfn.LET(_xlpm.ly,IF(LEFT($AI72,2)="C|",SUMPRODUCT($AP$5:$AP$302*($AO$5:$AO$302=$A72),$BK$5:$BK$302),IF($AI72="CT",SUMPRODUCT($AP$5:$AP$302,$BK$5:$BK$302),IF(LEFT($AI72,3)="AM|",SUMPRODUCT($AP$5:$AP$302*($AN$5:$AN$302=$A72),$BK$5:$BK$302),IF(LEFT($AI72,2)="S|",INDEX($BK$5:$BK$302,$AH72),0)))),IFERROR(M72/_xlpm.ly-1,""))))</f>
        <v/>
      </c>
      <c r="P72" s="40" t="str" cm="1">
        <f t="array" ref="P72">IF($AI72="","",IF(LEFT($AI72,2)="C|",IF($C72="","",SUMPRODUCT($AP$5:$AP$302*($AO$5:$AO$302=$A72),$AS$5:$AS$302)),IF($AI72="CT",P$13,IF(LEFT($AI72,3)="AM|",IF($C72="","",SUMPRODUCT($AP$5:$AP$302*($AN$5:$AN$302=$A72),$AS$5:$AS$302)),IF(LEFT($AI72,2)="S|",IF($AG72="","",INDEX($AS$5:$AS$302,$AH72)),IF($AI72="HDR","Trans TY",""))))))</f>
        <v/>
      </c>
      <c r="Q72" s="40" t="str" cm="1">
        <f t="array" ref="Q72">IF($AI72="","",IF(LEFT($AI72,2)="C|",IF($C72="","",SUMPRODUCT($AP$5:$AP$302*($AO$5:$AO$302=$A72),$AU$5:$AU$302)),IF($AI72="CT",Q$13,IF(LEFT($AI72,3)="AM|",IF($C72="","",SUMPRODUCT($AP$5:$AP$302*($AN$5:$AN$302=$A72),$AU$5:$AU$302)),IF(LEFT($AI72,2)="S|",IF($AG72="","",INDEX($AU$5:$AU$302,$AH72)),IF($AI72="HDR","Trans LY",""))))))</f>
        <v/>
      </c>
      <c r="R72" s="41" t="str">
        <f t="shared" si="51"/>
        <v/>
      </c>
      <c r="S72" s="41" t="str">
        <f t="shared" si="52"/>
        <v/>
      </c>
      <c r="T72" s="42" t="str">
        <f t="shared" si="53"/>
        <v/>
      </c>
      <c r="U72" s="42" t="str">
        <f t="shared" si="54"/>
        <v/>
      </c>
      <c r="V72" s="41" t="str">
        <f t="shared" si="55"/>
        <v/>
      </c>
      <c r="W72" s="40" t="str" cm="1">
        <f t="array" ref="W72">IF($AI72="","",IF(LEFT($AI72,2)="C|",_xlfn.LET(_xlpm.n,SUMPRODUCT($AP$5:$AP$302*($AO$5:$AO$302=$A72),$BB$5:$BB$302),IF(_xlpm.n=0,"",_xlpm.n)),IF($AI72="CT",W$13,IF(LEFT($AI72,3)="AM|",_xlfn.LET(_xlpm.n,SUMPRODUCT($AP$5:$AP$302*($AN$5:$AN$302=$A72),$BB$5:$BB$302),IF(_xlpm.n=0,"",_xlpm.n)),IF(LEFT($AI72,2)="S|",IF($AG72="","",_xlfn.LET(_xlpm.n,INDEX($BB$5:$BB$302,$AH72),IF(_xlpm.n=0,"",_xlpm.n))),IF($AI72="HDR","Footfall",""))))))</f>
        <v/>
      </c>
      <c r="X72" s="40" t="str" cm="1">
        <f t="array" ref="X72">IF($AI72="","",IF($AI72="HDR","Trans (FF stores)",IF(W72="","",IF(LEFT($AI72,2)="C|",SUMPRODUCT($AP$5:$AP$302*($AO$5:$AO$302=$A72),$BC$5:$BC$302),IF($AI72="CT",X$13,IF(LEFT($AI72,3)="AM|",SUMPRODUCT($AP$5:$AP$302*($AN$5:$AN$302=$A72),$BC$5:$BC$302),IF(LEFT($AI72,2)="S|",INDEX($BC$5:$BC$302,$AH72),"")))))))</f>
        <v/>
      </c>
      <c r="Y72" s="41" t="str">
        <f t="shared" si="44"/>
        <v/>
      </c>
      <c r="Z72" s="40" t="str" cm="1">
        <f t="array" ref="Z72">IF($AI72="","",IF(LEFT($AI72,2)="C|",IF($C72="","",SUMPRODUCT($AP$5:$AP$302*($AO$5:$AO$302=$A72),$CB$5:$CB$302)),IF($AI72="CT",Z$13,IF(LEFT($AI72,3)="AM|",IF($C72="","",SUMPRODUCT($AP$5:$AP$302*($AN$5:$AN$302=$A72),$CB$5:$CB$302)),IF(LEFT($AI72,2)="S|",IF($AG72="","",INDEX($CB$5:$CB$302,$AH72)),IF($AI72="HDR","Makeup Sales",""))))))</f>
        <v/>
      </c>
      <c r="AA72" s="41" t="str">
        <f t="shared" si="56"/>
        <v/>
      </c>
      <c r="AB72" s="40" t="str" cm="1">
        <f t="array" ref="AB72">IF($AI72="","",IF(LEFT($AI72,2)="C|",IF($C72="","",SUMPRODUCT($AP$5:$AP$302*($AO$5:$AO$302=$A72),$CK$5:$CK$302)),IF($AI72="CT",AB$13,IF(LEFT($AI72,3)="AM|",IF($C72="","",SUMPRODUCT($AP$5:$AP$302*($AN$5:$AN$302=$A72),$CK$5:$CK$302)),IF(LEFT($AI72,2)="S|",IF($AG72="","",INDEX($CK$5:$CK$302,$AH72)),IF($AI72="HDR","Makeup Target",""))))))</f>
        <v/>
      </c>
      <c r="AC72" s="41" t="str">
        <f t="shared" si="45"/>
        <v/>
      </c>
      <c r="AD72" s="40" t="str" cm="1">
        <f t="array" ref="AD72">IF($AI72="","",IF(LEFT($AI72,2)="C|",IF($C72="","",SUMPRODUCT($AP$5:$AP$302*($AO$5:$AO$302=$A72),$CI$5:$CI$302)),IF($AI72="CT",AD$13,IF(LEFT($AI72,3)="AM|",IF($C72="","",SUMPRODUCT($AP$5:$AP$302*($AN$5:$AN$302=$A72),$CI$5:$CI$302)),IF(LEFT($AI72,2)="S|",IF($AG72="","",INDEX($CI$5:$CI$302,$AH72)),IF($AI72="HDR","Cosmetic Sales",""))))))</f>
        <v/>
      </c>
      <c r="AE72" s="8" t="str" cm="1">
        <f t="array" ref="AE72">IF($AI72="","",IF(LEFT($AI72,2)="C|",IF($C72="","",SUMPRODUCT($AP$5:$AP$302*($AO$5:$AO$302=$A72)*$AQ$5:$AQ$302,$AR$5:$AR$302)),IF($AI72="CT",AE$13,IF(LEFT($AI72,3)="AM|",IF($C72="","",SUMPRODUCT($AP$5:$AP$302*($AN$5:$AN$302=$A72)*$AQ$5:$AQ$302,$AR$5:$AR$302)),IF(LEFT($AI72,2)="S|",IF($AG72="","",IF(INDEX($AQ$5:$AQ$302,$AH72)=1,D72,0)),IF($AI72="HDR","LFL Sales",""))))))</f>
        <v/>
      </c>
      <c r="AF72" s="8" t="str" cm="1">
        <f t="array" ref="AF72">IF($AI72="","",IF(LEFT($AI72,2)="C|",IF($C72="","",SUMPRODUCT($AP$5:$AP$302*($AO$5:$AO$302=$A72)*$AQ$5:$AQ$302,$AS$5:$AS$302)),IF($AI72="CT",AF$13,IF(LEFT($AI72,3)="AM|",IF($C72="","",SUMPRODUCT($AP$5:$AP$302*($AN$5:$AN$302=$A72)*$AQ$5:$AQ$302,$AS$5:$AS$302)),IF(LEFT($AI72,2)="S|",IF($AG72="","",IF(INDEX($AQ$5:$AQ$302,$AH72)=1,P72,0)),IF($AI72="HDR","LFL Trans",""))))))</f>
        <v/>
      </c>
      <c r="AG72" s="8" t="str" cm="1">
        <f t="array" ref="AG72">IF($AI72="","",IF(LEFT($AI72,2)="C|","",IF($AI72="CT","",IF(LEFT($AI72,3)="AM|","",IF(LEFT($AI72,2)="S|",IF($AH72="","",IF(INDEX($AP$5:$AP$302,$AH72)=1,1,"")),IF($AI72="HDR","Show",""))))))</f>
        <v/>
      </c>
      <c r="AH72" s="8" t="str">
        <f t="shared" si="57"/>
        <v/>
      </c>
      <c r="AI72" s="8"/>
      <c r="AN72" s="8" t="str" cm="1">
        <f t="array" ref="AN72">IF($AW72="","",_xlfn.LET(_xlpm.sa,IFERROR(TRIM(INDEX('Sales and count'!$D$4:$D$300,$BF72)&amp;""),""),_xlpm.ta,IFERROR(TRIM(INDEX('TY Sales Target'!$F$5:$F$300,$BG72)&amp;""),""),IF(AND(_xlpm.sa&lt;&gt;"",LEFT(_xlpm.sa,1)&lt;&gt;"#",_xlpm.sa&lt;&gt;"0"),_xlpm.sa,IF(AND(_xlpm.ta&lt;&gt;"",LEFT(_xlpm.ta,1)&lt;&gt;"#",_xlpm.ta&lt;&gt;"0"),_xlpm.ta,IF(ISNUMBER($BG72),"Unassigned","")))))</f>
        <v>Ahmed Jaffari</v>
      </c>
      <c r="AO72" s="8" t="str" cm="1">
        <f t="array" ref="AO72">IF($AW72="","",_xlfn.LET(_xlpm.sa,IFERROR(TRIM(INDEX('Sales and count'!$C$4:$C$300,$BF72)&amp;""),""),_xlpm.ta,IFERROR(TRIM(INDEX('TY Sales Target'!$D$5:$D$300,$BG72)&amp;""),""),IF(AND(_xlpm.sa&lt;&gt;"",LEFT(_xlpm.sa,1)&lt;&gt;"#",_xlpm.sa&lt;&gt;"0"),_xlpm.sa,IF(AND(_xlpm.ta&lt;&gt;"",LEFT(_xlpm.ta,1)&lt;&gt;"#",_xlpm.ta&lt;&gt;"0"),_xlpm.ta,""))))</f>
        <v>Jizan</v>
      </c>
      <c r="AP72" s="8">
        <f t="shared" si="60"/>
        <v>0</v>
      </c>
      <c r="AQ72" s="8">
        <f t="shared" si="61"/>
        <v>0</v>
      </c>
      <c r="AR72" s="8" cm="1">
        <f t="array" ref="AR72">IF($BF72="",0,_xlfn.LET(_xlpm.d,IFERROR(--'Sales and count'!$G$2:$CC$2,0),SUMPRODUCT(('Sales and count'!$G$3:$CC$3="Total")*(_xlpm.d&gt;=$U$4)*(_xlpm.d&lt;=$U$5),INDEX('Sales and count'!$G$4:$CC$300,$BF72,0))))</f>
        <v>95738.829999999987</v>
      </c>
      <c r="AS72" s="8" cm="1">
        <f t="array" aca="1" ref="AS72" ca="1">IF($BF72="",0,_xlfn.LET(_xlpm.d,IFERROR(--'Sales and count'!$F$2:$CB$2,0),SUMPRODUCT(('Sales and count'!$G$3:$CC$3="Transactions")*(_xlpm.d&gt;=$U$4)*(_xlpm.d&lt;=$U$5),INDEX('Sales and count'!$G$4:$CC$300,$BF72,0))))</f>
        <v>669</v>
      </c>
      <c r="AT72" s="8" cm="1">
        <f t="array" ref="AT72">IF($AW72="",0,SUMPRODUCT((TRIM('LY Sales '!$B$5:$B$200)=$AW72)*('LY Sales '!$C$2:$AG$2&gt;=EDATE($U$4,-12))*('LY Sales '!$C$2:$AG$2&lt;=EDATE($U$5,-12)),'LY Sales '!$C$5:$AG$200))</f>
        <v>0</v>
      </c>
      <c r="AU72" s="8" cm="1">
        <f t="array" ref="AU72">IF($AW72="",0,SUMPRODUCT((TRIM('LY Transaction'!$B$5:$B$200)=$AW72)*('LY Transaction'!$C$2:$AG$2&gt;=EDATE($U$4,-12))*('LY Transaction'!$C$2:$AG$2&lt;=EDATE($U$5,-12)),'LY Transaction'!$C$5:$AG$200))</f>
        <v>0</v>
      </c>
      <c r="AV72" s="8" cm="1">
        <f t="array" ref="AV72">IF(NOT(ISNUMBER($BG72)),0,SUMPRODUCT(('TY Sales Target'!$K$2:$AO$2&gt;=$U$4)*('TY Sales Target'!$K$2:$AO$2&lt;=$U$5),INDEX('TY Sales Target'!$K$5:$AO$300,$BG72,0)))</f>
        <v>168558.4923979711</v>
      </c>
      <c r="AW72" s="8" t="str" cm="1">
        <f t="array" ref="AW72">IFERROR(INDEX(_xlfn.ANCHORARRAY($BR$5),ROWS($AW$5:AW72)),"")</f>
        <v>HAKADIMALL</v>
      </c>
      <c r="BB72" cm="1">
        <f t="array" ref="BB72">IF($AW72="",0,SUMPRODUCT((TRIM(Footfall!$B$5:$B$301)=$AW72)*(Footfall!$C$1:$BZ$1&gt;=$U$4)*(Footfall!$C$2:$BZ$2&lt;=$U$5)*(Footfall!$C$1:$BZ$1&lt;&gt;""),Footfall!$C$5:$BZ$301))</f>
        <v>4755</v>
      </c>
      <c r="BC72" cm="1">
        <f t="array" aca="1" ref="BC72" ca="1">IF(OR($BB72&lt;=0,$BD$1="",$BF72=""),0,_xlfn.LET(_xlpm.d,IFERROR(--'Sales and count'!$F$2:$CB$2,0),SUMPRODUCT(('Sales and count'!$G$3:$CC$3="Transactions")*(_xlpm.d&gt;=$BD$1)*(_xlpm.d&lt;=$BD$2),INDEX('Sales and count'!$G$4:$CC$300,$BF72,0))))</f>
        <v>669</v>
      </c>
      <c r="BF72" cm="1">
        <f t="array" ref="BF72">IF($AW72="","",IFERROR(MATCH($AW72,TRIM('Sales and count'!$A$4:$A$300&amp;""),0),""))</f>
        <v>68</v>
      </c>
      <c r="BG72" cm="1">
        <f t="array" ref="BG72">IF($AW72="","",IFERROR(MATCH(IFERROR(_xlfn.XLOOKUP($AW72,$BT$5:$BT$22,$BU$5:$BU$22),$AW72),TRIM('TY Sales Target'!$B$5:$B$300&amp;""),0),""))</f>
        <v>58</v>
      </c>
      <c r="BH72" t="str" cm="1">
        <f t="array" ref="BH72">IF(ISNUMBER($BG72),_xlfn.LET(_xlpm.p,TRIM(INDEX('TY Sales Target'!$I$5:$I$300,$BG72)&amp;""),IF(_xlpm.p="","Not set",_xlpm.p)),"Not set")</f>
        <v>Smart Phone</v>
      </c>
      <c r="BI72" cm="1">
        <f t="array" ref="BI72">IF($BF72="",0,_xlfn.LET(_xlpm.d,IFERROR(--'Sales and count'!$G$2:$CC$2,0),SUMPRODUCT(('Sales and count'!$G$3:$CC$3="Total")*(_xlpm.d&gt;=$BZ$5)*(_xlpm.d&lt;=$BZ$6),INDEX('Sales and count'!$G$4:$CC$300,$BF72,0))))</f>
        <v>95738.829999999987</v>
      </c>
      <c r="BJ72" cm="1">
        <f t="array" ref="BJ72">IF($AW72="",0,SUMPRODUCT((TRIM('LY Sales '!$B$5:$B$200)=$AW72)*('LY Sales '!$C$2:$AG$2&gt;=EDATE($BZ$5,-12))*('LY Sales '!$C$2:$AG$2&lt;=EDATE($BZ$6,-12)),'LY Sales '!$C$5:$AG$200))</f>
        <v>0</v>
      </c>
      <c r="BK72" cm="1">
        <f t="array" ref="BK72">IF($AW72="",0,SUMPRODUCT((TRIM('LY Sales '!$B$5:$B$200)=$AW72)*('LY Sales '!$C$2:$AG$2&gt;=EDATE($BZ$5,-12))*('LY Sales '!$C$2:$AG$2&lt;=EDATE($BZ$7,-12)),'LY Sales '!$C$5:$AG$200))</f>
        <v>0</v>
      </c>
      <c r="BL72" cm="1">
        <f t="array" ref="BL72">IF($AW72="",0,SUMPRODUCT((TRIM('LY Sales '!$B$5:$B$200)=$AW72)*('LY Sales '!$C$2:$AG$2&gt;=EDATE($BZ$5,-12))*('LY Sales '!$C$2:$AG$2&lt;=EDATE($BZ$6,-12))*('LY Sales '!$C$5:$AG$200&gt;0)))</f>
        <v>0</v>
      </c>
      <c r="BM72" cm="1">
        <f t="array" ref="BM72">IF(NOT(ISNUMBER($BG72)),0,SUMPRODUCT(('TY Sales Target'!$K$2:$AO$2&gt;=$BZ$5)*('TY Sales Target'!$K$2:$AO$2&lt;=$BZ$6),INDEX('TY Sales Target'!$K$5:$AO$300,$BG72,0)))</f>
        <v>168558.4923979711</v>
      </c>
      <c r="BN72" cm="1">
        <f t="array" ref="BN72">IF(NOT(ISNUMBER($BG72)),0,SUMPRODUCT(('TY Sales Target'!$K$2:$AO$2&gt;=$BZ$5)*('TY Sales Target'!$K$2:$AO$2&lt;=$BZ$7),INDEX('TY Sales Target'!$K$5:$AO$300,$BG72,0)))</f>
        <v>220000</v>
      </c>
      <c r="BO72" cm="1">
        <f t="array" ref="BO72">IF($AW72="",0,IFERROR(_xlfn.SWITCH($BP72,"LY trend",$BI72*$BK72/$BJ72,"Target curve",$BI72*$BN72/$BM72,"Run rate",$BI72/$BZ$8*$BZ$9,0),0))</f>
        <v>124956.87580232249</v>
      </c>
      <c r="BP72" t="str">
        <f t="shared" si="59"/>
        <v>Target curve</v>
      </c>
      <c r="BR72" t="str">
        <v>HAKADIMALL</v>
      </c>
      <c r="CB72" cm="1">
        <f t="array" ref="CB72">IF($AW72="",0,_xlfn.LET(_xlpm.k,IFERROR(_xlfn.XLOOKUP($AW72,$CD$6:$CD$21,$CE$6:$CE$21),$AW72),SUMPRODUCT((TRIM('Makeup '!$A$2:$A$300&amp;"")=_xlpm.k)*1,IFERROR('Makeup '!$F$2:$F$300*1,0))))</f>
        <v>6023.02</v>
      </c>
      <c r="CF72" t="str" cm="1">
        <f t="array" ref="CF72">IF($AW72="","",_xlfn.LET(_xlpm.c,IFERROR(TRIM(INDEX('Sales and count'!$B$4:$B$300,$BF72)&amp;""),""),IF(OR(_xlpm.c="",_xlpm.c="0",LEFT(_xlpm.c,1)="#"),"Not set",_xlpm.c)))</f>
        <v>KSA</v>
      </c>
      <c r="CH72" cm="1">
        <f t="array" ref="CH72">IF($AW72="",0,_xlfn.LET(_xlpm.k,IFERROR(_xlfn.XLOOKUP($AW72,$CD$6:$CD$21,$CE$6:$CE$21),$AW72),--(SUMPRODUCT((TRIM('Makeup '!$A$2:$A$300&amp;"")=_xlpm.k)*ISNUMBER('Makeup '!$F$2:$F$300))&gt;0)))</f>
        <v>1</v>
      </c>
      <c r="CI72">
        <f t="shared" si="62"/>
        <v>95738.829999999987</v>
      </c>
      <c r="CJ72" cm="1">
        <f t="array" ref="CJ72">IF($AW72="",0,--(SUMPRODUCT(--(TRIM(Footfall!$B$5:$B$301)=$AW72))&gt;0))</f>
        <v>1</v>
      </c>
      <c r="CK72" s="8" cm="1">
        <f t="array" ref="CK72">IF($AW72="",0,_xlfn.LET(_xlpm.r,IFERROR(MATCH(IFERROR(_xlfn.XLOOKUP($AW72,$BT$5:$BT$22,$BU$5:$BU$22),$AW72),TRIM('TY Beauty Target'!$B$5:$B$300&amp;""),0),""),IF(ISNUMBER(_xlpm.r),SUMPRODUCT(('TY Beauty Target'!$L$2:$AP$2&gt;=$U$4)*('TY Beauty Target'!$L$2:$AP$2&lt;=$U$5),INDEX('TY Beauty Target'!$L$5:$AP$300,_xlpm.r,0)),0)))</f>
        <v>18798.303892459466</v>
      </c>
    </row>
    <row r="73" spans="1:89" ht="15" customHeight="1" x14ac:dyDescent="0.25">
      <c r="A73" s="38" t="str">
        <f t="shared" si="58"/>
        <v/>
      </c>
      <c r="B73" s="43" t="str" cm="1">
        <f t="array" ref="B73">IF($AI73="","",IF(LEFT($AI73,2)="C|",IF($C73="","",_xlfn.TEXTJOIN(", ",TRUE,_xlfn.UNIQUE(_xlfn._xlws.FILTER($AN$5:$AN$302,($AP$5:$AP$302=1)*($AO$5:$AO$302=$A73))))),IF($AI73="CT",B$13,IF(LEFT($AI73,3)="AM|",IF($C73="","",ROWS(_xlfn.UNIQUE(_xlfn._xlws.FILTER($AO$5:$AO$302,($AP$5:$AP$302=1)*($AN$5:$AN$302=$A73))))),IF(LEFT($AI73,2)="S|",IF($AG73="","",INDEX($AO$5:$AO$302,$AH73)),IF($AI73="HDR","City",""))))))</f>
        <v/>
      </c>
      <c r="C73" s="39" t="str" cm="1">
        <f t="array" ref="C73">IF($AI73="","",IF(LEFT($AI73,2)="C|",_xlfn.LET(_xlpm.n,SUMPRODUCT($AP$5:$AP$302*($AO$5:$AO$302=$A73)),IF(_xlpm.n=0,"",_xlpm.n)),IF($AI73="CT",C$13,IF(LEFT($AI73,3)="AM|",_xlfn.LET(_xlpm.n,SUMPRODUCT($AP$5:$AP$302*($AN$5:$AN$302=$A73)),IF(_xlpm.n=0,"",_xlpm.n)),IF(LEFT($AI73,2)="S|","",IF($AI73="HDR","# Stores",""))))))</f>
        <v/>
      </c>
      <c r="D73" s="40" t="str" cm="1">
        <f t="array" ref="D73">IF($AI73="","",IF(LEFT($AI73,2)="C|",IF($C73="","",SUMPRODUCT($AP$5:$AP$302*($AO$5:$AO$302=$A73),$AR$5:$AR$302)),IF($AI73="CT",D$13,IF(LEFT($AI73,3)="AM|",IF($C73="","",SUMPRODUCT($AP$5:$AP$302*($AN$5:$AN$302=$A73),$AR$5:$AR$302)),IF(LEFT($AI73,2)="S|",IF($AG73="","",INDEX($AR$5:$AR$302,$AH73)),IF($AI73="HDR","Sales TY",""))))))</f>
        <v/>
      </c>
      <c r="E73" s="40" t="str" cm="1">
        <f t="array" ref="E73">IF($AI73="","",IF(LEFT($AI73,2)="C|",IF($C73="","",SUMPRODUCT($AP$5:$AP$302*($AO$5:$AO$302=$A73),$AT$5:$AT$302)),IF($AI73="CT",E$13,IF(LEFT($AI73,3)="AM|",IF($C73="","",SUMPRODUCT($AP$5:$AP$302*($AN$5:$AN$302=$A73),$AT$5:$AT$302)),IF(LEFT($AI73,2)="S|",IF($AG73="","",INDEX($AT$5:$AT$302,$AH73)),IF($AI73="HDR","Sales LY",""))))))</f>
        <v/>
      </c>
      <c r="F73" s="41" t="str">
        <f t="shared" si="46"/>
        <v/>
      </c>
      <c r="G73" s="41" t="str">
        <f t="shared" si="47"/>
        <v/>
      </c>
      <c r="H73" s="40" t="str" cm="1">
        <f t="array" ref="H73">IF($AI73="","",IF(LEFT($AI73,2)="C|",IF($C73="","",SUMPRODUCT($AP$5:$AP$302*($AO$5:$AO$302=$A73),$AV$5:$AV$302)),IF($AI73="CT",H$13,IF(LEFT($AI73,3)="AM|",IF($C73="","",SUMPRODUCT($AP$5:$AP$302*($AN$5:$AN$302=$A73),$AV$5:$AV$302)),IF(LEFT($AI73,2)="S|",IF($AG73="","",INDEX($AV$5:$AV$302,$AH73)),IF($AI73="HDR","Target",""))))))</f>
        <v/>
      </c>
      <c r="I73" s="41" t="str">
        <f t="shared" si="48"/>
        <v/>
      </c>
      <c r="J73" s="40" t="str">
        <f t="shared" si="49"/>
        <v/>
      </c>
      <c r="K73" s="41" t="str">
        <f t="shared" si="50"/>
        <v/>
      </c>
      <c r="L73" s="40" t="str" cm="1">
        <f t="array" ref="L73">IF($AI73="","",IF(LEFT($AI73,2)="C|",IF($C73="","",SUMPRODUCT($AP$5:$AP$302*($AO$5:$AO$302=$A73),$BN$5:$BN$302)),IF($AI73="CT",L$13,IF(LEFT($AI73,3)="AM|",IF($C73="","",SUMPRODUCT($AP$5:$AP$302*($AN$5:$AN$302=$A73),$BN$5:$BN$302)),IF(LEFT($AI73,2)="S|",IF($AG73="","",INDEX($BN$5:$BN$302,$AH73)),IF($AI73="HDR","Month Target",""))))))</f>
        <v/>
      </c>
      <c r="M73" s="40" t="str" cm="1">
        <f t="array" ref="M73">IF($AI73="","",IF(LEFT($AI73,2)="C|",IF($C73="","",SUMPRODUCT($AP$5:$AP$302*($AO$5:$AO$302=$A73),$BO$5:$BO$302)),IF($AI73="CT",M$13,IF(LEFT($AI73,3)="AM|",IF($C73="","",SUMPRODUCT($AP$5:$AP$302*($AN$5:$AN$302=$A73),$BO$5:$BO$302)),IF(LEFT($AI73,2)="S|",IF($AG73="","",INDEX($BO$5:$BO$302,$AH73)),IF($AI73="HDR","Projected Close",""))))))</f>
        <v/>
      </c>
      <c r="N73" s="41" t="str">
        <f t="shared" si="43"/>
        <v/>
      </c>
      <c r="O73" s="41" t="str" cm="1">
        <f t="array" ref="O73">IF($AI73="HDR","Proj. vs LY",IF(OR($AI73="",M73=""),"",_xlfn.LET(_xlpm.ly,IF(LEFT($AI73,2)="C|",SUMPRODUCT($AP$5:$AP$302*($AO$5:$AO$302=$A73),$BK$5:$BK$302),IF($AI73="CT",SUMPRODUCT($AP$5:$AP$302,$BK$5:$BK$302),IF(LEFT($AI73,3)="AM|",SUMPRODUCT($AP$5:$AP$302*($AN$5:$AN$302=$A73),$BK$5:$BK$302),IF(LEFT($AI73,2)="S|",INDEX($BK$5:$BK$302,$AH73),0)))),IFERROR(M73/_xlpm.ly-1,""))))</f>
        <v/>
      </c>
      <c r="P73" s="40" t="str" cm="1">
        <f t="array" ref="P73">IF($AI73="","",IF(LEFT($AI73,2)="C|",IF($C73="","",SUMPRODUCT($AP$5:$AP$302*($AO$5:$AO$302=$A73),$AS$5:$AS$302)),IF($AI73="CT",P$13,IF(LEFT($AI73,3)="AM|",IF($C73="","",SUMPRODUCT($AP$5:$AP$302*($AN$5:$AN$302=$A73),$AS$5:$AS$302)),IF(LEFT($AI73,2)="S|",IF($AG73="","",INDEX($AS$5:$AS$302,$AH73)),IF($AI73="HDR","Trans TY",""))))))</f>
        <v/>
      </c>
      <c r="Q73" s="40" t="str" cm="1">
        <f t="array" ref="Q73">IF($AI73="","",IF(LEFT($AI73,2)="C|",IF($C73="","",SUMPRODUCT($AP$5:$AP$302*($AO$5:$AO$302=$A73),$AU$5:$AU$302)),IF($AI73="CT",Q$13,IF(LEFT($AI73,3)="AM|",IF($C73="","",SUMPRODUCT($AP$5:$AP$302*($AN$5:$AN$302=$A73),$AU$5:$AU$302)),IF(LEFT($AI73,2)="S|",IF($AG73="","",INDEX($AU$5:$AU$302,$AH73)),IF($AI73="HDR","Trans LY",""))))))</f>
        <v/>
      </c>
      <c r="R73" s="41" t="str">
        <f t="shared" si="51"/>
        <v/>
      </c>
      <c r="S73" s="41" t="str">
        <f t="shared" si="52"/>
        <v/>
      </c>
      <c r="T73" s="42" t="str">
        <f t="shared" si="53"/>
        <v/>
      </c>
      <c r="U73" s="42" t="str">
        <f t="shared" si="54"/>
        <v/>
      </c>
      <c r="V73" s="41" t="str">
        <f t="shared" si="55"/>
        <v/>
      </c>
      <c r="W73" s="40" t="str" cm="1">
        <f t="array" ref="W73">IF($AI73="","",IF(LEFT($AI73,2)="C|",_xlfn.LET(_xlpm.n,SUMPRODUCT($AP$5:$AP$302*($AO$5:$AO$302=$A73),$BB$5:$BB$302),IF(_xlpm.n=0,"",_xlpm.n)),IF($AI73="CT",W$13,IF(LEFT($AI73,3)="AM|",_xlfn.LET(_xlpm.n,SUMPRODUCT($AP$5:$AP$302*($AN$5:$AN$302=$A73),$BB$5:$BB$302),IF(_xlpm.n=0,"",_xlpm.n)),IF(LEFT($AI73,2)="S|",IF($AG73="","",_xlfn.LET(_xlpm.n,INDEX($BB$5:$BB$302,$AH73),IF(_xlpm.n=0,"",_xlpm.n))),IF($AI73="HDR","Footfall",""))))))</f>
        <v/>
      </c>
      <c r="X73" s="40" t="str" cm="1">
        <f t="array" ref="X73">IF($AI73="","",IF($AI73="HDR","Trans (FF stores)",IF(W73="","",IF(LEFT($AI73,2)="C|",SUMPRODUCT($AP$5:$AP$302*($AO$5:$AO$302=$A73),$BC$5:$BC$302),IF($AI73="CT",X$13,IF(LEFT($AI73,3)="AM|",SUMPRODUCT($AP$5:$AP$302*($AN$5:$AN$302=$A73),$BC$5:$BC$302),IF(LEFT($AI73,2)="S|",INDEX($BC$5:$BC$302,$AH73),"")))))))</f>
        <v/>
      </c>
      <c r="Y73" s="41" t="str">
        <f t="shared" si="44"/>
        <v/>
      </c>
      <c r="Z73" s="40" t="str" cm="1">
        <f t="array" ref="Z73">IF($AI73="","",IF(LEFT($AI73,2)="C|",IF($C73="","",SUMPRODUCT($AP$5:$AP$302*($AO$5:$AO$302=$A73),$CB$5:$CB$302)),IF($AI73="CT",Z$13,IF(LEFT($AI73,3)="AM|",IF($C73="","",SUMPRODUCT($AP$5:$AP$302*($AN$5:$AN$302=$A73),$CB$5:$CB$302)),IF(LEFT($AI73,2)="S|",IF($AG73="","",INDEX($CB$5:$CB$302,$AH73)),IF($AI73="HDR","Makeup Sales",""))))))</f>
        <v/>
      </c>
      <c r="AA73" s="41" t="str">
        <f t="shared" si="56"/>
        <v/>
      </c>
      <c r="AB73" s="40" t="str" cm="1">
        <f t="array" ref="AB73">IF($AI73="","",IF(LEFT($AI73,2)="C|",IF($C73="","",SUMPRODUCT($AP$5:$AP$302*($AO$5:$AO$302=$A73),$CK$5:$CK$302)),IF($AI73="CT",AB$13,IF(LEFT($AI73,3)="AM|",IF($C73="","",SUMPRODUCT($AP$5:$AP$302*($AN$5:$AN$302=$A73),$CK$5:$CK$302)),IF(LEFT($AI73,2)="S|",IF($AG73="","",INDEX($CK$5:$CK$302,$AH73)),IF($AI73="HDR","Makeup Target",""))))))</f>
        <v/>
      </c>
      <c r="AC73" s="41" t="str">
        <f t="shared" si="45"/>
        <v/>
      </c>
      <c r="AD73" s="40" t="str" cm="1">
        <f t="array" ref="AD73">IF($AI73="","",IF(LEFT($AI73,2)="C|",IF($C73="","",SUMPRODUCT($AP$5:$AP$302*($AO$5:$AO$302=$A73),$CI$5:$CI$302)),IF($AI73="CT",AD$13,IF(LEFT($AI73,3)="AM|",IF($C73="","",SUMPRODUCT($AP$5:$AP$302*($AN$5:$AN$302=$A73),$CI$5:$CI$302)),IF(LEFT($AI73,2)="S|",IF($AG73="","",INDEX($CI$5:$CI$302,$AH73)),IF($AI73="HDR","Cosmetic Sales",""))))))</f>
        <v/>
      </c>
      <c r="AE73" s="8" t="str" cm="1">
        <f t="array" ref="AE73">IF($AI73="","",IF(LEFT($AI73,2)="C|",IF($C73="","",SUMPRODUCT($AP$5:$AP$302*($AO$5:$AO$302=$A73)*$AQ$5:$AQ$302,$AR$5:$AR$302)),IF($AI73="CT",AE$13,IF(LEFT($AI73,3)="AM|",IF($C73="","",SUMPRODUCT($AP$5:$AP$302*($AN$5:$AN$302=$A73)*$AQ$5:$AQ$302,$AR$5:$AR$302)),IF(LEFT($AI73,2)="S|",IF($AG73="","",IF(INDEX($AQ$5:$AQ$302,$AH73)=1,D73,0)),IF($AI73="HDR","LFL Sales",""))))))</f>
        <v/>
      </c>
      <c r="AF73" s="8" t="str" cm="1">
        <f t="array" ref="AF73">IF($AI73="","",IF(LEFT($AI73,2)="C|",IF($C73="","",SUMPRODUCT($AP$5:$AP$302*($AO$5:$AO$302=$A73)*$AQ$5:$AQ$302,$AS$5:$AS$302)),IF($AI73="CT",AF$13,IF(LEFT($AI73,3)="AM|",IF($C73="","",SUMPRODUCT($AP$5:$AP$302*($AN$5:$AN$302=$A73)*$AQ$5:$AQ$302,$AS$5:$AS$302)),IF(LEFT($AI73,2)="S|",IF($AG73="","",IF(INDEX($AQ$5:$AQ$302,$AH73)=1,P73,0)),IF($AI73="HDR","LFL Trans",""))))))</f>
        <v/>
      </c>
      <c r="AG73" s="8" t="str" cm="1">
        <f t="array" ref="AG73">IF($AI73="","",IF(LEFT($AI73,2)="C|","",IF($AI73="CT","",IF(LEFT($AI73,3)="AM|","",IF(LEFT($AI73,2)="S|",IF($AH73="","",IF(INDEX($AP$5:$AP$302,$AH73)=1,1,"")),IF($AI73="HDR","Show",""))))))</f>
        <v/>
      </c>
      <c r="AH73" s="8" t="str">
        <f t="shared" si="57"/>
        <v/>
      </c>
      <c r="AI73" s="8"/>
      <c r="AN73" s="8" t="str" cm="1">
        <f t="array" ref="AN73">IF($AW73="","",_xlfn.LET(_xlpm.sa,IFERROR(TRIM(INDEX('Sales and count'!$D$4:$D$300,$BF73)&amp;""),""),_xlpm.ta,IFERROR(TRIM(INDEX('TY Sales Target'!$F$5:$F$300,$BG73)&amp;""),""),IF(AND(_xlpm.sa&lt;&gt;"",LEFT(_xlpm.sa,1)&lt;&gt;"#",_xlpm.sa&lt;&gt;"0"),_xlpm.sa,IF(AND(_xlpm.ta&lt;&gt;"",LEFT(_xlpm.ta,1)&lt;&gt;"#",_xlpm.ta&lt;&gt;"0"),_xlpm.ta,IF(ISNUMBER($BG73),"Unassigned","")))))</f>
        <v>Lina Al Ghathami</v>
      </c>
      <c r="AO73" s="8" t="str" cm="1">
        <f t="array" ref="AO73">IF($AW73="","",_xlfn.LET(_xlpm.sa,IFERROR(TRIM(INDEX('Sales and count'!$C$4:$C$300,$BF73)&amp;""),""),_xlpm.ta,IFERROR(TRIM(INDEX('TY Sales Target'!$D$5:$D$300,$BG73)&amp;""),""),IF(AND(_xlpm.sa&lt;&gt;"",LEFT(_xlpm.sa,1)&lt;&gt;"#",_xlpm.sa&lt;&gt;"0"),_xlpm.sa,IF(AND(_xlpm.ta&lt;&gt;"",LEFT(_xlpm.ta,1)&lt;&gt;"#",_xlpm.ta&lt;&gt;"0"),_xlpm.ta,""))))</f>
        <v>Riyadh</v>
      </c>
      <c r="AP73" s="8">
        <f t="shared" si="60"/>
        <v>0</v>
      </c>
      <c r="AQ73" s="8">
        <f t="shared" si="61"/>
        <v>1</v>
      </c>
      <c r="AR73" s="8" cm="1">
        <f t="array" ref="AR73">IF($BF73="",0,_xlfn.LET(_xlpm.d,IFERROR(--'Sales and count'!$G$2:$CC$2,0),SUMPRODUCT(('Sales and count'!$G$3:$CC$3="Total")*(_xlpm.d&gt;=$U$4)*(_xlpm.d&lt;=$U$5),INDEX('Sales and count'!$G$4:$CC$300,$BF73,0))))</f>
        <v>90278.68</v>
      </c>
      <c r="AS73" s="8" cm="1">
        <f t="array" aca="1" ref="AS73" ca="1">IF($BF73="",0,_xlfn.LET(_xlpm.d,IFERROR(--'Sales and count'!$F$2:$CB$2,0),SUMPRODUCT(('Sales and count'!$G$3:$CC$3="Transactions")*(_xlpm.d&gt;=$U$4)*(_xlpm.d&lt;=$U$5),INDEX('Sales and count'!$G$4:$CC$300,$BF73,0))))</f>
        <v>674</v>
      </c>
      <c r="AT73" s="8" cm="1">
        <f t="array" ref="AT73">IF($AW73="",0,SUMPRODUCT((TRIM('LY Sales '!$B$5:$B$200)=$AW73)*('LY Sales '!$C$2:$AG$2&gt;=EDATE($U$4,-12))*('LY Sales '!$C$2:$AG$2&lt;=EDATE($U$5,-12)),'LY Sales '!$C$5:$AG$200))</f>
        <v>139180.17000000001</v>
      </c>
      <c r="AU73" s="8" cm="1">
        <f t="array" ref="AU73">IF($AW73="",0,SUMPRODUCT((TRIM('LY Transaction'!$B$5:$B$200)=$AW73)*('LY Transaction'!$C$2:$AG$2&gt;=EDATE($U$4,-12))*('LY Transaction'!$C$2:$AG$2&lt;=EDATE($U$5,-12)),'LY Transaction'!$C$5:$AG$200))</f>
        <v>1055</v>
      </c>
      <c r="AV73" s="8" cm="1">
        <f t="array" ref="AV73">IF(NOT(ISNUMBER($BG73)),0,SUMPRODUCT(('TY Sales Target'!$K$2:$AO$2&gt;=$U$4)*('TY Sales Target'!$K$2:$AO$2&lt;=$U$5),INDEX('TY Sales Target'!$K$5:$AO$300,$BG73,0)))</f>
        <v>136379.14384926751</v>
      </c>
      <c r="AW73" s="8" t="str" cm="1">
        <f t="array" ref="AW73">IFERROR(INDEX(_xlfn.ANCHORARRAY($BR$5),ROWS($AW$5:AW73)),"")</f>
        <v>RYDVIEW</v>
      </c>
      <c r="BB73" cm="1">
        <f t="array" ref="BB73">IF($AW73="",0,SUMPRODUCT((TRIM(Footfall!$B$5:$B$301)=$AW73)*(Footfall!$C$1:$BZ$1&gt;=$U$4)*(Footfall!$C$2:$BZ$2&lt;=$U$5)*(Footfall!$C$1:$BZ$1&lt;&gt;""),Footfall!$C$5:$BZ$301))</f>
        <v>7429</v>
      </c>
      <c r="BC73" cm="1">
        <f t="array" aca="1" ref="BC73" ca="1">IF(OR($BB73&lt;=0,$BD$1="",$BF73=""),0,_xlfn.LET(_xlpm.d,IFERROR(--'Sales and count'!$F$2:$CB$2,0),SUMPRODUCT(('Sales and count'!$G$3:$CC$3="Transactions")*(_xlpm.d&gt;=$BD$1)*(_xlpm.d&lt;=$BD$2),INDEX('Sales and count'!$G$4:$CC$300,$BF73,0))))</f>
        <v>674</v>
      </c>
      <c r="BF73" cm="1">
        <f t="array" ref="BF73">IF($AW73="","",IFERROR(MATCH($AW73,TRIM('Sales and count'!$A$4:$A$300&amp;""),0),""))</f>
        <v>69</v>
      </c>
      <c r="BG73" cm="1">
        <f t="array" ref="BG73">IF($AW73="","",IFERROR(MATCH(IFERROR(_xlfn.XLOOKUP($AW73,$BT$5:$BT$22,$BU$5:$BU$22),$AW73),TRIM('TY Sales Target'!$B$5:$B$300&amp;""),0),""))</f>
        <v>76</v>
      </c>
      <c r="BH73" t="str" cm="1">
        <f t="array" ref="BH73">IF(ISNUMBER($BG73),_xlfn.LET(_xlpm.p,TRIM(INDEX('TY Sales Target'!$I$5:$I$300,$BG73)&amp;""),IF(_xlpm.p="","Not set",_xlpm.p)),"Not set")</f>
        <v>I Pad</v>
      </c>
      <c r="BI73" cm="1">
        <f t="array" ref="BI73">IF($BF73="",0,_xlfn.LET(_xlpm.d,IFERROR(--'Sales and count'!$G$2:$CC$2,0),SUMPRODUCT(('Sales and count'!$G$3:$CC$3="Total")*(_xlpm.d&gt;=$BZ$5)*(_xlpm.d&lt;=$BZ$6),INDEX('Sales and count'!$G$4:$CC$300,$BF73,0))))</f>
        <v>90278.68</v>
      </c>
      <c r="BJ73" cm="1">
        <f t="array" ref="BJ73">IF($AW73="",0,SUMPRODUCT((TRIM('LY Sales '!$B$5:$B$200)=$AW73)*('LY Sales '!$C$2:$AG$2&gt;=EDATE($BZ$5,-12))*('LY Sales '!$C$2:$AG$2&lt;=EDATE($BZ$6,-12)),'LY Sales '!$C$5:$AG$200))</f>
        <v>139180.17000000001</v>
      </c>
      <c r="BK73" cm="1">
        <f t="array" ref="BK73">IF($AW73="",0,SUMPRODUCT((TRIM('LY Sales '!$B$5:$B$200)=$AW73)*('LY Sales '!$C$2:$AG$2&gt;=EDATE($BZ$5,-12))*('LY Sales '!$C$2:$AG$2&lt;=EDATE($BZ$7,-12)),'LY Sales '!$C$5:$AG$200))</f>
        <v>166806.62</v>
      </c>
      <c r="BL73" cm="1">
        <f t="array" ref="BL73">IF($AW73="",0,SUMPRODUCT((TRIM('LY Sales '!$B$5:$B$200)=$AW73)*('LY Sales '!$C$2:$AG$2&gt;=EDATE($BZ$5,-12))*('LY Sales '!$C$2:$AG$2&lt;=EDATE($BZ$6,-12))*('LY Sales '!$C$5:$AG$200&gt;0)))</f>
        <v>26</v>
      </c>
      <c r="BM73" cm="1">
        <f t="array" ref="BM73">IF(NOT(ISNUMBER($BG73)),0,SUMPRODUCT(('TY Sales Target'!$K$2:$AO$2&gt;=$BZ$5)*('TY Sales Target'!$K$2:$AO$2&lt;=$BZ$6),INDEX('TY Sales Target'!$K$5:$AO$300,$BG73,0)))</f>
        <v>136379.14384926751</v>
      </c>
      <c r="BN73" cm="1">
        <f t="array" ref="BN73">IF(NOT(ISNUMBER($BG73)),0,SUMPRODUCT(('TY Sales Target'!$K$2:$AO$2&gt;=$BZ$5)*('TY Sales Target'!$K$2:$AO$2&lt;=$BZ$7),INDEX('TY Sales Target'!$K$5:$AO$300,$BG73,0)))</f>
        <v>178000</v>
      </c>
      <c r="BO73" cm="1">
        <f t="array" ref="BO73">IF($AW73="",0,IFERROR(_xlfn.SWITCH($BP73,"LY trend",$BI73*$BK73/$BJ73,"Target curve",$BI73*$BN73/$BM73,"Run rate",$BI73/$BZ$8*$BZ$9,0),0))</f>
        <v>108198.47014744699</v>
      </c>
      <c r="BP73" t="str">
        <f t="shared" si="59"/>
        <v>LY trend</v>
      </c>
      <c r="BR73" t="str">
        <v>RYDVIEW</v>
      </c>
      <c r="CB73" cm="1">
        <f t="array" ref="CB73">IF($AW73="",0,_xlfn.LET(_xlpm.k,IFERROR(_xlfn.XLOOKUP($AW73,$CD$6:$CD$21,$CE$6:$CE$21),$AW73),SUMPRODUCT((TRIM('Makeup '!$A$2:$A$300&amp;"")=_xlpm.k)*1,IFERROR('Makeup '!$F$2:$F$300*1,0))))</f>
        <v>5358.06</v>
      </c>
      <c r="CF73" t="str" cm="1">
        <f t="array" ref="CF73">IF($AW73="","",_xlfn.LET(_xlpm.c,IFERROR(TRIM(INDEX('Sales and count'!$B$4:$B$300,$BF73)&amp;""),""),IF(OR(_xlpm.c="",_xlpm.c="0",LEFT(_xlpm.c,1)="#"),"Not set",_xlpm.c)))</f>
        <v>KSA</v>
      </c>
      <c r="CH73" cm="1">
        <f t="array" ref="CH73">IF($AW73="",0,_xlfn.LET(_xlpm.k,IFERROR(_xlfn.XLOOKUP($AW73,$CD$6:$CD$21,$CE$6:$CE$21),$AW73),--(SUMPRODUCT((TRIM('Makeup '!$A$2:$A$300&amp;"")=_xlpm.k)*ISNUMBER('Makeup '!$F$2:$F$300))&gt;0)))</f>
        <v>1</v>
      </c>
      <c r="CI73">
        <f t="shared" si="62"/>
        <v>90278.68</v>
      </c>
      <c r="CJ73" cm="1">
        <f t="array" ref="CJ73">IF($AW73="",0,--(SUMPRODUCT(--(TRIM(Footfall!$B$5:$B$301)=$AW73))&gt;0))</f>
        <v>1</v>
      </c>
      <c r="CK73" s="8" cm="1">
        <f t="array" ref="CK73">IF($AW73="",0,_xlfn.LET(_xlpm.r,IFERROR(MATCH(IFERROR(_xlfn.XLOOKUP($AW73,$BT$5:$BT$22,$BU$5:$BU$22),$AW73),TRIM('TY Beauty Target'!$B$5:$B$300&amp;""),0),""),IF(ISNUMBER(_xlpm.r),SUMPRODUCT(('TY Beauty Target'!$L$2:$AP$2&gt;=$U$4)*('TY Beauty Target'!$L$2:$AP$2&lt;=$U$5),INDEX('TY Beauty Target'!$L$5:$AP$300,_xlpm.r,0)),0)))</f>
        <v>7263.8086481109312</v>
      </c>
    </row>
    <row r="74" spans="1:89" ht="15" customHeight="1" x14ac:dyDescent="0.25">
      <c r="A74" s="38" t="str">
        <f t="shared" si="58"/>
        <v/>
      </c>
      <c r="B74" s="43" t="str" cm="1">
        <f t="array" ref="B74">IF($AI74="","",IF(LEFT($AI74,2)="C|",IF($C74="","",_xlfn.TEXTJOIN(", ",TRUE,_xlfn.UNIQUE(_xlfn._xlws.FILTER($AN$5:$AN$302,($AP$5:$AP$302=1)*($AO$5:$AO$302=$A74))))),IF($AI74="CT",B$13,IF(LEFT($AI74,3)="AM|",IF($C74="","",ROWS(_xlfn.UNIQUE(_xlfn._xlws.FILTER($AO$5:$AO$302,($AP$5:$AP$302=1)*($AN$5:$AN$302=$A74))))),IF(LEFT($AI74,2)="S|",IF($AG74="","",INDEX($AO$5:$AO$302,$AH74)),IF($AI74="HDR","City",""))))))</f>
        <v/>
      </c>
      <c r="C74" s="39" t="str" cm="1">
        <f t="array" ref="C74">IF($AI74="","",IF(LEFT($AI74,2)="C|",_xlfn.LET(_xlpm.n,SUMPRODUCT($AP$5:$AP$302*($AO$5:$AO$302=$A74)),IF(_xlpm.n=0,"",_xlpm.n)),IF($AI74="CT",C$13,IF(LEFT($AI74,3)="AM|",_xlfn.LET(_xlpm.n,SUMPRODUCT($AP$5:$AP$302*($AN$5:$AN$302=$A74)),IF(_xlpm.n=0,"",_xlpm.n)),IF(LEFT($AI74,2)="S|","",IF($AI74="HDR","# Stores",""))))))</f>
        <v/>
      </c>
      <c r="D74" s="40" t="str" cm="1">
        <f t="array" ref="D74">IF($AI74="","",IF(LEFT($AI74,2)="C|",IF($C74="","",SUMPRODUCT($AP$5:$AP$302*($AO$5:$AO$302=$A74),$AR$5:$AR$302)),IF($AI74="CT",D$13,IF(LEFT($AI74,3)="AM|",IF($C74="","",SUMPRODUCT($AP$5:$AP$302*($AN$5:$AN$302=$A74),$AR$5:$AR$302)),IF(LEFT($AI74,2)="S|",IF($AG74="","",INDEX($AR$5:$AR$302,$AH74)),IF($AI74="HDR","Sales TY",""))))))</f>
        <v/>
      </c>
      <c r="E74" s="40" t="str" cm="1">
        <f t="array" ref="E74">IF($AI74="","",IF(LEFT($AI74,2)="C|",IF($C74="","",SUMPRODUCT($AP$5:$AP$302*($AO$5:$AO$302=$A74),$AT$5:$AT$302)),IF($AI74="CT",E$13,IF(LEFT($AI74,3)="AM|",IF($C74="","",SUMPRODUCT($AP$5:$AP$302*($AN$5:$AN$302=$A74),$AT$5:$AT$302)),IF(LEFT($AI74,2)="S|",IF($AG74="","",INDEX($AT$5:$AT$302,$AH74)),IF($AI74="HDR","Sales LY",""))))))</f>
        <v/>
      </c>
      <c r="F74" s="41" t="str">
        <f t="shared" si="46"/>
        <v/>
      </c>
      <c r="G74" s="41" t="str">
        <f t="shared" si="47"/>
        <v/>
      </c>
      <c r="H74" s="40" t="str" cm="1">
        <f t="array" ref="H74">IF($AI74="","",IF(LEFT($AI74,2)="C|",IF($C74="","",SUMPRODUCT($AP$5:$AP$302*($AO$5:$AO$302=$A74),$AV$5:$AV$302)),IF($AI74="CT",H$13,IF(LEFT($AI74,3)="AM|",IF($C74="","",SUMPRODUCT($AP$5:$AP$302*($AN$5:$AN$302=$A74),$AV$5:$AV$302)),IF(LEFT($AI74,2)="S|",IF($AG74="","",INDEX($AV$5:$AV$302,$AH74)),IF($AI74="HDR","Target",""))))))</f>
        <v/>
      </c>
      <c r="I74" s="41" t="str">
        <f t="shared" si="48"/>
        <v/>
      </c>
      <c r="J74" s="40" t="str">
        <f t="shared" si="49"/>
        <v/>
      </c>
      <c r="K74" s="41" t="str">
        <f t="shared" si="50"/>
        <v/>
      </c>
      <c r="L74" s="40" t="str" cm="1">
        <f t="array" ref="L74">IF($AI74="","",IF(LEFT($AI74,2)="C|",IF($C74="","",SUMPRODUCT($AP$5:$AP$302*($AO$5:$AO$302=$A74),$BN$5:$BN$302)),IF($AI74="CT",L$13,IF(LEFT($AI74,3)="AM|",IF($C74="","",SUMPRODUCT($AP$5:$AP$302*($AN$5:$AN$302=$A74),$BN$5:$BN$302)),IF(LEFT($AI74,2)="S|",IF($AG74="","",INDEX($BN$5:$BN$302,$AH74)),IF($AI74="HDR","Month Target",""))))))</f>
        <v/>
      </c>
      <c r="M74" s="40" t="str" cm="1">
        <f t="array" ref="M74">IF($AI74="","",IF(LEFT($AI74,2)="C|",IF($C74="","",SUMPRODUCT($AP$5:$AP$302*($AO$5:$AO$302=$A74),$BO$5:$BO$302)),IF($AI74="CT",M$13,IF(LEFT($AI74,3)="AM|",IF($C74="","",SUMPRODUCT($AP$5:$AP$302*($AN$5:$AN$302=$A74),$BO$5:$BO$302)),IF(LEFT($AI74,2)="S|",IF($AG74="","",INDEX($BO$5:$BO$302,$AH74)),IF($AI74="HDR","Projected Close",""))))))</f>
        <v/>
      </c>
      <c r="N74" s="41" t="str">
        <f t="shared" si="43"/>
        <v/>
      </c>
      <c r="O74" s="41" t="str" cm="1">
        <f t="array" ref="O74">IF($AI74="HDR","Proj. vs LY",IF(OR($AI74="",M74=""),"",_xlfn.LET(_xlpm.ly,IF(LEFT($AI74,2)="C|",SUMPRODUCT($AP$5:$AP$302*($AO$5:$AO$302=$A74),$BK$5:$BK$302),IF($AI74="CT",SUMPRODUCT($AP$5:$AP$302,$BK$5:$BK$302),IF(LEFT($AI74,3)="AM|",SUMPRODUCT($AP$5:$AP$302*($AN$5:$AN$302=$A74),$BK$5:$BK$302),IF(LEFT($AI74,2)="S|",INDEX($BK$5:$BK$302,$AH74),0)))),IFERROR(M74/_xlpm.ly-1,""))))</f>
        <v/>
      </c>
      <c r="P74" s="40" t="str" cm="1">
        <f t="array" ref="P74">IF($AI74="","",IF(LEFT($AI74,2)="C|",IF($C74="","",SUMPRODUCT($AP$5:$AP$302*($AO$5:$AO$302=$A74),$AS$5:$AS$302)),IF($AI74="CT",P$13,IF(LEFT($AI74,3)="AM|",IF($C74="","",SUMPRODUCT($AP$5:$AP$302*($AN$5:$AN$302=$A74),$AS$5:$AS$302)),IF(LEFT($AI74,2)="S|",IF($AG74="","",INDEX($AS$5:$AS$302,$AH74)),IF($AI74="HDR","Trans TY",""))))))</f>
        <v/>
      </c>
      <c r="Q74" s="40" t="str" cm="1">
        <f t="array" ref="Q74">IF($AI74="","",IF(LEFT($AI74,2)="C|",IF($C74="","",SUMPRODUCT($AP$5:$AP$302*($AO$5:$AO$302=$A74),$AU$5:$AU$302)),IF($AI74="CT",Q$13,IF(LEFT($AI74,3)="AM|",IF($C74="","",SUMPRODUCT($AP$5:$AP$302*($AN$5:$AN$302=$A74),$AU$5:$AU$302)),IF(LEFT($AI74,2)="S|",IF($AG74="","",INDEX($AU$5:$AU$302,$AH74)),IF($AI74="HDR","Trans LY",""))))))</f>
        <v/>
      </c>
      <c r="R74" s="41" t="str">
        <f t="shared" si="51"/>
        <v/>
      </c>
      <c r="S74" s="41" t="str">
        <f t="shared" si="52"/>
        <v/>
      </c>
      <c r="T74" s="42" t="str">
        <f t="shared" si="53"/>
        <v/>
      </c>
      <c r="U74" s="42" t="str">
        <f t="shared" si="54"/>
        <v/>
      </c>
      <c r="V74" s="41" t="str">
        <f t="shared" si="55"/>
        <v/>
      </c>
      <c r="W74" s="40" t="str" cm="1">
        <f t="array" ref="W74">IF($AI74="","",IF(LEFT($AI74,2)="C|",_xlfn.LET(_xlpm.n,SUMPRODUCT($AP$5:$AP$302*($AO$5:$AO$302=$A74),$BB$5:$BB$302),IF(_xlpm.n=0,"",_xlpm.n)),IF($AI74="CT",W$13,IF(LEFT($AI74,3)="AM|",_xlfn.LET(_xlpm.n,SUMPRODUCT($AP$5:$AP$302*($AN$5:$AN$302=$A74),$BB$5:$BB$302),IF(_xlpm.n=0,"",_xlpm.n)),IF(LEFT($AI74,2)="S|",IF($AG74="","",_xlfn.LET(_xlpm.n,INDEX($BB$5:$BB$302,$AH74),IF(_xlpm.n=0,"",_xlpm.n))),IF($AI74="HDR","Footfall",""))))))</f>
        <v/>
      </c>
      <c r="X74" s="40" t="str" cm="1">
        <f t="array" ref="X74">IF($AI74="","",IF($AI74="HDR","Trans (FF stores)",IF(W74="","",IF(LEFT($AI74,2)="C|",SUMPRODUCT($AP$5:$AP$302*($AO$5:$AO$302=$A74),$BC$5:$BC$302),IF($AI74="CT",X$13,IF(LEFT($AI74,3)="AM|",SUMPRODUCT($AP$5:$AP$302*($AN$5:$AN$302=$A74),$BC$5:$BC$302),IF(LEFT($AI74,2)="S|",INDEX($BC$5:$BC$302,$AH74),"")))))))</f>
        <v/>
      </c>
      <c r="Y74" s="41" t="str">
        <f t="shared" si="44"/>
        <v/>
      </c>
      <c r="Z74" s="40" t="str" cm="1">
        <f t="array" ref="Z74">IF($AI74="","",IF(LEFT($AI74,2)="C|",IF($C74="","",SUMPRODUCT($AP$5:$AP$302*($AO$5:$AO$302=$A74),$CB$5:$CB$302)),IF($AI74="CT",Z$13,IF(LEFT($AI74,3)="AM|",IF($C74="","",SUMPRODUCT($AP$5:$AP$302*($AN$5:$AN$302=$A74),$CB$5:$CB$302)),IF(LEFT($AI74,2)="S|",IF($AG74="","",INDEX($CB$5:$CB$302,$AH74)),IF($AI74="HDR","Makeup Sales",""))))))</f>
        <v/>
      </c>
      <c r="AA74" s="41" t="str">
        <f t="shared" si="56"/>
        <v/>
      </c>
      <c r="AB74" s="40" t="str" cm="1">
        <f t="array" ref="AB74">IF($AI74="","",IF(LEFT($AI74,2)="C|",IF($C74="","",SUMPRODUCT($AP$5:$AP$302*($AO$5:$AO$302=$A74),$CK$5:$CK$302)),IF($AI74="CT",AB$13,IF(LEFT($AI74,3)="AM|",IF($C74="","",SUMPRODUCT($AP$5:$AP$302*($AN$5:$AN$302=$A74),$CK$5:$CK$302)),IF(LEFT($AI74,2)="S|",IF($AG74="","",INDEX($CK$5:$CK$302,$AH74)),IF($AI74="HDR","Makeup Target",""))))))</f>
        <v/>
      </c>
      <c r="AC74" s="41" t="str">
        <f t="shared" si="45"/>
        <v/>
      </c>
      <c r="AD74" s="40" t="str" cm="1">
        <f t="array" ref="AD74">IF($AI74="","",IF(LEFT($AI74,2)="C|",IF($C74="","",SUMPRODUCT($AP$5:$AP$302*($AO$5:$AO$302=$A74),$CI$5:$CI$302)),IF($AI74="CT",AD$13,IF(LEFT($AI74,3)="AM|",IF($C74="","",SUMPRODUCT($AP$5:$AP$302*($AN$5:$AN$302=$A74),$CI$5:$CI$302)),IF(LEFT($AI74,2)="S|",IF($AG74="","",INDEX($CI$5:$CI$302,$AH74)),IF($AI74="HDR","Cosmetic Sales",""))))))</f>
        <v/>
      </c>
      <c r="AE74" s="8" t="str" cm="1">
        <f t="array" ref="AE74">IF($AI74="","",IF(LEFT($AI74,2)="C|",IF($C74="","",SUMPRODUCT($AP$5:$AP$302*($AO$5:$AO$302=$A74)*$AQ$5:$AQ$302,$AR$5:$AR$302)),IF($AI74="CT",AE$13,IF(LEFT($AI74,3)="AM|",IF($C74="","",SUMPRODUCT($AP$5:$AP$302*($AN$5:$AN$302=$A74)*$AQ$5:$AQ$302,$AR$5:$AR$302)),IF(LEFT($AI74,2)="S|",IF($AG74="","",IF(INDEX($AQ$5:$AQ$302,$AH74)=1,D74,0)),IF($AI74="HDR","LFL Sales",""))))))</f>
        <v/>
      </c>
      <c r="AF74" s="8" t="str" cm="1">
        <f t="array" ref="AF74">IF($AI74="","",IF(LEFT($AI74,2)="C|",IF($C74="","",SUMPRODUCT($AP$5:$AP$302*($AO$5:$AO$302=$A74)*$AQ$5:$AQ$302,$AS$5:$AS$302)),IF($AI74="CT",AF$13,IF(LEFT($AI74,3)="AM|",IF($C74="","",SUMPRODUCT($AP$5:$AP$302*($AN$5:$AN$302=$A74)*$AQ$5:$AQ$302,$AS$5:$AS$302)),IF(LEFT($AI74,2)="S|",IF($AG74="","",IF(INDEX($AQ$5:$AQ$302,$AH74)=1,P74,0)),IF($AI74="HDR","LFL Trans",""))))))</f>
        <v/>
      </c>
      <c r="AG74" s="8" t="str" cm="1">
        <f t="array" ref="AG74">IF($AI74="","",IF(LEFT($AI74,2)="C|","",IF($AI74="CT","",IF(LEFT($AI74,3)="AM|","",IF(LEFT($AI74,2)="S|",IF($AH74="","",IF(INDEX($AP$5:$AP$302,$AH74)=1,1,"")),IF($AI74="HDR","Show",""))))))</f>
        <v/>
      </c>
      <c r="AH74" s="8" t="str">
        <f t="shared" si="57"/>
        <v/>
      </c>
      <c r="AI74" s="8"/>
      <c r="AN74" s="8" t="str" cm="1">
        <f t="array" ref="AN74">IF($AW74="","",_xlfn.LET(_xlpm.sa,IFERROR(TRIM(INDEX('Sales and count'!$D$4:$D$300,$BF74)&amp;""),""),_xlpm.ta,IFERROR(TRIM(INDEX('TY Sales Target'!$F$5:$F$300,$BG74)&amp;""),""),IF(AND(_xlpm.sa&lt;&gt;"",LEFT(_xlpm.sa,1)&lt;&gt;"#",_xlpm.sa&lt;&gt;"0"),_xlpm.sa,IF(AND(_xlpm.ta&lt;&gt;"",LEFT(_xlpm.ta,1)&lt;&gt;"#",_xlpm.ta&lt;&gt;"0"),_xlpm.ta,IF(ISNUMBER($BG74),"Unassigned","")))))</f>
        <v>Maram Zamzami</v>
      </c>
      <c r="AO74" s="8" t="str" cm="1">
        <f t="array" ref="AO74">IF($AW74="","",_xlfn.LET(_xlpm.sa,IFERROR(TRIM(INDEX('Sales and count'!$C$4:$C$300,$BF74)&amp;""),""),_xlpm.ta,IFERROR(TRIM(INDEX('TY Sales Target'!$D$5:$D$300,$BG74)&amp;""),""),IF(AND(_xlpm.sa&lt;&gt;"",LEFT(_xlpm.sa,1)&lt;&gt;"#",_xlpm.sa&lt;&gt;"0"),_xlpm.sa,IF(AND(_xlpm.ta&lt;&gt;"",LEFT(_xlpm.ta,1)&lt;&gt;"#",_xlpm.ta&lt;&gt;"0"),_xlpm.ta,""))))</f>
        <v>Makkah</v>
      </c>
      <c r="AP74" s="8">
        <f t="shared" si="60"/>
        <v>0</v>
      </c>
      <c r="AQ74" s="8">
        <f t="shared" si="61"/>
        <v>0</v>
      </c>
      <c r="AR74" s="8" cm="1">
        <f t="array" ref="AR74">IF($BF74="",0,_xlfn.LET(_xlpm.d,IFERROR(--'Sales and count'!$G$2:$CC$2,0),SUMPRODUCT(('Sales and count'!$G$3:$CC$3="Total")*(_xlpm.d&gt;=$U$4)*(_xlpm.d&lt;=$U$5),INDEX('Sales and count'!$G$4:$CC$300,$BF74,0))))</f>
        <v>98910.080000000002</v>
      </c>
      <c r="AS74" s="8" cm="1">
        <f t="array" aca="1" ref="AS74" ca="1">IF($BF74="",0,_xlfn.LET(_xlpm.d,IFERROR(--'Sales and count'!$F$2:$CB$2,0),SUMPRODUCT(('Sales and count'!$G$3:$CC$3="Transactions")*(_xlpm.d&gt;=$U$4)*(_xlpm.d&lt;=$U$5),INDEX('Sales and count'!$G$4:$CC$300,$BF74,0))))</f>
        <v>616</v>
      </c>
      <c r="AT74" s="8" cm="1">
        <f t="array" ref="AT74">IF($AW74="",0,SUMPRODUCT((TRIM('LY Sales '!$B$5:$B$200)=$AW74)*('LY Sales '!$C$2:$AG$2&gt;=EDATE($U$4,-12))*('LY Sales '!$C$2:$AG$2&lt;=EDATE($U$5,-12)),'LY Sales '!$C$5:$AG$200))</f>
        <v>0</v>
      </c>
      <c r="AU74" s="8" cm="1">
        <f t="array" ref="AU74">IF($AW74="",0,SUMPRODUCT((TRIM('LY Transaction'!$B$5:$B$200)=$AW74)*('LY Transaction'!$C$2:$AG$2&gt;=EDATE($U$4,-12))*('LY Transaction'!$C$2:$AG$2&lt;=EDATE($U$5,-12)),'LY Transaction'!$C$5:$AG$200))</f>
        <v>0</v>
      </c>
      <c r="AV74" s="8" cm="1">
        <f t="array" ref="AV74">IF(NOT(ISNUMBER($BG74)),0,SUMPRODUCT(('TY Sales Target'!$K$2:$AO$2&gt;=$U$4)*('TY Sales Target'!$K$2:$AO$2&lt;=$U$5),INDEX('TY Sales Target'!$K$5:$AO$300,$BG74,0)))</f>
        <v>153234.99308906466</v>
      </c>
      <c r="AW74" s="8" t="str" cm="1">
        <f t="array" ref="AW74">IFERROR(INDEX(_xlfn.ANCHORARRAY($BR$5),ROWS($AW$5:AW74)),"")</f>
        <v>HADANAMAK</v>
      </c>
      <c r="BB74" cm="1">
        <f t="array" ref="BB74">IF($AW74="",0,SUMPRODUCT((TRIM(Footfall!$B$5:$B$301)=$AW74)*(Footfall!$C$1:$BZ$1&gt;=$U$4)*(Footfall!$C$2:$BZ$2&lt;=$U$5)*(Footfall!$C$1:$BZ$1&lt;&gt;""),Footfall!$C$5:$BZ$301))</f>
        <v>5144</v>
      </c>
      <c r="BC74" cm="1">
        <f t="array" aca="1" ref="BC74" ca="1">IF(OR($BB74&lt;=0,$BD$1="",$BF74=""),0,_xlfn.LET(_xlpm.d,IFERROR(--'Sales and count'!$F$2:$CB$2,0),SUMPRODUCT(('Sales and count'!$G$3:$CC$3="Transactions")*(_xlpm.d&gt;=$BD$1)*(_xlpm.d&lt;=$BD$2),INDEX('Sales and count'!$G$4:$CC$300,$BF74,0))))</f>
        <v>616</v>
      </c>
      <c r="BF74" cm="1">
        <f t="array" ref="BF74">IF($AW74="","",IFERROR(MATCH($AW74,TRIM('Sales and count'!$A$4:$A$300&amp;""),0),""))</f>
        <v>70</v>
      </c>
      <c r="BG74" cm="1">
        <f t="array" ref="BG74">IF($AW74="","",IFERROR(MATCH(IFERROR(_xlfn.XLOOKUP($AW74,$BT$5:$BT$22,$BU$5:$BU$22),$AW74),TRIM('TY Sales Target'!$B$5:$B$300&amp;""),0),""))</f>
        <v>69</v>
      </c>
      <c r="BH74" t="str" cm="1">
        <f t="array" ref="BH74">IF(ISNUMBER($BG74),_xlfn.LET(_xlpm.p,TRIM(INDEX('TY Sales Target'!$I$5:$I$300,$BG74)&amp;""),IF(_xlpm.p="","Not set",_xlpm.p)),"Not set")</f>
        <v>Smart Phone</v>
      </c>
      <c r="BI74" cm="1">
        <f t="array" ref="BI74">IF($BF74="",0,_xlfn.LET(_xlpm.d,IFERROR(--'Sales and count'!$G$2:$CC$2,0),SUMPRODUCT(('Sales and count'!$G$3:$CC$3="Total")*(_xlpm.d&gt;=$BZ$5)*(_xlpm.d&lt;=$BZ$6),INDEX('Sales and count'!$G$4:$CC$300,$BF74,0))))</f>
        <v>98910.080000000002</v>
      </c>
      <c r="BJ74" cm="1">
        <f t="array" ref="BJ74">IF($AW74="",0,SUMPRODUCT((TRIM('LY Sales '!$B$5:$B$200)=$AW74)*('LY Sales '!$C$2:$AG$2&gt;=EDATE($BZ$5,-12))*('LY Sales '!$C$2:$AG$2&lt;=EDATE($BZ$6,-12)),'LY Sales '!$C$5:$AG$200))</f>
        <v>0</v>
      </c>
      <c r="BK74" cm="1">
        <f t="array" ref="BK74">IF($AW74="",0,SUMPRODUCT((TRIM('LY Sales '!$B$5:$B$200)=$AW74)*('LY Sales '!$C$2:$AG$2&gt;=EDATE($BZ$5,-12))*('LY Sales '!$C$2:$AG$2&lt;=EDATE($BZ$7,-12)),'LY Sales '!$C$5:$AG$200))</f>
        <v>0</v>
      </c>
      <c r="BL74" cm="1">
        <f t="array" ref="BL74">IF($AW74="",0,SUMPRODUCT((TRIM('LY Sales '!$B$5:$B$200)=$AW74)*('LY Sales '!$C$2:$AG$2&gt;=EDATE($BZ$5,-12))*('LY Sales '!$C$2:$AG$2&lt;=EDATE($BZ$6,-12))*('LY Sales '!$C$5:$AG$200&gt;0)))</f>
        <v>0</v>
      </c>
      <c r="BM74" cm="1">
        <f t="array" ref="BM74">IF(NOT(ISNUMBER($BG74)),0,SUMPRODUCT(('TY Sales Target'!$K$2:$AO$2&gt;=$BZ$5)*('TY Sales Target'!$K$2:$AO$2&lt;=$BZ$6),INDEX('TY Sales Target'!$K$5:$AO$300,$BG74,0)))</f>
        <v>153234.99308906466</v>
      </c>
      <c r="BN74" cm="1">
        <f t="array" ref="BN74">IF(NOT(ISNUMBER($BG74)),0,SUMPRODUCT(('TY Sales Target'!$K$2:$AO$2&gt;=$BZ$5)*('TY Sales Target'!$K$2:$AO$2&lt;=$BZ$7),INDEX('TY Sales Target'!$K$5:$AO$300,$BG74,0)))</f>
        <v>200000.00000000006</v>
      </c>
      <c r="BO74" cm="1">
        <f t="array" ref="BO74">IF($AW74="",0,IFERROR(_xlfn.SWITCH($BP74,"LY trend",$BI74*$BK74/$BJ74,"Target curve",$BI74*$BN74/$BM74,"Run rate",$BI74/$BZ$8*$BZ$9,0),0))</f>
        <v>129095.94343442246</v>
      </c>
      <c r="BP74" t="str">
        <f t="shared" si="59"/>
        <v>Target curve</v>
      </c>
      <c r="BR74" t="str">
        <v>HADANAMAK</v>
      </c>
      <c r="CB74" cm="1">
        <f t="array" ref="CB74">IF($AW74="",0,_xlfn.LET(_xlpm.k,IFERROR(_xlfn.XLOOKUP($AW74,$CD$6:$CD$21,$CE$6:$CE$21),$AW74),SUMPRODUCT((TRIM('Makeup '!$A$2:$A$300&amp;"")=_xlpm.k)*1,IFERROR('Makeup '!$F$2:$F$300*1,0))))</f>
        <v>7129.07</v>
      </c>
      <c r="CF74" t="str" cm="1">
        <f t="array" ref="CF74">IF($AW74="","",_xlfn.LET(_xlpm.c,IFERROR(TRIM(INDEX('Sales and count'!$B$4:$B$300,$BF74)&amp;""),""),IF(OR(_xlpm.c="",_xlpm.c="0",LEFT(_xlpm.c,1)="#"),"Not set",_xlpm.c)))</f>
        <v>KSA</v>
      </c>
      <c r="CH74" cm="1">
        <f t="array" ref="CH74">IF($AW74="",0,_xlfn.LET(_xlpm.k,IFERROR(_xlfn.XLOOKUP($AW74,$CD$6:$CD$21,$CE$6:$CE$21),$AW74),--(SUMPRODUCT((TRIM('Makeup '!$A$2:$A$300&amp;"")=_xlpm.k)*ISNUMBER('Makeup '!$F$2:$F$300))&gt;0)))</f>
        <v>1</v>
      </c>
      <c r="CI74">
        <f t="shared" si="62"/>
        <v>98910.080000000002</v>
      </c>
      <c r="CJ74" cm="1">
        <f t="array" ref="CJ74">IF($AW74="",0,--(SUMPRODUCT(--(TRIM(Footfall!$B$5:$B$301)=$AW74))&gt;0))</f>
        <v>1</v>
      </c>
      <c r="CK74" s="8" cm="1">
        <f t="array" ref="CK74">IF($AW74="",0,_xlfn.LET(_xlpm.r,IFERROR(MATCH(IFERROR(_xlfn.XLOOKUP($AW74,$BT$5:$BT$22,$BU$5:$BU$22),$AW74),TRIM('TY Beauty Target'!$B$5:$B$300&amp;""),0),""),IF(ISNUMBER(_xlpm.r),SUMPRODUCT(('TY Beauty Target'!$L$2:$AP$2&gt;=$U$4)*('TY Beauty Target'!$L$2:$AP$2&lt;=$U$5),INDEX('TY Beauty Target'!$L$5:$AP$300,_xlpm.r,0)),0)))</f>
        <v>9141.7264839408417</v>
      </c>
    </row>
    <row r="75" spans="1:89" ht="15" customHeight="1" x14ac:dyDescent="0.25">
      <c r="A75" s="38" t="str">
        <f t="shared" si="58"/>
        <v/>
      </c>
      <c r="B75" s="43" t="str" cm="1">
        <f t="array" ref="B75">IF($AI75="","",IF(LEFT($AI75,2)="C|",IF($C75="","",_xlfn.TEXTJOIN(", ",TRUE,_xlfn.UNIQUE(_xlfn._xlws.FILTER($AN$5:$AN$302,($AP$5:$AP$302=1)*($AO$5:$AO$302=$A75))))),IF($AI75="CT",B$13,IF(LEFT($AI75,3)="AM|",IF($C75="","",ROWS(_xlfn.UNIQUE(_xlfn._xlws.FILTER($AO$5:$AO$302,($AP$5:$AP$302=1)*($AN$5:$AN$302=$A75))))),IF(LEFT($AI75,2)="S|",IF($AG75="","",INDEX($AO$5:$AO$302,$AH75)),IF($AI75="HDR","City",""))))))</f>
        <v/>
      </c>
      <c r="C75" s="39" t="str" cm="1">
        <f t="array" ref="C75">IF($AI75="","",IF(LEFT($AI75,2)="C|",_xlfn.LET(_xlpm.n,SUMPRODUCT($AP$5:$AP$302*($AO$5:$AO$302=$A75)),IF(_xlpm.n=0,"",_xlpm.n)),IF($AI75="CT",C$13,IF(LEFT($AI75,3)="AM|",_xlfn.LET(_xlpm.n,SUMPRODUCT($AP$5:$AP$302*($AN$5:$AN$302=$A75)),IF(_xlpm.n=0,"",_xlpm.n)),IF(LEFT($AI75,2)="S|","",IF($AI75="HDR","# Stores",""))))))</f>
        <v/>
      </c>
      <c r="D75" s="40" t="str" cm="1">
        <f t="array" ref="D75">IF($AI75="","",IF(LEFT($AI75,2)="C|",IF($C75="","",SUMPRODUCT($AP$5:$AP$302*($AO$5:$AO$302=$A75),$AR$5:$AR$302)),IF($AI75="CT",D$13,IF(LEFT($AI75,3)="AM|",IF($C75="","",SUMPRODUCT($AP$5:$AP$302*($AN$5:$AN$302=$A75),$AR$5:$AR$302)),IF(LEFT($AI75,2)="S|",IF($AG75="","",INDEX($AR$5:$AR$302,$AH75)),IF($AI75="HDR","Sales TY",""))))))</f>
        <v/>
      </c>
      <c r="E75" s="40" t="str" cm="1">
        <f t="array" ref="E75">IF($AI75="","",IF(LEFT($AI75,2)="C|",IF($C75="","",SUMPRODUCT($AP$5:$AP$302*($AO$5:$AO$302=$A75),$AT$5:$AT$302)),IF($AI75="CT",E$13,IF(LEFT($AI75,3)="AM|",IF($C75="","",SUMPRODUCT($AP$5:$AP$302*($AN$5:$AN$302=$A75),$AT$5:$AT$302)),IF(LEFT($AI75,2)="S|",IF($AG75="","",INDEX($AT$5:$AT$302,$AH75)),IF($AI75="HDR","Sales LY",""))))))</f>
        <v/>
      </c>
      <c r="F75" s="41" t="str">
        <f t="shared" si="46"/>
        <v/>
      </c>
      <c r="G75" s="41" t="str">
        <f t="shared" si="47"/>
        <v/>
      </c>
      <c r="H75" s="40" t="str" cm="1">
        <f t="array" ref="H75">IF($AI75="","",IF(LEFT($AI75,2)="C|",IF($C75="","",SUMPRODUCT($AP$5:$AP$302*($AO$5:$AO$302=$A75),$AV$5:$AV$302)),IF($AI75="CT",H$13,IF(LEFT($AI75,3)="AM|",IF($C75="","",SUMPRODUCT($AP$5:$AP$302*($AN$5:$AN$302=$A75),$AV$5:$AV$302)),IF(LEFT($AI75,2)="S|",IF($AG75="","",INDEX($AV$5:$AV$302,$AH75)),IF($AI75="HDR","Target",""))))))</f>
        <v/>
      </c>
      <c r="I75" s="41" t="str">
        <f t="shared" si="48"/>
        <v/>
      </c>
      <c r="J75" s="40" t="str">
        <f t="shared" si="49"/>
        <v/>
      </c>
      <c r="K75" s="41" t="str">
        <f t="shared" si="50"/>
        <v/>
      </c>
      <c r="L75" s="40" t="str" cm="1">
        <f t="array" ref="L75">IF($AI75="","",IF(LEFT($AI75,2)="C|",IF($C75="","",SUMPRODUCT($AP$5:$AP$302*($AO$5:$AO$302=$A75),$BN$5:$BN$302)),IF($AI75="CT",L$13,IF(LEFT($AI75,3)="AM|",IF($C75="","",SUMPRODUCT($AP$5:$AP$302*($AN$5:$AN$302=$A75),$BN$5:$BN$302)),IF(LEFT($AI75,2)="S|",IF($AG75="","",INDEX($BN$5:$BN$302,$AH75)),IF($AI75="HDR","Month Target",""))))))</f>
        <v/>
      </c>
      <c r="M75" s="40" t="str" cm="1">
        <f t="array" ref="M75">IF($AI75="","",IF(LEFT($AI75,2)="C|",IF($C75="","",SUMPRODUCT($AP$5:$AP$302*($AO$5:$AO$302=$A75),$BO$5:$BO$302)),IF($AI75="CT",M$13,IF(LEFT($AI75,3)="AM|",IF($C75="","",SUMPRODUCT($AP$5:$AP$302*($AN$5:$AN$302=$A75),$BO$5:$BO$302)),IF(LEFT($AI75,2)="S|",IF($AG75="","",INDEX($BO$5:$BO$302,$AH75)),IF($AI75="HDR","Projected Close",""))))))</f>
        <v/>
      </c>
      <c r="N75" s="41" t="str">
        <f t="shared" si="43"/>
        <v/>
      </c>
      <c r="O75" s="41" t="str" cm="1">
        <f t="array" ref="O75">IF($AI75="HDR","Proj. vs LY",IF(OR($AI75="",M75=""),"",_xlfn.LET(_xlpm.ly,IF(LEFT($AI75,2)="C|",SUMPRODUCT($AP$5:$AP$302*($AO$5:$AO$302=$A75),$BK$5:$BK$302),IF($AI75="CT",SUMPRODUCT($AP$5:$AP$302,$BK$5:$BK$302),IF(LEFT($AI75,3)="AM|",SUMPRODUCT($AP$5:$AP$302*($AN$5:$AN$302=$A75),$BK$5:$BK$302),IF(LEFT($AI75,2)="S|",INDEX($BK$5:$BK$302,$AH75),0)))),IFERROR(M75/_xlpm.ly-1,""))))</f>
        <v/>
      </c>
      <c r="P75" s="40" t="str" cm="1">
        <f t="array" ref="P75">IF($AI75="","",IF(LEFT($AI75,2)="C|",IF($C75="","",SUMPRODUCT($AP$5:$AP$302*($AO$5:$AO$302=$A75),$AS$5:$AS$302)),IF($AI75="CT",P$13,IF(LEFT($AI75,3)="AM|",IF($C75="","",SUMPRODUCT($AP$5:$AP$302*($AN$5:$AN$302=$A75),$AS$5:$AS$302)),IF(LEFT($AI75,2)="S|",IF($AG75="","",INDEX($AS$5:$AS$302,$AH75)),IF($AI75="HDR","Trans TY",""))))))</f>
        <v/>
      </c>
      <c r="Q75" s="40" t="str" cm="1">
        <f t="array" ref="Q75">IF($AI75="","",IF(LEFT($AI75,2)="C|",IF($C75="","",SUMPRODUCT($AP$5:$AP$302*($AO$5:$AO$302=$A75),$AU$5:$AU$302)),IF($AI75="CT",Q$13,IF(LEFT($AI75,3)="AM|",IF($C75="","",SUMPRODUCT($AP$5:$AP$302*($AN$5:$AN$302=$A75),$AU$5:$AU$302)),IF(LEFT($AI75,2)="S|",IF($AG75="","",INDEX($AU$5:$AU$302,$AH75)),IF($AI75="HDR","Trans LY",""))))))</f>
        <v/>
      </c>
      <c r="R75" s="41" t="str">
        <f t="shared" si="51"/>
        <v/>
      </c>
      <c r="S75" s="41" t="str">
        <f t="shared" si="52"/>
        <v/>
      </c>
      <c r="T75" s="42" t="str">
        <f t="shared" si="53"/>
        <v/>
      </c>
      <c r="U75" s="42" t="str">
        <f t="shared" si="54"/>
        <v/>
      </c>
      <c r="V75" s="41" t="str">
        <f t="shared" si="55"/>
        <v/>
      </c>
      <c r="W75" s="40" t="str" cm="1">
        <f t="array" ref="W75">IF($AI75="","",IF(LEFT($AI75,2)="C|",_xlfn.LET(_xlpm.n,SUMPRODUCT($AP$5:$AP$302*($AO$5:$AO$302=$A75),$BB$5:$BB$302),IF(_xlpm.n=0,"",_xlpm.n)),IF($AI75="CT",W$13,IF(LEFT($AI75,3)="AM|",_xlfn.LET(_xlpm.n,SUMPRODUCT($AP$5:$AP$302*($AN$5:$AN$302=$A75),$BB$5:$BB$302),IF(_xlpm.n=0,"",_xlpm.n)),IF(LEFT($AI75,2)="S|",IF($AG75="","",_xlfn.LET(_xlpm.n,INDEX($BB$5:$BB$302,$AH75),IF(_xlpm.n=0,"",_xlpm.n))),IF($AI75="HDR","Footfall",""))))))</f>
        <v/>
      </c>
      <c r="X75" s="40" t="str" cm="1">
        <f t="array" ref="X75">IF($AI75="","",IF($AI75="HDR","Trans (FF stores)",IF(W75="","",IF(LEFT($AI75,2)="C|",SUMPRODUCT($AP$5:$AP$302*($AO$5:$AO$302=$A75),$BC$5:$BC$302),IF($AI75="CT",X$13,IF(LEFT($AI75,3)="AM|",SUMPRODUCT($AP$5:$AP$302*($AN$5:$AN$302=$A75),$BC$5:$BC$302),IF(LEFT($AI75,2)="S|",INDEX($BC$5:$BC$302,$AH75),"")))))))</f>
        <v/>
      </c>
      <c r="Y75" s="41" t="str">
        <f t="shared" si="44"/>
        <v/>
      </c>
      <c r="Z75" s="40" t="str" cm="1">
        <f t="array" ref="Z75">IF($AI75="","",IF(LEFT($AI75,2)="C|",IF($C75="","",SUMPRODUCT($AP$5:$AP$302*($AO$5:$AO$302=$A75),$CB$5:$CB$302)),IF($AI75="CT",Z$13,IF(LEFT($AI75,3)="AM|",IF($C75="","",SUMPRODUCT($AP$5:$AP$302*($AN$5:$AN$302=$A75),$CB$5:$CB$302)),IF(LEFT($AI75,2)="S|",IF($AG75="","",INDEX($CB$5:$CB$302,$AH75)),IF($AI75="HDR","Makeup Sales",""))))))</f>
        <v/>
      </c>
      <c r="AA75" s="41" t="str">
        <f t="shared" si="56"/>
        <v/>
      </c>
      <c r="AB75" s="40" t="str" cm="1">
        <f t="array" ref="AB75">IF($AI75="","",IF(LEFT($AI75,2)="C|",IF($C75="","",SUMPRODUCT($AP$5:$AP$302*($AO$5:$AO$302=$A75),$CK$5:$CK$302)),IF($AI75="CT",AB$13,IF(LEFT($AI75,3)="AM|",IF($C75="","",SUMPRODUCT($AP$5:$AP$302*($AN$5:$AN$302=$A75),$CK$5:$CK$302)),IF(LEFT($AI75,2)="S|",IF($AG75="","",INDEX($CK$5:$CK$302,$AH75)),IF($AI75="HDR","Makeup Target",""))))))</f>
        <v/>
      </c>
      <c r="AC75" s="41" t="str">
        <f t="shared" si="45"/>
        <v/>
      </c>
      <c r="AD75" s="40" t="str" cm="1">
        <f t="array" ref="AD75">IF($AI75="","",IF(LEFT($AI75,2)="C|",IF($C75="","",SUMPRODUCT($AP$5:$AP$302*($AO$5:$AO$302=$A75),$CI$5:$CI$302)),IF($AI75="CT",AD$13,IF(LEFT($AI75,3)="AM|",IF($C75="","",SUMPRODUCT($AP$5:$AP$302*($AN$5:$AN$302=$A75),$CI$5:$CI$302)),IF(LEFT($AI75,2)="S|",IF($AG75="","",INDEX($CI$5:$CI$302,$AH75)),IF($AI75="HDR","Cosmetic Sales",""))))))</f>
        <v/>
      </c>
      <c r="AE75" s="8" t="str" cm="1">
        <f t="array" ref="AE75">IF($AI75="","",IF(LEFT($AI75,2)="C|",IF($C75="","",SUMPRODUCT($AP$5:$AP$302*($AO$5:$AO$302=$A75)*$AQ$5:$AQ$302,$AR$5:$AR$302)),IF($AI75="CT",AE$13,IF(LEFT($AI75,3)="AM|",IF($C75="","",SUMPRODUCT($AP$5:$AP$302*($AN$5:$AN$302=$A75)*$AQ$5:$AQ$302,$AR$5:$AR$302)),IF(LEFT($AI75,2)="S|",IF($AG75="","",IF(INDEX($AQ$5:$AQ$302,$AH75)=1,D75,0)),IF($AI75="HDR","LFL Sales",""))))))</f>
        <v/>
      </c>
      <c r="AF75" s="8" t="str" cm="1">
        <f t="array" ref="AF75">IF($AI75="","",IF(LEFT($AI75,2)="C|",IF($C75="","",SUMPRODUCT($AP$5:$AP$302*($AO$5:$AO$302=$A75)*$AQ$5:$AQ$302,$AS$5:$AS$302)),IF($AI75="CT",AF$13,IF(LEFT($AI75,3)="AM|",IF($C75="","",SUMPRODUCT($AP$5:$AP$302*($AN$5:$AN$302=$A75)*$AQ$5:$AQ$302,$AS$5:$AS$302)),IF(LEFT($AI75,2)="S|",IF($AG75="","",IF(INDEX($AQ$5:$AQ$302,$AH75)=1,P75,0)),IF($AI75="HDR","LFL Trans",""))))))</f>
        <v/>
      </c>
      <c r="AG75" s="8" t="str" cm="1">
        <f t="array" ref="AG75">IF($AI75="","",IF(LEFT($AI75,2)="C|","",IF($AI75="CT","",IF(LEFT($AI75,3)="AM|","",IF(LEFT($AI75,2)="S|",IF($AH75="","",IF(INDEX($AP$5:$AP$302,$AH75)=1,1,"")),IF($AI75="HDR","Show",""))))))</f>
        <v/>
      </c>
      <c r="AH75" s="8" t="str">
        <f t="shared" si="57"/>
        <v/>
      </c>
      <c r="AI75" s="8"/>
      <c r="AN75" s="8" t="str" cm="1">
        <f t="array" ref="AN75">IF($AW75="","",_xlfn.LET(_xlpm.sa,IFERROR(TRIM(INDEX('Sales and count'!$D$4:$D$300,$BF75)&amp;""),""),_xlpm.ta,IFERROR(TRIM(INDEX('TY Sales Target'!$F$5:$F$300,$BG75)&amp;""),""),IF(AND(_xlpm.sa&lt;&gt;"",LEFT(_xlpm.sa,1)&lt;&gt;"#",_xlpm.sa&lt;&gt;"0"),_xlpm.sa,IF(AND(_xlpm.ta&lt;&gt;"",LEFT(_xlpm.ta,1)&lt;&gt;"#",_xlpm.ta&lt;&gt;"0"),_xlpm.ta,IF(ISNUMBER($BG75),"Unassigned","")))))</f>
        <v>Lina Al Ghathami</v>
      </c>
      <c r="AO75" s="8" t="str" cm="1">
        <f t="array" ref="AO75">IF($AW75="","",_xlfn.LET(_xlpm.sa,IFERROR(TRIM(INDEX('Sales and count'!$C$4:$C$300,$BF75)&amp;""),""),_xlpm.ta,IFERROR(TRIM(INDEX('TY Sales Target'!$D$5:$D$300,$BG75)&amp;""),""),IF(AND(_xlpm.sa&lt;&gt;"",LEFT(_xlpm.sa,1)&lt;&gt;"#",_xlpm.sa&lt;&gt;"0"),_xlpm.sa,IF(AND(_xlpm.ta&lt;&gt;"",LEFT(_xlpm.ta,1)&lt;&gt;"#",_xlpm.ta&lt;&gt;"0"),_xlpm.ta,""))))</f>
        <v>Muthnab</v>
      </c>
      <c r="AP75" s="8">
        <f t="shared" si="60"/>
        <v>0</v>
      </c>
      <c r="AQ75" s="8">
        <f t="shared" si="61"/>
        <v>1</v>
      </c>
      <c r="AR75" s="8" cm="1">
        <f t="array" ref="AR75">IF($BF75="",0,_xlfn.LET(_xlpm.d,IFERROR(--'Sales and count'!$G$2:$CC$2,0),SUMPRODUCT(('Sales and count'!$G$3:$CC$3="Total")*(_xlpm.d&gt;=$U$4)*(_xlpm.d&lt;=$U$5),INDEX('Sales and count'!$G$4:$CC$300,$BF75,0))))</f>
        <v>16631.240000000002</v>
      </c>
      <c r="AS75" s="8" cm="1">
        <f t="array" aca="1" ref="AS75" ca="1">IF($BF75="",0,_xlfn.LET(_xlpm.d,IFERROR(--'Sales and count'!$F$2:$CB$2,0),SUMPRODUCT(('Sales and count'!$G$3:$CC$3="Transactions")*(_xlpm.d&gt;=$U$4)*(_xlpm.d&lt;=$U$5),INDEX('Sales and count'!$G$4:$CC$300,$BF75,0))))</f>
        <v>149</v>
      </c>
      <c r="AT75" s="8" cm="1">
        <f t="array" ref="AT75">IF($AW75="",0,SUMPRODUCT((TRIM('LY Sales '!$B$5:$B$200)=$AW75)*('LY Sales '!$C$2:$AG$2&gt;=EDATE($U$4,-12))*('LY Sales '!$C$2:$AG$2&lt;=EDATE($U$5,-12)),'LY Sales '!$C$5:$AG$200))</f>
        <v>20250.310000000001</v>
      </c>
      <c r="AU75" s="8" cm="1">
        <f t="array" ref="AU75">IF($AW75="",0,SUMPRODUCT((TRIM('LY Transaction'!$B$5:$B$200)=$AW75)*('LY Transaction'!$C$2:$AG$2&gt;=EDATE($U$4,-12))*('LY Transaction'!$C$2:$AG$2&lt;=EDATE($U$5,-12)),'LY Transaction'!$C$5:$AG$200))</f>
        <v>179</v>
      </c>
      <c r="AV75" s="8" cm="1">
        <f t="array" ref="AV75">IF(NOT(ISNUMBER($BG75)),0,SUMPRODUCT(('TY Sales Target'!$K$2:$AO$2&gt;=$U$4)*('TY Sales Target'!$K$2:$AO$2&lt;=$U$5),INDEX('TY Sales Target'!$K$5:$AO$300,$BG75,0)))</f>
        <v>31413.173583258249</v>
      </c>
      <c r="AW75" s="8" t="str" cm="1">
        <f t="array" ref="AW75">IFERROR(INDEX(_xlfn.ANCHORARRAY($BR$5),ROWS($AW$5:AW75)),"")</f>
        <v>HAOTHMTH</v>
      </c>
      <c r="BB75" cm="1">
        <f t="array" ref="BB75">IF($AW75="",0,SUMPRODUCT((TRIM(Footfall!$B$5:$B$301)=$AW75)*(Footfall!$C$1:$BZ$1&gt;=$U$4)*(Footfall!$C$2:$BZ$2&lt;=$U$5)*(Footfall!$C$1:$BZ$1&lt;&gt;""),Footfall!$C$5:$BZ$301))</f>
        <v>0</v>
      </c>
      <c r="BC75" cm="1">
        <f t="array" ref="BC75">IF(OR($BB75&lt;=0,$BD$1="",$BF75=""),0,_xlfn.LET(_xlpm.d,IFERROR(--'Sales and count'!$F$2:$CB$2,0),SUMPRODUCT(('Sales and count'!$G$3:$CC$3="Transactions")*(_xlpm.d&gt;=$BD$1)*(_xlpm.d&lt;=$BD$2),INDEX('Sales and count'!$G$4:$CC$300,$BF75,0))))</f>
        <v>0</v>
      </c>
      <c r="BF75" cm="1">
        <f t="array" ref="BF75">IF($AW75="","",IFERROR(MATCH($AW75,TRIM('Sales and count'!$A$4:$A$300&amp;""),0),""))</f>
        <v>71</v>
      </c>
      <c r="BG75" cm="1">
        <f t="array" ref="BG75">IF($AW75="","",IFERROR(MATCH(IFERROR(_xlfn.XLOOKUP($AW75,$BT$5:$BT$22,$BU$5:$BU$22),$AW75),TRIM('TY Sales Target'!$B$5:$B$300&amp;""),0),""))</f>
        <v>115</v>
      </c>
      <c r="BH75" t="str" cm="1">
        <f t="array" ref="BH75">IF(ISNUMBER($BG75),_xlfn.LET(_xlpm.p,TRIM(INDEX('TY Sales Target'!$I$5:$I$300,$BG75)&amp;""),IF(_xlpm.p="","Not set",_xlpm.p)),"Not set")</f>
        <v>Gold Bar</v>
      </c>
      <c r="BI75" cm="1">
        <f t="array" ref="BI75">IF($BF75="",0,_xlfn.LET(_xlpm.d,IFERROR(--'Sales and count'!$G$2:$CC$2,0),SUMPRODUCT(('Sales and count'!$G$3:$CC$3="Total")*(_xlpm.d&gt;=$BZ$5)*(_xlpm.d&lt;=$BZ$6),INDEX('Sales and count'!$G$4:$CC$300,$BF75,0))))</f>
        <v>16631.240000000002</v>
      </c>
      <c r="BJ75" cm="1">
        <f t="array" ref="BJ75">IF($AW75="",0,SUMPRODUCT((TRIM('LY Sales '!$B$5:$B$200)=$AW75)*('LY Sales '!$C$2:$AG$2&gt;=EDATE($BZ$5,-12))*('LY Sales '!$C$2:$AG$2&lt;=EDATE($BZ$6,-12)),'LY Sales '!$C$5:$AG$200))</f>
        <v>20250.310000000001</v>
      </c>
      <c r="BK75" cm="1">
        <f t="array" ref="BK75">IF($AW75="",0,SUMPRODUCT((TRIM('LY Sales '!$B$5:$B$200)=$AW75)*('LY Sales '!$C$2:$AG$2&gt;=EDATE($BZ$5,-12))*('LY Sales '!$C$2:$AG$2&lt;=EDATE($BZ$7,-12)),'LY Sales '!$C$5:$AG$200))</f>
        <v>29971.399999999998</v>
      </c>
      <c r="BL75" cm="1">
        <f t="array" ref="BL75">IF($AW75="",0,SUMPRODUCT((TRIM('LY Sales '!$B$5:$B$200)=$AW75)*('LY Sales '!$C$2:$AG$2&gt;=EDATE($BZ$5,-12))*('LY Sales '!$C$2:$AG$2&lt;=EDATE($BZ$6,-12))*('LY Sales '!$C$5:$AG$200&gt;0)))</f>
        <v>17</v>
      </c>
      <c r="BM75" cm="1">
        <f t="array" ref="BM75">IF(NOT(ISNUMBER($BG75)),0,SUMPRODUCT(('TY Sales Target'!$K$2:$AO$2&gt;=$BZ$5)*('TY Sales Target'!$K$2:$AO$2&lt;=$BZ$6),INDEX('TY Sales Target'!$K$5:$AO$300,$BG75,0)))</f>
        <v>31413.173583258249</v>
      </c>
      <c r="BN75" cm="1">
        <f t="array" ref="BN75">IF(NOT(ISNUMBER($BG75)),0,SUMPRODUCT(('TY Sales Target'!$K$2:$AO$2&gt;=$BZ$5)*('TY Sales Target'!$K$2:$AO$2&lt;=$BZ$7),INDEX('TY Sales Target'!$K$5:$AO$300,$BG75,0)))</f>
        <v>41000</v>
      </c>
      <c r="BO75" cm="1">
        <f t="array" ref="BO75">IF($AW75="",0,IFERROR(_xlfn.SWITCH($BP75,"LY trend",$BI75*$BK75/$BJ75,"Target curve",$BI75*$BN75/$BM75,"Run rate",$BI75/$BZ$8*$BZ$9,0),0))</f>
        <v>21706.843410543235</v>
      </c>
      <c r="BP75" t="str">
        <f t="shared" si="59"/>
        <v>Target curve</v>
      </c>
      <c r="BR75" t="str">
        <v>HAOTHMTH</v>
      </c>
      <c r="CB75" cm="1">
        <f t="array" ref="CB75">IF($AW75="",0,_xlfn.LET(_xlpm.k,IFERROR(_xlfn.XLOOKUP($AW75,$CD$6:$CD$21,$CE$6:$CE$21),$AW75),SUMPRODUCT((TRIM('Makeup '!$A$2:$A$300&amp;"")=_xlpm.k)*1,IFERROR('Makeup '!$F$2:$F$300*1,0))))</f>
        <v>1370.19</v>
      </c>
      <c r="CF75" t="str" cm="1">
        <f t="array" ref="CF75">IF($AW75="","",_xlfn.LET(_xlpm.c,IFERROR(TRIM(INDEX('Sales and count'!$B$4:$B$300,$BF75)&amp;""),""),IF(OR(_xlpm.c="",_xlpm.c="0",LEFT(_xlpm.c,1)="#"),"Not set",_xlpm.c)))</f>
        <v>KSA</v>
      </c>
      <c r="CH75" cm="1">
        <f t="array" ref="CH75">IF($AW75="",0,_xlfn.LET(_xlpm.k,IFERROR(_xlfn.XLOOKUP($AW75,$CD$6:$CD$21,$CE$6:$CE$21),$AW75),--(SUMPRODUCT((TRIM('Makeup '!$A$2:$A$300&amp;"")=_xlpm.k)*ISNUMBER('Makeup '!$F$2:$F$300))&gt;0)))</f>
        <v>1</v>
      </c>
      <c r="CI75">
        <f t="shared" si="62"/>
        <v>16631.240000000002</v>
      </c>
      <c r="CJ75" cm="1">
        <f t="array" ref="CJ75">IF($AW75="",0,--(SUMPRODUCT(--(TRIM(Footfall!$B$5:$B$301)=$AW75))&gt;0))</f>
        <v>0</v>
      </c>
      <c r="CK75" s="8" cm="1">
        <f t="array" ref="CK75">IF($AW75="",0,_xlfn.LET(_xlpm.r,IFERROR(MATCH(IFERROR(_xlfn.XLOOKUP($AW75,$BT$5:$BT$22,$BU$5:$BU$22),$AW75),TRIM('TY Beauty Target'!$B$5:$B$300&amp;""),0),""),IF(ISNUMBER(_xlpm.r),SUMPRODUCT(('TY Beauty Target'!$L$2:$AP$2&gt;=$U$4)*('TY Beauty Target'!$L$2:$AP$2&lt;=$U$5),INDEX('TY Beauty Target'!$L$5:$AP$300,_xlpm.r,0)),0)))</f>
        <v>3388.0652564958109</v>
      </c>
    </row>
    <row r="76" spans="1:89" ht="15" customHeight="1" x14ac:dyDescent="0.25">
      <c r="A76" s="38" t="str">
        <f t="shared" si="58"/>
        <v/>
      </c>
      <c r="B76" s="43" t="str" cm="1">
        <f t="array" ref="B76">IF($AI76="","",IF(LEFT($AI76,2)="C|",IF($C76="","",_xlfn.TEXTJOIN(", ",TRUE,_xlfn.UNIQUE(_xlfn._xlws.FILTER($AN$5:$AN$302,($AP$5:$AP$302=1)*($AO$5:$AO$302=$A76))))),IF($AI76="CT",B$13,IF(LEFT($AI76,3)="AM|",IF($C76="","",ROWS(_xlfn.UNIQUE(_xlfn._xlws.FILTER($AO$5:$AO$302,($AP$5:$AP$302=1)*($AN$5:$AN$302=$A76))))),IF(LEFT($AI76,2)="S|",IF($AG76="","",INDEX($AO$5:$AO$302,$AH76)),IF($AI76="HDR","City",""))))))</f>
        <v/>
      </c>
      <c r="C76" s="39" t="str" cm="1">
        <f t="array" ref="C76">IF($AI76="","",IF(LEFT($AI76,2)="C|",_xlfn.LET(_xlpm.n,SUMPRODUCT($AP$5:$AP$302*($AO$5:$AO$302=$A76)),IF(_xlpm.n=0,"",_xlpm.n)),IF($AI76="CT",C$13,IF(LEFT($AI76,3)="AM|",_xlfn.LET(_xlpm.n,SUMPRODUCT($AP$5:$AP$302*($AN$5:$AN$302=$A76)),IF(_xlpm.n=0,"",_xlpm.n)),IF(LEFT($AI76,2)="S|","",IF($AI76="HDR","# Stores",""))))))</f>
        <v/>
      </c>
      <c r="D76" s="40" t="str" cm="1">
        <f t="array" ref="D76">IF($AI76="","",IF(LEFT($AI76,2)="C|",IF($C76="","",SUMPRODUCT($AP$5:$AP$302*($AO$5:$AO$302=$A76),$AR$5:$AR$302)),IF($AI76="CT",D$13,IF(LEFT($AI76,3)="AM|",IF($C76="","",SUMPRODUCT($AP$5:$AP$302*($AN$5:$AN$302=$A76),$AR$5:$AR$302)),IF(LEFT($AI76,2)="S|",IF($AG76="","",INDEX($AR$5:$AR$302,$AH76)),IF($AI76="HDR","Sales TY",""))))))</f>
        <v/>
      </c>
      <c r="E76" s="40" t="str" cm="1">
        <f t="array" ref="E76">IF($AI76="","",IF(LEFT($AI76,2)="C|",IF($C76="","",SUMPRODUCT($AP$5:$AP$302*($AO$5:$AO$302=$A76),$AT$5:$AT$302)),IF($AI76="CT",E$13,IF(LEFT($AI76,3)="AM|",IF($C76="","",SUMPRODUCT($AP$5:$AP$302*($AN$5:$AN$302=$A76),$AT$5:$AT$302)),IF(LEFT($AI76,2)="S|",IF($AG76="","",INDEX($AT$5:$AT$302,$AH76)),IF($AI76="HDR","Sales LY",""))))))</f>
        <v/>
      </c>
      <c r="F76" s="41" t="str">
        <f t="shared" si="46"/>
        <v/>
      </c>
      <c r="G76" s="41" t="str">
        <f t="shared" si="47"/>
        <v/>
      </c>
      <c r="H76" s="40" t="str" cm="1">
        <f t="array" ref="H76">IF($AI76="","",IF(LEFT($AI76,2)="C|",IF($C76="","",SUMPRODUCT($AP$5:$AP$302*($AO$5:$AO$302=$A76),$AV$5:$AV$302)),IF($AI76="CT",H$13,IF(LEFT($AI76,3)="AM|",IF($C76="","",SUMPRODUCT($AP$5:$AP$302*($AN$5:$AN$302=$A76),$AV$5:$AV$302)),IF(LEFT($AI76,2)="S|",IF($AG76="","",INDEX($AV$5:$AV$302,$AH76)),IF($AI76="HDR","Target",""))))))</f>
        <v/>
      </c>
      <c r="I76" s="41" t="str">
        <f t="shared" si="48"/>
        <v/>
      </c>
      <c r="J76" s="40" t="str">
        <f t="shared" si="49"/>
        <v/>
      </c>
      <c r="K76" s="41" t="str">
        <f t="shared" si="50"/>
        <v/>
      </c>
      <c r="L76" s="40" t="str" cm="1">
        <f t="array" ref="L76">IF($AI76="","",IF(LEFT($AI76,2)="C|",IF($C76="","",SUMPRODUCT($AP$5:$AP$302*($AO$5:$AO$302=$A76),$BN$5:$BN$302)),IF($AI76="CT",L$13,IF(LEFT($AI76,3)="AM|",IF($C76="","",SUMPRODUCT($AP$5:$AP$302*($AN$5:$AN$302=$A76),$BN$5:$BN$302)),IF(LEFT($AI76,2)="S|",IF($AG76="","",INDEX($BN$5:$BN$302,$AH76)),IF($AI76="HDR","Month Target",""))))))</f>
        <v/>
      </c>
      <c r="M76" s="40" t="str" cm="1">
        <f t="array" ref="M76">IF($AI76="","",IF(LEFT($AI76,2)="C|",IF($C76="","",SUMPRODUCT($AP$5:$AP$302*($AO$5:$AO$302=$A76),$BO$5:$BO$302)),IF($AI76="CT",M$13,IF(LEFT($AI76,3)="AM|",IF($C76="","",SUMPRODUCT($AP$5:$AP$302*($AN$5:$AN$302=$A76),$BO$5:$BO$302)),IF(LEFT($AI76,2)="S|",IF($AG76="","",INDEX($BO$5:$BO$302,$AH76)),IF($AI76="HDR","Projected Close",""))))))</f>
        <v/>
      </c>
      <c r="N76" s="41" t="str">
        <f t="shared" si="43"/>
        <v/>
      </c>
      <c r="O76" s="41" t="str" cm="1">
        <f t="array" ref="O76">IF($AI76="HDR","Proj. vs LY",IF(OR($AI76="",M76=""),"",_xlfn.LET(_xlpm.ly,IF(LEFT($AI76,2)="C|",SUMPRODUCT($AP$5:$AP$302*($AO$5:$AO$302=$A76),$BK$5:$BK$302),IF($AI76="CT",SUMPRODUCT($AP$5:$AP$302,$BK$5:$BK$302),IF(LEFT($AI76,3)="AM|",SUMPRODUCT($AP$5:$AP$302*($AN$5:$AN$302=$A76),$BK$5:$BK$302),IF(LEFT($AI76,2)="S|",INDEX($BK$5:$BK$302,$AH76),0)))),IFERROR(M76/_xlpm.ly-1,""))))</f>
        <v/>
      </c>
      <c r="P76" s="40" t="str" cm="1">
        <f t="array" ref="P76">IF($AI76="","",IF(LEFT($AI76,2)="C|",IF($C76="","",SUMPRODUCT($AP$5:$AP$302*($AO$5:$AO$302=$A76),$AS$5:$AS$302)),IF($AI76="CT",P$13,IF(LEFT($AI76,3)="AM|",IF($C76="","",SUMPRODUCT($AP$5:$AP$302*($AN$5:$AN$302=$A76),$AS$5:$AS$302)),IF(LEFT($AI76,2)="S|",IF($AG76="","",INDEX($AS$5:$AS$302,$AH76)),IF($AI76="HDR","Trans TY",""))))))</f>
        <v/>
      </c>
      <c r="Q76" s="40" t="str" cm="1">
        <f t="array" ref="Q76">IF($AI76="","",IF(LEFT($AI76,2)="C|",IF($C76="","",SUMPRODUCT($AP$5:$AP$302*($AO$5:$AO$302=$A76),$AU$5:$AU$302)),IF($AI76="CT",Q$13,IF(LEFT($AI76,3)="AM|",IF($C76="","",SUMPRODUCT($AP$5:$AP$302*($AN$5:$AN$302=$A76),$AU$5:$AU$302)),IF(LEFT($AI76,2)="S|",IF($AG76="","",INDEX($AU$5:$AU$302,$AH76)),IF($AI76="HDR","Trans LY",""))))))</f>
        <v/>
      </c>
      <c r="R76" s="41" t="str">
        <f t="shared" si="51"/>
        <v/>
      </c>
      <c r="S76" s="41" t="str">
        <f t="shared" si="52"/>
        <v/>
      </c>
      <c r="T76" s="42" t="str">
        <f t="shared" si="53"/>
        <v/>
      </c>
      <c r="U76" s="42" t="str">
        <f t="shared" si="54"/>
        <v/>
      </c>
      <c r="V76" s="41" t="str">
        <f t="shared" si="55"/>
        <v/>
      </c>
      <c r="W76" s="40" t="str" cm="1">
        <f t="array" ref="W76">IF($AI76="","",IF(LEFT($AI76,2)="C|",_xlfn.LET(_xlpm.n,SUMPRODUCT($AP$5:$AP$302*($AO$5:$AO$302=$A76),$BB$5:$BB$302),IF(_xlpm.n=0,"",_xlpm.n)),IF($AI76="CT",W$13,IF(LEFT($AI76,3)="AM|",_xlfn.LET(_xlpm.n,SUMPRODUCT($AP$5:$AP$302*($AN$5:$AN$302=$A76),$BB$5:$BB$302),IF(_xlpm.n=0,"",_xlpm.n)),IF(LEFT($AI76,2)="S|",IF($AG76="","",_xlfn.LET(_xlpm.n,INDEX($BB$5:$BB$302,$AH76),IF(_xlpm.n=0,"",_xlpm.n))),IF($AI76="HDR","Footfall",""))))))</f>
        <v/>
      </c>
      <c r="X76" s="40" t="str" cm="1">
        <f t="array" ref="X76">IF($AI76="","",IF($AI76="HDR","Trans (FF stores)",IF(W76="","",IF(LEFT($AI76,2)="C|",SUMPRODUCT($AP$5:$AP$302*($AO$5:$AO$302=$A76),$BC$5:$BC$302),IF($AI76="CT",X$13,IF(LEFT($AI76,3)="AM|",SUMPRODUCT($AP$5:$AP$302*($AN$5:$AN$302=$A76),$BC$5:$BC$302),IF(LEFT($AI76,2)="S|",INDEX($BC$5:$BC$302,$AH76),"")))))))</f>
        <v/>
      </c>
      <c r="Y76" s="41" t="str">
        <f t="shared" si="44"/>
        <v/>
      </c>
      <c r="Z76" s="40" t="str" cm="1">
        <f t="array" ref="Z76">IF($AI76="","",IF(LEFT($AI76,2)="C|",IF($C76="","",SUMPRODUCT($AP$5:$AP$302*($AO$5:$AO$302=$A76),$CB$5:$CB$302)),IF($AI76="CT",Z$13,IF(LEFT($AI76,3)="AM|",IF($C76="","",SUMPRODUCT($AP$5:$AP$302*($AN$5:$AN$302=$A76),$CB$5:$CB$302)),IF(LEFT($AI76,2)="S|",IF($AG76="","",INDEX($CB$5:$CB$302,$AH76)),IF($AI76="HDR","Makeup Sales",""))))))</f>
        <v/>
      </c>
      <c r="AA76" s="41" t="str">
        <f t="shared" si="56"/>
        <v/>
      </c>
      <c r="AB76" s="40" t="str" cm="1">
        <f t="array" ref="AB76">IF($AI76="","",IF(LEFT($AI76,2)="C|",IF($C76="","",SUMPRODUCT($AP$5:$AP$302*($AO$5:$AO$302=$A76),$CK$5:$CK$302)),IF($AI76="CT",AB$13,IF(LEFT($AI76,3)="AM|",IF($C76="","",SUMPRODUCT($AP$5:$AP$302*($AN$5:$AN$302=$A76),$CK$5:$CK$302)),IF(LEFT($AI76,2)="S|",IF($AG76="","",INDEX($CK$5:$CK$302,$AH76)),IF($AI76="HDR","Makeup Target",""))))))</f>
        <v/>
      </c>
      <c r="AC76" s="41" t="str">
        <f t="shared" si="45"/>
        <v/>
      </c>
      <c r="AD76" s="40" t="str" cm="1">
        <f t="array" ref="AD76">IF($AI76="","",IF(LEFT($AI76,2)="C|",IF($C76="","",SUMPRODUCT($AP$5:$AP$302*($AO$5:$AO$302=$A76),$CI$5:$CI$302)),IF($AI76="CT",AD$13,IF(LEFT($AI76,3)="AM|",IF($C76="","",SUMPRODUCT($AP$5:$AP$302*($AN$5:$AN$302=$A76),$CI$5:$CI$302)),IF(LEFT($AI76,2)="S|",IF($AG76="","",INDEX($CI$5:$CI$302,$AH76)),IF($AI76="HDR","Cosmetic Sales",""))))))</f>
        <v/>
      </c>
      <c r="AE76" s="8" t="str" cm="1">
        <f t="array" ref="AE76">IF($AI76="","",IF(LEFT($AI76,2)="C|",IF($C76="","",SUMPRODUCT($AP$5:$AP$302*($AO$5:$AO$302=$A76)*$AQ$5:$AQ$302,$AR$5:$AR$302)),IF($AI76="CT",AE$13,IF(LEFT($AI76,3)="AM|",IF($C76="","",SUMPRODUCT($AP$5:$AP$302*($AN$5:$AN$302=$A76)*$AQ$5:$AQ$302,$AR$5:$AR$302)),IF(LEFT($AI76,2)="S|",IF($AG76="","",IF(INDEX($AQ$5:$AQ$302,$AH76)=1,D76,0)),IF($AI76="HDR","LFL Sales",""))))))</f>
        <v/>
      </c>
      <c r="AF76" s="8" t="str" cm="1">
        <f t="array" ref="AF76">IF($AI76="","",IF(LEFT($AI76,2)="C|",IF($C76="","",SUMPRODUCT($AP$5:$AP$302*($AO$5:$AO$302=$A76)*$AQ$5:$AQ$302,$AS$5:$AS$302)),IF($AI76="CT",AF$13,IF(LEFT($AI76,3)="AM|",IF($C76="","",SUMPRODUCT($AP$5:$AP$302*($AN$5:$AN$302=$A76)*$AQ$5:$AQ$302,$AS$5:$AS$302)),IF(LEFT($AI76,2)="S|",IF($AG76="","",IF(INDEX($AQ$5:$AQ$302,$AH76)=1,P76,0)),IF($AI76="HDR","LFL Trans",""))))))</f>
        <v/>
      </c>
      <c r="AG76" s="8" t="str" cm="1">
        <f t="array" ref="AG76">IF($AI76="","",IF(LEFT($AI76,2)="C|","",IF($AI76="CT","",IF(LEFT($AI76,3)="AM|","",IF(LEFT($AI76,2)="S|",IF($AH76="","",IF(INDEX($AP$5:$AP$302,$AH76)=1,1,"")),IF($AI76="HDR","Show",""))))))</f>
        <v/>
      </c>
      <c r="AH76" s="8" t="str">
        <f t="shared" si="57"/>
        <v/>
      </c>
      <c r="AI76" s="8"/>
      <c r="AN76" s="8" t="str" cm="1">
        <f t="array" ref="AN76">IF($AW76="","",_xlfn.LET(_xlpm.sa,IFERROR(TRIM(INDEX('Sales and count'!$D$4:$D$300,$BF76)&amp;""),""),_xlpm.ta,IFERROR(TRIM(INDEX('TY Sales Target'!$F$5:$F$300,$BG76)&amp;""),""),IF(AND(_xlpm.sa&lt;&gt;"",LEFT(_xlpm.sa,1)&lt;&gt;"#",_xlpm.sa&lt;&gt;"0"),_xlpm.sa,IF(AND(_xlpm.ta&lt;&gt;"",LEFT(_xlpm.ta,1)&lt;&gt;"#",_xlpm.ta&lt;&gt;"0"),_xlpm.ta,IF(ISNUMBER($BG76),"Unassigned","")))))</f>
        <v>Maram Zamzami</v>
      </c>
      <c r="AO76" s="8" t="str" cm="1">
        <f t="array" ref="AO76">IF($AW76="","",_xlfn.LET(_xlpm.sa,IFERROR(TRIM(INDEX('Sales and count'!$C$4:$C$300,$BF76)&amp;""),""),_xlpm.ta,IFERROR(TRIM(INDEX('TY Sales Target'!$D$5:$D$300,$BG76)&amp;""),""),IF(AND(_xlpm.sa&lt;&gt;"",LEFT(_xlpm.sa,1)&lt;&gt;"#",_xlpm.sa&lt;&gt;"0"),_xlpm.sa,IF(AND(_xlpm.ta&lt;&gt;"",LEFT(_xlpm.ta,1)&lt;&gt;"#",_xlpm.ta&lt;&gt;"0"),_xlpm.ta,""))))</f>
        <v>Makkah</v>
      </c>
      <c r="AP76" s="8">
        <f t="shared" si="60"/>
        <v>0</v>
      </c>
      <c r="AQ76" s="8">
        <f t="shared" si="61"/>
        <v>1</v>
      </c>
      <c r="AR76" s="8" cm="1">
        <f t="array" ref="AR76">IF($BF76="",0,_xlfn.LET(_xlpm.d,IFERROR(--'Sales and count'!$G$2:$CC$2,0),SUMPRODUCT(('Sales and count'!$G$3:$CC$3="Total")*(_xlpm.d&gt;=$U$4)*(_xlpm.d&lt;=$U$5),INDEX('Sales and count'!$G$4:$CC$300,$BF76,0))))</f>
        <v>179368.86</v>
      </c>
      <c r="AS76" s="8" cm="1">
        <f t="array" aca="1" ref="AS76" ca="1">IF($BF76="",0,_xlfn.LET(_xlpm.d,IFERROR(--'Sales and count'!$F$2:$CB$2,0),SUMPRODUCT(('Sales and count'!$G$3:$CC$3="Transactions")*(_xlpm.d&gt;=$U$4)*(_xlpm.d&lt;=$U$5),INDEX('Sales and count'!$G$4:$CC$300,$BF76,0))))</f>
        <v>1275</v>
      </c>
      <c r="AT76" s="8" cm="1">
        <f t="array" ref="AT76">IF($AW76="",0,SUMPRODUCT((TRIM('LY Sales '!$B$5:$B$200)=$AW76)*('LY Sales '!$C$2:$AG$2&gt;=EDATE($U$4,-12))*('LY Sales '!$C$2:$AG$2&lt;=EDATE($U$5,-12)),'LY Sales '!$C$5:$AG$200))</f>
        <v>244720.91</v>
      </c>
      <c r="AU76" s="8" cm="1">
        <f t="array" ref="AU76">IF($AW76="",0,SUMPRODUCT((TRIM('LY Transaction'!$B$5:$B$200)=$AW76)*('LY Transaction'!$C$2:$AG$2&gt;=EDATE($U$4,-12))*('LY Transaction'!$C$2:$AG$2&lt;=EDATE($U$5,-12)),'LY Transaction'!$C$5:$AG$200))</f>
        <v>1565</v>
      </c>
      <c r="AV76" s="8" cm="1">
        <f t="array" ref="AV76">IF(NOT(ISNUMBER($BG76)),0,SUMPRODUCT(('TY Sales Target'!$K$2:$AO$2&gt;=$U$4)*('TY Sales Target'!$K$2:$AO$2&lt;=$U$5),INDEX('TY Sales Target'!$K$5:$AO$300,$BG76,0)))</f>
        <v>306469.98617812933</v>
      </c>
      <c r="AW76" s="8" t="str" cm="1">
        <f t="array" ref="AW76">IFERROR(INDEX(_xlfn.ANCHORARRAY($BR$5),ROWS($AW$5:AW76)),"")</f>
        <v>HAMAKKMAL</v>
      </c>
      <c r="BB76" cm="1">
        <f t="array" ref="BB76">IF($AW76="",0,SUMPRODUCT((TRIM(Footfall!$B$5:$B$301)=$AW76)*(Footfall!$C$1:$BZ$1&gt;=$U$4)*(Footfall!$C$2:$BZ$2&lt;=$U$5)*(Footfall!$C$1:$BZ$1&lt;&gt;""),Footfall!$C$5:$BZ$301))</f>
        <v>5468</v>
      </c>
      <c r="BC76" cm="1">
        <f t="array" aca="1" ref="BC76" ca="1">IF(OR($BB76&lt;=0,$BD$1="",$BF76=""),0,_xlfn.LET(_xlpm.d,IFERROR(--'Sales and count'!$F$2:$CB$2,0),SUMPRODUCT(('Sales and count'!$G$3:$CC$3="Transactions")*(_xlpm.d&gt;=$BD$1)*(_xlpm.d&lt;=$BD$2),INDEX('Sales and count'!$G$4:$CC$300,$BF76,0))))</f>
        <v>1275</v>
      </c>
      <c r="BF76" cm="1">
        <f t="array" ref="BF76">IF($AW76="","",IFERROR(MATCH($AW76,TRIM('Sales and count'!$A$4:$A$300&amp;""),0),""))</f>
        <v>72</v>
      </c>
      <c r="BG76" cm="1">
        <f t="array" ref="BG76">IF($AW76="","",IFERROR(MATCH(IFERROR(_xlfn.XLOOKUP($AW76,$BT$5:$BT$22,$BU$5:$BU$22),$AW76),TRIM('TY Sales Target'!$B$5:$B$300&amp;""),0),""))</f>
        <v>17</v>
      </c>
      <c r="BH76" t="str" cm="1">
        <f t="array" ref="BH76">IF(ISNUMBER($BG76),_xlfn.LET(_xlpm.p,TRIM(INDEX('TY Sales Target'!$I$5:$I$300,$BG76)&amp;""),IF(_xlpm.p="","Not set",_xlpm.p)),"Not set")</f>
        <v>Car</v>
      </c>
      <c r="BI76" cm="1">
        <f t="array" ref="BI76">IF($BF76="",0,_xlfn.LET(_xlpm.d,IFERROR(--'Sales and count'!$G$2:$CC$2,0),SUMPRODUCT(('Sales and count'!$G$3:$CC$3="Total")*(_xlpm.d&gt;=$BZ$5)*(_xlpm.d&lt;=$BZ$6),INDEX('Sales and count'!$G$4:$CC$300,$BF76,0))))</f>
        <v>179368.86</v>
      </c>
      <c r="BJ76" cm="1">
        <f t="array" ref="BJ76">IF($AW76="",0,SUMPRODUCT((TRIM('LY Sales '!$B$5:$B$200)=$AW76)*('LY Sales '!$C$2:$AG$2&gt;=EDATE($BZ$5,-12))*('LY Sales '!$C$2:$AG$2&lt;=EDATE($BZ$6,-12)),'LY Sales '!$C$5:$AG$200))</f>
        <v>244720.91</v>
      </c>
      <c r="BK76" cm="1">
        <f t="array" ref="BK76">IF($AW76="",0,SUMPRODUCT((TRIM('LY Sales '!$B$5:$B$200)=$AW76)*('LY Sales '!$C$2:$AG$2&gt;=EDATE($BZ$5,-12))*('LY Sales '!$C$2:$AG$2&lt;=EDATE($BZ$7,-12)),'LY Sales '!$C$5:$AG$200))</f>
        <v>308763.94</v>
      </c>
      <c r="BL76" cm="1">
        <f t="array" ref="BL76">IF($AW76="",0,SUMPRODUCT((TRIM('LY Sales '!$B$5:$B$200)=$AW76)*('LY Sales '!$C$2:$AG$2&gt;=EDATE($BZ$5,-12))*('LY Sales '!$C$2:$AG$2&lt;=EDATE($BZ$6,-12))*('LY Sales '!$C$5:$AG$200&gt;0)))</f>
        <v>26</v>
      </c>
      <c r="BM76" cm="1">
        <f t="array" ref="BM76">IF(NOT(ISNUMBER($BG76)),0,SUMPRODUCT(('TY Sales Target'!$K$2:$AO$2&gt;=$BZ$5)*('TY Sales Target'!$K$2:$AO$2&lt;=$BZ$6),INDEX('TY Sales Target'!$K$5:$AO$300,$BG76,0)))</f>
        <v>306469.98617812933</v>
      </c>
      <c r="BN76" cm="1">
        <f t="array" ref="BN76">IF(NOT(ISNUMBER($BG76)),0,SUMPRODUCT(('TY Sales Target'!$K$2:$AO$2&gt;=$BZ$5)*('TY Sales Target'!$K$2:$AO$2&lt;=$BZ$7),INDEX('TY Sales Target'!$K$5:$AO$300,$BG76,0)))</f>
        <v>400000.00000000012</v>
      </c>
      <c r="BO76" cm="1">
        <f t="array" ref="BO76">IF($AW76="",0,IFERROR(_xlfn.SWITCH($BP76,"LY trend",$BI76*$BK76/$BJ76,"Target curve",$BI76*$BN76/$BM76,"Run rate",$BI76/$BZ$8*$BZ$9,0),0))</f>
        <v>226309.37391867492</v>
      </c>
      <c r="BP76" t="str">
        <f t="shared" si="59"/>
        <v>LY trend</v>
      </c>
      <c r="BR76" t="str">
        <v>HAMAKKMAL</v>
      </c>
      <c r="CB76" cm="1">
        <f t="array" ref="CB76">IF($AW76="",0,_xlfn.LET(_xlpm.k,IFERROR(_xlfn.XLOOKUP($AW76,$CD$6:$CD$21,$CE$6:$CE$21),$AW76),SUMPRODUCT((TRIM('Makeup '!$A$2:$A$300&amp;"")=_xlpm.k)*1,IFERROR('Makeup '!$F$2:$F$300*1,0))))</f>
        <v>20536.09</v>
      </c>
      <c r="CF76" t="str" cm="1">
        <f t="array" ref="CF76">IF($AW76="","",_xlfn.LET(_xlpm.c,IFERROR(TRIM(INDEX('Sales and count'!$B$4:$B$300,$BF76)&amp;""),""),IF(OR(_xlpm.c="",_xlpm.c="0",LEFT(_xlpm.c,1)="#"),"Not set",_xlpm.c)))</f>
        <v>KSA</v>
      </c>
      <c r="CH76" cm="1">
        <f t="array" ref="CH76">IF($AW76="",0,_xlfn.LET(_xlpm.k,IFERROR(_xlfn.XLOOKUP($AW76,$CD$6:$CD$21,$CE$6:$CE$21),$AW76),--(SUMPRODUCT((TRIM('Makeup '!$A$2:$A$300&amp;"")=_xlpm.k)*ISNUMBER('Makeup '!$F$2:$F$300))&gt;0)))</f>
        <v>1</v>
      </c>
      <c r="CI76">
        <f t="shared" si="62"/>
        <v>179368.86</v>
      </c>
      <c r="CJ76" cm="1">
        <f t="array" ref="CJ76">IF($AW76="",0,--(SUMPRODUCT(--(TRIM(Footfall!$B$5:$B$301)=$AW76))&gt;0))</f>
        <v>1</v>
      </c>
      <c r="CK76" s="8" cm="1">
        <f t="array" ref="CK76">IF($AW76="",0,_xlfn.LET(_xlpm.r,IFERROR(MATCH(IFERROR(_xlfn.XLOOKUP($AW76,$BT$5:$BT$22,$BU$5:$BU$22),$AW76),TRIM('TY Beauty Target'!$B$5:$B$300&amp;""),0),""),IF(ISNUMBER(_xlpm.r),SUMPRODUCT(('TY Beauty Target'!$L$2:$AP$2&gt;=$U$4)*('TY Beauty Target'!$L$2:$AP$2&lt;=$U$5),INDEX('TY Beauty Target'!$L$5:$AP$300,_xlpm.r,0)),0)))</f>
        <v>37894.150283692463</v>
      </c>
    </row>
    <row r="77" spans="1:89" ht="15" customHeight="1" x14ac:dyDescent="0.25">
      <c r="A77" s="38" t="str">
        <f t="shared" si="58"/>
        <v/>
      </c>
      <c r="B77" s="43" t="str" cm="1">
        <f t="array" ref="B77">IF($AI77="","",IF(LEFT($AI77,2)="C|",IF($C77="","",_xlfn.TEXTJOIN(", ",TRUE,_xlfn.UNIQUE(_xlfn._xlws.FILTER($AN$5:$AN$302,($AP$5:$AP$302=1)*($AO$5:$AO$302=$A77))))),IF($AI77="CT",B$13,IF(LEFT($AI77,3)="AM|",IF($C77="","",ROWS(_xlfn.UNIQUE(_xlfn._xlws.FILTER($AO$5:$AO$302,($AP$5:$AP$302=1)*($AN$5:$AN$302=$A77))))),IF(LEFT($AI77,2)="S|",IF($AG77="","",INDEX($AO$5:$AO$302,$AH77)),IF($AI77="HDR","City",""))))))</f>
        <v/>
      </c>
      <c r="C77" s="39" t="str" cm="1">
        <f t="array" ref="C77">IF($AI77="","",IF(LEFT($AI77,2)="C|",_xlfn.LET(_xlpm.n,SUMPRODUCT($AP$5:$AP$302*($AO$5:$AO$302=$A77)),IF(_xlpm.n=0,"",_xlpm.n)),IF($AI77="CT",C$13,IF(LEFT($AI77,3)="AM|",_xlfn.LET(_xlpm.n,SUMPRODUCT($AP$5:$AP$302*($AN$5:$AN$302=$A77)),IF(_xlpm.n=0,"",_xlpm.n)),IF(LEFT($AI77,2)="S|","",IF($AI77="HDR","# Stores",""))))))</f>
        <v/>
      </c>
      <c r="D77" s="40" t="str" cm="1">
        <f t="array" ref="D77">IF($AI77="","",IF(LEFT($AI77,2)="C|",IF($C77="","",SUMPRODUCT($AP$5:$AP$302*($AO$5:$AO$302=$A77),$AR$5:$AR$302)),IF($AI77="CT",D$13,IF(LEFT($AI77,3)="AM|",IF($C77="","",SUMPRODUCT($AP$5:$AP$302*($AN$5:$AN$302=$A77),$AR$5:$AR$302)),IF(LEFT($AI77,2)="S|",IF($AG77="","",INDEX($AR$5:$AR$302,$AH77)),IF($AI77="HDR","Sales TY",""))))))</f>
        <v/>
      </c>
      <c r="E77" s="40" t="str" cm="1">
        <f t="array" ref="E77">IF($AI77="","",IF(LEFT($AI77,2)="C|",IF($C77="","",SUMPRODUCT($AP$5:$AP$302*($AO$5:$AO$302=$A77),$AT$5:$AT$302)),IF($AI77="CT",E$13,IF(LEFT($AI77,3)="AM|",IF($C77="","",SUMPRODUCT($AP$5:$AP$302*($AN$5:$AN$302=$A77),$AT$5:$AT$302)),IF(LEFT($AI77,2)="S|",IF($AG77="","",INDEX($AT$5:$AT$302,$AH77)),IF($AI77="HDR","Sales LY",""))))))</f>
        <v/>
      </c>
      <c r="F77" s="41" t="str">
        <f t="shared" si="46"/>
        <v/>
      </c>
      <c r="G77" s="41" t="str">
        <f t="shared" si="47"/>
        <v/>
      </c>
      <c r="H77" s="40" t="str" cm="1">
        <f t="array" ref="H77">IF($AI77="","",IF(LEFT($AI77,2)="C|",IF($C77="","",SUMPRODUCT($AP$5:$AP$302*($AO$5:$AO$302=$A77),$AV$5:$AV$302)),IF($AI77="CT",H$13,IF(LEFT($AI77,3)="AM|",IF($C77="","",SUMPRODUCT($AP$5:$AP$302*($AN$5:$AN$302=$A77),$AV$5:$AV$302)),IF(LEFT($AI77,2)="S|",IF($AG77="","",INDEX($AV$5:$AV$302,$AH77)),IF($AI77="HDR","Target",""))))))</f>
        <v/>
      </c>
      <c r="I77" s="41" t="str">
        <f t="shared" si="48"/>
        <v/>
      </c>
      <c r="J77" s="40" t="str">
        <f t="shared" si="49"/>
        <v/>
      </c>
      <c r="K77" s="41" t="str">
        <f t="shared" si="50"/>
        <v/>
      </c>
      <c r="L77" s="40" t="str" cm="1">
        <f t="array" ref="L77">IF($AI77="","",IF(LEFT($AI77,2)="C|",IF($C77="","",SUMPRODUCT($AP$5:$AP$302*($AO$5:$AO$302=$A77),$BN$5:$BN$302)),IF($AI77="CT",L$13,IF(LEFT($AI77,3)="AM|",IF($C77="","",SUMPRODUCT($AP$5:$AP$302*($AN$5:$AN$302=$A77),$BN$5:$BN$302)),IF(LEFT($AI77,2)="S|",IF($AG77="","",INDEX($BN$5:$BN$302,$AH77)),IF($AI77="HDR","Month Target",""))))))</f>
        <v/>
      </c>
      <c r="M77" s="40" t="str" cm="1">
        <f t="array" ref="M77">IF($AI77="","",IF(LEFT($AI77,2)="C|",IF($C77="","",SUMPRODUCT($AP$5:$AP$302*($AO$5:$AO$302=$A77),$BO$5:$BO$302)),IF($AI77="CT",M$13,IF(LEFT($AI77,3)="AM|",IF($C77="","",SUMPRODUCT($AP$5:$AP$302*($AN$5:$AN$302=$A77),$BO$5:$BO$302)),IF(LEFT($AI77,2)="S|",IF($AG77="","",INDEX($BO$5:$BO$302,$AH77)),IF($AI77="HDR","Projected Close",""))))))</f>
        <v/>
      </c>
      <c r="N77" s="41" t="str">
        <f t="shared" si="43"/>
        <v/>
      </c>
      <c r="O77" s="41" t="str" cm="1">
        <f t="array" ref="O77">IF($AI77="HDR","Proj. vs LY",IF(OR($AI77="",M77=""),"",_xlfn.LET(_xlpm.ly,IF(LEFT($AI77,2)="C|",SUMPRODUCT($AP$5:$AP$302*($AO$5:$AO$302=$A77),$BK$5:$BK$302),IF($AI77="CT",SUMPRODUCT($AP$5:$AP$302,$BK$5:$BK$302),IF(LEFT($AI77,3)="AM|",SUMPRODUCT($AP$5:$AP$302*($AN$5:$AN$302=$A77),$BK$5:$BK$302),IF(LEFT($AI77,2)="S|",INDEX($BK$5:$BK$302,$AH77),0)))),IFERROR(M77/_xlpm.ly-1,""))))</f>
        <v/>
      </c>
      <c r="P77" s="40" t="str" cm="1">
        <f t="array" ref="P77">IF($AI77="","",IF(LEFT($AI77,2)="C|",IF($C77="","",SUMPRODUCT($AP$5:$AP$302*($AO$5:$AO$302=$A77),$AS$5:$AS$302)),IF($AI77="CT",P$13,IF(LEFT($AI77,3)="AM|",IF($C77="","",SUMPRODUCT($AP$5:$AP$302*($AN$5:$AN$302=$A77),$AS$5:$AS$302)),IF(LEFT($AI77,2)="S|",IF($AG77="","",INDEX($AS$5:$AS$302,$AH77)),IF($AI77="HDR","Trans TY",""))))))</f>
        <v/>
      </c>
      <c r="Q77" s="40" t="str" cm="1">
        <f t="array" ref="Q77">IF($AI77="","",IF(LEFT($AI77,2)="C|",IF($C77="","",SUMPRODUCT($AP$5:$AP$302*($AO$5:$AO$302=$A77),$AU$5:$AU$302)),IF($AI77="CT",Q$13,IF(LEFT($AI77,3)="AM|",IF($C77="","",SUMPRODUCT($AP$5:$AP$302*($AN$5:$AN$302=$A77),$AU$5:$AU$302)),IF(LEFT($AI77,2)="S|",IF($AG77="","",INDEX($AU$5:$AU$302,$AH77)),IF($AI77="HDR","Trans LY",""))))))</f>
        <v/>
      </c>
      <c r="R77" s="41" t="str">
        <f t="shared" si="51"/>
        <v/>
      </c>
      <c r="S77" s="41" t="str">
        <f t="shared" si="52"/>
        <v/>
      </c>
      <c r="T77" s="42" t="str">
        <f t="shared" si="53"/>
        <v/>
      </c>
      <c r="U77" s="42" t="str">
        <f t="shared" si="54"/>
        <v/>
      </c>
      <c r="V77" s="41" t="str">
        <f t="shared" si="55"/>
        <v/>
      </c>
      <c r="W77" s="40" t="str" cm="1">
        <f t="array" ref="W77">IF($AI77="","",IF(LEFT($AI77,2)="C|",_xlfn.LET(_xlpm.n,SUMPRODUCT($AP$5:$AP$302*($AO$5:$AO$302=$A77),$BB$5:$BB$302),IF(_xlpm.n=0,"",_xlpm.n)),IF($AI77="CT",W$13,IF(LEFT($AI77,3)="AM|",_xlfn.LET(_xlpm.n,SUMPRODUCT($AP$5:$AP$302*($AN$5:$AN$302=$A77),$BB$5:$BB$302),IF(_xlpm.n=0,"",_xlpm.n)),IF(LEFT($AI77,2)="S|",IF($AG77="","",_xlfn.LET(_xlpm.n,INDEX($BB$5:$BB$302,$AH77),IF(_xlpm.n=0,"",_xlpm.n))),IF($AI77="HDR","Footfall",""))))))</f>
        <v/>
      </c>
      <c r="X77" s="40" t="str" cm="1">
        <f t="array" ref="X77">IF($AI77="","",IF($AI77="HDR","Trans (FF stores)",IF(W77="","",IF(LEFT($AI77,2)="C|",SUMPRODUCT($AP$5:$AP$302*($AO$5:$AO$302=$A77),$BC$5:$BC$302),IF($AI77="CT",X$13,IF(LEFT($AI77,3)="AM|",SUMPRODUCT($AP$5:$AP$302*($AN$5:$AN$302=$A77),$BC$5:$BC$302),IF(LEFT($AI77,2)="S|",INDEX($BC$5:$BC$302,$AH77),"")))))))</f>
        <v/>
      </c>
      <c r="Y77" s="41" t="str">
        <f t="shared" si="44"/>
        <v/>
      </c>
      <c r="Z77" s="40" t="str" cm="1">
        <f t="array" ref="Z77">IF($AI77="","",IF(LEFT($AI77,2)="C|",IF($C77="","",SUMPRODUCT($AP$5:$AP$302*($AO$5:$AO$302=$A77),$CB$5:$CB$302)),IF($AI77="CT",Z$13,IF(LEFT($AI77,3)="AM|",IF($C77="","",SUMPRODUCT($AP$5:$AP$302*($AN$5:$AN$302=$A77),$CB$5:$CB$302)),IF(LEFT($AI77,2)="S|",IF($AG77="","",INDEX($CB$5:$CB$302,$AH77)),IF($AI77="HDR","Makeup Sales",""))))))</f>
        <v/>
      </c>
      <c r="AA77" s="41" t="str">
        <f t="shared" si="56"/>
        <v/>
      </c>
      <c r="AB77" s="40" t="str" cm="1">
        <f t="array" ref="AB77">IF($AI77="","",IF(LEFT($AI77,2)="C|",IF($C77="","",SUMPRODUCT($AP$5:$AP$302*($AO$5:$AO$302=$A77),$CK$5:$CK$302)),IF($AI77="CT",AB$13,IF(LEFT($AI77,3)="AM|",IF($C77="","",SUMPRODUCT($AP$5:$AP$302*($AN$5:$AN$302=$A77),$CK$5:$CK$302)),IF(LEFT($AI77,2)="S|",IF($AG77="","",INDEX($CK$5:$CK$302,$AH77)),IF($AI77="HDR","Makeup Target",""))))))</f>
        <v/>
      </c>
      <c r="AC77" s="41" t="str">
        <f t="shared" si="45"/>
        <v/>
      </c>
      <c r="AD77" s="40" t="str" cm="1">
        <f t="array" ref="AD77">IF($AI77="","",IF(LEFT($AI77,2)="C|",IF($C77="","",SUMPRODUCT($AP$5:$AP$302*($AO$5:$AO$302=$A77),$CI$5:$CI$302)),IF($AI77="CT",AD$13,IF(LEFT($AI77,3)="AM|",IF($C77="","",SUMPRODUCT($AP$5:$AP$302*($AN$5:$AN$302=$A77),$CI$5:$CI$302)),IF(LEFT($AI77,2)="S|",IF($AG77="","",INDEX($CI$5:$CI$302,$AH77)),IF($AI77="HDR","Cosmetic Sales",""))))))</f>
        <v/>
      </c>
      <c r="AE77" s="8" t="str" cm="1">
        <f t="array" ref="AE77">IF($AI77="","",IF(LEFT($AI77,2)="C|",IF($C77="","",SUMPRODUCT($AP$5:$AP$302*($AO$5:$AO$302=$A77)*$AQ$5:$AQ$302,$AR$5:$AR$302)),IF($AI77="CT",AE$13,IF(LEFT($AI77,3)="AM|",IF($C77="","",SUMPRODUCT($AP$5:$AP$302*($AN$5:$AN$302=$A77)*$AQ$5:$AQ$302,$AR$5:$AR$302)),IF(LEFT($AI77,2)="S|",IF($AG77="","",IF(INDEX($AQ$5:$AQ$302,$AH77)=1,D77,0)),IF($AI77="HDR","LFL Sales",""))))))</f>
        <v/>
      </c>
      <c r="AF77" s="8" t="str" cm="1">
        <f t="array" ref="AF77">IF($AI77="","",IF(LEFT($AI77,2)="C|",IF($C77="","",SUMPRODUCT($AP$5:$AP$302*($AO$5:$AO$302=$A77)*$AQ$5:$AQ$302,$AS$5:$AS$302)),IF($AI77="CT",AF$13,IF(LEFT($AI77,3)="AM|",IF($C77="","",SUMPRODUCT($AP$5:$AP$302*($AN$5:$AN$302=$A77)*$AQ$5:$AQ$302,$AS$5:$AS$302)),IF(LEFT($AI77,2)="S|",IF($AG77="","",IF(INDEX($AQ$5:$AQ$302,$AH77)=1,P77,0)),IF($AI77="HDR","LFL Trans",""))))))</f>
        <v/>
      </c>
      <c r="AG77" s="8" t="str" cm="1">
        <f t="array" ref="AG77">IF($AI77="","",IF(LEFT($AI77,2)="C|","",IF($AI77="CT","",IF(LEFT($AI77,3)="AM|","",IF(LEFT($AI77,2)="S|",IF($AH77="","",IF(INDEX($AP$5:$AP$302,$AH77)=1,1,"")),IF($AI77="HDR","Show",""))))))</f>
        <v/>
      </c>
      <c r="AH77" s="8" t="str">
        <f t="shared" si="57"/>
        <v/>
      </c>
      <c r="AI77" s="8"/>
      <c r="AN77" s="8" t="str" cm="1">
        <f t="array" ref="AN77">IF($AW77="","",_xlfn.LET(_xlpm.sa,IFERROR(TRIM(INDEX('Sales and count'!$D$4:$D$300,$BF77)&amp;""),""),_xlpm.ta,IFERROR(TRIM(INDEX('TY Sales Target'!$F$5:$F$300,$BG77)&amp;""),""),IF(AND(_xlpm.sa&lt;&gt;"",LEFT(_xlpm.sa,1)&lt;&gt;"#",_xlpm.sa&lt;&gt;"0"),_xlpm.sa,IF(AND(_xlpm.ta&lt;&gt;"",LEFT(_xlpm.ta,1)&lt;&gt;"#",_xlpm.ta&lt;&gt;"0"),_xlpm.ta,IF(ISNUMBER($BG77),"Unassigned","")))))</f>
        <v>Mohammed Haidar</v>
      </c>
      <c r="AO77" s="8" t="str" cm="1">
        <f t="array" ref="AO77">IF($AW77="","",_xlfn.LET(_xlpm.sa,IFERROR(TRIM(INDEX('Sales and count'!$C$4:$C$300,$BF77)&amp;""),""),_xlpm.ta,IFERROR(TRIM(INDEX('TY Sales Target'!$D$5:$D$300,$BG77)&amp;""),""),IF(AND(_xlpm.sa&lt;&gt;"",LEFT(_xlpm.sa,1)&lt;&gt;"#",_xlpm.sa&lt;&gt;"0"),_xlpm.sa,IF(AND(_xlpm.ta&lt;&gt;"",LEFT(_xlpm.ta,1)&lt;&gt;"#",_xlpm.ta&lt;&gt;"0"),_xlpm.ta,""))))</f>
        <v>Madinah</v>
      </c>
      <c r="AP77" s="8">
        <f t="shared" si="60"/>
        <v>0</v>
      </c>
      <c r="AQ77" s="8">
        <f t="shared" si="61"/>
        <v>0</v>
      </c>
      <c r="AR77" s="8" cm="1">
        <f t="array" ref="AR77">IF($BF77="",0,_xlfn.LET(_xlpm.d,IFERROR(--'Sales and count'!$G$2:$CC$2,0),SUMPRODUCT(('Sales and count'!$G$3:$CC$3="Total")*(_xlpm.d&gt;=$U$4)*(_xlpm.d&lt;=$U$5),INDEX('Sales and count'!$G$4:$CC$300,$BF77,0))))</f>
        <v>116192.63000000002</v>
      </c>
      <c r="AS77" s="8" cm="1">
        <f t="array" aca="1" ref="AS77" ca="1">IF($BF77="",0,_xlfn.LET(_xlpm.d,IFERROR(--'Sales and count'!$F$2:$CB$2,0),SUMPRODUCT(('Sales and count'!$G$3:$CC$3="Transactions")*(_xlpm.d&gt;=$U$4)*(_xlpm.d&lt;=$U$5),INDEX('Sales and count'!$G$4:$CC$300,$BF77,0))))</f>
        <v>581</v>
      </c>
      <c r="AT77" s="8" cm="1">
        <f t="array" ref="AT77">IF($AW77="",0,SUMPRODUCT((TRIM('LY Sales '!$B$5:$B$200)=$AW77)*('LY Sales '!$C$2:$AG$2&gt;=EDATE($U$4,-12))*('LY Sales '!$C$2:$AG$2&lt;=EDATE($U$5,-12)),'LY Sales '!$C$5:$AG$200))</f>
        <v>0</v>
      </c>
      <c r="AU77" s="8" cm="1">
        <f t="array" ref="AU77">IF($AW77="",0,SUMPRODUCT((TRIM('LY Transaction'!$B$5:$B$200)=$AW77)*('LY Transaction'!$C$2:$AG$2&gt;=EDATE($U$4,-12))*('LY Transaction'!$C$2:$AG$2&lt;=EDATE($U$5,-12)),'LY Transaction'!$C$5:$AG$200))</f>
        <v>0</v>
      </c>
      <c r="AV77" s="8" cm="1">
        <f t="array" ref="AV77">IF(NOT(ISNUMBER($BG77)),0,SUMPRODUCT(('TY Sales Target'!$K$2:$AO$2&gt;=$U$4)*('TY Sales Target'!$K$2:$AO$2&lt;=$U$5),INDEX('TY Sales Target'!$K$5:$AO$300,$BG77,0)))</f>
        <v>151702.64315817395</v>
      </c>
      <c r="AW77" s="8" t="str" cm="1">
        <f t="array" ref="AW77">IFERROR(INDEX(_xlfn.ANCHORARRAY($BR$5),ROWS($AW$5:AW77)),"")</f>
        <v>HASOUQEBQ</v>
      </c>
      <c r="BB77" cm="1">
        <f t="array" ref="BB77">IF($AW77="",0,SUMPRODUCT((TRIM(Footfall!$B$5:$B$301)=$AW77)*(Footfall!$C$1:$BZ$1&gt;=$U$4)*(Footfall!$C$2:$BZ$2&lt;=$U$5)*(Footfall!$C$1:$BZ$1&lt;&gt;""),Footfall!$C$5:$BZ$301))</f>
        <v>0</v>
      </c>
      <c r="BC77" cm="1">
        <f t="array" ref="BC77">IF(OR($BB77&lt;=0,$BD$1="",$BF77=""),0,_xlfn.LET(_xlpm.d,IFERROR(--'Sales and count'!$F$2:$CB$2,0),SUMPRODUCT(('Sales and count'!$G$3:$CC$3="Transactions")*(_xlpm.d&gt;=$BD$1)*(_xlpm.d&lt;=$BD$2),INDEX('Sales and count'!$G$4:$CC$300,$BF77,0))))</f>
        <v>0</v>
      </c>
      <c r="BF77" cm="1">
        <f t="array" ref="BF77">IF($AW77="","",IFERROR(MATCH($AW77,TRIM('Sales and count'!$A$4:$A$300&amp;""),0),""))</f>
        <v>73</v>
      </c>
      <c r="BG77" cm="1">
        <f t="array" ref="BG77">IF($AW77="","",IFERROR(MATCH(IFERROR(_xlfn.XLOOKUP($AW77,$BT$5:$BT$22,$BU$5:$BU$22),$AW77),TRIM('TY Sales Target'!$B$5:$B$300&amp;""),0),""))</f>
        <v>70</v>
      </c>
      <c r="BH77" t="str" cm="1">
        <f t="array" ref="BH77">IF(ISNUMBER($BG77),_xlfn.LET(_xlpm.p,TRIM(INDEX('TY Sales Target'!$I$5:$I$300,$BG77)&amp;""),IF(_xlpm.p="","Not set",_xlpm.p)),"Not set")</f>
        <v>I Pad</v>
      </c>
      <c r="BI77" cm="1">
        <f t="array" ref="BI77">IF($BF77="",0,_xlfn.LET(_xlpm.d,IFERROR(--'Sales and count'!$G$2:$CC$2,0),SUMPRODUCT(('Sales and count'!$G$3:$CC$3="Total")*(_xlpm.d&gt;=$BZ$5)*(_xlpm.d&lt;=$BZ$6),INDEX('Sales and count'!$G$4:$CC$300,$BF77,0))))</f>
        <v>116192.63000000002</v>
      </c>
      <c r="BJ77" cm="1">
        <f t="array" ref="BJ77">IF($AW77="",0,SUMPRODUCT((TRIM('LY Sales '!$B$5:$B$200)=$AW77)*('LY Sales '!$C$2:$AG$2&gt;=EDATE($BZ$5,-12))*('LY Sales '!$C$2:$AG$2&lt;=EDATE($BZ$6,-12)),'LY Sales '!$C$5:$AG$200))</f>
        <v>0</v>
      </c>
      <c r="BK77" cm="1">
        <f t="array" ref="BK77">IF($AW77="",0,SUMPRODUCT((TRIM('LY Sales '!$B$5:$B$200)=$AW77)*('LY Sales '!$C$2:$AG$2&gt;=EDATE($BZ$5,-12))*('LY Sales '!$C$2:$AG$2&lt;=EDATE($BZ$7,-12)),'LY Sales '!$C$5:$AG$200))</f>
        <v>0</v>
      </c>
      <c r="BL77" cm="1">
        <f t="array" ref="BL77">IF($AW77="",0,SUMPRODUCT((TRIM('LY Sales '!$B$5:$B$200)=$AW77)*('LY Sales '!$C$2:$AG$2&gt;=EDATE($BZ$5,-12))*('LY Sales '!$C$2:$AG$2&lt;=EDATE($BZ$6,-12))*('LY Sales '!$C$5:$AG$200&gt;0)))</f>
        <v>0</v>
      </c>
      <c r="BM77" cm="1">
        <f t="array" ref="BM77">IF(NOT(ISNUMBER($BG77)),0,SUMPRODUCT(('TY Sales Target'!$K$2:$AO$2&gt;=$BZ$5)*('TY Sales Target'!$K$2:$AO$2&lt;=$BZ$6),INDEX('TY Sales Target'!$K$5:$AO$300,$BG77,0)))</f>
        <v>151702.64315817395</v>
      </c>
      <c r="BN77" cm="1">
        <f t="array" ref="BN77">IF(NOT(ISNUMBER($BG77)),0,SUMPRODUCT(('TY Sales Target'!$K$2:$AO$2&gt;=$BZ$5)*('TY Sales Target'!$K$2:$AO$2&lt;=$BZ$7),INDEX('TY Sales Target'!$K$5:$AO$300,$BG77,0)))</f>
        <v>197999.99999999994</v>
      </c>
      <c r="BO77" cm="1">
        <f t="array" ref="BO77">IF($AW77="",0,IFERROR(_xlfn.SWITCH($BP77,"LY trend",$BI77*$BK77/$BJ77,"Target curve",$BI77*$BN77/$BM77,"Run rate",$BI77/$BZ$8*$BZ$9,0),0))</f>
        <v>151652.86682587635</v>
      </c>
      <c r="BP77" t="str">
        <f t="shared" si="59"/>
        <v>Target curve</v>
      </c>
      <c r="BR77" t="str">
        <v>HASOUQEBQ</v>
      </c>
      <c r="CB77" cm="1">
        <f t="array" ref="CB77">IF($AW77="",0,_xlfn.LET(_xlpm.k,IFERROR(_xlfn.XLOOKUP($AW77,$CD$6:$CD$21,$CE$6:$CE$21),$AW77),SUMPRODUCT((TRIM('Makeup '!$A$2:$A$300&amp;"")=_xlpm.k)*1,IFERROR('Makeup '!$F$2:$F$300*1,0))))</f>
        <v>2538.46</v>
      </c>
      <c r="CF77" t="str" cm="1">
        <f t="array" ref="CF77">IF($AW77="","",_xlfn.LET(_xlpm.c,IFERROR(TRIM(INDEX('Sales and count'!$B$4:$B$300,$BF77)&amp;""),""),IF(OR(_xlpm.c="",_xlpm.c="0",LEFT(_xlpm.c,1)="#"),"Not set",_xlpm.c)))</f>
        <v>KSA</v>
      </c>
      <c r="CH77" cm="1">
        <f t="array" ref="CH77">IF($AW77="",0,_xlfn.LET(_xlpm.k,IFERROR(_xlfn.XLOOKUP($AW77,$CD$6:$CD$21,$CE$6:$CE$21),$AW77),--(SUMPRODUCT((TRIM('Makeup '!$A$2:$A$300&amp;"")=_xlpm.k)*ISNUMBER('Makeup '!$F$2:$F$300))&gt;0)))</f>
        <v>1</v>
      </c>
      <c r="CI77">
        <f t="shared" si="62"/>
        <v>116192.63000000002</v>
      </c>
      <c r="CJ77" cm="1">
        <f t="array" ref="CJ77">IF($AW77="",0,--(SUMPRODUCT(--(TRIM(Footfall!$B$5:$B$301)=$AW77))&gt;0))</f>
        <v>0</v>
      </c>
      <c r="CK77" s="8" cm="1">
        <f t="array" ref="CK77">IF($AW77="",0,_xlfn.LET(_xlpm.r,IFERROR(MATCH(IFERROR(_xlfn.XLOOKUP($AW77,$BT$5:$BT$22,$BU$5:$BU$22),$AW77),TRIM('TY Beauty Target'!$B$5:$B$300&amp;""),0),""),IF(ISNUMBER(_xlpm.r),SUMPRODUCT(('TY Beauty Target'!$L$2:$AP$2&gt;=$U$4)*('TY Beauty Target'!$L$2:$AP$2&lt;=$U$5),INDEX('TY Beauty Target'!$L$5:$AP$300,_xlpm.r,0)),0)))</f>
        <v>6587.1461273629411</v>
      </c>
    </row>
    <row r="78" spans="1:89" ht="15" customHeight="1" x14ac:dyDescent="0.25">
      <c r="A78" s="38" t="str">
        <f t="shared" si="58"/>
        <v/>
      </c>
      <c r="B78" s="43" t="str" cm="1">
        <f t="array" ref="B78">IF($AI78="","",IF(LEFT($AI78,2)="C|",IF($C78="","",_xlfn.TEXTJOIN(", ",TRUE,_xlfn.UNIQUE(_xlfn._xlws.FILTER($AN$5:$AN$302,($AP$5:$AP$302=1)*($AO$5:$AO$302=$A78))))),IF($AI78="CT",B$13,IF(LEFT($AI78,3)="AM|",IF($C78="","",ROWS(_xlfn.UNIQUE(_xlfn._xlws.FILTER($AO$5:$AO$302,($AP$5:$AP$302=1)*($AN$5:$AN$302=$A78))))),IF(LEFT($AI78,2)="S|",IF($AG78="","",INDEX($AO$5:$AO$302,$AH78)),IF($AI78="HDR","City",""))))))</f>
        <v/>
      </c>
      <c r="C78" s="39" t="str" cm="1">
        <f t="array" ref="C78">IF($AI78="","",IF(LEFT($AI78,2)="C|",_xlfn.LET(_xlpm.n,SUMPRODUCT($AP$5:$AP$302*($AO$5:$AO$302=$A78)),IF(_xlpm.n=0,"",_xlpm.n)),IF($AI78="CT",C$13,IF(LEFT($AI78,3)="AM|",_xlfn.LET(_xlpm.n,SUMPRODUCT($AP$5:$AP$302*($AN$5:$AN$302=$A78)),IF(_xlpm.n=0,"",_xlpm.n)),IF(LEFT($AI78,2)="S|","",IF($AI78="HDR","# Stores",""))))))</f>
        <v/>
      </c>
      <c r="D78" s="40" t="str" cm="1">
        <f t="array" ref="D78">IF($AI78="","",IF(LEFT($AI78,2)="C|",IF($C78="","",SUMPRODUCT($AP$5:$AP$302*($AO$5:$AO$302=$A78),$AR$5:$AR$302)),IF($AI78="CT",D$13,IF(LEFT($AI78,3)="AM|",IF($C78="","",SUMPRODUCT($AP$5:$AP$302*($AN$5:$AN$302=$A78),$AR$5:$AR$302)),IF(LEFT($AI78,2)="S|",IF($AG78="","",INDEX($AR$5:$AR$302,$AH78)),IF($AI78="HDR","Sales TY",""))))))</f>
        <v/>
      </c>
      <c r="E78" s="40" t="str" cm="1">
        <f t="array" ref="E78">IF($AI78="","",IF(LEFT($AI78,2)="C|",IF($C78="","",SUMPRODUCT($AP$5:$AP$302*($AO$5:$AO$302=$A78),$AT$5:$AT$302)),IF($AI78="CT",E$13,IF(LEFT($AI78,3)="AM|",IF($C78="","",SUMPRODUCT($AP$5:$AP$302*($AN$5:$AN$302=$A78),$AT$5:$AT$302)),IF(LEFT($AI78,2)="S|",IF($AG78="","",INDEX($AT$5:$AT$302,$AH78)),IF($AI78="HDR","Sales LY",""))))))</f>
        <v/>
      </c>
      <c r="F78" s="41" t="str">
        <f t="shared" si="46"/>
        <v/>
      </c>
      <c r="G78" s="41" t="str">
        <f t="shared" si="47"/>
        <v/>
      </c>
      <c r="H78" s="40" t="str" cm="1">
        <f t="array" ref="H78">IF($AI78="","",IF(LEFT($AI78,2)="C|",IF($C78="","",SUMPRODUCT($AP$5:$AP$302*($AO$5:$AO$302=$A78),$AV$5:$AV$302)),IF($AI78="CT",H$13,IF(LEFT($AI78,3)="AM|",IF($C78="","",SUMPRODUCT($AP$5:$AP$302*($AN$5:$AN$302=$A78),$AV$5:$AV$302)),IF(LEFT($AI78,2)="S|",IF($AG78="","",INDEX($AV$5:$AV$302,$AH78)),IF($AI78="HDR","Target",""))))))</f>
        <v/>
      </c>
      <c r="I78" s="41" t="str">
        <f t="shared" si="48"/>
        <v/>
      </c>
      <c r="J78" s="40" t="str">
        <f t="shared" si="49"/>
        <v/>
      </c>
      <c r="K78" s="41" t="str">
        <f t="shared" si="50"/>
        <v/>
      </c>
      <c r="L78" s="40" t="str" cm="1">
        <f t="array" ref="L78">IF($AI78="","",IF(LEFT($AI78,2)="C|",IF($C78="","",SUMPRODUCT($AP$5:$AP$302*($AO$5:$AO$302=$A78),$BN$5:$BN$302)),IF($AI78="CT",L$13,IF(LEFT($AI78,3)="AM|",IF($C78="","",SUMPRODUCT($AP$5:$AP$302*($AN$5:$AN$302=$A78),$BN$5:$BN$302)),IF(LEFT($AI78,2)="S|",IF($AG78="","",INDEX($BN$5:$BN$302,$AH78)),IF($AI78="HDR","Month Target",""))))))</f>
        <v/>
      </c>
      <c r="M78" s="40" t="str" cm="1">
        <f t="array" ref="M78">IF($AI78="","",IF(LEFT($AI78,2)="C|",IF($C78="","",SUMPRODUCT($AP$5:$AP$302*($AO$5:$AO$302=$A78),$BO$5:$BO$302)),IF($AI78="CT",M$13,IF(LEFT($AI78,3)="AM|",IF($C78="","",SUMPRODUCT($AP$5:$AP$302*($AN$5:$AN$302=$A78),$BO$5:$BO$302)),IF(LEFT($AI78,2)="S|",IF($AG78="","",INDEX($BO$5:$BO$302,$AH78)),IF($AI78="HDR","Projected Close",""))))))</f>
        <v/>
      </c>
      <c r="N78" s="41" t="str">
        <f t="shared" si="43"/>
        <v/>
      </c>
      <c r="O78" s="41" t="str" cm="1">
        <f t="array" ref="O78">IF($AI78="HDR","Proj. vs LY",IF(OR($AI78="",M78=""),"",_xlfn.LET(_xlpm.ly,IF(LEFT($AI78,2)="C|",SUMPRODUCT($AP$5:$AP$302*($AO$5:$AO$302=$A78),$BK$5:$BK$302),IF($AI78="CT",SUMPRODUCT($AP$5:$AP$302,$BK$5:$BK$302),IF(LEFT($AI78,3)="AM|",SUMPRODUCT($AP$5:$AP$302*($AN$5:$AN$302=$A78),$BK$5:$BK$302),IF(LEFT($AI78,2)="S|",INDEX($BK$5:$BK$302,$AH78),0)))),IFERROR(M78/_xlpm.ly-1,""))))</f>
        <v/>
      </c>
      <c r="P78" s="40" t="str" cm="1">
        <f t="array" ref="P78">IF($AI78="","",IF(LEFT($AI78,2)="C|",IF($C78="","",SUMPRODUCT($AP$5:$AP$302*($AO$5:$AO$302=$A78),$AS$5:$AS$302)),IF($AI78="CT",P$13,IF(LEFT($AI78,3)="AM|",IF($C78="","",SUMPRODUCT($AP$5:$AP$302*($AN$5:$AN$302=$A78),$AS$5:$AS$302)),IF(LEFT($AI78,2)="S|",IF($AG78="","",INDEX($AS$5:$AS$302,$AH78)),IF($AI78="HDR","Trans TY",""))))))</f>
        <v/>
      </c>
      <c r="Q78" s="40" t="str" cm="1">
        <f t="array" ref="Q78">IF($AI78="","",IF(LEFT($AI78,2)="C|",IF($C78="","",SUMPRODUCT($AP$5:$AP$302*($AO$5:$AO$302=$A78),$AU$5:$AU$302)),IF($AI78="CT",Q$13,IF(LEFT($AI78,3)="AM|",IF($C78="","",SUMPRODUCT($AP$5:$AP$302*($AN$5:$AN$302=$A78),$AU$5:$AU$302)),IF(LEFT($AI78,2)="S|",IF($AG78="","",INDEX($AU$5:$AU$302,$AH78)),IF($AI78="HDR","Trans LY",""))))))</f>
        <v/>
      </c>
      <c r="R78" s="41" t="str">
        <f t="shared" si="51"/>
        <v/>
      </c>
      <c r="S78" s="41" t="str">
        <f t="shared" si="52"/>
        <v/>
      </c>
      <c r="T78" s="42" t="str">
        <f t="shared" si="53"/>
        <v/>
      </c>
      <c r="U78" s="42" t="str">
        <f t="shared" si="54"/>
        <v/>
      </c>
      <c r="V78" s="41" t="str">
        <f t="shared" si="55"/>
        <v/>
      </c>
      <c r="W78" s="40" t="str" cm="1">
        <f t="array" ref="W78">IF($AI78="","",IF(LEFT($AI78,2)="C|",_xlfn.LET(_xlpm.n,SUMPRODUCT($AP$5:$AP$302*($AO$5:$AO$302=$A78),$BB$5:$BB$302),IF(_xlpm.n=0,"",_xlpm.n)),IF($AI78="CT",W$13,IF(LEFT($AI78,3)="AM|",_xlfn.LET(_xlpm.n,SUMPRODUCT($AP$5:$AP$302*($AN$5:$AN$302=$A78),$BB$5:$BB$302),IF(_xlpm.n=0,"",_xlpm.n)),IF(LEFT($AI78,2)="S|",IF($AG78="","",_xlfn.LET(_xlpm.n,INDEX($BB$5:$BB$302,$AH78),IF(_xlpm.n=0,"",_xlpm.n))),IF($AI78="HDR","Footfall",""))))))</f>
        <v/>
      </c>
      <c r="X78" s="40" t="str" cm="1">
        <f t="array" ref="X78">IF($AI78="","",IF($AI78="HDR","Trans (FF stores)",IF(W78="","",IF(LEFT($AI78,2)="C|",SUMPRODUCT($AP$5:$AP$302*($AO$5:$AO$302=$A78),$BC$5:$BC$302),IF($AI78="CT",X$13,IF(LEFT($AI78,3)="AM|",SUMPRODUCT($AP$5:$AP$302*($AN$5:$AN$302=$A78),$BC$5:$BC$302),IF(LEFT($AI78,2)="S|",INDEX($BC$5:$BC$302,$AH78),"")))))))</f>
        <v/>
      </c>
      <c r="Y78" s="41" t="str">
        <f t="shared" si="44"/>
        <v/>
      </c>
      <c r="Z78" s="40" t="str" cm="1">
        <f t="array" ref="Z78">IF($AI78="","",IF(LEFT($AI78,2)="C|",IF($C78="","",SUMPRODUCT($AP$5:$AP$302*($AO$5:$AO$302=$A78),$CB$5:$CB$302)),IF($AI78="CT",Z$13,IF(LEFT($AI78,3)="AM|",IF($C78="","",SUMPRODUCT($AP$5:$AP$302*($AN$5:$AN$302=$A78),$CB$5:$CB$302)),IF(LEFT($AI78,2)="S|",IF($AG78="","",INDEX($CB$5:$CB$302,$AH78)),IF($AI78="HDR","Makeup Sales",""))))))</f>
        <v/>
      </c>
      <c r="AA78" s="41" t="str">
        <f t="shared" si="56"/>
        <v/>
      </c>
      <c r="AB78" s="40" t="str" cm="1">
        <f t="array" ref="AB78">IF($AI78="","",IF(LEFT($AI78,2)="C|",IF($C78="","",SUMPRODUCT($AP$5:$AP$302*($AO$5:$AO$302=$A78),$CK$5:$CK$302)),IF($AI78="CT",AB$13,IF(LEFT($AI78,3)="AM|",IF($C78="","",SUMPRODUCT($AP$5:$AP$302*($AN$5:$AN$302=$A78),$CK$5:$CK$302)),IF(LEFT($AI78,2)="S|",IF($AG78="","",INDEX($CK$5:$CK$302,$AH78)),IF($AI78="HDR","Makeup Target",""))))))</f>
        <v/>
      </c>
      <c r="AC78" s="41" t="str">
        <f t="shared" si="45"/>
        <v/>
      </c>
      <c r="AD78" s="40" t="str" cm="1">
        <f t="array" ref="AD78">IF($AI78="","",IF(LEFT($AI78,2)="C|",IF($C78="","",SUMPRODUCT($AP$5:$AP$302*($AO$5:$AO$302=$A78),$CI$5:$CI$302)),IF($AI78="CT",AD$13,IF(LEFT($AI78,3)="AM|",IF($C78="","",SUMPRODUCT($AP$5:$AP$302*($AN$5:$AN$302=$A78),$CI$5:$CI$302)),IF(LEFT($AI78,2)="S|",IF($AG78="","",INDEX($CI$5:$CI$302,$AH78)),IF($AI78="HDR","Cosmetic Sales",""))))))</f>
        <v/>
      </c>
      <c r="AE78" s="8" t="str" cm="1">
        <f t="array" ref="AE78">IF($AI78="","",IF(LEFT($AI78,2)="C|",IF($C78="","",SUMPRODUCT($AP$5:$AP$302*($AO$5:$AO$302=$A78)*$AQ$5:$AQ$302,$AR$5:$AR$302)),IF($AI78="CT",AE$13,IF(LEFT($AI78,3)="AM|",IF($C78="","",SUMPRODUCT($AP$5:$AP$302*($AN$5:$AN$302=$A78)*$AQ$5:$AQ$302,$AR$5:$AR$302)),IF(LEFT($AI78,2)="S|",IF($AG78="","",IF(INDEX($AQ$5:$AQ$302,$AH78)=1,D78,0)),IF($AI78="HDR","LFL Sales",""))))))</f>
        <v/>
      </c>
      <c r="AF78" s="8" t="str" cm="1">
        <f t="array" ref="AF78">IF($AI78="","",IF(LEFT($AI78,2)="C|",IF($C78="","",SUMPRODUCT($AP$5:$AP$302*($AO$5:$AO$302=$A78)*$AQ$5:$AQ$302,$AS$5:$AS$302)),IF($AI78="CT",AF$13,IF(LEFT($AI78,3)="AM|",IF($C78="","",SUMPRODUCT($AP$5:$AP$302*($AN$5:$AN$302=$A78)*$AQ$5:$AQ$302,$AS$5:$AS$302)),IF(LEFT($AI78,2)="S|",IF($AG78="","",IF(INDEX($AQ$5:$AQ$302,$AH78)=1,P78,0)),IF($AI78="HDR","LFL Trans",""))))))</f>
        <v/>
      </c>
      <c r="AG78" s="8" t="str" cm="1">
        <f t="array" ref="AG78">IF($AI78="","",IF(LEFT($AI78,2)="C|","",IF($AI78="CT","",IF(LEFT($AI78,3)="AM|","",IF(LEFT($AI78,2)="S|",IF($AH78="","",IF(INDEX($AP$5:$AP$302,$AH78)=1,1,"")),IF($AI78="HDR","Show",""))))))</f>
        <v/>
      </c>
      <c r="AH78" s="8" t="str">
        <f t="shared" si="57"/>
        <v/>
      </c>
      <c r="AI78" s="8"/>
      <c r="AN78" s="8" t="str" cm="1">
        <f t="array" ref="AN78">IF($AW78="","",_xlfn.LET(_xlpm.sa,IFERROR(TRIM(INDEX('Sales and count'!$D$4:$D$300,$BF78)&amp;""),""),_xlpm.ta,IFERROR(TRIM(INDEX('TY Sales Target'!$F$5:$F$300,$BG78)&amp;""),""),IF(AND(_xlpm.sa&lt;&gt;"",LEFT(_xlpm.sa,1)&lt;&gt;"#",_xlpm.sa&lt;&gt;"0"),_xlpm.sa,IF(AND(_xlpm.ta&lt;&gt;"",LEFT(_xlpm.ta,1)&lt;&gt;"#",_xlpm.ta&lt;&gt;"0"),_xlpm.ta,IF(ISNUMBER($BG78),"Unassigned","")))))</f>
        <v>Lina Al Ghathami</v>
      </c>
      <c r="AO78" s="8" t="str" cm="1">
        <f t="array" ref="AO78">IF($AW78="","",_xlfn.LET(_xlpm.sa,IFERROR(TRIM(INDEX('Sales and count'!$C$4:$C$300,$BF78)&amp;""),""),_xlpm.ta,IFERROR(TRIM(INDEX('TY Sales Target'!$D$5:$D$300,$BG78)&amp;""),""),IF(AND(_xlpm.sa&lt;&gt;"",LEFT(_xlpm.sa,1)&lt;&gt;"#",_xlpm.sa&lt;&gt;"0"),_xlpm.sa,IF(AND(_xlpm.ta&lt;&gt;"",LEFT(_xlpm.ta,1)&lt;&gt;"#",_xlpm.ta&lt;&gt;"0"),_xlpm.ta,""))))</f>
        <v>Buraidah</v>
      </c>
      <c r="AP78" s="8">
        <f t="shared" si="60"/>
        <v>0</v>
      </c>
      <c r="AQ78" s="8">
        <f t="shared" si="61"/>
        <v>1</v>
      </c>
      <c r="AR78" s="8" cm="1">
        <f t="array" ref="AR78">IF($BF78="",0,_xlfn.LET(_xlpm.d,IFERROR(--'Sales and count'!$G$2:$CC$2,0),SUMPRODUCT(('Sales and count'!$G$3:$CC$3="Total")*(_xlpm.d&gt;=$U$4)*(_xlpm.d&lt;=$U$5),INDEX('Sales and count'!$G$4:$CC$300,$BF78,0))))</f>
        <v>108587.63</v>
      </c>
      <c r="AS78" s="8" cm="1">
        <f t="array" aca="1" ref="AS78" ca="1">IF($BF78="",0,_xlfn.LET(_xlpm.d,IFERROR(--'Sales and count'!$F$2:$CB$2,0),SUMPRODUCT(('Sales and count'!$G$3:$CC$3="Transactions")*(_xlpm.d&gt;=$U$4)*(_xlpm.d&lt;=$U$5),INDEX('Sales and count'!$G$4:$CC$300,$BF78,0))))</f>
        <v>821</v>
      </c>
      <c r="AT78" s="8" cm="1">
        <f t="array" ref="AT78">IF($AW78="",0,SUMPRODUCT((TRIM('LY Sales '!$B$5:$B$200)=$AW78)*('LY Sales '!$C$2:$AG$2&gt;=EDATE($U$4,-12))*('LY Sales '!$C$2:$AG$2&lt;=EDATE($U$5,-12)),'LY Sales '!$C$5:$AG$200))</f>
        <v>148626.55999999997</v>
      </c>
      <c r="AU78" s="8" cm="1">
        <f t="array" ref="AU78">IF($AW78="",0,SUMPRODUCT((TRIM('LY Transaction'!$B$5:$B$200)=$AW78)*('LY Transaction'!$C$2:$AG$2&gt;=EDATE($U$4,-12))*('LY Transaction'!$C$2:$AG$2&lt;=EDATE($U$5,-12)),'LY Transaction'!$C$5:$AG$200))</f>
        <v>1186</v>
      </c>
      <c r="AV78" s="8" cm="1">
        <f t="array" ref="AV78">IF(NOT(ISNUMBER($BG78)),0,SUMPRODUCT(('TY Sales Target'!$K$2:$AO$2&gt;=$U$4)*('TY Sales Target'!$K$2:$AO$2&lt;=$U$5),INDEX('TY Sales Target'!$K$5:$AO$300,$BG78,0)))</f>
        <v>160130.56777807255</v>
      </c>
      <c r="AW78" s="8" t="str" cm="1">
        <f t="array" ref="AW78">IFERROR(INDEX(_xlfn.ANCHORARRAY($BR$5),ROWS($AW$5:AW78)),"")</f>
        <v>BURNPLAZ</v>
      </c>
      <c r="BB78" cm="1">
        <f t="array" ref="BB78">IF($AW78="",0,SUMPRODUCT((TRIM(Footfall!$B$5:$B$301)=$AW78)*(Footfall!$C$1:$BZ$1&gt;=$U$4)*(Footfall!$C$2:$BZ$2&lt;=$U$5)*(Footfall!$C$1:$BZ$1&lt;&gt;""),Footfall!$C$5:$BZ$301))</f>
        <v>5081</v>
      </c>
      <c r="BC78" cm="1">
        <f t="array" aca="1" ref="BC78" ca="1">IF(OR($BB78&lt;=0,$BD$1="",$BF78=""),0,_xlfn.LET(_xlpm.d,IFERROR(--'Sales and count'!$F$2:$CB$2,0),SUMPRODUCT(('Sales and count'!$G$3:$CC$3="Transactions")*(_xlpm.d&gt;=$BD$1)*(_xlpm.d&lt;=$BD$2),INDEX('Sales and count'!$G$4:$CC$300,$BF78,0))))</f>
        <v>821</v>
      </c>
      <c r="BF78" cm="1">
        <f t="array" ref="BF78">IF($AW78="","",IFERROR(MATCH($AW78,TRIM('Sales and count'!$A$4:$A$300&amp;""),0),""))</f>
        <v>74</v>
      </c>
      <c r="BG78" cm="1">
        <f t="array" ref="BG78">IF($AW78="","",IFERROR(MATCH(IFERROR(_xlfn.XLOOKUP($AW78,$BT$5:$BT$22,$BU$5:$BU$22),$AW78),TRIM('TY Sales Target'!$B$5:$B$300&amp;""),0),""))</f>
        <v>64</v>
      </c>
      <c r="BH78" t="str" cm="1">
        <f t="array" ref="BH78">IF(ISNUMBER($BG78),_xlfn.LET(_xlpm.p,TRIM(INDEX('TY Sales Target'!$I$5:$I$300,$BG78)&amp;""),IF(_xlpm.p="","Not set",_xlpm.p)),"Not set")</f>
        <v>Smart Phone</v>
      </c>
      <c r="BI78" cm="1">
        <f t="array" ref="BI78">IF($BF78="",0,_xlfn.LET(_xlpm.d,IFERROR(--'Sales and count'!$G$2:$CC$2,0),SUMPRODUCT(('Sales and count'!$G$3:$CC$3="Total")*(_xlpm.d&gt;=$BZ$5)*(_xlpm.d&lt;=$BZ$6),INDEX('Sales and count'!$G$4:$CC$300,$BF78,0))))</f>
        <v>108587.63</v>
      </c>
      <c r="BJ78" cm="1">
        <f t="array" ref="BJ78">IF($AW78="",0,SUMPRODUCT((TRIM('LY Sales '!$B$5:$B$200)=$AW78)*('LY Sales '!$C$2:$AG$2&gt;=EDATE($BZ$5,-12))*('LY Sales '!$C$2:$AG$2&lt;=EDATE($BZ$6,-12)),'LY Sales '!$C$5:$AG$200))</f>
        <v>148626.55999999997</v>
      </c>
      <c r="BK78" cm="1">
        <f t="array" ref="BK78">IF($AW78="",0,SUMPRODUCT((TRIM('LY Sales '!$B$5:$B$200)=$AW78)*('LY Sales '!$C$2:$AG$2&gt;=EDATE($BZ$5,-12))*('LY Sales '!$C$2:$AG$2&lt;=EDATE($BZ$7,-12)),'LY Sales '!$C$5:$AG$200))</f>
        <v>199864.37999999998</v>
      </c>
      <c r="BL78" cm="1">
        <f t="array" ref="BL78">IF($AW78="",0,SUMPRODUCT((TRIM('LY Sales '!$B$5:$B$200)=$AW78)*('LY Sales '!$C$2:$AG$2&gt;=EDATE($BZ$5,-12))*('LY Sales '!$C$2:$AG$2&lt;=EDATE($BZ$6,-12))*('LY Sales '!$C$5:$AG$200&gt;0)))</f>
        <v>26</v>
      </c>
      <c r="BM78" cm="1">
        <f t="array" ref="BM78">IF(NOT(ISNUMBER($BG78)),0,SUMPRODUCT(('TY Sales Target'!$K$2:$AO$2&gt;=$BZ$5)*('TY Sales Target'!$K$2:$AO$2&lt;=$BZ$6),INDEX('TY Sales Target'!$K$5:$AO$300,$BG78,0)))</f>
        <v>160130.56777807255</v>
      </c>
      <c r="BN78" cm="1">
        <f t="array" ref="BN78">IF(NOT(ISNUMBER($BG78)),0,SUMPRODUCT(('TY Sales Target'!$K$2:$AO$2&gt;=$BZ$5)*('TY Sales Target'!$K$2:$AO$2&lt;=$BZ$7),INDEX('TY Sales Target'!$K$5:$AO$300,$BG78,0)))</f>
        <v>209000</v>
      </c>
      <c r="BO78" cm="1">
        <f t="array" ref="BO78">IF($AW78="",0,IFERROR(_xlfn.SWITCH($BP78,"LY trend",$BI78*$BK78/$BJ78,"Target curve",$BI78*$BN78/$BM78,"Run rate",$BI78/$BZ$8*$BZ$9,0),0))</f>
        <v>146022.3485332595</v>
      </c>
      <c r="BP78" t="str">
        <f t="shared" si="59"/>
        <v>LY trend</v>
      </c>
      <c r="BR78" t="str">
        <v>BURNPLAZ</v>
      </c>
      <c r="CB78" cm="1">
        <f t="array" ref="CB78">IF($AW78="",0,_xlfn.LET(_xlpm.k,IFERROR(_xlfn.XLOOKUP($AW78,$CD$6:$CD$21,$CE$6:$CE$21),$AW78),SUMPRODUCT((TRIM('Makeup '!$A$2:$A$300&amp;"")=_xlpm.k)*1,IFERROR('Makeup '!$F$2:$F$300*1,0))))</f>
        <v>8628.02</v>
      </c>
      <c r="CF78" t="str" cm="1">
        <f t="array" ref="CF78">IF($AW78="","",_xlfn.LET(_xlpm.c,IFERROR(TRIM(INDEX('Sales and count'!$B$4:$B$300,$BF78)&amp;""),""),IF(OR(_xlpm.c="",_xlpm.c="0",LEFT(_xlpm.c,1)="#"),"Not set",_xlpm.c)))</f>
        <v>KSA</v>
      </c>
      <c r="CH78" cm="1">
        <f t="array" ref="CH78">IF($AW78="",0,_xlfn.LET(_xlpm.k,IFERROR(_xlfn.XLOOKUP($AW78,$CD$6:$CD$21,$CE$6:$CE$21),$AW78),--(SUMPRODUCT((TRIM('Makeup '!$A$2:$A$300&amp;"")=_xlpm.k)*ISNUMBER('Makeup '!$F$2:$F$300))&gt;0)))</f>
        <v>1</v>
      </c>
      <c r="CI78">
        <f t="shared" si="62"/>
        <v>108587.63</v>
      </c>
      <c r="CJ78" cm="1">
        <f t="array" ref="CJ78">IF($AW78="",0,--(SUMPRODUCT(--(TRIM(Footfall!$B$5:$B$301)=$AW78))&gt;0))</f>
        <v>1</v>
      </c>
      <c r="CK78" s="8" cm="1">
        <f t="array" ref="CK78">IF($AW78="",0,_xlfn.LET(_xlpm.r,IFERROR(MATCH(IFERROR(_xlfn.XLOOKUP($AW78,$BT$5:$BT$22,$BU$5:$BU$22),$AW78),TRIM('TY Beauty Target'!$B$5:$B$300&amp;""),0),""),IF(ISNUMBER(_xlpm.r),SUMPRODUCT(('TY Beauty Target'!$L$2:$AP$2&gt;=$U$4)*('TY Beauty Target'!$L$2:$AP$2&lt;=$U$5),INDEX('TY Beauty Target'!$L$5:$AP$300,_xlpm.r,0)),0)))</f>
        <v>14252.876129398477</v>
      </c>
    </row>
    <row r="79" spans="1:89" ht="15" customHeight="1" x14ac:dyDescent="0.25">
      <c r="A79" s="38" t="str">
        <f t="shared" si="58"/>
        <v/>
      </c>
      <c r="B79" s="43" t="str" cm="1">
        <f t="array" ref="B79">IF($AI79="","",IF(LEFT($AI79,2)="C|",IF($C79="","",_xlfn.TEXTJOIN(", ",TRUE,_xlfn.UNIQUE(_xlfn._xlws.FILTER($AN$5:$AN$302,($AP$5:$AP$302=1)*($AO$5:$AO$302=$A79))))),IF($AI79="CT",B$13,IF(LEFT($AI79,3)="AM|",IF($C79="","",ROWS(_xlfn.UNIQUE(_xlfn._xlws.FILTER($AO$5:$AO$302,($AP$5:$AP$302=1)*($AN$5:$AN$302=$A79))))),IF(LEFT($AI79,2)="S|",IF($AG79="","",INDEX($AO$5:$AO$302,$AH79)),IF($AI79="HDR","City",""))))))</f>
        <v/>
      </c>
      <c r="C79" s="39" t="str" cm="1">
        <f t="array" ref="C79">IF($AI79="","",IF(LEFT($AI79,2)="C|",_xlfn.LET(_xlpm.n,SUMPRODUCT($AP$5:$AP$302*($AO$5:$AO$302=$A79)),IF(_xlpm.n=0,"",_xlpm.n)),IF($AI79="CT",C$13,IF(LEFT($AI79,3)="AM|",_xlfn.LET(_xlpm.n,SUMPRODUCT($AP$5:$AP$302*($AN$5:$AN$302=$A79)),IF(_xlpm.n=0,"",_xlpm.n)),IF(LEFT($AI79,2)="S|","",IF($AI79="HDR","# Stores",""))))))</f>
        <v/>
      </c>
      <c r="D79" s="40" t="str" cm="1">
        <f t="array" ref="D79">IF($AI79="","",IF(LEFT($AI79,2)="C|",IF($C79="","",SUMPRODUCT($AP$5:$AP$302*($AO$5:$AO$302=$A79),$AR$5:$AR$302)),IF($AI79="CT",D$13,IF(LEFT($AI79,3)="AM|",IF($C79="","",SUMPRODUCT($AP$5:$AP$302*($AN$5:$AN$302=$A79),$AR$5:$AR$302)),IF(LEFT($AI79,2)="S|",IF($AG79="","",INDEX($AR$5:$AR$302,$AH79)),IF($AI79="HDR","Sales TY",""))))))</f>
        <v/>
      </c>
      <c r="E79" s="40" t="str" cm="1">
        <f t="array" ref="E79">IF($AI79="","",IF(LEFT($AI79,2)="C|",IF($C79="","",SUMPRODUCT($AP$5:$AP$302*($AO$5:$AO$302=$A79),$AT$5:$AT$302)),IF($AI79="CT",E$13,IF(LEFT($AI79,3)="AM|",IF($C79="","",SUMPRODUCT($AP$5:$AP$302*($AN$5:$AN$302=$A79),$AT$5:$AT$302)),IF(LEFT($AI79,2)="S|",IF($AG79="","",INDEX($AT$5:$AT$302,$AH79)),IF($AI79="HDR","Sales LY",""))))))</f>
        <v/>
      </c>
      <c r="F79" s="41" t="str">
        <f t="shared" si="46"/>
        <v/>
      </c>
      <c r="G79" s="41" t="str">
        <f t="shared" si="47"/>
        <v/>
      </c>
      <c r="H79" s="40" t="str" cm="1">
        <f t="array" ref="H79">IF($AI79="","",IF(LEFT($AI79,2)="C|",IF($C79="","",SUMPRODUCT($AP$5:$AP$302*($AO$5:$AO$302=$A79),$AV$5:$AV$302)),IF($AI79="CT",H$13,IF(LEFT($AI79,3)="AM|",IF($C79="","",SUMPRODUCT($AP$5:$AP$302*($AN$5:$AN$302=$A79),$AV$5:$AV$302)),IF(LEFT($AI79,2)="S|",IF($AG79="","",INDEX($AV$5:$AV$302,$AH79)),IF($AI79="HDR","Target",""))))))</f>
        <v/>
      </c>
      <c r="I79" s="41" t="str">
        <f t="shared" si="48"/>
        <v/>
      </c>
      <c r="J79" s="40" t="str">
        <f t="shared" si="49"/>
        <v/>
      </c>
      <c r="K79" s="41" t="str">
        <f t="shared" si="50"/>
        <v/>
      </c>
      <c r="L79" s="40" t="str" cm="1">
        <f t="array" ref="L79">IF($AI79="","",IF(LEFT($AI79,2)="C|",IF($C79="","",SUMPRODUCT($AP$5:$AP$302*($AO$5:$AO$302=$A79),$BN$5:$BN$302)),IF($AI79="CT",L$13,IF(LEFT($AI79,3)="AM|",IF($C79="","",SUMPRODUCT($AP$5:$AP$302*($AN$5:$AN$302=$A79),$BN$5:$BN$302)),IF(LEFT($AI79,2)="S|",IF($AG79="","",INDEX($BN$5:$BN$302,$AH79)),IF($AI79="HDR","Month Target",""))))))</f>
        <v/>
      </c>
      <c r="M79" s="40" t="str" cm="1">
        <f t="array" ref="M79">IF($AI79="","",IF(LEFT($AI79,2)="C|",IF($C79="","",SUMPRODUCT($AP$5:$AP$302*($AO$5:$AO$302=$A79),$BO$5:$BO$302)),IF($AI79="CT",M$13,IF(LEFT($AI79,3)="AM|",IF($C79="","",SUMPRODUCT($AP$5:$AP$302*($AN$5:$AN$302=$A79),$BO$5:$BO$302)),IF(LEFT($AI79,2)="S|",IF($AG79="","",INDEX($BO$5:$BO$302,$AH79)),IF($AI79="HDR","Projected Close",""))))))</f>
        <v/>
      </c>
      <c r="N79" s="41" t="str">
        <f t="shared" si="43"/>
        <v/>
      </c>
      <c r="O79" s="41" t="str" cm="1">
        <f t="array" ref="O79">IF($AI79="HDR","Proj. vs LY",IF(OR($AI79="",M79=""),"",_xlfn.LET(_xlpm.ly,IF(LEFT($AI79,2)="C|",SUMPRODUCT($AP$5:$AP$302*($AO$5:$AO$302=$A79),$BK$5:$BK$302),IF($AI79="CT",SUMPRODUCT($AP$5:$AP$302,$BK$5:$BK$302),IF(LEFT($AI79,3)="AM|",SUMPRODUCT($AP$5:$AP$302*($AN$5:$AN$302=$A79),$BK$5:$BK$302),IF(LEFT($AI79,2)="S|",INDEX($BK$5:$BK$302,$AH79),0)))),IFERROR(M79/_xlpm.ly-1,""))))</f>
        <v/>
      </c>
      <c r="P79" s="40" t="str" cm="1">
        <f t="array" ref="P79">IF($AI79="","",IF(LEFT($AI79,2)="C|",IF($C79="","",SUMPRODUCT($AP$5:$AP$302*($AO$5:$AO$302=$A79),$AS$5:$AS$302)),IF($AI79="CT",P$13,IF(LEFT($AI79,3)="AM|",IF($C79="","",SUMPRODUCT($AP$5:$AP$302*($AN$5:$AN$302=$A79),$AS$5:$AS$302)),IF(LEFT($AI79,2)="S|",IF($AG79="","",INDEX($AS$5:$AS$302,$AH79)),IF($AI79="HDR","Trans TY",""))))))</f>
        <v/>
      </c>
      <c r="Q79" s="40" t="str" cm="1">
        <f t="array" ref="Q79">IF($AI79="","",IF(LEFT($AI79,2)="C|",IF($C79="","",SUMPRODUCT($AP$5:$AP$302*($AO$5:$AO$302=$A79),$AU$5:$AU$302)),IF($AI79="CT",Q$13,IF(LEFT($AI79,3)="AM|",IF($C79="","",SUMPRODUCT($AP$5:$AP$302*($AN$5:$AN$302=$A79),$AU$5:$AU$302)),IF(LEFT($AI79,2)="S|",IF($AG79="","",INDEX($AU$5:$AU$302,$AH79)),IF($AI79="HDR","Trans LY",""))))))</f>
        <v/>
      </c>
      <c r="R79" s="41" t="str">
        <f t="shared" si="51"/>
        <v/>
      </c>
      <c r="S79" s="41" t="str">
        <f t="shared" si="52"/>
        <v/>
      </c>
      <c r="T79" s="42" t="str">
        <f t="shared" si="53"/>
        <v/>
      </c>
      <c r="U79" s="42" t="str">
        <f t="shared" si="54"/>
        <v/>
      </c>
      <c r="V79" s="41" t="str">
        <f t="shared" si="55"/>
        <v/>
      </c>
      <c r="W79" s="40" t="str" cm="1">
        <f t="array" ref="W79">IF($AI79="","",IF(LEFT($AI79,2)="C|",_xlfn.LET(_xlpm.n,SUMPRODUCT($AP$5:$AP$302*($AO$5:$AO$302=$A79),$BB$5:$BB$302),IF(_xlpm.n=0,"",_xlpm.n)),IF($AI79="CT",W$13,IF(LEFT($AI79,3)="AM|",_xlfn.LET(_xlpm.n,SUMPRODUCT($AP$5:$AP$302*($AN$5:$AN$302=$A79),$BB$5:$BB$302),IF(_xlpm.n=0,"",_xlpm.n)),IF(LEFT($AI79,2)="S|",IF($AG79="","",_xlfn.LET(_xlpm.n,INDEX($BB$5:$BB$302,$AH79),IF(_xlpm.n=0,"",_xlpm.n))),IF($AI79="HDR","Footfall",""))))))</f>
        <v/>
      </c>
      <c r="X79" s="40" t="str" cm="1">
        <f t="array" ref="X79">IF($AI79="","",IF($AI79="HDR","Trans (FF stores)",IF(W79="","",IF(LEFT($AI79,2)="C|",SUMPRODUCT($AP$5:$AP$302*($AO$5:$AO$302=$A79),$BC$5:$BC$302),IF($AI79="CT",X$13,IF(LEFT($AI79,3)="AM|",SUMPRODUCT($AP$5:$AP$302*($AN$5:$AN$302=$A79),$BC$5:$BC$302),IF(LEFT($AI79,2)="S|",INDEX($BC$5:$BC$302,$AH79),"")))))))</f>
        <v/>
      </c>
      <c r="Y79" s="41" t="str">
        <f t="shared" si="44"/>
        <v/>
      </c>
      <c r="Z79" s="40" t="str" cm="1">
        <f t="array" ref="Z79">IF($AI79="","",IF(LEFT($AI79,2)="C|",IF($C79="","",SUMPRODUCT($AP$5:$AP$302*($AO$5:$AO$302=$A79),$CB$5:$CB$302)),IF($AI79="CT",Z$13,IF(LEFT($AI79,3)="AM|",IF($C79="","",SUMPRODUCT($AP$5:$AP$302*($AN$5:$AN$302=$A79),$CB$5:$CB$302)),IF(LEFT($AI79,2)="S|",IF($AG79="","",INDEX($CB$5:$CB$302,$AH79)),IF($AI79="HDR","Makeup Sales",""))))))</f>
        <v/>
      </c>
      <c r="AA79" s="41" t="str">
        <f t="shared" si="56"/>
        <v/>
      </c>
      <c r="AB79" s="40" t="str" cm="1">
        <f t="array" ref="AB79">IF($AI79="","",IF(LEFT($AI79,2)="C|",IF($C79="","",SUMPRODUCT($AP$5:$AP$302*($AO$5:$AO$302=$A79),$CK$5:$CK$302)),IF($AI79="CT",AB$13,IF(LEFT($AI79,3)="AM|",IF($C79="","",SUMPRODUCT($AP$5:$AP$302*($AN$5:$AN$302=$A79),$CK$5:$CK$302)),IF(LEFT($AI79,2)="S|",IF($AG79="","",INDEX($CK$5:$CK$302,$AH79)),IF($AI79="HDR","Makeup Target",""))))))</f>
        <v/>
      </c>
      <c r="AC79" s="41" t="str">
        <f t="shared" si="45"/>
        <v/>
      </c>
      <c r="AD79" s="40" t="str" cm="1">
        <f t="array" ref="AD79">IF($AI79="","",IF(LEFT($AI79,2)="C|",IF($C79="","",SUMPRODUCT($AP$5:$AP$302*($AO$5:$AO$302=$A79),$CI$5:$CI$302)),IF($AI79="CT",AD$13,IF(LEFT($AI79,3)="AM|",IF($C79="","",SUMPRODUCT($AP$5:$AP$302*($AN$5:$AN$302=$A79),$CI$5:$CI$302)),IF(LEFT($AI79,2)="S|",IF($AG79="","",INDEX($CI$5:$CI$302,$AH79)),IF($AI79="HDR","Cosmetic Sales",""))))))</f>
        <v/>
      </c>
      <c r="AE79" s="8" t="str" cm="1">
        <f t="array" ref="AE79">IF($AI79="","",IF(LEFT($AI79,2)="C|",IF($C79="","",SUMPRODUCT($AP$5:$AP$302*($AO$5:$AO$302=$A79)*$AQ$5:$AQ$302,$AR$5:$AR$302)),IF($AI79="CT",AE$13,IF(LEFT($AI79,3)="AM|",IF($C79="","",SUMPRODUCT($AP$5:$AP$302*($AN$5:$AN$302=$A79)*$AQ$5:$AQ$302,$AR$5:$AR$302)),IF(LEFT($AI79,2)="S|",IF($AG79="","",IF(INDEX($AQ$5:$AQ$302,$AH79)=1,D79,0)),IF($AI79="HDR","LFL Sales",""))))))</f>
        <v/>
      </c>
      <c r="AF79" s="8" t="str" cm="1">
        <f t="array" ref="AF79">IF($AI79="","",IF(LEFT($AI79,2)="C|",IF($C79="","",SUMPRODUCT($AP$5:$AP$302*($AO$5:$AO$302=$A79)*$AQ$5:$AQ$302,$AS$5:$AS$302)),IF($AI79="CT",AF$13,IF(LEFT($AI79,3)="AM|",IF($C79="","",SUMPRODUCT($AP$5:$AP$302*($AN$5:$AN$302=$A79)*$AQ$5:$AQ$302,$AS$5:$AS$302)),IF(LEFT($AI79,2)="S|",IF($AG79="","",IF(INDEX($AQ$5:$AQ$302,$AH79)=1,P79,0)),IF($AI79="HDR","LFL Trans",""))))))</f>
        <v/>
      </c>
      <c r="AG79" s="8" t="str" cm="1">
        <f t="array" ref="AG79">IF($AI79="","",IF(LEFT($AI79,2)="C|","",IF($AI79="CT","",IF(LEFT($AI79,3)="AM|","",IF(LEFT($AI79,2)="S|",IF($AH79="","",IF(INDEX($AP$5:$AP$302,$AH79)=1,1,"")),IF($AI79="HDR","Show",""))))))</f>
        <v/>
      </c>
      <c r="AH79" s="8" t="str">
        <f t="shared" si="57"/>
        <v/>
      </c>
      <c r="AI79" s="8"/>
      <c r="AN79" s="8" t="str" cm="1">
        <f t="array" ref="AN79">IF($AW79="","",_xlfn.LET(_xlpm.sa,IFERROR(TRIM(INDEX('Sales and count'!$D$4:$D$300,$BF79)&amp;""),""),_xlpm.ta,IFERROR(TRIM(INDEX('TY Sales Target'!$F$5:$F$300,$BG79)&amp;""),""),IF(AND(_xlpm.sa&lt;&gt;"",LEFT(_xlpm.sa,1)&lt;&gt;"#",_xlpm.sa&lt;&gt;"0"),_xlpm.sa,IF(AND(_xlpm.ta&lt;&gt;"",LEFT(_xlpm.ta,1)&lt;&gt;"#",_xlpm.ta&lt;&gt;"0"),_xlpm.ta,IF(ISNUMBER($BG79),"Unassigned","")))))</f>
        <v>Saleh Bin Hoiel</v>
      </c>
      <c r="AO79" s="8" t="str" cm="1">
        <f t="array" ref="AO79">IF($AW79="","",_xlfn.LET(_xlpm.sa,IFERROR(TRIM(INDEX('Sales and count'!$C$4:$C$300,$BF79)&amp;""),""),_xlpm.ta,IFERROR(TRIM(INDEX('TY Sales Target'!$D$5:$D$300,$BG79)&amp;""),""),IF(AND(_xlpm.sa&lt;&gt;"",LEFT(_xlpm.sa,1)&lt;&gt;"#",_xlpm.sa&lt;&gt;"0"),_xlpm.sa,IF(AND(_xlpm.ta&lt;&gt;"",LEFT(_xlpm.ta,1)&lt;&gt;"#",_xlpm.ta&lt;&gt;"0"),_xlpm.ta,""))))</f>
        <v>Jeddah</v>
      </c>
      <c r="AP79" s="8">
        <f t="shared" si="60"/>
        <v>1</v>
      </c>
      <c r="AQ79" s="8">
        <f t="shared" si="61"/>
        <v>1</v>
      </c>
      <c r="AR79" s="8" cm="1">
        <f t="array" ref="AR79">IF($BF79="",0,_xlfn.LET(_xlpm.d,IFERROR(--'Sales and count'!$G$2:$CC$2,0),SUMPRODUCT(('Sales and count'!$G$3:$CC$3="Total")*(_xlpm.d&gt;=$U$4)*(_xlpm.d&lt;=$U$5),INDEX('Sales and count'!$G$4:$CC$300,$BF79,0))))</f>
        <v>131653.41</v>
      </c>
      <c r="AS79" s="8" cm="1">
        <f t="array" aca="1" ref="AS79" ca="1">IF($BF79="",0,_xlfn.LET(_xlpm.d,IFERROR(--'Sales and count'!$F$2:$CB$2,0),SUMPRODUCT(('Sales and count'!$G$3:$CC$3="Transactions")*(_xlpm.d&gt;=$U$4)*(_xlpm.d&lt;=$U$5),INDEX('Sales and count'!$G$4:$CC$300,$BF79,0))))</f>
        <v>958</v>
      </c>
      <c r="AT79" s="8" cm="1">
        <f t="array" ref="AT79">IF($AW79="",0,SUMPRODUCT((TRIM('LY Sales '!$B$5:$B$200)=$AW79)*('LY Sales '!$C$2:$AG$2&gt;=EDATE($U$4,-12))*('LY Sales '!$C$2:$AG$2&lt;=EDATE($U$5,-12)),'LY Sales '!$C$5:$AG$200))</f>
        <v>179665.67999999996</v>
      </c>
      <c r="AU79" s="8" cm="1">
        <f t="array" ref="AU79">IF($AW79="",0,SUMPRODUCT((TRIM('LY Transaction'!$B$5:$B$200)=$AW79)*('LY Transaction'!$C$2:$AG$2&gt;=EDATE($U$4,-12))*('LY Transaction'!$C$2:$AG$2&lt;=EDATE($U$5,-12)),'LY Transaction'!$C$5:$AG$200))</f>
        <v>1401</v>
      </c>
      <c r="AV79" s="8" cm="1">
        <f t="array" ref="AV79">IF(NOT(ISNUMBER($BG79)),0,SUMPRODUCT(('TY Sales Target'!$K$2:$AO$2&gt;=$U$4)*('TY Sales Target'!$K$2:$AO$2&lt;=$U$5),INDEX('TY Sales Target'!$K$5:$AO$300,$BG79,0)))</f>
        <v>210698.11549746388</v>
      </c>
      <c r="AW79" s="8" t="str" cm="1">
        <f t="array" ref="AW79">IFERROR(INDEX(_xlfn.ANCHORARRAY($BR$5),ROWS($AW$5:AW79)),"")</f>
        <v>JEDDYASMN</v>
      </c>
      <c r="BB79" cm="1">
        <f t="array" ref="BB79">IF($AW79="",0,SUMPRODUCT((TRIM(Footfall!$B$5:$B$301)=$AW79)*(Footfall!$C$1:$BZ$1&gt;=$U$4)*(Footfall!$C$2:$BZ$2&lt;=$U$5)*(Footfall!$C$1:$BZ$1&lt;&gt;""),Footfall!$C$5:$BZ$301))</f>
        <v>6095</v>
      </c>
      <c r="BC79" cm="1">
        <f t="array" aca="1" ref="BC79" ca="1">IF(OR($BB79&lt;=0,$BD$1="",$BF79=""),0,_xlfn.LET(_xlpm.d,IFERROR(--'Sales and count'!$F$2:$CB$2,0),SUMPRODUCT(('Sales and count'!$G$3:$CC$3="Transactions")*(_xlpm.d&gt;=$BD$1)*(_xlpm.d&lt;=$BD$2),INDEX('Sales and count'!$G$4:$CC$300,$BF79,0))))</f>
        <v>958</v>
      </c>
      <c r="BF79" cm="1">
        <f t="array" ref="BF79">IF($AW79="","",IFERROR(MATCH($AW79,TRIM('Sales and count'!$A$4:$A$300&amp;""),0),""))</f>
        <v>75</v>
      </c>
      <c r="BG79" cm="1">
        <f t="array" ref="BG79">IF($AW79="","",IFERROR(MATCH(IFERROR(_xlfn.XLOOKUP($AW79,$BT$5:$BT$22,$BU$5:$BU$22),$AW79),TRIM('TY Sales Target'!$B$5:$B$300&amp;""),0),""))</f>
        <v>39</v>
      </c>
      <c r="BH79" t="str" cm="1">
        <f t="array" ref="BH79">IF(ISNUMBER($BG79),_xlfn.LET(_xlpm.p,TRIM(INDEX('TY Sales Target'!$I$5:$I$300,$BG79)&amp;""),IF(_xlpm.p="","Not set",_xlpm.p)),"Not set")</f>
        <v>Smart Phone</v>
      </c>
      <c r="BI79" cm="1">
        <f t="array" ref="BI79">IF($BF79="",0,_xlfn.LET(_xlpm.d,IFERROR(--'Sales and count'!$G$2:$CC$2,0),SUMPRODUCT(('Sales and count'!$G$3:$CC$3="Total")*(_xlpm.d&gt;=$BZ$5)*(_xlpm.d&lt;=$BZ$6),INDEX('Sales and count'!$G$4:$CC$300,$BF79,0))))</f>
        <v>131653.41</v>
      </c>
      <c r="BJ79" cm="1">
        <f t="array" ref="BJ79">IF($AW79="",0,SUMPRODUCT((TRIM('LY Sales '!$B$5:$B$200)=$AW79)*('LY Sales '!$C$2:$AG$2&gt;=EDATE($BZ$5,-12))*('LY Sales '!$C$2:$AG$2&lt;=EDATE($BZ$6,-12)),'LY Sales '!$C$5:$AG$200))</f>
        <v>179665.67999999996</v>
      </c>
      <c r="BK79" cm="1">
        <f t="array" ref="BK79">IF($AW79="",0,SUMPRODUCT((TRIM('LY Sales '!$B$5:$B$200)=$AW79)*('LY Sales '!$C$2:$AG$2&gt;=EDATE($BZ$5,-12))*('LY Sales '!$C$2:$AG$2&lt;=EDATE($BZ$7,-12)),'LY Sales '!$C$5:$AG$200))</f>
        <v>230093.42999999996</v>
      </c>
      <c r="BL79" cm="1">
        <f t="array" ref="BL79">IF($AW79="",0,SUMPRODUCT((TRIM('LY Sales '!$B$5:$B$200)=$AW79)*('LY Sales '!$C$2:$AG$2&gt;=EDATE($BZ$5,-12))*('LY Sales '!$C$2:$AG$2&lt;=EDATE($BZ$6,-12))*('LY Sales '!$C$5:$AG$200&gt;0)))</f>
        <v>26</v>
      </c>
      <c r="BM79" cm="1">
        <f t="array" ref="BM79">IF(NOT(ISNUMBER($BG79)),0,SUMPRODUCT(('TY Sales Target'!$K$2:$AO$2&gt;=$BZ$5)*('TY Sales Target'!$K$2:$AO$2&lt;=$BZ$6),INDEX('TY Sales Target'!$K$5:$AO$300,$BG79,0)))</f>
        <v>210698.11549746388</v>
      </c>
      <c r="BN79" cm="1">
        <f t="array" ref="BN79">IF(NOT(ISNUMBER($BG79)),0,SUMPRODUCT(('TY Sales Target'!$K$2:$AO$2&gt;=$BZ$5)*('TY Sales Target'!$K$2:$AO$2&lt;=$BZ$7),INDEX('TY Sales Target'!$K$5:$AO$300,$BG79,0)))</f>
        <v>275000</v>
      </c>
      <c r="BO79" cm="1">
        <f t="array" ref="BO79">IF($AW79="",0,IFERROR(_xlfn.SWITCH($BP79,"LY trend",$BI79*$BK79/$BJ79,"Target curve",$BI79*$BN79/$BM79,"Run rate",$BI79/$BZ$8*$BZ$9,0),0))</f>
        <v>168605.293332017</v>
      </c>
      <c r="BP79" t="str">
        <f t="shared" si="59"/>
        <v>LY trend</v>
      </c>
      <c r="BR79" t="str">
        <v>JEDDYASMN</v>
      </c>
      <c r="CB79" cm="1">
        <f t="array" ref="CB79">IF($AW79="",0,_xlfn.LET(_xlpm.k,IFERROR(_xlfn.XLOOKUP($AW79,$CD$6:$CD$21,$CE$6:$CE$21),$AW79),SUMPRODUCT((TRIM('Makeup '!$A$2:$A$300&amp;"")=_xlpm.k)*1,IFERROR('Makeup '!$F$2:$F$300*1,0))))</f>
        <v>6609.55</v>
      </c>
      <c r="CF79" t="str" cm="1">
        <f t="array" ref="CF79">IF($AW79="","",_xlfn.LET(_xlpm.c,IFERROR(TRIM(INDEX('Sales and count'!$B$4:$B$300,$BF79)&amp;""),""),IF(OR(_xlpm.c="",_xlpm.c="0",LEFT(_xlpm.c,1)="#"),"Not set",_xlpm.c)))</f>
        <v>KSA</v>
      </c>
      <c r="CH79" cm="1">
        <f t="array" ref="CH79">IF($AW79="",0,_xlfn.LET(_xlpm.k,IFERROR(_xlfn.XLOOKUP($AW79,$CD$6:$CD$21,$CE$6:$CE$21),$AW79),--(SUMPRODUCT((TRIM('Makeup '!$A$2:$A$300&amp;"")=_xlpm.k)*ISNUMBER('Makeup '!$F$2:$F$300))&gt;0)))</f>
        <v>1</v>
      </c>
      <c r="CI79">
        <f t="shared" si="62"/>
        <v>131653.41</v>
      </c>
      <c r="CJ79" cm="1">
        <f t="array" ref="CJ79">IF($AW79="",0,--(SUMPRODUCT(--(TRIM(Footfall!$B$5:$B$301)=$AW79))&gt;0))</f>
        <v>1</v>
      </c>
      <c r="CK79" s="8" cm="1">
        <f t="array" ref="CK79">IF($AW79="",0,_xlfn.LET(_xlpm.r,IFERROR(MATCH(IFERROR(_xlfn.XLOOKUP($AW79,$BT$5:$BT$22,$BU$5:$BU$22),$AW79),TRIM('TY Beauty Target'!$B$5:$B$300&amp;""),0),""),IF(ISNUMBER(_xlpm.r),SUMPRODUCT(('TY Beauty Target'!$L$2:$AP$2&gt;=$U$4)*('TY Beauty Target'!$L$2:$AP$2&lt;=$U$5),INDEX('TY Beauty Target'!$L$5:$AP$300,_xlpm.r,0)),0)))</f>
        <v>14888.572130525299</v>
      </c>
    </row>
    <row r="80" spans="1:89" ht="15" customHeight="1" x14ac:dyDescent="0.25">
      <c r="A80" s="38" t="str">
        <f t="shared" si="58"/>
        <v/>
      </c>
      <c r="B80" s="43" t="str" cm="1">
        <f t="array" ref="B80">IF($AI80="","",IF(LEFT($AI80,2)="C|",IF($C80="","",_xlfn.TEXTJOIN(", ",TRUE,_xlfn.UNIQUE(_xlfn._xlws.FILTER($AN$5:$AN$302,($AP$5:$AP$302=1)*($AO$5:$AO$302=$A80))))),IF($AI80="CT",B$13,IF(LEFT($AI80,3)="AM|",IF($C80="","",ROWS(_xlfn.UNIQUE(_xlfn._xlws.FILTER($AO$5:$AO$302,($AP$5:$AP$302=1)*($AN$5:$AN$302=$A80))))),IF(LEFT($AI80,2)="S|",IF($AG80="","",INDEX($AO$5:$AO$302,$AH80)),IF($AI80="HDR","City",""))))))</f>
        <v/>
      </c>
      <c r="C80" s="39" t="str" cm="1">
        <f t="array" ref="C80">IF($AI80="","",IF(LEFT($AI80,2)="C|",_xlfn.LET(_xlpm.n,SUMPRODUCT($AP$5:$AP$302*($AO$5:$AO$302=$A80)),IF(_xlpm.n=0,"",_xlpm.n)),IF($AI80="CT",C$13,IF(LEFT($AI80,3)="AM|",_xlfn.LET(_xlpm.n,SUMPRODUCT($AP$5:$AP$302*($AN$5:$AN$302=$A80)),IF(_xlpm.n=0,"",_xlpm.n)),IF(LEFT($AI80,2)="S|","",IF($AI80="HDR","# Stores",""))))))</f>
        <v/>
      </c>
      <c r="D80" s="40" t="str" cm="1">
        <f t="array" ref="D80">IF($AI80="","",IF(LEFT($AI80,2)="C|",IF($C80="","",SUMPRODUCT($AP$5:$AP$302*($AO$5:$AO$302=$A80),$AR$5:$AR$302)),IF($AI80="CT",D$13,IF(LEFT($AI80,3)="AM|",IF($C80="","",SUMPRODUCT($AP$5:$AP$302*($AN$5:$AN$302=$A80),$AR$5:$AR$302)),IF(LEFT($AI80,2)="S|",IF($AG80="","",INDEX($AR$5:$AR$302,$AH80)),IF($AI80="HDR","Sales TY",""))))))</f>
        <v/>
      </c>
      <c r="E80" s="40" t="str" cm="1">
        <f t="array" ref="E80">IF($AI80="","",IF(LEFT($AI80,2)="C|",IF($C80="","",SUMPRODUCT($AP$5:$AP$302*($AO$5:$AO$302=$A80),$AT$5:$AT$302)),IF($AI80="CT",E$13,IF(LEFT($AI80,3)="AM|",IF($C80="","",SUMPRODUCT($AP$5:$AP$302*($AN$5:$AN$302=$A80),$AT$5:$AT$302)),IF(LEFT($AI80,2)="S|",IF($AG80="","",INDEX($AT$5:$AT$302,$AH80)),IF($AI80="HDR","Sales LY",""))))))</f>
        <v/>
      </c>
      <c r="F80" s="41" t="str">
        <f t="shared" si="46"/>
        <v/>
      </c>
      <c r="G80" s="41" t="str">
        <f t="shared" si="47"/>
        <v/>
      </c>
      <c r="H80" s="40" t="str" cm="1">
        <f t="array" ref="H80">IF($AI80="","",IF(LEFT($AI80,2)="C|",IF($C80="","",SUMPRODUCT($AP$5:$AP$302*($AO$5:$AO$302=$A80),$AV$5:$AV$302)),IF($AI80="CT",H$13,IF(LEFT($AI80,3)="AM|",IF($C80="","",SUMPRODUCT($AP$5:$AP$302*($AN$5:$AN$302=$A80),$AV$5:$AV$302)),IF(LEFT($AI80,2)="S|",IF($AG80="","",INDEX($AV$5:$AV$302,$AH80)),IF($AI80="HDR","Target",""))))))</f>
        <v/>
      </c>
      <c r="I80" s="41" t="str">
        <f t="shared" si="48"/>
        <v/>
      </c>
      <c r="J80" s="40" t="str">
        <f t="shared" si="49"/>
        <v/>
      </c>
      <c r="K80" s="41" t="str">
        <f t="shared" si="50"/>
        <v/>
      </c>
      <c r="L80" s="40" t="str" cm="1">
        <f t="array" ref="L80">IF($AI80="","",IF(LEFT($AI80,2)="C|",IF($C80="","",SUMPRODUCT($AP$5:$AP$302*($AO$5:$AO$302=$A80),$BN$5:$BN$302)),IF($AI80="CT",L$13,IF(LEFT($AI80,3)="AM|",IF($C80="","",SUMPRODUCT($AP$5:$AP$302*($AN$5:$AN$302=$A80),$BN$5:$BN$302)),IF(LEFT($AI80,2)="S|",IF($AG80="","",INDEX($BN$5:$BN$302,$AH80)),IF($AI80="HDR","Month Target",""))))))</f>
        <v/>
      </c>
      <c r="M80" s="40" t="str" cm="1">
        <f t="array" ref="M80">IF($AI80="","",IF(LEFT($AI80,2)="C|",IF($C80="","",SUMPRODUCT($AP$5:$AP$302*($AO$5:$AO$302=$A80),$BO$5:$BO$302)),IF($AI80="CT",M$13,IF(LEFT($AI80,3)="AM|",IF($C80="","",SUMPRODUCT($AP$5:$AP$302*($AN$5:$AN$302=$A80),$BO$5:$BO$302)),IF(LEFT($AI80,2)="S|",IF($AG80="","",INDEX($BO$5:$BO$302,$AH80)),IF($AI80="HDR","Projected Close",""))))))</f>
        <v/>
      </c>
      <c r="N80" s="41" t="str">
        <f t="shared" si="43"/>
        <v/>
      </c>
      <c r="O80" s="41" t="str" cm="1">
        <f t="array" ref="O80">IF($AI80="HDR","Proj. vs LY",IF(OR($AI80="",M80=""),"",_xlfn.LET(_xlpm.ly,IF(LEFT($AI80,2)="C|",SUMPRODUCT($AP$5:$AP$302*($AO$5:$AO$302=$A80),$BK$5:$BK$302),IF($AI80="CT",SUMPRODUCT($AP$5:$AP$302,$BK$5:$BK$302),IF(LEFT($AI80,3)="AM|",SUMPRODUCT($AP$5:$AP$302*($AN$5:$AN$302=$A80),$BK$5:$BK$302),IF(LEFT($AI80,2)="S|",INDEX($BK$5:$BK$302,$AH80),0)))),IFERROR(M80/_xlpm.ly-1,""))))</f>
        <v/>
      </c>
      <c r="P80" s="40" t="str" cm="1">
        <f t="array" ref="P80">IF($AI80="","",IF(LEFT($AI80,2)="C|",IF($C80="","",SUMPRODUCT($AP$5:$AP$302*($AO$5:$AO$302=$A80),$AS$5:$AS$302)),IF($AI80="CT",P$13,IF(LEFT($AI80,3)="AM|",IF($C80="","",SUMPRODUCT($AP$5:$AP$302*($AN$5:$AN$302=$A80),$AS$5:$AS$302)),IF(LEFT($AI80,2)="S|",IF($AG80="","",INDEX($AS$5:$AS$302,$AH80)),IF($AI80="HDR","Trans TY",""))))))</f>
        <v/>
      </c>
      <c r="Q80" s="40" t="str" cm="1">
        <f t="array" ref="Q80">IF($AI80="","",IF(LEFT($AI80,2)="C|",IF($C80="","",SUMPRODUCT($AP$5:$AP$302*($AO$5:$AO$302=$A80),$AU$5:$AU$302)),IF($AI80="CT",Q$13,IF(LEFT($AI80,3)="AM|",IF($C80="","",SUMPRODUCT($AP$5:$AP$302*($AN$5:$AN$302=$A80),$AU$5:$AU$302)),IF(LEFT($AI80,2)="S|",IF($AG80="","",INDEX($AU$5:$AU$302,$AH80)),IF($AI80="HDR","Trans LY",""))))))</f>
        <v/>
      </c>
      <c r="R80" s="41" t="str">
        <f t="shared" si="51"/>
        <v/>
      </c>
      <c r="S80" s="41" t="str">
        <f t="shared" si="52"/>
        <v/>
      </c>
      <c r="T80" s="42" t="str">
        <f t="shared" si="53"/>
        <v/>
      </c>
      <c r="U80" s="42" t="str">
        <f t="shared" si="54"/>
        <v/>
      </c>
      <c r="V80" s="41" t="str">
        <f t="shared" si="55"/>
        <v/>
      </c>
      <c r="W80" s="40" t="str" cm="1">
        <f t="array" ref="W80">IF($AI80="","",IF(LEFT($AI80,2)="C|",_xlfn.LET(_xlpm.n,SUMPRODUCT($AP$5:$AP$302*($AO$5:$AO$302=$A80),$BB$5:$BB$302),IF(_xlpm.n=0,"",_xlpm.n)),IF($AI80="CT",W$13,IF(LEFT($AI80,3)="AM|",_xlfn.LET(_xlpm.n,SUMPRODUCT($AP$5:$AP$302*($AN$5:$AN$302=$A80),$BB$5:$BB$302),IF(_xlpm.n=0,"",_xlpm.n)),IF(LEFT($AI80,2)="S|",IF($AG80="","",_xlfn.LET(_xlpm.n,INDEX($BB$5:$BB$302,$AH80),IF(_xlpm.n=0,"",_xlpm.n))),IF($AI80="HDR","Footfall",""))))))</f>
        <v/>
      </c>
      <c r="X80" s="40" t="str" cm="1">
        <f t="array" ref="X80">IF($AI80="","",IF($AI80="HDR","Trans (FF stores)",IF(W80="","",IF(LEFT($AI80,2)="C|",SUMPRODUCT($AP$5:$AP$302*($AO$5:$AO$302=$A80),$BC$5:$BC$302),IF($AI80="CT",X$13,IF(LEFT($AI80,3)="AM|",SUMPRODUCT($AP$5:$AP$302*($AN$5:$AN$302=$A80),$BC$5:$BC$302),IF(LEFT($AI80,2)="S|",INDEX($BC$5:$BC$302,$AH80),"")))))))</f>
        <v/>
      </c>
      <c r="Y80" s="41" t="str">
        <f t="shared" si="44"/>
        <v/>
      </c>
      <c r="Z80" s="40" t="str" cm="1">
        <f t="array" ref="Z80">IF($AI80="","",IF(LEFT($AI80,2)="C|",IF($C80="","",SUMPRODUCT($AP$5:$AP$302*($AO$5:$AO$302=$A80),$CB$5:$CB$302)),IF($AI80="CT",Z$13,IF(LEFT($AI80,3)="AM|",IF($C80="","",SUMPRODUCT($AP$5:$AP$302*($AN$5:$AN$302=$A80),$CB$5:$CB$302)),IF(LEFT($AI80,2)="S|",IF($AG80="","",INDEX($CB$5:$CB$302,$AH80)),IF($AI80="HDR","Makeup Sales",""))))))</f>
        <v/>
      </c>
      <c r="AA80" s="41" t="str">
        <f t="shared" si="56"/>
        <v/>
      </c>
      <c r="AB80" s="40" t="str" cm="1">
        <f t="array" ref="AB80">IF($AI80="","",IF(LEFT($AI80,2)="C|",IF($C80="","",SUMPRODUCT($AP$5:$AP$302*($AO$5:$AO$302=$A80),$CK$5:$CK$302)),IF($AI80="CT",AB$13,IF(LEFT($AI80,3)="AM|",IF($C80="","",SUMPRODUCT($AP$5:$AP$302*($AN$5:$AN$302=$A80),$CK$5:$CK$302)),IF(LEFT($AI80,2)="S|",IF($AG80="","",INDEX($CK$5:$CK$302,$AH80)),IF($AI80="HDR","Makeup Target",""))))))</f>
        <v/>
      </c>
      <c r="AC80" s="41" t="str">
        <f t="shared" si="45"/>
        <v/>
      </c>
      <c r="AD80" s="40" t="str" cm="1">
        <f t="array" ref="AD80">IF($AI80="","",IF(LEFT($AI80,2)="C|",IF($C80="","",SUMPRODUCT($AP$5:$AP$302*($AO$5:$AO$302=$A80),$CI$5:$CI$302)),IF($AI80="CT",AD$13,IF(LEFT($AI80,3)="AM|",IF($C80="","",SUMPRODUCT($AP$5:$AP$302*($AN$5:$AN$302=$A80),$CI$5:$CI$302)),IF(LEFT($AI80,2)="S|",IF($AG80="","",INDEX($CI$5:$CI$302,$AH80)),IF($AI80="HDR","Cosmetic Sales",""))))))</f>
        <v/>
      </c>
      <c r="AE80" s="8" t="str" cm="1">
        <f t="array" ref="AE80">IF($AI80="","",IF(LEFT($AI80,2)="C|",IF($C80="","",SUMPRODUCT($AP$5:$AP$302*($AO$5:$AO$302=$A80)*$AQ$5:$AQ$302,$AR$5:$AR$302)),IF($AI80="CT",AE$13,IF(LEFT($AI80,3)="AM|",IF($C80="","",SUMPRODUCT($AP$5:$AP$302*($AN$5:$AN$302=$A80)*$AQ$5:$AQ$302,$AR$5:$AR$302)),IF(LEFT($AI80,2)="S|",IF($AG80="","",IF(INDEX($AQ$5:$AQ$302,$AH80)=1,D80,0)),IF($AI80="HDR","LFL Sales",""))))))</f>
        <v/>
      </c>
      <c r="AF80" s="8" t="str" cm="1">
        <f t="array" ref="AF80">IF($AI80="","",IF(LEFT($AI80,2)="C|",IF($C80="","",SUMPRODUCT($AP$5:$AP$302*($AO$5:$AO$302=$A80)*$AQ$5:$AQ$302,$AS$5:$AS$302)),IF($AI80="CT",AF$13,IF(LEFT($AI80,3)="AM|",IF($C80="","",SUMPRODUCT($AP$5:$AP$302*($AN$5:$AN$302=$A80)*$AQ$5:$AQ$302,$AS$5:$AS$302)),IF(LEFT($AI80,2)="S|",IF($AG80="","",IF(INDEX($AQ$5:$AQ$302,$AH80)=1,P80,0)),IF($AI80="HDR","LFL Trans",""))))))</f>
        <v/>
      </c>
      <c r="AG80" s="8" t="str" cm="1">
        <f t="array" ref="AG80">IF($AI80="","",IF(LEFT($AI80,2)="C|","",IF($AI80="CT","",IF(LEFT($AI80,3)="AM|","",IF(LEFT($AI80,2)="S|",IF($AH80="","",IF(INDEX($AP$5:$AP$302,$AH80)=1,1,"")),IF($AI80="HDR","Show",""))))))</f>
        <v/>
      </c>
      <c r="AH80" s="8" t="str">
        <f t="shared" si="57"/>
        <v/>
      </c>
      <c r="AI80" s="8"/>
      <c r="AN80" s="8" t="str" cm="1">
        <f t="array" ref="AN80">IF($AW80="","",_xlfn.LET(_xlpm.sa,IFERROR(TRIM(INDEX('Sales and count'!$D$4:$D$300,$BF80)&amp;""),""),_xlpm.ta,IFERROR(TRIM(INDEX('TY Sales Target'!$F$5:$F$300,$BG80)&amp;""),""),IF(AND(_xlpm.sa&lt;&gt;"",LEFT(_xlpm.sa,1)&lt;&gt;"#",_xlpm.sa&lt;&gt;"0"),_xlpm.sa,IF(AND(_xlpm.ta&lt;&gt;"",LEFT(_xlpm.ta,1)&lt;&gt;"#",_xlpm.ta&lt;&gt;"0"),_xlpm.ta,IF(ISNUMBER($BG80),"Unassigned","")))))</f>
        <v>Saleh Bin Hoiel</v>
      </c>
      <c r="AO80" s="8" t="str" cm="1">
        <f t="array" ref="AO80">IF($AW80="","",_xlfn.LET(_xlpm.sa,IFERROR(TRIM(INDEX('Sales and count'!$C$4:$C$300,$BF80)&amp;""),""),_xlpm.ta,IFERROR(TRIM(INDEX('TY Sales Target'!$D$5:$D$300,$BG80)&amp;""),""),IF(AND(_xlpm.sa&lt;&gt;"",LEFT(_xlpm.sa,1)&lt;&gt;"#",_xlpm.sa&lt;&gt;"0"),_xlpm.sa,IF(AND(_xlpm.ta&lt;&gt;"",LEFT(_xlpm.ta,1)&lt;&gt;"#",_xlpm.ta&lt;&gt;"0"),_xlpm.ta,""))))</f>
        <v>Jeddah</v>
      </c>
      <c r="AP80" s="8">
        <f t="shared" si="60"/>
        <v>1</v>
      </c>
      <c r="AQ80" s="8">
        <f t="shared" si="61"/>
        <v>1</v>
      </c>
      <c r="AR80" s="8" cm="1">
        <f t="array" ref="AR80">IF($BF80="",0,_xlfn.LET(_xlpm.d,IFERROR(--'Sales and count'!$G$2:$CC$2,0),SUMPRODUCT(('Sales and count'!$G$3:$CC$3="Total")*(_xlpm.d&gt;=$U$4)*(_xlpm.d&lt;=$U$5),INDEX('Sales and count'!$G$4:$CC$300,$BF80,0))))</f>
        <v>116988.98000000001</v>
      </c>
      <c r="AS80" s="8" cm="1">
        <f t="array" aca="1" ref="AS80" ca="1">IF($BF80="",0,_xlfn.LET(_xlpm.d,IFERROR(--'Sales and count'!$F$2:$CB$2,0),SUMPRODUCT(('Sales and count'!$G$3:$CC$3="Transactions")*(_xlpm.d&gt;=$U$4)*(_xlpm.d&lt;=$U$5),INDEX('Sales and count'!$G$4:$CC$300,$BF80,0))))</f>
        <v>709</v>
      </c>
      <c r="AT80" s="8" cm="1">
        <f t="array" ref="AT80">IF($AW80="",0,SUMPRODUCT((TRIM('LY Sales '!$B$5:$B$200)=$AW80)*('LY Sales '!$C$2:$AG$2&gt;=EDATE($U$4,-12))*('LY Sales '!$C$2:$AG$2&lt;=EDATE($U$5,-12)),'LY Sales '!$C$5:$AG$200))</f>
        <v>197252.11</v>
      </c>
      <c r="AU80" s="8" cm="1">
        <f t="array" ref="AU80">IF($AW80="",0,SUMPRODUCT((TRIM('LY Transaction'!$B$5:$B$200)=$AW80)*('LY Transaction'!$C$2:$AG$2&gt;=EDATE($U$4,-12))*('LY Transaction'!$C$2:$AG$2&lt;=EDATE($U$5,-12)),'LY Transaction'!$C$5:$AG$200))</f>
        <v>1228</v>
      </c>
      <c r="AV80" s="8" cm="1">
        <f t="array" ref="AV80">IF(NOT(ISNUMBER($BG80)),0,SUMPRODUCT(('TY Sales Target'!$K$2:$AO$2&gt;=$U$4)*('TY Sales Target'!$K$2:$AO$2&lt;=$U$5),INDEX('TY Sales Target'!$K$5:$AO$300,$BG80,0)))</f>
        <v>183881.99170687763</v>
      </c>
      <c r="AW80" s="8" t="str" cm="1">
        <f t="array" ref="AW80">IFERROR(INDEX(_xlfn.ANCHORARRAY($BR$5),ROWS($AW$5:AW80)),"")</f>
        <v>ALSHATEA</v>
      </c>
      <c r="BB80" cm="1">
        <f t="array" ref="BB80">IF($AW80="",0,SUMPRODUCT((TRIM(Footfall!$B$5:$B$301)=$AW80)*(Footfall!$C$1:$BZ$1&gt;=$U$4)*(Footfall!$C$2:$BZ$2&lt;=$U$5)*(Footfall!$C$1:$BZ$1&lt;&gt;""),Footfall!$C$5:$BZ$301))</f>
        <v>3279</v>
      </c>
      <c r="BC80" cm="1">
        <f t="array" aca="1" ref="BC80" ca="1">IF(OR($BB80&lt;=0,$BD$1="",$BF80=""),0,_xlfn.LET(_xlpm.d,IFERROR(--'Sales and count'!$F$2:$CB$2,0),SUMPRODUCT(('Sales and count'!$G$3:$CC$3="Transactions")*(_xlpm.d&gt;=$BD$1)*(_xlpm.d&lt;=$BD$2),INDEX('Sales and count'!$G$4:$CC$300,$BF80,0))))</f>
        <v>709</v>
      </c>
      <c r="BF80" cm="1">
        <f t="array" ref="BF80">IF($AW80="","",IFERROR(MATCH($AW80,TRIM('Sales and count'!$A$4:$A$300&amp;""),0),""))</f>
        <v>76</v>
      </c>
      <c r="BG80" cm="1">
        <f t="array" ref="BG80">IF($AW80="","",IFERROR(MATCH(IFERROR(_xlfn.XLOOKUP($AW80,$BT$5:$BT$22,$BU$5:$BU$22),$AW80),TRIM('TY Sales Target'!$B$5:$B$300&amp;""),0),""))</f>
        <v>50</v>
      </c>
      <c r="BH80" t="str" cm="1">
        <f t="array" ref="BH80">IF(ISNUMBER($BG80),_xlfn.LET(_xlpm.p,TRIM(INDEX('TY Sales Target'!$I$5:$I$300,$BG80)&amp;""),IF(_xlpm.p="","Not set",_xlpm.p)),"Not set")</f>
        <v>Smart Phone</v>
      </c>
      <c r="BI80" cm="1">
        <f t="array" ref="BI80">IF($BF80="",0,_xlfn.LET(_xlpm.d,IFERROR(--'Sales and count'!$G$2:$CC$2,0),SUMPRODUCT(('Sales and count'!$G$3:$CC$3="Total")*(_xlpm.d&gt;=$BZ$5)*(_xlpm.d&lt;=$BZ$6),INDEX('Sales and count'!$G$4:$CC$300,$BF80,0))))</f>
        <v>116988.98000000001</v>
      </c>
      <c r="BJ80" cm="1">
        <f t="array" ref="BJ80">IF($AW80="",0,SUMPRODUCT((TRIM('LY Sales '!$B$5:$B$200)=$AW80)*('LY Sales '!$C$2:$AG$2&gt;=EDATE($BZ$5,-12))*('LY Sales '!$C$2:$AG$2&lt;=EDATE($BZ$6,-12)),'LY Sales '!$C$5:$AG$200))</f>
        <v>197252.11</v>
      </c>
      <c r="BK80" cm="1">
        <f t="array" ref="BK80">IF($AW80="",0,SUMPRODUCT((TRIM('LY Sales '!$B$5:$B$200)=$AW80)*('LY Sales '!$C$2:$AG$2&gt;=EDATE($BZ$5,-12))*('LY Sales '!$C$2:$AG$2&lt;=EDATE($BZ$7,-12)),'LY Sales '!$C$5:$AG$200))</f>
        <v>239225.93999999997</v>
      </c>
      <c r="BL80" cm="1">
        <f t="array" ref="BL80">IF($AW80="",0,SUMPRODUCT((TRIM('LY Sales '!$B$5:$B$200)=$AW80)*('LY Sales '!$C$2:$AG$2&gt;=EDATE($BZ$5,-12))*('LY Sales '!$C$2:$AG$2&lt;=EDATE($BZ$6,-12))*('LY Sales '!$C$5:$AG$200&gt;0)))</f>
        <v>26</v>
      </c>
      <c r="BM80" cm="1">
        <f t="array" ref="BM80">IF(NOT(ISNUMBER($BG80)),0,SUMPRODUCT(('TY Sales Target'!$K$2:$AO$2&gt;=$BZ$5)*('TY Sales Target'!$K$2:$AO$2&lt;=$BZ$6),INDEX('TY Sales Target'!$K$5:$AO$300,$BG80,0)))</f>
        <v>183881.99170687763</v>
      </c>
      <c r="BN80" cm="1">
        <f t="array" ref="BN80">IF(NOT(ISNUMBER($BG80)),0,SUMPRODUCT(('TY Sales Target'!$K$2:$AO$2&gt;=$BZ$5)*('TY Sales Target'!$K$2:$AO$2&lt;=$BZ$7),INDEX('TY Sales Target'!$K$5:$AO$300,$BG80,0)))</f>
        <v>240000.00000000006</v>
      </c>
      <c r="BO80" cm="1">
        <f t="array" ref="BO80">IF($AW80="",0,IFERROR(_xlfn.SWITCH($BP80,"LY trend",$BI80*$BK80/$BJ80,"Target curve",$BI80*$BN80/$BM80,"Run rate",$BI80/$BZ$8*$BZ$9,0),0))</f>
        <v>141883.39333932195</v>
      </c>
      <c r="BP80" t="str">
        <f t="shared" si="59"/>
        <v>LY trend</v>
      </c>
      <c r="BR80" t="str">
        <v>ALSHATEA</v>
      </c>
      <c r="CB80" cm="1">
        <f t="array" ref="CB80">IF($AW80="",0,_xlfn.LET(_xlpm.k,IFERROR(_xlfn.XLOOKUP($AW80,$CD$6:$CD$21,$CE$6:$CE$21),$AW80),SUMPRODUCT((TRIM('Makeup '!$A$2:$A$300&amp;"")=_xlpm.k)*1,IFERROR('Makeup '!$F$2:$F$300*1,0))))</f>
        <v>4682.55</v>
      </c>
      <c r="CF80" t="str" cm="1">
        <f t="array" ref="CF80">IF($AW80="","",_xlfn.LET(_xlpm.c,IFERROR(TRIM(INDEX('Sales and count'!$B$4:$B$300,$BF80)&amp;""),""),IF(OR(_xlpm.c="",_xlpm.c="0",LEFT(_xlpm.c,1)="#"),"Not set",_xlpm.c)))</f>
        <v>KSA</v>
      </c>
      <c r="CH80" cm="1">
        <f t="array" ref="CH80">IF($AW80="",0,_xlfn.LET(_xlpm.k,IFERROR(_xlfn.XLOOKUP($AW80,$CD$6:$CD$21,$CE$6:$CE$21),$AW80),--(SUMPRODUCT((TRIM('Makeup '!$A$2:$A$300&amp;"")=_xlpm.k)*ISNUMBER('Makeup '!$F$2:$F$300))&gt;0)))</f>
        <v>1</v>
      </c>
      <c r="CI80">
        <f t="shared" si="62"/>
        <v>116988.98000000001</v>
      </c>
      <c r="CJ80" cm="1">
        <f t="array" ref="CJ80">IF($AW80="",0,--(SUMPRODUCT(--(TRIM(Footfall!$B$5:$B$301)=$AW80))&gt;0))</f>
        <v>1</v>
      </c>
      <c r="CK80" s="8" cm="1">
        <f t="array" ref="CK80">IF($AW80="",0,_xlfn.LET(_xlpm.r,IFERROR(MATCH(IFERROR(_xlfn.XLOOKUP($AW80,$BT$5:$BT$22,$BU$5:$BU$22),$AW80),TRIM('TY Beauty Target'!$B$5:$B$300&amp;""),0),""),IF(ISNUMBER(_xlpm.r),SUMPRODUCT(('TY Beauty Target'!$L$2:$AP$2&gt;=$U$4)*('TY Beauty Target'!$L$2:$AP$2&lt;=$U$5),INDEX('TY Beauty Target'!$L$5:$AP$300,_xlpm.r,0)),0)))</f>
        <v>6260.1855495627287</v>
      </c>
    </row>
    <row r="81" spans="1:89" ht="15" customHeight="1" x14ac:dyDescent="0.25">
      <c r="A81" s="38" t="str">
        <f t="shared" si="58"/>
        <v/>
      </c>
      <c r="B81" s="43" t="str" cm="1">
        <f t="array" ref="B81">IF($AI81="","",IF(LEFT($AI81,2)="C|",IF($C81="","",_xlfn.TEXTJOIN(", ",TRUE,_xlfn.UNIQUE(_xlfn._xlws.FILTER($AN$5:$AN$302,($AP$5:$AP$302=1)*($AO$5:$AO$302=$A81))))),IF($AI81="CT",B$13,IF(LEFT($AI81,3)="AM|",IF($C81="","",ROWS(_xlfn.UNIQUE(_xlfn._xlws.FILTER($AO$5:$AO$302,($AP$5:$AP$302=1)*($AN$5:$AN$302=$A81))))),IF(LEFT($AI81,2)="S|",IF($AG81="","",INDEX($AO$5:$AO$302,$AH81)),IF($AI81="HDR","City",""))))))</f>
        <v/>
      </c>
      <c r="C81" s="39" t="str" cm="1">
        <f t="array" ref="C81">IF($AI81="","",IF(LEFT($AI81,2)="C|",_xlfn.LET(_xlpm.n,SUMPRODUCT($AP$5:$AP$302*($AO$5:$AO$302=$A81)),IF(_xlpm.n=0,"",_xlpm.n)),IF($AI81="CT",C$13,IF(LEFT($AI81,3)="AM|",_xlfn.LET(_xlpm.n,SUMPRODUCT($AP$5:$AP$302*($AN$5:$AN$302=$A81)),IF(_xlpm.n=0,"",_xlpm.n)),IF(LEFT($AI81,2)="S|","",IF($AI81="HDR","# Stores",""))))))</f>
        <v/>
      </c>
      <c r="D81" s="40" t="str" cm="1">
        <f t="array" ref="D81">IF($AI81="","",IF(LEFT($AI81,2)="C|",IF($C81="","",SUMPRODUCT($AP$5:$AP$302*($AO$5:$AO$302=$A81),$AR$5:$AR$302)),IF($AI81="CT",D$13,IF(LEFT($AI81,3)="AM|",IF($C81="","",SUMPRODUCT($AP$5:$AP$302*($AN$5:$AN$302=$A81),$AR$5:$AR$302)),IF(LEFT($AI81,2)="S|",IF($AG81="","",INDEX($AR$5:$AR$302,$AH81)),IF($AI81="HDR","Sales TY",""))))))</f>
        <v/>
      </c>
      <c r="E81" s="40" t="str" cm="1">
        <f t="array" ref="E81">IF($AI81="","",IF(LEFT($AI81,2)="C|",IF($C81="","",SUMPRODUCT($AP$5:$AP$302*($AO$5:$AO$302=$A81),$AT$5:$AT$302)),IF($AI81="CT",E$13,IF(LEFT($AI81,3)="AM|",IF($C81="","",SUMPRODUCT($AP$5:$AP$302*($AN$5:$AN$302=$A81),$AT$5:$AT$302)),IF(LEFT($AI81,2)="S|",IF($AG81="","",INDEX($AT$5:$AT$302,$AH81)),IF($AI81="HDR","Sales LY",""))))))</f>
        <v/>
      </c>
      <c r="F81" s="41" t="str">
        <f t="shared" si="46"/>
        <v/>
      </c>
      <c r="G81" s="41" t="str">
        <f t="shared" si="47"/>
        <v/>
      </c>
      <c r="H81" s="40" t="str" cm="1">
        <f t="array" ref="H81">IF($AI81="","",IF(LEFT($AI81,2)="C|",IF($C81="","",SUMPRODUCT($AP$5:$AP$302*($AO$5:$AO$302=$A81),$AV$5:$AV$302)),IF($AI81="CT",H$13,IF(LEFT($AI81,3)="AM|",IF($C81="","",SUMPRODUCT($AP$5:$AP$302*($AN$5:$AN$302=$A81),$AV$5:$AV$302)),IF(LEFT($AI81,2)="S|",IF($AG81="","",INDEX($AV$5:$AV$302,$AH81)),IF($AI81="HDR","Target",""))))))</f>
        <v/>
      </c>
      <c r="I81" s="41" t="str">
        <f t="shared" si="48"/>
        <v/>
      </c>
      <c r="J81" s="40" t="str">
        <f t="shared" si="49"/>
        <v/>
      </c>
      <c r="K81" s="41" t="str">
        <f t="shared" si="50"/>
        <v/>
      </c>
      <c r="L81" s="40" t="str" cm="1">
        <f t="array" ref="L81">IF($AI81="","",IF(LEFT($AI81,2)="C|",IF($C81="","",SUMPRODUCT($AP$5:$AP$302*($AO$5:$AO$302=$A81),$BN$5:$BN$302)),IF($AI81="CT",L$13,IF(LEFT($AI81,3)="AM|",IF($C81="","",SUMPRODUCT($AP$5:$AP$302*($AN$5:$AN$302=$A81),$BN$5:$BN$302)),IF(LEFT($AI81,2)="S|",IF($AG81="","",INDEX($BN$5:$BN$302,$AH81)),IF($AI81="HDR","Month Target",""))))))</f>
        <v/>
      </c>
      <c r="M81" s="40" t="str" cm="1">
        <f t="array" ref="M81">IF($AI81="","",IF(LEFT($AI81,2)="C|",IF($C81="","",SUMPRODUCT($AP$5:$AP$302*($AO$5:$AO$302=$A81),$BO$5:$BO$302)),IF($AI81="CT",M$13,IF(LEFT($AI81,3)="AM|",IF($C81="","",SUMPRODUCT($AP$5:$AP$302*($AN$5:$AN$302=$A81),$BO$5:$BO$302)),IF(LEFT($AI81,2)="S|",IF($AG81="","",INDEX($BO$5:$BO$302,$AH81)),IF($AI81="HDR","Projected Close",""))))))</f>
        <v/>
      </c>
      <c r="N81" s="41" t="str">
        <f t="shared" si="43"/>
        <v/>
      </c>
      <c r="O81" s="41" t="str" cm="1">
        <f t="array" ref="O81">IF($AI81="HDR","Proj. vs LY",IF(OR($AI81="",M81=""),"",_xlfn.LET(_xlpm.ly,IF(LEFT($AI81,2)="C|",SUMPRODUCT($AP$5:$AP$302*($AO$5:$AO$302=$A81),$BK$5:$BK$302),IF($AI81="CT",SUMPRODUCT($AP$5:$AP$302,$BK$5:$BK$302),IF(LEFT($AI81,3)="AM|",SUMPRODUCT($AP$5:$AP$302*($AN$5:$AN$302=$A81),$BK$5:$BK$302),IF(LEFT($AI81,2)="S|",INDEX($BK$5:$BK$302,$AH81),0)))),IFERROR(M81/_xlpm.ly-1,""))))</f>
        <v/>
      </c>
      <c r="P81" s="40" t="str" cm="1">
        <f t="array" ref="P81">IF($AI81="","",IF(LEFT($AI81,2)="C|",IF($C81="","",SUMPRODUCT($AP$5:$AP$302*($AO$5:$AO$302=$A81),$AS$5:$AS$302)),IF($AI81="CT",P$13,IF(LEFT($AI81,3)="AM|",IF($C81="","",SUMPRODUCT($AP$5:$AP$302*($AN$5:$AN$302=$A81),$AS$5:$AS$302)),IF(LEFT($AI81,2)="S|",IF($AG81="","",INDEX($AS$5:$AS$302,$AH81)),IF($AI81="HDR","Trans TY",""))))))</f>
        <v/>
      </c>
      <c r="Q81" s="40" t="str" cm="1">
        <f t="array" ref="Q81">IF($AI81="","",IF(LEFT($AI81,2)="C|",IF($C81="","",SUMPRODUCT($AP$5:$AP$302*($AO$5:$AO$302=$A81),$AU$5:$AU$302)),IF($AI81="CT",Q$13,IF(LEFT($AI81,3)="AM|",IF($C81="","",SUMPRODUCT($AP$5:$AP$302*($AN$5:$AN$302=$A81),$AU$5:$AU$302)),IF(LEFT($AI81,2)="S|",IF($AG81="","",INDEX($AU$5:$AU$302,$AH81)),IF($AI81="HDR","Trans LY",""))))))</f>
        <v/>
      </c>
      <c r="R81" s="41" t="str">
        <f t="shared" si="51"/>
        <v/>
      </c>
      <c r="S81" s="41" t="str">
        <f t="shared" si="52"/>
        <v/>
      </c>
      <c r="T81" s="42" t="str">
        <f t="shared" si="53"/>
        <v/>
      </c>
      <c r="U81" s="42" t="str">
        <f t="shared" si="54"/>
        <v/>
      </c>
      <c r="V81" s="41" t="str">
        <f t="shared" si="55"/>
        <v/>
      </c>
      <c r="W81" s="40" t="str" cm="1">
        <f t="array" ref="W81">IF($AI81="","",IF(LEFT($AI81,2)="C|",_xlfn.LET(_xlpm.n,SUMPRODUCT($AP$5:$AP$302*($AO$5:$AO$302=$A81),$BB$5:$BB$302),IF(_xlpm.n=0,"",_xlpm.n)),IF($AI81="CT",W$13,IF(LEFT($AI81,3)="AM|",_xlfn.LET(_xlpm.n,SUMPRODUCT($AP$5:$AP$302*($AN$5:$AN$302=$A81),$BB$5:$BB$302),IF(_xlpm.n=0,"",_xlpm.n)),IF(LEFT($AI81,2)="S|",IF($AG81="","",_xlfn.LET(_xlpm.n,INDEX($BB$5:$BB$302,$AH81),IF(_xlpm.n=0,"",_xlpm.n))),IF($AI81="HDR","Footfall",""))))))</f>
        <v/>
      </c>
      <c r="X81" s="40" t="str" cm="1">
        <f t="array" ref="X81">IF($AI81="","",IF($AI81="HDR","Trans (FF stores)",IF(W81="","",IF(LEFT($AI81,2)="C|",SUMPRODUCT($AP$5:$AP$302*($AO$5:$AO$302=$A81),$BC$5:$BC$302),IF($AI81="CT",X$13,IF(LEFT($AI81,3)="AM|",SUMPRODUCT($AP$5:$AP$302*($AN$5:$AN$302=$A81),$BC$5:$BC$302),IF(LEFT($AI81,2)="S|",INDEX($BC$5:$BC$302,$AH81),"")))))))</f>
        <v/>
      </c>
      <c r="Y81" s="41" t="str">
        <f t="shared" si="44"/>
        <v/>
      </c>
      <c r="Z81" s="40" t="str" cm="1">
        <f t="array" ref="Z81">IF($AI81="","",IF(LEFT($AI81,2)="C|",IF($C81="","",SUMPRODUCT($AP$5:$AP$302*($AO$5:$AO$302=$A81),$CB$5:$CB$302)),IF($AI81="CT",Z$13,IF(LEFT($AI81,3)="AM|",IF($C81="","",SUMPRODUCT($AP$5:$AP$302*($AN$5:$AN$302=$A81),$CB$5:$CB$302)),IF(LEFT($AI81,2)="S|",IF($AG81="","",INDEX($CB$5:$CB$302,$AH81)),IF($AI81="HDR","Makeup Sales",""))))))</f>
        <v/>
      </c>
      <c r="AA81" s="41" t="str">
        <f t="shared" si="56"/>
        <v/>
      </c>
      <c r="AB81" s="40" t="str" cm="1">
        <f t="array" ref="AB81">IF($AI81="","",IF(LEFT($AI81,2)="C|",IF($C81="","",SUMPRODUCT($AP$5:$AP$302*($AO$5:$AO$302=$A81),$CK$5:$CK$302)),IF($AI81="CT",AB$13,IF(LEFT($AI81,3)="AM|",IF($C81="","",SUMPRODUCT($AP$5:$AP$302*($AN$5:$AN$302=$A81),$CK$5:$CK$302)),IF(LEFT($AI81,2)="S|",IF($AG81="","",INDEX($CK$5:$CK$302,$AH81)),IF($AI81="HDR","Makeup Target",""))))))</f>
        <v/>
      </c>
      <c r="AC81" s="41" t="str">
        <f t="shared" si="45"/>
        <v/>
      </c>
      <c r="AD81" s="40" t="str" cm="1">
        <f t="array" ref="AD81">IF($AI81="","",IF(LEFT($AI81,2)="C|",IF($C81="","",SUMPRODUCT($AP$5:$AP$302*($AO$5:$AO$302=$A81),$CI$5:$CI$302)),IF($AI81="CT",AD$13,IF(LEFT($AI81,3)="AM|",IF($C81="","",SUMPRODUCT($AP$5:$AP$302*($AN$5:$AN$302=$A81),$CI$5:$CI$302)),IF(LEFT($AI81,2)="S|",IF($AG81="","",INDEX($CI$5:$CI$302,$AH81)),IF($AI81="HDR","Cosmetic Sales",""))))))</f>
        <v/>
      </c>
      <c r="AE81" s="8" t="str" cm="1">
        <f t="array" ref="AE81">IF($AI81="","",IF(LEFT($AI81,2)="C|",IF($C81="","",SUMPRODUCT($AP$5:$AP$302*($AO$5:$AO$302=$A81)*$AQ$5:$AQ$302,$AR$5:$AR$302)),IF($AI81="CT",AE$13,IF(LEFT($AI81,3)="AM|",IF($C81="","",SUMPRODUCT($AP$5:$AP$302*($AN$5:$AN$302=$A81)*$AQ$5:$AQ$302,$AR$5:$AR$302)),IF(LEFT($AI81,2)="S|",IF($AG81="","",IF(INDEX($AQ$5:$AQ$302,$AH81)=1,D81,0)),IF($AI81="HDR","LFL Sales",""))))))</f>
        <v/>
      </c>
      <c r="AF81" s="8" t="str" cm="1">
        <f t="array" ref="AF81">IF($AI81="","",IF(LEFT($AI81,2)="C|",IF($C81="","",SUMPRODUCT($AP$5:$AP$302*($AO$5:$AO$302=$A81)*$AQ$5:$AQ$302,$AS$5:$AS$302)),IF($AI81="CT",AF$13,IF(LEFT($AI81,3)="AM|",IF($C81="","",SUMPRODUCT($AP$5:$AP$302*($AN$5:$AN$302=$A81)*$AQ$5:$AQ$302,$AS$5:$AS$302)),IF(LEFT($AI81,2)="S|",IF($AG81="","",IF(INDEX($AQ$5:$AQ$302,$AH81)=1,P81,0)),IF($AI81="HDR","LFL Trans",""))))))</f>
        <v/>
      </c>
      <c r="AG81" s="8" t="str" cm="1">
        <f t="array" ref="AG81">IF($AI81="","",IF(LEFT($AI81,2)="C|","",IF($AI81="CT","",IF(LEFT($AI81,3)="AM|","",IF(LEFT($AI81,2)="S|",IF($AH81="","",IF(INDEX($AP$5:$AP$302,$AH81)=1,1,"")),IF($AI81="HDR","Show",""))))))</f>
        <v/>
      </c>
      <c r="AH81" s="8" t="str">
        <f t="shared" si="57"/>
        <v/>
      </c>
      <c r="AI81" s="8"/>
      <c r="AN81" s="8" t="str" cm="1">
        <f t="array" ref="AN81">IF($AW81="","",_xlfn.LET(_xlpm.sa,IFERROR(TRIM(INDEX('Sales and count'!$D$4:$D$300,$BF81)&amp;""),""),_xlpm.ta,IFERROR(TRIM(INDEX('TY Sales Target'!$F$5:$F$300,$BG81)&amp;""),""),IF(AND(_xlpm.sa&lt;&gt;"",LEFT(_xlpm.sa,1)&lt;&gt;"#",_xlpm.sa&lt;&gt;"0"),_xlpm.sa,IF(AND(_xlpm.ta&lt;&gt;"",LEFT(_xlpm.ta,1)&lt;&gt;"#",_xlpm.ta&lt;&gt;"0"),_xlpm.ta,IF(ISNUMBER($BG81),"Unassigned","")))))</f>
        <v>Maram Zamzami</v>
      </c>
      <c r="AO81" s="8" t="str" cm="1">
        <f t="array" ref="AO81">IF($AW81="","",_xlfn.LET(_xlpm.sa,IFERROR(TRIM(INDEX('Sales and count'!$C$4:$C$300,$BF81)&amp;""),""),_xlpm.ta,IFERROR(TRIM(INDEX('TY Sales Target'!$D$5:$D$300,$BG81)&amp;""),""),IF(AND(_xlpm.sa&lt;&gt;"",LEFT(_xlpm.sa,1)&lt;&gt;"#",_xlpm.sa&lt;&gt;"0"),_xlpm.sa,IF(AND(_xlpm.ta&lt;&gt;"",LEFT(_xlpm.ta,1)&lt;&gt;"#",_xlpm.ta&lt;&gt;"0"),_xlpm.ta,""))))</f>
        <v>Makkah</v>
      </c>
      <c r="AP81" s="8">
        <f t="shared" si="60"/>
        <v>0</v>
      </c>
      <c r="AQ81" s="8">
        <f t="shared" si="61"/>
        <v>1</v>
      </c>
      <c r="AR81" s="8" cm="1">
        <f t="array" ref="AR81">IF($BF81="",0,_xlfn.LET(_xlpm.d,IFERROR(--'Sales and count'!$G$2:$CC$2,0),SUMPRODUCT(('Sales and count'!$G$3:$CC$3="Total")*(_xlpm.d&gt;=$U$4)*(_xlpm.d&lt;=$U$5),INDEX('Sales and count'!$G$4:$CC$300,$BF81,0))))</f>
        <v>51580.680000000008</v>
      </c>
      <c r="AS81" s="8" cm="1">
        <f t="array" aca="1" ref="AS81" ca="1">IF($BF81="",0,_xlfn.LET(_xlpm.d,IFERROR(--'Sales and count'!$F$2:$CB$2,0),SUMPRODUCT(('Sales and count'!$G$3:$CC$3="Transactions")*(_xlpm.d&gt;=$U$4)*(_xlpm.d&lt;=$U$5),INDEX('Sales and count'!$G$4:$CC$300,$BF81,0))))</f>
        <v>433</v>
      </c>
      <c r="AT81" s="8" cm="1">
        <f t="array" ref="AT81">IF($AW81="",0,SUMPRODUCT((TRIM('LY Sales '!$B$5:$B$200)=$AW81)*('LY Sales '!$C$2:$AG$2&gt;=EDATE($U$4,-12))*('LY Sales '!$C$2:$AG$2&lt;=EDATE($U$5,-12)),'LY Sales '!$C$5:$AG$200))</f>
        <v>10477.15</v>
      </c>
      <c r="AU81" s="8" cm="1">
        <f t="array" ref="AU81">IF($AW81="",0,SUMPRODUCT((TRIM('LY Transaction'!$B$5:$B$200)=$AW81)*('LY Transaction'!$C$2:$AG$2&gt;=EDATE($U$4,-12))*('LY Transaction'!$C$2:$AG$2&lt;=EDATE($U$5,-12)),'LY Transaction'!$C$5:$AG$200))</f>
        <v>94</v>
      </c>
      <c r="AV81" s="8" cm="1">
        <f t="array" ref="AV81">IF(NOT(ISNUMBER($BG81)),0,SUMPRODUCT(('TY Sales Target'!$K$2:$AO$2&gt;=$U$4)*('TY Sales Target'!$K$2:$AO$2&lt;=$U$5),INDEX('TY Sales Target'!$K$5:$AO$300,$BG81,0)))</f>
        <v>99602.745507891988</v>
      </c>
      <c r="AW81" s="8" t="str" cm="1">
        <f t="array" ref="AW81">IFERROR(INDEX(_xlfn.ANCHORARRAY($BR$5),ROWS($AW$5:AW81)),"")</f>
        <v>HADIYAFAML</v>
      </c>
      <c r="BB81" cm="1">
        <f t="array" ref="BB81">IF($AW81="",0,SUMPRODUCT((TRIM(Footfall!$B$5:$B$301)=$AW81)*(Footfall!$C$1:$BZ$1&gt;=$U$4)*(Footfall!$C$2:$BZ$2&lt;=$U$5)*(Footfall!$C$1:$BZ$1&lt;&gt;""),Footfall!$C$5:$BZ$301))</f>
        <v>4929</v>
      </c>
      <c r="BC81" cm="1">
        <f t="array" aca="1" ref="BC81" ca="1">IF(OR($BB81&lt;=0,$BD$1="",$BF81=""),0,_xlfn.LET(_xlpm.d,IFERROR(--'Sales and count'!$F$2:$CB$2,0),SUMPRODUCT(('Sales and count'!$G$3:$CC$3="Transactions")*(_xlpm.d&gt;=$BD$1)*(_xlpm.d&lt;=$BD$2),INDEX('Sales and count'!$G$4:$CC$300,$BF81,0))))</f>
        <v>433</v>
      </c>
      <c r="BF81" cm="1">
        <f t="array" ref="BF81">IF($AW81="","",IFERROR(MATCH($AW81,TRIM('Sales and count'!$A$4:$A$300&amp;""),0),""))</f>
        <v>77</v>
      </c>
      <c r="BG81" cm="1">
        <f t="array" ref="BG81">IF($AW81="","",IFERROR(MATCH(IFERROR(_xlfn.XLOOKUP($AW81,$BT$5:$BT$22,$BU$5:$BU$22),$AW81),TRIM('TY Sales Target'!$B$5:$B$300&amp;""),0),""))</f>
        <v>99</v>
      </c>
      <c r="BH81" t="str" cm="1">
        <f t="array" ref="BH81">IF(ISNUMBER($BG81),_xlfn.LET(_xlpm.p,TRIM(INDEX('TY Sales Target'!$I$5:$I$300,$BG81)&amp;""),IF(_xlpm.p="","Not set",_xlpm.p)),"Not set")</f>
        <v>Smart Watch</v>
      </c>
      <c r="BI81" cm="1">
        <f t="array" ref="BI81">IF($BF81="",0,_xlfn.LET(_xlpm.d,IFERROR(--'Sales and count'!$G$2:$CC$2,0),SUMPRODUCT(('Sales and count'!$G$3:$CC$3="Total")*(_xlpm.d&gt;=$BZ$5)*(_xlpm.d&lt;=$BZ$6),INDEX('Sales and count'!$G$4:$CC$300,$BF81,0))))</f>
        <v>51580.680000000008</v>
      </c>
      <c r="BJ81" cm="1">
        <f t="array" ref="BJ81">IF($AW81="",0,SUMPRODUCT((TRIM('LY Sales '!$B$5:$B$200)=$AW81)*('LY Sales '!$C$2:$AG$2&gt;=EDATE($BZ$5,-12))*('LY Sales '!$C$2:$AG$2&lt;=EDATE($BZ$6,-12)),'LY Sales '!$C$5:$AG$200))</f>
        <v>10477.15</v>
      </c>
      <c r="BK81" cm="1">
        <f t="array" ref="BK81">IF($AW81="",0,SUMPRODUCT((TRIM('LY Sales '!$B$5:$B$200)=$AW81)*('LY Sales '!$C$2:$AG$2&gt;=EDATE($BZ$5,-12))*('LY Sales '!$C$2:$AG$2&lt;=EDATE($BZ$7,-12)),'LY Sales '!$C$5:$AG$200))</f>
        <v>31969.439999999999</v>
      </c>
      <c r="BL81" cm="1">
        <f t="array" ref="BL81">IF($AW81="",0,SUMPRODUCT((TRIM('LY Sales '!$B$5:$B$200)=$AW81)*('LY Sales '!$C$2:$AG$2&gt;=EDATE($BZ$5,-12))*('LY Sales '!$C$2:$AG$2&lt;=EDATE($BZ$6,-12))*('LY Sales '!$C$5:$AG$200&gt;0)))</f>
        <v>6</v>
      </c>
      <c r="BM81" cm="1">
        <f t="array" ref="BM81">IF(NOT(ISNUMBER($BG81)),0,SUMPRODUCT(('TY Sales Target'!$K$2:$AO$2&gt;=$BZ$5)*('TY Sales Target'!$K$2:$AO$2&lt;=$BZ$6),INDEX('TY Sales Target'!$K$5:$AO$300,$BG81,0)))</f>
        <v>99602.745507891988</v>
      </c>
      <c r="BN81" cm="1">
        <f t="array" ref="BN81">IF(NOT(ISNUMBER($BG81)),0,SUMPRODUCT(('TY Sales Target'!$K$2:$AO$2&gt;=$BZ$5)*('TY Sales Target'!$K$2:$AO$2&lt;=$BZ$7),INDEX('TY Sales Target'!$K$5:$AO$300,$BG81,0)))</f>
        <v>130000</v>
      </c>
      <c r="BO81" cm="1">
        <f t="array" ref="BO81">IF($AW81="",0,IFERROR(_xlfn.SWITCH($BP81,"LY trend",$BI81*$BK81/$BJ81,"Target curve",$BI81*$BN81/$BM81,"Run rate",$BI81/$BZ$8*$BZ$9,0),0))</f>
        <v>67322.324960095546</v>
      </c>
      <c r="BP81" t="str">
        <f t="shared" si="59"/>
        <v>Target curve</v>
      </c>
      <c r="BR81" t="str">
        <v>HADIYAFAML</v>
      </c>
      <c r="CB81" cm="1">
        <f t="array" ref="CB81">IF($AW81="",0,_xlfn.LET(_xlpm.k,IFERROR(_xlfn.XLOOKUP($AW81,$CD$6:$CD$21,$CE$6:$CE$21),$AW81),SUMPRODUCT((TRIM('Makeup '!$A$2:$A$300&amp;"")=_xlpm.k)*1,IFERROR('Makeup '!$F$2:$F$300*1,0))))</f>
        <v>3903.29</v>
      </c>
      <c r="CF81" t="str" cm="1">
        <f t="array" ref="CF81">IF($AW81="","",_xlfn.LET(_xlpm.c,IFERROR(TRIM(INDEX('Sales and count'!$B$4:$B$300,$BF81)&amp;""),""),IF(OR(_xlpm.c="",_xlpm.c="0",LEFT(_xlpm.c,1)="#"),"Not set",_xlpm.c)))</f>
        <v>KSA</v>
      </c>
      <c r="CH81" cm="1">
        <f t="array" ref="CH81">IF($AW81="",0,_xlfn.LET(_xlpm.k,IFERROR(_xlfn.XLOOKUP($AW81,$CD$6:$CD$21,$CE$6:$CE$21),$AW81),--(SUMPRODUCT((TRIM('Makeup '!$A$2:$A$300&amp;"")=_xlpm.k)*ISNUMBER('Makeup '!$F$2:$F$300))&gt;0)))</f>
        <v>1</v>
      </c>
      <c r="CI81">
        <f t="shared" si="62"/>
        <v>51580.680000000008</v>
      </c>
      <c r="CJ81" cm="1">
        <f t="array" ref="CJ81">IF($AW81="",0,--(SUMPRODUCT(--(TRIM(Footfall!$B$5:$B$301)=$AW81))&gt;0))</f>
        <v>1</v>
      </c>
      <c r="CK81" s="8" cm="1">
        <f t="array" ref="CK81">IF($AW81="",0,_xlfn.LET(_xlpm.r,IFERROR(MATCH(IFERROR(_xlfn.XLOOKUP($AW81,$BT$5:$BT$22,$BU$5:$BU$22),$AW81),TRIM('TY Beauty Target'!$B$5:$B$300&amp;""),0),""),IF(ISNUMBER(_xlpm.r),SUMPRODUCT(('TY Beauty Target'!$L$2:$AP$2&gt;=$U$4)*('TY Beauty Target'!$L$2:$AP$2&lt;=$U$5),INDEX('TY Beauty Target'!$L$5:$AP$300,_xlpm.r,0)),0)))</f>
        <v>5795.6523286785023</v>
      </c>
    </row>
    <row r="82" spans="1:89" ht="15" customHeight="1" x14ac:dyDescent="0.25">
      <c r="A82" s="38" t="str">
        <f t="shared" si="58"/>
        <v/>
      </c>
      <c r="B82" s="43" t="str" cm="1">
        <f t="array" ref="B82">IF($AI82="","",IF(LEFT($AI82,2)="C|",IF($C82="","",_xlfn.TEXTJOIN(", ",TRUE,_xlfn.UNIQUE(_xlfn._xlws.FILTER($AN$5:$AN$302,($AP$5:$AP$302=1)*($AO$5:$AO$302=$A82))))),IF($AI82="CT",B$13,IF(LEFT($AI82,3)="AM|",IF($C82="","",ROWS(_xlfn.UNIQUE(_xlfn._xlws.FILTER($AO$5:$AO$302,($AP$5:$AP$302=1)*($AN$5:$AN$302=$A82))))),IF(LEFT($AI82,2)="S|",IF($AG82="","",INDEX($AO$5:$AO$302,$AH82)),IF($AI82="HDR","City",""))))))</f>
        <v/>
      </c>
      <c r="C82" s="39" t="str" cm="1">
        <f t="array" ref="C82">IF($AI82="","",IF(LEFT($AI82,2)="C|",_xlfn.LET(_xlpm.n,SUMPRODUCT($AP$5:$AP$302*($AO$5:$AO$302=$A82)),IF(_xlpm.n=0,"",_xlpm.n)),IF($AI82="CT",C$13,IF(LEFT($AI82,3)="AM|",_xlfn.LET(_xlpm.n,SUMPRODUCT($AP$5:$AP$302*($AN$5:$AN$302=$A82)),IF(_xlpm.n=0,"",_xlpm.n)),IF(LEFT($AI82,2)="S|","",IF($AI82="HDR","# Stores",""))))))</f>
        <v/>
      </c>
      <c r="D82" s="40" t="str" cm="1">
        <f t="array" ref="D82">IF($AI82="","",IF(LEFT($AI82,2)="C|",IF($C82="","",SUMPRODUCT($AP$5:$AP$302*($AO$5:$AO$302=$A82),$AR$5:$AR$302)),IF($AI82="CT",D$13,IF(LEFT($AI82,3)="AM|",IF($C82="","",SUMPRODUCT($AP$5:$AP$302*($AN$5:$AN$302=$A82),$AR$5:$AR$302)),IF(LEFT($AI82,2)="S|",IF($AG82="","",INDEX($AR$5:$AR$302,$AH82)),IF($AI82="HDR","Sales TY",""))))))</f>
        <v/>
      </c>
      <c r="E82" s="40" t="str" cm="1">
        <f t="array" ref="E82">IF($AI82="","",IF(LEFT($AI82,2)="C|",IF($C82="","",SUMPRODUCT($AP$5:$AP$302*($AO$5:$AO$302=$A82),$AT$5:$AT$302)),IF($AI82="CT",E$13,IF(LEFT($AI82,3)="AM|",IF($C82="","",SUMPRODUCT($AP$5:$AP$302*($AN$5:$AN$302=$A82),$AT$5:$AT$302)),IF(LEFT($AI82,2)="S|",IF($AG82="","",INDEX($AT$5:$AT$302,$AH82)),IF($AI82="HDR","Sales LY",""))))))</f>
        <v/>
      </c>
      <c r="F82" s="41" t="str">
        <f t="shared" si="46"/>
        <v/>
      </c>
      <c r="G82" s="41" t="str">
        <f t="shared" si="47"/>
        <v/>
      </c>
      <c r="H82" s="40" t="str" cm="1">
        <f t="array" ref="H82">IF($AI82="","",IF(LEFT($AI82,2)="C|",IF($C82="","",SUMPRODUCT($AP$5:$AP$302*($AO$5:$AO$302=$A82),$AV$5:$AV$302)),IF($AI82="CT",H$13,IF(LEFT($AI82,3)="AM|",IF($C82="","",SUMPRODUCT($AP$5:$AP$302*($AN$5:$AN$302=$A82),$AV$5:$AV$302)),IF(LEFT($AI82,2)="S|",IF($AG82="","",INDEX($AV$5:$AV$302,$AH82)),IF($AI82="HDR","Target",""))))))</f>
        <v/>
      </c>
      <c r="I82" s="41" t="str">
        <f t="shared" si="48"/>
        <v/>
      </c>
      <c r="J82" s="40" t="str">
        <f t="shared" si="49"/>
        <v/>
      </c>
      <c r="K82" s="41" t="str">
        <f t="shared" si="50"/>
        <v/>
      </c>
      <c r="L82" s="40" t="str" cm="1">
        <f t="array" ref="L82">IF($AI82="","",IF(LEFT($AI82,2)="C|",IF($C82="","",SUMPRODUCT($AP$5:$AP$302*($AO$5:$AO$302=$A82),$BN$5:$BN$302)),IF($AI82="CT",L$13,IF(LEFT($AI82,3)="AM|",IF($C82="","",SUMPRODUCT($AP$5:$AP$302*($AN$5:$AN$302=$A82),$BN$5:$BN$302)),IF(LEFT($AI82,2)="S|",IF($AG82="","",INDEX($BN$5:$BN$302,$AH82)),IF($AI82="HDR","Month Target",""))))))</f>
        <v/>
      </c>
      <c r="M82" s="40" t="str" cm="1">
        <f t="array" ref="M82">IF($AI82="","",IF(LEFT($AI82,2)="C|",IF($C82="","",SUMPRODUCT($AP$5:$AP$302*($AO$5:$AO$302=$A82),$BO$5:$BO$302)),IF($AI82="CT",M$13,IF(LEFT($AI82,3)="AM|",IF($C82="","",SUMPRODUCT($AP$5:$AP$302*($AN$5:$AN$302=$A82),$BO$5:$BO$302)),IF(LEFT($AI82,2)="S|",IF($AG82="","",INDEX($BO$5:$BO$302,$AH82)),IF($AI82="HDR","Projected Close",""))))))</f>
        <v/>
      </c>
      <c r="N82" s="41" t="str">
        <f t="shared" si="43"/>
        <v/>
      </c>
      <c r="O82" s="41" t="str" cm="1">
        <f t="array" ref="O82">IF($AI82="HDR","Proj. vs LY",IF(OR($AI82="",M82=""),"",_xlfn.LET(_xlpm.ly,IF(LEFT($AI82,2)="C|",SUMPRODUCT($AP$5:$AP$302*($AO$5:$AO$302=$A82),$BK$5:$BK$302),IF($AI82="CT",SUMPRODUCT($AP$5:$AP$302,$BK$5:$BK$302),IF(LEFT($AI82,3)="AM|",SUMPRODUCT($AP$5:$AP$302*($AN$5:$AN$302=$A82),$BK$5:$BK$302),IF(LEFT($AI82,2)="S|",INDEX($BK$5:$BK$302,$AH82),0)))),IFERROR(M82/_xlpm.ly-1,""))))</f>
        <v/>
      </c>
      <c r="P82" s="40" t="str" cm="1">
        <f t="array" ref="P82">IF($AI82="","",IF(LEFT($AI82,2)="C|",IF($C82="","",SUMPRODUCT($AP$5:$AP$302*($AO$5:$AO$302=$A82),$AS$5:$AS$302)),IF($AI82="CT",P$13,IF(LEFT($AI82,3)="AM|",IF($C82="","",SUMPRODUCT($AP$5:$AP$302*($AN$5:$AN$302=$A82),$AS$5:$AS$302)),IF(LEFT($AI82,2)="S|",IF($AG82="","",INDEX($AS$5:$AS$302,$AH82)),IF($AI82="HDR","Trans TY",""))))))</f>
        <v/>
      </c>
      <c r="Q82" s="40" t="str" cm="1">
        <f t="array" ref="Q82">IF($AI82="","",IF(LEFT($AI82,2)="C|",IF($C82="","",SUMPRODUCT($AP$5:$AP$302*($AO$5:$AO$302=$A82),$AU$5:$AU$302)),IF($AI82="CT",Q$13,IF(LEFT($AI82,3)="AM|",IF($C82="","",SUMPRODUCT($AP$5:$AP$302*($AN$5:$AN$302=$A82),$AU$5:$AU$302)),IF(LEFT($AI82,2)="S|",IF($AG82="","",INDEX($AU$5:$AU$302,$AH82)),IF($AI82="HDR","Trans LY",""))))))</f>
        <v/>
      </c>
      <c r="R82" s="41" t="str">
        <f t="shared" si="51"/>
        <v/>
      </c>
      <c r="S82" s="41" t="str">
        <f t="shared" si="52"/>
        <v/>
      </c>
      <c r="T82" s="42" t="str">
        <f t="shared" si="53"/>
        <v/>
      </c>
      <c r="U82" s="42" t="str">
        <f t="shared" si="54"/>
        <v/>
      </c>
      <c r="V82" s="41" t="str">
        <f t="shared" si="55"/>
        <v/>
      </c>
      <c r="W82" s="40" t="str" cm="1">
        <f t="array" ref="W82">IF($AI82="","",IF(LEFT($AI82,2)="C|",_xlfn.LET(_xlpm.n,SUMPRODUCT($AP$5:$AP$302*($AO$5:$AO$302=$A82),$BB$5:$BB$302),IF(_xlpm.n=0,"",_xlpm.n)),IF($AI82="CT",W$13,IF(LEFT($AI82,3)="AM|",_xlfn.LET(_xlpm.n,SUMPRODUCT($AP$5:$AP$302*($AN$5:$AN$302=$A82),$BB$5:$BB$302),IF(_xlpm.n=0,"",_xlpm.n)),IF(LEFT($AI82,2)="S|",IF($AG82="","",_xlfn.LET(_xlpm.n,INDEX($BB$5:$BB$302,$AH82),IF(_xlpm.n=0,"",_xlpm.n))),IF($AI82="HDR","Footfall",""))))))</f>
        <v/>
      </c>
      <c r="X82" s="40" t="str" cm="1">
        <f t="array" ref="X82">IF($AI82="","",IF($AI82="HDR","Trans (FF stores)",IF(W82="","",IF(LEFT($AI82,2)="C|",SUMPRODUCT($AP$5:$AP$302*($AO$5:$AO$302=$A82),$BC$5:$BC$302),IF($AI82="CT",X$13,IF(LEFT($AI82,3)="AM|",SUMPRODUCT($AP$5:$AP$302*($AN$5:$AN$302=$A82),$BC$5:$BC$302),IF(LEFT($AI82,2)="S|",INDEX($BC$5:$BC$302,$AH82),"")))))))</f>
        <v/>
      </c>
      <c r="Y82" s="41" t="str">
        <f t="shared" si="44"/>
        <v/>
      </c>
      <c r="Z82" s="40" t="str" cm="1">
        <f t="array" ref="Z82">IF($AI82="","",IF(LEFT($AI82,2)="C|",IF($C82="","",SUMPRODUCT($AP$5:$AP$302*($AO$5:$AO$302=$A82),$CB$5:$CB$302)),IF($AI82="CT",Z$13,IF(LEFT($AI82,3)="AM|",IF($C82="","",SUMPRODUCT($AP$5:$AP$302*($AN$5:$AN$302=$A82),$CB$5:$CB$302)),IF(LEFT($AI82,2)="S|",IF($AG82="","",INDEX($CB$5:$CB$302,$AH82)),IF($AI82="HDR","Makeup Sales",""))))))</f>
        <v/>
      </c>
      <c r="AA82" s="41" t="str">
        <f t="shared" si="56"/>
        <v/>
      </c>
      <c r="AB82" s="40" t="str" cm="1">
        <f t="array" ref="AB82">IF($AI82="","",IF(LEFT($AI82,2)="C|",IF($C82="","",SUMPRODUCT($AP$5:$AP$302*($AO$5:$AO$302=$A82),$CK$5:$CK$302)),IF($AI82="CT",AB$13,IF(LEFT($AI82,3)="AM|",IF($C82="","",SUMPRODUCT($AP$5:$AP$302*($AN$5:$AN$302=$A82),$CK$5:$CK$302)),IF(LEFT($AI82,2)="S|",IF($AG82="","",INDEX($CK$5:$CK$302,$AH82)),IF($AI82="HDR","Makeup Target",""))))))</f>
        <v/>
      </c>
      <c r="AC82" s="41" t="str">
        <f t="shared" si="45"/>
        <v/>
      </c>
      <c r="AD82" s="40" t="str" cm="1">
        <f t="array" ref="AD82">IF($AI82="","",IF(LEFT($AI82,2)="C|",IF($C82="","",SUMPRODUCT($AP$5:$AP$302*($AO$5:$AO$302=$A82),$CI$5:$CI$302)),IF($AI82="CT",AD$13,IF(LEFT($AI82,3)="AM|",IF($C82="","",SUMPRODUCT($AP$5:$AP$302*($AN$5:$AN$302=$A82),$CI$5:$CI$302)),IF(LEFT($AI82,2)="S|",IF($AG82="","",INDEX($CI$5:$CI$302,$AH82)),IF($AI82="HDR","Cosmetic Sales",""))))))</f>
        <v/>
      </c>
      <c r="AE82" s="8" t="str" cm="1">
        <f t="array" ref="AE82">IF($AI82="","",IF(LEFT($AI82,2)="C|",IF($C82="","",SUMPRODUCT($AP$5:$AP$302*($AO$5:$AO$302=$A82)*$AQ$5:$AQ$302,$AR$5:$AR$302)),IF($AI82="CT",AE$13,IF(LEFT($AI82,3)="AM|",IF($C82="","",SUMPRODUCT($AP$5:$AP$302*($AN$5:$AN$302=$A82)*$AQ$5:$AQ$302,$AR$5:$AR$302)),IF(LEFT($AI82,2)="S|",IF($AG82="","",IF(INDEX($AQ$5:$AQ$302,$AH82)=1,D82,0)),IF($AI82="HDR","LFL Sales",""))))))</f>
        <v/>
      </c>
      <c r="AF82" s="8" t="str" cm="1">
        <f t="array" ref="AF82">IF($AI82="","",IF(LEFT($AI82,2)="C|",IF($C82="","",SUMPRODUCT($AP$5:$AP$302*($AO$5:$AO$302=$A82)*$AQ$5:$AQ$302,$AS$5:$AS$302)),IF($AI82="CT",AF$13,IF(LEFT($AI82,3)="AM|",IF($C82="","",SUMPRODUCT($AP$5:$AP$302*($AN$5:$AN$302=$A82)*$AQ$5:$AQ$302,$AS$5:$AS$302)),IF(LEFT($AI82,2)="S|",IF($AG82="","",IF(INDEX($AQ$5:$AQ$302,$AH82)=1,P82,0)),IF($AI82="HDR","LFL Trans",""))))))</f>
        <v/>
      </c>
      <c r="AG82" s="8" t="str" cm="1">
        <f t="array" ref="AG82">IF($AI82="","",IF(LEFT($AI82,2)="C|","",IF($AI82="CT","",IF(LEFT($AI82,3)="AM|","",IF(LEFT($AI82,2)="S|",IF($AH82="","",IF(INDEX($AP$5:$AP$302,$AH82)=1,1,"")),IF($AI82="HDR","Show",""))))))</f>
        <v/>
      </c>
      <c r="AH82" s="8" t="str">
        <f t="shared" si="57"/>
        <v/>
      </c>
      <c r="AI82" s="8"/>
      <c r="AN82" s="8" t="str" cm="1">
        <f t="array" ref="AN82">IF($AW82="","",_xlfn.LET(_xlpm.sa,IFERROR(TRIM(INDEX('Sales and count'!$D$4:$D$300,$BF82)&amp;""),""),_xlpm.ta,IFERROR(TRIM(INDEX('TY Sales Target'!$F$5:$F$300,$BG82)&amp;""),""),IF(AND(_xlpm.sa&lt;&gt;"",LEFT(_xlpm.sa,1)&lt;&gt;"#",_xlpm.sa&lt;&gt;"0"),_xlpm.sa,IF(AND(_xlpm.ta&lt;&gt;"",LEFT(_xlpm.ta,1)&lt;&gt;"#",_xlpm.ta&lt;&gt;"0"),_xlpm.ta,IF(ISNUMBER($BG82),"Unassigned","")))))</f>
        <v>Saleh Bin Hoiel</v>
      </c>
      <c r="AO82" s="8" t="str" cm="1">
        <f t="array" ref="AO82">IF($AW82="","",_xlfn.LET(_xlpm.sa,IFERROR(TRIM(INDEX('Sales and count'!$C$4:$C$300,$BF82)&amp;""),""),_xlpm.ta,IFERROR(TRIM(INDEX('TY Sales Target'!$D$5:$D$300,$BG82)&amp;""),""),IF(AND(_xlpm.sa&lt;&gt;"",LEFT(_xlpm.sa,1)&lt;&gt;"#",_xlpm.sa&lt;&gt;"0"),_xlpm.sa,IF(AND(_xlpm.ta&lt;&gt;"",LEFT(_xlpm.ta,1)&lt;&gt;"#",_xlpm.ta&lt;&gt;"0"),_xlpm.ta,""))))</f>
        <v>Jeddah</v>
      </c>
      <c r="AP82" s="8">
        <f t="shared" si="60"/>
        <v>1</v>
      </c>
      <c r="AQ82" s="8">
        <f t="shared" si="61"/>
        <v>1</v>
      </c>
      <c r="AR82" s="8" cm="1">
        <f t="array" ref="AR82">IF($BF82="",0,_xlfn.LET(_xlpm.d,IFERROR(--'Sales and count'!$G$2:$CC$2,0),SUMPRODUCT(('Sales and count'!$G$3:$CC$3="Total")*(_xlpm.d&gt;=$U$4)*(_xlpm.d&lt;=$U$5),INDEX('Sales and count'!$G$4:$CC$300,$BF82,0))))</f>
        <v>311989.38999999996</v>
      </c>
      <c r="AS82" s="8" cm="1">
        <f t="array" aca="1" ref="AS82" ca="1">IF($BF82="",0,_xlfn.LET(_xlpm.d,IFERROR(--'Sales and count'!$F$2:$CB$2,0),SUMPRODUCT(('Sales and count'!$G$3:$CC$3="Transactions")*(_xlpm.d&gt;=$U$4)*(_xlpm.d&lt;=$U$5),INDEX('Sales and count'!$G$4:$CC$300,$BF82,0))))</f>
        <v>1813</v>
      </c>
      <c r="AT82" s="8" cm="1">
        <f t="array" ref="AT82">IF($AW82="",0,SUMPRODUCT((TRIM('LY Sales '!$B$5:$B$200)=$AW82)*('LY Sales '!$C$2:$AG$2&gt;=EDATE($U$4,-12))*('LY Sales '!$C$2:$AG$2&lt;=EDATE($U$5,-12)),'LY Sales '!$C$5:$AG$200))</f>
        <v>391728.4499999999</v>
      </c>
      <c r="AU82" s="8" cm="1">
        <f t="array" ref="AU82">IF($AW82="",0,SUMPRODUCT((TRIM('LY Transaction'!$B$5:$B$200)=$AW82)*('LY Transaction'!$C$2:$AG$2&gt;=EDATE($U$4,-12))*('LY Transaction'!$C$2:$AG$2&lt;=EDATE($U$5,-12)),'LY Transaction'!$C$5:$AG$200))</f>
        <v>2817</v>
      </c>
      <c r="AV82" s="8" cm="1">
        <f t="array" ref="AV82">IF(NOT(ISNUMBER($BG82)),0,SUMPRODUCT(('TY Sales Target'!$K$2:$AO$2&gt;=$U$4)*('TY Sales Target'!$K$2:$AO$2&lt;=$U$5),INDEX('TY Sales Target'!$K$5:$AO$300,$BG82,0)))</f>
        <v>440550.60513106087</v>
      </c>
      <c r="AW82" s="8" t="str" cm="1">
        <f t="array" ref="AW82">IFERROR(INDEX(_xlfn.ANCHORARRAY($BR$5),ROWS($AW$5:AW82)),"")</f>
        <v>SALAMA</v>
      </c>
      <c r="BB82" cm="1">
        <f t="array" ref="BB82">IF($AW82="",0,SUMPRODUCT((TRIM(Footfall!$B$5:$B$301)=$AW82)*(Footfall!$C$1:$BZ$1&gt;=$U$4)*(Footfall!$C$2:$BZ$2&lt;=$U$5)*(Footfall!$C$1:$BZ$1&lt;&gt;""),Footfall!$C$5:$BZ$301))</f>
        <v>4481</v>
      </c>
      <c r="BC82" cm="1">
        <f t="array" aca="1" ref="BC82" ca="1">IF(OR($BB82&lt;=0,$BD$1="",$BF82=""),0,_xlfn.LET(_xlpm.d,IFERROR(--'Sales and count'!$F$2:$CB$2,0),SUMPRODUCT(('Sales and count'!$G$3:$CC$3="Transactions")*(_xlpm.d&gt;=$BD$1)*(_xlpm.d&lt;=$BD$2),INDEX('Sales and count'!$G$4:$CC$300,$BF82,0))))</f>
        <v>1813</v>
      </c>
      <c r="BF82" cm="1">
        <f t="array" ref="BF82">IF($AW82="","",IFERROR(MATCH($AW82,TRIM('Sales and count'!$A$4:$A$300&amp;""),0),""))</f>
        <v>78</v>
      </c>
      <c r="BG82" cm="1">
        <f t="array" ref="BG82">IF($AW82="","",IFERROR(MATCH(IFERROR(_xlfn.XLOOKUP($AW82,$BT$5:$BT$22,$BU$5:$BU$22),$AW82),TRIM('TY Sales Target'!$B$5:$B$300&amp;""),0),""))</f>
        <v>7</v>
      </c>
      <c r="BH82" t="str" cm="1">
        <f t="array" ref="BH82">IF(ISNUMBER($BG82),_xlfn.LET(_xlpm.p,TRIM(INDEX('TY Sales Target'!$I$5:$I$300,$BG82)&amp;""),IF(_xlpm.p="","Not set",_xlpm.p)),"Not set")</f>
        <v>Car</v>
      </c>
      <c r="BI82" cm="1">
        <f t="array" ref="BI82">IF($BF82="",0,_xlfn.LET(_xlpm.d,IFERROR(--'Sales and count'!$G$2:$CC$2,0),SUMPRODUCT(('Sales and count'!$G$3:$CC$3="Total")*(_xlpm.d&gt;=$BZ$5)*(_xlpm.d&lt;=$BZ$6),INDEX('Sales and count'!$G$4:$CC$300,$BF82,0))))</f>
        <v>311989.38999999996</v>
      </c>
      <c r="BJ82" cm="1">
        <f t="array" ref="BJ82">IF($AW82="",0,SUMPRODUCT((TRIM('LY Sales '!$B$5:$B$200)=$AW82)*('LY Sales '!$C$2:$AG$2&gt;=EDATE($BZ$5,-12))*('LY Sales '!$C$2:$AG$2&lt;=EDATE($BZ$6,-12)),'LY Sales '!$C$5:$AG$200))</f>
        <v>391728.4499999999</v>
      </c>
      <c r="BK82" cm="1">
        <f t="array" ref="BK82">IF($AW82="",0,SUMPRODUCT((TRIM('LY Sales '!$B$5:$B$200)=$AW82)*('LY Sales '!$C$2:$AG$2&gt;=EDATE($BZ$5,-12))*('LY Sales '!$C$2:$AG$2&lt;=EDATE($BZ$7,-12)),'LY Sales '!$C$5:$AG$200))</f>
        <v>484977.68999999989</v>
      </c>
      <c r="BL82" cm="1">
        <f t="array" ref="BL82">IF($AW82="",0,SUMPRODUCT((TRIM('LY Sales '!$B$5:$B$200)=$AW82)*('LY Sales '!$C$2:$AG$2&gt;=EDATE($BZ$5,-12))*('LY Sales '!$C$2:$AG$2&lt;=EDATE($BZ$6,-12))*('LY Sales '!$C$5:$AG$200&gt;0)))</f>
        <v>26</v>
      </c>
      <c r="BM82" cm="1">
        <f t="array" ref="BM82">IF(NOT(ISNUMBER($BG82)),0,SUMPRODUCT(('TY Sales Target'!$K$2:$AO$2&gt;=$BZ$5)*('TY Sales Target'!$K$2:$AO$2&lt;=$BZ$6),INDEX('TY Sales Target'!$K$5:$AO$300,$BG82,0)))</f>
        <v>440550.60513106087</v>
      </c>
      <c r="BN82" cm="1">
        <f t="array" ref="BN82">IF(NOT(ISNUMBER($BG82)),0,SUMPRODUCT(('TY Sales Target'!$K$2:$AO$2&gt;=$BZ$5)*('TY Sales Target'!$K$2:$AO$2&lt;=$BZ$7),INDEX('TY Sales Target'!$K$5:$AO$300,$BG82,0)))</f>
        <v>575000.00000000012</v>
      </c>
      <c r="BO82" cm="1">
        <f t="array" ref="BO82">IF($AW82="",0,IFERROR(_xlfn.SWITCH($BP82,"LY trend",$BI82*$BK82/$BJ82,"Target curve",$BI82*$BN82/$BM82,"Run rate",$BI82/$BZ$8*$BZ$9,0),0))</f>
        <v>386257.09638069198</v>
      </c>
      <c r="BP82" t="str">
        <f t="shared" si="59"/>
        <v>LY trend</v>
      </c>
      <c r="BR82" t="str">
        <v>SALAMA</v>
      </c>
      <c r="CB82" cm="1">
        <f t="array" ref="CB82">IF($AW82="",0,_xlfn.LET(_xlpm.k,IFERROR(_xlfn.XLOOKUP($AW82,$CD$6:$CD$21,$CE$6:$CE$21),$AW82),SUMPRODUCT((TRIM('Makeup '!$A$2:$A$300&amp;"")=_xlpm.k)*1,IFERROR('Makeup '!$F$2:$F$300*1,0))))</f>
        <v>11259.06</v>
      </c>
      <c r="CF82" t="str" cm="1">
        <f t="array" ref="CF82">IF($AW82="","",_xlfn.LET(_xlpm.c,IFERROR(TRIM(INDEX('Sales and count'!$B$4:$B$300,$BF82)&amp;""),""),IF(OR(_xlpm.c="",_xlpm.c="0",LEFT(_xlpm.c,1)="#"),"Not set",_xlpm.c)))</f>
        <v>KSA</v>
      </c>
      <c r="CH82" cm="1">
        <f t="array" ref="CH82">IF($AW82="",0,_xlfn.LET(_xlpm.k,IFERROR(_xlfn.XLOOKUP($AW82,$CD$6:$CD$21,$CE$6:$CE$21),$AW82),--(SUMPRODUCT((TRIM('Makeup '!$A$2:$A$300&amp;"")=_xlpm.k)*ISNUMBER('Makeup '!$F$2:$F$300))&gt;0)))</f>
        <v>1</v>
      </c>
      <c r="CI82">
        <f t="shared" si="62"/>
        <v>311989.38999999996</v>
      </c>
      <c r="CJ82" cm="1">
        <f t="array" ref="CJ82">IF($AW82="",0,--(SUMPRODUCT(--(TRIM(Footfall!$B$5:$B$301)=$AW82))&gt;0))</f>
        <v>1</v>
      </c>
      <c r="CK82" s="8" cm="1">
        <f t="array" ref="CK82">IF($AW82="",0,_xlfn.LET(_xlpm.r,IFERROR(MATCH(IFERROR(_xlfn.XLOOKUP($AW82,$BT$5:$BT$22,$BU$5:$BU$22),$AW82),TRIM('TY Beauty Target'!$B$5:$B$300&amp;""),0),""),IF(ISNUMBER(_xlpm.r),SUMPRODUCT(('TY Beauty Target'!$L$2:$AP$2&gt;=$U$4)*('TY Beauty Target'!$L$2:$AP$2&lt;=$U$5),INDEX('TY Beauty Target'!$L$5:$AP$300,_xlpm.r,0)),0)))</f>
        <v>28662.157445620061</v>
      </c>
    </row>
    <row r="83" spans="1:89" ht="15" customHeight="1" x14ac:dyDescent="0.25">
      <c r="A83" s="38" t="str">
        <f t="shared" si="58"/>
        <v/>
      </c>
      <c r="B83" s="43" t="str" cm="1">
        <f t="array" ref="B83">IF($AI83="","",IF(LEFT($AI83,2)="C|",IF($C83="","",_xlfn.TEXTJOIN(", ",TRUE,_xlfn.UNIQUE(_xlfn._xlws.FILTER($AN$5:$AN$302,($AP$5:$AP$302=1)*($AO$5:$AO$302=$A83))))),IF($AI83="CT",B$13,IF(LEFT($AI83,3)="AM|",IF($C83="","",ROWS(_xlfn.UNIQUE(_xlfn._xlws.FILTER($AO$5:$AO$302,($AP$5:$AP$302=1)*($AN$5:$AN$302=$A83))))),IF(LEFT($AI83,2)="S|",IF($AG83="","",INDEX($AO$5:$AO$302,$AH83)),IF($AI83="HDR","City",""))))))</f>
        <v/>
      </c>
      <c r="C83" s="39" t="str" cm="1">
        <f t="array" ref="C83">IF($AI83="","",IF(LEFT($AI83,2)="C|",_xlfn.LET(_xlpm.n,SUMPRODUCT($AP$5:$AP$302*($AO$5:$AO$302=$A83)),IF(_xlpm.n=0,"",_xlpm.n)),IF($AI83="CT",C$13,IF(LEFT($AI83,3)="AM|",_xlfn.LET(_xlpm.n,SUMPRODUCT($AP$5:$AP$302*($AN$5:$AN$302=$A83)),IF(_xlpm.n=0,"",_xlpm.n)),IF(LEFT($AI83,2)="S|","",IF($AI83="HDR","# Stores",""))))))</f>
        <v/>
      </c>
      <c r="D83" s="40" t="str" cm="1">
        <f t="array" ref="D83">IF($AI83="","",IF(LEFT($AI83,2)="C|",IF($C83="","",SUMPRODUCT($AP$5:$AP$302*($AO$5:$AO$302=$A83),$AR$5:$AR$302)),IF($AI83="CT",D$13,IF(LEFT($AI83,3)="AM|",IF($C83="","",SUMPRODUCT($AP$5:$AP$302*($AN$5:$AN$302=$A83),$AR$5:$AR$302)),IF(LEFT($AI83,2)="S|",IF($AG83="","",INDEX($AR$5:$AR$302,$AH83)),IF($AI83="HDR","Sales TY",""))))))</f>
        <v/>
      </c>
      <c r="E83" s="40" t="str" cm="1">
        <f t="array" ref="E83">IF($AI83="","",IF(LEFT($AI83,2)="C|",IF($C83="","",SUMPRODUCT($AP$5:$AP$302*($AO$5:$AO$302=$A83),$AT$5:$AT$302)),IF($AI83="CT",E$13,IF(LEFT($AI83,3)="AM|",IF($C83="","",SUMPRODUCT($AP$5:$AP$302*($AN$5:$AN$302=$A83),$AT$5:$AT$302)),IF(LEFT($AI83,2)="S|",IF($AG83="","",INDEX($AT$5:$AT$302,$AH83)),IF($AI83="HDR","Sales LY",""))))))</f>
        <v/>
      </c>
      <c r="F83" s="41" t="str">
        <f t="shared" si="46"/>
        <v/>
      </c>
      <c r="G83" s="41" t="str">
        <f t="shared" si="47"/>
        <v/>
      </c>
      <c r="H83" s="40" t="str" cm="1">
        <f t="array" ref="H83">IF($AI83="","",IF(LEFT($AI83,2)="C|",IF($C83="","",SUMPRODUCT($AP$5:$AP$302*($AO$5:$AO$302=$A83),$AV$5:$AV$302)),IF($AI83="CT",H$13,IF(LEFT($AI83,3)="AM|",IF($C83="","",SUMPRODUCT($AP$5:$AP$302*($AN$5:$AN$302=$A83),$AV$5:$AV$302)),IF(LEFT($AI83,2)="S|",IF($AG83="","",INDEX($AV$5:$AV$302,$AH83)),IF($AI83="HDR","Target",""))))))</f>
        <v/>
      </c>
      <c r="I83" s="41" t="str">
        <f t="shared" si="48"/>
        <v/>
      </c>
      <c r="J83" s="40" t="str">
        <f t="shared" si="49"/>
        <v/>
      </c>
      <c r="K83" s="41" t="str">
        <f t="shared" si="50"/>
        <v/>
      </c>
      <c r="L83" s="40" t="str" cm="1">
        <f t="array" ref="L83">IF($AI83="","",IF(LEFT($AI83,2)="C|",IF($C83="","",SUMPRODUCT($AP$5:$AP$302*($AO$5:$AO$302=$A83),$BN$5:$BN$302)),IF($AI83="CT",L$13,IF(LEFT($AI83,3)="AM|",IF($C83="","",SUMPRODUCT($AP$5:$AP$302*($AN$5:$AN$302=$A83),$BN$5:$BN$302)),IF(LEFT($AI83,2)="S|",IF($AG83="","",INDEX($BN$5:$BN$302,$AH83)),IF($AI83="HDR","Month Target",""))))))</f>
        <v/>
      </c>
      <c r="M83" s="40" t="str" cm="1">
        <f t="array" ref="M83">IF($AI83="","",IF(LEFT($AI83,2)="C|",IF($C83="","",SUMPRODUCT($AP$5:$AP$302*($AO$5:$AO$302=$A83),$BO$5:$BO$302)),IF($AI83="CT",M$13,IF(LEFT($AI83,3)="AM|",IF($C83="","",SUMPRODUCT($AP$5:$AP$302*($AN$5:$AN$302=$A83),$BO$5:$BO$302)),IF(LEFT($AI83,2)="S|",IF($AG83="","",INDEX($BO$5:$BO$302,$AH83)),IF($AI83="HDR","Projected Close",""))))))</f>
        <v/>
      </c>
      <c r="N83" s="41" t="str">
        <f t="shared" si="43"/>
        <v/>
      </c>
      <c r="O83" s="41" t="str" cm="1">
        <f t="array" ref="O83">IF($AI83="HDR","Proj. vs LY",IF(OR($AI83="",M83=""),"",_xlfn.LET(_xlpm.ly,IF(LEFT($AI83,2)="C|",SUMPRODUCT($AP$5:$AP$302*($AO$5:$AO$302=$A83),$BK$5:$BK$302),IF($AI83="CT",SUMPRODUCT($AP$5:$AP$302,$BK$5:$BK$302),IF(LEFT($AI83,3)="AM|",SUMPRODUCT($AP$5:$AP$302*($AN$5:$AN$302=$A83),$BK$5:$BK$302),IF(LEFT($AI83,2)="S|",INDEX($BK$5:$BK$302,$AH83),0)))),IFERROR(M83/_xlpm.ly-1,""))))</f>
        <v/>
      </c>
      <c r="P83" s="40" t="str" cm="1">
        <f t="array" ref="P83">IF($AI83="","",IF(LEFT($AI83,2)="C|",IF($C83="","",SUMPRODUCT($AP$5:$AP$302*($AO$5:$AO$302=$A83),$AS$5:$AS$302)),IF($AI83="CT",P$13,IF(LEFT($AI83,3)="AM|",IF($C83="","",SUMPRODUCT($AP$5:$AP$302*($AN$5:$AN$302=$A83),$AS$5:$AS$302)),IF(LEFT($AI83,2)="S|",IF($AG83="","",INDEX($AS$5:$AS$302,$AH83)),IF($AI83="HDR","Trans TY",""))))))</f>
        <v/>
      </c>
      <c r="Q83" s="40" t="str" cm="1">
        <f t="array" ref="Q83">IF($AI83="","",IF(LEFT($AI83,2)="C|",IF($C83="","",SUMPRODUCT($AP$5:$AP$302*($AO$5:$AO$302=$A83),$AU$5:$AU$302)),IF($AI83="CT",Q$13,IF(LEFT($AI83,3)="AM|",IF($C83="","",SUMPRODUCT($AP$5:$AP$302*($AN$5:$AN$302=$A83),$AU$5:$AU$302)),IF(LEFT($AI83,2)="S|",IF($AG83="","",INDEX($AU$5:$AU$302,$AH83)),IF($AI83="HDR","Trans LY",""))))))</f>
        <v/>
      </c>
      <c r="R83" s="41" t="str">
        <f t="shared" si="51"/>
        <v/>
      </c>
      <c r="S83" s="41" t="str">
        <f t="shared" si="52"/>
        <v/>
      </c>
      <c r="T83" s="42" t="str">
        <f t="shared" si="53"/>
        <v/>
      </c>
      <c r="U83" s="42" t="str">
        <f t="shared" si="54"/>
        <v/>
      </c>
      <c r="V83" s="41" t="str">
        <f t="shared" si="55"/>
        <v/>
      </c>
      <c r="W83" s="40" t="str" cm="1">
        <f t="array" ref="W83">IF($AI83="","",IF(LEFT($AI83,2)="C|",_xlfn.LET(_xlpm.n,SUMPRODUCT($AP$5:$AP$302*($AO$5:$AO$302=$A83),$BB$5:$BB$302),IF(_xlpm.n=0,"",_xlpm.n)),IF($AI83="CT",W$13,IF(LEFT($AI83,3)="AM|",_xlfn.LET(_xlpm.n,SUMPRODUCT($AP$5:$AP$302*($AN$5:$AN$302=$A83),$BB$5:$BB$302),IF(_xlpm.n=0,"",_xlpm.n)),IF(LEFT($AI83,2)="S|",IF($AG83="","",_xlfn.LET(_xlpm.n,INDEX($BB$5:$BB$302,$AH83),IF(_xlpm.n=0,"",_xlpm.n))),IF($AI83="HDR","Footfall",""))))))</f>
        <v/>
      </c>
      <c r="X83" s="40" t="str" cm="1">
        <f t="array" ref="X83">IF($AI83="","",IF($AI83="HDR","Trans (FF stores)",IF(W83="","",IF(LEFT($AI83,2)="C|",SUMPRODUCT($AP$5:$AP$302*($AO$5:$AO$302=$A83),$BC$5:$BC$302),IF($AI83="CT",X$13,IF(LEFT($AI83,3)="AM|",SUMPRODUCT($AP$5:$AP$302*($AN$5:$AN$302=$A83),$BC$5:$BC$302),IF(LEFT($AI83,2)="S|",INDEX($BC$5:$BC$302,$AH83),"")))))))</f>
        <v/>
      </c>
      <c r="Y83" s="41" t="str">
        <f t="shared" si="44"/>
        <v/>
      </c>
      <c r="Z83" s="40" t="str" cm="1">
        <f t="array" ref="Z83">IF($AI83="","",IF(LEFT($AI83,2)="C|",IF($C83="","",SUMPRODUCT($AP$5:$AP$302*($AO$5:$AO$302=$A83),$CB$5:$CB$302)),IF($AI83="CT",Z$13,IF(LEFT($AI83,3)="AM|",IF($C83="","",SUMPRODUCT($AP$5:$AP$302*($AN$5:$AN$302=$A83),$CB$5:$CB$302)),IF(LEFT($AI83,2)="S|",IF($AG83="","",INDEX($CB$5:$CB$302,$AH83)),IF($AI83="HDR","Makeup Sales",""))))))</f>
        <v/>
      </c>
      <c r="AA83" s="41" t="str">
        <f t="shared" si="56"/>
        <v/>
      </c>
      <c r="AB83" s="40" t="str" cm="1">
        <f t="array" ref="AB83">IF($AI83="","",IF(LEFT($AI83,2)="C|",IF($C83="","",SUMPRODUCT($AP$5:$AP$302*($AO$5:$AO$302=$A83),$CK$5:$CK$302)),IF($AI83="CT",AB$13,IF(LEFT($AI83,3)="AM|",IF($C83="","",SUMPRODUCT($AP$5:$AP$302*($AN$5:$AN$302=$A83),$CK$5:$CK$302)),IF(LEFT($AI83,2)="S|",IF($AG83="","",INDEX($CK$5:$CK$302,$AH83)),IF($AI83="HDR","Makeup Target",""))))))</f>
        <v/>
      </c>
      <c r="AC83" s="41" t="str">
        <f t="shared" si="45"/>
        <v/>
      </c>
      <c r="AD83" s="40" t="str" cm="1">
        <f t="array" ref="AD83">IF($AI83="","",IF(LEFT($AI83,2)="C|",IF($C83="","",SUMPRODUCT($AP$5:$AP$302*($AO$5:$AO$302=$A83),$CI$5:$CI$302)),IF($AI83="CT",AD$13,IF(LEFT($AI83,3)="AM|",IF($C83="","",SUMPRODUCT($AP$5:$AP$302*($AN$5:$AN$302=$A83),$CI$5:$CI$302)),IF(LEFT($AI83,2)="S|",IF($AG83="","",INDEX($CI$5:$CI$302,$AH83)),IF($AI83="HDR","Cosmetic Sales",""))))))</f>
        <v/>
      </c>
      <c r="AE83" s="8" t="str" cm="1">
        <f t="array" ref="AE83">IF($AI83="","",IF(LEFT($AI83,2)="C|",IF($C83="","",SUMPRODUCT($AP$5:$AP$302*($AO$5:$AO$302=$A83)*$AQ$5:$AQ$302,$AR$5:$AR$302)),IF($AI83="CT",AE$13,IF(LEFT($AI83,3)="AM|",IF($C83="","",SUMPRODUCT($AP$5:$AP$302*($AN$5:$AN$302=$A83)*$AQ$5:$AQ$302,$AR$5:$AR$302)),IF(LEFT($AI83,2)="S|",IF($AG83="","",IF(INDEX($AQ$5:$AQ$302,$AH83)=1,D83,0)),IF($AI83="HDR","LFL Sales",""))))))</f>
        <v/>
      </c>
      <c r="AF83" s="8" t="str" cm="1">
        <f t="array" ref="AF83">IF($AI83="","",IF(LEFT($AI83,2)="C|",IF($C83="","",SUMPRODUCT($AP$5:$AP$302*($AO$5:$AO$302=$A83)*$AQ$5:$AQ$302,$AS$5:$AS$302)),IF($AI83="CT",AF$13,IF(LEFT($AI83,3)="AM|",IF($C83="","",SUMPRODUCT($AP$5:$AP$302*($AN$5:$AN$302=$A83)*$AQ$5:$AQ$302,$AS$5:$AS$302)),IF(LEFT($AI83,2)="S|",IF($AG83="","",IF(INDEX($AQ$5:$AQ$302,$AH83)=1,P83,0)),IF($AI83="HDR","LFL Trans",""))))))</f>
        <v/>
      </c>
      <c r="AG83" s="8" t="str" cm="1">
        <f t="array" ref="AG83">IF($AI83="","",IF(LEFT($AI83,2)="C|","",IF($AI83="CT","",IF(LEFT($AI83,3)="AM|","",IF(LEFT($AI83,2)="S|",IF($AH83="","",IF(INDEX($AP$5:$AP$302,$AH83)=1,1,"")),IF($AI83="HDR","Show",""))))))</f>
        <v/>
      </c>
      <c r="AH83" s="8" t="str">
        <f t="shared" si="57"/>
        <v/>
      </c>
      <c r="AI83" s="8"/>
      <c r="AN83" s="8" t="str" cm="1">
        <f t="array" ref="AN83">IF($AW83="","",_xlfn.LET(_xlpm.sa,IFERROR(TRIM(INDEX('Sales and count'!$D$4:$D$300,$BF83)&amp;""),""),_xlpm.ta,IFERROR(TRIM(INDEX('TY Sales Target'!$F$5:$F$300,$BG83)&amp;""),""),IF(AND(_xlpm.sa&lt;&gt;"",LEFT(_xlpm.sa,1)&lt;&gt;"#",_xlpm.sa&lt;&gt;"0"),_xlpm.sa,IF(AND(_xlpm.ta&lt;&gt;"",LEFT(_xlpm.ta,1)&lt;&gt;"#",_xlpm.ta&lt;&gt;"0"),_xlpm.ta,IF(ISNUMBER($BG83),"Unassigned","")))))</f>
        <v>Ahmed Jaffari</v>
      </c>
      <c r="AO83" s="8" t="str" cm="1">
        <f t="array" ref="AO83">IF($AW83="","",_xlfn.LET(_xlpm.sa,IFERROR(TRIM(INDEX('Sales and count'!$C$4:$C$300,$BF83)&amp;""),""),_xlpm.ta,IFERROR(TRIM(INDEX('TY Sales Target'!$D$5:$D$300,$BG83)&amp;""),""),IF(AND(_xlpm.sa&lt;&gt;"",LEFT(_xlpm.sa,1)&lt;&gt;"#",_xlpm.sa&lt;&gt;"0"),_xlpm.sa,IF(AND(_xlpm.ta&lt;&gt;"",LEFT(_xlpm.ta,1)&lt;&gt;"#",_xlpm.ta&lt;&gt;"0"),_xlpm.ta,""))))</f>
        <v>Abha</v>
      </c>
      <c r="AP83" s="8">
        <f t="shared" si="60"/>
        <v>0</v>
      </c>
      <c r="AQ83" s="8">
        <f t="shared" si="61"/>
        <v>0</v>
      </c>
      <c r="AR83" s="8" cm="1">
        <f t="array" ref="AR83">IF($BF83="",0,_xlfn.LET(_xlpm.d,IFERROR(--'Sales and count'!$G$2:$CC$2,0),SUMPRODUCT(('Sales and count'!$G$3:$CC$3="Total")*(_xlpm.d&gt;=$U$4)*(_xlpm.d&lt;=$U$5),INDEX('Sales and count'!$G$4:$CC$300,$BF83,0))))</f>
        <v>61077.459999999985</v>
      </c>
      <c r="AS83" s="8" cm="1">
        <f t="array" aca="1" ref="AS83" ca="1">IF($BF83="",0,_xlfn.LET(_xlpm.d,IFERROR(--'Sales and count'!$F$2:$CB$2,0),SUMPRODUCT(('Sales and count'!$G$3:$CC$3="Transactions")*(_xlpm.d&gt;=$U$4)*(_xlpm.d&lt;=$U$5),INDEX('Sales and count'!$G$4:$CC$300,$BF83,0))))</f>
        <v>346</v>
      </c>
      <c r="AT83" s="8" cm="1">
        <f t="array" ref="AT83">IF($AW83="",0,SUMPRODUCT((TRIM('LY Sales '!$B$5:$B$200)=$AW83)*('LY Sales '!$C$2:$AG$2&gt;=EDATE($U$4,-12))*('LY Sales '!$C$2:$AG$2&lt;=EDATE($U$5,-12)),'LY Sales '!$C$5:$AG$200))</f>
        <v>0</v>
      </c>
      <c r="AU83" s="8" cm="1">
        <f t="array" ref="AU83">IF($AW83="",0,SUMPRODUCT((TRIM('LY Transaction'!$B$5:$B$200)=$AW83)*('LY Transaction'!$C$2:$AG$2&gt;=EDATE($U$4,-12))*('LY Transaction'!$C$2:$AG$2&lt;=EDATE($U$5,-12)),'LY Transaction'!$C$5:$AG$200))</f>
        <v>0</v>
      </c>
      <c r="AV83" s="8" cm="1">
        <f t="array" ref="AV83">IF(NOT(ISNUMBER($BG83)),0,SUMPRODUCT(('TY Sales Target'!$K$2:$AO$2&gt;=$U$4)*('TY Sales Target'!$K$2:$AO$2&lt;=$U$5),INDEX('TY Sales Target'!$K$5:$AO$300,$BG83,0)))</f>
        <v>114926.2448167985</v>
      </c>
      <c r="AW83" s="8" t="str" cm="1">
        <f t="array" ref="AW83">IFERROR(INDEX(_xlfn.ANCHORARRAY($BR$5),ROWS($AW$5:AW83)),"")</f>
        <v>HALAVANDAP</v>
      </c>
      <c r="BB83" cm="1">
        <f t="array" ref="BB83">IF($AW83="",0,SUMPRODUCT((TRIM(Footfall!$B$5:$B$301)=$AW83)*(Footfall!$C$1:$BZ$1&gt;=$U$4)*(Footfall!$C$2:$BZ$2&lt;=$U$5)*(Footfall!$C$1:$BZ$1&lt;&gt;""),Footfall!$C$5:$BZ$301))</f>
        <v>0</v>
      </c>
      <c r="BC83" cm="1">
        <f t="array" ref="BC83">IF(OR($BB83&lt;=0,$BD$1="",$BF83=""),0,_xlfn.LET(_xlpm.d,IFERROR(--'Sales and count'!$F$2:$CB$2,0),SUMPRODUCT(('Sales and count'!$G$3:$CC$3="Transactions")*(_xlpm.d&gt;=$BD$1)*(_xlpm.d&lt;=$BD$2),INDEX('Sales and count'!$G$4:$CC$300,$BF83,0))))</f>
        <v>0</v>
      </c>
      <c r="BF83" cm="1">
        <f t="array" ref="BF83">IF($AW83="","",IFERROR(MATCH($AW83,TRIM('Sales and count'!$A$4:$A$300&amp;""),0),""))</f>
        <v>79</v>
      </c>
      <c r="BG83" cm="1">
        <f t="array" ref="BG83">IF($AW83="","",IFERROR(MATCH(IFERROR(_xlfn.XLOOKUP($AW83,$BT$5:$BT$22,$BU$5:$BU$22),$AW83),TRIM('TY Sales Target'!$B$5:$B$300&amp;""),0),""))</f>
        <v>87</v>
      </c>
      <c r="BH83" t="str" cm="1">
        <f t="array" ref="BH83">IF(ISNUMBER($BG83),_xlfn.LET(_xlpm.p,TRIM(INDEX('TY Sales Target'!$I$5:$I$300,$BG83)&amp;""),IF(_xlpm.p="","Not set",_xlpm.p)),"Not set")</f>
        <v>I Pad</v>
      </c>
      <c r="BI83" cm="1">
        <f t="array" ref="BI83">IF($BF83="",0,_xlfn.LET(_xlpm.d,IFERROR(--'Sales and count'!$G$2:$CC$2,0),SUMPRODUCT(('Sales and count'!$G$3:$CC$3="Total")*(_xlpm.d&gt;=$BZ$5)*(_xlpm.d&lt;=$BZ$6),INDEX('Sales and count'!$G$4:$CC$300,$BF83,0))))</f>
        <v>61077.459999999985</v>
      </c>
      <c r="BJ83" cm="1">
        <f t="array" ref="BJ83">IF($AW83="",0,SUMPRODUCT((TRIM('LY Sales '!$B$5:$B$200)=$AW83)*('LY Sales '!$C$2:$AG$2&gt;=EDATE($BZ$5,-12))*('LY Sales '!$C$2:$AG$2&lt;=EDATE($BZ$6,-12)),'LY Sales '!$C$5:$AG$200))</f>
        <v>0</v>
      </c>
      <c r="BK83" cm="1">
        <f t="array" ref="BK83">IF($AW83="",0,SUMPRODUCT((TRIM('LY Sales '!$B$5:$B$200)=$AW83)*('LY Sales '!$C$2:$AG$2&gt;=EDATE($BZ$5,-12))*('LY Sales '!$C$2:$AG$2&lt;=EDATE($BZ$7,-12)),'LY Sales '!$C$5:$AG$200))</f>
        <v>0</v>
      </c>
      <c r="BL83" cm="1">
        <f t="array" ref="BL83">IF($AW83="",0,SUMPRODUCT((TRIM('LY Sales '!$B$5:$B$200)=$AW83)*('LY Sales '!$C$2:$AG$2&gt;=EDATE($BZ$5,-12))*('LY Sales '!$C$2:$AG$2&lt;=EDATE($BZ$6,-12))*('LY Sales '!$C$5:$AG$200&gt;0)))</f>
        <v>0</v>
      </c>
      <c r="BM83" cm="1">
        <f t="array" ref="BM83">IF(NOT(ISNUMBER($BG83)),0,SUMPRODUCT(('TY Sales Target'!$K$2:$AO$2&gt;=$BZ$5)*('TY Sales Target'!$K$2:$AO$2&lt;=$BZ$6),INDEX('TY Sales Target'!$K$5:$AO$300,$BG83,0)))</f>
        <v>114926.2448167985</v>
      </c>
      <c r="BN83" cm="1">
        <f t="array" ref="BN83">IF(NOT(ISNUMBER($BG83)),0,SUMPRODUCT(('TY Sales Target'!$K$2:$AO$2&gt;=$BZ$5)*('TY Sales Target'!$K$2:$AO$2&lt;=$BZ$7),INDEX('TY Sales Target'!$K$5:$AO$300,$BG83,0)))</f>
        <v>150000</v>
      </c>
      <c r="BO83" cm="1">
        <f t="array" ref="BO83">IF($AW83="",0,IFERROR(_xlfn.SWITCH($BP83,"LY trend",$BI83*$BK83/$BJ83,"Target curve",$BI83*$BN83/$BM83,"Run rate",$BI83/$BZ$8*$BZ$9,0),0))</f>
        <v>79717.378868546017</v>
      </c>
      <c r="BP83" t="str">
        <f t="shared" si="59"/>
        <v>Target curve</v>
      </c>
      <c r="BR83" t="str">
        <v>HALAVANDAP</v>
      </c>
      <c r="CB83" cm="1">
        <f t="array" ref="CB83">IF($AW83="",0,_xlfn.LET(_xlpm.k,IFERROR(_xlfn.XLOOKUP($AW83,$CD$6:$CD$21,$CE$6:$CE$21),$AW83),SUMPRODUCT((TRIM('Makeup '!$A$2:$A$300&amp;"")=_xlpm.k)*1,IFERROR('Makeup '!$F$2:$F$300*1,0))))</f>
        <v>5362.6</v>
      </c>
      <c r="CF83" t="str" cm="1">
        <f t="array" ref="CF83">IF($AW83="","",_xlfn.LET(_xlpm.c,IFERROR(TRIM(INDEX('Sales and count'!$B$4:$B$300,$BF83)&amp;""),""),IF(OR(_xlpm.c="",_xlpm.c="0",LEFT(_xlpm.c,1)="#"),"Not set",_xlpm.c)))</f>
        <v>KSA</v>
      </c>
      <c r="CH83" cm="1">
        <f t="array" ref="CH83">IF($AW83="",0,_xlfn.LET(_xlpm.k,IFERROR(_xlfn.XLOOKUP($AW83,$CD$6:$CD$21,$CE$6:$CE$21),$AW83),--(SUMPRODUCT((TRIM('Makeup '!$A$2:$A$300&amp;"")=_xlpm.k)*ISNUMBER('Makeup '!$F$2:$F$300))&gt;0)))</f>
        <v>1</v>
      </c>
      <c r="CI83">
        <f t="shared" si="62"/>
        <v>61077.459999999985</v>
      </c>
      <c r="CJ83" cm="1">
        <f t="array" ref="CJ83">IF($AW83="",0,--(SUMPRODUCT(--(TRIM(Footfall!$B$5:$B$301)=$AW83))&gt;0))</f>
        <v>0</v>
      </c>
      <c r="CK83" s="8" cm="1">
        <f t="array" ref="CK83">IF($AW83="",0,_xlfn.LET(_xlpm.r,IFERROR(MATCH(IFERROR(_xlfn.XLOOKUP($AW83,$BT$5:$BT$22,$BU$5:$BU$22),$AW83),TRIM('TY Beauty Target'!$B$5:$B$300&amp;""),0),""),IF(ISNUMBER(_xlpm.r),SUMPRODUCT(('TY Beauty Target'!$L$2:$AP$2&gt;=$U$4)*('TY Beauty Target'!$L$2:$AP$2&lt;=$U$5),INDEX('TY Beauty Target'!$L$5:$AP$300,_xlpm.r,0)),0)))</f>
        <v>11430.511567169602</v>
      </c>
    </row>
    <row r="84" spans="1:89" ht="15" customHeight="1" x14ac:dyDescent="0.25">
      <c r="A84" s="38" t="str">
        <f t="shared" si="58"/>
        <v/>
      </c>
      <c r="B84" s="43" t="str" cm="1">
        <f t="array" ref="B84">IF($AI84="","",IF(LEFT($AI84,2)="C|",IF($C84="","",_xlfn.TEXTJOIN(", ",TRUE,_xlfn.UNIQUE(_xlfn._xlws.FILTER($AN$5:$AN$302,($AP$5:$AP$302=1)*($AO$5:$AO$302=$A84))))),IF($AI84="CT",B$13,IF(LEFT($AI84,3)="AM|",IF($C84="","",ROWS(_xlfn.UNIQUE(_xlfn._xlws.FILTER($AO$5:$AO$302,($AP$5:$AP$302=1)*($AN$5:$AN$302=$A84))))),IF(LEFT($AI84,2)="S|",IF($AG84="","",INDEX($AO$5:$AO$302,$AH84)),IF($AI84="HDR","City",""))))))</f>
        <v/>
      </c>
      <c r="C84" s="39" t="str" cm="1">
        <f t="array" ref="C84">IF($AI84="","",IF(LEFT($AI84,2)="C|",_xlfn.LET(_xlpm.n,SUMPRODUCT($AP$5:$AP$302*($AO$5:$AO$302=$A84)),IF(_xlpm.n=0,"",_xlpm.n)),IF($AI84="CT",C$13,IF(LEFT($AI84,3)="AM|",_xlfn.LET(_xlpm.n,SUMPRODUCT($AP$5:$AP$302*($AN$5:$AN$302=$A84)),IF(_xlpm.n=0,"",_xlpm.n)),IF(LEFT($AI84,2)="S|","",IF($AI84="HDR","# Stores",""))))))</f>
        <v/>
      </c>
      <c r="D84" s="40" t="str" cm="1">
        <f t="array" ref="D84">IF($AI84="","",IF(LEFT($AI84,2)="C|",IF($C84="","",SUMPRODUCT($AP$5:$AP$302*($AO$5:$AO$302=$A84),$AR$5:$AR$302)),IF($AI84="CT",D$13,IF(LEFT($AI84,3)="AM|",IF($C84="","",SUMPRODUCT($AP$5:$AP$302*($AN$5:$AN$302=$A84),$AR$5:$AR$302)),IF(LEFT($AI84,2)="S|",IF($AG84="","",INDEX($AR$5:$AR$302,$AH84)),IF($AI84="HDR","Sales TY",""))))))</f>
        <v/>
      </c>
      <c r="E84" s="40" t="str" cm="1">
        <f t="array" ref="E84">IF($AI84="","",IF(LEFT($AI84,2)="C|",IF($C84="","",SUMPRODUCT($AP$5:$AP$302*($AO$5:$AO$302=$A84),$AT$5:$AT$302)),IF($AI84="CT",E$13,IF(LEFT($AI84,3)="AM|",IF($C84="","",SUMPRODUCT($AP$5:$AP$302*($AN$5:$AN$302=$A84),$AT$5:$AT$302)),IF(LEFT($AI84,2)="S|",IF($AG84="","",INDEX($AT$5:$AT$302,$AH84)),IF($AI84="HDR","Sales LY",""))))))</f>
        <v/>
      </c>
      <c r="F84" s="41" t="str">
        <f t="shared" si="46"/>
        <v/>
      </c>
      <c r="G84" s="41" t="str">
        <f t="shared" si="47"/>
        <v/>
      </c>
      <c r="H84" s="40" t="str" cm="1">
        <f t="array" ref="H84">IF($AI84="","",IF(LEFT($AI84,2)="C|",IF($C84="","",SUMPRODUCT($AP$5:$AP$302*($AO$5:$AO$302=$A84),$AV$5:$AV$302)),IF($AI84="CT",H$13,IF(LEFT($AI84,3)="AM|",IF($C84="","",SUMPRODUCT($AP$5:$AP$302*($AN$5:$AN$302=$A84),$AV$5:$AV$302)),IF(LEFT($AI84,2)="S|",IF($AG84="","",INDEX($AV$5:$AV$302,$AH84)),IF($AI84="HDR","Target",""))))))</f>
        <v/>
      </c>
      <c r="I84" s="41" t="str">
        <f t="shared" si="48"/>
        <v/>
      </c>
      <c r="J84" s="40" t="str">
        <f t="shared" si="49"/>
        <v/>
      </c>
      <c r="K84" s="41" t="str">
        <f t="shared" si="50"/>
        <v/>
      </c>
      <c r="L84" s="40" t="str" cm="1">
        <f t="array" ref="L84">IF($AI84="","",IF(LEFT($AI84,2)="C|",IF($C84="","",SUMPRODUCT($AP$5:$AP$302*($AO$5:$AO$302=$A84),$BN$5:$BN$302)),IF($AI84="CT",L$13,IF(LEFT($AI84,3)="AM|",IF($C84="","",SUMPRODUCT($AP$5:$AP$302*($AN$5:$AN$302=$A84),$BN$5:$BN$302)),IF(LEFT($AI84,2)="S|",IF($AG84="","",INDEX($BN$5:$BN$302,$AH84)),IF($AI84="HDR","Month Target",""))))))</f>
        <v/>
      </c>
      <c r="M84" s="40" t="str" cm="1">
        <f t="array" ref="M84">IF($AI84="","",IF(LEFT($AI84,2)="C|",IF($C84="","",SUMPRODUCT($AP$5:$AP$302*($AO$5:$AO$302=$A84),$BO$5:$BO$302)),IF($AI84="CT",M$13,IF(LEFT($AI84,3)="AM|",IF($C84="","",SUMPRODUCT($AP$5:$AP$302*($AN$5:$AN$302=$A84),$BO$5:$BO$302)),IF(LEFT($AI84,2)="S|",IF($AG84="","",INDEX($BO$5:$BO$302,$AH84)),IF($AI84="HDR","Projected Close",""))))))</f>
        <v/>
      </c>
      <c r="N84" s="41" t="str">
        <f t="shared" si="43"/>
        <v/>
      </c>
      <c r="O84" s="41" t="str" cm="1">
        <f t="array" ref="O84">IF($AI84="HDR","Proj. vs LY",IF(OR($AI84="",M84=""),"",_xlfn.LET(_xlpm.ly,IF(LEFT($AI84,2)="C|",SUMPRODUCT($AP$5:$AP$302*($AO$5:$AO$302=$A84),$BK$5:$BK$302),IF($AI84="CT",SUMPRODUCT($AP$5:$AP$302,$BK$5:$BK$302),IF(LEFT($AI84,3)="AM|",SUMPRODUCT($AP$5:$AP$302*($AN$5:$AN$302=$A84),$BK$5:$BK$302),IF(LEFT($AI84,2)="S|",INDEX($BK$5:$BK$302,$AH84),0)))),IFERROR(M84/_xlpm.ly-1,""))))</f>
        <v/>
      </c>
      <c r="P84" s="40" t="str" cm="1">
        <f t="array" ref="P84">IF($AI84="","",IF(LEFT($AI84,2)="C|",IF($C84="","",SUMPRODUCT($AP$5:$AP$302*($AO$5:$AO$302=$A84),$AS$5:$AS$302)),IF($AI84="CT",P$13,IF(LEFT($AI84,3)="AM|",IF($C84="","",SUMPRODUCT($AP$5:$AP$302*($AN$5:$AN$302=$A84),$AS$5:$AS$302)),IF(LEFT($AI84,2)="S|",IF($AG84="","",INDEX($AS$5:$AS$302,$AH84)),IF($AI84="HDR","Trans TY",""))))))</f>
        <v/>
      </c>
      <c r="Q84" s="40" t="str" cm="1">
        <f t="array" ref="Q84">IF($AI84="","",IF(LEFT($AI84,2)="C|",IF($C84="","",SUMPRODUCT($AP$5:$AP$302*($AO$5:$AO$302=$A84),$AU$5:$AU$302)),IF($AI84="CT",Q$13,IF(LEFT($AI84,3)="AM|",IF($C84="","",SUMPRODUCT($AP$5:$AP$302*($AN$5:$AN$302=$A84),$AU$5:$AU$302)),IF(LEFT($AI84,2)="S|",IF($AG84="","",INDEX($AU$5:$AU$302,$AH84)),IF($AI84="HDR","Trans LY",""))))))</f>
        <v/>
      </c>
      <c r="R84" s="41" t="str">
        <f t="shared" si="51"/>
        <v/>
      </c>
      <c r="S84" s="41" t="str">
        <f t="shared" si="52"/>
        <v/>
      </c>
      <c r="T84" s="42" t="str">
        <f t="shared" si="53"/>
        <v/>
      </c>
      <c r="U84" s="42" t="str">
        <f t="shared" si="54"/>
        <v/>
      </c>
      <c r="V84" s="41" t="str">
        <f t="shared" si="55"/>
        <v/>
      </c>
      <c r="W84" s="40" t="str" cm="1">
        <f t="array" ref="W84">IF($AI84="","",IF(LEFT($AI84,2)="C|",_xlfn.LET(_xlpm.n,SUMPRODUCT($AP$5:$AP$302*($AO$5:$AO$302=$A84),$BB$5:$BB$302),IF(_xlpm.n=0,"",_xlpm.n)),IF($AI84="CT",W$13,IF(LEFT($AI84,3)="AM|",_xlfn.LET(_xlpm.n,SUMPRODUCT($AP$5:$AP$302*($AN$5:$AN$302=$A84),$BB$5:$BB$302),IF(_xlpm.n=0,"",_xlpm.n)),IF(LEFT($AI84,2)="S|",IF($AG84="","",_xlfn.LET(_xlpm.n,INDEX($BB$5:$BB$302,$AH84),IF(_xlpm.n=0,"",_xlpm.n))),IF($AI84="HDR","Footfall",""))))))</f>
        <v/>
      </c>
      <c r="X84" s="40" t="str" cm="1">
        <f t="array" ref="X84">IF($AI84="","",IF($AI84="HDR","Trans (FF stores)",IF(W84="","",IF(LEFT($AI84,2)="C|",SUMPRODUCT($AP$5:$AP$302*($AO$5:$AO$302=$A84),$BC$5:$BC$302),IF($AI84="CT",X$13,IF(LEFT($AI84,3)="AM|",SUMPRODUCT($AP$5:$AP$302*($AN$5:$AN$302=$A84),$BC$5:$BC$302),IF(LEFT($AI84,2)="S|",INDEX($BC$5:$BC$302,$AH84),"")))))))</f>
        <v/>
      </c>
      <c r="Y84" s="41" t="str">
        <f t="shared" si="44"/>
        <v/>
      </c>
      <c r="Z84" s="40" t="str" cm="1">
        <f t="array" ref="Z84">IF($AI84="","",IF(LEFT($AI84,2)="C|",IF($C84="","",SUMPRODUCT($AP$5:$AP$302*($AO$5:$AO$302=$A84),$CB$5:$CB$302)),IF($AI84="CT",Z$13,IF(LEFT($AI84,3)="AM|",IF($C84="","",SUMPRODUCT($AP$5:$AP$302*($AN$5:$AN$302=$A84),$CB$5:$CB$302)),IF(LEFT($AI84,2)="S|",IF($AG84="","",INDEX($CB$5:$CB$302,$AH84)),IF($AI84="HDR","Makeup Sales",""))))))</f>
        <v/>
      </c>
      <c r="AA84" s="41" t="str">
        <f t="shared" si="56"/>
        <v/>
      </c>
      <c r="AB84" s="40" t="str" cm="1">
        <f t="array" ref="AB84">IF($AI84="","",IF(LEFT($AI84,2)="C|",IF($C84="","",SUMPRODUCT($AP$5:$AP$302*($AO$5:$AO$302=$A84),$CK$5:$CK$302)),IF($AI84="CT",AB$13,IF(LEFT($AI84,3)="AM|",IF($C84="","",SUMPRODUCT($AP$5:$AP$302*($AN$5:$AN$302=$A84),$CK$5:$CK$302)),IF(LEFT($AI84,2)="S|",IF($AG84="","",INDEX($CK$5:$CK$302,$AH84)),IF($AI84="HDR","Makeup Target",""))))))</f>
        <v/>
      </c>
      <c r="AC84" s="41" t="str">
        <f t="shared" si="45"/>
        <v/>
      </c>
      <c r="AD84" s="40" t="str" cm="1">
        <f t="array" ref="AD84">IF($AI84="","",IF(LEFT($AI84,2)="C|",IF($C84="","",SUMPRODUCT($AP$5:$AP$302*($AO$5:$AO$302=$A84),$CI$5:$CI$302)),IF($AI84="CT",AD$13,IF(LEFT($AI84,3)="AM|",IF($C84="","",SUMPRODUCT($AP$5:$AP$302*($AN$5:$AN$302=$A84),$CI$5:$CI$302)),IF(LEFT($AI84,2)="S|",IF($AG84="","",INDEX($CI$5:$CI$302,$AH84)),IF($AI84="HDR","Cosmetic Sales",""))))))</f>
        <v/>
      </c>
      <c r="AE84" s="8" t="str" cm="1">
        <f t="array" ref="AE84">IF($AI84="","",IF(LEFT($AI84,2)="C|",IF($C84="","",SUMPRODUCT($AP$5:$AP$302*($AO$5:$AO$302=$A84)*$AQ$5:$AQ$302,$AR$5:$AR$302)),IF($AI84="CT",AE$13,IF(LEFT($AI84,3)="AM|",IF($C84="","",SUMPRODUCT($AP$5:$AP$302*($AN$5:$AN$302=$A84)*$AQ$5:$AQ$302,$AR$5:$AR$302)),IF(LEFT($AI84,2)="S|",IF($AG84="","",IF(INDEX($AQ$5:$AQ$302,$AH84)=1,D84,0)),IF($AI84="HDR","LFL Sales",""))))))</f>
        <v/>
      </c>
      <c r="AF84" s="8" t="str" cm="1">
        <f t="array" ref="AF84">IF($AI84="","",IF(LEFT($AI84,2)="C|",IF($C84="","",SUMPRODUCT($AP$5:$AP$302*($AO$5:$AO$302=$A84)*$AQ$5:$AQ$302,$AS$5:$AS$302)),IF($AI84="CT",AF$13,IF(LEFT($AI84,3)="AM|",IF($C84="","",SUMPRODUCT($AP$5:$AP$302*($AN$5:$AN$302=$A84)*$AQ$5:$AQ$302,$AS$5:$AS$302)),IF(LEFT($AI84,2)="S|",IF($AG84="","",IF(INDEX($AQ$5:$AQ$302,$AH84)=1,P84,0)),IF($AI84="HDR","LFL Trans",""))))))</f>
        <v/>
      </c>
      <c r="AG84" s="8" t="str" cm="1">
        <f t="array" ref="AG84">IF($AI84="","",IF(LEFT($AI84,2)="C|","",IF($AI84="CT","",IF(LEFT($AI84,3)="AM|","",IF(LEFT($AI84,2)="S|",IF($AH84="","",IF(INDEX($AP$5:$AP$302,$AH84)=1,1,"")),IF($AI84="HDR","Show",""))))))</f>
        <v/>
      </c>
      <c r="AH84" s="8" t="str">
        <f t="shared" si="57"/>
        <v/>
      </c>
      <c r="AI84" s="8"/>
      <c r="AN84" s="8" t="str" cm="1">
        <f t="array" ref="AN84">IF($AW84="","",_xlfn.LET(_xlpm.sa,IFERROR(TRIM(INDEX('Sales and count'!$D$4:$D$300,$BF84)&amp;""),""),_xlpm.ta,IFERROR(TRIM(INDEX('TY Sales Target'!$F$5:$F$300,$BG84)&amp;""),""),IF(AND(_xlpm.sa&lt;&gt;"",LEFT(_xlpm.sa,1)&lt;&gt;"#",_xlpm.sa&lt;&gt;"0"),_xlpm.sa,IF(AND(_xlpm.ta&lt;&gt;"",LEFT(_xlpm.ta,1)&lt;&gt;"#",_xlpm.ta&lt;&gt;"0"),_xlpm.ta,IF(ISNUMBER($BG84),"Unassigned","")))))</f>
        <v>Ahmed Jaffari</v>
      </c>
      <c r="AO84" s="8" t="str" cm="1">
        <f t="array" ref="AO84">IF($AW84="","",_xlfn.LET(_xlpm.sa,IFERROR(TRIM(INDEX('Sales and count'!$C$4:$C$300,$BF84)&amp;""),""),_xlpm.ta,IFERROR(TRIM(INDEX('TY Sales Target'!$D$5:$D$300,$BG84)&amp;""),""),IF(AND(_xlpm.sa&lt;&gt;"",LEFT(_xlpm.sa,1)&lt;&gt;"#",_xlpm.sa&lt;&gt;"0"),_xlpm.sa,IF(AND(_xlpm.ta&lt;&gt;"",LEFT(_xlpm.ta,1)&lt;&gt;"#",_xlpm.ta&lt;&gt;"0"),_xlpm.ta,""))))</f>
        <v>Najran</v>
      </c>
      <c r="AP84" s="8">
        <f t="shared" si="60"/>
        <v>0</v>
      </c>
      <c r="AQ84" s="8">
        <f t="shared" si="61"/>
        <v>1</v>
      </c>
      <c r="AR84" s="8" cm="1">
        <f t="array" ref="AR84">IF($BF84="",0,_xlfn.LET(_xlpm.d,IFERROR(--'Sales and count'!$G$2:$CC$2,0),SUMPRODUCT(('Sales and count'!$G$3:$CC$3="Total")*(_xlpm.d&gt;=$U$4)*(_xlpm.d&lt;=$U$5),INDEX('Sales and count'!$G$4:$CC$300,$BF84,0))))</f>
        <v>140604.46</v>
      </c>
      <c r="AS84" s="8" cm="1">
        <f t="array" aca="1" ref="AS84" ca="1">IF($BF84="",0,_xlfn.LET(_xlpm.d,IFERROR(--'Sales and count'!$F$2:$CB$2,0),SUMPRODUCT(('Sales and count'!$G$3:$CC$3="Transactions")*(_xlpm.d&gt;=$U$4)*(_xlpm.d&lt;=$U$5),INDEX('Sales and count'!$G$4:$CC$300,$BF84,0))))</f>
        <v>734</v>
      </c>
      <c r="AT84" s="8" cm="1">
        <f t="array" ref="AT84">IF($AW84="",0,SUMPRODUCT((TRIM('LY Sales '!$B$5:$B$200)=$AW84)*('LY Sales '!$C$2:$AG$2&gt;=EDATE($U$4,-12))*('LY Sales '!$C$2:$AG$2&lt;=EDATE($U$5,-12)),'LY Sales '!$C$5:$AG$200))</f>
        <v>203058.10999999993</v>
      </c>
      <c r="AU84" s="8" cm="1">
        <f t="array" ref="AU84">IF($AW84="",0,SUMPRODUCT((TRIM('LY Transaction'!$B$5:$B$200)=$AW84)*('LY Transaction'!$C$2:$AG$2&gt;=EDATE($U$4,-12))*('LY Transaction'!$C$2:$AG$2&lt;=EDATE($U$5,-12)),'LY Transaction'!$C$5:$AG$200))</f>
        <v>1728</v>
      </c>
      <c r="AV84" s="8" cm="1">
        <f t="array" ref="AV84">IF(NOT(ISNUMBER($BG84)),0,SUMPRODUCT(('TY Sales Target'!$K$2:$AO$2&gt;=$U$4)*('TY Sales Target'!$K$2:$AO$2&lt;=$U$5),INDEX('TY Sales Target'!$K$5:$AO$300,$BG84,0)))</f>
        <v>245175.98894250346</v>
      </c>
      <c r="AW84" s="8" t="str" cm="1">
        <f t="array" ref="AW84">IFERROR(INDEX(_xlfn.ANCHORARRAY($BR$5),ROWS($AW$5:AW84)),"")</f>
        <v>HANAJRPAR</v>
      </c>
      <c r="BB84" cm="1">
        <f t="array" ref="BB84">IF($AW84="",0,SUMPRODUCT((TRIM(Footfall!$B$5:$B$301)=$AW84)*(Footfall!$C$1:$BZ$1&gt;=$U$4)*(Footfall!$C$2:$BZ$2&lt;=$U$5)*(Footfall!$C$1:$BZ$1&lt;&gt;""),Footfall!$C$5:$BZ$301))</f>
        <v>0</v>
      </c>
      <c r="BC84" cm="1">
        <f t="array" ref="BC84">IF(OR($BB84&lt;=0,$BD$1="",$BF84=""),0,_xlfn.LET(_xlpm.d,IFERROR(--'Sales and count'!$F$2:$CB$2,0),SUMPRODUCT(('Sales and count'!$G$3:$CC$3="Transactions")*(_xlpm.d&gt;=$BD$1)*(_xlpm.d&lt;=$BD$2),INDEX('Sales and count'!$G$4:$CC$300,$BF84,0))))</f>
        <v>0</v>
      </c>
      <c r="BF84" cm="1">
        <f t="array" ref="BF84">IF($AW84="","",IFERROR(MATCH($AW84,TRIM('Sales and count'!$A$4:$A$300&amp;""),0),""))</f>
        <v>80</v>
      </c>
      <c r="BG84" cm="1">
        <f t="array" ref="BG84">IF($AW84="","",IFERROR(MATCH(IFERROR(_xlfn.XLOOKUP($AW84,$BT$5:$BT$22,$BU$5:$BU$22),$AW84),TRIM('TY Sales Target'!$B$5:$B$300&amp;""),0),""))</f>
        <v>29</v>
      </c>
      <c r="BH84" t="str" cm="1">
        <f t="array" ref="BH84">IF(ISNUMBER($BG84),_xlfn.LET(_xlpm.p,TRIM(INDEX('TY Sales Target'!$I$5:$I$300,$BG84)&amp;""),IF(_xlpm.p="","Not set",_xlpm.p)),"Not set")</f>
        <v>Smart Phone</v>
      </c>
      <c r="BI84" cm="1">
        <f t="array" ref="BI84">IF($BF84="",0,_xlfn.LET(_xlpm.d,IFERROR(--'Sales and count'!$G$2:$CC$2,0),SUMPRODUCT(('Sales and count'!$G$3:$CC$3="Total")*(_xlpm.d&gt;=$BZ$5)*(_xlpm.d&lt;=$BZ$6),INDEX('Sales and count'!$G$4:$CC$300,$BF84,0))))</f>
        <v>140604.46</v>
      </c>
      <c r="BJ84" cm="1">
        <f t="array" ref="BJ84">IF($AW84="",0,SUMPRODUCT((TRIM('LY Sales '!$B$5:$B$200)=$AW84)*('LY Sales '!$C$2:$AG$2&gt;=EDATE($BZ$5,-12))*('LY Sales '!$C$2:$AG$2&lt;=EDATE($BZ$6,-12)),'LY Sales '!$C$5:$AG$200))</f>
        <v>203058.10999999993</v>
      </c>
      <c r="BK84" cm="1">
        <f t="array" ref="BK84">IF($AW84="",0,SUMPRODUCT((TRIM('LY Sales '!$B$5:$B$200)=$AW84)*('LY Sales '!$C$2:$AG$2&gt;=EDATE($BZ$5,-12))*('LY Sales '!$C$2:$AG$2&lt;=EDATE($BZ$7,-12)),'LY Sales '!$C$5:$AG$200))</f>
        <v>268807.92999999993</v>
      </c>
      <c r="BL84" cm="1">
        <f t="array" ref="BL84">IF($AW84="",0,SUMPRODUCT((TRIM('LY Sales '!$B$5:$B$200)=$AW84)*('LY Sales '!$C$2:$AG$2&gt;=EDATE($BZ$5,-12))*('LY Sales '!$C$2:$AG$2&lt;=EDATE($BZ$6,-12))*('LY Sales '!$C$5:$AG$200&gt;0)))</f>
        <v>26</v>
      </c>
      <c r="BM84" cm="1">
        <f t="array" ref="BM84">IF(NOT(ISNUMBER($BG84)),0,SUMPRODUCT(('TY Sales Target'!$K$2:$AO$2&gt;=$BZ$5)*('TY Sales Target'!$K$2:$AO$2&lt;=$BZ$6),INDEX('TY Sales Target'!$K$5:$AO$300,$BG84,0)))</f>
        <v>245175.98894250346</v>
      </c>
      <c r="BN84" cm="1">
        <f t="array" ref="BN84">IF(NOT(ISNUMBER($BG84)),0,SUMPRODUCT(('TY Sales Target'!$K$2:$AO$2&gt;=$BZ$5)*('TY Sales Target'!$K$2:$AO$2&lt;=$BZ$7),INDEX('TY Sales Target'!$K$5:$AO$300,$BG84,0)))</f>
        <v>320000</v>
      </c>
      <c r="BO84" cm="1">
        <f t="array" ref="BO84">IF($AW84="",0,IFERROR(_xlfn.SWITCH($BP84,"LY trend",$BI84*$BK84/$BJ84,"Target curve",$BI84*$BN84/$BM84,"Run rate",$BI84/$BZ$8*$BZ$9,0),0))</f>
        <v>186131.90993143688</v>
      </c>
      <c r="BP84" t="str">
        <f t="shared" si="59"/>
        <v>LY trend</v>
      </c>
      <c r="BR84" t="str">
        <v>HANAJRPAR</v>
      </c>
      <c r="CB84" cm="1">
        <f t="array" ref="CB84">IF($AW84="",0,_xlfn.LET(_xlpm.k,IFERROR(_xlfn.XLOOKUP($AW84,$CD$6:$CD$21,$CE$6:$CE$21),$AW84),SUMPRODUCT((TRIM('Makeup '!$A$2:$A$300&amp;"")=_xlpm.k)*1,IFERROR('Makeup '!$F$2:$F$300*1,0))))</f>
        <v>10644.76</v>
      </c>
      <c r="CF84" t="str" cm="1">
        <f t="array" ref="CF84">IF($AW84="","",_xlfn.LET(_xlpm.c,IFERROR(TRIM(INDEX('Sales and count'!$B$4:$B$300,$BF84)&amp;""),""),IF(OR(_xlpm.c="",_xlpm.c="0",LEFT(_xlpm.c,1)="#"),"Not set",_xlpm.c)))</f>
        <v>KSA</v>
      </c>
      <c r="CH84" cm="1">
        <f t="array" ref="CH84">IF($AW84="",0,_xlfn.LET(_xlpm.k,IFERROR(_xlfn.XLOOKUP($AW84,$CD$6:$CD$21,$CE$6:$CE$21),$AW84),--(SUMPRODUCT((TRIM('Makeup '!$A$2:$A$300&amp;"")=_xlpm.k)*ISNUMBER('Makeup '!$F$2:$F$300))&gt;0)))</f>
        <v>1</v>
      </c>
      <c r="CI84">
        <f t="shared" si="62"/>
        <v>140604.46</v>
      </c>
      <c r="CJ84" cm="1">
        <f t="array" ref="CJ84">IF($AW84="",0,--(SUMPRODUCT(--(TRIM(Footfall!$B$5:$B$301)=$AW84))&gt;0))</f>
        <v>0</v>
      </c>
      <c r="CK84" s="8" cm="1">
        <f t="array" ref="CK84">IF($AW84="",0,_xlfn.LET(_xlpm.r,IFERROR(MATCH(IFERROR(_xlfn.XLOOKUP($AW84,$BT$5:$BT$22,$BU$5:$BU$22),$AW84),TRIM('TY Beauty Target'!$B$5:$B$300&amp;""),0),""),IF(ISNUMBER(_xlpm.r),SUMPRODUCT(('TY Beauty Target'!$L$2:$AP$2&gt;=$U$4)*('TY Beauty Target'!$L$2:$AP$2&lt;=$U$5),INDEX('TY Beauty Target'!$L$5:$AP$300,_xlpm.r,0)),0)))</f>
        <v>22226.390941215966</v>
      </c>
    </row>
    <row r="85" spans="1:89" ht="15" customHeight="1" x14ac:dyDescent="0.25">
      <c r="A85" s="38" t="str">
        <f t="shared" si="58"/>
        <v/>
      </c>
      <c r="B85" s="43" t="str" cm="1">
        <f t="array" ref="B85">IF($AI85="","",IF(LEFT($AI85,2)="C|",IF($C85="","",_xlfn.TEXTJOIN(", ",TRUE,_xlfn.UNIQUE(_xlfn._xlws.FILTER($AN$5:$AN$302,($AP$5:$AP$302=1)*($AO$5:$AO$302=$A85))))),IF($AI85="CT",B$13,IF(LEFT($AI85,3)="AM|",IF($C85="","",ROWS(_xlfn.UNIQUE(_xlfn._xlws.FILTER($AO$5:$AO$302,($AP$5:$AP$302=1)*($AN$5:$AN$302=$A85))))),IF(LEFT($AI85,2)="S|",IF($AG85="","",INDEX($AO$5:$AO$302,$AH85)),IF($AI85="HDR","City",""))))))</f>
        <v/>
      </c>
      <c r="C85" s="39" t="str" cm="1">
        <f t="array" ref="C85">IF($AI85="","",IF(LEFT($AI85,2)="C|",_xlfn.LET(_xlpm.n,SUMPRODUCT($AP$5:$AP$302*($AO$5:$AO$302=$A85)),IF(_xlpm.n=0,"",_xlpm.n)),IF($AI85="CT",C$13,IF(LEFT($AI85,3)="AM|",_xlfn.LET(_xlpm.n,SUMPRODUCT($AP$5:$AP$302*($AN$5:$AN$302=$A85)),IF(_xlpm.n=0,"",_xlpm.n)),IF(LEFT($AI85,2)="S|","",IF($AI85="HDR","# Stores",""))))))</f>
        <v/>
      </c>
      <c r="D85" s="40" t="str" cm="1">
        <f t="array" ref="D85">IF($AI85="","",IF(LEFT($AI85,2)="C|",IF($C85="","",SUMPRODUCT($AP$5:$AP$302*($AO$5:$AO$302=$A85),$AR$5:$AR$302)),IF($AI85="CT",D$13,IF(LEFT($AI85,3)="AM|",IF($C85="","",SUMPRODUCT($AP$5:$AP$302*($AN$5:$AN$302=$A85),$AR$5:$AR$302)),IF(LEFT($AI85,2)="S|",IF($AG85="","",INDEX($AR$5:$AR$302,$AH85)),IF($AI85="HDR","Sales TY",""))))))</f>
        <v/>
      </c>
      <c r="E85" s="40" t="str" cm="1">
        <f t="array" ref="E85">IF($AI85="","",IF(LEFT($AI85,2)="C|",IF($C85="","",SUMPRODUCT($AP$5:$AP$302*($AO$5:$AO$302=$A85),$AT$5:$AT$302)),IF($AI85="CT",E$13,IF(LEFT($AI85,3)="AM|",IF($C85="","",SUMPRODUCT($AP$5:$AP$302*($AN$5:$AN$302=$A85),$AT$5:$AT$302)),IF(LEFT($AI85,2)="S|",IF($AG85="","",INDEX($AT$5:$AT$302,$AH85)),IF($AI85="HDR","Sales LY",""))))))</f>
        <v/>
      </c>
      <c r="F85" s="41" t="str">
        <f t="shared" si="46"/>
        <v/>
      </c>
      <c r="G85" s="41" t="str">
        <f t="shared" si="47"/>
        <v/>
      </c>
      <c r="H85" s="40" t="str" cm="1">
        <f t="array" ref="H85">IF($AI85="","",IF(LEFT($AI85,2)="C|",IF($C85="","",SUMPRODUCT($AP$5:$AP$302*($AO$5:$AO$302=$A85),$AV$5:$AV$302)),IF($AI85="CT",H$13,IF(LEFT($AI85,3)="AM|",IF($C85="","",SUMPRODUCT($AP$5:$AP$302*($AN$5:$AN$302=$A85),$AV$5:$AV$302)),IF(LEFT($AI85,2)="S|",IF($AG85="","",INDEX($AV$5:$AV$302,$AH85)),IF($AI85="HDR","Target",""))))))</f>
        <v/>
      </c>
      <c r="I85" s="41" t="str">
        <f t="shared" si="48"/>
        <v/>
      </c>
      <c r="J85" s="40" t="str">
        <f t="shared" si="49"/>
        <v/>
      </c>
      <c r="K85" s="41" t="str">
        <f t="shared" si="50"/>
        <v/>
      </c>
      <c r="L85" s="40" t="str" cm="1">
        <f t="array" ref="L85">IF($AI85="","",IF(LEFT($AI85,2)="C|",IF($C85="","",SUMPRODUCT($AP$5:$AP$302*($AO$5:$AO$302=$A85),$BN$5:$BN$302)),IF($AI85="CT",L$13,IF(LEFT($AI85,3)="AM|",IF($C85="","",SUMPRODUCT($AP$5:$AP$302*($AN$5:$AN$302=$A85),$BN$5:$BN$302)),IF(LEFT($AI85,2)="S|",IF($AG85="","",INDEX($BN$5:$BN$302,$AH85)),IF($AI85="HDR","Month Target",""))))))</f>
        <v/>
      </c>
      <c r="M85" s="40" t="str" cm="1">
        <f t="array" ref="M85">IF($AI85="","",IF(LEFT($AI85,2)="C|",IF($C85="","",SUMPRODUCT($AP$5:$AP$302*($AO$5:$AO$302=$A85),$BO$5:$BO$302)),IF($AI85="CT",M$13,IF(LEFT($AI85,3)="AM|",IF($C85="","",SUMPRODUCT($AP$5:$AP$302*($AN$5:$AN$302=$A85),$BO$5:$BO$302)),IF(LEFT($AI85,2)="S|",IF($AG85="","",INDEX($BO$5:$BO$302,$AH85)),IF($AI85="HDR","Projected Close",""))))))</f>
        <v/>
      </c>
      <c r="N85" s="41" t="str">
        <f t="shared" si="43"/>
        <v/>
      </c>
      <c r="O85" s="41" t="str" cm="1">
        <f t="array" ref="O85">IF($AI85="HDR","Proj. vs LY",IF(OR($AI85="",M85=""),"",_xlfn.LET(_xlpm.ly,IF(LEFT($AI85,2)="C|",SUMPRODUCT($AP$5:$AP$302*($AO$5:$AO$302=$A85),$BK$5:$BK$302),IF($AI85="CT",SUMPRODUCT($AP$5:$AP$302,$BK$5:$BK$302),IF(LEFT($AI85,3)="AM|",SUMPRODUCT($AP$5:$AP$302*($AN$5:$AN$302=$A85),$BK$5:$BK$302),IF(LEFT($AI85,2)="S|",INDEX($BK$5:$BK$302,$AH85),0)))),IFERROR(M85/_xlpm.ly-1,""))))</f>
        <v/>
      </c>
      <c r="P85" s="40" t="str" cm="1">
        <f t="array" ref="P85">IF($AI85="","",IF(LEFT($AI85,2)="C|",IF($C85="","",SUMPRODUCT($AP$5:$AP$302*($AO$5:$AO$302=$A85),$AS$5:$AS$302)),IF($AI85="CT",P$13,IF(LEFT($AI85,3)="AM|",IF($C85="","",SUMPRODUCT($AP$5:$AP$302*($AN$5:$AN$302=$A85),$AS$5:$AS$302)),IF(LEFT($AI85,2)="S|",IF($AG85="","",INDEX($AS$5:$AS$302,$AH85)),IF($AI85="HDR","Trans TY",""))))))</f>
        <v/>
      </c>
      <c r="Q85" s="40" t="str" cm="1">
        <f t="array" ref="Q85">IF($AI85="","",IF(LEFT($AI85,2)="C|",IF($C85="","",SUMPRODUCT($AP$5:$AP$302*($AO$5:$AO$302=$A85),$AU$5:$AU$302)),IF($AI85="CT",Q$13,IF(LEFT($AI85,3)="AM|",IF($C85="","",SUMPRODUCT($AP$5:$AP$302*($AN$5:$AN$302=$A85),$AU$5:$AU$302)),IF(LEFT($AI85,2)="S|",IF($AG85="","",INDEX($AU$5:$AU$302,$AH85)),IF($AI85="HDR","Trans LY",""))))))</f>
        <v/>
      </c>
      <c r="R85" s="41" t="str">
        <f t="shared" si="51"/>
        <v/>
      </c>
      <c r="S85" s="41" t="str">
        <f t="shared" si="52"/>
        <v/>
      </c>
      <c r="T85" s="42" t="str">
        <f t="shared" si="53"/>
        <v/>
      </c>
      <c r="U85" s="42" t="str">
        <f t="shared" si="54"/>
        <v/>
      </c>
      <c r="V85" s="41" t="str">
        <f t="shared" si="55"/>
        <v/>
      </c>
      <c r="W85" s="40" t="str" cm="1">
        <f t="array" ref="W85">IF($AI85="","",IF(LEFT($AI85,2)="C|",_xlfn.LET(_xlpm.n,SUMPRODUCT($AP$5:$AP$302*($AO$5:$AO$302=$A85),$BB$5:$BB$302),IF(_xlpm.n=0,"",_xlpm.n)),IF($AI85="CT",W$13,IF(LEFT($AI85,3)="AM|",_xlfn.LET(_xlpm.n,SUMPRODUCT($AP$5:$AP$302*($AN$5:$AN$302=$A85),$BB$5:$BB$302),IF(_xlpm.n=0,"",_xlpm.n)),IF(LEFT($AI85,2)="S|",IF($AG85="","",_xlfn.LET(_xlpm.n,INDEX($BB$5:$BB$302,$AH85),IF(_xlpm.n=0,"",_xlpm.n))),IF($AI85="HDR","Footfall",""))))))</f>
        <v/>
      </c>
      <c r="X85" s="40" t="str" cm="1">
        <f t="array" ref="X85">IF($AI85="","",IF($AI85="HDR","Trans (FF stores)",IF(W85="","",IF(LEFT($AI85,2)="C|",SUMPRODUCT($AP$5:$AP$302*($AO$5:$AO$302=$A85),$BC$5:$BC$302),IF($AI85="CT",X$13,IF(LEFT($AI85,3)="AM|",SUMPRODUCT($AP$5:$AP$302*($AN$5:$AN$302=$A85),$BC$5:$BC$302),IF(LEFT($AI85,2)="S|",INDEX($BC$5:$BC$302,$AH85),"")))))))</f>
        <v/>
      </c>
      <c r="Y85" s="41" t="str">
        <f t="shared" si="44"/>
        <v/>
      </c>
      <c r="Z85" s="40" t="str" cm="1">
        <f t="array" ref="Z85">IF($AI85="","",IF(LEFT($AI85,2)="C|",IF($C85="","",SUMPRODUCT($AP$5:$AP$302*($AO$5:$AO$302=$A85),$CB$5:$CB$302)),IF($AI85="CT",Z$13,IF(LEFT($AI85,3)="AM|",IF($C85="","",SUMPRODUCT($AP$5:$AP$302*($AN$5:$AN$302=$A85),$CB$5:$CB$302)),IF(LEFT($AI85,2)="S|",IF($AG85="","",INDEX($CB$5:$CB$302,$AH85)),IF($AI85="HDR","Makeup Sales",""))))))</f>
        <v/>
      </c>
      <c r="AA85" s="41" t="str">
        <f t="shared" si="56"/>
        <v/>
      </c>
      <c r="AB85" s="40" t="str" cm="1">
        <f t="array" ref="AB85">IF($AI85="","",IF(LEFT($AI85,2)="C|",IF($C85="","",SUMPRODUCT($AP$5:$AP$302*($AO$5:$AO$302=$A85),$CK$5:$CK$302)),IF($AI85="CT",AB$13,IF(LEFT($AI85,3)="AM|",IF($C85="","",SUMPRODUCT($AP$5:$AP$302*($AN$5:$AN$302=$A85),$CK$5:$CK$302)),IF(LEFT($AI85,2)="S|",IF($AG85="","",INDEX($CK$5:$CK$302,$AH85)),IF($AI85="HDR","Makeup Target",""))))))</f>
        <v/>
      </c>
      <c r="AC85" s="41" t="str">
        <f t="shared" si="45"/>
        <v/>
      </c>
      <c r="AD85" s="40" t="str" cm="1">
        <f t="array" ref="AD85">IF($AI85="","",IF(LEFT($AI85,2)="C|",IF($C85="","",SUMPRODUCT($AP$5:$AP$302*($AO$5:$AO$302=$A85),$CI$5:$CI$302)),IF($AI85="CT",AD$13,IF(LEFT($AI85,3)="AM|",IF($C85="","",SUMPRODUCT($AP$5:$AP$302*($AN$5:$AN$302=$A85),$CI$5:$CI$302)),IF(LEFT($AI85,2)="S|",IF($AG85="","",INDEX($CI$5:$CI$302,$AH85)),IF($AI85="HDR","Cosmetic Sales",""))))))</f>
        <v/>
      </c>
      <c r="AE85" s="8" t="str" cm="1">
        <f t="array" ref="AE85">IF($AI85="","",IF(LEFT($AI85,2)="C|",IF($C85="","",SUMPRODUCT($AP$5:$AP$302*($AO$5:$AO$302=$A85)*$AQ$5:$AQ$302,$AR$5:$AR$302)),IF($AI85="CT",AE$13,IF(LEFT($AI85,3)="AM|",IF($C85="","",SUMPRODUCT($AP$5:$AP$302*($AN$5:$AN$302=$A85)*$AQ$5:$AQ$302,$AR$5:$AR$302)),IF(LEFT($AI85,2)="S|",IF($AG85="","",IF(INDEX($AQ$5:$AQ$302,$AH85)=1,D85,0)),IF($AI85="HDR","LFL Sales",""))))))</f>
        <v/>
      </c>
      <c r="AF85" s="8" t="str" cm="1">
        <f t="array" ref="AF85">IF($AI85="","",IF(LEFT($AI85,2)="C|",IF($C85="","",SUMPRODUCT($AP$5:$AP$302*($AO$5:$AO$302=$A85)*$AQ$5:$AQ$302,$AS$5:$AS$302)),IF($AI85="CT",AF$13,IF(LEFT($AI85,3)="AM|",IF($C85="","",SUMPRODUCT($AP$5:$AP$302*($AN$5:$AN$302=$A85)*$AQ$5:$AQ$302,$AS$5:$AS$302)),IF(LEFT($AI85,2)="S|",IF($AG85="","",IF(INDEX($AQ$5:$AQ$302,$AH85)=1,P85,0)),IF($AI85="HDR","LFL Trans",""))))))</f>
        <v/>
      </c>
      <c r="AG85" s="8" t="str" cm="1">
        <f t="array" ref="AG85">IF($AI85="","",IF(LEFT($AI85,2)="C|","",IF($AI85="CT","",IF(LEFT($AI85,3)="AM|","",IF(LEFT($AI85,2)="S|",IF($AH85="","",IF(INDEX($AP$5:$AP$302,$AH85)=1,1,"")),IF($AI85="HDR","Show",""))))))</f>
        <v/>
      </c>
      <c r="AH85" s="8" t="str">
        <f t="shared" si="57"/>
        <v/>
      </c>
      <c r="AI85" s="8"/>
      <c r="AN85" s="8" t="str" cm="1">
        <f t="array" ref="AN85">IF($AW85="","",_xlfn.LET(_xlpm.sa,IFERROR(TRIM(INDEX('Sales and count'!$D$4:$D$300,$BF85)&amp;""),""),_xlpm.ta,IFERROR(TRIM(INDEX('TY Sales Target'!$F$5:$F$300,$BG85)&amp;""),""),IF(AND(_xlpm.sa&lt;&gt;"",LEFT(_xlpm.sa,1)&lt;&gt;"#",_xlpm.sa&lt;&gt;"0"),_xlpm.sa,IF(AND(_xlpm.ta&lt;&gt;"",LEFT(_xlpm.ta,1)&lt;&gt;"#",_xlpm.ta&lt;&gt;"0"),_xlpm.ta,IF(ISNUMBER($BG85),"Unassigned","")))))</f>
        <v>Mohammed Haidar</v>
      </c>
      <c r="AO85" s="8" t="str" cm="1">
        <f t="array" ref="AO85">IF($AW85="","",_xlfn.LET(_xlpm.sa,IFERROR(TRIM(INDEX('Sales and count'!$C$4:$C$300,$BF85)&amp;""),""),_xlpm.ta,IFERROR(TRIM(INDEX('TY Sales Target'!$D$5:$D$300,$BG85)&amp;""),""),IF(AND(_xlpm.sa&lt;&gt;"",LEFT(_xlpm.sa,1)&lt;&gt;"#",_xlpm.sa&lt;&gt;"0"),_xlpm.sa,IF(AND(_xlpm.ta&lt;&gt;"",LEFT(_xlpm.ta,1)&lt;&gt;"#",_xlpm.ta&lt;&gt;"0"),_xlpm.ta,""))))</f>
        <v>Madinah</v>
      </c>
      <c r="AP85" s="8">
        <f t="shared" si="60"/>
        <v>0</v>
      </c>
      <c r="AQ85" s="8">
        <f t="shared" si="61"/>
        <v>1</v>
      </c>
      <c r="AR85" s="8" cm="1">
        <f t="array" ref="AR85">IF($BF85="",0,_xlfn.LET(_xlpm.d,IFERROR(--'Sales and count'!$G$2:$CC$2,0),SUMPRODUCT(('Sales and count'!$G$3:$CC$3="Total")*(_xlpm.d&gt;=$U$4)*(_xlpm.d&lt;=$U$5),INDEX('Sales and count'!$G$4:$CC$300,$BF85,0))))</f>
        <v>116700.52999999996</v>
      </c>
      <c r="AS85" s="8" cm="1">
        <f t="array" aca="1" ref="AS85" ca="1">IF($BF85="",0,_xlfn.LET(_xlpm.d,IFERROR(--'Sales and count'!$F$2:$CB$2,0),SUMPRODUCT(('Sales and count'!$G$3:$CC$3="Transactions")*(_xlpm.d&gt;=$U$4)*(_xlpm.d&lt;=$U$5),INDEX('Sales and count'!$G$4:$CC$300,$BF85,0))))</f>
        <v>678</v>
      </c>
      <c r="AT85" s="8" cm="1">
        <f t="array" ref="AT85">IF($AW85="",0,SUMPRODUCT((TRIM('LY Sales '!$B$5:$B$200)=$AW85)*('LY Sales '!$C$2:$AG$2&gt;=EDATE($U$4,-12))*('LY Sales '!$C$2:$AG$2&lt;=EDATE($U$5,-12)),'LY Sales '!$C$5:$AG$200))</f>
        <v>204127.86</v>
      </c>
      <c r="AU85" s="8" cm="1">
        <f t="array" ref="AU85">IF($AW85="",0,SUMPRODUCT((TRIM('LY Transaction'!$B$5:$B$200)=$AW85)*('LY Transaction'!$C$2:$AG$2&gt;=EDATE($U$4,-12))*('LY Transaction'!$C$2:$AG$2&lt;=EDATE($U$5,-12)),'LY Transaction'!$C$5:$AG$200))</f>
        <v>1493</v>
      </c>
      <c r="AV85" s="8" cm="1">
        <f t="array" ref="AV85">IF(NOT(ISNUMBER($BG85)),0,SUMPRODUCT(('TY Sales Target'!$K$2:$AO$2&gt;=$U$4)*('TY Sales Target'!$K$2:$AO$2&lt;=$U$5),INDEX('TY Sales Target'!$K$5:$AO$300,$BG85,0)))</f>
        <v>194608.44122311211</v>
      </c>
      <c r="AW85" s="8" t="str" cm="1">
        <f t="array" ref="AW85">IFERROR(INDEX(_xlfn.ANCHORARRAY($BR$5),ROWS($AW$5:AW85)),"")</f>
        <v>MADNOOR</v>
      </c>
      <c r="BB85" cm="1">
        <f t="array" ref="BB85">IF($AW85="",0,SUMPRODUCT((TRIM(Footfall!$B$5:$B$301)=$AW85)*(Footfall!$C$1:$BZ$1&gt;=$U$4)*(Footfall!$C$2:$BZ$2&lt;=$U$5)*(Footfall!$C$1:$BZ$1&lt;&gt;""),Footfall!$C$5:$BZ$301))</f>
        <v>4940</v>
      </c>
      <c r="BC85" cm="1">
        <f t="array" aca="1" ref="BC85" ca="1">IF(OR($BB85&lt;=0,$BD$1="",$BF85=""),0,_xlfn.LET(_xlpm.d,IFERROR(--'Sales and count'!$F$2:$CB$2,0),SUMPRODUCT(('Sales and count'!$G$3:$CC$3="Transactions")*(_xlpm.d&gt;=$BD$1)*(_xlpm.d&lt;=$BD$2),INDEX('Sales and count'!$G$4:$CC$300,$BF85,0))))</f>
        <v>678</v>
      </c>
      <c r="BF85" cm="1">
        <f t="array" ref="BF85">IF($AW85="","",IFERROR(MATCH($AW85,TRIM('Sales and count'!$A$4:$A$300&amp;""),0),""))</f>
        <v>81</v>
      </c>
      <c r="BG85" cm="1">
        <f t="array" ref="BG85">IF($AW85="","",IFERROR(MATCH(IFERROR(_xlfn.XLOOKUP($AW85,$BT$5:$BT$22,$BU$5:$BU$22),$AW85),TRIM('TY Sales Target'!$B$5:$B$300&amp;""),0),""))</f>
        <v>44</v>
      </c>
      <c r="BH85" t="str" cm="1">
        <f t="array" ref="BH85">IF(ISNUMBER($BG85),_xlfn.LET(_xlpm.p,TRIM(INDEX('TY Sales Target'!$I$5:$I$300,$BG85)&amp;""),IF(_xlpm.p="","Not set",_xlpm.p)),"Not set")</f>
        <v>Smart Phone</v>
      </c>
      <c r="BI85" cm="1">
        <f t="array" ref="BI85">IF($BF85="",0,_xlfn.LET(_xlpm.d,IFERROR(--'Sales and count'!$G$2:$CC$2,0),SUMPRODUCT(('Sales and count'!$G$3:$CC$3="Total")*(_xlpm.d&gt;=$BZ$5)*(_xlpm.d&lt;=$BZ$6),INDEX('Sales and count'!$G$4:$CC$300,$BF85,0))))</f>
        <v>116700.52999999996</v>
      </c>
      <c r="BJ85" cm="1">
        <f t="array" ref="BJ85">IF($AW85="",0,SUMPRODUCT((TRIM('LY Sales '!$B$5:$B$200)=$AW85)*('LY Sales '!$C$2:$AG$2&gt;=EDATE($BZ$5,-12))*('LY Sales '!$C$2:$AG$2&lt;=EDATE($BZ$6,-12)),'LY Sales '!$C$5:$AG$200))</f>
        <v>204127.86</v>
      </c>
      <c r="BK85" cm="1">
        <f t="array" ref="BK85">IF($AW85="",0,SUMPRODUCT((TRIM('LY Sales '!$B$5:$B$200)=$AW85)*('LY Sales '!$C$2:$AG$2&gt;=EDATE($BZ$5,-12))*('LY Sales '!$C$2:$AG$2&lt;=EDATE($BZ$7,-12)),'LY Sales '!$C$5:$AG$200))</f>
        <v>256341.71</v>
      </c>
      <c r="BL85" cm="1">
        <f t="array" ref="BL85">IF($AW85="",0,SUMPRODUCT((TRIM('LY Sales '!$B$5:$B$200)=$AW85)*('LY Sales '!$C$2:$AG$2&gt;=EDATE($BZ$5,-12))*('LY Sales '!$C$2:$AG$2&lt;=EDATE($BZ$6,-12))*('LY Sales '!$C$5:$AG$200&gt;0)))</f>
        <v>26</v>
      </c>
      <c r="BM85" cm="1">
        <f t="array" ref="BM85">IF(NOT(ISNUMBER($BG85)),0,SUMPRODUCT(('TY Sales Target'!$K$2:$AO$2&gt;=$BZ$5)*('TY Sales Target'!$K$2:$AO$2&lt;=$BZ$6),INDEX('TY Sales Target'!$K$5:$AO$300,$BG85,0)))</f>
        <v>194608.44122311211</v>
      </c>
      <c r="BN85" cm="1">
        <f t="array" ref="BN85">IF(NOT(ISNUMBER($BG85)),0,SUMPRODUCT(('TY Sales Target'!$K$2:$AO$2&gt;=$BZ$5)*('TY Sales Target'!$K$2:$AO$2&lt;=$BZ$7),INDEX('TY Sales Target'!$K$5:$AO$300,$BG85,0)))</f>
        <v>254000</v>
      </c>
      <c r="BO85" cm="1">
        <f t="array" ref="BO85">IF($AW85="",0,IFERROR(_xlfn.SWITCH($BP85,"LY trend",$BI85*$BK85/$BJ85,"Target curve",$BI85*$BN85/$BM85,"Run rate",$BI85/$BZ$8*$BZ$9,0),0))</f>
        <v>146551.34981626854</v>
      </c>
      <c r="BP85" t="str">
        <f t="shared" si="59"/>
        <v>LY trend</v>
      </c>
      <c r="BR85" t="str">
        <v>MADNOOR</v>
      </c>
      <c r="CB85" cm="1">
        <f t="array" ref="CB85">IF($AW85="",0,_xlfn.LET(_xlpm.k,IFERROR(_xlfn.XLOOKUP($AW85,$CD$6:$CD$21,$CE$6:$CE$21),$AW85),SUMPRODUCT((TRIM('Makeup '!$A$2:$A$300&amp;"")=_xlpm.k)*1,IFERROR('Makeup '!$F$2:$F$300*1,0))))</f>
        <v>13825.48</v>
      </c>
      <c r="CF85" t="str" cm="1">
        <f t="array" ref="CF85">IF($AW85="","",_xlfn.LET(_xlpm.c,IFERROR(TRIM(INDEX('Sales and count'!$B$4:$B$300,$BF85)&amp;""),""),IF(OR(_xlpm.c="",_xlpm.c="0",LEFT(_xlpm.c,1)="#"),"Not set",_xlpm.c)))</f>
        <v>KSA</v>
      </c>
      <c r="CH85" cm="1">
        <f t="array" ref="CH85">IF($AW85="",0,_xlfn.LET(_xlpm.k,IFERROR(_xlfn.XLOOKUP($AW85,$CD$6:$CD$21,$CE$6:$CE$21),$AW85),--(SUMPRODUCT((TRIM('Makeup '!$A$2:$A$300&amp;"")=_xlpm.k)*ISNUMBER('Makeup '!$F$2:$F$300))&gt;0)))</f>
        <v>1</v>
      </c>
      <c r="CI85">
        <f t="shared" si="62"/>
        <v>116700.52999999996</v>
      </c>
      <c r="CJ85" cm="1">
        <f t="array" ref="CJ85">IF($AW85="",0,--(SUMPRODUCT(--(TRIM(Footfall!$B$5:$B$301)=$AW85))&gt;0))</f>
        <v>1</v>
      </c>
      <c r="CK85" s="8" cm="1">
        <f t="array" ref="CK85">IF($AW85="",0,_xlfn.LET(_xlpm.r,IFERROR(MATCH(IFERROR(_xlfn.XLOOKUP($AW85,$BT$5:$BT$22,$BU$5:$BU$22),$AW85),TRIM('TY Beauty Target'!$B$5:$B$300&amp;""),0),""),IF(ISNUMBER(_xlpm.r),SUMPRODUCT(('TY Beauty Target'!$L$2:$AP$2&gt;=$U$4)*('TY Beauty Target'!$L$2:$AP$2&lt;=$U$5),INDEX('TY Beauty Target'!$L$5:$AP$300,_xlpm.r,0)),0)))</f>
        <v>27579.609764818961</v>
      </c>
    </row>
    <row r="86" spans="1:89" ht="15" customHeight="1" x14ac:dyDescent="0.25">
      <c r="A86" s="38" t="str">
        <f t="shared" si="58"/>
        <v/>
      </c>
      <c r="B86" s="43" t="str" cm="1">
        <f t="array" ref="B86">IF($AI86="","",IF(LEFT($AI86,2)="C|",IF($C86="","",_xlfn.TEXTJOIN(", ",TRUE,_xlfn.UNIQUE(_xlfn._xlws.FILTER($AN$5:$AN$302,($AP$5:$AP$302=1)*($AO$5:$AO$302=$A86))))),IF($AI86="CT",B$13,IF(LEFT($AI86,3)="AM|",IF($C86="","",ROWS(_xlfn.UNIQUE(_xlfn._xlws.FILTER($AO$5:$AO$302,($AP$5:$AP$302=1)*($AN$5:$AN$302=$A86))))),IF(LEFT($AI86,2)="S|",IF($AG86="","",INDEX($AO$5:$AO$302,$AH86)),IF($AI86="HDR","City",""))))))</f>
        <v/>
      </c>
      <c r="C86" s="39" t="str" cm="1">
        <f t="array" ref="C86">IF($AI86="","",IF(LEFT($AI86,2)="C|",_xlfn.LET(_xlpm.n,SUMPRODUCT($AP$5:$AP$302*($AO$5:$AO$302=$A86)),IF(_xlpm.n=0,"",_xlpm.n)),IF($AI86="CT",C$13,IF(LEFT($AI86,3)="AM|",_xlfn.LET(_xlpm.n,SUMPRODUCT($AP$5:$AP$302*($AN$5:$AN$302=$A86)),IF(_xlpm.n=0,"",_xlpm.n)),IF(LEFT($AI86,2)="S|","",IF($AI86="HDR","# Stores",""))))))</f>
        <v/>
      </c>
      <c r="D86" s="40" t="str" cm="1">
        <f t="array" ref="D86">IF($AI86="","",IF(LEFT($AI86,2)="C|",IF($C86="","",SUMPRODUCT($AP$5:$AP$302*($AO$5:$AO$302=$A86),$AR$5:$AR$302)),IF($AI86="CT",D$13,IF(LEFT($AI86,3)="AM|",IF($C86="","",SUMPRODUCT($AP$5:$AP$302*($AN$5:$AN$302=$A86),$AR$5:$AR$302)),IF(LEFT($AI86,2)="S|",IF($AG86="","",INDEX($AR$5:$AR$302,$AH86)),IF($AI86="HDR","Sales TY",""))))))</f>
        <v/>
      </c>
      <c r="E86" s="40" t="str" cm="1">
        <f t="array" ref="E86">IF($AI86="","",IF(LEFT($AI86,2)="C|",IF($C86="","",SUMPRODUCT($AP$5:$AP$302*($AO$5:$AO$302=$A86),$AT$5:$AT$302)),IF($AI86="CT",E$13,IF(LEFT($AI86,3)="AM|",IF($C86="","",SUMPRODUCT($AP$5:$AP$302*($AN$5:$AN$302=$A86),$AT$5:$AT$302)),IF(LEFT($AI86,2)="S|",IF($AG86="","",INDEX($AT$5:$AT$302,$AH86)),IF($AI86="HDR","Sales LY",""))))))</f>
        <v/>
      </c>
      <c r="F86" s="41" t="str">
        <f t="shared" si="46"/>
        <v/>
      </c>
      <c r="G86" s="41" t="str">
        <f t="shared" si="47"/>
        <v/>
      </c>
      <c r="H86" s="40" t="str" cm="1">
        <f t="array" ref="H86">IF($AI86="","",IF(LEFT($AI86,2)="C|",IF($C86="","",SUMPRODUCT($AP$5:$AP$302*($AO$5:$AO$302=$A86),$AV$5:$AV$302)),IF($AI86="CT",H$13,IF(LEFT($AI86,3)="AM|",IF($C86="","",SUMPRODUCT($AP$5:$AP$302*($AN$5:$AN$302=$A86),$AV$5:$AV$302)),IF(LEFT($AI86,2)="S|",IF($AG86="","",INDEX($AV$5:$AV$302,$AH86)),IF($AI86="HDR","Target",""))))))</f>
        <v/>
      </c>
      <c r="I86" s="41" t="str">
        <f t="shared" si="48"/>
        <v/>
      </c>
      <c r="J86" s="40" t="str">
        <f t="shared" si="49"/>
        <v/>
      </c>
      <c r="K86" s="41" t="str">
        <f t="shared" si="50"/>
        <v/>
      </c>
      <c r="L86" s="40" t="str" cm="1">
        <f t="array" ref="L86">IF($AI86="","",IF(LEFT($AI86,2)="C|",IF($C86="","",SUMPRODUCT($AP$5:$AP$302*($AO$5:$AO$302=$A86),$BN$5:$BN$302)),IF($AI86="CT",L$13,IF(LEFT($AI86,3)="AM|",IF($C86="","",SUMPRODUCT($AP$5:$AP$302*($AN$5:$AN$302=$A86),$BN$5:$BN$302)),IF(LEFT($AI86,2)="S|",IF($AG86="","",INDEX($BN$5:$BN$302,$AH86)),IF($AI86="HDR","Month Target",""))))))</f>
        <v/>
      </c>
      <c r="M86" s="40" t="str" cm="1">
        <f t="array" ref="M86">IF($AI86="","",IF(LEFT($AI86,2)="C|",IF($C86="","",SUMPRODUCT($AP$5:$AP$302*($AO$5:$AO$302=$A86),$BO$5:$BO$302)),IF($AI86="CT",M$13,IF(LEFT($AI86,3)="AM|",IF($C86="","",SUMPRODUCT($AP$5:$AP$302*($AN$5:$AN$302=$A86),$BO$5:$BO$302)),IF(LEFT($AI86,2)="S|",IF($AG86="","",INDEX($BO$5:$BO$302,$AH86)),IF($AI86="HDR","Projected Close",""))))))</f>
        <v/>
      </c>
      <c r="N86" s="41" t="str">
        <f t="shared" si="43"/>
        <v/>
      </c>
      <c r="O86" s="41" t="str" cm="1">
        <f t="array" ref="O86">IF($AI86="HDR","Proj. vs LY",IF(OR($AI86="",M86=""),"",_xlfn.LET(_xlpm.ly,IF(LEFT($AI86,2)="C|",SUMPRODUCT($AP$5:$AP$302*($AO$5:$AO$302=$A86),$BK$5:$BK$302),IF($AI86="CT",SUMPRODUCT($AP$5:$AP$302,$BK$5:$BK$302),IF(LEFT($AI86,3)="AM|",SUMPRODUCT($AP$5:$AP$302*($AN$5:$AN$302=$A86),$BK$5:$BK$302),IF(LEFT($AI86,2)="S|",INDEX($BK$5:$BK$302,$AH86),0)))),IFERROR(M86/_xlpm.ly-1,""))))</f>
        <v/>
      </c>
      <c r="P86" s="40" t="str" cm="1">
        <f t="array" ref="P86">IF($AI86="","",IF(LEFT($AI86,2)="C|",IF($C86="","",SUMPRODUCT($AP$5:$AP$302*($AO$5:$AO$302=$A86),$AS$5:$AS$302)),IF($AI86="CT",P$13,IF(LEFT($AI86,3)="AM|",IF($C86="","",SUMPRODUCT($AP$5:$AP$302*($AN$5:$AN$302=$A86),$AS$5:$AS$302)),IF(LEFT($AI86,2)="S|",IF($AG86="","",INDEX($AS$5:$AS$302,$AH86)),IF($AI86="HDR","Trans TY",""))))))</f>
        <v/>
      </c>
      <c r="Q86" s="40" t="str" cm="1">
        <f t="array" ref="Q86">IF($AI86="","",IF(LEFT($AI86,2)="C|",IF($C86="","",SUMPRODUCT($AP$5:$AP$302*($AO$5:$AO$302=$A86),$AU$5:$AU$302)),IF($AI86="CT",Q$13,IF(LEFT($AI86,3)="AM|",IF($C86="","",SUMPRODUCT($AP$5:$AP$302*($AN$5:$AN$302=$A86),$AU$5:$AU$302)),IF(LEFT($AI86,2)="S|",IF($AG86="","",INDEX($AU$5:$AU$302,$AH86)),IF($AI86="HDR","Trans LY",""))))))</f>
        <v/>
      </c>
      <c r="R86" s="41" t="str">
        <f t="shared" si="51"/>
        <v/>
      </c>
      <c r="S86" s="41" t="str">
        <f t="shared" si="52"/>
        <v/>
      </c>
      <c r="T86" s="42" t="str">
        <f t="shared" si="53"/>
        <v/>
      </c>
      <c r="U86" s="42" t="str">
        <f t="shared" si="54"/>
        <v/>
      </c>
      <c r="V86" s="41" t="str">
        <f t="shared" si="55"/>
        <v/>
      </c>
      <c r="W86" s="40" t="str" cm="1">
        <f t="array" ref="W86">IF($AI86="","",IF(LEFT($AI86,2)="C|",_xlfn.LET(_xlpm.n,SUMPRODUCT($AP$5:$AP$302*($AO$5:$AO$302=$A86),$BB$5:$BB$302),IF(_xlpm.n=0,"",_xlpm.n)),IF($AI86="CT",W$13,IF(LEFT($AI86,3)="AM|",_xlfn.LET(_xlpm.n,SUMPRODUCT($AP$5:$AP$302*($AN$5:$AN$302=$A86),$BB$5:$BB$302),IF(_xlpm.n=0,"",_xlpm.n)),IF(LEFT($AI86,2)="S|",IF($AG86="","",_xlfn.LET(_xlpm.n,INDEX($BB$5:$BB$302,$AH86),IF(_xlpm.n=0,"",_xlpm.n))),IF($AI86="HDR","Footfall",""))))))</f>
        <v/>
      </c>
      <c r="X86" s="40" t="str" cm="1">
        <f t="array" ref="X86">IF($AI86="","",IF($AI86="HDR","Trans (FF stores)",IF(W86="","",IF(LEFT($AI86,2)="C|",SUMPRODUCT($AP$5:$AP$302*($AO$5:$AO$302=$A86),$BC$5:$BC$302),IF($AI86="CT",X$13,IF(LEFT($AI86,3)="AM|",SUMPRODUCT($AP$5:$AP$302*($AN$5:$AN$302=$A86),$BC$5:$BC$302),IF(LEFT($AI86,2)="S|",INDEX($BC$5:$BC$302,$AH86),"")))))))</f>
        <v/>
      </c>
      <c r="Y86" s="41" t="str">
        <f t="shared" si="44"/>
        <v/>
      </c>
      <c r="Z86" s="40" t="str" cm="1">
        <f t="array" ref="Z86">IF($AI86="","",IF(LEFT($AI86,2)="C|",IF($C86="","",SUMPRODUCT($AP$5:$AP$302*($AO$5:$AO$302=$A86),$CB$5:$CB$302)),IF($AI86="CT",Z$13,IF(LEFT($AI86,3)="AM|",IF($C86="","",SUMPRODUCT($AP$5:$AP$302*($AN$5:$AN$302=$A86),$CB$5:$CB$302)),IF(LEFT($AI86,2)="S|",IF($AG86="","",INDEX($CB$5:$CB$302,$AH86)),IF($AI86="HDR","Makeup Sales",""))))))</f>
        <v/>
      </c>
      <c r="AA86" s="41" t="str">
        <f t="shared" si="56"/>
        <v/>
      </c>
      <c r="AB86" s="40" t="str" cm="1">
        <f t="array" ref="AB86">IF($AI86="","",IF(LEFT($AI86,2)="C|",IF($C86="","",SUMPRODUCT($AP$5:$AP$302*($AO$5:$AO$302=$A86),$CK$5:$CK$302)),IF($AI86="CT",AB$13,IF(LEFT($AI86,3)="AM|",IF($C86="","",SUMPRODUCT($AP$5:$AP$302*($AN$5:$AN$302=$A86),$CK$5:$CK$302)),IF(LEFT($AI86,2)="S|",IF($AG86="","",INDEX($CK$5:$CK$302,$AH86)),IF($AI86="HDR","Makeup Target",""))))))</f>
        <v/>
      </c>
      <c r="AC86" s="41" t="str">
        <f t="shared" si="45"/>
        <v/>
      </c>
      <c r="AD86" s="40" t="str" cm="1">
        <f t="array" ref="AD86">IF($AI86="","",IF(LEFT($AI86,2)="C|",IF($C86="","",SUMPRODUCT($AP$5:$AP$302*($AO$5:$AO$302=$A86),$CI$5:$CI$302)),IF($AI86="CT",AD$13,IF(LEFT($AI86,3)="AM|",IF($C86="","",SUMPRODUCT($AP$5:$AP$302*($AN$5:$AN$302=$A86),$CI$5:$CI$302)),IF(LEFT($AI86,2)="S|",IF($AG86="","",INDEX($CI$5:$CI$302,$AH86)),IF($AI86="HDR","Cosmetic Sales",""))))))</f>
        <v/>
      </c>
      <c r="AE86" s="8" t="str" cm="1">
        <f t="array" ref="AE86">IF($AI86="","",IF(LEFT($AI86,2)="C|",IF($C86="","",SUMPRODUCT($AP$5:$AP$302*($AO$5:$AO$302=$A86)*$AQ$5:$AQ$302,$AR$5:$AR$302)),IF($AI86="CT",AE$13,IF(LEFT($AI86,3)="AM|",IF($C86="","",SUMPRODUCT($AP$5:$AP$302*($AN$5:$AN$302=$A86)*$AQ$5:$AQ$302,$AR$5:$AR$302)),IF(LEFT($AI86,2)="S|",IF($AG86="","",IF(INDEX($AQ$5:$AQ$302,$AH86)=1,D86,0)),IF($AI86="HDR","LFL Sales",""))))))</f>
        <v/>
      </c>
      <c r="AF86" s="8" t="str" cm="1">
        <f t="array" ref="AF86">IF($AI86="","",IF(LEFT($AI86,2)="C|",IF($C86="","",SUMPRODUCT($AP$5:$AP$302*($AO$5:$AO$302=$A86)*$AQ$5:$AQ$302,$AS$5:$AS$302)),IF($AI86="CT",AF$13,IF(LEFT($AI86,3)="AM|",IF($C86="","",SUMPRODUCT($AP$5:$AP$302*($AN$5:$AN$302=$A86)*$AQ$5:$AQ$302,$AS$5:$AS$302)),IF(LEFT($AI86,2)="S|",IF($AG86="","",IF(INDEX($AQ$5:$AQ$302,$AH86)=1,P86,0)),IF($AI86="HDR","LFL Trans",""))))))</f>
        <v/>
      </c>
      <c r="AG86" s="8" t="str" cm="1">
        <f t="array" ref="AG86">IF($AI86="","",IF(LEFT($AI86,2)="C|","",IF($AI86="CT","",IF(LEFT($AI86,3)="AM|","",IF(LEFT($AI86,2)="S|",IF($AH86="","",IF(INDEX($AP$5:$AP$302,$AH86)=1,1,"")),IF($AI86="HDR","Show",""))))))</f>
        <v/>
      </c>
      <c r="AH86" s="8" t="str">
        <f t="shared" si="57"/>
        <v/>
      </c>
      <c r="AI86" s="8"/>
      <c r="AN86" s="8" t="str" cm="1">
        <f t="array" ref="AN86">IF($AW86="","",_xlfn.LET(_xlpm.sa,IFERROR(TRIM(INDEX('Sales and count'!$D$4:$D$300,$BF86)&amp;""),""),_xlpm.ta,IFERROR(TRIM(INDEX('TY Sales Target'!$F$5:$F$300,$BG86)&amp;""),""),IF(AND(_xlpm.sa&lt;&gt;"",LEFT(_xlpm.sa,1)&lt;&gt;"#",_xlpm.sa&lt;&gt;"0"),_xlpm.sa,IF(AND(_xlpm.ta&lt;&gt;"",LEFT(_xlpm.ta,1)&lt;&gt;"#",_xlpm.ta&lt;&gt;"0"),_xlpm.ta,IF(ISNUMBER($BG86),"Unassigned","")))))</f>
        <v>Mohammed Sanad</v>
      </c>
      <c r="AO86" s="8" t="str" cm="1">
        <f t="array" ref="AO86">IF($AW86="","",_xlfn.LET(_xlpm.sa,IFERROR(TRIM(INDEX('Sales and count'!$C$4:$C$300,$BF86)&amp;""),""),_xlpm.ta,IFERROR(TRIM(INDEX('TY Sales Target'!$D$5:$D$300,$BG86)&amp;""),""),IF(AND(_xlpm.sa&lt;&gt;"",LEFT(_xlpm.sa,1)&lt;&gt;"#",_xlpm.sa&lt;&gt;"0"),_xlpm.sa,IF(AND(_xlpm.ta&lt;&gt;"",LEFT(_xlpm.ta,1)&lt;&gt;"#",_xlpm.ta&lt;&gt;"0"),_xlpm.ta,""))))</f>
        <v>Arar</v>
      </c>
      <c r="AP86" s="8">
        <f t="shared" si="60"/>
        <v>0</v>
      </c>
      <c r="AQ86" s="8">
        <f t="shared" si="61"/>
        <v>0</v>
      </c>
      <c r="AR86" s="8" cm="1">
        <f t="array" ref="AR86">IF($BF86="",0,_xlfn.LET(_xlpm.d,IFERROR(--'Sales and count'!$G$2:$CC$2,0),SUMPRODUCT(('Sales and count'!$G$3:$CC$3="Total")*(_xlpm.d&gt;=$U$4)*(_xlpm.d&lt;=$U$5),INDEX('Sales and count'!$G$4:$CC$300,$BF86,0))))</f>
        <v>54907.51</v>
      </c>
      <c r="AS86" s="8" cm="1">
        <f t="array" aca="1" ref="AS86" ca="1">IF($BF86="",0,_xlfn.LET(_xlpm.d,IFERROR(--'Sales and count'!$F$2:$CB$2,0),SUMPRODUCT(('Sales and count'!$G$3:$CC$3="Transactions")*(_xlpm.d&gt;=$U$4)*(_xlpm.d&lt;=$U$5),INDEX('Sales and count'!$G$4:$CC$300,$BF86,0))))</f>
        <v>390</v>
      </c>
      <c r="AT86" s="8" cm="1">
        <f t="array" ref="AT86">IF($AW86="",0,SUMPRODUCT((TRIM('LY Sales '!$B$5:$B$200)=$AW86)*('LY Sales '!$C$2:$AG$2&gt;=EDATE($U$4,-12))*('LY Sales '!$C$2:$AG$2&lt;=EDATE($U$5,-12)),'LY Sales '!$C$5:$AG$200))</f>
        <v>0</v>
      </c>
      <c r="AU86" s="8" cm="1">
        <f t="array" ref="AU86">IF($AW86="",0,SUMPRODUCT((TRIM('LY Transaction'!$B$5:$B$200)=$AW86)*('LY Transaction'!$C$2:$AG$2&gt;=EDATE($U$4,-12))*('LY Transaction'!$C$2:$AG$2&lt;=EDATE($U$5,-12)),'LY Transaction'!$C$5:$AG$200))</f>
        <v>0</v>
      </c>
      <c r="AV86" s="8" cm="1">
        <f t="array" ref="AV86">IF(NOT(ISNUMBER($BG86)),0,SUMPRODUCT(('TY Sales Target'!$K$2:$AO$2&gt;=$U$4)*('TY Sales Target'!$K$2:$AO$2&lt;=$U$5),INDEX('TY Sales Target'!$K$5:$AO$300,$BG86,0)))</f>
        <v>94239.520749774761</v>
      </c>
      <c r="AW86" s="8" t="str" cm="1">
        <f t="array" ref="AW86">IFERROR(INDEX(_xlfn.ANCHORARRAY($BR$5),ROWS($AW$5:AW86)),"")</f>
        <v>HAARARSOQ</v>
      </c>
      <c r="BB86" cm="1">
        <f t="array" ref="BB86">IF($AW86="",0,SUMPRODUCT((TRIM(Footfall!$B$5:$B$301)=$AW86)*(Footfall!$C$1:$BZ$1&gt;=$U$4)*(Footfall!$C$2:$BZ$2&lt;=$U$5)*(Footfall!$C$1:$BZ$1&lt;&gt;""),Footfall!$C$5:$BZ$301))</f>
        <v>0</v>
      </c>
      <c r="BC86" cm="1">
        <f t="array" ref="BC86">IF(OR($BB86&lt;=0,$BD$1="",$BF86=""),0,_xlfn.LET(_xlpm.d,IFERROR(--'Sales and count'!$F$2:$CB$2,0),SUMPRODUCT(('Sales and count'!$G$3:$CC$3="Transactions")*(_xlpm.d&gt;=$BD$1)*(_xlpm.d&lt;=$BD$2),INDEX('Sales and count'!$G$4:$CC$300,$BF86,0))))</f>
        <v>0</v>
      </c>
      <c r="BF86" cm="1">
        <f t="array" ref="BF86">IF($AW86="","",IFERROR(MATCH($AW86,TRIM('Sales and count'!$A$4:$A$300&amp;""),0),""))</f>
        <v>82</v>
      </c>
      <c r="BG86" cm="1">
        <f t="array" ref="BG86">IF($AW86="","",IFERROR(MATCH(IFERROR(_xlfn.XLOOKUP($AW86,$BT$5:$BT$22,$BU$5:$BU$22),$AW86),TRIM('TY Sales Target'!$B$5:$B$300&amp;""),0),""))</f>
        <v>101</v>
      </c>
      <c r="BH86" t="str" cm="1">
        <f t="array" ref="BH86">IF(ISNUMBER($BG86),_xlfn.LET(_xlpm.p,TRIM(INDEX('TY Sales Target'!$I$5:$I$300,$BG86)&amp;""),IF(_xlpm.p="","Not set",_xlpm.p)),"Not set")</f>
        <v>Smart Watch</v>
      </c>
      <c r="BI86" cm="1">
        <f t="array" ref="BI86">IF($BF86="",0,_xlfn.LET(_xlpm.d,IFERROR(--'Sales and count'!$G$2:$CC$2,0),SUMPRODUCT(('Sales and count'!$G$3:$CC$3="Total")*(_xlpm.d&gt;=$BZ$5)*(_xlpm.d&lt;=$BZ$6),INDEX('Sales and count'!$G$4:$CC$300,$BF86,0))))</f>
        <v>54907.51</v>
      </c>
      <c r="BJ86" cm="1">
        <f t="array" ref="BJ86">IF($AW86="",0,SUMPRODUCT((TRIM('LY Sales '!$B$5:$B$200)=$AW86)*('LY Sales '!$C$2:$AG$2&gt;=EDATE($BZ$5,-12))*('LY Sales '!$C$2:$AG$2&lt;=EDATE($BZ$6,-12)),'LY Sales '!$C$5:$AG$200))</f>
        <v>0</v>
      </c>
      <c r="BK86" cm="1">
        <f t="array" ref="BK86">IF($AW86="",0,SUMPRODUCT((TRIM('LY Sales '!$B$5:$B$200)=$AW86)*('LY Sales '!$C$2:$AG$2&gt;=EDATE($BZ$5,-12))*('LY Sales '!$C$2:$AG$2&lt;=EDATE($BZ$7,-12)),'LY Sales '!$C$5:$AG$200))</f>
        <v>50535.740000000005</v>
      </c>
      <c r="BL86" cm="1">
        <f t="array" ref="BL86">IF($AW86="",0,SUMPRODUCT((TRIM('LY Sales '!$B$5:$B$200)=$AW86)*('LY Sales '!$C$2:$AG$2&gt;=EDATE($BZ$5,-12))*('LY Sales '!$C$2:$AG$2&lt;=EDATE($BZ$6,-12))*('LY Sales '!$C$5:$AG$200&gt;0)))</f>
        <v>0</v>
      </c>
      <c r="BM86" cm="1">
        <f t="array" ref="BM86">IF(NOT(ISNUMBER($BG86)),0,SUMPRODUCT(('TY Sales Target'!$K$2:$AO$2&gt;=$BZ$5)*('TY Sales Target'!$K$2:$AO$2&lt;=$BZ$6),INDEX('TY Sales Target'!$K$5:$AO$300,$BG86,0)))</f>
        <v>94239.520749774761</v>
      </c>
      <c r="BN86" cm="1">
        <f t="array" ref="BN86">IF(NOT(ISNUMBER($BG86)),0,SUMPRODUCT(('TY Sales Target'!$K$2:$AO$2&gt;=$BZ$5)*('TY Sales Target'!$K$2:$AO$2&lt;=$BZ$7),INDEX('TY Sales Target'!$K$5:$AO$300,$BG86,0)))</f>
        <v>123000.00000000001</v>
      </c>
      <c r="BO86" cm="1">
        <f t="array" ref="BO86">IF($AW86="",0,IFERROR(_xlfn.SWITCH($BP86,"LY trend",$BI86*$BK86/$BJ86,"Target curve",$BI86*$BN86/$BM86,"Run rate",$BI86/$BZ$8*$BZ$9,0),0))</f>
        <v>71664.45325981926</v>
      </c>
      <c r="BP86" t="str">
        <f t="shared" si="59"/>
        <v>Target curve</v>
      </c>
      <c r="BR86" t="str">
        <v>HAARARSOQ</v>
      </c>
      <c r="CB86" cm="1">
        <f t="array" ref="CB86">IF($AW86="",0,_xlfn.LET(_xlpm.k,IFERROR(_xlfn.XLOOKUP($AW86,$CD$6:$CD$21,$CE$6:$CE$21),$AW86),SUMPRODUCT((TRIM('Makeup '!$A$2:$A$300&amp;"")=_xlpm.k)*1,IFERROR('Makeup '!$F$2:$F$300*1,0))))</f>
        <v>3104.97</v>
      </c>
      <c r="CF86" t="str" cm="1">
        <f t="array" ref="CF86">IF($AW86="","",_xlfn.LET(_xlpm.c,IFERROR(TRIM(INDEX('Sales and count'!$B$4:$B$300,$BF86)&amp;""),""),IF(OR(_xlpm.c="",_xlpm.c="0",LEFT(_xlpm.c,1)="#"),"Not set",_xlpm.c)))</f>
        <v>KSA</v>
      </c>
      <c r="CH86" cm="1">
        <f t="array" ref="CH86">IF($AW86="",0,_xlfn.LET(_xlpm.k,IFERROR(_xlfn.XLOOKUP($AW86,$CD$6:$CD$21,$CE$6:$CE$21),$AW86),--(SUMPRODUCT((TRIM('Makeup '!$A$2:$A$300&amp;"")=_xlpm.k)*ISNUMBER('Makeup '!$F$2:$F$300))&gt;0)))</f>
        <v>1</v>
      </c>
      <c r="CI86">
        <f t="shared" si="62"/>
        <v>54907.51</v>
      </c>
      <c r="CJ86" cm="1">
        <f t="array" ref="CJ86">IF($AW86="",0,--(SUMPRODUCT(--(TRIM(Footfall!$B$5:$B$301)=$AW86))&gt;0))</f>
        <v>0</v>
      </c>
      <c r="CK86" s="8" cm="1">
        <f t="array" ref="CK86">IF($AW86="",0,_xlfn.LET(_xlpm.r,IFERROR(MATCH(IFERROR(_xlfn.XLOOKUP($AW86,$BT$5:$BT$22,$BU$5:$BU$22),$AW86),TRIM('TY Beauty Target'!$B$5:$B$300&amp;""),0),""),IF(ISNUMBER(_xlpm.r),SUMPRODUCT(('TY Beauty Target'!$L$2:$AP$2&gt;=$U$4)*('TY Beauty Target'!$L$2:$AP$2&lt;=$U$5),INDEX('TY Beauty Target'!$L$5:$AP$300,_xlpm.r,0)),0)))</f>
        <v>7576.9680914078244</v>
      </c>
    </row>
    <row r="87" spans="1:89" ht="15" customHeight="1" x14ac:dyDescent="0.25">
      <c r="A87" s="38" t="str">
        <f t="shared" si="58"/>
        <v/>
      </c>
      <c r="B87" s="43" t="str" cm="1">
        <f t="array" ref="B87">IF($AI87="","",IF(LEFT($AI87,2)="C|",IF($C87="","",_xlfn.TEXTJOIN(", ",TRUE,_xlfn.UNIQUE(_xlfn._xlws.FILTER($AN$5:$AN$302,($AP$5:$AP$302=1)*($AO$5:$AO$302=$A87))))),IF($AI87="CT",B$13,IF(LEFT($AI87,3)="AM|",IF($C87="","",ROWS(_xlfn.UNIQUE(_xlfn._xlws.FILTER($AO$5:$AO$302,($AP$5:$AP$302=1)*($AN$5:$AN$302=$A87))))),IF(LEFT($AI87,2)="S|",IF($AG87="","",INDEX($AO$5:$AO$302,$AH87)),IF($AI87="HDR","City",""))))))</f>
        <v/>
      </c>
      <c r="C87" s="39" t="str" cm="1">
        <f t="array" ref="C87">IF($AI87="","",IF(LEFT($AI87,2)="C|",_xlfn.LET(_xlpm.n,SUMPRODUCT($AP$5:$AP$302*($AO$5:$AO$302=$A87)),IF(_xlpm.n=0,"",_xlpm.n)),IF($AI87="CT",C$13,IF(LEFT($AI87,3)="AM|",_xlfn.LET(_xlpm.n,SUMPRODUCT($AP$5:$AP$302*($AN$5:$AN$302=$A87)),IF(_xlpm.n=0,"",_xlpm.n)),IF(LEFT($AI87,2)="S|","",IF($AI87="HDR","# Stores",""))))))</f>
        <v/>
      </c>
      <c r="D87" s="40" t="str" cm="1">
        <f t="array" ref="D87">IF($AI87="","",IF(LEFT($AI87,2)="C|",IF($C87="","",SUMPRODUCT($AP$5:$AP$302*($AO$5:$AO$302=$A87),$AR$5:$AR$302)),IF($AI87="CT",D$13,IF(LEFT($AI87,3)="AM|",IF($C87="","",SUMPRODUCT($AP$5:$AP$302*($AN$5:$AN$302=$A87),$AR$5:$AR$302)),IF(LEFT($AI87,2)="S|",IF($AG87="","",INDEX($AR$5:$AR$302,$AH87)),IF($AI87="HDR","Sales TY",""))))))</f>
        <v/>
      </c>
      <c r="E87" s="40" t="str" cm="1">
        <f t="array" ref="E87">IF($AI87="","",IF(LEFT($AI87,2)="C|",IF($C87="","",SUMPRODUCT($AP$5:$AP$302*($AO$5:$AO$302=$A87),$AT$5:$AT$302)),IF($AI87="CT",E$13,IF(LEFT($AI87,3)="AM|",IF($C87="","",SUMPRODUCT($AP$5:$AP$302*($AN$5:$AN$302=$A87),$AT$5:$AT$302)),IF(LEFT($AI87,2)="S|",IF($AG87="","",INDEX($AT$5:$AT$302,$AH87)),IF($AI87="HDR","Sales LY",""))))))</f>
        <v/>
      </c>
      <c r="F87" s="41" t="str">
        <f t="shared" si="46"/>
        <v/>
      </c>
      <c r="G87" s="41" t="str">
        <f t="shared" si="47"/>
        <v/>
      </c>
      <c r="H87" s="40" t="str" cm="1">
        <f t="array" ref="H87">IF($AI87="","",IF(LEFT($AI87,2)="C|",IF($C87="","",SUMPRODUCT($AP$5:$AP$302*($AO$5:$AO$302=$A87),$AV$5:$AV$302)),IF($AI87="CT",H$13,IF(LEFT($AI87,3)="AM|",IF($C87="","",SUMPRODUCT($AP$5:$AP$302*($AN$5:$AN$302=$A87),$AV$5:$AV$302)),IF(LEFT($AI87,2)="S|",IF($AG87="","",INDEX($AV$5:$AV$302,$AH87)),IF($AI87="HDR","Target",""))))))</f>
        <v/>
      </c>
      <c r="I87" s="41" t="str">
        <f t="shared" si="48"/>
        <v/>
      </c>
      <c r="J87" s="40" t="str">
        <f t="shared" si="49"/>
        <v/>
      </c>
      <c r="K87" s="41" t="str">
        <f t="shared" si="50"/>
        <v/>
      </c>
      <c r="L87" s="40" t="str" cm="1">
        <f t="array" ref="L87">IF($AI87="","",IF(LEFT($AI87,2)="C|",IF($C87="","",SUMPRODUCT($AP$5:$AP$302*($AO$5:$AO$302=$A87),$BN$5:$BN$302)),IF($AI87="CT",L$13,IF(LEFT($AI87,3)="AM|",IF($C87="","",SUMPRODUCT($AP$5:$AP$302*($AN$5:$AN$302=$A87),$BN$5:$BN$302)),IF(LEFT($AI87,2)="S|",IF($AG87="","",INDEX($BN$5:$BN$302,$AH87)),IF($AI87="HDR","Month Target",""))))))</f>
        <v/>
      </c>
      <c r="M87" s="40" t="str" cm="1">
        <f t="array" ref="M87">IF($AI87="","",IF(LEFT($AI87,2)="C|",IF($C87="","",SUMPRODUCT($AP$5:$AP$302*($AO$5:$AO$302=$A87),$BO$5:$BO$302)),IF($AI87="CT",M$13,IF(LEFT($AI87,3)="AM|",IF($C87="","",SUMPRODUCT($AP$5:$AP$302*($AN$5:$AN$302=$A87),$BO$5:$BO$302)),IF(LEFT($AI87,2)="S|",IF($AG87="","",INDEX($BO$5:$BO$302,$AH87)),IF($AI87="HDR","Projected Close",""))))))</f>
        <v/>
      </c>
      <c r="N87" s="41" t="str">
        <f t="shared" si="43"/>
        <v/>
      </c>
      <c r="O87" s="41" t="str" cm="1">
        <f t="array" ref="O87">IF($AI87="HDR","Proj. vs LY",IF(OR($AI87="",M87=""),"",_xlfn.LET(_xlpm.ly,IF(LEFT($AI87,2)="C|",SUMPRODUCT($AP$5:$AP$302*($AO$5:$AO$302=$A87),$BK$5:$BK$302),IF($AI87="CT",SUMPRODUCT($AP$5:$AP$302,$BK$5:$BK$302),IF(LEFT($AI87,3)="AM|",SUMPRODUCT($AP$5:$AP$302*($AN$5:$AN$302=$A87),$BK$5:$BK$302),IF(LEFT($AI87,2)="S|",INDEX($BK$5:$BK$302,$AH87),0)))),IFERROR(M87/_xlpm.ly-1,""))))</f>
        <v/>
      </c>
      <c r="P87" s="40" t="str" cm="1">
        <f t="array" ref="P87">IF($AI87="","",IF(LEFT($AI87,2)="C|",IF($C87="","",SUMPRODUCT($AP$5:$AP$302*($AO$5:$AO$302=$A87),$AS$5:$AS$302)),IF($AI87="CT",P$13,IF(LEFT($AI87,3)="AM|",IF($C87="","",SUMPRODUCT($AP$5:$AP$302*($AN$5:$AN$302=$A87),$AS$5:$AS$302)),IF(LEFT($AI87,2)="S|",IF($AG87="","",INDEX($AS$5:$AS$302,$AH87)),IF($AI87="HDR","Trans TY",""))))))</f>
        <v/>
      </c>
      <c r="Q87" s="40" t="str" cm="1">
        <f t="array" ref="Q87">IF($AI87="","",IF(LEFT($AI87,2)="C|",IF($C87="","",SUMPRODUCT($AP$5:$AP$302*($AO$5:$AO$302=$A87),$AU$5:$AU$302)),IF($AI87="CT",Q$13,IF(LEFT($AI87,3)="AM|",IF($C87="","",SUMPRODUCT($AP$5:$AP$302*($AN$5:$AN$302=$A87),$AU$5:$AU$302)),IF(LEFT($AI87,2)="S|",IF($AG87="","",INDEX($AU$5:$AU$302,$AH87)),IF($AI87="HDR","Trans LY",""))))))</f>
        <v/>
      </c>
      <c r="R87" s="41" t="str">
        <f t="shared" si="51"/>
        <v/>
      </c>
      <c r="S87" s="41" t="str">
        <f t="shared" si="52"/>
        <v/>
      </c>
      <c r="T87" s="42" t="str">
        <f t="shared" si="53"/>
        <v/>
      </c>
      <c r="U87" s="42" t="str">
        <f t="shared" si="54"/>
        <v/>
      </c>
      <c r="V87" s="41" t="str">
        <f t="shared" si="55"/>
        <v/>
      </c>
      <c r="W87" s="40" t="str" cm="1">
        <f t="array" ref="W87">IF($AI87="","",IF(LEFT($AI87,2)="C|",_xlfn.LET(_xlpm.n,SUMPRODUCT($AP$5:$AP$302*($AO$5:$AO$302=$A87),$BB$5:$BB$302),IF(_xlpm.n=0,"",_xlpm.n)),IF($AI87="CT",W$13,IF(LEFT($AI87,3)="AM|",_xlfn.LET(_xlpm.n,SUMPRODUCT($AP$5:$AP$302*($AN$5:$AN$302=$A87),$BB$5:$BB$302),IF(_xlpm.n=0,"",_xlpm.n)),IF(LEFT($AI87,2)="S|",IF($AG87="","",_xlfn.LET(_xlpm.n,INDEX($BB$5:$BB$302,$AH87),IF(_xlpm.n=0,"",_xlpm.n))),IF($AI87="HDR","Footfall",""))))))</f>
        <v/>
      </c>
      <c r="X87" s="40" t="str" cm="1">
        <f t="array" ref="X87">IF($AI87="","",IF($AI87="HDR","Trans (FF stores)",IF(W87="","",IF(LEFT($AI87,2)="C|",SUMPRODUCT($AP$5:$AP$302*($AO$5:$AO$302=$A87),$BC$5:$BC$302),IF($AI87="CT",X$13,IF(LEFT($AI87,3)="AM|",SUMPRODUCT($AP$5:$AP$302*($AN$5:$AN$302=$A87),$BC$5:$BC$302),IF(LEFT($AI87,2)="S|",INDEX($BC$5:$BC$302,$AH87),"")))))))</f>
        <v/>
      </c>
      <c r="Y87" s="41" t="str">
        <f t="shared" si="44"/>
        <v/>
      </c>
      <c r="Z87" s="40" t="str" cm="1">
        <f t="array" ref="Z87">IF($AI87="","",IF(LEFT($AI87,2)="C|",IF($C87="","",SUMPRODUCT($AP$5:$AP$302*($AO$5:$AO$302=$A87),$CB$5:$CB$302)),IF($AI87="CT",Z$13,IF(LEFT($AI87,3)="AM|",IF($C87="","",SUMPRODUCT($AP$5:$AP$302*($AN$5:$AN$302=$A87),$CB$5:$CB$302)),IF(LEFT($AI87,2)="S|",IF($AG87="","",INDEX($CB$5:$CB$302,$AH87)),IF($AI87="HDR","Makeup Sales",""))))))</f>
        <v/>
      </c>
      <c r="AA87" s="41" t="str">
        <f t="shared" si="56"/>
        <v/>
      </c>
      <c r="AB87" s="40" t="str" cm="1">
        <f t="array" ref="AB87">IF($AI87="","",IF(LEFT($AI87,2)="C|",IF($C87="","",SUMPRODUCT($AP$5:$AP$302*($AO$5:$AO$302=$A87),$CK$5:$CK$302)),IF($AI87="CT",AB$13,IF(LEFT($AI87,3)="AM|",IF($C87="","",SUMPRODUCT($AP$5:$AP$302*($AN$5:$AN$302=$A87),$CK$5:$CK$302)),IF(LEFT($AI87,2)="S|",IF($AG87="","",INDEX($CK$5:$CK$302,$AH87)),IF($AI87="HDR","Makeup Target",""))))))</f>
        <v/>
      </c>
      <c r="AC87" s="41" t="str">
        <f t="shared" si="45"/>
        <v/>
      </c>
      <c r="AD87" s="40" t="str" cm="1">
        <f t="array" ref="AD87">IF($AI87="","",IF(LEFT($AI87,2)="C|",IF($C87="","",SUMPRODUCT($AP$5:$AP$302*($AO$5:$AO$302=$A87),$CI$5:$CI$302)),IF($AI87="CT",AD$13,IF(LEFT($AI87,3)="AM|",IF($C87="","",SUMPRODUCT($AP$5:$AP$302*($AN$5:$AN$302=$A87),$CI$5:$CI$302)),IF(LEFT($AI87,2)="S|",IF($AG87="","",INDEX($CI$5:$CI$302,$AH87)),IF($AI87="HDR","Cosmetic Sales",""))))))</f>
        <v/>
      </c>
      <c r="AE87" s="8" t="str" cm="1">
        <f t="array" ref="AE87">IF($AI87="","",IF(LEFT($AI87,2)="C|",IF($C87="","",SUMPRODUCT($AP$5:$AP$302*($AO$5:$AO$302=$A87)*$AQ$5:$AQ$302,$AR$5:$AR$302)),IF($AI87="CT",AE$13,IF(LEFT($AI87,3)="AM|",IF($C87="","",SUMPRODUCT($AP$5:$AP$302*($AN$5:$AN$302=$A87)*$AQ$5:$AQ$302,$AR$5:$AR$302)),IF(LEFT($AI87,2)="S|",IF($AG87="","",IF(INDEX($AQ$5:$AQ$302,$AH87)=1,D87,0)),IF($AI87="HDR","LFL Sales",""))))))</f>
        <v/>
      </c>
      <c r="AF87" s="8" t="str" cm="1">
        <f t="array" ref="AF87">IF($AI87="","",IF(LEFT($AI87,2)="C|",IF($C87="","",SUMPRODUCT($AP$5:$AP$302*($AO$5:$AO$302=$A87)*$AQ$5:$AQ$302,$AS$5:$AS$302)),IF($AI87="CT",AF$13,IF(LEFT($AI87,3)="AM|",IF($C87="","",SUMPRODUCT($AP$5:$AP$302*($AN$5:$AN$302=$A87)*$AQ$5:$AQ$302,$AS$5:$AS$302)),IF(LEFT($AI87,2)="S|",IF($AG87="","",IF(INDEX($AQ$5:$AQ$302,$AH87)=1,P87,0)),IF($AI87="HDR","LFL Trans",""))))))</f>
        <v/>
      </c>
      <c r="AG87" s="8" t="str" cm="1">
        <f t="array" ref="AG87">IF($AI87="","",IF(LEFT($AI87,2)="C|","",IF($AI87="CT","",IF(LEFT($AI87,3)="AM|","",IF(LEFT($AI87,2)="S|",IF($AH87="","",IF(INDEX($AP$5:$AP$302,$AH87)=1,1,"")),IF($AI87="HDR","Show",""))))))</f>
        <v/>
      </c>
      <c r="AH87" s="8" t="str">
        <f t="shared" si="57"/>
        <v/>
      </c>
      <c r="AI87" s="8"/>
      <c r="AN87" s="8" t="str" cm="1">
        <f t="array" ref="AN87">IF($AW87="","",_xlfn.LET(_xlpm.sa,IFERROR(TRIM(INDEX('Sales and count'!$D$4:$D$300,$BF87)&amp;""),""),_xlpm.ta,IFERROR(TRIM(INDEX('TY Sales Target'!$F$5:$F$300,$BG87)&amp;""),""),IF(AND(_xlpm.sa&lt;&gt;"",LEFT(_xlpm.sa,1)&lt;&gt;"#",_xlpm.sa&lt;&gt;"0"),_xlpm.sa,IF(AND(_xlpm.ta&lt;&gt;"",LEFT(_xlpm.ta,1)&lt;&gt;"#",_xlpm.ta&lt;&gt;"0"),_xlpm.ta,IF(ISNUMBER($BG87),"Unassigned","")))))</f>
        <v>Ahmed Jaffari</v>
      </c>
      <c r="AO87" s="8" t="str" cm="1">
        <f t="array" ref="AO87">IF($AW87="","",_xlfn.LET(_xlpm.sa,IFERROR(TRIM(INDEX('Sales and count'!$C$4:$C$300,$BF87)&amp;""),""),_xlpm.ta,IFERROR(TRIM(INDEX('TY Sales Target'!$D$5:$D$300,$BG87)&amp;""),""),IF(AND(_xlpm.sa&lt;&gt;"",LEFT(_xlpm.sa,1)&lt;&gt;"#",_xlpm.sa&lt;&gt;"0"),_xlpm.sa,IF(AND(_xlpm.ta&lt;&gt;"",LEFT(_xlpm.ta,1)&lt;&gt;"#",_xlpm.ta&lt;&gt;"0"),_xlpm.ta,""))))</f>
        <v>Abha</v>
      </c>
      <c r="AP87" s="8">
        <f t="shared" si="60"/>
        <v>0</v>
      </c>
      <c r="AQ87" s="8">
        <f t="shared" si="61"/>
        <v>0</v>
      </c>
      <c r="AR87" s="8" cm="1">
        <f t="array" ref="AR87">IF($BF87="",0,_xlfn.LET(_xlpm.d,IFERROR(--'Sales and count'!$G$2:$CC$2,0),SUMPRODUCT(('Sales and count'!$G$3:$CC$3="Total")*(_xlpm.d&gt;=$U$4)*(_xlpm.d&lt;=$U$5),INDEX('Sales and count'!$G$4:$CC$300,$BF87,0))))</f>
        <v>135727.22</v>
      </c>
      <c r="AS87" s="8" cm="1">
        <f t="array" aca="1" ref="AS87" ca="1">IF($BF87="",0,_xlfn.LET(_xlpm.d,IFERROR(--'Sales and count'!$F$2:$CB$2,0),SUMPRODUCT(('Sales and count'!$G$3:$CC$3="Transactions")*(_xlpm.d&gt;=$U$4)*(_xlpm.d&lt;=$U$5),INDEX('Sales and count'!$G$4:$CC$300,$BF87,0))))</f>
        <v>1050</v>
      </c>
      <c r="AT87" s="8" cm="1">
        <f t="array" ref="AT87">IF($AW87="",0,SUMPRODUCT((TRIM('LY Sales '!$B$5:$B$200)=$AW87)*('LY Sales '!$C$2:$AG$2&gt;=EDATE($U$4,-12))*('LY Sales '!$C$2:$AG$2&lt;=EDATE($U$5,-12)),'LY Sales '!$C$5:$AG$200))</f>
        <v>0</v>
      </c>
      <c r="AU87" s="8" cm="1">
        <f t="array" ref="AU87">IF($AW87="",0,SUMPRODUCT((TRIM('LY Transaction'!$B$5:$B$200)=$AW87)*('LY Transaction'!$C$2:$AG$2&gt;=EDATE($U$4,-12))*('LY Transaction'!$C$2:$AG$2&lt;=EDATE($U$5,-12)),'LY Transaction'!$C$5:$AG$200))</f>
        <v>0</v>
      </c>
      <c r="AV87" s="8" cm="1">
        <f t="array" ref="AV87">IF(NOT(ISNUMBER($BG87)),0,SUMPRODUCT(('TY Sales Target'!$K$2:$AO$2&gt;=$U$4)*('TY Sales Target'!$K$2:$AO$2&lt;=$U$5),INDEX('TY Sales Target'!$K$5:$AO$300,$BG87,0)))</f>
        <v>268161.23790586309</v>
      </c>
      <c r="AW87" s="8" t="str" cm="1">
        <f t="array" ref="AW87">IFERROR(INDEX(_xlfn.ANCHORARRAY($BR$5),ROWS($AW$5:AW87)),"")</f>
        <v>HARASHABH</v>
      </c>
      <c r="BB87" cm="1">
        <f t="array" ref="BB87">IF($AW87="",0,SUMPRODUCT((TRIM(Footfall!$B$5:$B$301)=$AW87)*(Footfall!$C$1:$BZ$1&gt;=$U$4)*(Footfall!$C$2:$BZ$2&lt;=$U$5)*(Footfall!$C$1:$BZ$1&lt;&gt;""),Footfall!$C$5:$BZ$301))</f>
        <v>0</v>
      </c>
      <c r="BC87" cm="1">
        <f t="array" ref="BC87">IF(OR($BB87&lt;=0,$BD$1="",$BF87=""),0,_xlfn.LET(_xlpm.d,IFERROR(--'Sales and count'!$F$2:$CB$2,0),SUMPRODUCT(('Sales and count'!$G$3:$CC$3="Transactions")*(_xlpm.d&gt;=$BD$1)*(_xlpm.d&lt;=$BD$2),INDEX('Sales and count'!$G$4:$CC$300,$BF87,0))))</f>
        <v>0</v>
      </c>
      <c r="BF87" cm="1">
        <f t="array" ref="BF87">IF($AW87="","",IFERROR(MATCH($AW87,TRIM('Sales and count'!$A$4:$A$300&amp;""),0),""))</f>
        <v>83</v>
      </c>
      <c r="BG87" cm="1">
        <f t="array" ref="BG87">IF($AW87="","",IFERROR(MATCH(IFERROR(_xlfn.XLOOKUP($AW87,$BT$5:$BT$22,$BU$5:$BU$22),$AW87),TRIM('TY Sales Target'!$B$5:$B$300&amp;""),0),""))</f>
        <v>22</v>
      </c>
      <c r="BH87" t="str" cm="1">
        <f t="array" ref="BH87">IF(ISNUMBER($BG87),_xlfn.LET(_xlpm.p,TRIM(INDEX('TY Sales Target'!$I$5:$I$300,$BG87)&amp;""),IF(_xlpm.p="","Not set",_xlpm.p)),"Not set")</f>
        <v>Smart Phone</v>
      </c>
      <c r="BI87" cm="1">
        <f t="array" ref="BI87">IF($BF87="",0,_xlfn.LET(_xlpm.d,IFERROR(--'Sales and count'!$G$2:$CC$2,0),SUMPRODUCT(('Sales and count'!$G$3:$CC$3="Total")*(_xlpm.d&gt;=$BZ$5)*(_xlpm.d&lt;=$BZ$6),INDEX('Sales and count'!$G$4:$CC$300,$BF87,0))))</f>
        <v>135727.22</v>
      </c>
      <c r="BJ87" cm="1">
        <f t="array" ref="BJ87">IF($AW87="",0,SUMPRODUCT((TRIM('LY Sales '!$B$5:$B$200)=$AW87)*('LY Sales '!$C$2:$AG$2&gt;=EDATE($BZ$5,-12))*('LY Sales '!$C$2:$AG$2&lt;=EDATE($BZ$6,-12)),'LY Sales '!$C$5:$AG$200))</f>
        <v>0</v>
      </c>
      <c r="BK87" cm="1">
        <f t="array" ref="BK87">IF($AW87="",0,SUMPRODUCT((TRIM('LY Sales '!$B$5:$B$200)=$AW87)*('LY Sales '!$C$2:$AG$2&gt;=EDATE($BZ$5,-12))*('LY Sales '!$C$2:$AG$2&lt;=EDATE($BZ$7,-12)),'LY Sales '!$C$5:$AG$200))</f>
        <v>0</v>
      </c>
      <c r="BL87" cm="1">
        <f t="array" ref="BL87">IF($AW87="",0,SUMPRODUCT((TRIM('LY Sales '!$B$5:$B$200)=$AW87)*('LY Sales '!$C$2:$AG$2&gt;=EDATE($BZ$5,-12))*('LY Sales '!$C$2:$AG$2&lt;=EDATE($BZ$6,-12))*('LY Sales '!$C$5:$AG$200&gt;0)))</f>
        <v>0</v>
      </c>
      <c r="BM87" cm="1">
        <f t="array" ref="BM87">IF(NOT(ISNUMBER($BG87)),0,SUMPRODUCT(('TY Sales Target'!$K$2:$AO$2&gt;=$BZ$5)*('TY Sales Target'!$K$2:$AO$2&lt;=$BZ$6),INDEX('TY Sales Target'!$K$5:$AO$300,$BG87,0)))</f>
        <v>268161.23790586309</v>
      </c>
      <c r="BN87" cm="1">
        <f t="array" ref="BN87">IF(NOT(ISNUMBER($BG87)),0,SUMPRODUCT(('TY Sales Target'!$K$2:$AO$2&gt;=$BZ$5)*('TY Sales Target'!$K$2:$AO$2&lt;=$BZ$7),INDEX('TY Sales Target'!$K$5:$AO$300,$BG87,0)))</f>
        <v>349999.99999999994</v>
      </c>
      <c r="BO87" cm="1">
        <f t="array" ref="BO87">IF($AW87="",0,IFERROR(_xlfn.SWITCH($BP87,"LY trend",$BI87*$BK87/$BJ87,"Target curve",$BI87*$BN87/$BM87,"Run rate",$BI87/$BZ$8*$BZ$9,0),0))</f>
        <v>177149.11883229099</v>
      </c>
      <c r="BP87" t="str">
        <f t="shared" si="59"/>
        <v>Target curve</v>
      </c>
      <c r="BR87" t="str">
        <v>HARASHABH</v>
      </c>
      <c r="CB87" cm="1">
        <f t="array" ref="CB87">IF($AW87="",0,_xlfn.LET(_xlpm.k,IFERROR(_xlfn.XLOOKUP($AW87,$CD$6:$CD$21,$CE$6:$CE$21),$AW87),SUMPRODUCT((TRIM('Makeup '!$A$2:$A$300&amp;"")=_xlpm.k)*1,IFERROR('Makeup '!$F$2:$F$300*1,0))))</f>
        <v>16247.14</v>
      </c>
      <c r="CF87" t="str" cm="1">
        <f t="array" ref="CF87">IF($AW87="","",_xlfn.LET(_xlpm.c,IFERROR(TRIM(INDEX('Sales and count'!$B$4:$B$300,$BF87)&amp;""),""),IF(OR(_xlpm.c="",_xlpm.c="0",LEFT(_xlpm.c,1)="#"),"Not set",_xlpm.c)))</f>
        <v>KSA</v>
      </c>
      <c r="CH87" cm="1">
        <f t="array" ref="CH87">IF($AW87="",0,_xlfn.LET(_xlpm.k,IFERROR(_xlfn.XLOOKUP($AW87,$CD$6:$CD$21,$CE$6:$CE$21),$AW87),--(SUMPRODUCT((TRIM('Makeup '!$A$2:$A$300&amp;"")=_xlpm.k)*ISNUMBER('Makeup '!$F$2:$F$300))&gt;0)))</f>
        <v>1</v>
      </c>
      <c r="CI87">
        <f t="shared" si="62"/>
        <v>135727.22</v>
      </c>
      <c r="CJ87" cm="1">
        <f t="array" ref="CJ87">IF($AW87="",0,--(SUMPRODUCT(--(TRIM(Footfall!$B$5:$B$301)=$AW87))&gt;0))</f>
        <v>0</v>
      </c>
      <c r="CK87" s="8" cm="1">
        <f t="array" ref="CK87">IF($AW87="",0,_xlfn.LET(_xlpm.r,IFERROR(MATCH(IFERROR(_xlfn.XLOOKUP($AW87,$BT$5:$BT$22,$BU$5:$BU$22),$AW87),TRIM('TY Beauty Target'!$B$5:$B$300&amp;""),0),""),IF(ISNUMBER(_xlpm.r),SUMPRODUCT(('TY Beauty Target'!$L$2:$AP$2&gt;=$U$4)*('TY Beauty Target'!$L$2:$AP$2&lt;=$U$5),INDEX('TY Beauty Target'!$L$5:$AP$300,_xlpm.r,0)),0)))</f>
        <v>30591.903147082165</v>
      </c>
    </row>
    <row r="88" spans="1:89" ht="15" customHeight="1" x14ac:dyDescent="0.25">
      <c r="A88" s="38" t="str">
        <f t="shared" si="58"/>
        <v/>
      </c>
      <c r="B88" s="43" t="str" cm="1">
        <f t="array" ref="B88">IF($AI88="","",IF(LEFT($AI88,2)="C|",IF($C88="","",_xlfn.TEXTJOIN(", ",TRUE,_xlfn.UNIQUE(_xlfn._xlws.FILTER($AN$5:$AN$302,($AP$5:$AP$302=1)*($AO$5:$AO$302=$A88))))),IF($AI88="CT",B$13,IF(LEFT($AI88,3)="AM|",IF($C88="","",ROWS(_xlfn.UNIQUE(_xlfn._xlws.FILTER($AO$5:$AO$302,($AP$5:$AP$302=1)*($AN$5:$AN$302=$A88))))),IF(LEFT($AI88,2)="S|",IF($AG88="","",INDEX($AO$5:$AO$302,$AH88)),IF($AI88="HDR","City",""))))))</f>
        <v/>
      </c>
      <c r="C88" s="39" t="str" cm="1">
        <f t="array" ref="C88">IF($AI88="","",IF(LEFT($AI88,2)="C|",_xlfn.LET(_xlpm.n,SUMPRODUCT($AP$5:$AP$302*($AO$5:$AO$302=$A88)),IF(_xlpm.n=0,"",_xlpm.n)),IF($AI88="CT",C$13,IF(LEFT($AI88,3)="AM|",_xlfn.LET(_xlpm.n,SUMPRODUCT($AP$5:$AP$302*($AN$5:$AN$302=$A88)),IF(_xlpm.n=0,"",_xlpm.n)),IF(LEFT($AI88,2)="S|","",IF($AI88="HDR","# Stores",""))))))</f>
        <v/>
      </c>
      <c r="D88" s="40" t="str" cm="1">
        <f t="array" ref="D88">IF($AI88="","",IF(LEFT($AI88,2)="C|",IF($C88="","",SUMPRODUCT($AP$5:$AP$302*($AO$5:$AO$302=$A88),$AR$5:$AR$302)),IF($AI88="CT",D$13,IF(LEFT($AI88,3)="AM|",IF($C88="","",SUMPRODUCT($AP$5:$AP$302*($AN$5:$AN$302=$A88),$AR$5:$AR$302)),IF(LEFT($AI88,2)="S|",IF($AG88="","",INDEX($AR$5:$AR$302,$AH88)),IF($AI88="HDR","Sales TY",""))))))</f>
        <v/>
      </c>
      <c r="E88" s="40" t="str" cm="1">
        <f t="array" ref="E88">IF($AI88="","",IF(LEFT($AI88,2)="C|",IF($C88="","",SUMPRODUCT($AP$5:$AP$302*($AO$5:$AO$302=$A88),$AT$5:$AT$302)),IF($AI88="CT",E$13,IF(LEFT($AI88,3)="AM|",IF($C88="","",SUMPRODUCT($AP$5:$AP$302*($AN$5:$AN$302=$A88),$AT$5:$AT$302)),IF(LEFT($AI88,2)="S|",IF($AG88="","",INDEX($AT$5:$AT$302,$AH88)),IF($AI88="HDR","Sales LY",""))))))</f>
        <v/>
      </c>
      <c r="F88" s="41" t="str">
        <f t="shared" si="46"/>
        <v/>
      </c>
      <c r="G88" s="41" t="str">
        <f t="shared" si="47"/>
        <v/>
      </c>
      <c r="H88" s="40" t="str" cm="1">
        <f t="array" ref="H88">IF($AI88="","",IF(LEFT($AI88,2)="C|",IF($C88="","",SUMPRODUCT($AP$5:$AP$302*($AO$5:$AO$302=$A88),$AV$5:$AV$302)),IF($AI88="CT",H$13,IF(LEFT($AI88,3)="AM|",IF($C88="","",SUMPRODUCT($AP$5:$AP$302*($AN$5:$AN$302=$A88),$AV$5:$AV$302)),IF(LEFT($AI88,2)="S|",IF($AG88="","",INDEX($AV$5:$AV$302,$AH88)),IF($AI88="HDR","Target",""))))))</f>
        <v/>
      </c>
      <c r="I88" s="41" t="str">
        <f t="shared" si="48"/>
        <v/>
      </c>
      <c r="J88" s="40" t="str">
        <f t="shared" si="49"/>
        <v/>
      </c>
      <c r="K88" s="41" t="str">
        <f t="shared" si="50"/>
        <v/>
      </c>
      <c r="L88" s="40" t="str" cm="1">
        <f t="array" ref="L88">IF($AI88="","",IF(LEFT($AI88,2)="C|",IF($C88="","",SUMPRODUCT($AP$5:$AP$302*($AO$5:$AO$302=$A88),$BN$5:$BN$302)),IF($AI88="CT",L$13,IF(LEFT($AI88,3)="AM|",IF($C88="","",SUMPRODUCT($AP$5:$AP$302*($AN$5:$AN$302=$A88),$BN$5:$BN$302)),IF(LEFT($AI88,2)="S|",IF($AG88="","",INDEX($BN$5:$BN$302,$AH88)),IF($AI88="HDR","Month Target",""))))))</f>
        <v/>
      </c>
      <c r="M88" s="40" t="str" cm="1">
        <f t="array" ref="M88">IF($AI88="","",IF(LEFT($AI88,2)="C|",IF($C88="","",SUMPRODUCT($AP$5:$AP$302*($AO$5:$AO$302=$A88),$BO$5:$BO$302)),IF($AI88="CT",M$13,IF(LEFT($AI88,3)="AM|",IF($C88="","",SUMPRODUCT($AP$5:$AP$302*($AN$5:$AN$302=$A88),$BO$5:$BO$302)),IF(LEFT($AI88,2)="S|",IF($AG88="","",INDEX($BO$5:$BO$302,$AH88)),IF($AI88="HDR","Projected Close",""))))))</f>
        <v/>
      </c>
      <c r="N88" s="41" t="str">
        <f t="shared" si="43"/>
        <v/>
      </c>
      <c r="O88" s="41" t="str" cm="1">
        <f t="array" ref="O88">IF($AI88="HDR","Proj. vs LY",IF(OR($AI88="",M88=""),"",_xlfn.LET(_xlpm.ly,IF(LEFT($AI88,2)="C|",SUMPRODUCT($AP$5:$AP$302*($AO$5:$AO$302=$A88),$BK$5:$BK$302),IF($AI88="CT",SUMPRODUCT($AP$5:$AP$302,$BK$5:$BK$302),IF(LEFT($AI88,3)="AM|",SUMPRODUCT($AP$5:$AP$302*($AN$5:$AN$302=$A88),$BK$5:$BK$302),IF(LEFT($AI88,2)="S|",INDEX($BK$5:$BK$302,$AH88),0)))),IFERROR(M88/_xlpm.ly-1,""))))</f>
        <v/>
      </c>
      <c r="P88" s="40" t="str" cm="1">
        <f t="array" ref="P88">IF($AI88="","",IF(LEFT($AI88,2)="C|",IF($C88="","",SUMPRODUCT($AP$5:$AP$302*($AO$5:$AO$302=$A88),$AS$5:$AS$302)),IF($AI88="CT",P$13,IF(LEFT($AI88,3)="AM|",IF($C88="","",SUMPRODUCT($AP$5:$AP$302*($AN$5:$AN$302=$A88),$AS$5:$AS$302)),IF(LEFT($AI88,2)="S|",IF($AG88="","",INDEX($AS$5:$AS$302,$AH88)),IF($AI88="HDR","Trans TY",""))))))</f>
        <v/>
      </c>
      <c r="Q88" s="40" t="str" cm="1">
        <f t="array" ref="Q88">IF($AI88="","",IF(LEFT($AI88,2)="C|",IF($C88="","",SUMPRODUCT($AP$5:$AP$302*($AO$5:$AO$302=$A88),$AU$5:$AU$302)),IF($AI88="CT",Q$13,IF(LEFT($AI88,3)="AM|",IF($C88="","",SUMPRODUCT($AP$5:$AP$302*($AN$5:$AN$302=$A88),$AU$5:$AU$302)),IF(LEFT($AI88,2)="S|",IF($AG88="","",INDEX($AU$5:$AU$302,$AH88)),IF($AI88="HDR","Trans LY",""))))))</f>
        <v/>
      </c>
      <c r="R88" s="41" t="str">
        <f t="shared" si="51"/>
        <v/>
      </c>
      <c r="S88" s="41" t="str">
        <f t="shared" si="52"/>
        <v/>
      </c>
      <c r="T88" s="42" t="str">
        <f t="shared" si="53"/>
        <v/>
      </c>
      <c r="U88" s="42" t="str">
        <f t="shared" si="54"/>
        <v/>
      </c>
      <c r="V88" s="41" t="str">
        <f t="shared" si="55"/>
        <v/>
      </c>
      <c r="W88" s="40" t="str" cm="1">
        <f t="array" ref="W88">IF($AI88="","",IF(LEFT($AI88,2)="C|",_xlfn.LET(_xlpm.n,SUMPRODUCT($AP$5:$AP$302*($AO$5:$AO$302=$A88),$BB$5:$BB$302),IF(_xlpm.n=0,"",_xlpm.n)),IF($AI88="CT",W$13,IF(LEFT($AI88,3)="AM|",_xlfn.LET(_xlpm.n,SUMPRODUCT($AP$5:$AP$302*($AN$5:$AN$302=$A88),$BB$5:$BB$302),IF(_xlpm.n=0,"",_xlpm.n)),IF(LEFT($AI88,2)="S|",IF($AG88="","",_xlfn.LET(_xlpm.n,INDEX($BB$5:$BB$302,$AH88),IF(_xlpm.n=0,"",_xlpm.n))),IF($AI88="HDR","Footfall",""))))))</f>
        <v/>
      </c>
      <c r="X88" s="40" t="str" cm="1">
        <f t="array" ref="X88">IF($AI88="","",IF($AI88="HDR","Trans (FF stores)",IF(W88="","",IF(LEFT($AI88,2)="C|",SUMPRODUCT($AP$5:$AP$302*($AO$5:$AO$302=$A88),$BC$5:$BC$302),IF($AI88="CT",X$13,IF(LEFT($AI88,3)="AM|",SUMPRODUCT($AP$5:$AP$302*($AN$5:$AN$302=$A88),$BC$5:$BC$302),IF(LEFT($AI88,2)="S|",INDEX($BC$5:$BC$302,$AH88),"")))))))</f>
        <v/>
      </c>
      <c r="Y88" s="41" t="str">
        <f t="shared" si="44"/>
        <v/>
      </c>
      <c r="Z88" s="40" t="str" cm="1">
        <f t="array" ref="Z88">IF($AI88="","",IF(LEFT($AI88,2)="C|",IF($C88="","",SUMPRODUCT($AP$5:$AP$302*($AO$5:$AO$302=$A88),$CB$5:$CB$302)),IF($AI88="CT",Z$13,IF(LEFT($AI88,3)="AM|",IF($C88="","",SUMPRODUCT($AP$5:$AP$302*($AN$5:$AN$302=$A88),$CB$5:$CB$302)),IF(LEFT($AI88,2)="S|",IF($AG88="","",INDEX($CB$5:$CB$302,$AH88)),IF($AI88="HDR","Makeup Sales",""))))))</f>
        <v/>
      </c>
      <c r="AA88" s="41" t="str">
        <f t="shared" si="56"/>
        <v/>
      </c>
      <c r="AB88" s="40" t="str" cm="1">
        <f t="array" ref="AB88">IF($AI88="","",IF(LEFT($AI88,2)="C|",IF($C88="","",SUMPRODUCT($AP$5:$AP$302*($AO$5:$AO$302=$A88),$CK$5:$CK$302)),IF($AI88="CT",AB$13,IF(LEFT($AI88,3)="AM|",IF($C88="","",SUMPRODUCT($AP$5:$AP$302*($AN$5:$AN$302=$A88),$CK$5:$CK$302)),IF(LEFT($AI88,2)="S|",IF($AG88="","",INDEX($CK$5:$CK$302,$AH88)),IF($AI88="HDR","Makeup Target",""))))))</f>
        <v/>
      </c>
      <c r="AC88" s="41" t="str">
        <f t="shared" si="45"/>
        <v/>
      </c>
      <c r="AD88" s="40" t="str" cm="1">
        <f t="array" ref="AD88">IF($AI88="","",IF(LEFT($AI88,2)="C|",IF($C88="","",SUMPRODUCT($AP$5:$AP$302*($AO$5:$AO$302=$A88),$CI$5:$CI$302)),IF($AI88="CT",AD$13,IF(LEFT($AI88,3)="AM|",IF($C88="","",SUMPRODUCT($AP$5:$AP$302*($AN$5:$AN$302=$A88),$CI$5:$CI$302)),IF(LEFT($AI88,2)="S|",IF($AG88="","",INDEX($CI$5:$CI$302,$AH88)),IF($AI88="HDR","Cosmetic Sales",""))))))</f>
        <v/>
      </c>
      <c r="AE88" s="8" t="str" cm="1">
        <f t="array" ref="AE88">IF($AI88="","",IF(LEFT($AI88,2)="C|",IF($C88="","",SUMPRODUCT($AP$5:$AP$302*($AO$5:$AO$302=$A88)*$AQ$5:$AQ$302,$AR$5:$AR$302)),IF($AI88="CT",AE$13,IF(LEFT($AI88,3)="AM|",IF($C88="","",SUMPRODUCT($AP$5:$AP$302*($AN$5:$AN$302=$A88)*$AQ$5:$AQ$302,$AR$5:$AR$302)),IF(LEFT($AI88,2)="S|",IF($AG88="","",IF(INDEX($AQ$5:$AQ$302,$AH88)=1,D88,0)),IF($AI88="HDR","LFL Sales",""))))))</f>
        <v/>
      </c>
      <c r="AF88" s="8" t="str" cm="1">
        <f t="array" ref="AF88">IF($AI88="","",IF(LEFT($AI88,2)="C|",IF($C88="","",SUMPRODUCT($AP$5:$AP$302*($AO$5:$AO$302=$A88)*$AQ$5:$AQ$302,$AS$5:$AS$302)),IF($AI88="CT",AF$13,IF(LEFT($AI88,3)="AM|",IF($C88="","",SUMPRODUCT($AP$5:$AP$302*($AN$5:$AN$302=$A88)*$AQ$5:$AQ$302,$AS$5:$AS$302)),IF(LEFT($AI88,2)="S|",IF($AG88="","",IF(INDEX($AQ$5:$AQ$302,$AH88)=1,P88,0)),IF($AI88="HDR","LFL Trans",""))))))</f>
        <v/>
      </c>
      <c r="AG88" s="8" t="str" cm="1">
        <f t="array" ref="AG88">IF($AI88="","",IF(LEFT($AI88,2)="C|","",IF($AI88="CT","",IF(LEFT($AI88,3)="AM|","",IF(LEFT($AI88,2)="S|",IF($AH88="","",IF(INDEX($AP$5:$AP$302,$AH88)=1,1,"")),IF($AI88="HDR","Show",""))))))</f>
        <v/>
      </c>
      <c r="AH88" s="8" t="str">
        <f t="shared" si="57"/>
        <v/>
      </c>
      <c r="AI88" s="8"/>
      <c r="AN88" s="8" t="str" cm="1">
        <f t="array" ref="AN88">IF($AW88="","",_xlfn.LET(_xlpm.sa,IFERROR(TRIM(INDEX('Sales and count'!$D$4:$D$300,$BF88)&amp;""),""),_xlpm.ta,IFERROR(TRIM(INDEX('TY Sales Target'!$F$5:$F$300,$BG88)&amp;""),""),IF(AND(_xlpm.sa&lt;&gt;"",LEFT(_xlpm.sa,1)&lt;&gt;"#",_xlpm.sa&lt;&gt;"0"),_xlpm.sa,IF(AND(_xlpm.ta&lt;&gt;"",LEFT(_xlpm.ta,1)&lt;&gt;"#",_xlpm.ta&lt;&gt;"0"),_xlpm.ta,IF(ISNUMBER($BG88),"Unassigned","")))))</f>
        <v>Mohammed Haidar</v>
      </c>
      <c r="AO88" s="8" t="str" cm="1">
        <f t="array" ref="AO88">IF($AW88="","",_xlfn.LET(_xlpm.sa,IFERROR(TRIM(INDEX('Sales and count'!$C$4:$C$300,$BF88)&amp;""),""),_xlpm.ta,IFERROR(TRIM(INDEX('TY Sales Target'!$D$5:$D$300,$BG88)&amp;""),""),IF(AND(_xlpm.sa&lt;&gt;"",LEFT(_xlpm.sa,1)&lt;&gt;"#",_xlpm.sa&lt;&gt;"0"),_xlpm.sa,IF(AND(_xlpm.ta&lt;&gt;"",LEFT(_xlpm.ta,1)&lt;&gt;"#",_xlpm.ta&lt;&gt;"0"),_xlpm.ta,""))))</f>
        <v>Madinah</v>
      </c>
      <c r="AP88" s="8">
        <f t="shared" si="60"/>
        <v>0</v>
      </c>
      <c r="AQ88" s="8">
        <f t="shared" si="61"/>
        <v>0</v>
      </c>
      <c r="AR88" s="8" cm="1">
        <f t="array" ref="AR88">IF($BF88="",0,_xlfn.LET(_xlpm.d,IFERROR(--'Sales and count'!$G$2:$CC$2,0),SUMPRODUCT(('Sales and count'!$G$3:$CC$3="Total")*(_xlpm.d&gt;=$U$4)*(_xlpm.d&lt;=$U$5),INDEX('Sales and count'!$G$4:$CC$300,$BF88,0))))</f>
        <v>24194.19</v>
      </c>
      <c r="AS88" s="8" cm="1">
        <f t="array" aca="1" ref="AS88" ca="1">IF($BF88="",0,_xlfn.LET(_xlpm.d,IFERROR(--'Sales and count'!$F$2:$CB$2,0),SUMPRODUCT(('Sales and count'!$G$3:$CC$3="Transactions")*(_xlpm.d&gt;=$U$4)*(_xlpm.d&lt;=$U$5),INDEX('Sales and count'!$G$4:$CC$300,$BF88,0))))</f>
        <v>126</v>
      </c>
      <c r="AT88" s="8" cm="1">
        <f t="array" ref="AT88">IF($AW88="",0,SUMPRODUCT((TRIM('LY Sales '!$B$5:$B$200)=$AW88)*('LY Sales '!$C$2:$AG$2&gt;=EDATE($U$4,-12))*('LY Sales '!$C$2:$AG$2&lt;=EDATE($U$5,-12)),'LY Sales '!$C$5:$AG$200))</f>
        <v>0</v>
      </c>
      <c r="AU88" s="8" cm="1">
        <f t="array" ref="AU88">IF($AW88="",0,SUMPRODUCT((TRIM('LY Transaction'!$B$5:$B$200)=$AW88)*('LY Transaction'!$C$2:$AG$2&gt;=EDATE($U$4,-12))*('LY Transaction'!$C$2:$AG$2&lt;=EDATE($U$5,-12)),'LY Transaction'!$C$5:$AG$200))</f>
        <v>0</v>
      </c>
      <c r="AV88" s="8" cm="1">
        <f t="array" ref="AV88">IF(NOT(ISNUMBER($BG88)),0,SUMPRODUCT(('TY Sales Target'!$K$2:$AO$2&gt;=$U$4)*('TY Sales Target'!$K$2:$AO$2&lt;=$U$5),INDEX('TY Sales Target'!$K$5:$AO$300,$BG88,0)))</f>
        <v>45970.497926719407</v>
      </c>
      <c r="AW88" s="8" t="str" cm="1">
        <f t="array" ref="AW88">IFERROR(INDEX(_xlfn.ANCHORARRAY($BR$5),ROWS($AW$5:AW88)),"")</f>
        <v>HATHEGATE</v>
      </c>
      <c r="BB88" cm="1">
        <f t="array" ref="BB88">IF($AW88="",0,SUMPRODUCT((TRIM(Footfall!$B$5:$B$301)=$AW88)*(Footfall!$C$1:$BZ$1&gt;=$U$4)*(Footfall!$C$2:$BZ$2&lt;=$U$5)*(Footfall!$C$1:$BZ$1&lt;&gt;""),Footfall!$C$5:$BZ$301))</f>
        <v>0</v>
      </c>
      <c r="BC88" cm="1">
        <f t="array" ref="BC88">IF(OR($BB88&lt;=0,$BD$1="",$BF88=""),0,_xlfn.LET(_xlpm.d,IFERROR(--'Sales and count'!$F$2:$CB$2,0),SUMPRODUCT(('Sales and count'!$G$3:$CC$3="Transactions")*(_xlpm.d&gt;=$BD$1)*(_xlpm.d&lt;=$BD$2),INDEX('Sales and count'!$G$4:$CC$300,$BF88,0))))</f>
        <v>0</v>
      </c>
      <c r="BF88" cm="1">
        <f t="array" ref="BF88">IF($AW88="","",IFERROR(MATCH($AW88,TRIM('Sales and count'!$A$4:$A$300&amp;""),0),""))</f>
        <v>84</v>
      </c>
      <c r="BG88" cm="1">
        <f t="array" ref="BG88">IF($AW88="","",IFERROR(MATCH(IFERROR(_xlfn.XLOOKUP($AW88,$BT$5:$BT$22,$BU$5:$BU$22),$AW88),TRIM('TY Sales Target'!$B$5:$B$300&amp;""),0),""))</f>
        <v>111</v>
      </c>
      <c r="BH88" t="str" cm="1">
        <f t="array" ref="BH88">IF(ISNUMBER($BG88),_xlfn.LET(_xlpm.p,TRIM(INDEX('TY Sales Target'!$I$5:$I$300,$BG88)&amp;""),IF(_xlpm.p="","Not set",_xlpm.p)),"Not set")</f>
        <v>Gold Bar</v>
      </c>
      <c r="BI88" cm="1">
        <f t="array" ref="BI88">IF($BF88="",0,_xlfn.LET(_xlpm.d,IFERROR(--'Sales and count'!$G$2:$CC$2,0),SUMPRODUCT(('Sales and count'!$G$3:$CC$3="Total")*(_xlpm.d&gt;=$BZ$5)*(_xlpm.d&lt;=$BZ$6),INDEX('Sales and count'!$G$4:$CC$300,$BF88,0))))</f>
        <v>24194.19</v>
      </c>
      <c r="BJ88" cm="1">
        <f t="array" ref="BJ88">IF($AW88="",0,SUMPRODUCT((TRIM('LY Sales '!$B$5:$B$200)=$AW88)*('LY Sales '!$C$2:$AG$2&gt;=EDATE($BZ$5,-12))*('LY Sales '!$C$2:$AG$2&lt;=EDATE($BZ$6,-12)),'LY Sales '!$C$5:$AG$200))</f>
        <v>0</v>
      </c>
      <c r="BK88" cm="1">
        <f t="array" ref="BK88">IF($AW88="",0,SUMPRODUCT((TRIM('LY Sales '!$B$5:$B$200)=$AW88)*('LY Sales '!$C$2:$AG$2&gt;=EDATE($BZ$5,-12))*('LY Sales '!$C$2:$AG$2&lt;=EDATE($BZ$7,-12)),'LY Sales '!$C$5:$AG$200))</f>
        <v>0</v>
      </c>
      <c r="BL88" cm="1">
        <f t="array" ref="BL88">IF($AW88="",0,SUMPRODUCT((TRIM('LY Sales '!$B$5:$B$200)=$AW88)*('LY Sales '!$C$2:$AG$2&gt;=EDATE($BZ$5,-12))*('LY Sales '!$C$2:$AG$2&lt;=EDATE($BZ$6,-12))*('LY Sales '!$C$5:$AG$200&gt;0)))</f>
        <v>0</v>
      </c>
      <c r="BM88" cm="1">
        <f t="array" ref="BM88">IF(NOT(ISNUMBER($BG88)),0,SUMPRODUCT(('TY Sales Target'!$K$2:$AO$2&gt;=$BZ$5)*('TY Sales Target'!$K$2:$AO$2&lt;=$BZ$6),INDEX('TY Sales Target'!$K$5:$AO$300,$BG88,0)))</f>
        <v>45970.497926719407</v>
      </c>
      <c r="BN88" cm="1">
        <f t="array" ref="BN88">IF(NOT(ISNUMBER($BG88)),0,SUMPRODUCT(('TY Sales Target'!$K$2:$AO$2&gt;=$BZ$5)*('TY Sales Target'!$K$2:$AO$2&lt;=$BZ$7),INDEX('TY Sales Target'!$K$5:$AO$300,$BG88,0)))</f>
        <v>60000.000000000015</v>
      </c>
      <c r="BO88" cm="1">
        <f t="array" ref="BO88">IF($AW88="",0,IFERROR(_xlfn.SWITCH($BP88,"LY trend",$BI88*$BK88/$BJ88,"Target curve",$BI88*$BN88/$BM88,"Run rate",$BI88/$BZ$8*$BZ$9,0),0))</f>
        <v>31577.891592865642</v>
      </c>
      <c r="BP88" t="str">
        <f t="shared" si="59"/>
        <v>Target curve</v>
      </c>
      <c r="BR88" t="str">
        <v>HATHEGATE</v>
      </c>
      <c r="CB88" cm="1">
        <f t="array" ref="CB88">IF($AW88="",0,_xlfn.LET(_xlpm.k,IFERROR(_xlfn.XLOOKUP($AW88,$CD$6:$CD$21,$CE$6:$CE$21),$AW88),SUMPRODUCT((TRIM('Makeup '!$A$2:$A$300&amp;"")=_xlpm.k)*1,IFERROR('Makeup '!$F$2:$F$300*1,0))))</f>
        <v>1570.28</v>
      </c>
      <c r="CF88" t="str" cm="1">
        <f t="array" ref="CF88">IF($AW88="","",_xlfn.LET(_xlpm.c,IFERROR(TRIM(INDEX('Sales and count'!$B$4:$B$300,$BF88)&amp;""),""),IF(OR(_xlpm.c="",_xlpm.c="0",LEFT(_xlpm.c,1)="#"),"Not set",_xlpm.c)))</f>
        <v>KSA</v>
      </c>
      <c r="CH88" cm="1">
        <f t="array" ref="CH88">IF($AW88="",0,_xlfn.LET(_xlpm.k,IFERROR(_xlfn.XLOOKUP($AW88,$CD$6:$CD$21,$CE$6:$CE$21),$AW88),--(SUMPRODUCT((TRIM('Makeup '!$A$2:$A$300&amp;"")=_xlpm.k)*ISNUMBER('Makeup '!$F$2:$F$300))&gt;0)))</f>
        <v>1</v>
      </c>
      <c r="CI88">
        <f t="shared" si="62"/>
        <v>24194.19</v>
      </c>
      <c r="CJ88" cm="1">
        <f t="array" ref="CJ88">IF($AW88="",0,--(SUMPRODUCT(--(TRIM(Footfall!$B$5:$B$301)=$AW88))&gt;0))</f>
        <v>0</v>
      </c>
      <c r="CK88" s="8" cm="1">
        <f t="array" ref="CK88">IF($AW88="",0,_xlfn.LET(_xlpm.r,IFERROR(MATCH(IFERROR(_xlfn.XLOOKUP($AW88,$BT$5:$BT$22,$BU$5:$BU$22),$AW88),TRIM('TY Beauty Target'!$B$5:$B$300&amp;""),0),""),IF(ISNUMBER(_xlpm.r),SUMPRODUCT(('TY Beauty Target'!$L$2:$AP$2&gt;=$U$4)*('TY Beauty Target'!$L$2:$AP$2&lt;=$U$5),INDEX('TY Beauty Target'!$L$5:$AP$300,_xlpm.r,0)),0)))</f>
        <v>3822.8431816607663</v>
      </c>
    </row>
    <row r="89" spans="1:89" ht="15" customHeight="1" x14ac:dyDescent="0.25">
      <c r="A89" s="38" t="str">
        <f t="shared" si="58"/>
        <v/>
      </c>
      <c r="B89" s="43" t="str" cm="1">
        <f t="array" ref="B89">IF($AI89="","",IF(LEFT($AI89,2)="C|",IF($C89="","",_xlfn.TEXTJOIN(", ",TRUE,_xlfn.UNIQUE(_xlfn._xlws.FILTER($AN$5:$AN$302,($AP$5:$AP$302=1)*($AO$5:$AO$302=$A89))))),IF($AI89="CT",B$13,IF(LEFT($AI89,3)="AM|",IF($C89="","",ROWS(_xlfn.UNIQUE(_xlfn._xlws.FILTER($AO$5:$AO$302,($AP$5:$AP$302=1)*($AN$5:$AN$302=$A89))))),IF(LEFT($AI89,2)="S|",IF($AG89="","",INDEX($AO$5:$AO$302,$AH89)),IF($AI89="HDR","City",""))))))</f>
        <v/>
      </c>
      <c r="C89" s="39" t="str" cm="1">
        <f t="array" ref="C89">IF($AI89="","",IF(LEFT($AI89,2)="C|",_xlfn.LET(_xlpm.n,SUMPRODUCT($AP$5:$AP$302*($AO$5:$AO$302=$A89)),IF(_xlpm.n=0,"",_xlpm.n)),IF($AI89="CT",C$13,IF(LEFT($AI89,3)="AM|",_xlfn.LET(_xlpm.n,SUMPRODUCT($AP$5:$AP$302*($AN$5:$AN$302=$A89)),IF(_xlpm.n=0,"",_xlpm.n)),IF(LEFT($AI89,2)="S|","",IF($AI89="HDR","# Stores",""))))))</f>
        <v/>
      </c>
      <c r="D89" s="40" t="str" cm="1">
        <f t="array" ref="D89">IF($AI89="","",IF(LEFT($AI89,2)="C|",IF($C89="","",SUMPRODUCT($AP$5:$AP$302*($AO$5:$AO$302=$A89),$AR$5:$AR$302)),IF($AI89="CT",D$13,IF(LEFT($AI89,3)="AM|",IF($C89="","",SUMPRODUCT($AP$5:$AP$302*($AN$5:$AN$302=$A89),$AR$5:$AR$302)),IF(LEFT($AI89,2)="S|",IF($AG89="","",INDEX($AR$5:$AR$302,$AH89)),IF($AI89="HDR","Sales TY",""))))))</f>
        <v/>
      </c>
      <c r="E89" s="40" t="str" cm="1">
        <f t="array" ref="E89">IF($AI89="","",IF(LEFT($AI89,2)="C|",IF($C89="","",SUMPRODUCT($AP$5:$AP$302*($AO$5:$AO$302=$A89),$AT$5:$AT$302)),IF($AI89="CT",E$13,IF(LEFT($AI89,3)="AM|",IF($C89="","",SUMPRODUCT($AP$5:$AP$302*($AN$5:$AN$302=$A89),$AT$5:$AT$302)),IF(LEFT($AI89,2)="S|",IF($AG89="","",INDEX($AT$5:$AT$302,$AH89)),IF($AI89="HDR","Sales LY",""))))))</f>
        <v/>
      </c>
      <c r="F89" s="41" t="str">
        <f t="shared" si="46"/>
        <v/>
      </c>
      <c r="G89" s="41" t="str">
        <f t="shared" si="47"/>
        <v/>
      </c>
      <c r="H89" s="40" t="str" cm="1">
        <f t="array" ref="H89">IF($AI89="","",IF(LEFT($AI89,2)="C|",IF($C89="","",SUMPRODUCT($AP$5:$AP$302*($AO$5:$AO$302=$A89),$AV$5:$AV$302)),IF($AI89="CT",H$13,IF(LEFT($AI89,3)="AM|",IF($C89="","",SUMPRODUCT($AP$5:$AP$302*($AN$5:$AN$302=$A89),$AV$5:$AV$302)),IF(LEFT($AI89,2)="S|",IF($AG89="","",INDEX($AV$5:$AV$302,$AH89)),IF($AI89="HDR","Target",""))))))</f>
        <v/>
      </c>
      <c r="I89" s="41" t="str">
        <f t="shared" si="48"/>
        <v/>
      </c>
      <c r="J89" s="40" t="str">
        <f t="shared" si="49"/>
        <v/>
      </c>
      <c r="K89" s="41" t="str">
        <f t="shared" si="50"/>
        <v/>
      </c>
      <c r="L89" s="40" t="str" cm="1">
        <f t="array" ref="L89">IF($AI89="","",IF(LEFT($AI89,2)="C|",IF($C89="","",SUMPRODUCT($AP$5:$AP$302*($AO$5:$AO$302=$A89),$BN$5:$BN$302)),IF($AI89="CT",L$13,IF(LEFT($AI89,3)="AM|",IF($C89="","",SUMPRODUCT($AP$5:$AP$302*($AN$5:$AN$302=$A89),$BN$5:$BN$302)),IF(LEFT($AI89,2)="S|",IF($AG89="","",INDEX($BN$5:$BN$302,$AH89)),IF($AI89="HDR","Month Target",""))))))</f>
        <v/>
      </c>
      <c r="M89" s="40" t="str" cm="1">
        <f t="array" ref="M89">IF($AI89="","",IF(LEFT($AI89,2)="C|",IF($C89="","",SUMPRODUCT($AP$5:$AP$302*($AO$5:$AO$302=$A89),$BO$5:$BO$302)),IF($AI89="CT",M$13,IF(LEFT($AI89,3)="AM|",IF($C89="","",SUMPRODUCT($AP$5:$AP$302*($AN$5:$AN$302=$A89),$BO$5:$BO$302)),IF(LEFT($AI89,2)="S|",IF($AG89="","",INDEX($BO$5:$BO$302,$AH89)),IF($AI89="HDR","Projected Close",""))))))</f>
        <v/>
      </c>
      <c r="N89" s="41" t="str">
        <f t="shared" si="43"/>
        <v/>
      </c>
      <c r="O89" s="41" t="str" cm="1">
        <f t="array" ref="O89">IF($AI89="HDR","Proj. vs LY",IF(OR($AI89="",M89=""),"",_xlfn.LET(_xlpm.ly,IF(LEFT($AI89,2)="C|",SUMPRODUCT($AP$5:$AP$302*($AO$5:$AO$302=$A89),$BK$5:$BK$302),IF($AI89="CT",SUMPRODUCT($AP$5:$AP$302,$BK$5:$BK$302),IF(LEFT($AI89,3)="AM|",SUMPRODUCT($AP$5:$AP$302*($AN$5:$AN$302=$A89),$BK$5:$BK$302),IF(LEFT($AI89,2)="S|",INDEX($BK$5:$BK$302,$AH89),0)))),IFERROR(M89/_xlpm.ly-1,""))))</f>
        <v/>
      </c>
      <c r="P89" s="40" t="str" cm="1">
        <f t="array" ref="P89">IF($AI89="","",IF(LEFT($AI89,2)="C|",IF($C89="","",SUMPRODUCT($AP$5:$AP$302*($AO$5:$AO$302=$A89),$AS$5:$AS$302)),IF($AI89="CT",P$13,IF(LEFT($AI89,3)="AM|",IF($C89="","",SUMPRODUCT($AP$5:$AP$302*($AN$5:$AN$302=$A89),$AS$5:$AS$302)),IF(LEFT($AI89,2)="S|",IF($AG89="","",INDEX($AS$5:$AS$302,$AH89)),IF($AI89="HDR","Trans TY",""))))))</f>
        <v/>
      </c>
      <c r="Q89" s="40" t="str" cm="1">
        <f t="array" ref="Q89">IF($AI89="","",IF(LEFT($AI89,2)="C|",IF($C89="","",SUMPRODUCT($AP$5:$AP$302*($AO$5:$AO$302=$A89),$AU$5:$AU$302)),IF($AI89="CT",Q$13,IF(LEFT($AI89,3)="AM|",IF($C89="","",SUMPRODUCT($AP$5:$AP$302*($AN$5:$AN$302=$A89),$AU$5:$AU$302)),IF(LEFT($AI89,2)="S|",IF($AG89="","",INDEX($AU$5:$AU$302,$AH89)),IF($AI89="HDR","Trans LY",""))))))</f>
        <v/>
      </c>
      <c r="R89" s="41" t="str">
        <f t="shared" si="51"/>
        <v/>
      </c>
      <c r="S89" s="41" t="str">
        <f t="shared" si="52"/>
        <v/>
      </c>
      <c r="T89" s="42" t="str">
        <f t="shared" si="53"/>
        <v/>
      </c>
      <c r="U89" s="42" t="str">
        <f t="shared" si="54"/>
        <v/>
      </c>
      <c r="V89" s="41" t="str">
        <f t="shared" si="55"/>
        <v/>
      </c>
      <c r="W89" s="40" t="str" cm="1">
        <f t="array" ref="W89">IF($AI89="","",IF(LEFT($AI89,2)="C|",_xlfn.LET(_xlpm.n,SUMPRODUCT($AP$5:$AP$302*($AO$5:$AO$302=$A89),$BB$5:$BB$302),IF(_xlpm.n=0,"",_xlpm.n)),IF($AI89="CT",W$13,IF(LEFT($AI89,3)="AM|",_xlfn.LET(_xlpm.n,SUMPRODUCT($AP$5:$AP$302*($AN$5:$AN$302=$A89),$BB$5:$BB$302),IF(_xlpm.n=0,"",_xlpm.n)),IF(LEFT($AI89,2)="S|",IF($AG89="","",_xlfn.LET(_xlpm.n,INDEX($BB$5:$BB$302,$AH89),IF(_xlpm.n=0,"",_xlpm.n))),IF($AI89="HDR","Footfall",""))))))</f>
        <v/>
      </c>
      <c r="X89" s="40" t="str" cm="1">
        <f t="array" ref="X89">IF($AI89="","",IF($AI89="HDR","Trans (FF stores)",IF(W89="","",IF(LEFT($AI89,2)="C|",SUMPRODUCT($AP$5:$AP$302*($AO$5:$AO$302=$A89),$BC$5:$BC$302),IF($AI89="CT",X$13,IF(LEFT($AI89,3)="AM|",SUMPRODUCT($AP$5:$AP$302*($AN$5:$AN$302=$A89),$BC$5:$BC$302),IF(LEFT($AI89,2)="S|",INDEX($BC$5:$BC$302,$AH89),"")))))))</f>
        <v/>
      </c>
      <c r="Y89" s="41" t="str">
        <f t="shared" si="44"/>
        <v/>
      </c>
      <c r="Z89" s="40" t="str" cm="1">
        <f t="array" ref="Z89">IF($AI89="","",IF(LEFT($AI89,2)="C|",IF($C89="","",SUMPRODUCT($AP$5:$AP$302*($AO$5:$AO$302=$A89),$CB$5:$CB$302)),IF($AI89="CT",Z$13,IF(LEFT($AI89,3)="AM|",IF($C89="","",SUMPRODUCT($AP$5:$AP$302*($AN$5:$AN$302=$A89),$CB$5:$CB$302)),IF(LEFT($AI89,2)="S|",IF($AG89="","",INDEX($CB$5:$CB$302,$AH89)),IF($AI89="HDR","Makeup Sales",""))))))</f>
        <v/>
      </c>
      <c r="AA89" s="41" t="str">
        <f t="shared" si="56"/>
        <v/>
      </c>
      <c r="AB89" s="40" t="str" cm="1">
        <f t="array" ref="AB89">IF($AI89="","",IF(LEFT($AI89,2)="C|",IF($C89="","",SUMPRODUCT($AP$5:$AP$302*($AO$5:$AO$302=$A89),$CK$5:$CK$302)),IF($AI89="CT",AB$13,IF(LEFT($AI89,3)="AM|",IF($C89="","",SUMPRODUCT($AP$5:$AP$302*($AN$5:$AN$302=$A89),$CK$5:$CK$302)),IF(LEFT($AI89,2)="S|",IF($AG89="","",INDEX($CK$5:$CK$302,$AH89)),IF($AI89="HDR","Makeup Target",""))))))</f>
        <v/>
      </c>
      <c r="AC89" s="41" t="str">
        <f t="shared" si="45"/>
        <v/>
      </c>
      <c r="AD89" s="40" t="str" cm="1">
        <f t="array" ref="AD89">IF($AI89="","",IF(LEFT($AI89,2)="C|",IF($C89="","",SUMPRODUCT($AP$5:$AP$302*($AO$5:$AO$302=$A89),$CI$5:$CI$302)),IF($AI89="CT",AD$13,IF(LEFT($AI89,3)="AM|",IF($C89="","",SUMPRODUCT($AP$5:$AP$302*($AN$5:$AN$302=$A89),$CI$5:$CI$302)),IF(LEFT($AI89,2)="S|",IF($AG89="","",INDEX($CI$5:$CI$302,$AH89)),IF($AI89="HDR","Cosmetic Sales",""))))))</f>
        <v/>
      </c>
      <c r="AE89" s="8" t="str" cm="1">
        <f t="array" ref="AE89">IF($AI89="","",IF(LEFT($AI89,2)="C|",IF($C89="","",SUMPRODUCT($AP$5:$AP$302*($AO$5:$AO$302=$A89)*$AQ$5:$AQ$302,$AR$5:$AR$302)),IF($AI89="CT",AE$13,IF(LEFT($AI89,3)="AM|",IF($C89="","",SUMPRODUCT($AP$5:$AP$302*($AN$5:$AN$302=$A89)*$AQ$5:$AQ$302,$AR$5:$AR$302)),IF(LEFT($AI89,2)="S|",IF($AG89="","",IF(INDEX($AQ$5:$AQ$302,$AH89)=1,D89,0)),IF($AI89="HDR","LFL Sales",""))))))</f>
        <v/>
      </c>
      <c r="AF89" s="8" t="str" cm="1">
        <f t="array" ref="AF89">IF($AI89="","",IF(LEFT($AI89,2)="C|",IF($C89="","",SUMPRODUCT($AP$5:$AP$302*($AO$5:$AO$302=$A89)*$AQ$5:$AQ$302,$AS$5:$AS$302)),IF($AI89="CT",AF$13,IF(LEFT($AI89,3)="AM|",IF($C89="","",SUMPRODUCT($AP$5:$AP$302*($AN$5:$AN$302=$A89)*$AQ$5:$AQ$302,$AS$5:$AS$302)),IF(LEFT($AI89,2)="S|",IF($AG89="","",IF(INDEX($AQ$5:$AQ$302,$AH89)=1,P89,0)),IF($AI89="HDR","LFL Trans",""))))))</f>
        <v/>
      </c>
      <c r="AG89" s="8" t="str" cm="1">
        <f t="array" ref="AG89">IF($AI89="","",IF(LEFT($AI89,2)="C|","",IF($AI89="CT","",IF(LEFT($AI89,3)="AM|","",IF(LEFT($AI89,2)="S|",IF($AH89="","",IF(INDEX($AP$5:$AP$302,$AH89)=1,1,"")),IF($AI89="HDR","Show",""))))))</f>
        <v/>
      </c>
      <c r="AH89" s="8" t="str">
        <f t="shared" si="57"/>
        <v/>
      </c>
      <c r="AI89" s="8"/>
      <c r="AN89" s="8" t="str" cm="1">
        <f t="array" ref="AN89">IF($AW89="","",_xlfn.LET(_xlpm.sa,IFERROR(TRIM(INDEX('Sales and count'!$D$4:$D$300,$BF89)&amp;""),""),_xlpm.ta,IFERROR(TRIM(INDEX('TY Sales Target'!$F$5:$F$300,$BG89)&amp;""),""),IF(AND(_xlpm.sa&lt;&gt;"",LEFT(_xlpm.sa,1)&lt;&gt;"#",_xlpm.sa&lt;&gt;"0"),_xlpm.sa,IF(AND(_xlpm.ta&lt;&gt;"",LEFT(_xlpm.ta,1)&lt;&gt;"#",_xlpm.ta&lt;&gt;"0"),_xlpm.ta,IF(ISNUMBER($BG89),"Unassigned","")))))</f>
        <v>Mohammed Sanad</v>
      </c>
      <c r="AO89" s="8" t="str" cm="1">
        <f t="array" ref="AO89">IF($AW89="","",_xlfn.LET(_xlpm.sa,IFERROR(TRIM(INDEX('Sales and count'!$C$4:$C$300,$BF89)&amp;""),""),_xlpm.ta,IFERROR(TRIM(INDEX('TY Sales Target'!$D$5:$D$300,$BG89)&amp;""),""),IF(AND(_xlpm.sa&lt;&gt;"",LEFT(_xlpm.sa,1)&lt;&gt;"#",_xlpm.sa&lt;&gt;"0"),_xlpm.sa,IF(AND(_xlpm.ta&lt;&gt;"",LEFT(_xlpm.ta,1)&lt;&gt;"#",_xlpm.ta&lt;&gt;"0"),_xlpm.ta,""))))</f>
        <v>Hail</v>
      </c>
      <c r="AP89" s="8">
        <f t="shared" si="60"/>
        <v>0</v>
      </c>
      <c r="AQ89" s="8">
        <f t="shared" si="61"/>
        <v>0</v>
      </c>
      <c r="AR89" s="8" cm="1">
        <f t="array" ref="AR89">IF($BF89="",0,_xlfn.LET(_xlpm.d,IFERROR(--'Sales and count'!$G$2:$CC$2,0),SUMPRODUCT(('Sales and count'!$G$3:$CC$3="Total")*(_xlpm.d&gt;=$U$4)*(_xlpm.d&lt;=$U$5),INDEX('Sales and count'!$G$4:$CC$300,$BF89,0))))</f>
        <v>52443.569999999992</v>
      </c>
      <c r="AS89" s="8" cm="1">
        <f t="array" aca="1" ref="AS89" ca="1">IF($BF89="",0,_xlfn.LET(_xlpm.d,IFERROR(--'Sales and count'!$F$2:$CB$2,0),SUMPRODUCT(('Sales and count'!$G$3:$CC$3="Transactions")*(_xlpm.d&gt;=$U$4)*(_xlpm.d&lt;=$U$5),INDEX('Sales and count'!$G$4:$CC$300,$BF89,0))))</f>
        <v>309</v>
      </c>
      <c r="AT89" s="8" cm="1">
        <f t="array" ref="AT89">IF($AW89="",0,SUMPRODUCT((TRIM('LY Sales '!$B$5:$B$200)=$AW89)*('LY Sales '!$C$2:$AG$2&gt;=EDATE($U$4,-12))*('LY Sales '!$C$2:$AG$2&lt;=EDATE($U$5,-12)),'LY Sales '!$C$5:$AG$200))</f>
        <v>0</v>
      </c>
      <c r="AU89" s="8" cm="1">
        <f t="array" ref="AU89">IF($AW89="",0,SUMPRODUCT((TRIM('LY Transaction'!$B$5:$B$200)=$AW89)*('LY Transaction'!$C$2:$AG$2&gt;=EDATE($U$4,-12))*('LY Transaction'!$C$2:$AG$2&lt;=EDATE($U$5,-12)),'LY Transaction'!$C$5:$AG$200))</f>
        <v>0</v>
      </c>
      <c r="AV89" s="8" cm="1">
        <f t="array" ref="AV89">IF(NOT(ISNUMBER($BG89)),0,SUMPRODUCT(('TY Sales Target'!$K$2:$AO$2&gt;=$U$4)*('TY Sales Target'!$K$2:$AO$2&lt;=$U$5),INDEX('TY Sales Target'!$K$5:$AO$300,$BG89,0)))</f>
        <v>94239.520749774761</v>
      </c>
      <c r="AW89" s="8" t="str" cm="1">
        <f t="array" ref="AW89">IFERROR(INDEX(_xlfn.ANCHORARRAY($BR$5),ROWS($AW$5:AW89)),"")</f>
        <v>HASOUQBRZ</v>
      </c>
      <c r="BB89" cm="1">
        <f t="array" ref="BB89">IF($AW89="",0,SUMPRODUCT((TRIM(Footfall!$B$5:$B$301)=$AW89)*(Footfall!$C$1:$BZ$1&gt;=$U$4)*(Footfall!$C$2:$BZ$2&lt;=$U$5)*(Footfall!$C$1:$BZ$1&lt;&gt;""),Footfall!$C$5:$BZ$301))</f>
        <v>0</v>
      </c>
      <c r="BC89" cm="1">
        <f t="array" ref="BC89">IF(OR($BB89&lt;=0,$BD$1="",$BF89=""),0,_xlfn.LET(_xlpm.d,IFERROR(--'Sales and count'!$F$2:$CB$2,0),SUMPRODUCT(('Sales and count'!$G$3:$CC$3="Transactions")*(_xlpm.d&gt;=$BD$1)*(_xlpm.d&lt;=$BD$2),INDEX('Sales and count'!$G$4:$CC$300,$BF89,0))))</f>
        <v>0</v>
      </c>
      <c r="BF89" cm="1">
        <f t="array" ref="BF89">IF($AW89="","",IFERROR(MATCH($AW89,TRIM('Sales and count'!$A$4:$A$300&amp;""),0),""))</f>
        <v>85</v>
      </c>
      <c r="BG89" cm="1">
        <f t="array" ref="BG89">IF($AW89="","",IFERROR(MATCH(IFERROR(_xlfn.XLOOKUP($AW89,$BT$5:$BT$22,$BU$5:$BU$22),$AW89),TRIM('TY Sales Target'!$B$5:$B$300&amp;""),0),""))</f>
        <v>102</v>
      </c>
      <c r="BH89" t="str" cm="1">
        <f t="array" ref="BH89">IF(ISNUMBER($BG89),_xlfn.LET(_xlpm.p,TRIM(INDEX('TY Sales Target'!$I$5:$I$300,$BG89)&amp;""),IF(_xlpm.p="","Not set",_xlpm.p)),"Not set")</f>
        <v>Smart Watch</v>
      </c>
      <c r="BI89" cm="1">
        <f t="array" ref="BI89">IF($BF89="",0,_xlfn.LET(_xlpm.d,IFERROR(--'Sales and count'!$G$2:$CC$2,0),SUMPRODUCT(('Sales and count'!$G$3:$CC$3="Total")*(_xlpm.d&gt;=$BZ$5)*(_xlpm.d&lt;=$BZ$6),INDEX('Sales and count'!$G$4:$CC$300,$BF89,0))))</f>
        <v>52443.569999999992</v>
      </c>
      <c r="BJ89" cm="1">
        <f t="array" ref="BJ89">IF($AW89="",0,SUMPRODUCT((TRIM('LY Sales '!$B$5:$B$200)=$AW89)*('LY Sales '!$C$2:$AG$2&gt;=EDATE($BZ$5,-12))*('LY Sales '!$C$2:$AG$2&lt;=EDATE($BZ$6,-12)),'LY Sales '!$C$5:$AG$200))</f>
        <v>0</v>
      </c>
      <c r="BK89" cm="1">
        <f t="array" ref="BK89">IF($AW89="",0,SUMPRODUCT((TRIM('LY Sales '!$B$5:$B$200)=$AW89)*('LY Sales '!$C$2:$AG$2&gt;=EDATE($BZ$5,-12))*('LY Sales '!$C$2:$AG$2&lt;=EDATE($BZ$7,-12)),'LY Sales '!$C$5:$AG$200))</f>
        <v>0</v>
      </c>
      <c r="BL89" cm="1">
        <f t="array" ref="BL89">IF($AW89="",0,SUMPRODUCT((TRIM('LY Sales '!$B$5:$B$200)=$AW89)*('LY Sales '!$C$2:$AG$2&gt;=EDATE($BZ$5,-12))*('LY Sales '!$C$2:$AG$2&lt;=EDATE($BZ$6,-12))*('LY Sales '!$C$5:$AG$200&gt;0)))</f>
        <v>0</v>
      </c>
      <c r="BM89" cm="1">
        <f t="array" ref="BM89">IF(NOT(ISNUMBER($BG89)),0,SUMPRODUCT(('TY Sales Target'!$K$2:$AO$2&gt;=$BZ$5)*('TY Sales Target'!$K$2:$AO$2&lt;=$BZ$6),INDEX('TY Sales Target'!$K$5:$AO$300,$BG89,0)))</f>
        <v>94239.520749774761</v>
      </c>
      <c r="BN89" cm="1">
        <f t="array" ref="BN89">IF(NOT(ISNUMBER($BG89)),0,SUMPRODUCT(('TY Sales Target'!$K$2:$AO$2&gt;=$BZ$5)*('TY Sales Target'!$K$2:$AO$2&lt;=$BZ$7),INDEX('TY Sales Target'!$K$5:$AO$300,$BG89,0)))</f>
        <v>123000.00000000001</v>
      </c>
      <c r="BO89" cm="1">
        <f t="array" ref="BO89">IF($AW89="",0,IFERROR(_xlfn.SWITCH($BP89,"LY trend",$BI89*$BK89/$BJ89,"Target curve",$BI89*$BN89/$BM89,"Run rate",$BI89/$BZ$8*$BZ$9,0),0))</f>
        <v>68448.555963347433</v>
      </c>
      <c r="BP89" t="str">
        <f t="shared" si="59"/>
        <v>Target curve</v>
      </c>
      <c r="BR89" t="str">
        <v>HASOUQBRZ</v>
      </c>
      <c r="CB89" cm="1">
        <f t="array" ref="CB89">IF($AW89="",0,_xlfn.LET(_xlpm.k,IFERROR(_xlfn.XLOOKUP($AW89,$CD$6:$CD$21,$CE$6:$CE$21),$AW89),SUMPRODUCT((TRIM('Makeup '!$A$2:$A$300&amp;"")=_xlpm.k)*1,IFERROR('Makeup '!$F$2:$F$300*1,0))))</f>
        <v>4025.49</v>
      </c>
      <c r="CF89" t="str" cm="1">
        <f t="array" ref="CF89">IF($AW89="","",_xlfn.LET(_xlpm.c,IFERROR(TRIM(INDEX('Sales and count'!$B$4:$B$300,$BF89)&amp;""),""),IF(OR(_xlpm.c="",_xlpm.c="0",LEFT(_xlpm.c,1)="#"),"Not set",_xlpm.c)))</f>
        <v>KSA</v>
      </c>
      <c r="CH89" cm="1">
        <f t="array" ref="CH89">IF($AW89="",0,_xlfn.LET(_xlpm.k,IFERROR(_xlfn.XLOOKUP($AW89,$CD$6:$CD$21,$CE$6:$CE$21),$AW89),--(SUMPRODUCT((TRIM('Makeup '!$A$2:$A$300&amp;"")=_xlpm.k)*ISNUMBER('Makeup '!$F$2:$F$300))&gt;0)))</f>
        <v>1</v>
      </c>
      <c r="CI89">
        <f t="shared" si="62"/>
        <v>52443.569999999992</v>
      </c>
      <c r="CJ89" cm="1">
        <f t="array" ref="CJ89">IF($AW89="",0,--(SUMPRODUCT(--(TRIM(Footfall!$B$5:$B$301)=$AW89))&gt;0))</f>
        <v>0</v>
      </c>
      <c r="CK89" s="8" cm="1">
        <f t="array" ref="CK89">IF($AW89="",0,_xlfn.LET(_xlpm.r,IFERROR(MATCH(IFERROR(_xlfn.XLOOKUP($AW89,$BT$5:$BT$22,$BU$5:$BU$22),$AW89),TRIM('TY Beauty Target'!$B$5:$B$300&amp;""),0),""),IF(ISNUMBER(_xlpm.r),SUMPRODUCT(('TY Beauty Target'!$L$2:$AP$2&gt;=$U$4)*('TY Beauty Target'!$L$2:$AP$2&lt;=$U$5),INDEX('TY Beauty Target'!$L$5:$AP$300,_xlpm.r,0)),0)))</f>
        <v>8790.6291061967931</v>
      </c>
    </row>
    <row r="90" spans="1:89" ht="15" customHeight="1" x14ac:dyDescent="0.25">
      <c r="A90" s="38" t="str">
        <f t="shared" si="58"/>
        <v/>
      </c>
      <c r="B90" s="43" t="str" cm="1">
        <f t="array" ref="B90">IF($AI90="","",IF(LEFT($AI90,2)="C|",IF($C90="","",_xlfn.TEXTJOIN(", ",TRUE,_xlfn.UNIQUE(_xlfn._xlws.FILTER($AN$5:$AN$302,($AP$5:$AP$302=1)*($AO$5:$AO$302=$A90))))),IF($AI90="CT",B$13,IF(LEFT($AI90,3)="AM|",IF($C90="","",ROWS(_xlfn.UNIQUE(_xlfn._xlws.FILTER($AO$5:$AO$302,($AP$5:$AP$302=1)*($AN$5:$AN$302=$A90))))),IF(LEFT($AI90,2)="S|",IF($AG90="","",INDEX($AO$5:$AO$302,$AH90)),IF($AI90="HDR","City",""))))))</f>
        <v/>
      </c>
      <c r="C90" s="39" t="str" cm="1">
        <f t="array" ref="C90">IF($AI90="","",IF(LEFT($AI90,2)="C|",_xlfn.LET(_xlpm.n,SUMPRODUCT($AP$5:$AP$302*($AO$5:$AO$302=$A90)),IF(_xlpm.n=0,"",_xlpm.n)),IF($AI90="CT",C$13,IF(LEFT($AI90,3)="AM|",_xlfn.LET(_xlpm.n,SUMPRODUCT($AP$5:$AP$302*($AN$5:$AN$302=$A90)),IF(_xlpm.n=0,"",_xlpm.n)),IF(LEFT($AI90,2)="S|","",IF($AI90="HDR","# Stores",""))))))</f>
        <v/>
      </c>
      <c r="D90" s="40" t="str" cm="1">
        <f t="array" ref="D90">IF($AI90="","",IF(LEFT($AI90,2)="C|",IF($C90="","",SUMPRODUCT($AP$5:$AP$302*($AO$5:$AO$302=$A90),$AR$5:$AR$302)),IF($AI90="CT",D$13,IF(LEFT($AI90,3)="AM|",IF($C90="","",SUMPRODUCT($AP$5:$AP$302*($AN$5:$AN$302=$A90),$AR$5:$AR$302)),IF(LEFT($AI90,2)="S|",IF($AG90="","",INDEX($AR$5:$AR$302,$AH90)),IF($AI90="HDR","Sales TY",""))))))</f>
        <v/>
      </c>
      <c r="E90" s="40" t="str" cm="1">
        <f t="array" ref="E90">IF($AI90="","",IF(LEFT($AI90,2)="C|",IF($C90="","",SUMPRODUCT($AP$5:$AP$302*($AO$5:$AO$302=$A90),$AT$5:$AT$302)),IF($AI90="CT",E$13,IF(LEFT($AI90,3)="AM|",IF($C90="","",SUMPRODUCT($AP$5:$AP$302*($AN$5:$AN$302=$A90),$AT$5:$AT$302)),IF(LEFT($AI90,2)="S|",IF($AG90="","",INDEX($AT$5:$AT$302,$AH90)),IF($AI90="HDR","Sales LY",""))))))</f>
        <v/>
      </c>
      <c r="F90" s="41" t="str">
        <f t="shared" si="46"/>
        <v/>
      </c>
      <c r="G90" s="41" t="str">
        <f t="shared" si="47"/>
        <v/>
      </c>
      <c r="H90" s="40" t="str" cm="1">
        <f t="array" ref="H90">IF($AI90="","",IF(LEFT($AI90,2)="C|",IF($C90="","",SUMPRODUCT($AP$5:$AP$302*($AO$5:$AO$302=$A90),$AV$5:$AV$302)),IF($AI90="CT",H$13,IF(LEFT($AI90,3)="AM|",IF($C90="","",SUMPRODUCT($AP$5:$AP$302*($AN$5:$AN$302=$A90),$AV$5:$AV$302)),IF(LEFT($AI90,2)="S|",IF($AG90="","",INDEX($AV$5:$AV$302,$AH90)),IF($AI90="HDR","Target",""))))))</f>
        <v/>
      </c>
      <c r="I90" s="41" t="str">
        <f t="shared" si="48"/>
        <v/>
      </c>
      <c r="J90" s="40" t="str">
        <f t="shared" si="49"/>
        <v/>
      </c>
      <c r="K90" s="41" t="str">
        <f t="shared" si="50"/>
        <v/>
      </c>
      <c r="L90" s="40" t="str" cm="1">
        <f t="array" ref="L90">IF($AI90="","",IF(LEFT($AI90,2)="C|",IF($C90="","",SUMPRODUCT($AP$5:$AP$302*($AO$5:$AO$302=$A90),$BN$5:$BN$302)),IF($AI90="CT",L$13,IF(LEFT($AI90,3)="AM|",IF($C90="","",SUMPRODUCT($AP$5:$AP$302*($AN$5:$AN$302=$A90),$BN$5:$BN$302)),IF(LEFT($AI90,2)="S|",IF($AG90="","",INDEX($BN$5:$BN$302,$AH90)),IF($AI90="HDR","Month Target",""))))))</f>
        <v/>
      </c>
      <c r="M90" s="40" t="str" cm="1">
        <f t="array" ref="M90">IF($AI90="","",IF(LEFT($AI90,2)="C|",IF($C90="","",SUMPRODUCT($AP$5:$AP$302*($AO$5:$AO$302=$A90),$BO$5:$BO$302)),IF($AI90="CT",M$13,IF(LEFT($AI90,3)="AM|",IF($C90="","",SUMPRODUCT($AP$5:$AP$302*($AN$5:$AN$302=$A90),$BO$5:$BO$302)),IF(LEFT($AI90,2)="S|",IF($AG90="","",INDEX($BO$5:$BO$302,$AH90)),IF($AI90="HDR","Projected Close",""))))))</f>
        <v/>
      </c>
      <c r="N90" s="41" t="str">
        <f t="shared" si="43"/>
        <v/>
      </c>
      <c r="O90" s="41" t="str" cm="1">
        <f t="array" ref="O90">IF($AI90="HDR","Proj. vs LY",IF(OR($AI90="",M90=""),"",_xlfn.LET(_xlpm.ly,IF(LEFT($AI90,2)="C|",SUMPRODUCT($AP$5:$AP$302*($AO$5:$AO$302=$A90),$BK$5:$BK$302),IF($AI90="CT",SUMPRODUCT($AP$5:$AP$302,$BK$5:$BK$302),IF(LEFT($AI90,3)="AM|",SUMPRODUCT($AP$5:$AP$302*($AN$5:$AN$302=$A90),$BK$5:$BK$302),IF(LEFT($AI90,2)="S|",INDEX($BK$5:$BK$302,$AH90),0)))),IFERROR(M90/_xlpm.ly-1,""))))</f>
        <v/>
      </c>
      <c r="P90" s="40" t="str" cm="1">
        <f t="array" ref="P90">IF($AI90="","",IF(LEFT($AI90,2)="C|",IF($C90="","",SUMPRODUCT($AP$5:$AP$302*($AO$5:$AO$302=$A90),$AS$5:$AS$302)),IF($AI90="CT",P$13,IF(LEFT($AI90,3)="AM|",IF($C90="","",SUMPRODUCT($AP$5:$AP$302*($AN$5:$AN$302=$A90),$AS$5:$AS$302)),IF(LEFT($AI90,2)="S|",IF($AG90="","",INDEX($AS$5:$AS$302,$AH90)),IF($AI90="HDR","Trans TY",""))))))</f>
        <v/>
      </c>
      <c r="Q90" s="40" t="str" cm="1">
        <f t="array" ref="Q90">IF($AI90="","",IF(LEFT($AI90,2)="C|",IF($C90="","",SUMPRODUCT($AP$5:$AP$302*($AO$5:$AO$302=$A90),$AU$5:$AU$302)),IF($AI90="CT",Q$13,IF(LEFT($AI90,3)="AM|",IF($C90="","",SUMPRODUCT($AP$5:$AP$302*($AN$5:$AN$302=$A90),$AU$5:$AU$302)),IF(LEFT($AI90,2)="S|",IF($AG90="","",INDEX($AU$5:$AU$302,$AH90)),IF($AI90="HDR","Trans LY",""))))))</f>
        <v/>
      </c>
      <c r="R90" s="41" t="str">
        <f t="shared" si="51"/>
        <v/>
      </c>
      <c r="S90" s="41" t="str">
        <f t="shared" si="52"/>
        <v/>
      </c>
      <c r="T90" s="42" t="str">
        <f t="shared" si="53"/>
        <v/>
      </c>
      <c r="U90" s="42" t="str">
        <f t="shared" si="54"/>
        <v/>
      </c>
      <c r="V90" s="41" t="str">
        <f t="shared" si="55"/>
        <v/>
      </c>
      <c r="W90" s="40" t="str" cm="1">
        <f t="array" ref="W90">IF($AI90="","",IF(LEFT($AI90,2)="C|",_xlfn.LET(_xlpm.n,SUMPRODUCT($AP$5:$AP$302*($AO$5:$AO$302=$A90),$BB$5:$BB$302),IF(_xlpm.n=0,"",_xlpm.n)),IF($AI90="CT",W$13,IF(LEFT($AI90,3)="AM|",_xlfn.LET(_xlpm.n,SUMPRODUCT($AP$5:$AP$302*($AN$5:$AN$302=$A90),$BB$5:$BB$302),IF(_xlpm.n=0,"",_xlpm.n)),IF(LEFT($AI90,2)="S|",IF($AG90="","",_xlfn.LET(_xlpm.n,INDEX($BB$5:$BB$302,$AH90),IF(_xlpm.n=0,"",_xlpm.n))),IF($AI90="HDR","Footfall",""))))))</f>
        <v/>
      </c>
      <c r="X90" s="40" t="str" cm="1">
        <f t="array" ref="X90">IF($AI90="","",IF($AI90="HDR","Trans (FF stores)",IF(W90="","",IF(LEFT($AI90,2)="C|",SUMPRODUCT($AP$5:$AP$302*($AO$5:$AO$302=$A90),$BC$5:$BC$302),IF($AI90="CT",X$13,IF(LEFT($AI90,3)="AM|",SUMPRODUCT($AP$5:$AP$302*($AN$5:$AN$302=$A90),$BC$5:$BC$302),IF(LEFT($AI90,2)="S|",INDEX($BC$5:$BC$302,$AH90),"")))))))</f>
        <v/>
      </c>
      <c r="Y90" s="41" t="str">
        <f t="shared" si="44"/>
        <v/>
      </c>
      <c r="Z90" s="40" t="str" cm="1">
        <f t="array" ref="Z90">IF($AI90="","",IF(LEFT($AI90,2)="C|",IF($C90="","",SUMPRODUCT($AP$5:$AP$302*($AO$5:$AO$302=$A90),$CB$5:$CB$302)),IF($AI90="CT",Z$13,IF(LEFT($AI90,3)="AM|",IF($C90="","",SUMPRODUCT($AP$5:$AP$302*($AN$5:$AN$302=$A90),$CB$5:$CB$302)),IF(LEFT($AI90,2)="S|",IF($AG90="","",INDEX($CB$5:$CB$302,$AH90)),IF($AI90="HDR","Makeup Sales",""))))))</f>
        <v/>
      </c>
      <c r="AA90" s="41" t="str">
        <f t="shared" si="56"/>
        <v/>
      </c>
      <c r="AB90" s="40" t="str" cm="1">
        <f t="array" ref="AB90">IF($AI90="","",IF(LEFT($AI90,2)="C|",IF($C90="","",SUMPRODUCT($AP$5:$AP$302*($AO$5:$AO$302=$A90),$CK$5:$CK$302)),IF($AI90="CT",AB$13,IF(LEFT($AI90,3)="AM|",IF($C90="","",SUMPRODUCT($AP$5:$AP$302*($AN$5:$AN$302=$A90),$CK$5:$CK$302)),IF(LEFT($AI90,2)="S|",IF($AG90="","",INDEX($CK$5:$CK$302,$AH90)),IF($AI90="HDR","Makeup Target",""))))))</f>
        <v/>
      </c>
      <c r="AC90" s="41" t="str">
        <f t="shared" si="45"/>
        <v/>
      </c>
      <c r="AD90" s="40" t="str" cm="1">
        <f t="array" ref="AD90">IF($AI90="","",IF(LEFT($AI90,2)="C|",IF($C90="","",SUMPRODUCT($AP$5:$AP$302*($AO$5:$AO$302=$A90),$CI$5:$CI$302)),IF($AI90="CT",AD$13,IF(LEFT($AI90,3)="AM|",IF($C90="","",SUMPRODUCT($AP$5:$AP$302*($AN$5:$AN$302=$A90),$CI$5:$CI$302)),IF(LEFT($AI90,2)="S|",IF($AG90="","",INDEX($CI$5:$CI$302,$AH90)),IF($AI90="HDR","Cosmetic Sales",""))))))</f>
        <v/>
      </c>
      <c r="AE90" s="8" t="str" cm="1">
        <f t="array" ref="AE90">IF($AI90="","",IF(LEFT($AI90,2)="C|",IF($C90="","",SUMPRODUCT($AP$5:$AP$302*($AO$5:$AO$302=$A90)*$AQ$5:$AQ$302,$AR$5:$AR$302)),IF($AI90="CT",AE$13,IF(LEFT($AI90,3)="AM|",IF($C90="","",SUMPRODUCT($AP$5:$AP$302*($AN$5:$AN$302=$A90)*$AQ$5:$AQ$302,$AR$5:$AR$302)),IF(LEFT($AI90,2)="S|",IF($AG90="","",IF(INDEX($AQ$5:$AQ$302,$AH90)=1,D90,0)),IF($AI90="HDR","LFL Sales",""))))))</f>
        <v/>
      </c>
      <c r="AF90" s="8" t="str" cm="1">
        <f t="array" ref="AF90">IF($AI90="","",IF(LEFT($AI90,2)="C|",IF($C90="","",SUMPRODUCT($AP$5:$AP$302*($AO$5:$AO$302=$A90)*$AQ$5:$AQ$302,$AS$5:$AS$302)),IF($AI90="CT",AF$13,IF(LEFT($AI90,3)="AM|",IF($C90="","",SUMPRODUCT($AP$5:$AP$302*($AN$5:$AN$302=$A90)*$AQ$5:$AQ$302,$AS$5:$AS$302)),IF(LEFT($AI90,2)="S|",IF($AG90="","",IF(INDEX($AQ$5:$AQ$302,$AH90)=1,P90,0)),IF($AI90="HDR","LFL Trans",""))))))</f>
        <v/>
      </c>
      <c r="AG90" s="8" t="str" cm="1">
        <f t="array" ref="AG90">IF($AI90="","",IF(LEFT($AI90,2)="C|","",IF($AI90="CT","",IF(LEFT($AI90,3)="AM|","",IF(LEFT($AI90,2)="S|",IF($AH90="","",IF(INDEX($AP$5:$AP$302,$AH90)=1,1,"")),IF($AI90="HDR","Show",""))))))</f>
        <v/>
      </c>
      <c r="AH90" s="8" t="str">
        <f t="shared" si="57"/>
        <v/>
      </c>
      <c r="AI90" s="8"/>
      <c r="AN90" s="8" t="str" cm="1">
        <f t="array" ref="AN90">IF($AW90="","",_xlfn.LET(_xlpm.sa,IFERROR(TRIM(INDEX('Sales and count'!$D$4:$D$300,$BF90)&amp;""),""),_xlpm.ta,IFERROR(TRIM(INDEX('TY Sales Target'!$F$5:$F$300,$BG90)&amp;""),""),IF(AND(_xlpm.sa&lt;&gt;"",LEFT(_xlpm.sa,1)&lt;&gt;"#",_xlpm.sa&lt;&gt;"0"),_xlpm.sa,IF(AND(_xlpm.ta&lt;&gt;"",LEFT(_xlpm.ta,1)&lt;&gt;"#",_xlpm.ta&lt;&gt;"0"),_xlpm.ta,IF(ISNUMBER($BG90),"Unassigned","")))))</f>
        <v>Saleh Bin Hoiel</v>
      </c>
      <c r="AO90" s="8" t="str" cm="1">
        <f t="array" ref="AO90">IF($AW90="","",_xlfn.LET(_xlpm.sa,IFERROR(TRIM(INDEX('Sales and count'!$C$4:$C$300,$BF90)&amp;""),""),_xlpm.ta,IFERROR(TRIM(INDEX('TY Sales Target'!$D$5:$D$300,$BG90)&amp;""),""),IF(AND(_xlpm.sa&lt;&gt;"",LEFT(_xlpm.sa,1)&lt;&gt;"#",_xlpm.sa&lt;&gt;"0"),_xlpm.sa,IF(AND(_xlpm.ta&lt;&gt;"",LEFT(_xlpm.ta,1)&lt;&gt;"#",_xlpm.ta&lt;&gt;"0"),_xlpm.ta,""))))</f>
        <v>Taif</v>
      </c>
      <c r="AP90" s="8">
        <f t="shared" si="60"/>
        <v>1</v>
      </c>
      <c r="AQ90" s="8">
        <f t="shared" si="61"/>
        <v>1</v>
      </c>
      <c r="AR90" s="8" cm="1">
        <f t="array" ref="AR90">IF($BF90="",0,_xlfn.LET(_xlpm.d,IFERROR(--'Sales and count'!$G$2:$CC$2,0),SUMPRODUCT(('Sales and count'!$G$3:$CC$3="Total")*(_xlpm.d&gt;=$U$4)*(_xlpm.d&lt;=$U$5),INDEX('Sales and count'!$G$4:$CC$300,$BF90,0))))</f>
        <v>167097.34000000003</v>
      </c>
      <c r="AS90" s="8" cm="1">
        <f t="array" aca="1" ref="AS90" ca="1">IF($BF90="",0,_xlfn.LET(_xlpm.d,IFERROR(--'Sales and count'!$F$2:$CB$2,0),SUMPRODUCT(('Sales and count'!$G$3:$CC$3="Transactions")*(_xlpm.d&gt;=$U$4)*(_xlpm.d&lt;=$U$5),INDEX('Sales and count'!$G$4:$CC$300,$BF90,0))))</f>
        <v>1311</v>
      </c>
      <c r="AT90" s="8" cm="1">
        <f t="array" ref="AT90">IF($AW90="",0,SUMPRODUCT((TRIM('LY Sales '!$B$5:$B$200)=$AW90)*('LY Sales '!$C$2:$AG$2&gt;=EDATE($U$4,-12))*('LY Sales '!$C$2:$AG$2&lt;=EDATE($U$5,-12)),'LY Sales '!$C$5:$AG$200))</f>
        <v>222997.33999999994</v>
      </c>
      <c r="AU90" s="8" cm="1">
        <f t="array" ref="AU90">IF($AW90="",0,SUMPRODUCT((TRIM('LY Transaction'!$B$5:$B$200)=$AW90)*('LY Transaction'!$C$2:$AG$2&gt;=EDATE($U$4,-12))*('LY Transaction'!$C$2:$AG$2&lt;=EDATE($U$5,-12)),'LY Transaction'!$C$5:$AG$200))</f>
        <v>1829</v>
      </c>
      <c r="AV90" s="8" cm="1">
        <f t="array" ref="AV90">IF(NOT(ISNUMBER($BG90)),0,SUMPRODUCT(('TY Sales Target'!$K$2:$AO$2&gt;=$U$4)*('TY Sales Target'!$K$2:$AO$2&lt;=$U$5),INDEX('TY Sales Target'!$K$5:$AO$300,$BG90,0)))</f>
        <v>313240.32301489025</v>
      </c>
      <c r="AW90" s="8" t="str" cm="1">
        <f t="array" ref="AW90">IFERROR(INDEX(_xlfn.ANCHORARRAY($BR$5),ROWS($AW$5:AW90)),"")</f>
        <v>SHIHAR</v>
      </c>
      <c r="BB90" cm="1">
        <f t="array" ref="BB90">IF($AW90="",0,SUMPRODUCT((TRIM(Footfall!$B$5:$B$301)=$AW90)*(Footfall!$C$1:$BZ$1&gt;=$U$4)*(Footfall!$C$2:$BZ$2&lt;=$U$5)*(Footfall!$C$1:$BZ$1&lt;&gt;""),Footfall!$C$5:$BZ$301))</f>
        <v>5687</v>
      </c>
      <c r="BC90" cm="1">
        <f t="array" aca="1" ref="BC90" ca="1">IF(OR($BB90&lt;=0,$BD$1="",$BF90=""),0,_xlfn.LET(_xlpm.d,IFERROR(--'Sales and count'!$F$2:$CB$2,0),SUMPRODUCT(('Sales and count'!$G$3:$CC$3="Transactions")*(_xlpm.d&gt;=$BD$1)*(_xlpm.d&lt;=$BD$2),INDEX('Sales and count'!$G$4:$CC$300,$BF90,0))))</f>
        <v>1311</v>
      </c>
      <c r="BF90" cm="1">
        <f t="array" ref="BF90">IF($AW90="","",IFERROR(MATCH($AW90,TRIM('Sales and count'!$A$4:$A$300&amp;""),0),""))</f>
        <v>86</v>
      </c>
      <c r="BG90" cm="1">
        <f t="array" ref="BG90">IF($AW90="","",IFERROR(MATCH(IFERROR(_xlfn.XLOOKUP($AW90,$BT$5:$BT$22,$BU$5:$BU$22),$AW90),TRIM('TY Sales Target'!$B$5:$B$300&amp;""),0),""))</f>
        <v>15</v>
      </c>
      <c r="BH90" t="str" cm="1">
        <f t="array" ref="BH90">IF(ISNUMBER($BG90),_xlfn.LET(_xlpm.p,TRIM(INDEX('TY Sales Target'!$I$5:$I$300,$BG90)&amp;""),IF(_xlpm.p="","Not set",_xlpm.p)),"Not set")</f>
        <v>Car</v>
      </c>
      <c r="BI90" cm="1">
        <f t="array" ref="BI90">IF($BF90="",0,_xlfn.LET(_xlpm.d,IFERROR(--'Sales and count'!$G$2:$CC$2,0),SUMPRODUCT(('Sales and count'!$G$3:$CC$3="Total")*(_xlpm.d&gt;=$BZ$5)*(_xlpm.d&lt;=$BZ$6),INDEX('Sales and count'!$G$4:$CC$300,$BF90,0))))</f>
        <v>167097.34000000003</v>
      </c>
      <c r="BJ90" cm="1">
        <f t="array" ref="BJ90">IF($AW90="",0,SUMPRODUCT((TRIM('LY Sales '!$B$5:$B$200)=$AW90)*('LY Sales '!$C$2:$AG$2&gt;=EDATE($BZ$5,-12))*('LY Sales '!$C$2:$AG$2&lt;=EDATE($BZ$6,-12)),'LY Sales '!$C$5:$AG$200))</f>
        <v>222997.33999999994</v>
      </c>
      <c r="BK90" cm="1">
        <f t="array" ref="BK90">IF($AW90="",0,SUMPRODUCT((TRIM('LY Sales '!$B$5:$B$200)=$AW90)*('LY Sales '!$C$2:$AG$2&gt;=EDATE($BZ$5,-12))*('LY Sales '!$C$2:$AG$2&lt;=EDATE($BZ$7,-12)),'LY Sales '!$C$5:$AG$200))</f>
        <v>294381.32999999996</v>
      </c>
      <c r="BL90" cm="1">
        <f t="array" ref="BL90">IF($AW90="",0,SUMPRODUCT((TRIM('LY Sales '!$B$5:$B$200)=$AW90)*('LY Sales '!$C$2:$AG$2&gt;=EDATE($BZ$5,-12))*('LY Sales '!$C$2:$AG$2&lt;=EDATE($BZ$6,-12))*('LY Sales '!$C$5:$AG$200&gt;0)))</f>
        <v>26</v>
      </c>
      <c r="BM90" cm="1">
        <f t="array" ref="BM90">IF(NOT(ISNUMBER($BG90)),0,SUMPRODUCT(('TY Sales Target'!$K$2:$AO$2&gt;=$BZ$5)*('TY Sales Target'!$K$2:$AO$2&lt;=$BZ$6),INDEX('TY Sales Target'!$K$5:$AO$300,$BG90,0)))</f>
        <v>313240.32301489025</v>
      </c>
      <c r="BN90" cm="1">
        <f t="array" ref="BN90">IF(NOT(ISNUMBER($BG90)),0,SUMPRODUCT(('TY Sales Target'!$K$2:$AO$2&gt;=$BZ$5)*('TY Sales Target'!$K$2:$AO$2&lt;=$BZ$7),INDEX('TY Sales Target'!$K$5:$AO$300,$BG90,0)))</f>
        <v>408836.54144562903</v>
      </c>
      <c r="BO90" cm="1">
        <f t="array" ref="BO90">IF($AW90="",0,IFERROR(_xlfn.SWITCH($BP90,"LY trend",$BI90*$BK90/$BJ90,"Target curve",$BI90*$BN90/$BM90,"Run rate",$BI90/$BZ$8*$BZ$9,0),0))</f>
        <v>220587.10291639451</v>
      </c>
      <c r="BP90" t="str">
        <f t="shared" si="59"/>
        <v>LY trend</v>
      </c>
      <c r="BR90" t="str">
        <v>SHIHAR</v>
      </c>
      <c r="CB90" cm="1">
        <f t="array" ref="CB90">IF($AW90="",0,_xlfn.LET(_xlpm.k,IFERROR(_xlfn.XLOOKUP($AW90,$CD$6:$CD$21,$CE$6:$CE$21),$AW90),SUMPRODUCT((TRIM('Makeup '!$A$2:$A$300&amp;"")=_xlpm.k)*1,IFERROR('Makeup '!$F$2:$F$300*1,0))))</f>
        <v>6868.91</v>
      </c>
      <c r="CF90" t="str" cm="1">
        <f t="array" ref="CF90">IF($AW90="","",_xlfn.LET(_xlpm.c,IFERROR(TRIM(INDEX('Sales and count'!$B$4:$B$300,$BF90)&amp;""),""),IF(OR(_xlpm.c="",_xlpm.c="0",LEFT(_xlpm.c,1)="#"),"Not set",_xlpm.c)))</f>
        <v>KSA</v>
      </c>
      <c r="CH90" cm="1">
        <f t="array" ref="CH90">IF($AW90="",0,_xlfn.LET(_xlpm.k,IFERROR(_xlfn.XLOOKUP($AW90,$CD$6:$CD$21,$CE$6:$CE$21),$AW90),--(SUMPRODUCT((TRIM('Makeup '!$A$2:$A$300&amp;"")=_xlpm.k)*ISNUMBER('Makeup '!$F$2:$F$300))&gt;0)))</f>
        <v>1</v>
      </c>
      <c r="CI90">
        <f t="shared" si="62"/>
        <v>167097.34000000003</v>
      </c>
      <c r="CJ90" cm="1">
        <f t="array" ref="CJ90">IF($AW90="",0,--(SUMPRODUCT(--(TRIM(Footfall!$B$5:$B$301)=$AW90))&gt;0))</f>
        <v>1</v>
      </c>
      <c r="CK90" s="8" cm="1">
        <f t="array" ref="CK90">IF($AW90="",0,_xlfn.LET(_xlpm.r,IFERROR(MATCH(IFERROR(_xlfn.XLOOKUP($AW90,$BT$5:$BT$22,$BU$5:$BU$22),$AW90),TRIM('TY Beauty Target'!$B$5:$B$300&amp;""),0),""),IF(ISNUMBER(_xlpm.r),SUMPRODUCT(('TY Beauty Target'!$L$2:$AP$2&gt;=$U$4)*('TY Beauty Target'!$L$2:$AP$2&lt;=$U$5),INDEX('TY Beauty Target'!$L$5:$AP$300,_xlpm.r,0)),0)))</f>
        <v>9473.4857014908321</v>
      </c>
    </row>
    <row r="91" spans="1:89" ht="15" customHeight="1" x14ac:dyDescent="0.25">
      <c r="A91" s="38" t="str">
        <f t="shared" si="58"/>
        <v/>
      </c>
      <c r="B91" s="43" t="str" cm="1">
        <f t="array" ref="B91">IF($AI91="","",IF(LEFT($AI91,2)="C|",IF($C91="","",_xlfn.TEXTJOIN(", ",TRUE,_xlfn.UNIQUE(_xlfn._xlws.FILTER($AN$5:$AN$302,($AP$5:$AP$302=1)*($AO$5:$AO$302=$A91))))),IF($AI91="CT",B$13,IF(LEFT($AI91,3)="AM|",IF($C91="","",ROWS(_xlfn.UNIQUE(_xlfn._xlws.FILTER($AO$5:$AO$302,($AP$5:$AP$302=1)*($AN$5:$AN$302=$A91))))),IF(LEFT($AI91,2)="S|",IF($AG91="","",INDEX($AO$5:$AO$302,$AH91)),IF($AI91="HDR","City",""))))))</f>
        <v/>
      </c>
      <c r="C91" s="39" t="str" cm="1">
        <f t="array" ref="C91">IF($AI91="","",IF(LEFT($AI91,2)="C|",_xlfn.LET(_xlpm.n,SUMPRODUCT($AP$5:$AP$302*($AO$5:$AO$302=$A91)),IF(_xlpm.n=0,"",_xlpm.n)),IF($AI91="CT",C$13,IF(LEFT($AI91,3)="AM|",_xlfn.LET(_xlpm.n,SUMPRODUCT($AP$5:$AP$302*($AN$5:$AN$302=$A91)),IF(_xlpm.n=0,"",_xlpm.n)),IF(LEFT($AI91,2)="S|","",IF($AI91="HDR","# Stores",""))))))</f>
        <v/>
      </c>
      <c r="D91" s="40" t="str" cm="1">
        <f t="array" ref="D91">IF($AI91="","",IF(LEFT($AI91,2)="C|",IF($C91="","",SUMPRODUCT($AP$5:$AP$302*($AO$5:$AO$302=$A91),$AR$5:$AR$302)),IF($AI91="CT",D$13,IF(LEFT($AI91,3)="AM|",IF($C91="","",SUMPRODUCT($AP$5:$AP$302*($AN$5:$AN$302=$A91),$AR$5:$AR$302)),IF(LEFT($AI91,2)="S|",IF($AG91="","",INDEX($AR$5:$AR$302,$AH91)),IF($AI91="HDR","Sales TY",""))))))</f>
        <v/>
      </c>
      <c r="E91" s="40" t="str" cm="1">
        <f t="array" ref="E91">IF($AI91="","",IF(LEFT($AI91,2)="C|",IF($C91="","",SUMPRODUCT($AP$5:$AP$302*($AO$5:$AO$302=$A91),$AT$5:$AT$302)),IF($AI91="CT",E$13,IF(LEFT($AI91,3)="AM|",IF($C91="","",SUMPRODUCT($AP$5:$AP$302*($AN$5:$AN$302=$A91),$AT$5:$AT$302)),IF(LEFT($AI91,2)="S|",IF($AG91="","",INDEX($AT$5:$AT$302,$AH91)),IF($AI91="HDR","Sales LY",""))))))</f>
        <v/>
      </c>
      <c r="F91" s="41" t="str">
        <f t="shared" si="46"/>
        <v/>
      </c>
      <c r="G91" s="41" t="str">
        <f t="shared" si="47"/>
        <v/>
      </c>
      <c r="H91" s="40" t="str" cm="1">
        <f t="array" ref="H91">IF($AI91="","",IF(LEFT($AI91,2)="C|",IF($C91="","",SUMPRODUCT($AP$5:$AP$302*($AO$5:$AO$302=$A91),$AV$5:$AV$302)),IF($AI91="CT",H$13,IF(LEFT($AI91,3)="AM|",IF($C91="","",SUMPRODUCT($AP$5:$AP$302*($AN$5:$AN$302=$A91),$AV$5:$AV$302)),IF(LEFT($AI91,2)="S|",IF($AG91="","",INDEX($AV$5:$AV$302,$AH91)),IF($AI91="HDR","Target",""))))))</f>
        <v/>
      </c>
      <c r="I91" s="41" t="str">
        <f t="shared" si="48"/>
        <v/>
      </c>
      <c r="J91" s="40" t="str">
        <f t="shared" si="49"/>
        <v/>
      </c>
      <c r="K91" s="41" t="str">
        <f t="shared" si="50"/>
        <v/>
      </c>
      <c r="L91" s="40" t="str" cm="1">
        <f t="array" ref="L91">IF($AI91="","",IF(LEFT($AI91,2)="C|",IF($C91="","",SUMPRODUCT($AP$5:$AP$302*($AO$5:$AO$302=$A91),$BN$5:$BN$302)),IF($AI91="CT",L$13,IF(LEFT($AI91,3)="AM|",IF($C91="","",SUMPRODUCT($AP$5:$AP$302*($AN$5:$AN$302=$A91),$BN$5:$BN$302)),IF(LEFT($AI91,2)="S|",IF($AG91="","",INDEX($BN$5:$BN$302,$AH91)),IF($AI91="HDR","Month Target",""))))))</f>
        <v/>
      </c>
      <c r="M91" s="40" t="str" cm="1">
        <f t="array" ref="M91">IF($AI91="","",IF(LEFT($AI91,2)="C|",IF($C91="","",SUMPRODUCT($AP$5:$AP$302*($AO$5:$AO$302=$A91),$BO$5:$BO$302)),IF($AI91="CT",M$13,IF(LEFT($AI91,3)="AM|",IF($C91="","",SUMPRODUCT($AP$5:$AP$302*($AN$5:$AN$302=$A91),$BO$5:$BO$302)),IF(LEFT($AI91,2)="S|",IF($AG91="","",INDEX($BO$5:$BO$302,$AH91)),IF($AI91="HDR","Projected Close",""))))))</f>
        <v/>
      </c>
      <c r="N91" s="41" t="str">
        <f t="shared" si="43"/>
        <v/>
      </c>
      <c r="O91" s="41" t="str" cm="1">
        <f t="array" ref="O91">IF($AI91="HDR","Proj. vs LY",IF(OR($AI91="",M91=""),"",_xlfn.LET(_xlpm.ly,IF(LEFT($AI91,2)="C|",SUMPRODUCT($AP$5:$AP$302*($AO$5:$AO$302=$A91),$BK$5:$BK$302),IF($AI91="CT",SUMPRODUCT($AP$5:$AP$302,$BK$5:$BK$302),IF(LEFT($AI91,3)="AM|",SUMPRODUCT($AP$5:$AP$302*($AN$5:$AN$302=$A91),$BK$5:$BK$302),IF(LEFT($AI91,2)="S|",INDEX($BK$5:$BK$302,$AH91),0)))),IFERROR(M91/_xlpm.ly-1,""))))</f>
        <v/>
      </c>
      <c r="P91" s="40" t="str" cm="1">
        <f t="array" ref="P91">IF($AI91="","",IF(LEFT($AI91,2)="C|",IF($C91="","",SUMPRODUCT($AP$5:$AP$302*($AO$5:$AO$302=$A91),$AS$5:$AS$302)),IF($AI91="CT",P$13,IF(LEFT($AI91,3)="AM|",IF($C91="","",SUMPRODUCT($AP$5:$AP$302*($AN$5:$AN$302=$A91),$AS$5:$AS$302)),IF(LEFT($AI91,2)="S|",IF($AG91="","",INDEX($AS$5:$AS$302,$AH91)),IF($AI91="HDR","Trans TY",""))))))</f>
        <v/>
      </c>
      <c r="Q91" s="40" t="str" cm="1">
        <f t="array" ref="Q91">IF($AI91="","",IF(LEFT($AI91,2)="C|",IF($C91="","",SUMPRODUCT($AP$5:$AP$302*($AO$5:$AO$302=$A91),$AU$5:$AU$302)),IF($AI91="CT",Q$13,IF(LEFT($AI91,3)="AM|",IF($C91="","",SUMPRODUCT($AP$5:$AP$302*($AN$5:$AN$302=$A91),$AU$5:$AU$302)),IF(LEFT($AI91,2)="S|",IF($AG91="","",INDEX($AU$5:$AU$302,$AH91)),IF($AI91="HDR","Trans LY",""))))))</f>
        <v/>
      </c>
      <c r="R91" s="41" t="str">
        <f t="shared" si="51"/>
        <v/>
      </c>
      <c r="S91" s="41" t="str">
        <f t="shared" si="52"/>
        <v/>
      </c>
      <c r="T91" s="42" t="str">
        <f t="shared" si="53"/>
        <v/>
      </c>
      <c r="U91" s="42" t="str">
        <f t="shared" si="54"/>
        <v/>
      </c>
      <c r="V91" s="41" t="str">
        <f t="shared" si="55"/>
        <v/>
      </c>
      <c r="W91" s="40" t="str" cm="1">
        <f t="array" ref="W91">IF($AI91="","",IF(LEFT($AI91,2)="C|",_xlfn.LET(_xlpm.n,SUMPRODUCT($AP$5:$AP$302*($AO$5:$AO$302=$A91),$BB$5:$BB$302),IF(_xlpm.n=0,"",_xlpm.n)),IF($AI91="CT",W$13,IF(LEFT($AI91,3)="AM|",_xlfn.LET(_xlpm.n,SUMPRODUCT($AP$5:$AP$302*($AN$5:$AN$302=$A91),$BB$5:$BB$302),IF(_xlpm.n=0,"",_xlpm.n)),IF(LEFT($AI91,2)="S|",IF($AG91="","",_xlfn.LET(_xlpm.n,INDEX($BB$5:$BB$302,$AH91),IF(_xlpm.n=0,"",_xlpm.n))),IF($AI91="HDR","Footfall",""))))))</f>
        <v/>
      </c>
      <c r="X91" s="40" t="str" cm="1">
        <f t="array" ref="X91">IF($AI91="","",IF($AI91="HDR","Trans (FF stores)",IF(W91="","",IF(LEFT($AI91,2)="C|",SUMPRODUCT($AP$5:$AP$302*($AO$5:$AO$302=$A91),$BC$5:$BC$302),IF($AI91="CT",X$13,IF(LEFT($AI91,3)="AM|",SUMPRODUCT($AP$5:$AP$302*($AN$5:$AN$302=$A91),$BC$5:$BC$302),IF(LEFT($AI91,2)="S|",INDEX($BC$5:$BC$302,$AH91),"")))))))</f>
        <v/>
      </c>
      <c r="Y91" s="41" t="str">
        <f t="shared" si="44"/>
        <v/>
      </c>
      <c r="Z91" s="40" t="str" cm="1">
        <f t="array" ref="Z91">IF($AI91="","",IF(LEFT($AI91,2)="C|",IF($C91="","",SUMPRODUCT($AP$5:$AP$302*($AO$5:$AO$302=$A91),$CB$5:$CB$302)),IF($AI91="CT",Z$13,IF(LEFT($AI91,3)="AM|",IF($C91="","",SUMPRODUCT($AP$5:$AP$302*($AN$5:$AN$302=$A91),$CB$5:$CB$302)),IF(LEFT($AI91,2)="S|",IF($AG91="","",INDEX($CB$5:$CB$302,$AH91)),IF($AI91="HDR","Makeup Sales",""))))))</f>
        <v/>
      </c>
      <c r="AA91" s="41" t="str">
        <f t="shared" si="56"/>
        <v/>
      </c>
      <c r="AB91" s="40" t="str" cm="1">
        <f t="array" ref="AB91">IF($AI91="","",IF(LEFT($AI91,2)="C|",IF($C91="","",SUMPRODUCT($AP$5:$AP$302*($AO$5:$AO$302=$A91),$CK$5:$CK$302)),IF($AI91="CT",AB$13,IF(LEFT($AI91,3)="AM|",IF($C91="","",SUMPRODUCT($AP$5:$AP$302*($AN$5:$AN$302=$A91),$CK$5:$CK$302)),IF(LEFT($AI91,2)="S|",IF($AG91="","",INDEX($CK$5:$CK$302,$AH91)),IF($AI91="HDR","Makeup Target",""))))))</f>
        <v/>
      </c>
      <c r="AC91" s="41" t="str">
        <f t="shared" si="45"/>
        <v/>
      </c>
      <c r="AD91" s="40" t="str" cm="1">
        <f t="array" ref="AD91">IF($AI91="","",IF(LEFT($AI91,2)="C|",IF($C91="","",SUMPRODUCT($AP$5:$AP$302*($AO$5:$AO$302=$A91),$CI$5:$CI$302)),IF($AI91="CT",AD$13,IF(LEFT($AI91,3)="AM|",IF($C91="","",SUMPRODUCT($AP$5:$AP$302*($AN$5:$AN$302=$A91),$CI$5:$CI$302)),IF(LEFT($AI91,2)="S|",IF($AG91="","",INDEX($CI$5:$CI$302,$AH91)),IF($AI91="HDR","Cosmetic Sales",""))))))</f>
        <v/>
      </c>
      <c r="AE91" s="8" t="str" cm="1">
        <f t="array" ref="AE91">IF($AI91="","",IF(LEFT($AI91,2)="C|",IF($C91="","",SUMPRODUCT($AP$5:$AP$302*($AO$5:$AO$302=$A91)*$AQ$5:$AQ$302,$AR$5:$AR$302)),IF($AI91="CT",AE$13,IF(LEFT($AI91,3)="AM|",IF($C91="","",SUMPRODUCT($AP$5:$AP$302*($AN$5:$AN$302=$A91)*$AQ$5:$AQ$302,$AR$5:$AR$302)),IF(LEFT($AI91,2)="S|",IF($AG91="","",IF(INDEX($AQ$5:$AQ$302,$AH91)=1,D91,0)),IF($AI91="HDR","LFL Sales",""))))))</f>
        <v/>
      </c>
      <c r="AF91" s="8" t="str" cm="1">
        <f t="array" ref="AF91">IF($AI91="","",IF(LEFT($AI91,2)="C|",IF($C91="","",SUMPRODUCT($AP$5:$AP$302*($AO$5:$AO$302=$A91)*$AQ$5:$AQ$302,$AS$5:$AS$302)),IF($AI91="CT",AF$13,IF(LEFT($AI91,3)="AM|",IF($C91="","",SUMPRODUCT($AP$5:$AP$302*($AN$5:$AN$302=$A91)*$AQ$5:$AQ$302,$AS$5:$AS$302)),IF(LEFT($AI91,2)="S|",IF($AG91="","",IF(INDEX($AQ$5:$AQ$302,$AH91)=1,P91,0)),IF($AI91="HDR","LFL Trans",""))))))</f>
        <v/>
      </c>
      <c r="AG91" s="8" t="str" cm="1">
        <f t="array" ref="AG91">IF($AI91="","",IF(LEFT($AI91,2)="C|","",IF($AI91="CT","",IF(LEFT($AI91,3)="AM|","",IF(LEFT($AI91,2)="S|",IF($AH91="","",IF(INDEX($AP$5:$AP$302,$AH91)=1,1,"")),IF($AI91="HDR","Show",""))))))</f>
        <v/>
      </c>
      <c r="AH91" s="8" t="str">
        <f t="shared" si="57"/>
        <v/>
      </c>
      <c r="AI91" s="8"/>
      <c r="AN91" s="8" t="str" cm="1">
        <f t="array" ref="AN91">IF($AW91="","",_xlfn.LET(_xlpm.sa,IFERROR(TRIM(INDEX('Sales and count'!$D$4:$D$300,$BF91)&amp;""),""),_xlpm.ta,IFERROR(TRIM(INDEX('TY Sales Target'!$F$5:$F$300,$BG91)&amp;""),""),IF(AND(_xlpm.sa&lt;&gt;"",LEFT(_xlpm.sa,1)&lt;&gt;"#",_xlpm.sa&lt;&gt;"0"),_xlpm.sa,IF(AND(_xlpm.ta&lt;&gt;"",LEFT(_xlpm.ta,1)&lt;&gt;"#",_xlpm.ta&lt;&gt;"0"),_xlpm.ta,IF(ISNUMBER($BG91),"Unassigned","")))))</f>
        <v>Lina Al Ghathami</v>
      </c>
      <c r="AO91" s="8" t="str" cm="1">
        <f t="array" ref="AO91">IF($AW91="","",_xlfn.LET(_xlpm.sa,IFERROR(TRIM(INDEX('Sales and count'!$C$4:$C$300,$BF91)&amp;""),""),_xlpm.ta,IFERROR(TRIM(INDEX('TY Sales Target'!$D$5:$D$300,$BG91)&amp;""),""),IF(AND(_xlpm.sa&lt;&gt;"",LEFT(_xlpm.sa,1)&lt;&gt;"#",_xlpm.sa&lt;&gt;"0"),_xlpm.sa,IF(AND(_xlpm.ta&lt;&gt;"",LEFT(_xlpm.ta,1)&lt;&gt;"#",_xlpm.ta&lt;&gt;"0"),_xlpm.ta,""))))</f>
        <v>Riyadh</v>
      </c>
      <c r="AP91" s="8">
        <f t="shared" si="60"/>
        <v>0</v>
      </c>
      <c r="AQ91" s="8">
        <f t="shared" si="61"/>
        <v>1</v>
      </c>
      <c r="AR91" s="8" cm="1">
        <f t="array" ref="AR91">IF($BF91="",0,_xlfn.LET(_xlpm.d,IFERROR(--'Sales and count'!$G$2:$CC$2,0),SUMPRODUCT(('Sales and count'!$G$3:$CC$3="Total")*(_xlpm.d&gt;=$U$4)*(_xlpm.d&lt;=$U$5),INDEX('Sales and count'!$G$4:$CC$300,$BF91,0))))</f>
        <v>78997.900000000009</v>
      </c>
      <c r="AS91" s="8" cm="1">
        <f t="array" aca="1" ref="AS91" ca="1">IF($BF91="",0,_xlfn.LET(_xlpm.d,IFERROR(--'Sales and count'!$F$2:$CB$2,0),SUMPRODUCT(('Sales and count'!$G$3:$CC$3="Transactions")*(_xlpm.d&gt;=$U$4)*(_xlpm.d&lt;=$U$5),INDEX('Sales and count'!$G$4:$CC$300,$BF91,0))))</f>
        <v>635</v>
      </c>
      <c r="AT91" s="8" cm="1">
        <f t="array" ref="AT91">IF($AW91="",0,SUMPRODUCT((TRIM('LY Sales '!$B$5:$B$200)=$AW91)*('LY Sales '!$C$2:$AG$2&gt;=EDATE($U$4,-12))*('LY Sales '!$C$2:$AG$2&lt;=EDATE($U$5,-12)),'LY Sales '!$C$5:$AG$200))</f>
        <v>137141.60999999999</v>
      </c>
      <c r="AU91" s="8" cm="1">
        <f t="array" ref="AU91">IF($AW91="",0,SUMPRODUCT((TRIM('LY Transaction'!$B$5:$B$200)=$AW91)*('LY Transaction'!$C$2:$AG$2&gt;=EDATE($U$4,-12))*('LY Transaction'!$C$2:$AG$2&lt;=EDATE($U$5,-12)),'LY Transaction'!$C$5:$AG$200))</f>
        <v>1092</v>
      </c>
      <c r="AV91" s="8" cm="1">
        <f t="array" ref="AV91">IF(NOT(ISNUMBER($BG91)),0,SUMPRODUCT(('TY Sales Target'!$K$2:$AO$2&gt;=$U$4)*('TY Sales Target'!$K$2:$AO$2&lt;=$U$5),INDEX('TY Sales Target'!$K$5:$AO$300,$BG91,0)))</f>
        <v>154767.3430199553</v>
      </c>
      <c r="AW91" s="8" t="str" cm="1">
        <f t="array" ref="AW91">IFERROR(INDEX(_xlfn.ANCHORARRAY($BR$5),ROWS($AW$5:AW91)),"")</f>
        <v>HARYDGALL</v>
      </c>
      <c r="BB91" cm="1">
        <f t="array" ref="BB91">IF($AW91="",0,SUMPRODUCT((TRIM(Footfall!$B$5:$B$301)=$AW91)*(Footfall!$C$1:$BZ$1&gt;=$U$4)*(Footfall!$C$2:$BZ$2&lt;=$U$5)*(Footfall!$C$1:$BZ$1&lt;&gt;""),Footfall!$C$5:$BZ$301))</f>
        <v>0</v>
      </c>
      <c r="BC91" cm="1">
        <f t="array" ref="BC91">IF(OR($BB91&lt;=0,$BD$1="",$BF91=""),0,_xlfn.LET(_xlpm.d,IFERROR(--'Sales and count'!$F$2:$CB$2,0),SUMPRODUCT(('Sales and count'!$G$3:$CC$3="Transactions")*(_xlpm.d&gt;=$BD$1)*(_xlpm.d&lt;=$BD$2),INDEX('Sales and count'!$G$4:$CC$300,$BF91,0))))</f>
        <v>0</v>
      </c>
      <c r="BF91" cm="1">
        <f t="array" ref="BF91">IF($AW91="","",IFERROR(MATCH($AW91,TRIM('Sales and count'!$A$4:$A$300&amp;""),0),""))</f>
        <v>87</v>
      </c>
      <c r="BG91" cm="1">
        <f t="array" ref="BG91">IF($AW91="","",IFERROR(MATCH(IFERROR(_xlfn.XLOOKUP($AW91,$BT$5:$BT$22,$BU$5:$BU$22),$AW91),TRIM('TY Sales Target'!$B$5:$B$300&amp;""),0),""))</f>
        <v>67</v>
      </c>
      <c r="BH91" t="str" cm="1">
        <f t="array" ref="BH91">IF(ISNUMBER($BG91),_xlfn.LET(_xlpm.p,TRIM(INDEX('TY Sales Target'!$I$5:$I$300,$BG91)&amp;""),IF(_xlpm.p="","Not set",_xlpm.p)),"Not set")</f>
        <v>Smart Phone</v>
      </c>
      <c r="BI91" cm="1">
        <f t="array" ref="BI91">IF($BF91="",0,_xlfn.LET(_xlpm.d,IFERROR(--'Sales and count'!$G$2:$CC$2,0),SUMPRODUCT(('Sales and count'!$G$3:$CC$3="Total")*(_xlpm.d&gt;=$BZ$5)*(_xlpm.d&lt;=$BZ$6),INDEX('Sales and count'!$G$4:$CC$300,$BF91,0))))</f>
        <v>78997.900000000009</v>
      </c>
      <c r="BJ91" cm="1">
        <f t="array" ref="BJ91">IF($AW91="",0,SUMPRODUCT((TRIM('LY Sales '!$B$5:$B$200)=$AW91)*('LY Sales '!$C$2:$AG$2&gt;=EDATE($BZ$5,-12))*('LY Sales '!$C$2:$AG$2&lt;=EDATE($BZ$6,-12)),'LY Sales '!$C$5:$AG$200))</f>
        <v>137141.60999999999</v>
      </c>
      <c r="BK91" cm="1">
        <f t="array" ref="BK91">IF($AW91="",0,SUMPRODUCT((TRIM('LY Sales '!$B$5:$B$200)=$AW91)*('LY Sales '!$C$2:$AG$2&gt;=EDATE($BZ$5,-12))*('LY Sales '!$C$2:$AG$2&lt;=EDATE($BZ$7,-12)),'LY Sales '!$C$5:$AG$200))</f>
        <v>168432.15999999997</v>
      </c>
      <c r="BL91" cm="1">
        <f t="array" ref="BL91">IF($AW91="",0,SUMPRODUCT((TRIM('LY Sales '!$B$5:$B$200)=$AW91)*('LY Sales '!$C$2:$AG$2&gt;=EDATE($BZ$5,-12))*('LY Sales '!$C$2:$AG$2&lt;=EDATE($BZ$6,-12))*('LY Sales '!$C$5:$AG$200&gt;0)))</f>
        <v>26</v>
      </c>
      <c r="BM91" cm="1">
        <f t="array" ref="BM91">IF(NOT(ISNUMBER($BG91)),0,SUMPRODUCT(('TY Sales Target'!$K$2:$AO$2&gt;=$BZ$5)*('TY Sales Target'!$K$2:$AO$2&lt;=$BZ$6),INDEX('TY Sales Target'!$K$5:$AO$300,$BG91,0)))</f>
        <v>154767.3430199553</v>
      </c>
      <c r="BN91" cm="1">
        <f t="array" ref="BN91">IF(NOT(ISNUMBER($BG91)),0,SUMPRODUCT(('TY Sales Target'!$K$2:$AO$2&gt;=$BZ$5)*('TY Sales Target'!$K$2:$AO$2&lt;=$BZ$7),INDEX('TY Sales Target'!$K$5:$AO$300,$BG91,0)))</f>
        <v>202000.00000000006</v>
      </c>
      <c r="BO91" cm="1">
        <f t="array" ref="BO91">IF($AW91="",0,IFERROR(_xlfn.SWITCH($BP91,"LY trend",$BI91*$BK91/$BJ91,"Target curve",$BI91*$BN91/$BM91,"Run rate",$BI91/$BZ$8*$BZ$9,0),0))</f>
        <v>97022.245345260279</v>
      </c>
      <c r="BP91" t="str">
        <f t="shared" si="59"/>
        <v>LY trend</v>
      </c>
      <c r="BR91" t="str">
        <v>HARYDGALL</v>
      </c>
      <c r="CB91" cm="1">
        <f t="array" ref="CB91">IF($AW91="",0,_xlfn.LET(_xlpm.k,IFERROR(_xlfn.XLOOKUP($AW91,$CD$6:$CD$21,$CE$6:$CE$21),$AW91),SUMPRODUCT((TRIM('Makeup '!$A$2:$A$300&amp;"")=_xlpm.k)*1,IFERROR('Makeup '!$F$2:$F$300*1,0))))</f>
        <v>6235.99</v>
      </c>
      <c r="CF91" t="str" cm="1">
        <f t="array" ref="CF91">IF($AW91="","",_xlfn.LET(_xlpm.c,IFERROR(TRIM(INDEX('Sales and count'!$B$4:$B$300,$BF91)&amp;""),""),IF(OR(_xlpm.c="",_xlpm.c="0",LEFT(_xlpm.c,1)="#"),"Not set",_xlpm.c)))</f>
        <v>KSA</v>
      </c>
      <c r="CH91" cm="1">
        <f t="array" ref="CH91">IF($AW91="",0,_xlfn.LET(_xlpm.k,IFERROR(_xlfn.XLOOKUP($AW91,$CD$6:$CD$21,$CE$6:$CE$21),$AW91),--(SUMPRODUCT((TRIM('Makeup '!$A$2:$A$300&amp;"")=_xlpm.k)*ISNUMBER('Makeup '!$F$2:$F$300))&gt;0)))</f>
        <v>1</v>
      </c>
      <c r="CI91">
        <f t="shared" si="62"/>
        <v>78997.900000000009</v>
      </c>
      <c r="CJ91" cm="1">
        <f t="array" ref="CJ91">IF($AW91="",0,--(SUMPRODUCT(--(TRIM(Footfall!$B$5:$B$301)=$AW91))&gt;0))</f>
        <v>0</v>
      </c>
      <c r="CK91" s="8" cm="1">
        <f t="array" ref="CK91">IF($AW91="",0,_xlfn.LET(_xlpm.r,IFERROR(MATCH(IFERROR(_xlfn.XLOOKUP($AW91,$BT$5:$BT$22,$BU$5:$BU$22),$AW91),TRIM('TY Beauty Target'!$B$5:$B$300&amp;""),0),""),IF(ISNUMBER(_xlpm.r),SUMPRODUCT(('TY Beauty Target'!$L$2:$AP$2&gt;=$U$4)*('TY Beauty Target'!$L$2:$AP$2&lt;=$U$5),INDEX('TY Beauty Target'!$L$5:$AP$300,_xlpm.r,0)),0)))</f>
        <v>12768.876867197963</v>
      </c>
    </row>
    <row r="92" spans="1:89" ht="15" customHeight="1" x14ac:dyDescent="0.25">
      <c r="A92" s="38" t="str">
        <f t="shared" si="58"/>
        <v/>
      </c>
      <c r="B92" s="43" t="str" cm="1">
        <f t="array" ref="B92">IF($AI92="","",IF(LEFT($AI92,2)="C|",IF($C92="","",_xlfn.TEXTJOIN(", ",TRUE,_xlfn.UNIQUE(_xlfn._xlws.FILTER($AN$5:$AN$302,($AP$5:$AP$302=1)*($AO$5:$AO$302=$A92))))),IF($AI92="CT",B$13,IF(LEFT($AI92,3)="AM|",IF($C92="","",ROWS(_xlfn.UNIQUE(_xlfn._xlws.FILTER($AO$5:$AO$302,($AP$5:$AP$302=1)*($AN$5:$AN$302=$A92))))),IF(LEFT($AI92,2)="S|",IF($AG92="","",INDEX($AO$5:$AO$302,$AH92)),IF($AI92="HDR","City",""))))))</f>
        <v/>
      </c>
      <c r="C92" s="39" t="str" cm="1">
        <f t="array" ref="C92">IF($AI92="","",IF(LEFT($AI92,2)="C|",_xlfn.LET(_xlpm.n,SUMPRODUCT($AP$5:$AP$302*($AO$5:$AO$302=$A92)),IF(_xlpm.n=0,"",_xlpm.n)),IF($AI92="CT",C$13,IF(LEFT($AI92,3)="AM|",_xlfn.LET(_xlpm.n,SUMPRODUCT($AP$5:$AP$302*($AN$5:$AN$302=$A92)),IF(_xlpm.n=0,"",_xlpm.n)),IF(LEFT($AI92,2)="S|","",IF($AI92="HDR","# Stores",""))))))</f>
        <v/>
      </c>
      <c r="D92" s="40" t="str" cm="1">
        <f t="array" ref="D92">IF($AI92="","",IF(LEFT($AI92,2)="C|",IF($C92="","",SUMPRODUCT($AP$5:$AP$302*($AO$5:$AO$302=$A92),$AR$5:$AR$302)),IF($AI92="CT",D$13,IF(LEFT($AI92,3)="AM|",IF($C92="","",SUMPRODUCT($AP$5:$AP$302*($AN$5:$AN$302=$A92),$AR$5:$AR$302)),IF(LEFT($AI92,2)="S|",IF($AG92="","",INDEX($AR$5:$AR$302,$AH92)),IF($AI92="HDR","Sales TY",""))))))</f>
        <v/>
      </c>
      <c r="E92" s="40" t="str" cm="1">
        <f t="array" ref="E92">IF($AI92="","",IF(LEFT($AI92,2)="C|",IF($C92="","",SUMPRODUCT($AP$5:$AP$302*($AO$5:$AO$302=$A92),$AT$5:$AT$302)),IF($AI92="CT",E$13,IF(LEFT($AI92,3)="AM|",IF($C92="","",SUMPRODUCT($AP$5:$AP$302*($AN$5:$AN$302=$A92),$AT$5:$AT$302)),IF(LEFT($AI92,2)="S|",IF($AG92="","",INDEX($AT$5:$AT$302,$AH92)),IF($AI92="HDR","Sales LY",""))))))</f>
        <v/>
      </c>
      <c r="F92" s="41" t="str">
        <f t="shared" si="46"/>
        <v/>
      </c>
      <c r="G92" s="41" t="str">
        <f t="shared" si="47"/>
        <v/>
      </c>
      <c r="H92" s="40" t="str" cm="1">
        <f t="array" ref="H92">IF($AI92="","",IF(LEFT($AI92,2)="C|",IF($C92="","",SUMPRODUCT($AP$5:$AP$302*($AO$5:$AO$302=$A92),$AV$5:$AV$302)),IF($AI92="CT",H$13,IF(LEFT($AI92,3)="AM|",IF($C92="","",SUMPRODUCT($AP$5:$AP$302*($AN$5:$AN$302=$A92),$AV$5:$AV$302)),IF(LEFT($AI92,2)="S|",IF($AG92="","",INDEX($AV$5:$AV$302,$AH92)),IF($AI92="HDR","Target",""))))))</f>
        <v/>
      </c>
      <c r="I92" s="41" t="str">
        <f t="shared" si="48"/>
        <v/>
      </c>
      <c r="J92" s="40" t="str">
        <f t="shared" si="49"/>
        <v/>
      </c>
      <c r="K92" s="41" t="str">
        <f t="shared" si="50"/>
        <v/>
      </c>
      <c r="L92" s="40" t="str" cm="1">
        <f t="array" ref="L92">IF($AI92="","",IF(LEFT($AI92,2)="C|",IF($C92="","",SUMPRODUCT($AP$5:$AP$302*($AO$5:$AO$302=$A92),$BN$5:$BN$302)),IF($AI92="CT",L$13,IF(LEFT($AI92,3)="AM|",IF($C92="","",SUMPRODUCT($AP$5:$AP$302*($AN$5:$AN$302=$A92),$BN$5:$BN$302)),IF(LEFT($AI92,2)="S|",IF($AG92="","",INDEX($BN$5:$BN$302,$AH92)),IF($AI92="HDR","Month Target",""))))))</f>
        <v/>
      </c>
      <c r="M92" s="40" t="str" cm="1">
        <f t="array" ref="M92">IF($AI92="","",IF(LEFT($AI92,2)="C|",IF($C92="","",SUMPRODUCT($AP$5:$AP$302*($AO$5:$AO$302=$A92),$BO$5:$BO$302)),IF($AI92="CT",M$13,IF(LEFT($AI92,3)="AM|",IF($C92="","",SUMPRODUCT($AP$5:$AP$302*($AN$5:$AN$302=$A92),$BO$5:$BO$302)),IF(LEFT($AI92,2)="S|",IF($AG92="","",INDEX($BO$5:$BO$302,$AH92)),IF($AI92="HDR","Projected Close",""))))))</f>
        <v/>
      </c>
      <c r="N92" s="41" t="str">
        <f t="shared" si="43"/>
        <v/>
      </c>
      <c r="O92" s="41" t="str" cm="1">
        <f t="array" ref="O92">IF($AI92="HDR","Proj. vs LY",IF(OR($AI92="",M92=""),"",_xlfn.LET(_xlpm.ly,IF(LEFT($AI92,2)="C|",SUMPRODUCT($AP$5:$AP$302*($AO$5:$AO$302=$A92),$BK$5:$BK$302),IF($AI92="CT",SUMPRODUCT($AP$5:$AP$302,$BK$5:$BK$302),IF(LEFT($AI92,3)="AM|",SUMPRODUCT($AP$5:$AP$302*($AN$5:$AN$302=$A92),$BK$5:$BK$302),IF(LEFT($AI92,2)="S|",INDEX($BK$5:$BK$302,$AH92),0)))),IFERROR(M92/_xlpm.ly-1,""))))</f>
        <v/>
      </c>
      <c r="P92" s="40" t="str" cm="1">
        <f t="array" ref="P92">IF($AI92="","",IF(LEFT($AI92,2)="C|",IF($C92="","",SUMPRODUCT($AP$5:$AP$302*($AO$5:$AO$302=$A92),$AS$5:$AS$302)),IF($AI92="CT",P$13,IF(LEFT($AI92,3)="AM|",IF($C92="","",SUMPRODUCT($AP$5:$AP$302*($AN$5:$AN$302=$A92),$AS$5:$AS$302)),IF(LEFT($AI92,2)="S|",IF($AG92="","",INDEX($AS$5:$AS$302,$AH92)),IF($AI92="HDR","Trans TY",""))))))</f>
        <v/>
      </c>
      <c r="Q92" s="40" t="str" cm="1">
        <f t="array" ref="Q92">IF($AI92="","",IF(LEFT($AI92,2)="C|",IF($C92="","",SUMPRODUCT($AP$5:$AP$302*($AO$5:$AO$302=$A92),$AU$5:$AU$302)),IF($AI92="CT",Q$13,IF(LEFT($AI92,3)="AM|",IF($C92="","",SUMPRODUCT($AP$5:$AP$302*($AN$5:$AN$302=$A92),$AU$5:$AU$302)),IF(LEFT($AI92,2)="S|",IF($AG92="","",INDEX($AU$5:$AU$302,$AH92)),IF($AI92="HDR","Trans LY",""))))))</f>
        <v/>
      </c>
      <c r="R92" s="41" t="str">
        <f t="shared" si="51"/>
        <v/>
      </c>
      <c r="S92" s="41" t="str">
        <f t="shared" si="52"/>
        <v/>
      </c>
      <c r="T92" s="42" t="str">
        <f t="shared" si="53"/>
        <v/>
      </c>
      <c r="U92" s="42" t="str">
        <f t="shared" si="54"/>
        <v/>
      </c>
      <c r="V92" s="41" t="str">
        <f t="shared" si="55"/>
        <v/>
      </c>
      <c r="W92" s="40" t="str" cm="1">
        <f t="array" ref="W92">IF($AI92="","",IF(LEFT($AI92,2)="C|",_xlfn.LET(_xlpm.n,SUMPRODUCT($AP$5:$AP$302*($AO$5:$AO$302=$A92),$BB$5:$BB$302),IF(_xlpm.n=0,"",_xlpm.n)),IF($AI92="CT",W$13,IF(LEFT($AI92,3)="AM|",_xlfn.LET(_xlpm.n,SUMPRODUCT($AP$5:$AP$302*($AN$5:$AN$302=$A92),$BB$5:$BB$302),IF(_xlpm.n=0,"",_xlpm.n)),IF(LEFT($AI92,2)="S|",IF($AG92="","",_xlfn.LET(_xlpm.n,INDEX($BB$5:$BB$302,$AH92),IF(_xlpm.n=0,"",_xlpm.n))),IF($AI92="HDR","Footfall",""))))))</f>
        <v/>
      </c>
      <c r="X92" s="40" t="str" cm="1">
        <f t="array" ref="X92">IF($AI92="","",IF($AI92="HDR","Trans (FF stores)",IF(W92="","",IF(LEFT($AI92,2)="C|",SUMPRODUCT($AP$5:$AP$302*($AO$5:$AO$302=$A92),$BC$5:$BC$302),IF($AI92="CT",X$13,IF(LEFT($AI92,3)="AM|",SUMPRODUCT($AP$5:$AP$302*($AN$5:$AN$302=$A92),$BC$5:$BC$302),IF(LEFT($AI92,2)="S|",INDEX($BC$5:$BC$302,$AH92),"")))))))</f>
        <v/>
      </c>
      <c r="Y92" s="41" t="str">
        <f t="shared" si="44"/>
        <v/>
      </c>
      <c r="Z92" s="40" t="str" cm="1">
        <f t="array" ref="Z92">IF($AI92="","",IF(LEFT($AI92,2)="C|",IF($C92="","",SUMPRODUCT($AP$5:$AP$302*($AO$5:$AO$302=$A92),$CB$5:$CB$302)),IF($AI92="CT",Z$13,IF(LEFT($AI92,3)="AM|",IF($C92="","",SUMPRODUCT($AP$5:$AP$302*($AN$5:$AN$302=$A92),$CB$5:$CB$302)),IF(LEFT($AI92,2)="S|",IF($AG92="","",INDEX($CB$5:$CB$302,$AH92)),IF($AI92="HDR","Makeup Sales",""))))))</f>
        <v/>
      </c>
      <c r="AA92" s="41" t="str">
        <f t="shared" si="56"/>
        <v/>
      </c>
      <c r="AB92" s="40" t="str" cm="1">
        <f t="array" ref="AB92">IF($AI92="","",IF(LEFT($AI92,2)="C|",IF($C92="","",SUMPRODUCT($AP$5:$AP$302*($AO$5:$AO$302=$A92),$CK$5:$CK$302)),IF($AI92="CT",AB$13,IF(LEFT($AI92,3)="AM|",IF($C92="","",SUMPRODUCT($AP$5:$AP$302*($AN$5:$AN$302=$A92),$CK$5:$CK$302)),IF(LEFT($AI92,2)="S|",IF($AG92="","",INDEX($CK$5:$CK$302,$AH92)),IF($AI92="HDR","Makeup Target",""))))))</f>
        <v/>
      </c>
      <c r="AC92" s="41" t="str">
        <f t="shared" si="45"/>
        <v/>
      </c>
      <c r="AD92" s="40" t="str" cm="1">
        <f t="array" ref="AD92">IF($AI92="","",IF(LEFT($AI92,2)="C|",IF($C92="","",SUMPRODUCT($AP$5:$AP$302*($AO$5:$AO$302=$A92),$CI$5:$CI$302)),IF($AI92="CT",AD$13,IF(LEFT($AI92,3)="AM|",IF($C92="","",SUMPRODUCT($AP$5:$AP$302*($AN$5:$AN$302=$A92),$CI$5:$CI$302)),IF(LEFT($AI92,2)="S|",IF($AG92="","",INDEX($CI$5:$CI$302,$AH92)),IF($AI92="HDR","Cosmetic Sales",""))))))</f>
        <v/>
      </c>
      <c r="AE92" s="8" t="str" cm="1">
        <f t="array" ref="AE92">IF($AI92="","",IF(LEFT($AI92,2)="C|",IF($C92="","",SUMPRODUCT($AP$5:$AP$302*($AO$5:$AO$302=$A92)*$AQ$5:$AQ$302,$AR$5:$AR$302)),IF($AI92="CT",AE$13,IF(LEFT($AI92,3)="AM|",IF($C92="","",SUMPRODUCT($AP$5:$AP$302*($AN$5:$AN$302=$A92)*$AQ$5:$AQ$302,$AR$5:$AR$302)),IF(LEFT($AI92,2)="S|",IF($AG92="","",IF(INDEX($AQ$5:$AQ$302,$AH92)=1,D92,0)),IF($AI92="HDR","LFL Sales",""))))))</f>
        <v/>
      </c>
      <c r="AF92" s="8" t="str" cm="1">
        <f t="array" ref="AF92">IF($AI92="","",IF(LEFT($AI92,2)="C|",IF($C92="","",SUMPRODUCT($AP$5:$AP$302*($AO$5:$AO$302=$A92)*$AQ$5:$AQ$302,$AS$5:$AS$302)),IF($AI92="CT",AF$13,IF(LEFT($AI92,3)="AM|",IF($C92="","",SUMPRODUCT($AP$5:$AP$302*($AN$5:$AN$302=$A92)*$AQ$5:$AQ$302,$AS$5:$AS$302)),IF(LEFT($AI92,2)="S|",IF($AG92="","",IF(INDEX($AQ$5:$AQ$302,$AH92)=1,P92,0)),IF($AI92="HDR","LFL Trans",""))))))</f>
        <v/>
      </c>
      <c r="AG92" s="8" t="str" cm="1">
        <f t="array" ref="AG92">IF($AI92="","",IF(LEFT($AI92,2)="C|","",IF($AI92="CT","",IF(LEFT($AI92,3)="AM|","",IF(LEFT($AI92,2)="S|",IF($AH92="","",IF(INDEX($AP$5:$AP$302,$AH92)=1,1,"")),IF($AI92="HDR","Show",""))))))</f>
        <v/>
      </c>
      <c r="AH92" s="8" t="str">
        <f t="shared" si="57"/>
        <v/>
      </c>
      <c r="AI92" s="8"/>
      <c r="AN92" s="8" t="str" cm="1">
        <f t="array" ref="AN92">IF($AW92="","",_xlfn.LET(_xlpm.sa,IFERROR(TRIM(INDEX('Sales and count'!$D$4:$D$300,$BF92)&amp;""),""),_xlpm.ta,IFERROR(TRIM(INDEX('TY Sales Target'!$F$5:$F$300,$BG92)&amp;""),""),IF(AND(_xlpm.sa&lt;&gt;"",LEFT(_xlpm.sa,1)&lt;&gt;"#",_xlpm.sa&lt;&gt;"0"),_xlpm.sa,IF(AND(_xlpm.ta&lt;&gt;"",LEFT(_xlpm.ta,1)&lt;&gt;"#",_xlpm.ta&lt;&gt;"0"),_xlpm.ta,IF(ISNUMBER($BG92),"Unassigned","")))))</f>
        <v>Hamzah Al Makhadam</v>
      </c>
      <c r="AO92" s="8" t="str" cm="1">
        <f t="array" ref="AO92">IF($AW92="","",_xlfn.LET(_xlpm.sa,IFERROR(TRIM(INDEX('Sales and count'!$C$4:$C$300,$BF92)&amp;""),""),_xlpm.ta,IFERROR(TRIM(INDEX('TY Sales Target'!$D$5:$D$300,$BG92)&amp;""),""),IF(AND(_xlpm.sa&lt;&gt;"",LEFT(_xlpm.sa,1)&lt;&gt;"#",_xlpm.sa&lt;&gt;"0"),_xlpm.sa,IF(AND(_xlpm.ta&lt;&gt;"",LEFT(_xlpm.ta,1)&lt;&gt;"#",_xlpm.ta&lt;&gt;"0"),_xlpm.ta,""))))</f>
        <v>Qatif</v>
      </c>
      <c r="AP92" s="8">
        <f t="shared" si="60"/>
        <v>0</v>
      </c>
      <c r="AQ92" s="8">
        <f t="shared" si="61"/>
        <v>1</v>
      </c>
      <c r="AR92" s="8" cm="1">
        <f t="array" ref="AR92">IF($BF92="",0,_xlfn.LET(_xlpm.d,IFERROR(--'Sales and count'!$G$2:$CC$2,0),SUMPRODUCT(('Sales and count'!$G$3:$CC$3="Total")*(_xlpm.d&gt;=$U$4)*(_xlpm.d&lt;=$U$5),INDEX('Sales and count'!$G$4:$CC$300,$BF92,0))))</f>
        <v>133731.37000000002</v>
      </c>
      <c r="AS92" s="8" cm="1">
        <f t="array" aca="1" ref="AS92" ca="1">IF($BF92="",0,_xlfn.LET(_xlpm.d,IFERROR(--'Sales and count'!$F$2:$CB$2,0),SUMPRODUCT(('Sales and count'!$G$3:$CC$3="Transactions")*(_xlpm.d&gt;=$U$4)*(_xlpm.d&lt;=$U$5),INDEX('Sales and count'!$G$4:$CC$300,$BF92,0))))</f>
        <v>669</v>
      </c>
      <c r="AT92" s="8" cm="1">
        <f t="array" ref="AT92">IF($AW92="",0,SUMPRODUCT((TRIM('LY Sales '!$B$5:$B$200)=$AW92)*('LY Sales '!$C$2:$AG$2&gt;=EDATE($U$4,-12))*('LY Sales '!$C$2:$AG$2&lt;=EDATE($U$5,-12)),'LY Sales '!$C$5:$AG$200))</f>
        <v>144724</v>
      </c>
      <c r="AU92" s="8" cm="1">
        <f t="array" ref="AU92">IF($AW92="",0,SUMPRODUCT((TRIM('LY Transaction'!$B$5:$B$200)=$AW92)*('LY Transaction'!$C$2:$AG$2&gt;=EDATE($U$4,-12))*('LY Transaction'!$C$2:$AG$2&lt;=EDATE($U$5,-12)),'LY Transaction'!$C$5:$AG$200))</f>
        <v>982</v>
      </c>
      <c r="AV92" s="8" cm="1">
        <f t="array" ref="AV92">IF(NOT(ISNUMBER($BG92)),0,SUMPRODUCT(('TY Sales Target'!$K$2:$AO$2&gt;=$U$4)*('TY Sales Target'!$K$2:$AO$2&lt;=$U$5),INDEX('TY Sales Target'!$K$5:$AO$300,$BG92,0)))</f>
        <v>234449.53942626889</v>
      </c>
      <c r="AW92" s="8" t="str" cm="1">
        <f t="array" ref="AW92">IFERROR(INDEX(_xlfn.ANCHORARRAY($BR$5),ROWS($AW$5:AW92)),"")</f>
        <v>HACFRONT</v>
      </c>
      <c r="BB92" cm="1">
        <f t="array" ref="BB92">IF($AW92="",0,SUMPRODUCT((TRIM(Footfall!$B$5:$B$301)=$AW92)*(Footfall!$C$1:$BZ$1&gt;=$U$4)*(Footfall!$C$2:$BZ$2&lt;=$U$5)*(Footfall!$C$1:$BZ$1&lt;&gt;""),Footfall!$C$5:$BZ$301))</f>
        <v>0</v>
      </c>
      <c r="BC92" cm="1">
        <f t="array" ref="BC92">IF(OR($BB92&lt;=0,$BD$1="",$BF92=""),0,_xlfn.LET(_xlpm.d,IFERROR(--'Sales and count'!$F$2:$CB$2,0),SUMPRODUCT(('Sales and count'!$G$3:$CC$3="Transactions")*(_xlpm.d&gt;=$BD$1)*(_xlpm.d&lt;=$BD$2),INDEX('Sales and count'!$G$4:$CC$300,$BF92,0))))</f>
        <v>0</v>
      </c>
      <c r="BF92" cm="1">
        <f t="array" ref="BF92">IF($AW92="","",IFERROR(MATCH($AW92,TRIM('Sales and count'!$A$4:$A$300&amp;""),0),""))</f>
        <v>88</v>
      </c>
      <c r="BG92" cm="1">
        <f t="array" ref="BG92">IF($AW92="","",IFERROR(MATCH(IFERROR(_xlfn.XLOOKUP($AW92,$BT$5:$BT$22,$BU$5:$BU$22),$AW92),TRIM('TY Sales Target'!$B$5:$B$300&amp;""),0),""))</f>
        <v>32</v>
      </c>
      <c r="BH92" t="str" cm="1">
        <f t="array" ref="BH92">IF(ISNUMBER($BG92),_xlfn.LET(_xlpm.p,TRIM(INDEX('TY Sales Target'!$I$5:$I$300,$BG92)&amp;""),IF(_xlpm.p="","Not set",_xlpm.p)),"Not set")</f>
        <v>Smart Phone</v>
      </c>
      <c r="BI92" cm="1">
        <f t="array" ref="BI92">IF($BF92="",0,_xlfn.LET(_xlpm.d,IFERROR(--'Sales and count'!$G$2:$CC$2,0),SUMPRODUCT(('Sales and count'!$G$3:$CC$3="Total")*(_xlpm.d&gt;=$BZ$5)*(_xlpm.d&lt;=$BZ$6),INDEX('Sales and count'!$G$4:$CC$300,$BF92,0))))</f>
        <v>133731.37000000002</v>
      </c>
      <c r="BJ92" cm="1">
        <f t="array" ref="BJ92">IF($AW92="",0,SUMPRODUCT((TRIM('LY Sales '!$B$5:$B$200)=$AW92)*('LY Sales '!$C$2:$AG$2&gt;=EDATE($BZ$5,-12))*('LY Sales '!$C$2:$AG$2&lt;=EDATE($BZ$6,-12)),'LY Sales '!$C$5:$AG$200))</f>
        <v>144724</v>
      </c>
      <c r="BK92" cm="1">
        <f t="array" ref="BK92">IF($AW92="",0,SUMPRODUCT((TRIM('LY Sales '!$B$5:$B$200)=$AW92)*('LY Sales '!$C$2:$AG$2&gt;=EDATE($BZ$5,-12))*('LY Sales '!$C$2:$AG$2&lt;=EDATE($BZ$7,-12)),'LY Sales '!$C$5:$AG$200))</f>
        <v>183371.5</v>
      </c>
      <c r="BL92" cm="1">
        <f t="array" ref="BL92">IF($AW92="",0,SUMPRODUCT((TRIM('LY Sales '!$B$5:$B$200)=$AW92)*('LY Sales '!$C$2:$AG$2&gt;=EDATE($BZ$5,-12))*('LY Sales '!$C$2:$AG$2&lt;=EDATE($BZ$6,-12))*('LY Sales '!$C$5:$AG$200&gt;0)))</f>
        <v>26</v>
      </c>
      <c r="BM92" cm="1">
        <f t="array" ref="BM92">IF(NOT(ISNUMBER($BG92)),0,SUMPRODUCT(('TY Sales Target'!$K$2:$AO$2&gt;=$BZ$5)*('TY Sales Target'!$K$2:$AO$2&lt;=$BZ$6),INDEX('TY Sales Target'!$K$5:$AO$300,$BG92,0)))</f>
        <v>234449.53942626889</v>
      </c>
      <c r="BN92" cm="1">
        <f t="array" ref="BN92">IF(NOT(ISNUMBER($BG92)),0,SUMPRODUCT(('TY Sales Target'!$K$2:$AO$2&gt;=$BZ$5)*('TY Sales Target'!$K$2:$AO$2&lt;=$BZ$7),INDEX('TY Sales Target'!$K$5:$AO$300,$BG92,0)))</f>
        <v>306000</v>
      </c>
      <c r="BO92" cm="1">
        <f t="array" ref="BO92">IF($AW92="",0,IFERROR(_xlfn.SWITCH($BP92,"LY trend",$BI92*$BK92/$BJ92,"Target curve",$BI92*$BN92/$BM92,"Run rate",$BI92/$BZ$8*$BZ$9,0),0))</f>
        <v>169443.3674715666</v>
      </c>
      <c r="BP92" t="str">
        <f t="shared" si="59"/>
        <v>LY trend</v>
      </c>
      <c r="BR92" t="str">
        <v>HACFRONT</v>
      </c>
      <c r="CB92" cm="1">
        <f t="array" ref="CB92">IF($AW92="",0,_xlfn.LET(_xlpm.k,IFERROR(_xlfn.XLOOKUP($AW92,$CD$6:$CD$21,$CE$6:$CE$21),$AW92),SUMPRODUCT((TRIM('Makeup '!$A$2:$A$300&amp;"")=_xlpm.k)*1,IFERROR('Makeup '!$F$2:$F$300*1,0))))</f>
        <v>8136.04</v>
      </c>
      <c r="CF92" t="str" cm="1">
        <f t="array" ref="CF92">IF($AW92="","",_xlfn.LET(_xlpm.c,IFERROR(TRIM(INDEX('Sales and count'!$B$4:$B$300,$BF92)&amp;""),""),IF(OR(_xlpm.c="",_xlpm.c="0",LEFT(_xlpm.c,1)="#"),"Not set",_xlpm.c)))</f>
        <v>KSA</v>
      </c>
      <c r="CH92" cm="1">
        <f t="array" ref="CH92">IF($AW92="",0,_xlfn.LET(_xlpm.k,IFERROR(_xlfn.XLOOKUP($AW92,$CD$6:$CD$21,$CE$6:$CE$21),$AW92),--(SUMPRODUCT((TRIM('Makeup '!$A$2:$A$300&amp;"")=_xlpm.k)*ISNUMBER('Makeup '!$F$2:$F$300))&gt;0)))</f>
        <v>1</v>
      </c>
      <c r="CI92">
        <f t="shared" si="62"/>
        <v>133731.37000000002</v>
      </c>
      <c r="CJ92" cm="1">
        <f t="array" ref="CJ92">IF($AW92="",0,--(SUMPRODUCT(--(TRIM(Footfall!$B$5:$B$301)=$AW92))&gt;0))</f>
        <v>0</v>
      </c>
      <c r="CK92" s="8" cm="1">
        <f t="array" ref="CK92">IF($AW92="",0,_xlfn.LET(_xlpm.r,IFERROR(MATCH(IFERROR(_xlfn.XLOOKUP($AW92,$BT$5:$BT$22,$BU$5:$BU$22),$AW92),TRIM('TY Beauty Target'!$B$5:$B$300&amp;""),0),""),IF(ISNUMBER(_xlpm.r),SUMPRODUCT(('TY Beauty Target'!$L$2:$AP$2&gt;=$U$4)*('TY Beauty Target'!$L$2:$AP$2&lt;=$U$5),INDEX('TY Beauty Target'!$L$5:$AP$300,_xlpm.r,0)),0)))</f>
        <v>19359.198054164823</v>
      </c>
    </row>
    <row r="93" spans="1:89" ht="15" customHeight="1" x14ac:dyDescent="0.25">
      <c r="A93" s="38" t="str">
        <f t="shared" si="58"/>
        <v/>
      </c>
      <c r="B93" s="43" t="str" cm="1">
        <f t="array" ref="B93">IF($AI93="","",IF(LEFT($AI93,2)="C|",IF($C93="","",_xlfn.TEXTJOIN(", ",TRUE,_xlfn.UNIQUE(_xlfn._xlws.FILTER($AN$5:$AN$302,($AP$5:$AP$302=1)*($AO$5:$AO$302=$A93))))),IF($AI93="CT",B$13,IF(LEFT($AI93,3)="AM|",IF($C93="","",ROWS(_xlfn.UNIQUE(_xlfn._xlws.FILTER($AO$5:$AO$302,($AP$5:$AP$302=1)*($AN$5:$AN$302=$A93))))),IF(LEFT($AI93,2)="S|",IF($AG93="","",INDEX($AO$5:$AO$302,$AH93)),IF($AI93="HDR","City",""))))))</f>
        <v/>
      </c>
      <c r="C93" s="39" t="str" cm="1">
        <f t="array" ref="C93">IF($AI93="","",IF(LEFT($AI93,2)="C|",_xlfn.LET(_xlpm.n,SUMPRODUCT($AP$5:$AP$302*($AO$5:$AO$302=$A93)),IF(_xlpm.n=0,"",_xlpm.n)),IF($AI93="CT",C$13,IF(LEFT($AI93,3)="AM|",_xlfn.LET(_xlpm.n,SUMPRODUCT($AP$5:$AP$302*($AN$5:$AN$302=$A93)),IF(_xlpm.n=0,"",_xlpm.n)),IF(LEFT($AI93,2)="S|","",IF($AI93="HDR","# Stores",""))))))</f>
        <v/>
      </c>
      <c r="D93" s="40" t="str" cm="1">
        <f t="array" ref="D93">IF($AI93="","",IF(LEFT($AI93,2)="C|",IF($C93="","",SUMPRODUCT($AP$5:$AP$302*($AO$5:$AO$302=$A93),$AR$5:$AR$302)),IF($AI93="CT",D$13,IF(LEFT($AI93,3)="AM|",IF($C93="","",SUMPRODUCT($AP$5:$AP$302*($AN$5:$AN$302=$A93),$AR$5:$AR$302)),IF(LEFT($AI93,2)="S|",IF($AG93="","",INDEX($AR$5:$AR$302,$AH93)),IF($AI93="HDR","Sales TY",""))))))</f>
        <v/>
      </c>
      <c r="E93" s="40" t="str" cm="1">
        <f t="array" ref="E93">IF($AI93="","",IF(LEFT($AI93,2)="C|",IF($C93="","",SUMPRODUCT($AP$5:$AP$302*($AO$5:$AO$302=$A93),$AT$5:$AT$302)),IF($AI93="CT",E$13,IF(LEFT($AI93,3)="AM|",IF($C93="","",SUMPRODUCT($AP$5:$AP$302*($AN$5:$AN$302=$A93),$AT$5:$AT$302)),IF(LEFT($AI93,2)="S|",IF($AG93="","",INDEX($AT$5:$AT$302,$AH93)),IF($AI93="HDR","Sales LY",""))))))</f>
        <v/>
      </c>
      <c r="F93" s="41" t="str">
        <f t="shared" si="46"/>
        <v/>
      </c>
      <c r="G93" s="41" t="str">
        <f t="shared" si="47"/>
        <v/>
      </c>
      <c r="H93" s="40" t="str" cm="1">
        <f t="array" ref="H93">IF($AI93="","",IF(LEFT($AI93,2)="C|",IF($C93="","",SUMPRODUCT($AP$5:$AP$302*($AO$5:$AO$302=$A93),$AV$5:$AV$302)),IF($AI93="CT",H$13,IF(LEFT($AI93,3)="AM|",IF($C93="","",SUMPRODUCT($AP$5:$AP$302*($AN$5:$AN$302=$A93),$AV$5:$AV$302)),IF(LEFT($AI93,2)="S|",IF($AG93="","",INDEX($AV$5:$AV$302,$AH93)),IF($AI93="HDR","Target",""))))))</f>
        <v/>
      </c>
      <c r="I93" s="41" t="str">
        <f t="shared" si="48"/>
        <v/>
      </c>
      <c r="J93" s="40" t="str">
        <f t="shared" si="49"/>
        <v/>
      </c>
      <c r="K93" s="41" t="str">
        <f t="shared" si="50"/>
        <v/>
      </c>
      <c r="L93" s="40" t="str" cm="1">
        <f t="array" ref="L93">IF($AI93="","",IF(LEFT($AI93,2)="C|",IF($C93="","",SUMPRODUCT($AP$5:$AP$302*($AO$5:$AO$302=$A93),$BN$5:$BN$302)),IF($AI93="CT",L$13,IF(LEFT($AI93,3)="AM|",IF($C93="","",SUMPRODUCT($AP$5:$AP$302*($AN$5:$AN$302=$A93),$BN$5:$BN$302)),IF(LEFT($AI93,2)="S|",IF($AG93="","",INDEX($BN$5:$BN$302,$AH93)),IF($AI93="HDR","Month Target",""))))))</f>
        <v/>
      </c>
      <c r="M93" s="40" t="str" cm="1">
        <f t="array" ref="M93">IF($AI93="","",IF(LEFT($AI93,2)="C|",IF($C93="","",SUMPRODUCT($AP$5:$AP$302*($AO$5:$AO$302=$A93),$BO$5:$BO$302)),IF($AI93="CT",M$13,IF(LEFT($AI93,3)="AM|",IF($C93="","",SUMPRODUCT($AP$5:$AP$302*($AN$5:$AN$302=$A93),$BO$5:$BO$302)),IF(LEFT($AI93,2)="S|",IF($AG93="","",INDEX($BO$5:$BO$302,$AH93)),IF($AI93="HDR","Projected Close",""))))))</f>
        <v/>
      </c>
      <c r="N93" s="41" t="str">
        <f t="shared" si="43"/>
        <v/>
      </c>
      <c r="O93" s="41" t="str" cm="1">
        <f t="array" ref="O93">IF($AI93="HDR","Proj. vs LY",IF(OR($AI93="",M93=""),"",_xlfn.LET(_xlpm.ly,IF(LEFT($AI93,2)="C|",SUMPRODUCT($AP$5:$AP$302*($AO$5:$AO$302=$A93),$BK$5:$BK$302),IF($AI93="CT",SUMPRODUCT($AP$5:$AP$302,$BK$5:$BK$302),IF(LEFT($AI93,3)="AM|",SUMPRODUCT($AP$5:$AP$302*($AN$5:$AN$302=$A93),$BK$5:$BK$302),IF(LEFT($AI93,2)="S|",INDEX($BK$5:$BK$302,$AH93),0)))),IFERROR(M93/_xlpm.ly-1,""))))</f>
        <v/>
      </c>
      <c r="P93" s="40" t="str" cm="1">
        <f t="array" ref="P93">IF($AI93="","",IF(LEFT($AI93,2)="C|",IF($C93="","",SUMPRODUCT($AP$5:$AP$302*($AO$5:$AO$302=$A93),$AS$5:$AS$302)),IF($AI93="CT",P$13,IF(LEFT($AI93,3)="AM|",IF($C93="","",SUMPRODUCT($AP$5:$AP$302*($AN$5:$AN$302=$A93),$AS$5:$AS$302)),IF(LEFT($AI93,2)="S|",IF($AG93="","",INDEX($AS$5:$AS$302,$AH93)),IF($AI93="HDR","Trans TY",""))))))</f>
        <v/>
      </c>
      <c r="Q93" s="40" t="str" cm="1">
        <f t="array" ref="Q93">IF($AI93="","",IF(LEFT($AI93,2)="C|",IF($C93="","",SUMPRODUCT($AP$5:$AP$302*($AO$5:$AO$302=$A93),$AU$5:$AU$302)),IF($AI93="CT",Q$13,IF(LEFT($AI93,3)="AM|",IF($C93="","",SUMPRODUCT($AP$5:$AP$302*($AN$5:$AN$302=$A93),$AU$5:$AU$302)),IF(LEFT($AI93,2)="S|",IF($AG93="","",INDEX($AU$5:$AU$302,$AH93)),IF($AI93="HDR","Trans LY",""))))))</f>
        <v/>
      </c>
      <c r="R93" s="41" t="str">
        <f t="shared" si="51"/>
        <v/>
      </c>
      <c r="S93" s="41" t="str">
        <f t="shared" si="52"/>
        <v/>
      </c>
      <c r="T93" s="42" t="str">
        <f t="shared" si="53"/>
        <v/>
      </c>
      <c r="U93" s="42" t="str">
        <f t="shared" si="54"/>
        <v/>
      </c>
      <c r="V93" s="41" t="str">
        <f t="shared" si="55"/>
        <v/>
      </c>
      <c r="W93" s="40" t="str" cm="1">
        <f t="array" ref="W93">IF($AI93="","",IF(LEFT($AI93,2)="C|",_xlfn.LET(_xlpm.n,SUMPRODUCT($AP$5:$AP$302*($AO$5:$AO$302=$A93),$BB$5:$BB$302),IF(_xlpm.n=0,"",_xlpm.n)),IF($AI93="CT",W$13,IF(LEFT($AI93,3)="AM|",_xlfn.LET(_xlpm.n,SUMPRODUCT($AP$5:$AP$302*($AN$5:$AN$302=$A93),$BB$5:$BB$302),IF(_xlpm.n=0,"",_xlpm.n)),IF(LEFT($AI93,2)="S|",IF($AG93="","",_xlfn.LET(_xlpm.n,INDEX($BB$5:$BB$302,$AH93),IF(_xlpm.n=0,"",_xlpm.n))),IF($AI93="HDR","Footfall",""))))))</f>
        <v/>
      </c>
      <c r="X93" s="40" t="str" cm="1">
        <f t="array" ref="X93">IF($AI93="","",IF($AI93="HDR","Trans (FF stores)",IF(W93="","",IF(LEFT($AI93,2)="C|",SUMPRODUCT($AP$5:$AP$302*($AO$5:$AO$302=$A93),$BC$5:$BC$302),IF($AI93="CT",X$13,IF(LEFT($AI93,3)="AM|",SUMPRODUCT($AP$5:$AP$302*($AN$5:$AN$302=$A93),$BC$5:$BC$302),IF(LEFT($AI93,2)="S|",INDEX($BC$5:$BC$302,$AH93),"")))))))</f>
        <v/>
      </c>
      <c r="Y93" s="41" t="str">
        <f t="shared" si="44"/>
        <v/>
      </c>
      <c r="Z93" s="40" t="str" cm="1">
        <f t="array" ref="Z93">IF($AI93="","",IF(LEFT($AI93,2)="C|",IF($C93="","",SUMPRODUCT($AP$5:$AP$302*($AO$5:$AO$302=$A93),$CB$5:$CB$302)),IF($AI93="CT",Z$13,IF(LEFT($AI93,3)="AM|",IF($C93="","",SUMPRODUCT($AP$5:$AP$302*($AN$5:$AN$302=$A93),$CB$5:$CB$302)),IF(LEFT($AI93,2)="S|",IF($AG93="","",INDEX($CB$5:$CB$302,$AH93)),IF($AI93="HDR","Makeup Sales",""))))))</f>
        <v/>
      </c>
      <c r="AA93" s="41" t="str">
        <f t="shared" si="56"/>
        <v/>
      </c>
      <c r="AB93" s="40" t="str" cm="1">
        <f t="array" ref="AB93">IF($AI93="","",IF(LEFT($AI93,2)="C|",IF($C93="","",SUMPRODUCT($AP$5:$AP$302*($AO$5:$AO$302=$A93),$CK$5:$CK$302)),IF($AI93="CT",AB$13,IF(LEFT($AI93,3)="AM|",IF($C93="","",SUMPRODUCT($AP$5:$AP$302*($AN$5:$AN$302=$A93),$CK$5:$CK$302)),IF(LEFT($AI93,2)="S|",IF($AG93="","",INDEX($CK$5:$CK$302,$AH93)),IF($AI93="HDR","Makeup Target",""))))))</f>
        <v/>
      </c>
      <c r="AC93" s="41" t="str">
        <f t="shared" si="45"/>
        <v/>
      </c>
      <c r="AD93" s="40" t="str" cm="1">
        <f t="array" ref="AD93">IF($AI93="","",IF(LEFT($AI93,2)="C|",IF($C93="","",SUMPRODUCT($AP$5:$AP$302*($AO$5:$AO$302=$A93),$CI$5:$CI$302)),IF($AI93="CT",AD$13,IF(LEFT($AI93,3)="AM|",IF($C93="","",SUMPRODUCT($AP$5:$AP$302*($AN$5:$AN$302=$A93),$CI$5:$CI$302)),IF(LEFT($AI93,2)="S|",IF($AG93="","",INDEX($CI$5:$CI$302,$AH93)),IF($AI93="HDR","Cosmetic Sales",""))))))</f>
        <v/>
      </c>
      <c r="AE93" s="8" t="str" cm="1">
        <f t="array" ref="AE93">IF($AI93="","",IF(LEFT($AI93,2)="C|",IF($C93="","",SUMPRODUCT($AP$5:$AP$302*($AO$5:$AO$302=$A93)*$AQ$5:$AQ$302,$AR$5:$AR$302)),IF($AI93="CT",AE$13,IF(LEFT($AI93,3)="AM|",IF($C93="","",SUMPRODUCT($AP$5:$AP$302*($AN$5:$AN$302=$A93)*$AQ$5:$AQ$302,$AR$5:$AR$302)),IF(LEFT($AI93,2)="S|",IF($AG93="","",IF(INDEX($AQ$5:$AQ$302,$AH93)=1,D93,0)),IF($AI93="HDR","LFL Sales",""))))))</f>
        <v/>
      </c>
      <c r="AF93" s="8" t="str" cm="1">
        <f t="array" ref="AF93">IF($AI93="","",IF(LEFT($AI93,2)="C|",IF($C93="","",SUMPRODUCT($AP$5:$AP$302*($AO$5:$AO$302=$A93)*$AQ$5:$AQ$302,$AS$5:$AS$302)),IF($AI93="CT",AF$13,IF(LEFT($AI93,3)="AM|",IF($C93="","",SUMPRODUCT($AP$5:$AP$302*($AN$5:$AN$302=$A93)*$AQ$5:$AQ$302,$AS$5:$AS$302)),IF(LEFT($AI93,2)="S|",IF($AG93="","",IF(INDEX($AQ$5:$AQ$302,$AH93)=1,P93,0)),IF($AI93="HDR","LFL Trans",""))))))</f>
        <v/>
      </c>
      <c r="AG93" s="8" t="str" cm="1">
        <f t="array" ref="AG93">IF($AI93="","",IF(LEFT($AI93,2)="C|","",IF($AI93="CT","",IF(LEFT($AI93,3)="AM|","",IF(LEFT($AI93,2)="S|",IF($AH93="","",IF(INDEX($AP$5:$AP$302,$AH93)=1,1,"")),IF($AI93="HDR","Show",""))))))</f>
        <v/>
      </c>
      <c r="AH93" s="8" t="str">
        <f t="shared" si="57"/>
        <v/>
      </c>
      <c r="AI93" s="8"/>
      <c r="AN93" s="8" t="str" cm="1">
        <f t="array" ref="AN93">IF($AW93="","",_xlfn.LET(_xlpm.sa,IFERROR(TRIM(INDEX('Sales and count'!$D$4:$D$300,$BF93)&amp;""),""),_xlpm.ta,IFERROR(TRIM(INDEX('TY Sales Target'!$F$5:$F$300,$BG93)&amp;""),""),IF(AND(_xlpm.sa&lt;&gt;"",LEFT(_xlpm.sa,1)&lt;&gt;"#",_xlpm.sa&lt;&gt;"0"),_xlpm.sa,IF(AND(_xlpm.ta&lt;&gt;"",LEFT(_xlpm.ta,1)&lt;&gt;"#",_xlpm.ta&lt;&gt;"0"),_xlpm.ta,IF(ISNUMBER($BG93),"Unassigned","")))))</f>
        <v>Lina Al Ghathami</v>
      </c>
      <c r="AO93" s="8" t="str" cm="1">
        <f t="array" ref="AO93">IF($AW93="","",_xlfn.LET(_xlpm.sa,IFERROR(TRIM(INDEX('Sales and count'!$C$4:$C$300,$BF93)&amp;""),""),_xlpm.ta,IFERROR(TRIM(INDEX('TY Sales Target'!$D$5:$D$300,$BG93)&amp;""),""),IF(AND(_xlpm.sa&lt;&gt;"",LEFT(_xlpm.sa,1)&lt;&gt;"#",_xlpm.sa&lt;&gt;"0"),_xlpm.sa,IF(AND(_xlpm.ta&lt;&gt;"",LEFT(_xlpm.ta,1)&lt;&gt;"#",_xlpm.ta&lt;&gt;"0"),_xlpm.ta,""))))</f>
        <v>Riyadh</v>
      </c>
      <c r="AP93" s="8">
        <f t="shared" si="60"/>
        <v>0</v>
      </c>
      <c r="AQ93" s="8">
        <f t="shared" si="61"/>
        <v>1</v>
      </c>
      <c r="AR93" s="8" cm="1">
        <f t="array" ref="AR93">IF($BF93="",0,_xlfn.LET(_xlpm.d,IFERROR(--'Sales and count'!$G$2:$CC$2,0),SUMPRODUCT(('Sales and count'!$G$3:$CC$3="Total")*(_xlpm.d&gt;=$U$4)*(_xlpm.d&lt;=$U$5),INDEX('Sales and count'!$G$4:$CC$300,$BF93,0))))</f>
        <v>58289.69000000001</v>
      </c>
      <c r="AS93" s="8" cm="1">
        <f t="array" aca="1" ref="AS93" ca="1">IF($BF93="",0,_xlfn.LET(_xlpm.d,IFERROR(--'Sales and count'!$F$2:$CB$2,0),SUMPRODUCT(('Sales and count'!$G$3:$CC$3="Transactions")*(_xlpm.d&gt;=$U$4)*(_xlpm.d&lt;=$U$5),INDEX('Sales and count'!$G$4:$CC$300,$BF93,0))))</f>
        <v>390</v>
      </c>
      <c r="AT93" s="8" cm="1">
        <f t="array" ref="AT93">IF($AW93="",0,SUMPRODUCT((TRIM('LY Sales '!$B$5:$B$200)=$AW93)*('LY Sales '!$C$2:$AG$2&gt;=EDATE($U$4,-12))*('LY Sales '!$C$2:$AG$2&lt;=EDATE($U$5,-12)),'LY Sales '!$C$5:$AG$200))</f>
        <v>277761.04999999993</v>
      </c>
      <c r="AU93" s="8" cm="1">
        <f t="array" ref="AU93">IF($AW93="",0,SUMPRODUCT((TRIM('LY Transaction'!$B$5:$B$200)=$AW93)*('LY Transaction'!$C$2:$AG$2&gt;=EDATE($U$4,-12))*('LY Transaction'!$C$2:$AG$2&lt;=EDATE($U$5,-12)),'LY Transaction'!$C$5:$AG$200))</f>
        <v>1851</v>
      </c>
      <c r="AV93" s="8" cm="1">
        <f t="array" ref="AV93">IF(NOT(ISNUMBER($BG93)),0,SUMPRODUCT(('TY Sales Target'!$K$2:$AO$2&gt;=$U$4)*('TY Sales Target'!$K$2:$AO$2&lt;=$U$5),INDEX('TY Sales Target'!$K$5:$AO$300,$BG93,0)))</f>
        <v>119523.29460947045</v>
      </c>
      <c r="AW93" s="8" t="str" cm="1">
        <f t="array" ref="AW93">IFERROR(INDEX(_xlfn.ANCHORARRAY($BR$5),ROWS($AW$5:AW93)),"")</f>
        <v>SMARTSH</v>
      </c>
      <c r="BB93" cm="1">
        <f t="array" ref="BB93">IF($AW93="",0,SUMPRODUCT((TRIM(Footfall!$B$5:$B$301)=$AW93)*(Footfall!$C$1:$BZ$1&gt;=$U$4)*(Footfall!$C$2:$BZ$2&lt;=$U$5)*(Footfall!$C$1:$BZ$1&lt;&gt;""),Footfall!$C$5:$BZ$301))</f>
        <v>1800</v>
      </c>
      <c r="BC93" cm="1">
        <f t="array" aca="1" ref="BC93" ca="1">IF(OR($BB93&lt;=0,$BD$1="",$BF93=""),0,_xlfn.LET(_xlpm.d,IFERROR(--'Sales and count'!$F$2:$CB$2,0),SUMPRODUCT(('Sales and count'!$G$3:$CC$3="Transactions")*(_xlpm.d&gt;=$BD$1)*(_xlpm.d&lt;=$BD$2),INDEX('Sales and count'!$G$4:$CC$300,$BF93,0))))</f>
        <v>390</v>
      </c>
      <c r="BF93" cm="1">
        <f t="array" ref="BF93">IF($AW93="","",IFERROR(MATCH($AW93,TRIM('Sales and count'!$A$4:$A$300&amp;""),0),""))</f>
        <v>89</v>
      </c>
      <c r="BG93" cm="1">
        <f t="array" ref="BG93">IF($AW93="","",IFERROR(MATCH(IFERROR(_xlfn.XLOOKUP($AW93,$BT$5:$BT$22,$BU$5:$BU$22),$AW93),TRIM('TY Sales Target'!$B$5:$B$300&amp;""),0),""))</f>
        <v>83</v>
      </c>
      <c r="BH93" t="str" cm="1">
        <f t="array" ref="BH93">IF(ISNUMBER($BG93),_xlfn.LET(_xlpm.p,TRIM(INDEX('TY Sales Target'!$I$5:$I$300,$BG93)&amp;""),IF(_xlpm.p="","Not set",_xlpm.p)),"Not set")</f>
        <v>I Pad</v>
      </c>
      <c r="BI93" cm="1">
        <f t="array" ref="BI93">IF($BF93="",0,_xlfn.LET(_xlpm.d,IFERROR(--'Sales and count'!$G$2:$CC$2,0),SUMPRODUCT(('Sales and count'!$G$3:$CC$3="Total")*(_xlpm.d&gt;=$BZ$5)*(_xlpm.d&lt;=$BZ$6),INDEX('Sales and count'!$G$4:$CC$300,$BF93,0))))</f>
        <v>58289.69000000001</v>
      </c>
      <c r="BJ93" cm="1">
        <f t="array" ref="BJ93">IF($AW93="",0,SUMPRODUCT((TRIM('LY Sales '!$B$5:$B$200)=$AW93)*('LY Sales '!$C$2:$AG$2&gt;=EDATE($BZ$5,-12))*('LY Sales '!$C$2:$AG$2&lt;=EDATE($BZ$6,-12)),'LY Sales '!$C$5:$AG$200))</f>
        <v>277761.04999999993</v>
      </c>
      <c r="BK93" cm="1">
        <f t="array" ref="BK93">IF($AW93="",0,SUMPRODUCT((TRIM('LY Sales '!$B$5:$B$200)=$AW93)*('LY Sales '!$C$2:$AG$2&gt;=EDATE($BZ$5,-12))*('LY Sales '!$C$2:$AG$2&lt;=EDATE($BZ$7,-12)),'LY Sales '!$C$5:$AG$200))</f>
        <v>348638.95999999985</v>
      </c>
      <c r="BL93" cm="1">
        <f t="array" ref="BL93">IF($AW93="",0,SUMPRODUCT((TRIM('LY Sales '!$B$5:$B$200)=$AW93)*('LY Sales '!$C$2:$AG$2&gt;=EDATE($BZ$5,-12))*('LY Sales '!$C$2:$AG$2&lt;=EDATE($BZ$6,-12))*('LY Sales '!$C$5:$AG$200&gt;0)))</f>
        <v>26</v>
      </c>
      <c r="BM93" cm="1">
        <f t="array" ref="BM93">IF(NOT(ISNUMBER($BG93)),0,SUMPRODUCT(('TY Sales Target'!$K$2:$AO$2&gt;=$BZ$5)*('TY Sales Target'!$K$2:$AO$2&lt;=$BZ$6),INDEX('TY Sales Target'!$K$5:$AO$300,$BG93,0)))</f>
        <v>119523.29460947045</v>
      </c>
      <c r="BN93" cm="1">
        <f t="array" ref="BN93">IF(NOT(ISNUMBER($BG93)),0,SUMPRODUCT(('TY Sales Target'!$K$2:$AO$2&gt;=$BZ$5)*('TY Sales Target'!$K$2:$AO$2&lt;=$BZ$7),INDEX('TY Sales Target'!$K$5:$AO$300,$BG93,0)))</f>
        <v>156000.00000000006</v>
      </c>
      <c r="BO93" cm="1">
        <f t="array" ref="BO93">IF($AW93="",0,IFERROR(_xlfn.SWITCH($BP93,"LY trend",$BI93*$BK93/$BJ93,"Target curve",$BI93*$BN93/$BM93,"Run rate",$BI93/$BZ$8*$BZ$9,0),0))</f>
        <v>73163.810765844959</v>
      </c>
      <c r="BP93" t="str">
        <f t="shared" si="59"/>
        <v>LY trend</v>
      </c>
      <c r="BR93" t="str">
        <v>SMARTSH</v>
      </c>
      <c r="CB93" cm="1">
        <f t="array" ref="CB93">IF($AW93="",0,_xlfn.LET(_xlpm.k,IFERROR(_xlfn.XLOOKUP($AW93,$CD$6:$CD$21,$CE$6:$CE$21),$AW93),SUMPRODUCT((TRIM('Makeup '!$A$2:$A$300&amp;"")=_xlpm.k)*1,IFERROR('Makeup '!$F$2:$F$300*1,0))))</f>
        <v>2899.08</v>
      </c>
      <c r="CF93" t="str" cm="1">
        <f t="array" ref="CF93">IF($AW93="","",_xlfn.LET(_xlpm.c,IFERROR(TRIM(INDEX('Sales and count'!$B$4:$B$300,$BF93)&amp;""),""),IF(OR(_xlpm.c="",_xlpm.c="0",LEFT(_xlpm.c,1)="#"),"Not set",_xlpm.c)))</f>
        <v>KSA</v>
      </c>
      <c r="CH93" cm="1">
        <f t="array" ref="CH93">IF($AW93="",0,_xlfn.LET(_xlpm.k,IFERROR(_xlfn.XLOOKUP($AW93,$CD$6:$CD$21,$CE$6:$CE$21),$AW93),--(SUMPRODUCT((TRIM('Makeup '!$A$2:$A$300&amp;"")=_xlpm.k)*ISNUMBER('Makeup '!$F$2:$F$300))&gt;0)))</f>
        <v>1</v>
      </c>
      <c r="CI93">
        <f t="shared" si="62"/>
        <v>58289.69000000001</v>
      </c>
      <c r="CJ93" cm="1">
        <f t="array" ref="CJ93">IF($AW93="",0,--(SUMPRODUCT(--(TRIM(Footfall!$B$5:$B$301)=$AW93))&gt;0))</f>
        <v>1</v>
      </c>
      <c r="CK93" s="8" cm="1">
        <f t="array" ref="CK93">IF($AW93="",0,_xlfn.LET(_xlpm.r,IFERROR(MATCH(IFERROR(_xlfn.XLOOKUP($AW93,$BT$5:$BT$22,$BU$5:$BU$22),$AW93),TRIM('TY Beauty Target'!$B$5:$B$300&amp;""),0),""),IF(ISNUMBER(_xlpm.r),SUMPRODUCT(('TY Beauty Target'!$L$2:$AP$2&gt;=$U$4)*('TY Beauty Target'!$L$2:$AP$2&lt;=$U$5),INDEX('TY Beauty Target'!$L$5:$AP$300,_xlpm.r,0)),0)))</f>
        <v>5310.8832515917311</v>
      </c>
    </row>
    <row r="94" spans="1:89" ht="15" customHeight="1" x14ac:dyDescent="0.25">
      <c r="A94" s="38" t="str">
        <f t="shared" ref="A94:A125" si="63">IF($AI94="","",IF(LEFT($AI94,2)="C|",MID($AI94,3,200),IF($AI94="CT","Total (selection)",IF(LEFT($AI94,3)="AM|",MID($AI94,4,200),IF(LEFT($AI94,2)="S|",MID($AI94,3,200),IF($AI94="HDR","Name",IF($AI94="SEC","AREA MANAGER → STORES","")))))))</f>
        <v/>
      </c>
      <c r="B94" s="43" t="str" cm="1">
        <f t="array" ref="B94">IF($AI94="","",IF(LEFT($AI94,2)="C|",IF($C94="","",_xlfn.TEXTJOIN(", ",TRUE,_xlfn.UNIQUE(_xlfn._xlws.FILTER($AN$5:$AN$302,($AP$5:$AP$302=1)*($AO$5:$AO$302=$A94))))),IF($AI94="CT",B$13,IF(LEFT($AI94,3)="AM|",IF($C94="","",ROWS(_xlfn.UNIQUE(_xlfn._xlws.FILTER($AO$5:$AO$302,($AP$5:$AP$302=1)*($AN$5:$AN$302=$A94))))),IF(LEFT($AI94,2)="S|",IF($AG94="","",INDEX($AO$5:$AO$302,$AH94)),IF($AI94="HDR","City",""))))))</f>
        <v/>
      </c>
      <c r="C94" s="39" t="str" cm="1">
        <f t="array" ref="C94">IF($AI94="","",IF(LEFT($AI94,2)="C|",_xlfn.LET(_xlpm.n,SUMPRODUCT($AP$5:$AP$302*($AO$5:$AO$302=$A94)),IF(_xlpm.n=0,"",_xlpm.n)),IF($AI94="CT",C$13,IF(LEFT($AI94,3)="AM|",_xlfn.LET(_xlpm.n,SUMPRODUCT($AP$5:$AP$302*($AN$5:$AN$302=$A94)),IF(_xlpm.n=0,"",_xlpm.n)),IF(LEFT($AI94,2)="S|","",IF($AI94="HDR","# Stores",""))))))</f>
        <v/>
      </c>
      <c r="D94" s="40" t="str" cm="1">
        <f t="array" ref="D94">IF($AI94="","",IF(LEFT($AI94,2)="C|",IF($C94="","",SUMPRODUCT($AP$5:$AP$302*($AO$5:$AO$302=$A94),$AR$5:$AR$302)),IF($AI94="CT",D$13,IF(LEFT($AI94,3)="AM|",IF($C94="","",SUMPRODUCT($AP$5:$AP$302*($AN$5:$AN$302=$A94),$AR$5:$AR$302)),IF(LEFT($AI94,2)="S|",IF($AG94="","",INDEX($AR$5:$AR$302,$AH94)),IF($AI94="HDR","Sales TY",""))))))</f>
        <v/>
      </c>
      <c r="E94" s="40" t="str" cm="1">
        <f t="array" ref="E94">IF($AI94="","",IF(LEFT($AI94,2)="C|",IF($C94="","",SUMPRODUCT($AP$5:$AP$302*($AO$5:$AO$302=$A94),$AT$5:$AT$302)),IF($AI94="CT",E$13,IF(LEFT($AI94,3)="AM|",IF($C94="","",SUMPRODUCT($AP$5:$AP$302*($AN$5:$AN$302=$A94),$AT$5:$AT$302)),IF(LEFT($AI94,2)="S|",IF($AG94="","",INDEX($AT$5:$AT$302,$AH94)),IF($AI94="HDR","Sales LY",""))))))</f>
        <v/>
      </c>
      <c r="F94" s="41" t="str">
        <f t="shared" ref="F94:F125" si="64">IF($AI94="","",IF(LEFT($AI94,2)="C|",IF($C94="","",IFERROR(AE94/E94-1,"")),IF($AI94="CT",F$13,IF(LEFT($AI94,3)="AM|",IF($C94="","",IFERROR(AE94/E94-1,"")),IF(LEFT($AI94,2)="S|",IF($AG94="","",IFERROR(AE94/E94-1,"")),IF($AI94="HDR","LFL vs LY",""))))))</f>
        <v/>
      </c>
      <c r="G94" s="41" t="str">
        <f t="shared" ref="G94:G125" si="65">IF($AI94="","",IF(LEFT($AI94,2)="C|",IF(D94="","",IFERROR(D94/E94-1,"")),IF($AI94="CT",G$13,IF(LEFT($AI94,3)="AM|",IF(D94="","",IFERROR(D94/E94-1,"")),IF(LEFT($AI94,2)="S|",IF(D94="","",IFERROR(D94/E94-1,"")),IF($AI94="HDR","Total Growth",""))))))</f>
        <v/>
      </c>
      <c r="H94" s="40" t="str" cm="1">
        <f t="array" ref="H94">IF($AI94="","",IF(LEFT($AI94,2)="C|",IF($C94="","",SUMPRODUCT($AP$5:$AP$302*($AO$5:$AO$302=$A94),$AV$5:$AV$302)),IF($AI94="CT",H$13,IF(LEFT($AI94,3)="AM|",IF($C94="","",SUMPRODUCT($AP$5:$AP$302*($AN$5:$AN$302=$A94),$AV$5:$AV$302)),IF(LEFT($AI94,2)="S|",IF($AG94="","",INDEX($AV$5:$AV$302,$AH94)),IF($AI94="HDR","Target",""))))))</f>
        <v/>
      </c>
      <c r="I94" s="41" t="str">
        <f t="shared" ref="I94:I125" si="66">IF($AI94="","",IF(LEFT($AI94,2)="C|",IF($C94="","",IFERROR(D94/H94,"")),IF($AI94="CT",I$13,IF(LEFT($AI94,3)="AM|",IF($C94="","",IFERROR(D94/H94,"")),IF(LEFT($AI94,2)="S|",IF($AG94="","",IFERROR(D94/H94,"")),IF($AI94="HDR","Ach. %",""))))))</f>
        <v/>
      </c>
      <c r="J94" s="40" t="str">
        <f t="shared" ref="J94:J125" si="67">IF($AI94="","",IF(LEFT($AI94,2)="C|",IF($C94="","",IF(H94=0,"",D94-H94)),IF($AI94="CT",J$13,IF(LEFT($AI94,3)="AM|",IF($C94="","",IF(H94=0,"",D94-H94)),IF(LEFT($AI94,2)="S|",IF($AG94="","",IF(H94=0,"",D94-H94)),IF($AI94="HDR","Var Target",""))))))</f>
        <v/>
      </c>
      <c r="K94" s="41" t="str">
        <f t="shared" ref="K94:K125" si="68">IF($AI94="","",IF(LEFT($AI94,2)="C|",IF($C94="","",IFERROR(D94/$D$13,"")),IF($AI94="CT",K$13,IF(LEFT($AI94,3)="AM|",IF($C94="","",IFERROR(D94/$D$13,"")),IF(LEFT($AI94,2)="S|",IF($AG94="","",IFERROR(D94/$D$13,"")),IF($AI94="HDR","% Share",""))))))</f>
        <v/>
      </c>
      <c r="L94" s="40" t="str" cm="1">
        <f t="array" ref="L94">IF($AI94="","",IF(LEFT($AI94,2)="C|",IF($C94="","",SUMPRODUCT($AP$5:$AP$302*($AO$5:$AO$302=$A94),$BN$5:$BN$302)),IF($AI94="CT",L$13,IF(LEFT($AI94,3)="AM|",IF($C94="","",SUMPRODUCT($AP$5:$AP$302*($AN$5:$AN$302=$A94),$BN$5:$BN$302)),IF(LEFT($AI94,2)="S|",IF($AG94="","",INDEX($BN$5:$BN$302,$AH94)),IF($AI94="HDR","Month Target",""))))))</f>
        <v/>
      </c>
      <c r="M94" s="40" t="str" cm="1">
        <f t="array" ref="M94">IF($AI94="","",IF(LEFT($AI94,2)="C|",IF($C94="","",SUMPRODUCT($AP$5:$AP$302*($AO$5:$AO$302=$A94),$BO$5:$BO$302)),IF($AI94="CT",M$13,IF(LEFT($AI94,3)="AM|",IF($C94="","",SUMPRODUCT($AP$5:$AP$302*($AN$5:$AN$302=$A94),$BO$5:$BO$302)),IF(LEFT($AI94,2)="S|",IF($AG94="","",INDEX($BO$5:$BO$302,$AH94)),IF($AI94="HDR","Projected Close",""))))))</f>
        <v/>
      </c>
      <c r="N94" s="41" t="str">
        <f t="shared" si="43"/>
        <v/>
      </c>
      <c r="O94" s="41" t="str" cm="1">
        <f t="array" ref="O94">IF($AI94="HDR","Proj. vs LY",IF(OR($AI94="",M94=""),"",_xlfn.LET(_xlpm.ly,IF(LEFT($AI94,2)="C|",SUMPRODUCT($AP$5:$AP$302*($AO$5:$AO$302=$A94),$BK$5:$BK$302),IF($AI94="CT",SUMPRODUCT($AP$5:$AP$302,$BK$5:$BK$302),IF(LEFT($AI94,3)="AM|",SUMPRODUCT($AP$5:$AP$302*($AN$5:$AN$302=$A94),$BK$5:$BK$302),IF(LEFT($AI94,2)="S|",INDEX($BK$5:$BK$302,$AH94),0)))),IFERROR(M94/_xlpm.ly-1,""))))</f>
        <v/>
      </c>
      <c r="P94" s="40" t="str" cm="1">
        <f t="array" ref="P94">IF($AI94="","",IF(LEFT($AI94,2)="C|",IF($C94="","",SUMPRODUCT($AP$5:$AP$302*($AO$5:$AO$302=$A94),$AS$5:$AS$302)),IF($AI94="CT",P$13,IF(LEFT($AI94,3)="AM|",IF($C94="","",SUMPRODUCT($AP$5:$AP$302*($AN$5:$AN$302=$A94),$AS$5:$AS$302)),IF(LEFT($AI94,2)="S|",IF($AG94="","",INDEX($AS$5:$AS$302,$AH94)),IF($AI94="HDR","Trans TY",""))))))</f>
        <v/>
      </c>
      <c r="Q94" s="40" t="str" cm="1">
        <f t="array" ref="Q94">IF($AI94="","",IF(LEFT($AI94,2)="C|",IF($C94="","",SUMPRODUCT($AP$5:$AP$302*($AO$5:$AO$302=$A94),$AU$5:$AU$302)),IF($AI94="CT",Q$13,IF(LEFT($AI94,3)="AM|",IF($C94="","",SUMPRODUCT($AP$5:$AP$302*($AN$5:$AN$302=$A94),$AU$5:$AU$302)),IF(LEFT($AI94,2)="S|",IF($AG94="","",INDEX($AU$5:$AU$302,$AH94)),IF($AI94="HDR","Trans LY",""))))))</f>
        <v/>
      </c>
      <c r="R94" s="41" t="str">
        <f t="shared" ref="R94:R125" si="69">IF($AI94="","",IF(LEFT($AI94,2)="C|",IF($C94="","",IFERROR(AF94/Q94-1,"")),IF($AI94="CT",R$13,IF(LEFT($AI94,3)="AM|",IF($C94="","",IFERROR(AF94/Q94-1,"")),IF(LEFT($AI94,2)="S|",IF($AG94="","",IFERROR(AF94/Q94-1,"")),IF($AI94="HDR","Trans LFL",""))))))</f>
        <v/>
      </c>
      <c r="S94" s="41" t="str">
        <f t="shared" ref="S94:S125" si="70">IF($AI94="","",IF(LEFT($AI94,2)="C|",IF(P94="","",IFERROR(P94/Q94-1,"")),IF($AI94="CT",S$13,IF(LEFT($AI94,3)="AM|",IF(P94="","",IFERROR(P94/Q94-1,"")),IF(LEFT($AI94,2)="S|",IF(P94="","",IFERROR(P94/Q94-1,"")),IF($AI94="HDR","Trans Growth",""))))))</f>
        <v/>
      </c>
      <c r="T94" s="42" t="str">
        <f t="shared" ref="T94:T125" si="71">IF($AI94="","",IF(LEFT($AI94,2)="C|",IF($C94="","",IFERROR(D94/P94,"")),IF($AI94="CT",T$13,IF(LEFT($AI94,3)="AM|",IF($C94="","",IFERROR(D94/P94,"")),IF(LEFT($AI94,2)="S|",IF($AG94="","",IFERROR(D94/P94,"")),IF($AI94="HDR","ATV TY",""))))))</f>
        <v/>
      </c>
      <c r="U94" s="42" t="str">
        <f t="shared" ref="U94:U125" si="72">IF($AI94="","",IF(LEFT($AI94,2)="C|",IF($C94="","",IFERROR(E94/Q94,"")),IF($AI94="CT",U$13,IF(LEFT($AI94,3)="AM|",IF($C94="","",IFERROR(E94/Q94,"")),IF(LEFT($AI94,2)="S|",IF($AG94="","",IFERROR(E94/Q94,"")),IF($AI94="HDR","ATV LY",""))))))</f>
        <v/>
      </c>
      <c r="V94" s="41" t="str">
        <f t="shared" ref="V94:V125" si="73">IF($AI94="","",IF(LEFT($AI94,2)="C|",IF($C94="","",IFERROR((AE94/AF94)/U94-1,"")),IF($AI94="CT",V$13,IF(LEFT($AI94,3)="AM|",IF($C94="","",IFERROR((AE94/AF94)/U94-1,"")),IF(LEFT($AI94,2)="S|",IF($AG94="","",IFERROR((AE94/AF94)/U94-1,"")),IF($AI94="HDR","ATV LFL",""))))))</f>
        <v/>
      </c>
      <c r="W94" s="40" t="str" cm="1">
        <f t="array" ref="W94">IF($AI94="","",IF(LEFT($AI94,2)="C|",_xlfn.LET(_xlpm.n,SUMPRODUCT($AP$5:$AP$302*($AO$5:$AO$302=$A94),$BB$5:$BB$302),IF(_xlpm.n=0,"",_xlpm.n)),IF($AI94="CT",W$13,IF(LEFT($AI94,3)="AM|",_xlfn.LET(_xlpm.n,SUMPRODUCT($AP$5:$AP$302*($AN$5:$AN$302=$A94),$BB$5:$BB$302),IF(_xlpm.n=0,"",_xlpm.n)),IF(LEFT($AI94,2)="S|",IF($AG94="","",_xlfn.LET(_xlpm.n,INDEX($BB$5:$BB$302,$AH94),IF(_xlpm.n=0,"",_xlpm.n))),IF($AI94="HDR","Footfall",""))))))</f>
        <v/>
      </c>
      <c r="X94" s="40" t="str" cm="1">
        <f t="array" ref="X94">IF($AI94="","",IF($AI94="HDR","Trans (FF stores)",IF(W94="","",IF(LEFT($AI94,2)="C|",SUMPRODUCT($AP$5:$AP$302*($AO$5:$AO$302=$A94),$BC$5:$BC$302),IF($AI94="CT",X$13,IF(LEFT($AI94,3)="AM|",SUMPRODUCT($AP$5:$AP$302*($AN$5:$AN$302=$A94),$BC$5:$BC$302),IF(LEFT($AI94,2)="S|",INDEX($BC$5:$BC$302,$AH94),"")))))))</f>
        <v/>
      </c>
      <c r="Y94" s="41" t="str">
        <f t="shared" si="44"/>
        <v/>
      </c>
      <c r="Z94" s="40" t="str" cm="1">
        <f t="array" ref="Z94">IF($AI94="","",IF(LEFT($AI94,2)="C|",IF($C94="","",SUMPRODUCT($AP$5:$AP$302*($AO$5:$AO$302=$A94),$CB$5:$CB$302)),IF($AI94="CT",Z$13,IF(LEFT($AI94,3)="AM|",IF($C94="","",SUMPRODUCT($AP$5:$AP$302*($AN$5:$AN$302=$A94),$CB$5:$CB$302)),IF(LEFT($AI94,2)="S|",IF($AG94="","",INDEX($CB$5:$CB$302,$AH94)),IF($AI94="HDR","Makeup Sales",""))))))</f>
        <v/>
      </c>
      <c r="AA94" s="41" t="str">
        <f t="shared" ref="AA94:AA125" si="74">IF($AI94="HDR","Makeup % of Sales",IF(OR(Z94="",AD94=""),"",IFERROR(Z94/AD94,"")))</f>
        <v/>
      </c>
      <c r="AB94" s="40" t="str" cm="1">
        <f t="array" ref="AB94">IF($AI94="","",IF(LEFT($AI94,2)="C|",IF($C94="","",SUMPRODUCT($AP$5:$AP$302*($AO$5:$AO$302=$A94),$CK$5:$CK$302)),IF($AI94="CT",AB$13,IF(LEFT($AI94,3)="AM|",IF($C94="","",SUMPRODUCT($AP$5:$AP$302*($AN$5:$AN$302=$A94),$CK$5:$CK$302)),IF(LEFT($AI94,2)="S|",IF($AG94="","",INDEX($CK$5:$CK$302,$AH94)),IF($AI94="HDR","Makeup Target",""))))))</f>
        <v/>
      </c>
      <c r="AC94" s="41" t="str">
        <f t="shared" si="45"/>
        <v/>
      </c>
      <c r="AD94" s="40" t="str" cm="1">
        <f t="array" ref="AD94">IF($AI94="","",IF(LEFT($AI94,2)="C|",IF($C94="","",SUMPRODUCT($AP$5:$AP$302*($AO$5:$AO$302=$A94),$CI$5:$CI$302)),IF($AI94="CT",AD$13,IF(LEFT($AI94,3)="AM|",IF($C94="","",SUMPRODUCT($AP$5:$AP$302*($AN$5:$AN$302=$A94),$CI$5:$CI$302)),IF(LEFT($AI94,2)="S|",IF($AG94="","",INDEX($CI$5:$CI$302,$AH94)),IF($AI94="HDR","Cosmetic Sales",""))))))</f>
        <v/>
      </c>
      <c r="AE94" s="8" t="str" cm="1">
        <f t="array" ref="AE94">IF($AI94="","",IF(LEFT($AI94,2)="C|",IF($C94="","",SUMPRODUCT($AP$5:$AP$302*($AO$5:$AO$302=$A94)*$AQ$5:$AQ$302,$AR$5:$AR$302)),IF($AI94="CT",AE$13,IF(LEFT($AI94,3)="AM|",IF($C94="","",SUMPRODUCT($AP$5:$AP$302*($AN$5:$AN$302=$A94)*$AQ$5:$AQ$302,$AR$5:$AR$302)),IF(LEFT($AI94,2)="S|",IF($AG94="","",IF(INDEX($AQ$5:$AQ$302,$AH94)=1,D94,0)),IF($AI94="HDR","LFL Sales",""))))))</f>
        <v/>
      </c>
      <c r="AF94" s="8" t="str" cm="1">
        <f t="array" ref="AF94">IF($AI94="","",IF(LEFT($AI94,2)="C|",IF($C94="","",SUMPRODUCT($AP$5:$AP$302*($AO$5:$AO$302=$A94)*$AQ$5:$AQ$302,$AS$5:$AS$302)),IF($AI94="CT",AF$13,IF(LEFT($AI94,3)="AM|",IF($C94="","",SUMPRODUCT($AP$5:$AP$302*($AN$5:$AN$302=$A94)*$AQ$5:$AQ$302,$AS$5:$AS$302)),IF(LEFT($AI94,2)="S|",IF($AG94="","",IF(INDEX($AQ$5:$AQ$302,$AH94)=1,P94,0)),IF($AI94="HDR","LFL Trans",""))))))</f>
        <v/>
      </c>
      <c r="AG94" s="8" t="str" cm="1">
        <f t="array" ref="AG94">IF($AI94="","",IF(LEFT($AI94,2)="C|","",IF($AI94="CT","",IF(LEFT($AI94,3)="AM|","",IF(LEFT($AI94,2)="S|",IF($AH94="","",IF(INDEX($AP$5:$AP$302,$AH94)=1,1,"")),IF($AI94="HDR","Show",""))))))</f>
        <v/>
      </c>
      <c r="AH94" s="8" t="str">
        <f t="shared" ref="AH94:AH125" si="75">IF($AI94="","",IF(LEFT($AI94,2)="C|","",IF($AI94="CT","",IF(LEFT($AI94,3)="AM|","",IF(LEFT($AI94,2)="S|",IFERROR(MATCH($A94,$AW$5:$AW$302,0),""),IF($AI94="HDR","Src Row",""))))))</f>
        <v/>
      </c>
      <c r="AI94" s="8"/>
      <c r="AN94" s="8" t="str" cm="1">
        <f t="array" ref="AN94">IF($AW94="","",_xlfn.LET(_xlpm.sa,IFERROR(TRIM(INDEX('Sales and count'!$D$4:$D$300,$BF94)&amp;""),""),_xlpm.ta,IFERROR(TRIM(INDEX('TY Sales Target'!$F$5:$F$300,$BG94)&amp;""),""),IF(AND(_xlpm.sa&lt;&gt;"",LEFT(_xlpm.sa,1)&lt;&gt;"#",_xlpm.sa&lt;&gt;"0"),_xlpm.sa,IF(AND(_xlpm.ta&lt;&gt;"",LEFT(_xlpm.ta,1)&lt;&gt;"#",_xlpm.ta&lt;&gt;"0"),_xlpm.ta,IF(ISNUMBER($BG94),"Unassigned","")))))</f>
        <v>Maram Zamzami</v>
      </c>
      <c r="AO94" s="8" t="str" cm="1">
        <f t="array" ref="AO94">IF($AW94="","",_xlfn.LET(_xlpm.sa,IFERROR(TRIM(INDEX('Sales and count'!$C$4:$C$300,$BF94)&amp;""),""),_xlpm.ta,IFERROR(TRIM(INDEX('TY Sales Target'!$D$5:$D$300,$BG94)&amp;""),""),IF(AND(_xlpm.sa&lt;&gt;"",LEFT(_xlpm.sa,1)&lt;&gt;"#",_xlpm.sa&lt;&gt;"0"),_xlpm.sa,IF(AND(_xlpm.ta&lt;&gt;"",LEFT(_xlpm.ta,1)&lt;&gt;"#",_xlpm.ta&lt;&gt;"0"),_xlpm.ta,""))))</f>
        <v>Makkah</v>
      </c>
      <c r="AP94" s="8">
        <f t="shared" si="60"/>
        <v>0</v>
      </c>
      <c r="AQ94" s="8">
        <f t="shared" si="61"/>
        <v>0</v>
      </c>
      <c r="AR94" s="8" cm="1">
        <f t="array" ref="AR94">IF($BF94="",0,_xlfn.LET(_xlpm.d,IFERROR(--'Sales and count'!$G$2:$CC$2,0),SUMPRODUCT(('Sales and count'!$G$3:$CC$3="Total")*(_xlpm.d&gt;=$U$4)*(_xlpm.d&lt;=$U$5),INDEX('Sales and count'!$G$4:$CC$300,$BF94,0))))</f>
        <v>126070.2</v>
      </c>
      <c r="AS94" s="8" cm="1">
        <f t="array" aca="1" ref="AS94" ca="1">IF($BF94="",0,_xlfn.LET(_xlpm.d,IFERROR(--'Sales and count'!$F$2:$CB$2,0),SUMPRODUCT(('Sales and count'!$G$3:$CC$3="Transactions")*(_xlpm.d&gt;=$U$4)*(_xlpm.d&lt;=$U$5),INDEX('Sales and count'!$G$4:$CC$300,$BF94,0))))</f>
        <v>504</v>
      </c>
      <c r="AT94" s="8" cm="1">
        <f t="array" ref="AT94">IF($AW94="",0,SUMPRODUCT((TRIM('LY Sales '!$B$5:$B$200)=$AW94)*('LY Sales '!$C$2:$AG$2&gt;=EDATE($U$4,-12))*('LY Sales '!$C$2:$AG$2&lt;=EDATE($U$5,-12)),'LY Sales '!$C$5:$AG$200))</f>
        <v>0</v>
      </c>
      <c r="AU94" s="8" cm="1">
        <f t="array" ref="AU94">IF($AW94="",0,SUMPRODUCT((TRIM('LY Transaction'!$B$5:$B$200)=$AW94)*('LY Transaction'!$C$2:$AG$2&gt;=EDATE($U$4,-12))*('LY Transaction'!$C$2:$AG$2&lt;=EDATE($U$5,-12)),'LY Transaction'!$C$5:$AG$200))</f>
        <v>0</v>
      </c>
      <c r="AV94" s="8" cm="1">
        <f t="array" ref="AV94">IF(NOT(ISNUMBER($BG94)),0,SUMPRODUCT(('TY Sales Target'!$K$2:$AO$2&gt;=$U$4)*('TY Sales Target'!$K$2:$AO$2&lt;=$U$5),INDEX('TY Sales Target'!$K$5:$AO$300,$BG94,0)))</f>
        <v>229852.489633597</v>
      </c>
      <c r="AW94" s="8" t="str" cm="1">
        <f t="array" ref="AW94">IFERROR(INDEX(_xlfn.ANCHORARRAY($BR$5),ROWS($AW$5:AW94)),"")</f>
        <v>HAABRAJ2</v>
      </c>
      <c r="BB94" cm="1">
        <f t="array" ref="BB94">IF($AW94="",0,SUMPRODUCT((TRIM(Footfall!$B$5:$B$301)=$AW94)*(Footfall!$C$1:$BZ$1&gt;=$U$4)*(Footfall!$C$2:$BZ$2&lt;=$U$5)*(Footfall!$C$1:$BZ$1&lt;&gt;""),Footfall!$C$5:$BZ$301))</f>
        <v>0</v>
      </c>
      <c r="BC94" cm="1">
        <f t="array" ref="BC94">IF(OR($BB94&lt;=0,$BD$1="",$BF94=""),0,_xlfn.LET(_xlpm.d,IFERROR(--'Sales and count'!$F$2:$CB$2,0),SUMPRODUCT(('Sales and count'!$G$3:$CC$3="Transactions")*(_xlpm.d&gt;=$BD$1)*(_xlpm.d&lt;=$BD$2),INDEX('Sales and count'!$G$4:$CC$300,$BF94,0))))</f>
        <v>0</v>
      </c>
      <c r="BF94" cm="1">
        <f t="array" ref="BF94">IF($AW94="","",IFERROR(MATCH($AW94,TRIM('Sales and count'!$A$4:$A$300&amp;""),0),""))</f>
        <v>90</v>
      </c>
      <c r="BG94" cm="1">
        <f t="array" ref="BG94">IF($AW94="","",IFERROR(MATCH(IFERROR(_xlfn.XLOOKUP($AW94,$BT$5:$BT$22,$BU$5:$BU$22),$AW94),TRIM('TY Sales Target'!$B$5:$B$300&amp;""),0),""))</f>
        <v>35</v>
      </c>
      <c r="BH94" t="str" cm="1">
        <f t="array" ref="BH94">IF(ISNUMBER($BG94),_xlfn.LET(_xlpm.p,TRIM(INDEX('TY Sales Target'!$I$5:$I$300,$BG94)&amp;""),IF(_xlpm.p="","Not set",_xlpm.p)),"Not set")</f>
        <v>Smart Phone</v>
      </c>
      <c r="BI94" cm="1">
        <f t="array" ref="BI94">IF($BF94="",0,_xlfn.LET(_xlpm.d,IFERROR(--'Sales and count'!$G$2:$CC$2,0),SUMPRODUCT(('Sales and count'!$G$3:$CC$3="Total")*(_xlpm.d&gt;=$BZ$5)*(_xlpm.d&lt;=$BZ$6),INDEX('Sales and count'!$G$4:$CC$300,$BF94,0))))</f>
        <v>126070.2</v>
      </c>
      <c r="BJ94" cm="1">
        <f t="array" ref="BJ94">IF($AW94="",0,SUMPRODUCT((TRIM('LY Sales '!$B$5:$B$200)=$AW94)*('LY Sales '!$C$2:$AG$2&gt;=EDATE($BZ$5,-12))*('LY Sales '!$C$2:$AG$2&lt;=EDATE($BZ$6,-12)),'LY Sales '!$C$5:$AG$200))</f>
        <v>0</v>
      </c>
      <c r="BK94" cm="1">
        <f t="array" ref="BK94">IF($AW94="",0,SUMPRODUCT((TRIM('LY Sales '!$B$5:$B$200)=$AW94)*('LY Sales '!$C$2:$AG$2&gt;=EDATE($BZ$5,-12))*('LY Sales '!$C$2:$AG$2&lt;=EDATE($BZ$7,-12)),'LY Sales '!$C$5:$AG$200))</f>
        <v>0</v>
      </c>
      <c r="BL94" cm="1">
        <f t="array" ref="BL94">IF($AW94="",0,SUMPRODUCT((TRIM('LY Sales '!$B$5:$B$200)=$AW94)*('LY Sales '!$C$2:$AG$2&gt;=EDATE($BZ$5,-12))*('LY Sales '!$C$2:$AG$2&lt;=EDATE($BZ$6,-12))*('LY Sales '!$C$5:$AG$200&gt;0)))</f>
        <v>0</v>
      </c>
      <c r="BM94" cm="1">
        <f t="array" ref="BM94">IF(NOT(ISNUMBER($BG94)),0,SUMPRODUCT(('TY Sales Target'!$K$2:$AO$2&gt;=$BZ$5)*('TY Sales Target'!$K$2:$AO$2&lt;=$BZ$6),INDEX('TY Sales Target'!$K$5:$AO$300,$BG94,0)))</f>
        <v>229852.489633597</v>
      </c>
      <c r="BN94" cm="1">
        <f t="array" ref="BN94">IF(NOT(ISNUMBER($BG94)),0,SUMPRODUCT(('TY Sales Target'!$K$2:$AO$2&gt;=$BZ$5)*('TY Sales Target'!$K$2:$AO$2&lt;=$BZ$7),INDEX('TY Sales Target'!$K$5:$AO$300,$BG94,0)))</f>
        <v>300000</v>
      </c>
      <c r="BO94" cm="1">
        <f t="array" ref="BO94">IF($AW94="",0,IFERROR(_xlfn.SWITCH($BP94,"LY trend",$BI94*$BK94/$BJ94,"Target curve",$BI94*$BN94/$BM94,"Run rate",$BI94/$BZ$8*$BZ$9,0),0))</f>
        <v>164544.92209455618</v>
      </c>
      <c r="BP94" t="str">
        <f t="shared" si="59"/>
        <v>Target curve</v>
      </c>
      <c r="BR94" t="str">
        <v>HAABRAJ2</v>
      </c>
      <c r="CB94" cm="1">
        <f t="array" ref="CB94">IF($AW94="",0,_xlfn.LET(_xlpm.k,IFERROR(_xlfn.XLOOKUP($AW94,$CD$6:$CD$21,$CE$6:$CE$21),$AW94),SUMPRODUCT((TRIM('Makeup '!$A$2:$A$300&amp;"")=_xlpm.k)*1,IFERROR('Makeup '!$F$2:$F$300*1,0))))</f>
        <v>10958.54</v>
      </c>
      <c r="CF94" t="str" cm="1">
        <f t="array" ref="CF94">IF($AW94="","",_xlfn.LET(_xlpm.c,IFERROR(TRIM(INDEX('Sales and count'!$B$4:$B$300,$BF94)&amp;""),""),IF(OR(_xlpm.c="",_xlpm.c="0",LEFT(_xlpm.c,1)="#"),"Not set",_xlpm.c)))</f>
        <v>KSA</v>
      </c>
      <c r="CH94" cm="1">
        <f t="array" ref="CH94">IF($AW94="",0,_xlfn.LET(_xlpm.k,IFERROR(_xlfn.XLOOKUP($AW94,$CD$6:$CD$21,$CE$6:$CE$21),$AW94),--(SUMPRODUCT((TRIM('Makeup '!$A$2:$A$300&amp;"")=_xlpm.k)*ISNUMBER('Makeup '!$F$2:$F$300))&gt;0)))</f>
        <v>1</v>
      </c>
      <c r="CI94">
        <f t="shared" si="62"/>
        <v>126070.2</v>
      </c>
      <c r="CJ94" cm="1">
        <f t="array" ref="CJ94">IF($AW94="",0,--(SUMPRODUCT(--(TRIM(Footfall!$B$5:$B$301)=$AW94))&gt;0))</f>
        <v>0</v>
      </c>
      <c r="CK94" s="8" cm="1">
        <f t="array" ref="CK94">IF($AW94="",0,_xlfn.LET(_xlpm.r,IFERROR(MATCH(IFERROR(_xlfn.XLOOKUP($AW94,$BT$5:$BT$22,$BU$5:$BU$22),$AW94),TRIM('TY Beauty Target'!$B$5:$B$300&amp;""),0),""),IF(ISNUMBER(_xlpm.r),SUMPRODUCT(('TY Beauty Target'!$L$2:$AP$2&gt;=$U$4)*('TY Beauty Target'!$L$2:$AP$2&lt;=$U$5),INDEX('TY Beauty Target'!$L$5:$AP$300,_xlpm.r,0)),0)))</f>
        <v>25401.464282155641</v>
      </c>
    </row>
    <row r="95" spans="1:89" ht="15" customHeight="1" x14ac:dyDescent="0.25">
      <c r="A95" s="38" t="str">
        <f t="shared" si="63"/>
        <v/>
      </c>
      <c r="B95" s="43" t="str" cm="1">
        <f t="array" ref="B95">IF($AI95="","",IF(LEFT($AI95,2)="C|",IF($C95="","",_xlfn.TEXTJOIN(", ",TRUE,_xlfn.UNIQUE(_xlfn._xlws.FILTER($AN$5:$AN$302,($AP$5:$AP$302=1)*($AO$5:$AO$302=$A95))))),IF($AI95="CT",B$13,IF(LEFT($AI95,3)="AM|",IF($C95="","",ROWS(_xlfn.UNIQUE(_xlfn._xlws.FILTER($AO$5:$AO$302,($AP$5:$AP$302=1)*($AN$5:$AN$302=$A95))))),IF(LEFT($AI95,2)="S|",IF($AG95="","",INDEX($AO$5:$AO$302,$AH95)),IF($AI95="HDR","City",""))))))</f>
        <v/>
      </c>
      <c r="C95" s="39" t="str" cm="1">
        <f t="array" ref="C95">IF($AI95="","",IF(LEFT($AI95,2)="C|",_xlfn.LET(_xlpm.n,SUMPRODUCT($AP$5:$AP$302*($AO$5:$AO$302=$A95)),IF(_xlpm.n=0,"",_xlpm.n)),IF($AI95="CT",C$13,IF(LEFT($AI95,3)="AM|",_xlfn.LET(_xlpm.n,SUMPRODUCT($AP$5:$AP$302*($AN$5:$AN$302=$A95)),IF(_xlpm.n=0,"",_xlpm.n)),IF(LEFT($AI95,2)="S|","",IF($AI95="HDR","# Stores",""))))))</f>
        <v/>
      </c>
      <c r="D95" s="40" t="str" cm="1">
        <f t="array" ref="D95">IF($AI95="","",IF(LEFT($AI95,2)="C|",IF($C95="","",SUMPRODUCT($AP$5:$AP$302*($AO$5:$AO$302=$A95),$AR$5:$AR$302)),IF($AI95="CT",D$13,IF(LEFT($AI95,3)="AM|",IF($C95="","",SUMPRODUCT($AP$5:$AP$302*($AN$5:$AN$302=$A95),$AR$5:$AR$302)),IF(LEFT($AI95,2)="S|",IF($AG95="","",INDEX($AR$5:$AR$302,$AH95)),IF($AI95="HDR","Sales TY",""))))))</f>
        <v/>
      </c>
      <c r="E95" s="40" t="str" cm="1">
        <f t="array" ref="E95">IF($AI95="","",IF(LEFT($AI95,2)="C|",IF($C95="","",SUMPRODUCT($AP$5:$AP$302*($AO$5:$AO$302=$A95),$AT$5:$AT$302)),IF($AI95="CT",E$13,IF(LEFT($AI95,3)="AM|",IF($C95="","",SUMPRODUCT($AP$5:$AP$302*($AN$5:$AN$302=$A95),$AT$5:$AT$302)),IF(LEFT($AI95,2)="S|",IF($AG95="","",INDEX($AT$5:$AT$302,$AH95)),IF($AI95="HDR","Sales LY",""))))))</f>
        <v/>
      </c>
      <c r="F95" s="41" t="str">
        <f t="shared" si="64"/>
        <v/>
      </c>
      <c r="G95" s="41" t="str">
        <f t="shared" si="65"/>
        <v/>
      </c>
      <c r="H95" s="40" t="str" cm="1">
        <f t="array" ref="H95">IF($AI95="","",IF(LEFT($AI95,2)="C|",IF($C95="","",SUMPRODUCT($AP$5:$AP$302*($AO$5:$AO$302=$A95),$AV$5:$AV$302)),IF($AI95="CT",H$13,IF(LEFT($AI95,3)="AM|",IF($C95="","",SUMPRODUCT($AP$5:$AP$302*($AN$5:$AN$302=$A95),$AV$5:$AV$302)),IF(LEFT($AI95,2)="S|",IF($AG95="","",INDEX($AV$5:$AV$302,$AH95)),IF($AI95="HDR","Target",""))))))</f>
        <v/>
      </c>
      <c r="I95" s="41" t="str">
        <f t="shared" si="66"/>
        <v/>
      </c>
      <c r="J95" s="40" t="str">
        <f t="shared" si="67"/>
        <v/>
      </c>
      <c r="K95" s="41" t="str">
        <f t="shared" si="68"/>
        <v/>
      </c>
      <c r="L95" s="40" t="str" cm="1">
        <f t="array" ref="L95">IF($AI95="","",IF(LEFT($AI95,2)="C|",IF($C95="","",SUMPRODUCT($AP$5:$AP$302*($AO$5:$AO$302=$A95),$BN$5:$BN$302)),IF($AI95="CT",L$13,IF(LEFT($AI95,3)="AM|",IF($C95="","",SUMPRODUCT($AP$5:$AP$302*($AN$5:$AN$302=$A95),$BN$5:$BN$302)),IF(LEFT($AI95,2)="S|",IF($AG95="","",INDEX($BN$5:$BN$302,$AH95)),IF($AI95="HDR","Month Target",""))))))</f>
        <v/>
      </c>
      <c r="M95" s="40" t="str" cm="1">
        <f t="array" ref="M95">IF($AI95="","",IF(LEFT($AI95,2)="C|",IF($C95="","",SUMPRODUCT($AP$5:$AP$302*($AO$5:$AO$302=$A95),$BO$5:$BO$302)),IF($AI95="CT",M$13,IF(LEFT($AI95,3)="AM|",IF($C95="","",SUMPRODUCT($AP$5:$AP$302*($AN$5:$AN$302=$A95),$BO$5:$BO$302)),IF(LEFT($AI95,2)="S|",IF($AG95="","",INDEX($BO$5:$BO$302,$AH95)),IF($AI95="HDR","Projected Close",""))))))</f>
        <v/>
      </c>
      <c r="N95" s="41" t="str">
        <f t="shared" ref="N95:N158" si="76">IF($AI95="HDR","Proj. Ach %",IF(OR(L95="",M95=""),"",IFERROR(M95/L95,"")))</f>
        <v/>
      </c>
      <c r="O95" s="41" t="str" cm="1">
        <f t="array" ref="O95">IF($AI95="HDR","Proj. vs LY",IF(OR($AI95="",M95=""),"",_xlfn.LET(_xlpm.ly,IF(LEFT($AI95,2)="C|",SUMPRODUCT($AP$5:$AP$302*($AO$5:$AO$302=$A95),$BK$5:$BK$302),IF($AI95="CT",SUMPRODUCT($AP$5:$AP$302,$BK$5:$BK$302),IF(LEFT($AI95,3)="AM|",SUMPRODUCT($AP$5:$AP$302*($AN$5:$AN$302=$A95),$BK$5:$BK$302),IF(LEFT($AI95,2)="S|",INDEX($BK$5:$BK$302,$AH95),0)))),IFERROR(M95/_xlpm.ly-1,""))))</f>
        <v/>
      </c>
      <c r="P95" s="40" t="str" cm="1">
        <f t="array" ref="P95">IF($AI95="","",IF(LEFT($AI95,2)="C|",IF($C95="","",SUMPRODUCT($AP$5:$AP$302*($AO$5:$AO$302=$A95),$AS$5:$AS$302)),IF($AI95="CT",P$13,IF(LEFT($AI95,3)="AM|",IF($C95="","",SUMPRODUCT($AP$5:$AP$302*($AN$5:$AN$302=$A95),$AS$5:$AS$302)),IF(LEFT($AI95,2)="S|",IF($AG95="","",INDEX($AS$5:$AS$302,$AH95)),IF($AI95="HDR","Trans TY",""))))))</f>
        <v/>
      </c>
      <c r="Q95" s="40" t="str" cm="1">
        <f t="array" ref="Q95">IF($AI95="","",IF(LEFT($AI95,2)="C|",IF($C95="","",SUMPRODUCT($AP$5:$AP$302*($AO$5:$AO$302=$A95),$AU$5:$AU$302)),IF($AI95="CT",Q$13,IF(LEFT($AI95,3)="AM|",IF($C95="","",SUMPRODUCT($AP$5:$AP$302*($AN$5:$AN$302=$A95),$AU$5:$AU$302)),IF(LEFT($AI95,2)="S|",IF($AG95="","",INDEX($AU$5:$AU$302,$AH95)),IF($AI95="HDR","Trans LY",""))))))</f>
        <v/>
      </c>
      <c r="R95" s="41" t="str">
        <f t="shared" si="69"/>
        <v/>
      </c>
      <c r="S95" s="41" t="str">
        <f t="shared" si="70"/>
        <v/>
      </c>
      <c r="T95" s="42" t="str">
        <f t="shared" si="71"/>
        <v/>
      </c>
      <c r="U95" s="42" t="str">
        <f t="shared" si="72"/>
        <v/>
      </c>
      <c r="V95" s="41" t="str">
        <f t="shared" si="73"/>
        <v/>
      </c>
      <c r="W95" s="40" t="str" cm="1">
        <f t="array" ref="W95">IF($AI95="","",IF(LEFT($AI95,2)="C|",_xlfn.LET(_xlpm.n,SUMPRODUCT($AP$5:$AP$302*($AO$5:$AO$302=$A95),$BB$5:$BB$302),IF(_xlpm.n=0,"",_xlpm.n)),IF($AI95="CT",W$13,IF(LEFT($AI95,3)="AM|",_xlfn.LET(_xlpm.n,SUMPRODUCT($AP$5:$AP$302*($AN$5:$AN$302=$A95),$BB$5:$BB$302),IF(_xlpm.n=0,"",_xlpm.n)),IF(LEFT($AI95,2)="S|",IF($AG95="","",_xlfn.LET(_xlpm.n,INDEX($BB$5:$BB$302,$AH95),IF(_xlpm.n=0,"",_xlpm.n))),IF($AI95="HDR","Footfall",""))))))</f>
        <v/>
      </c>
      <c r="X95" s="40" t="str" cm="1">
        <f t="array" ref="X95">IF($AI95="","",IF($AI95="HDR","Trans (FF stores)",IF(W95="","",IF(LEFT($AI95,2)="C|",SUMPRODUCT($AP$5:$AP$302*($AO$5:$AO$302=$A95),$BC$5:$BC$302),IF($AI95="CT",X$13,IF(LEFT($AI95,3)="AM|",SUMPRODUCT($AP$5:$AP$302*($AN$5:$AN$302=$A95),$BC$5:$BC$302),IF(LEFT($AI95,2)="S|",INDEX($BC$5:$BC$302,$AH95),"")))))))</f>
        <v/>
      </c>
      <c r="Y95" s="41" t="str">
        <f t="shared" ref="Y95:Y158" si="77">IF($AI95="","",IF($AI95="HDR","Conversion %",IF(OR(W95="",X95=""),"",IFERROR(X95/W95,""))))</f>
        <v/>
      </c>
      <c r="Z95" s="40" t="str" cm="1">
        <f t="array" ref="Z95">IF($AI95="","",IF(LEFT($AI95,2)="C|",IF($C95="","",SUMPRODUCT($AP$5:$AP$302*($AO$5:$AO$302=$A95),$CB$5:$CB$302)),IF($AI95="CT",Z$13,IF(LEFT($AI95,3)="AM|",IF($C95="","",SUMPRODUCT($AP$5:$AP$302*($AN$5:$AN$302=$A95),$CB$5:$CB$302)),IF(LEFT($AI95,2)="S|",IF($AG95="","",INDEX($CB$5:$CB$302,$AH95)),IF($AI95="HDR","Makeup Sales",""))))))</f>
        <v/>
      </c>
      <c r="AA95" s="41" t="str">
        <f t="shared" si="74"/>
        <v/>
      </c>
      <c r="AB95" s="40" t="str" cm="1">
        <f t="array" ref="AB95">IF($AI95="","",IF(LEFT($AI95,2)="C|",IF($C95="","",SUMPRODUCT($AP$5:$AP$302*($AO$5:$AO$302=$A95),$CK$5:$CK$302)),IF($AI95="CT",AB$13,IF(LEFT($AI95,3)="AM|",IF($C95="","",SUMPRODUCT($AP$5:$AP$302*($AN$5:$AN$302=$A95),$CK$5:$CK$302)),IF(LEFT($AI95,2)="S|",IF($AG95="","",INDEX($CK$5:$CK$302,$AH95)),IF($AI95="HDR","Makeup Target",""))))))</f>
        <v/>
      </c>
      <c r="AC95" s="41" t="str">
        <f t="shared" ref="AC95:AC158" si="78">IF($AI95="HDR","Makeup Ach. %",IF(OR(Z95="",AB95=""),"",IFERROR(Z95/AB95,"")))</f>
        <v/>
      </c>
      <c r="AD95" s="40" t="str" cm="1">
        <f t="array" ref="AD95">IF($AI95="","",IF(LEFT($AI95,2)="C|",IF($C95="","",SUMPRODUCT($AP$5:$AP$302*($AO$5:$AO$302=$A95),$CI$5:$CI$302)),IF($AI95="CT",AD$13,IF(LEFT($AI95,3)="AM|",IF($C95="","",SUMPRODUCT($AP$5:$AP$302*($AN$5:$AN$302=$A95),$CI$5:$CI$302)),IF(LEFT($AI95,2)="S|",IF($AG95="","",INDEX($CI$5:$CI$302,$AH95)),IF($AI95="HDR","Cosmetic Sales",""))))))</f>
        <v/>
      </c>
      <c r="AE95" s="8" t="str" cm="1">
        <f t="array" ref="AE95">IF($AI95="","",IF(LEFT($AI95,2)="C|",IF($C95="","",SUMPRODUCT($AP$5:$AP$302*($AO$5:$AO$302=$A95)*$AQ$5:$AQ$302,$AR$5:$AR$302)),IF($AI95="CT",AE$13,IF(LEFT($AI95,3)="AM|",IF($C95="","",SUMPRODUCT($AP$5:$AP$302*($AN$5:$AN$302=$A95)*$AQ$5:$AQ$302,$AR$5:$AR$302)),IF(LEFT($AI95,2)="S|",IF($AG95="","",IF(INDEX($AQ$5:$AQ$302,$AH95)=1,D95,0)),IF($AI95="HDR","LFL Sales",""))))))</f>
        <v/>
      </c>
      <c r="AF95" s="8" t="str" cm="1">
        <f t="array" ref="AF95">IF($AI95="","",IF(LEFT($AI95,2)="C|",IF($C95="","",SUMPRODUCT($AP$5:$AP$302*($AO$5:$AO$302=$A95)*$AQ$5:$AQ$302,$AS$5:$AS$302)),IF($AI95="CT",AF$13,IF(LEFT($AI95,3)="AM|",IF($C95="","",SUMPRODUCT($AP$5:$AP$302*($AN$5:$AN$302=$A95)*$AQ$5:$AQ$302,$AS$5:$AS$302)),IF(LEFT($AI95,2)="S|",IF($AG95="","",IF(INDEX($AQ$5:$AQ$302,$AH95)=1,P95,0)),IF($AI95="HDR","LFL Trans",""))))))</f>
        <v/>
      </c>
      <c r="AG95" s="8" t="str" cm="1">
        <f t="array" ref="AG95">IF($AI95="","",IF(LEFT($AI95,2)="C|","",IF($AI95="CT","",IF(LEFT($AI95,3)="AM|","",IF(LEFT($AI95,2)="S|",IF($AH95="","",IF(INDEX($AP$5:$AP$302,$AH95)=1,1,"")),IF($AI95="HDR","Show",""))))))</f>
        <v/>
      </c>
      <c r="AH95" s="8" t="str">
        <f t="shared" si="75"/>
        <v/>
      </c>
      <c r="AI95" s="8"/>
      <c r="AN95" s="8" t="str" cm="1">
        <f t="array" ref="AN95">IF($AW95="","",_xlfn.LET(_xlpm.sa,IFERROR(TRIM(INDEX('Sales and count'!$D$4:$D$300,$BF95)&amp;""),""),_xlpm.ta,IFERROR(TRIM(INDEX('TY Sales Target'!$F$5:$F$300,$BG95)&amp;""),""),IF(AND(_xlpm.sa&lt;&gt;"",LEFT(_xlpm.sa,1)&lt;&gt;"#",_xlpm.sa&lt;&gt;"0"),_xlpm.sa,IF(AND(_xlpm.ta&lt;&gt;"",LEFT(_xlpm.ta,1)&lt;&gt;"#",_xlpm.ta&lt;&gt;"0"),_xlpm.ta,IF(ISNUMBER($BG95),"Unassigned","")))))</f>
        <v>Saleh Bin Hoiel</v>
      </c>
      <c r="AO95" s="8" t="str" cm="1">
        <f t="array" ref="AO95">IF($AW95="","",_xlfn.LET(_xlpm.sa,IFERROR(TRIM(INDEX('Sales and count'!$C$4:$C$300,$BF95)&amp;""),""),_xlpm.ta,IFERROR(TRIM(INDEX('TY Sales Target'!$D$5:$D$300,$BG95)&amp;""),""),IF(AND(_xlpm.sa&lt;&gt;"",LEFT(_xlpm.sa,1)&lt;&gt;"#",_xlpm.sa&lt;&gt;"0"),_xlpm.sa,IF(AND(_xlpm.ta&lt;&gt;"",LEFT(_xlpm.ta,1)&lt;&gt;"#",_xlpm.ta&lt;&gt;"0"),_xlpm.ta,""))))</f>
        <v>Jeddah</v>
      </c>
      <c r="AP95" s="8">
        <f t="shared" si="60"/>
        <v>1</v>
      </c>
      <c r="AQ95" s="8">
        <f t="shared" si="61"/>
        <v>1</v>
      </c>
      <c r="AR95" s="8" cm="1">
        <f t="array" ref="AR95">IF($BF95="",0,_xlfn.LET(_xlpm.d,IFERROR(--'Sales and count'!$G$2:$CC$2,0),SUMPRODUCT(('Sales and count'!$G$3:$CC$3="Total")*(_xlpm.d&gt;=$U$4)*(_xlpm.d&lt;=$U$5),INDEX('Sales and count'!$G$4:$CC$300,$BF95,0))))</f>
        <v>62756.610000000008</v>
      </c>
      <c r="AS95" s="8" cm="1">
        <f t="array" aca="1" ref="AS95" ca="1">IF($BF95="",0,_xlfn.LET(_xlpm.d,IFERROR(--'Sales and count'!$F$2:$CB$2,0),SUMPRODUCT(('Sales and count'!$G$3:$CC$3="Transactions")*(_xlpm.d&gt;=$U$4)*(_xlpm.d&lt;=$U$5),INDEX('Sales and count'!$G$4:$CC$300,$BF95,0))))</f>
        <v>418</v>
      </c>
      <c r="AT95" s="8" cm="1">
        <f t="array" ref="AT95">IF($AW95="",0,SUMPRODUCT((TRIM('LY Sales '!$B$5:$B$200)=$AW95)*('LY Sales '!$C$2:$AG$2&gt;=EDATE($U$4,-12))*('LY Sales '!$C$2:$AG$2&lt;=EDATE($U$5,-12)),'LY Sales '!$C$5:$AG$200))</f>
        <v>105670.64000000001</v>
      </c>
      <c r="AU95" s="8" cm="1">
        <f t="array" ref="AU95">IF($AW95="",0,SUMPRODUCT((TRIM('LY Transaction'!$B$5:$B$200)=$AW95)*('LY Transaction'!$C$2:$AG$2&gt;=EDATE($U$4,-12))*('LY Transaction'!$C$2:$AG$2&lt;=EDATE($U$5,-12)),'LY Transaction'!$C$5:$AG$200))</f>
        <v>753</v>
      </c>
      <c r="AV95" s="8" cm="1">
        <f t="array" ref="AV95">IF(NOT(ISNUMBER($BG95)),0,SUMPRODUCT(('TY Sales Target'!$K$2:$AO$2&gt;=$U$4)*('TY Sales Target'!$K$2:$AO$2&lt;=$U$5),INDEX('TY Sales Target'!$K$5:$AO$300,$BG95,0)))</f>
        <v>111095.36998957187</v>
      </c>
      <c r="AW95" s="8" t="str" cm="1">
        <f t="array" ref="AW95">IFERROR(INDEX(_xlfn.ANCHORARRAY($BR$5),ROWS($AW$5:AW95)),"")</f>
        <v>HAOBHRPLZ</v>
      </c>
      <c r="BB95" cm="1">
        <f t="array" ref="BB95">IF($AW95="",0,SUMPRODUCT((TRIM(Footfall!$B$5:$B$301)=$AW95)*(Footfall!$C$1:$BZ$1&gt;=$U$4)*(Footfall!$C$2:$BZ$2&lt;=$U$5)*(Footfall!$C$1:$BZ$1&lt;&gt;""),Footfall!$C$5:$BZ$301))</f>
        <v>2059</v>
      </c>
      <c r="BC95" cm="1">
        <f t="array" aca="1" ref="BC95" ca="1">IF(OR($BB95&lt;=0,$BD$1="",$BF95=""),0,_xlfn.LET(_xlpm.d,IFERROR(--'Sales and count'!$F$2:$CB$2,0),SUMPRODUCT(('Sales and count'!$G$3:$CC$3="Transactions")*(_xlpm.d&gt;=$BD$1)*(_xlpm.d&lt;=$BD$2),INDEX('Sales and count'!$G$4:$CC$300,$BF95,0))))</f>
        <v>418</v>
      </c>
      <c r="BF95" cm="1">
        <f t="array" ref="BF95">IF($AW95="","",IFERROR(MATCH($AW95,TRIM('Sales and count'!$A$4:$A$300&amp;""),0),""))</f>
        <v>91</v>
      </c>
      <c r="BG95" cm="1">
        <f t="array" ref="BG95">IF($AW95="","",IFERROR(MATCH(IFERROR(_xlfn.XLOOKUP($AW95,$BT$5:$BT$22,$BU$5:$BU$22),$AW95),TRIM('TY Sales Target'!$B$5:$B$300&amp;""),0),""))</f>
        <v>90</v>
      </c>
      <c r="BH95" t="str" cm="1">
        <f t="array" ref="BH95">IF(ISNUMBER($BG95),_xlfn.LET(_xlpm.p,TRIM(INDEX('TY Sales Target'!$I$5:$I$300,$BG95)&amp;""),IF(_xlpm.p="","Not set",_xlpm.p)),"Not set")</f>
        <v>Smart Watch</v>
      </c>
      <c r="BI95" cm="1">
        <f t="array" ref="BI95">IF($BF95="",0,_xlfn.LET(_xlpm.d,IFERROR(--'Sales and count'!$G$2:$CC$2,0),SUMPRODUCT(('Sales and count'!$G$3:$CC$3="Total")*(_xlpm.d&gt;=$BZ$5)*(_xlpm.d&lt;=$BZ$6),INDEX('Sales and count'!$G$4:$CC$300,$BF95,0))))</f>
        <v>62756.610000000008</v>
      </c>
      <c r="BJ95" cm="1">
        <f t="array" ref="BJ95">IF($AW95="",0,SUMPRODUCT((TRIM('LY Sales '!$B$5:$B$200)=$AW95)*('LY Sales '!$C$2:$AG$2&gt;=EDATE($BZ$5,-12))*('LY Sales '!$C$2:$AG$2&lt;=EDATE($BZ$6,-12)),'LY Sales '!$C$5:$AG$200))</f>
        <v>105670.64000000001</v>
      </c>
      <c r="BK95" cm="1">
        <f t="array" ref="BK95">IF($AW95="",0,SUMPRODUCT((TRIM('LY Sales '!$B$5:$B$200)=$AW95)*('LY Sales '!$C$2:$AG$2&gt;=EDATE($BZ$5,-12))*('LY Sales '!$C$2:$AG$2&lt;=EDATE($BZ$7,-12)),'LY Sales '!$C$5:$AG$200))</f>
        <v>137190.12</v>
      </c>
      <c r="BL95" cm="1">
        <f t="array" ref="BL95">IF($AW95="",0,SUMPRODUCT((TRIM('LY Sales '!$B$5:$B$200)=$AW95)*('LY Sales '!$C$2:$AG$2&gt;=EDATE($BZ$5,-12))*('LY Sales '!$C$2:$AG$2&lt;=EDATE($BZ$6,-12))*('LY Sales '!$C$5:$AG$200&gt;0)))</f>
        <v>26</v>
      </c>
      <c r="BM95" cm="1">
        <f t="array" ref="BM95">IF(NOT(ISNUMBER($BG95)),0,SUMPRODUCT(('TY Sales Target'!$K$2:$AO$2&gt;=$BZ$5)*('TY Sales Target'!$K$2:$AO$2&lt;=$BZ$6),INDEX('TY Sales Target'!$K$5:$AO$300,$BG95,0)))</f>
        <v>111095.36998957187</v>
      </c>
      <c r="BN95" cm="1">
        <f t="array" ref="BN95">IF(NOT(ISNUMBER($BG95)),0,SUMPRODUCT(('TY Sales Target'!$K$2:$AO$2&gt;=$BZ$5)*('TY Sales Target'!$K$2:$AO$2&lt;=$BZ$7),INDEX('TY Sales Target'!$K$5:$AO$300,$BG95,0)))</f>
        <v>145000</v>
      </c>
      <c r="BO95" cm="1">
        <f t="array" ref="BO95">IF($AW95="",0,IFERROR(_xlfn.SWITCH($BP95,"LY trend",$BI95*$BK95/$BJ95,"Target curve",$BI95*$BN95/$BM95,"Run rate",$BI95/$BZ$8*$BZ$9,0),0))</f>
        <v>81475.676277660474</v>
      </c>
      <c r="BP95" t="str">
        <f t="shared" si="59"/>
        <v>LY trend</v>
      </c>
      <c r="BR95" t="str">
        <v>HAOBHRPLZ</v>
      </c>
      <c r="CB95" cm="1">
        <f t="array" ref="CB95">IF($AW95="",0,_xlfn.LET(_xlpm.k,IFERROR(_xlfn.XLOOKUP($AW95,$CD$6:$CD$21,$CE$6:$CE$21),$AW95),SUMPRODUCT((TRIM('Makeup '!$A$2:$A$300&amp;"")=_xlpm.k)*1,IFERROR('Makeup '!$F$2:$F$300*1,0))))</f>
        <v>1773.13</v>
      </c>
      <c r="CF95" t="str" cm="1">
        <f t="array" ref="CF95">IF($AW95="","",_xlfn.LET(_xlpm.c,IFERROR(TRIM(INDEX('Sales and count'!$B$4:$B$300,$BF95)&amp;""),""),IF(OR(_xlpm.c="",_xlpm.c="0",LEFT(_xlpm.c,1)="#"),"Not set",_xlpm.c)))</f>
        <v>KSA</v>
      </c>
      <c r="CH95" cm="1">
        <f t="array" ref="CH95">IF($AW95="",0,_xlfn.LET(_xlpm.k,IFERROR(_xlfn.XLOOKUP($AW95,$CD$6:$CD$21,$CE$6:$CE$21),$AW95),--(SUMPRODUCT((TRIM('Makeup '!$A$2:$A$300&amp;"")=_xlpm.k)*ISNUMBER('Makeup '!$F$2:$F$300))&gt;0)))</f>
        <v>1</v>
      </c>
      <c r="CI95">
        <f t="shared" si="62"/>
        <v>62756.610000000008</v>
      </c>
      <c r="CJ95" cm="1">
        <f t="array" ref="CJ95">IF($AW95="",0,--(SUMPRODUCT(--(TRIM(Footfall!$B$5:$B$301)=$AW95))&gt;0))</f>
        <v>1</v>
      </c>
      <c r="CK95" s="8" cm="1">
        <f t="array" ref="CK95">IF($AW95="",0,_xlfn.LET(_xlpm.r,IFERROR(MATCH(IFERROR(_xlfn.XLOOKUP($AW95,$BT$5:$BT$22,$BU$5:$BU$22),$AW95),TRIM('TY Beauty Target'!$B$5:$B$300&amp;""),0),""),IF(ISNUMBER(_xlpm.r),SUMPRODUCT(('TY Beauty Target'!$L$2:$AP$2&gt;=$U$4)*('TY Beauty Target'!$L$2:$AP$2&lt;=$U$5),INDEX('TY Beauty Target'!$L$5:$AP$300,_xlpm.r,0)),0)))</f>
        <v>4042.3560755064987</v>
      </c>
    </row>
    <row r="96" spans="1:89" ht="15" customHeight="1" x14ac:dyDescent="0.25">
      <c r="A96" s="38" t="str">
        <f t="shared" si="63"/>
        <v/>
      </c>
      <c r="B96" s="43" t="str" cm="1">
        <f t="array" ref="B96">IF($AI96="","",IF(LEFT($AI96,2)="C|",IF($C96="","",_xlfn.TEXTJOIN(", ",TRUE,_xlfn.UNIQUE(_xlfn._xlws.FILTER($AN$5:$AN$302,($AP$5:$AP$302=1)*($AO$5:$AO$302=$A96))))),IF($AI96="CT",B$13,IF(LEFT($AI96,3)="AM|",IF($C96="","",ROWS(_xlfn.UNIQUE(_xlfn._xlws.FILTER($AO$5:$AO$302,($AP$5:$AP$302=1)*($AN$5:$AN$302=$A96))))),IF(LEFT($AI96,2)="S|",IF($AG96="","",INDEX($AO$5:$AO$302,$AH96)),IF($AI96="HDR","City",""))))))</f>
        <v/>
      </c>
      <c r="C96" s="39" t="str" cm="1">
        <f t="array" ref="C96">IF($AI96="","",IF(LEFT($AI96,2)="C|",_xlfn.LET(_xlpm.n,SUMPRODUCT($AP$5:$AP$302*($AO$5:$AO$302=$A96)),IF(_xlpm.n=0,"",_xlpm.n)),IF($AI96="CT",C$13,IF(LEFT($AI96,3)="AM|",_xlfn.LET(_xlpm.n,SUMPRODUCT($AP$5:$AP$302*($AN$5:$AN$302=$A96)),IF(_xlpm.n=0,"",_xlpm.n)),IF(LEFT($AI96,2)="S|","",IF($AI96="HDR","# Stores",""))))))</f>
        <v/>
      </c>
      <c r="D96" s="40" t="str" cm="1">
        <f t="array" ref="D96">IF($AI96="","",IF(LEFT($AI96,2)="C|",IF($C96="","",SUMPRODUCT($AP$5:$AP$302*($AO$5:$AO$302=$A96),$AR$5:$AR$302)),IF($AI96="CT",D$13,IF(LEFT($AI96,3)="AM|",IF($C96="","",SUMPRODUCT($AP$5:$AP$302*($AN$5:$AN$302=$A96),$AR$5:$AR$302)),IF(LEFT($AI96,2)="S|",IF($AG96="","",INDEX($AR$5:$AR$302,$AH96)),IF($AI96="HDR","Sales TY",""))))))</f>
        <v/>
      </c>
      <c r="E96" s="40" t="str" cm="1">
        <f t="array" ref="E96">IF($AI96="","",IF(LEFT($AI96,2)="C|",IF($C96="","",SUMPRODUCT($AP$5:$AP$302*($AO$5:$AO$302=$A96),$AT$5:$AT$302)),IF($AI96="CT",E$13,IF(LEFT($AI96,3)="AM|",IF($C96="","",SUMPRODUCT($AP$5:$AP$302*($AN$5:$AN$302=$A96),$AT$5:$AT$302)),IF(LEFT($AI96,2)="S|",IF($AG96="","",INDEX($AT$5:$AT$302,$AH96)),IF($AI96="HDR","Sales LY",""))))))</f>
        <v/>
      </c>
      <c r="F96" s="41" t="str">
        <f t="shared" si="64"/>
        <v/>
      </c>
      <c r="G96" s="41" t="str">
        <f t="shared" si="65"/>
        <v/>
      </c>
      <c r="H96" s="40" t="str" cm="1">
        <f t="array" ref="H96">IF($AI96="","",IF(LEFT($AI96,2)="C|",IF($C96="","",SUMPRODUCT($AP$5:$AP$302*($AO$5:$AO$302=$A96),$AV$5:$AV$302)),IF($AI96="CT",H$13,IF(LEFT($AI96,3)="AM|",IF($C96="","",SUMPRODUCT($AP$5:$AP$302*($AN$5:$AN$302=$A96),$AV$5:$AV$302)),IF(LEFT($AI96,2)="S|",IF($AG96="","",INDEX($AV$5:$AV$302,$AH96)),IF($AI96="HDR","Target",""))))))</f>
        <v/>
      </c>
      <c r="I96" s="41" t="str">
        <f t="shared" si="66"/>
        <v/>
      </c>
      <c r="J96" s="40" t="str">
        <f t="shared" si="67"/>
        <v/>
      </c>
      <c r="K96" s="41" t="str">
        <f t="shared" si="68"/>
        <v/>
      </c>
      <c r="L96" s="40" t="str" cm="1">
        <f t="array" ref="L96">IF($AI96="","",IF(LEFT($AI96,2)="C|",IF($C96="","",SUMPRODUCT($AP$5:$AP$302*($AO$5:$AO$302=$A96),$BN$5:$BN$302)),IF($AI96="CT",L$13,IF(LEFT($AI96,3)="AM|",IF($C96="","",SUMPRODUCT($AP$5:$AP$302*($AN$5:$AN$302=$A96),$BN$5:$BN$302)),IF(LEFT($AI96,2)="S|",IF($AG96="","",INDEX($BN$5:$BN$302,$AH96)),IF($AI96="HDR","Month Target",""))))))</f>
        <v/>
      </c>
      <c r="M96" s="40" t="str" cm="1">
        <f t="array" ref="M96">IF($AI96="","",IF(LEFT($AI96,2)="C|",IF($C96="","",SUMPRODUCT($AP$5:$AP$302*($AO$5:$AO$302=$A96),$BO$5:$BO$302)),IF($AI96="CT",M$13,IF(LEFT($AI96,3)="AM|",IF($C96="","",SUMPRODUCT($AP$5:$AP$302*($AN$5:$AN$302=$A96),$BO$5:$BO$302)),IF(LEFT($AI96,2)="S|",IF($AG96="","",INDEX($BO$5:$BO$302,$AH96)),IF($AI96="HDR","Projected Close",""))))))</f>
        <v/>
      </c>
      <c r="N96" s="41" t="str">
        <f t="shared" si="76"/>
        <v/>
      </c>
      <c r="O96" s="41" t="str" cm="1">
        <f t="array" ref="O96">IF($AI96="HDR","Proj. vs LY",IF(OR($AI96="",M96=""),"",_xlfn.LET(_xlpm.ly,IF(LEFT($AI96,2)="C|",SUMPRODUCT($AP$5:$AP$302*($AO$5:$AO$302=$A96),$BK$5:$BK$302),IF($AI96="CT",SUMPRODUCT($AP$5:$AP$302,$BK$5:$BK$302),IF(LEFT($AI96,3)="AM|",SUMPRODUCT($AP$5:$AP$302*($AN$5:$AN$302=$A96),$BK$5:$BK$302),IF(LEFT($AI96,2)="S|",INDEX($BK$5:$BK$302,$AH96),0)))),IFERROR(M96/_xlpm.ly-1,""))))</f>
        <v/>
      </c>
      <c r="P96" s="40" t="str" cm="1">
        <f t="array" ref="P96">IF($AI96="","",IF(LEFT($AI96,2)="C|",IF($C96="","",SUMPRODUCT($AP$5:$AP$302*($AO$5:$AO$302=$A96),$AS$5:$AS$302)),IF($AI96="CT",P$13,IF(LEFT($AI96,3)="AM|",IF($C96="","",SUMPRODUCT($AP$5:$AP$302*($AN$5:$AN$302=$A96),$AS$5:$AS$302)),IF(LEFT($AI96,2)="S|",IF($AG96="","",INDEX($AS$5:$AS$302,$AH96)),IF($AI96="HDR","Trans TY",""))))))</f>
        <v/>
      </c>
      <c r="Q96" s="40" t="str" cm="1">
        <f t="array" ref="Q96">IF($AI96="","",IF(LEFT($AI96,2)="C|",IF($C96="","",SUMPRODUCT($AP$5:$AP$302*($AO$5:$AO$302=$A96),$AU$5:$AU$302)),IF($AI96="CT",Q$13,IF(LEFT($AI96,3)="AM|",IF($C96="","",SUMPRODUCT($AP$5:$AP$302*($AN$5:$AN$302=$A96),$AU$5:$AU$302)),IF(LEFT($AI96,2)="S|",IF($AG96="","",INDEX($AU$5:$AU$302,$AH96)),IF($AI96="HDR","Trans LY",""))))))</f>
        <v/>
      </c>
      <c r="R96" s="41" t="str">
        <f t="shared" si="69"/>
        <v/>
      </c>
      <c r="S96" s="41" t="str">
        <f t="shared" si="70"/>
        <v/>
      </c>
      <c r="T96" s="42" t="str">
        <f t="shared" si="71"/>
        <v/>
      </c>
      <c r="U96" s="42" t="str">
        <f t="shared" si="72"/>
        <v/>
      </c>
      <c r="V96" s="41" t="str">
        <f t="shared" si="73"/>
        <v/>
      </c>
      <c r="W96" s="40" t="str" cm="1">
        <f t="array" ref="W96">IF($AI96="","",IF(LEFT($AI96,2)="C|",_xlfn.LET(_xlpm.n,SUMPRODUCT($AP$5:$AP$302*($AO$5:$AO$302=$A96),$BB$5:$BB$302),IF(_xlpm.n=0,"",_xlpm.n)),IF($AI96="CT",W$13,IF(LEFT($AI96,3)="AM|",_xlfn.LET(_xlpm.n,SUMPRODUCT($AP$5:$AP$302*($AN$5:$AN$302=$A96),$BB$5:$BB$302),IF(_xlpm.n=0,"",_xlpm.n)),IF(LEFT($AI96,2)="S|",IF($AG96="","",_xlfn.LET(_xlpm.n,INDEX($BB$5:$BB$302,$AH96),IF(_xlpm.n=0,"",_xlpm.n))),IF($AI96="HDR","Footfall",""))))))</f>
        <v/>
      </c>
      <c r="X96" s="40" t="str" cm="1">
        <f t="array" ref="X96">IF($AI96="","",IF($AI96="HDR","Trans (FF stores)",IF(W96="","",IF(LEFT($AI96,2)="C|",SUMPRODUCT($AP$5:$AP$302*($AO$5:$AO$302=$A96),$BC$5:$BC$302),IF($AI96="CT",X$13,IF(LEFT($AI96,3)="AM|",SUMPRODUCT($AP$5:$AP$302*($AN$5:$AN$302=$A96),$BC$5:$BC$302),IF(LEFT($AI96,2)="S|",INDEX($BC$5:$BC$302,$AH96),"")))))))</f>
        <v/>
      </c>
      <c r="Y96" s="41" t="str">
        <f t="shared" si="77"/>
        <v/>
      </c>
      <c r="Z96" s="40" t="str" cm="1">
        <f t="array" ref="Z96">IF($AI96="","",IF(LEFT($AI96,2)="C|",IF($C96="","",SUMPRODUCT($AP$5:$AP$302*($AO$5:$AO$302=$A96),$CB$5:$CB$302)),IF($AI96="CT",Z$13,IF(LEFT($AI96,3)="AM|",IF($C96="","",SUMPRODUCT($AP$5:$AP$302*($AN$5:$AN$302=$A96),$CB$5:$CB$302)),IF(LEFT($AI96,2)="S|",IF($AG96="","",INDEX($CB$5:$CB$302,$AH96)),IF($AI96="HDR","Makeup Sales",""))))))</f>
        <v/>
      </c>
      <c r="AA96" s="41" t="str">
        <f t="shared" si="74"/>
        <v/>
      </c>
      <c r="AB96" s="40" t="str" cm="1">
        <f t="array" ref="AB96">IF($AI96="","",IF(LEFT($AI96,2)="C|",IF($C96="","",SUMPRODUCT($AP$5:$AP$302*($AO$5:$AO$302=$A96),$CK$5:$CK$302)),IF($AI96="CT",AB$13,IF(LEFT($AI96,3)="AM|",IF($C96="","",SUMPRODUCT($AP$5:$AP$302*($AN$5:$AN$302=$A96),$CK$5:$CK$302)),IF(LEFT($AI96,2)="S|",IF($AG96="","",INDEX($CK$5:$CK$302,$AH96)),IF($AI96="HDR","Makeup Target",""))))))</f>
        <v/>
      </c>
      <c r="AC96" s="41" t="str">
        <f t="shared" si="78"/>
        <v/>
      </c>
      <c r="AD96" s="40" t="str" cm="1">
        <f t="array" ref="AD96">IF($AI96="","",IF(LEFT($AI96,2)="C|",IF($C96="","",SUMPRODUCT($AP$5:$AP$302*($AO$5:$AO$302=$A96),$CI$5:$CI$302)),IF($AI96="CT",AD$13,IF(LEFT($AI96,3)="AM|",IF($C96="","",SUMPRODUCT($AP$5:$AP$302*($AN$5:$AN$302=$A96),$CI$5:$CI$302)),IF(LEFT($AI96,2)="S|",IF($AG96="","",INDEX($CI$5:$CI$302,$AH96)),IF($AI96="HDR","Cosmetic Sales",""))))))</f>
        <v/>
      </c>
      <c r="AE96" s="8" t="str" cm="1">
        <f t="array" ref="AE96">IF($AI96="","",IF(LEFT($AI96,2)="C|",IF($C96="","",SUMPRODUCT($AP$5:$AP$302*($AO$5:$AO$302=$A96)*$AQ$5:$AQ$302,$AR$5:$AR$302)),IF($AI96="CT",AE$13,IF(LEFT($AI96,3)="AM|",IF($C96="","",SUMPRODUCT($AP$5:$AP$302*($AN$5:$AN$302=$A96)*$AQ$5:$AQ$302,$AR$5:$AR$302)),IF(LEFT($AI96,2)="S|",IF($AG96="","",IF(INDEX($AQ$5:$AQ$302,$AH96)=1,D96,0)),IF($AI96="HDR","LFL Sales",""))))))</f>
        <v/>
      </c>
      <c r="AF96" s="8" t="str" cm="1">
        <f t="array" ref="AF96">IF($AI96="","",IF(LEFT($AI96,2)="C|",IF($C96="","",SUMPRODUCT($AP$5:$AP$302*($AO$5:$AO$302=$A96)*$AQ$5:$AQ$302,$AS$5:$AS$302)),IF($AI96="CT",AF$13,IF(LEFT($AI96,3)="AM|",IF($C96="","",SUMPRODUCT($AP$5:$AP$302*($AN$5:$AN$302=$A96)*$AQ$5:$AQ$302,$AS$5:$AS$302)),IF(LEFT($AI96,2)="S|",IF($AG96="","",IF(INDEX($AQ$5:$AQ$302,$AH96)=1,P96,0)),IF($AI96="HDR","LFL Trans",""))))))</f>
        <v/>
      </c>
      <c r="AG96" s="8" t="str" cm="1">
        <f t="array" ref="AG96">IF($AI96="","",IF(LEFT($AI96,2)="C|","",IF($AI96="CT","",IF(LEFT($AI96,3)="AM|","",IF(LEFT($AI96,2)="S|",IF($AH96="","",IF(INDEX($AP$5:$AP$302,$AH96)=1,1,"")),IF($AI96="HDR","Show",""))))))</f>
        <v/>
      </c>
      <c r="AH96" s="8" t="str">
        <f t="shared" si="75"/>
        <v/>
      </c>
      <c r="AI96" s="8"/>
      <c r="AN96" s="8" t="str" cm="1">
        <f t="array" ref="AN96">IF($AW96="","",_xlfn.LET(_xlpm.sa,IFERROR(TRIM(INDEX('Sales and count'!$D$4:$D$300,$BF96)&amp;""),""),_xlpm.ta,IFERROR(TRIM(INDEX('TY Sales Target'!$F$5:$F$300,$BG96)&amp;""),""),IF(AND(_xlpm.sa&lt;&gt;"",LEFT(_xlpm.sa,1)&lt;&gt;"#",_xlpm.sa&lt;&gt;"0"),_xlpm.sa,IF(AND(_xlpm.ta&lt;&gt;"",LEFT(_xlpm.ta,1)&lt;&gt;"#",_xlpm.ta&lt;&gt;"0"),_xlpm.ta,IF(ISNUMBER($BG96),"Unassigned","")))))</f>
        <v>Mohammed Sanad</v>
      </c>
      <c r="AO96" s="8" t="str" cm="1">
        <f t="array" ref="AO96">IF($AW96="","",_xlfn.LET(_xlpm.sa,IFERROR(TRIM(INDEX('Sales and count'!$C$4:$C$300,$BF96)&amp;""),""),_xlpm.ta,IFERROR(TRIM(INDEX('TY Sales Target'!$D$5:$D$300,$BG96)&amp;""),""),IF(AND(_xlpm.sa&lt;&gt;"",LEFT(_xlpm.sa,1)&lt;&gt;"#",_xlpm.sa&lt;&gt;"0"),_xlpm.sa,IF(AND(_xlpm.ta&lt;&gt;"",LEFT(_xlpm.ta,1)&lt;&gt;"#",_xlpm.ta&lt;&gt;"0"),_xlpm.ta,""))))</f>
        <v>Riyadh</v>
      </c>
      <c r="AP96" s="8">
        <f t="shared" si="60"/>
        <v>0</v>
      </c>
      <c r="AQ96" s="8">
        <f t="shared" si="61"/>
        <v>1</v>
      </c>
      <c r="AR96" s="8" cm="1">
        <f t="array" ref="AR96">IF($BF96="",0,_xlfn.LET(_xlpm.d,IFERROR(--'Sales and count'!$G$2:$CC$2,0),SUMPRODUCT(('Sales and count'!$G$3:$CC$3="Total")*(_xlpm.d&gt;=$U$4)*(_xlpm.d&lt;=$U$5),INDEX('Sales and count'!$G$4:$CC$300,$BF96,0))))</f>
        <v>83877.84</v>
      </c>
      <c r="AS96" s="8" cm="1">
        <f t="array" aca="1" ref="AS96" ca="1">IF($BF96="",0,_xlfn.LET(_xlpm.d,IFERROR(--'Sales and count'!$F$2:$CB$2,0),SUMPRODUCT(('Sales and count'!$G$3:$CC$3="Transactions")*(_xlpm.d&gt;=$U$4)*(_xlpm.d&lt;=$U$5),INDEX('Sales and count'!$G$4:$CC$300,$BF96,0))))</f>
        <v>658</v>
      </c>
      <c r="AT96" s="8" cm="1">
        <f t="array" ref="AT96">IF($AW96="",0,SUMPRODUCT((TRIM('LY Sales '!$B$5:$B$200)=$AW96)*('LY Sales '!$C$2:$AG$2&gt;=EDATE($U$4,-12))*('LY Sales '!$C$2:$AG$2&lt;=EDATE($U$5,-12)),'LY Sales '!$C$5:$AG$200))</f>
        <v>112754.55000000002</v>
      </c>
      <c r="AU96" s="8" cm="1">
        <f t="array" ref="AU96">IF($AW96="",0,SUMPRODUCT((TRIM('LY Transaction'!$B$5:$B$200)=$AW96)*('LY Transaction'!$C$2:$AG$2&gt;=EDATE($U$4,-12))*('LY Transaction'!$C$2:$AG$2&lt;=EDATE($U$5,-12)),'LY Transaction'!$C$5:$AG$200))</f>
        <v>870</v>
      </c>
      <c r="AV96" s="8" cm="1">
        <f t="array" ref="AV96">IF(NOT(ISNUMBER($BG96)),0,SUMPRODUCT(('TY Sales Target'!$K$2:$AO$2&gt;=$U$4)*('TY Sales Target'!$K$2:$AO$2&lt;=$U$5),INDEX('TY Sales Target'!$K$5:$AO$300,$BG96,0)))</f>
        <v>159364.39281262722</v>
      </c>
      <c r="AW96" s="8" t="str" cm="1">
        <f t="array" ref="AW96">IFERROR(INDEX(_xlfn.ANCHORARRAY($BR$5),ROWS($AW$5:AW96)),"")</f>
        <v>HAOTRABWAH</v>
      </c>
      <c r="BB96" cm="1">
        <f t="array" ref="BB96">IF($AW96="",0,SUMPRODUCT((TRIM(Footfall!$B$5:$B$301)=$AW96)*(Footfall!$C$1:$BZ$1&gt;=$U$4)*(Footfall!$C$2:$BZ$2&lt;=$U$5)*(Footfall!$C$1:$BZ$1&lt;&gt;""),Footfall!$C$5:$BZ$301))</f>
        <v>0</v>
      </c>
      <c r="BC96" cm="1">
        <f t="array" ref="BC96">IF(OR($BB96&lt;=0,$BD$1="",$BF96=""),0,_xlfn.LET(_xlpm.d,IFERROR(--'Sales and count'!$F$2:$CB$2,0),SUMPRODUCT(('Sales and count'!$G$3:$CC$3="Transactions")*(_xlpm.d&gt;=$BD$1)*(_xlpm.d&lt;=$BD$2),INDEX('Sales and count'!$G$4:$CC$300,$BF96,0))))</f>
        <v>0</v>
      </c>
      <c r="BF96" cm="1">
        <f t="array" ref="BF96">IF($AW96="","",IFERROR(MATCH($AW96,TRIM('Sales and count'!$A$4:$A$300&amp;""),0),""))</f>
        <v>92</v>
      </c>
      <c r="BG96" cm="1">
        <f t="array" ref="BG96">IF($AW96="","",IFERROR(MATCH(IFERROR(_xlfn.XLOOKUP($AW96,$BT$5:$BT$22,$BU$5:$BU$22),$AW96),TRIM('TY Sales Target'!$B$5:$B$300&amp;""),0),""))</f>
        <v>65</v>
      </c>
      <c r="BH96" t="str" cm="1">
        <f t="array" ref="BH96">IF(ISNUMBER($BG96),_xlfn.LET(_xlpm.p,TRIM(INDEX('TY Sales Target'!$I$5:$I$300,$BG96)&amp;""),IF(_xlpm.p="","Not set",_xlpm.p)),"Not set")</f>
        <v>Smart Phone</v>
      </c>
      <c r="BI96" cm="1">
        <f t="array" ref="BI96">IF($BF96="",0,_xlfn.LET(_xlpm.d,IFERROR(--'Sales and count'!$G$2:$CC$2,0),SUMPRODUCT(('Sales and count'!$G$3:$CC$3="Total")*(_xlpm.d&gt;=$BZ$5)*(_xlpm.d&lt;=$BZ$6),INDEX('Sales and count'!$G$4:$CC$300,$BF96,0))))</f>
        <v>83877.84</v>
      </c>
      <c r="BJ96" cm="1">
        <f t="array" ref="BJ96">IF($AW96="",0,SUMPRODUCT((TRIM('LY Sales '!$B$5:$B$200)=$AW96)*('LY Sales '!$C$2:$AG$2&gt;=EDATE($BZ$5,-12))*('LY Sales '!$C$2:$AG$2&lt;=EDATE($BZ$6,-12)),'LY Sales '!$C$5:$AG$200))</f>
        <v>112754.55000000002</v>
      </c>
      <c r="BK96" cm="1">
        <f t="array" ref="BK96">IF($AW96="",0,SUMPRODUCT((TRIM('LY Sales '!$B$5:$B$200)=$AW96)*('LY Sales '!$C$2:$AG$2&gt;=EDATE($BZ$5,-12))*('LY Sales '!$C$2:$AG$2&lt;=EDATE($BZ$7,-12)),'LY Sales '!$C$5:$AG$200))</f>
        <v>139198.87</v>
      </c>
      <c r="BL96" cm="1">
        <f t="array" ref="BL96">IF($AW96="",0,SUMPRODUCT((TRIM('LY Sales '!$B$5:$B$200)=$AW96)*('LY Sales '!$C$2:$AG$2&gt;=EDATE($BZ$5,-12))*('LY Sales '!$C$2:$AG$2&lt;=EDATE($BZ$6,-12))*('LY Sales '!$C$5:$AG$200&gt;0)))</f>
        <v>26</v>
      </c>
      <c r="BM96" cm="1">
        <f t="array" ref="BM96">IF(NOT(ISNUMBER($BG96)),0,SUMPRODUCT(('TY Sales Target'!$K$2:$AO$2&gt;=$BZ$5)*('TY Sales Target'!$K$2:$AO$2&lt;=$BZ$6),INDEX('TY Sales Target'!$K$5:$AO$300,$BG96,0)))</f>
        <v>159364.39281262722</v>
      </c>
      <c r="BN96" cm="1">
        <f t="array" ref="BN96">IF(NOT(ISNUMBER($BG96)),0,SUMPRODUCT(('TY Sales Target'!$K$2:$AO$2&gt;=$BZ$5)*('TY Sales Target'!$K$2:$AO$2&lt;=$BZ$7),INDEX('TY Sales Target'!$K$5:$AO$300,$BG96,0)))</f>
        <v>208000</v>
      </c>
      <c r="BO96" cm="1">
        <f t="array" ref="BO96">IF($AW96="",0,IFERROR(_xlfn.SWITCH($BP96,"LY trend",$BI96*$BK96/$BJ96,"Target curve",$BI96*$BN96/$BM96,"Run rate",$BI96/$BZ$8*$BZ$9,0),0))</f>
        <v>103549.70638471615</v>
      </c>
      <c r="BP96" t="str">
        <f t="shared" si="59"/>
        <v>LY trend</v>
      </c>
      <c r="BR96" t="str">
        <v>HAOTRABWAH</v>
      </c>
      <c r="CB96" cm="1">
        <f t="array" ref="CB96">IF($AW96="",0,_xlfn.LET(_xlpm.k,IFERROR(_xlfn.XLOOKUP($AW96,$CD$6:$CD$21,$CE$6:$CE$21),$AW96),SUMPRODUCT((TRIM('Makeup '!$A$2:$A$300&amp;"")=_xlpm.k)*1,IFERROR('Makeup '!$F$2:$F$300*1,0))))</f>
        <v>7269.68</v>
      </c>
      <c r="CF96" t="str" cm="1">
        <f t="array" ref="CF96">IF($AW96="","",_xlfn.LET(_xlpm.c,IFERROR(TRIM(INDEX('Sales and count'!$B$4:$B$300,$BF96)&amp;""),""),IF(OR(_xlpm.c="",_xlpm.c="0",LEFT(_xlpm.c,1)="#"),"Not set",_xlpm.c)))</f>
        <v>KSA</v>
      </c>
      <c r="CH96" cm="1">
        <f t="array" ref="CH96">IF($AW96="",0,_xlfn.LET(_xlpm.k,IFERROR(_xlfn.XLOOKUP($AW96,$CD$6:$CD$21,$CE$6:$CE$21),$AW96),--(SUMPRODUCT((TRIM('Makeup '!$A$2:$A$300&amp;"")=_xlpm.k)*ISNUMBER('Makeup '!$F$2:$F$300))&gt;0)))</f>
        <v>1</v>
      </c>
      <c r="CI96">
        <f t="shared" si="62"/>
        <v>83877.84</v>
      </c>
      <c r="CJ96" cm="1">
        <f t="array" ref="CJ96">IF($AW96="",0,--(SUMPRODUCT(--(TRIM(Footfall!$B$5:$B$301)=$AW96))&gt;0))</f>
        <v>0</v>
      </c>
      <c r="CK96" s="8" cm="1">
        <f t="array" ref="CK96">IF($AW96="",0,_xlfn.LET(_xlpm.r,IFERROR(MATCH(IFERROR(_xlfn.XLOOKUP($AW96,$BT$5:$BT$22,$BU$5:$BU$22),$AW96),TRIM('TY Beauty Target'!$B$5:$B$300&amp;""),0),""),IF(ISNUMBER(_xlpm.r),SUMPRODUCT(('TY Beauty Target'!$L$2:$AP$2&gt;=$U$4)*('TY Beauty Target'!$L$2:$AP$2&lt;=$U$5),INDEX('TY Beauty Target'!$L$5:$AP$300,_xlpm.r,0)),0)))</f>
        <v>11877.808321540413</v>
      </c>
    </row>
    <row r="97" spans="1:89" ht="15" customHeight="1" x14ac:dyDescent="0.25">
      <c r="A97" s="38" t="str">
        <f t="shared" si="63"/>
        <v/>
      </c>
      <c r="B97" s="43" t="str" cm="1">
        <f t="array" ref="B97">IF($AI97="","",IF(LEFT($AI97,2)="C|",IF($C97="","",_xlfn.TEXTJOIN(", ",TRUE,_xlfn.UNIQUE(_xlfn._xlws.FILTER($AN$5:$AN$302,($AP$5:$AP$302=1)*($AO$5:$AO$302=$A97))))),IF($AI97="CT",B$13,IF(LEFT($AI97,3)="AM|",IF($C97="","",ROWS(_xlfn.UNIQUE(_xlfn._xlws.FILTER($AO$5:$AO$302,($AP$5:$AP$302=1)*($AN$5:$AN$302=$A97))))),IF(LEFT($AI97,2)="S|",IF($AG97="","",INDEX($AO$5:$AO$302,$AH97)),IF($AI97="HDR","City",""))))))</f>
        <v/>
      </c>
      <c r="C97" s="39" t="str" cm="1">
        <f t="array" ref="C97">IF($AI97="","",IF(LEFT($AI97,2)="C|",_xlfn.LET(_xlpm.n,SUMPRODUCT($AP$5:$AP$302*($AO$5:$AO$302=$A97)),IF(_xlpm.n=0,"",_xlpm.n)),IF($AI97="CT",C$13,IF(LEFT($AI97,3)="AM|",_xlfn.LET(_xlpm.n,SUMPRODUCT($AP$5:$AP$302*($AN$5:$AN$302=$A97)),IF(_xlpm.n=0,"",_xlpm.n)),IF(LEFT($AI97,2)="S|","",IF($AI97="HDR","# Stores",""))))))</f>
        <v/>
      </c>
      <c r="D97" s="40" t="str" cm="1">
        <f t="array" ref="D97">IF($AI97="","",IF(LEFT($AI97,2)="C|",IF($C97="","",SUMPRODUCT($AP$5:$AP$302*($AO$5:$AO$302=$A97),$AR$5:$AR$302)),IF($AI97="CT",D$13,IF(LEFT($AI97,3)="AM|",IF($C97="","",SUMPRODUCT($AP$5:$AP$302*($AN$5:$AN$302=$A97),$AR$5:$AR$302)),IF(LEFT($AI97,2)="S|",IF($AG97="","",INDEX($AR$5:$AR$302,$AH97)),IF($AI97="HDR","Sales TY",""))))))</f>
        <v/>
      </c>
      <c r="E97" s="40" t="str" cm="1">
        <f t="array" ref="E97">IF($AI97="","",IF(LEFT($AI97,2)="C|",IF($C97="","",SUMPRODUCT($AP$5:$AP$302*($AO$5:$AO$302=$A97),$AT$5:$AT$302)),IF($AI97="CT",E$13,IF(LEFT($AI97,3)="AM|",IF($C97="","",SUMPRODUCT($AP$5:$AP$302*($AN$5:$AN$302=$A97),$AT$5:$AT$302)),IF(LEFT($AI97,2)="S|",IF($AG97="","",INDEX($AT$5:$AT$302,$AH97)),IF($AI97="HDR","Sales LY",""))))))</f>
        <v/>
      </c>
      <c r="F97" s="41" t="str">
        <f t="shared" si="64"/>
        <v/>
      </c>
      <c r="G97" s="41" t="str">
        <f t="shared" si="65"/>
        <v/>
      </c>
      <c r="H97" s="40" t="str" cm="1">
        <f t="array" ref="H97">IF($AI97="","",IF(LEFT($AI97,2)="C|",IF($C97="","",SUMPRODUCT($AP$5:$AP$302*($AO$5:$AO$302=$A97),$AV$5:$AV$302)),IF($AI97="CT",H$13,IF(LEFT($AI97,3)="AM|",IF($C97="","",SUMPRODUCT($AP$5:$AP$302*($AN$5:$AN$302=$A97),$AV$5:$AV$302)),IF(LEFT($AI97,2)="S|",IF($AG97="","",INDEX($AV$5:$AV$302,$AH97)),IF($AI97="HDR","Target",""))))))</f>
        <v/>
      </c>
      <c r="I97" s="41" t="str">
        <f t="shared" si="66"/>
        <v/>
      </c>
      <c r="J97" s="40" t="str">
        <f t="shared" si="67"/>
        <v/>
      </c>
      <c r="K97" s="41" t="str">
        <f t="shared" si="68"/>
        <v/>
      </c>
      <c r="L97" s="40" t="str" cm="1">
        <f t="array" ref="L97">IF($AI97="","",IF(LEFT($AI97,2)="C|",IF($C97="","",SUMPRODUCT($AP$5:$AP$302*($AO$5:$AO$302=$A97),$BN$5:$BN$302)),IF($AI97="CT",L$13,IF(LEFT($AI97,3)="AM|",IF($C97="","",SUMPRODUCT($AP$5:$AP$302*($AN$5:$AN$302=$A97),$BN$5:$BN$302)),IF(LEFT($AI97,2)="S|",IF($AG97="","",INDEX($BN$5:$BN$302,$AH97)),IF($AI97="HDR","Month Target",""))))))</f>
        <v/>
      </c>
      <c r="M97" s="40" t="str" cm="1">
        <f t="array" ref="M97">IF($AI97="","",IF(LEFT($AI97,2)="C|",IF($C97="","",SUMPRODUCT($AP$5:$AP$302*($AO$5:$AO$302=$A97),$BO$5:$BO$302)),IF($AI97="CT",M$13,IF(LEFT($AI97,3)="AM|",IF($C97="","",SUMPRODUCT($AP$5:$AP$302*($AN$5:$AN$302=$A97),$BO$5:$BO$302)),IF(LEFT($AI97,2)="S|",IF($AG97="","",INDEX($BO$5:$BO$302,$AH97)),IF($AI97="HDR","Projected Close",""))))))</f>
        <v/>
      </c>
      <c r="N97" s="41" t="str">
        <f t="shared" si="76"/>
        <v/>
      </c>
      <c r="O97" s="41" t="str" cm="1">
        <f t="array" ref="O97">IF($AI97="HDR","Proj. vs LY",IF(OR($AI97="",M97=""),"",_xlfn.LET(_xlpm.ly,IF(LEFT($AI97,2)="C|",SUMPRODUCT($AP$5:$AP$302*($AO$5:$AO$302=$A97),$BK$5:$BK$302),IF($AI97="CT",SUMPRODUCT($AP$5:$AP$302,$BK$5:$BK$302),IF(LEFT($AI97,3)="AM|",SUMPRODUCT($AP$5:$AP$302*($AN$5:$AN$302=$A97),$BK$5:$BK$302),IF(LEFT($AI97,2)="S|",INDEX($BK$5:$BK$302,$AH97),0)))),IFERROR(M97/_xlpm.ly-1,""))))</f>
        <v/>
      </c>
      <c r="P97" s="40" t="str" cm="1">
        <f t="array" ref="P97">IF($AI97="","",IF(LEFT($AI97,2)="C|",IF($C97="","",SUMPRODUCT($AP$5:$AP$302*($AO$5:$AO$302=$A97),$AS$5:$AS$302)),IF($AI97="CT",P$13,IF(LEFT($AI97,3)="AM|",IF($C97="","",SUMPRODUCT($AP$5:$AP$302*($AN$5:$AN$302=$A97),$AS$5:$AS$302)),IF(LEFT($AI97,2)="S|",IF($AG97="","",INDEX($AS$5:$AS$302,$AH97)),IF($AI97="HDR","Trans TY",""))))))</f>
        <v/>
      </c>
      <c r="Q97" s="40" t="str" cm="1">
        <f t="array" ref="Q97">IF($AI97="","",IF(LEFT($AI97,2)="C|",IF($C97="","",SUMPRODUCT($AP$5:$AP$302*($AO$5:$AO$302=$A97),$AU$5:$AU$302)),IF($AI97="CT",Q$13,IF(LEFT($AI97,3)="AM|",IF($C97="","",SUMPRODUCT($AP$5:$AP$302*($AN$5:$AN$302=$A97),$AU$5:$AU$302)),IF(LEFT($AI97,2)="S|",IF($AG97="","",INDEX($AU$5:$AU$302,$AH97)),IF($AI97="HDR","Trans LY",""))))))</f>
        <v/>
      </c>
      <c r="R97" s="41" t="str">
        <f t="shared" si="69"/>
        <v/>
      </c>
      <c r="S97" s="41" t="str">
        <f t="shared" si="70"/>
        <v/>
      </c>
      <c r="T97" s="42" t="str">
        <f t="shared" si="71"/>
        <v/>
      </c>
      <c r="U97" s="42" t="str">
        <f t="shared" si="72"/>
        <v/>
      </c>
      <c r="V97" s="41" t="str">
        <f t="shared" si="73"/>
        <v/>
      </c>
      <c r="W97" s="40" t="str" cm="1">
        <f t="array" ref="W97">IF($AI97="","",IF(LEFT($AI97,2)="C|",_xlfn.LET(_xlpm.n,SUMPRODUCT($AP$5:$AP$302*($AO$5:$AO$302=$A97),$BB$5:$BB$302),IF(_xlpm.n=0,"",_xlpm.n)),IF($AI97="CT",W$13,IF(LEFT($AI97,3)="AM|",_xlfn.LET(_xlpm.n,SUMPRODUCT($AP$5:$AP$302*($AN$5:$AN$302=$A97),$BB$5:$BB$302),IF(_xlpm.n=0,"",_xlpm.n)),IF(LEFT($AI97,2)="S|",IF($AG97="","",_xlfn.LET(_xlpm.n,INDEX($BB$5:$BB$302,$AH97),IF(_xlpm.n=0,"",_xlpm.n))),IF($AI97="HDR","Footfall",""))))))</f>
        <v/>
      </c>
      <c r="X97" s="40" t="str" cm="1">
        <f t="array" ref="X97">IF($AI97="","",IF($AI97="HDR","Trans (FF stores)",IF(W97="","",IF(LEFT($AI97,2)="C|",SUMPRODUCT($AP$5:$AP$302*($AO$5:$AO$302=$A97),$BC$5:$BC$302),IF($AI97="CT",X$13,IF(LEFT($AI97,3)="AM|",SUMPRODUCT($AP$5:$AP$302*($AN$5:$AN$302=$A97),$BC$5:$BC$302),IF(LEFT($AI97,2)="S|",INDEX($BC$5:$BC$302,$AH97),"")))))))</f>
        <v/>
      </c>
      <c r="Y97" s="41" t="str">
        <f t="shared" si="77"/>
        <v/>
      </c>
      <c r="Z97" s="40" t="str" cm="1">
        <f t="array" ref="Z97">IF($AI97="","",IF(LEFT($AI97,2)="C|",IF($C97="","",SUMPRODUCT($AP$5:$AP$302*($AO$5:$AO$302=$A97),$CB$5:$CB$302)),IF($AI97="CT",Z$13,IF(LEFT($AI97,3)="AM|",IF($C97="","",SUMPRODUCT($AP$5:$AP$302*($AN$5:$AN$302=$A97),$CB$5:$CB$302)),IF(LEFT($AI97,2)="S|",IF($AG97="","",INDEX($CB$5:$CB$302,$AH97)),IF($AI97="HDR","Makeup Sales",""))))))</f>
        <v/>
      </c>
      <c r="AA97" s="41" t="str">
        <f t="shared" si="74"/>
        <v/>
      </c>
      <c r="AB97" s="40" t="str" cm="1">
        <f t="array" ref="AB97">IF($AI97="","",IF(LEFT($AI97,2)="C|",IF($C97="","",SUMPRODUCT($AP$5:$AP$302*($AO$5:$AO$302=$A97),$CK$5:$CK$302)),IF($AI97="CT",AB$13,IF(LEFT($AI97,3)="AM|",IF($C97="","",SUMPRODUCT($AP$5:$AP$302*($AN$5:$AN$302=$A97),$CK$5:$CK$302)),IF(LEFT($AI97,2)="S|",IF($AG97="","",INDEX($CK$5:$CK$302,$AH97)),IF($AI97="HDR","Makeup Target",""))))))</f>
        <v/>
      </c>
      <c r="AC97" s="41" t="str">
        <f t="shared" si="78"/>
        <v/>
      </c>
      <c r="AD97" s="40" t="str" cm="1">
        <f t="array" ref="AD97">IF($AI97="","",IF(LEFT($AI97,2)="C|",IF($C97="","",SUMPRODUCT($AP$5:$AP$302*($AO$5:$AO$302=$A97),$CI$5:$CI$302)),IF($AI97="CT",AD$13,IF(LEFT($AI97,3)="AM|",IF($C97="","",SUMPRODUCT($AP$5:$AP$302*($AN$5:$AN$302=$A97),$CI$5:$CI$302)),IF(LEFT($AI97,2)="S|",IF($AG97="","",INDEX($CI$5:$CI$302,$AH97)),IF($AI97="HDR","Cosmetic Sales",""))))))</f>
        <v/>
      </c>
      <c r="AE97" s="8" t="str" cm="1">
        <f t="array" ref="AE97">IF($AI97="","",IF(LEFT($AI97,2)="C|",IF($C97="","",SUMPRODUCT($AP$5:$AP$302*($AO$5:$AO$302=$A97)*$AQ$5:$AQ$302,$AR$5:$AR$302)),IF($AI97="CT",AE$13,IF(LEFT($AI97,3)="AM|",IF($C97="","",SUMPRODUCT($AP$5:$AP$302*($AN$5:$AN$302=$A97)*$AQ$5:$AQ$302,$AR$5:$AR$302)),IF(LEFT($AI97,2)="S|",IF($AG97="","",IF(INDEX($AQ$5:$AQ$302,$AH97)=1,D97,0)),IF($AI97="HDR","LFL Sales",""))))))</f>
        <v/>
      </c>
      <c r="AF97" s="8" t="str" cm="1">
        <f t="array" ref="AF97">IF($AI97="","",IF(LEFT($AI97,2)="C|",IF($C97="","",SUMPRODUCT($AP$5:$AP$302*($AO$5:$AO$302=$A97)*$AQ$5:$AQ$302,$AS$5:$AS$302)),IF($AI97="CT",AF$13,IF(LEFT($AI97,3)="AM|",IF($C97="","",SUMPRODUCT($AP$5:$AP$302*($AN$5:$AN$302=$A97)*$AQ$5:$AQ$302,$AS$5:$AS$302)),IF(LEFT($AI97,2)="S|",IF($AG97="","",IF(INDEX($AQ$5:$AQ$302,$AH97)=1,P97,0)),IF($AI97="HDR","LFL Trans",""))))))</f>
        <v/>
      </c>
      <c r="AG97" s="8" t="str" cm="1">
        <f t="array" ref="AG97">IF($AI97="","",IF(LEFT($AI97,2)="C|","",IF($AI97="CT","",IF(LEFT($AI97,3)="AM|","",IF(LEFT($AI97,2)="S|",IF($AH97="","",IF(INDEX($AP$5:$AP$302,$AH97)=1,1,"")),IF($AI97="HDR","Show",""))))))</f>
        <v/>
      </c>
      <c r="AH97" s="8" t="str">
        <f t="shared" si="75"/>
        <v/>
      </c>
      <c r="AI97" s="8"/>
      <c r="AN97" s="8" t="str" cm="1">
        <f t="array" ref="AN97">IF($AW97="","",_xlfn.LET(_xlpm.sa,IFERROR(TRIM(INDEX('Sales and count'!$D$4:$D$300,$BF97)&amp;""),""),_xlpm.ta,IFERROR(TRIM(INDEX('TY Sales Target'!$F$5:$F$300,$BG97)&amp;""),""),IF(AND(_xlpm.sa&lt;&gt;"",LEFT(_xlpm.sa,1)&lt;&gt;"#",_xlpm.sa&lt;&gt;"0"),_xlpm.sa,IF(AND(_xlpm.ta&lt;&gt;"",LEFT(_xlpm.ta,1)&lt;&gt;"#",_xlpm.ta&lt;&gt;"0"),_xlpm.ta,IF(ISNUMBER($BG97),"Unassigned","")))))</f>
        <v>Ahmed Jaffari</v>
      </c>
      <c r="AO97" s="8" t="str" cm="1">
        <f t="array" ref="AO97">IF($AW97="","",_xlfn.LET(_xlpm.sa,IFERROR(TRIM(INDEX('Sales and count'!$C$4:$C$300,$BF97)&amp;""),""),_xlpm.ta,IFERROR(TRIM(INDEX('TY Sales Target'!$D$5:$D$300,$BG97)&amp;""),""),IF(AND(_xlpm.sa&lt;&gt;"",LEFT(_xlpm.sa,1)&lt;&gt;"#",_xlpm.sa&lt;&gt;"0"),_xlpm.sa,IF(AND(_xlpm.ta&lt;&gt;"",LEFT(_xlpm.ta,1)&lt;&gt;"#",_xlpm.ta&lt;&gt;"0"),_xlpm.ta,""))))</f>
        <v>Khamis meshaet</v>
      </c>
      <c r="AP97" s="8">
        <f t="shared" si="60"/>
        <v>0</v>
      </c>
      <c r="AQ97" s="8">
        <f t="shared" si="61"/>
        <v>1</v>
      </c>
      <c r="AR97" s="8" cm="1">
        <f t="array" ref="AR97">IF($BF97="",0,_xlfn.LET(_xlpm.d,IFERROR(--'Sales and count'!$G$2:$CC$2,0),SUMPRODUCT(('Sales and count'!$G$3:$CC$3="Total")*(_xlpm.d&gt;=$U$4)*(_xlpm.d&lt;=$U$5),INDEX('Sales and count'!$G$4:$CC$300,$BF97,0))))</f>
        <v>130191.14</v>
      </c>
      <c r="AS97" s="8" cm="1">
        <f t="array" aca="1" ref="AS97" ca="1">IF($BF97="",0,_xlfn.LET(_xlpm.d,IFERROR(--'Sales and count'!$F$2:$CB$2,0),SUMPRODUCT(('Sales and count'!$G$3:$CC$3="Transactions")*(_xlpm.d&gt;=$U$4)*(_xlpm.d&lt;=$U$5),INDEX('Sales and count'!$G$4:$CC$300,$BF97,0))))</f>
        <v>783</v>
      </c>
      <c r="AT97" s="8" cm="1">
        <f t="array" ref="AT97">IF($AW97="",0,SUMPRODUCT((TRIM('LY Sales '!$B$5:$B$200)=$AW97)*('LY Sales '!$C$2:$AG$2&gt;=EDATE($U$4,-12))*('LY Sales '!$C$2:$AG$2&lt;=EDATE($U$5,-12)),'LY Sales '!$C$5:$AG$200))</f>
        <v>136779.76999999999</v>
      </c>
      <c r="AU97" s="8" cm="1">
        <f t="array" ref="AU97">IF($AW97="",0,SUMPRODUCT((TRIM('LY Transaction'!$B$5:$B$200)=$AW97)*('LY Transaction'!$C$2:$AG$2&gt;=EDATE($U$4,-12))*('LY Transaction'!$C$2:$AG$2&lt;=EDATE($U$5,-12)),'LY Transaction'!$C$5:$AG$200))</f>
        <v>1190</v>
      </c>
      <c r="AV97" s="8" cm="1">
        <f t="array" ref="AV97">IF(NOT(ISNUMBER($BG97)),0,SUMPRODUCT(('TY Sales Target'!$K$2:$AO$2&gt;=$U$4)*('TY Sales Target'!$K$2:$AO$2&lt;=$U$5),INDEX('TY Sales Target'!$K$5:$AO$300,$BG97,0)))</f>
        <v>268161.23790586309</v>
      </c>
      <c r="AW97" s="8" t="str" cm="1">
        <f t="array" ref="AW97">IFERROR(INDEX(_xlfn.ANCHORARRAY($BR$5),ROWS($AW$5:AW97)),"")</f>
        <v>HAMUJANPRK</v>
      </c>
      <c r="BB97" cm="1">
        <f t="array" ref="BB97">IF($AW97="",0,SUMPRODUCT((TRIM(Footfall!$B$5:$B$301)=$AW97)*(Footfall!$C$1:$BZ$1&gt;=$U$4)*(Footfall!$C$2:$BZ$2&lt;=$U$5)*(Footfall!$C$1:$BZ$1&lt;&gt;""),Footfall!$C$5:$BZ$301))</f>
        <v>7660</v>
      </c>
      <c r="BC97" cm="1">
        <f t="array" aca="1" ref="BC97" ca="1">IF(OR($BB97&lt;=0,$BD$1="",$BF97=""),0,_xlfn.LET(_xlpm.d,IFERROR(--'Sales and count'!$F$2:$CB$2,0),SUMPRODUCT(('Sales and count'!$G$3:$CC$3="Transactions")*(_xlpm.d&gt;=$BD$1)*(_xlpm.d&lt;=$BD$2),INDEX('Sales and count'!$G$4:$CC$300,$BF97,0))))</f>
        <v>783</v>
      </c>
      <c r="BF97" cm="1">
        <f t="array" ref="BF97">IF($AW97="","",IFERROR(MATCH($AW97,TRIM('Sales and count'!$A$4:$A$300&amp;""),0),""))</f>
        <v>93</v>
      </c>
      <c r="BG97" cm="1">
        <f t="array" ref="BG97">IF($AW97="","",IFERROR(MATCH(IFERROR(_xlfn.XLOOKUP($AW97,$BT$5:$BT$22,$BU$5:$BU$22),$AW97),TRIM('TY Sales Target'!$B$5:$B$300&amp;""),0),""))</f>
        <v>24</v>
      </c>
      <c r="BH97" t="str" cm="1">
        <f t="array" ref="BH97">IF(ISNUMBER($BG97),_xlfn.LET(_xlpm.p,TRIM(INDEX('TY Sales Target'!$I$5:$I$300,$BG97)&amp;""),IF(_xlpm.p="","Not set",_xlpm.p)),"Not set")</f>
        <v>Smart Phone</v>
      </c>
      <c r="BI97" cm="1">
        <f t="array" ref="BI97">IF($BF97="",0,_xlfn.LET(_xlpm.d,IFERROR(--'Sales and count'!$G$2:$CC$2,0),SUMPRODUCT(('Sales and count'!$G$3:$CC$3="Total")*(_xlpm.d&gt;=$BZ$5)*(_xlpm.d&lt;=$BZ$6),INDEX('Sales and count'!$G$4:$CC$300,$BF97,0))))</f>
        <v>130191.14</v>
      </c>
      <c r="BJ97" cm="1">
        <f t="array" ref="BJ97">IF($AW97="",0,SUMPRODUCT((TRIM('LY Sales '!$B$5:$B$200)=$AW97)*('LY Sales '!$C$2:$AG$2&gt;=EDATE($BZ$5,-12))*('LY Sales '!$C$2:$AG$2&lt;=EDATE($BZ$6,-12)),'LY Sales '!$C$5:$AG$200))</f>
        <v>136779.76999999999</v>
      </c>
      <c r="BK97" cm="1">
        <f t="array" ref="BK97">IF($AW97="",0,SUMPRODUCT((TRIM('LY Sales '!$B$5:$B$200)=$AW97)*('LY Sales '!$C$2:$AG$2&gt;=EDATE($BZ$5,-12))*('LY Sales '!$C$2:$AG$2&lt;=EDATE($BZ$7,-12)),'LY Sales '!$C$5:$AG$200))</f>
        <v>183286.38</v>
      </c>
      <c r="BL97" cm="1">
        <f t="array" ref="BL97">IF($AW97="",0,SUMPRODUCT((TRIM('LY Sales '!$B$5:$B$200)=$AW97)*('LY Sales '!$C$2:$AG$2&gt;=EDATE($BZ$5,-12))*('LY Sales '!$C$2:$AG$2&lt;=EDATE($BZ$6,-12))*('LY Sales '!$C$5:$AG$200&gt;0)))</f>
        <v>26</v>
      </c>
      <c r="BM97" cm="1">
        <f t="array" ref="BM97">IF(NOT(ISNUMBER($BG97)),0,SUMPRODUCT(('TY Sales Target'!$K$2:$AO$2&gt;=$BZ$5)*('TY Sales Target'!$K$2:$AO$2&lt;=$BZ$6),INDEX('TY Sales Target'!$K$5:$AO$300,$BG97,0)))</f>
        <v>268161.23790586309</v>
      </c>
      <c r="BN97" cm="1">
        <f t="array" ref="BN97">IF(NOT(ISNUMBER($BG97)),0,SUMPRODUCT(('TY Sales Target'!$K$2:$AO$2&gt;=$BZ$5)*('TY Sales Target'!$K$2:$AO$2&lt;=$BZ$7),INDEX('TY Sales Target'!$K$5:$AO$300,$BG97,0)))</f>
        <v>349999.99999999994</v>
      </c>
      <c r="BO97" cm="1">
        <f t="array" ref="BO97">IF($AW97="",0,IFERROR(_xlfn.SWITCH($BP97,"LY trend",$BI97*$BK97/$BJ97,"Target curve",$BI97*$BN97/$BM97,"Run rate",$BI97/$BZ$8*$BZ$9,0),0))</f>
        <v>174457.54411396658</v>
      </c>
      <c r="BP97" t="str">
        <f t="shared" si="59"/>
        <v>LY trend</v>
      </c>
      <c r="BR97" t="str">
        <v>HAMUJANPRK</v>
      </c>
      <c r="CB97" cm="1">
        <f t="array" ref="CB97">IF($AW97="",0,_xlfn.LET(_xlpm.k,IFERROR(_xlfn.XLOOKUP($AW97,$CD$6:$CD$21,$CE$6:$CE$21),$AW97),SUMPRODUCT((TRIM('Makeup '!$A$2:$A$300&amp;"")=_xlpm.k)*1,IFERROR('Makeup '!$F$2:$F$300*1,0))))</f>
        <v>12921.66</v>
      </c>
      <c r="CF97" t="str" cm="1">
        <f t="array" ref="CF97">IF($AW97="","",_xlfn.LET(_xlpm.c,IFERROR(TRIM(INDEX('Sales and count'!$B$4:$B$300,$BF97)&amp;""),""),IF(OR(_xlpm.c="",_xlpm.c="0",LEFT(_xlpm.c,1)="#"),"Not set",_xlpm.c)))</f>
        <v>KSA</v>
      </c>
      <c r="CH97" cm="1">
        <f t="array" ref="CH97">IF($AW97="",0,_xlfn.LET(_xlpm.k,IFERROR(_xlfn.XLOOKUP($AW97,$CD$6:$CD$21,$CE$6:$CE$21),$AW97),--(SUMPRODUCT((TRIM('Makeup '!$A$2:$A$300&amp;"")=_xlpm.k)*ISNUMBER('Makeup '!$F$2:$F$300))&gt;0)))</f>
        <v>1</v>
      </c>
      <c r="CI97">
        <f t="shared" si="62"/>
        <v>130191.14</v>
      </c>
      <c r="CJ97" cm="1">
        <f t="array" ref="CJ97">IF($AW97="",0,--(SUMPRODUCT(--(TRIM(Footfall!$B$5:$B$301)=$AW97))&gt;0))</f>
        <v>1</v>
      </c>
      <c r="CK97" s="8" cm="1">
        <f t="array" ref="CK97">IF($AW97="",0,_xlfn.LET(_xlpm.r,IFERROR(MATCH(IFERROR(_xlfn.XLOOKUP($AW97,$BT$5:$BT$22,$BU$5:$BU$22),$AW97),TRIM('TY Beauty Target'!$B$5:$B$300&amp;""),0),""),IF(ISNUMBER(_xlpm.r),SUMPRODUCT(('TY Beauty Target'!$L$2:$AP$2&gt;=$U$4)*('TY Beauty Target'!$L$2:$AP$2&lt;=$U$5),INDEX('TY Beauty Target'!$L$5:$AP$300,_xlpm.r,0)),0)))</f>
        <v>30522.28472400106</v>
      </c>
    </row>
    <row r="98" spans="1:89" ht="15" customHeight="1" x14ac:dyDescent="0.25">
      <c r="A98" s="38" t="str">
        <f t="shared" si="63"/>
        <v/>
      </c>
      <c r="B98" s="43" t="str" cm="1">
        <f t="array" ref="B98">IF($AI98="","",IF(LEFT($AI98,2)="C|",IF($C98="","",_xlfn.TEXTJOIN(", ",TRUE,_xlfn.UNIQUE(_xlfn._xlws.FILTER($AN$5:$AN$302,($AP$5:$AP$302=1)*($AO$5:$AO$302=$A98))))),IF($AI98="CT",B$13,IF(LEFT($AI98,3)="AM|",IF($C98="","",ROWS(_xlfn.UNIQUE(_xlfn._xlws.FILTER($AO$5:$AO$302,($AP$5:$AP$302=1)*($AN$5:$AN$302=$A98))))),IF(LEFT($AI98,2)="S|",IF($AG98="","",INDEX($AO$5:$AO$302,$AH98)),IF($AI98="HDR","City",""))))))</f>
        <v/>
      </c>
      <c r="C98" s="39" t="str" cm="1">
        <f t="array" ref="C98">IF($AI98="","",IF(LEFT($AI98,2)="C|",_xlfn.LET(_xlpm.n,SUMPRODUCT($AP$5:$AP$302*($AO$5:$AO$302=$A98)),IF(_xlpm.n=0,"",_xlpm.n)),IF($AI98="CT",C$13,IF(LEFT($AI98,3)="AM|",_xlfn.LET(_xlpm.n,SUMPRODUCT($AP$5:$AP$302*($AN$5:$AN$302=$A98)),IF(_xlpm.n=0,"",_xlpm.n)),IF(LEFT($AI98,2)="S|","",IF($AI98="HDR","# Stores",""))))))</f>
        <v/>
      </c>
      <c r="D98" s="40" t="str" cm="1">
        <f t="array" ref="D98">IF($AI98="","",IF(LEFT($AI98,2)="C|",IF($C98="","",SUMPRODUCT($AP$5:$AP$302*($AO$5:$AO$302=$A98),$AR$5:$AR$302)),IF($AI98="CT",D$13,IF(LEFT($AI98,3)="AM|",IF($C98="","",SUMPRODUCT($AP$5:$AP$302*($AN$5:$AN$302=$A98),$AR$5:$AR$302)),IF(LEFT($AI98,2)="S|",IF($AG98="","",INDEX($AR$5:$AR$302,$AH98)),IF($AI98="HDR","Sales TY",""))))))</f>
        <v/>
      </c>
      <c r="E98" s="40" t="str" cm="1">
        <f t="array" ref="E98">IF($AI98="","",IF(LEFT($AI98,2)="C|",IF($C98="","",SUMPRODUCT($AP$5:$AP$302*($AO$5:$AO$302=$A98),$AT$5:$AT$302)),IF($AI98="CT",E$13,IF(LEFT($AI98,3)="AM|",IF($C98="","",SUMPRODUCT($AP$5:$AP$302*($AN$5:$AN$302=$A98),$AT$5:$AT$302)),IF(LEFT($AI98,2)="S|",IF($AG98="","",INDEX($AT$5:$AT$302,$AH98)),IF($AI98="HDR","Sales LY",""))))))</f>
        <v/>
      </c>
      <c r="F98" s="41" t="str">
        <f t="shared" si="64"/>
        <v/>
      </c>
      <c r="G98" s="41" t="str">
        <f t="shared" si="65"/>
        <v/>
      </c>
      <c r="H98" s="40" t="str" cm="1">
        <f t="array" ref="H98">IF($AI98="","",IF(LEFT($AI98,2)="C|",IF($C98="","",SUMPRODUCT($AP$5:$AP$302*($AO$5:$AO$302=$A98),$AV$5:$AV$302)),IF($AI98="CT",H$13,IF(LEFT($AI98,3)="AM|",IF($C98="","",SUMPRODUCT($AP$5:$AP$302*($AN$5:$AN$302=$A98),$AV$5:$AV$302)),IF(LEFT($AI98,2)="S|",IF($AG98="","",INDEX($AV$5:$AV$302,$AH98)),IF($AI98="HDR","Target",""))))))</f>
        <v/>
      </c>
      <c r="I98" s="41" t="str">
        <f t="shared" si="66"/>
        <v/>
      </c>
      <c r="J98" s="40" t="str">
        <f t="shared" si="67"/>
        <v/>
      </c>
      <c r="K98" s="41" t="str">
        <f t="shared" si="68"/>
        <v/>
      </c>
      <c r="L98" s="40" t="str" cm="1">
        <f t="array" ref="L98">IF($AI98="","",IF(LEFT($AI98,2)="C|",IF($C98="","",SUMPRODUCT($AP$5:$AP$302*($AO$5:$AO$302=$A98),$BN$5:$BN$302)),IF($AI98="CT",L$13,IF(LEFT($AI98,3)="AM|",IF($C98="","",SUMPRODUCT($AP$5:$AP$302*($AN$5:$AN$302=$A98),$BN$5:$BN$302)),IF(LEFT($AI98,2)="S|",IF($AG98="","",INDEX($BN$5:$BN$302,$AH98)),IF($AI98="HDR","Month Target",""))))))</f>
        <v/>
      </c>
      <c r="M98" s="40" t="str" cm="1">
        <f t="array" ref="M98">IF($AI98="","",IF(LEFT($AI98,2)="C|",IF($C98="","",SUMPRODUCT($AP$5:$AP$302*($AO$5:$AO$302=$A98),$BO$5:$BO$302)),IF($AI98="CT",M$13,IF(LEFT($AI98,3)="AM|",IF($C98="","",SUMPRODUCT($AP$5:$AP$302*($AN$5:$AN$302=$A98),$BO$5:$BO$302)),IF(LEFT($AI98,2)="S|",IF($AG98="","",INDEX($BO$5:$BO$302,$AH98)),IF($AI98="HDR","Projected Close",""))))))</f>
        <v/>
      </c>
      <c r="N98" s="41" t="str">
        <f t="shared" si="76"/>
        <v/>
      </c>
      <c r="O98" s="41" t="str" cm="1">
        <f t="array" ref="O98">IF($AI98="HDR","Proj. vs LY",IF(OR($AI98="",M98=""),"",_xlfn.LET(_xlpm.ly,IF(LEFT($AI98,2)="C|",SUMPRODUCT($AP$5:$AP$302*($AO$5:$AO$302=$A98),$BK$5:$BK$302),IF($AI98="CT",SUMPRODUCT($AP$5:$AP$302,$BK$5:$BK$302),IF(LEFT($AI98,3)="AM|",SUMPRODUCT($AP$5:$AP$302*($AN$5:$AN$302=$A98),$BK$5:$BK$302),IF(LEFT($AI98,2)="S|",INDEX($BK$5:$BK$302,$AH98),0)))),IFERROR(M98/_xlpm.ly-1,""))))</f>
        <v/>
      </c>
      <c r="P98" s="40" t="str" cm="1">
        <f t="array" ref="P98">IF($AI98="","",IF(LEFT($AI98,2)="C|",IF($C98="","",SUMPRODUCT($AP$5:$AP$302*($AO$5:$AO$302=$A98),$AS$5:$AS$302)),IF($AI98="CT",P$13,IF(LEFT($AI98,3)="AM|",IF($C98="","",SUMPRODUCT($AP$5:$AP$302*($AN$5:$AN$302=$A98),$AS$5:$AS$302)),IF(LEFT($AI98,2)="S|",IF($AG98="","",INDEX($AS$5:$AS$302,$AH98)),IF($AI98="HDR","Trans TY",""))))))</f>
        <v/>
      </c>
      <c r="Q98" s="40" t="str" cm="1">
        <f t="array" ref="Q98">IF($AI98="","",IF(LEFT($AI98,2)="C|",IF($C98="","",SUMPRODUCT($AP$5:$AP$302*($AO$5:$AO$302=$A98),$AU$5:$AU$302)),IF($AI98="CT",Q$13,IF(LEFT($AI98,3)="AM|",IF($C98="","",SUMPRODUCT($AP$5:$AP$302*($AN$5:$AN$302=$A98),$AU$5:$AU$302)),IF(LEFT($AI98,2)="S|",IF($AG98="","",INDEX($AU$5:$AU$302,$AH98)),IF($AI98="HDR","Trans LY",""))))))</f>
        <v/>
      </c>
      <c r="R98" s="41" t="str">
        <f t="shared" si="69"/>
        <v/>
      </c>
      <c r="S98" s="41" t="str">
        <f t="shared" si="70"/>
        <v/>
      </c>
      <c r="T98" s="42" t="str">
        <f t="shared" si="71"/>
        <v/>
      </c>
      <c r="U98" s="42" t="str">
        <f t="shared" si="72"/>
        <v/>
      </c>
      <c r="V98" s="41" t="str">
        <f t="shared" si="73"/>
        <v/>
      </c>
      <c r="W98" s="40" t="str" cm="1">
        <f t="array" ref="W98">IF($AI98="","",IF(LEFT($AI98,2)="C|",_xlfn.LET(_xlpm.n,SUMPRODUCT($AP$5:$AP$302*($AO$5:$AO$302=$A98),$BB$5:$BB$302),IF(_xlpm.n=0,"",_xlpm.n)),IF($AI98="CT",W$13,IF(LEFT($AI98,3)="AM|",_xlfn.LET(_xlpm.n,SUMPRODUCT($AP$5:$AP$302*($AN$5:$AN$302=$A98),$BB$5:$BB$302),IF(_xlpm.n=0,"",_xlpm.n)),IF(LEFT($AI98,2)="S|",IF($AG98="","",_xlfn.LET(_xlpm.n,INDEX($BB$5:$BB$302,$AH98),IF(_xlpm.n=0,"",_xlpm.n))),IF($AI98="HDR","Footfall",""))))))</f>
        <v/>
      </c>
      <c r="X98" s="40" t="str" cm="1">
        <f t="array" ref="X98">IF($AI98="","",IF($AI98="HDR","Trans (FF stores)",IF(W98="","",IF(LEFT($AI98,2)="C|",SUMPRODUCT($AP$5:$AP$302*($AO$5:$AO$302=$A98),$BC$5:$BC$302),IF($AI98="CT",X$13,IF(LEFT($AI98,3)="AM|",SUMPRODUCT($AP$5:$AP$302*($AN$5:$AN$302=$A98),$BC$5:$BC$302),IF(LEFT($AI98,2)="S|",INDEX($BC$5:$BC$302,$AH98),"")))))))</f>
        <v/>
      </c>
      <c r="Y98" s="41" t="str">
        <f t="shared" si="77"/>
        <v/>
      </c>
      <c r="Z98" s="40" t="str" cm="1">
        <f t="array" ref="Z98">IF($AI98="","",IF(LEFT($AI98,2)="C|",IF($C98="","",SUMPRODUCT($AP$5:$AP$302*($AO$5:$AO$302=$A98),$CB$5:$CB$302)),IF($AI98="CT",Z$13,IF(LEFT($AI98,3)="AM|",IF($C98="","",SUMPRODUCT($AP$5:$AP$302*($AN$5:$AN$302=$A98),$CB$5:$CB$302)),IF(LEFT($AI98,2)="S|",IF($AG98="","",INDEX($CB$5:$CB$302,$AH98)),IF($AI98="HDR","Makeup Sales",""))))))</f>
        <v/>
      </c>
      <c r="AA98" s="41" t="str">
        <f t="shared" si="74"/>
        <v/>
      </c>
      <c r="AB98" s="40" t="str" cm="1">
        <f t="array" ref="AB98">IF($AI98="","",IF(LEFT($AI98,2)="C|",IF($C98="","",SUMPRODUCT($AP$5:$AP$302*($AO$5:$AO$302=$A98),$CK$5:$CK$302)),IF($AI98="CT",AB$13,IF(LEFT($AI98,3)="AM|",IF($C98="","",SUMPRODUCT($AP$5:$AP$302*($AN$5:$AN$302=$A98),$CK$5:$CK$302)),IF(LEFT($AI98,2)="S|",IF($AG98="","",INDEX($CK$5:$CK$302,$AH98)),IF($AI98="HDR","Makeup Target",""))))))</f>
        <v/>
      </c>
      <c r="AC98" s="41" t="str">
        <f t="shared" si="78"/>
        <v/>
      </c>
      <c r="AD98" s="40" t="str" cm="1">
        <f t="array" ref="AD98">IF($AI98="","",IF(LEFT($AI98,2)="C|",IF($C98="","",SUMPRODUCT($AP$5:$AP$302*($AO$5:$AO$302=$A98),$CI$5:$CI$302)),IF($AI98="CT",AD$13,IF(LEFT($AI98,3)="AM|",IF($C98="","",SUMPRODUCT($AP$5:$AP$302*($AN$5:$AN$302=$A98),$CI$5:$CI$302)),IF(LEFT($AI98,2)="S|",IF($AG98="","",INDEX($CI$5:$CI$302,$AH98)),IF($AI98="HDR","Cosmetic Sales",""))))))</f>
        <v/>
      </c>
      <c r="AE98" s="8" t="str" cm="1">
        <f t="array" ref="AE98">IF($AI98="","",IF(LEFT($AI98,2)="C|",IF($C98="","",SUMPRODUCT($AP$5:$AP$302*($AO$5:$AO$302=$A98)*$AQ$5:$AQ$302,$AR$5:$AR$302)),IF($AI98="CT",AE$13,IF(LEFT($AI98,3)="AM|",IF($C98="","",SUMPRODUCT($AP$5:$AP$302*($AN$5:$AN$302=$A98)*$AQ$5:$AQ$302,$AR$5:$AR$302)),IF(LEFT($AI98,2)="S|",IF($AG98="","",IF(INDEX($AQ$5:$AQ$302,$AH98)=1,D98,0)),IF($AI98="HDR","LFL Sales",""))))))</f>
        <v/>
      </c>
      <c r="AF98" s="8" t="str" cm="1">
        <f t="array" ref="AF98">IF($AI98="","",IF(LEFT($AI98,2)="C|",IF($C98="","",SUMPRODUCT($AP$5:$AP$302*($AO$5:$AO$302=$A98)*$AQ$5:$AQ$302,$AS$5:$AS$302)),IF($AI98="CT",AF$13,IF(LEFT($AI98,3)="AM|",IF($C98="","",SUMPRODUCT($AP$5:$AP$302*($AN$5:$AN$302=$A98)*$AQ$5:$AQ$302,$AS$5:$AS$302)),IF(LEFT($AI98,2)="S|",IF($AG98="","",IF(INDEX($AQ$5:$AQ$302,$AH98)=1,P98,0)),IF($AI98="HDR","LFL Trans",""))))))</f>
        <v/>
      </c>
      <c r="AG98" s="8" t="str" cm="1">
        <f t="array" ref="AG98">IF($AI98="","",IF(LEFT($AI98,2)="C|","",IF($AI98="CT","",IF(LEFT($AI98,3)="AM|","",IF(LEFT($AI98,2)="S|",IF($AH98="","",IF(INDEX($AP$5:$AP$302,$AH98)=1,1,"")),IF($AI98="HDR","Show",""))))))</f>
        <v/>
      </c>
      <c r="AH98" s="8" t="str">
        <f t="shared" si="75"/>
        <v/>
      </c>
      <c r="AI98" s="8"/>
      <c r="AN98" s="8" t="str" cm="1">
        <f t="array" ref="AN98">IF($AW98="","",_xlfn.LET(_xlpm.sa,IFERROR(TRIM(INDEX('Sales and count'!$D$4:$D$300,$BF98)&amp;""),""),_xlpm.ta,IFERROR(TRIM(INDEX('TY Sales Target'!$F$5:$F$300,$BG98)&amp;""),""),IF(AND(_xlpm.sa&lt;&gt;"",LEFT(_xlpm.sa,1)&lt;&gt;"#",_xlpm.sa&lt;&gt;"0"),_xlpm.sa,IF(AND(_xlpm.ta&lt;&gt;"",LEFT(_xlpm.ta,1)&lt;&gt;"#",_xlpm.ta&lt;&gt;"0"),_xlpm.ta,IF(ISNUMBER($BG98),"Unassigned","")))))</f>
        <v>Ahmed Jaffari</v>
      </c>
      <c r="AO98" s="8" t="str" cm="1">
        <f t="array" ref="AO98">IF($AW98="","",_xlfn.LET(_xlpm.sa,IFERROR(TRIM(INDEX('Sales and count'!$C$4:$C$300,$BF98)&amp;""),""),_xlpm.ta,IFERROR(TRIM(INDEX('TY Sales Target'!$D$5:$D$300,$BG98)&amp;""),""),IF(AND(_xlpm.sa&lt;&gt;"",LEFT(_xlpm.sa,1)&lt;&gt;"#",_xlpm.sa&lt;&gt;"0"),_xlpm.sa,IF(AND(_xlpm.ta&lt;&gt;"",LEFT(_xlpm.ta,1)&lt;&gt;"#",_xlpm.ta&lt;&gt;"0"),_xlpm.ta,""))))</f>
        <v>Sabya</v>
      </c>
      <c r="AP98" s="8">
        <f t="shared" si="60"/>
        <v>0</v>
      </c>
      <c r="AQ98" s="8">
        <f t="shared" si="61"/>
        <v>1</v>
      </c>
      <c r="AR98" s="8" cm="1">
        <f t="array" ref="AR98">IF($BF98="",0,_xlfn.LET(_xlpm.d,IFERROR(--'Sales and count'!$G$2:$CC$2,0),SUMPRODUCT(('Sales and count'!$G$3:$CC$3="Total")*(_xlpm.d&gt;=$U$4)*(_xlpm.d&lt;=$U$5),INDEX('Sales and count'!$G$4:$CC$300,$BF98,0))))</f>
        <v>91425.279999999999</v>
      </c>
      <c r="AS98" s="8" cm="1">
        <f t="array" aca="1" ref="AS98" ca="1">IF($BF98="",0,_xlfn.LET(_xlpm.d,IFERROR(--'Sales and count'!$F$2:$CB$2,0),SUMPRODUCT(('Sales and count'!$G$3:$CC$3="Transactions")*(_xlpm.d&gt;=$U$4)*(_xlpm.d&lt;=$U$5),INDEX('Sales and count'!$G$4:$CC$300,$BF98,0))))</f>
        <v>612</v>
      </c>
      <c r="AT98" s="8" cm="1">
        <f t="array" ref="AT98">IF($AW98="",0,SUMPRODUCT((TRIM('LY Sales '!$B$5:$B$200)=$AW98)*('LY Sales '!$C$2:$AG$2&gt;=EDATE($U$4,-12))*('LY Sales '!$C$2:$AG$2&lt;=EDATE($U$5,-12)),'LY Sales '!$C$5:$AG$200))</f>
        <v>7521.13</v>
      </c>
      <c r="AU98" s="8" cm="1">
        <f t="array" ref="AU98">IF($AW98="",0,SUMPRODUCT((TRIM('LY Transaction'!$B$5:$B$200)=$AW98)*('LY Transaction'!$C$2:$AG$2&gt;=EDATE($U$4,-12))*('LY Transaction'!$C$2:$AG$2&lt;=EDATE($U$5,-12)),'LY Transaction'!$C$5:$AG$200))</f>
        <v>73</v>
      </c>
      <c r="AV98" s="8" cm="1">
        <f t="array" ref="AV98">IF(NOT(ISNUMBER($BG98)),0,SUMPRODUCT(('TY Sales Target'!$K$2:$AO$2&gt;=$U$4)*('TY Sales Target'!$K$2:$AO$2&lt;=$U$5),INDEX('TY Sales Target'!$K$5:$AO$300,$BG98,0)))</f>
        <v>191543.74136133082</v>
      </c>
      <c r="AW98" s="8" t="str" cm="1">
        <f t="array" ref="AW98">IFERROR(INDEX(_xlfn.ANCHORARRAY($BR$5),ROWS($AW$5:AW98)),"")</f>
        <v>HAAZZANPLZ</v>
      </c>
      <c r="BB98" cm="1">
        <f t="array" ref="BB98">IF($AW98="",0,SUMPRODUCT((TRIM(Footfall!$B$5:$B$301)=$AW98)*(Footfall!$C$1:$BZ$1&gt;=$U$4)*(Footfall!$C$2:$BZ$2&lt;=$U$5)*(Footfall!$C$1:$BZ$1&lt;&gt;""),Footfall!$C$5:$BZ$301))</f>
        <v>2212</v>
      </c>
      <c r="BC98" cm="1">
        <f t="array" aca="1" ref="BC98" ca="1">IF(OR($BB98&lt;=0,$BD$1="",$BF98=""),0,_xlfn.LET(_xlpm.d,IFERROR(--'Sales and count'!$F$2:$CB$2,0),SUMPRODUCT(('Sales and count'!$G$3:$CC$3="Transactions")*(_xlpm.d&gt;=$BD$1)*(_xlpm.d&lt;=$BD$2),INDEX('Sales and count'!$G$4:$CC$300,$BF98,0))))</f>
        <v>612</v>
      </c>
      <c r="BF98" cm="1">
        <f t="array" ref="BF98">IF($AW98="","",IFERROR(MATCH($AW98,TRIM('Sales and count'!$A$4:$A$300&amp;""),0),""))</f>
        <v>94</v>
      </c>
      <c r="BG98" cm="1">
        <f t="array" ref="BG98">IF($AW98="","",IFERROR(MATCH(IFERROR(_xlfn.XLOOKUP($AW98,$BT$5:$BT$22,$BU$5:$BU$22),$AW98),TRIM('TY Sales Target'!$B$5:$B$300&amp;""),0),""))</f>
        <v>45</v>
      </c>
      <c r="BH98" t="str" cm="1">
        <f t="array" ref="BH98">IF(ISNUMBER($BG98),_xlfn.LET(_xlpm.p,TRIM(INDEX('TY Sales Target'!$I$5:$I$300,$BG98)&amp;""),IF(_xlpm.p="","Not set",_xlpm.p)),"Not set")</f>
        <v>Smart Phone</v>
      </c>
      <c r="BI98" cm="1">
        <f t="array" ref="BI98">IF($BF98="",0,_xlfn.LET(_xlpm.d,IFERROR(--'Sales and count'!$G$2:$CC$2,0),SUMPRODUCT(('Sales and count'!$G$3:$CC$3="Total")*(_xlpm.d&gt;=$BZ$5)*(_xlpm.d&lt;=$BZ$6),INDEX('Sales and count'!$G$4:$CC$300,$BF98,0))))</f>
        <v>91425.279999999999</v>
      </c>
      <c r="BJ98" cm="1">
        <f t="array" ref="BJ98">IF($AW98="",0,SUMPRODUCT((TRIM('LY Sales '!$B$5:$B$200)=$AW98)*('LY Sales '!$C$2:$AG$2&gt;=EDATE($BZ$5,-12))*('LY Sales '!$C$2:$AG$2&lt;=EDATE($BZ$6,-12)),'LY Sales '!$C$5:$AG$200))</f>
        <v>7521.13</v>
      </c>
      <c r="BK98" cm="1">
        <f t="array" ref="BK98">IF($AW98="",0,SUMPRODUCT((TRIM('LY Sales '!$B$5:$B$200)=$AW98)*('LY Sales '!$C$2:$AG$2&gt;=EDATE($BZ$5,-12))*('LY Sales '!$C$2:$AG$2&lt;=EDATE($BZ$7,-12)),'LY Sales '!$C$5:$AG$200))</f>
        <v>29943.410000000003</v>
      </c>
      <c r="BL98" cm="1">
        <f t="array" ref="BL98">IF($AW98="",0,SUMPRODUCT((TRIM('LY Sales '!$B$5:$B$200)=$AW98)*('LY Sales '!$C$2:$AG$2&gt;=EDATE($BZ$5,-12))*('LY Sales '!$C$2:$AG$2&lt;=EDATE($BZ$6,-12))*('LY Sales '!$C$5:$AG$200&gt;0)))</f>
        <v>4</v>
      </c>
      <c r="BM98" cm="1">
        <f t="array" ref="BM98">IF(NOT(ISNUMBER($BG98)),0,SUMPRODUCT(('TY Sales Target'!$K$2:$AO$2&gt;=$BZ$5)*('TY Sales Target'!$K$2:$AO$2&lt;=$BZ$6),INDEX('TY Sales Target'!$K$5:$AO$300,$BG98,0)))</f>
        <v>191543.74136133082</v>
      </c>
      <c r="BN98" cm="1">
        <f t="array" ref="BN98">IF(NOT(ISNUMBER($BG98)),0,SUMPRODUCT(('TY Sales Target'!$K$2:$AO$2&gt;=$BZ$5)*('TY Sales Target'!$K$2:$AO$2&lt;=$BZ$7),INDEX('TY Sales Target'!$K$5:$AO$300,$BG98,0)))</f>
        <v>250000.00000000003</v>
      </c>
      <c r="BO98" cm="1">
        <f t="array" ref="BO98">IF($AW98="",0,IFERROR(_xlfn.SWITCH($BP98,"LY trend",$BI98*$BK98/$BJ98,"Target curve",$BI98*$BN98/$BM98,"Run rate",$BI98/$BZ$8*$BZ$9,0),0))</f>
        <v>119326.89545247797</v>
      </c>
      <c r="BP98" t="str">
        <f t="shared" si="59"/>
        <v>Target curve</v>
      </c>
      <c r="BR98" t="str">
        <v>HAAZZANPLZ</v>
      </c>
      <c r="CB98" cm="1">
        <f t="array" ref="CB98">IF($AW98="",0,_xlfn.LET(_xlpm.k,IFERROR(_xlfn.XLOOKUP($AW98,$CD$6:$CD$21,$CE$6:$CE$21),$AW98),SUMPRODUCT((TRIM('Makeup '!$A$2:$A$300&amp;"")=_xlpm.k)*1,IFERROR('Makeup '!$F$2:$F$300*1,0))))</f>
        <v>5807.51</v>
      </c>
      <c r="CF98" t="str" cm="1">
        <f t="array" ref="CF98">IF($AW98="","",_xlfn.LET(_xlpm.c,IFERROR(TRIM(INDEX('Sales and count'!$B$4:$B$300,$BF98)&amp;""),""),IF(OR(_xlpm.c="",_xlpm.c="0",LEFT(_xlpm.c,1)="#"),"Not set",_xlpm.c)))</f>
        <v>KSA</v>
      </c>
      <c r="CH98" cm="1">
        <f t="array" ref="CH98">IF($AW98="",0,_xlfn.LET(_xlpm.k,IFERROR(_xlfn.XLOOKUP($AW98,$CD$6:$CD$21,$CE$6:$CE$21),$AW98),--(SUMPRODUCT((TRIM('Makeup '!$A$2:$A$300&amp;"")=_xlpm.k)*ISNUMBER('Makeup '!$F$2:$F$300))&gt;0)))</f>
        <v>1</v>
      </c>
      <c r="CI98">
        <f t="shared" si="62"/>
        <v>91425.279999999999</v>
      </c>
      <c r="CJ98" cm="1">
        <f t="array" ref="CJ98">IF($AW98="",0,--(SUMPRODUCT(--(TRIM(Footfall!$B$5:$B$301)=$AW98))&gt;0))</f>
        <v>1</v>
      </c>
      <c r="CK98" s="8" cm="1">
        <f t="array" ref="CK98">IF($AW98="",0,_xlfn.LET(_xlpm.r,IFERROR(MATCH(IFERROR(_xlfn.XLOOKUP($AW98,$BT$5:$BT$22,$BU$5:$BU$22),$AW98),TRIM('TY Beauty Target'!$B$5:$B$300&amp;""),0),""),IF(ISNUMBER(_xlpm.r),SUMPRODUCT(('TY Beauty Target'!$L$2:$AP$2&gt;=$U$4)*('TY Beauty Target'!$L$2:$AP$2&lt;=$U$5),INDEX('TY Beauty Target'!$L$5:$AP$300,_xlpm.r,0)),0)))</f>
        <v>10991.690756514454</v>
      </c>
    </row>
    <row r="99" spans="1:89" ht="15" customHeight="1" x14ac:dyDescent="0.25">
      <c r="A99" s="38" t="str">
        <f t="shared" si="63"/>
        <v/>
      </c>
      <c r="B99" s="43" t="str" cm="1">
        <f t="array" ref="B99">IF($AI99="","",IF(LEFT($AI99,2)="C|",IF($C99="","",_xlfn.TEXTJOIN(", ",TRUE,_xlfn.UNIQUE(_xlfn._xlws.FILTER($AN$5:$AN$302,($AP$5:$AP$302=1)*($AO$5:$AO$302=$A99))))),IF($AI99="CT",B$13,IF(LEFT($AI99,3)="AM|",IF($C99="","",ROWS(_xlfn.UNIQUE(_xlfn._xlws.FILTER($AO$5:$AO$302,($AP$5:$AP$302=1)*($AN$5:$AN$302=$A99))))),IF(LEFT($AI99,2)="S|",IF($AG99="","",INDEX($AO$5:$AO$302,$AH99)),IF($AI99="HDR","City",""))))))</f>
        <v/>
      </c>
      <c r="C99" s="39" t="str" cm="1">
        <f t="array" ref="C99">IF($AI99="","",IF(LEFT($AI99,2)="C|",_xlfn.LET(_xlpm.n,SUMPRODUCT($AP$5:$AP$302*($AO$5:$AO$302=$A99)),IF(_xlpm.n=0,"",_xlpm.n)),IF($AI99="CT",C$13,IF(LEFT($AI99,3)="AM|",_xlfn.LET(_xlpm.n,SUMPRODUCT($AP$5:$AP$302*($AN$5:$AN$302=$A99)),IF(_xlpm.n=0,"",_xlpm.n)),IF(LEFT($AI99,2)="S|","",IF($AI99="HDR","# Stores",""))))))</f>
        <v/>
      </c>
      <c r="D99" s="40" t="str" cm="1">
        <f t="array" ref="D99">IF($AI99="","",IF(LEFT($AI99,2)="C|",IF($C99="","",SUMPRODUCT($AP$5:$AP$302*($AO$5:$AO$302=$A99),$AR$5:$AR$302)),IF($AI99="CT",D$13,IF(LEFT($AI99,3)="AM|",IF($C99="","",SUMPRODUCT($AP$5:$AP$302*($AN$5:$AN$302=$A99),$AR$5:$AR$302)),IF(LEFT($AI99,2)="S|",IF($AG99="","",INDEX($AR$5:$AR$302,$AH99)),IF($AI99="HDR","Sales TY",""))))))</f>
        <v/>
      </c>
      <c r="E99" s="40" t="str" cm="1">
        <f t="array" ref="E99">IF($AI99="","",IF(LEFT($AI99,2)="C|",IF($C99="","",SUMPRODUCT($AP$5:$AP$302*($AO$5:$AO$302=$A99),$AT$5:$AT$302)),IF($AI99="CT",E$13,IF(LEFT($AI99,3)="AM|",IF($C99="","",SUMPRODUCT($AP$5:$AP$302*($AN$5:$AN$302=$A99),$AT$5:$AT$302)),IF(LEFT($AI99,2)="S|",IF($AG99="","",INDEX($AT$5:$AT$302,$AH99)),IF($AI99="HDR","Sales LY",""))))))</f>
        <v/>
      </c>
      <c r="F99" s="41" t="str">
        <f t="shared" si="64"/>
        <v/>
      </c>
      <c r="G99" s="41" t="str">
        <f t="shared" si="65"/>
        <v/>
      </c>
      <c r="H99" s="40" t="str" cm="1">
        <f t="array" ref="H99">IF($AI99="","",IF(LEFT($AI99,2)="C|",IF($C99="","",SUMPRODUCT($AP$5:$AP$302*($AO$5:$AO$302=$A99),$AV$5:$AV$302)),IF($AI99="CT",H$13,IF(LEFT($AI99,3)="AM|",IF($C99="","",SUMPRODUCT($AP$5:$AP$302*($AN$5:$AN$302=$A99),$AV$5:$AV$302)),IF(LEFT($AI99,2)="S|",IF($AG99="","",INDEX($AV$5:$AV$302,$AH99)),IF($AI99="HDR","Target",""))))))</f>
        <v/>
      </c>
      <c r="I99" s="41" t="str">
        <f t="shared" si="66"/>
        <v/>
      </c>
      <c r="J99" s="40" t="str">
        <f t="shared" si="67"/>
        <v/>
      </c>
      <c r="K99" s="41" t="str">
        <f t="shared" si="68"/>
        <v/>
      </c>
      <c r="L99" s="40" t="str" cm="1">
        <f t="array" ref="L99">IF($AI99="","",IF(LEFT($AI99,2)="C|",IF($C99="","",SUMPRODUCT($AP$5:$AP$302*($AO$5:$AO$302=$A99),$BN$5:$BN$302)),IF($AI99="CT",L$13,IF(LEFT($AI99,3)="AM|",IF($C99="","",SUMPRODUCT($AP$5:$AP$302*($AN$5:$AN$302=$A99),$BN$5:$BN$302)),IF(LEFT($AI99,2)="S|",IF($AG99="","",INDEX($BN$5:$BN$302,$AH99)),IF($AI99="HDR","Month Target",""))))))</f>
        <v/>
      </c>
      <c r="M99" s="40" t="str" cm="1">
        <f t="array" ref="M99">IF($AI99="","",IF(LEFT($AI99,2)="C|",IF($C99="","",SUMPRODUCT($AP$5:$AP$302*($AO$5:$AO$302=$A99),$BO$5:$BO$302)),IF($AI99="CT",M$13,IF(LEFT($AI99,3)="AM|",IF($C99="","",SUMPRODUCT($AP$5:$AP$302*($AN$5:$AN$302=$A99),$BO$5:$BO$302)),IF(LEFT($AI99,2)="S|",IF($AG99="","",INDEX($BO$5:$BO$302,$AH99)),IF($AI99="HDR","Projected Close",""))))))</f>
        <v/>
      </c>
      <c r="N99" s="41" t="str">
        <f t="shared" si="76"/>
        <v/>
      </c>
      <c r="O99" s="41" t="str" cm="1">
        <f t="array" ref="O99">IF($AI99="HDR","Proj. vs LY",IF(OR($AI99="",M99=""),"",_xlfn.LET(_xlpm.ly,IF(LEFT($AI99,2)="C|",SUMPRODUCT($AP$5:$AP$302*($AO$5:$AO$302=$A99),$BK$5:$BK$302),IF($AI99="CT",SUMPRODUCT($AP$5:$AP$302,$BK$5:$BK$302),IF(LEFT($AI99,3)="AM|",SUMPRODUCT($AP$5:$AP$302*($AN$5:$AN$302=$A99),$BK$5:$BK$302),IF(LEFT($AI99,2)="S|",INDEX($BK$5:$BK$302,$AH99),0)))),IFERROR(M99/_xlpm.ly-1,""))))</f>
        <v/>
      </c>
      <c r="P99" s="40" t="str" cm="1">
        <f t="array" ref="P99">IF($AI99="","",IF(LEFT($AI99,2)="C|",IF($C99="","",SUMPRODUCT($AP$5:$AP$302*($AO$5:$AO$302=$A99),$AS$5:$AS$302)),IF($AI99="CT",P$13,IF(LEFT($AI99,3)="AM|",IF($C99="","",SUMPRODUCT($AP$5:$AP$302*($AN$5:$AN$302=$A99),$AS$5:$AS$302)),IF(LEFT($AI99,2)="S|",IF($AG99="","",INDEX($AS$5:$AS$302,$AH99)),IF($AI99="HDR","Trans TY",""))))))</f>
        <v/>
      </c>
      <c r="Q99" s="40" t="str" cm="1">
        <f t="array" ref="Q99">IF($AI99="","",IF(LEFT($AI99,2)="C|",IF($C99="","",SUMPRODUCT($AP$5:$AP$302*($AO$5:$AO$302=$A99),$AU$5:$AU$302)),IF($AI99="CT",Q$13,IF(LEFT($AI99,3)="AM|",IF($C99="","",SUMPRODUCT($AP$5:$AP$302*($AN$5:$AN$302=$A99),$AU$5:$AU$302)),IF(LEFT($AI99,2)="S|",IF($AG99="","",INDEX($AU$5:$AU$302,$AH99)),IF($AI99="HDR","Trans LY",""))))))</f>
        <v/>
      </c>
      <c r="R99" s="41" t="str">
        <f t="shared" si="69"/>
        <v/>
      </c>
      <c r="S99" s="41" t="str">
        <f t="shared" si="70"/>
        <v/>
      </c>
      <c r="T99" s="42" t="str">
        <f t="shared" si="71"/>
        <v/>
      </c>
      <c r="U99" s="42" t="str">
        <f t="shared" si="72"/>
        <v/>
      </c>
      <c r="V99" s="41" t="str">
        <f t="shared" si="73"/>
        <v/>
      </c>
      <c r="W99" s="40" t="str" cm="1">
        <f t="array" ref="W99">IF($AI99="","",IF(LEFT($AI99,2)="C|",_xlfn.LET(_xlpm.n,SUMPRODUCT($AP$5:$AP$302*($AO$5:$AO$302=$A99),$BB$5:$BB$302),IF(_xlpm.n=0,"",_xlpm.n)),IF($AI99="CT",W$13,IF(LEFT($AI99,3)="AM|",_xlfn.LET(_xlpm.n,SUMPRODUCT($AP$5:$AP$302*($AN$5:$AN$302=$A99),$BB$5:$BB$302),IF(_xlpm.n=0,"",_xlpm.n)),IF(LEFT($AI99,2)="S|",IF($AG99="","",_xlfn.LET(_xlpm.n,INDEX($BB$5:$BB$302,$AH99),IF(_xlpm.n=0,"",_xlpm.n))),IF($AI99="HDR","Footfall",""))))))</f>
        <v/>
      </c>
      <c r="X99" s="40" t="str" cm="1">
        <f t="array" ref="X99">IF($AI99="","",IF($AI99="HDR","Trans (FF stores)",IF(W99="","",IF(LEFT($AI99,2)="C|",SUMPRODUCT($AP$5:$AP$302*($AO$5:$AO$302=$A99),$BC$5:$BC$302),IF($AI99="CT",X$13,IF(LEFT($AI99,3)="AM|",SUMPRODUCT($AP$5:$AP$302*($AN$5:$AN$302=$A99),$BC$5:$BC$302),IF(LEFT($AI99,2)="S|",INDEX($BC$5:$BC$302,$AH99),"")))))))</f>
        <v/>
      </c>
      <c r="Y99" s="41" t="str">
        <f t="shared" si="77"/>
        <v/>
      </c>
      <c r="Z99" s="40" t="str" cm="1">
        <f t="array" ref="Z99">IF($AI99="","",IF(LEFT($AI99,2)="C|",IF($C99="","",SUMPRODUCT($AP$5:$AP$302*($AO$5:$AO$302=$A99),$CB$5:$CB$302)),IF($AI99="CT",Z$13,IF(LEFT($AI99,3)="AM|",IF($C99="","",SUMPRODUCT($AP$5:$AP$302*($AN$5:$AN$302=$A99),$CB$5:$CB$302)),IF(LEFT($AI99,2)="S|",IF($AG99="","",INDEX($CB$5:$CB$302,$AH99)),IF($AI99="HDR","Makeup Sales",""))))))</f>
        <v/>
      </c>
      <c r="AA99" s="41" t="str">
        <f t="shared" si="74"/>
        <v/>
      </c>
      <c r="AB99" s="40" t="str" cm="1">
        <f t="array" ref="AB99">IF($AI99="","",IF(LEFT($AI99,2)="C|",IF($C99="","",SUMPRODUCT($AP$5:$AP$302*($AO$5:$AO$302=$A99),$CK$5:$CK$302)),IF($AI99="CT",AB$13,IF(LEFT($AI99,3)="AM|",IF($C99="","",SUMPRODUCT($AP$5:$AP$302*($AN$5:$AN$302=$A99),$CK$5:$CK$302)),IF(LEFT($AI99,2)="S|",IF($AG99="","",INDEX($CK$5:$CK$302,$AH99)),IF($AI99="HDR","Makeup Target",""))))))</f>
        <v/>
      </c>
      <c r="AC99" s="41" t="str">
        <f t="shared" si="78"/>
        <v/>
      </c>
      <c r="AD99" s="40" t="str" cm="1">
        <f t="array" ref="AD99">IF($AI99="","",IF(LEFT($AI99,2)="C|",IF($C99="","",SUMPRODUCT($AP$5:$AP$302*($AO$5:$AO$302=$A99),$CI$5:$CI$302)),IF($AI99="CT",AD$13,IF(LEFT($AI99,3)="AM|",IF($C99="","",SUMPRODUCT($AP$5:$AP$302*($AN$5:$AN$302=$A99),$CI$5:$CI$302)),IF(LEFT($AI99,2)="S|",IF($AG99="","",INDEX($CI$5:$CI$302,$AH99)),IF($AI99="HDR","Cosmetic Sales",""))))))</f>
        <v/>
      </c>
      <c r="AE99" s="8" t="str" cm="1">
        <f t="array" ref="AE99">IF($AI99="","",IF(LEFT($AI99,2)="C|",IF($C99="","",SUMPRODUCT($AP$5:$AP$302*($AO$5:$AO$302=$A99)*$AQ$5:$AQ$302,$AR$5:$AR$302)),IF($AI99="CT",AE$13,IF(LEFT($AI99,3)="AM|",IF($C99="","",SUMPRODUCT($AP$5:$AP$302*($AN$5:$AN$302=$A99)*$AQ$5:$AQ$302,$AR$5:$AR$302)),IF(LEFT($AI99,2)="S|",IF($AG99="","",IF(INDEX($AQ$5:$AQ$302,$AH99)=1,D99,0)),IF($AI99="HDR","LFL Sales",""))))))</f>
        <v/>
      </c>
      <c r="AF99" s="8" t="str" cm="1">
        <f t="array" ref="AF99">IF($AI99="","",IF(LEFT($AI99,2)="C|",IF($C99="","",SUMPRODUCT($AP$5:$AP$302*($AO$5:$AO$302=$A99)*$AQ$5:$AQ$302,$AS$5:$AS$302)),IF($AI99="CT",AF$13,IF(LEFT($AI99,3)="AM|",IF($C99="","",SUMPRODUCT($AP$5:$AP$302*($AN$5:$AN$302=$A99)*$AQ$5:$AQ$302,$AS$5:$AS$302)),IF(LEFT($AI99,2)="S|",IF($AG99="","",IF(INDEX($AQ$5:$AQ$302,$AH99)=1,P99,0)),IF($AI99="HDR","LFL Trans",""))))))</f>
        <v/>
      </c>
      <c r="AG99" s="8" t="str" cm="1">
        <f t="array" ref="AG99">IF($AI99="","",IF(LEFT($AI99,2)="C|","",IF($AI99="CT","",IF(LEFT($AI99,3)="AM|","",IF(LEFT($AI99,2)="S|",IF($AH99="","",IF(INDEX($AP$5:$AP$302,$AH99)=1,1,"")),IF($AI99="HDR","Show",""))))))</f>
        <v/>
      </c>
      <c r="AH99" s="8" t="str">
        <f t="shared" si="75"/>
        <v/>
      </c>
      <c r="AI99" s="8"/>
      <c r="AN99" s="8" t="str" cm="1">
        <f t="array" ref="AN99">IF($AW99="","",_xlfn.LET(_xlpm.sa,IFERROR(TRIM(INDEX('Sales and count'!$D$4:$D$300,$BF99)&amp;""),""),_xlpm.ta,IFERROR(TRIM(INDEX('TY Sales Target'!$F$5:$F$300,$BG99)&amp;""),""),IF(AND(_xlpm.sa&lt;&gt;"",LEFT(_xlpm.sa,1)&lt;&gt;"#",_xlpm.sa&lt;&gt;"0"),_xlpm.sa,IF(AND(_xlpm.ta&lt;&gt;"",LEFT(_xlpm.ta,1)&lt;&gt;"#",_xlpm.ta&lt;&gt;"0"),_xlpm.ta,IF(ISNUMBER($BG99),"Unassigned","")))))</f>
        <v>Lina Al Ghathami</v>
      </c>
      <c r="AO99" s="8" t="str" cm="1">
        <f t="array" ref="AO99">IF($AW99="","",_xlfn.LET(_xlpm.sa,IFERROR(TRIM(INDEX('Sales and count'!$C$4:$C$300,$BF99)&amp;""),""),_xlpm.ta,IFERROR(TRIM(INDEX('TY Sales Target'!$D$5:$D$300,$BG99)&amp;""),""),IF(AND(_xlpm.sa&lt;&gt;"",LEFT(_xlpm.sa,1)&lt;&gt;"#",_xlpm.sa&lt;&gt;"0"),_xlpm.sa,IF(AND(_xlpm.ta&lt;&gt;"",LEFT(_xlpm.ta,1)&lt;&gt;"#",_xlpm.ta&lt;&gt;"0"),_xlpm.ta,""))))</f>
        <v>Onaizah</v>
      </c>
      <c r="AP99" s="8">
        <f t="shared" si="60"/>
        <v>0</v>
      </c>
      <c r="AQ99" s="8">
        <f t="shared" si="61"/>
        <v>0</v>
      </c>
      <c r="AR99" s="8" cm="1">
        <f t="array" ref="AR99">IF($BF99="",0,_xlfn.LET(_xlpm.d,IFERROR(--'Sales and count'!$G$2:$CC$2,0),SUMPRODUCT(('Sales and count'!$G$3:$CC$3="Total")*(_xlpm.d&gt;=$U$4)*(_xlpm.d&lt;=$U$5),INDEX('Sales and count'!$G$4:$CC$300,$BF99,0))))</f>
        <v>57673.380000000012</v>
      </c>
      <c r="AS99" s="8" cm="1">
        <f t="array" aca="1" ref="AS99" ca="1">IF($BF99="",0,_xlfn.LET(_xlpm.d,IFERROR(--'Sales and count'!$F$2:$CB$2,0),SUMPRODUCT(('Sales and count'!$G$3:$CC$3="Transactions")*(_xlpm.d&gt;=$U$4)*(_xlpm.d&lt;=$U$5),INDEX('Sales and count'!$G$4:$CC$300,$BF99,0))))</f>
        <v>425</v>
      </c>
      <c r="AT99" s="8" cm="1">
        <f t="array" ref="AT99">IF($AW99="",0,SUMPRODUCT((TRIM('LY Sales '!$B$5:$B$200)=$AW99)*('LY Sales '!$C$2:$AG$2&gt;=EDATE($U$4,-12))*('LY Sales '!$C$2:$AG$2&lt;=EDATE($U$5,-12)),'LY Sales '!$C$5:$AG$200))</f>
        <v>0</v>
      </c>
      <c r="AU99" s="8" cm="1">
        <f t="array" ref="AU99">IF($AW99="",0,SUMPRODUCT((TRIM('LY Transaction'!$B$5:$B$200)=$AW99)*('LY Transaction'!$C$2:$AG$2&gt;=EDATE($U$4,-12))*('LY Transaction'!$C$2:$AG$2&lt;=EDATE($U$5,-12)),'LY Transaction'!$C$5:$AG$200))</f>
        <v>0</v>
      </c>
      <c r="AV99" s="8" cm="1">
        <f t="array" ref="AV99">IF(NOT(ISNUMBER($BG99)),0,SUMPRODUCT(('TY Sales Target'!$K$2:$AO$2&gt;=$U$4)*('TY Sales Target'!$K$2:$AO$2&lt;=$U$5),INDEX('TY Sales Target'!$K$5:$AO$300,$BG99,0)))</f>
        <v>116458.59474768912</v>
      </c>
      <c r="AW99" s="8" t="str" cm="1">
        <f t="array" ref="AW99">IFERROR(INDEX(_xlfn.ANCHORARRAY($BR$5),ROWS($AW$5:AW99)),"")</f>
        <v>HAOTHONZAH</v>
      </c>
      <c r="BB99" cm="1">
        <f t="array" ref="BB99">IF($AW99="",0,SUMPRODUCT((TRIM(Footfall!$B$5:$B$301)=$AW99)*(Footfall!$C$1:$BZ$1&gt;=$U$4)*(Footfall!$C$2:$BZ$2&lt;=$U$5)*(Footfall!$C$1:$BZ$1&lt;&gt;""),Footfall!$C$5:$BZ$301))</f>
        <v>0</v>
      </c>
      <c r="BC99" cm="1">
        <f t="array" ref="BC99">IF(OR($BB99&lt;=0,$BD$1="",$BF99=""),0,_xlfn.LET(_xlpm.d,IFERROR(--'Sales and count'!$F$2:$CB$2,0),SUMPRODUCT(('Sales and count'!$G$3:$CC$3="Transactions")*(_xlpm.d&gt;=$BD$1)*(_xlpm.d&lt;=$BD$2),INDEX('Sales and count'!$G$4:$CC$300,$BF99,0))))</f>
        <v>0</v>
      </c>
      <c r="BF99" cm="1">
        <f t="array" ref="BF99">IF($AW99="","",IFERROR(MATCH($AW99,TRIM('Sales and count'!$A$4:$A$300&amp;""),0),""))</f>
        <v>95</v>
      </c>
      <c r="BG99" cm="1">
        <f t="array" ref="BG99">IF($AW99="","",IFERROR(MATCH(IFERROR(_xlfn.XLOOKUP($AW99,$BT$5:$BT$22,$BU$5:$BU$22),$AW99),TRIM('TY Sales Target'!$B$5:$B$300&amp;""),0),""))</f>
        <v>86</v>
      </c>
      <c r="BH99" t="str" cm="1">
        <f t="array" ref="BH99">IF(ISNUMBER($BG99),_xlfn.LET(_xlpm.p,TRIM(INDEX('TY Sales Target'!$I$5:$I$300,$BG99)&amp;""),IF(_xlpm.p="","Not set",_xlpm.p)),"Not set")</f>
        <v>I Pad</v>
      </c>
      <c r="BI99" cm="1">
        <f t="array" ref="BI99">IF($BF99="",0,_xlfn.LET(_xlpm.d,IFERROR(--'Sales and count'!$G$2:$CC$2,0),SUMPRODUCT(('Sales and count'!$G$3:$CC$3="Total")*(_xlpm.d&gt;=$BZ$5)*(_xlpm.d&lt;=$BZ$6),INDEX('Sales and count'!$G$4:$CC$300,$BF99,0))))</f>
        <v>57673.380000000012</v>
      </c>
      <c r="BJ99" cm="1">
        <f t="array" ref="BJ99">IF($AW99="",0,SUMPRODUCT((TRIM('LY Sales '!$B$5:$B$200)=$AW99)*('LY Sales '!$C$2:$AG$2&gt;=EDATE($BZ$5,-12))*('LY Sales '!$C$2:$AG$2&lt;=EDATE($BZ$6,-12)),'LY Sales '!$C$5:$AG$200))</f>
        <v>0</v>
      </c>
      <c r="BK99" cm="1">
        <f t="array" ref="BK99">IF($AW99="",0,SUMPRODUCT((TRIM('LY Sales '!$B$5:$B$200)=$AW99)*('LY Sales '!$C$2:$AG$2&gt;=EDATE($BZ$5,-12))*('LY Sales '!$C$2:$AG$2&lt;=EDATE($BZ$7,-12)),'LY Sales '!$C$5:$AG$200))</f>
        <v>0</v>
      </c>
      <c r="BL99" cm="1">
        <f t="array" ref="BL99">IF($AW99="",0,SUMPRODUCT((TRIM('LY Sales '!$B$5:$B$200)=$AW99)*('LY Sales '!$C$2:$AG$2&gt;=EDATE($BZ$5,-12))*('LY Sales '!$C$2:$AG$2&lt;=EDATE($BZ$6,-12))*('LY Sales '!$C$5:$AG$200&gt;0)))</f>
        <v>0</v>
      </c>
      <c r="BM99" cm="1">
        <f t="array" ref="BM99">IF(NOT(ISNUMBER($BG99)),0,SUMPRODUCT(('TY Sales Target'!$K$2:$AO$2&gt;=$BZ$5)*('TY Sales Target'!$K$2:$AO$2&lt;=$BZ$6),INDEX('TY Sales Target'!$K$5:$AO$300,$BG99,0)))</f>
        <v>116458.59474768912</v>
      </c>
      <c r="BN99" cm="1">
        <f t="array" ref="BN99">IF(NOT(ISNUMBER($BG99)),0,SUMPRODUCT(('TY Sales Target'!$K$2:$AO$2&gt;=$BZ$5)*('TY Sales Target'!$K$2:$AO$2&lt;=$BZ$7),INDEX('TY Sales Target'!$K$5:$AO$300,$BG99,0)))</f>
        <v>151999.99999999997</v>
      </c>
      <c r="BO99" cm="1">
        <f t="array" ref="BO99">IF($AW99="",0,IFERROR(_xlfn.SWITCH($BP99,"LY trend",$BI99*$BK99/$BJ99,"Target curve",$BI99*$BN99/$BM99,"Run rate",$BI99/$BZ$8*$BZ$9,0),0))</f>
        <v>75274.425034859436</v>
      </c>
      <c r="BP99" t="str">
        <f t="shared" si="59"/>
        <v>Target curve</v>
      </c>
      <c r="BR99" t="str">
        <v>HAOTHONZAH</v>
      </c>
      <c r="CB99" cm="1">
        <f t="array" ref="CB99">IF($AW99="",0,_xlfn.LET(_xlpm.k,IFERROR(_xlfn.XLOOKUP($AW99,$CD$6:$CD$21,$CE$6:$CE$21),$AW99),SUMPRODUCT((TRIM('Makeup '!$A$2:$A$300&amp;"")=_xlpm.k)*1,IFERROR('Makeup '!$F$2:$F$300*1,0))))</f>
        <v>2827.2</v>
      </c>
      <c r="CF99" t="str" cm="1">
        <f t="array" ref="CF99">IF($AW99="","",_xlfn.LET(_xlpm.c,IFERROR(TRIM(INDEX('Sales and count'!$B$4:$B$300,$BF99)&amp;""),""),IF(OR(_xlpm.c="",_xlpm.c="0",LEFT(_xlpm.c,1)="#"),"Not set",_xlpm.c)))</f>
        <v>KSA</v>
      </c>
      <c r="CH99" cm="1">
        <f t="array" ref="CH99">IF($AW99="",0,_xlfn.LET(_xlpm.k,IFERROR(_xlfn.XLOOKUP($AW99,$CD$6:$CD$21,$CE$6:$CE$21),$AW99),--(SUMPRODUCT((TRIM('Makeup '!$A$2:$A$300&amp;"")=_xlpm.k)*ISNUMBER('Makeup '!$F$2:$F$300))&gt;0)))</f>
        <v>1</v>
      </c>
      <c r="CI99">
        <f t="shared" si="62"/>
        <v>57673.380000000012</v>
      </c>
      <c r="CJ99" cm="1">
        <f t="array" ref="CJ99">IF($AW99="",0,--(SUMPRODUCT(--(TRIM(Footfall!$B$5:$B$301)=$AW99))&gt;0))</f>
        <v>0</v>
      </c>
      <c r="CK99" s="8" cm="1">
        <f t="array" ref="CK99">IF($AW99="",0,_xlfn.LET(_xlpm.r,IFERROR(MATCH(IFERROR(_xlfn.XLOOKUP($AW99,$BT$5:$BT$22,$BU$5:$BU$22),$AW99),TRIM('TY Beauty Target'!$B$5:$B$300&amp;""),0),""),IF(ISNUMBER(_xlpm.r),SUMPRODUCT(('TY Beauty Target'!$L$2:$AP$2&gt;=$U$4)*('TY Beauty Target'!$L$2:$AP$2&lt;=$U$5),INDEX('TY Beauty Target'!$L$5:$AP$300,_xlpm.r,0)),0)))</f>
        <v>8414.7485398947902</v>
      </c>
    </row>
    <row r="100" spans="1:89" ht="15" customHeight="1" x14ac:dyDescent="0.25">
      <c r="A100" s="38" t="str">
        <f t="shared" si="63"/>
        <v/>
      </c>
      <c r="B100" s="43" t="str" cm="1">
        <f t="array" ref="B100">IF($AI100="","",IF(LEFT($AI100,2)="C|",IF($C100="","",_xlfn.TEXTJOIN(", ",TRUE,_xlfn.UNIQUE(_xlfn._xlws.FILTER($AN$5:$AN$302,($AP$5:$AP$302=1)*($AO$5:$AO$302=$A100))))),IF($AI100="CT",B$13,IF(LEFT($AI100,3)="AM|",IF($C100="","",ROWS(_xlfn.UNIQUE(_xlfn._xlws.FILTER($AO$5:$AO$302,($AP$5:$AP$302=1)*($AN$5:$AN$302=$A100))))),IF(LEFT($AI100,2)="S|",IF($AG100="","",INDEX($AO$5:$AO$302,$AH100)),IF($AI100="HDR","City",""))))))</f>
        <v/>
      </c>
      <c r="C100" s="39" t="str" cm="1">
        <f t="array" ref="C100">IF($AI100="","",IF(LEFT($AI100,2)="C|",_xlfn.LET(_xlpm.n,SUMPRODUCT($AP$5:$AP$302*($AO$5:$AO$302=$A100)),IF(_xlpm.n=0,"",_xlpm.n)),IF($AI100="CT",C$13,IF(LEFT($AI100,3)="AM|",_xlfn.LET(_xlpm.n,SUMPRODUCT($AP$5:$AP$302*($AN$5:$AN$302=$A100)),IF(_xlpm.n=0,"",_xlpm.n)),IF(LEFT($AI100,2)="S|","",IF($AI100="HDR","# Stores",""))))))</f>
        <v/>
      </c>
      <c r="D100" s="40" t="str" cm="1">
        <f t="array" ref="D100">IF($AI100="","",IF(LEFT($AI100,2)="C|",IF($C100="","",SUMPRODUCT($AP$5:$AP$302*($AO$5:$AO$302=$A100),$AR$5:$AR$302)),IF($AI100="CT",D$13,IF(LEFT($AI100,3)="AM|",IF($C100="","",SUMPRODUCT($AP$5:$AP$302*($AN$5:$AN$302=$A100),$AR$5:$AR$302)),IF(LEFT($AI100,2)="S|",IF($AG100="","",INDEX($AR$5:$AR$302,$AH100)),IF($AI100="HDR","Sales TY",""))))))</f>
        <v/>
      </c>
      <c r="E100" s="40" t="str" cm="1">
        <f t="array" ref="E100">IF($AI100="","",IF(LEFT($AI100,2)="C|",IF($C100="","",SUMPRODUCT($AP$5:$AP$302*($AO$5:$AO$302=$A100),$AT$5:$AT$302)),IF($AI100="CT",E$13,IF(LEFT($AI100,3)="AM|",IF($C100="","",SUMPRODUCT($AP$5:$AP$302*($AN$5:$AN$302=$A100),$AT$5:$AT$302)),IF(LEFT($AI100,2)="S|",IF($AG100="","",INDEX($AT$5:$AT$302,$AH100)),IF($AI100="HDR","Sales LY",""))))))</f>
        <v/>
      </c>
      <c r="F100" s="41" t="str">
        <f t="shared" si="64"/>
        <v/>
      </c>
      <c r="G100" s="41" t="str">
        <f t="shared" si="65"/>
        <v/>
      </c>
      <c r="H100" s="40" t="str" cm="1">
        <f t="array" ref="H100">IF($AI100="","",IF(LEFT($AI100,2)="C|",IF($C100="","",SUMPRODUCT($AP$5:$AP$302*($AO$5:$AO$302=$A100),$AV$5:$AV$302)),IF($AI100="CT",H$13,IF(LEFT($AI100,3)="AM|",IF($C100="","",SUMPRODUCT($AP$5:$AP$302*($AN$5:$AN$302=$A100),$AV$5:$AV$302)),IF(LEFT($AI100,2)="S|",IF($AG100="","",INDEX($AV$5:$AV$302,$AH100)),IF($AI100="HDR","Target",""))))))</f>
        <v/>
      </c>
      <c r="I100" s="41" t="str">
        <f t="shared" si="66"/>
        <v/>
      </c>
      <c r="J100" s="40" t="str">
        <f t="shared" si="67"/>
        <v/>
      </c>
      <c r="K100" s="41" t="str">
        <f t="shared" si="68"/>
        <v/>
      </c>
      <c r="L100" s="40" t="str" cm="1">
        <f t="array" ref="L100">IF($AI100="","",IF(LEFT($AI100,2)="C|",IF($C100="","",SUMPRODUCT($AP$5:$AP$302*($AO$5:$AO$302=$A100),$BN$5:$BN$302)),IF($AI100="CT",L$13,IF(LEFT($AI100,3)="AM|",IF($C100="","",SUMPRODUCT($AP$5:$AP$302*($AN$5:$AN$302=$A100),$BN$5:$BN$302)),IF(LEFT($AI100,2)="S|",IF($AG100="","",INDEX($BN$5:$BN$302,$AH100)),IF($AI100="HDR","Month Target",""))))))</f>
        <v/>
      </c>
      <c r="M100" s="40" t="str" cm="1">
        <f t="array" ref="M100">IF($AI100="","",IF(LEFT($AI100,2)="C|",IF($C100="","",SUMPRODUCT($AP$5:$AP$302*($AO$5:$AO$302=$A100),$BO$5:$BO$302)),IF($AI100="CT",M$13,IF(LEFT($AI100,3)="AM|",IF($C100="","",SUMPRODUCT($AP$5:$AP$302*($AN$5:$AN$302=$A100),$BO$5:$BO$302)),IF(LEFT($AI100,2)="S|",IF($AG100="","",INDEX($BO$5:$BO$302,$AH100)),IF($AI100="HDR","Projected Close",""))))))</f>
        <v/>
      </c>
      <c r="N100" s="41" t="str">
        <f t="shared" si="76"/>
        <v/>
      </c>
      <c r="O100" s="41" t="str" cm="1">
        <f t="array" ref="O100">IF($AI100="HDR","Proj. vs LY",IF(OR($AI100="",M100=""),"",_xlfn.LET(_xlpm.ly,IF(LEFT($AI100,2)="C|",SUMPRODUCT($AP$5:$AP$302*($AO$5:$AO$302=$A100),$BK$5:$BK$302),IF($AI100="CT",SUMPRODUCT($AP$5:$AP$302,$BK$5:$BK$302),IF(LEFT($AI100,3)="AM|",SUMPRODUCT($AP$5:$AP$302*($AN$5:$AN$302=$A100),$BK$5:$BK$302),IF(LEFT($AI100,2)="S|",INDEX($BK$5:$BK$302,$AH100),0)))),IFERROR(M100/_xlpm.ly-1,""))))</f>
        <v/>
      </c>
      <c r="P100" s="40" t="str" cm="1">
        <f t="array" ref="P100">IF($AI100="","",IF(LEFT($AI100,2)="C|",IF($C100="","",SUMPRODUCT($AP$5:$AP$302*($AO$5:$AO$302=$A100),$AS$5:$AS$302)),IF($AI100="CT",P$13,IF(LEFT($AI100,3)="AM|",IF($C100="","",SUMPRODUCT($AP$5:$AP$302*($AN$5:$AN$302=$A100),$AS$5:$AS$302)),IF(LEFT($AI100,2)="S|",IF($AG100="","",INDEX($AS$5:$AS$302,$AH100)),IF($AI100="HDR","Trans TY",""))))))</f>
        <v/>
      </c>
      <c r="Q100" s="40" t="str" cm="1">
        <f t="array" ref="Q100">IF($AI100="","",IF(LEFT($AI100,2)="C|",IF($C100="","",SUMPRODUCT($AP$5:$AP$302*($AO$5:$AO$302=$A100),$AU$5:$AU$302)),IF($AI100="CT",Q$13,IF(LEFT($AI100,3)="AM|",IF($C100="","",SUMPRODUCT($AP$5:$AP$302*($AN$5:$AN$302=$A100),$AU$5:$AU$302)),IF(LEFT($AI100,2)="S|",IF($AG100="","",INDEX($AU$5:$AU$302,$AH100)),IF($AI100="HDR","Trans LY",""))))))</f>
        <v/>
      </c>
      <c r="R100" s="41" t="str">
        <f t="shared" si="69"/>
        <v/>
      </c>
      <c r="S100" s="41" t="str">
        <f t="shared" si="70"/>
        <v/>
      </c>
      <c r="T100" s="42" t="str">
        <f t="shared" si="71"/>
        <v/>
      </c>
      <c r="U100" s="42" t="str">
        <f t="shared" si="72"/>
        <v/>
      </c>
      <c r="V100" s="41" t="str">
        <f t="shared" si="73"/>
        <v/>
      </c>
      <c r="W100" s="40" t="str" cm="1">
        <f t="array" ref="W100">IF($AI100="","",IF(LEFT($AI100,2)="C|",_xlfn.LET(_xlpm.n,SUMPRODUCT($AP$5:$AP$302*($AO$5:$AO$302=$A100),$BB$5:$BB$302),IF(_xlpm.n=0,"",_xlpm.n)),IF($AI100="CT",W$13,IF(LEFT($AI100,3)="AM|",_xlfn.LET(_xlpm.n,SUMPRODUCT($AP$5:$AP$302*($AN$5:$AN$302=$A100),$BB$5:$BB$302),IF(_xlpm.n=0,"",_xlpm.n)),IF(LEFT($AI100,2)="S|",IF($AG100="","",_xlfn.LET(_xlpm.n,INDEX($BB$5:$BB$302,$AH100),IF(_xlpm.n=0,"",_xlpm.n))),IF($AI100="HDR","Footfall",""))))))</f>
        <v/>
      </c>
      <c r="X100" s="40" t="str" cm="1">
        <f t="array" ref="X100">IF($AI100="","",IF($AI100="HDR","Trans (FF stores)",IF(W100="","",IF(LEFT($AI100,2)="C|",SUMPRODUCT($AP$5:$AP$302*($AO$5:$AO$302=$A100),$BC$5:$BC$302),IF($AI100="CT",X$13,IF(LEFT($AI100,3)="AM|",SUMPRODUCT($AP$5:$AP$302*($AN$5:$AN$302=$A100),$BC$5:$BC$302),IF(LEFT($AI100,2)="S|",INDEX($BC$5:$BC$302,$AH100),"")))))))</f>
        <v/>
      </c>
      <c r="Y100" s="41" t="str">
        <f t="shared" si="77"/>
        <v/>
      </c>
      <c r="Z100" s="40" t="str" cm="1">
        <f t="array" ref="Z100">IF($AI100="","",IF(LEFT($AI100,2)="C|",IF($C100="","",SUMPRODUCT($AP$5:$AP$302*($AO$5:$AO$302=$A100),$CB$5:$CB$302)),IF($AI100="CT",Z$13,IF(LEFT($AI100,3)="AM|",IF($C100="","",SUMPRODUCT($AP$5:$AP$302*($AN$5:$AN$302=$A100),$CB$5:$CB$302)),IF(LEFT($AI100,2)="S|",IF($AG100="","",INDEX($CB$5:$CB$302,$AH100)),IF($AI100="HDR","Makeup Sales",""))))))</f>
        <v/>
      </c>
      <c r="AA100" s="41" t="str">
        <f t="shared" si="74"/>
        <v/>
      </c>
      <c r="AB100" s="40" t="str" cm="1">
        <f t="array" ref="AB100">IF($AI100="","",IF(LEFT($AI100,2)="C|",IF($C100="","",SUMPRODUCT($AP$5:$AP$302*($AO$5:$AO$302=$A100),$CK$5:$CK$302)),IF($AI100="CT",AB$13,IF(LEFT($AI100,3)="AM|",IF($C100="","",SUMPRODUCT($AP$5:$AP$302*($AN$5:$AN$302=$A100),$CK$5:$CK$302)),IF(LEFT($AI100,2)="S|",IF($AG100="","",INDEX($CK$5:$CK$302,$AH100)),IF($AI100="HDR","Makeup Target",""))))))</f>
        <v/>
      </c>
      <c r="AC100" s="41" t="str">
        <f t="shared" si="78"/>
        <v/>
      </c>
      <c r="AD100" s="40" t="str" cm="1">
        <f t="array" ref="AD100">IF($AI100="","",IF(LEFT($AI100,2)="C|",IF($C100="","",SUMPRODUCT($AP$5:$AP$302*($AO$5:$AO$302=$A100),$CI$5:$CI$302)),IF($AI100="CT",AD$13,IF(LEFT($AI100,3)="AM|",IF($C100="","",SUMPRODUCT($AP$5:$AP$302*($AN$5:$AN$302=$A100),$CI$5:$CI$302)),IF(LEFT($AI100,2)="S|",IF($AG100="","",INDEX($CI$5:$CI$302,$AH100)),IF($AI100="HDR","Cosmetic Sales",""))))))</f>
        <v/>
      </c>
      <c r="AE100" s="8" t="str" cm="1">
        <f t="array" ref="AE100">IF($AI100="","",IF(LEFT($AI100,2)="C|",IF($C100="","",SUMPRODUCT($AP$5:$AP$302*($AO$5:$AO$302=$A100)*$AQ$5:$AQ$302,$AR$5:$AR$302)),IF($AI100="CT",AE$13,IF(LEFT($AI100,3)="AM|",IF($C100="","",SUMPRODUCT($AP$5:$AP$302*($AN$5:$AN$302=$A100)*$AQ$5:$AQ$302,$AR$5:$AR$302)),IF(LEFT($AI100,2)="S|",IF($AG100="","",IF(INDEX($AQ$5:$AQ$302,$AH100)=1,D100,0)),IF($AI100="HDR","LFL Sales",""))))))</f>
        <v/>
      </c>
      <c r="AF100" s="8" t="str" cm="1">
        <f t="array" ref="AF100">IF($AI100="","",IF(LEFT($AI100,2)="C|",IF($C100="","",SUMPRODUCT($AP$5:$AP$302*($AO$5:$AO$302=$A100)*$AQ$5:$AQ$302,$AS$5:$AS$302)),IF($AI100="CT",AF$13,IF(LEFT($AI100,3)="AM|",IF($C100="","",SUMPRODUCT($AP$5:$AP$302*($AN$5:$AN$302=$A100)*$AQ$5:$AQ$302,$AS$5:$AS$302)),IF(LEFT($AI100,2)="S|",IF($AG100="","",IF(INDEX($AQ$5:$AQ$302,$AH100)=1,P100,0)),IF($AI100="HDR","LFL Trans",""))))))</f>
        <v/>
      </c>
      <c r="AG100" s="8" t="str" cm="1">
        <f t="array" ref="AG100">IF($AI100="","",IF(LEFT($AI100,2)="C|","",IF($AI100="CT","",IF(LEFT($AI100,3)="AM|","",IF(LEFT($AI100,2)="S|",IF($AH100="","",IF(INDEX($AP$5:$AP$302,$AH100)=1,1,"")),IF($AI100="HDR","Show",""))))))</f>
        <v/>
      </c>
      <c r="AH100" s="8" t="str">
        <f t="shared" si="75"/>
        <v/>
      </c>
      <c r="AI100" s="8"/>
      <c r="AN100" s="8" t="str" cm="1">
        <f t="array" ref="AN100">IF($AW100="","",_xlfn.LET(_xlpm.sa,IFERROR(TRIM(INDEX('Sales and count'!$D$4:$D$300,$BF100)&amp;""),""),_xlpm.ta,IFERROR(TRIM(INDEX('TY Sales Target'!$F$5:$F$300,$BG100)&amp;""),""),IF(AND(_xlpm.sa&lt;&gt;"",LEFT(_xlpm.sa,1)&lt;&gt;"#",_xlpm.sa&lt;&gt;"0"),_xlpm.sa,IF(AND(_xlpm.ta&lt;&gt;"",LEFT(_xlpm.ta,1)&lt;&gt;"#",_xlpm.ta&lt;&gt;"0"),_xlpm.ta,IF(ISNUMBER($BG100),"Unassigned","")))))</f>
        <v>Ahmed Jaffari</v>
      </c>
      <c r="AO100" s="8" t="str" cm="1">
        <f t="array" ref="AO100">IF($AW100="","",_xlfn.LET(_xlpm.sa,IFERROR(TRIM(INDEX('Sales and count'!$C$4:$C$300,$BF100)&amp;""),""),_xlpm.ta,IFERROR(TRIM(INDEX('TY Sales Target'!$D$5:$D$300,$BG100)&amp;""),""),IF(AND(_xlpm.sa&lt;&gt;"",LEFT(_xlpm.sa,1)&lt;&gt;"#",_xlpm.sa&lt;&gt;"0"),_xlpm.sa,IF(AND(_xlpm.ta&lt;&gt;"",LEFT(_xlpm.ta,1)&lt;&gt;"#",_xlpm.ta&lt;&gt;"0"),_xlpm.ta,""))))</f>
        <v>Jizan</v>
      </c>
      <c r="AP100" s="8">
        <f t="shared" si="60"/>
        <v>0</v>
      </c>
      <c r="AQ100" s="8">
        <f t="shared" si="61"/>
        <v>0</v>
      </c>
      <c r="AR100" s="8" cm="1">
        <f t="array" ref="AR100">IF($BF100="",0,_xlfn.LET(_xlpm.d,IFERROR(--'Sales and count'!$G$2:$CC$2,0),SUMPRODUCT(('Sales and count'!$G$3:$CC$3="Total")*(_xlpm.d&gt;=$U$4)*(_xlpm.d&lt;=$U$5),INDEX('Sales and count'!$G$4:$CC$300,$BF100,0))))</f>
        <v>58856.410000000011</v>
      </c>
      <c r="AS100" s="8" cm="1">
        <f t="array" aca="1" ref="AS100" ca="1">IF($BF100="",0,_xlfn.LET(_xlpm.d,IFERROR(--'Sales and count'!$F$2:$CB$2,0),SUMPRODUCT(('Sales and count'!$G$3:$CC$3="Transactions")*(_xlpm.d&gt;=$U$4)*(_xlpm.d&lt;=$U$5),INDEX('Sales and count'!$G$4:$CC$300,$BF100,0))))</f>
        <v>403</v>
      </c>
      <c r="AT100" s="8" cm="1">
        <f t="array" ref="AT100">IF($AW100="",0,SUMPRODUCT((TRIM('LY Sales '!$B$5:$B$200)=$AW100)*('LY Sales '!$C$2:$AG$2&gt;=EDATE($U$4,-12))*('LY Sales '!$C$2:$AG$2&lt;=EDATE($U$5,-12)),'LY Sales '!$C$5:$AG$200))</f>
        <v>0</v>
      </c>
      <c r="AU100" s="8" cm="1">
        <f t="array" ref="AU100">IF($AW100="",0,SUMPRODUCT((TRIM('LY Transaction'!$B$5:$B$200)=$AW100)*('LY Transaction'!$C$2:$AG$2&gt;=EDATE($U$4,-12))*('LY Transaction'!$C$2:$AG$2&lt;=EDATE($U$5,-12)),'LY Transaction'!$C$5:$AG$200))</f>
        <v>0</v>
      </c>
      <c r="AV100" s="8" cm="1">
        <f t="array" ref="AV100">IF(NOT(ISNUMBER($BG100)),0,SUMPRODUCT(('TY Sales Target'!$K$2:$AO$2&gt;=$U$4)*('TY Sales Target'!$K$2:$AO$2&lt;=$U$5),INDEX('TY Sales Target'!$K$5:$AO$300,$BG100,0)))</f>
        <v>126418.86929847833</v>
      </c>
      <c r="AW100" s="8" t="str" cm="1">
        <f t="array" ref="AW100">IFERROR(INDEX(_xlfn.ANCHORARRAY($BR$5),ROWS($AW$5:AW100)),"")</f>
        <v>HARASHJIZ</v>
      </c>
      <c r="BB100" cm="1">
        <f t="array" ref="BB100">IF($AW100="",0,SUMPRODUCT((TRIM(Footfall!$B$5:$B$301)=$AW100)*(Footfall!$C$1:$BZ$1&gt;=$U$4)*(Footfall!$C$2:$BZ$2&lt;=$U$5)*(Footfall!$C$1:$BZ$1&lt;&gt;""),Footfall!$C$5:$BZ$301))</f>
        <v>6394</v>
      </c>
      <c r="BC100" cm="1">
        <f t="array" aca="1" ref="BC100" ca="1">IF(OR($BB100&lt;=0,$BD$1="",$BF100=""),0,_xlfn.LET(_xlpm.d,IFERROR(--'Sales and count'!$F$2:$CB$2,0),SUMPRODUCT(('Sales and count'!$G$3:$CC$3="Transactions")*(_xlpm.d&gt;=$BD$1)*(_xlpm.d&lt;=$BD$2),INDEX('Sales and count'!$G$4:$CC$300,$BF100,0))))</f>
        <v>403</v>
      </c>
      <c r="BF100" cm="1">
        <f t="array" ref="BF100">IF($AW100="","",IFERROR(MATCH($AW100,TRIM('Sales and count'!$A$4:$A$300&amp;""),0),""))</f>
        <v>96</v>
      </c>
      <c r="BG100" cm="1">
        <f t="array" ref="BG100">IF($AW100="","",IFERROR(MATCH(IFERROR(_xlfn.XLOOKUP($AW100,$BT$5:$BT$22,$BU$5:$BU$22),$AW100),TRIM('TY Sales Target'!$B$5:$B$300&amp;""),0),""))</f>
        <v>80</v>
      </c>
      <c r="BH100" t="str" cm="1">
        <f t="array" ref="BH100">IF(ISNUMBER($BG100),_xlfn.LET(_xlpm.p,TRIM(INDEX('TY Sales Target'!$I$5:$I$300,$BG100)&amp;""),IF(_xlpm.p="","Not set",_xlpm.p)),"Not set")</f>
        <v>I Pad</v>
      </c>
      <c r="BI100" cm="1">
        <f t="array" ref="BI100">IF($BF100="",0,_xlfn.LET(_xlpm.d,IFERROR(--'Sales and count'!$G$2:$CC$2,0),SUMPRODUCT(('Sales and count'!$G$3:$CC$3="Total")*(_xlpm.d&gt;=$BZ$5)*(_xlpm.d&lt;=$BZ$6),INDEX('Sales and count'!$G$4:$CC$300,$BF100,0))))</f>
        <v>58856.410000000011</v>
      </c>
      <c r="BJ100" cm="1">
        <f t="array" ref="BJ100">IF($AW100="",0,SUMPRODUCT((TRIM('LY Sales '!$B$5:$B$200)=$AW100)*('LY Sales '!$C$2:$AG$2&gt;=EDATE($BZ$5,-12))*('LY Sales '!$C$2:$AG$2&lt;=EDATE($BZ$6,-12)),'LY Sales '!$C$5:$AG$200))</f>
        <v>0</v>
      </c>
      <c r="BK100" cm="1">
        <f t="array" ref="BK100">IF($AW100="",0,SUMPRODUCT((TRIM('LY Sales '!$B$5:$B$200)=$AW100)*('LY Sales '!$C$2:$AG$2&gt;=EDATE($BZ$5,-12))*('LY Sales '!$C$2:$AG$2&lt;=EDATE($BZ$7,-12)),'LY Sales '!$C$5:$AG$200))</f>
        <v>0</v>
      </c>
      <c r="BL100" cm="1">
        <f t="array" ref="BL100">IF($AW100="",0,SUMPRODUCT((TRIM('LY Sales '!$B$5:$B$200)=$AW100)*('LY Sales '!$C$2:$AG$2&gt;=EDATE($BZ$5,-12))*('LY Sales '!$C$2:$AG$2&lt;=EDATE($BZ$6,-12))*('LY Sales '!$C$5:$AG$200&gt;0)))</f>
        <v>0</v>
      </c>
      <c r="BM100" cm="1">
        <f t="array" ref="BM100">IF(NOT(ISNUMBER($BG100)),0,SUMPRODUCT(('TY Sales Target'!$K$2:$AO$2&gt;=$BZ$5)*('TY Sales Target'!$K$2:$AO$2&lt;=$BZ$6),INDEX('TY Sales Target'!$K$5:$AO$300,$BG100,0)))</f>
        <v>126418.86929847833</v>
      </c>
      <c r="BN100" cm="1">
        <f t="array" ref="BN100">IF(NOT(ISNUMBER($BG100)),0,SUMPRODUCT(('TY Sales Target'!$K$2:$AO$2&gt;=$BZ$5)*('TY Sales Target'!$K$2:$AO$2&lt;=$BZ$7),INDEX('TY Sales Target'!$K$5:$AO$300,$BG100,0)))</f>
        <v>164999.99999999997</v>
      </c>
      <c r="BO100" cm="1">
        <f t="array" ref="BO100">IF($AW100="",0,IFERROR(_xlfn.SWITCH($BP100,"LY trend",$BI100*$BK100/$BJ100,"Target curve",$BI100*$BN100/$BM100,"Run rate",$BI100/$BZ$8*$BZ$9,0),0))</f>
        <v>76818.497933811945</v>
      </c>
      <c r="BP100" t="str">
        <f t="shared" si="59"/>
        <v>Target curve</v>
      </c>
      <c r="BR100" t="str">
        <v>HARASHJIZ</v>
      </c>
      <c r="CB100" cm="1">
        <f t="array" ref="CB100">IF($AW100="",0,_xlfn.LET(_xlpm.k,IFERROR(_xlfn.XLOOKUP($AW100,$CD$6:$CD$21,$CE$6:$CE$21),$AW100),SUMPRODUCT((TRIM('Makeup '!$A$2:$A$300&amp;"")=_xlpm.k)*1,IFERROR('Makeup '!$F$2:$F$300*1,0))))</f>
        <v>5167.82</v>
      </c>
      <c r="CF100" t="str" cm="1">
        <f t="array" ref="CF100">IF($AW100="","",_xlfn.LET(_xlpm.c,IFERROR(TRIM(INDEX('Sales and count'!$B$4:$B$300,$BF100)&amp;""),""),IF(OR(_xlpm.c="",_xlpm.c="0",LEFT(_xlpm.c,1)="#"),"Not set",_xlpm.c)))</f>
        <v>KSA</v>
      </c>
      <c r="CH100" cm="1">
        <f t="array" ref="CH100">IF($AW100="",0,_xlfn.LET(_xlpm.k,IFERROR(_xlfn.XLOOKUP($AW100,$CD$6:$CD$21,$CE$6:$CE$21),$AW100),--(SUMPRODUCT((TRIM('Makeup '!$A$2:$A$300&amp;"")=_xlpm.k)*ISNUMBER('Makeup '!$F$2:$F$300))&gt;0)))</f>
        <v>1</v>
      </c>
      <c r="CI100">
        <f t="shared" si="62"/>
        <v>58856.410000000011</v>
      </c>
      <c r="CJ100" cm="1">
        <f t="array" ref="CJ100">IF($AW100="",0,--(SUMPRODUCT(--(TRIM(Footfall!$B$5:$B$301)=$AW100))&gt;0))</f>
        <v>1</v>
      </c>
      <c r="CK100" s="8" cm="1">
        <f t="array" ref="CK100">IF($AW100="",0,_xlfn.LET(_xlpm.r,IFERROR(MATCH(IFERROR(_xlfn.XLOOKUP($AW100,$BT$5:$BT$22,$BU$5:$BU$22),$AW100),TRIM('TY Beauty Target'!$B$5:$B$300&amp;""),0),""),IF(ISNUMBER(_xlpm.r),SUMPRODUCT(('TY Beauty Target'!$L$2:$AP$2&gt;=$U$4)*('TY Beauty Target'!$L$2:$AP$2&lt;=$U$5),INDEX('TY Beauty Target'!$L$5:$AP$300,_xlpm.r,0)),0)))</f>
        <v>14137.806816392234</v>
      </c>
    </row>
    <row r="101" spans="1:89" ht="15" customHeight="1" x14ac:dyDescent="0.25">
      <c r="A101" s="38" t="str">
        <f t="shared" si="63"/>
        <v/>
      </c>
      <c r="B101" s="43" t="str" cm="1">
        <f t="array" ref="B101">IF($AI101="","",IF(LEFT($AI101,2)="C|",IF($C101="","",_xlfn.TEXTJOIN(", ",TRUE,_xlfn.UNIQUE(_xlfn._xlws.FILTER($AN$5:$AN$302,($AP$5:$AP$302=1)*($AO$5:$AO$302=$A101))))),IF($AI101="CT",B$13,IF(LEFT($AI101,3)="AM|",IF($C101="","",ROWS(_xlfn.UNIQUE(_xlfn._xlws.FILTER($AO$5:$AO$302,($AP$5:$AP$302=1)*($AN$5:$AN$302=$A101))))),IF(LEFT($AI101,2)="S|",IF($AG101="","",INDEX($AO$5:$AO$302,$AH101)),IF($AI101="HDR","City",""))))))</f>
        <v/>
      </c>
      <c r="C101" s="39" t="str" cm="1">
        <f t="array" ref="C101">IF($AI101="","",IF(LEFT($AI101,2)="C|",_xlfn.LET(_xlpm.n,SUMPRODUCT($AP$5:$AP$302*($AO$5:$AO$302=$A101)),IF(_xlpm.n=0,"",_xlpm.n)),IF($AI101="CT",C$13,IF(LEFT($AI101,3)="AM|",_xlfn.LET(_xlpm.n,SUMPRODUCT($AP$5:$AP$302*($AN$5:$AN$302=$A101)),IF(_xlpm.n=0,"",_xlpm.n)),IF(LEFT($AI101,2)="S|","",IF($AI101="HDR","# Stores",""))))))</f>
        <v/>
      </c>
      <c r="D101" s="40" t="str" cm="1">
        <f t="array" ref="D101">IF($AI101="","",IF(LEFT($AI101,2)="C|",IF($C101="","",SUMPRODUCT($AP$5:$AP$302*($AO$5:$AO$302=$A101),$AR$5:$AR$302)),IF($AI101="CT",D$13,IF(LEFT($AI101,3)="AM|",IF($C101="","",SUMPRODUCT($AP$5:$AP$302*($AN$5:$AN$302=$A101),$AR$5:$AR$302)),IF(LEFT($AI101,2)="S|",IF($AG101="","",INDEX($AR$5:$AR$302,$AH101)),IF($AI101="HDR","Sales TY",""))))))</f>
        <v/>
      </c>
      <c r="E101" s="40" t="str" cm="1">
        <f t="array" ref="E101">IF($AI101="","",IF(LEFT($AI101,2)="C|",IF($C101="","",SUMPRODUCT($AP$5:$AP$302*($AO$5:$AO$302=$A101),$AT$5:$AT$302)),IF($AI101="CT",E$13,IF(LEFT($AI101,3)="AM|",IF($C101="","",SUMPRODUCT($AP$5:$AP$302*($AN$5:$AN$302=$A101),$AT$5:$AT$302)),IF(LEFT($AI101,2)="S|",IF($AG101="","",INDEX($AT$5:$AT$302,$AH101)),IF($AI101="HDR","Sales LY",""))))))</f>
        <v/>
      </c>
      <c r="F101" s="41" t="str">
        <f t="shared" si="64"/>
        <v/>
      </c>
      <c r="G101" s="41" t="str">
        <f t="shared" si="65"/>
        <v/>
      </c>
      <c r="H101" s="40" t="str" cm="1">
        <f t="array" ref="H101">IF($AI101="","",IF(LEFT($AI101,2)="C|",IF($C101="","",SUMPRODUCT($AP$5:$AP$302*($AO$5:$AO$302=$A101),$AV$5:$AV$302)),IF($AI101="CT",H$13,IF(LEFT($AI101,3)="AM|",IF($C101="","",SUMPRODUCT($AP$5:$AP$302*($AN$5:$AN$302=$A101),$AV$5:$AV$302)),IF(LEFT($AI101,2)="S|",IF($AG101="","",INDEX($AV$5:$AV$302,$AH101)),IF($AI101="HDR","Target",""))))))</f>
        <v/>
      </c>
      <c r="I101" s="41" t="str">
        <f t="shared" si="66"/>
        <v/>
      </c>
      <c r="J101" s="40" t="str">
        <f t="shared" si="67"/>
        <v/>
      </c>
      <c r="K101" s="41" t="str">
        <f t="shared" si="68"/>
        <v/>
      </c>
      <c r="L101" s="40" t="str" cm="1">
        <f t="array" ref="L101">IF($AI101="","",IF(LEFT($AI101,2)="C|",IF($C101="","",SUMPRODUCT($AP$5:$AP$302*($AO$5:$AO$302=$A101),$BN$5:$BN$302)),IF($AI101="CT",L$13,IF(LEFT($AI101,3)="AM|",IF($C101="","",SUMPRODUCT($AP$5:$AP$302*($AN$5:$AN$302=$A101),$BN$5:$BN$302)),IF(LEFT($AI101,2)="S|",IF($AG101="","",INDEX($BN$5:$BN$302,$AH101)),IF($AI101="HDR","Month Target",""))))))</f>
        <v/>
      </c>
      <c r="M101" s="40" t="str" cm="1">
        <f t="array" ref="M101">IF($AI101="","",IF(LEFT($AI101,2)="C|",IF($C101="","",SUMPRODUCT($AP$5:$AP$302*($AO$5:$AO$302=$A101),$BO$5:$BO$302)),IF($AI101="CT",M$13,IF(LEFT($AI101,3)="AM|",IF($C101="","",SUMPRODUCT($AP$5:$AP$302*($AN$5:$AN$302=$A101),$BO$5:$BO$302)),IF(LEFT($AI101,2)="S|",IF($AG101="","",INDEX($BO$5:$BO$302,$AH101)),IF($AI101="HDR","Projected Close",""))))))</f>
        <v/>
      </c>
      <c r="N101" s="41" t="str">
        <f t="shared" si="76"/>
        <v/>
      </c>
      <c r="O101" s="41" t="str" cm="1">
        <f t="array" ref="O101">IF($AI101="HDR","Proj. vs LY",IF(OR($AI101="",M101=""),"",_xlfn.LET(_xlpm.ly,IF(LEFT($AI101,2)="C|",SUMPRODUCT($AP$5:$AP$302*($AO$5:$AO$302=$A101),$BK$5:$BK$302),IF($AI101="CT",SUMPRODUCT($AP$5:$AP$302,$BK$5:$BK$302),IF(LEFT($AI101,3)="AM|",SUMPRODUCT($AP$5:$AP$302*($AN$5:$AN$302=$A101),$BK$5:$BK$302),IF(LEFT($AI101,2)="S|",INDEX($BK$5:$BK$302,$AH101),0)))),IFERROR(M101/_xlpm.ly-1,""))))</f>
        <v/>
      </c>
      <c r="P101" s="40" t="str" cm="1">
        <f t="array" ref="P101">IF($AI101="","",IF(LEFT($AI101,2)="C|",IF($C101="","",SUMPRODUCT($AP$5:$AP$302*($AO$5:$AO$302=$A101),$AS$5:$AS$302)),IF($AI101="CT",P$13,IF(LEFT($AI101,3)="AM|",IF($C101="","",SUMPRODUCT($AP$5:$AP$302*($AN$5:$AN$302=$A101),$AS$5:$AS$302)),IF(LEFT($AI101,2)="S|",IF($AG101="","",INDEX($AS$5:$AS$302,$AH101)),IF($AI101="HDR","Trans TY",""))))))</f>
        <v/>
      </c>
      <c r="Q101" s="40" t="str" cm="1">
        <f t="array" ref="Q101">IF($AI101="","",IF(LEFT($AI101,2)="C|",IF($C101="","",SUMPRODUCT($AP$5:$AP$302*($AO$5:$AO$302=$A101),$AU$5:$AU$302)),IF($AI101="CT",Q$13,IF(LEFT($AI101,3)="AM|",IF($C101="","",SUMPRODUCT($AP$5:$AP$302*($AN$5:$AN$302=$A101),$AU$5:$AU$302)),IF(LEFT($AI101,2)="S|",IF($AG101="","",INDEX($AU$5:$AU$302,$AH101)),IF($AI101="HDR","Trans LY",""))))))</f>
        <v/>
      </c>
      <c r="R101" s="41" t="str">
        <f t="shared" si="69"/>
        <v/>
      </c>
      <c r="S101" s="41" t="str">
        <f t="shared" si="70"/>
        <v/>
      </c>
      <c r="T101" s="42" t="str">
        <f t="shared" si="71"/>
        <v/>
      </c>
      <c r="U101" s="42" t="str">
        <f t="shared" si="72"/>
        <v/>
      </c>
      <c r="V101" s="41" t="str">
        <f t="shared" si="73"/>
        <v/>
      </c>
      <c r="W101" s="40" t="str" cm="1">
        <f t="array" ref="W101">IF($AI101="","",IF(LEFT($AI101,2)="C|",_xlfn.LET(_xlpm.n,SUMPRODUCT($AP$5:$AP$302*($AO$5:$AO$302=$A101),$BB$5:$BB$302),IF(_xlpm.n=0,"",_xlpm.n)),IF($AI101="CT",W$13,IF(LEFT($AI101,3)="AM|",_xlfn.LET(_xlpm.n,SUMPRODUCT($AP$5:$AP$302*($AN$5:$AN$302=$A101),$BB$5:$BB$302),IF(_xlpm.n=0,"",_xlpm.n)),IF(LEFT($AI101,2)="S|",IF($AG101="","",_xlfn.LET(_xlpm.n,INDEX($BB$5:$BB$302,$AH101),IF(_xlpm.n=0,"",_xlpm.n))),IF($AI101="HDR","Footfall",""))))))</f>
        <v/>
      </c>
      <c r="X101" s="40" t="str" cm="1">
        <f t="array" ref="X101">IF($AI101="","",IF($AI101="HDR","Trans (FF stores)",IF(W101="","",IF(LEFT($AI101,2)="C|",SUMPRODUCT($AP$5:$AP$302*($AO$5:$AO$302=$A101),$BC$5:$BC$302),IF($AI101="CT",X$13,IF(LEFT($AI101,3)="AM|",SUMPRODUCT($AP$5:$AP$302*($AN$5:$AN$302=$A101),$BC$5:$BC$302),IF(LEFT($AI101,2)="S|",INDEX($BC$5:$BC$302,$AH101),"")))))))</f>
        <v/>
      </c>
      <c r="Y101" s="41" t="str">
        <f t="shared" si="77"/>
        <v/>
      </c>
      <c r="Z101" s="40" t="str" cm="1">
        <f t="array" ref="Z101">IF($AI101="","",IF(LEFT($AI101,2)="C|",IF($C101="","",SUMPRODUCT($AP$5:$AP$302*($AO$5:$AO$302=$A101),$CB$5:$CB$302)),IF($AI101="CT",Z$13,IF(LEFT($AI101,3)="AM|",IF($C101="","",SUMPRODUCT($AP$5:$AP$302*($AN$5:$AN$302=$A101),$CB$5:$CB$302)),IF(LEFT($AI101,2)="S|",IF($AG101="","",INDEX($CB$5:$CB$302,$AH101)),IF($AI101="HDR","Makeup Sales",""))))))</f>
        <v/>
      </c>
      <c r="AA101" s="41" t="str">
        <f t="shared" si="74"/>
        <v/>
      </c>
      <c r="AB101" s="40" t="str" cm="1">
        <f t="array" ref="AB101">IF($AI101="","",IF(LEFT($AI101,2)="C|",IF($C101="","",SUMPRODUCT($AP$5:$AP$302*($AO$5:$AO$302=$A101),$CK$5:$CK$302)),IF($AI101="CT",AB$13,IF(LEFT($AI101,3)="AM|",IF($C101="","",SUMPRODUCT($AP$5:$AP$302*($AN$5:$AN$302=$A101),$CK$5:$CK$302)),IF(LEFT($AI101,2)="S|",IF($AG101="","",INDEX($CK$5:$CK$302,$AH101)),IF($AI101="HDR","Makeup Target",""))))))</f>
        <v/>
      </c>
      <c r="AC101" s="41" t="str">
        <f t="shared" si="78"/>
        <v/>
      </c>
      <c r="AD101" s="40" t="str" cm="1">
        <f t="array" ref="AD101">IF($AI101="","",IF(LEFT($AI101,2)="C|",IF($C101="","",SUMPRODUCT($AP$5:$AP$302*($AO$5:$AO$302=$A101),$CI$5:$CI$302)),IF($AI101="CT",AD$13,IF(LEFT($AI101,3)="AM|",IF($C101="","",SUMPRODUCT($AP$5:$AP$302*($AN$5:$AN$302=$A101),$CI$5:$CI$302)),IF(LEFT($AI101,2)="S|",IF($AG101="","",INDEX($CI$5:$CI$302,$AH101)),IF($AI101="HDR","Cosmetic Sales",""))))))</f>
        <v/>
      </c>
      <c r="AE101" s="8" t="str" cm="1">
        <f t="array" ref="AE101">IF($AI101="","",IF(LEFT($AI101,2)="C|",IF($C101="","",SUMPRODUCT($AP$5:$AP$302*($AO$5:$AO$302=$A101)*$AQ$5:$AQ$302,$AR$5:$AR$302)),IF($AI101="CT",AE$13,IF(LEFT($AI101,3)="AM|",IF($C101="","",SUMPRODUCT($AP$5:$AP$302*($AN$5:$AN$302=$A101)*$AQ$5:$AQ$302,$AR$5:$AR$302)),IF(LEFT($AI101,2)="S|",IF($AG101="","",IF(INDEX($AQ$5:$AQ$302,$AH101)=1,D101,0)),IF($AI101="HDR","LFL Sales",""))))))</f>
        <v/>
      </c>
      <c r="AF101" s="8" t="str" cm="1">
        <f t="array" ref="AF101">IF($AI101="","",IF(LEFT($AI101,2)="C|",IF($C101="","",SUMPRODUCT($AP$5:$AP$302*($AO$5:$AO$302=$A101)*$AQ$5:$AQ$302,$AS$5:$AS$302)),IF($AI101="CT",AF$13,IF(LEFT($AI101,3)="AM|",IF($C101="","",SUMPRODUCT($AP$5:$AP$302*($AN$5:$AN$302=$A101)*$AQ$5:$AQ$302,$AS$5:$AS$302)),IF(LEFT($AI101,2)="S|",IF($AG101="","",IF(INDEX($AQ$5:$AQ$302,$AH101)=1,P101,0)),IF($AI101="HDR","LFL Trans",""))))))</f>
        <v/>
      </c>
      <c r="AG101" s="8" t="str" cm="1">
        <f t="array" ref="AG101">IF($AI101="","",IF(LEFT($AI101,2)="C|","",IF($AI101="CT","",IF(LEFT($AI101,3)="AM|","",IF(LEFT($AI101,2)="S|",IF($AH101="","",IF(INDEX($AP$5:$AP$302,$AH101)=1,1,"")),IF($AI101="HDR","Show",""))))))</f>
        <v/>
      </c>
      <c r="AH101" s="8" t="str">
        <f t="shared" si="75"/>
        <v/>
      </c>
      <c r="AI101" s="8"/>
      <c r="AN101" s="8" t="str" cm="1">
        <f t="array" ref="AN101">IF($AW101="","",_xlfn.LET(_xlpm.sa,IFERROR(TRIM(INDEX('Sales and count'!$D$4:$D$300,$BF101)&amp;""),""),_xlpm.ta,IFERROR(TRIM(INDEX('TY Sales Target'!$F$5:$F$300,$BG101)&amp;""),""),IF(AND(_xlpm.sa&lt;&gt;"",LEFT(_xlpm.sa,1)&lt;&gt;"#",_xlpm.sa&lt;&gt;"0"),_xlpm.sa,IF(AND(_xlpm.ta&lt;&gt;"",LEFT(_xlpm.ta,1)&lt;&gt;"#",_xlpm.ta&lt;&gt;"0"),_xlpm.ta,IF(ISNUMBER($BG101),"Unassigned","")))))</f>
        <v>Ahmed Jaffari</v>
      </c>
      <c r="AO101" s="8" t="str" cm="1">
        <f t="array" ref="AO101">IF($AW101="","",_xlfn.LET(_xlpm.sa,IFERROR(TRIM(INDEX('Sales and count'!$C$4:$C$300,$BF101)&amp;""),""),_xlpm.ta,IFERROR(TRIM(INDEX('TY Sales Target'!$D$5:$D$300,$BG101)&amp;""),""),IF(AND(_xlpm.sa&lt;&gt;"",LEFT(_xlpm.sa,1)&lt;&gt;"#",_xlpm.sa&lt;&gt;"0"),_xlpm.sa,IF(AND(_xlpm.ta&lt;&gt;"",LEFT(_xlpm.ta,1)&lt;&gt;"#",_xlpm.ta&lt;&gt;"0"),_xlpm.ta,""))))</f>
        <v>Samtah</v>
      </c>
      <c r="AP101" s="8">
        <f t="shared" si="60"/>
        <v>0</v>
      </c>
      <c r="AQ101" s="8">
        <f t="shared" si="61"/>
        <v>1</v>
      </c>
      <c r="AR101" s="8" cm="1">
        <f t="array" ref="AR101">IF($BF101="",0,_xlfn.LET(_xlpm.d,IFERROR(--'Sales and count'!$G$2:$CC$2,0),SUMPRODUCT(('Sales and count'!$G$3:$CC$3="Total")*(_xlpm.d&gt;=$U$4)*(_xlpm.d&lt;=$U$5),INDEX('Sales and count'!$G$4:$CC$300,$BF101,0))))</f>
        <v>91472.589999999982</v>
      </c>
      <c r="AS101" s="8" cm="1">
        <f t="array" aca="1" ref="AS101" ca="1">IF($BF101="",0,_xlfn.LET(_xlpm.d,IFERROR(--'Sales and count'!$F$2:$CB$2,0),SUMPRODUCT(('Sales and count'!$G$3:$CC$3="Transactions")*(_xlpm.d&gt;=$U$4)*(_xlpm.d&lt;=$U$5),INDEX('Sales and count'!$G$4:$CC$300,$BF101,0))))</f>
        <v>498</v>
      </c>
      <c r="AT101" s="8" cm="1">
        <f t="array" ref="AT101">IF($AW101="",0,SUMPRODUCT((TRIM('LY Sales '!$B$5:$B$200)=$AW101)*('LY Sales '!$C$2:$AG$2&gt;=EDATE($U$4,-12))*('LY Sales '!$C$2:$AG$2&lt;=EDATE($U$5,-12)),'LY Sales '!$C$5:$AG$200))</f>
        <v>165355.94999999998</v>
      </c>
      <c r="AU101" s="8" cm="1">
        <f t="array" ref="AU101">IF($AW101="",0,SUMPRODUCT((TRIM('LY Transaction'!$B$5:$B$200)=$AW101)*('LY Transaction'!$C$2:$AG$2&gt;=EDATE($U$4,-12))*('LY Transaction'!$C$2:$AG$2&lt;=EDATE($U$5,-12)),'LY Transaction'!$C$5:$AG$200))</f>
        <v>1388</v>
      </c>
      <c r="AV101" s="8" cm="1">
        <f t="array" ref="AV101">IF(NOT(ISNUMBER($BG101)),0,SUMPRODUCT(('TY Sales Target'!$K$2:$AO$2&gt;=$U$4)*('TY Sales Target'!$K$2:$AO$2&lt;=$U$5),INDEX('TY Sales Target'!$K$5:$AO$300,$BG101,0)))</f>
        <v>199205.49101578398</v>
      </c>
      <c r="AW101" s="8" t="str" cm="1">
        <f t="array" ref="AW101">IFERROR(INDEX(_xlfn.ANCHORARRAY($BR$5),ROWS($AW$5:AW101)),"")</f>
        <v>HALELEMALL</v>
      </c>
      <c r="BB101" cm="1">
        <f t="array" ref="BB101">IF($AW101="",0,SUMPRODUCT((TRIM(Footfall!$B$5:$B$301)=$AW101)*(Footfall!$C$1:$BZ$1&gt;=$U$4)*(Footfall!$C$2:$BZ$2&lt;=$U$5)*(Footfall!$C$1:$BZ$1&lt;&gt;""),Footfall!$C$5:$BZ$301))</f>
        <v>2873</v>
      </c>
      <c r="BC101" cm="1">
        <f t="array" aca="1" ref="BC101" ca="1">IF(OR($BB101&lt;=0,$BD$1="",$BF101=""),0,_xlfn.LET(_xlpm.d,IFERROR(--'Sales and count'!$F$2:$CB$2,0),SUMPRODUCT(('Sales and count'!$G$3:$CC$3="Transactions")*(_xlpm.d&gt;=$BD$1)*(_xlpm.d&lt;=$BD$2),INDEX('Sales and count'!$G$4:$CC$300,$BF101,0))))</f>
        <v>498</v>
      </c>
      <c r="BF101" cm="1">
        <f t="array" ref="BF101">IF($AW101="","",IFERROR(MATCH($AW101,TRIM('Sales and count'!$A$4:$A$300&amp;""),0),""))</f>
        <v>97</v>
      </c>
      <c r="BG101" cm="1">
        <f t="array" ref="BG101">IF($AW101="","",IFERROR(MATCH(IFERROR(_xlfn.XLOOKUP($AW101,$BT$5:$BT$22,$BU$5:$BU$22),$AW101),TRIM('TY Sales Target'!$B$5:$B$300&amp;""),0),""))</f>
        <v>42</v>
      </c>
      <c r="BH101" t="str" cm="1">
        <f t="array" ref="BH101">IF(ISNUMBER($BG101),_xlfn.LET(_xlpm.p,TRIM(INDEX('TY Sales Target'!$I$5:$I$300,$BG101)&amp;""),IF(_xlpm.p="","Not set",_xlpm.p)),"Not set")</f>
        <v>Smart Phone</v>
      </c>
      <c r="BI101" cm="1">
        <f t="array" ref="BI101">IF($BF101="",0,_xlfn.LET(_xlpm.d,IFERROR(--'Sales and count'!$G$2:$CC$2,0),SUMPRODUCT(('Sales and count'!$G$3:$CC$3="Total")*(_xlpm.d&gt;=$BZ$5)*(_xlpm.d&lt;=$BZ$6),INDEX('Sales and count'!$G$4:$CC$300,$BF101,0))))</f>
        <v>91472.589999999982</v>
      </c>
      <c r="BJ101" cm="1">
        <f t="array" ref="BJ101">IF($AW101="",0,SUMPRODUCT((TRIM('LY Sales '!$B$5:$B$200)=$AW101)*('LY Sales '!$C$2:$AG$2&gt;=EDATE($BZ$5,-12))*('LY Sales '!$C$2:$AG$2&lt;=EDATE($BZ$6,-12)),'LY Sales '!$C$5:$AG$200))</f>
        <v>165355.94999999998</v>
      </c>
      <c r="BK101" cm="1">
        <f t="array" ref="BK101">IF($AW101="",0,SUMPRODUCT((TRIM('LY Sales '!$B$5:$B$200)=$AW101)*('LY Sales '!$C$2:$AG$2&gt;=EDATE($BZ$5,-12))*('LY Sales '!$C$2:$AG$2&lt;=EDATE($BZ$7,-12)),'LY Sales '!$C$5:$AG$200))</f>
        <v>209376.62</v>
      </c>
      <c r="BL101" cm="1">
        <f t="array" ref="BL101">IF($AW101="",0,SUMPRODUCT((TRIM('LY Sales '!$B$5:$B$200)=$AW101)*('LY Sales '!$C$2:$AG$2&gt;=EDATE($BZ$5,-12))*('LY Sales '!$C$2:$AG$2&lt;=EDATE($BZ$6,-12))*('LY Sales '!$C$5:$AG$200&gt;0)))</f>
        <v>26</v>
      </c>
      <c r="BM101" cm="1">
        <f t="array" ref="BM101">IF(NOT(ISNUMBER($BG101)),0,SUMPRODUCT(('TY Sales Target'!$K$2:$AO$2&gt;=$BZ$5)*('TY Sales Target'!$K$2:$AO$2&lt;=$BZ$6),INDEX('TY Sales Target'!$K$5:$AO$300,$BG101,0)))</f>
        <v>199205.49101578398</v>
      </c>
      <c r="BN101" cm="1">
        <f t="array" ref="BN101">IF(NOT(ISNUMBER($BG101)),0,SUMPRODUCT(('TY Sales Target'!$K$2:$AO$2&gt;=$BZ$5)*('TY Sales Target'!$K$2:$AO$2&lt;=$BZ$7),INDEX('TY Sales Target'!$K$5:$AO$300,$BG101,0)))</f>
        <v>260000</v>
      </c>
      <c r="BO101" cm="1">
        <f t="array" ref="BO101">IF($AW101="",0,IFERROR(_xlfn.SWITCH($BP101,"LY trend",$BI101*$BK101/$BJ101,"Target curve",$BI101*$BN101/$BM101,"Run rate",$BI101/$BZ$8*$BZ$9,0),0))</f>
        <v>115824.20660911081</v>
      </c>
      <c r="BP101" t="str">
        <f t="shared" si="59"/>
        <v>LY trend</v>
      </c>
      <c r="BR101" t="str">
        <v>HALELEMALL</v>
      </c>
      <c r="CB101" cm="1">
        <f t="array" ref="CB101">IF($AW101="",0,_xlfn.LET(_xlpm.k,IFERROR(_xlfn.XLOOKUP($AW101,$CD$6:$CD$21,$CE$6:$CE$21),$AW101),SUMPRODUCT((TRIM('Makeup '!$A$2:$A$300&amp;"")=_xlpm.k)*1,IFERROR('Makeup '!$F$2:$F$300*1,0))))</f>
        <v>5532.55</v>
      </c>
      <c r="CF101" t="str" cm="1">
        <f t="array" ref="CF101">IF($AW101="","",_xlfn.LET(_xlpm.c,IFERROR(TRIM(INDEX('Sales and count'!$B$4:$B$300,$BF101)&amp;""),""),IF(OR(_xlpm.c="",_xlpm.c="0",LEFT(_xlpm.c,1)="#"),"Not set",_xlpm.c)))</f>
        <v>KSA</v>
      </c>
      <c r="CH101" cm="1">
        <f t="array" ref="CH101">IF($AW101="",0,_xlfn.LET(_xlpm.k,IFERROR(_xlfn.XLOOKUP($AW101,$CD$6:$CD$21,$CE$6:$CE$21),$AW101),--(SUMPRODUCT((TRIM('Makeup '!$A$2:$A$300&amp;"")=_xlpm.k)*ISNUMBER('Makeup '!$F$2:$F$300))&gt;0)))</f>
        <v>1</v>
      </c>
      <c r="CI101">
        <f t="shared" si="62"/>
        <v>91472.589999999982</v>
      </c>
      <c r="CJ101" cm="1">
        <f t="array" ref="CJ101">IF($AW101="",0,--(SUMPRODUCT(--(TRIM(Footfall!$B$5:$B$301)=$AW101))&gt;0))</f>
        <v>1</v>
      </c>
      <c r="CK101" s="8" cm="1">
        <f t="array" ref="CK101">IF($AW101="",0,_xlfn.LET(_xlpm.r,IFERROR(MATCH(IFERROR(_xlfn.XLOOKUP($AW101,$BT$5:$BT$22,$BU$5:$BU$22),$AW101),TRIM('TY Beauty Target'!$B$5:$B$300&amp;""),0),""),IF(ISNUMBER(_xlpm.r),SUMPRODUCT(('TY Beauty Target'!$L$2:$AP$2&gt;=$U$4)*('TY Beauty Target'!$L$2:$AP$2&lt;=$U$5),INDEX('TY Beauty Target'!$L$5:$AP$300,_xlpm.r,0)),0)))</f>
        <v>10978.695503920888</v>
      </c>
    </row>
    <row r="102" spans="1:89" ht="15" customHeight="1" x14ac:dyDescent="0.25">
      <c r="A102" s="38" t="str">
        <f t="shared" si="63"/>
        <v/>
      </c>
      <c r="B102" s="43" t="str" cm="1">
        <f t="array" ref="B102">IF($AI102="","",IF(LEFT($AI102,2)="C|",IF($C102="","",_xlfn.TEXTJOIN(", ",TRUE,_xlfn.UNIQUE(_xlfn._xlws.FILTER($AN$5:$AN$302,($AP$5:$AP$302=1)*($AO$5:$AO$302=$A102))))),IF($AI102="CT",B$13,IF(LEFT($AI102,3)="AM|",IF($C102="","",ROWS(_xlfn.UNIQUE(_xlfn._xlws.FILTER($AO$5:$AO$302,($AP$5:$AP$302=1)*($AN$5:$AN$302=$A102))))),IF(LEFT($AI102,2)="S|",IF($AG102="","",INDEX($AO$5:$AO$302,$AH102)),IF($AI102="HDR","City",""))))))</f>
        <v/>
      </c>
      <c r="C102" s="39" t="str" cm="1">
        <f t="array" ref="C102">IF($AI102="","",IF(LEFT($AI102,2)="C|",_xlfn.LET(_xlpm.n,SUMPRODUCT($AP$5:$AP$302*($AO$5:$AO$302=$A102)),IF(_xlpm.n=0,"",_xlpm.n)),IF($AI102="CT",C$13,IF(LEFT($AI102,3)="AM|",_xlfn.LET(_xlpm.n,SUMPRODUCT($AP$5:$AP$302*($AN$5:$AN$302=$A102)),IF(_xlpm.n=0,"",_xlpm.n)),IF(LEFT($AI102,2)="S|","",IF($AI102="HDR","# Stores",""))))))</f>
        <v/>
      </c>
      <c r="D102" s="40" t="str" cm="1">
        <f t="array" ref="D102">IF($AI102="","",IF(LEFT($AI102,2)="C|",IF($C102="","",SUMPRODUCT($AP$5:$AP$302*($AO$5:$AO$302=$A102),$AR$5:$AR$302)),IF($AI102="CT",D$13,IF(LEFT($AI102,3)="AM|",IF($C102="","",SUMPRODUCT($AP$5:$AP$302*($AN$5:$AN$302=$A102),$AR$5:$AR$302)),IF(LEFT($AI102,2)="S|",IF($AG102="","",INDEX($AR$5:$AR$302,$AH102)),IF($AI102="HDR","Sales TY",""))))))</f>
        <v/>
      </c>
      <c r="E102" s="40" t="str" cm="1">
        <f t="array" ref="E102">IF($AI102="","",IF(LEFT($AI102,2)="C|",IF($C102="","",SUMPRODUCT($AP$5:$AP$302*($AO$5:$AO$302=$A102),$AT$5:$AT$302)),IF($AI102="CT",E$13,IF(LEFT($AI102,3)="AM|",IF($C102="","",SUMPRODUCT($AP$5:$AP$302*($AN$5:$AN$302=$A102),$AT$5:$AT$302)),IF(LEFT($AI102,2)="S|",IF($AG102="","",INDEX($AT$5:$AT$302,$AH102)),IF($AI102="HDR","Sales LY",""))))))</f>
        <v/>
      </c>
      <c r="F102" s="41" t="str">
        <f t="shared" si="64"/>
        <v/>
      </c>
      <c r="G102" s="41" t="str">
        <f t="shared" si="65"/>
        <v/>
      </c>
      <c r="H102" s="40" t="str" cm="1">
        <f t="array" ref="H102">IF($AI102="","",IF(LEFT($AI102,2)="C|",IF($C102="","",SUMPRODUCT($AP$5:$AP$302*($AO$5:$AO$302=$A102),$AV$5:$AV$302)),IF($AI102="CT",H$13,IF(LEFT($AI102,3)="AM|",IF($C102="","",SUMPRODUCT($AP$5:$AP$302*($AN$5:$AN$302=$A102),$AV$5:$AV$302)),IF(LEFT($AI102,2)="S|",IF($AG102="","",INDEX($AV$5:$AV$302,$AH102)),IF($AI102="HDR","Target",""))))))</f>
        <v/>
      </c>
      <c r="I102" s="41" t="str">
        <f t="shared" si="66"/>
        <v/>
      </c>
      <c r="J102" s="40" t="str">
        <f t="shared" si="67"/>
        <v/>
      </c>
      <c r="K102" s="41" t="str">
        <f t="shared" si="68"/>
        <v/>
      </c>
      <c r="L102" s="40" t="str" cm="1">
        <f t="array" ref="L102">IF($AI102="","",IF(LEFT($AI102,2)="C|",IF($C102="","",SUMPRODUCT($AP$5:$AP$302*($AO$5:$AO$302=$A102),$BN$5:$BN$302)),IF($AI102="CT",L$13,IF(LEFT($AI102,3)="AM|",IF($C102="","",SUMPRODUCT($AP$5:$AP$302*($AN$5:$AN$302=$A102),$BN$5:$BN$302)),IF(LEFT($AI102,2)="S|",IF($AG102="","",INDEX($BN$5:$BN$302,$AH102)),IF($AI102="HDR","Month Target",""))))))</f>
        <v/>
      </c>
      <c r="M102" s="40" t="str" cm="1">
        <f t="array" ref="M102">IF($AI102="","",IF(LEFT($AI102,2)="C|",IF($C102="","",SUMPRODUCT($AP$5:$AP$302*($AO$5:$AO$302=$A102),$BO$5:$BO$302)),IF($AI102="CT",M$13,IF(LEFT($AI102,3)="AM|",IF($C102="","",SUMPRODUCT($AP$5:$AP$302*($AN$5:$AN$302=$A102),$BO$5:$BO$302)),IF(LEFT($AI102,2)="S|",IF($AG102="","",INDEX($BO$5:$BO$302,$AH102)),IF($AI102="HDR","Projected Close",""))))))</f>
        <v/>
      </c>
      <c r="N102" s="41" t="str">
        <f t="shared" si="76"/>
        <v/>
      </c>
      <c r="O102" s="41" t="str" cm="1">
        <f t="array" ref="O102">IF($AI102="HDR","Proj. vs LY",IF(OR($AI102="",M102=""),"",_xlfn.LET(_xlpm.ly,IF(LEFT($AI102,2)="C|",SUMPRODUCT($AP$5:$AP$302*($AO$5:$AO$302=$A102),$BK$5:$BK$302),IF($AI102="CT",SUMPRODUCT($AP$5:$AP$302,$BK$5:$BK$302),IF(LEFT($AI102,3)="AM|",SUMPRODUCT($AP$5:$AP$302*($AN$5:$AN$302=$A102),$BK$5:$BK$302),IF(LEFT($AI102,2)="S|",INDEX($BK$5:$BK$302,$AH102),0)))),IFERROR(M102/_xlpm.ly-1,""))))</f>
        <v/>
      </c>
      <c r="P102" s="40" t="str" cm="1">
        <f t="array" ref="P102">IF($AI102="","",IF(LEFT($AI102,2)="C|",IF($C102="","",SUMPRODUCT($AP$5:$AP$302*($AO$5:$AO$302=$A102),$AS$5:$AS$302)),IF($AI102="CT",P$13,IF(LEFT($AI102,3)="AM|",IF($C102="","",SUMPRODUCT($AP$5:$AP$302*($AN$5:$AN$302=$A102),$AS$5:$AS$302)),IF(LEFT($AI102,2)="S|",IF($AG102="","",INDEX($AS$5:$AS$302,$AH102)),IF($AI102="HDR","Trans TY",""))))))</f>
        <v/>
      </c>
      <c r="Q102" s="40" t="str" cm="1">
        <f t="array" ref="Q102">IF($AI102="","",IF(LEFT($AI102,2)="C|",IF($C102="","",SUMPRODUCT($AP$5:$AP$302*($AO$5:$AO$302=$A102),$AU$5:$AU$302)),IF($AI102="CT",Q$13,IF(LEFT($AI102,3)="AM|",IF($C102="","",SUMPRODUCT($AP$5:$AP$302*($AN$5:$AN$302=$A102),$AU$5:$AU$302)),IF(LEFT($AI102,2)="S|",IF($AG102="","",INDEX($AU$5:$AU$302,$AH102)),IF($AI102="HDR","Trans LY",""))))))</f>
        <v/>
      </c>
      <c r="R102" s="41" t="str">
        <f t="shared" si="69"/>
        <v/>
      </c>
      <c r="S102" s="41" t="str">
        <f t="shared" si="70"/>
        <v/>
      </c>
      <c r="T102" s="42" t="str">
        <f t="shared" si="71"/>
        <v/>
      </c>
      <c r="U102" s="42" t="str">
        <f t="shared" si="72"/>
        <v/>
      </c>
      <c r="V102" s="41" t="str">
        <f t="shared" si="73"/>
        <v/>
      </c>
      <c r="W102" s="40" t="str" cm="1">
        <f t="array" ref="W102">IF($AI102="","",IF(LEFT($AI102,2)="C|",_xlfn.LET(_xlpm.n,SUMPRODUCT($AP$5:$AP$302*($AO$5:$AO$302=$A102),$BB$5:$BB$302),IF(_xlpm.n=0,"",_xlpm.n)),IF($AI102="CT",W$13,IF(LEFT($AI102,3)="AM|",_xlfn.LET(_xlpm.n,SUMPRODUCT($AP$5:$AP$302*($AN$5:$AN$302=$A102),$BB$5:$BB$302),IF(_xlpm.n=0,"",_xlpm.n)),IF(LEFT($AI102,2)="S|",IF($AG102="","",_xlfn.LET(_xlpm.n,INDEX($BB$5:$BB$302,$AH102),IF(_xlpm.n=0,"",_xlpm.n))),IF($AI102="HDR","Footfall",""))))))</f>
        <v/>
      </c>
      <c r="X102" s="40" t="str" cm="1">
        <f t="array" ref="X102">IF($AI102="","",IF($AI102="HDR","Trans (FF stores)",IF(W102="","",IF(LEFT($AI102,2)="C|",SUMPRODUCT($AP$5:$AP$302*($AO$5:$AO$302=$A102),$BC$5:$BC$302),IF($AI102="CT",X$13,IF(LEFT($AI102,3)="AM|",SUMPRODUCT($AP$5:$AP$302*($AN$5:$AN$302=$A102),$BC$5:$BC$302),IF(LEFT($AI102,2)="S|",INDEX($BC$5:$BC$302,$AH102),"")))))))</f>
        <v/>
      </c>
      <c r="Y102" s="41" t="str">
        <f t="shared" si="77"/>
        <v/>
      </c>
      <c r="Z102" s="40" t="str" cm="1">
        <f t="array" ref="Z102">IF($AI102="","",IF(LEFT($AI102,2)="C|",IF($C102="","",SUMPRODUCT($AP$5:$AP$302*($AO$5:$AO$302=$A102),$CB$5:$CB$302)),IF($AI102="CT",Z$13,IF(LEFT($AI102,3)="AM|",IF($C102="","",SUMPRODUCT($AP$5:$AP$302*($AN$5:$AN$302=$A102),$CB$5:$CB$302)),IF(LEFT($AI102,2)="S|",IF($AG102="","",INDEX($CB$5:$CB$302,$AH102)),IF($AI102="HDR","Makeup Sales",""))))))</f>
        <v/>
      </c>
      <c r="AA102" s="41" t="str">
        <f t="shared" si="74"/>
        <v/>
      </c>
      <c r="AB102" s="40" t="str" cm="1">
        <f t="array" ref="AB102">IF($AI102="","",IF(LEFT($AI102,2)="C|",IF($C102="","",SUMPRODUCT($AP$5:$AP$302*($AO$5:$AO$302=$A102),$CK$5:$CK$302)),IF($AI102="CT",AB$13,IF(LEFT($AI102,3)="AM|",IF($C102="","",SUMPRODUCT($AP$5:$AP$302*($AN$5:$AN$302=$A102),$CK$5:$CK$302)),IF(LEFT($AI102,2)="S|",IF($AG102="","",INDEX($CK$5:$CK$302,$AH102)),IF($AI102="HDR","Makeup Target",""))))))</f>
        <v/>
      </c>
      <c r="AC102" s="41" t="str">
        <f t="shared" si="78"/>
        <v/>
      </c>
      <c r="AD102" s="40" t="str" cm="1">
        <f t="array" ref="AD102">IF($AI102="","",IF(LEFT($AI102,2)="C|",IF($C102="","",SUMPRODUCT($AP$5:$AP$302*($AO$5:$AO$302=$A102),$CI$5:$CI$302)),IF($AI102="CT",AD$13,IF(LEFT($AI102,3)="AM|",IF($C102="","",SUMPRODUCT($AP$5:$AP$302*($AN$5:$AN$302=$A102),$CI$5:$CI$302)),IF(LEFT($AI102,2)="S|",IF($AG102="","",INDEX($CI$5:$CI$302,$AH102)),IF($AI102="HDR","Cosmetic Sales",""))))))</f>
        <v/>
      </c>
      <c r="AE102" s="8" t="str" cm="1">
        <f t="array" ref="AE102">IF($AI102="","",IF(LEFT($AI102,2)="C|",IF($C102="","",SUMPRODUCT($AP$5:$AP$302*($AO$5:$AO$302=$A102)*$AQ$5:$AQ$302,$AR$5:$AR$302)),IF($AI102="CT",AE$13,IF(LEFT($AI102,3)="AM|",IF($C102="","",SUMPRODUCT($AP$5:$AP$302*($AN$5:$AN$302=$A102)*$AQ$5:$AQ$302,$AR$5:$AR$302)),IF(LEFT($AI102,2)="S|",IF($AG102="","",IF(INDEX($AQ$5:$AQ$302,$AH102)=1,D102,0)),IF($AI102="HDR","LFL Sales",""))))))</f>
        <v/>
      </c>
      <c r="AF102" s="8" t="str" cm="1">
        <f t="array" ref="AF102">IF($AI102="","",IF(LEFT($AI102,2)="C|",IF($C102="","",SUMPRODUCT($AP$5:$AP$302*($AO$5:$AO$302=$A102)*$AQ$5:$AQ$302,$AS$5:$AS$302)),IF($AI102="CT",AF$13,IF(LEFT($AI102,3)="AM|",IF($C102="","",SUMPRODUCT($AP$5:$AP$302*($AN$5:$AN$302=$A102)*$AQ$5:$AQ$302,$AS$5:$AS$302)),IF(LEFT($AI102,2)="S|",IF($AG102="","",IF(INDEX($AQ$5:$AQ$302,$AH102)=1,P102,0)),IF($AI102="HDR","LFL Trans",""))))))</f>
        <v/>
      </c>
      <c r="AG102" s="8" t="str" cm="1">
        <f t="array" ref="AG102">IF($AI102="","",IF(LEFT($AI102,2)="C|","",IF($AI102="CT","",IF(LEFT($AI102,3)="AM|","",IF(LEFT($AI102,2)="S|",IF($AH102="","",IF(INDEX($AP$5:$AP$302,$AH102)=1,1,"")),IF($AI102="HDR","Show",""))))))</f>
        <v/>
      </c>
      <c r="AH102" s="8" t="str">
        <f t="shared" si="75"/>
        <v/>
      </c>
      <c r="AI102" s="8"/>
      <c r="AN102" s="8" t="str" cm="1">
        <f t="array" ref="AN102">IF($AW102="","",_xlfn.LET(_xlpm.sa,IFERROR(TRIM(INDEX('Sales and count'!$D$4:$D$300,$BF102)&amp;""),""),_xlpm.ta,IFERROR(TRIM(INDEX('TY Sales Target'!$F$5:$F$300,$BG102)&amp;""),""),IF(AND(_xlpm.sa&lt;&gt;"",LEFT(_xlpm.sa,1)&lt;&gt;"#",_xlpm.sa&lt;&gt;"0"),_xlpm.sa,IF(AND(_xlpm.ta&lt;&gt;"",LEFT(_xlpm.ta,1)&lt;&gt;"#",_xlpm.ta&lt;&gt;"0"),_xlpm.ta,IF(ISNUMBER($BG102),"Unassigned","")))))</f>
        <v>Saleh Bin Hoiel</v>
      </c>
      <c r="AO102" s="8" t="str" cm="1">
        <f t="array" ref="AO102">IF($AW102="","",_xlfn.LET(_xlpm.sa,IFERROR(TRIM(INDEX('Sales and count'!$C$4:$C$300,$BF102)&amp;""),""),_xlpm.ta,IFERROR(TRIM(INDEX('TY Sales Target'!$D$5:$D$300,$BG102)&amp;""),""),IF(AND(_xlpm.sa&lt;&gt;"",LEFT(_xlpm.sa,1)&lt;&gt;"#",_xlpm.sa&lt;&gt;"0"),_xlpm.sa,IF(AND(_xlpm.ta&lt;&gt;"",LEFT(_xlpm.ta,1)&lt;&gt;"#",_xlpm.ta&lt;&gt;"0"),_xlpm.ta,""))))</f>
        <v>Taif</v>
      </c>
      <c r="AP102" s="8">
        <f t="shared" si="60"/>
        <v>1</v>
      </c>
      <c r="AQ102" s="8">
        <f t="shared" si="61"/>
        <v>0</v>
      </c>
      <c r="AR102" s="8" cm="1">
        <f t="array" ref="AR102">IF($BF102="",0,_xlfn.LET(_xlpm.d,IFERROR(--'Sales and count'!$G$2:$CC$2,0),SUMPRODUCT(('Sales and count'!$G$3:$CC$3="Total")*(_xlpm.d&gt;=$U$4)*(_xlpm.d&lt;=$U$5),INDEX('Sales and count'!$G$4:$CC$300,$BF102,0))))</f>
        <v>57494.560000000005</v>
      </c>
      <c r="AS102" s="8" cm="1">
        <f t="array" aca="1" ref="AS102" ca="1">IF($BF102="",0,_xlfn.LET(_xlpm.d,IFERROR(--'Sales and count'!$F$2:$CB$2,0),SUMPRODUCT(('Sales and count'!$G$3:$CC$3="Transactions")*(_xlpm.d&gt;=$U$4)*(_xlpm.d&lt;=$U$5),INDEX('Sales and count'!$G$4:$CC$300,$BF102,0))))</f>
        <v>487</v>
      </c>
      <c r="AT102" s="8" cm="1">
        <f t="array" ref="AT102">IF($AW102="",0,SUMPRODUCT((TRIM('LY Sales '!$B$5:$B$200)=$AW102)*('LY Sales '!$C$2:$AG$2&gt;=EDATE($U$4,-12))*('LY Sales '!$C$2:$AG$2&lt;=EDATE($U$5,-12)),'LY Sales '!$C$5:$AG$200))</f>
        <v>0</v>
      </c>
      <c r="AU102" s="8" cm="1">
        <f t="array" ref="AU102">IF($AW102="",0,SUMPRODUCT((TRIM('LY Transaction'!$B$5:$B$200)=$AW102)*('LY Transaction'!$C$2:$AG$2&gt;=EDATE($U$4,-12))*('LY Transaction'!$C$2:$AG$2&lt;=EDATE($U$5,-12)),'LY Transaction'!$C$5:$AG$200))</f>
        <v>0</v>
      </c>
      <c r="AV102" s="8" cm="1">
        <f t="array" ref="AV102">IF(NOT(ISNUMBER($BG102)),0,SUMPRODUCT(('TY Sales Target'!$K$2:$AO$2&gt;=$U$4)*('TY Sales Target'!$K$2:$AO$2&lt;=$U$5),INDEX('TY Sales Target'!$K$5:$AO$300,$BG102,0)))</f>
        <v>117100.48217301079</v>
      </c>
      <c r="AW102" s="8" t="str" cm="1">
        <f t="array" ref="AW102">IFERROR(INDEX(_xlfn.ANCHORARRAY($BR$5),ROWS($AW$5:AW102)),"")</f>
        <v>HATERATIF</v>
      </c>
      <c r="BB102" cm="1">
        <f t="array" ref="BB102">IF($AW102="",0,SUMPRODUCT((TRIM(Footfall!$B$5:$B$301)=$AW102)*(Footfall!$C$1:$BZ$1&gt;=$U$4)*(Footfall!$C$2:$BZ$2&lt;=$U$5)*(Footfall!$C$1:$BZ$1&lt;&gt;""),Footfall!$C$5:$BZ$301))</f>
        <v>2893</v>
      </c>
      <c r="BC102" cm="1">
        <f t="array" aca="1" ref="BC102" ca="1">IF(OR($BB102&lt;=0,$BD$1="",$BF102=""),0,_xlfn.LET(_xlpm.d,IFERROR(--'Sales and count'!$F$2:$CB$2,0),SUMPRODUCT(('Sales and count'!$G$3:$CC$3="Transactions")*(_xlpm.d&gt;=$BD$1)*(_xlpm.d&lt;=$BD$2),INDEX('Sales and count'!$G$4:$CC$300,$BF102,0))))</f>
        <v>487</v>
      </c>
      <c r="BF102" cm="1">
        <f t="array" ref="BF102">IF($AW102="","",IFERROR(MATCH($AW102,TRIM('Sales and count'!$A$4:$A$300&amp;""),0),""))</f>
        <v>98</v>
      </c>
      <c r="BG102" cm="1">
        <f t="array" ref="BG102">IF($AW102="","",IFERROR(MATCH(IFERROR(_xlfn.XLOOKUP($AW102,$BT$5:$BT$22,$BU$5:$BU$22),$AW102),TRIM('TY Sales Target'!$B$5:$B$300&amp;""),0),""))</f>
        <v>85</v>
      </c>
      <c r="BH102" t="str" cm="1">
        <f t="array" ref="BH102">IF(ISNUMBER($BG102),_xlfn.LET(_xlpm.p,TRIM(INDEX('TY Sales Target'!$I$5:$I$300,$BG102)&amp;""),IF(_xlpm.p="","Not set",_xlpm.p)),"Not set")</f>
        <v>I Pad</v>
      </c>
      <c r="BI102" cm="1">
        <f t="array" ref="BI102">IF($BF102="",0,_xlfn.LET(_xlpm.d,IFERROR(--'Sales and count'!$G$2:$CC$2,0),SUMPRODUCT(('Sales and count'!$G$3:$CC$3="Total")*(_xlpm.d&gt;=$BZ$5)*(_xlpm.d&lt;=$BZ$6),INDEX('Sales and count'!$G$4:$CC$300,$BF102,0))))</f>
        <v>57494.560000000005</v>
      </c>
      <c r="BJ102" cm="1">
        <f t="array" ref="BJ102">IF($AW102="",0,SUMPRODUCT((TRIM('LY Sales '!$B$5:$B$200)=$AW102)*('LY Sales '!$C$2:$AG$2&gt;=EDATE($BZ$5,-12))*('LY Sales '!$C$2:$AG$2&lt;=EDATE($BZ$6,-12)),'LY Sales '!$C$5:$AG$200))</f>
        <v>0</v>
      </c>
      <c r="BK102" cm="1">
        <f t="array" ref="BK102">IF($AW102="",0,SUMPRODUCT((TRIM('LY Sales '!$B$5:$B$200)=$AW102)*('LY Sales '!$C$2:$AG$2&gt;=EDATE($BZ$5,-12))*('LY Sales '!$C$2:$AG$2&lt;=EDATE($BZ$7,-12)),'LY Sales '!$C$5:$AG$200))</f>
        <v>0</v>
      </c>
      <c r="BL102" cm="1">
        <f t="array" ref="BL102">IF($AW102="",0,SUMPRODUCT((TRIM('LY Sales '!$B$5:$B$200)=$AW102)*('LY Sales '!$C$2:$AG$2&gt;=EDATE($BZ$5,-12))*('LY Sales '!$C$2:$AG$2&lt;=EDATE($BZ$6,-12))*('LY Sales '!$C$5:$AG$200&gt;0)))</f>
        <v>0</v>
      </c>
      <c r="BM102" cm="1">
        <f t="array" ref="BM102">IF(NOT(ISNUMBER($BG102)),0,SUMPRODUCT(('TY Sales Target'!$K$2:$AO$2&gt;=$BZ$5)*('TY Sales Target'!$K$2:$AO$2&lt;=$BZ$6),INDEX('TY Sales Target'!$K$5:$AO$300,$BG102,0)))</f>
        <v>117100.48217301079</v>
      </c>
      <c r="BN102" cm="1">
        <f t="array" ref="BN102">IF(NOT(ISNUMBER($BG102)),0,SUMPRODUCT(('TY Sales Target'!$K$2:$AO$2&gt;=$BZ$5)*('TY Sales Target'!$K$2:$AO$2&lt;=$BZ$7),INDEX('TY Sales Target'!$K$5:$AO$300,$BG102,0)))</f>
        <v>152837.78177866802</v>
      </c>
      <c r="BO102" cm="1">
        <f t="array" ref="BO102">IF($AW102="",0,IFERROR(_xlfn.SWITCH($BP102,"LY trend",$BI102*$BK102/$BJ102,"Target curve",$BI102*$BN102/$BM102,"Run rate",$BI102/$BZ$8*$BZ$9,0),0))</f>
        <v>75041.031870027888</v>
      </c>
      <c r="BP102" t="str">
        <f t="shared" si="59"/>
        <v>Target curve</v>
      </c>
      <c r="BR102" t="str">
        <v>HATERATIF</v>
      </c>
      <c r="CB102" cm="1">
        <f t="array" ref="CB102">IF($AW102="",0,_xlfn.LET(_xlpm.k,IFERROR(_xlfn.XLOOKUP($AW102,$CD$6:$CD$21,$CE$6:$CE$21),$AW102),SUMPRODUCT((TRIM('Makeup '!$A$2:$A$300&amp;"")=_xlpm.k)*1,IFERROR('Makeup '!$F$2:$F$300*1,0))))</f>
        <v>2030.62</v>
      </c>
      <c r="CF102" t="str" cm="1">
        <f t="array" ref="CF102">IF($AW102="","",_xlfn.LET(_xlpm.c,IFERROR(TRIM(INDEX('Sales and count'!$B$4:$B$300,$BF102)&amp;""),""),IF(OR(_xlpm.c="",_xlpm.c="0",LEFT(_xlpm.c,1)="#"),"Not set",_xlpm.c)))</f>
        <v>KSA</v>
      </c>
      <c r="CH102" cm="1">
        <f t="array" ref="CH102">IF($AW102="",0,_xlfn.LET(_xlpm.k,IFERROR(_xlfn.XLOOKUP($AW102,$CD$6:$CD$21,$CE$6:$CE$21),$AW102),--(SUMPRODUCT((TRIM('Makeup '!$A$2:$A$300&amp;"")=_xlpm.k)*ISNUMBER('Makeup '!$F$2:$F$300))&gt;0)))</f>
        <v>1</v>
      </c>
      <c r="CI102">
        <f t="shared" si="62"/>
        <v>57494.560000000005</v>
      </c>
      <c r="CJ102" cm="1">
        <f t="array" ref="CJ102">IF($AW102="",0,--(SUMPRODUCT(--(TRIM(Footfall!$B$5:$B$301)=$AW102))&gt;0))</f>
        <v>1</v>
      </c>
      <c r="CK102" s="8" cm="1">
        <f t="array" ref="CK102">IF($AW102="",0,_xlfn.LET(_xlpm.r,IFERROR(MATCH(IFERROR(_xlfn.XLOOKUP($AW102,$BT$5:$BT$22,$BU$5:$BU$22),$AW102),TRIM('TY Beauty Target'!$B$5:$B$300&amp;""),0),""),IF(ISNUMBER(_xlpm.r),SUMPRODUCT(('TY Beauty Target'!$L$2:$AP$2&gt;=$U$4)*('TY Beauty Target'!$L$2:$AP$2&lt;=$U$5),INDEX('TY Beauty Target'!$L$5:$AP$300,_xlpm.r,0)),0)))</f>
        <v>5434.6042844613803</v>
      </c>
    </row>
    <row r="103" spans="1:89" ht="15" customHeight="1" x14ac:dyDescent="0.25">
      <c r="A103" s="38" t="str">
        <f t="shared" si="63"/>
        <v/>
      </c>
      <c r="B103" s="43" t="str" cm="1">
        <f t="array" ref="B103">IF($AI103="","",IF(LEFT($AI103,2)="C|",IF($C103="","",_xlfn.TEXTJOIN(", ",TRUE,_xlfn.UNIQUE(_xlfn._xlws.FILTER($AN$5:$AN$302,($AP$5:$AP$302=1)*($AO$5:$AO$302=$A103))))),IF($AI103="CT",B$13,IF(LEFT($AI103,3)="AM|",IF($C103="","",ROWS(_xlfn.UNIQUE(_xlfn._xlws.FILTER($AO$5:$AO$302,($AP$5:$AP$302=1)*($AN$5:$AN$302=$A103))))),IF(LEFT($AI103,2)="S|",IF($AG103="","",INDEX($AO$5:$AO$302,$AH103)),IF($AI103="HDR","City",""))))))</f>
        <v/>
      </c>
      <c r="C103" s="39" t="str" cm="1">
        <f t="array" ref="C103">IF($AI103="","",IF(LEFT($AI103,2)="C|",_xlfn.LET(_xlpm.n,SUMPRODUCT($AP$5:$AP$302*($AO$5:$AO$302=$A103)),IF(_xlpm.n=0,"",_xlpm.n)),IF($AI103="CT",C$13,IF(LEFT($AI103,3)="AM|",_xlfn.LET(_xlpm.n,SUMPRODUCT($AP$5:$AP$302*($AN$5:$AN$302=$A103)),IF(_xlpm.n=0,"",_xlpm.n)),IF(LEFT($AI103,2)="S|","",IF($AI103="HDR","# Stores",""))))))</f>
        <v/>
      </c>
      <c r="D103" s="40" t="str" cm="1">
        <f t="array" ref="D103">IF($AI103="","",IF(LEFT($AI103,2)="C|",IF($C103="","",SUMPRODUCT($AP$5:$AP$302*($AO$5:$AO$302=$A103),$AR$5:$AR$302)),IF($AI103="CT",D$13,IF(LEFT($AI103,3)="AM|",IF($C103="","",SUMPRODUCT($AP$5:$AP$302*($AN$5:$AN$302=$A103),$AR$5:$AR$302)),IF(LEFT($AI103,2)="S|",IF($AG103="","",INDEX($AR$5:$AR$302,$AH103)),IF($AI103="HDR","Sales TY",""))))))</f>
        <v/>
      </c>
      <c r="E103" s="40" t="str" cm="1">
        <f t="array" ref="E103">IF($AI103="","",IF(LEFT($AI103,2)="C|",IF($C103="","",SUMPRODUCT($AP$5:$AP$302*($AO$5:$AO$302=$A103),$AT$5:$AT$302)),IF($AI103="CT",E$13,IF(LEFT($AI103,3)="AM|",IF($C103="","",SUMPRODUCT($AP$5:$AP$302*($AN$5:$AN$302=$A103),$AT$5:$AT$302)),IF(LEFT($AI103,2)="S|",IF($AG103="","",INDEX($AT$5:$AT$302,$AH103)),IF($AI103="HDR","Sales LY",""))))))</f>
        <v/>
      </c>
      <c r="F103" s="41" t="str">
        <f t="shared" si="64"/>
        <v/>
      </c>
      <c r="G103" s="41" t="str">
        <f t="shared" si="65"/>
        <v/>
      </c>
      <c r="H103" s="40" t="str" cm="1">
        <f t="array" ref="H103">IF($AI103="","",IF(LEFT($AI103,2)="C|",IF($C103="","",SUMPRODUCT($AP$5:$AP$302*($AO$5:$AO$302=$A103),$AV$5:$AV$302)),IF($AI103="CT",H$13,IF(LEFT($AI103,3)="AM|",IF($C103="","",SUMPRODUCT($AP$5:$AP$302*($AN$5:$AN$302=$A103),$AV$5:$AV$302)),IF(LEFT($AI103,2)="S|",IF($AG103="","",INDEX($AV$5:$AV$302,$AH103)),IF($AI103="HDR","Target",""))))))</f>
        <v/>
      </c>
      <c r="I103" s="41" t="str">
        <f t="shared" si="66"/>
        <v/>
      </c>
      <c r="J103" s="40" t="str">
        <f t="shared" si="67"/>
        <v/>
      </c>
      <c r="K103" s="41" t="str">
        <f t="shared" si="68"/>
        <v/>
      </c>
      <c r="L103" s="40" t="str" cm="1">
        <f t="array" ref="L103">IF($AI103="","",IF(LEFT($AI103,2)="C|",IF($C103="","",SUMPRODUCT($AP$5:$AP$302*($AO$5:$AO$302=$A103),$BN$5:$BN$302)),IF($AI103="CT",L$13,IF(LEFT($AI103,3)="AM|",IF($C103="","",SUMPRODUCT($AP$5:$AP$302*($AN$5:$AN$302=$A103),$BN$5:$BN$302)),IF(LEFT($AI103,2)="S|",IF($AG103="","",INDEX($BN$5:$BN$302,$AH103)),IF($AI103="HDR","Month Target",""))))))</f>
        <v/>
      </c>
      <c r="M103" s="40" t="str" cm="1">
        <f t="array" ref="M103">IF($AI103="","",IF(LEFT($AI103,2)="C|",IF($C103="","",SUMPRODUCT($AP$5:$AP$302*($AO$5:$AO$302=$A103),$BO$5:$BO$302)),IF($AI103="CT",M$13,IF(LEFT($AI103,3)="AM|",IF($C103="","",SUMPRODUCT($AP$5:$AP$302*($AN$5:$AN$302=$A103),$BO$5:$BO$302)),IF(LEFT($AI103,2)="S|",IF($AG103="","",INDEX($BO$5:$BO$302,$AH103)),IF($AI103="HDR","Projected Close",""))))))</f>
        <v/>
      </c>
      <c r="N103" s="41" t="str">
        <f t="shared" si="76"/>
        <v/>
      </c>
      <c r="O103" s="41" t="str" cm="1">
        <f t="array" ref="O103">IF($AI103="HDR","Proj. vs LY",IF(OR($AI103="",M103=""),"",_xlfn.LET(_xlpm.ly,IF(LEFT($AI103,2)="C|",SUMPRODUCT($AP$5:$AP$302*($AO$5:$AO$302=$A103),$BK$5:$BK$302),IF($AI103="CT",SUMPRODUCT($AP$5:$AP$302,$BK$5:$BK$302),IF(LEFT($AI103,3)="AM|",SUMPRODUCT($AP$5:$AP$302*($AN$5:$AN$302=$A103),$BK$5:$BK$302),IF(LEFT($AI103,2)="S|",INDEX($BK$5:$BK$302,$AH103),0)))),IFERROR(M103/_xlpm.ly-1,""))))</f>
        <v/>
      </c>
      <c r="P103" s="40" t="str" cm="1">
        <f t="array" ref="P103">IF($AI103="","",IF(LEFT($AI103,2)="C|",IF($C103="","",SUMPRODUCT($AP$5:$AP$302*($AO$5:$AO$302=$A103),$AS$5:$AS$302)),IF($AI103="CT",P$13,IF(LEFT($AI103,3)="AM|",IF($C103="","",SUMPRODUCT($AP$5:$AP$302*($AN$5:$AN$302=$A103),$AS$5:$AS$302)),IF(LEFT($AI103,2)="S|",IF($AG103="","",INDEX($AS$5:$AS$302,$AH103)),IF($AI103="HDR","Trans TY",""))))))</f>
        <v/>
      </c>
      <c r="Q103" s="40" t="str" cm="1">
        <f t="array" ref="Q103">IF($AI103="","",IF(LEFT($AI103,2)="C|",IF($C103="","",SUMPRODUCT($AP$5:$AP$302*($AO$5:$AO$302=$A103),$AU$5:$AU$302)),IF($AI103="CT",Q$13,IF(LEFT($AI103,3)="AM|",IF($C103="","",SUMPRODUCT($AP$5:$AP$302*($AN$5:$AN$302=$A103),$AU$5:$AU$302)),IF(LEFT($AI103,2)="S|",IF($AG103="","",INDEX($AU$5:$AU$302,$AH103)),IF($AI103="HDR","Trans LY",""))))))</f>
        <v/>
      </c>
      <c r="R103" s="41" t="str">
        <f t="shared" si="69"/>
        <v/>
      </c>
      <c r="S103" s="41" t="str">
        <f t="shared" si="70"/>
        <v/>
      </c>
      <c r="T103" s="42" t="str">
        <f t="shared" si="71"/>
        <v/>
      </c>
      <c r="U103" s="42" t="str">
        <f t="shared" si="72"/>
        <v/>
      </c>
      <c r="V103" s="41" t="str">
        <f t="shared" si="73"/>
        <v/>
      </c>
      <c r="W103" s="40" t="str" cm="1">
        <f t="array" ref="W103">IF($AI103="","",IF(LEFT($AI103,2)="C|",_xlfn.LET(_xlpm.n,SUMPRODUCT($AP$5:$AP$302*($AO$5:$AO$302=$A103),$BB$5:$BB$302),IF(_xlpm.n=0,"",_xlpm.n)),IF($AI103="CT",W$13,IF(LEFT($AI103,3)="AM|",_xlfn.LET(_xlpm.n,SUMPRODUCT($AP$5:$AP$302*($AN$5:$AN$302=$A103),$BB$5:$BB$302),IF(_xlpm.n=0,"",_xlpm.n)),IF(LEFT($AI103,2)="S|",IF($AG103="","",_xlfn.LET(_xlpm.n,INDEX($BB$5:$BB$302,$AH103),IF(_xlpm.n=0,"",_xlpm.n))),IF($AI103="HDR","Footfall",""))))))</f>
        <v/>
      </c>
      <c r="X103" s="40" t="str" cm="1">
        <f t="array" ref="X103">IF($AI103="","",IF($AI103="HDR","Trans (FF stores)",IF(W103="","",IF(LEFT($AI103,2)="C|",SUMPRODUCT($AP$5:$AP$302*($AO$5:$AO$302=$A103),$BC$5:$BC$302),IF($AI103="CT",X$13,IF(LEFT($AI103,3)="AM|",SUMPRODUCT($AP$5:$AP$302*($AN$5:$AN$302=$A103),$BC$5:$BC$302),IF(LEFT($AI103,2)="S|",INDEX($BC$5:$BC$302,$AH103),"")))))))</f>
        <v/>
      </c>
      <c r="Y103" s="41" t="str">
        <f t="shared" si="77"/>
        <v/>
      </c>
      <c r="Z103" s="40" t="str" cm="1">
        <f t="array" ref="Z103">IF($AI103="","",IF(LEFT($AI103,2)="C|",IF($C103="","",SUMPRODUCT($AP$5:$AP$302*($AO$5:$AO$302=$A103),$CB$5:$CB$302)),IF($AI103="CT",Z$13,IF(LEFT($AI103,3)="AM|",IF($C103="","",SUMPRODUCT($AP$5:$AP$302*($AN$5:$AN$302=$A103),$CB$5:$CB$302)),IF(LEFT($AI103,2)="S|",IF($AG103="","",INDEX($CB$5:$CB$302,$AH103)),IF($AI103="HDR","Makeup Sales",""))))))</f>
        <v/>
      </c>
      <c r="AA103" s="41" t="str">
        <f t="shared" si="74"/>
        <v/>
      </c>
      <c r="AB103" s="40" t="str" cm="1">
        <f t="array" ref="AB103">IF($AI103="","",IF(LEFT($AI103,2)="C|",IF($C103="","",SUMPRODUCT($AP$5:$AP$302*($AO$5:$AO$302=$A103),$CK$5:$CK$302)),IF($AI103="CT",AB$13,IF(LEFT($AI103,3)="AM|",IF($C103="","",SUMPRODUCT($AP$5:$AP$302*($AN$5:$AN$302=$A103),$CK$5:$CK$302)),IF(LEFT($AI103,2)="S|",IF($AG103="","",INDEX($CK$5:$CK$302,$AH103)),IF($AI103="HDR","Makeup Target",""))))))</f>
        <v/>
      </c>
      <c r="AC103" s="41" t="str">
        <f t="shared" si="78"/>
        <v/>
      </c>
      <c r="AD103" s="40" t="str" cm="1">
        <f t="array" ref="AD103">IF($AI103="","",IF(LEFT($AI103,2)="C|",IF($C103="","",SUMPRODUCT($AP$5:$AP$302*($AO$5:$AO$302=$A103),$CI$5:$CI$302)),IF($AI103="CT",AD$13,IF(LEFT($AI103,3)="AM|",IF($C103="","",SUMPRODUCT($AP$5:$AP$302*($AN$5:$AN$302=$A103),$CI$5:$CI$302)),IF(LEFT($AI103,2)="S|",IF($AG103="","",INDEX($CI$5:$CI$302,$AH103)),IF($AI103="HDR","Cosmetic Sales",""))))))</f>
        <v/>
      </c>
      <c r="AE103" s="8" t="str" cm="1">
        <f t="array" ref="AE103">IF($AI103="","",IF(LEFT($AI103,2)="C|",IF($C103="","",SUMPRODUCT($AP$5:$AP$302*($AO$5:$AO$302=$A103)*$AQ$5:$AQ$302,$AR$5:$AR$302)),IF($AI103="CT",AE$13,IF(LEFT($AI103,3)="AM|",IF($C103="","",SUMPRODUCT($AP$5:$AP$302*($AN$5:$AN$302=$A103)*$AQ$5:$AQ$302,$AR$5:$AR$302)),IF(LEFT($AI103,2)="S|",IF($AG103="","",IF(INDEX($AQ$5:$AQ$302,$AH103)=1,D103,0)),IF($AI103="HDR","LFL Sales",""))))))</f>
        <v/>
      </c>
      <c r="AF103" s="8" t="str" cm="1">
        <f t="array" ref="AF103">IF($AI103="","",IF(LEFT($AI103,2)="C|",IF($C103="","",SUMPRODUCT($AP$5:$AP$302*($AO$5:$AO$302=$A103)*$AQ$5:$AQ$302,$AS$5:$AS$302)),IF($AI103="CT",AF$13,IF(LEFT($AI103,3)="AM|",IF($C103="","",SUMPRODUCT($AP$5:$AP$302*($AN$5:$AN$302=$A103)*$AQ$5:$AQ$302,$AS$5:$AS$302)),IF(LEFT($AI103,2)="S|",IF($AG103="","",IF(INDEX($AQ$5:$AQ$302,$AH103)=1,P103,0)),IF($AI103="HDR","LFL Trans",""))))))</f>
        <v/>
      </c>
      <c r="AG103" s="8" t="str" cm="1">
        <f t="array" ref="AG103">IF($AI103="","",IF(LEFT($AI103,2)="C|","",IF($AI103="CT","",IF(LEFT($AI103,3)="AM|","",IF(LEFT($AI103,2)="S|",IF($AH103="","",IF(INDEX($AP$5:$AP$302,$AH103)=1,1,"")),IF($AI103="HDR","Show",""))))))</f>
        <v/>
      </c>
      <c r="AH103" s="8" t="str">
        <f t="shared" si="75"/>
        <v/>
      </c>
      <c r="AI103" s="8"/>
      <c r="AN103" s="8" t="str" cm="1">
        <f t="array" ref="AN103">IF($AW103="","",_xlfn.LET(_xlpm.sa,IFERROR(TRIM(INDEX('Sales and count'!$D$4:$D$300,$BF103)&amp;""),""),_xlpm.ta,IFERROR(TRIM(INDEX('TY Sales Target'!$F$5:$F$300,$BG103)&amp;""),""),IF(AND(_xlpm.sa&lt;&gt;"",LEFT(_xlpm.sa,1)&lt;&gt;"#",_xlpm.sa&lt;&gt;"0"),_xlpm.sa,IF(AND(_xlpm.ta&lt;&gt;"",LEFT(_xlpm.ta,1)&lt;&gt;"#",_xlpm.ta&lt;&gt;"0"),_xlpm.ta,IF(ISNUMBER($BG103),"Unassigned","")))))</f>
        <v>Hamzah Al Makhadam</v>
      </c>
      <c r="AO103" s="8" t="str" cm="1">
        <f t="array" ref="AO103">IF($AW103="","",_xlfn.LET(_xlpm.sa,IFERROR(TRIM(INDEX('Sales and count'!$C$4:$C$300,$BF103)&amp;""),""),_xlpm.ta,IFERROR(TRIM(INDEX('TY Sales Target'!$D$5:$D$300,$BG103)&amp;""),""),IF(AND(_xlpm.sa&lt;&gt;"",LEFT(_xlpm.sa,1)&lt;&gt;"#",_xlpm.sa&lt;&gt;"0"),_xlpm.sa,IF(AND(_xlpm.ta&lt;&gt;"",LEFT(_xlpm.ta,1)&lt;&gt;"#",_xlpm.ta&lt;&gt;"0"),_xlpm.ta,""))))</f>
        <v>Hafer Al Batin</v>
      </c>
      <c r="AP103" s="8">
        <f t="shared" si="60"/>
        <v>0</v>
      </c>
      <c r="AQ103" s="8">
        <f t="shared" si="61"/>
        <v>0</v>
      </c>
      <c r="AR103" s="8" cm="1">
        <f t="array" ref="AR103">IF($BF103="",0,_xlfn.LET(_xlpm.d,IFERROR(--'Sales and count'!$G$2:$CC$2,0),SUMPRODUCT(('Sales and count'!$G$3:$CC$3="Total")*(_xlpm.d&gt;=$U$4)*(_xlpm.d&lt;=$U$5),INDEX('Sales and count'!$G$4:$CC$300,$BF103,0))))</f>
        <v>64998.479999999996</v>
      </c>
      <c r="AS103" s="8" cm="1">
        <f t="array" aca="1" ref="AS103" ca="1">IF($BF103="",0,_xlfn.LET(_xlpm.d,IFERROR(--'Sales and count'!$F$2:$CB$2,0),SUMPRODUCT(('Sales and count'!$G$3:$CC$3="Transactions")*(_xlpm.d&gt;=$U$4)*(_xlpm.d&lt;=$U$5),INDEX('Sales and count'!$G$4:$CC$300,$BF103,0))))</f>
        <v>249</v>
      </c>
      <c r="AT103" s="8" cm="1">
        <f t="array" ref="AT103">IF($AW103="",0,SUMPRODUCT((TRIM('LY Sales '!$B$5:$B$200)=$AW103)*('LY Sales '!$C$2:$AG$2&gt;=EDATE($U$4,-12))*('LY Sales '!$C$2:$AG$2&lt;=EDATE($U$5,-12)),'LY Sales '!$C$5:$AG$200))</f>
        <v>0</v>
      </c>
      <c r="AU103" s="8" cm="1">
        <f t="array" ref="AU103">IF($AW103="",0,SUMPRODUCT((TRIM('LY Transaction'!$B$5:$B$200)=$AW103)*('LY Transaction'!$C$2:$AG$2&gt;=EDATE($U$4,-12))*('LY Transaction'!$C$2:$AG$2&lt;=EDATE($U$5,-12)),'LY Transaction'!$C$5:$AG$200))</f>
        <v>0</v>
      </c>
      <c r="AV103" s="8" cm="1">
        <f t="array" ref="AV103">IF(NOT(ISNUMBER($BG103)),0,SUMPRODUCT(('TY Sales Target'!$K$2:$AO$2&gt;=$U$4)*('TY Sales Target'!$K$2:$AO$2&lt;=$U$5),INDEX('TY Sales Target'!$K$5:$AO$300,$BG103,0)))</f>
        <v>137145.3188147129</v>
      </c>
      <c r="AW103" s="8" t="str" cm="1">
        <f t="array" ref="AW103">IFERROR(INDEX(_xlfn.ANCHORARRAY($BR$5),ROWS($AW$5:AW103)),"")</f>
        <v>HAOTHHAFR</v>
      </c>
      <c r="BB103" cm="1">
        <f t="array" ref="BB103">IF($AW103="",0,SUMPRODUCT((TRIM(Footfall!$B$5:$B$301)=$AW103)*(Footfall!$C$1:$BZ$1&gt;=$U$4)*(Footfall!$C$2:$BZ$2&lt;=$U$5)*(Footfall!$C$1:$BZ$1&lt;&gt;""),Footfall!$C$5:$BZ$301))</f>
        <v>0</v>
      </c>
      <c r="BC103" cm="1">
        <f t="array" ref="BC103">IF(OR($BB103&lt;=0,$BD$1="",$BF103=""),0,_xlfn.LET(_xlpm.d,IFERROR(--'Sales and count'!$F$2:$CB$2,0),SUMPRODUCT(('Sales and count'!$G$3:$CC$3="Transactions")*(_xlpm.d&gt;=$BD$1)*(_xlpm.d&lt;=$BD$2),INDEX('Sales and count'!$G$4:$CC$300,$BF103,0))))</f>
        <v>0</v>
      </c>
      <c r="BF103" cm="1">
        <f t="array" ref="BF103">IF($AW103="","",IFERROR(MATCH($AW103,TRIM('Sales and count'!$A$4:$A$300&amp;""),0),""))</f>
        <v>99</v>
      </c>
      <c r="BG103" cm="1">
        <f t="array" ref="BG103">IF($AW103="","",IFERROR(MATCH(IFERROR(_xlfn.XLOOKUP($AW103,$BT$5:$BT$22,$BU$5:$BU$22),$AW103),TRIM('TY Sales Target'!$B$5:$B$300&amp;""),0),""))</f>
        <v>75</v>
      </c>
      <c r="BH103" t="str" cm="1">
        <f t="array" ref="BH103">IF(ISNUMBER($BG103),_xlfn.LET(_xlpm.p,TRIM(INDEX('TY Sales Target'!$I$5:$I$300,$BG103)&amp;""),IF(_xlpm.p="","Not set",_xlpm.p)),"Not set")</f>
        <v>I Pad</v>
      </c>
      <c r="BI103" cm="1">
        <f t="array" ref="BI103">IF($BF103="",0,_xlfn.LET(_xlpm.d,IFERROR(--'Sales and count'!$G$2:$CC$2,0),SUMPRODUCT(('Sales and count'!$G$3:$CC$3="Total")*(_xlpm.d&gt;=$BZ$5)*(_xlpm.d&lt;=$BZ$6),INDEX('Sales and count'!$G$4:$CC$300,$BF103,0))))</f>
        <v>64998.479999999996</v>
      </c>
      <c r="BJ103" cm="1">
        <f t="array" ref="BJ103">IF($AW103="",0,SUMPRODUCT((TRIM('LY Sales '!$B$5:$B$200)=$AW103)*('LY Sales '!$C$2:$AG$2&gt;=EDATE($BZ$5,-12))*('LY Sales '!$C$2:$AG$2&lt;=EDATE($BZ$6,-12)),'LY Sales '!$C$5:$AG$200))</f>
        <v>0</v>
      </c>
      <c r="BK103" cm="1">
        <f t="array" ref="BK103">IF($AW103="",0,SUMPRODUCT((TRIM('LY Sales '!$B$5:$B$200)=$AW103)*('LY Sales '!$C$2:$AG$2&gt;=EDATE($BZ$5,-12))*('LY Sales '!$C$2:$AG$2&lt;=EDATE($BZ$7,-12)),'LY Sales '!$C$5:$AG$200))</f>
        <v>0</v>
      </c>
      <c r="BL103" cm="1">
        <f t="array" ref="BL103">IF($AW103="",0,SUMPRODUCT((TRIM('LY Sales '!$B$5:$B$200)=$AW103)*('LY Sales '!$C$2:$AG$2&gt;=EDATE($BZ$5,-12))*('LY Sales '!$C$2:$AG$2&lt;=EDATE($BZ$6,-12))*('LY Sales '!$C$5:$AG$200&gt;0)))</f>
        <v>0</v>
      </c>
      <c r="BM103" cm="1">
        <f t="array" ref="BM103">IF(NOT(ISNUMBER($BG103)),0,SUMPRODUCT(('TY Sales Target'!$K$2:$AO$2&gt;=$BZ$5)*('TY Sales Target'!$K$2:$AO$2&lt;=$BZ$6),INDEX('TY Sales Target'!$K$5:$AO$300,$BG103,0)))</f>
        <v>137145.3188147129</v>
      </c>
      <c r="BN103" cm="1">
        <f t="array" ref="BN103">IF(NOT(ISNUMBER($BG103)),0,SUMPRODUCT(('TY Sales Target'!$K$2:$AO$2&gt;=$BZ$5)*('TY Sales Target'!$K$2:$AO$2&lt;=$BZ$7),INDEX('TY Sales Target'!$K$5:$AO$300,$BG103,0)))</f>
        <v>179000.00000000009</v>
      </c>
      <c r="BO103" cm="1">
        <f t="array" ref="BO103">IF($AW103="",0,IFERROR(_xlfn.SWITCH($BP103,"LY trend",$BI103*$BK103/$BJ103,"Target curve",$BI103*$BN103/$BM103,"Run rate",$BI103/$BZ$8*$BZ$9,0),0))</f>
        <v>84835.034987368723</v>
      </c>
      <c r="BP103" t="str">
        <f t="shared" si="59"/>
        <v>Target curve</v>
      </c>
      <c r="BR103" t="str">
        <v>HAOTHHAFR</v>
      </c>
      <c r="CB103" cm="1">
        <f t="array" ref="CB103">IF($AW103="",0,_xlfn.LET(_xlpm.k,IFERROR(_xlfn.XLOOKUP($AW103,$CD$6:$CD$21,$CE$6:$CE$21),$AW103),SUMPRODUCT((TRIM('Makeup '!$A$2:$A$300&amp;"")=_xlpm.k)*1,IFERROR('Makeup '!$F$2:$F$300*1,0))))</f>
        <v>2449.9499999999998</v>
      </c>
      <c r="CF103" t="str" cm="1">
        <f t="array" ref="CF103">IF($AW103="","",_xlfn.LET(_xlpm.c,IFERROR(TRIM(INDEX('Sales and count'!$B$4:$B$300,$BF103)&amp;""),""),IF(OR(_xlpm.c="",_xlpm.c="0",LEFT(_xlpm.c,1)="#"),"Not set",_xlpm.c)))</f>
        <v>KSA</v>
      </c>
      <c r="CH103" cm="1">
        <f t="array" ref="CH103">IF($AW103="",0,_xlfn.LET(_xlpm.k,IFERROR(_xlfn.XLOOKUP($AW103,$CD$6:$CD$21,$CE$6:$CE$21),$AW103),--(SUMPRODUCT((TRIM('Makeup '!$A$2:$A$300&amp;"")=_xlpm.k)*ISNUMBER('Makeup '!$F$2:$F$300))&gt;0)))</f>
        <v>1</v>
      </c>
      <c r="CI103">
        <f t="shared" si="62"/>
        <v>64998.479999999996</v>
      </c>
      <c r="CJ103" cm="1">
        <f t="array" ref="CJ103">IF($AW103="",0,--(SUMPRODUCT(--(TRIM(Footfall!$B$5:$B$301)=$AW103))&gt;0))</f>
        <v>0</v>
      </c>
      <c r="CK103" s="8" cm="1">
        <f t="array" ref="CK103">IF($AW103="",0,_xlfn.LET(_xlpm.r,IFERROR(MATCH(IFERROR(_xlfn.XLOOKUP($AW103,$BT$5:$BT$22,$BU$5:$BU$22),$AW103),TRIM('TY Beauty Target'!$B$5:$B$300&amp;""),0),""),IF(ISNUMBER(_xlpm.r),SUMPRODUCT(('TY Beauty Target'!$L$2:$AP$2&gt;=$U$4)*('TY Beauty Target'!$L$2:$AP$2&lt;=$U$5),INDEX('TY Beauty Target'!$L$5:$AP$300,_xlpm.r,0)),0)))</f>
        <v>10880.383675286699</v>
      </c>
    </row>
    <row r="104" spans="1:89" ht="15" customHeight="1" x14ac:dyDescent="0.25">
      <c r="A104" s="38" t="str">
        <f t="shared" si="63"/>
        <v/>
      </c>
      <c r="B104" s="43" t="str" cm="1">
        <f t="array" ref="B104">IF($AI104="","",IF(LEFT($AI104,2)="C|",IF($C104="","",_xlfn.TEXTJOIN(", ",TRUE,_xlfn.UNIQUE(_xlfn._xlws.FILTER($AN$5:$AN$302,($AP$5:$AP$302=1)*($AO$5:$AO$302=$A104))))),IF($AI104="CT",B$13,IF(LEFT($AI104,3)="AM|",IF($C104="","",ROWS(_xlfn.UNIQUE(_xlfn._xlws.FILTER($AO$5:$AO$302,($AP$5:$AP$302=1)*($AN$5:$AN$302=$A104))))),IF(LEFT($AI104,2)="S|",IF($AG104="","",INDEX($AO$5:$AO$302,$AH104)),IF($AI104="HDR","City",""))))))</f>
        <v/>
      </c>
      <c r="C104" s="39" t="str" cm="1">
        <f t="array" ref="C104">IF($AI104="","",IF(LEFT($AI104,2)="C|",_xlfn.LET(_xlpm.n,SUMPRODUCT($AP$5:$AP$302*($AO$5:$AO$302=$A104)),IF(_xlpm.n=0,"",_xlpm.n)),IF($AI104="CT",C$13,IF(LEFT($AI104,3)="AM|",_xlfn.LET(_xlpm.n,SUMPRODUCT($AP$5:$AP$302*($AN$5:$AN$302=$A104)),IF(_xlpm.n=0,"",_xlpm.n)),IF(LEFT($AI104,2)="S|","",IF($AI104="HDR","# Stores",""))))))</f>
        <v/>
      </c>
      <c r="D104" s="40" t="str" cm="1">
        <f t="array" ref="D104">IF($AI104="","",IF(LEFT($AI104,2)="C|",IF($C104="","",SUMPRODUCT($AP$5:$AP$302*($AO$5:$AO$302=$A104),$AR$5:$AR$302)),IF($AI104="CT",D$13,IF(LEFT($AI104,3)="AM|",IF($C104="","",SUMPRODUCT($AP$5:$AP$302*($AN$5:$AN$302=$A104),$AR$5:$AR$302)),IF(LEFT($AI104,2)="S|",IF($AG104="","",INDEX($AR$5:$AR$302,$AH104)),IF($AI104="HDR","Sales TY",""))))))</f>
        <v/>
      </c>
      <c r="E104" s="40" t="str" cm="1">
        <f t="array" ref="E104">IF($AI104="","",IF(LEFT($AI104,2)="C|",IF($C104="","",SUMPRODUCT($AP$5:$AP$302*($AO$5:$AO$302=$A104),$AT$5:$AT$302)),IF($AI104="CT",E$13,IF(LEFT($AI104,3)="AM|",IF($C104="","",SUMPRODUCT($AP$5:$AP$302*($AN$5:$AN$302=$A104),$AT$5:$AT$302)),IF(LEFT($AI104,2)="S|",IF($AG104="","",INDEX($AT$5:$AT$302,$AH104)),IF($AI104="HDR","Sales LY",""))))))</f>
        <v/>
      </c>
      <c r="F104" s="41" t="str">
        <f t="shared" si="64"/>
        <v/>
      </c>
      <c r="G104" s="41" t="str">
        <f t="shared" si="65"/>
        <v/>
      </c>
      <c r="H104" s="40" t="str" cm="1">
        <f t="array" ref="H104">IF($AI104="","",IF(LEFT($AI104,2)="C|",IF($C104="","",SUMPRODUCT($AP$5:$AP$302*($AO$5:$AO$302=$A104),$AV$5:$AV$302)),IF($AI104="CT",H$13,IF(LEFT($AI104,3)="AM|",IF($C104="","",SUMPRODUCT($AP$5:$AP$302*($AN$5:$AN$302=$A104),$AV$5:$AV$302)),IF(LEFT($AI104,2)="S|",IF($AG104="","",INDEX($AV$5:$AV$302,$AH104)),IF($AI104="HDR","Target",""))))))</f>
        <v/>
      </c>
      <c r="I104" s="41" t="str">
        <f t="shared" si="66"/>
        <v/>
      </c>
      <c r="J104" s="40" t="str">
        <f t="shared" si="67"/>
        <v/>
      </c>
      <c r="K104" s="41" t="str">
        <f t="shared" si="68"/>
        <v/>
      </c>
      <c r="L104" s="40" t="str" cm="1">
        <f t="array" ref="L104">IF($AI104="","",IF(LEFT($AI104,2)="C|",IF($C104="","",SUMPRODUCT($AP$5:$AP$302*($AO$5:$AO$302=$A104),$BN$5:$BN$302)),IF($AI104="CT",L$13,IF(LEFT($AI104,3)="AM|",IF($C104="","",SUMPRODUCT($AP$5:$AP$302*($AN$5:$AN$302=$A104),$BN$5:$BN$302)),IF(LEFT($AI104,2)="S|",IF($AG104="","",INDEX($BN$5:$BN$302,$AH104)),IF($AI104="HDR","Month Target",""))))))</f>
        <v/>
      </c>
      <c r="M104" s="40" t="str" cm="1">
        <f t="array" ref="M104">IF($AI104="","",IF(LEFT($AI104,2)="C|",IF($C104="","",SUMPRODUCT($AP$5:$AP$302*($AO$5:$AO$302=$A104),$BO$5:$BO$302)),IF($AI104="CT",M$13,IF(LEFT($AI104,3)="AM|",IF($C104="","",SUMPRODUCT($AP$5:$AP$302*($AN$5:$AN$302=$A104),$BO$5:$BO$302)),IF(LEFT($AI104,2)="S|",IF($AG104="","",INDEX($BO$5:$BO$302,$AH104)),IF($AI104="HDR","Projected Close",""))))))</f>
        <v/>
      </c>
      <c r="N104" s="41" t="str">
        <f t="shared" si="76"/>
        <v/>
      </c>
      <c r="O104" s="41" t="str" cm="1">
        <f t="array" ref="O104">IF($AI104="HDR","Proj. vs LY",IF(OR($AI104="",M104=""),"",_xlfn.LET(_xlpm.ly,IF(LEFT($AI104,2)="C|",SUMPRODUCT($AP$5:$AP$302*($AO$5:$AO$302=$A104),$BK$5:$BK$302),IF($AI104="CT",SUMPRODUCT($AP$5:$AP$302,$BK$5:$BK$302),IF(LEFT($AI104,3)="AM|",SUMPRODUCT($AP$5:$AP$302*($AN$5:$AN$302=$A104),$BK$5:$BK$302),IF(LEFT($AI104,2)="S|",INDEX($BK$5:$BK$302,$AH104),0)))),IFERROR(M104/_xlpm.ly-1,""))))</f>
        <v/>
      </c>
      <c r="P104" s="40" t="str" cm="1">
        <f t="array" ref="P104">IF($AI104="","",IF(LEFT($AI104,2)="C|",IF($C104="","",SUMPRODUCT($AP$5:$AP$302*($AO$5:$AO$302=$A104),$AS$5:$AS$302)),IF($AI104="CT",P$13,IF(LEFT($AI104,3)="AM|",IF($C104="","",SUMPRODUCT($AP$5:$AP$302*($AN$5:$AN$302=$A104),$AS$5:$AS$302)),IF(LEFT($AI104,2)="S|",IF($AG104="","",INDEX($AS$5:$AS$302,$AH104)),IF($AI104="HDR","Trans TY",""))))))</f>
        <v/>
      </c>
      <c r="Q104" s="40" t="str" cm="1">
        <f t="array" ref="Q104">IF($AI104="","",IF(LEFT($AI104,2)="C|",IF($C104="","",SUMPRODUCT($AP$5:$AP$302*($AO$5:$AO$302=$A104),$AU$5:$AU$302)),IF($AI104="CT",Q$13,IF(LEFT($AI104,3)="AM|",IF($C104="","",SUMPRODUCT($AP$5:$AP$302*($AN$5:$AN$302=$A104),$AU$5:$AU$302)),IF(LEFT($AI104,2)="S|",IF($AG104="","",INDEX($AU$5:$AU$302,$AH104)),IF($AI104="HDR","Trans LY",""))))))</f>
        <v/>
      </c>
      <c r="R104" s="41" t="str">
        <f t="shared" si="69"/>
        <v/>
      </c>
      <c r="S104" s="41" t="str">
        <f t="shared" si="70"/>
        <v/>
      </c>
      <c r="T104" s="42" t="str">
        <f t="shared" si="71"/>
        <v/>
      </c>
      <c r="U104" s="42" t="str">
        <f t="shared" si="72"/>
        <v/>
      </c>
      <c r="V104" s="41" t="str">
        <f t="shared" si="73"/>
        <v/>
      </c>
      <c r="W104" s="40" t="str" cm="1">
        <f t="array" ref="W104">IF($AI104="","",IF(LEFT($AI104,2)="C|",_xlfn.LET(_xlpm.n,SUMPRODUCT($AP$5:$AP$302*($AO$5:$AO$302=$A104),$BB$5:$BB$302),IF(_xlpm.n=0,"",_xlpm.n)),IF($AI104="CT",W$13,IF(LEFT($AI104,3)="AM|",_xlfn.LET(_xlpm.n,SUMPRODUCT($AP$5:$AP$302*($AN$5:$AN$302=$A104),$BB$5:$BB$302),IF(_xlpm.n=0,"",_xlpm.n)),IF(LEFT($AI104,2)="S|",IF($AG104="","",_xlfn.LET(_xlpm.n,INDEX($BB$5:$BB$302,$AH104),IF(_xlpm.n=0,"",_xlpm.n))),IF($AI104="HDR","Footfall",""))))))</f>
        <v/>
      </c>
      <c r="X104" s="40" t="str" cm="1">
        <f t="array" ref="X104">IF($AI104="","",IF($AI104="HDR","Trans (FF stores)",IF(W104="","",IF(LEFT($AI104,2)="C|",SUMPRODUCT($AP$5:$AP$302*($AO$5:$AO$302=$A104),$BC$5:$BC$302),IF($AI104="CT",X$13,IF(LEFT($AI104,3)="AM|",SUMPRODUCT($AP$5:$AP$302*($AN$5:$AN$302=$A104),$BC$5:$BC$302),IF(LEFT($AI104,2)="S|",INDEX($BC$5:$BC$302,$AH104),"")))))))</f>
        <v/>
      </c>
      <c r="Y104" s="41" t="str">
        <f t="shared" si="77"/>
        <v/>
      </c>
      <c r="Z104" s="40" t="str" cm="1">
        <f t="array" ref="Z104">IF($AI104="","",IF(LEFT($AI104,2)="C|",IF($C104="","",SUMPRODUCT($AP$5:$AP$302*($AO$5:$AO$302=$A104),$CB$5:$CB$302)),IF($AI104="CT",Z$13,IF(LEFT($AI104,3)="AM|",IF($C104="","",SUMPRODUCT($AP$5:$AP$302*($AN$5:$AN$302=$A104),$CB$5:$CB$302)),IF(LEFT($AI104,2)="S|",IF($AG104="","",INDEX($CB$5:$CB$302,$AH104)),IF($AI104="HDR","Makeup Sales",""))))))</f>
        <v/>
      </c>
      <c r="AA104" s="41" t="str">
        <f t="shared" si="74"/>
        <v/>
      </c>
      <c r="AB104" s="40" t="str" cm="1">
        <f t="array" ref="AB104">IF($AI104="","",IF(LEFT($AI104,2)="C|",IF($C104="","",SUMPRODUCT($AP$5:$AP$302*($AO$5:$AO$302=$A104),$CK$5:$CK$302)),IF($AI104="CT",AB$13,IF(LEFT($AI104,3)="AM|",IF($C104="","",SUMPRODUCT($AP$5:$AP$302*($AN$5:$AN$302=$A104),$CK$5:$CK$302)),IF(LEFT($AI104,2)="S|",IF($AG104="","",INDEX($CK$5:$CK$302,$AH104)),IF($AI104="HDR","Makeup Target",""))))))</f>
        <v/>
      </c>
      <c r="AC104" s="41" t="str">
        <f t="shared" si="78"/>
        <v/>
      </c>
      <c r="AD104" s="40" t="str" cm="1">
        <f t="array" ref="AD104">IF($AI104="","",IF(LEFT($AI104,2)="C|",IF($C104="","",SUMPRODUCT($AP$5:$AP$302*($AO$5:$AO$302=$A104),$CI$5:$CI$302)),IF($AI104="CT",AD$13,IF(LEFT($AI104,3)="AM|",IF($C104="","",SUMPRODUCT($AP$5:$AP$302*($AN$5:$AN$302=$A104),$CI$5:$CI$302)),IF(LEFT($AI104,2)="S|",IF($AG104="","",INDEX($CI$5:$CI$302,$AH104)),IF($AI104="HDR","Cosmetic Sales",""))))))</f>
        <v/>
      </c>
      <c r="AE104" s="8" t="str" cm="1">
        <f t="array" ref="AE104">IF($AI104="","",IF(LEFT($AI104,2)="C|",IF($C104="","",SUMPRODUCT($AP$5:$AP$302*($AO$5:$AO$302=$A104)*$AQ$5:$AQ$302,$AR$5:$AR$302)),IF($AI104="CT",AE$13,IF(LEFT($AI104,3)="AM|",IF($C104="","",SUMPRODUCT($AP$5:$AP$302*($AN$5:$AN$302=$A104)*$AQ$5:$AQ$302,$AR$5:$AR$302)),IF(LEFT($AI104,2)="S|",IF($AG104="","",IF(INDEX($AQ$5:$AQ$302,$AH104)=1,D104,0)),IF($AI104="HDR","LFL Sales",""))))))</f>
        <v/>
      </c>
      <c r="AF104" s="8" t="str" cm="1">
        <f t="array" ref="AF104">IF($AI104="","",IF(LEFT($AI104,2)="C|",IF($C104="","",SUMPRODUCT($AP$5:$AP$302*($AO$5:$AO$302=$A104)*$AQ$5:$AQ$302,$AS$5:$AS$302)),IF($AI104="CT",AF$13,IF(LEFT($AI104,3)="AM|",IF($C104="","",SUMPRODUCT($AP$5:$AP$302*($AN$5:$AN$302=$A104)*$AQ$5:$AQ$302,$AS$5:$AS$302)),IF(LEFT($AI104,2)="S|",IF($AG104="","",IF(INDEX($AQ$5:$AQ$302,$AH104)=1,P104,0)),IF($AI104="HDR","LFL Trans",""))))))</f>
        <v/>
      </c>
      <c r="AG104" s="8" t="str" cm="1">
        <f t="array" ref="AG104">IF($AI104="","",IF(LEFT($AI104,2)="C|","",IF($AI104="CT","",IF(LEFT($AI104,3)="AM|","",IF(LEFT($AI104,2)="S|",IF($AH104="","",IF(INDEX($AP$5:$AP$302,$AH104)=1,1,"")),IF($AI104="HDR","Show",""))))))</f>
        <v/>
      </c>
      <c r="AH104" s="8" t="str">
        <f t="shared" si="75"/>
        <v/>
      </c>
      <c r="AI104" s="8"/>
      <c r="AN104" s="8" t="str" cm="1">
        <f t="array" ref="AN104">IF($AW104="","",_xlfn.LET(_xlpm.sa,IFERROR(TRIM(INDEX('Sales and count'!$D$4:$D$300,$BF104)&amp;""),""),_xlpm.ta,IFERROR(TRIM(INDEX('TY Sales Target'!$F$5:$F$300,$BG104)&amp;""),""),IF(AND(_xlpm.sa&lt;&gt;"",LEFT(_xlpm.sa,1)&lt;&gt;"#",_xlpm.sa&lt;&gt;"0"),_xlpm.sa,IF(AND(_xlpm.ta&lt;&gt;"",LEFT(_xlpm.ta,1)&lt;&gt;"#",_xlpm.ta&lt;&gt;"0"),_xlpm.ta,IF(ISNUMBER($BG104),"Unassigned","")))))</f>
        <v>Ahlam Al Zahrani</v>
      </c>
      <c r="AO104" s="8" t="str" cm="1">
        <f t="array" ref="AO104">IF($AW104="","",_xlfn.LET(_xlpm.sa,IFERROR(TRIM(INDEX('Sales and count'!$C$4:$C$300,$BF104)&amp;""),""),_xlpm.ta,IFERROR(TRIM(INDEX('TY Sales Target'!$D$5:$D$300,$BG104)&amp;""),""),IF(AND(_xlpm.sa&lt;&gt;"",LEFT(_xlpm.sa,1)&lt;&gt;"#",_xlpm.sa&lt;&gt;"0"),_xlpm.sa,IF(AND(_xlpm.ta&lt;&gt;"",LEFT(_xlpm.ta,1)&lt;&gt;"#",_xlpm.ta&lt;&gt;"0"),_xlpm.ta,""))))</f>
        <v>Baha</v>
      </c>
      <c r="AP104" s="8">
        <f t="shared" si="60"/>
        <v>0</v>
      </c>
      <c r="AQ104" s="8">
        <f t="shared" si="61"/>
        <v>0</v>
      </c>
      <c r="AR104" s="8" cm="1">
        <f t="array" ref="AR104">IF($BF104="",0,_xlfn.LET(_xlpm.d,IFERROR(--'Sales and count'!$G$2:$CC$2,0),SUMPRODUCT(('Sales and count'!$G$3:$CC$3="Total")*(_xlpm.d&gt;=$U$4)*(_xlpm.d&lt;=$U$5),INDEX('Sales and count'!$G$4:$CC$300,$BF104,0))))</f>
        <v>82148.60000000002</v>
      </c>
      <c r="AS104" s="8" cm="1">
        <f t="array" aca="1" ref="AS104" ca="1">IF($BF104="",0,_xlfn.LET(_xlpm.d,IFERROR(--'Sales and count'!$F$2:$CB$2,0),SUMPRODUCT(('Sales and count'!$G$3:$CC$3="Transactions")*(_xlpm.d&gt;=$U$4)*(_xlpm.d&lt;=$U$5),INDEX('Sales and count'!$G$4:$CC$300,$BF104,0))))</f>
        <v>544</v>
      </c>
      <c r="AT104" s="8" cm="1">
        <f t="array" ref="AT104">IF($AW104="",0,SUMPRODUCT((TRIM('LY Sales '!$B$5:$B$200)=$AW104)*('LY Sales '!$C$2:$AG$2&gt;=EDATE($U$4,-12))*('LY Sales '!$C$2:$AG$2&lt;=EDATE($U$5,-12)),'LY Sales '!$C$5:$AG$200))</f>
        <v>0</v>
      </c>
      <c r="AU104" s="8" cm="1">
        <f t="array" ref="AU104">IF($AW104="",0,SUMPRODUCT((TRIM('LY Transaction'!$B$5:$B$200)=$AW104)*('LY Transaction'!$C$2:$AG$2&gt;=EDATE($U$4,-12))*('LY Transaction'!$C$2:$AG$2&lt;=EDATE($U$5,-12)),'LY Transaction'!$C$5:$AG$200))</f>
        <v>0</v>
      </c>
      <c r="AV104" s="8" cm="1">
        <f t="array" ref="AV104">IF(NOT(ISNUMBER($BG104)),0,SUMPRODUCT(('TY Sales Target'!$K$2:$AO$2&gt;=$U$4)*('TY Sales Target'!$K$2:$AO$2&lt;=$U$5),INDEX('TY Sales Target'!$K$5:$AO$300,$BG104,0)))</f>
        <v>176922.6961304842</v>
      </c>
      <c r="AW104" s="8" t="str" cm="1">
        <f t="array" ref="AW104">IFERROR(INDEX(_xlfn.ANCHORARRAY($BR$5),ROWS($AW$5:AW104)),"")</f>
        <v>HABAHAB</v>
      </c>
      <c r="BB104" cm="1">
        <f t="array" ref="BB104">IF($AW104="",0,SUMPRODUCT((TRIM(Footfall!$B$5:$B$301)=$AW104)*(Footfall!$C$1:$BZ$1&gt;=$U$4)*(Footfall!$C$2:$BZ$2&lt;=$U$5)*(Footfall!$C$1:$BZ$1&lt;&gt;""),Footfall!$C$5:$BZ$301))</f>
        <v>4510</v>
      </c>
      <c r="BC104" cm="1">
        <f t="array" aca="1" ref="BC104" ca="1">IF(OR($BB104&lt;=0,$BD$1="",$BF104=""),0,_xlfn.LET(_xlpm.d,IFERROR(--'Sales and count'!$F$2:$CB$2,0),SUMPRODUCT(('Sales and count'!$G$3:$CC$3="Transactions")*(_xlpm.d&gt;=$BD$1)*(_xlpm.d&lt;=$BD$2),INDEX('Sales and count'!$G$4:$CC$300,$BF104,0))))</f>
        <v>544</v>
      </c>
      <c r="BF104" cm="1">
        <f t="array" ref="BF104">IF($AW104="","",IFERROR(MATCH($AW104,TRIM('Sales and count'!$A$4:$A$300&amp;""),0),""))</f>
        <v>100</v>
      </c>
      <c r="BG104" cm="1">
        <f t="array" ref="BG104">IF($AW104="","",IFERROR(MATCH(IFERROR(_xlfn.XLOOKUP($AW104,$BT$5:$BT$22,$BU$5:$BU$22),$AW104),TRIM('TY Sales Target'!$B$5:$B$300&amp;""),0),""))</f>
        <v>53</v>
      </c>
      <c r="BH104" t="str" cm="1">
        <f t="array" ref="BH104">IF(ISNUMBER($BG104),_xlfn.LET(_xlpm.p,TRIM(INDEX('TY Sales Target'!$I$5:$I$300,$BG104)&amp;""),IF(_xlpm.p="","Not set",_xlpm.p)),"Not set")</f>
        <v>Smart Phone</v>
      </c>
      <c r="BI104" cm="1">
        <f t="array" ref="BI104">IF($BF104="",0,_xlfn.LET(_xlpm.d,IFERROR(--'Sales and count'!$G$2:$CC$2,0),SUMPRODUCT(('Sales and count'!$G$3:$CC$3="Total")*(_xlpm.d&gt;=$BZ$5)*(_xlpm.d&lt;=$BZ$6),INDEX('Sales and count'!$G$4:$CC$300,$BF104,0))))</f>
        <v>82148.60000000002</v>
      </c>
      <c r="BJ104" cm="1">
        <f t="array" ref="BJ104">IF($AW104="",0,SUMPRODUCT((TRIM('LY Sales '!$B$5:$B$200)=$AW104)*('LY Sales '!$C$2:$AG$2&gt;=EDATE($BZ$5,-12))*('LY Sales '!$C$2:$AG$2&lt;=EDATE($BZ$6,-12)),'LY Sales '!$C$5:$AG$200))</f>
        <v>0</v>
      </c>
      <c r="BK104" cm="1">
        <f t="array" ref="BK104">IF($AW104="",0,SUMPRODUCT((TRIM('LY Sales '!$B$5:$B$200)=$AW104)*('LY Sales '!$C$2:$AG$2&gt;=EDATE($BZ$5,-12))*('LY Sales '!$C$2:$AG$2&lt;=EDATE($BZ$7,-12)),'LY Sales '!$C$5:$AG$200))</f>
        <v>0</v>
      </c>
      <c r="BL104" cm="1">
        <f t="array" ref="BL104">IF($AW104="",0,SUMPRODUCT((TRIM('LY Sales '!$B$5:$B$200)=$AW104)*('LY Sales '!$C$2:$AG$2&gt;=EDATE($BZ$5,-12))*('LY Sales '!$C$2:$AG$2&lt;=EDATE($BZ$6,-12))*('LY Sales '!$C$5:$AG$200&gt;0)))</f>
        <v>0</v>
      </c>
      <c r="BM104" cm="1">
        <f t="array" ref="BM104">IF(NOT(ISNUMBER($BG104)),0,SUMPRODUCT(('TY Sales Target'!$K$2:$AO$2&gt;=$BZ$5)*('TY Sales Target'!$K$2:$AO$2&lt;=$BZ$6),INDEX('TY Sales Target'!$K$5:$AO$300,$BG104,0)))</f>
        <v>176922.6961304842</v>
      </c>
      <c r="BN104" cm="1">
        <f t="array" ref="BN104">IF(NOT(ISNUMBER($BG104)),0,SUMPRODUCT(('TY Sales Target'!$K$2:$AO$2&gt;=$BZ$5)*('TY Sales Target'!$K$2:$AO$2&lt;=$BZ$7),INDEX('TY Sales Target'!$K$5:$AO$300,$BG104,0)))</f>
        <v>230916.83245960873</v>
      </c>
      <c r="BO104" cm="1">
        <f t="array" ref="BO104">IF($AW104="",0,IFERROR(_xlfn.SWITCH($BP104,"LY trend",$BI104*$BK104/$BJ104,"Target curve",$BI104*$BN104/$BM104,"Run rate",$BI104/$BZ$8*$BZ$9,0),0))</f>
        <v>107219.11274176501</v>
      </c>
      <c r="BP104" t="str">
        <f t="shared" si="59"/>
        <v>Target curve</v>
      </c>
      <c r="BR104" t="str">
        <v>HABAHAB</v>
      </c>
      <c r="CB104" cm="1">
        <f t="array" ref="CB104">IF($AW104="",0,_xlfn.LET(_xlpm.k,IFERROR(_xlfn.XLOOKUP($AW104,$CD$6:$CD$21,$CE$6:$CE$21),$AW104),SUMPRODUCT((TRIM('Makeup '!$A$2:$A$300&amp;"")=_xlpm.k)*1,IFERROR('Makeup '!$F$2:$F$300*1,0))))</f>
        <v>3493.51</v>
      </c>
      <c r="CF104" t="str" cm="1">
        <f t="array" ref="CF104">IF($AW104="","",_xlfn.LET(_xlpm.c,IFERROR(TRIM(INDEX('Sales and count'!$B$4:$B$300,$BF104)&amp;""),""),IF(OR(_xlpm.c="",_xlpm.c="0",LEFT(_xlpm.c,1)="#"),"Not set",_xlpm.c)))</f>
        <v>KSA</v>
      </c>
      <c r="CH104" cm="1">
        <f t="array" ref="CH104">IF($AW104="",0,_xlfn.LET(_xlpm.k,IFERROR(_xlfn.XLOOKUP($AW104,$CD$6:$CD$21,$CE$6:$CE$21),$AW104),--(SUMPRODUCT((TRIM('Makeup '!$A$2:$A$300&amp;"")=_xlpm.k)*ISNUMBER('Makeup '!$F$2:$F$300))&gt;0)))</f>
        <v>1</v>
      </c>
      <c r="CI104">
        <f t="shared" si="62"/>
        <v>82148.60000000002</v>
      </c>
      <c r="CJ104" cm="1">
        <f t="array" ref="CJ104">IF($AW104="",0,--(SUMPRODUCT(--(TRIM(Footfall!$B$5:$B$301)=$AW104))&gt;0))</f>
        <v>1</v>
      </c>
      <c r="CK104" s="8" cm="1">
        <f t="array" ref="CK104">IF($AW104="",0,_xlfn.LET(_xlpm.r,IFERROR(MATCH(IFERROR(_xlfn.XLOOKUP($AW104,$BT$5:$BT$22,$BU$5:$BU$22),$AW104),TRIM('TY Beauty Target'!$B$5:$B$300&amp;""),0),""),IF(ISNUMBER(_xlpm.r),SUMPRODUCT(('TY Beauty Target'!$L$2:$AP$2&gt;=$U$4)*('TY Beauty Target'!$L$2:$AP$2&lt;=$U$5),INDEX('TY Beauty Target'!$L$5:$AP$300,_xlpm.r,0)),0)))</f>
        <v>12337.488542518244</v>
      </c>
    </row>
    <row r="105" spans="1:89" ht="15" customHeight="1" x14ac:dyDescent="0.25">
      <c r="A105" s="38" t="str">
        <f t="shared" si="63"/>
        <v/>
      </c>
      <c r="B105" s="43" t="str" cm="1">
        <f t="array" ref="B105">IF($AI105="","",IF(LEFT($AI105,2)="C|",IF($C105="","",_xlfn.TEXTJOIN(", ",TRUE,_xlfn.UNIQUE(_xlfn._xlws.FILTER($AN$5:$AN$302,($AP$5:$AP$302=1)*($AO$5:$AO$302=$A105))))),IF($AI105="CT",B$13,IF(LEFT($AI105,3)="AM|",IF($C105="","",ROWS(_xlfn.UNIQUE(_xlfn._xlws.FILTER($AO$5:$AO$302,($AP$5:$AP$302=1)*($AN$5:$AN$302=$A105))))),IF(LEFT($AI105,2)="S|",IF($AG105="","",INDEX($AO$5:$AO$302,$AH105)),IF($AI105="HDR","City",""))))))</f>
        <v/>
      </c>
      <c r="C105" s="39" t="str" cm="1">
        <f t="array" ref="C105">IF($AI105="","",IF(LEFT($AI105,2)="C|",_xlfn.LET(_xlpm.n,SUMPRODUCT($AP$5:$AP$302*($AO$5:$AO$302=$A105)),IF(_xlpm.n=0,"",_xlpm.n)),IF($AI105="CT",C$13,IF(LEFT($AI105,3)="AM|",_xlfn.LET(_xlpm.n,SUMPRODUCT($AP$5:$AP$302*($AN$5:$AN$302=$A105)),IF(_xlpm.n=0,"",_xlpm.n)),IF(LEFT($AI105,2)="S|","",IF($AI105="HDR","# Stores",""))))))</f>
        <v/>
      </c>
      <c r="D105" s="40" t="str" cm="1">
        <f t="array" ref="D105">IF($AI105="","",IF(LEFT($AI105,2)="C|",IF($C105="","",SUMPRODUCT($AP$5:$AP$302*($AO$5:$AO$302=$A105),$AR$5:$AR$302)),IF($AI105="CT",D$13,IF(LEFT($AI105,3)="AM|",IF($C105="","",SUMPRODUCT($AP$5:$AP$302*($AN$5:$AN$302=$A105),$AR$5:$AR$302)),IF(LEFT($AI105,2)="S|",IF($AG105="","",INDEX($AR$5:$AR$302,$AH105)),IF($AI105="HDR","Sales TY",""))))))</f>
        <v/>
      </c>
      <c r="E105" s="40" t="str" cm="1">
        <f t="array" ref="E105">IF($AI105="","",IF(LEFT($AI105,2)="C|",IF($C105="","",SUMPRODUCT($AP$5:$AP$302*($AO$5:$AO$302=$A105),$AT$5:$AT$302)),IF($AI105="CT",E$13,IF(LEFT($AI105,3)="AM|",IF($C105="","",SUMPRODUCT($AP$5:$AP$302*($AN$5:$AN$302=$A105),$AT$5:$AT$302)),IF(LEFT($AI105,2)="S|",IF($AG105="","",INDEX($AT$5:$AT$302,$AH105)),IF($AI105="HDR","Sales LY",""))))))</f>
        <v/>
      </c>
      <c r="F105" s="41" t="str">
        <f t="shared" si="64"/>
        <v/>
      </c>
      <c r="G105" s="41" t="str">
        <f t="shared" si="65"/>
        <v/>
      </c>
      <c r="H105" s="40" t="str" cm="1">
        <f t="array" ref="H105">IF($AI105="","",IF(LEFT($AI105,2)="C|",IF($C105="","",SUMPRODUCT($AP$5:$AP$302*($AO$5:$AO$302=$A105),$AV$5:$AV$302)),IF($AI105="CT",H$13,IF(LEFT($AI105,3)="AM|",IF($C105="","",SUMPRODUCT($AP$5:$AP$302*($AN$5:$AN$302=$A105),$AV$5:$AV$302)),IF(LEFT($AI105,2)="S|",IF($AG105="","",INDEX($AV$5:$AV$302,$AH105)),IF($AI105="HDR","Target",""))))))</f>
        <v/>
      </c>
      <c r="I105" s="41" t="str">
        <f t="shared" si="66"/>
        <v/>
      </c>
      <c r="J105" s="40" t="str">
        <f t="shared" si="67"/>
        <v/>
      </c>
      <c r="K105" s="41" t="str">
        <f t="shared" si="68"/>
        <v/>
      </c>
      <c r="L105" s="40" t="str" cm="1">
        <f t="array" ref="L105">IF($AI105="","",IF(LEFT($AI105,2)="C|",IF($C105="","",SUMPRODUCT($AP$5:$AP$302*($AO$5:$AO$302=$A105),$BN$5:$BN$302)),IF($AI105="CT",L$13,IF(LEFT($AI105,3)="AM|",IF($C105="","",SUMPRODUCT($AP$5:$AP$302*($AN$5:$AN$302=$A105),$BN$5:$BN$302)),IF(LEFT($AI105,2)="S|",IF($AG105="","",INDEX($BN$5:$BN$302,$AH105)),IF($AI105="HDR","Month Target",""))))))</f>
        <v/>
      </c>
      <c r="M105" s="40" t="str" cm="1">
        <f t="array" ref="M105">IF($AI105="","",IF(LEFT($AI105,2)="C|",IF($C105="","",SUMPRODUCT($AP$5:$AP$302*($AO$5:$AO$302=$A105),$BO$5:$BO$302)),IF($AI105="CT",M$13,IF(LEFT($AI105,3)="AM|",IF($C105="","",SUMPRODUCT($AP$5:$AP$302*($AN$5:$AN$302=$A105),$BO$5:$BO$302)),IF(LEFT($AI105,2)="S|",IF($AG105="","",INDEX($BO$5:$BO$302,$AH105)),IF($AI105="HDR","Projected Close",""))))))</f>
        <v/>
      </c>
      <c r="N105" s="41" t="str">
        <f t="shared" si="76"/>
        <v/>
      </c>
      <c r="O105" s="41" t="str" cm="1">
        <f t="array" ref="O105">IF($AI105="HDR","Proj. vs LY",IF(OR($AI105="",M105=""),"",_xlfn.LET(_xlpm.ly,IF(LEFT($AI105,2)="C|",SUMPRODUCT($AP$5:$AP$302*($AO$5:$AO$302=$A105),$BK$5:$BK$302),IF($AI105="CT",SUMPRODUCT($AP$5:$AP$302,$BK$5:$BK$302),IF(LEFT($AI105,3)="AM|",SUMPRODUCT($AP$5:$AP$302*($AN$5:$AN$302=$A105),$BK$5:$BK$302),IF(LEFT($AI105,2)="S|",INDEX($BK$5:$BK$302,$AH105),0)))),IFERROR(M105/_xlpm.ly-1,""))))</f>
        <v/>
      </c>
      <c r="P105" s="40" t="str" cm="1">
        <f t="array" ref="P105">IF($AI105="","",IF(LEFT($AI105,2)="C|",IF($C105="","",SUMPRODUCT($AP$5:$AP$302*($AO$5:$AO$302=$A105),$AS$5:$AS$302)),IF($AI105="CT",P$13,IF(LEFT($AI105,3)="AM|",IF($C105="","",SUMPRODUCT($AP$5:$AP$302*($AN$5:$AN$302=$A105),$AS$5:$AS$302)),IF(LEFT($AI105,2)="S|",IF($AG105="","",INDEX($AS$5:$AS$302,$AH105)),IF($AI105="HDR","Trans TY",""))))))</f>
        <v/>
      </c>
      <c r="Q105" s="40" t="str" cm="1">
        <f t="array" ref="Q105">IF($AI105="","",IF(LEFT($AI105,2)="C|",IF($C105="","",SUMPRODUCT($AP$5:$AP$302*($AO$5:$AO$302=$A105),$AU$5:$AU$302)),IF($AI105="CT",Q$13,IF(LEFT($AI105,3)="AM|",IF($C105="","",SUMPRODUCT($AP$5:$AP$302*($AN$5:$AN$302=$A105),$AU$5:$AU$302)),IF(LEFT($AI105,2)="S|",IF($AG105="","",INDEX($AU$5:$AU$302,$AH105)),IF($AI105="HDR","Trans LY",""))))))</f>
        <v/>
      </c>
      <c r="R105" s="41" t="str">
        <f t="shared" si="69"/>
        <v/>
      </c>
      <c r="S105" s="41" t="str">
        <f t="shared" si="70"/>
        <v/>
      </c>
      <c r="T105" s="42" t="str">
        <f t="shared" si="71"/>
        <v/>
      </c>
      <c r="U105" s="42" t="str">
        <f t="shared" si="72"/>
        <v/>
      </c>
      <c r="V105" s="41" t="str">
        <f t="shared" si="73"/>
        <v/>
      </c>
      <c r="W105" s="40" t="str" cm="1">
        <f t="array" ref="W105">IF($AI105="","",IF(LEFT($AI105,2)="C|",_xlfn.LET(_xlpm.n,SUMPRODUCT($AP$5:$AP$302*($AO$5:$AO$302=$A105),$BB$5:$BB$302),IF(_xlpm.n=0,"",_xlpm.n)),IF($AI105="CT",W$13,IF(LEFT($AI105,3)="AM|",_xlfn.LET(_xlpm.n,SUMPRODUCT($AP$5:$AP$302*($AN$5:$AN$302=$A105),$BB$5:$BB$302),IF(_xlpm.n=0,"",_xlpm.n)),IF(LEFT($AI105,2)="S|",IF($AG105="","",_xlfn.LET(_xlpm.n,INDEX($BB$5:$BB$302,$AH105),IF(_xlpm.n=0,"",_xlpm.n))),IF($AI105="HDR","Footfall",""))))))</f>
        <v/>
      </c>
      <c r="X105" s="40" t="str" cm="1">
        <f t="array" ref="X105">IF($AI105="","",IF($AI105="HDR","Trans (FF stores)",IF(W105="","",IF(LEFT($AI105,2)="C|",SUMPRODUCT($AP$5:$AP$302*($AO$5:$AO$302=$A105),$BC$5:$BC$302),IF($AI105="CT",X$13,IF(LEFT($AI105,3)="AM|",SUMPRODUCT($AP$5:$AP$302*($AN$5:$AN$302=$A105),$BC$5:$BC$302),IF(LEFT($AI105,2)="S|",INDEX($BC$5:$BC$302,$AH105),"")))))))</f>
        <v/>
      </c>
      <c r="Y105" s="41" t="str">
        <f t="shared" si="77"/>
        <v/>
      </c>
      <c r="Z105" s="40" t="str" cm="1">
        <f t="array" ref="Z105">IF($AI105="","",IF(LEFT($AI105,2)="C|",IF($C105="","",SUMPRODUCT($AP$5:$AP$302*($AO$5:$AO$302=$A105),$CB$5:$CB$302)),IF($AI105="CT",Z$13,IF(LEFT($AI105,3)="AM|",IF($C105="","",SUMPRODUCT($AP$5:$AP$302*($AN$5:$AN$302=$A105),$CB$5:$CB$302)),IF(LEFT($AI105,2)="S|",IF($AG105="","",INDEX($CB$5:$CB$302,$AH105)),IF($AI105="HDR","Makeup Sales",""))))))</f>
        <v/>
      </c>
      <c r="AA105" s="41" t="str">
        <f t="shared" si="74"/>
        <v/>
      </c>
      <c r="AB105" s="40" t="str" cm="1">
        <f t="array" ref="AB105">IF($AI105="","",IF(LEFT($AI105,2)="C|",IF($C105="","",SUMPRODUCT($AP$5:$AP$302*($AO$5:$AO$302=$A105),$CK$5:$CK$302)),IF($AI105="CT",AB$13,IF(LEFT($AI105,3)="AM|",IF($C105="","",SUMPRODUCT($AP$5:$AP$302*($AN$5:$AN$302=$A105),$CK$5:$CK$302)),IF(LEFT($AI105,2)="S|",IF($AG105="","",INDEX($CK$5:$CK$302,$AH105)),IF($AI105="HDR","Makeup Target",""))))))</f>
        <v/>
      </c>
      <c r="AC105" s="41" t="str">
        <f t="shared" si="78"/>
        <v/>
      </c>
      <c r="AD105" s="40" t="str" cm="1">
        <f t="array" ref="AD105">IF($AI105="","",IF(LEFT($AI105,2)="C|",IF($C105="","",SUMPRODUCT($AP$5:$AP$302*($AO$5:$AO$302=$A105),$CI$5:$CI$302)),IF($AI105="CT",AD$13,IF(LEFT($AI105,3)="AM|",IF($C105="","",SUMPRODUCT($AP$5:$AP$302*($AN$5:$AN$302=$A105),$CI$5:$CI$302)),IF(LEFT($AI105,2)="S|",IF($AG105="","",INDEX($CI$5:$CI$302,$AH105)),IF($AI105="HDR","Cosmetic Sales",""))))))</f>
        <v/>
      </c>
      <c r="AE105" s="8" t="str" cm="1">
        <f t="array" ref="AE105">IF($AI105="","",IF(LEFT($AI105,2)="C|",IF($C105="","",SUMPRODUCT($AP$5:$AP$302*($AO$5:$AO$302=$A105)*$AQ$5:$AQ$302,$AR$5:$AR$302)),IF($AI105="CT",AE$13,IF(LEFT($AI105,3)="AM|",IF($C105="","",SUMPRODUCT($AP$5:$AP$302*($AN$5:$AN$302=$A105)*$AQ$5:$AQ$302,$AR$5:$AR$302)),IF(LEFT($AI105,2)="S|",IF($AG105="","",IF(INDEX($AQ$5:$AQ$302,$AH105)=1,D105,0)),IF($AI105="HDR","LFL Sales",""))))))</f>
        <v/>
      </c>
      <c r="AF105" s="8" t="str" cm="1">
        <f t="array" ref="AF105">IF($AI105="","",IF(LEFT($AI105,2)="C|",IF($C105="","",SUMPRODUCT($AP$5:$AP$302*($AO$5:$AO$302=$A105)*$AQ$5:$AQ$302,$AS$5:$AS$302)),IF($AI105="CT",AF$13,IF(LEFT($AI105,3)="AM|",IF($C105="","",SUMPRODUCT($AP$5:$AP$302*($AN$5:$AN$302=$A105)*$AQ$5:$AQ$302,$AS$5:$AS$302)),IF(LEFT($AI105,2)="S|",IF($AG105="","",IF(INDEX($AQ$5:$AQ$302,$AH105)=1,P105,0)),IF($AI105="HDR","LFL Trans",""))))))</f>
        <v/>
      </c>
      <c r="AG105" s="8" t="str" cm="1">
        <f t="array" ref="AG105">IF($AI105="","",IF(LEFT($AI105,2)="C|","",IF($AI105="CT","",IF(LEFT($AI105,3)="AM|","",IF(LEFT($AI105,2)="S|",IF($AH105="","",IF(INDEX($AP$5:$AP$302,$AH105)=1,1,"")),IF($AI105="HDR","Show",""))))))</f>
        <v/>
      </c>
      <c r="AH105" s="8" t="str">
        <f t="shared" si="75"/>
        <v/>
      </c>
      <c r="AI105" s="8"/>
      <c r="AN105" s="8" t="str" cm="1">
        <f t="array" ref="AN105">IF($AW105="","",_xlfn.LET(_xlpm.sa,IFERROR(TRIM(INDEX('Sales and count'!$D$4:$D$300,$BF105)&amp;""),""),_xlpm.ta,IFERROR(TRIM(INDEX('TY Sales Target'!$F$5:$F$300,$BG105)&amp;""),""),IF(AND(_xlpm.sa&lt;&gt;"",LEFT(_xlpm.sa,1)&lt;&gt;"#",_xlpm.sa&lt;&gt;"0"),_xlpm.sa,IF(AND(_xlpm.ta&lt;&gt;"",LEFT(_xlpm.ta,1)&lt;&gt;"#",_xlpm.ta&lt;&gt;"0"),_xlpm.ta,IF(ISNUMBER($BG105),"Unassigned","")))))</f>
        <v>Saleh Bin Hoiel</v>
      </c>
      <c r="AO105" s="8" t="str" cm="1">
        <f t="array" ref="AO105">IF($AW105="","",_xlfn.LET(_xlpm.sa,IFERROR(TRIM(INDEX('Sales and count'!$C$4:$C$300,$BF105)&amp;""),""),_xlpm.ta,IFERROR(TRIM(INDEX('TY Sales Target'!$D$5:$D$300,$BG105)&amp;""),""),IF(AND(_xlpm.sa&lt;&gt;"",LEFT(_xlpm.sa,1)&lt;&gt;"#",_xlpm.sa&lt;&gt;"0"),_xlpm.sa,IF(AND(_xlpm.ta&lt;&gt;"",LEFT(_xlpm.ta,1)&lt;&gt;"#",_xlpm.ta&lt;&gt;"0"),_xlpm.ta,""))))</f>
        <v>Taif</v>
      </c>
      <c r="AP105" s="8">
        <f t="shared" si="60"/>
        <v>1</v>
      </c>
      <c r="AQ105" s="8">
        <f t="shared" si="61"/>
        <v>0</v>
      </c>
      <c r="AR105" s="8" cm="1">
        <f t="array" ref="AR105">IF($BF105="",0,_xlfn.LET(_xlpm.d,IFERROR(--'Sales and count'!$G$2:$CC$2,0),SUMPRODUCT(('Sales and count'!$G$3:$CC$3="Total")*(_xlpm.d&gt;=$U$4)*(_xlpm.d&lt;=$U$5),INDEX('Sales and count'!$G$4:$CC$300,$BF105,0))))</f>
        <v>59828.509999999987</v>
      </c>
      <c r="AS105" s="8" cm="1">
        <f t="array" aca="1" ref="AS105" ca="1">IF($BF105="",0,_xlfn.LET(_xlpm.d,IFERROR(--'Sales and count'!$F$2:$CB$2,0),SUMPRODUCT(('Sales and count'!$G$3:$CC$3="Transactions")*(_xlpm.d&gt;=$U$4)*(_xlpm.d&lt;=$U$5),INDEX('Sales and count'!$G$4:$CC$300,$BF105,0))))</f>
        <v>505</v>
      </c>
      <c r="AT105" s="8" cm="1">
        <f t="array" ref="AT105">IF($AW105="",0,SUMPRODUCT((TRIM('LY Sales '!$B$5:$B$200)=$AW105)*('LY Sales '!$C$2:$AG$2&gt;=EDATE($U$4,-12))*('LY Sales '!$C$2:$AG$2&lt;=EDATE($U$5,-12)),'LY Sales '!$C$5:$AG$200))</f>
        <v>0</v>
      </c>
      <c r="AU105" s="8" cm="1">
        <f t="array" ref="AU105">IF($AW105="",0,SUMPRODUCT((TRIM('LY Transaction'!$B$5:$B$200)=$AW105)*('LY Transaction'!$C$2:$AG$2&gt;=EDATE($U$4,-12))*('LY Transaction'!$C$2:$AG$2&lt;=EDATE($U$5,-12)),'LY Transaction'!$C$5:$AG$200))</f>
        <v>0</v>
      </c>
      <c r="AV105" s="8" cm="1">
        <f t="array" ref="AV105">IF(NOT(ISNUMBER($BG105)),0,SUMPRODUCT(('TY Sales Target'!$K$2:$AO$2&gt;=$U$4)*('TY Sales Target'!$K$2:$AO$2&lt;=$U$5),INDEX('TY Sales Target'!$K$5:$AO$300,$BG105,0)))</f>
        <v>149687.82994513359</v>
      </c>
      <c r="AW105" s="8" t="str" cm="1">
        <f t="array" ref="AW105">IFERROR(INDEX(_xlfn.ANCHORARRAY($BR$5),ROWS($AW$5:AW105)),"")</f>
        <v>HAPARKTAIF</v>
      </c>
      <c r="BB105" cm="1">
        <f t="array" ref="BB105">IF($AW105="",0,SUMPRODUCT((TRIM(Footfall!$B$5:$B$301)=$AW105)*(Footfall!$C$1:$BZ$1&gt;=$U$4)*(Footfall!$C$2:$BZ$2&lt;=$U$5)*(Footfall!$C$1:$BZ$1&lt;&gt;""),Footfall!$C$5:$BZ$301))</f>
        <v>4370</v>
      </c>
      <c r="BC105" cm="1">
        <f t="array" aca="1" ref="BC105" ca="1">IF(OR($BB105&lt;=0,$BD$1="",$BF105=""),0,_xlfn.LET(_xlpm.d,IFERROR(--'Sales and count'!$F$2:$CB$2,0),SUMPRODUCT(('Sales and count'!$G$3:$CC$3="Transactions")*(_xlpm.d&gt;=$BD$1)*(_xlpm.d&lt;=$BD$2),INDEX('Sales and count'!$G$4:$CC$300,$BF105,0))))</f>
        <v>505</v>
      </c>
      <c r="BF105" cm="1">
        <f t="array" ref="BF105">IF($AW105="","",IFERROR(MATCH($AW105,TRIM('Sales and count'!$A$4:$A$300&amp;""),0),""))</f>
        <v>101</v>
      </c>
      <c r="BG105" cm="1">
        <f t="array" ref="BG105">IF($AW105="","",IFERROR(MATCH(IFERROR(_xlfn.XLOOKUP($AW105,$BT$5:$BT$22,$BU$5:$BU$22),$AW105),TRIM('TY Sales Target'!$B$5:$B$300&amp;""),0),""))</f>
        <v>71</v>
      </c>
      <c r="BH105" t="str" cm="1">
        <f t="array" ref="BH105">IF(ISNUMBER($BG105),_xlfn.LET(_xlpm.p,TRIM(INDEX('TY Sales Target'!$I$5:$I$300,$BG105)&amp;""),IF(_xlpm.p="","Not set",_xlpm.p)),"Not set")</f>
        <v>I Pad</v>
      </c>
      <c r="BI105" cm="1">
        <f t="array" ref="BI105">IF($BF105="",0,_xlfn.LET(_xlpm.d,IFERROR(--'Sales and count'!$G$2:$CC$2,0),SUMPRODUCT(('Sales and count'!$G$3:$CC$3="Total")*(_xlpm.d&gt;=$BZ$5)*(_xlpm.d&lt;=$BZ$6),INDEX('Sales and count'!$G$4:$CC$300,$BF105,0))))</f>
        <v>59828.509999999987</v>
      </c>
      <c r="BJ105" cm="1">
        <f t="array" ref="BJ105">IF($AW105="",0,SUMPRODUCT((TRIM('LY Sales '!$B$5:$B$200)=$AW105)*('LY Sales '!$C$2:$AG$2&gt;=EDATE($BZ$5,-12))*('LY Sales '!$C$2:$AG$2&lt;=EDATE($BZ$6,-12)),'LY Sales '!$C$5:$AG$200))</f>
        <v>0</v>
      </c>
      <c r="BK105" cm="1">
        <f t="array" ref="BK105">IF($AW105="",0,SUMPRODUCT((TRIM('LY Sales '!$B$5:$B$200)=$AW105)*('LY Sales '!$C$2:$AG$2&gt;=EDATE($BZ$5,-12))*('LY Sales '!$C$2:$AG$2&lt;=EDATE($BZ$7,-12)),'LY Sales '!$C$5:$AG$200))</f>
        <v>0</v>
      </c>
      <c r="BL105" cm="1">
        <f t="array" ref="BL105">IF($AW105="",0,SUMPRODUCT((TRIM('LY Sales '!$B$5:$B$200)=$AW105)*('LY Sales '!$C$2:$AG$2&gt;=EDATE($BZ$5,-12))*('LY Sales '!$C$2:$AG$2&lt;=EDATE($BZ$6,-12))*('LY Sales '!$C$5:$AG$200&gt;0)))</f>
        <v>0</v>
      </c>
      <c r="BM105" cm="1">
        <f t="array" ref="BM105">IF(NOT(ISNUMBER($BG105)),0,SUMPRODUCT(('TY Sales Target'!$K$2:$AO$2&gt;=$BZ$5)*('TY Sales Target'!$K$2:$AO$2&lt;=$BZ$6),INDEX('TY Sales Target'!$K$5:$AO$300,$BG105,0)))</f>
        <v>149687.82994513359</v>
      </c>
      <c r="BN105" cm="1">
        <f t="array" ref="BN105">IF(NOT(ISNUMBER($BG105)),0,SUMPRODUCT(('TY Sales Target'!$K$2:$AO$2&gt;=$BZ$5)*('TY Sales Target'!$K$2:$AO$2&lt;=$BZ$7),INDEX('TY Sales Target'!$K$5:$AO$300,$BG105,0)))</f>
        <v>195370.29620659907</v>
      </c>
      <c r="BO105" cm="1">
        <f t="array" ref="BO105">IF($AW105="",0,IFERROR(_xlfn.SWITCH($BP105,"LY trend",$BI105*$BK105/$BJ105,"Target curve",$BI105*$BN105/$BM105,"Run rate",$BI105/$BZ$8*$BZ$9,0),0))</f>
        <v>78087.268180611878</v>
      </c>
      <c r="BP105" t="str">
        <f t="shared" si="59"/>
        <v>Target curve</v>
      </c>
      <c r="BR105" t="str">
        <v>HAPARKTAIF</v>
      </c>
      <c r="CB105" cm="1">
        <f t="array" ref="CB105">IF($AW105="",0,_xlfn.LET(_xlpm.k,IFERROR(_xlfn.XLOOKUP($AW105,$CD$6:$CD$21,$CE$6:$CE$21),$AW105),SUMPRODUCT((TRIM('Makeup '!$A$2:$A$300&amp;"")=_xlpm.k)*1,IFERROR('Makeup '!$F$2:$F$300*1,0))))</f>
        <v>2976.68</v>
      </c>
      <c r="CF105" t="str" cm="1">
        <f t="array" ref="CF105">IF($AW105="","",_xlfn.LET(_xlpm.c,IFERROR(TRIM(INDEX('Sales and count'!$B$4:$B$300,$BF105)&amp;""),""),IF(OR(_xlpm.c="",_xlpm.c="0",LEFT(_xlpm.c,1)="#"),"Not set",_xlpm.c)))</f>
        <v>KSA</v>
      </c>
      <c r="CH105" cm="1">
        <f t="array" ref="CH105">IF($AW105="",0,_xlfn.LET(_xlpm.k,IFERROR(_xlfn.XLOOKUP($AW105,$CD$6:$CD$21,$CE$6:$CE$21),$AW105),--(SUMPRODUCT((TRIM('Makeup '!$A$2:$A$300&amp;"")=_xlpm.k)*ISNUMBER('Makeup '!$F$2:$F$300))&gt;0)))</f>
        <v>1</v>
      </c>
      <c r="CI105">
        <f t="shared" si="62"/>
        <v>59828.509999999987</v>
      </c>
      <c r="CJ105" cm="1">
        <f t="array" ref="CJ105">IF($AW105="",0,--(SUMPRODUCT(--(TRIM(Footfall!$B$5:$B$301)=$AW105))&gt;0))</f>
        <v>1</v>
      </c>
      <c r="CK105" s="8" cm="1">
        <f t="array" ref="CK105">IF($AW105="",0,_xlfn.LET(_xlpm.r,IFERROR(MATCH(IFERROR(_xlfn.XLOOKUP($AW105,$BT$5:$BT$22,$BU$5:$BU$22),$AW105),TRIM('TY Beauty Target'!$B$5:$B$300&amp;""),0),""),IF(ISNUMBER(_xlpm.r),SUMPRODUCT(('TY Beauty Target'!$L$2:$AP$2&gt;=$U$4)*('TY Beauty Target'!$L$2:$AP$2&lt;=$U$5),INDEX('TY Beauty Target'!$L$5:$AP$300,_xlpm.r,0)),0)))</f>
        <v>8221.1509273328629</v>
      </c>
    </row>
    <row r="106" spans="1:89" ht="15" customHeight="1" x14ac:dyDescent="0.25">
      <c r="A106" s="38" t="str">
        <f t="shared" si="63"/>
        <v/>
      </c>
      <c r="B106" s="43" t="str" cm="1">
        <f t="array" ref="B106">IF($AI106="","",IF(LEFT($AI106,2)="C|",IF($C106="","",_xlfn.TEXTJOIN(", ",TRUE,_xlfn.UNIQUE(_xlfn._xlws.FILTER($AN$5:$AN$302,($AP$5:$AP$302=1)*($AO$5:$AO$302=$A106))))),IF($AI106="CT",B$13,IF(LEFT($AI106,3)="AM|",IF($C106="","",ROWS(_xlfn.UNIQUE(_xlfn._xlws.FILTER($AO$5:$AO$302,($AP$5:$AP$302=1)*($AN$5:$AN$302=$A106))))),IF(LEFT($AI106,2)="S|",IF($AG106="","",INDEX($AO$5:$AO$302,$AH106)),IF($AI106="HDR","City",""))))))</f>
        <v/>
      </c>
      <c r="C106" s="39" t="str" cm="1">
        <f t="array" ref="C106">IF($AI106="","",IF(LEFT($AI106,2)="C|",_xlfn.LET(_xlpm.n,SUMPRODUCT($AP$5:$AP$302*($AO$5:$AO$302=$A106)),IF(_xlpm.n=0,"",_xlpm.n)),IF($AI106="CT",C$13,IF(LEFT($AI106,3)="AM|",_xlfn.LET(_xlpm.n,SUMPRODUCT($AP$5:$AP$302*($AN$5:$AN$302=$A106)),IF(_xlpm.n=0,"",_xlpm.n)),IF(LEFT($AI106,2)="S|","",IF($AI106="HDR","# Stores",""))))))</f>
        <v/>
      </c>
      <c r="D106" s="40" t="str" cm="1">
        <f t="array" ref="D106">IF($AI106="","",IF(LEFT($AI106,2)="C|",IF($C106="","",SUMPRODUCT($AP$5:$AP$302*($AO$5:$AO$302=$A106),$AR$5:$AR$302)),IF($AI106="CT",D$13,IF(LEFT($AI106,3)="AM|",IF($C106="","",SUMPRODUCT($AP$5:$AP$302*($AN$5:$AN$302=$A106),$AR$5:$AR$302)),IF(LEFT($AI106,2)="S|",IF($AG106="","",INDEX($AR$5:$AR$302,$AH106)),IF($AI106="HDR","Sales TY",""))))))</f>
        <v/>
      </c>
      <c r="E106" s="40" t="str" cm="1">
        <f t="array" ref="E106">IF($AI106="","",IF(LEFT($AI106,2)="C|",IF($C106="","",SUMPRODUCT($AP$5:$AP$302*($AO$5:$AO$302=$A106),$AT$5:$AT$302)),IF($AI106="CT",E$13,IF(LEFT($AI106,3)="AM|",IF($C106="","",SUMPRODUCT($AP$5:$AP$302*($AN$5:$AN$302=$A106),$AT$5:$AT$302)),IF(LEFT($AI106,2)="S|",IF($AG106="","",INDEX($AT$5:$AT$302,$AH106)),IF($AI106="HDR","Sales LY",""))))))</f>
        <v/>
      </c>
      <c r="F106" s="41" t="str">
        <f t="shared" si="64"/>
        <v/>
      </c>
      <c r="G106" s="41" t="str">
        <f t="shared" si="65"/>
        <v/>
      </c>
      <c r="H106" s="40" t="str" cm="1">
        <f t="array" ref="H106">IF($AI106="","",IF(LEFT($AI106,2)="C|",IF($C106="","",SUMPRODUCT($AP$5:$AP$302*($AO$5:$AO$302=$A106),$AV$5:$AV$302)),IF($AI106="CT",H$13,IF(LEFT($AI106,3)="AM|",IF($C106="","",SUMPRODUCT($AP$5:$AP$302*($AN$5:$AN$302=$A106),$AV$5:$AV$302)),IF(LEFT($AI106,2)="S|",IF($AG106="","",INDEX($AV$5:$AV$302,$AH106)),IF($AI106="HDR","Target",""))))))</f>
        <v/>
      </c>
      <c r="I106" s="41" t="str">
        <f t="shared" si="66"/>
        <v/>
      </c>
      <c r="J106" s="40" t="str">
        <f t="shared" si="67"/>
        <v/>
      </c>
      <c r="K106" s="41" t="str">
        <f t="shared" si="68"/>
        <v/>
      </c>
      <c r="L106" s="40" t="str" cm="1">
        <f t="array" ref="L106">IF($AI106="","",IF(LEFT($AI106,2)="C|",IF($C106="","",SUMPRODUCT($AP$5:$AP$302*($AO$5:$AO$302=$A106),$BN$5:$BN$302)),IF($AI106="CT",L$13,IF(LEFT($AI106,3)="AM|",IF($C106="","",SUMPRODUCT($AP$5:$AP$302*($AN$5:$AN$302=$A106),$BN$5:$BN$302)),IF(LEFT($AI106,2)="S|",IF($AG106="","",INDEX($BN$5:$BN$302,$AH106)),IF($AI106="HDR","Month Target",""))))))</f>
        <v/>
      </c>
      <c r="M106" s="40" t="str" cm="1">
        <f t="array" ref="M106">IF($AI106="","",IF(LEFT($AI106,2)="C|",IF($C106="","",SUMPRODUCT($AP$5:$AP$302*($AO$5:$AO$302=$A106),$BO$5:$BO$302)),IF($AI106="CT",M$13,IF(LEFT($AI106,3)="AM|",IF($C106="","",SUMPRODUCT($AP$5:$AP$302*($AN$5:$AN$302=$A106),$BO$5:$BO$302)),IF(LEFT($AI106,2)="S|",IF($AG106="","",INDEX($BO$5:$BO$302,$AH106)),IF($AI106="HDR","Projected Close",""))))))</f>
        <v/>
      </c>
      <c r="N106" s="41" t="str">
        <f t="shared" si="76"/>
        <v/>
      </c>
      <c r="O106" s="41" t="str" cm="1">
        <f t="array" ref="O106">IF($AI106="HDR","Proj. vs LY",IF(OR($AI106="",M106=""),"",_xlfn.LET(_xlpm.ly,IF(LEFT($AI106,2)="C|",SUMPRODUCT($AP$5:$AP$302*($AO$5:$AO$302=$A106),$BK$5:$BK$302),IF($AI106="CT",SUMPRODUCT($AP$5:$AP$302,$BK$5:$BK$302),IF(LEFT($AI106,3)="AM|",SUMPRODUCT($AP$5:$AP$302*($AN$5:$AN$302=$A106),$BK$5:$BK$302),IF(LEFT($AI106,2)="S|",INDEX($BK$5:$BK$302,$AH106),0)))),IFERROR(M106/_xlpm.ly-1,""))))</f>
        <v/>
      </c>
      <c r="P106" s="40" t="str" cm="1">
        <f t="array" ref="P106">IF($AI106="","",IF(LEFT($AI106,2)="C|",IF($C106="","",SUMPRODUCT($AP$5:$AP$302*($AO$5:$AO$302=$A106),$AS$5:$AS$302)),IF($AI106="CT",P$13,IF(LEFT($AI106,3)="AM|",IF($C106="","",SUMPRODUCT($AP$5:$AP$302*($AN$5:$AN$302=$A106),$AS$5:$AS$302)),IF(LEFT($AI106,2)="S|",IF($AG106="","",INDEX($AS$5:$AS$302,$AH106)),IF($AI106="HDR","Trans TY",""))))))</f>
        <v/>
      </c>
      <c r="Q106" s="40" t="str" cm="1">
        <f t="array" ref="Q106">IF($AI106="","",IF(LEFT($AI106,2)="C|",IF($C106="","",SUMPRODUCT($AP$5:$AP$302*($AO$5:$AO$302=$A106),$AU$5:$AU$302)),IF($AI106="CT",Q$13,IF(LEFT($AI106,3)="AM|",IF($C106="","",SUMPRODUCT($AP$5:$AP$302*($AN$5:$AN$302=$A106),$AU$5:$AU$302)),IF(LEFT($AI106,2)="S|",IF($AG106="","",INDEX($AU$5:$AU$302,$AH106)),IF($AI106="HDR","Trans LY",""))))))</f>
        <v/>
      </c>
      <c r="R106" s="41" t="str">
        <f t="shared" si="69"/>
        <v/>
      </c>
      <c r="S106" s="41" t="str">
        <f t="shared" si="70"/>
        <v/>
      </c>
      <c r="T106" s="42" t="str">
        <f t="shared" si="71"/>
        <v/>
      </c>
      <c r="U106" s="42" t="str">
        <f t="shared" si="72"/>
        <v/>
      </c>
      <c r="V106" s="41" t="str">
        <f t="shared" si="73"/>
        <v/>
      </c>
      <c r="W106" s="40" t="str" cm="1">
        <f t="array" ref="W106">IF($AI106="","",IF(LEFT($AI106,2)="C|",_xlfn.LET(_xlpm.n,SUMPRODUCT($AP$5:$AP$302*($AO$5:$AO$302=$A106),$BB$5:$BB$302),IF(_xlpm.n=0,"",_xlpm.n)),IF($AI106="CT",W$13,IF(LEFT($AI106,3)="AM|",_xlfn.LET(_xlpm.n,SUMPRODUCT($AP$5:$AP$302*($AN$5:$AN$302=$A106),$BB$5:$BB$302),IF(_xlpm.n=0,"",_xlpm.n)),IF(LEFT($AI106,2)="S|",IF($AG106="","",_xlfn.LET(_xlpm.n,INDEX($BB$5:$BB$302,$AH106),IF(_xlpm.n=0,"",_xlpm.n))),IF($AI106="HDR","Footfall",""))))))</f>
        <v/>
      </c>
      <c r="X106" s="40" t="str" cm="1">
        <f t="array" ref="X106">IF($AI106="","",IF($AI106="HDR","Trans (FF stores)",IF(W106="","",IF(LEFT($AI106,2)="C|",SUMPRODUCT($AP$5:$AP$302*($AO$5:$AO$302=$A106),$BC$5:$BC$302),IF($AI106="CT",X$13,IF(LEFT($AI106,3)="AM|",SUMPRODUCT($AP$5:$AP$302*($AN$5:$AN$302=$A106),$BC$5:$BC$302),IF(LEFT($AI106,2)="S|",INDEX($BC$5:$BC$302,$AH106),"")))))))</f>
        <v/>
      </c>
      <c r="Y106" s="41" t="str">
        <f t="shared" si="77"/>
        <v/>
      </c>
      <c r="Z106" s="40" t="str" cm="1">
        <f t="array" ref="Z106">IF($AI106="","",IF(LEFT($AI106,2)="C|",IF($C106="","",SUMPRODUCT($AP$5:$AP$302*($AO$5:$AO$302=$A106),$CB$5:$CB$302)),IF($AI106="CT",Z$13,IF(LEFT($AI106,3)="AM|",IF($C106="","",SUMPRODUCT($AP$5:$AP$302*($AN$5:$AN$302=$A106),$CB$5:$CB$302)),IF(LEFT($AI106,2)="S|",IF($AG106="","",INDEX($CB$5:$CB$302,$AH106)),IF($AI106="HDR","Makeup Sales",""))))))</f>
        <v/>
      </c>
      <c r="AA106" s="41" t="str">
        <f t="shared" si="74"/>
        <v/>
      </c>
      <c r="AB106" s="40" t="str" cm="1">
        <f t="array" ref="AB106">IF($AI106="","",IF(LEFT($AI106,2)="C|",IF($C106="","",SUMPRODUCT($AP$5:$AP$302*($AO$5:$AO$302=$A106),$CK$5:$CK$302)),IF($AI106="CT",AB$13,IF(LEFT($AI106,3)="AM|",IF($C106="","",SUMPRODUCT($AP$5:$AP$302*($AN$5:$AN$302=$A106),$CK$5:$CK$302)),IF(LEFT($AI106,2)="S|",IF($AG106="","",INDEX($CK$5:$CK$302,$AH106)),IF($AI106="HDR","Makeup Target",""))))))</f>
        <v/>
      </c>
      <c r="AC106" s="41" t="str">
        <f t="shared" si="78"/>
        <v/>
      </c>
      <c r="AD106" s="40" t="str" cm="1">
        <f t="array" ref="AD106">IF($AI106="","",IF(LEFT($AI106,2)="C|",IF($C106="","",SUMPRODUCT($AP$5:$AP$302*($AO$5:$AO$302=$A106),$CI$5:$CI$302)),IF($AI106="CT",AD$13,IF(LEFT($AI106,3)="AM|",IF($C106="","",SUMPRODUCT($AP$5:$AP$302*($AN$5:$AN$302=$A106),$CI$5:$CI$302)),IF(LEFT($AI106,2)="S|",IF($AG106="","",INDEX($CI$5:$CI$302,$AH106)),IF($AI106="HDR","Cosmetic Sales",""))))))</f>
        <v/>
      </c>
      <c r="AE106" s="8" t="str" cm="1">
        <f t="array" ref="AE106">IF($AI106="","",IF(LEFT($AI106,2)="C|",IF($C106="","",SUMPRODUCT($AP$5:$AP$302*($AO$5:$AO$302=$A106)*$AQ$5:$AQ$302,$AR$5:$AR$302)),IF($AI106="CT",AE$13,IF(LEFT($AI106,3)="AM|",IF($C106="","",SUMPRODUCT($AP$5:$AP$302*($AN$5:$AN$302=$A106)*$AQ$5:$AQ$302,$AR$5:$AR$302)),IF(LEFT($AI106,2)="S|",IF($AG106="","",IF(INDEX($AQ$5:$AQ$302,$AH106)=1,D106,0)),IF($AI106="HDR","LFL Sales",""))))))</f>
        <v/>
      </c>
      <c r="AF106" s="8" t="str" cm="1">
        <f t="array" ref="AF106">IF($AI106="","",IF(LEFT($AI106,2)="C|",IF($C106="","",SUMPRODUCT($AP$5:$AP$302*($AO$5:$AO$302=$A106)*$AQ$5:$AQ$302,$AS$5:$AS$302)),IF($AI106="CT",AF$13,IF(LEFT($AI106,3)="AM|",IF($C106="","",SUMPRODUCT($AP$5:$AP$302*($AN$5:$AN$302=$A106)*$AQ$5:$AQ$302,$AS$5:$AS$302)),IF(LEFT($AI106,2)="S|",IF($AG106="","",IF(INDEX($AQ$5:$AQ$302,$AH106)=1,P106,0)),IF($AI106="HDR","LFL Trans",""))))))</f>
        <v/>
      </c>
      <c r="AG106" s="8" t="str" cm="1">
        <f t="array" ref="AG106">IF($AI106="","",IF(LEFT($AI106,2)="C|","",IF($AI106="CT","",IF(LEFT($AI106,3)="AM|","",IF(LEFT($AI106,2)="S|",IF($AH106="","",IF(INDEX($AP$5:$AP$302,$AH106)=1,1,"")),IF($AI106="HDR","Show",""))))))</f>
        <v/>
      </c>
      <c r="AH106" s="8" t="str">
        <f t="shared" si="75"/>
        <v/>
      </c>
      <c r="AI106" s="8"/>
      <c r="AN106" s="8" t="str" cm="1">
        <f t="array" ref="AN106">IF($AW106="","",_xlfn.LET(_xlpm.sa,IFERROR(TRIM(INDEX('Sales and count'!$D$4:$D$300,$BF106)&amp;""),""),_xlpm.ta,IFERROR(TRIM(INDEX('TY Sales Target'!$F$5:$F$300,$BG106)&amp;""),""),IF(AND(_xlpm.sa&lt;&gt;"",LEFT(_xlpm.sa,1)&lt;&gt;"#",_xlpm.sa&lt;&gt;"0"),_xlpm.sa,IF(AND(_xlpm.ta&lt;&gt;"",LEFT(_xlpm.ta,1)&lt;&gt;"#",_xlpm.ta&lt;&gt;"0"),_xlpm.ta,IF(ISNUMBER($BG106),"Unassigned","")))))</f>
        <v>Mohammed Sanad</v>
      </c>
      <c r="AO106" s="8" t="str" cm="1">
        <f t="array" ref="AO106">IF($AW106="","",_xlfn.LET(_xlpm.sa,IFERROR(TRIM(INDEX('Sales and count'!$C$4:$C$300,$BF106)&amp;""),""),_xlpm.ta,IFERROR(TRIM(INDEX('TY Sales Target'!$D$5:$D$300,$BG106)&amp;""),""),IF(AND(_xlpm.sa&lt;&gt;"",LEFT(_xlpm.sa,1)&lt;&gt;"#",_xlpm.sa&lt;&gt;"0"),_xlpm.sa,IF(AND(_xlpm.ta&lt;&gt;"",LEFT(_xlpm.ta,1)&lt;&gt;"#",_xlpm.ta&lt;&gt;"0"),_xlpm.ta,""))))</f>
        <v>Riyadh</v>
      </c>
      <c r="AP106" s="8">
        <f t="shared" si="60"/>
        <v>0</v>
      </c>
      <c r="AQ106" s="8">
        <f t="shared" si="61"/>
        <v>1</v>
      </c>
      <c r="AR106" s="8" cm="1">
        <f t="array" ref="AR106">IF($BF106="",0,_xlfn.LET(_xlpm.d,IFERROR(--'Sales and count'!$G$2:$CC$2,0),SUMPRODUCT(('Sales and count'!$G$3:$CC$3="Total")*(_xlpm.d&gt;=$U$4)*(_xlpm.d&lt;=$U$5),INDEX('Sales and count'!$G$4:$CC$300,$BF106,0))))</f>
        <v>100462.65999999999</v>
      </c>
      <c r="AS106" s="8" cm="1">
        <f t="array" aca="1" ref="AS106" ca="1">IF($BF106="",0,_xlfn.LET(_xlpm.d,IFERROR(--'Sales and count'!$F$2:$CB$2,0),SUMPRODUCT(('Sales and count'!$G$3:$CC$3="Transactions")*(_xlpm.d&gt;=$U$4)*(_xlpm.d&lt;=$U$5),INDEX('Sales and count'!$G$4:$CC$300,$BF106,0))))</f>
        <v>766</v>
      </c>
      <c r="AT106" s="8" cm="1">
        <f t="array" ref="AT106">IF($AW106="",0,SUMPRODUCT((TRIM('LY Sales '!$B$5:$B$200)=$AW106)*('LY Sales '!$C$2:$AG$2&gt;=EDATE($U$4,-12))*('LY Sales '!$C$2:$AG$2&lt;=EDATE($U$5,-12)),'LY Sales '!$C$5:$AG$200))</f>
        <v>68271.95</v>
      </c>
      <c r="AU106" s="8" cm="1">
        <f t="array" ref="AU106">IF($AW106="",0,SUMPRODUCT((TRIM('LY Transaction'!$B$5:$B$200)=$AW106)*('LY Transaction'!$C$2:$AG$2&gt;=EDATE($U$4,-12))*('LY Transaction'!$C$2:$AG$2&lt;=EDATE($U$5,-12)),'LY Transaction'!$C$5:$AG$200))</f>
        <v>546</v>
      </c>
      <c r="AV106" s="8" cm="1">
        <f t="array" ref="AV106">IF(NOT(ISNUMBER($BG106)),0,SUMPRODUCT(('TY Sales Target'!$K$2:$AO$2&gt;=$U$4)*('TY Sales Target'!$K$2:$AO$2&lt;=$U$5),INDEX('TY Sales Target'!$K$5:$AO$300,$BG106,0)))</f>
        <v>181583.46681054161</v>
      </c>
      <c r="AW106" s="8" t="str" cm="1">
        <f t="array" ref="AW106">IFERROR(INDEX(_xlfn.ANCHORARRAY($BR$5),ROWS($AW$5:AW106)),"")</f>
        <v>HAKHURAIS</v>
      </c>
      <c r="BB106" cm="1">
        <f t="array" ref="BB106">IF($AW106="",0,SUMPRODUCT((TRIM(Footfall!$B$5:$B$301)=$AW106)*(Footfall!$C$1:$BZ$1&gt;=$U$4)*(Footfall!$C$2:$BZ$2&lt;=$U$5)*(Footfall!$C$1:$BZ$1&lt;&gt;""),Footfall!$C$5:$BZ$301))</f>
        <v>6477</v>
      </c>
      <c r="BC106" cm="1">
        <f t="array" aca="1" ref="BC106" ca="1">IF(OR($BB106&lt;=0,$BD$1="",$BF106=""),0,_xlfn.LET(_xlpm.d,IFERROR(--'Sales and count'!$F$2:$CB$2,0),SUMPRODUCT(('Sales and count'!$G$3:$CC$3="Transactions")*(_xlpm.d&gt;=$BD$1)*(_xlpm.d&lt;=$BD$2),INDEX('Sales and count'!$G$4:$CC$300,$BF106,0))))</f>
        <v>766</v>
      </c>
      <c r="BF106" cm="1">
        <f t="array" ref="BF106">IF($AW106="","",IFERROR(MATCH($AW106,TRIM('Sales and count'!$A$4:$A$300&amp;""),0),""))</f>
        <v>102</v>
      </c>
      <c r="BG106" cm="1">
        <f t="array" ref="BG106">IF($AW106="","",IFERROR(MATCH(IFERROR(_xlfn.XLOOKUP($AW106,$BT$5:$BT$22,$BU$5:$BU$22),$AW106),TRIM('TY Sales Target'!$B$5:$B$300&amp;""),0),""))</f>
        <v>51</v>
      </c>
      <c r="BH106" t="str" cm="1">
        <f t="array" ref="BH106">IF(ISNUMBER($BG106),_xlfn.LET(_xlpm.p,TRIM(INDEX('TY Sales Target'!$I$5:$I$300,$BG106)&amp;""),IF(_xlpm.p="","Not set",_xlpm.p)),"Not set")</f>
        <v>Smart Phone</v>
      </c>
      <c r="BI106" cm="1">
        <f t="array" ref="BI106">IF($BF106="",0,_xlfn.LET(_xlpm.d,IFERROR(--'Sales and count'!$G$2:$CC$2,0),SUMPRODUCT(('Sales and count'!$G$3:$CC$3="Total")*(_xlpm.d&gt;=$BZ$5)*(_xlpm.d&lt;=$BZ$6),INDEX('Sales and count'!$G$4:$CC$300,$BF106,0))))</f>
        <v>100462.65999999999</v>
      </c>
      <c r="BJ106" cm="1">
        <f t="array" ref="BJ106">IF($AW106="",0,SUMPRODUCT((TRIM('LY Sales '!$B$5:$B$200)=$AW106)*('LY Sales '!$C$2:$AG$2&gt;=EDATE($BZ$5,-12))*('LY Sales '!$C$2:$AG$2&lt;=EDATE($BZ$6,-12)),'LY Sales '!$C$5:$AG$200))</f>
        <v>68271.95</v>
      </c>
      <c r="BK106" cm="1">
        <f t="array" ref="BK106">IF($AW106="",0,SUMPRODUCT((TRIM('LY Sales '!$B$5:$B$200)=$AW106)*('LY Sales '!$C$2:$AG$2&gt;=EDATE($BZ$5,-12))*('LY Sales '!$C$2:$AG$2&lt;=EDATE($BZ$7,-12)),'LY Sales '!$C$5:$AG$200))</f>
        <v>98739.43</v>
      </c>
      <c r="BL106" cm="1">
        <f t="array" ref="BL106">IF($AW106="",0,SUMPRODUCT((TRIM('LY Sales '!$B$5:$B$200)=$AW106)*('LY Sales '!$C$2:$AG$2&gt;=EDATE($BZ$5,-12))*('LY Sales '!$C$2:$AG$2&lt;=EDATE($BZ$6,-12))*('LY Sales '!$C$5:$AG$200&gt;0)))</f>
        <v>22</v>
      </c>
      <c r="BM106" cm="1">
        <f t="array" ref="BM106">IF(NOT(ISNUMBER($BG106)),0,SUMPRODUCT(('TY Sales Target'!$K$2:$AO$2&gt;=$BZ$5)*('TY Sales Target'!$K$2:$AO$2&lt;=$BZ$6),INDEX('TY Sales Target'!$K$5:$AO$300,$BG106,0)))</f>
        <v>181583.46681054161</v>
      </c>
      <c r="BN106" cm="1">
        <f t="array" ref="BN106">IF(NOT(ISNUMBER($BG106)),0,SUMPRODUCT(('TY Sales Target'!$K$2:$AO$2&gt;=$BZ$5)*('TY Sales Target'!$K$2:$AO$2&lt;=$BZ$7),INDEX('TY Sales Target'!$K$5:$AO$300,$BG106,0)))</f>
        <v>237000.00000000003</v>
      </c>
      <c r="BO106" cm="1">
        <f t="array" ref="BO106">IF($AW106="",0,IFERROR(_xlfn.SWITCH($BP106,"LY trend",$BI106*$BK106/$BJ106,"Target curve",$BI106*$BN106/$BM106,"Run rate",$BI106/$BZ$8*$BZ$9,0),0))</f>
        <v>131122.34741526458</v>
      </c>
      <c r="BP106" t="str">
        <f t="shared" si="59"/>
        <v>Target curve</v>
      </c>
      <c r="BR106" t="str">
        <v>HAKHURAIS</v>
      </c>
      <c r="CB106" cm="1">
        <f t="array" ref="CB106">IF($AW106="",0,_xlfn.LET(_xlpm.k,IFERROR(_xlfn.XLOOKUP($AW106,$CD$6:$CD$21,$CE$6:$CE$21),$AW106),SUMPRODUCT((TRIM('Makeup '!$A$2:$A$300&amp;"")=_xlpm.k)*1,IFERROR('Makeup '!$F$2:$F$300*1,0))))</f>
        <v>4265.3100000000004</v>
      </c>
      <c r="CF106" t="str" cm="1">
        <f t="array" ref="CF106">IF($AW106="","",_xlfn.LET(_xlpm.c,IFERROR(TRIM(INDEX('Sales and count'!$B$4:$B$300,$BF106)&amp;""),""),IF(OR(_xlpm.c="",_xlpm.c="0",LEFT(_xlpm.c,1)="#"),"Not set",_xlpm.c)))</f>
        <v>KSA</v>
      </c>
      <c r="CH106" cm="1">
        <f t="array" ref="CH106">IF($AW106="",0,_xlfn.LET(_xlpm.k,IFERROR(_xlfn.XLOOKUP($AW106,$CD$6:$CD$21,$CE$6:$CE$21),$AW106),--(SUMPRODUCT((TRIM('Makeup '!$A$2:$A$300&amp;"")=_xlpm.k)*ISNUMBER('Makeup '!$F$2:$F$300))&gt;0)))</f>
        <v>1</v>
      </c>
      <c r="CI106">
        <f t="shared" si="62"/>
        <v>100462.65999999999</v>
      </c>
      <c r="CJ106" cm="1">
        <f t="array" ref="CJ106">IF($AW106="",0,--(SUMPRODUCT(--(TRIM(Footfall!$B$5:$B$301)=$AW106))&gt;0))</f>
        <v>1</v>
      </c>
      <c r="CK106" s="8" cm="1">
        <f t="array" ref="CK106">IF($AW106="",0,_xlfn.LET(_xlpm.r,IFERROR(MATCH(IFERROR(_xlfn.XLOOKUP($AW106,$BT$5:$BT$22,$BU$5:$BU$22),$AW106),TRIM('TY Beauty Target'!$B$5:$B$300&amp;""),0),""),IF(ISNUMBER(_xlpm.r),SUMPRODUCT(('TY Beauty Target'!$L$2:$AP$2&gt;=$U$4)*('TY Beauty Target'!$L$2:$AP$2&lt;=$U$5),INDEX('TY Beauty Target'!$L$5:$AP$300,_xlpm.r,0)),0)))</f>
        <v>9050.9165480750635</v>
      </c>
    </row>
    <row r="107" spans="1:89" ht="15" customHeight="1" x14ac:dyDescent="0.25">
      <c r="A107" s="38" t="str">
        <f t="shared" si="63"/>
        <v/>
      </c>
      <c r="B107" s="43" t="str" cm="1">
        <f t="array" ref="B107">IF($AI107="","",IF(LEFT($AI107,2)="C|",IF($C107="","",_xlfn.TEXTJOIN(", ",TRUE,_xlfn.UNIQUE(_xlfn._xlws.FILTER($AN$5:$AN$302,($AP$5:$AP$302=1)*($AO$5:$AO$302=$A107))))),IF($AI107="CT",B$13,IF(LEFT($AI107,3)="AM|",IF($C107="","",ROWS(_xlfn.UNIQUE(_xlfn._xlws.FILTER($AO$5:$AO$302,($AP$5:$AP$302=1)*($AN$5:$AN$302=$A107))))),IF(LEFT($AI107,2)="S|",IF($AG107="","",INDEX($AO$5:$AO$302,$AH107)),IF($AI107="HDR","City",""))))))</f>
        <v/>
      </c>
      <c r="C107" s="39" t="str" cm="1">
        <f t="array" ref="C107">IF($AI107="","",IF(LEFT($AI107,2)="C|",_xlfn.LET(_xlpm.n,SUMPRODUCT($AP$5:$AP$302*($AO$5:$AO$302=$A107)),IF(_xlpm.n=0,"",_xlpm.n)),IF($AI107="CT",C$13,IF(LEFT($AI107,3)="AM|",_xlfn.LET(_xlpm.n,SUMPRODUCT($AP$5:$AP$302*($AN$5:$AN$302=$A107)),IF(_xlpm.n=0,"",_xlpm.n)),IF(LEFT($AI107,2)="S|","",IF($AI107="HDR","# Stores",""))))))</f>
        <v/>
      </c>
      <c r="D107" s="40" t="str" cm="1">
        <f t="array" ref="D107">IF($AI107="","",IF(LEFT($AI107,2)="C|",IF($C107="","",SUMPRODUCT($AP$5:$AP$302*($AO$5:$AO$302=$A107),$AR$5:$AR$302)),IF($AI107="CT",D$13,IF(LEFT($AI107,3)="AM|",IF($C107="","",SUMPRODUCT($AP$5:$AP$302*($AN$5:$AN$302=$A107),$AR$5:$AR$302)),IF(LEFT($AI107,2)="S|",IF($AG107="","",INDEX($AR$5:$AR$302,$AH107)),IF($AI107="HDR","Sales TY",""))))))</f>
        <v/>
      </c>
      <c r="E107" s="40" t="str" cm="1">
        <f t="array" ref="E107">IF($AI107="","",IF(LEFT($AI107,2)="C|",IF($C107="","",SUMPRODUCT($AP$5:$AP$302*($AO$5:$AO$302=$A107),$AT$5:$AT$302)),IF($AI107="CT",E$13,IF(LEFT($AI107,3)="AM|",IF($C107="","",SUMPRODUCT($AP$5:$AP$302*($AN$5:$AN$302=$A107),$AT$5:$AT$302)),IF(LEFT($AI107,2)="S|",IF($AG107="","",INDEX($AT$5:$AT$302,$AH107)),IF($AI107="HDR","Sales LY",""))))))</f>
        <v/>
      </c>
      <c r="F107" s="41" t="str">
        <f t="shared" si="64"/>
        <v/>
      </c>
      <c r="G107" s="41" t="str">
        <f t="shared" si="65"/>
        <v/>
      </c>
      <c r="H107" s="40" t="str" cm="1">
        <f t="array" ref="H107">IF($AI107="","",IF(LEFT($AI107,2)="C|",IF($C107="","",SUMPRODUCT($AP$5:$AP$302*($AO$5:$AO$302=$A107),$AV$5:$AV$302)),IF($AI107="CT",H$13,IF(LEFT($AI107,3)="AM|",IF($C107="","",SUMPRODUCT($AP$5:$AP$302*($AN$5:$AN$302=$A107),$AV$5:$AV$302)),IF(LEFT($AI107,2)="S|",IF($AG107="","",INDEX($AV$5:$AV$302,$AH107)),IF($AI107="HDR","Target",""))))))</f>
        <v/>
      </c>
      <c r="I107" s="41" t="str">
        <f t="shared" si="66"/>
        <v/>
      </c>
      <c r="J107" s="40" t="str">
        <f t="shared" si="67"/>
        <v/>
      </c>
      <c r="K107" s="41" t="str">
        <f t="shared" si="68"/>
        <v/>
      </c>
      <c r="L107" s="40" t="str" cm="1">
        <f t="array" ref="L107">IF($AI107="","",IF(LEFT($AI107,2)="C|",IF($C107="","",SUMPRODUCT($AP$5:$AP$302*($AO$5:$AO$302=$A107),$BN$5:$BN$302)),IF($AI107="CT",L$13,IF(LEFT($AI107,3)="AM|",IF($C107="","",SUMPRODUCT($AP$5:$AP$302*($AN$5:$AN$302=$A107),$BN$5:$BN$302)),IF(LEFT($AI107,2)="S|",IF($AG107="","",INDEX($BN$5:$BN$302,$AH107)),IF($AI107="HDR","Month Target",""))))))</f>
        <v/>
      </c>
      <c r="M107" s="40" t="str" cm="1">
        <f t="array" ref="M107">IF($AI107="","",IF(LEFT($AI107,2)="C|",IF($C107="","",SUMPRODUCT($AP$5:$AP$302*($AO$5:$AO$302=$A107),$BO$5:$BO$302)),IF($AI107="CT",M$13,IF(LEFT($AI107,3)="AM|",IF($C107="","",SUMPRODUCT($AP$5:$AP$302*($AN$5:$AN$302=$A107),$BO$5:$BO$302)),IF(LEFT($AI107,2)="S|",IF($AG107="","",INDEX($BO$5:$BO$302,$AH107)),IF($AI107="HDR","Projected Close",""))))))</f>
        <v/>
      </c>
      <c r="N107" s="41" t="str">
        <f t="shared" si="76"/>
        <v/>
      </c>
      <c r="O107" s="41" t="str" cm="1">
        <f t="array" ref="O107">IF($AI107="HDR","Proj. vs LY",IF(OR($AI107="",M107=""),"",_xlfn.LET(_xlpm.ly,IF(LEFT($AI107,2)="C|",SUMPRODUCT($AP$5:$AP$302*($AO$5:$AO$302=$A107),$BK$5:$BK$302),IF($AI107="CT",SUMPRODUCT($AP$5:$AP$302,$BK$5:$BK$302),IF(LEFT($AI107,3)="AM|",SUMPRODUCT($AP$5:$AP$302*($AN$5:$AN$302=$A107),$BK$5:$BK$302),IF(LEFT($AI107,2)="S|",INDEX($BK$5:$BK$302,$AH107),0)))),IFERROR(M107/_xlpm.ly-1,""))))</f>
        <v/>
      </c>
      <c r="P107" s="40" t="str" cm="1">
        <f t="array" ref="P107">IF($AI107="","",IF(LEFT($AI107,2)="C|",IF($C107="","",SUMPRODUCT($AP$5:$AP$302*($AO$5:$AO$302=$A107),$AS$5:$AS$302)),IF($AI107="CT",P$13,IF(LEFT($AI107,3)="AM|",IF($C107="","",SUMPRODUCT($AP$5:$AP$302*($AN$5:$AN$302=$A107),$AS$5:$AS$302)),IF(LEFT($AI107,2)="S|",IF($AG107="","",INDEX($AS$5:$AS$302,$AH107)),IF($AI107="HDR","Trans TY",""))))))</f>
        <v/>
      </c>
      <c r="Q107" s="40" t="str" cm="1">
        <f t="array" ref="Q107">IF($AI107="","",IF(LEFT($AI107,2)="C|",IF($C107="","",SUMPRODUCT($AP$5:$AP$302*($AO$5:$AO$302=$A107),$AU$5:$AU$302)),IF($AI107="CT",Q$13,IF(LEFT($AI107,3)="AM|",IF($C107="","",SUMPRODUCT($AP$5:$AP$302*($AN$5:$AN$302=$A107),$AU$5:$AU$302)),IF(LEFT($AI107,2)="S|",IF($AG107="","",INDEX($AU$5:$AU$302,$AH107)),IF($AI107="HDR","Trans LY",""))))))</f>
        <v/>
      </c>
      <c r="R107" s="41" t="str">
        <f t="shared" si="69"/>
        <v/>
      </c>
      <c r="S107" s="41" t="str">
        <f t="shared" si="70"/>
        <v/>
      </c>
      <c r="T107" s="42" t="str">
        <f t="shared" si="71"/>
        <v/>
      </c>
      <c r="U107" s="42" t="str">
        <f t="shared" si="72"/>
        <v/>
      </c>
      <c r="V107" s="41" t="str">
        <f t="shared" si="73"/>
        <v/>
      </c>
      <c r="W107" s="40" t="str" cm="1">
        <f t="array" ref="W107">IF($AI107="","",IF(LEFT($AI107,2)="C|",_xlfn.LET(_xlpm.n,SUMPRODUCT($AP$5:$AP$302*($AO$5:$AO$302=$A107),$BB$5:$BB$302),IF(_xlpm.n=0,"",_xlpm.n)),IF($AI107="CT",W$13,IF(LEFT($AI107,3)="AM|",_xlfn.LET(_xlpm.n,SUMPRODUCT($AP$5:$AP$302*($AN$5:$AN$302=$A107),$BB$5:$BB$302),IF(_xlpm.n=0,"",_xlpm.n)),IF(LEFT($AI107,2)="S|",IF($AG107="","",_xlfn.LET(_xlpm.n,INDEX($BB$5:$BB$302,$AH107),IF(_xlpm.n=0,"",_xlpm.n))),IF($AI107="HDR","Footfall",""))))))</f>
        <v/>
      </c>
      <c r="X107" s="40" t="str" cm="1">
        <f t="array" ref="X107">IF($AI107="","",IF($AI107="HDR","Trans (FF stores)",IF(W107="","",IF(LEFT($AI107,2)="C|",SUMPRODUCT($AP$5:$AP$302*($AO$5:$AO$302=$A107),$BC$5:$BC$302),IF($AI107="CT",X$13,IF(LEFT($AI107,3)="AM|",SUMPRODUCT($AP$5:$AP$302*($AN$5:$AN$302=$A107),$BC$5:$BC$302),IF(LEFT($AI107,2)="S|",INDEX($BC$5:$BC$302,$AH107),"")))))))</f>
        <v/>
      </c>
      <c r="Y107" s="41" t="str">
        <f t="shared" si="77"/>
        <v/>
      </c>
      <c r="Z107" s="40" t="str" cm="1">
        <f t="array" ref="Z107">IF($AI107="","",IF(LEFT($AI107,2)="C|",IF($C107="","",SUMPRODUCT($AP$5:$AP$302*($AO$5:$AO$302=$A107),$CB$5:$CB$302)),IF($AI107="CT",Z$13,IF(LEFT($AI107,3)="AM|",IF($C107="","",SUMPRODUCT($AP$5:$AP$302*($AN$5:$AN$302=$A107),$CB$5:$CB$302)),IF(LEFT($AI107,2)="S|",IF($AG107="","",INDEX($CB$5:$CB$302,$AH107)),IF($AI107="HDR","Makeup Sales",""))))))</f>
        <v/>
      </c>
      <c r="AA107" s="41" t="str">
        <f t="shared" si="74"/>
        <v/>
      </c>
      <c r="AB107" s="40" t="str" cm="1">
        <f t="array" ref="AB107">IF($AI107="","",IF(LEFT($AI107,2)="C|",IF($C107="","",SUMPRODUCT($AP$5:$AP$302*($AO$5:$AO$302=$A107),$CK$5:$CK$302)),IF($AI107="CT",AB$13,IF(LEFT($AI107,3)="AM|",IF($C107="","",SUMPRODUCT($AP$5:$AP$302*($AN$5:$AN$302=$A107),$CK$5:$CK$302)),IF(LEFT($AI107,2)="S|",IF($AG107="","",INDEX($CK$5:$CK$302,$AH107)),IF($AI107="HDR","Makeup Target",""))))))</f>
        <v/>
      </c>
      <c r="AC107" s="41" t="str">
        <f t="shared" si="78"/>
        <v/>
      </c>
      <c r="AD107" s="40" t="str" cm="1">
        <f t="array" ref="AD107">IF($AI107="","",IF(LEFT($AI107,2)="C|",IF($C107="","",SUMPRODUCT($AP$5:$AP$302*($AO$5:$AO$302=$A107),$CI$5:$CI$302)),IF($AI107="CT",AD$13,IF(LEFT($AI107,3)="AM|",IF($C107="","",SUMPRODUCT($AP$5:$AP$302*($AN$5:$AN$302=$A107),$CI$5:$CI$302)),IF(LEFT($AI107,2)="S|",IF($AG107="","",INDEX($CI$5:$CI$302,$AH107)),IF($AI107="HDR","Cosmetic Sales",""))))))</f>
        <v/>
      </c>
      <c r="AE107" s="8" t="str" cm="1">
        <f t="array" ref="AE107">IF($AI107="","",IF(LEFT($AI107,2)="C|",IF($C107="","",SUMPRODUCT($AP$5:$AP$302*($AO$5:$AO$302=$A107)*$AQ$5:$AQ$302,$AR$5:$AR$302)),IF($AI107="CT",AE$13,IF(LEFT($AI107,3)="AM|",IF($C107="","",SUMPRODUCT($AP$5:$AP$302*($AN$5:$AN$302=$A107)*$AQ$5:$AQ$302,$AR$5:$AR$302)),IF(LEFT($AI107,2)="S|",IF($AG107="","",IF(INDEX($AQ$5:$AQ$302,$AH107)=1,D107,0)),IF($AI107="HDR","LFL Sales",""))))))</f>
        <v/>
      </c>
      <c r="AF107" s="8" t="str" cm="1">
        <f t="array" ref="AF107">IF($AI107="","",IF(LEFT($AI107,2)="C|",IF($C107="","",SUMPRODUCT($AP$5:$AP$302*($AO$5:$AO$302=$A107)*$AQ$5:$AQ$302,$AS$5:$AS$302)),IF($AI107="CT",AF$13,IF(LEFT($AI107,3)="AM|",IF($C107="","",SUMPRODUCT($AP$5:$AP$302*($AN$5:$AN$302=$A107)*$AQ$5:$AQ$302,$AS$5:$AS$302)),IF(LEFT($AI107,2)="S|",IF($AG107="","",IF(INDEX($AQ$5:$AQ$302,$AH107)=1,P107,0)),IF($AI107="HDR","LFL Trans",""))))))</f>
        <v/>
      </c>
      <c r="AG107" s="8" t="str" cm="1">
        <f t="array" ref="AG107">IF($AI107="","",IF(LEFT($AI107,2)="C|","",IF($AI107="CT","",IF(LEFT($AI107,3)="AM|","",IF(LEFT($AI107,2)="S|",IF($AH107="","",IF(INDEX($AP$5:$AP$302,$AH107)=1,1,"")),IF($AI107="HDR","Show",""))))))</f>
        <v/>
      </c>
      <c r="AH107" s="8" t="str">
        <f t="shared" si="75"/>
        <v/>
      </c>
      <c r="AI107" s="8"/>
      <c r="AN107" s="8" t="str" cm="1">
        <f t="array" ref="AN107">IF($AW107="","",_xlfn.LET(_xlpm.sa,IFERROR(TRIM(INDEX('Sales and count'!$D$4:$D$300,$BF107)&amp;""),""),_xlpm.ta,IFERROR(TRIM(INDEX('TY Sales Target'!$F$5:$F$300,$BG107)&amp;""),""),IF(AND(_xlpm.sa&lt;&gt;"",LEFT(_xlpm.sa,1)&lt;&gt;"#",_xlpm.sa&lt;&gt;"0"),_xlpm.sa,IF(AND(_xlpm.ta&lt;&gt;"",LEFT(_xlpm.ta,1)&lt;&gt;"#",_xlpm.ta&lt;&gt;"0"),_xlpm.ta,IF(ISNUMBER($BG107),"Unassigned","")))))</f>
        <v>Saleh Bin Hoiel</v>
      </c>
      <c r="AO107" s="8" t="str" cm="1">
        <f t="array" ref="AO107">IF($AW107="","",_xlfn.LET(_xlpm.sa,IFERROR(TRIM(INDEX('Sales and count'!$C$4:$C$300,$BF107)&amp;""),""),_xlpm.ta,IFERROR(TRIM(INDEX('TY Sales Target'!$D$5:$D$300,$BG107)&amp;""),""),IF(AND(_xlpm.sa&lt;&gt;"",LEFT(_xlpm.sa,1)&lt;&gt;"#",_xlpm.sa&lt;&gt;"0"),_xlpm.sa,IF(AND(_xlpm.ta&lt;&gt;"",LEFT(_xlpm.ta,1)&lt;&gt;"#",_xlpm.ta&lt;&gt;"0"),_xlpm.ta,""))))</f>
        <v>Taif</v>
      </c>
      <c r="AP107" s="8">
        <f t="shared" si="60"/>
        <v>1</v>
      </c>
      <c r="AQ107" s="8">
        <f t="shared" si="61"/>
        <v>1</v>
      </c>
      <c r="AR107" s="8" cm="1">
        <f t="array" ref="AR107">IF($BF107="",0,_xlfn.LET(_xlpm.d,IFERROR(--'Sales and count'!$G$2:$CC$2,0),SUMPRODUCT(('Sales and count'!$G$3:$CC$3="Total")*(_xlpm.d&gt;=$U$4)*(_xlpm.d&lt;=$U$5),INDEX('Sales and count'!$G$4:$CC$300,$BF107,0))))</f>
        <v>96553.689999999973</v>
      </c>
      <c r="AS107" s="8" cm="1">
        <f t="array" aca="1" ref="AS107" ca="1">IF($BF107="",0,_xlfn.LET(_xlpm.d,IFERROR(--'Sales and count'!$F$2:$CB$2,0),SUMPRODUCT(('Sales and count'!$G$3:$CC$3="Transactions")*(_xlpm.d&gt;=$U$4)*(_xlpm.d&lt;=$U$5),INDEX('Sales and count'!$G$4:$CC$300,$BF107,0))))</f>
        <v>820</v>
      </c>
      <c r="AT107" s="8" cm="1">
        <f t="array" ref="AT107">IF($AW107="",0,SUMPRODUCT((TRIM('LY Sales '!$B$5:$B$200)=$AW107)*('LY Sales '!$C$2:$AG$2&gt;=EDATE($U$4,-12))*('LY Sales '!$C$2:$AG$2&lt;=EDATE($U$5,-12)),'LY Sales '!$C$5:$AG$200))</f>
        <v>151839.33000000002</v>
      </c>
      <c r="AU107" s="8" cm="1">
        <f t="array" ref="AU107">IF($AW107="",0,SUMPRODUCT((TRIM('LY Transaction'!$B$5:$B$200)=$AW107)*('LY Transaction'!$C$2:$AG$2&gt;=EDATE($U$4,-12))*('LY Transaction'!$C$2:$AG$2&lt;=EDATE($U$5,-12)),'LY Transaction'!$C$5:$AG$200))</f>
        <v>1275</v>
      </c>
      <c r="AV107" s="8" cm="1">
        <f t="array" ref="AV107">IF(NOT(ISNUMBER($BG107)),0,SUMPRODUCT(('TY Sales Target'!$K$2:$AO$2&gt;=$U$4)*('TY Sales Target'!$K$2:$AO$2&lt;=$U$5),INDEX('TY Sales Target'!$K$5:$AO$300,$BG107,0)))</f>
        <v>191160.06075691429</v>
      </c>
      <c r="AW107" s="8" t="str" cm="1">
        <f t="array" ref="AW107">IFERROR(INDEX(_xlfn.ANCHORARRAY($BR$5),ROWS($AW$5:AW107)),"")</f>
        <v>HATAIFJRY</v>
      </c>
      <c r="BB107" cm="1">
        <f t="array" ref="BB107">IF($AW107="",0,SUMPRODUCT((TRIM(Footfall!$B$5:$B$301)=$AW107)*(Footfall!$C$1:$BZ$1&gt;=$U$4)*(Footfall!$C$2:$BZ$2&lt;=$U$5)*(Footfall!$C$1:$BZ$1&lt;&gt;""),Footfall!$C$5:$BZ$301))</f>
        <v>5426</v>
      </c>
      <c r="BC107" cm="1">
        <f t="array" aca="1" ref="BC107" ca="1">IF(OR($BB107&lt;=0,$BD$1="",$BF107=""),0,_xlfn.LET(_xlpm.d,IFERROR(--'Sales and count'!$F$2:$CB$2,0),SUMPRODUCT(('Sales and count'!$G$3:$CC$3="Transactions")*(_xlpm.d&gt;=$BD$1)*(_xlpm.d&lt;=$BD$2),INDEX('Sales and count'!$G$4:$CC$300,$BF107,0))))</f>
        <v>820</v>
      </c>
      <c r="BF107" cm="1">
        <f t="array" ref="BF107">IF($AW107="","",IFERROR(MATCH($AW107,TRIM('Sales and count'!$A$4:$A$300&amp;""),0),""))</f>
        <v>103</v>
      </c>
      <c r="BG107" cm="1">
        <f t="array" ref="BG107">IF($AW107="","",IFERROR(MATCH(IFERROR(_xlfn.XLOOKUP($AW107,$BT$5:$BT$22,$BU$5:$BU$22),$AW107),TRIM('TY Sales Target'!$B$5:$B$300&amp;""),0),""))</f>
        <v>48</v>
      </c>
      <c r="BH107" t="str" cm="1">
        <f t="array" ref="BH107">IF(ISNUMBER($BG107),_xlfn.LET(_xlpm.p,TRIM(INDEX('TY Sales Target'!$I$5:$I$300,$BG107)&amp;""),IF(_xlpm.p="","Not set",_xlpm.p)),"Not set")</f>
        <v>Smart Phone</v>
      </c>
      <c r="BI107" cm="1">
        <f t="array" ref="BI107">IF($BF107="",0,_xlfn.LET(_xlpm.d,IFERROR(--'Sales and count'!$G$2:$CC$2,0),SUMPRODUCT(('Sales and count'!$G$3:$CC$3="Total")*(_xlpm.d&gt;=$BZ$5)*(_xlpm.d&lt;=$BZ$6),INDEX('Sales and count'!$G$4:$CC$300,$BF107,0))))</f>
        <v>96553.689999999973</v>
      </c>
      <c r="BJ107" cm="1">
        <f t="array" ref="BJ107">IF($AW107="",0,SUMPRODUCT((TRIM('LY Sales '!$B$5:$B$200)=$AW107)*('LY Sales '!$C$2:$AG$2&gt;=EDATE($BZ$5,-12))*('LY Sales '!$C$2:$AG$2&lt;=EDATE($BZ$6,-12)),'LY Sales '!$C$5:$AG$200))</f>
        <v>151839.33000000002</v>
      </c>
      <c r="BK107" cm="1">
        <f t="array" ref="BK107">IF($AW107="",0,SUMPRODUCT((TRIM('LY Sales '!$B$5:$B$200)=$AW107)*('LY Sales '!$C$2:$AG$2&gt;=EDATE($BZ$5,-12))*('LY Sales '!$C$2:$AG$2&lt;=EDATE($BZ$7,-12)),'LY Sales '!$C$5:$AG$200))</f>
        <v>189884.74000000002</v>
      </c>
      <c r="BL107" cm="1">
        <f t="array" ref="BL107">IF($AW107="",0,SUMPRODUCT((TRIM('LY Sales '!$B$5:$B$200)=$AW107)*('LY Sales '!$C$2:$AG$2&gt;=EDATE($BZ$5,-12))*('LY Sales '!$C$2:$AG$2&lt;=EDATE($BZ$6,-12))*('LY Sales '!$C$5:$AG$200&gt;0)))</f>
        <v>26</v>
      </c>
      <c r="BM107" cm="1">
        <f t="array" ref="BM107">IF(NOT(ISNUMBER($BG107)),0,SUMPRODUCT(('TY Sales Target'!$K$2:$AO$2&gt;=$BZ$5)*('TY Sales Target'!$K$2:$AO$2&lt;=$BZ$6),INDEX('TY Sales Target'!$K$5:$AO$300,$BG107,0)))</f>
        <v>191160.06075691429</v>
      </c>
      <c r="BN107" cm="1">
        <f t="array" ref="BN107">IF(NOT(ISNUMBER($BG107)),0,SUMPRODUCT(('TY Sales Target'!$K$2:$AO$2&gt;=$BZ$5)*('TY Sales Target'!$K$2:$AO$2&lt;=$BZ$7),INDEX('TY Sales Target'!$K$5:$AO$300,$BG107,0)))</f>
        <v>249499.22586651795</v>
      </c>
      <c r="BO107" cm="1">
        <f t="array" ref="BO107">IF($AW107="",0,IFERROR(_xlfn.SWITCH($BP107,"LY trend",$BI107*$BK107/$BJ107,"Target curve",$BI107*$BN107/$BM107,"Run rate",$BI107/$BZ$8*$BZ$9,0),0))</f>
        <v>120746.53070249056</v>
      </c>
      <c r="BP107" t="str">
        <f t="shared" si="59"/>
        <v>LY trend</v>
      </c>
      <c r="BR107" t="str">
        <v>HATAIFJRY</v>
      </c>
      <c r="CB107" cm="1">
        <f t="array" ref="CB107">IF($AW107="",0,_xlfn.LET(_xlpm.k,IFERROR(_xlfn.XLOOKUP($AW107,$CD$6:$CD$21,$CE$6:$CE$21),$AW107),SUMPRODUCT((TRIM('Makeup '!$A$2:$A$300&amp;"")=_xlpm.k)*1,IFERROR('Makeup '!$F$2:$F$300*1,0))))</f>
        <v>9906.74</v>
      </c>
      <c r="CF107" t="str" cm="1">
        <f t="array" ref="CF107">IF($AW107="","",_xlfn.LET(_xlpm.c,IFERROR(TRIM(INDEX('Sales and count'!$B$4:$B$300,$BF107)&amp;""),""),IF(OR(_xlpm.c="",_xlpm.c="0",LEFT(_xlpm.c,1)="#"),"Not set",_xlpm.c)))</f>
        <v>KSA</v>
      </c>
      <c r="CH107" cm="1">
        <f t="array" ref="CH107">IF($AW107="",0,_xlfn.LET(_xlpm.k,IFERROR(_xlfn.XLOOKUP($AW107,$CD$6:$CD$21,$CE$6:$CE$21),$AW107),--(SUMPRODUCT((TRIM('Makeup '!$A$2:$A$300&amp;"")=_xlpm.k)*ISNUMBER('Makeup '!$F$2:$F$300))&gt;0)))</f>
        <v>1</v>
      </c>
      <c r="CI107">
        <f t="shared" si="62"/>
        <v>96553.689999999973</v>
      </c>
      <c r="CJ107" cm="1">
        <f t="array" ref="CJ107">IF($AW107="",0,--(SUMPRODUCT(--(TRIM(Footfall!$B$5:$B$301)=$AW107))&gt;0))</f>
        <v>1</v>
      </c>
      <c r="CK107" s="8" cm="1">
        <f t="array" ref="CK107">IF($AW107="",0,_xlfn.LET(_xlpm.r,IFERROR(MATCH(IFERROR(_xlfn.XLOOKUP($AW107,$BT$5:$BT$22,$BU$5:$BU$22),$AW107),TRIM('TY Beauty Target'!$B$5:$B$300&amp;""),0),""),IF(ISNUMBER(_xlpm.r),SUMPRODUCT(('TY Beauty Target'!$L$2:$AP$2&gt;=$U$4)*('TY Beauty Target'!$L$2:$AP$2&lt;=$U$5),INDEX('TY Beauty Target'!$L$5:$AP$300,_xlpm.r,0)),0)))</f>
        <v>18365.840872555447</v>
      </c>
    </row>
    <row r="108" spans="1:89" ht="15" customHeight="1" x14ac:dyDescent="0.25">
      <c r="A108" s="38" t="str">
        <f t="shared" si="63"/>
        <v/>
      </c>
      <c r="B108" s="43" t="str" cm="1">
        <f t="array" ref="B108">IF($AI108="","",IF(LEFT($AI108,2)="C|",IF($C108="","",_xlfn.TEXTJOIN(", ",TRUE,_xlfn.UNIQUE(_xlfn._xlws.FILTER($AN$5:$AN$302,($AP$5:$AP$302=1)*($AO$5:$AO$302=$A108))))),IF($AI108="CT",B$13,IF(LEFT($AI108,3)="AM|",IF($C108="","",ROWS(_xlfn.UNIQUE(_xlfn._xlws.FILTER($AO$5:$AO$302,($AP$5:$AP$302=1)*($AN$5:$AN$302=$A108))))),IF(LEFT($AI108,2)="S|",IF($AG108="","",INDEX($AO$5:$AO$302,$AH108)),IF($AI108="HDR","City",""))))))</f>
        <v/>
      </c>
      <c r="C108" s="39" t="str" cm="1">
        <f t="array" ref="C108">IF($AI108="","",IF(LEFT($AI108,2)="C|",_xlfn.LET(_xlpm.n,SUMPRODUCT($AP$5:$AP$302*($AO$5:$AO$302=$A108)),IF(_xlpm.n=0,"",_xlpm.n)),IF($AI108="CT",C$13,IF(LEFT($AI108,3)="AM|",_xlfn.LET(_xlpm.n,SUMPRODUCT($AP$5:$AP$302*($AN$5:$AN$302=$A108)),IF(_xlpm.n=0,"",_xlpm.n)),IF(LEFT($AI108,2)="S|","",IF($AI108="HDR","# Stores",""))))))</f>
        <v/>
      </c>
      <c r="D108" s="40" t="str" cm="1">
        <f t="array" ref="D108">IF($AI108="","",IF(LEFT($AI108,2)="C|",IF($C108="","",SUMPRODUCT($AP$5:$AP$302*($AO$5:$AO$302=$A108),$AR$5:$AR$302)),IF($AI108="CT",D$13,IF(LEFT($AI108,3)="AM|",IF($C108="","",SUMPRODUCT($AP$5:$AP$302*($AN$5:$AN$302=$A108),$AR$5:$AR$302)),IF(LEFT($AI108,2)="S|",IF($AG108="","",INDEX($AR$5:$AR$302,$AH108)),IF($AI108="HDR","Sales TY",""))))))</f>
        <v/>
      </c>
      <c r="E108" s="40" t="str" cm="1">
        <f t="array" ref="E108">IF($AI108="","",IF(LEFT($AI108,2)="C|",IF($C108="","",SUMPRODUCT($AP$5:$AP$302*($AO$5:$AO$302=$A108),$AT$5:$AT$302)),IF($AI108="CT",E$13,IF(LEFT($AI108,3)="AM|",IF($C108="","",SUMPRODUCT($AP$5:$AP$302*($AN$5:$AN$302=$A108),$AT$5:$AT$302)),IF(LEFT($AI108,2)="S|",IF($AG108="","",INDEX($AT$5:$AT$302,$AH108)),IF($AI108="HDR","Sales LY",""))))))</f>
        <v/>
      </c>
      <c r="F108" s="41" t="str">
        <f t="shared" si="64"/>
        <v/>
      </c>
      <c r="G108" s="41" t="str">
        <f t="shared" si="65"/>
        <v/>
      </c>
      <c r="H108" s="40" t="str" cm="1">
        <f t="array" ref="H108">IF($AI108="","",IF(LEFT($AI108,2)="C|",IF($C108="","",SUMPRODUCT($AP$5:$AP$302*($AO$5:$AO$302=$A108),$AV$5:$AV$302)),IF($AI108="CT",H$13,IF(LEFT($AI108,3)="AM|",IF($C108="","",SUMPRODUCT($AP$5:$AP$302*($AN$5:$AN$302=$A108),$AV$5:$AV$302)),IF(LEFT($AI108,2)="S|",IF($AG108="","",INDEX($AV$5:$AV$302,$AH108)),IF($AI108="HDR","Target",""))))))</f>
        <v/>
      </c>
      <c r="I108" s="41" t="str">
        <f t="shared" si="66"/>
        <v/>
      </c>
      <c r="J108" s="40" t="str">
        <f t="shared" si="67"/>
        <v/>
      </c>
      <c r="K108" s="41" t="str">
        <f t="shared" si="68"/>
        <v/>
      </c>
      <c r="L108" s="40" t="str" cm="1">
        <f t="array" ref="L108">IF($AI108="","",IF(LEFT($AI108,2)="C|",IF($C108="","",SUMPRODUCT($AP$5:$AP$302*($AO$5:$AO$302=$A108),$BN$5:$BN$302)),IF($AI108="CT",L$13,IF(LEFT($AI108,3)="AM|",IF($C108="","",SUMPRODUCT($AP$5:$AP$302*($AN$5:$AN$302=$A108),$BN$5:$BN$302)),IF(LEFT($AI108,2)="S|",IF($AG108="","",INDEX($BN$5:$BN$302,$AH108)),IF($AI108="HDR","Month Target",""))))))</f>
        <v/>
      </c>
      <c r="M108" s="40" t="str" cm="1">
        <f t="array" ref="M108">IF($AI108="","",IF(LEFT($AI108,2)="C|",IF($C108="","",SUMPRODUCT($AP$5:$AP$302*($AO$5:$AO$302=$A108),$BO$5:$BO$302)),IF($AI108="CT",M$13,IF(LEFT($AI108,3)="AM|",IF($C108="","",SUMPRODUCT($AP$5:$AP$302*($AN$5:$AN$302=$A108),$BO$5:$BO$302)),IF(LEFT($AI108,2)="S|",IF($AG108="","",INDEX($BO$5:$BO$302,$AH108)),IF($AI108="HDR","Projected Close",""))))))</f>
        <v/>
      </c>
      <c r="N108" s="41" t="str">
        <f t="shared" si="76"/>
        <v/>
      </c>
      <c r="O108" s="41" t="str" cm="1">
        <f t="array" ref="O108">IF($AI108="HDR","Proj. vs LY",IF(OR($AI108="",M108=""),"",_xlfn.LET(_xlpm.ly,IF(LEFT($AI108,2)="C|",SUMPRODUCT($AP$5:$AP$302*($AO$5:$AO$302=$A108),$BK$5:$BK$302),IF($AI108="CT",SUMPRODUCT($AP$5:$AP$302,$BK$5:$BK$302),IF(LEFT($AI108,3)="AM|",SUMPRODUCT($AP$5:$AP$302*($AN$5:$AN$302=$A108),$BK$5:$BK$302),IF(LEFT($AI108,2)="S|",INDEX($BK$5:$BK$302,$AH108),0)))),IFERROR(M108/_xlpm.ly-1,""))))</f>
        <v/>
      </c>
      <c r="P108" s="40" t="str" cm="1">
        <f t="array" ref="P108">IF($AI108="","",IF(LEFT($AI108,2)="C|",IF($C108="","",SUMPRODUCT($AP$5:$AP$302*($AO$5:$AO$302=$A108),$AS$5:$AS$302)),IF($AI108="CT",P$13,IF(LEFT($AI108,3)="AM|",IF($C108="","",SUMPRODUCT($AP$5:$AP$302*($AN$5:$AN$302=$A108),$AS$5:$AS$302)),IF(LEFT($AI108,2)="S|",IF($AG108="","",INDEX($AS$5:$AS$302,$AH108)),IF($AI108="HDR","Trans TY",""))))))</f>
        <v/>
      </c>
      <c r="Q108" s="40" t="str" cm="1">
        <f t="array" ref="Q108">IF($AI108="","",IF(LEFT($AI108,2)="C|",IF($C108="","",SUMPRODUCT($AP$5:$AP$302*($AO$5:$AO$302=$A108),$AU$5:$AU$302)),IF($AI108="CT",Q$13,IF(LEFT($AI108,3)="AM|",IF($C108="","",SUMPRODUCT($AP$5:$AP$302*($AN$5:$AN$302=$A108),$AU$5:$AU$302)),IF(LEFT($AI108,2)="S|",IF($AG108="","",INDEX($AU$5:$AU$302,$AH108)),IF($AI108="HDR","Trans LY",""))))))</f>
        <v/>
      </c>
      <c r="R108" s="41" t="str">
        <f t="shared" si="69"/>
        <v/>
      </c>
      <c r="S108" s="41" t="str">
        <f t="shared" si="70"/>
        <v/>
      </c>
      <c r="T108" s="42" t="str">
        <f t="shared" si="71"/>
        <v/>
      </c>
      <c r="U108" s="42" t="str">
        <f t="shared" si="72"/>
        <v/>
      </c>
      <c r="V108" s="41" t="str">
        <f t="shared" si="73"/>
        <v/>
      </c>
      <c r="W108" s="40" t="str" cm="1">
        <f t="array" ref="W108">IF($AI108="","",IF(LEFT($AI108,2)="C|",_xlfn.LET(_xlpm.n,SUMPRODUCT($AP$5:$AP$302*($AO$5:$AO$302=$A108),$BB$5:$BB$302),IF(_xlpm.n=0,"",_xlpm.n)),IF($AI108="CT",W$13,IF(LEFT($AI108,3)="AM|",_xlfn.LET(_xlpm.n,SUMPRODUCT($AP$5:$AP$302*($AN$5:$AN$302=$A108),$BB$5:$BB$302),IF(_xlpm.n=0,"",_xlpm.n)),IF(LEFT($AI108,2)="S|",IF($AG108="","",_xlfn.LET(_xlpm.n,INDEX($BB$5:$BB$302,$AH108),IF(_xlpm.n=0,"",_xlpm.n))),IF($AI108="HDR","Footfall",""))))))</f>
        <v/>
      </c>
      <c r="X108" s="40" t="str" cm="1">
        <f t="array" ref="X108">IF($AI108="","",IF($AI108="HDR","Trans (FF stores)",IF(W108="","",IF(LEFT($AI108,2)="C|",SUMPRODUCT($AP$5:$AP$302*($AO$5:$AO$302=$A108),$BC$5:$BC$302),IF($AI108="CT",X$13,IF(LEFT($AI108,3)="AM|",SUMPRODUCT($AP$5:$AP$302*($AN$5:$AN$302=$A108),$BC$5:$BC$302),IF(LEFT($AI108,2)="S|",INDEX($BC$5:$BC$302,$AH108),"")))))))</f>
        <v/>
      </c>
      <c r="Y108" s="41" t="str">
        <f t="shared" si="77"/>
        <v/>
      </c>
      <c r="Z108" s="40" t="str" cm="1">
        <f t="array" ref="Z108">IF($AI108="","",IF(LEFT($AI108,2)="C|",IF($C108="","",SUMPRODUCT($AP$5:$AP$302*($AO$5:$AO$302=$A108),$CB$5:$CB$302)),IF($AI108="CT",Z$13,IF(LEFT($AI108,3)="AM|",IF($C108="","",SUMPRODUCT($AP$5:$AP$302*($AN$5:$AN$302=$A108),$CB$5:$CB$302)),IF(LEFT($AI108,2)="S|",IF($AG108="","",INDEX($CB$5:$CB$302,$AH108)),IF($AI108="HDR","Makeup Sales",""))))))</f>
        <v/>
      </c>
      <c r="AA108" s="41" t="str">
        <f t="shared" si="74"/>
        <v/>
      </c>
      <c r="AB108" s="40" t="str" cm="1">
        <f t="array" ref="AB108">IF($AI108="","",IF(LEFT($AI108,2)="C|",IF($C108="","",SUMPRODUCT($AP$5:$AP$302*($AO$5:$AO$302=$A108),$CK$5:$CK$302)),IF($AI108="CT",AB$13,IF(LEFT($AI108,3)="AM|",IF($C108="","",SUMPRODUCT($AP$5:$AP$302*($AN$5:$AN$302=$A108),$CK$5:$CK$302)),IF(LEFT($AI108,2)="S|",IF($AG108="","",INDEX($CK$5:$CK$302,$AH108)),IF($AI108="HDR","Makeup Target",""))))))</f>
        <v/>
      </c>
      <c r="AC108" s="41" t="str">
        <f t="shared" si="78"/>
        <v/>
      </c>
      <c r="AD108" s="40" t="str" cm="1">
        <f t="array" ref="AD108">IF($AI108="","",IF(LEFT($AI108,2)="C|",IF($C108="","",SUMPRODUCT($AP$5:$AP$302*($AO$5:$AO$302=$A108),$CI$5:$CI$302)),IF($AI108="CT",AD$13,IF(LEFT($AI108,3)="AM|",IF($C108="","",SUMPRODUCT($AP$5:$AP$302*($AN$5:$AN$302=$A108),$CI$5:$CI$302)),IF(LEFT($AI108,2)="S|",IF($AG108="","",INDEX($CI$5:$CI$302,$AH108)),IF($AI108="HDR","Cosmetic Sales",""))))))</f>
        <v/>
      </c>
      <c r="AE108" s="8" t="str" cm="1">
        <f t="array" ref="AE108">IF($AI108="","",IF(LEFT($AI108,2)="C|",IF($C108="","",SUMPRODUCT($AP$5:$AP$302*($AO$5:$AO$302=$A108)*$AQ$5:$AQ$302,$AR$5:$AR$302)),IF($AI108="CT",AE$13,IF(LEFT($AI108,3)="AM|",IF($C108="","",SUMPRODUCT($AP$5:$AP$302*($AN$5:$AN$302=$A108)*$AQ$5:$AQ$302,$AR$5:$AR$302)),IF(LEFT($AI108,2)="S|",IF($AG108="","",IF(INDEX($AQ$5:$AQ$302,$AH108)=1,D108,0)),IF($AI108="HDR","LFL Sales",""))))))</f>
        <v/>
      </c>
      <c r="AF108" s="8" t="str" cm="1">
        <f t="array" ref="AF108">IF($AI108="","",IF(LEFT($AI108,2)="C|",IF($C108="","",SUMPRODUCT($AP$5:$AP$302*($AO$5:$AO$302=$A108)*$AQ$5:$AQ$302,$AS$5:$AS$302)),IF($AI108="CT",AF$13,IF(LEFT($AI108,3)="AM|",IF($C108="","",SUMPRODUCT($AP$5:$AP$302*($AN$5:$AN$302=$A108)*$AQ$5:$AQ$302,$AS$5:$AS$302)),IF(LEFT($AI108,2)="S|",IF($AG108="","",IF(INDEX($AQ$5:$AQ$302,$AH108)=1,P108,0)),IF($AI108="HDR","LFL Trans",""))))))</f>
        <v/>
      </c>
      <c r="AG108" s="8" t="str" cm="1">
        <f t="array" ref="AG108">IF($AI108="","",IF(LEFT($AI108,2)="C|","",IF($AI108="CT","",IF(LEFT($AI108,3)="AM|","",IF(LEFT($AI108,2)="S|",IF($AH108="","",IF(INDEX($AP$5:$AP$302,$AH108)=1,1,"")),IF($AI108="HDR","Show",""))))))</f>
        <v/>
      </c>
      <c r="AH108" s="8" t="str">
        <f t="shared" si="75"/>
        <v/>
      </c>
      <c r="AI108" s="8"/>
      <c r="AN108" s="8" t="str" cm="1">
        <f t="array" ref="AN108">IF($AW108="","",_xlfn.LET(_xlpm.sa,IFERROR(TRIM(INDEX('Sales and count'!$D$4:$D$300,$BF108)&amp;""),""),_xlpm.ta,IFERROR(TRIM(INDEX('TY Sales Target'!$F$5:$F$300,$BG108)&amp;""),""),IF(AND(_xlpm.sa&lt;&gt;"",LEFT(_xlpm.sa,1)&lt;&gt;"#",_xlpm.sa&lt;&gt;"0"),_xlpm.sa,IF(AND(_xlpm.ta&lt;&gt;"",LEFT(_xlpm.ta,1)&lt;&gt;"#",_xlpm.ta&lt;&gt;"0"),_xlpm.ta,IF(ISNUMBER($BG108),"Unassigned","")))))</f>
        <v>Ahmed Jaffari</v>
      </c>
      <c r="AO108" s="8" t="str" cm="1">
        <f t="array" ref="AO108">IF($AW108="","",_xlfn.LET(_xlpm.sa,IFERROR(TRIM(INDEX('Sales and count'!$C$4:$C$300,$BF108)&amp;""),""),_xlpm.ta,IFERROR(TRIM(INDEX('TY Sales Target'!$D$5:$D$300,$BG108)&amp;""),""),IF(AND(_xlpm.sa&lt;&gt;"",LEFT(_xlpm.sa,1)&lt;&gt;"#",_xlpm.sa&lt;&gt;"0"),_xlpm.sa,IF(AND(_xlpm.ta&lt;&gt;"",LEFT(_xlpm.ta,1)&lt;&gt;"#",_xlpm.ta&lt;&gt;"0"),_xlpm.ta,""))))</f>
        <v>Abha</v>
      </c>
      <c r="AP108" s="8">
        <f t="shared" si="60"/>
        <v>0</v>
      </c>
      <c r="AQ108" s="8">
        <f t="shared" si="61"/>
        <v>1</v>
      </c>
      <c r="AR108" s="8" cm="1">
        <f t="array" ref="AR108">IF($BF108="",0,_xlfn.LET(_xlpm.d,IFERROR(--'Sales and count'!$G$2:$CC$2,0),SUMPRODUCT(('Sales and count'!$G$3:$CC$3="Total")*(_xlpm.d&gt;=$U$4)*(_xlpm.d&lt;=$U$5),INDEX('Sales and count'!$G$4:$CC$300,$BF108,0))))</f>
        <v>113817.95999999999</v>
      </c>
      <c r="AS108" s="8" cm="1">
        <f t="array" aca="1" ref="AS108" ca="1">IF($BF108="",0,_xlfn.LET(_xlpm.d,IFERROR(--'Sales and count'!$F$2:$CB$2,0),SUMPRODUCT(('Sales and count'!$G$3:$CC$3="Transactions")*(_xlpm.d&gt;=$U$4)*(_xlpm.d&lt;=$U$5),INDEX('Sales and count'!$G$4:$CC$300,$BF108,0))))</f>
        <v>806</v>
      </c>
      <c r="AT108" s="8" cm="1">
        <f t="array" ref="AT108">IF($AW108="",0,SUMPRODUCT((TRIM('LY Sales '!$B$5:$B$200)=$AW108)*('LY Sales '!$C$2:$AG$2&gt;=EDATE($U$4,-12))*('LY Sales '!$C$2:$AG$2&lt;=EDATE($U$5,-12)),'LY Sales '!$C$5:$AG$200))</f>
        <v>191038.76</v>
      </c>
      <c r="AU108" s="8" cm="1">
        <f t="array" ref="AU108">IF($AW108="",0,SUMPRODUCT((TRIM('LY Transaction'!$B$5:$B$200)=$AW108)*('LY Transaction'!$C$2:$AG$2&gt;=EDATE($U$4,-12))*('LY Transaction'!$C$2:$AG$2&lt;=EDATE($U$5,-12)),'LY Transaction'!$C$5:$AG$200))</f>
        <v>1484</v>
      </c>
      <c r="AV108" s="8" cm="1">
        <f t="array" ref="AV108">IF(NOT(ISNUMBER($BG108)),0,SUMPRODUCT(('TY Sales Target'!$K$2:$AO$2&gt;=$U$4)*('TY Sales Target'!$K$2:$AO$2&lt;=$U$5),INDEX('TY Sales Target'!$K$5:$AO$300,$BG108,0)))</f>
        <v>245175.98894250346</v>
      </c>
      <c r="AW108" s="8" t="str" cm="1">
        <f t="array" ref="AW108">IFERROR(INDEX(_xlfn.ANCHORARRAY($BR$5),ROWS($AW$5:AW108)),"")</f>
        <v>ALHAZIM</v>
      </c>
      <c r="BB108" cm="1">
        <f t="array" ref="BB108">IF($AW108="",0,SUMPRODUCT((TRIM(Footfall!$B$5:$B$301)=$AW108)*(Footfall!$C$1:$BZ$1&gt;=$U$4)*(Footfall!$C$2:$BZ$2&lt;=$U$5)*(Footfall!$C$1:$BZ$1&lt;&gt;""),Footfall!$C$5:$BZ$301))</f>
        <v>2837</v>
      </c>
      <c r="BC108" cm="1">
        <f t="array" aca="1" ref="BC108" ca="1">IF(OR($BB108&lt;=0,$BD$1="",$BF108=""),0,_xlfn.LET(_xlpm.d,IFERROR(--'Sales and count'!$F$2:$CB$2,0),SUMPRODUCT(('Sales and count'!$G$3:$CC$3="Transactions")*(_xlpm.d&gt;=$BD$1)*(_xlpm.d&lt;=$BD$2),INDEX('Sales and count'!$G$4:$CC$300,$BF108,0))))</f>
        <v>806</v>
      </c>
      <c r="BF108" cm="1">
        <f t="array" ref="BF108">IF($AW108="","",IFERROR(MATCH($AW108,TRIM('Sales and count'!$A$4:$A$300&amp;""),0),""))</f>
        <v>104</v>
      </c>
      <c r="BG108" cm="1">
        <f t="array" ref="BG108">IF($AW108="","",IFERROR(MATCH(IFERROR(_xlfn.XLOOKUP($AW108,$BT$5:$BT$22,$BU$5:$BU$22),$AW108),TRIM('TY Sales Target'!$B$5:$B$300&amp;""),0),""))</f>
        <v>28</v>
      </c>
      <c r="BH108" t="str" cm="1">
        <f t="array" ref="BH108">IF(ISNUMBER($BG108),_xlfn.LET(_xlpm.p,TRIM(INDEX('TY Sales Target'!$I$5:$I$300,$BG108)&amp;""),IF(_xlpm.p="","Not set",_xlpm.p)),"Not set")</f>
        <v>Smart Phone</v>
      </c>
      <c r="BI108" cm="1">
        <f t="array" ref="BI108">IF($BF108="",0,_xlfn.LET(_xlpm.d,IFERROR(--'Sales and count'!$G$2:$CC$2,0),SUMPRODUCT(('Sales and count'!$G$3:$CC$3="Total")*(_xlpm.d&gt;=$BZ$5)*(_xlpm.d&lt;=$BZ$6),INDEX('Sales and count'!$G$4:$CC$300,$BF108,0))))</f>
        <v>113817.95999999999</v>
      </c>
      <c r="BJ108" cm="1">
        <f t="array" ref="BJ108">IF($AW108="",0,SUMPRODUCT((TRIM('LY Sales '!$B$5:$B$200)=$AW108)*('LY Sales '!$C$2:$AG$2&gt;=EDATE($BZ$5,-12))*('LY Sales '!$C$2:$AG$2&lt;=EDATE($BZ$6,-12)),'LY Sales '!$C$5:$AG$200))</f>
        <v>191038.76</v>
      </c>
      <c r="BK108" cm="1">
        <f t="array" ref="BK108">IF($AW108="",0,SUMPRODUCT((TRIM('LY Sales '!$B$5:$B$200)=$AW108)*('LY Sales '!$C$2:$AG$2&gt;=EDATE($BZ$5,-12))*('LY Sales '!$C$2:$AG$2&lt;=EDATE($BZ$7,-12)),'LY Sales '!$C$5:$AG$200))</f>
        <v>240896.46000000002</v>
      </c>
      <c r="BL108" cm="1">
        <f t="array" ref="BL108">IF($AW108="",0,SUMPRODUCT((TRIM('LY Sales '!$B$5:$B$200)=$AW108)*('LY Sales '!$C$2:$AG$2&gt;=EDATE($BZ$5,-12))*('LY Sales '!$C$2:$AG$2&lt;=EDATE($BZ$6,-12))*('LY Sales '!$C$5:$AG$200&gt;0)))</f>
        <v>26</v>
      </c>
      <c r="BM108" cm="1">
        <f t="array" ref="BM108">IF(NOT(ISNUMBER($BG108)),0,SUMPRODUCT(('TY Sales Target'!$K$2:$AO$2&gt;=$BZ$5)*('TY Sales Target'!$K$2:$AO$2&lt;=$BZ$6),INDEX('TY Sales Target'!$K$5:$AO$300,$BG108,0)))</f>
        <v>245175.98894250346</v>
      </c>
      <c r="BN108" cm="1">
        <f t="array" ref="BN108">IF(NOT(ISNUMBER($BG108)),0,SUMPRODUCT(('TY Sales Target'!$K$2:$AO$2&gt;=$BZ$5)*('TY Sales Target'!$K$2:$AO$2&lt;=$BZ$7),INDEX('TY Sales Target'!$K$5:$AO$300,$BG108,0)))</f>
        <v>320000</v>
      </c>
      <c r="BO108" cm="1">
        <f t="array" ref="BO108">IF($AW108="",0,IFERROR(_xlfn.SWITCH($BP108,"LY trend",$BI108*$BK108/$BJ108,"Target curve",$BI108*$BN108/$BM108,"Run rate",$BI108/$BZ$8*$BZ$9,0),0))</f>
        <v>143522.41214516677</v>
      </c>
      <c r="BP108" t="str">
        <f t="shared" si="59"/>
        <v>LY trend</v>
      </c>
      <c r="BR108" t="str">
        <v>ALHAZIM</v>
      </c>
      <c r="CB108" cm="1">
        <f t="array" ref="CB108">IF($AW108="",0,_xlfn.LET(_xlpm.k,IFERROR(_xlfn.XLOOKUP($AW108,$CD$6:$CD$21,$CE$6:$CE$21),$AW108),SUMPRODUCT((TRIM('Makeup '!$A$2:$A$300&amp;"")=_xlpm.k)*1,IFERROR('Makeup '!$F$2:$F$300*1,0))))</f>
        <v>4613.28</v>
      </c>
      <c r="CF108" t="str" cm="1">
        <f t="array" ref="CF108">IF($AW108="","",_xlfn.LET(_xlpm.c,IFERROR(TRIM(INDEX('Sales and count'!$B$4:$B$300,$BF108)&amp;""),""),IF(OR(_xlpm.c="",_xlpm.c="0",LEFT(_xlpm.c,1)="#"),"Not set",_xlpm.c)))</f>
        <v>KSA</v>
      </c>
      <c r="CH108" cm="1">
        <f t="array" ref="CH108">IF($AW108="",0,_xlfn.LET(_xlpm.k,IFERROR(_xlfn.XLOOKUP($AW108,$CD$6:$CD$21,$CE$6:$CE$21),$AW108),--(SUMPRODUCT((TRIM('Makeup '!$A$2:$A$300&amp;"")=_xlpm.k)*ISNUMBER('Makeup '!$F$2:$F$300))&gt;0)))</f>
        <v>1</v>
      </c>
      <c r="CI108">
        <f t="shared" si="62"/>
        <v>113817.95999999999</v>
      </c>
      <c r="CJ108" cm="1">
        <f t="array" ref="CJ108">IF($AW108="",0,--(SUMPRODUCT(--(TRIM(Footfall!$B$5:$B$301)=$AW108))&gt;0))</f>
        <v>1</v>
      </c>
      <c r="CK108" s="8" cm="1">
        <f t="array" ref="CK108">IF($AW108="",0,_xlfn.LET(_xlpm.r,IFERROR(MATCH(IFERROR(_xlfn.XLOOKUP($AW108,$BT$5:$BT$22,$BU$5:$BU$22),$AW108),TRIM('TY Beauty Target'!$B$5:$B$300&amp;""),0),""),IF(ISNUMBER(_xlpm.r),SUMPRODUCT(('TY Beauty Target'!$L$2:$AP$2&gt;=$U$4)*('TY Beauty Target'!$L$2:$AP$2&lt;=$U$5),INDEX('TY Beauty Target'!$L$5:$AP$300,_xlpm.r,0)),0)))</f>
        <v>15992.917816058181</v>
      </c>
    </row>
    <row r="109" spans="1:89" ht="15" customHeight="1" x14ac:dyDescent="0.25">
      <c r="A109" s="38" t="str">
        <f t="shared" si="63"/>
        <v/>
      </c>
      <c r="B109" s="43" t="str" cm="1">
        <f t="array" ref="B109">IF($AI109="","",IF(LEFT($AI109,2)="C|",IF($C109="","",_xlfn.TEXTJOIN(", ",TRUE,_xlfn.UNIQUE(_xlfn._xlws.FILTER($AN$5:$AN$302,($AP$5:$AP$302=1)*($AO$5:$AO$302=$A109))))),IF($AI109="CT",B$13,IF(LEFT($AI109,3)="AM|",IF($C109="","",ROWS(_xlfn.UNIQUE(_xlfn._xlws.FILTER($AO$5:$AO$302,($AP$5:$AP$302=1)*($AN$5:$AN$302=$A109))))),IF(LEFT($AI109,2)="S|",IF($AG109="","",INDEX($AO$5:$AO$302,$AH109)),IF($AI109="HDR","City",""))))))</f>
        <v/>
      </c>
      <c r="C109" s="39" t="str" cm="1">
        <f t="array" ref="C109">IF($AI109="","",IF(LEFT($AI109,2)="C|",_xlfn.LET(_xlpm.n,SUMPRODUCT($AP$5:$AP$302*($AO$5:$AO$302=$A109)),IF(_xlpm.n=0,"",_xlpm.n)),IF($AI109="CT",C$13,IF(LEFT($AI109,3)="AM|",_xlfn.LET(_xlpm.n,SUMPRODUCT($AP$5:$AP$302*($AN$5:$AN$302=$A109)),IF(_xlpm.n=0,"",_xlpm.n)),IF(LEFT($AI109,2)="S|","",IF($AI109="HDR","# Stores",""))))))</f>
        <v/>
      </c>
      <c r="D109" s="40" t="str" cm="1">
        <f t="array" ref="D109">IF($AI109="","",IF(LEFT($AI109,2)="C|",IF($C109="","",SUMPRODUCT($AP$5:$AP$302*($AO$5:$AO$302=$A109),$AR$5:$AR$302)),IF($AI109="CT",D$13,IF(LEFT($AI109,3)="AM|",IF($C109="","",SUMPRODUCT($AP$5:$AP$302*($AN$5:$AN$302=$A109),$AR$5:$AR$302)),IF(LEFT($AI109,2)="S|",IF($AG109="","",INDEX($AR$5:$AR$302,$AH109)),IF($AI109="HDR","Sales TY",""))))))</f>
        <v/>
      </c>
      <c r="E109" s="40" t="str" cm="1">
        <f t="array" ref="E109">IF($AI109="","",IF(LEFT($AI109,2)="C|",IF($C109="","",SUMPRODUCT($AP$5:$AP$302*($AO$5:$AO$302=$A109),$AT$5:$AT$302)),IF($AI109="CT",E$13,IF(LEFT($AI109,3)="AM|",IF($C109="","",SUMPRODUCT($AP$5:$AP$302*($AN$5:$AN$302=$A109),$AT$5:$AT$302)),IF(LEFT($AI109,2)="S|",IF($AG109="","",INDEX($AT$5:$AT$302,$AH109)),IF($AI109="HDR","Sales LY",""))))))</f>
        <v/>
      </c>
      <c r="F109" s="41" t="str">
        <f t="shared" si="64"/>
        <v/>
      </c>
      <c r="G109" s="41" t="str">
        <f t="shared" si="65"/>
        <v/>
      </c>
      <c r="H109" s="40" t="str" cm="1">
        <f t="array" ref="H109">IF($AI109="","",IF(LEFT($AI109,2)="C|",IF($C109="","",SUMPRODUCT($AP$5:$AP$302*($AO$5:$AO$302=$A109),$AV$5:$AV$302)),IF($AI109="CT",H$13,IF(LEFT($AI109,3)="AM|",IF($C109="","",SUMPRODUCT($AP$5:$AP$302*($AN$5:$AN$302=$A109),$AV$5:$AV$302)),IF(LEFT($AI109,2)="S|",IF($AG109="","",INDEX($AV$5:$AV$302,$AH109)),IF($AI109="HDR","Target",""))))))</f>
        <v/>
      </c>
      <c r="I109" s="41" t="str">
        <f t="shared" si="66"/>
        <v/>
      </c>
      <c r="J109" s="40" t="str">
        <f t="shared" si="67"/>
        <v/>
      </c>
      <c r="K109" s="41" t="str">
        <f t="shared" si="68"/>
        <v/>
      </c>
      <c r="L109" s="40" t="str" cm="1">
        <f t="array" ref="L109">IF($AI109="","",IF(LEFT($AI109,2)="C|",IF($C109="","",SUMPRODUCT($AP$5:$AP$302*($AO$5:$AO$302=$A109),$BN$5:$BN$302)),IF($AI109="CT",L$13,IF(LEFT($AI109,3)="AM|",IF($C109="","",SUMPRODUCT($AP$5:$AP$302*($AN$5:$AN$302=$A109),$BN$5:$BN$302)),IF(LEFT($AI109,2)="S|",IF($AG109="","",INDEX($BN$5:$BN$302,$AH109)),IF($AI109="HDR","Month Target",""))))))</f>
        <v/>
      </c>
      <c r="M109" s="40" t="str" cm="1">
        <f t="array" ref="M109">IF($AI109="","",IF(LEFT($AI109,2)="C|",IF($C109="","",SUMPRODUCT($AP$5:$AP$302*($AO$5:$AO$302=$A109),$BO$5:$BO$302)),IF($AI109="CT",M$13,IF(LEFT($AI109,3)="AM|",IF($C109="","",SUMPRODUCT($AP$5:$AP$302*($AN$5:$AN$302=$A109),$BO$5:$BO$302)),IF(LEFT($AI109,2)="S|",IF($AG109="","",INDEX($BO$5:$BO$302,$AH109)),IF($AI109="HDR","Projected Close",""))))))</f>
        <v/>
      </c>
      <c r="N109" s="41" t="str">
        <f t="shared" si="76"/>
        <v/>
      </c>
      <c r="O109" s="41" t="str" cm="1">
        <f t="array" ref="O109">IF($AI109="HDR","Proj. vs LY",IF(OR($AI109="",M109=""),"",_xlfn.LET(_xlpm.ly,IF(LEFT($AI109,2)="C|",SUMPRODUCT($AP$5:$AP$302*($AO$5:$AO$302=$A109),$BK$5:$BK$302),IF($AI109="CT",SUMPRODUCT($AP$5:$AP$302,$BK$5:$BK$302),IF(LEFT($AI109,3)="AM|",SUMPRODUCT($AP$5:$AP$302*($AN$5:$AN$302=$A109),$BK$5:$BK$302),IF(LEFT($AI109,2)="S|",INDEX($BK$5:$BK$302,$AH109),0)))),IFERROR(M109/_xlpm.ly-1,""))))</f>
        <v/>
      </c>
      <c r="P109" s="40" t="str" cm="1">
        <f t="array" ref="P109">IF($AI109="","",IF(LEFT($AI109,2)="C|",IF($C109="","",SUMPRODUCT($AP$5:$AP$302*($AO$5:$AO$302=$A109),$AS$5:$AS$302)),IF($AI109="CT",P$13,IF(LEFT($AI109,3)="AM|",IF($C109="","",SUMPRODUCT($AP$5:$AP$302*($AN$5:$AN$302=$A109),$AS$5:$AS$302)),IF(LEFT($AI109,2)="S|",IF($AG109="","",INDEX($AS$5:$AS$302,$AH109)),IF($AI109="HDR","Trans TY",""))))))</f>
        <v/>
      </c>
      <c r="Q109" s="40" t="str" cm="1">
        <f t="array" ref="Q109">IF($AI109="","",IF(LEFT($AI109,2)="C|",IF($C109="","",SUMPRODUCT($AP$5:$AP$302*($AO$5:$AO$302=$A109),$AU$5:$AU$302)),IF($AI109="CT",Q$13,IF(LEFT($AI109,3)="AM|",IF($C109="","",SUMPRODUCT($AP$5:$AP$302*($AN$5:$AN$302=$A109),$AU$5:$AU$302)),IF(LEFT($AI109,2)="S|",IF($AG109="","",INDEX($AU$5:$AU$302,$AH109)),IF($AI109="HDR","Trans LY",""))))))</f>
        <v/>
      </c>
      <c r="R109" s="41" t="str">
        <f t="shared" si="69"/>
        <v/>
      </c>
      <c r="S109" s="41" t="str">
        <f t="shared" si="70"/>
        <v/>
      </c>
      <c r="T109" s="42" t="str">
        <f t="shared" si="71"/>
        <v/>
      </c>
      <c r="U109" s="42" t="str">
        <f t="shared" si="72"/>
        <v/>
      </c>
      <c r="V109" s="41" t="str">
        <f t="shared" si="73"/>
        <v/>
      </c>
      <c r="W109" s="40" t="str" cm="1">
        <f t="array" ref="W109">IF($AI109="","",IF(LEFT($AI109,2)="C|",_xlfn.LET(_xlpm.n,SUMPRODUCT($AP$5:$AP$302*($AO$5:$AO$302=$A109),$BB$5:$BB$302),IF(_xlpm.n=0,"",_xlpm.n)),IF($AI109="CT",W$13,IF(LEFT($AI109,3)="AM|",_xlfn.LET(_xlpm.n,SUMPRODUCT($AP$5:$AP$302*($AN$5:$AN$302=$A109),$BB$5:$BB$302),IF(_xlpm.n=0,"",_xlpm.n)),IF(LEFT($AI109,2)="S|",IF($AG109="","",_xlfn.LET(_xlpm.n,INDEX($BB$5:$BB$302,$AH109),IF(_xlpm.n=0,"",_xlpm.n))),IF($AI109="HDR","Footfall",""))))))</f>
        <v/>
      </c>
      <c r="X109" s="40" t="str" cm="1">
        <f t="array" ref="X109">IF($AI109="","",IF($AI109="HDR","Trans (FF stores)",IF(W109="","",IF(LEFT($AI109,2)="C|",SUMPRODUCT($AP$5:$AP$302*($AO$5:$AO$302=$A109),$BC$5:$BC$302),IF($AI109="CT",X$13,IF(LEFT($AI109,3)="AM|",SUMPRODUCT($AP$5:$AP$302*($AN$5:$AN$302=$A109),$BC$5:$BC$302),IF(LEFT($AI109,2)="S|",INDEX($BC$5:$BC$302,$AH109),"")))))))</f>
        <v/>
      </c>
      <c r="Y109" s="41" t="str">
        <f t="shared" si="77"/>
        <v/>
      </c>
      <c r="Z109" s="40" t="str" cm="1">
        <f t="array" ref="Z109">IF($AI109="","",IF(LEFT($AI109,2)="C|",IF($C109="","",SUMPRODUCT($AP$5:$AP$302*($AO$5:$AO$302=$A109),$CB$5:$CB$302)),IF($AI109="CT",Z$13,IF(LEFT($AI109,3)="AM|",IF($C109="","",SUMPRODUCT($AP$5:$AP$302*($AN$5:$AN$302=$A109),$CB$5:$CB$302)),IF(LEFT($AI109,2)="S|",IF($AG109="","",INDEX($CB$5:$CB$302,$AH109)),IF($AI109="HDR","Makeup Sales",""))))))</f>
        <v/>
      </c>
      <c r="AA109" s="41" t="str">
        <f t="shared" si="74"/>
        <v/>
      </c>
      <c r="AB109" s="40" t="str" cm="1">
        <f t="array" ref="AB109">IF($AI109="","",IF(LEFT($AI109,2)="C|",IF($C109="","",SUMPRODUCT($AP$5:$AP$302*($AO$5:$AO$302=$A109),$CK$5:$CK$302)),IF($AI109="CT",AB$13,IF(LEFT($AI109,3)="AM|",IF($C109="","",SUMPRODUCT($AP$5:$AP$302*($AN$5:$AN$302=$A109),$CK$5:$CK$302)),IF(LEFT($AI109,2)="S|",IF($AG109="","",INDEX($CK$5:$CK$302,$AH109)),IF($AI109="HDR","Makeup Target",""))))))</f>
        <v/>
      </c>
      <c r="AC109" s="41" t="str">
        <f t="shared" si="78"/>
        <v/>
      </c>
      <c r="AD109" s="40" t="str" cm="1">
        <f t="array" ref="AD109">IF($AI109="","",IF(LEFT($AI109,2)="C|",IF($C109="","",SUMPRODUCT($AP$5:$AP$302*($AO$5:$AO$302=$A109),$CI$5:$CI$302)),IF($AI109="CT",AD$13,IF(LEFT($AI109,3)="AM|",IF($C109="","",SUMPRODUCT($AP$5:$AP$302*($AN$5:$AN$302=$A109),$CI$5:$CI$302)),IF(LEFT($AI109,2)="S|",IF($AG109="","",INDEX($CI$5:$CI$302,$AH109)),IF($AI109="HDR","Cosmetic Sales",""))))))</f>
        <v/>
      </c>
      <c r="AE109" s="8" t="str" cm="1">
        <f t="array" ref="AE109">IF($AI109="","",IF(LEFT($AI109,2)="C|",IF($C109="","",SUMPRODUCT($AP$5:$AP$302*($AO$5:$AO$302=$A109)*$AQ$5:$AQ$302,$AR$5:$AR$302)),IF($AI109="CT",AE$13,IF(LEFT($AI109,3)="AM|",IF($C109="","",SUMPRODUCT($AP$5:$AP$302*($AN$5:$AN$302=$A109)*$AQ$5:$AQ$302,$AR$5:$AR$302)),IF(LEFT($AI109,2)="S|",IF($AG109="","",IF(INDEX($AQ$5:$AQ$302,$AH109)=1,D109,0)),IF($AI109="HDR","LFL Sales",""))))))</f>
        <v/>
      </c>
      <c r="AF109" s="8" t="str" cm="1">
        <f t="array" ref="AF109">IF($AI109="","",IF(LEFT($AI109,2)="C|",IF($C109="","",SUMPRODUCT($AP$5:$AP$302*($AO$5:$AO$302=$A109)*$AQ$5:$AQ$302,$AS$5:$AS$302)),IF($AI109="CT",AF$13,IF(LEFT($AI109,3)="AM|",IF($C109="","",SUMPRODUCT($AP$5:$AP$302*($AN$5:$AN$302=$A109)*$AQ$5:$AQ$302,$AS$5:$AS$302)),IF(LEFT($AI109,2)="S|",IF($AG109="","",IF(INDEX($AQ$5:$AQ$302,$AH109)=1,P109,0)),IF($AI109="HDR","LFL Trans",""))))))</f>
        <v/>
      </c>
      <c r="AG109" s="8" t="str" cm="1">
        <f t="array" ref="AG109">IF($AI109="","",IF(LEFT($AI109,2)="C|","",IF($AI109="CT","",IF(LEFT($AI109,3)="AM|","",IF(LEFT($AI109,2)="S|",IF($AH109="","",IF(INDEX($AP$5:$AP$302,$AH109)=1,1,"")),IF($AI109="HDR","Show",""))))))</f>
        <v/>
      </c>
      <c r="AH109" s="8" t="str">
        <f t="shared" si="75"/>
        <v/>
      </c>
      <c r="AI109" s="8"/>
      <c r="AN109" s="8" t="str" cm="1">
        <f t="array" ref="AN109">IF($AW109="","",_xlfn.LET(_xlpm.sa,IFERROR(TRIM(INDEX('Sales and count'!$D$4:$D$300,$BF109)&amp;""),""),_xlpm.ta,IFERROR(TRIM(INDEX('TY Sales Target'!$F$5:$F$300,$BG109)&amp;""),""),IF(AND(_xlpm.sa&lt;&gt;"",LEFT(_xlpm.sa,1)&lt;&gt;"#",_xlpm.sa&lt;&gt;"0"),_xlpm.sa,IF(AND(_xlpm.ta&lt;&gt;"",LEFT(_xlpm.ta,1)&lt;&gt;"#",_xlpm.ta&lt;&gt;"0"),_xlpm.ta,IF(ISNUMBER($BG109),"Unassigned","")))))</f>
        <v>Lina Al Ghathami</v>
      </c>
      <c r="AO109" s="8" t="str" cm="1">
        <f t="array" ref="AO109">IF($AW109="","",_xlfn.LET(_xlpm.sa,IFERROR(TRIM(INDEX('Sales and count'!$C$4:$C$300,$BF109)&amp;""),""),_xlpm.ta,IFERROR(TRIM(INDEX('TY Sales Target'!$D$5:$D$300,$BG109)&amp;""),""),IF(AND(_xlpm.sa&lt;&gt;"",LEFT(_xlpm.sa,1)&lt;&gt;"#",_xlpm.sa&lt;&gt;"0"),_xlpm.sa,IF(AND(_xlpm.ta&lt;&gt;"",LEFT(_xlpm.ta,1)&lt;&gt;"#",_xlpm.ta&lt;&gt;"0"),_xlpm.ta,""))))</f>
        <v>Buraidah</v>
      </c>
      <c r="AP109" s="8">
        <f t="shared" si="60"/>
        <v>0</v>
      </c>
      <c r="AQ109" s="8">
        <f t="shared" si="61"/>
        <v>0</v>
      </c>
      <c r="AR109" s="8" cm="1">
        <f t="array" ref="AR109">IF($BF109="",0,_xlfn.LET(_xlpm.d,IFERROR(--'Sales and count'!$G$2:$CC$2,0),SUMPRODUCT(('Sales and count'!$G$3:$CC$3="Total")*(_xlpm.d&gt;=$U$4)*(_xlpm.d&lt;=$U$5),INDEX('Sales and count'!$G$4:$CC$300,$BF109,0))))</f>
        <v>46054.2</v>
      </c>
      <c r="AS109" s="8" cm="1">
        <f t="array" aca="1" ref="AS109" ca="1">IF($BF109="",0,_xlfn.LET(_xlpm.d,IFERROR(--'Sales and count'!$F$2:$CB$2,0),SUMPRODUCT(('Sales and count'!$G$3:$CC$3="Transactions")*(_xlpm.d&gt;=$U$4)*(_xlpm.d&lt;=$U$5),INDEX('Sales and count'!$G$4:$CC$300,$BF109,0))))</f>
        <v>368</v>
      </c>
      <c r="AT109" s="8" cm="1">
        <f t="array" ref="AT109">IF($AW109="",0,SUMPRODUCT((TRIM('LY Sales '!$B$5:$B$200)=$AW109)*('LY Sales '!$C$2:$AG$2&gt;=EDATE($U$4,-12))*('LY Sales '!$C$2:$AG$2&lt;=EDATE($U$5,-12)),'LY Sales '!$C$5:$AG$200))</f>
        <v>0</v>
      </c>
      <c r="AU109" s="8" cm="1">
        <f t="array" ref="AU109">IF($AW109="",0,SUMPRODUCT((TRIM('LY Transaction'!$B$5:$B$200)=$AW109)*('LY Transaction'!$C$2:$AG$2&gt;=EDATE($U$4,-12))*('LY Transaction'!$C$2:$AG$2&lt;=EDATE($U$5,-12)),'LY Transaction'!$C$5:$AG$200))</f>
        <v>0</v>
      </c>
      <c r="AV109" s="8" cm="1">
        <f t="array" ref="AV109">IF(NOT(ISNUMBER($BG109)),0,SUMPRODUCT(('TY Sales Target'!$K$2:$AO$2&gt;=$U$4)*('TY Sales Target'!$K$2:$AO$2&lt;=$U$5),INDEX('TY Sales Target'!$K$5:$AO$300,$BG109,0)))</f>
        <v>103433.62033511861</v>
      </c>
      <c r="AW109" s="8" t="str" cm="1">
        <f t="array" ref="AW109">IFERROR(INDEX(_xlfn.ANCHORARRAY($BR$5),ROWS($AW$5:AW109)),"")</f>
        <v>HAJADBUR</v>
      </c>
      <c r="BB109" cm="1">
        <f t="array" ref="BB109">IF($AW109="",0,SUMPRODUCT((TRIM(Footfall!$B$5:$B$301)=$AW109)*(Footfall!$C$1:$BZ$1&gt;=$U$4)*(Footfall!$C$2:$BZ$2&lt;=$U$5)*(Footfall!$C$1:$BZ$1&lt;&gt;""),Footfall!$C$5:$BZ$301))</f>
        <v>0</v>
      </c>
      <c r="BC109" cm="1">
        <f t="array" ref="BC109">IF(OR($BB109&lt;=0,$BD$1="",$BF109=""),0,_xlfn.LET(_xlpm.d,IFERROR(--'Sales and count'!$F$2:$CB$2,0),SUMPRODUCT(('Sales and count'!$G$3:$CC$3="Transactions")*(_xlpm.d&gt;=$BD$1)*(_xlpm.d&lt;=$BD$2),INDEX('Sales and count'!$G$4:$CC$300,$BF109,0))))</f>
        <v>0</v>
      </c>
      <c r="BF109" cm="1">
        <f t="array" ref="BF109">IF($AW109="","",IFERROR(MATCH($AW109,TRIM('Sales and count'!$A$4:$A$300&amp;""),0),""))</f>
        <v>105</v>
      </c>
      <c r="BG109" cm="1">
        <f t="array" ref="BG109">IF($AW109="","",IFERROR(MATCH(IFERROR(_xlfn.XLOOKUP($AW109,$BT$5:$BT$22,$BU$5:$BU$22),$AW109),TRIM('TY Sales Target'!$B$5:$B$300&amp;""),0),""))</f>
        <v>96</v>
      </c>
      <c r="BH109" t="str" cm="1">
        <f t="array" ref="BH109">IF(ISNUMBER($BG109),_xlfn.LET(_xlpm.p,TRIM(INDEX('TY Sales Target'!$I$5:$I$300,$BG109)&amp;""),IF(_xlpm.p="","Not set",_xlpm.p)),"Not set")</f>
        <v>Smart Watch</v>
      </c>
      <c r="BI109" cm="1">
        <f t="array" ref="BI109">IF($BF109="",0,_xlfn.LET(_xlpm.d,IFERROR(--'Sales and count'!$G$2:$CC$2,0),SUMPRODUCT(('Sales and count'!$G$3:$CC$3="Total")*(_xlpm.d&gt;=$BZ$5)*(_xlpm.d&lt;=$BZ$6),INDEX('Sales and count'!$G$4:$CC$300,$BF109,0))))</f>
        <v>46054.2</v>
      </c>
      <c r="BJ109" cm="1">
        <f t="array" ref="BJ109">IF($AW109="",0,SUMPRODUCT((TRIM('LY Sales '!$B$5:$B$200)=$AW109)*('LY Sales '!$C$2:$AG$2&gt;=EDATE($BZ$5,-12))*('LY Sales '!$C$2:$AG$2&lt;=EDATE($BZ$6,-12)),'LY Sales '!$C$5:$AG$200))</f>
        <v>0</v>
      </c>
      <c r="BK109" cm="1">
        <f t="array" ref="BK109">IF($AW109="",0,SUMPRODUCT((TRIM('LY Sales '!$B$5:$B$200)=$AW109)*('LY Sales '!$C$2:$AG$2&gt;=EDATE($BZ$5,-12))*('LY Sales '!$C$2:$AG$2&lt;=EDATE($BZ$7,-12)),'LY Sales '!$C$5:$AG$200))</f>
        <v>0</v>
      </c>
      <c r="BL109" cm="1">
        <f t="array" ref="BL109">IF($AW109="",0,SUMPRODUCT((TRIM('LY Sales '!$B$5:$B$200)=$AW109)*('LY Sales '!$C$2:$AG$2&gt;=EDATE($BZ$5,-12))*('LY Sales '!$C$2:$AG$2&lt;=EDATE($BZ$6,-12))*('LY Sales '!$C$5:$AG$200&gt;0)))</f>
        <v>0</v>
      </c>
      <c r="BM109" cm="1">
        <f t="array" ref="BM109">IF(NOT(ISNUMBER($BG109)),0,SUMPRODUCT(('TY Sales Target'!$K$2:$AO$2&gt;=$BZ$5)*('TY Sales Target'!$K$2:$AO$2&lt;=$BZ$6),INDEX('TY Sales Target'!$K$5:$AO$300,$BG109,0)))</f>
        <v>103433.62033511861</v>
      </c>
      <c r="BN109" cm="1">
        <f t="array" ref="BN109">IF(NOT(ISNUMBER($BG109)),0,SUMPRODUCT(('TY Sales Target'!$K$2:$AO$2&gt;=$BZ$5)*('TY Sales Target'!$K$2:$AO$2&lt;=$BZ$7),INDEX('TY Sales Target'!$K$5:$AO$300,$BG109,0)))</f>
        <v>135000</v>
      </c>
      <c r="BO109" cm="1">
        <f t="array" ref="BO109">IF($AW109="",0,IFERROR(_xlfn.SWITCH($BP109,"LY trend",$BI109*$BK109/$BJ109,"Target curve",$BI109*$BN109/$BM109,"Run rate",$BI109/$BZ$8*$BZ$9,0),0))</f>
        <v>60109.246682618985</v>
      </c>
      <c r="BP109" t="str">
        <f t="shared" si="59"/>
        <v>Target curve</v>
      </c>
      <c r="BR109" t="str">
        <v>HAJADBUR</v>
      </c>
      <c r="CB109" cm="1">
        <f t="array" ref="CB109">IF($AW109="",0,_xlfn.LET(_xlpm.k,IFERROR(_xlfn.XLOOKUP($AW109,$CD$6:$CD$21,$CE$6:$CE$21),$AW109),SUMPRODUCT((TRIM('Makeup '!$A$2:$A$300&amp;"")=_xlpm.k)*1,IFERROR('Makeup '!$F$2:$F$300*1,0))))</f>
        <v>3652.88</v>
      </c>
      <c r="CF109" t="str" cm="1">
        <f t="array" ref="CF109">IF($AW109="","",_xlfn.LET(_xlpm.c,IFERROR(TRIM(INDEX('Sales and count'!$B$4:$B$300,$BF109)&amp;""),""),IF(OR(_xlpm.c="",_xlpm.c="0",LEFT(_xlpm.c,1)="#"),"Not set",_xlpm.c)))</f>
        <v>KSA</v>
      </c>
      <c r="CH109" cm="1">
        <f t="array" ref="CH109">IF($AW109="",0,_xlfn.LET(_xlpm.k,IFERROR(_xlfn.XLOOKUP($AW109,$CD$6:$CD$21,$CE$6:$CE$21),$AW109),--(SUMPRODUCT((TRIM('Makeup '!$A$2:$A$300&amp;"")=_xlpm.k)*ISNUMBER('Makeup '!$F$2:$F$300))&gt;0)))</f>
        <v>1</v>
      </c>
      <c r="CI109">
        <f t="shared" si="62"/>
        <v>46054.2</v>
      </c>
      <c r="CJ109" cm="1">
        <f t="array" ref="CJ109">IF($AW109="",0,--(SUMPRODUCT(--(TRIM(Footfall!$B$5:$B$301)=$AW109))&gt;0))</f>
        <v>0</v>
      </c>
      <c r="CK109" s="8" cm="1">
        <f t="array" ref="CK109">IF($AW109="",0,_xlfn.LET(_xlpm.r,IFERROR(MATCH(IFERROR(_xlfn.XLOOKUP($AW109,$BT$5:$BT$22,$BU$5:$BU$22),$AW109),TRIM('TY Beauty Target'!$B$5:$B$300&amp;""),0),""),IF(ISNUMBER(_xlpm.r),SUMPRODUCT(('TY Beauty Target'!$L$2:$AP$2&gt;=$U$4)*('TY Beauty Target'!$L$2:$AP$2&lt;=$U$5),INDEX('TY Beauty Target'!$L$5:$AP$300,_xlpm.r,0)),0)))</f>
        <v>11636.888669594406</v>
      </c>
    </row>
    <row r="110" spans="1:89" ht="15" customHeight="1" x14ac:dyDescent="0.25">
      <c r="A110" s="38" t="str">
        <f t="shared" si="63"/>
        <v/>
      </c>
      <c r="B110" s="43" t="str" cm="1">
        <f t="array" ref="B110">IF($AI110="","",IF(LEFT($AI110,2)="C|",IF($C110="","",_xlfn.TEXTJOIN(", ",TRUE,_xlfn.UNIQUE(_xlfn._xlws.FILTER($AN$5:$AN$302,($AP$5:$AP$302=1)*($AO$5:$AO$302=$A110))))),IF($AI110="CT",B$13,IF(LEFT($AI110,3)="AM|",IF($C110="","",ROWS(_xlfn.UNIQUE(_xlfn._xlws.FILTER($AO$5:$AO$302,($AP$5:$AP$302=1)*($AN$5:$AN$302=$A110))))),IF(LEFT($AI110,2)="S|",IF($AG110="","",INDEX($AO$5:$AO$302,$AH110)),IF($AI110="HDR","City",""))))))</f>
        <v/>
      </c>
      <c r="C110" s="39" t="str" cm="1">
        <f t="array" ref="C110">IF($AI110="","",IF(LEFT($AI110,2)="C|",_xlfn.LET(_xlpm.n,SUMPRODUCT($AP$5:$AP$302*($AO$5:$AO$302=$A110)),IF(_xlpm.n=0,"",_xlpm.n)),IF($AI110="CT",C$13,IF(LEFT($AI110,3)="AM|",_xlfn.LET(_xlpm.n,SUMPRODUCT($AP$5:$AP$302*($AN$5:$AN$302=$A110)),IF(_xlpm.n=0,"",_xlpm.n)),IF(LEFT($AI110,2)="S|","",IF($AI110="HDR","# Stores",""))))))</f>
        <v/>
      </c>
      <c r="D110" s="40" t="str" cm="1">
        <f t="array" ref="D110">IF($AI110="","",IF(LEFT($AI110,2)="C|",IF($C110="","",SUMPRODUCT($AP$5:$AP$302*($AO$5:$AO$302=$A110),$AR$5:$AR$302)),IF($AI110="CT",D$13,IF(LEFT($AI110,3)="AM|",IF($C110="","",SUMPRODUCT($AP$5:$AP$302*($AN$5:$AN$302=$A110),$AR$5:$AR$302)),IF(LEFT($AI110,2)="S|",IF($AG110="","",INDEX($AR$5:$AR$302,$AH110)),IF($AI110="HDR","Sales TY",""))))))</f>
        <v/>
      </c>
      <c r="E110" s="40" t="str" cm="1">
        <f t="array" ref="E110">IF($AI110="","",IF(LEFT($AI110,2)="C|",IF($C110="","",SUMPRODUCT($AP$5:$AP$302*($AO$5:$AO$302=$A110),$AT$5:$AT$302)),IF($AI110="CT",E$13,IF(LEFT($AI110,3)="AM|",IF($C110="","",SUMPRODUCT($AP$5:$AP$302*($AN$5:$AN$302=$A110),$AT$5:$AT$302)),IF(LEFT($AI110,2)="S|",IF($AG110="","",INDEX($AT$5:$AT$302,$AH110)),IF($AI110="HDR","Sales LY",""))))))</f>
        <v/>
      </c>
      <c r="F110" s="41" t="str">
        <f t="shared" si="64"/>
        <v/>
      </c>
      <c r="G110" s="41" t="str">
        <f t="shared" si="65"/>
        <v/>
      </c>
      <c r="H110" s="40" t="str" cm="1">
        <f t="array" ref="H110">IF($AI110="","",IF(LEFT($AI110,2)="C|",IF($C110="","",SUMPRODUCT($AP$5:$AP$302*($AO$5:$AO$302=$A110),$AV$5:$AV$302)),IF($AI110="CT",H$13,IF(LEFT($AI110,3)="AM|",IF($C110="","",SUMPRODUCT($AP$5:$AP$302*($AN$5:$AN$302=$A110),$AV$5:$AV$302)),IF(LEFT($AI110,2)="S|",IF($AG110="","",INDEX($AV$5:$AV$302,$AH110)),IF($AI110="HDR","Target",""))))))</f>
        <v/>
      </c>
      <c r="I110" s="41" t="str">
        <f t="shared" si="66"/>
        <v/>
      </c>
      <c r="J110" s="40" t="str">
        <f t="shared" si="67"/>
        <v/>
      </c>
      <c r="K110" s="41" t="str">
        <f t="shared" si="68"/>
        <v/>
      </c>
      <c r="L110" s="40" t="str" cm="1">
        <f t="array" ref="L110">IF($AI110="","",IF(LEFT($AI110,2)="C|",IF($C110="","",SUMPRODUCT($AP$5:$AP$302*($AO$5:$AO$302=$A110),$BN$5:$BN$302)),IF($AI110="CT",L$13,IF(LEFT($AI110,3)="AM|",IF($C110="","",SUMPRODUCT($AP$5:$AP$302*($AN$5:$AN$302=$A110),$BN$5:$BN$302)),IF(LEFT($AI110,2)="S|",IF($AG110="","",INDEX($BN$5:$BN$302,$AH110)),IF($AI110="HDR","Month Target",""))))))</f>
        <v/>
      </c>
      <c r="M110" s="40" t="str" cm="1">
        <f t="array" ref="M110">IF($AI110="","",IF(LEFT($AI110,2)="C|",IF($C110="","",SUMPRODUCT($AP$5:$AP$302*($AO$5:$AO$302=$A110),$BO$5:$BO$302)),IF($AI110="CT",M$13,IF(LEFT($AI110,3)="AM|",IF($C110="","",SUMPRODUCT($AP$5:$AP$302*($AN$5:$AN$302=$A110),$BO$5:$BO$302)),IF(LEFT($AI110,2)="S|",IF($AG110="","",INDEX($BO$5:$BO$302,$AH110)),IF($AI110="HDR","Projected Close",""))))))</f>
        <v/>
      </c>
      <c r="N110" s="41" t="str">
        <f t="shared" si="76"/>
        <v/>
      </c>
      <c r="O110" s="41" t="str" cm="1">
        <f t="array" ref="O110">IF($AI110="HDR","Proj. vs LY",IF(OR($AI110="",M110=""),"",_xlfn.LET(_xlpm.ly,IF(LEFT($AI110,2)="C|",SUMPRODUCT($AP$5:$AP$302*($AO$5:$AO$302=$A110),$BK$5:$BK$302),IF($AI110="CT",SUMPRODUCT($AP$5:$AP$302,$BK$5:$BK$302),IF(LEFT($AI110,3)="AM|",SUMPRODUCT($AP$5:$AP$302*($AN$5:$AN$302=$A110),$BK$5:$BK$302),IF(LEFT($AI110,2)="S|",INDEX($BK$5:$BK$302,$AH110),0)))),IFERROR(M110/_xlpm.ly-1,""))))</f>
        <v/>
      </c>
      <c r="P110" s="40" t="str" cm="1">
        <f t="array" ref="P110">IF($AI110="","",IF(LEFT($AI110,2)="C|",IF($C110="","",SUMPRODUCT($AP$5:$AP$302*($AO$5:$AO$302=$A110),$AS$5:$AS$302)),IF($AI110="CT",P$13,IF(LEFT($AI110,3)="AM|",IF($C110="","",SUMPRODUCT($AP$5:$AP$302*($AN$5:$AN$302=$A110),$AS$5:$AS$302)),IF(LEFT($AI110,2)="S|",IF($AG110="","",INDEX($AS$5:$AS$302,$AH110)),IF($AI110="HDR","Trans TY",""))))))</f>
        <v/>
      </c>
      <c r="Q110" s="40" t="str" cm="1">
        <f t="array" ref="Q110">IF($AI110="","",IF(LEFT($AI110,2)="C|",IF($C110="","",SUMPRODUCT($AP$5:$AP$302*($AO$5:$AO$302=$A110),$AU$5:$AU$302)),IF($AI110="CT",Q$13,IF(LEFT($AI110,3)="AM|",IF($C110="","",SUMPRODUCT($AP$5:$AP$302*($AN$5:$AN$302=$A110),$AU$5:$AU$302)),IF(LEFT($AI110,2)="S|",IF($AG110="","",INDEX($AU$5:$AU$302,$AH110)),IF($AI110="HDR","Trans LY",""))))))</f>
        <v/>
      </c>
      <c r="R110" s="41" t="str">
        <f t="shared" si="69"/>
        <v/>
      </c>
      <c r="S110" s="41" t="str">
        <f t="shared" si="70"/>
        <v/>
      </c>
      <c r="T110" s="42" t="str">
        <f t="shared" si="71"/>
        <v/>
      </c>
      <c r="U110" s="42" t="str">
        <f t="shared" si="72"/>
        <v/>
      </c>
      <c r="V110" s="41" t="str">
        <f t="shared" si="73"/>
        <v/>
      </c>
      <c r="W110" s="40" t="str" cm="1">
        <f t="array" ref="W110">IF($AI110="","",IF(LEFT($AI110,2)="C|",_xlfn.LET(_xlpm.n,SUMPRODUCT($AP$5:$AP$302*($AO$5:$AO$302=$A110),$BB$5:$BB$302),IF(_xlpm.n=0,"",_xlpm.n)),IF($AI110="CT",W$13,IF(LEFT($AI110,3)="AM|",_xlfn.LET(_xlpm.n,SUMPRODUCT($AP$5:$AP$302*($AN$5:$AN$302=$A110),$BB$5:$BB$302),IF(_xlpm.n=0,"",_xlpm.n)),IF(LEFT($AI110,2)="S|",IF($AG110="","",_xlfn.LET(_xlpm.n,INDEX($BB$5:$BB$302,$AH110),IF(_xlpm.n=0,"",_xlpm.n))),IF($AI110="HDR","Footfall",""))))))</f>
        <v/>
      </c>
      <c r="X110" s="40" t="str" cm="1">
        <f t="array" ref="X110">IF($AI110="","",IF($AI110="HDR","Trans (FF stores)",IF(W110="","",IF(LEFT($AI110,2)="C|",SUMPRODUCT($AP$5:$AP$302*($AO$5:$AO$302=$A110),$BC$5:$BC$302),IF($AI110="CT",X$13,IF(LEFT($AI110,3)="AM|",SUMPRODUCT($AP$5:$AP$302*($AN$5:$AN$302=$A110),$BC$5:$BC$302),IF(LEFT($AI110,2)="S|",INDEX($BC$5:$BC$302,$AH110),"")))))))</f>
        <v/>
      </c>
      <c r="Y110" s="41" t="str">
        <f t="shared" si="77"/>
        <v/>
      </c>
      <c r="Z110" s="40" t="str" cm="1">
        <f t="array" ref="Z110">IF($AI110="","",IF(LEFT($AI110,2)="C|",IF($C110="","",SUMPRODUCT($AP$5:$AP$302*($AO$5:$AO$302=$A110),$CB$5:$CB$302)),IF($AI110="CT",Z$13,IF(LEFT($AI110,3)="AM|",IF($C110="","",SUMPRODUCT($AP$5:$AP$302*($AN$5:$AN$302=$A110),$CB$5:$CB$302)),IF(LEFT($AI110,2)="S|",IF($AG110="","",INDEX($CB$5:$CB$302,$AH110)),IF($AI110="HDR","Makeup Sales",""))))))</f>
        <v/>
      </c>
      <c r="AA110" s="41" t="str">
        <f t="shared" si="74"/>
        <v/>
      </c>
      <c r="AB110" s="40" t="str" cm="1">
        <f t="array" ref="AB110">IF($AI110="","",IF(LEFT($AI110,2)="C|",IF($C110="","",SUMPRODUCT($AP$5:$AP$302*($AO$5:$AO$302=$A110),$CK$5:$CK$302)),IF($AI110="CT",AB$13,IF(LEFT($AI110,3)="AM|",IF($C110="","",SUMPRODUCT($AP$5:$AP$302*($AN$5:$AN$302=$A110),$CK$5:$CK$302)),IF(LEFT($AI110,2)="S|",IF($AG110="","",INDEX($CK$5:$CK$302,$AH110)),IF($AI110="HDR","Makeup Target",""))))))</f>
        <v/>
      </c>
      <c r="AC110" s="41" t="str">
        <f t="shared" si="78"/>
        <v/>
      </c>
      <c r="AD110" s="40" t="str" cm="1">
        <f t="array" ref="AD110">IF($AI110="","",IF(LEFT($AI110,2)="C|",IF($C110="","",SUMPRODUCT($AP$5:$AP$302*($AO$5:$AO$302=$A110),$CI$5:$CI$302)),IF($AI110="CT",AD$13,IF(LEFT($AI110,3)="AM|",IF($C110="","",SUMPRODUCT($AP$5:$AP$302*($AN$5:$AN$302=$A110),$CI$5:$CI$302)),IF(LEFT($AI110,2)="S|",IF($AG110="","",INDEX($CI$5:$CI$302,$AH110)),IF($AI110="HDR","Cosmetic Sales",""))))))</f>
        <v/>
      </c>
      <c r="AE110" s="8" t="str" cm="1">
        <f t="array" ref="AE110">IF($AI110="","",IF(LEFT($AI110,2)="C|",IF($C110="","",SUMPRODUCT($AP$5:$AP$302*($AO$5:$AO$302=$A110)*$AQ$5:$AQ$302,$AR$5:$AR$302)),IF($AI110="CT",AE$13,IF(LEFT($AI110,3)="AM|",IF($C110="","",SUMPRODUCT($AP$5:$AP$302*($AN$5:$AN$302=$A110)*$AQ$5:$AQ$302,$AR$5:$AR$302)),IF(LEFT($AI110,2)="S|",IF($AG110="","",IF(INDEX($AQ$5:$AQ$302,$AH110)=1,D110,0)),IF($AI110="HDR","LFL Sales",""))))))</f>
        <v/>
      </c>
      <c r="AF110" s="8" t="str" cm="1">
        <f t="array" ref="AF110">IF($AI110="","",IF(LEFT($AI110,2)="C|",IF($C110="","",SUMPRODUCT($AP$5:$AP$302*($AO$5:$AO$302=$A110)*$AQ$5:$AQ$302,$AS$5:$AS$302)),IF($AI110="CT",AF$13,IF(LEFT($AI110,3)="AM|",IF($C110="","",SUMPRODUCT($AP$5:$AP$302*($AN$5:$AN$302=$A110)*$AQ$5:$AQ$302,$AS$5:$AS$302)),IF(LEFT($AI110,2)="S|",IF($AG110="","",IF(INDEX($AQ$5:$AQ$302,$AH110)=1,P110,0)),IF($AI110="HDR","LFL Trans",""))))))</f>
        <v/>
      </c>
      <c r="AG110" s="8" t="str" cm="1">
        <f t="array" ref="AG110">IF($AI110="","",IF(LEFT($AI110,2)="C|","",IF($AI110="CT","",IF(LEFT($AI110,3)="AM|","",IF(LEFT($AI110,2)="S|",IF($AH110="","",IF(INDEX($AP$5:$AP$302,$AH110)=1,1,"")),IF($AI110="HDR","Show",""))))))</f>
        <v/>
      </c>
      <c r="AH110" s="8" t="str">
        <f t="shared" si="75"/>
        <v/>
      </c>
      <c r="AI110" s="8"/>
      <c r="AN110" s="8" t="str" cm="1">
        <f t="array" ref="AN110">IF($AW110="","",_xlfn.LET(_xlpm.sa,IFERROR(TRIM(INDEX('Sales and count'!$D$4:$D$300,$BF110)&amp;""),""),_xlpm.ta,IFERROR(TRIM(INDEX('TY Sales Target'!$F$5:$F$300,$BG110)&amp;""),""),IF(AND(_xlpm.sa&lt;&gt;"",LEFT(_xlpm.sa,1)&lt;&gt;"#",_xlpm.sa&lt;&gt;"0"),_xlpm.sa,IF(AND(_xlpm.ta&lt;&gt;"",LEFT(_xlpm.ta,1)&lt;&gt;"#",_xlpm.ta&lt;&gt;"0"),_xlpm.ta,IF(ISNUMBER($BG110),"Unassigned","")))))</f>
        <v>Mohammed Sanad</v>
      </c>
      <c r="AO110" s="8" t="str" cm="1">
        <f t="array" ref="AO110">IF($AW110="","",_xlfn.LET(_xlpm.sa,IFERROR(TRIM(INDEX('Sales and count'!$C$4:$C$300,$BF110)&amp;""),""),_xlpm.ta,IFERROR(TRIM(INDEX('TY Sales Target'!$D$5:$D$300,$BG110)&amp;""),""),IF(AND(_xlpm.sa&lt;&gt;"",LEFT(_xlpm.sa,1)&lt;&gt;"#",_xlpm.sa&lt;&gt;"0"),_xlpm.sa,IF(AND(_xlpm.ta&lt;&gt;"",LEFT(_xlpm.ta,1)&lt;&gt;"#",_xlpm.ta&lt;&gt;"0"),_xlpm.ta,""))))</f>
        <v>Hail</v>
      </c>
      <c r="AP110" s="8">
        <f t="shared" si="60"/>
        <v>0</v>
      </c>
      <c r="AQ110" s="8">
        <f t="shared" si="61"/>
        <v>1</v>
      </c>
      <c r="AR110" s="8" cm="1">
        <f t="array" ref="AR110">IF($BF110="",0,_xlfn.LET(_xlpm.d,IFERROR(--'Sales and count'!$G$2:$CC$2,0),SUMPRODUCT(('Sales and count'!$G$3:$CC$3="Total")*(_xlpm.d&gt;=$U$4)*(_xlpm.d&lt;=$U$5),INDEX('Sales and count'!$G$4:$CC$300,$BF110,0))))</f>
        <v>56729.11</v>
      </c>
      <c r="AS110" s="8" cm="1">
        <f t="array" aca="1" ref="AS110" ca="1">IF($BF110="",0,_xlfn.LET(_xlpm.d,IFERROR(--'Sales and count'!$F$2:$CB$2,0),SUMPRODUCT(('Sales and count'!$G$3:$CC$3="Transactions")*(_xlpm.d&gt;=$U$4)*(_xlpm.d&lt;=$U$5),INDEX('Sales and count'!$G$4:$CC$300,$BF110,0))))</f>
        <v>337</v>
      </c>
      <c r="AT110" s="8" cm="1">
        <f t="array" ref="AT110">IF($AW110="",0,SUMPRODUCT((TRIM('LY Sales '!$B$5:$B$200)=$AW110)*('LY Sales '!$C$2:$AG$2&gt;=EDATE($U$4,-12))*('LY Sales '!$C$2:$AG$2&lt;=EDATE($U$5,-12)),'LY Sales '!$C$5:$AG$200))</f>
        <v>77408.66</v>
      </c>
      <c r="AU110" s="8" cm="1">
        <f t="array" ref="AU110">IF($AW110="",0,SUMPRODUCT((TRIM('LY Transaction'!$B$5:$B$200)=$AW110)*('LY Transaction'!$C$2:$AG$2&gt;=EDATE($U$4,-12))*('LY Transaction'!$C$2:$AG$2&lt;=EDATE($U$5,-12)),'LY Transaction'!$C$5:$AG$200))</f>
        <v>681</v>
      </c>
      <c r="AV110" s="8" cm="1">
        <f t="array" ref="AV110">IF(NOT(ISNUMBER($BG110)),0,SUMPRODUCT(('TY Sales Target'!$K$2:$AO$2&gt;=$U$4)*('TY Sales Target'!$K$2:$AO$2&lt;=$U$5),INDEX('TY Sales Target'!$K$5:$AO$300,$BG110,0)))</f>
        <v>124886.51936758767</v>
      </c>
      <c r="AW110" s="8" t="str" cm="1">
        <f t="array" ref="AW110">IFERROR(INDEX(_xlfn.ANCHORARRAY($BR$5),ROWS($AW$5:AW110)),"")</f>
        <v>HAOTHHAIL</v>
      </c>
      <c r="BB110" cm="1">
        <f t="array" ref="BB110">IF($AW110="",0,SUMPRODUCT((TRIM(Footfall!$B$5:$B$301)=$AW110)*(Footfall!$C$1:$BZ$1&gt;=$U$4)*(Footfall!$C$2:$BZ$2&lt;=$U$5)*(Footfall!$C$1:$BZ$1&lt;&gt;""),Footfall!$C$5:$BZ$301))</f>
        <v>0</v>
      </c>
      <c r="BC110" cm="1">
        <f t="array" ref="BC110">IF(OR($BB110&lt;=0,$BD$1="",$BF110=""),0,_xlfn.LET(_xlpm.d,IFERROR(--'Sales and count'!$F$2:$CB$2,0),SUMPRODUCT(('Sales and count'!$G$3:$CC$3="Transactions")*(_xlpm.d&gt;=$BD$1)*(_xlpm.d&lt;=$BD$2),INDEX('Sales and count'!$G$4:$CC$300,$BF110,0))))</f>
        <v>0</v>
      </c>
      <c r="BF110" cm="1">
        <f t="array" ref="BF110">IF($AW110="","",IFERROR(MATCH($AW110,TRIM('Sales and count'!$A$4:$A$300&amp;""),0),""))</f>
        <v>106</v>
      </c>
      <c r="BG110" cm="1">
        <f t="array" ref="BG110">IF($AW110="","",IFERROR(MATCH(IFERROR(_xlfn.XLOOKUP($AW110,$BT$5:$BT$22,$BU$5:$BU$22),$AW110),TRIM('TY Sales Target'!$B$5:$B$300&amp;""),0),""))</f>
        <v>82</v>
      </c>
      <c r="BH110" t="str" cm="1">
        <f t="array" ref="BH110">IF(ISNUMBER($BG110),_xlfn.LET(_xlpm.p,TRIM(INDEX('TY Sales Target'!$I$5:$I$300,$BG110)&amp;""),IF(_xlpm.p="","Not set",_xlpm.p)),"Not set")</f>
        <v>I Pad</v>
      </c>
      <c r="BI110" cm="1">
        <f t="array" ref="BI110">IF($BF110="",0,_xlfn.LET(_xlpm.d,IFERROR(--'Sales and count'!$G$2:$CC$2,0),SUMPRODUCT(('Sales and count'!$G$3:$CC$3="Total")*(_xlpm.d&gt;=$BZ$5)*(_xlpm.d&lt;=$BZ$6),INDEX('Sales and count'!$G$4:$CC$300,$BF110,0))))</f>
        <v>56729.11</v>
      </c>
      <c r="BJ110" cm="1">
        <f t="array" ref="BJ110">IF($AW110="",0,SUMPRODUCT((TRIM('LY Sales '!$B$5:$B$200)=$AW110)*('LY Sales '!$C$2:$AG$2&gt;=EDATE($BZ$5,-12))*('LY Sales '!$C$2:$AG$2&lt;=EDATE($BZ$6,-12)),'LY Sales '!$C$5:$AG$200))</f>
        <v>77408.66</v>
      </c>
      <c r="BK110" cm="1">
        <f t="array" ref="BK110">IF($AW110="",0,SUMPRODUCT((TRIM('LY Sales '!$B$5:$B$200)=$AW110)*('LY Sales '!$C$2:$AG$2&gt;=EDATE($BZ$5,-12))*('LY Sales '!$C$2:$AG$2&lt;=EDATE($BZ$7,-12)),'LY Sales '!$C$5:$AG$200))</f>
        <v>101613.97</v>
      </c>
      <c r="BL110" cm="1">
        <f t="array" ref="BL110">IF($AW110="",0,SUMPRODUCT((TRIM('LY Sales '!$B$5:$B$200)=$AW110)*('LY Sales '!$C$2:$AG$2&gt;=EDATE($BZ$5,-12))*('LY Sales '!$C$2:$AG$2&lt;=EDATE($BZ$6,-12))*('LY Sales '!$C$5:$AG$200&gt;0)))</f>
        <v>26</v>
      </c>
      <c r="BM110" cm="1">
        <f t="array" ref="BM110">IF(NOT(ISNUMBER($BG110)),0,SUMPRODUCT(('TY Sales Target'!$K$2:$AO$2&gt;=$BZ$5)*('TY Sales Target'!$K$2:$AO$2&lt;=$BZ$6),INDEX('TY Sales Target'!$K$5:$AO$300,$BG110,0)))</f>
        <v>124886.51936758767</v>
      </c>
      <c r="BN110" cm="1">
        <f t="array" ref="BN110">IF(NOT(ISNUMBER($BG110)),0,SUMPRODUCT(('TY Sales Target'!$K$2:$AO$2&gt;=$BZ$5)*('TY Sales Target'!$K$2:$AO$2&lt;=$BZ$7),INDEX('TY Sales Target'!$K$5:$AO$300,$BG110,0)))</f>
        <v>163000</v>
      </c>
      <c r="BO110" cm="1">
        <f t="array" ref="BO110">IF($AW110="",0,IFERROR(_xlfn.SWITCH($BP110,"LY trend",$BI110*$BK110/$BJ110,"Target curve",$BI110*$BN110/$BM110,"Run rate",$BI110/$BZ$8*$BZ$9,0),0))</f>
        <v>74468.025692044015</v>
      </c>
      <c r="BP110" t="str">
        <f t="shared" si="59"/>
        <v>LY trend</v>
      </c>
      <c r="BR110" t="str">
        <v>HAOTHHAIL</v>
      </c>
      <c r="CB110" cm="1">
        <f t="array" ref="CB110">IF($AW110="",0,_xlfn.LET(_xlpm.k,IFERROR(_xlfn.XLOOKUP($AW110,$CD$6:$CD$21,$CE$6:$CE$21),$AW110),SUMPRODUCT((TRIM('Makeup '!$A$2:$A$300&amp;"")=_xlpm.k)*1,IFERROR('Makeup '!$F$2:$F$300*1,0))))</f>
        <v>3041.4</v>
      </c>
      <c r="CF110" t="str" cm="1">
        <f t="array" ref="CF110">IF($AW110="","",_xlfn.LET(_xlpm.c,IFERROR(TRIM(INDEX('Sales and count'!$B$4:$B$300,$BF110)&amp;""),""),IF(OR(_xlpm.c="",_xlpm.c="0",LEFT(_xlpm.c,1)="#"),"Not set",_xlpm.c)))</f>
        <v>KSA</v>
      </c>
      <c r="CH110" cm="1">
        <f t="array" ref="CH110">IF($AW110="",0,_xlfn.LET(_xlpm.k,IFERROR(_xlfn.XLOOKUP($AW110,$CD$6:$CD$21,$CE$6:$CE$21),$AW110),--(SUMPRODUCT((TRIM('Makeup '!$A$2:$A$300&amp;"")=_xlpm.k)*ISNUMBER('Makeup '!$F$2:$F$300))&gt;0)))</f>
        <v>1</v>
      </c>
      <c r="CI110">
        <f t="shared" si="62"/>
        <v>56729.11</v>
      </c>
      <c r="CJ110" cm="1">
        <f t="array" ref="CJ110">IF($AW110="",0,--(SUMPRODUCT(--(TRIM(Footfall!$B$5:$B$301)=$AW110))&gt;0))</f>
        <v>0</v>
      </c>
      <c r="CK110" s="8" cm="1">
        <f t="array" ref="CK110">IF($AW110="",0,_xlfn.LET(_xlpm.r,IFERROR(MATCH(IFERROR(_xlfn.XLOOKUP($AW110,$BT$5:$BT$22,$BU$5:$BU$22),$AW110),TRIM('TY Beauty Target'!$B$5:$B$300&amp;""),0),""),IF(ISNUMBER(_xlpm.r),SUMPRODUCT(('TY Beauty Target'!$L$2:$AP$2&gt;=$U$4)*('TY Beauty Target'!$L$2:$AP$2&lt;=$U$5),INDEX('TY Beauty Target'!$L$5:$AP$300,_xlpm.r,0)),0)))</f>
        <v>13290.040738031777</v>
      </c>
    </row>
    <row r="111" spans="1:89" ht="15" customHeight="1" x14ac:dyDescent="0.25">
      <c r="A111" s="38" t="str">
        <f t="shared" si="63"/>
        <v/>
      </c>
      <c r="B111" s="43" t="str" cm="1">
        <f t="array" ref="B111">IF($AI111="","",IF(LEFT($AI111,2)="C|",IF($C111="","",_xlfn.TEXTJOIN(", ",TRUE,_xlfn.UNIQUE(_xlfn._xlws.FILTER($AN$5:$AN$302,($AP$5:$AP$302=1)*($AO$5:$AO$302=$A111))))),IF($AI111="CT",B$13,IF(LEFT($AI111,3)="AM|",IF($C111="","",ROWS(_xlfn.UNIQUE(_xlfn._xlws.FILTER($AO$5:$AO$302,($AP$5:$AP$302=1)*($AN$5:$AN$302=$A111))))),IF(LEFT($AI111,2)="S|",IF($AG111="","",INDEX($AO$5:$AO$302,$AH111)),IF($AI111="HDR","City",""))))))</f>
        <v/>
      </c>
      <c r="C111" s="39" t="str" cm="1">
        <f t="array" ref="C111">IF($AI111="","",IF(LEFT($AI111,2)="C|",_xlfn.LET(_xlpm.n,SUMPRODUCT($AP$5:$AP$302*($AO$5:$AO$302=$A111)),IF(_xlpm.n=0,"",_xlpm.n)),IF($AI111="CT",C$13,IF(LEFT($AI111,3)="AM|",_xlfn.LET(_xlpm.n,SUMPRODUCT($AP$5:$AP$302*($AN$5:$AN$302=$A111)),IF(_xlpm.n=0,"",_xlpm.n)),IF(LEFT($AI111,2)="S|","",IF($AI111="HDR","# Stores",""))))))</f>
        <v/>
      </c>
      <c r="D111" s="40" t="str" cm="1">
        <f t="array" ref="D111">IF($AI111="","",IF(LEFT($AI111,2)="C|",IF($C111="","",SUMPRODUCT($AP$5:$AP$302*($AO$5:$AO$302=$A111),$AR$5:$AR$302)),IF($AI111="CT",D$13,IF(LEFT($AI111,3)="AM|",IF($C111="","",SUMPRODUCT($AP$5:$AP$302*($AN$5:$AN$302=$A111),$AR$5:$AR$302)),IF(LEFT($AI111,2)="S|",IF($AG111="","",INDEX($AR$5:$AR$302,$AH111)),IF($AI111="HDR","Sales TY",""))))))</f>
        <v/>
      </c>
      <c r="E111" s="40" t="str" cm="1">
        <f t="array" ref="E111">IF($AI111="","",IF(LEFT($AI111,2)="C|",IF($C111="","",SUMPRODUCT($AP$5:$AP$302*($AO$5:$AO$302=$A111),$AT$5:$AT$302)),IF($AI111="CT",E$13,IF(LEFT($AI111,3)="AM|",IF($C111="","",SUMPRODUCT($AP$5:$AP$302*($AN$5:$AN$302=$A111),$AT$5:$AT$302)),IF(LEFT($AI111,2)="S|",IF($AG111="","",INDEX($AT$5:$AT$302,$AH111)),IF($AI111="HDR","Sales LY",""))))))</f>
        <v/>
      </c>
      <c r="F111" s="41" t="str">
        <f t="shared" si="64"/>
        <v/>
      </c>
      <c r="G111" s="41" t="str">
        <f t="shared" si="65"/>
        <v/>
      </c>
      <c r="H111" s="40" t="str" cm="1">
        <f t="array" ref="H111">IF($AI111="","",IF(LEFT($AI111,2)="C|",IF($C111="","",SUMPRODUCT($AP$5:$AP$302*($AO$5:$AO$302=$A111),$AV$5:$AV$302)),IF($AI111="CT",H$13,IF(LEFT($AI111,3)="AM|",IF($C111="","",SUMPRODUCT($AP$5:$AP$302*($AN$5:$AN$302=$A111),$AV$5:$AV$302)),IF(LEFT($AI111,2)="S|",IF($AG111="","",INDEX($AV$5:$AV$302,$AH111)),IF($AI111="HDR","Target",""))))))</f>
        <v/>
      </c>
      <c r="I111" s="41" t="str">
        <f t="shared" si="66"/>
        <v/>
      </c>
      <c r="J111" s="40" t="str">
        <f t="shared" si="67"/>
        <v/>
      </c>
      <c r="K111" s="41" t="str">
        <f t="shared" si="68"/>
        <v/>
      </c>
      <c r="L111" s="40" t="str" cm="1">
        <f t="array" ref="L111">IF($AI111="","",IF(LEFT($AI111,2)="C|",IF($C111="","",SUMPRODUCT($AP$5:$AP$302*($AO$5:$AO$302=$A111),$BN$5:$BN$302)),IF($AI111="CT",L$13,IF(LEFT($AI111,3)="AM|",IF($C111="","",SUMPRODUCT($AP$5:$AP$302*($AN$5:$AN$302=$A111),$BN$5:$BN$302)),IF(LEFT($AI111,2)="S|",IF($AG111="","",INDEX($BN$5:$BN$302,$AH111)),IF($AI111="HDR","Month Target",""))))))</f>
        <v/>
      </c>
      <c r="M111" s="40" t="str" cm="1">
        <f t="array" ref="M111">IF($AI111="","",IF(LEFT($AI111,2)="C|",IF($C111="","",SUMPRODUCT($AP$5:$AP$302*($AO$5:$AO$302=$A111),$BO$5:$BO$302)),IF($AI111="CT",M$13,IF(LEFT($AI111,3)="AM|",IF($C111="","",SUMPRODUCT($AP$5:$AP$302*($AN$5:$AN$302=$A111),$BO$5:$BO$302)),IF(LEFT($AI111,2)="S|",IF($AG111="","",INDEX($BO$5:$BO$302,$AH111)),IF($AI111="HDR","Projected Close",""))))))</f>
        <v/>
      </c>
      <c r="N111" s="41" t="str">
        <f t="shared" si="76"/>
        <v/>
      </c>
      <c r="O111" s="41" t="str" cm="1">
        <f t="array" ref="O111">IF($AI111="HDR","Proj. vs LY",IF(OR($AI111="",M111=""),"",_xlfn.LET(_xlpm.ly,IF(LEFT($AI111,2)="C|",SUMPRODUCT($AP$5:$AP$302*($AO$5:$AO$302=$A111),$BK$5:$BK$302),IF($AI111="CT",SUMPRODUCT($AP$5:$AP$302,$BK$5:$BK$302),IF(LEFT($AI111,3)="AM|",SUMPRODUCT($AP$5:$AP$302*($AN$5:$AN$302=$A111),$BK$5:$BK$302),IF(LEFT($AI111,2)="S|",INDEX($BK$5:$BK$302,$AH111),0)))),IFERROR(M111/_xlpm.ly-1,""))))</f>
        <v/>
      </c>
      <c r="P111" s="40" t="str" cm="1">
        <f t="array" ref="P111">IF($AI111="","",IF(LEFT($AI111,2)="C|",IF($C111="","",SUMPRODUCT($AP$5:$AP$302*($AO$5:$AO$302=$A111),$AS$5:$AS$302)),IF($AI111="CT",P$13,IF(LEFT($AI111,3)="AM|",IF($C111="","",SUMPRODUCT($AP$5:$AP$302*($AN$5:$AN$302=$A111),$AS$5:$AS$302)),IF(LEFT($AI111,2)="S|",IF($AG111="","",INDEX($AS$5:$AS$302,$AH111)),IF($AI111="HDR","Trans TY",""))))))</f>
        <v/>
      </c>
      <c r="Q111" s="40" t="str" cm="1">
        <f t="array" ref="Q111">IF($AI111="","",IF(LEFT($AI111,2)="C|",IF($C111="","",SUMPRODUCT($AP$5:$AP$302*($AO$5:$AO$302=$A111),$AU$5:$AU$302)),IF($AI111="CT",Q$13,IF(LEFT($AI111,3)="AM|",IF($C111="","",SUMPRODUCT($AP$5:$AP$302*($AN$5:$AN$302=$A111),$AU$5:$AU$302)),IF(LEFT($AI111,2)="S|",IF($AG111="","",INDEX($AU$5:$AU$302,$AH111)),IF($AI111="HDR","Trans LY",""))))))</f>
        <v/>
      </c>
      <c r="R111" s="41" t="str">
        <f t="shared" si="69"/>
        <v/>
      </c>
      <c r="S111" s="41" t="str">
        <f t="shared" si="70"/>
        <v/>
      </c>
      <c r="T111" s="42" t="str">
        <f t="shared" si="71"/>
        <v/>
      </c>
      <c r="U111" s="42" t="str">
        <f t="shared" si="72"/>
        <v/>
      </c>
      <c r="V111" s="41" t="str">
        <f t="shared" si="73"/>
        <v/>
      </c>
      <c r="W111" s="40" t="str" cm="1">
        <f t="array" ref="W111">IF($AI111="","",IF(LEFT($AI111,2)="C|",_xlfn.LET(_xlpm.n,SUMPRODUCT($AP$5:$AP$302*($AO$5:$AO$302=$A111),$BB$5:$BB$302),IF(_xlpm.n=0,"",_xlpm.n)),IF($AI111="CT",W$13,IF(LEFT($AI111,3)="AM|",_xlfn.LET(_xlpm.n,SUMPRODUCT($AP$5:$AP$302*($AN$5:$AN$302=$A111),$BB$5:$BB$302),IF(_xlpm.n=0,"",_xlpm.n)),IF(LEFT($AI111,2)="S|",IF($AG111="","",_xlfn.LET(_xlpm.n,INDEX($BB$5:$BB$302,$AH111),IF(_xlpm.n=0,"",_xlpm.n))),IF($AI111="HDR","Footfall",""))))))</f>
        <v/>
      </c>
      <c r="X111" s="40" t="str" cm="1">
        <f t="array" ref="X111">IF($AI111="","",IF($AI111="HDR","Trans (FF stores)",IF(W111="","",IF(LEFT($AI111,2)="C|",SUMPRODUCT($AP$5:$AP$302*($AO$5:$AO$302=$A111),$BC$5:$BC$302),IF($AI111="CT",X$13,IF(LEFT($AI111,3)="AM|",SUMPRODUCT($AP$5:$AP$302*($AN$5:$AN$302=$A111),$BC$5:$BC$302),IF(LEFT($AI111,2)="S|",INDEX($BC$5:$BC$302,$AH111),"")))))))</f>
        <v/>
      </c>
      <c r="Y111" s="41" t="str">
        <f t="shared" si="77"/>
        <v/>
      </c>
      <c r="Z111" s="40" t="str" cm="1">
        <f t="array" ref="Z111">IF($AI111="","",IF(LEFT($AI111,2)="C|",IF($C111="","",SUMPRODUCT($AP$5:$AP$302*($AO$5:$AO$302=$A111),$CB$5:$CB$302)),IF($AI111="CT",Z$13,IF(LEFT($AI111,3)="AM|",IF($C111="","",SUMPRODUCT($AP$5:$AP$302*($AN$5:$AN$302=$A111),$CB$5:$CB$302)),IF(LEFT($AI111,2)="S|",IF($AG111="","",INDEX($CB$5:$CB$302,$AH111)),IF($AI111="HDR","Makeup Sales",""))))))</f>
        <v/>
      </c>
      <c r="AA111" s="41" t="str">
        <f t="shared" si="74"/>
        <v/>
      </c>
      <c r="AB111" s="40" t="str" cm="1">
        <f t="array" ref="AB111">IF($AI111="","",IF(LEFT($AI111,2)="C|",IF($C111="","",SUMPRODUCT($AP$5:$AP$302*($AO$5:$AO$302=$A111),$CK$5:$CK$302)),IF($AI111="CT",AB$13,IF(LEFT($AI111,3)="AM|",IF($C111="","",SUMPRODUCT($AP$5:$AP$302*($AN$5:$AN$302=$A111),$CK$5:$CK$302)),IF(LEFT($AI111,2)="S|",IF($AG111="","",INDEX($CK$5:$CK$302,$AH111)),IF($AI111="HDR","Makeup Target",""))))))</f>
        <v/>
      </c>
      <c r="AC111" s="41" t="str">
        <f t="shared" si="78"/>
        <v/>
      </c>
      <c r="AD111" s="40" t="str" cm="1">
        <f t="array" ref="AD111">IF($AI111="","",IF(LEFT($AI111,2)="C|",IF($C111="","",SUMPRODUCT($AP$5:$AP$302*($AO$5:$AO$302=$A111),$CI$5:$CI$302)),IF($AI111="CT",AD$13,IF(LEFT($AI111,3)="AM|",IF($C111="","",SUMPRODUCT($AP$5:$AP$302*($AN$5:$AN$302=$A111),$CI$5:$CI$302)),IF(LEFT($AI111,2)="S|",IF($AG111="","",INDEX($CI$5:$CI$302,$AH111)),IF($AI111="HDR","Cosmetic Sales",""))))))</f>
        <v/>
      </c>
      <c r="AE111" s="8" t="str" cm="1">
        <f t="array" ref="AE111">IF($AI111="","",IF(LEFT($AI111,2)="C|",IF($C111="","",SUMPRODUCT($AP$5:$AP$302*($AO$5:$AO$302=$A111)*$AQ$5:$AQ$302,$AR$5:$AR$302)),IF($AI111="CT",AE$13,IF(LEFT($AI111,3)="AM|",IF($C111="","",SUMPRODUCT($AP$5:$AP$302*($AN$5:$AN$302=$A111)*$AQ$5:$AQ$302,$AR$5:$AR$302)),IF(LEFT($AI111,2)="S|",IF($AG111="","",IF(INDEX($AQ$5:$AQ$302,$AH111)=1,D111,0)),IF($AI111="HDR","LFL Sales",""))))))</f>
        <v/>
      </c>
      <c r="AF111" s="8" t="str" cm="1">
        <f t="array" ref="AF111">IF($AI111="","",IF(LEFT($AI111,2)="C|",IF($C111="","",SUMPRODUCT($AP$5:$AP$302*($AO$5:$AO$302=$A111)*$AQ$5:$AQ$302,$AS$5:$AS$302)),IF($AI111="CT",AF$13,IF(LEFT($AI111,3)="AM|",IF($C111="","",SUMPRODUCT($AP$5:$AP$302*($AN$5:$AN$302=$A111)*$AQ$5:$AQ$302,$AS$5:$AS$302)),IF(LEFT($AI111,2)="S|",IF($AG111="","",IF(INDEX($AQ$5:$AQ$302,$AH111)=1,P111,0)),IF($AI111="HDR","LFL Trans",""))))))</f>
        <v/>
      </c>
      <c r="AG111" s="8" t="str" cm="1">
        <f t="array" ref="AG111">IF($AI111="","",IF(LEFT($AI111,2)="C|","",IF($AI111="CT","",IF(LEFT($AI111,3)="AM|","",IF(LEFT($AI111,2)="S|",IF($AH111="","",IF(INDEX($AP$5:$AP$302,$AH111)=1,1,"")),IF($AI111="HDR","Show",""))))))</f>
        <v/>
      </c>
      <c r="AH111" s="8" t="str">
        <f t="shared" si="75"/>
        <v/>
      </c>
      <c r="AI111" s="8"/>
      <c r="AN111" s="8" t="str" cm="1">
        <f t="array" ref="AN111">IF($AW111="","",_xlfn.LET(_xlpm.sa,IFERROR(TRIM(INDEX('Sales and count'!$D$4:$D$300,$BF111)&amp;""),""),_xlpm.ta,IFERROR(TRIM(INDEX('TY Sales Target'!$F$5:$F$300,$BG111)&amp;""),""),IF(AND(_xlpm.sa&lt;&gt;"",LEFT(_xlpm.sa,1)&lt;&gt;"#",_xlpm.sa&lt;&gt;"0"),_xlpm.sa,IF(AND(_xlpm.ta&lt;&gt;"",LEFT(_xlpm.ta,1)&lt;&gt;"#",_xlpm.ta&lt;&gt;"0"),_xlpm.ta,IF(ISNUMBER($BG111),"Unassigned","")))))</f>
        <v>Mohammed Sanad</v>
      </c>
      <c r="AO111" s="8" t="str" cm="1">
        <f t="array" ref="AO111">IF($AW111="","",_xlfn.LET(_xlpm.sa,IFERROR(TRIM(INDEX('Sales and count'!$C$4:$C$300,$BF111)&amp;""),""),_xlpm.ta,IFERROR(TRIM(INDEX('TY Sales Target'!$D$5:$D$300,$BG111)&amp;""),""),IF(AND(_xlpm.sa&lt;&gt;"",LEFT(_xlpm.sa,1)&lt;&gt;"#",_xlpm.sa&lt;&gt;"0"),_xlpm.sa,IF(AND(_xlpm.ta&lt;&gt;"",LEFT(_xlpm.ta,1)&lt;&gt;"#",_xlpm.ta&lt;&gt;"0"),_xlpm.ta,""))))</f>
        <v>Riyadh</v>
      </c>
      <c r="AP111" s="8">
        <f t="shared" si="60"/>
        <v>0</v>
      </c>
      <c r="AQ111" s="8">
        <f t="shared" si="61"/>
        <v>1</v>
      </c>
      <c r="AR111" s="8" cm="1">
        <f t="array" ref="AR111">IF($BF111="",0,_xlfn.LET(_xlpm.d,IFERROR(--'Sales and count'!$G$2:$CC$2,0),SUMPRODUCT(('Sales and count'!$G$3:$CC$3="Total")*(_xlpm.d&gt;=$U$4)*(_xlpm.d&lt;=$U$5),INDEX('Sales and count'!$G$4:$CC$300,$BF111,0))))</f>
        <v>42344.590000000004</v>
      </c>
      <c r="AS111" s="8" cm="1">
        <f t="array" aca="1" ref="AS111" ca="1">IF($BF111="",0,_xlfn.LET(_xlpm.d,IFERROR(--'Sales and count'!$F$2:$CB$2,0),SUMPRODUCT(('Sales and count'!$G$3:$CC$3="Transactions")*(_xlpm.d&gt;=$U$4)*(_xlpm.d&lt;=$U$5),INDEX('Sales and count'!$G$4:$CC$300,$BF111,0))))</f>
        <v>322</v>
      </c>
      <c r="AT111" s="8" cm="1">
        <f t="array" ref="AT111">IF($AW111="",0,SUMPRODUCT((TRIM('LY Sales '!$B$5:$B$200)=$AW111)*('LY Sales '!$C$2:$AG$2&gt;=EDATE($U$4,-12))*('LY Sales '!$C$2:$AG$2&lt;=EDATE($U$5,-12)),'LY Sales '!$C$5:$AG$200))</f>
        <v>70694.539999999994</v>
      </c>
      <c r="AU111" s="8" cm="1">
        <f t="array" ref="AU111">IF($AW111="",0,SUMPRODUCT((TRIM('LY Transaction'!$B$5:$B$200)=$AW111)*('LY Transaction'!$C$2:$AG$2&gt;=EDATE($U$4,-12))*('LY Transaction'!$C$2:$AG$2&lt;=EDATE($U$5,-12)),'LY Transaction'!$C$5:$AG$200))</f>
        <v>521</v>
      </c>
      <c r="AV111" s="8" cm="1">
        <f t="array" ref="AV111">IF(NOT(ISNUMBER($BG111)),0,SUMPRODUCT(('TY Sales Target'!$K$2:$AO$2&gt;=$U$4)*('TY Sales Target'!$K$2:$AO$2&lt;=$U$5),INDEX('TY Sales Target'!$K$5:$AO$300,$BG111,0)))</f>
        <v>98836.570542446701</v>
      </c>
      <c r="AW111" s="8" t="str" cm="1">
        <f t="array" ref="AW111">IFERROR(INDEX(_xlfn.ANCHORARRAY($BR$5),ROWS($AW$5:AW111)),"")</f>
        <v>RYDTALA</v>
      </c>
      <c r="BB111" cm="1">
        <f t="array" ref="BB111">IF($AW111="",0,SUMPRODUCT((TRIM(Footfall!$B$5:$B$301)=$AW111)*(Footfall!$C$1:$BZ$1&gt;=$U$4)*(Footfall!$C$2:$BZ$2&lt;=$U$5)*(Footfall!$C$1:$BZ$1&lt;&gt;""),Footfall!$C$5:$BZ$301))</f>
        <v>2337</v>
      </c>
      <c r="BC111" cm="1">
        <f t="array" aca="1" ref="BC111" ca="1">IF(OR($BB111&lt;=0,$BD$1="",$BF111=""),0,_xlfn.LET(_xlpm.d,IFERROR(--'Sales and count'!$F$2:$CB$2,0),SUMPRODUCT(('Sales and count'!$G$3:$CC$3="Transactions")*(_xlpm.d&gt;=$BD$1)*(_xlpm.d&lt;=$BD$2),INDEX('Sales and count'!$G$4:$CC$300,$BF111,0))))</f>
        <v>322</v>
      </c>
      <c r="BF111" cm="1">
        <f t="array" ref="BF111">IF($AW111="","",IFERROR(MATCH($AW111,TRIM('Sales and count'!$A$4:$A$300&amp;""),0),""))</f>
        <v>107</v>
      </c>
      <c r="BG111" cm="1">
        <f t="array" ref="BG111">IF($AW111="","",IFERROR(MATCH(IFERROR(_xlfn.XLOOKUP($AW111,$BT$5:$BT$22,$BU$5:$BU$22),$AW111),TRIM('TY Sales Target'!$B$5:$B$300&amp;""),0),""))</f>
        <v>100</v>
      </c>
      <c r="BH111" t="str" cm="1">
        <f t="array" ref="BH111">IF(ISNUMBER($BG111),_xlfn.LET(_xlpm.p,TRIM(INDEX('TY Sales Target'!$I$5:$I$300,$BG111)&amp;""),IF(_xlpm.p="","Not set",_xlpm.p)),"Not set")</f>
        <v>Smart Watch</v>
      </c>
      <c r="BI111" cm="1">
        <f t="array" ref="BI111">IF($BF111="",0,_xlfn.LET(_xlpm.d,IFERROR(--'Sales and count'!$G$2:$CC$2,0),SUMPRODUCT(('Sales and count'!$G$3:$CC$3="Total")*(_xlpm.d&gt;=$BZ$5)*(_xlpm.d&lt;=$BZ$6),INDEX('Sales and count'!$G$4:$CC$300,$BF111,0))))</f>
        <v>42344.590000000004</v>
      </c>
      <c r="BJ111" cm="1">
        <f t="array" ref="BJ111">IF($AW111="",0,SUMPRODUCT((TRIM('LY Sales '!$B$5:$B$200)=$AW111)*('LY Sales '!$C$2:$AG$2&gt;=EDATE($BZ$5,-12))*('LY Sales '!$C$2:$AG$2&lt;=EDATE($BZ$6,-12)),'LY Sales '!$C$5:$AG$200))</f>
        <v>70694.539999999994</v>
      </c>
      <c r="BK111" cm="1">
        <f t="array" ref="BK111">IF($AW111="",0,SUMPRODUCT((TRIM('LY Sales '!$B$5:$B$200)=$AW111)*('LY Sales '!$C$2:$AG$2&gt;=EDATE($BZ$5,-12))*('LY Sales '!$C$2:$AG$2&lt;=EDATE($BZ$7,-12)),'LY Sales '!$C$5:$AG$200))</f>
        <v>87105.84</v>
      </c>
      <c r="BL111" cm="1">
        <f t="array" ref="BL111">IF($AW111="",0,SUMPRODUCT((TRIM('LY Sales '!$B$5:$B$200)=$AW111)*('LY Sales '!$C$2:$AG$2&gt;=EDATE($BZ$5,-12))*('LY Sales '!$C$2:$AG$2&lt;=EDATE($BZ$6,-12))*('LY Sales '!$C$5:$AG$200&gt;0)))</f>
        <v>26</v>
      </c>
      <c r="BM111" cm="1">
        <f t="array" ref="BM111">IF(NOT(ISNUMBER($BG111)),0,SUMPRODUCT(('TY Sales Target'!$K$2:$AO$2&gt;=$BZ$5)*('TY Sales Target'!$K$2:$AO$2&lt;=$BZ$6),INDEX('TY Sales Target'!$K$5:$AO$300,$BG111,0)))</f>
        <v>98836.570542446701</v>
      </c>
      <c r="BN111" cm="1">
        <f t="array" ref="BN111">IF(NOT(ISNUMBER($BG111)),0,SUMPRODUCT(('TY Sales Target'!$K$2:$AO$2&gt;=$BZ$5)*('TY Sales Target'!$K$2:$AO$2&lt;=$BZ$7),INDEX('TY Sales Target'!$K$5:$AO$300,$BG111,0)))</f>
        <v>129000.00000000004</v>
      </c>
      <c r="BO111" cm="1">
        <f t="array" ref="BO111">IF($AW111="",0,IFERROR(_xlfn.SWITCH($BP111,"LY trend",$BI111*$BK111/$BJ111,"Target curve",$BI111*$BN111/$BM111,"Run rate",$BI111/$BZ$8*$BZ$9,0),0))</f>
        <v>52174.62453826845</v>
      </c>
      <c r="BP111" t="str">
        <f t="shared" si="59"/>
        <v>LY trend</v>
      </c>
      <c r="BR111" t="str">
        <v>RYDTALA</v>
      </c>
      <c r="CB111" cm="1">
        <f t="array" ref="CB111">IF($AW111="",0,_xlfn.LET(_xlpm.k,IFERROR(_xlfn.XLOOKUP($AW111,$CD$6:$CD$21,$CE$6:$CE$21),$AW111),SUMPRODUCT((TRIM('Makeup '!$A$2:$A$300&amp;"")=_xlpm.k)*1,IFERROR('Makeup '!$F$2:$F$300*1,0))))</f>
        <v>1564.99</v>
      </c>
      <c r="CF111" t="str" cm="1">
        <f t="array" ref="CF111">IF($AW111="","",_xlfn.LET(_xlpm.c,IFERROR(TRIM(INDEX('Sales and count'!$B$4:$B$300,$BF111)&amp;""),""),IF(OR(_xlpm.c="",_xlpm.c="0",LEFT(_xlpm.c,1)="#"),"Not set",_xlpm.c)))</f>
        <v>KSA</v>
      </c>
      <c r="CH111" cm="1">
        <f t="array" ref="CH111">IF($AW111="",0,_xlfn.LET(_xlpm.k,IFERROR(_xlfn.XLOOKUP($AW111,$CD$6:$CD$21,$CE$6:$CE$21),$AW111),--(SUMPRODUCT((TRIM('Makeup '!$A$2:$A$300&amp;"")=_xlpm.k)*ISNUMBER('Makeup '!$F$2:$F$300))&gt;0)))</f>
        <v>1</v>
      </c>
      <c r="CI111">
        <f t="shared" si="62"/>
        <v>42344.590000000004</v>
      </c>
      <c r="CJ111" cm="1">
        <f t="array" ref="CJ111">IF($AW111="",0,--(SUMPRODUCT(--(TRIM(Footfall!$B$5:$B$301)=$AW111))&gt;0))</f>
        <v>1</v>
      </c>
      <c r="CK111" s="8" cm="1">
        <f t="array" ref="CK111">IF($AW111="",0,_xlfn.LET(_xlpm.r,IFERROR(MATCH(IFERROR(_xlfn.XLOOKUP($AW111,$BT$5:$BT$22,$BU$5:$BU$22),$AW111),TRIM('TY Beauty Target'!$B$5:$B$300&amp;""),0),""),IF(ISNUMBER(_xlpm.r),SUMPRODUCT(('TY Beauty Target'!$L$2:$AP$2&gt;=$U$4)*('TY Beauty Target'!$L$2:$AP$2&lt;=$U$5),INDEX('TY Beauty Target'!$L$5:$AP$300,_xlpm.r,0)),0)))</f>
        <v>6094.2847788850158</v>
      </c>
    </row>
    <row r="112" spans="1:89" ht="15" customHeight="1" x14ac:dyDescent="0.25">
      <c r="A112" s="38" t="str">
        <f t="shared" si="63"/>
        <v/>
      </c>
      <c r="B112" s="43" t="str" cm="1">
        <f t="array" ref="B112">IF($AI112="","",IF(LEFT($AI112,2)="C|",IF($C112="","",_xlfn.TEXTJOIN(", ",TRUE,_xlfn.UNIQUE(_xlfn._xlws.FILTER($AN$5:$AN$302,($AP$5:$AP$302=1)*($AO$5:$AO$302=$A112))))),IF($AI112="CT",B$13,IF(LEFT($AI112,3)="AM|",IF($C112="","",ROWS(_xlfn.UNIQUE(_xlfn._xlws.FILTER($AO$5:$AO$302,($AP$5:$AP$302=1)*($AN$5:$AN$302=$A112))))),IF(LEFT($AI112,2)="S|",IF($AG112="","",INDEX($AO$5:$AO$302,$AH112)),IF($AI112="HDR","City",""))))))</f>
        <v/>
      </c>
      <c r="C112" s="39" t="str" cm="1">
        <f t="array" ref="C112">IF($AI112="","",IF(LEFT($AI112,2)="C|",_xlfn.LET(_xlpm.n,SUMPRODUCT($AP$5:$AP$302*($AO$5:$AO$302=$A112)),IF(_xlpm.n=0,"",_xlpm.n)),IF($AI112="CT",C$13,IF(LEFT($AI112,3)="AM|",_xlfn.LET(_xlpm.n,SUMPRODUCT($AP$5:$AP$302*($AN$5:$AN$302=$A112)),IF(_xlpm.n=0,"",_xlpm.n)),IF(LEFT($AI112,2)="S|","",IF($AI112="HDR","# Stores",""))))))</f>
        <v/>
      </c>
      <c r="D112" s="40" t="str" cm="1">
        <f t="array" ref="D112">IF($AI112="","",IF(LEFT($AI112,2)="C|",IF($C112="","",SUMPRODUCT($AP$5:$AP$302*($AO$5:$AO$302=$A112),$AR$5:$AR$302)),IF($AI112="CT",D$13,IF(LEFT($AI112,3)="AM|",IF($C112="","",SUMPRODUCT($AP$5:$AP$302*($AN$5:$AN$302=$A112),$AR$5:$AR$302)),IF(LEFT($AI112,2)="S|",IF($AG112="","",INDEX($AR$5:$AR$302,$AH112)),IF($AI112="HDR","Sales TY",""))))))</f>
        <v/>
      </c>
      <c r="E112" s="40" t="str" cm="1">
        <f t="array" ref="E112">IF($AI112="","",IF(LEFT($AI112,2)="C|",IF($C112="","",SUMPRODUCT($AP$5:$AP$302*($AO$5:$AO$302=$A112),$AT$5:$AT$302)),IF($AI112="CT",E$13,IF(LEFT($AI112,3)="AM|",IF($C112="","",SUMPRODUCT($AP$5:$AP$302*($AN$5:$AN$302=$A112),$AT$5:$AT$302)),IF(LEFT($AI112,2)="S|",IF($AG112="","",INDEX($AT$5:$AT$302,$AH112)),IF($AI112="HDR","Sales LY",""))))))</f>
        <v/>
      </c>
      <c r="F112" s="41" t="str">
        <f t="shared" si="64"/>
        <v/>
      </c>
      <c r="G112" s="41" t="str">
        <f t="shared" si="65"/>
        <v/>
      </c>
      <c r="H112" s="40" t="str" cm="1">
        <f t="array" ref="H112">IF($AI112="","",IF(LEFT($AI112,2)="C|",IF($C112="","",SUMPRODUCT($AP$5:$AP$302*($AO$5:$AO$302=$A112),$AV$5:$AV$302)),IF($AI112="CT",H$13,IF(LEFT($AI112,3)="AM|",IF($C112="","",SUMPRODUCT($AP$5:$AP$302*($AN$5:$AN$302=$A112),$AV$5:$AV$302)),IF(LEFT($AI112,2)="S|",IF($AG112="","",INDEX($AV$5:$AV$302,$AH112)),IF($AI112="HDR","Target",""))))))</f>
        <v/>
      </c>
      <c r="I112" s="41" t="str">
        <f t="shared" si="66"/>
        <v/>
      </c>
      <c r="J112" s="40" t="str">
        <f t="shared" si="67"/>
        <v/>
      </c>
      <c r="K112" s="41" t="str">
        <f t="shared" si="68"/>
        <v/>
      </c>
      <c r="L112" s="40" t="str" cm="1">
        <f t="array" ref="L112">IF($AI112="","",IF(LEFT($AI112,2)="C|",IF($C112="","",SUMPRODUCT($AP$5:$AP$302*($AO$5:$AO$302=$A112),$BN$5:$BN$302)),IF($AI112="CT",L$13,IF(LEFT($AI112,3)="AM|",IF($C112="","",SUMPRODUCT($AP$5:$AP$302*($AN$5:$AN$302=$A112),$BN$5:$BN$302)),IF(LEFT($AI112,2)="S|",IF($AG112="","",INDEX($BN$5:$BN$302,$AH112)),IF($AI112="HDR","Month Target",""))))))</f>
        <v/>
      </c>
      <c r="M112" s="40" t="str" cm="1">
        <f t="array" ref="M112">IF($AI112="","",IF(LEFT($AI112,2)="C|",IF($C112="","",SUMPRODUCT($AP$5:$AP$302*($AO$5:$AO$302=$A112),$BO$5:$BO$302)),IF($AI112="CT",M$13,IF(LEFT($AI112,3)="AM|",IF($C112="","",SUMPRODUCT($AP$5:$AP$302*($AN$5:$AN$302=$A112),$BO$5:$BO$302)),IF(LEFT($AI112,2)="S|",IF($AG112="","",INDEX($BO$5:$BO$302,$AH112)),IF($AI112="HDR","Projected Close",""))))))</f>
        <v/>
      </c>
      <c r="N112" s="41" t="str">
        <f t="shared" si="76"/>
        <v/>
      </c>
      <c r="O112" s="41" t="str" cm="1">
        <f t="array" ref="O112">IF($AI112="HDR","Proj. vs LY",IF(OR($AI112="",M112=""),"",_xlfn.LET(_xlpm.ly,IF(LEFT($AI112,2)="C|",SUMPRODUCT($AP$5:$AP$302*($AO$5:$AO$302=$A112),$BK$5:$BK$302),IF($AI112="CT",SUMPRODUCT($AP$5:$AP$302,$BK$5:$BK$302),IF(LEFT($AI112,3)="AM|",SUMPRODUCT($AP$5:$AP$302*($AN$5:$AN$302=$A112),$BK$5:$BK$302),IF(LEFT($AI112,2)="S|",INDEX($BK$5:$BK$302,$AH112),0)))),IFERROR(M112/_xlpm.ly-1,""))))</f>
        <v/>
      </c>
      <c r="P112" s="40" t="str" cm="1">
        <f t="array" ref="P112">IF($AI112="","",IF(LEFT($AI112,2)="C|",IF($C112="","",SUMPRODUCT($AP$5:$AP$302*($AO$5:$AO$302=$A112),$AS$5:$AS$302)),IF($AI112="CT",P$13,IF(LEFT($AI112,3)="AM|",IF($C112="","",SUMPRODUCT($AP$5:$AP$302*($AN$5:$AN$302=$A112),$AS$5:$AS$302)),IF(LEFT($AI112,2)="S|",IF($AG112="","",INDEX($AS$5:$AS$302,$AH112)),IF($AI112="HDR","Trans TY",""))))))</f>
        <v/>
      </c>
      <c r="Q112" s="40" t="str" cm="1">
        <f t="array" ref="Q112">IF($AI112="","",IF(LEFT($AI112,2)="C|",IF($C112="","",SUMPRODUCT($AP$5:$AP$302*($AO$5:$AO$302=$A112),$AU$5:$AU$302)),IF($AI112="CT",Q$13,IF(LEFT($AI112,3)="AM|",IF($C112="","",SUMPRODUCT($AP$5:$AP$302*($AN$5:$AN$302=$A112),$AU$5:$AU$302)),IF(LEFT($AI112,2)="S|",IF($AG112="","",INDEX($AU$5:$AU$302,$AH112)),IF($AI112="HDR","Trans LY",""))))))</f>
        <v/>
      </c>
      <c r="R112" s="41" t="str">
        <f t="shared" si="69"/>
        <v/>
      </c>
      <c r="S112" s="41" t="str">
        <f t="shared" si="70"/>
        <v/>
      </c>
      <c r="T112" s="42" t="str">
        <f t="shared" si="71"/>
        <v/>
      </c>
      <c r="U112" s="42" t="str">
        <f t="shared" si="72"/>
        <v/>
      </c>
      <c r="V112" s="41" t="str">
        <f t="shared" si="73"/>
        <v/>
      </c>
      <c r="W112" s="40" t="str" cm="1">
        <f t="array" ref="W112">IF($AI112="","",IF(LEFT($AI112,2)="C|",_xlfn.LET(_xlpm.n,SUMPRODUCT($AP$5:$AP$302*($AO$5:$AO$302=$A112),$BB$5:$BB$302),IF(_xlpm.n=0,"",_xlpm.n)),IF($AI112="CT",W$13,IF(LEFT($AI112,3)="AM|",_xlfn.LET(_xlpm.n,SUMPRODUCT($AP$5:$AP$302*($AN$5:$AN$302=$A112),$BB$5:$BB$302),IF(_xlpm.n=0,"",_xlpm.n)),IF(LEFT($AI112,2)="S|",IF($AG112="","",_xlfn.LET(_xlpm.n,INDEX($BB$5:$BB$302,$AH112),IF(_xlpm.n=0,"",_xlpm.n))),IF($AI112="HDR","Footfall",""))))))</f>
        <v/>
      </c>
      <c r="X112" s="40" t="str" cm="1">
        <f t="array" ref="X112">IF($AI112="","",IF($AI112="HDR","Trans (FF stores)",IF(W112="","",IF(LEFT($AI112,2)="C|",SUMPRODUCT($AP$5:$AP$302*($AO$5:$AO$302=$A112),$BC$5:$BC$302),IF($AI112="CT",X$13,IF(LEFT($AI112,3)="AM|",SUMPRODUCT($AP$5:$AP$302*($AN$5:$AN$302=$A112),$BC$5:$BC$302),IF(LEFT($AI112,2)="S|",INDEX($BC$5:$BC$302,$AH112),"")))))))</f>
        <v/>
      </c>
      <c r="Y112" s="41" t="str">
        <f t="shared" si="77"/>
        <v/>
      </c>
      <c r="Z112" s="40" t="str" cm="1">
        <f t="array" ref="Z112">IF($AI112="","",IF(LEFT($AI112,2)="C|",IF($C112="","",SUMPRODUCT($AP$5:$AP$302*($AO$5:$AO$302=$A112),$CB$5:$CB$302)),IF($AI112="CT",Z$13,IF(LEFT($AI112,3)="AM|",IF($C112="","",SUMPRODUCT($AP$5:$AP$302*($AN$5:$AN$302=$A112),$CB$5:$CB$302)),IF(LEFT($AI112,2)="S|",IF($AG112="","",INDEX($CB$5:$CB$302,$AH112)),IF($AI112="HDR","Makeup Sales",""))))))</f>
        <v/>
      </c>
      <c r="AA112" s="41" t="str">
        <f t="shared" si="74"/>
        <v/>
      </c>
      <c r="AB112" s="40" t="str" cm="1">
        <f t="array" ref="AB112">IF($AI112="","",IF(LEFT($AI112,2)="C|",IF($C112="","",SUMPRODUCT($AP$5:$AP$302*($AO$5:$AO$302=$A112),$CK$5:$CK$302)),IF($AI112="CT",AB$13,IF(LEFT($AI112,3)="AM|",IF($C112="","",SUMPRODUCT($AP$5:$AP$302*($AN$5:$AN$302=$A112),$CK$5:$CK$302)),IF(LEFT($AI112,2)="S|",IF($AG112="","",INDEX($CK$5:$CK$302,$AH112)),IF($AI112="HDR","Makeup Target",""))))))</f>
        <v/>
      </c>
      <c r="AC112" s="41" t="str">
        <f t="shared" si="78"/>
        <v/>
      </c>
      <c r="AD112" s="40" t="str" cm="1">
        <f t="array" ref="AD112">IF($AI112="","",IF(LEFT($AI112,2)="C|",IF($C112="","",SUMPRODUCT($AP$5:$AP$302*($AO$5:$AO$302=$A112),$CI$5:$CI$302)),IF($AI112="CT",AD$13,IF(LEFT($AI112,3)="AM|",IF($C112="","",SUMPRODUCT($AP$5:$AP$302*($AN$5:$AN$302=$A112),$CI$5:$CI$302)),IF(LEFT($AI112,2)="S|",IF($AG112="","",INDEX($CI$5:$CI$302,$AH112)),IF($AI112="HDR","Cosmetic Sales",""))))))</f>
        <v/>
      </c>
      <c r="AE112" s="8" t="str" cm="1">
        <f t="array" ref="AE112">IF($AI112="","",IF(LEFT($AI112,2)="C|",IF($C112="","",SUMPRODUCT($AP$5:$AP$302*($AO$5:$AO$302=$A112)*$AQ$5:$AQ$302,$AR$5:$AR$302)),IF($AI112="CT",AE$13,IF(LEFT($AI112,3)="AM|",IF($C112="","",SUMPRODUCT($AP$5:$AP$302*($AN$5:$AN$302=$A112)*$AQ$5:$AQ$302,$AR$5:$AR$302)),IF(LEFT($AI112,2)="S|",IF($AG112="","",IF(INDEX($AQ$5:$AQ$302,$AH112)=1,D112,0)),IF($AI112="HDR","LFL Sales",""))))))</f>
        <v/>
      </c>
      <c r="AF112" s="8" t="str" cm="1">
        <f t="array" ref="AF112">IF($AI112="","",IF(LEFT($AI112,2)="C|",IF($C112="","",SUMPRODUCT($AP$5:$AP$302*($AO$5:$AO$302=$A112)*$AQ$5:$AQ$302,$AS$5:$AS$302)),IF($AI112="CT",AF$13,IF(LEFT($AI112,3)="AM|",IF($C112="","",SUMPRODUCT($AP$5:$AP$302*($AN$5:$AN$302=$A112)*$AQ$5:$AQ$302,$AS$5:$AS$302)),IF(LEFT($AI112,2)="S|",IF($AG112="","",IF(INDEX($AQ$5:$AQ$302,$AH112)=1,P112,0)),IF($AI112="HDR","LFL Trans",""))))))</f>
        <v/>
      </c>
      <c r="AG112" s="8" t="str" cm="1">
        <f t="array" ref="AG112">IF($AI112="","",IF(LEFT($AI112,2)="C|","",IF($AI112="CT","",IF(LEFT($AI112,3)="AM|","",IF(LEFT($AI112,2)="S|",IF($AH112="","",IF(INDEX($AP$5:$AP$302,$AH112)=1,1,"")),IF($AI112="HDR","Show",""))))))</f>
        <v/>
      </c>
      <c r="AH112" s="8" t="str">
        <f t="shared" si="75"/>
        <v/>
      </c>
      <c r="AI112" s="8"/>
      <c r="AN112" s="8" t="str" cm="1">
        <f t="array" ref="AN112">IF($AW112="","",_xlfn.LET(_xlpm.sa,IFERROR(TRIM(INDEX('Sales and count'!$D$4:$D$300,$BF112)&amp;""),""),_xlpm.ta,IFERROR(TRIM(INDEX('TY Sales Target'!$F$5:$F$300,$BG112)&amp;""),""),IF(AND(_xlpm.sa&lt;&gt;"",LEFT(_xlpm.sa,1)&lt;&gt;"#",_xlpm.sa&lt;&gt;"0"),_xlpm.sa,IF(AND(_xlpm.ta&lt;&gt;"",LEFT(_xlpm.ta,1)&lt;&gt;"#",_xlpm.ta&lt;&gt;"0"),_xlpm.ta,IF(ISNUMBER($BG112),"Unassigned","")))))</f>
        <v>Ahlam Al Zahrani</v>
      </c>
      <c r="AO112" s="8" t="str" cm="1">
        <f t="array" ref="AO112">IF($AW112="","",_xlfn.LET(_xlpm.sa,IFERROR(TRIM(INDEX('Sales and count'!$C$4:$C$300,$BF112)&amp;""),""),_xlpm.ta,IFERROR(TRIM(INDEX('TY Sales Target'!$D$5:$D$300,$BG112)&amp;""),""),IF(AND(_xlpm.sa&lt;&gt;"",LEFT(_xlpm.sa,1)&lt;&gt;"#",_xlpm.sa&lt;&gt;"0"),_xlpm.sa,IF(AND(_xlpm.ta&lt;&gt;"",LEFT(_xlpm.ta,1)&lt;&gt;"#",_xlpm.ta&lt;&gt;"0"),_xlpm.ta,""))))</f>
        <v>Baha</v>
      </c>
      <c r="AP112" s="8">
        <f t="shared" si="60"/>
        <v>0</v>
      </c>
      <c r="AQ112" s="8">
        <f t="shared" si="61"/>
        <v>0</v>
      </c>
      <c r="AR112" s="8" cm="1">
        <f t="array" ref="AR112">IF($BF112="",0,_xlfn.LET(_xlpm.d,IFERROR(--'Sales and count'!$G$2:$CC$2,0),SUMPRODUCT(('Sales and count'!$G$3:$CC$3="Total")*(_xlpm.d&gt;=$U$4)*(_xlpm.d&lt;=$U$5),INDEX('Sales and count'!$G$4:$CC$300,$BF112,0))))</f>
        <v>53643.369999999995</v>
      </c>
      <c r="AS112" s="8" cm="1">
        <f t="array" aca="1" ref="AS112" ca="1">IF($BF112="",0,_xlfn.LET(_xlpm.d,IFERROR(--'Sales and count'!$F$2:$CB$2,0),SUMPRODUCT(('Sales and count'!$G$3:$CC$3="Transactions")*(_xlpm.d&gt;=$U$4)*(_xlpm.d&lt;=$U$5),INDEX('Sales and count'!$G$4:$CC$300,$BF112,0))))</f>
        <v>359</v>
      </c>
      <c r="AT112" s="8" cm="1">
        <f t="array" ref="AT112">IF($AW112="",0,SUMPRODUCT((TRIM('LY Sales '!$B$5:$B$200)=$AW112)*('LY Sales '!$C$2:$AG$2&gt;=EDATE($U$4,-12))*('LY Sales '!$C$2:$AG$2&lt;=EDATE($U$5,-12)),'LY Sales '!$C$5:$AG$200))</f>
        <v>0</v>
      </c>
      <c r="AU112" s="8" cm="1">
        <f t="array" ref="AU112">IF($AW112="",0,SUMPRODUCT((TRIM('LY Transaction'!$B$5:$B$200)=$AW112)*('LY Transaction'!$C$2:$AG$2&gt;=EDATE($U$4,-12))*('LY Transaction'!$C$2:$AG$2&lt;=EDATE($U$5,-12)),'LY Transaction'!$C$5:$AG$200))</f>
        <v>0</v>
      </c>
      <c r="AV112" s="8" cm="1">
        <f t="array" ref="AV112">IF(NOT(ISNUMBER($BG112)),0,SUMPRODUCT(('TY Sales Target'!$K$2:$AO$2&gt;=$U$4)*('TY Sales Target'!$K$2:$AO$2&lt;=$U$5),INDEX('TY Sales Target'!$K$5:$AO$300,$BG112,0)))</f>
        <v>117203.51352736924</v>
      </c>
      <c r="AW112" s="8" t="str" cm="1">
        <f t="array" ref="AW112">IFERROR(INDEX(_xlfn.ANCHORARRAY($BR$5),ROWS($AW$5:AW112)),"")</f>
        <v>HABAHAML</v>
      </c>
      <c r="BB112" cm="1">
        <f t="array" ref="BB112">IF($AW112="",0,SUMPRODUCT((TRIM(Footfall!$B$5:$B$301)=$AW112)*(Footfall!$C$1:$BZ$1&gt;=$U$4)*(Footfall!$C$2:$BZ$2&lt;=$U$5)*(Footfall!$C$1:$BZ$1&lt;&gt;""),Footfall!$C$5:$BZ$301))</f>
        <v>4106</v>
      </c>
      <c r="BC112" cm="1">
        <f t="array" aca="1" ref="BC112" ca="1">IF(OR($BB112&lt;=0,$BD$1="",$BF112=""),0,_xlfn.LET(_xlpm.d,IFERROR(--'Sales and count'!$F$2:$CB$2,0),SUMPRODUCT(('Sales and count'!$G$3:$CC$3="Transactions")*(_xlpm.d&gt;=$BD$1)*(_xlpm.d&lt;=$BD$2),INDEX('Sales and count'!$G$4:$CC$300,$BF112,0))))</f>
        <v>359</v>
      </c>
      <c r="BF112" cm="1">
        <f t="array" ref="BF112">IF($AW112="","",IFERROR(MATCH($AW112,TRIM('Sales and count'!$A$4:$A$300&amp;""),0),""))</f>
        <v>108</v>
      </c>
      <c r="BG112" cm="1">
        <f t="array" ref="BG112">IF($AW112="","",IFERROR(MATCH(IFERROR(_xlfn.XLOOKUP($AW112,$BT$5:$BT$22,$BU$5:$BU$22),$AW112),TRIM('TY Sales Target'!$B$5:$B$300&amp;""),0),""))</f>
        <v>84</v>
      </c>
      <c r="BH112" t="str" cm="1">
        <f t="array" ref="BH112">IF(ISNUMBER($BG112),_xlfn.LET(_xlpm.p,TRIM(INDEX('TY Sales Target'!$I$5:$I$300,$BG112)&amp;""),IF(_xlpm.p="","Not set",_xlpm.p)),"Not set")</f>
        <v>I Pad</v>
      </c>
      <c r="BI112" cm="1">
        <f t="array" ref="BI112">IF($BF112="",0,_xlfn.LET(_xlpm.d,IFERROR(--'Sales and count'!$G$2:$CC$2,0),SUMPRODUCT(('Sales and count'!$G$3:$CC$3="Total")*(_xlpm.d&gt;=$BZ$5)*(_xlpm.d&lt;=$BZ$6),INDEX('Sales and count'!$G$4:$CC$300,$BF112,0))))</f>
        <v>53643.369999999995</v>
      </c>
      <c r="BJ112" cm="1">
        <f t="array" ref="BJ112">IF($AW112="",0,SUMPRODUCT((TRIM('LY Sales '!$B$5:$B$200)=$AW112)*('LY Sales '!$C$2:$AG$2&gt;=EDATE($BZ$5,-12))*('LY Sales '!$C$2:$AG$2&lt;=EDATE($BZ$6,-12)),'LY Sales '!$C$5:$AG$200))</f>
        <v>0</v>
      </c>
      <c r="BK112" cm="1">
        <f t="array" ref="BK112">IF($AW112="",0,SUMPRODUCT((TRIM('LY Sales '!$B$5:$B$200)=$AW112)*('LY Sales '!$C$2:$AG$2&gt;=EDATE($BZ$5,-12))*('LY Sales '!$C$2:$AG$2&lt;=EDATE($BZ$7,-12)),'LY Sales '!$C$5:$AG$200))</f>
        <v>0</v>
      </c>
      <c r="BL112" cm="1">
        <f t="array" ref="BL112">IF($AW112="",0,SUMPRODUCT((TRIM('LY Sales '!$B$5:$B$200)=$AW112)*('LY Sales '!$C$2:$AG$2&gt;=EDATE($BZ$5,-12))*('LY Sales '!$C$2:$AG$2&lt;=EDATE($BZ$6,-12))*('LY Sales '!$C$5:$AG$200&gt;0)))</f>
        <v>0</v>
      </c>
      <c r="BM112" cm="1">
        <f t="array" ref="BM112">IF(NOT(ISNUMBER($BG112)),0,SUMPRODUCT(('TY Sales Target'!$K$2:$AO$2&gt;=$BZ$5)*('TY Sales Target'!$K$2:$AO$2&lt;=$BZ$6),INDEX('TY Sales Target'!$K$5:$AO$300,$BG112,0)))</f>
        <v>117203.51352736924</v>
      </c>
      <c r="BN112" cm="1">
        <f t="array" ref="BN112">IF(NOT(ISNUMBER($BG112)),0,SUMPRODUCT(('TY Sales Target'!$K$2:$AO$2&gt;=$BZ$5)*('TY Sales Target'!$K$2:$AO$2&lt;=$BZ$7),INDEX('TY Sales Target'!$K$5:$AO$300,$BG112,0)))</f>
        <v>152972.25674718717</v>
      </c>
      <c r="BO112" cm="1">
        <f t="array" ref="BO112">IF($AW112="",0,IFERROR(_xlfn.SWITCH($BP112,"LY trend",$BI112*$BK112/$BJ112,"Target curve",$BI112*$BN112/$BM112,"Run rate",$BI112/$BZ$8*$BZ$9,0),0))</f>
        <v>70014.516813167997</v>
      </c>
      <c r="BP112" t="str">
        <f t="shared" si="59"/>
        <v>Target curve</v>
      </c>
      <c r="BR112" t="str">
        <v>HABAHAML</v>
      </c>
      <c r="CB112" cm="1">
        <f t="array" ref="CB112">IF($AW112="",0,_xlfn.LET(_xlpm.k,IFERROR(_xlfn.XLOOKUP($AW112,$CD$6:$CD$21,$CE$6:$CE$21),$AW112),SUMPRODUCT((TRIM('Makeup '!$A$2:$A$300&amp;"")=_xlpm.k)*1,IFERROR('Makeup '!$F$2:$F$300*1,0))))</f>
        <v>5386.48</v>
      </c>
      <c r="CF112" t="str" cm="1">
        <f t="array" ref="CF112">IF($AW112="","",_xlfn.LET(_xlpm.c,IFERROR(TRIM(INDEX('Sales and count'!$B$4:$B$300,$BF112)&amp;""),""),IF(OR(_xlpm.c="",_xlpm.c="0",LEFT(_xlpm.c,1)="#"),"Not set",_xlpm.c)))</f>
        <v>KSA</v>
      </c>
      <c r="CH112" cm="1">
        <f t="array" ref="CH112">IF($AW112="",0,_xlfn.LET(_xlpm.k,IFERROR(_xlfn.XLOOKUP($AW112,$CD$6:$CD$21,$CE$6:$CE$21),$AW112),--(SUMPRODUCT((TRIM('Makeup '!$A$2:$A$300&amp;"")=_xlpm.k)*ISNUMBER('Makeup '!$F$2:$F$300))&gt;0)))</f>
        <v>1</v>
      </c>
      <c r="CI112">
        <f t="shared" si="62"/>
        <v>53643.369999999995</v>
      </c>
      <c r="CJ112" cm="1">
        <f t="array" ref="CJ112">IF($AW112="",0,--(SUMPRODUCT(--(TRIM(Footfall!$B$5:$B$301)=$AW112))&gt;0))</f>
        <v>1</v>
      </c>
      <c r="CK112" s="8" cm="1">
        <f t="array" ref="CK112">IF($AW112="",0,_xlfn.LET(_xlpm.r,IFERROR(MATCH(IFERROR(_xlfn.XLOOKUP($AW112,$BT$5:$BT$22,$BU$5:$BU$22),$AW112),TRIM('TY Beauty Target'!$B$5:$B$300&amp;""),0),""),IF(ISNUMBER(_xlpm.r),SUMPRODUCT(('TY Beauty Target'!$L$2:$AP$2&gt;=$U$4)*('TY Beauty Target'!$L$2:$AP$2&lt;=$U$5),INDEX('TY Beauty Target'!$L$5:$AP$300,_xlpm.r,0)),0)))</f>
        <v>12163.793912849505</v>
      </c>
    </row>
    <row r="113" spans="1:89" ht="15" customHeight="1" x14ac:dyDescent="0.25">
      <c r="A113" s="38" t="str">
        <f t="shared" si="63"/>
        <v/>
      </c>
      <c r="B113" s="43" t="str" cm="1">
        <f t="array" ref="B113">IF($AI113="","",IF(LEFT($AI113,2)="C|",IF($C113="","",_xlfn.TEXTJOIN(", ",TRUE,_xlfn.UNIQUE(_xlfn._xlws.FILTER($AN$5:$AN$302,($AP$5:$AP$302=1)*($AO$5:$AO$302=$A113))))),IF($AI113="CT",B$13,IF(LEFT($AI113,3)="AM|",IF($C113="","",ROWS(_xlfn.UNIQUE(_xlfn._xlws.FILTER($AO$5:$AO$302,($AP$5:$AP$302=1)*($AN$5:$AN$302=$A113))))),IF(LEFT($AI113,2)="S|",IF($AG113="","",INDEX($AO$5:$AO$302,$AH113)),IF($AI113="HDR","City",""))))))</f>
        <v/>
      </c>
      <c r="C113" s="39" t="str" cm="1">
        <f t="array" ref="C113">IF($AI113="","",IF(LEFT($AI113,2)="C|",_xlfn.LET(_xlpm.n,SUMPRODUCT($AP$5:$AP$302*($AO$5:$AO$302=$A113)),IF(_xlpm.n=0,"",_xlpm.n)),IF($AI113="CT",C$13,IF(LEFT($AI113,3)="AM|",_xlfn.LET(_xlpm.n,SUMPRODUCT($AP$5:$AP$302*($AN$5:$AN$302=$A113)),IF(_xlpm.n=0,"",_xlpm.n)),IF(LEFT($AI113,2)="S|","",IF($AI113="HDR","# Stores",""))))))</f>
        <v/>
      </c>
      <c r="D113" s="40" t="str" cm="1">
        <f t="array" ref="D113">IF($AI113="","",IF(LEFT($AI113,2)="C|",IF($C113="","",SUMPRODUCT($AP$5:$AP$302*($AO$5:$AO$302=$A113),$AR$5:$AR$302)),IF($AI113="CT",D$13,IF(LEFT($AI113,3)="AM|",IF($C113="","",SUMPRODUCT($AP$5:$AP$302*($AN$5:$AN$302=$A113),$AR$5:$AR$302)),IF(LEFT($AI113,2)="S|",IF($AG113="","",INDEX($AR$5:$AR$302,$AH113)),IF($AI113="HDR","Sales TY",""))))))</f>
        <v/>
      </c>
      <c r="E113" s="40" t="str" cm="1">
        <f t="array" ref="E113">IF($AI113="","",IF(LEFT($AI113,2)="C|",IF($C113="","",SUMPRODUCT($AP$5:$AP$302*($AO$5:$AO$302=$A113),$AT$5:$AT$302)),IF($AI113="CT",E$13,IF(LEFT($AI113,3)="AM|",IF($C113="","",SUMPRODUCT($AP$5:$AP$302*($AN$5:$AN$302=$A113),$AT$5:$AT$302)),IF(LEFT($AI113,2)="S|",IF($AG113="","",INDEX($AT$5:$AT$302,$AH113)),IF($AI113="HDR","Sales LY",""))))))</f>
        <v/>
      </c>
      <c r="F113" s="41" t="str">
        <f t="shared" si="64"/>
        <v/>
      </c>
      <c r="G113" s="41" t="str">
        <f t="shared" si="65"/>
        <v/>
      </c>
      <c r="H113" s="40" t="str" cm="1">
        <f t="array" ref="H113">IF($AI113="","",IF(LEFT($AI113,2)="C|",IF($C113="","",SUMPRODUCT($AP$5:$AP$302*($AO$5:$AO$302=$A113),$AV$5:$AV$302)),IF($AI113="CT",H$13,IF(LEFT($AI113,3)="AM|",IF($C113="","",SUMPRODUCT($AP$5:$AP$302*($AN$5:$AN$302=$A113),$AV$5:$AV$302)),IF(LEFT($AI113,2)="S|",IF($AG113="","",INDEX($AV$5:$AV$302,$AH113)),IF($AI113="HDR","Target",""))))))</f>
        <v/>
      </c>
      <c r="I113" s="41" t="str">
        <f t="shared" si="66"/>
        <v/>
      </c>
      <c r="J113" s="40" t="str">
        <f t="shared" si="67"/>
        <v/>
      </c>
      <c r="K113" s="41" t="str">
        <f t="shared" si="68"/>
        <v/>
      </c>
      <c r="L113" s="40" t="str" cm="1">
        <f t="array" ref="L113">IF($AI113="","",IF(LEFT($AI113,2)="C|",IF($C113="","",SUMPRODUCT($AP$5:$AP$302*($AO$5:$AO$302=$A113),$BN$5:$BN$302)),IF($AI113="CT",L$13,IF(LEFT($AI113,3)="AM|",IF($C113="","",SUMPRODUCT($AP$5:$AP$302*($AN$5:$AN$302=$A113),$BN$5:$BN$302)),IF(LEFT($AI113,2)="S|",IF($AG113="","",INDEX($BN$5:$BN$302,$AH113)),IF($AI113="HDR","Month Target",""))))))</f>
        <v/>
      </c>
      <c r="M113" s="40" t="str" cm="1">
        <f t="array" ref="M113">IF($AI113="","",IF(LEFT($AI113,2)="C|",IF($C113="","",SUMPRODUCT($AP$5:$AP$302*($AO$5:$AO$302=$A113),$BO$5:$BO$302)),IF($AI113="CT",M$13,IF(LEFT($AI113,3)="AM|",IF($C113="","",SUMPRODUCT($AP$5:$AP$302*($AN$5:$AN$302=$A113),$BO$5:$BO$302)),IF(LEFT($AI113,2)="S|",IF($AG113="","",INDEX($BO$5:$BO$302,$AH113)),IF($AI113="HDR","Projected Close",""))))))</f>
        <v/>
      </c>
      <c r="N113" s="41" t="str">
        <f t="shared" si="76"/>
        <v/>
      </c>
      <c r="O113" s="41" t="str" cm="1">
        <f t="array" ref="O113">IF($AI113="HDR","Proj. vs LY",IF(OR($AI113="",M113=""),"",_xlfn.LET(_xlpm.ly,IF(LEFT($AI113,2)="C|",SUMPRODUCT($AP$5:$AP$302*($AO$5:$AO$302=$A113),$BK$5:$BK$302),IF($AI113="CT",SUMPRODUCT($AP$5:$AP$302,$BK$5:$BK$302),IF(LEFT($AI113,3)="AM|",SUMPRODUCT($AP$5:$AP$302*($AN$5:$AN$302=$A113),$BK$5:$BK$302),IF(LEFT($AI113,2)="S|",INDEX($BK$5:$BK$302,$AH113),0)))),IFERROR(M113/_xlpm.ly-1,""))))</f>
        <v/>
      </c>
      <c r="P113" s="40" t="str" cm="1">
        <f t="array" ref="P113">IF($AI113="","",IF(LEFT($AI113,2)="C|",IF($C113="","",SUMPRODUCT($AP$5:$AP$302*($AO$5:$AO$302=$A113),$AS$5:$AS$302)),IF($AI113="CT",P$13,IF(LEFT($AI113,3)="AM|",IF($C113="","",SUMPRODUCT($AP$5:$AP$302*($AN$5:$AN$302=$A113),$AS$5:$AS$302)),IF(LEFT($AI113,2)="S|",IF($AG113="","",INDEX($AS$5:$AS$302,$AH113)),IF($AI113="HDR","Trans TY",""))))))</f>
        <v/>
      </c>
      <c r="Q113" s="40" t="str" cm="1">
        <f t="array" ref="Q113">IF($AI113="","",IF(LEFT($AI113,2)="C|",IF($C113="","",SUMPRODUCT($AP$5:$AP$302*($AO$5:$AO$302=$A113),$AU$5:$AU$302)),IF($AI113="CT",Q$13,IF(LEFT($AI113,3)="AM|",IF($C113="","",SUMPRODUCT($AP$5:$AP$302*($AN$5:$AN$302=$A113),$AU$5:$AU$302)),IF(LEFT($AI113,2)="S|",IF($AG113="","",INDEX($AU$5:$AU$302,$AH113)),IF($AI113="HDR","Trans LY",""))))))</f>
        <v/>
      </c>
      <c r="R113" s="41" t="str">
        <f t="shared" si="69"/>
        <v/>
      </c>
      <c r="S113" s="41" t="str">
        <f t="shared" si="70"/>
        <v/>
      </c>
      <c r="T113" s="42" t="str">
        <f t="shared" si="71"/>
        <v/>
      </c>
      <c r="U113" s="42" t="str">
        <f t="shared" si="72"/>
        <v/>
      </c>
      <c r="V113" s="41" t="str">
        <f t="shared" si="73"/>
        <v/>
      </c>
      <c r="W113" s="40" t="str" cm="1">
        <f t="array" ref="W113">IF($AI113="","",IF(LEFT($AI113,2)="C|",_xlfn.LET(_xlpm.n,SUMPRODUCT($AP$5:$AP$302*($AO$5:$AO$302=$A113),$BB$5:$BB$302),IF(_xlpm.n=0,"",_xlpm.n)),IF($AI113="CT",W$13,IF(LEFT($AI113,3)="AM|",_xlfn.LET(_xlpm.n,SUMPRODUCT($AP$5:$AP$302*($AN$5:$AN$302=$A113),$BB$5:$BB$302),IF(_xlpm.n=0,"",_xlpm.n)),IF(LEFT($AI113,2)="S|",IF($AG113="","",_xlfn.LET(_xlpm.n,INDEX($BB$5:$BB$302,$AH113),IF(_xlpm.n=0,"",_xlpm.n))),IF($AI113="HDR","Footfall",""))))))</f>
        <v/>
      </c>
      <c r="X113" s="40" t="str" cm="1">
        <f t="array" ref="X113">IF($AI113="","",IF($AI113="HDR","Trans (FF stores)",IF(W113="","",IF(LEFT($AI113,2)="C|",SUMPRODUCT($AP$5:$AP$302*($AO$5:$AO$302=$A113),$BC$5:$BC$302),IF($AI113="CT",X$13,IF(LEFT($AI113,3)="AM|",SUMPRODUCT($AP$5:$AP$302*($AN$5:$AN$302=$A113),$BC$5:$BC$302),IF(LEFT($AI113,2)="S|",INDEX($BC$5:$BC$302,$AH113),"")))))))</f>
        <v/>
      </c>
      <c r="Y113" s="41" t="str">
        <f t="shared" si="77"/>
        <v/>
      </c>
      <c r="Z113" s="40" t="str" cm="1">
        <f t="array" ref="Z113">IF($AI113="","",IF(LEFT($AI113,2)="C|",IF($C113="","",SUMPRODUCT($AP$5:$AP$302*($AO$5:$AO$302=$A113),$CB$5:$CB$302)),IF($AI113="CT",Z$13,IF(LEFT($AI113,3)="AM|",IF($C113="","",SUMPRODUCT($AP$5:$AP$302*($AN$5:$AN$302=$A113),$CB$5:$CB$302)),IF(LEFT($AI113,2)="S|",IF($AG113="","",INDEX($CB$5:$CB$302,$AH113)),IF($AI113="HDR","Makeup Sales",""))))))</f>
        <v/>
      </c>
      <c r="AA113" s="41" t="str">
        <f t="shared" si="74"/>
        <v/>
      </c>
      <c r="AB113" s="40" t="str" cm="1">
        <f t="array" ref="AB113">IF($AI113="","",IF(LEFT($AI113,2)="C|",IF($C113="","",SUMPRODUCT($AP$5:$AP$302*($AO$5:$AO$302=$A113),$CK$5:$CK$302)),IF($AI113="CT",AB$13,IF(LEFT($AI113,3)="AM|",IF($C113="","",SUMPRODUCT($AP$5:$AP$302*($AN$5:$AN$302=$A113),$CK$5:$CK$302)),IF(LEFT($AI113,2)="S|",IF($AG113="","",INDEX($CK$5:$CK$302,$AH113)),IF($AI113="HDR","Makeup Target",""))))))</f>
        <v/>
      </c>
      <c r="AC113" s="41" t="str">
        <f t="shared" si="78"/>
        <v/>
      </c>
      <c r="AD113" s="40" t="str" cm="1">
        <f t="array" ref="AD113">IF($AI113="","",IF(LEFT($AI113,2)="C|",IF($C113="","",SUMPRODUCT($AP$5:$AP$302*($AO$5:$AO$302=$A113),$CI$5:$CI$302)),IF($AI113="CT",AD$13,IF(LEFT($AI113,3)="AM|",IF($C113="","",SUMPRODUCT($AP$5:$AP$302*($AN$5:$AN$302=$A113),$CI$5:$CI$302)),IF(LEFT($AI113,2)="S|",IF($AG113="","",INDEX($CI$5:$CI$302,$AH113)),IF($AI113="HDR","Cosmetic Sales",""))))))</f>
        <v/>
      </c>
      <c r="AE113" s="8" t="str" cm="1">
        <f t="array" ref="AE113">IF($AI113="","",IF(LEFT($AI113,2)="C|",IF($C113="","",SUMPRODUCT($AP$5:$AP$302*($AO$5:$AO$302=$A113)*$AQ$5:$AQ$302,$AR$5:$AR$302)),IF($AI113="CT",AE$13,IF(LEFT($AI113,3)="AM|",IF($C113="","",SUMPRODUCT($AP$5:$AP$302*($AN$5:$AN$302=$A113)*$AQ$5:$AQ$302,$AR$5:$AR$302)),IF(LEFT($AI113,2)="S|",IF($AG113="","",IF(INDEX($AQ$5:$AQ$302,$AH113)=1,D113,0)),IF($AI113="HDR","LFL Sales",""))))))</f>
        <v/>
      </c>
      <c r="AF113" s="8" t="str" cm="1">
        <f t="array" ref="AF113">IF($AI113="","",IF(LEFT($AI113,2)="C|",IF($C113="","",SUMPRODUCT($AP$5:$AP$302*($AO$5:$AO$302=$A113)*$AQ$5:$AQ$302,$AS$5:$AS$302)),IF($AI113="CT",AF$13,IF(LEFT($AI113,3)="AM|",IF($C113="","",SUMPRODUCT($AP$5:$AP$302*($AN$5:$AN$302=$A113)*$AQ$5:$AQ$302,$AS$5:$AS$302)),IF(LEFT($AI113,2)="S|",IF($AG113="","",IF(INDEX($AQ$5:$AQ$302,$AH113)=1,P113,0)),IF($AI113="HDR","LFL Trans",""))))))</f>
        <v/>
      </c>
      <c r="AG113" s="8" t="str" cm="1">
        <f t="array" ref="AG113">IF($AI113="","",IF(LEFT($AI113,2)="C|","",IF($AI113="CT","",IF(LEFT($AI113,3)="AM|","",IF(LEFT($AI113,2)="S|",IF($AH113="","",IF(INDEX($AP$5:$AP$302,$AH113)=1,1,"")),IF($AI113="HDR","Show",""))))))</f>
        <v/>
      </c>
      <c r="AH113" s="8" t="str">
        <f t="shared" si="75"/>
        <v/>
      </c>
      <c r="AI113" s="8"/>
      <c r="AN113" s="8" t="str" cm="1">
        <f t="array" ref="AN113">IF($AW113="","",_xlfn.LET(_xlpm.sa,IFERROR(TRIM(INDEX('Sales and count'!$D$4:$D$300,$BF113)&amp;""),""),_xlpm.ta,IFERROR(TRIM(INDEX('TY Sales Target'!$F$5:$F$300,$BG113)&amp;""),""),IF(AND(_xlpm.sa&lt;&gt;"",LEFT(_xlpm.sa,1)&lt;&gt;"#",_xlpm.sa&lt;&gt;"0"),_xlpm.sa,IF(AND(_xlpm.ta&lt;&gt;"",LEFT(_xlpm.ta,1)&lt;&gt;"#",_xlpm.ta&lt;&gt;"0"),_xlpm.ta,IF(ISNUMBER($BG113),"Unassigned","")))))</f>
        <v>Mohammed Sanad</v>
      </c>
      <c r="AO113" s="8" t="str" cm="1">
        <f t="array" ref="AO113">IF($AW113="","",_xlfn.LET(_xlpm.sa,IFERROR(TRIM(INDEX('Sales and count'!$C$4:$C$300,$BF113)&amp;""),""),_xlpm.ta,IFERROR(TRIM(INDEX('TY Sales Target'!$D$5:$D$300,$BG113)&amp;""),""),IF(AND(_xlpm.sa&lt;&gt;"",LEFT(_xlpm.sa,1)&lt;&gt;"#",_xlpm.sa&lt;&gt;"0"),_xlpm.sa,IF(AND(_xlpm.ta&lt;&gt;"",LEFT(_xlpm.ta,1)&lt;&gt;"#",_xlpm.ta&lt;&gt;"0"),_xlpm.ta,""))))</f>
        <v>Riyadh</v>
      </c>
      <c r="AP113" s="8">
        <f t="shared" si="60"/>
        <v>0</v>
      </c>
      <c r="AQ113" s="8">
        <f t="shared" si="61"/>
        <v>0</v>
      </c>
      <c r="AR113" s="8" cm="1">
        <f t="array" ref="AR113">IF($BF113="",0,_xlfn.LET(_xlpm.d,IFERROR(--'Sales and count'!$G$2:$CC$2,0),SUMPRODUCT(('Sales and count'!$G$3:$CC$3="Total")*(_xlpm.d&gt;=$U$4)*(_xlpm.d&lt;=$U$5),INDEX('Sales and count'!$G$4:$CC$300,$BF113,0))))</f>
        <v>71354.720000000001</v>
      </c>
      <c r="AS113" s="8" cm="1">
        <f t="array" aca="1" ref="AS113" ca="1">IF($BF113="",0,_xlfn.LET(_xlpm.d,IFERROR(--'Sales and count'!$F$2:$CB$2,0),SUMPRODUCT(('Sales and count'!$G$3:$CC$3="Transactions")*(_xlpm.d&gt;=$U$4)*(_xlpm.d&lt;=$U$5),INDEX('Sales and count'!$G$4:$CC$300,$BF113,0))))</f>
        <v>442</v>
      </c>
      <c r="AT113" s="8" cm="1">
        <f t="array" ref="AT113">IF($AW113="",0,SUMPRODUCT((TRIM('LY Sales '!$B$5:$B$200)=$AW113)*('LY Sales '!$C$2:$AG$2&gt;=EDATE($U$4,-12))*('LY Sales '!$C$2:$AG$2&lt;=EDATE($U$5,-12)),'LY Sales '!$C$5:$AG$200))</f>
        <v>0</v>
      </c>
      <c r="AU113" s="8" cm="1">
        <f t="array" ref="AU113">IF($AW113="",0,SUMPRODUCT((TRIM('LY Transaction'!$B$5:$B$200)=$AW113)*('LY Transaction'!$C$2:$AG$2&gt;=EDATE($U$4,-12))*('LY Transaction'!$C$2:$AG$2&lt;=EDATE($U$5,-12)),'LY Transaction'!$C$5:$AG$200))</f>
        <v>0</v>
      </c>
      <c r="AV113" s="8" cm="1">
        <f t="array" ref="AV113">IF(NOT(ISNUMBER($BG113)),0,SUMPRODUCT(('TY Sales Target'!$K$2:$AO$2&gt;=$U$4)*('TY Sales Target'!$K$2:$AO$2&lt;=$U$5),INDEX('TY Sales Target'!$K$5:$AO$300,$BG113,0)))</f>
        <v>191543.74136133082</v>
      </c>
      <c r="AW113" s="8" t="str" cm="1">
        <f t="array" ref="AW113">IFERROR(INDEX(_xlfn.ANCHORARRAY($BR$5),ROWS($AW$5:AW113)),"")</f>
        <v>HASULITMAL</v>
      </c>
      <c r="BB113" cm="1">
        <f t="array" ref="BB113">IF($AW113="",0,SUMPRODUCT((TRIM(Footfall!$B$5:$B$301)=$AW113)*(Footfall!$C$1:$BZ$1&gt;=$U$4)*(Footfall!$C$2:$BZ$2&lt;=$U$5)*(Footfall!$C$1:$BZ$1&lt;&gt;""),Footfall!$C$5:$BZ$301))</f>
        <v>0</v>
      </c>
      <c r="BC113" cm="1">
        <f t="array" ref="BC113">IF(OR($BB113&lt;=0,$BD$1="",$BF113=""),0,_xlfn.LET(_xlpm.d,IFERROR(--'Sales and count'!$F$2:$CB$2,0),SUMPRODUCT(('Sales and count'!$G$3:$CC$3="Transactions")*(_xlpm.d&gt;=$BD$1)*(_xlpm.d&lt;=$BD$2),INDEX('Sales and count'!$G$4:$CC$300,$BF113,0))))</f>
        <v>0</v>
      </c>
      <c r="BF113" cm="1">
        <f t="array" ref="BF113">IF($AW113="","",IFERROR(MATCH($AW113,TRIM('Sales and count'!$A$4:$A$300&amp;""),0),""))</f>
        <v>109</v>
      </c>
      <c r="BG113" cm="1">
        <f t="array" ref="BG113">IF($AW113="","",IFERROR(MATCH(IFERROR(_xlfn.XLOOKUP($AW113,$BT$5:$BT$22,$BU$5:$BU$22),$AW113),TRIM('TY Sales Target'!$B$5:$B$300&amp;""),0),""))</f>
        <v>47</v>
      </c>
      <c r="BH113" t="str" cm="1">
        <f t="array" ref="BH113">IF(ISNUMBER($BG113),_xlfn.LET(_xlpm.p,TRIM(INDEX('TY Sales Target'!$I$5:$I$300,$BG113)&amp;""),IF(_xlpm.p="","Not set",_xlpm.p)),"Not set")</f>
        <v>Smart Phone</v>
      </c>
      <c r="BI113" cm="1">
        <f t="array" ref="BI113">IF($BF113="",0,_xlfn.LET(_xlpm.d,IFERROR(--'Sales and count'!$G$2:$CC$2,0),SUMPRODUCT(('Sales and count'!$G$3:$CC$3="Total")*(_xlpm.d&gt;=$BZ$5)*(_xlpm.d&lt;=$BZ$6),INDEX('Sales and count'!$G$4:$CC$300,$BF113,0))))</f>
        <v>71354.720000000001</v>
      </c>
      <c r="BJ113" cm="1">
        <f t="array" ref="BJ113">IF($AW113="",0,SUMPRODUCT((TRIM('LY Sales '!$B$5:$B$200)=$AW113)*('LY Sales '!$C$2:$AG$2&gt;=EDATE($BZ$5,-12))*('LY Sales '!$C$2:$AG$2&lt;=EDATE($BZ$6,-12)),'LY Sales '!$C$5:$AG$200))</f>
        <v>0</v>
      </c>
      <c r="BK113" cm="1">
        <f t="array" ref="BK113">IF($AW113="",0,SUMPRODUCT((TRIM('LY Sales '!$B$5:$B$200)=$AW113)*('LY Sales '!$C$2:$AG$2&gt;=EDATE($BZ$5,-12))*('LY Sales '!$C$2:$AG$2&lt;=EDATE($BZ$7,-12)),'LY Sales '!$C$5:$AG$200))</f>
        <v>0</v>
      </c>
      <c r="BL113" cm="1">
        <f t="array" ref="BL113">IF($AW113="",0,SUMPRODUCT((TRIM('LY Sales '!$B$5:$B$200)=$AW113)*('LY Sales '!$C$2:$AG$2&gt;=EDATE($BZ$5,-12))*('LY Sales '!$C$2:$AG$2&lt;=EDATE($BZ$6,-12))*('LY Sales '!$C$5:$AG$200&gt;0)))</f>
        <v>0</v>
      </c>
      <c r="BM113" cm="1">
        <f t="array" ref="BM113">IF(NOT(ISNUMBER($BG113)),0,SUMPRODUCT(('TY Sales Target'!$K$2:$AO$2&gt;=$BZ$5)*('TY Sales Target'!$K$2:$AO$2&lt;=$BZ$6),INDEX('TY Sales Target'!$K$5:$AO$300,$BG113,0)))</f>
        <v>191543.74136133082</v>
      </c>
      <c r="BN113" cm="1">
        <f t="array" ref="BN113">IF(NOT(ISNUMBER($BG113)),0,SUMPRODUCT(('TY Sales Target'!$K$2:$AO$2&gt;=$BZ$5)*('TY Sales Target'!$K$2:$AO$2&lt;=$BZ$7),INDEX('TY Sales Target'!$K$5:$AO$300,$BG113,0)))</f>
        <v>250000.00000000003</v>
      </c>
      <c r="BO113" cm="1">
        <f t="array" ref="BO113">IF($AW113="",0,IFERROR(_xlfn.SWITCH($BP113,"LY trend",$BI113*$BK113/$BJ113,"Target curve",$BI113*$BN113/$BM113,"Run rate",$BI113/$BZ$8*$BZ$9,0),0))</f>
        <v>93131.103492172406</v>
      </c>
      <c r="BP113" t="str">
        <f t="shared" si="59"/>
        <v>Target curve</v>
      </c>
      <c r="BR113" t="str">
        <v>HASULITMAL</v>
      </c>
      <c r="CB113" cm="1">
        <f t="array" ref="CB113">IF($AW113="",0,_xlfn.LET(_xlpm.k,IFERROR(_xlfn.XLOOKUP($AW113,$CD$6:$CD$21,$CE$6:$CE$21),$AW113),SUMPRODUCT((TRIM('Makeup '!$A$2:$A$300&amp;"")=_xlpm.k)*1,IFERROR('Makeup '!$F$2:$F$300*1,0))))</f>
        <v>3777.04</v>
      </c>
      <c r="CF113" t="str" cm="1">
        <f t="array" ref="CF113">IF($AW113="","",_xlfn.LET(_xlpm.c,IFERROR(TRIM(INDEX('Sales and count'!$B$4:$B$300,$BF113)&amp;""),""),IF(OR(_xlpm.c="",_xlpm.c="0",LEFT(_xlpm.c,1)="#"),"Not set",_xlpm.c)))</f>
        <v>KSA</v>
      </c>
      <c r="CH113" cm="1">
        <f t="array" ref="CH113">IF($AW113="",0,_xlfn.LET(_xlpm.k,IFERROR(_xlfn.XLOOKUP($AW113,$CD$6:$CD$21,$CE$6:$CE$21),$AW113),--(SUMPRODUCT((TRIM('Makeup '!$A$2:$A$300&amp;"")=_xlpm.k)*ISNUMBER('Makeup '!$F$2:$F$300))&gt;0)))</f>
        <v>1</v>
      </c>
      <c r="CI113">
        <f t="shared" si="62"/>
        <v>71354.720000000001</v>
      </c>
      <c r="CJ113" cm="1">
        <f t="array" ref="CJ113">IF($AW113="",0,--(SUMPRODUCT(--(TRIM(Footfall!$B$5:$B$301)=$AW113))&gt;0))</f>
        <v>0</v>
      </c>
      <c r="CK113" s="8" cm="1">
        <f t="array" ref="CK113">IF($AW113="",0,_xlfn.LET(_xlpm.r,IFERROR(MATCH(IFERROR(_xlfn.XLOOKUP($AW113,$BT$5:$BT$22,$BU$5:$BU$22),$AW113),TRIM('TY Beauty Target'!$B$5:$B$300&amp;""),0),""),IF(ISNUMBER(_xlpm.r),SUMPRODUCT(('TY Beauty Target'!$L$2:$AP$2&gt;=$U$4)*('TY Beauty Target'!$L$2:$AP$2&lt;=$U$5),INDEX('TY Beauty Target'!$L$5:$AP$300,_xlpm.r,0)),0)))</f>
        <v>10236.593975159831</v>
      </c>
    </row>
    <row r="114" spans="1:89" ht="15" customHeight="1" x14ac:dyDescent="0.25">
      <c r="A114" s="38" t="str">
        <f t="shared" si="63"/>
        <v/>
      </c>
      <c r="B114" s="43" t="str" cm="1">
        <f t="array" ref="B114">IF($AI114="","",IF(LEFT($AI114,2)="C|",IF($C114="","",_xlfn.TEXTJOIN(", ",TRUE,_xlfn.UNIQUE(_xlfn._xlws.FILTER($AN$5:$AN$302,($AP$5:$AP$302=1)*($AO$5:$AO$302=$A114))))),IF($AI114="CT",B$13,IF(LEFT($AI114,3)="AM|",IF($C114="","",ROWS(_xlfn.UNIQUE(_xlfn._xlws.FILTER($AO$5:$AO$302,($AP$5:$AP$302=1)*($AN$5:$AN$302=$A114))))),IF(LEFT($AI114,2)="S|",IF($AG114="","",INDEX($AO$5:$AO$302,$AH114)),IF($AI114="HDR","City",""))))))</f>
        <v/>
      </c>
      <c r="C114" s="39" t="str" cm="1">
        <f t="array" ref="C114">IF($AI114="","",IF(LEFT($AI114,2)="C|",_xlfn.LET(_xlpm.n,SUMPRODUCT($AP$5:$AP$302*($AO$5:$AO$302=$A114)),IF(_xlpm.n=0,"",_xlpm.n)),IF($AI114="CT",C$13,IF(LEFT($AI114,3)="AM|",_xlfn.LET(_xlpm.n,SUMPRODUCT($AP$5:$AP$302*($AN$5:$AN$302=$A114)),IF(_xlpm.n=0,"",_xlpm.n)),IF(LEFT($AI114,2)="S|","",IF($AI114="HDR","# Stores",""))))))</f>
        <v/>
      </c>
      <c r="D114" s="40" t="str" cm="1">
        <f t="array" ref="D114">IF($AI114="","",IF(LEFT($AI114,2)="C|",IF($C114="","",SUMPRODUCT($AP$5:$AP$302*($AO$5:$AO$302=$A114),$AR$5:$AR$302)),IF($AI114="CT",D$13,IF(LEFT($AI114,3)="AM|",IF($C114="","",SUMPRODUCT($AP$5:$AP$302*($AN$5:$AN$302=$A114),$AR$5:$AR$302)),IF(LEFT($AI114,2)="S|",IF($AG114="","",INDEX($AR$5:$AR$302,$AH114)),IF($AI114="HDR","Sales TY",""))))))</f>
        <v/>
      </c>
      <c r="E114" s="40" t="str" cm="1">
        <f t="array" ref="E114">IF($AI114="","",IF(LEFT($AI114,2)="C|",IF($C114="","",SUMPRODUCT($AP$5:$AP$302*($AO$5:$AO$302=$A114),$AT$5:$AT$302)),IF($AI114="CT",E$13,IF(LEFT($AI114,3)="AM|",IF($C114="","",SUMPRODUCT($AP$5:$AP$302*($AN$5:$AN$302=$A114),$AT$5:$AT$302)),IF(LEFT($AI114,2)="S|",IF($AG114="","",INDEX($AT$5:$AT$302,$AH114)),IF($AI114="HDR","Sales LY",""))))))</f>
        <v/>
      </c>
      <c r="F114" s="41" t="str">
        <f t="shared" si="64"/>
        <v/>
      </c>
      <c r="G114" s="41" t="str">
        <f t="shared" si="65"/>
        <v/>
      </c>
      <c r="H114" s="40" t="str" cm="1">
        <f t="array" ref="H114">IF($AI114="","",IF(LEFT($AI114,2)="C|",IF($C114="","",SUMPRODUCT($AP$5:$AP$302*($AO$5:$AO$302=$A114),$AV$5:$AV$302)),IF($AI114="CT",H$13,IF(LEFT($AI114,3)="AM|",IF($C114="","",SUMPRODUCT($AP$5:$AP$302*($AN$5:$AN$302=$A114),$AV$5:$AV$302)),IF(LEFT($AI114,2)="S|",IF($AG114="","",INDEX($AV$5:$AV$302,$AH114)),IF($AI114="HDR","Target",""))))))</f>
        <v/>
      </c>
      <c r="I114" s="41" t="str">
        <f t="shared" si="66"/>
        <v/>
      </c>
      <c r="J114" s="40" t="str">
        <f t="shared" si="67"/>
        <v/>
      </c>
      <c r="K114" s="41" t="str">
        <f t="shared" si="68"/>
        <v/>
      </c>
      <c r="L114" s="40" t="str" cm="1">
        <f t="array" ref="L114">IF($AI114="","",IF(LEFT($AI114,2)="C|",IF($C114="","",SUMPRODUCT($AP$5:$AP$302*($AO$5:$AO$302=$A114),$BN$5:$BN$302)),IF($AI114="CT",L$13,IF(LEFT($AI114,3)="AM|",IF($C114="","",SUMPRODUCT($AP$5:$AP$302*($AN$5:$AN$302=$A114),$BN$5:$BN$302)),IF(LEFT($AI114,2)="S|",IF($AG114="","",INDEX($BN$5:$BN$302,$AH114)),IF($AI114="HDR","Month Target",""))))))</f>
        <v/>
      </c>
      <c r="M114" s="40" t="str" cm="1">
        <f t="array" ref="M114">IF($AI114="","",IF(LEFT($AI114,2)="C|",IF($C114="","",SUMPRODUCT($AP$5:$AP$302*($AO$5:$AO$302=$A114),$BO$5:$BO$302)),IF($AI114="CT",M$13,IF(LEFT($AI114,3)="AM|",IF($C114="","",SUMPRODUCT($AP$5:$AP$302*($AN$5:$AN$302=$A114),$BO$5:$BO$302)),IF(LEFT($AI114,2)="S|",IF($AG114="","",INDEX($BO$5:$BO$302,$AH114)),IF($AI114="HDR","Projected Close",""))))))</f>
        <v/>
      </c>
      <c r="N114" s="41" t="str">
        <f t="shared" si="76"/>
        <v/>
      </c>
      <c r="O114" s="41" t="str" cm="1">
        <f t="array" ref="O114">IF($AI114="HDR","Proj. vs LY",IF(OR($AI114="",M114=""),"",_xlfn.LET(_xlpm.ly,IF(LEFT($AI114,2)="C|",SUMPRODUCT($AP$5:$AP$302*($AO$5:$AO$302=$A114),$BK$5:$BK$302),IF($AI114="CT",SUMPRODUCT($AP$5:$AP$302,$BK$5:$BK$302),IF(LEFT($AI114,3)="AM|",SUMPRODUCT($AP$5:$AP$302*($AN$5:$AN$302=$A114),$BK$5:$BK$302),IF(LEFT($AI114,2)="S|",INDEX($BK$5:$BK$302,$AH114),0)))),IFERROR(M114/_xlpm.ly-1,""))))</f>
        <v/>
      </c>
      <c r="P114" s="40" t="str" cm="1">
        <f t="array" ref="P114">IF($AI114="","",IF(LEFT($AI114,2)="C|",IF($C114="","",SUMPRODUCT($AP$5:$AP$302*($AO$5:$AO$302=$A114),$AS$5:$AS$302)),IF($AI114="CT",P$13,IF(LEFT($AI114,3)="AM|",IF($C114="","",SUMPRODUCT($AP$5:$AP$302*($AN$5:$AN$302=$A114),$AS$5:$AS$302)),IF(LEFT($AI114,2)="S|",IF($AG114="","",INDEX($AS$5:$AS$302,$AH114)),IF($AI114="HDR","Trans TY",""))))))</f>
        <v/>
      </c>
      <c r="Q114" s="40" t="str" cm="1">
        <f t="array" ref="Q114">IF($AI114="","",IF(LEFT($AI114,2)="C|",IF($C114="","",SUMPRODUCT($AP$5:$AP$302*($AO$5:$AO$302=$A114),$AU$5:$AU$302)),IF($AI114="CT",Q$13,IF(LEFT($AI114,3)="AM|",IF($C114="","",SUMPRODUCT($AP$5:$AP$302*($AN$5:$AN$302=$A114),$AU$5:$AU$302)),IF(LEFT($AI114,2)="S|",IF($AG114="","",INDEX($AU$5:$AU$302,$AH114)),IF($AI114="HDR","Trans LY",""))))))</f>
        <v/>
      </c>
      <c r="R114" s="41" t="str">
        <f t="shared" si="69"/>
        <v/>
      </c>
      <c r="S114" s="41" t="str">
        <f t="shared" si="70"/>
        <v/>
      </c>
      <c r="T114" s="42" t="str">
        <f t="shared" si="71"/>
        <v/>
      </c>
      <c r="U114" s="42" t="str">
        <f t="shared" si="72"/>
        <v/>
      </c>
      <c r="V114" s="41" t="str">
        <f t="shared" si="73"/>
        <v/>
      </c>
      <c r="W114" s="40" t="str" cm="1">
        <f t="array" ref="W114">IF($AI114="","",IF(LEFT($AI114,2)="C|",_xlfn.LET(_xlpm.n,SUMPRODUCT($AP$5:$AP$302*($AO$5:$AO$302=$A114),$BB$5:$BB$302),IF(_xlpm.n=0,"",_xlpm.n)),IF($AI114="CT",W$13,IF(LEFT($AI114,3)="AM|",_xlfn.LET(_xlpm.n,SUMPRODUCT($AP$5:$AP$302*($AN$5:$AN$302=$A114),$BB$5:$BB$302),IF(_xlpm.n=0,"",_xlpm.n)),IF(LEFT($AI114,2)="S|",IF($AG114="","",_xlfn.LET(_xlpm.n,INDEX($BB$5:$BB$302,$AH114),IF(_xlpm.n=0,"",_xlpm.n))),IF($AI114="HDR","Footfall",""))))))</f>
        <v/>
      </c>
      <c r="X114" s="40" t="str" cm="1">
        <f t="array" ref="X114">IF($AI114="","",IF($AI114="HDR","Trans (FF stores)",IF(W114="","",IF(LEFT($AI114,2)="C|",SUMPRODUCT($AP$5:$AP$302*($AO$5:$AO$302=$A114),$BC$5:$BC$302),IF($AI114="CT",X$13,IF(LEFT($AI114,3)="AM|",SUMPRODUCT($AP$5:$AP$302*($AN$5:$AN$302=$A114),$BC$5:$BC$302),IF(LEFT($AI114,2)="S|",INDEX($BC$5:$BC$302,$AH114),"")))))))</f>
        <v/>
      </c>
      <c r="Y114" s="41" t="str">
        <f t="shared" si="77"/>
        <v/>
      </c>
      <c r="Z114" s="40" t="str" cm="1">
        <f t="array" ref="Z114">IF($AI114="","",IF(LEFT($AI114,2)="C|",IF($C114="","",SUMPRODUCT($AP$5:$AP$302*($AO$5:$AO$302=$A114),$CB$5:$CB$302)),IF($AI114="CT",Z$13,IF(LEFT($AI114,3)="AM|",IF($C114="","",SUMPRODUCT($AP$5:$AP$302*($AN$5:$AN$302=$A114),$CB$5:$CB$302)),IF(LEFT($AI114,2)="S|",IF($AG114="","",INDEX($CB$5:$CB$302,$AH114)),IF($AI114="HDR","Makeup Sales",""))))))</f>
        <v/>
      </c>
      <c r="AA114" s="41" t="str">
        <f t="shared" si="74"/>
        <v/>
      </c>
      <c r="AB114" s="40" t="str" cm="1">
        <f t="array" ref="AB114">IF($AI114="","",IF(LEFT($AI114,2)="C|",IF($C114="","",SUMPRODUCT($AP$5:$AP$302*($AO$5:$AO$302=$A114),$CK$5:$CK$302)),IF($AI114="CT",AB$13,IF(LEFT($AI114,3)="AM|",IF($C114="","",SUMPRODUCT($AP$5:$AP$302*($AN$5:$AN$302=$A114),$CK$5:$CK$302)),IF(LEFT($AI114,2)="S|",IF($AG114="","",INDEX($CK$5:$CK$302,$AH114)),IF($AI114="HDR","Makeup Target",""))))))</f>
        <v/>
      </c>
      <c r="AC114" s="41" t="str">
        <f t="shared" si="78"/>
        <v/>
      </c>
      <c r="AD114" s="40" t="str" cm="1">
        <f t="array" ref="AD114">IF($AI114="","",IF(LEFT($AI114,2)="C|",IF($C114="","",SUMPRODUCT($AP$5:$AP$302*($AO$5:$AO$302=$A114),$CI$5:$CI$302)),IF($AI114="CT",AD$13,IF(LEFT($AI114,3)="AM|",IF($C114="","",SUMPRODUCT($AP$5:$AP$302*($AN$5:$AN$302=$A114),$CI$5:$CI$302)),IF(LEFT($AI114,2)="S|",IF($AG114="","",INDEX($CI$5:$CI$302,$AH114)),IF($AI114="HDR","Cosmetic Sales",""))))))</f>
        <v/>
      </c>
      <c r="AE114" s="8" t="str" cm="1">
        <f t="array" ref="AE114">IF($AI114="","",IF(LEFT($AI114,2)="C|",IF($C114="","",SUMPRODUCT($AP$5:$AP$302*($AO$5:$AO$302=$A114)*$AQ$5:$AQ$302,$AR$5:$AR$302)),IF($AI114="CT",AE$13,IF(LEFT($AI114,3)="AM|",IF($C114="","",SUMPRODUCT($AP$5:$AP$302*($AN$5:$AN$302=$A114)*$AQ$5:$AQ$302,$AR$5:$AR$302)),IF(LEFT($AI114,2)="S|",IF($AG114="","",IF(INDEX($AQ$5:$AQ$302,$AH114)=1,D114,0)),IF($AI114="HDR","LFL Sales",""))))))</f>
        <v/>
      </c>
      <c r="AF114" s="8" t="str" cm="1">
        <f t="array" ref="AF114">IF($AI114="","",IF(LEFT($AI114,2)="C|",IF($C114="","",SUMPRODUCT($AP$5:$AP$302*($AO$5:$AO$302=$A114)*$AQ$5:$AQ$302,$AS$5:$AS$302)),IF($AI114="CT",AF$13,IF(LEFT($AI114,3)="AM|",IF($C114="","",SUMPRODUCT($AP$5:$AP$302*($AN$5:$AN$302=$A114)*$AQ$5:$AQ$302,$AS$5:$AS$302)),IF(LEFT($AI114,2)="S|",IF($AG114="","",IF(INDEX($AQ$5:$AQ$302,$AH114)=1,P114,0)),IF($AI114="HDR","LFL Trans",""))))))</f>
        <v/>
      </c>
      <c r="AG114" s="8" t="str" cm="1">
        <f t="array" ref="AG114">IF($AI114="","",IF(LEFT($AI114,2)="C|","",IF($AI114="CT","",IF(LEFT($AI114,3)="AM|","",IF(LEFT($AI114,2)="S|",IF($AH114="","",IF(INDEX($AP$5:$AP$302,$AH114)=1,1,"")),IF($AI114="HDR","Show",""))))))</f>
        <v/>
      </c>
      <c r="AH114" s="8" t="str">
        <f t="shared" si="75"/>
        <v/>
      </c>
      <c r="AI114" s="8"/>
      <c r="AN114" s="8" t="str" cm="1">
        <f t="array" ref="AN114">IF($AW114="","",_xlfn.LET(_xlpm.sa,IFERROR(TRIM(INDEX('Sales and count'!$D$4:$D$300,$BF114)&amp;""),""),_xlpm.ta,IFERROR(TRIM(INDEX('TY Sales Target'!$F$5:$F$300,$BG114)&amp;""),""),IF(AND(_xlpm.sa&lt;&gt;"",LEFT(_xlpm.sa,1)&lt;&gt;"#",_xlpm.sa&lt;&gt;"0"),_xlpm.sa,IF(AND(_xlpm.ta&lt;&gt;"",LEFT(_xlpm.ta,1)&lt;&gt;"#",_xlpm.ta&lt;&gt;"0"),_xlpm.ta,IF(ISNUMBER($BG114),"Unassigned","")))))</f>
        <v>Ahmed Jaffari</v>
      </c>
      <c r="AO114" s="8" t="str" cm="1">
        <f t="array" ref="AO114">IF($AW114="","",_xlfn.LET(_xlpm.sa,IFERROR(TRIM(INDEX('Sales and count'!$C$4:$C$300,$BF114)&amp;""),""),_xlpm.ta,IFERROR(TRIM(INDEX('TY Sales Target'!$D$5:$D$300,$BG114)&amp;""),""),IF(AND(_xlpm.sa&lt;&gt;"",LEFT(_xlpm.sa,1)&lt;&gt;"#",_xlpm.sa&lt;&gt;"0"),_xlpm.sa,IF(AND(_xlpm.ta&lt;&gt;"",LEFT(_xlpm.ta,1)&lt;&gt;"#",_xlpm.ta&lt;&gt;"0"),_xlpm.ta,""))))</f>
        <v>Abha</v>
      </c>
      <c r="AP114" s="8">
        <f t="shared" si="60"/>
        <v>0</v>
      </c>
      <c r="AQ114" s="8">
        <f t="shared" si="61"/>
        <v>1</v>
      </c>
      <c r="AR114" s="8" cm="1">
        <f t="array" ref="AR114">IF($BF114="",0,_xlfn.LET(_xlpm.d,IFERROR(--'Sales and count'!$G$2:$CC$2,0),SUMPRODUCT(('Sales and count'!$G$3:$CC$3="Total")*(_xlpm.d&gt;=$U$4)*(_xlpm.d&lt;=$U$5),INDEX('Sales and count'!$G$4:$CC$300,$BF114,0))))</f>
        <v>106764.76000000002</v>
      </c>
      <c r="AS114" s="8" cm="1">
        <f t="array" aca="1" ref="AS114" ca="1">IF($BF114="",0,_xlfn.LET(_xlpm.d,IFERROR(--'Sales and count'!$F$2:$CB$2,0),SUMPRODUCT(('Sales and count'!$G$3:$CC$3="Transactions")*(_xlpm.d&gt;=$U$4)*(_xlpm.d&lt;=$U$5),INDEX('Sales and count'!$G$4:$CC$300,$BF114,0))))</f>
        <v>762</v>
      </c>
      <c r="AT114" s="8" cm="1">
        <f t="array" ref="AT114">IF($AW114="",0,SUMPRODUCT((TRIM('LY Sales '!$B$5:$B$200)=$AW114)*('LY Sales '!$C$2:$AG$2&gt;=EDATE($U$4,-12))*('LY Sales '!$C$2:$AG$2&lt;=EDATE($U$5,-12)),'LY Sales '!$C$5:$AG$200))</f>
        <v>222056.59</v>
      </c>
      <c r="AU114" s="8" cm="1">
        <f t="array" ref="AU114">IF($AW114="",0,SUMPRODUCT((TRIM('LY Transaction'!$B$5:$B$200)=$AW114)*('LY Transaction'!$C$2:$AG$2&gt;=EDATE($U$4,-12))*('LY Transaction'!$C$2:$AG$2&lt;=EDATE($U$5,-12)),'LY Transaction'!$C$5:$AG$200))</f>
        <v>1660</v>
      </c>
      <c r="AV114" s="8" cm="1">
        <f t="array" ref="AV114">IF(NOT(ISNUMBER($BG114)),0,SUMPRODUCT(('TY Sales Target'!$K$2:$AO$2&gt;=$U$4)*('TY Sales Target'!$K$2:$AO$2&lt;=$U$5),INDEX('TY Sales Target'!$K$5:$AO$300,$BG114,0)))</f>
        <v>275822.98756031634</v>
      </c>
      <c r="AW114" s="8" t="str" cm="1">
        <f t="array" ref="AW114">IFERROR(INDEX(_xlfn.ANCHORARRAY($BR$5),ROWS($AW$5:AW114)),"")</f>
        <v>ABHATIMESQ</v>
      </c>
      <c r="BB114" cm="1">
        <f t="array" ref="BB114">IF($AW114="",0,SUMPRODUCT((TRIM(Footfall!$B$5:$B$301)=$AW114)*(Footfall!$C$1:$BZ$1&gt;=$U$4)*(Footfall!$C$2:$BZ$2&lt;=$U$5)*(Footfall!$C$1:$BZ$1&lt;&gt;""),Footfall!$C$5:$BZ$301))</f>
        <v>2679</v>
      </c>
      <c r="BC114" cm="1">
        <f t="array" aca="1" ref="BC114" ca="1">IF(OR($BB114&lt;=0,$BD$1="",$BF114=""),0,_xlfn.LET(_xlpm.d,IFERROR(--'Sales and count'!$F$2:$CB$2,0),SUMPRODUCT(('Sales and count'!$G$3:$CC$3="Transactions")*(_xlpm.d&gt;=$BD$1)*(_xlpm.d&lt;=$BD$2),INDEX('Sales and count'!$G$4:$CC$300,$BF114,0))))</f>
        <v>762</v>
      </c>
      <c r="BF114" cm="1">
        <f t="array" ref="BF114">IF($AW114="","",IFERROR(MATCH($AW114,TRIM('Sales and count'!$A$4:$A$300&amp;""),0),""))</f>
        <v>110</v>
      </c>
      <c r="BG114" cm="1">
        <f t="array" ref="BG114">IF($AW114="","",IFERROR(MATCH(IFERROR(_xlfn.XLOOKUP($AW114,$BT$5:$BT$22,$BU$5:$BU$22),$AW114),TRIM('TY Sales Target'!$B$5:$B$300&amp;""),0),""))</f>
        <v>20</v>
      </c>
      <c r="BH114" t="str" cm="1">
        <f t="array" ref="BH114">IF(ISNUMBER($BG114),_xlfn.LET(_xlpm.p,TRIM(INDEX('TY Sales Target'!$I$5:$I$300,$BG114)&amp;""),IF(_xlpm.p="","Not set",_xlpm.p)),"Not set")</f>
        <v>Smart Phone</v>
      </c>
      <c r="BI114" cm="1">
        <f t="array" ref="BI114">IF($BF114="",0,_xlfn.LET(_xlpm.d,IFERROR(--'Sales and count'!$G$2:$CC$2,0),SUMPRODUCT(('Sales and count'!$G$3:$CC$3="Total")*(_xlpm.d&gt;=$BZ$5)*(_xlpm.d&lt;=$BZ$6),INDEX('Sales and count'!$G$4:$CC$300,$BF114,0))))</f>
        <v>106764.76000000002</v>
      </c>
      <c r="BJ114" cm="1">
        <f t="array" ref="BJ114">IF($AW114="",0,SUMPRODUCT((TRIM('LY Sales '!$B$5:$B$200)=$AW114)*('LY Sales '!$C$2:$AG$2&gt;=EDATE($BZ$5,-12))*('LY Sales '!$C$2:$AG$2&lt;=EDATE($BZ$6,-12)),'LY Sales '!$C$5:$AG$200))</f>
        <v>222056.59</v>
      </c>
      <c r="BK114" cm="1">
        <f t="array" ref="BK114">IF($AW114="",0,SUMPRODUCT((TRIM('LY Sales '!$B$5:$B$200)=$AW114)*('LY Sales '!$C$2:$AG$2&gt;=EDATE($BZ$5,-12))*('LY Sales '!$C$2:$AG$2&lt;=EDATE($BZ$7,-12)),'LY Sales '!$C$5:$AG$200))</f>
        <v>287227.34000000003</v>
      </c>
      <c r="BL114" cm="1">
        <f t="array" ref="BL114">IF($AW114="",0,SUMPRODUCT((TRIM('LY Sales '!$B$5:$B$200)=$AW114)*('LY Sales '!$C$2:$AG$2&gt;=EDATE($BZ$5,-12))*('LY Sales '!$C$2:$AG$2&lt;=EDATE($BZ$6,-12))*('LY Sales '!$C$5:$AG$200&gt;0)))</f>
        <v>26</v>
      </c>
      <c r="BM114" cm="1">
        <f t="array" ref="BM114">IF(NOT(ISNUMBER($BG114)),0,SUMPRODUCT(('TY Sales Target'!$K$2:$AO$2&gt;=$BZ$5)*('TY Sales Target'!$K$2:$AO$2&lt;=$BZ$6),INDEX('TY Sales Target'!$K$5:$AO$300,$BG114,0)))</f>
        <v>275822.98756031634</v>
      </c>
      <c r="BN114" cm="1">
        <f t="array" ref="BN114">IF(NOT(ISNUMBER($BG114)),0,SUMPRODUCT(('TY Sales Target'!$K$2:$AO$2&gt;=$BZ$5)*('TY Sales Target'!$K$2:$AO$2&lt;=$BZ$7),INDEX('TY Sales Target'!$K$5:$AO$300,$BG114,0)))</f>
        <v>359999.99999999994</v>
      </c>
      <c r="BO114" cm="1">
        <f t="array" ref="BO114">IF($AW114="",0,IFERROR(_xlfn.SWITCH($BP114,"LY trend",$BI114*$BK114/$BJ114,"Target curve",$BI114*$BN114/$BM114,"Run rate",$BI114/$BZ$8*$BZ$9,0),0))</f>
        <v>138098.84237409217</v>
      </c>
      <c r="BP114" t="str">
        <f t="shared" si="59"/>
        <v>LY trend</v>
      </c>
      <c r="BR114" t="str">
        <v>ABHATIMESQ</v>
      </c>
      <c r="CB114" cm="1">
        <f t="array" ref="CB114">IF($AW114="",0,_xlfn.LET(_xlpm.k,IFERROR(_xlfn.XLOOKUP($AW114,$CD$6:$CD$21,$CE$6:$CE$21),$AW114),SUMPRODUCT((TRIM('Makeup '!$A$2:$A$300&amp;"")=_xlpm.k)*1,IFERROR('Makeup '!$F$2:$F$300*1,0))))</f>
        <v>5469.44</v>
      </c>
      <c r="CF114" t="str" cm="1">
        <f t="array" ref="CF114">IF($AW114="","",_xlfn.LET(_xlpm.c,IFERROR(TRIM(INDEX('Sales and count'!$B$4:$B$300,$BF114)&amp;""),""),IF(OR(_xlpm.c="",_xlpm.c="0",LEFT(_xlpm.c,1)="#"),"Not set",_xlpm.c)))</f>
        <v>KSA</v>
      </c>
      <c r="CH114" cm="1">
        <f t="array" ref="CH114">IF($AW114="",0,_xlfn.LET(_xlpm.k,IFERROR(_xlfn.XLOOKUP($AW114,$CD$6:$CD$21,$CE$6:$CE$21),$AW114),--(SUMPRODUCT((TRIM('Makeup '!$A$2:$A$300&amp;"")=_xlpm.k)*ISNUMBER('Makeup '!$F$2:$F$300))&gt;0)))</f>
        <v>1</v>
      </c>
      <c r="CI114">
        <f t="shared" si="62"/>
        <v>106764.76000000002</v>
      </c>
      <c r="CJ114" cm="1">
        <f t="array" ref="CJ114">IF($AW114="",0,--(SUMPRODUCT(--(TRIM(Footfall!$B$5:$B$301)=$AW114))&gt;0))</f>
        <v>1</v>
      </c>
      <c r="CK114" s="8" cm="1">
        <f t="array" ref="CK114">IF($AW114="",0,_xlfn.LET(_xlpm.r,IFERROR(MATCH(IFERROR(_xlfn.XLOOKUP($AW114,$BT$5:$BT$22,$BU$5:$BU$22),$AW114),TRIM('TY Beauty Target'!$B$5:$B$300&amp;""),0),""),IF(ISNUMBER(_xlpm.r),SUMPRODUCT(('TY Beauty Target'!$L$2:$AP$2&gt;=$U$4)*('TY Beauty Target'!$L$2:$AP$2&lt;=$U$5),INDEX('TY Beauty Target'!$L$5:$AP$300,_xlpm.r,0)),0)))</f>
        <v>14235.309534784343</v>
      </c>
    </row>
    <row r="115" spans="1:89" ht="15" customHeight="1" x14ac:dyDescent="0.25">
      <c r="A115" s="38" t="str">
        <f t="shared" si="63"/>
        <v/>
      </c>
      <c r="B115" s="43" t="str" cm="1">
        <f t="array" ref="B115">IF($AI115="","",IF(LEFT($AI115,2)="C|",IF($C115="","",_xlfn.TEXTJOIN(", ",TRUE,_xlfn.UNIQUE(_xlfn._xlws.FILTER($AN$5:$AN$302,($AP$5:$AP$302=1)*($AO$5:$AO$302=$A115))))),IF($AI115="CT",B$13,IF(LEFT($AI115,3)="AM|",IF($C115="","",ROWS(_xlfn.UNIQUE(_xlfn._xlws.FILTER($AO$5:$AO$302,($AP$5:$AP$302=1)*($AN$5:$AN$302=$A115))))),IF(LEFT($AI115,2)="S|",IF($AG115="","",INDEX($AO$5:$AO$302,$AH115)),IF($AI115="HDR","City",""))))))</f>
        <v/>
      </c>
      <c r="C115" s="39" t="str" cm="1">
        <f t="array" ref="C115">IF($AI115="","",IF(LEFT($AI115,2)="C|",_xlfn.LET(_xlpm.n,SUMPRODUCT($AP$5:$AP$302*($AO$5:$AO$302=$A115)),IF(_xlpm.n=0,"",_xlpm.n)),IF($AI115="CT",C$13,IF(LEFT($AI115,3)="AM|",_xlfn.LET(_xlpm.n,SUMPRODUCT($AP$5:$AP$302*($AN$5:$AN$302=$A115)),IF(_xlpm.n=0,"",_xlpm.n)),IF(LEFT($AI115,2)="S|","",IF($AI115="HDR","# Stores",""))))))</f>
        <v/>
      </c>
      <c r="D115" s="40" t="str" cm="1">
        <f t="array" ref="D115">IF($AI115="","",IF(LEFT($AI115,2)="C|",IF($C115="","",SUMPRODUCT($AP$5:$AP$302*($AO$5:$AO$302=$A115),$AR$5:$AR$302)),IF($AI115="CT",D$13,IF(LEFT($AI115,3)="AM|",IF($C115="","",SUMPRODUCT($AP$5:$AP$302*($AN$5:$AN$302=$A115),$AR$5:$AR$302)),IF(LEFT($AI115,2)="S|",IF($AG115="","",INDEX($AR$5:$AR$302,$AH115)),IF($AI115="HDR","Sales TY",""))))))</f>
        <v/>
      </c>
      <c r="E115" s="40" t="str" cm="1">
        <f t="array" ref="E115">IF($AI115="","",IF(LEFT($AI115,2)="C|",IF($C115="","",SUMPRODUCT($AP$5:$AP$302*($AO$5:$AO$302=$A115),$AT$5:$AT$302)),IF($AI115="CT",E$13,IF(LEFT($AI115,3)="AM|",IF($C115="","",SUMPRODUCT($AP$5:$AP$302*($AN$5:$AN$302=$A115),$AT$5:$AT$302)),IF(LEFT($AI115,2)="S|",IF($AG115="","",INDEX($AT$5:$AT$302,$AH115)),IF($AI115="HDR","Sales LY",""))))))</f>
        <v/>
      </c>
      <c r="F115" s="41" t="str">
        <f t="shared" si="64"/>
        <v/>
      </c>
      <c r="G115" s="41" t="str">
        <f t="shared" si="65"/>
        <v/>
      </c>
      <c r="H115" s="40" t="str" cm="1">
        <f t="array" ref="H115">IF($AI115="","",IF(LEFT($AI115,2)="C|",IF($C115="","",SUMPRODUCT($AP$5:$AP$302*($AO$5:$AO$302=$A115),$AV$5:$AV$302)),IF($AI115="CT",H$13,IF(LEFT($AI115,3)="AM|",IF($C115="","",SUMPRODUCT($AP$5:$AP$302*($AN$5:$AN$302=$A115),$AV$5:$AV$302)),IF(LEFT($AI115,2)="S|",IF($AG115="","",INDEX($AV$5:$AV$302,$AH115)),IF($AI115="HDR","Target",""))))))</f>
        <v/>
      </c>
      <c r="I115" s="41" t="str">
        <f t="shared" si="66"/>
        <v/>
      </c>
      <c r="J115" s="40" t="str">
        <f t="shared" si="67"/>
        <v/>
      </c>
      <c r="K115" s="41" t="str">
        <f t="shared" si="68"/>
        <v/>
      </c>
      <c r="L115" s="40" t="str" cm="1">
        <f t="array" ref="L115">IF($AI115="","",IF(LEFT($AI115,2)="C|",IF($C115="","",SUMPRODUCT($AP$5:$AP$302*($AO$5:$AO$302=$A115),$BN$5:$BN$302)),IF($AI115="CT",L$13,IF(LEFT($AI115,3)="AM|",IF($C115="","",SUMPRODUCT($AP$5:$AP$302*($AN$5:$AN$302=$A115),$BN$5:$BN$302)),IF(LEFT($AI115,2)="S|",IF($AG115="","",INDEX($BN$5:$BN$302,$AH115)),IF($AI115="HDR","Month Target",""))))))</f>
        <v/>
      </c>
      <c r="M115" s="40" t="str" cm="1">
        <f t="array" ref="M115">IF($AI115="","",IF(LEFT($AI115,2)="C|",IF($C115="","",SUMPRODUCT($AP$5:$AP$302*($AO$5:$AO$302=$A115),$BO$5:$BO$302)),IF($AI115="CT",M$13,IF(LEFT($AI115,3)="AM|",IF($C115="","",SUMPRODUCT($AP$5:$AP$302*($AN$5:$AN$302=$A115),$BO$5:$BO$302)),IF(LEFT($AI115,2)="S|",IF($AG115="","",INDEX($BO$5:$BO$302,$AH115)),IF($AI115="HDR","Projected Close",""))))))</f>
        <v/>
      </c>
      <c r="N115" s="41" t="str">
        <f t="shared" si="76"/>
        <v/>
      </c>
      <c r="O115" s="41" t="str" cm="1">
        <f t="array" ref="O115">IF($AI115="HDR","Proj. vs LY",IF(OR($AI115="",M115=""),"",_xlfn.LET(_xlpm.ly,IF(LEFT($AI115,2)="C|",SUMPRODUCT($AP$5:$AP$302*($AO$5:$AO$302=$A115),$BK$5:$BK$302),IF($AI115="CT",SUMPRODUCT($AP$5:$AP$302,$BK$5:$BK$302),IF(LEFT($AI115,3)="AM|",SUMPRODUCT($AP$5:$AP$302*($AN$5:$AN$302=$A115),$BK$5:$BK$302),IF(LEFT($AI115,2)="S|",INDEX($BK$5:$BK$302,$AH115),0)))),IFERROR(M115/_xlpm.ly-1,""))))</f>
        <v/>
      </c>
      <c r="P115" s="40" t="str" cm="1">
        <f t="array" ref="P115">IF($AI115="","",IF(LEFT($AI115,2)="C|",IF($C115="","",SUMPRODUCT($AP$5:$AP$302*($AO$5:$AO$302=$A115),$AS$5:$AS$302)),IF($AI115="CT",P$13,IF(LEFT($AI115,3)="AM|",IF($C115="","",SUMPRODUCT($AP$5:$AP$302*($AN$5:$AN$302=$A115),$AS$5:$AS$302)),IF(LEFT($AI115,2)="S|",IF($AG115="","",INDEX($AS$5:$AS$302,$AH115)),IF($AI115="HDR","Trans TY",""))))))</f>
        <v/>
      </c>
      <c r="Q115" s="40" t="str" cm="1">
        <f t="array" ref="Q115">IF($AI115="","",IF(LEFT($AI115,2)="C|",IF($C115="","",SUMPRODUCT($AP$5:$AP$302*($AO$5:$AO$302=$A115),$AU$5:$AU$302)),IF($AI115="CT",Q$13,IF(LEFT($AI115,3)="AM|",IF($C115="","",SUMPRODUCT($AP$5:$AP$302*($AN$5:$AN$302=$A115),$AU$5:$AU$302)),IF(LEFT($AI115,2)="S|",IF($AG115="","",INDEX($AU$5:$AU$302,$AH115)),IF($AI115="HDR","Trans LY",""))))))</f>
        <v/>
      </c>
      <c r="R115" s="41" t="str">
        <f t="shared" si="69"/>
        <v/>
      </c>
      <c r="S115" s="41" t="str">
        <f t="shared" si="70"/>
        <v/>
      </c>
      <c r="T115" s="42" t="str">
        <f t="shared" si="71"/>
        <v/>
      </c>
      <c r="U115" s="42" t="str">
        <f t="shared" si="72"/>
        <v/>
      </c>
      <c r="V115" s="41" t="str">
        <f t="shared" si="73"/>
        <v/>
      </c>
      <c r="W115" s="40" t="str" cm="1">
        <f t="array" ref="W115">IF($AI115="","",IF(LEFT($AI115,2)="C|",_xlfn.LET(_xlpm.n,SUMPRODUCT($AP$5:$AP$302*($AO$5:$AO$302=$A115),$BB$5:$BB$302),IF(_xlpm.n=0,"",_xlpm.n)),IF($AI115="CT",W$13,IF(LEFT($AI115,3)="AM|",_xlfn.LET(_xlpm.n,SUMPRODUCT($AP$5:$AP$302*($AN$5:$AN$302=$A115),$BB$5:$BB$302),IF(_xlpm.n=0,"",_xlpm.n)),IF(LEFT($AI115,2)="S|",IF($AG115="","",_xlfn.LET(_xlpm.n,INDEX($BB$5:$BB$302,$AH115),IF(_xlpm.n=0,"",_xlpm.n))),IF($AI115="HDR","Footfall",""))))))</f>
        <v/>
      </c>
      <c r="X115" s="40" t="str" cm="1">
        <f t="array" ref="X115">IF($AI115="","",IF($AI115="HDR","Trans (FF stores)",IF(W115="","",IF(LEFT($AI115,2)="C|",SUMPRODUCT($AP$5:$AP$302*($AO$5:$AO$302=$A115),$BC$5:$BC$302),IF($AI115="CT",X$13,IF(LEFT($AI115,3)="AM|",SUMPRODUCT($AP$5:$AP$302*($AN$5:$AN$302=$A115),$BC$5:$BC$302),IF(LEFT($AI115,2)="S|",INDEX($BC$5:$BC$302,$AH115),"")))))))</f>
        <v/>
      </c>
      <c r="Y115" s="41" t="str">
        <f t="shared" si="77"/>
        <v/>
      </c>
      <c r="Z115" s="40" t="str" cm="1">
        <f t="array" ref="Z115">IF($AI115="","",IF(LEFT($AI115,2)="C|",IF($C115="","",SUMPRODUCT($AP$5:$AP$302*($AO$5:$AO$302=$A115),$CB$5:$CB$302)),IF($AI115="CT",Z$13,IF(LEFT($AI115,3)="AM|",IF($C115="","",SUMPRODUCT($AP$5:$AP$302*($AN$5:$AN$302=$A115),$CB$5:$CB$302)),IF(LEFT($AI115,2)="S|",IF($AG115="","",INDEX($CB$5:$CB$302,$AH115)),IF($AI115="HDR","Makeup Sales",""))))))</f>
        <v/>
      </c>
      <c r="AA115" s="41" t="str">
        <f t="shared" si="74"/>
        <v/>
      </c>
      <c r="AB115" s="40" t="str" cm="1">
        <f t="array" ref="AB115">IF($AI115="","",IF(LEFT($AI115,2)="C|",IF($C115="","",SUMPRODUCT($AP$5:$AP$302*($AO$5:$AO$302=$A115),$CK$5:$CK$302)),IF($AI115="CT",AB$13,IF(LEFT($AI115,3)="AM|",IF($C115="","",SUMPRODUCT($AP$5:$AP$302*($AN$5:$AN$302=$A115),$CK$5:$CK$302)),IF(LEFT($AI115,2)="S|",IF($AG115="","",INDEX($CK$5:$CK$302,$AH115)),IF($AI115="HDR","Makeup Target",""))))))</f>
        <v/>
      </c>
      <c r="AC115" s="41" t="str">
        <f t="shared" si="78"/>
        <v/>
      </c>
      <c r="AD115" s="40" t="str" cm="1">
        <f t="array" ref="AD115">IF($AI115="","",IF(LEFT($AI115,2)="C|",IF($C115="","",SUMPRODUCT($AP$5:$AP$302*($AO$5:$AO$302=$A115),$CI$5:$CI$302)),IF($AI115="CT",AD$13,IF(LEFT($AI115,3)="AM|",IF($C115="","",SUMPRODUCT($AP$5:$AP$302*($AN$5:$AN$302=$A115),$CI$5:$CI$302)),IF(LEFT($AI115,2)="S|",IF($AG115="","",INDEX($CI$5:$CI$302,$AH115)),IF($AI115="HDR","Cosmetic Sales",""))))))</f>
        <v/>
      </c>
      <c r="AE115" s="8" t="str" cm="1">
        <f t="array" ref="AE115">IF($AI115="","",IF(LEFT($AI115,2)="C|",IF($C115="","",SUMPRODUCT($AP$5:$AP$302*($AO$5:$AO$302=$A115)*$AQ$5:$AQ$302,$AR$5:$AR$302)),IF($AI115="CT",AE$13,IF(LEFT($AI115,3)="AM|",IF($C115="","",SUMPRODUCT($AP$5:$AP$302*($AN$5:$AN$302=$A115)*$AQ$5:$AQ$302,$AR$5:$AR$302)),IF(LEFT($AI115,2)="S|",IF($AG115="","",IF(INDEX($AQ$5:$AQ$302,$AH115)=1,D115,0)),IF($AI115="HDR","LFL Sales",""))))))</f>
        <v/>
      </c>
      <c r="AF115" s="8" t="str" cm="1">
        <f t="array" ref="AF115">IF($AI115="","",IF(LEFT($AI115,2)="C|",IF($C115="","",SUMPRODUCT($AP$5:$AP$302*($AO$5:$AO$302=$A115)*$AQ$5:$AQ$302,$AS$5:$AS$302)),IF($AI115="CT",AF$13,IF(LEFT($AI115,3)="AM|",IF($C115="","",SUMPRODUCT($AP$5:$AP$302*($AN$5:$AN$302=$A115)*$AQ$5:$AQ$302,$AS$5:$AS$302)),IF(LEFT($AI115,2)="S|",IF($AG115="","",IF(INDEX($AQ$5:$AQ$302,$AH115)=1,P115,0)),IF($AI115="HDR","LFL Trans",""))))))</f>
        <v/>
      </c>
      <c r="AG115" s="8" t="str" cm="1">
        <f t="array" ref="AG115">IF($AI115="","",IF(LEFT($AI115,2)="C|","",IF($AI115="CT","",IF(LEFT($AI115,3)="AM|","",IF(LEFT($AI115,2)="S|",IF($AH115="","",IF(INDEX($AP$5:$AP$302,$AH115)=1,1,"")),IF($AI115="HDR","Show",""))))))</f>
        <v/>
      </c>
      <c r="AH115" s="8" t="str">
        <f t="shared" si="75"/>
        <v/>
      </c>
      <c r="AI115" s="8"/>
      <c r="AN115" s="8" t="str" cm="1">
        <f t="array" ref="AN115">IF($AW115="","",_xlfn.LET(_xlpm.sa,IFERROR(TRIM(INDEX('Sales and count'!$D$4:$D$300,$BF115)&amp;""),""),_xlpm.ta,IFERROR(TRIM(INDEX('TY Sales Target'!$F$5:$F$300,$BG115)&amp;""),""),IF(AND(_xlpm.sa&lt;&gt;"",LEFT(_xlpm.sa,1)&lt;&gt;"#",_xlpm.sa&lt;&gt;"0"),_xlpm.sa,IF(AND(_xlpm.ta&lt;&gt;"",LEFT(_xlpm.ta,1)&lt;&gt;"#",_xlpm.ta&lt;&gt;"0"),_xlpm.ta,IF(ISNUMBER($BG115),"Unassigned","")))))</f>
        <v>Ahmed Jaffari</v>
      </c>
      <c r="AO115" s="8" t="str" cm="1">
        <f t="array" ref="AO115">IF($AW115="","",_xlfn.LET(_xlpm.sa,IFERROR(TRIM(INDEX('Sales and count'!$C$4:$C$300,$BF115)&amp;""),""),_xlpm.ta,IFERROR(TRIM(INDEX('TY Sales Target'!$D$5:$D$300,$BG115)&amp;""),""),IF(AND(_xlpm.sa&lt;&gt;"",LEFT(_xlpm.sa,1)&lt;&gt;"#",_xlpm.sa&lt;&gt;"0"),_xlpm.sa,IF(AND(_xlpm.ta&lt;&gt;"",LEFT(_xlpm.ta,1)&lt;&gt;"#",_xlpm.ta&lt;&gt;"0"),_xlpm.ta,""))))</f>
        <v>Khamis meshaet</v>
      </c>
      <c r="AP115" s="8">
        <f t="shared" si="60"/>
        <v>0</v>
      </c>
      <c r="AQ115" s="8">
        <f t="shared" si="61"/>
        <v>1</v>
      </c>
      <c r="AR115" s="8" cm="1">
        <f t="array" ref="AR115">IF($BF115="",0,_xlfn.LET(_xlpm.d,IFERROR(--'Sales and count'!$G$2:$CC$2,0),SUMPRODUCT(('Sales and count'!$G$3:$CC$3="Total")*(_xlpm.d&gt;=$U$4)*(_xlpm.d&lt;=$U$5),INDEX('Sales and count'!$G$4:$CC$300,$BF115,0))))</f>
        <v>85670.659999999989</v>
      </c>
      <c r="AS115" s="8" cm="1">
        <f t="array" aca="1" ref="AS115" ca="1">IF($BF115="",0,_xlfn.LET(_xlpm.d,IFERROR(--'Sales and count'!$F$2:$CB$2,0),SUMPRODUCT(('Sales and count'!$G$3:$CC$3="Transactions")*(_xlpm.d&gt;=$U$4)*(_xlpm.d&lt;=$U$5),INDEX('Sales and count'!$G$4:$CC$300,$BF115,0))))</f>
        <v>582</v>
      </c>
      <c r="AT115" s="8" cm="1">
        <f t="array" ref="AT115">IF($AW115="",0,SUMPRODUCT((TRIM('LY Sales '!$B$5:$B$200)=$AW115)*('LY Sales '!$C$2:$AG$2&gt;=EDATE($U$4,-12))*('LY Sales '!$C$2:$AG$2&lt;=EDATE($U$5,-12)),'LY Sales '!$C$5:$AG$200))</f>
        <v>167177.55999999994</v>
      </c>
      <c r="AU115" s="8" cm="1">
        <f t="array" ref="AU115">IF($AW115="",0,SUMPRODUCT((TRIM('LY Transaction'!$B$5:$B$200)=$AW115)*('LY Transaction'!$C$2:$AG$2&gt;=EDATE($U$4,-12))*('LY Transaction'!$C$2:$AG$2&lt;=EDATE($U$5,-12)),'LY Transaction'!$C$5:$AG$200))</f>
        <v>1400</v>
      </c>
      <c r="AV115" s="8" cm="1">
        <f t="array" ref="AV115">IF(NOT(ISNUMBER($BG115)),0,SUMPRODUCT(('TY Sales Target'!$K$2:$AO$2&gt;=$U$4)*('TY Sales Target'!$K$2:$AO$2&lt;=$U$5),INDEX('TY Sales Target'!$K$5:$AO$300,$BG115,0)))</f>
        <v>229852.489633597</v>
      </c>
      <c r="AW115" s="8" t="str" cm="1">
        <f t="array" ref="AW115">IFERROR(INDEX(_xlfn.ANCHORARRAY($BR$5),ROWS($AW$5:AW115)),"")</f>
        <v>HAKHAMBLV</v>
      </c>
      <c r="BB115" cm="1">
        <f t="array" ref="BB115">IF($AW115="",0,SUMPRODUCT((TRIM(Footfall!$B$5:$B$301)=$AW115)*(Footfall!$C$1:$BZ$1&gt;=$U$4)*(Footfall!$C$2:$BZ$2&lt;=$U$5)*(Footfall!$C$1:$BZ$1&lt;&gt;""),Footfall!$C$5:$BZ$301))</f>
        <v>4245</v>
      </c>
      <c r="BC115" cm="1">
        <f t="array" aca="1" ref="BC115" ca="1">IF(OR($BB115&lt;=0,$BD$1="",$BF115=""),0,_xlfn.LET(_xlpm.d,IFERROR(--'Sales and count'!$F$2:$CB$2,0),SUMPRODUCT(('Sales and count'!$G$3:$CC$3="Transactions")*(_xlpm.d&gt;=$BD$1)*(_xlpm.d&lt;=$BD$2),INDEX('Sales and count'!$G$4:$CC$300,$BF115,0))))</f>
        <v>582</v>
      </c>
      <c r="BF115" cm="1">
        <f t="array" ref="BF115">IF($AW115="","",IFERROR(MATCH($AW115,TRIM('Sales and count'!$A$4:$A$300&amp;""),0),""))</f>
        <v>111</v>
      </c>
      <c r="BG115" cm="1">
        <f t="array" ref="BG115">IF($AW115="","",IFERROR(MATCH(IFERROR(_xlfn.XLOOKUP($AW115,$BT$5:$BT$22,$BU$5:$BU$22),$AW115),TRIM('TY Sales Target'!$B$5:$B$300&amp;""),0),""))</f>
        <v>34</v>
      </c>
      <c r="BH115" t="str" cm="1">
        <f t="array" ref="BH115">IF(ISNUMBER($BG115),_xlfn.LET(_xlpm.p,TRIM(INDEX('TY Sales Target'!$I$5:$I$300,$BG115)&amp;""),IF(_xlpm.p="","Not set",_xlpm.p)),"Not set")</f>
        <v>Smart Phone</v>
      </c>
      <c r="BI115" cm="1">
        <f t="array" ref="BI115">IF($BF115="",0,_xlfn.LET(_xlpm.d,IFERROR(--'Sales and count'!$G$2:$CC$2,0),SUMPRODUCT(('Sales and count'!$G$3:$CC$3="Total")*(_xlpm.d&gt;=$BZ$5)*(_xlpm.d&lt;=$BZ$6),INDEX('Sales and count'!$G$4:$CC$300,$BF115,0))))</f>
        <v>85670.659999999989</v>
      </c>
      <c r="BJ115" cm="1">
        <f t="array" ref="BJ115">IF($AW115="",0,SUMPRODUCT((TRIM('LY Sales '!$B$5:$B$200)=$AW115)*('LY Sales '!$C$2:$AG$2&gt;=EDATE($BZ$5,-12))*('LY Sales '!$C$2:$AG$2&lt;=EDATE($BZ$6,-12)),'LY Sales '!$C$5:$AG$200))</f>
        <v>167177.55999999994</v>
      </c>
      <c r="BK115" cm="1">
        <f t="array" ref="BK115">IF($AW115="",0,SUMPRODUCT((TRIM('LY Sales '!$B$5:$B$200)=$AW115)*('LY Sales '!$C$2:$AG$2&gt;=EDATE($BZ$5,-12))*('LY Sales '!$C$2:$AG$2&lt;=EDATE($BZ$7,-12)),'LY Sales '!$C$5:$AG$200))</f>
        <v>219362.50999999992</v>
      </c>
      <c r="BL115" cm="1">
        <f t="array" ref="BL115">IF($AW115="",0,SUMPRODUCT((TRIM('LY Sales '!$B$5:$B$200)=$AW115)*('LY Sales '!$C$2:$AG$2&gt;=EDATE($BZ$5,-12))*('LY Sales '!$C$2:$AG$2&lt;=EDATE($BZ$6,-12))*('LY Sales '!$C$5:$AG$200&gt;0)))</f>
        <v>26</v>
      </c>
      <c r="BM115" cm="1">
        <f t="array" ref="BM115">IF(NOT(ISNUMBER($BG115)),0,SUMPRODUCT(('TY Sales Target'!$K$2:$AO$2&gt;=$BZ$5)*('TY Sales Target'!$K$2:$AO$2&lt;=$BZ$6),INDEX('TY Sales Target'!$K$5:$AO$300,$BG115,0)))</f>
        <v>229852.489633597</v>
      </c>
      <c r="BN115" cm="1">
        <f t="array" ref="BN115">IF(NOT(ISNUMBER($BG115)),0,SUMPRODUCT(('TY Sales Target'!$K$2:$AO$2&gt;=$BZ$5)*('TY Sales Target'!$K$2:$AO$2&lt;=$BZ$7),INDEX('TY Sales Target'!$K$5:$AO$300,$BG115,0)))</f>
        <v>300000</v>
      </c>
      <c r="BO115" cm="1">
        <f t="array" ref="BO115">IF($AW115="",0,IFERROR(_xlfn.SWITCH($BP115,"LY trend",$BI115*$BK115/$BJ115,"Target curve",$BI115*$BN115/$BM115,"Run rate",$BI115/$BZ$8*$BZ$9,0),0))</f>
        <v>112412.9997528173</v>
      </c>
      <c r="BP115" t="str">
        <f t="shared" si="59"/>
        <v>LY trend</v>
      </c>
      <c r="BR115" t="str">
        <v>HAKHAMBLV</v>
      </c>
      <c r="CB115" cm="1">
        <f t="array" ref="CB115">IF($AW115="",0,_xlfn.LET(_xlpm.k,IFERROR(_xlfn.XLOOKUP($AW115,$CD$6:$CD$21,$CE$6:$CE$21),$AW115),SUMPRODUCT((TRIM('Makeup '!$A$2:$A$300&amp;"")=_xlpm.k)*1,IFERROR('Makeup '!$F$2:$F$300*1,0))))</f>
        <v>5020.6099999999997</v>
      </c>
      <c r="CF115" t="str" cm="1">
        <f t="array" ref="CF115">IF($AW115="","",_xlfn.LET(_xlpm.c,IFERROR(TRIM(INDEX('Sales and count'!$B$4:$B$300,$BF115)&amp;""),""),IF(OR(_xlpm.c="",_xlpm.c="0",LEFT(_xlpm.c,1)="#"),"Not set",_xlpm.c)))</f>
        <v>KSA</v>
      </c>
      <c r="CH115" cm="1">
        <f t="array" ref="CH115">IF($AW115="",0,_xlfn.LET(_xlpm.k,IFERROR(_xlfn.XLOOKUP($AW115,$CD$6:$CD$21,$CE$6:$CE$21),$AW115),--(SUMPRODUCT((TRIM('Makeup '!$A$2:$A$300&amp;"")=_xlpm.k)*ISNUMBER('Makeup '!$F$2:$F$300))&gt;0)))</f>
        <v>1</v>
      </c>
      <c r="CI115">
        <f t="shared" si="62"/>
        <v>85670.659999999989</v>
      </c>
      <c r="CJ115" cm="1">
        <f t="array" ref="CJ115">IF($AW115="",0,--(SUMPRODUCT(--(TRIM(Footfall!$B$5:$B$301)=$AW115))&gt;0))</f>
        <v>1</v>
      </c>
      <c r="CK115" s="8" cm="1">
        <f t="array" ref="CK115">IF($AW115="",0,_xlfn.LET(_xlpm.r,IFERROR(MATCH(IFERROR(_xlfn.XLOOKUP($AW115,$BT$5:$BT$22,$BU$5:$BU$22),$AW115),TRIM('TY Beauty Target'!$B$5:$B$300&amp;""),0),""),IF(ISNUMBER(_xlpm.r),SUMPRODUCT(('TY Beauty Target'!$L$2:$AP$2&gt;=$U$4)*('TY Beauty Target'!$L$2:$AP$2&lt;=$U$5),INDEX('TY Beauty Target'!$L$5:$AP$300,_xlpm.r,0)),0)))</f>
        <v>10641.640562697768</v>
      </c>
    </row>
    <row r="116" spans="1:89" ht="15" customHeight="1" x14ac:dyDescent="0.25">
      <c r="A116" s="38" t="str">
        <f t="shared" si="63"/>
        <v/>
      </c>
      <c r="B116" s="43" t="str" cm="1">
        <f t="array" ref="B116">IF($AI116="","",IF(LEFT($AI116,2)="C|",IF($C116="","",_xlfn.TEXTJOIN(", ",TRUE,_xlfn.UNIQUE(_xlfn._xlws.FILTER($AN$5:$AN$302,($AP$5:$AP$302=1)*($AO$5:$AO$302=$A116))))),IF($AI116="CT",B$13,IF(LEFT($AI116,3)="AM|",IF($C116="","",ROWS(_xlfn.UNIQUE(_xlfn._xlws.FILTER($AO$5:$AO$302,($AP$5:$AP$302=1)*($AN$5:$AN$302=$A116))))),IF(LEFT($AI116,2)="S|",IF($AG116="","",INDEX($AO$5:$AO$302,$AH116)),IF($AI116="HDR","City",""))))))</f>
        <v/>
      </c>
      <c r="C116" s="39" t="str" cm="1">
        <f t="array" ref="C116">IF($AI116="","",IF(LEFT($AI116,2)="C|",_xlfn.LET(_xlpm.n,SUMPRODUCT($AP$5:$AP$302*($AO$5:$AO$302=$A116)),IF(_xlpm.n=0,"",_xlpm.n)),IF($AI116="CT",C$13,IF(LEFT($AI116,3)="AM|",_xlfn.LET(_xlpm.n,SUMPRODUCT($AP$5:$AP$302*($AN$5:$AN$302=$A116)),IF(_xlpm.n=0,"",_xlpm.n)),IF(LEFT($AI116,2)="S|","",IF($AI116="HDR","# Stores",""))))))</f>
        <v/>
      </c>
      <c r="D116" s="40" t="str" cm="1">
        <f t="array" ref="D116">IF($AI116="","",IF(LEFT($AI116,2)="C|",IF($C116="","",SUMPRODUCT($AP$5:$AP$302*($AO$5:$AO$302=$A116),$AR$5:$AR$302)),IF($AI116="CT",D$13,IF(LEFT($AI116,3)="AM|",IF($C116="","",SUMPRODUCT($AP$5:$AP$302*($AN$5:$AN$302=$A116),$AR$5:$AR$302)),IF(LEFT($AI116,2)="S|",IF($AG116="","",INDEX($AR$5:$AR$302,$AH116)),IF($AI116="HDR","Sales TY",""))))))</f>
        <v/>
      </c>
      <c r="E116" s="40" t="str" cm="1">
        <f t="array" ref="E116">IF($AI116="","",IF(LEFT($AI116,2)="C|",IF($C116="","",SUMPRODUCT($AP$5:$AP$302*($AO$5:$AO$302=$A116),$AT$5:$AT$302)),IF($AI116="CT",E$13,IF(LEFT($AI116,3)="AM|",IF($C116="","",SUMPRODUCT($AP$5:$AP$302*($AN$5:$AN$302=$A116),$AT$5:$AT$302)),IF(LEFT($AI116,2)="S|",IF($AG116="","",INDEX($AT$5:$AT$302,$AH116)),IF($AI116="HDR","Sales LY",""))))))</f>
        <v/>
      </c>
      <c r="F116" s="41" t="str">
        <f t="shared" si="64"/>
        <v/>
      </c>
      <c r="G116" s="41" t="str">
        <f t="shared" si="65"/>
        <v/>
      </c>
      <c r="H116" s="40" t="str" cm="1">
        <f t="array" ref="H116">IF($AI116="","",IF(LEFT($AI116,2)="C|",IF($C116="","",SUMPRODUCT($AP$5:$AP$302*($AO$5:$AO$302=$A116),$AV$5:$AV$302)),IF($AI116="CT",H$13,IF(LEFT($AI116,3)="AM|",IF($C116="","",SUMPRODUCT($AP$5:$AP$302*($AN$5:$AN$302=$A116),$AV$5:$AV$302)),IF(LEFT($AI116,2)="S|",IF($AG116="","",INDEX($AV$5:$AV$302,$AH116)),IF($AI116="HDR","Target",""))))))</f>
        <v/>
      </c>
      <c r="I116" s="41" t="str">
        <f t="shared" si="66"/>
        <v/>
      </c>
      <c r="J116" s="40" t="str">
        <f t="shared" si="67"/>
        <v/>
      </c>
      <c r="K116" s="41" t="str">
        <f t="shared" si="68"/>
        <v/>
      </c>
      <c r="L116" s="40" t="str" cm="1">
        <f t="array" ref="L116">IF($AI116="","",IF(LEFT($AI116,2)="C|",IF($C116="","",SUMPRODUCT($AP$5:$AP$302*($AO$5:$AO$302=$A116),$BN$5:$BN$302)),IF($AI116="CT",L$13,IF(LEFT($AI116,3)="AM|",IF($C116="","",SUMPRODUCT($AP$5:$AP$302*($AN$5:$AN$302=$A116),$BN$5:$BN$302)),IF(LEFT($AI116,2)="S|",IF($AG116="","",INDEX($BN$5:$BN$302,$AH116)),IF($AI116="HDR","Month Target",""))))))</f>
        <v/>
      </c>
      <c r="M116" s="40" t="str" cm="1">
        <f t="array" ref="M116">IF($AI116="","",IF(LEFT($AI116,2)="C|",IF($C116="","",SUMPRODUCT($AP$5:$AP$302*($AO$5:$AO$302=$A116),$BO$5:$BO$302)),IF($AI116="CT",M$13,IF(LEFT($AI116,3)="AM|",IF($C116="","",SUMPRODUCT($AP$5:$AP$302*($AN$5:$AN$302=$A116),$BO$5:$BO$302)),IF(LEFT($AI116,2)="S|",IF($AG116="","",INDEX($BO$5:$BO$302,$AH116)),IF($AI116="HDR","Projected Close",""))))))</f>
        <v/>
      </c>
      <c r="N116" s="41" t="str">
        <f t="shared" si="76"/>
        <v/>
      </c>
      <c r="O116" s="41" t="str" cm="1">
        <f t="array" ref="O116">IF($AI116="HDR","Proj. vs LY",IF(OR($AI116="",M116=""),"",_xlfn.LET(_xlpm.ly,IF(LEFT($AI116,2)="C|",SUMPRODUCT($AP$5:$AP$302*($AO$5:$AO$302=$A116),$BK$5:$BK$302),IF($AI116="CT",SUMPRODUCT($AP$5:$AP$302,$BK$5:$BK$302),IF(LEFT($AI116,3)="AM|",SUMPRODUCT($AP$5:$AP$302*($AN$5:$AN$302=$A116),$BK$5:$BK$302),IF(LEFT($AI116,2)="S|",INDEX($BK$5:$BK$302,$AH116),0)))),IFERROR(M116/_xlpm.ly-1,""))))</f>
        <v/>
      </c>
      <c r="P116" s="40" t="str" cm="1">
        <f t="array" ref="P116">IF($AI116="","",IF(LEFT($AI116,2)="C|",IF($C116="","",SUMPRODUCT($AP$5:$AP$302*($AO$5:$AO$302=$A116),$AS$5:$AS$302)),IF($AI116="CT",P$13,IF(LEFT($AI116,3)="AM|",IF($C116="","",SUMPRODUCT($AP$5:$AP$302*($AN$5:$AN$302=$A116),$AS$5:$AS$302)),IF(LEFT($AI116,2)="S|",IF($AG116="","",INDEX($AS$5:$AS$302,$AH116)),IF($AI116="HDR","Trans TY",""))))))</f>
        <v/>
      </c>
      <c r="Q116" s="40" t="str" cm="1">
        <f t="array" ref="Q116">IF($AI116="","",IF(LEFT($AI116,2)="C|",IF($C116="","",SUMPRODUCT($AP$5:$AP$302*($AO$5:$AO$302=$A116),$AU$5:$AU$302)),IF($AI116="CT",Q$13,IF(LEFT($AI116,3)="AM|",IF($C116="","",SUMPRODUCT($AP$5:$AP$302*($AN$5:$AN$302=$A116),$AU$5:$AU$302)),IF(LEFT($AI116,2)="S|",IF($AG116="","",INDEX($AU$5:$AU$302,$AH116)),IF($AI116="HDR","Trans LY",""))))))</f>
        <v/>
      </c>
      <c r="R116" s="41" t="str">
        <f t="shared" si="69"/>
        <v/>
      </c>
      <c r="S116" s="41" t="str">
        <f t="shared" si="70"/>
        <v/>
      </c>
      <c r="T116" s="42" t="str">
        <f t="shared" si="71"/>
        <v/>
      </c>
      <c r="U116" s="42" t="str">
        <f t="shared" si="72"/>
        <v/>
      </c>
      <c r="V116" s="41" t="str">
        <f t="shared" si="73"/>
        <v/>
      </c>
      <c r="W116" s="40" t="str" cm="1">
        <f t="array" ref="W116">IF($AI116="","",IF(LEFT($AI116,2)="C|",_xlfn.LET(_xlpm.n,SUMPRODUCT($AP$5:$AP$302*($AO$5:$AO$302=$A116),$BB$5:$BB$302),IF(_xlpm.n=0,"",_xlpm.n)),IF($AI116="CT",W$13,IF(LEFT($AI116,3)="AM|",_xlfn.LET(_xlpm.n,SUMPRODUCT($AP$5:$AP$302*($AN$5:$AN$302=$A116),$BB$5:$BB$302),IF(_xlpm.n=0,"",_xlpm.n)),IF(LEFT($AI116,2)="S|",IF($AG116="","",_xlfn.LET(_xlpm.n,INDEX($BB$5:$BB$302,$AH116),IF(_xlpm.n=0,"",_xlpm.n))),IF($AI116="HDR","Footfall",""))))))</f>
        <v/>
      </c>
      <c r="X116" s="40" t="str" cm="1">
        <f t="array" ref="X116">IF($AI116="","",IF($AI116="HDR","Trans (FF stores)",IF(W116="","",IF(LEFT($AI116,2)="C|",SUMPRODUCT($AP$5:$AP$302*($AO$5:$AO$302=$A116),$BC$5:$BC$302),IF($AI116="CT",X$13,IF(LEFT($AI116,3)="AM|",SUMPRODUCT($AP$5:$AP$302*($AN$5:$AN$302=$A116),$BC$5:$BC$302),IF(LEFT($AI116,2)="S|",INDEX($BC$5:$BC$302,$AH116),"")))))))</f>
        <v/>
      </c>
      <c r="Y116" s="41" t="str">
        <f t="shared" si="77"/>
        <v/>
      </c>
      <c r="Z116" s="40" t="str" cm="1">
        <f t="array" ref="Z116">IF($AI116="","",IF(LEFT($AI116,2)="C|",IF($C116="","",SUMPRODUCT($AP$5:$AP$302*($AO$5:$AO$302=$A116),$CB$5:$CB$302)),IF($AI116="CT",Z$13,IF(LEFT($AI116,3)="AM|",IF($C116="","",SUMPRODUCT($AP$5:$AP$302*($AN$5:$AN$302=$A116),$CB$5:$CB$302)),IF(LEFT($AI116,2)="S|",IF($AG116="","",INDEX($CB$5:$CB$302,$AH116)),IF($AI116="HDR","Makeup Sales",""))))))</f>
        <v/>
      </c>
      <c r="AA116" s="41" t="str">
        <f t="shared" si="74"/>
        <v/>
      </c>
      <c r="AB116" s="40" t="str" cm="1">
        <f t="array" ref="AB116">IF($AI116="","",IF(LEFT($AI116,2)="C|",IF($C116="","",SUMPRODUCT($AP$5:$AP$302*($AO$5:$AO$302=$A116),$CK$5:$CK$302)),IF($AI116="CT",AB$13,IF(LEFT($AI116,3)="AM|",IF($C116="","",SUMPRODUCT($AP$5:$AP$302*($AN$5:$AN$302=$A116),$CK$5:$CK$302)),IF(LEFT($AI116,2)="S|",IF($AG116="","",INDEX($CK$5:$CK$302,$AH116)),IF($AI116="HDR","Makeup Target",""))))))</f>
        <v/>
      </c>
      <c r="AC116" s="41" t="str">
        <f t="shared" si="78"/>
        <v/>
      </c>
      <c r="AD116" s="40" t="str" cm="1">
        <f t="array" ref="AD116">IF($AI116="","",IF(LEFT($AI116,2)="C|",IF($C116="","",SUMPRODUCT($AP$5:$AP$302*($AO$5:$AO$302=$A116),$CI$5:$CI$302)),IF($AI116="CT",AD$13,IF(LEFT($AI116,3)="AM|",IF($C116="","",SUMPRODUCT($AP$5:$AP$302*($AN$5:$AN$302=$A116),$CI$5:$CI$302)),IF(LEFT($AI116,2)="S|",IF($AG116="","",INDEX($CI$5:$CI$302,$AH116)),IF($AI116="HDR","Cosmetic Sales",""))))))</f>
        <v/>
      </c>
      <c r="AE116" s="8" t="str" cm="1">
        <f t="array" ref="AE116">IF($AI116="","",IF(LEFT($AI116,2)="C|",IF($C116="","",SUMPRODUCT($AP$5:$AP$302*($AO$5:$AO$302=$A116)*$AQ$5:$AQ$302,$AR$5:$AR$302)),IF($AI116="CT",AE$13,IF(LEFT($AI116,3)="AM|",IF($C116="","",SUMPRODUCT($AP$5:$AP$302*($AN$5:$AN$302=$A116)*$AQ$5:$AQ$302,$AR$5:$AR$302)),IF(LEFT($AI116,2)="S|",IF($AG116="","",IF(INDEX($AQ$5:$AQ$302,$AH116)=1,D116,0)),IF($AI116="HDR","LFL Sales",""))))))</f>
        <v/>
      </c>
      <c r="AF116" s="8" t="str" cm="1">
        <f t="array" ref="AF116">IF($AI116="","",IF(LEFT($AI116,2)="C|",IF($C116="","",SUMPRODUCT($AP$5:$AP$302*($AO$5:$AO$302=$A116)*$AQ$5:$AQ$302,$AS$5:$AS$302)),IF($AI116="CT",AF$13,IF(LEFT($AI116,3)="AM|",IF($C116="","",SUMPRODUCT($AP$5:$AP$302*($AN$5:$AN$302=$A116)*$AQ$5:$AQ$302,$AS$5:$AS$302)),IF(LEFT($AI116,2)="S|",IF($AG116="","",IF(INDEX($AQ$5:$AQ$302,$AH116)=1,P116,0)),IF($AI116="HDR","LFL Trans",""))))))</f>
        <v/>
      </c>
      <c r="AG116" s="8" t="str" cm="1">
        <f t="array" ref="AG116">IF($AI116="","",IF(LEFT($AI116,2)="C|","",IF($AI116="CT","",IF(LEFT($AI116,3)="AM|","",IF(LEFT($AI116,2)="S|",IF($AH116="","",IF(INDEX($AP$5:$AP$302,$AH116)=1,1,"")),IF($AI116="HDR","Show",""))))))</f>
        <v/>
      </c>
      <c r="AH116" s="8" t="str">
        <f t="shared" si="75"/>
        <v/>
      </c>
      <c r="AI116" s="8"/>
      <c r="AN116" s="8" t="str" cm="1">
        <f t="array" ref="AN116">IF($AW116="","",_xlfn.LET(_xlpm.sa,IFERROR(TRIM(INDEX('Sales and count'!$D$4:$D$300,$BF116)&amp;""),""),_xlpm.ta,IFERROR(TRIM(INDEX('TY Sales Target'!$F$5:$F$300,$BG116)&amp;""),""),IF(AND(_xlpm.sa&lt;&gt;"",LEFT(_xlpm.sa,1)&lt;&gt;"#",_xlpm.sa&lt;&gt;"0"),_xlpm.sa,IF(AND(_xlpm.ta&lt;&gt;"",LEFT(_xlpm.ta,1)&lt;&gt;"#",_xlpm.ta&lt;&gt;"0"),_xlpm.ta,IF(ISNUMBER($BG116),"Unassigned","")))))</f>
        <v>Ahlam Al Zahrani</v>
      </c>
      <c r="AO116" s="8" t="str" cm="1">
        <f t="array" ref="AO116">IF($AW116="","",_xlfn.LET(_xlpm.sa,IFERROR(TRIM(INDEX('Sales and count'!$C$4:$C$300,$BF116)&amp;""),""),_xlpm.ta,IFERROR(TRIM(INDEX('TY Sales Target'!$D$5:$D$300,$BG116)&amp;""),""),IF(AND(_xlpm.sa&lt;&gt;"",LEFT(_xlpm.sa,1)&lt;&gt;"#",_xlpm.sa&lt;&gt;"0"),_xlpm.sa,IF(AND(_xlpm.ta&lt;&gt;"",LEFT(_xlpm.ta,1)&lt;&gt;"#",_xlpm.ta&lt;&gt;"0"),_xlpm.ta,""))))</f>
        <v>Qunfudah</v>
      </c>
      <c r="AP116" s="8">
        <f t="shared" si="60"/>
        <v>0</v>
      </c>
      <c r="AQ116" s="8">
        <f t="shared" si="61"/>
        <v>0</v>
      </c>
      <c r="AR116" s="8" cm="1">
        <f t="array" ref="AR116">IF($BF116="",0,_xlfn.LET(_xlpm.d,IFERROR(--'Sales and count'!$G$2:$CC$2,0),SUMPRODUCT(('Sales and count'!$G$3:$CC$3="Total")*(_xlpm.d&gt;=$U$4)*(_xlpm.d&lt;=$U$5),INDEX('Sales and count'!$G$4:$CC$300,$BF116,0))))</f>
        <v>83277.36</v>
      </c>
      <c r="AS116" s="8" cm="1">
        <f t="array" aca="1" ref="AS116" ca="1">IF($BF116="",0,_xlfn.LET(_xlpm.d,IFERROR(--'Sales and count'!$F$2:$CB$2,0),SUMPRODUCT(('Sales and count'!$G$3:$CC$3="Transactions")*(_xlpm.d&gt;=$U$4)*(_xlpm.d&lt;=$U$5),INDEX('Sales and count'!$G$4:$CC$300,$BF116,0))))</f>
        <v>596</v>
      </c>
      <c r="AT116" s="8" cm="1">
        <f t="array" ref="AT116">IF($AW116="",0,SUMPRODUCT((TRIM('LY Sales '!$B$5:$B$200)=$AW116)*('LY Sales '!$C$2:$AG$2&gt;=EDATE($U$4,-12))*('LY Sales '!$C$2:$AG$2&lt;=EDATE($U$5,-12)),'LY Sales '!$C$5:$AG$200))</f>
        <v>0</v>
      </c>
      <c r="AU116" s="8" cm="1">
        <f t="array" ref="AU116">IF($AW116="",0,SUMPRODUCT((TRIM('LY Transaction'!$B$5:$B$200)=$AW116)*('LY Transaction'!$C$2:$AG$2&gt;=EDATE($U$4,-12))*('LY Transaction'!$C$2:$AG$2&lt;=EDATE($U$5,-12)),'LY Transaction'!$C$5:$AG$200))</f>
        <v>0</v>
      </c>
      <c r="AV116" s="8" cm="1">
        <f t="array" ref="AV116">IF(NOT(ISNUMBER($BG116)),0,SUMPRODUCT(('TY Sales Target'!$K$2:$AO$2&gt;=$U$4)*('TY Sales Target'!$K$2:$AO$2&lt;=$U$5),INDEX('TY Sales Target'!$K$5:$AO$300,$BG116,0)))</f>
        <v>260391.15566075846</v>
      </c>
      <c r="AW116" s="8" t="str" cm="1">
        <f t="array" ref="AW116">IFERROR(INDEX(_xlfn.ANCHORARRAY($BR$5),ROWS($AW$5:AW116)),"")</f>
        <v>HAKHAYLPLZ</v>
      </c>
      <c r="BB116" cm="1">
        <f t="array" ref="BB116">IF($AW116="",0,SUMPRODUCT((TRIM(Footfall!$B$5:$B$301)=$AW116)*(Footfall!$C$1:$BZ$1&gt;=$U$4)*(Footfall!$C$2:$BZ$2&lt;=$U$5)*(Footfall!$C$1:$BZ$1&lt;&gt;""),Footfall!$C$5:$BZ$301))</f>
        <v>0</v>
      </c>
      <c r="BC116" cm="1">
        <f t="array" ref="BC116">IF(OR($BB116&lt;=0,$BD$1="",$BF116=""),0,_xlfn.LET(_xlpm.d,IFERROR(--'Sales and count'!$F$2:$CB$2,0),SUMPRODUCT(('Sales and count'!$G$3:$CC$3="Transactions")*(_xlpm.d&gt;=$BD$1)*(_xlpm.d&lt;=$BD$2),INDEX('Sales and count'!$G$4:$CC$300,$BF116,0))))</f>
        <v>0</v>
      </c>
      <c r="BF116" cm="1">
        <f t="array" ref="BF116">IF($AW116="","",IFERROR(MATCH($AW116,TRIM('Sales and count'!$A$4:$A$300&amp;""),0),""))</f>
        <v>112</v>
      </c>
      <c r="BG116" cm="1">
        <f t="array" ref="BG116">IF($AW116="","",IFERROR(MATCH(IFERROR(_xlfn.XLOOKUP($AW116,$BT$5:$BT$22,$BU$5:$BU$22),$AW116),TRIM('TY Sales Target'!$B$5:$B$300&amp;""),0),""))</f>
        <v>26</v>
      </c>
      <c r="BH116" t="str" cm="1">
        <f t="array" ref="BH116">IF(ISNUMBER($BG116),_xlfn.LET(_xlpm.p,TRIM(INDEX('TY Sales Target'!$I$5:$I$300,$BG116)&amp;""),IF(_xlpm.p="","Not set",_xlpm.p)),"Not set")</f>
        <v>Smart Phone</v>
      </c>
      <c r="BI116" cm="1">
        <f t="array" ref="BI116">IF($BF116="",0,_xlfn.LET(_xlpm.d,IFERROR(--'Sales and count'!$G$2:$CC$2,0),SUMPRODUCT(('Sales and count'!$G$3:$CC$3="Total")*(_xlpm.d&gt;=$BZ$5)*(_xlpm.d&lt;=$BZ$6),INDEX('Sales and count'!$G$4:$CC$300,$BF116,0))))</f>
        <v>83277.36</v>
      </c>
      <c r="BJ116" cm="1">
        <f t="array" ref="BJ116">IF($AW116="",0,SUMPRODUCT((TRIM('LY Sales '!$B$5:$B$200)=$AW116)*('LY Sales '!$C$2:$AG$2&gt;=EDATE($BZ$5,-12))*('LY Sales '!$C$2:$AG$2&lt;=EDATE($BZ$6,-12)),'LY Sales '!$C$5:$AG$200))</f>
        <v>0</v>
      </c>
      <c r="BK116" cm="1">
        <f t="array" ref="BK116">IF($AW116="",0,SUMPRODUCT((TRIM('LY Sales '!$B$5:$B$200)=$AW116)*('LY Sales '!$C$2:$AG$2&gt;=EDATE($BZ$5,-12))*('LY Sales '!$C$2:$AG$2&lt;=EDATE($BZ$7,-12)),'LY Sales '!$C$5:$AG$200))</f>
        <v>0</v>
      </c>
      <c r="BL116" cm="1">
        <f t="array" ref="BL116">IF($AW116="",0,SUMPRODUCT((TRIM('LY Sales '!$B$5:$B$200)=$AW116)*('LY Sales '!$C$2:$AG$2&gt;=EDATE($BZ$5,-12))*('LY Sales '!$C$2:$AG$2&lt;=EDATE($BZ$6,-12))*('LY Sales '!$C$5:$AG$200&gt;0)))</f>
        <v>0</v>
      </c>
      <c r="BM116" cm="1">
        <f t="array" ref="BM116">IF(NOT(ISNUMBER($BG116)),0,SUMPRODUCT(('TY Sales Target'!$K$2:$AO$2&gt;=$BZ$5)*('TY Sales Target'!$K$2:$AO$2&lt;=$BZ$6),INDEX('TY Sales Target'!$K$5:$AO$300,$BG116,0)))</f>
        <v>260391.15566075846</v>
      </c>
      <c r="BN116" cm="1">
        <f t="array" ref="BN116">IF(NOT(ISNUMBER($BG116)),0,SUMPRODUCT(('TY Sales Target'!$K$2:$AO$2&gt;=$BZ$5)*('TY Sales Target'!$K$2:$AO$2&lt;=$BZ$7),INDEX('TY Sales Target'!$K$5:$AO$300,$BG116,0)))</f>
        <v>339858.60593788989</v>
      </c>
      <c r="BO116" cm="1">
        <f t="array" ref="BO116">IF($AW116="",0,IFERROR(_xlfn.SWITCH($BP116,"LY trend",$BI116*$BK116/$BJ116,"Target curve",$BI116*$BN116/$BM116,"Run rate",$BI116/$BZ$8*$BZ$9,0),0))</f>
        <v>108692.35325588692</v>
      </c>
      <c r="BP116" t="str">
        <f t="shared" si="59"/>
        <v>Target curve</v>
      </c>
      <c r="BR116" t="str">
        <v>HAKHAYLPLZ</v>
      </c>
      <c r="CB116" cm="1">
        <f t="array" ref="CB116">IF($AW116="",0,_xlfn.LET(_xlpm.k,IFERROR(_xlfn.XLOOKUP($AW116,$CD$6:$CD$21,$CE$6:$CE$21),$AW116),SUMPRODUCT((TRIM('Makeup '!$A$2:$A$300&amp;"")=_xlpm.k)*1,IFERROR('Makeup '!$F$2:$F$300*1,0))))</f>
        <v>3049.27</v>
      </c>
      <c r="CF116" t="str" cm="1">
        <f t="array" ref="CF116">IF($AW116="","",_xlfn.LET(_xlpm.c,IFERROR(TRIM(INDEX('Sales and count'!$B$4:$B$300,$BF116)&amp;""),""),IF(OR(_xlpm.c="",_xlpm.c="0",LEFT(_xlpm.c,1)="#"),"Not set",_xlpm.c)))</f>
        <v>KSA</v>
      </c>
      <c r="CH116" cm="1">
        <f t="array" ref="CH116">IF($AW116="",0,_xlfn.LET(_xlpm.k,IFERROR(_xlfn.XLOOKUP($AW116,$CD$6:$CD$21,$CE$6:$CE$21),$AW116),--(SUMPRODUCT((TRIM('Makeup '!$A$2:$A$300&amp;"")=_xlpm.k)*ISNUMBER('Makeup '!$F$2:$F$300))&gt;0)))</f>
        <v>1</v>
      </c>
      <c r="CI116">
        <f t="shared" si="62"/>
        <v>83277.36</v>
      </c>
      <c r="CJ116" cm="1">
        <f t="array" ref="CJ116">IF($AW116="",0,--(SUMPRODUCT(--(TRIM(Footfall!$B$5:$B$301)=$AW116))&gt;0))</f>
        <v>0</v>
      </c>
      <c r="CK116" s="8" cm="1">
        <f t="array" ref="CK116">IF($AW116="",0,_xlfn.LET(_xlpm.r,IFERROR(MATCH(IFERROR(_xlfn.XLOOKUP($AW116,$BT$5:$BT$22,$BU$5:$BU$22),$AW116),TRIM('TY Beauty Target'!$B$5:$B$300&amp;""),0),""),IF(ISNUMBER(_xlpm.r),SUMPRODUCT(('TY Beauty Target'!$L$2:$AP$2&gt;=$U$4)*('TY Beauty Target'!$L$2:$AP$2&lt;=$U$5),INDEX('TY Beauty Target'!$L$5:$AP$300,_xlpm.r,0)),0)))</f>
        <v>10655.173684004782</v>
      </c>
    </row>
    <row r="117" spans="1:89" ht="15" customHeight="1" x14ac:dyDescent="0.25">
      <c r="A117" s="38" t="str">
        <f t="shared" si="63"/>
        <v/>
      </c>
      <c r="B117" s="43" t="str" cm="1">
        <f t="array" ref="B117">IF($AI117="","",IF(LEFT($AI117,2)="C|",IF($C117="","",_xlfn.TEXTJOIN(", ",TRUE,_xlfn.UNIQUE(_xlfn._xlws.FILTER($AN$5:$AN$302,($AP$5:$AP$302=1)*($AO$5:$AO$302=$A117))))),IF($AI117="CT",B$13,IF(LEFT($AI117,3)="AM|",IF($C117="","",ROWS(_xlfn.UNIQUE(_xlfn._xlws.FILTER($AO$5:$AO$302,($AP$5:$AP$302=1)*($AN$5:$AN$302=$A117))))),IF(LEFT($AI117,2)="S|",IF($AG117="","",INDEX($AO$5:$AO$302,$AH117)),IF($AI117="HDR","City",""))))))</f>
        <v/>
      </c>
      <c r="C117" s="39" t="str" cm="1">
        <f t="array" ref="C117">IF($AI117="","",IF(LEFT($AI117,2)="C|",_xlfn.LET(_xlpm.n,SUMPRODUCT($AP$5:$AP$302*($AO$5:$AO$302=$A117)),IF(_xlpm.n=0,"",_xlpm.n)),IF($AI117="CT",C$13,IF(LEFT($AI117,3)="AM|",_xlfn.LET(_xlpm.n,SUMPRODUCT($AP$5:$AP$302*($AN$5:$AN$302=$A117)),IF(_xlpm.n=0,"",_xlpm.n)),IF(LEFT($AI117,2)="S|","",IF($AI117="HDR","# Stores",""))))))</f>
        <v/>
      </c>
      <c r="D117" s="40" t="str" cm="1">
        <f t="array" ref="D117">IF($AI117="","",IF(LEFT($AI117,2)="C|",IF($C117="","",SUMPRODUCT($AP$5:$AP$302*($AO$5:$AO$302=$A117),$AR$5:$AR$302)),IF($AI117="CT",D$13,IF(LEFT($AI117,3)="AM|",IF($C117="","",SUMPRODUCT($AP$5:$AP$302*($AN$5:$AN$302=$A117),$AR$5:$AR$302)),IF(LEFT($AI117,2)="S|",IF($AG117="","",INDEX($AR$5:$AR$302,$AH117)),IF($AI117="HDR","Sales TY",""))))))</f>
        <v/>
      </c>
      <c r="E117" s="40" t="str" cm="1">
        <f t="array" ref="E117">IF($AI117="","",IF(LEFT($AI117,2)="C|",IF($C117="","",SUMPRODUCT($AP$5:$AP$302*($AO$5:$AO$302=$A117),$AT$5:$AT$302)),IF($AI117="CT",E$13,IF(LEFT($AI117,3)="AM|",IF($C117="","",SUMPRODUCT($AP$5:$AP$302*($AN$5:$AN$302=$A117),$AT$5:$AT$302)),IF(LEFT($AI117,2)="S|",IF($AG117="","",INDEX($AT$5:$AT$302,$AH117)),IF($AI117="HDR","Sales LY",""))))))</f>
        <v/>
      </c>
      <c r="F117" s="41" t="str">
        <f t="shared" si="64"/>
        <v/>
      </c>
      <c r="G117" s="41" t="str">
        <f t="shared" si="65"/>
        <v/>
      </c>
      <c r="H117" s="40" t="str" cm="1">
        <f t="array" ref="H117">IF($AI117="","",IF(LEFT($AI117,2)="C|",IF($C117="","",SUMPRODUCT($AP$5:$AP$302*($AO$5:$AO$302=$A117),$AV$5:$AV$302)),IF($AI117="CT",H$13,IF(LEFT($AI117,3)="AM|",IF($C117="","",SUMPRODUCT($AP$5:$AP$302*($AN$5:$AN$302=$A117),$AV$5:$AV$302)),IF(LEFT($AI117,2)="S|",IF($AG117="","",INDEX($AV$5:$AV$302,$AH117)),IF($AI117="HDR","Target",""))))))</f>
        <v/>
      </c>
      <c r="I117" s="41" t="str">
        <f t="shared" si="66"/>
        <v/>
      </c>
      <c r="J117" s="40" t="str">
        <f t="shared" si="67"/>
        <v/>
      </c>
      <c r="K117" s="41" t="str">
        <f t="shared" si="68"/>
        <v/>
      </c>
      <c r="L117" s="40" t="str" cm="1">
        <f t="array" ref="L117">IF($AI117="","",IF(LEFT($AI117,2)="C|",IF($C117="","",SUMPRODUCT($AP$5:$AP$302*($AO$5:$AO$302=$A117),$BN$5:$BN$302)),IF($AI117="CT",L$13,IF(LEFT($AI117,3)="AM|",IF($C117="","",SUMPRODUCT($AP$5:$AP$302*($AN$5:$AN$302=$A117),$BN$5:$BN$302)),IF(LEFT($AI117,2)="S|",IF($AG117="","",INDEX($BN$5:$BN$302,$AH117)),IF($AI117="HDR","Month Target",""))))))</f>
        <v/>
      </c>
      <c r="M117" s="40" t="str" cm="1">
        <f t="array" ref="M117">IF($AI117="","",IF(LEFT($AI117,2)="C|",IF($C117="","",SUMPRODUCT($AP$5:$AP$302*($AO$5:$AO$302=$A117),$BO$5:$BO$302)),IF($AI117="CT",M$13,IF(LEFT($AI117,3)="AM|",IF($C117="","",SUMPRODUCT($AP$5:$AP$302*($AN$5:$AN$302=$A117),$BO$5:$BO$302)),IF(LEFT($AI117,2)="S|",IF($AG117="","",INDEX($BO$5:$BO$302,$AH117)),IF($AI117="HDR","Projected Close",""))))))</f>
        <v/>
      </c>
      <c r="N117" s="41" t="str">
        <f t="shared" si="76"/>
        <v/>
      </c>
      <c r="O117" s="41" t="str" cm="1">
        <f t="array" ref="O117">IF($AI117="HDR","Proj. vs LY",IF(OR($AI117="",M117=""),"",_xlfn.LET(_xlpm.ly,IF(LEFT($AI117,2)="C|",SUMPRODUCT($AP$5:$AP$302*($AO$5:$AO$302=$A117),$BK$5:$BK$302),IF($AI117="CT",SUMPRODUCT($AP$5:$AP$302,$BK$5:$BK$302),IF(LEFT($AI117,3)="AM|",SUMPRODUCT($AP$5:$AP$302*($AN$5:$AN$302=$A117),$BK$5:$BK$302),IF(LEFT($AI117,2)="S|",INDEX($BK$5:$BK$302,$AH117),0)))),IFERROR(M117/_xlpm.ly-1,""))))</f>
        <v/>
      </c>
      <c r="P117" s="40" t="str" cm="1">
        <f t="array" ref="P117">IF($AI117="","",IF(LEFT($AI117,2)="C|",IF($C117="","",SUMPRODUCT($AP$5:$AP$302*($AO$5:$AO$302=$A117),$AS$5:$AS$302)),IF($AI117="CT",P$13,IF(LEFT($AI117,3)="AM|",IF($C117="","",SUMPRODUCT($AP$5:$AP$302*($AN$5:$AN$302=$A117),$AS$5:$AS$302)),IF(LEFT($AI117,2)="S|",IF($AG117="","",INDEX($AS$5:$AS$302,$AH117)),IF($AI117="HDR","Trans TY",""))))))</f>
        <v/>
      </c>
      <c r="Q117" s="40" t="str" cm="1">
        <f t="array" ref="Q117">IF($AI117="","",IF(LEFT($AI117,2)="C|",IF($C117="","",SUMPRODUCT($AP$5:$AP$302*($AO$5:$AO$302=$A117),$AU$5:$AU$302)),IF($AI117="CT",Q$13,IF(LEFT($AI117,3)="AM|",IF($C117="","",SUMPRODUCT($AP$5:$AP$302*($AN$5:$AN$302=$A117),$AU$5:$AU$302)),IF(LEFT($AI117,2)="S|",IF($AG117="","",INDEX($AU$5:$AU$302,$AH117)),IF($AI117="HDR","Trans LY",""))))))</f>
        <v/>
      </c>
      <c r="R117" s="41" t="str">
        <f t="shared" si="69"/>
        <v/>
      </c>
      <c r="S117" s="41" t="str">
        <f t="shared" si="70"/>
        <v/>
      </c>
      <c r="T117" s="42" t="str">
        <f t="shared" si="71"/>
        <v/>
      </c>
      <c r="U117" s="42" t="str">
        <f t="shared" si="72"/>
        <v/>
      </c>
      <c r="V117" s="41" t="str">
        <f t="shared" si="73"/>
        <v/>
      </c>
      <c r="W117" s="40" t="str" cm="1">
        <f t="array" ref="W117">IF($AI117="","",IF(LEFT($AI117,2)="C|",_xlfn.LET(_xlpm.n,SUMPRODUCT($AP$5:$AP$302*($AO$5:$AO$302=$A117),$BB$5:$BB$302),IF(_xlpm.n=0,"",_xlpm.n)),IF($AI117="CT",W$13,IF(LEFT($AI117,3)="AM|",_xlfn.LET(_xlpm.n,SUMPRODUCT($AP$5:$AP$302*($AN$5:$AN$302=$A117),$BB$5:$BB$302),IF(_xlpm.n=0,"",_xlpm.n)),IF(LEFT($AI117,2)="S|",IF($AG117="","",_xlfn.LET(_xlpm.n,INDEX($BB$5:$BB$302,$AH117),IF(_xlpm.n=0,"",_xlpm.n))),IF($AI117="HDR","Footfall",""))))))</f>
        <v/>
      </c>
      <c r="X117" s="40" t="str" cm="1">
        <f t="array" ref="X117">IF($AI117="","",IF($AI117="HDR","Trans (FF stores)",IF(W117="","",IF(LEFT($AI117,2)="C|",SUMPRODUCT($AP$5:$AP$302*($AO$5:$AO$302=$A117),$BC$5:$BC$302),IF($AI117="CT",X$13,IF(LEFT($AI117,3)="AM|",SUMPRODUCT($AP$5:$AP$302*($AN$5:$AN$302=$A117),$BC$5:$BC$302),IF(LEFT($AI117,2)="S|",INDEX($BC$5:$BC$302,$AH117),"")))))))</f>
        <v/>
      </c>
      <c r="Y117" s="41" t="str">
        <f t="shared" si="77"/>
        <v/>
      </c>
      <c r="Z117" s="40" t="str" cm="1">
        <f t="array" ref="Z117">IF($AI117="","",IF(LEFT($AI117,2)="C|",IF($C117="","",SUMPRODUCT($AP$5:$AP$302*($AO$5:$AO$302=$A117),$CB$5:$CB$302)),IF($AI117="CT",Z$13,IF(LEFT($AI117,3)="AM|",IF($C117="","",SUMPRODUCT($AP$5:$AP$302*($AN$5:$AN$302=$A117),$CB$5:$CB$302)),IF(LEFT($AI117,2)="S|",IF($AG117="","",INDEX($CB$5:$CB$302,$AH117)),IF($AI117="HDR","Makeup Sales",""))))))</f>
        <v/>
      </c>
      <c r="AA117" s="41" t="str">
        <f t="shared" si="74"/>
        <v/>
      </c>
      <c r="AB117" s="40" t="str" cm="1">
        <f t="array" ref="AB117">IF($AI117="","",IF(LEFT($AI117,2)="C|",IF($C117="","",SUMPRODUCT($AP$5:$AP$302*($AO$5:$AO$302=$A117),$CK$5:$CK$302)),IF($AI117="CT",AB$13,IF(LEFT($AI117,3)="AM|",IF($C117="","",SUMPRODUCT($AP$5:$AP$302*($AN$5:$AN$302=$A117),$CK$5:$CK$302)),IF(LEFT($AI117,2)="S|",IF($AG117="","",INDEX($CK$5:$CK$302,$AH117)),IF($AI117="HDR","Makeup Target",""))))))</f>
        <v/>
      </c>
      <c r="AC117" s="41" t="str">
        <f t="shared" si="78"/>
        <v/>
      </c>
      <c r="AD117" s="40" t="str" cm="1">
        <f t="array" ref="AD117">IF($AI117="","",IF(LEFT($AI117,2)="C|",IF($C117="","",SUMPRODUCT($AP$5:$AP$302*($AO$5:$AO$302=$A117),$CI$5:$CI$302)),IF($AI117="CT",AD$13,IF(LEFT($AI117,3)="AM|",IF($C117="","",SUMPRODUCT($AP$5:$AP$302*($AN$5:$AN$302=$A117),$CI$5:$CI$302)),IF(LEFT($AI117,2)="S|",IF($AG117="","",INDEX($CI$5:$CI$302,$AH117)),IF($AI117="HDR","Cosmetic Sales",""))))))</f>
        <v/>
      </c>
      <c r="AE117" s="8" t="str" cm="1">
        <f t="array" ref="AE117">IF($AI117="","",IF(LEFT($AI117,2)="C|",IF($C117="","",SUMPRODUCT($AP$5:$AP$302*($AO$5:$AO$302=$A117)*$AQ$5:$AQ$302,$AR$5:$AR$302)),IF($AI117="CT",AE$13,IF(LEFT($AI117,3)="AM|",IF($C117="","",SUMPRODUCT($AP$5:$AP$302*($AN$5:$AN$302=$A117)*$AQ$5:$AQ$302,$AR$5:$AR$302)),IF(LEFT($AI117,2)="S|",IF($AG117="","",IF(INDEX($AQ$5:$AQ$302,$AH117)=1,D117,0)),IF($AI117="HDR","LFL Sales",""))))))</f>
        <v/>
      </c>
      <c r="AF117" s="8" t="str" cm="1">
        <f t="array" ref="AF117">IF($AI117="","",IF(LEFT($AI117,2)="C|",IF($C117="","",SUMPRODUCT($AP$5:$AP$302*($AO$5:$AO$302=$A117)*$AQ$5:$AQ$302,$AS$5:$AS$302)),IF($AI117="CT",AF$13,IF(LEFT($AI117,3)="AM|",IF($C117="","",SUMPRODUCT($AP$5:$AP$302*($AN$5:$AN$302=$A117)*$AQ$5:$AQ$302,$AS$5:$AS$302)),IF(LEFT($AI117,2)="S|",IF($AG117="","",IF(INDEX($AQ$5:$AQ$302,$AH117)=1,P117,0)),IF($AI117="HDR","LFL Trans",""))))))</f>
        <v/>
      </c>
      <c r="AG117" s="8" t="str" cm="1">
        <f t="array" ref="AG117">IF($AI117="","",IF(LEFT($AI117,2)="C|","",IF($AI117="CT","",IF(LEFT($AI117,3)="AM|","",IF(LEFT($AI117,2)="S|",IF($AH117="","",IF(INDEX($AP$5:$AP$302,$AH117)=1,1,"")),IF($AI117="HDR","Show",""))))))</f>
        <v/>
      </c>
      <c r="AH117" s="8" t="str">
        <f t="shared" si="75"/>
        <v/>
      </c>
      <c r="AI117" s="8"/>
      <c r="AN117" s="8" t="str" cm="1">
        <f t="array" ref="AN117">IF($AW117="","",_xlfn.LET(_xlpm.sa,IFERROR(TRIM(INDEX('Sales and count'!$D$4:$D$300,$BF117)&amp;""),""),_xlpm.ta,IFERROR(TRIM(INDEX('TY Sales Target'!$F$5:$F$300,$BG117)&amp;""),""),IF(AND(_xlpm.sa&lt;&gt;"",LEFT(_xlpm.sa,1)&lt;&gt;"#",_xlpm.sa&lt;&gt;"0"),_xlpm.sa,IF(AND(_xlpm.ta&lt;&gt;"",LEFT(_xlpm.ta,1)&lt;&gt;"#",_xlpm.ta&lt;&gt;"0"),_xlpm.ta,IF(ISNUMBER($BG117),"Unassigned","")))))</f>
        <v>Ahmed Jaffari</v>
      </c>
      <c r="AO117" s="8" t="str" cm="1">
        <f t="array" ref="AO117">IF($AW117="","",_xlfn.LET(_xlpm.sa,IFERROR(TRIM(INDEX('Sales and count'!$C$4:$C$300,$BF117)&amp;""),""),_xlpm.ta,IFERROR(TRIM(INDEX('TY Sales Target'!$D$5:$D$300,$BG117)&amp;""),""),IF(AND(_xlpm.sa&lt;&gt;"",LEFT(_xlpm.sa,1)&lt;&gt;"#",_xlpm.sa&lt;&gt;"0"),_xlpm.sa,IF(AND(_xlpm.ta&lt;&gt;"",LEFT(_xlpm.ta,1)&lt;&gt;"#",_xlpm.ta&lt;&gt;"0"),_xlpm.ta,""))))</f>
        <v>Khamis meshaet</v>
      </c>
      <c r="AP117" s="8">
        <f t="shared" si="60"/>
        <v>0</v>
      </c>
      <c r="AQ117" s="8">
        <f t="shared" si="61"/>
        <v>0</v>
      </c>
      <c r="AR117" s="8" cm="1">
        <f t="array" ref="AR117">IF($BF117="",0,_xlfn.LET(_xlpm.d,IFERROR(--'Sales and count'!$G$2:$CC$2,0),SUMPRODUCT(('Sales and count'!$G$3:$CC$3="Total")*(_xlpm.d&gt;=$U$4)*(_xlpm.d&lt;=$U$5),INDEX('Sales and count'!$G$4:$CC$300,$BF117,0))))</f>
        <v>40967.35</v>
      </c>
      <c r="AS117" s="8" cm="1">
        <f t="array" aca="1" ref="AS117" ca="1">IF($BF117="",0,_xlfn.LET(_xlpm.d,IFERROR(--'Sales and count'!$F$2:$CB$2,0),SUMPRODUCT(('Sales and count'!$G$3:$CC$3="Transactions")*(_xlpm.d&gt;=$U$4)*(_xlpm.d&lt;=$U$5),INDEX('Sales and count'!$G$4:$CC$300,$BF117,0))))</f>
        <v>282</v>
      </c>
      <c r="AT117" s="8" cm="1">
        <f t="array" ref="AT117">IF($AW117="",0,SUMPRODUCT((TRIM('LY Sales '!$B$5:$B$200)=$AW117)*('LY Sales '!$C$2:$AG$2&gt;=EDATE($U$4,-12))*('LY Sales '!$C$2:$AG$2&lt;=EDATE($U$5,-12)),'LY Sales '!$C$5:$AG$200))</f>
        <v>0</v>
      </c>
      <c r="AU117" s="8" cm="1">
        <f t="array" ref="AU117">IF($AW117="",0,SUMPRODUCT((TRIM('LY Transaction'!$B$5:$B$200)=$AW117)*('LY Transaction'!$C$2:$AG$2&gt;=EDATE($U$4,-12))*('LY Transaction'!$C$2:$AG$2&lt;=EDATE($U$5,-12)),'LY Transaction'!$C$5:$AG$200))</f>
        <v>0</v>
      </c>
      <c r="AV117" s="8" cm="1">
        <f t="array" ref="AV117">IF(NOT(ISNUMBER($BG117)),0,SUMPRODUCT(('TY Sales Target'!$K$2:$AO$2&gt;=$U$4)*('TY Sales Target'!$K$2:$AO$2&lt;=$U$5),INDEX('TY Sales Target'!$K$5:$AO$300,$BG117,0)))</f>
        <v>126418.86929847833</v>
      </c>
      <c r="AW117" s="8" t="str" cm="1">
        <f t="array" ref="AW117">IFERROR(INDEX(_xlfn.ANCHORARRAY($BR$5),ROWS($AW$5:AW117)),"")</f>
        <v>HAKHMAVE</v>
      </c>
      <c r="BB117" cm="1">
        <f t="array" ref="BB117">IF($AW117="",0,SUMPRODUCT((TRIM(Footfall!$B$5:$B$301)=$AW117)*(Footfall!$C$1:$BZ$1&gt;=$U$4)*(Footfall!$C$2:$BZ$2&lt;=$U$5)*(Footfall!$C$1:$BZ$1&lt;&gt;""),Footfall!$C$5:$BZ$301))</f>
        <v>2787</v>
      </c>
      <c r="BC117" cm="1">
        <f t="array" aca="1" ref="BC117" ca="1">IF(OR($BB117&lt;=0,$BD$1="",$BF117=""),0,_xlfn.LET(_xlpm.d,IFERROR(--'Sales and count'!$F$2:$CB$2,0),SUMPRODUCT(('Sales and count'!$G$3:$CC$3="Transactions")*(_xlpm.d&gt;=$BD$1)*(_xlpm.d&lt;=$BD$2),INDEX('Sales and count'!$G$4:$CC$300,$BF117,0))))</f>
        <v>282</v>
      </c>
      <c r="BF117" cm="1">
        <f t="array" ref="BF117">IF($AW117="","",IFERROR(MATCH($AW117,TRIM('Sales and count'!$A$4:$A$300&amp;""),0),""))</f>
        <v>113</v>
      </c>
      <c r="BG117" cm="1">
        <f t="array" ref="BG117">IF($AW117="","",IFERROR(MATCH(IFERROR(_xlfn.XLOOKUP($AW117,$BT$5:$BT$22,$BU$5:$BU$22),$AW117),TRIM('TY Sales Target'!$B$5:$B$300&amp;""),0),""))</f>
        <v>81</v>
      </c>
      <c r="BH117" t="str" cm="1">
        <f t="array" ref="BH117">IF(ISNUMBER($BG117),_xlfn.LET(_xlpm.p,TRIM(INDEX('TY Sales Target'!$I$5:$I$300,$BG117)&amp;""),IF(_xlpm.p="","Not set",_xlpm.p)),"Not set")</f>
        <v>I Pad</v>
      </c>
      <c r="BI117" cm="1">
        <f t="array" ref="BI117">IF($BF117="",0,_xlfn.LET(_xlpm.d,IFERROR(--'Sales and count'!$G$2:$CC$2,0),SUMPRODUCT(('Sales and count'!$G$3:$CC$3="Total")*(_xlpm.d&gt;=$BZ$5)*(_xlpm.d&lt;=$BZ$6),INDEX('Sales and count'!$G$4:$CC$300,$BF117,0))))</f>
        <v>40967.35</v>
      </c>
      <c r="BJ117" cm="1">
        <f t="array" ref="BJ117">IF($AW117="",0,SUMPRODUCT((TRIM('LY Sales '!$B$5:$B$200)=$AW117)*('LY Sales '!$C$2:$AG$2&gt;=EDATE($BZ$5,-12))*('LY Sales '!$C$2:$AG$2&lt;=EDATE($BZ$6,-12)),'LY Sales '!$C$5:$AG$200))</f>
        <v>0</v>
      </c>
      <c r="BK117" cm="1">
        <f t="array" ref="BK117">IF($AW117="",0,SUMPRODUCT((TRIM('LY Sales '!$B$5:$B$200)=$AW117)*('LY Sales '!$C$2:$AG$2&gt;=EDATE($BZ$5,-12))*('LY Sales '!$C$2:$AG$2&lt;=EDATE($BZ$7,-12)),'LY Sales '!$C$5:$AG$200))</f>
        <v>0</v>
      </c>
      <c r="BL117" cm="1">
        <f t="array" ref="BL117">IF($AW117="",0,SUMPRODUCT((TRIM('LY Sales '!$B$5:$B$200)=$AW117)*('LY Sales '!$C$2:$AG$2&gt;=EDATE($BZ$5,-12))*('LY Sales '!$C$2:$AG$2&lt;=EDATE($BZ$6,-12))*('LY Sales '!$C$5:$AG$200&gt;0)))</f>
        <v>0</v>
      </c>
      <c r="BM117" cm="1">
        <f t="array" ref="BM117">IF(NOT(ISNUMBER($BG117)),0,SUMPRODUCT(('TY Sales Target'!$K$2:$AO$2&gt;=$BZ$5)*('TY Sales Target'!$K$2:$AO$2&lt;=$BZ$6),INDEX('TY Sales Target'!$K$5:$AO$300,$BG117,0)))</f>
        <v>126418.86929847833</v>
      </c>
      <c r="BN117" cm="1">
        <f t="array" ref="BN117">IF(NOT(ISNUMBER($BG117)),0,SUMPRODUCT(('TY Sales Target'!$K$2:$AO$2&gt;=$BZ$5)*('TY Sales Target'!$K$2:$AO$2&lt;=$BZ$7),INDEX('TY Sales Target'!$K$5:$AO$300,$BG117,0)))</f>
        <v>164999.99999999997</v>
      </c>
      <c r="BO117" cm="1">
        <f t="array" ref="BO117">IF($AW117="",0,IFERROR(_xlfn.SWITCH($BP117,"LY trend",$BI117*$BK117/$BJ117,"Target curve",$BI117*$BN117/$BM117,"Run rate",$BI117/$BZ$8*$BZ$9,0),0))</f>
        <v>53469.966845221279</v>
      </c>
      <c r="BP117" t="str">
        <f t="shared" si="59"/>
        <v>Target curve</v>
      </c>
      <c r="BR117" t="str">
        <v>HAKHMAVE</v>
      </c>
      <c r="CB117" cm="1">
        <f t="array" ref="CB117">IF($AW117="",0,_xlfn.LET(_xlpm.k,IFERROR(_xlfn.XLOOKUP($AW117,$CD$6:$CD$21,$CE$6:$CE$21),$AW117),SUMPRODUCT((TRIM('Makeup '!$A$2:$A$300&amp;"")=_xlpm.k)*1,IFERROR('Makeup '!$F$2:$F$300*1,0))))</f>
        <v>1739.57</v>
      </c>
      <c r="CF117" t="str" cm="1">
        <f t="array" ref="CF117">IF($AW117="","",_xlfn.LET(_xlpm.c,IFERROR(TRIM(INDEX('Sales and count'!$B$4:$B$300,$BF117)&amp;""),""),IF(OR(_xlpm.c="",_xlpm.c="0",LEFT(_xlpm.c,1)="#"),"Not set",_xlpm.c)))</f>
        <v>KSA</v>
      </c>
      <c r="CH117" cm="1">
        <f t="array" ref="CH117">IF($AW117="",0,_xlfn.LET(_xlpm.k,IFERROR(_xlfn.XLOOKUP($AW117,$CD$6:$CD$21,$CE$6:$CE$21),$AW117),--(SUMPRODUCT((TRIM('Makeup '!$A$2:$A$300&amp;"")=_xlpm.k)*ISNUMBER('Makeup '!$F$2:$F$300))&gt;0)))</f>
        <v>1</v>
      </c>
      <c r="CI117">
        <f t="shared" si="62"/>
        <v>40967.35</v>
      </c>
      <c r="CJ117" cm="1">
        <f t="array" ref="CJ117">IF($AW117="",0,--(SUMPRODUCT(--(TRIM(Footfall!$B$5:$B$301)=$AW117))&gt;0))</f>
        <v>1</v>
      </c>
      <c r="CK117" s="8" cm="1">
        <f t="array" ref="CK117">IF($AW117="",0,_xlfn.LET(_xlpm.r,IFERROR(MATCH(IFERROR(_xlfn.XLOOKUP($AW117,$BT$5:$BT$22,$BU$5:$BU$22),$AW117),TRIM('TY Beauty Target'!$B$5:$B$300&amp;""),0),""),IF(ISNUMBER(_xlpm.r),SUMPRODUCT(('TY Beauty Target'!$L$2:$AP$2&gt;=$U$4)*('TY Beauty Target'!$L$2:$AP$2&lt;=$U$5),INDEX('TY Beauty Target'!$L$5:$AP$300,_xlpm.r,0)),0)))</f>
        <v>8294.788528742396</v>
      </c>
    </row>
    <row r="118" spans="1:89" ht="15" customHeight="1" x14ac:dyDescent="0.25">
      <c r="A118" s="38" t="str">
        <f t="shared" si="63"/>
        <v/>
      </c>
      <c r="B118" s="43" t="str" cm="1">
        <f t="array" ref="B118">IF($AI118="","",IF(LEFT($AI118,2)="C|",IF($C118="","",_xlfn.TEXTJOIN(", ",TRUE,_xlfn.UNIQUE(_xlfn._xlws.FILTER($AN$5:$AN$302,($AP$5:$AP$302=1)*($AO$5:$AO$302=$A118))))),IF($AI118="CT",B$13,IF(LEFT($AI118,3)="AM|",IF($C118="","",ROWS(_xlfn.UNIQUE(_xlfn._xlws.FILTER($AO$5:$AO$302,($AP$5:$AP$302=1)*($AN$5:$AN$302=$A118))))),IF(LEFT($AI118,2)="S|",IF($AG118="","",INDEX($AO$5:$AO$302,$AH118)),IF($AI118="HDR","City",""))))))</f>
        <v/>
      </c>
      <c r="C118" s="39" t="str" cm="1">
        <f t="array" ref="C118">IF($AI118="","",IF(LEFT($AI118,2)="C|",_xlfn.LET(_xlpm.n,SUMPRODUCT($AP$5:$AP$302*($AO$5:$AO$302=$A118)),IF(_xlpm.n=0,"",_xlpm.n)),IF($AI118="CT",C$13,IF(LEFT($AI118,3)="AM|",_xlfn.LET(_xlpm.n,SUMPRODUCT($AP$5:$AP$302*($AN$5:$AN$302=$A118)),IF(_xlpm.n=0,"",_xlpm.n)),IF(LEFT($AI118,2)="S|","",IF($AI118="HDR","# Stores",""))))))</f>
        <v/>
      </c>
      <c r="D118" s="40" t="str" cm="1">
        <f t="array" ref="D118">IF($AI118="","",IF(LEFT($AI118,2)="C|",IF($C118="","",SUMPRODUCT($AP$5:$AP$302*($AO$5:$AO$302=$A118),$AR$5:$AR$302)),IF($AI118="CT",D$13,IF(LEFT($AI118,3)="AM|",IF($C118="","",SUMPRODUCT($AP$5:$AP$302*($AN$5:$AN$302=$A118),$AR$5:$AR$302)),IF(LEFT($AI118,2)="S|",IF($AG118="","",INDEX($AR$5:$AR$302,$AH118)),IF($AI118="HDR","Sales TY",""))))))</f>
        <v/>
      </c>
      <c r="E118" s="40" t="str" cm="1">
        <f t="array" ref="E118">IF($AI118="","",IF(LEFT($AI118,2)="C|",IF($C118="","",SUMPRODUCT($AP$5:$AP$302*($AO$5:$AO$302=$A118),$AT$5:$AT$302)),IF($AI118="CT",E$13,IF(LEFT($AI118,3)="AM|",IF($C118="","",SUMPRODUCT($AP$5:$AP$302*($AN$5:$AN$302=$A118),$AT$5:$AT$302)),IF(LEFT($AI118,2)="S|",IF($AG118="","",INDEX($AT$5:$AT$302,$AH118)),IF($AI118="HDR","Sales LY",""))))))</f>
        <v/>
      </c>
      <c r="F118" s="41" t="str">
        <f t="shared" si="64"/>
        <v/>
      </c>
      <c r="G118" s="41" t="str">
        <f t="shared" si="65"/>
        <v/>
      </c>
      <c r="H118" s="40" t="str" cm="1">
        <f t="array" ref="H118">IF($AI118="","",IF(LEFT($AI118,2)="C|",IF($C118="","",SUMPRODUCT($AP$5:$AP$302*($AO$5:$AO$302=$A118),$AV$5:$AV$302)),IF($AI118="CT",H$13,IF(LEFT($AI118,3)="AM|",IF($C118="","",SUMPRODUCT($AP$5:$AP$302*($AN$5:$AN$302=$A118),$AV$5:$AV$302)),IF(LEFT($AI118,2)="S|",IF($AG118="","",INDEX($AV$5:$AV$302,$AH118)),IF($AI118="HDR","Target",""))))))</f>
        <v/>
      </c>
      <c r="I118" s="41" t="str">
        <f t="shared" si="66"/>
        <v/>
      </c>
      <c r="J118" s="40" t="str">
        <f t="shared" si="67"/>
        <v/>
      </c>
      <c r="K118" s="41" t="str">
        <f t="shared" si="68"/>
        <v/>
      </c>
      <c r="L118" s="40" t="str" cm="1">
        <f t="array" ref="L118">IF($AI118="","",IF(LEFT($AI118,2)="C|",IF($C118="","",SUMPRODUCT($AP$5:$AP$302*($AO$5:$AO$302=$A118),$BN$5:$BN$302)),IF($AI118="CT",L$13,IF(LEFT($AI118,3)="AM|",IF($C118="","",SUMPRODUCT($AP$5:$AP$302*($AN$5:$AN$302=$A118),$BN$5:$BN$302)),IF(LEFT($AI118,2)="S|",IF($AG118="","",INDEX($BN$5:$BN$302,$AH118)),IF($AI118="HDR","Month Target",""))))))</f>
        <v/>
      </c>
      <c r="M118" s="40" t="str" cm="1">
        <f t="array" ref="M118">IF($AI118="","",IF(LEFT($AI118,2)="C|",IF($C118="","",SUMPRODUCT($AP$5:$AP$302*($AO$5:$AO$302=$A118),$BO$5:$BO$302)),IF($AI118="CT",M$13,IF(LEFT($AI118,3)="AM|",IF($C118="","",SUMPRODUCT($AP$5:$AP$302*($AN$5:$AN$302=$A118),$BO$5:$BO$302)),IF(LEFT($AI118,2)="S|",IF($AG118="","",INDEX($BO$5:$BO$302,$AH118)),IF($AI118="HDR","Projected Close",""))))))</f>
        <v/>
      </c>
      <c r="N118" s="41" t="str">
        <f t="shared" si="76"/>
        <v/>
      </c>
      <c r="O118" s="41" t="str" cm="1">
        <f t="array" ref="O118">IF($AI118="HDR","Proj. vs LY",IF(OR($AI118="",M118=""),"",_xlfn.LET(_xlpm.ly,IF(LEFT($AI118,2)="C|",SUMPRODUCT($AP$5:$AP$302*($AO$5:$AO$302=$A118),$BK$5:$BK$302),IF($AI118="CT",SUMPRODUCT($AP$5:$AP$302,$BK$5:$BK$302),IF(LEFT($AI118,3)="AM|",SUMPRODUCT($AP$5:$AP$302*($AN$5:$AN$302=$A118),$BK$5:$BK$302),IF(LEFT($AI118,2)="S|",INDEX($BK$5:$BK$302,$AH118),0)))),IFERROR(M118/_xlpm.ly-1,""))))</f>
        <v/>
      </c>
      <c r="P118" s="40" t="str" cm="1">
        <f t="array" ref="P118">IF($AI118="","",IF(LEFT($AI118,2)="C|",IF($C118="","",SUMPRODUCT($AP$5:$AP$302*($AO$5:$AO$302=$A118),$AS$5:$AS$302)),IF($AI118="CT",P$13,IF(LEFT($AI118,3)="AM|",IF($C118="","",SUMPRODUCT($AP$5:$AP$302*($AN$5:$AN$302=$A118),$AS$5:$AS$302)),IF(LEFT($AI118,2)="S|",IF($AG118="","",INDEX($AS$5:$AS$302,$AH118)),IF($AI118="HDR","Trans TY",""))))))</f>
        <v/>
      </c>
      <c r="Q118" s="40" t="str" cm="1">
        <f t="array" ref="Q118">IF($AI118="","",IF(LEFT($AI118,2)="C|",IF($C118="","",SUMPRODUCT($AP$5:$AP$302*($AO$5:$AO$302=$A118),$AU$5:$AU$302)),IF($AI118="CT",Q$13,IF(LEFT($AI118,3)="AM|",IF($C118="","",SUMPRODUCT($AP$5:$AP$302*($AN$5:$AN$302=$A118),$AU$5:$AU$302)),IF(LEFT($AI118,2)="S|",IF($AG118="","",INDEX($AU$5:$AU$302,$AH118)),IF($AI118="HDR","Trans LY",""))))))</f>
        <v/>
      </c>
      <c r="R118" s="41" t="str">
        <f t="shared" si="69"/>
        <v/>
      </c>
      <c r="S118" s="41" t="str">
        <f t="shared" si="70"/>
        <v/>
      </c>
      <c r="T118" s="42" t="str">
        <f t="shared" si="71"/>
        <v/>
      </c>
      <c r="U118" s="42" t="str">
        <f t="shared" si="72"/>
        <v/>
      </c>
      <c r="V118" s="41" t="str">
        <f t="shared" si="73"/>
        <v/>
      </c>
      <c r="W118" s="40" t="str" cm="1">
        <f t="array" ref="W118">IF($AI118="","",IF(LEFT($AI118,2)="C|",_xlfn.LET(_xlpm.n,SUMPRODUCT($AP$5:$AP$302*($AO$5:$AO$302=$A118),$BB$5:$BB$302),IF(_xlpm.n=0,"",_xlpm.n)),IF($AI118="CT",W$13,IF(LEFT($AI118,3)="AM|",_xlfn.LET(_xlpm.n,SUMPRODUCT($AP$5:$AP$302*($AN$5:$AN$302=$A118),$BB$5:$BB$302),IF(_xlpm.n=0,"",_xlpm.n)),IF(LEFT($AI118,2)="S|",IF($AG118="","",_xlfn.LET(_xlpm.n,INDEX($BB$5:$BB$302,$AH118),IF(_xlpm.n=0,"",_xlpm.n))),IF($AI118="HDR","Footfall",""))))))</f>
        <v/>
      </c>
      <c r="X118" s="40" t="str" cm="1">
        <f t="array" ref="X118">IF($AI118="","",IF($AI118="HDR","Trans (FF stores)",IF(W118="","",IF(LEFT($AI118,2)="C|",SUMPRODUCT($AP$5:$AP$302*($AO$5:$AO$302=$A118),$BC$5:$BC$302),IF($AI118="CT",X$13,IF(LEFT($AI118,3)="AM|",SUMPRODUCT($AP$5:$AP$302*($AN$5:$AN$302=$A118),$BC$5:$BC$302),IF(LEFT($AI118,2)="S|",INDEX($BC$5:$BC$302,$AH118),"")))))))</f>
        <v/>
      </c>
      <c r="Y118" s="41" t="str">
        <f t="shared" si="77"/>
        <v/>
      </c>
      <c r="Z118" s="40" t="str" cm="1">
        <f t="array" ref="Z118">IF($AI118="","",IF(LEFT($AI118,2)="C|",IF($C118="","",SUMPRODUCT($AP$5:$AP$302*($AO$5:$AO$302=$A118),$CB$5:$CB$302)),IF($AI118="CT",Z$13,IF(LEFT($AI118,3)="AM|",IF($C118="","",SUMPRODUCT($AP$5:$AP$302*($AN$5:$AN$302=$A118),$CB$5:$CB$302)),IF(LEFT($AI118,2)="S|",IF($AG118="","",INDEX($CB$5:$CB$302,$AH118)),IF($AI118="HDR","Makeup Sales",""))))))</f>
        <v/>
      </c>
      <c r="AA118" s="41" t="str">
        <f t="shared" si="74"/>
        <v/>
      </c>
      <c r="AB118" s="40" t="str" cm="1">
        <f t="array" ref="AB118">IF($AI118="","",IF(LEFT($AI118,2)="C|",IF($C118="","",SUMPRODUCT($AP$5:$AP$302*($AO$5:$AO$302=$A118),$CK$5:$CK$302)),IF($AI118="CT",AB$13,IF(LEFT($AI118,3)="AM|",IF($C118="","",SUMPRODUCT($AP$5:$AP$302*($AN$5:$AN$302=$A118),$CK$5:$CK$302)),IF(LEFT($AI118,2)="S|",IF($AG118="","",INDEX($CK$5:$CK$302,$AH118)),IF($AI118="HDR","Makeup Target",""))))))</f>
        <v/>
      </c>
      <c r="AC118" s="41" t="str">
        <f t="shared" si="78"/>
        <v/>
      </c>
      <c r="AD118" s="40" t="str" cm="1">
        <f t="array" ref="AD118">IF($AI118="","",IF(LEFT($AI118,2)="C|",IF($C118="","",SUMPRODUCT($AP$5:$AP$302*($AO$5:$AO$302=$A118),$CI$5:$CI$302)),IF($AI118="CT",AD$13,IF(LEFT($AI118,3)="AM|",IF($C118="","",SUMPRODUCT($AP$5:$AP$302*($AN$5:$AN$302=$A118),$CI$5:$CI$302)),IF(LEFT($AI118,2)="S|",IF($AG118="","",INDEX($CI$5:$CI$302,$AH118)),IF($AI118="HDR","Cosmetic Sales",""))))))</f>
        <v/>
      </c>
      <c r="AE118" s="8" t="str" cm="1">
        <f t="array" ref="AE118">IF($AI118="","",IF(LEFT($AI118,2)="C|",IF($C118="","",SUMPRODUCT($AP$5:$AP$302*($AO$5:$AO$302=$A118)*$AQ$5:$AQ$302,$AR$5:$AR$302)),IF($AI118="CT",AE$13,IF(LEFT($AI118,3)="AM|",IF($C118="","",SUMPRODUCT($AP$5:$AP$302*($AN$5:$AN$302=$A118)*$AQ$5:$AQ$302,$AR$5:$AR$302)),IF(LEFT($AI118,2)="S|",IF($AG118="","",IF(INDEX($AQ$5:$AQ$302,$AH118)=1,D118,0)),IF($AI118="HDR","LFL Sales",""))))))</f>
        <v/>
      </c>
      <c r="AF118" s="8" t="str" cm="1">
        <f t="array" ref="AF118">IF($AI118="","",IF(LEFT($AI118,2)="C|",IF($C118="","",SUMPRODUCT($AP$5:$AP$302*($AO$5:$AO$302=$A118)*$AQ$5:$AQ$302,$AS$5:$AS$302)),IF($AI118="CT",AF$13,IF(LEFT($AI118,3)="AM|",IF($C118="","",SUMPRODUCT($AP$5:$AP$302*($AN$5:$AN$302=$A118)*$AQ$5:$AQ$302,$AS$5:$AS$302)),IF(LEFT($AI118,2)="S|",IF($AG118="","",IF(INDEX($AQ$5:$AQ$302,$AH118)=1,P118,0)),IF($AI118="HDR","LFL Trans",""))))))</f>
        <v/>
      </c>
      <c r="AG118" s="8" t="str" cm="1">
        <f t="array" ref="AG118">IF($AI118="","",IF(LEFT($AI118,2)="C|","",IF($AI118="CT","",IF(LEFT($AI118,3)="AM|","",IF(LEFT($AI118,2)="S|",IF($AH118="","",IF(INDEX($AP$5:$AP$302,$AH118)=1,1,"")),IF($AI118="HDR","Show",""))))))</f>
        <v/>
      </c>
      <c r="AH118" s="8" t="str">
        <f t="shared" si="75"/>
        <v/>
      </c>
      <c r="AI118" s="8"/>
      <c r="AN118" s="8" t="str" cm="1">
        <f t="array" ref="AN118">IF($AW118="","",_xlfn.LET(_xlpm.sa,IFERROR(TRIM(INDEX('Sales and count'!$D$4:$D$300,$BF118)&amp;""),""),_xlpm.ta,IFERROR(TRIM(INDEX('TY Sales Target'!$F$5:$F$300,$BG118)&amp;""),""),IF(AND(_xlpm.sa&lt;&gt;"",LEFT(_xlpm.sa,1)&lt;&gt;"#",_xlpm.sa&lt;&gt;"0"),_xlpm.sa,IF(AND(_xlpm.ta&lt;&gt;"",LEFT(_xlpm.ta,1)&lt;&gt;"#",_xlpm.ta&lt;&gt;"0"),_xlpm.ta,IF(ISNUMBER($BG118),"Unassigned","")))))</f>
        <v>No assignment</v>
      </c>
      <c r="AO118" s="8" t="str" cm="1">
        <f t="array" ref="AO118">IF($AW118="","",_xlfn.LET(_xlpm.sa,IFERROR(TRIM(INDEX('Sales and count'!$C$4:$C$300,$BF118)&amp;""),""),_xlpm.ta,IFERROR(TRIM(INDEX('TY Sales Target'!$D$5:$D$300,$BG118)&amp;""),""),IF(AND(_xlpm.sa&lt;&gt;"",LEFT(_xlpm.sa,1)&lt;&gt;"#",_xlpm.sa&lt;&gt;"0"),_xlpm.sa,IF(AND(_xlpm.ta&lt;&gt;"",LEFT(_xlpm.ta,1)&lt;&gt;"#",_xlpm.ta&lt;&gt;"0"),_xlpm.ta,""))))</f>
        <v>Doha</v>
      </c>
      <c r="AP118" s="8">
        <f t="shared" si="60"/>
        <v>0</v>
      </c>
      <c r="AQ118" s="8">
        <f t="shared" si="61"/>
        <v>0</v>
      </c>
      <c r="AR118" s="8" cm="1">
        <f t="array" ref="AR118">IF($BF118="",0,_xlfn.LET(_xlpm.d,IFERROR(--'Sales and count'!$G$2:$CC$2,0),SUMPRODUCT(('Sales and count'!$G$3:$CC$3="Total")*(_xlpm.d&gt;=$U$4)*(_xlpm.d&lt;=$U$5),INDEX('Sales and count'!$G$4:$CC$300,$BF118,0))))</f>
        <v>1484555</v>
      </c>
      <c r="AS118" s="8" cm="1">
        <f t="array" aca="1" ref="AS118" ca="1">IF($BF118="",0,_xlfn.LET(_xlpm.d,IFERROR(--'Sales and count'!$F$2:$CB$2,0),SUMPRODUCT(('Sales and count'!$G$3:$CC$3="Transactions")*(_xlpm.d&gt;=$U$4)*(_xlpm.d&lt;=$U$5),INDEX('Sales and count'!$G$4:$CC$300,$BF118,0))))</f>
        <v>5880</v>
      </c>
      <c r="AT118" s="8" cm="1">
        <f t="array" ref="AT118">IF($AW118="",0,SUMPRODUCT((TRIM('LY Sales '!$B$5:$B$200)=$AW118)*('LY Sales '!$C$2:$AG$2&gt;=EDATE($U$4,-12))*('LY Sales '!$C$2:$AG$2&lt;=EDATE($U$5,-12)),'LY Sales '!$C$5:$AG$200))</f>
        <v>0</v>
      </c>
      <c r="AU118" s="8" cm="1">
        <f t="array" ref="AU118">IF($AW118="",0,SUMPRODUCT((TRIM('LY Transaction'!$B$5:$B$200)=$AW118)*('LY Transaction'!$C$2:$AG$2&gt;=EDATE($U$4,-12))*('LY Transaction'!$C$2:$AG$2&lt;=EDATE($U$5,-12)),'LY Transaction'!$C$5:$AG$200))</f>
        <v>0</v>
      </c>
      <c r="AV118" s="8" cm="1">
        <f t="array" ref="AV118">IF(NOT(ISNUMBER($BG118)),0,SUMPRODUCT(('TY Sales Target'!$K$2:$AO$2&gt;=$U$4)*('TY Sales Target'!$K$2:$AO$2&lt;=$U$5),INDEX('TY Sales Target'!$K$5:$AO$300,$BG118,0)))</f>
        <v>766174.96544532327</v>
      </c>
      <c r="AW118" s="8" t="str" cm="1">
        <f t="array" ref="AW118">IFERROR(INDEX(_xlfn.ANCHORARRAY($BR$5),ROWS($AW$5:AW118)),"")</f>
        <v>HAQATVDPLC</v>
      </c>
      <c r="BB118" cm="1">
        <f t="array" ref="BB118">IF($AW118="",0,SUMPRODUCT((TRIM(Footfall!$B$5:$B$301)=$AW118)*(Footfall!$C$1:$BZ$1&gt;=$U$4)*(Footfall!$C$2:$BZ$2&lt;=$U$5)*(Footfall!$C$1:$BZ$1&lt;&gt;""),Footfall!$C$5:$BZ$301))</f>
        <v>0</v>
      </c>
      <c r="BC118" cm="1">
        <f t="array" ref="BC118">IF(OR($BB118&lt;=0,$BD$1="",$BF118=""),0,_xlfn.LET(_xlpm.d,IFERROR(--'Sales and count'!$F$2:$CB$2,0),SUMPRODUCT(('Sales and count'!$G$3:$CC$3="Transactions")*(_xlpm.d&gt;=$BD$1)*(_xlpm.d&lt;=$BD$2),INDEX('Sales and count'!$G$4:$CC$300,$BF118,0))))</f>
        <v>0</v>
      </c>
      <c r="BF118" cm="1">
        <f t="array" ref="BF118">IF($AW118="","",IFERROR(MATCH($AW118,TRIM('Sales and count'!$A$4:$A$300&amp;""),0),""))</f>
        <v>114</v>
      </c>
      <c r="BG118" cm="1">
        <f t="array" ref="BG118">IF($AW118="","",IFERROR(MATCH(IFERROR(_xlfn.XLOOKUP($AW118,$BT$5:$BT$22,$BU$5:$BU$22),$AW118),TRIM('TY Sales Target'!$B$5:$B$300&amp;""),0),""))</f>
        <v>113</v>
      </c>
      <c r="BH118" t="str" cm="1">
        <f t="array" ref="BH118">IF(ISNUMBER($BG118),_xlfn.LET(_xlpm.p,TRIM(INDEX('TY Sales Target'!$I$5:$I$300,$BG118)&amp;""),IF(_xlpm.p="","Not set",_xlpm.p)),"Not set")</f>
        <v>Not set</v>
      </c>
      <c r="BI118" cm="1">
        <f t="array" ref="BI118">IF($BF118="",0,_xlfn.LET(_xlpm.d,IFERROR(--'Sales and count'!$G$2:$CC$2,0),SUMPRODUCT(('Sales and count'!$G$3:$CC$3="Total")*(_xlpm.d&gt;=$BZ$5)*(_xlpm.d&lt;=$BZ$6),INDEX('Sales and count'!$G$4:$CC$300,$BF118,0))))</f>
        <v>1484555</v>
      </c>
      <c r="BJ118" cm="1">
        <f t="array" ref="BJ118">IF($AW118="",0,SUMPRODUCT((TRIM('LY Sales '!$B$5:$B$200)=$AW118)*('LY Sales '!$C$2:$AG$2&gt;=EDATE($BZ$5,-12))*('LY Sales '!$C$2:$AG$2&lt;=EDATE($BZ$6,-12)),'LY Sales '!$C$5:$AG$200))</f>
        <v>0</v>
      </c>
      <c r="BK118" cm="1">
        <f t="array" ref="BK118">IF($AW118="",0,SUMPRODUCT((TRIM('LY Sales '!$B$5:$B$200)=$AW118)*('LY Sales '!$C$2:$AG$2&gt;=EDATE($BZ$5,-12))*('LY Sales '!$C$2:$AG$2&lt;=EDATE($BZ$7,-12)),'LY Sales '!$C$5:$AG$200))</f>
        <v>0</v>
      </c>
      <c r="BL118" cm="1">
        <f t="array" ref="BL118">IF($AW118="",0,SUMPRODUCT((TRIM('LY Sales '!$B$5:$B$200)=$AW118)*('LY Sales '!$C$2:$AG$2&gt;=EDATE($BZ$5,-12))*('LY Sales '!$C$2:$AG$2&lt;=EDATE($BZ$6,-12))*('LY Sales '!$C$5:$AG$200&gt;0)))</f>
        <v>0</v>
      </c>
      <c r="BM118" cm="1">
        <f t="array" ref="BM118">IF(NOT(ISNUMBER($BG118)),0,SUMPRODUCT(('TY Sales Target'!$K$2:$AO$2&gt;=$BZ$5)*('TY Sales Target'!$K$2:$AO$2&lt;=$BZ$6),INDEX('TY Sales Target'!$K$5:$AO$300,$BG118,0)))</f>
        <v>766174.96544532327</v>
      </c>
      <c r="BN118" cm="1">
        <f t="array" ref="BN118">IF(NOT(ISNUMBER($BG118)),0,SUMPRODUCT(('TY Sales Target'!$K$2:$AO$2&gt;=$BZ$5)*('TY Sales Target'!$K$2:$AO$2&lt;=$BZ$7),INDEX('TY Sales Target'!$K$5:$AO$300,$BG118,0)))</f>
        <v>1000000.0000000001</v>
      </c>
      <c r="BO118" cm="1">
        <f t="array" ref="BO118">IF($AW118="",0,IFERROR(_xlfn.SWITCH($BP118,"LY trend",$BI118*$BK118/$BJ118,"Target curve",$BI118*$BN118/$BM118,"Run rate",$BI118/$BZ$8*$BZ$9,0),0))</f>
        <v>1937618.7776340793</v>
      </c>
      <c r="BP118" t="str">
        <f t="shared" si="59"/>
        <v>Target curve</v>
      </c>
      <c r="BR118" t="str">
        <v>HAQATVDPLC</v>
      </c>
      <c r="CB118" cm="1">
        <f t="array" ref="CB118">IF($AW118="",0,_xlfn.LET(_xlpm.k,IFERROR(_xlfn.XLOOKUP($AW118,$CD$6:$CD$21,$CE$6:$CE$21),$AW118),SUMPRODUCT((TRIM('Makeup '!$A$2:$A$300&amp;"")=_xlpm.k)*1,IFERROR('Makeup '!$F$2:$F$300*1,0))))</f>
        <v>75526.42</v>
      </c>
      <c r="CF118" t="str" cm="1">
        <f t="array" ref="CF118">IF($AW118="","",_xlfn.LET(_xlpm.c,IFERROR(TRIM(INDEX('Sales and count'!$B$4:$B$300,$BF118)&amp;""),""),IF(OR(_xlpm.c="",_xlpm.c="0",LEFT(_xlpm.c,1)="#"),"Not set",_xlpm.c)))</f>
        <v>Qatar</v>
      </c>
      <c r="CH118" cm="1">
        <f t="array" ref="CH118">IF($AW118="",0,_xlfn.LET(_xlpm.k,IFERROR(_xlfn.XLOOKUP($AW118,$CD$6:$CD$21,$CE$6:$CE$21),$AW118),--(SUMPRODUCT((TRIM('Makeup '!$A$2:$A$300&amp;"")=_xlpm.k)*ISNUMBER('Makeup '!$F$2:$F$300))&gt;0)))</f>
        <v>1</v>
      </c>
      <c r="CI118">
        <f t="shared" si="62"/>
        <v>1484555</v>
      </c>
      <c r="CJ118" cm="1">
        <f t="array" ref="CJ118">IF($AW118="",0,--(SUMPRODUCT(--(TRIM(Footfall!$B$5:$B$301)=$AW118))&gt;0))</f>
        <v>0</v>
      </c>
      <c r="CK118" s="8" cm="1">
        <f t="array" ref="CK118">IF($AW118="",0,_xlfn.LET(_xlpm.r,IFERROR(MATCH(IFERROR(_xlfn.XLOOKUP($AW118,$BT$5:$BT$22,$BU$5:$BU$22),$AW118),TRIM('TY Beauty Target'!$B$5:$B$300&amp;""),0),""),IF(ISNUMBER(_xlpm.r),SUMPRODUCT(('TY Beauty Target'!$L$2:$AP$2&gt;=$U$4)*('TY Beauty Target'!$L$2:$AP$2&lt;=$U$5),INDEX('TY Beauty Target'!$L$5:$AP$300,_xlpm.r,0)),0)))</f>
        <v>137911.49378015817</v>
      </c>
    </row>
    <row r="119" spans="1:89" ht="15" customHeight="1" x14ac:dyDescent="0.25">
      <c r="A119" s="38" t="str">
        <f t="shared" si="63"/>
        <v/>
      </c>
      <c r="B119" s="43" t="str" cm="1">
        <f t="array" ref="B119">IF($AI119="","",IF(LEFT($AI119,2)="C|",IF($C119="","",_xlfn.TEXTJOIN(", ",TRUE,_xlfn.UNIQUE(_xlfn._xlws.FILTER($AN$5:$AN$302,($AP$5:$AP$302=1)*($AO$5:$AO$302=$A119))))),IF($AI119="CT",B$13,IF(LEFT($AI119,3)="AM|",IF($C119="","",ROWS(_xlfn.UNIQUE(_xlfn._xlws.FILTER($AO$5:$AO$302,($AP$5:$AP$302=1)*($AN$5:$AN$302=$A119))))),IF(LEFT($AI119,2)="S|",IF($AG119="","",INDEX($AO$5:$AO$302,$AH119)),IF($AI119="HDR","City",""))))))</f>
        <v/>
      </c>
      <c r="C119" s="39" t="str" cm="1">
        <f t="array" ref="C119">IF($AI119="","",IF(LEFT($AI119,2)="C|",_xlfn.LET(_xlpm.n,SUMPRODUCT($AP$5:$AP$302*($AO$5:$AO$302=$A119)),IF(_xlpm.n=0,"",_xlpm.n)),IF($AI119="CT",C$13,IF(LEFT($AI119,3)="AM|",_xlfn.LET(_xlpm.n,SUMPRODUCT($AP$5:$AP$302*($AN$5:$AN$302=$A119)),IF(_xlpm.n=0,"",_xlpm.n)),IF(LEFT($AI119,2)="S|","",IF($AI119="HDR","# Stores",""))))))</f>
        <v/>
      </c>
      <c r="D119" s="40" t="str" cm="1">
        <f t="array" ref="D119">IF($AI119="","",IF(LEFT($AI119,2)="C|",IF($C119="","",SUMPRODUCT($AP$5:$AP$302*($AO$5:$AO$302=$A119),$AR$5:$AR$302)),IF($AI119="CT",D$13,IF(LEFT($AI119,3)="AM|",IF($C119="","",SUMPRODUCT($AP$5:$AP$302*($AN$5:$AN$302=$A119),$AR$5:$AR$302)),IF(LEFT($AI119,2)="S|",IF($AG119="","",INDEX($AR$5:$AR$302,$AH119)),IF($AI119="HDR","Sales TY",""))))))</f>
        <v/>
      </c>
      <c r="E119" s="40" t="str" cm="1">
        <f t="array" ref="E119">IF($AI119="","",IF(LEFT($AI119,2)="C|",IF($C119="","",SUMPRODUCT($AP$5:$AP$302*($AO$5:$AO$302=$A119),$AT$5:$AT$302)),IF($AI119="CT",E$13,IF(LEFT($AI119,3)="AM|",IF($C119="","",SUMPRODUCT($AP$5:$AP$302*($AN$5:$AN$302=$A119),$AT$5:$AT$302)),IF(LEFT($AI119,2)="S|",IF($AG119="","",INDEX($AT$5:$AT$302,$AH119)),IF($AI119="HDR","Sales LY",""))))))</f>
        <v/>
      </c>
      <c r="F119" s="41" t="str">
        <f t="shared" si="64"/>
        <v/>
      </c>
      <c r="G119" s="41" t="str">
        <f t="shared" si="65"/>
        <v/>
      </c>
      <c r="H119" s="40" t="str" cm="1">
        <f t="array" ref="H119">IF($AI119="","",IF(LEFT($AI119,2)="C|",IF($C119="","",SUMPRODUCT($AP$5:$AP$302*($AO$5:$AO$302=$A119),$AV$5:$AV$302)),IF($AI119="CT",H$13,IF(LEFT($AI119,3)="AM|",IF($C119="","",SUMPRODUCT($AP$5:$AP$302*($AN$5:$AN$302=$A119),$AV$5:$AV$302)),IF(LEFT($AI119,2)="S|",IF($AG119="","",INDEX($AV$5:$AV$302,$AH119)),IF($AI119="HDR","Target",""))))))</f>
        <v/>
      </c>
      <c r="I119" s="41" t="str">
        <f t="shared" si="66"/>
        <v/>
      </c>
      <c r="J119" s="40" t="str">
        <f t="shared" si="67"/>
        <v/>
      </c>
      <c r="K119" s="41" t="str">
        <f t="shared" si="68"/>
        <v/>
      </c>
      <c r="L119" s="40" t="str" cm="1">
        <f t="array" ref="L119">IF($AI119="","",IF(LEFT($AI119,2)="C|",IF($C119="","",SUMPRODUCT($AP$5:$AP$302*($AO$5:$AO$302=$A119),$BN$5:$BN$302)),IF($AI119="CT",L$13,IF(LEFT($AI119,3)="AM|",IF($C119="","",SUMPRODUCT($AP$5:$AP$302*($AN$5:$AN$302=$A119),$BN$5:$BN$302)),IF(LEFT($AI119,2)="S|",IF($AG119="","",INDEX($BN$5:$BN$302,$AH119)),IF($AI119="HDR","Month Target",""))))))</f>
        <v/>
      </c>
      <c r="M119" s="40" t="str" cm="1">
        <f t="array" ref="M119">IF($AI119="","",IF(LEFT($AI119,2)="C|",IF($C119="","",SUMPRODUCT($AP$5:$AP$302*($AO$5:$AO$302=$A119),$BO$5:$BO$302)),IF($AI119="CT",M$13,IF(LEFT($AI119,3)="AM|",IF($C119="","",SUMPRODUCT($AP$5:$AP$302*($AN$5:$AN$302=$A119),$BO$5:$BO$302)),IF(LEFT($AI119,2)="S|",IF($AG119="","",INDEX($BO$5:$BO$302,$AH119)),IF($AI119="HDR","Projected Close",""))))))</f>
        <v/>
      </c>
      <c r="N119" s="41" t="str">
        <f t="shared" si="76"/>
        <v/>
      </c>
      <c r="O119" s="41" t="str" cm="1">
        <f t="array" ref="O119">IF($AI119="HDR","Proj. vs LY",IF(OR($AI119="",M119=""),"",_xlfn.LET(_xlpm.ly,IF(LEFT($AI119,2)="C|",SUMPRODUCT($AP$5:$AP$302*($AO$5:$AO$302=$A119),$BK$5:$BK$302),IF($AI119="CT",SUMPRODUCT($AP$5:$AP$302,$BK$5:$BK$302),IF(LEFT($AI119,3)="AM|",SUMPRODUCT($AP$5:$AP$302*($AN$5:$AN$302=$A119),$BK$5:$BK$302),IF(LEFT($AI119,2)="S|",INDEX($BK$5:$BK$302,$AH119),0)))),IFERROR(M119/_xlpm.ly-1,""))))</f>
        <v/>
      </c>
      <c r="P119" s="40" t="str" cm="1">
        <f t="array" ref="P119">IF($AI119="","",IF(LEFT($AI119,2)="C|",IF($C119="","",SUMPRODUCT($AP$5:$AP$302*($AO$5:$AO$302=$A119),$AS$5:$AS$302)),IF($AI119="CT",P$13,IF(LEFT($AI119,3)="AM|",IF($C119="","",SUMPRODUCT($AP$5:$AP$302*($AN$5:$AN$302=$A119),$AS$5:$AS$302)),IF(LEFT($AI119,2)="S|",IF($AG119="","",INDEX($AS$5:$AS$302,$AH119)),IF($AI119="HDR","Trans TY",""))))))</f>
        <v/>
      </c>
      <c r="Q119" s="40" t="str" cm="1">
        <f t="array" ref="Q119">IF($AI119="","",IF(LEFT($AI119,2)="C|",IF($C119="","",SUMPRODUCT($AP$5:$AP$302*($AO$5:$AO$302=$A119),$AU$5:$AU$302)),IF($AI119="CT",Q$13,IF(LEFT($AI119,3)="AM|",IF($C119="","",SUMPRODUCT($AP$5:$AP$302*($AN$5:$AN$302=$A119),$AU$5:$AU$302)),IF(LEFT($AI119,2)="S|",IF($AG119="","",INDEX($AU$5:$AU$302,$AH119)),IF($AI119="HDR","Trans LY",""))))))</f>
        <v/>
      </c>
      <c r="R119" s="41" t="str">
        <f t="shared" si="69"/>
        <v/>
      </c>
      <c r="S119" s="41" t="str">
        <f t="shared" si="70"/>
        <v/>
      </c>
      <c r="T119" s="42" t="str">
        <f t="shared" si="71"/>
        <v/>
      </c>
      <c r="U119" s="42" t="str">
        <f t="shared" si="72"/>
        <v/>
      </c>
      <c r="V119" s="41" t="str">
        <f t="shared" si="73"/>
        <v/>
      </c>
      <c r="W119" s="40" t="str" cm="1">
        <f t="array" ref="W119">IF($AI119="","",IF(LEFT($AI119,2)="C|",_xlfn.LET(_xlpm.n,SUMPRODUCT($AP$5:$AP$302*($AO$5:$AO$302=$A119),$BB$5:$BB$302),IF(_xlpm.n=0,"",_xlpm.n)),IF($AI119="CT",W$13,IF(LEFT($AI119,3)="AM|",_xlfn.LET(_xlpm.n,SUMPRODUCT($AP$5:$AP$302*($AN$5:$AN$302=$A119),$BB$5:$BB$302),IF(_xlpm.n=0,"",_xlpm.n)),IF(LEFT($AI119,2)="S|",IF($AG119="","",_xlfn.LET(_xlpm.n,INDEX($BB$5:$BB$302,$AH119),IF(_xlpm.n=0,"",_xlpm.n))),IF($AI119="HDR","Footfall",""))))))</f>
        <v/>
      </c>
      <c r="X119" s="40" t="str" cm="1">
        <f t="array" ref="X119">IF($AI119="","",IF($AI119="HDR","Trans (FF stores)",IF(W119="","",IF(LEFT($AI119,2)="C|",SUMPRODUCT($AP$5:$AP$302*($AO$5:$AO$302=$A119),$BC$5:$BC$302),IF($AI119="CT",X$13,IF(LEFT($AI119,3)="AM|",SUMPRODUCT($AP$5:$AP$302*($AN$5:$AN$302=$A119),$BC$5:$BC$302),IF(LEFT($AI119,2)="S|",INDEX($BC$5:$BC$302,$AH119),"")))))))</f>
        <v/>
      </c>
      <c r="Y119" s="41" t="str">
        <f t="shared" si="77"/>
        <v/>
      </c>
      <c r="Z119" s="40" t="str" cm="1">
        <f t="array" ref="Z119">IF($AI119="","",IF(LEFT($AI119,2)="C|",IF($C119="","",SUMPRODUCT($AP$5:$AP$302*($AO$5:$AO$302=$A119),$CB$5:$CB$302)),IF($AI119="CT",Z$13,IF(LEFT($AI119,3)="AM|",IF($C119="","",SUMPRODUCT($AP$5:$AP$302*($AN$5:$AN$302=$A119),$CB$5:$CB$302)),IF(LEFT($AI119,2)="S|",IF($AG119="","",INDEX($CB$5:$CB$302,$AH119)),IF($AI119="HDR","Makeup Sales",""))))))</f>
        <v/>
      </c>
      <c r="AA119" s="41" t="str">
        <f t="shared" si="74"/>
        <v/>
      </c>
      <c r="AB119" s="40" t="str" cm="1">
        <f t="array" ref="AB119">IF($AI119="","",IF(LEFT($AI119,2)="C|",IF($C119="","",SUMPRODUCT($AP$5:$AP$302*($AO$5:$AO$302=$A119),$CK$5:$CK$302)),IF($AI119="CT",AB$13,IF(LEFT($AI119,3)="AM|",IF($C119="","",SUMPRODUCT($AP$5:$AP$302*($AN$5:$AN$302=$A119),$CK$5:$CK$302)),IF(LEFT($AI119,2)="S|",IF($AG119="","",INDEX($CK$5:$CK$302,$AH119)),IF($AI119="HDR","Makeup Target",""))))))</f>
        <v/>
      </c>
      <c r="AC119" s="41" t="str">
        <f t="shared" si="78"/>
        <v/>
      </c>
      <c r="AD119" s="40" t="str" cm="1">
        <f t="array" ref="AD119">IF($AI119="","",IF(LEFT($AI119,2)="C|",IF($C119="","",SUMPRODUCT($AP$5:$AP$302*($AO$5:$AO$302=$A119),$CI$5:$CI$302)),IF($AI119="CT",AD$13,IF(LEFT($AI119,3)="AM|",IF($C119="","",SUMPRODUCT($AP$5:$AP$302*($AN$5:$AN$302=$A119),$CI$5:$CI$302)),IF(LEFT($AI119,2)="S|",IF($AG119="","",INDEX($CI$5:$CI$302,$AH119)),IF($AI119="HDR","Cosmetic Sales",""))))))</f>
        <v/>
      </c>
      <c r="AE119" s="8" t="str" cm="1">
        <f t="array" ref="AE119">IF($AI119="","",IF(LEFT($AI119,2)="C|",IF($C119="","",SUMPRODUCT($AP$5:$AP$302*($AO$5:$AO$302=$A119)*$AQ$5:$AQ$302,$AR$5:$AR$302)),IF($AI119="CT",AE$13,IF(LEFT($AI119,3)="AM|",IF($C119="","",SUMPRODUCT($AP$5:$AP$302*($AN$5:$AN$302=$A119)*$AQ$5:$AQ$302,$AR$5:$AR$302)),IF(LEFT($AI119,2)="S|",IF($AG119="","",IF(INDEX($AQ$5:$AQ$302,$AH119)=1,D119,0)),IF($AI119="HDR","LFL Sales",""))))))</f>
        <v/>
      </c>
      <c r="AF119" s="8" t="str" cm="1">
        <f t="array" ref="AF119">IF($AI119="","",IF(LEFT($AI119,2)="C|",IF($C119="","",SUMPRODUCT($AP$5:$AP$302*($AO$5:$AO$302=$A119)*$AQ$5:$AQ$302,$AS$5:$AS$302)),IF($AI119="CT",AF$13,IF(LEFT($AI119,3)="AM|",IF($C119="","",SUMPRODUCT($AP$5:$AP$302*($AN$5:$AN$302=$A119)*$AQ$5:$AQ$302,$AS$5:$AS$302)),IF(LEFT($AI119,2)="S|",IF($AG119="","",IF(INDEX($AQ$5:$AQ$302,$AH119)=1,P119,0)),IF($AI119="HDR","LFL Trans",""))))))</f>
        <v/>
      </c>
      <c r="AG119" s="8" t="str" cm="1">
        <f t="array" ref="AG119">IF($AI119="","",IF(LEFT($AI119,2)="C|","",IF($AI119="CT","",IF(LEFT($AI119,3)="AM|","",IF(LEFT($AI119,2)="S|",IF($AH119="","",IF(INDEX($AP$5:$AP$302,$AH119)=1,1,"")),IF($AI119="HDR","Show",""))))))</f>
        <v/>
      </c>
      <c r="AH119" s="8" t="str">
        <f t="shared" si="75"/>
        <v/>
      </c>
      <c r="AI119" s="8"/>
      <c r="AN119" s="8" t="str" cm="1">
        <f t="array" ref="AN119">IF($AW119="","",_xlfn.LET(_xlpm.sa,IFERROR(TRIM(INDEX('Sales and count'!$D$4:$D$300,$BF119)&amp;""),""),_xlpm.ta,IFERROR(TRIM(INDEX('TY Sales Target'!$F$5:$F$300,$BG119)&amp;""),""),IF(AND(_xlpm.sa&lt;&gt;"",LEFT(_xlpm.sa,1)&lt;&gt;"#",_xlpm.sa&lt;&gt;"0"),_xlpm.sa,IF(AND(_xlpm.ta&lt;&gt;"",LEFT(_xlpm.ta,1)&lt;&gt;"#",_xlpm.ta&lt;&gt;"0"),_xlpm.ta,IF(ISNUMBER($BG119),"Unassigned","")))))</f>
        <v>Maram Zamzami</v>
      </c>
      <c r="AO119" s="8" t="str" cm="1">
        <f t="array" ref="AO119">IF($AW119="","",_xlfn.LET(_xlpm.sa,IFERROR(TRIM(INDEX('Sales and count'!$C$4:$C$300,$BF119)&amp;""),""),_xlpm.ta,IFERROR(TRIM(INDEX('TY Sales Target'!$D$5:$D$300,$BG119)&amp;""),""),IF(AND(_xlpm.sa&lt;&gt;"",LEFT(_xlpm.sa,1)&lt;&gt;"#",_xlpm.sa&lt;&gt;"0"),_xlpm.sa,IF(AND(_xlpm.ta&lt;&gt;"",LEFT(_xlpm.ta,1)&lt;&gt;"#",_xlpm.ta&lt;&gt;"0"),_xlpm.ta,""))))</f>
        <v>Makkah</v>
      </c>
      <c r="AP119" s="8">
        <f t="shared" si="60"/>
        <v>0</v>
      </c>
      <c r="AQ119" s="8">
        <f t="shared" si="61"/>
        <v>0</v>
      </c>
      <c r="AR119" s="8" cm="1">
        <f t="array" ref="AR119">IF($BF119="",0,_xlfn.LET(_xlpm.d,IFERROR(--'Sales and count'!$G$2:$CC$2,0),SUMPRODUCT(('Sales and count'!$G$3:$CC$3="Total")*(_xlpm.d&gt;=$U$4)*(_xlpm.d&lt;=$U$5),INDEX('Sales and count'!$G$4:$CC$300,$BF119,0))))</f>
        <v>0</v>
      </c>
      <c r="AS119" s="8" cm="1">
        <f t="array" ref="AS119">IF($BF119="",0,_xlfn.LET(_xlpm.d,IFERROR(--'Sales and count'!$F$2:$CB$2,0),SUMPRODUCT(('Sales and count'!$G$3:$CC$3="Transactions")*(_xlpm.d&gt;=$U$4)*(_xlpm.d&lt;=$U$5),INDEX('Sales and count'!$G$4:$CC$300,$BF119,0))))</f>
        <v>0</v>
      </c>
      <c r="AT119" s="8" cm="1">
        <f t="array" ref="AT119">IF($AW119="",0,SUMPRODUCT((TRIM('LY Sales '!$B$5:$B$200)=$AW119)*('LY Sales '!$C$2:$AG$2&gt;=EDATE($U$4,-12))*('LY Sales '!$C$2:$AG$2&lt;=EDATE($U$5,-12)),'LY Sales '!$C$5:$AG$200))</f>
        <v>0</v>
      </c>
      <c r="AU119" s="8" cm="1">
        <f t="array" ref="AU119">IF($AW119="",0,SUMPRODUCT((TRIM('LY Transaction'!$B$5:$B$200)=$AW119)*('LY Transaction'!$C$2:$AG$2&gt;=EDATE($U$4,-12))*('LY Transaction'!$C$2:$AG$2&lt;=EDATE($U$5,-12)),'LY Transaction'!$C$5:$AG$200))</f>
        <v>0</v>
      </c>
      <c r="AV119" s="8" cm="1">
        <f t="array" ref="AV119">IF(NOT(ISNUMBER($BG119)),0,SUMPRODUCT(('TY Sales Target'!$K$2:$AO$2&gt;=$U$4)*('TY Sales Target'!$K$2:$AO$2&lt;=$U$5),INDEX('TY Sales Target'!$K$5:$AO$300,$BG119,0)))</f>
        <v>61293.997235625866</v>
      </c>
      <c r="AW119" s="8" t="str" cm="1">
        <f t="array" ref="AW119">IFERROR(INDEX(_xlfn.ANCHORARRAY($BR$5),ROWS($AW$5:AW119)),"")</f>
        <v>KHALIL SUQARE</v>
      </c>
      <c r="BB119" cm="1">
        <f t="array" ref="BB119">IF($AW119="",0,SUMPRODUCT((TRIM(Footfall!$B$5:$B$301)=$AW119)*(Footfall!$C$1:$BZ$1&gt;=$U$4)*(Footfall!$C$2:$BZ$2&lt;=$U$5)*(Footfall!$C$1:$BZ$1&lt;&gt;""),Footfall!$C$5:$BZ$301))</f>
        <v>0</v>
      </c>
      <c r="BC119" cm="1">
        <f t="array" ref="BC119">IF(OR($BB119&lt;=0,$BD$1="",$BF119=""),0,_xlfn.LET(_xlpm.d,IFERROR(--'Sales and count'!$F$2:$CB$2,0),SUMPRODUCT(('Sales and count'!$G$3:$CC$3="Transactions")*(_xlpm.d&gt;=$BD$1)*(_xlpm.d&lt;=$BD$2),INDEX('Sales and count'!$G$4:$CC$300,$BF119,0))))</f>
        <v>0</v>
      </c>
      <c r="BF119" t="str" cm="1">
        <f t="array" ref="BF119">IF($AW119="","",IFERROR(MATCH($AW119,TRIM('Sales and count'!$A$4:$A$300&amp;""),0),""))</f>
        <v/>
      </c>
      <c r="BG119" cm="1">
        <f t="array" ref="BG119">IF($AW119="","",IFERROR(MATCH(IFERROR(_xlfn.XLOOKUP($AW119,$BT$5:$BT$22,$BU$5:$BU$22),$AW119),TRIM('TY Sales Target'!$B$5:$B$300&amp;""),0),""))</f>
        <v>110</v>
      </c>
      <c r="BH119" t="str" cm="1">
        <f t="array" ref="BH119">IF(ISNUMBER($BG119),_xlfn.LET(_xlpm.p,TRIM(INDEX('TY Sales Target'!$I$5:$I$300,$BG119)&amp;""),IF(_xlpm.p="","Not set",_xlpm.p)),"Not set")</f>
        <v>Gold Bar</v>
      </c>
      <c r="BI119" cm="1">
        <f t="array" ref="BI119">IF($BF119="",0,_xlfn.LET(_xlpm.d,IFERROR(--'Sales and count'!$G$2:$CC$2,0),SUMPRODUCT(('Sales and count'!$G$3:$CC$3="Total")*(_xlpm.d&gt;=$BZ$5)*(_xlpm.d&lt;=$BZ$6),INDEX('Sales and count'!$G$4:$CC$300,$BF119,0))))</f>
        <v>0</v>
      </c>
      <c r="BJ119" cm="1">
        <f t="array" ref="BJ119">IF($AW119="",0,SUMPRODUCT((TRIM('LY Sales '!$B$5:$B$200)=$AW119)*('LY Sales '!$C$2:$AG$2&gt;=EDATE($BZ$5,-12))*('LY Sales '!$C$2:$AG$2&lt;=EDATE($BZ$6,-12)),'LY Sales '!$C$5:$AG$200))</f>
        <v>0</v>
      </c>
      <c r="BK119" cm="1">
        <f t="array" ref="BK119">IF($AW119="",0,SUMPRODUCT((TRIM('LY Sales '!$B$5:$B$200)=$AW119)*('LY Sales '!$C$2:$AG$2&gt;=EDATE($BZ$5,-12))*('LY Sales '!$C$2:$AG$2&lt;=EDATE($BZ$7,-12)),'LY Sales '!$C$5:$AG$200))</f>
        <v>0</v>
      </c>
      <c r="BL119" cm="1">
        <f t="array" ref="BL119">IF($AW119="",0,SUMPRODUCT((TRIM('LY Sales '!$B$5:$B$200)=$AW119)*('LY Sales '!$C$2:$AG$2&gt;=EDATE($BZ$5,-12))*('LY Sales '!$C$2:$AG$2&lt;=EDATE($BZ$6,-12))*('LY Sales '!$C$5:$AG$200&gt;0)))</f>
        <v>0</v>
      </c>
      <c r="BM119" cm="1">
        <f t="array" ref="BM119">IF(NOT(ISNUMBER($BG119)),0,SUMPRODUCT(('TY Sales Target'!$K$2:$AO$2&gt;=$BZ$5)*('TY Sales Target'!$K$2:$AO$2&lt;=$BZ$6),INDEX('TY Sales Target'!$K$5:$AO$300,$BG119,0)))</f>
        <v>61293.997235625866</v>
      </c>
      <c r="BN119" cm="1">
        <f t="array" ref="BN119">IF(NOT(ISNUMBER($BG119)),0,SUMPRODUCT(('TY Sales Target'!$K$2:$AO$2&gt;=$BZ$5)*('TY Sales Target'!$K$2:$AO$2&lt;=$BZ$7),INDEX('TY Sales Target'!$K$5:$AO$300,$BG119,0)))</f>
        <v>80000</v>
      </c>
      <c r="BO119" cm="1">
        <f t="array" ref="BO119">IF($AW119="",0,IFERROR(_xlfn.SWITCH($BP119,"LY trend",$BI119*$BK119/$BJ119,"Target curve",$BI119*$BN119/$BM119,"Run rate",$BI119/$BZ$8*$BZ$9,0),0))</f>
        <v>0</v>
      </c>
      <c r="BP119" t="str">
        <f t="shared" si="59"/>
        <v>Target curve</v>
      </c>
      <c r="BR119" t="str">
        <v>KHALIL SUQARE</v>
      </c>
      <c r="CB119" cm="1">
        <f t="array" ref="CB119">IF($AW119="",0,_xlfn.LET(_xlpm.k,IFERROR(_xlfn.XLOOKUP($AW119,$CD$6:$CD$21,$CE$6:$CE$21),$AW119),SUMPRODUCT((TRIM('Makeup '!$A$2:$A$300&amp;"")=_xlpm.k)*1,IFERROR('Makeup '!$F$2:$F$300*1,0))))</f>
        <v>0</v>
      </c>
      <c r="CF119" t="str" cm="1">
        <f t="array" ref="CF119">IF($AW119="","",_xlfn.LET(_xlpm.c,IFERROR(TRIM(INDEX('Sales and count'!$B$4:$B$300,$BF119)&amp;""),""),IF(OR(_xlpm.c="",_xlpm.c="0",LEFT(_xlpm.c,1)="#"),"Not set",_xlpm.c)))</f>
        <v>Not set</v>
      </c>
      <c r="CH119" cm="1">
        <f t="array" ref="CH119">IF($AW119="",0,_xlfn.LET(_xlpm.k,IFERROR(_xlfn.XLOOKUP($AW119,$CD$6:$CD$21,$CE$6:$CE$21),$AW119),--(SUMPRODUCT((TRIM('Makeup '!$A$2:$A$300&amp;"")=_xlpm.k)*ISNUMBER('Makeup '!$F$2:$F$300))&gt;0)))</f>
        <v>0</v>
      </c>
      <c r="CI119">
        <f t="shared" si="62"/>
        <v>0</v>
      </c>
      <c r="CJ119" cm="1">
        <f t="array" ref="CJ119">IF($AW119="",0,--(SUMPRODUCT(--(TRIM(Footfall!$B$5:$B$301)=$AW119))&gt;0))</f>
        <v>0</v>
      </c>
      <c r="CK119" s="8" cm="1">
        <f t="array" ref="CK119">IF($AW119="",0,_xlfn.LET(_xlpm.r,IFERROR(MATCH(IFERROR(_xlfn.XLOOKUP($AW119,$BT$5:$BT$22,$BU$5:$BU$22),$AW119),TRIM('TY Beauty Target'!$B$5:$B$300&amp;""),0),""),IF(ISNUMBER(_xlpm.r),SUMPRODUCT(('TY Beauty Target'!$L$2:$AP$2&gt;=$U$4)*('TY Beauty Target'!$L$2:$AP$2&lt;=$U$5),INDEX('TY Beauty Target'!$L$5:$AP$300,_xlpm.r,0)),0)))</f>
        <v>0</v>
      </c>
    </row>
    <row r="120" spans="1:89" ht="15" customHeight="1" x14ac:dyDescent="0.25">
      <c r="A120" s="38" t="str">
        <f t="shared" si="63"/>
        <v/>
      </c>
      <c r="B120" s="43" t="str" cm="1">
        <f t="array" ref="B120">IF($AI120="","",IF(LEFT($AI120,2)="C|",IF($C120="","",_xlfn.TEXTJOIN(", ",TRUE,_xlfn.UNIQUE(_xlfn._xlws.FILTER($AN$5:$AN$302,($AP$5:$AP$302=1)*($AO$5:$AO$302=$A120))))),IF($AI120="CT",B$13,IF(LEFT($AI120,3)="AM|",IF($C120="","",ROWS(_xlfn.UNIQUE(_xlfn._xlws.FILTER($AO$5:$AO$302,($AP$5:$AP$302=1)*($AN$5:$AN$302=$A120))))),IF(LEFT($AI120,2)="S|",IF($AG120="","",INDEX($AO$5:$AO$302,$AH120)),IF($AI120="HDR","City",""))))))</f>
        <v/>
      </c>
      <c r="C120" s="39" t="str" cm="1">
        <f t="array" ref="C120">IF($AI120="","",IF(LEFT($AI120,2)="C|",_xlfn.LET(_xlpm.n,SUMPRODUCT($AP$5:$AP$302*($AO$5:$AO$302=$A120)),IF(_xlpm.n=0,"",_xlpm.n)),IF($AI120="CT",C$13,IF(LEFT($AI120,3)="AM|",_xlfn.LET(_xlpm.n,SUMPRODUCT($AP$5:$AP$302*($AN$5:$AN$302=$A120)),IF(_xlpm.n=0,"",_xlpm.n)),IF(LEFT($AI120,2)="S|","",IF($AI120="HDR","# Stores",""))))))</f>
        <v/>
      </c>
      <c r="D120" s="40" t="str" cm="1">
        <f t="array" ref="D120">IF($AI120="","",IF(LEFT($AI120,2)="C|",IF($C120="","",SUMPRODUCT($AP$5:$AP$302*($AO$5:$AO$302=$A120),$AR$5:$AR$302)),IF($AI120="CT",D$13,IF(LEFT($AI120,3)="AM|",IF($C120="","",SUMPRODUCT($AP$5:$AP$302*($AN$5:$AN$302=$A120),$AR$5:$AR$302)),IF(LEFT($AI120,2)="S|",IF($AG120="","",INDEX($AR$5:$AR$302,$AH120)),IF($AI120="HDR","Sales TY",""))))))</f>
        <v/>
      </c>
      <c r="E120" s="40" t="str" cm="1">
        <f t="array" ref="E120">IF($AI120="","",IF(LEFT($AI120,2)="C|",IF($C120="","",SUMPRODUCT($AP$5:$AP$302*($AO$5:$AO$302=$A120),$AT$5:$AT$302)),IF($AI120="CT",E$13,IF(LEFT($AI120,3)="AM|",IF($C120="","",SUMPRODUCT($AP$5:$AP$302*($AN$5:$AN$302=$A120),$AT$5:$AT$302)),IF(LEFT($AI120,2)="S|",IF($AG120="","",INDEX($AT$5:$AT$302,$AH120)),IF($AI120="HDR","Sales LY",""))))))</f>
        <v/>
      </c>
      <c r="F120" s="41" t="str">
        <f t="shared" si="64"/>
        <v/>
      </c>
      <c r="G120" s="41" t="str">
        <f t="shared" si="65"/>
        <v/>
      </c>
      <c r="H120" s="40" t="str" cm="1">
        <f t="array" ref="H120">IF($AI120="","",IF(LEFT($AI120,2)="C|",IF($C120="","",SUMPRODUCT($AP$5:$AP$302*($AO$5:$AO$302=$A120),$AV$5:$AV$302)),IF($AI120="CT",H$13,IF(LEFT($AI120,3)="AM|",IF($C120="","",SUMPRODUCT($AP$5:$AP$302*($AN$5:$AN$302=$A120),$AV$5:$AV$302)),IF(LEFT($AI120,2)="S|",IF($AG120="","",INDEX($AV$5:$AV$302,$AH120)),IF($AI120="HDR","Target",""))))))</f>
        <v/>
      </c>
      <c r="I120" s="41" t="str">
        <f t="shared" si="66"/>
        <v/>
      </c>
      <c r="J120" s="40" t="str">
        <f t="shared" si="67"/>
        <v/>
      </c>
      <c r="K120" s="41" t="str">
        <f t="shared" si="68"/>
        <v/>
      </c>
      <c r="L120" s="40" t="str" cm="1">
        <f t="array" ref="L120">IF($AI120="","",IF(LEFT($AI120,2)="C|",IF($C120="","",SUMPRODUCT($AP$5:$AP$302*($AO$5:$AO$302=$A120),$BN$5:$BN$302)),IF($AI120="CT",L$13,IF(LEFT($AI120,3)="AM|",IF($C120="","",SUMPRODUCT($AP$5:$AP$302*($AN$5:$AN$302=$A120),$BN$5:$BN$302)),IF(LEFT($AI120,2)="S|",IF($AG120="","",INDEX($BN$5:$BN$302,$AH120)),IF($AI120="HDR","Month Target",""))))))</f>
        <v/>
      </c>
      <c r="M120" s="40" t="str" cm="1">
        <f t="array" ref="M120">IF($AI120="","",IF(LEFT($AI120,2)="C|",IF($C120="","",SUMPRODUCT($AP$5:$AP$302*($AO$5:$AO$302=$A120),$BO$5:$BO$302)),IF($AI120="CT",M$13,IF(LEFT($AI120,3)="AM|",IF($C120="","",SUMPRODUCT($AP$5:$AP$302*($AN$5:$AN$302=$A120),$BO$5:$BO$302)),IF(LEFT($AI120,2)="S|",IF($AG120="","",INDEX($BO$5:$BO$302,$AH120)),IF($AI120="HDR","Projected Close",""))))))</f>
        <v/>
      </c>
      <c r="N120" s="41" t="str">
        <f t="shared" si="76"/>
        <v/>
      </c>
      <c r="O120" s="41" t="str" cm="1">
        <f t="array" ref="O120">IF($AI120="HDR","Proj. vs LY",IF(OR($AI120="",M120=""),"",_xlfn.LET(_xlpm.ly,IF(LEFT($AI120,2)="C|",SUMPRODUCT($AP$5:$AP$302*($AO$5:$AO$302=$A120),$BK$5:$BK$302),IF($AI120="CT",SUMPRODUCT($AP$5:$AP$302,$BK$5:$BK$302),IF(LEFT($AI120,3)="AM|",SUMPRODUCT($AP$5:$AP$302*($AN$5:$AN$302=$A120),$BK$5:$BK$302),IF(LEFT($AI120,2)="S|",INDEX($BK$5:$BK$302,$AH120),0)))),IFERROR(M120/_xlpm.ly-1,""))))</f>
        <v/>
      </c>
      <c r="P120" s="40" t="str" cm="1">
        <f t="array" ref="P120">IF($AI120="","",IF(LEFT($AI120,2)="C|",IF($C120="","",SUMPRODUCT($AP$5:$AP$302*($AO$5:$AO$302=$A120),$AS$5:$AS$302)),IF($AI120="CT",P$13,IF(LEFT($AI120,3)="AM|",IF($C120="","",SUMPRODUCT($AP$5:$AP$302*($AN$5:$AN$302=$A120),$AS$5:$AS$302)),IF(LEFT($AI120,2)="S|",IF($AG120="","",INDEX($AS$5:$AS$302,$AH120)),IF($AI120="HDR","Trans TY",""))))))</f>
        <v/>
      </c>
      <c r="Q120" s="40" t="str" cm="1">
        <f t="array" ref="Q120">IF($AI120="","",IF(LEFT($AI120,2)="C|",IF($C120="","",SUMPRODUCT($AP$5:$AP$302*($AO$5:$AO$302=$A120),$AU$5:$AU$302)),IF($AI120="CT",Q$13,IF(LEFT($AI120,3)="AM|",IF($C120="","",SUMPRODUCT($AP$5:$AP$302*($AN$5:$AN$302=$A120),$AU$5:$AU$302)),IF(LEFT($AI120,2)="S|",IF($AG120="","",INDEX($AU$5:$AU$302,$AH120)),IF($AI120="HDR","Trans LY",""))))))</f>
        <v/>
      </c>
      <c r="R120" s="41" t="str">
        <f t="shared" si="69"/>
        <v/>
      </c>
      <c r="S120" s="41" t="str">
        <f t="shared" si="70"/>
        <v/>
      </c>
      <c r="T120" s="42" t="str">
        <f t="shared" si="71"/>
        <v/>
      </c>
      <c r="U120" s="42" t="str">
        <f t="shared" si="72"/>
        <v/>
      </c>
      <c r="V120" s="41" t="str">
        <f t="shared" si="73"/>
        <v/>
      </c>
      <c r="W120" s="40" t="str" cm="1">
        <f t="array" ref="W120">IF($AI120="","",IF(LEFT($AI120,2)="C|",_xlfn.LET(_xlpm.n,SUMPRODUCT($AP$5:$AP$302*($AO$5:$AO$302=$A120),$BB$5:$BB$302),IF(_xlpm.n=0,"",_xlpm.n)),IF($AI120="CT",W$13,IF(LEFT($AI120,3)="AM|",_xlfn.LET(_xlpm.n,SUMPRODUCT($AP$5:$AP$302*($AN$5:$AN$302=$A120),$BB$5:$BB$302),IF(_xlpm.n=0,"",_xlpm.n)),IF(LEFT($AI120,2)="S|",IF($AG120="","",_xlfn.LET(_xlpm.n,INDEX($BB$5:$BB$302,$AH120),IF(_xlpm.n=0,"",_xlpm.n))),IF($AI120="HDR","Footfall",""))))))</f>
        <v/>
      </c>
      <c r="X120" s="40" t="str" cm="1">
        <f t="array" ref="X120">IF($AI120="","",IF($AI120="HDR","Trans (FF stores)",IF(W120="","",IF(LEFT($AI120,2)="C|",SUMPRODUCT($AP$5:$AP$302*($AO$5:$AO$302=$A120),$BC$5:$BC$302),IF($AI120="CT",X$13,IF(LEFT($AI120,3)="AM|",SUMPRODUCT($AP$5:$AP$302*($AN$5:$AN$302=$A120),$BC$5:$BC$302),IF(LEFT($AI120,2)="S|",INDEX($BC$5:$BC$302,$AH120),"")))))))</f>
        <v/>
      </c>
      <c r="Y120" s="41" t="str">
        <f t="shared" si="77"/>
        <v/>
      </c>
      <c r="Z120" s="40" t="str" cm="1">
        <f t="array" ref="Z120">IF($AI120="","",IF(LEFT($AI120,2)="C|",IF($C120="","",SUMPRODUCT($AP$5:$AP$302*($AO$5:$AO$302=$A120),$CB$5:$CB$302)),IF($AI120="CT",Z$13,IF(LEFT($AI120,3)="AM|",IF($C120="","",SUMPRODUCT($AP$5:$AP$302*($AN$5:$AN$302=$A120),$CB$5:$CB$302)),IF(LEFT($AI120,2)="S|",IF($AG120="","",INDEX($CB$5:$CB$302,$AH120)),IF($AI120="HDR","Makeup Sales",""))))))</f>
        <v/>
      </c>
      <c r="AA120" s="41" t="str">
        <f t="shared" si="74"/>
        <v/>
      </c>
      <c r="AB120" s="40" t="str" cm="1">
        <f t="array" ref="AB120">IF($AI120="","",IF(LEFT($AI120,2)="C|",IF($C120="","",SUMPRODUCT($AP$5:$AP$302*($AO$5:$AO$302=$A120),$CK$5:$CK$302)),IF($AI120="CT",AB$13,IF(LEFT($AI120,3)="AM|",IF($C120="","",SUMPRODUCT($AP$5:$AP$302*($AN$5:$AN$302=$A120),$CK$5:$CK$302)),IF(LEFT($AI120,2)="S|",IF($AG120="","",INDEX($CK$5:$CK$302,$AH120)),IF($AI120="HDR","Makeup Target",""))))))</f>
        <v/>
      </c>
      <c r="AC120" s="41" t="str">
        <f t="shared" si="78"/>
        <v/>
      </c>
      <c r="AD120" s="40" t="str" cm="1">
        <f t="array" ref="AD120">IF($AI120="","",IF(LEFT($AI120,2)="C|",IF($C120="","",SUMPRODUCT($AP$5:$AP$302*($AO$5:$AO$302=$A120),$CI$5:$CI$302)),IF($AI120="CT",AD$13,IF(LEFT($AI120,3)="AM|",IF($C120="","",SUMPRODUCT($AP$5:$AP$302*($AN$5:$AN$302=$A120),$CI$5:$CI$302)),IF(LEFT($AI120,2)="S|",IF($AG120="","",INDEX($CI$5:$CI$302,$AH120)),IF($AI120="HDR","Cosmetic Sales",""))))))</f>
        <v/>
      </c>
      <c r="AE120" s="8" t="str" cm="1">
        <f t="array" ref="AE120">IF($AI120="","",IF(LEFT($AI120,2)="C|",IF($C120="","",SUMPRODUCT($AP$5:$AP$302*($AO$5:$AO$302=$A120)*$AQ$5:$AQ$302,$AR$5:$AR$302)),IF($AI120="CT",AE$13,IF(LEFT($AI120,3)="AM|",IF($C120="","",SUMPRODUCT($AP$5:$AP$302*($AN$5:$AN$302=$A120)*$AQ$5:$AQ$302,$AR$5:$AR$302)),IF(LEFT($AI120,2)="S|",IF($AG120="","",IF(INDEX($AQ$5:$AQ$302,$AH120)=1,D120,0)),IF($AI120="HDR","LFL Sales",""))))))</f>
        <v/>
      </c>
      <c r="AF120" s="8" t="str" cm="1">
        <f t="array" ref="AF120">IF($AI120="","",IF(LEFT($AI120,2)="C|",IF($C120="","",SUMPRODUCT($AP$5:$AP$302*($AO$5:$AO$302=$A120)*$AQ$5:$AQ$302,$AS$5:$AS$302)),IF($AI120="CT",AF$13,IF(LEFT($AI120,3)="AM|",IF($C120="","",SUMPRODUCT($AP$5:$AP$302*($AN$5:$AN$302=$A120)*$AQ$5:$AQ$302,$AS$5:$AS$302)),IF(LEFT($AI120,2)="S|",IF($AG120="","",IF(INDEX($AQ$5:$AQ$302,$AH120)=1,P120,0)),IF($AI120="HDR","LFL Trans",""))))))</f>
        <v/>
      </c>
      <c r="AG120" s="8" t="str" cm="1">
        <f t="array" ref="AG120">IF($AI120="","",IF(LEFT($AI120,2)="C|","",IF($AI120="CT","",IF(LEFT($AI120,3)="AM|","",IF(LEFT($AI120,2)="S|",IF($AH120="","",IF(INDEX($AP$5:$AP$302,$AH120)=1,1,"")),IF($AI120="HDR","Show",""))))))</f>
        <v/>
      </c>
      <c r="AH120" s="8" t="str">
        <f t="shared" si="75"/>
        <v/>
      </c>
      <c r="AI120" s="8"/>
      <c r="AN120" s="8" t="str" cm="1">
        <f t="array" ref="AN120">IF($AW120="","",_xlfn.LET(_xlpm.sa,IFERROR(TRIM(INDEX('Sales and count'!$D$4:$D$300,$BF120)&amp;""),""),_xlpm.ta,IFERROR(TRIM(INDEX('TY Sales Target'!$F$5:$F$300,$BG120)&amp;""),""),IF(AND(_xlpm.sa&lt;&gt;"",LEFT(_xlpm.sa,1)&lt;&gt;"#",_xlpm.sa&lt;&gt;"0"),_xlpm.sa,IF(AND(_xlpm.ta&lt;&gt;"",LEFT(_xlpm.ta,1)&lt;&gt;"#",_xlpm.ta&lt;&gt;"0"),_xlpm.ta,IF(ISNUMBER($BG120),"Unassigned","")))))</f>
        <v>Ahmed Jaffari</v>
      </c>
      <c r="AO120" s="8" t="str" cm="1">
        <f t="array" ref="AO120">IF($AW120="","",_xlfn.LET(_xlpm.sa,IFERROR(TRIM(INDEX('Sales and count'!$C$4:$C$300,$BF120)&amp;""),""),_xlpm.ta,IFERROR(TRIM(INDEX('TY Sales Target'!$D$5:$D$300,$BG120)&amp;""),""),IF(AND(_xlpm.sa&lt;&gt;"",LEFT(_xlpm.sa,1)&lt;&gt;"#",_xlpm.sa&lt;&gt;"0"),_xlpm.sa,IF(AND(_xlpm.ta&lt;&gt;"",LEFT(_xlpm.ta,1)&lt;&gt;"#",_xlpm.ta&lt;&gt;"0"),_xlpm.ta,""))))</f>
        <v>Abo Areash</v>
      </c>
      <c r="AP120" s="8">
        <f t="shared" si="60"/>
        <v>0</v>
      </c>
      <c r="AQ120" s="8">
        <f t="shared" si="61"/>
        <v>0</v>
      </c>
      <c r="AR120" s="8" cm="1">
        <f t="array" ref="AR120">IF($BF120="",0,_xlfn.LET(_xlpm.d,IFERROR(--'Sales and count'!$G$2:$CC$2,0),SUMPRODUCT(('Sales and count'!$G$3:$CC$3="Total")*(_xlpm.d&gt;=$U$4)*(_xlpm.d&lt;=$U$5),INDEX('Sales and count'!$G$4:$CC$300,$BF120,0))))</f>
        <v>0</v>
      </c>
      <c r="AS120" s="8" cm="1">
        <f t="array" ref="AS120">IF($BF120="",0,_xlfn.LET(_xlpm.d,IFERROR(--'Sales and count'!$F$2:$CB$2,0),SUMPRODUCT(('Sales and count'!$G$3:$CC$3="Transactions")*(_xlpm.d&gt;=$U$4)*(_xlpm.d&lt;=$U$5),INDEX('Sales and count'!$G$4:$CC$300,$BF120,0))))</f>
        <v>0</v>
      </c>
      <c r="AT120" s="8" cm="1">
        <f t="array" ref="AT120">IF($AW120="",0,SUMPRODUCT((TRIM('LY Sales '!$B$5:$B$200)=$AW120)*('LY Sales '!$C$2:$AG$2&gt;=EDATE($U$4,-12))*('LY Sales '!$C$2:$AG$2&lt;=EDATE($U$5,-12)),'LY Sales '!$C$5:$AG$200))</f>
        <v>0</v>
      </c>
      <c r="AU120" s="8" cm="1">
        <f t="array" ref="AU120">IF($AW120="",0,SUMPRODUCT((TRIM('LY Transaction'!$B$5:$B$200)=$AW120)*('LY Transaction'!$C$2:$AG$2&gt;=EDATE($U$4,-12))*('LY Transaction'!$C$2:$AG$2&lt;=EDATE($U$5,-12)),'LY Transaction'!$C$5:$AG$200))</f>
        <v>0</v>
      </c>
      <c r="AV120" s="8" cm="1">
        <f t="array" ref="AV120">IF(NOT(ISNUMBER($BG120)),0,SUMPRODUCT(('TY Sales Target'!$K$2:$AO$2&gt;=$U$4)*('TY Sales Target'!$K$2:$AO$2&lt;=$U$5),INDEX('TY Sales Target'!$K$5:$AO$300,$BG120,0)))</f>
        <v>38308.748272266166</v>
      </c>
      <c r="AW120" s="8" t="str" cm="1">
        <f t="array" ref="AW120">IFERROR(INDEX(_xlfn.ANCHORARRAY($BR$5),ROWS($AW$5:AW120)),"")</f>
        <v>SOUTH INT. REAGION</v>
      </c>
      <c r="BB120" cm="1">
        <f t="array" ref="BB120">IF($AW120="",0,SUMPRODUCT((TRIM(Footfall!$B$5:$B$301)=$AW120)*(Footfall!$C$1:$BZ$1&gt;=$U$4)*(Footfall!$C$2:$BZ$2&lt;=$U$5)*(Footfall!$C$1:$BZ$1&lt;&gt;""),Footfall!$C$5:$BZ$301))</f>
        <v>0</v>
      </c>
      <c r="BC120" cm="1">
        <f t="array" ref="BC120">IF(OR($BB120&lt;=0,$BD$1="",$BF120=""),0,_xlfn.LET(_xlpm.d,IFERROR(--'Sales and count'!$F$2:$CB$2,0),SUMPRODUCT(('Sales and count'!$G$3:$CC$3="Transactions")*(_xlpm.d&gt;=$BD$1)*(_xlpm.d&lt;=$BD$2),INDEX('Sales and count'!$G$4:$CC$300,$BF120,0))))</f>
        <v>0</v>
      </c>
      <c r="BF120" t="str" cm="1">
        <f t="array" ref="BF120">IF($AW120="","",IFERROR(MATCH($AW120,TRIM('Sales and count'!$A$4:$A$300&amp;""),0),""))</f>
        <v/>
      </c>
      <c r="BG120" cm="1">
        <f t="array" ref="BG120">IF($AW120="","",IFERROR(MATCH(IFERROR(_xlfn.XLOOKUP($AW120,$BT$5:$BT$22,$BU$5:$BU$22),$AW120),TRIM('TY Sales Target'!$B$5:$B$300&amp;""),0),""))</f>
        <v>114</v>
      </c>
      <c r="BH120" t="str" cm="1">
        <f t="array" ref="BH120">IF(ISNUMBER($BG120),_xlfn.LET(_xlpm.p,TRIM(INDEX('TY Sales Target'!$I$5:$I$300,$BG120)&amp;""),IF(_xlpm.p="","Not set",_xlpm.p)),"Not set")</f>
        <v>Gold Bar</v>
      </c>
      <c r="BI120" cm="1">
        <f t="array" ref="BI120">IF($BF120="",0,_xlfn.LET(_xlpm.d,IFERROR(--'Sales and count'!$G$2:$CC$2,0),SUMPRODUCT(('Sales and count'!$G$3:$CC$3="Total")*(_xlpm.d&gt;=$BZ$5)*(_xlpm.d&lt;=$BZ$6),INDEX('Sales and count'!$G$4:$CC$300,$BF120,0))))</f>
        <v>0</v>
      </c>
      <c r="BJ120" cm="1">
        <f t="array" ref="BJ120">IF($AW120="",0,SUMPRODUCT((TRIM('LY Sales '!$B$5:$B$200)=$AW120)*('LY Sales '!$C$2:$AG$2&gt;=EDATE($BZ$5,-12))*('LY Sales '!$C$2:$AG$2&lt;=EDATE($BZ$6,-12)),'LY Sales '!$C$5:$AG$200))</f>
        <v>0</v>
      </c>
      <c r="BK120" cm="1">
        <f t="array" ref="BK120">IF($AW120="",0,SUMPRODUCT((TRIM('LY Sales '!$B$5:$B$200)=$AW120)*('LY Sales '!$C$2:$AG$2&gt;=EDATE($BZ$5,-12))*('LY Sales '!$C$2:$AG$2&lt;=EDATE($BZ$7,-12)),'LY Sales '!$C$5:$AG$200))</f>
        <v>0</v>
      </c>
      <c r="BL120" cm="1">
        <f t="array" ref="BL120">IF($AW120="",0,SUMPRODUCT((TRIM('LY Sales '!$B$5:$B$200)=$AW120)*('LY Sales '!$C$2:$AG$2&gt;=EDATE($BZ$5,-12))*('LY Sales '!$C$2:$AG$2&lt;=EDATE($BZ$6,-12))*('LY Sales '!$C$5:$AG$200&gt;0)))</f>
        <v>0</v>
      </c>
      <c r="BM120" cm="1">
        <f t="array" ref="BM120">IF(NOT(ISNUMBER($BG120)),0,SUMPRODUCT(('TY Sales Target'!$K$2:$AO$2&gt;=$BZ$5)*('TY Sales Target'!$K$2:$AO$2&lt;=$BZ$6),INDEX('TY Sales Target'!$K$5:$AO$300,$BG120,0)))</f>
        <v>38308.748272266166</v>
      </c>
      <c r="BN120" cm="1">
        <f t="array" ref="BN120">IF(NOT(ISNUMBER($BG120)),0,SUMPRODUCT(('TY Sales Target'!$K$2:$AO$2&gt;=$BZ$5)*('TY Sales Target'!$K$2:$AO$2&lt;=$BZ$7),INDEX('TY Sales Target'!$K$5:$AO$300,$BG120,0)))</f>
        <v>50000.000000000015</v>
      </c>
      <c r="BO120" cm="1">
        <f t="array" ref="BO120">IF($AW120="",0,IFERROR(_xlfn.SWITCH($BP120,"LY trend",$BI120*$BK120/$BJ120,"Target curve",$BI120*$BN120/$BM120,"Run rate",$BI120/$BZ$8*$BZ$9,0),0))</f>
        <v>0</v>
      </c>
      <c r="BP120" t="str">
        <f t="shared" si="59"/>
        <v>Target curve</v>
      </c>
      <c r="BR120" t="str">
        <v>SOUTH INT. REAGION</v>
      </c>
      <c r="CB120" cm="1">
        <f t="array" ref="CB120">IF($AW120="",0,_xlfn.LET(_xlpm.k,IFERROR(_xlfn.XLOOKUP($AW120,$CD$6:$CD$21,$CE$6:$CE$21),$AW120),SUMPRODUCT((TRIM('Makeup '!$A$2:$A$300&amp;"")=_xlpm.k)*1,IFERROR('Makeup '!$F$2:$F$300*1,0))))</f>
        <v>0</v>
      </c>
      <c r="CF120" t="str" cm="1">
        <f t="array" ref="CF120">IF($AW120="","",_xlfn.LET(_xlpm.c,IFERROR(TRIM(INDEX('Sales and count'!$B$4:$B$300,$BF120)&amp;""),""),IF(OR(_xlpm.c="",_xlpm.c="0",LEFT(_xlpm.c,1)="#"),"Not set",_xlpm.c)))</f>
        <v>Not set</v>
      </c>
      <c r="CH120" cm="1">
        <f t="array" ref="CH120">IF($AW120="",0,_xlfn.LET(_xlpm.k,IFERROR(_xlfn.XLOOKUP($AW120,$CD$6:$CD$21,$CE$6:$CE$21),$AW120),--(SUMPRODUCT((TRIM('Makeup '!$A$2:$A$300&amp;"")=_xlpm.k)*ISNUMBER('Makeup '!$F$2:$F$300))&gt;0)))</f>
        <v>0</v>
      </c>
      <c r="CI120">
        <f t="shared" si="62"/>
        <v>0</v>
      </c>
      <c r="CJ120" cm="1">
        <f t="array" ref="CJ120">IF($AW120="",0,--(SUMPRODUCT(--(TRIM(Footfall!$B$5:$B$301)=$AW120))&gt;0))</f>
        <v>0</v>
      </c>
      <c r="CK120" s="8" cm="1">
        <f t="array" ref="CK120">IF($AW120="",0,_xlfn.LET(_xlpm.r,IFERROR(MATCH(IFERROR(_xlfn.XLOOKUP($AW120,$BT$5:$BT$22,$BU$5:$BU$22),$AW120),TRIM('TY Beauty Target'!$B$5:$B$300&amp;""),0),""),IF(ISNUMBER(_xlpm.r),SUMPRODUCT(('TY Beauty Target'!$L$2:$AP$2&gt;=$U$4)*('TY Beauty Target'!$L$2:$AP$2&lt;=$U$5),INDEX('TY Beauty Target'!$L$5:$AP$300,_xlpm.r,0)),0)))</f>
        <v>0</v>
      </c>
    </row>
    <row r="121" spans="1:89" ht="15" customHeight="1" x14ac:dyDescent="0.25">
      <c r="A121" s="38" t="str">
        <f t="shared" si="63"/>
        <v/>
      </c>
      <c r="B121" s="43" t="str" cm="1">
        <f t="array" ref="B121">IF($AI121="","",IF(LEFT($AI121,2)="C|",IF($C121="","",_xlfn.TEXTJOIN(", ",TRUE,_xlfn.UNIQUE(_xlfn._xlws.FILTER($AN$5:$AN$302,($AP$5:$AP$302=1)*($AO$5:$AO$302=$A121))))),IF($AI121="CT",B$13,IF(LEFT($AI121,3)="AM|",IF($C121="","",ROWS(_xlfn.UNIQUE(_xlfn._xlws.FILTER($AO$5:$AO$302,($AP$5:$AP$302=1)*($AN$5:$AN$302=$A121))))),IF(LEFT($AI121,2)="S|",IF($AG121="","",INDEX($AO$5:$AO$302,$AH121)),IF($AI121="HDR","City",""))))))</f>
        <v/>
      </c>
      <c r="C121" s="39" t="str" cm="1">
        <f t="array" ref="C121">IF($AI121="","",IF(LEFT($AI121,2)="C|",_xlfn.LET(_xlpm.n,SUMPRODUCT($AP$5:$AP$302*($AO$5:$AO$302=$A121)),IF(_xlpm.n=0,"",_xlpm.n)),IF($AI121="CT",C$13,IF(LEFT($AI121,3)="AM|",_xlfn.LET(_xlpm.n,SUMPRODUCT($AP$5:$AP$302*($AN$5:$AN$302=$A121)),IF(_xlpm.n=0,"",_xlpm.n)),IF(LEFT($AI121,2)="S|","",IF($AI121="HDR","# Stores",""))))))</f>
        <v/>
      </c>
      <c r="D121" s="40" t="str" cm="1">
        <f t="array" ref="D121">IF($AI121="","",IF(LEFT($AI121,2)="C|",IF($C121="","",SUMPRODUCT($AP$5:$AP$302*($AO$5:$AO$302=$A121),$AR$5:$AR$302)),IF($AI121="CT",D$13,IF(LEFT($AI121,3)="AM|",IF($C121="","",SUMPRODUCT($AP$5:$AP$302*($AN$5:$AN$302=$A121),$AR$5:$AR$302)),IF(LEFT($AI121,2)="S|",IF($AG121="","",INDEX($AR$5:$AR$302,$AH121)),IF($AI121="HDR","Sales TY",""))))))</f>
        <v/>
      </c>
      <c r="E121" s="40" t="str" cm="1">
        <f t="array" ref="E121">IF($AI121="","",IF(LEFT($AI121,2)="C|",IF($C121="","",SUMPRODUCT($AP$5:$AP$302*($AO$5:$AO$302=$A121),$AT$5:$AT$302)),IF($AI121="CT",E$13,IF(LEFT($AI121,3)="AM|",IF($C121="","",SUMPRODUCT($AP$5:$AP$302*($AN$5:$AN$302=$A121),$AT$5:$AT$302)),IF(LEFT($AI121,2)="S|",IF($AG121="","",INDEX($AT$5:$AT$302,$AH121)),IF($AI121="HDR","Sales LY",""))))))</f>
        <v/>
      </c>
      <c r="F121" s="41" t="str">
        <f t="shared" si="64"/>
        <v/>
      </c>
      <c r="G121" s="41" t="str">
        <f t="shared" si="65"/>
        <v/>
      </c>
      <c r="H121" s="40" t="str" cm="1">
        <f t="array" ref="H121">IF($AI121="","",IF(LEFT($AI121,2)="C|",IF($C121="","",SUMPRODUCT($AP$5:$AP$302*($AO$5:$AO$302=$A121),$AV$5:$AV$302)),IF($AI121="CT",H$13,IF(LEFT($AI121,3)="AM|",IF($C121="","",SUMPRODUCT($AP$5:$AP$302*($AN$5:$AN$302=$A121),$AV$5:$AV$302)),IF(LEFT($AI121,2)="S|",IF($AG121="","",INDEX($AV$5:$AV$302,$AH121)),IF($AI121="HDR","Target",""))))))</f>
        <v/>
      </c>
      <c r="I121" s="41" t="str">
        <f t="shared" si="66"/>
        <v/>
      </c>
      <c r="J121" s="40" t="str">
        <f t="shared" si="67"/>
        <v/>
      </c>
      <c r="K121" s="41" t="str">
        <f t="shared" si="68"/>
        <v/>
      </c>
      <c r="L121" s="40" t="str" cm="1">
        <f t="array" ref="L121">IF($AI121="","",IF(LEFT($AI121,2)="C|",IF($C121="","",SUMPRODUCT($AP$5:$AP$302*($AO$5:$AO$302=$A121),$BN$5:$BN$302)),IF($AI121="CT",L$13,IF(LEFT($AI121,3)="AM|",IF($C121="","",SUMPRODUCT($AP$5:$AP$302*($AN$5:$AN$302=$A121),$BN$5:$BN$302)),IF(LEFT($AI121,2)="S|",IF($AG121="","",INDEX($BN$5:$BN$302,$AH121)),IF($AI121="HDR","Month Target",""))))))</f>
        <v/>
      </c>
      <c r="M121" s="40" t="str" cm="1">
        <f t="array" ref="M121">IF($AI121="","",IF(LEFT($AI121,2)="C|",IF($C121="","",SUMPRODUCT($AP$5:$AP$302*($AO$5:$AO$302=$A121),$BO$5:$BO$302)),IF($AI121="CT",M$13,IF(LEFT($AI121,3)="AM|",IF($C121="","",SUMPRODUCT($AP$5:$AP$302*($AN$5:$AN$302=$A121),$BO$5:$BO$302)),IF(LEFT($AI121,2)="S|",IF($AG121="","",INDEX($BO$5:$BO$302,$AH121)),IF($AI121="HDR","Projected Close",""))))))</f>
        <v/>
      </c>
      <c r="N121" s="41" t="str">
        <f t="shared" si="76"/>
        <v/>
      </c>
      <c r="O121" s="41" t="str" cm="1">
        <f t="array" ref="O121">IF($AI121="HDR","Proj. vs LY",IF(OR($AI121="",M121=""),"",_xlfn.LET(_xlpm.ly,IF(LEFT($AI121,2)="C|",SUMPRODUCT($AP$5:$AP$302*($AO$5:$AO$302=$A121),$BK$5:$BK$302),IF($AI121="CT",SUMPRODUCT($AP$5:$AP$302,$BK$5:$BK$302),IF(LEFT($AI121,3)="AM|",SUMPRODUCT($AP$5:$AP$302*($AN$5:$AN$302=$A121),$BK$5:$BK$302),IF(LEFT($AI121,2)="S|",INDEX($BK$5:$BK$302,$AH121),0)))),IFERROR(M121/_xlpm.ly-1,""))))</f>
        <v/>
      </c>
      <c r="P121" s="40" t="str" cm="1">
        <f t="array" ref="P121">IF($AI121="","",IF(LEFT($AI121,2)="C|",IF($C121="","",SUMPRODUCT($AP$5:$AP$302*($AO$5:$AO$302=$A121),$AS$5:$AS$302)),IF($AI121="CT",P$13,IF(LEFT($AI121,3)="AM|",IF($C121="","",SUMPRODUCT($AP$5:$AP$302*($AN$5:$AN$302=$A121),$AS$5:$AS$302)),IF(LEFT($AI121,2)="S|",IF($AG121="","",INDEX($AS$5:$AS$302,$AH121)),IF($AI121="HDR","Trans TY",""))))))</f>
        <v/>
      </c>
      <c r="Q121" s="40" t="str" cm="1">
        <f t="array" ref="Q121">IF($AI121="","",IF(LEFT($AI121,2)="C|",IF($C121="","",SUMPRODUCT($AP$5:$AP$302*($AO$5:$AO$302=$A121),$AU$5:$AU$302)),IF($AI121="CT",Q$13,IF(LEFT($AI121,3)="AM|",IF($C121="","",SUMPRODUCT($AP$5:$AP$302*($AN$5:$AN$302=$A121),$AU$5:$AU$302)),IF(LEFT($AI121,2)="S|",IF($AG121="","",INDEX($AU$5:$AU$302,$AH121)),IF($AI121="HDR","Trans LY",""))))))</f>
        <v/>
      </c>
      <c r="R121" s="41" t="str">
        <f t="shared" si="69"/>
        <v/>
      </c>
      <c r="S121" s="41" t="str">
        <f t="shared" si="70"/>
        <v/>
      </c>
      <c r="T121" s="42" t="str">
        <f t="shared" si="71"/>
        <v/>
      </c>
      <c r="U121" s="42" t="str">
        <f t="shared" si="72"/>
        <v/>
      </c>
      <c r="V121" s="41" t="str">
        <f t="shared" si="73"/>
        <v/>
      </c>
      <c r="W121" s="40" t="str" cm="1">
        <f t="array" ref="W121">IF($AI121="","",IF(LEFT($AI121,2)="C|",_xlfn.LET(_xlpm.n,SUMPRODUCT($AP$5:$AP$302*($AO$5:$AO$302=$A121),$BB$5:$BB$302),IF(_xlpm.n=0,"",_xlpm.n)),IF($AI121="CT",W$13,IF(LEFT($AI121,3)="AM|",_xlfn.LET(_xlpm.n,SUMPRODUCT($AP$5:$AP$302*($AN$5:$AN$302=$A121),$BB$5:$BB$302),IF(_xlpm.n=0,"",_xlpm.n)),IF(LEFT($AI121,2)="S|",IF($AG121="","",_xlfn.LET(_xlpm.n,INDEX($BB$5:$BB$302,$AH121),IF(_xlpm.n=0,"",_xlpm.n))),IF($AI121="HDR","Footfall",""))))))</f>
        <v/>
      </c>
      <c r="X121" s="40" t="str" cm="1">
        <f t="array" ref="X121">IF($AI121="","",IF($AI121="HDR","Trans (FF stores)",IF(W121="","",IF(LEFT($AI121,2)="C|",SUMPRODUCT($AP$5:$AP$302*($AO$5:$AO$302=$A121),$BC$5:$BC$302),IF($AI121="CT",X$13,IF(LEFT($AI121,3)="AM|",SUMPRODUCT($AP$5:$AP$302*($AN$5:$AN$302=$A121),$BC$5:$BC$302),IF(LEFT($AI121,2)="S|",INDEX($BC$5:$BC$302,$AH121),"")))))))</f>
        <v/>
      </c>
      <c r="Y121" s="41" t="str">
        <f t="shared" si="77"/>
        <v/>
      </c>
      <c r="Z121" s="40" t="str" cm="1">
        <f t="array" ref="Z121">IF($AI121="","",IF(LEFT($AI121,2)="C|",IF($C121="","",SUMPRODUCT($AP$5:$AP$302*($AO$5:$AO$302=$A121),$CB$5:$CB$302)),IF($AI121="CT",Z$13,IF(LEFT($AI121,3)="AM|",IF($C121="","",SUMPRODUCT($AP$5:$AP$302*($AN$5:$AN$302=$A121),$CB$5:$CB$302)),IF(LEFT($AI121,2)="S|",IF($AG121="","",INDEX($CB$5:$CB$302,$AH121)),IF($AI121="HDR","Makeup Sales",""))))))</f>
        <v/>
      </c>
      <c r="AA121" s="41" t="str">
        <f t="shared" si="74"/>
        <v/>
      </c>
      <c r="AB121" s="40" t="str" cm="1">
        <f t="array" ref="AB121">IF($AI121="","",IF(LEFT($AI121,2)="C|",IF($C121="","",SUMPRODUCT($AP$5:$AP$302*($AO$5:$AO$302=$A121),$CK$5:$CK$302)),IF($AI121="CT",AB$13,IF(LEFT($AI121,3)="AM|",IF($C121="","",SUMPRODUCT($AP$5:$AP$302*($AN$5:$AN$302=$A121),$CK$5:$CK$302)),IF(LEFT($AI121,2)="S|",IF($AG121="","",INDEX($CK$5:$CK$302,$AH121)),IF($AI121="HDR","Makeup Target",""))))))</f>
        <v/>
      </c>
      <c r="AC121" s="41" t="str">
        <f t="shared" si="78"/>
        <v/>
      </c>
      <c r="AD121" s="40" t="str" cm="1">
        <f t="array" ref="AD121">IF($AI121="","",IF(LEFT($AI121,2)="C|",IF($C121="","",SUMPRODUCT($AP$5:$AP$302*($AO$5:$AO$302=$A121),$CI$5:$CI$302)),IF($AI121="CT",AD$13,IF(LEFT($AI121,3)="AM|",IF($C121="","",SUMPRODUCT($AP$5:$AP$302*($AN$5:$AN$302=$A121),$CI$5:$CI$302)),IF(LEFT($AI121,2)="S|",IF($AG121="","",INDEX($CI$5:$CI$302,$AH121)),IF($AI121="HDR","Cosmetic Sales",""))))))</f>
        <v/>
      </c>
      <c r="AE121" s="8" t="str" cm="1">
        <f t="array" ref="AE121">IF($AI121="","",IF(LEFT($AI121,2)="C|",IF($C121="","",SUMPRODUCT($AP$5:$AP$302*($AO$5:$AO$302=$A121)*$AQ$5:$AQ$302,$AR$5:$AR$302)),IF($AI121="CT",AE$13,IF(LEFT($AI121,3)="AM|",IF($C121="","",SUMPRODUCT($AP$5:$AP$302*($AN$5:$AN$302=$A121)*$AQ$5:$AQ$302,$AR$5:$AR$302)),IF(LEFT($AI121,2)="S|",IF($AG121="","",IF(INDEX($AQ$5:$AQ$302,$AH121)=1,D121,0)),IF($AI121="HDR","LFL Sales",""))))))</f>
        <v/>
      </c>
      <c r="AF121" s="8" t="str" cm="1">
        <f t="array" ref="AF121">IF($AI121="","",IF(LEFT($AI121,2)="C|",IF($C121="","",SUMPRODUCT($AP$5:$AP$302*($AO$5:$AO$302=$A121)*$AQ$5:$AQ$302,$AS$5:$AS$302)),IF($AI121="CT",AF$13,IF(LEFT($AI121,3)="AM|",IF($C121="","",SUMPRODUCT($AP$5:$AP$302*($AN$5:$AN$302=$A121)*$AQ$5:$AQ$302,$AS$5:$AS$302)),IF(LEFT($AI121,2)="S|",IF($AG121="","",IF(INDEX($AQ$5:$AQ$302,$AH121)=1,P121,0)),IF($AI121="HDR","LFL Trans",""))))))</f>
        <v/>
      </c>
      <c r="AG121" s="8" t="str" cm="1">
        <f t="array" ref="AG121">IF($AI121="","",IF(LEFT($AI121,2)="C|","",IF($AI121="CT","",IF(LEFT($AI121,3)="AM|","",IF(LEFT($AI121,2)="S|",IF($AH121="","",IF(INDEX($AP$5:$AP$302,$AH121)=1,1,"")),IF($AI121="HDR","Show",""))))))</f>
        <v/>
      </c>
      <c r="AH121" s="8" t="str">
        <f t="shared" si="75"/>
        <v/>
      </c>
      <c r="AI121" s="8"/>
      <c r="AN121" s="8" t="str" cm="1">
        <f t="array" ref="AN121">IF($AW121="","",_xlfn.LET(_xlpm.sa,IFERROR(TRIM(INDEX('Sales and count'!$D$4:$D$300,$BF121)&amp;""),""),_xlpm.ta,IFERROR(TRIM(INDEX('TY Sales Target'!$F$5:$F$300,$BG121)&amp;""),""),IF(AND(_xlpm.sa&lt;&gt;"",LEFT(_xlpm.sa,1)&lt;&gt;"#",_xlpm.sa&lt;&gt;"0"),_xlpm.sa,IF(AND(_xlpm.ta&lt;&gt;"",LEFT(_xlpm.ta,1)&lt;&gt;"#",_xlpm.ta&lt;&gt;"0"),_xlpm.ta,IF(ISNUMBER($BG121),"Unassigned","")))))</f>
        <v>Hamzah Al Makhadam</v>
      </c>
      <c r="AO121" s="8" t="str" cm="1">
        <f t="array" ref="AO121">IF($AW121="","",_xlfn.LET(_xlpm.sa,IFERROR(TRIM(INDEX('Sales and count'!$C$4:$C$300,$BF121)&amp;""),""),_xlpm.ta,IFERROR(TRIM(INDEX('TY Sales Target'!$D$5:$D$300,$BG121)&amp;""),""),IF(AND(_xlpm.sa&lt;&gt;"",LEFT(_xlpm.sa,1)&lt;&gt;"#",_xlpm.sa&lt;&gt;"0"),_xlpm.sa,IF(AND(_xlpm.ta&lt;&gt;"",LEFT(_xlpm.ta,1)&lt;&gt;"#",_xlpm.ta&lt;&gt;"0"),_xlpm.ta,""))))</f>
        <v>Khobar</v>
      </c>
      <c r="AP121" s="8">
        <f t="shared" si="60"/>
        <v>0</v>
      </c>
      <c r="AQ121" s="8">
        <f t="shared" si="61"/>
        <v>0</v>
      </c>
      <c r="AR121" s="8" cm="1">
        <f t="array" ref="AR121">IF($BF121="",0,_xlfn.LET(_xlpm.d,IFERROR(--'Sales and count'!$G$2:$CC$2,0),SUMPRODUCT(('Sales and count'!$G$3:$CC$3="Total")*(_xlpm.d&gt;=$U$4)*(_xlpm.d&lt;=$U$5),INDEX('Sales and count'!$G$4:$CC$300,$BF121,0))))</f>
        <v>0</v>
      </c>
      <c r="AS121" s="8" cm="1">
        <f t="array" ref="AS121">IF($BF121="",0,_xlfn.LET(_xlpm.d,IFERROR(--'Sales and count'!$F$2:$CB$2,0),SUMPRODUCT(('Sales and count'!$G$3:$CC$3="Transactions")*(_xlpm.d&gt;=$U$4)*(_xlpm.d&lt;=$U$5),INDEX('Sales and count'!$G$4:$CC$300,$BF121,0))))</f>
        <v>0</v>
      </c>
      <c r="AT121" s="8" cm="1">
        <f t="array" ref="AT121">IF($AW121="",0,SUMPRODUCT((TRIM('LY Sales '!$B$5:$B$200)=$AW121)*('LY Sales '!$C$2:$AG$2&gt;=EDATE($U$4,-12))*('LY Sales '!$C$2:$AG$2&lt;=EDATE($U$5,-12)),'LY Sales '!$C$5:$AG$200))</f>
        <v>0</v>
      </c>
      <c r="AU121" s="8" cm="1">
        <f t="array" ref="AU121">IF($AW121="",0,SUMPRODUCT((TRIM('LY Transaction'!$B$5:$B$200)=$AW121)*('LY Transaction'!$C$2:$AG$2&gt;=EDATE($U$4,-12))*('LY Transaction'!$C$2:$AG$2&lt;=EDATE($U$5,-12)),'LY Transaction'!$C$5:$AG$200))</f>
        <v>0</v>
      </c>
      <c r="AV121" s="8" cm="1">
        <f t="array" ref="AV121">IF(NOT(ISNUMBER($BG121)),0,SUMPRODUCT(('TY Sales Target'!$K$2:$AO$2&gt;=$U$4)*('TY Sales Target'!$K$2:$AO$2&lt;=$U$5),INDEX('TY Sales Target'!$K$5:$AO$300,$BG121,0)))</f>
        <v>22985.248963359703</v>
      </c>
      <c r="AW121" s="8" t="str" cm="1">
        <f t="array" ref="AW121">IFERROR(INDEX(_xlfn.ANCHORARRAY($BR$5),ROWS($AW$5:AW121)),"")</f>
        <v>SHUBAILI MALL</v>
      </c>
      <c r="BB121" cm="1">
        <f t="array" ref="BB121">IF($AW121="",0,SUMPRODUCT((TRIM(Footfall!$B$5:$B$301)=$AW121)*(Footfall!$C$1:$BZ$1&gt;=$U$4)*(Footfall!$C$2:$BZ$2&lt;=$U$5)*(Footfall!$C$1:$BZ$1&lt;&gt;""),Footfall!$C$5:$BZ$301))</f>
        <v>0</v>
      </c>
      <c r="BC121" cm="1">
        <f t="array" ref="BC121">IF(OR($BB121&lt;=0,$BD$1="",$BF121=""),0,_xlfn.LET(_xlpm.d,IFERROR(--'Sales and count'!$F$2:$CB$2,0),SUMPRODUCT(('Sales and count'!$G$3:$CC$3="Transactions")*(_xlpm.d&gt;=$BD$1)*(_xlpm.d&lt;=$BD$2),INDEX('Sales and count'!$G$4:$CC$300,$BF121,0))))</f>
        <v>0</v>
      </c>
      <c r="BF121" t="str" cm="1">
        <f t="array" ref="BF121">IF($AW121="","",IFERROR(MATCH($AW121,TRIM('Sales and count'!$A$4:$A$300&amp;""),0),""))</f>
        <v/>
      </c>
      <c r="BG121" cm="1">
        <f t="array" ref="BG121">IF($AW121="","",IFERROR(MATCH(IFERROR(_xlfn.XLOOKUP($AW121,$BT$5:$BT$22,$BU$5:$BU$22),$AW121),TRIM('TY Sales Target'!$B$5:$B$300&amp;""),0),""))</f>
        <v>116</v>
      </c>
      <c r="BH121" t="str" cm="1">
        <f t="array" ref="BH121">IF(ISNUMBER($BG121),_xlfn.LET(_xlpm.p,TRIM(INDEX('TY Sales Target'!$I$5:$I$300,$BG121)&amp;""),IF(_xlpm.p="","Not set",_xlpm.p)),"Not set")</f>
        <v>Gold Bar</v>
      </c>
      <c r="BI121" cm="1">
        <f t="array" ref="BI121">IF($BF121="",0,_xlfn.LET(_xlpm.d,IFERROR(--'Sales and count'!$G$2:$CC$2,0),SUMPRODUCT(('Sales and count'!$G$3:$CC$3="Total")*(_xlpm.d&gt;=$BZ$5)*(_xlpm.d&lt;=$BZ$6),INDEX('Sales and count'!$G$4:$CC$300,$BF121,0))))</f>
        <v>0</v>
      </c>
      <c r="BJ121" cm="1">
        <f t="array" ref="BJ121">IF($AW121="",0,SUMPRODUCT((TRIM('LY Sales '!$B$5:$B$200)=$AW121)*('LY Sales '!$C$2:$AG$2&gt;=EDATE($BZ$5,-12))*('LY Sales '!$C$2:$AG$2&lt;=EDATE($BZ$6,-12)),'LY Sales '!$C$5:$AG$200))</f>
        <v>0</v>
      </c>
      <c r="BK121" cm="1">
        <f t="array" ref="BK121">IF($AW121="",0,SUMPRODUCT((TRIM('LY Sales '!$B$5:$B$200)=$AW121)*('LY Sales '!$C$2:$AG$2&gt;=EDATE($BZ$5,-12))*('LY Sales '!$C$2:$AG$2&lt;=EDATE($BZ$7,-12)),'LY Sales '!$C$5:$AG$200))</f>
        <v>0</v>
      </c>
      <c r="BL121" cm="1">
        <f t="array" ref="BL121">IF($AW121="",0,SUMPRODUCT((TRIM('LY Sales '!$B$5:$B$200)=$AW121)*('LY Sales '!$C$2:$AG$2&gt;=EDATE($BZ$5,-12))*('LY Sales '!$C$2:$AG$2&lt;=EDATE($BZ$6,-12))*('LY Sales '!$C$5:$AG$200&gt;0)))</f>
        <v>0</v>
      </c>
      <c r="BM121" cm="1">
        <f t="array" ref="BM121">IF(NOT(ISNUMBER($BG121)),0,SUMPRODUCT(('TY Sales Target'!$K$2:$AO$2&gt;=$BZ$5)*('TY Sales Target'!$K$2:$AO$2&lt;=$BZ$6),INDEX('TY Sales Target'!$K$5:$AO$300,$BG121,0)))</f>
        <v>22985.248963359703</v>
      </c>
      <c r="BN121" cm="1">
        <f t="array" ref="BN121">IF(NOT(ISNUMBER($BG121)),0,SUMPRODUCT(('TY Sales Target'!$K$2:$AO$2&gt;=$BZ$5)*('TY Sales Target'!$K$2:$AO$2&lt;=$BZ$7),INDEX('TY Sales Target'!$K$5:$AO$300,$BG121,0)))</f>
        <v>30000.000000000007</v>
      </c>
      <c r="BO121" cm="1">
        <f t="array" ref="BO121">IF($AW121="",0,IFERROR(_xlfn.SWITCH($BP121,"LY trend",$BI121*$BK121/$BJ121,"Target curve",$BI121*$BN121/$BM121,"Run rate",$BI121/$BZ$8*$BZ$9,0),0))</f>
        <v>0</v>
      </c>
      <c r="BP121" t="str">
        <f t="shared" si="59"/>
        <v>Target curve</v>
      </c>
      <c r="BR121" t="str">
        <v>SHUBAILI MALL</v>
      </c>
      <c r="CB121" cm="1">
        <f t="array" ref="CB121">IF($AW121="",0,_xlfn.LET(_xlpm.k,IFERROR(_xlfn.XLOOKUP($AW121,$CD$6:$CD$21,$CE$6:$CE$21),$AW121),SUMPRODUCT((TRIM('Makeup '!$A$2:$A$300&amp;"")=_xlpm.k)*1,IFERROR('Makeup '!$F$2:$F$300*1,0))))</f>
        <v>0</v>
      </c>
      <c r="CF121" t="str" cm="1">
        <f t="array" ref="CF121">IF($AW121="","",_xlfn.LET(_xlpm.c,IFERROR(TRIM(INDEX('Sales and count'!$B$4:$B$300,$BF121)&amp;""),""),IF(OR(_xlpm.c="",_xlpm.c="0",LEFT(_xlpm.c,1)="#"),"Not set",_xlpm.c)))</f>
        <v>Not set</v>
      </c>
      <c r="CH121" cm="1">
        <f t="array" ref="CH121">IF($AW121="",0,_xlfn.LET(_xlpm.k,IFERROR(_xlfn.XLOOKUP($AW121,$CD$6:$CD$21,$CE$6:$CE$21),$AW121),--(SUMPRODUCT((TRIM('Makeup '!$A$2:$A$300&amp;"")=_xlpm.k)*ISNUMBER('Makeup '!$F$2:$F$300))&gt;0)))</f>
        <v>0</v>
      </c>
      <c r="CI121">
        <f t="shared" si="62"/>
        <v>0</v>
      </c>
      <c r="CJ121" cm="1">
        <f t="array" ref="CJ121">IF($AW121="",0,--(SUMPRODUCT(--(TRIM(Footfall!$B$5:$B$301)=$AW121))&gt;0))</f>
        <v>0</v>
      </c>
      <c r="CK121" s="8" cm="1">
        <f t="array" ref="CK121">IF($AW121="",0,_xlfn.LET(_xlpm.r,IFERROR(MATCH(IFERROR(_xlfn.XLOOKUP($AW121,$BT$5:$BT$22,$BU$5:$BU$22),$AW121),TRIM('TY Beauty Target'!$B$5:$B$300&amp;""),0),""),IF(ISNUMBER(_xlpm.r),SUMPRODUCT(('TY Beauty Target'!$L$2:$AP$2&gt;=$U$4)*('TY Beauty Target'!$L$2:$AP$2&lt;=$U$5),INDEX('TY Beauty Target'!$L$5:$AP$300,_xlpm.r,0)),0)))</f>
        <v>0</v>
      </c>
    </row>
    <row r="122" spans="1:89" ht="15" customHeight="1" x14ac:dyDescent="0.25">
      <c r="A122" s="38" t="str">
        <f t="shared" si="63"/>
        <v/>
      </c>
      <c r="B122" s="43" t="str" cm="1">
        <f t="array" ref="B122">IF($AI122="","",IF(LEFT($AI122,2)="C|",IF($C122="","",_xlfn.TEXTJOIN(", ",TRUE,_xlfn.UNIQUE(_xlfn._xlws.FILTER($AN$5:$AN$302,($AP$5:$AP$302=1)*($AO$5:$AO$302=$A122))))),IF($AI122="CT",B$13,IF(LEFT($AI122,3)="AM|",IF($C122="","",ROWS(_xlfn.UNIQUE(_xlfn._xlws.FILTER($AO$5:$AO$302,($AP$5:$AP$302=1)*($AN$5:$AN$302=$A122))))),IF(LEFT($AI122,2)="S|",IF($AG122="","",INDEX($AO$5:$AO$302,$AH122)),IF($AI122="HDR","City",""))))))</f>
        <v/>
      </c>
      <c r="C122" s="39" t="str" cm="1">
        <f t="array" ref="C122">IF($AI122="","",IF(LEFT($AI122,2)="C|",_xlfn.LET(_xlpm.n,SUMPRODUCT($AP$5:$AP$302*($AO$5:$AO$302=$A122)),IF(_xlpm.n=0,"",_xlpm.n)),IF($AI122="CT",C$13,IF(LEFT($AI122,3)="AM|",_xlfn.LET(_xlpm.n,SUMPRODUCT($AP$5:$AP$302*($AN$5:$AN$302=$A122)),IF(_xlpm.n=0,"",_xlpm.n)),IF(LEFT($AI122,2)="S|","",IF($AI122="HDR","# Stores",""))))))</f>
        <v/>
      </c>
      <c r="D122" s="40" t="str" cm="1">
        <f t="array" ref="D122">IF($AI122="","",IF(LEFT($AI122,2)="C|",IF($C122="","",SUMPRODUCT($AP$5:$AP$302*($AO$5:$AO$302=$A122),$AR$5:$AR$302)),IF($AI122="CT",D$13,IF(LEFT($AI122,3)="AM|",IF($C122="","",SUMPRODUCT($AP$5:$AP$302*($AN$5:$AN$302=$A122),$AR$5:$AR$302)),IF(LEFT($AI122,2)="S|",IF($AG122="","",INDEX($AR$5:$AR$302,$AH122)),IF($AI122="HDR","Sales TY",""))))))</f>
        <v/>
      </c>
      <c r="E122" s="40" t="str" cm="1">
        <f t="array" ref="E122">IF($AI122="","",IF(LEFT($AI122,2)="C|",IF($C122="","",SUMPRODUCT($AP$5:$AP$302*($AO$5:$AO$302=$A122),$AT$5:$AT$302)),IF($AI122="CT",E$13,IF(LEFT($AI122,3)="AM|",IF($C122="","",SUMPRODUCT($AP$5:$AP$302*($AN$5:$AN$302=$A122),$AT$5:$AT$302)),IF(LEFT($AI122,2)="S|",IF($AG122="","",INDEX($AT$5:$AT$302,$AH122)),IF($AI122="HDR","Sales LY",""))))))</f>
        <v/>
      </c>
      <c r="F122" s="41" t="str">
        <f t="shared" si="64"/>
        <v/>
      </c>
      <c r="G122" s="41" t="str">
        <f t="shared" si="65"/>
        <v/>
      </c>
      <c r="H122" s="40" t="str" cm="1">
        <f t="array" ref="H122">IF($AI122="","",IF(LEFT($AI122,2)="C|",IF($C122="","",SUMPRODUCT($AP$5:$AP$302*($AO$5:$AO$302=$A122),$AV$5:$AV$302)),IF($AI122="CT",H$13,IF(LEFT($AI122,3)="AM|",IF($C122="","",SUMPRODUCT($AP$5:$AP$302*($AN$5:$AN$302=$A122),$AV$5:$AV$302)),IF(LEFT($AI122,2)="S|",IF($AG122="","",INDEX($AV$5:$AV$302,$AH122)),IF($AI122="HDR","Target",""))))))</f>
        <v/>
      </c>
      <c r="I122" s="41" t="str">
        <f t="shared" si="66"/>
        <v/>
      </c>
      <c r="J122" s="40" t="str">
        <f t="shared" si="67"/>
        <v/>
      </c>
      <c r="K122" s="41" t="str">
        <f t="shared" si="68"/>
        <v/>
      </c>
      <c r="L122" s="40" t="str" cm="1">
        <f t="array" ref="L122">IF($AI122="","",IF(LEFT($AI122,2)="C|",IF($C122="","",SUMPRODUCT($AP$5:$AP$302*($AO$5:$AO$302=$A122),$BN$5:$BN$302)),IF($AI122="CT",L$13,IF(LEFT($AI122,3)="AM|",IF($C122="","",SUMPRODUCT($AP$5:$AP$302*($AN$5:$AN$302=$A122),$BN$5:$BN$302)),IF(LEFT($AI122,2)="S|",IF($AG122="","",INDEX($BN$5:$BN$302,$AH122)),IF($AI122="HDR","Month Target",""))))))</f>
        <v/>
      </c>
      <c r="M122" s="40" t="str" cm="1">
        <f t="array" ref="M122">IF($AI122="","",IF(LEFT($AI122,2)="C|",IF($C122="","",SUMPRODUCT($AP$5:$AP$302*($AO$5:$AO$302=$A122),$BO$5:$BO$302)),IF($AI122="CT",M$13,IF(LEFT($AI122,3)="AM|",IF($C122="","",SUMPRODUCT($AP$5:$AP$302*($AN$5:$AN$302=$A122),$BO$5:$BO$302)),IF(LEFT($AI122,2)="S|",IF($AG122="","",INDEX($BO$5:$BO$302,$AH122)),IF($AI122="HDR","Projected Close",""))))))</f>
        <v/>
      </c>
      <c r="N122" s="41" t="str">
        <f t="shared" si="76"/>
        <v/>
      </c>
      <c r="O122" s="41" t="str" cm="1">
        <f t="array" ref="O122">IF($AI122="HDR","Proj. vs LY",IF(OR($AI122="",M122=""),"",_xlfn.LET(_xlpm.ly,IF(LEFT($AI122,2)="C|",SUMPRODUCT($AP$5:$AP$302*($AO$5:$AO$302=$A122),$BK$5:$BK$302),IF($AI122="CT",SUMPRODUCT($AP$5:$AP$302,$BK$5:$BK$302),IF(LEFT($AI122,3)="AM|",SUMPRODUCT($AP$5:$AP$302*($AN$5:$AN$302=$A122),$BK$5:$BK$302),IF(LEFT($AI122,2)="S|",INDEX($BK$5:$BK$302,$AH122),0)))),IFERROR(M122/_xlpm.ly-1,""))))</f>
        <v/>
      </c>
      <c r="P122" s="40" t="str" cm="1">
        <f t="array" ref="P122">IF($AI122="","",IF(LEFT($AI122,2)="C|",IF($C122="","",SUMPRODUCT($AP$5:$AP$302*($AO$5:$AO$302=$A122),$AS$5:$AS$302)),IF($AI122="CT",P$13,IF(LEFT($AI122,3)="AM|",IF($C122="","",SUMPRODUCT($AP$5:$AP$302*($AN$5:$AN$302=$A122),$AS$5:$AS$302)),IF(LEFT($AI122,2)="S|",IF($AG122="","",INDEX($AS$5:$AS$302,$AH122)),IF($AI122="HDR","Trans TY",""))))))</f>
        <v/>
      </c>
      <c r="Q122" s="40" t="str" cm="1">
        <f t="array" ref="Q122">IF($AI122="","",IF(LEFT($AI122,2)="C|",IF($C122="","",SUMPRODUCT($AP$5:$AP$302*($AO$5:$AO$302=$A122),$AU$5:$AU$302)),IF($AI122="CT",Q$13,IF(LEFT($AI122,3)="AM|",IF($C122="","",SUMPRODUCT($AP$5:$AP$302*($AN$5:$AN$302=$A122),$AU$5:$AU$302)),IF(LEFT($AI122,2)="S|",IF($AG122="","",INDEX($AU$5:$AU$302,$AH122)),IF($AI122="HDR","Trans LY",""))))))</f>
        <v/>
      </c>
      <c r="R122" s="41" t="str">
        <f t="shared" si="69"/>
        <v/>
      </c>
      <c r="S122" s="41" t="str">
        <f t="shared" si="70"/>
        <v/>
      </c>
      <c r="T122" s="42" t="str">
        <f t="shared" si="71"/>
        <v/>
      </c>
      <c r="U122" s="42" t="str">
        <f t="shared" si="72"/>
        <v/>
      </c>
      <c r="V122" s="41" t="str">
        <f t="shared" si="73"/>
        <v/>
      </c>
      <c r="W122" s="40" t="str" cm="1">
        <f t="array" ref="W122">IF($AI122="","",IF(LEFT($AI122,2)="C|",_xlfn.LET(_xlpm.n,SUMPRODUCT($AP$5:$AP$302*($AO$5:$AO$302=$A122),$BB$5:$BB$302),IF(_xlpm.n=0,"",_xlpm.n)),IF($AI122="CT",W$13,IF(LEFT($AI122,3)="AM|",_xlfn.LET(_xlpm.n,SUMPRODUCT($AP$5:$AP$302*($AN$5:$AN$302=$A122),$BB$5:$BB$302),IF(_xlpm.n=0,"",_xlpm.n)),IF(LEFT($AI122,2)="S|",IF($AG122="","",_xlfn.LET(_xlpm.n,INDEX($BB$5:$BB$302,$AH122),IF(_xlpm.n=0,"",_xlpm.n))),IF($AI122="HDR","Footfall",""))))))</f>
        <v/>
      </c>
      <c r="X122" s="40" t="str" cm="1">
        <f t="array" ref="X122">IF($AI122="","",IF($AI122="HDR","Trans (FF stores)",IF(W122="","",IF(LEFT($AI122,2)="C|",SUMPRODUCT($AP$5:$AP$302*($AO$5:$AO$302=$A122),$BC$5:$BC$302),IF($AI122="CT",X$13,IF(LEFT($AI122,3)="AM|",SUMPRODUCT($AP$5:$AP$302*($AN$5:$AN$302=$A122),$BC$5:$BC$302),IF(LEFT($AI122,2)="S|",INDEX($BC$5:$BC$302,$AH122),"")))))))</f>
        <v/>
      </c>
      <c r="Y122" s="41" t="str">
        <f t="shared" si="77"/>
        <v/>
      </c>
      <c r="Z122" s="40" t="str" cm="1">
        <f t="array" ref="Z122">IF($AI122="","",IF(LEFT($AI122,2)="C|",IF($C122="","",SUMPRODUCT($AP$5:$AP$302*($AO$5:$AO$302=$A122),$CB$5:$CB$302)),IF($AI122="CT",Z$13,IF(LEFT($AI122,3)="AM|",IF($C122="","",SUMPRODUCT($AP$5:$AP$302*($AN$5:$AN$302=$A122),$CB$5:$CB$302)),IF(LEFT($AI122,2)="S|",IF($AG122="","",INDEX($CB$5:$CB$302,$AH122)),IF($AI122="HDR","Makeup Sales",""))))))</f>
        <v/>
      </c>
      <c r="AA122" s="41" t="str">
        <f t="shared" si="74"/>
        <v/>
      </c>
      <c r="AB122" s="40" t="str" cm="1">
        <f t="array" ref="AB122">IF($AI122="","",IF(LEFT($AI122,2)="C|",IF($C122="","",SUMPRODUCT($AP$5:$AP$302*($AO$5:$AO$302=$A122),$CK$5:$CK$302)),IF($AI122="CT",AB$13,IF(LEFT($AI122,3)="AM|",IF($C122="","",SUMPRODUCT($AP$5:$AP$302*($AN$5:$AN$302=$A122),$CK$5:$CK$302)),IF(LEFT($AI122,2)="S|",IF($AG122="","",INDEX($CK$5:$CK$302,$AH122)),IF($AI122="HDR","Makeup Target",""))))))</f>
        <v/>
      </c>
      <c r="AC122" s="41" t="str">
        <f t="shared" si="78"/>
        <v/>
      </c>
      <c r="AD122" s="40" t="str" cm="1">
        <f t="array" ref="AD122">IF($AI122="","",IF(LEFT($AI122,2)="C|",IF($C122="","",SUMPRODUCT($AP$5:$AP$302*($AO$5:$AO$302=$A122),$CI$5:$CI$302)),IF($AI122="CT",AD$13,IF(LEFT($AI122,3)="AM|",IF($C122="","",SUMPRODUCT($AP$5:$AP$302*($AN$5:$AN$302=$A122),$CI$5:$CI$302)),IF(LEFT($AI122,2)="S|",IF($AG122="","",INDEX($CI$5:$CI$302,$AH122)),IF($AI122="HDR","Cosmetic Sales",""))))))</f>
        <v/>
      </c>
      <c r="AE122" s="8" t="str" cm="1">
        <f t="array" ref="AE122">IF($AI122="","",IF(LEFT($AI122,2)="C|",IF($C122="","",SUMPRODUCT($AP$5:$AP$302*($AO$5:$AO$302=$A122)*$AQ$5:$AQ$302,$AR$5:$AR$302)),IF($AI122="CT",AE$13,IF(LEFT($AI122,3)="AM|",IF($C122="","",SUMPRODUCT($AP$5:$AP$302*($AN$5:$AN$302=$A122)*$AQ$5:$AQ$302,$AR$5:$AR$302)),IF(LEFT($AI122,2)="S|",IF($AG122="","",IF(INDEX($AQ$5:$AQ$302,$AH122)=1,D122,0)),IF($AI122="HDR","LFL Sales",""))))))</f>
        <v/>
      </c>
      <c r="AF122" s="8" t="str" cm="1">
        <f t="array" ref="AF122">IF($AI122="","",IF(LEFT($AI122,2)="C|",IF($C122="","",SUMPRODUCT($AP$5:$AP$302*($AO$5:$AO$302=$A122)*$AQ$5:$AQ$302,$AS$5:$AS$302)),IF($AI122="CT",AF$13,IF(LEFT($AI122,3)="AM|",IF($C122="","",SUMPRODUCT($AP$5:$AP$302*($AN$5:$AN$302=$A122)*$AQ$5:$AQ$302,$AS$5:$AS$302)),IF(LEFT($AI122,2)="S|",IF($AG122="","",IF(INDEX($AQ$5:$AQ$302,$AH122)=1,P122,0)),IF($AI122="HDR","LFL Trans",""))))))</f>
        <v/>
      </c>
      <c r="AG122" s="8" t="str" cm="1">
        <f t="array" ref="AG122">IF($AI122="","",IF(LEFT($AI122,2)="C|","",IF($AI122="CT","",IF(LEFT($AI122,3)="AM|","",IF(LEFT($AI122,2)="S|",IF($AH122="","",IF(INDEX($AP$5:$AP$302,$AH122)=1,1,"")),IF($AI122="HDR","Show",""))))))</f>
        <v/>
      </c>
      <c r="AH122" s="8" t="str">
        <f t="shared" si="75"/>
        <v/>
      </c>
      <c r="AI122" s="8"/>
      <c r="AN122" s="8" t="str" cm="1">
        <f t="array" ref="AN122">IF($AW122="","",_xlfn.LET(_xlpm.sa,IFERROR(TRIM(INDEX('Sales and count'!$D$4:$D$300,$BF122)&amp;""),""),_xlpm.ta,IFERROR(TRIM(INDEX('TY Sales Target'!$F$5:$F$300,$BG122)&amp;""),""),IF(AND(_xlpm.sa&lt;&gt;"",LEFT(_xlpm.sa,1)&lt;&gt;"#",_xlpm.sa&lt;&gt;"0"),_xlpm.sa,IF(AND(_xlpm.ta&lt;&gt;"",LEFT(_xlpm.ta,1)&lt;&gt;"#",_xlpm.ta&lt;&gt;"0"),_xlpm.ta,IF(ISNUMBER($BG122),"Unassigned","")))))</f>
        <v/>
      </c>
      <c r="AO122" s="8" t="str" cm="1">
        <f t="array" ref="AO122">IF($AW122="","",_xlfn.LET(_xlpm.sa,IFERROR(TRIM(INDEX('Sales and count'!$C$4:$C$300,$BF122)&amp;""),""),_xlpm.ta,IFERROR(TRIM(INDEX('TY Sales Target'!$D$5:$D$300,$BG122)&amp;""),""),IF(AND(_xlpm.sa&lt;&gt;"",LEFT(_xlpm.sa,1)&lt;&gt;"#",_xlpm.sa&lt;&gt;"0"),_xlpm.sa,IF(AND(_xlpm.ta&lt;&gt;"",LEFT(_xlpm.ta,1)&lt;&gt;"#",_xlpm.ta&lt;&gt;"0"),_xlpm.ta,""))))</f>
        <v/>
      </c>
      <c r="AP122" s="8">
        <f t="shared" si="60"/>
        <v>0</v>
      </c>
      <c r="AQ122" s="8">
        <f t="shared" si="61"/>
        <v>0</v>
      </c>
      <c r="AR122" s="8" cm="1">
        <f t="array" ref="AR122">IF($BF122="",0,_xlfn.LET(_xlpm.d,IFERROR(--'Sales and count'!$G$2:$CC$2,0),SUMPRODUCT(('Sales and count'!$G$3:$CC$3="Total")*(_xlpm.d&gt;=$U$4)*(_xlpm.d&lt;=$U$5),INDEX('Sales and count'!$G$4:$CC$300,$BF122,0))))</f>
        <v>0</v>
      </c>
      <c r="AS122" s="8" cm="1">
        <f t="array" ref="AS122">IF($BF122="",0,_xlfn.LET(_xlpm.d,IFERROR(--'Sales and count'!$F$2:$CB$2,0),SUMPRODUCT(('Sales and count'!$G$3:$CC$3="Transactions")*(_xlpm.d&gt;=$U$4)*(_xlpm.d&lt;=$U$5),INDEX('Sales and count'!$G$4:$CC$300,$BF122,0))))</f>
        <v>0</v>
      </c>
      <c r="AT122" s="8" cm="1">
        <f t="array" ref="AT122">IF($AW122="",0,SUMPRODUCT((TRIM('LY Sales '!$B$5:$B$200)=$AW122)*('LY Sales '!$C$2:$AG$2&gt;=EDATE($U$4,-12))*('LY Sales '!$C$2:$AG$2&lt;=EDATE($U$5,-12)),'LY Sales '!$C$5:$AG$200))</f>
        <v>0</v>
      </c>
      <c r="AU122" s="8" cm="1">
        <f t="array" ref="AU122">IF($AW122="",0,SUMPRODUCT((TRIM('LY Transaction'!$B$5:$B$200)=$AW122)*('LY Transaction'!$C$2:$AG$2&gt;=EDATE($U$4,-12))*('LY Transaction'!$C$2:$AG$2&lt;=EDATE($U$5,-12)),'LY Transaction'!$C$5:$AG$200))</f>
        <v>0</v>
      </c>
      <c r="AV122" s="8" cm="1">
        <f t="array" ref="AV122">IF(NOT(ISNUMBER($BG122)),0,SUMPRODUCT(('TY Sales Target'!$K$2:$AO$2&gt;=$U$4)*('TY Sales Target'!$K$2:$AO$2&lt;=$U$5),INDEX('TY Sales Target'!$K$5:$AO$300,$BG122,0)))</f>
        <v>0</v>
      </c>
      <c r="AW122" s="8" t="str" cm="1">
        <f t="array" ref="AW122">IFERROR(INDEX(_xlfn.ANCHORARRAY($BR$5),ROWS($AW$5:AW122)),"")</f>
        <v/>
      </c>
      <c r="BB122" cm="1">
        <f t="array" ref="BB122">IF($AW122="",0,SUMPRODUCT((TRIM(Footfall!$B$5:$B$301)=$AW122)*(Footfall!$C$1:$BZ$1&gt;=$U$4)*(Footfall!$C$2:$BZ$2&lt;=$U$5)*(Footfall!$C$1:$BZ$1&lt;&gt;""),Footfall!$C$5:$BZ$301))</f>
        <v>0</v>
      </c>
      <c r="BC122" cm="1">
        <f t="array" ref="BC122">IF(OR($BB122&lt;=0,$BD$1="",$BF122=""),0,_xlfn.LET(_xlpm.d,IFERROR(--'Sales and count'!$F$2:$CB$2,0),SUMPRODUCT(('Sales and count'!$G$3:$CC$3="Transactions")*(_xlpm.d&gt;=$BD$1)*(_xlpm.d&lt;=$BD$2),INDEX('Sales and count'!$G$4:$CC$300,$BF122,0))))</f>
        <v>0</v>
      </c>
      <c r="BF122" t="str" cm="1">
        <f t="array" ref="BF122">IF($AW122="","",IFERROR(MATCH($AW122,TRIM('Sales and count'!$A$4:$A$300&amp;""),0),""))</f>
        <v/>
      </c>
      <c r="BG122" t="str" cm="1">
        <f t="array" ref="BG122">IF($AW122="","",IFERROR(MATCH(IFERROR(_xlfn.XLOOKUP($AW122,$BT$5:$BT$22,$BU$5:$BU$22),$AW122),TRIM('TY Sales Target'!$B$5:$B$300&amp;""),0),""))</f>
        <v/>
      </c>
      <c r="BH122" t="str" cm="1">
        <f t="array" ref="BH122">IF(ISNUMBER($BG122),_xlfn.LET(_xlpm.p,TRIM(INDEX('TY Sales Target'!$I$5:$I$300,$BG122)&amp;""),IF(_xlpm.p="","Not set",_xlpm.p)),"Not set")</f>
        <v>Not set</v>
      </c>
      <c r="BI122" cm="1">
        <f t="array" ref="BI122">IF($BF122="",0,_xlfn.LET(_xlpm.d,IFERROR(--'Sales and count'!$G$2:$CC$2,0),SUMPRODUCT(('Sales and count'!$G$3:$CC$3="Total")*(_xlpm.d&gt;=$BZ$5)*(_xlpm.d&lt;=$BZ$6),INDEX('Sales and count'!$G$4:$CC$300,$BF122,0))))</f>
        <v>0</v>
      </c>
      <c r="BJ122" cm="1">
        <f t="array" ref="BJ122">IF($AW122="",0,SUMPRODUCT((TRIM('LY Sales '!$B$5:$B$200)=$AW122)*('LY Sales '!$C$2:$AG$2&gt;=EDATE($BZ$5,-12))*('LY Sales '!$C$2:$AG$2&lt;=EDATE($BZ$6,-12)),'LY Sales '!$C$5:$AG$200))</f>
        <v>0</v>
      </c>
      <c r="BK122" cm="1">
        <f t="array" ref="BK122">IF($AW122="",0,SUMPRODUCT((TRIM('LY Sales '!$B$5:$B$200)=$AW122)*('LY Sales '!$C$2:$AG$2&gt;=EDATE($BZ$5,-12))*('LY Sales '!$C$2:$AG$2&lt;=EDATE($BZ$7,-12)),'LY Sales '!$C$5:$AG$200))</f>
        <v>0</v>
      </c>
      <c r="BL122" cm="1">
        <f t="array" ref="BL122">IF($AW122="",0,SUMPRODUCT((TRIM('LY Sales '!$B$5:$B$200)=$AW122)*('LY Sales '!$C$2:$AG$2&gt;=EDATE($BZ$5,-12))*('LY Sales '!$C$2:$AG$2&lt;=EDATE($BZ$6,-12))*('LY Sales '!$C$5:$AG$200&gt;0)))</f>
        <v>0</v>
      </c>
      <c r="BM122" cm="1">
        <f t="array" ref="BM122">IF(NOT(ISNUMBER($BG122)),0,SUMPRODUCT(('TY Sales Target'!$K$2:$AO$2&gt;=$BZ$5)*('TY Sales Target'!$K$2:$AO$2&lt;=$BZ$6),INDEX('TY Sales Target'!$K$5:$AO$300,$BG122,0)))</f>
        <v>0</v>
      </c>
      <c r="BN122" cm="1">
        <f t="array" ref="BN122">IF(NOT(ISNUMBER($BG122)),0,SUMPRODUCT(('TY Sales Target'!$K$2:$AO$2&gt;=$BZ$5)*('TY Sales Target'!$K$2:$AO$2&lt;=$BZ$7),INDEX('TY Sales Target'!$K$5:$AO$300,$BG122,0)))</f>
        <v>0</v>
      </c>
      <c r="BO122" cm="1">
        <f t="array" ref="BO122">IF($AW122="",0,IFERROR(_xlfn.SWITCH($BP122,"LY trend",$BI122*$BK122/$BJ122,"Target curve",$BI122*$BN122/$BM122,"Run rate",$BI122/$BZ$8*$BZ$9,0),0))</f>
        <v>0</v>
      </c>
      <c r="BP122" t="str">
        <f t="shared" si="59"/>
        <v/>
      </c>
      <c r="CB122" cm="1">
        <f t="array" ref="CB122">IF($AW122="",0,_xlfn.LET(_xlpm.k,IFERROR(_xlfn.XLOOKUP($AW122,$CD$6:$CD$21,$CE$6:$CE$21),$AW122),SUMPRODUCT((TRIM('Makeup '!$A$2:$A$300&amp;"")=_xlpm.k)*1,IFERROR('Makeup '!$F$2:$F$300*1,0))))</f>
        <v>0</v>
      </c>
      <c r="CF122" t="str" cm="1">
        <f t="array" ref="CF122">IF($AW122="","",_xlfn.LET(_xlpm.c,IFERROR(TRIM(INDEX('Sales and count'!$B$4:$B$300,$BF122)&amp;""),""),IF(OR(_xlpm.c="",_xlpm.c="0",LEFT(_xlpm.c,1)="#"),"Not set",_xlpm.c)))</f>
        <v/>
      </c>
      <c r="CH122" cm="1">
        <f t="array" ref="CH122">IF($AW122="",0,_xlfn.LET(_xlpm.k,IFERROR(_xlfn.XLOOKUP($AW122,$CD$6:$CD$21,$CE$6:$CE$21),$AW122),--(SUMPRODUCT((TRIM('Makeup '!$A$2:$A$300&amp;"")=_xlpm.k)*ISNUMBER('Makeup '!$F$2:$F$300))&gt;0)))</f>
        <v>0</v>
      </c>
      <c r="CI122">
        <f t="shared" si="62"/>
        <v>0</v>
      </c>
      <c r="CJ122" cm="1">
        <f t="array" ref="CJ122">IF($AW122="",0,--(SUMPRODUCT(--(TRIM(Footfall!$B$5:$B$301)=$AW122))&gt;0))</f>
        <v>0</v>
      </c>
      <c r="CK122" s="8" cm="1">
        <f t="array" ref="CK122">IF($AW122="",0,_xlfn.LET(_xlpm.r,IFERROR(MATCH(IFERROR(_xlfn.XLOOKUP($AW122,$BT$5:$BT$22,$BU$5:$BU$22),$AW122),TRIM('TY Beauty Target'!$B$5:$B$300&amp;""),0),""),IF(ISNUMBER(_xlpm.r),SUMPRODUCT(('TY Beauty Target'!$L$2:$AP$2&gt;=$U$4)*('TY Beauty Target'!$L$2:$AP$2&lt;=$U$5),INDEX('TY Beauty Target'!$L$5:$AP$300,_xlpm.r,0)),0)))</f>
        <v>0</v>
      </c>
    </row>
    <row r="123" spans="1:89" ht="15" customHeight="1" x14ac:dyDescent="0.25">
      <c r="A123" s="38" t="str">
        <f t="shared" si="63"/>
        <v/>
      </c>
      <c r="B123" s="43" t="str" cm="1">
        <f t="array" ref="B123">IF($AI123="","",IF(LEFT($AI123,2)="C|",IF($C123="","",_xlfn.TEXTJOIN(", ",TRUE,_xlfn.UNIQUE(_xlfn._xlws.FILTER($AN$5:$AN$302,($AP$5:$AP$302=1)*($AO$5:$AO$302=$A123))))),IF($AI123="CT",B$13,IF(LEFT($AI123,3)="AM|",IF($C123="","",ROWS(_xlfn.UNIQUE(_xlfn._xlws.FILTER($AO$5:$AO$302,($AP$5:$AP$302=1)*($AN$5:$AN$302=$A123))))),IF(LEFT($AI123,2)="S|",IF($AG123="","",INDEX($AO$5:$AO$302,$AH123)),IF($AI123="HDR","City",""))))))</f>
        <v/>
      </c>
      <c r="C123" s="39" t="str" cm="1">
        <f t="array" ref="C123">IF($AI123="","",IF(LEFT($AI123,2)="C|",_xlfn.LET(_xlpm.n,SUMPRODUCT($AP$5:$AP$302*($AO$5:$AO$302=$A123)),IF(_xlpm.n=0,"",_xlpm.n)),IF($AI123="CT",C$13,IF(LEFT($AI123,3)="AM|",_xlfn.LET(_xlpm.n,SUMPRODUCT($AP$5:$AP$302*($AN$5:$AN$302=$A123)),IF(_xlpm.n=0,"",_xlpm.n)),IF(LEFT($AI123,2)="S|","",IF($AI123="HDR","# Stores",""))))))</f>
        <v/>
      </c>
      <c r="D123" s="40" t="str" cm="1">
        <f t="array" ref="D123">IF($AI123="","",IF(LEFT($AI123,2)="C|",IF($C123="","",SUMPRODUCT($AP$5:$AP$302*($AO$5:$AO$302=$A123),$AR$5:$AR$302)),IF($AI123="CT",D$13,IF(LEFT($AI123,3)="AM|",IF($C123="","",SUMPRODUCT($AP$5:$AP$302*($AN$5:$AN$302=$A123),$AR$5:$AR$302)),IF(LEFT($AI123,2)="S|",IF($AG123="","",INDEX($AR$5:$AR$302,$AH123)),IF($AI123="HDR","Sales TY",""))))))</f>
        <v/>
      </c>
      <c r="E123" s="40" t="str" cm="1">
        <f t="array" ref="E123">IF($AI123="","",IF(LEFT($AI123,2)="C|",IF($C123="","",SUMPRODUCT($AP$5:$AP$302*($AO$5:$AO$302=$A123),$AT$5:$AT$302)),IF($AI123="CT",E$13,IF(LEFT($AI123,3)="AM|",IF($C123="","",SUMPRODUCT($AP$5:$AP$302*($AN$5:$AN$302=$A123),$AT$5:$AT$302)),IF(LEFT($AI123,2)="S|",IF($AG123="","",INDEX($AT$5:$AT$302,$AH123)),IF($AI123="HDR","Sales LY",""))))))</f>
        <v/>
      </c>
      <c r="F123" s="41" t="str">
        <f t="shared" si="64"/>
        <v/>
      </c>
      <c r="G123" s="41" t="str">
        <f t="shared" si="65"/>
        <v/>
      </c>
      <c r="H123" s="40" t="str" cm="1">
        <f t="array" ref="H123">IF($AI123="","",IF(LEFT($AI123,2)="C|",IF($C123="","",SUMPRODUCT($AP$5:$AP$302*($AO$5:$AO$302=$A123),$AV$5:$AV$302)),IF($AI123="CT",H$13,IF(LEFT($AI123,3)="AM|",IF($C123="","",SUMPRODUCT($AP$5:$AP$302*($AN$5:$AN$302=$A123),$AV$5:$AV$302)),IF(LEFT($AI123,2)="S|",IF($AG123="","",INDEX($AV$5:$AV$302,$AH123)),IF($AI123="HDR","Target",""))))))</f>
        <v/>
      </c>
      <c r="I123" s="41" t="str">
        <f t="shared" si="66"/>
        <v/>
      </c>
      <c r="J123" s="40" t="str">
        <f t="shared" si="67"/>
        <v/>
      </c>
      <c r="K123" s="41" t="str">
        <f t="shared" si="68"/>
        <v/>
      </c>
      <c r="L123" s="40" t="str" cm="1">
        <f t="array" ref="L123">IF($AI123="","",IF(LEFT($AI123,2)="C|",IF($C123="","",SUMPRODUCT($AP$5:$AP$302*($AO$5:$AO$302=$A123),$BN$5:$BN$302)),IF($AI123="CT",L$13,IF(LEFT($AI123,3)="AM|",IF($C123="","",SUMPRODUCT($AP$5:$AP$302*($AN$5:$AN$302=$A123),$BN$5:$BN$302)),IF(LEFT($AI123,2)="S|",IF($AG123="","",INDEX($BN$5:$BN$302,$AH123)),IF($AI123="HDR","Month Target",""))))))</f>
        <v/>
      </c>
      <c r="M123" s="40" t="str" cm="1">
        <f t="array" ref="M123">IF($AI123="","",IF(LEFT($AI123,2)="C|",IF($C123="","",SUMPRODUCT($AP$5:$AP$302*($AO$5:$AO$302=$A123),$BO$5:$BO$302)),IF($AI123="CT",M$13,IF(LEFT($AI123,3)="AM|",IF($C123="","",SUMPRODUCT($AP$5:$AP$302*($AN$5:$AN$302=$A123),$BO$5:$BO$302)),IF(LEFT($AI123,2)="S|",IF($AG123="","",INDEX($BO$5:$BO$302,$AH123)),IF($AI123="HDR","Projected Close",""))))))</f>
        <v/>
      </c>
      <c r="N123" s="41" t="str">
        <f t="shared" si="76"/>
        <v/>
      </c>
      <c r="O123" s="41" t="str" cm="1">
        <f t="array" ref="O123">IF($AI123="HDR","Proj. vs LY",IF(OR($AI123="",M123=""),"",_xlfn.LET(_xlpm.ly,IF(LEFT($AI123,2)="C|",SUMPRODUCT($AP$5:$AP$302*($AO$5:$AO$302=$A123),$BK$5:$BK$302),IF($AI123="CT",SUMPRODUCT($AP$5:$AP$302,$BK$5:$BK$302),IF(LEFT($AI123,3)="AM|",SUMPRODUCT($AP$5:$AP$302*($AN$5:$AN$302=$A123),$BK$5:$BK$302),IF(LEFT($AI123,2)="S|",INDEX($BK$5:$BK$302,$AH123),0)))),IFERROR(M123/_xlpm.ly-1,""))))</f>
        <v/>
      </c>
      <c r="P123" s="40" t="str" cm="1">
        <f t="array" ref="P123">IF($AI123="","",IF(LEFT($AI123,2)="C|",IF($C123="","",SUMPRODUCT($AP$5:$AP$302*($AO$5:$AO$302=$A123),$AS$5:$AS$302)),IF($AI123="CT",P$13,IF(LEFT($AI123,3)="AM|",IF($C123="","",SUMPRODUCT($AP$5:$AP$302*($AN$5:$AN$302=$A123),$AS$5:$AS$302)),IF(LEFT($AI123,2)="S|",IF($AG123="","",INDEX($AS$5:$AS$302,$AH123)),IF($AI123="HDR","Trans TY",""))))))</f>
        <v/>
      </c>
      <c r="Q123" s="40" t="str" cm="1">
        <f t="array" ref="Q123">IF($AI123="","",IF(LEFT($AI123,2)="C|",IF($C123="","",SUMPRODUCT($AP$5:$AP$302*($AO$5:$AO$302=$A123),$AU$5:$AU$302)),IF($AI123="CT",Q$13,IF(LEFT($AI123,3)="AM|",IF($C123="","",SUMPRODUCT($AP$5:$AP$302*($AN$5:$AN$302=$A123),$AU$5:$AU$302)),IF(LEFT($AI123,2)="S|",IF($AG123="","",INDEX($AU$5:$AU$302,$AH123)),IF($AI123="HDR","Trans LY",""))))))</f>
        <v/>
      </c>
      <c r="R123" s="41" t="str">
        <f t="shared" si="69"/>
        <v/>
      </c>
      <c r="S123" s="41" t="str">
        <f t="shared" si="70"/>
        <v/>
      </c>
      <c r="T123" s="42" t="str">
        <f t="shared" si="71"/>
        <v/>
      </c>
      <c r="U123" s="42" t="str">
        <f t="shared" si="72"/>
        <v/>
      </c>
      <c r="V123" s="41" t="str">
        <f t="shared" si="73"/>
        <v/>
      </c>
      <c r="W123" s="40" t="str" cm="1">
        <f t="array" ref="W123">IF($AI123="","",IF(LEFT($AI123,2)="C|",_xlfn.LET(_xlpm.n,SUMPRODUCT($AP$5:$AP$302*($AO$5:$AO$302=$A123),$BB$5:$BB$302),IF(_xlpm.n=0,"",_xlpm.n)),IF($AI123="CT",W$13,IF(LEFT($AI123,3)="AM|",_xlfn.LET(_xlpm.n,SUMPRODUCT($AP$5:$AP$302*($AN$5:$AN$302=$A123),$BB$5:$BB$302),IF(_xlpm.n=0,"",_xlpm.n)),IF(LEFT($AI123,2)="S|",IF($AG123="","",_xlfn.LET(_xlpm.n,INDEX($BB$5:$BB$302,$AH123),IF(_xlpm.n=0,"",_xlpm.n))),IF($AI123="HDR","Footfall",""))))))</f>
        <v/>
      </c>
      <c r="X123" s="40" t="str" cm="1">
        <f t="array" ref="X123">IF($AI123="","",IF($AI123="HDR","Trans (FF stores)",IF(W123="","",IF(LEFT($AI123,2)="C|",SUMPRODUCT($AP$5:$AP$302*($AO$5:$AO$302=$A123),$BC$5:$BC$302),IF($AI123="CT",X$13,IF(LEFT($AI123,3)="AM|",SUMPRODUCT($AP$5:$AP$302*($AN$5:$AN$302=$A123),$BC$5:$BC$302),IF(LEFT($AI123,2)="S|",INDEX($BC$5:$BC$302,$AH123),"")))))))</f>
        <v/>
      </c>
      <c r="Y123" s="41" t="str">
        <f t="shared" si="77"/>
        <v/>
      </c>
      <c r="Z123" s="40" t="str" cm="1">
        <f t="array" ref="Z123">IF($AI123="","",IF(LEFT($AI123,2)="C|",IF($C123="","",SUMPRODUCT($AP$5:$AP$302*($AO$5:$AO$302=$A123),$CB$5:$CB$302)),IF($AI123="CT",Z$13,IF(LEFT($AI123,3)="AM|",IF($C123="","",SUMPRODUCT($AP$5:$AP$302*($AN$5:$AN$302=$A123),$CB$5:$CB$302)),IF(LEFT($AI123,2)="S|",IF($AG123="","",INDEX($CB$5:$CB$302,$AH123)),IF($AI123="HDR","Makeup Sales",""))))))</f>
        <v/>
      </c>
      <c r="AA123" s="41" t="str">
        <f t="shared" si="74"/>
        <v/>
      </c>
      <c r="AB123" s="40" t="str" cm="1">
        <f t="array" ref="AB123">IF($AI123="","",IF(LEFT($AI123,2)="C|",IF($C123="","",SUMPRODUCT($AP$5:$AP$302*($AO$5:$AO$302=$A123),$CK$5:$CK$302)),IF($AI123="CT",AB$13,IF(LEFT($AI123,3)="AM|",IF($C123="","",SUMPRODUCT($AP$5:$AP$302*($AN$5:$AN$302=$A123),$CK$5:$CK$302)),IF(LEFT($AI123,2)="S|",IF($AG123="","",INDEX($CK$5:$CK$302,$AH123)),IF($AI123="HDR","Makeup Target",""))))))</f>
        <v/>
      </c>
      <c r="AC123" s="41" t="str">
        <f t="shared" si="78"/>
        <v/>
      </c>
      <c r="AD123" s="40" t="str" cm="1">
        <f t="array" ref="AD123">IF($AI123="","",IF(LEFT($AI123,2)="C|",IF($C123="","",SUMPRODUCT($AP$5:$AP$302*($AO$5:$AO$302=$A123),$CI$5:$CI$302)),IF($AI123="CT",AD$13,IF(LEFT($AI123,3)="AM|",IF($C123="","",SUMPRODUCT($AP$5:$AP$302*($AN$5:$AN$302=$A123),$CI$5:$CI$302)),IF(LEFT($AI123,2)="S|",IF($AG123="","",INDEX($CI$5:$CI$302,$AH123)),IF($AI123="HDR","Cosmetic Sales",""))))))</f>
        <v/>
      </c>
      <c r="AE123" s="8" t="str" cm="1">
        <f t="array" ref="AE123">IF($AI123="","",IF(LEFT($AI123,2)="C|",IF($C123="","",SUMPRODUCT($AP$5:$AP$302*($AO$5:$AO$302=$A123)*$AQ$5:$AQ$302,$AR$5:$AR$302)),IF($AI123="CT",AE$13,IF(LEFT($AI123,3)="AM|",IF($C123="","",SUMPRODUCT($AP$5:$AP$302*($AN$5:$AN$302=$A123)*$AQ$5:$AQ$302,$AR$5:$AR$302)),IF(LEFT($AI123,2)="S|",IF($AG123="","",IF(INDEX($AQ$5:$AQ$302,$AH123)=1,D123,0)),IF($AI123="HDR","LFL Sales",""))))))</f>
        <v/>
      </c>
      <c r="AF123" s="8" t="str" cm="1">
        <f t="array" ref="AF123">IF($AI123="","",IF(LEFT($AI123,2)="C|",IF($C123="","",SUMPRODUCT($AP$5:$AP$302*($AO$5:$AO$302=$A123)*$AQ$5:$AQ$302,$AS$5:$AS$302)),IF($AI123="CT",AF$13,IF(LEFT($AI123,3)="AM|",IF($C123="","",SUMPRODUCT($AP$5:$AP$302*($AN$5:$AN$302=$A123)*$AQ$5:$AQ$302,$AS$5:$AS$302)),IF(LEFT($AI123,2)="S|",IF($AG123="","",IF(INDEX($AQ$5:$AQ$302,$AH123)=1,P123,0)),IF($AI123="HDR","LFL Trans",""))))))</f>
        <v/>
      </c>
      <c r="AG123" s="8" t="str" cm="1">
        <f t="array" ref="AG123">IF($AI123="","",IF(LEFT($AI123,2)="C|","",IF($AI123="CT","",IF(LEFT($AI123,3)="AM|","",IF(LEFT($AI123,2)="S|",IF($AH123="","",IF(INDEX($AP$5:$AP$302,$AH123)=1,1,"")),IF($AI123="HDR","Show",""))))))</f>
        <v/>
      </c>
      <c r="AH123" s="8" t="str">
        <f t="shared" si="75"/>
        <v/>
      </c>
      <c r="AI123" s="8"/>
      <c r="AN123" s="8" t="str" cm="1">
        <f t="array" ref="AN123">IF($AW123="","",_xlfn.LET(_xlpm.sa,IFERROR(TRIM(INDEX('Sales and count'!$D$4:$D$300,$BF123)&amp;""),""),_xlpm.ta,IFERROR(TRIM(INDEX('TY Sales Target'!$F$5:$F$300,$BG123)&amp;""),""),IF(AND(_xlpm.sa&lt;&gt;"",LEFT(_xlpm.sa,1)&lt;&gt;"#",_xlpm.sa&lt;&gt;"0"),_xlpm.sa,IF(AND(_xlpm.ta&lt;&gt;"",LEFT(_xlpm.ta,1)&lt;&gt;"#",_xlpm.ta&lt;&gt;"0"),_xlpm.ta,IF(ISNUMBER($BG123),"Unassigned","")))))</f>
        <v/>
      </c>
      <c r="AO123" s="8" t="str" cm="1">
        <f t="array" ref="AO123">IF($AW123="","",_xlfn.LET(_xlpm.sa,IFERROR(TRIM(INDEX('Sales and count'!$C$4:$C$300,$BF123)&amp;""),""),_xlpm.ta,IFERROR(TRIM(INDEX('TY Sales Target'!$D$5:$D$300,$BG123)&amp;""),""),IF(AND(_xlpm.sa&lt;&gt;"",LEFT(_xlpm.sa,1)&lt;&gt;"#",_xlpm.sa&lt;&gt;"0"),_xlpm.sa,IF(AND(_xlpm.ta&lt;&gt;"",LEFT(_xlpm.ta,1)&lt;&gt;"#",_xlpm.ta&lt;&gt;"0"),_xlpm.ta,""))))</f>
        <v/>
      </c>
      <c r="AP123" s="8">
        <f t="shared" si="60"/>
        <v>0</v>
      </c>
      <c r="AQ123" s="8">
        <f t="shared" si="61"/>
        <v>0</v>
      </c>
      <c r="AR123" s="8" cm="1">
        <f t="array" ref="AR123">IF($BF123="",0,_xlfn.LET(_xlpm.d,IFERROR(--'Sales and count'!$G$2:$CC$2,0),SUMPRODUCT(('Sales and count'!$G$3:$CC$3="Total")*(_xlpm.d&gt;=$U$4)*(_xlpm.d&lt;=$U$5),INDEX('Sales and count'!$G$4:$CC$300,$BF123,0))))</f>
        <v>0</v>
      </c>
      <c r="AS123" s="8" cm="1">
        <f t="array" ref="AS123">IF($BF123="",0,_xlfn.LET(_xlpm.d,IFERROR(--'Sales and count'!$F$2:$CB$2,0),SUMPRODUCT(('Sales and count'!$G$3:$CC$3="Transactions")*(_xlpm.d&gt;=$U$4)*(_xlpm.d&lt;=$U$5),INDEX('Sales and count'!$G$4:$CC$300,$BF123,0))))</f>
        <v>0</v>
      </c>
      <c r="AT123" s="8" cm="1">
        <f t="array" ref="AT123">IF($AW123="",0,SUMPRODUCT((TRIM('LY Sales '!$B$5:$B$200)=$AW123)*('LY Sales '!$C$2:$AG$2&gt;=EDATE($U$4,-12))*('LY Sales '!$C$2:$AG$2&lt;=EDATE($U$5,-12)),'LY Sales '!$C$5:$AG$200))</f>
        <v>0</v>
      </c>
      <c r="AU123" s="8" cm="1">
        <f t="array" ref="AU123">IF($AW123="",0,SUMPRODUCT((TRIM('LY Transaction'!$B$5:$B$200)=$AW123)*('LY Transaction'!$C$2:$AG$2&gt;=EDATE($U$4,-12))*('LY Transaction'!$C$2:$AG$2&lt;=EDATE($U$5,-12)),'LY Transaction'!$C$5:$AG$200))</f>
        <v>0</v>
      </c>
      <c r="AV123" s="8" cm="1">
        <f t="array" ref="AV123">IF(NOT(ISNUMBER($BG123)),0,SUMPRODUCT(('TY Sales Target'!$K$2:$AO$2&gt;=$U$4)*('TY Sales Target'!$K$2:$AO$2&lt;=$U$5),INDEX('TY Sales Target'!$K$5:$AO$300,$BG123,0)))</f>
        <v>0</v>
      </c>
      <c r="AW123" s="8" t="str" cm="1">
        <f t="array" ref="AW123">IFERROR(INDEX(_xlfn.ANCHORARRAY($BR$5),ROWS($AW$5:AW123)),"")</f>
        <v/>
      </c>
      <c r="BB123" cm="1">
        <f t="array" ref="BB123">IF($AW123="",0,SUMPRODUCT((TRIM(Footfall!$B$5:$B$301)=$AW123)*(Footfall!$C$1:$BZ$1&gt;=$U$4)*(Footfall!$C$2:$BZ$2&lt;=$U$5)*(Footfall!$C$1:$BZ$1&lt;&gt;""),Footfall!$C$5:$BZ$301))</f>
        <v>0</v>
      </c>
      <c r="BC123" cm="1">
        <f t="array" ref="BC123">IF(OR($BB123&lt;=0,$BD$1="",$BF123=""),0,_xlfn.LET(_xlpm.d,IFERROR(--'Sales and count'!$F$2:$CB$2,0),SUMPRODUCT(('Sales and count'!$G$3:$CC$3="Transactions")*(_xlpm.d&gt;=$BD$1)*(_xlpm.d&lt;=$BD$2),INDEX('Sales and count'!$G$4:$CC$300,$BF123,0))))</f>
        <v>0</v>
      </c>
      <c r="BF123" t="str" cm="1">
        <f t="array" ref="BF123">IF($AW123="","",IFERROR(MATCH($AW123,TRIM('Sales and count'!$A$4:$A$300&amp;""),0),""))</f>
        <v/>
      </c>
      <c r="BG123" t="str" cm="1">
        <f t="array" ref="BG123">IF($AW123="","",IFERROR(MATCH(IFERROR(_xlfn.XLOOKUP($AW123,$BT$5:$BT$22,$BU$5:$BU$22),$AW123),TRIM('TY Sales Target'!$B$5:$B$300&amp;""),0),""))</f>
        <v/>
      </c>
      <c r="BH123" t="str" cm="1">
        <f t="array" ref="BH123">IF(ISNUMBER($BG123),_xlfn.LET(_xlpm.p,TRIM(INDEX('TY Sales Target'!$I$5:$I$300,$BG123)&amp;""),IF(_xlpm.p="","Not set",_xlpm.p)),"Not set")</f>
        <v>Not set</v>
      </c>
      <c r="BI123" cm="1">
        <f t="array" ref="BI123">IF($BF123="",0,_xlfn.LET(_xlpm.d,IFERROR(--'Sales and count'!$G$2:$CC$2,0),SUMPRODUCT(('Sales and count'!$G$3:$CC$3="Total")*(_xlpm.d&gt;=$BZ$5)*(_xlpm.d&lt;=$BZ$6),INDEX('Sales and count'!$G$4:$CC$300,$BF123,0))))</f>
        <v>0</v>
      </c>
      <c r="BJ123" cm="1">
        <f t="array" ref="BJ123">IF($AW123="",0,SUMPRODUCT((TRIM('LY Sales '!$B$5:$B$200)=$AW123)*('LY Sales '!$C$2:$AG$2&gt;=EDATE($BZ$5,-12))*('LY Sales '!$C$2:$AG$2&lt;=EDATE($BZ$6,-12)),'LY Sales '!$C$5:$AG$200))</f>
        <v>0</v>
      </c>
      <c r="BK123" cm="1">
        <f t="array" ref="BK123">IF($AW123="",0,SUMPRODUCT((TRIM('LY Sales '!$B$5:$B$200)=$AW123)*('LY Sales '!$C$2:$AG$2&gt;=EDATE($BZ$5,-12))*('LY Sales '!$C$2:$AG$2&lt;=EDATE($BZ$7,-12)),'LY Sales '!$C$5:$AG$200))</f>
        <v>0</v>
      </c>
      <c r="BL123" cm="1">
        <f t="array" ref="BL123">IF($AW123="",0,SUMPRODUCT((TRIM('LY Sales '!$B$5:$B$200)=$AW123)*('LY Sales '!$C$2:$AG$2&gt;=EDATE($BZ$5,-12))*('LY Sales '!$C$2:$AG$2&lt;=EDATE($BZ$6,-12))*('LY Sales '!$C$5:$AG$200&gt;0)))</f>
        <v>0</v>
      </c>
      <c r="BM123" cm="1">
        <f t="array" ref="BM123">IF(NOT(ISNUMBER($BG123)),0,SUMPRODUCT(('TY Sales Target'!$K$2:$AO$2&gt;=$BZ$5)*('TY Sales Target'!$K$2:$AO$2&lt;=$BZ$6),INDEX('TY Sales Target'!$K$5:$AO$300,$BG123,0)))</f>
        <v>0</v>
      </c>
      <c r="BN123" cm="1">
        <f t="array" ref="BN123">IF(NOT(ISNUMBER($BG123)),0,SUMPRODUCT(('TY Sales Target'!$K$2:$AO$2&gt;=$BZ$5)*('TY Sales Target'!$K$2:$AO$2&lt;=$BZ$7),INDEX('TY Sales Target'!$K$5:$AO$300,$BG123,0)))</f>
        <v>0</v>
      </c>
      <c r="BO123" cm="1">
        <f t="array" ref="BO123">IF($AW123="",0,IFERROR(_xlfn.SWITCH($BP123,"LY trend",$BI123*$BK123/$BJ123,"Target curve",$BI123*$BN123/$BM123,"Run rate",$BI123/$BZ$8*$BZ$9,0),0))</f>
        <v>0</v>
      </c>
      <c r="BP123" t="str">
        <f t="shared" si="59"/>
        <v/>
      </c>
      <c r="CB123" cm="1">
        <f t="array" ref="CB123">IF($AW123="",0,_xlfn.LET(_xlpm.k,IFERROR(_xlfn.XLOOKUP($AW123,$CD$6:$CD$21,$CE$6:$CE$21),$AW123),SUMPRODUCT((TRIM('Makeup '!$A$2:$A$300&amp;"")=_xlpm.k)*1,IFERROR('Makeup '!$F$2:$F$300*1,0))))</f>
        <v>0</v>
      </c>
      <c r="CF123" t="str" cm="1">
        <f t="array" ref="CF123">IF($AW123="","",_xlfn.LET(_xlpm.c,IFERROR(TRIM(INDEX('Sales and count'!$B$4:$B$300,$BF123)&amp;""),""),IF(OR(_xlpm.c="",_xlpm.c="0",LEFT(_xlpm.c,1)="#"),"Not set",_xlpm.c)))</f>
        <v/>
      </c>
      <c r="CH123" cm="1">
        <f t="array" ref="CH123">IF($AW123="",0,_xlfn.LET(_xlpm.k,IFERROR(_xlfn.XLOOKUP($AW123,$CD$6:$CD$21,$CE$6:$CE$21),$AW123),--(SUMPRODUCT((TRIM('Makeup '!$A$2:$A$300&amp;"")=_xlpm.k)*ISNUMBER('Makeup '!$F$2:$F$300))&gt;0)))</f>
        <v>0</v>
      </c>
      <c r="CI123">
        <f t="shared" si="62"/>
        <v>0</v>
      </c>
      <c r="CJ123" cm="1">
        <f t="array" ref="CJ123">IF($AW123="",0,--(SUMPRODUCT(--(TRIM(Footfall!$B$5:$B$301)=$AW123))&gt;0))</f>
        <v>0</v>
      </c>
      <c r="CK123" s="8" cm="1">
        <f t="array" ref="CK123">IF($AW123="",0,_xlfn.LET(_xlpm.r,IFERROR(MATCH(IFERROR(_xlfn.XLOOKUP($AW123,$BT$5:$BT$22,$BU$5:$BU$22),$AW123),TRIM('TY Beauty Target'!$B$5:$B$300&amp;""),0),""),IF(ISNUMBER(_xlpm.r),SUMPRODUCT(('TY Beauty Target'!$L$2:$AP$2&gt;=$U$4)*('TY Beauty Target'!$L$2:$AP$2&lt;=$U$5),INDEX('TY Beauty Target'!$L$5:$AP$300,_xlpm.r,0)),0)))</f>
        <v>0</v>
      </c>
    </row>
    <row r="124" spans="1:89" ht="15" customHeight="1" x14ac:dyDescent="0.25">
      <c r="A124" s="38" t="str">
        <f t="shared" si="63"/>
        <v/>
      </c>
      <c r="B124" s="43" t="str" cm="1">
        <f t="array" ref="B124">IF($AI124="","",IF(LEFT($AI124,2)="C|",IF($C124="","",_xlfn.TEXTJOIN(", ",TRUE,_xlfn.UNIQUE(_xlfn._xlws.FILTER($AN$5:$AN$302,($AP$5:$AP$302=1)*($AO$5:$AO$302=$A124))))),IF($AI124="CT",B$13,IF(LEFT($AI124,3)="AM|",IF($C124="","",ROWS(_xlfn.UNIQUE(_xlfn._xlws.FILTER($AO$5:$AO$302,($AP$5:$AP$302=1)*($AN$5:$AN$302=$A124))))),IF(LEFT($AI124,2)="S|",IF($AG124="","",INDEX($AO$5:$AO$302,$AH124)),IF($AI124="HDR","City",""))))))</f>
        <v/>
      </c>
      <c r="C124" s="39" t="str" cm="1">
        <f t="array" ref="C124">IF($AI124="","",IF(LEFT($AI124,2)="C|",_xlfn.LET(_xlpm.n,SUMPRODUCT($AP$5:$AP$302*($AO$5:$AO$302=$A124)),IF(_xlpm.n=0,"",_xlpm.n)),IF($AI124="CT",C$13,IF(LEFT($AI124,3)="AM|",_xlfn.LET(_xlpm.n,SUMPRODUCT($AP$5:$AP$302*($AN$5:$AN$302=$A124)),IF(_xlpm.n=0,"",_xlpm.n)),IF(LEFT($AI124,2)="S|","",IF($AI124="HDR","# Stores",""))))))</f>
        <v/>
      </c>
      <c r="D124" s="40" t="str" cm="1">
        <f t="array" ref="D124">IF($AI124="","",IF(LEFT($AI124,2)="C|",IF($C124="","",SUMPRODUCT($AP$5:$AP$302*($AO$5:$AO$302=$A124),$AR$5:$AR$302)),IF($AI124="CT",D$13,IF(LEFT($AI124,3)="AM|",IF($C124="","",SUMPRODUCT($AP$5:$AP$302*($AN$5:$AN$302=$A124),$AR$5:$AR$302)),IF(LEFT($AI124,2)="S|",IF($AG124="","",INDEX($AR$5:$AR$302,$AH124)),IF($AI124="HDR","Sales TY",""))))))</f>
        <v/>
      </c>
      <c r="E124" s="40" t="str" cm="1">
        <f t="array" ref="E124">IF($AI124="","",IF(LEFT($AI124,2)="C|",IF($C124="","",SUMPRODUCT($AP$5:$AP$302*($AO$5:$AO$302=$A124),$AT$5:$AT$302)),IF($AI124="CT",E$13,IF(LEFT($AI124,3)="AM|",IF($C124="","",SUMPRODUCT($AP$5:$AP$302*($AN$5:$AN$302=$A124),$AT$5:$AT$302)),IF(LEFT($AI124,2)="S|",IF($AG124="","",INDEX($AT$5:$AT$302,$AH124)),IF($AI124="HDR","Sales LY",""))))))</f>
        <v/>
      </c>
      <c r="F124" s="41" t="str">
        <f t="shared" si="64"/>
        <v/>
      </c>
      <c r="G124" s="41" t="str">
        <f t="shared" si="65"/>
        <v/>
      </c>
      <c r="H124" s="40" t="str" cm="1">
        <f t="array" ref="H124">IF($AI124="","",IF(LEFT($AI124,2)="C|",IF($C124="","",SUMPRODUCT($AP$5:$AP$302*($AO$5:$AO$302=$A124),$AV$5:$AV$302)),IF($AI124="CT",H$13,IF(LEFT($AI124,3)="AM|",IF($C124="","",SUMPRODUCT($AP$5:$AP$302*($AN$5:$AN$302=$A124),$AV$5:$AV$302)),IF(LEFT($AI124,2)="S|",IF($AG124="","",INDEX($AV$5:$AV$302,$AH124)),IF($AI124="HDR","Target",""))))))</f>
        <v/>
      </c>
      <c r="I124" s="41" t="str">
        <f t="shared" si="66"/>
        <v/>
      </c>
      <c r="J124" s="40" t="str">
        <f t="shared" si="67"/>
        <v/>
      </c>
      <c r="K124" s="41" t="str">
        <f t="shared" si="68"/>
        <v/>
      </c>
      <c r="L124" s="40" t="str" cm="1">
        <f t="array" ref="L124">IF($AI124="","",IF(LEFT($AI124,2)="C|",IF($C124="","",SUMPRODUCT($AP$5:$AP$302*($AO$5:$AO$302=$A124),$BN$5:$BN$302)),IF($AI124="CT",L$13,IF(LEFT($AI124,3)="AM|",IF($C124="","",SUMPRODUCT($AP$5:$AP$302*($AN$5:$AN$302=$A124),$BN$5:$BN$302)),IF(LEFT($AI124,2)="S|",IF($AG124="","",INDEX($BN$5:$BN$302,$AH124)),IF($AI124="HDR","Month Target",""))))))</f>
        <v/>
      </c>
      <c r="M124" s="40" t="str" cm="1">
        <f t="array" ref="M124">IF($AI124="","",IF(LEFT($AI124,2)="C|",IF($C124="","",SUMPRODUCT($AP$5:$AP$302*($AO$5:$AO$302=$A124),$BO$5:$BO$302)),IF($AI124="CT",M$13,IF(LEFT($AI124,3)="AM|",IF($C124="","",SUMPRODUCT($AP$5:$AP$302*($AN$5:$AN$302=$A124),$BO$5:$BO$302)),IF(LEFT($AI124,2)="S|",IF($AG124="","",INDEX($BO$5:$BO$302,$AH124)),IF($AI124="HDR","Projected Close",""))))))</f>
        <v/>
      </c>
      <c r="N124" s="41" t="str">
        <f t="shared" si="76"/>
        <v/>
      </c>
      <c r="O124" s="41" t="str" cm="1">
        <f t="array" ref="O124">IF($AI124="HDR","Proj. vs LY",IF(OR($AI124="",M124=""),"",_xlfn.LET(_xlpm.ly,IF(LEFT($AI124,2)="C|",SUMPRODUCT($AP$5:$AP$302*($AO$5:$AO$302=$A124),$BK$5:$BK$302),IF($AI124="CT",SUMPRODUCT($AP$5:$AP$302,$BK$5:$BK$302),IF(LEFT($AI124,3)="AM|",SUMPRODUCT($AP$5:$AP$302*($AN$5:$AN$302=$A124),$BK$5:$BK$302),IF(LEFT($AI124,2)="S|",INDEX($BK$5:$BK$302,$AH124),0)))),IFERROR(M124/_xlpm.ly-1,""))))</f>
        <v/>
      </c>
      <c r="P124" s="40" t="str" cm="1">
        <f t="array" ref="P124">IF($AI124="","",IF(LEFT($AI124,2)="C|",IF($C124="","",SUMPRODUCT($AP$5:$AP$302*($AO$5:$AO$302=$A124),$AS$5:$AS$302)),IF($AI124="CT",P$13,IF(LEFT($AI124,3)="AM|",IF($C124="","",SUMPRODUCT($AP$5:$AP$302*($AN$5:$AN$302=$A124),$AS$5:$AS$302)),IF(LEFT($AI124,2)="S|",IF($AG124="","",INDEX($AS$5:$AS$302,$AH124)),IF($AI124="HDR","Trans TY",""))))))</f>
        <v/>
      </c>
      <c r="Q124" s="40" t="str" cm="1">
        <f t="array" ref="Q124">IF($AI124="","",IF(LEFT($AI124,2)="C|",IF($C124="","",SUMPRODUCT($AP$5:$AP$302*($AO$5:$AO$302=$A124),$AU$5:$AU$302)),IF($AI124="CT",Q$13,IF(LEFT($AI124,3)="AM|",IF($C124="","",SUMPRODUCT($AP$5:$AP$302*($AN$5:$AN$302=$A124),$AU$5:$AU$302)),IF(LEFT($AI124,2)="S|",IF($AG124="","",INDEX($AU$5:$AU$302,$AH124)),IF($AI124="HDR","Trans LY",""))))))</f>
        <v/>
      </c>
      <c r="R124" s="41" t="str">
        <f t="shared" si="69"/>
        <v/>
      </c>
      <c r="S124" s="41" t="str">
        <f t="shared" si="70"/>
        <v/>
      </c>
      <c r="T124" s="42" t="str">
        <f t="shared" si="71"/>
        <v/>
      </c>
      <c r="U124" s="42" t="str">
        <f t="shared" si="72"/>
        <v/>
      </c>
      <c r="V124" s="41" t="str">
        <f t="shared" si="73"/>
        <v/>
      </c>
      <c r="W124" s="40" t="str" cm="1">
        <f t="array" ref="W124">IF($AI124="","",IF(LEFT($AI124,2)="C|",_xlfn.LET(_xlpm.n,SUMPRODUCT($AP$5:$AP$302*($AO$5:$AO$302=$A124),$BB$5:$BB$302),IF(_xlpm.n=0,"",_xlpm.n)),IF($AI124="CT",W$13,IF(LEFT($AI124,3)="AM|",_xlfn.LET(_xlpm.n,SUMPRODUCT($AP$5:$AP$302*($AN$5:$AN$302=$A124),$BB$5:$BB$302),IF(_xlpm.n=0,"",_xlpm.n)),IF(LEFT($AI124,2)="S|",IF($AG124="","",_xlfn.LET(_xlpm.n,INDEX($BB$5:$BB$302,$AH124),IF(_xlpm.n=0,"",_xlpm.n))),IF($AI124="HDR","Footfall",""))))))</f>
        <v/>
      </c>
      <c r="X124" s="40" t="str" cm="1">
        <f t="array" ref="X124">IF($AI124="","",IF($AI124="HDR","Trans (FF stores)",IF(W124="","",IF(LEFT($AI124,2)="C|",SUMPRODUCT($AP$5:$AP$302*($AO$5:$AO$302=$A124),$BC$5:$BC$302),IF($AI124="CT",X$13,IF(LEFT($AI124,3)="AM|",SUMPRODUCT($AP$5:$AP$302*($AN$5:$AN$302=$A124),$BC$5:$BC$302),IF(LEFT($AI124,2)="S|",INDEX($BC$5:$BC$302,$AH124),"")))))))</f>
        <v/>
      </c>
      <c r="Y124" s="41" t="str">
        <f t="shared" si="77"/>
        <v/>
      </c>
      <c r="Z124" s="40" t="str" cm="1">
        <f t="array" ref="Z124">IF($AI124="","",IF(LEFT($AI124,2)="C|",IF($C124="","",SUMPRODUCT($AP$5:$AP$302*($AO$5:$AO$302=$A124),$CB$5:$CB$302)),IF($AI124="CT",Z$13,IF(LEFT($AI124,3)="AM|",IF($C124="","",SUMPRODUCT($AP$5:$AP$302*($AN$5:$AN$302=$A124),$CB$5:$CB$302)),IF(LEFT($AI124,2)="S|",IF($AG124="","",INDEX($CB$5:$CB$302,$AH124)),IF($AI124="HDR","Makeup Sales",""))))))</f>
        <v/>
      </c>
      <c r="AA124" s="41" t="str">
        <f t="shared" si="74"/>
        <v/>
      </c>
      <c r="AB124" s="40" t="str" cm="1">
        <f t="array" ref="AB124">IF($AI124="","",IF(LEFT($AI124,2)="C|",IF($C124="","",SUMPRODUCT($AP$5:$AP$302*($AO$5:$AO$302=$A124),$CK$5:$CK$302)),IF($AI124="CT",AB$13,IF(LEFT($AI124,3)="AM|",IF($C124="","",SUMPRODUCT($AP$5:$AP$302*($AN$5:$AN$302=$A124),$CK$5:$CK$302)),IF(LEFT($AI124,2)="S|",IF($AG124="","",INDEX($CK$5:$CK$302,$AH124)),IF($AI124="HDR","Makeup Target",""))))))</f>
        <v/>
      </c>
      <c r="AC124" s="41" t="str">
        <f t="shared" si="78"/>
        <v/>
      </c>
      <c r="AD124" s="40" t="str" cm="1">
        <f t="array" ref="AD124">IF($AI124="","",IF(LEFT($AI124,2)="C|",IF($C124="","",SUMPRODUCT($AP$5:$AP$302*($AO$5:$AO$302=$A124),$CI$5:$CI$302)),IF($AI124="CT",AD$13,IF(LEFT($AI124,3)="AM|",IF($C124="","",SUMPRODUCT($AP$5:$AP$302*($AN$5:$AN$302=$A124),$CI$5:$CI$302)),IF(LEFT($AI124,2)="S|",IF($AG124="","",INDEX($CI$5:$CI$302,$AH124)),IF($AI124="HDR","Cosmetic Sales",""))))))</f>
        <v/>
      </c>
      <c r="AE124" s="8" t="str" cm="1">
        <f t="array" ref="AE124">IF($AI124="","",IF(LEFT($AI124,2)="C|",IF($C124="","",SUMPRODUCT($AP$5:$AP$302*($AO$5:$AO$302=$A124)*$AQ$5:$AQ$302,$AR$5:$AR$302)),IF($AI124="CT",AE$13,IF(LEFT($AI124,3)="AM|",IF($C124="","",SUMPRODUCT($AP$5:$AP$302*($AN$5:$AN$302=$A124)*$AQ$5:$AQ$302,$AR$5:$AR$302)),IF(LEFT($AI124,2)="S|",IF($AG124="","",IF(INDEX($AQ$5:$AQ$302,$AH124)=1,D124,0)),IF($AI124="HDR","LFL Sales",""))))))</f>
        <v/>
      </c>
      <c r="AF124" s="8" t="str" cm="1">
        <f t="array" ref="AF124">IF($AI124="","",IF(LEFT($AI124,2)="C|",IF($C124="","",SUMPRODUCT($AP$5:$AP$302*($AO$5:$AO$302=$A124)*$AQ$5:$AQ$302,$AS$5:$AS$302)),IF($AI124="CT",AF$13,IF(LEFT($AI124,3)="AM|",IF($C124="","",SUMPRODUCT($AP$5:$AP$302*($AN$5:$AN$302=$A124)*$AQ$5:$AQ$302,$AS$5:$AS$302)),IF(LEFT($AI124,2)="S|",IF($AG124="","",IF(INDEX($AQ$5:$AQ$302,$AH124)=1,P124,0)),IF($AI124="HDR","LFL Trans",""))))))</f>
        <v/>
      </c>
      <c r="AG124" s="8" t="str" cm="1">
        <f t="array" ref="AG124">IF($AI124="","",IF(LEFT($AI124,2)="C|","",IF($AI124="CT","",IF(LEFT($AI124,3)="AM|","",IF(LEFT($AI124,2)="S|",IF($AH124="","",IF(INDEX($AP$5:$AP$302,$AH124)=1,1,"")),IF($AI124="HDR","Show",""))))))</f>
        <v/>
      </c>
      <c r="AH124" s="8" t="str">
        <f t="shared" si="75"/>
        <v/>
      </c>
      <c r="AI124" s="8"/>
      <c r="AN124" s="8" t="str" cm="1">
        <f t="array" ref="AN124">IF($AW124="","",_xlfn.LET(_xlpm.sa,IFERROR(TRIM(INDEX('Sales and count'!$D$4:$D$300,$BF124)&amp;""),""),_xlpm.ta,IFERROR(TRIM(INDEX('TY Sales Target'!$F$5:$F$300,$BG124)&amp;""),""),IF(AND(_xlpm.sa&lt;&gt;"",LEFT(_xlpm.sa,1)&lt;&gt;"#",_xlpm.sa&lt;&gt;"0"),_xlpm.sa,IF(AND(_xlpm.ta&lt;&gt;"",LEFT(_xlpm.ta,1)&lt;&gt;"#",_xlpm.ta&lt;&gt;"0"),_xlpm.ta,IF(ISNUMBER($BG124),"Unassigned","")))))</f>
        <v/>
      </c>
      <c r="AO124" s="8" t="str" cm="1">
        <f t="array" ref="AO124">IF($AW124="","",_xlfn.LET(_xlpm.sa,IFERROR(TRIM(INDEX('Sales and count'!$C$4:$C$300,$BF124)&amp;""),""),_xlpm.ta,IFERROR(TRIM(INDEX('TY Sales Target'!$D$5:$D$300,$BG124)&amp;""),""),IF(AND(_xlpm.sa&lt;&gt;"",LEFT(_xlpm.sa,1)&lt;&gt;"#",_xlpm.sa&lt;&gt;"0"),_xlpm.sa,IF(AND(_xlpm.ta&lt;&gt;"",LEFT(_xlpm.ta,1)&lt;&gt;"#",_xlpm.ta&lt;&gt;"0"),_xlpm.ta,""))))</f>
        <v/>
      </c>
      <c r="AP124" s="8">
        <f t="shared" si="60"/>
        <v>0</v>
      </c>
      <c r="AQ124" s="8">
        <f t="shared" si="61"/>
        <v>0</v>
      </c>
      <c r="AR124" s="8" cm="1">
        <f t="array" ref="AR124">IF($BF124="",0,_xlfn.LET(_xlpm.d,IFERROR(--'Sales and count'!$G$2:$CC$2,0),SUMPRODUCT(('Sales and count'!$G$3:$CC$3="Total")*(_xlpm.d&gt;=$U$4)*(_xlpm.d&lt;=$U$5),INDEX('Sales and count'!$G$4:$CC$300,$BF124,0))))</f>
        <v>0</v>
      </c>
      <c r="AS124" s="8" cm="1">
        <f t="array" ref="AS124">IF($BF124="",0,_xlfn.LET(_xlpm.d,IFERROR(--'Sales and count'!$F$2:$CB$2,0),SUMPRODUCT(('Sales and count'!$G$3:$CC$3="Transactions")*(_xlpm.d&gt;=$U$4)*(_xlpm.d&lt;=$U$5),INDEX('Sales and count'!$G$4:$CC$300,$BF124,0))))</f>
        <v>0</v>
      </c>
      <c r="AT124" s="8" cm="1">
        <f t="array" ref="AT124">IF($AW124="",0,SUMPRODUCT((TRIM('LY Sales '!$B$5:$B$200)=$AW124)*('LY Sales '!$C$2:$AG$2&gt;=EDATE($U$4,-12))*('LY Sales '!$C$2:$AG$2&lt;=EDATE($U$5,-12)),'LY Sales '!$C$5:$AG$200))</f>
        <v>0</v>
      </c>
      <c r="AU124" s="8" cm="1">
        <f t="array" ref="AU124">IF($AW124="",0,SUMPRODUCT((TRIM('LY Transaction'!$B$5:$B$200)=$AW124)*('LY Transaction'!$C$2:$AG$2&gt;=EDATE($U$4,-12))*('LY Transaction'!$C$2:$AG$2&lt;=EDATE($U$5,-12)),'LY Transaction'!$C$5:$AG$200))</f>
        <v>0</v>
      </c>
      <c r="AV124" s="8" cm="1">
        <f t="array" ref="AV124">IF(NOT(ISNUMBER($BG124)),0,SUMPRODUCT(('TY Sales Target'!$K$2:$AO$2&gt;=$U$4)*('TY Sales Target'!$K$2:$AO$2&lt;=$U$5),INDEX('TY Sales Target'!$K$5:$AO$300,$BG124,0)))</f>
        <v>0</v>
      </c>
      <c r="AW124" s="8" t="str" cm="1">
        <f t="array" ref="AW124">IFERROR(INDEX(_xlfn.ANCHORARRAY($BR$5),ROWS($AW$5:AW124)),"")</f>
        <v/>
      </c>
      <c r="BB124" cm="1">
        <f t="array" ref="BB124">IF($AW124="",0,SUMPRODUCT((TRIM(Footfall!$B$5:$B$301)=$AW124)*(Footfall!$C$1:$BZ$1&gt;=$U$4)*(Footfall!$C$2:$BZ$2&lt;=$U$5)*(Footfall!$C$1:$BZ$1&lt;&gt;""),Footfall!$C$5:$BZ$301))</f>
        <v>0</v>
      </c>
      <c r="BC124" cm="1">
        <f t="array" ref="BC124">IF(OR($BB124&lt;=0,$BD$1="",$BF124=""),0,_xlfn.LET(_xlpm.d,IFERROR(--'Sales and count'!$F$2:$CB$2,0),SUMPRODUCT(('Sales and count'!$G$3:$CC$3="Transactions")*(_xlpm.d&gt;=$BD$1)*(_xlpm.d&lt;=$BD$2),INDEX('Sales and count'!$G$4:$CC$300,$BF124,0))))</f>
        <v>0</v>
      </c>
      <c r="BF124" t="str" cm="1">
        <f t="array" ref="BF124">IF($AW124="","",IFERROR(MATCH($AW124,TRIM('Sales and count'!$A$4:$A$300&amp;""),0),""))</f>
        <v/>
      </c>
      <c r="BG124" t="str" cm="1">
        <f t="array" ref="BG124">IF($AW124="","",IFERROR(MATCH(IFERROR(_xlfn.XLOOKUP($AW124,$BT$5:$BT$22,$BU$5:$BU$22),$AW124),TRIM('TY Sales Target'!$B$5:$B$300&amp;""),0),""))</f>
        <v/>
      </c>
      <c r="BH124" t="str" cm="1">
        <f t="array" ref="BH124">IF(ISNUMBER($BG124),_xlfn.LET(_xlpm.p,TRIM(INDEX('TY Sales Target'!$I$5:$I$300,$BG124)&amp;""),IF(_xlpm.p="","Not set",_xlpm.p)),"Not set")</f>
        <v>Not set</v>
      </c>
      <c r="BI124" cm="1">
        <f t="array" ref="BI124">IF($BF124="",0,_xlfn.LET(_xlpm.d,IFERROR(--'Sales and count'!$G$2:$CC$2,0),SUMPRODUCT(('Sales and count'!$G$3:$CC$3="Total")*(_xlpm.d&gt;=$BZ$5)*(_xlpm.d&lt;=$BZ$6),INDEX('Sales and count'!$G$4:$CC$300,$BF124,0))))</f>
        <v>0</v>
      </c>
      <c r="BJ124" cm="1">
        <f t="array" ref="BJ124">IF($AW124="",0,SUMPRODUCT((TRIM('LY Sales '!$B$5:$B$200)=$AW124)*('LY Sales '!$C$2:$AG$2&gt;=EDATE($BZ$5,-12))*('LY Sales '!$C$2:$AG$2&lt;=EDATE($BZ$6,-12)),'LY Sales '!$C$5:$AG$200))</f>
        <v>0</v>
      </c>
      <c r="BK124" cm="1">
        <f t="array" ref="BK124">IF($AW124="",0,SUMPRODUCT((TRIM('LY Sales '!$B$5:$B$200)=$AW124)*('LY Sales '!$C$2:$AG$2&gt;=EDATE($BZ$5,-12))*('LY Sales '!$C$2:$AG$2&lt;=EDATE($BZ$7,-12)),'LY Sales '!$C$5:$AG$200))</f>
        <v>0</v>
      </c>
      <c r="BL124" cm="1">
        <f t="array" ref="BL124">IF($AW124="",0,SUMPRODUCT((TRIM('LY Sales '!$B$5:$B$200)=$AW124)*('LY Sales '!$C$2:$AG$2&gt;=EDATE($BZ$5,-12))*('LY Sales '!$C$2:$AG$2&lt;=EDATE($BZ$6,-12))*('LY Sales '!$C$5:$AG$200&gt;0)))</f>
        <v>0</v>
      </c>
      <c r="BM124" cm="1">
        <f t="array" ref="BM124">IF(NOT(ISNUMBER($BG124)),0,SUMPRODUCT(('TY Sales Target'!$K$2:$AO$2&gt;=$BZ$5)*('TY Sales Target'!$K$2:$AO$2&lt;=$BZ$6),INDEX('TY Sales Target'!$K$5:$AO$300,$BG124,0)))</f>
        <v>0</v>
      </c>
      <c r="BN124" cm="1">
        <f t="array" ref="BN124">IF(NOT(ISNUMBER($BG124)),0,SUMPRODUCT(('TY Sales Target'!$K$2:$AO$2&gt;=$BZ$5)*('TY Sales Target'!$K$2:$AO$2&lt;=$BZ$7),INDEX('TY Sales Target'!$K$5:$AO$300,$BG124,0)))</f>
        <v>0</v>
      </c>
      <c r="BO124" cm="1">
        <f t="array" ref="BO124">IF($AW124="",0,IFERROR(_xlfn.SWITCH($BP124,"LY trend",$BI124*$BK124/$BJ124,"Target curve",$BI124*$BN124/$BM124,"Run rate",$BI124/$BZ$8*$BZ$9,0),0))</f>
        <v>0</v>
      </c>
      <c r="BP124" t="str">
        <f t="shared" si="59"/>
        <v/>
      </c>
      <c r="CB124" cm="1">
        <f t="array" ref="CB124">IF($AW124="",0,_xlfn.LET(_xlpm.k,IFERROR(_xlfn.XLOOKUP($AW124,$CD$6:$CD$21,$CE$6:$CE$21),$AW124),SUMPRODUCT((TRIM('Makeup '!$A$2:$A$300&amp;"")=_xlpm.k)*1,IFERROR('Makeup '!$F$2:$F$300*1,0))))</f>
        <v>0</v>
      </c>
      <c r="CF124" t="str" cm="1">
        <f t="array" ref="CF124">IF($AW124="","",_xlfn.LET(_xlpm.c,IFERROR(TRIM(INDEX('Sales and count'!$B$4:$B$300,$BF124)&amp;""),""),IF(OR(_xlpm.c="",_xlpm.c="0",LEFT(_xlpm.c,1)="#"),"Not set",_xlpm.c)))</f>
        <v/>
      </c>
      <c r="CH124" cm="1">
        <f t="array" ref="CH124">IF($AW124="",0,_xlfn.LET(_xlpm.k,IFERROR(_xlfn.XLOOKUP($AW124,$CD$6:$CD$21,$CE$6:$CE$21),$AW124),--(SUMPRODUCT((TRIM('Makeup '!$A$2:$A$300&amp;"")=_xlpm.k)*ISNUMBER('Makeup '!$F$2:$F$300))&gt;0)))</f>
        <v>0</v>
      </c>
      <c r="CI124">
        <f t="shared" si="62"/>
        <v>0</v>
      </c>
      <c r="CJ124" cm="1">
        <f t="array" ref="CJ124">IF($AW124="",0,--(SUMPRODUCT(--(TRIM(Footfall!$B$5:$B$301)=$AW124))&gt;0))</f>
        <v>0</v>
      </c>
      <c r="CK124" s="8" cm="1">
        <f t="array" ref="CK124">IF($AW124="",0,_xlfn.LET(_xlpm.r,IFERROR(MATCH(IFERROR(_xlfn.XLOOKUP($AW124,$BT$5:$BT$22,$BU$5:$BU$22),$AW124),TRIM('TY Beauty Target'!$B$5:$B$300&amp;""),0),""),IF(ISNUMBER(_xlpm.r),SUMPRODUCT(('TY Beauty Target'!$L$2:$AP$2&gt;=$U$4)*('TY Beauty Target'!$L$2:$AP$2&lt;=$U$5),INDEX('TY Beauty Target'!$L$5:$AP$300,_xlpm.r,0)),0)))</f>
        <v>0</v>
      </c>
    </row>
    <row r="125" spans="1:89" ht="15" customHeight="1" x14ac:dyDescent="0.25">
      <c r="A125" s="38" t="str">
        <f t="shared" si="63"/>
        <v/>
      </c>
      <c r="B125" s="43" t="str" cm="1">
        <f t="array" ref="B125">IF($AI125="","",IF(LEFT($AI125,2)="C|",IF($C125="","",_xlfn.TEXTJOIN(", ",TRUE,_xlfn.UNIQUE(_xlfn._xlws.FILTER($AN$5:$AN$302,($AP$5:$AP$302=1)*($AO$5:$AO$302=$A125))))),IF($AI125="CT",B$13,IF(LEFT($AI125,3)="AM|",IF($C125="","",ROWS(_xlfn.UNIQUE(_xlfn._xlws.FILTER($AO$5:$AO$302,($AP$5:$AP$302=1)*($AN$5:$AN$302=$A125))))),IF(LEFT($AI125,2)="S|",IF($AG125="","",INDEX($AO$5:$AO$302,$AH125)),IF($AI125="HDR","City",""))))))</f>
        <v/>
      </c>
      <c r="C125" s="39" t="str" cm="1">
        <f t="array" ref="C125">IF($AI125="","",IF(LEFT($AI125,2)="C|",_xlfn.LET(_xlpm.n,SUMPRODUCT($AP$5:$AP$302*($AO$5:$AO$302=$A125)),IF(_xlpm.n=0,"",_xlpm.n)),IF($AI125="CT",C$13,IF(LEFT($AI125,3)="AM|",_xlfn.LET(_xlpm.n,SUMPRODUCT($AP$5:$AP$302*($AN$5:$AN$302=$A125)),IF(_xlpm.n=0,"",_xlpm.n)),IF(LEFT($AI125,2)="S|","",IF($AI125="HDR","# Stores",""))))))</f>
        <v/>
      </c>
      <c r="D125" s="40" t="str" cm="1">
        <f t="array" ref="D125">IF($AI125="","",IF(LEFT($AI125,2)="C|",IF($C125="","",SUMPRODUCT($AP$5:$AP$302*($AO$5:$AO$302=$A125),$AR$5:$AR$302)),IF($AI125="CT",D$13,IF(LEFT($AI125,3)="AM|",IF($C125="","",SUMPRODUCT($AP$5:$AP$302*($AN$5:$AN$302=$A125),$AR$5:$AR$302)),IF(LEFT($AI125,2)="S|",IF($AG125="","",INDEX($AR$5:$AR$302,$AH125)),IF($AI125="HDR","Sales TY",""))))))</f>
        <v/>
      </c>
      <c r="E125" s="40" t="str" cm="1">
        <f t="array" ref="E125">IF($AI125="","",IF(LEFT($AI125,2)="C|",IF($C125="","",SUMPRODUCT($AP$5:$AP$302*($AO$5:$AO$302=$A125),$AT$5:$AT$302)),IF($AI125="CT",E$13,IF(LEFT($AI125,3)="AM|",IF($C125="","",SUMPRODUCT($AP$5:$AP$302*($AN$5:$AN$302=$A125),$AT$5:$AT$302)),IF(LEFT($AI125,2)="S|",IF($AG125="","",INDEX($AT$5:$AT$302,$AH125)),IF($AI125="HDR","Sales LY",""))))))</f>
        <v/>
      </c>
      <c r="F125" s="41" t="str">
        <f t="shared" si="64"/>
        <v/>
      </c>
      <c r="G125" s="41" t="str">
        <f t="shared" si="65"/>
        <v/>
      </c>
      <c r="H125" s="40" t="str" cm="1">
        <f t="array" ref="H125">IF($AI125="","",IF(LEFT($AI125,2)="C|",IF($C125="","",SUMPRODUCT($AP$5:$AP$302*($AO$5:$AO$302=$A125),$AV$5:$AV$302)),IF($AI125="CT",H$13,IF(LEFT($AI125,3)="AM|",IF($C125="","",SUMPRODUCT($AP$5:$AP$302*($AN$5:$AN$302=$A125),$AV$5:$AV$302)),IF(LEFT($AI125,2)="S|",IF($AG125="","",INDEX($AV$5:$AV$302,$AH125)),IF($AI125="HDR","Target",""))))))</f>
        <v/>
      </c>
      <c r="I125" s="41" t="str">
        <f t="shared" si="66"/>
        <v/>
      </c>
      <c r="J125" s="40" t="str">
        <f t="shared" si="67"/>
        <v/>
      </c>
      <c r="K125" s="41" t="str">
        <f t="shared" si="68"/>
        <v/>
      </c>
      <c r="L125" s="40" t="str" cm="1">
        <f t="array" ref="L125">IF($AI125="","",IF(LEFT($AI125,2)="C|",IF($C125="","",SUMPRODUCT($AP$5:$AP$302*($AO$5:$AO$302=$A125),$BN$5:$BN$302)),IF($AI125="CT",L$13,IF(LEFT($AI125,3)="AM|",IF($C125="","",SUMPRODUCT($AP$5:$AP$302*($AN$5:$AN$302=$A125),$BN$5:$BN$302)),IF(LEFT($AI125,2)="S|",IF($AG125="","",INDEX($BN$5:$BN$302,$AH125)),IF($AI125="HDR","Month Target",""))))))</f>
        <v/>
      </c>
      <c r="M125" s="40" t="str" cm="1">
        <f t="array" ref="M125">IF($AI125="","",IF(LEFT($AI125,2)="C|",IF($C125="","",SUMPRODUCT($AP$5:$AP$302*($AO$5:$AO$302=$A125),$BO$5:$BO$302)),IF($AI125="CT",M$13,IF(LEFT($AI125,3)="AM|",IF($C125="","",SUMPRODUCT($AP$5:$AP$302*($AN$5:$AN$302=$A125),$BO$5:$BO$302)),IF(LEFT($AI125,2)="S|",IF($AG125="","",INDEX($BO$5:$BO$302,$AH125)),IF($AI125="HDR","Projected Close",""))))))</f>
        <v/>
      </c>
      <c r="N125" s="41" t="str">
        <f t="shared" si="76"/>
        <v/>
      </c>
      <c r="O125" s="41" t="str" cm="1">
        <f t="array" ref="O125">IF($AI125="HDR","Proj. vs LY",IF(OR($AI125="",M125=""),"",_xlfn.LET(_xlpm.ly,IF(LEFT($AI125,2)="C|",SUMPRODUCT($AP$5:$AP$302*($AO$5:$AO$302=$A125),$BK$5:$BK$302),IF($AI125="CT",SUMPRODUCT($AP$5:$AP$302,$BK$5:$BK$302),IF(LEFT($AI125,3)="AM|",SUMPRODUCT($AP$5:$AP$302*($AN$5:$AN$302=$A125),$BK$5:$BK$302),IF(LEFT($AI125,2)="S|",INDEX($BK$5:$BK$302,$AH125),0)))),IFERROR(M125/_xlpm.ly-1,""))))</f>
        <v/>
      </c>
      <c r="P125" s="40" t="str" cm="1">
        <f t="array" ref="P125">IF($AI125="","",IF(LEFT($AI125,2)="C|",IF($C125="","",SUMPRODUCT($AP$5:$AP$302*($AO$5:$AO$302=$A125),$AS$5:$AS$302)),IF($AI125="CT",P$13,IF(LEFT($AI125,3)="AM|",IF($C125="","",SUMPRODUCT($AP$5:$AP$302*($AN$5:$AN$302=$A125),$AS$5:$AS$302)),IF(LEFT($AI125,2)="S|",IF($AG125="","",INDEX($AS$5:$AS$302,$AH125)),IF($AI125="HDR","Trans TY",""))))))</f>
        <v/>
      </c>
      <c r="Q125" s="40" t="str" cm="1">
        <f t="array" ref="Q125">IF($AI125="","",IF(LEFT($AI125,2)="C|",IF($C125="","",SUMPRODUCT($AP$5:$AP$302*($AO$5:$AO$302=$A125),$AU$5:$AU$302)),IF($AI125="CT",Q$13,IF(LEFT($AI125,3)="AM|",IF($C125="","",SUMPRODUCT($AP$5:$AP$302*($AN$5:$AN$302=$A125),$AU$5:$AU$302)),IF(LEFT($AI125,2)="S|",IF($AG125="","",INDEX($AU$5:$AU$302,$AH125)),IF($AI125="HDR","Trans LY",""))))))</f>
        <v/>
      </c>
      <c r="R125" s="41" t="str">
        <f t="shared" si="69"/>
        <v/>
      </c>
      <c r="S125" s="41" t="str">
        <f t="shared" si="70"/>
        <v/>
      </c>
      <c r="T125" s="42" t="str">
        <f t="shared" si="71"/>
        <v/>
      </c>
      <c r="U125" s="42" t="str">
        <f t="shared" si="72"/>
        <v/>
      </c>
      <c r="V125" s="41" t="str">
        <f t="shared" si="73"/>
        <v/>
      </c>
      <c r="W125" s="40" t="str" cm="1">
        <f t="array" ref="W125">IF($AI125="","",IF(LEFT($AI125,2)="C|",_xlfn.LET(_xlpm.n,SUMPRODUCT($AP$5:$AP$302*($AO$5:$AO$302=$A125),$BB$5:$BB$302),IF(_xlpm.n=0,"",_xlpm.n)),IF($AI125="CT",W$13,IF(LEFT($AI125,3)="AM|",_xlfn.LET(_xlpm.n,SUMPRODUCT($AP$5:$AP$302*($AN$5:$AN$302=$A125),$BB$5:$BB$302),IF(_xlpm.n=0,"",_xlpm.n)),IF(LEFT($AI125,2)="S|",IF($AG125="","",_xlfn.LET(_xlpm.n,INDEX($BB$5:$BB$302,$AH125),IF(_xlpm.n=0,"",_xlpm.n))),IF($AI125="HDR","Footfall",""))))))</f>
        <v/>
      </c>
      <c r="X125" s="40" t="str" cm="1">
        <f t="array" ref="X125">IF($AI125="","",IF($AI125="HDR","Trans (FF stores)",IF(W125="","",IF(LEFT($AI125,2)="C|",SUMPRODUCT($AP$5:$AP$302*($AO$5:$AO$302=$A125),$BC$5:$BC$302),IF($AI125="CT",X$13,IF(LEFT($AI125,3)="AM|",SUMPRODUCT($AP$5:$AP$302*($AN$5:$AN$302=$A125),$BC$5:$BC$302),IF(LEFT($AI125,2)="S|",INDEX($BC$5:$BC$302,$AH125),"")))))))</f>
        <v/>
      </c>
      <c r="Y125" s="41" t="str">
        <f t="shared" si="77"/>
        <v/>
      </c>
      <c r="Z125" s="40" t="str" cm="1">
        <f t="array" ref="Z125">IF($AI125="","",IF(LEFT($AI125,2)="C|",IF($C125="","",SUMPRODUCT($AP$5:$AP$302*($AO$5:$AO$302=$A125),$CB$5:$CB$302)),IF($AI125="CT",Z$13,IF(LEFT($AI125,3)="AM|",IF($C125="","",SUMPRODUCT($AP$5:$AP$302*($AN$5:$AN$302=$A125),$CB$5:$CB$302)),IF(LEFT($AI125,2)="S|",IF($AG125="","",INDEX($CB$5:$CB$302,$AH125)),IF($AI125="HDR","Makeup Sales",""))))))</f>
        <v/>
      </c>
      <c r="AA125" s="41" t="str">
        <f t="shared" si="74"/>
        <v/>
      </c>
      <c r="AB125" s="40" t="str" cm="1">
        <f t="array" ref="AB125">IF($AI125="","",IF(LEFT($AI125,2)="C|",IF($C125="","",SUMPRODUCT($AP$5:$AP$302*($AO$5:$AO$302=$A125),$CK$5:$CK$302)),IF($AI125="CT",AB$13,IF(LEFT($AI125,3)="AM|",IF($C125="","",SUMPRODUCT($AP$5:$AP$302*($AN$5:$AN$302=$A125),$CK$5:$CK$302)),IF(LEFT($AI125,2)="S|",IF($AG125="","",INDEX($CK$5:$CK$302,$AH125)),IF($AI125="HDR","Makeup Target",""))))))</f>
        <v/>
      </c>
      <c r="AC125" s="41" t="str">
        <f t="shared" si="78"/>
        <v/>
      </c>
      <c r="AD125" s="40" t="str" cm="1">
        <f t="array" ref="AD125">IF($AI125="","",IF(LEFT($AI125,2)="C|",IF($C125="","",SUMPRODUCT($AP$5:$AP$302*($AO$5:$AO$302=$A125),$CI$5:$CI$302)),IF($AI125="CT",AD$13,IF(LEFT($AI125,3)="AM|",IF($C125="","",SUMPRODUCT($AP$5:$AP$302*($AN$5:$AN$302=$A125),$CI$5:$CI$302)),IF(LEFT($AI125,2)="S|",IF($AG125="","",INDEX($CI$5:$CI$302,$AH125)),IF($AI125="HDR","Cosmetic Sales",""))))))</f>
        <v/>
      </c>
      <c r="AE125" s="8" t="str" cm="1">
        <f t="array" ref="AE125">IF($AI125="","",IF(LEFT($AI125,2)="C|",IF($C125="","",SUMPRODUCT($AP$5:$AP$302*($AO$5:$AO$302=$A125)*$AQ$5:$AQ$302,$AR$5:$AR$302)),IF($AI125="CT",AE$13,IF(LEFT($AI125,3)="AM|",IF($C125="","",SUMPRODUCT($AP$5:$AP$302*($AN$5:$AN$302=$A125)*$AQ$5:$AQ$302,$AR$5:$AR$302)),IF(LEFT($AI125,2)="S|",IF($AG125="","",IF(INDEX($AQ$5:$AQ$302,$AH125)=1,D125,0)),IF($AI125="HDR","LFL Sales",""))))))</f>
        <v/>
      </c>
      <c r="AF125" s="8" t="str" cm="1">
        <f t="array" ref="AF125">IF($AI125="","",IF(LEFT($AI125,2)="C|",IF($C125="","",SUMPRODUCT($AP$5:$AP$302*($AO$5:$AO$302=$A125)*$AQ$5:$AQ$302,$AS$5:$AS$302)),IF($AI125="CT",AF$13,IF(LEFT($AI125,3)="AM|",IF($C125="","",SUMPRODUCT($AP$5:$AP$302*($AN$5:$AN$302=$A125)*$AQ$5:$AQ$302,$AS$5:$AS$302)),IF(LEFT($AI125,2)="S|",IF($AG125="","",IF(INDEX($AQ$5:$AQ$302,$AH125)=1,P125,0)),IF($AI125="HDR","LFL Trans",""))))))</f>
        <v/>
      </c>
      <c r="AG125" s="8" t="str" cm="1">
        <f t="array" ref="AG125">IF($AI125="","",IF(LEFT($AI125,2)="C|","",IF($AI125="CT","",IF(LEFT($AI125,3)="AM|","",IF(LEFT($AI125,2)="S|",IF($AH125="","",IF(INDEX($AP$5:$AP$302,$AH125)=1,1,"")),IF($AI125="HDR","Show",""))))))</f>
        <v/>
      </c>
      <c r="AH125" s="8" t="str">
        <f t="shared" si="75"/>
        <v/>
      </c>
      <c r="AI125" s="8"/>
      <c r="AN125" s="8" t="str" cm="1">
        <f t="array" ref="AN125">IF($AW125="","",_xlfn.LET(_xlpm.sa,IFERROR(TRIM(INDEX('Sales and count'!$D$4:$D$300,$BF125)&amp;""),""),_xlpm.ta,IFERROR(TRIM(INDEX('TY Sales Target'!$F$5:$F$300,$BG125)&amp;""),""),IF(AND(_xlpm.sa&lt;&gt;"",LEFT(_xlpm.sa,1)&lt;&gt;"#",_xlpm.sa&lt;&gt;"0"),_xlpm.sa,IF(AND(_xlpm.ta&lt;&gt;"",LEFT(_xlpm.ta,1)&lt;&gt;"#",_xlpm.ta&lt;&gt;"0"),_xlpm.ta,IF(ISNUMBER($BG125),"Unassigned","")))))</f>
        <v/>
      </c>
      <c r="AO125" s="8" t="str" cm="1">
        <f t="array" ref="AO125">IF($AW125="","",_xlfn.LET(_xlpm.sa,IFERROR(TRIM(INDEX('Sales and count'!$C$4:$C$300,$BF125)&amp;""),""),_xlpm.ta,IFERROR(TRIM(INDEX('TY Sales Target'!$D$5:$D$300,$BG125)&amp;""),""),IF(AND(_xlpm.sa&lt;&gt;"",LEFT(_xlpm.sa,1)&lt;&gt;"#",_xlpm.sa&lt;&gt;"0"),_xlpm.sa,IF(AND(_xlpm.ta&lt;&gt;"",LEFT(_xlpm.ta,1)&lt;&gt;"#",_xlpm.ta&lt;&gt;"0"),_xlpm.ta,""))))</f>
        <v/>
      </c>
      <c r="AP125" s="8">
        <f t="shared" si="60"/>
        <v>0</v>
      </c>
      <c r="AQ125" s="8">
        <f t="shared" si="61"/>
        <v>0</v>
      </c>
      <c r="AR125" s="8" cm="1">
        <f t="array" ref="AR125">IF($BF125="",0,_xlfn.LET(_xlpm.d,IFERROR(--'Sales and count'!$G$2:$CC$2,0),SUMPRODUCT(('Sales and count'!$G$3:$CC$3="Total")*(_xlpm.d&gt;=$U$4)*(_xlpm.d&lt;=$U$5),INDEX('Sales and count'!$G$4:$CC$300,$BF125,0))))</f>
        <v>0</v>
      </c>
      <c r="AS125" s="8" cm="1">
        <f t="array" ref="AS125">IF($BF125="",0,_xlfn.LET(_xlpm.d,IFERROR(--'Sales and count'!$F$2:$CB$2,0),SUMPRODUCT(('Sales and count'!$G$3:$CC$3="Transactions")*(_xlpm.d&gt;=$U$4)*(_xlpm.d&lt;=$U$5),INDEX('Sales and count'!$G$4:$CC$300,$BF125,0))))</f>
        <v>0</v>
      </c>
      <c r="AT125" s="8" cm="1">
        <f t="array" ref="AT125">IF($AW125="",0,SUMPRODUCT((TRIM('LY Sales '!$B$5:$B$200)=$AW125)*('LY Sales '!$C$2:$AG$2&gt;=EDATE($U$4,-12))*('LY Sales '!$C$2:$AG$2&lt;=EDATE($U$5,-12)),'LY Sales '!$C$5:$AG$200))</f>
        <v>0</v>
      </c>
      <c r="AU125" s="8" cm="1">
        <f t="array" ref="AU125">IF($AW125="",0,SUMPRODUCT((TRIM('LY Transaction'!$B$5:$B$200)=$AW125)*('LY Transaction'!$C$2:$AG$2&gt;=EDATE($U$4,-12))*('LY Transaction'!$C$2:$AG$2&lt;=EDATE($U$5,-12)),'LY Transaction'!$C$5:$AG$200))</f>
        <v>0</v>
      </c>
      <c r="AV125" s="8" cm="1">
        <f t="array" ref="AV125">IF(NOT(ISNUMBER($BG125)),0,SUMPRODUCT(('TY Sales Target'!$K$2:$AO$2&gt;=$U$4)*('TY Sales Target'!$K$2:$AO$2&lt;=$U$5),INDEX('TY Sales Target'!$K$5:$AO$300,$BG125,0)))</f>
        <v>0</v>
      </c>
      <c r="AW125" s="8" t="str" cm="1">
        <f t="array" ref="AW125">IFERROR(INDEX(_xlfn.ANCHORARRAY($BR$5),ROWS($AW$5:AW125)),"")</f>
        <v/>
      </c>
      <c r="BB125" cm="1">
        <f t="array" ref="BB125">IF($AW125="",0,SUMPRODUCT((TRIM(Footfall!$B$5:$B$301)=$AW125)*(Footfall!$C$1:$BZ$1&gt;=$U$4)*(Footfall!$C$2:$BZ$2&lt;=$U$5)*(Footfall!$C$1:$BZ$1&lt;&gt;""),Footfall!$C$5:$BZ$301))</f>
        <v>0</v>
      </c>
      <c r="BC125" cm="1">
        <f t="array" ref="BC125">IF(OR($BB125&lt;=0,$BD$1="",$BF125=""),0,_xlfn.LET(_xlpm.d,IFERROR(--'Sales and count'!$F$2:$CB$2,0),SUMPRODUCT(('Sales and count'!$G$3:$CC$3="Transactions")*(_xlpm.d&gt;=$BD$1)*(_xlpm.d&lt;=$BD$2),INDEX('Sales and count'!$G$4:$CC$300,$BF125,0))))</f>
        <v>0</v>
      </c>
      <c r="BF125" t="str" cm="1">
        <f t="array" ref="BF125">IF($AW125="","",IFERROR(MATCH($AW125,TRIM('Sales and count'!$A$4:$A$300&amp;""),0),""))</f>
        <v/>
      </c>
      <c r="BG125" t="str" cm="1">
        <f t="array" ref="BG125">IF($AW125="","",IFERROR(MATCH(IFERROR(_xlfn.XLOOKUP($AW125,$BT$5:$BT$22,$BU$5:$BU$22),$AW125),TRIM('TY Sales Target'!$B$5:$B$300&amp;""),0),""))</f>
        <v/>
      </c>
      <c r="BH125" t="str" cm="1">
        <f t="array" ref="BH125">IF(ISNUMBER($BG125),_xlfn.LET(_xlpm.p,TRIM(INDEX('TY Sales Target'!$I$5:$I$300,$BG125)&amp;""),IF(_xlpm.p="","Not set",_xlpm.p)),"Not set")</f>
        <v>Not set</v>
      </c>
      <c r="BI125" cm="1">
        <f t="array" ref="BI125">IF($BF125="",0,_xlfn.LET(_xlpm.d,IFERROR(--'Sales and count'!$G$2:$CC$2,0),SUMPRODUCT(('Sales and count'!$G$3:$CC$3="Total")*(_xlpm.d&gt;=$BZ$5)*(_xlpm.d&lt;=$BZ$6),INDEX('Sales and count'!$G$4:$CC$300,$BF125,0))))</f>
        <v>0</v>
      </c>
      <c r="BJ125" cm="1">
        <f t="array" ref="BJ125">IF($AW125="",0,SUMPRODUCT((TRIM('LY Sales '!$B$5:$B$200)=$AW125)*('LY Sales '!$C$2:$AG$2&gt;=EDATE($BZ$5,-12))*('LY Sales '!$C$2:$AG$2&lt;=EDATE($BZ$6,-12)),'LY Sales '!$C$5:$AG$200))</f>
        <v>0</v>
      </c>
      <c r="BK125" cm="1">
        <f t="array" ref="BK125">IF($AW125="",0,SUMPRODUCT((TRIM('LY Sales '!$B$5:$B$200)=$AW125)*('LY Sales '!$C$2:$AG$2&gt;=EDATE($BZ$5,-12))*('LY Sales '!$C$2:$AG$2&lt;=EDATE($BZ$7,-12)),'LY Sales '!$C$5:$AG$200))</f>
        <v>0</v>
      </c>
      <c r="BL125" cm="1">
        <f t="array" ref="BL125">IF($AW125="",0,SUMPRODUCT((TRIM('LY Sales '!$B$5:$B$200)=$AW125)*('LY Sales '!$C$2:$AG$2&gt;=EDATE($BZ$5,-12))*('LY Sales '!$C$2:$AG$2&lt;=EDATE($BZ$6,-12))*('LY Sales '!$C$5:$AG$200&gt;0)))</f>
        <v>0</v>
      </c>
      <c r="BM125" cm="1">
        <f t="array" ref="BM125">IF(NOT(ISNUMBER($BG125)),0,SUMPRODUCT(('TY Sales Target'!$K$2:$AO$2&gt;=$BZ$5)*('TY Sales Target'!$K$2:$AO$2&lt;=$BZ$6),INDEX('TY Sales Target'!$K$5:$AO$300,$BG125,0)))</f>
        <v>0</v>
      </c>
      <c r="BN125" cm="1">
        <f t="array" ref="BN125">IF(NOT(ISNUMBER($BG125)),0,SUMPRODUCT(('TY Sales Target'!$K$2:$AO$2&gt;=$BZ$5)*('TY Sales Target'!$K$2:$AO$2&lt;=$BZ$7),INDEX('TY Sales Target'!$K$5:$AO$300,$BG125,0)))</f>
        <v>0</v>
      </c>
      <c r="BO125" cm="1">
        <f t="array" ref="BO125">IF($AW125="",0,IFERROR(_xlfn.SWITCH($BP125,"LY trend",$BI125*$BK125/$BJ125,"Target curve",$BI125*$BN125/$BM125,"Run rate",$BI125/$BZ$8*$BZ$9,0),0))</f>
        <v>0</v>
      </c>
      <c r="BP125" t="str">
        <f t="shared" si="59"/>
        <v/>
      </c>
      <c r="CB125" cm="1">
        <f t="array" ref="CB125">IF($AW125="",0,_xlfn.LET(_xlpm.k,IFERROR(_xlfn.XLOOKUP($AW125,$CD$6:$CD$21,$CE$6:$CE$21),$AW125),SUMPRODUCT((TRIM('Makeup '!$A$2:$A$300&amp;"")=_xlpm.k)*1,IFERROR('Makeup '!$F$2:$F$300*1,0))))</f>
        <v>0</v>
      </c>
      <c r="CF125" t="str" cm="1">
        <f t="array" ref="CF125">IF($AW125="","",_xlfn.LET(_xlpm.c,IFERROR(TRIM(INDEX('Sales and count'!$B$4:$B$300,$BF125)&amp;""),""),IF(OR(_xlpm.c="",_xlpm.c="0",LEFT(_xlpm.c,1)="#"),"Not set",_xlpm.c)))</f>
        <v/>
      </c>
      <c r="CH125" cm="1">
        <f t="array" ref="CH125">IF($AW125="",0,_xlfn.LET(_xlpm.k,IFERROR(_xlfn.XLOOKUP($AW125,$CD$6:$CD$21,$CE$6:$CE$21),$AW125),--(SUMPRODUCT((TRIM('Makeup '!$A$2:$A$300&amp;"")=_xlpm.k)*ISNUMBER('Makeup '!$F$2:$F$300))&gt;0)))</f>
        <v>0</v>
      </c>
      <c r="CI125">
        <f t="shared" si="62"/>
        <v>0</v>
      </c>
      <c r="CJ125" cm="1">
        <f t="array" ref="CJ125">IF($AW125="",0,--(SUMPRODUCT(--(TRIM(Footfall!$B$5:$B$301)=$AW125))&gt;0))</f>
        <v>0</v>
      </c>
      <c r="CK125" s="8" cm="1">
        <f t="array" ref="CK125">IF($AW125="",0,_xlfn.LET(_xlpm.r,IFERROR(MATCH(IFERROR(_xlfn.XLOOKUP($AW125,$BT$5:$BT$22,$BU$5:$BU$22),$AW125),TRIM('TY Beauty Target'!$B$5:$B$300&amp;""),0),""),IF(ISNUMBER(_xlpm.r),SUMPRODUCT(('TY Beauty Target'!$L$2:$AP$2&gt;=$U$4)*('TY Beauty Target'!$L$2:$AP$2&lt;=$U$5),INDEX('TY Beauty Target'!$L$5:$AP$300,_xlpm.r,0)),0)))</f>
        <v>0</v>
      </c>
    </row>
    <row r="126" spans="1:89" ht="15" customHeight="1" x14ac:dyDescent="0.25">
      <c r="A126" s="38" t="str">
        <f t="shared" ref="A126:A157" si="79">IF($AI126="","",IF(LEFT($AI126,2)="C|",MID($AI126,3,200),IF($AI126="CT","Total (selection)",IF(LEFT($AI126,3)="AM|",MID($AI126,4,200),IF(LEFT($AI126,2)="S|",MID($AI126,3,200),IF($AI126="HDR","Name",IF($AI126="SEC","AREA MANAGER → STORES","")))))))</f>
        <v/>
      </c>
      <c r="B126" s="43" t="str" cm="1">
        <f t="array" ref="B126">IF($AI126="","",IF(LEFT($AI126,2)="C|",IF($C126="","",_xlfn.TEXTJOIN(", ",TRUE,_xlfn.UNIQUE(_xlfn._xlws.FILTER($AN$5:$AN$302,($AP$5:$AP$302=1)*($AO$5:$AO$302=$A126))))),IF($AI126="CT",B$13,IF(LEFT($AI126,3)="AM|",IF($C126="","",ROWS(_xlfn.UNIQUE(_xlfn._xlws.FILTER($AO$5:$AO$302,($AP$5:$AP$302=1)*($AN$5:$AN$302=$A126))))),IF(LEFT($AI126,2)="S|",IF($AG126="","",INDEX($AO$5:$AO$302,$AH126)),IF($AI126="HDR","City",""))))))</f>
        <v/>
      </c>
      <c r="C126" s="39" t="str" cm="1">
        <f t="array" ref="C126">IF($AI126="","",IF(LEFT($AI126,2)="C|",_xlfn.LET(_xlpm.n,SUMPRODUCT($AP$5:$AP$302*($AO$5:$AO$302=$A126)),IF(_xlpm.n=0,"",_xlpm.n)),IF($AI126="CT",C$13,IF(LEFT($AI126,3)="AM|",_xlfn.LET(_xlpm.n,SUMPRODUCT($AP$5:$AP$302*($AN$5:$AN$302=$A126)),IF(_xlpm.n=0,"",_xlpm.n)),IF(LEFT($AI126,2)="S|","",IF($AI126="HDR","# Stores",""))))))</f>
        <v/>
      </c>
      <c r="D126" s="40" t="str" cm="1">
        <f t="array" ref="D126">IF($AI126="","",IF(LEFT($AI126,2)="C|",IF($C126="","",SUMPRODUCT($AP$5:$AP$302*($AO$5:$AO$302=$A126),$AR$5:$AR$302)),IF($AI126="CT",D$13,IF(LEFT($AI126,3)="AM|",IF($C126="","",SUMPRODUCT($AP$5:$AP$302*($AN$5:$AN$302=$A126),$AR$5:$AR$302)),IF(LEFT($AI126,2)="S|",IF($AG126="","",INDEX($AR$5:$AR$302,$AH126)),IF($AI126="HDR","Sales TY",""))))))</f>
        <v/>
      </c>
      <c r="E126" s="40" t="str" cm="1">
        <f t="array" ref="E126">IF($AI126="","",IF(LEFT($AI126,2)="C|",IF($C126="","",SUMPRODUCT($AP$5:$AP$302*($AO$5:$AO$302=$A126),$AT$5:$AT$302)),IF($AI126="CT",E$13,IF(LEFT($AI126,3)="AM|",IF($C126="","",SUMPRODUCT($AP$5:$AP$302*($AN$5:$AN$302=$A126),$AT$5:$AT$302)),IF(LEFT($AI126,2)="S|",IF($AG126="","",INDEX($AT$5:$AT$302,$AH126)),IF($AI126="HDR","Sales LY",""))))))</f>
        <v/>
      </c>
      <c r="F126" s="41" t="str">
        <f t="shared" ref="F126:F157" si="80">IF($AI126="","",IF(LEFT($AI126,2)="C|",IF($C126="","",IFERROR(AE126/E126-1,"")),IF($AI126="CT",F$13,IF(LEFT($AI126,3)="AM|",IF($C126="","",IFERROR(AE126/E126-1,"")),IF(LEFT($AI126,2)="S|",IF($AG126="","",IFERROR(AE126/E126-1,"")),IF($AI126="HDR","LFL vs LY",""))))))</f>
        <v/>
      </c>
      <c r="G126" s="41" t="str">
        <f t="shared" ref="G126:G157" si="81">IF($AI126="","",IF(LEFT($AI126,2)="C|",IF(D126="","",IFERROR(D126/E126-1,"")),IF($AI126="CT",G$13,IF(LEFT($AI126,3)="AM|",IF(D126="","",IFERROR(D126/E126-1,"")),IF(LEFT($AI126,2)="S|",IF(D126="","",IFERROR(D126/E126-1,"")),IF($AI126="HDR","Total Growth",""))))))</f>
        <v/>
      </c>
      <c r="H126" s="40" t="str" cm="1">
        <f t="array" ref="H126">IF($AI126="","",IF(LEFT($AI126,2)="C|",IF($C126="","",SUMPRODUCT($AP$5:$AP$302*($AO$5:$AO$302=$A126),$AV$5:$AV$302)),IF($AI126="CT",H$13,IF(LEFT($AI126,3)="AM|",IF($C126="","",SUMPRODUCT($AP$5:$AP$302*($AN$5:$AN$302=$A126),$AV$5:$AV$302)),IF(LEFT($AI126,2)="S|",IF($AG126="","",INDEX($AV$5:$AV$302,$AH126)),IF($AI126="HDR","Target",""))))))</f>
        <v/>
      </c>
      <c r="I126" s="41" t="str">
        <f t="shared" ref="I126:I157" si="82">IF($AI126="","",IF(LEFT($AI126,2)="C|",IF($C126="","",IFERROR(D126/H126,"")),IF($AI126="CT",I$13,IF(LEFT($AI126,3)="AM|",IF($C126="","",IFERROR(D126/H126,"")),IF(LEFT($AI126,2)="S|",IF($AG126="","",IFERROR(D126/H126,"")),IF($AI126="HDR","Ach. %",""))))))</f>
        <v/>
      </c>
      <c r="J126" s="40" t="str">
        <f t="shared" ref="J126:J157" si="83">IF($AI126="","",IF(LEFT($AI126,2)="C|",IF($C126="","",IF(H126=0,"",D126-H126)),IF($AI126="CT",J$13,IF(LEFT($AI126,3)="AM|",IF($C126="","",IF(H126=0,"",D126-H126)),IF(LEFT($AI126,2)="S|",IF($AG126="","",IF(H126=0,"",D126-H126)),IF($AI126="HDR","Var Target",""))))))</f>
        <v/>
      </c>
      <c r="K126" s="41" t="str">
        <f t="shared" ref="K126:K157" si="84">IF($AI126="","",IF(LEFT($AI126,2)="C|",IF($C126="","",IFERROR(D126/$D$13,"")),IF($AI126="CT",K$13,IF(LEFT($AI126,3)="AM|",IF($C126="","",IFERROR(D126/$D$13,"")),IF(LEFT($AI126,2)="S|",IF($AG126="","",IFERROR(D126/$D$13,"")),IF($AI126="HDR","% Share",""))))))</f>
        <v/>
      </c>
      <c r="L126" s="40" t="str" cm="1">
        <f t="array" ref="L126">IF($AI126="","",IF(LEFT($AI126,2)="C|",IF($C126="","",SUMPRODUCT($AP$5:$AP$302*($AO$5:$AO$302=$A126),$BN$5:$BN$302)),IF($AI126="CT",L$13,IF(LEFT($AI126,3)="AM|",IF($C126="","",SUMPRODUCT($AP$5:$AP$302*($AN$5:$AN$302=$A126),$BN$5:$BN$302)),IF(LEFT($AI126,2)="S|",IF($AG126="","",INDEX($BN$5:$BN$302,$AH126)),IF($AI126="HDR","Month Target",""))))))</f>
        <v/>
      </c>
      <c r="M126" s="40" t="str" cm="1">
        <f t="array" ref="M126">IF($AI126="","",IF(LEFT($AI126,2)="C|",IF($C126="","",SUMPRODUCT($AP$5:$AP$302*($AO$5:$AO$302=$A126),$BO$5:$BO$302)),IF($AI126="CT",M$13,IF(LEFT($AI126,3)="AM|",IF($C126="","",SUMPRODUCT($AP$5:$AP$302*($AN$5:$AN$302=$A126),$BO$5:$BO$302)),IF(LEFT($AI126,2)="S|",IF($AG126="","",INDEX($BO$5:$BO$302,$AH126)),IF($AI126="HDR","Projected Close",""))))))</f>
        <v/>
      </c>
      <c r="N126" s="41" t="str">
        <f t="shared" si="76"/>
        <v/>
      </c>
      <c r="O126" s="41" t="str" cm="1">
        <f t="array" ref="O126">IF($AI126="HDR","Proj. vs LY",IF(OR($AI126="",M126=""),"",_xlfn.LET(_xlpm.ly,IF(LEFT($AI126,2)="C|",SUMPRODUCT($AP$5:$AP$302*($AO$5:$AO$302=$A126),$BK$5:$BK$302),IF($AI126="CT",SUMPRODUCT($AP$5:$AP$302,$BK$5:$BK$302),IF(LEFT($AI126,3)="AM|",SUMPRODUCT($AP$5:$AP$302*($AN$5:$AN$302=$A126),$BK$5:$BK$302),IF(LEFT($AI126,2)="S|",INDEX($BK$5:$BK$302,$AH126),0)))),IFERROR(M126/_xlpm.ly-1,""))))</f>
        <v/>
      </c>
      <c r="P126" s="40" t="str" cm="1">
        <f t="array" ref="P126">IF($AI126="","",IF(LEFT($AI126,2)="C|",IF($C126="","",SUMPRODUCT($AP$5:$AP$302*($AO$5:$AO$302=$A126),$AS$5:$AS$302)),IF($AI126="CT",P$13,IF(LEFT($AI126,3)="AM|",IF($C126="","",SUMPRODUCT($AP$5:$AP$302*($AN$5:$AN$302=$A126),$AS$5:$AS$302)),IF(LEFT($AI126,2)="S|",IF($AG126="","",INDEX($AS$5:$AS$302,$AH126)),IF($AI126="HDR","Trans TY",""))))))</f>
        <v/>
      </c>
      <c r="Q126" s="40" t="str" cm="1">
        <f t="array" ref="Q126">IF($AI126="","",IF(LEFT($AI126,2)="C|",IF($C126="","",SUMPRODUCT($AP$5:$AP$302*($AO$5:$AO$302=$A126),$AU$5:$AU$302)),IF($AI126="CT",Q$13,IF(LEFT($AI126,3)="AM|",IF($C126="","",SUMPRODUCT($AP$5:$AP$302*($AN$5:$AN$302=$A126),$AU$5:$AU$302)),IF(LEFT($AI126,2)="S|",IF($AG126="","",INDEX($AU$5:$AU$302,$AH126)),IF($AI126="HDR","Trans LY",""))))))</f>
        <v/>
      </c>
      <c r="R126" s="41" t="str">
        <f t="shared" ref="R126:R157" si="85">IF($AI126="","",IF(LEFT($AI126,2)="C|",IF($C126="","",IFERROR(AF126/Q126-1,"")),IF($AI126="CT",R$13,IF(LEFT($AI126,3)="AM|",IF($C126="","",IFERROR(AF126/Q126-1,"")),IF(LEFT($AI126,2)="S|",IF($AG126="","",IFERROR(AF126/Q126-1,"")),IF($AI126="HDR","Trans LFL",""))))))</f>
        <v/>
      </c>
      <c r="S126" s="41" t="str">
        <f t="shared" ref="S126:S157" si="86">IF($AI126="","",IF(LEFT($AI126,2)="C|",IF(P126="","",IFERROR(P126/Q126-1,"")),IF($AI126="CT",S$13,IF(LEFT($AI126,3)="AM|",IF(P126="","",IFERROR(P126/Q126-1,"")),IF(LEFT($AI126,2)="S|",IF(P126="","",IFERROR(P126/Q126-1,"")),IF($AI126="HDR","Trans Growth",""))))))</f>
        <v/>
      </c>
      <c r="T126" s="42" t="str">
        <f t="shared" ref="T126:T157" si="87">IF($AI126="","",IF(LEFT($AI126,2)="C|",IF($C126="","",IFERROR(D126/P126,"")),IF($AI126="CT",T$13,IF(LEFT($AI126,3)="AM|",IF($C126="","",IFERROR(D126/P126,"")),IF(LEFT($AI126,2)="S|",IF($AG126="","",IFERROR(D126/P126,"")),IF($AI126="HDR","ATV TY",""))))))</f>
        <v/>
      </c>
      <c r="U126" s="42" t="str">
        <f t="shared" ref="U126:U157" si="88">IF($AI126="","",IF(LEFT($AI126,2)="C|",IF($C126="","",IFERROR(E126/Q126,"")),IF($AI126="CT",U$13,IF(LEFT($AI126,3)="AM|",IF($C126="","",IFERROR(E126/Q126,"")),IF(LEFT($AI126,2)="S|",IF($AG126="","",IFERROR(E126/Q126,"")),IF($AI126="HDR","ATV LY",""))))))</f>
        <v/>
      </c>
      <c r="V126" s="41" t="str">
        <f t="shared" ref="V126:V157" si="89">IF($AI126="","",IF(LEFT($AI126,2)="C|",IF($C126="","",IFERROR((AE126/AF126)/U126-1,"")),IF($AI126="CT",V$13,IF(LEFT($AI126,3)="AM|",IF($C126="","",IFERROR((AE126/AF126)/U126-1,"")),IF(LEFT($AI126,2)="S|",IF($AG126="","",IFERROR((AE126/AF126)/U126-1,"")),IF($AI126="HDR","ATV LFL",""))))))</f>
        <v/>
      </c>
      <c r="W126" s="40" t="str" cm="1">
        <f t="array" ref="W126">IF($AI126="","",IF(LEFT($AI126,2)="C|",_xlfn.LET(_xlpm.n,SUMPRODUCT($AP$5:$AP$302*($AO$5:$AO$302=$A126),$BB$5:$BB$302),IF(_xlpm.n=0,"",_xlpm.n)),IF($AI126="CT",W$13,IF(LEFT($AI126,3)="AM|",_xlfn.LET(_xlpm.n,SUMPRODUCT($AP$5:$AP$302*($AN$5:$AN$302=$A126),$BB$5:$BB$302),IF(_xlpm.n=0,"",_xlpm.n)),IF(LEFT($AI126,2)="S|",IF($AG126="","",_xlfn.LET(_xlpm.n,INDEX($BB$5:$BB$302,$AH126),IF(_xlpm.n=0,"",_xlpm.n))),IF($AI126="HDR","Footfall",""))))))</f>
        <v/>
      </c>
      <c r="X126" s="40" t="str" cm="1">
        <f t="array" ref="X126">IF($AI126="","",IF($AI126="HDR","Trans (FF stores)",IF(W126="","",IF(LEFT($AI126,2)="C|",SUMPRODUCT($AP$5:$AP$302*($AO$5:$AO$302=$A126),$BC$5:$BC$302),IF($AI126="CT",X$13,IF(LEFT($AI126,3)="AM|",SUMPRODUCT($AP$5:$AP$302*($AN$5:$AN$302=$A126),$BC$5:$BC$302),IF(LEFT($AI126,2)="S|",INDEX($BC$5:$BC$302,$AH126),"")))))))</f>
        <v/>
      </c>
      <c r="Y126" s="41" t="str">
        <f t="shared" si="77"/>
        <v/>
      </c>
      <c r="Z126" s="40" t="str" cm="1">
        <f t="array" ref="Z126">IF($AI126="","",IF(LEFT($AI126,2)="C|",IF($C126="","",SUMPRODUCT($AP$5:$AP$302*($AO$5:$AO$302=$A126),$CB$5:$CB$302)),IF($AI126="CT",Z$13,IF(LEFT($AI126,3)="AM|",IF($C126="","",SUMPRODUCT($AP$5:$AP$302*($AN$5:$AN$302=$A126),$CB$5:$CB$302)),IF(LEFT($AI126,2)="S|",IF($AG126="","",INDEX($CB$5:$CB$302,$AH126)),IF($AI126="HDR","Makeup Sales",""))))))</f>
        <v/>
      </c>
      <c r="AA126" s="41" t="str">
        <f t="shared" ref="AA126:AA157" si="90">IF($AI126="HDR","Makeup % of Sales",IF(OR(Z126="",AD126=""),"",IFERROR(Z126/AD126,"")))</f>
        <v/>
      </c>
      <c r="AB126" s="40" t="str" cm="1">
        <f t="array" ref="AB126">IF($AI126="","",IF(LEFT($AI126,2)="C|",IF($C126="","",SUMPRODUCT($AP$5:$AP$302*($AO$5:$AO$302=$A126),$CK$5:$CK$302)),IF($AI126="CT",AB$13,IF(LEFT($AI126,3)="AM|",IF($C126="","",SUMPRODUCT($AP$5:$AP$302*($AN$5:$AN$302=$A126),$CK$5:$CK$302)),IF(LEFT($AI126,2)="S|",IF($AG126="","",INDEX($CK$5:$CK$302,$AH126)),IF($AI126="HDR","Makeup Target",""))))))</f>
        <v/>
      </c>
      <c r="AC126" s="41" t="str">
        <f t="shared" si="78"/>
        <v/>
      </c>
      <c r="AD126" s="40" t="str" cm="1">
        <f t="array" ref="AD126">IF($AI126="","",IF(LEFT($AI126,2)="C|",IF($C126="","",SUMPRODUCT($AP$5:$AP$302*($AO$5:$AO$302=$A126),$CI$5:$CI$302)),IF($AI126="CT",AD$13,IF(LEFT($AI126,3)="AM|",IF($C126="","",SUMPRODUCT($AP$5:$AP$302*($AN$5:$AN$302=$A126),$CI$5:$CI$302)),IF(LEFT($AI126,2)="S|",IF($AG126="","",INDEX($CI$5:$CI$302,$AH126)),IF($AI126="HDR","Cosmetic Sales",""))))))</f>
        <v/>
      </c>
      <c r="AE126" s="8" t="str" cm="1">
        <f t="array" ref="AE126">IF($AI126="","",IF(LEFT($AI126,2)="C|",IF($C126="","",SUMPRODUCT($AP$5:$AP$302*($AO$5:$AO$302=$A126)*$AQ$5:$AQ$302,$AR$5:$AR$302)),IF($AI126="CT",AE$13,IF(LEFT($AI126,3)="AM|",IF($C126="","",SUMPRODUCT($AP$5:$AP$302*($AN$5:$AN$302=$A126)*$AQ$5:$AQ$302,$AR$5:$AR$302)),IF(LEFT($AI126,2)="S|",IF($AG126="","",IF(INDEX($AQ$5:$AQ$302,$AH126)=1,D126,0)),IF($AI126="HDR","LFL Sales",""))))))</f>
        <v/>
      </c>
      <c r="AF126" s="8" t="str" cm="1">
        <f t="array" ref="AF126">IF($AI126="","",IF(LEFT($AI126,2)="C|",IF($C126="","",SUMPRODUCT($AP$5:$AP$302*($AO$5:$AO$302=$A126)*$AQ$5:$AQ$302,$AS$5:$AS$302)),IF($AI126="CT",AF$13,IF(LEFT($AI126,3)="AM|",IF($C126="","",SUMPRODUCT($AP$5:$AP$302*($AN$5:$AN$302=$A126)*$AQ$5:$AQ$302,$AS$5:$AS$302)),IF(LEFT($AI126,2)="S|",IF($AG126="","",IF(INDEX($AQ$5:$AQ$302,$AH126)=1,P126,0)),IF($AI126="HDR","LFL Trans",""))))))</f>
        <v/>
      </c>
      <c r="AG126" s="8" t="str" cm="1">
        <f t="array" ref="AG126">IF($AI126="","",IF(LEFT($AI126,2)="C|","",IF($AI126="CT","",IF(LEFT($AI126,3)="AM|","",IF(LEFT($AI126,2)="S|",IF($AH126="","",IF(INDEX($AP$5:$AP$302,$AH126)=1,1,"")),IF($AI126="HDR","Show",""))))))</f>
        <v/>
      </c>
      <c r="AH126" s="8" t="str">
        <f t="shared" ref="AH126:AH157" si="91">IF($AI126="","",IF(LEFT($AI126,2)="C|","",IF($AI126="CT","",IF(LEFT($AI126,3)="AM|","",IF(LEFT($AI126,2)="S|",IFERROR(MATCH($A126,$AW$5:$AW$302,0),""),IF($AI126="HDR","Src Row",""))))))</f>
        <v/>
      </c>
      <c r="AI126" s="8"/>
      <c r="AN126" s="8" t="str" cm="1">
        <f t="array" ref="AN126">IF($AW126="","",_xlfn.LET(_xlpm.sa,IFERROR(TRIM(INDEX('Sales and count'!$D$4:$D$300,$BF126)&amp;""),""),_xlpm.ta,IFERROR(TRIM(INDEX('TY Sales Target'!$F$5:$F$300,$BG126)&amp;""),""),IF(AND(_xlpm.sa&lt;&gt;"",LEFT(_xlpm.sa,1)&lt;&gt;"#",_xlpm.sa&lt;&gt;"0"),_xlpm.sa,IF(AND(_xlpm.ta&lt;&gt;"",LEFT(_xlpm.ta,1)&lt;&gt;"#",_xlpm.ta&lt;&gt;"0"),_xlpm.ta,IF(ISNUMBER($BG126),"Unassigned","")))))</f>
        <v/>
      </c>
      <c r="AO126" s="8" t="str" cm="1">
        <f t="array" ref="AO126">IF($AW126="","",_xlfn.LET(_xlpm.sa,IFERROR(TRIM(INDEX('Sales and count'!$C$4:$C$300,$BF126)&amp;""),""),_xlpm.ta,IFERROR(TRIM(INDEX('TY Sales Target'!$D$5:$D$300,$BG126)&amp;""),""),IF(AND(_xlpm.sa&lt;&gt;"",LEFT(_xlpm.sa,1)&lt;&gt;"#",_xlpm.sa&lt;&gt;"0"),_xlpm.sa,IF(AND(_xlpm.ta&lt;&gt;"",LEFT(_xlpm.ta,1)&lt;&gt;"#",_xlpm.ta&lt;&gt;"0"),_xlpm.ta,""))))</f>
        <v/>
      </c>
      <c r="AP126" s="8">
        <f t="shared" si="60"/>
        <v>0</v>
      </c>
      <c r="AQ126" s="8">
        <f t="shared" si="61"/>
        <v>0</v>
      </c>
      <c r="AR126" s="8" cm="1">
        <f t="array" ref="AR126">IF($BF126="",0,_xlfn.LET(_xlpm.d,IFERROR(--'Sales and count'!$G$2:$CC$2,0),SUMPRODUCT(('Sales and count'!$G$3:$CC$3="Total")*(_xlpm.d&gt;=$U$4)*(_xlpm.d&lt;=$U$5),INDEX('Sales and count'!$G$4:$CC$300,$BF126,0))))</f>
        <v>0</v>
      </c>
      <c r="AS126" s="8" cm="1">
        <f t="array" ref="AS126">IF($BF126="",0,_xlfn.LET(_xlpm.d,IFERROR(--'Sales and count'!$F$2:$CB$2,0),SUMPRODUCT(('Sales and count'!$G$3:$CC$3="Transactions")*(_xlpm.d&gt;=$U$4)*(_xlpm.d&lt;=$U$5),INDEX('Sales and count'!$G$4:$CC$300,$BF126,0))))</f>
        <v>0</v>
      </c>
      <c r="AT126" s="8" cm="1">
        <f t="array" ref="AT126">IF($AW126="",0,SUMPRODUCT((TRIM('LY Sales '!$B$5:$B$200)=$AW126)*('LY Sales '!$C$2:$AG$2&gt;=EDATE($U$4,-12))*('LY Sales '!$C$2:$AG$2&lt;=EDATE($U$5,-12)),'LY Sales '!$C$5:$AG$200))</f>
        <v>0</v>
      </c>
      <c r="AU126" s="8" cm="1">
        <f t="array" ref="AU126">IF($AW126="",0,SUMPRODUCT((TRIM('LY Transaction'!$B$5:$B$200)=$AW126)*('LY Transaction'!$C$2:$AG$2&gt;=EDATE($U$4,-12))*('LY Transaction'!$C$2:$AG$2&lt;=EDATE($U$5,-12)),'LY Transaction'!$C$5:$AG$200))</f>
        <v>0</v>
      </c>
      <c r="AV126" s="8" cm="1">
        <f t="array" ref="AV126">IF(NOT(ISNUMBER($BG126)),0,SUMPRODUCT(('TY Sales Target'!$K$2:$AO$2&gt;=$U$4)*('TY Sales Target'!$K$2:$AO$2&lt;=$U$5),INDEX('TY Sales Target'!$K$5:$AO$300,$BG126,0)))</f>
        <v>0</v>
      </c>
      <c r="AW126" s="8" t="str" cm="1">
        <f t="array" ref="AW126">IFERROR(INDEX(_xlfn.ANCHORARRAY($BR$5),ROWS($AW$5:AW126)),"")</f>
        <v/>
      </c>
      <c r="BB126" cm="1">
        <f t="array" ref="BB126">IF($AW126="",0,SUMPRODUCT((TRIM(Footfall!$B$5:$B$301)=$AW126)*(Footfall!$C$1:$BZ$1&gt;=$U$4)*(Footfall!$C$2:$BZ$2&lt;=$U$5)*(Footfall!$C$1:$BZ$1&lt;&gt;""),Footfall!$C$5:$BZ$301))</f>
        <v>0</v>
      </c>
      <c r="BC126" cm="1">
        <f t="array" ref="BC126">IF(OR($BB126&lt;=0,$BD$1="",$BF126=""),0,_xlfn.LET(_xlpm.d,IFERROR(--'Sales and count'!$F$2:$CB$2,0),SUMPRODUCT(('Sales and count'!$G$3:$CC$3="Transactions")*(_xlpm.d&gt;=$BD$1)*(_xlpm.d&lt;=$BD$2),INDEX('Sales and count'!$G$4:$CC$300,$BF126,0))))</f>
        <v>0</v>
      </c>
      <c r="BF126" t="str" cm="1">
        <f t="array" ref="BF126">IF($AW126="","",IFERROR(MATCH($AW126,TRIM('Sales and count'!$A$4:$A$300&amp;""),0),""))</f>
        <v/>
      </c>
      <c r="BG126" t="str" cm="1">
        <f t="array" ref="BG126">IF($AW126="","",IFERROR(MATCH(IFERROR(_xlfn.XLOOKUP($AW126,$BT$5:$BT$22,$BU$5:$BU$22),$AW126),TRIM('TY Sales Target'!$B$5:$B$300&amp;""),0),""))</f>
        <v/>
      </c>
      <c r="BH126" t="str" cm="1">
        <f t="array" ref="BH126">IF(ISNUMBER($BG126),_xlfn.LET(_xlpm.p,TRIM(INDEX('TY Sales Target'!$I$5:$I$300,$BG126)&amp;""),IF(_xlpm.p="","Not set",_xlpm.p)),"Not set")</f>
        <v>Not set</v>
      </c>
      <c r="BI126" cm="1">
        <f t="array" ref="BI126">IF($BF126="",0,_xlfn.LET(_xlpm.d,IFERROR(--'Sales and count'!$G$2:$CC$2,0),SUMPRODUCT(('Sales and count'!$G$3:$CC$3="Total")*(_xlpm.d&gt;=$BZ$5)*(_xlpm.d&lt;=$BZ$6),INDEX('Sales and count'!$G$4:$CC$300,$BF126,0))))</f>
        <v>0</v>
      </c>
      <c r="BJ126" cm="1">
        <f t="array" ref="BJ126">IF($AW126="",0,SUMPRODUCT((TRIM('LY Sales '!$B$5:$B$200)=$AW126)*('LY Sales '!$C$2:$AG$2&gt;=EDATE($BZ$5,-12))*('LY Sales '!$C$2:$AG$2&lt;=EDATE($BZ$6,-12)),'LY Sales '!$C$5:$AG$200))</f>
        <v>0</v>
      </c>
      <c r="BK126" cm="1">
        <f t="array" ref="BK126">IF($AW126="",0,SUMPRODUCT((TRIM('LY Sales '!$B$5:$B$200)=$AW126)*('LY Sales '!$C$2:$AG$2&gt;=EDATE($BZ$5,-12))*('LY Sales '!$C$2:$AG$2&lt;=EDATE($BZ$7,-12)),'LY Sales '!$C$5:$AG$200))</f>
        <v>0</v>
      </c>
      <c r="BL126" cm="1">
        <f t="array" ref="BL126">IF($AW126="",0,SUMPRODUCT((TRIM('LY Sales '!$B$5:$B$200)=$AW126)*('LY Sales '!$C$2:$AG$2&gt;=EDATE($BZ$5,-12))*('LY Sales '!$C$2:$AG$2&lt;=EDATE($BZ$6,-12))*('LY Sales '!$C$5:$AG$200&gt;0)))</f>
        <v>0</v>
      </c>
      <c r="BM126" cm="1">
        <f t="array" ref="BM126">IF(NOT(ISNUMBER($BG126)),0,SUMPRODUCT(('TY Sales Target'!$K$2:$AO$2&gt;=$BZ$5)*('TY Sales Target'!$K$2:$AO$2&lt;=$BZ$6),INDEX('TY Sales Target'!$K$5:$AO$300,$BG126,0)))</f>
        <v>0</v>
      </c>
      <c r="BN126" cm="1">
        <f t="array" ref="BN126">IF(NOT(ISNUMBER($BG126)),0,SUMPRODUCT(('TY Sales Target'!$K$2:$AO$2&gt;=$BZ$5)*('TY Sales Target'!$K$2:$AO$2&lt;=$BZ$7),INDEX('TY Sales Target'!$K$5:$AO$300,$BG126,0)))</f>
        <v>0</v>
      </c>
      <c r="BO126" cm="1">
        <f t="array" ref="BO126">IF($AW126="",0,IFERROR(_xlfn.SWITCH($BP126,"LY trend",$BI126*$BK126/$BJ126,"Target curve",$BI126*$BN126/$BM126,"Run rate",$BI126/$BZ$8*$BZ$9,0),0))</f>
        <v>0</v>
      </c>
      <c r="BP126" t="str">
        <f t="shared" si="59"/>
        <v/>
      </c>
      <c r="CB126" cm="1">
        <f t="array" ref="CB126">IF($AW126="",0,_xlfn.LET(_xlpm.k,IFERROR(_xlfn.XLOOKUP($AW126,$CD$6:$CD$21,$CE$6:$CE$21),$AW126),SUMPRODUCT((TRIM('Makeup '!$A$2:$A$300&amp;"")=_xlpm.k)*1,IFERROR('Makeup '!$F$2:$F$300*1,0))))</f>
        <v>0</v>
      </c>
      <c r="CF126" t="str" cm="1">
        <f t="array" ref="CF126">IF($AW126="","",_xlfn.LET(_xlpm.c,IFERROR(TRIM(INDEX('Sales and count'!$B$4:$B$300,$BF126)&amp;""),""),IF(OR(_xlpm.c="",_xlpm.c="0",LEFT(_xlpm.c,1)="#"),"Not set",_xlpm.c)))</f>
        <v/>
      </c>
      <c r="CH126" cm="1">
        <f t="array" ref="CH126">IF($AW126="",0,_xlfn.LET(_xlpm.k,IFERROR(_xlfn.XLOOKUP($AW126,$CD$6:$CD$21,$CE$6:$CE$21),$AW126),--(SUMPRODUCT((TRIM('Makeup '!$A$2:$A$300&amp;"")=_xlpm.k)*ISNUMBER('Makeup '!$F$2:$F$300))&gt;0)))</f>
        <v>0</v>
      </c>
      <c r="CI126">
        <f t="shared" si="62"/>
        <v>0</v>
      </c>
      <c r="CJ126" cm="1">
        <f t="array" ref="CJ126">IF($AW126="",0,--(SUMPRODUCT(--(TRIM(Footfall!$B$5:$B$301)=$AW126))&gt;0))</f>
        <v>0</v>
      </c>
      <c r="CK126" s="8" cm="1">
        <f t="array" ref="CK126">IF($AW126="",0,_xlfn.LET(_xlpm.r,IFERROR(MATCH(IFERROR(_xlfn.XLOOKUP($AW126,$BT$5:$BT$22,$BU$5:$BU$22),$AW126),TRIM('TY Beauty Target'!$B$5:$B$300&amp;""),0),""),IF(ISNUMBER(_xlpm.r),SUMPRODUCT(('TY Beauty Target'!$L$2:$AP$2&gt;=$U$4)*('TY Beauty Target'!$L$2:$AP$2&lt;=$U$5),INDEX('TY Beauty Target'!$L$5:$AP$300,_xlpm.r,0)),0)))</f>
        <v>0</v>
      </c>
    </row>
    <row r="127" spans="1:89" ht="15" customHeight="1" x14ac:dyDescent="0.25">
      <c r="A127" s="38" t="str">
        <f t="shared" si="79"/>
        <v/>
      </c>
      <c r="B127" s="43" t="str" cm="1">
        <f t="array" ref="B127">IF($AI127="","",IF(LEFT($AI127,2)="C|",IF($C127="","",_xlfn.TEXTJOIN(", ",TRUE,_xlfn.UNIQUE(_xlfn._xlws.FILTER($AN$5:$AN$302,($AP$5:$AP$302=1)*($AO$5:$AO$302=$A127))))),IF($AI127="CT",B$13,IF(LEFT($AI127,3)="AM|",IF($C127="","",ROWS(_xlfn.UNIQUE(_xlfn._xlws.FILTER($AO$5:$AO$302,($AP$5:$AP$302=1)*($AN$5:$AN$302=$A127))))),IF(LEFT($AI127,2)="S|",IF($AG127="","",INDEX($AO$5:$AO$302,$AH127)),IF($AI127="HDR","City",""))))))</f>
        <v/>
      </c>
      <c r="C127" s="39" t="str" cm="1">
        <f t="array" ref="C127">IF($AI127="","",IF(LEFT($AI127,2)="C|",_xlfn.LET(_xlpm.n,SUMPRODUCT($AP$5:$AP$302*($AO$5:$AO$302=$A127)),IF(_xlpm.n=0,"",_xlpm.n)),IF($AI127="CT",C$13,IF(LEFT($AI127,3)="AM|",_xlfn.LET(_xlpm.n,SUMPRODUCT($AP$5:$AP$302*($AN$5:$AN$302=$A127)),IF(_xlpm.n=0,"",_xlpm.n)),IF(LEFT($AI127,2)="S|","",IF($AI127="HDR","# Stores",""))))))</f>
        <v/>
      </c>
      <c r="D127" s="40" t="str" cm="1">
        <f t="array" ref="D127">IF($AI127="","",IF(LEFT($AI127,2)="C|",IF($C127="","",SUMPRODUCT($AP$5:$AP$302*($AO$5:$AO$302=$A127),$AR$5:$AR$302)),IF($AI127="CT",D$13,IF(LEFT($AI127,3)="AM|",IF($C127="","",SUMPRODUCT($AP$5:$AP$302*($AN$5:$AN$302=$A127),$AR$5:$AR$302)),IF(LEFT($AI127,2)="S|",IF($AG127="","",INDEX($AR$5:$AR$302,$AH127)),IF($AI127="HDR","Sales TY",""))))))</f>
        <v/>
      </c>
      <c r="E127" s="40" t="str" cm="1">
        <f t="array" ref="E127">IF($AI127="","",IF(LEFT($AI127,2)="C|",IF($C127="","",SUMPRODUCT($AP$5:$AP$302*($AO$5:$AO$302=$A127),$AT$5:$AT$302)),IF($AI127="CT",E$13,IF(LEFT($AI127,3)="AM|",IF($C127="","",SUMPRODUCT($AP$5:$AP$302*($AN$5:$AN$302=$A127),$AT$5:$AT$302)),IF(LEFT($AI127,2)="S|",IF($AG127="","",INDEX($AT$5:$AT$302,$AH127)),IF($AI127="HDR","Sales LY",""))))))</f>
        <v/>
      </c>
      <c r="F127" s="41" t="str">
        <f t="shared" si="80"/>
        <v/>
      </c>
      <c r="G127" s="41" t="str">
        <f t="shared" si="81"/>
        <v/>
      </c>
      <c r="H127" s="40" t="str" cm="1">
        <f t="array" ref="H127">IF($AI127="","",IF(LEFT($AI127,2)="C|",IF($C127="","",SUMPRODUCT($AP$5:$AP$302*($AO$5:$AO$302=$A127),$AV$5:$AV$302)),IF($AI127="CT",H$13,IF(LEFT($AI127,3)="AM|",IF($C127="","",SUMPRODUCT($AP$5:$AP$302*($AN$5:$AN$302=$A127),$AV$5:$AV$302)),IF(LEFT($AI127,2)="S|",IF($AG127="","",INDEX($AV$5:$AV$302,$AH127)),IF($AI127="HDR","Target",""))))))</f>
        <v/>
      </c>
      <c r="I127" s="41" t="str">
        <f t="shared" si="82"/>
        <v/>
      </c>
      <c r="J127" s="40" t="str">
        <f t="shared" si="83"/>
        <v/>
      </c>
      <c r="K127" s="41" t="str">
        <f t="shared" si="84"/>
        <v/>
      </c>
      <c r="L127" s="40" t="str" cm="1">
        <f t="array" ref="L127">IF($AI127="","",IF(LEFT($AI127,2)="C|",IF($C127="","",SUMPRODUCT($AP$5:$AP$302*($AO$5:$AO$302=$A127),$BN$5:$BN$302)),IF($AI127="CT",L$13,IF(LEFT($AI127,3)="AM|",IF($C127="","",SUMPRODUCT($AP$5:$AP$302*($AN$5:$AN$302=$A127),$BN$5:$BN$302)),IF(LEFT($AI127,2)="S|",IF($AG127="","",INDEX($BN$5:$BN$302,$AH127)),IF($AI127="HDR","Month Target",""))))))</f>
        <v/>
      </c>
      <c r="M127" s="40" t="str" cm="1">
        <f t="array" ref="M127">IF($AI127="","",IF(LEFT($AI127,2)="C|",IF($C127="","",SUMPRODUCT($AP$5:$AP$302*($AO$5:$AO$302=$A127),$BO$5:$BO$302)),IF($AI127="CT",M$13,IF(LEFT($AI127,3)="AM|",IF($C127="","",SUMPRODUCT($AP$5:$AP$302*($AN$5:$AN$302=$A127),$BO$5:$BO$302)),IF(LEFT($AI127,2)="S|",IF($AG127="","",INDEX($BO$5:$BO$302,$AH127)),IF($AI127="HDR","Projected Close",""))))))</f>
        <v/>
      </c>
      <c r="N127" s="41" t="str">
        <f t="shared" si="76"/>
        <v/>
      </c>
      <c r="O127" s="41" t="str" cm="1">
        <f t="array" ref="O127">IF($AI127="HDR","Proj. vs LY",IF(OR($AI127="",M127=""),"",_xlfn.LET(_xlpm.ly,IF(LEFT($AI127,2)="C|",SUMPRODUCT($AP$5:$AP$302*($AO$5:$AO$302=$A127),$BK$5:$BK$302),IF($AI127="CT",SUMPRODUCT($AP$5:$AP$302,$BK$5:$BK$302),IF(LEFT($AI127,3)="AM|",SUMPRODUCT($AP$5:$AP$302*($AN$5:$AN$302=$A127),$BK$5:$BK$302),IF(LEFT($AI127,2)="S|",INDEX($BK$5:$BK$302,$AH127),0)))),IFERROR(M127/_xlpm.ly-1,""))))</f>
        <v/>
      </c>
      <c r="P127" s="40" t="str" cm="1">
        <f t="array" ref="P127">IF($AI127="","",IF(LEFT($AI127,2)="C|",IF($C127="","",SUMPRODUCT($AP$5:$AP$302*($AO$5:$AO$302=$A127),$AS$5:$AS$302)),IF($AI127="CT",P$13,IF(LEFT($AI127,3)="AM|",IF($C127="","",SUMPRODUCT($AP$5:$AP$302*($AN$5:$AN$302=$A127),$AS$5:$AS$302)),IF(LEFT($AI127,2)="S|",IF($AG127="","",INDEX($AS$5:$AS$302,$AH127)),IF($AI127="HDR","Trans TY",""))))))</f>
        <v/>
      </c>
      <c r="Q127" s="40" t="str" cm="1">
        <f t="array" ref="Q127">IF($AI127="","",IF(LEFT($AI127,2)="C|",IF($C127="","",SUMPRODUCT($AP$5:$AP$302*($AO$5:$AO$302=$A127),$AU$5:$AU$302)),IF($AI127="CT",Q$13,IF(LEFT($AI127,3)="AM|",IF($C127="","",SUMPRODUCT($AP$5:$AP$302*($AN$5:$AN$302=$A127),$AU$5:$AU$302)),IF(LEFT($AI127,2)="S|",IF($AG127="","",INDEX($AU$5:$AU$302,$AH127)),IF($AI127="HDR","Trans LY",""))))))</f>
        <v/>
      </c>
      <c r="R127" s="41" t="str">
        <f t="shared" si="85"/>
        <v/>
      </c>
      <c r="S127" s="41" t="str">
        <f t="shared" si="86"/>
        <v/>
      </c>
      <c r="T127" s="42" t="str">
        <f t="shared" si="87"/>
        <v/>
      </c>
      <c r="U127" s="42" t="str">
        <f t="shared" si="88"/>
        <v/>
      </c>
      <c r="V127" s="41" t="str">
        <f t="shared" si="89"/>
        <v/>
      </c>
      <c r="W127" s="40" t="str" cm="1">
        <f t="array" ref="W127">IF($AI127="","",IF(LEFT($AI127,2)="C|",_xlfn.LET(_xlpm.n,SUMPRODUCT($AP$5:$AP$302*($AO$5:$AO$302=$A127),$BB$5:$BB$302),IF(_xlpm.n=0,"",_xlpm.n)),IF($AI127="CT",W$13,IF(LEFT($AI127,3)="AM|",_xlfn.LET(_xlpm.n,SUMPRODUCT($AP$5:$AP$302*($AN$5:$AN$302=$A127),$BB$5:$BB$302),IF(_xlpm.n=0,"",_xlpm.n)),IF(LEFT($AI127,2)="S|",IF($AG127="","",_xlfn.LET(_xlpm.n,INDEX($BB$5:$BB$302,$AH127),IF(_xlpm.n=0,"",_xlpm.n))),IF($AI127="HDR","Footfall",""))))))</f>
        <v/>
      </c>
      <c r="X127" s="40" t="str" cm="1">
        <f t="array" ref="X127">IF($AI127="","",IF($AI127="HDR","Trans (FF stores)",IF(W127="","",IF(LEFT($AI127,2)="C|",SUMPRODUCT($AP$5:$AP$302*($AO$5:$AO$302=$A127),$BC$5:$BC$302),IF($AI127="CT",X$13,IF(LEFT($AI127,3)="AM|",SUMPRODUCT($AP$5:$AP$302*($AN$5:$AN$302=$A127),$BC$5:$BC$302),IF(LEFT($AI127,2)="S|",INDEX($BC$5:$BC$302,$AH127),"")))))))</f>
        <v/>
      </c>
      <c r="Y127" s="41" t="str">
        <f t="shared" si="77"/>
        <v/>
      </c>
      <c r="Z127" s="40" t="str" cm="1">
        <f t="array" ref="Z127">IF($AI127="","",IF(LEFT($AI127,2)="C|",IF($C127="","",SUMPRODUCT($AP$5:$AP$302*($AO$5:$AO$302=$A127),$CB$5:$CB$302)),IF($AI127="CT",Z$13,IF(LEFT($AI127,3)="AM|",IF($C127="","",SUMPRODUCT($AP$5:$AP$302*($AN$5:$AN$302=$A127),$CB$5:$CB$302)),IF(LEFT($AI127,2)="S|",IF($AG127="","",INDEX($CB$5:$CB$302,$AH127)),IF($AI127="HDR","Makeup Sales",""))))))</f>
        <v/>
      </c>
      <c r="AA127" s="41" t="str">
        <f t="shared" si="90"/>
        <v/>
      </c>
      <c r="AB127" s="40" t="str" cm="1">
        <f t="array" ref="AB127">IF($AI127="","",IF(LEFT($AI127,2)="C|",IF($C127="","",SUMPRODUCT($AP$5:$AP$302*($AO$5:$AO$302=$A127),$CK$5:$CK$302)),IF($AI127="CT",AB$13,IF(LEFT($AI127,3)="AM|",IF($C127="","",SUMPRODUCT($AP$5:$AP$302*($AN$5:$AN$302=$A127),$CK$5:$CK$302)),IF(LEFT($AI127,2)="S|",IF($AG127="","",INDEX($CK$5:$CK$302,$AH127)),IF($AI127="HDR","Makeup Target",""))))))</f>
        <v/>
      </c>
      <c r="AC127" s="41" t="str">
        <f t="shared" si="78"/>
        <v/>
      </c>
      <c r="AD127" s="40" t="str" cm="1">
        <f t="array" ref="AD127">IF($AI127="","",IF(LEFT($AI127,2)="C|",IF($C127="","",SUMPRODUCT($AP$5:$AP$302*($AO$5:$AO$302=$A127),$CI$5:$CI$302)),IF($AI127="CT",AD$13,IF(LEFT($AI127,3)="AM|",IF($C127="","",SUMPRODUCT($AP$5:$AP$302*($AN$5:$AN$302=$A127),$CI$5:$CI$302)),IF(LEFT($AI127,2)="S|",IF($AG127="","",INDEX($CI$5:$CI$302,$AH127)),IF($AI127="HDR","Cosmetic Sales",""))))))</f>
        <v/>
      </c>
      <c r="AE127" s="8" t="str" cm="1">
        <f t="array" ref="AE127">IF($AI127="","",IF(LEFT($AI127,2)="C|",IF($C127="","",SUMPRODUCT($AP$5:$AP$302*($AO$5:$AO$302=$A127)*$AQ$5:$AQ$302,$AR$5:$AR$302)),IF($AI127="CT",AE$13,IF(LEFT($AI127,3)="AM|",IF($C127="","",SUMPRODUCT($AP$5:$AP$302*($AN$5:$AN$302=$A127)*$AQ$5:$AQ$302,$AR$5:$AR$302)),IF(LEFT($AI127,2)="S|",IF($AG127="","",IF(INDEX($AQ$5:$AQ$302,$AH127)=1,D127,0)),IF($AI127="HDR","LFL Sales",""))))))</f>
        <v/>
      </c>
      <c r="AF127" s="8" t="str" cm="1">
        <f t="array" ref="AF127">IF($AI127="","",IF(LEFT($AI127,2)="C|",IF($C127="","",SUMPRODUCT($AP$5:$AP$302*($AO$5:$AO$302=$A127)*$AQ$5:$AQ$302,$AS$5:$AS$302)),IF($AI127="CT",AF$13,IF(LEFT($AI127,3)="AM|",IF($C127="","",SUMPRODUCT($AP$5:$AP$302*($AN$5:$AN$302=$A127)*$AQ$5:$AQ$302,$AS$5:$AS$302)),IF(LEFT($AI127,2)="S|",IF($AG127="","",IF(INDEX($AQ$5:$AQ$302,$AH127)=1,P127,0)),IF($AI127="HDR","LFL Trans",""))))))</f>
        <v/>
      </c>
      <c r="AG127" s="8" t="str" cm="1">
        <f t="array" ref="AG127">IF($AI127="","",IF(LEFT($AI127,2)="C|","",IF($AI127="CT","",IF(LEFT($AI127,3)="AM|","",IF(LEFT($AI127,2)="S|",IF($AH127="","",IF(INDEX($AP$5:$AP$302,$AH127)=1,1,"")),IF($AI127="HDR","Show",""))))))</f>
        <v/>
      </c>
      <c r="AH127" s="8" t="str">
        <f t="shared" si="91"/>
        <v/>
      </c>
      <c r="AI127" s="8"/>
      <c r="AN127" s="8" t="str" cm="1">
        <f t="array" ref="AN127">IF($AW127="","",_xlfn.LET(_xlpm.sa,IFERROR(TRIM(INDEX('Sales and count'!$D$4:$D$300,$BF127)&amp;""),""),_xlpm.ta,IFERROR(TRIM(INDEX('TY Sales Target'!$F$5:$F$300,$BG127)&amp;""),""),IF(AND(_xlpm.sa&lt;&gt;"",LEFT(_xlpm.sa,1)&lt;&gt;"#",_xlpm.sa&lt;&gt;"0"),_xlpm.sa,IF(AND(_xlpm.ta&lt;&gt;"",LEFT(_xlpm.ta,1)&lt;&gt;"#",_xlpm.ta&lt;&gt;"0"),_xlpm.ta,IF(ISNUMBER($BG127),"Unassigned","")))))</f>
        <v/>
      </c>
      <c r="AO127" s="8" t="str" cm="1">
        <f t="array" ref="AO127">IF($AW127="","",_xlfn.LET(_xlpm.sa,IFERROR(TRIM(INDEX('Sales and count'!$C$4:$C$300,$BF127)&amp;""),""),_xlpm.ta,IFERROR(TRIM(INDEX('TY Sales Target'!$D$5:$D$300,$BG127)&amp;""),""),IF(AND(_xlpm.sa&lt;&gt;"",LEFT(_xlpm.sa,1)&lt;&gt;"#",_xlpm.sa&lt;&gt;"0"),_xlpm.sa,IF(AND(_xlpm.ta&lt;&gt;"",LEFT(_xlpm.ta,1)&lt;&gt;"#",_xlpm.ta&lt;&gt;"0"),_xlpm.ta,""))))</f>
        <v/>
      </c>
      <c r="AP127" s="8">
        <f t="shared" si="60"/>
        <v>0</v>
      </c>
      <c r="AQ127" s="8">
        <f t="shared" si="61"/>
        <v>0</v>
      </c>
      <c r="AR127" s="8" cm="1">
        <f t="array" ref="AR127">IF($BF127="",0,_xlfn.LET(_xlpm.d,IFERROR(--'Sales and count'!$G$2:$CC$2,0),SUMPRODUCT(('Sales and count'!$G$3:$CC$3="Total")*(_xlpm.d&gt;=$U$4)*(_xlpm.d&lt;=$U$5),INDEX('Sales and count'!$G$4:$CC$300,$BF127,0))))</f>
        <v>0</v>
      </c>
      <c r="AS127" s="8" cm="1">
        <f t="array" ref="AS127">IF($BF127="",0,_xlfn.LET(_xlpm.d,IFERROR(--'Sales and count'!$F$2:$CB$2,0),SUMPRODUCT(('Sales and count'!$G$3:$CC$3="Transactions")*(_xlpm.d&gt;=$U$4)*(_xlpm.d&lt;=$U$5),INDEX('Sales and count'!$G$4:$CC$300,$BF127,0))))</f>
        <v>0</v>
      </c>
      <c r="AT127" s="8" cm="1">
        <f t="array" ref="AT127">IF($AW127="",0,SUMPRODUCT((TRIM('LY Sales '!$B$5:$B$200)=$AW127)*('LY Sales '!$C$2:$AG$2&gt;=EDATE($U$4,-12))*('LY Sales '!$C$2:$AG$2&lt;=EDATE($U$5,-12)),'LY Sales '!$C$5:$AG$200))</f>
        <v>0</v>
      </c>
      <c r="AU127" s="8" cm="1">
        <f t="array" ref="AU127">IF($AW127="",0,SUMPRODUCT((TRIM('LY Transaction'!$B$5:$B$200)=$AW127)*('LY Transaction'!$C$2:$AG$2&gt;=EDATE($U$4,-12))*('LY Transaction'!$C$2:$AG$2&lt;=EDATE($U$5,-12)),'LY Transaction'!$C$5:$AG$200))</f>
        <v>0</v>
      </c>
      <c r="AV127" s="8" cm="1">
        <f t="array" ref="AV127">IF(NOT(ISNUMBER($BG127)),0,SUMPRODUCT(('TY Sales Target'!$K$2:$AO$2&gt;=$U$4)*('TY Sales Target'!$K$2:$AO$2&lt;=$U$5),INDEX('TY Sales Target'!$K$5:$AO$300,$BG127,0)))</f>
        <v>0</v>
      </c>
      <c r="AW127" s="8" t="str" cm="1">
        <f t="array" ref="AW127">IFERROR(INDEX(_xlfn.ANCHORARRAY($BR$5),ROWS($AW$5:AW127)),"")</f>
        <v/>
      </c>
      <c r="BB127" cm="1">
        <f t="array" ref="BB127">IF($AW127="",0,SUMPRODUCT((TRIM(Footfall!$B$5:$B$301)=$AW127)*(Footfall!$C$1:$BZ$1&gt;=$U$4)*(Footfall!$C$2:$BZ$2&lt;=$U$5)*(Footfall!$C$1:$BZ$1&lt;&gt;""),Footfall!$C$5:$BZ$301))</f>
        <v>0</v>
      </c>
      <c r="BC127" cm="1">
        <f t="array" ref="BC127">IF(OR($BB127&lt;=0,$BD$1="",$BF127=""),0,_xlfn.LET(_xlpm.d,IFERROR(--'Sales and count'!$F$2:$CB$2,0),SUMPRODUCT(('Sales and count'!$G$3:$CC$3="Transactions")*(_xlpm.d&gt;=$BD$1)*(_xlpm.d&lt;=$BD$2),INDEX('Sales and count'!$G$4:$CC$300,$BF127,0))))</f>
        <v>0</v>
      </c>
      <c r="BF127" t="str" cm="1">
        <f t="array" ref="BF127">IF($AW127="","",IFERROR(MATCH($AW127,TRIM('Sales and count'!$A$4:$A$300&amp;""),0),""))</f>
        <v/>
      </c>
      <c r="BG127" t="str" cm="1">
        <f t="array" ref="BG127">IF($AW127="","",IFERROR(MATCH(IFERROR(_xlfn.XLOOKUP($AW127,$BT$5:$BT$22,$BU$5:$BU$22),$AW127),TRIM('TY Sales Target'!$B$5:$B$300&amp;""),0),""))</f>
        <v/>
      </c>
      <c r="BH127" t="str" cm="1">
        <f t="array" ref="BH127">IF(ISNUMBER($BG127),_xlfn.LET(_xlpm.p,TRIM(INDEX('TY Sales Target'!$I$5:$I$300,$BG127)&amp;""),IF(_xlpm.p="","Not set",_xlpm.p)),"Not set")</f>
        <v>Not set</v>
      </c>
      <c r="BI127" cm="1">
        <f t="array" ref="BI127">IF($BF127="",0,_xlfn.LET(_xlpm.d,IFERROR(--'Sales and count'!$G$2:$CC$2,0),SUMPRODUCT(('Sales and count'!$G$3:$CC$3="Total")*(_xlpm.d&gt;=$BZ$5)*(_xlpm.d&lt;=$BZ$6),INDEX('Sales and count'!$G$4:$CC$300,$BF127,0))))</f>
        <v>0</v>
      </c>
      <c r="BJ127" cm="1">
        <f t="array" ref="BJ127">IF($AW127="",0,SUMPRODUCT((TRIM('LY Sales '!$B$5:$B$200)=$AW127)*('LY Sales '!$C$2:$AG$2&gt;=EDATE($BZ$5,-12))*('LY Sales '!$C$2:$AG$2&lt;=EDATE($BZ$6,-12)),'LY Sales '!$C$5:$AG$200))</f>
        <v>0</v>
      </c>
      <c r="BK127" cm="1">
        <f t="array" ref="BK127">IF($AW127="",0,SUMPRODUCT((TRIM('LY Sales '!$B$5:$B$200)=$AW127)*('LY Sales '!$C$2:$AG$2&gt;=EDATE($BZ$5,-12))*('LY Sales '!$C$2:$AG$2&lt;=EDATE($BZ$7,-12)),'LY Sales '!$C$5:$AG$200))</f>
        <v>0</v>
      </c>
      <c r="BL127" cm="1">
        <f t="array" ref="BL127">IF($AW127="",0,SUMPRODUCT((TRIM('LY Sales '!$B$5:$B$200)=$AW127)*('LY Sales '!$C$2:$AG$2&gt;=EDATE($BZ$5,-12))*('LY Sales '!$C$2:$AG$2&lt;=EDATE($BZ$6,-12))*('LY Sales '!$C$5:$AG$200&gt;0)))</f>
        <v>0</v>
      </c>
      <c r="BM127" cm="1">
        <f t="array" ref="BM127">IF(NOT(ISNUMBER($BG127)),0,SUMPRODUCT(('TY Sales Target'!$K$2:$AO$2&gt;=$BZ$5)*('TY Sales Target'!$K$2:$AO$2&lt;=$BZ$6),INDEX('TY Sales Target'!$K$5:$AO$300,$BG127,0)))</f>
        <v>0</v>
      </c>
      <c r="BN127" cm="1">
        <f t="array" ref="BN127">IF(NOT(ISNUMBER($BG127)),0,SUMPRODUCT(('TY Sales Target'!$K$2:$AO$2&gt;=$BZ$5)*('TY Sales Target'!$K$2:$AO$2&lt;=$BZ$7),INDEX('TY Sales Target'!$K$5:$AO$300,$BG127,0)))</f>
        <v>0</v>
      </c>
      <c r="BO127" cm="1">
        <f t="array" ref="BO127">IF($AW127="",0,IFERROR(_xlfn.SWITCH($BP127,"LY trend",$BI127*$BK127/$BJ127,"Target curve",$BI127*$BN127/$BM127,"Run rate",$BI127/$BZ$8*$BZ$9,0),0))</f>
        <v>0</v>
      </c>
      <c r="BP127" t="str">
        <f t="shared" si="59"/>
        <v/>
      </c>
      <c r="CB127" cm="1">
        <f t="array" ref="CB127">IF($AW127="",0,_xlfn.LET(_xlpm.k,IFERROR(_xlfn.XLOOKUP($AW127,$CD$6:$CD$21,$CE$6:$CE$21),$AW127),SUMPRODUCT((TRIM('Makeup '!$A$2:$A$300&amp;"")=_xlpm.k)*1,IFERROR('Makeup '!$F$2:$F$300*1,0))))</f>
        <v>0</v>
      </c>
      <c r="CF127" t="str" cm="1">
        <f t="array" ref="CF127">IF($AW127="","",_xlfn.LET(_xlpm.c,IFERROR(TRIM(INDEX('Sales and count'!$B$4:$B$300,$BF127)&amp;""),""),IF(OR(_xlpm.c="",_xlpm.c="0",LEFT(_xlpm.c,1)="#"),"Not set",_xlpm.c)))</f>
        <v/>
      </c>
      <c r="CH127" cm="1">
        <f t="array" ref="CH127">IF($AW127="",0,_xlfn.LET(_xlpm.k,IFERROR(_xlfn.XLOOKUP($AW127,$CD$6:$CD$21,$CE$6:$CE$21),$AW127),--(SUMPRODUCT((TRIM('Makeup '!$A$2:$A$300&amp;"")=_xlpm.k)*ISNUMBER('Makeup '!$F$2:$F$300))&gt;0)))</f>
        <v>0</v>
      </c>
      <c r="CI127">
        <f t="shared" si="62"/>
        <v>0</v>
      </c>
      <c r="CJ127" cm="1">
        <f t="array" ref="CJ127">IF($AW127="",0,--(SUMPRODUCT(--(TRIM(Footfall!$B$5:$B$301)=$AW127))&gt;0))</f>
        <v>0</v>
      </c>
      <c r="CK127" s="8" cm="1">
        <f t="array" ref="CK127">IF($AW127="",0,_xlfn.LET(_xlpm.r,IFERROR(MATCH(IFERROR(_xlfn.XLOOKUP($AW127,$BT$5:$BT$22,$BU$5:$BU$22),$AW127),TRIM('TY Beauty Target'!$B$5:$B$300&amp;""),0),""),IF(ISNUMBER(_xlpm.r),SUMPRODUCT(('TY Beauty Target'!$L$2:$AP$2&gt;=$U$4)*('TY Beauty Target'!$L$2:$AP$2&lt;=$U$5),INDEX('TY Beauty Target'!$L$5:$AP$300,_xlpm.r,0)),0)))</f>
        <v>0</v>
      </c>
    </row>
    <row r="128" spans="1:89" ht="15" customHeight="1" x14ac:dyDescent="0.25">
      <c r="A128" s="38" t="str">
        <f t="shared" si="79"/>
        <v/>
      </c>
      <c r="B128" s="43" t="str" cm="1">
        <f t="array" ref="B128">IF($AI128="","",IF(LEFT($AI128,2)="C|",IF($C128="","",_xlfn.TEXTJOIN(", ",TRUE,_xlfn.UNIQUE(_xlfn._xlws.FILTER($AN$5:$AN$302,($AP$5:$AP$302=1)*($AO$5:$AO$302=$A128))))),IF($AI128="CT",B$13,IF(LEFT($AI128,3)="AM|",IF($C128="","",ROWS(_xlfn.UNIQUE(_xlfn._xlws.FILTER($AO$5:$AO$302,($AP$5:$AP$302=1)*($AN$5:$AN$302=$A128))))),IF(LEFT($AI128,2)="S|",IF($AG128="","",INDEX($AO$5:$AO$302,$AH128)),IF($AI128="HDR","City",""))))))</f>
        <v/>
      </c>
      <c r="C128" s="39" t="str" cm="1">
        <f t="array" ref="C128">IF($AI128="","",IF(LEFT($AI128,2)="C|",_xlfn.LET(_xlpm.n,SUMPRODUCT($AP$5:$AP$302*($AO$5:$AO$302=$A128)),IF(_xlpm.n=0,"",_xlpm.n)),IF($AI128="CT",C$13,IF(LEFT($AI128,3)="AM|",_xlfn.LET(_xlpm.n,SUMPRODUCT($AP$5:$AP$302*($AN$5:$AN$302=$A128)),IF(_xlpm.n=0,"",_xlpm.n)),IF(LEFT($AI128,2)="S|","",IF($AI128="HDR","# Stores",""))))))</f>
        <v/>
      </c>
      <c r="D128" s="40" t="str" cm="1">
        <f t="array" ref="D128">IF($AI128="","",IF(LEFT($AI128,2)="C|",IF($C128="","",SUMPRODUCT($AP$5:$AP$302*($AO$5:$AO$302=$A128),$AR$5:$AR$302)),IF($AI128="CT",D$13,IF(LEFT($AI128,3)="AM|",IF($C128="","",SUMPRODUCT($AP$5:$AP$302*($AN$5:$AN$302=$A128),$AR$5:$AR$302)),IF(LEFT($AI128,2)="S|",IF($AG128="","",INDEX($AR$5:$AR$302,$AH128)),IF($AI128="HDR","Sales TY",""))))))</f>
        <v/>
      </c>
      <c r="E128" s="40" t="str" cm="1">
        <f t="array" ref="E128">IF($AI128="","",IF(LEFT($AI128,2)="C|",IF($C128="","",SUMPRODUCT($AP$5:$AP$302*($AO$5:$AO$302=$A128),$AT$5:$AT$302)),IF($AI128="CT",E$13,IF(LEFT($AI128,3)="AM|",IF($C128="","",SUMPRODUCT($AP$5:$AP$302*($AN$5:$AN$302=$A128),$AT$5:$AT$302)),IF(LEFT($AI128,2)="S|",IF($AG128="","",INDEX($AT$5:$AT$302,$AH128)),IF($AI128="HDR","Sales LY",""))))))</f>
        <v/>
      </c>
      <c r="F128" s="41" t="str">
        <f t="shared" si="80"/>
        <v/>
      </c>
      <c r="G128" s="41" t="str">
        <f t="shared" si="81"/>
        <v/>
      </c>
      <c r="H128" s="40" t="str" cm="1">
        <f t="array" ref="H128">IF($AI128="","",IF(LEFT($AI128,2)="C|",IF($C128="","",SUMPRODUCT($AP$5:$AP$302*($AO$5:$AO$302=$A128),$AV$5:$AV$302)),IF($AI128="CT",H$13,IF(LEFT($AI128,3)="AM|",IF($C128="","",SUMPRODUCT($AP$5:$AP$302*($AN$5:$AN$302=$A128),$AV$5:$AV$302)),IF(LEFT($AI128,2)="S|",IF($AG128="","",INDEX($AV$5:$AV$302,$AH128)),IF($AI128="HDR","Target",""))))))</f>
        <v/>
      </c>
      <c r="I128" s="41" t="str">
        <f t="shared" si="82"/>
        <v/>
      </c>
      <c r="J128" s="40" t="str">
        <f t="shared" si="83"/>
        <v/>
      </c>
      <c r="K128" s="41" t="str">
        <f t="shared" si="84"/>
        <v/>
      </c>
      <c r="L128" s="40" t="str" cm="1">
        <f t="array" ref="L128">IF($AI128="","",IF(LEFT($AI128,2)="C|",IF($C128="","",SUMPRODUCT($AP$5:$AP$302*($AO$5:$AO$302=$A128),$BN$5:$BN$302)),IF($AI128="CT",L$13,IF(LEFT($AI128,3)="AM|",IF($C128="","",SUMPRODUCT($AP$5:$AP$302*($AN$5:$AN$302=$A128),$BN$5:$BN$302)),IF(LEFT($AI128,2)="S|",IF($AG128="","",INDEX($BN$5:$BN$302,$AH128)),IF($AI128="HDR","Month Target",""))))))</f>
        <v/>
      </c>
      <c r="M128" s="40" t="str" cm="1">
        <f t="array" ref="M128">IF($AI128="","",IF(LEFT($AI128,2)="C|",IF($C128="","",SUMPRODUCT($AP$5:$AP$302*($AO$5:$AO$302=$A128),$BO$5:$BO$302)),IF($AI128="CT",M$13,IF(LEFT($AI128,3)="AM|",IF($C128="","",SUMPRODUCT($AP$5:$AP$302*($AN$5:$AN$302=$A128),$BO$5:$BO$302)),IF(LEFT($AI128,2)="S|",IF($AG128="","",INDEX($BO$5:$BO$302,$AH128)),IF($AI128="HDR","Projected Close",""))))))</f>
        <v/>
      </c>
      <c r="N128" s="41" t="str">
        <f t="shared" si="76"/>
        <v/>
      </c>
      <c r="O128" s="41" t="str" cm="1">
        <f t="array" ref="O128">IF($AI128="HDR","Proj. vs LY",IF(OR($AI128="",M128=""),"",_xlfn.LET(_xlpm.ly,IF(LEFT($AI128,2)="C|",SUMPRODUCT($AP$5:$AP$302*($AO$5:$AO$302=$A128),$BK$5:$BK$302),IF($AI128="CT",SUMPRODUCT($AP$5:$AP$302,$BK$5:$BK$302),IF(LEFT($AI128,3)="AM|",SUMPRODUCT($AP$5:$AP$302*($AN$5:$AN$302=$A128),$BK$5:$BK$302),IF(LEFT($AI128,2)="S|",INDEX($BK$5:$BK$302,$AH128),0)))),IFERROR(M128/_xlpm.ly-1,""))))</f>
        <v/>
      </c>
      <c r="P128" s="40" t="str" cm="1">
        <f t="array" ref="P128">IF($AI128="","",IF(LEFT($AI128,2)="C|",IF($C128="","",SUMPRODUCT($AP$5:$AP$302*($AO$5:$AO$302=$A128),$AS$5:$AS$302)),IF($AI128="CT",P$13,IF(LEFT($AI128,3)="AM|",IF($C128="","",SUMPRODUCT($AP$5:$AP$302*($AN$5:$AN$302=$A128),$AS$5:$AS$302)),IF(LEFT($AI128,2)="S|",IF($AG128="","",INDEX($AS$5:$AS$302,$AH128)),IF($AI128="HDR","Trans TY",""))))))</f>
        <v/>
      </c>
      <c r="Q128" s="40" t="str" cm="1">
        <f t="array" ref="Q128">IF($AI128="","",IF(LEFT($AI128,2)="C|",IF($C128="","",SUMPRODUCT($AP$5:$AP$302*($AO$5:$AO$302=$A128),$AU$5:$AU$302)),IF($AI128="CT",Q$13,IF(LEFT($AI128,3)="AM|",IF($C128="","",SUMPRODUCT($AP$5:$AP$302*($AN$5:$AN$302=$A128),$AU$5:$AU$302)),IF(LEFT($AI128,2)="S|",IF($AG128="","",INDEX($AU$5:$AU$302,$AH128)),IF($AI128="HDR","Trans LY",""))))))</f>
        <v/>
      </c>
      <c r="R128" s="41" t="str">
        <f t="shared" si="85"/>
        <v/>
      </c>
      <c r="S128" s="41" t="str">
        <f t="shared" si="86"/>
        <v/>
      </c>
      <c r="T128" s="42" t="str">
        <f t="shared" si="87"/>
        <v/>
      </c>
      <c r="U128" s="42" t="str">
        <f t="shared" si="88"/>
        <v/>
      </c>
      <c r="V128" s="41" t="str">
        <f t="shared" si="89"/>
        <v/>
      </c>
      <c r="W128" s="40" t="str" cm="1">
        <f t="array" ref="W128">IF($AI128="","",IF(LEFT($AI128,2)="C|",_xlfn.LET(_xlpm.n,SUMPRODUCT($AP$5:$AP$302*($AO$5:$AO$302=$A128),$BB$5:$BB$302),IF(_xlpm.n=0,"",_xlpm.n)),IF($AI128="CT",W$13,IF(LEFT($AI128,3)="AM|",_xlfn.LET(_xlpm.n,SUMPRODUCT($AP$5:$AP$302*($AN$5:$AN$302=$A128),$BB$5:$BB$302),IF(_xlpm.n=0,"",_xlpm.n)),IF(LEFT($AI128,2)="S|",IF($AG128="","",_xlfn.LET(_xlpm.n,INDEX($BB$5:$BB$302,$AH128),IF(_xlpm.n=0,"",_xlpm.n))),IF($AI128="HDR","Footfall",""))))))</f>
        <v/>
      </c>
      <c r="X128" s="40" t="str" cm="1">
        <f t="array" ref="X128">IF($AI128="","",IF($AI128="HDR","Trans (FF stores)",IF(W128="","",IF(LEFT($AI128,2)="C|",SUMPRODUCT($AP$5:$AP$302*($AO$5:$AO$302=$A128),$BC$5:$BC$302),IF($AI128="CT",X$13,IF(LEFT($AI128,3)="AM|",SUMPRODUCT($AP$5:$AP$302*($AN$5:$AN$302=$A128),$BC$5:$BC$302),IF(LEFT($AI128,2)="S|",INDEX($BC$5:$BC$302,$AH128),"")))))))</f>
        <v/>
      </c>
      <c r="Y128" s="41" t="str">
        <f t="shared" si="77"/>
        <v/>
      </c>
      <c r="Z128" s="40" t="str" cm="1">
        <f t="array" ref="Z128">IF($AI128="","",IF(LEFT($AI128,2)="C|",IF($C128="","",SUMPRODUCT($AP$5:$AP$302*($AO$5:$AO$302=$A128),$CB$5:$CB$302)),IF($AI128="CT",Z$13,IF(LEFT($AI128,3)="AM|",IF($C128="","",SUMPRODUCT($AP$5:$AP$302*($AN$5:$AN$302=$A128),$CB$5:$CB$302)),IF(LEFT($AI128,2)="S|",IF($AG128="","",INDEX($CB$5:$CB$302,$AH128)),IF($AI128="HDR","Makeup Sales",""))))))</f>
        <v/>
      </c>
      <c r="AA128" s="41" t="str">
        <f t="shared" si="90"/>
        <v/>
      </c>
      <c r="AB128" s="40" t="str" cm="1">
        <f t="array" ref="AB128">IF($AI128="","",IF(LEFT($AI128,2)="C|",IF($C128="","",SUMPRODUCT($AP$5:$AP$302*($AO$5:$AO$302=$A128),$CK$5:$CK$302)),IF($AI128="CT",AB$13,IF(LEFT($AI128,3)="AM|",IF($C128="","",SUMPRODUCT($AP$5:$AP$302*($AN$5:$AN$302=$A128),$CK$5:$CK$302)),IF(LEFT($AI128,2)="S|",IF($AG128="","",INDEX($CK$5:$CK$302,$AH128)),IF($AI128="HDR","Makeup Target",""))))))</f>
        <v/>
      </c>
      <c r="AC128" s="41" t="str">
        <f t="shared" si="78"/>
        <v/>
      </c>
      <c r="AD128" s="40" t="str" cm="1">
        <f t="array" ref="AD128">IF($AI128="","",IF(LEFT($AI128,2)="C|",IF($C128="","",SUMPRODUCT($AP$5:$AP$302*($AO$5:$AO$302=$A128),$CI$5:$CI$302)),IF($AI128="CT",AD$13,IF(LEFT($AI128,3)="AM|",IF($C128="","",SUMPRODUCT($AP$5:$AP$302*($AN$5:$AN$302=$A128),$CI$5:$CI$302)),IF(LEFT($AI128,2)="S|",IF($AG128="","",INDEX($CI$5:$CI$302,$AH128)),IF($AI128="HDR","Cosmetic Sales",""))))))</f>
        <v/>
      </c>
      <c r="AE128" s="8" t="str" cm="1">
        <f t="array" ref="AE128">IF($AI128="","",IF(LEFT($AI128,2)="C|",IF($C128="","",SUMPRODUCT($AP$5:$AP$302*($AO$5:$AO$302=$A128)*$AQ$5:$AQ$302,$AR$5:$AR$302)),IF($AI128="CT",AE$13,IF(LEFT($AI128,3)="AM|",IF($C128="","",SUMPRODUCT($AP$5:$AP$302*($AN$5:$AN$302=$A128)*$AQ$5:$AQ$302,$AR$5:$AR$302)),IF(LEFT($AI128,2)="S|",IF($AG128="","",IF(INDEX($AQ$5:$AQ$302,$AH128)=1,D128,0)),IF($AI128="HDR","LFL Sales",""))))))</f>
        <v/>
      </c>
      <c r="AF128" s="8" t="str" cm="1">
        <f t="array" ref="AF128">IF($AI128="","",IF(LEFT($AI128,2)="C|",IF($C128="","",SUMPRODUCT($AP$5:$AP$302*($AO$5:$AO$302=$A128)*$AQ$5:$AQ$302,$AS$5:$AS$302)),IF($AI128="CT",AF$13,IF(LEFT($AI128,3)="AM|",IF($C128="","",SUMPRODUCT($AP$5:$AP$302*($AN$5:$AN$302=$A128)*$AQ$5:$AQ$302,$AS$5:$AS$302)),IF(LEFT($AI128,2)="S|",IF($AG128="","",IF(INDEX($AQ$5:$AQ$302,$AH128)=1,P128,0)),IF($AI128="HDR","LFL Trans",""))))))</f>
        <v/>
      </c>
      <c r="AG128" s="8" t="str" cm="1">
        <f t="array" ref="AG128">IF($AI128="","",IF(LEFT($AI128,2)="C|","",IF($AI128="CT","",IF(LEFT($AI128,3)="AM|","",IF(LEFT($AI128,2)="S|",IF($AH128="","",IF(INDEX($AP$5:$AP$302,$AH128)=1,1,"")),IF($AI128="HDR","Show",""))))))</f>
        <v/>
      </c>
      <c r="AH128" s="8" t="str">
        <f t="shared" si="91"/>
        <v/>
      </c>
      <c r="AI128" s="8"/>
      <c r="AN128" s="8" t="str" cm="1">
        <f t="array" ref="AN128">IF($AW128="","",_xlfn.LET(_xlpm.sa,IFERROR(TRIM(INDEX('Sales and count'!$D$4:$D$300,$BF128)&amp;""),""),_xlpm.ta,IFERROR(TRIM(INDEX('TY Sales Target'!$F$5:$F$300,$BG128)&amp;""),""),IF(AND(_xlpm.sa&lt;&gt;"",LEFT(_xlpm.sa,1)&lt;&gt;"#",_xlpm.sa&lt;&gt;"0"),_xlpm.sa,IF(AND(_xlpm.ta&lt;&gt;"",LEFT(_xlpm.ta,1)&lt;&gt;"#",_xlpm.ta&lt;&gt;"0"),_xlpm.ta,IF(ISNUMBER($BG128),"Unassigned","")))))</f>
        <v/>
      </c>
      <c r="AO128" s="8" t="str" cm="1">
        <f t="array" ref="AO128">IF($AW128="","",_xlfn.LET(_xlpm.sa,IFERROR(TRIM(INDEX('Sales and count'!$C$4:$C$300,$BF128)&amp;""),""),_xlpm.ta,IFERROR(TRIM(INDEX('TY Sales Target'!$D$5:$D$300,$BG128)&amp;""),""),IF(AND(_xlpm.sa&lt;&gt;"",LEFT(_xlpm.sa,1)&lt;&gt;"#",_xlpm.sa&lt;&gt;"0"),_xlpm.sa,IF(AND(_xlpm.ta&lt;&gt;"",LEFT(_xlpm.ta,1)&lt;&gt;"#",_xlpm.ta&lt;&gt;"0"),_xlpm.ta,""))))</f>
        <v/>
      </c>
      <c r="AP128" s="8">
        <f t="shared" si="60"/>
        <v>0</v>
      </c>
      <c r="AQ128" s="8">
        <f t="shared" si="61"/>
        <v>0</v>
      </c>
      <c r="AR128" s="8" cm="1">
        <f t="array" ref="AR128">IF($BF128="",0,_xlfn.LET(_xlpm.d,IFERROR(--'Sales and count'!$G$2:$CC$2,0),SUMPRODUCT(('Sales and count'!$G$3:$CC$3="Total")*(_xlpm.d&gt;=$U$4)*(_xlpm.d&lt;=$U$5),INDEX('Sales and count'!$G$4:$CC$300,$BF128,0))))</f>
        <v>0</v>
      </c>
      <c r="AS128" s="8" cm="1">
        <f t="array" ref="AS128">IF($BF128="",0,_xlfn.LET(_xlpm.d,IFERROR(--'Sales and count'!$F$2:$CB$2,0),SUMPRODUCT(('Sales and count'!$G$3:$CC$3="Transactions")*(_xlpm.d&gt;=$U$4)*(_xlpm.d&lt;=$U$5),INDEX('Sales and count'!$G$4:$CC$300,$BF128,0))))</f>
        <v>0</v>
      </c>
      <c r="AT128" s="8" cm="1">
        <f t="array" ref="AT128">IF($AW128="",0,SUMPRODUCT((TRIM('LY Sales '!$B$5:$B$200)=$AW128)*('LY Sales '!$C$2:$AG$2&gt;=EDATE($U$4,-12))*('LY Sales '!$C$2:$AG$2&lt;=EDATE($U$5,-12)),'LY Sales '!$C$5:$AG$200))</f>
        <v>0</v>
      </c>
      <c r="AU128" s="8" cm="1">
        <f t="array" ref="AU128">IF($AW128="",0,SUMPRODUCT((TRIM('LY Transaction'!$B$5:$B$200)=$AW128)*('LY Transaction'!$C$2:$AG$2&gt;=EDATE($U$4,-12))*('LY Transaction'!$C$2:$AG$2&lt;=EDATE($U$5,-12)),'LY Transaction'!$C$5:$AG$200))</f>
        <v>0</v>
      </c>
      <c r="AV128" s="8" cm="1">
        <f t="array" ref="AV128">IF(NOT(ISNUMBER($BG128)),0,SUMPRODUCT(('TY Sales Target'!$K$2:$AO$2&gt;=$U$4)*('TY Sales Target'!$K$2:$AO$2&lt;=$U$5),INDEX('TY Sales Target'!$K$5:$AO$300,$BG128,0)))</f>
        <v>0</v>
      </c>
      <c r="AW128" s="8" t="str" cm="1">
        <f t="array" ref="AW128">IFERROR(INDEX(_xlfn.ANCHORARRAY($BR$5),ROWS($AW$5:AW128)),"")</f>
        <v/>
      </c>
      <c r="BB128" cm="1">
        <f t="array" ref="BB128">IF($AW128="",0,SUMPRODUCT((TRIM(Footfall!$B$5:$B$301)=$AW128)*(Footfall!$C$1:$BZ$1&gt;=$U$4)*(Footfall!$C$2:$BZ$2&lt;=$U$5)*(Footfall!$C$1:$BZ$1&lt;&gt;""),Footfall!$C$5:$BZ$301))</f>
        <v>0</v>
      </c>
      <c r="BC128" cm="1">
        <f t="array" ref="BC128">IF(OR($BB128&lt;=0,$BD$1="",$BF128=""),0,_xlfn.LET(_xlpm.d,IFERROR(--'Sales and count'!$F$2:$CB$2,0),SUMPRODUCT(('Sales and count'!$G$3:$CC$3="Transactions")*(_xlpm.d&gt;=$BD$1)*(_xlpm.d&lt;=$BD$2),INDEX('Sales and count'!$G$4:$CC$300,$BF128,0))))</f>
        <v>0</v>
      </c>
      <c r="BF128" t="str" cm="1">
        <f t="array" ref="BF128">IF($AW128="","",IFERROR(MATCH($AW128,TRIM('Sales and count'!$A$4:$A$300&amp;""),0),""))</f>
        <v/>
      </c>
      <c r="BG128" t="str" cm="1">
        <f t="array" ref="BG128">IF($AW128="","",IFERROR(MATCH(IFERROR(_xlfn.XLOOKUP($AW128,$BT$5:$BT$22,$BU$5:$BU$22),$AW128),TRIM('TY Sales Target'!$B$5:$B$300&amp;""),0),""))</f>
        <v/>
      </c>
      <c r="BH128" t="str" cm="1">
        <f t="array" ref="BH128">IF(ISNUMBER($BG128),_xlfn.LET(_xlpm.p,TRIM(INDEX('TY Sales Target'!$I$5:$I$300,$BG128)&amp;""),IF(_xlpm.p="","Not set",_xlpm.p)),"Not set")</f>
        <v>Not set</v>
      </c>
      <c r="BI128" cm="1">
        <f t="array" ref="BI128">IF($BF128="",0,_xlfn.LET(_xlpm.d,IFERROR(--'Sales and count'!$G$2:$CC$2,0),SUMPRODUCT(('Sales and count'!$G$3:$CC$3="Total")*(_xlpm.d&gt;=$BZ$5)*(_xlpm.d&lt;=$BZ$6),INDEX('Sales and count'!$G$4:$CC$300,$BF128,0))))</f>
        <v>0</v>
      </c>
      <c r="BJ128" cm="1">
        <f t="array" ref="BJ128">IF($AW128="",0,SUMPRODUCT((TRIM('LY Sales '!$B$5:$B$200)=$AW128)*('LY Sales '!$C$2:$AG$2&gt;=EDATE($BZ$5,-12))*('LY Sales '!$C$2:$AG$2&lt;=EDATE($BZ$6,-12)),'LY Sales '!$C$5:$AG$200))</f>
        <v>0</v>
      </c>
      <c r="BK128" cm="1">
        <f t="array" ref="BK128">IF($AW128="",0,SUMPRODUCT((TRIM('LY Sales '!$B$5:$B$200)=$AW128)*('LY Sales '!$C$2:$AG$2&gt;=EDATE($BZ$5,-12))*('LY Sales '!$C$2:$AG$2&lt;=EDATE($BZ$7,-12)),'LY Sales '!$C$5:$AG$200))</f>
        <v>0</v>
      </c>
      <c r="BL128" cm="1">
        <f t="array" ref="BL128">IF($AW128="",0,SUMPRODUCT((TRIM('LY Sales '!$B$5:$B$200)=$AW128)*('LY Sales '!$C$2:$AG$2&gt;=EDATE($BZ$5,-12))*('LY Sales '!$C$2:$AG$2&lt;=EDATE($BZ$6,-12))*('LY Sales '!$C$5:$AG$200&gt;0)))</f>
        <v>0</v>
      </c>
      <c r="BM128" cm="1">
        <f t="array" ref="BM128">IF(NOT(ISNUMBER($BG128)),0,SUMPRODUCT(('TY Sales Target'!$K$2:$AO$2&gt;=$BZ$5)*('TY Sales Target'!$K$2:$AO$2&lt;=$BZ$6),INDEX('TY Sales Target'!$K$5:$AO$300,$BG128,0)))</f>
        <v>0</v>
      </c>
      <c r="BN128" cm="1">
        <f t="array" ref="BN128">IF(NOT(ISNUMBER($BG128)),0,SUMPRODUCT(('TY Sales Target'!$K$2:$AO$2&gt;=$BZ$5)*('TY Sales Target'!$K$2:$AO$2&lt;=$BZ$7),INDEX('TY Sales Target'!$K$5:$AO$300,$BG128,0)))</f>
        <v>0</v>
      </c>
      <c r="BO128" cm="1">
        <f t="array" ref="BO128">IF($AW128="",0,IFERROR(_xlfn.SWITCH($BP128,"LY trend",$BI128*$BK128/$BJ128,"Target curve",$BI128*$BN128/$BM128,"Run rate",$BI128/$BZ$8*$BZ$9,0),0))</f>
        <v>0</v>
      </c>
      <c r="BP128" t="str">
        <f t="shared" si="59"/>
        <v/>
      </c>
      <c r="CB128" cm="1">
        <f t="array" ref="CB128">IF($AW128="",0,_xlfn.LET(_xlpm.k,IFERROR(_xlfn.XLOOKUP($AW128,$CD$6:$CD$21,$CE$6:$CE$21),$AW128),SUMPRODUCT((TRIM('Makeup '!$A$2:$A$300&amp;"")=_xlpm.k)*1,IFERROR('Makeup '!$F$2:$F$300*1,0))))</f>
        <v>0</v>
      </c>
      <c r="CF128" t="str" cm="1">
        <f t="array" ref="CF128">IF($AW128="","",_xlfn.LET(_xlpm.c,IFERROR(TRIM(INDEX('Sales and count'!$B$4:$B$300,$BF128)&amp;""),""),IF(OR(_xlpm.c="",_xlpm.c="0",LEFT(_xlpm.c,1)="#"),"Not set",_xlpm.c)))</f>
        <v/>
      </c>
      <c r="CH128" cm="1">
        <f t="array" ref="CH128">IF($AW128="",0,_xlfn.LET(_xlpm.k,IFERROR(_xlfn.XLOOKUP($AW128,$CD$6:$CD$21,$CE$6:$CE$21),$AW128),--(SUMPRODUCT((TRIM('Makeup '!$A$2:$A$300&amp;"")=_xlpm.k)*ISNUMBER('Makeup '!$F$2:$F$300))&gt;0)))</f>
        <v>0</v>
      </c>
      <c r="CI128">
        <f t="shared" si="62"/>
        <v>0</v>
      </c>
      <c r="CJ128" cm="1">
        <f t="array" ref="CJ128">IF($AW128="",0,--(SUMPRODUCT(--(TRIM(Footfall!$B$5:$B$301)=$AW128))&gt;0))</f>
        <v>0</v>
      </c>
      <c r="CK128" s="8" cm="1">
        <f t="array" ref="CK128">IF($AW128="",0,_xlfn.LET(_xlpm.r,IFERROR(MATCH(IFERROR(_xlfn.XLOOKUP($AW128,$BT$5:$BT$22,$BU$5:$BU$22),$AW128),TRIM('TY Beauty Target'!$B$5:$B$300&amp;""),0),""),IF(ISNUMBER(_xlpm.r),SUMPRODUCT(('TY Beauty Target'!$L$2:$AP$2&gt;=$U$4)*('TY Beauty Target'!$L$2:$AP$2&lt;=$U$5),INDEX('TY Beauty Target'!$L$5:$AP$300,_xlpm.r,0)),0)))</f>
        <v>0</v>
      </c>
    </row>
    <row r="129" spans="1:89" ht="15" customHeight="1" x14ac:dyDescent="0.25">
      <c r="A129" s="38" t="str">
        <f t="shared" si="79"/>
        <v/>
      </c>
      <c r="B129" s="43" t="str" cm="1">
        <f t="array" ref="B129">IF($AI129="","",IF(LEFT($AI129,2)="C|",IF($C129="","",_xlfn.TEXTJOIN(", ",TRUE,_xlfn.UNIQUE(_xlfn._xlws.FILTER($AN$5:$AN$302,($AP$5:$AP$302=1)*($AO$5:$AO$302=$A129))))),IF($AI129="CT",B$13,IF(LEFT($AI129,3)="AM|",IF($C129="","",ROWS(_xlfn.UNIQUE(_xlfn._xlws.FILTER($AO$5:$AO$302,($AP$5:$AP$302=1)*($AN$5:$AN$302=$A129))))),IF(LEFT($AI129,2)="S|",IF($AG129="","",INDEX($AO$5:$AO$302,$AH129)),IF($AI129="HDR","City",""))))))</f>
        <v/>
      </c>
      <c r="C129" s="39" t="str" cm="1">
        <f t="array" ref="C129">IF($AI129="","",IF(LEFT($AI129,2)="C|",_xlfn.LET(_xlpm.n,SUMPRODUCT($AP$5:$AP$302*($AO$5:$AO$302=$A129)),IF(_xlpm.n=0,"",_xlpm.n)),IF($AI129="CT",C$13,IF(LEFT($AI129,3)="AM|",_xlfn.LET(_xlpm.n,SUMPRODUCT($AP$5:$AP$302*($AN$5:$AN$302=$A129)),IF(_xlpm.n=0,"",_xlpm.n)),IF(LEFT($AI129,2)="S|","",IF($AI129="HDR","# Stores",""))))))</f>
        <v/>
      </c>
      <c r="D129" s="40" t="str" cm="1">
        <f t="array" ref="D129">IF($AI129="","",IF(LEFT($AI129,2)="C|",IF($C129="","",SUMPRODUCT($AP$5:$AP$302*($AO$5:$AO$302=$A129),$AR$5:$AR$302)),IF($AI129="CT",D$13,IF(LEFT($AI129,3)="AM|",IF($C129="","",SUMPRODUCT($AP$5:$AP$302*($AN$5:$AN$302=$A129),$AR$5:$AR$302)),IF(LEFT($AI129,2)="S|",IF($AG129="","",INDEX($AR$5:$AR$302,$AH129)),IF($AI129="HDR","Sales TY",""))))))</f>
        <v/>
      </c>
      <c r="E129" s="40" t="str" cm="1">
        <f t="array" ref="E129">IF($AI129="","",IF(LEFT($AI129,2)="C|",IF($C129="","",SUMPRODUCT($AP$5:$AP$302*($AO$5:$AO$302=$A129),$AT$5:$AT$302)),IF($AI129="CT",E$13,IF(LEFT($AI129,3)="AM|",IF($C129="","",SUMPRODUCT($AP$5:$AP$302*($AN$5:$AN$302=$A129),$AT$5:$AT$302)),IF(LEFT($AI129,2)="S|",IF($AG129="","",INDEX($AT$5:$AT$302,$AH129)),IF($AI129="HDR","Sales LY",""))))))</f>
        <v/>
      </c>
      <c r="F129" s="41" t="str">
        <f t="shared" si="80"/>
        <v/>
      </c>
      <c r="G129" s="41" t="str">
        <f t="shared" si="81"/>
        <v/>
      </c>
      <c r="H129" s="40" t="str" cm="1">
        <f t="array" ref="H129">IF($AI129="","",IF(LEFT($AI129,2)="C|",IF($C129="","",SUMPRODUCT($AP$5:$AP$302*($AO$5:$AO$302=$A129),$AV$5:$AV$302)),IF($AI129="CT",H$13,IF(LEFT($AI129,3)="AM|",IF($C129="","",SUMPRODUCT($AP$5:$AP$302*($AN$5:$AN$302=$A129),$AV$5:$AV$302)),IF(LEFT($AI129,2)="S|",IF($AG129="","",INDEX($AV$5:$AV$302,$AH129)),IF($AI129="HDR","Target",""))))))</f>
        <v/>
      </c>
      <c r="I129" s="41" t="str">
        <f t="shared" si="82"/>
        <v/>
      </c>
      <c r="J129" s="40" t="str">
        <f t="shared" si="83"/>
        <v/>
      </c>
      <c r="K129" s="41" t="str">
        <f t="shared" si="84"/>
        <v/>
      </c>
      <c r="L129" s="40" t="str" cm="1">
        <f t="array" ref="L129">IF($AI129="","",IF(LEFT($AI129,2)="C|",IF($C129="","",SUMPRODUCT($AP$5:$AP$302*($AO$5:$AO$302=$A129),$BN$5:$BN$302)),IF($AI129="CT",L$13,IF(LEFT($AI129,3)="AM|",IF($C129="","",SUMPRODUCT($AP$5:$AP$302*($AN$5:$AN$302=$A129),$BN$5:$BN$302)),IF(LEFT($AI129,2)="S|",IF($AG129="","",INDEX($BN$5:$BN$302,$AH129)),IF($AI129="HDR","Month Target",""))))))</f>
        <v/>
      </c>
      <c r="M129" s="40" t="str" cm="1">
        <f t="array" ref="M129">IF($AI129="","",IF(LEFT($AI129,2)="C|",IF($C129="","",SUMPRODUCT($AP$5:$AP$302*($AO$5:$AO$302=$A129),$BO$5:$BO$302)),IF($AI129="CT",M$13,IF(LEFT($AI129,3)="AM|",IF($C129="","",SUMPRODUCT($AP$5:$AP$302*($AN$5:$AN$302=$A129),$BO$5:$BO$302)),IF(LEFT($AI129,2)="S|",IF($AG129="","",INDEX($BO$5:$BO$302,$AH129)),IF($AI129="HDR","Projected Close",""))))))</f>
        <v/>
      </c>
      <c r="N129" s="41" t="str">
        <f t="shared" si="76"/>
        <v/>
      </c>
      <c r="O129" s="41" t="str" cm="1">
        <f t="array" ref="O129">IF($AI129="HDR","Proj. vs LY",IF(OR($AI129="",M129=""),"",_xlfn.LET(_xlpm.ly,IF(LEFT($AI129,2)="C|",SUMPRODUCT($AP$5:$AP$302*($AO$5:$AO$302=$A129),$BK$5:$BK$302),IF($AI129="CT",SUMPRODUCT($AP$5:$AP$302,$BK$5:$BK$302),IF(LEFT($AI129,3)="AM|",SUMPRODUCT($AP$5:$AP$302*($AN$5:$AN$302=$A129),$BK$5:$BK$302),IF(LEFT($AI129,2)="S|",INDEX($BK$5:$BK$302,$AH129),0)))),IFERROR(M129/_xlpm.ly-1,""))))</f>
        <v/>
      </c>
      <c r="P129" s="40" t="str" cm="1">
        <f t="array" ref="P129">IF($AI129="","",IF(LEFT($AI129,2)="C|",IF($C129="","",SUMPRODUCT($AP$5:$AP$302*($AO$5:$AO$302=$A129),$AS$5:$AS$302)),IF($AI129="CT",P$13,IF(LEFT($AI129,3)="AM|",IF($C129="","",SUMPRODUCT($AP$5:$AP$302*($AN$5:$AN$302=$A129),$AS$5:$AS$302)),IF(LEFT($AI129,2)="S|",IF($AG129="","",INDEX($AS$5:$AS$302,$AH129)),IF($AI129="HDR","Trans TY",""))))))</f>
        <v/>
      </c>
      <c r="Q129" s="40" t="str" cm="1">
        <f t="array" ref="Q129">IF($AI129="","",IF(LEFT($AI129,2)="C|",IF($C129="","",SUMPRODUCT($AP$5:$AP$302*($AO$5:$AO$302=$A129),$AU$5:$AU$302)),IF($AI129="CT",Q$13,IF(LEFT($AI129,3)="AM|",IF($C129="","",SUMPRODUCT($AP$5:$AP$302*($AN$5:$AN$302=$A129),$AU$5:$AU$302)),IF(LEFT($AI129,2)="S|",IF($AG129="","",INDEX($AU$5:$AU$302,$AH129)),IF($AI129="HDR","Trans LY",""))))))</f>
        <v/>
      </c>
      <c r="R129" s="41" t="str">
        <f t="shared" si="85"/>
        <v/>
      </c>
      <c r="S129" s="41" t="str">
        <f t="shared" si="86"/>
        <v/>
      </c>
      <c r="T129" s="42" t="str">
        <f t="shared" si="87"/>
        <v/>
      </c>
      <c r="U129" s="42" t="str">
        <f t="shared" si="88"/>
        <v/>
      </c>
      <c r="V129" s="41" t="str">
        <f t="shared" si="89"/>
        <v/>
      </c>
      <c r="W129" s="40" t="str" cm="1">
        <f t="array" ref="W129">IF($AI129="","",IF(LEFT($AI129,2)="C|",_xlfn.LET(_xlpm.n,SUMPRODUCT($AP$5:$AP$302*($AO$5:$AO$302=$A129),$BB$5:$BB$302),IF(_xlpm.n=0,"",_xlpm.n)),IF($AI129="CT",W$13,IF(LEFT($AI129,3)="AM|",_xlfn.LET(_xlpm.n,SUMPRODUCT($AP$5:$AP$302*($AN$5:$AN$302=$A129),$BB$5:$BB$302),IF(_xlpm.n=0,"",_xlpm.n)),IF(LEFT($AI129,2)="S|",IF($AG129="","",_xlfn.LET(_xlpm.n,INDEX($BB$5:$BB$302,$AH129),IF(_xlpm.n=0,"",_xlpm.n))),IF($AI129="HDR","Footfall",""))))))</f>
        <v/>
      </c>
      <c r="X129" s="40" t="str" cm="1">
        <f t="array" ref="X129">IF($AI129="","",IF($AI129="HDR","Trans (FF stores)",IF(W129="","",IF(LEFT($AI129,2)="C|",SUMPRODUCT($AP$5:$AP$302*($AO$5:$AO$302=$A129),$BC$5:$BC$302),IF($AI129="CT",X$13,IF(LEFT($AI129,3)="AM|",SUMPRODUCT($AP$5:$AP$302*($AN$5:$AN$302=$A129),$BC$5:$BC$302),IF(LEFT($AI129,2)="S|",INDEX($BC$5:$BC$302,$AH129),"")))))))</f>
        <v/>
      </c>
      <c r="Y129" s="41" t="str">
        <f t="shared" si="77"/>
        <v/>
      </c>
      <c r="Z129" s="40" t="str" cm="1">
        <f t="array" ref="Z129">IF($AI129="","",IF(LEFT($AI129,2)="C|",IF($C129="","",SUMPRODUCT($AP$5:$AP$302*($AO$5:$AO$302=$A129),$CB$5:$CB$302)),IF($AI129="CT",Z$13,IF(LEFT($AI129,3)="AM|",IF($C129="","",SUMPRODUCT($AP$5:$AP$302*($AN$5:$AN$302=$A129),$CB$5:$CB$302)),IF(LEFT($AI129,2)="S|",IF($AG129="","",INDEX($CB$5:$CB$302,$AH129)),IF($AI129="HDR","Makeup Sales",""))))))</f>
        <v/>
      </c>
      <c r="AA129" s="41" t="str">
        <f t="shared" si="90"/>
        <v/>
      </c>
      <c r="AB129" s="40" t="str" cm="1">
        <f t="array" ref="AB129">IF($AI129="","",IF(LEFT($AI129,2)="C|",IF($C129="","",SUMPRODUCT($AP$5:$AP$302*($AO$5:$AO$302=$A129),$CK$5:$CK$302)),IF($AI129="CT",AB$13,IF(LEFT($AI129,3)="AM|",IF($C129="","",SUMPRODUCT($AP$5:$AP$302*($AN$5:$AN$302=$A129),$CK$5:$CK$302)),IF(LEFT($AI129,2)="S|",IF($AG129="","",INDEX($CK$5:$CK$302,$AH129)),IF($AI129="HDR","Makeup Target",""))))))</f>
        <v/>
      </c>
      <c r="AC129" s="41" t="str">
        <f t="shared" si="78"/>
        <v/>
      </c>
      <c r="AD129" s="40" t="str" cm="1">
        <f t="array" ref="AD129">IF($AI129="","",IF(LEFT($AI129,2)="C|",IF($C129="","",SUMPRODUCT($AP$5:$AP$302*($AO$5:$AO$302=$A129),$CI$5:$CI$302)),IF($AI129="CT",AD$13,IF(LEFT($AI129,3)="AM|",IF($C129="","",SUMPRODUCT($AP$5:$AP$302*($AN$5:$AN$302=$A129),$CI$5:$CI$302)),IF(LEFT($AI129,2)="S|",IF($AG129="","",INDEX($CI$5:$CI$302,$AH129)),IF($AI129="HDR","Cosmetic Sales",""))))))</f>
        <v/>
      </c>
      <c r="AE129" s="8" t="str" cm="1">
        <f t="array" ref="AE129">IF($AI129="","",IF(LEFT($AI129,2)="C|",IF($C129="","",SUMPRODUCT($AP$5:$AP$302*($AO$5:$AO$302=$A129)*$AQ$5:$AQ$302,$AR$5:$AR$302)),IF($AI129="CT",AE$13,IF(LEFT($AI129,3)="AM|",IF($C129="","",SUMPRODUCT($AP$5:$AP$302*($AN$5:$AN$302=$A129)*$AQ$5:$AQ$302,$AR$5:$AR$302)),IF(LEFT($AI129,2)="S|",IF($AG129="","",IF(INDEX($AQ$5:$AQ$302,$AH129)=1,D129,0)),IF($AI129="HDR","LFL Sales",""))))))</f>
        <v/>
      </c>
      <c r="AF129" s="8" t="str" cm="1">
        <f t="array" ref="AF129">IF($AI129="","",IF(LEFT($AI129,2)="C|",IF($C129="","",SUMPRODUCT($AP$5:$AP$302*($AO$5:$AO$302=$A129)*$AQ$5:$AQ$302,$AS$5:$AS$302)),IF($AI129="CT",AF$13,IF(LEFT($AI129,3)="AM|",IF($C129="","",SUMPRODUCT($AP$5:$AP$302*($AN$5:$AN$302=$A129)*$AQ$5:$AQ$302,$AS$5:$AS$302)),IF(LEFT($AI129,2)="S|",IF($AG129="","",IF(INDEX($AQ$5:$AQ$302,$AH129)=1,P129,0)),IF($AI129="HDR","LFL Trans",""))))))</f>
        <v/>
      </c>
      <c r="AG129" s="8" t="str" cm="1">
        <f t="array" ref="AG129">IF($AI129="","",IF(LEFT($AI129,2)="C|","",IF($AI129="CT","",IF(LEFT($AI129,3)="AM|","",IF(LEFT($AI129,2)="S|",IF($AH129="","",IF(INDEX($AP$5:$AP$302,$AH129)=1,1,"")),IF($AI129="HDR","Show",""))))))</f>
        <v/>
      </c>
      <c r="AH129" s="8" t="str">
        <f t="shared" si="91"/>
        <v/>
      </c>
      <c r="AI129" s="8"/>
      <c r="AN129" s="8" t="str" cm="1">
        <f t="array" ref="AN129">IF($AW129="","",_xlfn.LET(_xlpm.sa,IFERROR(TRIM(INDEX('Sales and count'!$D$4:$D$300,$BF129)&amp;""),""),_xlpm.ta,IFERROR(TRIM(INDEX('TY Sales Target'!$F$5:$F$300,$BG129)&amp;""),""),IF(AND(_xlpm.sa&lt;&gt;"",LEFT(_xlpm.sa,1)&lt;&gt;"#",_xlpm.sa&lt;&gt;"0"),_xlpm.sa,IF(AND(_xlpm.ta&lt;&gt;"",LEFT(_xlpm.ta,1)&lt;&gt;"#",_xlpm.ta&lt;&gt;"0"),_xlpm.ta,IF(ISNUMBER($BG129),"Unassigned","")))))</f>
        <v/>
      </c>
      <c r="AO129" s="8" t="str" cm="1">
        <f t="array" ref="AO129">IF($AW129="","",_xlfn.LET(_xlpm.sa,IFERROR(TRIM(INDEX('Sales and count'!$C$4:$C$300,$BF129)&amp;""),""),_xlpm.ta,IFERROR(TRIM(INDEX('TY Sales Target'!$D$5:$D$300,$BG129)&amp;""),""),IF(AND(_xlpm.sa&lt;&gt;"",LEFT(_xlpm.sa,1)&lt;&gt;"#",_xlpm.sa&lt;&gt;"0"),_xlpm.sa,IF(AND(_xlpm.ta&lt;&gt;"",LEFT(_xlpm.ta,1)&lt;&gt;"#",_xlpm.ta&lt;&gt;"0"),_xlpm.ta,""))))</f>
        <v/>
      </c>
      <c r="AP129" s="8">
        <f t="shared" si="60"/>
        <v>0</v>
      </c>
      <c r="AQ129" s="8">
        <f t="shared" si="61"/>
        <v>0</v>
      </c>
      <c r="AR129" s="8" cm="1">
        <f t="array" ref="AR129">IF($BF129="",0,_xlfn.LET(_xlpm.d,IFERROR(--'Sales and count'!$G$2:$CC$2,0),SUMPRODUCT(('Sales and count'!$G$3:$CC$3="Total")*(_xlpm.d&gt;=$U$4)*(_xlpm.d&lt;=$U$5),INDEX('Sales and count'!$G$4:$CC$300,$BF129,0))))</f>
        <v>0</v>
      </c>
      <c r="AS129" s="8" cm="1">
        <f t="array" ref="AS129">IF($BF129="",0,_xlfn.LET(_xlpm.d,IFERROR(--'Sales and count'!$F$2:$CB$2,0),SUMPRODUCT(('Sales and count'!$G$3:$CC$3="Transactions")*(_xlpm.d&gt;=$U$4)*(_xlpm.d&lt;=$U$5),INDEX('Sales and count'!$G$4:$CC$300,$BF129,0))))</f>
        <v>0</v>
      </c>
      <c r="AT129" s="8" cm="1">
        <f t="array" ref="AT129">IF($AW129="",0,SUMPRODUCT((TRIM('LY Sales '!$B$5:$B$200)=$AW129)*('LY Sales '!$C$2:$AG$2&gt;=EDATE($U$4,-12))*('LY Sales '!$C$2:$AG$2&lt;=EDATE($U$5,-12)),'LY Sales '!$C$5:$AG$200))</f>
        <v>0</v>
      </c>
      <c r="AU129" s="8" cm="1">
        <f t="array" ref="AU129">IF($AW129="",0,SUMPRODUCT((TRIM('LY Transaction'!$B$5:$B$200)=$AW129)*('LY Transaction'!$C$2:$AG$2&gt;=EDATE($U$4,-12))*('LY Transaction'!$C$2:$AG$2&lt;=EDATE($U$5,-12)),'LY Transaction'!$C$5:$AG$200))</f>
        <v>0</v>
      </c>
      <c r="AV129" s="8" cm="1">
        <f t="array" ref="AV129">IF(NOT(ISNUMBER($BG129)),0,SUMPRODUCT(('TY Sales Target'!$K$2:$AO$2&gt;=$U$4)*('TY Sales Target'!$K$2:$AO$2&lt;=$U$5),INDEX('TY Sales Target'!$K$5:$AO$300,$BG129,0)))</f>
        <v>0</v>
      </c>
      <c r="AW129" s="8" t="str" cm="1">
        <f t="array" ref="AW129">IFERROR(INDEX(_xlfn.ANCHORARRAY($BR$5),ROWS($AW$5:AW129)),"")</f>
        <v/>
      </c>
      <c r="BB129" cm="1">
        <f t="array" ref="BB129">IF($AW129="",0,SUMPRODUCT((TRIM(Footfall!$B$5:$B$301)=$AW129)*(Footfall!$C$1:$BZ$1&gt;=$U$4)*(Footfall!$C$2:$BZ$2&lt;=$U$5)*(Footfall!$C$1:$BZ$1&lt;&gt;""),Footfall!$C$5:$BZ$301))</f>
        <v>0</v>
      </c>
      <c r="BC129" cm="1">
        <f t="array" ref="BC129">IF(OR($BB129&lt;=0,$BD$1="",$BF129=""),0,_xlfn.LET(_xlpm.d,IFERROR(--'Sales and count'!$F$2:$CB$2,0),SUMPRODUCT(('Sales and count'!$G$3:$CC$3="Transactions")*(_xlpm.d&gt;=$BD$1)*(_xlpm.d&lt;=$BD$2),INDEX('Sales and count'!$G$4:$CC$300,$BF129,0))))</f>
        <v>0</v>
      </c>
      <c r="BF129" t="str" cm="1">
        <f t="array" ref="BF129">IF($AW129="","",IFERROR(MATCH($AW129,TRIM('Sales and count'!$A$4:$A$300&amp;""),0),""))</f>
        <v/>
      </c>
      <c r="BG129" t="str" cm="1">
        <f t="array" ref="BG129">IF($AW129="","",IFERROR(MATCH(IFERROR(_xlfn.XLOOKUP($AW129,$BT$5:$BT$22,$BU$5:$BU$22),$AW129),TRIM('TY Sales Target'!$B$5:$B$300&amp;""),0),""))</f>
        <v/>
      </c>
      <c r="BH129" t="str" cm="1">
        <f t="array" ref="BH129">IF(ISNUMBER($BG129),_xlfn.LET(_xlpm.p,TRIM(INDEX('TY Sales Target'!$I$5:$I$300,$BG129)&amp;""),IF(_xlpm.p="","Not set",_xlpm.p)),"Not set")</f>
        <v>Not set</v>
      </c>
      <c r="BI129" cm="1">
        <f t="array" ref="BI129">IF($BF129="",0,_xlfn.LET(_xlpm.d,IFERROR(--'Sales and count'!$G$2:$CC$2,0),SUMPRODUCT(('Sales and count'!$G$3:$CC$3="Total")*(_xlpm.d&gt;=$BZ$5)*(_xlpm.d&lt;=$BZ$6),INDEX('Sales and count'!$G$4:$CC$300,$BF129,0))))</f>
        <v>0</v>
      </c>
      <c r="BJ129" cm="1">
        <f t="array" ref="BJ129">IF($AW129="",0,SUMPRODUCT((TRIM('LY Sales '!$B$5:$B$200)=$AW129)*('LY Sales '!$C$2:$AG$2&gt;=EDATE($BZ$5,-12))*('LY Sales '!$C$2:$AG$2&lt;=EDATE($BZ$6,-12)),'LY Sales '!$C$5:$AG$200))</f>
        <v>0</v>
      </c>
      <c r="BK129" cm="1">
        <f t="array" ref="BK129">IF($AW129="",0,SUMPRODUCT((TRIM('LY Sales '!$B$5:$B$200)=$AW129)*('LY Sales '!$C$2:$AG$2&gt;=EDATE($BZ$5,-12))*('LY Sales '!$C$2:$AG$2&lt;=EDATE($BZ$7,-12)),'LY Sales '!$C$5:$AG$200))</f>
        <v>0</v>
      </c>
      <c r="BL129" cm="1">
        <f t="array" ref="BL129">IF($AW129="",0,SUMPRODUCT((TRIM('LY Sales '!$B$5:$B$200)=$AW129)*('LY Sales '!$C$2:$AG$2&gt;=EDATE($BZ$5,-12))*('LY Sales '!$C$2:$AG$2&lt;=EDATE($BZ$6,-12))*('LY Sales '!$C$5:$AG$200&gt;0)))</f>
        <v>0</v>
      </c>
      <c r="BM129" cm="1">
        <f t="array" ref="BM129">IF(NOT(ISNUMBER($BG129)),0,SUMPRODUCT(('TY Sales Target'!$K$2:$AO$2&gt;=$BZ$5)*('TY Sales Target'!$K$2:$AO$2&lt;=$BZ$6),INDEX('TY Sales Target'!$K$5:$AO$300,$BG129,0)))</f>
        <v>0</v>
      </c>
      <c r="BN129" cm="1">
        <f t="array" ref="BN129">IF(NOT(ISNUMBER($BG129)),0,SUMPRODUCT(('TY Sales Target'!$K$2:$AO$2&gt;=$BZ$5)*('TY Sales Target'!$K$2:$AO$2&lt;=$BZ$7),INDEX('TY Sales Target'!$K$5:$AO$300,$BG129,0)))</f>
        <v>0</v>
      </c>
      <c r="BO129" cm="1">
        <f t="array" ref="BO129">IF($AW129="",0,IFERROR(_xlfn.SWITCH($BP129,"LY trend",$BI129*$BK129/$BJ129,"Target curve",$BI129*$BN129/$BM129,"Run rate",$BI129/$BZ$8*$BZ$9,0),0))</f>
        <v>0</v>
      </c>
      <c r="BP129" t="str">
        <f t="shared" si="59"/>
        <v/>
      </c>
      <c r="CB129" cm="1">
        <f t="array" ref="CB129">IF($AW129="",0,_xlfn.LET(_xlpm.k,IFERROR(_xlfn.XLOOKUP($AW129,$CD$6:$CD$21,$CE$6:$CE$21),$AW129),SUMPRODUCT((TRIM('Makeup '!$A$2:$A$300&amp;"")=_xlpm.k)*1,IFERROR('Makeup '!$F$2:$F$300*1,0))))</f>
        <v>0</v>
      </c>
      <c r="CF129" t="str" cm="1">
        <f t="array" ref="CF129">IF($AW129="","",_xlfn.LET(_xlpm.c,IFERROR(TRIM(INDEX('Sales and count'!$B$4:$B$300,$BF129)&amp;""),""),IF(OR(_xlpm.c="",_xlpm.c="0",LEFT(_xlpm.c,1)="#"),"Not set",_xlpm.c)))</f>
        <v/>
      </c>
      <c r="CH129" cm="1">
        <f t="array" ref="CH129">IF($AW129="",0,_xlfn.LET(_xlpm.k,IFERROR(_xlfn.XLOOKUP($AW129,$CD$6:$CD$21,$CE$6:$CE$21),$AW129),--(SUMPRODUCT((TRIM('Makeup '!$A$2:$A$300&amp;"")=_xlpm.k)*ISNUMBER('Makeup '!$F$2:$F$300))&gt;0)))</f>
        <v>0</v>
      </c>
      <c r="CI129">
        <f t="shared" si="62"/>
        <v>0</v>
      </c>
      <c r="CJ129" cm="1">
        <f t="array" ref="CJ129">IF($AW129="",0,--(SUMPRODUCT(--(TRIM(Footfall!$B$5:$B$301)=$AW129))&gt;0))</f>
        <v>0</v>
      </c>
      <c r="CK129" s="8" cm="1">
        <f t="array" ref="CK129">IF($AW129="",0,_xlfn.LET(_xlpm.r,IFERROR(MATCH(IFERROR(_xlfn.XLOOKUP($AW129,$BT$5:$BT$22,$BU$5:$BU$22),$AW129),TRIM('TY Beauty Target'!$B$5:$B$300&amp;""),0),""),IF(ISNUMBER(_xlpm.r),SUMPRODUCT(('TY Beauty Target'!$L$2:$AP$2&gt;=$U$4)*('TY Beauty Target'!$L$2:$AP$2&lt;=$U$5),INDEX('TY Beauty Target'!$L$5:$AP$300,_xlpm.r,0)),0)))</f>
        <v>0</v>
      </c>
    </row>
    <row r="130" spans="1:89" ht="15" customHeight="1" x14ac:dyDescent="0.25">
      <c r="A130" s="38" t="str">
        <f t="shared" si="79"/>
        <v/>
      </c>
      <c r="B130" s="43" t="str" cm="1">
        <f t="array" ref="B130">IF($AI130="","",IF(LEFT($AI130,2)="C|",IF($C130="","",_xlfn.TEXTJOIN(", ",TRUE,_xlfn.UNIQUE(_xlfn._xlws.FILTER($AN$5:$AN$302,($AP$5:$AP$302=1)*($AO$5:$AO$302=$A130))))),IF($AI130="CT",B$13,IF(LEFT($AI130,3)="AM|",IF($C130="","",ROWS(_xlfn.UNIQUE(_xlfn._xlws.FILTER($AO$5:$AO$302,($AP$5:$AP$302=1)*($AN$5:$AN$302=$A130))))),IF(LEFT($AI130,2)="S|",IF($AG130="","",INDEX($AO$5:$AO$302,$AH130)),IF($AI130="HDR","City",""))))))</f>
        <v/>
      </c>
      <c r="C130" s="39" t="str" cm="1">
        <f t="array" ref="C130">IF($AI130="","",IF(LEFT($AI130,2)="C|",_xlfn.LET(_xlpm.n,SUMPRODUCT($AP$5:$AP$302*($AO$5:$AO$302=$A130)),IF(_xlpm.n=0,"",_xlpm.n)),IF($AI130="CT",C$13,IF(LEFT($AI130,3)="AM|",_xlfn.LET(_xlpm.n,SUMPRODUCT($AP$5:$AP$302*($AN$5:$AN$302=$A130)),IF(_xlpm.n=0,"",_xlpm.n)),IF(LEFT($AI130,2)="S|","",IF($AI130="HDR","# Stores",""))))))</f>
        <v/>
      </c>
      <c r="D130" s="40" t="str" cm="1">
        <f t="array" ref="D130">IF($AI130="","",IF(LEFT($AI130,2)="C|",IF($C130="","",SUMPRODUCT($AP$5:$AP$302*($AO$5:$AO$302=$A130),$AR$5:$AR$302)),IF($AI130="CT",D$13,IF(LEFT($AI130,3)="AM|",IF($C130="","",SUMPRODUCT($AP$5:$AP$302*($AN$5:$AN$302=$A130),$AR$5:$AR$302)),IF(LEFT($AI130,2)="S|",IF($AG130="","",INDEX($AR$5:$AR$302,$AH130)),IF($AI130="HDR","Sales TY",""))))))</f>
        <v/>
      </c>
      <c r="E130" s="40" t="str" cm="1">
        <f t="array" ref="E130">IF($AI130="","",IF(LEFT($AI130,2)="C|",IF($C130="","",SUMPRODUCT($AP$5:$AP$302*($AO$5:$AO$302=$A130),$AT$5:$AT$302)),IF($AI130="CT",E$13,IF(LEFT($AI130,3)="AM|",IF($C130="","",SUMPRODUCT($AP$5:$AP$302*($AN$5:$AN$302=$A130),$AT$5:$AT$302)),IF(LEFT($AI130,2)="S|",IF($AG130="","",INDEX($AT$5:$AT$302,$AH130)),IF($AI130="HDR","Sales LY",""))))))</f>
        <v/>
      </c>
      <c r="F130" s="41" t="str">
        <f t="shared" si="80"/>
        <v/>
      </c>
      <c r="G130" s="41" t="str">
        <f t="shared" si="81"/>
        <v/>
      </c>
      <c r="H130" s="40" t="str" cm="1">
        <f t="array" ref="H130">IF($AI130="","",IF(LEFT($AI130,2)="C|",IF($C130="","",SUMPRODUCT($AP$5:$AP$302*($AO$5:$AO$302=$A130),$AV$5:$AV$302)),IF($AI130="CT",H$13,IF(LEFT($AI130,3)="AM|",IF($C130="","",SUMPRODUCT($AP$5:$AP$302*($AN$5:$AN$302=$A130),$AV$5:$AV$302)),IF(LEFT($AI130,2)="S|",IF($AG130="","",INDEX($AV$5:$AV$302,$AH130)),IF($AI130="HDR","Target",""))))))</f>
        <v/>
      </c>
      <c r="I130" s="41" t="str">
        <f t="shared" si="82"/>
        <v/>
      </c>
      <c r="J130" s="40" t="str">
        <f t="shared" si="83"/>
        <v/>
      </c>
      <c r="K130" s="41" t="str">
        <f t="shared" si="84"/>
        <v/>
      </c>
      <c r="L130" s="40" t="str" cm="1">
        <f t="array" ref="L130">IF($AI130="","",IF(LEFT($AI130,2)="C|",IF($C130="","",SUMPRODUCT($AP$5:$AP$302*($AO$5:$AO$302=$A130),$BN$5:$BN$302)),IF($AI130="CT",L$13,IF(LEFT($AI130,3)="AM|",IF($C130="","",SUMPRODUCT($AP$5:$AP$302*($AN$5:$AN$302=$A130),$BN$5:$BN$302)),IF(LEFT($AI130,2)="S|",IF($AG130="","",INDEX($BN$5:$BN$302,$AH130)),IF($AI130="HDR","Month Target",""))))))</f>
        <v/>
      </c>
      <c r="M130" s="40" t="str" cm="1">
        <f t="array" ref="M130">IF($AI130="","",IF(LEFT($AI130,2)="C|",IF($C130="","",SUMPRODUCT($AP$5:$AP$302*($AO$5:$AO$302=$A130),$BO$5:$BO$302)),IF($AI130="CT",M$13,IF(LEFT($AI130,3)="AM|",IF($C130="","",SUMPRODUCT($AP$5:$AP$302*($AN$5:$AN$302=$A130),$BO$5:$BO$302)),IF(LEFT($AI130,2)="S|",IF($AG130="","",INDEX($BO$5:$BO$302,$AH130)),IF($AI130="HDR","Projected Close",""))))))</f>
        <v/>
      </c>
      <c r="N130" s="41" t="str">
        <f t="shared" si="76"/>
        <v/>
      </c>
      <c r="O130" s="41" t="str" cm="1">
        <f t="array" ref="O130">IF($AI130="HDR","Proj. vs LY",IF(OR($AI130="",M130=""),"",_xlfn.LET(_xlpm.ly,IF(LEFT($AI130,2)="C|",SUMPRODUCT($AP$5:$AP$302*($AO$5:$AO$302=$A130),$BK$5:$BK$302),IF($AI130="CT",SUMPRODUCT($AP$5:$AP$302,$BK$5:$BK$302),IF(LEFT($AI130,3)="AM|",SUMPRODUCT($AP$5:$AP$302*($AN$5:$AN$302=$A130),$BK$5:$BK$302),IF(LEFT($AI130,2)="S|",INDEX($BK$5:$BK$302,$AH130),0)))),IFERROR(M130/_xlpm.ly-1,""))))</f>
        <v/>
      </c>
      <c r="P130" s="40" t="str" cm="1">
        <f t="array" ref="P130">IF($AI130="","",IF(LEFT($AI130,2)="C|",IF($C130="","",SUMPRODUCT($AP$5:$AP$302*($AO$5:$AO$302=$A130),$AS$5:$AS$302)),IF($AI130="CT",P$13,IF(LEFT($AI130,3)="AM|",IF($C130="","",SUMPRODUCT($AP$5:$AP$302*($AN$5:$AN$302=$A130),$AS$5:$AS$302)),IF(LEFT($AI130,2)="S|",IF($AG130="","",INDEX($AS$5:$AS$302,$AH130)),IF($AI130="HDR","Trans TY",""))))))</f>
        <v/>
      </c>
      <c r="Q130" s="40" t="str" cm="1">
        <f t="array" ref="Q130">IF($AI130="","",IF(LEFT($AI130,2)="C|",IF($C130="","",SUMPRODUCT($AP$5:$AP$302*($AO$5:$AO$302=$A130),$AU$5:$AU$302)),IF($AI130="CT",Q$13,IF(LEFT($AI130,3)="AM|",IF($C130="","",SUMPRODUCT($AP$5:$AP$302*($AN$5:$AN$302=$A130),$AU$5:$AU$302)),IF(LEFT($AI130,2)="S|",IF($AG130="","",INDEX($AU$5:$AU$302,$AH130)),IF($AI130="HDR","Trans LY",""))))))</f>
        <v/>
      </c>
      <c r="R130" s="41" t="str">
        <f t="shared" si="85"/>
        <v/>
      </c>
      <c r="S130" s="41" t="str">
        <f t="shared" si="86"/>
        <v/>
      </c>
      <c r="T130" s="42" t="str">
        <f t="shared" si="87"/>
        <v/>
      </c>
      <c r="U130" s="42" t="str">
        <f t="shared" si="88"/>
        <v/>
      </c>
      <c r="V130" s="41" t="str">
        <f t="shared" si="89"/>
        <v/>
      </c>
      <c r="W130" s="40" t="str" cm="1">
        <f t="array" ref="W130">IF($AI130="","",IF(LEFT($AI130,2)="C|",_xlfn.LET(_xlpm.n,SUMPRODUCT($AP$5:$AP$302*($AO$5:$AO$302=$A130),$BB$5:$BB$302),IF(_xlpm.n=0,"",_xlpm.n)),IF($AI130="CT",W$13,IF(LEFT($AI130,3)="AM|",_xlfn.LET(_xlpm.n,SUMPRODUCT($AP$5:$AP$302*($AN$5:$AN$302=$A130),$BB$5:$BB$302),IF(_xlpm.n=0,"",_xlpm.n)),IF(LEFT($AI130,2)="S|",IF($AG130="","",_xlfn.LET(_xlpm.n,INDEX($BB$5:$BB$302,$AH130),IF(_xlpm.n=0,"",_xlpm.n))),IF($AI130="HDR","Footfall",""))))))</f>
        <v/>
      </c>
      <c r="X130" s="40" t="str" cm="1">
        <f t="array" ref="X130">IF($AI130="","",IF($AI130="HDR","Trans (FF stores)",IF(W130="","",IF(LEFT($AI130,2)="C|",SUMPRODUCT($AP$5:$AP$302*($AO$5:$AO$302=$A130),$BC$5:$BC$302),IF($AI130="CT",X$13,IF(LEFT($AI130,3)="AM|",SUMPRODUCT($AP$5:$AP$302*($AN$5:$AN$302=$A130),$BC$5:$BC$302),IF(LEFT($AI130,2)="S|",INDEX($BC$5:$BC$302,$AH130),"")))))))</f>
        <v/>
      </c>
      <c r="Y130" s="41" t="str">
        <f t="shared" si="77"/>
        <v/>
      </c>
      <c r="Z130" s="40" t="str" cm="1">
        <f t="array" ref="Z130">IF($AI130="","",IF(LEFT($AI130,2)="C|",IF($C130="","",SUMPRODUCT($AP$5:$AP$302*($AO$5:$AO$302=$A130),$CB$5:$CB$302)),IF($AI130="CT",Z$13,IF(LEFT($AI130,3)="AM|",IF($C130="","",SUMPRODUCT($AP$5:$AP$302*($AN$5:$AN$302=$A130),$CB$5:$CB$302)),IF(LEFT($AI130,2)="S|",IF($AG130="","",INDEX($CB$5:$CB$302,$AH130)),IF($AI130="HDR","Makeup Sales",""))))))</f>
        <v/>
      </c>
      <c r="AA130" s="41" t="str">
        <f t="shared" si="90"/>
        <v/>
      </c>
      <c r="AB130" s="40" t="str" cm="1">
        <f t="array" ref="AB130">IF($AI130="","",IF(LEFT($AI130,2)="C|",IF($C130="","",SUMPRODUCT($AP$5:$AP$302*($AO$5:$AO$302=$A130),$CK$5:$CK$302)),IF($AI130="CT",AB$13,IF(LEFT($AI130,3)="AM|",IF($C130="","",SUMPRODUCT($AP$5:$AP$302*($AN$5:$AN$302=$A130),$CK$5:$CK$302)),IF(LEFT($AI130,2)="S|",IF($AG130="","",INDEX($CK$5:$CK$302,$AH130)),IF($AI130="HDR","Makeup Target",""))))))</f>
        <v/>
      </c>
      <c r="AC130" s="41" t="str">
        <f t="shared" si="78"/>
        <v/>
      </c>
      <c r="AD130" s="40" t="str" cm="1">
        <f t="array" ref="AD130">IF($AI130="","",IF(LEFT($AI130,2)="C|",IF($C130="","",SUMPRODUCT($AP$5:$AP$302*($AO$5:$AO$302=$A130),$CI$5:$CI$302)),IF($AI130="CT",AD$13,IF(LEFT($AI130,3)="AM|",IF($C130="","",SUMPRODUCT($AP$5:$AP$302*($AN$5:$AN$302=$A130),$CI$5:$CI$302)),IF(LEFT($AI130,2)="S|",IF($AG130="","",INDEX($CI$5:$CI$302,$AH130)),IF($AI130="HDR","Cosmetic Sales",""))))))</f>
        <v/>
      </c>
      <c r="AE130" s="8" t="str" cm="1">
        <f t="array" ref="AE130">IF($AI130="","",IF(LEFT($AI130,2)="C|",IF($C130="","",SUMPRODUCT($AP$5:$AP$302*($AO$5:$AO$302=$A130)*$AQ$5:$AQ$302,$AR$5:$AR$302)),IF($AI130="CT",AE$13,IF(LEFT($AI130,3)="AM|",IF($C130="","",SUMPRODUCT($AP$5:$AP$302*($AN$5:$AN$302=$A130)*$AQ$5:$AQ$302,$AR$5:$AR$302)),IF(LEFT($AI130,2)="S|",IF($AG130="","",IF(INDEX($AQ$5:$AQ$302,$AH130)=1,D130,0)),IF($AI130="HDR","LFL Sales",""))))))</f>
        <v/>
      </c>
      <c r="AF130" s="8" t="str" cm="1">
        <f t="array" ref="AF130">IF($AI130="","",IF(LEFT($AI130,2)="C|",IF($C130="","",SUMPRODUCT($AP$5:$AP$302*($AO$5:$AO$302=$A130)*$AQ$5:$AQ$302,$AS$5:$AS$302)),IF($AI130="CT",AF$13,IF(LEFT($AI130,3)="AM|",IF($C130="","",SUMPRODUCT($AP$5:$AP$302*($AN$5:$AN$302=$A130)*$AQ$5:$AQ$302,$AS$5:$AS$302)),IF(LEFT($AI130,2)="S|",IF($AG130="","",IF(INDEX($AQ$5:$AQ$302,$AH130)=1,P130,0)),IF($AI130="HDR","LFL Trans",""))))))</f>
        <v/>
      </c>
      <c r="AG130" s="8" t="str" cm="1">
        <f t="array" ref="AG130">IF($AI130="","",IF(LEFT($AI130,2)="C|","",IF($AI130="CT","",IF(LEFT($AI130,3)="AM|","",IF(LEFT($AI130,2)="S|",IF($AH130="","",IF(INDEX($AP$5:$AP$302,$AH130)=1,1,"")),IF($AI130="HDR","Show",""))))))</f>
        <v/>
      </c>
      <c r="AH130" s="8" t="str">
        <f t="shared" si="91"/>
        <v/>
      </c>
      <c r="AI130" s="8"/>
      <c r="AN130" s="8" t="str" cm="1">
        <f t="array" ref="AN130">IF($AW130="","",_xlfn.LET(_xlpm.sa,IFERROR(TRIM(INDEX('Sales and count'!$D$4:$D$300,$BF130)&amp;""),""),_xlpm.ta,IFERROR(TRIM(INDEX('TY Sales Target'!$F$5:$F$300,$BG130)&amp;""),""),IF(AND(_xlpm.sa&lt;&gt;"",LEFT(_xlpm.sa,1)&lt;&gt;"#",_xlpm.sa&lt;&gt;"0"),_xlpm.sa,IF(AND(_xlpm.ta&lt;&gt;"",LEFT(_xlpm.ta,1)&lt;&gt;"#",_xlpm.ta&lt;&gt;"0"),_xlpm.ta,IF(ISNUMBER($BG130),"Unassigned","")))))</f>
        <v/>
      </c>
      <c r="AO130" s="8" t="str" cm="1">
        <f t="array" ref="AO130">IF($AW130="","",_xlfn.LET(_xlpm.sa,IFERROR(TRIM(INDEX('Sales and count'!$C$4:$C$300,$BF130)&amp;""),""),_xlpm.ta,IFERROR(TRIM(INDEX('TY Sales Target'!$D$5:$D$300,$BG130)&amp;""),""),IF(AND(_xlpm.sa&lt;&gt;"",LEFT(_xlpm.sa,1)&lt;&gt;"#",_xlpm.sa&lt;&gt;"0"),_xlpm.sa,IF(AND(_xlpm.ta&lt;&gt;"",LEFT(_xlpm.ta,1)&lt;&gt;"#",_xlpm.ta&lt;&gt;"0"),_xlpm.ta,""))))</f>
        <v/>
      </c>
      <c r="AP130" s="8">
        <f t="shared" si="60"/>
        <v>0</v>
      </c>
      <c r="AQ130" s="8">
        <f t="shared" si="61"/>
        <v>0</v>
      </c>
      <c r="AR130" s="8" cm="1">
        <f t="array" ref="AR130">IF($BF130="",0,_xlfn.LET(_xlpm.d,IFERROR(--'Sales and count'!$G$2:$CC$2,0),SUMPRODUCT(('Sales and count'!$G$3:$CC$3="Total")*(_xlpm.d&gt;=$U$4)*(_xlpm.d&lt;=$U$5),INDEX('Sales and count'!$G$4:$CC$300,$BF130,0))))</f>
        <v>0</v>
      </c>
      <c r="AS130" s="8" cm="1">
        <f t="array" ref="AS130">IF($BF130="",0,_xlfn.LET(_xlpm.d,IFERROR(--'Sales and count'!$F$2:$CB$2,0),SUMPRODUCT(('Sales and count'!$G$3:$CC$3="Transactions")*(_xlpm.d&gt;=$U$4)*(_xlpm.d&lt;=$U$5),INDEX('Sales and count'!$G$4:$CC$300,$BF130,0))))</f>
        <v>0</v>
      </c>
      <c r="AT130" s="8" cm="1">
        <f t="array" ref="AT130">IF($AW130="",0,SUMPRODUCT((TRIM('LY Sales '!$B$5:$B$200)=$AW130)*('LY Sales '!$C$2:$AG$2&gt;=EDATE($U$4,-12))*('LY Sales '!$C$2:$AG$2&lt;=EDATE($U$5,-12)),'LY Sales '!$C$5:$AG$200))</f>
        <v>0</v>
      </c>
      <c r="AU130" s="8" cm="1">
        <f t="array" ref="AU130">IF($AW130="",0,SUMPRODUCT((TRIM('LY Transaction'!$B$5:$B$200)=$AW130)*('LY Transaction'!$C$2:$AG$2&gt;=EDATE($U$4,-12))*('LY Transaction'!$C$2:$AG$2&lt;=EDATE($U$5,-12)),'LY Transaction'!$C$5:$AG$200))</f>
        <v>0</v>
      </c>
      <c r="AV130" s="8" cm="1">
        <f t="array" ref="AV130">IF(NOT(ISNUMBER($BG130)),0,SUMPRODUCT(('TY Sales Target'!$K$2:$AO$2&gt;=$U$4)*('TY Sales Target'!$K$2:$AO$2&lt;=$U$5),INDEX('TY Sales Target'!$K$5:$AO$300,$BG130,0)))</f>
        <v>0</v>
      </c>
      <c r="AW130" s="8" t="str" cm="1">
        <f t="array" ref="AW130">IFERROR(INDEX(_xlfn.ANCHORARRAY($BR$5),ROWS($AW$5:AW130)),"")</f>
        <v/>
      </c>
      <c r="BB130" cm="1">
        <f t="array" ref="BB130">IF($AW130="",0,SUMPRODUCT((TRIM(Footfall!$B$5:$B$301)=$AW130)*(Footfall!$C$1:$BZ$1&gt;=$U$4)*(Footfall!$C$2:$BZ$2&lt;=$U$5)*(Footfall!$C$1:$BZ$1&lt;&gt;""),Footfall!$C$5:$BZ$301))</f>
        <v>0</v>
      </c>
      <c r="BC130" cm="1">
        <f t="array" ref="BC130">IF(OR($BB130&lt;=0,$BD$1="",$BF130=""),0,_xlfn.LET(_xlpm.d,IFERROR(--'Sales and count'!$F$2:$CB$2,0),SUMPRODUCT(('Sales and count'!$G$3:$CC$3="Transactions")*(_xlpm.d&gt;=$BD$1)*(_xlpm.d&lt;=$BD$2),INDEX('Sales and count'!$G$4:$CC$300,$BF130,0))))</f>
        <v>0</v>
      </c>
      <c r="BF130" t="str" cm="1">
        <f t="array" ref="BF130">IF($AW130="","",IFERROR(MATCH($AW130,TRIM('Sales and count'!$A$4:$A$300&amp;""),0),""))</f>
        <v/>
      </c>
      <c r="BG130" t="str" cm="1">
        <f t="array" ref="BG130">IF($AW130="","",IFERROR(MATCH(IFERROR(_xlfn.XLOOKUP($AW130,$BT$5:$BT$22,$BU$5:$BU$22),$AW130),TRIM('TY Sales Target'!$B$5:$B$300&amp;""),0),""))</f>
        <v/>
      </c>
      <c r="BH130" t="str" cm="1">
        <f t="array" ref="BH130">IF(ISNUMBER($BG130),_xlfn.LET(_xlpm.p,TRIM(INDEX('TY Sales Target'!$I$5:$I$300,$BG130)&amp;""),IF(_xlpm.p="","Not set",_xlpm.p)),"Not set")</f>
        <v>Not set</v>
      </c>
      <c r="BI130" cm="1">
        <f t="array" ref="BI130">IF($BF130="",0,_xlfn.LET(_xlpm.d,IFERROR(--'Sales and count'!$G$2:$CC$2,0),SUMPRODUCT(('Sales and count'!$G$3:$CC$3="Total")*(_xlpm.d&gt;=$BZ$5)*(_xlpm.d&lt;=$BZ$6),INDEX('Sales and count'!$G$4:$CC$300,$BF130,0))))</f>
        <v>0</v>
      </c>
      <c r="BJ130" cm="1">
        <f t="array" ref="BJ130">IF($AW130="",0,SUMPRODUCT((TRIM('LY Sales '!$B$5:$B$200)=$AW130)*('LY Sales '!$C$2:$AG$2&gt;=EDATE($BZ$5,-12))*('LY Sales '!$C$2:$AG$2&lt;=EDATE($BZ$6,-12)),'LY Sales '!$C$5:$AG$200))</f>
        <v>0</v>
      </c>
      <c r="BK130" cm="1">
        <f t="array" ref="BK130">IF($AW130="",0,SUMPRODUCT((TRIM('LY Sales '!$B$5:$B$200)=$AW130)*('LY Sales '!$C$2:$AG$2&gt;=EDATE($BZ$5,-12))*('LY Sales '!$C$2:$AG$2&lt;=EDATE($BZ$7,-12)),'LY Sales '!$C$5:$AG$200))</f>
        <v>0</v>
      </c>
      <c r="BL130" cm="1">
        <f t="array" ref="BL130">IF($AW130="",0,SUMPRODUCT((TRIM('LY Sales '!$B$5:$B$200)=$AW130)*('LY Sales '!$C$2:$AG$2&gt;=EDATE($BZ$5,-12))*('LY Sales '!$C$2:$AG$2&lt;=EDATE($BZ$6,-12))*('LY Sales '!$C$5:$AG$200&gt;0)))</f>
        <v>0</v>
      </c>
      <c r="BM130" cm="1">
        <f t="array" ref="BM130">IF(NOT(ISNUMBER($BG130)),0,SUMPRODUCT(('TY Sales Target'!$K$2:$AO$2&gt;=$BZ$5)*('TY Sales Target'!$K$2:$AO$2&lt;=$BZ$6),INDEX('TY Sales Target'!$K$5:$AO$300,$BG130,0)))</f>
        <v>0</v>
      </c>
      <c r="BN130" cm="1">
        <f t="array" ref="BN130">IF(NOT(ISNUMBER($BG130)),0,SUMPRODUCT(('TY Sales Target'!$K$2:$AO$2&gt;=$BZ$5)*('TY Sales Target'!$K$2:$AO$2&lt;=$BZ$7),INDEX('TY Sales Target'!$K$5:$AO$300,$BG130,0)))</f>
        <v>0</v>
      </c>
      <c r="BO130" cm="1">
        <f t="array" ref="BO130">IF($AW130="",0,IFERROR(_xlfn.SWITCH($BP130,"LY trend",$BI130*$BK130/$BJ130,"Target curve",$BI130*$BN130/$BM130,"Run rate",$BI130/$BZ$8*$BZ$9,0),0))</f>
        <v>0</v>
      </c>
      <c r="BP130" t="str">
        <f t="shared" si="59"/>
        <v/>
      </c>
      <c r="CB130" cm="1">
        <f t="array" ref="CB130">IF($AW130="",0,_xlfn.LET(_xlpm.k,IFERROR(_xlfn.XLOOKUP($AW130,$CD$6:$CD$21,$CE$6:$CE$21),$AW130),SUMPRODUCT((TRIM('Makeup '!$A$2:$A$300&amp;"")=_xlpm.k)*1,IFERROR('Makeup '!$F$2:$F$300*1,0))))</f>
        <v>0</v>
      </c>
      <c r="CF130" t="str" cm="1">
        <f t="array" ref="CF130">IF($AW130="","",_xlfn.LET(_xlpm.c,IFERROR(TRIM(INDEX('Sales and count'!$B$4:$B$300,$BF130)&amp;""),""),IF(OR(_xlpm.c="",_xlpm.c="0",LEFT(_xlpm.c,1)="#"),"Not set",_xlpm.c)))</f>
        <v/>
      </c>
      <c r="CH130" cm="1">
        <f t="array" ref="CH130">IF($AW130="",0,_xlfn.LET(_xlpm.k,IFERROR(_xlfn.XLOOKUP($AW130,$CD$6:$CD$21,$CE$6:$CE$21),$AW130),--(SUMPRODUCT((TRIM('Makeup '!$A$2:$A$300&amp;"")=_xlpm.k)*ISNUMBER('Makeup '!$F$2:$F$300))&gt;0)))</f>
        <v>0</v>
      </c>
      <c r="CI130">
        <f t="shared" si="62"/>
        <v>0</v>
      </c>
      <c r="CJ130" cm="1">
        <f t="array" ref="CJ130">IF($AW130="",0,--(SUMPRODUCT(--(TRIM(Footfall!$B$5:$B$301)=$AW130))&gt;0))</f>
        <v>0</v>
      </c>
      <c r="CK130" s="8" cm="1">
        <f t="array" ref="CK130">IF($AW130="",0,_xlfn.LET(_xlpm.r,IFERROR(MATCH(IFERROR(_xlfn.XLOOKUP($AW130,$BT$5:$BT$22,$BU$5:$BU$22),$AW130),TRIM('TY Beauty Target'!$B$5:$B$300&amp;""),0),""),IF(ISNUMBER(_xlpm.r),SUMPRODUCT(('TY Beauty Target'!$L$2:$AP$2&gt;=$U$4)*('TY Beauty Target'!$L$2:$AP$2&lt;=$U$5),INDEX('TY Beauty Target'!$L$5:$AP$300,_xlpm.r,0)),0)))</f>
        <v>0</v>
      </c>
    </row>
    <row r="131" spans="1:89" ht="15" customHeight="1" x14ac:dyDescent="0.25">
      <c r="A131" s="38" t="str">
        <f t="shared" si="79"/>
        <v/>
      </c>
      <c r="B131" s="43" t="str" cm="1">
        <f t="array" ref="B131">IF($AI131="","",IF(LEFT($AI131,2)="C|",IF($C131="","",_xlfn.TEXTJOIN(", ",TRUE,_xlfn.UNIQUE(_xlfn._xlws.FILTER($AN$5:$AN$302,($AP$5:$AP$302=1)*($AO$5:$AO$302=$A131))))),IF($AI131="CT",B$13,IF(LEFT($AI131,3)="AM|",IF($C131="","",ROWS(_xlfn.UNIQUE(_xlfn._xlws.FILTER($AO$5:$AO$302,($AP$5:$AP$302=1)*($AN$5:$AN$302=$A131))))),IF(LEFT($AI131,2)="S|",IF($AG131="","",INDEX($AO$5:$AO$302,$AH131)),IF($AI131="HDR","City",""))))))</f>
        <v/>
      </c>
      <c r="C131" s="39" t="str" cm="1">
        <f t="array" ref="C131">IF($AI131="","",IF(LEFT($AI131,2)="C|",_xlfn.LET(_xlpm.n,SUMPRODUCT($AP$5:$AP$302*($AO$5:$AO$302=$A131)),IF(_xlpm.n=0,"",_xlpm.n)),IF($AI131="CT",C$13,IF(LEFT($AI131,3)="AM|",_xlfn.LET(_xlpm.n,SUMPRODUCT($AP$5:$AP$302*($AN$5:$AN$302=$A131)),IF(_xlpm.n=0,"",_xlpm.n)),IF(LEFT($AI131,2)="S|","",IF($AI131="HDR","# Stores",""))))))</f>
        <v/>
      </c>
      <c r="D131" s="40" t="str" cm="1">
        <f t="array" ref="D131">IF($AI131="","",IF(LEFT($AI131,2)="C|",IF($C131="","",SUMPRODUCT($AP$5:$AP$302*($AO$5:$AO$302=$A131),$AR$5:$AR$302)),IF($AI131="CT",D$13,IF(LEFT($AI131,3)="AM|",IF($C131="","",SUMPRODUCT($AP$5:$AP$302*($AN$5:$AN$302=$A131),$AR$5:$AR$302)),IF(LEFT($AI131,2)="S|",IF($AG131="","",INDEX($AR$5:$AR$302,$AH131)),IF($AI131="HDR","Sales TY",""))))))</f>
        <v/>
      </c>
      <c r="E131" s="40" t="str" cm="1">
        <f t="array" ref="E131">IF($AI131="","",IF(LEFT($AI131,2)="C|",IF($C131="","",SUMPRODUCT($AP$5:$AP$302*($AO$5:$AO$302=$A131),$AT$5:$AT$302)),IF($AI131="CT",E$13,IF(LEFT($AI131,3)="AM|",IF($C131="","",SUMPRODUCT($AP$5:$AP$302*($AN$5:$AN$302=$A131),$AT$5:$AT$302)),IF(LEFT($AI131,2)="S|",IF($AG131="","",INDEX($AT$5:$AT$302,$AH131)),IF($AI131="HDR","Sales LY",""))))))</f>
        <v/>
      </c>
      <c r="F131" s="41" t="str">
        <f t="shared" si="80"/>
        <v/>
      </c>
      <c r="G131" s="41" t="str">
        <f t="shared" si="81"/>
        <v/>
      </c>
      <c r="H131" s="40" t="str" cm="1">
        <f t="array" ref="H131">IF($AI131="","",IF(LEFT($AI131,2)="C|",IF($C131="","",SUMPRODUCT($AP$5:$AP$302*($AO$5:$AO$302=$A131),$AV$5:$AV$302)),IF($AI131="CT",H$13,IF(LEFT($AI131,3)="AM|",IF($C131="","",SUMPRODUCT($AP$5:$AP$302*($AN$5:$AN$302=$A131),$AV$5:$AV$302)),IF(LEFT($AI131,2)="S|",IF($AG131="","",INDEX($AV$5:$AV$302,$AH131)),IF($AI131="HDR","Target",""))))))</f>
        <v/>
      </c>
      <c r="I131" s="41" t="str">
        <f t="shared" si="82"/>
        <v/>
      </c>
      <c r="J131" s="40" t="str">
        <f t="shared" si="83"/>
        <v/>
      </c>
      <c r="K131" s="41" t="str">
        <f t="shared" si="84"/>
        <v/>
      </c>
      <c r="L131" s="40" t="str" cm="1">
        <f t="array" ref="L131">IF($AI131="","",IF(LEFT($AI131,2)="C|",IF($C131="","",SUMPRODUCT($AP$5:$AP$302*($AO$5:$AO$302=$A131),$BN$5:$BN$302)),IF($AI131="CT",L$13,IF(LEFT($AI131,3)="AM|",IF($C131="","",SUMPRODUCT($AP$5:$AP$302*($AN$5:$AN$302=$A131),$BN$5:$BN$302)),IF(LEFT($AI131,2)="S|",IF($AG131="","",INDEX($BN$5:$BN$302,$AH131)),IF($AI131="HDR","Month Target",""))))))</f>
        <v/>
      </c>
      <c r="M131" s="40" t="str" cm="1">
        <f t="array" ref="M131">IF($AI131="","",IF(LEFT($AI131,2)="C|",IF($C131="","",SUMPRODUCT($AP$5:$AP$302*($AO$5:$AO$302=$A131),$BO$5:$BO$302)),IF($AI131="CT",M$13,IF(LEFT($AI131,3)="AM|",IF($C131="","",SUMPRODUCT($AP$5:$AP$302*($AN$5:$AN$302=$A131),$BO$5:$BO$302)),IF(LEFT($AI131,2)="S|",IF($AG131="","",INDEX($BO$5:$BO$302,$AH131)),IF($AI131="HDR","Projected Close",""))))))</f>
        <v/>
      </c>
      <c r="N131" s="41" t="str">
        <f t="shared" si="76"/>
        <v/>
      </c>
      <c r="O131" s="41" t="str" cm="1">
        <f t="array" ref="O131">IF($AI131="HDR","Proj. vs LY",IF(OR($AI131="",M131=""),"",_xlfn.LET(_xlpm.ly,IF(LEFT($AI131,2)="C|",SUMPRODUCT($AP$5:$AP$302*($AO$5:$AO$302=$A131),$BK$5:$BK$302),IF($AI131="CT",SUMPRODUCT($AP$5:$AP$302,$BK$5:$BK$302),IF(LEFT($AI131,3)="AM|",SUMPRODUCT($AP$5:$AP$302*($AN$5:$AN$302=$A131),$BK$5:$BK$302),IF(LEFT($AI131,2)="S|",INDEX($BK$5:$BK$302,$AH131),0)))),IFERROR(M131/_xlpm.ly-1,""))))</f>
        <v/>
      </c>
      <c r="P131" s="40" t="str" cm="1">
        <f t="array" ref="P131">IF($AI131="","",IF(LEFT($AI131,2)="C|",IF($C131="","",SUMPRODUCT($AP$5:$AP$302*($AO$5:$AO$302=$A131),$AS$5:$AS$302)),IF($AI131="CT",P$13,IF(LEFT($AI131,3)="AM|",IF($C131="","",SUMPRODUCT($AP$5:$AP$302*($AN$5:$AN$302=$A131),$AS$5:$AS$302)),IF(LEFT($AI131,2)="S|",IF($AG131="","",INDEX($AS$5:$AS$302,$AH131)),IF($AI131="HDR","Trans TY",""))))))</f>
        <v/>
      </c>
      <c r="Q131" s="40" t="str" cm="1">
        <f t="array" ref="Q131">IF($AI131="","",IF(LEFT($AI131,2)="C|",IF($C131="","",SUMPRODUCT($AP$5:$AP$302*($AO$5:$AO$302=$A131),$AU$5:$AU$302)),IF($AI131="CT",Q$13,IF(LEFT($AI131,3)="AM|",IF($C131="","",SUMPRODUCT($AP$5:$AP$302*($AN$5:$AN$302=$A131),$AU$5:$AU$302)),IF(LEFT($AI131,2)="S|",IF($AG131="","",INDEX($AU$5:$AU$302,$AH131)),IF($AI131="HDR","Trans LY",""))))))</f>
        <v/>
      </c>
      <c r="R131" s="41" t="str">
        <f t="shared" si="85"/>
        <v/>
      </c>
      <c r="S131" s="41" t="str">
        <f t="shared" si="86"/>
        <v/>
      </c>
      <c r="T131" s="42" t="str">
        <f t="shared" si="87"/>
        <v/>
      </c>
      <c r="U131" s="42" t="str">
        <f t="shared" si="88"/>
        <v/>
      </c>
      <c r="V131" s="41" t="str">
        <f t="shared" si="89"/>
        <v/>
      </c>
      <c r="W131" s="40" t="str" cm="1">
        <f t="array" ref="W131">IF($AI131="","",IF(LEFT($AI131,2)="C|",_xlfn.LET(_xlpm.n,SUMPRODUCT($AP$5:$AP$302*($AO$5:$AO$302=$A131),$BB$5:$BB$302),IF(_xlpm.n=0,"",_xlpm.n)),IF($AI131="CT",W$13,IF(LEFT($AI131,3)="AM|",_xlfn.LET(_xlpm.n,SUMPRODUCT($AP$5:$AP$302*($AN$5:$AN$302=$A131),$BB$5:$BB$302),IF(_xlpm.n=0,"",_xlpm.n)),IF(LEFT($AI131,2)="S|",IF($AG131="","",_xlfn.LET(_xlpm.n,INDEX($BB$5:$BB$302,$AH131),IF(_xlpm.n=0,"",_xlpm.n))),IF($AI131="HDR","Footfall",""))))))</f>
        <v/>
      </c>
      <c r="X131" s="40" t="str" cm="1">
        <f t="array" ref="X131">IF($AI131="","",IF($AI131="HDR","Trans (FF stores)",IF(W131="","",IF(LEFT($AI131,2)="C|",SUMPRODUCT($AP$5:$AP$302*($AO$5:$AO$302=$A131),$BC$5:$BC$302),IF($AI131="CT",X$13,IF(LEFT($AI131,3)="AM|",SUMPRODUCT($AP$5:$AP$302*($AN$5:$AN$302=$A131),$BC$5:$BC$302),IF(LEFT($AI131,2)="S|",INDEX($BC$5:$BC$302,$AH131),"")))))))</f>
        <v/>
      </c>
      <c r="Y131" s="41" t="str">
        <f t="shared" si="77"/>
        <v/>
      </c>
      <c r="Z131" s="40" t="str" cm="1">
        <f t="array" ref="Z131">IF($AI131="","",IF(LEFT($AI131,2)="C|",IF($C131="","",SUMPRODUCT($AP$5:$AP$302*($AO$5:$AO$302=$A131),$CB$5:$CB$302)),IF($AI131="CT",Z$13,IF(LEFT($AI131,3)="AM|",IF($C131="","",SUMPRODUCT($AP$5:$AP$302*($AN$5:$AN$302=$A131),$CB$5:$CB$302)),IF(LEFT($AI131,2)="S|",IF($AG131="","",INDEX($CB$5:$CB$302,$AH131)),IF($AI131="HDR","Makeup Sales",""))))))</f>
        <v/>
      </c>
      <c r="AA131" s="41" t="str">
        <f t="shared" si="90"/>
        <v/>
      </c>
      <c r="AB131" s="40" t="str" cm="1">
        <f t="array" ref="AB131">IF($AI131="","",IF(LEFT($AI131,2)="C|",IF($C131="","",SUMPRODUCT($AP$5:$AP$302*($AO$5:$AO$302=$A131),$CK$5:$CK$302)),IF($AI131="CT",AB$13,IF(LEFT($AI131,3)="AM|",IF($C131="","",SUMPRODUCT($AP$5:$AP$302*($AN$5:$AN$302=$A131),$CK$5:$CK$302)),IF(LEFT($AI131,2)="S|",IF($AG131="","",INDEX($CK$5:$CK$302,$AH131)),IF($AI131="HDR","Makeup Target",""))))))</f>
        <v/>
      </c>
      <c r="AC131" s="41" t="str">
        <f t="shared" si="78"/>
        <v/>
      </c>
      <c r="AD131" s="40" t="str" cm="1">
        <f t="array" ref="AD131">IF($AI131="","",IF(LEFT($AI131,2)="C|",IF($C131="","",SUMPRODUCT($AP$5:$AP$302*($AO$5:$AO$302=$A131),$CI$5:$CI$302)),IF($AI131="CT",AD$13,IF(LEFT($AI131,3)="AM|",IF($C131="","",SUMPRODUCT($AP$5:$AP$302*($AN$5:$AN$302=$A131),$CI$5:$CI$302)),IF(LEFT($AI131,2)="S|",IF($AG131="","",INDEX($CI$5:$CI$302,$AH131)),IF($AI131="HDR","Cosmetic Sales",""))))))</f>
        <v/>
      </c>
      <c r="AE131" s="8" t="str" cm="1">
        <f t="array" ref="AE131">IF($AI131="","",IF(LEFT($AI131,2)="C|",IF($C131="","",SUMPRODUCT($AP$5:$AP$302*($AO$5:$AO$302=$A131)*$AQ$5:$AQ$302,$AR$5:$AR$302)),IF($AI131="CT",AE$13,IF(LEFT($AI131,3)="AM|",IF($C131="","",SUMPRODUCT($AP$5:$AP$302*($AN$5:$AN$302=$A131)*$AQ$5:$AQ$302,$AR$5:$AR$302)),IF(LEFT($AI131,2)="S|",IF($AG131="","",IF(INDEX($AQ$5:$AQ$302,$AH131)=1,D131,0)),IF($AI131="HDR","LFL Sales",""))))))</f>
        <v/>
      </c>
      <c r="AF131" s="8" t="str" cm="1">
        <f t="array" ref="AF131">IF($AI131="","",IF(LEFT($AI131,2)="C|",IF($C131="","",SUMPRODUCT($AP$5:$AP$302*($AO$5:$AO$302=$A131)*$AQ$5:$AQ$302,$AS$5:$AS$302)),IF($AI131="CT",AF$13,IF(LEFT($AI131,3)="AM|",IF($C131="","",SUMPRODUCT($AP$5:$AP$302*($AN$5:$AN$302=$A131)*$AQ$5:$AQ$302,$AS$5:$AS$302)),IF(LEFT($AI131,2)="S|",IF($AG131="","",IF(INDEX($AQ$5:$AQ$302,$AH131)=1,P131,0)),IF($AI131="HDR","LFL Trans",""))))))</f>
        <v/>
      </c>
      <c r="AG131" s="8" t="str" cm="1">
        <f t="array" ref="AG131">IF($AI131="","",IF(LEFT($AI131,2)="C|","",IF($AI131="CT","",IF(LEFT($AI131,3)="AM|","",IF(LEFT($AI131,2)="S|",IF($AH131="","",IF(INDEX($AP$5:$AP$302,$AH131)=1,1,"")),IF($AI131="HDR","Show",""))))))</f>
        <v/>
      </c>
      <c r="AH131" s="8" t="str">
        <f t="shared" si="91"/>
        <v/>
      </c>
      <c r="AI131" s="8"/>
      <c r="AN131" s="8" t="str" cm="1">
        <f t="array" ref="AN131">IF($AW131="","",_xlfn.LET(_xlpm.sa,IFERROR(TRIM(INDEX('Sales and count'!$D$4:$D$300,$BF131)&amp;""),""),_xlpm.ta,IFERROR(TRIM(INDEX('TY Sales Target'!$F$5:$F$300,$BG131)&amp;""),""),IF(AND(_xlpm.sa&lt;&gt;"",LEFT(_xlpm.sa,1)&lt;&gt;"#",_xlpm.sa&lt;&gt;"0"),_xlpm.sa,IF(AND(_xlpm.ta&lt;&gt;"",LEFT(_xlpm.ta,1)&lt;&gt;"#",_xlpm.ta&lt;&gt;"0"),_xlpm.ta,IF(ISNUMBER($BG131),"Unassigned","")))))</f>
        <v/>
      </c>
      <c r="AO131" s="8" t="str" cm="1">
        <f t="array" ref="AO131">IF($AW131="","",_xlfn.LET(_xlpm.sa,IFERROR(TRIM(INDEX('Sales and count'!$C$4:$C$300,$BF131)&amp;""),""),_xlpm.ta,IFERROR(TRIM(INDEX('TY Sales Target'!$D$5:$D$300,$BG131)&amp;""),""),IF(AND(_xlpm.sa&lt;&gt;"",LEFT(_xlpm.sa,1)&lt;&gt;"#",_xlpm.sa&lt;&gt;"0"),_xlpm.sa,IF(AND(_xlpm.ta&lt;&gt;"",LEFT(_xlpm.ta,1)&lt;&gt;"#",_xlpm.ta&lt;&gt;"0"),_xlpm.ta,""))))</f>
        <v/>
      </c>
      <c r="AP131" s="8">
        <f t="shared" si="60"/>
        <v>0</v>
      </c>
      <c r="AQ131" s="8">
        <f t="shared" si="61"/>
        <v>0</v>
      </c>
      <c r="AR131" s="8" cm="1">
        <f t="array" ref="AR131">IF($BF131="",0,_xlfn.LET(_xlpm.d,IFERROR(--'Sales and count'!$G$2:$CC$2,0),SUMPRODUCT(('Sales and count'!$G$3:$CC$3="Total")*(_xlpm.d&gt;=$U$4)*(_xlpm.d&lt;=$U$5),INDEX('Sales and count'!$G$4:$CC$300,$BF131,0))))</f>
        <v>0</v>
      </c>
      <c r="AS131" s="8" cm="1">
        <f t="array" ref="AS131">IF($BF131="",0,_xlfn.LET(_xlpm.d,IFERROR(--'Sales and count'!$F$2:$CB$2,0),SUMPRODUCT(('Sales and count'!$G$3:$CC$3="Transactions")*(_xlpm.d&gt;=$U$4)*(_xlpm.d&lt;=$U$5),INDEX('Sales and count'!$G$4:$CC$300,$BF131,0))))</f>
        <v>0</v>
      </c>
      <c r="AT131" s="8" cm="1">
        <f t="array" ref="AT131">IF($AW131="",0,SUMPRODUCT((TRIM('LY Sales '!$B$5:$B$200)=$AW131)*('LY Sales '!$C$2:$AG$2&gt;=EDATE($U$4,-12))*('LY Sales '!$C$2:$AG$2&lt;=EDATE($U$5,-12)),'LY Sales '!$C$5:$AG$200))</f>
        <v>0</v>
      </c>
      <c r="AU131" s="8" cm="1">
        <f t="array" ref="AU131">IF($AW131="",0,SUMPRODUCT((TRIM('LY Transaction'!$B$5:$B$200)=$AW131)*('LY Transaction'!$C$2:$AG$2&gt;=EDATE($U$4,-12))*('LY Transaction'!$C$2:$AG$2&lt;=EDATE($U$5,-12)),'LY Transaction'!$C$5:$AG$200))</f>
        <v>0</v>
      </c>
      <c r="AV131" s="8" cm="1">
        <f t="array" ref="AV131">IF(NOT(ISNUMBER($BG131)),0,SUMPRODUCT(('TY Sales Target'!$K$2:$AO$2&gt;=$U$4)*('TY Sales Target'!$K$2:$AO$2&lt;=$U$5),INDEX('TY Sales Target'!$K$5:$AO$300,$BG131,0)))</f>
        <v>0</v>
      </c>
      <c r="AW131" s="8" t="str" cm="1">
        <f t="array" ref="AW131">IFERROR(INDEX(_xlfn.ANCHORARRAY($BR$5),ROWS($AW$5:AW131)),"")</f>
        <v/>
      </c>
      <c r="BB131" cm="1">
        <f t="array" ref="BB131">IF($AW131="",0,SUMPRODUCT((TRIM(Footfall!$B$5:$B$301)=$AW131)*(Footfall!$C$1:$BZ$1&gt;=$U$4)*(Footfall!$C$2:$BZ$2&lt;=$U$5)*(Footfall!$C$1:$BZ$1&lt;&gt;""),Footfall!$C$5:$BZ$301))</f>
        <v>0</v>
      </c>
      <c r="BC131" cm="1">
        <f t="array" ref="BC131">IF(OR($BB131&lt;=0,$BD$1="",$BF131=""),0,_xlfn.LET(_xlpm.d,IFERROR(--'Sales and count'!$F$2:$CB$2,0),SUMPRODUCT(('Sales and count'!$G$3:$CC$3="Transactions")*(_xlpm.d&gt;=$BD$1)*(_xlpm.d&lt;=$BD$2),INDEX('Sales and count'!$G$4:$CC$300,$BF131,0))))</f>
        <v>0</v>
      </c>
      <c r="BF131" t="str" cm="1">
        <f t="array" ref="BF131">IF($AW131="","",IFERROR(MATCH($AW131,TRIM('Sales and count'!$A$4:$A$300&amp;""),0),""))</f>
        <v/>
      </c>
      <c r="BG131" t="str" cm="1">
        <f t="array" ref="BG131">IF($AW131="","",IFERROR(MATCH(IFERROR(_xlfn.XLOOKUP($AW131,$BT$5:$BT$22,$BU$5:$BU$22),$AW131),TRIM('TY Sales Target'!$B$5:$B$300&amp;""),0),""))</f>
        <v/>
      </c>
      <c r="BH131" t="str" cm="1">
        <f t="array" ref="BH131">IF(ISNUMBER($BG131),_xlfn.LET(_xlpm.p,TRIM(INDEX('TY Sales Target'!$I$5:$I$300,$BG131)&amp;""),IF(_xlpm.p="","Not set",_xlpm.p)),"Not set")</f>
        <v>Not set</v>
      </c>
      <c r="BI131" cm="1">
        <f t="array" ref="BI131">IF($BF131="",0,_xlfn.LET(_xlpm.d,IFERROR(--'Sales and count'!$G$2:$CC$2,0),SUMPRODUCT(('Sales and count'!$G$3:$CC$3="Total")*(_xlpm.d&gt;=$BZ$5)*(_xlpm.d&lt;=$BZ$6),INDEX('Sales and count'!$G$4:$CC$300,$BF131,0))))</f>
        <v>0</v>
      </c>
      <c r="BJ131" cm="1">
        <f t="array" ref="BJ131">IF($AW131="",0,SUMPRODUCT((TRIM('LY Sales '!$B$5:$B$200)=$AW131)*('LY Sales '!$C$2:$AG$2&gt;=EDATE($BZ$5,-12))*('LY Sales '!$C$2:$AG$2&lt;=EDATE($BZ$6,-12)),'LY Sales '!$C$5:$AG$200))</f>
        <v>0</v>
      </c>
      <c r="BK131" cm="1">
        <f t="array" ref="BK131">IF($AW131="",0,SUMPRODUCT((TRIM('LY Sales '!$B$5:$B$200)=$AW131)*('LY Sales '!$C$2:$AG$2&gt;=EDATE($BZ$5,-12))*('LY Sales '!$C$2:$AG$2&lt;=EDATE($BZ$7,-12)),'LY Sales '!$C$5:$AG$200))</f>
        <v>0</v>
      </c>
      <c r="BL131" cm="1">
        <f t="array" ref="BL131">IF($AW131="",0,SUMPRODUCT((TRIM('LY Sales '!$B$5:$B$200)=$AW131)*('LY Sales '!$C$2:$AG$2&gt;=EDATE($BZ$5,-12))*('LY Sales '!$C$2:$AG$2&lt;=EDATE($BZ$6,-12))*('LY Sales '!$C$5:$AG$200&gt;0)))</f>
        <v>0</v>
      </c>
      <c r="BM131" cm="1">
        <f t="array" ref="BM131">IF(NOT(ISNUMBER($BG131)),0,SUMPRODUCT(('TY Sales Target'!$K$2:$AO$2&gt;=$BZ$5)*('TY Sales Target'!$K$2:$AO$2&lt;=$BZ$6),INDEX('TY Sales Target'!$K$5:$AO$300,$BG131,0)))</f>
        <v>0</v>
      </c>
      <c r="BN131" cm="1">
        <f t="array" ref="BN131">IF(NOT(ISNUMBER($BG131)),0,SUMPRODUCT(('TY Sales Target'!$K$2:$AO$2&gt;=$BZ$5)*('TY Sales Target'!$K$2:$AO$2&lt;=$BZ$7),INDEX('TY Sales Target'!$K$5:$AO$300,$BG131,0)))</f>
        <v>0</v>
      </c>
      <c r="BO131" cm="1">
        <f t="array" ref="BO131">IF($AW131="",0,IFERROR(_xlfn.SWITCH($BP131,"LY trend",$BI131*$BK131/$BJ131,"Target curve",$BI131*$BN131/$BM131,"Run rate",$BI131/$BZ$8*$BZ$9,0),0))</f>
        <v>0</v>
      </c>
      <c r="BP131" t="str">
        <f t="shared" si="59"/>
        <v/>
      </c>
      <c r="CB131" cm="1">
        <f t="array" ref="CB131">IF($AW131="",0,_xlfn.LET(_xlpm.k,IFERROR(_xlfn.XLOOKUP($AW131,$CD$6:$CD$21,$CE$6:$CE$21),$AW131),SUMPRODUCT((TRIM('Makeup '!$A$2:$A$300&amp;"")=_xlpm.k)*1,IFERROR('Makeup '!$F$2:$F$300*1,0))))</f>
        <v>0</v>
      </c>
      <c r="CF131" t="str" cm="1">
        <f t="array" ref="CF131">IF($AW131="","",_xlfn.LET(_xlpm.c,IFERROR(TRIM(INDEX('Sales and count'!$B$4:$B$300,$BF131)&amp;""),""),IF(OR(_xlpm.c="",_xlpm.c="0",LEFT(_xlpm.c,1)="#"),"Not set",_xlpm.c)))</f>
        <v/>
      </c>
      <c r="CH131" cm="1">
        <f t="array" ref="CH131">IF($AW131="",0,_xlfn.LET(_xlpm.k,IFERROR(_xlfn.XLOOKUP($AW131,$CD$6:$CD$21,$CE$6:$CE$21),$AW131),--(SUMPRODUCT((TRIM('Makeup '!$A$2:$A$300&amp;"")=_xlpm.k)*ISNUMBER('Makeup '!$F$2:$F$300))&gt;0)))</f>
        <v>0</v>
      </c>
      <c r="CI131">
        <f t="shared" si="62"/>
        <v>0</v>
      </c>
      <c r="CJ131" cm="1">
        <f t="array" ref="CJ131">IF($AW131="",0,--(SUMPRODUCT(--(TRIM(Footfall!$B$5:$B$301)=$AW131))&gt;0))</f>
        <v>0</v>
      </c>
      <c r="CK131" s="8" cm="1">
        <f t="array" ref="CK131">IF($AW131="",0,_xlfn.LET(_xlpm.r,IFERROR(MATCH(IFERROR(_xlfn.XLOOKUP($AW131,$BT$5:$BT$22,$BU$5:$BU$22),$AW131),TRIM('TY Beauty Target'!$B$5:$B$300&amp;""),0),""),IF(ISNUMBER(_xlpm.r),SUMPRODUCT(('TY Beauty Target'!$L$2:$AP$2&gt;=$U$4)*('TY Beauty Target'!$L$2:$AP$2&lt;=$U$5),INDEX('TY Beauty Target'!$L$5:$AP$300,_xlpm.r,0)),0)))</f>
        <v>0</v>
      </c>
    </row>
    <row r="132" spans="1:89" ht="15" customHeight="1" x14ac:dyDescent="0.25">
      <c r="A132" s="38" t="str">
        <f t="shared" si="79"/>
        <v/>
      </c>
      <c r="B132" s="43" t="str" cm="1">
        <f t="array" ref="B132">IF($AI132="","",IF(LEFT($AI132,2)="C|",IF($C132="","",_xlfn.TEXTJOIN(", ",TRUE,_xlfn.UNIQUE(_xlfn._xlws.FILTER($AN$5:$AN$302,($AP$5:$AP$302=1)*($AO$5:$AO$302=$A132))))),IF($AI132="CT",B$13,IF(LEFT($AI132,3)="AM|",IF($C132="","",ROWS(_xlfn.UNIQUE(_xlfn._xlws.FILTER($AO$5:$AO$302,($AP$5:$AP$302=1)*($AN$5:$AN$302=$A132))))),IF(LEFT($AI132,2)="S|",IF($AG132="","",INDEX($AO$5:$AO$302,$AH132)),IF($AI132="HDR","City",""))))))</f>
        <v/>
      </c>
      <c r="C132" s="39" t="str" cm="1">
        <f t="array" ref="C132">IF($AI132="","",IF(LEFT($AI132,2)="C|",_xlfn.LET(_xlpm.n,SUMPRODUCT($AP$5:$AP$302*($AO$5:$AO$302=$A132)),IF(_xlpm.n=0,"",_xlpm.n)),IF($AI132="CT",C$13,IF(LEFT($AI132,3)="AM|",_xlfn.LET(_xlpm.n,SUMPRODUCT($AP$5:$AP$302*($AN$5:$AN$302=$A132)),IF(_xlpm.n=0,"",_xlpm.n)),IF(LEFT($AI132,2)="S|","",IF($AI132="HDR","# Stores",""))))))</f>
        <v/>
      </c>
      <c r="D132" s="40" t="str" cm="1">
        <f t="array" ref="D132">IF($AI132="","",IF(LEFT($AI132,2)="C|",IF($C132="","",SUMPRODUCT($AP$5:$AP$302*($AO$5:$AO$302=$A132),$AR$5:$AR$302)),IF($AI132="CT",D$13,IF(LEFT($AI132,3)="AM|",IF($C132="","",SUMPRODUCT($AP$5:$AP$302*($AN$5:$AN$302=$A132),$AR$5:$AR$302)),IF(LEFT($AI132,2)="S|",IF($AG132="","",INDEX($AR$5:$AR$302,$AH132)),IF($AI132="HDR","Sales TY",""))))))</f>
        <v/>
      </c>
      <c r="E132" s="40" t="str" cm="1">
        <f t="array" ref="E132">IF($AI132="","",IF(LEFT($AI132,2)="C|",IF($C132="","",SUMPRODUCT($AP$5:$AP$302*($AO$5:$AO$302=$A132),$AT$5:$AT$302)),IF($AI132="CT",E$13,IF(LEFT($AI132,3)="AM|",IF($C132="","",SUMPRODUCT($AP$5:$AP$302*($AN$5:$AN$302=$A132),$AT$5:$AT$302)),IF(LEFT($AI132,2)="S|",IF($AG132="","",INDEX($AT$5:$AT$302,$AH132)),IF($AI132="HDR","Sales LY",""))))))</f>
        <v/>
      </c>
      <c r="F132" s="41" t="str">
        <f t="shared" si="80"/>
        <v/>
      </c>
      <c r="G132" s="41" t="str">
        <f t="shared" si="81"/>
        <v/>
      </c>
      <c r="H132" s="40" t="str" cm="1">
        <f t="array" ref="H132">IF($AI132="","",IF(LEFT($AI132,2)="C|",IF($C132="","",SUMPRODUCT($AP$5:$AP$302*($AO$5:$AO$302=$A132),$AV$5:$AV$302)),IF($AI132="CT",H$13,IF(LEFT($AI132,3)="AM|",IF($C132="","",SUMPRODUCT($AP$5:$AP$302*($AN$5:$AN$302=$A132),$AV$5:$AV$302)),IF(LEFT($AI132,2)="S|",IF($AG132="","",INDEX($AV$5:$AV$302,$AH132)),IF($AI132="HDR","Target",""))))))</f>
        <v/>
      </c>
      <c r="I132" s="41" t="str">
        <f t="shared" si="82"/>
        <v/>
      </c>
      <c r="J132" s="40" t="str">
        <f t="shared" si="83"/>
        <v/>
      </c>
      <c r="K132" s="41" t="str">
        <f t="shared" si="84"/>
        <v/>
      </c>
      <c r="L132" s="40" t="str" cm="1">
        <f t="array" ref="L132">IF($AI132="","",IF(LEFT($AI132,2)="C|",IF($C132="","",SUMPRODUCT($AP$5:$AP$302*($AO$5:$AO$302=$A132),$BN$5:$BN$302)),IF($AI132="CT",L$13,IF(LEFT($AI132,3)="AM|",IF($C132="","",SUMPRODUCT($AP$5:$AP$302*($AN$5:$AN$302=$A132),$BN$5:$BN$302)),IF(LEFT($AI132,2)="S|",IF($AG132="","",INDEX($BN$5:$BN$302,$AH132)),IF($AI132="HDR","Month Target",""))))))</f>
        <v/>
      </c>
      <c r="M132" s="40" t="str" cm="1">
        <f t="array" ref="M132">IF($AI132="","",IF(LEFT($AI132,2)="C|",IF($C132="","",SUMPRODUCT($AP$5:$AP$302*($AO$5:$AO$302=$A132),$BO$5:$BO$302)),IF($AI132="CT",M$13,IF(LEFT($AI132,3)="AM|",IF($C132="","",SUMPRODUCT($AP$5:$AP$302*($AN$5:$AN$302=$A132),$BO$5:$BO$302)),IF(LEFT($AI132,2)="S|",IF($AG132="","",INDEX($BO$5:$BO$302,$AH132)),IF($AI132="HDR","Projected Close",""))))))</f>
        <v/>
      </c>
      <c r="N132" s="41" t="str">
        <f t="shared" si="76"/>
        <v/>
      </c>
      <c r="O132" s="41" t="str" cm="1">
        <f t="array" ref="O132">IF($AI132="HDR","Proj. vs LY",IF(OR($AI132="",M132=""),"",_xlfn.LET(_xlpm.ly,IF(LEFT($AI132,2)="C|",SUMPRODUCT($AP$5:$AP$302*($AO$5:$AO$302=$A132),$BK$5:$BK$302),IF($AI132="CT",SUMPRODUCT($AP$5:$AP$302,$BK$5:$BK$302),IF(LEFT($AI132,3)="AM|",SUMPRODUCT($AP$5:$AP$302*($AN$5:$AN$302=$A132),$BK$5:$BK$302),IF(LEFT($AI132,2)="S|",INDEX($BK$5:$BK$302,$AH132),0)))),IFERROR(M132/_xlpm.ly-1,""))))</f>
        <v/>
      </c>
      <c r="P132" s="40" t="str" cm="1">
        <f t="array" ref="P132">IF($AI132="","",IF(LEFT($AI132,2)="C|",IF($C132="","",SUMPRODUCT($AP$5:$AP$302*($AO$5:$AO$302=$A132),$AS$5:$AS$302)),IF($AI132="CT",P$13,IF(LEFT($AI132,3)="AM|",IF($C132="","",SUMPRODUCT($AP$5:$AP$302*($AN$5:$AN$302=$A132),$AS$5:$AS$302)),IF(LEFT($AI132,2)="S|",IF($AG132="","",INDEX($AS$5:$AS$302,$AH132)),IF($AI132="HDR","Trans TY",""))))))</f>
        <v/>
      </c>
      <c r="Q132" s="40" t="str" cm="1">
        <f t="array" ref="Q132">IF($AI132="","",IF(LEFT($AI132,2)="C|",IF($C132="","",SUMPRODUCT($AP$5:$AP$302*($AO$5:$AO$302=$A132),$AU$5:$AU$302)),IF($AI132="CT",Q$13,IF(LEFT($AI132,3)="AM|",IF($C132="","",SUMPRODUCT($AP$5:$AP$302*($AN$5:$AN$302=$A132),$AU$5:$AU$302)),IF(LEFT($AI132,2)="S|",IF($AG132="","",INDEX($AU$5:$AU$302,$AH132)),IF($AI132="HDR","Trans LY",""))))))</f>
        <v/>
      </c>
      <c r="R132" s="41" t="str">
        <f t="shared" si="85"/>
        <v/>
      </c>
      <c r="S132" s="41" t="str">
        <f t="shared" si="86"/>
        <v/>
      </c>
      <c r="T132" s="42" t="str">
        <f t="shared" si="87"/>
        <v/>
      </c>
      <c r="U132" s="42" t="str">
        <f t="shared" si="88"/>
        <v/>
      </c>
      <c r="V132" s="41" t="str">
        <f t="shared" si="89"/>
        <v/>
      </c>
      <c r="W132" s="40" t="str" cm="1">
        <f t="array" ref="W132">IF($AI132="","",IF(LEFT($AI132,2)="C|",_xlfn.LET(_xlpm.n,SUMPRODUCT($AP$5:$AP$302*($AO$5:$AO$302=$A132),$BB$5:$BB$302),IF(_xlpm.n=0,"",_xlpm.n)),IF($AI132="CT",W$13,IF(LEFT($AI132,3)="AM|",_xlfn.LET(_xlpm.n,SUMPRODUCT($AP$5:$AP$302*($AN$5:$AN$302=$A132),$BB$5:$BB$302),IF(_xlpm.n=0,"",_xlpm.n)),IF(LEFT($AI132,2)="S|",IF($AG132="","",_xlfn.LET(_xlpm.n,INDEX($BB$5:$BB$302,$AH132),IF(_xlpm.n=0,"",_xlpm.n))),IF($AI132="HDR","Footfall",""))))))</f>
        <v/>
      </c>
      <c r="X132" s="40" t="str" cm="1">
        <f t="array" ref="X132">IF($AI132="","",IF($AI132="HDR","Trans (FF stores)",IF(W132="","",IF(LEFT($AI132,2)="C|",SUMPRODUCT($AP$5:$AP$302*($AO$5:$AO$302=$A132),$BC$5:$BC$302),IF($AI132="CT",X$13,IF(LEFT($AI132,3)="AM|",SUMPRODUCT($AP$5:$AP$302*($AN$5:$AN$302=$A132),$BC$5:$BC$302),IF(LEFT($AI132,2)="S|",INDEX($BC$5:$BC$302,$AH132),"")))))))</f>
        <v/>
      </c>
      <c r="Y132" s="41" t="str">
        <f t="shared" si="77"/>
        <v/>
      </c>
      <c r="Z132" s="40" t="str" cm="1">
        <f t="array" ref="Z132">IF($AI132="","",IF(LEFT($AI132,2)="C|",IF($C132="","",SUMPRODUCT($AP$5:$AP$302*($AO$5:$AO$302=$A132),$CB$5:$CB$302)),IF($AI132="CT",Z$13,IF(LEFT($AI132,3)="AM|",IF($C132="","",SUMPRODUCT($AP$5:$AP$302*($AN$5:$AN$302=$A132),$CB$5:$CB$302)),IF(LEFT($AI132,2)="S|",IF($AG132="","",INDEX($CB$5:$CB$302,$AH132)),IF($AI132="HDR","Makeup Sales",""))))))</f>
        <v/>
      </c>
      <c r="AA132" s="41" t="str">
        <f t="shared" si="90"/>
        <v/>
      </c>
      <c r="AB132" s="40" t="str" cm="1">
        <f t="array" ref="AB132">IF($AI132="","",IF(LEFT($AI132,2)="C|",IF($C132="","",SUMPRODUCT($AP$5:$AP$302*($AO$5:$AO$302=$A132),$CK$5:$CK$302)),IF($AI132="CT",AB$13,IF(LEFT($AI132,3)="AM|",IF($C132="","",SUMPRODUCT($AP$5:$AP$302*($AN$5:$AN$302=$A132),$CK$5:$CK$302)),IF(LEFT($AI132,2)="S|",IF($AG132="","",INDEX($CK$5:$CK$302,$AH132)),IF($AI132="HDR","Makeup Target",""))))))</f>
        <v/>
      </c>
      <c r="AC132" s="41" t="str">
        <f t="shared" si="78"/>
        <v/>
      </c>
      <c r="AD132" s="40" t="str" cm="1">
        <f t="array" ref="AD132">IF($AI132="","",IF(LEFT($AI132,2)="C|",IF($C132="","",SUMPRODUCT($AP$5:$AP$302*($AO$5:$AO$302=$A132),$CI$5:$CI$302)),IF($AI132="CT",AD$13,IF(LEFT($AI132,3)="AM|",IF($C132="","",SUMPRODUCT($AP$5:$AP$302*($AN$5:$AN$302=$A132),$CI$5:$CI$302)),IF(LEFT($AI132,2)="S|",IF($AG132="","",INDEX($CI$5:$CI$302,$AH132)),IF($AI132="HDR","Cosmetic Sales",""))))))</f>
        <v/>
      </c>
      <c r="AE132" s="8" t="str" cm="1">
        <f t="array" ref="AE132">IF($AI132="","",IF(LEFT($AI132,2)="C|",IF($C132="","",SUMPRODUCT($AP$5:$AP$302*($AO$5:$AO$302=$A132)*$AQ$5:$AQ$302,$AR$5:$AR$302)),IF($AI132="CT",AE$13,IF(LEFT($AI132,3)="AM|",IF($C132="","",SUMPRODUCT($AP$5:$AP$302*($AN$5:$AN$302=$A132)*$AQ$5:$AQ$302,$AR$5:$AR$302)),IF(LEFT($AI132,2)="S|",IF($AG132="","",IF(INDEX($AQ$5:$AQ$302,$AH132)=1,D132,0)),IF($AI132="HDR","LFL Sales",""))))))</f>
        <v/>
      </c>
      <c r="AF132" s="8" t="str" cm="1">
        <f t="array" ref="AF132">IF($AI132="","",IF(LEFT($AI132,2)="C|",IF($C132="","",SUMPRODUCT($AP$5:$AP$302*($AO$5:$AO$302=$A132)*$AQ$5:$AQ$302,$AS$5:$AS$302)),IF($AI132="CT",AF$13,IF(LEFT($AI132,3)="AM|",IF($C132="","",SUMPRODUCT($AP$5:$AP$302*($AN$5:$AN$302=$A132)*$AQ$5:$AQ$302,$AS$5:$AS$302)),IF(LEFT($AI132,2)="S|",IF($AG132="","",IF(INDEX($AQ$5:$AQ$302,$AH132)=1,P132,0)),IF($AI132="HDR","LFL Trans",""))))))</f>
        <v/>
      </c>
      <c r="AG132" s="8" t="str" cm="1">
        <f t="array" ref="AG132">IF($AI132="","",IF(LEFT($AI132,2)="C|","",IF($AI132="CT","",IF(LEFT($AI132,3)="AM|","",IF(LEFT($AI132,2)="S|",IF($AH132="","",IF(INDEX($AP$5:$AP$302,$AH132)=1,1,"")),IF($AI132="HDR","Show",""))))))</f>
        <v/>
      </c>
      <c r="AH132" s="8" t="str">
        <f t="shared" si="91"/>
        <v/>
      </c>
      <c r="AI132" s="8"/>
      <c r="AN132" s="8" t="str" cm="1">
        <f t="array" ref="AN132">IF($AW132="","",_xlfn.LET(_xlpm.sa,IFERROR(TRIM(INDEX('Sales and count'!$D$4:$D$300,$BF132)&amp;""),""),_xlpm.ta,IFERROR(TRIM(INDEX('TY Sales Target'!$F$5:$F$300,$BG132)&amp;""),""),IF(AND(_xlpm.sa&lt;&gt;"",LEFT(_xlpm.sa,1)&lt;&gt;"#",_xlpm.sa&lt;&gt;"0"),_xlpm.sa,IF(AND(_xlpm.ta&lt;&gt;"",LEFT(_xlpm.ta,1)&lt;&gt;"#",_xlpm.ta&lt;&gt;"0"),_xlpm.ta,IF(ISNUMBER($BG132),"Unassigned","")))))</f>
        <v/>
      </c>
      <c r="AO132" s="8" t="str" cm="1">
        <f t="array" ref="AO132">IF($AW132="","",_xlfn.LET(_xlpm.sa,IFERROR(TRIM(INDEX('Sales and count'!$C$4:$C$300,$BF132)&amp;""),""),_xlpm.ta,IFERROR(TRIM(INDEX('TY Sales Target'!$D$5:$D$300,$BG132)&amp;""),""),IF(AND(_xlpm.sa&lt;&gt;"",LEFT(_xlpm.sa,1)&lt;&gt;"#",_xlpm.sa&lt;&gt;"0"),_xlpm.sa,IF(AND(_xlpm.ta&lt;&gt;"",LEFT(_xlpm.ta,1)&lt;&gt;"#",_xlpm.ta&lt;&gt;"0"),_xlpm.ta,""))))</f>
        <v/>
      </c>
      <c r="AP132" s="8">
        <f t="shared" si="60"/>
        <v>0</v>
      </c>
      <c r="AQ132" s="8">
        <f t="shared" si="61"/>
        <v>0</v>
      </c>
      <c r="AR132" s="8" cm="1">
        <f t="array" ref="AR132">IF($BF132="",0,_xlfn.LET(_xlpm.d,IFERROR(--'Sales and count'!$G$2:$CC$2,0),SUMPRODUCT(('Sales and count'!$G$3:$CC$3="Total")*(_xlpm.d&gt;=$U$4)*(_xlpm.d&lt;=$U$5),INDEX('Sales and count'!$G$4:$CC$300,$BF132,0))))</f>
        <v>0</v>
      </c>
      <c r="AS132" s="8" cm="1">
        <f t="array" ref="AS132">IF($BF132="",0,_xlfn.LET(_xlpm.d,IFERROR(--'Sales and count'!$F$2:$CB$2,0),SUMPRODUCT(('Sales and count'!$G$3:$CC$3="Transactions")*(_xlpm.d&gt;=$U$4)*(_xlpm.d&lt;=$U$5),INDEX('Sales and count'!$G$4:$CC$300,$BF132,0))))</f>
        <v>0</v>
      </c>
      <c r="AT132" s="8" cm="1">
        <f t="array" ref="AT132">IF($AW132="",0,SUMPRODUCT((TRIM('LY Sales '!$B$5:$B$200)=$AW132)*('LY Sales '!$C$2:$AG$2&gt;=EDATE($U$4,-12))*('LY Sales '!$C$2:$AG$2&lt;=EDATE($U$5,-12)),'LY Sales '!$C$5:$AG$200))</f>
        <v>0</v>
      </c>
      <c r="AU132" s="8" cm="1">
        <f t="array" ref="AU132">IF($AW132="",0,SUMPRODUCT((TRIM('LY Transaction'!$B$5:$B$200)=$AW132)*('LY Transaction'!$C$2:$AG$2&gt;=EDATE($U$4,-12))*('LY Transaction'!$C$2:$AG$2&lt;=EDATE($U$5,-12)),'LY Transaction'!$C$5:$AG$200))</f>
        <v>0</v>
      </c>
      <c r="AV132" s="8" cm="1">
        <f t="array" ref="AV132">IF(NOT(ISNUMBER($BG132)),0,SUMPRODUCT(('TY Sales Target'!$K$2:$AO$2&gt;=$U$4)*('TY Sales Target'!$K$2:$AO$2&lt;=$U$5),INDEX('TY Sales Target'!$K$5:$AO$300,$BG132,0)))</f>
        <v>0</v>
      </c>
      <c r="AW132" s="8" t="str" cm="1">
        <f t="array" ref="AW132">IFERROR(INDEX(_xlfn.ANCHORARRAY($BR$5),ROWS($AW$5:AW132)),"")</f>
        <v/>
      </c>
      <c r="BB132" cm="1">
        <f t="array" ref="BB132">IF($AW132="",0,SUMPRODUCT((TRIM(Footfall!$B$5:$B$301)=$AW132)*(Footfall!$C$1:$BZ$1&gt;=$U$4)*(Footfall!$C$2:$BZ$2&lt;=$U$5)*(Footfall!$C$1:$BZ$1&lt;&gt;""),Footfall!$C$5:$BZ$301))</f>
        <v>0</v>
      </c>
      <c r="BC132" cm="1">
        <f t="array" ref="BC132">IF(OR($BB132&lt;=0,$BD$1="",$BF132=""),0,_xlfn.LET(_xlpm.d,IFERROR(--'Sales and count'!$F$2:$CB$2,0),SUMPRODUCT(('Sales and count'!$G$3:$CC$3="Transactions")*(_xlpm.d&gt;=$BD$1)*(_xlpm.d&lt;=$BD$2),INDEX('Sales and count'!$G$4:$CC$300,$BF132,0))))</f>
        <v>0</v>
      </c>
      <c r="BF132" t="str" cm="1">
        <f t="array" ref="BF132">IF($AW132="","",IFERROR(MATCH($AW132,TRIM('Sales and count'!$A$4:$A$300&amp;""),0),""))</f>
        <v/>
      </c>
      <c r="BG132" t="str" cm="1">
        <f t="array" ref="BG132">IF($AW132="","",IFERROR(MATCH(IFERROR(_xlfn.XLOOKUP($AW132,$BT$5:$BT$22,$BU$5:$BU$22),$AW132),TRIM('TY Sales Target'!$B$5:$B$300&amp;""),0),""))</f>
        <v/>
      </c>
      <c r="BH132" t="str" cm="1">
        <f t="array" ref="BH132">IF(ISNUMBER($BG132),_xlfn.LET(_xlpm.p,TRIM(INDEX('TY Sales Target'!$I$5:$I$300,$BG132)&amp;""),IF(_xlpm.p="","Not set",_xlpm.p)),"Not set")</f>
        <v>Not set</v>
      </c>
      <c r="BI132" cm="1">
        <f t="array" ref="BI132">IF($BF132="",0,_xlfn.LET(_xlpm.d,IFERROR(--'Sales and count'!$G$2:$CC$2,0),SUMPRODUCT(('Sales and count'!$G$3:$CC$3="Total")*(_xlpm.d&gt;=$BZ$5)*(_xlpm.d&lt;=$BZ$6),INDEX('Sales and count'!$G$4:$CC$300,$BF132,0))))</f>
        <v>0</v>
      </c>
      <c r="BJ132" cm="1">
        <f t="array" ref="BJ132">IF($AW132="",0,SUMPRODUCT((TRIM('LY Sales '!$B$5:$B$200)=$AW132)*('LY Sales '!$C$2:$AG$2&gt;=EDATE($BZ$5,-12))*('LY Sales '!$C$2:$AG$2&lt;=EDATE($BZ$6,-12)),'LY Sales '!$C$5:$AG$200))</f>
        <v>0</v>
      </c>
      <c r="BK132" cm="1">
        <f t="array" ref="BK132">IF($AW132="",0,SUMPRODUCT((TRIM('LY Sales '!$B$5:$B$200)=$AW132)*('LY Sales '!$C$2:$AG$2&gt;=EDATE($BZ$5,-12))*('LY Sales '!$C$2:$AG$2&lt;=EDATE($BZ$7,-12)),'LY Sales '!$C$5:$AG$200))</f>
        <v>0</v>
      </c>
      <c r="BL132" cm="1">
        <f t="array" ref="BL132">IF($AW132="",0,SUMPRODUCT((TRIM('LY Sales '!$B$5:$B$200)=$AW132)*('LY Sales '!$C$2:$AG$2&gt;=EDATE($BZ$5,-12))*('LY Sales '!$C$2:$AG$2&lt;=EDATE($BZ$6,-12))*('LY Sales '!$C$5:$AG$200&gt;0)))</f>
        <v>0</v>
      </c>
      <c r="BM132" cm="1">
        <f t="array" ref="BM132">IF(NOT(ISNUMBER($BG132)),0,SUMPRODUCT(('TY Sales Target'!$K$2:$AO$2&gt;=$BZ$5)*('TY Sales Target'!$K$2:$AO$2&lt;=$BZ$6),INDEX('TY Sales Target'!$K$5:$AO$300,$BG132,0)))</f>
        <v>0</v>
      </c>
      <c r="BN132" cm="1">
        <f t="array" ref="BN132">IF(NOT(ISNUMBER($BG132)),0,SUMPRODUCT(('TY Sales Target'!$K$2:$AO$2&gt;=$BZ$5)*('TY Sales Target'!$K$2:$AO$2&lt;=$BZ$7),INDEX('TY Sales Target'!$K$5:$AO$300,$BG132,0)))</f>
        <v>0</v>
      </c>
      <c r="BO132" cm="1">
        <f t="array" ref="BO132">IF($AW132="",0,IFERROR(_xlfn.SWITCH($BP132,"LY trend",$BI132*$BK132/$BJ132,"Target curve",$BI132*$BN132/$BM132,"Run rate",$BI132/$BZ$8*$BZ$9,0),0))</f>
        <v>0</v>
      </c>
      <c r="BP132" t="str">
        <f t="shared" si="59"/>
        <v/>
      </c>
      <c r="CB132" cm="1">
        <f t="array" ref="CB132">IF($AW132="",0,_xlfn.LET(_xlpm.k,IFERROR(_xlfn.XLOOKUP($AW132,$CD$6:$CD$21,$CE$6:$CE$21),$AW132),SUMPRODUCT((TRIM('Makeup '!$A$2:$A$300&amp;"")=_xlpm.k)*1,IFERROR('Makeup '!$F$2:$F$300*1,0))))</f>
        <v>0</v>
      </c>
      <c r="CF132" t="str" cm="1">
        <f t="array" ref="CF132">IF($AW132="","",_xlfn.LET(_xlpm.c,IFERROR(TRIM(INDEX('Sales and count'!$B$4:$B$300,$BF132)&amp;""),""),IF(OR(_xlpm.c="",_xlpm.c="0",LEFT(_xlpm.c,1)="#"),"Not set",_xlpm.c)))</f>
        <v/>
      </c>
      <c r="CH132" cm="1">
        <f t="array" ref="CH132">IF($AW132="",0,_xlfn.LET(_xlpm.k,IFERROR(_xlfn.XLOOKUP($AW132,$CD$6:$CD$21,$CE$6:$CE$21),$AW132),--(SUMPRODUCT((TRIM('Makeup '!$A$2:$A$300&amp;"")=_xlpm.k)*ISNUMBER('Makeup '!$F$2:$F$300))&gt;0)))</f>
        <v>0</v>
      </c>
      <c r="CI132">
        <f t="shared" si="62"/>
        <v>0</v>
      </c>
      <c r="CJ132" cm="1">
        <f t="array" ref="CJ132">IF($AW132="",0,--(SUMPRODUCT(--(TRIM(Footfall!$B$5:$B$301)=$AW132))&gt;0))</f>
        <v>0</v>
      </c>
      <c r="CK132" s="8" cm="1">
        <f t="array" ref="CK132">IF($AW132="",0,_xlfn.LET(_xlpm.r,IFERROR(MATCH(IFERROR(_xlfn.XLOOKUP($AW132,$BT$5:$BT$22,$BU$5:$BU$22),$AW132),TRIM('TY Beauty Target'!$B$5:$B$300&amp;""),0),""),IF(ISNUMBER(_xlpm.r),SUMPRODUCT(('TY Beauty Target'!$L$2:$AP$2&gt;=$U$4)*('TY Beauty Target'!$L$2:$AP$2&lt;=$U$5),INDEX('TY Beauty Target'!$L$5:$AP$300,_xlpm.r,0)),0)))</f>
        <v>0</v>
      </c>
    </row>
    <row r="133" spans="1:89" ht="15" customHeight="1" x14ac:dyDescent="0.25">
      <c r="A133" s="38" t="str">
        <f t="shared" si="79"/>
        <v/>
      </c>
      <c r="B133" s="43" t="str" cm="1">
        <f t="array" ref="B133">IF($AI133="","",IF(LEFT($AI133,2)="C|",IF($C133="","",_xlfn.TEXTJOIN(", ",TRUE,_xlfn.UNIQUE(_xlfn._xlws.FILTER($AN$5:$AN$302,($AP$5:$AP$302=1)*($AO$5:$AO$302=$A133))))),IF($AI133="CT",B$13,IF(LEFT($AI133,3)="AM|",IF($C133="","",ROWS(_xlfn.UNIQUE(_xlfn._xlws.FILTER($AO$5:$AO$302,($AP$5:$AP$302=1)*($AN$5:$AN$302=$A133))))),IF(LEFT($AI133,2)="S|",IF($AG133="","",INDEX($AO$5:$AO$302,$AH133)),IF($AI133="HDR","City",""))))))</f>
        <v/>
      </c>
      <c r="C133" s="39" t="str" cm="1">
        <f t="array" ref="C133">IF($AI133="","",IF(LEFT($AI133,2)="C|",_xlfn.LET(_xlpm.n,SUMPRODUCT($AP$5:$AP$302*($AO$5:$AO$302=$A133)),IF(_xlpm.n=0,"",_xlpm.n)),IF($AI133="CT",C$13,IF(LEFT($AI133,3)="AM|",_xlfn.LET(_xlpm.n,SUMPRODUCT($AP$5:$AP$302*($AN$5:$AN$302=$A133)),IF(_xlpm.n=0,"",_xlpm.n)),IF(LEFT($AI133,2)="S|","",IF($AI133="HDR","# Stores",""))))))</f>
        <v/>
      </c>
      <c r="D133" s="40" t="str" cm="1">
        <f t="array" ref="D133">IF($AI133="","",IF(LEFT($AI133,2)="C|",IF($C133="","",SUMPRODUCT($AP$5:$AP$302*($AO$5:$AO$302=$A133),$AR$5:$AR$302)),IF($AI133="CT",D$13,IF(LEFT($AI133,3)="AM|",IF($C133="","",SUMPRODUCT($AP$5:$AP$302*($AN$5:$AN$302=$A133),$AR$5:$AR$302)),IF(LEFT($AI133,2)="S|",IF($AG133="","",INDEX($AR$5:$AR$302,$AH133)),IF($AI133="HDR","Sales TY",""))))))</f>
        <v/>
      </c>
      <c r="E133" s="40" t="str" cm="1">
        <f t="array" ref="E133">IF($AI133="","",IF(LEFT($AI133,2)="C|",IF($C133="","",SUMPRODUCT($AP$5:$AP$302*($AO$5:$AO$302=$A133),$AT$5:$AT$302)),IF($AI133="CT",E$13,IF(LEFT($AI133,3)="AM|",IF($C133="","",SUMPRODUCT($AP$5:$AP$302*($AN$5:$AN$302=$A133),$AT$5:$AT$302)),IF(LEFT($AI133,2)="S|",IF($AG133="","",INDEX($AT$5:$AT$302,$AH133)),IF($AI133="HDR","Sales LY",""))))))</f>
        <v/>
      </c>
      <c r="F133" s="41" t="str">
        <f t="shared" si="80"/>
        <v/>
      </c>
      <c r="G133" s="41" t="str">
        <f t="shared" si="81"/>
        <v/>
      </c>
      <c r="H133" s="40" t="str" cm="1">
        <f t="array" ref="H133">IF($AI133="","",IF(LEFT($AI133,2)="C|",IF($C133="","",SUMPRODUCT($AP$5:$AP$302*($AO$5:$AO$302=$A133),$AV$5:$AV$302)),IF($AI133="CT",H$13,IF(LEFT($AI133,3)="AM|",IF($C133="","",SUMPRODUCT($AP$5:$AP$302*($AN$5:$AN$302=$A133),$AV$5:$AV$302)),IF(LEFT($AI133,2)="S|",IF($AG133="","",INDEX($AV$5:$AV$302,$AH133)),IF($AI133="HDR","Target",""))))))</f>
        <v/>
      </c>
      <c r="I133" s="41" t="str">
        <f t="shared" si="82"/>
        <v/>
      </c>
      <c r="J133" s="40" t="str">
        <f t="shared" si="83"/>
        <v/>
      </c>
      <c r="K133" s="41" t="str">
        <f t="shared" si="84"/>
        <v/>
      </c>
      <c r="L133" s="40" t="str" cm="1">
        <f t="array" ref="L133">IF($AI133="","",IF(LEFT($AI133,2)="C|",IF($C133="","",SUMPRODUCT($AP$5:$AP$302*($AO$5:$AO$302=$A133),$BN$5:$BN$302)),IF($AI133="CT",L$13,IF(LEFT($AI133,3)="AM|",IF($C133="","",SUMPRODUCT($AP$5:$AP$302*($AN$5:$AN$302=$A133),$BN$5:$BN$302)),IF(LEFT($AI133,2)="S|",IF($AG133="","",INDEX($BN$5:$BN$302,$AH133)),IF($AI133="HDR","Month Target",""))))))</f>
        <v/>
      </c>
      <c r="M133" s="40" t="str" cm="1">
        <f t="array" ref="M133">IF($AI133="","",IF(LEFT($AI133,2)="C|",IF($C133="","",SUMPRODUCT($AP$5:$AP$302*($AO$5:$AO$302=$A133),$BO$5:$BO$302)),IF($AI133="CT",M$13,IF(LEFT($AI133,3)="AM|",IF($C133="","",SUMPRODUCT($AP$5:$AP$302*($AN$5:$AN$302=$A133),$BO$5:$BO$302)),IF(LEFT($AI133,2)="S|",IF($AG133="","",INDEX($BO$5:$BO$302,$AH133)),IF($AI133="HDR","Projected Close",""))))))</f>
        <v/>
      </c>
      <c r="N133" s="41" t="str">
        <f t="shared" si="76"/>
        <v/>
      </c>
      <c r="O133" s="41" t="str" cm="1">
        <f t="array" ref="O133">IF($AI133="HDR","Proj. vs LY",IF(OR($AI133="",M133=""),"",_xlfn.LET(_xlpm.ly,IF(LEFT($AI133,2)="C|",SUMPRODUCT($AP$5:$AP$302*($AO$5:$AO$302=$A133),$BK$5:$BK$302),IF($AI133="CT",SUMPRODUCT($AP$5:$AP$302,$BK$5:$BK$302),IF(LEFT($AI133,3)="AM|",SUMPRODUCT($AP$5:$AP$302*($AN$5:$AN$302=$A133),$BK$5:$BK$302),IF(LEFT($AI133,2)="S|",INDEX($BK$5:$BK$302,$AH133),0)))),IFERROR(M133/_xlpm.ly-1,""))))</f>
        <v/>
      </c>
      <c r="P133" s="40" t="str" cm="1">
        <f t="array" ref="P133">IF($AI133="","",IF(LEFT($AI133,2)="C|",IF($C133="","",SUMPRODUCT($AP$5:$AP$302*($AO$5:$AO$302=$A133),$AS$5:$AS$302)),IF($AI133="CT",P$13,IF(LEFT($AI133,3)="AM|",IF($C133="","",SUMPRODUCT($AP$5:$AP$302*($AN$5:$AN$302=$A133),$AS$5:$AS$302)),IF(LEFT($AI133,2)="S|",IF($AG133="","",INDEX($AS$5:$AS$302,$AH133)),IF($AI133="HDR","Trans TY",""))))))</f>
        <v/>
      </c>
      <c r="Q133" s="40" t="str" cm="1">
        <f t="array" ref="Q133">IF($AI133="","",IF(LEFT($AI133,2)="C|",IF($C133="","",SUMPRODUCT($AP$5:$AP$302*($AO$5:$AO$302=$A133),$AU$5:$AU$302)),IF($AI133="CT",Q$13,IF(LEFT($AI133,3)="AM|",IF($C133="","",SUMPRODUCT($AP$5:$AP$302*($AN$5:$AN$302=$A133),$AU$5:$AU$302)),IF(LEFT($AI133,2)="S|",IF($AG133="","",INDEX($AU$5:$AU$302,$AH133)),IF($AI133="HDR","Trans LY",""))))))</f>
        <v/>
      </c>
      <c r="R133" s="41" t="str">
        <f t="shared" si="85"/>
        <v/>
      </c>
      <c r="S133" s="41" t="str">
        <f t="shared" si="86"/>
        <v/>
      </c>
      <c r="T133" s="42" t="str">
        <f t="shared" si="87"/>
        <v/>
      </c>
      <c r="U133" s="42" t="str">
        <f t="shared" si="88"/>
        <v/>
      </c>
      <c r="V133" s="41" t="str">
        <f t="shared" si="89"/>
        <v/>
      </c>
      <c r="W133" s="40" t="str" cm="1">
        <f t="array" ref="W133">IF($AI133="","",IF(LEFT($AI133,2)="C|",_xlfn.LET(_xlpm.n,SUMPRODUCT($AP$5:$AP$302*($AO$5:$AO$302=$A133),$BB$5:$BB$302),IF(_xlpm.n=0,"",_xlpm.n)),IF($AI133="CT",W$13,IF(LEFT($AI133,3)="AM|",_xlfn.LET(_xlpm.n,SUMPRODUCT($AP$5:$AP$302*($AN$5:$AN$302=$A133),$BB$5:$BB$302),IF(_xlpm.n=0,"",_xlpm.n)),IF(LEFT($AI133,2)="S|",IF($AG133="","",_xlfn.LET(_xlpm.n,INDEX($BB$5:$BB$302,$AH133),IF(_xlpm.n=0,"",_xlpm.n))),IF($AI133="HDR","Footfall",""))))))</f>
        <v/>
      </c>
      <c r="X133" s="40" t="str" cm="1">
        <f t="array" ref="X133">IF($AI133="","",IF($AI133="HDR","Trans (FF stores)",IF(W133="","",IF(LEFT($AI133,2)="C|",SUMPRODUCT($AP$5:$AP$302*($AO$5:$AO$302=$A133),$BC$5:$BC$302),IF($AI133="CT",X$13,IF(LEFT($AI133,3)="AM|",SUMPRODUCT($AP$5:$AP$302*($AN$5:$AN$302=$A133),$BC$5:$BC$302),IF(LEFT($AI133,2)="S|",INDEX($BC$5:$BC$302,$AH133),"")))))))</f>
        <v/>
      </c>
      <c r="Y133" s="41" t="str">
        <f t="shared" si="77"/>
        <v/>
      </c>
      <c r="Z133" s="40" t="str" cm="1">
        <f t="array" ref="Z133">IF($AI133="","",IF(LEFT($AI133,2)="C|",IF($C133="","",SUMPRODUCT($AP$5:$AP$302*($AO$5:$AO$302=$A133),$CB$5:$CB$302)),IF($AI133="CT",Z$13,IF(LEFT($AI133,3)="AM|",IF($C133="","",SUMPRODUCT($AP$5:$AP$302*($AN$5:$AN$302=$A133),$CB$5:$CB$302)),IF(LEFT($AI133,2)="S|",IF($AG133="","",INDEX($CB$5:$CB$302,$AH133)),IF($AI133="HDR","Makeup Sales",""))))))</f>
        <v/>
      </c>
      <c r="AA133" s="41" t="str">
        <f t="shared" si="90"/>
        <v/>
      </c>
      <c r="AB133" s="40" t="str" cm="1">
        <f t="array" ref="AB133">IF($AI133="","",IF(LEFT($AI133,2)="C|",IF($C133="","",SUMPRODUCT($AP$5:$AP$302*($AO$5:$AO$302=$A133),$CK$5:$CK$302)),IF($AI133="CT",AB$13,IF(LEFT($AI133,3)="AM|",IF($C133="","",SUMPRODUCT($AP$5:$AP$302*($AN$5:$AN$302=$A133),$CK$5:$CK$302)),IF(LEFT($AI133,2)="S|",IF($AG133="","",INDEX($CK$5:$CK$302,$AH133)),IF($AI133="HDR","Makeup Target",""))))))</f>
        <v/>
      </c>
      <c r="AC133" s="41" t="str">
        <f t="shared" si="78"/>
        <v/>
      </c>
      <c r="AD133" s="40" t="str" cm="1">
        <f t="array" ref="AD133">IF($AI133="","",IF(LEFT($AI133,2)="C|",IF($C133="","",SUMPRODUCT($AP$5:$AP$302*($AO$5:$AO$302=$A133),$CI$5:$CI$302)),IF($AI133="CT",AD$13,IF(LEFT($AI133,3)="AM|",IF($C133="","",SUMPRODUCT($AP$5:$AP$302*($AN$5:$AN$302=$A133),$CI$5:$CI$302)),IF(LEFT($AI133,2)="S|",IF($AG133="","",INDEX($CI$5:$CI$302,$AH133)),IF($AI133="HDR","Cosmetic Sales",""))))))</f>
        <v/>
      </c>
      <c r="AE133" s="8" t="str" cm="1">
        <f t="array" ref="AE133">IF($AI133="","",IF(LEFT($AI133,2)="C|",IF($C133="","",SUMPRODUCT($AP$5:$AP$302*($AO$5:$AO$302=$A133)*$AQ$5:$AQ$302,$AR$5:$AR$302)),IF($AI133="CT",AE$13,IF(LEFT($AI133,3)="AM|",IF($C133="","",SUMPRODUCT($AP$5:$AP$302*($AN$5:$AN$302=$A133)*$AQ$5:$AQ$302,$AR$5:$AR$302)),IF(LEFT($AI133,2)="S|",IF($AG133="","",IF(INDEX($AQ$5:$AQ$302,$AH133)=1,D133,0)),IF($AI133="HDR","LFL Sales",""))))))</f>
        <v/>
      </c>
      <c r="AF133" s="8" t="str" cm="1">
        <f t="array" ref="AF133">IF($AI133="","",IF(LEFT($AI133,2)="C|",IF($C133="","",SUMPRODUCT($AP$5:$AP$302*($AO$5:$AO$302=$A133)*$AQ$5:$AQ$302,$AS$5:$AS$302)),IF($AI133="CT",AF$13,IF(LEFT($AI133,3)="AM|",IF($C133="","",SUMPRODUCT($AP$5:$AP$302*($AN$5:$AN$302=$A133)*$AQ$5:$AQ$302,$AS$5:$AS$302)),IF(LEFT($AI133,2)="S|",IF($AG133="","",IF(INDEX($AQ$5:$AQ$302,$AH133)=1,P133,0)),IF($AI133="HDR","LFL Trans",""))))))</f>
        <v/>
      </c>
      <c r="AG133" s="8" t="str" cm="1">
        <f t="array" ref="AG133">IF($AI133="","",IF(LEFT($AI133,2)="C|","",IF($AI133="CT","",IF(LEFT($AI133,3)="AM|","",IF(LEFT($AI133,2)="S|",IF($AH133="","",IF(INDEX($AP$5:$AP$302,$AH133)=1,1,"")),IF($AI133="HDR","Show",""))))))</f>
        <v/>
      </c>
      <c r="AH133" s="8" t="str">
        <f t="shared" si="91"/>
        <v/>
      </c>
      <c r="AI133" s="8"/>
      <c r="AN133" s="8" t="str" cm="1">
        <f t="array" ref="AN133">IF($AW133="","",_xlfn.LET(_xlpm.sa,IFERROR(TRIM(INDEX('Sales and count'!$D$4:$D$300,$BF133)&amp;""),""),_xlpm.ta,IFERROR(TRIM(INDEX('TY Sales Target'!$F$5:$F$300,$BG133)&amp;""),""),IF(AND(_xlpm.sa&lt;&gt;"",LEFT(_xlpm.sa,1)&lt;&gt;"#",_xlpm.sa&lt;&gt;"0"),_xlpm.sa,IF(AND(_xlpm.ta&lt;&gt;"",LEFT(_xlpm.ta,1)&lt;&gt;"#",_xlpm.ta&lt;&gt;"0"),_xlpm.ta,IF(ISNUMBER($BG133),"Unassigned","")))))</f>
        <v/>
      </c>
      <c r="AO133" s="8" t="str" cm="1">
        <f t="array" ref="AO133">IF($AW133="","",_xlfn.LET(_xlpm.sa,IFERROR(TRIM(INDEX('Sales and count'!$C$4:$C$300,$BF133)&amp;""),""),_xlpm.ta,IFERROR(TRIM(INDEX('TY Sales Target'!$D$5:$D$300,$BG133)&amp;""),""),IF(AND(_xlpm.sa&lt;&gt;"",LEFT(_xlpm.sa,1)&lt;&gt;"#",_xlpm.sa&lt;&gt;"0"),_xlpm.sa,IF(AND(_xlpm.ta&lt;&gt;"",LEFT(_xlpm.ta,1)&lt;&gt;"#",_xlpm.ta&lt;&gt;"0"),_xlpm.ta,""))))</f>
        <v/>
      </c>
      <c r="AP133" s="8">
        <f t="shared" si="60"/>
        <v>0</v>
      </c>
      <c r="AQ133" s="8">
        <f t="shared" si="61"/>
        <v>0</v>
      </c>
      <c r="AR133" s="8" cm="1">
        <f t="array" ref="AR133">IF($BF133="",0,_xlfn.LET(_xlpm.d,IFERROR(--'Sales and count'!$G$2:$CC$2,0),SUMPRODUCT(('Sales and count'!$G$3:$CC$3="Total")*(_xlpm.d&gt;=$U$4)*(_xlpm.d&lt;=$U$5),INDEX('Sales and count'!$G$4:$CC$300,$BF133,0))))</f>
        <v>0</v>
      </c>
      <c r="AS133" s="8" cm="1">
        <f t="array" ref="AS133">IF($BF133="",0,_xlfn.LET(_xlpm.d,IFERROR(--'Sales and count'!$F$2:$CB$2,0),SUMPRODUCT(('Sales and count'!$G$3:$CC$3="Transactions")*(_xlpm.d&gt;=$U$4)*(_xlpm.d&lt;=$U$5),INDEX('Sales and count'!$G$4:$CC$300,$BF133,0))))</f>
        <v>0</v>
      </c>
      <c r="AT133" s="8" cm="1">
        <f t="array" ref="AT133">IF($AW133="",0,SUMPRODUCT((TRIM('LY Sales '!$B$5:$B$200)=$AW133)*('LY Sales '!$C$2:$AG$2&gt;=EDATE($U$4,-12))*('LY Sales '!$C$2:$AG$2&lt;=EDATE($U$5,-12)),'LY Sales '!$C$5:$AG$200))</f>
        <v>0</v>
      </c>
      <c r="AU133" s="8" cm="1">
        <f t="array" ref="AU133">IF($AW133="",0,SUMPRODUCT((TRIM('LY Transaction'!$B$5:$B$200)=$AW133)*('LY Transaction'!$C$2:$AG$2&gt;=EDATE($U$4,-12))*('LY Transaction'!$C$2:$AG$2&lt;=EDATE($U$5,-12)),'LY Transaction'!$C$5:$AG$200))</f>
        <v>0</v>
      </c>
      <c r="AV133" s="8" cm="1">
        <f t="array" ref="AV133">IF(NOT(ISNUMBER($BG133)),0,SUMPRODUCT(('TY Sales Target'!$K$2:$AO$2&gt;=$U$4)*('TY Sales Target'!$K$2:$AO$2&lt;=$U$5),INDEX('TY Sales Target'!$K$5:$AO$300,$BG133,0)))</f>
        <v>0</v>
      </c>
      <c r="AW133" s="8" t="str" cm="1">
        <f t="array" ref="AW133">IFERROR(INDEX(_xlfn.ANCHORARRAY($BR$5),ROWS($AW$5:AW133)),"")</f>
        <v/>
      </c>
      <c r="BB133" cm="1">
        <f t="array" ref="BB133">IF($AW133="",0,SUMPRODUCT((TRIM(Footfall!$B$5:$B$301)=$AW133)*(Footfall!$C$1:$BZ$1&gt;=$U$4)*(Footfall!$C$2:$BZ$2&lt;=$U$5)*(Footfall!$C$1:$BZ$1&lt;&gt;""),Footfall!$C$5:$BZ$301))</f>
        <v>0</v>
      </c>
      <c r="BC133" cm="1">
        <f t="array" ref="BC133">IF(OR($BB133&lt;=0,$BD$1="",$BF133=""),0,_xlfn.LET(_xlpm.d,IFERROR(--'Sales and count'!$F$2:$CB$2,0),SUMPRODUCT(('Sales and count'!$G$3:$CC$3="Transactions")*(_xlpm.d&gt;=$BD$1)*(_xlpm.d&lt;=$BD$2),INDEX('Sales and count'!$G$4:$CC$300,$BF133,0))))</f>
        <v>0</v>
      </c>
      <c r="BF133" t="str" cm="1">
        <f t="array" ref="BF133">IF($AW133="","",IFERROR(MATCH($AW133,TRIM('Sales and count'!$A$4:$A$300&amp;""),0),""))</f>
        <v/>
      </c>
      <c r="BG133" t="str" cm="1">
        <f t="array" ref="BG133">IF($AW133="","",IFERROR(MATCH(IFERROR(_xlfn.XLOOKUP($AW133,$BT$5:$BT$22,$BU$5:$BU$22),$AW133),TRIM('TY Sales Target'!$B$5:$B$300&amp;""),0),""))</f>
        <v/>
      </c>
      <c r="BH133" t="str" cm="1">
        <f t="array" ref="BH133">IF(ISNUMBER($BG133),_xlfn.LET(_xlpm.p,TRIM(INDEX('TY Sales Target'!$I$5:$I$300,$BG133)&amp;""),IF(_xlpm.p="","Not set",_xlpm.p)),"Not set")</f>
        <v>Not set</v>
      </c>
      <c r="BI133" cm="1">
        <f t="array" ref="BI133">IF($BF133="",0,_xlfn.LET(_xlpm.d,IFERROR(--'Sales and count'!$G$2:$CC$2,0),SUMPRODUCT(('Sales and count'!$G$3:$CC$3="Total")*(_xlpm.d&gt;=$BZ$5)*(_xlpm.d&lt;=$BZ$6),INDEX('Sales and count'!$G$4:$CC$300,$BF133,0))))</f>
        <v>0</v>
      </c>
      <c r="BJ133" cm="1">
        <f t="array" ref="BJ133">IF($AW133="",0,SUMPRODUCT((TRIM('LY Sales '!$B$5:$B$200)=$AW133)*('LY Sales '!$C$2:$AG$2&gt;=EDATE($BZ$5,-12))*('LY Sales '!$C$2:$AG$2&lt;=EDATE($BZ$6,-12)),'LY Sales '!$C$5:$AG$200))</f>
        <v>0</v>
      </c>
      <c r="BK133" cm="1">
        <f t="array" ref="BK133">IF($AW133="",0,SUMPRODUCT((TRIM('LY Sales '!$B$5:$B$200)=$AW133)*('LY Sales '!$C$2:$AG$2&gt;=EDATE($BZ$5,-12))*('LY Sales '!$C$2:$AG$2&lt;=EDATE($BZ$7,-12)),'LY Sales '!$C$5:$AG$200))</f>
        <v>0</v>
      </c>
      <c r="BL133" cm="1">
        <f t="array" ref="BL133">IF($AW133="",0,SUMPRODUCT((TRIM('LY Sales '!$B$5:$B$200)=$AW133)*('LY Sales '!$C$2:$AG$2&gt;=EDATE($BZ$5,-12))*('LY Sales '!$C$2:$AG$2&lt;=EDATE($BZ$6,-12))*('LY Sales '!$C$5:$AG$200&gt;0)))</f>
        <v>0</v>
      </c>
      <c r="BM133" cm="1">
        <f t="array" ref="BM133">IF(NOT(ISNUMBER($BG133)),0,SUMPRODUCT(('TY Sales Target'!$K$2:$AO$2&gt;=$BZ$5)*('TY Sales Target'!$K$2:$AO$2&lt;=$BZ$6),INDEX('TY Sales Target'!$K$5:$AO$300,$BG133,0)))</f>
        <v>0</v>
      </c>
      <c r="BN133" cm="1">
        <f t="array" ref="BN133">IF(NOT(ISNUMBER($BG133)),0,SUMPRODUCT(('TY Sales Target'!$K$2:$AO$2&gt;=$BZ$5)*('TY Sales Target'!$K$2:$AO$2&lt;=$BZ$7),INDEX('TY Sales Target'!$K$5:$AO$300,$BG133,0)))</f>
        <v>0</v>
      </c>
      <c r="BO133" cm="1">
        <f t="array" ref="BO133">IF($AW133="",0,IFERROR(_xlfn.SWITCH($BP133,"LY trend",$BI133*$BK133/$BJ133,"Target curve",$BI133*$BN133/$BM133,"Run rate",$BI133/$BZ$8*$BZ$9,0),0))</f>
        <v>0</v>
      </c>
      <c r="BP133" t="str">
        <f t="shared" ref="BP133:BP196" si="92">IF($AW133="","",IF(AND($BL133&gt;=$BZ$8,$BJ133&gt;0,$BK133&gt;0),"LY trend",IF($BM133&gt;0,"Target curve",IF($BI133&gt;0,"Run rate",""))))</f>
        <v/>
      </c>
      <c r="CB133" cm="1">
        <f t="array" ref="CB133">IF($AW133="",0,_xlfn.LET(_xlpm.k,IFERROR(_xlfn.XLOOKUP($AW133,$CD$6:$CD$21,$CE$6:$CE$21),$AW133),SUMPRODUCT((TRIM('Makeup '!$A$2:$A$300&amp;"")=_xlpm.k)*1,IFERROR('Makeup '!$F$2:$F$300*1,0))))</f>
        <v>0</v>
      </c>
      <c r="CF133" t="str" cm="1">
        <f t="array" ref="CF133">IF($AW133="","",_xlfn.LET(_xlpm.c,IFERROR(TRIM(INDEX('Sales and count'!$B$4:$B$300,$BF133)&amp;""),""),IF(OR(_xlpm.c="",_xlpm.c="0",LEFT(_xlpm.c,1)="#"),"Not set",_xlpm.c)))</f>
        <v/>
      </c>
      <c r="CH133" cm="1">
        <f t="array" ref="CH133">IF($AW133="",0,_xlfn.LET(_xlpm.k,IFERROR(_xlfn.XLOOKUP($AW133,$CD$6:$CD$21,$CE$6:$CE$21),$AW133),--(SUMPRODUCT((TRIM('Makeup '!$A$2:$A$300&amp;"")=_xlpm.k)*ISNUMBER('Makeup '!$F$2:$F$300))&gt;0)))</f>
        <v>0</v>
      </c>
      <c r="CI133">
        <f t="shared" si="62"/>
        <v>0</v>
      </c>
      <c r="CJ133" cm="1">
        <f t="array" ref="CJ133">IF($AW133="",0,--(SUMPRODUCT(--(TRIM(Footfall!$B$5:$B$301)=$AW133))&gt;0))</f>
        <v>0</v>
      </c>
      <c r="CK133" s="8" cm="1">
        <f t="array" ref="CK133">IF($AW133="",0,_xlfn.LET(_xlpm.r,IFERROR(MATCH(IFERROR(_xlfn.XLOOKUP($AW133,$BT$5:$BT$22,$BU$5:$BU$22),$AW133),TRIM('TY Beauty Target'!$B$5:$B$300&amp;""),0),""),IF(ISNUMBER(_xlpm.r),SUMPRODUCT(('TY Beauty Target'!$L$2:$AP$2&gt;=$U$4)*('TY Beauty Target'!$L$2:$AP$2&lt;=$U$5),INDEX('TY Beauty Target'!$L$5:$AP$300,_xlpm.r,0)),0)))</f>
        <v>0</v>
      </c>
    </row>
    <row r="134" spans="1:89" ht="15" customHeight="1" x14ac:dyDescent="0.25">
      <c r="A134" s="38" t="str">
        <f t="shared" si="79"/>
        <v/>
      </c>
      <c r="B134" s="43" t="str" cm="1">
        <f t="array" ref="B134">IF($AI134="","",IF(LEFT($AI134,2)="C|",IF($C134="","",_xlfn.TEXTJOIN(", ",TRUE,_xlfn.UNIQUE(_xlfn._xlws.FILTER($AN$5:$AN$302,($AP$5:$AP$302=1)*($AO$5:$AO$302=$A134))))),IF($AI134="CT",B$13,IF(LEFT($AI134,3)="AM|",IF($C134="","",ROWS(_xlfn.UNIQUE(_xlfn._xlws.FILTER($AO$5:$AO$302,($AP$5:$AP$302=1)*($AN$5:$AN$302=$A134))))),IF(LEFT($AI134,2)="S|",IF($AG134="","",INDEX($AO$5:$AO$302,$AH134)),IF($AI134="HDR","City",""))))))</f>
        <v/>
      </c>
      <c r="C134" s="39" t="str" cm="1">
        <f t="array" ref="C134">IF($AI134="","",IF(LEFT($AI134,2)="C|",_xlfn.LET(_xlpm.n,SUMPRODUCT($AP$5:$AP$302*($AO$5:$AO$302=$A134)),IF(_xlpm.n=0,"",_xlpm.n)),IF($AI134="CT",C$13,IF(LEFT($AI134,3)="AM|",_xlfn.LET(_xlpm.n,SUMPRODUCT($AP$5:$AP$302*($AN$5:$AN$302=$A134)),IF(_xlpm.n=0,"",_xlpm.n)),IF(LEFT($AI134,2)="S|","",IF($AI134="HDR","# Stores",""))))))</f>
        <v/>
      </c>
      <c r="D134" s="40" t="str" cm="1">
        <f t="array" ref="D134">IF($AI134="","",IF(LEFT($AI134,2)="C|",IF($C134="","",SUMPRODUCT($AP$5:$AP$302*($AO$5:$AO$302=$A134),$AR$5:$AR$302)),IF($AI134="CT",D$13,IF(LEFT($AI134,3)="AM|",IF($C134="","",SUMPRODUCT($AP$5:$AP$302*($AN$5:$AN$302=$A134),$AR$5:$AR$302)),IF(LEFT($AI134,2)="S|",IF($AG134="","",INDEX($AR$5:$AR$302,$AH134)),IF($AI134="HDR","Sales TY",""))))))</f>
        <v/>
      </c>
      <c r="E134" s="40" t="str" cm="1">
        <f t="array" ref="E134">IF($AI134="","",IF(LEFT($AI134,2)="C|",IF($C134="","",SUMPRODUCT($AP$5:$AP$302*($AO$5:$AO$302=$A134),$AT$5:$AT$302)),IF($AI134="CT",E$13,IF(LEFT($AI134,3)="AM|",IF($C134="","",SUMPRODUCT($AP$5:$AP$302*($AN$5:$AN$302=$A134),$AT$5:$AT$302)),IF(LEFT($AI134,2)="S|",IF($AG134="","",INDEX($AT$5:$AT$302,$AH134)),IF($AI134="HDR","Sales LY",""))))))</f>
        <v/>
      </c>
      <c r="F134" s="41" t="str">
        <f t="shared" si="80"/>
        <v/>
      </c>
      <c r="G134" s="41" t="str">
        <f t="shared" si="81"/>
        <v/>
      </c>
      <c r="H134" s="40" t="str" cm="1">
        <f t="array" ref="H134">IF($AI134="","",IF(LEFT($AI134,2)="C|",IF($C134="","",SUMPRODUCT($AP$5:$AP$302*($AO$5:$AO$302=$A134),$AV$5:$AV$302)),IF($AI134="CT",H$13,IF(LEFT($AI134,3)="AM|",IF($C134="","",SUMPRODUCT($AP$5:$AP$302*($AN$5:$AN$302=$A134),$AV$5:$AV$302)),IF(LEFT($AI134,2)="S|",IF($AG134="","",INDEX($AV$5:$AV$302,$AH134)),IF($AI134="HDR","Target",""))))))</f>
        <v/>
      </c>
      <c r="I134" s="41" t="str">
        <f t="shared" si="82"/>
        <v/>
      </c>
      <c r="J134" s="40" t="str">
        <f t="shared" si="83"/>
        <v/>
      </c>
      <c r="K134" s="41" t="str">
        <f t="shared" si="84"/>
        <v/>
      </c>
      <c r="L134" s="40" t="str" cm="1">
        <f t="array" ref="L134">IF($AI134="","",IF(LEFT($AI134,2)="C|",IF($C134="","",SUMPRODUCT($AP$5:$AP$302*($AO$5:$AO$302=$A134),$BN$5:$BN$302)),IF($AI134="CT",L$13,IF(LEFT($AI134,3)="AM|",IF($C134="","",SUMPRODUCT($AP$5:$AP$302*($AN$5:$AN$302=$A134),$BN$5:$BN$302)),IF(LEFT($AI134,2)="S|",IF($AG134="","",INDEX($BN$5:$BN$302,$AH134)),IF($AI134="HDR","Month Target",""))))))</f>
        <v/>
      </c>
      <c r="M134" s="40" t="str" cm="1">
        <f t="array" ref="M134">IF($AI134="","",IF(LEFT($AI134,2)="C|",IF($C134="","",SUMPRODUCT($AP$5:$AP$302*($AO$5:$AO$302=$A134),$BO$5:$BO$302)),IF($AI134="CT",M$13,IF(LEFT($AI134,3)="AM|",IF($C134="","",SUMPRODUCT($AP$5:$AP$302*($AN$5:$AN$302=$A134),$BO$5:$BO$302)),IF(LEFT($AI134,2)="S|",IF($AG134="","",INDEX($BO$5:$BO$302,$AH134)),IF($AI134="HDR","Projected Close",""))))))</f>
        <v/>
      </c>
      <c r="N134" s="41" t="str">
        <f t="shared" si="76"/>
        <v/>
      </c>
      <c r="O134" s="41" t="str" cm="1">
        <f t="array" ref="O134">IF($AI134="HDR","Proj. vs LY",IF(OR($AI134="",M134=""),"",_xlfn.LET(_xlpm.ly,IF(LEFT($AI134,2)="C|",SUMPRODUCT($AP$5:$AP$302*($AO$5:$AO$302=$A134),$BK$5:$BK$302),IF($AI134="CT",SUMPRODUCT($AP$5:$AP$302,$BK$5:$BK$302),IF(LEFT($AI134,3)="AM|",SUMPRODUCT($AP$5:$AP$302*($AN$5:$AN$302=$A134),$BK$5:$BK$302),IF(LEFT($AI134,2)="S|",INDEX($BK$5:$BK$302,$AH134),0)))),IFERROR(M134/_xlpm.ly-1,""))))</f>
        <v/>
      </c>
      <c r="P134" s="40" t="str" cm="1">
        <f t="array" ref="P134">IF($AI134="","",IF(LEFT($AI134,2)="C|",IF($C134="","",SUMPRODUCT($AP$5:$AP$302*($AO$5:$AO$302=$A134),$AS$5:$AS$302)),IF($AI134="CT",P$13,IF(LEFT($AI134,3)="AM|",IF($C134="","",SUMPRODUCT($AP$5:$AP$302*($AN$5:$AN$302=$A134),$AS$5:$AS$302)),IF(LEFT($AI134,2)="S|",IF($AG134="","",INDEX($AS$5:$AS$302,$AH134)),IF($AI134="HDR","Trans TY",""))))))</f>
        <v/>
      </c>
      <c r="Q134" s="40" t="str" cm="1">
        <f t="array" ref="Q134">IF($AI134="","",IF(LEFT($AI134,2)="C|",IF($C134="","",SUMPRODUCT($AP$5:$AP$302*($AO$5:$AO$302=$A134),$AU$5:$AU$302)),IF($AI134="CT",Q$13,IF(LEFT($AI134,3)="AM|",IF($C134="","",SUMPRODUCT($AP$5:$AP$302*($AN$5:$AN$302=$A134),$AU$5:$AU$302)),IF(LEFT($AI134,2)="S|",IF($AG134="","",INDEX($AU$5:$AU$302,$AH134)),IF($AI134="HDR","Trans LY",""))))))</f>
        <v/>
      </c>
      <c r="R134" s="41" t="str">
        <f t="shared" si="85"/>
        <v/>
      </c>
      <c r="S134" s="41" t="str">
        <f t="shared" si="86"/>
        <v/>
      </c>
      <c r="T134" s="42" t="str">
        <f t="shared" si="87"/>
        <v/>
      </c>
      <c r="U134" s="42" t="str">
        <f t="shared" si="88"/>
        <v/>
      </c>
      <c r="V134" s="41" t="str">
        <f t="shared" si="89"/>
        <v/>
      </c>
      <c r="W134" s="40" t="str" cm="1">
        <f t="array" ref="W134">IF($AI134="","",IF(LEFT($AI134,2)="C|",_xlfn.LET(_xlpm.n,SUMPRODUCT($AP$5:$AP$302*($AO$5:$AO$302=$A134),$BB$5:$BB$302),IF(_xlpm.n=0,"",_xlpm.n)),IF($AI134="CT",W$13,IF(LEFT($AI134,3)="AM|",_xlfn.LET(_xlpm.n,SUMPRODUCT($AP$5:$AP$302*($AN$5:$AN$302=$A134),$BB$5:$BB$302),IF(_xlpm.n=0,"",_xlpm.n)),IF(LEFT($AI134,2)="S|",IF($AG134="","",_xlfn.LET(_xlpm.n,INDEX($BB$5:$BB$302,$AH134),IF(_xlpm.n=0,"",_xlpm.n))),IF($AI134="HDR","Footfall",""))))))</f>
        <v/>
      </c>
      <c r="X134" s="40" t="str" cm="1">
        <f t="array" ref="X134">IF($AI134="","",IF($AI134="HDR","Trans (FF stores)",IF(W134="","",IF(LEFT($AI134,2)="C|",SUMPRODUCT($AP$5:$AP$302*($AO$5:$AO$302=$A134),$BC$5:$BC$302),IF($AI134="CT",X$13,IF(LEFT($AI134,3)="AM|",SUMPRODUCT($AP$5:$AP$302*($AN$5:$AN$302=$A134),$BC$5:$BC$302),IF(LEFT($AI134,2)="S|",INDEX($BC$5:$BC$302,$AH134),"")))))))</f>
        <v/>
      </c>
      <c r="Y134" s="41" t="str">
        <f t="shared" si="77"/>
        <v/>
      </c>
      <c r="Z134" s="40" t="str" cm="1">
        <f t="array" ref="Z134">IF($AI134="","",IF(LEFT($AI134,2)="C|",IF($C134="","",SUMPRODUCT($AP$5:$AP$302*($AO$5:$AO$302=$A134),$CB$5:$CB$302)),IF($AI134="CT",Z$13,IF(LEFT($AI134,3)="AM|",IF($C134="","",SUMPRODUCT($AP$5:$AP$302*($AN$5:$AN$302=$A134),$CB$5:$CB$302)),IF(LEFT($AI134,2)="S|",IF($AG134="","",INDEX($CB$5:$CB$302,$AH134)),IF($AI134="HDR","Makeup Sales",""))))))</f>
        <v/>
      </c>
      <c r="AA134" s="41" t="str">
        <f t="shared" si="90"/>
        <v/>
      </c>
      <c r="AB134" s="40" t="str" cm="1">
        <f t="array" ref="AB134">IF($AI134="","",IF(LEFT($AI134,2)="C|",IF($C134="","",SUMPRODUCT($AP$5:$AP$302*($AO$5:$AO$302=$A134),$CK$5:$CK$302)),IF($AI134="CT",AB$13,IF(LEFT($AI134,3)="AM|",IF($C134="","",SUMPRODUCT($AP$5:$AP$302*($AN$5:$AN$302=$A134),$CK$5:$CK$302)),IF(LEFT($AI134,2)="S|",IF($AG134="","",INDEX($CK$5:$CK$302,$AH134)),IF($AI134="HDR","Makeup Target",""))))))</f>
        <v/>
      </c>
      <c r="AC134" s="41" t="str">
        <f t="shared" si="78"/>
        <v/>
      </c>
      <c r="AD134" s="40" t="str" cm="1">
        <f t="array" ref="AD134">IF($AI134="","",IF(LEFT($AI134,2)="C|",IF($C134="","",SUMPRODUCT($AP$5:$AP$302*($AO$5:$AO$302=$A134),$CI$5:$CI$302)),IF($AI134="CT",AD$13,IF(LEFT($AI134,3)="AM|",IF($C134="","",SUMPRODUCT($AP$5:$AP$302*($AN$5:$AN$302=$A134),$CI$5:$CI$302)),IF(LEFT($AI134,2)="S|",IF($AG134="","",INDEX($CI$5:$CI$302,$AH134)),IF($AI134="HDR","Cosmetic Sales",""))))))</f>
        <v/>
      </c>
      <c r="AE134" s="8" t="str" cm="1">
        <f t="array" ref="AE134">IF($AI134="","",IF(LEFT($AI134,2)="C|",IF($C134="","",SUMPRODUCT($AP$5:$AP$302*($AO$5:$AO$302=$A134)*$AQ$5:$AQ$302,$AR$5:$AR$302)),IF($AI134="CT",AE$13,IF(LEFT($AI134,3)="AM|",IF($C134="","",SUMPRODUCT($AP$5:$AP$302*($AN$5:$AN$302=$A134)*$AQ$5:$AQ$302,$AR$5:$AR$302)),IF(LEFT($AI134,2)="S|",IF($AG134="","",IF(INDEX($AQ$5:$AQ$302,$AH134)=1,D134,0)),IF($AI134="HDR","LFL Sales",""))))))</f>
        <v/>
      </c>
      <c r="AF134" s="8" t="str" cm="1">
        <f t="array" ref="AF134">IF($AI134="","",IF(LEFT($AI134,2)="C|",IF($C134="","",SUMPRODUCT($AP$5:$AP$302*($AO$5:$AO$302=$A134)*$AQ$5:$AQ$302,$AS$5:$AS$302)),IF($AI134="CT",AF$13,IF(LEFT($AI134,3)="AM|",IF($C134="","",SUMPRODUCT($AP$5:$AP$302*($AN$5:$AN$302=$A134)*$AQ$5:$AQ$302,$AS$5:$AS$302)),IF(LEFT($AI134,2)="S|",IF($AG134="","",IF(INDEX($AQ$5:$AQ$302,$AH134)=1,P134,0)),IF($AI134="HDR","LFL Trans",""))))))</f>
        <v/>
      </c>
      <c r="AG134" s="8" t="str" cm="1">
        <f t="array" ref="AG134">IF($AI134="","",IF(LEFT($AI134,2)="C|","",IF($AI134="CT","",IF(LEFT($AI134,3)="AM|","",IF(LEFT($AI134,2)="S|",IF($AH134="","",IF(INDEX($AP$5:$AP$302,$AH134)=1,1,"")),IF($AI134="HDR","Show",""))))))</f>
        <v/>
      </c>
      <c r="AH134" s="8" t="str">
        <f t="shared" si="91"/>
        <v/>
      </c>
      <c r="AI134" s="8"/>
      <c r="AN134" s="8" t="str" cm="1">
        <f t="array" ref="AN134">IF($AW134="","",_xlfn.LET(_xlpm.sa,IFERROR(TRIM(INDEX('Sales and count'!$D$4:$D$300,$BF134)&amp;""),""),_xlpm.ta,IFERROR(TRIM(INDEX('TY Sales Target'!$F$5:$F$300,$BG134)&amp;""),""),IF(AND(_xlpm.sa&lt;&gt;"",LEFT(_xlpm.sa,1)&lt;&gt;"#",_xlpm.sa&lt;&gt;"0"),_xlpm.sa,IF(AND(_xlpm.ta&lt;&gt;"",LEFT(_xlpm.ta,1)&lt;&gt;"#",_xlpm.ta&lt;&gt;"0"),_xlpm.ta,IF(ISNUMBER($BG134),"Unassigned","")))))</f>
        <v/>
      </c>
      <c r="AO134" s="8" t="str" cm="1">
        <f t="array" ref="AO134">IF($AW134="","",_xlfn.LET(_xlpm.sa,IFERROR(TRIM(INDEX('Sales and count'!$C$4:$C$300,$BF134)&amp;""),""),_xlpm.ta,IFERROR(TRIM(INDEX('TY Sales Target'!$D$5:$D$300,$BG134)&amp;""),""),IF(AND(_xlpm.sa&lt;&gt;"",LEFT(_xlpm.sa,1)&lt;&gt;"#",_xlpm.sa&lt;&gt;"0"),_xlpm.sa,IF(AND(_xlpm.ta&lt;&gt;"",LEFT(_xlpm.ta,1)&lt;&gt;"#",_xlpm.ta&lt;&gt;"0"),_xlpm.ta,""))))</f>
        <v/>
      </c>
      <c r="AP134" s="8">
        <f t="shared" ref="AP134:AP197" si="93">IF(AND(AN134&lt;&gt;"",OR($B$3="All",$CF134=$B$3),IF(OR($B$4="All",$B$4="Multiple (ticked)"),IF(COUNTIF($B$10:$M$10,"✔")&gt;0,COUNTIFS($B$9:$M$9,AN134,$B$10:$M$10,"✔")&gt;0,$B$4="All"),AN134=$B$4),OR($B$5="All",AO134=$B$5),OR($B$6="All Stores",CJ134=IF($B$6="With Footfall Device",1,0)),OR($B$7="All Stores",AQ134=1),OR($B$8="All",BH134=$B$8)),1,0)</f>
        <v>0</v>
      </c>
      <c r="AQ134" s="8">
        <f t="shared" ref="AQ134:AQ197" si="94">--(AT134&gt;0)</f>
        <v>0</v>
      </c>
      <c r="AR134" s="8" cm="1">
        <f t="array" ref="AR134">IF($BF134="",0,_xlfn.LET(_xlpm.d,IFERROR(--'Sales and count'!$G$2:$CC$2,0),SUMPRODUCT(('Sales and count'!$G$3:$CC$3="Total")*(_xlpm.d&gt;=$U$4)*(_xlpm.d&lt;=$U$5),INDEX('Sales and count'!$G$4:$CC$300,$BF134,0))))</f>
        <v>0</v>
      </c>
      <c r="AS134" s="8" cm="1">
        <f t="array" ref="AS134">IF($BF134="",0,_xlfn.LET(_xlpm.d,IFERROR(--'Sales and count'!$F$2:$CB$2,0),SUMPRODUCT(('Sales and count'!$G$3:$CC$3="Transactions")*(_xlpm.d&gt;=$U$4)*(_xlpm.d&lt;=$U$5),INDEX('Sales and count'!$G$4:$CC$300,$BF134,0))))</f>
        <v>0</v>
      </c>
      <c r="AT134" s="8" cm="1">
        <f t="array" ref="AT134">IF($AW134="",0,SUMPRODUCT((TRIM('LY Sales '!$B$5:$B$200)=$AW134)*('LY Sales '!$C$2:$AG$2&gt;=EDATE($U$4,-12))*('LY Sales '!$C$2:$AG$2&lt;=EDATE($U$5,-12)),'LY Sales '!$C$5:$AG$200))</f>
        <v>0</v>
      </c>
      <c r="AU134" s="8" cm="1">
        <f t="array" ref="AU134">IF($AW134="",0,SUMPRODUCT((TRIM('LY Transaction'!$B$5:$B$200)=$AW134)*('LY Transaction'!$C$2:$AG$2&gt;=EDATE($U$4,-12))*('LY Transaction'!$C$2:$AG$2&lt;=EDATE($U$5,-12)),'LY Transaction'!$C$5:$AG$200))</f>
        <v>0</v>
      </c>
      <c r="AV134" s="8" cm="1">
        <f t="array" ref="AV134">IF(NOT(ISNUMBER($BG134)),0,SUMPRODUCT(('TY Sales Target'!$K$2:$AO$2&gt;=$U$4)*('TY Sales Target'!$K$2:$AO$2&lt;=$U$5),INDEX('TY Sales Target'!$K$5:$AO$300,$BG134,0)))</f>
        <v>0</v>
      </c>
      <c r="AW134" s="8" t="str" cm="1">
        <f t="array" ref="AW134">IFERROR(INDEX(_xlfn.ANCHORARRAY($BR$5),ROWS($AW$5:AW134)),"")</f>
        <v/>
      </c>
      <c r="BB134" cm="1">
        <f t="array" ref="BB134">IF($AW134="",0,SUMPRODUCT((TRIM(Footfall!$B$5:$B$301)=$AW134)*(Footfall!$C$1:$BZ$1&gt;=$U$4)*(Footfall!$C$2:$BZ$2&lt;=$U$5)*(Footfall!$C$1:$BZ$1&lt;&gt;""),Footfall!$C$5:$BZ$301))</f>
        <v>0</v>
      </c>
      <c r="BC134" cm="1">
        <f t="array" ref="BC134">IF(OR($BB134&lt;=0,$BD$1="",$BF134=""),0,_xlfn.LET(_xlpm.d,IFERROR(--'Sales and count'!$F$2:$CB$2,0),SUMPRODUCT(('Sales and count'!$G$3:$CC$3="Transactions")*(_xlpm.d&gt;=$BD$1)*(_xlpm.d&lt;=$BD$2),INDEX('Sales and count'!$G$4:$CC$300,$BF134,0))))</f>
        <v>0</v>
      </c>
      <c r="BF134" t="str" cm="1">
        <f t="array" ref="BF134">IF($AW134="","",IFERROR(MATCH($AW134,TRIM('Sales and count'!$A$4:$A$300&amp;""),0),""))</f>
        <v/>
      </c>
      <c r="BG134" t="str" cm="1">
        <f t="array" ref="BG134">IF($AW134="","",IFERROR(MATCH(IFERROR(_xlfn.XLOOKUP($AW134,$BT$5:$BT$22,$BU$5:$BU$22),$AW134),TRIM('TY Sales Target'!$B$5:$B$300&amp;""),0),""))</f>
        <v/>
      </c>
      <c r="BH134" t="str" cm="1">
        <f t="array" ref="BH134">IF(ISNUMBER($BG134),_xlfn.LET(_xlpm.p,TRIM(INDEX('TY Sales Target'!$I$5:$I$300,$BG134)&amp;""),IF(_xlpm.p="","Not set",_xlpm.p)),"Not set")</f>
        <v>Not set</v>
      </c>
      <c r="BI134" cm="1">
        <f t="array" ref="BI134">IF($BF134="",0,_xlfn.LET(_xlpm.d,IFERROR(--'Sales and count'!$G$2:$CC$2,0),SUMPRODUCT(('Sales and count'!$G$3:$CC$3="Total")*(_xlpm.d&gt;=$BZ$5)*(_xlpm.d&lt;=$BZ$6),INDEX('Sales and count'!$G$4:$CC$300,$BF134,0))))</f>
        <v>0</v>
      </c>
      <c r="BJ134" cm="1">
        <f t="array" ref="BJ134">IF($AW134="",0,SUMPRODUCT((TRIM('LY Sales '!$B$5:$B$200)=$AW134)*('LY Sales '!$C$2:$AG$2&gt;=EDATE($BZ$5,-12))*('LY Sales '!$C$2:$AG$2&lt;=EDATE($BZ$6,-12)),'LY Sales '!$C$5:$AG$200))</f>
        <v>0</v>
      </c>
      <c r="BK134" cm="1">
        <f t="array" ref="BK134">IF($AW134="",0,SUMPRODUCT((TRIM('LY Sales '!$B$5:$B$200)=$AW134)*('LY Sales '!$C$2:$AG$2&gt;=EDATE($BZ$5,-12))*('LY Sales '!$C$2:$AG$2&lt;=EDATE($BZ$7,-12)),'LY Sales '!$C$5:$AG$200))</f>
        <v>0</v>
      </c>
      <c r="BL134" cm="1">
        <f t="array" ref="BL134">IF($AW134="",0,SUMPRODUCT((TRIM('LY Sales '!$B$5:$B$200)=$AW134)*('LY Sales '!$C$2:$AG$2&gt;=EDATE($BZ$5,-12))*('LY Sales '!$C$2:$AG$2&lt;=EDATE($BZ$6,-12))*('LY Sales '!$C$5:$AG$200&gt;0)))</f>
        <v>0</v>
      </c>
      <c r="BM134" cm="1">
        <f t="array" ref="BM134">IF(NOT(ISNUMBER($BG134)),0,SUMPRODUCT(('TY Sales Target'!$K$2:$AO$2&gt;=$BZ$5)*('TY Sales Target'!$K$2:$AO$2&lt;=$BZ$6),INDEX('TY Sales Target'!$K$5:$AO$300,$BG134,0)))</f>
        <v>0</v>
      </c>
      <c r="BN134" cm="1">
        <f t="array" ref="BN134">IF(NOT(ISNUMBER($BG134)),0,SUMPRODUCT(('TY Sales Target'!$K$2:$AO$2&gt;=$BZ$5)*('TY Sales Target'!$K$2:$AO$2&lt;=$BZ$7),INDEX('TY Sales Target'!$K$5:$AO$300,$BG134,0)))</f>
        <v>0</v>
      </c>
      <c r="BO134" cm="1">
        <f t="array" ref="BO134">IF($AW134="",0,IFERROR(_xlfn.SWITCH($BP134,"LY trend",$BI134*$BK134/$BJ134,"Target curve",$BI134*$BN134/$BM134,"Run rate",$BI134/$BZ$8*$BZ$9,0),0))</f>
        <v>0</v>
      </c>
      <c r="BP134" t="str">
        <f t="shared" si="92"/>
        <v/>
      </c>
      <c r="CB134" cm="1">
        <f t="array" ref="CB134">IF($AW134="",0,_xlfn.LET(_xlpm.k,IFERROR(_xlfn.XLOOKUP($AW134,$CD$6:$CD$21,$CE$6:$CE$21),$AW134),SUMPRODUCT((TRIM('Makeup '!$A$2:$A$300&amp;"")=_xlpm.k)*1,IFERROR('Makeup '!$F$2:$F$300*1,0))))</f>
        <v>0</v>
      </c>
      <c r="CF134" t="str" cm="1">
        <f t="array" ref="CF134">IF($AW134="","",_xlfn.LET(_xlpm.c,IFERROR(TRIM(INDEX('Sales and count'!$B$4:$B$300,$BF134)&amp;""),""),IF(OR(_xlpm.c="",_xlpm.c="0",LEFT(_xlpm.c,1)="#"),"Not set",_xlpm.c)))</f>
        <v/>
      </c>
      <c r="CH134" cm="1">
        <f t="array" ref="CH134">IF($AW134="",0,_xlfn.LET(_xlpm.k,IFERROR(_xlfn.XLOOKUP($AW134,$CD$6:$CD$21,$CE$6:$CE$21),$AW134),--(SUMPRODUCT((TRIM('Makeup '!$A$2:$A$300&amp;"")=_xlpm.k)*ISNUMBER('Makeup '!$F$2:$F$300))&gt;0)))</f>
        <v>0</v>
      </c>
      <c r="CI134">
        <f t="shared" si="62"/>
        <v>0</v>
      </c>
      <c r="CJ134" cm="1">
        <f t="array" ref="CJ134">IF($AW134="",0,--(SUMPRODUCT(--(TRIM(Footfall!$B$5:$B$301)=$AW134))&gt;0))</f>
        <v>0</v>
      </c>
      <c r="CK134" s="8" cm="1">
        <f t="array" ref="CK134">IF($AW134="",0,_xlfn.LET(_xlpm.r,IFERROR(MATCH(IFERROR(_xlfn.XLOOKUP($AW134,$BT$5:$BT$22,$BU$5:$BU$22),$AW134),TRIM('TY Beauty Target'!$B$5:$B$300&amp;""),0),""),IF(ISNUMBER(_xlpm.r),SUMPRODUCT(('TY Beauty Target'!$L$2:$AP$2&gt;=$U$4)*('TY Beauty Target'!$L$2:$AP$2&lt;=$U$5),INDEX('TY Beauty Target'!$L$5:$AP$300,_xlpm.r,0)),0)))</f>
        <v>0</v>
      </c>
    </row>
    <row r="135" spans="1:89" ht="15" customHeight="1" x14ac:dyDescent="0.25">
      <c r="A135" s="38" t="str">
        <f t="shared" si="79"/>
        <v/>
      </c>
      <c r="B135" s="43" t="str" cm="1">
        <f t="array" ref="B135">IF($AI135="","",IF(LEFT($AI135,2)="C|",IF($C135="","",_xlfn.TEXTJOIN(", ",TRUE,_xlfn.UNIQUE(_xlfn._xlws.FILTER($AN$5:$AN$302,($AP$5:$AP$302=1)*($AO$5:$AO$302=$A135))))),IF($AI135="CT",B$13,IF(LEFT($AI135,3)="AM|",IF($C135="","",ROWS(_xlfn.UNIQUE(_xlfn._xlws.FILTER($AO$5:$AO$302,($AP$5:$AP$302=1)*($AN$5:$AN$302=$A135))))),IF(LEFT($AI135,2)="S|",IF($AG135="","",INDEX($AO$5:$AO$302,$AH135)),IF($AI135="HDR","City",""))))))</f>
        <v/>
      </c>
      <c r="C135" s="39" t="str" cm="1">
        <f t="array" ref="C135">IF($AI135="","",IF(LEFT($AI135,2)="C|",_xlfn.LET(_xlpm.n,SUMPRODUCT($AP$5:$AP$302*($AO$5:$AO$302=$A135)),IF(_xlpm.n=0,"",_xlpm.n)),IF($AI135="CT",C$13,IF(LEFT($AI135,3)="AM|",_xlfn.LET(_xlpm.n,SUMPRODUCT($AP$5:$AP$302*($AN$5:$AN$302=$A135)),IF(_xlpm.n=0,"",_xlpm.n)),IF(LEFT($AI135,2)="S|","",IF($AI135="HDR","# Stores",""))))))</f>
        <v/>
      </c>
      <c r="D135" s="40" t="str" cm="1">
        <f t="array" ref="D135">IF($AI135="","",IF(LEFT($AI135,2)="C|",IF($C135="","",SUMPRODUCT($AP$5:$AP$302*($AO$5:$AO$302=$A135),$AR$5:$AR$302)),IF($AI135="CT",D$13,IF(LEFT($AI135,3)="AM|",IF($C135="","",SUMPRODUCT($AP$5:$AP$302*($AN$5:$AN$302=$A135),$AR$5:$AR$302)),IF(LEFT($AI135,2)="S|",IF($AG135="","",INDEX($AR$5:$AR$302,$AH135)),IF($AI135="HDR","Sales TY",""))))))</f>
        <v/>
      </c>
      <c r="E135" s="40" t="str" cm="1">
        <f t="array" ref="E135">IF($AI135="","",IF(LEFT($AI135,2)="C|",IF($C135="","",SUMPRODUCT($AP$5:$AP$302*($AO$5:$AO$302=$A135),$AT$5:$AT$302)),IF($AI135="CT",E$13,IF(LEFT($AI135,3)="AM|",IF($C135="","",SUMPRODUCT($AP$5:$AP$302*($AN$5:$AN$302=$A135),$AT$5:$AT$302)),IF(LEFT($AI135,2)="S|",IF($AG135="","",INDEX($AT$5:$AT$302,$AH135)),IF($AI135="HDR","Sales LY",""))))))</f>
        <v/>
      </c>
      <c r="F135" s="41" t="str">
        <f t="shared" si="80"/>
        <v/>
      </c>
      <c r="G135" s="41" t="str">
        <f t="shared" si="81"/>
        <v/>
      </c>
      <c r="H135" s="40" t="str" cm="1">
        <f t="array" ref="H135">IF($AI135="","",IF(LEFT($AI135,2)="C|",IF($C135="","",SUMPRODUCT($AP$5:$AP$302*($AO$5:$AO$302=$A135),$AV$5:$AV$302)),IF($AI135="CT",H$13,IF(LEFT($AI135,3)="AM|",IF($C135="","",SUMPRODUCT($AP$5:$AP$302*($AN$5:$AN$302=$A135),$AV$5:$AV$302)),IF(LEFT($AI135,2)="S|",IF($AG135="","",INDEX($AV$5:$AV$302,$AH135)),IF($AI135="HDR","Target",""))))))</f>
        <v/>
      </c>
      <c r="I135" s="41" t="str">
        <f t="shared" si="82"/>
        <v/>
      </c>
      <c r="J135" s="40" t="str">
        <f t="shared" si="83"/>
        <v/>
      </c>
      <c r="K135" s="41" t="str">
        <f t="shared" si="84"/>
        <v/>
      </c>
      <c r="L135" s="40" t="str" cm="1">
        <f t="array" ref="L135">IF($AI135="","",IF(LEFT($AI135,2)="C|",IF($C135="","",SUMPRODUCT($AP$5:$AP$302*($AO$5:$AO$302=$A135),$BN$5:$BN$302)),IF($AI135="CT",L$13,IF(LEFT($AI135,3)="AM|",IF($C135="","",SUMPRODUCT($AP$5:$AP$302*($AN$5:$AN$302=$A135),$BN$5:$BN$302)),IF(LEFT($AI135,2)="S|",IF($AG135="","",INDEX($BN$5:$BN$302,$AH135)),IF($AI135="HDR","Month Target",""))))))</f>
        <v/>
      </c>
      <c r="M135" s="40" t="str" cm="1">
        <f t="array" ref="M135">IF($AI135="","",IF(LEFT($AI135,2)="C|",IF($C135="","",SUMPRODUCT($AP$5:$AP$302*($AO$5:$AO$302=$A135),$BO$5:$BO$302)),IF($AI135="CT",M$13,IF(LEFT($AI135,3)="AM|",IF($C135="","",SUMPRODUCT($AP$5:$AP$302*($AN$5:$AN$302=$A135),$BO$5:$BO$302)),IF(LEFT($AI135,2)="S|",IF($AG135="","",INDEX($BO$5:$BO$302,$AH135)),IF($AI135="HDR","Projected Close",""))))))</f>
        <v/>
      </c>
      <c r="N135" s="41" t="str">
        <f t="shared" si="76"/>
        <v/>
      </c>
      <c r="O135" s="41" t="str" cm="1">
        <f t="array" ref="O135">IF($AI135="HDR","Proj. vs LY",IF(OR($AI135="",M135=""),"",_xlfn.LET(_xlpm.ly,IF(LEFT($AI135,2)="C|",SUMPRODUCT($AP$5:$AP$302*($AO$5:$AO$302=$A135),$BK$5:$BK$302),IF($AI135="CT",SUMPRODUCT($AP$5:$AP$302,$BK$5:$BK$302),IF(LEFT($AI135,3)="AM|",SUMPRODUCT($AP$5:$AP$302*($AN$5:$AN$302=$A135),$BK$5:$BK$302),IF(LEFT($AI135,2)="S|",INDEX($BK$5:$BK$302,$AH135),0)))),IFERROR(M135/_xlpm.ly-1,""))))</f>
        <v/>
      </c>
      <c r="P135" s="40" t="str" cm="1">
        <f t="array" ref="P135">IF($AI135="","",IF(LEFT($AI135,2)="C|",IF($C135="","",SUMPRODUCT($AP$5:$AP$302*($AO$5:$AO$302=$A135),$AS$5:$AS$302)),IF($AI135="CT",P$13,IF(LEFT($AI135,3)="AM|",IF($C135="","",SUMPRODUCT($AP$5:$AP$302*($AN$5:$AN$302=$A135),$AS$5:$AS$302)),IF(LEFT($AI135,2)="S|",IF($AG135="","",INDEX($AS$5:$AS$302,$AH135)),IF($AI135="HDR","Trans TY",""))))))</f>
        <v/>
      </c>
      <c r="Q135" s="40" t="str" cm="1">
        <f t="array" ref="Q135">IF($AI135="","",IF(LEFT($AI135,2)="C|",IF($C135="","",SUMPRODUCT($AP$5:$AP$302*($AO$5:$AO$302=$A135),$AU$5:$AU$302)),IF($AI135="CT",Q$13,IF(LEFT($AI135,3)="AM|",IF($C135="","",SUMPRODUCT($AP$5:$AP$302*($AN$5:$AN$302=$A135),$AU$5:$AU$302)),IF(LEFT($AI135,2)="S|",IF($AG135="","",INDEX($AU$5:$AU$302,$AH135)),IF($AI135="HDR","Trans LY",""))))))</f>
        <v/>
      </c>
      <c r="R135" s="41" t="str">
        <f t="shared" si="85"/>
        <v/>
      </c>
      <c r="S135" s="41" t="str">
        <f t="shared" si="86"/>
        <v/>
      </c>
      <c r="T135" s="42" t="str">
        <f t="shared" si="87"/>
        <v/>
      </c>
      <c r="U135" s="42" t="str">
        <f t="shared" si="88"/>
        <v/>
      </c>
      <c r="V135" s="41" t="str">
        <f t="shared" si="89"/>
        <v/>
      </c>
      <c r="W135" s="40" t="str" cm="1">
        <f t="array" ref="W135">IF($AI135="","",IF(LEFT($AI135,2)="C|",_xlfn.LET(_xlpm.n,SUMPRODUCT($AP$5:$AP$302*($AO$5:$AO$302=$A135),$BB$5:$BB$302),IF(_xlpm.n=0,"",_xlpm.n)),IF($AI135="CT",W$13,IF(LEFT($AI135,3)="AM|",_xlfn.LET(_xlpm.n,SUMPRODUCT($AP$5:$AP$302*($AN$5:$AN$302=$A135),$BB$5:$BB$302),IF(_xlpm.n=0,"",_xlpm.n)),IF(LEFT($AI135,2)="S|",IF($AG135="","",_xlfn.LET(_xlpm.n,INDEX($BB$5:$BB$302,$AH135),IF(_xlpm.n=0,"",_xlpm.n))),IF($AI135="HDR","Footfall",""))))))</f>
        <v/>
      </c>
      <c r="X135" s="40" t="str" cm="1">
        <f t="array" ref="X135">IF($AI135="","",IF($AI135="HDR","Trans (FF stores)",IF(W135="","",IF(LEFT($AI135,2)="C|",SUMPRODUCT($AP$5:$AP$302*($AO$5:$AO$302=$A135),$BC$5:$BC$302),IF($AI135="CT",X$13,IF(LEFT($AI135,3)="AM|",SUMPRODUCT($AP$5:$AP$302*($AN$5:$AN$302=$A135),$BC$5:$BC$302),IF(LEFT($AI135,2)="S|",INDEX($BC$5:$BC$302,$AH135),"")))))))</f>
        <v/>
      </c>
      <c r="Y135" s="41" t="str">
        <f t="shared" si="77"/>
        <v/>
      </c>
      <c r="Z135" s="40" t="str" cm="1">
        <f t="array" ref="Z135">IF($AI135="","",IF(LEFT($AI135,2)="C|",IF($C135="","",SUMPRODUCT($AP$5:$AP$302*($AO$5:$AO$302=$A135),$CB$5:$CB$302)),IF($AI135="CT",Z$13,IF(LEFT($AI135,3)="AM|",IF($C135="","",SUMPRODUCT($AP$5:$AP$302*($AN$5:$AN$302=$A135),$CB$5:$CB$302)),IF(LEFT($AI135,2)="S|",IF($AG135="","",INDEX($CB$5:$CB$302,$AH135)),IF($AI135="HDR","Makeup Sales",""))))))</f>
        <v/>
      </c>
      <c r="AA135" s="41" t="str">
        <f t="shared" si="90"/>
        <v/>
      </c>
      <c r="AB135" s="40" t="str" cm="1">
        <f t="array" ref="AB135">IF($AI135="","",IF(LEFT($AI135,2)="C|",IF($C135="","",SUMPRODUCT($AP$5:$AP$302*($AO$5:$AO$302=$A135),$CK$5:$CK$302)),IF($AI135="CT",AB$13,IF(LEFT($AI135,3)="AM|",IF($C135="","",SUMPRODUCT($AP$5:$AP$302*($AN$5:$AN$302=$A135),$CK$5:$CK$302)),IF(LEFT($AI135,2)="S|",IF($AG135="","",INDEX($CK$5:$CK$302,$AH135)),IF($AI135="HDR","Makeup Target",""))))))</f>
        <v/>
      </c>
      <c r="AC135" s="41" t="str">
        <f t="shared" si="78"/>
        <v/>
      </c>
      <c r="AD135" s="40" t="str" cm="1">
        <f t="array" ref="AD135">IF($AI135="","",IF(LEFT($AI135,2)="C|",IF($C135="","",SUMPRODUCT($AP$5:$AP$302*($AO$5:$AO$302=$A135),$CI$5:$CI$302)),IF($AI135="CT",AD$13,IF(LEFT($AI135,3)="AM|",IF($C135="","",SUMPRODUCT($AP$5:$AP$302*($AN$5:$AN$302=$A135),$CI$5:$CI$302)),IF(LEFT($AI135,2)="S|",IF($AG135="","",INDEX($CI$5:$CI$302,$AH135)),IF($AI135="HDR","Cosmetic Sales",""))))))</f>
        <v/>
      </c>
      <c r="AE135" s="8" t="str" cm="1">
        <f t="array" ref="AE135">IF($AI135="","",IF(LEFT($AI135,2)="C|",IF($C135="","",SUMPRODUCT($AP$5:$AP$302*($AO$5:$AO$302=$A135)*$AQ$5:$AQ$302,$AR$5:$AR$302)),IF($AI135="CT",AE$13,IF(LEFT($AI135,3)="AM|",IF($C135="","",SUMPRODUCT($AP$5:$AP$302*($AN$5:$AN$302=$A135)*$AQ$5:$AQ$302,$AR$5:$AR$302)),IF(LEFT($AI135,2)="S|",IF($AG135="","",IF(INDEX($AQ$5:$AQ$302,$AH135)=1,D135,0)),IF($AI135="HDR","LFL Sales",""))))))</f>
        <v/>
      </c>
      <c r="AF135" s="8" t="str" cm="1">
        <f t="array" ref="AF135">IF($AI135="","",IF(LEFT($AI135,2)="C|",IF($C135="","",SUMPRODUCT($AP$5:$AP$302*($AO$5:$AO$302=$A135)*$AQ$5:$AQ$302,$AS$5:$AS$302)),IF($AI135="CT",AF$13,IF(LEFT($AI135,3)="AM|",IF($C135="","",SUMPRODUCT($AP$5:$AP$302*($AN$5:$AN$302=$A135)*$AQ$5:$AQ$302,$AS$5:$AS$302)),IF(LEFT($AI135,2)="S|",IF($AG135="","",IF(INDEX($AQ$5:$AQ$302,$AH135)=1,P135,0)),IF($AI135="HDR","LFL Trans",""))))))</f>
        <v/>
      </c>
      <c r="AG135" s="8" t="str" cm="1">
        <f t="array" ref="AG135">IF($AI135="","",IF(LEFT($AI135,2)="C|","",IF($AI135="CT","",IF(LEFT($AI135,3)="AM|","",IF(LEFT($AI135,2)="S|",IF($AH135="","",IF(INDEX($AP$5:$AP$302,$AH135)=1,1,"")),IF($AI135="HDR","Show",""))))))</f>
        <v/>
      </c>
      <c r="AH135" s="8" t="str">
        <f t="shared" si="91"/>
        <v/>
      </c>
      <c r="AI135" s="8"/>
      <c r="AN135" s="8" t="str" cm="1">
        <f t="array" ref="AN135">IF($AW135="","",_xlfn.LET(_xlpm.sa,IFERROR(TRIM(INDEX('Sales and count'!$D$4:$D$300,$BF135)&amp;""),""),_xlpm.ta,IFERROR(TRIM(INDEX('TY Sales Target'!$F$5:$F$300,$BG135)&amp;""),""),IF(AND(_xlpm.sa&lt;&gt;"",LEFT(_xlpm.sa,1)&lt;&gt;"#",_xlpm.sa&lt;&gt;"0"),_xlpm.sa,IF(AND(_xlpm.ta&lt;&gt;"",LEFT(_xlpm.ta,1)&lt;&gt;"#",_xlpm.ta&lt;&gt;"0"),_xlpm.ta,IF(ISNUMBER($BG135),"Unassigned","")))))</f>
        <v/>
      </c>
      <c r="AO135" s="8" t="str" cm="1">
        <f t="array" ref="AO135">IF($AW135="","",_xlfn.LET(_xlpm.sa,IFERROR(TRIM(INDEX('Sales and count'!$C$4:$C$300,$BF135)&amp;""),""),_xlpm.ta,IFERROR(TRIM(INDEX('TY Sales Target'!$D$5:$D$300,$BG135)&amp;""),""),IF(AND(_xlpm.sa&lt;&gt;"",LEFT(_xlpm.sa,1)&lt;&gt;"#",_xlpm.sa&lt;&gt;"0"),_xlpm.sa,IF(AND(_xlpm.ta&lt;&gt;"",LEFT(_xlpm.ta,1)&lt;&gt;"#",_xlpm.ta&lt;&gt;"0"),_xlpm.ta,""))))</f>
        <v/>
      </c>
      <c r="AP135" s="8">
        <f t="shared" si="93"/>
        <v>0</v>
      </c>
      <c r="AQ135" s="8">
        <f t="shared" si="94"/>
        <v>0</v>
      </c>
      <c r="AR135" s="8" cm="1">
        <f t="array" ref="AR135">IF($BF135="",0,_xlfn.LET(_xlpm.d,IFERROR(--'Sales and count'!$G$2:$CC$2,0),SUMPRODUCT(('Sales and count'!$G$3:$CC$3="Total")*(_xlpm.d&gt;=$U$4)*(_xlpm.d&lt;=$U$5),INDEX('Sales and count'!$G$4:$CC$300,$BF135,0))))</f>
        <v>0</v>
      </c>
      <c r="AS135" s="8" cm="1">
        <f t="array" ref="AS135">IF($BF135="",0,_xlfn.LET(_xlpm.d,IFERROR(--'Sales and count'!$F$2:$CB$2,0),SUMPRODUCT(('Sales and count'!$G$3:$CC$3="Transactions")*(_xlpm.d&gt;=$U$4)*(_xlpm.d&lt;=$U$5),INDEX('Sales and count'!$G$4:$CC$300,$BF135,0))))</f>
        <v>0</v>
      </c>
      <c r="AT135" s="8" cm="1">
        <f t="array" ref="AT135">IF($AW135="",0,SUMPRODUCT((TRIM('LY Sales '!$B$5:$B$200)=$AW135)*('LY Sales '!$C$2:$AG$2&gt;=EDATE($U$4,-12))*('LY Sales '!$C$2:$AG$2&lt;=EDATE($U$5,-12)),'LY Sales '!$C$5:$AG$200))</f>
        <v>0</v>
      </c>
      <c r="AU135" s="8" cm="1">
        <f t="array" ref="AU135">IF($AW135="",0,SUMPRODUCT((TRIM('LY Transaction'!$B$5:$B$200)=$AW135)*('LY Transaction'!$C$2:$AG$2&gt;=EDATE($U$4,-12))*('LY Transaction'!$C$2:$AG$2&lt;=EDATE($U$5,-12)),'LY Transaction'!$C$5:$AG$200))</f>
        <v>0</v>
      </c>
      <c r="AV135" s="8" cm="1">
        <f t="array" ref="AV135">IF(NOT(ISNUMBER($BG135)),0,SUMPRODUCT(('TY Sales Target'!$K$2:$AO$2&gt;=$U$4)*('TY Sales Target'!$K$2:$AO$2&lt;=$U$5),INDEX('TY Sales Target'!$K$5:$AO$300,$BG135,0)))</f>
        <v>0</v>
      </c>
      <c r="AW135" s="8" t="str" cm="1">
        <f t="array" ref="AW135">IFERROR(INDEX(_xlfn.ANCHORARRAY($BR$5),ROWS($AW$5:AW135)),"")</f>
        <v/>
      </c>
      <c r="BB135" cm="1">
        <f t="array" ref="BB135">IF($AW135="",0,SUMPRODUCT((TRIM(Footfall!$B$5:$B$301)=$AW135)*(Footfall!$C$1:$BZ$1&gt;=$U$4)*(Footfall!$C$2:$BZ$2&lt;=$U$5)*(Footfall!$C$1:$BZ$1&lt;&gt;""),Footfall!$C$5:$BZ$301))</f>
        <v>0</v>
      </c>
      <c r="BC135" cm="1">
        <f t="array" ref="BC135">IF(OR($BB135&lt;=0,$BD$1="",$BF135=""),0,_xlfn.LET(_xlpm.d,IFERROR(--'Sales and count'!$F$2:$CB$2,0),SUMPRODUCT(('Sales and count'!$G$3:$CC$3="Transactions")*(_xlpm.d&gt;=$BD$1)*(_xlpm.d&lt;=$BD$2),INDEX('Sales and count'!$G$4:$CC$300,$BF135,0))))</f>
        <v>0</v>
      </c>
      <c r="BF135" t="str" cm="1">
        <f t="array" ref="BF135">IF($AW135="","",IFERROR(MATCH($AW135,TRIM('Sales and count'!$A$4:$A$300&amp;""),0),""))</f>
        <v/>
      </c>
      <c r="BG135" t="str" cm="1">
        <f t="array" ref="BG135">IF($AW135="","",IFERROR(MATCH(IFERROR(_xlfn.XLOOKUP($AW135,$BT$5:$BT$22,$BU$5:$BU$22),$AW135),TRIM('TY Sales Target'!$B$5:$B$300&amp;""),0),""))</f>
        <v/>
      </c>
      <c r="BH135" t="str" cm="1">
        <f t="array" ref="BH135">IF(ISNUMBER($BG135),_xlfn.LET(_xlpm.p,TRIM(INDEX('TY Sales Target'!$I$5:$I$300,$BG135)&amp;""),IF(_xlpm.p="","Not set",_xlpm.p)),"Not set")</f>
        <v>Not set</v>
      </c>
      <c r="BI135" cm="1">
        <f t="array" ref="BI135">IF($BF135="",0,_xlfn.LET(_xlpm.d,IFERROR(--'Sales and count'!$G$2:$CC$2,0),SUMPRODUCT(('Sales and count'!$G$3:$CC$3="Total")*(_xlpm.d&gt;=$BZ$5)*(_xlpm.d&lt;=$BZ$6),INDEX('Sales and count'!$G$4:$CC$300,$BF135,0))))</f>
        <v>0</v>
      </c>
      <c r="BJ135" cm="1">
        <f t="array" ref="BJ135">IF($AW135="",0,SUMPRODUCT((TRIM('LY Sales '!$B$5:$B$200)=$AW135)*('LY Sales '!$C$2:$AG$2&gt;=EDATE($BZ$5,-12))*('LY Sales '!$C$2:$AG$2&lt;=EDATE($BZ$6,-12)),'LY Sales '!$C$5:$AG$200))</f>
        <v>0</v>
      </c>
      <c r="BK135" cm="1">
        <f t="array" ref="BK135">IF($AW135="",0,SUMPRODUCT((TRIM('LY Sales '!$B$5:$B$200)=$AW135)*('LY Sales '!$C$2:$AG$2&gt;=EDATE($BZ$5,-12))*('LY Sales '!$C$2:$AG$2&lt;=EDATE($BZ$7,-12)),'LY Sales '!$C$5:$AG$200))</f>
        <v>0</v>
      </c>
      <c r="BL135" cm="1">
        <f t="array" ref="BL135">IF($AW135="",0,SUMPRODUCT((TRIM('LY Sales '!$B$5:$B$200)=$AW135)*('LY Sales '!$C$2:$AG$2&gt;=EDATE($BZ$5,-12))*('LY Sales '!$C$2:$AG$2&lt;=EDATE($BZ$6,-12))*('LY Sales '!$C$5:$AG$200&gt;0)))</f>
        <v>0</v>
      </c>
      <c r="BM135" cm="1">
        <f t="array" ref="BM135">IF(NOT(ISNUMBER($BG135)),0,SUMPRODUCT(('TY Sales Target'!$K$2:$AO$2&gt;=$BZ$5)*('TY Sales Target'!$K$2:$AO$2&lt;=$BZ$6),INDEX('TY Sales Target'!$K$5:$AO$300,$BG135,0)))</f>
        <v>0</v>
      </c>
      <c r="BN135" cm="1">
        <f t="array" ref="BN135">IF(NOT(ISNUMBER($BG135)),0,SUMPRODUCT(('TY Sales Target'!$K$2:$AO$2&gt;=$BZ$5)*('TY Sales Target'!$K$2:$AO$2&lt;=$BZ$7),INDEX('TY Sales Target'!$K$5:$AO$300,$BG135,0)))</f>
        <v>0</v>
      </c>
      <c r="BO135" cm="1">
        <f t="array" ref="BO135">IF($AW135="",0,IFERROR(_xlfn.SWITCH($BP135,"LY trend",$BI135*$BK135/$BJ135,"Target curve",$BI135*$BN135/$BM135,"Run rate",$BI135/$BZ$8*$BZ$9,0),0))</f>
        <v>0</v>
      </c>
      <c r="BP135" t="str">
        <f t="shared" si="92"/>
        <v/>
      </c>
      <c r="CB135" cm="1">
        <f t="array" ref="CB135">IF($AW135="",0,_xlfn.LET(_xlpm.k,IFERROR(_xlfn.XLOOKUP($AW135,$CD$6:$CD$21,$CE$6:$CE$21),$AW135),SUMPRODUCT((TRIM('Makeup '!$A$2:$A$300&amp;"")=_xlpm.k)*1,IFERROR('Makeup '!$F$2:$F$300*1,0))))</f>
        <v>0</v>
      </c>
      <c r="CF135" t="str" cm="1">
        <f t="array" ref="CF135">IF($AW135="","",_xlfn.LET(_xlpm.c,IFERROR(TRIM(INDEX('Sales and count'!$B$4:$B$300,$BF135)&amp;""),""),IF(OR(_xlpm.c="",_xlpm.c="0",LEFT(_xlpm.c,1)="#"),"Not set",_xlpm.c)))</f>
        <v/>
      </c>
      <c r="CH135" cm="1">
        <f t="array" ref="CH135">IF($AW135="",0,_xlfn.LET(_xlpm.k,IFERROR(_xlfn.XLOOKUP($AW135,$CD$6:$CD$21,$CE$6:$CE$21),$AW135),--(SUMPRODUCT((TRIM('Makeup '!$A$2:$A$300&amp;"")=_xlpm.k)*ISNUMBER('Makeup '!$F$2:$F$300))&gt;0)))</f>
        <v>0</v>
      </c>
      <c r="CI135">
        <f t="shared" ref="CI135:CI198" si="95">$AR135*$CH135</f>
        <v>0</v>
      </c>
      <c r="CJ135" cm="1">
        <f t="array" ref="CJ135">IF($AW135="",0,--(SUMPRODUCT(--(TRIM(Footfall!$B$5:$B$301)=$AW135))&gt;0))</f>
        <v>0</v>
      </c>
      <c r="CK135" s="8" cm="1">
        <f t="array" ref="CK135">IF($AW135="",0,_xlfn.LET(_xlpm.r,IFERROR(MATCH(IFERROR(_xlfn.XLOOKUP($AW135,$BT$5:$BT$22,$BU$5:$BU$22),$AW135),TRIM('TY Beauty Target'!$B$5:$B$300&amp;""),0),""),IF(ISNUMBER(_xlpm.r),SUMPRODUCT(('TY Beauty Target'!$L$2:$AP$2&gt;=$U$4)*('TY Beauty Target'!$L$2:$AP$2&lt;=$U$5),INDEX('TY Beauty Target'!$L$5:$AP$300,_xlpm.r,0)),0)))</f>
        <v>0</v>
      </c>
    </row>
    <row r="136" spans="1:89" ht="15" customHeight="1" x14ac:dyDescent="0.25">
      <c r="A136" s="38" t="str">
        <f t="shared" si="79"/>
        <v/>
      </c>
      <c r="B136" s="43" t="str" cm="1">
        <f t="array" ref="B136">IF($AI136="","",IF(LEFT($AI136,2)="C|",IF($C136="","",_xlfn.TEXTJOIN(", ",TRUE,_xlfn.UNIQUE(_xlfn._xlws.FILTER($AN$5:$AN$302,($AP$5:$AP$302=1)*($AO$5:$AO$302=$A136))))),IF($AI136="CT",B$13,IF(LEFT($AI136,3)="AM|",IF($C136="","",ROWS(_xlfn.UNIQUE(_xlfn._xlws.FILTER($AO$5:$AO$302,($AP$5:$AP$302=1)*($AN$5:$AN$302=$A136))))),IF(LEFT($AI136,2)="S|",IF($AG136="","",INDEX($AO$5:$AO$302,$AH136)),IF($AI136="HDR","City",""))))))</f>
        <v/>
      </c>
      <c r="C136" s="39" t="str" cm="1">
        <f t="array" ref="C136">IF($AI136="","",IF(LEFT($AI136,2)="C|",_xlfn.LET(_xlpm.n,SUMPRODUCT($AP$5:$AP$302*($AO$5:$AO$302=$A136)),IF(_xlpm.n=0,"",_xlpm.n)),IF($AI136="CT",C$13,IF(LEFT($AI136,3)="AM|",_xlfn.LET(_xlpm.n,SUMPRODUCT($AP$5:$AP$302*($AN$5:$AN$302=$A136)),IF(_xlpm.n=0,"",_xlpm.n)),IF(LEFT($AI136,2)="S|","",IF($AI136="HDR","# Stores",""))))))</f>
        <v/>
      </c>
      <c r="D136" s="40" t="str" cm="1">
        <f t="array" ref="D136">IF($AI136="","",IF(LEFT($AI136,2)="C|",IF($C136="","",SUMPRODUCT($AP$5:$AP$302*($AO$5:$AO$302=$A136),$AR$5:$AR$302)),IF($AI136="CT",D$13,IF(LEFT($AI136,3)="AM|",IF($C136="","",SUMPRODUCT($AP$5:$AP$302*($AN$5:$AN$302=$A136),$AR$5:$AR$302)),IF(LEFT($AI136,2)="S|",IF($AG136="","",INDEX($AR$5:$AR$302,$AH136)),IF($AI136="HDR","Sales TY",""))))))</f>
        <v/>
      </c>
      <c r="E136" s="40" t="str" cm="1">
        <f t="array" ref="E136">IF($AI136="","",IF(LEFT($AI136,2)="C|",IF($C136="","",SUMPRODUCT($AP$5:$AP$302*($AO$5:$AO$302=$A136),$AT$5:$AT$302)),IF($AI136="CT",E$13,IF(LEFT($AI136,3)="AM|",IF($C136="","",SUMPRODUCT($AP$5:$AP$302*($AN$5:$AN$302=$A136),$AT$5:$AT$302)),IF(LEFT($AI136,2)="S|",IF($AG136="","",INDEX($AT$5:$AT$302,$AH136)),IF($AI136="HDR","Sales LY",""))))))</f>
        <v/>
      </c>
      <c r="F136" s="41" t="str">
        <f t="shared" si="80"/>
        <v/>
      </c>
      <c r="G136" s="41" t="str">
        <f t="shared" si="81"/>
        <v/>
      </c>
      <c r="H136" s="40" t="str" cm="1">
        <f t="array" ref="H136">IF($AI136="","",IF(LEFT($AI136,2)="C|",IF($C136="","",SUMPRODUCT($AP$5:$AP$302*($AO$5:$AO$302=$A136),$AV$5:$AV$302)),IF($AI136="CT",H$13,IF(LEFT($AI136,3)="AM|",IF($C136="","",SUMPRODUCT($AP$5:$AP$302*($AN$5:$AN$302=$A136),$AV$5:$AV$302)),IF(LEFT($AI136,2)="S|",IF($AG136="","",INDEX($AV$5:$AV$302,$AH136)),IF($AI136="HDR","Target",""))))))</f>
        <v/>
      </c>
      <c r="I136" s="41" t="str">
        <f t="shared" si="82"/>
        <v/>
      </c>
      <c r="J136" s="40" t="str">
        <f t="shared" si="83"/>
        <v/>
      </c>
      <c r="K136" s="41" t="str">
        <f t="shared" si="84"/>
        <v/>
      </c>
      <c r="L136" s="40" t="str" cm="1">
        <f t="array" ref="L136">IF($AI136="","",IF(LEFT($AI136,2)="C|",IF($C136="","",SUMPRODUCT($AP$5:$AP$302*($AO$5:$AO$302=$A136),$BN$5:$BN$302)),IF($AI136="CT",L$13,IF(LEFT($AI136,3)="AM|",IF($C136="","",SUMPRODUCT($AP$5:$AP$302*($AN$5:$AN$302=$A136),$BN$5:$BN$302)),IF(LEFT($AI136,2)="S|",IF($AG136="","",INDEX($BN$5:$BN$302,$AH136)),IF($AI136="HDR","Month Target",""))))))</f>
        <v/>
      </c>
      <c r="M136" s="40" t="str" cm="1">
        <f t="array" ref="M136">IF($AI136="","",IF(LEFT($AI136,2)="C|",IF($C136="","",SUMPRODUCT($AP$5:$AP$302*($AO$5:$AO$302=$A136),$BO$5:$BO$302)),IF($AI136="CT",M$13,IF(LEFT($AI136,3)="AM|",IF($C136="","",SUMPRODUCT($AP$5:$AP$302*($AN$5:$AN$302=$A136),$BO$5:$BO$302)),IF(LEFT($AI136,2)="S|",IF($AG136="","",INDEX($BO$5:$BO$302,$AH136)),IF($AI136="HDR","Projected Close",""))))))</f>
        <v/>
      </c>
      <c r="N136" s="41" t="str">
        <f t="shared" si="76"/>
        <v/>
      </c>
      <c r="O136" s="41" t="str" cm="1">
        <f t="array" ref="O136">IF($AI136="HDR","Proj. vs LY",IF(OR($AI136="",M136=""),"",_xlfn.LET(_xlpm.ly,IF(LEFT($AI136,2)="C|",SUMPRODUCT($AP$5:$AP$302*($AO$5:$AO$302=$A136),$BK$5:$BK$302),IF($AI136="CT",SUMPRODUCT($AP$5:$AP$302,$BK$5:$BK$302),IF(LEFT($AI136,3)="AM|",SUMPRODUCT($AP$5:$AP$302*($AN$5:$AN$302=$A136),$BK$5:$BK$302),IF(LEFT($AI136,2)="S|",INDEX($BK$5:$BK$302,$AH136),0)))),IFERROR(M136/_xlpm.ly-1,""))))</f>
        <v/>
      </c>
      <c r="P136" s="40" t="str" cm="1">
        <f t="array" ref="P136">IF($AI136="","",IF(LEFT($AI136,2)="C|",IF($C136="","",SUMPRODUCT($AP$5:$AP$302*($AO$5:$AO$302=$A136),$AS$5:$AS$302)),IF($AI136="CT",P$13,IF(LEFT($AI136,3)="AM|",IF($C136="","",SUMPRODUCT($AP$5:$AP$302*($AN$5:$AN$302=$A136),$AS$5:$AS$302)),IF(LEFT($AI136,2)="S|",IF($AG136="","",INDEX($AS$5:$AS$302,$AH136)),IF($AI136="HDR","Trans TY",""))))))</f>
        <v/>
      </c>
      <c r="Q136" s="40" t="str" cm="1">
        <f t="array" ref="Q136">IF($AI136="","",IF(LEFT($AI136,2)="C|",IF($C136="","",SUMPRODUCT($AP$5:$AP$302*($AO$5:$AO$302=$A136),$AU$5:$AU$302)),IF($AI136="CT",Q$13,IF(LEFT($AI136,3)="AM|",IF($C136="","",SUMPRODUCT($AP$5:$AP$302*($AN$5:$AN$302=$A136),$AU$5:$AU$302)),IF(LEFT($AI136,2)="S|",IF($AG136="","",INDEX($AU$5:$AU$302,$AH136)),IF($AI136="HDR","Trans LY",""))))))</f>
        <v/>
      </c>
      <c r="R136" s="41" t="str">
        <f t="shared" si="85"/>
        <v/>
      </c>
      <c r="S136" s="41" t="str">
        <f t="shared" si="86"/>
        <v/>
      </c>
      <c r="T136" s="42" t="str">
        <f t="shared" si="87"/>
        <v/>
      </c>
      <c r="U136" s="42" t="str">
        <f t="shared" si="88"/>
        <v/>
      </c>
      <c r="V136" s="41" t="str">
        <f t="shared" si="89"/>
        <v/>
      </c>
      <c r="W136" s="40" t="str" cm="1">
        <f t="array" ref="W136">IF($AI136="","",IF(LEFT($AI136,2)="C|",_xlfn.LET(_xlpm.n,SUMPRODUCT($AP$5:$AP$302*($AO$5:$AO$302=$A136),$BB$5:$BB$302),IF(_xlpm.n=0,"",_xlpm.n)),IF($AI136="CT",W$13,IF(LEFT($AI136,3)="AM|",_xlfn.LET(_xlpm.n,SUMPRODUCT($AP$5:$AP$302*($AN$5:$AN$302=$A136),$BB$5:$BB$302),IF(_xlpm.n=0,"",_xlpm.n)),IF(LEFT($AI136,2)="S|",IF($AG136="","",_xlfn.LET(_xlpm.n,INDEX($BB$5:$BB$302,$AH136),IF(_xlpm.n=0,"",_xlpm.n))),IF($AI136="HDR","Footfall",""))))))</f>
        <v/>
      </c>
      <c r="X136" s="40" t="str" cm="1">
        <f t="array" ref="X136">IF($AI136="","",IF($AI136="HDR","Trans (FF stores)",IF(W136="","",IF(LEFT($AI136,2)="C|",SUMPRODUCT($AP$5:$AP$302*($AO$5:$AO$302=$A136),$BC$5:$BC$302),IF($AI136="CT",X$13,IF(LEFT($AI136,3)="AM|",SUMPRODUCT($AP$5:$AP$302*($AN$5:$AN$302=$A136),$BC$5:$BC$302),IF(LEFT($AI136,2)="S|",INDEX($BC$5:$BC$302,$AH136),"")))))))</f>
        <v/>
      </c>
      <c r="Y136" s="41" t="str">
        <f t="shared" si="77"/>
        <v/>
      </c>
      <c r="Z136" s="40" t="str" cm="1">
        <f t="array" ref="Z136">IF($AI136="","",IF(LEFT($AI136,2)="C|",IF($C136="","",SUMPRODUCT($AP$5:$AP$302*($AO$5:$AO$302=$A136),$CB$5:$CB$302)),IF($AI136="CT",Z$13,IF(LEFT($AI136,3)="AM|",IF($C136="","",SUMPRODUCT($AP$5:$AP$302*($AN$5:$AN$302=$A136),$CB$5:$CB$302)),IF(LEFT($AI136,2)="S|",IF($AG136="","",INDEX($CB$5:$CB$302,$AH136)),IF($AI136="HDR","Makeup Sales",""))))))</f>
        <v/>
      </c>
      <c r="AA136" s="41" t="str">
        <f t="shared" si="90"/>
        <v/>
      </c>
      <c r="AB136" s="40" t="str" cm="1">
        <f t="array" ref="AB136">IF($AI136="","",IF(LEFT($AI136,2)="C|",IF($C136="","",SUMPRODUCT($AP$5:$AP$302*($AO$5:$AO$302=$A136),$CK$5:$CK$302)),IF($AI136="CT",AB$13,IF(LEFT($AI136,3)="AM|",IF($C136="","",SUMPRODUCT($AP$5:$AP$302*($AN$5:$AN$302=$A136),$CK$5:$CK$302)),IF(LEFT($AI136,2)="S|",IF($AG136="","",INDEX($CK$5:$CK$302,$AH136)),IF($AI136="HDR","Makeup Target",""))))))</f>
        <v/>
      </c>
      <c r="AC136" s="41" t="str">
        <f t="shared" si="78"/>
        <v/>
      </c>
      <c r="AD136" s="40" t="str" cm="1">
        <f t="array" ref="AD136">IF($AI136="","",IF(LEFT($AI136,2)="C|",IF($C136="","",SUMPRODUCT($AP$5:$AP$302*($AO$5:$AO$302=$A136),$CI$5:$CI$302)),IF($AI136="CT",AD$13,IF(LEFT($AI136,3)="AM|",IF($C136="","",SUMPRODUCT($AP$5:$AP$302*($AN$5:$AN$302=$A136),$CI$5:$CI$302)),IF(LEFT($AI136,2)="S|",IF($AG136="","",INDEX($CI$5:$CI$302,$AH136)),IF($AI136="HDR","Cosmetic Sales",""))))))</f>
        <v/>
      </c>
      <c r="AE136" s="8" t="str" cm="1">
        <f t="array" ref="AE136">IF($AI136="","",IF(LEFT($AI136,2)="C|",IF($C136="","",SUMPRODUCT($AP$5:$AP$302*($AO$5:$AO$302=$A136)*$AQ$5:$AQ$302,$AR$5:$AR$302)),IF($AI136="CT",AE$13,IF(LEFT($AI136,3)="AM|",IF($C136="","",SUMPRODUCT($AP$5:$AP$302*($AN$5:$AN$302=$A136)*$AQ$5:$AQ$302,$AR$5:$AR$302)),IF(LEFT($AI136,2)="S|",IF($AG136="","",IF(INDEX($AQ$5:$AQ$302,$AH136)=1,D136,0)),IF($AI136="HDR","LFL Sales",""))))))</f>
        <v/>
      </c>
      <c r="AF136" s="8" t="str" cm="1">
        <f t="array" ref="AF136">IF($AI136="","",IF(LEFT($AI136,2)="C|",IF($C136="","",SUMPRODUCT($AP$5:$AP$302*($AO$5:$AO$302=$A136)*$AQ$5:$AQ$302,$AS$5:$AS$302)),IF($AI136="CT",AF$13,IF(LEFT($AI136,3)="AM|",IF($C136="","",SUMPRODUCT($AP$5:$AP$302*($AN$5:$AN$302=$A136)*$AQ$5:$AQ$302,$AS$5:$AS$302)),IF(LEFT($AI136,2)="S|",IF($AG136="","",IF(INDEX($AQ$5:$AQ$302,$AH136)=1,P136,0)),IF($AI136="HDR","LFL Trans",""))))))</f>
        <v/>
      </c>
      <c r="AG136" s="8" t="str" cm="1">
        <f t="array" ref="AG136">IF($AI136="","",IF(LEFT($AI136,2)="C|","",IF($AI136="CT","",IF(LEFT($AI136,3)="AM|","",IF(LEFT($AI136,2)="S|",IF($AH136="","",IF(INDEX($AP$5:$AP$302,$AH136)=1,1,"")),IF($AI136="HDR","Show",""))))))</f>
        <v/>
      </c>
      <c r="AH136" s="8" t="str">
        <f t="shared" si="91"/>
        <v/>
      </c>
      <c r="AI136" s="8"/>
      <c r="AN136" s="8" t="str" cm="1">
        <f t="array" ref="AN136">IF($AW136="","",_xlfn.LET(_xlpm.sa,IFERROR(TRIM(INDEX('Sales and count'!$D$4:$D$300,$BF136)&amp;""),""),_xlpm.ta,IFERROR(TRIM(INDEX('TY Sales Target'!$F$5:$F$300,$BG136)&amp;""),""),IF(AND(_xlpm.sa&lt;&gt;"",LEFT(_xlpm.sa,1)&lt;&gt;"#",_xlpm.sa&lt;&gt;"0"),_xlpm.sa,IF(AND(_xlpm.ta&lt;&gt;"",LEFT(_xlpm.ta,1)&lt;&gt;"#",_xlpm.ta&lt;&gt;"0"),_xlpm.ta,IF(ISNUMBER($BG136),"Unassigned","")))))</f>
        <v/>
      </c>
      <c r="AO136" s="8" t="str" cm="1">
        <f t="array" ref="AO136">IF($AW136="","",_xlfn.LET(_xlpm.sa,IFERROR(TRIM(INDEX('Sales and count'!$C$4:$C$300,$BF136)&amp;""),""),_xlpm.ta,IFERROR(TRIM(INDEX('TY Sales Target'!$D$5:$D$300,$BG136)&amp;""),""),IF(AND(_xlpm.sa&lt;&gt;"",LEFT(_xlpm.sa,1)&lt;&gt;"#",_xlpm.sa&lt;&gt;"0"),_xlpm.sa,IF(AND(_xlpm.ta&lt;&gt;"",LEFT(_xlpm.ta,1)&lt;&gt;"#",_xlpm.ta&lt;&gt;"0"),_xlpm.ta,""))))</f>
        <v/>
      </c>
      <c r="AP136" s="8">
        <f t="shared" si="93"/>
        <v>0</v>
      </c>
      <c r="AQ136" s="8">
        <f t="shared" si="94"/>
        <v>0</v>
      </c>
      <c r="AR136" s="8" cm="1">
        <f t="array" ref="AR136">IF($BF136="",0,_xlfn.LET(_xlpm.d,IFERROR(--'Sales and count'!$G$2:$CC$2,0),SUMPRODUCT(('Sales and count'!$G$3:$CC$3="Total")*(_xlpm.d&gt;=$U$4)*(_xlpm.d&lt;=$U$5),INDEX('Sales and count'!$G$4:$CC$300,$BF136,0))))</f>
        <v>0</v>
      </c>
      <c r="AS136" s="8" cm="1">
        <f t="array" ref="AS136">IF($BF136="",0,_xlfn.LET(_xlpm.d,IFERROR(--'Sales and count'!$F$2:$CB$2,0),SUMPRODUCT(('Sales and count'!$G$3:$CC$3="Transactions")*(_xlpm.d&gt;=$U$4)*(_xlpm.d&lt;=$U$5),INDEX('Sales and count'!$G$4:$CC$300,$BF136,0))))</f>
        <v>0</v>
      </c>
      <c r="AT136" s="8" cm="1">
        <f t="array" ref="AT136">IF($AW136="",0,SUMPRODUCT((TRIM('LY Sales '!$B$5:$B$200)=$AW136)*('LY Sales '!$C$2:$AG$2&gt;=EDATE($U$4,-12))*('LY Sales '!$C$2:$AG$2&lt;=EDATE($U$5,-12)),'LY Sales '!$C$5:$AG$200))</f>
        <v>0</v>
      </c>
      <c r="AU136" s="8" cm="1">
        <f t="array" ref="AU136">IF($AW136="",0,SUMPRODUCT((TRIM('LY Transaction'!$B$5:$B$200)=$AW136)*('LY Transaction'!$C$2:$AG$2&gt;=EDATE($U$4,-12))*('LY Transaction'!$C$2:$AG$2&lt;=EDATE($U$5,-12)),'LY Transaction'!$C$5:$AG$200))</f>
        <v>0</v>
      </c>
      <c r="AV136" s="8" cm="1">
        <f t="array" ref="AV136">IF(NOT(ISNUMBER($BG136)),0,SUMPRODUCT(('TY Sales Target'!$K$2:$AO$2&gt;=$U$4)*('TY Sales Target'!$K$2:$AO$2&lt;=$U$5),INDEX('TY Sales Target'!$K$5:$AO$300,$BG136,0)))</f>
        <v>0</v>
      </c>
      <c r="AW136" s="8" t="str" cm="1">
        <f t="array" ref="AW136">IFERROR(INDEX(_xlfn.ANCHORARRAY($BR$5),ROWS($AW$5:AW136)),"")</f>
        <v/>
      </c>
      <c r="BB136" cm="1">
        <f t="array" ref="BB136">IF($AW136="",0,SUMPRODUCT((TRIM(Footfall!$B$5:$B$301)=$AW136)*(Footfall!$C$1:$BZ$1&gt;=$U$4)*(Footfall!$C$2:$BZ$2&lt;=$U$5)*(Footfall!$C$1:$BZ$1&lt;&gt;""),Footfall!$C$5:$BZ$301))</f>
        <v>0</v>
      </c>
      <c r="BC136" cm="1">
        <f t="array" ref="BC136">IF(OR($BB136&lt;=0,$BD$1="",$BF136=""),0,_xlfn.LET(_xlpm.d,IFERROR(--'Sales and count'!$F$2:$CB$2,0),SUMPRODUCT(('Sales and count'!$G$3:$CC$3="Transactions")*(_xlpm.d&gt;=$BD$1)*(_xlpm.d&lt;=$BD$2),INDEX('Sales and count'!$G$4:$CC$300,$BF136,0))))</f>
        <v>0</v>
      </c>
      <c r="BF136" t="str" cm="1">
        <f t="array" ref="BF136">IF($AW136="","",IFERROR(MATCH($AW136,TRIM('Sales and count'!$A$4:$A$300&amp;""),0),""))</f>
        <v/>
      </c>
      <c r="BG136" t="str" cm="1">
        <f t="array" ref="BG136">IF($AW136="","",IFERROR(MATCH(IFERROR(_xlfn.XLOOKUP($AW136,$BT$5:$BT$22,$BU$5:$BU$22),$AW136),TRIM('TY Sales Target'!$B$5:$B$300&amp;""),0),""))</f>
        <v/>
      </c>
      <c r="BH136" t="str" cm="1">
        <f t="array" ref="BH136">IF(ISNUMBER($BG136),_xlfn.LET(_xlpm.p,TRIM(INDEX('TY Sales Target'!$I$5:$I$300,$BG136)&amp;""),IF(_xlpm.p="","Not set",_xlpm.p)),"Not set")</f>
        <v>Not set</v>
      </c>
      <c r="BI136" cm="1">
        <f t="array" ref="BI136">IF($BF136="",0,_xlfn.LET(_xlpm.d,IFERROR(--'Sales and count'!$G$2:$CC$2,0),SUMPRODUCT(('Sales and count'!$G$3:$CC$3="Total")*(_xlpm.d&gt;=$BZ$5)*(_xlpm.d&lt;=$BZ$6),INDEX('Sales and count'!$G$4:$CC$300,$BF136,0))))</f>
        <v>0</v>
      </c>
      <c r="BJ136" cm="1">
        <f t="array" ref="BJ136">IF($AW136="",0,SUMPRODUCT((TRIM('LY Sales '!$B$5:$B$200)=$AW136)*('LY Sales '!$C$2:$AG$2&gt;=EDATE($BZ$5,-12))*('LY Sales '!$C$2:$AG$2&lt;=EDATE($BZ$6,-12)),'LY Sales '!$C$5:$AG$200))</f>
        <v>0</v>
      </c>
      <c r="BK136" cm="1">
        <f t="array" ref="BK136">IF($AW136="",0,SUMPRODUCT((TRIM('LY Sales '!$B$5:$B$200)=$AW136)*('LY Sales '!$C$2:$AG$2&gt;=EDATE($BZ$5,-12))*('LY Sales '!$C$2:$AG$2&lt;=EDATE($BZ$7,-12)),'LY Sales '!$C$5:$AG$200))</f>
        <v>0</v>
      </c>
      <c r="BL136" cm="1">
        <f t="array" ref="BL136">IF($AW136="",0,SUMPRODUCT((TRIM('LY Sales '!$B$5:$B$200)=$AW136)*('LY Sales '!$C$2:$AG$2&gt;=EDATE($BZ$5,-12))*('LY Sales '!$C$2:$AG$2&lt;=EDATE($BZ$6,-12))*('LY Sales '!$C$5:$AG$200&gt;0)))</f>
        <v>0</v>
      </c>
      <c r="BM136" cm="1">
        <f t="array" ref="BM136">IF(NOT(ISNUMBER($BG136)),0,SUMPRODUCT(('TY Sales Target'!$K$2:$AO$2&gt;=$BZ$5)*('TY Sales Target'!$K$2:$AO$2&lt;=$BZ$6),INDEX('TY Sales Target'!$K$5:$AO$300,$BG136,0)))</f>
        <v>0</v>
      </c>
      <c r="BN136" cm="1">
        <f t="array" ref="BN136">IF(NOT(ISNUMBER($BG136)),0,SUMPRODUCT(('TY Sales Target'!$K$2:$AO$2&gt;=$BZ$5)*('TY Sales Target'!$K$2:$AO$2&lt;=$BZ$7),INDEX('TY Sales Target'!$K$5:$AO$300,$BG136,0)))</f>
        <v>0</v>
      </c>
      <c r="BO136" cm="1">
        <f t="array" ref="BO136">IF($AW136="",0,IFERROR(_xlfn.SWITCH($BP136,"LY trend",$BI136*$BK136/$BJ136,"Target curve",$BI136*$BN136/$BM136,"Run rate",$BI136/$BZ$8*$BZ$9,0),0))</f>
        <v>0</v>
      </c>
      <c r="BP136" t="str">
        <f t="shared" si="92"/>
        <v/>
      </c>
      <c r="CB136" cm="1">
        <f t="array" ref="CB136">IF($AW136="",0,_xlfn.LET(_xlpm.k,IFERROR(_xlfn.XLOOKUP($AW136,$CD$6:$CD$21,$CE$6:$CE$21),$AW136),SUMPRODUCT((TRIM('Makeup '!$A$2:$A$300&amp;"")=_xlpm.k)*1,IFERROR('Makeup '!$F$2:$F$300*1,0))))</f>
        <v>0</v>
      </c>
      <c r="CF136" t="str" cm="1">
        <f t="array" ref="CF136">IF($AW136="","",_xlfn.LET(_xlpm.c,IFERROR(TRIM(INDEX('Sales and count'!$B$4:$B$300,$BF136)&amp;""),""),IF(OR(_xlpm.c="",_xlpm.c="0",LEFT(_xlpm.c,1)="#"),"Not set",_xlpm.c)))</f>
        <v/>
      </c>
      <c r="CH136" cm="1">
        <f t="array" ref="CH136">IF($AW136="",0,_xlfn.LET(_xlpm.k,IFERROR(_xlfn.XLOOKUP($AW136,$CD$6:$CD$21,$CE$6:$CE$21),$AW136),--(SUMPRODUCT((TRIM('Makeup '!$A$2:$A$300&amp;"")=_xlpm.k)*ISNUMBER('Makeup '!$F$2:$F$300))&gt;0)))</f>
        <v>0</v>
      </c>
      <c r="CI136">
        <f t="shared" si="95"/>
        <v>0</v>
      </c>
      <c r="CJ136" cm="1">
        <f t="array" ref="CJ136">IF($AW136="",0,--(SUMPRODUCT(--(TRIM(Footfall!$B$5:$B$301)=$AW136))&gt;0))</f>
        <v>0</v>
      </c>
      <c r="CK136" s="8" cm="1">
        <f t="array" ref="CK136">IF($AW136="",0,_xlfn.LET(_xlpm.r,IFERROR(MATCH(IFERROR(_xlfn.XLOOKUP($AW136,$BT$5:$BT$22,$BU$5:$BU$22),$AW136),TRIM('TY Beauty Target'!$B$5:$B$300&amp;""),0),""),IF(ISNUMBER(_xlpm.r),SUMPRODUCT(('TY Beauty Target'!$L$2:$AP$2&gt;=$U$4)*('TY Beauty Target'!$L$2:$AP$2&lt;=$U$5),INDEX('TY Beauty Target'!$L$5:$AP$300,_xlpm.r,0)),0)))</f>
        <v>0</v>
      </c>
    </row>
    <row r="137" spans="1:89" ht="15" customHeight="1" x14ac:dyDescent="0.25">
      <c r="A137" s="38" t="str">
        <f t="shared" si="79"/>
        <v/>
      </c>
      <c r="B137" s="43" t="str" cm="1">
        <f t="array" ref="B137">IF($AI137="","",IF(LEFT($AI137,2)="C|",IF($C137="","",_xlfn.TEXTJOIN(", ",TRUE,_xlfn.UNIQUE(_xlfn._xlws.FILTER($AN$5:$AN$302,($AP$5:$AP$302=1)*($AO$5:$AO$302=$A137))))),IF($AI137="CT",B$13,IF(LEFT($AI137,3)="AM|",IF($C137="","",ROWS(_xlfn.UNIQUE(_xlfn._xlws.FILTER($AO$5:$AO$302,($AP$5:$AP$302=1)*($AN$5:$AN$302=$A137))))),IF(LEFT($AI137,2)="S|",IF($AG137="","",INDEX($AO$5:$AO$302,$AH137)),IF($AI137="HDR","City",""))))))</f>
        <v/>
      </c>
      <c r="C137" s="39" t="str" cm="1">
        <f t="array" ref="C137">IF($AI137="","",IF(LEFT($AI137,2)="C|",_xlfn.LET(_xlpm.n,SUMPRODUCT($AP$5:$AP$302*($AO$5:$AO$302=$A137)),IF(_xlpm.n=0,"",_xlpm.n)),IF($AI137="CT",C$13,IF(LEFT($AI137,3)="AM|",_xlfn.LET(_xlpm.n,SUMPRODUCT($AP$5:$AP$302*($AN$5:$AN$302=$A137)),IF(_xlpm.n=0,"",_xlpm.n)),IF(LEFT($AI137,2)="S|","",IF($AI137="HDR","# Stores",""))))))</f>
        <v/>
      </c>
      <c r="D137" s="40" t="str" cm="1">
        <f t="array" ref="D137">IF($AI137="","",IF(LEFT($AI137,2)="C|",IF($C137="","",SUMPRODUCT($AP$5:$AP$302*($AO$5:$AO$302=$A137),$AR$5:$AR$302)),IF($AI137="CT",D$13,IF(LEFT($AI137,3)="AM|",IF($C137="","",SUMPRODUCT($AP$5:$AP$302*($AN$5:$AN$302=$A137),$AR$5:$AR$302)),IF(LEFT($AI137,2)="S|",IF($AG137="","",INDEX($AR$5:$AR$302,$AH137)),IF($AI137="HDR","Sales TY",""))))))</f>
        <v/>
      </c>
      <c r="E137" s="40" t="str" cm="1">
        <f t="array" ref="E137">IF($AI137="","",IF(LEFT($AI137,2)="C|",IF($C137="","",SUMPRODUCT($AP$5:$AP$302*($AO$5:$AO$302=$A137),$AT$5:$AT$302)),IF($AI137="CT",E$13,IF(LEFT($AI137,3)="AM|",IF($C137="","",SUMPRODUCT($AP$5:$AP$302*($AN$5:$AN$302=$A137),$AT$5:$AT$302)),IF(LEFT($AI137,2)="S|",IF($AG137="","",INDEX($AT$5:$AT$302,$AH137)),IF($AI137="HDR","Sales LY",""))))))</f>
        <v/>
      </c>
      <c r="F137" s="41" t="str">
        <f t="shared" si="80"/>
        <v/>
      </c>
      <c r="G137" s="41" t="str">
        <f t="shared" si="81"/>
        <v/>
      </c>
      <c r="H137" s="40" t="str" cm="1">
        <f t="array" ref="H137">IF($AI137="","",IF(LEFT($AI137,2)="C|",IF($C137="","",SUMPRODUCT($AP$5:$AP$302*($AO$5:$AO$302=$A137),$AV$5:$AV$302)),IF($AI137="CT",H$13,IF(LEFT($AI137,3)="AM|",IF($C137="","",SUMPRODUCT($AP$5:$AP$302*($AN$5:$AN$302=$A137),$AV$5:$AV$302)),IF(LEFT($AI137,2)="S|",IF($AG137="","",INDEX($AV$5:$AV$302,$AH137)),IF($AI137="HDR","Target",""))))))</f>
        <v/>
      </c>
      <c r="I137" s="41" t="str">
        <f t="shared" si="82"/>
        <v/>
      </c>
      <c r="J137" s="40" t="str">
        <f t="shared" si="83"/>
        <v/>
      </c>
      <c r="K137" s="41" t="str">
        <f t="shared" si="84"/>
        <v/>
      </c>
      <c r="L137" s="40" t="str" cm="1">
        <f t="array" ref="L137">IF($AI137="","",IF(LEFT($AI137,2)="C|",IF($C137="","",SUMPRODUCT($AP$5:$AP$302*($AO$5:$AO$302=$A137),$BN$5:$BN$302)),IF($AI137="CT",L$13,IF(LEFT($AI137,3)="AM|",IF($C137="","",SUMPRODUCT($AP$5:$AP$302*($AN$5:$AN$302=$A137),$BN$5:$BN$302)),IF(LEFT($AI137,2)="S|",IF($AG137="","",INDEX($BN$5:$BN$302,$AH137)),IF($AI137="HDR","Month Target",""))))))</f>
        <v/>
      </c>
      <c r="M137" s="40" t="str" cm="1">
        <f t="array" ref="M137">IF($AI137="","",IF(LEFT($AI137,2)="C|",IF($C137="","",SUMPRODUCT($AP$5:$AP$302*($AO$5:$AO$302=$A137),$BO$5:$BO$302)),IF($AI137="CT",M$13,IF(LEFT($AI137,3)="AM|",IF($C137="","",SUMPRODUCT($AP$5:$AP$302*($AN$5:$AN$302=$A137),$BO$5:$BO$302)),IF(LEFT($AI137,2)="S|",IF($AG137="","",INDEX($BO$5:$BO$302,$AH137)),IF($AI137="HDR","Projected Close",""))))))</f>
        <v/>
      </c>
      <c r="N137" s="41" t="str">
        <f t="shared" si="76"/>
        <v/>
      </c>
      <c r="O137" s="41" t="str" cm="1">
        <f t="array" ref="O137">IF($AI137="HDR","Proj. vs LY",IF(OR($AI137="",M137=""),"",_xlfn.LET(_xlpm.ly,IF(LEFT($AI137,2)="C|",SUMPRODUCT($AP$5:$AP$302*($AO$5:$AO$302=$A137),$BK$5:$BK$302),IF($AI137="CT",SUMPRODUCT($AP$5:$AP$302,$BK$5:$BK$302),IF(LEFT($AI137,3)="AM|",SUMPRODUCT($AP$5:$AP$302*($AN$5:$AN$302=$A137),$BK$5:$BK$302),IF(LEFT($AI137,2)="S|",INDEX($BK$5:$BK$302,$AH137),0)))),IFERROR(M137/_xlpm.ly-1,""))))</f>
        <v/>
      </c>
      <c r="P137" s="40" t="str" cm="1">
        <f t="array" ref="P137">IF($AI137="","",IF(LEFT($AI137,2)="C|",IF($C137="","",SUMPRODUCT($AP$5:$AP$302*($AO$5:$AO$302=$A137),$AS$5:$AS$302)),IF($AI137="CT",P$13,IF(LEFT($AI137,3)="AM|",IF($C137="","",SUMPRODUCT($AP$5:$AP$302*($AN$5:$AN$302=$A137),$AS$5:$AS$302)),IF(LEFT($AI137,2)="S|",IF($AG137="","",INDEX($AS$5:$AS$302,$AH137)),IF($AI137="HDR","Trans TY",""))))))</f>
        <v/>
      </c>
      <c r="Q137" s="40" t="str" cm="1">
        <f t="array" ref="Q137">IF($AI137="","",IF(LEFT($AI137,2)="C|",IF($C137="","",SUMPRODUCT($AP$5:$AP$302*($AO$5:$AO$302=$A137),$AU$5:$AU$302)),IF($AI137="CT",Q$13,IF(LEFT($AI137,3)="AM|",IF($C137="","",SUMPRODUCT($AP$5:$AP$302*($AN$5:$AN$302=$A137),$AU$5:$AU$302)),IF(LEFT($AI137,2)="S|",IF($AG137="","",INDEX($AU$5:$AU$302,$AH137)),IF($AI137="HDR","Trans LY",""))))))</f>
        <v/>
      </c>
      <c r="R137" s="41" t="str">
        <f t="shared" si="85"/>
        <v/>
      </c>
      <c r="S137" s="41" t="str">
        <f t="shared" si="86"/>
        <v/>
      </c>
      <c r="T137" s="42" t="str">
        <f t="shared" si="87"/>
        <v/>
      </c>
      <c r="U137" s="42" t="str">
        <f t="shared" si="88"/>
        <v/>
      </c>
      <c r="V137" s="41" t="str">
        <f t="shared" si="89"/>
        <v/>
      </c>
      <c r="W137" s="40" t="str" cm="1">
        <f t="array" ref="W137">IF($AI137="","",IF(LEFT($AI137,2)="C|",_xlfn.LET(_xlpm.n,SUMPRODUCT($AP$5:$AP$302*($AO$5:$AO$302=$A137),$BB$5:$BB$302),IF(_xlpm.n=0,"",_xlpm.n)),IF($AI137="CT",W$13,IF(LEFT($AI137,3)="AM|",_xlfn.LET(_xlpm.n,SUMPRODUCT($AP$5:$AP$302*($AN$5:$AN$302=$A137),$BB$5:$BB$302),IF(_xlpm.n=0,"",_xlpm.n)),IF(LEFT($AI137,2)="S|",IF($AG137="","",_xlfn.LET(_xlpm.n,INDEX($BB$5:$BB$302,$AH137),IF(_xlpm.n=0,"",_xlpm.n))),IF($AI137="HDR","Footfall",""))))))</f>
        <v/>
      </c>
      <c r="X137" s="40" t="str" cm="1">
        <f t="array" ref="X137">IF($AI137="","",IF($AI137="HDR","Trans (FF stores)",IF(W137="","",IF(LEFT($AI137,2)="C|",SUMPRODUCT($AP$5:$AP$302*($AO$5:$AO$302=$A137),$BC$5:$BC$302),IF($AI137="CT",X$13,IF(LEFT($AI137,3)="AM|",SUMPRODUCT($AP$5:$AP$302*($AN$5:$AN$302=$A137),$BC$5:$BC$302),IF(LEFT($AI137,2)="S|",INDEX($BC$5:$BC$302,$AH137),"")))))))</f>
        <v/>
      </c>
      <c r="Y137" s="41" t="str">
        <f t="shared" si="77"/>
        <v/>
      </c>
      <c r="Z137" s="40" t="str" cm="1">
        <f t="array" ref="Z137">IF($AI137="","",IF(LEFT($AI137,2)="C|",IF($C137="","",SUMPRODUCT($AP$5:$AP$302*($AO$5:$AO$302=$A137),$CB$5:$CB$302)),IF($AI137="CT",Z$13,IF(LEFT($AI137,3)="AM|",IF($C137="","",SUMPRODUCT($AP$5:$AP$302*($AN$5:$AN$302=$A137),$CB$5:$CB$302)),IF(LEFT($AI137,2)="S|",IF($AG137="","",INDEX($CB$5:$CB$302,$AH137)),IF($AI137="HDR","Makeup Sales",""))))))</f>
        <v/>
      </c>
      <c r="AA137" s="41" t="str">
        <f t="shared" si="90"/>
        <v/>
      </c>
      <c r="AB137" s="40" t="str" cm="1">
        <f t="array" ref="AB137">IF($AI137="","",IF(LEFT($AI137,2)="C|",IF($C137="","",SUMPRODUCT($AP$5:$AP$302*($AO$5:$AO$302=$A137),$CK$5:$CK$302)),IF($AI137="CT",AB$13,IF(LEFT($AI137,3)="AM|",IF($C137="","",SUMPRODUCT($AP$5:$AP$302*($AN$5:$AN$302=$A137),$CK$5:$CK$302)),IF(LEFT($AI137,2)="S|",IF($AG137="","",INDEX($CK$5:$CK$302,$AH137)),IF($AI137="HDR","Makeup Target",""))))))</f>
        <v/>
      </c>
      <c r="AC137" s="41" t="str">
        <f t="shared" si="78"/>
        <v/>
      </c>
      <c r="AD137" s="40" t="str" cm="1">
        <f t="array" ref="AD137">IF($AI137="","",IF(LEFT($AI137,2)="C|",IF($C137="","",SUMPRODUCT($AP$5:$AP$302*($AO$5:$AO$302=$A137),$CI$5:$CI$302)),IF($AI137="CT",AD$13,IF(LEFT($AI137,3)="AM|",IF($C137="","",SUMPRODUCT($AP$5:$AP$302*($AN$5:$AN$302=$A137),$CI$5:$CI$302)),IF(LEFT($AI137,2)="S|",IF($AG137="","",INDEX($CI$5:$CI$302,$AH137)),IF($AI137="HDR","Cosmetic Sales",""))))))</f>
        <v/>
      </c>
      <c r="AE137" s="8" t="str" cm="1">
        <f t="array" ref="AE137">IF($AI137="","",IF(LEFT($AI137,2)="C|",IF($C137="","",SUMPRODUCT($AP$5:$AP$302*($AO$5:$AO$302=$A137)*$AQ$5:$AQ$302,$AR$5:$AR$302)),IF($AI137="CT",AE$13,IF(LEFT($AI137,3)="AM|",IF($C137="","",SUMPRODUCT($AP$5:$AP$302*($AN$5:$AN$302=$A137)*$AQ$5:$AQ$302,$AR$5:$AR$302)),IF(LEFT($AI137,2)="S|",IF($AG137="","",IF(INDEX($AQ$5:$AQ$302,$AH137)=1,D137,0)),IF($AI137="HDR","LFL Sales",""))))))</f>
        <v/>
      </c>
      <c r="AF137" s="8" t="str" cm="1">
        <f t="array" ref="AF137">IF($AI137="","",IF(LEFT($AI137,2)="C|",IF($C137="","",SUMPRODUCT($AP$5:$AP$302*($AO$5:$AO$302=$A137)*$AQ$5:$AQ$302,$AS$5:$AS$302)),IF($AI137="CT",AF$13,IF(LEFT($AI137,3)="AM|",IF($C137="","",SUMPRODUCT($AP$5:$AP$302*($AN$5:$AN$302=$A137)*$AQ$5:$AQ$302,$AS$5:$AS$302)),IF(LEFT($AI137,2)="S|",IF($AG137="","",IF(INDEX($AQ$5:$AQ$302,$AH137)=1,P137,0)),IF($AI137="HDR","LFL Trans",""))))))</f>
        <v/>
      </c>
      <c r="AG137" s="8" t="str" cm="1">
        <f t="array" ref="AG137">IF($AI137="","",IF(LEFT($AI137,2)="C|","",IF($AI137="CT","",IF(LEFT($AI137,3)="AM|","",IF(LEFT($AI137,2)="S|",IF($AH137="","",IF(INDEX($AP$5:$AP$302,$AH137)=1,1,"")),IF($AI137="HDR","Show",""))))))</f>
        <v/>
      </c>
      <c r="AH137" s="8" t="str">
        <f t="shared" si="91"/>
        <v/>
      </c>
      <c r="AI137" s="8"/>
      <c r="AN137" s="8" t="str" cm="1">
        <f t="array" ref="AN137">IF($AW137="","",_xlfn.LET(_xlpm.sa,IFERROR(TRIM(INDEX('Sales and count'!$D$4:$D$300,$BF137)&amp;""),""),_xlpm.ta,IFERROR(TRIM(INDEX('TY Sales Target'!$F$5:$F$300,$BG137)&amp;""),""),IF(AND(_xlpm.sa&lt;&gt;"",LEFT(_xlpm.sa,1)&lt;&gt;"#",_xlpm.sa&lt;&gt;"0"),_xlpm.sa,IF(AND(_xlpm.ta&lt;&gt;"",LEFT(_xlpm.ta,1)&lt;&gt;"#",_xlpm.ta&lt;&gt;"0"),_xlpm.ta,IF(ISNUMBER($BG137),"Unassigned","")))))</f>
        <v/>
      </c>
      <c r="AO137" s="8" t="str" cm="1">
        <f t="array" ref="AO137">IF($AW137="","",_xlfn.LET(_xlpm.sa,IFERROR(TRIM(INDEX('Sales and count'!$C$4:$C$300,$BF137)&amp;""),""),_xlpm.ta,IFERROR(TRIM(INDEX('TY Sales Target'!$D$5:$D$300,$BG137)&amp;""),""),IF(AND(_xlpm.sa&lt;&gt;"",LEFT(_xlpm.sa,1)&lt;&gt;"#",_xlpm.sa&lt;&gt;"0"),_xlpm.sa,IF(AND(_xlpm.ta&lt;&gt;"",LEFT(_xlpm.ta,1)&lt;&gt;"#",_xlpm.ta&lt;&gt;"0"),_xlpm.ta,""))))</f>
        <v/>
      </c>
      <c r="AP137" s="8">
        <f t="shared" si="93"/>
        <v>0</v>
      </c>
      <c r="AQ137" s="8">
        <f t="shared" si="94"/>
        <v>0</v>
      </c>
      <c r="AR137" s="8" cm="1">
        <f t="array" ref="AR137">IF($BF137="",0,_xlfn.LET(_xlpm.d,IFERROR(--'Sales and count'!$G$2:$CC$2,0),SUMPRODUCT(('Sales and count'!$G$3:$CC$3="Total")*(_xlpm.d&gt;=$U$4)*(_xlpm.d&lt;=$U$5),INDEX('Sales and count'!$G$4:$CC$300,$BF137,0))))</f>
        <v>0</v>
      </c>
      <c r="AS137" s="8" cm="1">
        <f t="array" ref="AS137">IF($BF137="",0,_xlfn.LET(_xlpm.d,IFERROR(--'Sales and count'!$F$2:$CB$2,0),SUMPRODUCT(('Sales and count'!$G$3:$CC$3="Transactions")*(_xlpm.d&gt;=$U$4)*(_xlpm.d&lt;=$U$5),INDEX('Sales and count'!$G$4:$CC$300,$BF137,0))))</f>
        <v>0</v>
      </c>
      <c r="AT137" s="8" cm="1">
        <f t="array" ref="AT137">IF($AW137="",0,SUMPRODUCT((TRIM('LY Sales '!$B$5:$B$200)=$AW137)*('LY Sales '!$C$2:$AG$2&gt;=EDATE($U$4,-12))*('LY Sales '!$C$2:$AG$2&lt;=EDATE($U$5,-12)),'LY Sales '!$C$5:$AG$200))</f>
        <v>0</v>
      </c>
      <c r="AU137" s="8" cm="1">
        <f t="array" ref="AU137">IF($AW137="",0,SUMPRODUCT((TRIM('LY Transaction'!$B$5:$B$200)=$AW137)*('LY Transaction'!$C$2:$AG$2&gt;=EDATE($U$4,-12))*('LY Transaction'!$C$2:$AG$2&lt;=EDATE($U$5,-12)),'LY Transaction'!$C$5:$AG$200))</f>
        <v>0</v>
      </c>
      <c r="AV137" s="8" cm="1">
        <f t="array" ref="AV137">IF(NOT(ISNUMBER($BG137)),0,SUMPRODUCT(('TY Sales Target'!$K$2:$AO$2&gt;=$U$4)*('TY Sales Target'!$K$2:$AO$2&lt;=$U$5),INDEX('TY Sales Target'!$K$5:$AO$300,$BG137,0)))</f>
        <v>0</v>
      </c>
      <c r="AW137" s="8" t="str" cm="1">
        <f t="array" ref="AW137">IFERROR(INDEX(_xlfn.ANCHORARRAY($BR$5),ROWS($AW$5:AW137)),"")</f>
        <v/>
      </c>
      <c r="BB137" cm="1">
        <f t="array" ref="BB137">IF($AW137="",0,SUMPRODUCT((TRIM(Footfall!$B$5:$B$301)=$AW137)*(Footfall!$C$1:$BZ$1&gt;=$U$4)*(Footfall!$C$2:$BZ$2&lt;=$U$5)*(Footfall!$C$1:$BZ$1&lt;&gt;""),Footfall!$C$5:$BZ$301))</f>
        <v>0</v>
      </c>
      <c r="BC137" cm="1">
        <f t="array" ref="BC137">IF(OR($BB137&lt;=0,$BD$1="",$BF137=""),0,_xlfn.LET(_xlpm.d,IFERROR(--'Sales and count'!$F$2:$CB$2,0),SUMPRODUCT(('Sales and count'!$G$3:$CC$3="Transactions")*(_xlpm.d&gt;=$BD$1)*(_xlpm.d&lt;=$BD$2),INDEX('Sales and count'!$G$4:$CC$300,$BF137,0))))</f>
        <v>0</v>
      </c>
      <c r="BF137" t="str" cm="1">
        <f t="array" ref="BF137">IF($AW137="","",IFERROR(MATCH($AW137,TRIM('Sales and count'!$A$4:$A$300&amp;""),0),""))</f>
        <v/>
      </c>
      <c r="BG137" t="str" cm="1">
        <f t="array" ref="BG137">IF($AW137="","",IFERROR(MATCH(IFERROR(_xlfn.XLOOKUP($AW137,$BT$5:$BT$22,$BU$5:$BU$22),$AW137),TRIM('TY Sales Target'!$B$5:$B$300&amp;""),0),""))</f>
        <v/>
      </c>
      <c r="BH137" t="str" cm="1">
        <f t="array" ref="BH137">IF(ISNUMBER($BG137),_xlfn.LET(_xlpm.p,TRIM(INDEX('TY Sales Target'!$I$5:$I$300,$BG137)&amp;""),IF(_xlpm.p="","Not set",_xlpm.p)),"Not set")</f>
        <v>Not set</v>
      </c>
      <c r="BI137" cm="1">
        <f t="array" ref="BI137">IF($BF137="",0,_xlfn.LET(_xlpm.d,IFERROR(--'Sales and count'!$G$2:$CC$2,0),SUMPRODUCT(('Sales and count'!$G$3:$CC$3="Total")*(_xlpm.d&gt;=$BZ$5)*(_xlpm.d&lt;=$BZ$6),INDEX('Sales and count'!$G$4:$CC$300,$BF137,0))))</f>
        <v>0</v>
      </c>
      <c r="BJ137" cm="1">
        <f t="array" ref="BJ137">IF($AW137="",0,SUMPRODUCT((TRIM('LY Sales '!$B$5:$B$200)=$AW137)*('LY Sales '!$C$2:$AG$2&gt;=EDATE($BZ$5,-12))*('LY Sales '!$C$2:$AG$2&lt;=EDATE($BZ$6,-12)),'LY Sales '!$C$5:$AG$200))</f>
        <v>0</v>
      </c>
      <c r="BK137" cm="1">
        <f t="array" ref="BK137">IF($AW137="",0,SUMPRODUCT((TRIM('LY Sales '!$B$5:$B$200)=$AW137)*('LY Sales '!$C$2:$AG$2&gt;=EDATE($BZ$5,-12))*('LY Sales '!$C$2:$AG$2&lt;=EDATE($BZ$7,-12)),'LY Sales '!$C$5:$AG$200))</f>
        <v>0</v>
      </c>
      <c r="BL137" cm="1">
        <f t="array" ref="BL137">IF($AW137="",0,SUMPRODUCT((TRIM('LY Sales '!$B$5:$B$200)=$AW137)*('LY Sales '!$C$2:$AG$2&gt;=EDATE($BZ$5,-12))*('LY Sales '!$C$2:$AG$2&lt;=EDATE($BZ$6,-12))*('LY Sales '!$C$5:$AG$200&gt;0)))</f>
        <v>0</v>
      </c>
      <c r="BM137" cm="1">
        <f t="array" ref="BM137">IF(NOT(ISNUMBER($BG137)),0,SUMPRODUCT(('TY Sales Target'!$K$2:$AO$2&gt;=$BZ$5)*('TY Sales Target'!$K$2:$AO$2&lt;=$BZ$6),INDEX('TY Sales Target'!$K$5:$AO$300,$BG137,0)))</f>
        <v>0</v>
      </c>
      <c r="BN137" cm="1">
        <f t="array" ref="BN137">IF(NOT(ISNUMBER($BG137)),0,SUMPRODUCT(('TY Sales Target'!$K$2:$AO$2&gt;=$BZ$5)*('TY Sales Target'!$K$2:$AO$2&lt;=$BZ$7),INDEX('TY Sales Target'!$K$5:$AO$300,$BG137,0)))</f>
        <v>0</v>
      </c>
      <c r="BO137" cm="1">
        <f t="array" ref="BO137">IF($AW137="",0,IFERROR(_xlfn.SWITCH($BP137,"LY trend",$BI137*$BK137/$BJ137,"Target curve",$BI137*$BN137/$BM137,"Run rate",$BI137/$BZ$8*$BZ$9,0),0))</f>
        <v>0</v>
      </c>
      <c r="BP137" t="str">
        <f t="shared" si="92"/>
        <v/>
      </c>
      <c r="CB137" cm="1">
        <f t="array" ref="CB137">IF($AW137="",0,_xlfn.LET(_xlpm.k,IFERROR(_xlfn.XLOOKUP($AW137,$CD$6:$CD$21,$CE$6:$CE$21),$AW137),SUMPRODUCT((TRIM('Makeup '!$A$2:$A$300&amp;"")=_xlpm.k)*1,IFERROR('Makeup '!$F$2:$F$300*1,0))))</f>
        <v>0</v>
      </c>
      <c r="CF137" t="str" cm="1">
        <f t="array" ref="CF137">IF($AW137="","",_xlfn.LET(_xlpm.c,IFERROR(TRIM(INDEX('Sales and count'!$B$4:$B$300,$BF137)&amp;""),""),IF(OR(_xlpm.c="",_xlpm.c="0",LEFT(_xlpm.c,1)="#"),"Not set",_xlpm.c)))</f>
        <v/>
      </c>
      <c r="CH137" cm="1">
        <f t="array" ref="CH137">IF($AW137="",0,_xlfn.LET(_xlpm.k,IFERROR(_xlfn.XLOOKUP($AW137,$CD$6:$CD$21,$CE$6:$CE$21),$AW137),--(SUMPRODUCT((TRIM('Makeup '!$A$2:$A$300&amp;"")=_xlpm.k)*ISNUMBER('Makeup '!$F$2:$F$300))&gt;0)))</f>
        <v>0</v>
      </c>
      <c r="CI137">
        <f t="shared" si="95"/>
        <v>0</v>
      </c>
      <c r="CJ137" cm="1">
        <f t="array" ref="CJ137">IF($AW137="",0,--(SUMPRODUCT(--(TRIM(Footfall!$B$5:$B$301)=$AW137))&gt;0))</f>
        <v>0</v>
      </c>
      <c r="CK137" s="8" cm="1">
        <f t="array" ref="CK137">IF($AW137="",0,_xlfn.LET(_xlpm.r,IFERROR(MATCH(IFERROR(_xlfn.XLOOKUP($AW137,$BT$5:$BT$22,$BU$5:$BU$22),$AW137),TRIM('TY Beauty Target'!$B$5:$B$300&amp;""),0),""),IF(ISNUMBER(_xlpm.r),SUMPRODUCT(('TY Beauty Target'!$L$2:$AP$2&gt;=$U$4)*('TY Beauty Target'!$L$2:$AP$2&lt;=$U$5),INDEX('TY Beauty Target'!$L$5:$AP$300,_xlpm.r,0)),0)))</f>
        <v>0</v>
      </c>
    </row>
    <row r="138" spans="1:89" ht="15" customHeight="1" x14ac:dyDescent="0.25">
      <c r="A138" s="38" t="str">
        <f t="shared" si="79"/>
        <v/>
      </c>
      <c r="B138" s="43" t="str" cm="1">
        <f t="array" ref="B138">IF($AI138="","",IF(LEFT($AI138,2)="C|",IF($C138="","",_xlfn.TEXTJOIN(", ",TRUE,_xlfn.UNIQUE(_xlfn._xlws.FILTER($AN$5:$AN$302,($AP$5:$AP$302=1)*($AO$5:$AO$302=$A138))))),IF($AI138="CT",B$13,IF(LEFT($AI138,3)="AM|",IF($C138="","",ROWS(_xlfn.UNIQUE(_xlfn._xlws.FILTER($AO$5:$AO$302,($AP$5:$AP$302=1)*($AN$5:$AN$302=$A138))))),IF(LEFT($AI138,2)="S|",IF($AG138="","",INDEX($AO$5:$AO$302,$AH138)),IF($AI138="HDR","City",""))))))</f>
        <v/>
      </c>
      <c r="C138" s="39" t="str" cm="1">
        <f t="array" ref="C138">IF($AI138="","",IF(LEFT($AI138,2)="C|",_xlfn.LET(_xlpm.n,SUMPRODUCT($AP$5:$AP$302*($AO$5:$AO$302=$A138)),IF(_xlpm.n=0,"",_xlpm.n)),IF($AI138="CT",C$13,IF(LEFT($AI138,3)="AM|",_xlfn.LET(_xlpm.n,SUMPRODUCT($AP$5:$AP$302*($AN$5:$AN$302=$A138)),IF(_xlpm.n=0,"",_xlpm.n)),IF(LEFT($AI138,2)="S|","",IF($AI138="HDR","# Stores",""))))))</f>
        <v/>
      </c>
      <c r="D138" s="40" t="str" cm="1">
        <f t="array" ref="D138">IF($AI138="","",IF(LEFT($AI138,2)="C|",IF($C138="","",SUMPRODUCT($AP$5:$AP$302*($AO$5:$AO$302=$A138),$AR$5:$AR$302)),IF($AI138="CT",D$13,IF(LEFT($AI138,3)="AM|",IF($C138="","",SUMPRODUCT($AP$5:$AP$302*($AN$5:$AN$302=$A138),$AR$5:$AR$302)),IF(LEFT($AI138,2)="S|",IF($AG138="","",INDEX($AR$5:$AR$302,$AH138)),IF($AI138="HDR","Sales TY",""))))))</f>
        <v/>
      </c>
      <c r="E138" s="40" t="str" cm="1">
        <f t="array" ref="E138">IF($AI138="","",IF(LEFT($AI138,2)="C|",IF($C138="","",SUMPRODUCT($AP$5:$AP$302*($AO$5:$AO$302=$A138),$AT$5:$AT$302)),IF($AI138="CT",E$13,IF(LEFT($AI138,3)="AM|",IF($C138="","",SUMPRODUCT($AP$5:$AP$302*($AN$5:$AN$302=$A138),$AT$5:$AT$302)),IF(LEFT($AI138,2)="S|",IF($AG138="","",INDEX($AT$5:$AT$302,$AH138)),IF($AI138="HDR","Sales LY",""))))))</f>
        <v/>
      </c>
      <c r="F138" s="41" t="str">
        <f t="shared" si="80"/>
        <v/>
      </c>
      <c r="G138" s="41" t="str">
        <f t="shared" si="81"/>
        <v/>
      </c>
      <c r="H138" s="40" t="str" cm="1">
        <f t="array" ref="H138">IF($AI138="","",IF(LEFT($AI138,2)="C|",IF($C138="","",SUMPRODUCT($AP$5:$AP$302*($AO$5:$AO$302=$A138),$AV$5:$AV$302)),IF($AI138="CT",H$13,IF(LEFT($AI138,3)="AM|",IF($C138="","",SUMPRODUCT($AP$5:$AP$302*($AN$5:$AN$302=$A138),$AV$5:$AV$302)),IF(LEFT($AI138,2)="S|",IF($AG138="","",INDEX($AV$5:$AV$302,$AH138)),IF($AI138="HDR","Target",""))))))</f>
        <v/>
      </c>
      <c r="I138" s="41" t="str">
        <f t="shared" si="82"/>
        <v/>
      </c>
      <c r="J138" s="40" t="str">
        <f t="shared" si="83"/>
        <v/>
      </c>
      <c r="K138" s="41" t="str">
        <f t="shared" si="84"/>
        <v/>
      </c>
      <c r="L138" s="40" t="str" cm="1">
        <f t="array" ref="L138">IF($AI138="","",IF(LEFT($AI138,2)="C|",IF($C138="","",SUMPRODUCT($AP$5:$AP$302*($AO$5:$AO$302=$A138),$BN$5:$BN$302)),IF($AI138="CT",L$13,IF(LEFT($AI138,3)="AM|",IF($C138="","",SUMPRODUCT($AP$5:$AP$302*($AN$5:$AN$302=$A138),$BN$5:$BN$302)),IF(LEFT($AI138,2)="S|",IF($AG138="","",INDEX($BN$5:$BN$302,$AH138)),IF($AI138="HDR","Month Target",""))))))</f>
        <v/>
      </c>
      <c r="M138" s="40" t="str" cm="1">
        <f t="array" ref="M138">IF($AI138="","",IF(LEFT($AI138,2)="C|",IF($C138="","",SUMPRODUCT($AP$5:$AP$302*($AO$5:$AO$302=$A138),$BO$5:$BO$302)),IF($AI138="CT",M$13,IF(LEFT($AI138,3)="AM|",IF($C138="","",SUMPRODUCT($AP$5:$AP$302*($AN$5:$AN$302=$A138),$BO$5:$BO$302)),IF(LEFT($AI138,2)="S|",IF($AG138="","",INDEX($BO$5:$BO$302,$AH138)),IF($AI138="HDR","Projected Close",""))))))</f>
        <v/>
      </c>
      <c r="N138" s="41" t="str">
        <f t="shared" si="76"/>
        <v/>
      </c>
      <c r="O138" s="41" t="str" cm="1">
        <f t="array" ref="O138">IF($AI138="HDR","Proj. vs LY",IF(OR($AI138="",M138=""),"",_xlfn.LET(_xlpm.ly,IF(LEFT($AI138,2)="C|",SUMPRODUCT($AP$5:$AP$302*($AO$5:$AO$302=$A138),$BK$5:$BK$302),IF($AI138="CT",SUMPRODUCT($AP$5:$AP$302,$BK$5:$BK$302),IF(LEFT($AI138,3)="AM|",SUMPRODUCT($AP$5:$AP$302*($AN$5:$AN$302=$A138),$BK$5:$BK$302),IF(LEFT($AI138,2)="S|",INDEX($BK$5:$BK$302,$AH138),0)))),IFERROR(M138/_xlpm.ly-1,""))))</f>
        <v/>
      </c>
      <c r="P138" s="40" t="str" cm="1">
        <f t="array" ref="P138">IF($AI138="","",IF(LEFT($AI138,2)="C|",IF($C138="","",SUMPRODUCT($AP$5:$AP$302*($AO$5:$AO$302=$A138),$AS$5:$AS$302)),IF($AI138="CT",P$13,IF(LEFT($AI138,3)="AM|",IF($C138="","",SUMPRODUCT($AP$5:$AP$302*($AN$5:$AN$302=$A138),$AS$5:$AS$302)),IF(LEFT($AI138,2)="S|",IF($AG138="","",INDEX($AS$5:$AS$302,$AH138)),IF($AI138="HDR","Trans TY",""))))))</f>
        <v/>
      </c>
      <c r="Q138" s="40" t="str" cm="1">
        <f t="array" ref="Q138">IF($AI138="","",IF(LEFT($AI138,2)="C|",IF($C138="","",SUMPRODUCT($AP$5:$AP$302*($AO$5:$AO$302=$A138),$AU$5:$AU$302)),IF($AI138="CT",Q$13,IF(LEFT($AI138,3)="AM|",IF($C138="","",SUMPRODUCT($AP$5:$AP$302*($AN$5:$AN$302=$A138),$AU$5:$AU$302)),IF(LEFT($AI138,2)="S|",IF($AG138="","",INDEX($AU$5:$AU$302,$AH138)),IF($AI138="HDR","Trans LY",""))))))</f>
        <v/>
      </c>
      <c r="R138" s="41" t="str">
        <f t="shared" si="85"/>
        <v/>
      </c>
      <c r="S138" s="41" t="str">
        <f t="shared" si="86"/>
        <v/>
      </c>
      <c r="T138" s="42" t="str">
        <f t="shared" si="87"/>
        <v/>
      </c>
      <c r="U138" s="42" t="str">
        <f t="shared" si="88"/>
        <v/>
      </c>
      <c r="V138" s="41" t="str">
        <f t="shared" si="89"/>
        <v/>
      </c>
      <c r="W138" s="40" t="str" cm="1">
        <f t="array" ref="W138">IF($AI138="","",IF(LEFT($AI138,2)="C|",_xlfn.LET(_xlpm.n,SUMPRODUCT($AP$5:$AP$302*($AO$5:$AO$302=$A138),$BB$5:$BB$302),IF(_xlpm.n=0,"",_xlpm.n)),IF($AI138="CT",W$13,IF(LEFT($AI138,3)="AM|",_xlfn.LET(_xlpm.n,SUMPRODUCT($AP$5:$AP$302*($AN$5:$AN$302=$A138),$BB$5:$BB$302),IF(_xlpm.n=0,"",_xlpm.n)),IF(LEFT($AI138,2)="S|",IF($AG138="","",_xlfn.LET(_xlpm.n,INDEX($BB$5:$BB$302,$AH138),IF(_xlpm.n=0,"",_xlpm.n))),IF($AI138="HDR","Footfall",""))))))</f>
        <v/>
      </c>
      <c r="X138" s="40" t="str" cm="1">
        <f t="array" ref="X138">IF($AI138="","",IF($AI138="HDR","Trans (FF stores)",IF(W138="","",IF(LEFT($AI138,2)="C|",SUMPRODUCT($AP$5:$AP$302*($AO$5:$AO$302=$A138),$BC$5:$BC$302),IF($AI138="CT",X$13,IF(LEFT($AI138,3)="AM|",SUMPRODUCT($AP$5:$AP$302*($AN$5:$AN$302=$A138),$BC$5:$BC$302),IF(LEFT($AI138,2)="S|",INDEX($BC$5:$BC$302,$AH138),"")))))))</f>
        <v/>
      </c>
      <c r="Y138" s="41" t="str">
        <f t="shared" si="77"/>
        <v/>
      </c>
      <c r="Z138" s="40" t="str" cm="1">
        <f t="array" ref="Z138">IF($AI138="","",IF(LEFT($AI138,2)="C|",IF($C138="","",SUMPRODUCT($AP$5:$AP$302*($AO$5:$AO$302=$A138),$CB$5:$CB$302)),IF($AI138="CT",Z$13,IF(LEFT($AI138,3)="AM|",IF($C138="","",SUMPRODUCT($AP$5:$AP$302*($AN$5:$AN$302=$A138),$CB$5:$CB$302)),IF(LEFT($AI138,2)="S|",IF($AG138="","",INDEX($CB$5:$CB$302,$AH138)),IF($AI138="HDR","Makeup Sales",""))))))</f>
        <v/>
      </c>
      <c r="AA138" s="41" t="str">
        <f t="shared" si="90"/>
        <v/>
      </c>
      <c r="AB138" s="40" t="str" cm="1">
        <f t="array" ref="AB138">IF($AI138="","",IF(LEFT($AI138,2)="C|",IF($C138="","",SUMPRODUCT($AP$5:$AP$302*($AO$5:$AO$302=$A138),$CK$5:$CK$302)),IF($AI138="CT",AB$13,IF(LEFT($AI138,3)="AM|",IF($C138="","",SUMPRODUCT($AP$5:$AP$302*($AN$5:$AN$302=$A138),$CK$5:$CK$302)),IF(LEFT($AI138,2)="S|",IF($AG138="","",INDEX($CK$5:$CK$302,$AH138)),IF($AI138="HDR","Makeup Target",""))))))</f>
        <v/>
      </c>
      <c r="AC138" s="41" t="str">
        <f t="shared" si="78"/>
        <v/>
      </c>
      <c r="AD138" s="40" t="str" cm="1">
        <f t="array" ref="AD138">IF($AI138="","",IF(LEFT($AI138,2)="C|",IF($C138="","",SUMPRODUCT($AP$5:$AP$302*($AO$5:$AO$302=$A138),$CI$5:$CI$302)),IF($AI138="CT",AD$13,IF(LEFT($AI138,3)="AM|",IF($C138="","",SUMPRODUCT($AP$5:$AP$302*($AN$5:$AN$302=$A138),$CI$5:$CI$302)),IF(LEFT($AI138,2)="S|",IF($AG138="","",INDEX($CI$5:$CI$302,$AH138)),IF($AI138="HDR","Cosmetic Sales",""))))))</f>
        <v/>
      </c>
      <c r="AE138" s="8" t="str" cm="1">
        <f t="array" ref="AE138">IF($AI138="","",IF(LEFT($AI138,2)="C|",IF($C138="","",SUMPRODUCT($AP$5:$AP$302*($AO$5:$AO$302=$A138)*$AQ$5:$AQ$302,$AR$5:$AR$302)),IF($AI138="CT",AE$13,IF(LEFT($AI138,3)="AM|",IF($C138="","",SUMPRODUCT($AP$5:$AP$302*($AN$5:$AN$302=$A138)*$AQ$5:$AQ$302,$AR$5:$AR$302)),IF(LEFT($AI138,2)="S|",IF($AG138="","",IF(INDEX($AQ$5:$AQ$302,$AH138)=1,D138,0)),IF($AI138="HDR","LFL Sales",""))))))</f>
        <v/>
      </c>
      <c r="AF138" s="8" t="str" cm="1">
        <f t="array" ref="AF138">IF($AI138="","",IF(LEFT($AI138,2)="C|",IF($C138="","",SUMPRODUCT($AP$5:$AP$302*($AO$5:$AO$302=$A138)*$AQ$5:$AQ$302,$AS$5:$AS$302)),IF($AI138="CT",AF$13,IF(LEFT($AI138,3)="AM|",IF($C138="","",SUMPRODUCT($AP$5:$AP$302*($AN$5:$AN$302=$A138)*$AQ$5:$AQ$302,$AS$5:$AS$302)),IF(LEFT($AI138,2)="S|",IF($AG138="","",IF(INDEX($AQ$5:$AQ$302,$AH138)=1,P138,0)),IF($AI138="HDR","LFL Trans",""))))))</f>
        <v/>
      </c>
      <c r="AG138" s="8" t="str" cm="1">
        <f t="array" ref="AG138">IF($AI138="","",IF(LEFT($AI138,2)="C|","",IF($AI138="CT","",IF(LEFT($AI138,3)="AM|","",IF(LEFT($AI138,2)="S|",IF($AH138="","",IF(INDEX($AP$5:$AP$302,$AH138)=1,1,"")),IF($AI138="HDR","Show",""))))))</f>
        <v/>
      </c>
      <c r="AH138" s="8" t="str">
        <f t="shared" si="91"/>
        <v/>
      </c>
      <c r="AI138" s="8"/>
      <c r="AN138" s="8" t="str" cm="1">
        <f t="array" ref="AN138">IF($AW138="","",_xlfn.LET(_xlpm.sa,IFERROR(TRIM(INDEX('Sales and count'!$D$4:$D$300,$BF138)&amp;""),""),_xlpm.ta,IFERROR(TRIM(INDEX('TY Sales Target'!$F$5:$F$300,$BG138)&amp;""),""),IF(AND(_xlpm.sa&lt;&gt;"",LEFT(_xlpm.sa,1)&lt;&gt;"#",_xlpm.sa&lt;&gt;"0"),_xlpm.sa,IF(AND(_xlpm.ta&lt;&gt;"",LEFT(_xlpm.ta,1)&lt;&gt;"#",_xlpm.ta&lt;&gt;"0"),_xlpm.ta,IF(ISNUMBER($BG138),"Unassigned","")))))</f>
        <v/>
      </c>
      <c r="AO138" s="8" t="str" cm="1">
        <f t="array" ref="AO138">IF($AW138="","",_xlfn.LET(_xlpm.sa,IFERROR(TRIM(INDEX('Sales and count'!$C$4:$C$300,$BF138)&amp;""),""),_xlpm.ta,IFERROR(TRIM(INDEX('TY Sales Target'!$D$5:$D$300,$BG138)&amp;""),""),IF(AND(_xlpm.sa&lt;&gt;"",LEFT(_xlpm.sa,1)&lt;&gt;"#",_xlpm.sa&lt;&gt;"0"),_xlpm.sa,IF(AND(_xlpm.ta&lt;&gt;"",LEFT(_xlpm.ta,1)&lt;&gt;"#",_xlpm.ta&lt;&gt;"0"),_xlpm.ta,""))))</f>
        <v/>
      </c>
      <c r="AP138" s="8">
        <f t="shared" si="93"/>
        <v>0</v>
      </c>
      <c r="AQ138" s="8">
        <f t="shared" si="94"/>
        <v>0</v>
      </c>
      <c r="AR138" s="8" cm="1">
        <f t="array" ref="AR138">IF($BF138="",0,_xlfn.LET(_xlpm.d,IFERROR(--'Sales and count'!$G$2:$CC$2,0),SUMPRODUCT(('Sales and count'!$G$3:$CC$3="Total")*(_xlpm.d&gt;=$U$4)*(_xlpm.d&lt;=$U$5),INDEX('Sales and count'!$G$4:$CC$300,$BF138,0))))</f>
        <v>0</v>
      </c>
      <c r="AS138" s="8" cm="1">
        <f t="array" ref="AS138">IF($BF138="",0,_xlfn.LET(_xlpm.d,IFERROR(--'Sales and count'!$F$2:$CB$2,0),SUMPRODUCT(('Sales and count'!$G$3:$CC$3="Transactions")*(_xlpm.d&gt;=$U$4)*(_xlpm.d&lt;=$U$5),INDEX('Sales and count'!$G$4:$CC$300,$BF138,0))))</f>
        <v>0</v>
      </c>
      <c r="AT138" s="8" cm="1">
        <f t="array" ref="AT138">IF($AW138="",0,SUMPRODUCT((TRIM('LY Sales '!$B$5:$B$200)=$AW138)*('LY Sales '!$C$2:$AG$2&gt;=EDATE($U$4,-12))*('LY Sales '!$C$2:$AG$2&lt;=EDATE($U$5,-12)),'LY Sales '!$C$5:$AG$200))</f>
        <v>0</v>
      </c>
      <c r="AU138" s="8" cm="1">
        <f t="array" ref="AU138">IF($AW138="",0,SUMPRODUCT((TRIM('LY Transaction'!$B$5:$B$200)=$AW138)*('LY Transaction'!$C$2:$AG$2&gt;=EDATE($U$4,-12))*('LY Transaction'!$C$2:$AG$2&lt;=EDATE($U$5,-12)),'LY Transaction'!$C$5:$AG$200))</f>
        <v>0</v>
      </c>
      <c r="AV138" s="8" cm="1">
        <f t="array" ref="AV138">IF(NOT(ISNUMBER($BG138)),0,SUMPRODUCT(('TY Sales Target'!$K$2:$AO$2&gt;=$U$4)*('TY Sales Target'!$K$2:$AO$2&lt;=$U$5),INDEX('TY Sales Target'!$K$5:$AO$300,$BG138,0)))</f>
        <v>0</v>
      </c>
      <c r="AW138" s="8" t="str" cm="1">
        <f t="array" ref="AW138">IFERROR(INDEX(_xlfn.ANCHORARRAY($BR$5),ROWS($AW$5:AW138)),"")</f>
        <v/>
      </c>
      <c r="BB138" cm="1">
        <f t="array" ref="BB138">IF($AW138="",0,SUMPRODUCT((TRIM(Footfall!$B$5:$B$301)=$AW138)*(Footfall!$C$1:$BZ$1&gt;=$U$4)*(Footfall!$C$2:$BZ$2&lt;=$U$5)*(Footfall!$C$1:$BZ$1&lt;&gt;""),Footfall!$C$5:$BZ$301))</f>
        <v>0</v>
      </c>
      <c r="BC138" cm="1">
        <f t="array" ref="BC138">IF(OR($BB138&lt;=0,$BD$1="",$BF138=""),0,_xlfn.LET(_xlpm.d,IFERROR(--'Sales and count'!$F$2:$CB$2,0),SUMPRODUCT(('Sales and count'!$G$3:$CC$3="Transactions")*(_xlpm.d&gt;=$BD$1)*(_xlpm.d&lt;=$BD$2),INDEX('Sales and count'!$G$4:$CC$300,$BF138,0))))</f>
        <v>0</v>
      </c>
      <c r="BF138" t="str" cm="1">
        <f t="array" ref="BF138">IF($AW138="","",IFERROR(MATCH($AW138,TRIM('Sales and count'!$A$4:$A$300&amp;""),0),""))</f>
        <v/>
      </c>
      <c r="BG138" t="str" cm="1">
        <f t="array" ref="BG138">IF($AW138="","",IFERROR(MATCH(IFERROR(_xlfn.XLOOKUP($AW138,$BT$5:$BT$22,$BU$5:$BU$22),$AW138),TRIM('TY Sales Target'!$B$5:$B$300&amp;""),0),""))</f>
        <v/>
      </c>
      <c r="BH138" t="str" cm="1">
        <f t="array" ref="BH138">IF(ISNUMBER($BG138),_xlfn.LET(_xlpm.p,TRIM(INDEX('TY Sales Target'!$I$5:$I$300,$BG138)&amp;""),IF(_xlpm.p="","Not set",_xlpm.p)),"Not set")</f>
        <v>Not set</v>
      </c>
      <c r="BI138" cm="1">
        <f t="array" ref="BI138">IF($BF138="",0,_xlfn.LET(_xlpm.d,IFERROR(--'Sales and count'!$G$2:$CC$2,0),SUMPRODUCT(('Sales and count'!$G$3:$CC$3="Total")*(_xlpm.d&gt;=$BZ$5)*(_xlpm.d&lt;=$BZ$6),INDEX('Sales and count'!$G$4:$CC$300,$BF138,0))))</f>
        <v>0</v>
      </c>
      <c r="BJ138" cm="1">
        <f t="array" ref="BJ138">IF($AW138="",0,SUMPRODUCT((TRIM('LY Sales '!$B$5:$B$200)=$AW138)*('LY Sales '!$C$2:$AG$2&gt;=EDATE($BZ$5,-12))*('LY Sales '!$C$2:$AG$2&lt;=EDATE($BZ$6,-12)),'LY Sales '!$C$5:$AG$200))</f>
        <v>0</v>
      </c>
      <c r="BK138" cm="1">
        <f t="array" ref="BK138">IF($AW138="",0,SUMPRODUCT((TRIM('LY Sales '!$B$5:$B$200)=$AW138)*('LY Sales '!$C$2:$AG$2&gt;=EDATE($BZ$5,-12))*('LY Sales '!$C$2:$AG$2&lt;=EDATE($BZ$7,-12)),'LY Sales '!$C$5:$AG$200))</f>
        <v>0</v>
      </c>
      <c r="BL138" cm="1">
        <f t="array" ref="BL138">IF($AW138="",0,SUMPRODUCT((TRIM('LY Sales '!$B$5:$B$200)=$AW138)*('LY Sales '!$C$2:$AG$2&gt;=EDATE($BZ$5,-12))*('LY Sales '!$C$2:$AG$2&lt;=EDATE($BZ$6,-12))*('LY Sales '!$C$5:$AG$200&gt;0)))</f>
        <v>0</v>
      </c>
      <c r="BM138" cm="1">
        <f t="array" ref="BM138">IF(NOT(ISNUMBER($BG138)),0,SUMPRODUCT(('TY Sales Target'!$K$2:$AO$2&gt;=$BZ$5)*('TY Sales Target'!$K$2:$AO$2&lt;=$BZ$6),INDEX('TY Sales Target'!$K$5:$AO$300,$BG138,0)))</f>
        <v>0</v>
      </c>
      <c r="BN138" cm="1">
        <f t="array" ref="BN138">IF(NOT(ISNUMBER($BG138)),0,SUMPRODUCT(('TY Sales Target'!$K$2:$AO$2&gt;=$BZ$5)*('TY Sales Target'!$K$2:$AO$2&lt;=$BZ$7),INDEX('TY Sales Target'!$K$5:$AO$300,$BG138,0)))</f>
        <v>0</v>
      </c>
      <c r="BO138" cm="1">
        <f t="array" ref="BO138">IF($AW138="",0,IFERROR(_xlfn.SWITCH($BP138,"LY trend",$BI138*$BK138/$BJ138,"Target curve",$BI138*$BN138/$BM138,"Run rate",$BI138/$BZ$8*$BZ$9,0),0))</f>
        <v>0</v>
      </c>
      <c r="BP138" t="str">
        <f t="shared" si="92"/>
        <v/>
      </c>
      <c r="CB138" cm="1">
        <f t="array" ref="CB138">IF($AW138="",0,_xlfn.LET(_xlpm.k,IFERROR(_xlfn.XLOOKUP($AW138,$CD$6:$CD$21,$CE$6:$CE$21),$AW138),SUMPRODUCT((TRIM('Makeup '!$A$2:$A$300&amp;"")=_xlpm.k)*1,IFERROR('Makeup '!$F$2:$F$300*1,0))))</f>
        <v>0</v>
      </c>
      <c r="CF138" t="str" cm="1">
        <f t="array" ref="CF138">IF($AW138="","",_xlfn.LET(_xlpm.c,IFERROR(TRIM(INDEX('Sales and count'!$B$4:$B$300,$BF138)&amp;""),""),IF(OR(_xlpm.c="",_xlpm.c="0",LEFT(_xlpm.c,1)="#"),"Not set",_xlpm.c)))</f>
        <v/>
      </c>
      <c r="CH138" cm="1">
        <f t="array" ref="CH138">IF($AW138="",0,_xlfn.LET(_xlpm.k,IFERROR(_xlfn.XLOOKUP($AW138,$CD$6:$CD$21,$CE$6:$CE$21),$AW138),--(SUMPRODUCT((TRIM('Makeup '!$A$2:$A$300&amp;"")=_xlpm.k)*ISNUMBER('Makeup '!$F$2:$F$300))&gt;0)))</f>
        <v>0</v>
      </c>
      <c r="CI138">
        <f t="shared" si="95"/>
        <v>0</v>
      </c>
      <c r="CJ138" cm="1">
        <f t="array" ref="CJ138">IF($AW138="",0,--(SUMPRODUCT(--(TRIM(Footfall!$B$5:$B$301)=$AW138))&gt;0))</f>
        <v>0</v>
      </c>
      <c r="CK138" s="8" cm="1">
        <f t="array" ref="CK138">IF($AW138="",0,_xlfn.LET(_xlpm.r,IFERROR(MATCH(IFERROR(_xlfn.XLOOKUP($AW138,$BT$5:$BT$22,$BU$5:$BU$22),$AW138),TRIM('TY Beauty Target'!$B$5:$B$300&amp;""),0),""),IF(ISNUMBER(_xlpm.r),SUMPRODUCT(('TY Beauty Target'!$L$2:$AP$2&gt;=$U$4)*('TY Beauty Target'!$L$2:$AP$2&lt;=$U$5),INDEX('TY Beauty Target'!$L$5:$AP$300,_xlpm.r,0)),0)))</f>
        <v>0</v>
      </c>
    </row>
    <row r="139" spans="1:89" ht="15" customHeight="1" x14ac:dyDescent="0.25">
      <c r="A139" s="38" t="str">
        <f t="shared" si="79"/>
        <v/>
      </c>
      <c r="B139" s="43" t="str" cm="1">
        <f t="array" ref="B139">IF($AI139="","",IF(LEFT($AI139,2)="C|",IF($C139="","",_xlfn.TEXTJOIN(", ",TRUE,_xlfn.UNIQUE(_xlfn._xlws.FILTER($AN$5:$AN$302,($AP$5:$AP$302=1)*($AO$5:$AO$302=$A139))))),IF($AI139="CT",B$13,IF(LEFT($AI139,3)="AM|",IF($C139="","",ROWS(_xlfn.UNIQUE(_xlfn._xlws.FILTER($AO$5:$AO$302,($AP$5:$AP$302=1)*($AN$5:$AN$302=$A139))))),IF(LEFT($AI139,2)="S|",IF($AG139="","",INDEX($AO$5:$AO$302,$AH139)),IF($AI139="HDR","City",""))))))</f>
        <v/>
      </c>
      <c r="C139" s="39" t="str" cm="1">
        <f t="array" ref="C139">IF($AI139="","",IF(LEFT($AI139,2)="C|",_xlfn.LET(_xlpm.n,SUMPRODUCT($AP$5:$AP$302*($AO$5:$AO$302=$A139)),IF(_xlpm.n=0,"",_xlpm.n)),IF($AI139="CT",C$13,IF(LEFT($AI139,3)="AM|",_xlfn.LET(_xlpm.n,SUMPRODUCT($AP$5:$AP$302*($AN$5:$AN$302=$A139)),IF(_xlpm.n=0,"",_xlpm.n)),IF(LEFT($AI139,2)="S|","",IF($AI139="HDR","# Stores",""))))))</f>
        <v/>
      </c>
      <c r="D139" s="40" t="str" cm="1">
        <f t="array" ref="D139">IF($AI139="","",IF(LEFT($AI139,2)="C|",IF($C139="","",SUMPRODUCT($AP$5:$AP$302*($AO$5:$AO$302=$A139),$AR$5:$AR$302)),IF($AI139="CT",D$13,IF(LEFT($AI139,3)="AM|",IF($C139="","",SUMPRODUCT($AP$5:$AP$302*($AN$5:$AN$302=$A139),$AR$5:$AR$302)),IF(LEFT($AI139,2)="S|",IF($AG139="","",INDEX($AR$5:$AR$302,$AH139)),IF($AI139="HDR","Sales TY",""))))))</f>
        <v/>
      </c>
      <c r="E139" s="40" t="str" cm="1">
        <f t="array" ref="E139">IF($AI139="","",IF(LEFT($AI139,2)="C|",IF($C139="","",SUMPRODUCT($AP$5:$AP$302*($AO$5:$AO$302=$A139),$AT$5:$AT$302)),IF($AI139="CT",E$13,IF(LEFT($AI139,3)="AM|",IF($C139="","",SUMPRODUCT($AP$5:$AP$302*($AN$5:$AN$302=$A139),$AT$5:$AT$302)),IF(LEFT($AI139,2)="S|",IF($AG139="","",INDEX($AT$5:$AT$302,$AH139)),IF($AI139="HDR","Sales LY",""))))))</f>
        <v/>
      </c>
      <c r="F139" s="41" t="str">
        <f t="shared" si="80"/>
        <v/>
      </c>
      <c r="G139" s="41" t="str">
        <f t="shared" si="81"/>
        <v/>
      </c>
      <c r="H139" s="40" t="str" cm="1">
        <f t="array" ref="H139">IF($AI139="","",IF(LEFT($AI139,2)="C|",IF($C139="","",SUMPRODUCT($AP$5:$AP$302*($AO$5:$AO$302=$A139),$AV$5:$AV$302)),IF($AI139="CT",H$13,IF(LEFT($AI139,3)="AM|",IF($C139="","",SUMPRODUCT($AP$5:$AP$302*($AN$5:$AN$302=$A139),$AV$5:$AV$302)),IF(LEFT($AI139,2)="S|",IF($AG139="","",INDEX($AV$5:$AV$302,$AH139)),IF($AI139="HDR","Target",""))))))</f>
        <v/>
      </c>
      <c r="I139" s="41" t="str">
        <f t="shared" si="82"/>
        <v/>
      </c>
      <c r="J139" s="40" t="str">
        <f t="shared" si="83"/>
        <v/>
      </c>
      <c r="K139" s="41" t="str">
        <f t="shared" si="84"/>
        <v/>
      </c>
      <c r="L139" s="40" t="str" cm="1">
        <f t="array" ref="L139">IF($AI139="","",IF(LEFT($AI139,2)="C|",IF($C139="","",SUMPRODUCT($AP$5:$AP$302*($AO$5:$AO$302=$A139),$BN$5:$BN$302)),IF($AI139="CT",L$13,IF(LEFT($AI139,3)="AM|",IF($C139="","",SUMPRODUCT($AP$5:$AP$302*($AN$5:$AN$302=$A139),$BN$5:$BN$302)),IF(LEFT($AI139,2)="S|",IF($AG139="","",INDEX($BN$5:$BN$302,$AH139)),IF($AI139="HDR","Month Target",""))))))</f>
        <v/>
      </c>
      <c r="M139" s="40" t="str" cm="1">
        <f t="array" ref="M139">IF($AI139="","",IF(LEFT($AI139,2)="C|",IF($C139="","",SUMPRODUCT($AP$5:$AP$302*($AO$5:$AO$302=$A139),$BO$5:$BO$302)),IF($AI139="CT",M$13,IF(LEFT($AI139,3)="AM|",IF($C139="","",SUMPRODUCT($AP$5:$AP$302*($AN$5:$AN$302=$A139),$BO$5:$BO$302)),IF(LEFT($AI139,2)="S|",IF($AG139="","",INDEX($BO$5:$BO$302,$AH139)),IF($AI139="HDR","Projected Close",""))))))</f>
        <v/>
      </c>
      <c r="N139" s="41" t="str">
        <f t="shared" si="76"/>
        <v/>
      </c>
      <c r="O139" s="41" t="str" cm="1">
        <f t="array" ref="O139">IF($AI139="HDR","Proj. vs LY",IF(OR($AI139="",M139=""),"",_xlfn.LET(_xlpm.ly,IF(LEFT($AI139,2)="C|",SUMPRODUCT($AP$5:$AP$302*($AO$5:$AO$302=$A139),$BK$5:$BK$302),IF($AI139="CT",SUMPRODUCT($AP$5:$AP$302,$BK$5:$BK$302),IF(LEFT($AI139,3)="AM|",SUMPRODUCT($AP$5:$AP$302*($AN$5:$AN$302=$A139),$BK$5:$BK$302),IF(LEFT($AI139,2)="S|",INDEX($BK$5:$BK$302,$AH139),0)))),IFERROR(M139/_xlpm.ly-1,""))))</f>
        <v/>
      </c>
      <c r="P139" s="40" t="str" cm="1">
        <f t="array" ref="P139">IF($AI139="","",IF(LEFT($AI139,2)="C|",IF($C139="","",SUMPRODUCT($AP$5:$AP$302*($AO$5:$AO$302=$A139),$AS$5:$AS$302)),IF($AI139="CT",P$13,IF(LEFT($AI139,3)="AM|",IF($C139="","",SUMPRODUCT($AP$5:$AP$302*($AN$5:$AN$302=$A139),$AS$5:$AS$302)),IF(LEFT($AI139,2)="S|",IF($AG139="","",INDEX($AS$5:$AS$302,$AH139)),IF($AI139="HDR","Trans TY",""))))))</f>
        <v/>
      </c>
      <c r="Q139" s="40" t="str" cm="1">
        <f t="array" ref="Q139">IF($AI139="","",IF(LEFT($AI139,2)="C|",IF($C139="","",SUMPRODUCT($AP$5:$AP$302*($AO$5:$AO$302=$A139),$AU$5:$AU$302)),IF($AI139="CT",Q$13,IF(LEFT($AI139,3)="AM|",IF($C139="","",SUMPRODUCT($AP$5:$AP$302*($AN$5:$AN$302=$A139),$AU$5:$AU$302)),IF(LEFT($AI139,2)="S|",IF($AG139="","",INDEX($AU$5:$AU$302,$AH139)),IF($AI139="HDR","Trans LY",""))))))</f>
        <v/>
      </c>
      <c r="R139" s="41" t="str">
        <f t="shared" si="85"/>
        <v/>
      </c>
      <c r="S139" s="41" t="str">
        <f t="shared" si="86"/>
        <v/>
      </c>
      <c r="T139" s="42" t="str">
        <f t="shared" si="87"/>
        <v/>
      </c>
      <c r="U139" s="42" t="str">
        <f t="shared" si="88"/>
        <v/>
      </c>
      <c r="V139" s="41" t="str">
        <f t="shared" si="89"/>
        <v/>
      </c>
      <c r="W139" s="40" t="str" cm="1">
        <f t="array" ref="W139">IF($AI139="","",IF(LEFT($AI139,2)="C|",_xlfn.LET(_xlpm.n,SUMPRODUCT($AP$5:$AP$302*($AO$5:$AO$302=$A139),$BB$5:$BB$302),IF(_xlpm.n=0,"",_xlpm.n)),IF($AI139="CT",W$13,IF(LEFT($AI139,3)="AM|",_xlfn.LET(_xlpm.n,SUMPRODUCT($AP$5:$AP$302*($AN$5:$AN$302=$A139),$BB$5:$BB$302),IF(_xlpm.n=0,"",_xlpm.n)),IF(LEFT($AI139,2)="S|",IF($AG139="","",_xlfn.LET(_xlpm.n,INDEX($BB$5:$BB$302,$AH139),IF(_xlpm.n=0,"",_xlpm.n))),IF($AI139="HDR","Footfall",""))))))</f>
        <v/>
      </c>
      <c r="X139" s="40" t="str" cm="1">
        <f t="array" ref="X139">IF($AI139="","",IF($AI139="HDR","Trans (FF stores)",IF(W139="","",IF(LEFT($AI139,2)="C|",SUMPRODUCT($AP$5:$AP$302*($AO$5:$AO$302=$A139),$BC$5:$BC$302),IF($AI139="CT",X$13,IF(LEFT($AI139,3)="AM|",SUMPRODUCT($AP$5:$AP$302*($AN$5:$AN$302=$A139),$BC$5:$BC$302),IF(LEFT($AI139,2)="S|",INDEX($BC$5:$BC$302,$AH139),"")))))))</f>
        <v/>
      </c>
      <c r="Y139" s="41" t="str">
        <f t="shared" si="77"/>
        <v/>
      </c>
      <c r="Z139" s="40" t="str" cm="1">
        <f t="array" ref="Z139">IF($AI139="","",IF(LEFT($AI139,2)="C|",IF($C139="","",SUMPRODUCT($AP$5:$AP$302*($AO$5:$AO$302=$A139),$CB$5:$CB$302)),IF($AI139="CT",Z$13,IF(LEFT($AI139,3)="AM|",IF($C139="","",SUMPRODUCT($AP$5:$AP$302*($AN$5:$AN$302=$A139),$CB$5:$CB$302)),IF(LEFT($AI139,2)="S|",IF($AG139="","",INDEX($CB$5:$CB$302,$AH139)),IF($AI139="HDR","Makeup Sales",""))))))</f>
        <v/>
      </c>
      <c r="AA139" s="41" t="str">
        <f t="shared" si="90"/>
        <v/>
      </c>
      <c r="AB139" s="40" t="str" cm="1">
        <f t="array" ref="AB139">IF($AI139="","",IF(LEFT($AI139,2)="C|",IF($C139="","",SUMPRODUCT($AP$5:$AP$302*($AO$5:$AO$302=$A139),$CK$5:$CK$302)),IF($AI139="CT",AB$13,IF(LEFT($AI139,3)="AM|",IF($C139="","",SUMPRODUCT($AP$5:$AP$302*($AN$5:$AN$302=$A139),$CK$5:$CK$302)),IF(LEFT($AI139,2)="S|",IF($AG139="","",INDEX($CK$5:$CK$302,$AH139)),IF($AI139="HDR","Makeup Target",""))))))</f>
        <v/>
      </c>
      <c r="AC139" s="41" t="str">
        <f t="shared" si="78"/>
        <v/>
      </c>
      <c r="AD139" s="40" t="str" cm="1">
        <f t="array" ref="AD139">IF($AI139="","",IF(LEFT($AI139,2)="C|",IF($C139="","",SUMPRODUCT($AP$5:$AP$302*($AO$5:$AO$302=$A139),$CI$5:$CI$302)),IF($AI139="CT",AD$13,IF(LEFT($AI139,3)="AM|",IF($C139="","",SUMPRODUCT($AP$5:$AP$302*($AN$5:$AN$302=$A139),$CI$5:$CI$302)),IF(LEFT($AI139,2)="S|",IF($AG139="","",INDEX($CI$5:$CI$302,$AH139)),IF($AI139="HDR","Cosmetic Sales",""))))))</f>
        <v/>
      </c>
      <c r="AE139" s="8" t="str" cm="1">
        <f t="array" ref="AE139">IF($AI139="","",IF(LEFT($AI139,2)="C|",IF($C139="","",SUMPRODUCT($AP$5:$AP$302*($AO$5:$AO$302=$A139)*$AQ$5:$AQ$302,$AR$5:$AR$302)),IF($AI139="CT",AE$13,IF(LEFT($AI139,3)="AM|",IF($C139="","",SUMPRODUCT($AP$5:$AP$302*($AN$5:$AN$302=$A139)*$AQ$5:$AQ$302,$AR$5:$AR$302)),IF(LEFT($AI139,2)="S|",IF($AG139="","",IF(INDEX($AQ$5:$AQ$302,$AH139)=1,D139,0)),IF($AI139="HDR","LFL Sales",""))))))</f>
        <v/>
      </c>
      <c r="AF139" s="8" t="str" cm="1">
        <f t="array" ref="AF139">IF($AI139="","",IF(LEFT($AI139,2)="C|",IF($C139="","",SUMPRODUCT($AP$5:$AP$302*($AO$5:$AO$302=$A139)*$AQ$5:$AQ$302,$AS$5:$AS$302)),IF($AI139="CT",AF$13,IF(LEFT($AI139,3)="AM|",IF($C139="","",SUMPRODUCT($AP$5:$AP$302*($AN$5:$AN$302=$A139)*$AQ$5:$AQ$302,$AS$5:$AS$302)),IF(LEFT($AI139,2)="S|",IF($AG139="","",IF(INDEX($AQ$5:$AQ$302,$AH139)=1,P139,0)),IF($AI139="HDR","LFL Trans",""))))))</f>
        <v/>
      </c>
      <c r="AG139" s="8" t="str" cm="1">
        <f t="array" ref="AG139">IF($AI139="","",IF(LEFT($AI139,2)="C|","",IF($AI139="CT","",IF(LEFT($AI139,3)="AM|","",IF(LEFT($AI139,2)="S|",IF($AH139="","",IF(INDEX($AP$5:$AP$302,$AH139)=1,1,"")),IF($AI139="HDR","Show",""))))))</f>
        <v/>
      </c>
      <c r="AH139" s="8" t="str">
        <f t="shared" si="91"/>
        <v/>
      </c>
      <c r="AI139" s="8"/>
      <c r="AN139" s="8" t="str" cm="1">
        <f t="array" ref="AN139">IF($AW139="","",_xlfn.LET(_xlpm.sa,IFERROR(TRIM(INDEX('Sales and count'!$D$4:$D$300,$BF139)&amp;""),""),_xlpm.ta,IFERROR(TRIM(INDEX('TY Sales Target'!$F$5:$F$300,$BG139)&amp;""),""),IF(AND(_xlpm.sa&lt;&gt;"",LEFT(_xlpm.sa,1)&lt;&gt;"#",_xlpm.sa&lt;&gt;"0"),_xlpm.sa,IF(AND(_xlpm.ta&lt;&gt;"",LEFT(_xlpm.ta,1)&lt;&gt;"#",_xlpm.ta&lt;&gt;"0"),_xlpm.ta,IF(ISNUMBER($BG139),"Unassigned","")))))</f>
        <v/>
      </c>
      <c r="AO139" s="8" t="str" cm="1">
        <f t="array" ref="AO139">IF($AW139="","",_xlfn.LET(_xlpm.sa,IFERROR(TRIM(INDEX('Sales and count'!$C$4:$C$300,$BF139)&amp;""),""),_xlpm.ta,IFERROR(TRIM(INDEX('TY Sales Target'!$D$5:$D$300,$BG139)&amp;""),""),IF(AND(_xlpm.sa&lt;&gt;"",LEFT(_xlpm.sa,1)&lt;&gt;"#",_xlpm.sa&lt;&gt;"0"),_xlpm.sa,IF(AND(_xlpm.ta&lt;&gt;"",LEFT(_xlpm.ta,1)&lt;&gt;"#",_xlpm.ta&lt;&gt;"0"),_xlpm.ta,""))))</f>
        <v/>
      </c>
      <c r="AP139" s="8">
        <f t="shared" si="93"/>
        <v>0</v>
      </c>
      <c r="AQ139" s="8">
        <f t="shared" si="94"/>
        <v>0</v>
      </c>
      <c r="AR139" s="8" cm="1">
        <f t="array" ref="AR139">IF($BF139="",0,_xlfn.LET(_xlpm.d,IFERROR(--'Sales and count'!$G$2:$CC$2,0),SUMPRODUCT(('Sales and count'!$G$3:$CC$3="Total")*(_xlpm.d&gt;=$U$4)*(_xlpm.d&lt;=$U$5),INDEX('Sales and count'!$G$4:$CC$300,$BF139,0))))</f>
        <v>0</v>
      </c>
      <c r="AS139" s="8" cm="1">
        <f t="array" ref="AS139">IF($BF139="",0,_xlfn.LET(_xlpm.d,IFERROR(--'Sales and count'!$F$2:$CB$2,0),SUMPRODUCT(('Sales and count'!$G$3:$CC$3="Transactions")*(_xlpm.d&gt;=$U$4)*(_xlpm.d&lt;=$U$5),INDEX('Sales and count'!$G$4:$CC$300,$BF139,0))))</f>
        <v>0</v>
      </c>
      <c r="AT139" s="8" cm="1">
        <f t="array" ref="AT139">IF($AW139="",0,SUMPRODUCT((TRIM('LY Sales '!$B$5:$B$200)=$AW139)*('LY Sales '!$C$2:$AG$2&gt;=EDATE($U$4,-12))*('LY Sales '!$C$2:$AG$2&lt;=EDATE($U$5,-12)),'LY Sales '!$C$5:$AG$200))</f>
        <v>0</v>
      </c>
      <c r="AU139" s="8" cm="1">
        <f t="array" ref="AU139">IF($AW139="",0,SUMPRODUCT((TRIM('LY Transaction'!$B$5:$B$200)=$AW139)*('LY Transaction'!$C$2:$AG$2&gt;=EDATE($U$4,-12))*('LY Transaction'!$C$2:$AG$2&lt;=EDATE($U$5,-12)),'LY Transaction'!$C$5:$AG$200))</f>
        <v>0</v>
      </c>
      <c r="AV139" s="8" cm="1">
        <f t="array" ref="AV139">IF(NOT(ISNUMBER($BG139)),0,SUMPRODUCT(('TY Sales Target'!$K$2:$AO$2&gt;=$U$4)*('TY Sales Target'!$K$2:$AO$2&lt;=$U$5),INDEX('TY Sales Target'!$K$5:$AO$300,$BG139,0)))</f>
        <v>0</v>
      </c>
      <c r="AW139" s="8" t="str" cm="1">
        <f t="array" ref="AW139">IFERROR(INDEX(_xlfn.ANCHORARRAY($BR$5),ROWS($AW$5:AW139)),"")</f>
        <v/>
      </c>
      <c r="BB139" cm="1">
        <f t="array" ref="BB139">IF($AW139="",0,SUMPRODUCT((TRIM(Footfall!$B$5:$B$301)=$AW139)*(Footfall!$C$1:$BZ$1&gt;=$U$4)*(Footfall!$C$2:$BZ$2&lt;=$U$5)*(Footfall!$C$1:$BZ$1&lt;&gt;""),Footfall!$C$5:$BZ$301))</f>
        <v>0</v>
      </c>
      <c r="BC139" cm="1">
        <f t="array" ref="BC139">IF(OR($BB139&lt;=0,$BD$1="",$BF139=""),0,_xlfn.LET(_xlpm.d,IFERROR(--'Sales and count'!$F$2:$CB$2,0),SUMPRODUCT(('Sales and count'!$G$3:$CC$3="Transactions")*(_xlpm.d&gt;=$BD$1)*(_xlpm.d&lt;=$BD$2),INDEX('Sales and count'!$G$4:$CC$300,$BF139,0))))</f>
        <v>0</v>
      </c>
      <c r="BF139" t="str" cm="1">
        <f t="array" ref="BF139">IF($AW139="","",IFERROR(MATCH($AW139,TRIM('Sales and count'!$A$4:$A$300&amp;""),0),""))</f>
        <v/>
      </c>
      <c r="BG139" t="str" cm="1">
        <f t="array" ref="BG139">IF($AW139="","",IFERROR(MATCH(IFERROR(_xlfn.XLOOKUP($AW139,$BT$5:$BT$22,$BU$5:$BU$22),$AW139),TRIM('TY Sales Target'!$B$5:$B$300&amp;""),0),""))</f>
        <v/>
      </c>
      <c r="BH139" t="str" cm="1">
        <f t="array" ref="BH139">IF(ISNUMBER($BG139),_xlfn.LET(_xlpm.p,TRIM(INDEX('TY Sales Target'!$I$5:$I$300,$BG139)&amp;""),IF(_xlpm.p="","Not set",_xlpm.p)),"Not set")</f>
        <v>Not set</v>
      </c>
      <c r="BI139" cm="1">
        <f t="array" ref="BI139">IF($BF139="",0,_xlfn.LET(_xlpm.d,IFERROR(--'Sales and count'!$G$2:$CC$2,0),SUMPRODUCT(('Sales and count'!$G$3:$CC$3="Total")*(_xlpm.d&gt;=$BZ$5)*(_xlpm.d&lt;=$BZ$6),INDEX('Sales and count'!$G$4:$CC$300,$BF139,0))))</f>
        <v>0</v>
      </c>
      <c r="BJ139" cm="1">
        <f t="array" ref="BJ139">IF($AW139="",0,SUMPRODUCT((TRIM('LY Sales '!$B$5:$B$200)=$AW139)*('LY Sales '!$C$2:$AG$2&gt;=EDATE($BZ$5,-12))*('LY Sales '!$C$2:$AG$2&lt;=EDATE($BZ$6,-12)),'LY Sales '!$C$5:$AG$200))</f>
        <v>0</v>
      </c>
      <c r="BK139" cm="1">
        <f t="array" ref="BK139">IF($AW139="",0,SUMPRODUCT((TRIM('LY Sales '!$B$5:$B$200)=$AW139)*('LY Sales '!$C$2:$AG$2&gt;=EDATE($BZ$5,-12))*('LY Sales '!$C$2:$AG$2&lt;=EDATE($BZ$7,-12)),'LY Sales '!$C$5:$AG$200))</f>
        <v>0</v>
      </c>
      <c r="BL139" cm="1">
        <f t="array" ref="BL139">IF($AW139="",0,SUMPRODUCT((TRIM('LY Sales '!$B$5:$B$200)=$AW139)*('LY Sales '!$C$2:$AG$2&gt;=EDATE($BZ$5,-12))*('LY Sales '!$C$2:$AG$2&lt;=EDATE($BZ$6,-12))*('LY Sales '!$C$5:$AG$200&gt;0)))</f>
        <v>0</v>
      </c>
      <c r="BM139" cm="1">
        <f t="array" ref="BM139">IF(NOT(ISNUMBER($BG139)),0,SUMPRODUCT(('TY Sales Target'!$K$2:$AO$2&gt;=$BZ$5)*('TY Sales Target'!$K$2:$AO$2&lt;=$BZ$6),INDEX('TY Sales Target'!$K$5:$AO$300,$BG139,0)))</f>
        <v>0</v>
      </c>
      <c r="BN139" cm="1">
        <f t="array" ref="BN139">IF(NOT(ISNUMBER($BG139)),0,SUMPRODUCT(('TY Sales Target'!$K$2:$AO$2&gt;=$BZ$5)*('TY Sales Target'!$K$2:$AO$2&lt;=$BZ$7),INDEX('TY Sales Target'!$K$5:$AO$300,$BG139,0)))</f>
        <v>0</v>
      </c>
      <c r="BO139" cm="1">
        <f t="array" ref="BO139">IF($AW139="",0,IFERROR(_xlfn.SWITCH($BP139,"LY trend",$BI139*$BK139/$BJ139,"Target curve",$BI139*$BN139/$BM139,"Run rate",$BI139/$BZ$8*$BZ$9,0),0))</f>
        <v>0</v>
      </c>
      <c r="BP139" t="str">
        <f t="shared" si="92"/>
        <v/>
      </c>
      <c r="CB139" cm="1">
        <f t="array" ref="CB139">IF($AW139="",0,_xlfn.LET(_xlpm.k,IFERROR(_xlfn.XLOOKUP($AW139,$CD$6:$CD$21,$CE$6:$CE$21),$AW139),SUMPRODUCT((TRIM('Makeup '!$A$2:$A$300&amp;"")=_xlpm.k)*1,IFERROR('Makeup '!$F$2:$F$300*1,0))))</f>
        <v>0</v>
      </c>
      <c r="CF139" t="str" cm="1">
        <f t="array" ref="CF139">IF($AW139="","",_xlfn.LET(_xlpm.c,IFERROR(TRIM(INDEX('Sales and count'!$B$4:$B$300,$BF139)&amp;""),""),IF(OR(_xlpm.c="",_xlpm.c="0",LEFT(_xlpm.c,1)="#"),"Not set",_xlpm.c)))</f>
        <v/>
      </c>
      <c r="CH139" cm="1">
        <f t="array" ref="CH139">IF($AW139="",0,_xlfn.LET(_xlpm.k,IFERROR(_xlfn.XLOOKUP($AW139,$CD$6:$CD$21,$CE$6:$CE$21),$AW139),--(SUMPRODUCT((TRIM('Makeup '!$A$2:$A$300&amp;"")=_xlpm.k)*ISNUMBER('Makeup '!$F$2:$F$300))&gt;0)))</f>
        <v>0</v>
      </c>
      <c r="CI139">
        <f t="shared" si="95"/>
        <v>0</v>
      </c>
      <c r="CJ139" cm="1">
        <f t="array" ref="CJ139">IF($AW139="",0,--(SUMPRODUCT(--(TRIM(Footfall!$B$5:$B$301)=$AW139))&gt;0))</f>
        <v>0</v>
      </c>
      <c r="CK139" s="8" cm="1">
        <f t="array" ref="CK139">IF($AW139="",0,_xlfn.LET(_xlpm.r,IFERROR(MATCH(IFERROR(_xlfn.XLOOKUP($AW139,$BT$5:$BT$22,$BU$5:$BU$22),$AW139),TRIM('TY Beauty Target'!$B$5:$B$300&amp;""),0),""),IF(ISNUMBER(_xlpm.r),SUMPRODUCT(('TY Beauty Target'!$L$2:$AP$2&gt;=$U$4)*('TY Beauty Target'!$L$2:$AP$2&lt;=$U$5),INDEX('TY Beauty Target'!$L$5:$AP$300,_xlpm.r,0)),0)))</f>
        <v>0</v>
      </c>
    </row>
    <row r="140" spans="1:89" ht="15" customHeight="1" x14ac:dyDescent="0.25">
      <c r="A140" s="38" t="str">
        <f t="shared" si="79"/>
        <v/>
      </c>
      <c r="B140" s="43" t="str" cm="1">
        <f t="array" ref="B140">IF($AI140="","",IF(LEFT($AI140,2)="C|",IF($C140="","",_xlfn.TEXTJOIN(", ",TRUE,_xlfn.UNIQUE(_xlfn._xlws.FILTER($AN$5:$AN$302,($AP$5:$AP$302=1)*($AO$5:$AO$302=$A140))))),IF($AI140="CT",B$13,IF(LEFT($AI140,3)="AM|",IF($C140="","",ROWS(_xlfn.UNIQUE(_xlfn._xlws.FILTER($AO$5:$AO$302,($AP$5:$AP$302=1)*($AN$5:$AN$302=$A140))))),IF(LEFT($AI140,2)="S|",IF($AG140="","",INDEX($AO$5:$AO$302,$AH140)),IF($AI140="HDR","City",""))))))</f>
        <v/>
      </c>
      <c r="C140" s="39" t="str" cm="1">
        <f t="array" ref="C140">IF($AI140="","",IF(LEFT($AI140,2)="C|",_xlfn.LET(_xlpm.n,SUMPRODUCT($AP$5:$AP$302*($AO$5:$AO$302=$A140)),IF(_xlpm.n=0,"",_xlpm.n)),IF($AI140="CT",C$13,IF(LEFT($AI140,3)="AM|",_xlfn.LET(_xlpm.n,SUMPRODUCT($AP$5:$AP$302*($AN$5:$AN$302=$A140)),IF(_xlpm.n=0,"",_xlpm.n)),IF(LEFT($AI140,2)="S|","",IF($AI140="HDR","# Stores",""))))))</f>
        <v/>
      </c>
      <c r="D140" s="40" t="str" cm="1">
        <f t="array" ref="D140">IF($AI140="","",IF(LEFT($AI140,2)="C|",IF($C140="","",SUMPRODUCT($AP$5:$AP$302*($AO$5:$AO$302=$A140),$AR$5:$AR$302)),IF($AI140="CT",D$13,IF(LEFT($AI140,3)="AM|",IF($C140="","",SUMPRODUCT($AP$5:$AP$302*($AN$5:$AN$302=$A140),$AR$5:$AR$302)),IF(LEFT($AI140,2)="S|",IF($AG140="","",INDEX($AR$5:$AR$302,$AH140)),IF($AI140="HDR","Sales TY",""))))))</f>
        <v/>
      </c>
      <c r="E140" s="40" t="str" cm="1">
        <f t="array" ref="E140">IF($AI140="","",IF(LEFT($AI140,2)="C|",IF($C140="","",SUMPRODUCT($AP$5:$AP$302*($AO$5:$AO$302=$A140),$AT$5:$AT$302)),IF($AI140="CT",E$13,IF(LEFT($AI140,3)="AM|",IF($C140="","",SUMPRODUCT($AP$5:$AP$302*($AN$5:$AN$302=$A140),$AT$5:$AT$302)),IF(LEFT($AI140,2)="S|",IF($AG140="","",INDEX($AT$5:$AT$302,$AH140)),IF($AI140="HDR","Sales LY",""))))))</f>
        <v/>
      </c>
      <c r="F140" s="41" t="str">
        <f t="shared" si="80"/>
        <v/>
      </c>
      <c r="G140" s="41" t="str">
        <f t="shared" si="81"/>
        <v/>
      </c>
      <c r="H140" s="40" t="str" cm="1">
        <f t="array" ref="H140">IF($AI140="","",IF(LEFT($AI140,2)="C|",IF($C140="","",SUMPRODUCT($AP$5:$AP$302*($AO$5:$AO$302=$A140),$AV$5:$AV$302)),IF($AI140="CT",H$13,IF(LEFT($AI140,3)="AM|",IF($C140="","",SUMPRODUCT($AP$5:$AP$302*($AN$5:$AN$302=$A140),$AV$5:$AV$302)),IF(LEFT($AI140,2)="S|",IF($AG140="","",INDEX($AV$5:$AV$302,$AH140)),IF($AI140="HDR","Target",""))))))</f>
        <v/>
      </c>
      <c r="I140" s="41" t="str">
        <f t="shared" si="82"/>
        <v/>
      </c>
      <c r="J140" s="40" t="str">
        <f t="shared" si="83"/>
        <v/>
      </c>
      <c r="K140" s="41" t="str">
        <f t="shared" si="84"/>
        <v/>
      </c>
      <c r="L140" s="40" t="str" cm="1">
        <f t="array" ref="L140">IF($AI140="","",IF(LEFT($AI140,2)="C|",IF($C140="","",SUMPRODUCT($AP$5:$AP$302*($AO$5:$AO$302=$A140),$BN$5:$BN$302)),IF($AI140="CT",L$13,IF(LEFT($AI140,3)="AM|",IF($C140="","",SUMPRODUCT($AP$5:$AP$302*($AN$5:$AN$302=$A140),$BN$5:$BN$302)),IF(LEFT($AI140,2)="S|",IF($AG140="","",INDEX($BN$5:$BN$302,$AH140)),IF($AI140="HDR","Month Target",""))))))</f>
        <v/>
      </c>
      <c r="M140" s="40" t="str" cm="1">
        <f t="array" ref="M140">IF($AI140="","",IF(LEFT($AI140,2)="C|",IF($C140="","",SUMPRODUCT($AP$5:$AP$302*($AO$5:$AO$302=$A140),$BO$5:$BO$302)),IF($AI140="CT",M$13,IF(LEFT($AI140,3)="AM|",IF($C140="","",SUMPRODUCT($AP$5:$AP$302*($AN$5:$AN$302=$A140),$BO$5:$BO$302)),IF(LEFT($AI140,2)="S|",IF($AG140="","",INDEX($BO$5:$BO$302,$AH140)),IF($AI140="HDR","Projected Close",""))))))</f>
        <v/>
      </c>
      <c r="N140" s="41" t="str">
        <f t="shared" si="76"/>
        <v/>
      </c>
      <c r="O140" s="41" t="str" cm="1">
        <f t="array" ref="O140">IF($AI140="HDR","Proj. vs LY",IF(OR($AI140="",M140=""),"",_xlfn.LET(_xlpm.ly,IF(LEFT($AI140,2)="C|",SUMPRODUCT($AP$5:$AP$302*($AO$5:$AO$302=$A140),$BK$5:$BK$302),IF($AI140="CT",SUMPRODUCT($AP$5:$AP$302,$BK$5:$BK$302),IF(LEFT($AI140,3)="AM|",SUMPRODUCT($AP$5:$AP$302*($AN$5:$AN$302=$A140),$BK$5:$BK$302),IF(LEFT($AI140,2)="S|",INDEX($BK$5:$BK$302,$AH140),0)))),IFERROR(M140/_xlpm.ly-1,""))))</f>
        <v/>
      </c>
      <c r="P140" s="40" t="str" cm="1">
        <f t="array" ref="P140">IF($AI140="","",IF(LEFT($AI140,2)="C|",IF($C140="","",SUMPRODUCT($AP$5:$AP$302*($AO$5:$AO$302=$A140),$AS$5:$AS$302)),IF($AI140="CT",P$13,IF(LEFT($AI140,3)="AM|",IF($C140="","",SUMPRODUCT($AP$5:$AP$302*($AN$5:$AN$302=$A140),$AS$5:$AS$302)),IF(LEFT($AI140,2)="S|",IF($AG140="","",INDEX($AS$5:$AS$302,$AH140)),IF($AI140="HDR","Trans TY",""))))))</f>
        <v/>
      </c>
      <c r="Q140" s="40" t="str" cm="1">
        <f t="array" ref="Q140">IF($AI140="","",IF(LEFT($AI140,2)="C|",IF($C140="","",SUMPRODUCT($AP$5:$AP$302*($AO$5:$AO$302=$A140),$AU$5:$AU$302)),IF($AI140="CT",Q$13,IF(LEFT($AI140,3)="AM|",IF($C140="","",SUMPRODUCT($AP$5:$AP$302*($AN$5:$AN$302=$A140),$AU$5:$AU$302)),IF(LEFT($AI140,2)="S|",IF($AG140="","",INDEX($AU$5:$AU$302,$AH140)),IF($AI140="HDR","Trans LY",""))))))</f>
        <v/>
      </c>
      <c r="R140" s="41" t="str">
        <f t="shared" si="85"/>
        <v/>
      </c>
      <c r="S140" s="41" t="str">
        <f t="shared" si="86"/>
        <v/>
      </c>
      <c r="T140" s="42" t="str">
        <f t="shared" si="87"/>
        <v/>
      </c>
      <c r="U140" s="42" t="str">
        <f t="shared" si="88"/>
        <v/>
      </c>
      <c r="V140" s="41" t="str">
        <f t="shared" si="89"/>
        <v/>
      </c>
      <c r="W140" s="40" t="str" cm="1">
        <f t="array" ref="W140">IF($AI140="","",IF(LEFT($AI140,2)="C|",_xlfn.LET(_xlpm.n,SUMPRODUCT($AP$5:$AP$302*($AO$5:$AO$302=$A140),$BB$5:$BB$302),IF(_xlpm.n=0,"",_xlpm.n)),IF($AI140="CT",W$13,IF(LEFT($AI140,3)="AM|",_xlfn.LET(_xlpm.n,SUMPRODUCT($AP$5:$AP$302*($AN$5:$AN$302=$A140),$BB$5:$BB$302),IF(_xlpm.n=0,"",_xlpm.n)),IF(LEFT($AI140,2)="S|",IF($AG140="","",_xlfn.LET(_xlpm.n,INDEX($BB$5:$BB$302,$AH140),IF(_xlpm.n=0,"",_xlpm.n))),IF($AI140="HDR","Footfall",""))))))</f>
        <v/>
      </c>
      <c r="X140" s="40" t="str" cm="1">
        <f t="array" ref="X140">IF($AI140="","",IF($AI140="HDR","Trans (FF stores)",IF(W140="","",IF(LEFT($AI140,2)="C|",SUMPRODUCT($AP$5:$AP$302*($AO$5:$AO$302=$A140),$BC$5:$BC$302),IF($AI140="CT",X$13,IF(LEFT($AI140,3)="AM|",SUMPRODUCT($AP$5:$AP$302*($AN$5:$AN$302=$A140),$BC$5:$BC$302),IF(LEFT($AI140,2)="S|",INDEX($BC$5:$BC$302,$AH140),"")))))))</f>
        <v/>
      </c>
      <c r="Y140" s="41" t="str">
        <f t="shared" si="77"/>
        <v/>
      </c>
      <c r="Z140" s="40" t="str" cm="1">
        <f t="array" ref="Z140">IF($AI140="","",IF(LEFT($AI140,2)="C|",IF($C140="","",SUMPRODUCT($AP$5:$AP$302*($AO$5:$AO$302=$A140),$CB$5:$CB$302)),IF($AI140="CT",Z$13,IF(LEFT($AI140,3)="AM|",IF($C140="","",SUMPRODUCT($AP$5:$AP$302*($AN$5:$AN$302=$A140),$CB$5:$CB$302)),IF(LEFT($AI140,2)="S|",IF($AG140="","",INDEX($CB$5:$CB$302,$AH140)),IF($AI140="HDR","Makeup Sales",""))))))</f>
        <v/>
      </c>
      <c r="AA140" s="41" t="str">
        <f t="shared" si="90"/>
        <v/>
      </c>
      <c r="AB140" s="40" t="str" cm="1">
        <f t="array" ref="AB140">IF($AI140="","",IF(LEFT($AI140,2)="C|",IF($C140="","",SUMPRODUCT($AP$5:$AP$302*($AO$5:$AO$302=$A140),$CK$5:$CK$302)),IF($AI140="CT",AB$13,IF(LEFT($AI140,3)="AM|",IF($C140="","",SUMPRODUCT($AP$5:$AP$302*($AN$5:$AN$302=$A140),$CK$5:$CK$302)),IF(LEFT($AI140,2)="S|",IF($AG140="","",INDEX($CK$5:$CK$302,$AH140)),IF($AI140="HDR","Makeup Target",""))))))</f>
        <v/>
      </c>
      <c r="AC140" s="41" t="str">
        <f t="shared" si="78"/>
        <v/>
      </c>
      <c r="AD140" s="40" t="str" cm="1">
        <f t="array" ref="AD140">IF($AI140="","",IF(LEFT($AI140,2)="C|",IF($C140="","",SUMPRODUCT($AP$5:$AP$302*($AO$5:$AO$302=$A140),$CI$5:$CI$302)),IF($AI140="CT",AD$13,IF(LEFT($AI140,3)="AM|",IF($C140="","",SUMPRODUCT($AP$5:$AP$302*($AN$5:$AN$302=$A140),$CI$5:$CI$302)),IF(LEFT($AI140,2)="S|",IF($AG140="","",INDEX($CI$5:$CI$302,$AH140)),IF($AI140="HDR","Cosmetic Sales",""))))))</f>
        <v/>
      </c>
      <c r="AE140" s="8" t="str" cm="1">
        <f t="array" ref="AE140">IF($AI140="","",IF(LEFT($AI140,2)="C|",IF($C140="","",SUMPRODUCT($AP$5:$AP$302*($AO$5:$AO$302=$A140)*$AQ$5:$AQ$302,$AR$5:$AR$302)),IF($AI140="CT",AE$13,IF(LEFT($AI140,3)="AM|",IF($C140="","",SUMPRODUCT($AP$5:$AP$302*($AN$5:$AN$302=$A140)*$AQ$5:$AQ$302,$AR$5:$AR$302)),IF(LEFT($AI140,2)="S|",IF($AG140="","",IF(INDEX($AQ$5:$AQ$302,$AH140)=1,D140,0)),IF($AI140="HDR","LFL Sales",""))))))</f>
        <v/>
      </c>
      <c r="AF140" s="8" t="str" cm="1">
        <f t="array" ref="AF140">IF($AI140="","",IF(LEFT($AI140,2)="C|",IF($C140="","",SUMPRODUCT($AP$5:$AP$302*($AO$5:$AO$302=$A140)*$AQ$5:$AQ$302,$AS$5:$AS$302)),IF($AI140="CT",AF$13,IF(LEFT($AI140,3)="AM|",IF($C140="","",SUMPRODUCT($AP$5:$AP$302*($AN$5:$AN$302=$A140)*$AQ$5:$AQ$302,$AS$5:$AS$302)),IF(LEFT($AI140,2)="S|",IF($AG140="","",IF(INDEX($AQ$5:$AQ$302,$AH140)=1,P140,0)),IF($AI140="HDR","LFL Trans",""))))))</f>
        <v/>
      </c>
      <c r="AG140" s="8" t="str" cm="1">
        <f t="array" ref="AG140">IF($AI140="","",IF(LEFT($AI140,2)="C|","",IF($AI140="CT","",IF(LEFT($AI140,3)="AM|","",IF(LEFT($AI140,2)="S|",IF($AH140="","",IF(INDEX($AP$5:$AP$302,$AH140)=1,1,"")),IF($AI140="HDR","Show",""))))))</f>
        <v/>
      </c>
      <c r="AH140" s="8" t="str">
        <f t="shared" si="91"/>
        <v/>
      </c>
      <c r="AI140" s="8"/>
      <c r="AN140" s="8" t="str" cm="1">
        <f t="array" ref="AN140">IF($AW140="","",_xlfn.LET(_xlpm.sa,IFERROR(TRIM(INDEX('Sales and count'!$D$4:$D$300,$BF140)&amp;""),""),_xlpm.ta,IFERROR(TRIM(INDEX('TY Sales Target'!$F$5:$F$300,$BG140)&amp;""),""),IF(AND(_xlpm.sa&lt;&gt;"",LEFT(_xlpm.sa,1)&lt;&gt;"#",_xlpm.sa&lt;&gt;"0"),_xlpm.sa,IF(AND(_xlpm.ta&lt;&gt;"",LEFT(_xlpm.ta,1)&lt;&gt;"#",_xlpm.ta&lt;&gt;"0"),_xlpm.ta,IF(ISNUMBER($BG140),"Unassigned","")))))</f>
        <v/>
      </c>
      <c r="AO140" s="8" t="str" cm="1">
        <f t="array" ref="AO140">IF($AW140="","",_xlfn.LET(_xlpm.sa,IFERROR(TRIM(INDEX('Sales and count'!$C$4:$C$300,$BF140)&amp;""),""),_xlpm.ta,IFERROR(TRIM(INDEX('TY Sales Target'!$D$5:$D$300,$BG140)&amp;""),""),IF(AND(_xlpm.sa&lt;&gt;"",LEFT(_xlpm.sa,1)&lt;&gt;"#",_xlpm.sa&lt;&gt;"0"),_xlpm.sa,IF(AND(_xlpm.ta&lt;&gt;"",LEFT(_xlpm.ta,1)&lt;&gt;"#",_xlpm.ta&lt;&gt;"0"),_xlpm.ta,""))))</f>
        <v/>
      </c>
      <c r="AP140" s="8">
        <f t="shared" si="93"/>
        <v>0</v>
      </c>
      <c r="AQ140" s="8">
        <f t="shared" si="94"/>
        <v>0</v>
      </c>
      <c r="AR140" s="8" cm="1">
        <f t="array" ref="AR140">IF($BF140="",0,_xlfn.LET(_xlpm.d,IFERROR(--'Sales and count'!$G$2:$CC$2,0),SUMPRODUCT(('Sales and count'!$G$3:$CC$3="Total")*(_xlpm.d&gt;=$U$4)*(_xlpm.d&lt;=$U$5),INDEX('Sales and count'!$G$4:$CC$300,$BF140,0))))</f>
        <v>0</v>
      </c>
      <c r="AS140" s="8" cm="1">
        <f t="array" ref="AS140">IF($BF140="",0,_xlfn.LET(_xlpm.d,IFERROR(--'Sales and count'!$F$2:$CB$2,0),SUMPRODUCT(('Sales and count'!$G$3:$CC$3="Transactions")*(_xlpm.d&gt;=$U$4)*(_xlpm.d&lt;=$U$5),INDEX('Sales and count'!$G$4:$CC$300,$BF140,0))))</f>
        <v>0</v>
      </c>
      <c r="AT140" s="8" cm="1">
        <f t="array" ref="AT140">IF($AW140="",0,SUMPRODUCT((TRIM('LY Sales '!$B$5:$B$200)=$AW140)*('LY Sales '!$C$2:$AG$2&gt;=EDATE($U$4,-12))*('LY Sales '!$C$2:$AG$2&lt;=EDATE($U$5,-12)),'LY Sales '!$C$5:$AG$200))</f>
        <v>0</v>
      </c>
      <c r="AU140" s="8" cm="1">
        <f t="array" ref="AU140">IF($AW140="",0,SUMPRODUCT((TRIM('LY Transaction'!$B$5:$B$200)=$AW140)*('LY Transaction'!$C$2:$AG$2&gt;=EDATE($U$4,-12))*('LY Transaction'!$C$2:$AG$2&lt;=EDATE($U$5,-12)),'LY Transaction'!$C$5:$AG$200))</f>
        <v>0</v>
      </c>
      <c r="AV140" s="8" cm="1">
        <f t="array" ref="AV140">IF(NOT(ISNUMBER($BG140)),0,SUMPRODUCT(('TY Sales Target'!$K$2:$AO$2&gt;=$U$4)*('TY Sales Target'!$K$2:$AO$2&lt;=$U$5),INDEX('TY Sales Target'!$K$5:$AO$300,$BG140,0)))</f>
        <v>0</v>
      </c>
      <c r="AW140" s="8" t="str" cm="1">
        <f t="array" ref="AW140">IFERROR(INDEX(_xlfn.ANCHORARRAY($BR$5),ROWS($AW$5:AW140)),"")</f>
        <v/>
      </c>
      <c r="BB140" cm="1">
        <f t="array" ref="BB140">IF($AW140="",0,SUMPRODUCT((TRIM(Footfall!$B$5:$B$301)=$AW140)*(Footfall!$C$1:$BZ$1&gt;=$U$4)*(Footfall!$C$2:$BZ$2&lt;=$U$5)*(Footfall!$C$1:$BZ$1&lt;&gt;""),Footfall!$C$5:$BZ$301))</f>
        <v>0</v>
      </c>
      <c r="BC140" cm="1">
        <f t="array" ref="BC140">IF(OR($BB140&lt;=0,$BD$1="",$BF140=""),0,_xlfn.LET(_xlpm.d,IFERROR(--'Sales and count'!$F$2:$CB$2,0),SUMPRODUCT(('Sales and count'!$G$3:$CC$3="Transactions")*(_xlpm.d&gt;=$BD$1)*(_xlpm.d&lt;=$BD$2),INDEX('Sales and count'!$G$4:$CC$300,$BF140,0))))</f>
        <v>0</v>
      </c>
      <c r="BF140" t="str" cm="1">
        <f t="array" ref="BF140">IF($AW140="","",IFERROR(MATCH($AW140,TRIM('Sales and count'!$A$4:$A$300&amp;""),0),""))</f>
        <v/>
      </c>
      <c r="BG140" t="str" cm="1">
        <f t="array" ref="BG140">IF($AW140="","",IFERROR(MATCH(IFERROR(_xlfn.XLOOKUP($AW140,$BT$5:$BT$22,$BU$5:$BU$22),$AW140),TRIM('TY Sales Target'!$B$5:$B$300&amp;""),0),""))</f>
        <v/>
      </c>
      <c r="BH140" t="str" cm="1">
        <f t="array" ref="BH140">IF(ISNUMBER($BG140),_xlfn.LET(_xlpm.p,TRIM(INDEX('TY Sales Target'!$I$5:$I$300,$BG140)&amp;""),IF(_xlpm.p="","Not set",_xlpm.p)),"Not set")</f>
        <v>Not set</v>
      </c>
      <c r="BI140" cm="1">
        <f t="array" ref="BI140">IF($BF140="",0,_xlfn.LET(_xlpm.d,IFERROR(--'Sales and count'!$G$2:$CC$2,0),SUMPRODUCT(('Sales and count'!$G$3:$CC$3="Total")*(_xlpm.d&gt;=$BZ$5)*(_xlpm.d&lt;=$BZ$6),INDEX('Sales and count'!$G$4:$CC$300,$BF140,0))))</f>
        <v>0</v>
      </c>
      <c r="BJ140" cm="1">
        <f t="array" ref="BJ140">IF($AW140="",0,SUMPRODUCT((TRIM('LY Sales '!$B$5:$B$200)=$AW140)*('LY Sales '!$C$2:$AG$2&gt;=EDATE($BZ$5,-12))*('LY Sales '!$C$2:$AG$2&lt;=EDATE($BZ$6,-12)),'LY Sales '!$C$5:$AG$200))</f>
        <v>0</v>
      </c>
      <c r="BK140" cm="1">
        <f t="array" ref="BK140">IF($AW140="",0,SUMPRODUCT((TRIM('LY Sales '!$B$5:$B$200)=$AW140)*('LY Sales '!$C$2:$AG$2&gt;=EDATE($BZ$5,-12))*('LY Sales '!$C$2:$AG$2&lt;=EDATE($BZ$7,-12)),'LY Sales '!$C$5:$AG$200))</f>
        <v>0</v>
      </c>
      <c r="BL140" cm="1">
        <f t="array" ref="BL140">IF($AW140="",0,SUMPRODUCT((TRIM('LY Sales '!$B$5:$B$200)=$AW140)*('LY Sales '!$C$2:$AG$2&gt;=EDATE($BZ$5,-12))*('LY Sales '!$C$2:$AG$2&lt;=EDATE($BZ$6,-12))*('LY Sales '!$C$5:$AG$200&gt;0)))</f>
        <v>0</v>
      </c>
      <c r="BM140" cm="1">
        <f t="array" ref="BM140">IF(NOT(ISNUMBER($BG140)),0,SUMPRODUCT(('TY Sales Target'!$K$2:$AO$2&gt;=$BZ$5)*('TY Sales Target'!$K$2:$AO$2&lt;=$BZ$6),INDEX('TY Sales Target'!$K$5:$AO$300,$BG140,0)))</f>
        <v>0</v>
      </c>
      <c r="BN140" cm="1">
        <f t="array" ref="BN140">IF(NOT(ISNUMBER($BG140)),0,SUMPRODUCT(('TY Sales Target'!$K$2:$AO$2&gt;=$BZ$5)*('TY Sales Target'!$K$2:$AO$2&lt;=$BZ$7),INDEX('TY Sales Target'!$K$5:$AO$300,$BG140,0)))</f>
        <v>0</v>
      </c>
      <c r="BO140" cm="1">
        <f t="array" ref="BO140">IF($AW140="",0,IFERROR(_xlfn.SWITCH($BP140,"LY trend",$BI140*$BK140/$BJ140,"Target curve",$BI140*$BN140/$BM140,"Run rate",$BI140/$BZ$8*$BZ$9,0),0))</f>
        <v>0</v>
      </c>
      <c r="BP140" t="str">
        <f t="shared" si="92"/>
        <v/>
      </c>
      <c r="CB140" cm="1">
        <f t="array" ref="CB140">IF($AW140="",0,_xlfn.LET(_xlpm.k,IFERROR(_xlfn.XLOOKUP($AW140,$CD$6:$CD$21,$CE$6:$CE$21),$AW140),SUMPRODUCT((TRIM('Makeup '!$A$2:$A$300&amp;"")=_xlpm.k)*1,IFERROR('Makeup '!$F$2:$F$300*1,0))))</f>
        <v>0</v>
      </c>
      <c r="CF140" t="str" cm="1">
        <f t="array" ref="CF140">IF($AW140="","",_xlfn.LET(_xlpm.c,IFERROR(TRIM(INDEX('Sales and count'!$B$4:$B$300,$BF140)&amp;""),""),IF(OR(_xlpm.c="",_xlpm.c="0",LEFT(_xlpm.c,1)="#"),"Not set",_xlpm.c)))</f>
        <v/>
      </c>
      <c r="CH140" cm="1">
        <f t="array" ref="CH140">IF($AW140="",0,_xlfn.LET(_xlpm.k,IFERROR(_xlfn.XLOOKUP($AW140,$CD$6:$CD$21,$CE$6:$CE$21),$AW140),--(SUMPRODUCT((TRIM('Makeup '!$A$2:$A$300&amp;"")=_xlpm.k)*ISNUMBER('Makeup '!$F$2:$F$300))&gt;0)))</f>
        <v>0</v>
      </c>
      <c r="CI140">
        <f t="shared" si="95"/>
        <v>0</v>
      </c>
      <c r="CJ140" cm="1">
        <f t="array" ref="CJ140">IF($AW140="",0,--(SUMPRODUCT(--(TRIM(Footfall!$B$5:$B$301)=$AW140))&gt;0))</f>
        <v>0</v>
      </c>
      <c r="CK140" s="8" cm="1">
        <f t="array" ref="CK140">IF($AW140="",0,_xlfn.LET(_xlpm.r,IFERROR(MATCH(IFERROR(_xlfn.XLOOKUP($AW140,$BT$5:$BT$22,$BU$5:$BU$22),$AW140),TRIM('TY Beauty Target'!$B$5:$B$300&amp;""),0),""),IF(ISNUMBER(_xlpm.r),SUMPRODUCT(('TY Beauty Target'!$L$2:$AP$2&gt;=$U$4)*('TY Beauty Target'!$L$2:$AP$2&lt;=$U$5),INDEX('TY Beauty Target'!$L$5:$AP$300,_xlpm.r,0)),0)))</f>
        <v>0</v>
      </c>
    </row>
    <row r="141" spans="1:89" ht="15" customHeight="1" x14ac:dyDescent="0.25">
      <c r="A141" s="38" t="str">
        <f t="shared" si="79"/>
        <v/>
      </c>
      <c r="B141" s="43" t="str" cm="1">
        <f t="array" ref="B141">IF($AI141="","",IF(LEFT($AI141,2)="C|",IF($C141="","",_xlfn.TEXTJOIN(", ",TRUE,_xlfn.UNIQUE(_xlfn._xlws.FILTER($AN$5:$AN$302,($AP$5:$AP$302=1)*($AO$5:$AO$302=$A141))))),IF($AI141="CT",B$13,IF(LEFT($AI141,3)="AM|",IF($C141="","",ROWS(_xlfn.UNIQUE(_xlfn._xlws.FILTER($AO$5:$AO$302,($AP$5:$AP$302=1)*($AN$5:$AN$302=$A141))))),IF(LEFT($AI141,2)="S|",IF($AG141="","",INDEX($AO$5:$AO$302,$AH141)),IF($AI141="HDR","City",""))))))</f>
        <v/>
      </c>
      <c r="C141" s="39" t="str" cm="1">
        <f t="array" ref="C141">IF($AI141="","",IF(LEFT($AI141,2)="C|",_xlfn.LET(_xlpm.n,SUMPRODUCT($AP$5:$AP$302*($AO$5:$AO$302=$A141)),IF(_xlpm.n=0,"",_xlpm.n)),IF($AI141="CT",C$13,IF(LEFT($AI141,3)="AM|",_xlfn.LET(_xlpm.n,SUMPRODUCT($AP$5:$AP$302*($AN$5:$AN$302=$A141)),IF(_xlpm.n=0,"",_xlpm.n)),IF(LEFT($AI141,2)="S|","",IF($AI141="HDR","# Stores",""))))))</f>
        <v/>
      </c>
      <c r="D141" s="40" t="str" cm="1">
        <f t="array" ref="D141">IF($AI141="","",IF(LEFT($AI141,2)="C|",IF($C141="","",SUMPRODUCT($AP$5:$AP$302*($AO$5:$AO$302=$A141),$AR$5:$AR$302)),IF($AI141="CT",D$13,IF(LEFT($AI141,3)="AM|",IF($C141="","",SUMPRODUCT($AP$5:$AP$302*($AN$5:$AN$302=$A141),$AR$5:$AR$302)),IF(LEFT($AI141,2)="S|",IF($AG141="","",INDEX($AR$5:$AR$302,$AH141)),IF($AI141="HDR","Sales TY",""))))))</f>
        <v/>
      </c>
      <c r="E141" s="40" t="str" cm="1">
        <f t="array" ref="E141">IF($AI141="","",IF(LEFT($AI141,2)="C|",IF($C141="","",SUMPRODUCT($AP$5:$AP$302*($AO$5:$AO$302=$A141),$AT$5:$AT$302)),IF($AI141="CT",E$13,IF(LEFT($AI141,3)="AM|",IF($C141="","",SUMPRODUCT($AP$5:$AP$302*($AN$5:$AN$302=$A141),$AT$5:$AT$302)),IF(LEFT($AI141,2)="S|",IF($AG141="","",INDEX($AT$5:$AT$302,$AH141)),IF($AI141="HDR","Sales LY",""))))))</f>
        <v/>
      </c>
      <c r="F141" s="41" t="str">
        <f t="shared" si="80"/>
        <v/>
      </c>
      <c r="G141" s="41" t="str">
        <f t="shared" si="81"/>
        <v/>
      </c>
      <c r="H141" s="40" t="str" cm="1">
        <f t="array" ref="H141">IF($AI141="","",IF(LEFT($AI141,2)="C|",IF($C141="","",SUMPRODUCT($AP$5:$AP$302*($AO$5:$AO$302=$A141),$AV$5:$AV$302)),IF($AI141="CT",H$13,IF(LEFT($AI141,3)="AM|",IF($C141="","",SUMPRODUCT($AP$5:$AP$302*($AN$5:$AN$302=$A141),$AV$5:$AV$302)),IF(LEFT($AI141,2)="S|",IF($AG141="","",INDEX($AV$5:$AV$302,$AH141)),IF($AI141="HDR","Target",""))))))</f>
        <v/>
      </c>
      <c r="I141" s="41" t="str">
        <f t="shared" si="82"/>
        <v/>
      </c>
      <c r="J141" s="40" t="str">
        <f t="shared" si="83"/>
        <v/>
      </c>
      <c r="K141" s="41" t="str">
        <f t="shared" si="84"/>
        <v/>
      </c>
      <c r="L141" s="40" t="str" cm="1">
        <f t="array" ref="L141">IF($AI141="","",IF(LEFT($AI141,2)="C|",IF($C141="","",SUMPRODUCT($AP$5:$AP$302*($AO$5:$AO$302=$A141),$BN$5:$BN$302)),IF($AI141="CT",L$13,IF(LEFT($AI141,3)="AM|",IF($C141="","",SUMPRODUCT($AP$5:$AP$302*($AN$5:$AN$302=$A141),$BN$5:$BN$302)),IF(LEFT($AI141,2)="S|",IF($AG141="","",INDEX($BN$5:$BN$302,$AH141)),IF($AI141="HDR","Month Target",""))))))</f>
        <v/>
      </c>
      <c r="M141" s="40" t="str" cm="1">
        <f t="array" ref="M141">IF($AI141="","",IF(LEFT($AI141,2)="C|",IF($C141="","",SUMPRODUCT($AP$5:$AP$302*($AO$5:$AO$302=$A141),$BO$5:$BO$302)),IF($AI141="CT",M$13,IF(LEFT($AI141,3)="AM|",IF($C141="","",SUMPRODUCT($AP$5:$AP$302*($AN$5:$AN$302=$A141),$BO$5:$BO$302)),IF(LEFT($AI141,2)="S|",IF($AG141="","",INDEX($BO$5:$BO$302,$AH141)),IF($AI141="HDR","Projected Close",""))))))</f>
        <v/>
      </c>
      <c r="N141" s="41" t="str">
        <f t="shared" si="76"/>
        <v/>
      </c>
      <c r="O141" s="41" t="str" cm="1">
        <f t="array" ref="O141">IF($AI141="HDR","Proj. vs LY",IF(OR($AI141="",M141=""),"",_xlfn.LET(_xlpm.ly,IF(LEFT($AI141,2)="C|",SUMPRODUCT($AP$5:$AP$302*($AO$5:$AO$302=$A141),$BK$5:$BK$302),IF($AI141="CT",SUMPRODUCT($AP$5:$AP$302,$BK$5:$BK$302),IF(LEFT($AI141,3)="AM|",SUMPRODUCT($AP$5:$AP$302*($AN$5:$AN$302=$A141),$BK$5:$BK$302),IF(LEFT($AI141,2)="S|",INDEX($BK$5:$BK$302,$AH141),0)))),IFERROR(M141/_xlpm.ly-1,""))))</f>
        <v/>
      </c>
      <c r="P141" s="40" t="str" cm="1">
        <f t="array" ref="P141">IF($AI141="","",IF(LEFT($AI141,2)="C|",IF($C141="","",SUMPRODUCT($AP$5:$AP$302*($AO$5:$AO$302=$A141),$AS$5:$AS$302)),IF($AI141="CT",P$13,IF(LEFT($AI141,3)="AM|",IF($C141="","",SUMPRODUCT($AP$5:$AP$302*($AN$5:$AN$302=$A141),$AS$5:$AS$302)),IF(LEFT($AI141,2)="S|",IF($AG141="","",INDEX($AS$5:$AS$302,$AH141)),IF($AI141="HDR","Trans TY",""))))))</f>
        <v/>
      </c>
      <c r="Q141" s="40" t="str" cm="1">
        <f t="array" ref="Q141">IF($AI141="","",IF(LEFT($AI141,2)="C|",IF($C141="","",SUMPRODUCT($AP$5:$AP$302*($AO$5:$AO$302=$A141),$AU$5:$AU$302)),IF($AI141="CT",Q$13,IF(LEFT($AI141,3)="AM|",IF($C141="","",SUMPRODUCT($AP$5:$AP$302*($AN$5:$AN$302=$A141),$AU$5:$AU$302)),IF(LEFT($AI141,2)="S|",IF($AG141="","",INDEX($AU$5:$AU$302,$AH141)),IF($AI141="HDR","Trans LY",""))))))</f>
        <v/>
      </c>
      <c r="R141" s="41" t="str">
        <f t="shared" si="85"/>
        <v/>
      </c>
      <c r="S141" s="41" t="str">
        <f t="shared" si="86"/>
        <v/>
      </c>
      <c r="T141" s="42" t="str">
        <f t="shared" si="87"/>
        <v/>
      </c>
      <c r="U141" s="42" t="str">
        <f t="shared" si="88"/>
        <v/>
      </c>
      <c r="V141" s="41" t="str">
        <f t="shared" si="89"/>
        <v/>
      </c>
      <c r="W141" s="40" t="str" cm="1">
        <f t="array" ref="W141">IF($AI141="","",IF(LEFT($AI141,2)="C|",_xlfn.LET(_xlpm.n,SUMPRODUCT($AP$5:$AP$302*($AO$5:$AO$302=$A141),$BB$5:$BB$302),IF(_xlpm.n=0,"",_xlpm.n)),IF($AI141="CT",W$13,IF(LEFT($AI141,3)="AM|",_xlfn.LET(_xlpm.n,SUMPRODUCT($AP$5:$AP$302*($AN$5:$AN$302=$A141),$BB$5:$BB$302),IF(_xlpm.n=0,"",_xlpm.n)),IF(LEFT($AI141,2)="S|",IF($AG141="","",_xlfn.LET(_xlpm.n,INDEX($BB$5:$BB$302,$AH141),IF(_xlpm.n=0,"",_xlpm.n))),IF($AI141="HDR","Footfall",""))))))</f>
        <v/>
      </c>
      <c r="X141" s="40" t="str" cm="1">
        <f t="array" ref="X141">IF($AI141="","",IF($AI141="HDR","Trans (FF stores)",IF(W141="","",IF(LEFT($AI141,2)="C|",SUMPRODUCT($AP$5:$AP$302*($AO$5:$AO$302=$A141),$BC$5:$BC$302),IF($AI141="CT",X$13,IF(LEFT($AI141,3)="AM|",SUMPRODUCT($AP$5:$AP$302*($AN$5:$AN$302=$A141),$BC$5:$BC$302),IF(LEFT($AI141,2)="S|",INDEX($BC$5:$BC$302,$AH141),"")))))))</f>
        <v/>
      </c>
      <c r="Y141" s="41" t="str">
        <f t="shared" si="77"/>
        <v/>
      </c>
      <c r="Z141" s="40" t="str" cm="1">
        <f t="array" ref="Z141">IF($AI141="","",IF(LEFT($AI141,2)="C|",IF($C141="","",SUMPRODUCT($AP$5:$AP$302*($AO$5:$AO$302=$A141),$CB$5:$CB$302)),IF($AI141="CT",Z$13,IF(LEFT($AI141,3)="AM|",IF($C141="","",SUMPRODUCT($AP$5:$AP$302*($AN$5:$AN$302=$A141),$CB$5:$CB$302)),IF(LEFT($AI141,2)="S|",IF($AG141="","",INDEX($CB$5:$CB$302,$AH141)),IF($AI141="HDR","Makeup Sales",""))))))</f>
        <v/>
      </c>
      <c r="AA141" s="41" t="str">
        <f t="shared" si="90"/>
        <v/>
      </c>
      <c r="AB141" s="40" t="str" cm="1">
        <f t="array" ref="AB141">IF($AI141="","",IF(LEFT($AI141,2)="C|",IF($C141="","",SUMPRODUCT($AP$5:$AP$302*($AO$5:$AO$302=$A141),$CK$5:$CK$302)),IF($AI141="CT",AB$13,IF(LEFT($AI141,3)="AM|",IF($C141="","",SUMPRODUCT($AP$5:$AP$302*($AN$5:$AN$302=$A141),$CK$5:$CK$302)),IF(LEFT($AI141,2)="S|",IF($AG141="","",INDEX($CK$5:$CK$302,$AH141)),IF($AI141="HDR","Makeup Target",""))))))</f>
        <v/>
      </c>
      <c r="AC141" s="41" t="str">
        <f t="shared" si="78"/>
        <v/>
      </c>
      <c r="AD141" s="40" t="str" cm="1">
        <f t="array" ref="AD141">IF($AI141="","",IF(LEFT($AI141,2)="C|",IF($C141="","",SUMPRODUCT($AP$5:$AP$302*($AO$5:$AO$302=$A141),$CI$5:$CI$302)),IF($AI141="CT",AD$13,IF(LEFT($AI141,3)="AM|",IF($C141="","",SUMPRODUCT($AP$5:$AP$302*($AN$5:$AN$302=$A141),$CI$5:$CI$302)),IF(LEFT($AI141,2)="S|",IF($AG141="","",INDEX($CI$5:$CI$302,$AH141)),IF($AI141="HDR","Cosmetic Sales",""))))))</f>
        <v/>
      </c>
      <c r="AE141" s="8" t="str" cm="1">
        <f t="array" ref="AE141">IF($AI141="","",IF(LEFT($AI141,2)="C|",IF($C141="","",SUMPRODUCT($AP$5:$AP$302*($AO$5:$AO$302=$A141)*$AQ$5:$AQ$302,$AR$5:$AR$302)),IF($AI141="CT",AE$13,IF(LEFT($AI141,3)="AM|",IF($C141="","",SUMPRODUCT($AP$5:$AP$302*($AN$5:$AN$302=$A141)*$AQ$5:$AQ$302,$AR$5:$AR$302)),IF(LEFT($AI141,2)="S|",IF($AG141="","",IF(INDEX($AQ$5:$AQ$302,$AH141)=1,D141,0)),IF($AI141="HDR","LFL Sales",""))))))</f>
        <v/>
      </c>
      <c r="AF141" s="8" t="str" cm="1">
        <f t="array" ref="AF141">IF($AI141="","",IF(LEFT($AI141,2)="C|",IF($C141="","",SUMPRODUCT($AP$5:$AP$302*($AO$5:$AO$302=$A141)*$AQ$5:$AQ$302,$AS$5:$AS$302)),IF($AI141="CT",AF$13,IF(LEFT($AI141,3)="AM|",IF($C141="","",SUMPRODUCT($AP$5:$AP$302*($AN$5:$AN$302=$A141)*$AQ$5:$AQ$302,$AS$5:$AS$302)),IF(LEFT($AI141,2)="S|",IF($AG141="","",IF(INDEX($AQ$5:$AQ$302,$AH141)=1,P141,0)),IF($AI141="HDR","LFL Trans",""))))))</f>
        <v/>
      </c>
      <c r="AG141" s="8" t="str" cm="1">
        <f t="array" ref="AG141">IF($AI141="","",IF(LEFT($AI141,2)="C|","",IF($AI141="CT","",IF(LEFT($AI141,3)="AM|","",IF(LEFT($AI141,2)="S|",IF($AH141="","",IF(INDEX($AP$5:$AP$302,$AH141)=1,1,"")),IF($AI141="HDR","Show",""))))))</f>
        <v/>
      </c>
      <c r="AH141" s="8" t="str">
        <f t="shared" si="91"/>
        <v/>
      </c>
      <c r="AI141" s="8"/>
      <c r="AN141" s="8" t="str" cm="1">
        <f t="array" ref="AN141">IF($AW141="","",_xlfn.LET(_xlpm.sa,IFERROR(TRIM(INDEX('Sales and count'!$D$4:$D$300,$BF141)&amp;""),""),_xlpm.ta,IFERROR(TRIM(INDEX('TY Sales Target'!$F$5:$F$300,$BG141)&amp;""),""),IF(AND(_xlpm.sa&lt;&gt;"",LEFT(_xlpm.sa,1)&lt;&gt;"#",_xlpm.sa&lt;&gt;"0"),_xlpm.sa,IF(AND(_xlpm.ta&lt;&gt;"",LEFT(_xlpm.ta,1)&lt;&gt;"#",_xlpm.ta&lt;&gt;"0"),_xlpm.ta,IF(ISNUMBER($BG141),"Unassigned","")))))</f>
        <v/>
      </c>
      <c r="AO141" s="8" t="str" cm="1">
        <f t="array" ref="AO141">IF($AW141="","",_xlfn.LET(_xlpm.sa,IFERROR(TRIM(INDEX('Sales and count'!$C$4:$C$300,$BF141)&amp;""),""),_xlpm.ta,IFERROR(TRIM(INDEX('TY Sales Target'!$D$5:$D$300,$BG141)&amp;""),""),IF(AND(_xlpm.sa&lt;&gt;"",LEFT(_xlpm.sa,1)&lt;&gt;"#",_xlpm.sa&lt;&gt;"0"),_xlpm.sa,IF(AND(_xlpm.ta&lt;&gt;"",LEFT(_xlpm.ta,1)&lt;&gt;"#",_xlpm.ta&lt;&gt;"0"),_xlpm.ta,""))))</f>
        <v/>
      </c>
      <c r="AP141" s="8">
        <f t="shared" si="93"/>
        <v>0</v>
      </c>
      <c r="AQ141" s="8">
        <f t="shared" si="94"/>
        <v>0</v>
      </c>
      <c r="AR141" s="8" cm="1">
        <f t="array" ref="AR141">IF($BF141="",0,_xlfn.LET(_xlpm.d,IFERROR(--'Sales and count'!$G$2:$CC$2,0),SUMPRODUCT(('Sales and count'!$G$3:$CC$3="Total")*(_xlpm.d&gt;=$U$4)*(_xlpm.d&lt;=$U$5),INDEX('Sales and count'!$G$4:$CC$300,$BF141,0))))</f>
        <v>0</v>
      </c>
      <c r="AS141" s="8" cm="1">
        <f t="array" ref="AS141">IF($BF141="",0,_xlfn.LET(_xlpm.d,IFERROR(--'Sales and count'!$F$2:$CB$2,0),SUMPRODUCT(('Sales and count'!$G$3:$CC$3="Transactions")*(_xlpm.d&gt;=$U$4)*(_xlpm.d&lt;=$U$5),INDEX('Sales and count'!$G$4:$CC$300,$BF141,0))))</f>
        <v>0</v>
      </c>
      <c r="AT141" s="8" cm="1">
        <f t="array" ref="AT141">IF($AW141="",0,SUMPRODUCT((TRIM('LY Sales '!$B$5:$B$200)=$AW141)*('LY Sales '!$C$2:$AG$2&gt;=EDATE($U$4,-12))*('LY Sales '!$C$2:$AG$2&lt;=EDATE($U$5,-12)),'LY Sales '!$C$5:$AG$200))</f>
        <v>0</v>
      </c>
      <c r="AU141" s="8" cm="1">
        <f t="array" ref="AU141">IF($AW141="",0,SUMPRODUCT((TRIM('LY Transaction'!$B$5:$B$200)=$AW141)*('LY Transaction'!$C$2:$AG$2&gt;=EDATE($U$4,-12))*('LY Transaction'!$C$2:$AG$2&lt;=EDATE($U$5,-12)),'LY Transaction'!$C$5:$AG$200))</f>
        <v>0</v>
      </c>
      <c r="AV141" s="8" cm="1">
        <f t="array" ref="AV141">IF(NOT(ISNUMBER($BG141)),0,SUMPRODUCT(('TY Sales Target'!$K$2:$AO$2&gt;=$U$4)*('TY Sales Target'!$K$2:$AO$2&lt;=$U$5),INDEX('TY Sales Target'!$K$5:$AO$300,$BG141,0)))</f>
        <v>0</v>
      </c>
      <c r="AW141" s="8" t="str" cm="1">
        <f t="array" ref="AW141">IFERROR(INDEX(_xlfn.ANCHORARRAY($BR$5),ROWS($AW$5:AW141)),"")</f>
        <v/>
      </c>
      <c r="BB141" cm="1">
        <f t="array" ref="BB141">IF($AW141="",0,SUMPRODUCT((TRIM(Footfall!$B$5:$B$301)=$AW141)*(Footfall!$C$1:$BZ$1&gt;=$U$4)*(Footfall!$C$2:$BZ$2&lt;=$U$5)*(Footfall!$C$1:$BZ$1&lt;&gt;""),Footfall!$C$5:$BZ$301))</f>
        <v>0</v>
      </c>
      <c r="BC141" cm="1">
        <f t="array" ref="BC141">IF(OR($BB141&lt;=0,$BD$1="",$BF141=""),0,_xlfn.LET(_xlpm.d,IFERROR(--'Sales and count'!$F$2:$CB$2,0),SUMPRODUCT(('Sales and count'!$G$3:$CC$3="Transactions")*(_xlpm.d&gt;=$BD$1)*(_xlpm.d&lt;=$BD$2),INDEX('Sales and count'!$G$4:$CC$300,$BF141,0))))</f>
        <v>0</v>
      </c>
      <c r="BF141" t="str" cm="1">
        <f t="array" ref="BF141">IF($AW141="","",IFERROR(MATCH($AW141,TRIM('Sales and count'!$A$4:$A$300&amp;""),0),""))</f>
        <v/>
      </c>
      <c r="BG141" t="str" cm="1">
        <f t="array" ref="BG141">IF($AW141="","",IFERROR(MATCH(IFERROR(_xlfn.XLOOKUP($AW141,$BT$5:$BT$22,$BU$5:$BU$22),$AW141),TRIM('TY Sales Target'!$B$5:$B$300&amp;""),0),""))</f>
        <v/>
      </c>
      <c r="BH141" t="str" cm="1">
        <f t="array" ref="BH141">IF(ISNUMBER($BG141),_xlfn.LET(_xlpm.p,TRIM(INDEX('TY Sales Target'!$I$5:$I$300,$BG141)&amp;""),IF(_xlpm.p="","Not set",_xlpm.p)),"Not set")</f>
        <v>Not set</v>
      </c>
      <c r="BI141" cm="1">
        <f t="array" ref="BI141">IF($BF141="",0,_xlfn.LET(_xlpm.d,IFERROR(--'Sales and count'!$G$2:$CC$2,0),SUMPRODUCT(('Sales and count'!$G$3:$CC$3="Total")*(_xlpm.d&gt;=$BZ$5)*(_xlpm.d&lt;=$BZ$6),INDEX('Sales and count'!$G$4:$CC$300,$BF141,0))))</f>
        <v>0</v>
      </c>
      <c r="BJ141" cm="1">
        <f t="array" ref="BJ141">IF($AW141="",0,SUMPRODUCT((TRIM('LY Sales '!$B$5:$B$200)=$AW141)*('LY Sales '!$C$2:$AG$2&gt;=EDATE($BZ$5,-12))*('LY Sales '!$C$2:$AG$2&lt;=EDATE($BZ$6,-12)),'LY Sales '!$C$5:$AG$200))</f>
        <v>0</v>
      </c>
      <c r="BK141" cm="1">
        <f t="array" ref="BK141">IF($AW141="",0,SUMPRODUCT((TRIM('LY Sales '!$B$5:$B$200)=$AW141)*('LY Sales '!$C$2:$AG$2&gt;=EDATE($BZ$5,-12))*('LY Sales '!$C$2:$AG$2&lt;=EDATE($BZ$7,-12)),'LY Sales '!$C$5:$AG$200))</f>
        <v>0</v>
      </c>
      <c r="BL141" cm="1">
        <f t="array" ref="BL141">IF($AW141="",0,SUMPRODUCT((TRIM('LY Sales '!$B$5:$B$200)=$AW141)*('LY Sales '!$C$2:$AG$2&gt;=EDATE($BZ$5,-12))*('LY Sales '!$C$2:$AG$2&lt;=EDATE($BZ$6,-12))*('LY Sales '!$C$5:$AG$200&gt;0)))</f>
        <v>0</v>
      </c>
      <c r="BM141" cm="1">
        <f t="array" ref="BM141">IF(NOT(ISNUMBER($BG141)),0,SUMPRODUCT(('TY Sales Target'!$K$2:$AO$2&gt;=$BZ$5)*('TY Sales Target'!$K$2:$AO$2&lt;=$BZ$6),INDEX('TY Sales Target'!$K$5:$AO$300,$BG141,0)))</f>
        <v>0</v>
      </c>
      <c r="BN141" cm="1">
        <f t="array" ref="BN141">IF(NOT(ISNUMBER($BG141)),0,SUMPRODUCT(('TY Sales Target'!$K$2:$AO$2&gt;=$BZ$5)*('TY Sales Target'!$K$2:$AO$2&lt;=$BZ$7),INDEX('TY Sales Target'!$K$5:$AO$300,$BG141,0)))</f>
        <v>0</v>
      </c>
      <c r="BO141" cm="1">
        <f t="array" ref="BO141">IF($AW141="",0,IFERROR(_xlfn.SWITCH($BP141,"LY trend",$BI141*$BK141/$BJ141,"Target curve",$BI141*$BN141/$BM141,"Run rate",$BI141/$BZ$8*$BZ$9,0),0))</f>
        <v>0</v>
      </c>
      <c r="BP141" t="str">
        <f t="shared" si="92"/>
        <v/>
      </c>
      <c r="CB141" cm="1">
        <f t="array" ref="CB141">IF($AW141="",0,_xlfn.LET(_xlpm.k,IFERROR(_xlfn.XLOOKUP($AW141,$CD$6:$CD$21,$CE$6:$CE$21),$AW141),SUMPRODUCT((TRIM('Makeup '!$A$2:$A$300&amp;"")=_xlpm.k)*1,IFERROR('Makeup '!$F$2:$F$300*1,0))))</f>
        <v>0</v>
      </c>
      <c r="CF141" t="str" cm="1">
        <f t="array" ref="CF141">IF($AW141="","",_xlfn.LET(_xlpm.c,IFERROR(TRIM(INDEX('Sales and count'!$B$4:$B$300,$BF141)&amp;""),""),IF(OR(_xlpm.c="",_xlpm.c="0",LEFT(_xlpm.c,1)="#"),"Not set",_xlpm.c)))</f>
        <v/>
      </c>
      <c r="CH141" cm="1">
        <f t="array" ref="CH141">IF($AW141="",0,_xlfn.LET(_xlpm.k,IFERROR(_xlfn.XLOOKUP($AW141,$CD$6:$CD$21,$CE$6:$CE$21),$AW141),--(SUMPRODUCT((TRIM('Makeup '!$A$2:$A$300&amp;"")=_xlpm.k)*ISNUMBER('Makeup '!$F$2:$F$300))&gt;0)))</f>
        <v>0</v>
      </c>
      <c r="CI141">
        <f t="shared" si="95"/>
        <v>0</v>
      </c>
      <c r="CJ141" cm="1">
        <f t="array" ref="CJ141">IF($AW141="",0,--(SUMPRODUCT(--(TRIM(Footfall!$B$5:$B$301)=$AW141))&gt;0))</f>
        <v>0</v>
      </c>
      <c r="CK141" s="8" cm="1">
        <f t="array" ref="CK141">IF($AW141="",0,_xlfn.LET(_xlpm.r,IFERROR(MATCH(IFERROR(_xlfn.XLOOKUP($AW141,$BT$5:$BT$22,$BU$5:$BU$22),$AW141),TRIM('TY Beauty Target'!$B$5:$B$300&amp;""),0),""),IF(ISNUMBER(_xlpm.r),SUMPRODUCT(('TY Beauty Target'!$L$2:$AP$2&gt;=$U$4)*('TY Beauty Target'!$L$2:$AP$2&lt;=$U$5),INDEX('TY Beauty Target'!$L$5:$AP$300,_xlpm.r,0)),0)))</f>
        <v>0</v>
      </c>
    </row>
    <row r="142" spans="1:89" ht="15" customHeight="1" x14ac:dyDescent="0.25">
      <c r="A142" s="38" t="str">
        <f t="shared" si="79"/>
        <v/>
      </c>
      <c r="B142" s="43" t="str" cm="1">
        <f t="array" ref="B142">IF($AI142="","",IF(LEFT($AI142,2)="C|",IF($C142="","",_xlfn.TEXTJOIN(", ",TRUE,_xlfn.UNIQUE(_xlfn._xlws.FILTER($AN$5:$AN$302,($AP$5:$AP$302=1)*($AO$5:$AO$302=$A142))))),IF($AI142="CT",B$13,IF(LEFT($AI142,3)="AM|",IF($C142="","",ROWS(_xlfn.UNIQUE(_xlfn._xlws.FILTER($AO$5:$AO$302,($AP$5:$AP$302=1)*($AN$5:$AN$302=$A142))))),IF(LEFT($AI142,2)="S|",IF($AG142="","",INDEX($AO$5:$AO$302,$AH142)),IF($AI142="HDR","City",""))))))</f>
        <v/>
      </c>
      <c r="C142" s="39" t="str" cm="1">
        <f t="array" ref="C142">IF($AI142="","",IF(LEFT($AI142,2)="C|",_xlfn.LET(_xlpm.n,SUMPRODUCT($AP$5:$AP$302*($AO$5:$AO$302=$A142)),IF(_xlpm.n=0,"",_xlpm.n)),IF($AI142="CT",C$13,IF(LEFT($AI142,3)="AM|",_xlfn.LET(_xlpm.n,SUMPRODUCT($AP$5:$AP$302*($AN$5:$AN$302=$A142)),IF(_xlpm.n=0,"",_xlpm.n)),IF(LEFT($AI142,2)="S|","",IF($AI142="HDR","# Stores",""))))))</f>
        <v/>
      </c>
      <c r="D142" s="40" t="str" cm="1">
        <f t="array" ref="D142">IF($AI142="","",IF(LEFT($AI142,2)="C|",IF($C142="","",SUMPRODUCT($AP$5:$AP$302*($AO$5:$AO$302=$A142),$AR$5:$AR$302)),IF($AI142="CT",D$13,IF(LEFT($AI142,3)="AM|",IF($C142="","",SUMPRODUCT($AP$5:$AP$302*($AN$5:$AN$302=$A142),$AR$5:$AR$302)),IF(LEFT($AI142,2)="S|",IF($AG142="","",INDEX($AR$5:$AR$302,$AH142)),IF($AI142="HDR","Sales TY",""))))))</f>
        <v/>
      </c>
      <c r="E142" s="40" t="str" cm="1">
        <f t="array" ref="E142">IF($AI142="","",IF(LEFT($AI142,2)="C|",IF($C142="","",SUMPRODUCT($AP$5:$AP$302*($AO$5:$AO$302=$A142),$AT$5:$AT$302)),IF($AI142="CT",E$13,IF(LEFT($AI142,3)="AM|",IF($C142="","",SUMPRODUCT($AP$5:$AP$302*($AN$5:$AN$302=$A142),$AT$5:$AT$302)),IF(LEFT($AI142,2)="S|",IF($AG142="","",INDEX($AT$5:$AT$302,$AH142)),IF($AI142="HDR","Sales LY",""))))))</f>
        <v/>
      </c>
      <c r="F142" s="41" t="str">
        <f t="shared" si="80"/>
        <v/>
      </c>
      <c r="G142" s="41" t="str">
        <f t="shared" si="81"/>
        <v/>
      </c>
      <c r="H142" s="40" t="str" cm="1">
        <f t="array" ref="H142">IF($AI142="","",IF(LEFT($AI142,2)="C|",IF($C142="","",SUMPRODUCT($AP$5:$AP$302*($AO$5:$AO$302=$A142),$AV$5:$AV$302)),IF($AI142="CT",H$13,IF(LEFT($AI142,3)="AM|",IF($C142="","",SUMPRODUCT($AP$5:$AP$302*($AN$5:$AN$302=$A142),$AV$5:$AV$302)),IF(LEFT($AI142,2)="S|",IF($AG142="","",INDEX($AV$5:$AV$302,$AH142)),IF($AI142="HDR","Target",""))))))</f>
        <v/>
      </c>
      <c r="I142" s="41" t="str">
        <f t="shared" si="82"/>
        <v/>
      </c>
      <c r="J142" s="40" t="str">
        <f t="shared" si="83"/>
        <v/>
      </c>
      <c r="K142" s="41" t="str">
        <f t="shared" si="84"/>
        <v/>
      </c>
      <c r="L142" s="40" t="str" cm="1">
        <f t="array" ref="L142">IF($AI142="","",IF(LEFT($AI142,2)="C|",IF($C142="","",SUMPRODUCT($AP$5:$AP$302*($AO$5:$AO$302=$A142),$BN$5:$BN$302)),IF($AI142="CT",L$13,IF(LEFT($AI142,3)="AM|",IF($C142="","",SUMPRODUCT($AP$5:$AP$302*($AN$5:$AN$302=$A142),$BN$5:$BN$302)),IF(LEFT($AI142,2)="S|",IF($AG142="","",INDEX($BN$5:$BN$302,$AH142)),IF($AI142="HDR","Month Target",""))))))</f>
        <v/>
      </c>
      <c r="M142" s="40" t="str" cm="1">
        <f t="array" ref="M142">IF($AI142="","",IF(LEFT($AI142,2)="C|",IF($C142="","",SUMPRODUCT($AP$5:$AP$302*($AO$5:$AO$302=$A142),$BO$5:$BO$302)),IF($AI142="CT",M$13,IF(LEFT($AI142,3)="AM|",IF($C142="","",SUMPRODUCT($AP$5:$AP$302*($AN$5:$AN$302=$A142),$BO$5:$BO$302)),IF(LEFT($AI142,2)="S|",IF($AG142="","",INDEX($BO$5:$BO$302,$AH142)),IF($AI142="HDR","Projected Close",""))))))</f>
        <v/>
      </c>
      <c r="N142" s="41" t="str">
        <f t="shared" si="76"/>
        <v/>
      </c>
      <c r="O142" s="41" t="str" cm="1">
        <f t="array" ref="O142">IF($AI142="HDR","Proj. vs LY",IF(OR($AI142="",M142=""),"",_xlfn.LET(_xlpm.ly,IF(LEFT($AI142,2)="C|",SUMPRODUCT($AP$5:$AP$302*($AO$5:$AO$302=$A142),$BK$5:$BK$302),IF($AI142="CT",SUMPRODUCT($AP$5:$AP$302,$BK$5:$BK$302),IF(LEFT($AI142,3)="AM|",SUMPRODUCT($AP$5:$AP$302*($AN$5:$AN$302=$A142),$BK$5:$BK$302),IF(LEFT($AI142,2)="S|",INDEX($BK$5:$BK$302,$AH142),0)))),IFERROR(M142/_xlpm.ly-1,""))))</f>
        <v/>
      </c>
      <c r="P142" s="40" t="str" cm="1">
        <f t="array" ref="P142">IF($AI142="","",IF(LEFT($AI142,2)="C|",IF($C142="","",SUMPRODUCT($AP$5:$AP$302*($AO$5:$AO$302=$A142),$AS$5:$AS$302)),IF($AI142="CT",P$13,IF(LEFT($AI142,3)="AM|",IF($C142="","",SUMPRODUCT($AP$5:$AP$302*($AN$5:$AN$302=$A142),$AS$5:$AS$302)),IF(LEFT($AI142,2)="S|",IF($AG142="","",INDEX($AS$5:$AS$302,$AH142)),IF($AI142="HDR","Trans TY",""))))))</f>
        <v/>
      </c>
      <c r="Q142" s="40" t="str" cm="1">
        <f t="array" ref="Q142">IF($AI142="","",IF(LEFT($AI142,2)="C|",IF($C142="","",SUMPRODUCT($AP$5:$AP$302*($AO$5:$AO$302=$A142),$AU$5:$AU$302)),IF($AI142="CT",Q$13,IF(LEFT($AI142,3)="AM|",IF($C142="","",SUMPRODUCT($AP$5:$AP$302*($AN$5:$AN$302=$A142),$AU$5:$AU$302)),IF(LEFT($AI142,2)="S|",IF($AG142="","",INDEX($AU$5:$AU$302,$AH142)),IF($AI142="HDR","Trans LY",""))))))</f>
        <v/>
      </c>
      <c r="R142" s="41" t="str">
        <f t="shared" si="85"/>
        <v/>
      </c>
      <c r="S142" s="41" t="str">
        <f t="shared" si="86"/>
        <v/>
      </c>
      <c r="T142" s="42" t="str">
        <f t="shared" si="87"/>
        <v/>
      </c>
      <c r="U142" s="42" t="str">
        <f t="shared" si="88"/>
        <v/>
      </c>
      <c r="V142" s="41" t="str">
        <f t="shared" si="89"/>
        <v/>
      </c>
      <c r="W142" s="40" t="str" cm="1">
        <f t="array" ref="W142">IF($AI142="","",IF(LEFT($AI142,2)="C|",_xlfn.LET(_xlpm.n,SUMPRODUCT($AP$5:$AP$302*($AO$5:$AO$302=$A142),$BB$5:$BB$302),IF(_xlpm.n=0,"",_xlpm.n)),IF($AI142="CT",W$13,IF(LEFT($AI142,3)="AM|",_xlfn.LET(_xlpm.n,SUMPRODUCT($AP$5:$AP$302*($AN$5:$AN$302=$A142),$BB$5:$BB$302),IF(_xlpm.n=0,"",_xlpm.n)),IF(LEFT($AI142,2)="S|",IF($AG142="","",_xlfn.LET(_xlpm.n,INDEX($BB$5:$BB$302,$AH142),IF(_xlpm.n=0,"",_xlpm.n))),IF($AI142="HDR","Footfall",""))))))</f>
        <v/>
      </c>
      <c r="X142" s="40" t="str" cm="1">
        <f t="array" ref="X142">IF($AI142="","",IF($AI142="HDR","Trans (FF stores)",IF(W142="","",IF(LEFT($AI142,2)="C|",SUMPRODUCT($AP$5:$AP$302*($AO$5:$AO$302=$A142),$BC$5:$BC$302),IF($AI142="CT",X$13,IF(LEFT($AI142,3)="AM|",SUMPRODUCT($AP$5:$AP$302*($AN$5:$AN$302=$A142),$BC$5:$BC$302),IF(LEFT($AI142,2)="S|",INDEX($BC$5:$BC$302,$AH142),"")))))))</f>
        <v/>
      </c>
      <c r="Y142" s="41" t="str">
        <f t="shared" si="77"/>
        <v/>
      </c>
      <c r="Z142" s="40" t="str" cm="1">
        <f t="array" ref="Z142">IF($AI142="","",IF(LEFT($AI142,2)="C|",IF($C142="","",SUMPRODUCT($AP$5:$AP$302*($AO$5:$AO$302=$A142),$CB$5:$CB$302)),IF($AI142="CT",Z$13,IF(LEFT($AI142,3)="AM|",IF($C142="","",SUMPRODUCT($AP$5:$AP$302*($AN$5:$AN$302=$A142),$CB$5:$CB$302)),IF(LEFT($AI142,2)="S|",IF($AG142="","",INDEX($CB$5:$CB$302,$AH142)),IF($AI142="HDR","Makeup Sales",""))))))</f>
        <v/>
      </c>
      <c r="AA142" s="41" t="str">
        <f t="shared" si="90"/>
        <v/>
      </c>
      <c r="AB142" s="40" t="str" cm="1">
        <f t="array" ref="AB142">IF($AI142="","",IF(LEFT($AI142,2)="C|",IF($C142="","",SUMPRODUCT($AP$5:$AP$302*($AO$5:$AO$302=$A142),$CK$5:$CK$302)),IF($AI142="CT",AB$13,IF(LEFT($AI142,3)="AM|",IF($C142="","",SUMPRODUCT($AP$5:$AP$302*($AN$5:$AN$302=$A142),$CK$5:$CK$302)),IF(LEFT($AI142,2)="S|",IF($AG142="","",INDEX($CK$5:$CK$302,$AH142)),IF($AI142="HDR","Makeup Target",""))))))</f>
        <v/>
      </c>
      <c r="AC142" s="41" t="str">
        <f t="shared" si="78"/>
        <v/>
      </c>
      <c r="AD142" s="40" t="str" cm="1">
        <f t="array" ref="AD142">IF($AI142="","",IF(LEFT($AI142,2)="C|",IF($C142="","",SUMPRODUCT($AP$5:$AP$302*($AO$5:$AO$302=$A142),$CI$5:$CI$302)),IF($AI142="CT",AD$13,IF(LEFT($AI142,3)="AM|",IF($C142="","",SUMPRODUCT($AP$5:$AP$302*($AN$5:$AN$302=$A142),$CI$5:$CI$302)),IF(LEFT($AI142,2)="S|",IF($AG142="","",INDEX($CI$5:$CI$302,$AH142)),IF($AI142="HDR","Cosmetic Sales",""))))))</f>
        <v/>
      </c>
      <c r="AE142" s="8" t="str" cm="1">
        <f t="array" ref="AE142">IF($AI142="","",IF(LEFT($AI142,2)="C|",IF($C142="","",SUMPRODUCT($AP$5:$AP$302*($AO$5:$AO$302=$A142)*$AQ$5:$AQ$302,$AR$5:$AR$302)),IF($AI142="CT",AE$13,IF(LEFT($AI142,3)="AM|",IF($C142="","",SUMPRODUCT($AP$5:$AP$302*($AN$5:$AN$302=$A142)*$AQ$5:$AQ$302,$AR$5:$AR$302)),IF(LEFT($AI142,2)="S|",IF($AG142="","",IF(INDEX($AQ$5:$AQ$302,$AH142)=1,D142,0)),IF($AI142="HDR","LFL Sales",""))))))</f>
        <v/>
      </c>
      <c r="AF142" s="8" t="str" cm="1">
        <f t="array" ref="AF142">IF($AI142="","",IF(LEFT($AI142,2)="C|",IF($C142="","",SUMPRODUCT($AP$5:$AP$302*($AO$5:$AO$302=$A142)*$AQ$5:$AQ$302,$AS$5:$AS$302)),IF($AI142="CT",AF$13,IF(LEFT($AI142,3)="AM|",IF($C142="","",SUMPRODUCT($AP$5:$AP$302*($AN$5:$AN$302=$A142)*$AQ$5:$AQ$302,$AS$5:$AS$302)),IF(LEFT($AI142,2)="S|",IF($AG142="","",IF(INDEX($AQ$5:$AQ$302,$AH142)=1,P142,0)),IF($AI142="HDR","LFL Trans",""))))))</f>
        <v/>
      </c>
      <c r="AG142" s="8" t="str" cm="1">
        <f t="array" ref="AG142">IF($AI142="","",IF(LEFT($AI142,2)="C|","",IF($AI142="CT","",IF(LEFT($AI142,3)="AM|","",IF(LEFT($AI142,2)="S|",IF($AH142="","",IF(INDEX($AP$5:$AP$302,$AH142)=1,1,"")),IF($AI142="HDR","Show",""))))))</f>
        <v/>
      </c>
      <c r="AH142" s="8" t="str">
        <f t="shared" si="91"/>
        <v/>
      </c>
      <c r="AI142" s="8"/>
      <c r="AN142" s="8" t="str" cm="1">
        <f t="array" ref="AN142">IF($AW142="","",_xlfn.LET(_xlpm.sa,IFERROR(TRIM(INDEX('Sales and count'!$D$4:$D$300,$BF142)&amp;""),""),_xlpm.ta,IFERROR(TRIM(INDEX('TY Sales Target'!$F$5:$F$300,$BG142)&amp;""),""),IF(AND(_xlpm.sa&lt;&gt;"",LEFT(_xlpm.sa,1)&lt;&gt;"#",_xlpm.sa&lt;&gt;"0"),_xlpm.sa,IF(AND(_xlpm.ta&lt;&gt;"",LEFT(_xlpm.ta,1)&lt;&gt;"#",_xlpm.ta&lt;&gt;"0"),_xlpm.ta,IF(ISNUMBER($BG142),"Unassigned","")))))</f>
        <v/>
      </c>
      <c r="AO142" s="8" t="str" cm="1">
        <f t="array" ref="AO142">IF($AW142="","",_xlfn.LET(_xlpm.sa,IFERROR(TRIM(INDEX('Sales and count'!$C$4:$C$300,$BF142)&amp;""),""),_xlpm.ta,IFERROR(TRIM(INDEX('TY Sales Target'!$D$5:$D$300,$BG142)&amp;""),""),IF(AND(_xlpm.sa&lt;&gt;"",LEFT(_xlpm.sa,1)&lt;&gt;"#",_xlpm.sa&lt;&gt;"0"),_xlpm.sa,IF(AND(_xlpm.ta&lt;&gt;"",LEFT(_xlpm.ta,1)&lt;&gt;"#",_xlpm.ta&lt;&gt;"0"),_xlpm.ta,""))))</f>
        <v/>
      </c>
      <c r="AP142" s="8">
        <f t="shared" si="93"/>
        <v>0</v>
      </c>
      <c r="AQ142" s="8">
        <f t="shared" si="94"/>
        <v>0</v>
      </c>
      <c r="AR142" s="8" cm="1">
        <f t="array" ref="AR142">IF($BF142="",0,_xlfn.LET(_xlpm.d,IFERROR(--'Sales and count'!$G$2:$CC$2,0),SUMPRODUCT(('Sales and count'!$G$3:$CC$3="Total")*(_xlpm.d&gt;=$U$4)*(_xlpm.d&lt;=$U$5),INDEX('Sales and count'!$G$4:$CC$300,$BF142,0))))</f>
        <v>0</v>
      </c>
      <c r="AS142" s="8" cm="1">
        <f t="array" ref="AS142">IF($BF142="",0,_xlfn.LET(_xlpm.d,IFERROR(--'Sales and count'!$F$2:$CB$2,0),SUMPRODUCT(('Sales and count'!$G$3:$CC$3="Transactions")*(_xlpm.d&gt;=$U$4)*(_xlpm.d&lt;=$U$5),INDEX('Sales and count'!$G$4:$CC$300,$BF142,0))))</f>
        <v>0</v>
      </c>
      <c r="AT142" s="8" cm="1">
        <f t="array" ref="AT142">IF($AW142="",0,SUMPRODUCT((TRIM('LY Sales '!$B$5:$B$200)=$AW142)*('LY Sales '!$C$2:$AG$2&gt;=EDATE($U$4,-12))*('LY Sales '!$C$2:$AG$2&lt;=EDATE($U$5,-12)),'LY Sales '!$C$5:$AG$200))</f>
        <v>0</v>
      </c>
      <c r="AU142" s="8" cm="1">
        <f t="array" ref="AU142">IF($AW142="",0,SUMPRODUCT((TRIM('LY Transaction'!$B$5:$B$200)=$AW142)*('LY Transaction'!$C$2:$AG$2&gt;=EDATE($U$4,-12))*('LY Transaction'!$C$2:$AG$2&lt;=EDATE($U$5,-12)),'LY Transaction'!$C$5:$AG$200))</f>
        <v>0</v>
      </c>
      <c r="AV142" s="8" cm="1">
        <f t="array" ref="AV142">IF(NOT(ISNUMBER($BG142)),0,SUMPRODUCT(('TY Sales Target'!$K$2:$AO$2&gt;=$U$4)*('TY Sales Target'!$K$2:$AO$2&lt;=$U$5),INDEX('TY Sales Target'!$K$5:$AO$300,$BG142,0)))</f>
        <v>0</v>
      </c>
      <c r="AW142" s="8" t="str" cm="1">
        <f t="array" ref="AW142">IFERROR(INDEX(_xlfn.ANCHORARRAY($BR$5),ROWS($AW$5:AW142)),"")</f>
        <v/>
      </c>
      <c r="BB142" cm="1">
        <f t="array" ref="BB142">IF($AW142="",0,SUMPRODUCT((TRIM(Footfall!$B$5:$B$301)=$AW142)*(Footfall!$C$1:$BZ$1&gt;=$U$4)*(Footfall!$C$2:$BZ$2&lt;=$U$5)*(Footfall!$C$1:$BZ$1&lt;&gt;""),Footfall!$C$5:$BZ$301))</f>
        <v>0</v>
      </c>
      <c r="BC142" cm="1">
        <f t="array" ref="BC142">IF(OR($BB142&lt;=0,$BD$1="",$BF142=""),0,_xlfn.LET(_xlpm.d,IFERROR(--'Sales and count'!$F$2:$CB$2,0),SUMPRODUCT(('Sales and count'!$G$3:$CC$3="Transactions")*(_xlpm.d&gt;=$BD$1)*(_xlpm.d&lt;=$BD$2),INDEX('Sales and count'!$G$4:$CC$300,$BF142,0))))</f>
        <v>0</v>
      </c>
      <c r="BF142" t="str" cm="1">
        <f t="array" ref="BF142">IF($AW142="","",IFERROR(MATCH($AW142,TRIM('Sales and count'!$A$4:$A$300&amp;""),0),""))</f>
        <v/>
      </c>
      <c r="BG142" t="str" cm="1">
        <f t="array" ref="BG142">IF($AW142="","",IFERROR(MATCH(IFERROR(_xlfn.XLOOKUP($AW142,$BT$5:$BT$22,$BU$5:$BU$22),$AW142),TRIM('TY Sales Target'!$B$5:$B$300&amp;""),0),""))</f>
        <v/>
      </c>
      <c r="BH142" t="str" cm="1">
        <f t="array" ref="BH142">IF(ISNUMBER($BG142),_xlfn.LET(_xlpm.p,TRIM(INDEX('TY Sales Target'!$I$5:$I$300,$BG142)&amp;""),IF(_xlpm.p="","Not set",_xlpm.p)),"Not set")</f>
        <v>Not set</v>
      </c>
      <c r="BI142" cm="1">
        <f t="array" ref="BI142">IF($BF142="",0,_xlfn.LET(_xlpm.d,IFERROR(--'Sales and count'!$G$2:$CC$2,0),SUMPRODUCT(('Sales and count'!$G$3:$CC$3="Total")*(_xlpm.d&gt;=$BZ$5)*(_xlpm.d&lt;=$BZ$6),INDEX('Sales and count'!$G$4:$CC$300,$BF142,0))))</f>
        <v>0</v>
      </c>
      <c r="BJ142" cm="1">
        <f t="array" ref="BJ142">IF($AW142="",0,SUMPRODUCT((TRIM('LY Sales '!$B$5:$B$200)=$AW142)*('LY Sales '!$C$2:$AG$2&gt;=EDATE($BZ$5,-12))*('LY Sales '!$C$2:$AG$2&lt;=EDATE($BZ$6,-12)),'LY Sales '!$C$5:$AG$200))</f>
        <v>0</v>
      </c>
      <c r="BK142" cm="1">
        <f t="array" ref="BK142">IF($AW142="",0,SUMPRODUCT((TRIM('LY Sales '!$B$5:$B$200)=$AW142)*('LY Sales '!$C$2:$AG$2&gt;=EDATE($BZ$5,-12))*('LY Sales '!$C$2:$AG$2&lt;=EDATE($BZ$7,-12)),'LY Sales '!$C$5:$AG$200))</f>
        <v>0</v>
      </c>
      <c r="BL142" cm="1">
        <f t="array" ref="BL142">IF($AW142="",0,SUMPRODUCT((TRIM('LY Sales '!$B$5:$B$200)=$AW142)*('LY Sales '!$C$2:$AG$2&gt;=EDATE($BZ$5,-12))*('LY Sales '!$C$2:$AG$2&lt;=EDATE($BZ$6,-12))*('LY Sales '!$C$5:$AG$200&gt;0)))</f>
        <v>0</v>
      </c>
      <c r="BM142" cm="1">
        <f t="array" ref="BM142">IF(NOT(ISNUMBER($BG142)),0,SUMPRODUCT(('TY Sales Target'!$K$2:$AO$2&gt;=$BZ$5)*('TY Sales Target'!$K$2:$AO$2&lt;=$BZ$6),INDEX('TY Sales Target'!$K$5:$AO$300,$BG142,0)))</f>
        <v>0</v>
      </c>
      <c r="BN142" cm="1">
        <f t="array" ref="BN142">IF(NOT(ISNUMBER($BG142)),0,SUMPRODUCT(('TY Sales Target'!$K$2:$AO$2&gt;=$BZ$5)*('TY Sales Target'!$K$2:$AO$2&lt;=$BZ$7),INDEX('TY Sales Target'!$K$5:$AO$300,$BG142,0)))</f>
        <v>0</v>
      </c>
      <c r="BO142" cm="1">
        <f t="array" ref="BO142">IF($AW142="",0,IFERROR(_xlfn.SWITCH($BP142,"LY trend",$BI142*$BK142/$BJ142,"Target curve",$BI142*$BN142/$BM142,"Run rate",$BI142/$BZ$8*$BZ$9,0),0))</f>
        <v>0</v>
      </c>
      <c r="BP142" t="str">
        <f t="shared" si="92"/>
        <v/>
      </c>
      <c r="CB142" cm="1">
        <f t="array" ref="CB142">IF($AW142="",0,_xlfn.LET(_xlpm.k,IFERROR(_xlfn.XLOOKUP($AW142,$CD$6:$CD$21,$CE$6:$CE$21),$AW142),SUMPRODUCT((TRIM('Makeup '!$A$2:$A$300&amp;"")=_xlpm.k)*1,IFERROR('Makeup '!$F$2:$F$300*1,0))))</f>
        <v>0</v>
      </c>
      <c r="CF142" t="str" cm="1">
        <f t="array" ref="CF142">IF($AW142="","",_xlfn.LET(_xlpm.c,IFERROR(TRIM(INDEX('Sales and count'!$B$4:$B$300,$BF142)&amp;""),""),IF(OR(_xlpm.c="",_xlpm.c="0",LEFT(_xlpm.c,1)="#"),"Not set",_xlpm.c)))</f>
        <v/>
      </c>
      <c r="CH142" cm="1">
        <f t="array" ref="CH142">IF($AW142="",0,_xlfn.LET(_xlpm.k,IFERROR(_xlfn.XLOOKUP($AW142,$CD$6:$CD$21,$CE$6:$CE$21),$AW142),--(SUMPRODUCT((TRIM('Makeup '!$A$2:$A$300&amp;"")=_xlpm.k)*ISNUMBER('Makeup '!$F$2:$F$300))&gt;0)))</f>
        <v>0</v>
      </c>
      <c r="CI142">
        <f t="shared" si="95"/>
        <v>0</v>
      </c>
      <c r="CJ142" cm="1">
        <f t="array" ref="CJ142">IF($AW142="",0,--(SUMPRODUCT(--(TRIM(Footfall!$B$5:$B$301)=$AW142))&gt;0))</f>
        <v>0</v>
      </c>
      <c r="CK142" s="8" cm="1">
        <f t="array" ref="CK142">IF($AW142="",0,_xlfn.LET(_xlpm.r,IFERROR(MATCH(IFERROR(_xlfn.XLOOKUP($AW142,$BT$5:$BT$22,$BU$5:$BU$22),$AW142),TRIM('TY Beauty Target'!$B$5:$B$300&amp;""),0),""),IF(ISNUMBER(_xlpm.r),SUMPRODUCT(('TY Beauty Target'!$L$2:$AP$2&gt;=$U$4)*('TY Beauty Target'!$L$2:$AP$2&lt;=$U$5),INDEX('TY Beauty Target'!$L$5:$AP$300,_xlpm.r,0)),0)))</f>
        <v>0</v>
      </c>
    </row>
    <row r="143" spans="1:89" ht="15" customHeight="1" x14ac:dyDescent="0.25">
      <c r="A143" s="38" t="str">
        <f t="shared" si="79"/>
        <v/>
      </c>
      <c r="B143" s="43" t="str" cm="1">
        <f t="array" ref="B143">IF($AI143="","",IF(LEFT($AI143,2)="C|",IF($C143="","",_xlfn.TEXTJOIN(", ",TRUE,_xlfn.UNIQUE(_xlfn._xlws.FILTER($AN$5:$AN$302,($AP$5:$AP$302=1)*($AO$5:$AO$302=$A143))))),IF($AI143="CT",B$13,IF(LEFT($AI143,3)="AM|",IF($C143="","",ROWS(_xlfn.UNIQUE(_xlfn._xlws.FILTER($AO$5:$AO$302,($AP$5:$AP$302=1)*($AN$5:$AN$302=$A143))))),IF(LEFT($AI143,2)="S|",IF($AG143="","",INDEX($AO$5:$AO$302,$AH143)),IF($AI143="HDR","City",""))))))</f>
        <v/>
      </c>
      <c r="C143" s="39" t="str" cm="1">
        <f t="array" ref="C143">IF($AI143="","",IF(LEFT($AI143,2)="C|",_xlfn.LET(_xlpm.n,SUMPRODUCT($AP$5:$AP$302*($AO$5:$AO$302=$A143)),IF(_xlpm.n=0,"",_xlpm.n)),IF($AI143="CT",C$13,IF(LEFT($AI143,3)="AM|",_xlfn.LET(_xlpm.n,SUMPRODUCT($AP$5:$AP$302*($AN$5:$AN$302=$A143)),IF(_xlpm.n=0,"",_xlpm.n)),IF(LEFT($AI143,2)="S|","",IF($AI143="HDR","# Stores",""))))))</f>
        <v/>
      </c>
      <c r="D143" s="40" t="str" cm="1">
        <f t="array" ref="D143">IF($AI143="","",IF(LEFT($AI143,2)="C|",IF($C143="","",SUMPRODUCT($AP$5:$AP$302*($AO$5:$AO$302=$A143),$AR$5:$AR$302)),IF($AI143="CT",D$13,IF(LEFT($AI143,3)="AM|",IF($C143="","",SUMPRODUCT($AP$5:$AP$302*($AN$5:$AN$302=$A143),$AR$5:$AR$302)),IF(LEFT($AI143,2)="S|",IF($AG143="","",INDEX($AR$5:$AR$302,$AH143)),IF($AI143="HDR","Sales TY",""))))))</f>
        <v/>
      </c>
      <c r="E143" s="40" t="str" cm="1">
        <f t="array" ref="E143">IF($AI143="","",IF(LEFT($AI143,2)="C|",IF($C143="","",SUMPRODUCT($AP$5:$AP$302*($AO$5:$AO$302=$A143),$AT$5:$AT$302)),IF($AI143="CT",E$13,IF(LEFT($AI143,3)="AM|",IF($C143="","",SUMPRODUCT($AP$5:$AP$302*($AN$5:$AN$302=$A143),$AT$5:$AT$302)),IF(LEFT($AI143,2)="S|",IF($AG143="","",INDEX($AT$5:$AT$302,$AH143)),IF($AI143="HDR","Sales LY",""))))))</f>
        <v/>
      </c>
      <c r="F143" s="41" t="str">
        <f t="shared" si="80"/>
        <v/>
      </c>
      <c r="G143" s="41" t="str">
        <f t="shared" si="81"/>
        <v/>
      </c>
      <c r="H143" s="40" t="str" cm="1">
        <f t="array" ref="H143">IF($AI143="","",IF(LEFT($AI143,2)="C|",IF($C143="","",SUMPRODUCT($AP$5:$AP$302*($AO$5:$AO$302=$A143),$AV$5:$AV$302)),IF($AI143="CT",H$13,IF(LEFT($AI143,3)="AM|",IF($C143="","",SUMPRODUCT($AP$5:$AP$302*($AN$5:$AN$302=$A143),$AV$5:$AV$302)),IF(LEFT($AI143,2)="S|",IF($AG143="","",INDEX($AV$5:$AV$302,$AH143)),IF($AI143="HDR","Target",""))))))</f>
        <v/>
      </c>
      <c r="I143" s="41" t="str">
        <f t="shared" si="82"/>
        <v/>
      </c>
      <c r="J143" s="40" t="str">
        <f t="shared" si="83"/>
        <v/>
      </c>
      <c r="K143" s="41" t="str">
        <f t="shared" si="84"/>
        <v/>
      </c>
      <c r="L143" s="40" t="str" cm="1">
        <f t="array" ref="L143">IF($AI143="","",IF(LEFT($AI143,2)="C|",IF($C143="","",SUMPRODUCT($AP$5:$AP$302*($AO$5:$AO$302=$A143),$BN$5:$BN$302)),IF($AI143="CT",L$13,IF(LEFT($AI143,3)="AM|",IF($C143="","",SUMPRODUCT($AP$5:$AP$302*($AN$5:$AN$302=$A143),$BN$5:$BN$302)),IF(LEFT($AI143,2)="S|",IF($AG143="","",INDEX($BN$5:$BN$302,$AH143)),IF($AI143="HDR","Month Target",""))))))</f>
        <v/>
      </c>
      <c r="M143" s="40" t="str" cm="1">
        <f t="array" ref="M143">IF($AI143="","",IF(LEFT($AI143,2)="C|",IF($C143="","",SUMPRODUCT($AP$5:$AP$302*($AO$5:$AO$302=$A143),$BO$5:$BO$302)),IF($AI143="CT",M$13,IF(LEFT($AI143,3)="AM|",IF($C143="","",SUMPRODUCT($AP$5:$AP$302*($AN$5:$AN$302=$A143),$BO$5:$BO$302)),IF(LEFT($AI143,2)="S|",IF($AG143="","",INDEX($BO$5:$BO$302,$AH143)),IF($AI143="HDR","Projected Close",""))))))</f>
        <v/>
      </c>
      <c r="N143" s="41" t="str">
        <f t="shared" si="76"/>
        <v/>
      </c>
      <c r="O143" s="41" t="str" cm="1">
        <f t="array" ref="O143">IF($AI143="HDR","Proj. vs LY",IF(OR($AI143="",M143=""),"",_xlfn.LET(_xlpm.ly,IF(LEFT($AI143,2)="C|",SUMPRODUCT($AP$5:$AP$302*($AO$5:$AO$302=$A143),$BK$5:$BK$302),IF($AI143="CT",SUMPRODUCT($AP$5:$AP$302,$BK$5:$BK$302),IF(LEFT($AI143,3)="AM|",SUMPRODUCT($AP$5:$AP$302*($AN$5:$AN$302=$A143),$BK$5:$BK$302),IF(LEFT($AI143,2)="S|",INDEX($BK$5:$BK$302,$AH143),0)))),IFERROR(M143/_xlpm.ly-1,""))))</f>
        <v/>
      </c>
      <c r="P143" s="40" t="str" cm="1">
        <f t="array" ref="P143">IF($AI143="","",IF(LEFT($AI143,2)="C|",IF($C143="","",SUMPRODUCT($AP$5:$AP$302*($AO$5:$AO$302=$A143),$AS$5:$AS$302)),IF($AI143="CT",P$13,IF(LEFT($AI143,3)="AM|",IF($C143="","",SUMPRODUCT($AP$5:$AP$302*($AN$5:$AN$302=$A143),$AS$5:$AS$302)),IF(LEFT($AI143,2)="S|",IF($AG143="","",INDEX($AS$5:$AS$302,$AH143)),IF($AI143="HDR","Trans TY",""))))))</f>
        <v/>
      </c>
      <c r="Q143" s="40" t="str" cm="1">
        <f t="array" ref="Q143">IF($AI143="","",IF(LEFT($AI143,2)="C|",IF($C143="","",SUMPRODUCT($AP$5:$AP$302*($AO$5:$AO$302=$A143),$AU$5:$AU$302)),IF($AI143="CT",Q$13,IF(LEFT($AI143,3)="AM|",IF($C143="","",SUMPRODUCT($AP$5:$AP$302*($AN$5:$AN$302=$A143),$AU$5:$AU$302)),IF(LEFT($AI143,2)="S|",IF($AG143="","",INDEX($AU$5:$AU$302,$AH143)),IF($AI143="HDR","Trans LY",""))))))</f>
        <v/>
      </c>
      <c r="R143" s="41" t="str">
        <f t="shared" si="85"/>
        <v/>
      </c>
      <c r="S143" s="41" t="str">
        <f t="shared" si="86"/>
        <v/>
      </c>
      <c r="T143" s="42" t="str">
        <f t="shared" si="87"/>
        <v/>
      </c>
      <c r="U143" s="42" t="str">
        <f t="shared" si="88"/>
        <v/>
      </c>
      <c r="V143" s="41" t="str">
        <f t="shared" si="89"/>
        <v/>
      </c>
      <c r="W143" s="40" t="str" cm="1">
        <f t="array" ref="W143">IF($AI143="","",IF(LEFT($AI143,2)="C|",_xlfn.LET(_xlpm.n,SUMPRODUCT($AP$5:$AP$302*($AO$5:$AO$302=$A143),$BB$5:$BB$302),IF(_xlpm.n=0,"",_xlpm.n)),IF($AI143="CT",W$13,IF(LEFT($AI143,3)="AM|",_xlfn.LET(_xlpm.n,SUMPRODUCT($AP$5:$AP$302*($AN$5:$AN$302=$A143),$BB$5:$BB$302),IF(_xlpm.n=0,"",_xlpm.n)),IF(LEFT($AI143,2)="S|",IF($AG143="","",_xlfn.LET(_xlpm.n,INDEX($BB$5:$BB$302,$AH143),IF(_xlpm.n=0,"",_xlpm.n))),IF($AI143="HDR","Footfall",""))))))</f>
        <v/>
      </c>
      <c r="X143" s="40" t="str" cm="1">
        <f t="array" ref="X143">IF($AI143="","",IF($AI143="HDR","Trans (FF stores)",IF(W143="","",IF(LEFT($AI143,2)="C|",SUMPRODUCT($AP$5:$AP$302*($AO$5:$AO$302=$A143),$BC$5:$BC$302),IF($AI143="CT",X$13,IF(LEFT($AI143,3)="AM|",SUMPRODUCT($AP$5:$AP$302*($AN$5:$AN$302=$A143),$BC$5:$BC$302),IF(LEFT($AI143,2)="S|",INDEX($BC$5:$BC$302,$AH143),"")))))))</f>
        <v/>
      </c>
      <c r="Y143" s="41" t="str">
        <f t="shared" si="77"/>
        <v/>
      </c>
      <c r="Z143" s="40" t="str" cm="1">
        <f t="array" ref="Z143">IF($AI143="","",IF(LEFT($AI143,2)="C|",IF($C143="","",SUMPRODUCT($AP$5:$AP$302*($AO$5:$AO$302=$A143),$CB$5:$CB$302)),IF($AI143="CT",Z$13,IF(LEFT($AI143,3)="AM|",IF($C143="","",SUMPRODUCT($AP$5:$AP$302*($AN$5:$AN$302=$A143),$CB$5:$CB$302)),IF(LEFT($AI143,2)="S|",IF($AG143="","",INDEX($CB$5:$CB$302,$AH143)),IF($AI143="HDR","Makeup Sales",""))))))</f>
        <v/>
      </c>
      <c r="AA143" s="41" t="str">
        <f t="shared" si="90"/>
        <v/>
      </c>
      <c r="AB143" s="40" t="str" cm="1">
        <f t="array" ref="AB143">IF($AI143="","",IF(LEFT($AI143,2)="C|",IF($C143="","",SUMPRODUCT($AP$5:$AP$302*($AO$5:$AO$302=$A143),$CK$5:$CK$302)),IF($AI143="CT",AB$13,IF(LEFT($AI143,3)="AM|",IF($C143="","",SUMPRODUCT($AP$5:$AP$302*($AN$5:$AN$302=$A143),$CK$5:$CK$302)),IF(LEFT($AI143,2)="S|",IF($AG143="","",INDEX($CK$5:$CK$302,$AH143)),IF($AI143="HDR","Makeup Target",""))))))</f>
        <v/>
      </c>
      <c r="AC143" s="41" t="str">
        <f t="shared" si="78"/>
        <v/>
      </c>
      <c r="AD143" s="40" t="str" cm="1">
        <f t="array" ref="AD143">IF($AI143="","",IF(LEFT($AI143,2)="C|",IF($C143="","",SUMPRODUCT($AP$5:$AP$302*($AO$5:$AO$302=$A143),$CI$5:$CI$302)),IF($AI143="CT",AD$13,IF(LEFT($AI143,3)="AM|",IF($C143="","",SUMPRODUCT($AP$5:$AP$302*($AN$5:$AN$302=$A143),$CI$5:$CI$302)),IF(LEFT($AI143,2)="S|",IF($AG143="","",INDEX($CI$5:$CI$302,$AH143)),IF($AI143="HDR","Cosmetic Sales",""))))))</f>
        <v/>
      </c>
      <c r="AE143" s="8" t="str" cm="1">
        <f t="array" ref="AE143">IF($AI143="","",IF(LEFT($AI143,2)="C|",IF($C143="","",SUMPRODUCT($AP$5:$AP$302*($AO$5:$AO$302=$A143)*$AQ$5:$AQ$302,$AR$5:$AR$302)),IF($AI143="CT",AE$13,IF(LEFT($AI143,3)="AM|",IF($C143="","",SUMPRODUCT($AP$5:$AP$302*($AN$5:$AN$302=$A143)*$AQ$5:$AQ$302,$AR$5:$AR$302)),IF(LEFT($AI143,2)="S|",IF($AG143="","",IF(INDEX($AQ$5:$AQ$302,$AH143)=1,D143,0)),IF($AI143="HDR","LFL Sales",""))))))</f>
        <v/>
      </c>
      <c r="AF143" s="8" t="str" cm="1">
        <f t="array" ref="AF143">IF($AI143="","",IF(LEFT($AI143,2)="C|",IF($C143="","",SUMPRODUCT($AP$5:$AP$302*($AO$5:$AO$302=$A143)*$AQ$5:$AQ$302,$AS$5:$AS$302)),IF($AI143="CT",AF$13,IF(LEFT($AI143,3)="AM|",IF($C143="","",SUMPRODUCT($AP$5:$AP$302*($AN$5:$AN$302=$A143)*$AQ$5:$AQ$302,$AS$5:$AS$302)),IF(LEFT($AI143,2)="S|",IF($AG143="","",IF(INDEX($AQ$5:$AQ$302,$AH143)=1,P143,0)),IF($AI143="HDR","LFL Trans",""))))))</f>
        <v/>
      </c>
      <c r="AG143" s="8" t="str" cm="1">
        <f t="array" ref="AG143">IF($AI143="","",IF(LEFT($AI143,2)="C|","",IF($AI143="CT","",IF(LEFT($AI143,3)="AM|","",IF(LEFT($AI143,2)="S|",IF($AH143="","",IF(INDEX($AP$5:$AP$302,$AH143)=1,1,"")),IF($AI143="HDR","Show",""))))))</f>
        <v/>
      </c>
      <c r="AH143" s="8" t="str">
        <f t="shared" si="91"/>
        <v/>
      </c>
      <c r="AI143" s="8"/>
      <c r="AN143" s="8" t="str" cm="1">
        <f t="array" ref="AN143">IF($AW143="","",_xlfn.LET(_xlpm.sa,IFERROR(TRIM(INDEX('Sales and count'!$D$4:$D$300,$BF143)&amp;""),""),_xlpm.ta,IFERROR(TRIM(INDEX('TY Sales Target'!$F$5:$F$300,$BG143)&amp;""),""),IF(AND(_xlpm.sa&lt;&gt;"",LEFT(_xlpm.sa,1)&lt;&gt;"#",_xlpm.sa&lt;&gt;"0"),_xlpm.sa,IF(AND(_xlpm.ta&lt;&gt;"",LEFT(_xlpm.ta,1)&lt;&gt;"#",_xlpm.ta&lt;&gt;"0"),_xlpm.ta,IF(ISNUMBER($BG143),"Unassigned","")))))</f>
        <v/>
      </c>
      <c r="AO143" s="8" t="str" cm="1">
        <f t="array" ref="AO143">IF($AW143="","",_xlfn.LET(_xlpm.sa,IFERROR(TRIM(INDEX('Sales and count'!$C$4:$C$300,$BF143)&amp;""),""),_xlpm.ta,IFERROR(TRIM(INDEX('TY Sales Target'!$D$5:$D$300,$BG143)&amp;""),""),IF(AND(_xlpm.sa&lt;&gt;"",LEFT(_xlpm.sa,1)&lt;&gt;"#",_xlpm.sa&lt;&gt;"0"),_xlpm.sa,IF(AND(_xlpm.ta&lt;&gt;"",LEFT(_xlpm.ta,1)&lt;&gt;"#",_xlpm.ta&lt;&gt;"0"),_xlpm.ta,""))))</f>
        <v/>
      </c>
      <c r="AP143" s="8">
        <f t="shared" si="93"/>
        <v>0</v>
      </c>
      <c r="AQ143" s="8">
        <f t="shared" si="94"/>
        <v>0</v>
      </c>
      <c r="AR143" s="8" cm="1">
        <f t="array" ref="AR143">IF($BF143="",0,_xlfn.LET(_xlpm.d,IFERROR(--'Sales and count'!$G$2:$CC$2,0),SUMPRODUCT(('Sales and count'!$G$3:$CC$3="Total")*(_xlpm.d&gt;=$U$4)*(_xlpm.d&lt;=$U$5),INDEX('Sales and count'!$G$4:$CC$300,$BF143,0))))</f>
        <v>0</v>
      </c>
      <c r="AS143" s="8" cm="1">
        <f t="array" ref="AS143">IF($BF143="",0,_xlfn.LET(_xlpm.d,IFERROR(--'Sales and count'!$F$2:$CB$2,0),SUMPRODUCT(('Sales and count'!$G$3:$CC$3="Transactions")*(_xlpm.d&gt;=$U$4)*(_xlpm.d&lt;=$U$5),INDEX('Sales and count'!$G$4:$CC$300,$BF143,0))))</f>
        <v>0</v>
      </c>
      <c r="AT143" s="8" cm="1">
        <f t="array" ref="AT143">IF($AW143="",0,SUMPRODUCT((TRIM('LY Sales '!$B$5:$B$200)=$AW143)*('LY Sales '!$C$2:$AG$2&gt;=EDATE($U$4,-12))*('LY Sales '!$C$2:$AG$2&lt;=EDATE($U$5,-12)),'LY Sales '!$C$5:$AG$200))</f>
        <v>0</v>
      </c>
      <c r="AU143" s="8" cm="1">
        <f t="array" ref="AU143">IF($AW143="",0,SUMPRODUCT((TRIM('LY Transaction'!$B$5:$B$200)=$AW143)*('LY Transaction'!$C$2:$AG$2&gt;=EDATE($U$4,-12))*('LY Transaction'!$C$2:$AG$2&lt;=EDATE($U$5,-12)),'LY Transaction'!$C$5:$AG$200))</f>
        <v>0</v>
      </c>
      <c r="AV143" s="8" cm="1">
        <f t="array" ref="AV143">IF(NOT(ISNUMBER($BG143)),0,SUMPRODUCT(('TY Sales Target'!$K$2:$AO$2&gt;=$U$4)*('TY Sales Target'!$K$2:$AO$2&lt;=$U$5),INDEX('TY Sales Target'!$K$5:$AO$300,$BG143,0)))</f>
        <v>0</v>
      </c>
      <c r="AW143" s="8" t="str" cm="1">
        <f t="array" ref="AW143">IFERROR(INDEX(_xlfn.ANCHORARRAY($BR$5),ROWS($AW$5:AW143)),"")</f>
        <v/>
      </c>
      <c r="BB143" cm="1">
        <f t="array" ref="BB143">IF($AW143="",0,SUMPRODUCT((TRIM(Footfall!$B$5:$B$301)=$AW143)*(Footfall!$C$1:$BZ$1&gt;=$U$4)*(Footfall!$C$2:$BZ$2&lt;=$U$5)*(Footfall!$C$1:$BZ$1&lt;&gt;""),Footfall!$C$5:$BZ$301))</f>
        <v>0</v>
      </c>
      <c r="BC143" cm="1">
        <f t="array" ref="BC143">IF(OR($BB143&lt;=0,$BD$1="",$BF143=""),0,_xlfn.LET(_xlpm.d,IFERROR(--'Sales and count'!$F$2:$CB$2,0),SUMPRODUCT(('Sales and count'!$G$3:$CC$3="Transactions")*(_xlpm.d&gt;=$BD$1)*(_xlpm.d&lt;=$BD$2),INDEX('Sales and count'!$G$4:$CC$300,$BF143,0))))</f>
        <v>0</v>
      </c>
      <c r="BF143" t="str" cm="1">
        <f t="array" ref="BF143">IF($AW143="","",IFERROR(MATCH($AW143,TRIM('Sales and count'!$A$4:$A$300&amp;""),0),""))</f>
        <v/>
      </c>
      <c r="BG143" t="str" cm="1">
        <f t="array" ref="BG143">IF($AW143="","",IFERROR(MATCH(IFERROR(_xlfn.XLOOKUP($AW143,$BT$5:$BT$22,$BU$5:$BU$22),$AW143),TRIM('TY Sales Target'!$B$5:$B$300&amp;""),0),""))</f>
        <v/>
      </c>
      <c r="BH143" t="str" cm="1">
        <f t="array" ref="BH143">IF(ISNUMBER($BG143),_xlfn.LET(_xlpm.p,TRIM(INDEX('TY Sales Target'!$I$5:$I$300,$BG143)&amp;""),IF(_xlpm.p="","Not set",_xlpm.p)),"Not set")</f>
        <v>Not set</v>
      </c>
      <c r="BI143" cm="1">
        <f t="array" ref="BI143">IF($BF143="",0,_xlfn.LET(_xlpm.d,IFERROR(--'Sales and count'!$G$2:$CC$2,0),SUMPRODUCT(('Sales and count'!$G$3:$CC$3="Total")*(_xlpm.d&gt;=$BZ$5)*(_xlpm.d&lt;=$BZ$6),INDEX('Sales and count'!$G$4:$CC$300,$BF143,0))))</f>
        <v>0</v>
      </c>
      <c r="BJ143" cm="1">
        <f t="array" ref="BJ143">IF($AW143="",0,SUMPRODUCT((TRIM('LY Sales '!$B$5:$B$200)=$AW143)*('LY Sales '!$C$2:$AG$2&gt;=EDATE($BZ$5,-12))*('LY Sales '!$C$2:$AG$2&lt;=EDATE($BZ$6,-12)),'LY Sales '!$C$5:$AG$200))</f>
        <v>0</v>
      </c>
      <c r="BK143" cm="1">
        <f t="array" ref="BK143">IF($AW143="",0,SUMPRODUCT((TRIM('LY Sales '!$B$5:$B$200)=$AW143)*('LY Sales '!$C$2:$AG$2&gt;=EDATE($BZ$5,-12))*('LY Sales '!$C$2:$AG$2&lt;=EDATE($BZ$7,-12)),'LY Sales '!$C$5:$AG$200))</f>
        <v>0</v>
      </c>
      <c r="BL143" cm="1">
        <f t="array" ref="BL143">IF($AW143="",0,SUMPRODUCT((TRIM('LY Sales '!$B$5:$B$200)=$AW143)*('LY Sales '!$C$2:$AG$2&gt;=EDATE($BZ$5,-12))*('LY Sales '!$C$2:$AG$2&lt;=EDATE($BZ$6,-12))*('LY Sales '!$C$5:$AG$200&gt;0)))</f>
        <v>0</v>
      </c>
      <c r="BM143" cm="1">
        <f t="array" ref="BM143">IF(NOT(ISNUMBER($BG143)),0,SUMPRODUCT(('TY Sales Target'!$K$2:$AO$2&gt;=$BZ$5)*('TY Sales Target'!$K$2:$AO$2&lt;=$BZ$6),INDEX('TY Sales Target'!$K$5:$AO$300,$BG143,0)))</f>
        <v>0</v>
      </c>
      <c r="BN143" cm="1">
        <f t="array" ref="BN143">IF(NOT(ISNUMBER($BG143)),0,SUMPRODUCT(('TY Sales Target'!$K$2:$AO$2&gt;=$BZ$5)*('TY Sales Target'!$K$2:$AO$2&lt;=$BZ$7),INDEX('TY Sales Target'!$K$5:$AO$300,$BG143,0)))</f>
        <v>0</v>
      </c>
      <c r="BO143" cm="1">
        <f t="array" ref="BO143">IF($AW143="",0,IFERROR(_xlfn.SWITCH($BP143,"LY trend",$BI143*$BK143/$BJ143,"Target curve",$BI143*$BN143/$BM143,"Run rate",$BI143/$BZ$8*$BZ$9,0),0))</f>
        <v>0</v>
      </c>
      <c r="BP143" t="str">
        <f t="shared" si="92"/>
        <v/>
      </c>
      <c r="CB143" cm="1">
        <f t="array" ref="CB143">IF($AW143="",0,_xlfn.LET(_xlpm.k,IFERROR(_xlfn.XLOOKUP($AW143,$CD$6:$CD$21,$CE$6:$CE$21),$AW143),SUMPRODUCT((TRIM('Makeup '!$A$2:$A$300&amp;"")=_xlpm.k)*1,IFERROR('Makeup '!$F$2:$F$300*1,0))))</f>
        <v>0</v>
      </c>
      <c r="CF143" t="str" cm="1">
        <f t="array" ref="CF143">IF($AW143="","",_xlfn.LET(_xlpm.c,IFERROR(TRIM(INDEX('Sales and count'!$B$4:$B$300,$BF143)&amp;""),""),IF(OR(_xlpm.c="",_xlpm.c="0",LEFT(_xlpm.c,1)="#"),"Not set",_xlpm.c)))</f>
        <v/>
      </c>
      <c r="CH143" cm="1">
        <f t="array" ref="CH143">IF($AW143="",0,_xlfn.LET(_xlpm.k,IFERROR(_xlfn.XLOOKUP($AW143,$CD$6:$CD$21,$CE$6:$CE$21),$AW143),--(SUMPRODUCT((TRIM('Makeup '!$A$2:$A$300&amp;"")=_xlpm.k)*ISNUMBER('Makeup '!$F$2:$F$300))&gt;0)))</f>
        <v>0</v>
      </c>
      <c r="CI143">
        <f t="shared" si="95"/>
        <v>0</v>
      </c>
      <c r="CJ143" cm="1">
        <f t="array" ref="CJ143">IF($AW143="",0,--(SUMPRODUCT(--(TRIM(Footfall!$B$5:$B$301)=$AW143))&gt;0))</f>
        <v>0</v>
      </c>
      <c r="CK143" s="8" cm="1">
        <f t="array" ref="CK143">IF($AW143="",0,_xlfn.LET(_xlpm.r,IFERROR(MATCH(IFERROR(_xlfn.XLOOKUP($AW143,$BT$5:$BT$22,$BU$5:$BU$22),$AW143),TRIM('TY Beauty Target'!$B$5:$B$300&amp;""),0),""),IF(ISNUMBER(_xlpm.r),SUMPRODUCT(('TY Beauty Target'!$L$2:$AP$2&gt;=$U$4)*('TY Beauty Target'!$L$2:$AP$2&lt;=$U$5),INDEX('TY Beauty Target'!$L$5:$AP$300,_xlpm.r,0)),0)))</f>
        <v>0</v>
      </c>
    </row>
    <row r="144" spans="1:89" ht="15" customHeight="1" x14ac:dyDescent="0.25">
      <c r="A144" s="38" t="str">
        <f t="shared" si="79"/>
        <v/>
      </c>
      <c r="B144" s="43" t="str" cm="1">
        <f t="array" ref="B144">IF($AI144="","",IF(LEFT($AI144,2)="C|",IF($C144="","",_xlfn.TEXTJOIN(", ",TRUE,_xlfn.UNIQUE(_xlfn._xlws.FILTER($AN$5:$AN$302,($AP$5:$AP$302=1)*($AO$5:$AO$302=$A144))))),IF($AI144="CT",B$13,IF(LEFT($AI144,3)="AM|",IF($C144="","",ROWS(_xlfn.UNIQUE(_xlfn._xlws.FILTER($AO$5:$AO$302,($AP$5:$AP$302=1)*($AN$5:$AN$302=$A144))))),IF(LEFT($AI144,2)="S|",IF($AG144="","",INDEX($AO$5:$AO$302,$AH144)),IF($AI144="HDR","City",""))))))</f>
        <v/>
      </c>
      <c r="C144" s="39" t="str" cm="1">
        <f t="array" ref="C144">IF($AI144="","",IF(LEFT($AI144,2)="C|",_xlfn.LET(_xlpm.n,SUMPRODUCT($AP$5:$AP$302*($AO$5:$AO$302=$A144)),IF(_xlpm.n=0,"",_xlpm.n)),IF($AI144="CT",C$13,IF(LEFT($AI144,3)="AM|",_xlfn.LET(_xlpm.n,SUMPRODUCT($AP$5:$AP$302*($AN$5:$AN$302=$A144)),IF(_xlpm.n=0,"",_xlpm.n)),IF(LEFT($AI144,2)="S|","",IF($AI144="HDR","# Stores",""))))))</f>
        <v/>
      </c>
      <c r="D144" s="40" t="str" cm="1">
        <f t="array" ref="D144">IF($AI144="","",IF(LEFT($AI144,2)="C|",IF($C144="","",SUMPRODUCT($AP$5:$AP$302*($AO$5:$AO$302=$A144),$AR$5:$AR$302)),IF($AI144="CT",D$13,IF(LEFT($AI144,3)="AM|",IF($C144="","",SUMPRODUCT($AP$5:$AP$302*($AN$5:$AN$302=$A144),$AR$5:$AR$302)),IF(LEFT($AI144,2)="S|",IF($AG144="","",INDEX($AR$5:$AR$302,$AH144)),IF($AI144="HDR","Sales TY",""))))))</f>
        <v/>
      </c>
      <c r="E144" s="40" t="str" cm="1">
        <f t="array" ref="E144">IF($AI144="","",IF(LEFT($AI144,2)="C|",IF($C144="","",SUMPRODUCT($AP$5:$AP$302*($AO$5:$AO$302=$A144),$AT$5:$AT$302)),IF($AI144="CT",E$13,IF(LEFT($AI144,3)="AM|",IF($C144="","",SUMPRODUCT($AP$5:$AP$302*($AN$5:$AN$302=$A144),$AT$5:$AT$302)),IF(LEFT($AI144,2)="S|",IF($AG144="","",INDEX($AT$5:$AT$302,$AH144)),IF($AI144="HDR","Sales LY",""))))))</f>
        <v/>
      </c>
      <c r="F144" s="41" t="str">
        <f t="shared" si="80"/>
        <v/>
      </c>
      <c r="G144" s="41" t="str">
        <f t="shared" si="81"/>
        <v/>
      </c>
      <c r="H144" s="40" t="str" cm="1">
        <f t="array" ref="H144">IF($AI144="","",IF(LEFT($AI144,2)="C|",IF($C144="","",SUMPRODUCT($AP$5:$AP$302*($AO$5:$AO$302=$A144),$AV$5:$AV$302)),IF($AI144="CT",H$13,IF(LEFT($AI144,3)="AM|",IF($C144="","",SUMPRODUCT($AP$5:$AP$302*($AN$5:$AN$302=$A144),$AV$5:$AV$302)),IF(LEFT($AI144,2)="S|",IF($AG144="","",INDEX($AV$5:$AV$302,$AH144)),IF($AI144="HDR","Target",""))))))</f>
        <v/>
      </c>
      <c r="I144" s="41" t="str">
        <f t="shared" si="82"/>
        <v/>
      </c>
      <c r="J144" s="40" t="str">
        <f t="shared" si="83"/>
        <v/>
      </c>
      <c r="K144" s="41" t="str">
        <f t="shared" si="84"/>
        <v/>
      </c>
      <c r="L144" s="40" t="str" cm="1">
        <f t="array" ref="L144">IF($AI144="","",IF(LEFT($AI144,2)="C|",IF($C144="","",SUMPRODUCT($AP$5:$AP$302*($AO$5:$AO$302=$A144),$BN$5:$BN$302)),IF($AI144="CT",L$13,IF(LEFT($AI144,3)="AM|",IF($C144="","",SUMPRODUCT($AP$5:$AP$302*($AN$5:$AN$302=$A144),$BN$5:$BN$302)),IF(LEFT($AI144,2)="S|",IF($AG144="","",INDEX($BN$5:$BN$302,$AH144)),IF($AI144="HDR","Month Target",""))))))</f>
        <v/>
      </c>
      <c r="M144" s="40" t="str" cm="1">
        <f t="array" ref="M144">IF($AI144="","",IF(LEFT($AI144,2)="C|",IF($C144="","",SUMPRODUCT($AP$5:$AP$302*($AO$5:$AO$302=$A144),$BO$5:$BO$302)),IF($AI144="CT",M$13,IF(LEFT($AI144,3)="AM|",IF($C144="","",SUMPRODUCT($AP$5:$AP$302*($AN$5:$AN$302=$A144),$BO$5:$BO$302)),IF(LEFT($AI144,2)="S|",IF($AG144="","",INDEX($BO$5:$BO$302,$AH144)),IF($AI144="HDR","Projected Close",""))))))</f>
        <v/>
      </c>
      <c r="N144" s="41" t="str">
        <f t="shared" si="76"/>
        <v/>
      </c>
      <c r="O144" s="41" t="str" cm="1">
        <f t="array" ref="O144">IF($AI144="HDR","Proj. vs LY",IF(OR($AI144="",M144=""),"",_xlfn.LET(_xlpm.ly,IF(LEFT($AI144,2)="C|",SUMPRODUCT($AP$5:$AP$302*($AO$5:$AO$302=$A144),$BK$5:$BK$302),IF($AI144="CT",SUMPRODUCT($AP$5:$AP$302,$BK$5:$BK$302),IF(LEFT($AI144,3)="AM|",SUMPRODUCT($AP$5:$AP$302*($AN$5:$AN$302=$A144),$BK$5:$BK$302),IF(LEFT($AI144,2)="S|",INDEX($BK$5:$BK$302,$AH144),0)))),IFERROR(M144/_xlpm.ly-1,""))))</f>
        <v/>
      </c>
      <c r="P144" s="40" t="str" cm="1">
        <f t="array" ref="P144">IF($AI144="","",IF(LEFT($AI144,2)="C|",IF($C144="","",SUMPRODUCT($AP$5:$AP$302*($AO$5:$AO$302=$A144),$AS$5:$AS$302)),IF($AI144="CT",P$13,IF(LEFT($AI144,3)="AM|",IF($C144="","",SUMPRODUCT($AP$5:$AP$302*($AN$5:$AN$302=$A144),$AS$5:$AS$302)),IF(LEFT($AI144,2)="S|",IF($AG144="","",INDEX($AS$5:$AS$302,$AH144)),IF($AI144="HDR","Trans TY",""))))))</f>
        <v/>
      </c>
      <c r="Q144" s="40" t="str" cm="1">
        <f t="array" ref="Q144">IF($AI144="","",IF(LEFT($AI144,2)="C|",IF($C144="","",SUMPRODUCT($AP$5:$AP$302*($AO$5:$AO$302=$A144),$AU$5:$AU$302)),IF($AI144="CT",Q$13,IF(LEFT($AI144,3)="AM|",IF($C144="","",SUMPRODUCT($AP$5:$AP$302*($AN$5:$AN$302=$A144),$AU$5:$AU$302)),IF(LEFT($AI144,2)="S|",IF($AG144="","",INDEX($AU$5:$AU$302,$AH144)),IF($AI144="HDR","Trans LY",""))))))</f>
        <v/>
      </c>
      <c r="R144" s="41" t="str">
        <f t="shared" si="85"/>
        <v/>
      </c>
      <c r="S144" s="41" t="str">
        <f t="shared" si="86"/>
        <v/>
      </c>
      <c r="T144" s="42" t="str">
        <f t="shared" si="87"/>
        <v/>
      </c>
      <c r="U144" s="42" t="str">
        <f t="shared" si="88"/>
        <v/>
      </c>
      <c r="V144" s="41" t="str">
        <f t="shared" si="89"/>
        <v/>
      </c>
      <c r="W144" s="40" t="str" cm="1">
        <f t="array" ref="W144">IF($AI144="","",IF(LEFT($AI144,2)="C|",_xlfn.LET(_xlpm.n,SUMPRODUCT($AP$5:$AP$302*($AO$5:$AO$302=$A144),$BB$5:$BB$302),IF(_xlpm.n=0,"",_xlpm.n)),IF($AI144="CT",W$13,IF(LEFT($AI144,3)="AM|",_xlfn.LET(_xlpm.n,SUMPRODUCT($AP$5:$AP$302*($AN$5:$AN$302=$A144),$BB$5:$BB$302),IF(_xlpm.n=0,"",_xlpm.n)),IF(LEFT($AI144,2)="S|",IF($AG144="","",_xlfn.LET(_xlpm.n,INDEX($BB$5:$BB$302,$AH144),IF(_xlpm.n=0,"",_xlpm.n))),IF($AI144="HDR","Footfall",""))))))</f>
        <v/>
      </c>
      <c r="X144" s="40" t="str" cm="1">
        <f t="array" ref="X144">IF($AI144="","",IF($AI144="HDR","Trans (FF stores)",IF(W144="","",IF(LEFT($AI144,2)="C|",SUMPRODUCT($AP$5:$AP$302*($AO$5:$AO$302=$A144),$BC$5:$BC$302),IF($AI144="CT",X$13,IF(LEFT($AI144,3)="AM|",SUMPRODUCT($AP$5:$AP$302*($AN$5:$AN$302=$A144),$BC$5:$BC$302),IF(LEFT($AI144,2)="S|",INDEX($BC$5:$BC$302,$AH144),"")))))))</f>
        <v/>
      </c>
      <c r="Y144" s="41" t="str">
        <f t="shared" si="77"/>
        <v/>
      </c>
      <c r="Z144" s="40" t="str" cm="1">
        <f t="array" ref="Z144">IF($AI144="","",IF(LEFT($AI144,2)="C|",IF($C144="","",SUMPRODUCT($AP$5:$AP$302*($AO$5:$AO$302=$A144),$CB$5:$CB$302)),IF($AI144="CT",Z$13,IF(LEFT($AI144,3)="AM|",IF($C144="","",SUMPRODUCT($AP$5:$AP$302*($AN$5:$AN$302=$A144),$CB$5:$CB$302)),IF(LEFT($AI144,2)="S|",IF($AG144="","",INDEX($CB$5:$CB$302,$AH144)),IF($AI144="HDR","Makeup Sales",""))))))</f>
        <v/>
      </c>
      <c r="AA144" s="41" t="str">
        <f t="shared" si="90"/>
        <v/>
      </c>
      <c r="AB144" s="40" t="str" cm="1">
        <f t="array" ref="AB144">IF($AI144="","",IF(LEFT($AI144,2)="C|",IF($C144="","",SUMPRODUCT($AP$5:$AP$302*($AO$5:$AO$302=$A144),$CK$5:$CK$302)),IF($AI144="CT",AB$13,IF(LEFT($AI144,3)="AM|",IF($C144="","",SUMPRODUCT($AP$5:$AP$302*($AN$5:$AN$302=$A144),$CK$5:$CK$302)),IF(LEFT($AI144,2)="S|",IF($AG144="","",INDEX($CK$5:$CK$302,$AH144)),IF($AI144="HDR","Makeup Target",""))))))</f>
        <v/>
      </c>
      <c r="AC144" s="41" t="str">
        <f t="shared" si="78"/>
        <v/>
      </c>
      <c r="AD144" s="40" t="str" cm="1">
        <f t="array" ref="AD144">IF($AI144="","",IF(LEFT($AI144,2)="C|",IF($C144="","",SUMPRODUCT($AP$5:$AP$302*($AO$5:$AO$302=$A144),$CI$5:$CI$302)),IF($AI144="CT",AD$13,IF(LEFT($AI144,3)="AM|",IF($C144="","",SUMPRODUCT($AP$5:$AP$302*($AN$5:$AN$302=$A144),$CI$5:$CI$302)),IF(LEFT($AI144,2)="S|",IF($AG144="","",INDEX($CI$5:$CI$302,$AH144)),IF($AI144="HDR","Cosmetic Sales",""))))))</f>
        <v/>
      </c>
      <c r="AE144" s="8" t="str" cm="1">
        <f t="array" ref="AE144">IF($AI144="","",IF(LEFT($AI144,2)="C|",IF($C144="","",SUMPRODUCT($AP$5:$AP$302*($AO$5:$AO$302=$A144)*$AQ$5:$AQ$302,$AR$5:$AR$302)),IF($AI144="CT",AE$13,IF(LEFT($AI144,3)="AM|",IF($C144="","",SUMPRODUCT($AP$5:$AP$302*($AN$5:$AN$302=$A144)*$AQ$5:$AQ$302,$AR$5:$AR$302)),IF(LEFT($AI144,2)="S|",IF($AG144="","",IF(INDEX($AQ$5:$AQ$302,$AH144)=1,D144,0)),IF($AI144="HDR","LFL Sales",""))))))</f>
        <v/>
      </c>
      <c r="AF144" s="8" t="str" cm="1">
        <f t="array" ref="AF144">IF($AI144="","",IF(LEFT($AI144,2)="C|",IF($C144="","",SUMPRODUCT($AP$5:$AP$302*($AO$5:$AO$302=$A144)*$AQ$5:$AQ$302,$AS$5:$AS$302)),IF($AI144="CT",AF$13,IF(LEFT($AI144,3)="AM|",IF($C144="","",SUMPRODUCT($AP$5:$AP$302*($AN$5:$AN$302=$A144)*$AQ$5:$AQ$302,$AS$5:$AS$302)),IF(LEFT($AI144,2)="S|",IF($AG144="","",IF(INDEX($AQ$5:$AQ$302,$AH144)=1,P144,0)),IF($AI144="HDR","LFL Trans",""))))))</f>
        <v/>
      </c>
      <c r="AG144" s="8" t="str" cm="1">
        <f t="array" ref="AG144">IF($AI144="","",IF(LEFT($AI144,2)="C|","",IF($AI144="CT","",IF(LEFT($AI144,3)="AM|","",IF(LEFT($AI144,2)="S|",IF($AH144="","",IF(INDEX($AP$5:$AP$302,$AH144)=1,1,"")),IF($AI144="HDR","Show",""))))))</f>
        <v/>
      </c>
      <c r="AH144" s="8" t="str">
        <f t="shared" si="91"/>
        <v/>
      </c>
      <c r="AI144" s="8"/>
      <c r="AN144" s="8" t="str" cm="1">
        <f t="array" ref="AN144">IF($AW144="","",_xlfn.LET(_xlpm.sa,IFERROR(TRIM(INDEX('Sales and count'!$D$4:$D$300,$BF144)&amp;""),""),_xlpm.ta,IFERROR(TRIM(INDEX('TY Sales Target'!$F$5:$F$300,$BG144)&amp;""),""),IF(AND(_xlpm.sa&lt;&gt;"",LEFT(_xlpm.sa,1)&lt;&gt;"#",_xlpm.sa&lt;&gt;"0"),_xlpm.sa,IF(AND(_xlpm.ta&lt;&gt;"",LEFT(_xlpm.ta,1)&lt;&gt;"#",_xlpm.ta&lt;&gt;"0"),_xlpm.ta,IF(ISNUMBER($BG144),"Unassigned","")))))</f>
        <v/>
      </c>
      <c r="AO144" s="8" t="str" cm="1">
        <f t="array" ref="AO144">IF($AW144="","",_xlfn.LET(_xlpm.sa,IFERROR(TRIM(INDEX('Sales and count'!$C$4:$C$300,$BF144)&amp;""),""),_xlpm.ta,IFERROR(TRIM(INDEX('TY Sales Target'!$D$5:$D$300,$BG144)&amp;""),""),IF(AND(_xlpm.sa&lt;&gt;"",LEFT(_xlpm.sa,1)&lt;&gt;"#",_xlpm.sa&lt;&gt;"0"),_xlpm.sa,IF(AND(_xlpm.ta&lt;&gt;"",LEFT(_xlpm.ta,1)&lt;&gt;"#",_xlpm.ta&lt;&gt;"0"),_xlpm.ta,""))))</f>
        <v/>
      </c>
      <c r="AP144" s="8">
        <f t="shared" si="93"/>
        <v>0</v>
      </c>
      <c r="AQ144" s="8">
        <f t="shared" si="94"/>
        <v>0</v>
      </c>
      <c r="AR144" s="8" cm="1">
        <f t="array" ref="AR144">IF($BF144="",0,_xlfn.LET(_xlpm.d,IFERROR(--'Sales and count'!$G$2:$CC$2,0),SUMPRODUCT(('Sales and count'!$G$3:$CC$3="Total")*(_xlpm.d&gt;=$U$4)*(_xlpm.d&lt;=$U$5),INDEX('Sales and count'!$G$4:$CC$300,$BF144,0))))</f>
        <v>0</v>
      </c>
      <c r="AS144" s="8" cm="1">
        <f t="array" ref="AS144">IF($BF144="",0,_xlfn.LET(_xlpm.d,IFERROR(--'Sales and count'!$F$2:$CB$2,0),SUMPRODUCT(('Sales and count'!$G$3:$CC$3="Transactions")*(_xlpm.d&gt;=$U$4)*(_xlpm.d&lt;=$U$5),INDEX('Sales and count'!$G$4:$CC$300,$BF144,0))))</f>
        <v>0</v>
      </c>
      <c r="AT144" s="8" cm="1">
        <f t="array" ref="AT144">IF($AW144="",0,SUMPRODUCT((TRIM('LY Sales '!$B$5:$B$200)=$AW144)*('LY Sales '!$C$2:$AG$2&gt;=EDATE($U$4,-12))*('LY Sales '!$C$2:$AG$2&lt;=EDATE($U$5,-12)),'LY Sales '!$C$5:$AG$200))</f>
        <v>0</v>
      </c>
      <c r="AU144" s="8" cm="1">
        <f t="array" ref="AU144">IF($AW144="",0,SUMPRODUCT((TRIM('LY Transaction'!$B$5:$B$200)=$AW144)*('LY Transaction'!$C$2:$AG$2&gt;=EDATE($U$4,-12))*('LY Transaction'!$C$2:$AG$2&lt;=EDATE($U$5,-12)),'LY Transaction'!$C$5:$AG$200))</f>
        <v>0</v>
      </c>
      <c r="AV144" s="8" cm="1">
        <f t="array" ref="AV144">IF(NOT(ISNUMBER($BG144)),0,SUMPRODUCT(('TY Sales Target'!$K$2:$AO$2&gt;=$U$4)*('TY Sales Target'!$K$2:$AO$2&lt;=$U$5),INDEX('TY Sales Target'!$K$5:$AO$300,$BG144,0)))</f>
        <v>0</v>
      </c>
      <c r="AW144" s="8" t="str" cm="1">
        <f t="array" ref="AW144">IFERROR(INDEX(_xlfn.ANCHORARRAY($BR$5),ROWS($AW$5:AW144)),"")</f>
        <v/>
      </c>
      <c r="BB144" cm="1">
        <f t="array" ref="BB144">IF($AW144="",0,SUMPRODUCT((TRIM(Footfall!$B$5:$B$301)=$AW144)*(Footfall!$C$1:$BZ$1&gt;=$U$4)*(Footfall!$C$2:$BZ$2&lt;=$U$5)*(Footfall!$C$1:$BZ$1&lt;&gt;""),Footfall!$C$5:$BZ$301))</f>
        <v>0</v>
      </c>
      <c r="BC144" cm="1">
        <f t="array" ref="BC144">IF(OR($BB144&lt;=0,$BD$1="",$BF144=""),0,_xlfn.LET(_xlpm.d,IFERROR(--'Sales and count'!$F$2:$CB$2,0),SUMPRODUCT(('Sales and count'!$G$3:$CC$3="Transactions")*(_xlpm.d&gt;=$BD$1)*(_xlpm.d&lt;=$BD$2),INDEX('Sales and count'!$G$4:$CC$300,$BF144,0))))</f>
        <v>0</v>
      </c>
      <c r="BF144" t="str" cm="1">
        <f t="array" ref="BF144">IF($AW144="","",IFERROR(MATCH($AW144,TRIM('Sales and count'!$A$4:$A$300&amp;""),0),""))</f>
        <v/>
      </c>
      <c r="BG144" t="str" cm="1">
        <f t="array" ref="BG144">IF($AW144="","",IFERROR(MATCH(IFERROR(_xlfn.XLOOKUP($AW144,$BT$5:$BT$22,$BU$5:$BU$22),$AW144),TRIM('TY Sales Target'!$B$5:$B$300&amp;""),0),""))</f>
        <v/>
      </c>
      <c r="BH144" t="str" cm="1">
        <f t="array" ref="BH144">IF(ISNUMBER($BG144),_xlfn.LET(_xlpm.p,TRIM(INDEX('TY Sales Target'!$I$5:$I$300,$BG144)&amp;""),IF(_xlpm.p="","Not set",_xlpm.p)),"Not set")</f>
        <v>Not set</v>
      </c>
      <c r="BI144" cm="1">
        <f t="array" ref="BI144">IF($BF144="",0,_xlfn.LET(_xlpm.d,IFERROR(--'Sales and count'!$G$2:$CC$2,0),SUMPRODUCT(('Sales and count'!$G$3:$CC$3="Total")*(_xlpm.d&gt;=$BZ$5)*(_xlpm.d&lt;=$BZ$6),INDEX('Sales and count'!$G$4:$CC$300,$BF144,0))))</f>
        <v>0</v>
      </c>
      <c r="BJ144" cm="1">
        <f t="array" ref="BJ144">IF($AW144="",0,SUMPRODUCT((TRIM('LY Sales '!$B$5:$B$200)=$AW144)*('LY Sales '!$C$2:$AG$2&gt;=EDATE($BZ$5,-12))*('LY Sales '!$C$2:$AG$2&lt;=EDATE($BZ$6,-12)),'LY Sales '!$C$5:$AG$200))</f>
        <v>0</v>
      </c>
      <c r="BK144" cm="1">
        <f t="array" ref="BK144">IF($AW144="",0,SUMPRODUCT((TRIM('LY Sales '!$B$5:$B$200)=$AW144)*('LY Sales '!$C$2:$AG$2&gt;=EDATE($BZ$5,-12))*('LY Sales '!$C$2:$AG$2&lt;=EDATE($BZ$7,-12)),'LY Sales '!$C$5:$AG$200))</f>
        <v>0</v>
      </c>
      <c r="BL144" cm="1">
        <f t="array" ref="BL144">IF($AW144="",0,SUMPRODUCT((TRIM('LY Sales '!$B$5:$B$200)=$AW144)*('LY Sales '!$C$2:$AG$2&gt;=EDATE($BZ$5,-12))*('LY Sales '!$C$2:$AG$2&lt;=EDATE($BZ$6,-12))*('LY Sales '!$C$5:$AG$200&gt;0)))</f>
        <v>0</v>
      </c>
      <c r="BM144" cm="1">
        <f t="array" ref="BM144">IF(NOT(ISNUMBER($BG144)),0,SUMPRODUCT(('TY Sales Target'!$K$2:$AO$2&gt;=$BZ$5)*('TY Sales Target'!$K$2:$AO$2&lt;=$BZ$6),INDEX('TY Sales Target'!$K$5:$AO$300,$BG144,0)))</f>
        <v>0</v>
      </c>
      <c r="BN144" cm="1">
        <f t="array" ref="BN144">IF(NOT(ISNUMBER($BG144)),0,SUMPRODUCT(('TY Sales Target'!$K$2:$AO$2&gt;=$BZ$5)*('TY Sales Target'!$K$2:$AO$2&lt;=$BZ$7),INDEX('TY Sales Target'!$K$5:$AO$300,$BG144,0)))</f>
        <v>0</v>
      </c>
      <c r="BO144" cm="1">
        <f t="array" ref="BO144">IF($AW144="",0,IFERROR(_xlfn.SWITCH($BP144,"LY trend",$BI144*$BK144/$BJ144,"Target curve",$BI144*$BN144/$BM144,"Run rate",$BI144/$BZ$8*$BZ$9,0),0))</f>
        <v>0</v>
      </c>
      <c r="BP144" t="str">
        <f t="shared" si="92"/>
        <v/>
      </c>
      <c r="CB144" cm="1">
        <f t="array" ref="CB144">IF($AW144="",0,_xlfn.LET(_xlpm.k,IFERROR(_xlfn.XLOOKUP($AW144,$CD$6:$CD$21,$CE$6:$CE$21),$AW144),SUMPRODUCT((TRIM('Makeup '!$A$2:$A$300&amp;"")=_xlpm.k)*1,IFERROR('Makeup '!$F$2:$F$300*1,0))))</f>
        <v>0</v>
      </c>
      <c r="CF144" t="str" cm="1">
        <f t="array" ref="CF144">IF($AW144="","",_xlfn.LET(_xlpm.c,IFERROR(TRIM(INDEX('Sales and count'!$B$4:$B$300,$BF144)&amp;""),""),IF(OR(_xlpm.c="",_xlpm.c="0",LEFT(_xlpm.c,1)="#"),"Not set",_xlpm.c)))</f>
        <v/>
      </c>
      <c r="CH144" cm="1">
        <f t="array" ref="CH144">IF($AW144="",0,_xlfn.LET(_xlpm.k,IFERROR(_xlfn.XLOOKUP($AW144,$CD$6:$CD$21,$CE$6:$CE$21),$AW144),--(SUMPRODUCT((TRIM('Makeup '!$A$2:$A$300&amp;"")=_xlpm.k)*ISNUMBER('Makeup '!$F$2:$F$300))&gt;0)))</f>
        <v>0</v>
      </c>
      <c r="CI144">
        <f t="shared" si="95"/>
        <v>0</v>
      </c>
      <c r="CJ144" cm="1">
        <f t="array" ref="CJ144">IF($AW144="",0,--(SUMPRODUCT(--(TRIM(Footfall!$B$5:$B$301)=$AW144))&gt;0))</f>
        <v>0</v>
      </c>
      <c r="CK144" s="8" cm="1">
        <f t="array" ref="CK144">IF($AW144="",0,_xlfn.LET(_xlpm.r,IFERROR(MATCH(IFERROR(_xlfn.XLOOKUP($AW144,$BT$5:$BT$22,$BU$5:$BU$22),$AW144),TRIM('TY Beauty Target'!$B$5:$B$300&amp;""),0),""),IF(ISNUMBER(_xlpm.r),SUMPRODUCT(('TY Beauty Target'!$L$2:$AP$2&gt;=$U$4)*('TY Beauty Target'!$L$2:$AP$2&lt;=$U$5),INDEX('TY Beauty Target'!$L$5:$AP$300,_xlpm.r,0)),0)))</f>
        <v>0</v>
      </c>
    </row>
    <row r="145" spans="1:89" ht="15" customHeight="1" x14ac:dyDescent="0.25">
      <c r="A145" s="38" t="str">
        <f t="shared" si="79"/>
        <v/>
      </c>
      <c r="B145" s="43" t="str" cm="1">
        <f t="array" ref="B145">IF($AI145="","",IF(LEFT($AI145,2)="C|",IF($C145="","",_xlfn.TEXTJOIN(", ",TRUE,_xlfn.UNIQUE(_xlfn._xlws.FILTER($AN$5:$AN$302,($AP$5:$AP$302=1)*($AO$5:$AO$302=$A145))))),IF($AI145="CT",B$13,IF(LEFT($AI145,3)="AM|",IF($C145="","",ROWS(_xlfn.UNIQUE(_xlfn._xlws.FILTER($AO$5:$AO$302,($AP$5:$AP$302=1)*($AN$5:$AN$302=$A145))))),IF(LEFT($AI145,2)="S|",IF($AG145="","",INDEX($AO$5:$AO$302,$AH145)),IF($AI145="HDR","City",""))))))</f>
        <v/>
      </c>
      <c r="C145" s="39" t="str" cm="1">
        <f t="array" ref="C145">IF($AI145="","",IF(LEFT($AI145,2)="C|",_xlfn.LET(_xlpm.n,SUMPRODUCT($AP$5:$AP$302*($AO$5:$AO$302=$A145)),IF(_xlpm.n=0,"",_xlpm.n)),IF($AI145="CT",C$13,IF(LEFT($AI145,3)="AM|",_xlfn.LET(_xlpm.n,SUMPRODUCT($AP$5:$AP$302*($AN$5:$AN$302=$A145)),IF(_xlpm.n=0,"",_xlpm.n)),IF(LEFT($AI145,2)="S|","",IF($AI145="HDR","# Stores",""))))))</f>
        <v/>
      </c>
      <c r="D145" s="40" t="str" cm="1">
        <f t="array" ref="D145">IF($AI145="","",IF(LEFT($AI145,2)="C|",IF($C145="","",SUMPRODUCT($AP$5:$AP$302*($AO$5:$AO$302=$A145),$AR$5:$AR$302)),IF($AI145="CT",D$13,IF(LEFT($AI145,3)="AM|",IF($C145="","",SUMPRODUCT($AP$5:$AP$302*($AN$5:$AN$302=$A145),$AR$5:$AR$302)),IF(LEFT($AI145,2)="S|",IF($AG145="","",INDEX($AR$5:$AR$302,$AH145)),IF($AI145="HDR","Sales TY",""))))))</f>
        <v/>
      </c>
      <c r="E145" s="40" t="str" cm="1">
        <f t="array" ref="E145">IF($AI145="","",IF(LEFT($AI145,2)="C|",IF($C145="","",SUMPRODUCT($AP$5:$AP$302*($AO$5:$AO$302=$A145),$AT$5:$AT$302)),IF($AI145="CT",E$13,IF(LEFT($AI145,3)="AM|",IF($C145="","",SUMPRODUCT($AP$5:$AP$302*($AN$5:$AN$302=$A145),$AT$5:$AT$302)),IF(LEFT($AI145,2)="S|",IF($AG145="","",INDEX($AT$5:$AT$302,$AH145)),IF($AI145="HDR","Sales LY",""))))))</f>
        <v/>
      </c>
      <c r="F145" s="41" t="str">
        <f t="shared" si="80"/>
        <v/>
      </c>
      <c r="G145" s="41" t="str">
        <f t="shared" si="81"/>
        <v/>
      </c>
      <c r="H145" s="40" t="str" cm="1">
        <f t="array" ref="H145">IF($AI145="","",IF(LEFT($AI145,2)="C|",IF($C145="","",SUMPRODUCT($AP$5:$AP$302*($AO$5:$AO$302=$A145),$AV$5:$AV$302)),IF($AI145="CT",H$13,IF(LEFT($AI145,3)="AM|",IF($C145="","",SUMPRODUCT($AP$5:$AP$302*($AN$5:$AN$302=$A145),$AV$5:$AV$302)),IF(LEFT($AI145,2)="S|",IF($AG145="","",INDEX($AV$5:$AV$302,$AH145)),IF($AI145="HDR","Target",""))))))</f>
        <v/>
      </c>
      <c r="I145" s="41" t="str">
        <f t="shared" si="82"/>
        <v/>
      </c>
      <c r="J145" s="40" t="str">
        <f t="shared" si="83"/>
        <v/>
      </c>
      <c r="K145" s="41" t="str">
        <f t="shared" si="84"/>
        <v/>
      </c>
      <c r="L145" s="40" t="str" cm="1">
        <f t="array" ref="L145">IF($AI145="","",IF(LEFT($AI145,2)="C|",IF($C145="","",SUMPRODUCT($AP$5:$AP$302*($AO$5:$AO$302=$A145),$BN$5:$BN$302)),IF($AI145="CT",L$13,IF(LEFT($AI145,3)="AM|",IF($C145="","",SUMPRODUCT($AP$5:$AP$302*($AN$5:$AN$302=$A145),$BN$5:$BN$302)),IF(LEFT($AI145,2)="S|",IF($AG145="","",INDEX($BN$5:$BN$302,$AH145)),IF($AI145="HDR","Month Target",""))))))</f>
        <v/>
      </c>
      <c r="M145" s="40" t="str" cm="1">
        <f t="array" ref="M145">IF($AI145="","",IF(LEFT($AI145,2)="C|",IF($C145="","",SUMPRODUCT($AP$5:$AP$302*($AO$5:$AO$302=$A145),$BO$5:$BO$302)),IF($AI145="CT",M$13,IF(LEFT($AI145,3)="AM|",IF($C145="","",SUMPRODUCT($AP$5:$AP$302*($AN$5:$AN$302=$A145),$BO$5:$BO$302)),IF(LEFT($AI145,2)="S|",IF($AG145="","",INDEX($BO$5:$BO$302,$AH145)),IF($AI145="HDR","Projected Close",""))))))</f>
        <v/>
      </c>
      <c r="N145" s="41" t="str">
        <f t="shared" si="76"/>
        <v/>
      </c>
      <c r="O145" s="41" t="str" cm="1">
        <f t="array" ref="O145">IF($AI145="HDR","Proj. vs LY",IF(OR($AI145="",M145=""),"",_xlfn.LET(_xlpm.ly,IF(LEFT($AI145,2)="C|",SUMPRODUCT($AP$5:$AP$302*($AO$5:$AO$302=$A145),$BK$5:$BK$302),IF($AI145="CT",SUMPRODUCT($AP$5:$AP$302,$BK$5:$BK$302),IF(LEFT($AI145,3)="AM|",SUMPRODUCT($AP$5:$AP$302*($AN$5:$AN$302=$A145),$BK$5:$BK$302),IF(LEFT($AI145,2)="S|",INDEX($BK$5:$BK$302,$AH145),0)))),IFERROR(M145/_xlpm.ly-1,""))))</f>
        <v/>
      </c>
      <c r="P145" s="40" t="str" cm="1">
        <f t="array" ref="P145">IF($AI145="","",IF(LEFT($AI145,2)="C|",IF($C145="","",SUMPRODUCT($AP$5:$AP$302*($AO$5:$AO$302=$A145),$AS$5:$AS$302)),IF($AI145="CT",P$13,IF(LEFT($AI145,3)="AM|",IF($C145="","",SUMPRODUCT($AP$5:$AP$302*($AN$5:$AN$302=$A145),$AS$5:$AS$302)),IF(LEFT($AI145,2)="S|",IF($AG145="","",INDEX($AS$5:$AS$302,$AH145)),IF($AI145="HDR","Trans TY",""))))))</f>
        <v/>
      </c>
      <c r="Q145" s="40" t="str" cm="1">
        <f t="array" ref="Q145">IF($AI145="","",IF(LEFT($AI145,2)="C|",IF($C145="","",SUMPRODUCT($AP$5:$AP$302*($AO$5:$AO$302=$A145),$AU$5:$AU$302)),IF($AI145="CT",Q$13,IF(LEFT($AI145,3)="AM|",IF($C145="","",SUMPRODUCT($AP$5:$AP$302*($AN$5:$AN$302=$A145),$AU$5:$AU$302)),IF(LEFT($AI145,2)="S|",IF($AG145="","",INDEX($AU$5:$AU$302,$AH145)),IF($AI145="HDR","Trans LY",""))))))</f>
        <v/>
      </c>
      <c r="R145" s="41" t="str">
        <f t="shared" si="85"/>
        <v/>
      </c>
      <c r="S145" s="41" t="str">
        <f t="shared" si="86"/>
        <v/>
      </c>
      <c r="T145" s="42" t="str">
        <f t="shared" si="87"/>
        <v/>
      </c>
      <c r="U145" s="42" t="str">
        <f t="shared" si="88"/>
        <v/>
      </c>
      <c r="V145" s="41" t="str">
        <f t="shared" si="89"/>
        <v/>
      </c>
      <c r="W145" s="40" t="str" cm="1">
        <f t="array" ref="W145">IF($AI145="","",IF(LEFT($AI145,2)="C|",_xlfn.LET(_xlpm.n,SUMPRODUCT($AP$5:$AP$302*($AO$5:$AO$302=$A145),$BB$5:$BB$302),IF(_xlpm.n=0,"",_xlpm.n)),IF($AI145="CT",W$13,IF(LEFT($AI145,3)="AM|",_xlfn.LET(_xlpm.n,SUMPRODUCT($AP$5:$AP$302*($AN$5:$AN$302=$A145),$BB$5:$BB$302),IF(_xlpm.n=0,"",_xlpm.n)),IF(LEFT($AI145,2)="S|",IF($AG145="","",_xlfn.LET(_xlpm.n,INDEX($BB$5:$BB$302,$AH145),IF(_xlpm.n=0,"",_xlpm.n))),IF($AI145="HDR","Footfall",""))))))</f>
        <v/>
      </c>
      <c r="X145" s="40" t="str" cm="1">
        <f t="array" ref="X145">IF($AI145="","",IF($AI145="HDR","Trans (FF stores)",IF(W145="","",IF(LEFT($AI145,2)="C|",SUMPRODUCT($AP$5:$AP$302*($AO$5:$AO$302=$A145),$BC$5:$BC$302),IF($AI145="CT",X$13,IF(LEFT($AI145,3)="AM|",SUMPRODUCT($AP$5:$AP$302*($AN$5:$AN$302=$A145),$BC$5:$BC$302),IF(LEFT($AI145,2)="S|",INDEX($BC$5:$BC$302,$AH145),"")))))))</f>
        <v/>
      </c>
      <c r="Y145" s="41" t="str">
        <f t="shared" si="77"/>
        <v/>
      </c>
      <c r="Z145" s="40" t="str" cm="1">
        <f t="array" ref="Z145">IF($AI145="","",IF(LEFT($AI145,2)="C|",IF($C145="","",SUMPRODUCT($AP$5:$AP$302*($AO$5:$AO$302=$A145),$CB$5:$CB$302)),IF($AI145="CT",Z$13,IF(LEFT($AI145,3)="AM|",IF($C145="","",SUMPRODUCT($AP$5:$AP$302*($AN$5:$AN$302=$A145),$CB$5:$CB$302)),IF(LEFT($AI145,2)="S|",IF($AG145="","",INDEX($CB$5:$CB$302,$AH145)),IF($AI145="HDR","Makeup Sales",""))))))</f>
        <v/>
      </c>
      <c r="AA145" s="41" t="str">
        <f t="shared" si="90"/>
        <v/>
      </c>
      <c r="AB145" s="40" t="str" cm="1">
        <f t="array" ref="AB145">IF($AI145="","",IF(LEFT($AI145,2)="C|",IF($C145="","",SUMPRODUCT($AP$5:$AP$302*($AO$5:$AO$302=$A145),$CK$5:$CK$302)),IF($AI145="CT",AB$13,IF(LEFT($AI145,3)="AM|",IF($C145="","",SUMPRODUCT($AP$5:$AP$302*($AN$5:$AN$302=$A145),$CK$5:$CK$302)),IF(LEFT($AI145,2)="S|",IF($AG145="","",INDEX($CK$5:$CK$302,$AH145)),IF($AI145="HDR","Makeup Target",""))))))</f>
        <v/>
      </c>
      <c r="AC145" s="41" t="str">
        <f t="shared" si="78"/>
        <v/>
      </c>
      <c r="AD145" s="40" t="str" cm="1">
        <f t="array" ref="AD145">IF($AI145="","",IF(LEFT($AI145,2)="C|",IF($C145="","",SUMPRODUCT($AP$5:$AP$302*($AO$5:$AO$302=$A145),$CI$5:$CI$302)),IF($AI145="CT",AD$13,IF(LEFT($AI145,3)="AM|",IF($C145="","",SUMPRODUCT($AP$5:$AP$302*($AN$5:$AN$302=$A145),$CI$5:$CI$302)),IF(LEFT($AI145,2)="S|",IF($AG145="","",INDEX($CI$5:$CI$302,$AH145)),IF($AI145="HDR","Cosmetic Sales",""))))))</f>
        <v/>
      </c>
      <c r="AE145" s="8" t="str" cm="1">
        <f t="array" ref="AE145">IF($AI145="","",IF(LEFT($AI145,2)="C|",IF($C145="","",SUMPRODUCT($AP$5:$AP$302*($AO$5:$AO$302=$A145)*$AQ$5:$AQ$302,$AR$5:$AR$302)),IF($AI145="CT",AE$13,IF(LEFT($AI145,3)="AM|",IF($C145="","",SUMPRODUCT($AP$5:$AP$302*($AN$5:$AN$302=$A145)*$AQ$5:$AQ$302,$AR$5:$AR$302)),IF(LEFT($AI145,2)="S|",IF($AG145="","",IF(INDEX($AQ$5:$AQ$302,$AH145)=1,D145,0)),IF($AI145="HDR","LFL Sales",""))))))</f>
        <v/>
      </c>
      <c r="AF145" s="8" t="str" cm="1">
        <f t="array" ref="AF145">IF($AI145="","",IF(LEFT($AI145,2)="C|",IF($C145="","",SUMPRODUCT($AP$5:$AP$302*($AO$5:$AO$302=$A145)*$AQ$5:$AQ$302,$AS$5:$AS$302)),IF($AI145="CT",AF$13,IF(LEFT($AI145,3)="AM|",IF($C145="","",SUMPRODUCT($AP$5:$AP$302*($AN$5:$AN$302=$A145)*$AQ$5:$AQ$302,$AS$5:$AS$302)),IF(LEFT($AI145,2)="S|",IF($AG145="","",IF(INDEX($AQ$5:$AQ$302,$AH145)=1,P145,0)),IF($AI145="HDR","LFL Trans",""))))))</f>
        <v/>
      </c>
      <c r="AG145" s="8" t="str" cm="1">
        <f t="array" ref="AG145">IF($AI145="","",IF(LEFT($AI145,2)="C|","",IF($AI145="CT","",IF(LEFT($AI145,3)="AM|","",IF(LEFT($AI145,2)="S|",IF($AH145="","",IF(INDEX($AP$5:$AP$302,$AH145)=1,1,"")),IF($AI145="HDR","Show",""))))))</f>
        <v/>
      </c>
      <c r="AH145" s="8" t="str">
        <f t="shared" si="91"/>
        <v/>
      </c>
      <c r="AI145" s="8"/>
      <c r="AN145" s="8" t="str" cm="1">
        <f t="array" ref="AN145">IF($AW145="","",_xlfn.LET(_xlpm.sa,IFERROR(TRIM(INDEX('Sales and count'!$D$4:$D$300,$BF145)&amp;""),""),_xlpm.ta,IFERROR(TRIM(INDEX('TY Sales Target'!$F$5:$F$300,$BG145)&amp;""),""),IF(AND(_xlpm.sa&lt;&gt;"",LEFT(_xlpm.sa,1)&lt;&gt;"#",_xlpm.sa&lt;&gt;"0"),_xlpm.sa,IF(AND(_xlpm.ta&lt;&gt;"",LEFT(_xlpm.ta,1)&lt;&gt;"#",_xlpm.ta&lt;&gt;"0"),_xlpm.ta,IF(ISNUMBER($BG145),"Unassigned","")))))</f>
        <v/>
      </c>
      <c r="AO145" s="8" t="str" cm="1">
        <f t="array" ref="AO145">IF($AW145="","",_xlfn.LET(_xlpm.sa,IFERROR(TRIM(INDEX('Sales and count'!$C$4:$C$300,$BF145)&amp;""),""),_xlpm.ta,IFERROR(TRIM(INDEX('TY Sales Target'!$D$5:$D$300,$BG145)&amp;""),""),IF(AND(_xlpm.sa&lt;&gt;"",LEFT(_xlpm.sa,1)&lt;&gt;"#",_xlpm.sa&lt;&gt;"0"),_xlpm.sa,IF(AND(_xlpm.ta&lt;&gt;"",LEFT(_xlpm.ta,1)&lt;&gt;"#",_xlpm.ta&lt;&gt;"0"),_xlpm.ta,""))))</f>
        <v/>
      </c>
      <c r="AP145" s="8">
        <f t="shared" si="93"/>
        <v>0</v>
      </c>
      <c r="AQ145" s="8">
        <f t="shared" si="94"/>
        <v>0</v>
      </c>
      <c r="AR145" s="8" cm="1">
        <f t="array" ref="AR145">IF($BF145="",0,_xlfn.LET(_xlpm.d,IFERROR(--'Sales and count'!$G$2:$CC$2,0),SUMPRODUCT(('Sales and count'!$G$3:$CC$3="Total")*(_xlpm.d&gt;=$U$4)*(_xlpm.d&lt;=$U$5),INDEX('Sales and count'!$G$4:$CC$300,$BF145,0))))</f>
        <v>0</v>
      </c>
      <c r="AS145" s="8" cm="1">
        <f t="array" ref="AS145">IF($BF145="",0,_xlfn.LET(_xlpm.d,IFERROR(--'Sales and count'!$F$2:$CB$2,0),SUMPRODUCT(('Sales and count'!$G$3:$CC$3="Transactions")*(_xlpm.d&gt;=$U$4)*(_xlpm.d&lt;=$U$5),INDEX('Sales and count'!$G$4:$CC$300,$BF145,0))))</f>
        <v>0</v>
      </c>
      <c r="AT145" s="8" cm="1">
        <f t="array" ref="AT145">IF($AW145="",0,SUMPRODUCT((TRIM('LY Sales '!$B$5:$B$200)=$AW145)*('LY Sales '!$C$2:$AG$2&gt;=EDATE($U$4,-12))*('LY Sales '!$C$2:$AG$2&lt;=EDATE($U$5,-12)),'LY Sales '!$C$5:$AG$200))</f>
        <v>0</v>
      </c>
      <c r="AU145" s="8" cm="1">
        <f t="array" ref="AU145">IF($AW145="",0,SUMPRODUCT((TRIM('LY Transaction'!$B$5:$B$200)=$AW145)*('LY Transaction'!$C$2:$AG$2&gt;=EDATE($U$4,-12))*('LY Transaction'!$C$2:$AG$2&lt;=EDATE($U$5,-12)),'LY Transaction'!$C$5:$AG$200))</f>
        <v>0</v>
      </c>
      <c r="AV145" s="8" cm="1">
        <f t="array" ref="AV145">IF(NOT(ISNUMBER($BG145)),0,SUMPRODUCT(('TY Sales Target'!$K$2:$AO$2&gt;=$U$4)*('TY Sales Target'!$K$2:$AO$2&lt;=$U$5),INDEX('TY Sales Target'!$K$5:$AO$300,$BG145,0)))</f>
        <v>0</v>
      </c>
      <c r="AW145" s="8" t="str" cm="1">
        <f t="array" ref="AW145">IFERROR(INDEX(_xlfn.ANCHORARRAY($BR$5),ROWS($AW$5:AW145)),"")</f>
        <v/>
      </c>
      <c r="BB145" cm="1">
        <f t="array" ref="BB145">IF($AW145="",0,SUMPRODUCT((TRIM(Footfall!$B$5:$B$301)=$AW145)*(Footfall!$C$1:$BZ$1&gt;=$U$4)*(Footfall!$C$2:$BZ$2&lt;=$U$5)*(Footfall!$C$1:$BZ$1&lt;&gt;""),Footfall!$C$5:$BZ$301))</f>
        <v>0</v>
      </c>
      <c r="BC145" cm="1">
        <f t="array" ref="BC145">IF(OR($BB145&lt;=0,$BD$1="",$BF145=""),0,_xlfn.LET(_xlpm.d,IFERROR(--'Sales and count'!$F$2:$CB$2,0),SUMPRODUCT(('Sales and count'!$G$3:$CC$3="Transactions")*(_xlpm.d&gt;=$BD$1)*(_xlpm.d&lt;=$BD$2),INDEX('Sales and count'!$G$4:$CC$300,$BF145,0))))</f>
        <v>0</v>
      </c>
      <c r="BF145" t="str" cm="1">
        <f t="array" ref="BF145">IF($AW145="","",IFERROR(MATCH($AW145,TRIM('Sales and count'!$A$4:$A$300&amp;""),0),""))</f>
        <v/>
      </c>
      <c r="BG145" t="str" cm="1">
        <f t="array" ref="BG145">IF($AW145="","",IFERROR(MATCH(IFERROR(_xlfn.XLOOKUP($AW145,$BT$5:$BT$22,$BU$5:$BU$22),$AW145),TRIM('TY Sales Target'!$B$5:$B$300&amp;""),0),""))</f>
        <v/>
      </c>
      <c r="BH145" t="str" cm="1">
        <f t="array" ref="BH145">IF(ISNUMBER($BG145),_xlfn.LET(_xlpm.p,TRIM(INDEX('TY Sales Target'!$I$5:$I$300,$BG145)&amp;""),IF(_xlpm.p="","Not set",_xlpm.p)),"Not set")</f>
        <v>Not set</v>
      </c>
      <c r="BI145" cm="1">
        <f t="array" ref="BI145">IF($BF145="",0,_xlfn.LET(_xlpm.d,IFERROR(--'Sales and count'!$G$2:$CC$2,0),SUMPRODUCT(('Sales and count'!$G$3:$CC$3="Total")*(_xlpm.d&gt;=$BZ$5)*(_xlpm.d&lt;=$BZ$6),INDEX('Sales and count'!$G$4:$CC$300,$BF145,0))))</f>
        <v>0</v>
      </c>
      <c r="BJ145" cm="1">
        <f t="array" ref="BJ145">IF($AW145="",0,SUMPRODUCT((TRIM('LY Sales '!$B$5:$B$200)=$AW145)*('LY Sales '!$C$2:$AG$2&gt;=EDATE($BZ$5,-12))*('LY Sales '!$C$2:$AG$2&lt;=EDATE($BZ$6,-12)),'LY Sales '!$C$5:$AG$200))</f>
        <v>0</v>
      </c>
      <c r="BK145" cm="1">
        <f t="array" ref="BK145">IF($AW145="",0,SUMPRODUCT((TRIM('LY Sales '!$B$5:$B$200)=$AW145)*('LY Sales '!$C$2:$AG$2&gt;=EDATE($BZ$5,-12))*('LY Sales '!$C$2:$AG$2&lt;=EDATE($BZ$7,-12)),'LY Sales '!$C$5:$AG$200))</f>
        <v>0</v>
      </c>
      <c r="BL145" cm="1">
        <f t="array" ref="BL145">IF($AW145="",0,SUMPRODUCT((TRIM('LY Sales '!$B$5:$B$200)=$AW145)*('LY Sales '!$C$2:$AG$2&gt;=EDATE($BZ$5,-12))*('LY Sales '!$C$2:$AG$2&lt;=EDATE($BZ$6,-12))*('LY Sales '!$C$5:$AG$200&gt;0)))</f>
        <v>0</v>
      </c>
      <c r="BM145" cm="1">
        <f t="array" ref="BM145">IF(NOT(ISNUMBER($BG145)),0,SUMPRODUCT(('TY Sales Target'!$K$2:$AO$2&gt;=$BZ$5)*('TY Sales Target'!$K$2:$AO$2&lt;=$BZ$6),INDEX('TY Sales Target'!$K$5:$AO$300,$BG145,0)))</f>
        <v>0</v>
      </c>
      <c r="BN145" cm="1">
        <f t="array" ref="BN145">IF(NOT(ISNUMBER($BG145)),0,SUMPRODUCT(('TY Sales Target'!$K$2:$AO$2&gt;=$BZ$5)*('TY Sales Target'!$K$2:$AO$2&lt;=$BZ$7),INDEX('TY Sales Target'!$K$5:$AO$300,$BG145,0)))</f>
        <v>0</v>
      </c>
      <c r="BO145" cm="1">
        <f t="array" ref="BO145">IF($AW145="",0,IFERROR(_xlfn.SWITCH($BP145,"LY trend",$BI145*$BK145/$BJ145,"Target curve",$BI145*$BN145/$BM145,"Run rate",$BI145/$BZ$8*$BZ$9,0),0))</f>
        <v>0</v>
      </c>
      <c r="BP145" t="str">
        <f t="shared" si="92"/>
        <v/>
      </c>
      <c r="CB145" cm="1">
        <f t="array" ref="CB145">IF($AW145="",0,_xlfn.LET(_xlpm.k,IFERROR(_xlfn.XLOOKUP($AW145,$CD$6:$CD$21,$CE$6:$CE$21),$AW145),SUMPRODUCT((TRIM('Makeup '!$A$2:$A$300&amp;"")=_xlpm.k)*1,IFERROR('Makeup '!$F$2:$F$300*1,0))))</f>
        <v>0</v>
      </c>
      <c r="CF145" t="str" cm="1">
        <f t="array" ref="CF145">IF($AW145="","",_xlfn.LET(_xlpm.c,IFERROR(TRIM(INDEX('Sales and count'!$B$4:$B$300,$BF145)&amp;""),""),IF(OR(_xlpm.c="",_xlpm.c="0",LEFT(_xlpm.c,1)="#"),"Not set",_xlpm.c)))</f>
        <v/>
      </c>
      <c r="CH145" cm="1">
        <f t="array" ref="CH145">IF($AW145="",0,_xlfn.LET(_xlpm.k,IFERROR(_xlfn.XLOOKUP($AW145,$CD$6:$CD$21,$CE$6:$CE$21),$AW145),--(SUMPRODUCT((TRIM('Makeup '!$A$2:$A$300&amp;"")=_xlpm.k)*ISNUMBER('Makeup '!$F$2:$F$300))&gt;0)))</f>
        <v>0</v>
      </c>
      <c r="CI145">
        <f t="shared" si="95"/>
        <v>0</v>
      </c>
      <c r="CJ145" cm="1">
        <f t="array" ref="CJ145">IF($AW145="",0,--(SUMPRODUCT(--(TRIM(Footfall!$B$5:$B$301)=$AW145))&gt;0))</f>
        <v>0</v>
      </c>
      <c r="CK145" s="8" cm="1">
        <f t="array" ref="CK145">IF($AW145="",0,_xlfn.LET(_xlpm.r,IFERROR(MATCH(IFERROR(_xlfn.XLOOKUP($AW145,$BT$5:$BT$22,$BU$5:$BU$22),$AW145),TRIM('TY Beauty Target'!$B$5:$B$300&amp;""),0),""),IF(ISNUMBER(_xlpm.r),SUMPRODUCT(('TY Beauty Target'!$L$2:$AP$2&gt;=$U$4)*('TY Beauty Target'!$L$2:$AP$2&lt;=$U$5),INDEX('TY Beauty Target'!$L$5:$AP$300,_xlpm.r,0)),0)))</f>
        <v>0</v>
      </c>
    </row>
    <row r="146" spans="1:89" ht="15" customHeight="1" x14ac:dyDescent="0.25">
      <c r="A146" s="38" t="str">
        <f t="shared" si="79"/>
        <v/>
      </c>
      <c r="B146" s="43" t="str" cm="1">
        <f t="array" ref="B146">IF($AI146="","",IF(LEFT($AI146,2)="C|",IF($C146="","",_xlfn.TEXTJOIN(", ",TRUE,_xlfn.UNIQUE(_xlfn._xlws.FILTER($AN$5:$AN$302,($AP$5:$AP$302=1)*($AO$5:$AO$302=$A146))))),IF($AI146="CT",B$13,IF(LEFT($AI146,3)="AM|",IF($C146="","",ROWS(_xlfn.UNIQUE(_xlfn._xlws.FILTER($AO$5:$AO$302,($AP$5:$AP$302=1)*($AN$5:$AN$302=$A146))))),IF(LEFT($AI146,2)="S|",IF($AG146="","",INDEX($AO$5:$AO$302,$AH146)),IF($AI146="HDR","City",""))))))</f>
        <v/>
      </c>
      <c r="C146" s="39" t="str" cm="1">
        <f t="array" ref="C146">IF($AI146="","",IF(LEFT($AI146,2)="C|",_xlfn.LET(_xlpm.n,SUMPRODUCT($AP$5:$AP$302*($AO$5:$AO$302=$A146)),IF(_xlpm.n=0,"",_xlpm.n)),IF($AI146="CT",C$13,IF(LEFT($AI146,3)="AM|",_xlfn.LET(_xlpm.n,SUMPRODUCT($AP$5:$AP$302*($AN$5:$AN$302=$A146)),IF(_xlpm.n=0,"",_xlpm.n)),IF(LEFT($AI146,2)="S|","",IF($AI146="HDR","# Stores",""))))))</f>
        <v/>
      </c>
      <c r="D146" s="40" t="str" cm="1">
        <f t="array" ref="D146">IF($AI146="","",IF(LEFT($AI146,2)="C|",IF($C146="","",SUMPRODUCT($AP$5:$AP$302*($AO$5:$AO$302=$A146),$AR$5:$AR$302)),IF($AI146="CT",D$13,IF(LEFT($AI146,3)="AM|",IF($C146="","",SUMPRODUCT($AP$5:$AP$302*($AN$5:$AN$302=$A146),$AR$5:$AR$302)),IF(LEFT($AI146,2)="S|",IF($AG146="","",INDEX($AR$5:$AR$302,$AH146)),IF($AI146="HDR","Sales TY",""))))))</f>
        <v/>
      </c>
      <c r="E146" s="40" t="str" cm="1">
        <f t="array" ref="E146">IF($AI146="","",IF(LEFT($AI146,2)="C|",IF($C146="","",SUMPRODUCT($AP$5:$AP$302*($AO$5:$AO$302=$A146),$AT$5:$AT$302)),IF($AI146="CT",E$13,IF(LEFT($AI146,3)="AM|",IF($C146="","",SUMPRODUCT($AP$5:$AP$302*($AN$5:$AN$302=$A146),$AT$5:$AT$302)),IF(LEFT($AI146,2)="S|",IF($AG146="","",INDEX($AT$5:$AT$302,$AH146)),IF($AI146="HDR","Sales LY",""))))))</f>
        <v/>
      </c>
      <c r="F146" s="41" t="str">
        <f t="shared" si="80"/>
        <v/>
      </c>
      <c r="G146" s="41" t="str">
        <f t="shared" si="81"/>
        <v/>
      </c>
      <c r="H146" s="40" t="str" cm="1">
        <f t="array" ref="H146">IF($AI146="","",IF(LEFT($AI146,2)="C|",IF($C146="","",SUMPRODUCT($AP$5:$AP$302*($AO$5:$AO$302=$A146),$AV$5:$AV$302)),IF($AI146="CT",H$13,IF(LEFT($AI146,3)="AM|",IF($C146="","",SUMPRODUCT($AP$5:$AP$302*($AN$5:$AN$302=$A146),$AV$5:$AV$302)),IF(LEFT($AI146,2)="S|",IF($AG146="","",INDEX($AV$5:$AV$302,$AH146)),IF($AI146="HDR","Target",""))))))</f>
        <v/>
      </c>
      <c r="I146" s="41" t="str">
        <f t="shared" si="82"/>
        <v/>
      </c>
      <c r="J146" s="40" t="str">
        <f t="shared" si="83"/>
        <v/>
      </c>
      <c r="K146" s="41" t="str">
        <f t="shared" si="84"/>
        <v/>
      </c>
      <c r="L146" s="40" t="str" cm="1">
        <f t="array" ref="L146">IF($AI146="","",IF(LEFT($AI146,2)="C|",IF($C146="","",SUMPRODUCT($AP$5:$AP$302*($AO$5:$AO$302=$A146),$BN$5:$BN$302)),IF($AI146="CT",L$13,IF(LEFT($AI146,3)="AM|",IF($C146="","",SUMPRODUCT($AP$5:$AP$302*($AN$5:$AN$302=$A146),$BN$5:$BN$302)),IF(LEFT($AI146,2)="S|",IF($AG146="","",INDEX($BN$5:$BN$302,$AH146)),IF($AI146="HDR","Month Target",""))))))</f>
        <v/>
      </c>
      <c r="M146" s="40" t="str" cm="1">
        <f t="array" ref="M146">IF($AI146="","",IF(LEFT($AI146,2)="C|",IF($C146="","",SUMPRODUCT($AP$5:$AP$302*($AO$5:$AO$302=$A146),$BO$5:$BO$302)),IF($AI146="CT",M$13,IF(LEFT($AI146,3)="AM|",IF($C146="","",SUMPRODUCT($AP$5:$AP$302*($AN$5:$AN$302=$A146),$BO$5:$BO$302)),IF(LEFT($AI146,2)="S|",IF($AG146="","",INDEX($BO$5:$BO$302,$AH146)),IF($AI146="HDR","Projected Close",""))))))</f>
        <v/>
      </c>
      <c r="N146" s="41" t="str">
        <f t="shared" si="76"/>
        <v/>
      </c>
      <c r="O146" s="41" t="str" cm="1">
        <f t="array" ref="O146">IF($AI146="HDR","Proj. vs LY",IF(OR($AI146="",M146=""),"",_xlfn.LET(_xlpm.ly,IF(LEFT($AI146,2)="C|",SUMPRODUCT($AP$5:$AP$302*($AO$5:$AO$302=$A146),$BK$5:$BK$302),IF($AI146="CT",SUMPRODUCT($AP$5:$AP$302,$BK$5:$BK$302),IF(LEFT($AI146,3)="AM|",SUMPRODUCT($AP$5:$AP$302*($AN$5:$AN$302=$A146),$BK$5:$BK$302),IF(LEFT($AI146,2)="S|",INDEX($BK$5:$BK$302,$AH146),0)))),IFERROR(M146/_xlpm.ly-1,""))))</f>
        <v/>
      </c>
      <c r="P146" s="40" t="str" cm="1">
        <f t="array" ref="P146">IF($AI146="","",IF(LEFT($AI146,2)="C|",IF($C146="","",SUMPRODUCT($AP$5:$AP$302*($AO$5:$AO$302=$A146),$AS$5:$AS$302)),IF($AI146="CT",P$13,IF(LEFT($AI146,3)="AM|",IF($C146="","",SUMPRODUCT($AP$5:$AP$302*($AN$5:$AN$302=$A146),$AS$5:$AS$302)),IF(LEFT($AI146,2)="S|",IF($AG146="","",INDEX($AS$5:$AS$302,$AH146)),IF($AI146="HDR","Trans TY",""))))))</f>
        <v/>
      </c>
      <c r="Q146" s="40" t="str" cm="1">
        <f t="array" ref="Q146">IF($AI146="","",IF(LEFT($AI146,2)="C|",IF($C146="","",SUMPRODUCT($AP$5:$AP$302*($AO$5:$AO$302=$A146),$AU$5:$AU$302)),IF($AI146="CT",Q$13,IF(LEFT($AI146,3)="AM|",IF($C146="","",SUMPRODUCT($AP$5:$AP$302*($AN$5:$AN$302=$A146),$AU$5:$AU$302)),IF(LEFT($AI146,2)="S|",IF($AG146="","",INDEX($AU$5:$AU$302,$AH146)),IF($AI146="HDR","Trans LY",""))))))</f>
        <v/>
      </c>
      <c r="R146" s="41" t="str">
        <f t="shared" si="85"/>
        <v/>
      </c>
      <c r="S146" s="41" t="str">
        <f t="shared" si="86"/>
        <v/>
      </c>
      <c r="T146" s="42" t="str">
        <f t="shared" si="87"/>
        <v/>
      </c>
      <c r="U146" s="42" t="str">
        <f t="shared" si="88"/>
        <v/>
      </c>
      <c r="V146" s="41" t="str">
        <f t="shared" si="89"/>
        <v/>
      </c>
      <c r="W146" s="40" t="str" cm="1">
        <f t="array" ref="W146">IF($AI146="","",IF(LEFT($AI146,2)="C|",_xlfn.LET(_xlpm.n,SUMPRODUCT($AP$5:$AP$302*($AO$5:$AO$302=$A146),$BB$5:$BB$302),IF(_xlpm.n=0,"",_xlpm.n)),IF($AI146="CT",W$13,IF(LEFT($AI146,3)="AM|",_xlfn.LET(_xlpm.n,SUMPRODUCT($AP$5:$AP$302*($AN$5:$AN$302=$A146),$BB$5:$BB$302),IF(_xlpm.n=0,"",_xlpm.n)),IF(LEFT($AI146,2)="S|",IF($AG146="","",_xlfn.LET(_xlpm.n,INDEX($BB$5:$BB$302,$AH146),IF(_xlpm.n=0,"",_xlpm.n))),IF($AI146="HDR","Footfall",""))))))</f>
        <v/>
      </c>
      <c r="X146" s="40" t="str" cm="1">
        <f t="array" ref="X146">IF($AI146="","",IF($AI146="HDR","Trans (FF stores)",IF(W146="","",IF(LEFT($AI146,2)="C|",SUMPRODUCT($AP$5:$AP$302*($AO$5:$AO$302=$A146),$BC$5:$BC$302),IF($AI146="CT",X$13,IF(LEFT($AI146,3)="AM|",SUMPRODUCT($AP$5:$AP$302*($AN$5:$AN$302=$A146),$BC$5:$BC$302),IF(LEFT($AI146,2)="S|",INDEX($BC$5:$BC$302,$AH146),"")))))))</f>
        <v/>
      </c>
      <c r="Y146" s="41" t="str">
        <f t="shared" si="77"/>
        <v/>
      </c>
      <c r="Z146" s="40" t="str" cm="1">
        <f t="array" ref="Z146">IF($AI146="","",IF(LEFT($AI146,2)="C|",IF($C146="","",SUMPRODUCT($AP$5:$AP$302*($AO$5:$AO$302=$A146),$CB$5:$CB$302)),IF($AI146="CT",Z$13,IF(LEFT($AI146,3)="AM|",IF($C146="","",SUMPRODUCT($AP$5:$AP$302*($AN$5:$AN$302=$A146),$CB$5:$CB$302)),IF(LEFT($AI146,2)="S|",IF($AG146="","",INDEX($CB$5:$CB$302,$AH146)),IF($AI146="HDR","Makeup Sales",""))))))</f>
        <v/>
      </c>
      <c r="AA146" s="41" t="str">
        <f t="shared" si="90"/>
        <v/>
      </c>
      <c r="AB146" s="40" t="str" cm="1">
        <f t="array" ref="AB146">IF($AI146="","",IF(LEFT($AI146,2)="C|",IF($C146="","",SUMPRODUCT($AP$5:$AP$302*($AO$5:$AO$302=$A146),$CK$5:$CK$302)),IF($AI146="CT",AB$13,IF(LEFT($AI146,3)="AM|",IF($C146="","",SUMPRODUCT($AP$5:$AP$302*($AN$5:$AN$302=$A146),$CK$5:$CK$302)),IF(LEFT($AI146,2)="S|",IF($AG146="","",INDEX($CK$5:$CK$302,$AH146)),IF($AI146="HDR","Makeup Target",""))))))</f>
        <v/>
      </c>
      <c r="AC146" s="41" t="str">
        <f t="shared" si="78"/>
        <v/>
      </c>
      <c r="AD146" s="40" t="str" cm="1">
        <f t="array" ref="AD146">IF($AI146="","",IF(LEFT($AI146,2)="C|",IF($C146="","",SUMPRODUCT($AP$5:$AP$302*($AO$5:$AO$302=$A146),$CI$5:$CI$302)),IF($AI146="CT",AD$13,IF(LEFT($AI146,3)="AM|",IF($C146="","",SUMPRODUCT($AP$5:$AP$302*($AN$5:$AN$302=$A146),$CI$5:$CI$302)),IF(LEFT($AI146,2)="S|",IF($AG146="","",INDEX($CI$5:$CI$302,$AH146)),IF($AI146="HDR","Cosmetic Sales",""))))))</f>
        <v/>
      </c>
      <c r="AE146" s="8" t="str" cm="1">
        <f t="array" ref="AE146">IF($AI146="","",IF(LEFT($AI146,2)="C|",IF($C146="","",SUMPRODUCT($AP$5:$AP$302*($AO$5:$AO$302=$A146)*$AQ$5:$AQ$302,$AR$5:$AR$302)),IF($AI146="CT",AE$13,IF(LEFT($AI146,3)="AM|",IF($C146="","",SUMPRODUCT($AP$5:$AP$302*($AN$5:$AN$302=$A146)*$AQ$5:$AQ$302,$AR$5:$AR$302)),IF(LEFT($AI146,2)="S|",IF($AG146="","",IF(INDEX($AQ$5:$AQ$302,$AH146)=1,D146,0)),IF($AI146="HDR","LFL Sales",""))))))</f>
        <v/>
      </c>
      <c r="AF146" s="8" t="str" cm="1">
        <f t="array" ref="AF146">IF($AI146="","",IF(LEFT($AI146,2)="C|",IF($C146="","",SUMPRODUCT($AP$5:$AP$302*($AO$5:$AO$302=$A146)*$AQ$5:$AQ$302,$AS$5:$AS$302)),IF($AI146="CT",AF$13,IF(LEFT($AI146,3)="AM|",IF($C146="","",SUMPRODUCT($AP$5:$AP$302*($AN$5:$AN$302=$A146)*$AQ$5:$AQ$302,$AS$5:$AS$302)),IF(LEFT($AI146,2)="S|",IF($AG146="","",IF(INDEX($AQ$5:$AQ$302,$AH146)=1,P146,0)),IF($AI146="HDR","LFL Trans",""))))))</f>
        <v/>
      </c>
      <c r="AG146" s="8" t="str" cm="1">
        <f t="array" ref="AG146">IF($AI146="","",IF(LEFT($AI146,2)="C|","",IF($AI146="CT","",IF(LEFT($AI146,3)="AM|","",IF(LEFT($AI146,2)="S|",IF($AH146="","",IF(INDEX($AP$5:$AP$302,$AH146)=1,1,"")),IF($AI146="HDR","Show",""))))))</f>
        <v/>
      </c>
      <c r="AH146" s="8" t="str">
        <f t="shared" si="91"/>
        <v/>
      </c>
      <c r="AI146" s="8"/>
      <c r="AN146" s="8" t="str" cm="1">
        <f t="array" ref="AN146">IF($AW146="","",_xlfn.LET(_xlpm.sa,IFERROR(TRIM(INDEX('Sales and count'!$D$4:$D$300,$BF146)&amp;""),""),_xlpm.ta,IFERROR(TRIM(INDEX('TY Sales Target'!$F$5:$F$300,$BG146)&amp;""),""),IF(AND(_xlpm.sa&lt;&gt;"",LEFT(_xlpm.sa,1)&lt;&gt;"#",_xlpm.sa&lt;&gt;"0"),_xlpm.sa,IF(AND(_xlpm.ta&lt;&gt;"",LEFT(_xlpm.ta,1)&lt;&gt;"#",_xlpm.ta&lt;&gt;"0"),_xlpm.ta,IF(ISNUMBER($BG146),"Unassigned","")))))</f>
        <v/>
      </c>
      <c r="AO146" s="8" t="str" cm="1">
        <f t="array" ref="AO146">IF($AW146="","",_xlfn.LET(_xlpm.sa,IFERROR(TRIM(INDEX('Sales and count'!$C$4:$C$300,$BF146)&amp;""),""),_xlpm.ta,IFERROR(TRIM(INDEX('TY Sales Target'!$D$5:$D$300,$BG146)&amp;""),""),IF(AND(_xlpm.sa&lt;&gt;"",LEFT(_xlpm.sa,1)&lt;&gt;"#",_xlpm.sa&lt;&gt;"0"),_xlpm.sa,IF(AND(_xlpm.ta&lt;&gt;"",LEFT(_xlpm.ta,1)&lt;&gt;"#",_xlpm.ta&lt;&gt;"0"),_xlpm.ta,""))))</f>
        <v/>
      </c>
      <c r="AP146" s="8">
        <f t="shared" si="93"/>
        <v>0</v>
      </c>
      <c r="AQ146" s="8">
        <f t="shared" si="94"/>
        <v>0</v>
      </c>
      <c r="AR146" s="8" cm="1">
        <f t="array" ref="AR146">IF($BF146="",0,_xlfn.LET(_xlpm.d,IFERROR(--'Sales and count'!$G$2:$CC$2,0),SUMPRODUCT(('Sales and count'!$G$3:$CC$3="Total")*(_xlpm.d&gt;=$U$4)*(_xlpm.d&lt;=$U$5),INDEX('Sales and count'!$G$4:$CC$300,$BF146,0))))</f>
        <v>0</v>
      </c>
      <c r="AS146" s="8" cm="1">
        <f t="array" ref="AS146">IF($BF146="",0,_xlfn.LET(_xlpm.d,IFERROR(--'Sales and count'!$F$2:$CB$2,0),SUMPRODUCT(('Sales and count'!$G$3:$CC$3="Transactions")*(_xlpm.d&gt;=$U$4)*(_xlpm.d&lt;=$U$5),INDEX('Sales and count'!$G$4:$CC$300,$BF146,0))))</f>
        <v>0</v>
      </c>
      <c r="AT146" s="8" cm="1">
        <f t="array" ref="AT146">IF($AW146="",0,SUMPRODUCT((TRIM('LY Sales '!$B$5:$B$200)=$AW146)*('LY Sales '!$C$2:$AG$2&gt;=EDATE($U$4,-12))*('LY Sales '!$C$2:$AG$2&lt;=EDATE($U$5,-12)),'LY Sales '!$C$5:$AG$200))</f>
        <v>0</v>
      </c>
      <c r="AU146" s="8" cm="1">
        <f t="array" ref="AU146">IF($AW146="",0,SUMPRODUCT((TRIM('LY Transaction'!$B$5:$B$200)=$AW146)*('LY Transaction'!$C$2:$AG$2&gt;=EDATE($U$4,-12))*('LY Transaction'!$C$2:$AG$2&lt;=EDATE($U$5,-12)),'LY Transaction'!$C$5:$AG$200))</f>
        <v>0</v>
      </c>
      <c r="AV146" s="8" cm="1">
        <f t="array" ref="AV146">IF(NOT(ISNUMBER($BG146)),0,SUMPRODUCT(('TY Sales Target'!$K$2:$AO$2&gt;=$U$4)*('TY Sales Target'!$K$2:$AO$2&lt;=$U$5),INDEX('TY Sales Target'!$K$5:$AO$300,$BG146,0)))</f>
        <v>0</v>
      </c>
      <c r="AW146" s="8" t="str" cm="1">
        <f t="array" ref="AW146">IFERROR(INDEX(_xlfn.ANCHORARRAY($BR$5),ROWS($AW$5:AW146)),"")</f>
        <v/>
      </c>
      <c r="BB146" cm="1">
        <f t="array" ref="BB146">IF($AW146="",0,SUMPRODUCT((TRIM(Footfall!$B$5:$B$301)=$AW146)*(Footfall!$C$1:$BZ$1&gt;=$U$4)*(Footfall!$C$2:$BZ$2&lt;=$U$5)*(Footfall!$C$1:$BZ$1&lt;&gt;""),Footfall!$C$5:$BZ$301))</f>
        <v>0</v>
      </c>
      <c r="BC146" cm="1">
        <f t="array" ref="BC146">IF(OR($BB146&lt;=0,$BD$1="",$BF146=""),0,_xlfn.LET(_xlpm.d,IFERROR(--'Sales and count'!$F$2:$CB$2,0),SUMPRODUCT(('Sales and count'!$G$3:$CC$3="Transactions")*(_xlpm.d&gt;=$BD$1)*(_xlpm.d&lt;=$BD$2),INDEX('Sales and count'!$G$4:$CC$300,$BF146,0))))</f>
        <v>0</v>
      </c>
      <c r="BF146" t="str" cm="1">
        <f t="array" ref="BF146">IF($AW146="","",IFERROR(MATCH($AW146,TRIM('Sales and count'!$A$4:$A$300&amp;""),0),""))</f>
        <v/>
      </c>
      <c r="BG146" t="str" cm="1">
        <f t="array" ref="BG146">IF($AW146="","",IFERROR(MATCH(IFERROR(_xlfn.XLOOKUP($AW146,$BT$5:$BT$22,$BU$5:$BU$22),$AW146),TRIM('TY Sales Target'!$B$5:$B$300&amp;""),0),""))</f>
        <v/>
      </c>
      <c r="BH146" t="str" cm="1">
        <f t="array" ref="BH146">IF(ISNUMBER($BG146),_xlfn.LET(_xlpm.p,TRIM(INDEX('TY Sales Target'!$I$5:$I$300,$BG146)&amp;""),IF(_xlpm.p="","Not set",_xlpm.p)),"Not set")</f>
        <v>Not set</v>
      </c>
      <c r="BI146" cm="1">
        <f t="array" ref="BI146">IF($BF146="",0,_xlfn.LET(_xlpm.d,IFERROR(--'Sales and count'!$G$2:$CC$2,0),SUMPRODUCT(('Sales and count'!$G$3:$CC$3="Total")*(_xlpm.d&gt;=$BZ$5)*(_xlpm.d&lt;=$BZ$6),INDEX('Sales and count'!$G$4:$CC$300,$BF146,0))))</f>
        <v>0</v>
      </c>
      <c r="BJ146" cm="1">
        <f t="array" ref="BJ146">IF($AW146="",0,SUMPRODUCT((TRIM('LY Sales '!$B$5:$B$200)=$AW146)*('LY Sales '!$C$2:$AG$2&gt;=EDATE($BZ$5,-12))*('LY Sales '!$C$2:$AG$2&lt;=EDATE($BZ$6,-12)),'LY Sales '!$C$5:$AG$200))</f>
        <v>0</v>
      </c>
      <c r="BK146" cm="1">
        <f t="array" ref="BK146">IF($AW146="",0,SUMPRODUCT((TRIM('LY Sales '!$B$5:$B$200)=$AW146)*('LY Sales '!$C$2:$AG$2&gt;=EDATE($BZ$5,-12))*('LY Sales '!$C$2:$AG$2&lt;=EDATE($BZ$7,-12)),'LY Sales '!$C$5:$AG$200))</f>
        <v>0</v>
      </c>
      <c r="BL146" cm="1">
        <f t="array" ref="BL146">IF($AW146="",0,SUMPRODUCT((TRIM('LY Sales '!$B$5:$B$200)=$AW146)*('LY Sales '!$C$2:$AG$2&gt;=EDATE($BZ$5,-12))*('LY Sales '!$C$2:$AG$2&lt;=EDATE($BZ$6,-12))*('LY Sales '!$C$5:$AG$200&gt;0)))</f>
        <v>0</v>
      </c>
      <c r="BM146" cm="1">
        <f t="array" ref="BM146">IF(NOT(ISNUMBER($BG146)),0,SUMPRODUCT(('TY Sales Target'!$K$2:$AO$2&gt;=$BZ$5)*('TY Sales Target'!$K$2:$AO$2&lt;=$BZ$6),INDEX('TY Sales Target'!$K$5:$AO$300,$BG146,0)))</f>
        <v>0</v>
      </c>
      <c r="BN146" cm="1">
        <f t="array" ref="BN146">IF(NOT(ISNUMBER($BG146)),0,SUMPRODUCT(('TY Sales Target'!$K$2:$AO$2&gt;=$BZ$5)*('TY Sales Target'!$K$2:$AO$2&lt;=$BZ$7),INDEX('TY Sales Target'!$K$5:$AO$300,$BG146,0)))</f>
        <v>0</v>
      </c>
      <c r="BO146" cm="1">
        <f t="array" ref="BO146">IF($AW146="",0,IFERROR(_xlfn.SWITCH($BP146,"LY trend",$BI146*$BK146/$BJ146,"Target curve",$BI146*$BN146/$BM146,"Run rate",$BI146/$BZ$8*$BZ$9,0),0))</f>
        <v>0</v>
      </c>
      <c r="BP146" t="str">
        <f t="shared" si="92"/>
        <v/>
      </c>
      <c r="CB146" cm="1">
        <f t="array" ref="CB146">IF($AW146="",0,_xlfn.LET(_xlpm.k,IFERROR(_xlfn.XLOOKUP($AW146,$CD$6:$CD$21,$CE$6:$CE$21),$AW146),SUMPRODUCT((TRIM('Makeup '!$A$2:$A$300&amp;"")=_xlpm.k)*1,IFERROR('Makeup '!$F$2:$F$300*1,0))))</f>
        <v>0</v>
      </c>
      <c r="CF146" t="str" cm="1">
        <f t="array" ref="CF146">IF($AW146="","",_xlfn.LET(_xlpm.c,IFERROR(TRIM(INDEX('Sales and count'!$B$4:$B$300,$BF146)&amp;""),""),IF(OR(_xlpm.c="",_xlpm.c="0",LEFT(_xlpm.c,1)="#"),"Not set",_xlpm.c)))</f>
        <v/>
      </c>
      <c r="CH146" cm="1">
        <f t="array" ref="CH146">IF($AW146="",0,_xlfn.LET(_xlpm.k,IFERROR(_xlfn.XLOOKUP($AW146,$CD$6:$CD$21,$CE$6:$CE$21),$AW146),--(SUMPRODUCT((TRIM('Makeup '!$A$2:$A$300&amp;"")=_xlpm.k)*ISNUMBER('Makeup '!$F$2:$F$300))&gt;0)))</f>
        <v>0</v>
      </c>
      <c r="CI146">
        <f t="shared" si="95"/>
        <v>0</v>
      </c>
      <c r="CJ146" cm="1">
        <f t="array" ref="CJ146">IF($AW146="",0,--(SUMPRODUCT(--(TRIM(Footfall!$B$5:$B$301)=$AW146))&gt;0))</f>
        <v>0</v>
      </c>
      <c r="CK146" s="8" cm="1">
        <f t="array" ref="CK146">IF($AW146="",0,_xlfn.LET(_xlpm.r,IFERROR(MATCH(IFERROR(_xlfn.XLOOKUP($AW146,$BT$5:$BT$22,$BU$5:$BU$22),$AW146),TRIM('TY Beauty Target'!$B$5:$B$300&amp;""),0),""),IF(ISNUMBER(_xlpm.r),SUMPRODUCT(('TY Beauty Target'!$L$2:$AP$2&gt;=$U$4)*('TY Beauty Target'!$L$2:$AP$2&lt;=$U$5),INDEX('TY Beauty Target'!$L$5:$AP$300,_xlpm.r,0)),0)))</f>
        <v>0</v>
      </c>
    </row>
    <row r="147" spans="1:89" ht="15" customHeight="1" x14ac:dyDescent="0.25">
      <c r="A147" s="38" t="str">
        <f t="shared" si="79"/>
        <v/>
      </c>
      <c r="B147" s="43" t="str" cm="1">
        <f t="array" ref="B147">IF($AI147="","",IF(LEFT($AI147,2)="C|",IF($C147="","",_xlfn.TEXTJOIN(", ",TRUE,_xlfn.UNIQUE(_xlfn._xlws.FILTER($AN$5:$AN$302,($AP$5:$AP$302=1)*($AO$5:$AO$302=$A147))))),IF($AI147="CT",B$13,IF(LEFT($AI147,3)="AM|",IF($C147="","",ROWS(_xlfn.UNIQUE(_xlfn._xlws.FILTER($AO$5:$AO$302,($AP$5:$AP$302=1)*($AN$5:$AN$302=$A147))))),IF(LEFT($AI147,2)="S|",IF($AG147="","",INDEX($AO$5:$AO$302,$AH147)),IF($AI147="HDR","City",""))))))</f>
        <v/>
      </c>
      <c r="C147" s="39" t="str" cm="1">
        <f t="array" ref="C147">IF($AI147="","",IF(LEFT($AI147,2)="C|",_xlfn.LET(_xlpm.n,SUMPRODUCT($AP$5:$AP$302*($AO$5:$AO$302=$A147)),IF(_xlpm.n=0,"",_xlpm.n)),IF($AI147="CT",C$13,IF(LEFT($AI147,3)="AM|",_xlfn.LET(_xlpm.n,SUMPRODUCT($AP$5:$AP$302*($AN$5:$AN$302=$A147)),IF(_xlpm.n=0,"",_xlpm.n)),IF(LEFT($AI147,2)="S|","",IF($AI147="HDR","# Stores",""))))))</f>
        <v/>
      </c>
      <c r="D147" s="40" t="str" cm="1">
        <f t="array" ref="D147">IF($AI147="","",IF(LEFT($AI147,2)="C|",IF($C147="","",SUMPRODUCT($AP$5:$AP$302*($AO$5:$AO$302=$A147),$AR$5:$AR$302)),IF($AI147="CT",D$13,IF(LEFT($AI147,3)="AM|",IF($C147="","",SUMPRODUCT($AP$5:$AP$302*($AN$5:$AN$302=$A147),$AR$5:$AR$302)),IF(LEFT($AI147,2)="S|",IF($AG147="","",INDEX($AR$5:$AR$302,$AH147)),IF($AI147="HDR","Sales TY",""))))))</f>
        <v/>
      </c>
      <c r="E147" s="40" t="str" cm="1">
        <f t="array" ref="E147">IF($AI147="","",IF(LEFT($AI147,2)="C|",IF($C147="","",SUMPRODUCT($AP$5:$AP$302*($AO$5:$AO$302=$A147),$AT$5:$AT$302)),IF($AI147="CT",E$13,IF(LEFT($AI147,3)="AM|",IF($C147="","",SUMPRODUCT($AP$5:$AP$302*($AN$5:$AN$302=$A147),$AT$5:$AT$302)),IF(LEFT($AI147,2)="S|",IF($AG147="","",INDEX($AT$5:$AT$302,$AH147)),IF($AI147="HDR","Sales LY",""))))))</f>
        <v/>
      </c>
      <c r="F147" s="41" t="str">
        <f t="shared" si="80"/>
        <v/>
      </c>
      <c r="G147" s="41" t="str">
        <f t="shared" si="81"/>
        <v/>
      </c>
      <c r="H147" s="40" t="str" cm="1">
        <f t="array" ref="H147">IF($AI147="","",IF(LEFT($AI147,2)="C|",IF($C147="","",SUMPRODUCT($AP$5:$AP$302*($AO$5:$AO$302=$A147),$AV$5:$AV$302)),IF($AI147="CT",H$13,IF(LEFT($AI147,3)="AM|",IF($C147="","",SUMPRODUCT($AP$5:$AP$302*($AN$5:$AN$302=$A147),$AV$5:$AV$302)),IF(LEFT($AI147,2)="S|",IF($AG147="","",INDEX($AV$5:$AV$302,$AH147)),IF($AI147="HDR","Target",""))))))</f>
        <v/>
      </c>
      <c r="I147" s="41" t="str">
        <f t="shared" si="82"/>
        <v/>
      </c>
      <c r="J147" s="40" t="str">
        <f t="shared" si="83"/>
        <v/>
      </c>
      <c r="K147" s="41" t="str">
        <f t="shared" si="84"/>
        <v/>
      </c>
      <c r="L147" s="40" t="str" cm="1">
        <f t="array" ref="L147">IF($AI147="","",IF(LEFT($AI147,2)="C|",IF($C147="","",SUMPRODUCT($AP$5:$AP$302*($AO$5:$AO$302=$A147),$BN$5:$BN$302)),IF($AI147="CT",L$13,IF(LEFT($AI147,3)="AM|",IF($C147="","",SUMPRODUCT($AP$5:$AP$302*($AN$5:$AN$302=$A147),$BN$5:$BN$302)),IF(LEFT($AI147,2)="S|",IF($AG147="","",INDEX($BN$5:$BN$302,$AH147)),IF($AI147="HDR","Month Target",""))))))</f>
        <v/>
      </c>
      <c r="M147" s="40" t="str" cm="1">
        <f t="array" ref="M147">IF($AI147="","",IF(LEFT($AI147,2)="C|",IF($C147="","",SUMPRODUCT($AP$5:$AP$302*($AO$5:$AO$302=$A147),$BO$5:$BO$302)),IF($AI147="CT",M$13,IF(LEFT($AI147,3)="AM|",IF($C147="","",SUMPRODUCT($AP$5:$AP$302*($AN$5:$AN$302=$A147),$BO$5:$BO$302)),IF(LEFT($AI147,2)="S|",IF($AG147="","",INDEX($BO$5:$BO$302,$AH147)),IF($AI147="HDR","Projected Close",""))))))</f>
        <v/>
      </c>
      <c r="N147" s="41" t="str">
        <f t="shared" si="76"/>
        <v/>
      </c>
      <c r="O147" s="41" t="str" cm="1">
        <f t="array" ref="O147">IF($AI147="HDR","Proj. vs LY",IF(OR($AI147="",M147=""),"",_xlfn.LET(_xlpm.ly,IF(LEFT($AI147,2)="C|",SUMPRODUCT($AP$5:$AP$302*($AO$5:$AO$302=$A147),$BK$5:$BK$302),IF($AI147="CT",SUMPRODUCT($AP$5:$AP$302,$BK$5:$BK$302),IF(LEFT($AI147,3)="AM|",SUMPRODUCT($AP$5:$AP$302*($AN$5:$AN$302=$A147),$BK$5:$BK$302),IF(LEFT($AI147,2)="S|",INDEX($BK$5:$BK$302,$AH147),0)))),IFERROR(M147/_xlpm.ly-1,""))))</f>
        <v/>
      </c>
      <c r="P147" s="40" t="str" cm="1">
        <f t="array" ref="P147">IF($AI147="","",IF(LEFT($AI147,2)="C|",IF($C147="","",SUMPRODUCT($AP$5:$AP$302*($AO$5:$AO$302=$A147),$AS$5:$AS$302)),IF($AI147="CT",P$13,IF(LEFT($AI147,3)="AM|",IF($C147="","",SUMPRODUCT($AP$5:$AP$302*($AN$5:$AN$302=$A147),$AS$5:$AS$302)),IF(LEFT($AI147,2)="S|",IF($AG147="","",INDEX($AS$5:$AS$302,$AH147)),IF($AI147="HDR","Trans TY",""))))))</f>
        <v/>
      </c>
      <c r="Q147" s="40" t="str" cm="1">
        <f t="array" ref="Q147">IF($AI147="","",IF(LEFT($AI147,2)="C|",IF($C147="","",SUMPRODUCT($AP$5:$AP$302*($AO$5:$AO$302=$A147),$AU$5:$AU$302)),IF($AI147="CT",Q$13,IF(LEFT($AI147,3)="AM|",IF($C147="","",SUMPRODUCT($AP$5:$AP$302*($AN$5:$AN$302=$A147),$AU$5:$AU$302)),IF(LEFT($AI147,2)="S|",IF($AG147="","",INDEX($AU$5:$AU$302,$AH147)),IF($AI147="HDR","Trans LY",""))))))</f>
        <v/>
      </c>
      <c r="R147" s="41" t="str">
        <f t="shared" si="85"/>
        <v/>
      </c>
      <c r="S147" s="41" t="str">
        <f t="shared" si="86"/>
        <v/>
      </c>
      <c r="T147" s="42" t="str">
        <f t="shared" si="87"/>
        <v/>
      </c>
      <c r="U147" s="42" t="str">
        <f t="shared" si="88"/>
        <v/>
      </c>
      <c r="V147" s="41" t="str">
        <f t="shared" si="89"/>
        <v/>
      </c>
      <c r="W147" s="40" t="str" cm="1">
        <f t="array" ref="W147">IF($AI147="","",IF(LEFT($AI147,2)="C|",_xlfn.LET(_xlpm.n,SUMPRODUCT($AP$5:$AP$302*($AO$5:$AO$302=$A147),$BB$5:$BB$302),IF(_xlpm.n=0,"",_xlpm.n)),IF($AI147="CT",W$13,IF(LEFT($AI147,3)="AM|",_xlfn.LET(_xlpm.n,SUMPRODUCT($AP$5:$AP$302*($AN$5:$AN$302=$A147),$BB$5:$BB$302),IF(_xlpm.n=0,"",_xlpm.n)),IF(LEFT($AI147,2)="S|",IF($AG147="","",_xlfn.LET(_xlpm.n,INDEX($BB$5:$BB$302,$AH147),IF(_xlpm.n=0,"",_xlpm.n))),IF($AI147="HDR","Footfall",""))))))</f>
        <v/>
      </c>
      <c r="X147" s="40" t="str" cm="1">
        <f t="array" ref="X147">IF($AI147="","",IF($AI147="HDR","Trans (FF stores)",IF(W147="","",IF(LEFT($AI147,2)="C|",SUMPRODUCT($AP$5:$AP$302*($AO$5:$AO$302=$A147),$BC$5:$BC$302),IF($AI147="CT",X$13,IF(LEFT($AI147,3)="AM|",SUMPRODUCT($AP$5:$AP$302*($AN$5:$AN$302=$A147),$BC$5:$BC$302),IF(LEFT($AI147,2)="S|",INDEX($BC$5:$BC$302,$AH147),"")))))))</f>
        <v/>
      </c>
      <c r="Y147" s="41" t="str">
        <f t="shared" si="77"/>
        <v/>
      </c>
      <c r="Z147" s="40" t="str" cm="1">
        <f t="array" ref="Z147">IF($AI147="","",IF(LEFT($AI147,2)="C|",IF($C147="","",SUMPRODUCT($AP$5:$AP$302*($AO$5:$AO$302=$A147),$CB$5:$CB$302)),IF($AI147="CT",Z$13,IF(LEFT($AI147,3)="AM|",IF($C147="","",SUMPRODUCT($AP$5:$AP$302*($AN$5:$AN$302=$A147),$CB$5:$CB$302)),IF(LEFT($AI147,2)="S|",IF($AG147="","",INDEX($CB$5:$CB$302,$AH147)),IF($AI147="HDR","Makeup Sales",""))))))</f>
        <v/>
      </c>
      <c r="AA147" s="41" t="str">
        <f t="shared" si="90"/>
        <v/>
      </c>
      <c r="AB147" s="40" t="str" cm="1">
        <f t="array" ref="AB147">IF($AI147="","",IF(LEFT($AI147,2)="C|",IF($C147="","",SUMPRODUCT($AP$5:$AP$302*($AO$5:$AO$302=$A147),$CK$5:$CK$302)),IF($AI147="CT",AB$13,IF(LEFT($AI147,3)="AM|",IF($C147="","",SUMPRODUCT($AP$5:$AP$302*($AN$5:$AN$302=$A147),$CK$5:$CK$302)),IF(LEFT($AI147,2)="S|",IF($AG147="","",INDEX($CK$5:$CK$302,$AH147)),IF($AI147="HDR","Makeup Target",""))))))</f>
        <v/>
      </c>
      <c r="AC147" s="41" t="str">
        <f t="shared" si="78"/>
        <v/>
      </c>
      <c r="AD147" s="40" t="str" cm="1">
        <f t="array" ref="AD147">IF($AI147="","",IF(LEFT($AI147,2)="C|",IF($C147="","",SUMPRODUCT($AP$5:$AP$302*($AO$5:$AO$302=$A147),$CI$5:$CI$302)),IF($AI147="CT",AD$13,IF(LEFT($AI147,3)="AM|",IF($C147="","",SUMPRODUCT($AP$5:$AP$302*($AN$5:$AN$302=$A147),$CI$5:$CI$302)),IF(LEFT($AI147,2)="S|",IF($AG147="","",INDEX($CI$5:$CI$302,$AH147)),IF($AI147="HDR","Cosmetic Sales",""))))))</f>
        <v/>
      </c>
      <c r="AE147" s="8" t="str" cm="1">
        <f t="array" ref="AE147">IF($AI147="","",IF(LEFT($AI147,2)="C|",IF($C147="","",SUMPRODUCT($AP$5:$AP$302*($AO$5:$AO$302=$A147)*$AQ$5:$AQ$302,$AR$5:$AR$302)),IF($AI147="CT",AE$13,IF(LEFT($AI147,3)="AM|",IF($C147="","",SUMPRODUCT($AP$5:$AP$302*($AN$5:$AN$302=$A147)*$AQ$5:$AQ$302,$AR$5:$AR$302)),IF(LEFT($AI147,2)="S|",IF($AG147="","",IF(INDEX($AQ$5:$AQ$302,$AH147)=1,D147,0)),IF($AI147="HDR","LFL Sales",""))))))</f>
        <v/>
      </c>
      <c r="AF147" s="8" t="str" cm="1">
        <f t="array" ref="AF147">IF($AI147="","",IF(LEFT($AI147,2)="C|",IF($C147="","",SUMPRODUCT($AP$5:$AP$302*($AO$5:$AO$302=$A147)*$AQ$5:$AQ$302,$AS$5:$AS$302)),IF($AI147="CT",AF$13,IF(LEFT($AI147,3)="AM|",IF($C147="","",SUMPRODUCT($AP$5:$AP$302*($AN$5:$AN$302=$A147)*$AQ$5:$AQ$302,$AS$5:$AS$302)),IF(LEFT($AI147,2)="S|",IF($AG147="","",IF(INDEX($AQ$5:$AQ$302,$AH147)=1,P147,0)),IF($AI147="HDR","LFL Trans",""))))))</f>
        <v/>
      </c>
      <c r="AG147" s="8" t="str" cm="1">
        <f t="array" ref="AG147">IF($AI147="","",IF(LEFT($AI147,2)="C|","",IF($AI147="CT","",IF(LEFT($AI147,3)="AM|","",IF(LEFT($AI147,2)="S|",IF($AH147="","",IF(INDEX($AP$5:$AP$302,$AH147)=1,1,"")),IF($AI147="HDR","Show",""))))))</f>
        <v/>
      </c>
      <c r="AH147" s="8" t="str">
        <f t="shared" si="91"/>
        <v/>
      </c>
      <c r="AI147" s="8"/>
      <c r="AN147" s="8" t="str" cm="1">
        <f t="array" ref="AN147">IF($AW147="","",_xlfn.LET(_xlpm.sa,IFERROR(TRIM(INDEX('Sales and count'!$D$4:$D$300,$BF147)&amp;""),""),_xlpm.ta,IFERROR(TRIM(INDEX('TY Sales Target'!$F$5:$F$300,$BG147)&amp;""),""),IF(AND(_xlpm.sa&lt;&gt;"",LEFT(_xlpm.sa,1)&lt;&gt;"#",_xlpm.sa&lt;&gt;"0"),_xlpm.sa,IF(AND(_xlpm.ta&lt;&gt;"",LEFT(_xlpm.ta,1)&lt;&gt;"#",_xlpm.ta&lt;&gt;"0"),_xlpm.ta,IF(ISNUMBER($BG147),"Unassigned","")))))</f>
        <v/>
      </c>
      <c r="AO147" s="8" t="str" cm="1">
        <f t="array" ref="AO147">IF($AW147="","",_xlfn.LET(_xlpm.sa,IFERROR(TRIM(INDEX('Sales and count'!$C$4:$C$300,$BF147)&amp;""),""),_xlpm.ta,IFERROR(TRIM(INDEX('TY Sales Target'!$D$5:$D$300,$BG147)&amp;""),""),IF(AND(_xlpm.sa&lt;&gt;"",LEFT(_xlpm.sa,1)&lt;&gt;"#",_xlpm.sa&lt;&gt;"0"),_xlpm.sa,IF(AND(_xlpm.ta&lt;&gt;"",LEFT(_xlpm.ta,1)&lt;&gt;"#",_xlpm.ta&lt;&gt;"0"),_xlpm.ta,""))))</f>
        <v/>
      </c>
      <c r="AP147" s="8">
        <f t="shared" si="93"/>
        <v>0</v>
      </c>
      <c r="AQ147" s="8">
        <f t="shared" si="94"/>
        <v>0</v>
      </c>
      <c r="AR147" s="8" cm="1">
        <f t="array" ref="AR147">IF($BF147="",0,_xlfn.LET(_xlpm.d,IFERROR(--'Sales and count'!$G$2:$CC$2,0),SUMPRODUCT(('Sales and count'!$G$3:$CC$3="Total")*(_xlpm.d&gt;=$U$4)*(_xlpm.d&lt;=$U$5),INDEX('Sales and count'!$G$4:$CC$300,$BF147,0))))</f>
        <v>0</v>
      </c>
      <c r="AS147" s="8" cm="1">
        <f t="array" ref="AS147">IF($BF147="",0,_xlfn.LET(_xlpm.d,IFERROR(--'Sales and count'!$F$2:$CB$2,0),SUMPRODUCT(('Sales and count'!$G$3:$CC$3="Transactions")*(_xlpm.d&gt;=$U$4)*(_xlpm.d&lt;=$U$5),INDEX('Sales and count'!$G$4:$CC$300,$BF147,0))))</f>
        <v>0</v>
      </c>
      <c r="AT147" s="8" cm="1">
        <f t="array" ref="AT147">IF($AW147="",0,SUMPRODUCT((TRIM('LY Sales '!$B$5:$B$200)=$AW147)*('LY Sales '!$C$2:$AG$2&gt;=EDATE($U$4,-12))*('LY Sales '!$C$2:$AG$2&lt;=EDATE($U$5,-12)),'LY Sales '!$C$5:$AG$200))</f>
        <v>0</v>
      </c>
      <c r="AU147" s="8" cm="1">
        <f t="array" ref="AU147">IF($AW147="",0,SUMPRODUCT((TRIM('LY Transaction'!$B$5:$B$200)=$AW147)*('LY Transaction'!$C$2:$AG$2&gt;=EDATE($U$4,-12))*('LY Transaction'!$C$2:$AG$2&lt;=EDATE($U$5,-12)),'LY Transaction'!$C$5:$AG$200))</f>
        <v>0</v>
      </c>
      <c r="AV147" s="8" cm="1">
        <f t="array" ref="AV147">IF(NOT(ISNUMBER($BG147)),0,SUMPRODUCT(('TY Sales Target'!$K$2:$AO$2&gt;=$U$4)*('TY Sales Target'!$K$2:$AO$2&lt;=$U$5),INDEX('TY Sales Target'!$K$5:$AO$300,$BG147,0)))</f>
        <v>0</v>
      </c>
      <c r="AW147" s="8" t="str" cm="1">
        <f t="array" ref="AW147">IFERROR(INDEX(_xlfn.ANCHORARRAY($BR$5),ROWS($AW$5:AW147)),"")</f>
        <v/>
      </c>
      <c r="BB147" cm="1">
        <f t="array" ref="BB147">IF($AW147="",0,SUMPRODUCT((TRIM(Footfall!$B$5:$B$301)=$AW147)*(Footfall!$C$1:$BZ$1&gt;=$U$4)*(Footfall!$C$2:$BZ$2&lt;=$U$5)*(Footfall!$C$1:$BZ$1&lt;&gt;""),Footfall!$C$5:$BZ$301))</f>
        <v>0</v>
      </c>
      <c r="BC147" cm="1">
        <f t="array" ref="BC147">IF(OR($BB147&lt;=0,$BD$1="",$BF147=""),0,_xlfn.LET(_xlpm.d,IFERROR(--'Sales and count'!$F$2:$CB$2,0),SUMPRODUCT(('Sales and count'!$G$3:$CC$3="Transactions")*(_xlpm.d&gt;=$BD$1)*(_xlpm.d&lt;=$BD$2),INDEX('Sales and count'!$G$4:$CC$300,$BF147,0))))</f>
        <v>0</v>
      </c>
      <c r="BF147" t="str" cm="1">
        <f t="array" ref="BF147">IF($AW147="","",IFERROR(MATCH($AW147,TRIM('Sales and count'!$A$4:$A$300&amp;""),0),""))</f>
        <v/>
      </c>
      <c r="BG147" t="str" cm="1">
        <f t="array" ref="BG147">IF($AW147="","",IFERROR(MATCH(IFERROR(_xlfn.XLOOKUP($AW147,$BT$5:$BT$22,$BU$5:$BU$22),$AW147),TRIM('TY Sales Target'!$B$5:$B$300&amp;""),0),""))</f>
        <v/>
      </c>
      <c r="BH147" t="str" cm="1">
        <f t="array" ref="BH147">IF(ISNUMBER($BG147),_xlfn.LET(_xlpm.p,TRIM(INDEX('TY Sales Target'!$I$5:$I$300,$BG147)&amp;""),IF(_xlpm.p="","Not set",_xlpm.p)),"Not set")</f>
        <v>Not set</v>
      </c>
      <c r="BI147" cm="1">
        <f t="array" ref="BI147">IF($BF147="",0,_xlfn.LET(_xlpm.d,IFERROR(--'Sales and count'!$G$2:$CC$2,0),SUMPRODUCT(('Sales and count'!$G$3:$CC$3="Total")*(_xlpm.d&gt;=$BZ$5)*(_xlpm.d&lt;=$BZ$6),INDEX('Sales and count'!$G$4:$CC$300,$BF147,0))))</f>
        <v>0</v>
      </c>
      <c r="BJ147" cm="1">
        <f t="array" ref="BJ147">IF($AW147="",0,SUMPRODUCT((TRIM('LY Sales '!$B$5:$B$200)=$AW147)*('LY Sales '!$C$2:$AG$2&gt;=EDATE($BZ$5,-12))*('LY Sales '!$C$2:$AG$2&lt;=EDATE($BZ$6,-12)),'LY Sales '!$C$5:$AG$200))</f>
        <v>0</v>
      </c>
      <c r="BK147" cm="1">
        <f t="array" ref="BK147">IF($AW147="",0,SUMPRODUCT((TRIM('LY Sales '!$B$5:$B$200)=$AW147)*('LY Sales '!$C$2:$AG$2&gt;=EDATE($BZ$5,-12))*('LY Sales '!$C$2:$AG$2&lt;=EDATE($BZ$7,-12)),'LY Sales '!$C$5:$AG$200))</f>
        <v>0</v>
      </c>
      <c r="BL147" cm="1">
        <f t="array" ref="BL147">IF($AW147="",0,SUMPRODUCT((TRIM('LY Sales '!$B$5:$B$200)=$AW147)*('LY Sales '!$C$2:$AG$2&gt;=EDATE($BZ$5,-12))*('LY Sales '!$C$2:$AG$2&lt;=EDATE($BZ$6,-12))*('LY Sales '!$C$5:$AG$200&gt;0)))</f>
        <v>0</v>
      </c>
      <c r="BM147" cm="1">
        <f t="array" ref="BM147">IF(NOT(ISNUMBER($BG147)),0,SUMPRODUCT(('TY Sales Target'!$K$2:$AO$2&gt;=$BZ$5)*('TY Sales Target'!$K$2:$AO$2&lt;=$BZ$6),INDEX('TY Sales Target'!$K$5:$AO$300,$BG147,0)))</f>
        <v>0</v>
      </c>
      <c r="BN147" cm="1">
        <f t="array" ref="BN147">IF(NOT(ISNUMBER($BG147)),0,SUMPRODUCT(('TY Sales Target'!$K$2:$AO$2&gt;=$BZ$5)*('TY Sales Target'!$K$2:$AO$2&lt;=$BZ$7),INDEX('TY Sales Target'!$K$5:$AO$300,$BG147,0)))</f>
        <v>0</v>
      </c>
      <c r="BO147" cm="1">
        <f t="array" ref="BO147">IF($AW147="",0,IFERROR(_xlfn.SWITCH($BP147,"LY trend",$BI147*$BK147/$BJ147,"Target curve",$BI147*$BN147/$BM147,"Run rate",$BI147/$BZ$8*$BZ$9,0),0))</f>
        <v>0</v>
      </c>
      <c r="BP147" t="str">
        <f t="shared" si="92"/>
        <v/>
      </c>
      <c r="CB147" cm="1">
        <f t="array" ref="CB147">IF($AW147="",0,_xlfn.LET(_xlpm.k,IFERROR(_xlfn.XLOOKUP($AW147,$CD$6:$CD$21,$CE$6:$CE$21),$AW147),SUMPRODUCT((TRIM('Makeup '!$A$2:$A$300&amp;"")=_xlpm.k)*1,IFERROR('Makeup '!$F$2:$F$300*1,0))))</f>
        <v>0</v>
      </c>
      <c r="CF147" t="str" cm="1">
        <f t="array" ref="CF147">IF($AW147="","",_xlfn.LET(_xlpm.c,IFERROR(TRIM(INDEX('Sales and count'!$B$4:$B$300,$BF147)&amp;""),""),IF(OR(_xlpm.c="",_xlpm.c="0",LEFT(_xlpm.c,1)="#"),"Not set",_xlpm.c)))</f>
        <v/>
      </c>
      <c r="CH147" cm="1">
        <f t="array" ref="CH147">IF($AW147="",0,_xlfn.LET(_xlpm.k,IFERROR(_xlfn.XLOOKUP($AW147,$CD$6:$CD$21,$CE$6:$CE$21),$AW147),--(SUMPRODUCT((TRIM('Makeup '!$A$2:$A$300&amp;"")=_xlpm.k)*ISNUMBER('Makeup '!$F$2:$F$300))&gt;0)))</f>
        <v>0</v>
      </c>
      <c r="CI147">
        <f t="shared" si="95"/>
        <v>0</v>
      </c>
      <c r="CJ147" cm="1">
        <f t="array" ref="CJ147">IF($AW147="",0,--(SUMPRODUCT(--(TRIM(Footfall!$B$5:$B$301)=$AW147))&gt;0))</f>
        <v>0</v>
      </c>
      <c r="CK147" s="8" cm="1">
        <f t="array" ref="CK147">IF($AW147="",0,_xlfn.LET(_xlpm.r,IFERROR(MATCH(IFERROR(_xlfn.XLOOKUP($AW147,$BT$5:$BT$22,$BU$5:$BU$22),$AW147),TRIM('TY Beauty Target'!$B$5:$B$300&amp;""),0),""),IF(ISNUMBER(_xlpm.r),SUMPRODUCT(('TY Beauty Target'!$L$2:$AP$2&gt;=$U$4)*('TY Beauty Target'!$L$2:$AP$2&lt;=$U$5),INDEX('TY Beauty Target'!$L$5:$AP$300,_xlpm.r,0)),0)))</f>
        <v>0</v>
      </c>
    </row>
    <row r="148" spans="1:89" ht="15" customHeight="1" x14ac:dyDescent="0.25">
      <c r="A148" s="38" t="str">
        <f t="shared" si="79"/>
        <v/>
      </c>
      <c r="B148" s="43" t="str" cm="1">
        <f t="array" ref="B148">IF($AI148="","",IF(LEFT($AI148,2)="C|",IF($C148="","",_xlfn.TEXTJOIN(", ",TRUE,_xlfn.UNIQUE(_xlfn._xlws.FILTER($AN$5:$AN$302,($AP$5:$AP$302=1)*($AO$5:$AO$302=$A148))))),IF($AI148="CT",B$13,IF(LEFT($AI148,3)="AM|",IF($C148="","",ROWS(_xlfn.UNIQUE(_xlfn._xlws.FILTER($AO$5:$AO$302,($AP$5:$AP$302=1)*($AN$5:$AN$302=$A148))))),IF(LEFT($AI148,2)="S|",IF($AG148="","",INDEX($AO$5:$AO$302,$AH148)),IF($AI148="HDR","City",""))))))</f>
        <v/>
      </c>
      <c r="C148" s="39" t="str" cm="1">
        <f t="array" ref="C148">IF($AI148="","",IF(LEFT($AI148,2)="C|",_xlfn.LET(_xlpm.n,SUMPRODUCT($AP$5:$AP$302*($AO$5:$AO$302=$A148)),IF(_xlpm.n=0,"",_xlpm.n)),IF($AI148="CT",C$13,IF(LEFT($AI148,3)="AM|",_xlfn.LET(_xlpm.n,SUMPRODUCT($AP$5:$AP$302*($AN$5:$AN$302=$A148)),IF(_xlpm.n=0,"",_xlpm.n)),IF(LEFT($AI148,2)="S|","",IF($AI148="HDR","# Stores",""))))))</f>
        <v/>
      </c>
      <c r="D148" s="40" t="str" cm="1">
        <f t="array" ref="D148">IF($AI148="","",IF(LEFT($AI148,2)="C|",IF($C148="","",SUMPRODUCT($AP$5:$AP$302*($AO$5:$AO$302=$A148),$AR$5:$AR$302)),IF($AI148="CT",D$13,IF(LEFT($AI148,3)="AM|",IF($C148="","",SUMPRODUCT($AP$5:$AP$302*($AN$5:$AN$302=$A148),$AR$5:$AR$302)),IF(LEFT($AI148,2)="S|",IF($AG148="","",INDEX($AR$5:$AR$302,$AH148)),IF($AI148="HDR","Sales TY",""))))))</f>
        <v/>
      </c>
      <c r="E148" s="40" t="str" cm="1">
        <f t="array" ref="E148">IF($AI148="","",IF(LEFT($AI148,2)="C|",IF($C148="","",SUMPRODUCT($AP$5:$AP$302*($AO$5:$AO$302=$A148),$AT$5:$AT$302)),IF($AI148="CT",E$13,IF(LEFT($AI148,3)="AM|",IF($C148="","",SUMPRODUCT($AP$5:$AP$302*($AN$5:$AN$302=$A148),$AT$5:$AT$302)),IF(LEFT($AI148,2)="S|",IF($AG148="","",INDEX($AT$5:$AT$302,$AH148)),IF($AI148="HDR","Sales LY",""))))))</f>
        <v/>
      </c>
      <c r="F148" s="41" t="str">
        <f t="shared" si="80"/>
        <v/>
      </c>
      <c r="G148" s="41" t="str">
        <f t="shared" si="81"/>
        <v/>
      </c>
      <c r="H148" s="40" t="str" cm="1">
        <f t="array" ref="H148">IF($AI148="","",IF(LEFT($AI148,2)="C|",IF($C148="","",SUMPRODUCT($AP$5:$AP$302*($AO$5:$AO$302=$A148),$AV$5:$AV$302)),IF($AI148="CT",H$13,IF(LEFT($AI148,3)="AM|",IF($C148="","",SUMPRODUCT($AP$5:$AP$302*($AN$5:$AN$302=$A148),$AV$5:$AV$302)),IF(LEFT($AI148,2)="S|",IF($AG148="","",INDEX($AV$5:$AV$302,$AH148)),IF($AI148="HDR","Target",""))))))</f>
        <v/>
      </c>
      <c r="I148" s="41" t="str">
        <f t="shared" si="82"/>
        <v/>
      </c>
      <c r="J148" s="40" t="str">
        <f t="shared" si="83"/>
        <v/>
      </c>
      <c r="K148" s="41" t="str">
        <f t="shared" si="84"/>
        <v/>
      </c>
      <c r="L148" s="40" t="str" cm="1">
        <f t="array" ref="L148">IF($AI148="","",IF(LEFT($AI148,2)="C|",IF($C148="","",SUMPRODUCT($AP$5:$AP$302*($AO$5:$AO$302=$A148),$BN$5:$BN$302)),IF($AI148="CT",L$13,IF(LEFT($AI148,3)="AM|",IF($C148="","",SUMPRODUCT($AP$5:$AP$302*($AN$5:$AN$302=$A148),$BN$5:$BN$302)),IF(LEFT($AI148,2)="S|",IF($AG148="","",INDEX($BN$5:$BN$302,$AH148)),IF($AI148="HDR","Month Target",""))))))</f>
        <v/>
      </c>
      <c r="M148" s="40" t="str" cm="1">
        <f t="array" ref="M148">IF($AI148="","",IF(LEFT($AI148,2)="C|",IF($C148="","",SUMPRODUCT($AP$5:$AP$302*($AO$5:$AO$302=$A148),$BO$5:$BO$302)),IF($AI148="CT",M$13,IF(LEFT($AI148,3)="AM|",IF($C148="","",SUMPRODUCT($AP$5:$AP$302*($AN$5:$AN$302=$A148),$BO$5:$BO$302)),IF(LEFT($AI148,2)="S|",IF($AG148="","",INDEX($BO$5:$BO$302,$AH148)),IF($AI148="HDR","Projected Close",""))))))</f>
        <v/>
      </c>
      <c r="N148" s="41" t="str">
        <f t="shared" si="76"/>
        <v/>
      </c>
      <c r="O148" s="41" t="str" cm="1">
        <f t="array" ref="O148">IF($AI148="HDR","Proj. vs LY",IF(OR($AI148="",M148=""),"",_xlfn.LET(_xlpm.ly,IF(LEFT($AI148,2)="C|",SUMPRODUCT($AP$5:$AP$302*($AO$5:$AO$302=$A148),$BK$5:$BK$302),IF($AI148="CT",SUMPRODUCT($AP$5:$AP$302,$BK$5:$BK$302),IF(LEFT($AI148,3)="AM|",SUMPRODUCT($AP$5:$AP$302*($AN$5:$AN$302=$A148),$BK$5:$BK$302),IF(LEFT($AI148,2)="S|",INDEX($BK$5:$BK$302,$AH148),0)))),IFERROR(M148/_xlpm.ly-1,""))))</f>
        <v/>
      </c>
      <c r="P148" s="40" t="str" cm="1">
        <f t="array" ref="P148">IF($AI148="","",IF(LEFT($AI148,2)="C|",IF($C148="","",SUMPRODUCT($AP$5:$AP$302*($AO$5:$AO$302=$A148),$AS$5:$AS$302)),IF($AI148="CT",P$13,IF(LEFT($AI148,3)="AM|",IF($C148="","",SUMPRODUCT($AP$5:$AP$302*($AN$5:$AN$302=$A148),$AS$5:$AS$302)),IF(LEFT($AI148,2)="S|",IF($AG148="","",INDEX($AS$5:$AS$302,$AH148)),IF($AI148="HDR","Trans TY",""))))))</f>
        <v/>
      </c>
      <c r="Q148" s="40" t="str" cm="1">
        <f t="array" ref="Q148">IF($AI148="","",IF(LEFT($AI148,2)="C|",IF($C148="","",SUMPRODUCT($AP$5:$AP$302*($AO$5:$AO$302=$A148),$AU$5:$AU$302)),IF($AI148="CT",Q$13,IF(LEFT($AI148,3)="AM|",IF($C148="","",SUMPRODUCT($AP$5:$AP$302*($AN$5:$AN$302=$A148),$AU$5:$AU$302)),IF(LEFT($AI148,2)="S|",IF($AG148="","",INDEX($AU$5:$AU$302,$AH148)),IF($AI148="HDR","Trans LY",""))))))</f>
        <v/>
      </c>
      <c r="R148" s="41" t="str">
        <f t="shared" si="85"/>
        <v/>
      </c>
      <c r="S148" s="41" t="str">
        <f t="shared" si="86"/>
        <v/>
      </c>
      <c r="T148" s="42" t="str">
        <f t="shared" si="87"/>
        <v/>
      </c>
      <c r="U148" s="42" t="str">
        <f t="shared" si="88"/>
        <v/>
      </c>
      <c r="V148" s="41" t="str">
        <f t="shared" si="89"/>
        <v/>
      </c>
      <c r="W148" s="40" t="str" cm="1">
        <f t="array" ref="W148">IF($AI148="","",IF(LEFT($AI148,2)="C|",_xlfn.LET(_xlpm.n,SUMPRODUCT($AP$5:$AP$302*($AO$5:$AO$302=$A148),$BB$5:$BB$302),IF(_xlpm.n=0,"",_xlpm.n)),IF($AI148="CT",W$13,IF(LEFT($AI148,3)="AM|",_xlfn.LET(_xlpm.n,SUMPRODUCT($AP$5:$AP$302*($AN$5:$AN$302=$A148),$BB$5:$BB$302),IF(_xlpm.n=0,"",_xlpm.n)),IF(LEFT($AI148,2)="S|",IF($AG148="","",_xlfn.LET(_xlpm.n,INDEX($BB$5:$BB$302,$AH148),IF(_xlpm.n=0,"",_xlpm.n))),IF($AI148="HDR","Footfall",""))))))</f>
        <v/>
      </c>
      <c r="X148" s="40" t="str" cm="1">
        <f t="array" ref="X148">IF($AI148="","",IF($AI148="HDR","Trans (FF stores)",IF(W148="","",IF(LEFT($AI148,2)="C|",SUMPRODUCT($AP$5:$AP$302*($AO$5:$AO$302=$A148),$BC$5:$BC$302),IF($AI148="CT",X$13,IF(LEFT($AI148,3)="AM|",SUMPRODUCT($AP$5:$AP$302*($AN$5:$AN$302=$A148),$BC$5:$BC$302),IF(LEFT($AI148,2)="S|",INDEX($BC$5:$BC$302,$AH148),"")))))))</f>
        <v/>
      </c>
      <c r="Y148" s="41" t="str">
        <f t="shared" si="77"/>
        <v/>
      </c>
      <c r="Z148" s="40" t="str" cm="1">
        <f t="array" ref="Z148">IF($AI148="","",IF(LEFT($AI148,2)="C|",IF($C148="","",SUMPRODUCT($AP$5:$AP$302*($AO$5:$AO$302=$A148),$CB$5:$CB$302)),IF($AI148="CT",Z$13,IF(LEFT($AI148,3)="AM|",IF($C148="","",SUMPRODUCT($AP$5:$AP$302*($AN$5:$AN$302=$A148),$CB$5:$CB$302)),IF(LEFT($AI148,2)="S|",IF($AG148="","",INDEX($CB$5:$CB$302,$AH148)),IF($AI148="HDR","Makeup Sales",""))))))</f>
        <v/>
      </c>
      <c r="AA148" s="41" t="str">
        <f t="shared" si="90"/>
        <v/>
      </c>
      <c r="AB148" s="40" t="str" cm="1">
        <f t="array" ref="AB148">IF($AI148="","",IF(LEFT($AI148,2)="C|",IF($C148="","",SUMPRODUCT($AP$5:$AP$302*($AO$5:$AO$302=$A148),$CK$5:$CK$302)),IF($AI148="CT",AB$13,IF(LEFT($AI148,3)="AM|",IF($C148="","",SUMPRODUCT($AP$5:$AP$302*($AN$5:$AN$302=$A148),$CK$5:$CK$302)),IF(LEFT($AI148,2)="S|",IF($AG148="","",INDEX($CK$5:$CK$302,$AH148)),IF($AI148="HDR","Makeup Target",""))))))</f>
        <v/>
      </c>
      <c r="AC148" s="41" t="str">
        <f t="shared" si="78"/>
        <v/>
      </c>
      <c r="AD148" s="40" t="str" cm="1">
        <f t="array" ref="AD148">IF($AI148="","",IF(LEFT($AI148,2)="C|",IF($C148="","",SUMPRODUCT($AP$5:$AP$302*($AO$5:$AO$302=$A148),$CI$5:$CI$302)),IF($AI148="CT",AD$13,IF(LEFT($AI148,3)="AM|",IF($C148="","",SUMPRODUCT($AP$5:$AP$302*($AN$5:$AN$302=$A148),$CI$5:$CI$302)),IF(LEFT($AI148,2)="S|",IF($AG148="","",INDEX($CI$5:$CI$302,$AH148)),IF($AI148="HDR","Cosmetic Sales",""))))))</f>
        <v/>
      </c>
      <c r="AE148" s="8" t="str" cm="1">
        <f t="array" ref="AE148">IF($AI148="","",IF(LEFT($AI148,2)="C|",IF($C148="","",SUMPRODUCT($AP$5:$AP$302*($AO$5:$AO$302=$A148)*$AQ$5:$AQ$302,$AR$5:$AR$302)),IF($AI148="CT",AE$13,IF(LEFT($AI148,3)="AM|",IF($C148="","",SUMPRODUCT($AP$5:$AP$302*($AN$5:$AN$302=$A148)*$AQ$5:$AQ$302,$AR$5:$AR$302)),IF(LEFT($AI148,2)="S|",IF($AG148="","",IF(INDEX($AQ$5:$AQ$302,$AH148)=1,D148,0)),IF($AI148="HDR","LFL Sales",""))))))</f>
        <v/>
      </c>
      <c r="AF148" s="8" t="str" cm="1">
        <f t="array" ref="AF148">IF($AI148="","",IF(LEFT($AI148,2)="C|",IF($C148="","",SUMPRODUCT($AP$5:$AP$302*($AO$5:$AO$302=$A148)*$AQ$5:$AQ$302,$AS$5:$AS$302)),IF($AI148="CT",AF$13,IF(LEFT($AI148,3)="AM|",IF($C148="","",SUMPRODUCT($AP$5:$AP$302*($AN$5:$AN$302=$A148)*$AQ$5:$AQ$302,$AS$5:$AS$302)),IF(LEFT($AI148,2)="S|",IF($AG148="","",IF(INDEX($AQ$5:$AQ$302,$AH148)=1,P148,0)),IF($AI148="HDR","LFL Trans",""))))))</f>
        <v/>
      </c>
      <c r="AG148" s="8" t="str" cm="1">
        <f t="array" ref="AG148">IF($AI148="","",IF(LEFT($AI148,2)="C|","",IF($AI148="CT","",IF(LEFT($AI148,3)="AM|","",IF(LEFT($AI148,2)="S|",IF($AH148="","",IF(INDEX($AP$5:$AP$302,$AH148)=1,1,"")),IF($AI148="HDR","Show",""))))))</f>
        <v/>
      </c>
      <c r="AH148" s="8" t="str">
        <f t="shared" si="91"/>
        <v/>
      </c>
      <c r="AI148" s="8"/>
      <c r="AN148" s="8" t="str" cm="1">
        <f t="array" ref="AN148">IF($AW148="","",_xlfn.LET(_xlpm.sa,IFERROR(TRIM(INDEX('Sales and count'!$D$4:$D$300,$BF148)&amp;""),""),_xlpm.ta,IFERROR(TRIM(INDEX('TY Sales Target'!$F$5:$F$300,$BG148)&amp;""),""),IF(AND(_xlpm.sa&lt;&gt;"",LEFT(_xlpm.sa,1)&lt;&gt;"#",_xlpm.sa&lt;&gt;"0"),_xlpm.sa,IF(AND(_xlpm.ta&lt;&gt;"",LEFT(_xlpm.ta,1)&lt;&gt;"#",_xlpm.ta&lt;&gt;"0"),_xlpm.ta,IF(ISNUMBER($BG148),"Unassigned","")))))</f>
        <v/>
      </c>
      <c r="AO148" s="8" t="str" cm="1">
        <f t="array" ref="AO148">IF($AW148="","",_xlfn.LET(_xlpm.sa,IFERROR(TRIM(INDEX('Sales and count'!$C$4:$C$300,$BF148)&amp;""),""),_xlpm.ta,IFERROR(TRIM(INDEX('TY Sales Target'!$D$5:$D$300,$BG148)&amp;""),""),IF(AND(_xlpm.sa&lt;&gt;"",LEFT(_xlpm.sa,1)&lt;&gt;"#",_xlpm.sa&lt;&gt;"0"),_xlpm.sa,IF(AND(_xlpm.ta&lt;&gt;"",LEFT(_xlpm.ta,1)&lt;&gt;"#",_xlpm.ta&lt;&gt;"0"),_xlpm.ta,""))))</f>
        <v/>
      </c>
      <c r="AP148" s="8">
        <f t="shared" si="93"/>
        <v>0</v>
      </c>
      <c r="AQ148" s="8">
        <f t="shared" si="94"/>
        <v>0</v>
      </c>
      <c r="AR148" s="8" cm="1">
        <f t="array" ref="AR148">IF($BF148="",0,_xlfn.LET(_xlpm.d,IFERROR(--'Sales and count'!$G$2:$CC$2,0),SUMPRODUCT(('Sales and count'!$G$3:$CC$3="Total")*(_xlpm.d&gt;=$U$4)*(_xlpm.d&lt;=$U$5),INDEX('Sales and count'!$G$4:$CC$300,$BF148,0))))</f>
        <v>0</v>
      </c>
      <c r="AS148" s="8" cm="1">
        <f t="array" ref="AS148">IF($BF148="",0,_xlfn.LET(_xlpm.d,IFERROR(--'Sales and count'!$F$2:$CB$2,0),SUMPRODUCT(('Sales and count'!$G$3:$CC$3="Transactions")*(_xlpm.d&gt;=$U$4)*(_xlpm.d&lt;=$U$5),INDEX('Sales and count'!$G$4:$CC$300,$BF148,0))))</f>
        <v>0</v>
      </c>
      <c r="AT148" s="8" cm="1">
        <f t="array" ref="AT148">IF($AW148="",0,SUMPRODUCT((TRIM('LY Sales '!$B$5:$B$200)=$AW148)*('LY Sales '!$C$2:$AG$2&gt;=EDATE($U$4,-12))*('LY Sales '!$C$2:$AG$2&lt;=EDATE($U$5,-12)),'LY Sales '!$C$5:$AG$200))</f>
        <v>0</v>
      </c>
      <c r="AU148" s="8" cm="1">
        <f t="array" ref="AU148">IF($AW148="",0,SUMPRODUCT((TRIM('LY Transaction'!$B$5:$B$200)=$AW148)*('LY Transaction'!$C$2:$AG$2&gt;=EDATE($U$4,-12))*('LY Transaction'!$C$2:$AG$2&lt;=EDATE($U$5,-12)),'LY Transaction'!$C$5:$AG$200))</f>
        <v>0</v>
      </c>
      <c r="AV148" s="8" cm="1">
        <f t="array" ref="AV148">IF(NOT(ISNUMBER($BG148)),0,SUMPRODUCT(('TY Sales Target'!$K$2:$AO$2&gt;=$U$4)*('TY Sales Target'!$K$2:$AO$2&lt;=$U$5),INDEX('TY Sales Target'!$K$5:$AO$300,$BG148,0)))</f>
        <v>0</v>
      </c>
      <c r="AW148" s="8" t="str" cm="1">
        <f t="array" ref="AW148">IFERROR(INDEX(_xlfn.ANCHORARRAY($BR$5),ROWS($AW$5:AW148)),"")</f>
        <v/>
      </c>
      <c r="BB148" cm="1">
        <f t="array" ref="BB148">IF($AW148="",0,SUMPRODUCT((TRIM(Footfall!$B$5:$B$301)=$AW148)*(Footfall!$C$1:$BZ$1&gt;=$U$4)*(Footfall!$C$2:$BZ$2&lt;=$U$5)*(Footfall!$C$1:$BZ$1&lt;&gt;""),Footfall!$C$5:$BZ$301))</f>
        <v>0</v>
      </c>
      <c r="BC148" cm="1">
        <f t="array" ref="BC148">IF(OR($BB148&lt;=0,$BD$1="",$BF148=""),0,_xlfn.LET(_xlpm.d,IFERROR(--'Sales and count'!$F$2:$CB$2,0),SUMPRODUCT(('Sales and count'!$G$3:$CC$3="Transactions")*(_xlpm.d&gt;=$BD$1)*(_xlpm.d&lt;=$BD$2),INDEX('Sales and count'!$G$4:$CC$300,$BF148,0))))</f>
        <v>0</v>
      </c>
      <c r="BF148" t="str" cm="1">
        <f t="array" ref="BF148">IF($AW148="","",IFERROR(MATCH($AW148,TRIM('Sales and count'!$A$4:$A$300&amp;""),0),""))</f>
        <v/>
      </c>
      <c r="BG148" t="str" cm="1">
        <f t="array" ref="BG148">IF($AW148="","",IFERROR(MATCH(IFERROR(_xlfn.XLOOKUP($AW148,$BT$5:$BT$22,$BU$5:$BU$22),$AW148),TRIM('TY Sales Target'!$B$5:$B$300&amp;""),0),""))</f>
        <v/>
      </c>
      <c r="BH148" t="str" cm="1">
        <f t="array" ref="BH148">IF(ISNUMBER($BG148),_xlfn.LET(_xlpm.p,TRIM(INDEX('TY Sales Target'!$I$5:$I$300,$BG148)&amp;""),IF(_xlpm.p="","Not set",_xlpm.p)),"Not set")</f>
        <v>Not set</v>
      </c>
      <c r="BI148" cm="1">
        <f t="array" ref="BI148">IF($BF148="",0,_xlfn.LET(_xlpm.d,IFERROR(--'Sales and count'!$G$2:$CC$2,0),SUMPRODUCT(('Sales and count'!$G$3:$CC$3="Total")*(_xlpm.d&gt;=$BZ$5)*(_xlpm.d&lt;=$BZ$6),INDEX('Sales and count'!$G$4:$CC$300,$BF148,0))))</f>
        <v>0</v>
      </c>
      <c r="BJ148" cm="1">
        <f t="array" ref="BJ148">IF($AW148="",0,SUMPRODUCT((TRIM('LY Sales '!$B$5:$B$200)=$AW148)*('LY Sales '!$C$2:$AG$2&gt;=EDATE($BZ$5,-12))*('LY Sales '!$C$2:$AG$2&lt;=EDATE($BZ$6,-12)),'LY Sales '!$C$5:$AG$200))</f>
        <v>0</v>
      </c>
      <c r="BK148" cm="1">
        <f t="array" ref="BK148">IF($AW148="",0,SUMPRODUCT((TRIM('LY Sales '!$B$5:$B$200)=$AW148)*('LY Sales '!$C$2:$AG$2&gt;=EDATE($BZ$5,-12))*('LY Sales '!$C$2:$AG$2&lt;=EDATE($BZ$7,-12)),'LY Sales '!$C$5:$AG$200))</f>
        <v>0</v>
      </c>
      <c r="BL148" cm="1">
        <f t="array" ref="BL148">IF($AW148="",0,SUMPRODUCT((TRIM('LY Sales '!$B$5:$B$200)=$AW148)*('LY Sales '!$C$2:$AG$2&gt;=EDATE($BZ$5,-12))*('LY Sales '!$C$2:$AG$2&lt;=EDATE($BZ$6,-12))*('LY Sales '!$C$5:$AG$200&gt;0)))</f>
        <v>0</v>
      </c>
      <c r="BM148" cm="1">
        <f t="array" ref="BM148">IF(NOT(ISNUMBER($BG148)),0,SUMPRODUCT(('TY Sales Target'!$K$2:$AO$2&gt;=$BZ$5)*('TY Sales Target'!$K$2:$AO$2&lt;=$BZ$6),INDEX('TY Sales Target'!$K$5:$AO$300,$BG148,0)))</f>
        <v>0</v>
      </c>
      <c r="BN148" cm="1">
        <f t="array" ref="BN148">IF(NOT(ISNUMBER($BG148)),0,SUMPRODUCT(('TY Sales Target'!$K$2:$AO$2&gt;=$BZ$5)*('TY Sales Target'!$K$2:$AO$2&lt;=$BZ$7),INDEX('TY Sales Target'!$K$5:$AO$300,$BG148,0)))</f>
        <v>0</v>
      </c>
      <c r="BO148" cm="1">
        <f t="array" ref="BO148">IF($AW148="",0,IFERROR(_xlfn.SWITCH($BP148,"LY trend",$BI148*$BK148/$BJ148,"Target curve",$BI148*$BN148/$BM148,"Run rate",$BI148/$BZ$8*$BZ$9,0),0))</f>
        <v>0</v>
      </c>
      <c r="BP148" t="str">
        <f t="shared" si="92"/>
        <v/>
      </c>
      <c r="CB148" cm="1">
        <f t="array" ref="CB148">IF($AW148="",0,_xlfn.LET(_xlpm.k,IFERROR(_xlfn.XLOOKUP($AW148,$CD$6:$CD$21,$CE$6:$CE$21),$AW148),SUMPRODUCT((TRIM('Makeup '!$A$2:$A$300&amp;"")=_xlpm.k)*1,IFERROR('Makeup '!$F$2:$F$300*1,0))))</f>
        <v>0</v>
      </c>
      <c r="CF148" t="str" cm="1">
        <f t="array" ref="CF148">IF($AW148="","",_xlfn.LET(_xlpm.c,IFERROR(TRIM(INDEX('Sales and count'!$B$4:$B$300,$BF148)&amp;""),""),IF(OR(_xlpm.c="",_xlpm.c="0",LEFT(_xlpm.c,1)="#"),"Not set",_xlpm.c)))</f>
        <v/>
      </c>
      <c r="CH148" cm="1">
        <f t="array" ref="CH148">IF($AW148="",0,_xlfn.LET(_xlpm.k,IFERROR(_xlfn.XLOOKUP($AW148,$CD$6:$CD$21,$CE$6:$CE$21),$AW148),--(SUMPRODUCT((TRIM('Makeup '!$A$2:$A$300&amp;"")=_xlpm.k)*ISNUMBER('Makeup '!$F$2:$F$300))&gt;0)))</f>
        <v>0</v>
      </c>
      <c r="CI148">
        <f t="shared" si="95"/>
        <v>0</v>
      </c>
      <c r="CJ148" cm="1">
        <f t="array" ref="CJ148">IF($AW148="",0,--(SUMPRODUCT(--(TRIM(Footfall!$B$5:$B$301)=$AW148))&gt;0))</f>
        <v>0</v>
      </c>
      <c r="CK148" s="8" cm="1">
        <f t="array" ref="CK148">IF($AW148="",0,_xlfn.LET(_xlpm.r,IFERROR(MATCH(IFERROR(_xlfn.XLOOKUP($AW148,$BT$5:$BT$22,$BU$5:$BU$22),$AW148),TRIM('TY Beauty Target'!$B$5:$B$300&amp;""),0),""),IF(ISNUMBER(_xlpm.r),SUMPRODUCT(('TY Beauty Target'!$L$2:$AP$2&gt;=$U$4)*('TY Beauty Target'!$L$2:$AP$2&lt;=$U$5),INDEX('TY Beauty Target'!$L$5:$AP$300,_xlpm.r,0)),0)))</f>
        <v>0</v>
      </c>
    </row>
    <row r="149" spans="1:89" ht="15" customHeight="1" x14ac:dyDescent="0.25">
      <c r="A149" s="38" t="str">
        <f t="shared" si="79"/>
        <v/>
      </c>
      <c r="B149" s="43" t="str" cm="1">
        <f t="array" ref="B149">IF($AI149="","",IF(LEFT($AI149,2)="C|",IF($C149="","",_xlfn.TEXTJOIN(", ",TRUE,_xlfn.UNIQUE(_xlfn._xlws.FILTER($AN$5:$AN$302,($AP$5:$AP$302=1)*($AO$5:$AO$302=$A149))))),IF($AI149="CT",B$13,IF(LEFT($AI149,3)="AM|",IF($C149="","",ROWS(_xlfn.UNIQUE(_xlfn._xlws.FILTER($AO$5:$AO$302,($AP$5:$AP$302=1)*($AN$5:$AN$302=$A149))))),IF(LEFT($AI149,2)="S|",IF($AG149="","",INDEX($AO$5:$AO$302,$AH149)),IF($AI149="HDR","City",""))))))</f>
        <v/>
      </c>
      <c r="C149" s="39" t="str" cm="1">
        <f t="array" ref="C149">IF($AI149="","",IF(LEFT($AI149,2)="C|",_xlfn.LET(_xlpm.n,SUMPRODUCT($AP$5:$AP$302*($AO$5:$AO$302=$A149)),IF(_xlpm.n=0,"",_xlpm.n)),IF($AI149="CT",C$13,IF(LEFT($AI149,3)="AM|",_xlfn.LET(_xlpm.n,SUMPRODUCT($AP$5:$AP$302*($AN$5:$AN$302=$A149)),IF(_xlpm.n=0,"",_xlpm.n)),IF(LEFT($AI149,2)="S|","",IF($AI149="HDR","# Stores",""))))))</f>
        <v/>
      </c>
      <c r="D149" s="40" t="str" cm="1">
        <f t="array" ref="D149">IF($AI149="","",IF(LEFT($AI149,2)="C|",IF($C149="","",SUMPRODUCT($AP$5:$AP$302*($AO$5:$AO$302=$A149),$AR$5:$AR$302)),IF($AI149="CT",D$13,IF(LEFT($AI149,3)="AM|",IF($C149="","",SUMPRODUCT($AP$5:$AP$302*($AN$5:$AN$302=$A149),$AR$5:$AR$302)),IF(LEFT($AI149,2)="S|",IF($AG149="","",INDEX($AR$5:$AR$302,$AH149)),IF($AI149="HDR","Sales TY",""))))))</f>
        <v/>
      </c>
      <c r="E149" s="40" t="str" cm="1">
        <f t="array" ref="E149">IF($AI149="","",IF(LEFT($AI149,2)="C|",IF($C149="","",SUMPRODUCT($AP$5:$AP$302*($AO$5:$AO$302=$A149),$AT$5:$AT$302)),IF($AI149="CT",E$13,IF(LEFT($AI149,3)="AM|",IF($C149="","",SUMPRODUCT($AP$5:$AP$302*($AN$5:$AN$302=$A149),$AT$5:$AT$302)),IF(LEFT($AI149,2)="S|",IF($AG149="","",INDEX($AT$5:$AT$302,$AH149)),IF($AI149="HDR","Sales LY",""))))))</f>
        <v/>
      </c>
      <c r="F149" s="41" t="str">
        <f t="shared" si="80"/>
        <v/>
      </c>
      <c r="G149" s="41" t="str">
        <f t="shared" si="81"/>
        <v/>
      </c>
      <c r="H149" s="40" t="str" cm="1">
        <f t="array" ref="H149">IF($AI149="","",IF(LEFT($AI149,2)="C|",IF($C149="","",SUMPRODUCT($AP$5:$AP$302*($AO$5:$AO$302=$A149),$AV$5:$AV$302)),IF($AI149="CT",H$13,IF(LEFT($AI149,3)="AM|",IF($C149="","",SUMPRODUCT($AP$5:$AP$302*($AN$5:$AN$302=$A149),$AV$5:$AV$302)),IF(LEFT($AI149,2)="S|",IF($AG149="","",INDEX($AV$5:$AV$302,$AH149)),IF($AI149="HDR","Target",""))))))</f>
        <v/>
      </c>
      <c r="I149" s="41" t="str">
        <f t="shared" si="82"/>
        <v/>
      </c>
      <c r="J149" s="40" t="str">
        <f t="shared" si="83"/>
        <v/>
      </c>
      <c r="K149" s="41" t="str">
        <f t="shared" si="84"/>
        <v/>
      </c>
      <c r="L149" s="40" t="str" cm="1">
        <f t="array" ref="L149">IF($AI149="","",IF(LEFT($AI149,2)="C|",IF($C149="","",SUMPRODUCT($AP$5:$AP$302*($AO$5:$AO$302=$A149),$BN$5:$BN$302)),IF($AI149="CT",L$13,IF(LEFT($AI149,3)="AM|",IF($C149="","",SUMPRODUCT($AP$5:$AP$302*($AN$5:$AN$302=$A149),$BN$5:$BN$302)),IF(LEFT($AI149,2)="S|",IF($AG149="","",INDEX($BN$5:$BN$302,$AH149)),IF($AI149="HDR","Month Target",""))))))</f>
        <v/>
      </c>
      <c r="M149" s="40" t="str" cm="1">
        <f t="array" ref="M149">IF($AI149="","",IF(LEFT($AI149,2)="C|",IF($C149="","",SUMPRODUCT($AP$5:$AP$302*($AO$5:$AO$302=$A149),$BO$5:$BO$302)),IF($AI149="CT",M$13,IF(LEFT($AI149,3)="AM|",IF($C149="","",SUMPRODUCT($AP$5:$AP$302*($AN$5:$AN$302=$A149),$BO$5:$BO$302)),IF(LEFT($AI149,2)="S|",IF($AG149="","",INDEX($BO$5:$BO$302,$AH149)),IF($AI149="HDR","Projected Close",""))))))</f>
        <v/>
      </c>
      <c r="N149" s="41" t="str">
        <f t="shared" si="76"/>
        <v/>
      </c>
      <c r="O149" s="41" t="str" cm="1">
        <f t="array" ref="O149">IF($AI149="HDR","Proj. vs LY",IF(OR($AI149="",M149=""),"",_xlfn.LET(_xlpm.ly,IF(LEFT($AI149,2)="C|",SUMPRODUCT($AP$5:$AP$302*($AO$5:$AO$302=$A149),$BK$5:$BK$302),IF($AI149="CT",SUMPRODUCT($AP$5:$AP$302,$BK$5:$BK$302),IF(LEFT($AI149,3)="AM|",SUMPRODUCT($AP$5:$AP$302*($AN$5:$AN$302=$A149),$BK$5:$BK$302),IF(LEFT($AI149,2)="S|",INDEX($BK$5:$BK$302,$AH149),0)))),IFERROR(M149/_xlpm.ly-1,""))))</f>
        <v/>
      </c>
      <c r="P149" s="40" t="str" cm="1">
        <f t="array" ref="P149">IF($AI149="","",IF(LEFT($AI149,2)="C|",IF($C149="","",SUMPRODUCT($AP$5:$AP$302*($AO$5:$AO$302=$A149),$AS$5:$AS$302)),IF($AI149="CT",P$13,IF(LEFT($AI149,3)="AM|",IF($C149="","",SUMPRODUCT($AP$5:$AP$302*($AN$5:$AN$302=$A149),$AS$5:$AS$302)),IF(LEFT($AI149,2)="S|",IF($AG149="","",INDEX($AS$5:$AS$302,$AH149)),IF($AI149="HDR","Trans TY",""))))))</f>
        <v/>
      </c>
      <c r="Q149" s="40" t="str" cm="1">
        <f t="array" ref="Q149">IF($AI149="","",IF(LEFT($AI149,2)="C|",IF($C149="","",SUMPRODUCT($AP$5:$AP$302*($AO$5:$AO$302=$A149),$AU$5:$AU$302)),IF($AI149="CT",Q$13,IF(LEFT($AI149,3)="AM|",IF($C149="","",SUMPRODUCT($AP$5:$AP$302*($AN$5:$AN$302=$A149),$AU$5:$AU$302)),IF(LEFT($AI149,2)="S|",IF($AG149="","",INDEX($AU$5:$AU$302,$AH149)),IF($AI149="HDR","Trans LY",""))))))</f>
        <v/>
      </c>
      <c r="R149" s="41" t="str">
        <f t="shared" si="85"/>
        <v/>
      </c>
      <c r="S149" s="41" t="str">
        <f t="shared" si="86"/>
        <v/>
      </c>
      <c r="T149" s="42" t="str">
        <f t="shared" si="87"/>
        <v/>
      </c>
      <c r="U149" s="42" t="str">
        <f t="shared" si="88"/>
        <v/>
      </c>
      <c r="V149" s="41" t="str">
        <f t="shared" si="89"/>
        <v/>
      </c>
      <c r="W149" s="40" t="str" cm="1">
        <f t="array" ref="W149">IF($AI149="","",IF(LEFT($AI149,2)="C|",_xlfn.LET(_xlpm.n,SUMPRODUCT($AP$5:$AP$302*($AO$5:$AO$302=$A149),$BB$5:$BB$302),IF(_xlpm.n=0,"",_xlpm.n)),IF($AI149="CT",W$13,IF(LEFT($AI149,3)="AM|",_xlfn.LET(_xlpm.n,SUMPRODUCT($AP$5:$AP$302*($AN$5:$AN$302=$A149),$BB$5:$BB$302),IF(_xlpm.n=0,"",_xlpm.n)),IF(LEFT($AI149,2)="S|",IF($AG149="","",_xlfn.LET(_xlpm.n,INDEX($BB$5:$BB$302,$AH149),IF(_xlpm.n=0,"",_xlpm.n))),IF($AI149="HDR","Footfall",""))))))</f>
        <v/>
      </c>
      <c r="X149" s="40" t="str" cm="1">
        <f t="array" ref="X149">IF($AI149="","",IF($AI149="HDR","Trans (FF stores)",IF(W149="","",IF(LEFT($AI149,2)="C|",SUMPRODUCT($AP$5:$AP$302*($AO$5:$AO$302=$A149),$BC$5:$BC$302),IF($AI149="CT",X$13,IF(LEFT($AI149,3)="AM|",SUMPRODUCT($AP$5:$AP$302*($AN$5:$AN$302=$A149),$BC$5:$BC$302),IF(LEFT($AI149,2)="S|",INDEX($BC$5:$BC$302,$AH149),"")))))))</f>
        <v/>
      </c>
      <c r="Y149" s="41" t="str">
        <f t="shared" si="77"/>
        <v/>
      </c>
      <c r="Z149" s="40" t="str" cm="1">
        <f t="array" ref="Z149">IF($AI149="","",IF(LEFT($AI149,2)="C|",IF($C149="","",SUMPRODUCT($AP$5:$AP$302*($AO$5:$AO$302=$A149),$CB$5:$CB$302)),IF($AI149="CT",Z$13,IF(LEFT($AI149,3)="AM|",IF($C149="","",SUMPRODUCT($AP$5:$AP$302*($AN$5:$AN$302=$A149),$CB$5:$CB$302)),IF(LEFT($AI149,2)="S|",IF($AG149="","",INDEX($CB$5:$CB$302,$AH149)),IF($AI149="HDR","Makeup Sales",""))))))</f>
        <v/>
      </c>
      <c r="AA149" s="41" t="str">
        <f t="shared" si="90"/>
        <v/>
      </c>
      <c r="AB149" s="40" t="str" cm="1">
        <f t="array" ref="AB149">IF($AI149="","",IF(LEFT($AI149,2)="C|",IF($C149="","",SUMPRODUCT($AP$5:$AP$302*($AO$5:$AO$302=$A149),$CK$5:$CK$302)),IF($AI149="CT",AB$13,IF(LEFT($AI149,3)="AM|",IF($C149="","",SUMPRODUCT($AP$5:$AP$302*($AN$5:$AN$302=$A149),$CK$5:$CK$302)),IF(LEFT($AI149,2)="S|",IF($AG149="","",INDEX($CK$5:$CK$302,$AH149)),IF($AI149="HDR","Makeup Target",""))))))</f>
        <v/>
      </c>
      <c r="AC149" s="41" t="str">
        <f t="shared" si="78"/>
        <v/>
      </c>
      <c r="AD149" s="40" t="str" cm="1">
        <f t="array" ref="AD149">IF($AI149="","",IF(LEFT($AI149,2)="C|",IF($C149="","",SUMPRODUCT($AP$5:$AP$302*($AO$5:$AO$302=$A149),$CI$5:$CI$302)),IF($AI149="CT",AD$13,IF(LEFT($AI149,3)="AM|",IF($C149="","",SUMPRODUCT($AP$5:$AP$302*($AN$5:$AN$302=$A149),$CI$5:$CI$302)),IF(LEFT($AI149,2)="S|",IF($AG149="","",INDEX($CI$5:$CI$302,$AH149)),IF($AI149="HDR","Cosmetic Sales",""))))))</f>
        <v/>
      </c>
      <c r="AE149" s="8" t="str" cm="1">
        <f t="array" ref="AE149">IF($AI149="","",IF(LEFT($AI149,2)="C|",IF($C149="","",SUMPRODUCT($AP$5:$AP$302*($AO$5:$AO$302=$A149)*$AQ$5:$AQ$302,$AR$5:$AR$302)),IF($AI149="CT",AE$13,IF(LEFT($AI149,3)="AM|",IF($C149="","",SUMPRODUCT($AP$5:$AP$302*($AN$5:$AN$302=$A149)*$AQ$5:$AQ$302,$AR$5:$AR$302)),IF(LEFT($AI149,2)="S|",IF($AG149="","",IF(INDEX($AQ$5:$AQ$302,$AH149)=1,D149,0)),IF($AI149="HDR","LFL Sales",""))))))</f>
        <v/>
      </c>
      <c r="AF149" s="8" t="str" cm="1">
        <f t="array" ref="AF149">IF($AI149="","",IF(LEFT($AI149,2)="C|",IF($C149="","",SUMPRODUCT($AP$5:$AP$302*($AO$5:$AO$302=$A149)*$AQ$5:$AQ$302,$AS$5:$AS$302)),IF($AI149="CT",AF$13,IF(LEFT($AI149,3)="AM|",IF($C149="","",SUMPRODUCT($AP$5:$AP$302*($AN$5:$AN$302=$A149)*$AQ$5:$AQ$302,$AS$5:$AS$302)),IF(LEFT($AI149,2)="S|",IF($AG149="","",IF(INDEX($AQ$5:$AQ$302,$AH149)=1,P149,0)),IF($AI149="HDR","LFL Trans",""))))))</f>
        <v/>
      </c>
      <c r="AG149" s="8" t="str" cm="1">
        <f t="array" ref="AG149">IF($AI149="","",IF(LEFT($AI149,2)="C|","",IF($AI149="CT","",IF(LEFT($AI149,3)="AM|","",IF(LEFT($AI149,2)="S|",IF($AH149="","",IF(INDEX($AP$5:$AP$302,$AH149)=1,1,"")),IF($AI149="HDR","Show",""))))))</f>
        <v/>
      </c>
      <c r="AH149" s="8" t="str">
        <f t="shared" si="91"/>
        <v/>
      </c>
      <c r="AI149" s="8"/>
      <c r="AN149" s="8" t="str" cm="1">
        <f t="array" ref="AN149">IF($AW149="","",_xlfn.LET(_xlpm.sa,IFERROR(TRIM(INDEX('Sales and count'!$D$4:$D$300,$BF149)&amp;""),""),_xlpm.ta,IFERROR(TRIM(INDEX('TY Sales Target'!$F$5:$F$300,$BG149)&amp;""),""),IF(AND(_xlpm.sa&lt;&gt;"",LEFT(_xlpm.sa,1)&lt;&gt;"#",_xlpm.sa&lt;&gt;"0"),_xlpm.sa,IF(AND(_xlpm.ta&lt;&gt;"",LEFT(_xlpm.ta,1)&lt;&gt;"#",_xlpm.ta&lt;&gt;"0"),_xlpm.ta,IF(ISNUMBER($BG149),"Unassigned","")))))</f>
        <v/>
      </c>
      <c r="AO149" s="8" t="str" cm="1">
        <f t="array" ref="AO149">IF($AW149="","",_xlfn.LET(_xlpm.sa,IFERROR(TRIM(INDEX('Sales and count'!$C$4:$C$300,$BF149)&amp;""),""),_xlpm.ta,IFERROR(TRIM(INDEX('TY Sales Target'!$D$5:$D$300,$BG149)&amp;""),""),IF(AND(_xlpm.sa&lt;&gt;"",LEFT(_xlpm.sa,1)&lt;&gt;"#",_xlpm.sa&lt;&gt;"0"),_xlpm.sa,IF(AND(_xlpm.ta&lt;&gt;"",LEFT(_xlpm.ta,1)&lt;&gt;"#",_xlpm.ta&lt;&gt;"0"),_xlpm.ta,""))))</f>
        <v/>
      </c>
      <c r="AP149" s="8">
        <f t="shared" si="93"/>
        <v>0</v>
      </c>
      <c r="AQ149" s="8">
        <f t="shared" si="94"/>
        <v>0</v>
      </c>
      <c r="AR149" s="8" cm="1">
        <f t="array" ref="AR149">IF($BF149="",0,_xlfn.LET(_xlpm.d,IFERROR(--'Sales and count'!$G$2:$CC$2,0),SUMPRODUCT(('Sales and count'!$G$3:$CC$3="Total")*(_xlpm.d&gt;=$U$4)*(_xlpm.d&lt;=$U$5),INDEX('Sales and count'!$G$4:$CC$300,$BF149,0))))</f>
        <v>0</v>
      </c>
      <c r="AS149" s="8" cm="1">
        <f t="array" ref="AS149">IF($BF149="",0,_xlfn.LET(_xlpm.d,IFERROR(--'Sales and count'!$F$2:$CB$2,0),SUMPRODUCT(('Sales and count'!$G$3:$CC$3="Transactions")*(_xlpm.d&gt;=$U$4)*(_xlpm.d&lt;=$U$5),INDEX('Sales and count'!$G$4:$CC$300,$BF149,0))))</f>
        <v>0</v>
      </c>
      <c r="AT149" s="8" cm="1">
        <f t="array" ref="AT149">IF($AW149="",0,SUMPRODUCT((TRIM('LY Sales '!$B$5:$B$200)=$AW149)*('LY Sales '!$C$2:$AG$2&gt;=EDATE($U$4,-12))*('LY Sales '!$C$2:$AG$2&lt;=EDATE($U$5,-12)),'LY Sales '!$C$5:$AG$200))</f>
        <v>0</v>
      </c>
      <c r="AU149" s="8" cm="1">
        <f t="array" ref="AU149">IF($AW149="",0,SUMPRODUCT((TRIM('LY Transaction'!$B$5:$B$200)=$AW149)*('LY Transaction'!$C$2:$AG$2&gt;=EDATE($U$4,-12))*('LY Transaction'!$C$2:$AG$2&lt;=EDATE($U$5,-12)),'LY Transaction'!$C$5:$AG$200))</f>
        <v>0</v>
      </c>
      <c r="AV149" s="8" cm="1">
        <f t="array" ref="AV149">IF(NOT(ISNUMBER($BG149)),0,SUMPRODUCT(('TY Sales Target'!$K$2:$AO$2&gt;=$U$4)*('TY Sales Target'!$K$2:$AO$2&lt;=$U$5),INDEX('TY Sales Target'!$K$5:$AO$300,$BG149,0)))</f>
        <v>0</v>
      </c>
      <c r="AW149" s="8" t="str" cm="1">
        <f t="array" ref="AW149">IFERROR(INDEX(_xlfn.ANCHORARRAY($BR$5),ROWS($AW$5:AW149)),"")</f>
        <v/>
      </c>
      <c r="BB149" cm="1">
        <f t="array" ref="BB149">IF($AW149="",0,SUMPRODUCT((TRIM(Footfall!$B$5:$B$301)=$AW149)*(Footfall!$C$1:$BZ$1&gt;=$U$4)*(Footfall!$C$2:$BZ$2&lt;=$U$5)*(Footfall!$C$1:$BZ$1&lt;&gt;""),Footfall!$C$5:$BZ$301))</f>
        <v>0</v>
      </c>
      <c r="BC149" cm="1">
        <f t="array" ref="BC149">IF(OR($BB149&lt;=0,$BD$1="",$BF149=""),0,_xlfn.LET(_xlpm.d,IFERROR(--'Sales and count'!$F$2:$CB$2,0),SUMPRODUCT(('Sales and count'!$G$3:$CC$3="Transactions")*(_xlpm.d&gt;=$BD$1)*(_xlpm.d&lt;=$BD$2),INDEX('Sales and count'!$G$4:$CC$300,$BF149,0))))</f>
        <v>0</v>
      </c>
      <c r="BF149" t="str" cm="1">
        <f t="array" ref="BF149">IF($AW149="","",IFERROR(MATCH($AW149,TRIM('Sales and count'!$A$4:$A$300&amp;""),0),""))</f>
        <v/>
      </c>
      <c r="BG149" t="str" cm="1">
        <f t="array" ref="BG149">IF($AW149="","",IFERROR(MATCH(IFERROR(_xlfn.XLOOKUP($AW149,$BT$5:$BT$22,$BU$5:$BU$22),$AW149),TRIM('TY Sales Target'!$B$5:$B$300&amp;""),0),""))</f>
        <v/>
      </c>
      <c r="BH149" t="str" cm="1">
        <f t="array" ref="BH149">IF(ISNUMBER($BG149),_xlfn.LET(_xlpm.p,TRIM(INDEX('TY Sales Target'!$I$5:$I$300,$BG149)&amp;""),IF(_xlpm.p="","Not set",_xlpm.p)),"Not set")</f>
        <v>Not set</v>
      </c>
      <c r="BI149" cm="1">
        <f t="array" ref="BI149">IF($BF149="",0,_xlfn.LET(_xlpm.d,IFERROR(--'Sales and count'!$G$2:$CC$2,0),SUMPRODUCT(('Sales and count'!$G$3:$CC$3="Total")*(_xlpm.d&gt;=$BZ$5)*(_xlpm.d&lt;=$BZ$6),INDEX('Sales and count'!$G$4:$CC$300,$BF149,0))))</f>
        <v>0</v>
      </c>
      <c r="BJ149" cm="1">
        <f t="array" ref="BJ149">IF($AW149="",0,SUMPRODUCT((TRIM('LY Sales '!$B$5:$B$200)=$AW149)*('LY Sales '!$C$2:$AG$2&gt;=EDATE($BZ$5,-12))*('LY Sales '!$C$2:$AG$2&lt;=EDATE($BZ$6,-12)),'LY Sales '!$C$5:$AG$200))</f>
        <v>0</v>
      </c>
      <c r="BK149" cm="1">
        <f t="array" ref="BK149">IF($AW149="",0,SUMPRODUCT((TRIM('LY Sales '!$B$5:$B$200)=$AW149)*('LY Sales '!$C$2:$AG$2&gt;=EDATE($BZ$5,-12))*('LY Sales '!$C$2:$AG$2&lt;=EDATE($BZ$7,-12)),'LY Sales '!$C$5:$AG$200))</f>
        <v>0</v>
      </c>
      <c r="BL149" cm="1">
        <f t="array" ref="BL149">IF($AW149="",0,SUMPRODUCT((TRIM('LY Sales '!$B$5:$B$200)=$AW149)*('LY Sales '!$C$2:$AG$2&gt;=EDATE($BZ$5,-12))*('LY Sales '!$C$2:$AG$2&lt;=EDATE($BZ$6,-12))*('LY Sales '!$C$5:$AG$200&gt;0)))</f>
        <v>0</v>
      </c>
      <c r="BM149" cm="1">
        <f t="array" ref="BM149">IF(NOT(ISNUMBER($BG149)),0,SUMPRODUCT(('TY Sales Target'!$K$2:$AO$2&gt;=$BZ$5)*('TY Sales Target'!$K$2:$AO$2&lt;=$BZ$6),INDEX('TY Sales Target'!$K$5:$AO$300,$BG149,0)))</f>
        <v>0</v>
      </c>
      <c r="BN149" cm="1">
        <f t="array" ref="BN149">IF(NOT(ISNUMBER($BG149)),0,SUMPRODUCT(('TY Sales Target'!$K$2:$AO$2&gt;=$BZ$5)*('TY Sales Target'!$K$2:$AO$2&lt;=$BZ$7),INDEX('TY Sales Target'!$K$5:$AO$300,$BG149,0)))</f>
        <v>0</v>
      </c>
      <c r="BO149" cm="1">
        <f t="array" ref="BO149">IF($AW149="",0,IFERROR(_xlfn.SWITCH($BP149,"LY trend",$BI149*$BK149/$BJ149,"Target curve",$BI149*$BN149/$BM149,"Run rate",$BI149/$BZ$8*$BZ$9,0),0))</f>
        <v>0</v>
      </c>
      <c r="BP149" t="str">
        <f t="shared" si="92"/>
        <v/>
      </c>
      <c r="CB149" cm="1">
        <f t="array" ref="CB149">IF($AW149="",0,_xlfn.LET(_xlpm.k,IFERROR(_xlfn.XLOOKUP($AW149,$CD$6:$CD$21,$CE$6:$CE$21),$AW149),SUMPRODUCT((TRIM('Makeup '!$A$2:$A$300&amp;"")=_xlpm.k)*1,IFERROR('Makeup '!$F$2:$F$300*1,0))))</f>
        <v>0</v>
      </c>
      <c r="CF149" t="str" cm="1">
        <f t="array" ref="CF149">IF($AW149="","",_xlfn.LET(_xlpm.c,IFERROR(TRIM(INDEX('Sales and count'!$B$4:$B$300,$BF149)&amp;""),""),IF(OR(_xlpm.c="",_xlpm.c="0",LEFT(_xlpm.c,1)="#"),"Not set",_xlpm.c)))</f>
        <v/>
      </c>
      <c r="CH149" cm="1">
        <f t="array" ref="CH149">IF($AW149="",0,_xlfn.LET(_xlpm.k,IFERROR(_xlfn.XLOOKUP($AW149,$CD$6:$CD$21,$CE$6:$CE$21),$AW149),--(SUMPRODUCT((TRIM('Makeup '!$A$2:$A$300&amp;"")=_xlpm.k)*ISNUMBER('Makeup '!$F$2:$F$300))&gt;0)))</f>
        <v>0</v>
      </c>
      <c r="CI149">
        <f t="shared" si="95"/>
        <v>0</v>
      </c>
      <c r="CJ149" cm="1">
        <f t="array" ref="CJ149">IF($AW149="",0,--(SUMPRODUCT(--(TRIM(Footfall!$B$5:$B$301)=$AW149))&gt;0))</f>
        <v>0</v>
      </c>
      <c r="CK149" s="8" cm="1">
        <f t="array" ref="CK149">IF($AW149="",0,_xlfn.LET(_xlpm.r,IFERROR(MATCH(IFERROR(_xlfn.XLOOKUP($AW149,$BT$5:$BT$22,$BU$5:$BU$22),$AW149),TRIM('TY Beauty Target'!$B$5:$B$300&amp;""),0),""),IF(ISNUMBER(_xlpm.r),SUMPRODUCT(('TY Beauty Target'!$L$2:$AP$2&gt;=$U$4)*('TY Beauty Target'!$L$2:$AP$2&lt;=$U$5),INDEX('TY Beauty Target'!$L$5:$AP$300,_xlpm.r,0)),0)))</f>
        <v>0</v>
      </c>
    </row>
    <row r="150" spans="1:89" ht="15" customHeight="1" x14ac:dyDescent="0.25">
      <c r="A150" s="38" t="str">
        <f t="shared" si="79"/>
        <v/>
      </c>
      <c r="B150" s="43" t="str" cm="1">
        <f t="array" ref="B150">IF($AI150="","",IF(LEFT($AI150,2)="C|",IF($C150="","",_xlfn.TEXTJOIN(", ",TRUE,_xlfn.UNIQUE(_xlfn._xlws.FILTER($AN$5:$AN$302,($AP$5:$AP$302=1)*($AO$5:$AO$302=$A150))))),IF($AI150="CT",B$13,IF(LEFT($AI150,3)="AM|",IF($C150="","",ROWS(_xlfn.UNIQUE(_xlfn._xlws.FILTER($AO$5:$AO$302,($AP$5:$AP$302=1)*($AN$5:$AN$302=$A150))))),IF(LEFT($AI150,2)="S|",IF($AG150="","",INDEX($AO$5:$AO$302,$AH150)),IF($AI150="HDR","City",""))))))</f>
        <v/>
      </c>
      <c r="C150" s="39" t="str" cm="1">
        <f t="array" ref="C150">IF($AI150="","",IF(LEFT($AI150,2)="C|",_xlfn.LET(_xlpm.n,SUMPRODUCT($AP$5:$AP$302*($AO$5:$AO$302=$A150)),IF(_xlpm.n=0,"",_xlpm.n)),IF($AI150="CT",C$13,IF(LEFT($AI150,3)="AM|",_xlfn.LET(_xlpm.n,SUMPRODUCT($AP$5:$AP$302*($AN$5:$AN$302=$A150)),IF(_xlpm.n=0,"",_xlpm.n)),IF(LEFT($AI150,2)="S|","",IF($AI150="HDR","# Stores",""))))))</f>
        <v/>
      </c>
      <c r="D150" s="40" t="str" cm="1">
        <f t="array" ref="D150">IF($AI150="","",IF(LEFT($AI150,2)="C|",IF($C150="","",SUMPRODUCT($AP$5:$AP$302*($AO$5:$AO$302=$A150),$AR$5:$AR$302)),IF($AI150="CT",D$13,IF(LEFT($AI150,3)="AM|",IF($C150="","",SUMPRODUCT($AP$5:$AP$302*($AN$5:$AN$302=$A150),$AR$5:$AR$302)),IF(LEFT($AI150,2)="S|",IF($AG150="","",INDEX($AR$5:$AR$302,$AH150)),IF($AI150="HDR","Sales TY",""))))))</f>
        <v/>
      </c>
      <c r="E150" s="40" t="str" cm="1">
        <f t="array" ref="E150">IF($AI150="","",IF(LEFT($AI150,2)="C|",IF($C150="","",SUMPRODUCT($AP$5:$AP$302*($AO$5:$AO$302=$A150),$AT$5:$AT$302)),IF($AI150="CT",E$13,IF(LEFT($AI150,3)="AM|",IF($C150="","",SUMPRODUCT($AP$5:$AP$302*($AN$5:$AN$302=$A150),$AT$5:$AT$302)),IF(LEFT($AI150,2)="S|",IF($AG150="","",INDEX($AT$5:$AT$302,$AH150)),IF($AI150="HDR","Sales LY",""))))))</f>
        <v/>
      </c>
      <c r="F150" s="41" t="str">
        <f t="shared" si="80"/>
        <v/>
      </c>
      <c r="G150" s="41" t="str">
        <f t="shared" si="81"/>
        <v/>
      </c>
      <c r="H150" s="40" t="str" cm="1">
        <f t="array" ref="H150">IF($AI150="","",IF(LEFT($AI150,2)="C|",IF($C150="","",SUMPRODUCT($AP$5:$AP$302*($AO$5:$AO$302=$A150),$AV$5:$AV$302)),IF($AI150="CT",H$13,IF(LEFT($AI150,3)="AM|",IF($C150="","",SUMPRODUCT($AP$5:$AP$302*($AN$5:$AN$302=$A150),$AV$5:$AV$302)),IF(LEFT($AI150,2)="S|",IF($AG150="","",INDEX($AV$5:$AV$302,$AH150)),IF($AI150="HDR","Target",""))))))</f>
        <v/>
      </c>
      <c r="I150" s="41" t="str">
        <f t="shared" si="82"/>
        <v/>
      </c>
      <c r="J150" s="40" t="str">
        <f t="shared" si="83"/>
        <v/>
      </c>
      <c r="K150" s="41" t="str">
        <f t="shared" si="84"/>
        <v/>
      </c>
      <c r="L150" s="40" t="str" cm="1">
        <f t="array" ref="L150">IF($AI150="","",IF(LEFT($AI150,2)="C|",IF($C150="","",SUMPRODUCT($AP$5:$AP$302*($AO$5:$AO$302=$A150),$BN$5:$BN$302)),IF($AI150="CT",L$13,IF(LEFT($AI150,3)="AM|",IF($C150="","",SUMPRODUCT($AP$5:$AP$302*($AN$5:$AN$302=$A150),$BN$5:$BN$302)),IF(LEFT($AI150,2)="S|",IF($AG150="","",INDEX($BN$5:$BN$302,$AH150)),IF($AI150="HDR","Month Target",""))))))</f>
        <v/>
      </c>
      <c r="M150" s="40" t="str" cm="1">
        <f t="array" ref="M150">IF($AI150="","",IF(LEFT($AI150,2)="C|",IF($C150="","",SUMPRODUCT($AP$5:$AP$302*($AO$5:$AO$302=$A150),$BO$5:$BO$302)),IF($AI150="CT",M$13,IF(LEFT($AI150,3)="AM|",IF($C150="","",SUMPRODUCT($AP$5:$AP$302*($AN$5:$AN$302=$A150),$BO$5:$BO$302)),IF(LEFT($AI150,2)="S|",IF($AG150="","",INDEX($BO$5:$BO$302,$AH150)),IF($AI150="HDR","Projected Close",""))))))</f>
        <v/>
      </c>
      <c r="N150" s="41" t="str">
        <f t="shared" si="76"/>
        <v/>
      </c>
      <c r="O150" s="41" t="str" cm="1">
        <f t="array" ref="O150">IF($AI150="HDR","Proj. vs LY",IF(OR($AI150="",M150=""),"",_xlfn.LET(_xlpm.ly,IF(LEFT($AI150,2)="C|",SUMPRODUCT($AP$5:$AP$302*($AO$5:$AO$302=$A150),$BK$5:$BK$302),IF($AI150="CT",SUMPRODUCT($AP$5:$AP$302,$BK$5:$BK$302),IF(LEFT($AI150,3)="AM|",SUMPRODUCT($AP$5:$AP$302*($AN$5:$AN$302=$A150),$BK$5:$BK$302),IF(LEFT($AI150,2)="S|",INDEX($BK$5:$BK$302,$AH150),0)))),IFERROR(M150/_xlpm.ly-1,""))))</f>
        <v/>
      </c>
      <c r="P150" s="40" t="str" cm="1">
        <f t="array" ref="P150">IF($AI150="","",IF(LEFT($AI150,2)="C|",IF($C150="","",SUMPRODUCT($AP$5:$AP$302*($AO$5:$AO$302=$A150),$AS$5:$AS$302)),IF($AI150="CT",P$13,IF(LEFT($AI150,3)="AM|",IF($C150="","",SUMPRODUCT($AP$5:$AP$302*($AN$5:$AN$302=$A150),$AS$5:$AS$302)),IF(LEFT($AI150,2)="S|",IF($AG150="","",INDEX($AS$5:$AS$302,$AH150)),IF($AI150="HDR","Trans TY",""))))))</f>
        <v/>
      </c>
      <c r="Q150" s="40" t="str" cm="1">
        <f t="array" ref="Q150">IF($AI150="","",IF(LEFT($AI150,2)="C|",IF($C150="","",SUMPRODUCT($AP$5:$AP$302*($AO$5:$AO$302=$A150),$AU$5:$AU$302)),IF($AI150="CT",Q$13,IF(LEFT($AI150,3)="AM|",IF($C150="","",SUMPRODUCT($AP$5:$AP$302*($AN$5:$AN$302=$A150),$AU$5:$AU$302)),IF(LEFT($AI150,2)="S|",IF($AG150="","",INDEX($AU$5:$AU$302,$AH150)),IF($AI150="HDR","Trans LY",""))))))</f>
        <v/>
      </c>
      <c r="R150" s="41" t="str">
        <f t="shared" si="85"/>
        <v/>
      </c>
      <c r="S150" s="41" t="str">
        <f t="shared" si="86"/>
        <v/>
      </c>
      <c r="T150" s="42" t="str">
        <f t="shared" si="87"/>
        <v/>
      </c>
      <c r="U150" s="42" t="str">
        <f t="shared" si="88"/>
        <v/>
      </c>
      <c r="V150" s="41" t="str">
        <f t="shared" si="89"/>
        <v/>
      </c>
      <c r="W150" s="40" t="str" cm="1">
        <f t="array" ref="W150">IF($AI150="","",IF(LEFT($AI150,2)="C|",_xlfn.LET(_xlpm.n,SUMPRODUCT($AP$5:$AP$302*($AO$5:$AO$302=$A150),$BB$5:$BB$302),IF(_xlpm.n=0,"",_xlpm.n)),IF($AI150="CT",W$13,IF(LEFT($AI150,3)="AM|",_xlfn.LET(_xlpm.n,SUMPRODUCT($AP$5:$AP$302*($AN$5:$AN$302=$A150),$BB$5:$BB$302),IF(_xlpm.n=0,"",_xlpm.n)),IF(LEFT($AI150,2)="S|",IF($AG150="","",_xlfn.LET(_xlpm.n,INDEX($BB$5:$BB$302,$AH150),IF(_xlpm.n=0,"",_xlpm.n))),IF($AI150="HDR","Footfall",""))))))</f>
        <v/>
      </c>
      <c r="X150" s="40" t="str" cm="1">
        <f t="array" ref="X150">IF($AI150="","",IF($AI150="HDR","Trans (FF stores)",IF(W150="","",IF(LEFT($AI150,2)="C|",SUMPRODUCT($AP$5:$AP$302*($AO$5:$AO$302=$A150),$BC$5:$BC$302),IF($AI150="CT",X$13,IF(LEFT($AI150,3)="AM|",SUMPRODUCT($AP$5:$AP$302*($AN$5:$AN$302=$A150),$BC$5:$BC$302),IF(LEFT($AI150,2)="S|",INDEX($BC$5:$BC$302,$AH150),"")))))))</f>
        <v/>
      </c>
      <c r="Y150" s="41" t="str">
        <f t="shared" si="77"/>
        <v/>
      </c>
      <c r="Z150" s="40" t="str" cm="1">
        <f t="array" ref="Z150">IF($AI150="","",IF(LEFT($AI150,2)="C|",IF($C150="","",SUMPRODUCT($AP$5:$AP$302*($AO$5:$AO$302=$A150),$CB$5:$CB$302)),IF($AI150="CT",Z$13,IF(LEFT($AI150,3)="AM|",IF($C150="","",SUMPRODUCT($AP$5:$AP$302*($AN$5:$AN$302=$A150),$CB$5:$CB$302)),IF(LEFT($AI150,2)="S|",IF($AG150="","",INDEX($CB$5:$CB$302,$AH150)),IF($AI150="HDR","Makeup Sales",""))))))</f>
        <v/>
      </c>
      <c r="AA150" s="41" t="str">
        <f t="shared" si="90"/>
        <v/>
      </c>
      <c r="AB150" s="40" t="str" cm="1">
        <f t="array" ref="AB150">IF($AI150="","",IF(LEFT($AI150,2)="C|",IF($C150="","",SUMPRODUCT($AP$5:$AP$302*($AO$5:$AO$302=$A150),$CK$5:$CK$302)),IF($AI150="CT",AB$13,IF(LEFT($AI150,3)="AM|",IF($C150="","",SUMPRODUCT($AP$5:$AP$302*($AN$5:$AN$302=$A150),$CK$5:$CK$302)),IF(LEFT($AI150,2)="S|",IF($AG150="","",INDEX($CK$5:$CK$302,$AH150)),IF($AI150="HDR","Makeup Target",""))))))</f>
        <v/>
      </c>
      <c r="AC150" s="41" t="str">
        <f t="shared" si="78"/>
        <v/>
      </c>
      <c r="AD150" s="40" t="str" cm="1">
        <f t="array" ref="AD150">IF($AI150="","",IF(LEFT($AI150,2)="C|",IF($C150="","",SUMPRODUCT($AP$5:$AP$302*($AO$5:$AO$302=$A150),$CI$5:$CI$302)),IF($AI150="CT",AD$13,IF(LEFT($AI150,3)="AM|",IF($C150="","",SUMPRODUCT($AP$5:$AP$302*($AN$5:$AN$302=$A150),$CI$5:$CI$302)),IF(LEFT($AI150,2)="S|",IF($AG150="","",INDEX($CI$5:$CI$302,$AH150)),IF($AI150="HDR","Cosmetic Sales",""))))))</f>
        <v/>
      </c>
      <c r="AE150" s="8" t="str" cm="1">
        <f t="array" ref="AE150">IF($AI150="","",IF(LEFT($AI150,2)="C|",IF($C150="","",SUMPRODUCT($AP$5:$AP$302*($AO$5:$AO$302=$A150)*$AQ$5:$AQ$302,$AR$5:$AR$302)),IF($AI150="CT",AE$13,IF(LEFT($AI150,3)="AM|",IF($C150="","",SUMPRODUCT($AP$5:$AP$302*($AN$5:$AN$302=$A150)*$AQ$5:$AQ$302,$AR$5:$AR$302)),IF(LEFT($AI150,2)="S|",IF($AG150="","",IF(INDEX($AQ$5:$AQ$302,$AH150)=1,D150,0)),IF($AI150="HDR","LFL Sales",""))))))</f>
        <v/>
      </c>
      <c r="AF150" s="8" t="str" cm="1">
        <f t="array" ref="AF150">IF($AI150="","",IF(LEFT($AI150,2)="C|",IF($C150="","",SUMPRODUCT($AP$5:$AP$302*($AO$5:$AO$302=$A150)*$AQ$5:$AQ$302,$AS$5:$AS$302)),IF($AI150="CT",AF$13,IF(LEFT($AI150,3)="AM|",IF($C150="","",SUMPRODUCT($AP$5:$AP$302*($AN$5:$AN$302=$A150)*$AQ$5:$AQ$302,$AS$5:$AS$302)),IF(LEFT($AI150,2)="S|",IF($AG150="","",IF(INDEX($AQ$5:$AQ$302,$AH150)=1,P150,0)),IF($AI150="HDR","LFL Trans",""))))))</f>
        <v/>
      </c>
      <c r="AG150" s="8" t="str" cm="1">
        <f t="array" ref="AG150">IF($AI150="","",IF(LEFT($AI150,2)="C|","",IF($AI150="CT","",IF(LEFT($AI150,3)="AM|","",IF(LEFT($AI150,2)="S|",IF($AH150="","",IF(INDEX($AP$5:$AP$302,$AH150)=1,1,"")),IF($AI150="HDR","Show",""))))))</f>
        <v/>
      </c>
      <c r="AH150" s="8" t="str">
        <f t="shared" si="91"/>
        <v/>
      </c>
      <c r="AI150" s="8"/>
      <c r="AN150" s="8" t="str" cm="1">
        <f t="array" ref="AN150">IF($AW150="","",_xlfn.LET(_xlpm.sa,IFERROR(TRIM(INDEX('Sales and count'!$D$4:$D$300,$BF150)&amp;""),""),_xlpm.ta,IFERROR(TRIM(INDEX('TY Sales Target'!$F$5:$F$300,$BG150)&amp;""),""),IF(AND(_xlpm.sa&lt;&gt;"",LEFT(_xlpm.sa,1)&lt;&gt;"#",_xlpm.sa&lt;&gt;"0"),_xlpm.sa,IF(AND(_xlpm.ta&lt;&gt;"",LEFT(_xlpm.ta,1)&lt;&gt;"#",_xlpm.ta&lt;&gt;"0"),_xlpm.ta,IF(ISNUMBER($BG150),"Unassigned","")))))</f>
        <v/>
      </c>
      <c r="AO150" s="8" t="str" cm="1">
        <f t="array" ref="AO150">IF($AW150="","",_xlfn.LET(_xlpm.sa,IFERROR(TRIM(INDEX('Sales and count'!$C$4:$C$300,$BF150)&amp;""),""),_xlpm.ta,IFERROR(TRIM(INDEX('TY Sales Target'!$D$5:$D$300,$BG150)&amp;""),""),IF(AND(_xlpm.sa&lt;&gt;"",LEFT(_xlpm.sa,1)&lt;&gt;"#",_xlpm.sa&lt;&gt;"0"),_xlpm.sa,IF(AND(_xlpm.ta&lt;&gt;"",LEFT(_xlpm.ta,1)&lt;&gt;"#",_xlpm.ta&lt;&gt;"0"),_xlpm.ta,""))))</f>
        <v/>
      </c>
      <c r="AP150" s="8">
        <f t="shared" si="93"/>
        <v>0</v>
      </c>
      <c r="AQ150" s="8">
        <f t="shared" si="94"/>
        <v>0</v>
      </c>
      <c r="AR150" s="8" cm="1">
        <f t="array" ref="AR150">IF($BF150="",0,_xlfn.LET(_xlpm.d,IFERROR(--'Sales and count'!$G$2:$CC$2,0),SUMPRODUCT(('Sales and count'!$G$3:$CC$3="Total")*(_xlpm.d&gt;=$U$4)*(_xlpm.d&lt;=$U$5),INDEX('Sales and count'!$G$4:$CC$300,$BF150,0))))</f>
        <v>0</v>
      </c>
      <c r="AS150" s="8" cm="1">
        <f t="array" ref="AS150">IF($BF150="",0,_xlfn.LET(_xlpm.d,IFERROR(--'Sales and count'!$F$2:$CB$2,0),SUMPRODUCT(('Sales and count'!$G$3:$CC$3="Transactions")*(_xlpm.d&gt;=$U$4)*(_xlpm.d&lt;=$U$5),INDEX('Sales and count'!$G$4:$CC$300,$BF150,0))))</f>
        <v>0</v>
      </c>
      <c r="AT150" s="8" cm="1">
        <f t="array" ref="AT150">IF($AW150="",0,SUMPRODUCT((TRIM('LY Sales '!$B$5:$B$200)=$AW150)*('LY Sales '!$C$2:$AG$2&gt;=EDATE($U$4,-12))*('LY Sales '!$C$2:$AG$2&lt;=EDATE($U$5,-12)),'LY Sales '!$C$5:$AG$200))</f>
        <v>0</v>
      </c>
      <c r="AU150" s="8" cm="1">
        <f t="array" ref="AU150">IF($AW150="",0,SUMPRODUCT((TRIM('LY Transaction'!$B$5:$B$200)=$AW150)*('LY Transaction'!$C$2:$AG$2&gt;=EDATE($U$4,-12))*('LY Transaction'!$C$2:$AG$2&lt;=EDATE($U$5,-12)),'LY Transaction'!$C$5:$AG$200))</f>
        <v>0</v>
      </c>
      <c r="AV150" s="8" cm="1">
        <f t="array" ref="AV150">IF(NOT(ISNUMBER($BG150)),0,SUMPRODUCT(('TY Sales Target'!$K$2:$AO$2&gt;=$U$4)*('TY Sales Target'!$K$2:$AO$2&lt;=$U$5),INDEX('TY Sales Target'!$K$5:$AO$300,$BG150,0)))</f>
        <v>0</v>
      </c>
      <c r="AW150" s="8" t="str" cm="1">
        <f t="array" ref="AW150">IFERROR(INDEX(_xlfn.ANCHORARRAY($BR$5),ROWS($AW$5:AW150)),"")</f>
        <v/>
      </c>
      <c r="BB150" cm="1">
        <f t="array" ref="BB150">IF($AW150="",0,SUMPRODUCT((TRIM(Footfall!$B$5:$B$301)=$AW150)*(Footfall!$C$1:$BZ$1&gt;=$U$4)*(Footfall!$C$2:$BZ$2&lt;=$U$5)*(Footfall!$C$1:$BZ$1&lt;&gt;""),Footfall!$C$5:$BZ$301))</f>
        <v>0</v>
      </c>
      <c r="BC150" cm="1">
        <f t="array" ref="BC150">IF(OR($BB150&lt;=0,$BD$1="",$BF150=""),0,_xlfn.LET(_xlpm.d,IFERROR(--'Sales and count'!$F$2:$CB$2,0),SUMPRODUCT(('Sales and count'!$G$3:$CC$3="Transactions")*(_xlpm.d&gt;=$BD$1)*(_xlpm.d&lt;=$BD$2),INDEX('Sales and count'!$G$4:$CC$300,$BF150,0))))</f>
        <v>0</v>
      </c>
      <c r="BF150" t="str" cm="1">
        <f t="array" ref="BF150">IF($AW150="","",IFERROR(MATCH($AW150,TRIM('Sales and count'!$A$4:$A$300&amp;""),0),""))</f>
        <v/>
      </c>
      <c r="BG150" t="str" cm="1">
        <f t="array" ref="BG150">IF($AW150="","",IFERROR(MATCH(IFERROR(_xlfn.XLOOKUP($AW150,$BT$5:$BT$22,$BU$5:$BU$22),$AW150),TRIM('TY Sales Target'!$B$5:$B$300&amp;""),0),""))</f>
        <v/>
      </c>
      <c r="BH150" t="str" cm="1">
        <f t="array" ref="BH150">IF(ISNUMBER($BG150),_xlfn.LET(_xlpm.p,TRIM(INDEX('TY Sales Target'!$I$5:$I$300,$BG150)&amp;""),IF(_xlpm.p="","Not set",_xlpm.p)),"Not set")</f>
        <v>Not set</v>
      </c>
      <c r="BI150" cm="1">
        <f t="array" ref="BI150">IF($BF150="",0,_xlfn.LET(_xlpm.d,IFERROR(--'Sales and count'!$G$2:$CC$2,0),SUMPRODUCT(('Sales and count'!$G$3:$CC$3="Total")*(_xlpm.d&gt;=$BZ$5)*(_xlpm.d&lt;=$BZ$6),INDEX('Sales and count'!$G$4:$CC$300,$BF150,0))))</f>
        <v>0</v>
      </c>
      <c r="BJ150" cm="1">
        <f t="array" ref="BJ150">IF($AW150="",0,SUMPRODUCT((TRIM('LY Sales '!$B$5:$B$200)=$AW150)*('LY Sales '!$C$2:$AG$2&gt;=EDATE($BZ$5,-12))*('LY Sales '!$C$2:$AG$2&lt;=EDATE($BZ$6,-12)),'LY Sales '!$C$5:$AG$200))</f>
        <v>0</v>
      </c>
      <c r="BK150" cm="1">
        <f t="array" ref="BK150">IF($AW150="",0,SUMPRODUCT((TRIM('LY Sales '!$B$5:$B$200)=$AW150)*('LY Sales '!$C$2:$AG$2&gt;=EDATE($BZ$5,-12))*('LY Sales '!$C$2:$AG$2&lt;=EDATE($BZ$7,-12)),'LY Sales '!$C$5:$AG$200))</f>
        <v>0</v>
      </c>
      <c r="BL150" cm="1">
        <f t="array" ref="BL150">IF($AW150="",0,SUMPRODUCT((TRIM('LY Sales '!$B$5:$B$200)=$AW150)*('LY Sales '!$C$2:$AG$2&gt;=EDATE($BZ$5,-12))*('LY Sales '!$C$2:$AG$2&lt;=EDATE($BZ$6,-12))*('LY Sales '!$C$5:$AG$200&gt;0)))</f>
        <v>0</v>
      </c>
      <c r="BM150" cm="1">
        <f t="array" ref="BM150">IF(NOT(ISNUMBER($BG150)),0,SUMPRODUCT(('TY Sales Target'!$K$2:$AO$2&gt;=$BZ$5)*('TY Sales Target'!$K$2:$AO$2&lt;=$BZ$6),INDEX('TY Sales Target'!$K$5:$AO$300,$BG150,0)))</f>
        <v>0</v>
      </c>
      <c r="BN150" cm="1">
        <f t="array" ref="BN150">IF(NOT(ISNUMBER($BG150)),0,SUMPRODUCT(('TY Sales Target'!$K$2:$AO$2&gt;=$BZ$5)*('TY Sales Target'!$K$2:$AO$2&lt;=$BZ$7),INDEX('TY Sales Target'!$K$5:$AO$300,$BG150,0)))</f>
        <v>0</v>
      </c>
      <c r="BO150" cm="1">
        <f t="array" ref="BO150">IF($AW150="",0,IFERROR(_xlfn.SWITCH($BP150,"LY trend",$BI150*$BK150/$BJ150,"Target curve",$BI150*$BN150/$BM150,"Run rate",$BI150/$BZ$8*$BZ$9,0),0))</f>
        <v>0</v>
      </c>
      <c r="BP150" t="str">
        <f t="shared" si="92"/>
        <v/>
      </c>
      <c r="CB150" cm="1">
        <f t="array" ref="CB150">IF($AW150="",0,_xlfn.LET(_xlpm.k,IFERROR(_xlfn.XLOOKUP($AW150,$CD$6:$CD$21,$CE$6:$CE$21),$AW150),SUMPRODUCT((TRIM('Makeup '!$A$2:$A$300&amp;"")=_xlpm.k)*1,IFERROR('Makeup '!$F$2:$F$300*1,0))))</f>
        <v>0</v>
      </c>
      <c r="CF150" t="str" cm="1">
        <f t="array" ref="CF150">IF($AW150="","",_xlfn.LET(_xlpm.c,IFERROR(TRIM(INDEX('Sales and count'!$B$4:$B$300,$BF150)&amp;""),""),IF(OR(_xlpm.c="",_xlpm.c="0",LEFT(_xlpm.c,1)="#"),"Not set",_xlpm.c)))</f>
        <v/>
      </c>
      <c r="CH150" cm="1">
        <f t="array" ref="CH150">IF($AW150="",0,_xlfn.LET(_xlpm.k,IFERROR(_xlfn.XLOOKUP($AW150,$CD$6:$CD$21,$CE$6:$CE$21),$AW150),--(SUMPRODUCT((TRIM('Makeup '!$A$2:$A$300&amp;"")=_xlpm.k)*ISNUMBER('Makeup '!$F$2:$F$300))&gt;0)))</f>
        <v>0</v>
      </c>
      <c r="CI150">
        <f t="shared" si="95"/>
        <v>0</v>
      </c>
      <c r="CJ150" cm="1">
        <f t="array" ref="CJ150">IF($AW150="",0,--(SUMPRODUCT(--(TRIM(Footfall!$B$5:$B$301)=$AW150))&gt;0))</f>
        <v>0</v>
      </c>
      <c r="CK150" s="8" cm="1">
        <f t="array" ref="CK150">IF($AW150="",0,_xlfn.LET(_xlpm.r,IFERROR(MATCH(IFERROR(_xlfn.XLOOKUP($AW150,$BT$5:$BT$22,$BU$5:$BU$22),$AW150),TRIM('TY Beauty Target'!$B$5:$B$300&amp;""),0),""),IF(ISNUMBER(_xlpm.r),SUMPRODUCT(('TY Beauty Target'!$L$2:$AP$2&gt;=$U$4)*('TY Beauty Target'!$L$2:$AP$2&lt;=$U$5),INDEX('TY Beauty Target'!$L$5:$AP$300,_xlpm.r,0)),0)))</f>
        <v>0</v>
      </c>
    </row>
    <row r="151" spans="1:89" ht="15" customHeight="1" x14ac:dyDescent="0.25">
      <c r="A151" s="38" t="str">
        <f t="shared" si="79"/>
        <v/>
      </c>
      <c r="B151" s="43" t="str" cm="1">
        <f t="array" ref="B151">IF($AI151="","",IF(LEFT($AI151,2)="C|",IF($C151="","",_xlfn.TEXTJOIN(", ",TRUE,_xlfn.UNIQUE(_xlfn._xlws.FILTER($AN$5:$AN$302,($AP$5:$AP$302=1)*($AO$5:$AO$302=$A151))))),IF($AI151="CT",B$13,IF(LEFT($AI151,3)="AM|",IF($C151="","",ROWS(_xlfn.UNIQUE(_xlfn._xlws.FILTER($AO$5:$AO$302,($AP$5:$AP$302=1)*($AN$5:$AN$302=$A151))))),IF(LEFT($AI151,2)="S|",IF($AG151="","",INDEX($AO$5:$AO$302,$AH151)),IF($AI151="HDR","City",""))))))</f>
        <v/>
      </c>
      <c r="C151" s="39" t="str" cm="1">
        <f t="array" ref="C151">IF($AI151="","",IF(LEFT($AI151,2)="C|",_xlfn.LET(_xlpm.n,SUMPRODUCT($AP$5:$AP$302*($AO$5:$AO$302=$A151)),IF(_xlpm.n=0,"",_xlpm.n)),IF($AI151="CT",C$13,IF(LEFT($AI151,3)="AM|",_xlfn.LET(_xlpm.n,SUMPRODUCT($AP$5:$AP$302*($AN$5:$AN$302=$A151)),IF(_xlpm.n=0,"",_xlpm.n)),IF(LEFT($AI151,2)="S|","",IF($AI151="HDR","# Stores",""))))))</f>
        <v/>
      </c>
      <c r="D151" s="40" t="str" cm="1">
        <f t="array" ref="D151">IF($AI151="","",IF(LEFT($AI151,2)="C|",IF($C151="","",SUMPRODUCT($AP$5:$AP$302*($AO$5:$AO$302=$A151),$AR$5:$AR$302)),IF($AI151="CT",D$13,IF(LEFT($AI151,3)="AM|",IF($C151="","",SUMPRODUCT($AP$5:$AP$302*($AN$5:$AN$302=$A151),$AR$5:$AR$302)),IF(LEFT($AI151,2)="S|",IF($AG151="","",INDEX($AR$5:$AR$302,$AH151)),IF($AI151="HDR","Sales TY",""))))))</f>
        <v/>
      </c>
      <c r="E151" s="40" t="str" cm="1">
        <f t="array" ref="E151">IF($AI151="","",IF(LEFT($AI151,2)="C|",IF($C151="","",SUMPRODUCT($AP$5:$AP$302*($AO$5:$AO$302=$A151),$AT$5:$AT$302)),IF($AI151="CT",E$13,IF(LEFT($AI151,3)="AM|",IF($C151="","",SUMPRODUCT($AP$5:$AP$302*($AN$5:$AN$302=$A151),$AT$5:$AT$302)),IF(LEFT($AI151,2)="S|",IF($AG151="","",INDEX($AT$5:$AT$302,$AH151)),IF($AI151="HDR","Sales LY",""))))))</f>
        <v/>
      </c>
      <c r="F151" s="41" t="str">
        <f t="shared" si="80"/>
        <v/>
      </c>
      <c r="G151" s="41" t="str">
        <f t="shared" si="81"/>
        <v/>
      </c>
      <c r="H151" s="40" t="str" cm="1">
        <f t="array" ref="H151">IF($AI151="","",IF(LEFT($AI151,2)="C|",IF($C151="","",SUMPRODUCT($AP$5:$AP$302*($AO$5:$AO$302=$A151),$AV$5:$AV$302)),IF($AI151="CT",H$13,IF(LEFT($AI151,3)="AM|",IF($C151="","",SUMPRODUCT($AP$5:$AP$302*($AN$5:$AN$302=$A151),$AV$5:$AV$302)),IF(LEFT($AI151,2)="S|",IF($AG151="","",INDEX($AV$5:$AV$302,$AH151)),IF($AI151="HDR","Target",""))))))</f>
        <v/>
      </c>
      <c r="I151" s="41" t="str">
        <f t="shared" si="82"/>
        <v/>
      </c>
      <c r="J151" s="40" t="str">
        <f t="shared" si="83"/>
        <v/>
      </c>
      <c r="K151" s="41" t="str">
        <f t="shared" si="84"/>
        <v/>
      </c>
      <c r="L151" s="40" t="str" cm="1">
        <f t="array" ref="L151">IF($AI151="","",IF(LEFT($AI151,2)="C|",IF($C151="","",SUMPRODUCT($AP$5:$AP$302*($AO$5:$AO$302=$A151),$BN$5:$BN$302)),IF($AI151="CT",L$13,IF(LEFT($AI151,3)="AM|",IF($C151="","",SUMPRODUCT($AP$5:$AP$302*($AN$5:$AN$302=$A151),$BN$5:$BN$302)),IF(LEFT($AI151,2)="S|",IF($AG151="","",INDEX($BN$5:$BN$302,$AH151)),IF($AI151="HDR","Month Target",""))))))</f>
        <v/>
      </c>
      <c r="M151" s="40" t="str" cm="1">
        <f t="array" ref="M151">IF($AI151="","",IF(LEFT($AI151,2)="C|",IF($C151="","",SUMPRODUCT($AP$5:$AP$302*($AO$5:$AO$302=$A151),$BO$5:$BO$302)),IF($AI151="CT",M$13,IF(LEFT($AI151,3)="AM|",IF($C151="","",SUMPRODUCT($AP$5:$AP$302*($AN$5:$AN$302=$A151),$BO$5:$BO$302)),IF(LEFT($AI151,2)="S|",IF($AG151="","",INDEX($BO$5:$BO$302,$AH151)),IF($AI151="HDR","Projected Close",""))))))</f>
        <v/>
      </c>
      <c r="N151" s="41" t="str">
        <f t="shared" si="76"/>
        <v/>
      </c>
      <c r="O151" s="41" t="str" cm="1">
        <f t="array" ref="O151">IF($AI151="HDR","Proj. vs LY",IF(OR($AI151="",M151=""),"",_xlfn.LET(_xlpm.ly,IF(LEFT($AI151,2)="C|",SUMPRODUCT($AP$5:$AP$302*($AO$5:$AO$302=$A151),$BK$5:$BK$302),IF($AI151="CT",SUMPRODUCT($AP$5:$AP$302,$BK$5:$BK$302),IF(LEFT($AI151,3)="AM|",SUMPRODUCT($AP$5:$AP$302*($AN$5:$AN$302=$A151),$BK$5:$BK$302),IF(LEFT($AI151,2)="S|",INDEX($BK$5:$BK$302,$AH151),0)))),IFERROR(M151/_xlpm.ly-1,""))))</f>
        <v/>
      </c>
      <c r="P151" s="40" t="str" cm="1">
        <f t="array" ref="P151">IF($AI151="","",IF(LEFT($AI151,2)="C|",IF($C151="","",SUMPRODUCT($AP$5:$AP$302*($AO$5:$AO$302=$A151),$AS$5:$AS$302)),IF($AI151="CT",P$13,IF(LEFT($AI151,3)="AM|",IF($C151="","",SUMPRODUCT($AP$5:$AP$302*($AN$5:$AN$302=$A151),$AS$5:$AS$302)),IF(LEFT($AI151,2)="S|",IF($AG151="","",INDEX($AS$5:$AS$302,$AH151)),IF($AI151="HDR","Trans TY",""))))))</f>
        <v/>
      </c>
      <c r="Q151" s="40" t="str" cm="1">
        <f t="array" ref="Q151">IF($AI151="","",IF(LEFT($AI151,2)="C|",IF($C151="","",SUMPRODUCT($AP$5:$AP$302*($AO$5:$AO$302=$A151),$AU$5:$AU$302)),IF($AI151="CT",Q$13,IF(LEFT($AI151,3)="AM|",IF($C151="","",SUMPRODUCT($AP$5:$AP$302*($AN$5:$AN$302=$A151),$AU$5:$AU$302)),IF(LEFT($AI151,2)="S|",IF($AG151="","",INDEX($AU$5:$AU$302,$AH151)),IF($AI151="HDR","Trans LY",""))))))</f>
        <v/>
      </c>
      <c r="R151" s="41" t="str">
        <f t="shared" si="85"/>
        <v/>
      </c>
      <c r="S151" s="41" t="str">
        <f t="shared" si="86"/>
        <v/>
      </c>
      <c r="T151" s="42" t="str">
        <f t="shared" si="87"/>
        <v/>
      </c>
      <c r="U151" s="42" t="str">
        <f t="shared" si="88"/>
        <v/>
      </c>
      <c r="V151" s="41" t="str">
        <f t="shared" si="89"/>
        <v/>
      </c>
      <c r="W151" s="40" t="str" cm="1">
        <f t="array" ref="W151">IF($AI151="","",IF(LEFT($AI151,2)="C|",_xlfn.LET(_xlpm.n,SUMPRODUCT($AP$5:$AP$302*($AO$5:$AO$302=$A151),$BB$5:$BB$302),IF(_xlpm.n=0,"",_xlpm.n)),IF($AI151="CT",W$13,IF(LEFT($AI151,3)="AM|",_xlfn.LET(_xlpm.n,SUMPRODUCT($AP$5:$AP$302*($AN$5:$AN$302=$A151),$BB$5:$BB$302),IF(_xlpm.n=0,"",_xlpm.n)),IF(LEFT($AI151,2)="S|",IF($AG151="","",_xlfn.LET(_xlpm.n,INDEX($BB$5:$BB$302,$AH151),IF(_xlpm.n=0,"",_xlpm.n))),IF($AI151="HDR","Footfall",""))))))</f>
        <v/>
      </c>
      <c r="X151" s="40" t="str" cm="1">
        <f t="array" ref="X151">IF($AI151="","",IF($AI151="HDR","Trans (FF stores)",IF(W151="","",IF(LEFT($AI151,2)="C|",SUMPRODUCT($AP$5:$AP$302*($AO$5:$AO$302=$A151),$BC$5:$BC$302),IF($AI151="CT",X$13,IF(LEFT($AI151,3)="AM|",SUMPRODUCT($AP$5:$AP$302*($AN$5:$AN$302=$A151),$BC$5:$BC$302),IF(LEFT($AI151,2)="S|",INDEX($BC$5:$BC$302,$AH151),"")))))))</f>
        <v/>
      </c>
      <c r="Y151" s="41" t="str">
        <f t="shared" si="77"/>
        <v/>
      </c>
      <c r="Z151" s="40" t="str" cm="1">
        <f t="array" ref="Z151">IF($AI151="","",IF(LEFT($AI151,2)="C|",IF($C151="","",SUMPRODUCT($AP$5:$AP$302*($AO$5:$AO$302=$A151),$CB$5:$CB$302)),IF($AI151="CT",Z$13,IF(LEFT($AI151,3)="AM|",IF($C151="","",SUMPRODUCT($AP$5:$AP$302*($AN$5:$AN$302=$A151),$CB$5:$CB$302)),IF(LEFT($AI151,2)="S|",IF($AG151="","",INDEX($CB$5:$CB$302,$AH151)),IF($AI151="HDR","Makeup Sales",""))))))</f>
        <v/>
      </c>
      <c r="AA151" s="41" t="str">
        <f t="shared" si="90"/>
        <v/>
      </c>
      <c r="AB151" s="40" t="str" cm="1">
        <f t="array" ref="AB151">IF($AI151="","",IF(LEFT($AI151,2)="C|",IF($C151="","",SUMPRODUCT($AP$5:$AP$302*($AO$5:$AO$302=$A151),$CK$5:$CK$302)),IF($AI151="CT",AB$13,IF(LEFT($AI151,3)="AM|",IF($C151="","",SUMPRODUCT($AP$5:$AP$302*($AN$5:$AN$302=$A151),$CK$5:$CK$302)),IF(LEFT($AI151,2)="S|",IF($AG151="","",INDEX($CK$5:$CK$302,$AH151)),IF($AI151="HDR","Makeup Target",""))))))</f>
        <v/>
      </c>
      <c r="AC151" s="41" t="str">
        <f t="shared" si="78"/>
        <v/>
      </c>
      <c r="AD151" s="40" t="str" cm="1">
        <f t="array" ref="AD151">IF($AI151="","",IF(LEFT($AI151,2)="C|",IF($C151="","",SUMPRODUCT($AP$5:$AP$302*($AO$5:$AO$302=$A151),$CI$5:$CI$302)),IF($AI151="CT",AD$13,IF(LEFT($AI151,3)="AM|",IF($C151="","",SUMPRODUCT($AP$5:$AP$302*($AN$5:$AN$302=$A151),$CI$5:$CI$302)),IF(LEFT($AI151,2)="S|",IF($AG151="","",INDEX($CI$5:$CI$302,$AH151)),IF($AI151="HDR","Cosmetic Sales",""))))))</f>
        <v/>
      </c>
      <c r="AE151" s="8" t="str" cm="1">
        <f t="array" ref="AE151">IF($AI151="","",IF(LEFT($AI151,2)="C|",IF($C151="","",SUMPRODUCT($AP$5:$AP$302*($AO$5:$AO$302=$A151)*$AQ$5:$AQ$302,$AR$5:$AR$302)),IF($AI151="CT",AE$13,IF(LEFT($AI151,3)="AM|",IF($C151="","",SUMPRODUCT($AP$5:$AP$302*($AN$5:$AN$302=$A151)*$AQ$5:$AQ$302,$AR$5:$AR$302)),IF(LEFT($AI151,2)="S|",IF($AG151="","",IF(INDEX($AQ$5:$AQ$302,$AH151)=1,D151,0)),IF($AI151="HDR","LFL Sales",""))))))</f>
        <v/>
      </c>
      <c r="AF151" s="8" t="str" cm="1">
        <f t="array" ref="AF151">IF($AI151="","",IF(LEFT($AI151,2)="C|",IF($C151="","",SUMPRODUCT($AP$5:$AP$302*($AO$5:$AO$302=$A151)*$AQ$5:$AQ$302,$AS$5:$AS$302)),IF($AI151="CT",AF$13,IF(LEFT($AI151,3)="AM|",IF($C151="","",SUMPRODUCT($AP$5:$AP$302*($AN$5:$AN$302=$A151)*$AQ$5:$AQ$302,$AS$5:$AS$302)),IF(LEFT($AI151,2)="S|",IF($AG151="","",IF(INDEX($AQ$5:$AQ$302,$AH151)=1,P151,0)),IF($AI151="HDR","LFL Trans",""))))))</f>
        <v/>
      </c>
      <c r="AG151" s="8" t="str" cm="1">
        <f t="array" ref="AG151">IF($AI151="","",IF(LEFT($AI151,2)="C|","",IF($AI151="CT","",IF(LEFT($AI151,3)="AM|","",IF(LEFT($AI151,2)="S|",IF($AH151="","",IF(INDEX($AP$5:$AP$302,$AH151)=1,1,"")),IF($AI151="HDR","Show",""))))))</f>
        <v/>
      </c>
      <c r="AH151" s="8" t="str">
        <f t="shared" si="91"/>
        <v/>
      </c>
      <c r="AI151" s="8"/>
      <c r="AN151" s="8" t="str" cm="1">
        <f t="array" ref="AN151">IF($AW151="","",_xlfn.LET(_xlpm.sa,IFERROR(TRIM(INDEX('Sales and count'!$D$4:$D$300,$BF151)&amp;""),""),_xlpm.ta,IFERROR(TRIM(INDEX('TY Sales Target'!$F$5:$F$300,$BG151)&amp;""),""),IF(AND(_xlpm.sa&lt;&gt;"",LEFT(_xlpm.sa,1)&lt;&gt;"#",_xlpm.sa&lt;&gt;"0"),_xlpm.sa,IF(AND(_xlpm.ta&lt;&gt;"",LEFT(_xlpm.ta,1)&lt;&gt;"#",_xlpm.ta&lt;&gt;"0"),_xlpm.ta,IF(ISNUMBER($BG151),"Unassigned","")))))</f>
        <v/>
      </c>
      <c r="AO151" s="8" t="str" cm="1">
        <f t="array" ref="AO151">IF($AW151="","",_xlfn.LET(_xlpm.sa,IFERROR(TRIM(INDEX('Sales and count'!$C$4:$C$300,$BF151)&amp;""),""),_xlpm.ta,IFERROR(TRIM(INDEX('TY Sales Target'!$D$5:$D$300,$BG151)&amp;""),""),IF(AND(_xlpm.sa&lt;&gt;"",LEFT(_xlpm.sa,1)&lt;&gt;"#",_xlpm.sa&lt;&gt;"0"),_xlpm.sa,IF(AND(_xlpm.ta&lt;&gt;"",LEFT(_xlpm.ta,1)&lt;&gt;"#",_xlpm.ta&lt;&gt;"0"),_xlpm.ta,""))))</f>
        <v/>
      </c>
      <c r="AP151" s="8">
        <f t="shared" si="93"/>
        <v>0</v>
      </c>
      <c r="AQ151" s="8">
        <f t="shared" si="94"/>
        <v>0</v>
      </c>
      <c r="AR151" s="8" cm="1">
        <f t="array" ref="AR151">IF($BF151="",0,_xlfn.LET(_xlpm.d,IFERROR(--'Sales and count'!$G$2:$CC$2,0),SUMPRODUCT(('Sales and count'!$G$3:$CC$3="Total")*(_xlpm.d&gt;=$U$4)*(_xlpm.d&lt;=$U$5),INDEX('Sales and count'!$G$4:$CC$300,$BF151,0))))</f>
        <v>0</v>
      </c>
      <c r="AS151" s="8" cm="1">
        <f t="array" ref="AS151">IF($BF151="",0,_xlfn.LET(_xlpm.d,IFERROR(--'Sales and count'!$F$2:$CB$2,0),SUMPRODUCT(('Sales and count'!$G$3:$CC$3="Transactions")*(_xlpm.d&gt;=$U$4)*(_xlpm.d&lt;=$U$5),INDEX('Sales and count'!$G$4:$CC$300,$BF151,0))))</f>
        <v>0</v>
      </c>
      <c r="AT151" s="8" cm="1">
        <f t="array" ref="AT151">IF($AW151="",0,SUMPRODUCT((TRIM('LY Sales '!$B$5:$B$200)=$AW151)*('LY Sales '!$C$2:$AG$2&gt;=EDATE($U$4,-12))*('LY Sales '!$C$2:$AG$2&lt;=EDATE($U$5,-12)),'LY Sales '!$C$5:$AG$200))</f>
        <v>0</v>
      </c>
      <c r="AU151" s="8" cm="1">
        <f t="array" ref="AU151">IF($AW151="",0,SUMPRODUCT((TRIM('LY Transaction'!$B$5:$B$200)=$AW151)*('LY Transaction'!$C$2:$AG$2&gt;=EDATE($U$4,-12))*('LY Transaction'!$C$2:$AG$2&lt;=EDATE($U$5,-12)),'LY Transaction'!$C$5:$AG$200))</f>
        <v>0</v>
      </c>
      <c r="AV151" s="8" cm="1">
        <f t="array" ref="AV151">IF(NOT(ISNUMBER($BG151)),0,SUMPRODUCT(('TY Sales Target'!$K$2:$AO$2&gt;=$U$4)*('TY Sales Target'!$K$2:$AO$2&lt;=$U$5),INDEX('TY Sales Target'!$K$5:$AO$300,$BG151,0)))</f>
        <v>0</v>
      </c>
      <c r="AW151" s="8" t="str" cm="1">
        <f t="array" ref="AW151">IFERROR(INDEX(_xlfn.ANCHORARRAY($BR$5),ROWS($AW$5:AW151)),"")</f>
        <v/>
      </c>
      <c r="BB151" cm="1">
        <f t="array" ref="BB151">IF($AW151="",0,SUMPRODUCT((TRIM(Footfall!$B$5:$B$301)=$AW151)*(Footfall!$C$1:$BZ$1&gt;=$U$4)*(Footfall!$C$2:$BZ$2&lt;=$U$5)*(Footfall!$C$1:$BZ$1&lt;&gt;""),Footfall!$C$5:$BZ$301))</f>
        <v>0</v>
      </c>
      <c r="BC151" cm="1">
        <f t="array" ref="BC151">IF(OR($BB151&lt;=0,$BD$1="",$BF151=""),0,_xlfn.LET(_xlpm.d,IFERROR(--'Sales and count'!$F$2:$CB$2,0),SUMPRODUCT(('Sales and count'!$G$3:$CC$3="Transactions")*(_xlpm.d&gt;=$BD$1)*(_xlpm.d&lt;=$BD$2),INDEX('Sales and count'!$G$4:$CC$300,$BF151,0))))</f>
        <v>0</v>
      </c>
      <c r="BF151" t="str" cm="1">
        <f t="array" ref="BF151">IF($AW151="","",IFERROR(MATCH($AW151,TRIM('Sales and count'!$A$4:$A$300&amp;""),0),""))</f>
        <v/>
      </c>
      <c r="BG151" t="str" cm="1">
        <f t="array" ref="BG151">IF($AW151="","",IFERROR(MATCH(IFERROR(_xlfn.XLOOKUP($AW151,$BT$5:$BT$22,$BU$5:$BU$22),$AW151),TRIM('TY Sales Target'!$B$5:$B$300&amp;""),0),""))</f>
        <v/>
      </c>
      <c r="BH151" t="str" cm="1">
        <f t="array" ref="BH151">IF(ISNUMBER($BG151),_xlfn.LET(_xlpm.p,TRIM(INDEX('TY Sales Target'!$I$5:$I$300,$BG151)&amp;""),IF(_xlpm.p="","Not set",_xlpm.p)),"Not set")</f>
        <v>Not set</v>
      </c>
      <c r="BI151" cm="1">
        <f t="array" ref="BI151">IF($BF151="",0,_xlfn.LET(_xlpm.d,IFERROR(--'Sales and count'!$G$2:$CC$2,0),SUMPRODUCT(('Sales and count'!$G$3:$CC$3="Total")*(_xlpm.d&gt;=$BZ$5)*(_xlpm.d&lt;=$BZ$6),INDEX('Sales and count'!$G$4:$CC$300,$BF151,0))))</f>
        <v>0</v>
      </c>
      <c r="BJ151" cm="1">
        <f t="array" ref="BJ151">IF($AW151="",0,SUMPRODUCT((TRIM('LY Sales '!$B$5:$B$200)=$AW151)*('LY Sales '!$C$2:$AG$2&gt;=EDATE($BZ$5,-12))*('LY Sales '!$C$2:$AG$2&lt;=EDATE($BZ$6,-12)),'LY Sales '!$C$5:$AG$200))</f>
        <v>0</v>
      </c>
      <c r="BK151" cm="1">
        <f t="array" ref="BK151">IF($AW151="",0,SUMPRODUCT((TRIM('LY Sales '!$B$5:$B$200)=$AW151)*('LY Sales '!$C$2:$AG$2&gt;=EDATE($BZ$5,-12))*('LY Sales '!$C$2:$AG$2&lt;=EDATE($BZ$7,-12)),'LY Sales '!$C$5:$AG$200))</f>
        <v>0</v>
      </c>
      <c r="BL151" cm="1">
        <f t="array" ref="BL151">IF($AW151="",0,SUMPRODUCT((TRIM('LY Sales '!$B$5:$B$200)=$AW151)*('LY Sales '!$C$2:$AG$2&gt;=EDATE($BZ$5,-12))*('LY Sales '!$C$2:$AG$2&lt;=EDATE($BZ$6,-12))*('LY Sales '!$C$5:$AG$200&gt;0)))</f>
        <v>0</v>
      </c>
      <c r="BM151" cm="1">
        <f t="array" ref="BM151">IF(NOT(ISNUMBER($BG151)),0,SUMPRODUCT(('TY Sales Target'!$K$2:$AO$2&gt;=$BZ$5)*('TY Sales Target'!$K$2:$AO$2&lt;=$BZ$6),INDEX('TY Sales Target'!$K$5:$AO$300,$BG151,0)))</f>
        <v>0</v>
      </c>
      <c r="BN151" cm="1">
        <f t="array" ref="BN151">IF(NOT(ISNUMBER($BG151)),0,SUMPRODUCT(('TY Sales Target'!$K$2:$AO$2&gt;=$BZ$5)*('TY Sales Target'!$K$2:$AO$2&lt;=$BZ$7),INDEX('TY Sales Target'!$K$5:$AO$300,$BG151,0)))</f>
        <v>0</v>
      </c>
      <c r="BO151" cm="1">
        <f t="array" ref="BO151">IF($AW151="",0,IFERROR(_xlfn.SWITCH($BP151,"LY trend",$BI151*$BK151/$BJ151,"Target curve",$BI151*$BN151/$BM151,"Run rate",$BI151/$BZ$8*$BZ$9,0),0))</f>
        <v>0</v>
      </c>
      <c r="BP151" t="str">
        <f t="shared" si="92"/>
        <v/>
      </c>
      <c r="CB151" cm="1">
        <f t="array" ref="CB151">IF($AW151="",0,_xlfn.LET(_xlpm.k,IFERROR(_xlfn.XLOOKUP($AW151,$CD$6:$CD$21,$CE$6:$CE$21),$AW151),SUMPRODUCT((TRIM('Makeup '!$A$2:$A$300&amp;"")=_xlpm.k)*1,IFERROR('Makeup '!$F$2:$F$300*1,0))))</f>
        <v>0</v>
      </c>
      <c r="CF151" t="str" cm="1">
        <f t="array" ref="CF151">IF($AW151="","",_xlfn.LET(_xlpm.c,IFERROR(TRIM(INDEX('Sales and count'!$B$4:$B$300,$BF151)&amp;""),""),IF(OR(_xlpm.c="",_xlpm.c="0",LEFT(_xlpm.c,1)="#"),"Not set",_xlpm.c)))</f>
        <v/>
      </c>
      <c r="CH151" cm="1">
        <f t="array" ref="CH151">IF($AW151="",0,_xlfn.LET(_xlpm.k,IFERROR(_xlfn.XLOOKUP($AW151,$CD$6:$CD$21,$CE$6:$CE$21),$AW151),--(SUMPRODUCT((TRIM('Makeup '!$A$2:$A$300&amp;"")=_xlpm.k)*ISNUMBER('Makeup '!$F$2:$F$300))&gt;0)))</f>
        <v>0</v>
      </c>
      <c r="CI151">
        <f t="shared" si="95"/>
        <v>0</v>
      </c>
      <c r="CJ151" cm="1">
        <f t="array" ref="CJ151">IF($AW151="",0,--(SUMPRODUCT(--(TRIM(Footfall!$B$5:$B$301)=$AW151))&gt;0))</f>
        <v>0</v>
      </c>
      <c r="CK151" s="8" cm="1">
        <f t="array" ref="CK151">IF($AW151="",0,_xlfn.LET(_xlpm.r,IFERROR(MATCH(IFERROR(_xlfn.XLOOKUP($AW151,$BT$5:$BT$22,$BU$5:$BU$22),$AW151),TRIM('TY Beauty Target'!$B$5:$B$300&amp;""),0),""),IF(ISNUMBER(_xlpm.r),SUMPRODUCT(('TY Beauty Target'!$L$2:$AP$2&gt;=$U$4)*('TY Beauty Target'!$L$2:$AP$2&lt;=$U$5),INDEX('TY Beauty Target'!$L$5:$AP$300,_xlpm.r,0)),0)))</f>
        <v>0</v>
      </c>
    </row>
    <row r="152" spans="1:89" ht="15" customHeight="1" x14ac:dyDescent="0.25">
      <c r="A152" s="38" t="str">
        <f t="shared" si="79"/>
        <v/>
      </c>
      <c r="B152" s="43" t="str" cm="1">
        <f t="array" ref="B152">IF($AI152="","",IF(LEFT($AI152,2)="C|",IF($C152="","",_xlfn.TEXTJOIN(", ",TRUE,_xlfn.UNIQUE(_xlfn._xlws.FILTER($AN$5:$AN$302,($AP$5:$AP$302=1)*($AO$5:$AO$302=$A152))))),IF($AI152="CT",B$13,IF(LEFT($AI152,3)="AM|",IF($C152="","",ROWS(_xlfn.UNIQUE(_xlfn._xlws.FILTER($AO$5:$AO$302,($AP$5:$AP$302=1)*($AN$5:$AN$302=$A152))))),IF(LEFT($AI152,2)="S|",IF($AG152="","",INDEX($AO$5:$AO$302,$AH152)),IF($AI152="HDR","City",""))))))</f>
        <v/>
      </c>
      <c r="C152" s="39" t="str" cm="1">
        <f t="array" ref="C152">IF($AI152="","",IF(LEFT($AI152,2)="C|",_xlfn.LET(_xlpm.n,SUMPRODUCT($AP$5:$AP$302*($AO$5:$AO$302=$A152)),IF(_xlpm.n=0,"",_xlpm.n)),IF($AI152="CT",C$13,IF(LEFT($AI152,3)="AM|",_xlfn.LET(_xlpm.n,SUMPRODUCT($AP$5:$AP$302*($AN$5:$AN$302=$A152)),IF(_xlpm.n=0,"",_xlpm.n)),IF(LEFT($AI152,2)="S|","",IF($AI152="HDR","# Stores",""))))))</f>
        <v/>
      </c>
      <c r="D152" s="40" t="str" cm="1">
        <f t="array" ref="D152">IF($AI152="","",IF(LEFT($AI152,2)="C|",IF($C152="","",SUMPRODUCT($AP$5:$AP$302*($AO$5:$AO$302=$A152),$AR$5:$AR$302)),IF($AI152="CT",D$13,IF(LEFT($AI152,3)="AM|",IF($C152="","",SUMPRODUCT($AP$5:$AP$302*($AN$5:$AN$302=$A152),$AR$5:$AR$302)),IF(LEFT($AI152,2)="S|",IF($AG152="","",INDEX($AR$5:$AR$302,$AH152)),IF($AI152="HDR","Sales TY",""))))))</f>
        <v/>
      </c>
      <c r="E152" s="40" t="str" cm="1">
        <f t="array" ref="E152">IF($AI152="","",IF(LEFT($AI152,2)="C|",IF($C152="","",SUMPRODUCT($AP$5:$AP$302*($AO$5:$AO$302=$A152),$AT$5:$AT$302)),IF($AI152="CT",E$13,IF(LEFT($AI152,3)="AM|",IF($C152="","",SUMPRODUCT($AP$5:$AP$302*($AN$5:$AN$302=$A152),$AT$5:$AT$302)),IF(LEFT($AI152,2)="S|",IF($AG152="","",INDEX($AT$5:$AT$302,$AH152)),IF($AI152="HDR","Sales LY",""))))))</f>
        <v/>
      </c>
      <c r="F152" s="41" t="str">
        <f t="shared" si="80"/>
        <v/>
      </c>
      <c r="G152" s="41" t="str">
        <f t="shared" si="81"/>
        <v/>
      </c>
      <c r="H152" s="40" t="str" cm="1">
        <f t="array" ref="H152">IF($AI152="","",IF(LEFT($AI152,2)="C|",IF($C152="","",SUMPRODUCT($AP$5:$AP$302*($AO$5:$AO$302=$A152),$AV$5:$AV$302)),IF($AI152="CT",H$13,IF(LEFT($AI152,3)="AM|",IF($C152="","",SUMPRODUCT($AP$5:$AP$302*($AN$5:$AN$302=$A152),$AV$5:$AV$302)),IF(LEFT($AI152,2)="S|",IF($AG152="","",INDEX($AV$5:$AV$302,$AH152)),IF($AI152="HDR","Target",""))))))</f>
        <v/>
      </c>
      <c r="I152" s="41" t="str">
        <f t="shared" si="82"/>
        <v/>
      </c>
      <c r="J152" s="40" t="str">
        <f t="shared" si="83"/>
        <v/>
      </c>
      <c r="K152" s="41" t="str">
        <f t="shared" si="84"/>
        <v/>
      </c>
      <c r="L152" s="40" t="str" cm="1">
        <f t="array" ref="L152">IF($AI152="","",IF(LEFT($AI152,2)="C|",IF($C152="","",SUMPRODUCT($AP$5:$AP$302*($AO$5:$AO$302=$A152),$BN$5:$BN$302)),IF($AI152="CT",L$13,IF(LEFT($AI152,3)="AM|",IF($C152="","",SUMPRODUCT($AP$5:$AP$302*($AN$5:$AN$302=$A152),$BN$5:$BN$302)),IF(LEFT($AI152,2)="S|",IF($AG152="","",INDEX($BN$5:$BN$302,$AH152)),IF($AI152="HDR","Month Target",""))))))</f>
        <v/>
      </c>
      <c r="M152" s="40" t="str" cm="1">
        <f t="array" ref="M152">IF($AI152="","",IF(LEFT($AI152,2)="C|",IF($C152="","",SUMPRODUCT($AP$5:$AP$302*($AO$5:$AO$302=$A152),$BO$5:$BO$302)),IF($AI152="CT",M$13,IF(LEFT($AI152,3)="AM|",IF($C152="","",SUMPRODUCT($AP$5:$AP$302*($AN$5:$AN$302=$A152),$BO$5:$BO$302)),IF(LEFT($AI152,2)="S|",IF($AG152="","",INDEX($BO$5:$BO$302,$AH152)),IF($AI152="HDR","Projected Close",""))))))</f>
        <v/>
      </c>
      <c r="N152" s="41" t="str">
        <f t="shared" si="76"/>
        <v/>
      </c>
      <c r="O152" s="41" t="str" cm="1">
        <f t="array" ref="O152">IF($AI152="HDR","Proj. vs LY",IF(OR($AI152="",M152=""),"",_xlfn.LET(_xlpm.ly,IF(LEFT($AI152,2)="C|",SUMPRODUCT($AP$5:$AP$302*($AO$5:$AO$302=$A152),$BK$5:$BK$302),IF($AI152="CT",SUMPRODUCT($AP$5:$AP$302,$BK$5:$BK$302),IF(LEFT($AI152,3)="AM|",SUMPRODUCT($AP$5:$AP$302*($AN$5:$AN$302=$A152),$BK$5:$BK$302),IF(LEFT($AI152,2)="S|",INDEX($BK$5:$BK$302,$AH152),0)))),IFERROR(M152/_xlpm.ly-1,""))))</f>
        <v/>
      </c>
      <c r="P152" s="40" t="str" cm="1">
        <f t="array" ref="P152">IF($AI152="","",IF(LEFT($AI152,2)="C|",IF($C152="","",SUMPRODUCT($AP$5:$AP$302*($AO$5:$AO$302=$A152),$AS$5:$AS$302)),IF($AI152="CT",P$13,IF(LEFT($AI152,3)="AM|",IF($C152="","",SUMPRODUCT($AP$5:$AP$302*($AN$5:$AN$302=$A152),$AS$5:$AS$302)),IF(LEFT($AI152,2)="S|",IF($AG152="","",INDEX($AS$5:$AS$302,$AH152)),IF($AI152="HDR","Trans TY",""))))))</f>
        <v/>
      </c>
      <c r="Q152" s="40" t="str" cm="1">
        <f t="array" ref="Q152">IF($AI152="","",IF(LEFT($AI152,2)="C|",IF($C152="","",SUMPRODUCT($AP$5:$AP$302*($AO$5:$AO$302=$A152),$AU$5:$AU$302)),IF($AI152="CT",Q$13,IF(LEFT($AI152,3)="AM|",IF($C152="","",SUMPRODUCT($AP$5:$AP$302*($AN$5:$AN$302=$A152),$AU$5:$AU$302)),IF(LEFT($AI152,2)="S|",IF($AG152="","",INDEX($AU$5:$AU$302,$AH152)),IF($AI152="HDR","Trans LY",""))))))</f>
        <v/>
      </c>
      <c r="R152" s="41" t="str">
        <f t="shared" si="85"/>
        <v/>
      </c>
      <c r="S152" s="41" t="str">
        <f t="shared" si="86"/>
        <v/>
      </c>
      <c r="T152" s="42" t="str">
        <f t="shared" si="87"/>
        <v/>
      </c>
      <c r="U152" s="42" t="str">
        <f t="shared" si="88"/>
        <v/>
      </c>
      <c r="V152" s="41" t="str">
        <f t="shared" si="89"/>
        <v/>
      </c>
      <c r="W152" s="40" t="str" cm="1">
        <f t="array" ref="W152">IF($AI152="","",IF(LEFT($AI152,2)="C|",_xlfn.LET(_xlpm.n,SUMPRODUCT($AP$5:$AP$302*($AO$5:$AO$302=$A152),$BB$5:$BB$302),IF(_xlpm.n=0,"",_xlpm.n)),IF($AI152="CT",W$13,IF(LEFT($AI152,3)="AM|",_xlfn.LET(_xlpm.n,SUMPRODUCT($AP$5:$AP$302*($AN$5:$AN$302=$A152),$BB$5:$BB$302),IF(_xlpm.n=0,"",_xlpm.n)),IF(LEFT($AI152,2)="S|",IF($AG152="","",_xlfn.LET(_xlpm.n,INDEX($BB$5:$BB$302,$AH152),IF(_xlpm.n=0,"",_xlpm.n))),IF($AI152="HDR","Footfall",""))))))</f>
        <v/>
      </c>
      <c r="X152" s="40" t="str" cm="1">
        <f t="array" ref="X152">IF($AI152="","",IF($AI152="HDR","Trans (FF stores)",IF(W152="","",IF(LEFT($AI152,2)="C|",SUMPRODUCT($AP$5:$AP$302*($AO$5:$AO$302=$A152),$BC$5:$BC$302),IF($AI152="CT",X$13,IF(LEFT($AI152,3)="AM|",SUMPRODUCT($AP$5:$AP$302*($AN$5:$AN$302=$A152),$BC$5:$BC$302),IF(LEFT($AI152,2)="S|",INDEX($BC$5:$BC$302,$AH152),"")))))))</f>
        <v/>
      </c>
      <c r="Y152" s="41" t="str">
        <f t="shared" si="77"/>
        <v/>
      </c>
      <c r="Z152" s="40" t="str" cm="1">
        <f t="array" ref="Z152">IF($AI152="","",IF(LEFT($AI152,2)="C|",IF($C152="","",SUMPRODUCT($AP$5:$AP$302*($AO$5:$AO$302=$A152),$CB$5:$CB$302)),IF($AI152="CT",Z$13,IF(LEFT($AI152,3)="AM|",IF($C152="","",SUMPRODUCT($AP$5:$AP$302*($AN$5:$AN$302=$A152),$CB$5:$CB$302)),IF(LEFT($AI152,2)="S|",IF($AG152="","",INDEX($CB$5:$CB$302,$AH152)),IF($AI152="HDR","Makeup Sales",""))))))</f>
        <v/>
      </c>
      <c r="AA152" s="41" t="str">
        <f t="shared" si="90"/>
        <v/>
      </c>
      <c r="AB152" s="40" t="str" cm="1">
        <f t="array" ref="AB152">IF($AI152="","",IF(LEFT($AI152,2)="C|",IF($C152="","",SUMPRODUCT($AP$5:$AP$302*($AO$5:$AO$302=$A152),$CK$5:$CK$302)),IF($AI152="CT",AB$13,IF(LEFT($AI152,3)="AM|",IF($C152="","",SUMPRODUCT($AP$5:$AP$302*($AN$5:$AN$302=$A152),$CK$5:$CK$302)),IF(LEFT($AI152,2)="S|",IF($AG152="","",INDEX($CK$5:$CK$302,$AH152)),IF($AI152="HDR","Makeup Target",""))))))</f>
        <v/>
      </c>
      <c r="AC152" s="41" t="str">
        <f t="shared" si="78"/>
        <v/>
      </c>
      <c r="AD152" s="40" t="str" cm="1">
        <f t="array" ref="AD152">IF($AI152="","",IF(LEFT($AI152,2)="C|",IF($C152="","",SUMPRODUCT($AP$5:$AP$302*($AO$5:$AO$302=$A152),$CI$5:$CI$302)),IF($AI152="CT",AD$13,IF(LEFT($AI152,3)="AM|",IF($C152="","",SUMPRODUCT($AP$5:$AP$302*($AN$5:$AN$302=$A152),$CI$5:$CI$302)),IF(LEFT($AI152,2)="S|",IF($AG152="","",INDEX($CI$5:$CI$302,$AH152)),IF($AI152="HDR","Cosmetic Sales",""))))))</f>
        <v/>
      </c>
      <c r="AE152" s="8" t="str" cm="1">
        <f t="array" ref="AE152">IF($AI152="","",IF(LEFT($AI152,2)="C|",IF($C152="","",SUMPRODUCT($AP$5:$AP$302*($AO$5:$AO$302=$A152)*$AQ$5:$AQ$302,$AR$5:$AR$302)),IF($AI152="CT",AE$13,IF(LEFT($AI152,3)="AM|",IF($C152="","",SUMPRODUCT($AP$5:$AP$302*($AN$5:$AN$302=$A152)*$AQ$5:$AQ$302,$AR$5:$AR$302)),IF(LEFT($AI152,2)="S|",IF($AG152="","",IF(INDEX($AQ$5:$AQ$302,$AH152)=1,D152,0)),IF($AI152="HDR","LFL Sales",""))))))</f>
        <v/>
      </c>
      <c r="AF152" s="8" t="str" cm="1">
        <f t="array" ref="AF152">IF($AI152="","",IF(LEFT($AI152,2)="C|",IF($C152="","",SUMPRODUCT($AP$5:$AP$302*($AO$5:$AO$302=$A152)*$AQ$5:$AQ$302,$AS$5:$AS$302)),IF($AI152="CT",AF$13,IF(LEFT($AI152,3)="AM|",IF($C152="","",SUMPRODUCT($AP$5:$AP$302*($AN$5:$AN$302=$A152)*$AQ$5:$AQ$302,$AS$5:$AS$302)),IF(LEFT($AI152,2)="S|",IF($AG152="","",IF(INDEX($AQ$5:$AQ$302,$AH152)=1,P152,0)),IF($AI152="HDR","LFL Trans",""))))))</f>
        <v/>
      </c>
      <c r="AG152" s="8" t="str" cm="1">
        <f t="array" ref="AG152">IF($AI152="","",IF(LEFT($AI152,2)="C|","",IF($AI152="CT","",IF(LEFT($AI152,3)="AM|","",IF(LEFT($AI152,2)="S|",IF($AH152="","",IF(INDEX($AP$5:$AP$302,$AH152)=1,1,"")),IF($AI152="HDR","Show",""))))))</f>
        <v/>
      </c>
      <c r="AH152" s="8" t="str">
        <f t="shared" si="91"/>
        <v/>
      </c>
      <c r="AI152" s="8"/>
      <c r="AN152" s="8" t="str" cm="1">
        <f t="array" ref="AN152">IF($AW152="","",_xlfn.LET(_xlpm.sa,IFERROR(TRIM(INDEX('Sales and count'!$D$4:$D$300,$BF152)&amp;""),""),_xlpm.ta,IFERROR(TRIM(INDEX('TY Sales Target'!$F$5:$F$300,$BG152)&amp;""),""),IF(AND(_xlpm.sa&lt;&gt;"",LEFT(_xlpm.sa,1)&lt;&gt;"#",_xlpm.sa&lt;&gt;"0"),_xlpm.sa,IF(AND(_xlpm.ta&lt;&gt;"",LEFT(_xlpm.ta,1)&lt;&gt;"#",_xlpm.ta&lt;&gt;"0"),_xlpm.ta,IF(ISNUMBER($BG152),"Unassigned","")))))</f>
        <v/>
      </c>
      <c r="AO152" s="8" t="str" cm="1">
        <f t="array" ref="AO152">IF($AW152="","",_xlfn.LET(_xlpm.sa,IFERROR(TRIM(INDEX('Sales and count'!$C$4:$C$300,$BF152)&amp;""),""),_xlpm.ta,IFERROR(TRIM(INDEX('TY Sales Target'!$D$5:$D$300,$BG152)&amp;""),""),IF(AND(_xlpm.sa&lt;&gt;"",LEFT(_xlpm.sa,1)&lt;&gt;"#",_xlpm.sa&lt;&gt;"0"),_xlpm.sa,IF(AND(_xlpm.ta&lt;&gt;"",LEFT(_xlpm.ta,1)&lt;&gt;"#",_xlpm.ta&lt;&gt;"0"),_xlpm.ta,""))))</f>
        <v/>
      </c>
      <c r="AP152" s="8">
        <f t="shared" si="93"/>
        <v>0</v>
      </c>
      <c r="AQ152" s="8">
        <f t="shared" si="94"/>
        <v>0</v>
      </c>
      <c r="AR152" s="8" cm="1">
        <f t="array" ref="AR152">IF($BF152="",0,_xlfn.LET(_xlpm.d,IFERROR(--'Sales and count'!$G$2:$CC$2,0),SUMPRODUCT(('Sales and count'!$G$3:$CC$3="Total")*(_xlpm.d&gt;=$U$4)*(_xlpm.d&lt;=$U$5),INDEX('Sales and count'!$G$4:$CC$300,$BF152,0))))</f>
        <v>0</v>
      </c>
      <c r="AS152" s="8" cm="1">
        <f t="array" ref="AS152">IF($BF152="",0,_xlfn.LET(_xlpm.d,IFERROR(--'Sales and count'!$F$2:$CB$2,0),SUMPRODUCT(('Sales and count'!$G$3:$CC$3="Transactions")*(_xlpm.d&gt;=$U$4)*(_xlpm.d&lt;=$U$5),INDEX('Sales and count'!$G$4:$CC$300,$BF152,0))))</f>
        <v>0</v>
      </c>
      <c r="AT152" s="8" cm="1">
        <f t="array" ref="AT152">IF($AW152="",0,SUMPRODUCT((TRIM('LY Sales '!$B$5:$B$200)=$AW152)*('LY Sales '!$C$2:$AG$2&gt;=EDATE($U$4,-12))*('LY Sales '!$C$2:$AG$2&lt;=EDATE($U$5,-12)),'LY Sales '!$C$5:$AG$200))</f>
        <v>0</v>
      </c>
      <c r="AU152" s="8" cm="1">
        <f t="array" ref="AU152">IF($AW152="",0,SUMPRODUCT((TRIM('LY Transaction'!$B$5:$B$200)=$AW152)*('LY Transaction'!$C$2:$AG$2&gt;=EDATE($U$4,-12))*('LY Transaction'!$C$2:$AG$2&lt;=EDATE($U$5,-12)),'LY Transaction'!$C$5:$AG$200))</f>
        <v>0</v>
      </c>
      <c r="AV152" s="8" cm="1">
        <f t="array" ref="AV152">IF(NOT(ISNUMBER($BG152)),0,SUMPRODUCT(('TY Sales Target'!$K$2:$AO$2&gt;=$U$4)*('TY Sales Target'!$K$2:$AO$2&lt;=$U$5),INDEX('TY Sales Target'!$K$5:$AO$300,$BG152,0)))</f>
        <v>0</v>
      </c>
      <c r="AW152" s="8" t="str" cm="1">
        <f t="array" ref="AW152">IFERROR(INDEX(_xlfn.ANCHORARRAY($BR$5),ROWS($AW$5:AW152)),"")</f>
        <v/>
      </c>
      <c r="BB152" cm="1">
        <f t="array" ref="BB152">IF($AW152="",0,SUMPRODUCT((TRIM(Footfall!$B$5:$B$301)=$AW152)*(Footfall!$C$1:$BZ$1&gt;=$U$4)*(Footfall!$C$2:$BZ$2&lt;=$U$5)*(Footfall!$C$1:$BZ$1&lt;&gt;""),Footfall!$C$5:$BZ$301))</f>
        <v>0</v>
      </c>
      <c r="BC152" cm="1">
        <f t="array" ref="BC152">IF(OR($BB152&lt;=0,$BD$1="",$BF152=""),0,_xlfn.LET(_xlpm.d,IFERROR(--'Sales and count'!$F$2:$CB$2,0),SUMPRODUCT(('Sales and count'!$G$3:$CC$3="Transactions")*(_xlpm.d&gt;=$BD$1)*(_xlpm.d&lt;=$BD$2),INDEX('Sales and count'!$G$4:$CC$300,$BF152,0))))</f>
        <v>0</v>
      </c>
      <c r="BF152" t="str" cm="1">
        <f t="array" ref="BF152">IF($AW152="","",IFERROR(MATCH($AW152,TRIM('Sales and count'!$A$4:$A$300&amp;""),0),""))</f>
        <v/>
      </c>
      <c r="BG152" t="str" cm="1">
        <f t="array" ref="BG152">IF($AW152="","",IFERROR(MATCH(IFERROR(_xlfn.XLOOKUP($AW152,$BT$5:$BT$22,$BU$5:$BU$22),$AW152),TRIM('TY Sales Target'!$B$5:$B$300&amp;""),0),""))</f>
        <v/>
      </c>
      <c r="BH152" t="str" cm="1">
        <f t="array" ref="BH152">IF(ISNUMBER($BG152),_xlfn.LET(_xlpm.p,TRIM(INDEX('TY Sales Target'!$I$5:$I$300,$BG152)&amp;""),IF(_xlpm.p="","Not set",_xlpm.p)),"Not set")</f>
        <v>Not set</v>
      </c>
      <c r="BI152" cm="1">
        <f t="array" ref="BI152">IF($BF152="",0,_xlfn.LET(_xlpm.d,IFERROR(--'Sales and count'!$G$2:$CC$2,0),SUMPRODUCT(('Sales and count'!$G$3:$CC$3="Total")*(_xlpm.d&gt;=$BZ$5)*(_xlpm.d&lt;=$BZ$6),INDEX('Sales and count'!$G$4:$CC$300,$BF152,0))))</f>
        <v>0</v>
      </c>
      <c r="BJ152" cm="1">
        <f t="array" ref="BJ152">IF($AW152="",0,SUMPRODUCT((TRIM('LY Sales '!$B$5:$B$200)=$AW152)*('LY Sales '!$C$2:$AG$2&gt;=EDATE($BZ$5,-12))*('LY Sales '!$C$2:$AG$2&lt;=EDATE($BZ$6,-12)),'LY Sales '!$C$5:$AG$200))</f>
        <v>0</v>
      </c>
      <c r="BK152" cm="1">
        <f t="array" ref="BK152">IF($AW152="",0,SUMPRODUCT((TRIM('LY Sales '!$B$5:$B$200)=$AW152)*('LY Sales '!$C$2:$AG$2&gt;=EDATE($BZ$5,-12))*('LY Sales '!$C$2:$AG$2&lt;=EDATE($BZ$7,-12)),'LY Sales '!$C$5:$AG$200))</f>
        <v>0</v>
      </c>
      <c r="BL152" cm="1">
        <f t="array" ref="BL152">IF($AW152="",0,SUMPRODUCT((TRIM('LY Sales '!$B$5:$B$200)=$AW152)*('LY Sales '!$C$2:$AG$2&gt;=EDATE($BZ$5,-12))*('LY Sales '!$C$2:$AG$2&lt;=EDATE($BZ$6,-12))*('LY Sales '!$C$5:$AG$200&gt;0)))</f>
        <v>0</v>
      </c>
      <c r="BM152" cm="1">
        <f t="array" ref="BM152">IF(NOT(ISNUMBER($BG152)),0,SUMPRODUCT(('TY Sales Target'!$K$2:$AO$2&gt;=$BZ$5)*('TY Sales Target'!$K$2:$AO$2&lt;=$BZ$6),INDEX('TY Sales Target'!$K$5:$AO$300,$BG152,0)))</f>
        <v>0</v>
      </c>
      <c r="BN152" cm="1">
        <f t="array" ref="BN152">IF(NOT(ISNUMBER($BG152)),0,SUMPRODUCT(('TY Sales Target'!$K$2:$AO$2&gt;=$BZ$5)*('TY Sales Target'!$K$2:$AO$2&lt;=$BZ$7),INDEX('TY Sales Target'!$K$5:$AO$300,$BG152,0)))</f>
        <v>0</v>
      </c>
      <c r="BO152" cm="1">
        <f t="array" ref="BO152">IF($AW152="",0,IFERROR(_xlfn.SWITCH($BP152,"LY trend",$BI152*$BK152/$BJ152,"Target curve",$BI152*$BN152/$BM152,"Run rate",$BI152/$BZ$8*$BZ$9,0),0))</f>
        <v>0</v>
      </c>
      <c r="BP152" t="str">
        <f t="shared" si="92"/>
        <v/>
      </c>
      <c r="CB152" cm="1">
        <f t="array" ref="CB152">IF($AW152="",0,_xlfn.LET(_xlpm.k,IFERROR(_xlfn.XLOOKUP($AW152,$CD$6:$CD$21,$CE$6:$CE$21),$AW152),SUMPRODUCT((TRIM('Makeup '!$A$2:$A$300&amp;"")=_xlpm.k)*1,IFERROR('Makeup '!$F$2:$F$300*1,0))))</f>
        <v>0</v>
      </c>
      <c r="CF152" t="str" cm="1">
        <f t="array" ref="CF152">IF($AW152="","",_xlfn.LET(_xlpm.c,IFERROR(TRIM(INDEX('Sales and count'!$B$4:$B$300,$BF152)&amp;""),""),IF(OR(_xlpm.c="",_xlpm.c="0",LEFT(_xlpm.c,1)="#"),"Not set",_xlpm.c)))</f>
        <v/>
      </c>
      <c r="CH152" cm="1">
        <f t="array" ref="CH152">IF($AW152="",0,_xlfn.LET(_xlpm.k,IFERROR(_xlfn.XLOOKUP($AW152,$CD$6:$CD$21,$CE$6:$CE$21),$AW152),--(SUMPRODUCT((TRIM('Makeup '!$A$2:$A$300&amp;"")=_xlpm.k)*ISNUMBER('Makeup '!$F$2:$F$300))&gt;0)))</f>
        <v>0</v>
      </c>
      <c r="CI152">
        <f t="shared" si="95"/>
        <v>0</v>
      </c>
      <c r="CJ152" cm="1">
        <f t="array" ref="CJ152">IF($AW152="",0,--(SUMPRODUCT(--(TRIM(Footfall!$B$5:$B$301)=$AW152))&gt;0))</f>
        <v>0</v>
      </c>
      <c r="CK152" s="8" cm="1">
        <f t="array" ref="CK152">IF($AW152="",0,_xlfn.LET(_xlpm.r,IFERROR(MATCH(IFERROR(_xlfn.XLOOKUP($AW152,$BT$5:$BT$22,$BU$5:$BU$22),$AW152),TRIM('TY Beauty Target'!$B$5:$B$300&amp;""),0),""),IF(ISNUMBER(_xlpm.r),SUMPRODUCT(('TY Beauty Target'!$L$2:$AP$2&gt;=$U$4)*('TY Beauty Target'!$L$2:$AP$2&lt;=$U$5),INDEX('TY Beauty Target'!$L$5:$AP$300,_xlpm.r,0)),0)))</f>
        <v>0</v>
      </c>
    </row>
    <row r="153" spans="1:89" ht="15" customHeight="1" x14ac:dyDescent="0.25">
      <c r="A153" s="38" t="str">
        <f t="shared" si="79"/>
        <v/>
      </c>
      <c r="B153" s="43" t="str" cm="1">
        <f t="array" ref="B153">IF($AI153="","",IF(LEFT($AI153,2)="C|",IF($C153="","",_xlfn.TEXTJOIN(", ",TRUE,_xlfn.UNIQUE(_xlfn._xlws.FILTER($AN$5:$AN$302,($AP$5:$AP$302=1)*($AO$5:$AO$302=$A153))))),IF($AI153="CT",B$13,IF(LEFT($AI153,3)="AM|",IF($C153="","",ROWS(_xlfn.UNIQUE(_xlfn._xlws.FILTER($AO$5:$AO$302,($AP$5:$AP$302=1)*($AN$5:$AN$302=$A153))))),IF(LEFT($AI153,2)="S|",IF($AG153="","",INDEX($AO$5:$AO$302,$AH153)),IF($AI153="HDR","City",""))))))</f>
        <v/>
      </c>
      <c r="C153" s="39" t="str" cm="1">
        <f t="array" ref="C153">IF($AI153="","",IF(LEFT($AI153,2)="C|",_xlfn.LET(_xlpm.n,SUMPRODUCT($AP$5:$AP$302*($AO$5:$AO$302=$A153)),IF(_xlpm.n=0,"",_xlpm.n)),IF($AI153="CT",C$13,IF(LEFT($AI153,3)="AM|",_xlfn.LET(_xlpm.n,SUMPRODUCT($AP$5:$AP$302*($AN$5:$AN$302=$A153)),IF(_xlpm.n=0,"",_xlpm.n)),IF(LEFT($AI153,2)="S|","",IF($AI153="HDR","# Stores",""))))))</f>
        <v/>
      </c>
      <c r="D153" s="40" t="str" cm="1">
        <f t="array" ref="D153">IF($AI153="","",IF(LEFT($AI153,2)="C|",IF($C153="","",SUMPRODUCT($AP$5:$AP$302*($AO$5:$AO$302=$A153),$AR$5:$AR$302)),IF($AI153="CT",D$13,IF(LEFT($AI153,3)="AM|",IF($C153="","",SUMPRODUCT($AP$5:$AP$302*($AN$5:$AN$302=$A153),$AR$5:$AR$302)),IF(LEFT($AI153,2)="S|",IF($AG153="","",INDEX($AR$5:$AR$302,$AH153)),IF($AI153="HDR","Sales TY",""))))))</f>
        <v/>
      </c>
      <c r="E153" s="40" t="str" cm="1">
        <f t="array" ref="E153">IF($AI153="","",IF(LEFT($AI153,2)="C|",IF($C153="","",SUMPRODUCT($AP$5:$AP$302*($AO$5:$AO$302=$A153),$AT$5:$AT$302)),IF($AI153="CT",E$13,IF(LEFT($AI153,3)="AM|",IF($C153="","",SUMPRODUCT($AP$5:$AP$302*($AN$5:$AN$302=$A153),$AT$5:$AT$302)),IF(LEFT($AI153,2)="S|",IF($AG153="","",INDEX($AT$5:$AT$302,$AH153)),IF($AI153="HDR","Sales LY",""))))))</f>
        <v/>
      </c>
      <c r="F153" s="41" t="str">
        <f t="shared" si="80"/>
        <v/>
      </c>
      <c r="G153" s="41" t="str">
        <f t="shared" si="81"/>
        <v/>
      </c>
      <c r="H153" s="40" t="str" cm="1">
        <f t="array" ref="H153">IF($AI153="","",IF(LEFT($AI153,2)="C|",IF($C153="","",SUMPRODUCT($AP$5:$AP$302*($AO$5:$AO$302=$A153),$AV$5:$AV$302)),IF($AI153="CT",H$13,IF(LEFT($AI153,3)="AM|",IF($C153="","",SUMPRODUCT($AP$5:$AP$302*($AN$5:$AN$302=$A153),$AV$5:$AV$302)),IF(LEFT($AI153,2)="S|",IF($AG153="","",INDEX($AV$5:$AV$302,$AH153)),IF($AI153="HDR","Target",""))))))</f>
        <v/>
      </c>
      <c r="I153" s="41" t="str">
        <f t="shared" si="82"/>
        <v/>
      </c>
      <c r="J153" s="40" t="str">
        <f t="shared" si="83"/>
        <v/>
      </c>
      <c r="K153" s="41" t="str">
        <f t="shared" si="84"/>
        <v/>
      </c>
      <c r="L153" s="40" t="str" cm="1">
        <f t="array" ref="L153">IF($AI153="","",IF(LEFT($AI153,2)="C|",IF($C153="","",SUMPRODUCT($AP$5:$AP$302*($AO$5:$AO$302=$A153),$BN$5:$BN$302)),IF($AI153="CT",L$13,IF(LEFT($AI153,3)="AM|",IF($C153="","",SUMPRODUCT($AP$5:$AP$302*($AN$5:$AN$302=$A153),$BN$5:$BN$302)),IF(LEFT($AI153,2)="S|",IF($AG153="","",INDEX($BN$5:$BN$302,$AH153)),IF($AI153="HDR","Month Target",""))))))</f>
        <v/>
      </c>
      <c r="M153" s="40" t="str" cm="1">
        <f t="array" ref="M153">IF($AI153="","",IF(LEFT($AI153,2)="C|",IF($C153="","",SUMPRODUCT($AP$5:$AP$302*($AO$5:$AO$302=$A153),$BO$5:$BO$302)),IF($AI153="CT",M$13,IF(LEFT($AI153,3)="AM|",IF($C153="","",SUMPRODUCT($AP$5:$AP$302*($AN$5:$AN$302=$A153),$BO$5:$BO$302)),IF(LEFT($AI153,2)="S|",IF($AG153="","",INDEX($BO$5:$BO$302,$AH153)),IF($AI153="HDR","Projected Close",""))))))</f>
        <v/>
      </c>
      <c r="N153" s="41" t="str">
        <f t="shared" si="76"/>
        <v/>
      </c>
      <c r="O153" s="41" t="str" cm="1">
        <f t="array" ref="O153">IF($AI153="HDR","Proj. vs LY",IF(OR($AI153="",M153=""),"",_xlfn.LET(_xlpm.ly,IF(LEFT($AI153,2)="C|",SUMPRODUCT($AP$5:$AP$302*($AO$5:$AO$302=$A153),$BK$5:$BK$302),IF($AI153="CT",SUMPRODUCT($AP$5:$AP$302,$BK$5:$BK$302),IF(LEFT($AI153,3)="AM|",SUMPRODUCT($AP$5:$AP$302*($AN$5:$AN$302=$A153),$BK$5:$BK$302),IF(LEFT($AI153,2)="S|",INDEX($BK$5:$BK$302,$AH153),0)))),IFERROR(M153/_xlpm.ly-1,""))))</f>
        <v/>
      </c>
      <c r="P153" s="40" t="str" cm="1">
        <f t="array" ref="P153">IF($AI153="","",IF(LEFT($AI153,2)="C|",IF($C153="","",SUMPRODUCT($AP$5:$AP$302*($AO$5:$AO$302=$A153),$AS$5:$AS$302)),IF($AI153="CT",P$13,IF(LEFT($AI153,3)="AM|",IF($C153="","",SUMPRODUCT($AP$5:$AP$302*($AN$5:$AN$302=$A153),$AS$5:$AS$302)),IF(LEFT($AI153,2)="S|",IF($AG153="","",INDEX($AS$5:$AS$302,$AH153)),IF($AI153="HDR","Trans TY",""))))))</f>
        <v/>
      </c>
      <c r="Q153" s="40" t="str" cm="1">
        <f t="array" ref="Q153">IF($AI153="","",IF(LEFT($AI153,2)="C|",IF($C153="","",SUMPRODUCT($AP$5:$AP$302*($AO$5:$AO$302=$A153),$AU$5:$AU$302)),IF($AI153="CT",Q$13,IF(LEFT($AI153,3)="AM|",IF($C153="","",SUMPRODUCT($AP$5:$AP$302*($AN$5:$AN$302=$A153),$AU$5:$AU$302)),IF(LEFT($AI153,2)="S|",IF($AG153="","",INDEX($AU$5:$AU$302,$AH153)),IF($AI153="HDR","Trans LY",""))))))</f>
        <v/>
      </c>
      <c r="R153" s="41" t="str">
        <f t="shared" si="85"/>
        <v/>
      </c>
      <c r="S153" s="41" t="str">
        <f t="shared" si="86"/>
        <v/>
      </c>
      <c r="T153" s="42" t="str">
        <f t="shared" si="87"/>
        <v/>
      </c>
      <c r="U153" s="42" t="str">
        <f t="shared" si="88"/>
        <v/>
      </c>
      <c r="V153" s="41" t="str">
        <f t="shared" si="89"/>
        <v/>
      </c>
      <c r="W153" s="40" t="str" cm="1">
        <f t="array" ref="W153">IF($AI153="","",IF(LEFT($AI153,2)="C|",_xlfn.LET(_xlpm.n,SUMPRODUCT($AP$5:$AP$302*($AO$5:$AO$302=$A153),$BB$5:$BB$302),IF(_xlpm.n=0,"",_xlpm.n)),IF($AI153="CT",W$13,IF(LEFT($AI153,3)="AM|",_xlfn.LET(_xlpm.n,SUMPRODUCT($AP$5:$AP$302*($AN$5:$AN$302=$A153),$BB$5:$BB$302),IF(_xlpm.n=0,"",_xlpm.n)),IF(LEFT($AI153,2)="S|",IF($AG153="","",_xlfn.LET(_xlpm.n,INDEX($BB$5:$BB$302,$AH153),IF(_xlpm.n=0,"",_xlpm.n))),IF($AI153="HDR","Footfall",""))))))</f>
        <v/>
      </c>
      <c r="X153" s="40" t="str" cm="1">
        <f t="array" ref="X153">IF($AI153="","",IF($AI153="HDR","Trans (FF stores)",IF(W153="","",IF(LEFT($AI153,2)="C|",SUMPRODUCT($AP$5:$AP$302*($AO$5:$AO$302=$A153),$BC$5:$BC$302),IF($AI153="CT",X$13,IF(LEFT($AI153,3)="AM|",SUMPRODUCT($AP$5:$AP$302*($AN$5:$AN$302=$A153),$BC$5:$BC$302),IF(LEFT($AI153,2)="S|",INDEX($BC$5:$BC$302,$AH153),"")))))))</f>
        <v/>
      </c>
      <c r="Y153" s="41" t="str">
        <f t="shared" si="77"/>
        <v/>
      </c>
      <c r="Z153" s="40" t="str" cm="1">
        <f t="array" ref="Z153">IF($AI153="","",IF(LEFT($AI153,2)="C|",IF($C153="","",SUMPRODUCT($AP$5:$AP$302*($AO$5:$AO$302=$A153),$CB$5:$CB$302)),IF($AI153="CT",Z$13,IF(LEFT($AI153,3)="AM|",IF($C153="","",SUMPRODUCT($AP$5:$AP$302*($AN$5:$AN$302=$A153),$CB$5:$CB$302)),IF(LEFT($AI153,2)="S|",IF($AG153="","",INDEX($CB$5:$CB$302,$AH153)),IF($AI153="HDR","Makeup Sales",""))))))</f>
        <v/>
      </c>
      <c r="AA153" s="41" t="str">
        <f t="shared" si="90"/>
        <v/>
      </c>
      <c r="AB153" s="40" t="str" cm="1">
        <f t="array" ref="AB153">IF($AI153="","",IF(LEFT($AI153,2)="C|",IF($C153="","",SUMPRODUCT($AP$5:$AP$302*($AO$5:$AO$302=$A153),$CK$5:$CK$302)),IF($AI153="CT",AB$13,IF(LEFT($AI153,3)="AM|",IF($C153="","",SUMPRODUCT($AP$5:$AP$302*($AN$5:$AN$302=$A153),$CK$5:$CK$302)),IF(LEFT($AI153,2)="S|",IF($AG153="","",INDEX($CK$5:$CK$302,$AH153)),IF($AI153="HDR","Makeup Target",""))))))</f>
        <v/>
      </c>
      <c r="AC153" s="41" t="str">
        <f t="shared" si="78"/>
        <v/>
      </c>
      <c r="AD153" s="40" t="str" cm="1">
        <f t="array" ref="AD153">IF($AI153="","",IF(LEFT($AI153,2)="C|",IF($C153="","",SUMPRODUCT($AP$5:$AP$302*($AO$5:$AO$302=$A153),$CI$5:$CI$302)),IF($AI153="CT",AD$13,IF(LEFT($AI153,3)="AM|",IF($C153="","",SUMPRODUCT($AP$5:$AP$302*($AN$5:$AN$302=$A153),$CI$5:$CI$302)),IF(LEFT($AI153,2)="S|",IF($AG153="","",INDEX($CI$5:$CI$302,$AH153)),IF($AI153="HDR","Cosmetic Sales",""))))))</f>
        <v/>
      </c>
      <c r="AE153" s="8" t="str" cm="1">
        <f t="array" ref="AE153">IF($AI153="","",IF(LEFT($AI153,2)="C|",IF($C153="","",SUMPRODUCT($AP$5:$AP$302*($AO$5:$AO$302=$A153)*$AQ$5:$AQ$302,$AR$5:$AR$302)),IF($AI153="CT",AE$13,IF(LEFT($AI153,3)="AM|",IF($C153="","",SUMPRODUCT($AP$5:$AP$302*($AN$5:$AN$302=$A153)*$AQ$5:$AQ$302,$AR$5:$AR$302)),IF(LEFT($AI153,2)="S|",IF($AG153="","",IF(INDEX($AQ$5:$AQ$302,$AH153)=1,D153,0)),IF($AI153="HDR","LFL Sales",""))))))</f>
        <v/>
      </c>
      <c r="AF153" s="8" t="str" cm="1">
        <f t="array" ref="AF153">IF($AI153="","",IF(LEFT($AI153,2)="C|",IF($C153="","",SUMPRODUCT($AP$5:$AP$302*($AO$5:$AO$302=$A153)*$AQ$5:$AQ$302,$AS$5:$AS$302)),IF($AI153="CT",AF$13,IF(LEFT($AI153,3)="AM|",IF($C153="","",SUMPRODUCT($AP$5:$AP$302*($AN$5:$AN$302=$A153)*$AQ$5:$AQ$302,$AS$5:$AS$302)),IF(LEFT($AI153,2)="S|",IF($AG153="","",IF(INDEX($AQ$5:$AQ$302,$AH153)=1,P153,0)),IF($AI153="HDR","LFL Trans",""))))))</f>
        <v/>
      </c>
      <c r="AG153" s="8" t="str" cm="1">
        <f t="array" ref="AG153">IF($AI153="","",IF(LEFT($AI153,2)="C|","",IF($AI153="CT","",IF(LEFT($AI153,3)="AM|","",IF(LEFT($AI153,2)="S|",IF($AH153="","",IF(INDEX($AP$5:$AP$302,$AH153)=1,1,"")),IF($AI153="HDR","Show",""))))))</f>
        <v/>
      </c>
      <c r="AH153" s="8" t="str">
        <f t="shared" si="91"/>
        <v/>
      </c>
      <c r="AI153" s="8"/>
      <c r="AN153" s="8" t="str" cm="1">
        <f t="array" ref="AN153">IF($AW153="","",_xlfn.LET(_xlpm.sa,IFERROR(TRIM(INDEX('Sales and count'!$D$4:$D$300,$BF153)&amp;""),""),_xlpm.ta,IFERROR(TRIM(INDEX('TY Sales Target'!$F$5:$F$300,$BG153)&amp;""),""),IF(AND(_xlpm.sa&lt;&gt;"",LEFT(_xlpm.sa,1)&lt;&gt;"#",_xlpm.sa&lt;&gt;"0"),_xlpm.sa,IF(AND(_xlpm.ta&lt;&gt;"",LEFT(_xlpm.ta,1)&lt;&gt;"#",_xlpm.ta&lt;&gt;"0"),_xlpm.ta,IF(ISNUMBER($BG153),"Unassigned","")))))</f>
        <v/>
      </c>
      <c r="AO153" s="8" t="str" cm="1">
        <f t="array" ref="AO153">IF($AW153="","",_xlfn.LET(_xlpm.sa,IFERROR(TRIM(INDEX('Sales and count'!$C$4:$C$300,$BF153)&amp;""),""),_xlpm.ta,IFERROR(TRIM(INDEX('TY Sales Target'!$D$5:$D$300,$BG153)&amp;""),""),IF(AND(_xlpm.sa&lt;&gt;"",LEFT(_xlpm.sa,1)&lt;&gt;"#",_xlpm.sa&lt;&gt;"0"),_xlpm.sa,IF(AND(_xlpm.ta&lt;&gt;"",LEFT(_xlpm.ta,1)&lt;&gt;"#",_xlpm.ta&lt;&gt;"0"),_xlpm.ta,""))))</f>
        <v/>
      </c>
      <c r="AP153" s="8">
        <f t="shared" si="93"/>
        <v>0</v>
      </c>
      <c r="AQ153" s="8">
        <f t="shared" si="94"/>
        <v>0</v>
      </c>
      <c r="AR153" s="8" cm="1">
        <f t="array" ref="AR153">IF($BF153="",0,_xlfn.LET(_xlpm.d,IFERROR(--'Sales and count'!$G$2:$CC$2,0),SUMPRODUCT(('Sales and count'!$G$3:$CC$3="Total")*(_xlpm.d&gt;=$U$4)*(_xlpm.d&lt;=$U$5),INDEX('Sales and count'!$G$4:$CC$300,$BF153,0))))</f>
        <v>0</v>
      </c>
      <c r="AS153" s="8" cm="1">
        <f t="array" ref="AS153">IF($BF153="",0,_xlfn.LET(_xlpm.d,IFERROR(--'Sales and count'!$F$2:$CB$2,0),SUMPRODUCT(('Sales and count'!$G$3:$CC$3="Transactions")*(_xlpm.d&gt;=$U$4)*(_xlpm.d&lt;=$U$5),INDEX('Sales and count'!$G$4:$CC$300,$BF153,0))))</f>
        <v>0</v>
      </c>
      <c r="AT153" s="8" cm="1">
        <f t="array" ref="AT153">IF($AW153="",0,SUMPRODUCT((TRIM('LY Sales '!$B$5:$B$200)=$AW153)*('LY Sales '!$C$2:$AG$2&gt;=EDATE($U$4,-12))*('LY Sales '!$C$2:$AG$2&lt;=EDATE($U$5,-12)),'LY Sales '!$C$5:$AG$200))</f>
        <v>0</v>
      </c>
      <c r="AU153" s="8" cm="1">
        <f t="array" ref="AU153">IF($AW153="",0,SUMPRODUCT((TRIM('LY Transaction'!$B$5:$B$200)=$AW153)*('LY Transaction'!$C$2:$AG$2&gt;=EDATE($U$4,-12))*('LY Transaction'!$C$2:$AG$2&lt;=EDATE($U$5,-12)),'LY Transaction'!$C$5:$AG$200))</f>
        <v>0</v>
      </c>
      <c r="AV153" s="8" cm="1">
        <f t="array" ref="AV153">IF(NOT(ISNUMBER($BG153)),0,SUMPRODUCT(('TY Sales Target'!$K$2:$AO$2&gt;=$U$4)*('TY Sales Target'!$K$2:$AO$2&lt;=$U$5),INDEX('TY Sales Target'!$K$5:$AO$300,$BG153,0)))</f>
        <v>0</v>
      </c>
      <c r="AW153" s="8" t="str" cm="1">
        <f t="array" ref="AW153">IFERROR(INDEX(_xlfn.ANCHORARRAY($BR$5),ROWS($AW$5:AW153)),"")</f>
        <v/>
      </c>
      <c r="BB153" cm="1">
        <f t="array" ref="BB153">IF($AW153="",0,SUMPRODUCT((TRIM(Footfall!$B$5:$B$301)=$AW153)*(Footfall!$C$1:$BZ$1&gt;=$U$4)*(Footfall!$C$2:$BZ$2&lt;=$U$5)*(Footfall!$C$1:$BZ$1&lt;&gt;""),Footfall!$C$5:$BZ$301))</f>
        <v>0</v>
      </c>
      <c r="BC153" cm="1">
        <f t="array" ref="BC153">IF(OR($BB153&lt;=0,$BD$1="",$BF153=""),0,_xlfn.LET(_xlpm.d,IFERROR(--'Sales and count'!$F$2:$CB$2,0),SUMPRODUCT(('Sales and count'!$G$3:$CC$3="Transactions")*(_xlpm.d&gt;=$BD$1)*(_xlpm.d&lt;=$BD$2),INDEX('Sales and count'!$G$4:$CC$300,$BF153,0))))</f>
        <v>0</v>
      </c>
      <c r="BF153" t="str" cm="1">
        <f t="array" ref="BF153">IF($AW153="","",IFERROR(MATCH($AW153,TRIM('Sales and count'!$A$4:$A$300&amp;""),0),""))</f>
        <v/>
      </c>
      <c r="BG153" t="str" cm="1">
        <f t="array" ref="BG153">IF($AW153="","",IFERROR(MATCH(IFERROR(_xlfn.XLOOKUP($AW153,$BT$5:$BT$22,$BU$5:$BU$22),$AW153),TRIM('TY Sales Target'!$B$5:$B$300&amp;""),0),""))</f>
        <v/>
      </c>
      <c r="BH153" t="str" cm="1">
        <f t="array" ref="BH153">IF(ISNUMBER($BG153),_xlfn.LET(_xlpm.p,TRIM(INDEX('TY Sales Target'!$I$5:$I$300,$BG153)&amp;""),IF(_xlpm.p="","Not set",_xlpm.p)),"Not set")</f>
        <v>Not set</v>
      </c>
      <c r="BI153" cm="1">
        <f t="array" ref="BI153">IF($BF153="",0,_xlfn.LET(_xlpm.d,IFERROR(--'Sales and count'!$G$2:$CC$2,0),SUMPRODUCT(('Sales and count'!$G$3:$CC$3="Total")*(_xlpm.d&gt;=$BZ$5)*(_xlpm.d&lt;=$BZ$6),INDEX('Sales and count'!$G$4:$CC$300,$BF153,0))))</f>
        <v>0</v>
      </c>
      <c r="BJ153" cm="1">
        <f t="array" ref="BJ153">IF($AW153="",0,SUMPRODUCT((TRIM('LY Sales '!$B$5:$B$200)=$AW153)*('LY Sales '!$C$2:$AG$2&gt;=EDATE($BZ$5,-12))*('LY Sales '!$C$2:$AG$2&lt;=EDATE($BZ$6,-12)),'LY Sales '!$C$5:$AG$200))</f>
        <v>0</v>
      </c>
      <c r="BK153" cm="1">
        <f t="array" ref="BK153">IF($AW153="",0,SUMPRODUCT((TRIM('LY Sales '!$B$5:$B$200)=$AW153)*('LY Sales '!$C$2:$AG$2&gt;=EDATE($BZ$5,-12))*('LY Sales '!$C$2:$AG$2&lt;=EDATE($BZ$7,-12)),'LY Sales '!$C$5:$AG$200))</f>
        <v>0</v>
      </c>
      <c r="BL153" cm="1">
        <f t="array" ref="BL153">IF($AW153="",0,SUMPRODUCT((TRIM('LY Sales '!$B$5:$B$200)=$AW153)*('LY Sales '!$C$2:$AG$2&gt;=EDATE($BZ$5,-12))*('LY Sales '!$C$2:$AG$2&lt;=EDATE($BZ$6,-12))*('LY Sales '!$C$5:$AG$200&gt;0)))</f>
        <v>0</v>
      </c>
      <c r="BM153" cm="1">
        <f t="array" ref="BM153">IF(NOT(ISNUMBER($BG153)),0,SUMPRODUCT(('TY Sales Target'!$K$2:$AO$2&gt;=$BZ$5)*('TY Sales Target'!$K$2:$AO$2&lt;=$BZ$6),INDEX('TY Sales Target'!$K$5:$AO$300,$BG153,0)))</f>
        <v>0</v>
      </c>
      <c r="BN153" cm="1">
        <f t="array" ref="BN153">IF(NOT(ISNUMBER($BG153)),0,SUMPRODUCT(('TY Sales Target'!$K$2:$AO$2&gt;=$BZ$5)*('TY Sales Target'!$K$2:$AO$2&lt;=$BZ$7),INDEX('TY Sales Target'!$K$5:$AO$300,$BG153,0)))</f>
        <v>0</v>
      </c>
      <c r="BO153" cm="1">
        <f t="array" ref="BO153">IF($AW153="",0,IFERROR(_xlfn.SWITCH($BP153,"LY trend",$BI153*$BK153/$BJ153,"Target curve",$BI153*$BN153/$BM153,"Run rate",$BI153/$BZ$8*$BZ$9,0),0))</f>
        <v>0</v>
      </c>
      <c r="BP153" t="str">
        <f t="shared" si="92"/>
        <v/>
      </c>
      <c r="CB153" cm="1">
        <f t="array" ref="CB153">IF($AW153="",0,_xlfn.LET(_xlpm.k,IFERROR(_xlfn.XLOOKUP($AW153,$CD$6:$CD$21,$CE$6:$CE$21),$AW153),SUMPRODUCT((TRIM('Makeup '!$A$2:$A$300&amp;"")=_xlpm.k)*1,IFERROR('Makeup '!$F$2:$F$300*1,0))))</f>
        <v>0</v>
      </c>
      <c r="CF153" t="str" cm="1">
        <f t="array" ref="CF153">IF($AW153="","",_xlfn.LET(_xlpm.c,IFERROR(TRIM(INDEX('Sales and count'!$B$4:$B$300,$BF153)&amp;""),""),IF(OR(_xlpm.c="",_xlpm.c="0",LEFT(_xlpm.c,1)="#"),"Not set",_xlpm.c)))</f>
        <v/>
      </c>
      <c r="CH153" cm="1">
        <f t="array" ref="CH153">IF($AW153="",0,_xlfn.LET(_xlpm.k,IFERROR(_xlfn.XLOOKUP($AW153,$CD$6:$CD$21,$CE$6:$CE$21),$AW153),--(SUMPRODUCT((TRIM('Makeup '!$A$2:$A$300&amp;"")=_xlpm.k)*ISNUMBER('Makeup '!$F$2:$F$300))&gt;0)))</f>
        <v>0</v>
      </c>
      <c r="CI153">
        <f t="shared" si="95"/>
        <v>0</v>
      </c>
      <c r="CJ153" cm="1">
        <f t="array" ref="CJ153">IF($AW153="",0,--(SUMPRODUCT(--(TRIM(Footfall!$B$5:$B$301)=$AW153))&gt;0))</f>
        <v>0</v>
      </c>
      <c r="CK153" s="8" cm="1">
        <f t="array" ref="CK153">IF($AW153="",0,_xlfn.LET(_xlpm.r,IFERROR(MATCH(IFERROR(_xlfn.XLOOKUP($AW153,$BT$5:$BT$22,$BU$5:$BU$22),$AW153),TRIM('TY Beauty Target'!$B$5:$B$300&amp;""),0),""),IF(ISNUMBER(_xlpm.r),SUMPRODUCT(('TY Beauty Target'!$L$2:$AP$2&gt;=$U$4)*('TY Beauty Target'!$L$2:$AP$2&lt;=$U$5),INDEX('TY Beauty Target'!$L$5:$AP$300,_xlpm.r,0)),0)))</f>
        <v>0</v>
      </c>
    </row>
    <row r="154" spans="1:89" ht="15" customHeight="1" x14ac:dyDescent="0.25">
      <c r="A154" s="38" t="str">
        <f t="shared" si="79"/>
        <v/>
      </c>
      <c r="B154" s="43" t="str" cm="1">
        <f t="array" ref="B154">IF($AI154="","",IF(LEFT($AI154,2)="C|",IF($C154="","",_xlfn.TEXTJOIN(", ",TRUE,_xlfn.UNIQUE(_xlfn._xlws.FILTER($AN$5:$AN$302,($AP$5:$AP$302=1)*($AO$5:$AO$302=$A154))))),IF($AI154="CT",B$13,IF(LEFT($AI154,3)="AM|",IF($C154="","",ROWS(_xlfn.UNIQUE(_xlfn._xlws.FILTER($AO$5:$AO$302,($AP$5:$AP$302=1)*($AN$5:$AN$302=$A154))))),IF(LEFT($AI154,2)="S|",IF($AG154="","",INDEX($AO$5:$AO$302,$AH154)),IF($AI154="HDR","City",""))))))</f>
        <v/>
      </c>
      <c r="C154" s="39" t="str" cm="1">
        <f t="array" ref="C154">IF($AI154="","",IF(LEFT($AI154,2)="C|",_xlfn.LET(_xlpm.n,SUMPRODUCT($AP$5:$AP$302*($AO$5:$AO$302=$A154)),IF(_xlpm.n=0,"",_xlpm.n)),IF($AI154="CT",C$13,IF(LEFT($AI154,3)="AM|",_xlfn.LET(_xlpm.n,SUMPRODUCT($AP$5:$AP$302*($AN$5:$AN$302=$A154)),IF(_xlpm.n=0,"",_xlpm.n)),IF(LEFT($AI154,2)="S|","",IF($AI154="HDR","# Stores",""))))))</f>
        <v/>
      </c>
      <c r="D154" s="40" t="str" cm="1">
        <f t="array" ref="D154">IF($AI154="","",IF(LEFT($AI154,2)="C|",IF($C154="","",SUMPRODUCT($AP$5:$AP$302*($AO$5:$AO$302=$A154),$AR$5:$AR$302)),IF($AI154="CT",D$13,IF(LEFT($AI154,3)="AM|",IF($C154="","",SUMPRODUCT($AP$5:$AP$302*($AN$5:$AN$302=$A154),$AR$5:$AR$302)),IF(LEFT($AI154,2)="S|",IF($AG154="","",INDEX($AR$5:$AR$302,$AH154)),IF($AI154="HDR","Sales TY",""))))))</f>
        <v/>
      </c>
      <c r="E154" s="40" t="str" cm="1">
        <f t="array" ref="E154">IF($AI154="","",IF(LEFT($AI154,2)="C|",IF($C154="","",SUMPRODUCT($AP$5:$AP$302*($AO$5:$AO$302=$A154),$AT$5:$AT$302)),IF($AI154="CT",E$13,IF(LEFT($AI154,3)="AM|",IF($C154="","",SUMPRODUCT($AP$5:$AP$302*($AN$5:$AN$302=$A154),$AT$5:$AT$302)),IF(LEFT($AI154,2)="S|",IF($AG154="","",INDEX($AT$5:$AT$302,$AH154)),IF($AI154="HDR","Sales LY",""))))))</f>
        <v/>
      </c>
      <c r="F154" s="41" t="str">
        <f t="shared" si="80"/>
        <v/>
      </c>
      <c r="G154" s="41" t="str">
        <f t="shared" si="81"/>
        <v/>
      </c>
      <c r="H154" s="40" t="str" cm="1">
        <f t="array" ref="H154">IF($AI154="","",IF(LEFT($AI154,2)="C|",IF($C154="","",SUMPRODUCT($AP$5:$AP$302*($AO$5:$AO$302=$A154),$AV$5:$AV$302)),IF($AI154="CT",H$13,IF(LEFT($AI154,3)="AM|",IF($C154="","",SUMPRODUCT($AP$5:$AP$302*($AN$5:$AN$302=$A154),$AV$5:$AV$302)),IF(LEFT($AI154,2)="S|",IF($AG154="","",INDEX($AV$5:$AV$302,$AH154)),IF($AI154="HDR","Target",""))))))</f>
        <v/>
      </c>
      <c r="I154" s="41" t="str">
        <f t="shared" si="82"/>
        <v/>
      </c>
      <c r="J154" s="40" t="str">
        <f t="shared" si="83"/>
        <v/>
      </c>
      <c r="K154" s="41" t="str">
        <f t="shared" si="84"/>
        <v/>
      </c>
      <c r="L154" s="40" t="str" cm="1">
        <f t="array" ref="L154">IF($AI154="","",IF(LEFT($AI154,2)="C|",IF($C154="","",SUMPRODUCT($AP$5:$AP$302*($AO$5:$AO$302=$A154),$BN$5:$BN$302)),IF($AI154="CT",L$13,IF(LEFT($AI154,3)="AM|",IF($C154="","",SUMPRODUCT($AP$5:$AP$302*($AN$5:$AN$302=$A154),$BN$5:$BN$302)),IF(LEFT($AI154,2)="S|",IF($AG154="","",INDEX($BN$5:$BN$302,$AH154)),IF($AI154="HDR","Month Target",""))))))</f>
        <v/>
      </c>
      <c r="M154" s="40" t="str" cm="1">
        <f t="array" ref="M154">IF($AI154="","",IF(LEFT($AI154,2)="C|",IF($C154="","",SUMPRODUCT($AP$5:$AP$302*($AO$5:$AO$302=$A154),$BO$5:$BO$302)),IF($AI154="CT",M$13,IF(LEFT($AI154,3)="AM|",IF($C154="","",SUMPRODUCT($AP$5:$AP$302*($AN$5:$AN$302=$A154),$BO$5:$BO$302)),IF(LEFT($AI154,2)="S|",IF($AG154="","",INDEX($BO$5:$BO$302,$AH154)),IF($AI154="HDR","Projected Close",""))))))</f>
        <v/>
      </c>
      <c r="N154" s="41" t="str">
        <f t="shared" si="76"/>
        <v/>
      </c>
      <c r="O154" s="41" t="str" cm="1">
        <f t="array" ref="O154">IF($AI154="HDR","Proj. vs LY",IF(OR($AI154="",M154=""),"",_xlfn.LET(_xlpm.ly,IF(LEFT($AI154,2)="C|",SUMPRODUCT($AP$5:$AP$302*($AO$5:$AO$302=$A154),$BK$5:$BK$302),IF($AI154="CT",SUMPRODUCT($AP$5:$AP$302,$BK$5:$BK$302),IF(LEFT($AI154,3)="AM|",SUMPRODUCT($AP$5:$AP$302*($AN$5:$AN$302=$A154),$BK$5:$BK$302),IF(LEFT($AI154,2)="S|",INDEX($BK$5:$BK$302,$AH154),0)))),IFERROR(M154/_xlpm.ly-1,""))))</f>
        <v/>
      </c>
      <c r="P154" s="40" t="str" cm="1">
        <f t="array" ref="P154">IF($AI154="","",IF(LEFT($AI154,2)="C|",IF($C154="","",SUMPRODUCT($AP$5:$AP$302*($AO$5:$AO$302=$A154),$AS$5:$AS$302)),IF($AI154="CT",P$13,IF(LEFT($AI154,3)="AM|",IF($C154="","",SUMPRODUCT($AP$5:$AP$302*($AN$5:$AN$302=$A154),$AS$5:$AS$302)),IF(LEFT($AI154,2)="S|",IF($AG154="","",INDEX($AS$5:$AS$302,$AH154)),IF($AI154="HDR","Trans TY",""))))))</f>
        <v/>
      </c>
      <c r="Q154" s="40" t="str" cm="1">
        <f t="array" ref="Q154">IF($AI154="","",IF(LEFT($AI154,2)="C|",IF($C154="","",SUMPRODUCT($AP$5:$AP$302*($AO$5:$AO$302=$A154),$AU$5:$AU$302)),IF($AI154="CT",Q$13,IF(LEFT($AI154,3)="AM|",IF($C154="","",SUMPRODUCT($AP$5:$AP$302*($AN$5:$AN$302=$A154),$AU$5:$AU$302)),IF(LEFT($AI154,2)="S|",IF($AG154="","",INDEX($AU$5:$AU$302,$AH154)),IF($AI154="HDR","Trans LY",""))))))</f>
        <v/>
      </c>
      <c r="R154" s="41" t="str">
        <f t="shared" si="85"/>
        <v/>
      </c>
      <c r="S154" s="41" t="str">
        <f t="shared" si="86"/>
        <v/>
      </c>
      <c r="T154" s="42" t="str">
        <f t="shared" si="87"/>
        <v/>
      </c>
      <c r="U154" s="42" t="str">
        <f t="shared" si="88"/>
        <v/>
      </c>
      <c r="V154" s="41" t="str">
        <f t="shared" si="89"/>
        <v/>
      </c>
      <c r="W154" s="40" t="str" cm="1">
        <f t="array" ref="W154">IF($AI154="","",IF(LEFT($AI154,2)="C|",_xlfn.LET(_xlpm.n,SUMPRODUCT($AP$5:$AP$302*($AO$5:$AO$302=$A154),$BB$5:$BB$302),IF(_xlpm.n=0,"",_xlpm.n)),IF($AI154="CT",W$13,IF(LEFT($AI154,3)="AM|",_xlfn.LET(_xlpm.n,SUMPRODUCT($AP$5:$AP$302*($AN$5:$AN$302=$A154),$BB$5:$BB$302),IF(_xlpm.n=0,"",_xlpm.n)),IF(LEFT($AI154,2)="S|",IF($AG154="","",_xlfn.LET(_xlpm.n,INDEX($BB$5:$BB$302,$AH154),IF(_xlpm.n=0,"",_xlpm.n))),IF($AI154="HDR","Footfall",""))))))</f>
        <v/>
      </c>
      <c r="X154" s="40" t="str" cm="1">
        <f t="array" ref="X154">IF($AI154="","",IF($AI154="HDR","Trans (FF stores)",IF(W154="","",IF(LEFT($AI154,2)="C|",SUMPRODUCT($AP$5:$AP$302*($AO$5:$AO$302=$A154),$BC$5:$BC$302),IF($AI154="CT",X$13,IF(LEFT($AI154,3)="AM|",SUMPRODUCT($AP$5:$AP$302*($AN$5:$AN$302=$A154),$BC$5:$BC$302),IF(LEFT($AI154,2)="S|",INDEX($BC$5:$BC$302,$AH154),"")))))))</f>
        <v/>
      </c>
      <c r="Y154" s="41" t="str">
        <f t="shared" si="77"/>
        <v/>
      </c>
      <c r="Z154" s="40" t="str" cm="1">
        <f t="array" ref="Z154">IF($AI154="","",IF(LEFT($AI154,2)="C|",IF($C154="","",SUMPRODUCT($AP$5:$AP$302*($AO$5:$AO$302=$A154),$CB$5:$CB$302)),IF($AI154="CT",Z$13,IF(LEFT($AI154,3)="AM|",IF($C154="","",SUMPRODUCT($AP$5:$AP$302*($AN$5:$AN$302=$A154),$CB$5:$CB$302)),IF(LEFT($AI154,2)="S|",IF($AG154="","",INDEX($CB$5:$CB$302,$AH154)),IF($AI154="HDR","Makeup Sales",""))))))</f>
        <v/>
      </c>
      <c r="AA154" s="41" t="str">
        <f t="shared" si="90"/>
        <v/>
      </c>
      <c r="AB154" s="40" t="str" cm="1">
        <f t="array" ref="AB154">IF($AI154="","",IF(LEFT($AI154,2)="C|",IF($C154="","",SUMPRODUCT($AP$5:$AP$302*($AO$5:$AO$302=$A154),$CK$5:$CK$302)),IF($AI154="CT",AB$13,IF(LEFT($AI154,3)="AM|",IF($C154="","",SUMPRODUCT($AP$5:$AP$302*($AN$5:$AN$302=$A154),$CK$5:$CK$302)),IF(LEFT($AI154,2)="S|",IF($AG154="","",INDEX($CK$5:$CK$302,$AH154)),IF($AI154="HDR","Makeup Target",""))))))</f>
        <v/>
      </c>
      <c r="AC154" s="41" t="str">
        <f t="shared" si="78"/>
        <v/>
      </c>
      <c r="AD154" s="40" t="str" cm="1">
        <f t="array" ref="AD154">IF($AI154="","",IF(LEFT($AI154,2)="C|",IF($C154="","",SUMPRODUCT($AP$5:$AP$302*($AO$5:$AO$302=$A154),$CI$5:$CI$302)),IF($AI154="CT",AD$13,IF(LEFT($AI154,3)="AM|",IF($C154="","",SUMPRODUCT($AP$5:$AP$302*($AN$5:$AN$302=$A154),$CI$5:$CI$302)),IF(LEFT($AI154,2)="S|",IF($AG154="","",INDEX($CI$5:$CI$302,$AH154)),IF($AI154="HDR","Cosmetic Sales",""))))))</f>
        <v/>
      </c>
      <c r="AE154" s="8" t="str" cm="1">
        <f t="array" ref="AE154">IF($AI154="","",IF(LEFT($AI154,2)="C|",IF($C154="","",SUMPRODUCT($AP$5:$AP$302*($AO$5:$AO$302=$A154)*$AQ$5:$AQ$302,$AR$5:$AR$302)),IF($AI154="CT",AE$13,IF(LEFT($AI154,3)="AM|",IF($C154="","",SUMPRODUCT($AP$5:$AP$302*($AN$5:$AN$302=$A154)*$AQ$5:$AQ$302,$AR$5:$AR$302)),IF(LEFT($AI154,2)="S|",IF($AG154="","",IF(INDEX($AQ$5:$AQ$302,$AH154)=1,D154,0)),IF($AI154="HDR","LFL Sales",""))))))</f>
        <v/>
      </c>
      <c r="AF154" s="8" t="str" cm="1">
        <f t="array" ref="AF154">IF($AI154="","",IF(LEFT($AI154,2)="C|",IF($C154="","",SUMPRODUCT($AP$5:$AP$302*($AO$5:$AO$302=$A154)*$AQ$5:$AQ$302,$AS$5:$AS$302)),IF($AI154="CT",AF$13,IF(LEFT($AI154,3)="AM|",IF($C154="","",SUMPRODUCT($AP$5:$AP$302*($AN$5:$AN$302=$A154)*$AQ$5:$AQ$302,$AS$5:$AS$302)),IF(LEFT($AI154,2)="S|",IF($AG154="","",IF(INDEX($AQ$5:$AQ$302,$AH154)=1,P154,0)),IF($AI154="HDR","LFL Trans",""))))))</f>
        <v/>
      </c>
      <c r="AG154" s="8" t="str" cm="1">
        <f t="array" ref="AG154">IF($AI154="","",IF(LEFT($AI154,2)="C|","",IF($AI154="CT","",IF(LEFT($AI154,3)="AM|","",IF(LEFT($AI154,2)="S|",IF($AH154="","",IF(INDEX($AP$5:$AP$302,$AH154)=1,1,"")),IF($AI154="HDR","Show",""))))))</f>
        <v/>
      </c>
      <c r="AH154" s="8" t="str">
        <f t="shared" si="91"/>
        <v/>
      </c>
      <c r="AI154" s="8"/>
      <c r="AN154" s="8" t="str" cm="1">
        <f t="array" ref="AN154">IF($AW154="","",_xlfn.LET(_xlpm.sa,IFERROR(TRIM(INDEX('Sales and count'!$D$4:$D$300,$BF154)&amp;""),""),_xlpm.ta,IFERROR(TRIM(INDEX('TY Sales Target'!$F$5:$F$300,$BG154)&amp;""),""),IF(AND(_xlpm.sa&lt;&gt;"",LEFT(_xlpm.sa,1)&lt;&gt;"#",_xlpm.sa&lt;&gt;"0"),_xlpm.sa,IF(AND(_xlpm.ta&lt;&gt;"",LEFT(_xlpm.ta,1)&lt;&gt;"#",_xlpm.ta&lt;&gt;"0"),_xlpm.ta,IF(ISNUMBER($BG154),"Unassigned","")))))</f>
        <v/>
      </c>
      <c r="AO154" s="8" t="str" cm="1">
        <f t="array" ref="AO154">IF($AW154="","",_xlfn.LET(_xlpm.sa,IFERROR(TRIM(INDEX('Sales and count'!$C$4:$C$300,$BF154)&amp;""),""),_xlpm.ta,IFERROR(TRIM(INDEX('TY Sales Target'!$D$5:$D$300,$BG154)&amp;""),""),IF(AND(_xlpm.sa&lt;&gt;"",LEFT(_xlpm.sa,1)&lt;&gt;"#",_xlpm.sa&lt;&gt;"0"),_xlpm.sa,IF(AND(_xlpm.ta&lt;&gt;"",LEFT(_xlpm.ta,1)&lt;&gt;"#",_xlpm.ta&lt;&gt;"0"),_xlpm.ta,""))))</f>
        <v/>
      </c>
      <c r="AP154" s="8">
        <f t="shared" si="93"/>
        <v>0</v>
      </c>
      <c r="AQ154" s="8">
        <f t="shared" si="94"/>
        <v>0</v>
      </c>
      <c r="AR154" s="8" cm="1">
        <f t="array" ref="AR154">IF($BF154="",0,_xlfn.LET(_xlpm.d,IFERROR(--'Sales and count'!$G$2:$CC$2,0),SUMPRODUCT(('Sales and count'!$G$3:$CC$3="Total")*(_xlpm.d&gt;=$U$4)*(_xlpm.d&lt;=$U$5),INDEX('Sales and count'!$G$4:$CC$300,$BF154,0))))</f>
        <v>0</v>
      </c>
      <c r="AS154" s="8" cm="1">
        <f t="array" ref="AS154">IF($BF154="",0,_xlfn.LET(_xlpm.d,IFERROR(--'Sales and count'!$F$2:$CB$2,0),SUMPRODUCT(('Sales and count'!$G$3:$CC$3="Transactions")*(_xlpm.d&gt;=$U$4)*(_xlpm.d&lt;=$U$5),INDEX('Sales and count'!$G$4:$CC$300,$BF154,0))))</f>
        <v>0</v>
      </c>
      <c r="AT154" s="8" cm="1">
        <f t="array" ref="AT154">IF($AW154="",0,SUMPRODUCT((TRIM('LY Sales '!$B$5:$B$200)=$AW154)*('LY Sales '!$C$2:$AG$2&gt;=EDATE($U$4,-12))*('LY Sales '!$C$2:$AG$2&lt;=EDATE($U$5,-12)),'LY Sales '!$C$5:$AG$200))</f>
        <v>0</v>
      </c>
      <c r="AU154" s="8" cm="1">
        <f t="array" ref="AU154">IF($AW154="",0,SUMPRODUCT((TRIM('LY Transaction'!$B$5:$B$200)=$AW154)*('LY Transaction'!$C$2:$AG$2&gt;=EDATE($U$4,-12))*('LY Transaction'!$C$2:$AG$2&lt;=EDATE($U$5,-12)),'LY Transaction'!$C$5:$AG$200))</f>
        <v>0</v>
      </c>
      <c r="AV154" s="8" cm="1">
        <f t="array" ref="AV154">IF(NOT(ISNUMBER($BG154)),0,SUMPRODUCT(('TY Sales Target'!$K$2:$AO$2&gt;=$U$4)*('TY Sales Target'!$K$2:$AO$2&lt;=$U$5),INDEX('TY Sales Target'!$K$5:$AO$300,$BG154,0)))</f>
        <v>0</v>
      </c>
      <c r="AW154" s="8" t="str" cm="1">
        <f t="array" ref="AW154">IFERROR(INDEX(_xlfn.ANCHORARRAY($BR$5),ROWS($AW$5:AW154)),"")</f>
        <v/>
      </c>
      <c r="BB154" cm="1">
        <f t="array" ref="BB154">IF($AW154="",0,SUMPRODUCT((TRIM(Footfall!$B$5:$B$301)=$AW154)*(Footfall!$C$1:$BZ$1&gt;=$U$4)*(Footfall!$C$2:$BZ$2&lt;=$U$5)*(Footfall!$C$1:$BZ$1&lt;&gt;""),Footfall!$C$5:$BZ$301))</f>
        <v>0</v>
      </c>
      <c r="BC154" cm="1">
        <f t="array" ref="BC154">IF(OR($BB154&lt;=0,$BD$1="",$BF154=""),0,_xlfn.LET(_xlpm.d,IFERROR(--'Sales and count'!$F$2:$CB$2,0),SUMPRODUCT(('Sales and count'!$G$3:$CC$3="Transactions")*(_xlpm.d&gt;=$BD$1)*(_xlpm.d&lt;=$BD$2),INDEX('Sales and count'!$G$4:$CC$300,$BF154,0))))</f>
        <v>0</v>
      </c>
      <c r="BF154" t="str" cm="1">
        <f t="array" ref="BF154">IF($AW154="","",IFERROR(MATCH($AW154,TRIM('Sales and count'!$A$4:$A$300&amp;""),0),""))</f>
        <v/>
      </c>
      <c r="BG154" t="str" cm="1">
        <f t="array" ref="BG154">IF($AW154="","",IFERROR(MATCH(IFERROR(_xlfn.XLOOKUP($AW154,$BT$5:$BT$22,$BU$5:$BU$22),$AW154),TRIM('TY Sales Target'!$B$5:$B$300&amp;""),0),""))</f>
        <v/>
      </c>
      <c r="BH154" t="str" cm="1">
        <f t="array" ref="BH154">IF(ISNUMBER($BG154),_xlfn.LET(_xlpm.p,TRIM(INDEX('TY Sales Target'!$I$5:$I$300,$BG154)&amp;""),IF(_xlpm.p="","Not set",_xlpm.p)),"Not set")</f>
        <v>Not set</v>
      </c>
      <c r="BI154" cm="1">
        <f t="array" ref="BI154">IF($BF154="",0,_xlfn.LET(_xlpm.d,IFERROR(--'Sales and count'!$G$2:$CC$2,0),SUMPRODUCT(('Sales and count'!$G$3:$CC$3="Total")*(_xlpm.d&gt;=$BZ$5)*(_xlpm.d&lt;=$BZ$6),INDEX('Sales and count'!$G$4:$CC$300,$BF154,0))))</f>
        <v>0</v>
      </c>
      <c r="BJ154" cm="1">
        <f t="array" ref="BJ154">IF($AW154="",0,SUMPRODUCT((TRIM('LY Sales '!$B$5:$B$200)=$AW154)*('LY Sales '!$C$2:$AG$2&gt;=EDATE($BZ$5,-12))*('LY Sales '!$C$2:$AG$2&lt;=EDATE($BZ$6,-12)),'LY Sales '!$C$5:$AG$200))</f>
        <v>0</v>
      </c>
      <c r="BK154" cm="1">
        <f t="array" ref="BK154">IF($AW154="",0,SUMPRODUCT((TRIM('LY Sales '!$B$5:$B$200)=$AW154)*('LY Sales '!$C$2:$AG$2&gt;=EDATE($BZ$5,-12))*('LY Sales '!$C$2:$AG$2&lt;=EDATE($BZ$7,-12)),'LY Sales '!$C$5:$AG$200))</f>
        <v>0</v>
      </c>
      <c r="BL154" cm="1">
        <f t="array" ref="BL154">IF($AW154="",0,SUMPRODUCT((TRIM('LY Sales '!$B$5:$B$200)=$AW154)*('LY Sales '!$C$2:$AG$2&gt;=EDATE($BZ$5,-12))*('LY Sales '!$C$2:$AG$2&lt;=EDATE($BZ$6,-12))*('LY Sales '!$C$5:$AG$200&gt;0)))</f>
        <v>0</v>
      </c>
      <c r="BM154" cm="1">
        <f t="array" ref="BM154">IF(NOT(ISNUMBER($BG154)),0,SUMPRODUCT(('TY Sales Target'!$K$2:$AO$2&gt;=$BZ$5)*('TY Sales Target'!$K$2:$AO$2&lt;=$BZ$6),INDEX('TY Sales Target'!$K$5:$AO$300,$BG154,0)))</f>
        <v>0</v>
      </c>
      <c r="BN154" cm="1">
        <f t="array" ref="BN154">IF(NOT(ISNUMBER($BG154)),0,SUMPRODUCT(('TY Sales Target'!$K$2:$AO$2&gt;=$BZ$5)*('TY Sales Target'!$K$2:$AO$2&lt;=$BZ$7),INDEX('TY Sales Target'!$K$5:$AO$300,$BG154,0)))</f>
        <v>0</v>
      </c>
      <c r="BO154" cm="1">
        <f t="array" ref="BO154">IF($AW154="",0,IFERROR(_xlfn.SWITCH($BP154,"LY trend",$BI154*$BK154/$BJ154,"Target curve",$BI154*$BN154/$BM154,"Run rate",$BI154/$BZ$8*$BZ$9,0),0))</f>
        <v>0</v>
      </c>
      <c r="BP154" t="str">
        <f t="shared" si="92"/>
        <v/>
      </c>
      <c r="CB154" cm="1">
        <f t="array" ref="CB154">IF($AW154="",0,_xlfn.LET(_xlpm.k,IFERROR(_xlfn.XLOOKUP($AW154,$CD$6:$CD$21,$CE$6:$CE$21),$AW154),SUMPRODUCT((TRIM('Makeup '!$A$2:$A$300&amp;"")=_xlpm.k)*1,IFERROR('Makeup '!$F$2:$F$300*1,0))))</f>
        <v>0</v>
      </c>
      <c r="CF154" t="str" cm="1">
        <f t="array" ref="CF154">IF($AW154="","",_xlfn.LET(_xlpm.c,IFERROR(TRIM(INDEX('Sales and count'!$B$4:$B$300,$BF154)&amp;""),""),IF(OR(_xlpm.c="",_xlpm.c="0",LEFT(_xlpm.c,1)="#"),"Not set",_xlpm.c)))</f>
        <v/>
      </c>
      <c r="CH154" cm="1">
        <f t="array" ref="CH154">IF($AW154="",0,_xlfn.LET(_xlpm.k,IFERROR(_xlfn.XLOOKUP($AW154,$CD$6:$CD$21,$CE$6:$CE$21),$AW154),--(SUMPRODUCT((TRIM('Makeup '!$A$2:$A$300&amp;"")=_xlpm.k)*ISNUMBER('Makeup '!$F$2:$F$300))&gt;0)))</f>
        <v>0</v>
      </c>
      <c r="CI154">
        <f t="shared" si="95"/>
        <v>0</v>
      </c>
      <c r="CJ154" cm="1">
        <f t="array" ref="CJ154">IF($AW154="",0,--(SUMPRODUCT(--(TRIM(Footfall!$B$5:$B$301)=$AW154))&gt;0))</f>
        <v>0</v>
      </c>
      <c r="CK154" s="8" cm="1">
        <f t="array" ref="CK154">IF($AW154="",0,_xlfn.LET(_xlpm.r,IFERROR(MATCH(IFERROR(_xlfn.XLOOKUP($AW154,$BT$5:$BT$22,$BU$5:$BU$22),$AW154),TRIM('TY Beauty Target'!$B$5:$B$300&amp;""),0),""),IF(ISNUMBER(_xlpm.r),SUMPRODUCT(('TY Beauty Target'!$L$2:$AP$2&gt;=$U$4)*('TY Beauty Target'!$L$2:$AP$2&lt;=$U$5),INDEX('TY Beauty Target'!$L$5:$AP$300,_xlpm.r,0)),0)))</f>
        <v>0</v>
      </c>
    </row>
    <row r="155" spans="1:89" ht="15" customHeight="1" x14ac:dyDescent="0.25">
      <c r="A155" s="38" t="str">
        <f t="shared" si="79"/>
        <v/>
      </c>
      <c r="B155" s="43" t="str" cm="1">
        <f t="array" ref="B155">IF($AI155="","",IF(LEFT($AI155,2)="C|",IF($C155="","",_xlfn.TEXTJOIN(", ",TRUE,_xlfn.UNIQUE(_xlfn._xlws.FILTER($AN$5:$AN$302,($AP$5:$AP$302=1)*($AO$5:$AO$302=$A155))))),IF($AI155="CT",B$13,IF(LEFT($AI155,3)="AM|",IF($C155="","",ROWS(_xlfn.UNIQUE(_xlfn._xlws.FILTER($AO$5:$AO$302,($AP$5:$AP$302=1)*($AN$5:$AN$302=$A155))))),IF(LEFT($AI155,2)="S|",IF($AG155="","",INDEX($AO$5:$AO$302,$AH155)),IF($AI155="HDR","City",""))))))</f>
        <v/>
      </c>
      <c r="C155" s="39" t="str" cm="1">
        <f t="array" ref="C155">IF($AI155="","",IF(LEFT($AI155,2)="C|",_xlfn.LET(_xlpm.n,SUMPRODUCT($AP$5:$AP$302*($AO$5:$AO$302=$A155)),IF(_xlpm.n=0,"",_xlpm.n)),IF($AI155="CT",C$13,IF(LEFT($AI155,3)="AM|",_xlfn.LET(_xlpm.n,SUMPRODUCT($AP$5:$AP$302*($AN$5:$AN$302=$A155)),IF(_xlpm.n=0,"",_xlpm.n)),IF(LEFT($AI155,2)="S|","",IF($AI155="HDR","# Stores",""))))))</f>
        <v/>
      </c>
      <c r="D155" s="40" t="str" cm="1">
        <f t="array" ref="D155">IF($AI155="","",IF(LEFT($AI155,2)="C|",IF($C155="","",SUMPRODUCT($AP$5:$AP$302*($AO$5:$AO$302=$A155),$AR$5:$AR$302)),IF($AI155="CT",D$13,IF(LEFT($AI155,3)="AM|",IF($C155="","",SUMPRODUCT($AP$5:$AP$302*($AN$5:$AN$302=$A155),$AR$5:$AR$302)),IF(LEFT($AI155,2)="S|",IF($AG155="","",INDEX($AR$5:$AR$302,$AH155)),IF($AI155="HDR","Sales TY",""))))))</f>
        <v/>
      </c>
      <c r="E155" s="40" t="str" cm="1">
        <f t="array" ref="E155">IF($AI155="","",IF(LEFT($AI155,2)="C|",IF($C155="","",SUMPRODUCT($AP$5:$AP$302*($AO$5:$AO$302=$A155),$AT$5:$AT$302)),IF($AI155="CT",E$13,IF(LEFT($AI155,3)="AM|",IF($C155="","",SUMPRODUCT($AP$5:$AP$302*($AN$5:$AN$302=$A155),$AT$5:$AT$302)),IF(LEFT($AI155,2)="S|",IF($AG155="","",INDEX($AT$5:$AT$302,$AH155)),IF($AI155="HDR","Sales LY",""))))))</f>
        <v/>
      </c>
      <c r="F155" s="41" t="str">
        <f t="shared" si="80"/>
        <v/>
      </c>
      <c r="G155" s="41" t="str">
        <f t="shared" si="81"/>
        <v/>
      </c>
      <c r="H155" s="40" t="str" cm="1">
        <f t="array" ref="H155">IF($AI155="","",IF(LEFT($AI155,2)="C|",IF($C155="","",SUMPRODUCT($AP$5:$AP$302*($AO$5:$AO$302=$A155),$AV$5:$AV$302)),IF($AI155="CT",H$13,IF(LEFT($AI155,3)="AM|",IF($C155="","",SUMPRODUCT($AP$5:$AP$302*($AN$5:$AN$302=$A155),$AV$5:$AV$302)),IF(LEFT($AI155,2)="S|",IF($AG155="","",INDEX($AV$5:$AV$302,$AH155)),IF($AI155="HDR","Target",""))))))</f>
        <v/>
      </c>
      <c r="I155" s="41" t="str">
        <f t="shared" si="82"/>
        <v/>
      </c>
      <c r="J155" s="40" t="str">
        <f t="shared" si="83"/>
        <v/>
      </c>
      <c r="K155" s="41" t="str">
        <f t="shared" si="84"/>
        <v/>
      </c>
      <c r="L155" s="40" t="str" cm="1">
        <f t="array" ref="L155">IF($AI155="","",IF(LEFT($AI155,2)="C|",IF($C155="","",SUMPRODUCT($AP$5:$AP$302*($AO$5:$AO$302=$A155),$BN$5:$BN$302)),IF($AI155="CT",L$13,IF(LEFT($AI155,3)="AM|",IF($C155="","",SUMPRODUCT($AP$5:$AP$302*($AN$5:$AN$302=$A155),$BN$5:$BN$302)),IF(LEFT($AI155,2)="S|",IF($AG155="","",INDEX($BN$5:$BN$302,$AH155)),IF($AI155="HDR","Month Target",""))))))</f>
        <v/>
      </c>
      <c r="M155" s="40" t="str" cm="1">
        <f t="array" ref="M155">IF($AI155="","",IF(LEFT($AI155,2)="C|",IF($C155="","",SUMPRODUCT($AP$5:$AP$302*($AO$5:$AO$302=$A155),$BO$5:$BO$302)),IF($AI155="CT",M$13,IF(LEFT($AI155,3)="AM|",IF($C155="","",SUMPRODUCT($AP$5:$AP$302*($AN$5:$AN$302=$A155),$BO$5:$BO$302)),IF(LEFT($AI155,2)="S|",IF($AG155="","",INDEX($BO$5:$BO$302,$AH155)),IF($AI155="HDR","Projected Close",""))))))</f>
        <v/>
      </c>
      <c r="N155" s="41" t="str">
        <f t="shared" si="76"/>
        <v/>
      </c>
      <c r="O155" s="41" t="str" cm="1">
        <f t="array" ref="O155">IF($AI155="HDR","Proj. vs LY",IF(OR($AI155="",M155=""),"",_xlfn.LET(_xlpm.ly,IF(LEFT($AI155,2)="C|",SUMPRODUCT($AP$5:$AP$302*($AO$5:$AO$302=$A155),$BK$5:$BK$302),IF($AI155="CT",SUMPRODUCT($AP$5:$AP$302,$BK$5:$BK$302),IF(LEFT($AI155,3)="AM|",SUMPRODUCT($AP$5:$AP$302*($AN$5:$AN$302=$A155),$BK$5:$BK$302),IF(LEFT($AI155,2)="S|",INDEX($BK$5:$BK$302,$AH155),0)))),IFERROR(M155/_xlpm.ly-1,""))))</f>
        <v/>
      </c>
      <c r="P155" s="40" t="str" cm="1">
        <f t="array" ref="P155">IF($AI155="","",IF(LEFT($AI155,2)="C|",IF($C155="","",SUMPRODUCT($AP$5:$AP$302*($AO$5:$AO$302=$A155),$AS$5:$AS$302)),IF($AI155="CT",P$13,IF(LEFT($AI155,3)="AM|",IF($C155="","",SUMPRODUCT($AP$5:$AP$302*($AN$5:$AN$302=$A155),$AS$5:$AS$302)),IF(LEFT($AI155,2)="S|",IF($AG155="","",INDEX($AS$5:$AS$302,$AH155)),IF($AI155="HDR","Trans TY",""))))))</f>
        <v/>
      </c>
      <c r="Q155" s="40" t="str" cm="1">
        <f t="array" ref="Q155">IF($AI155="","",IF(LEFT($AI155,2)="C|",IF($C155="","",SUMPRODUCT($AP$5:$AP$302*($AO$5:$AO$302=$A155),$AU$5:$AU$302)),IF($AI155="CT",Q$13,IF(LEFT($AI155,3)="AM|",IF($C155="","",SUMPRODUCT($AP$5:$AP$302*($AN$5:$AN$302=$A155),$AU$5:$AU$302)),IF(LEFT($AI155,2)="S|",IF($AG155="","",INDEX($AU$5:$AU$302,$AH155)),IF($AI155="HDR","Trans LY",""))))))</f>
        <v/>
      </c>
      <c r="R155" s="41" t="str">
        <f t="shared" si="85"/>
        <v/>
      </c>
      <c r="S155" s="41" t="str">
        <f t="shared" si="86"/>
        <v/>
      </c>
      <c r="T155" s="42" t="str">
        <f t="shared" si="87"/>
        <v/>
      </c>
      <c r="U155" s="42" t="str">
        <f t="shared" si="88"/>
        <v/>
      </c>
      <c r="V155" s="41" t="str">
        <f t="shared" si="89"/>
        <v/>
      </c>
      <c r="W155" s="40" t="str" cm="1">
        <f t="array" ref="W155">IF($AI155="","",IF(LEFT($AI155,2)="C|",_xlfn.LET(_xlpm.n,SUMPRODUCT($AP$5:$AP$302*($AO$5:$AO$302=$A155),$BB$5:$BB$302),IF(_xlpm.n=0,"",_xlpm.n)),IF($AI155="CT",W$13,IF(LEFT($AI155,3)="AM|",_xlfn.LET(_xlpm.n,SUMPRODUCT($AP$5:$AP$302*($AN$5:$AN$302=$A155),$BB$5:$BB$302),IF(_xlpm.n=0,"",_xlpm.n)),IF(LEFT($AI155,2)="S|",IF($AG155="","",_xlfn.LET(_xlpm.n,INDEX($BB$5:$BB$302,$AH155),IF(_xlpm.n=0,"",_xlpm.n))),IF($AI155="HDR","Footfall",""))))))</f>
        <v/>
      </c>
      <c r="X155" s="40" t="str" cm="1">
        <f t="array" ref="X155">IF($AI155="","",IF($AI155="HDR","Trans (FF stores)",IF(W155="","",IF(LEFT($AI155,2)="C|",SUMPRODUCT($AP$5:$AP$302*($AO$5:$AO$302=$A155),$BC$5:$BC$302),IF($AI155="CT",X$13,IF(LEFT($AI155,3)="AM|",SUMPRODUCT($AP$5:$AP$302*($AN$5:$AN$302=$A155),$BC$5:$BC$302),IF(LEFT($AI155,2)="S|",INDEX($BC$5:$BC$302,$AH155),"")))))))</f>
        <v/>
      </c>
      <c r="Y155" s="41" t="str">
        <f t="shared" si="77"/>
        <v/>
      </c>
      <c r="Z155" s="40" t="str" cm="1">
        <f t="array" ref="Z155">IF($AI155="","",IF(LEFT($AI155,2)="C|",IF($C155="","",SUMPRODUCT($AP$5:$AP$302*($AO$5:$AO$302=$A155),$CB$5:$CB$302)),IF($AI155="CT",Z$13,IF(LEFT($AI155,3)="AM|",IF($C155="","",SUMPRODUCT($AP$5:$AP$302*($AN$5:$AN$302=$A155),$CB$5:$CB$302)),IF(LEFT($AI155,2)="S|",IF($AG155="","",INDEX($CB$5:$CB$302,$AH155)),IF($AI155="HDR","Makeup Sales",""))))))</f>
        <v/>
      </c>
      <c r="AA155" s="41" t="str">
        <f t="shared" si="90"/>
        <v/>
      </c>
      <c r="AB155" s="40" t="str" cm="1">
        <f t="array" ref="AB155">IF($AI155="","",IF(LEFT($AI155,2)="C|",IF($C155="","",SUMPRODUCT($AP$5:$AP$302*($AO$5:$AO$302=$A155),$CK$5:$CK$302)),IF($AI155="CT",AB$13,IF(LEFT($AI155,3)="AM|",IF($C155="","",SUMPRODUCT($AP$5:$AP$302*($AN$5:$AN$302=$A155),$CK$5:$CK$302)),IF(LEFT($AI155,2)="S|",IF($AG155="","",INDEX($CK$5:$CK$302,$AH155)),IF($AI155="HDR","Makeup Target",""))))))</f>
        <v/>
      </c>
      <c r="AC155" s="41" t="str">
        <f t="shared" si="78"/>
        <v/>
      </c>
      <c r="AD155" s="40" t="str" cm="1">
        <f t="array" ref="AD155">IF($AI155="","",IF(LEFT($AI155,2)="C|",IF($C155="","",SUMPRODUCT($AP$5:$AP$302*($AO$5:$AO$302=$A155),$CI$5:$CI$302)),IF($AI155="CT",AD$13,IF(LEFT($AI155,3)="AM|",IF($C155="","",SUMPRODUCT($AP$5:$AP$302*($AN$5:$AN$302=$A155),$CI$5:$CI$302)),IF(LEFT($AI155,2)="S|",IF($AG155="","",INDEX($CI$5:$CI$302,$AH155)),IF($AI155="HDR","Cosmetic Sales",""))))))</f>
        <v/>
      </c>
      <c r="AE155" s="8" t="str" cm="1">
        <f t="array" ref="AE155">IF($AI155="","",IF(LEFT($AI155,2)="C|",IF($C155="","",SUMPRODUCT($AP$5:$AP$302*($AO$5:$AO$302=$A155)*$AQ$5:$AQ$302,$AR$5:$AR$302)),IF($AI155="CT",AE$13,IF(LEFT($AI155,3)="AM|",IF($C155="","",SUMPRODUCT($AP$5:$AP$302*($AN$5:$AN$302=$A155)*$AQ$5:$AQ$302,$AR$5:$AR$302)),IF(LEFT($AI155,2)="S|",IF($AG155="","",IF(INDEX($AQ$5:$AQ$302,$AH155)=1,D155,0)),IF($AI155="HDR","LFL Sales",""))))))</f>
        <v/>
      </c>
      <c r="AF155" s="8" t="str" cm="1">
        <f t="array" ref="AF155">IF($AI155="","",IF(LEFT($AI155,2)="C|",IF($C155="","",SUMPRODUCT($AP$5:$AP$302*($AO$5:$AO$302=$A155)*$AQ$5:$AQ$302,$AS$5:$AS$302)),IF($AI155="CT",AF$13,IF(LEFT($AI155,3)="AM|",IF($C155="","",SUMPRODUCT($AP$5:$AP$302*($AN$5:$AN$302=$A155)*$AQ$5:$AQ$302,$AS$5:$AS$302)),IF(LEFT($AI155,2)="S|",IF($AG155="","",IF(INDEX($AQ$5:$AQ$302,$AH155)=1,P155,0)),IF($AI155="HDR","LFL Trans",""))))))</f>
        <v/>
      </c>
      <c r="AG155" s="8" t="str" cm="1">
        <f t="array" ref="AG155">IF($AI155="","",IF(LEFT($AI155,2)="C|","",IF($AI155="CT","",IF(LEFT($AI155,3)="AM|","",IF(LEFT($AI155,2)="S|",IF($AH155="","",IF(INDEX($AP$5:$AP$302,$AH155)=1,1,"")),IF($AI155="HDR","Show",""))))))</f>
        <v/>
      </c>
      <c r="AH155" s="8" t="str">
        <f t="shared" si="91"/>
        <v/>
      </c>
      <c r="AI155" s="8"/>
      <c r="AN155" s="8" t="str" cm="1">
        <f t="array" ref="AN155">IF($AW155="","",_xlfn.LET(_xlpm.sa,IFERROR(TRIM(INDEX('Sales and count'!$D$4:$D$300,$BF155)&amp;""),""),_xlpm.ta,IFERROR(TRIM(INDEX('TY Sales Target'!$F$5:$F$300,$BG155)&amp;""),""),IF(AND(_xlpm.sa&lt;&gt;"",LEFT(_xlpm.sa,1)&lt;&gt;"#",_xlpm.sa&lt;&gt;"0"),_xlpm.sa,IF(AND(_xlpm.ta&lt;&gt;"",LEFT(_xlpm.ta,1)&lt;&gt;"#",_xlpm.ta&lt;&gt;"0"),_xlpm.ta,IF(ISNUMBER($BG155),"Unassigned","")))))</f>
        <v/>
      </c>
      <c r="AO155" s="8" t="str" cm="1">
        <f t="array" ref="AO155">IF($AW155="","",_xlfn.LET(_xlpm.sa,IFERROR(TRIM(INDEX('Sales and count'!$C$4:$C$300,$BF155)&amp;""),""),_xlpm.ta,IFERROR(TRIM(INDEX('TY Sales Target'!$D$5:$D$300,$BG155)&amp;""),""),IF(AND(_xlpm.sa&lt;&gt;"",LEFT(_xlpm.sa,1)&lt;&gt;"#",_xlpm.sa&lt;&gt;"0"),_xlpm.sa,IF(AND(_xlpm.ta&lt;&gt;"",LEFT(_xlpm.ta,1)&lt;&gt;"#",_xlpm.ta&lt;&gt;"0"),_xlpm.ta,""))))</f>
        <v/>
      </c>
      <c r="AP155" s="8">
        <f t="shared" si="93"/>
        <v>0</v>
      </c>
      <c r="AQ155" s="8">
        <f t="shared" si="94"/>
        <v>0</v>
      </c>
      <c r="AR155" s="8" cm="1">
        <f t="array" ref="AR155">IF($BF155="",0,_xlfn.LET(_xlpm.d,IFERROR(--'Sales and count'!$G$2:$CC$2,0),SUMPRODUCT(('Sales and count'!$G$3:$CC$3="Total")*(_xlpm.d&gt;=$U$4)*(_xlpm.d&lt;=$U$5),INDEX('Sales and count'!$G$4:$CC$300,$BF155,0))))</f>
        <v>0</v>
      </c>
      <c r="AS155" s="8" cm="1">
        <f t="array" ref="AS155">IF($BF155="",0,_xlfn.LET(_xlpm.d,IFERROR(--'Sales and count'!$F$2:$CB$2,0),SUMPRODUCT(('Sales and count'!$G$3:$CC$3="Transactions")*(_xlpm.d&gt;=$U$4)*(_xlpm.d&lt;=$U$5),INDEX('Sales and count'!$G$4:$CC$300,$BF155,0))))</f>
        <v>0</v>
      </c>
      <c r="AT155" s="8" cm="1">
        <f t="array" ref="AT155">IF($AW155="",0,SUMPRODUCT((TRIM('LY Sales '!$B$5:$B$200)=$AW155)*('LY Sales '!$C$2:$AG$2&gt;=EDATE($U$4,-12))*('LY Sales '!$C$2:$AG$2&lt;=EDATE($U$5,-12)),'LY Sales '!$C$5:$AG$200))</f>
        <v>0</v>
      </c>
      <c r="AU155" s="8" cm="1">
        <f t="array" ref="AU155">IF($AW155="",0,SUMPRODUCT((TRIM('LY Transaction'!$B$5:$B$200)=$AW155)*('LY Transaction'!$C$2:$AG$2&gt;=EDATE($U$4,-12))*('LY Transaction'!$C$2:$AG$2&lt;=EDATE($U$5,-12)),'LY Transaction'!$C$5:$AG$200))</f>
        <v>0</v>
      </c>
      <c r="AV155" s="8" cm="1">
        <f t="array" ref="AV155">IF(NOT(ISNUMBER($BG155)),0,SUMPRODUCT(('TY Sales Target'!$K$2:$AO$2&gt;=$U$4)*('TY Sales Target'!$K$2:$AO$2&lt;=$U$5),INDEX('TY Sales Target'!$K$5:$AO$300,$BG155,0)))</f>
        <v>0</v>
      </c>
      <c r="AW155" s="8" t="str" cm="1">
        <f t="array" ref="AW155">IFERROR(INDEX(_xlfn.ANCHORARRAY($BR$5),ROWS($AW$5:AW155)),"")</f>
        <v/>
      </c>
      <c r="BB155" cm="1">
        <f t="array" ref="BB155">IF($AW155="",0,SUMPRODUCT((TRIM(Footfall!$B$5:$B$301)=$AW155)*(Footfall!$C$1:$BZ$1&gt;=$U$4)*(Footfall!$C$2:$BZ$2&lt;=$U$5)*(Footfall!$C$1:$BZ$1&lt;&gt;""),Footfall!$C$5:$BZ$301))</f>
        <v>0</v>
      </c>
      <c r="BC155" cm="1">
        <f t="array" ref="BC155">IF(OR($BB155&lt;=0,$BD$1="",$BF155=""),0,_xlfn.LET(_xlpm.d,IFERROR(--'Sales and count'!$F$2:$CB$2,0),SUMPRODUCT(('Sales and count'!$G$3:$CC$3="Transactions")*(_xlpm.d&gt;=$BD$1)*(_xlpm.d&lt;=$BD$2),INDEX('Sales and count'!$G$4:$CC$300,$BF155,0))))</f>
        <v>0</v>
      </c>
      <c r="BF155" t="str" cm="1">
        <f t="array" ref="BF155">IF($AW155="","",IFERROR(MATCH($AW155,TRIM('Sales and count'!$A$4:$A$300&amp;""),0),""))</f>
        <v/>
      </c>
      <c r="BG155" t="str" cm="1">
        <f t="array" ref="BG155">IF($AW155="","",IFERROR(MATCH(IFERROR(_xlfn.XLOOKUP($AW155,$BT$5:$BT$22,$BU$5:$BU$22),$AW155),TRIM('TY Sales Target'!$B$5:$B$300&amp;""),0),""))</f>
        <v/>
      </c>
      <c r="BH155" t="str" cm="1">
        <f t="array" ref="BH155">IF(ISNUMBER($BG155),_xlfn.LET(_xlpm.p,TRIM(INDEX('TY Sales Target'!$I$5:$I$300,$BG155)&amp;""),IF(_xlpm.p="","Not set",_xlpm.p)),"Not set")</f>
        <v>Not set</v>
      </c>
      <c r="BI155" cm="1">
        <f t="array" ref="BI155">IF($BF155="",0,_xlfn.LET(_xlpm.d,IFERROR(--'Sales and count'!$G$2:$CC$2,0),SUMPRODUCT(('Sales and count'!$G$3:$CC$3="Total")*(_xlpm.d&gt;=$BZ$5)*(_xlpm.d&lt;=$BZ$6),INDEX('Sales and count'!$G$4:$CC$300,$BF155,0))))</f>
        <v>0</v>
      </c>
      <c r="BJ155" cm="1">
        <f t="array" ref="BJ155">IF($AW155="",0,SUMPRODUCT((TRIM('LY Sales '!$B$5:$B$200)=$AW155)*('LY Sales '!$C$2:$AG$2&gt;=EDATE($BZ$5,-12))*('LY Sales '!$C$2:$AG$2&lt;=EDATE($BZ$6,-12)),'LY Sales '!$C$5:$AG$200))</f>
        <v>0</v>
      </c>
      <c r="BK155" cm="1">
        <f t="array" ref="BK155">IF($AW155="",0,SUMPRODUCT((TRIM('LY Sales '!$B$5:$B$200)=$AW155)*('LY Sales '!$C$2:$AG$2&gt;=EDATE($BZ$5,-12))*('LY Sales '!$C$2:$AG$2&lt;=EDATE($BZ$7,-12)),'LY Sales '!$C$5:$AG$200))</f>
        <v>0</v>
      </c>
      <c r="BL155" cm="1">
        <f t="array" ref="BL155">IF($AW155="",0,SUMPRODUCT((TRIM('LY Sales '!$B$5:$B$200)=$AW155)*('LY Sales '!$C$2:$AG$2&gt;=EDATE($BZ$5,-12))*('LY Sales '!$C$2:$AG$2&lt;=EDATE($BZ$6,-12))*('LY Sales '!$C$5:$AG$200&gt;0)))</f>
        <v>0</v>
      </c>
      <c r="BM155" cm="1">
        <f t="array" ref="BM155">IF(NOT(ISNUMBER($BG155)),0,SUMPRODUCT(('TY Sales Target'!$K$2:$AO$2&gt;=$BZ$5)*('TY Sales Target'!$K$2:$AO$2&lt;=$BZ$6),INDEX('TY Sales Target'!$K$5:$AO$300,$BG155,0)))</f>
        <v>0</v>
      </c>
      <c r="BN155" cm="1">
        <f t="array" ref="BN155">IF(NOT(ISNUMBER($BG155)),0,SUMPRODUCT(('TY Sales Target'!$K$2:$AO$2&gt;=$BZ$5)*('TY Sales Target'!$K$2:$AO$2&lt;=$BZ$7),INDEX('TY Sales Target'!$K$5:$AO$300,$BG155,0)))</f>
        <v>0</v>
      </c>
      <c r="BO155" cm="1">
        <f t="array" ref="BO155">IF($AW155="",0,IFERROR(_xlfn.SWITCH($BP155,"LY trend",$BI155*$BK155/$BJ155,"Target curve",$BI155*$BN155/$BM155,"Run rate",$BI155/$BZ$8*$BZ$9,0),0))</f>
        <v>0</v>
      </c>
      <c r="BP155" t="str">
        <f t="shared" si="92"/>
        <v/>
      </c>
      <c r="CB155" cm="1">
        <f t="array" ref="CB155">IF($AW155="",0,_xlfn.LET(_xlpm.k,IFERROR(_xlfn.XLOOKUP($AW155,$CD$6:$CD$21,$CE$6:$CE$21),$AW155),SUMPRODUCT((TRIM('Makeup '!$A$2:$A$300&amp;"")=_xlpm.k)*1,IFERROR('Makeup '!$F$2:$F$300*1,0))))</f>
        <v>0</v>
      </c>
      <c r="CF155" t="str" cm="1">
        <f t="array" ref="CF155">IF($AW155="","",_xlfn.LET(_xlpm.c,IFERROR(TRIM(INDEX('Sales and count'!$B$4:$B$300,$BF155)&amp;""),""),IF(OR(_xlpm.c="",_xlpm.c="0",LEFT(_xlpm.c,1)="#"),"Not set",_xlpm.c)))</f>
        <v/>
      </c>
      <c r="CH155" cm="1">
        <f t="array" ref="CH155">IF($AW155="",0,_xlfn.LET(_xlpm.k,IFERROR(_xlfn.XLOOKUP($AW155,$CD$6:$CD$21,$CE$6:$CE$21),$AW155),--(SUMPRODUCT((TRIM('Makeup '!$A$2:$A$300&amp;"")=_xlpm.k)*ISNUMBER('Makeup '!$F$2:$F$300))&gt;0)))</f>
        <v>0</v>
      </c>
      <c r="CI155">
        <f t="shared" si="95"/>
        <v>0</v>
      </c>
      <c r="CJ155" cm="1">
        <f t="array" ref="CJ155">IF($AW155="",0,--(SUMPRODUCT(--(TRIM(Footfall!$B$5:$B$301)=$AW155))&gt;0))</f>
        <v>0</v>
      </c>
      <c r="CK155" s="8" cm="1">
        <f t="array" ref="CK155">IF($AW155="",0,_xlfn.LET(_xlpm.r,IFERROR(MATCH(IFERROR(_xlfn.XLOOKUP($AW155,$BT$5:$BT$22,$BU$5:$BU$22),$AW155),TRIM('TY Beauty Target'!$B$5:$B$300&amp;""),0),""),IF(ISNUMBER(_xlpm.r),SUMPRODUCT(('TY Beauty Target'!$L$2:$AP$2&gt;=$U$4)*('TY Beauty Target'!$L$2:$AP$2&lt;=$U$5),INDEX('TY Beauty Target'!$L$5:$AP$300,_xlpm.r,0)),0)))</f>
        <v>0</v>
      </c>
    </row>
    <row r="156" spans="1:89" ht="15" customHeight="1" x14ac:dyDescent="0.25">
      <c r="A156" s="38" t="str">
        <f t="shared" si="79"/>
        <v/>
      </c>
      <c r="B156" s="43" t="str" cm="1">
        <f t="array" ref="B156">IF($AI156="","",IF(LEFT($AI156,2)="C|",IF($C156="","",_xlfn.TEXTJOIN(", ",TRUE,_xlfn.UNIQUE(_xlfn._xlws.FILTER($AN$5:$AN$302,($AP$5:$AP$302=1)*($AO$5:$AO$302=$A156))))),IF($AI156="CT",B$13,IF(LEFT($AI156,3)="AM|",IF($C156="","",ROWS(_xlfn.UNIQUE(_xlfn._xlws.FILTER($AO$5:$AO$302,($AP$5:$AP$302=1)*($AN$5:$AN$302=$A156))))),IF(LEFT($AI156,2)="S|",IF($AG156="","",INDEX($AO$5:$AO$302,$AH156)),IF($AI156="HDR","City",""))))))</f>
        <v/>
      </c>
      <c r="C156" s="39" t="str" cm="1">
        <f t="array" ref="C156">IF($AI156="","",IF(LEFT($AI156,2)="C|",_xlfn.LET(_xlpm.n,SUMPRODUCT($AP$5:$AP$302*($AO$5:$AO$302=$A156)),IF(_xlpm.n=0,"",_xlpm.n)),IF($AI156="CT",C$13,IF(LEFT($AI156,3)="AM|",_xlfn.LET(_xlpm.n,SUMPRODUCT($AP$5:$AP$302*($AN$5:$AN$302=$A156)),IF(_xlpm.n=0,"",_xlpm.n)),IF(LEFT($AI156,2)="S|","",IF($AI156="HDR","# Stores",""))))))</f>
        <v/>
      </c>
      <c r="D156" s="40" t="str" cm="1">
        <f t="array" ref="D156">IF($AI156="","",IF(LEFT($AI156,2)="C|",IF($C156="","",SUMPRODUCT($AP$5:$AP$302*($AO$5:$AO$302=$A156),$AR$5:$AR$302)),IF($AI156="CT",D$13,IF(LEFT($AI156,3)="AM|",IF($C156="","",SUMPRODUCT($AP$5:$AP$302*($AN$5:$AN$302=$A156),$AR$5:$AR$302)),IF(LEFT($AI156,2)="S|",IF($AG156="","",INDEX($AR$5:$AR$302,$AH156)),IF($AI156="HDR","Sales TY",""))))))</f>
        <v/>
      </c>
      <c r="E156" s="40" t="str" cm="1">
        <f t="array" ref="E156">IF($AI156="","",IF(LEFT($AI156,2)="C|",IF($C156="","",SUMPRODUCT($AP$5:$AP$302*($AO$5:$AO$302=$A156),$AT$5:$AT$302)),IF($AI156="CT",E$13,IF(LEFT($AI156,3)="AM|",IF($C156="","",SUMPRODUCT($AP$5:$AP$302*($AN$5:$AN$302=$A156),$AT$5:$AT$302)),IF(LEFT($AI156,2)="S|",IF($AG156="","",INDEX($AT$5:$AT$302,$AH156)),IF($AI156="HDR","Sales LY",""))))))</f>
        <v/>
      </c>
      <c r="F156" s="41" t="str">
        <f t="shared" si="80"/>
        <v/>
      </c>
      <c r="G156" s="41" t="str">
        <f t="shared" si="81"/>
        <v/>
      </c>
      <c r="H156" s="40" t="str" cm="1">
        <f t="array" ref="H156">IF($AI156="","",IF(LEFT($AI156,2)="C|",IF($C156="","",SUMPRODUCT($AP$5:$AP$302*($AO$5:$AO$302=$A156),$AV$5:$AV$302)),IF($AI156="CT",H$13,IF(LEFT($AI156,3)="AM|",IF($C156="","",SUMPRODUCT($AP$5:$AP$302*($AN$5:$AN$302=$A156),$AV$5:$AV$302)),IF(LEFT($AI156,2)="S|",IF($AG156="","",INDEX($AV$5:$AV$302,$AH156)),IF($AI156="HDR","Target",""))))))</f>
        <v/>
      </c>
      <c r="I156" s="41" t="str">
        <f t="shared" si="82"/>
        <v/>
      </c>
      <c r="J156" s="40" t="str">
        <f t="shared" si="83"/>
        <v/>
      </c>
      <c r="K156" s="41" t="str">
        <f t="shared" si="84"/>
        <v/>
      </c>
      <c r="L156" s="40" t="str" cm="1">
        <f t="array" ref="L156">IF($AI156="","",IF(LEFT($AI156,2)="C|",IF($C156="","",SUMPRODUCT($AP$5:$AP$302*($AO$5:$AO$302=$A156),$BN$5:$BN$302)),IF($AI156="CT",L$13,IF(LEFT($AI156,3)="AM|",IF($C156="","",SUMPRODUCT($AP$5:$AP$302*($AN$5:$AN$302=$A156),$BN$5:$BN$302)),IF(LEFT($AI156,2)="S|",IF($AG156="","",INDEX($BN$5:$BN$302,$AH156)),IF($AI156="HDR","Month Target",""))))))</f>
        <v/>
      </c>
      <c r="M156" s="40" t="str" cm="1">
        <f t="array" ref="M156">IF($AI156="","",IF(LEFT($AI156,2)="C|",IF($C156="","",SUMPRODUCT($AP$5:$AP$302*($AO$5:$AO$302=$A156),$BO$5:$BO$302)),IF($AI156="CT",M$13,IF(LEFT($AI156,3)="AM|",IF($C156="","",SUMPRODUCT($AP$5:$AP$302*($AN$5:$AN$302=$A156),$BO$5:$BO$302)),IF(LEFT($AI156,2)="S|",IF($AG156="","",INDEX($BO$5:$BO$302,$AH156)),IF($AI156="HDR","Projected Close",""))))))</f>
        <v/>
      </c>
      <c r="N156" s="41" t="str">
        <f t="shared" si="76"/>
        <v/>
      </c>
      <c r="O156" s="41" t="str" cm="1">
        <f t="array" ref="O156">IF($AI156="HDR","Proj. vs LY",IF(OR($AI156="",M156=""),"",_xlfn.LET(_xlpm.ly,IF(LEFT($AI156,2)="C|",SUMPRODUCT($AP$5:$AP$302*($AO$5:$AO$302=$A156),$BK$5:$BK$302),IF($AI156="CT",SUMPRODUCT($AP$5:$AP$302,$BK$5:$BK$302),IF(LEFT($AI156,3)="AM|",SUMPRODUCT($AP$5:$AP$302*($AN$5:$AN$302=$A156),$BK$5:$BK$302),IF(LEFT($AI156,2)="S|",INDEX($BK$5:$BK$302,$AH156),0)))),IFERROR(M156/_xlpm.ly-1,""))))</f>
        <v/>
      </c>
      <c r="P156" s="40" t="str" cm="1">
        <f t="array" ref="P156">IF($AI156="","",IF(LEFT($AI156,2)="C|",IF($C156="","",SUMPRODUCT($AP$5:$AP$302*($AO$5:$AO$302=$A156),$AS$5:$AS$302)),IF($AI156="CT",P$13,IF(LEFT($AI156,3)="AM|",IF($C156="","",SUMPRODUCT($AP$5:$AP$302*($AN$5:$AN$302=$A156),$AS$5:$AS$302)),IF(LEFT($AI156,2)="S|",IF($AG156="","",INDEX($AS$5:$AS$302,$AH156)),IF($AI156="HDR","Trans TY",""))))))</f>
        <v/>
      </c>
      <c r="Q156" s="40" t="str" cm="1">
        <f t="array" ref="Q156">IF($AI156="","",IF(LEFT($AI156,2)="C|",IF($C156="","",SUMPRODUCT($AP$5:$AP$302*($AO$5:$AO$302=$A156),$AU$5:$AU$302)),IF($AI156="CT",Q$13,IF(LEFT($AI156,3)="AM|",IF($C156="","",SUMPRODUCT($AP$5:$AP$302*($AN$5:$AN$302=$A156),$AU$5:$AU$302)),IF(LEFT($AI156,2)="S|",IF($AG156="","",INDEX($AU$5:$AU$302,$AH156)),IF($AI156="HDR","Trans LY",""))))))</f>
        <v/>
      </c>
      <c r="R156" s="41" t="str">
        <f t="shared" si="85"/>
        <v/>
      </c>
      <c r="S156" s="41" t="str">
        <f t="shared" si="86"/>
        <v/>
      </c>
      <c r="T156" s="42" t="str">
        <f t="shared" si="87"/>
        <v/>
      </c>
      <c r="U156" s="42" t="str">
        <f t="shared" si="88"/>
        <v/>
      </c>
      <c r="V156" s="41" t="str">
        <f t="shared" si="89"/>
        <v/>
      </c>
      <c r="W156" s="40" t="str" cm="1">
        <f t="array" ref="W156">IF($AI156="","",IF(LEFT($AI156,2)="C|",_xlfn.LET(_xlpm.n,SUMPRODUCT($AP$5:$AP$302*($AO$5:$AO$302=$A156),$BB$5:$BB$302),IF(_xlpm.n=0,"",_xlpm.n)),IF($AI156="CT",W$13,IF(LEFT($AI156,3)="AM|",_xlfn.LET(_xlpm.n,SUMPRODUCT($AP$5:$AP$302*($AN$5:$AN$302=$A156),$BB$5:$BB$302),IF(_xlpm.n=0,"",_xlpm.n)),IF(LEFT($AI156,2)="S|",IF($AG156="","",_xlfn.LET(_xlpm.n,INDEX($BB$5:$BB$302,$AH156),IF(_xlpm.n=0,"",_xlpm.n))),IF($AI156="HDR","Footfall",""))))))</f>
        <v/>
      </c>
      <c r="X156" s="40" t="str" cm="1">
        <f t="array" ref="X156">IF($AI156="","",IF($AI156="HDR","Trans (FF stores)",IF(W156="","",IF(LEFT($AI156,2)="C|",SUMPRODUCT($AP$5:$AP$302*($AO$5:$AO$302=$A156),$BC$5:$BC$302),IF($AI156="CT",X$13,IF(LEFT($AI156,3)="AM|",SUMPRODUCT($AP$5:$AP$302*($AN$5:$AN$302=$A156),$BC$5:$BC$302),IF(LEFT($AI156,2)="S|",INDEX($BC$5:$BC$302,$AH156),"")))))))</f>
        <v/>
      </c>
      <c r="Y156" s="41" t="str">
        <f t="shared" si="77"/>
        <v/>
      </c>
      <c r="Z156" s="40" t="str" cm="1">
        <f t="array" ref="Z156">IF($AI156="","",IF(LEFT($AI156,2)="C|",IF($C156="","",SUMPRODUCT($AP$5:$AP$302*($AO$5:$AO$302=$A156),$CB$5:$CB$302)),IF($AI156="CT",Z$13,IF(LEFT($AI156,3)="AM|",IF($C156="","",SUMPRODUCT($AP$5:$AP$302*($AN$5:$AN$302=$A156),$CB$5:$CB$302)),IF(LEFT($AI156,2)="S|",IF($AG156="","",INDEX($CB$5:$CB$302,$AH156)),IF($AI156="HDR","Makeup Sales",""))))))</f>
        <v/>
      </c>
      <c r="AA156" s="41" t="str">
        <f t="shared" si="90"/>
        <v/>
      </c>
      <c r="AB156" s="40" t="str" cm="1">
        <f t="array" ref="AB156">IF($AI156="","",IF(LEFT($AI156,2)="C|",IF($C156="","",SUMPRODUCT($AP$5:$AP$302*($AO$5:$AO$302=$A156),$CK$5:$CK$302)),IF($AI156="CT",AB$13,IF(LEFT($AI156,3)="AM|",IF($C156="","",SUMPRODUCT($AP$5:$AP$302*($AN$5:$AN$302=$A156),$CK$5:$CK$302)),IF(LEFT($AI156,2)="S|",IF($AG156="","",INDEX($CK$5:$CK$302,$AH156)),IF($AI156="HDR","Makeup Target",""))))))</f>
        <v/>
      </c>
      <c r="AC156" s="41" t="str">
        <f t="shared" si="78"/>
        <v/>
      </c>
      <c r="AD156" s="40" t="str" cm="1">
        <f t="array" ref="AD156">IF($AI156="","",IF(LEFT($AI156,2)="C|",IF($C156="","",SUMPRODUCT($AP$5:$AP$302*($AO$5:$AO$302=$A156),$CI$5:$CI$302)),IF($AI156="CT",AD$13,IF(LEFT($AI156,3)="AM|",IF($C156="","",SUMPRODUCT($AP$5:$AP$302*($AN$5:$AN$302=$A156),$CI$5:$CI$302)),IF(LEFT($AI156,2)="S|",IF($AG156="","",INDEX($CI$5:$CI$302,$AH156)),IF($AI156="HDR","Cosmetic Sales",""))))))</f>
        <v/>
      </c>
      <c r="AE156" s="8" t="str" cm="1">
        <f t="array" ref="AE156">IF($AI156="","",IF(LEFT($AI156,2)="C|",IF($C156="","",SUMPRODUCT($AP$5:$AP$302*($AO$5:$AO$302=$A156)*$AQ$5:$AQ$302,$AR$5:$AR$302)),IF($AI156="CT",AE$13,IF(LEFT($AI156,3)="AM|",IF($C156="","",SUMPRODUCT($AP$5:$AP$302*($AN$5:$AN$302=$A156)*$AQ$5:$AQ$302,$AR$5:$AR$302)),IF(LEFT($AI156,2)="S|",IF($AG156="","",IF(INDEX($AQ$5:$AQ$302,$AH156)=1,D156,0)),IF($AI156="HDR","LFL Sales",""))))))</f>
        <v/>
      </c>
      <c r="AF156" s="8" t="str" cm="1">
        <f t="array" ref="AF156">IF($AI156="","",IF(LEFT($AI156,2)="C|",IF($C156="","",SUMPRODUCT($AP$5:$AP$302*($AO$5:$AO$302=$A156)*$AQ$5:$AQ$302,$AS$5:$AS$302)),IF($AI156="CT",AF$13,IF(LEFT($AI156,3)="AM|",IF($C156="","",SUMPRODUCT($AP$5:$AP$302*($AN$5:$AN$302=$A156)*$AQ$5:$AQ$302,$AS$5:$AS$302)),IF(LEFT($AI156,2)="S|",IF($AG156="","",IF(INDEX($AQ$5:$AQ$302,$AH156)=1,P156,0)),IF($AI156="HDR","LFL Trans",""))))))</f>
        <v/>
      </c>
      <c r="AG156" s="8" t="str" cm="1">
        <f t="array" ref="AG156">IF($AI156="","",IF(LEFT($AI156,2)="C|","",IF($AI156="CT","",IF(LEFT($AI156,3)="AM|","",IF(LEFT($AI156,2)="S|",IF($AH156="","",IF(INDEX($AP$5:$AP$302,$AH156)=1,1,"")),IF($AI156="HDR","Show",""))))))</f>
        <v/>
      </c>
      <c r="AH156" s="8" t="str">
        <f t="shared" si="91"/>
        <v/>
      </c>
      <c r="AI156" s="8"/>
      <c r="AN156" s="8" t="str" cm="1">
        <f t="array" ref="AN156">IF($AW156="","",_xlfn.LET(_xlpm.sa,IFERROR(TRIM(INDEX('Sales and count'!$D$4:$D$300,$BF156)&amp;""),""),_xlpm.ta,IFERROR(TRIM(INDEX('TY Sales Target'!$F$5:$F$300,$BG156)&amp;""),""),IF(AND(_xlpm.sa&lt;&gt;"",LEFT(_xlpm.sa,1)&lt;&gt;"#",_xlpm.sa&lt;&gt;"0"),_xlpm.sa,IF(AND(_xlpm.ta&lt;&gt;"",LEFT(_xlpm.ta,1)&lt;&gt;"#",_xlpm.ta&lt;&gt;"0"),_xlpm.ta,IF(ISNUMBER($BG156),"Unassigned","")))))</f>
        <v/>
      </c>
      <c r="AO156" s="8" t="str" cm="1">
        <f t="array" ref="AO156">IF($AW156="","",_xlfn.LET(_xlpm.sa,IFERROR(TRIM(INDEX('Sales and count'!$C$4:$C$300,$BF156)&amp;""),""),_xlpm.ta,IFERROR(TRIM(INDEX('TY Sales Target'!$D$5:$D$300,$BG156)&amp;""),""),IF(AND(_xlpm.sa&lt;&gt;"",LEFT(_xlpm.sa,1)&lt;&gt;"#",_xlpm.sa&lt;&gt;"0"),_xlpm.sa,IF(AND(_xlpm.ta&lt;&gt;"",LEFT(_xlpm.ta,1)&lt;&gt;"#",_xlpm.ta&lt;&gt;"0"),_xlpm.ta,""))))</f>
        <v/>
      </c>
      <c r="AP156" s="8">
        <f t="shared" si="93"/>
        <v>0</v>
      </c>
      <c r="AQ156" s="8">
        <f t="shared" si="94"/>
        <v>0</v>
      </c>
      <c r="AR156" s="8" cm="1">
        <f t="array" ref="AR156">IF($BF156="",0,_xlfn.LET(_xlpm.d,IFERROR(--'Sales and count'!$G$2:$CC$2,0),SUMPRODUCT(('Sales and count'!$G$3:$CC$3="Total")*(_xlpm.d&gt;=$U$4)*(_xlpm.d&lt;=$U$5),INDEX('Sales and count'!$G$4:$CC$300,$BF156,0))))</f>
        <v>0</v>
      </c>
      <c r="AS156" s="8" cm="1">
        <f t="array" ref="AS156">IF($BF156="",0,_xlfn.LET(_xlpm.d,IFERROR(--'Sales and count'!$F$2:$CB$2,0),SUMPRODUCT(('Sales and count'!$G$3:$CC$3="Transactions")*(_xlpm.d&gt;=$U$4)*(_xlpm.d&lt;=$U$5),INDEX('Sales and count'!$G$4:$CC$300,$BF156,0))))</f>
        <v>0</v>
      </c>
      <c r="AT156" s="8" cm="1">
        <f t="array" ref="AT156">IF($AW156="",0,SUMPRODUCT((TRIM('LY Sales '!$B$5:$B$200)=$AW156)*('LY Sales '!$C$2:$AG$2&gt;=EDATE($U$4,-12))*('LY Sales '!$C$2:$AG$2&lt;=EDATE($U$5,-12)),'LY Sales '!$C$5:$AG$200))</f>
        <v>0</v>
      </c>
      <c r="AU156" s="8" cm="1">
        <f t="array" ref="AU156">IF($AW156="",0,SUMPRODUCT((TRIM('LY Transaction'!$B$5:$B$200)=$AW156)*('LY Transaction'!$C$2:$AG$2&gt;=EDATE($U$4,-12))*('LY Transaction'!$C$2:$AG$2&lt;=EDATE($U$5,-12)),'LY Transaction'!$C$5:$AG$200))</f>
        <v>0</v>
      </c>
      <c r="AV156" s="8" cm="1">
        <f t="array" ref="AV156">IF(NOT(ISNUMBER($BG156)),0,SUMPRODUCT(('TY Sales Target'!$K$2:$AO$2&gt;=$U$4)*('TY Sales Target'!$K$2:$AO$2&lt;=$U$5),INDEX('TY Sales Target'!$K$5:$AO$300,$BG156,0)))</f>
        <v>0</v>
      </c>
      <c r="AW156" s="8" t="str" cm="1">
        <f t="array" ref="AW156">IFERROR(INDEX(_xlfn.ANCHORARRAY($BR$5),ROWS($AW$5:AW156)),"")</f>
        <v/>
      </c>
      <c r="BB156" cm="1">
        <f t="array" ref="BB156">IF($AW156="",0,SUMPRODUCT((TRIM(Footfall!$B$5:$B$301)=$AW156)*(Footfall!$C$1:$BZ$1&gt;=$U$4)*(Footfall!$C$2:$BZ$2&lt;=$U$5)*(Footfall!$C$1:$BZ$1&lt;&gt;""),Footfall!$C$5:$BZ$301))</f>
        <v>0</v>
      </c>
      <c r="BC156" cm="1">
        <f t="array" ref="BC156">IF(OR($BB156&lt;=0,$BD$1="",$BF156=""),0,_xlfn.LET(_xlpm.d,IFERROR(--'Sales and count'!$F$2:$CB$2,0),SUMPRODUCT(('Sales and count'!$G$3:$CC$3="Transactions")*(_xlpm.d&gt;=$BD$1)*(_xlpm.d&lt;=$BD$2),INDEX('Sales and count'!$G$4:$CC$300,$BF156,0))))</f>
        <v>0</v>
      </c>
      <c r="BF156" t="str" cm="1">
        <f t="array" ref="BF156">IF($AW156="","",IFERROR(MATCH($AW156,TRIM('Sales and count'!$A$4:$A$300&amp;""),0),""))</f>
        <v/>
      </c>
      <c r="BG156" t="str" cm="1">
        <f t="array" ref="BG156">IF($AW156="","",IFERROR(MATCH(IFERROR(_xlfn.XLOOKUP($AW156,$BT$5:$BT$22,$BU$5:$BU$22),$AW156),TRIM('TY Sales Target'!$B$5:$B$300&amp;""),0),""))</f>
        <v/>
      </c>
      <c r="BH156" t="str" cm="1">
        <f t="array" ref="BH156">IF(ISNUMBER($BG156),_xlfn.LET(_xlpm.p,TRIM(INDEX('TY Sales Target'!$I$5:$I$300,$BG156)&amp;""),IF(_xlpm.p="","Not set",_xlpm.p)),"Not set")</f>
        <v>Not set</v>
      </c>
      <c r="BI156" cm="1">
        <f t="array" ref="BI156">IF($BF156="",0,_xlfn.LET(_xlpm.d,IFERROR(--'Sales and count'!$G$2:$CC$2,0),SUMPRODUCT(('Sales and count'!$G$3:$CC$3="Total")*(_xlpm.d&gt;=$BZ$5)*(_xlpm.d&lt;=$BZ$6),INDEX('Sales and count'!$G$4:$CC$300,$BF156,0))))</f>
        <v>0</v>
      </c>
      <c r="BJ156" cm="1">
        <f t="array" ref="BJ156">IF($AW156="",0,SUMPRODUCT((TRIM('LY Sales '!$B$5:$B$200)=$AW156)*('LY Sales '!$C$2:$AG$2&gt;=EDATE($BZ$5,-12))*('LY Sales '!$C$2:$AG$2&lt;=EDATE($BZ$6,-12)),'LY Sales '!$C$5:$AG$200))</f>
        <v>0</v>
      </c>
      <c r="BK156" cm="1">
        <f t="array" ref="BK156">IF($AW156="",0,SUMPRODUCT((TRIM('LY Sales '!$B$5:$B$200)=$AW156)*('LY Sales '!$C$2:$AG$2&gt;=EDATE($BZ$5,-12))*('LY Sales '!$C$2:$AG$2&lt;=EDATE($BZ$7,-12)),'LY Sales '!$C$5:$AG$200))</f>
        <v>0</v>
      </c>
      <c r="BL156" cm="1">
        <f t="array" ref="BL156">IF($AW156="",0,SUMPRODUCT((TRIM('LY Sales '!$B$5:$B$200)=$AW156)*('LY Sales '!$C$2:$AG$2&gt;=EDATE($BZ$5,-12))*('LY Sales '!$C$2:$AG$2&lt;=EDATE($BZ$6,-12))*('LY Sales '!$C$5:$AG$200&gt;0)))</f>
        <v>0</v>
      </c>
      <c r="BM156" cm="1">
        <f t="array" ref="BM156">IF(NOT(ISNUMBER($BG156)),0,SUMPRODUCT(('TY Sales Target'!$K$2:$AO$2&gt;=$BZ$5)*('TY Sales Target'!$K$2:$AO$2&lt;=$BZ$6),INDEX('TY Sales Target'!$K$5:$AO$300,$BG156,0)))</f>
        <v>0</v>
      </c>
      <c r="BN156" cm="1">
        <f t="array" ref="BN156">IF(NOT(ISNUMBER($BG156)),0,SUMPRODUCT(('TY Sales Target'!$K$2:$AO$2&gt;=$BZ$5)*('TY Sales Target'!$K$2:$AO$2&lt;=$BZ$7),INDEX('TY Sales Target'!$K$5:$AO$300,$BG156,0)))</f>
        <v>0</v>
      </c>
      <c r="BO156" cm="1">
        <f t="array" ref="BO156">IF($AW156="",0,IFERROR(_xlfn.SWITCH($BP156,"LY trend",$BI156*$BK156/$BJ156,"Target curve",$BI156*$BN156/$BM156,"Run rate",$BI156/$BZ$8*$BZ$9,0),0))</f>
        <v>0</v>
      </c>
      <c r="BP156" t="str">
        <f t="shared" si="92"/>
        <v/>
      </c>
      <c r="CB156" cm="1">
        <f t="array" ref="CB156">IF($AW156="",0,_xlfn.LET(_xlpm.k,IFERROR(_xlfn.XLOOKUP($AW156,$CD$6:$CD$21,$CE$6:$CE$21),$AW156),SUMPRODUCT((TRIM('Makeup '!$A$2:$A$300&amp;"")=_xlpm.k)*1,IFERROR('Makeup '!$F$2:$F$300*1,0))))</f>
        <v>0</v>
      </c>
      <c r="CF156" t="str" cm="1">
        <f t="array" ref="CF156">IF($AW156="","",_xlfn.LET(_xlpm.c,IFERROR(TRIM(INDEX('Sales and count'!$B$4:$B$300,$BF156)&amp;""),""),IF(OR(_xlpm.c="",_xlpm.c="0",LEFT(_xlpm.c,1)="#"),"Not set",_xlpm.c)))</f>
        <v/>
      </c>
      <c r="CH156" cm="1">
        <f t="array" ref="CH156">IF($AW156="",0,_xlfn.LET(_xlpm.k,IFERROR(_xlfn.XLOOKUP($AW156,$CD$6:$CD$21,$CE$6:$CE$21),$AW156),--(SUMPRODUCT((TRIM('Makeup '!$A$2:$A$300&amp;"")=_xlpm.k)*ISNUMBER('Makeup '!$F$2:$F$300))&gt;0)))</f>
        <v>0</v>
      </c>
      <c r="CI156">
        <f t="shared" si="95"/>
        <v>0</v>
      </c>
      <c r="CJ156" cm="1">
        <f t="array" ref="CJ156">IF($AW156="",0,--(SUMPRODUCT(--(TRIM(Footfall!$B$5:$B$301)=$AW156))&gt;0))</f>
        <v>0</v>
      </c>
      <c r="CK156" s="8" cm="1">
        <f t="array" ref="CK156">IF($AW156="",0,_xlfn.LET(_xlpm.r,IFERROR(MATCH(IFERROR(_xlfn.XLOOKUP($AW156,$BT$5:$BT$22,$BU$5:$BU$22),$AW156),TRIM('TY Beauty Target'!$B$5:$B$300&amp;""),0),""),IF(ISNUMBER(_xlpm.r),SUMPRODUCT(('TY Beauty Target'!$L$2:$AP$2&gt;=$U$4)*('TY Beauty Target'!$L$2:$AP$2&lt;=$U$5),INDEX('TY Beauty Target'!$L$5:$AP$300,_xlpm.r,0)),0)))</f>
        <v>0</v>
      </c>
    </row>
    <row r="157" spans="1:89" ht="15" customHeight="1" x14ac:dyDescent="0.25">
      <c r="A157" s="38" t="str">
        <f t="shared" si="79"/>
        <v/>
      </c>
      <c r="B157" s="43" t="str" cm="1">
        <f t="array" ref="B157">IF($AI157="","",IF(LEFT($AI157,2)="C|",IF($C157="","",_xlfn.TEXTJOIN(", ",TRUE,_xlfn.UNIQUE(_xlfn._xlws.FILTER($AN$5:$AN$302,($AP$5:$AP$302=1)*($AO$5:$AO$302=$A157))))),IF($AI157="CT",B$13,IF(LEFT($AI157,3)="AM|",IF($C157="","",ROWS(_xlfn.UNIQUE(_xlfn._xlws.FILTER($AO$5:$AO$302,($AP$5:$AP$302=1)*($AN$5:$AN$302=$A157))))),IF(LEFT($AI157,2)="S|",IF($AG157="","",INDEX($AO$5:$AO$302,$AH157)),IF($AI157="HDR","City",""))))))</f>
        <v/>
      </c>
      <c r="C157" s="39" t="str" cm="1">
        <f t="array" ref="C157">IF($AI157="","",IF(LEFT($AI157,2)="C|",_xlfn.LET(_xlpm.n,SUMPRODUCT($AP$5:$AP$302*($AO$5:$AO$302=$A157)),IF(_xlpm.n=0,"",_xlpm.n)),IF($AI157="CT",C$13,IF(LEFT($AI157,3)="AM|",_xlfn.LET(_xlpm.n,SUMPRODUCT($AP$5:$AP$302*($AN$5:$AN$302=$A157)),IF(_xlpm.n=0,"",_xlpm.n)),IF(LEFT($AI157,2)="S|","",IF($AI157="HDR","# Stores",""))))))</f>
        <v/>
      </c>
      <c r="D157" s="40" t="str" cm="1">
        <f t="array" ref="D157">IF($AI157="","",IF(LEFT($AI157,2)="C|",IF($C157="","",SUMPRODUCT($AP$5:$AP$302*($AO$5:$AO$302=$A157),$AR$5:$AR$302)),IF($AI157="CT",D$13,IF(LEFT($AI157,3)="AM|",IF($C157="","",SUMPRODUCT($AP$5:$AP$302*($AN$5:$AN$302=$A157),$AR$5:$AR$302)),IF(LEFT($AI157,2)="S|",IF($AG157="","",INDEX($AR$5:$AR$302,$AH157)),IF($AI157="HDR","Sales TY",""))))))</f>
        <v/>
      </c>
      <c r="E157" s="40" t="str" cm="1">
        <f t="array" ref="E157">IF($AI157="","",IF(LEFT($AI157,2)="C|",IF($C157="","",SUMPRODUCT($AP$5:$AP$302*($AO$5:$AO$302=$A157),$AT$5:$AT$302)),IF($AI157="CT",E$13,IF(LEFT($AI157,3)="AM|",IF($C157="","",SUMPRODUCT($AP$5:$AP$302*($AN$5:$AN$302=$A157),$AT$5:$AT$302)),IF(LEFT($AI157,2)="S|",IF($AG157="","",INDEX($AT$5:$AT$302,$AH157)),IF($AI157="HDR","Sales LY",""))))))</f>
        <v/>
      </c>
      <c r="F157" s="41" t="str">
        <f t="shared" si="80"/>
        <v/>
      </c>
      <c r="G157" s="41" t="str">
        <f t="shared" si="81"/>
        <v/>
      </c>
      <c r="H157" s="40" t="str" cm="1">
        <f t="array" ref="H157">IF($AI157="","",IF(LEFT($AI157,2)="C|",IF($C157="","",SUMPRODUCT($AP$5:$AP$302*($AO$5:$AO$302=$A157),$AV$5:$AV$302)),IF($AI157="CT",H$13,IF(LEFT($AI157,3)="AM|",IF($C157="","",SUMPRODUCT($AP$5:$AP$302*($AN$5:$AN$302=$A157),$AV$5:$AV$302)),IF(LEFT($AI157,2)="S|",IF($AG157="","",INDEX($AV$5:$AV$302,$AH157)),IF($AI157="HDR","Target",""))))))</f>
        <v/>
      </c>
      <c r="I157" s="41" t="str">
        <f t="shared" si="82"/>
        <v/>
      </c>
      <c r="J157" s="40" t="str">
        <f t="shared" si="83"/>
        <v/>
      </c>
      <c r="K157" s="41" t="str">
        <f t="shared" si="84"/>
        <v/>
      </c>
      <c r="L157" s="40" t="str" cm="1">
        <f t="array" ref="L157">IF($AI157="","",IF(LEFT($AI157,2)="C|",IF($C157="","",SUMPRODUCT($AP$5:$AP$302*($AO$5:$AO$302=$A157),$BN$5:$BN$302)),IF($AI157="CT",L$13,IF(LEFT($AI157,3)="AM|",IF($C157="","",SUMPRODUCT($AP$5:$AP$302*($AN$5:$AN$302=$A157),$BN$5:$BN$302)),IF(LEFT($AI157,2)="S|",IF($AG157="","",INDEX($BN$5:$BN$302,$AH157)),IF($AI157="HDR","Month Target",""))))))</f>
        <v/>
      </c>
      <c r="M157" s="40" t="str" cm="1">
        <f t="array" ref="M157">IF($AI157="","",IF(LEFT($AI157,2)="C|",IF($C157="","",SUMPRODUCT($AP$5:$AP$302*($AO$5:$AO$302=$A157),$BO$5:$BO$302)),IF($AI157="CT",M$13,IF(LEFT($AI157,3)="AM|",IF($C157="","",SUMPRODUCT($AP$5:$AP$302*($AN$5:$AN$302=$A157),$BO$5:$BO$302)),IF(LEFT($AI157,2)="S|",IF($AG157="","",INDEX($BO$5:$BO$302,$AH157)),IF($AI157="HDR","Projected Close",""))))))</f>
        <v/>
      </c>
      <c r="N157" s="41" t="str">
        <f t="shared" si="76"/>
        <v/>
      </c>
      <c r="O157" s="41" t="str" cm="1">
        <f t="array" ref="O157">IF($AI157="HDR","Proj. vs LY",IF(OR($AI157="",M157=""),"",_xlfn.LET(_xlpm.ly,IF(LEFT($AI157,2)="C|",SUMPRODUCT($AP$5:$AP$302*($AO$5:$AO$302=$A157),$BK$5:$BK$302),IF($AI157="CT",SUMPRODUCT($AP$5:$AP$302,$BK$5:$BK$302),IF(LEFT($AI157,3)="AM|",SUMPRODUCT($AP$5:$AP$302*($AN$5:$AN$302=$A157),$BK$5:$BK$302),IF(LEFT($AI157,2)="S|",INDEX($BK$5:$BK$302,$AH157),0)))),IFERROR(M157/_xlpm.ly-1,""))))</f>
        <v/>
      </c>
      <c r="P157" s="40" t="str" cm="1">
        <f t="array" ref="P157">IF($AI157="","",IF(LEFT($AI157,2)="C|",IF($C157="","",SUMPRODUCT($AP$5:$AP$302*($AO$5:$AO$302=$A157),$AS$5:$AS$302)),IF($AI157="CT",P$13,IF(LEFT($AI157,3)="AM|",IF($C157="","",SUMPRODUCT($AP$5:$AP$302*($AN$5:$AN$302=$A157),$AS$5:$AS$302)),IF(LEFT($AI157,2)="S|",IF($AG157="","",INDEX($AS$5:$AS$302,$AH157)),IF($AI157="HDR","Trans TY",""))))))</f>
        <v/>
      </c>
      <c r="Q157" s="40" t="str" cm="1">
        <f t="array" ref="Q157">IF($AI157="","",IF(LEFT($AI157,2)="C|",IF($C157="","",SUMPRODUCT($AP$5:$AP$302*($AO$5:$AO$302=$A157),$AU$5:$AU$302)),IF($AI157="CT",Q$13,IF(LEFT($AI157,3)="AM|",IF($C157="","",SUMPRODUCT($AP$5:$AP$302*($AN$5:$AN$302=$A157),$AU$5:$AU$302)),IF(LEFT($AI157,2)="S|",IF($AG157="","",INDEX($AU$5:$AU$302,$AH157)),IF($AI157="HDR","Trans LY",""))))))</f>
        <v/>
      </c>
      <c r="R157" s="41" t="str">
        <f t="shared" si="85"/>
        <v/>
      </c>
      <c r="S157" s="41" t="str">
        <f t="shared" si="86"/>
        <v/>
      </c>
      <c r="T157" s="42" t="str">
        <f t="shared" si="87"/>
        <v/>
      </c>
      <c r="U157" s="42" t="str">
        <f t="shared" si="88"/>
        <v/>
      </c>
      <c r="V157" s="41" t="str">
        <f t="shared" si="89"/>
        <v/>
      </c>
      <c r="W157" s="40" t="str" cm="1">
        <f t="array" ref="W157">IF($AI157="","",IF(LEFT($AI157,2)="C|",_xlfn.LET(_xlpm.n,SUMPRODUCT($AP$5:$AP$302*($AO$5:$AO$302=$A157),$BB$5:$BB$302),IF(_xlpm.n=0,"",_xlpm.n)),IF($AI157="CT",W$13,IF(LEFT($AI157,3)="AM|",_xlfn.LET(_xlpm.n,SUMPRODUCT($AP$5:$AP$302*($AN$5:$AN$302=$A157),$BB$5:$BB$302),IF(_xlpm.n=0,"",_xlpm.n)),IF(LEFT($AI157,2)="S|",IF($AG157="","",_xlfn.LET(_xlpm.n,INDEX($BB$5:$BB$302,$AH157),IF(_xlpm.n=0,"",_xlpm.n))),IF($AI157="HDR","Footfall",""))))))</f>
        <v/>
      </c>
      <c r="X157" s="40" t="str" cm="1">
        <f t="array" ref="X157">IF($AI157="","",IF($AI157="HDR","Trans (FF stores)",IF(W157="","",IF(LEFT($AI157,2)="C|",SUMPRODUCT($AP$5:$AP$302*($AO$5:$AO$302=$A157),$BC$5:$BC$302),IF($AI157="CT",X$13,IF(LEFT($AI157,3)="AM|",SUMPRODUCT($AP$5:$AP$302*($AN$5:$AN$302=$A157),$BC$5:$BC$302),IF(LEFT($AI157,2)="S|",INDEX($BC$5:$BC$302,$AH157),"")))))))</f>
        <v/>
      </c>
      <c r="Y157" s="41" t="str">
        <f t="shared" si="77"/>
        <v/>
      </c>
      <c r="Z157" s="40" t="str" cm="1">
        <f t="array" ref="Z157">IF($AI157="","",IF(LEFT($AI157,2)="C|",IF($C157="","",SUMPRODUCT($AP$5:$AP$302*($AO$5:$AO$302=$A157),$CB$5:$CB$302)),IF($AI157="CT",Z$13,IF(LEFT($AI157,3)="AM|",IF($C157="","",SUMPRODUCT($AP$5:$AP$302*($AN$5:$AN$302=$A157),$CB$5:$CB$302)),IF(LEFT($AI157,2)="S|",IF($AG157="","",INDEX($CB$5:$CB$302,$AH157)),IF($AI157="HDR","Makeup Sales",""))))))</f>
        <v/>
      </c>
      <c r="AA157" s="41" t="str">
        <f t="shared" si="90"/>
        <v/>
      </c>
      <c r="AB157" s="40" t="str" cm="1">
        <f t="array" ref="AB157">IF($AI157="","",IF(LEFT($AI157,2)="C|",IF($C157="","",SUMPRODUCT($AP$5:$AP$302*($AO$5:$AO$302=$A157),$CK$5:$CK$302)),IF($AI157="CT",AB$13,IF(LEFT($AI157,3)="AM|",IF($C157="","",SUMPRODUCT($AP$5:$AP$302*($AN$5:$AN$302=$A157),$CK$5:$CK$302)),IF(LEFT($AI157,2)="S|",IF($AG157="","",INDEX($CK$5:$CK$302,$AH157)),IF($AI157="HDR","Makeup Target",""))))))</f>
        <v/>
      </c>
      <c r="AC157" s="41" t="str">
        <f t="shared" si="78"/>
        <v/>
      </c>
      <c r="AD157" s="40" t="str" cm="1">
        <f t="array" ref="AD157">IF($AI157="","",IF(LEFT($AI157,2)="C|",IF($C157="","",SUMPRODUCT($AP$5:$AP$302*($AO$5:$AO$302=$A157),$CI$5:$CI$302)),IF($AI157="CT",AD$13,IF(LEFT($AI157,3)="AM|",IF($C157="","",SUMPRODUCT($AP$5:$AP$302*($AN$5:$AN$302=$A157),$CI$5:$CI$302)),IF(LEFT($AI157,2)="S|",IF($AG157="","",INDEX($CI$5:$CI$302,$AH157)),IF($AI157="HDR","Cosmetic Sales",""))))))</f>
        <v/>
      </c>
      <c r="AE157" s="8" t="str" cm="1">
        <f t="array" ref="AE157">IF($AI157="","",IF(LEFT($AI157,2)="C|",IF($C157="","",SUMPRODUCT($AP$5:$AP$302*($AO$5:$AO$302=$A157)*$AQ$5:$AQ$302,$AR$5:$AR$302)),IF($AI157="CT",AE$13,IF(LEFT($AI157,3)="AM|",IF($C157="","",SUMPRODUCT($AP$5:$AP$302*($AN$5:$AN$302=$A157)*$AQ$5:$AQ$302,$AR$5:$AR$302)),IF(LEFT($AI157,2)="S|",IF($AG157="","",IF(INDEX($AQ$5:$AQ$302,$AH157)=1,D157,0)),IF($AI157="HDR","LFL Sales",""))))))</f>
        <v/>
      </c>
      <c r="AF157" s="8" t="str" cm="1">
        <f t="array" ref="AF157">IF($AI157="","",IF(LEFT($AI157,2)="C|",IF($C157="","",SUMPRODUCT($AP$5:$AP$302*($AO$5:$AO$302=$A157)*$AQ$5:$AQ$302,$AS$5:$AS$302)),IF($AI157="CT",AF$13,IF(LEFT($AI157,3)="AM|",IF($C157="","",SUMPRODUCT($AP$5:$AP$302*($AN$5:$AN$302=$A157)*$AQ$5:$AQ$302,$AS$5:$AS$302)),IF(LEFT($AI157,2)="S|",IF($AG157="","",IF(INDEX($AQ$5:$AQ$302,$AH157)=1,P157,0)),IF($AI157="HDR","LFL Trans",""))))))</f>
        <v/>
      </c>
      <c r="AG157" s="8" t="str" cm="1">
        <f t="array" ref="AG157">IF($AI157="","",IF(LEFT($AI157,2)="C|","",IF($AI157="CT","",IF(LEFT($AI157,3)="AM|","",IF(LEFT($AI157,2)="S|",IF($AH157="","",IF(INDEX($AP$5:$AP$302,$AH157)=1,1,"")),IF($AI157="HDR","Show",""))))))</f>
        <v/>
      </c>
      <c r="AH157" s="8" t="str">
        <f t="shared" si="91"/>
        <v/>
      </c>
      <c r="AI157" s="8"/>
      <c r="AN157" s="8" t="str" cm="1">
        <f t="array" ref="AN157">IF($AW157="","",_xlfn.LET(_xlpm.sa,IFERROR(TRIM(INDEX('Sales and count'!$D$4:$D$300,$BF157)&amp;""),""),_xlpm.ta,IFERROR(TRIM(INDEX('TY Sales Target'!$F$5:$F$300,$BG157)&amp;""),""),IF(AND(_xlpm.sa&lt;&gt;"",LEFT(_xlpm.sa,1)&lt;&gt;"#",_xlpm.sa&lt;&gt;"0"),_xlpm.sa,IF(AND(_xlpm.ta&lt;&gt;"",LEFT(_xlpm.ta,1)&lt;&gt;"#",_xlpm.ta&lt;&gt;"0"),_xlpm.ta,IF(ISNUMBER($BG157),"Unassigned","")))))</f>
        <v/>
      </c>
      <c r="AO157" s="8" t="str" cm="1">
        <f t="array" ref="AO157">IF($AW157="","",_xlfn.LET(_xlpm.sa,IFERROR(TRIM(INDEX('Sales and count'!$C$4:$C$300,$BF157)&amp;""),""),_xlpm.ta,IFERROR(TRIM(INDEX('TY Sales Target'!$D$5:$D$300,$BG157)&amp;""),""),IF(AND(_xlpm.sa&lt;&gt;"",LEFT(_xlpm.sa,1)&lt;&gt;"#",_xlpm.sa&lt;&gt;"0"),_xlpm.sa,IF(AND(_xlpm.ta&lt;&gt;"",LEFT(_xlpm.ta,1)&lt;&gt;"#",_xlpm.ta&lt;&gt;"0"),_xlpm.ta,""))))</f>
        <v/>
      </c>
      <c r="AP157" s="8">
        <f t="shared" si="93"/>
        <v>0</v>
      </c>
      <c r="AQ157" s="8">
        <f t="shared" si="94"/>
        <v>0</v>
      </c>
      <c r="AR157" s="8" cm="1">
        <f t="array" ref="AR157">IF($BF157="",0,_xlfn.LET(_xlpm.d,IFERROR(--'Sales and count'!$G$2:$CC$2,0),SUMPRODUCT(('Sales and count'!$G$3:$CC$3="Total")*(_xlpm.d&gt;=$U$4)*(_xlpm.d&lt;=$U$5),INDEX('Sales and count'!$G$4:$CC$300,$BF157,0))))</f>
        <v>0</v>
      </c>
      <c r="AS157" s="8" cm="1">
        <f t="array" ref="AS157">IF($BF157="",0,_xlfn.LET(_xlpm.d,IFERROR(--'Sales and count'!$F$2:$CB$2,0),SUMPRODUCT(('Sales and count'!$G$3:$CC$3="Transactions")*(_xlpm.d&gt;=$U$4)*(_xlpm.d&lt;=$U$5),INDEX('Sales and count'!$G$4:$CC$300,$BF157,0))))</f>
        <v>0</v>
      </c>
      <c r="AT157" s="8" cm="1">
        <f t="array" ref="AT157">IF($AW157="",0,SUMPRODUCT((TRIM('LY Sales '!$B$5:$B$200)=$AW157)*('LY Sales '!$C$2:$AG$2&gt;=EDATE($U$4,-12))*('LY Sales '!$C$2:$AG$2&lt;=EDATE($U$5,-12)),'LY Sales '!$C$5:$AG$200))</f>
        <v>0</v>
      </c>
      <c r="AU157" s="8" cm="1">
        <f t="array" ref="AU157">IF($AW157="",0,SUMPRODUCT((TRIM('LY Transaction'!$B$5:$B$200)=$AW157)*('LY Transaction'!$C$2:$AG$2&gt;=EDATE($U$4,-12))*('LY Transaction'!$C$2:$AG$2&lt;=EDATE($U$5,-12)),'LY Transaction'!$C$5:$AG$200))</f>
        <v>0</v>
      </c>
      <c r="AV157" s="8" cm="1">
        <f t="array" ref="AV157">IF(NOT(ISNUMBER($BG157)),0,SUMPRODUCT(('TY Sales Target'!$K$2:$AO$2&gt;=$U$4)*('TY Sales Target'!$K$2:$AO$2&lt;=$U$5),INDEX('TY Sales Target'!$K$5:$AO$300,$BG157,0)))</f>
        <v>0</v>
      </c>
      <c r="AW157" s="8" t="str" cm="1">
        <f t="array" ref="AW157">IFERROR(INDEX(_xlfn.ANCHORARRAY($BR$5),ROWS($AW$5:AW157)),"")</f>
        <v/>
      </c>
      <c r="BB157" cm="1">
        <f t="array" ref="BB157">IF($AW157="",0,SUMPRODUCT((TRIM(Footfall!$B$5:$B$301)=$AW157)*(Footfall!$C$1:$BZ$1&gt;=$U$4)*(Footfall!$C$2:$BZ$2&lt;=$U$5)*(Footfall!$C$1:$BZ$1&lt;&gt;""),Footfall!$C$5:$BZ$301))</f>
        <v>0</v>
      </c>
      <c r="BC157" cm="1">
        <f t="array" ref="BC157">IF(OR($BB157&lt;=0,$BD$1="",$BF157=""),0,_xlfn.LET(_xlpm.d,IFERROR(--'Sales and count'!$F$2:$CB$2,0),SUMPRODUCT(('Sales and count'!$G$3:$CC$3="Transactions")*(_xlpm.d&gt;=$BD$1)*(_xlpm.d&lt;=$BD$2),INDEX('Sales and count'!$G$4:$CC$300,$BF157,0))))</f>
        <v>0</v>
      </c>
      <c r="BF157" t="str" cm="1">
        <f t="array" ref="BF157">IF($AW157="","",IFERROR(MATCH($AW157,TRIM('Sales and count'!$A$4:$A$300&amp;""),0),""))</f>
        <v/>
      </c>
      <c r="BG157" t="str" cm="1">
        <f t="array" ref="BG157">IF($AW157="","",IFERROR(MATCH(IFERROR(_xlfn.XLOOKUP($AW157,$BT$5:$BT$22,$BU$5:$BU$22),$AW157),TRIM('TY Sales Target'!$B$5:$B$300&amp;""),0),""))</f>
        <v/>
      </c>
      <c r="BH157" t="str" cm="1">
        <f t="array" ref="BH157">IF(ISNUMBER($BG157),_xlfn.LET(_xlpm.p,TRIM(INDEX('TY Sales Target'!$I$5:$I$300,$BG157)&amp;""),IF(_xlpm.p="","Not set",_xlpm.p)),"Not set")</f>
        <v>Not set</v>
      </c>
      <c r="BI157" cm="1">
        <f t="array" ref="BI157">IF($BF157="",0,_xlfn.LET(_xlpm.d,IFERROR(--'Sales and count'!$G$2:$CC$2,0),SUMPRODUCT(('Sales and count'!$G$3:$CC$3="Total")*(_xlpm.d&gt;=$BZ$5)*(_xlpm.d&lt;=$BZ$6),INDEX('Sales and count'!$G$4:$CC$300,$BF157,0))))</f>
        <v>0</v>
      </c>
      <c r="BJ157" cm="1">
        <f t="array" ref="BJ157">IF($AW157="",0,SUMPRODUCT((TRIM('LY Sales '!$B$5:$B$200)=$AW157)*('LY Sales '!$C$2:$AG$2&gt;=EDATE($BZ$5,-12))*('LY Sales '!$C$2:$AG$2&lt;=EDATE($BZ$6,-12)),'LY Sales '!$C$5:$AG$200))</f>
        <v>0</v>
      </c>
      <c r="BK157" cm="1">
        <f t="array" ref="BK157">IF($AW157="",0,SUMPRODUCT((TRIM('LY Sales '!$B$5:$B$200)=$AW157)*('LY Sales '!$C$2:$AG$2&gt;=EDATE($BZ$5,-12))*('LY Sales '!$C$2:$AG$2&lt;=EDATE($BZ$7,-12)),'LY Sales '!$C$5:$AG$200))</f>
        <v>0</v>
      </c>
      <c r="BL157" cm="1">
        <f t="array" ref="BL157">IF($AW157="",0,SUMPRODUCT((TRIM('LY Sales '!$B$5:$B$200)=$AW157)*('LY Sales '!$C$2:$AG$2&gt;=EDATE($BZ$5,-12))*('LY Sales '!$C$2:$AG$2&lt;=EDATE($BZ$6,-12))*('LY Sales '!$C$5:$AG$200&gt;0)))</f>
        <v>0</v>
      </c>
      <c r="BM157" cm="1">
        <f t="array" ref="BM157">IF(NOT(ISNUMBER($BG157)),0,SUMPRODUCT(('TY Sales Target'!$K$2:$AO$2&gt;=$BZ$5)*('TY Sales Target'!$K$2:$AO$2&lt;=$BZ$6),INDEX('TY Sales Target'!$K$5:$AO$300,$BG157,0)))</f>
        <v>0</v>
      </c>
      <c r="BN157" cm="1">
        <f t="array" ref="BN157">IF(NOT(ISNUMBER($BG157)),0,SUMPRODUCT(('TY Sales Target'!$K$2:$AO$2&gt;=$BZ$5)*('TY Sales Target'!$K$2:$AO$2&lt;=$BZ$7),INDEX('TY Sales Target'!$K$5:$AO$300,$BG157,0)))</f>
        <v>0</v>
      </c>
      <c r="BO157" cm="1">
        <f t="array" ref="BO157">IF($AW157="",0,IFERROR(_xlfn.SWITCH($BP157,"LY trend",$BI157*$BK157/$BJ157,"Target curve",$BI157*$BN157/$BM157,"Run rate",$BI157/$BZ$8*$BZ$9,0),0))</f>
        <v>0</v>
      </c>
      <c r="BP157" t="str">
        <f t="shared" si="92"/>
        <v/>
      </c>
      <c r="CB157" cm="1">
        <f t="array" ref="CB157">IF($AW157="",0,_xlfn.LET(_xlpm.k,IFERROR(_xlfn.XLOOKUP($AW157,$CD$6:$CD$21,$CE$6:$CE$21),$AW157),SUMPRODUCT((TRIM('Makeup '!$A$2:$A$300&amp;"")=_xlpm.k)*1,IFERROR('Makeup '!$F$2:$F$300*1,0))))</f>
        <v>0</v>
      </c>
      <c r="CF157" t="str" cm="1">
        <f t="array" ref="CF157">IF($AW157="","",_xlfn.LET(_xlpm.c,IFERROR(TRIM(INDEX('Sales and count'!$B$4:$B$300,$BF157)&amp;""),""),IF(OR(_xlpm.c="",_xlpm.c="0",LEFT(_xlpm.c,1)="#"),"Not set",_xlpm.c)))</f>
        <v/>
      </c>
      <c r="CH157" cm="1">
        <f t="array" ref="CH157">IF($AW157="",0,_xlfn.LET(_xlpm.k,IFERROR(_xlfn.XLOOKUP($AW157,$CD$6:$CD$21,$CE$6:$CE$21),$AW157),--(SUMPRODUCT((TRIM('Makeup '!$A$2:$A$300&amp;"")=_xlpm.k)*ISNUMBER('Makeup '!$F$2:$F$300))&gt;0)))</f>
        <v>0</v>
      </c>
      <c r="CI157">
        <f t="shared" si="95"/>
        <v>0</v>
      </c>
      <c r="CJ157" cm="1">
        <f t="array" ref="CJ157">IF($AW157="",0,--(SUMPRODUCT(--(TRIM(Footfall!$B$5:$B$301)=$AW157))&gt;0))</f>
        <v>0</v>
      </c>
      <c r="CK157" s="8" cm="1">
        <f t="array" ref="CK157">IF($AW157="",0,_xlfn.LET(_xlpm.r,IFERROR(MATCH(IFERROR(_xlfn.XLOOKUP($AW157,$BT$5:$BT$22,$BU$5:$BU$22),$AW157),TRIM('TY Beauty Target'!$B$5:$B$300&amp;""),0),""),IF(ISNUMBER(_xlpm.r),SUMPRODUCT(('TY Beauty Target'!$L$2:$AP$2&gt;=$U$4)*('TY Beauty Target'!$L$2:$AP$2&lt;=$U$5),INDEX('TY Beauty Target'!$L$5:$AP$300,_xlpm.r,0)),0)))</f>
        <v>0</v>
      </c>
    </row>
    <row r="158" spans="1:89" ht="15" customHeight="1" x14ac:dyDescent="0.25">
      <c r="A158" s="38" t="str">
        <f t="shared" ref="A158:A189" si="96">IF($AI158="","",IF(LEFT($AI158,2)="C|",MID($AI158,3,200),IF($AI158="CT","Total (selection)",IF(LEFT($AI158,3)="AM|",MID($AI158,4,200),IF(LEFT($AI158,2)="S|",MID($AI158,3,200),IF($AI158="HDR","Name",IF($AI158="SEC","AREA MANAGER → STORES","")))))))</f>
        <v/>
      </c>
      <c r="B158" s="43" t="str" cm="1">
        <f t="array" ref="B158">IF($AI158="","",IF(LEFT($AI158,2)="C|",IF($C158="","",_xlfn.TEXTJOIN(", ",TRUE,_xlfn.UNIQUE(_xlfn._xlws.FILTER($AN$5:$AN$302,($AP$5:$AP$302=1)*($AO$5:$AO$302=$A158))))),IF($AI158="CT",B$13,IF(LEFT($AI158,3)="AM|",IF($C158="","",ROWS(_xlfn.UNIQUE(_xlfn._xlws.FILTER($AO$5:$AO$302,($AP$5:$AP$302=1)*($AN$5:$AN$302=$A158))))),IF(LEFT($AI158,2)="S|",IF($AG158="","",INDEX($AO$5:$AO$302,$AH158)),IF($AI158="HDR","City",""))))))</f>
        <v/>
      </c>
      <c r="C158" s="39" t="str" cm="1">
        <f t="array" ref="C158">IF($AI158="","",IF(LEFT($AI158,2)="C|",_xlfn.LET(_xlpm.n,SUMPRODUCT($AP$5:$AP$302*($AO$5:$AO$302=$A158)),IF(_xlpm.n=0,"",_xlpm.n)),IF($AI158="CT",C$13,IF(LEFT($AI158,3)="AM|",_xlfn.LET(_xlpm.n,SUMPRODUCT($AP$5:$AP$302*($AN$5:$AN$302=$A158)),IF(_xlpm.n=0,"",_xlpm.n)),IF(LEFT($AI158,2)="S|","",IF($AI158="HDR","# Stores",""))))))</f>
        <v/>
      </c>
      <c r="D158" s="40" t="str" cm="1">
        <f t="array" ref="D158">IF($AI158="","",IF(LEFT($AI158,2)="C|",IF($C158="","",SUMPRODUCT($AP$5:$AP$302*($AO$5:$AO$302=$A158),$AR$5:$AR$302)),IF($AI158="CT",D$13,IF(LEFT($AI158,3)="AM|",IF($C158="","",SUMPRODUCT($AP$5:$AP$302*($AN$5:$AN$302=$A158),$AR$5:$AR$302)),IF(LEFT($AI158,2)="S|",IF($AG158="","",INDEX($AR$5:$AR$302,$AH158)),IF($AI158="HDR","Sales TY",""))))))</f>
        <v/>
      </c>
      <c r="E158" s="40" t="str" cm="1">
        <f t="array" ref="E158">IF($AI158="","",IF(LEFT($AI158,2)="C|",IF($C158="","",SUMPRODUCT($AP$5:$AP$302*($AO$5:$AO$302=$A158),$AT$5:$AT$302)),IF($AI158="CT",E$13,IF(LEFT($AI158,3)="AM|",IF($C158="","",SUMPRODUCT($AP$5:$AP$302*($AN$5:$AN$302=$A158),$AT$5:$AT$302)),IF(LEFT($AI158,2)="S|",IF($AG158="","",INDEX($AT$5:$AT$302,$AH158)),IF($AI158="HDR","Sales LY",""))))))</f>
        <v/>
      </c>
      <c r="F158" s="41" t="str">
        <f t="shared" ref="F158:F189" si="97">IF($AI158="","",IF(LEFT($AI158,2)="C|",IF($C158="","",IFERROR(AE158/E158-1,"")),IF($AI158="CT",F$13,IF(LEFT($AI158,3)="AM|",IF($C158="","",IFERROR(AE158/E158-1,"")),IF(LEFT($AI158,2)="S|",IF($AG158="","",IFERROR(AE158/E158-1,"")),IF($AI158="HDR","LFL vs LY",""))))))</f>
        <v/>
      </c>
      <c r="G158" s="41" t="str">
        <f t="shared" ref="G158:G189" si="98">IF($AI158="","",IF(LEFT($AI158,2)="C|",IF(D158="","",IFERROR(D158/E158-1,"")),IF($AI158="CT",G$13,IF(LEFT($AI158,3)="AM|",IF(D158="","",IFERROR(D158/E158-1,"")),IF(LEFT($AI158,2)="S|",IF(D158="","",IFERROR(D158/E158-1,"")),IF($AI158="HDR","Total Growth",""))))))</f>
        <v/>
      </c>
      <c r="H158" s="40" t="str" cm="1">
        <f t="array" ref="H158">IF($AI158="","",IF(LEFT($AI158,2)="C|",IF($C158="","",SUMPRODUCT($AP$5:$AP$302*($AO$5:$AO$302=$A158),$AV$5:$AV$302)),IF($AI158="CT",H$13,IF(LEFT($AI158,3)="AM|",IF($C158="","",SUMPRODUCT($AP$5:$AP$302*($AN$5:$AN$302=$A158),$AV$5:$AV$302)),IF(LEFT($AI158,2)="S|",IF($AG158="","",INDEX($AV$5:$AV$302,$AH158)),IF($AI158="HDR","Target",""))))))</f>
        <v/>
      </c>
      <c r="I158" s="41" t="str">
        <f t="shared" ref="I158:I189" si="99">IF($AI158="","",IF(LEFT($AI158,2)="C|",IF($C158="","",IFERROR(D158/H158,"")),IF($AI158="CT",I$13,IF(LEFT($AI158,3)="AM|",IF($C158="","",IFERROR(D158/H158,"")),IF(LEFT($AI158,2)="S|",IF($AG158="","",IFERROR(D158/H158,"")),IF($AI158="HDR","Ach. %",""))))))</f>
        <v/>
      </c>
      <c r="J158" s="40" t="str">
        <f t="shared" ref="J158:J189" si="100">IF($AI158="","",IF(LEFT($AI158,2)="C|",IF($C158="","",IF(H158=0,"",D158-H158)),IF($AI158="CT",J$13,IF(LEFT($AI158,3)="AM|",IF($C158="","",IF(H158=0,"",D158-H158)),IF(LEFT($AI158,2)="S|",IF($AG158="","",IF(H158=0,"",D158-H158)),IF($AI158="HDR","Var Target",""))))))</f>
        <v/>
      </c>
      <c r="K158" s="41" t="str">
        <f t="shared" ref="K158:K189" si="101">IF($AI158="","",IF(LEFT($AI158,2)="C|",IF($C158="","",IFERROR(D158/$D$13,"")),IF($AI158="CT",K$13,IF(LEFT($AI158,3)="AM|",IF($C158="","",IFERROR(D158/$D$13,"")),IF(LEFT($AI158,2)="S|",IF($AG158="","",IFERROR(D158/$D$13,"")),IF($AI158="HDR","% Share",""))))))</f>
        <v/>
      </c>
      <c r="L158" s="40" t="str" cm="1">
        <f t="array" ref="L158">IF($AI158="","",IF(LEFT($AI158,2)="C|",IF($C158="","",SUMPRODUCT($AP$5:$AP$302*($AO$5:$AO$302=$A158),$BN$5:$BN$302)),IF($AI158="CT",L$13,IF(LEFT($AI158,3)="AM|",IF($C158="","",SUMPRODUCT($AP$5:$AP$302*($AN$5:$AN$302=$A158),$BN$5:$BN$302)),IF(LEFT($AI158,2)="S|",IF($AG158="","",INDEX($BN$5:$BN$302,$AH158)),IF($AI158="HDR","Month Target",""))))))</f>
        <v/>
      </c>
      <c r="M158" s="40" t="str" cm="1">
        <f t="array" ref="M158">IF($AI158="","",IF(LEFT($AI158,2)="C|",IF($C158="","",SUMPRODUCT($AP$5:$AP$302*($AO$5:$AO$302=$A158),$BO$5:$BO$302)),IF($AI158="CT",M$13,IF(LEFT($AI158,3)="AM|",IF($C158="","",SUMPRODUCT($AP$5:$AP$302*($AN$5:$AN$302=$A158),$BO$5:$BO$302)),IF(LEFT($AI158,2)="S|",IF($AG158="","",INDEX($BO$5:$BO$302,$AH158)),IF($AI158="HDR","Projected Close",""))))))</f>
        <v/>
      </c>
      <c r="N158" s="41" t="str">
        <f t="shared" si="76"/>
        <v/>
      </c>
      <c r="O158" s="41" t="str" cm="1">
        <f t="array" ref="O158">IF($AI158="HDR","Proj. vs LY",IF(OR($AI158="",M158=""),"",_xlfn.LET(_xlpm.ly,IF(LEFT($AI158,2)="C|",SUMPRODUCT($AP$5:$AP$302*($AO$5:$AO$302=$A158),$BK$5:$BK$302),IF($AI158="CT",SUMPRODUCT($AP$5:$AP$302,$BK$5:$BK$302),IF(LEFT($AI158,3)="AM|",SUMPRODUCT($AP$5:$AP$302*($AN$5:$AN$302=$A158),$BK$5:$BK$302),IF(LEFT($AI158,2)="S|",INDEX($BK$5:$BK$302,$AH158),0)))),IFERROR(M158/_xlpm.ly-1,""))))</f>
        <v/>
      </c>
      <c r="P158" s="40" t="str" cm="1">
        <f t="array" ref="P158">IF($AI158="","",IF(LEFT($AI158,2)="C|",IF($C158="","",SUMPRODUCT($AP$5:$AP$302*($AO$5:$AO$302=$A158),$AS$5:$AS$302)),IF($AI158="CT",P$13,IF(LEFT($AI158,3)="AM|",IF($C158="","",SUMPRODUCT($AP$5:$AP$302*($AN$5:$AN$302=$A158),$AS$5:$AS$302)),IF(LEFT($AI158,2)="S|",IF($AG158="","",INDEX($AS$5:$AS$302,$AH158)),IF($AI158="HDR","Trans TY",""))))))</f>
        <v/>
      </c>
      <c r="Q158" s="40" t="str" cm="1">
        <f t="array" ref="Q158">IF($AI158="","",IF(LEFT($AI158,2)="C|",IF($C158="","",SUMPRODUCT($AP$5:$AP$302*($AO$5:$AO$302=$A158),$AU$5:$AU$302)),IF($AI158="CT",Q$13,IF(LEFT($AI158,3)="AM|",IF($C158="","",SUMPRODUCT($AP$5:$AP$302*($AN$5:$AN$302=$A158),$AU$5:$AU$302)),IF(LEFT($AI158,2)="S|",IF($AG158="","",INDEX($AU$5:$AU$302,$AH158)),IF($AI158="HDR","Trans LY",""))))))</f>
        <v/>
      </c>
      <c r="R158" s="41" t="str">
        <f t="shared" ref="R158:R189" si="102">IF($AI158="","",IF(LEFT($AI158,2)="C|",IF($C158="","",IFERROR(AF158/Q158-1,"")),IF($AI158="CT",R$13,IF(LEFT($AI158,3)="AM|",IF($C158="","",IFERROR(AF158/Q158-1,"")),IF(LEFT($AI158,2)="S|",IF($AG158="","",IFERROR(AF158/Q158-1,"")),IF($AI158="HDR","Trans LFL",""))))))</f>
        <v/>
      </c>
      <c r="S158" s="41" t="str">
        <f t="shared" ref="S158:S189" si="103">IF($AI158="","",IF(LEFT($AI158,2)="C|",IF(P158="","",IFERROR(P158/Q158-1,"")),IF($AI158="CT",S$13,IF(LEFT($AI158,3)="AM|",IF(P158="","",IFERROR(P158/Q158-1,"")),IF(LEFT($AI158,2)="S|",IF(P158="","",IFERROR(P158/Q158-1,"")),IF($AI158="HDR","Trans Growth",""))))))</f>
        <v/>
      </c>
      <c r="T158" s="42" t="str">
        <f t="shared" ref="T158:T189" si="104">IF($AI158="","",IF(LEFT($AI158,2)="C|",IF($C158="","",IFERROR(D158/P158,"")),IF($AI158="CT",T$13,IF(LEFT($AI158,3)="AM|",IF($C158="","",IFERROR(D158/P158,"")),IF(LEFT($AI158,2)="S|",IF($AG158="","",IFERROR(D158/P158,"")),IF($AI158="HDR","ATV TY",""))))))</f>
        <v/>
      </c>
      <c r="U158" s="42" t="str">
        <f t="shared" ref="U158:U189" si="105">IF($AI158="","",IF(LEFT($AI158,2)="C|",IF($C158="","",IFERROR(E158/Q158,"")),IF($AI158="CT",U$13,IF(LEFT($AI158,3)="AM|",IF($C158="","",IFERROR(E158/Q158,"")),IF(LEFT($AI158,2)="S|",IF($AG158="","",IFERROR(E158/Q158,"")),IF($AI158="HDR","ATV LY",""))))))</f>
        <v/>
      </c>
      <c r="V158" s="41" t="str">
        <f t="shared" ref="V158:V189" si="106">IF($AI158="","",IF(LEFT($AI158,2)="C|",IF($C158="","",IFERROR((AE158/AF158)/U158-1,"")),IF($AI158="CT",V$13,IF(LEFT($AI158,3)="AM|",IF($C158="","",IFERROR((AE158/AF158)/U158-1,"")),IF(LEFT($AI158,2)="S|",IF($AG158="","",IFERROR((AE158/AF158)/U158-1,"")),IF($AI158="HDR","ATV LFL",""))))))</f>
        <v/>
      </c>
      <c r="W158" s="40" t="str" cm="1">
        <f t="array" ref="W158">IF($AI158="","",IF(LEFT($AI158,2)="C|",_xlfn.LET(_xlpm.n,SUMPRODUCT($AP$5:$AP$302*($AO$5:$AO$302=$A158),$BB$5:$BB$302),IF(_xlpm.n=0,"",_xlpm.n)),IF($AI158="CT",W$13,IF(LEFT($AI158,3)="AM|",_xlfn.LET(_xlpm.n,SUMPRODUCT($AP$5:$AP$302*($AN$5:$AN$302=$A158),$BB$5:$BB$302),IF(_xlpm.n=0,"",_xlpm.n)),IF(LEFT($AI158,2)="S|",IF($AG158="","",_xlfn.LET(_xlpm.n,INDEX($BB$5:$BB$302,$AH158),IF(_xlpm.n=0,"",_xlpm.n))),IF($AI158="HDR","Footfall",""))))))</f>
        <v/>
      </c>
      <c r="X158" s="40" t="str" cm="1">
        <f t="array" ref="X158">IF($AI158="","",IF($AI158="HDR","Trans (FF stores)",IF(W158="","",IF(LEFT($AI158,2)="C|",SUMPRODUCT($AP$5:$AP$302*($AO$5:$AO$302=$A158),$BC$5:$BC$302),IF($AI158="CT",X$13,IF(LEFT($AI158,3)="AM|",SUMPRODUCT($AP$5:$AP$302*($AN$5:$AN$302=$A158),$BC$5:$BC$302),IF(LEFT($AI158,2)="S|",INDEX($BC$5:$BC$302,$AH158),"")))))))</f>
        <v/>
      </c>
      <c r="Y158" s="41" t="str">
        <f t="shared" si="77"/>
        <v/>
      </c>
      <c r="Z158" s="40" t="str" cm="1">
        <f t="array" ref="Z158">IF($AI158="","",IF(LEFT($AI158,2)="C|",IF($C158="","",SUMPRODUCT($AP$5:$AP$302*($AO$5:$AO$302=$A158),$CB$5:$CB$302)),IF($AI158="CT",Z$13,IF(LEFT($AI158,3)="AM|",IF($C158="","",SUMPRODUCT($AP$5:$AP$302*($AN$5:$AN$302=$A158),$CB$5:$CB$302)),IF(LEFT($AI158,2)="S|",IF($AG158="","",INDEX($CB$5:$CB$302,$AH158)),IF($AI158="HDR","Makeup Sales",""))))))</f>
        <v/>
      </c>
      <c r="AA158" s="41" t="str">
        <f t="shared" ref="AA158:AA189" si="107">IF($AI158="HDR","Makeup % of Sales",IF(OR(Z158="",AD158=""),"",IFERROR(Z158/AD158,"")))</f>
        <v/>
      </c>
      <c r="AB158" s="40" t="str" cm="1">
        <f t="array" ref="AB158">IF($AI158="","",IF(LEFT($AI158,2)="C|",IF($C158="","",SUMPRODUCT($AP$5:$AP$302*($AO$5:$AO$302=$A158),$CK$5:$CK$302)),IF($AI158="CT",AB$13,IF(LEFT($AI158,3)="AM|",IF($C158="","",SUMPRODUCT($AP$5:$AP$302*($AN$5:$AN$302=$A158),$CK$5:$CK$302)),IF(LEFT($AI158,2)="S|",IF($AG158="","",INDEX($CK$5:$CK$302,$AH158)),IF($AI158="HDR","Makeup Target",""))))))</f>
        <v/>
      </c>
      <c r="AC158" s="41" t="str">
        <f t="shared" si="78"/>
        <v/>
      </c>
      <c r="AD158" s="40" t="str" cm="1">
        <f t="array" ref="AD158">IF($AI158="","",IF(LEFT($AI158,2)="C|",IF($C158="","",SUMPRODUCT($AP$5:$AP$302*($AO$5:$AO$302=$A158),$CI$5:$CI$302)),IF($AI158="CT",AD$13,IF(LEFT($AI158,3)="AM|",IF($C158="","",SUMPRODUCT($AP$5:$AP$302*($AN$5:$AN$302=$A158),$CI$5:$CI$302)),IF(LEFT($AI158,2)="S|",IF($AG158="","",INDEX($CI$5:$CI$302,$AH158)),IF($AI158="HDR","Cosmetic Sales",""))))))</f>
        <v/>
      </c>
      <c r="AE158" s="8" t="str" cm="1">
        <f t="array" ref="AE158">IF($AI158="","",IF(LEFT($AI158,2)="C|",IF($C158="","",SUMPRODUCT($AP$5:$AP$302*($AO$5:$AO$302=$A158)*$AQ$5:$AQ$302,$AR$5:$AR$302)),IF($AI158="CT",AE$13,IF(LEFT($AI158,3)="AM|",IF($C158="","",SUMPRODUCT($AP$5:$AP$302*($AN$5:$AN$302=$A158)*$AQ$5:$AQ$302,$AR$5:$AR$302)),IF(LEFT($AI158,2)="S|",IF($AG158="","",IF(INDEX($AQ$5:$AQ$302,$AH158)=1,D158,0)),IF($AI158="HDR","LFL Sales",""))))))</f>
        <v/>
      </c>
      <c r="AF158" s="8" t="str" cm="1">
        <f t="array" ref="AF158">IF($AI158="","",IF(LEFT($AI158,2)="C|",IF($C158="","",SUMPRODUCT($AP$5:$AP$302*($AO$5:$AO$302=$A158)*$AQ$5:$AQ$302,$AS$5:$AS$302)),IF($AI158="CT",AF$13,IF(LEFT($AI158,3)="AM|",IF($C158="","",SUMPRODUCT($AP$5:$AP$302*($AN$5:$AN$302=$A158)*$AQ$5:$AQ$302,$AS$5:$AS$302)),IF(LEFT($AI158,2)="S|",IF($AG158="","",IF(INDEX($AQ$5:$AQ$302,$AH158)=1,P158,0)),IF($AI158="HDR","LFL Trans",""))))))</f>
        <v/>
      </c>
      <c r="AG158" s="8" t="str" cm="1">
        <f t="array" ref="AG158">IF($AI158="","",IF(LEFT($AI158,2)="C|","",IF($AI158="CT","",IF(LEFT($AI158,3)="AM|","",IF(LEFT($AI158,2)="S|",IF($AH158="","",IF(INDEX($AP$5:$AP$302,$AH158)=1,1,"")),IF($AI158="HDR","Show",""))))))</f>
        <v/>
      </c>
      <c r="AH158" s="8" t="str">
        <f t="shared" ref="AH158:AH189" si="108">IF($AI158="","",IF(LEFT($AI158,2)="C|","",IF($AI158="CT","",IF(LEFT($AI158,3)="AM|","",IF(LEFT($AI158,2)="S|",IFERROR(MATCH($A158,$AW$5:$AW$302,0),""),IF($AI158="HDR","Src Row",""))))))</f>
        <v/>
      </c>
      <c r="AI158" s="8"/>
      <c r="AN158" s="8" t="str" cm="1">
        <f t="array" ref="AN158">IF($AW158="","",_xlfn.LET(_xlpm.sa,IFERROR(TRIM(INDEX('Sales and count'!$D$4:$D$300,$BF158)&amp;""),""),_xlpm.ta,IFERROR(TRIM(INDEX('TY Sales Target'!$F$5:$F$300,$BG158)&amp;""),""),IF(AND(_xlpm.sa&lt;&gt;"",LEFT(_xlpm.sa,1)&lt;&gt;"#",_xlpm.sa&lt;&gt;"0"),_xlpm.sa,IF(AND(_xlpm.ta&lt;&gt;"",LEFT(_xlpm.ta,1)&lt;&gt;"#",_xlpm.ta&lt;&gt;"0"),_xlpm.ta,IF(ISNUMBER($BG158),"Unassigned","")))))</f>
        <v/>
      </c>
      <c r="AO158" s="8" t="str" cm="1">
        <f t="array" ref="AO158">IF($AW158="","",_xlfn.LET(_xlpm.sa,IFERROR(TRIM(INDEX('Sales and count'!$C$4:$C$300,$BF158)&amp;""),""),_xlpm.ta,IFERROR(TRIM(INDEX('TY Sales Target'!$D$5:$D$300,$BG158)&amp;""),""),IF(AND(_xlpm.sa&lt;&gt;"",LEFT(_xlpm.sa,1)&lt;&gt;"#",_xlpm.sa&lt;&gt;"0"),_xlpm.sa,IF(AND(_xlpm.ta&lt;&gt;"",LEFT(_xlpm.ta,1)&lt;&gt;"#",_xlpm.ta&lt;&gt;"0"),_xlpm.ta,""))))</f>
        <v/>
      </c>
      <c r="AP158" s="8">
        <f t="shared" si="93"/>
        <v>0</v>
      </c>
      <c r="AQ158" s="8">
        <f t="shared" si="94"/>
        <v>0</v>
      </c>
      <c r="AR158" s="8" cm="1">
        <f t="array" ref="AR158">IF($BF158="",0,_xlfn.LET(_xlpm.d,IFERROR(--'Sales and count'!$G$2:$CC$2,0),SUMPRODUCT(('Sales and count'!$G$3:$CC$3="Total")*(_xlpm.d&gt;=$U$4)*(_xlpm.d&lt;=$U$5),INDEX('Sales and count'!$G$4:$CC$300,$BF158,0))))</f>
        <v>0</v>
      </c>
      <c r="AS158" s="8" cm="1">
        <f t="array" ref="AS158">IF($BF158="",0,_xlfn.LET(_xlpm.d,IFERROR(--'Sales and count'!$F$2:$CB$2,0),SUMPRODUCT(('Sales and count'!$G$3:$CC$3="Transactions")*(_xlpm.d&gt;=$U$4)*(_xlpm.d&lt;=$U$5),INDEX('Sales and count'!$G$4:$CC$300,$BF158,0))))</f>
        <v>0</v>
      </c>
      <c r="AT158" s="8" cm="1">
        <f t="array" ref="AT158">IF($AW158="",0,SUMPRODUCT((TRIM('LY Sales '!$B$5:$B$200)=$AW158)*('LY Sales '!$C$2:$AG$2&gt;=EDATE($U$4,-12))*('LY Sales '!$C$2:$AG$2&lt;=EDATE($U$5,-12)),'LY Sales '!$C$5:$AG$200))</f>
        <v>0</v>
      </c>
      <c r="AU158" s="8" cm="1">
        <f t="array" ref="AU158">IF($AW158="",0,SUMPRODUCT((TRIM('LY Transaction'!$B$5:$B$200)=$AW158)*('LY Transaction'!$C$2:$AG$2&gt;=EDATE($U$4,-12))*('LY Transaction'!$C$2:$AG$2&lt;=EDATE($U$5,-12)),'LY Transaction'!$C$5:$AG$200))</f>
        <v>0</v>
      </c>
      <c r="AV158" s="8" cm="1">
        <f t="array" ref="AV158">IF(NOT(ISNUMBER($BG158)),0,SUMPRODUCT(('TY Sales Target'!$K$2:$AO$2&gt;=$U$4)*('TY Sales Target'!$K$2:$AO$2&lt;=$U$5),INDEX('TY Sales Target'!$K$5:$AO$300,$BG158,0)))</f>
        <v>0</v>
      </c>
      <c r="AW158" s="8" t="str" cm="1">
        <f t="array" ref="AW158">IFERROR(INDEX(_xlfn.ANCHORARRAY($BR$5),ROWS($AW$5:AW158)),"")</f>
        <v/>
      </c>
      <c r="BB158" cm="1">
        <f t="array" ref="BB158">IF($AW158="",0,SUMPRODUCT((TRIM(Footfall!$B$5:$B$301)=$AW158)*(Footfall!$C$1:$BZ$1&gt;=$U$4)*(Footfall!$C$2:$BZ$2&lt;=$U$5)*(Footfall!$C$1:$BZ$1&lt;&gt;""),Footfall!$C$5:$BZ$301))</f>
        <v>0</v>
      </c>
      <c r="BC158" cm="1">
        <f t="array" ref="BC158">IF(OR($BB158&lt;=0,$BD$1="",$BF158=""),0,_xlfn.LET(_xlpm.d,IFERROR(--'Sales and count'!$F$2:$CB$2,0),SUMPRODUCT(('Sales and count'!$G$3:$CC$3="Transactions")*(_xlpm.d&gt;=$BD$1)*(_xlpm.d&lt;=$BD$2),INDEX('Sales and count'!$G$4:$CC$300,$BF158,0))))</f>
        <v>0</v>
      </c>
      <c r="BF158" t="str" cm="1">
        <f t="array" ref="BF158">IF($AW158="","",IFERROR(MATCH($AW158,TRIM('Sales and count'!$A$4:$A$300&amp;""),0),""))</f>
        <v/>
      </c>
      <c r="BG158" t="str" cm="1">
        <f t="array" ref="BG158">IF($AW158="","",IFERROR(MATCH(IFERROR(_xlfn.XLOOKUP($AW158,$BT$5:$BT$22,$BU$5:$BU$22),$AW158),TRIM('TY Sales Target'!$B$5:$B$300&amp;""),0),""))</f>
        <v/>
      </c>
      <c r="BH158" t="str" cm="1">
        <f t="array" ref="BH158">IF(ISNUMBER($BG158),_xlfn.LET(_xlpm.p,TRIM(INDEX('TY Sales Target'!$I$5:$I$300,$BG158)&amp;""),IF(_xlpm.p="","Not set",_xlpm.p)),"Not set")</f>
        <v>Not set</v>
      </c>
      <c r="BI158" cm="1">
        <f t="array" ref="BI158">IF($BF158="",0,_xlfn.LET(_xlpm.d,IFERROR(--'Sales and count'!$G$2:$CC$2,0),SUMPRODUCT(('Sales and count'!$G$3:$CC$3="Total")*(_xlpm.d&gt;=$BZ$5)*(_xlpm.d&lt;=$BZ$6),INDEX('Sales and count'!$G$4:$CC$300,$BF158,0))))</f>
        <v>0</v>
      </c>
      <c r="BJ158" cm="1">
        <f t="array" ref="BJ158">IF($AW158="",0,SUMPRODUCT((TRIM('LY Sales '!$B$5:$B$200)=$AW158)*('LY Sales '!$C$2:$AG$2&gt;=EDATE($BZ$5,-12))*('LY Sales '!$C$2:$AG$2&lt;=EDATE($BZ$6,-12)),'LY Sales '!$C$5:$AG$200))</f>
        <v>0</v>
      </c>
      <c r="BK158" cm="1">
        <f t="array" ref="BK158">IF($AW158="",0,SUMPRODUCT((TRIM('LY Sales '!$B$5:$B$200)=$AW158)*('LY Sales '!$C$2:$AG$2&gt;=EDATE($BZ$5,-12))*('LY Sales '!$C$2:$AG$2&lt;=EDATE($BZ$7,-12)),'LY Sales '!$C$5:$AG$200))</f>
        <v>0</v>
      </c>
      <c r="BL158" cm="1">
        <f t="array" ref="BL158">IF($AW158="",0,SUMPRODUCT((TRIM('LY Sales '!$B$5:$B$200)=$AW158)*('LY Sales '!$C$2:$AG$2&gt;=EDATE($BZ$5,-12))*('LY Sales '!$C$2:$AG$2&lt;=EDATE($BZ$6,-12))*('LY Sales '!$C$5:$AG$200&gt;0)))</f>
        <v>0</v>
      </c>
      <c r="BM158" cm="1">
        <f t="array" ref="BM158">IF(NOT(ISNUMBER($BG158)),0,SUMPRODUCT(('TY Sales Target'!$K$2:$AO$2&gt;=$BZ$5)*('TY Sales Target'!$K$2:$AO$2&lt;=$BZ$6),INDEX('TY Sales Target'!$K$5:$AO$300,$BG158,0)))</f>
        <v>0</v>
      </c>
      <c r="BN158" cm="1">
        <f t="array" ref="BN158">IF(NOT(ISNUMBER($BG158)),0,SUMPRODUCT(('TY Sales Target'!$K$2:$AO$2&gt;=$BZ$5)*('TY Sales Target'!$K$2:$AO$2&lt;=$BZ$7),INDEX('TY Sales Target'!$K$5:$AO$300,$BG158,0)))</f>
        <v>0</v>
      </c>
      <c r="BO158" cm="1">
        <f t="array" ref="BO158">IF($AW158="",0,IFERROR(_xlfn.SWITCH($BP158,"LY trend",$BI158*$BK158/$BJ158,"Target curve",$BI158*$BN158/$BM158,"Run rate",$BI158/$BZ$8*$BZ$9,0),0))</f>
        <v>0</v>
      </c>
      <c r="BP158" t="str">
        <f t="shared" si="92"/>
        <v/>
      </c>
      <c r="CB158" cm="1">
        <f t="array" ref="CB158">IF($AW158="",0,_xlfn.LET(_xlpm.k,IFERROR(_xlfn.XLOOKUP($AW158,$CD$6:$CD$21,$CE$6:$CE$21),$AW158),SUMPRODUCT((TRIM('Makeup '!$A$2:$A$300&amp;"")=_xlpm.k)*1,IFERROR('Makeup '!$F$2:$F$300*1,0))))</f>
        <v>0</v>
      </c>
      <c r="CF158" t="str" cm="1">
        <f t="array" ref="CF158">IF($AW158="","",_xlfn.LET(_xlpm.c,IFERROR(TRIM(INDEX('Sales and count'!$B$4:$B$300,$BF158)&amp;""),""),IF(OR(_xlpm.c="",_xlpm.c="0",LEFT(_xlpm.c,1)="#"),"Not set",_xlpm.c)))</f>
        <v/>
      </c>
      <c r="CH158" cm="1">
        <f t="array" ref="CH158">IF($AW158="",0,_xlfn.LET(_xlpm.k,IFERROR(_xlfn.XLOOKUP($AW158,$CD$6:$CD$21,$CE$6:$CE$21),$AW158),--(SUMPRODUCT((TRIM('Makeup '!$A$2:$A$300&amp;"")=_xlpm.k)*ISNUMBER('Makeup '!$F$2:$F$300))&gt;0)))</f>
        <v>0</v>
      </c>
      <c r="CI158">
        <f t="shared" si="95"/>
        <v>0</v>
      </c>
      <c r="CJ158" cm="1">
        <f t="array" ref="CJ158">IF($AW158="",0,--(SUMPRODUCT(--(TRIM(Footfall!$B$5:$B$301)=$AW158))&gt;0))</f>
        <v>0</v>
      </c>
      <c r="CK158" s="8" cm="1">
        <f t="array" ref="CK158">IF($AW158="",0,_xlfn.LET(_xlpm.r,IFERROR(MATCH(IFERROR(_xlfn.XLOOKUP($AW158,$BT$5:$BT$22,$BU$5:$BU$22),$AW158),TRIM('TY Beauty Target'!$B$5:$B$300&amp;""),0),""),IF(ISNUMBER(_xlpm.r),SUMPRODUCT(('TY Beauty Target'!$L$2:$AP$2&gt;=$U$4)*('TY Beauty Target'!$L$2:$AP$2&lt;=$U$5),INDEX('TY Beauty Target'!$L$5:$AP$300,_xlpm.r,0)),0)))</f>
        <v>0</v>
      </c>
    </row>
    <row r="159" spans="1:89" ht="15" customHeight="1" x14ac:dyDescent="0.25">
      <c r="A159" s="38" t="str">
        <f t="shared" si="96"/>
        <v/>
      </c>
      <c r="B159" s="43" t="str" cm="1">
        <f t="array" ref="B159">IF($AI159="","",IF(LEFT($AI159,2)="C|",IF($C159="","",_xlfn.TEXTJOIN(", ",TRUE,_xlfn.UNIQUE(_xlfn._xlws.FILTER($AN$5:$AN$302,($AP$5:$AP$302=1)*($AO$5:$AO$302=$A159))))),IF($AI159="CT",B$13,IF(LEFT($AI159,3)="AM|",IF($C159="","",ROWS(_xlfn.UNIQUE(_xlfn._xlws.FILTER($AO$5:$AO$302,($AP$5:$AP$302=1)*($AN$5:$AN$302=$A159))))),IF(LEFT($AI159,2)="S|",IF($AG159="","",INDEX($AO$5:$AO$302,$AH159)),IF($AI159="HDR","City",""))))))</f>
        <v/>
      </c>
      <c r="C159" s="39" t="str" cm="1">
        <f t="array" ref="C159">IF($AI159="","",IF(LEFT($AI159,2)="C|",_xlfn.LET(_xlpm.n,SUMPRODUCT($AP$5:$AP$302*($AO$5:$AO$302=$A159)),IF(_xlpm.n=0,"",_xlpm.n)),IF($AI159="CT",C$13,IF(LEFT($AI159,3)="AM|",_xlfn.LET(_xlpm.n,SUMPRODUCT($AP$5:$AP$302*($AN$5:$AN$302=$A159)),IF(_xlpm.n=0,"",_xlpm.n)),IF(LEFT($AI159,2)="S|","",IF($AI159="HDR","# Stores",""))))))</f>
        <v/>
      </c>
      <c r="D159" s="40" t="str" cm="1">
        <f t="array" ref="D159">IF($AI159="","",IF(LEFT($AI159,2)="C|",IF($C159="","",SUMPRODUCT($AP$5:$AP$302*($AO$5:$AO$302=$A159),$AR$5:$AR$302)),IF($AI159="CT",D$13,IF(LEFT($AI159,3)="AM|",IF($C159="","",SUMPRODUCT($AP$5:$AP$302*($AN$5:$AN$302=$A159),$AR$5:$AR$302)),IF(LEFT($AI159,2)="S|",IF($AG159="","",INDEX($AR$5:$AR$302,$AH159)),IF($AI159="HDR","Sales TY",""))))))</f>
        <v/>
      </c>
      <c r="E159" s="40" t="str" cm="1">
        <f t="array" ref="E159">IF($AI159="","",IF(LEFT($AI159,2)="C|",IF($C159="","",SUMPRODUCT($AP$5:$AP$302*($AO$5:$AO$302=$A159),$AT$5:$AT$302)),IF($AI159="CT",E$13,IF(LEFT($AI159,3)="AM|",IF($C159="","",SUMPRODUCT($AP$5:$AP$302*($AN$5:$AN$302=$A159),$AT$5:$AT$302)),IF(LEFT($AI159,2)="S|",IF($AG159="","",INDEX($AT$5:$AT$302,$AH159)),IF($AI159="HDR","Sales LY",""))))))</f>
        <v/>
      </c>
      <c r="F159" s="41" t="str">
        <f t="shared" si="97"/>
        <v/>
      </c>
      <c r="G159" s="41" t="str">
        <f t="shared" si="98"/>
        <v/>
      </c>
      <c r="H159" s="40" t="str" cm="1">
        <f t="array" ref="H159">IF($AI159="","",IF(LEFT($AI159,2)="C|",IF($C159="","",SUMPRODUCT($AP$5:$AP$302*($AO$5:$AO$302=$A159),$AV$5:$AV$302)),IF($AI159="CT",H$13,IF(LEFT($AI159,3)="AM|",IF($C159="","",SUMPRODUCT($AP$5:$AP$302*($AN$5:$AN$302=$A159),$AV$5:$AV$302)),IF(LEFT($AI159,2)="S|",IF($AG159="","",INDEX($AV$5:$AV$302,$AH159)),IF($AI159="HDR","Target",""))))))</f>
        <v/>
      </c>
      <c r="I159" s="41" t="str">
        <f t="shared" si="99"/>
        <v/>
      </c>
      <c r="J159" s="40" t="str">
        <f t="shared" si="100"/>
        <v/>
      </c>
      <c r="K159" s="41" t="str">
        <f t="shared" si="101"/>
        <v/>
      </c>
      <c r="L159" s="40" t="str" cm="1">
        <f t="array" ref="L159">IF($AI159="","",IF(LEFT($AI159,2)="C|",IF($C159="","",SUMPRODUCT($AP$5:$AP$302*($AO$5:$AO$302=$A159),$BN$5:$BN$302)),IF($AI159="CT",L$13,IF(LEFT($AI159,3)="AM|",IF($C159="","",SUMPRODUCT($AP$5:$AP$302*($AN$5:$AN$302=$A159),$BN$5:$BN$302)),IF(LEFT($AI159,2)="S|",IF($AG159="","",INDEX($BN$5:$BN$302,$AH159)),IF($AI159="HDR","Month Target",""))))))</f>
        <v/>
      </c>
      <c r="M159" s="40" t="str" cm="1">
        <f t="array" ref="M159">IF($AI159="","",IF(LEFT($AI159,2)="C|",IF($C159="","",SUMPRODUCT($AP$5:$AP$302*($AO$5:$AO$302=$A159),$BO$5:$BO$302)),IF($AI159="CT",M$13,IF(LEFT($AI159,3)="AM|",IF($C159="","",SUMPRODUCT($AP$5:$AP$302*($AN$5:$AN$302=$A159),$BO$5:$BO$302)),IF(LEFT($AI159,2)="S|",IF($AG159="","",INDEX($BO$5:$BO$302,$AH159)),IF($AI159="HDR","Projected Close",""))))))</f>
        <v/>
      </c>
      <c r="N159" s="41" t="str">
        <f t="shared" ref="N159:N204" si="109">IF($AI159="HDR","Proj. Ach %",IF(OR(L159="",M159=""),"",IFERROR(M159/L159,"")))</f>
        <v/>
      </c>
      <c r="O159" s="41" t="str" cm="1">
        <f t="array" ref="O159">IF($AI159="HDR","Proj. vs LY",IF(OR($AI159="",M159=""),"",_xlfn.LET(_xlpm.ly,IF(LEFT($AI159,2)="C|",SUMPRODUCT($AP$5:$AP$302*($AO$5:$AO$302=$A159),$BK$5:$BK$302),IF($AI159="CT",SUMPRODUCT($AP$5:$AP$302,$BK$5:$BK$302),IF(LEFT($AI159,3)="AM|",SUMPRODUCT($AP$5:$AP$302*($AN$5:$AN$302=$A159),$BK$5:$BK$302),IF(LEFT($AI159,2)="S|",INDEX($BK$5:$BK$302,$AH159),0)))),IFERROR(M159/_xlpm.ly-1,""))))</f>
        <v/>
      </c>
      <c r="P159" s="40" t="str" cm="1">
        <f t="array" ref="P159">IF($AI159="","",IF(LEFT($AI159,2)="C|",IF($C159="","",SUMPRODUCT($AP$5:$AP$302*($AO$5:$AO$302=$A159),$AS$5:$AS$302)),IF($AI159="CT",P$13,IF(LEFT($AI159,3)="AM|",IF($C159="","",SUMPRODUCT($AP$5:$AP$302*($AN$5:$AN$302=$A159),$AS$5:$AS$302)),IF(LEFT($AI159,2)="S|",IF($AG159="","",INDEX($AS$5:$AS$302,$AH159)),IF($AI159="HDR","Trans TY",""))))))</f>
        <v/>
      </c>
      <c r="Q159" s="40" t="str" cm="1">
        <f t="array" ref="Q159">IF($AI159="","",IF(LEFT($AI159,2)="C|",IF($C159="","",SUMPRODUCT($AP$5:$AP$302*($AO$5:$AO$302=$A159),$AU$5:$AU$302)),IF($AI159="CT",Q$13,IF(LEFT($AI159,3)="AM|",IF($C159="","",SUMPRODUCT($AP$5:$AP$302*($AN$5:$AN$302=$A159),$AU$5:$AU$302)),IF(LEFT($AI159,2)="S|",IF($AG159="","",INDEX($AU$5:$AU$302,$AH159)),IF($AI159="HDR","Trans LY",""))))))</f>
        <v/>
      </c>
      <c r="R159" s="41" t="str">
        <f t="shared" si="102"/>
        <v/>
      </c>
      <c r="S159" s="41" t="str">
        <f t="shared" si="103"/>
        <v/>
      </c>
      <c r="T159" s="42" t="str">
        <f t="shared" si="104"/>
        <v/>
      </c>
      <c r="U159" s="42" t="str">
        <f t="shared" si="105"/>
        <v/>
      </c>
      <c r="V159" s="41" t="str">
        <f t="shared" si="106"/>
        <v/>
      </c>
      <c r="W159" s="40" t="str" cm="1">
        <f t="array" ref="W159">IF($AI159="","",IF(LEFT($AI159,2)="C|",_xlfn.LET(_xlpm.n,SUMPRODUCT($AP$5:$AP$302*($AO$5:$AO$302=$A159),$BB$5:$BB$302),IF(_xlpm.n=0,"",_xlpm.n)),IF($AI159="CT",W$13,IF(LEFT($AI159,3)="AM|",_xlfn.LET(_xlpm.n,SUMPRODUCT($AP$5:$AP$302*($AN$5:$AN$302=$A159),$BB$5:$BB$302),IF(_xlpm.n=0,"",_xlpm.n)),IF(LEFT($AI159,2)="S|",IF($AG159="","",_xlfn.LET(_xlpm.n,INDEX($BB$5:$BB$302,$AH159),IF(_xlpm.n=0,"",_xlpm.n))),IF($AI159="HDR","Footfall",""))))))</f>
        <v/>
      </c>
      <c r="X159" s="40" t="str" cm="1">
        <f t="array" ref="X159">IF($AI159="","",IF($AI159="HDR","Trans (FF stores)",IF(W159="","",IF(LEFT($AI159,2)="C|",SUMPRODUCT($AP$5:$AP$302*($AO$5:$AO$302=$A159),$BC$5:$BC$302),IF($AI159="CT",X$13,IF(LEFT($AI159,3)="AM|",SUMPRODUCT($AP$5:$AP$302*($AN$5:$AN$302=$A159),$BC$5:$BC$302),IF(LEFT($AI159,2)="S|",INDEX($BC$5:$BC$302,$AH159),"")))))))</f>
        <v/>
      </c>
      <c r="Y159" s="41" t="str">
        <f t="shared" ref="Y159:Y204" si="110">IF($AI159="","",IF($AI159="HDR","Conversion %",IF(OR(W159="",X159=""),"",IFERROR(X159/W159,""))))</f>
        <v/>
      </c>
      <c r="Z159" s="40" t="str" cm="1">
        <f t="array" ref="Z159">IF($AI159="","",IF(LEFT($AI159,2)="C|",IF($C159="","",SUMPRODUCT($AP$5:$AP$302*($AO$5:$AO$302=$A159),$CB$5:$CB$302)),IF($AI159="CT",Z$13,IF(LEFT($AI159,3)="AM|",IF($C159="","",SUMPRODUCT($AP$5:$AP$302*($AN$5:$AN$302=$A159),$CB$5:$CB$302)),IF(LEFT($AI159,2)="S|",IF($AG159="","",INDEX($CB$5:$CB$302,$AH159)),IF($AI159="HDR","Makeup Sales",""))))))</f>
        <v/>
      </c>
      <c r="AA159" s="41" t="str">
        <f t="shared" si="107"/>
        <v/>
      </c>
      <c r="AB159" s="40" t="str" cm="1">
        <f t="array" ref="AB159">IF($AI159="","",IF(LEFT($AI159,2)="C|",IF($C159="","",SUMPRODUCT($AP$5:$AP$302*($AO$5:$AO$302=$A159),$CK$5:$CK$302)),IF($AI159="CT",AB$13,IF(LEFT($AI159,3)="AM|",IF($C159="","",SUMPRODUCT($AP$5:$AP$302*($AN$5:$AN$302=$A159),$CK$5:$CK$302)),IF(LEFT($AI159,2)="S|",IF($AG159="","",INDEX($CK$5:$CK$302,$AH159)),IF($AI159="HDR","Makeup Target",""))))))</f>
        <v/>
      </c>
      <c r="AC159" s="41" t="str">
        <f t="shared" ref="AC159:AC222" si="111">IF($AI159="HDR","Makeup Ach. %",IF(OR(Z159="",AB159=""),"",IFERROR(Z159/AB159,"")))</f>
        <v/>
      </c>
      <c r="AD159" s="40" t="str" cm="1">
        <f t="array" ref="AD159">IF($AI159="","",IF(LEFT($AI159,2)="C|",IF($C159="","",SUMPRODUCT($AP$5:$AP$302*($AO$5:$AO$302=$A159),$CI$5:$CI$302)),IF($AI159="CT",AD$13,IF(LEFT($AI159,3)="AM|",IF($C159="","",SUMPRODUCT($AP$5:$AP$302*($AN$5:$AN$302=$A159),$CI$5:$CI$302)),IF(LEFT($AI159,2)="S|",IF($AG159="","",INDEX($CI$5:$CI$302,$AH159)),IF($AI159="HDR","Cosmetic Sales",""))))))</f>
        <v/>
      </c>
      <c r="AE159" s="8" t="str" cm="1">
        <f t="array" ref="AE159">IF($AI159="","",IF(LEFT($AI159,2)="C|",IF($C159="","",SUMPRODUCT($AP$5:$AP$302*($AO$5:$AO$302=$A159)*$AQ$5:$AQ$302,$AR$5:$AR$302)),IF($AI159="CT",AE$13,IF(LEFT($AI159,3)="AM|",IF($C159="","",SUMPRODUCT($AP$5:$AP$302*($AN$5:$AN$302=$A159)*$AQ$5:$AQ$302,$AR$5:$AR$302)),IF(LEFT($AI159,2)="S|",IF($AG159="","",IF(INDEX($AQ$5:$AQ$302,$AH159)=1,D159,0)),IF($AI159="HDR","LFL Sales",""))))))</f>
        <v/>
      </c>
      <c r="AF159" s="8" t="str" cm="1">
        <f t="array" ref="AF159">IF($AI159="","",IF(LEFT($AI159,2)="C|",IF($C159="","",SUMPRODUCT($AP$5:$AP$302*($AO$5:$AO$302=$A159)*$AQ$5:$AQ$302,$AS$5:$AS$302)),IF($AI159="CT",AF$13,IF(LEFT($AI159,3)="AM|",IF($C159="","",SUMPRODUCT($AP$5:$AP$302*($AN$5:$AN$302=$A159)*$AQ$5:$AQ$302,$AS$5:$AS$302)),IF(LEFT($AI159,2)="S|",IF($AG159="","",IF(INDEX($AQ$5:$AQ$302,$AH159)=1,P159,0)),IF($AI159="HDR","LFL Trans",""))))))</f>
        <v/>
      </c>
      <c r="AG159" s="8" t="str" cm="1">
        <f t="array" ref="AG159">IF($AI159="","",IF(LEFT($AI159,2)="C|","",IF($AI159="CT","",IF(LEFT($AI159,3)="AM|","",IF(LEFT($AI159,2)="S|",IF($AH159="","",IF(INDEX($AP$5:$AP$302,$AH159)=1,1,"")),IF($AI159="HDR","Show",""))))))</f>
        <v/>
      </c>
      <c r="AH159" s="8" t="str">
        <f t="shared" si="108"/>
        <v/>
      </c>
      <c r="AI159" s="8"/>
      <c r="AN159" s="8" t="str" cm="1">
        <f t="array" ref="AN159">IF($AW159="","",_xlfn.LET(_xlpm.sa,IFERROR(TRIM(INDEX('Sales and count'!$D$4:$D$300,$BF159)&amp;""),""),_xlpm.ta,IFERROR(TRIM(INDEX('TY Sales Target'!$F$5:$F$300,$BG159)&amp;""),""),IF(AND(_xlpm.sa&lt;&gt;"",LEFT(_xlpm.sa,1)&lt;&gt;"#",_xlpm.sa&lt;&gt;"0"),_xlpm.sa,IF(AND(_xlpm.ta&lt;&gt;"",LEFT(_xlpm.ta,1)&lt;&gt;"#",_xlpm.ta&lt;&gt;"0"),_xlpm.ta,IF(ISNUMBER($BG159),"Unassigned","")))))</f>
        <v/>
      </c>
      <c r="AO159" s="8" t="str" cm="1">
        <f t="array" ref="AO159">IF($AW159="","",_xlfn.LET(_xlpm.sa,IFERROR(TRIM(INDEX('Sales and count'!$C$4:$C$300,$BF159)&amp;""),""),_xlpm.ta,IFERROR(TRIM(INDEX('TY Sales Target'!$D$5:$D$300,$BG159)&amp;""),""),IF(AND(_xlpm.sa&lt;&gt;"",LEFT(_xlpm.sa,1)&lt;&gt;"#",_xlpm.sa&lt;&gt;"0"),_xlpm.sa,IF(AND(_xlpm.ta&lt;&gt;"",LEFT(_xlpm.ta,1)&lt;&gt;"#",_xlpm.ta&lt;&gt;"0"),_xlpm.ta,""))))</f>
        <v/>
      </c>
      <c r="AP159" s="8">
        <f t="shared" si="93"/>
        <v>0</v>
      </c>
      <c r="AQ159" s="8">
        <f t="shared" si="94"/>
        <v>0</v>
      </c>
      <c r="AR159" s="8" cm="1">
        <f t="array" ref="AR159">IF($BF159="",0,_xlfn.LET(_xlpm.d,IFERROR(--'Sales and count'!$G$2:$CC$2,0),SUMPRODUCT(('Sales and count'!$G$3:$CC$3="Total")*(_xlpm.d&gt;=$U$4)*(_xlpm.d&lt;=$U$5),INDEX('Sales and count'!$G$4:$CC$300,$BF159,0))))</f>
        <v>0</v>
      </c>
      <c r="AS159" s="8" cm="1">
        <f t="array" ref="AS159">IF($BF159="",0,_xlfn.LET(_xlpm.d,IFERROR(--'Sales and count'!$F$2:$CB$2,0),SUMPRODUCT(('Sales and count'!$G$3:$CC$3="Transactions")*(_xlpm.d&gt;=$U$4)*(_xlpm.d&lt;=$U$5),INDEX('Sales and count'!$G$4:$CC$300,$BF159,0))))</f>
        <v>0</v>
      </c>
      <c r="AT159" s="8" cm="1">
        <f t="array" ref="AT159">IF($AW159="",0,SUMPRODUCT((TRIM('LY Sales '!$B$5:$B$200)=$AW159)*('LY Sales '!$C$2:$AG$2&gt;=EDATE($U$4,-12))*('LY Sales '!$C$2:$AG$2&lt;=EDATE($U$5,-12)),'LY Sales '!$C$5:$AG$200))</f>
        <v>0</v>
      </c>
      <c r="AU159" s="8" cm="1">
        <f t="array" ref="AU159">IF($AW159="",0,SUMPRODUCT((TRIM('LY Transaction'!$B$5:$B$200)=$AW159)*('LY Transaction'!$C$2:$AG$2&gt;=EDATE($U$4,-12))*('LY Transaction'!$C$2:$AG$2&lt;=EDATE($U$5,-12)),'LY Transaction'!$C$5:$AG$200))</f>
        <v>0</v>
      </c>
      <c r="AV159" s="8" cm="1">
        <f t="array" ref="AV159">IF(NOT(ISNUMBER($BG159)),0,SUMPRODUCT(('TY Sales Target'!$K$2:$AO$2&gt;=$U$4)*('TY Sales Target'!$K$2:$AO$2&lt;=$U$5),INDEX('TY Sales Target'!$K$5:$AO$300,$BG159,0)))</f>
        <v>0</v>
      </c>
      <c r="AW159" s="8" t="str" cm="1">
        <f t="array" ref="AW159">IFERROR(INDEX(_xlfn.ANCHORARRAY($BR$5),ROWS($AW$5:AW159)),"")</f>
        <v/>
      </c>
      <c r="BB159" cm="1">
        <f t="array" ref="BB159">IF($AW159="",0,SUMPRODUCT((TRIM(Footfall!$B$5:$B$301)=$AW159)*(Footfall!$C$1:$BZ$1&gt;=$U$4)*(Footfall!$C$2:$BZ$2&lt;=$U$5)*(Footfall!$C$1:$BZ$1&lt;&gt;""),Footfall!$C$5:$BZ$301))</f>
        <v>0</v>
      </c>
      <c r="BC159" cm="1">
        <f t="array" ref="BC159">IF(OR($BB159&lt;=0,$BD$1="",$BF159=""),0,_xlfn.LET(_xlpm.d,IFERROR(--'Sales and count'!$F$2:$CB$2,0),SUMPRODUCT(('Sales and count'!$G$3:$CC$3="Transactions")*(_xlpm.d&gt;=$BD$1)*(_xlpm.d&lt;=$BD$2),INDEX('Sales and count'!$G$4:$CC$300,$BF159,0))))</f>
        <v>0</v>
      </c>
      <c r="BF159" t="str" cm="1">
        <f t="array" ref="BF159">IF($AW159="","",IFERROR(MATCH($AW159,TRIM('Sales and count'!$A$4:$A$300&amp;""),0),""))</f>
        <v/>
      </c>
      <c r="BG159" t="str" cm="1">
        <f t="array" ref="BG159">IF($AW159="","",IFERROR(MATCH(IFERROR(_xlfn.XLOOKUP($AW159,$BT$5:$BT$22,$BU$5:$BU$22),$AW159),TRIM('TY Sales Target'!$B$5:$B$300&amp;""),0),""))</f>
        <v/>
      </c>
      <c r="BH159" t="str" cm="1">
        <f t="array" ref="BH159">IF(ISNUMBER($BG159),_xlfn.LET(_xlpm.p,TRIM(INDEX('TY Sales Target'!$I$5:$I$300,$BG159)&amp;""),IF(_xlpm.p="","Not set",_xlpm.p)),"Not set")</f>
        <v>Not set</v>
      </c>
      <c r="BI159" cm="1">
        <f t="array" ref="BI159">IF($BF159="",0,_xlfn.LET(_xlpm.d,IFERROR(--'Sales and count'!$G$2:$CC$2,0),SUMPRODUCT(('Sales and count'!$G$3:$CC$3="Total")*(_xlpm.d&gt;=$BZ$5)*(_xlpm.d&lt;=$BZ$6),INDEX('Sales and count'!$G$4:$CC$300,$BF159,0))))</f>
        <v>0</v>
      </c>
      <c r="BJ159" cm="1">
        <f t="array" ref="BJ159">IF($AW159="",0,SUMPRODUCT((TRIM('LY Sales '!$B$5:$B$200)=$AW159)*('LY Sales '!$C$2:$AG$2&gt;=EDATE($BZ$5,-12))*('LY Sales '!$C$2:$AG$2&lt;=EDATE($BZ$6,-12)),'LY Sales '!$C$5:$AG$200))</f>
        <v>0</v>
      </c>
      <c r="BK159" cm="1">
        <f t="array" ref="BK159">IF($AW159="",0,SUMPRODUCT((TRIM('LY Sales '!$B$5:$B$200)=$AW159)*('LY Sales '!$C$2:$AG$2&gt;=EDATE($BZ$5,-12))*('LY Sales '!$C$2:$AG$2&lt;=EDATE($BZ$7,-12)),'LY Sales '!$C$5:$AG$200))</f>
        <v>0</v>
      </c>
      <c r="BL159" cm="1">
        <f t="array" ref="BL159">IF($AW159="",0,SUMPRODUCT((TRIM('LY Sales '!$B$5:$B$200)=$AW159)*('LY Sales '!$C$2:$AG$2&gt;=EDATE($BZ$5,-12))*('LY Sales '!$C$2:$AG$2&lt;=EDATE($BZ$6,-12))*('LY Sales '!$C$5:$AG$200&gt;0)))</f>
        <v>0</v>
      </c>
      <c r="BM159" cm="1">
        <f t="array" ref="BM159">IF(NOT(ISNUMBER($BG159)),0,SUMPRODUCT(('TY Sales Target'!$K$2:$AO$2&gt;=$BZ$5)*('TY Sales Target'!$K$2:$AO$2&lt;=$BZ$6),INDEX('TY Sales Target'!$K$5:$AO$300,$BG159,0)))</f>
        <v>0</v>
      </c>
      <c r="BN159" cm="1">
        <f t="array" ref="BN159">IF(NOT(ISNUMBER($BG159)),0,SUMPRODUCT(('TY Sales Target'!$K$2:$AO$2&gt;=$BZ$5)*('TY Sales Target'!$K$2:$AO$2&lt;=$BZ$7),INDEX('TY Sales Target'!$K$5:$AO$300,$BG159,0)))</f>
        <v>0</v>
      </c>
      <c r="BO159" cm="1">
        <f t="array" ref="BO159">IF($AW159="",0,IFERROR(_xlfn.SWITCH($BP159,"LY trend",$BI159*$BK159/$BJ159,"Target curve",$BI159*$BN159/$BM159,"Run rate",$BI159/$BZ$8*$BZ$9,0),0))</f>
        <v>0</v>
      </c>
      <c r="BP159" t="str">
        <f t="shared" si="92"/>
        <v/>
      </c>
      <c r="CB159" cm="1">
        <f t="array" ref="CB159">IF($AW159="",0,_xlfn.LET(_xlpm.k,IFERROR(_xlfn.XLOOKUP($AW159,$CD$6:$CD$21,$CE$6:$CE$21),$AW159),SUMPRODUCT((TRIM('Makeup '!$A$2:$A$300&amp;"")=_xlpm.k)*1,IFERROR('Makeup '!$F$2:$F$300*1,0))))</f>
        <v>0</v>
      </c>
      <c r="CF159" t="str" cm="1">
        <f t="array" ref="CF159">IF($AW159="","",_xlfn.LET(_xlpm.c,IFERROR(TRIM(INDEX('Sales and count'!$B$4:$B$300,$BF159)&amp;""),""),IF(OR(_xlpm.c="",_xlpm.c="0",LEFT(_xlpm.c,1)="#"),"Not set",_xlpm.c)))</f>
        <v/>
      </c>
      <c r="CH159" cm="1">
        <f t="array" ref="CH159">IF($AW159="",0,_xlfn.LET(_xlpm.k,IFERROR(_xlfn.XLOOKUP($AW159,$CD$6:$CD$21,$CE$6:$CE$21),$AW159),--(SUMPRODUCT((TRIM('Makeup '!$A$2:$A$300&amp;"")=_xlpm.k)*ISNUMBER('Makeup '!$F$2:$F$300))&gt;0)))</f>
        <v>0</v>
      </c>
      <c r="CI159">
        <f t="shared" si="95"/>
        <v>0</v>
      </c>
      <c r="CJ159" cm="1">
        <f t="array" ref="CJ159">IF($AW159="",0,--(SUMPRODUCT(--(TRIM(Footfall!$B$5:$B$301)=$AW159))&gt;0))</f>
        <v>0</v>
      </c>
      <c r="CK159" s="8" cm="1">
        <f t="array" ref="CK159">IF($AW159="",0,_xlfn.LET(_xlpm.r,IFERROR(MATCH(IFERROR(_xlfn.XLOOKUP($AW159,$BT$5:$BT$22,$BU$5:$BU$22),$AW159),TRIM('TY Beauty Target'!$B$5:$B$300&amp;""),0),""),IF(ISNUMBER(_xlpm.r),SUMPRODUCT(('TY Beauty Target'!$L$2:$AP$2&gt;=$U$4)*('TY Beauty Target'!$L$2:$AP$2&lt;=$U$5),INDEX('TY Beauty Target'!$L$5:$AP$300,_xlpm.r,0)),0)))</f>
        <v>0</v>
      </c>
    </row>
    <row r="160" spans="1:89" ht="15" customHeight="1" x14ac:dyDescent="0.25">
      <c r="A160" s="38" t="str">
        <f t="shared" si="96"/>
        <v/>
      </c>
      <c r="B160" s="43" t="str" cm="1">
        <f t="array" ref="B160">IF($AI160="","",IF(LEFT($AI160,2)="C|",IF($C160="","",_xlfn.TEXTJOIN(", ",TRUE,_xlfn.UNIQUE(_xlfn._xlws.FILTER($AN$5:$AN$302,($AP$5:$AP$302=1)*($AO$5:$AO$302=$A160))))),IF($AI160="CT",B$13,IF(LEFT($AI160,3)="AM|",IF($C160="","",ROWS(_xlfn.UNIQUE(_xlfn._xlws.FILTER($AO$5:$AO$302,($AP$5:$AP$302=1)*($AN$5:$AN$302=$A160))))),IF(LEFT($AI160,2)="S|",IF($AG160="","",INDEX($AO$5:$AO$302,$AH160)),IF($AI160="HDR","City",""))))))</f>
        <v/>
      </c>
      <c r="C160" s="39" t="str" cm="1">
        <f t="array" ref="C160">IF($AI160="","",IF(LEFT($AI160,2)="C|",_xlfn.LET(_xlpm.n,SUMPRODUCT($AP$5:$AP$302*($AO$5:$AO$302=$A160)),IF(_xlpm.n=0,"",_xlpm.n)),IF($AI160="CT",C$13,IF(LEFT($AI160,3)="AM|",_xlfn.LET(_xlpm.n,SUMPRODUCT($AP$5:$AP$302*($AN$5:$AN$302=$A160)),IF(_xlpm.n=0,"",_xlpm.n)),IF(LEFT($AI160,2)="S|","",IF($AI160="HDR","# Stores",""))))))</f>
        <v/>
      </c>
      <c r="D160" s="40" t="str" cm="1">
        <f t="array" ref="D160">IF($AI160="","",IF(LEFT($AI160,2)="C|",IF($C160="","",SUMPRODUCT($AP$5:$AP$302*($AO$5:$AO$302=$A160),$AR$5:$AR$302)),IF($AI160="CT",D$13,IF(LEFT($AI160,3)="AM|",IF($C160="","",SUMPRODUCT($AP$5:$AP$302*($AN$5:$AN$302=$A160),$AR$5:$AR$302)),IF(LEFT($AI160,2)="S|",IF($AG160="","",INDEX($AR$5:$AR$302,$AH160)),IF($AI160="HDR","Sales TY",""))))))</f>
        <v/>
      </c>
      <c r="E160" s="40" t="str" cm="1">
        <f t="array" ref="E160">IF($AI160="","",IF(LEFT($AI160,2)="C|",IF($C160="","",SUMPRODUCT($AP$5:$AP$302*($AO$5:$AO$302=$A160),$AT$5:$AT$302)),IF($AI160="CT",E$13,IF(LEFT($AI160,3)="AM|",IF($C160="","",SUMPRODUCT($AP$5:$AP$302*($AN$5:$AN$302=$A160),$AT$5:$AT$302)),IF(LEFT($AI160,2)="S|",IF($AG160="","",INDEX($AT$5:$AT$302,$AH160)),IF($AI160="HDR","Sales LY",""))))))</f>
        <v/>
      </c>
      <c r="F160" s="41" t="str">
        <f t="shared" si="97"/>
        <v/>
      </c>
      <c r="G160" s="41" t="str">
        <f t="shared" si="98"/>
        <v/>
      </c>
      <c r="H160" s="40" t="str" cm="1">
        <f t="array" ref="H160">IF($AI160="","",IF(LEFT($AI160,2)="C|",IF($C160="","",SUMPRODUCT($AP$5:$AP$302*($AO$5:$AO$302=$A160),$AV$5:$AV$302)),IF($AI160="CT",H$13,IF(LEFT($AI160,3)="AM|",IF($C160="","",SUMPRODUCT($AP$5:$AP$302*($AN$5:$AN$302=$A160),$AV$5:$AV$302)),IF(LEFT($AI160,2)="S|",IF($AG160="","",INDEX($AV$5:$AV$302,$AH160)),IF($AI160="HDR","Target",""))))))</f>
        <v/>
      </c>
      <c r="I160" s="41" t="str">
        <f t="shared" si="99"/>
        <v/>
      </c>
      <c r="J160" s="40" t="str">
        <f t="shared" si="100"/>
        <v/>
      </c>
      <c r="K160" s="41" t="str">
        <f t="shared" si="101"/>
        <v/>
      </c>
      <c r="L160" s="40" t="str" cm="1">
        <f t="array" ref="L160">IF($AI160="","",IF(LEFT($AI160,2)="C|",IF($C160="","",SUMPRODUCT($AP$5:$AP$302*($AO$5:$AO$302=$A160),$BN$5:$BN$302)),IF($AI160="CT",L$13,IF(LEFT($AI160,3)="AM|",IF($C160="","",SUMPRODUCT($AP$5:$AP$302*($AN$5:$AN$302=$A160),$BN$5:$BN$302)),IF(LEFT($AI160,2)="S|",IF($AG160="","",INDEX($BN$5:$BN$302,$AH160)),IF($AI160="HDR","Month Target",""))))))</f>
        <v/>
      </c>
      <c r="M160" s="40" t="str" cm="1">
        <f t="array" ref="M160">IF($AI160="","",IF(LEFT($AI160,2)="C|",IF($C160="","",SUMPRODUCT($AP$5:$AP$302*($AO$5:$AO$302=$A160),$BO$5:$BO$302)),IF($AI160="CT",M$13,IF(LEFT($AI160,3)="AM|",IF($C160="","",SUMPRODUCT($AP$5:$AP$302*($AN$5:$AN$302=$A160),$BO$5:$BO$302)),IF(LEFT($AI160,2)="S|",IF($AG160="","",INDEX($BO$5:$BO$302,$AH160)),IF($AI160="HDR","Projected Close",""))))))</f>
        <v/>
      </c>
      <c r="N160" s="41" t="str">
        <f t="shared" si="109"/>
        <v/>
      </c>
      <c r="O160" s="41" t="str" cm="1">
        <f t="array" ref="O160">IF($AI160="HDR","Proj. vs LY",IF(OR($AI160="",M160=""),"",_xlfn.LET(_xlpm.ly,IF(LEFT($AI160,2)="C|",SUMPRODUCT($AP$5:$AP$302*($AO$5:$AO$302=$A160),$BK$5:$BK$302),IF($AI160="CT",SUMPRODUCT($AP$5:$AP$302,$BK$5:$BK$302),IF(LEFT($AI160,3)="AM|",SUMPRODUCT($AP$5:$AP$302*($AN$5:$AN$302=$A160),$BK$5:$BK$302),IF(LEFT($AI160,2)="S|",INDEX($BK$5:$BK$302,$AH160),0)))),IFERROR(M160/_xlpm.ly-1,""))))</f>
        <v/>
      </c>
      <c r="P160" s="40" t="str" cm="1">
        <f t="array" ref="P160">IF($AI160="","",IF(LEFT($AI160,2)="C|",IF($C160="","",SUMPRODUCT($AP$5:$AP$302*($AO$5:$AO$302=$A160),$AS$5:$AS$302)),IF($AI160="CT",P$13,IF(LEFT($AI160,3)="AM|",IF($C160="","",SUMPRODUCT($AP$5:$AP$302*($AN$5:$AN$302=$A160),$AS$5:$AS$302)),IF(LEFT($AI160,2)="S|",IF($AG160="","",INDEX($AS$5:$AS$302,$AH160)),IF($AI160="HDR","Trans TY",""))))))</f>
        <v/>
      </c>
      <c r="Q160" s="40" t="str" cm="1">
        <f t="array" ref="Q160">IF($AI160="","",IF(LEFT($AI160,2)="C|",IF($C160="","",SUMPRODUCT($AP$5:$AP$302*($AO$5:$AO$302=$A160),$AU$5:$AU$302)),IF($AI160="CT",Q$13,IF(LEFT($AI160,3)="AM|",IF($C160="","",SUMPRODUCT($AP$5:$AP$302*($AN$5:$AN$302=$A160),$AU$5:$AU$302)),IF(LEFT($AI160,2)="S|",IF($AG160="","",INDEX($AU$5:$AU$302,$AH160)),IF($AI160="HDR","Trans LY",""))))))</f>
        <v/>
      </c>
      <c r="R160" s="41" t="str">
        <f t="shared" si="102"/>
        <v/>
      </c>
      <c r="S160" s="41" t="str">
        <f t="shared" si="103"/>
        <v/>
      </c>
      <c r="T160" s="42" t="str">
        <f t="shared" si="104"/>
        <v/>
      </c>
      <c r="U160" s="42" t="str">
        <f t="shared" si="105"/>
        <v/>
      </c>
      <c r="V160" s="41" t="str">
        <f t="shared" si="106"/>
        <v/>
      </c>
      <c r="W160" s="40" t="str" cm="1">
        <f t="array" ref="W160">IF($AI160="","",IF(LEFT($AI160,2)="C|",_xlfn.LET(_xlpm.n,SUMPRODUCT($AP$5:$AP$302*($AO$5:$AO$302=$A160),$BB$5:$BB$302),IF(_xlpm.n=0,"",_xlpm.n)),IF($AI160="CT",W$13,IF(LEFT($AI160,3)="AM|",_xlfn.LET(_xlpm.n,SUMPRODUCT($AP$5:$AP$302*($AN$5:$AN$302=$A160),$BB$5:$BB$302),IF(_xlpm.n=0,"",_xlpm.n)),IF(LEFT($AI160,2)="S|",IF($AG160="","",_xlfn.LET(_xlpm.n,INDEX($BB$5:$BB$302,$AH160),IF(_xlpm.n=0,"",_xlpm.n))),IF($AI160="HDR","Footfall",""))))))</f>
        <v/>
      </c>
      <c r="X160" s="40" t="str" cm="1">
        <f t="array" ref="X160">IF($AI160="","",IF($AI160="HDR","Trans (FF stores)",IF(W160="","",IF(LEFT($AI160,2)="C|",SUMPRODUCT($AP$5:$AP$302*($AO$5:$AO$302=$A160),$BC$5:$BC$302),IF($AI160="CT",X$13,IF(LEFT($AI160,3)="AM|",SUMPRODUCT($AP$5:$AP$302*($AN$5:$AN$302=$A160),$BC$5:$BC$302),IF(LEFT($AI160,2)="S|",INDEX($BC$5:$BC$302,$AH160),"")))))))</f>
        <v/>
      </c>
      <c r="Y160" s="41" t="str">
        <f t="shared" si="110"/>
        <v/>
      </c>
      <c r="Z160" s="40" t="str" cm="1">
        <f t="array" ref="Z160">IF($AI160="","",IF(LEFT($AI160,2)="C|",IF($C160="","",SUMPRODUCT($AP$5:$AP$302*($AO$5:$AO$302=$A160),$CB$5:$CB$302)),IF($AI160="CT",Z$13,IF(LEFT($AI160,3)="AM|",IF($C160="","",SUMPRODUCT($AP$5:$AP$302*($AN$5:$AN$302=$A160),$CB$5:$CB$302)),IF(LEFT($AI160,2)="S|",IF($AG160="","",INDEX($CB$5:$CB$302,$AH160)),IF($AI160="HDR","Makeup Sales",""))))))</f>
        <v/>
      </c>
      <c r="AA160" s="41" t="str">
        <f t="shared" si="107"/>
        <v/>
      </c>
      <c r="AB160" s="40" t="str" cm="1">
        <f t="array" ref="AB160">IF($AI160="","",IF(LEFT($AI160,2)="C|",IF($C160="","",SUMPRODUCT($AP$5:$AP$302*($AO$5:$AO$302=$A160),$CK$5:$CK$302)),IF($AI160="CT",AB$13,IF(LEFT($AI160,3)="AM|",IF($C160="","",SUMPRODUCT($AP$5:$AP$302*($AN$5:$AN$302=$A160),$CK$5:$CK$302)),IF(LEFT($AI160,2)="S|",IF($AG160="","",INDEX($CK$5:$CK$302,$AH160)),IF($AI160="HDR","Makeup Target",""))))))</f>
        <v/>
      </c>
      <c r="AC160" s="41" t="str">
        <f t="shared" si="111"/>
        <v/>
      </c>
      <c r="AD160" s="40" t="str" cm="1">
        <f t="array" ref="AD160">IF($AI160="","",IF(LEFT($AI160,2)="C|",IF($C160="","",SUMPRODUCT($AP$5:$AP$302*($AO$5:$AO$302=$A160),$CI$5:$CI$302)),IF($AI160="CT",AD$13,IF(LEFT($AI160,3)="AM|",IF($C160="","",SUMPRODUCT($AP$5:$AP$302*($AN$5:$AN$302=$A160),$CI$5:$CI$302)),IF(LEFT($AI160,2)="S|",IF($AG160="","",INDEX($CI$5:$CI$302,$AH160)),IF($AI160="HDR","Cosmetic Sales",""))))))</f>
        <v/>
      </c>
      <c r="AE160" s="8" t="str" cm="1">
        <f t="array" ref="AE160">IF($AI160="","",IF(LEFT($AI160,2)="C|",IF($C160="","",SUMPRODUCT($AP$5:$AP$302*($AO$5:$AO$302=$A160)*$AQ$5:$AQ$302,$AR$5:$AR$302)),IF($AI160="CT",AE$13,IF(LEFT($AI160,3)="AM|",IF($C160="","",SUMPRODUCT($AP$5:$AP$302*($AN$5:$AN$302=$A160)*$AQ$5:$AQ$302,$AR$5:$AR$302)),IF(LEFT($AI160,2)="S|",IF($AG160="","",IF(INDEX($AQ$5:$AQ$302,$AH160)=1,D160,0)),IF($AI160="HDR","LFL Sales",""))))))</f>
        <v/>
      </c>
      <c r="AF160" s="8" t="str" cm="1">
        <f t="array" ref="AF160">IF($AI160="","",IF(LEFT($AI160,2)="C|",IF($C160="","",SUMPRODUCT($AP$5:$AP$302*($AO$5:$AO$302=$A160)*$AQ$5:$AQ$302,$AS$5:$AS$302)),IF($AI160="CT",AF$13,IF(LEFT($AI160,3)="AM|",IF($C160="","",SUMPRODUCT($AP$5:$AP$302*($AN$5:$AN$302=$A160)*$AQ$5:$AQ$302,$AS$5:$AS$302)),IF(LEFT($AI160,2)="S|",IF($AG160="","",IF(INDEX($AQ$5:$AQ$302,$AH160)=1,P160,0)),IF($AI160="HDR","LFL Trans",""))))))</f>
        <v/>
      </c>
      <c r="AG160" s="8" t="str" cm="1">
        <f t="array" ref="AG160">IF($AI160="","",IF(LEFT($AI160,2)="C|","",IF($AI160="CT","",IF(LEFT($AI160,3)="AM|","",IF(LEFT($AI160,2)="S|",IF($AH160="","",IF(INDEX($AP$5:$AP$302,$AH160)=1,1,"")),IF($AI160="HDR","Show",""))))))</f>
        <v/>
      </c>
      <c r="AH160" s="8" t="str">
        <f t="shared" si="108"/>
        <v/>
      </c>
      <c r="AI160" s="8"/>
      <c r="AN160" s="8" t="str" cm="1">
        <f t="array" ref="AN160">IF($AW160="","",_xlfn.LET(_xlpm.sa,IFERROR(TRIM(INDEX('Sales and count'!$D$4:$D$300,$BF160)&amp;""),""),_xlpm.ta,IFERROR(TRIM(INDEX('TY Sales Target'!$F$5:$F$300,$BG160)&amp;""),""),IF(AND(_xlpm.sa&lt;&gt;"",LEFT(_xlpm.sa,1)&lt;&gt;"#",_xlpm.sa&lt;&gt;"0"),_xlpm.sa,IF(AND(_xlpm.ta&lt;&gt;"",LEFT(_xlpm.ta,1)&lt;&gt;"#",_xlpm.ta&lt;&gt;"0"),_xlpm.ta,IF(ISNUMBER($BG160),"Unassigned","")))))</f>
        <v/>
      </c>
      <c r="AO160" s="8" t="str" cm="1">
        <f t="array" ref="AO160">IF($AW160="","",_xlfn.LET(_xlpm.sa,IFERROR(TRIM(INDEX('Sales and count'!$C$4:$C$300,$BF160)&amp;""),""),_xlpm.ta,IFERROR(TRIM(INDEX('TY Sales Target'!$D$5:$D$300,$BG160)&amp;""),""),IF(AND(_xlpm.sa&lt;&gt;"",LEFT(_xlpm.sa,1)&lt;&gt;"#",_xlpm.sa&lt;&gt;"0"),_xlpm.sa,IF(AND(_xlpm.ta&lt;&gt;"",LEFT(_xlpm.ta,1)&lt;&gt;"#",_xlpm.ta&lt;&gt;"0"),_xlpm.ta,""))))</f>
        <v/>
      </c>
      <c r="AP160" s="8">
        <f t="shared" si="93"/>
        <v>0</v>
      </c>
      <c r="AQ160" s="8">
        <f t="shared" si="94"/>
        <v>0</v>
      </c>
      <c r="AR160" s="8" cm="1">
        <f t="array" ref="AR160">IF($BF160="",0,_xlfn.LET(_xlpm.d,IFERROR(--'Sales and count'!$G$2:$CC$2,0),SUMPRODUCT(('Sales and count'!$G$3:$CC$3="Total")*(_xlpm.d&gt;=$U$4)*(_xlpm.d&lt;=$U$5),INDEX('Sales and count'!$G$4:$CC$300,$BF160,0))))</f>
        <v>0</v>
      </c>
      <c r="AS160" s="8" cm="1">
        <f t="array" ref="AS160">IF($BF160="",0,_xlfn.LET(_xlpm.d,IFERROR(--'Sales and count'!$F$2:$CB$2,0),SUMPRODUCT(('Sales and count'!$G$3:$CC$3="Transactions")*(_xlpm.d&gt;=$U$4)*(_xlpm.d&lt;=$U$5),INDEX('Sales and count'!$G$4:$CC$300,$BF160,0))))</f>
        <v>0</v>
      </c>
      <c r="AT160" s="8" cm="1">
        <f t="array" ref="AT160">IF($AW160="",0,SUMPRODUCT((TRIM('LY Sales '!$B$5:$B$200)=$AW160)*('LY Sales '!$C$2:$AG$2&gt;=EDATE($U$4,-12))*('LY Sales '!$C$2:$AG$2&lt;=EDATE($U$5,-12)),'LY Sales '!$C$5:$AG$200))</f>
        <v>0</v>
      </c>
      <c r="AU160" s="8" cm="1">
        <f t="array" ref="AU160">IF($AW160="",0,SUMPRODUCT((TRIM('LY Transaction'!$B$5:$B$200)=$AW160)*('LY Transaction'!$C$2:$AG$2&gt;=EDATE($U$4,-12))*('LY Transaction'!$C$2:$AG$2&lt;=EDATE($U$5,-12)),'LY Transaction'!$C$5:$AG$200))</f>
        <v>0</v>
      </c>
      <c r="AV160" s="8" cm="1">
        <f t="array" ref="AV160">IF(NOT(ISNUMBER($BG160)),0,SUMPRODUCT(('TY Sales Target'!$K$2:$AO$2&gt;=$U$4)*('TY Sales Target'!$K$2:$AO$2&lt;=$U$5),INDEX('TY Sales Target'!$K$5:$AO$300,$BG160,0)))</f>
        <v>0</v>
      </c>
      <c r="AW160" s="8" t="str" cm="1">
        <f t="array" ref="AW160">IFERROR(INDEX(_xlfn.ANCHORARRAY($BR$5),ROWS($AW$5:AW160)),"")</f>
        <v/>
      </c>
      <c r="BB160" cm="1">
        <f t="array" ref="BB160">IF($AW160="",0,SUMPRODUCT((TRIM(Footfall!$B$5:$B$301)=$AW160)*(Footfall!$C$1:$BZ$1&gt;=$U$4)*(Footfall!$C$2:$BZ$2&lt;=$U$5)*(Footfall!$C$1:$BZ$1&lt;&gt;""),Footfall!$C$5:$BZ$301))</f>
        <v>0</v>
      </c>
      <c r="BC160" cm="1">
        <f t="array" ref="BC160">IF(OR($BB160&lt;=0,$BD$1="",$BF160=""),0,_xlfn.LET(_xlpm.d,IFERROR(--'Sales and count'!$F$2:$CB$2,0),SUMPRODUCT(('Sales and count'!$G$3:$CC$3="Transactions")*(_xlpm.d&gt;=$BD$1)*(_xlpm.d&lt;=$BD$2),INDEX('Sales and count'!$G$4:$CC$300,$BF160,0))))</f>
        <v>0</v>
      </c>
      <c r="BF160" t="str" cm="1">
        <f t="array" ref="BF160">IF($AW160="","",IFERROR(MATCH($AW160,TRIM('Sales and count'!$A$4:$A$300&amp;""),0),""))</f>
        <v/>
      </c>
      <c r="BG160" t="str" cm="1">
        <f t="array" ref="BG160">IF($AW160="","",IFERROR(MATCH(IFERROR(_xlfn.XLOOKUP($AW160,$BT$5:$BT$22,$BU$5:$BU$22),$AW160),TRIM('TY Sales Target'!$B$5:$B$300&amp;""),0),""))</f>
        <v/>
      </c>
      <c r="BH160" t="str" cm="1">
        <f t="array" ref="BH160">IF(ISNUMBER($BG160),_xlfn.LET(_xlpm.p,TRIM(INDEX('TY Sales Target'!$I$5:$I$300,$BG160)&amp;""),IF(_xlpm.p="","Not set",_xlpm.p)),"Not set")</f>
        <v>Not set</v>
      </c>
      <c r="BI160" cm="1">
        <f t="array" ref="BI160">IF($BF160="",0,_xlfn.LET(_xlpm.d,IFERROR(--'Sales and count'!$G$2:$CC$2,0),SUMPRODUCT(('Sales and count'!$G$3:$CC$3="Total")*(_xlpm.d&gt;=$BZ$5)*(_xlpm.d&lt;=$BZ$6),INDEX('Sales and count'!$G$4:$CC$300,$BF160,0))))</f>
        <v>0</v>
      </c>
      <c r="BJ160" cm="1">
        <f t="array" ref="BJ160">IF($AW160="",0,SUMPRODUCT((TRIM('LY Sales '!$B$5:$B$200)=$AW160)*('LY Sales '!$C$2:$AG$2&gt;=EDATE($BZ$5,-12))*('LY Sales '!$C$2:$AG$2&lt;=EDATE($BZ$6,-12)),'LY Sales '!$C$5:$AG$200))</f>
        <v>0</v>
      </c>
      <c r="BK160" cm="1">
        <f t="array" ref="BK160">IF($AW160="",0,SUMPRODUCT((TRIM('LY Sales '!$B$5:$B$200)=$AW160)*('LY Sales '!$C$2:$AG$2&gt;=EDATE($BZ$5,-12))*('LY Sales '!$C$2:$AG$2&lt;=EDATE($BZ$7,-12)),'LY Sales '!$C$5:$AG$200))</f>
        <v>0</v>
      </c>
      <c r="BL160" cm="1">
        <f t="array" ref="BL160">IF($AW160="",0,SUMPRODUCT((TRIM('LY Sales '!$B$5:$B$200)=$AW160)*('LY Sales '!$C$2:$AG$2&gt;=EDATE($BZ$5,-12))*('LY Sales '!$C$2:$AG$2&lt;=EDATE($BZ$6,-12))*('LY Sales '!$C$5:$AG$200&gt;0)))</f>
        <v>0</v>
      </c>
      <c r="BM160" cm="1">
        <f t="array" ref="BM160">IF(NOT(ISNUMBER($BG160)),0,SUMPRODUCT(('TY Sales Target'!$K$2:$AO$2&gt;=$BZ$5)*('TY Sales Target'!$K$2:$AO$2&lt;=$BZ$6),INDEX('TY Sales Target'!$K$5:$AO$300,$BG160,0)))</f>
        <v>0</v>
      </c>
      <c r="BN160" cm="1">
        <f t="array" ref="BN160">IF(NOT(ISNUMBER($BG160)),0,SUMPRODUCT(('TY Sales Target'!$K$2:$AO$2&gt;=$BZ$5)*('TY Sales Target'!$K$2:$AO$2&lt;=$BZ$7),INDEX('TY Sales Target'!$K$5:$AO$300,$BG160,0)))</f>
        <v>0</v>
      </c>
      <c r="BO160" cm="1">
        <f t="array" ref="BO160">IF($AW160="",0,IFERROR(_xlfn.SWITCH($BP160,"LY trend",$BI160*$BK160/$BJ160,"Target curve",$BI160*$BN160/$BM160,"Run rate",$BI160/$BZ$8*$BZ$9,0),0))</f>
        <v>0</v>
      </c>
      <c r="BP160" t="str">
        <f t="shared" si="92"/>
        <v/>
      </c>
      <c r="CB160" cm="1">
        <f t="array" ref="CB160">IF($AW160="",0,_xlfn.LET(_xlpm.k,IFERROR(_xlfn.XLOOKUP($AW160,$CD$6:$CD$21,$CE$6:$CE$21),$AW160),SUMPRODUCT((TRIM('Makeup '!$A$2:$A$300&amp;"")=_xlpm.k)*1,IFERROR('Makeup '!$F$2:$F$300*1,0))))</f>
        <v>0</v>
      </c>
      <c r="CF160" t="str" cm="1">
        <f t="array" ref="CF160">IF($AW160="","",_xlfn.LET(_xlpm.c,IFERROR(TRIM(INDEX('Sales and count'!$B$4:$B$300,$BF160)&amp;""),""),IF(OR(_xlpm.c="",_xlpm.c="0",LEFT(_xlpm.c,1)="#"),"Not set",_xlpm.c)))</f>
        <v/>
      </c>
      <c r="CH160" cm="1">
        <f t="array" ref="CH160">IF($AW160="",0,_xlfn.LET(_xlpm.k,IFERROR(_xlfn.XLOOKUP($AW160,$CD$6:$CD$21,$CE$6:$CE$21),$AW160),--(SUMPRODUCT((TRIM('Makeup '!$A$2:$A$300&amp;"")=_xlpm.k)*ISNUMBER('Makeup '!$F$2:$F$300))&gt;0)))</f>
        <v>0</v>
      </c>
      <c r="CI160">
        <f t="shared" si="95"/>
        <v>0</v>
      </c>
      <c r="CJ160" cm="1">
        <f t="array" ref="CJ160">IF($AW160="",0,--(SUMPRODUCT(--(TRIM(Footfall!$B$5:$B$301)=$AW160))&gt;0))</f>
        <v>0</v>
      </c>
      <c r="CK160" s="8" cm="1">
        <f t="array" ref="CK160">IF($AW160="",0,_xlfn.LET(_xlpm.r,IFERROR(MATCH(IFERROR(_xlfn.XLOOKUP($AW160,$BT$5:$BT$22,$BU$5:$BU$22),$AW160),TRIM('TY Beauty Target'!$B$5:$B$300&amp;""),0),""),IF(ISNUMBER(_xlpm.r),SUMPRODUCT(('TY Beauty Target'!$L$2:$AP$2&gt;=$U$4)*('TY Beauty Target'!$L$2:$AP$2&lt;=$U$5),INDEX('TY Beauty Target'!$L$5:$AP$300,_xlpm.r,0)),0)))</f>
        <v>0</v>
      </c>
    </row>
    <row r="161" spans="1:89" ht="15" customHeight="1" x14ac:dyDescent="0.25">
      <c r="A161" s="38" t="str">
        <f t="shared" si="96"/>
        <v/>
      </c>
      <c r="B161" s="43" t="str" cm="1">
        <f t="array" ref="B161">IF($AI161="","",IF(LEFT($AI161,2)="C|",IF($C161="","",_xlfn.TEXTJOIN(", ",TRUE,_xlfn.UNIQUE(_xlfn._xlws.FILTER($AN$5:$AN$302,($AP$5:$AP$302=1)*($AO$5:$AO$302=$A161))))),IF($AI161="CT",B$13,IF(LEFT($AI161,3)="AM|",IF($C161="","",ROWS(_xlfn.UNIQUE(_xlfn._xlws.FILTER($AO$5:$AO$302,($AP$5:$AP$302=1)*($AN$5:$AN$302=$A161))))),IF(LEFT($AI161,2)="S|",IF($AG161="","",INDEX($AO$5:$AO$302,$AH161)),IF($AI161="HDR","City",""))))))</f>
        <v/>
      </c>
      <c r="C161" s="39" t="str" cm="1">
        <f t="array" ref="C161">IF($AI161="","",IF(LEFT($AI161,2)="C|",_xlfn.LET(_xlpm.n,SUMPRODUCT($AP$5:$AP$302*($AO$5:$AO$302=$A161)),IF(_xlpm.n=0,"",_xlpm.n)),IF($AI161="CT",C$13,IF(LEFT($AI161,3)="AM|",_xlfn.LET(_xlpm.n,SUMPRODUCT($AP$5:$AP$302*($AN$5:$AN$302=$A161)),IF(_xlpm.n=0,"",_xlpm.n)),IF(LEFT($AI161,2)="S|","",IF($AI161="HDR","# Stores",""))))))</f>
        <v/>
      </c>
      <c r="D161" s="40" t="str" cm="1">
        <f t="array" ref="D161">IF($AI161="","",IF(LEFT($AI161,2)="C|",IF($C161="","",SUMPRODUCT($AP$5:$AP$302*($AO$5:$AO$302=$A161),$AR$5:$AR$302)),IF($AI161="CT",D$13,IF(LEFT($AI161,3)="AM|",IF($C161="","",SUMPRODUCT($AP$5:$AP$302*($AN$5:$AN$302=$A161),$AR$5:$AR$302)),IF(LEFT($AI161,2)="S|",IF($AG161="","",INDEX($AR$5:$AR$302,$AH161)),IF($AI161="HDR","Sales TY",""))))))</f>
        <v/>
      </c>
      <c r="E161" s="40" t="str" cm="1">
        <f t="array" ref="E161">IF($AI161="","",IF(LEFT($AI161,2)="C|",IF($C161="","",SUMPRODUCT($AP$5:$AP$302*($AO$5:$AO$302=$A161),$AT$5:$AT$302)),IF($AI161="CT",E$13,IF(LEFT($AI161,3)="AM|",IF($C161="","",SUMPRODUCT($AP$5:$AP$302*($AN$5:$AN$302=$A161),$AT$5:$AT$302)),IF(LEFT($AI161,2)="S|",IF($AG161="","",INDEX($AT$5:$AT$302,$AH161)),IF($AI161="HDR","Sales LY",""))))))</f>
        <v/>
      </c>
      <c r="F161" s="41" t="str">
        <f t="shared" si="97"/>
        <v/>
      </c>
      <c r="G161" s="41" t="str">
        <f t="shared" si="98"/>
        <v/>
      </c>
      <c r="H161" s="40" t="str" cm="1">
        <f t="array" ref="H161">IF($AI161="","",IF(LEFT($AI161,2)="C|",IF($C161="","",SUMPRODUCT($AP$5:$AP$302*($AO$5:$AO$302=$A161),$AV$5:$AV$302)),IF($AI161="CT",H$13,IF(LEFT($AI161,3)="AM|",IF($C161="","",SUMPRODUCT($AP$5:$AP$302*($AN$5:$AN$302=$A161),$AV$5:$AV$302)),IF(LEFT($AI161,2)="S|",IF($AG161="","",INDEX($AV$5:$AV$302,$AH161)),IF($AI161="HDR","Target",""))))))</f>
        <v/>
      </c>
      <c r="I161" s="41" t="str">
        <f t="shared" si="99"/>
        <v/>
      </c>
      <c r="J161" s="40" t="str">
        <f t="shared" si="100"/>
        <v/>
      </c>
      <c r="K161" s="41" t="str">
        <f t="shared" si="101"/>
        <v/>
      </c>
      <c r="L161" s="40" t="str" cm="1">
        <f t="array" ref="L161">IF($AI161="","",IF(LEFT($AI161,2)="C|",IF($C161="","",SUMPRODUCT($AP$5:$AP$302*($AO$5:$AO$302=$A161),$BN$5:$BN$302)),IF($AI161="CT",L$13,IF(LEFT($AI161,3)="AM|",IF($C161="","",SUMPRODUCT($AP$5:$AP$302*($AN$5:$AN$302=$A161),$BN$5:$BN$302)),IF(LEFT($AI161,2)="S|",IF($AG161="","",INDEX($BN$5:$BN$302,$AH161)),IF($AI161="HDR","Month Target",""))))))</f>
        <v/>
      </c>
      <c r="M161" s="40" t="str" cm="1">
        <f t="array" ref="M161">IF($AI161="","",IF(LEFT($AI161,2)="C|",IF($C161="","",SUMPRODUCT($AP$5:$AP$302*($AO$5:$AO$302=$A161),$BO$5:$BO$302)),IF($AI161="CT",M$13,IF(LEFT($AI161,3)="AM|",IF($C161="","",SUMPRODUCT($AP$5:$AP$302*($AN$5:$AN$302=$A161),$BO$5:$BO$302)),IF(LEFT($AI161,2)="S|",IF($AG161="","",INDEX($BO$5:$BO$302,$AH161)),IF($AI161="HDR","Projected Close",""))))))</f>
        <v/>
      </c>
      <c r="N161" s="41" t="str">
        <f t="shared" si="109"/>
        <v/>
      </c>
      <c r="O161" s="41" t="str" cm="1">
        <f t="array" ref="O161">IF($AI161="HDR","Proj. vs LY",IF(OR($AI161="",M161=""),"",_xlfn.LET(_xlpm.ly,IF(LEFT($AI161,2)="C|",SUMPRODUCT($AP$5:$AP$302*($AO$5:$AO$302=$A161),$BK$5:$BK$302),IF($AI161="CT",SUMPRODUCT($AP$5:$AP$302,$BK$5:$BK$302),IF(LEFT($AI161,3)="AM|",SUMPRODUCT($AP$5:$AP$302*($AN$5:$AN$302=$A161),$BK$5:$BK$302),IF(LEFT($AI161,2)="S|",INDEX($BK$5:$BK$302,$AH161),0)))),IFERROR(M161/_xlpm.ly-1,""))))</f>
        <v/>
      </c>
      <c r="P161" s="40" t="str" cm="1">
        <f t="array" ref="P161">IF($AI161="","",IF(LEFT($AI161,2)="C|",IF($C161="","",SUMPRODUCT($AP$5:$AP$302*($AO$5:$AO$302=$A161),$AS$5:$AS$302)),IF($AI161="CT",P$13,IF(LEFT($AI161,3)="AM|",IF($C161="","",SUMPRODUCT($AP$5:$AP$302*($AN$5:$AN$302=$A161),$AS$5:$AS$302)),IF(LEFT($AI161,2)="S|",IF($AG161="","",INDEX($AS$5:$AS$302,$AH161)),IF($AI161="HDR","Trans TY",""))))))</f>
        <v/>
      </c>
      <c r="Q161" s="40" t="str" cm="1">
        <f t="array" ref="Q161">IF($AI161="","",IF(LEFT($AI161,2)="C|",IF($C161="","",SUMPRODUCT($AP$5:$AP$302*($AO$5:$AO$302=$A161),$AU$5:$AU$302)),IF($AI161="CT",Q$13,IF(LEFT($AI161,3)="AM|",IF($C161="","",SUMPRODUCT($AP$5:$AP$302*($AN$5:$AN$302=$A161),$AU$5:$AU$302)),IF(LEFT($AI161,2)="S|",IF($AG161="","",INDEX($AU$5:$AU$302,$AH161)),IF($AI161="HDR","Trans LY",""))))))</f>
        <v/>
      </c>
      <c r="R161" s="41" t="str">
        <f t="shared" si="102"/>
        <v/>
      </c>
      <c r="S161" s="41" t="str">
        <f t="shared" si="103"/>
        <v/>
      </c>
      <c r="T161" s="42" t="str">
        <f t="shared" si="104"/>
        <v/>
      </c>
      <c r="U161" s="42" t="str">
        <f t="shared" si="105"/>
        <v/>
      </c>
      <c r="V161" s="41" t="str">
        <f t="shared" si="106"/>
        <v/>
      </c>
      <c r="W161" s="40" t="str" cm="1">
        <f t="array" ref="W161">IF($AI161="","",IF(LEFT($AI161,2)="C|",_xlfn.LET(_xlpm.n,SUMPRODUCT($AP$5:$AP$302*($AO$5:$AO$302=$A161),$BB$5:$BB$302),IF(_xlpm.n=0,"",_xlpm.n)),IF($AI161="CT",W$13,IF(LEFT($AI161,3)="AM|",_xlfn.LET(_xlpm.n,SUMPRODUCT($AP$5:$AP$302*($AN$5:$AN$302=$A161),$BB$5:$BB$302),IF(_xlpm.n=0,"",_xlpm.n)),IF(LEFT($AI161,2)="S|",IF($AG161="","",_xlfn.LET(_xlpm.n,INDEX($BB$5:$BB$302,$AH161),IF(_xlpm.n=0,"",_xlpm.n))),IF($AI161="HDR","Footfall",""))))))</f>
        <v/>
      </c>
      <c r="X161" s="40" t="str" cm="1">
        <f t="array" ref="X161">IF($AI161="","",IF($AI161="HDR","Trans (FF stores)",IF(W161="","",IF(LEFT($AI161,2)="C|",SUMPRODUCT($AP$5:$AP$302*($AO$5:$AO$302=$A161),$BC$5:$BC$302),IF($AI161="CT",X$13,IF(LEFT($AI161,3)="AM|",SUMPRODUCT($AP$5:$AP$302*($AN$5:$AN$302=$A161),$BC$5:$BC$302),IF(LEFT($AI161,2)="S|",INDEX($BC$5:$BC$302,$AH161),"")))))))</f>
        <v/>
      </c>
      <c r="Y161" s="41" t="str">
        <f t="shared" si="110"/>
        <v/>
      </c>
      <c r="Z161" s="40" t="str" cm="1">
        <f t="array" ref="Z161">IF($AI161="","",IF(LEFT($AI161,2)="C|",IF($C161="","",SUMPRODUCT($AP$5:$AP$302*($AO$5:$AO$302=$A161),$CB$5:$CB$302)),IF($AI161="CT",Z$13,IF(LEFT($AI161,3)="AM|",IF($C161="","",SUMPRODUCT($AP$5:$AP$302*($AN$5:$AN$302=$A161),$CB$5:$CB$302)),IF(LEFT($AI161,2)="S|",IF($AG161="","",INDEX($CB$5:$CB$302,$AH161)),IF($AI161="HDR","Makeup Sales",""))))))</f>
        <v/>
      </c>
      <c r="AA161" s="41" t="str">
        <f t="shared" si="107"/>
        <v/>
      </c>
      <c r="AB161" s="40" t="str" cm="1">
        <f t="array" ref="AB161">IF($AI161="","",IF(LEFT($AI161,2)="C|",IF($C161="","",SUMPRODUCT($AP$5:$AP$302*($AO$5:$AO$302=$A161),$CK$5:$CK$302)),IF($AI161="CT",AB$13,IF(LEFT($AI161,3)="AM|",IF($C161="","",SUMPRODUCT($AP$5:$AP$302*($AN$5:$AN$302=$A161),$CK$5:$CK$302)),IF(LEFT($AI161,2)="S|",IF($AG161="","",INDEX($CK$5:$CK$302,$AH161)),IF($AI161="HDR","Makeup Target",""))))))</f>
        <v/>
      </c>
      <c r="AC161" s="41" t="str">
        <f t="shared" si="111"/>
        <v/>
      </c>
      <c r="AD161" s="40" t="str" cm="1">
        <f t="array" ref="AD161">IF($AI161="","",IF(LEFT($AI161,2)="C|",IF($C161="","",SUMPRODUCT($AP$5:$AP$302*($AO$5:$AO$302=$A161),$CI$5:$CI$302)),IF($AI161="CT",AD$13,IF(LEFT($AI161,3)="AM|",IF($C161="","",SUMPRODUCT($AP$5:$AP$302*($AN$5:$AN$302=$A161),$CI$5:$CI$302)),IF(LEFT($AI161,2)="S|",IF($AG161="","",INDEX($CI$5:$CI$302,$AH161)),IF($AI161="HDR","Cosmetic Sales",""))))))</f>
        <v/>
      </c>
      <c r="AE161" s="8" t="str" cm="1">
        <f t="array" ref="AE161">IF($AI161="","",IF(LEFT($AI161,2)="C|",IF($C161="","",SUMPRODUCT($AP$5:$AP$302*($AO$5:$AO$302=$A161)*$AQ$5:$AQ$302,$AR$5:$AR$302)),IF($AI161="CT",AE$13,IF(LEFT($AI161,3)="AM|",IF($C161="","",SUMPRODUCT($AP$5:$AP$302*($AN$5:$AN$302=$A161)*$AQ$5:$AQ$302,$AR$5:$AR$302)),IF(LEFT($AI161,2)="S|",IF($AG161="","",IF(INDEX($AQ$5:$AQ$302,$AH161)=1,D161,0)),IF($AI161="HDR","LFL Sales",""))))))</f>
        <v/>
      </c>
      <c r="AF161" s="8" t="str" cm="1">
        <f t="array" ref="AF161">IF($AI161="","",IF(LEFT($AI161,2)="C|",IF($C161="","",SUMPRODUCT($AP$5:$AP$302*($AO$5:$AO$302=$A161)*$AQ$5:$AQ$302,$AS$5:$AS$302)),IF($AI161="CT",AF$13,IF(LEFT($AI161,3)="AM|",IF($C161="","",SUMPRODUCT($AP$5:$AP$302*($AN$5:$AN$302=$A161)*$AQ$5:$AQ$302,$AS$5:$AS$302)),IF(LEFT($AI161,2)="S|",IF($AG161="","",IF(INDEX($AQ$5:$AQ$302,$AH161)=1,P161,0)),IF($AI161="HDR","LFL Trans",""))))))</f>
        <v/>
      </c>
      <c r="AG161" s="8" t="str" cm="1">
        <f t="array" ref="AG161">IF($AI161="","",IF(LEFT($AI161,2)="C|","",IF($AI161="CT","",IF(LEFT($AI161,3)="AM|","",IF(LEFT($AI161,2)="S|",IF($AH161="","",IF(INDEX($AP$5:$AP$302,$AH161)=1,1,"")),IF($AI161="HDR","Show",""))))))</f>
        <v/>
      </c>
      <c r="AH161" s="8" t="str">
        <f t="shared" si="108"/>
        <v/>
      </c>
      <c r="AI161" s="8"/>
      <c r="AN161" s="8" t="str" cm="1">
        <f t="array" ref="AN161">IF($AW161="","",_xlfn.LET(_xlpm.sa,IFERROR(TRIM(INDEX('Sales and count'!$D$4:$D$300,$BF161)&amp;""),""),_xlpm.ta,IFERROR(TRIM(INDEX('TY Sales Target'!$F$5:$F$300,$BG161)&amp;""),""),IF(AND(_xlpm.sa&lt;&gt;"",LEFT(_xlpm.sa,1)&lt;&gt;"#",_xlpm.sa&lt;&gt;"0"),_xlpm.sa,IF(AND(_xlpm.ta&lt;&gt;"",LEFT(_xlpm.ta,1)&lt;&gt;"#",_xlpm.ta&lt;&gt;"0"),_xlpm.ta,IF(ISNUMBER($BG161),"Unassigned","")))))</f>
        <v/>
      </c>
      <c r="AO161" s="8" t="str" cm="1">
        <f t="array" ref="AO161">IF($AW161="","",_xlfn.LET(_xlpm.sa,IFERROR(TRIM(INDEX('Sales and count'!$C$4:$C$300,$BF161)&amp;""),""),_xlpm.ta,IFERROR(TRIM(INDEX('TY Sales Target'!$D$5:$D$300,$BG161)&amp;""),""),IF(AND(_xlpm.sa&lt;&gt;"",LEFT(_xlpm.sa,1)&lt;&gt;"#",_xlpm.sa&lt;&gt;"0"),_xlpm.sa,IF(AND(_xlpm.ta&lt;&gt;"",LEFT(_xlpm.ta,1)&lt;&gt;"#",_xlpm.ta&lt;&gt;"0"),_xlpm.ta,""))))</f>
        <v/>
      </c>
      <c r="AP161" s="8">
        <f t="shared" si="93"/>
        <v>0</v>
      </c>
      <c r="AQ161" s="8">
        <f t="shared" si="94"/>
        <v>0</v>
      </c>
      <c r="AR161" s="8" cm="1">
        <f t="array" ref="AR161">IF($BF161="",0,_xlfn.LET(_xlpm.d,IFERROR(--'Sales and count'!$G$2:$CC$2,0),SUMPRODUCT(('Sales and count'!$G$3:$CC$3="Total")*(_xlpm.d&gt;=$U$4)*(_xlpm.d&lt;=$U$5),INDEX('Sales and count'!$G$4:$CC$300,$BF161,0))))</f>
        <v>0</v>
      </c>
      <c r="AS161" s="8" cm="1">
        <f t="array" ref="AS161">IF($BF161="",0,_xlfn.LET(_xlpm.d,IFERROR(--'Sales and count'!$F$2:$CB$2,0),SUMPRODUCT(('Sales and count'!$G$3:$CC$3="Transactions")*(_xlpm.d&gt;=$U$4)*(_xlpm.d&lt;=$U$5),INDEX('Sales and count'!$G$4:$CC$300,$BF161,0))))</f>
        <v>0</v>
      </c>
      <c r="AT161" s="8" cm="1">
        <f t="array" ref="AT161">IF($AW161="",0,SUMPRODUCT((TRIM('LY Sales '!$B$5:$B$200)=$AW161)*('LY Sales '!$C$2:$AG$2&gt;=EDATE($U$4,-12))*('LY Sales '!$C$2:$AG$2&lt;=EDATE($U$5,-12)),'LY Sales '!$C$5:$AG$200))</f>
        <v>0</v>
      </c>
      <c r="AU161" s="8" cm="1">
        <f t="array" ref="AU161">IF($AW161="",0,SUMPRODUCT((TRIM('LY Transaction'!$B$5:$B$200)=$AW161)*('LY Transaction'!$C$2:$AG$2&gt;=EDATE($U$4,-12))*('LY Transaction'!$C$2:$AG$2&lt;=EDATE($U$5,-12)),'LY Transaction'!$C$5:$AG$200))</f>
        <v>0</v>
      </c>
      <c r="AV161" s="8" cm="1">
        <f t="array" ref="AV161">IF(NOT(ISNUMBER($BG161)),0,SUMPRODUCT(('TY Sales Target'!$K$2:$AO$2&gt;=$U$4)*('TY Sales Target'!$K$2:$AO$2&lt;=$U$5),INDEX('TY Sales Target'!$K$5:$AO$300,$BG161,0)))</f>
        <v>0</v>
      </c>
      <c r="AW161" s="8" t="str" cm="1">
        <f t="array" ref="AW161">IFERROR(INDEX(_xlfn.ANCHORARRAY($BR$5),ROWS($AW$5:AW161)),"")</f>
        <v/>
      </c>
      <c r="BB161" cm="1">
        <f t="array" ref="BB161">IF($AW161="",0,SUMPRODUCT((TRIM(Footfall!$B$5:$B$301)=$AW161)*(Footfall!$C$1:$BZ$1&gt;=$U$4)*(Footfall!$C$2:$BZ$2&lt;=$U$5)*(Footfall!$C$1:$BZ$1&lt;&gt;""),Footfall!$C$5:$BZ$301))</f>
        <v>0</v>
      </c>
      <c r="BC161" cm="1">
        <f t="array" ref="BC161">IF(OR($BB161&lt;=0,$BD$1="",$BF161=""),0,_xlfn.LET(_xlpm.d,IFERROR(--'Sales and count'!$F$2:$CB$2,0),SUMPRODUCT(('Sales and count'!$G$3:$CC$3="Transactions")*(_xlpm.d&gt;=$BD$1)*(_xlpm.d&lt;=$BD$2),INDEX('Sales and count'!$G$4:$CC$300,$BF161,0))))</f>
        <v>0</v>
      </c>
      <c r="BF161" t="str" cm="1">
        <f t="array" ref="BF161">IF($AW161="","",IFERROR(MATCH($AW161,TRIM('Sales and count'!$A$4:$A$300&amp;""),0),""))</f>
        <v/>
      </c>
      <c r="BG161" t="str" cm="1">
        <f t="array" ref="BG161">IF($AW161="","",IFERROR(MATCH(IFERROR(_xlfn.XLOOKUP($AW161,$BT$5:$BT$22,$BU$5:$BU$22),$AW161),TRIM('TY Sales Target'!$B$5:$B$300&amp;""),0),""))</f>
        <v/>
      </c>
      <c r="BH161" t="str" cm="1">
        <f t="array" ref="BH161">IF(ISNUMBER($BG161),_xlfn.LET(_xlpm.p,TRIM(INDEX('TY Sales Target'!$I$5:$I$300,$BG161)&amp;""),IF(_xlpm.p="","Not set",_xlpm.p)),"Not set")</f>
        <v>Not set</v>
      </c>
      <c r="BI161" cm="1">
        <f t="array" ref="BI161">IF($BF161="",0,_xlfn.LET(_xlpm.d,IFERROR(--'Sales and count'!$G$2:$CC$2,0),SUMPRODUCT(('Sales and count'!$G$3:$CC$3="Total")*(_xlpm.d&gt;=$BZ$5)*(_xlpm.d&lt;=$BZ$6),INDEX('Sales and count'!$G$4:$CC$300,$BF161,0))))</f>
        <v>0</v>
      </c>
      <c r="BJ161" cm="1">
        <f t="array" ref="BJ161">IF($AW161="",0,SUMPRODUCT((TRIM('LY Sales '!$B$5:$B$200)=$AW161)*('LY Sales '!$C$2:$AG$2&gt;=EDATE($BZ$5,-12))*('LY Sales '!$C$2:$AG$2&lt;=EDATE($BZ$6,-12)),'LY Sales '!$C$5:$AG$200))</f>
        <v>0</v>
      </c>
      <c r="BK161" cm="1">
        <f t="array" ref="BK161">IF($AW161="",0,SUMPRODUCT((TRIM('LY Sales '!$B$5:$B$200)=$AW161)*('LY Sales '!$C$2:$AG$2&gt;=EDATE($BZ$5,-12))*('LY Sales '!$C$2:$AG$2&lt;=EDATE($BZ$7,-12)),'LY Sales '!$C$5:$AG$200))</f>
        <v>0</v>
      </c>
      <c r="BL161" cm="1">
        <f t="array" ref="BL161">IF($AW161="",0,SUMPRODUCT((TRIM('LY Sales '!$B$5:$B$200)=$AW161)*('LY Sales '!$C$2:$AG$2&gt;=EDATE($BZ$5,-12))*('LY Sales '!$C$2:$AG$2&lt;=EDATE($BZ$6,-12))*('LY Sales '!$C$5:$AG$200&gt;0)))</f>
        <v>0</v>
      </c>
      <c r="BM161" cm="1">
        <f t="array" ref="BM161">IF(NOT(ISNUMBER($BG161)),0,SUMPRODUCT(('TY Sales Target'!$K$2:$AO$2&gt;=$BZ$5)*('TY Sales Target'!$K$2:$AO$2&lt;=$BZ$6),INDEX('TY Sales Target'!$K$5:$AO$300,$BG161,0)))</f>
        <v>0</v>
      </c>
      <c r="BN161" cm="1">
        <f t="array" ref="BN161">IF(NOT(ISNUMBER($BG161)),0,SUMPRODUCT(('TY Sales Target'!$K$2:$AO$2&gt;=$BZ$5)*('TY Sales Target'!$K$2:$AO$2&lt;=$BZ$7),INDEX('TY Sales Target'!$K$5:$AO$300,$BG161,0)))</f>
        <v>0</v>
      </c>
      <c r="BO161" cm="1">
        <f t="array" ref="BO161">IF($AW161="",0,IFERROR(_xlfn.SWITCH($BP161,"LY trend",$BI161*$BK161/$BJ161,"Target curve",$BI161*$BN161/$BM161,"Run rate",$BI161/$BZ$8*$BZ$9,0),0))</f>
        <v>0</v>
      </c>
      <c r="BP161" t="str">
        <f t="shared" si="92"/>
        <v/>
      </c>
      <c r="CB161" cm="1">
        <f t="array" ref="CB161">IF($AW161="",0,_xlfn.LET(_xlpm.k,IFERROR(_xlfn.XLOOKUP($AW161,$CD$6:$CD$21,$CE$6:$CE$21),$AW161),SUMPRODUCT((TRIM('Makeup '!$A$2:$A$300&amp;"")=_xlpm.k)*1,IFERROR('Makeup '!$F$2:$F$300*1,0))))</f>
        <v>0</v>
      </c>
      <c r="CF161" t="str" cm="1">
        <f t="array" ref="CF161">IF($AW161="","",_xlfn.LET(_xlpm.c,IFERROR(TRIM(INDEX('Sales and count'!$B$4:$B$300,$BF161)&amp;""),""),IF(OR(_xlpm.c="",_xlpm.c="0",LEFT(_xlpm.c,1)="#"),"Not set",_xlpm.c)))</f>
        <v/>
      </c>
      <c r="CH161" cm="1">
        <f t="array" ref="CH161">IF($AW161="",0,_xlfn.LET(_xlpm.k,IFERROR(_xlfn.XLOOKUP($AW161,$CD$6:$CD$21,$CE$6:$CE$21),$AW161),--(SUMPRODUCT((TRIM('Makeup '!$A$2:$A$300&amp;"")=_xlpm.k)*ISNUMBER('Makeup '!$F$2:$F$300))&gt;0)))</f>
        <v>0</v>
      </c>
      <c r="CI161">
        <f t="shared" si="95"/>
        <v>0</v>
      </c>
      <c r="CJ161" cm="1">
        <f t="array" ref="CJ161">IF($AW161="",0,--(SUMPRODUCT(--(TRIM(Footfall!$B$5:$B$301)=$AW161))&gt;0))</f>
        <v>0</v>
      </c>
      <c r="CK161" s="8" cm="1">
        <f t="array" ref="CK161">IF($AW161="",0,_xlfn.LET(_xlpm.r,IFERROR(MATCH(IFERROR(_xlfn.XLOOKUP($AW161,$BT$5:$BT$22,$BU$5:$BU$22),$AW161),TRIM('TY Beauty Target'!$B$5:$B$300&amp;""),0),""),IF(ISNUMBER(_xlpm.r),SUMPRODUCT(('TY Beauty Target'!$L$2:$AP$2&gt;=$U$4)*('TY Beauty Target'!$L$2:$AP$2&lt;=$U$5),INDEX('TY Beauty Target'!$L$5:$AP$300,_xlpm.r,0)),0)))</f>
        <v>0</v>
      </c>
    </row>
    <row r="162" spans="1:89" ht="15" customHeight="1" x14ac:dyDescent="0.25">
      <c r="A162" s="38" t="str">
        <f t="shared" si="96"/>
        <v/>
      </c>
      <c r="B162" s="43" t="str" cm="1">
        <f t="array" ref="B162">IF($AI162="","",IF(LEFT($AI162,2)="C|",IF($C162="","",_xlfn.TEXTJOIN(", ",TRUE,_xlfn.UNIQUE(_xlfn._xlws.FILTER($AN$5:$AN$302,($AP$5:$AP$302=1)*($AO$5:$AO$302=$A162))))),IF($AI162="CT",B$13,IF(LEFT($AI162,3)="AM|",IF($C162="","",ROWS(_xlfn.UNIQUE(_xlfn._xlws.FILTER($AO$5:$AO$302,($AP$5:$AP$302=1)*($AN$5:$AN$302=$A162))))),IF(LEFT($AI162,2)="S|",IF($AG162="","",INDEX($AO$5:$AO$302,$AH162)),IF($AI162="HDR","City",""))))))</f>
        <v/>
      </c>
      <c r="C162" s="39" t="str" cm="1">
        <f t="array" ref="C162">IF($AI162="","",IF(LEFT($AI162,2)="C|",_xlfn.LET(_xlpm.n,SUMPRODUCT($AP$5:$AP$302*($AO$5:$AO$302=$A162)),IF(_xlpm.n=0,"",_xlpm.n)),IF($AI162="CT",C$13,IF(LEFT($AI162,3)="AM|",_xlfn.LET(_xlpm.n,SUMPRODUCT($AP$5:$AP$302*($AN$5:$AN$302=$A162)),IF(_xlpm.n=0,"",_xlpm.n)),IF(LEFT($AI162,2)="S|","",IF($AI162="HDR","# Stores",""))))))</f>
        <v/>
      </c>
      <c r="D162" s="40" t="str" cm="1">
        <f t="array" ref="D162">IF($AI162="","",IF(LEFT($AI162,2)="C|",IF($C162="","",SUMPRODUCT($AP$5:$AP$302*($AO$5:$AO$302=$A162),$AR$5:$AR$302)),IF($AI162="CT",D$13,IF(LEFT($AI162,3)="AM|",IF($C162="","",SUMPRODUCT($AP$5:$AP$302*($AN$5:$AN$302=$A162),$AR$5:$AR$302)),IF(LEFT($AI162,2)="S|",IF($AG162="","",INDEX($AR$5:$AR$302,$AH162)),IF($AI162="HDR","Sales TY",""))))))</f>
        <v/>
      </c>
      <c r="E162" s="40" t="str" cm="1">
        <f t="array" ref="E162">IF($AI162="","",IF(LEFT($AI162,2)="C|",IF($C162="","",SUMPRODUCT($AP$5:$AP$302*($AO$5:$AO$302=$A162),$AT$5:$AT$302)),IF($AI162="CT",E$13,IF(LEFT($AI162,3)="AM|",IF($C162="","",SUMPRODUCT($AP$5:$AP$302*($AN$5:$AN$302=$A162),$AT$5:$AT$302)),IF(LEFT($AI162,2)="S|",IF($AG162="","",INDEX($AT$5:$AT$302,$AH162)),IF($AI162="HDR","Sales LY",""))))))</f>
        <v/>
      </c>
      <c r="F162" s="41" t="str">
        <f t="shared" si="97"/>
        <v/>
      </c>
      <c r="G162" s="41" t="str">
        <f t="shared" si="98"/>
        <v/>
      </c>
      <c r="H162" s="40" t="str" cm="1">
        <f t="array" ref="H162">IF($AI162="","",IF(LEFT($AI162,2)="C|",IF($C162="","",SUMPRODUCT($AP$5:$AP$302*($AO$5:$AO$302=$A162),$AV$5:$AV$302)),IF($AI162="CT",H$13,IF(LEFT($AI162,3)="AM|",IF($C162="","",SUMPRODUCT($AP$5:$AP$302*($AN$5:$AN$302=$A162),$AV$5:$AV$302)),IF(LEFT($AI162,2)="S|",IF($AG162="","",INDEX($AV$5:$AV$302,$AH162)),IF($AI162="HDR","Target",""))))))</f>
        <v/>
      </c>
      <c r="I162" s="41" t="str">
        <f t="shared" si="99"/>
        <v/>
      </c>
      <c r="J162" s="40" t="str">
        <f t="shared" si="100"/>
        <v/>
      </c>
      <c r="K162" s="41" t="str">
        <f t="shared" si="101"/>
        <v/>
      </c>
      <c r="L162" s="40" t="str" cm="1">
        <f t="array" ref="L162">IF($AI162="","",IF(LEFT($AI162,2)="C|",IF($C162="","",SUMPRODUCT($AP$5:$AP$302*($AO$5:$AO$302=$A162),$BN$5:$BN$302)),IF($AI162="CT",L$13,IF(LEFT($AI162,3)="AM|",IF($C162="","",SUMPRODUCT($AP$5:$AP$302*($AN$5:$AN$302=$A162),$BN$5:$BN$302)),IF(LEFT($AI162,2)="S|",IF($AG162="","",INDEX($BN$5:$BN$302,$AH162)),IF($AI162="HDR","Month Target",""))))))</f>
        <v/>
      </c>
      <c r="M162" s="40" t="str" cm="1">
        <f t="array" ref="M162">IF($AI162="","",IF(LEFT($AI162,2)="C|",IF($C162="","",SUMPRODUCT($AP$5:$AP$302*($AO$5:$AO$302=$A162),$BO$5:$BO$302)),IF($AI162="CT",M$13,IF(LEFT($AI162,3)="AM|",IF($C162="","",SUMPRODUCT($AP$5:$AP$302*($AN$5:$AN$302=$A162),$BO$5:$BO$302)),IF(LEFT($AI162,2)="S|",IF($AG162="","",INDEX($BO$5:$BO$302,$AH162)),IF($AI162="HDR","Projected Close",""))))))</f>
        <v/>
      </c>
      <c r="N162" s="41" t="str">
        <f t="shared" si="109"/>
        <v/>
      </c>
      <c r="O162" s="41" t="str" cm="1">
        <f t="array" ref="O162">IF($AI162="HDR","Proj. vs LY",IF(OR($AI162="",M162=""),"",_xlfn.LET(_xlpm.ly,IF(LEFT($AI162,2)="C|",SUMPRODUCT($AP$5:$AP$302*($AO$5:$AO$302=$A162),$BK$5:$BK$302),IF($AI162="CT",SUMPRODUCT($AP$5:$AP$302,$BK$5:$BK$302),IF(LEFT($AI162,3)="AM|",SUMPRODUCT($AP$5:$AP$302*($AN$5:$AN$302=$A162),$BK$5:$BK$302),IF(LEFT($AI162,2)="S|",INDEX($BK$5:$BK$302,$AH162),0)))),IFERROR(M162/_xlpm.ly-1,""))))</f>
        <v/>
      </c>
      <c r="P162" s="40" t="str" cm="1">
        <f t="array" ref="P162">IF($AI162="","",IF(LEFT($AI162,2)="C|",IF($C162="","",SUMPRODUCT($AP$5:$AP$302*($AO$5:$AO$302=$A162),$AS$5:$AS$302)),IF($AI162="CT",P$13,IF(LEFT($AI162,3)="AM|",IF($C162="","",SUMPRODUCT($AP$5:$AP$302*($AN$5:$AN$302=$A162),$AS$5:$AS$302)),IF(LEFT($AI162,2)="S|",IF($AG162="","",INDEX($AS$5:$AS$302,$AH162)),IF($AI162="HDR","Trans TY",""))))))</f>
        <v/>
      </c>
      <c r="Q162" s="40" t="str" cm="1">
        <f t="array" ref="Q162">IF($AI162="","",IF(LEFT($AI162,2)="C|",IF($C162="","",SUMPRODUCT($AP$5:$AP$302*($AO$5:$AO$302=$A162),$AU$5:$AU$302)),IF($AI162="CT",Q$13,IF(LEFT($AI162,3)="AM|",IF($C162="","",SUMPRODUCT($AP$5:$AP$302*($AN$5:$AN$302=$A162),$AU$5:$AU$302)),IF(LEFT($AI162,2)="S|",IF($AG162="","",INDEX($AU$5:$AU$302,$AH162)),IF($AI162="HDR","Trans LY",""))))))</f>
        <v/>
      </c>
      <c r="R162" s="41" t="str">
        <f t="shared" si="102"/>
        <v/>
      </c>
      <c r="S162" s="41" t="str">
        <f t="shared" si="103"/>
        <v/>
      </c>
      <c r="T162" s="42" t="str">
        <f t="shared" si="104"/>
        <v/>
      </c>
      <c r="U162" s="42" t="str">
        <f t="shared" si="105"/>
        <v/>
      </c>
      <c r="V162" s="41" t="str">
        <f t="shared" si="106"/>
        <v/>
      </c>
      <c r="W162" s="40" t="str" cm="1">
        <f t="array" ref="W162">IF($AI162="","",IF(LEFT($AI162,2)="C|",_xlfn.LET(_xlpm.n,SUMPRODUCT($AP$5:$AP$302*($AO$5:$AO$302=$A162),$BB$5:$BB$302),IF(_xlpm.n=0,"",_xlpm.n)),IF($AI162="CT",W$13,IF(LEFT($AI162,3)="AM|",_xlfn.LET(_xlpm.n,SUMPRODUCT($AP$5:$AP$302*($AN$5:$AN$302=$A162),$BB$5:$BB$302),IF(_xlpm.n=0,"",_xlpm.n)),IF(LEFT($AI162,2)="S|",IF($AG162="","",_xlfn.LET(_xlpm.n,INDEX($BB$5:$BB$302,$AH162),IF(_xlpm.n=0,"",_xlpm.n))),IF($AI162="HDR","Footfall",""))))))</f>
        <v/>
      </c>
      <c r="X162" s="40" t="str" cm="1">
        <f t="array" ref="X162">IF($AI162="","",IF($AI162="HDR","Trans (FF stores)",IF(W162="","",IF(LEFT($AI162,2)="C|",SUMPRODUCT($AP$5:$AP$302*($AO$5:$AO$302=$A162),$BC$5:$BC$302),IF($AI162="CT",X$13,IF(LEFT($AI162,3)="AM|",SUMPRODUCT($AP$5:$AP$302*($AN$5:$AN$302=$A162),$BC$5:$BC$302),IF(LEFT($AI162,2)="S|",INDEX($BC$5:$BC$302,$AH162),"")))))))</f>
        <v/>
      </c>
      <c r="Y162" s="41" t="str">
        <f t="shared" si="110"/>
        <v/>
      </c>
      <c r="Z162" s="40" t="str" cm="1">
        <f t="array" ref="Z162">IF($AI162="","",IF(LEFT($AI162,2)="C|",IF($C162="","",SUMPRODUCT($AP$5:$AP$302*($AO$5:$AO$302=$A162),$CB$5:$CB$302)),IF($AI162="CT",Z$13,IF(LEFT($AI162,3)="AM|",IF($C162="","",SUMPRODUCT($AP$5:$AP$302*($AN$5:$AN$302=$A162),$CB$5:$CB$302)),IF(LEFT($AI162,2)="S|",IF($AG162="","",INDEX($CB$5:$CB$302,$AH162)),IF($AI162="HDR","Makeup Sales",""))))))</f>
        <v/>
      </c>
      <c r="AA162" s="41" t="str">
        <f t="shared" si="107"/>
        <v/>
      </c>
      <c r="AB162" s="40" t="str" cm="1">
        <f t="array" ref="AB162">IF($AI162="","",IF(LEFT($AI162,2)="C|",IF($C162="","",SUMPRODUCT($AP$5:$AP$302*($AO$5:$AO$302=$A162),$CK$5:$CK$302)),IF($AI162="CT",AB$13,IF(LEFT($AI162,3)="AM|",IF($C162="","",SUMPRODUCT($AP$5:$AP$302*($AN$5:$AN$302=$A162),$CK$5:$CK$302)),IF(LEFT($AI162,2)="S|",IF($AG162="","",INDEX($CK$5:$CK$302,$AH162)),IF($AI162="HDR","Makeup Target",""))))))</f>
        <v/>
      </c>
      <c r="AC162" s="41" t="str">
        <f t="shared" si="111"/>
        <v/>
      </c>
      <c r="AD162" s="40" t="str" cm="1">
        <f t="array" ref="AD162">IF($AI162="","",IF(LEFT($AI162,2)="C|",IF($C162="","",SUMPRODUCT($AP$5:$AP$302*($AO$5:$AO$302=$A162),$CI$5:$CI$302)),IF($AI162="CT",AD$13,IF(LEFT($AI162,3)="AM|",IF($C162="","",SUMPRODUCT($AP$5:$AP$302*($AN$5:$AN$302=$A162),$CI$5:$CI$302)),IF(LEFT($AI162,2)="S|",IF($AG162="","",INDEX($CI$5:$CI$302,$AH162)),IF($AI162="HDR","Cosmetic Sales",""))))))</f>
        <v/>
      </c>
      <c r="AE162" s="8" t="str" cm="1">
        <f t="array" ref="AE162">IF($AI162="","",IF(LEFT($AI162,2)="C|",IF($C162="","",SUMPRODUCT($AP$5:$AP$302*($AO$5:$AO$302=$A162)*$AQ$5:$AQ$302,$AR$5:$AR$302)),IF($AI162="CT",AE$13,IF(LEFT($AI162,3)="AM|",IF($C162="","",SUMPRODUCT($AP$5:$AP$302*($AN$5:$AN$302=$A162)*$AQ$5:$AQ$302,$AR$5:$AR$302)),IF(LEFT($AI162,2)="S|",IF($AG162="","",IF(INDEX($AQ$5:$AQ$302,$AH162)=1,D162,0)),IF($AI162="HDR","LFL Sales",""))))))</f>
        <v/>
      </c>
      <c r="AF162" s="8" t="str" cm="1">
        <f t="array" ref="AF162">IF($AI162="","",IF(LEFT($AI162,2)="C|",IF($C162="","",SUMPRODUCT($AP$5:$AP$302*($AO$5:$AO$302=$A162)*$AQ$5:$AQ$302,$AS$5:$AS$302)),IF($AI162="CT",AF$13,IF(LEFT($AI162,3)="AM|",IF($C162="","",SUMPRODUCT($AP$5:$AP$302*($AN$5:$AN$302=$A162)*$AQ$5:$AQ$302,$AS$5:$AS$302)),IF(LEFT($AI162,2)="S|",IF($AG162="","",IF(INDEX($AQ$5:$AQ$302,$AH162)=1,P162,0)),IF($AI162="HDR","LFL Trans",""))))))</f>
        <v/>
      </c>
      <c r="AG162" s="8" t="str" cm="1">
        <f t="array" ref="AG162">IF($AI162="","",IF(LEFT($AI162,2)="C|","",IF($AI162="CT","",IF(LEFT($AI162,3)="AM|","",IF(LEFT($AI162,2)="S|",IF($AH162="","",IF(INDEX($AP$5:$AP$302,$AH162)=1,1,"")),IF($AI162="HDR","Show",""))))))</f>
        <v/>
      </c>
      <c r="AH162" s="8" t="str">
        <f t="shared" si="108"/>
        <v/>
      </c>
      <c r="AI162" s="8"/>
      <c r="AN162" s="8" t="str" cm="1">
        <f t="array" ref="AN162">IF($AW162="","",_xlfn.LET(_xlpm.sa,IFERROR(TRIM(INDEX('Sales and count'!$D$4:$D$300,$BF162)&amp;""),""),_xlpm.ta,IFERROR(TRIM(INDEX('TY Sales Target'!$F$5:$F$300,$BG162)&amp;""),""),IF(AND(_xlpm.sa&lt;&gt;"",LEFT(_xlpm.sa,1)&lt;&gt;"#",_xlpm.sa&lt;&gt;"0"),_xlpm.sa,IF(AND(_xlpm.ta&lt;&gt;"",LEFT(_xlpm.ta,1)&lt;&gt;"#",_xlpm.ta&lt;&gt;"0"),_xlpm.ta,IF(ISNUMBER($BG162),"Unassigned","")))))</f>
        <v/>
      </c>
      <c r="AO162" s="8" t="str" cm="1">
        <f t="array" ref="AO162">IF($AW162="","",_xlfn.LET(_xlpm.sa,IFERROR(TRIM(INDEX('Sales and count'!$C$4:$C$300,$BF162)&amp;""),""),_xlpm.ta,IFERROR(TRIM(INDEX('TY Sales Target'!$D$5:$D$300,$BG162)&amp;""),""),IF(AND(_xlpm.sa&lt;&gt;"",LEFT(_xlpm.sa,1)&lt;&gt;"#",_xlpm.sa&lt;&gt;"0"),_xlpm.sa,IF(AND(_xlpm.ta&lt;&gt;"",LEFT(_xlpm.ta,1)&lt;&gt;"#",_xlpm.ta&lt;&gt;"0"),_xlpm.ta,""))))</f>
        <v/>
      </c>
      <c r="AP162" s="8">
        <f t="shared" si="93"/>
        <v>0</v>
      </c>
      <c r="AQ162" s="8">
        <f t="shared" si="94"/>
        <v>0</v>
      </c>
      <c r="AR162" s="8" cm="1">
        <f t="array" ref="AR162">IF($BF162="",0,_xlfn.LET(_xlpm.d,IFERROR(--'Sales and count'!$G$2:$CC$2,0),SUMPRODUCT(('Sales and count'!$G$3:$CC$3="Total")*(_xlpm.d&gt;=$U$4)*(_xlpm.d&lt;=$U$5),INDEX('Sales and count'!$G$4:$CC$300,$BF162,0))))</f>
        <v>0</v>
      </c>
      <c r="AS162" s="8" cm="1">
        <f t="array" ref="AS162">IF($BF162="",0,_xlfn.LET(_xlpm.d,IFERROR(--'Sales and count'!$F$2:$CB$2,0),SUMPRODUCT(('Sales and count'!$G$3:$CC$3="Transactions")*(_xlpm.d&gt;=$U$4)*(_xlpm.d&lt;=$U$5),INDEX('Sales and count'!$G$4:$CC$300,$BF162,0))))</f>
        <v>0</v>
      </c>
      <c r="AT162" s="8" cm="1">
        <f t="array" ref="AT162">IF($AW162="",0,SUMPRODUCT((TRIM('LY Sales '!$B$5:$B$200)=$AW162)*('LY Sales '!$C$2:$AG$2&gt;=EDATE($U$4,-12))*('LY Sales '!$C$2:$AG$2&lt;=EDATE($U$5,-12)),'LY Sales '!$C$5:$AG$200))</f>
        <v>0</v>
      </c>
      <c r="AU162" s="8" cm="1">
        <f t="array" ref="AU162">IF($AW162="",0,SUMPRODUCT((TRIM('LY Transaction'!$B$5:$B$200)=$AW162)*('LY Transaction'!$C$2:$AG$2&gt;=EDATE($U$4,-12))*('LY Transaction'!$C$2:$AG$2&lt;=EDATE($U$5,-12)),'LY Transaction'!$C$5:$AG$200))</f>
        <v>0</v>
      </c>
      <c r="AV162" s="8" cm="1">
        <f t="array" ref="AV162">IF(NOT(ISNUMBER($BG162)),0,SUMPRODUCT(('TY Sales Target'!$K$2:$AO$2&gt;=$U$4)*('TY Sales Target'!$K$2:$AO$2&lt;=$U$5),INDEX('TY Sales Target'!$K$5:$AO$300,$BG162,0)))</f>
        <v>0</v>
      </c>
      <c r="AW162" s="8" t="str" cm="1">
        <f t="array" ref="AW162">IFERROR(INDEX(_xlfn.ANCHORARRAY($BR$5),ROWS($AW$5:AW162)),"")</f>
        <v/>
      </c>
      <c r="BB162" cm="1">
        <f t="array" ref="BB162">IF($AW162="",0,SUMPRODUCT((TRIM(Footfall!$B$5:$B$301)=$AW162)*(Footfall!$C$1:$BZ$1&gt;=$U$4)*(Footfall!$C$2:$BZ$2&lt;=$U$5)*(Footfall!$C$1:$BZ$1&lt;&gt;""),Footfall!$C$5:$BZ$301))</f>
        <v>0</v>
      </c>
      <c r="BC162" cm="1">
        <f t="array" ref="BC162">IF(OR($BB162&lt;=0,$BD$1="",$BF162=""),0,_xlfn.LET(_xlpm.d,IFERROR(--'Sales and count'!$F$2:$CB$2,0),SUMPRODUCT(('Sales and count'!$G$3:$CC$3="Transactions")*(_xlpm.d&gt;=$BD$1)*(_xlpm.d&lt;=$BD$2),INDEX('Sales and count'!$G$4:$CC$300,$BF162,0))))</f>
        <v>0</v>
      </c>
      <c r="BF162" t="str" cm="1">
        <f t="array" ref="BF162">IF($AW162="","",IFERROR(MATCH($AW162,TRIM('Sales and count'!$A$4:$A$300&amp;""),0),""))</f>
        <v/>
      </c>
      <c r="BG162" t="str" cm="1">
        <f t="array" ref="BG162">IF($AW162="","",IFERROR(MATCH(IFERROR(_xlfn.XLOOKUP($AW162,$BT$5:$BT$22,$BU$5:$BU$22),$AW162),TRIM('TY Sales Target'!$B$5:$B$300&amp;""),0),""))</f>
        <v/>
      </c>
      <c r="BH162" t="str" cm="1">
        <f t="array" ref="BH162">IF(ISNUMBER($BG162),_xlfn.LET(_xlpm.p,TRIM(INDEX('TY Sales Target'!$I$5:$I$300,$BG162)&amp;""),IF(_xlpm.p="","Not set",_xlpm.p)),"Not set")</f>
        <v>Not set</v>
      </c>
      <c r="BI162" cm="1">
        <f t="array" ref="BI162">IF($BF162="",0,_xlfn.LET(_xlpm.d,IFERROR(--'Sales and count'!$G$2:$CC$2,0),SUMPRODUCT(('Sales and count'!$G$3:$CC$3="Total")*(_xlpm.d&gt;=$BZ$5)*(_xlpm.d&lt;=$BZ$6),INDEX('Sales and count'!$G$4:$CC$300,$BF162,0))))</f>
        <v>0</v>
      </c>
      <c r="BJ162" cm="1">
        <f t="array" ref="BJ162">IF($AW162="",0,SUMPRODUCT((TRIM('LY Sales '!$B$5:$B$200)=$AW162)*('LY Sales '!$C$2:$AG$2&gt;=EDATE($BZ$5,-12))*('LY Sales '!$C$2:$AG$2&lt;=EDATE($BZ$6,-12)),'LY Sales '!$C$5:$AG$200))</f>
        <v>0</v>
      </c>
      <c r="BK162" cm="1">
        <f t="array" ref="BK162">IF($AW162="",0,SUMPRODUCT((TRIM('LY Sales '!$B$5:$B$200)=$AW162)*('LY Sales '!$C$2:$AG$2&gt;=EDATE($BZ$5,-12))*('LY Sales '!$C$2:$AG$2&lt;=EDATE($BZ$7,-12)),'LY Sales '!$C$5:$AG$200))</f>
        <v>0</v>
      </c>
      <c r="BL162" cm="1">
        <f t="array" ref="BL162">IF($AW162="",0,SUMPRODUCT((TRIM('LY Sales '!$B$5:$B$200)=$AW162)*('LY Sales '!$C$2:$AG$2&gt;=EDATE($BZ$5,-12))*('LY Sales '!$C$2:$AG$2&lt;=EDATE($BZ$6,-12))*('LY Sales '!$C$5:$AG$200&gt;0)))</f>
        <v>0</v>
      </c>
      <c r="BM162" cm="1">
        <f t="array" ref="BM162">IF(NOT(ISNUMBER($BG162)),0,SUMPRODUCT(('TY Sales Target'!$K$2:$AO$2&gt;=$BZ$5)*('TY Sales Target'!$K$2:$AO$2&lt;=$BZ$6),INDEX('TY Sales Target'!$K$5:$AO$300,$BG162,0)))</f>
        <v>0</v>
      </c>
      <c r="BN162" cm="1">
        <f t="array" ref="BN162">IF(NOT(ISNUMBER($BG162)),0,SUMPRODUCT(('TY Sales Target'!$K$2:$AO$2&gt;=$BZ$5)*('TY Sales Target'!$K$2:$AO$2&lt;=$BZ$7),INDEX('TY Sales Target'!$K$5:$AO$300,$BG162,0)))</f>
        <v>0</v>
      </c>
      <c r="BO162" cm="1">
        <f t="array" ref="BO162">IF($AW162="",0,IFERROR(_xlfn.SWITCH($BP162,"LY trend",$BI162*$BK162/$BJ162,"Target curve",$BI162*$BN162/$BM162,"Run rate",$BI162/$BZ$8*$BZ$9,0),0))</f>
        <v>0</v>
      </c>
      <c r="BP162" t="str">
        <f t="shared" si="92"/>
        <v/>
      </c>
      <c r="CB162" cm="1">
        <f t="array" ref="CB162">IF($AW162="",0,_xlfn.LET(_xlpm.k,IFERROR(_xlfn.XLOOKUP($AW162,$CD$6:$CD$21,$CE$6:$CE$21),$AW162),SUMPRODUCT((TRIM('Makeup '!$A$2:$A$300&amp;"")=_xlpm.k)*1,IFERROR('Makeup '!$F$2:$F$300*1,0))))</f>
        <v>0</v>
      </c>
      <c r="CF162" t="str" cm="1">
        <f t="array" ref="CF162">IF($AW162="","",_xlfn.LET(_xlpm.c,IFERROR(TRIM(INDEX('Sales and count'!$B$4:$B$300,$BF162)&amp;""),""),IF(OR(_xlpm.c="",_xlpm.c="0",LEFT(_xlpm.c,1)="#"),"Not set",_xlpm.c)))</f>
        <v/>
      </c>
      <c r="CH162" cm="1">
        <f t="array" ref="CH162">IF($AW162="",0,_xlfn.LET(_xlpm.k,IFERROR(_xlfn.XLOOKUP($AW162,$CD$6:$CD$21,$CE$6:$CE$21),$AW162),--(SUMPRODUCT((TRIM('Makeup '!$A$2:$A$300&amp;"")=_xlpm.k)*ISNUMBER('Makeup '!$F$2:$F$300))&gt;0)))</f>
        <v>0</v>
      </c>
      <c r="CI162">
        <f t="shared" si="95"/>
        <v>0</v>
      </c>
      <c r="CJ162" cm="1">
        <f t="array" ref="CJ162">IF($AW162="",0,--(SUMPRODUCT(--(TRIM(Footfall!$B$5:$B$301)=$AW162))&gt;0))</f>
        <v>0</v>
      </c>
      <c r="CK162" s="8" cm="1">
        <f t="array" ref="CK162">IF($AW162="",0,_xlfn.LET(_xlpm.r,IFERROR(MATCH(IFERROR(_xlfn.XLOOKUP($AW162,$BT$5:$BT$22,$BU$5:$BU$22),$AW162),TRIM('TY Beauty Target'!$B$5:$B$300&amp;""),0),""),IF(ISNUMBER(_xlpm.r),SUMPRODUCT(('TY Beauty Target'!$L$2:$AP$2&gt;=$U$4)*('TY Beauty Target'!$L$2:$AP$2&lt;=$U$5),INDEX('TY Beauty Target'!$L$5:$AP$300,_xlpm.r,0)),0)))</f>
        <v>0</v>
      </c>
    </row>
    <row r="163" spans="1:89" ht="15" customHeight="1" x14ac:dyDescent="0.25">
      <c r="A163" s="38" t="str">
        <f t="shared" si="96"/>
        <v/>
      </c>
      <c r="B163" s="43" t="str" cm="1">
        <f t="array" ref="B163">IF($AI163="","",IF(LEFT($AI163,2)="C|",IF($C163="","",_xlfn.TEXTJOIN(", ",TRUE,_xlfn.UNIQUE(_xlfn._xlws.FILTER($AN$5:$AN$302,($AP$5:$AP$302=1)*($AO$5:$AO$302=$A163))))),IF($AI163="CT",B$13,IF(LEFT($AI163,3)="AM|",IF($C163="","",ROWS(_xlfn.UNIQUE(_xlfn._xlws.FILTER($AO$5:$AO$302,($AP$5:$AP$302=1)*($AN$5:$AN$302=$A163))))),IF(LEFT($AI163,2)="S|",IF($AG163="","",INDEX($AO$5:$AO$302,$AH163)),IF($AI163="HDR","City",""))))))</f>
        <v/>
      </c>
      <c r="C163" s="39" t="str" cm="1">
        <f t="array" ref="C163">IF($AI163="","",IF(LEFT($AI163,2)="C|",_xlfn.LET(_xlpm.n,SUMPRODUCT($AP$5:$AP$302*($AO$5:$AO$302=$A163)),IF(_xlpm.n=0,"",_xlpm.n)),IF($AI163="CT",C$13,IF(LEFT($AI163,3)="AM|",_xlfn.LET(_xlpm.n,SUMPRODUCT($AP$5:$AP$302*($AN$5:$AN$302=$A163)),IF(_xlpm.n=0,"",_xlpm.n)),IF(LEFT($AI163,2)="S|","",IF($AI163="HDR","# Stores",""))))))</f>
        <v/>
      </c>
      <c r="D163" s="40" t="str" cm="1">
        <f t="array" ref="D163">IF($AI163="","",IF(LEFT($AI163,2)="C|",IF($C163="","",SUMPRODUCT($AP$5:$AP$302*($AO$5:$AO$302=$A163),$AR$5:$AR$302)),IF($AI163="CT",D$13,IF(LEFT($AI163,3)="AM|",IF($C163="","",SUMPRODUCT($AP$5:$AP$302*($AN$5:$AN$302=$A163),$AR$5:$AR$302)),IF(LEFT($AI163,2)="S|",IF($AG163="","",INDEX($AR$5:$AR$302,$AH163)),IF($AI163="HDR","Sales TY",""))))))</f>
        <v/>
      </c>
      <c r="E163" s="40" t="str" cm="1">
        <f t="array" ref="E163">IF($AI163="","",IF(LEFT($AI163,2)="C|",IF($C163="","",SUMPRODUCT($AP$5:$AP$302*($AO$5:$AO$302=$A163),$AT$5:$AT$302)),IF($AI163="CT",E$13,IF(LEFT($AI163,3)="AM|",IF($C163="","",SUMPRODUCT($AP$5:$AP$302*($AN$5:$AN$302=$A163),$AT$5:$AT$302)),IF(LEFT($AI163,2)="S|",IF($AG163="","",INDEX($AT$5:$AT$302,$AH163)),IF($AI163="HDR","Sales LY",""))))))</f>
        <v/>
      </c>
      <c r="F163" s="41" t="str">
        <f t="shared" si="97"/>
        <v/>
      </c>
      <c r="G163" s="41" t="str">
        <f t="shared" si="98"/>
        <v/>
      </c>
      <c r="H163" s="40" t="str" cm="1">
        <f t="array" ref="H163">IF($AI163="","",IF(LEFT($AI163,2)="C|",IF($C163="","",SUMPRODUCT($AP$5:$AP$302*($AO$5:$AO$302=$A163),$AV$5:$AV$302)),IF($AI163="CT",H$13,IF(LEFT($AI163,3)="AM|",IF($C163="","",SUMPRODUCT($AP$5:$AP$302*($AN$5:$AN$302=$A163),$AV$5:$AV$302)),IF(LEFT($AI163,2)="S|",IF($AG163="","",INDEX($AV$5:$AV$302,$AH163)),IF($AI163="HDR","Target",""))))))</f>
        <v/>
      </c>
      <c r="I163" s="41" t="str">
        <f t="shared" si="99"/>
        <v/>
      </c>
      <c r="J163" s="40" t="str">
        <f t="shared" si="100"/>
        <v/>
      </c>
      <c r="K163" s="41" t="str">
        <f t="shared" si="101"/>
        <v/>
      </c>
      <c r="L163" s="40" t="str" cm="1">
        <f t="array" ref="L163">IF($AI163="","",IF(LEFT($AI163,2)="C|",IF($C163="","",SUMPRODUCT($AP$5:$AP$302*($AO$5:$AO$302=$A163),$BN$5:$BN$302)),IF($AI163="CT",L$13,IF(LEFT($AI163,3)="AM|",IF($C163="","",SUMPRODUCT($AP$5:$AP$302*($AN$5:$AN$302=$A163),$BN$5:$BN$302)),IF(LEFT($AI163,2)="S|",IF($AG163="","",INDEX($BN$5:$BN$302,$AH163)),IF($AI163="HDR","Month Target",""))))))</f>
        <v/>
      </c>
      <c r="M163" s="40" t="str" cm="1">
        <f t="array" ref="M163">IF($AI163="","",IF(LEFT($AI163,2)="C|",IF($C163="","",SUMPRODUCT($AP$5:$AP$302*($AO$5:$AO$302=$A163),$BO$5:$BO$302)),IF($AI163="CT",M$13,IF(LEFT($AI163,3)="AM|",IF($C163="","",SUMPRODUCT($AP$5:$AP$302*($AN$5:$AN$302=$A163),$BO$5:$BO$302)),IF(LEFT($AI163,2)="S|",IF($AG163="","",INDEX($BO$5:$BO$302,$AH163)),IF($AI163="HDR","Projected Close",""))))))</f>
        <v/>
      </c>
      <c r="N163" s="41" t="str">
        <f t="shared" si="109"/>
        <v/>
      </c>
      <c r="O163" s="41" t="str" cm="1">
        <f t="array" ref="O163">IF($AI163="HDR","Proj. vs LY",IF(OR($AI163="",M163=""),"",_xlfn.LET(_xlpm.ly,IF(LEFT($AI163,2)="C|",SUMPRODUCT($AP$5:$AP$302*($AO$5:$AO$302=$A163),$BK$5:$BK$302),IF($AI163="CT",SUMPRODUCT($AP$5:$AP$302,$BK$5:$BK$302),IF(LEFT($AI163,3)="AM|",SUMPRODUCT($AP$5:$AP$302*($AN$5:$AN$302=$A163),$BK$5:$BK$302),IF(LEFT($AI163,2)="S|",INDEX($BK$5:$BK$302,$AH163),0)))),IFERROR(M163/_xlpm.ly-1,""))))</f>
        <v/>
      </c>
      <c r="P163" s="40" t="str" cm="1">
        <f t="array" ref="P163">IF($AI163="","",IF(LEFT($AI163,2)="C|",IF($C163="","",SUMPRODUCT($AP$5:$AP$302*($AO$5:$AO$302=$A163),$AS$5:$AS$302)),IF($AI163="CT",P$13,IF(LEFT($AI163,3)="AM|",IF($C163="","",SUMPRODUCT($AP$5:$AP$302*($AN$5:$AN$302=$A163),$AS$5:$AS$302)),IF(LEFT($AI163,2)="S|",IF($AG163="","",INDEX($AS$5:$AS$302,$AH163)),IF($AI163="HDR","Trans TY",""))))))</f>
        <v/>
      </c>
      <c r="Q163" s="40" t="str" cm="1">
        <f t="array" ref="Q163">IF($AI163="","",IF(LEFT($AI163,2)="C|",IF($C163="","",SUMPRODUCT($AP$5:$AP$302*($AO$5:$AO$302=$A163),$AU$5:$AU$302)),IF($AI163="CT",Q$13,IF(LEFT($AI163,3)="AM|",IF($C163="","",SUMPRODUCT($AP$5:$AP$302*($AN$5:$AN$302=$A163),$AU$5:$AU$302)),IF(LEFT($AI163,2)="S|",IF($AG163="","",INDEX($AU$5:$AU$302,$AH163)),IF($AI163="HDR","Trans LY",""))))))</f>
        <v/>
      </c>
      <c r="R163" s="41" t="str">
        <f t="shared" si="102"/>
        <v/>
      </c>
      <c r="S163" s="41" t="str">
        <f t="shared" si="103"/>
        <v/>
      </c>
      <c r="T163" s="42" t="str">
        <f t="shared" si="104"/>
        <v/>
      </c>
      <c r="U163" s="42" t="str">
        <f t="shared" si="105"/>
        <v/>
      </c>
      <c r="V163" s="41" t="str">
        <f t="shared" si="106"/>
        <v/>
      </c>
      <c r="W163" s="40" t="str" cm="1">
        <f t="array" ref="W163">IF($AI163="","",IF(LEFT($AI163,2)="C|",_xlfn.LET(_xlpm.n,SUMPRODUCT($AP$5:$AP$302*($AO$5:$AO$302=$A163),$BB$5:$BB$302),IF(_xlpm.n=0,"",_xlpm.n)),IF($AI163="CT",W$13,IF(LEFT($AI163,3)="AM|",_xlfn.LET(_xlpm.n,SUMPRODUCT($AP$5:$AP$302*($AN$5:$AN$302=$A163),$BB$5:$BB$302),IF(_xlpm.n=0,"",_xlpm.n)),IF(LEFT($AI163,2)="S|",IF($AG163="","",_xlfn.LET(_xlpm.n,INDEX($BB$5:$BB$302,$AH163),IF(_xlpm.n=0,"",_xlpm.n))),IF($AI163="HDR","Footfall",""))))))</f>
        <v/>
      </c>
      <c r="X163" s="40" t="str" cm="1">
        <f t="array" ref="X163">IF($AI163="","",IF($AI163="HDR","Trans (FF stores)",IF(W163="","",IF(LEFT($AI163,2)="C|",SUMPRODUCT($AP$5:$AP$302*($AO$5:$AO$302=$A163),$BC$5:$BC$302),IF($AI163="CT",X$13,IF(LEFT($AI163,3)="AM|",SUMPRODUCT($AP$5:$AP$302*($AN$5:$AN$302=$A163),$BC$5:$BC$302),IF(LEFT($AI163,2)="S|",INDEX($BC$5:$BC$302,$AH163),"")))))))</f>
        <v/>
      </c>
      <c r="Y163" s="41" t="str">
        <f t="shared" si="110"/>
        <v/>
      </c>
      <c r="Z163" s="40" t="str" cm="1">
        <f t="array" ref="Z163">IF($AI163="","",IF(LEFT($AI163,2)="C|",IF($C163="","",SUMPRODUCT($AP$5:$AP$302*($AO$5:$AO$302=$A163),$CB$5:$CB$302)),IF($AI163="CT",Z$13,IF(LEFT($AI163,3)="AM|",IF($C163="","",SUMPRODUCT($AP$5:$AP$302*($AN$5:$AN$302=$A163),$CB$5:$CB$302)),IF(LEFT($AI163,2)="S|",IF($AG163="","",INDEX($CB$5:$CB$302,$AH163)),IF($AI163="HDR","Makeup Sales",""))))))</f>
        <v/>
      </c>
      <c r="AA163" s="41" t="str">
        <f t="shared" si="107"/>
        <v/>
      </c>
      <c r="AB163" s="40" t="str" cm="1">
        <f t="array" ref="AB163">IF($AI163="","",IF(LEFT($AI163,2)="C|",IF($C163="","",SUMPRODUCT($AP$5:$AP$302*($AO$5:$AO$302=$A163),$CK$5:$CK$302)),IF($AI163="CT",AB$13,IF(LEFT($AI163,3)="AM|",IF($C163="","",SUMPRODUCT($AP$5:$AP$302*($AN$5:$AN$302=$A163),$CK$5:$CK$302)),IF(LEFT($AI163,2)="S|",IF($AG163="","",INDEX($CK$5:$CK$302,$AH163)),IF($AI163="HDR","Makeup Target",""))))))</f>
        <v/>
      </c>
      <c r="AC163" s="41" t="str">
        <f t="shared" si="111"/>
        <v/>
      </c>
      <c r="AD163" s="40" t="str" cm="1">
        <f t="array" ref="AD163">IF($AI163="","",IF(LEFT($AI163,2)="C|",IF($C163="","",SUMPRODUCT($AP$5:$AP$302*($AO$5:$AO$302=$A163),$CI$5:$CI$302)),IF($AI163="CT",AD$13,IF(LEFT($AI163,3)="AM|",IF($C163="","",SUMPRODUCT($AP$5:$AP$302*($AN$5:$AN$302=$A163),$CI$5:$CI$302)),IF(LEFT($AI163,2)="S|",IF($AG163="","",INDEX($CI$5:$CI$302,$AH163)),IF($AI163="HDR","Cosmetic Sales",""))))))</f>
        <v/>
      </c>
      <c r="AE163" s="8" t="str" cm="1">
        <f t="array" ref="AE163">IF($AI163="","",IF(LEFT($AI163,2)="C|",IF($C163="","",SUMPRODUCT($AP$5:$AP$302*($AO$5:$AO$302=$A163)*$AQ$5:$AQ$302,$AR$5:$AR$302)),IF($AI163="CT",AE$13,IF(LEFT($AI163,3)="AM|",IF($C163="","",SUMPRODUCT($AP$5:$AP$302*($AN$5:$AN$302=$A163)*$AQ$5:$AQ$302,$AR$5:$AR$302)),IF(LEFT($AI163,2)="S|",IF($AG163="","",IF(INDEX($AQ$5:$AQ$302,$AH163)=1,D163,0)),IF($AI163="HDR","LFL Sales",""))))))</f>
        <v/>
      </c>
      <c r="AF163" s="8" t="str" cm="1">
        <f t="array" ref="AF163">IF($AI163="","",IF(LEFT($AI163,2)="C|",IF($C163="","",SUMPRODUCT($AP$5:$AP$302*($AO$5:$AO$302=$A163)*$AQ$5:$AQ$302,$AS$5:$AS$302)),IF($AI163="CT",AF$13,IF(LEFT($AI163,3)="AM|",IF($C163="","",SUMPRODUCT($AP$5:$AP$302*($AN$5:$AN$302=$A163)*$AQ$5:$AQ$302,$AS$5:$AS$302)),IF(LEFT($AI163,2)="S|",IF($AG163="","",IF(INDEX($AQ$5:$AQ$302,$AH163)=1,P163,0)),IF($AI163="HDR","LFL Trans",""))))))</f>
        <v/>
      </c>
      <c r="AG163" s="8" t="str" cm="1">
        <f t="array" ref="AG163">IF($AI163="","",IF(LEFT($AI163,2)="C|","",IF($AI163="CT","",IF(LEFT($AI163,3)="AM|","",IF(LEFT($AI163,2)="S|",IF($AH163="","",IF(INDEX($AP$5:$AP$302,$AH163)=1,1,"")),IF($AI163="HDR","Show",""))))))</f>
        <v/>
      </c>
      <c r="AH163" s="8" t="str">
        <f t="shared" si="108"/>
        <v/>
      </c>
      <c r="AI163" s="8"/>
      <c r="AN163" s="8" t="str" cm="1">
        <f t="array" ref="AN163">IF($AW163="","",_xlfn.LET(_xlpm.sa,IFERROR(TRIM(INDEX('Sales and count'!$D$4:$D$300,$BF163)&amp;""),""),_xlpm.ta,IFERROR(TRIM(INDEX('TY Sales Target'!$F$5:$F$300,$BG163)&amp;""),""),IF(AND(_xlpm.sa&lt;&gt;"",LEFT(_xlpm.sa,1)&lt;&gt;"#",_xlpm.sa&lt;&gt;"0"),_xlpm.sa,IF(AND(_xlpm.ta&lt;&gt;"",LEFT(_xlpm.ta,1)&lt;&gt;"#",_xlpm.ta&lt;&gt;"0"),_xlpm.ta,IF(ISNUMBER($BG163),"Unassigned","")))))</f>
        <v/>
      </c>
      <c r="AO163" s="8" t="str" cm="1">
        <f t="array" ref="AO163">IF($AW163="","",_xlfn.LET(_xlpm.sa,IFERROR(TRIM(INDEX('Sales and count'!$C$4:$C$300,$BF163)&amp;""),""),_xlpm.ta,IFERROR(TRIM(INDEX('TY Sales Target'!$D$5:$D$300,$BG163)&amp;""),""),IF(AND(_xlpm.sa&lt;&gt;"",LEFT(_xlpm.sa,1)&lt;&gt;"#",_xlpm.sa&lt;&gt;"0"),_xlpm.sa,IF(AND(_xlpm.ta&lt;&gt;"",LEFT(_xlpm.ta,1)&lt;&gt;"#",_xlpm.ta&lt;&gt;"0"),_xlpm.ta,""))))</f>
        <v/>
      </c>
      <c r="AP163" s="8">
        <f t="shared" si="93"/>
        <v>0</v>
      </c>
      <c r="AQ163" s="8">
        <f t="shared" si="94"/>
        <v>0</v>
      </c>
      <c r="AR163" s="8" cm="1">
        <f t="array" ref="AR163">IF($BF163="",0,_xlfn.LET(_xlpm.d,IFERROR(--'Sales and count'!$G$2:$CC$2,0),SUMPRODUCT(('Sales and count'!$G$3:$CC$3="Total")*(_xlpm.d&gt;=$U$4)*(_xlpm.d&lt;=$U$5),INDEX('Sales and count'!$G$4:$CC$300,$BF163,0))))</f>
        <v>0</v>
      </c>
      <c r="AS163" s="8" cm="1">
        <f t="array" ref="AS163">IF($BF163="",0,_xlfn.LET(_xlpm.d,IFERROR(--'Sales and count'!$F$2:$CB$2,0),SUMPRODUCT(('Sales and count'!$G$3:$CC$3="Transactions")*(_xlpm.d&gt;=$U$4)*(_xlpm.d&lt;=$U$5),INDEX('Sales and count'!$G$4:$CC$300,$BF163,0))))</f>
        <v>0</v>
      </c>
      <c r="AT163" s="8" cm="1">
        <f t="array" ref="AT163">IF($AW163="",0,SUMPRODUCT((TRIM('LY Sales '!$B$5:$B$200)=$AW163)*('LY Sales '!$C$2:$AG$2&gt;=EDATE($U$4,-12))*('LY Sales '!$C$2:$AG$2&lt;=EDATE($U$5,-12)),'LY Sales '!$C$5:$AG$200))</f>
        <v>0</v>
      </c>
      <c r="AU163" s="8" cm="1">
        <f t="array" ref="AU163">IF($AW163="",0,SUMPRODUCT((TRIM('LY Transaction'!$B$5:$B$200)=$AW163)*('LY Transaction'!$C$2:$AG$2&gt;=EDATE($U$4,-12))*('LY Transaction'!$C$2:$AG$2&lt;=EDATE($U$5,-12)),'LY Transaction'!$C$5:$AG$200))</f>
        <v>0</v>
      </c>
      <c r="AV163" s="8" cm="1">
        <f t="array" ref="AV163">IF(NOT(ISNUMBER($BG163)),0,SUMPRODUCT(('TY Sales Target'!$K$2:$AO$2&gt;=$U$4)*('TY Sales Target'!$K$2:$AO$2&lt;=$U$5),INDEX('TY Sales Target'!$K$5:$AO$300,$BG163,0)))</f>
        <v>0</v>
      </c>
      <c r="AW163" s="8" t="str" cm="1">
        <f t="array" ref="AW163">IFERROR(INDEX(_xlfn.ANCHORARRAY($BR$5),ROWS($AW$5:AW163)),"")</f>
        <v/>
      </c>
      <c r="BB163" cm="1">
        <f t="array" ref="BB163">IF($AW163="",0,SUMPRODUCT((TRIM(Footfall!$B$5:$B$301)=$AW163)*(Footfall!$C$1:$BZ$1&gt;=$U$4)*(Footfall!$C$2:$BZ$2&lt;=$U$5)*(Footfall!$C$1:$BZ$1&lt;&gt;""),Footfall!$C$5:$BZ$301))</f>
        <v>0</v>
      </c>
      <c r="BC163" cm="1">
        <f t="array" ref="BC163">IF(OR($BB163&lt;=0,$BD$1="",$BF163=""),0,_xlfn.LET(_xlpm.d,IFERROR(--'Sales and count'!$F$2:$CB$2,0),SUMPRODUCT(('Sales and count'!$G$3:$CC$3="Transactions")*(_xlpm.d&gt;=$BD$1)*(_xlpm.d&lt;=$BD$2),INDEX('Sales and count'!$G$4:$CC$300,$BF163,0))))</f>
        <v>0</v>
      </c>
      <c r="BF163" t="str" cm="1">
        <f t="array" ref="BF163">IF($AW163="","",IFERROR(MATCH($AW163,TRIM('Sales and count'!$A$4:$A$300&amp;""),0),""))</f>
        <v/>
      </c>
      <c r="BG163" t="str" cm="1">
        <f t="array" ref="BG163">IF($AW163="","",IFERROR(MATCH(IFERROR(_xlfn.XLOOKUP($AW163,$BT$5:$BT$22,$BU$5:$BU$22),$AW163),TRIM('TY Sales Target'!$B$5:$B$300&amp;""),0),""))</f>
        <v/>
      </c>
      <c r="BH163" t="str" cm="1">
        <f t="array" ref="BH163">IF(ISNUMBER($BG163),_xlfn.LET(_xlpm.p,TRIM(INDEX('TY Sales Target'!$I$5:$I$300,$BG163)&amp;""),IF(_xlpm.p="","Not set",_xlpm.p)),"Not set")</f>
        <v>Not set</v>
      </c>
      <c r="BI163" cm="1">
        <f t="array" ref="BI163">IF($BF163="",0,_xlfn.LET(_xlpm.d,IFERROR(--'Sales and count'!$G$2:$CC$2,0),SUMPRODUCT(('Sales and count'!$G$3:$CC$3="Total")*(_xlpm.d&gt;=$BZ$5)*(_xlpm.d&lt;=$BZ$6),INDEX('Sales and count'!$G$4:$CC$300,$BF163,0))))</f>
        <v>0</v>
      </c>
      <c r="BJ163" cm="1">
        <f t="array" ref="BJ163">IF($AW163="",0,SUMPRODUCT((TRIM('LY Sales '!$B$5:$B$200)=$AW163)*('LY Sales '!$C$2:$AG$2&gt;=EDATE($BZ$5,-12))*('LY Sales '!$C$2:$AG$2&lt;=EDATE($BZ$6,-12)),'LY Sales '!$C$5:$AG$200))</f>
        <v>0</v>
      </c>
      <c r="BK163" cm="1">
        <f t="array" ref="BK163">IF($AW163="",0,SUMPRODUCT((TRIM('LY Sales '!$B$5:$B$200)=$AW163)*('LY Sales '!$C$2:$AG$2&gt;=EDATE($BZ$5,-12))*('LY Sales '!$C$2:$AG$2&lt;=EDATE($BZ$7,-12)),'LY Sales '!$C$5:$AG$200))</f>
        <v>0</v>
      </c>
      <c r="BL163" cm="1">
        <f t="array" ref="BL163">IF($AW163="",0,SUMPRODUCT((TRIM('LY Sales '!$B$5:$B$200)=$AW163)*('LY Sales '!$C$2:$AG$2&gt;=EDATE($BZ$5,-12))*('LY Sales '!$C$2:$AG$2&lt;=EDATE($BZ$6,-12))*('LY Sales '!$C$5:$AG$200&gt;0)))</f>
        <v>0</v>
      </c>
      <c r="BM163" cm="1">
        <f t="array" ref="BM163">IF(NOT(ISNUMBER($BG163)),0,SUMPRODUCT(('TY Sales Target'!$K$2:$AO$2&gt;=$BZ$5)*('TY Sales Target'!$K$2:$AO$2&lt;=$BZ$6),INDEX('TY Sales Target'!$K$5:$AO$300,$BG163,0)))</f>
        <v>0</v>
      </c>
      <c r="BN163" cm="1">
        <f t="array" ref="BN163">IF(NOT(ISNUMBER($BG163)),0,SUMPRODUCT(('TY Sales Target'!$K$2:$AO$2&gt;=$BZ$5)*('TY Sales Target'!$K$2:$AO$2&lt;=$BZ$7),INDEX('TY Sales Target'!$K$5:$AO$300,$BG163,0)))</f>
        <v>0</v>
      </c>
      <c r="BO163" cm="1">
        <f t="array" ref="BO163">IF($AW163="",0,IFERROR(_xlfn.SWITCH($BP163,"LY trend",$BI163*$BK163/$BJ163,"Target curve",$BI163*$BN163/$BM163,"Run rate",$BI163/$BZ$8*$BZ$9,0),0))</f>
        <v>0</v>
      </c>
      <c r="BP163" t="str">
        <f t="shared" si="92"/>
        <v/>
      </c>
      <c r="CB163" cm="1">
        <f t="array" ref="CB163">IF($AW163="",0,_xlfn.LET(_xlpm.k,IFERROR(_xlfn.XLOOKUP($AW163,$CD$6:$CD$21,$CE$6:$CE$21),$AW163),SUMPRODUCT((TRIM('Makeup '!$A$2:$A$300&amp;"")=_xlpm.k)*1,IFERROR('Makeup '!$F$2:$F$300*1,0))))</f>
        <v>0</v>
      </c>
      <c r="CF163" t="str" cm="1">
        <f t="array" ref="CF163">IF($AW163="","",_xlfn.LET(_xlpm.c,IFERROR(TRIM(INDEX('Sales and count'!$B$4:$B$300,$BF163)&amp;""),""),IF(OR(_xlpm.c="",_xlpm.c="0",LEFT(_xlpm.c,1)="#"),"Not set",_xlpm.c)))</f>
        <v/>
      </c>
      <c r="CH163" cm="1">
        <f t="array" ref="CH163">IF($AW163="",0,_xlfn.LET(_xlpm.k,IFERROR(_xlfn.XLOOKUP($AW163,$CD$6:$CD$21,$CE$6:$CE$21),$AW163),--(SUMPRODUCT((TRIM('Makeup '!$A$2:$A$300&amp;"")=_xlpm.k)*ISNUMBER('Makeup '!$F$2:$F$300))&gt;0)))</f>
        <v>0</v>
      </c>
      <c r="CI163">
        <f t="shared" si="95"/>
        <v>0</v>
      </c>
      <c r="CJ163" cm="1">
        <f t="array" ref="CJ163">IF($AW163="",0,--(SUMPRODUCT(--(TRIM(Footfall!$B$5:$B$301)=$AW163))&gt;0))</f>
        <v>0</v>
      </c>
      <c r="CK163" s="8" cm="1">
        <f t="array" ref="CK163">IF($AW163="",0,_xlfn.LET(_xlpm.r,IFERROR(MATCH(IFERROR(_xlfn.XLOOKUP($AW163,$BT$5:$BT$22,$BU$5:$BU$22),$AW163),TRIM('TY Beauty Target'!$B$5:$B$300&amp;""),0),""),IF(ISNUMBER(_xlpm.r),SUMPRODUCT(('TY Beauty Target'!$L$2:$AP$2&gt;=$U$4)*('TY Beauty Target'!$L$2:$AP$2&lt;=$U$5),INDEX('TY Beauty Target'!$L$5:$AP$300,_xlpm.r,0)),0)))</f>
        <v>0</v>
      </c>
    </row>
    <row r="164" spans="1:89" ht="15" customHeight="1" x14ac:dyDescent="0.25">
      <c r="A164" s="38" t="str">
        <f t="shared" si="96"/>
        <v/>
      </c>
      <c r="B164" s="43" t="str" cm="1">
        <f t="array" ref="B164">IF($AI164="","",IF(LEFT($AI164,2)="C|",IF($C164="","",_xlfn.TEXTJOIN(", ",TRUE,_xlfn.UNIQUE(_xlfn._xlws.FILTER($AN$5:$AN$302,($AP$5:$AP$302=1)*($AO$5:$AO$302=$A164))))),IF($AI164="CT",B$13,IF(LEFT($AI164,3)="AM|",IF($C164="","",ROWS(_xlfn.UNIQUE(_xlfn._xlws.FILTER($AO$5:$AO$302,($AP$5:$AP$302=1)*($AN$5:$AN$302=$A164))))),IF(LEFT($AI164,2)="S|",IF($AG164="","",INDEX($AO$5:$AO$302,$AH164)),IF($AI164="HDR","City",""))))))</f>
        <v/>
      </c>
      <c r="C164" s="39" t="str" cm="1">
        <f t="array" ref="C164">IF($AI164="","",IF(LEFT($AI164,2)="C|",_xlfn.LET(_xlpm.n,SUMPRODUCT($AP$5:$AP$302*($AO$5:$AO$302=$A164)),IF(_xlpm.n=0,"",_xlpm.n)),IF($AI164="CT",C$13,IF(LEFT($AI164,3)="AM|",_xlfn.LET(_xlpm.n,SUMPRODUCT($AP$5:$AP$302*($AN$5:$AN$302=$A164)),IF(_xlpm.n=0,"",_xlpm.n)),IF(LEFT($AI164,2)="S|","",IF($AI164="HDR","# Stores",""))))))</f>
        <v/>
      </c>
      <c r="D164" s="40" t="str" cm="1">
        <f t="array" ref="D164">IF($AI164="","",IF(LEFT($AI164,2)="C|",IF($C164="","",SUMPRODUCT($AP$5:$AP$302*($AO$5:$AO$302=$A164),$AR$5:$AR$302)),IF($AI164="CT",D$13,IF(LEFT($AI164,3)="AM|",IF($C164="","",SUMPRODUCT($AP$5:$AP$302*($AN$5:$AN$302=$A164),$AR$5:$AR$302)),IF(LEFT($AI164,2)="S|",IF($AG164="","",INDEX($AR$5:$AR$302,$AH164)),IF($AI164="HDR","Sales TY",""))))))</f>
        <v/>
      </c>
      <c r="E164" s="40" t="str" cm="1">
        <f t="array" ref="E164">IF($AI164="","",IF(LEFT($AI164,2)="C|",IF($C164="","",SUMPRODUCT($AP$5:$AP$302*($AO$5:$AO$302=$A164),$AT$5:$AT$302)),IF($AI164="CT",E$13,IF(LEFT($AI164,3)="AM|",IF($C164="","",SUMPRODUCT($AP$5:$AP$302*($AN$5:$AN$302=$A164),$AT$5:$AT$302)),IF(LEFT($AI164,2)="S|",IF($AG164="","",INDEX($AT$5:$AT$302,$AH164)),IF($AI164="HDR","Sales LY",""))))))</f>
        <v/>
      </c>
      <c r="F164" s="41" t="str">
        <f t="shared" si="97"/>
        <v/>
      </c>
      <c r="G164" s="41" t="str">
        <f t="shared" si="98"/>
        <v/>
      </c>
      <c r="H164" s="40" t="str" cm="1">
        <f t="array" ref="H164">IF($AI164="","",IF(LEFT($AI164,2)="C|",IF($C164="","",SUMPRODUCT($AP$5:$AP$302*($AO$5:$AO$302=$A164),$AV$5:$AV$302)),IF($AI164="CT",H$13,IF(LEFT($AI164,3)="AM|",IF($C164="","",SUMPRODUCT($AP$5:$AP$302*($AN$5:$AN$302=$A164),$AV$5:$AV$302)),IF(LEFT($AI164,2)="S|",IF($AG164="","",INDEX($AV$5:$AV$302,$AH164)),IF($AI164="HDR","Target",""))))))</f>
        <v/>
      </c>
      <c r="I164" s="41" t="str">
        <f t="shared" si="99"/>
        <v/>
      </c>
      <c r="J164" s="40" t="str">
        <f t="shared" si="100"/>
        <v/>
      </c>
      <c r="K164" s="41" t="str">
        <f t="shared" si="101"/>
        <v/>
      </c>
      <c r="L164" s="40" t="str" cm="1">
        <f t="array" ref="L164">IF($AI164="","",IF(LEFT($AI164,2)="C|",IF($C164="","",SUMPRODUCT($AP$5:$AP$302*($AO$5:$AO$302=$A164),$BN$5:$BN$302)),IF($AI164="CT",L$13,IF(LEFT($AI164,3)="AM|",IF($C164="","",SUMPRODUCT($AP$5:$AP$302*($AN$5:$AN$302=$A164),$BN$5:$BN$302)),IF(LEFT($AI164,2)="S|",IF($AG164="","",INDEX($BN$5:$BN$302,$AH164)),IF($AI164="HDR","Month Target",""))))))</f>
        <v/>
      </c>
      <c r="M164" s="40" t="str" cm="1">
        <f t="array" ref="M164">IF($AI164="","",IF(LEFT($AI164,2)="C|",IF($C164="","",SUMPRODUCT($AP$5:$AP$302*($AO$5:$AO$302=$A164),$BO$5:$BO$302)),IF($AI164="CT",M$13,IF(LEFT($AI164,3)="AM|",IF($C164="","",SUMPRODUCT($AP$5:$AP$302*($AN$5:$AN$302=$A164),$BO$5:$BO$302)),IF(LEFT($AI164,2)="S|",IF($AG164="","",INDEX($BO$5:$BO$302,$AH164)),IF($AI164="HDR","Projected Close",""))))))</f>
        <v/>
      </c>
      <c r="N164" s="41" t="str">
        <f t="shared" si="109"/>
        <v/>
      </c>
      <c r="O164" s="41" t="str" cm="1">
        <f t="array" ref="O164">IF($AI164="HDR","Proj. vs LY",IF(OR($AI164="",M164=""),"",_xlfn.LET(_xlpm.ly,IF(LEFT($AI164,2)="C|",SUMPRODUCT($AP$5:$AP$302*($AO$5:$AO$302=$A164),$BK$5:$BK$302),IF($AI164="CT",SUMPRODUCT($AP$5:$AP$302,$BK$5:$BK$302),IF(LEFT($AI164,3)="AM|",SUMPRODUCT($AP$5:$AP$302*($AN$5:$AN$302=$A164),$BK$5:$BK$302),IF(LEFT($AI164,2)="S|",INDEX($BK$5:$BK$302,$AH164),0)))),IFERROR(M164/_xlpm.ly-1,""))))</f>
        <v/>
      </c>
      <c r="P164" s="40" t="str" cm="1">
        <f t="array" ref="P164">IF($AI164="","",IF(LEFT($AI164,2)="C|",IF($C164="","",SUMPRODUCT($AP$5:$AP$302*($AO$5:$AO$302=$A164),$AS$5:$AS$302)),IF($AI164="CT",P$13,IF(LEFT($AI164,3)="AM|",IF($C164="","",SUMPRODUCT($AP$5:$AP$302*($AN$5:$AN$302=$A164),$AS$5:$AS$302)),IF(LEFT($AI164,2)="S|",IF($AG164="","",INDEX($AS$5:$AS$302,$AH164)),IF($AI164="HDR","Trans TY",""))))))</f>
        <v/>
      </c>
      <c r="Q164" s="40" t="str" cm="1">
        <f t="array" ref="Q164">IF($AI164="","",IF(LEFT($AI164,2)="C|",IF($C164="","",SUMPRODUCT($AP$5:$AP$302*($AO$5:$AO$302=$A164),$AU$5:$AU$302)),IF($AI164="CT",Q$13,IF(LEFT($AI164,3)="AM|",IF($C164="","",SUMPRODUCT($AP$5:$AP$302*($AN$5:$AN$302=$A164),$AU$5:$AU$302)),IF(LEFT($AI164,2)="S|",IF($AG164="","",INDEX($AU$5:$AU$302,$AH164)),IF($AI164="HDR","Trans LY",""))))))</f>
        <v/>
      </c>
      <c r="R164" s="41" t="str">
        <f t="shared" si="102"/>
        <v/>
      </c>
      <c r="S164" s="41" t="str">
        <f t="shared" si="103"/>
        <v/>
      </c>
      <c r="T164" s="42" t="str">
        <f t="shared" si="104"/>
        <v/>
      </c>
      <c r="U164" s="42" t="str">
        <f t="shared" si="105"/>
        <v/>
      </c>
      <c r="V164" s="41" t="str">
        <f t="shared" si="106"/>
        <v/>
      </c>
      <c r="W164" s="40" t="str" cm="1">
        <f t="array" ref="W164">IF($AI164="","",IF(LEFT($AI164,2)="C|",_xlfn.LET(_xlpm.n,SUMPRODUCT($AP$5:$AP$302*($AO$5:$AO$302=$A164),$BB$5:$BB$302),IF(_xlpm.n=0,"",_xlpm.n)),IF($AI164="CT",W$13,IF(LEFT($AI164,3)="AM|",_xlfn.LET(_xlpm.n,SUMPRODUCT($AP$5:$AP$302*($AN$5:$AN$302=$A164),$BB$5:$BB$302),IF(_xlpm.n=0,"",_xlpm.n)),IF(LEFT($AI164,2)="S|",IF($AG164="","",_xlfn.LET(_xlpm.n,INDEX($BB$5:$BB$302,$AH164),IF(_xlpm.n=0,"",_xlpm.n))),IF($AI164="HDR","Footfall",""))))))</f>
        <v/>
      </c>
      <c r="X164" s="40" t="str" cm="1">
        <f t="array" ref="X164">IF($AI164="","",IF($AI164="HDR","Trans (FF stores)",IF(W164="","",IF(LEFT($AI164,2)="C|",SUMPRODUCT($AP$5:$AP$302*($AO$5:$AO$302=$A164),$BC$5:$BC$302),IF($AI164="CT",X$13,IF(LEFT($AI164,3)="AM|",SUMPRODUCT($AP$5:$AP$302*($AN$5:$AN$302=$A164),$BC$5:$BC$302),IF(LEFT($AI164,2)="S|",INDEX($BC$5:$BC$302,$AH164),"")))))))</f>
        <v/>
      </c>
      <c r="Y164" s="41" t="str">
        <f t="shared" si="110"/>
        <v/>
      </c>
      <c r="Z164" s="40" t="str" cm="1">
        <f t="array" ref="Z164">IF($AI164="","",IF(LEFT($AI164,2)="C|",IF($C164="","",SUMPRODUCT($AP$5:$AP$302*($AO$5:$AO$302=$A164),$CB$5:$CB$302)),IF($AI164="CT",Z$13,IF(LEFT($AI164,3)="AM|",IF($C164="","",SUMPRODUCT($AP$5:$AP$302*($AN$5:$AN$302=$A164),$CB$5:$CB$302)),IF(LEFT($AI164,2)="S|",IF($AG164="","",INDEX($CB$5:$CB$302,$AH164)),IF($AI164="HDR","Makeup Sales",""))))))</f>
        <v/>
      </c>
      <c r="AA164" s="41" t="str">
        <f t="shared" si="107"/>
        <v/>
      </c>
      <c r="AB164" s="40" t="str" cm="1">
        <f t="array" ref="AB164">IF($AI164="","",IF(LEFT($AI164,2)="C|",IF($C164="","",SUMPRODUCT($AP$5:$AP$302*($AO$5:$AO$302=$A164),$CK$5:$CK$302)),IF($AI164="CT",AB$13,IF(LEFT($AI164,3)="AM|",IF($C164="","",SUMPRODUCT($AP$5:$AP$302*($AN$5:$AN$302=$A164),$CK$5:$CK$302)),IF(LEFT($AI164,2)="S|",IF($AG164="","",INDEX($CK$5:$CK$302,$AH164)),IF($AI164="HDR","Makeup Target",""))))))</f>
        <v/>
      </c>
      <c r="AC164" s="41" t="str">
        <f t="shared" si="111"/>
        <v/>
      </c>
      <c r="AD164" s="40" t="str" cm="1">
        <f t="array" ref="AD164">IF($AI164="","",IF(LEFT($AI164,2)="C|",IF($C164="","",SUMPRODUCT($AP$5:$AP$302*($AO$5:$AO$302=$A164),$CI$5:$CI$302)),IF($AI164="CT",AD$13,IF(LEFT($AI164,3)="AM|",IF($C164="","",SUMPRODUCT($AP$5:$AP$302*($AN$5:$AN$302=$A164),$CI$5:$CI$302)),IF(LEFT($AI164,2)="S|",IF($AG164="","",INDEX($CI$5:$CI$302,$AH164)),IF($AI164="HDR","Cosmetic Sales",""))))))</f>
        <v/>
      </c>
      <c r="AE164" s="8" t="str" cm="1">
        <f t="array" ref="AE164">IF($AI164="","",IF(LEFT($AI164,2)="C|",IF($C164="","",SUMPRODUCT($AP$5:$AP$302*($AO$5:$AO$302=$A164)*$AQ$5:$AQ$302,$AR$5:$AR$302)),IF($AI164="CT",AE$13,IF(LEFT($AI164,3)="AM|",IF($C164="","",SUMPRODUCT($AP$5:$AP$302*($AN$5:$AN$302=$A164)*$AQ$5:$AQ$302,$AR$5:$AR$302)),IF(LEFT($AI164,2)="S|",IF($AG164="","",IF(INDEX($AQ$5:$AQ$302,$AH164)=1,D164,0)),IF($AI164="HDR","LFL Sales",""))))))</f>
        <v/>
      </c>
      <c r="AF164" s="8" t="str" cm="1">
        <f t="array" ref="AF164">IF($AI164="","",IF(LEFT($AI164,2)="C|",IF($C164="","",SUMPRODUCT($AP$5:$AP$302*($AO$5:$AO$302=$A164)*$AQ$5:$AQ$302,$AS$5:$AS$302)),IF($AI164="CT",AF$13,IF(LEFT($AI164,3)="AM|",IF($C164="","",SUMPRODUCT($AP$5:$AP$302*($AN$5:$AN$302=$A164)*$AQ$5:$AQ$302,$AS$5:$AS$302)),IF(LEFT($AI164,2)="S|",IF($AG164="","",IF(INDEX($AQ$5:$AQ$302,$AH164)=1,P164,0)),IF($AI164="HDR","LFL Trans",""))))))</f>
        <v/>
      </c>
      <c r="AG164" s="8" t="str" cm="1">
        <f t="array" ref="AG164">IF($AI164="","",IF(LEFT($AI164,2)="C|","",IF($AI164="CT","",IF(LEFT($AI164,3)="AM|","",IF(LEFT($AI164,2)="S|",IF($AH164="","",IF(INDEX($AP$5:$AP$302,$AH164)=1,1,"")),IF($AI164="HDR","Show",""))))))</f>
        <v/>
      </c>
      <c r="AH164" s="8" t="str">
        <f t="shared" si="108"/>
        <v/>
      </c>
      <c r="AI164" s="8"/>
      <c r="AN164" s="8" t="str" cm="1">
        <f t="array" ref="AN164">IF($AW164="","",_xlfn.LET(_xlpm.sa,IFERROR(TRIM(INDEX('Sales and count'!$D$4:$D$300,$BF164)&amp;""),""),_xlpm.ta,IFERROR(TRIM(INDEX('TY Sales Target'!$F$5:$F$300,$BG164)&amp;""),""),IF(AND(_xlpm.sa&lt;&gt;"",LEFT(_xlpm.sa,1)&lt;&gt;"#",_xlpm.sa&lt;&gt;"0"),_xlpm.sa,IF(AND(_xlpm.ta&lt;&gt;"",LEFT(_xlpm.ta,1)&lt;&gt;"#",_xlpm.ta&lt;&gt;"0"),_xlpm.ta,IF(ISNUMBER($BG164),"Unassigned","")))))</f>
        <v/>
      </c>
      <c r="AO164" s="8" t="str" cm="1">
        <f t="array" ref="AO164">IF($AW164="","",_xlfn.LET(_xlpm.sa,IFERROR(TRIM(INDEX('Sales and count'!$C$4:$C$300,$BF164)&amp;""),""),_xlpm.ta,IFERROR(TRIM(INDEX('TY Sales Target'!$D$5:$D$300,$BG164)&amp;""),""),IF(AND(_xlpm.sa&lt;&gt;"",LEFT(_xlpm.sa,1)&lt;&gt;"#",_xlpm.sa&lt;&gt;"0"),_xlpm.sa,IF(AND(_xlpm.ta&lt;&gt;"",LEFT(_xlpm.ta,1)&lt;&gt;"#",_xlpm.ta&lt;&gt;"0"),_xlpm.ta,""))))</f>
        <v/>
      </c>
      <c r="AP164" s="8">
        <f t="shared" si="93"/>
        <v>0</v>
      </c>
      <c r="AQ164" s="8">
        <f t="shared" si="94"/>
        <v>0</v>
      </c>
      <c r="AR164" s="8" cm="1">
        <f t="array" ref="AR164">IF($BF164="",0,_xlfn.LET(_xlpm.d,IFERROR(--'Sales and count'!$G$2:$CC$2,0),SUMPRODUCT(('Sales and count'!$G$3:$CC$3="Total")*(_xlpm.d&gt;=$U$4)*(_xlpm.d&lt;=$U$5),INDEX('Sales and count'!$G$4:$CC$300,$BF164,0))))</f>
        <v>0</v>
      </c>
      <c r="AS164" s="8" cm="1">
        <f t="array" ref="AS164">IF($BF164="",0,_xlfn.LET(_xlpm.d,IFERROR(--'Sales and count'!$F$2:$CB$2,0),SUMPRODUCT(('Sales and count'!$G$3:$CC$3="Transactions")*(_xlpm.d&gt;=$U$4)*(_xlpm.d&lt;=$U$5),INDEX('Sales and count'!$G$4:$CC$300,$BF164,0))))</f>
        <v>0</v>
      </c>
      <c r="AT164" s="8" cm="1">
        <f t="array" ref="AT164">IF($AW164="",0,SUMPRODUCT((TRIM('LY Sales '!$B$5:$B$200)=$AW164)*('LY Sales '!$C$2:$AG$2&gt;=EDATE($U$4,-12))*('LY Sales '!$C$2:$AG$2&lt;=EDATE($U$5,-12)),'LY Sales '!$C$5:$AG$200))</f>
        <v>0</v>
      </c>
      <c r="AU164" s="8" cm="1">
        <f t="array" ref="AU164">IF($AW164="",0,SUMPRODUCT((TRIM('LY Transaction'!$B$5:$B$200)=$AW164)*('LY Transaction'!$C$2:$AG$2&gt;=EDATE($U$4,-12))*('LY Transaction'!$C$2:$AG$2&lt;=EDATE($U$5,-12)),'LY Transaction'!$C$5:$AG$200))</f>
        <v>0</v>
      </c>
      <c r="AV164" s="8" cm="1">
        <f t="array" ref="AV164">IF(NOT(ISNUMBER($BG164)),0,SUMPRODUCT(('TY Sales Target'!$K$2:$AO$2&gt;=$U$4)*('TY Sales Target'!$K$2:$AO$2&lt;=$U$5),INDEX('TY Sales Target'!$K$5:$AO$300,$BG164,0)))</f>
        <v>0</v>
      </c>
      <c r="AW164" s="8" t="str" cm="1">
        <f t="array" ref="AW164">IFERROR(INDEX(_xlfn.ANCHORARRAY($BR$5),ROWS($AW$5:AW164)),"")</f>
        <v/>
      </c>
      <c r="BB164" cm="1">
        <f t="array" ref="BB164">IF($AW164="",0,SUMPRODUCT((TRIM(Footfall!$B$5:$B$301)=$AW164)*(Footfall!$C$1:$BZ$1&gt;=$U$4)*(Footfall!$C$2:$BZ$2&lt;=$U$5)*(Footfall!$C$1:$BZ$1&lt;&gt;""),Footfall!$C$5:$BZ$301))</f>
        <v>0</v>
      </c>
      <c r="BC164" cm="1">
        <f t="array" ref="BC164">IF(OR($BB164&lt;=0,$BD$1="",$BF164=""),0,_xlfn.LET(_xlpm.d,IFERROR(--'Sales and count'!$F$2:$CB$2,0),SUMPRODUCT(('Sales and count'!$G$3:$CC$3="Transactions")*(_xlpm.d&gt;=$BD$1)*(_xlpm.d&lt;=$BD$2),INDEX('Sales and count'!$G$4:$CC$300,$BF164,0))))</f>
        <v>0</v>
      </c>
      <c r="BF164" t="str" cm="1">
        <f t="array" ref="BF164">IF($AW164="","",IFERROR(MATCH($AW164,TRIM('Sales and count'!$A$4:$A$300&amp;""),0),""))</f>
        <v/>
      </c>
      <c r="BG164" t="str" cm="1">
        <f t="array" ref="BG164">IF($AW164="","",IFERROR(MATCH(IFERROR(_xlfn.XLOOKUP($AW164,$BT$5:$BT$22,$BU$5:$BU$22),$AW164),TRIM('TY Sales Target'!$B$5:$B$300&amp;""),0),""))</f>
        <v/>
      </c>
      <c r="BH164" t="str" cm="1">
        <f t="array" ref="BH164">IF(ISNUMBER($BG164),_xlfn.LET(_xlpm.p,TRIM(INDEX('TY Sales Target'!$I$5:$I$300,$BG164)&amp;""),IF(_xlpm.p="","Not set",_xlpm.p)),"Not set")</f>
        <v>Not set</v>
      </c>
      <c r="BI164" cm="1">
        <f t="array" ref="BI164">IF($BF164="",0,_xlfn.LET(_xlpm.d,IFERROR(--'Sales and count'!$G$2:$CC$2,0),SUMPRODUCT(('Sales and count'!$G$3:$CC$3="Total")*(_xlpm.d&gt;=$BZ$5)*(_xlpm.d&lt;=$BZ$6),INDEX('Sales and count'!$G$4:$CC$300,$BF164,0))))</f>
        <v>0</v>
      </c>
      <c r="BJ164" cm="1">
        <f t="array" ref="BJ164">IF($AW164="",0,SUMPRODUCT((TRIM('LY Sales '!$B$5:$B$200)=$AW164)*('LY Sales '!$C$2:$AG$2&gt;=EDATE($BZ$5,-12))*('LY Sales '!$C$2:$AG$2&lt;=EDATE($BZ$6,-12)),'LY Sales '!$C$5:$AG$200))</f>
        <v>0</v>
      </c>
      <c r="BK164" cm="1">
        <f t="array" ref="BK164">IF($AW164="",0,SUMPRODUCT((TRIM('LY Sales '!$B$5:$B$200)=$AW164)*('LY Sales '!$C$2:$AG$2&gt;=EDATE($BZ$5,-12))*('LY Sales '!$C$2:$AG$2&lt;=EDATE($BZ$7,-12)),'LY Sales '!$C$5:$AG$200))</f>
        <v>0</v>
      </c>
      <c r="BL164" cm="1">
        <f t="array" ref="BL164">IF($AW164="",0,SUMPRODUCT((TRIM('LY Sales '!$B$5:$B$200)=$AW164)*('LY Sales '!$C$2:$AG$2&gt;=EDATE($BZ$5,-12))*('LY Sales '!$C$2:$AG$2&lt;=EDATE($BZ$6,-12))*('LY Sales '!$C$5:$AG$200&gt;0)))</f>
        <v>0</v>
      </c>
      <c r="BM164" cm="1">
        <f t="array" ref="BM164">IF(NOT(ISNUMBER($BG164)),0,SUMPRODUCT(('TY Sales Target'!$K$2:$AO$2&gt;=$BZ$5)*('TY Sales Target'!$K$2:$AO$2&lt;=$BZ$6),INDEX('TY Sales Target'!$K$5:$AO$300,$BG164,0)))</f>
        <v>0</v>
      </c>
      <c r="BN164" cm="1">
        <f t="array" ref="BN164">IF(NOT(ISNUMBER($BG164)),0,SUMPRODUCT(('TY Sales Target'!$K$2:$AO$2&gt;=$BZ$5)*('TY Sales Target'!$K$2:$AO$2&lt;=$BZ$7),INDEX('TY Sales Target'!$K$5:$AO$300,$BG164,0)))</f>
        <v>0</v>
      </c>
      <c r="BO164" cm="1">
        <f t="array" ref="BO164">IF($AW164="",0,IFERROR(_xlfn.SWITCH($BP164,"LY trend",$BI164*$BK164/$BJ164,"Target curve",$BI164*$BN164/$BM164,"Run rate",$BI164/$BZ$8*$BZ$9,0),0))</f>
        <v>0</v>
      </c>
      <c r="BP164" t="str">
        <f t="shared" si="92"/>
        <v/>
      </c>
      <c r="CB164" cm="1">
        <f t="array" ref="CB164">IF($AW164="",0,_xlfn.LET(_xlpm.k,IFERROR(_xlfn.XLOOKUP($AW164,$CD$6:$CD$21,$CE$6:$CE$21),$AW164),SUMPRODUCT((TRIM('Makeup '!$A$2:$A$300&amp;"")=_xlpm.k)*1,IFERROR('Makeup '!$F$2:$F$300*1,0))))</f>
        <v>0</v>
      </c>
      <c r="CF164" t="str" cm="1">
        <f t="array" ref="CF164">IF($AW164="","",_xlfn.LET(_xlpm.c,IFERROR(TRIM(INDEX('Sales and count'!$B$4:$B$300,$BF164)&amp;""),""),IF(OR(_xlpm.c="",_xlpm.c="0",LEFT(_xlpm.c,1)="#"),"Not set",_xlpm.c)))</f>
        <v/>
      </c>
      <c r="CH164" cm="1">
        <f t="array" ref="CH164">IF($AW164="",0,_xlfn.LET(_xlpm.k,IFERROR(_xlfn.XLOOKUP($AW164,$CD$6:$CD$21,$CE$6:$CE$21),$AW164),--(SUMPRODUCT((TRIM('Makeup '!$A$2:$A$300&amp;"")=_xlpm.k)*ISNUMBER('Makeup '!$F$2:$F$300))&gt;0)))</f>
        <v>0</v>
      </c>
      <c r="CI164">
        <f t="shared" si="95"/>
        <v>0</v>
      </c>
      <c r="CJ164" cm="1">
        <f t="array" ref="CJ164">IF($AW164="",0,--(SUMPRODUCT(--(TRIM(Footfall!$B$5:$B$301)=$AW164))&gt;0))</f>
        <v>0</v>
      </c>
      <c r="CK164" s="8" cm="1">
        <f t="array" ref="CK164">IF($AW164="",0,_xlfn.LET(_xlpm.r,IFERROR(MATCH(IFERROR(_xlfn.XLOOKUP($AW164,$BT$5:$BT$22,$BU$5:$BU$22),$AW164),TRIM('TY Beauty Target'!$B$5:$B$300&amp;""),0),""),IF(ISNUMBER(_xlpm.r),SUMPRODUCT(('TY Beauty Target'!$L$2:$AP$2&gt;=$U$4)*('TY Beauty Target'!$L$2:$AP$2&lt;=$U$5),INDEX('TY Beauty Target'!$L$5:$AP$300,_xlpm.r,0)),0)))</f>
        <v>0</v>
      </c>
    </row>
    <row r="165" spans="1:89" ht="15" customHeight="1" x14ac:dyDescent="0.25">
      <c r="A165" s="38" t="str">
        <f t="shared" si="96"/>
        <v/>
      </c>
      <c r="B165" s="43" t="str" cm="1">
        <f t="array" ref="B165">IF($AI165="","",IF(LEFT($AI165,2)="C|",IF($C165="","",_xlfn.TEXTJOIN(", ",TRUE,_xlfn.UNIQUE(_xlfn._xlws.FILTER($AN$5:$AN$302,($AP$5:$AP$302=1)*($AO$5:$AO$302=$A165))))),IF($AI165="CT",B$13,IF(LEFT($AI165,3)="AM|",IF($C165="","",ROWS(_xlfn.UNIQUE(_xlfn._xlws.FILTER($AO$5:$AO$302,($AP$5:$AP$302=1)*($AN$5:$AN$302=$A165))))),IF(LEFT($AI165,2)="S|",IF($AG165="","",INDEX($AO$5:$AO$302,$AH165)),IF($AI165="HDR","City",""))))))</f>
        <v/>
      </c>
      <c r="C165" s="39" t="str" cm="1">
        <f t="array" ref="C165">IF($AI165="","",IF(LEFT($AI165,2)="C|",_xlfn.LET(_xlpm.n,SUMPRODUCT($AP$5:$AP$302*($AO$5:$AO$302=$A165)),IF(_xlpm.n=0,"",_xlpm.n)),IF($AI165="CT",C$13,IF(LEFT($AI165,3)="AM|",_xlfn.LET(_xlpm.n,SUMPRODUCT($AP$5:$AP$302*($AN$5:$AN$302=$A165)),IF(_xlpm.n=0,"",_xlpm.n)),IF(LEFT($AI165,2)="S|","",IF($AI165="HDR","# Stores",""))))))</f>
        <v/>
      </c>
      <c r="D165" s="40" t="str" cm="1">
        <f t="array" ref="D165">IF($AI165="","",IF(LEFT($AI165,2)="C|",IF($C165="","",SUMPRODUCT($AP$5:$AP$302*($AO$5:$AO$302=$A165),$AR$5:$AR$302)),IF($AI165="CT",D$13,IF(LEFT($AI165,3)="AM|",IF($C165="","",SUMPRODUCT($AP$5:$AP$302*($AN$5:$AN$302=$A165),$AR$5:$AR$302)),IF(LEFT($AI165,2)="S|",IF($AG165="","",INDEX($AR$5:$AR$302,$AH165)),IF($AI165="HDR","Sales TY",""))))))</f>
        <v/>
      </c>
      <c r="E165" s="40" t="str" cm="1">
        <f t="array" ref="E165">IF($AI165="","",IF(LEFT($AI165,2)="C|",IF($C165="","",SUMPRODUCT($AP$5:$AP$302*($AO$5:$AO$302=$A165),$AT$5:$AT$302)),IF($AI165="CT",E$13,IF(LEFT($AI165,3)="AM|",IF($C165="","",SUMPRODUCT($AP$5:$AP$302*($AN$5:$AN$302=$A165),$AT$5:$AT$302)),IF(LEFT($AI165,2)="S|",IF($AG165="","",INDEX($AT$5:$AT$302,$AH165)),IF($AI165="HDR","Sales LY",""))))))</f>
        <v/>
      </c>
      <c r="F165" s="41" t="str">
        <f t="shared" si="97"/>
        <v/>
      </c>
      <c r="G165" s="41" t="str">
        <f t="shared" si="98"/>
        <v/>
      </c>
      <c r="H165" s="40" t="str" cm="1">
        <f t="array" ref="H165">IF($AI165="","",IF(LEFT($AI165,2)="C|",IF($C165="","",SUMPRODUCT($AP$5:$AP$302*($AO$5:$AO$302=$A165),$AV$5:$AV$302)),IF($AI165="CT",H$13,IF(LEFT($AI165,3)="AM|",IF($C165="","",SUMPRODUCT($AP$5:$AP$302*($AN$5:$AN$302=$A165),$AV$5:$AV$302)),IF(LEFT($AI165,2)="S|",IF($AG165="","",INDEX($AV$5:$AV$302,$AH165)),IF($AI165="HDR","Target",""))))))</f>
        <v/>
      </c>
      <c r="I165" s="41" t="str">
        <f t="shared" si="99"/>
        <v/>
      </c>
      <c r="J165" s="40" t="str">
        <f t="shared" si="100"/>
        <v/>
      </c>
      <c r="K165" s="41" t="str">
        <f t="shared" si="101"/>
        <v/>
      </c>
      <c r="L165" s="40" t="str" cm="1">
        <f t="array" ref="L165">IF($AI165="","",IF(LEFT($AI165,2)="C|",IF($C165="","",SUMPRODUCT($AP$5:$AP$302*($AO$5:$AO$302=$A165),$BN$5:$BN$302)),IF($AI165="CT",L$13,IF(LEFT($AI165,3)="AM|",IF($C165="","",SUMPRODUCT($AP$5:$AP$302*($AN$5:$AN$302=$A165),$BN$5:$BN$302)),IF(LEFT($AI165,2)="S|",IF($AG165="","",INDEX($BN$5:$BN$302,$AH165)),IF($AI165="HDR","Month Target",""))))))</f>
        <v/>
      </c>
      <c r="M165" s="40" t="str" cm="1">
        <f t="array" ref="M165">IF($AI165="","",IF(LEFT($AI165,2)="C|",IF($C165="","",SUMPRODUCT($AP$5:$AP$302*($AO$5:$AO$302=$A165),$BO$5:$BO$302)),IF($AI165="CT",M$13,IF(LEFT($AI165,3)="AM|",IF($C165="","",SUMPRODUCT($AP$5:$AP$302*($AN$5:$AN$302=$A165),$BO$5:$BO$302)),IF(LEFT($AI165,2)="S|",IF($AG165="","",INDEX($BO$5:$BO$302,$AH165)),IF($AI165="HDR","Projected Close",""))))))</f>
        <v/>
      </c>
      <c r="N165" s="41" t="str">
        <f t="shared" si="109"/>
        <v/>
      </c>
      <c r="O165" s="41" t="str" cm="1">
        <f t="array" ref="O165">IF($AI165="HDR","Proj. vs LY",IF(OR($AI165="",M165=""),"",_xlfn.LET(_xlpm.ly,IF(LEFT($AI165,2)="C|",SUMPRODUCT($AP$5:$AP$302*($AO$5:$AO$302=$A165),$BK$5:$BK$302),IF($AI165="CT",SUMPRODUCT($AP$5:$AP$302,$BK$5:$BK$302),IF(LEFT($AI165,3)="AM|",SUMPRODUCT($AP$5:$AP$302*($AN$5:$AN$302=$A165),$BK$5:$BK$302),IF(LEFT($AI165,2)="S|",INDEX($BK$5:$BK$302,$AH165),0)))),IFERROR(M165/_xlpm.ly-1,""))))</f>
        <v/>
      </c>
      <c r="P165" s="40" t="str" cm="1">
        <f t="array" ref="P165">IF($AI165="","",IF(LEFT($AI165,2)="C|",IF($C165="","",SUMPRODUCT($AP$5:$AP$302*($AO$5:$AO$302=$A165),$AS$5:$AS$302)),IF($AI165="CT",P$13,IF(LEFT($AI165,3)="AM|",IF($C165="","",SUMPRODUCT($AP$5:$AP$302*($AN$5:$AN$302=$A165),$AS$5:$AS$302)),IF(LEFT($AI165,2)="S|",IF($AG165="","",INDEX($AS$5:$AS$302,$AH165)),IF($AI165="HDR","Trans TY",""))))))</f>
        <v/>
      </c>
      <c r="Q165" s="40" t="str" cm="1">
        <f t="array" ref="Q165">IF($AI165="","",IF(LEFT($AI165,2)="C|",IF($C165="","",SUMPRODUCT($AP$5:$AP$302*($AO$5:$AO$302=$A165),$AU$5:$AU$302)),IF($AI165="CT",Q$13,IF(LEFT($AI165,3)="AM|",IF($C165="","",SUMPRODUCT($AP$5:$AP$302*($AN$5:$AN$302=$A165),$AU$5:$AU$302)),IF(LEFT($AI165,2)="S|",IF($AG165="","",INDEX($AU$5:$AU$302,$AH165)),IF($AI165="HDR","Trans LY",""))))))</f>
        <v/>
      </c>
      <c r="R165" s="41" t="str">
        <f t="shared" si="102"/>
        <v/>
      </c>
      <c r="S165" s="41" t="str">
        <f t="shared" si="103"/>
        <v/>
      </c>
      <c r="T165" s="42" t="str">
        <f t="shared" si="104"/>
        <v/>
      </c>
      <c r="U165" s="42" t="str">
        <f t="shared" si="105"/>
        <v/>
      </c>
      <c r="V165" s="41" t="str">
        <f t="shared" si="106"/>
        <v/>
      </c>
      <c r="W165" s="40" t="str" cm="1">
        <f t="array" ref="W165">IF($AI165="","",IF(LEFT($AI165,2)="C|",_xlfn.LET(_xlpm.n,SUMPRODUCT($AP$5:$AP$302*($AO$5:$AO$302=$A165),$BB$5:$BB$302),IF(_xlpm.n=0,"",_xlpm.n)),IF($AI165="CT",W$13,IF(LEFT($AI165,3)="AM|",_xlfn.LET(_xlpm.n,SUMPRODUCT($AP$5:$AP$302*($AN$5:$AN$302=$A165),$BB$5:$BB$302),IF(_xlpm.n=0,"",_xlpm.n)),IF(LEFT($AI165,2)="S|",IF($AG165="","",_xlfn.LET(_xlpm.n,INDEX($BB$5:$BB$302,$AH165),IF(_xlpm.n=0,"",_xlpm.n))),IF($AI165="HDR","Footfall",""))))))</f>
        <v/>
      </c>
      <c r="X165" s="40" t="str" cm="1">
        <f t="array" ref="X165">IF($AI165="","",IF($AI165="HDR","Trans (FF stores)",IF(W165="","",IF(LEFT($AI165,2)="C|",SUMPRODUCT($AP$5:$AP$302*($AO$5:$AO$302=$A165),$BC$5:$BC$302),IF($AI165="CT",X$13,IF(LEFT($AI165,3)="AM|",SUMPRODUCT($AP$5:$AP$302*($AN$5:$AN$302=$A165),$BC$5:$BC$302),IF(LEFT($AI165,2)="S|",INDEX($BC$5:$BC$302,$AH165),"")))))))</f>
        <v/>
      </c>
      <c r="Y165" s="41" t="str">
        <f t="shared" si="110"/>
        <v/>
      </c>
      <c r="Z165" s="40" t="str" cm="1">
        <f t="array" ref="Z165">IF($AI165="","",IF(LEFT($AI165,2)="C|",IF($C165="","",SUMPRODUCT($AP$5:$AP$302*($AO$5:$AO$302=$A165),$CB$5:$CB$302)),IF($AI165="CT",Z$13,IF(LEFT($AI165,3)="AM|",IF($C165="","",SUMPRODUCT($AP$5:$AP$302*($AN$5:$AN$302=$A165),$CB$5:$CB$302)),IF(LEFT($AI165,2)="S|",IF($AG165="","",INDEX($CB$5:$CB$302,$AH165)),IF($AI165="HDR","Makeup Sales",""))))))</f>
        <v/>
      </c>
      <c r="AA165" s="41" t="str">
        <f t="shared" si="107"/>
        <v/>
      </c>
      <c r="AB165" s="40" t="str" cm="1">
        <f t="array" ref="AB165">IF($AI165="","",IF(LEFT($AI165,2)="C|",IF($C165="","",SUMPRODUCT($AP$5:$AP$302*($AO$5:$AO$302=$A165),$CK$5:$CK$302)),IF($AI165="CT",AB$13,IF(LEFT($AI165,3)="AM|",IF($C165="","",SUMPRODUCT($AP$5:$AP$302*($AN$5:$AN$302=$A165),$CK$5:$CK$302)),IF(LEFT($AI165,2)="S|",IF($AG165="","",INDEX($CK$5:$CK$302,$AH165)),IF($AI165="HDR","Makeup Target",""))))))</f>
        <v/>
      </c>
      <c r="AC165" s="41" t="str">
        <f t="shared" si="111"/>
        <v/>
      </c>
      <c r="AD165" s="40" t="str" cm="1">
        <f t="array" ref="AD165">IF($AI165="","",IF(LEFT($AI165,2)="C|",IF($C165="","",SUMPRODUCT($AP$5:$AP$302*($AO$5:$AO$302=$A165),$CI$5:$CI$302)),IF($AI165="CT",AD$13,IF(LEFT($AI165,3)="AM|",IF($C165="","",SUMPRODUCT($AP$5:$AP$302*($AN$5:$AN$302=$A165),$CI$5:$CI$302)),IF(LEFT($AI165,2)="S|",IF($AG165="","",INDEX($CI$5:$CI$302,$AH165)),IF($AI165="HDR","Cosmetic Sales",""))))))</f>
        <v/>
      </c>
      <c r="AE165" s="8" t="str" cm="1">
        <f t="array" ref="AE165">IF($AI165="","",IF(LEFT($AI165,2)="C|",IF($C165="","",SUMPRODUCT($AP$5:$AP$302*($AO$5:$AO$302=$A165)*$AQ$5:$AQ$302,$AR$5:$AR$302)),IF($AI165="CT",AE$13,IF(LEFT($AI165,3)="AM|",IF($C165="","",SUMPRODUCT($AP$5:$AP$302*($AN$5:$AN$302=$A165)*$AQ$5:$AQ$302,$AR$5:$AR$302)),IF(LEFT($AI165,2)="S|",IF($AG165="","",IF(INDEX($AQ$5:$AQ$302,$AH165)=1,D165,0)),IF($AI165="HDR","LFL Sales",""))))))</f>
        <v/>
      </c>
      <c r="AF165" s="8" t="str" cm="1">
        <f t="array" ref="AF165">IF($AI165="","",IF(LEFT($AI165,2)="C|",IF($C165="","",SUMPRODUCT($AP$5:$AP$302*($AO$5:$AO$302=$A165)*$AQ$5:$AQ$302,$AS$5:$AS$302)),IF($AI165="CT",AF$13,IF(LEFT($AI165,3)="AM|",IF($C165="","",SUMPRODUCT($AP$5:$AP$302*($AN$5:$AN$302=$A165)*$AQ$5:$AQ$302,$AS$5:$AS$302)),IF(LEFT($AI165,2)="S|",IF($AG165="","",IF(INDEX($AQ$5:$AQ$302,$AH165)=1,P165,0)),IF($AI165="HDR","LFL Trans",""))))))</f>
        <v/>
      </c>
      <c r="AG165" s="8" t="str" cm="1">
        <f t="array" ref="AG165">IF($AI165="","",IF(LEFT($AI165,2)="C|","",IF($AI165="CT","",IF(LEFT($AI165,3)="AM|","",IF(LEFT($AI165,2)="S|",IF($AH165="","",IF(INDEX($AP$5:$AP$302,$AH165)=1,1,"")),IF($AI165="HDR","Show",""))))))</f>
        <v/>
      </c>
      <c r="AH165" s="8" t="str">
        <f t="shared" si="108"/>
        <v/>
      </c>
      <c r="AI165" s="8"/>
      <c r="AN165" s="8" t="str" cm="1">
        <f t="array" ref="AN165">IF($AW165="","",_xlfn.LET(_xlpm.sa,IFERROR(TRIM(INDEX('Sales and count'!$D$4:$D$300,$BF165)&amp;""),""),_xlpm.ta,IFERROR(TRIM(INDEX('TY Sales Target'!$F$5:$F$300,$BG165)&amp;""),""),IF(AND(_xlpm.sa&lt;&gt;"",LEFT(_xlpm.sa,1)&lt;&gt;"#",_xlpm.sa&lt;&gt;"0"),_xlpm.sa,IF(AND(_xlpm.ta&lt;&gt;"",LEFT(_xlpm.ta,1)&lt;&gt;"#",_xlpm.ta&lt;&gt;"0"),_xlpm.ta,IF(ISNUMBER($BG165),"Unassigned","")))))</f>
        <v/>
      </c>
      <c r="AO165" s="8" t="str" cm="1">
        <f t="array" ref="AO165">IF($AW165="","",_xlfn.LET(_xlpm.sa,IFERROR(TRIM(INDEX('Sales and count'!$C$4:$C$300,$BF165)&amp;""),""),_xlpm.ta,IFERROR(TRIM(INDEX('TY Sales Target'!$D$5:$D$300,$BG165)&amp;""),""),IF(AND(_xlpm.sa&lt;&gt;"",LEFT(_xlpm.sa,1)&lt;&gt;"#",_xlpm.sa&lt;&gt;"0"),_xlpm.sa,IF(AND(_xlpm.ta&lt;&gt;"",LEFT(_xlpm.ta,1)&lt;&gt;"#",_xlpm.ta&lt;&gt;"0"),_xlpm.ta,""))))</f>
        <v/>
      </c>
      <c r="AP165" s="8">
        <f t="shared" si="93"/>
        <v>0</v>
      </c>
      <c r="AQ165" s="8">
        <f t="shared" si="94"/>
        <v>0</v>
      </c>
      <c r="AR165" s="8" cm="1">
        <f t="array" ref="AR165">IF($BF165="",0,_xlfn.LET(_xlpm.d,IFERROR(--'Sales and count'!$G$2:$CC$2,0),SUMPRODUCT(('Sales and count'!$G$3:$CC$3="Total")*(_xlpm.d&gt;=$U$4)*(_xlpm.d&lt;=$U$5),INDEX('Sales and count'!$G$4:$CC$300,$BF165,0))))</f>
        <v>0</v>
      </c>
      <c r="AS165" s="8" cm="1">
        <f t="array" ref="AS165">IF($BF165="",0,_xlfn.LET(_xlpm.d,IFERROR(--'Sales and count'!$F$2:$CB$2,0),SUMPRODUCT(('Sales and count'!$G$3:$CC$3="Transactions")*(_xlpm.d&gt;=$U$4)*(_xlpm.d&lt;=$U$5),INDEX('Sales and count'!$G$4:$CC$300,$BF165,0))))</f>
        <v>0</v>
      </c>
      <c r="AT165" s="8" cm="1">
        <f t="array" ref="AT165">IF($AW165="",0,SUMPRODUCT((TRIM('LY Sales '!$B$5:$B$200)=$AW165)*('LY Sales '!$C$2:$AG$2&gt;=EDATE($U$4,-12))*('LY Sales '!$C$2:$AG$2&lt;=EDATE($U$5,-12)),'LY Sales '!$C$5:$AG$200))</f>
        <v>0</v>
      </c>
      <c r="AU165" s="8" cm="1">
        <f t="array" ref="AU165">IF($AW165="",0,SUMPRODUCT((TRIM('LY Transaction'!$B$5:$B$200)=$AW165)*('LY Transaction'!$C$2:$AG$2&gt;=EDATE($U$4,-12))*('LY Transaction'!$C$2:$AG$2&lt;=EDATE($U$5,-12)),'LY Transaction'!$C$5:$AG$200))</f>
        <v>0</v>
      </c>
      <c r="AV165" s="8" cm="1">
        <f t="array" ref="AV165">IF(NOT(ISNUMBER($BG165)),0,SUMPRODUCT(('TY Sales Target'!$K$2:$AO$2&gt;=$U$4)*('TY Sales Target'!$K$2:$AO$2&lt;=$U$5),INDEX('TY Sales Target'!$K$5:$AO$300,$BG165,0)))</f>
        <v>0</v>
      </c>
      <c r="AW165" s="8" t="str" cm="1">
        <f t="array" ref="AW165">IFERROR(INDEX(_xlfn.ANCHORARRAY($BR$5),ROWS($AW$5:AW165)),"")</f>
        <v/>
      </c>
      <c r="BB165" cm="1">
        <f t="array" ref="BB165">IF($AW165="",0,SUMPRODUCT((TRIM(Footfall!$B$5:$B$301)=$AW165)*(Footfall!$C$1:$BZ$1&gt;=$U$4)*(Footfall!$C$2:$BZ$2&lt;=$U$5)*(Footfall!$C$1:$BZ$1&lt;&gt;""),Footfall!$C$5:$BZ$301))</f>
        <v>0</v>
      </c>
      <c r="BC165" cm="1">
        <f t="array" ref="BC165">IF(OR($BB165&lt;=0,$BD$1="",$BF165=""),0,_xlfn.LET(_xlpm.d,IFERROR(--'Sales and count'!$F$2:$CB$2,0),SUMPRODUCT(('Sales and count'!$G$3:$CC$3="Transactions")*(_xlpm.d&gt;=$BD$1)*(_xlpm.d&lt;=$BD$2),INDEX('Sales and count'!$G$4:$CC$300,$BF165,0))))</f>
        <v>0</v>
      </c>
      <c r="BF165" t="str" cm="1">
        <f t="array" ref="BF165">IF($AW165="","",IFERROR(MATCH($AW165,TRIM('Sales and count'!$A$4:$A$300&amp;""),0),""))</f>
        <v/>
      </c>
      <c r="BG165" t="str" cm="1">
        <f t="array" ref="BG165">IF($AW165="","",IFERROR(MATCH(IFERROR(_xlfn.XLOOKUP($AW165,$BT$5:$BT$22,$BU$5:$BU$22),$AW165),TRIM('TY Sales Target'!$B$5:$B$300&amp;""),0),""))</f>
        <v/>
      </c>
      <c r="BH165" t="str" cm="1">
        <f t="array" ref="BH165">IF(ISNUMBER($BG165),_xlfn.LET(_xlpm.p,TRIM(INDEX('TY Sales Target'!$I$5:$I$300,$BG165)&amp;""),IF(_xlpm.p="","Not set",_xlpm.p)),"Not set")</f>
        <v>Not set</v>
      </c>
      <c r="BI165" cm="1">
        <f t="array" ref="BI165">IF($BF165="",0,_xlfn.LET(_xlpm.d,IFERROR(--'Sales and count'!$G$2:$CC$2,0),SUMPRODUCT(('Sales and count'!$G$3:$CC$3="Total")*(_xlpm.d&gt;=$BZ$5)*(_xlpm.d&lt;=$BZ$6),INDEX('Sales and count'!$G$4:$CC$300,$BF165,0))))</f>
        <v>0</v>
      </c>
      <c r="BJ165" cm="1">
        <f t="array" ref="BJ165">IF($AW165="",0,SUMPRODUCT((TRIM('LY Sales '!$B$5:$B$200)=$AW165)*('LY Sales '!$C$2:$AG$2&gt;=EDATE($BZ$5,-12))*('LY Sales '!$C$2:$AG$2&lt;=EDATE($BZ$6,-12)),'LY Sales '!$C$5:$AG$200))</f>
        <v>0</v>
      </c>
      <c r="BK165" cm="1">
        <f t="array" ref="BK165">IF($AW165="",0,SUMPRODUCT((TRIM('LY Sales '!$B$5:$B$200)=$AW165)*('LY Sales '!$C$2:$AG$2&gt;=EDATE($BZ$5,-12))*('LY Sales '!$C$2:$AG$2&lt;=EDATE($BZ$7,-12)),'LY Sales '!$C$5:$AG$200))</f>
        <v>0</v>
      </c>
      <c r="BL165" cm="1">
        <f t="array" ref="BL165">IF($AW165="",0,SUMPRODUCT((TRIM('LY Sales '!$B$5:$B$200)=$AW165)*('LY Sales '!$C$2:$AG$2&gt;=EDATE($BZ$5,-12))*('LY Sales '!$C$2:$AG$2&lt;=EDATE($BZ$6,-12))*('LY Sales '!$C$5:$AG$200&gt;0)))</f>
        <v>0</v>
      </c>
      <c r="BM165" cm="1">
        <f t="array" ref="BM165">IF(NOT(ISNUMBER($BG165)),0,SUMPRODUCT(('TY Sales Target'!$K$2:$AO$2&gt;=$BZ$5)*('TY Sales Target'!$K$2:$AO$2&lt;=$BZ$6),INDEX('TY Sales Target'!$K$5:$AO$300,$BG165,0)))</f>
        <v>0</v>
      </c>
      <c r="BN165" cm="1">
        <f t="array" ref="BN165">IF(NOT(ISNUMBER($BG165)),0,SUMPRODUCT(('TY Sales Target'!$K$2:$AO$2&gt;=$BZ$5)*('TY Sales Target'!$K$2:$AO$2&lt;=$BZ$7),INDEX('TY Sales Target'!$K$5:$AO$300,$BG165,0)))</f>
        <v>0</v>
      </c>
      <c r="BO165" cm="1">
        <f t="array" ref="BO165">IF($AW165="",0,IFERROR(_xlfn.SWITCH($BP165,"LY trend",$BI165*$BK165/$BJ165,"Target curve",$BI165*$BN165/$BM165,"Run rate",$BI165/$BZ$8*$BZ$9,0),0))</f>
        <v>0</v>
      </c>
      <c r="BP165" t="str">
        <f t="shared" si="92"/>
        <v/>
      </c>
      <c r="CB165" cm="1">
        <f t="array" ref="CB165">IF($AW165="",0,_xlfn.LET(_xlpm.k,IFERROR(_xlfn.XLOOKUP($AW165,$CD$6:$CD$21,$CE$6:$CE$21),$AW165),SUMPRODUCT((TRIM('Makeup '!$A$2:$A$300&amp;"")=_xlpm.k)*1,IFERROR('Makeup '!$F$2:$F$300*1,0))))</f>
        <v>0</v>
      </c>
      <c r="CF165" t="str" cm="1">
        <f t="array" ref="CF165">IF($AW165="","",_xlfn.LET(_xlpm.c,IFERROR(TRIM(INDEX('Sales and count'!$B$4:$B$300,$BF165)&amp;""),""),IF(OR(_xlpm.c="",_xlpm.c="0",LEFT(_xlpm.c,1)="#"),"Not set",_xlpm.c)))</f>
        <v/>
      </c>
      <c r="CH165" cm="1">
        <f t="array" ref="CH165">IF($AW165="",0,_xlfn.LET(_xlpm.k,IFERROR(_xlfn.XLOOKUP($AW165,$CD$6:$CD$21,$CE$6:$CE$21),$AW165),--(SUMPRODUCT((TRIM('Makeup '!$A$2:$A$300&amp;"")=_xlpm.k)*ISNUMBER('Makeup '!$F$2:$F$300))&gt;0)))</f>
        <v>0</v>
      </c>
      <c r="CI165">
        <f t="shared" si="95"/>
        <v>0</v>
      </c>
      <c r="CJ165" cm="1">
        <f t="array" ref="CJ165">IF($AW165="",0,--(SUMPRODUCT(--(TRIM(Footfall!$B$5:$B$301)=$AW165))&gt;0))</f>
        <v>0</v>
      </c>
      <c r="CK165" s="8" cm="1">
        <f t="array" ref="CK165">IF($AW165="",0,_xlfn.LET(_xlpm.r,IFERROR(MATCH(IFERROR(_xlfn.XLOOKUP($AW165,$BT$5:$BT$22,$BU$5:$BU$22),$AW165),TRIM('TY Beauty Target'!$B$5:$B$300&amp;""),0),""),IF(ISNUMBER(_xlpm.r),SUMPRODUCT(('TY Beauty Target'!$L$2:$AP$2&gt;=$U$4)*('TY Beauty Target'!$L$2:$AP$2&lt;=$U$5),INDEX('TY Beauty Target'!$L$5:$AP$300,_xlpm.r,0)),0)))</f>
        <v>0</v>
      </c>
    </row>
    <row r="166" spans="1:89" ht="15" customHeight="1" x14ac:dyDescent="0.25">
      <c r="A166" s="38" t="str">
        <f t="shared" si="96"/>
        <v/>
      </c>
      <c r="B166" s="43" t="str" cm="1">
        <f t="array" ref="B166">IF($AI166="","",IF(LEFT($AI166,2)="C|",IF($C166="","",_xlfn.TEXTJOIN(", ",TRUE,_xlfn.UNIQUE(_xlfn._xlws.FILTER($AN$5:$AN$302,($AP$5:$AP$302=1)*($AO$5:$AO$302=$A166))))),IF($AI166="CT",B$13,IF(LEFT($AI166,3)="AM|",IF($C166="","",ROWS(_xlfn.UNIQUE(_xlfn._xlws.FILTER($AO$5:$AO$302,($AP$5:$AP$302=1)*($AN$5:$AN$302=$A166))))),IF(LEFT($AI166,2)="S|",IF($AG166="","",INDEX($AO$5:$AO$302,$AH166)),IF($AI166="HDR","City",""))))))</f>
        <v/>
      </c>
      <c r="C166" s="39" t="str" cm="1">
        <f t="array" ref="C166">IF($AI166="","",IF(LEFT($AI166,2)="C|",_xlfn.LET(_xlpm.n,SUMPRODUCT($AP$5:$AP$302*($AO$5:$AO$302=$A166)),IF(_xlpm.n=0,"",_xlpm.n)),IF($AI166="CT",C$13,IF(LEFT($AI166,3)="AM|",_xlfn.LET(_xlpm.n,SUMPRODUCT($AP$5:$AP$302*($AN$5:$AN$302=$A166)),IF(_xlpm.n=0,"",_xlpm.n)),IF(LEFT($AI166,2)="S|","",IF($AI166="HDR","# Stores",""))))))</f>
        <v/>
      </c>
      <c r="D166" s="40" t="str" cm="1">
        <f t="array" ref="D166">IF($AI166="","",IF(LEFT($AI166,2)="C|",IF($C166="","",SUMPRODUCT($AP$5:$AP$302*($AO$5:$AO$302=$A166),$AR$5:$AR$302)),IF($AI166="CT",D$13,IF(LEFT($AI166,3)="AM|",IF($C166="","",SUMPRODUCT($AP$5:$AP$302*($AN$5:$AN$302=$A166),$AR$5:$AR$302)),IF(LEFT($AI166,2)="S|",IF($AG166="","",INDEX($AR$5:$AR$302,$AH166)),IF($AI166="HDR","Sales TY",""))))))</f>
        <v/>
      </c>
      <c r="E166" s="40" t="str" cm="1">
        <f t="array" ref="E166">IF($AI166="","",IF(LEFT($AI166,2)="C|",IF($C166="","",SUMPRODUCT($AP$5:$AP$302*($AO$5:$AO$302=$A166),$AT$5:$AT$302)),IF($AI166="CT",E$13,IF(LEFT($AI166,3)="AM|",IF($C166="","",SUMPRODUCT($AP$5:$AP$302*($AN$5:$AN$302=$A166),$AT$5:$AT$302)),IF(LEFT($AI166,2)="S|",IF($AG166="","",INDEX($AT$5:$AT$302,$AH166)),IF($AI166="HDR","Sales LY",""))))))</f>
        <v/>
      </c>
      <c r="F166" s="41" t="str">
        <f t="shared" si="97"/>
        <v/>
      </c>
      <c r="G166" s="41" t="str">
        <f t="shared" si="98"/>
        <v/>
      </c>
      <c r="H166" s="40" t="str" cm="1">
        <f t="array" ref="H166">IF($AI166="","",IF(LEFT($AI166,2)="C|",IF($C166="","",SUMPRODUCT($AP$5:$AP$302*($AO$5:$AO$302=$A166),$AV$5:$AV$302)),IF($AI166="CT",H$13,IF(LEFT($AI166,3)="AM|",IF($C166="","",SUMPRODUCT($AP$5:$AP$302*($AN$5:$AN$302=$A166),$AV$5:$AV$302)),IF(LEFT($AI166,2)="S|",IF($AG166="","",INDEX($AV$5:$AV$302,$AH166)),IF($AI166="HDR","Target",""))))))</f>
        <v/>
      </c>
      <c r="I166" s="41" t="str">
        <f t="shared" si="99"/>
        <v/>
      </c>
      <c r="J166" s="40" t="str">
        <f t="shared" si="100"/>
        <v/>
      </c>
      <c r="K166" s="41" t="str">
        <f t="shared" si="101"/>
        <v/>
      </c>
      <c r="L166" s="40" t="str" cm="1">
        <f t="array" ref="L166">IF($AI166="","",IF(LEFT($AI166,2)="C|",IF($C166="","",SUMPRODUCT($AP$5:$AP$302*($AO$5:$AO$302=$A166),$BN$5:$BN$302)),IF($AI166="CT",L$13,IF(LEFT($AI166,3)="AM|",IF($C166="","",SUMPRODUCT($AP$5:$AP$302*($AN$5:$AN$302=$A166),$BN$5:$BN$302)),IF(LEFT($AI166,2)="S|",IF($AG166="","",INDEX($BN$5:$BN$302,$AH166)),IF($AI166="HDR","Month Target",""))))))</f>
        <v/>
      </c>
      <c r="M166" s="40" t="str" cm="1">
        <f t="array" ref="M166">IF($AI166="","",IF(LEFT($AI166,2)="C|",IF($C166="","",SUMPRODUCT($AP$5:$AP$302*($AO$5:$AO$302=$A166),$BO$5:$BO$302)),IF($AI166="CT",M$13,IF(LEFT($AI166,3)="AM|",IF($C166="","",SUMPRODUCT($AP$5:$AP$302*($AN$5:$AN$302=$A166),$BO$5:$BO$302)),IF(LEFT($AI166,2)="S|",IF($AG166="","",INDEX($BO$5:$BO$302,$AH166)),IF($AI166="HDR","Projected Close",""))))))</f>
        <v/>
      </c>
      <c r="N166" s="41" t="str">
        <f t="shared" si="109"/>
        <v/>
      </c>
      <c r="O166" s="41" t="str" cm="1">
        <f t="array" ref="O166">IF($AI166="HDR","Proj. vs LY",IF(OR($AI166="",M166=""),"",_xlfn.LET(_xlpm.ly,IF(LEFT($AI166,2)="C|",SUMPRODUCT($AP$5:$AP$302*($AO$5:$AO$302=$A166),$BK$5:$BK$302),IF($AI166="CT",SUMPRODUCT($AP$5:$AP$302,$BK$5:$BK$302),IF(LEFT($AI166,3)="AM|",SUMPRODUCT($AP$5:$AP$302*($AN$5:$AN$302=$A166),$BK$5:$BK$302),IF(LEFT($AI166,2)="S|",INDEX($BK$5:$BK$302,$AH166),0)))),IFERROR(M166/_xlpm.ly-1,""))))</f>
        <v/>
      </c>
      <c r="P166" s="40" t="str" cm="1">
        <f t="array" ref="P166">IF($AI166="","",IF(LEFT($AI166,2)="C|",IF($C166="","",SUMPRODUCT($AP$5:$AP$302*($AO$5:$AO$302=$A166),$AS$5:$AS$302)),IF($AI166="CT",P$13,IF(LEFT($AI166,3)="AM|",IF($C166="","",SUMPRODUCT($AP$5:$AP$302*($AN$5:$AN$302=$A166),$AS$5:$AS$302)),IF(LEFT($AI166,2)="S|",IF($AG166="","",INDEX($AS$5:$AS$302,$AH166)),IF($AI166="HDR","Trans TY",""))))))</f>
        <v/>
      </c>
      <c r="Q166" s="40" t="str" cm="1">
        <f t="array" ref="Q166">IF($AI166="","",IF(LEFT($AI166,2)="C|",IF($C166="","",SUMPRODUCT($AP$5:$AP$302*($AO$5:$AO$302=$A166),$AU$5:$AU$302)),IF($AI166="CT",Q$13,IF(LEFT($AI166,3)="AM|",IF($C166="","",SUMPRODUCT($AP$5:$AP$302*($AN$5:$AN$302=$A166),$AU$5:$AU$302)),IF(LEFT($AI166,2)="S|",IF($AG166="","",INDEX($AU$5:$AU$302,$AH166)),IF($AI166="HDR","Trans LY",""))))))</f>
        <v/>
      </c>
      <c r="R166" s="41" t="str">
        <f t="shared" si="102"/>
        <v/>
      </c>
      <c r="S166" s="41" t="str">
        <f t="shared" si="103"/>
        <v/>
      </c>
      <c r="T166" s="42" t="str">
        <f t="shared" si="104"/>
        <v/>
      </c>
      <c r="U166" s="42" t="str">
        <f t="shared" si="105"/>
        <v/>
      </c>
      <c r="V166" s="41" t="str">
        <f t="shared" si="106"/>
        <v/>
      </c>
      <c r="W166" s="40" t="str" cm="1">
        <f t="array" ref="W166">IF($AI166="","",IF(LEFT($AI166,2)="C|",_xlfn.LET(_xlpm.n,SUMPRODUCT($AP$5:$AP$302*($AO$5:$AO$302=$A166),$BB$5:$BB$302),IF(_xlpm.n=0,"",_xlpm.n)),IF($AI166="CT",W$13,IF(LEFT($AI166,3)="AM|",_xlfn.LET(_xlpm.n,SUMPRODUCT($AP$5:$AP$302*($AN$5:$AN$302=$A166),$BB$5:$BB$302),IF(_xlpm.n=0,"",_xlpm.n)),IF(LEFT($AI166,2)="S|",IF($AG166="","",_xlfn.LET(_xlpm.n,INDEX($BB$5:$BB$302,$AH166),IF(_xlpm.n=0,"",_xlpm.n))),IF($AI166="HDR","Footfall",""))))))</f>
        <v/>
      </c>
      <c r="X166" s="40" t="str" cm="1">
        <f t="array" ref="X166">IF($AI166="","",IF($AI166="HDR","Trans (FF stores)",IF(W166="","",IF(LEFT($AI166,2)="C|",SUMPRODUCT($AP$5:$AP$302*($AO$5:$AO$302=$A166),$BC$5:$BC$302),IF($AI166="CT",X$13,IF(LEFT($AI166,3)="AM|",SUMPRODUCT($AP$5:$AP$302*($AN$5:$AN$302=$A166),$BC$5:$BC$302),IF(LEFT($AI166,2)="S|",INDEX($BC$5:$BC$302,$AH166),"")))))))</f>
        <v/>
      </c>
      <c r="Y166" s="41" t="str">
        <f t="shared" si="110"/>
        <v/>
      </c>
      <c r="Z166" s="40" t="str" cm="1">
        <f t="array" ref="Z166">IF($AI166="","",IF(LEFT($AI166,2)="C|",IF($C166="","",SUMPRODUCT($AP$5:$AP$302*($AO$5:$AO$302=$A166),$CB$5:$CB$302)),IF($AI166="CT",Z$13,IF(LEFT($AI166,3)="AM|",IF($C166="","",SUMPRODUCT($AP$5:$AP$302*($AN$5:$AN$302=$A166),$CB$5:$CB$302)),IF(LEFT($AI166,2)="S|",IF($AG166="","",INDEX($CB$5:$CB$302,$AH166)),IF($AI166="HDR","Makeup Sales",""))))))</f>
        <v/>
      </c>
      <c r="AA166" s="41" t="str">
        <f t="shared" si="107"/>
        <v/>
      </c>
      <c r="AB166" s="40" t="str" cm="1">
        <f t="array" ref="AB166">IF($AI166="","",IF(LEFT($AI166,2)="C|",IF($C166="","",SUMPRODUCT($AP$5:$AP$302*($AO$5:$AO$302=$A166),$CK$5:$CK$302)),IF($AI166="CT",AB$13,IF(LEFT($AI166,3)="AM|",IF($C166="","",SUMPRODUCT($AP$5:$AP$302*($AN$5:$AN$302=$A166),$CK$5:$CK$302)),IF(LEFT($AI166,2)="S|",IF($AG166="","",INDEX($CK$5:$CK$302,$AH166)),IF($AI166="HDR","Makeup Target",""))))))</f>
        <v/>
      </c>
      <c r="AC166" s="41" t="str">
        <f t="shared" si="111"/>
        <v/>
      </c>
      <c r="AD166" s="40" t="str" cm="1">
        <f t="array" ref="AD166">IF($AI166="","",IF(LEFT($AI166,2)="C|",IF($C166="","",SUMPRODUCT($AP$5:$AP$302*($AO$5:$AO$302=$A166),$CI$5:$CI$302)),IF($AI166="CT",AD$13,IF(LEFT($AI166,3)="AM|",IF($C166="","",SUMPRODUCT($AP$5:$AP$302*($AN$5:$AN$302=$A166),$CI$5:$CI$302)),IF(LEFT($AI166,2)="S|",IF($AG166="","",INDEX($CI$5:$CI$302,$AH166)),IF($AI166="HDR","Cosmetic Sales",""))))))</f>
        <v/>
      </c>
      <c r="AE166" s="8" t="str" cm="1">
        <f t="array" ref="AE166">IF($AI166="","",IF(LEFT($AI166,2)="C|",IF($C166="","",SUMPRODUCT($AP$5:$AP$302*($AO$5:$AO$302=$A166)*$AQ$5:$AQ$302,$AR$5:$AR$302)),IF($AI166="CT",AE$13,IF(LEFT($AI166,3)="AM|",IF($C166="","",SUMPRODUCT($AP$5:$AP$302*($AN$5:$AN$302=$A166)*$AQ$5:$AQ$302,$AR$5:$AR$302)),IF(LEFT($AI166,2)="S|",IF($AG166="","",IF(INDEX($AQ$5:$AQ$302,$AH166)=1,D166,0)),IF($AI166="HDR","LFL Sales",""))))))</f>
        <v/>
      </c>
      <c r="AF166" s="8" t="str" cm="1">
        <f t="array" ref="AF166">IF($AI166="","",IF(LEFT($AI166,2)="C|",IF($C166="","",SUMPRODUCT($AP$5:$AP$302*($AO$5:$AO$302=$A166)*$AQ$5:$AQ$302,$AS$5:$AS$302)),IF($AI166="CT",AF$13,IF(LEFT($AI166,3)="AM|",IF($C166="","",SUMPRODUCT($AP$5:$AP$302*($AN$5:$AN$302=$A166)*$AQ$5:$AQ$302,$AS$5:$AS$302)),IF(LEFT($AI166,2)="S|",IF($AG166="","",IF(INDEX($AQ$5:$AQ$302,$AH166)=1,P166,0)),IF($AI166="HDR","LFL Trans",""))))))</f>
        <v/>
      </c>
      <c r="AG166" s="8" t="str" cm="1">
        <f t="array" ref="AG166">IF($AI166="","",IF(LEFT($AI166,2)="C|","",IF($AI166="CT","",IF(LEFT($AI166,3)="AM|","",IF(LEFT($AI166,2)="S|",IF($AH166="","",IF(INDEX($AP$5:$AP$302,$AH166)=1,1,"")),IF($AI166="HDR","Show",""))))))</f>
        <v/>
      </c>
      <c r="AH166" s="8" t="str">
        <f t="shared" si="108"/>
        <v/>
      </c>
      <c r="AI166" s="8"/>
      <c r="AN166" s="8" t="str" cm="1">
        <f t="array" ref="AN166">IF($AW166="","",_xlfn.LET(_xlpm.sa,IFERROR(TRIM(INDEX('Sales and count'!$D$4:$D$300,$BF166)&amp;""),""),_xlpm.ta,IFERROR(TRIM(INDEX('TY Sales Target'!$F$5:$F$300,$BG166)&amp;""),""),IF(AND(_xlpm.sa&lt;&gt;"",LEFT(_xlpm.sa,1)&lt;&gt;"#",_xlpm.sa&lt;&gt;"0"),_xlpm.sa,IF(AND(_xlpm.ta&lt;&gt;"",LEFT(_xlpm.ta,1)&lt;&gt;"#",_xlpm.ta&lt;&gt;"0"),_xlpm.ta,IF(ISNUMBER($BG166),"Unassigned","")))))</f>
        <v/>
      </c>
      <c r="AO166" s="8" t="str" cm="1">
        <f t="array" ref="AO166">IF($AW166="","",_xlfn.LET(_xlpm.sa,IFERROR(TRIM(INDEX('Sales and count'!$C$4:$C$300,$BF166)&amp;""),""),_xlpm.ta,IFERROR(TRIM(INDEX('TY Sales Target'!$D$5:$D$300,$BG166)&amp;""),""),IF(AND(_xlpm.sa&lt;&gt;"",LEFT(_xlpm.sa,1)&lt;&gt;"#",_xlpm.sa&lt;&gt;"0"),_xlpm.sa,IF(AND(_xlpm.ta&lt;&gt;"",LEFT(_xlpm.ta,1)&lt;&gt;"#",_xlpm.ta&lt;&gt;"0"),_xlpm.ta,""))))</f>
        <v/>
      </c>
      <c r="AP166" s="8">
        <f t="shared" si="93"/>
        <v>0</v>
      </c>
      <c r="AQ166" s="8">
        <f t="shared" si="94"/>
        <v>0</v>
      </c>
      <c r="AR166" s="8" cm="1">
        <f t="array" ref="AR166">IF($BF166="",0,_xlfn.LET(_xlpm.d,IFERROR(--'Sales and count'!$G$2:$CC$2,0),SUMPRODUCT(('Sales and count'!$G$3:$CC$3="Total")*(_xlpm.d&gt;=$U$4)*(_xlpm.d&lt;=$U$5),INDEX('Sales and count'!$G$4:$CC$300,$BF166,0))))</f>
        <v>0</v>
      </c>
      <c r="AS166" s="8" cm="1">
        <f t="array" ref="AS166">IF($BF166="",0,_xlfn.LET(_xlpm.d,IFERROR(--'Sales and count'!$F$2:$CB$2,0),SUMPRODUCT(('Sales and count'!$G$3:$CC$3="Transactions")*(_xlpm.d&gt;=$U$4)*(_xlpm.d&lt;=$U$5),INDEX('Sales and count'!$G$4:$CC$300,$BF166,0))))</f>
        <v>0</v>
      </c>
      <c r="AT166" s="8" cm="1">
        <f t="array" ref="AT166">IF($AW166="",0,SUMPRODUCT((TRIM('LY Sales '!$B$5:$B$200)=$AW166)*('LY Sales '!$C$2:$AG$2&gt;=EDATE($U$4,-12))*('LY Sales '!$C$2:$AG$2&lt;=EDATE($U$5,-12)),'LY Sales '!$C$5:$AG$200))</f>
        <v>0</v>
      </c>
      <c r="AU166" s="8" cm="1">
        <f t="array" ref="AU166">IF($AW166="",0,SUMPRODUCT((TRIM('LY Transaction'!$B$5:$B$200)=$AW166)*('LY Transaction'!$C$2:$AG$2&gt;=EDATE($U$4,-12))*('LY Transaction'!$C$2:$AG$2&lt;=EDATE($U$5,-12)),'LY Transaction'!$C$5:$AG$200))</f>
        <v>0</v>
      </c>
      <c r="AV166" s="8" cm="1">
        <f t="array" ref="AV166">IF(NOT(ISNUMBER($BG166)),0,SUMPRODUCT(('TY Sales Target'!$K$2:$AO$2&gt;=$U$4)*('TY Sales Target'!$K$2:$AO$2&lt;=$U$5),INDEX('TY Sales Target'!$K$5:$AO$300,$BG166,0)))</f>
        <v>0</v>
      </c>
      <c r="AW166" s="8" t="str" cm="1">
        <f t="array" ref="AW166">IFERROR(INDEX(_xlfn.ANCHORARRAY($BR$5),ROWS($AW$5:AW166)),"")</f>
        <v/>
      </c>
      <c r="BB166" cm="1">
        <f t="array" ref="BB166">IF($AW166="",0,SUMPRODUCT((TRIM(Footfall!$B$5:$B$301)=$AW166)*(Footfall!$C$1:$BZ$1&gt;=$U$4)*(Footfall!$C$2:$BZ$2&lt;=$U$5)*(Footfall!$C$1:$BZ$1&lt;&gt;""),Footfall!$C$5:$BZ$301))</f>
        <v>0</v>
      </c>
      <c r="BC166" cm="1">
        <f t="array" ref="BC166">IF(OR($BB166&lt;=0,$BD$1="",$BF166=""),0,_xlfn.LET(_xlpm.d,IFERROR(--'Sales and count'!$F$2:$CB$2,0),SUMPRODUCT(('Sales and count'!$G$3:$CC$3="Transactions")*(_xlpm.d&gt;=$BD$1)*(_xlpm.d&lt;=$BD$2),INDEX('Sales and count'!$G$4:$CC$300,$BF166,0))))</f>
        <v>0</v>
      </c>
      <c r="BF166" t="str" cm="1">
        <f t="array" ref="BF166">IF($AW166="","",IFERROR(MATCH($AW166,TRIM('Sales and count'!$A$4:$A$300&amp;""),0),""))</f>
        <v/>
      </c>
      <c r="BG166" t="str" cm="1">
        <f t="array" ref="BG166">IF($AW166="","",IFERROR(MATCH(IFERROR(_xlfn.XLOOKUP($AW166,$BT$5:$BT$22,$BU$5:$BU$22),$AW166),TRIM('TY Sales Target'!$B$5:$B$300&amp;""),0),""))</f>
        <v/>
      </c>
      <c r="BH166" t="str" cm="1">
        <f t="array" ref="BH166">IF(ISNUMBER($BG166),_xlfn.LET(_xlpm.p,TRIM(INDEX('TY Sales Target'!$I$5:$I$300,$BG166)&amp;""),IF(_xlpm.p="","Not set",_xlpm.p)),"Not set")</f>
        <v>Not set</v>
      </c>
      <c r="BI166" cm="1">
        <f t="array" ref="BI166">IF($BF166="",0,_xlfn.LET(_xlpm.d,IFERROR(--'Sales and count'!$G$2:$CC$2,0),SUMPRODUCT(('Sales and count'!$G$3:$CC$3="Total")*(_xlpm.d&gt;=$BZ$5)*(_xlpm.d&lt;=$BZ$6),INDEX('Sales and count'!$G$4:$CC$300,$BF166,0))))</f>
        <v>0</v>
      </c>
      <c r="BJ166" cm="1">
        <f t="array" ref="BJ166">IF($AW166="",0,SUMPRODUCT((TRIM('LY Sales '!$B$5:$B$200)=$AW166)*('LY Sales '!$C$2:$AG$2&gt;=EDATE($BZ$5,-12))*('LY Sales '!$C$2:$AG$2&lt;=EDATE($BZ$6,-12)),'LY Sales '!$C$5:$AG$200))</f>
        <v>0</v>
      </c>
      <c r="BK166" cm="1">
        <f t="array" ref="BK166">IF($AW166="",0,SUMPRODUCT((TRIM('LY Sales '!$B$5:$B$200)=$AW166)*('LY Sales '!$C$2:$AG$2&gt;=EDATE($BZ$5,-12))*('LY Sales '!$C$2:$AG$2&lt;=EDATE($BZ$7,-12)),'LY Sales '!$C$5:$AG$200))</f>
        <v>0</v>
      </c>
      <c r="BL166" cm="1">
        <f t="array" ref="BL166">IF($AW166="",0,SUMPRODUCT((TRIM('LY Sales '!$B$5:$B$200)=$AW166)*('LY Sales '!$C$2:$AG$2&gt;=EDATE($BZ$5,-12))*('LY Sales '!$C$2:$AG$2&lt;=EDATE($BZ$6,-12))*('LY Sales '!$C$5:$AG$200&gt;0)))</f>
        <v>0</v>
      </c>
      <c r="BM166" cm="1">
        <f t="array" ref="BM166">IF(NOT(ISNUMBER($BG166)),0,SUMPRODUCT(('TY Sales Target'!$K$2:$AO$2&gt;=$BZ$5)*('TY Sales Target'!$K$2:$AO$2&lt;=$BZ$6),INDEX('TY Sales Target'!$K$5:$AO$300,$BG166,0)))</f>
        <v>0</v>
      </c>
      <c r="BN166" cm="1">
        <f t="array" ref="BN166">IF(NOT(ISNUMBER($BG166)),0,SUMPRODUCT(('TY Sales Target'!$K$2:$AO$2&gt;=$BZ$5)*('TY Sales Target'!$K$2:$AO$2&lt;=$BZ$7),INDEX('TY Sales Target'!$K$5:$AO$300,$BG166,0)))</f>
        <v>0</v>
      </c>
      <c r="BO166" cm="1">
        <f t="array" ref="BO166">IF($AW166="",0,IFERROR(_xlfn.SWITCH($BP166,"LY trend",$BI166*$BK166/$BJ166,"Target curve",$BI166*$BN166/$BM166,"Run rate",$BI166/$BZ$8*$BZ$9,0),0))</f>
        <v>0</v>
      </c>
      <c r="BP166" t="str">
        <f t="shared" si="92"/>
        <v/>
      </c>
      <c r="CB166" cm="1">
        <f t="array" ref="CB166">IF($AW166="",0,_xlfn.LET(_xlpm.k,IFERROR(_xlfn.XLOOKUP($AW166,$CD$6:$CD$21,$CE$6:$CE$21),$AW166),SUMPRODUCT((TRIM('Makeup '!$A$2:$A$300&amp;"")=_xlpm.k)*1,IFERROR('Makeup '!$F$2:$F$300*1,0))))</f>
        <v>0</v>
      </c>
      <c r="CF166" t="str" cm="1">
        <f t="array" ref="CF166">IF($AW166="","",_xlfn.LET(_xlpm.c,IFERROR(TRIM(INDEX('Sales and count'!$B$4:$B$300,$BF166)&amp;""),""),IF(OR(_xlpm.c="",_xlpm.c="0",LEFT(_xlpm.c,1)="#"),"Not set",_xlpm.c)))</f>
        <v/>
      </c>
      <c r="CH166" cm="1">
        <f t="array" ref="CH166">IF($AW166="",0,_xlfn.LET(_xlpm.k,IFERROR(_xlfn.XLOOKUP($AW166,$CD$6:$CD$21,$CE$6:$CE$21),$AW166),--(SUMPRODUCT((TRIM('Makeup '!$A$2:$A$300&amp;"")=_xlpm.k)*ISNUMBER('Makeup '!$F$2:$F$300))&gt;0)))</f>
        <v>0</v>
      </c>
      <c r="CI166">
        <f t="shared" si="95"/>
        <v>0</v>
      </c>
      <c r="CJ166" cm="1">
        <f t="array" ref="CJ166">IF($AW166="",0,--(SUMPRODUCT(--(TRIM(Footfall!$B$5:$B$301)=$AW166))&gt;0))</f>
        <v>0</v>
      </c>
      <c r="CK166" s="8" cm="1">
        <f t="array" ref="CK166">IF($AW166="",0,_xlfn.LET(_xlpm.r,IFERROR(MATCH(IFERROR(_xlfn.XLOOKUP($AW166,$BT$5:$BT$22,$BU$5:$BU$22),$AW166),TRIM('TY Beauty Target'!$B$5:$B$300&amp;""),0),""),IF(ISNUMBER(_xlpm.r),SUMPRODUCT(('TY Beauty Target'!$L$2:$AP$2&gt;=$U$4)*('TY Beauty Target'!$L$2:$AP$2&lt;=$U$5),INDEX('TY Beauty Target'!$L$5:$AP$300,_xlpm.r,0)),0)))</f>
        <v>0</v>
      </c>
    </row>
    <row r="167" spans="1:89" ht="15" customHeight="1" x14ac:dyDescent="0.25">
      <c r="A167" s="38" t="str">
        <f t="shared" si="96"/>
        <v/>
      </c>
      <c r="B167" s="43" t="str" cm="1">
        <f t="array" ref="B167">IF($AI167="","",IF(LEFT($AI167,2)="C|",IF($C167="","",_xlfn.TEXTJOIN(", ",TRUE,_xlfn.UNIQUE(_xlfn._xlws.FILTER($AN$5:$AN$302,($AP$5:$AP$302=1)*($AO$5:$AO$302=$A167))))),IF($AI167="CT",B$13,IF(LEFT($AI167,3)="AM|",IF($C167="","",ROWS(_xlfn.UNIQUE(_xlfn._xlws.FILTER($AO$5:$AO$302,($AP$5:$AP$302=1)*($AN$5:$AN$302=$A167))))),IF(LEFT($AI167,2)="S|",IF($AG167="","",INDEX($AO$5:$AO$302,$AH167)),IF($AI167="HDR","City",""))))))</f>
        <v/>
      </c>
      <c r="C167" s="39" t="str" cm="1">
        <f t="array" ref="C167">IF($AI167="","",IF(LEFT($AI167,2)="C|",_xlfn.LET(_xlpm.n,SUMPRODUCT($AP$5:$AP$302*($AO$5:$AO$302=$A167)),IF(_xlpm.n=0,"",_xlpm.n)),IF($AI167="CT",C$13,IF(LEFT($AI167,3)="AM|",_xlfn.LET(_xlpm.n,SUMPRODUCT($AP$5:$AP$302*($AN$5:$AN$302=$A167)),IF(_xlpm.n=0,"",_xlpm.n)),IF(LEFT($AI167,2)="S|","",IF($AI167="HDR","# Stores",""))))))</f>
        <v/>
      </c>
      <c r="D167" s="40" t="str" cm="1">
        <f t="array" ref="D167">IF($AI167="","",IF(LEFT($AI167,2)="C|",IF($C167="","",SUMPRODUCT($AP$5:$AP$302*($AO$5:$AO$302=$A167),$AR$5:$AR$302)),IF($AI167="CT",D$13,IF(LEFT($AI167,3)="AM|",IF($C167="","",SUMPRODUCT($AP$5:$AP$302*($AN$5:$AN$302=$A167),$AR$5:$AR$302)),IF(LEFT($AI167,2)="S|",IF($AG167="","",INDEX($AR$5:$AR$302,$AH167)),IF($AI167="HDR","Sales TY",""))))))</f>
        <v/>
      </c>
      <c r="E167" s="40" t="str" cm="1">
        <f t="array" ref="E167">IF($AI167="","",IF(LEFT($AI167,2)="C|",IF($C167="","",SUMPRODUCT($AP$5:$AP$302*($AO$5:$AO$302=$A167),$AT$5:$AT$302)),IF($AI167="CT",E$13,IF(LEFT($AI167,3)="AM|",IF($C167="","",SUMPRODUCT($AP$5:$AP$302*($AN$5:$AN$302=$A167),$AT$5:$AT$302)),IF(LEFT($AI167,2)="S|",IF($AG167="","",INDEX($AT$5:$AT$302,$AH167)),IF($AI167="HDR","Sales LY",""))))))</f>
        <v/>
      </c>
      <c r="F167" s="41" t="str">
        <f t="shared" si="97"/>
        <v/>
      </c>
      <c r="G167" s="41" t="str">
        <f t="shared" si="98"/>
        <v/>
      </c>
      <c r="H167" s="40" t="str" cm="1">
        <f t="array" ref="H167">IF($AI167="","",IF(LEFT($AI167,2)="C|",IF($C167="","",SUMPRODUCT($AP$5:$AP$302*($AO$5:$AO$302=$A167),$AV$5:$AV$302)),IF($AI167="CT",H$13,IF(LEFT($AI167,3)="AM|",IF($C167="","",SUMPRODUCT($AP$5:$AP$302*($AN$5:$AN$302=$A167),$AV$5:$AV$302)),IF(LEFT($AI167,2)="S|",IF($AG167="","",INDEX($AV$5:$AV$302,$AH167)),IF($AI167="HDR","Target",""))))))</f>
        <v/>
      </c>
      <c r="I167" s="41" t="str">
        <f t="shared" si="99"/>
        <v/>
      </c>
      <c r="J167" s="40" t="str">
        <f t="shared" si="100"/>
        <v/>
      </c>
      <c r="K167" s="41" t="str">
        <f t="shared" si="101"/>
        <v/>
      </c>
      <c r="L167" s="40" t="str" cm="1">
        <f t="array" ref="L167">IF($AI167="","",IF(LEFT($AI167,2)="C|",IF($C167="","",SUMPRODUCT($AP$5:$AP$302*($AO$5:$AO$302=$A167),$BN$5:$BN$302)),IF($AI167="CT",L$13,IF(LEFT($AI167,3)="AM|",IF($C167="","",SUMPRODUCT($AP$5:$AP$302*($AN$5:$AN$302=$A167),$BN$5:$BN$302)),IF(LEFT($AI167,2)="S|",IF($AG167="","",INDEX($BN$5:$BN$302,$AH167)),IF($AI167="HDR","Month Target",""))))))</f>
        <v/>
      </c>
      <c r="M167" s="40" t="str" cm="1">
        <f t="array" ref="M167">IF($AI167="","",IF(LEFT($AI167,2)="C|",IF($C167="","",SUMPRODUCT($AP$5:$AP$302*($AO$5:$AO$302=$A167),$BO$5:$BO$302)),IF($AI167="CT",M$13,IF(LEFT($AI167,3)="AM|",IF($C167="","",SUMPRODUCT($AP$5:$AP$302*($AN$5:$AN$302=$A167),$BO$5:$BO$302)),IF(LEFT($AI167,2)="S|",IF($AG167="","",INDEX($BO$5:$BO$302,$AH167)),IF($AI167="HDR","Projected Close",""))))))</f>
        <v/>
      </c>
      <c r="N167" s="41" t="str">
        <f t="shared" si="109"/>
        <v/>
      </c>
      <c r="O167" s="41" t="str" cm="1">
        <f t="array" ref="O167">IF($AI167="HDR","Proj. vs LY",IF(OR($AI167="",M167=""),"",_xlfn.LET(_xlpm.ly,IF(LEFT($AI167,2)="C|",SUMPRODUCT($AP$5:$AP$302*($AO$5:$AO$302=$A167),$BK$5:$BK$302),IF($AI167="CT",SUMPRODUCT($AP$5:$AP$302,$BK$5:$BK$302),IF(LEFT($AI167,3)="AM|",SUMPRODUCT($AP$5:$AP$302*($AN$5:$AN$302=$A167),$BK$5:$BK$302),IF(LEFT($AI167,2)="S|",INDEX($BK$5:$BK$302,$AH167),0)))),IFERROR(M167/_xlpm.ly-1,""))))</f>
        <v/>
      </c>
      <c r="P167" s="40" t="str" cm="1">
        <f t="array" ref="P167">IF($AI167="","",IF(LEFT($AI167,2)="C|",IF($C167="","",SUMPRODUCT($AP$5:$AP$302*($AO$5:$AO$302=$A167),$AS$5:$AS$302)),IF($AI167="CT",P$13,IF(LEFT($AI167,3)="AM|",IF($C167="","",SUMPRODUCT($AP$5:$AP$302*($AN$5:$AN$302=$A167),$AS$5:$AS$302)),IF(LEFT($AI167,2)="S|",IF($AG167="","",INDEX($AS$5:$AS$302,$AH167)),IF($AI167="HDR","Trans TY",""))))))</f>
        <v/>
      </c>
      <c r="Q167" s="40" t="str" cm="1">
        <f t="array" ref="Q167">IF($AI167="","",IF(LEFT($AI167,2)="C|",IF($C167="","",SUMPRODUCT($AP$5:$AP$302*($AO$5:$AO$302=$A167),$AU$5:$AU$302)),IF($AI167="CT",Q$13,IF(LEFT($AI167,3)="AM|",IF($C167="","",SUMPRODUCT($AP$5:$AP$302*($AN$5:$AN$302=$A167),$AU$5:$AU$302)),IF(LEFT($AI167,2)="S|",IF($AG167="","",INDEX($AU$5:$AU$302,$AH167)),IF($AI167="HDR","Trans LY",""))))))</f>
        <v/>
      </c>
      <c r="R167" s="41" t="str">
        <f t="shared" si="102"/>
        <v/>
      </c>
      <c r="S167" s="41" t="str">
        <f t="shared" si="103"/>
        <v/>
      </c>
      <c r="T167" s="42" t="str">
        <f t="shared" si="104"/>
        <v/>
      </c>
      <c r="U167" s="42" t="str">
        <f t="shared" si="105"/>
        <v/>
      </c>
      <c r="V167" s="41" t="str">
        <f t="shared" si="106"/>
        <v/>
      </c>
      <c r="W167" s="40" t="str" cm="1">
        <f t="array" ref="W167">IF($AI167="","",IF(LEFT($AI167,2)="C|",_xlfn.LET(_xlpm.n,SUMPRODUCT($AP$5:$AP$302*($AO$5:$AO$302=$A167),$BB$5:$BB$302),IF(_xlpm.n=0,"",_xlpm.n)),IF($AI167="CT",W$13,IF(LEFT($AI167,3)="AM|",_xlfn.LET(_xlpm.n,SUMPRODUCT($AP$5:$AP$302*($AN$5:$AN$302=$A167),$BB$5:$BB$302),IF(_xlpm.n=0,"",_xlpm.n)),IF(LEFT($AI167,2)="S|",IF($AG167="","",_xlfn.LET(_xlpm.n,INDEX($BB$5:$BB$302,$AH167),IF(_xlpm.n=0,"",_xlpm.n))),IF($AI167="HDR","Footfall",""))))))</f>
        <v/>
      </c>
      <c r="X167" s="40" t="str" cm="1">
        <f t="array" ref="X167">IF($AI167="","",IF($AI167="HDR","Trans (FF stores)",IF(W167="","",IF(LEFT($AI167,2)="C|",SUMPRODUCT($AP$5:$AP$302*($AO$5:$AO$302=$A167),$BC$5:$BC$302),IF($AI167="CT",X$13,IF(LEFT($AI167,3)="AM|",SUMPRODUCT($AP$5:$AP$302*($AN$5:$AN$302=$A167),$BC$5:$BC$302),IF(LEFT($AI167,2)="S|",INDEX($BC$5:$BC$302,$AH167),"")))))))</f>
        <v/>
      </c>
      <c r="Y167" s="41" t="str">
        <f t="shared" si="110"/>
        <v/>
      </c>
      <c r="Z167" s="40" t="str" cm="1">
        <f t="array" ref="Z167">IF($AI167="","",IF(LEFT($AI167,2)="C|",IF($C167="","",SUMPRODUCT($AP$5:$AP$302*($AO$5:$AO$302=$A167),$CB$5:$CB$302)),IF($AI167="CT",Z$13,IF(LEFT($AI167,3)="AM|",IF($C167="","",SUMPRODUCT($AP$5:$AP$302*($AN$5:$AN$302=$A167),$CB$5:$CB$302)),IF(LEFT($AI167,2)="S|",IF($AG167="","",INDEX($CB$5:$CB$302,$AH167)),IF($AI167="HDR","Makeup Sales",""))))))</f>
        <v/>
      </c>
      <c r="AA167" s="41" t="str">
        <f t="shared" si="107"/>
        <v/>
      </c>
      <c r="AB167" s="40" t="str" cm="1">
        <f t="array" ref="AB167">IF($AI167="","",IF(LEFT($AI167,2)="C|",IF($C167="","",SUMPRODUCT($AP$5:$AP$302*($AO$5:$AO$302=$A167),$CK$5:$CK$302)),IF($AI167="CT",AB$13,IF(LEFT($AI167,3)="AM|",IF($C167="","",SUMPRODUCT($AP$5:$AP$302*($AN$5:$AN$302=$A167),$CK$5:$CK$302)),IF(LEFT($AI167,2)="S|",IF($AG167="","",INDEX($CK$5:$CK$302,$AH167)),IF($AI167="HDR","Makeup Target",""))))))</f>
        <v/>
      </c>
      <c r="AC167" s="41" t="str">
        <f t="shared" si="111"/>
        <v/>
      </c>
      <c r="AD167" s="40" t="str" cm="1">
        <f t="array" ref="AD167">IF($AI167="","",IF(LEFT($AI167,2)="C|",IF($C167="","",SUMPRODUCT($AP$5:$AP$302*($AO$5:$AO$302=$A167),$CI$5:$CI$302)),IF($AI167="CT",AD$13,IF(LEFT($AI167,3)="AM|",IF($C167="","",SUMPRODUCT($AP$5:$AP$302*($AN$5:$AN$302=$A167),$CI$5:$CI$302)),IF(LEFT($AI167,2)="S|",IF($AG167="","",INDEX($CI$5:$CI$302,$AH167)),IF($AI167="HDR","Cosmetic Sales",""))))))</f>
        <v/>
      </c>
      <c r="AE167" s="8" t="str" cm="1">
        <f t="array" ref="AE167">IF($AI167="","",IF(LEFT($AI167,2)="C|",IF($C167="","",SUMPRODUCT($AP$5:$AP$302*($AO$5:$AO$302=$A167)*$AQ$5:$AQ$302,$AR$5:$AR$302)),IF($AI167="CT",AE$13,IF(LEFT($AI167,3)="AM|",IF($C167="","",SUMPRODUCT($AP$5:$AP$302*($AN$5:$AN$302=$A167)*$AQ$5:$AQ$302,$AR$5:$AR$302)),IF(LEFT($AI167,2)="S|",IF($AG167="","",IF(INDEX($AQ$5:$AQ$302,$AH167)=1,D167,0)),IF($AI167="HDR","LFL Sales",""))))))</f>
        <v/>
      </c>
      <c r="AF167" s="8" t="str" cm="1">
        <f t="array" ref="AF167">IF($AI167="","",IF(LEFT($AI167,2)="C|",IF($C167="","",SUMPRODUCT($AP$5:$AP$302*($AO$5:$AO$302=$A167)*$AQ$5:$AQ$302,$AS$5:$AS$302)),IF($AI167="CT",AF$13,IF(LEFT($AI167,3)="AM|",IF($C167="","",SUMPRODUCT($AP$5:$AP$302*($AN$5:$AN$302=$A167)*$AQ$5:$AQ$302,$AS$5:$AS$302)),IF(LEFT($AI167,2)="S|",IF($AG167="","",IF(INDEX($AQ$5:$AQ$302,$AH167)=1,P167,0)),IF($AI167="HDR","LFL Trans",""))))))</f>
        <v/>
      </c>
      <c r="AG167" s="8" t="str" cm="1">
        <f t="array" ref="AG167">IF($AI167="","",IF(LEFT($AI167,2)="C|","",IF($AI167="CT","",IF(LEFT($AI167,3)="AM|","",IF(LEFT($AI167,2)="S|",IF($AH167="","",IF(INDEX($AP$5:$AP$302,$AH167)=1,1,"")),IF($AI167="HDR","Show",""))))))</f>
        <v/>
      </c>
      <c r="AH167" s="8" t="str">
        <f t="shared" si="108"/>
        <v/>
      </c>
      <c r="AI167" s="8"/>
      <c r="AN167" s="8" t="str" cm="1">
        <f t="array" ref="AN167">IF($AW167="","",_xlfn.LET(_xlpm.sa,IFERROR(TRIM(INDEX('Sales and count'!$D$4:$D$300,$BF167)&amp;""),""),_xlpm.ta,IFERROR(TRIM(INDEX('TY Sales Target'!$F$5:$F$300,$BG167)&amp;""),""),IF(AND(_xlpm.sa&lt;&gt;"",LEFT(_xlpm.sa,1)&lt;&gt;"#",_xlpm.sa&lt;&gt;"0"),_xlpm.sa,IF(AND(_xlpm.ta&lt;&gt;"",LEFT(_xlpm.ta,1)&lt;&gt;"#",_xlpm.ta&lt;&gt;"0"),_xlpm.ta,IF(ISNUMBER($BG167),"Unassigned","")))))</f>
        <v/>
      </c>
      <c r="AO167" s="8" t="str" cm="1">
        <f t="array" ref="AO167">IF($AW167="","",_xlfn.LET(_xlpm.sa,IFERROR(TRIM(INDEX('Sales and count'!$C$4:$C$300,$BF167)&amp;""),""),_xlpm.ta,IFERROR(TRIM(INDEX('TY Sales Target'!$D$5:$D$300,$BG167)&amp;""),""),IF(AND(_xlpm.sa&lt;&gt;"",LEFT(_xlpm.sa,1)&lt;&gt;"#",_xlpm.sa&lt;&gt;"0"),_xlpm.sa,IF(AND(_xlpm.ta&lt;&gt;"",LEFT(_xlpm.ta,1)&lt;&gt;"#",_xlpm.ta&lt;&gt;"0"),_xlpm.ta,""))))</f>
        <v/>
      </c>
      <c r="AP167" s="8">
        <f t="shared" si="93"/>
        <v>0</v>
      </c>
      <c r="AQ167" s="8">
        <f t="shared" si="94"/>
        <v>0</v>
      </c>
      <c r="AR167" s="8" cm="1">
        <f t="array" ref="AR167">IF($BF167="",0,_xlfn.LET(_xlpm.d,IFERROR(--'Sales and count'!$G$2:$CC$2,0),SUMPRODUCT(('Sales and count'!$G$3:$CC$3="Total")*(_xlpm.d&gt;=$U$4)*(_xlpm.d&lt;=$U$5),INDEX('Sales and count'!$G$4:$CC$300,$BF167,0))))</f>
        <v>0</v>
      </c>
      <c r="AS167" s="8" cm="1">
        <f t="array" ref="AS167">IF($BF167="",0,_xlfn.LET(_xlpm.d,IFERROR(--'Sales and count'!$F$2:$CB$2,0),SUMPRODUCT(('Sales and count'!$G$3:$CC$3="Transactions")*(_xlpm.d&gt;=$U$4)*(_xlpm.d&lt;=$U$5),INDEX('Sales and count'!$G$4:$CC$300,$BF167,0))))</f>
        <v>0</v>
      </c>
      <c r="AT167" s="8" cm="1">
        <f t="array" ref="AT167">IF($AW167="",0,SUMPRODUCT((TRIM('LY Sales '!$B$5:$B$200)=$AW167)*('LY Sales '!$C$2:$AG$2&gt;=EDATE($U$4,-12))*('LY Sales '!$C$2:$AG$2&lt;=EDATE($U$5,-12)),'LY Sales '!$C$5:$AG$200))</f>
        <v>0</v>
      </c>
      <c r="AU167" s="8" cm="1">
        <f t="array" ref="AU167">IF($AW167="",0,SUMPRODUCT((TRIM('LY Transaction'!$B$5:$B$200)=$AW167)*('LY Transaction'!$C$2:$AG$2&gt;=EDATE($U$4,-12))*('LY Transaction'!$C$2:$AG$2&lt;=EDATE($U$5,-12)),'LY Transaction'!$C$5:$AG$200))</f>
        <v>0</v>
      </c>
      <c r="AV167" s="8" cm="1">
        <f t="array" ref="AV167">IF(NOT(ISNUMBER($BG167)),0,SUMPRODUCT(('TY Sales Target'!$K$2:$AO$2&gt;=$U$4)*('TY Sales Target'!$K$2:$AO$2&lt;=$U$5),INDEX('TY Sales Target'!$K$5:$AO$300,$BG167,0)))</f>
        <v>0</v>
      </c>
      <c r="AW167" s="8" t="str" cm="1">
        <f t="array" ref="AW167">IFERROR(INDEX(_xlfn.ANCHORARRAY($BR$5),ROWS($AW$5:AW167)),"")</f>
        <v/>
      </c>
      <c r="BB167" cm="1">
        <f t="array" ref="BB167">IF($AW167="",0,SUMPRODUCT((TRIM(Footfall!$B$5:$B$301)=$AW167)*(Footfall!$C$1:$BZ$1&gt;=$U$4)*(Footfall!$C$2:$BZ$2&lt;=$U$5)*(Footfall!$C$1:$BZ$1&lt;&gt;""),Footfall!$C$5:$BZ$301))</f>
        <v>0</v>
      </c>
      <c r="BC167" cm="1">
        <f t="array" ref="BC167">IF(OR($BB167&lt;=0,$BD$1="",$BF167=""),0,_xlfn.LET(_xlpm.d,IFERROR(--'Sales and count'!$F$2:$CB$2,0),SUMPRODUCT(('Sales and count'!$G$3:$CC$3="Transactions")*(_xlpm.d&gt;=$BD$1)*(_xlpm.d&lt;=$BD$2),INDEX('Sales and count'!$G$4:$CC$300,$BF167,0))))</f>
        <v>0</v>
      </c>
      <c r="BF167" t="str" cm="1">
        <f t="array" ref="BF167">IF($AW167="","",IFERROR(MATCH($AW167,TRIM('Sales and count'!$A$4:$A$300&amp;""),0),""))</f>
        <v/>
      </c>
      <c r="BG167" t="str" cm="1">
        <f t="array" ref="BG167">IF($AW167="","",IFERROR(MATCH(IFERROR(_xlfn.XLOOKUP($AW167,$BT$5:$BT$22,$BU$5:$BU$22),$AW167),TRIM('TY Sales Target'!$B$5:$B$300&amp;""),0),""))</f>
        <v/>
      </c>
      <c r="BH167" t="str" cm="1">
        <f t="array" ref="BH167">IF(ISNUMBER($BG167),_xlfn.LET(_xlpm.p,TRIM(INDEX('TY Sales Target'!$I$5:$I$300,$BG167)&amp;""),IF(_xlpm.p="","Not set",_xlpm.p)),"Not set")</f>
        <v>Not set</v>
      </c>
      <c r="BI167" cm="1">
        <f t="array" ref="BI167">IF($BF167="",0,_xlfn.LET(_xlpm.d,IFERROR(--'Sales and count'!$G$2:$CC$2,0),SUMPRODUCT(('Sales and count'!$G$3:$CC$3="Total")*(_xlpm.d&gt;=$BZ$5)*(_xlpm.d&lt;=$BZ$6),INDEX('Sales and count'!$G$4:$CC$300,$BF167,0))))</f>
        <v>0</v>
      </c>
      <c r="BJ167" cm="1">
        <f t="array" ref="BJ167">IF($AW167="",0,SUMPRODUCT((TRIM('LY Sales '!$B$5:$B$200)=$AW167)*('LY Sales '!$C$2:$AG$2&gt;=EDATE($BZ$5,-12))*('LY Sales '!$C$2:$AG$2&lt;=EDATE($BZ$6,-12)),'LY Sales '!$C$5:$AG$200))</f>
        <v>0</v>
      </c>
      <c r="BK167" cm="1">
        <f t="array" ref="BK167">IF($AW167="",0,SUMPRODUCT((TRIM('LY Sales '!$B$5:$B$200)=$AW167)*('LY Sales '!$C$2:$AG$2&gt;=EDATE($BZ$5,-12))*('LY Sales '!$C$2:$AG$2&lt;=EDATE($BZ$7,-12)),'LY Sales '!$C$5:$AG$200))</f>
        <v>0</v>
      </c>
      <c r="BL167" cm="1">
        <f t="array" ref="BL167">IF($AW167="",0,SUMPRODUCT((TRIM('LY Sales '!$B$5:$B$200)=$AW167)*('LY Sales '!$C$2:$AG$2&gt;=EDATE($BZ$5,-12))*('LY Sales '!$C$2:$AG$2&lt;=EDATE($BZ$6,-12))*('LY Sales '!$C$5:$AG$200&gt;0)))</f>
        <v>0</v>
      </c>
      <c r="BM167" cm="1">
        <f t="array" ref="BM167">IF(NOT(ISNUMBER($BG167)),0,SUMPRODUCT(('TY Sales Target'!$K$2:$AO$2&gt;=$BZ$5)*('TY Sales Target'!$K$2:$AO$2&lt;=$BZ$6),INDEX('TY Sales Target'!$K$5:$AO$300,$BG167,0)))</f>
        <v>0</v>
      </c>
      <c r="BN167" cm="1">
        <f t="array" ref="BN167">IF(NOT(ISNUMBER($BG167)),0,SUMPRODUCT(('TY Sales Target'!$K$2:$AO$2&gt;=$BZ$5)*('TY Sales Target'!$K$2:$AO$2&lt;=$BZ$7),INDEX('TY Sales Target'!$K$5:$AO$300,$BG167,0)))</f>
        <v>0</v>
      </c>
      <c r="BO167" cm="1">
        <f t="array" ref="BO167">IF($AW167="",0,IFERROR(_xlfn.SWITCH($BP167,"LY trend",$BI167*$BK167/$BJ167,"Target curve",$BI167*$BN167/$BM167,"Run rate",$BI167/$BZ$8*$BZ$9,0),0))</f>
        <v>0</v>
      </c>
      <c r="BP167" t="str">
        <f t="shared" si="92"/>
        <v/>
      </c>
      <c r="CB167" cm="1">
        <f t="array" ref="CB167">IF($AW167="",0,_xlfn.LET(_xlpm.k,IFERROR(_xlfn.XLOOKUP($AW167,$CD$6:$CD$21,$CE$6:$CE$21),$AW167),SUMPRODUCT((TRIM('Makeup '!$A$2:$A$300&amp;"")=_xlpm.k)*1,IFERROR('Makeup '!$F$2:$F$300*1,0))))</f>
        <v>0</v>
      </c>
      <c r="CF167" t="str" cm="1">
        <f t="array" ref="CF167">IF($AW167="","",_xlfn.LET(_xlpm.c,IFERROR(TRIM(INDEX('Sales and count'!$B$4:$B$300,$BF167)&amp;""),""),IF(OR(_xlpm.c="",_xlpm.c="0",LEFT(_xlpm.c,1)="#"),"Not set",_xlpm.c)))</f>
        <v/>
      </c>
      <c r="CH167" cm="1">
        <f t="array" ref="CH167">IF($AW167="",0,_xlfn.LET(_xlpm.k,IFERROR(_xlfn.XLOOKUP($AW167,$CD$6:$CD$21,$CE$6:$CE$21),$AW167),--(SUMPRODUCT((TRIM('Makeup '!$A$2:$A$300&amp;"")=_xlpm.k)*ISNUMBER('Makeup '!$F$2:$F$300))&gt;0)))</f>
        <v>0</v>
      </c>
      <c r="CI167">
        <f t="shared" si="95"/>
        <v>0</v>
      </c>
      <c r="CJ167" cm="1">
        <f t="array" ref="CJ167">IF($AW167="",0,--(SUMPRODUCT(--(TRIM(Footfall!$B$5:$B$301)=$AW167))&gt;0))</f>
        <v>0</v>
      </c>
      <c r="CK167" s="8" cm="1">
        <f t="array" ref="CK167">IF($AW167="",0,_xlfn.LET(_xlpm.r,IFERROR(MATCH(IFERROR(_xlfn.XLOOKUP($AW167,$BT$5:$BT$22,$BU$5:$BU$22),$AW167),TRIM('TY Beauty Target'!$B$5:$B$300&amp;""),0),""),IF(ISNUMBER(_xlpm.r),SUMPRODUCT(('TY Beauty Target'!$L$2:$AP$2&gt;=$U$4)*('TY Beauty Target'!$L$2:$AP$2&lt;=$U$5),INDEX('TY Beauty Target'!$L$5:$AP$300,_xlpm.r,0)),0)))</f>
        <v>0</v>
      </c>
    </row>
    <row r="168" spans="1:89" ht="15" customHeight="1" x14ac:dyDescent="0.25">
      <c r="A168" s="38" t="str">
        <f t="shared" si="96"/>
        <v/>
      </c>
      <c r="B168" s="43" t="str" cm="1">
        <f t="array" ref="B168">IF($AI168="","",IF(LEFT($AI168,2)="C|",IF($C168="","",_xlfn.TEXTJOIN(", ",TRUE,_xlfn.UNIQUE(_xlfn._xlws.FILTER($AN$5:$AN$302,($AP$5:$AP$302=1)*($AO$5:$AO$302=$A168))))),IF($AI168="CT",B$13,IF(LEFT($AI168,3)="AM|",IF($C168="","",ROWS(_xlfn.UNIQUE(_xlfn._xlws.FILTER($AO$5:$AO$302,($AP$5:$AP$302=1)*($AN$5:$AN$302=$A168))))),IF(LEFT($AI168,2)="S|",IF($AG168="","",INDEX($AO$5:$AO$302,$AH168)),IF($AI168="HDR","City",""))))))</f>
        <v/>
      </c>
      <c r="C168" s="39" t="str" cm="1">
        <f t="array" ref="C168">IF($AI168="","",IF(LEFT($AI168,2)="C|",_xlfn.LET(_xlpm.n,SUMPRODUCT($AP$5:$AP$302*($AO$5:$AO$302=$A168)),IF(_xlpm.n=0,"",_xlpm.n)),IF($AI168="CT",C$13,IF(LEFT($AI168,3)="AM|",_xlfn.LET(_xlpm.n,SUMPRODUCT($AP$5:$AP$302*($AN$5:$AN$302=$A168)),IF(_xlpm.n=0,"",_xlpm.n)),IF(LEFT($AI168,2)="S|","",IF($AI168="HDR","# Stores",""))))))</f>
        <v/>
      </c>
      <c r="D168" s="40" t="str" cm="1">
        <f t="array" ref="D168">IF($AI168="","",IF(LEFT($AI168,2)="C|",IF($C168="","",SUMPRODUCT($AP$5:$AP$302*($AO$5:$AO$302=$A168),$AR$5:$AR$302)),IF($AI168="CT",D$13,IF(LEFT($AI168,3)="AM|",IF($C168="","",SUMPRODUCT($AP$5:$AP$302*($AN$5:$AN$302=$A168),$AR$5:$AR$302)),IF(LEFT($AI168,2)="S|",IF($AG168="","",INDEX($AR$5:$AR$302,$AH168)),IF($AI168="HDR","Sales TY",""))))))</f>
        <v/>
      </c>
      <c r="E168" s="40" t="str" cm="1">
        <f t="array" ref="E168">IF($AI168="","",IF(LEFT($AI168,2)="C|",IF($C168="","",SUMPRODUCT($AP$5:$AP$302*($AO$5:$AO$302=$A168),$AT$5:$AT$302)),IF($AI168="CT",E$13,IF(LEFT($AI168,3)="AM|",IF($C168="","",SUMPRODUCT($AP$5:$AP$302*($AN$5:$AN$302=$A168),$AT$5:$AT$302)),IF(LEFT($AI168,2)="S|",IF($AG168="","",INDEX($AT$5:$AT$302,$AH168)),IF($AI168="HDR","Sales LY",""))))))</f>
        <v/>
      </c>
      <c r="F168" s="41" t="str">
        <f t="shared" si="97"/>
        <v/>
      </c>
      <c r="G168" s="41" t="str">
        <f t="shared" si="98"/>
        <v/>
      </c>
      <c r="H168" s="40" t="str" cm="1">
        <f t="array" ref="H168">IF($AI168="","",IF(LEFT($AI168,2)="C|",IF($C168="","",SUMPRODUCT($AP$5:$AP$302*($AO$5:$AO$302=$A168),$AV$5:$AV$302)),IF($AI168="CT",H$13,IF(LEFT($AI168,3)="AM|",IF($C168="","",SUMPRODUCT($AP$5:$AP$302*($AN$5:$AN$302=$A168),$AV$5:$AV$302)),IF(LEFT($AI168,2)="S|",IF($AG168="","",INDEX($AV$5:$AV$302,$AH168)),IF($AI168="HDR","Target",""))))))</f>
        <v/>
      </c>
      <c r="I168" s="41" t="str">
        <f t="shared" si="99"/>
        <v/>
      </c>
      <c r="J168" s="40" t="str">
        <f t="shared" si="100"/>
        <v/>
      </c>
      <c r="K168" s="41" t="str">
        <f t="shared" si="101"/>
        <v/>
      </c>
      <c r="L168" s="40" t="str" cm="1">
        <f t="array" ref="L168">IF($AI168="","",IF(LEFT($AI168,2)="C|",IF($C168="","",SUMPRODUCT($AP$5:$AP$302*($AO$5:$AO$302=$A168),$BN$5:$BN$302)),IF($AI168="CT",L$13,IF(LEFT($AI168,3)="AM|",IF($C168="","",SUMPRODUCT($AP$5:$AP$302*($AN$5:$AN$302=$A168),$BN$5:$BN$302)),IF(LEFT($AI168,2)="S|",IF($AG168="","",INDEX($BN$5:$BN$302,$AH168)),IF($AI168="HDR","Month Target",""))))))</f>
        <v/>
      </c>
      <c r="M168" s="40" t="str" cm="1">
        <f t="array" ref="M168">IF($AI168="","",IF(LEFT($AI168,2)="C|",IF($C168="","",SUMPRODUCT($AP$5:$AP$302*($AO$5:$AO$302=$A168),$BO$5:$BO$302)),IF($AI168="CT",M$13,IF(LEFT($AI168,3)="AM|",IF($C168="","",SUMPRODUCT($AP$5:$AP$302*($AN$5:$AN$302=$A168),$BO$5:$BO$302)),IF(LEFT($AI168,2)="S|",IF($AG168="","",INDEX($BO$5:$BO$302,$AH168)),IF($AI168="HDR","Projected Close",""))))))</f>
        <v/>
      </c>
      <c r="N168" s="41" t="str">
        <f t="shared" si="109"/>
        <v/>
      </c>
      <c r="O168" s="41" t="str" cm="1">
        <f t="array" ref="O168">IF($AI168="HDR","Proj. vs LY",IF(OR($AI168="",M168=""),"",_xlfn.LET(_xlpm.ly,IF(LEFT($AI168,2)="C|",SUMPRODUCT($AP$5:$AP$302*($AO$5:$AO$302=$A168),$BK$5:$BK$302),IF($AI168="CT",SUMPRODUCT($AP$5:$AP$302,$BK$5:$BK$302),IF(LEFT($AI168,3)="AM|",SUMPRODUCT($AP$5:$AP$302*($AN$5:$AN$302=$A168),$BK$5:$BK$302),IF(LEFT($AI168,2)="S|",INDEX($BK$5:$BK$302,$AH168),0)))),IFERROR(M168/_xlpm.ly-1,""))))</f>
        <v/>
      </c>
      <c r="P168" s="40" t="str" cm="1">
        <f t="array" ref="P168">IF($AI168="","",IF(LEFT($AI168,2)="C|",IF($C168="","",SUMPRODUCT($AP$5:$AP$302*($AO$5:$AO$302=$A168),$AS$5:$AS$302)),IF($AI168="CT",P$13,IF(LEFT($AI168,3)="AM|",IF($C168="","",SUMPRODUCT($AP$5:$AP$302*($AN$5:$AN$302=$A168),$AS$5:$AS$302)),IF(LEFT($AI168,2)="S|",IF($AG168="","",INDEX($AS$5:$AS$302,$AH168)),IF($AI168="HDR","Trans TY",""))))))</f>
        <v/>
      </c>
      <c r="Q168" s="40" t="str" cm="1">
        <f t="array" ref="Q168">IF($AI168="","",IF(LEFT($AI168,2)="C|",IF($C168="","",SUMPRODUCT($AP$5:$AP$302*($AO$5:$AO$302=$A168),$AU$5:$AU$302)),IF($AI168="CT",Q$13,IF(LEFT($AI168,3)="AM|",IF($C168="","",SUMPRODUCT($AP$5:$AP$302*($AN$5:$AN$302=$A168),$AU$5:$AU$302)),IF(LEFT($AI168,2)="S|",IF($AG168="","",INDEX($AU$5:$AU$302,$AH168)),IF($AI168="HDR","Trans LY",""))))))</f>
        <v/>
      </c>
      <c r="R168" s="41" t="str">
        <f t="shared" si="102"/>
        <v/>
      </c>
      <c r="S168" s="41" t="str">
        <f t="shared" si="103"/>
        <v/>
      </c>
      <c r="T168" s="42" t="str">
        <f t="shared" si="104"/>
        <v/>
      </c>
      <c r="U168" s="42" t="str">
        <f t="shared" si="105"/>
        <v/>
      </c>
      <c r="V168" s="41" t="str">
        <f t="shared" si="106"/>
        <v/>
      </c>
      <c r="W168" s="40" t="str" cm="1">
        <f t="array" ref="W168">IF($AI168="","",IF(LEFT($AI168,2)="C|",_xlfn.LET(_xlpm.n,SUMPRODUCT($AP$5:$AP$302*($AO$5:$AO$302=$A168),$BB$5:$BB$302),IF(_xlpm.n=0,"",_xlpm.n)),IF($AI168="CT",W$13,IF(LEFT($AI168,3)="AM|",_xlfn.LET(_xlpm.n,SUMPRODUCT($AP$5:$AP$302*($AN$5:$AN$302=$A168),$BB$5:$BB$302),IF(_xlpm.n=0,"",_xlpm.n)),IF(LEFT($AI168,2)="S|",IF($AG168="","",_xlfn.LET(_xlpm.n,INDEX($BB$5:$BB$302,$AH168),IF(_xlpm.n=0,"",_xlpm.n))),IF($AI168="HDR","Footfall",""))))))</f>
        <v/>
      </c>
      <c r="X168" s="40" t="str" cm="1">
        <f t="array" ref="X168">IF($AI168="","",IF($AI168="HDR","Trans (FF stores)",IF(W168="","",IF(LEFT($AI168,2)="C|",SUMPRODUCT($AP$5:$AP$302*($AO$5:$AO$302=$A168),$BC$5:$BC$302),IF($AI168="CT",X$13,IF(LEFT($AI168,3)="AM|",SUMPRODUCT($AP$5:$AP$302*($AN$5:$AN$302=$A168),$BC$5:$BC$302),IF(LEFT($AI168,2)="S|",INDEX($BC$5:$BC$302,$AH168),"")))))))</f>
        <v/>
      </c>
      <c r="Y168" s="41" t="str">
        <f t="shared" si="110"/>
        <v/>
      </c>
      <c r="Z168" s="40" t="str" cm="1">
        <f t="array" ref="Z168">IF($AI168="","",IF(LEFT($AI168,2)="C|",IF($C168="","",SUMPRODUCT($AP$5:$AP$302*($AO$5:$AO$302=$A168),$CB$5:$CB$302)),IF($AI168="CT",Z$13,IF(LEFT($AI168,3)="AM|",IF($C168="","",SUMPRODUCT($AP$5:$AP$302*($AN$5:$AN$302=$A168),$CB$5:$CB$302)),IF(LEFT($AI168,2)="S|",IF($AG168="","",INDEX($CB$5:$CB$302,$AH168)),IF($AI168="HDR","Makeup Sales",""))))))</f>
        <v/>
      </c>
      <c r="AA168" s="41" t="str">
        <f t="shared" si="107"/>
        <v/>
      </c>
      <c r="AB168" s="40" t="str" cm="1">
        <f t="array" ref="AB168">IF($AI168="","",IF(LEFT($AI168,2)="C|",IF($C168="","",SUMPRODUCT($AP$5:$AP$302*($AO$5:$AO$302=$A168),$CK$5:$CK$302)),IF($AI168="CT",AB$13,IF(LEFT($AI168,3)="AM|",IF($C168="","",SUMPRODUCT($AP$5:$AP$302*($AN$5:$AN$302=$A168),$CK$5:$CK$302)),IF(LEFT($AI168,2)="S|",IF($AG168="","",INDEX($CK$5:$CK$302,$AH168)),IF($AI168="HDR","Makeup Target",""))))))</f>
        <v/>
      </c>
      <c r="AC168" s="41" t="str">
        <f t="shared" si="111"/>
        <v/>
      </c>
      <c r="AD168" s="40" t="str" cm="1">
        <f t="array" ref="AD168">IF($AI168="","",IF(LEFT($AI168,2)="C|",IF($C168="","",SUMPRODUCT($AP$5:$AP$302*($AO$5:$AO$302=$A168),$CI$5:$CI$302)),IF($AI168="CT",AD$13,IF(LEFT($AI168,3)="AM|",IF($C168="","",SUMPRODUCT($AP$5:$AP$302*($AN$5:$AN$302=$A168),$CI$5:$CI$302)),IF(LEFT($AI168,2)="S|",IF($AG168="","",INDEX($CI$5:$CI$302,$AH168)),IF($AI168="HDR","Cosmetic Sales",""))))))</f>
        <v/>
      </c>
      <c r="AE168" s="8" t="str" cm="1">
        <f t="array" ref="AE168">IF($AI168="","",IF(LEFT($AI168,2)="C|",IF($C168="","",SUMPRODUCT($AP$5:$AP$302*($AO$5:$AO$302=$A168)*$AQ$5:$AQ$302,$AR$5:$AR$302)),IF($AI168="CT",AE$13,IF(LEFT($AI168,3)="AM|",IF($C168="","",SUMPRODUCT($AP$5:$AP$302*($AN$5:$AN$302=$A168)*$AQ$5:$AQ$302,$AR$5:$AR$302)),IF(LEFT($AI168,2)="S|",IF($AG168="","",IF(INDEX($AQ$5:$AQ$302,$AH168)=1,D168,0)),IF($AI168="HDR","LFL Sales",""))))))</f>
        <v/>
      </c>
      <c r="AF168" s="8" t="str" cm="1">
        <f t="array" ref="AF168">IF($AI168="","",IF(LEFT($AI168,2)="C|",IF($C168="","",SUMPRODUCT($AP$5:$AP$302*($AO$5:$AO$302=$A168)*$AQ$5:$AQ$302,$AS$5:$AS$302)),IF($AI168="CT",AF$13,IF(LEFT($AI168,3)="AM|",IF($C168="","",SUMPRODUCT($AP$5:$AP$302*($AN$5:$AN$302=$A168)*$AQ$5:$AQ$302,$AS$5:$AS$302)),IF(LEFT($AI168,2)="S|",IF($AG168="","",IF(INDEX($AQ$5:$AQ$302,$AH168)=1,P168,0)),IF($AI168="HDR","LFL Trans",""))))))</f>
        <v/>
      </c>
      <c r="AG168" s="8" t="str" cm="1">
        <f t="array" ref="AG168">IF($AI168="","",IF(LEFT($AI168,2)="C|","",IF($AI168="CT","",IF(LEFT($AI168,3)="AM|","",IF(LEFT($AI168,2)="S|",IF($AH168="","",IF(INDEX($AP$5:$AP$302,$AH168)=1,1,"")),IF($AI168="HDR","Show",""))))))</f>
        <v/>
      </c>
      <c r="AH168" s="8" t="str">
        <f t="shared" si="108"/>
        <v/>
      </c>
      <c r="AI168" s="8"/>
      <c r="AN168" s="8" t="str" cm="1">
        <f t="array" ref="AN168">IF($AW168="","",_xlfn.LET(_xlpm.sa,IFERROR(TRIM(INDEX('Sales and count'!$D$4:$D$300,$BF168)&amp;""),""),_xlpm.ta,IFERROR(TRIM(INDEX('TY Sales Target'!$F$5:$F$300,$BG168)&amp;""),""),IF(AND(_xlpm.sa&lt;&gt;"",LEFT(_xlpm.sa,1)&lt;&gt;"#",_xlpm.sa&lt;&gt;"0"),_xlpm.sa,IF(AND(_xlpm.ta&lt;&gt;"",LEFT(_xlpm.ta,1)&lt;&gt;"#",_xlpm.ta&lt;&gt;"0"),_xlpm.ta,IF(ISNUMBER($BG168),"Unassigned","")))))</f>
        <v/>
      </c>
      <c r="AO168" s="8" t="str" cm="1">
        <f t="array" ref="AO168">IF($AW168="","",_xlfn.LET(_xlpm.sa,IFERROR(TRIM(INDEX('Sales and count'!$C$4:$C$300,$BF168)&amp;""),""),_xlpm.ta,IFERROR(TRIM(INDEX('TY Sales Target'!$D$5:$D$300,$BG168)&amp;""),""),IF(AND(_xlpm.sa&lt;&gt;"",LEFT(_xlpm.sa,1)&lt;&gt;"#",_xlpm.sa&lt;&gt;"0"),_xlpm.sa,IF(AND(_xlpm.ta&lt;&gt;"",LEFT(_xlpm.ta,1)&lt;&gt;"#",_xlpm.ta&lt;&gt;"0"),_xlpm.ta,""))))</f>
        <v/>
      </c>
      <c r="AP168" s="8">
        <f t="shared" si="93"/>
        <v>0</v>
      </c>
      <c r="AQ168" s="8">
        <f t="shared" si="94"/>
        <v>0</v>
      </c>
      <c r="AR168" s="8" cm="1">
        <f t="array" ref="AR168">IF($BF168="",0,_xlfn.LET(_xlpm.d,IFERROR(--'Sales and count'!$G$2:$CC$2,0),SUMPRODUCT(('Sales and count'!$G$3:$CC$3="Total")*(_xlpm.d&gt;=$U$4)*(_xlpm.d&lt;=$U$5),INDEX('Sales and count'!$G$4:$CC$300,$BF168,0))))</f>
        <v>0</v>
      </c>
      <c r="AS168" s="8" cm="1">
        <f t="array" ref="AS168">IF($BF168="",0,_xlfn.LET(_xlpm.d,IFERROR(--'Sales and count'!$F$2:$CB$2,0),SUMPRODUCT(('Sales and count'!$G$3:$CC$3="Transactions")*(_xlpm.d&gt;=$U$4)*(_xlpm.d&lt;=$U$5),INDEX('Sales and count'!$G$4:$CC$300,$BF168,0))))</f>
        <v>0</v>
      </c>
      <c r="AT168" s="8" cm="1">
        <f t="array" ref="AT168">IF($AW168="",0,SUMPRODUCT((TRIM('LY Sales '!$B$5:$B$200)=$AW168)*('LY Sales '!$C$2:$AG$2&gt;=EDATE($U$4,-12))*('LY Sales '!$C$2:$AG$2&lt;=EDATE($U$5,-12)),'LY Sales '!$C$5:$AG$200))</f>
        <v>0</v>
      </c>
      <c r="AU168" s="8" cm="1">
        <f t="array" ref="AU168">IF($AW168="",0,SUMPRODUCT((TRIM('LY Transaction'!$B$5:$B$200)=$AW168)*('LY Transaction'!$C$2:$AG$2&gt;=EDATE($U$4,-12))*('LY Transaction'!$C$2:$AG$2&lt;=EDATE($U$5,-12)),'LY Transaction'!$C$5:$AG$200))</f>
        <v>0</v>
      </c>
      <c r="AV168" s="8" cm="1">
        <f t="array" ref="AV168">IF(NOT(ISNUMBER($BG168)),0,SUMPRODUCT(('TY Sales Target'!$K$2:$AO$2&gt;=$U$4)*('TY Sales Target'!$K$2:$AO$2&lt;=$U$5),INDEX('TY Sales Target'!$K$5:$AO$300,$BG168,0)))</f>
        <v>0</v>
      </c>
      <c r="AW168" s="8" t="str" cm="1">
        <f t="array" ref="AW168">IFERROR(INDEX(_xlfn.ANCHORARRAY($BR$5),ROWS($AW$5:AW168)),"")</f>
        <v/>
      </c>
      <c r="BB168" cm="1">
        <f t="array" ref="BB168">IF($AW168="",0,SUMPRODUCT((TRIM(Footfall!$B$5:$B$301)=$AW168)*(Footfall!$C$1:$BZ$1&gt;=$U$4)*(Footfall!$C$2:$BZ$2&lt;=$U$5)*(Footfall!$C$1:$BZ$1&lt;&gt;""),Footfall!$C$5:$BZ$301))</f>
        <v>0</v>
      </c>
      <c r="BC168" cm="1">
        <f t="array" ref="BC168">IF(OR($BB168&lt;=0,$BD$1="",$BF168=""),0,_xlfn.LET(_xlpm.d,IFERROR(--'Sales and count'!$F$2:$CB$2,0),SUMPRODUCT(('Sales and count'!$G$3:$CC$3="Transactions")*(_xlpm.d&gt;=$BD$1)*(_xlpm.d&lt;=$BD$2),INDEX('Sales and count'!$G$4:$CC$300,$BF168,0))))</f>
        <v>0</v>
      </c>
      <c r="BF168" t="str" cm="1">
        <f t="array" ref="BF168">IF($AW168="","",IFERROR(MATCH($AW168,TRIM('Sales and count'!$A$4:$A$300&amp;""),0),""))</f>
        <v/>
      </c>
      <c r="BG168" t="str" cm="1">
        <f t="array" ref="BG168">IF($AW168="","",IFERROR(MATCH(IFERROR(_xlfn.XLOOKUP($AW168,$BT$5:$BT$22,$BU$5:$BU$22),$AW168),TRIM('TY Sales Target'!$B$5:$B$300&amp;""),0),""))</f>
        <v/>
      </c>
      <c r="BH168" t="str" cm="1">
        <f t="array" ref="BH168">IF(ISNUMBER($BG168),_xlfn.LET(_xlpm.p,TRIM(INDEX('TY Sales Target'!$I$5:$I$300,$BG168)&amp;""),IF(_xlpm.p="","Not set",_xlpm.p)),"Not set")</f>
        <v>Not set</v>
      </c>
      <c r="BI168" cm="1">
        <f t="array" ref="BI168">IF($BF168="",0,_xlfn.LET(_xlpm.d,IFERROR(--'Sales and count'!$G$2:$CC$2,0),SUMPRODUCT(('Sales and count'!$G$3:$CC$3="Total")*(_xlpm.d&gt;=$BZ$5)*(_xlpm.d&lt;=$BZ$6),INDEX('Sales and count'!$G$4:$CC$300,$BF168,0))))</f>
        <v>0</v>
      </c>
      <c r="BJ168" cm="1">
        <f t="array" ref="BJ168">IF($AW168="",0,SUMPRODUCT((TRIM('LY Sales '!$B$5:$B$200)=$AW168)*('LY Sales '!$C$2:$AG$2&gt;=EDATE($BZ$5,-12))*('LY Sales '!$C$2:$AG$2&lt;=EDATE($BZ$6,-12)),'LY Sales '!$C$5:$AG$200))</f>
        <v>0</v>
      </c>
      <c r="BK168" cm="1">
        <f t="array" ref="BK168">IF($AW168="",0,SUMPRODUCT((TRIM('LY Sales '!$B$5:$B$200)=$AW168)*('LY Sales '!$C$2:$AG$2&gt;=EDATE($BZ$5,-12))*('LY Sales '!$C$2:$AG$2&lt;=EDATE($BZ$7,-12)),'LY Sales '!$C$5:$AG$200))</f>
        <v>0</v>
      </c>
      <c r="BL168" cm="1">
        <f t="array" ref="BL168">IF($AW168="",0,SUMPRODUCT((TRIM('LY Sales '!$B$5:$B$200)=$AW168)*('LY Sales '!$C$2:$AG$2&gt;=EDATE($BZ$5,-12))*('LY Sales '!$C$2:$AG$2&lt;=EDATE($BZ$6,-12))*('LY Sales '!$C$5:$AG$200&gt;0)))</f>
        <v>0</v>
      </c>
      <c r="BM168" cm="1">
        <f t="array" ref="BM168">IF(NOT(ISNUMBER($BG168)),0,SUMPRODUCT(('TY Sales Target'!$K$2:$AO$2&gt;=$BZ$5)*('TY Sales Target'!$K$2:$AO$2&lt;=$BZ$6),INDEX('TY Sales Target'!$K$5:$AO$300,$BG168,0)))</f>
        <v>0</v>
      </c>
      <c r="BN168" cm="1">
        <f t="array" ref="BN168">IF(NOT(ISNUMBER($BG168)),0,SUMPRODUCT(('TY Sales Target'!$K$2:$AO$2&gt;=$BZ$5)*('TY Sales Target'!$K$2:$AO$2&lt;=$BZ$7),INDEX('TY Sales Target'!$K$5:$AO$300,$BG168,0)))</f>
        <v>0</v>
      </c>
      <c r="BO168" cm="1">
        <f t="array" ref="BO168">IF($AW168="",0,IFERROR(_xlfn.SWITCH($BP168,"LY trend",$BI168*$BK168/$BJ168,"Target curve",$BI168*$BN168/$BM168,"Run rate",$BI168/$BZ$8*$BZ$9,0),0))</f>
        <v>0</v>
      </c>
      <c r="BP168" t="str">
        <f t="shared" si="92"/>
        <v/>
      </c>
      <c r="CB168" cm="1">
        <f t="array" ref="CB168">IF($AW168="",0,_xlfn.LET(_xlpm.k,IFERROR(_xlfn.XLOOKUP($AW168,$CD$6:$CD$21,$CE$6:$CE$21),$AW168),SUMPRODUCT((TRIM('Makeup '!$A$2:$A$300&amp;"")=_xlpm.k)*1,IFERROR('Makeup '!$F$2:$F$300*1,0))))</f>
        <v>0</v>
      </c>
      <c r="CF168" t="str" cm="1">
        <f t="array" ref="CF168">IF($AW168="","",_xlfn.LET(_xlpm.c,IFERROR(TRIM(INDEX('Sales and count'!$B$4:$B$300,$BF168)&amp;""),""),IF(OR(_xlpm.c="",_xlpm.c="0",LEFT(_xlpm.c,1)="#"),"Not set",_xlpm.c)))</f>
        <v/>
      </c>
      <c r="CH168" cm="1">
        <f t="array" ref="CH168">IF($AW168="",0,_xlfn.LET(_xlpm.k,IFERROR(_xlfn.XLOOKUP($AW168,$CD$6:$CD$21,$CE$6:$CE$21),$AW168),--(SUMPRODUCT((TRIM('Makeup '!$A$2:$A$300&amp;"")=_xlpm.k)*ISNUMBER('Makeup '!$F$2:$F$300))&gt;0)))</f>
        <v>0</v>
      </c>
      <c r="CI168">
        <f t="shared" si="95"/>
        <v>0</v>
      </c>
      <c r="CJ168" cm="1">
        <f t="array" ref="CJ168">IF($AW168="",0,--(SUMPRODUCT(--(TRIM(Footfall!$B$5:$B$301)=$AW168))&gt;0))</f>
        <v>0</v>
      </c>
      <c r="CK168" s="8" cm="1">
        <f t="array" ref="CK168">IF($AW168="",0,_xlfn.LET(_xlpm.r,IFERROR(MATCH(IFERROR(_xlfn.XLOOKUP($AW168,$BT$5:$BT$22,$BU$5:$BU$22),$AW168),TRIM('TY Beauty Target'!$B$5:$B$300&amp;""),0),""),IF(ISNUMBER(_xlpm.r),SUMPRODUCT(('TY Beauty Target'!$L$2:$AP$2&gt;=$U$4)*('TY Beauty Target'!$L$2:$AP$2&lt;=$U$5),INDEX('TY Beauty Target'!$L$5:$AP$300,_xlpm.r,0)),0)))</f>
        <v>0</v>
      </c>
    </row>
    <row r="169" spans="1:89" ht="15" customHeight="1" x14ac:dyDescent="0.25">
      <c r="A169" s="38" t="str">
        <f t="shared" si="96"/>
        <v/>
      </c>
      <c r="B169" s="43" t="str" cm="1">
        <f t="array" ref="B169">IF($AI169="","",IF(LEFT($AI169,2)="C|",IF($C169="","",_xlfn.TEXTJOIN(", ",TRUE,_xlfn.UNIQUE(_xlfn._xlws.FILTER($AN$5:$AN$302,($AP$5:$AP$302=1)*($AO$5:$AO$302=$A169))))),IF($AI169="CT",B$13,IF(LEFT($AI169,3)="AM|",IF($C169="","",ROWS(_xlfn.UNIQUE(_xlfn._xlws.FILTER($AO$5:$AO$302,($AP$5:$AP$302=1)*($AN$5:$AN$302=$A169))))),IF(LEFT($AI169,2)="S|",IF($AG169="","",INDEX($AO$5:$AO$302,$AH169)),IF($AI169="HDR","City",""))))))</f>
        <v/>
      </c>
      <c r="C169" s="39" t="str" cm="1">
        <f t="array" ref="C169">IF($AI169="","",IF(LEFT($AI169,2)="C|",_xlfn.LET(_xlpm.n,SUMPRODUCT($AP$5:$AP$302*($AO$5:$AO$302=$A169)),IF(_xlpm.n=0,"",_xlpm.n)),IF($AI169="CT",C$13,IF(LEFT($AI169,3)="AM|",_xlfn.LET(_xlpm.n,SUMPRODUCT($AP$5:$AP$302*($AN$5:$AN$302=$A169)),IF(_xlpm.n=0,"",_xlpm.n)),IF(LEFT($AI169,2)="S|","",IF($AI169="HDR","# Stores",""))))))</f>
        <v/>
      </c>
      <c r="D169" s="40" t="str" cm="1">
        <f t="array" ref="D169">IF($AI169="","",IF(LEFT($AI169,2)="C|",IF($C169="","",SUMPRODUCT($AP$5:$AP$302*($AO$5:$AO$302=$A169),$AR$5:$AR$302)),IF($AI169="CT",D$13,IF(LEFT($AI169,3)="AM|",IF($C169="","",SUMPRODUCT($AP$5:$AP$302*($AN$5:$AN$302=$A169),$AR$5:$AR$302)),IF(LEFT($AI169,2)="S|",IF($AG169="","",INDEX($AR$5:$AR$302,$AH169)),IF($AI169="HDR","Sales TY",""))))))</f>
        <v/>
      </c>
      <c r="E169" s="40" t="str" cm="1">
        <f t="array" ref="E169">IF($AI169="","",IF(LEFT($AI169,2)="C|",IF($C169="","",SUMPRODUCT($AP$5:$AP$302*($AO$5:$AO$302=$A169),$AT$5:$AT$302)),IF($AI169="CT",E$13,IF(LEFT($AI169,3)="AM|",IF($C169="","",SUMPRODUCT($AP$5:$AP$302*($AN$5:$AN$302=$A169),$AT$5:$AT$302)),IF(LEFT($AI169,2)="S|",IF($AG169="","",INDEX($AT$5:$AT$302,$AH169)),IF($AI169="HDR","Sales LY",""))))))</f>
        <v/>
      </c>
      <c r="F169" s="41" t="str">
        <f t="shared" si="97"/>
        <v/>
      </c>
      <c r="G169" s="41" t="str">
        <f t="shared" si="98"/>
        <v/>
      </c>
      <c r="H169" s="40" t="str" cm="1">
        <f t="array" ref="H169">IF($AI169="","",IF(LEFT($AI169,2)="C|",IF($C169="","",SUMPRODUCT($AP$5:$AP$302*($AO$5:$AO$302=$A169),$AV$5:$AV$302)),IF($AI169="CT",H$13,IF(LEFT($AI169,3)="AM|",IF($C169="","",SUMPRODUCT($AP$5:$AP$302*($AN$5:$AN$302=$A169),$AV$5:$AV$302)),IF(LEFT($AI169,2)="S|",IF($AG169="","",INDEX($AV$5:$AV$302,$AH169)),IF($AI169="HDR","Target",""))))))</f>
        <v/>
      </c>
      <c r="I169" s="41" t="str">
        <f t="shared" si="99"/>
        <v/>
      </c>
      <c r="J169" s="40" t="str">
        <f t="shared" si="100"/>
        <v/>
      </c>
      <c r="K169" s="41" t="str">
        <f t="shared" si="101"/>
        <v/>
      </c>
      <c r="L169" s="40" t="str" cm="1">
        <f t="array" ref="L169">IF($AI169="","",IF(LEFT($AI169,2)="C|",IF($C169="","",SUMPRODUCT($AP$5:$AP$302*($AO$5:$AO$302=$A169),$BN$5:$BN$302)),IF($AI169="CT",L$13,IF(LEFT($AI169,3)="AM|",IF($C169="","",SUMPRODUCT($AP$5:$AP$302*($AN$5:$AN$302=$A169),$BN$5:$BN$302)),IF(LEFT($AI169,2)="S|",IF($AG169="","",INDEX($BN$5:$BN$302,$AH169)),IF($AI169="HDR","Month Target",""))))))</f>
        <v/>
      </c>
      <c r="M169" s="40" t="str" cm="1">
        <f t="array" ref="M169">IF($AI169="","",IF(LEFT($AI169,2)="C|",IF($C169="","",SUMPRODUCT($AP$5:$AP$302*($AO$5:$AO$302=$A169),$BO$5:$BO$302)),IF($AI169="CT",M$13,IF(LEFT($AI169,3)="AM|",IF($C169="","",SUMPRODUCT($AP$5:$AP$302*($AN$5:$AN$302=$A169),$BO$5:$BO$302)),IF(LEFT($AI169,2)="S|",IF($AG169="","",INDEX($BO$5:$BO$302,$AH169)),IF($AI169="HDR","Projected Close",""))))))</f>
        <v/>
      </c>
      <c r="N169" s="41" t="str">
        <f t="shared" si="109"/>
        <v/>
      </c>
      <c r="O169" s="41" t="str" cm="1">
        <f t="array" ref="O169">IF($AI169="HDR","Proj. vs LY",IF(OR($AI169="",M169=""),"",_xlfn.LET(_xlpm.ly,IF(LEFT($AI169,2)="C|",SUMPRODUCT($AP$5:$AP$302*($AO$5:$AO$302=$A169),$BK$5:$BK$302),IF($AI169="CT",SUMPRODUCT($AP$5:$AP$302,$BK$5:$BK$302),IF(LEFT($AI169,3)="AM|",SUMPRODUCT($AP$5:$AP$302*($AN$5:$AN$302=$A169),$BK$5:$BK$302),IF(LEFT($AI169,2)="S|",INDEX($BK$5:$BK$302,$AH169),0)))),IFERROR(M169/_xlpm.ly-1,""))))</f>
        <v/>
      </c>
      <c r="P169" s="40" t="str" cm="1">
        <f t="array" ref="P169">IF($AI169="","",IF(LEFT($AI169,2)="C|",IF($C169="","",SUMPRODUCT($AP$5:$AP$302*($AO$5:$AO$302=$A169),$AS$5:$AS$302)),IF($AI169="CT",P$13,IF(LEFT($AI169,3)="AM|",IF($C169="","",SUMPRODUCT($AP$5:$AP$302*($AN$5:$AN$302=$A169),$AS$5:$AS$302)),IF(LEFT($AI169,2)="S|",IF($AG169="","",INDEX($AS$5:$AS$302,$AH169)),IF($AI169="HDR","Trans TY",""))))))</f>
        <v/>
      </c>
      <c r="Q169" s="40" t="str" cm="1">
        <f t="array" ref="Q169">IF($AI169="","",IF(LEFT($AI169,2)="C|",IF($C169="","",SUMPRODUCT($AP$5:$AP$302*($AO$5:$AO$302=$A169),$AU$5:$AU$302)),IF($AI169="CT",Q$13,IF(LEFT($AI169,3)="AM|",IF($C169="","",SUMPRODUCT($AP$5:$AP$302*($AN$5:$AN$302=$A169),$AU$5:$AU$302)),IF(LEFT($AI169,2)="S|",IF($AG169="","",INDEX($AU$5:$AU$302,$AH169)),IF($AI169="HDR","Trans LY",""))))))</f>
        <v/>
      </c>
      <c r="R169" s="41" t="str">
        <f t="shared" si="102"/>
        <v/>
      </c>
      <c r="S169" s="41" t="str">
        <f t="shared" si="103"/>
        <v/>
      </c>
      <c r="T169" s="42" t="str">
        <f t="shared" si="104"/>
        <v/>
      </c>
      <c r="U169" s="42" t="str">
        <f t="shared" si="105"/>
        <v/>
      </c>
      <c r="V169" s="41" t="str">
        <f t="shared" si="106"/>
        <v/>
      </c>
      <c r="W169" s="40" t="str" cm="1">
        <f t="array" ref="W169">IF($AI169="","",IF(LEFT($AI169,2)="C|",_xlfn.LET(_xlpm.n,SUMPRODUCT($AP$5:$AP$302*($AO$5:$AO$302=$A169),$BB$5:$BB$302),IF(_xlpm.n=0,"",_xlpm.n)),IF($AI169="CT",W$13,IF(LEFT($AI169,3)="AM|",_xlfn.LET(_xlpm.n,SUMPRODUCT($AP$5:$AP$302*($AN$5:$AN$302=$A169),$BB$5:$BB$302),IF(_xlpm.n=0,"",_xlpm.n)),IF(LEFT($AI169,2)="S|",IF($AG169="","",_xlfn.LET(_xlpm.n,INDEX($BB$5:$BB$302,$AH169),IF(_xlpm.n=0,"",_xlpm.n))),IF($AI169="HDR","Footfall",""))))))</f>
        <v/>
      </c>
      <c r="X169" s="40" t="str" cm="1">
        <f t="array" ref="X169">IF($AI169="","",IF($AI169="HDR","Trans (FF stores)",IF(W169="","",IF(LEFT($AI169,2)="C|",SUMPRODUCT($AP$5:$AP$302*($AO$5:$AO$302=$A169),$BC$5:$BC$302),IF($AI169="CT",X$13,IF(LEFT($AI169,3)="AM|",SUMPRODUCT($AP$5:$AP$302*($AN$5:$AN$302=$A169),$BC$5:$BC$302),IF(LEFT($AI169,2)="S|",INDEX($BC$5:$BC$302,$AH169),"")))))))</f>
        <v/>
      </c>
      <c r="Y169" s="41" t="str">
        <f t="shared" si="110"/>
        <v/>
      </c>
      <c r="Z169" s="40" t="str" cm="1">
        <f t="array" ref="Z169">IF($AI169="","",IF(LEFT($AI169,2)="C|",IF($C169="","",SUMPRODUCT($AP$5:$AP$302*($AO$5:$AO$302=$A169),$CB$5:$CB$302)),IF($AI169="CT",Z$13,IF(LEFT($AI169,3)="AM|",IF($C169="","",SUMPRODUCT($AP$5:$AP$302*($AN$5:$AN$302=$A169),$CB$5:$CB$302)),IF(LEFT($AI169,2)="S|",IF($AG169="","",INDEX($CB$5:$CB$302,$AH169)),IF($AI169="HDR","Makeup Sales",""))))))</f>
        <v/>
      </c>
      <c r="AA169" s="41" t="str">
        <f t="shared" si="107"/>
        <v/>
      </c>
      <c r="AB169" s="40" t="str" cm="1">
        <f t="array" ref="AB169">IF($AI169="","",IF(LEFT($AI169,2)="C|",IF($C169="","",SUMPRODUCT($AP$5:$AP$302*($AO$5:$AO$302=$A169),$CK$5:$CK$302)),IF($AI169="CT",AB$13,IF(LEFT($AI169,3)="AM|",IF($C169="","",SUMPRODUCT($AP$5:$AP$302*($AN$5:$AN$302=$A169),$CK$5:$CK$302)),IF(LEFT($AI169,2)="S|",IF($AG169="","",INDEX($CK$5:$CK$302,$AH169)),IF($AI169="HDR","Makeup Target",""))))))</f>
        <v/>
      </c>
      <c r="AC169" s="41" t="str">
        <f t="shared" si="111"/>
        <v/>
      </c>
      <c r="AD169" s="40" t="str" cm="1">
        <f t="array" ref="AD169">IF($AI169="","",IF(LEFT($AI169,2)="C|",IF($C169="","",SUMPRODUCT($AP$5:$AP$302*($AO$5:$AO$302=$A169),$CI$5:$CI$302)),IF($AI169="CT",AD$13,IF(LEFT($AI169,3)="AM|",IF($C169="","",SUMPRODUCT($AP$5:$AP$302*($AN$5:$AN$302=$A169),$CI$5:$CI$302)),IF(LEFT($AI169,2)="S|",IF($AG169="","",INDEX($CI$5:$CI$302,$AH169)),IF($AI169="HDR","Cosmetic Sales",""))))))</f>
        <v/>
      </c>
      <c r="AE169" s="8" t="str" cm="1">
        <f t="array" ref="AE169">IF($AI169="","",IF(LEFT($AI169,2)="C|",IF($C169="","",SUMPRODUCT($AP$5:$AP$302*($AO$5:$AO$302=$A169)*$AQ$5:$AQ$302,$AR$5:$AR$302)),IF($AI169="CT",AE$13,IF(LEFT($AI169,3)="AM|",IF($C169="","",SUMPRODUCT($AP$5:$AP$302*($AN$5:$AN$302=$A169)*$AQ$5:$AQ$302,$AR$5:$AR$302)),IF(LEFT($AI169,2)="S|",IF($AG169="","",IF(INDEX($AQ$5:$AQ$302,$AH169)=1,D169,0)),IF($AI169="HDR","LFL Sales",""))))))</f>
        <v/>
      </c>
      <c r="AF169" s="8" t="str" cm="1">
        <f t="array" ref="AF169">IF($AI169="","",IF(LEFT($AI169,2)="C|",IF($C169="","",SUMPRODUCT($AP$5:$AP$302*($AO$5:$AO$302=$A169)*$AQ$5:$AQ$302,$AS$5:$AS$302)),IF($AI169="CT",AF$13,IF(LEFT($AI169,3)="AM|",IF($C169="","",SUMPRODUCT($AP$5:$AP$302*($AN$5:$AN$302=$A169)*$AQ$5:$AQ$302,$AS$5:$AS$302)),IF(LEFT($AI169,2)="S|",IF($AG169="","",IF(INDEX($AQ$5:$AQ$302,$AH169)=1,P169,0)),IF($AI169="HDR","LFL Trans",""))))))</f>
        <v/>
      </c>
      <c r="AG169" s="8" t="str" cm="1">
        <f t="array" ref="AG169">IF($AI169="","",IF(LEFT($AI169,2)="C|","",IF($AI169="CT","",IF(LEFT($AI169,3)="AM|","",IF(LEFT($AI169,2)="S|",IF($AH169="","",IF(INDEX($AP$5:$AP$302,$AH169)=1,1,"")),IF($AI169="HDR","Show",""))))))</f>
        <v/>
      </c>
      <c r="AH169" s="8" t="str">
        <f t="shared" si="108"/>
        <v/>
      </c>
      <c r="AI169" s="8"/>
      <c r="AN169" s="8" t="str" cm="1">
        <f t="array" ref="AN169">IF($AW169="","",_xlfn.LET(_xlpm.sa,IFERROR(TRIM(INDEX('Sales and count'!$D$4:$D$300,$BF169)&amp;""),""),_xlpm.ta,IFERROR(TRIM(INDEX('TY Sales Target'!$F$5:$F$300,$BG169)&amp;""),""),IF(AND(_xlpm.sa&lt;&gt;"",LEFT(_xlpm.sa,1)&lt;&gt;"#",_xlpm.sa&lt;&gt;"0"),_xlpm.sa,IF(AND(_xlpm.ta&lt;&gt;"",LEFT(_xlpm.ta,1)&lt;&gt;"#",_xlpm.ta&lt;&gt;"0"),_xlpm.ta,IF(ISNUMBER($BG169),"Unassigned","")))))</f>
        <v/>
      </c>
      <c r="AO169" s="8" t="str" cm="1">
        <f t="array" ref="AO169">IF($AW169="","",_xlfn.LET(_xlpm.sa,IFERROR(TRIM(INDEX('Sales and count'!$C$4:$C$300,$BF169)&amp;""),""),_xlpm.ta,IFERROR(TRIM(INDEX('TY Sales Target'!$D$5:$D$300,$BG169)&amp;""),""),IF(AND(_xlpm.sa&lt;&gt;"",LEFT(_xlpm.sa,1)&lt;&gt;"#",_xlpm.sa&lt;&gt;"0"),_xlpm.sa,IF(AND(_xlpm.ta&lt;&gt;"",LEFT(_xlpm.ta,1)&lt;&gt;"#",_xlpm.ta&lt;&gt;"0"),_xlpm.ta,""))))</f>
        <v/>
      </c>
      <c r="AP169" s="8">
        <f t="shared" si="93"/>
        <v>0</v>
      </c>
      <c r="AQ169" s="8">
        <f t="shared" si="94"/>
        <v>0</v>
      </c>
      <c r="AR169" s="8" cm="1">
        <f t="array" ref="AR169">IF($BF169="",0,_xlfn.LET(_xlpm.d,IFERROR(--'Sales and count'!$G$2:$CC$2,0),SUMPRODUCT(('Sales and count'!$G$3:$CC$3="Total")*(_xlpm.d&gt;=$U$4)*(_xlpm.d&lt;=$U$5),INDEX('Sales and count'!$G$4:$CC$300,$BF169,0))))</f>
        <v>0</v>
      </c>
      <c r="AS169" s="8" cm="1">
        <f t="array" ref="AS169">IF($BF169="",0,_xlfn.LET(_xlpm.d,IFERROR(--'Sales and count'!$F$2:$CB$2,0),SUMPRODUCT(('Sales and count'!$G$3:$CC$3="Transactions")*(_xlpm.d&gt;=$U$4)*(_xlpm.d&lt;=$U$5),INDEX('Sales and count'!$G$4:$CC$300,$BF169,0))))</f>
        <v>0</v>
      </c>
      <c r="AT169" s="8" cm="1">
        <f t="array" ref="AT169">IF($AW169="",0,SUMPRODUCT((TRIM('LY Sales '!$B$5:$B$200)=$AW169)*('LY Sales '!$C$2:$AG$2&gt;=EDATE($U$4,-12))*('LY Sales '!$C$2:$AG$2&lt;=EDATE($U$5,-12)),'LY Sales '!$C$5:$AG$200))</f>
        <v>0</v>
      </c>
      <c r="AU169" s="8" cm="1">
        <f t="array" ref="AU169">IF($AW169="",0,SUMPRODUCT((TRIM('LY Transaction'!$B$5:$B$200)=$AW169)*('LY Transaction'!$C$2:$AG$2&gt;=EDATE($U$4,-12))*('LY Transaction'!$C$2:$AG$2&lt;=EDATE($U$5,-12)),'LY Transaction'!$C$5:$AG$200))</f>
        <v>0</v>
      </c>
      <c r="AV169" s="8" cm="1">
        <f t="array" ref="AV169">IF(NOT(ISNUMBER($BG169)),0,SUMPRODUCT(('TY Sales Target'!$K$2:$AO$2&gt;=$U$4)*('TY Sales Target'!$K$2:$AO$2&lt;=$U$5),INDEX('TY Sales Target'!$K$5:$AO$300,$BG169,0)))</f>
        <v>0</v>
      </c>
      <c r="AW169" s="8" t="str" cm="1">
        <f t="array" ref="AW169">IFERROR(INDEX(_xlfn.ANCHORARRAY($BR$5),ROWS($AW$5:AW169)),"")</f>
        <v/>
      </c>
      <c r="BB169" cm="1">
        <f t="array" ref="BB169">IF($AW169="",0,SUMPRODUCT((TRIM(Footfall!$B$5:$B$301)=$AW169)*(Footfall!$C$1:$BZ$1&gt;=$U$4)*(Footfall!$C$2:$BZ$2&lt;=$U$5)*(Footfall!$C$1:$BZ$1&lt;&gt;""),Footfall!$C$5:$BZ$301))</f>
        <v>0</v>
      </c>
      <c r="BC169" cm="1">
        <f t="array" ref="BC169">IF(OR($BB169&lt;=0,$BD$1="",$BF169=""),0,_xlfn.LET(_xlpm.d,IFERROR(--'Sales and count'!$F$2:$CB$2,0),SUMPRODUCT(('Sales and count'!$G$3:$CC$3="Transactions")*(_xlpm.d&gt;=$BD$1)*(_xlpm.d&lt;=$BD$2),INDEX('Sales and count'!$G$4:$CC$300,$BF169,0))))</f>
        <v>0</v>
      </c>
      <c r="BF169" t="str" cm="1">
        <f t="array" ref="BF169">IF($AW169="","",IFERROR(MATCH($AW169,TRIM('Sales and count'!$A$4:$A$300&amp;""),0),""))</f>
        <v/>
      </c>
      <c r="BG169" t="str" cm="1">
        <f t="array" ref="BG169">IF($AW169="","",IFERROR(MATCH(IFERROR(_xlfn.XLOOKUP($AW169,$BT$5:$BT$22,$BU$5:$BU$22),$AW169),TRIM('TY Sales Target'!$B$5:$B$300&amp;""),0),""))</f>
        <v/>
      </c>
      <c r="BH169" t="str" cm="1">
        <f t="array" ref="BH169">IF(ISNUMBER($BG169),_xlfn.LET(_xlpm.p,TRIM(INDEX('TY Sales Target'!$I$5:$I$300,$BG169)&amp;""),IF(_xlpm.p="","Not set",_xlpm.p)),"Not set")</f>
        <v>Not set</v>
      </c>
      <c r="BI169" cm="1">
        <f t="array" ref="BI169">IF($BF169="",0,_xlfn.LET(_xlpm.d,IFERROR(--'Sales and count'!$G$2:$CC$2,0),SUMPRODUCT(('Sales and count'!$G$3:$CC$3="Total")*(_xlpm.d&gt;=$BZ$5)*(_xlpm.d&lt;=$BZ$6),INDEX('Sales and count'!$G$4:$CC$300,$BF169,0))))</f>
        <v>0</v>
      </c>
      <c r="BJ169" cm="1">
        <f t="array" ref="BJ169">IF($AW169="",0,SUMPRODUCT((TRIM('LY Sales '!$B$5:$B$200)=$AW169)*('LY Sales '!$C$2:$AG$2&gt;=EDATE($BZ$5,-12))*('LY Sales '!$C$2:$AG$2&lt;=EDATE($BZ$6,-12)),'LY Sales '!$C$5:$AG$200))</f>
        <v>0</v>
      </c>
      <c r="BK169" cm="1">
        <f t="array" ref="BK169">IF($AW169="",0,SUMPRODUCT((TRIM('LY Sales '!$B$5:$B$200)=$AW169)*('LY Sales '!$C$2:$AG$2&gt;=EDATE($BZ$5,-12))*('LY Sales '!$C$2:$AG$2&lt;=EDATE($BZ$7,-12)),'LY Sales '!$C$5:$AG$200))</f>
        <v>0</v>
      </c>
      <c r="BL169" cm="1">
        <f t="array" ref="BL169">IF($AW169="",0,SUMPRODUCT((TRIM('LY Sales '!$B$5:$B$200)=$AW169)*('LY Sales '!$C$2:$AG$2&gt;=EDATE($BZ$5,-12))*('LY Sales '!$C$2:$AG$2&lt;=EDATE($BZ$6,-12))*('LY Sales '!$C$5:$AG$200&gt;0)))</f>
        <v>0</v>
      </c>
      <c r="BM169" cm="1">
        <f t="array" ref="BM169">IF(NOT(ISNUMBER($BG169)),0,SUMPRODUCT(('TY Sales Target'!$K$2:$AO$2&gt;=$BZ$5)*('TY Sales Target'!$K$2:$AO$2&lt;=$BZ$6),INDEX('TY Sales Target'!$K$5:$AO$300,$BG169,0)))</f>
        <v>0</v>
      </c>
      <c r="BN169" cm="1">
        <f t="array" ref="BN169">IF(NOT(ISNUMBER($BG169)),0,SUMPRODUCT(('TY Sales Target'!$K$2:$AO$2&gt;=$BZ$5)*('TY Sales Target'!$K$2:$AO$2&lt;=$BZ$7),INDEX('TY Sales Target'!$K$5:$AO$300,$BG169,0)))</f>
        <v>0</v>
      </c>
      <c r="BO169" cm="1">
        <f t="array" ref="BO169">IF($AW169="",0,IFERROR(_xlfn.SWITCH($BP169,"LY trend",$BI169*$BK169/$BJ169,"Target curve",$BI169*$BN169/$BM169,"Run rate",$BI169/$BZ$8*$BZ$9,0),0))</f>
        <v>0</v>
      </c>
      <c r="BP169" t="str">
        <f t="shared" si="92"/>
        <v/>
      </c>
      <c r="CB169" cm="1">
        <f t="array" ref="CB169">IF($AW169="",0,_xlfn.LET(_xlpm.k,IFERROR(_xlfn.XLOOKUP($AW169,$CD$6:$CD$21,$CE$6:$CE$21),$AW169),SUMPRODUCT((TRIM('Makeup '!$A$2:$A$300&amp;"")=_xlpm.k)*1,IFERROR('Makeup '!$F$2:$F$300*1,0))))</f>
        <v>0</v>
      </c>
      <c r="CF169" t="str" cm="1">
        <f t="array" ref="CF169">IF($AW169="","",_xlfn.LET(_xlpm.c,IFERROR(TRIM(INDEX('Sales and count'!$B$4:$B$300,$BF169)&amp;""),""),IF(OR(_xlpm.c="",_xlpm.c="0",LEFT(_xlpm.c,1)="#"),"Not set",_xlpm.c)))</f>
        <v/>
      </c>
      <c r="CH169" cm="1">
        <f t="array" ref="CH169">IF($AW169="",0,_xlfn.LET(_xlpm.k,IFERROR(_xlfn.XLOOKUP($AW169,$CD$6:$CD$21,$CE$6:$CE$21),$AW169),--(SUMPRODUCT((TRIM('Makeup '!$A$2:$A$300&amp;"")=_xlpm.k)*ISNUMBER('Makeup '!$F$2:$F$300))&gt;0)))</f>
        <v>0</v>
      </c>
      <c r="CI169">
        <f t="shared" si="95"/>
        <v>0</v>
      </c>
      <c r="CJ169" cm="1">
        <f t="array" ref="CJ169">IF($AW169="",0,--(SUMPRODUCT(--(TRIM(Footfall!$B$5:$B$301)=$AW169))&gt;0))</f>
        <v>0</v>
      </c>
      <c r="CK169" s="8" cm="1">
        <f t="array" ref="CK169">IF($AW169="",0,_xlfn.LET(_xlpm.r,IFERROR(MATCH(IFERROR(_xlfn.XLOOKUP($AW169,$BT$5:$BT$22,$BU$5:$BU$22),$AW169),TRIM('TY Beauty Target'!$B$5:$B$300&amp;""),0),""),IF(ISNUMBER(_xlpm.r),SUMPRODUCT(('TY Beauty Target'!$L$2:$AP$2&gt;=$U$4)*('TY Beauty Target'!$L$2:$AP$2&lt;=$U$5),INDEX('TY Beauty Target'!$L$5:$AP$300,_xlpm.r,0)),0)))</f>
        <v>0</v>
      </c>
    </row>
    <row r="170" spans="1:89" ht="15" customHeight="1" x14ac:dyDescent="0.25">
      <c r="A170" s="38" t="str">
        <f t="shared" si="96"/>
        <v/>
      </c>
      <c r="B170" s="43" t="str" cm="1">
        <f t="array" ref="B170">IF($AI170="","",IF(LEFT($AI170,2)="C|",IF($C170="","",_xlfn.TEXTJOIN(", ",TRUE,_xlfn.UNIQUE(_xlfn._xlws.FILTER($AN$5:$AN$302,($AP$5:$AP$302=1)*($AO$5:$AO$302=$A170))))),IF($AI170="CT",B$13,IF(LEFT($AI170,3)="AM|",IF($C170="","",ROWS(_xlfn.UNIQUE(_xlfn._xlws.FILTER($AO$5:$AO$302,($AP$5:$AP$302=1)*($AN$5:$AN$302=$A170))))),IF(LEFT($AI170,2)="S|",IF($AG170="","",INDEX($AO$5:$AO$302,$AH170)),IF($AI170="HDR","City",""))))))</f>
        <v/>
      </c>
      <c r="C170" s="39" t="str" cm="1">
        <f t="array" ref="C170">IF($AI170="","",IF(LEFT($AI170,2)="C|",_xlfn.LET(_xlpm.n,SUMPRODUCT($AP$5:$AP$302*($AO$5:$AO$302=$A170)),IF(_xlpm.n=0,"",_xlpm.n)),IF($AI170="CT",C$13,IF(LEFT($AI170,3)="AM|",_xlfn.LET(_xlpm.n,SUMPRODUCT($AP$5:$AP$302*($AN$5:$AN$302=$A170)),IF(_xlpm.n=0,"",_xlpm.n)),IF(LEFT($AI170,2)="S|","",IF($AI170="HDR","# Stores",""))))))</f>
        <v/>
      </c>
      <c r="D170" s="40" t="str" cm="1">
        <f t="array" ref="D170">IF($AI170="","",IF(LEFT($AI170,2)="C|",IF($C170="","",SUMPRODUCT($AP$5:$AP$302*($AO$5:$AO$302=$A170),$AR$5:$AR$302)),IF($AI170="CT",D$13,IF(LEFT($AI170,3)="AM|",IF($C170="","",SUMPRODUCT($AP$5:$AP$302*($AN$5:$AN$302=$A170),$AR$5:$AR$302)),IF(LEFT($AI170,2)="S|",IF($AG170="","",INDEX($AR$5:$AR$302,$AH170)),IF($AI170="HDR","Sales TY",""))))))</f>
        <v/>
      </c>
      <c r="E170" s="40" t="str" cm="1">
        <f t="array" ref="E170">IF($AI170="","",IF(LEFT($AI170,2)="C|",IF($C170="","",SUMPRODUCT($AP$5:$AP$302*($AO$5:$AO$302=$A170),$AT$5:$AT$302)),IF($AI170="CT",E$13,IF(LEFT($AI170,3)="AM|",IF($C170="","",SUMPRODUCT($AP$5:$AP$302*($AN$5:$AN$302=$A170),$AT$5:$AT$302)),IF(LEFT($AI170,2)="S|",IF($AG170="","",INDEX($AT$5:$AT$302,$AH170)),IF($AI170="HDR","Sales LY",""))))))</f>
        <v/>
      </c>
      <c r="F170" s="41" t="str">
        <f t="shared" si="97"/>
        <v/>
      </c>
      <c r="G170" s="41" t="str">
        <f t="shared" si="98"/>
        <v/>
      </c>
      <c r="H170" s="40" t="str" cm="1">
        <f t="array" ref="H170">IF($AI170="","",IF(LEFT($AI170,2)="C|",IF($C170="","",SUMPRODUCT($AP$5:$AP$302*($AO$5:$AO$302=$A170),$AV$5:$AV$302)),IF($AI170="CT",H$13,IF(LEFT($AI170,3)="AM|",IF($C170="","",SUMPRODUCT($AP$5:$AP$302*($AN$5:$AN$302=$A170),$AV$5:$AV$302)),IF(LEFT($AI170,2)="S|",IF($AG170="","",INDEX($AV$5:$AV$302,$AH170)),IF($AI170="HDR","Target",""))))))</f>
        <v/>
      </c>
      <c r="I170" s="41" t="str">
        <f t="shared" si="99"/>
        <v/>
      </c>
      <c r="J170" s="40" t="str">
        <f t="shared" si="100"/>
        <v/>
      </c>
      <c r="K170" s="41" t="str">
        <f t="shared" si="101"/>
        <v/>
      </c>
      <c r="L170" s="40" t="str" cm="1">
        <f t="array" ref="L170">IF($AI170="","",IF(LEFT($AI170,2)="C|",IF($C170="","",SUMPRODUCT($AP$5:$AP$302*($AO$5:$AO$302=$A170),$BN$5:$BN$302)),IF($AI170="CT",L$13,IF(LEFT($AI170,3)="AM|",IF($C170="","",SUMPRODUCT($AP$5:$AP$302*($AN$5:$AN$302=$A170),$BN$5:$BN$302)),IF(LEFT($AI170,2)="S|",IF($AG170="","",INDEX($BN$5:$BN$302,$AH170)),IF($AI170="HDR","Month Target",""))))))</f>
        <v/>
      </c>
      <c r="M170" s="40" t="str" cm="1">
        <f t="array" ref="M170">IF($AI170="","",IF(LEFT($AI170,2)="C|",IF($C170="","",SUMPRODUCT($AP$5:$AP$302*($AO$5:$AO$302=$A170),$BO$5:$BO$302)),IF($AI170="CT",M$13,IF(LEFT($AI170,3)="AM|",IF($C170="","",SUMPRODUCT($AP$5:$AP$302*($AN$5:$AN$302=$A170),$BO$5:$BO$302)),IF(LEFT($AI170,2)="S|",IF($AG170="","",INDEX($BO$5:$BO$302,$AH170)),IF($AI170="HDR","Projected Close",""))))))</f>
        <v/>
      </c>
      <c r="N170" s="41" t="str">
        <f t="shared" si="109"/>
        <v/>
      </c>
      <c r="O170" s="41" t="str" cm="1">
        <f t="array" ref="O170">IF($AI170="HDR","Proj. vs LY",IF(OR($AI170="",M170=""),"",_xlfn.LET(_xlpm.ly,IF(LEFT($AI170,2)="C|",SUMPRODUCT($AP$5:$AP$302*($AO$5:$AO$302=$A170),$BK$5:$BK$302),IF($AI170="CT",SUMPRODUCT($AP$5:$AP$302,$BK$5:$BK$302),IF(LEFT($AI170,3)="AM|",SUMPRODUCT($AP$5:$AP$302*($AN$5:$AN$302=$A170),$BK$5:$BK$302),IF(LEFT($AI170,2)="S|",INDEX($BK$5:$BK$302,$AH170),0)))),IFERROR(M170/_xlpm.ly-1,""))))</f>
        <v/>
      </c>
      <c r="P170" s="40" t="str" cm="1">
        <f t="array" ref="P170">IF($AI170="","",IF(LEFT($AI170,2)="C|",IF($C170="","",SUMPRODUCT($AP$5:$AP$302*($AO$5:$AO$302=$A170),$AS$5:$AS$302)),IF($AI170="CT",P$13,IF(LEFT($AI170,3)="AM|",IF($C170="","",SUMPRODUCT($AP$5:$AP$302*($AN$5:$AN$302=$A170),$AS$5:$AS$302)),IF(LEFT($AI170,2)="S|",IF($AG170="","",INDEX($AS$5:$AS$302,$AH170)),IF($AI170="HDR","Trans TY",""))))))</f>
        <v/>
      </c>
      <c r="Q170" s="40" t="str" cm="1">
        <f t="array" ref="Q170">IF($AI170="","",IF(LEFT($AI170,2)="C|",IF($C170="","",SUMPRODUCT($AP$5:$AP$302*($AO$5:$AO$302=$A170),$AU$5:$AU$302)),IF($AI170="CT",Q$13,IF(LEFT($AI170,3)="AM|",IF($C170="","",SUMPRODUCT($AP$5:$AP$302*($AN$5:$AN$302=$A170),$AU$5:$AU$302)),IF(LEFT($AI170,2)="S|",IF($AG170="","",INDEX($AU$5:$AU$302,$AH170)),IF($AI170="HDR","Trans LY",""))))))</f>
        <v/>
      </c>
      <c r="R170" s="41" t="str">
        <f t="shared" si="102"/>
        <v/>
      </c>
      <c r="S170" s="41" t="str">
        <f t="shared" si="103"/>
        <v/>
      </c>
      <c r="T170" s="42" t="str">
        <f t="shared" si="104"/>
        <v/>
      </c>
      <c r="U170" s="42" t="str">
        <f t="shared" si="105"/>
        <v/>
      </c>
      <c r="V170" s="41" t="str">
        <f t="shared" si="106"/>
        <v/>
      </c>
      <c r="W170" s="40" t="str" cm="1">
        <f t="array" ref="W170">IF($AI170="","",IF(LEFT($AI170,2)="C|",_xlfn.LET(_xlpm.n,SUMPRODUCT($AP$5:$AP$302*($AO$5:$AO$302=$A170),$BB$5:$BB$302),IF(_xlpm.n=0,"",_xlpm.n)),IF($AI170="CT",W$13,IF(LEFT($AI170,3)="AM|",_xlfn.LET(_xlpm.n,SUMPRODUCT($AP$5:$AP$302*($AN$5:$AN$302=$A170),$BB$5:$BB$302),IF(_xlpm.n=0,"",_xlpm.n)),IF(LEFT($AI170,2)="S|",IF($AG170="","",_xlfn.LET(_xlpm.n,INDEX($BB$5:$BB$302,$AH170),IF(_xlpm.n=0,"",_xlpm.n))),IF($AI170="HDR","Footfall",""))))))</f>
        <v/>
      </c>
      <c r="X170" s="40" t="str" cm="1">
        <f t="array" ref="X170">IF($AI170="","",IF($AI170="HDR","Trans (FF stores)",IF(W170="","",IF(LEFT($AI170,2)="C|",SUMPRODUCT($AP$5:$AP$302*($AO$5:$AO$302=$A170),$BC$5:$BC$302),IF($AI170="CT",X$13,IF(LEFT($AI170,3)="AM|",SUMPRODUCT($AP$5:$AP$302*($AN$5:$AN$302=$A170),$BC$5:$BC$302),IF(LEFT($AI170,2)="S|",INDEX($BC$5:$BC$302,$AH170),"")))))))</f>
        <v/>
      </c>
      <c r="Y170" s="41" t="str">
        <f t="shared" si="110"/>
        <v/>
      </c>
      <c r="Z170" s="40" t="str" cm="1">
        <f t="array" ref="Z170">IF($AI170="","",IF(LEFT($AI170,2)="C|",IF($C170="","",SUMPRODUCT($AP$5:$AP$302*($AO$5:$AO$302=$A170),$CB$5:$CB$302)),IF($AI170="CT",Z$13,IF(LEFT($AI170,3)="AM|",IF($C170="","",SUMPRODUCT($AP$5:$AP$302*($AN$5:$AN$302=$A170),$CB$5:$CB$302)),IF(LEFT($AI170,2)="S|",IF($AG170="","",INDEX($CB$5:$CB$302,$AH170)),IF($AI170="HDR","Makeup Sales",""))))))</f>
        <v/>
      </c>
      <c r="AA170" s="41" t="str">
        <f t="shared" si="107"/>
        <v/>
      </c>
      <c r="AB170" s="40" t="str" cm="1">
        <f t="array" ref="AB170">IF($AI170="","",IF(LEFT($AI170,2)="C|",IF($C170="","",SUMPRODUCT($AP$5:$AP$302*($AO$5:$AO$302=$A170),$CK$5:$CK$302)),IF($AI170="CT",AB$13,IF(LEFT($AI170,3)="AM|",IF($C170="","",SUMPRODUCT($AP$5:$AP$302*($AN$5:$AN$302=$A170),$CK$5:$CK$302)),IF(LEFT($AI170,2)="S|",IF($AG170="","",INDEX($CK$5:$CK$302,$AH170)),IF($AI170="HDR","Makeup Target",""))))))</f>
        <v/>
      </c>
      <c r="AC170" s="41" t="str">
        <f t="shared" si="111"/>
        <v/>
      </c>
      <c r="AD170" s="40" t="str" cm="1">
        <f t="array" ref="AD170">IF($AI170="","",IF(LEFT($AI170,2)="C|",IF($C170="","",SUMPRODUCT($AP$5:$AP$302*($AO$5:$AO$302=$A170),$CI$5:$CI$302)),IF($AI170="CT",AD$13,IF(LEFT($AI170,3)="AM|",IF($C170="","",SUMPRODUCT($AP$5:$AP$302*($AN$5:$AN$302=$A170),$CI$5:$CI$302)),IF(LEFT($AI170,2)="S|",IF($AG170="","",INDEX($CI$5:$CI$302,$AH170)),IF($AI170="HDR","Cosmetic Sales",""))))))</f>
        <v/>
      </c>
      <c r="AE170" s="8" t="str" cm="1">
        <f t="array" ref="AE170">IF($AI170="","",IF(LEFT($AI170,2)="C|",IF($C170="","",SUMPRODUCT($AP$5:$AP$302*($AO$5:$AO$302=$A170)*$AQ$5:$AQ$302,$AR$5:$AR$302)),IF($AI170="CT",AE$13,IF(LEFT($AI170,3)="AM|",IF($C170="","",SUMPRODUCT($AP$5:$AP$302*($AN$5:$AN$302=$A170)*$AQ$5:$AQ$302,$AR$5:$AR$302)),IF(LEFT($AI170,2)="S|",IF($AG170="","",IF(INDEX($AQ$5:$AQ$302,$AH170)=1,D170,0)),IF($AI170="HDR","LFL Sales",""))))))</f>
        <v/>
      </c>
      <c r="AF170" s="8" t="str" cm="1">
        <f t="array" ref="AF170">IF($AI170="","",IF(LEFT($AI170,2)="C|",IF($C170="","",SUMPRODUCT($AP$5:$AP$302*($AO$5:$AO$302=$A170)*$AQ$5:$AQ$302,$AS$5:$AS$302)),IF($AI170="CT",AF$13,IF(LEFT($AI170,3)="AM|",IF($C170="","",SUMPRODUCT($AP$5:$AP$302*($AN$5:$AN$302=$A170)*$AQ$5:$AQ$302,$AS$5:$AS$302)),IF(LEFT($AI170,2)="S|",IF($AG170="","",IF(INDEX($AQ$5:$AQ$302,$AH170)=1,P170,0)),IF($AI170="HDR","LFL Trans",""))))))</f>
        <v/>
      </c>
      <c r="AG170" s="8" t="str" cm="1">
        <f t="array" ref="AG170">IF($AI170="","",IF(LEFT($AI170,2)="C|","",IF($AI170="CT","",IF(LEFT($AI170,3)="AM|","",IF(LEFT($AI170,2)="S|",IF($AH170="","",IF(INDEX($AP$5:$AP$302,$AH170)=1,1,"")),IF($AI170="HDR","Show",""))))))</f>
        <v/>
      </c>
      <c r="AH170" s="8" t="str">
        <f t="shared" si="108"/>
        <v/>
      </c>
      <c r="AI170" s="8"/>
      <c r="AN170" s="8" t="str" cm="1">
        <f t="array" ref="AN170">IF($AW170="","",_xlfn.LET(_xlpm.sa,IFERROR(TRIM(INDEX('Sales and count'!$D$4:$D$300,$BF170)&amp;""),""),_xlpm.ta,IFERROR(TRIM(INDEX('TY Sales Target'!$F$5:$F$300,$BG170)&amp;""),""),IF(AND(_xlpm.sa&lt;&gt;"",LEFT(_xlpm.sa,1)&lt;&gt;"#",_xlpm.sa&lt;&gt;"0"),_xlpm.sa,IF(AND(_xlpm.ta&lt;&gt;"",LEFT(_xlpm.ta,1)&lt;&gt;"#",_xlpm.ta&lt;&gt;"0"),_xlpm.ta,IF(ISNUMBER($BG170),"Unassigned","")))))</f>
        <v/>
      </c>
      <c r="AO170" s="8" t="str" cm="1">
        <f t="array" ref="AO170">IF($AW170="","",_xlfn.LET(_xlpm.sa,IFERROR(TRIM(INDEX('Sales and count'!$C$4:$C$300,$BF170)&amp;""),""),_xlpm.ta,IFERROR(TRIM(INDEX('TY Sales Target'!$D$5:$D$300,$BG170)&amp;""),""),IF(AND(_xlpm.sa&lt;&gt;"",LEFT(_xlpm.sa,1)&lt;&gt;"#",_xlpm.sa&lt;&gt;"0"),_xlpm.sa,IF(AND(_xlpm.ta&lt;&gt;"",LEFT(_xlpm.ta,1)&lt;&gt;"#",_xlpm.ta&lt;&gt;"0"),_xlpm.ta,""))))</f>
        <v/>
      </c>
      <c r="AP170" s="8">
        <f t="shared" si="93"/>
        <v>0</v>
      </c>
      <c r="AQ170" s="8">
        <f t="shared" si="94"/>
        <v>0</v>
      </c>
      <c r="AR170" s="8" cm="1">
        <f t="array" ref="AR170">IF($BF170="",0,_xlfn.LET(_xlpm.d,IFERROR(--'Sales and count'!$G$2:$CC$2,0),SUMPRODUCT(('Sales and count'!$G$3:$CC$3="Total")*(_xlpm.d&gt;=$U$4)*(_xlpm.d&lt;=$U$5),INDEX('Sales and count'!$G$4:$CC$300,$BF170,0))))</f>
        <v>0</v>
      </c>
      <c r="AS170" s="8" cm="1">
        <f t="array" ref="AS170">IF($BF170="",0,_xlfn.LET(_xlpm.d,IFERROR(--'Sales and count'!$F$2:$CB$2,0),SUMPRODUCT(('Sales and count'!$G$3:$CC$3="Transactions")*(_xlpm.d&gt;=$U$4)*(_xlpm.d&lt;=$U$5),INDEX('Sales and count'!$G$4:$CC$300,$BF170,0))))</f>
        <v>0</v>
      </c>
      <c r="AT170" s="8" cm="1">
        <f t="array" ref="AT170">IF($AW170="",0,SUMPRODUCT((TRIM('LY Sales '!$B$5:$B$200)=$AW170)*('LY Sales '!$C$2:$AG$2&gt;=EDATE($U$4,-12))*('LY Sales '!$C$2:$AG$2&lt;=EDATE($U$5,-12)),'LY Sales '!$C$5:$AG$200))</f>
        <v>0</v>
      </c>
      <c r="AU170" s="8" cm="1">
        <f t="array" ref="AU170">IF($AW170="",0,SUMPRODUCT((TRIM('LY Transaction'!$B$5:$B$200)=$AW170)*('LY Transaction'!$C$2:$AG$2&gt;=EDATE($U$4,-12))*('LY Transaction'!$C$2:$AG$2&lt;=EDATE($U$5,-12)),'LY Transaction'!$C$5:$AG$200))</f>
        <v>0</v>
      </c>
      <c r="AV170" s="8" cm="1">
        <f t="array" ref="AV170">IF(NOT(ISNUMBER($BG170)),0,SUMPRODUCT(('TY Sales Target'!$K$2:$AO$2&gt;=$U$4)*('TY Sales Target'!$K$2:$AO$2&lt;=$U$5),INDEX('TY Sales Target'!$K$5:$AO$300,$BG170,0)))</f>
        <v>0</v>
      </c>
      <c r="AW170" s="8" t="str" cm="1">
        <f t="array" ref="AW170">IFERROR(INDEX(_xlfn.ANCHORARRAY($BR$5),ROWS($AW$5:AW170)),"")</f>
        <v/>
      </c>
      <c r="BB170" cm="1">
        <f t="array" ref="BB170">IF($AW170="",0,SUMPRODUCT((TRIM(Footfall!$B$5:$B$301)=$AW170)*(Footfall!$C$1:$BZ$1&gt;=$U$4)*(Footfall!$C$2:$BZ$2&lt;=$U$5)*(Footfall!$C$1:$BZ$1&lt;&gt;""),Footfall!$C$5:$BZ$301))</f>
        <v>0</v>
      </c>
      <c r="BC170" cm="1">
        <f t="array" ref="BC170">IF(OR($BB170&lt;=0,$BD$1="",$BF170=""),0,_xlfn.LET(_xlpm.d,IFERROR(--'Sales and count'!$F$2:$CB$2,0),SUMPRODUCT(('Sales and count'!$G$3:$CC$3="Transactions")*(_xlpm.d&gt;=$BD$1)*(_xlpm.d&lt;=$BD$2),INDEX('Sales and count'!$G$4:$CC$300,$BF170,0))))</f>
        <v>0</v>
      </c>
      <c r="BF170" t="str" cm="1">
        <f t="array" ref="BF170">IF($AW170="","",IFERROR(MATCH($AW170,TRIM('Sales and count'!$A$4:$A$300&amp;""),0),""))</f>
        <v/>
      </c>
      <c r="BG170" t="str" cm="1">
        <f t="array" ref="BG170">IF($AW170="","",IFERROR(MATCH(IFERROR(_xlfn.XLOOKUP($AW170,$BT$5:$BT$22,$BU$5:$BU$22),$AW170),TRIM('TY Sales Target'!$B$5:$B$300&amp;""),0),""))</f>
        <v/>
      </c>
      <c r="BH170" t="str" cm="1">
        <f t="array" ref="BH170">IF(ISNUMBER($BG170),_xlfn.LET(_xlpm.p,TRIM(INDEX('TY Sales Target'!$I$5:$I$300,$BG170)&amp;""),IF(_xlpm.p="","Not set",_xlpm.p)),"Not set")</f>
        <v>Not set</v>
      </c>
      <c r="BI170" cm="1">
        <f t="array" ref="BI170">IF($BF170="",0,_xlfn.LET(_xlpm.d,IFERROR(--'Sales and count'!$G$2:$CC$2,0),SUMPRODUCT(('Sales and count'!$G$3:$CC$3="Total")*(_xlpm.d&gt;=$BZ$5)*(_xlpm.d&lt;=$BZ$6),INDEX('Sales and count'!$G$4:$CC$300,$BF170,0))))</f>
        <v>0</v>
      </c>
      <c r="BJ170" cm="1">
        <f t="array" ref="BJ170">IF($AW170="",0,SUMPRODUCT((TRIM('LY Sales '!$B$5:$B$200)=$AW170)*('LY Sales '!$C$2:$AG$2&gt;=EDATE($BZ$5,-12))*('LY Sales '!$C$2:$AG$2&lt;=EDATE($BZ$6,-12)),'LY Sales '!$C$5:$AG$200))</f>
        <v>0</v>
      </c>
      <c r="BK170" cm="1">
        <f t="array" ref="BK170">IF($AW170="",0,SUMPRODUCT((TRIM('LY Sales '!$B$5:$B$200)=$AW170)*('LY Sales '!$C$2:$AG$2&gt;=EDATE($BZ$5,-12))*('LY Sales '!$C$2:$AG$2&lt;=EDATE($BZ$7,-12)),'LY Sales '!$C$5:$AG$200))</f>
        <v>0</v>
      </c>
      <c r="BL170" cm="1">
        <f t="array" ref="BL170">IF($AW170="",0,SUMPRODUCT((TRIM('LY Sales '!$B$5:$B$200)=$AW170)*('LY Sales '!$C$2:$AG$2&gt;=EDATE($BZ$5,-12))*('LY Sales '!$C$2:$AG$2&lt;=EDATE($BZ$6,-12))*('LY Sales '!$C$5:$AG$200&gt;0)))</f>
        <v>0</v>
      </c>
      <c r="BM170" cm="1">
        <f t="array" ref="BM170">IF(NOT(ISNUMBER($BG170)),0,SUMPRODUCT(('TY Sales Target'!$K$2:$AO$2&gt;=$BZ$5)*('TY Sales Target'!$K$2:$AO$2&lt;=$BZ$6),INDEX('TY Sales Target'!$K$5:$AO$300,$BG170,0)))</f>
        <v>0</v>
      </c>
      <c r="BN170" cm="1">
        <f t="array" ref="BN170">IF(NOT(ISNUMBER($BG170)),0,SUMPRODUCT(('TY Sales Target'!$K$2:$AO$2&gt;=$BZ$5)*('TY Sales Target'!$K$2:$AO$2&lt;=$BZ$7),INDEX('TY Sales Target'!$K$5:$AO$300,$BG170,0)))</f>
        <v>0</v>
      </c>
      <c r="BO170" cm="1">
        <f t="array" ref="BO170">IF($AW170="",0,IFERROR(_xlfn.SWITCH($BP170,"LY trend",$BI170*$BK170/$BJ170,"Target curve",$BI170*$BN170/$BM170,"Run rate",$BI170/$BZ$8*$BZ$9,0),0))</f>
        <v>0</v>
      </c>
      <c r="BP170" t="str">
        <f t="shared" si="92"/>
        <v/>
      </c>
      <c r="CB170" cm="1">
        <f t="array" ref="CB170">IF($AW170="",0,_xlfn.LET(_xlpm.k,IFERROR(_xlfn.XLOOKUP($AW170,$CD$6:$CD$21,$CE$6:$CE$21),$AW170),SUMPRODUCT((TRIM('Makeup '!$A$2:$A$300&amp;"")=_xlpm.k)*1,IFERROR('Makeup '!$F$2:$F$300*1,0))))</f>
        <v>0</v>
      </c>
      <c r="CF170" t="str" cm="1">
        <f t="array" ref="CF170">IF($AW170="","",_xlfn.LET(_xlpm.c,IFERROR(TRIM(INDEX('Sales and count'!$B$4:$B$300,$BF170)&amp;""),""),IF(OR(_xlpm.c="",_xlpm.c="0",LEFT(_xlpm.c,1)="#"),"Not set",_xlpm.c)))</f>
        <v/>
      </c>
      <c r="CH170" cm="1">
        <f t="array" ref="CH170">IF($AW170="",0,_xlfn.LET(_xlpm.k,IFERROR(_xlfn.XLOOKUP($AW170,$CD$6:$CD$21,$CE$6:$CE$21),$AW170),--(SUMPRODUCT((TRIM('Makeup '!$A$2:$A$300&amp;"")=_xlpm.k)*ISNUMBER('Makeup '!$F$2:$F$300))&gt;0)))</f>
        <v>0</v>
      </c>
      <c r="CI170">
        <f t="shared" si="95"/>
        <v>0</v>
      </c>
      <c r="CJ170" cm="1">
        <f t="array" ref="CJ170">IF($AW170="",0,--(SUMPRODUCT(--(TRIM(Footfall!$B$5:$B$301)=$AW170))&gt;0))</f>
        <v>0</v>
      </c>
      <c r="CK170" s="8" cm="1">
        <f t="array" ref="CK170">IF($AW170="",0,_xlfn.LET(_xlpm.r,IFERROR(MATCH(IFERROR(_xlfn.XLOOKUP($AW170,$BT$5:$BT$22,$BU$5:$BU$22),$AW170),TRIM('TY Beauty Target'!$B$5:$B$300&amp;""),0),""),IF(ISNUMBER(_xlpm.r),SUMPRODUCT(('TY Beauty Target'!$L$2:$AP$2&gt;=$U$4)*('TY Beauty Target'!$L$2:$AP$2&lt;=$U$5),INDEX('TY Beauty Target'!$L$5:$AP$300,_xlpm.r,0)),0)))</f>
        <v>0</v>
      </c>
    </row>
    <row r="171" spans="1:89" ht="15" customHeight="1" x14ac:dyDescent="0.25">
      <c r="A171" s="38" t="str">
        <f t="shared" si="96"/>
        <v/>
      </c>
      <c r="B171" s="43" t="str" cm="1">
        <f t="array" ref="B171">IF($AI171="","",IF(LEFT($AI171,2)="C|",IF($C171="","",_xlfn.TEXTJOIN(", ",TRUE,_xlfn.UNIQUE(_xlfn._xlws.FILTER($AN$5:$AN$302,($AP$5:$AP$302=1)*($AO$5:$AO$302=$A171))))),IF($AI171="CT",B$13,IF(LEFT($AI171,3)="AM|",IF($C171="","",ROWS(_xlfn.UNIQUE(_xlfn._xlws.FILTER($AO$5:$AO$302,($AP$5:$AP$302=1)*($AN$5:$AN$302=$A171))))),IF(LEFT($AI171,2)="S|",IF($AG171="","",INDEX($AO$5:$AO$302,$AH171)),IF($AI171="HDR","City",""))))))</f>
        <v/>
      </c>
      <c r="C171" s="39" t="str" cm="1">
        <f t="array" ref="C171">IF($AI171="","",IF(LEFT($AI171,2)="C|",_xlfn.LET(_xlpm.n,SUMPRODUCT($AP$5:$AP$302*($AO$5:$AO$302=$A171)),IF(_xlpm.n=0,"",_xlpm.n)),IF($AI171="CT",C$13,IF(LEFT($AI171,3)="AM|",_xlfn.LET(_xlpm.n,SUMPRODUCT($AP$5:$AP$302*($AN$5:$AN$302=$A171)),IF(_xlpm.n=0,"",_xlpm.n)),IF(LEFT($AI171,2)="S|","",IF($AI171="HDR","# Stores",""))))))</f>
        <v/>
      </c>
      <c r="D171" s="40" t="str" cm="1">
        <f t="array" ref="D171">IF($AI171="","",IF(LEFT($AI171,2)="C|",IF($C171="","",SUMPRODUCT($AP$5:$AP$302*($AO$5:$AO$302=$A171),$AR$5:$AR$302)),IF($AI171="CT",D$13,IF(LEFT($AI171,3)="AM|",IF($C171="","",SUMPRODUCT($AP$5:$AP$302*($AN$5:$AN$302=$A171),$AR$5:$AR$302)),IF(LEFT($AI171,2)="S|",IF($AG171="","",INDEX($AR$5:$AR$302,$AH171)),IF($AI171="HDR","Sales TY",""))))))</f>
        <v/>
      </c>
      <c r="E171" s="40" t="str" cm="1">
        <f t="array" ref="E171">IF($AI171="","",IF(LEFT($AI171,2)="C|",IF($C171="","",SUMPRODUCT($AP$5:$AP$302*($AO$5:$AO$302=$A171),$AT$5:$AT$302)),IF($AI171="CT",E$13,IF(LEFT($AI171,3)="AM|",IF($C171="","",SUMPRODUCT($AP$5:$AP$302*($AN$5:$AN$302=$A171),$AT$5:$AT$302)),IF(LEFT($AI171,2)="S|",IF($AG171="","",INDEX($AT$5:$AT$302,$AH171)),IF($AI171="HDR","Sales LY",""))))))</f>
        <v/>
      </c>
      <c r="F171" s="41" t="str">
        <f t="shared" si="97"/>
        <v/>
      </c>
      <c r="G171" s="41" t="str">
        <f t="shared" si="98"/>
        <v/>
      </c>
      <c r="H171" s="40" t="str" cm="1">
        <f t="array" ref="H171">IF($AI171="","",IF(LEFT($AI171,2)="C|",IF($C171="","",SUMPRODUCT($AP$5:$AP$302*($AO$5:$AO$302=$A171),$AV$5:$AV$302)),IF($AI171="CT",H$13,IF(LEFT($AI171,3)="AM|",IF($C171="","",SUMPRODUCT($AP$5:$AP$302*($AN$5:$AN$302=$A171),$AV$5:$AV$302)),IF(LEFT($AI171,2)="S|",IF($AG171="","",INDEX($AV$5:$AV$302,$AH171)),IF($AI171="HDR","Target",""))))))</f>
        <v/>
      </c>
      <c r="I171" s="41" t="str">
        <f t="shared" si="99"/>
        <v/>
      </c>
      <c r="J171" s="40" t="str">
        <f t="shared" si="100"/>
        <v/>
      </c>
      <c r="K171" s="41" t="str">
        <f t="shared" si="101"/>
        <v/>
      </c>
      <c r="L171" s="40" t="str" cm="1">
        <f t="array" ref="L171">IF($AI171="","",IF(LEFT($AI171,2)="C|",IF($C171="","",SUMPRODUCT($AP$5:$AP$302*($AO$5:$AO$302=$A171),$BN$5:$BN$302)),IF($AI171="CT",L$13,IF(LEFT($AI171,3)="AM|",IF($C171="","",SUMPRODUCT($AP$5:$AP$302*($AN$5:$AN$302=$A171),$BN$5:$BN$302)),IF(LEFT($AI171,2)="S|",IF($AG171="","",INDEX($BN$5:$BN$302,$AH171)),IF($AI171="HDR","Month Target",""))))))</f>
        <v/>
      </c>
      <c r="M171" s="40" t="str" cm="1">
        <f t="array" ref="M171">IF($AI171="","",IF(LEFT($AI171,2)="C|",IF($C171="","",SUMPRODUCT($AP$5:$AP$302*($AO$5:$AO$302=$A171),$BO$5:$BO$302)),IF($AI171="CT",M$13,IF(LEFT($AI171,3)="AM|",IF($C171="","",SUMPRODUCT($AP$5:$AP$302*($AN$5:$AN$302=$A171),$BO$5:$BO$302)),IF(LEFT($AI171,2)="S|",IF($AG171="","",INDEX($BO$5:$BO$302,$AH171)),IF($AI171="HDR","Projected Close",""))))))</f>
        <v/>
      </c>
      <c r="N171" s="41" t="str">
        <f t="shared" si="109"/>
        <v/>
      </c>
      <c r="O171" s="41" t="str" cm="1">
        <f t="array" ref="O171">IF($AI171="HDR","Proj. vs LY",IF(OR($AI171="",M171=""),"",_xlfn.LET(_xlpm.ly,IF(LEFT($AI171,2)="C|",SUMPRODUCT($AP$5:$AP$302*($AO$5:$AO$302=$A171),$BK$5:$BK$302),IF($AI171="CT",SUMPRODUCT($AP$5:$AP$302,$BK$5:$BK$302),IF(LEFT($AI171,3)="AM|",SUMPRODUCT($AP$5:$AP$302*($AN$5:$AN$302=$A171),$BK$5:$BK$302),IF(LEFT($AI171,2)="S|",INDEX($BK$5:$BK$302,$AH171),0)))),IFERROR(M171/_xlpm.ly-1,""))))</f>
        <v/>
      </c>
      <c r="P171" s="40" t="str" cm="1">
        <f t="array" ref="P171">IF($AI171="","",IF(LEFT($AI171,2)="C|",IF($C171="","",SUMPRODUCT($AP$5:$AP$302*($AO$5:$AO$302=$A171),$AS$5:$AS$302)),IF($AI171="CT",P$13,IF(LEFT($AI171,3)="AM|",IF($C171="","",SUMPRODUCT($AP$5:$AP$302*($AN$5:$AN$302=$A171),$AS$5:$AS$302)),IF(LEFT($AI171,2)="S|",IF($AG171="","",INDEX($AS$5:$AS$302,$AH171)),IF($AI171="HDR","Trans TY",""))))))</f>
        <v/>
      </c>
      <c r="Q171" s="40" t="str" cm="1">
        <f t="array" ref="Q171">IF($AI171="","",IF(LEFT($AI171,2)="C|",IF($C171="","",SUMPRODUCT($AP$5:$AP$302*($AO$5:$AO$302=$A171),$AU$5:$AU$302)),IF($AI171="CT",Q$13,IF(LEFT($AI171,3)="AM|",IF($C171="","",SUMPRODUCT($AP$5:$AP$302*($AN$5:$AN$302=$A171),$AU$5:$AU$302)),IF(LEFT($AI171,2)="S|",IF($AG171="","",INDEX($AU$5:$AU$302,$AH171)),IF($AI171="HDR","Trans LY",""))))))</f>
        <v/>
      </c>
      <c r="R171" s="41" t="str">
        <f t="shared" si="102"/>
        <v/>
      </c>
      <c r="S171" s="41" t="str">
        <f t="shared" si="103"/>
        <v/>
      </c>
      <c r="T171" s="42" t="str">
        <f t="shared" si="104"/>
        <v/>
      </c>
      <c r="U171" s="42" t="str">
        <f t="shared" si="105"/>
        <v/>
      </c>
      <c r="V171" s="41" t="str">
        <f t="shared" si="106"/>
        <v/>
      </c>
      <c r="W171" s="40" t="str" cm="1">
        <f t="array" ref="W171">IF($AI171="","",IF(LEFT($AI171,2)="C|",_xlfn.LET(_xlpm.n,SUMPRODUCT($AP$5:$AP$302*($AO$5:$AO$302=$A171),$BB$5:$BB$302),IF(_xlpm.n=0,"",_xlpm.n)),IF($AI171="CT",W$13,IF(LEFT($AI171,3)="AM|",_xlfn.LET(_xlpm.n,SUMPRODUCT($AP$5:$AP$302*($AN$5:$AN$302=$A171),$BB$5:$BB$302),IF(_xlpm.n=0,"",_xlpm.n)),IF(LEFT($AI171,2)="S|",IF($AG171="","",_xlfn.LET(_xlpm.n,INDEX($BB$5:$BB$302,$AH171),IF(_xlpm.n=0,"",_xlpm.n))),IF($AI171="HDR","Footfall",""))))))</f>
        <v/>
      </c>
      <c r="X171" s="40" t="str" cm="1">
        <f t="array" ref="X171">IF($AI171="","",IF($AI171="HDR","Trans (FF stores)",IF(W171="","",IF(LEFT($AI171,2)="C|",SUMPRODUCT($AP$5:$AP$302*($AO$5:$AO$302=$A171),$BC$5:$BC$302),IF($AI171="CT",X$13,IF(LEFT($AI171,3)="AM|",SUMPRODUCT($AP$5:$AP$302*($AN$5:$AN$302=$A171),$BC$5:$BC$302),IF(LEFT($AI171,2)="S|",INDEX($BC$5:$BC$302,$AH171),"")))))))</f>
        <v/>
      </c>
      <c r="Y171" s="41" t="str">
        <f t="shared" si="110"/>
        <v/>
      </c>
      <c r="Z171" s="40" t="str" cm="1">
        <f t="array" ref="Z171">IF($AI171="","",IF(LEFT($AI171,2)="C|",IF($C171="","",SUMPRODUCT($AP$5:$AP$302*($AO$5:$AO$302=$A171),$CB$5:$CB$302)),IF($AI171="CT",Z$13,IF(LEFT($AI171,3)="AM|",IF($C171="","",SUMPRODUCT($AP$5:$AP$302*($AN$5:$AN$302=$A171),$CB$5:$CB$302)),IF(LEFT($AI171,2)="S|",IF($AG171="","",INDEX($CB$5:$CB$302,$AH171)),IF($AI171="HDR","Makeup Sales",""))))))</f>
        <v/>
      </c>
      <c r="AA171" s="41" t="str">
        <f t="shared" si="107"/>
        <v/>
      </c>
      <c r="AB171" s="40" t="str" cm="1">
        <f t="array" ref="AB171">IF($AI171="","",IF(LEFT($AI171,2)="C|",IF($C171="","",SUMPRODUCT($AP$5:$AP$302*($AO$5:$AO$302=$A171),$CK$5:$CK$302)),IF($AI171="CT",AB$13,IF(LEFT($AI171,3)="AM|",IF($C171="","",SUMPRODUCT($AP$5:$AP$302*($AN$5:$AN$302=$A171),$CK$5:$CK$302)),IF(LEFT($AI171,2)="S|",IF($AG171="","",INDEX($CK$5:$CK$302,$AH171)),IF($AI171="HDR","Makeup Target",""))))))</f>
        <v/>
      </c>
      <c r="AC171" s="41" t="str">
        <f t="shared" si="111"/>
        <v/>
      </c>
      <c r="AD171" s="40" t="str" cm="1">
        <f t="array" ref="AD171">IF($AI171="","",IF(LEFT($AI171,2)="C|",IF($C171="","",SUMPRODUCT($AP$5:$AP$302*($AO$5:$AO$302=$A171),$CI$5:$CI$302)),IF($AI171="CT",AD$13,IF(LEFT($AI171,3)="AM|",IF($C171="","",SUMPRODUCT($AP$5:$AP$302*($AN$5:$AN$302=$A171),$CI$5:$CI$302)),IF(LEFT($AI171,2)="S|",IF($AG171="","",INDEX($CI$5:$CI$302,$AH171)),IF($AI171="HDR","Cosmetic Sales",""))))))</f>
        <v/>
      </c>
      <c r="AE171" s="8" t="str" cm="1">
        <f t="array" ref="AE171">IF($AI171="","",IF(LEFT($AI171,2)="C|",IF($C171="","",SUMPRODUCT($AP$5:$AP$302*($AO$5:$AO$302=$A171)*$AQ$5:$AQ$302,$AR$5:$AR$302)),IF($AI171="CT",AE$13,IF(LEFT($AI171,3)="AM|",IF($C171="","",SUMPRODUCT($AP$5:$AP$302*($AN$5:$AN$302=$A171)*$AQ$5:$AQ$302,$AR$5:$AR$302)),IF(LEFT($AI171,2)="S|",IF($AG171="","",IF(INDEX($AQ$5:$AQ$302,$AH171)=1,D171,0)),IF($AI171="HDR","LFL Sales",""))))))</f>
        <v/>
      </c>
      <c r="AF171" s="8" t="str" cm="1">
        <f t="array" ref="AF171">IF($AI171="","",IF(LEFT($AI171,2)="C|",IF($C171="","",SUMPRODUCT($AP$5:$AP$302*($AO$5:$AO$302=$A171)*$AQ$5:$AQ$302,$AS$5:$AS$302)),IF($AI171="CT",AF$13,IF(LEFT($AI171,3)="AM|",IF($C171="","",SUMPRODUCT($AP$5:$AP$302*($AN$5:$AN$302=$A171)*$AQ$5:$AQ$302,$AS$5:$AS$302)),IF(LEFT($AI171,2)="S|",IF($AG171="","",IF(INDEX($AQ$5:$AQ$302,$AH171)=1,P171,0)),IF($AI171="HDR","LFL Trans",""))))))</f>
        <v/>
      </c>
      <c r="AG171" s="8" t="str" cm="1">
        <f t="array" ref="AG171">IF($AI171="","",IF(LEFT($AI171,2)="C|","",IF($AI171="CT","",IF(LEFT($AI171,3)="AM|","",IF(LEFT($AI171,2)="S|",IF($AH171="","",IF(INDEX($AP$5:$AP$302,$AH171)=1,1,"")),IF($AI171="HDR","Show",""))))))</f>
        <v/>
      </c>
      <c r="AH171" s="8" t="str">
        <f t="shared" si="108"/>
        <v/>
      </c>
      <c r="AI171" s="8"/>
      <c r="AN171" s="8" t="str" cm="1">
        <f t="array" ref="AN171">IF($AW171="","",_xlfn.LET(_xlpm.sa,IFERROR(TRIM(INDEX('Sales and count'!$D$4:$D$300,$BF171)&amp;""),""),_xlpm.ta,IFERROR(TRIM(INDEX('TY Sales Target'!$F$5:$F$300,$BG171)&amp;""),""),IF(AND(_xlpm.sa&lt;&gt;"",LEFT(_xlpm.sa,1)&lt;&gt;"#",_xlpm.sa&lt;&gt;"0"),_xlpm.sa,IF(AND(_xlpm.ta&lt;&gt;"",LEFT(_xlpm.ta,1)&lt;&gt;"#",_xlpm.ta&lt;&gt;"0"),_xlpm.ta,IF(ISNUMBER($BG171),"Unassigned","")))))</f>
        <v/>
      </c>
      <c r="AO171" s="8" t="str" cm="1">
        <f t="array" ref="AO171">IF($AW171="","",_xlfn.LET(_xlpm.sa,IFERROR(TRIM(INDEX('Sales and count'!$C$4:$C$300,$BF171)&amp;""),""),_xlpm.ta,IFERROR(TRIM(INDEX('TY Sales Target'!$D$5:$D$300,$BG171)&amp;""),""),IF(AND(_xlpm.sa&lt;&gt;"",LEFT(_xlpm.sa,1)&lt;&gt;"#",_xlpm.sa&lt;&gt;"0"),_xlpm.sa,IF(AND(_xlpm.ta&lt;&gt;"",LEFT(_xlpm.ta,1)&lt;&gt;"#",_xlpm.ta&lt;&gt;"0"),_xlpm.ta,""))))</f>
        <v/>
      </c>
      <c r="AP171" s="8">
        <f t="shared" si="93"/>
        <v>0</v>
      </c>
      <c r="AQ171" s="8">
        <f t="shared" si="94"/>
        <v>0</v>
      </c>
      <c r="AR171" s="8" cm="1">
        <f t="array" ref="AR171">IF($BF171="",0,_xlfn.LET(_xlpm.d,IFERROR(--'Sales and count'!$G$2:$CC$2,0),SUMPRODUCT(('Sales and count'!$G$3:$CC$3="Total")*(_xlpm.d&gt;=$U$4)*(_xlpm.d&lt;=$U$5),INDEX('Sales and count'!$G$4:$CC$300,$BF171,0))))</f>
        <v>0</v>
      </c>
      <c r="AS171" s="8" cm="1">
        <f t="array" ref="AS171">IF($BF171="",0,_xlfn.LET(_xlpm.d,IFERROR(--'Sales and count'!$F$2:$CB$2,0),SUMPRODUCT(('Sales and count'!$G$3:$CC$3="Transactions")*(_xlpm.d&gt;=$U$4)*(_xlpm.d&lt;=$U$5),INDEX('Sales and count'!$G$4:$CC$300,$BF171,0))))</f>
        <v>0</v>
      </c>
      <c r="AT171" s="8" cm="1">
        <f t="array" ref="AT171">IF($AW171="",0,SUMPRODUCT((TRIM('LY Sales '!$B$5:$B$200)=$AW171)*('LY Sales '!$C$2:$AG$2&gt;=EDATE($U$4,-12))*('LY Sales '!$C$2:$AG$2&lt;=EDATE($U$5,-12)),'LY Sales '!$C$5:$AG$200))</f>
        <v>0</v>
      </c>
      <c r="AU171" s="8" cm="1">
        <f t="array" ref="AU171">IF($AW171="",0,SUMPRODUCT((TRIM('LY Transaction'!$B$5:$B$200)=$AW171)*('LY Transaction'!$C$2:$AG$2&gt;=EDATE($U$4,-12))*('LY Transaction'!$C$2:$AG$2&lt;=EDATE($U$5,-12)),'LY Transaction'!$C$5:$AG$200))</f>
        <v>0</v>
      </c>
      <c r="AV171" s="8" cm="1">
        <f t="array" ref="AV171">IF(NOT(ISNUMBER($BG171)),0,SUMPRODUCT(('TY Sales Target'!$K$2:$AO$2&gt;=$U$4)*('TY Sales Target'!$K$2:$AO$2&lt;=$U$5),INDEX('TY Sales Target'!$K$5:$AO$300,$BG171,0)))</f>
        <v>0</v>
      </c>
      <c r="AW171" s="8" t="str" cm="1">
        <f t="array" ref="AW171">IFERROR(INDEX(_xlfn.ANCHORARRAY($BR$5),ROWS($AW$5:AW171)),"")</f>
        <v/>
      </c>
      <c r="BB171" cm="1">
        <f t="array" ref="BB171">IF($AW171="",0,SUMPRODUCT((TRIM(Footfall!$B$5:$B$301)=$AW171)*(Footfall!$C$1:$BZ$1&gt;=$U$4)*(Footfall!$C$2:$BZ$2&lt;=$U$5)*(Footfall!$C$1:$BZ$1&lt;&gt;""),Footfall!$C$5:$BZ$301))</f>
        <v>0</v>
      </c>
      <c r="BC171" cm="1">
        <f t="array" ref="BC171">IF(OR($BB171&lt;=0,$BD$1="",$BF171=""),0,_xlfn.LET(_xlpm.d,IFERROR(--'Sales and count'!$F$2:$CB$2,0),SUMPRODUCT(('Sales and count'!$G$3:$CC$3="Transactions")*(_xlpm.d&gt;=$BD$1)*(_xlpm.d&lt;=$BD$2),INDEX('Sales and count'!$G$4:$CC$300,$BF171,0))))</f>
        <v>0</v>
      </c>
      <c r="BF171" t="str" cm="1">
        <f t="array" ref="BF171">IF($AW171="","",IFERROR(MATCH($AW171,TRIM('Sales and count'!$A$4:$A$300&amp;""),0),""))</f>
        <v/>
      </c>
      <c r="BG171" t="str" cm="1">
        <f t="array" ref="BG171">IF($AW171="","",IFERROR(MATCH(IFERROR(_xlfn.XLOOKUP($AW171,$BT$5:$BT$22,$BU$5:$BU$22),$AW171),TRIM('TY Sales Target'!$B$5:$B$300&amp;""),0),""))</f>
        <v/>
      </c>
      <c r="BH171" t="str" cm="1">
        <f t="array" ref="BH171">IF(ISNUMBER($BG171),_xlfn.LET(_xlpm.p,TRIM(INDEX('TY Sales Target'!$I$5:$I$300,$BG171)&amp;""),IF(_xlpm.p="","Not set",_xlpm.p)),"Not set")</f>
        <v>Not set</v>
      </c>
      <c r="BI171" cm="1">
        <f t="array" ref="BI171">IF($BF171="",0,_xlfn.LET(_xlpm.d,IFERROR(--'Sales and count'!$G$2:$CC$2,0),SUMPRODUCT(('Sales and count'!$G$3:$CC$3="Total")*(_xlpm.d&gt;=$BZ$5)*(_xlpm.d&lt;=$BZ$6),INDEX('Sales and count'!$G$4:$CC$300,$BF171,0))))</f>
        <v>0</v>
      </c>
      <c r="BJ171" cm="1">
        <f t="array" ref="BJ171">IF($AW171="",0,SUMPRODUCT((TRIM('LY Sales '!$B$5:$B$200)=$AW171)*('LY Sales '!$C$2:$AG$2&gt;=EDATE($BZ$5,-12))*('LY Sales '!$C$2:$AG$2&lt;=EDATE($BZ$6,-12)),'LY Sales '!$C$5:$AG$200))</f>
        <v>0</v>
      </c>
      <c r="BK171" cm="1">
        <f t="array" ref="BK171">IF($AW171="",0,SUMPRODUCT((TRIM('LY Sales '!$B$5:$B$200)=$AW171)*('LY Sales '!$C$2:$AG$2&gt;=EDATE($BZ$5,-12))*('LY Sales '!$C$2:$AG$2&lt;=EDATE($BZ$7,-12)),'LY Sales '!$C$5:$AG$200))</f>
        <v>0</v>
      </c>
      <c r="BL171" cm="1">
        <f t="array" ref="BL171">IF($AW171="",0,SUMPRODUCT((TRIM('LY Sales '!$B$5:$B$200)=$AW171)*('LY Sales '!$C$2:$AG$2&gt;=EDATE($BZ$5,-12))*('LY Sales '!$C$2:$AG$2&lt;=EDATE($BZ$6,-12))*('LY Sales '!$C$5:$AG$200&gt;0)))</f>
        <v>0</v>
      </c>
      <c r="BM171" cm="1">
        <f t="array" ref="BM171">IF(NOT(ISNUMBER($BG171)),0,SUMPRODUCT(('TY Sales Target'!$K$2:$AO$2&gt;=$BZ$5)*('TY Sales Target'!$K$2:$AO$2&lt;=$BZ$6),INDEX('TY Sales Target'!$K$5:$AO$300,$BG171,0)))</f>
        <v>0</v>
      </c>
      <c r="BN171" cm="1">
        <f t="array" ref="BN171">IF(NOT(ISNUMBER($BG171)),0,SUMPRODUCT(('TY Sales Target'!$K$2:$AO$2&gt;=$BZ$5)*('TY Sales Target'!$K$2:$AO$2&lt;=$BZ$7),INDEX('TY Sales Target'!$K$5:$AO$300,$BG171,0)))</f>
        <v>0</v>
      </c>
      <c r="BO171" cm="1">
        <f t="array" ref="BO171">IF($AW171="",0,IFERROR(_xlfn.SWITCH($BP171,"LY trend",$BI171*$BK171/$BJ171,"Target curve",$BI171*$BN171/$BM171,"Run rate",$BI171/$BZ$8*$BZ$9,0),0))</f>
        <v>0</v>
      </c>
      <c r="BP171" t="str">
        <f t="shared" si="92"/>
        <v/>
      </c>
      <c r="CB171" cm="1">
        <f t="array" ref="CB171">IF($AW171="",0,_xlfn.LET(_xlpm.k,IFERROR(_xlfn.XLOOKUP($AW171,$CD$6:$CD$21,$CE$6:$CE$21),$AW171),SUMPRODUCT((TRIM('Makeup '!$A$2:$A$300&amp;"")=_xlpm.k)*1,IFERROR('Makeup '!$F$2:$F$300*1,0))))</f>
        <v>0</v>
      </c>
      <c r="CF171" t="str" cm="1">
        <f t="array" ref="CF171">IF($AW171="","",_xlfn.LET(_xlpm.c,IFERROR(TRIM(INDEX('Sales and count'!$B$4:$B$300,$BF171)&amp;""),""),IF(OR(_xlpm.c="",_xlpm.c="0",LEFT(_xlpm.c,1)="#"),"Not set",_xlpm.c)))</f>
        <v/>
      </c>
      <c r="CH171" cm="1">
        <f t="array" ref="CH171">IF($AW171="",0,_xlfn.LET(_xlpm.k,IFERROR(_xlfn.XLOOKUP($AW171,$CD$6:$CD$21,$CE$6:$CE$21),$AW171),--(SUMPRODUCT((TRIM('Makeup '!$A$2:$A$300&amp;"")=_xlpm.k)*ISNUMBER('Makeup '!$F$2:$F$300))&gt;0)))</f>
        <v>0</v>
      </c>
      <c r="CI171">
        <f t="shared" si="95"/>
        <v>0</v>
      </c>
      <c r="CJ171" cm="1">
        <f t="array" ref="CJ171">IF($AW171="",0,--(SUMPRODUCT(--(TRIM(Footfall!$B$5:$B$301)=$AW171))&gt;0))</f>
        <v>0</v>
      </c>
      <c r="CK171" s="8" cm="1">
        <f t="array" ref="CK171">IF($AW171="",0,_xlfn.LET(_xlpm.r,IFERROR(MATCH(IFERROR(_xlfn.XLOOKUP($AW171,$BT$5:$BT$22,$BU$5:$BU$22),$AW171),TRIM('TY Beauty Target'!$B$5:$B$300&amp;""),0),""),IF(ISNUMBER(_xlpm.r),SUMPRODUCT(('TY Beauty Target'!$L$2:$AP$2&gt;=$U$4)*('TY Beauty Target'!$L$2:$AP$2&lt;=$U$5),INDEX('TY Beauty Target'!$L$5:$AP$300,_xlpm.r,0)),0)))</f>
        <v>0</v>
      </c>
    </row>
    <row r="172" spans="1:89" ht="15" customHeight="1" x14ac:dyDescent="0.25">
      <c r="A172" s="38" t="str">
        <f t="shared" si="96"/>
        <v/>
      </c>
      <c r="B172" s="43" t="str" cm="1">
        <f t="array" ref="B172">IF($AI172="","",IF(LEFT($AI172,2)="C|",IF($C172="","",_xlfn.TEXTJOIN(", ",TRUE,_xlfn.UNIQUE(_xlfn._xlws.FILTER($AN$5:$AN$302,($AP$5:$AP$302=1)*($AO$5:$AO$302=$A172))))),IF($AI172="CT",B$13,IF(LEFT($AI172,3)="AM|",IF($C172="","",ROWS(_xlfn.UNIQUE(_xlfn._xlws.FILTER($AO$5:$AO$302,($AP$5:$AP$302=1)*($AN$5:$AN$302=$A172))))),IF(LEFT($AI172,2)="S|",IF($AG172="","",INDEX($AO$5:$AO$302,$AH172)),IF($AI172="HDR","City",""))))))</f>
        <v/>
      </c>
      <c r="C172" s="39" t="str" cm="1">
        <f t="array" ref="C172">IF($AI172="","",IF(LEFT($AI172,2)="C|",_xlfn.LET(_xlpm.n,SUMPRODUCT($AP$5:$AP$302*($AO$5:$AO$302=$A172)),IF(_xlpm.n=0,"",_xlpm.n)),IF($AI172="CT",C$13,IF(LEFT($AI172,3)="AM|",_xlfn.LET(_xlpm.n,SUMPRODUCT($AP$5:$AP$302*($AN$5:$AN$302=$A172)),IF(_xlpm.n=0,"",_xlpm.n)),IF(LEFT($AI172,2)="S|","",IF($AI172="HDR","# Stores",""))))))</f>
        <v/>
      </c>
      <c r="D172" s="40" t="str" cm="1">
        <f t="array" ref="D172">IF($AI172="","",IF(LEFT($AI172,2)="C|",IF($C172="","",SUMPRODUCT($AP$5:$AP$302*($AO$5:$AO$302=$A172),$AR$5:$AR$302)),IF($AI172="CT",D$13,IF(LEFT($AI172,3)="AM|",IF($C172="","",SUMPRODUCT($AP$5:$AP$302*($AN$5:$AN$302=$A172),$AR$5:$AR$302)),IF(LEFT($AI172,2)="S|",IF($AG172="","",INDEX($AR$5:$AR$302,$AH172)),IF($AI172="HDR","Sales TY",""))))))</f>
        <v/>
      </c>
      <c r="E172" s="40" t="str" cm="1">
        <f t="array" ref="E172">IF($AI172="","",IF(LEFT($AI172,2)="C|",IF($C172="","",SUMPRODUCT($AP$5:$AP$302*($AO$5:$AO$302=$A172),$AT$5:$AT$302)),IF($AI172="CT",E$13,IF(LEFT($AI172,3)="AM|",IF($C172="","",SUMPRODUCT($AP$5:$AP$302*($AN$5:$AN$302=$A172),$AT$5:$AT$302)),IF(LEFT($AI172,2)="S|",IF($AG172="","",INDEX($AT$5:$AT$302,$AH172)),IF($AI172="HDR","Sales LY",""))))))</f>
        <v/>
      </c>
      <c r="F172" s="41" t="str">
        <f t="shared" si="97"/>
        <v/>
      </c>
      <c r="G172" s="41" t="str">
        <f t="shared" si="98"/>
        <v/>
      </c>
      <c r="H172" s="40" t="str" cm="1">
        <f t="array" ref="H172">IF($AI172="","",IF(LEFT($AI172,2)="C|",IF($C172="","",SUMPRODUCT($AP$5:$AP$302*($AO$5:$AO$302=$A172),$AV$5:$AV$302)),IF($AI172="CT",H$13,IF(LEFT($AI172,3)="AM|",IF($C172="","",SUMPRODUCT($AP$5:$AP$302*($AN$5:$AN$302=$A172),$AV$5:$AV$302)),IF(LEFT($AI172,2)="S|",IF($AG172="","",INDEX($AV$5:$AV$302,$AH172)),IF($AI172="HDR","Target",""))))))</f>
        <v/>
      </c>
      <c r="I172" s="41" t="str">
        <f t="shared" si="99"/>
        <v/>
      </c>
      <c r="J172" s="40" t="str">
        <f t="shared" si="100"/>
        <v/>
      </c>
      <c r="K172" s="41" t="str">
        <f t="shared" si="101"/>
        <v/>
      </c>
      <c r="L172" s="40" t="str" cm="1">
        <f t="array" ref="L172">IF($AI172="","",IF(LEFT($AI172,2)="C|",IF($C172="","",SUMPRODUCT($AP$5:$AP$302*($AO$5:$AO$302=$A172),$BN$5:$BN$302)),IF($AI172="CT",L$13,IF(LEFT($AI172,3)="AM|",IF($C172="","",SUMPRODUCT($AP$5:$AP$302*($AN$5:$AN$302=$A172),$BN$5:$BN$302)),IF(LEFT($AI172,2)="S|",IF($AG172="","",INDEX($BN$5:$BN$302,$AH172)),IF($AI172="HDR","Month Target",""))))))</f>
        <v/>
      </c>
      <c r="M172" s="40" t="str" cm="1">
        <f t="array" ref="M172">IF($AI172="","",IF(LEFT($AI172,2)="C|",IF($C172="","",SUMPRODUCT($AP$5:$AP$302*($AO$5:$AO$302=$A172),$BO$5:$BO$302)),IF($AI172="CT",M$13,IF(LEFT($AI172,3)="AM|",IF($C172="","",SUMPRODUCT($AP$5:$AP$302*($AN$5:$AN$302=$A172),$BO$5:$BO$302)),IF(LEFT($AI172,2)="S|",IF($AG172="","",INDEX($BO$5:$BO$302,$AH172)),IF($AI172="HDR","Projected Close",""))))))</f>
        <v/>
      </c>
      <c r="N172" s="41" t="str">
        <f t="shared" si="109"/>
        <v/>
      </c>
      <c r="O172" s="41" t="str" cm="1">
        <f t="array" ref="O172">IF($AI172="HDR","Proj. vs LY",IF(OR($AI172="",M172=""),"",_xlfn.LET(_xlpm.ly,IF(LEFT($AI172,2)="C|",SUMPRODUCT($AP$5:$AP$302*($AO$5:$AO$302=$A172),$BK$5:$BK$302),IF($AI172="CT",SUMPRODUCT($AP$5:$AP$302,$BK$5:$BK$302),IF(LEFT($AI172,3)="AM|",SUMPRODUCT($AP$5:$AP$302*($AN$5:$AN$302=$A172),$BK$5:$BK$302),IF(LEFT($AI172,2)="S|",INDEX($BK$5:$BK$302,$AH172),0)))),IFERROR(M172/_xlpm.ly-1,""))))</f>
        <v/>
      </c>
      <c r="P172" s="40" t="str" cm="1">
        <f t="array" ref="P172">IF($AI172="","",IF(LEFT($AI172,2)="C|",IF($C172="","",SUMPRODUCT($AP$5:$AP$302*($AO$5:$AO$302=$A172),$AS$5:$AS$302)),IF($AI172="CT",P$13,IF(LEFT($AI172,3)="AM|",IF($C172="","",SUMPRODUCT($AP$5:$AP$302*($AN$5:$AN$302=$A172),$AS$5:$AS$302)),IF(LEFT($AI172,2)="S|",IF($AG172="","",INDEX($AS$5:$AS$302,$AH172)),IF($AI172="HDR","Trans TY",""))))))</f>
        <v/>
      </c>
      <c r="Q172" s="40" t="str" cm="1">
        <f t="array" ref="Q172">IF($AI172="","",IF(LEFT($AI172,2)="C|",IF($C172="","",SUMPRODUCT($AP$5:$AP$302*($AO$5:$AO$302=$A172),$AU$5:$AU$302)),IF($AI172="CT",Q$13,IF(LEFT($AI172,3)="AM|",IF($C172="","",SUMPRODUCT($AP$5:$AP$302*($AN$5:$AN$302=$A172),$AU$5:$AU$302)),IF(LEFT($AI172,2)="S|",IF($AG172="","",INDEX($AU$5:$AU$302,$AH172)),IF($AI172="HDR","Trans LY",""))))))</f>
        <v/>
      </c>
      <c r="R172" s="41" t="str">
        <f t="shared" si="102"/>
        <v/>
      </c>
      <c r="S172" s="41" t="str">
        <f t="shared" si="103"/>
        <v/>
      </c>
      <c r="T172" s="42" t="str">
        <f t="shared" si="104"/>
        <v/>
      </c>
      <c r="U172" s="42" t="str">
        <f t="shared" si="105"/>
        <v/>
      </c>
      <c r="V172" s="41" t="str">
        <f t="shared" si="106"/>
        <v/>
      </c>
      <c r="W172" s="40" t="str" cm="1">
        <f t="array" ref="W172">IF($AI172="","",IF(LEFT($AI172,2)="C|",_xlfn.LET(_xlpm.n,SUMPRODUCT($AP$5:$AP$302*($AO$5:$AO$302=$A172),$BB$5:$BB$302),IF(_xlpm.n=0,"",_xlpm.n)),IF($AI172="CT",W$13,IF(LEFT($AI172,3)="AM|",_xlfn.LET(_xlpm.n,SUMPRODUCT($AP$5:$AP$302*($AN$5:$AN$302=$A172),$BB$5:$BB$302),IF(_xlpm.n=0,"",_xlpm.n)),IF(LEFT($AI172,2)="S|",IF($AG172="","",_xlfn.LET(_xlpm.n,INDEX($BB$5:$BB$302,$AH172),IF(_xlpm.n=0,"",_xlpm.n))),IF($AI172="HDR","Footfall",""))))))</f>
        <v/>
      </c>
      <c r="X172" s="40" t="str" cm="1">
        <f t="array" ref="X172">IF($AI172="","",IF($AI172="HDR","Trans (FF stores)",IF(W172="","",IF(LEFT($AI172,2)="C|",SUMPRODUCT($AP$5:$AP$302*($AO$5:$AO$302=$A172),$BC$5:$BC$302),IF($AI172="CT",X$13,IF(LEFT($AI172,3)="AM|",SUMPRODUCT($AP$5:$AP$302*($AN$5:$AN$302=$A172),$BC$5:$BC$302),IF(LEFT($AI172,2)="S|",INDEX($BC$5:$BC$302,$AH172),"")))))))</f>
        <v/>
      </c>
      <c r="Y172" s="41" t="str">
        <f t="shared" si="110"/>
        <v/>
      </c>
      <c r="Z172" s="40" t="str" cm="1">
        <f t="array" ref="Z172">IF($AI172="","",IF(LEFT($AI172,2)="C|",IF($C172="","",SUMPRODUCT($AP$5:$AP$302*($AO$5:$AO$302=$A172),$CB$5:$CB$302)),IF($AI172="CT",Z$13,IF(LEFT($AI172,3)="AM|",IF($C172="","",SUMPRODUCT($AP$5:$AP$302*($AN$5:$AN$302=$A172),$CB$5:$CB$302)),IF(LEFT($AI172,2)="S|",IF($AG172="","",INDEX($CB$5:$CB$302,$AH172)),IF($AI172="HDR","Makeup Sales",""))))))</f>
        <v/>
      </c>
      <c r="AA172" s="41" t="str">
        <f t="shared" si="107"/>
        <v/>
      </c>
      <c r="AB172" s="40" t="str" cm="1">
        <f t="array" ref="AB172">IF($AI172="","",IF(LEFT($AI172,2)="C|",IF($C172="","",SUMPRODUCT($AP$5:$AP$302*($AO$5:$AO$302=$A172),$CK$5:$CK$302)),IF($AI172="CT",AB$13,IF(LEFT($AI172,3)="AM|",IF($C172="","",SUMPRODUCT($AP$5:$AP$302*($AN$5:$AN$302=$A172),$CK$5:$CK$302)),IF(LEFT($AI172,2)="S|",IF($AG172="","",INDEX($CK$5:$CK$302,$AH172)),IF($AI172="HDR","Makeup Target",""))))))</f>
        <v/>
      </c>
      <c r="AC172" s="41" t="str">
        <f t="shared" si="111"/>
        <v/>
      </c>
      <c r="AD172" s="40" t="str" cm="1">
        <f t="array" ref="AD172">IF($AI172="","",IF(LEFT($AI172,2)="C|",IF($C172="","",SUMPRODUCT($AP$5:$AP$302*($AO$5:$AO$302=$A172),$CI$5:$CI$302)),IF($AI172="CT",AD$13,IF(LEFT($AI172,3)="AM|",IF($C172="","",SUMPRODUCT($AP$5:$AP$302*($AN$5:$AN$302=$A172),$CI$5:$CI$302)),IF(LEFT($AI172,2)="S|",IF($AG172="","",INDEX($CI$5:$CI$302,$AH172)),IF($AI172="HDR","Cosmetic Sales",""))))))</f>
        <v/>
      </c>
      <c r="AE172" s="8" t="str" cm="1">
        <f t="array" ref="AE172">IF($AI172="","",IF(LEFT($AI172,2)="C|",IF($C172="","",SUMPRODUCT($AP$5:$AP$302*($AO$5:$AO$302=$A172)*$AQ$5:$AQ$302,$AR$5:$AR$302)),IF($AI172="CT",AE$13,IF(LEFT($AI172,3)="AM|",IF($C172="","",SUMPRODUCT($AP$5:$AP$302*($AN$5:$AN$302=$A172)*$AQ$5:$AQ$302,$AR$5:$AR$302)),IF(LEFT($AI172,2)="S|",IF($AG172="","",IF(INDEX($AQ$5:$AQ$302,$AH172)=1,D172,0)),IF($AI172="HDR","LFL Sales",""))))))</f>
        <v/>
      </c>
      <c r="AF172" s="8" t="str" cm="1">
        <f t="array" ref="AF172">IF($AI172="","",IF(LEFT($AI172,2)="C|",IF($C172="","",SUMPRODUCT($AP$5:$AP$302*($AO$5:$AO$302=$A172)*$AQ$5:$AQ$302,$AS$5:$AS$302)),IF($AI172="CT",AF$13,IF(LEFT($AI172,3)="AM|",IF($C172="","",SUMPRODUCT($AP$5:$AP$302*($AN$5:$AN$302=$A172)*$AQ$5:$AQ$302,$AS$5:$AS$302)),IF(LEFT($AI172,2)="S|",IF($AG172="","",IF(INDEX($AQ$5:$AQ$302,$AH172)=1,P172,0)),IF($AI172="HDR","LFL Trans",""))))))</f>
        <v/>
      </c>
      <c r="AG172" s="8" t="str" cm="1">
        <f t="array" ref="AG172">IF($AI172="","",IF(LEFT($AI172,2)="C|","",IF($AI172="CT","",IF(LEFT($AI172,3)="AM|","",IF(LEFT($AI172,2)="S|",IF($AH172="","",IF(INDEX($AP$5:$AP$302,$AH172)=1,1,"")),IF($AI172="HDR","Show",""))))))</f>
        <v/>
      </c>
      <c r="AH172" s="8" t="str">
        <f t="shared" si="108"/>
        <v/>
      </c>
      <c r="AI172" s="8"/>
      <c r="AN172" s="8" t="str" cm="1">
        <f t="array" ref="AN172">IF($AW172="","",_xlfn.LET(_xlpm.sa,IFERROR(TRIM(INDEX('Sales and count'!$D$4:$D$300,$BF172)&amp;""),""),_xlpm.ta,IFERROR(TRIM(INDEX('TY Sales Target'!$F$5:$F$300,$BG172)&amp;""),""),IF(AND(_xlpm.sa&lt;&gt;"",LEFT(_xlpm.sa,1)&lt;&gt;"#",_xlpm.sa&lt;&gt;"0"),_xlpm.sa,IF(AND(_xlpm.ta&lt;&gt;"",LEFT(_xlpm.ta,1)&lt;&gt;"#",_xlpm.ta&lt;&gt;"0"),_xlpm.ta,IF(ISNUMBER($BG172),"Unassigned","")))))</f>
        <v/>
      </c>
      <c r="AO172" s="8" t="str" cm="1">
        <f t="array" ref="AO172">IF($AW172="","",_xlfn.LET(_xlpm.sa,IFERROR(TRIM(INDEX('Sales and count'!$C$4:$C$300,$BF172)&amp;""),""),_xlpm.ta,IFERROR(TRIM(INDEX('TY Sales Target'!$D$5:$D$300,$BG172)&amp;""),""),IF(AND(_xlpm.sa&lt;&gt;"",LEFT(_xlpm.sa,1)&lt;&gt;"#",_xlpm.sa&lt;&gt;"0"),_xlpm.sa,IF(AND(_xlpm.ta&lt;&gt;"",LEFT(_xlpm.ta,1)&lt;&gt;"#",_xlpm.ta&lt;&gt;"0"),_xlpm.ta,""))))</f>
        <v/>
      </c>
      <c r="AP172" s="8">
        <f t="shared" si="93"/>
        <v>0</v>
      </c>
      <c r="AQ172" s="8">
        <f t="shared" si="94"/>
        <v>0</v>
      </c>
      <c r="AR172" s="8" cm="1">
        <f t="array" ref="AR172">IF($BF172="",0,_xlfn.LET(_xlpm.d,IFERROR(--'Sales and count'!$G$2:$CC$2,0),SUMPRODUCT(('Sales and count'!$G$3:$CC$3="Total")*(_xlpm.d&gt;=$U$4)*(_xlpm.d&lt;=$U$5),INDEX('Sales and count'!$G$4:$CC$300,$BF172,0))))</f>
        <v>0</v>
      </c>
      <c r="AS172" s="8" cm="1">
        <f t="array" ref="AS172">IF($BF172="",0,_xlfn.LET(_xlpm.d,IFERROR(--'Sales and count'!$F$2:$CB$2,0),SUMPRODUCT(('Sales and count'!$G$3:$CC$3="Transactions")*(_xlpm.d&gt;=$U$4)*(_xlpm.d&lt;=$U$5),INDEX('Sales and count'!$G$4:$CC$300,$BF172,0))))</f>
        <v>0</v>
      </c>
      <c r="AT172" s="8" cm="1">
        <f t="array" ref="AT172">IF($AW172="",0,SUMPRODUCT((TRIM('LY Sales '!$B$5:$B$200)=$AW172)*('LY Sales '!$C$2:$AG$2&gt;=EDATE($U$4,-12))*('LY Sales '!$C$2:$AG$2&lt;=EDATE($U$5,-12)),'LY Sales '!$C$5:$AG$200))</f>
        <v>0</v>
      </c>
      <c r="AU172" s="8" cm="1">
        <f t="array" ref="AU172">IF($AW172="",0,SUMPRODUCT((TRIM('LY Transaction'!$B$5:$B$200)=$AW172)*('LY Transaction'!$C$2:$AG$2&gt;=EDATE($U$4,-12))*('LY Transaction'!$C$2:$AG$2&lt;=EDATE($U$5,-12)),'LY Transaction'!$C$5:$AG$200))</f>
        <v>0</v>
      </c>
      <c r="AV172" s="8" cm="1">
        <f t="array" ref="AV172">IF(NOT(ISNUMBER($BG172)),0,SUMPRODUCT(('TY Sales Target'!$K$2:$AO$2&gt;=$U$4)*('TY Sales Target'!$K$2:$AO$2&lt;=$U$5),INDEX('TY Sales Target'!$K$5:$AO$300,$BG172,0)))</f>
        <v>0</v>
      </c>
      <c r="AW172" s="8" t="str" cm="1">
        <f t="array" ref="AW172">IFERROR(INDEX(_xlfn.ANCHORARRAY($BR$5),ROWS($AW$5:AW172)),"")</f>
        <v/>
      </c>
      <c r="BB172" cm="1">
        <f t="array" ref="BB172">IF($AW172="",0,SUMPRODUCT((TRIM(Footfall!$B$5:$B$301)=$AW172)*(Footfall!$C$1:$BZ$1&gt;=$U$4)*(Footfall!$C$2:$BZ$2&lt;=$U$5)*(Footfall!$C$1:$BZ$1&lt;&gt;""),Footfall!$C$5:$BZ$301))</f>
        <v>0</v>
      </c>
      <c r="BC172" cm="1">
        <f t="array" ref="BC172">IF(OR($BB172&lt;=0,$BD$1="",$BF172=""),0,_xlfn.LET(_xlpm.d,IFERROR(--'Sales and count'!$F$2:$CB$2,0),SUMPRODUCT(('Sales and count'!$G$3:$CC$3="Transactions")*(_xlpm.d&gt;=$BD$1)*(_xlpm.d&lt;=$BD$2),INDEX('Sales and count'!$G$4:$CC$300,$BF172,0))))</f>
        <v>0</v>
      </c>
      <c r="BF172" t="str" cm="1">
        <f t="array" ref="BF172">IF($AW172="","",IFERROR(MATCH($AW172,TRIM('Sales and count'!$A$4:$A$300&amp;""),0),""))</f>
        <v/>
      </c>
      <c r="BG172" t="str" cm="1">
        <f t="array" ref="BG172">IF($AW172="","",IFERROR(MATCH(IFERROR(_xlfn.XLOOKUP($AW172,$BT$5:$BT$22,$BU$5:$BU$22),$AW172),TRIM('TY Sales Target'!$B$5:$B$300&amp;""),0),""))</f>
        <v/>
      </c>
      <c r="BH172" t="str" cm="1">
        <f t="array" ref="BH172">IF(ISNUMBER($BG172),_xlfn.LET(_xlpm.p,TRIM(INDEX('TY Sales Target'!$I$5:$I$300,$BG172)&amp;""),IF(_xlpm.p="","Not set",_xlpm.p)),"Not set")</f>
        <v>Not set</v>
      </c>
      <c r="BI172" cm="1">
        <f t="array" ref="BI172">IF($BF172="",0,_xlfn.LET(_xlpm.d,IFERROR(--'Sales and count'!$G$2:$CC$2,0),SUMPRODUCT(('Sales and count'!$G$3:$CC$3="Total")*(_xlpm.d&gt;=$BZ$5)*(_xlpm.d&lt;=$BZ$6),INDEX('Sales and count'!$G$4:$CC$300,$BF172,0))))</f>
        <v>0</v>
      </c>
      <c r="BJ172" cm="1">
        <f t="array" ref="BJ172">IF($AW172="",0,SUMPRODUCT((TRIM('LY Sales '!$B$5:$B$200)=$AW172)*('LY Sales '!$C$2:$AG$2&gt;=EDATE($BZ$5,-12))*('LY Sales '!$C$2:$AG$2&lt;=EDATE($BZ$6,-12)),'LY Sales '!$C$5:$AG$200))</f>
        <v>0</v>
      </c>
      <c r="BK172" cm="1">
        <f t="array" ref="BK172">IF($AW172="",0,SUMPRODUCT((TRIM('LY Sales '!$B$5:$B$200)=$AW172)*('LY Sales '!$C$2:$AG$2&gt;=EDATE($BZ$5,-12))*('LY Sales '!$C$2:$AG$2&lt;=EDATE($BZ$7,-12)),'LY Sales '!$C$5:$AG$200))</f>
        <v>0</v>
      </c>
      <c r="BL172" cm="1">
        <f t="array" ref="BL172">IF($AW172="",0,SUMPRODUCT((TRIM('LY Sales '!$B$5:$B$200)=$AW172)*('LY Sales '!$C$2:$AG$2&gt;=EDATE($BZ$5,-12))*('LY Sales '!$C$2:$AG$2&lt;=EDATE($BZ$6,-12))*('LY Sales '!$C$5:$AG$200&gt;0)))</f>
        <v>0</v>
      </c>
      <c r="BM172" cm="1">
        <f t="array" ref="BM172">IF(NOT(ISNUMBER($BG172)),0,SUMPRODUCT(('TY Sales Target'!$K$2:$AO$2&gt;=$BZ$5)*('TY Sales Target'!$K$2:$AO$2&lt;=$BZ$6),INDEX('TY Sales Target'!$K$5:$AO$300,$BG172,0)))</f>
        <v>0</v>
      </c>
      <c r="BN172" cm="1">
        <f t="array" ref="BN172">IF(NOT(ISNUMBER($BG172)),0,SUMPRODUCT(('TY Sales Target'!$K$2:$AO$2&gt;=$BZ$5)*('TY Sales Target'!$K$2:$AO$2&lt;=$BZ$7),INDEX('TY Sales Target'!$K$5:$AO$300,$BG172,0)))</f>
        <v>0</v>
      </c>
      <c r="BO172" cm="1">
        <f t="array" ref="BO172">IF($AW172="",0,IFERROR(_xlfn.SWITCH($BP172,"LY trend",$BI172*$BK172/$BJ172,"Target curve",$BI172*$BN172/$BM172,"Run rate",$BI172/$BZ$8*$BZ$9,0),0))</f>
        <v>0</v>
      </c>
      <c r="BP172" t="str">
        <f t="shared" si="92"/>
        <v/>
      </c>
      <c r="CB172" cm="1">
        <f t="array" ref="CB172">IF($AW172="",0,_xlfn.LET(_xlpm.k,IFERROR(_xlfn.XLOOKUP($AW172,$CD$6:$CD$21,$CE$6:$CE$21),$AW172),SUMPRODUCT((TRIM('Makeup '!$A$2:$A$300&amp;"")=_xlpm.k)*1,IFERROR('Makeup '!$F$2:$F$300*1,0))))</f>
        <v>0</v>
      </c>
      <c r="CF172" t="str" cm="1">
        <f t="array" ref="CF172">IF($AW172="","",_xlfn.LET(_xlpm.c,IFERROR(TRIM(INDEX('Sales and count'!$B$4:$B$300,$BF172)&amp;""),""),IF(OR(_xlpm.c="",_xlpm.c="0",LEFT(_xlpm.c,1)="#"),"Not set",_xlpm.c)))</f>
        <v/>
      </c>
      <c r="CH172" cm="1">
        <f t="array" ref="CH172">IF($AW172="",0,_xlfn.LET(_xlpm.k,IFERROR(_xlfn.XLOOKUP($AW172,$CD$6:$CD$21,$CE$6:$CE$21),$AW172),--(SUMPRODUCT((TRIM('Makeup '!$A$2:$A$300&amp;"")=_xlpm.k)*ISNUMBER('Makeup '!$F$2:$F$300))&gt;0)))</f>
        <v>0</v>
      </c>
      <c r="CI172">
        <f t="shared" si="95"/>
        <v>0</v>
      </c>
      <c r="CJ172" cm="1">
        <f t="array" ref="CJ172">IF($AW172="",0,--(SUMPRODUCT(--(TRIM(Footfall!$B$5:$B$301)=$AW172))&gt;0))</f>
        <v>0</v>
      </c>
      <c r="CK172" s="8" cm="1">
        <f t="array" ref="CK172">IF($AW172="",0,_xlfn.LET(_xlpm.r,IFERROR(MATCH(IFERROR(_xlfn.XLOOKUP($AW172,$BT$5:$BT$22,$BU$5:$BU$22),$AW172),TRIM('TY Beauty Target'!$B$5:$B$300&amp;""),0),""),IF(ISNUMBER(_xlpm.r),SUMPRODUCT(('TY Beauty Target'!$L$2:$AP$2&gt;=$U$4)*('TY Beauty Target'!$L$2:$AP$2&lt;=$U$5),INDEX('TY Beauty Target'!$L$5:$AP$300,_xlpm.r,0)),0)))</f>
        <v>0</v>
      </c>
    </row>
    <row r="173" spans="1:89" ht="15" customHeight="1" x14ac:dyDescent="0.25">
      <c r="A173" s="38" t="str">
        <f t="shared" si="96"/>
        <v/>
      </c>
      <c r="B173" s="43" t="str" cm="1">
        <f t="array" ref="B173">IF($AI173="","",IF(LEFT($AI173,2)="C|",IF($C173="","",_xlfn.TEXTJOIN(", ",TRUE,_xlfn.UNIQUE(_xlfn._xlws.FILTER($AN$5:$AN$302,($AP$5:$AP$302=1)*($AO$5:$AO$302=$A173))))),IF($AI173="CT",B$13,IF(LEFT($AI173,3)="AM|",IF($C173="","",ROWS(_xlfn.UNIQUE(_xlfn._xlws.FILTER($AO$5:$AO$302,($AP$5:$AP$302=1)*($AN$5:$AN$302=$A173))))),IF(LEFT($AI173,2)="S|",IF($AG173="","",INDEX($AO$5:$AO$302,$AH173)),IF($AI173="HDR","City",""))))))</f>
        <v/>
      </c>
      <c r="C173" s="39" t="str" cm="1">
        <f t="array" ref="C173">IF($AI173="","",IF(LEFT($AI173,2)="C|",_xlfn.LET(_xlpm.n,SUMPRODUCT($AP$5:$AP$302*($AO$5:$AO$302=$A173)),IF(_xlpm.n=0,"",_xlpm.n)),IF($AI173="CT",C$13,IF(LEFT($AI173,3)="AM|",_xlfn.LET(_xlpm.n,SUMPRODUCT($AP$5:$AP$302*($AN$5:$AN$302=$A173)),IF(_xlpm.n=0,"",_xlpm.n)),IF(LEFT($AI173,2)="S|","",IF($AI173="HDR","# Stores",""))))))</f>
        <v/>
      </c>
      <c r="D173" s="40" t="str" cm="1">
        <f t="array" ref="D173">IF($AI173="","",IF(LEFT($AI173,2)="C|",IF($C173="","",SUMPRODUCT($AP$5:$AP$302*($AO$5:$AO$302=$A173),$AR$5:$AR$302)),IF($AI173="CT",D$13,IF(LEFT($AI173,3)="AM|",IF($C173="","",SUMPRODUCT($AP$5:$AP$302*($AN$5:$AN$302=$A173),$AR$5:$AR$302)),IF(LEFT($AI173,2)="S|",IF($AG173="","",INDEX($AR$5:$AR$302,$AH173)),IF($AI173="HDR","Sales TY",""))))))</f>
        <v/>
      </c>
      <c r="E173" s="40" t="str" cm="1">
        <f t="array" ref="E173">IF($AI173="","",IF(LEFT($AI173,2)="C|",IF($C173="","",SUMPRODUCT($AP$5:$AP$302*($AO$5:$AO$302=$A173),$AT$5:$AT$302)),IF($AI173="CT",E$13,IF(LEFT($AI173,3)="AM|",IF($C173="","",SUMPRODUCT($AP$5:$AP$302*($AN$5:$AN$302=$A173),$AT$5:$AT$302)),IF(LEFT($AI173,2)="S|",IF($AG173="","",INDEX($AT$5:$AT$302,$AH173)),IF($AI173="HDR","Sales LY",""))))))</f>
        <v/>
      </c>
      <c r="F173" s="41" t="str">
        <f t="shared" si="97"/>
        <v/>
      </c>
      <c r="G173" s="41" t="str">
        <f t="shared" si="98"/>
        <v/>
      </c>
      <c r="H173" s="40" t="str" cm="1">
        <f t="array" ref="H173">IF($AI173="","",IF(LEFT($AI173,2)="C|",IF($C173="","",SUMPRODUCT($AP$5:$AP$302*($AO$5:$AO$302=$A173),$AV$5:$AV$302)),IF($AI173="CT",H$13,IF(LEFT($AI173,3)="AM|",IF($C173="","",SUMPRODUCT($AP$5:$AP$302*($AN$5:$AN$302=$A173),$AV$5:$AV$302)),IF(LEFT($AI173,2)="S|",IF($AG173="","",INDEX($AV$5:$AV$302,$AH173)),IF($AI173="HDR","Target",""))))))</f>
        <v/>
      </c>
      <c r="I173" s="41" t="str">
        <f t="shared" si="99"/>
        <v/>
      </c>
      <c r="J173" s="40" t="str">
        <f t="shared" si="100"/>
        <v/>
      </c>
      <c r="K173" s="41" t="str">
        <f t="shared" si="101"/>
        <v/>
      </c>
      <c r="L173" s="40" t="str" cm="1">
        <f t="array" ref="L173">IF($AI173="","",IF(LEFT($AI173,2)="C|",IF($C173="","",SUMPRODUCT($AP$5:$AP$302*($AO$5:$AO$302=$A173),$BN$5:$BN$302)),IF($AI173="CT",L$13,IF(LEFT($AI173,3)="AM|",IF($C173="","",SUMPRODUCT($AP$5:$AP$302*($AN$5:$AN$302=$A173),$BN$5:$BN$302)),IF(LEFT($AI173,2)="S|",IF($AG173="","",INDEX($BN$5:$BN$302,$AH173)),IF($AI173="HDR","Month Target",""))))))</f>
        <v/>
      </c>
      <c r="M173" s="40" t="str" cm="1">
        <f t="array" ref="M173">IF($AI173="","",IF(LEFT($AI173,2)="C|",IF($C173="","",SUMPRODUCT($AP$5:$AP$302*($AO$5:$AO$302=$A173),$BO$5:$BO$302)),IF($AI173="CT",M$13,IF(LEFT($AI173,3)="AM|",IF($C173="","",SUMPRODUCT($AP$5:$AP$302*($AN$5:$AN$302=$A173),$BO$5:$BO$302)),IF(LEFT($AI173,2)="S|",IF($AG173="","",INDEX($BO$5:$BO$302,$AH173)),IF($AI173="HDR","Projected Close",""))))))</f>
        <v/>
      </c>
      <c r="N173" s="41" t="str">
        <f t="shared" si="109"/>
        <v/>
      </c>
      <c r="O173" s="41" t="str" cm="1">
        <f t="array" ref="O173">IF($AI173="HDR","Proj. vs LY",IF(OR($AI173="",M173=""),"",_xlfn.LET(_xlpm.ly,IF(LEFT($AI173,2)="C|",SUMPRODUCT($AP$5:$AP$302*($AO$5:$AO$302=$A173),$BK$5:$BK$302),IF($AI173="CT",SUMPRODUCT($AP$5:$AP$302,$BK$5:$BK$302),IF(LEFT($AI173,3)="AM|",SUMPRODUCT($AP$5:$AP$302*($AN$5:$AN$302=$A173),$BK$5:$BK$302),IF(LEFT($AI173,2)="S|",INDEX($BK$5:$BK$302,$AH173),0)))),IFERROR(M173/_xlpm.ly-1,""))))</f>
        <v/>
      </c>
      <c r="P173" s="40" t="str" cm="1">
        <f t="array" ref="P173">IF($AI173="","",IF(LEFT($AI173,2)="C|",IF($C173="","",SUMPRODUCT($AP$5:$AP$302*($AO$5:$AO$302=$A173),$AS$5:$AS$302)),IF($AI173="CT",P$13,IF(LEFT($AI173,3)="AM|",IF($C173="","",SUMPRODUCT($AP$5:$AP$302*($AN$5:$AN$302=$A173),$AS$5:$AS$302)),IF(LEFT($AI173,2)="S|",IF($AG173="","",INDEX($AS$5:$AS$302,$AH173)),IF($AI173="HDR","Trans TY",""))))))</f>
        <v/>
      </c>
      <c r="Q173" s="40" t="str" cm="1">
        <f t="array" ref="Q173">IF($AI173="","",IF(LEFT($AI173,2)="C|",IF($C173="","",SUMPRODUCT($AP$5:$AP$302*($AO$5:$AO$302=$A173),$AU$5:$AU$302)),IF($AI173="CT",Q$13,IF(LEFT($AI173,3)="AM|",IF($C173="","",SUMPRODUCT($AP$5:$AP$302*($AN$5:$AN$302=$A173),$AU$5:$AU$302)),IF(LEFT($AI173,2)="S|",IF($AG173="","",INDEX($AU$5:$AU$302,$AH173)),IF($AI173="HDR","Trans LY",""))))))</f>
        <v/>
      </c>
      <c r="R173" s="41" t="str">
        <f t="shared" si="102"/>
        <v/>
      </c>
      <c r="S173" s="41" t="str">
        <f t="shared" si="103"/>
        <v/>
      </c>
      <c r="T173" s="42" t="str">
        <f t="shared" si="104"/>
        <v/>
      </c>
      <c r="U173" s="42" t="str">
        <f t="shared" si="105"/>
        <v/>
      </c>
      <c r="V173" s="41" t="str">
        <f t="shared" si="106"/>
        <v/>
      </c>
      <c r="W173" s="40" t="str" cm="1">
        <f t="array" ref="W173">IF($AI173="","",IF(LEFT($AI173,2)="C|",_xlfn.LET(_xlpm.n,SUMPRODUCT($AP$5:$AP$302*($AO$5:$AO$302=$A173),$BB$5:$BB$302),IF(_xlpm.n=0,"",_xlpm.n)),IF($AI173="CT",W$13,IF(LEFT($AI173,3)="AM|",_xlfn.LET(_xlpm.n,SUMPRODUCT($AP$5:$AP$302*($AN$5:$AN$302=$A173),$BB$5:$BB$302),IF(_xlpm.n=0,"",_xlpm.n)),IF(LEFT($AI173,2)="S|",IF($AG173="","",_xlfn.LET(_xlpm.n,INDEX($BB$5:$BB$302,$AH173),IF(_xlpm.n=0,"",_xlpm.n))),IF($AI173="HDR","Footfall",""))))))</f>
        <v/>
      </c>
      <c r="X173" s="40" t="str" cm="1">
        <f t="array" ref="X173">IF($AI173="","",IF($AI173="HDR","Trans (FF stores)",IF(W173="","",IF(LEFT($AI173,2)="C|",SUMPRODUCT($AP$5:$AP$302*($AO$5:$AO$302=$A173),$BC$5:$BC$302),IF($AI173="CT",X$13,IF(LEFT($AI173,3)="AM|",SUMPRODUCT($AP$5:$AP$302*($AN$5:$AN$302=$A173),$BC$5:$BC$302),IF(LEFT($AI173,2)="S|",INDEX($BC$5:$BC$302,$AH173),"")))))))</f>
        <v/>
      </c>
      <c r="Y173" s="41" t="str">
        <f t="shared" si="110"/>
        <v/>
      </c>
      <c r="Z173" s="40" t="str" cm="1">
        <f t="array" ref="Z173">IF($AI173="","",IF(LEFT($AI173,2)="C|",IF($C173="","",SUMPRODUCT($AP$5:$AP$302*($AO$5:$AO$302=$A173),$CB$5:$CB$302)),IF($AI173="CT",Z$13,IF(LEFT($AI173,3)="AM|",IF($C173="","",SUMPRODUCT($AP$5:$AP$302*($AN$5:$AN$302=$A173),$CB$5:$CB$302)),IF(LEFT($AI173,2)="S|",IF($AG173="","",INDEX($CB$5:$CB$302,$AH173)),IF($AI173="HDR","Makeup Sales",""))))))</f>
        <v/>
      </c>
      <c r="AA173" s="41" t="str">
        <f t="shared" si="107"/>
        <v/>
      </c>
      <c r="AB173" s="40" t="str" cm="1">
        <f t="array" ref="AB173">IF($AI173="","",IF(LEFT($AI173,2)="C|",IF($C173="","",SUMPRODUCT($AP$5:$AP$302*($AO$5:$AO$302=$A173),$CK$5:$CK$302)),IF($AI173="CT",AB$13,IF(LEFT($AI173,3)="AM|",IF($C173="","",SUMPRODUCT($AP$5:$AP$302*($AN$5:$AN$302=$A173),$CK$5:$CK$302)),IF(LEFT($AI173,2)="S|",IF($AG173="","",INDEX($CK$5:$CK$302,$AH173)),IF($AI173="HDR","Makeup Target",""))))))</f>
        <v/>
      </c>
      <c r="AC173" s="41" t="str">
        <f t="shared" si="111"/>
        <v/>
      </c>
      <c r="AD173" s="40" t="str" cm="1">
        <f t="array" ref="AD173">IF($AI173="","",IF(LEFT($AI173,2)="C|",IF($C173="","",SUMPRODUCT($AP$5:$AP$302*($AO$5:$AO$302=$A173),$CI$5:$CI$302)),IF($AI173="CT",AD$13,IF(LEFT($AI173,3)="AM|",IF($C173="","",SUMPRODUCT($AP$5:$AP$302*($AN$5:$AN$302=$A173),$CI$5:$CI$302)),IF(LEFT($AI173,2)="S|",IF($AG173="","",INDEX($CI$5:$CI$302,$AH173)),IF($AI173="HDR","Cosmetic Sales",""))))))</f>
        <v/>
      </c>
      <c r="AE173" s="8" t="str" cm="1">
        <f t="array" ref="AE173">IF($AI173="","",IF(LEFT($AI173,2)="C|",IF($C173="","",SUMPRODUCT($AP$5:$AP$302*($AO$5:$AO$302=$A173)*$AQ$5:$AQ$302,$AR$5:$AR$302)),IF($AI173="CT",AE$13,IF(LEFT($AI173,3)="AM|",IF($C173="","",SUMPRODUCT($AP$5:$AP$302*($AN$5:$AN$302=$A173)*$AQ$5:$AQ$302,$AR$5:$AR$302)),IF(LEFT($AI173,2)="S|",IF($AG173="","",IF(INDEX($AQ$5:$AQ$302,$AH173)=1,D173,0)),IF($AI173="HDR","LFL Sales",""))))))</f>
        <v/>
      </c>
      <c r="AF173" s="8" t="str" cm="1">
        <f t="array" ref="AF173">IF($AI173="","",IF(LEFT($AI173,2)="C|",IF($C173="","",SUMPRODUCT($AP$5:$AP$302*($AO$5:$AO$302=$A173)*$AQ$5:$AQ$302,$AS$5:$AS$302)),IF($AI173="CT",AF$13,IF(LEFT($AI173,3)="AM|",IF($C173="","",SUMPRODUCT($AP$5:$AP$302*($AN$5:$AN$302=$A173)*$AQ$5:$AQ$302,$AS$5:$AS$302)),IF(LEFT($AI173,2)="S|",IF($AG173="","",IF(INDEX($AQ$5:$AQ$302,$AH173)=1,P173,0)),IF($AI173="HDR","LFL Trans",""))))))</f>
        <v/>
      </c>
      <c r="AG173" s="8" t="str" cm="1">
        <f t="array" ref="AG173">IF($AI173="","",IF(LEFT($AI173,2)="C|","",IF($AI173="CT","",IF(LEFT($AI173,3)="AM|","",IF(LEFT($AI173,2)="S|",IF($AH173="","",IF(INDEX($AP$5:$AP$302,$AH173)=1,1,"")),IF($AI173="HDR","Show",""))))))</f>
        <v/>
      </c>
      <c r="AH173" s="8" t="str">
        <f t="shared" si="108"/>
        <v/>
      </c>
      <c r="AI173" s="8"/>
      <c r="AN173" s="8" t="str" cm="1">
        <f t="array" ref="AN173">IF($AW173="","",_xlfn.LET(_xlpm.sa,IFERROR(TRIM(INDEX('Sales and count'!$D$4:$D$300,$BF173)&amp;""),""),_xlpm.ta,IFERROR(TRIM(INDEX('TY Sales Target'!$F$5:$F$300,$BG173)&amp;""),""),IF(AND(_xlpm.sa&lt;&gt;"",LEFT(_xlpm.sa,1)&lt;&gt;"#",_xlpm.sa&lt;&gt;"0"),_xlpm.sa,IF(AND(_xlpm.ta&lt;&gt;"",LEFT(_xlpm.ta,1)&lt;&gt;"#",_xlpm.ta&lt;&gt;"0"),_xlpm.ta,IF(ISNUMBER($BG173),"Unassigned","")))))</f>
        <v/>
      </c>
      <c r="AO173" s="8" t="str" cm="1">
        <f t="array" ref="AO173">IF($AW173="","",_xlfn.LET(_xlpm.sa,IFERROR(TRIM(INDEX('Sales and count'!$C$4:$C$300,$BF173)&amp;""),""),_xlpm.ta,IFERROR(TRIM(INDEX('TY Sales Target'!$D$5:$D$300,$BG173)&amp;""),""),IF(AND(_xlpm.sa&lt;&gt;"",LEFT(_xlpm.sa,1)&lt;&gt;"#",_xlpm.sa&lt;&gt;"0"),_xlpm.sa,IF(AND(_xlpm.ta&lt;&gt;"",LEFT(_xlpm.ta,1)&lt;&gt;"#",_xlpm.ta&lt;&gt;"0"),_xlpm.ta,""))))</f>
        <v/>
      </c>
      <c r="AP173" s="8">
        <f t="shared" si="93"/>
        <v>0</v>
      </c>
      <c r="AQ173" s="8">
        <f t="shared" si="94"/>
        <v>0</v>
      </c>
      <c r="AR173" s="8" cm="1">
        <f t="array" ref="AR173">IF($BF173="",0,_xlfn.LET(_xlpm.d,IFERROR(--'Sales and count'!$G$2:$CC$2,0),SUMPRODUCT(('Sales and count'!$G$3:$CC$3="Total")*(_xlpm.d&gt;=$U$4)*(_xlpm.d&lt;=$U$5),INDEX('Sales and count'!$G$4:$CC$300,$BF173,0))))</f>
        <v>0</v>
      </c>
      <c r="AS173" s="8" cm="1">
        <f t="array" ref="AS173">IF($BF173="",0,_xlfn.LET(_xlpm.d,IFERROR(--'Sales and count'!$F$2:$CB$2,0),SUMPRODUCT(('Sales and count'!$G$3:$CC$3="Transactions")*(_xlpm.d&gt;=$U$4)*(_xlpm.d&lt;=$U$5),INDEX('Sales and count'!$G$4:$CC$300,$BF173,0))))</f>
        <v>0</v>
      </c>
      <c r="AT173" s="8" cm="1">
        <f t="array" ref="AT173">IF($AW173="",0,SUMPRODUCT((TRIM('LY Sales '!$B$5:$B$200)=$AW173)*('LY Sales '!$C$2:$AG$2&gt;=EDATE($U$4,-12))*('LY Sales '!$C$2:$AG$2&lt;=EDATE($U$5,-12)),'LY Sales '!$C$5:$AG$200))</f>
        <v>0</v>
      </c>
      <c r="AU173" s="8" cm="1">
        <f t="array" ref="AU173">IF($AW173="",0,SUMPRODUCT((TRIM('LY Transaction'!$B$5:$B$200)=$AW173)*('LY Transaction'!$C$2:$AG$2&gt;=EDATE($U$4,-12))*('LY Transaction'!$C$2:$AG$2&lt;=EDATE($U$5,-12)),'LY Transaction'!$C$5:$AG$200))</f>
        <v>0</v>
      </c>
      <c r="AV173" s="8" cm="1">
        <f t="array" ref="AV173">IF(NOT(ISNUMBER($BG173)),0,SUMPRODUCT(('TY Sales Target'!$K$2:$AO$2&gt;=$U$4)*('TY Sales Target'!$K$2:$AO$2&lt;=$U$5),INDEX('TY Sales Target'!$K$5:$AO$300,$BG173,0)))</f>
        <v>0</v>
      </c>
      <c r="AW173" s="8" t="str" cm="1">
        <f t="array" ref="AW173">IFERROR(INDEX(_xlfn.ANCHORARRAY($BR$5),ROWS($AW$5:AW173)),"")</f>
        <v/>
      </c>
      <c r="BB173" cm="1">
        <f t="array" ref="BB173">IF($AW173="",0,SUMPRODUCT((TRIM(Footfall!$B$5:$B$301)=$AW173)*(Footfall!$C$1:$BZ$1&gt;=$U$4)*(Footfall!$C$2:$BZ$2&lt;=$U$5)*(Footfall!$C$1:$BZ$1&lt;&gt;""),Footfall!$C$5:$BZ$301))</f>
        <v>0</v>
      </c>
      <c r="BC173" cm="1">
        <f t="array" ref="BC173">IF(OR($BB173&lt;=0,$BD$1="",$BF173=""),0,_xlfn.LET(_xlpm.d,IFERROR(--'Sales and count'!$F$2:$CB$2,0),SUMPRODUCT(('Sales and count'!$G$3:$CC$3="Transactions")*(_xlpm.d&gt;=$BD$1)*(_xlpm.d&lt;=$BD$2),INDEX('Sales and count'!$G$4:$CC$300,$BF173,0))))</f>
        <v>0</v>
      </c>
      <c r="BF173" t="str" cm="1">
        <f t="array" ref="BF173">IF($AW173="","",IFERROR(MATCH($AW173,TRIM('Sales and count'!$A$4:$A$300&amp;""),0),""))</f>
        <v/>
      </c>
      <c r="BG173" t="str" cm="1">
        <f t="array" ref="BG173">IF($AW173="","",IFERROR(MATCH(IFERROR(_xlfn.XLOOKUP($AW173,$BT$5:$BT$22,$BU$5:$BU$22),$AW173),TRIM('TY Sales Target'!$B$5:$B$300&amp;""),0),""))</f>
        <v/>
      </c>
      <c r="BH173" t="str" cm="1">
        <f t="array" ref="BH173">IF(ISNUMBER($BG173),_xlfn.LET(_xlpm.p,TRIM(INDEX('TY Sales Target'!$I$5:$I$300,$BG173)&amp;""),IF(_xlpm.p="","Not set",_xlpm.p)),"Not set")</f>
        <v>Not set</v>
      </c>
      <c r="BI173" cm="1">
        <f t="array" ref="BI173">IF($BF173="",0,_xlfn.LET(_xlpm.d,IFERROR(--'Sales and count'!$G$2:$CC$2,0),SUMPRODUCT(('Sales and count'!$G$3:$CC$3="Total")*(_xlpm.d&gt;=$BZ$5)*(_xlpm.d&lt;=$BZ$6),INDEX('Sales and count'!$G$4:$CC$300,$BF173,0))))</f>
        <v>0</v>
      </c>
      <c r="BJ173" cm="1">
        <f t="array" ref="BJ173">IF($AW173="",0,SUMPRODUCT((TRIM('LY Sales '!$B$5:$B$200)=$AW173)*('LY Sales '!$C$2:$AG$2&gt;=EDATE($BZ$5,-12))*('LY Sales '!$C$2:$AG$2&lt;=EDATE($BZ$6,-12)),'LY Sales '!$C$5:$AG$200))</f>
        <v>0</v>
      </c>
      <c r="BK173" cm="1">
        <f t="array" ref="BK173">IF($AW173="",0,SUMPRODUCT((TRIM('LY Sales '!$B$5:$B$200)=$AW173)*('LY Sales '!$C$2:$AG$2&gt;=EDATE($BZ$5,-12))*('LY Sales '!$C$2:$AG$2&lt;=EDATE($BZ$7,-12)),'LY Sales '!$C$5:$AG$200))</f>
        <v>0</v>
      </c>
      <c r="BL173" cm="1">
        <f t="array" ref="BL173">IF($AW173="",0,SUMPRODUCT((TRIM('LY Sales '!$B$5:$B$200)=$AW173)*('LY Sales '!$C$2:$AG$2&gt;=EDATE($BZ$5,-12))*('LY Sales '!$C$2:$AG$2&lt;=EDATE($BZ$6,-12))*('LY Sales '!$C$5:$AG$200&gt;0)))</f>
        <v>0</v>
      </c>
      <c r="BM173" cm="1">
        <f t="array" ref="BM173">IF(NOT(ISNUMBER($BG173)),0,SUMPRODUCT(('TY Sales Target'!$K$2:$AO$2&gt;=$BZ$5)*('TY Sales Target'!$K$2:$AO$2&lt;=$BZ$6),INDEX('TY Sales Target'!$K$5:$AO$300,$BG173,0)))</f>
        <v>0</v>
      </c>
      <c r="BN173" cm="1">
        <f t="array" ref="BN173">IF(NOT(ISNUMBER($BG173)),0,SUMPRODUCT(('TY Sales Target'!$K$2:$AO$2&gt;=$BZ$5)*('TY Sales Target'!$K$2:$AO$2&lt;=$BZ$7),INDEX('TY Sales Target'!$K$5:$AO$300,$BG173,0)))</f>
        <v>0</v>
      </c>
      <c r="BO173" cm="1">
        <f t="array" ref="BO173">IF($AW173="",0,IFERROR(_xlfn.SWITCH($BP173,"LY trend",$BI173*$BK173/$BJ173,"Target curve",$BI173*$BN173/$BM173,"Run rate",$BI173/$BZ$8*$BZ$9,0),0))</f>
        <v>0</v>
      </c>
      <c r="BP173" t="str">
        <f t="shared" si="92"/>
        <v/>
      </c>
      <c r="CB173" cm="1">
        <f t="array" ref="CB173">IF($AW173="",0,_xlfn.LET(_xlpm.k,IFERROR(_xlfn.XLOOKUP($AW173,$CD$6:$CD$21,$CE$6:$CE$21),$AW173),SUMPRODUCT((TRIM('Makeup '!$A$2:$A$300&amp;"")=_xlpm.k)*1,IFERROR('Makeup '!$F$2:$F$300*1,0))))</f>
        <v>0</v>
      </c>
      <c r="CF173" t="str" cm="1">
        <f t="array" ref="CF173">IF($AW173="","",_xlfn.LET(_xlpm.c,IFERROR(TRIM(INDEX('Sales and count'!$B$4:$B$300,$BF173)&amp;""),""),IF(OR(_xlpm.c="",_xlpm.c="0",LEFT(_xlpm.c,1)="#"),"Not set",_xlpm.c)))</f>
        <v/>
      </c>
      <c r="CH173" cm="1">
        <f t="array" ref="CH173">IF($AW173="",0,_xlfn.LET(_xlpm.k,IFERROR(_xlfn.XLOOKUP($AW173,$CD$6:$CD$21,$CE$6:$CE$21),$AW173),--(SUMPRODUCT((TRIM('Makeup '!$A$2:$A$300&amp;"")=_xlpm.k)*ISNUMBER('Makeup '!$F$2:$F$300))&gt;0)))</f>
        <v>0</v>
      </c>
      <c r="CI173">
        <f t="shared" si="95"/>
        <v>0</v>
      </c>
      <c r="CJ173" cm="1">
        <f t="array" ref="CJ173">IF($AW173="",0,--(SUMPRODUCT(--(TRIM(Footfall!$B$5:$B$301)=$AW173))&gt;0))</f>
        <v>0</v>
      </c>
      <c r="CK173" s="8" cm="1">
        <f t="array" ref="CK173">IF($AW173="",0,_xlfn.LET(_xlpm.r,IFERROR(MATCH(IFERROR(_xlfn.XLOOKUP($AW173,$BT$5:$BT$22,$BU$5:$BU$22),$AW173),TRIM('TY Beauty Target'!$B$5:$B$300&amp;""),0),""),IF(ISNUMBER(_xlpm.r),SUMPRODUCT(('TY Beauty Target'!$L$2:$AP$2&gt;=$U$4)*('TY Beauty Target'!$L$2:$AP$2&lt;=$U$5),INDEX('TY Beauty Target'!$L$5:$AP$300,_xlpm.r,0)),0)))</f>
        <v>0</v>
      </c>
    </row>
    <row r="174" spans="1:89" ht="15" customHeight="1" x14ac:dyDescent="0.25">
      <c r="A174" s="38" t="str">
        <f t="shared" si="96"/>
        <v/>
      </c>
      <c r="B174" s="43" t="str" cm="1">
        <f t="array" ref="B174">IF($AI174="","",IF(LEFT($AI174,2)="C|",IF($C174="","",_xlfn.TEXTJOIN(", ",TRUE,_xlfn.UNIQUE(_xlfn._xlws.FILTER($AN$5:$AN$302,($AP$5:$AP$302=1)*($AO$5:$AO$302=$A174))))),IF($AI174="CT",B$13,IF(LEFT($AI174,3)="AM|",IF($C174="","",ROWS(_xlfn.UNIQUE(_xlfn._xlws.FILTER($AO$5:$AO$302,($AP$5:$AP$302=1)*($AN$5:$AN$302=$A174))))),IF(LEFT($AI174,2)="S|",IF($AG174="","",INDEX($AO$5:$AO$302,$AH174)),IF($AI174="HDR","City",""))))))</f>
        <v/>
      </c>
      <c r="C174" s="39" t="str" cm="1">
        <f t="array" ref="C174">IF($AI174="","",IF(LEFT($AI174,2)="C|",_xlfn.LET(_xlpm.n,SUMPRODUCT($AP$5:$AP$302*($AO$5:$AO$302=$A174)),IF(_xlpm.n=0,"",_xlpm.n)),IF($AI174="CT",C$13,IF(LEFT($AI174,3)="AM|",_xlfn.LET(_xlpm.n,SUMPRODUCT($AP$5:$AP$302*($AN$5:$AN$302=$A174)),IF(_xlpm.n=0,"",_xlpm.n)),IF(LEFT($AI174,2)="S|","",IF($AI174="HDR","# Stores",""))))))</f>
        <v/>
      </c>
      <c r="D174" s="40" t="str" cm="1">
        <f t="array" ref="D174">IF($AI174="","",IF(LEFT($AI174,2)="C|",IF($C174="","",SUMPRODUCT($AP$5:$AP$302*($AO$5:$AO$302=$A174),$AR$5:$AR$302)),IF($AI174="CT",D$13,IF(LEFT($AI174,3)="AM|",IF($C174="","",SUMPRODUCT($AP$5:$AP$302*($AN$5:$AN$302=$A174),$AR$5:$AR$302)),IF(LEFT($AI174,2)="S|",IF($AG174="","",INDEX($AR$5:$AR$302,$AH174)),IF($AI174="HDR","Sales TY",""))))))</f>
        <v/>
      </c>
      <c r="E174" s="40" t="str" cm="1">
        <f t="array" ref="E174">IF($AI174="","",IF(LEFT($AI174,2)="C|",IF($C174="","",SUMPRODUCT($AP$5:$AP$302*($AO$5:$AO$302=$A174),$AT$5:$AT$302)),IF($AI174="CT",E$13,IF(LEFT($AI174,3)="AM|",IF($C174="","",SUMPRODUCT($AP$5:$AP$302*($AN$5:$AN$302=$A174),$AT$5:$AT$302)),IF(LEFT($AI174,2)="S|",IF($AG174="","",INDEX($AT$5:$AT$302,$AH174)),IF($AI174="HDR","Sales LY",""))))))</f>
        <v/>
      </c>
      <c r="F174" s="41" t="str">
        <f t="shared" si="97"/>
        <v/>
      </c>
      <c r="G174" s="41" t="str">
        <f t="shared" si="98"/>
        <v/>
      </c>
      <c r="H174" s="40" t="str" cm="1">
        <f t="array" ref="H174">IF($AI174="","",IF(LEFT($AI174,2)="C|",IF($C174="","",SUMPRODUCT($AP$5:$AP$302*($AO$5:$AO$302=$A174),$AV$5:$AV$302)),IF($AI174="CT",H$13,IF(LEFT($AI174,3)="AM|",IF($C174="","",SUMPRODUCT($AP$5:$AP$302*($AN$5:$AN$302=$A174),$AV$5:$AV$302)),IF(LEFT($AI174,2)="S|",IF($AG174="","",INDEX($AV$5:$AV$302,$AH174)),IF($AI174="HDR","Target",""))))))</f>
        <v/>
      </c>
      <c r="I174" s="41" t="str">
        <f t="shared" si="99"/>
        <v/>
      </c>
      <c r="J174" s="40" t="str">
        <f t="shared" si="100"/>
        <v/>
      </c>
      <c r="K174" s="41" t="str">
        <f t="shared" si="101"/>
        <v/>
      </c>
      <c r="L174" s="40" t="str" cm="1">
        <f t="array" ref="L174">IF($AI174="","",IF(LEFT($AI174,2)="C|",IF($C174="","",SUMPRODUCT($AP$5:$AP$302*($AO$5:$AO$302=$A174),$BN$5:$BN$302)),IF($AI174="CT",L$13,IF(LEFT($AI174,3)="AM|",IF($C174="","",SUMPRODUCT($AP$5:$AP$302*($AN$5:$AN$302=$A174),$BN$5:$BN$302)),IF(LEFT($AI174,2)="S|",IF($AG174="","",INDEX($BN$5:$BN$302,$AH174)),IF($AI174="HDR","Month Target",""))))))</f>
        <v/>
      </c>
      <c r="M174" s="40" t="str" cm="1">
        <f t="array" ref="M174">IF($AI174="","",IF(LEFT($AI174,2)="C|",IF($C174="","",SUMPRODUCT($AP$5:$AP$302*($AO$5:$AO$302=$A174),$BO$5:$BO$302)),IF($AI174="CT",M$13,IF(LEFT($AI174,3)="AM|",IF($C174="","",SUMPRODUCT($AP$5:$AP$302*($AN$5:$AN$302=$A174),$BO$5:$BO$302)),IF(LEFT($AI174,2)="S|",IF($AG174="","",INDEX($BO$5:$BO$302,$AH174)),IF($AI174="HDR","Projected Close",""))))))</f>
        <v/>
      </c>
      <c r="N174" s="41" t="str">
        <f t="shared" si="109"/>
        <v/>
      </c>
      <c r="O174" s="41" t="str" cm="1">
        <f t="array" ref="O174">IF($AI174="HDR","Proj. vs LY",IF(OR($AI174="",M174=""),"",_xlfn.LET(_xlpm.ly,IF(LEFT($AI174,2)="C|",SUMPRODUCT($AP$5:$AP$302*($AO$5:$AO$302=$A174),$BK$5:$BK$302),IF($AI174="CT",SUMPRODUCT($AP$5:$AP$302,$BK$5:$BK$302),IF(LEFT($AI174,3)="AM|",SUMPRODUCT($AP$5:$AP$302*($AN$5:$AN$302=$A174),$BK$5:$BK$302),IF(LEFT($AI174,2)="S|",INDEX($BK$5:$BK$302,$AH174),0)))),IFERROR(M174/_xlpm.ly-1,""))))</f>
        <v/>
      </c>
      <c r="P174" s="40" t="str" cm="1">
        <f t="array" ref="P174">IF($AI174="","",IF(LEFT($AI174,2)="C|",IF($C174="","",SUMPRODUCT($AP$5:$AP$302*($AO$5:$AO$302=$A174),$AS$5:$AS$302)),IF($AI174="CT",P$13,IF(LEFT($AI174,3)="AM|",IF($C174="","",SUMPRODUCT($AP$5:$AP$302*($AN$5:$AN$302=$A174),$AS$5:$AS$302)),IF(LEFT($AI174,2)="S|",IF($AG174="","",INDEX($AS$5:$AS$302,$AH174)),IF($AI174="HDR","Trans TY",""))))))</f>
        <v/>
      </c>
      <c r="Q174" s="40" t="str" cm="1">
        <f t="array" ref="Q174">IF($AI174="","",IF(LEFT($AI174,2)="C|",IF($C174="","",SUMPRODUCT($AP$5:$AP$302*($AO$5:$AO$302=$A174),$AU$5:$AU$302)),IF($AI174="CT",Q$13,IF(LEFT($AI174,3)="AM|",IF($C174="","",SUMPRODUCT($AP$5:$AP$302*($AN$5:$AN$302=$A174),$AU$5:$AU$302)),IF(LEFT($AI174,2)="S|",IF($AG174="","",INDEX($AU$5:$AU$302,$AH174)),IF($AI174="HDR","Trans LY",""))))))</f>
        <v/>
      </c>
      <c r="R174" s="41" t="str">
        <f t="shared" si="102"/>
        <v/>
      </c>
      <c r="S174" s="41" t="str">
        <f t="shared" si="103"/>
        <v/>
      </c>
      <c r="T174" s="42" t="str">
        <f t="shared" si="104"/>
        <v/>
      </c>
      <c r="U174" s="42" t="str">
        <f t="shared" si="105"/>
        <v/>
      </c>
      <c r="V174" s="41" t="str">
        <f t="shared" si="106"/>
        <v/>
      </c>
      <c r="W174" s="40" t="str" cm="1">
        <f t="array" ref="W174">IF($AI174="","",IF(LEFT($AI174,2)="C|",_xlfn.LET(_xlpm.n,SUMPRODUCT($AP$5:$AP$302*($AO$5:$AO$302=$A174),$BB$5:$BB$302),IF(_xlpm.n=0,"",_xlpm.n)),IF($AI174="CT",W$13,IF(LEFT($AI174,3)="AM|",_xlfn.LET(_xlpm.n,SUMPRODUCT($AP$5:$AP$302*($AN$5:$AN$302=$A174),$BB$5:$BB$302),IF(_xlpm.n=0,"",_xlpm.n)),IF(LEFT($AI174,2)="S|",IF($AG174="","",_xlfn.LET(_xlpm.n,INDEX($BB$5:$BB$302,$AH174),IF(_xlpm.n=0,"",_xlpm.n))),IF($AI174="HDR","Footfall",""))))))</f>
        <v/>
      </c>
      <c r="X174" s="40" t="str" cm="1">
        <f t="array" ref="X174">IF($AI174="","",IF($AI174="HDR","Trans (FF stores)",IF(W174="","",IF(LEFT($AI174,2)="C|",SUMPRODUCT($AP$5:$AP$302*($AO$5:$AO$302=$A174),$BC$5:$BC$302),IF($AI174="CT",X$13,IF(LEFT($AI174,3)="AM|",SUMPRODUCT($AP$5:$AP$302*($AN$5:$AN$302=$A174),$BC$5:$BC$302),IF(LEFT($AI174,2)="S|",INDEX($BC$5:$BC$302,$AH174),"")))))))</f>
        <v/>
      </c>
      <c r="Y174" s="41" t="str">
        <f t="shared" si="110"/>
        <v/>
      </c>
      <c r="Z174" s="40" t="str" cm="1">
        <f t="array" ref="Z174">IF($AI174="","",IF(LEFT($AI174,2)="C|",IF($C174="","",SUMPRODUCT($AP$5:$AP$302*($AO$5:$AO$302=$A174),$CB$5:$CB$302)),IF($AI174="CT",Z$13,IF(LEFT($AI174,3)="AM|",IF($C174="","",SUMPRODUCT($AP$5:$AP$302*($AN$5:$AN$302=$A174),$CB$5:$CB$302)),IF(LEFT($AI174,2)="S|",IF($AG174="","",INDEX($CB$5:$CB$302,$AH174)),IF($AI174="HDR","Makeup Sales",""))))))</f>
        <v/>
      </c>
      <c r="AA174" s="41" t="str">
        <f t="shared" si="107"/>
        <v/>
      </c>
      <c r="AB174" s="40" t="str" cm="1">
        <f t="array" ref="AB174">IF($AI174="","",IF(LEFT($AI174,2)="C|",IF($C174="","",SUMPRODUCT($AP$5:$AP$302*($AO$5:$AO$302=$A174),$CK$5:$CK$302)),IF($AI174="CT",AB$13,IF(LEFT($AI174,3)="AM|",IF($C174="","",SUMPRODUCT($AP$5:$AP$302*($AN$5:$AN$302=$A174),$CK$5:$CK$302)),IF(LEFT($AI174,2)="S|",IF($AG174="","",INDEX($CK$5:$CK$302,$AH174)),IF($AI174="HDR","Makeup Target",""))))))</f>
        <v/>
      </c>
      <c r="AC174" s="41" t="str">
        <f t="shared" si="111"/>
        <v/>
      </c>
      <c r="AD174" s="40" t="str" cm="1">
        <f t="array" ref="AD174">IF($AI174="","",IF(LEFT($AI174,2)="C|",IF($C174="","",SUMPRODUCT($AP$5:$AP$302*($AO$5:$AO$302=$A174),$CI$5:$CI$302)),IF($AI174="CT",AD$13,IF(LEFT($AI174,3)="AM|",IF($C174="","",SUMPRODUCT($AP$5:$AP$302*($AN$5:$AN$302=$A174),$CI$5:$CI$302)),IF(LEFT($AI174,2)="S|",IF($AG174="","",INDEX($CI$5:$CI$302,$AH174)),IF($AI174="HDR","Cosmetic Sales",""))))))</f>
        <v/>
      </c>
      <c r="AE174" s="8" t="str" cm="1">
        <f t="array" ref="AE174">IF($AI174="","",IF(LEFT($AI174,2)="C|",IF($C174="","",SUMPRODUCT($AP$5:$AP$302*($AO$5:$AO$302=$A174)*$AQ$5:$AQ$302,$AR$5:$AR$302)),IF($AI174="CT",AE$13,IF(LEFT($AI174,3)="AM|",IF($C174="","",SUMPRODUCT($AP$5:$AP$302*($AN$5:$AN$302=$A174)*$AQ$5:$AQ$302,$AR$5:$AR$302)),IF(LEFT($AI174,2)="S|",IF($AG174="","",IF(INDEX($AQ$5:$AQ$302,$AH174)=1,D174,0)),IF($AI174="HDR","LFL Sales",""))))))</f>
        <v/>
      </c>
      <c r="AF174" s="8" t="str" cm="1">
        <f t="array" ref="AF174">IF($AI174="","",IF(LEFT($AI174,2)="C|",IF($C174="","",SUMPRODUCT($AP$5:$AP$302*($AO$5:$AO$302=$A174)*$AQ$5:$AQ$302,$AS$5:$AS$302)),IF($AI174="CT",AF$13,IF(LEFT($AI174,3)="AM|",IF($C174="","",SUMPRODUCT($AP$5:$AP$302*($AN$5:$AN$302=$A174)*$AQ$5:$AQ$302,$AS$5:$AS$302)),IF(LEFT($AI174,2)="S|",IF($AG174="","",IF(INDEX($AQ$5:$AQ$302,$AH174)=1,P174,0)),IF($AI174="HDR","LFL Trans",""))))))</f>
        <v/>
      </c>
      <c r="AG174" s="8" t="str" cm="1">
        <f t="array" ref="AG174">IF($AI174="","",IF(LEFT($AI174,2)="C|","",IF($AI174="CT","",IF(LEFT($AI174,3)="AM|","",IF(LEFT($AI174,2)="S|",IF($AH174="","",IF(INDEX($AP$5:$AP$302,$AH174)=1,1,"")),IF($AI174="HDR","Show",""))))))</f>
        <v/>
      </c>
      <c r="AH174" s="8" t="str">
        <f t="shared" si="108"/>
        <v/>
      </c>
      <c r="AI174" s="8"/>
      <c r="AN174" s="8" t="str" cm="1">
        <f t="array" ref="AN174">IF($AW174="","",_xlfn.LET(_xlpm.sa,IFERROR(TRIM(INDEX('Sales and count'!$D$4:$D$300,$BF174)&amp;""),""),_xlpm.ta,IFERROR(TRIM(INDEX('TY Sales Target'!$F$5:$F$300,$BG174)&amp;""),""),IF(AND(_xlpm.sa&lt;&gt;"",LEFT(_xlpm.sa,1)&lt;&gt;"#",_xlpm.sa&lt;&gt;"0"),_xlpm.sa,IF(AND(_xlpm.ta&lt;&gt;"",LEFT(_xlpm.ta,1)&lt;&gt;"#",_xlpm.ta&lt;&gt;"0"),_xlpm.ta,IF(ISNUMBER($BG174),"Unassigned","")))))</f>
        <v/>
      </c>
      <c r="AO174" s="8" t="str" cm="1">
        <f t="array" ref="AO174">IF($AW174="","",_xlfn.LET(_xlpm.sa,IFERROR(TRIM(INDEX('Sales and count'!$C$4:$C$300,$BF174)&amp;""),""),_xlpm.ta,IFERROR(TRIM(INDEX('TY Sales Target'!$D$5:$D$300,$BG174)&amp;""),""),IF(AND(_xlpm.sa&lt;&gt;"",LEFT(_xlpm.sa,1)&lt;&gt;"#",_xlpm.sa&lt;&gt;"0"),_xlpm.sa,IF(AND(_xlpm.ta&lt;&gt;"",LEFT(_xlpm.ta,1)&lt;&gt;"#",_xlpm.ta&lt;&gt;"0"),_xlpm.ta,""))))</f>
        <v/>
      </c>
      <c r="AP174" s="8">
        <f t="shared" si="93"/>
        <v>0</v>
      </c>
      <c r="AQ174" s="8">
        <f t="shared" si="94"/>
        <v>0</v>
      </c>
      <c r="AR174" s="8" cm="1">
        <f t="array" ref="AR174">IF($BF174="",0,_xlfn.LET(_xlpm.d,IFERROR(--'Sales and count'!$G$2:$CC$2,0),SUMPRODUCT(('Sales and count'!$G$3:$CC$3="Total")*(_xlpm.d&gt;=$U$4)*(_xlpm.d&lt;=$U$5),INDEX('Sales and count'!$G$4:$CC$300,$BF174,0))))</f>
        <v>0</v>
      </c>
      <c r="AS174" s="8" cm="1">
        <f t="array" ref="AS174">IF($BF174="",0,_xlfn.LET(_xlpm.d,IFERROR(--'Sales and count'!$F$2:$CB$2,0),SUMPRODUCT(('Sales and count'!$G$3:$CC$3="Transactions")*(_xlpm.d&gt;=$U$4)*(_xlpm.d&lt;=$U$5),INDEX('Sales and count'!$G$4:$CC$300,$BF174,0))))</f>
        <v>0</v>
      </c>
      <c r="AT174" s="8" cm="1">
        <f t="array" ref="AT174">IF($AW174="",0,SUMPRODUCT((TRIM('LY Sales '!$B$5:$B$200)=$AW174)*('LY Sales '!$C$2:$AG$2&gt;=EDATE($U$4,-12))*('LY Sales '!$C$2:$AG$2&lt;=EDATE($U$5,-12)),'LY Sales '!$C$5:$AG$200))</f>
        <v>0</v>
      </c>
      <c r="AU174" s="8" cm="1">
        <f t="array" ref="AU174">IF($AW174="",0,SUMPRODUCT((TRIM('LY Transaction'!$B$5:$B$200)=$AW174)*('LY Transaction'!$C$2:$AG$2&gt;=EDATE($U$4,-12))*('LY Transaction'!$C$2:$AG$2&lt;=EDATE($U$5,-12)),'LY Transaction'!$C$5:$AG$200))</f>
        <v>0</v>
      </c>
      <c r="AV174" s="8" cm="1">
        <f t="array" ref="AV174">IF(NOT(ISNUMBER($BG174)),0,SUMPRODUCT(('TY Sales Target'!$K$2:$AO$2&gt;=$U$4)*('TY Sales Target'!$K$2:$AO$2&lt;=$U$5),INDEX('TY Sales Target'!$K$5:$AO$300,$BG174,0)))</f>
        <v>0</v>
      </c>
      <c r="AW174" s="8" t="str" cm="1">
        <f t="array" ref="AW174">IFERROR(INDEX(_xlfn.ANCHORARRAY($BR$5),ROWS($AW$5:AW174)),"")</f>
        <v/>
      </c>
      <c r="BB174" cm="1">
        <f t="array" ref="BB174">IF($AW174="",0,SUMPRODUCT((TRIM(Footfall!$B$5:$B$301)=$AW174)*(Footfall!$C$1:$BZ$1&gt;=$U$4)*(Footfall!$C$2:$BZ$2&lt;=$U$5)*(Footfall!$C$1:$BZ$1&lt;&gt;""),Footfall!$C$5:$BZ$301))</f>
        <v>0</v>
      </c>
      <c r="BC174" cm="1">
        <f t="array" ref="BC174">IF(OR($BB174&lt;=0,$BD$1="",$BF174=""),0,_xlfn.LET(_xlpm.d,IFERROR(--'Sales and count'!$F$2:$CB$2,0),SUMPRODUCT(('Sales and count'!$G$3:$CC$3="Transactions")*(_xlpm.d&gt;=$BD$1)*(_xlpm.d&lt;=$BD$2),INDEX('Sales and count'!$G$4:$CC$300,$BF174,0))))</f>
        <v>0</v>
      </c>
      <c r="BF174" t="str" cm="1">
        <f t="array" ref="BF174">IF($AW174="","",IFERROR(MATCH($AW174,TRIM('Sales and count'!$A$4:$A$300&amp;""),0),""))</f>
        <v/>
      </c>
      <c r="BG174" t="str" cm="1">
        <f t="array" ref="BG174">IF($AW174="","",IFERROR(MATCH(IFERROR(_xlfn.XLOOKUP($AW174,$BT$5:$BT$22,$BU$5:$BU$22),$AW174),TRIM('TY Sales Target'!$B$5:$B$300&amp;""),0),""))</f>
        <v/>
      </c>
      <c r="BH174" t="str" cm="1">
        <f t="array" ref="BH174">IF(ISNUMBER($BG174),_xlfn.LET(_xlpm.p,TRIM(INDEX('TY Sales Target'!$I$5:$I$300,$BG174)&amp;""),IF(_xlpm.p="","Not set",_xlpm.p)),"Not set")</f>
        <v>Not set</v>
      </c>
      <c r="BI174" cm="1">
        <f t="array" ref="BI174">IF($BF174="",0,_xlfn.LET(_xlpm.d,IFERROR(--'Sales and count'!$G$2:$CC$2,0),SUMPRODUCT(('Sales and count'!$G$3:$CC$3="Total")*(_xlpm.d&gt;=$BZ$5)*(_xlpm.d&lt;=$BZ$6),INDEX('Sales and count'!$G$4:$CC$300,$BF174,0))))</f>
        <v>0</v>
      </c>
      <c r="BJ174" cm="1">
        <f t="array" ref="BJ174">IF($AW174="",0,SUMPRODUCT((TRIM('LY Sales '!$B$5:$B$200)=$AW174)*('LY Sales '!$C$2:$AG$2&gt;=EDATE($BZ$5,-12))*('LY Sales '!$C$2:$AG$2&lt;=EDATE($BZ$6,-12)),'LY Sales '!$C$5:$AG$200))</f>
        <v>0</v>
      </c>
      <c r="BK174" cm="1">
        <f t="array" ref="BK174">IF($AW174="",0,SUMPRODUCT((TRIM('LY Sales '!$B$5:$B$200)=$AW174)*('LY Sales '!$C$2:$AG$2&gt;=EDATE($BZ$5,-12))*('LY Sales '!$C$2:$AG$2&lt;=EDATE($BZ$7,-12)),'LY Sales '!$C$5:$AG$200))</f>
        <v>0</v>
      </c>
      <c r="BL174" cm="1">
        <f t="array" ref="BL174">IF($AW174="",0,SUMPRODUCT((TRIM('LY Sales '!$B$5:$B$200)=$AW174)*('LY Sales '!$C$2:$AG$2&gt;=EDATE($BZ$5,-12))*('LY Sales '!$C$2:$AG$2&lt;=EDATE($BZ$6,-12))*('LY Sales '!$C$5:$AG$200&gt;0)))</f>
        <v>0</v>
      </c>
      <c r="BM174" cm="1">
        <f t="array" ref="BM174">IF(NOT(ISNUMBER($BG174)),0,SUMPRODUCT(('TY Sales Target'!$K$2:$AO$2&gt;=$BZ$5)*('TY Sales Target'!$K$2:$AO$2&lt;=$BZ$6),INDEX('TY Sales Target'!$K$5:$AO$300,$BG174,0)))</f>
        <v>0</v>
      </c>
      <c r="BN174" cm="1">
        <f t="array" ref="BN174">IF(NOT(ISNUMBER($BG174)),0,SUMPRODUCT(('TY Sales Target'!$K$2:$AO$2&gt;=$BZ$5)*('TY Sales Target'!$K$2:$AO$2&lt;=$BZ$7),INDEX('TY Sales Target'!$K$5:$AO$300,$BG174,0)))</f>
        <v>0</v>
      </c>
      <c r="BO174" cm="1">
        <f t="array" ref="BO174">IF($AW174="",0,IFERROR(_xlfn.SWITCH($BP174,"LY trend",$BI174*$BK174/$BJ174,"Target curve",$BI174*$BN174/$BM174,"Run rate",$BI174/$BZ$8*$BZ$9,0),0))</f>
        <v>0</v>
      </c>
      <c r="BP174" t="str">
        <f t="shared" si="92"/>
        <v/>
      </c>
      <c r="CB174" cm="1">
        <f t="array" ref="CB174">IF($AW174="",0,_xlfn.LET(_xlpm.k,IFERROR(_xlfn.XLOOKUP($AW174,$CD$6:$CD$21,$CE$6:$CE$21),$AW174),SUMPRODUCT((TRIM('Makeup '!$A$2:$A$300&amp;"")=_xlpm.k)*1,IFERROR('Makeup '!$F$2:$F$300*1,0))))</f>
        <v>0</v>
      </c>
      <c r="CF174" t="str" cm="1">
        <f t="array" ref="CF174">IF($AW174="","",_xlfn.LET(_xlpm.c,IFERROR(TRIM(INDEX('Sales and count'!$B$4:$B$300,$BF174)&amp;""),""),IF(OR(_xlpm.c="",_xlpm.c="0",LEFT(_xlpm.c,1)="#"),"Not set",_xlpm.c)))</f>
        <v/>
      </c>
      <c r="CH174" cm="1">
        <f t="array" ref="CH174">IF($AW174="",0,_xlfn.LET(_xlpm.k,IFERROR(_xlfn.XLOOKUP($AW174,$CD$6:$CD$21,$CE$6:$CE$21),$AW174),--(SUMPRODUCT((TRIM('Makeup '!$A$2:$A$300&amp;"")=_xlpm.k)*ISNUMBER('Makeup '!$F$2:$F$300))&gt;0)))</f>
        <v>0</v>
      </c>
      <c r="CI174">
        <f t="shared" si="95"/>
        <v>0</v>
      </c>
      <c r="CJ174" cm="1">
        <f t="array" ref="CJ174">IF($AW174="",0,--(SUMPRODUCT(--(TRIM(Footfall!$B$5:$B$301)=$AW174))&gt;0))</f>
        <v>0</v>
      </c>
      <c r="CK174" s="8" cm="1">
        <f t="array" ref="CK174">IF($AW174="",0,_xlfn.LET(_xlpm.r,IFERROR(MATCH(IFERROR(_xlfn.XLOOKUP($AW174,$BT$5:$BT$22,$BU$5:$BU$22),$AW174),TRIM('TY Beauty Target'!$B$5:$B$300&amp;""),0),""),IF(ISNUMBER(_xlpm.r),SUMPRODUCT(('TY Beauty Target'!$L$2:$AP$2&gt;=$U$4)*('TY Beauty Target'!$L$2:$AP$2&lt;=$U$5),INDEX('TY Beauty Target'!$L$5:$AP$300,_xlpm.r,0)),0)))</f>
        <v>0</v>
      </c>
    </row>
    <row r="175" spans="1:89" ht="15" customHeight="1" x14ac:dyDescent="0.25">
      <c r="A175" s="38" t="str">
        <f t="shared" si="96"/>
        <v/>
      </c>
      <c r="B175" s="43" t="str" cm="1">
        <f t="array" ref="B175">IF($AI175="","",IF(LEFT($AI175,2)="C|",IF($C175="","",_xlfn.TEXTJOIN(", ",TRUE,_xlfn.UNIQUE(_xlfn._xlws.FILTER($AN$5:$AN$302,($AP$5:$AP$302=1)*($AO$5:$AO$302=$A175))))),IF($AI175="CT",B$13,IF(LEFT($AI175,3)="AM|",IF($C175="","",ROWS(_xlfn.UNIQUE(_xlfn._xlws.FILTER($AO$5:$AO$302,($AP$5:$AP$302=1)*($AN$5:$AN$302=$A175))))),IF(LEFT($AI175,2)="S|",IF($AG175="","",INDEX($AO$5:$AO$302,$AH175)),IF($AI175="HDR","City",""))))))</f>
        <v/>
      </c>
      <c r="C175" s="39" t="str" cm="1">
        <f t="array" ref="C175">IF($AI175="","",IF(LEFT($AI175,2)="C|",_xlfn.LET(_xlpm.n,SUMPRODUCT($AP$5:$AP$302*($AO$5:$AO$302=$A175)),IF(_xlpm.n=0,"",_xlpm.n)),IF($AI175="CT",C$13,IF(LEFT($AI175,3)="AM|",_xlfn.LET(_xlpm.n,SUMPRODUCT($AP$5:$AP$302*($AN$5:$AN$302=$A175)),IF(_xlpm.n=0,"",_xlpm.n)),IF(LEFT($AI175,2)="S|","",IF($AI175="HDR","# Stores",""))))))</f>
        <v/>
      </c>
      <c r="D175" s="40" t="str" cm="1">
        <f t="array" ref="D175">IF($AI175="","",IF(LEFT($AI175,2)="C|",IF($C175="","",SUMPRODUCT($AP$5:$AP$302*($AO$5:$AO$302=$A175),$AR$5:$AR$302)),IF($AI175="CT",D$13,IF(LEFT($AI175,3)="AM|",IF($C175="","",SUMPRODUCT($AP$5:$AP$302*($AN$5:$AN$302=$A175),$AR$5:$AR$302)),IF(LEFT($AI175,2)="S|",IF($AG175="","",INDEX($AR$5:$AR$302,$AH175)),IF($AI175="HDR","Sales TY",""))))))</f>
        <v/>
      </c>
      <c r="E175" s="40" t="str" cm="1">
        <f t="array" ref="E175">IF($AI175="","",IF(LEFT($AI175,2)="C|",IF($C175="","",SUMPRODUCT($AP$5:$AP$302*($AO$5:$AO$302=$A175),$AT$5:$AT$302)),IF($AI175="CT",E$13,IF(LEFT($AI175,3)="AM|",IF($C175="","",SUMPRODUCT($AP$5:$AP$302*($AN$5:$AN$302=$A175),$AT$5:$AT$302)),IF(LEFT($AI175,2)="S|",IF($AG175="","",INDEX($AT$5:$AT$302,$AH175)),IF($AI175="HDR","Sales LY",""))))))</f>
        <v/>
      </c>
      <c r="F175" s="41" t="str">
        <f t="shared" si="97"/>
        <v/>
      </c>
      <c r="G175" s="41" t="str">
        <f t="shared" si="98"/>
        <v/>
      </c>
      <c r="H175" s="40" t="str" cm="1">
        <f t="array" ref="H175">IF($AI175="","",IF(LEFT($AI175,2)="C|",IF($C175="","",SUMPRODUCT($AP$5:$AP$302*($AO$5:$AO$302=$A175),$AV$5:$AV$302)),IF($AI175="CT",H$13,IF(LEFT($AI175,3)="AM|",IF($C175="","",SUMPRODUCT($AP$5:$AP$302*($AN$5:$AN$302=$A175),$AV$5:$AV$302)),IF(LEFT($AI175,2)="S|",IF($AG175="","",INDEX($AV$5:$AV$302,$AH175)),IF($AI175="HDR","Target",""))))))</f>
        <v/>
      </c>
      <c r="I175" s="41" t="str">
        <f t="shared" si="99"/>
        <v/>
      </c>
      <c r="J175" s="40" t="str">
        <f t="shared" si="100"/>
        <v/>
      </c>
      <c r="K175" s="41" t="str">
        <f t="shared" si="101"/>
        <v/>
      </c>
      <c r="L175" s="40" t="str" cm="1">
        <f t="array" ref="L175">IF($AI175="","",IF(LEFT($AI175,2)="C|",IF($C175="","",SUMPRODUCT($AP$5:$AP$302*($AO$5:$AO$302=$A175),$BN$5:$BN$302)),IF($AI175="CT",L$13,IF(LEFT($AI175,3)="AM|",IF($C175="","",SUMPRODUCT($AP$5:$AP$302*($AN$5:$AN$302=$A175),$BN$5:$BN$302)),IF(LEFT($AI175,2)="S|",IF($AG175="","",INDEX($BN$5:$BN$302,$AH175)),IF($AI175="HDR","Month Target",""))))))</f>
        <v/>
      </c>
      <c r="M175" s="40" t="str" cm="1">
        <f t="array" ref="M175">IF($AI175="","",IF(LEFT($AI175,2)="C|",IF($C175="","",SUMPRODUCT($AP$5:$AP$302*($AO$5:$AO$302=$A175),$BO$5:$BO$302)),IF($AI175="CT",M$13,IF(LEFT($AI175,3)="AM|",IF($C175="","",SUMPRODUCT($AP$5:$AP$302*($AN$5:$AN$302=$A175),$BO$5:$BO$302)),IF(LEFT($AI175,2)="S|",IF($AG175="","",INDEX($BO$5:$BO$302,$AH175)),IF($AI175="HDR","Projected Close",""))))))</f>
        <v/>
      </c>
      <c r="N175" s="41" t="str">
        <f t="shared" si="109"/>
        <v/>
      </c>
      <c r="O175" s="41" t="str" cm="1">
        <f t="array" ref="O175">IF($AI175="HDR","Proj. vs LY",IF(OR($AI175="",M175=""),"",_xlfn.LET(_xlpm.ly,IF(LEFT($AI175,2)="C|",SUMPRODUCT($AP$5:$AP$302*($AO$5:$AO$302=$A175),$BK$5:$BK$302),IF($AI175="CT",SUMPRODUCT($AP$5:$AP$302,$BK$5:$BK$302),IF(LEFT($AI175,3)="AM|",SUMPRODUCT($AP$5:$AP$302*($AN$5:$AN$302=$A175),$BK$5:$BK$302),IF(LEFT($AI175,2)="S|",INDEX($BK$5:$BK$302,$AH175),0)))),IFERROR(M175/_xlpm.ly-1,""))))</f>
        <v/>
      </c>
      <c r="P175" s="40" t="str" cm="1">
        <f t="array" ref="P175">IF($AI175="","",IF(LEFT($AI175,2)="C|",IF($C175="","",SUMPRODUCT($AP$5:$AP$302*($AO$5:$AO$302=$A175),$AS$5:$AS$302)),IF($AI175="CT",P$13,IF(LEFT($AI175,3)="AM|",IF($C175="","",SUMPRODUCT($AP$5:$AP$302*($AN$5:$AN$302=$A175),$AS$5:$AS$302)),IF(LEFT($AI175,2)="S|",IF($AG175="","",INDEX($AS$5:$AS$302,$AH175)),IF($AI175="HDR","Trans TY",""))))))</f>
        <v/>
      </c>
      <c r="Q175" s="40" t="str" cm="1">
        <f t="array" ref="Q175">IF($AI175="","",IF(LEFT($AI175,2)="C|",IF($C175="","",SUMPRODUCT($AP$5:$AP$302*($AO$5:$AO$302=$A175),$AU$5:$AU$302)),IF($AI175="CT",Q$13,IF(LEFT($AI175,3)="AM|",IF($C175="","",SUMPRODUCT($AP$5:$AP$302*($AN$5:$AN$302=$A175),$AU$5:$AU$302)),IF(LEFT($AI175,2)="S|",IF($AG175="","",INDEX($AU$5:$AU$302,$AH175)),IF($AI175="HDR","Trans LY",""))))))</f>
        <v/>
      </c>
      <c r="R175" s="41" t="str">
        <f t="shared" si="102"/>
        <v/>
      </c>
      <c r="S175" s="41" t="str">
        <f t="shared" si="103"/>
        <v/>
      </c>
      <c r="T175" s="42" t="str">
        <f t="shared" si="104"/>
        <v/>
      </c>
      <c r="U175" s="42" t="str">
        <f t="shared" si="105"/>
        <v/>
      </c>
      <c r="V175" s="41" t="str">
        <f t="shared" si="106"/>
        <v/>
      </c>
      <c r="W175" s="40" t="str" cm="1">
        <f t="array" ref="W175">IF($AI175="","",IF(LEFT($AI175,2)="C|",_xlfn.LET(_xlpm.n,SUMPRODUCT($AP$5:$AP$302*($AO$5:$AO$302=$A175),$BB$5:$BB$302),IF(_xlpm.n=0,"",_xlpm.n)),IF($AI175="CT",W$13,IF(LEFT($AI175,3)="AM|",_xlfn.LET(_xlpm.n,SUMPRODUCT($AP$5:$AP$302*($AN$5:$AN$302=$A175),$BB$5:$BB$302),IF(_xlpm.n=0,"",_xlpm.n)),IF(LEFT($AI175,2)="S|",IF($AG175="","",_xlfn.LET(_xlpm.n,INDEX($BB$5:$BB$302,$AH175),IF(_xlpm.n=0,"",_xlpm.n))),IF($AI175="HDR","Footfall",""))))))</f>
        <v/>
      </c>
      <c r="X175" s="40" t="str" cm="1">
        <f t="array" ref="X175">IF($AI175="","",IF($AI175="HDR","Trans (FF stores)",IF(W175="","",IF(LEFT($AI175,2)="C|",SUMPRODUCT($AP$5:$AP$302*($AO$5:$AO$302=$A175),$BC$5:$BC$302),IF($AI175="CT",X$13,IF(LEFT($AI175,3)="AM|",SUMPRODUCT($AP$5:$AP$302*($AN$5:$AN$302=$A175),$BC$5:$BC$302),IF(LEFT($AI175,2)="S|",INDEX($BC$5:$BC$302,$AH175),"")))))))</f>
        <v/>
      </c>
      <c r="Y175" s="41" t="str">
        <f t="shared" si="110"/>
        <v/>
      </c>
      <c r="Z175" s="40" t="str" cm="1">
        <f t="array" ref="Z175">IF($AI175="","",IF(LEFT($AI175,2)="C|",IF($C175="","",SUMPRODUCT($AP$5:$AP$302*($AO$5:$AO$302=$A175),$CB$5:$CB$302)),IF($AI175="CT",Z$13,IF(LEFT($AI175,3)="AM|",IF($C175="","",SUMPRODUCT($AP$5:$AP$302*($AN$5:$AN$302=$A175),$CB$5:$CB$302)),IF(LEFT($AI175,2)="S|",IF($AG175="","",INDEX($CB$5:$CB$302,$AH175)),IF($AI175="HDR","Makeup Sales",""))))))</f>
        <v/>
      </c>
      <c r="AA175" s="41" t="str">
        <f t="shared" si="107"/>
        <v/>
      </c>
      <c r="AB175" s="40" t="str" cm="1">
        <f t="array" ref="AB175">IF($AI175="","",IF(LEFT($AI175,2)="C|",IF($C175="","",SUMPRODUCT($AP$5:$AP$302*($AO$5:$AO$302=$A175),$CK$5:$CK$302)),IF($AI175="CT",AB$13,IF(LEFT($AI175,3)="AM|",IF($C175="","",SUMPRODUCT($AP$5:$AP$302*($AN$5:$AN$302=$A175),$CK$5:$CK$302)),IF(LEFT($AI175,2)="S|",IF($AG175="","",INDEX($CK$5:$CK$302,$AH175)),IF($AI175="HDR","Makeup Target",""))))))</f>
        <v/>
      </c>
      <c r="AC175" s="41" t="str">
        <f t="shared" si="111"/>
        <v/>
      </c>
      <c r="AD175" s="40" t="str" cm="1">
        <f t="array" ref="AD175">IF($AI175="","",IF(LEFT($AI175,2)="C|",IF($C175="","",SUMPRODUCT($AP$5:$AP$302*($AO$5:$AO$302=$A175),$CI$5:$CI$302)),IF($AI175="CT",AD$13,IF(LEFT($AI175,3)="AM|",IF($C175="","",SUMPRODUCT($AP$5:$AP$302*($AN$5:$AN$302=$A175),$CI$5:$CI$302)),IF(LEFT($AI175,2)="S|",IF($AG175="","",INDEX($CI$5:$CI$302,$AH175)),IF($AI175="HDR","Cosmetic Sales",""))))))</f>
        <v/>
      </c>
      <c r="AE175" s="8" t="str" cm="1">
        <f t="array" ref="AE175">IF($AI175="","",IF(LEFT($AI175,2)="C|",IF($C175="","",SUMPRODUCT($AP$5:$AP$302*($AO$5:$AO$302=$A175)*$AQ$5:$AQ$302,$AR$5:$AR$302)),IF($AI175="CT",AE$13,IF(LEFT($AI175,3)="AM|",IF($C175="","",SUMPRODUCT($AP$5:$AP$302*($AN$5:$AN$302=$A175)*$AQ$5:$AQ$302,$AR$5:$AR$302)),IF(LEFT($AI175,2)="S|",IF($AG175="","",IF(INDEX($AQ$5:$AQ$302,$AH175)=1,D175,0)),IF($AI175="HDR","LFL Sales",""))))))</f>
        <v/>
      </c>
      <c r="AF175" s="8" t="str" cm="1">
        <f t="array" ref="AF175">IF($AI175="","",IF(LEFT($AI175,2)="C|",IF($C175="","",SUMPRODUCT($AP$5:$AP$302*($AO$5:$AO$302=$A175)*$AQ$5:$AQ$302,$AS$5:$AS$302)),IF($AI175="CT",AF$13,IF(LEFT($AI175,3)="AM|",IF($C175="","",SUMPRODUCT($AP$5:$AP$302*($AN$5:$AN$302=$A175)*$AQ$5:$AQ$302,$AS$5:$AS$302)),IF(LEFT($AI175,2)="S|",IF($AG175="","",IF(INDEX($AQ$5:$AQ$302,$AH175)=1,P175,0)),IF($AI175="HDR","LFL Trans",""))))))</f>
        <v/>
      </c>
      <c r="AG175" s="8" t="str" cm="1">
        <f t="array" ref="AG175">IF($AI175="","",IF(LEFT($AI175,2)="C|","",IF($AI175="CT","",IF(LEFT($AI175,3)="AM|","",IF(LEFT($AI175,2)="S|",IF($AH175="","",IF(INDEX($AP$5:$AP$302,$AH175)=1,1,"")),IF($AI175="HDR","Show",""))))))</f>
        <v/>
      </c>
      <c r="AH175" s="8" t="str">
        <f t="shared" si="108"/>
        <v/>
      </c>
      <c r="AI175" s="8"/>
      <c r="AN175" s="8" t="str" cm="1">
        <f t="array" ref="AN175">IF($AW175="","",_xlfn.LET(_xlpm.sa,IFERROR(TRIM(INDEX('Sales and count'!$D$4:$D$300,$BF175)&amp;""),""),_xlpm.ta,IFERROR(TRIM(INDEX('TY Sales Target'!$F$5:$F$300,$BG175)&amp;""),""),IF(AND(_xlpm.sa&lt;&gt;"",LEFT(_xlpm.sa,1)&lt;&gt;"#",_xlpm.sa&lt;&gt;"0"),_xlpm.sa,IF(AND(_xlpm.ta&lt;&gt;"",LEFT(_xlpm.ta,1)&lt;&gt;"#",_xlpm.ta&lt;&gt;"0"),_xlpm.ta,IF(ISNUMBER($BG175),"Unassigned","")))))</f>
        <v/>
      </c>
      <c r="AO175" s="8" t="str" cm="1">
        <f t="array" ref="AO175">IF($AW175="","",_xlfn.LET(_xlpm.sa,IFERROR(TRIM(INDEX('Sales and count'!$C$4:$C$300,$BF175)&amp;""),""),_xlpm.ta,IFERROR(TRIM(INDEX('TY Sales Target'!$D$5:$D$300,$BG175)&amp;""),""),IF(AND(_xlpm.sa&lt;&gt;"",LEFT(_xlpm.sa,1)&lt;&gt;"#",_xlpm.sa&lt;&gt;"0"),_xlpm.sa,IF(AND(_xlpm.ta&lt;&gt;"",LEFT(_xlpm.ta,1)&lt;&gt;"#",_xlpm.ta&lt;&gt;"0"),_xlpm.ta,""))))</f>
        <v/>
      </c>
      <c r="AP175" s="8">
        <f t="shared" si="93"/>
        <v>0</v>
      </c>
      <c r="AQ175" s="8">
        <f t="shared" si="94"/>
        <v>0</v>
      </c>
      <c r="AR175" s="8" cm="1">
        <f t="array" ref="AR175">IF($BF175="",0,_xlfn.LET(_xlpm.d,IFERROR(--'Sales and count'!$G$2:$CC$2,0),SUMPRODUCT(('Sales and count'!$G$3:$CC$3="Total")*(_xlpm.d&gt;=$U$4)*(_xlpm.d&lt;=$U$5),INDEX('Sales and count'!$G$4:$CC$300,$BF175,0))))</f>
        <v>0</v>
      </c>
      <c r="AS175" s="8" cm="1">
        <f t="array" ref="AS175">IF($BF175="",0,_xlfn.LET(_xlpm.d,IFERROR(--'Sales and count'!$F$2:$CB$2,0),SUMPRODUCT(('Sales and count'!$G$3:$CC$3="Transactions")*(_xlpm.d&gt;=$U$4)*(_xlpm.d&lt;=$U$5),INDEX('Sales and count'!$G$4:$CC$300,$BF175,0))))</f>
        <v>0</v>
      </c>
      <c r="AT175" s="8" cm="1">
        <f t="array" ref="AT175">IF($AW175="",0,SUMPRODUCT((TRIM('LY Sales '!$B$5:$B$200)=$AW175)*('LY Sales '!$C$2:$AG$2&gt;=EDATE($U$4,-12))*('LY Sales '!$C$2:$AG$2&lt;=EDATE($U$5,-12)),'LY Sales '!$C$5:$AG$200))</f>
        <v>0</v>
      </c>
      <c r="AU175" s="8" cm="1">
        <f t="array" ref="AU175">IF($AW175="",0,SUMPRODUCT((TRIM('LY Transaction'!$B$5:$B$200)=$AW175)*('LY Transaction'!$C$2:$AG$2&gt;=EDATE($U$4,-12))*('LY Transaction'!$C$2:$AG$2&lt;=EDATE($U$5,-12)),'LY Transaction'!$C$5:$AG$200))</f>
        <v>0</v>
      </c>
      <c r="AV175" s="8" cm="1">
        <f t="array" ref="AV175">IF(NOT(ISNUMBER($BG175)),0,SUMPRODUCT(('TY Sales Target'!$K$2:$AO$2&gt;=$U$4)*('TY Sales Target'!$K$2:$AO$2&lt;=$U$5),INDEX('TY Sales Target'!$K$5:$AO$300,$BG175,0)))</f>
        <v>0</v>
      </c>
      <c r="AW175" s="8" t="str" cm="1">
        <f t="array" ref="AW175">IFERROR(INDEX(_xlfn.ANCHORARRAY($BR$5),ROWS($AW$5:AW175)),"")</f>
        <v/>
      </c>
      <c r="BB175" cm="1">
        <f t="array" ref="BB175">IF($AW175="",0,SUMPRODUCT((TRIM(Footfall!$B$5:$B$301)=$AW175)*(Footfall!$C$1:$BZ$1&gt;=$U$4)*(Footfall!$C$2:$BZ$2&lt;=$U$5)*(Footfall!$C$1:$BZ$1&lt;&gt;""),Footfall!$C$5:$BZ$301))</f>
        <v>0</v>
      </c>
      <c r="BC175" cm="1">
        <f t="array" ref="BC175">IF(OR($BB175&lt;=0,$BD$1="",$BF175=""),0,_xlfn.LET(_xlpm.d,IFERROR(--'Sales and count'!$F$2:$CB$2,0),SUMPRODUCT(('Sales and count'!$G$3:$CC$3="Transactions")*(_xlpm.d&gt;=$BD$1)*(_xlpm.d&lt;=$BD$2),INDEX('Sales and count'!$G$4:$CC$300,$BF175,0))))</f>
        <v>0</v>
      </c>
      <c r="BF175" t="str" cm="1">
        <f t="array" ref="BF175">IF($AW175="","",IFERROR(MATCH($AW175,TRIM('Sales and count'!$A$4:$A$300&amp;""),0),""))</f>
        <v/>
      </c>
      <c r="BG175" t="str" cm="1">
        <f t="array" ref="BG175">IF($AW175="","",IFERROR(MATCH(IFERROR(_xlfn.XLOOKUP($AW175,$BT$5:$BT$22,$BU$5:$BU$22),$AW175),TRIM('TY Sales Target'!$B$5:$B$300&amp;""),0),""))</f>
        <v/>
      </c>
      <c r="BH175" t="str" cm="1">
        <f t="array" ref="BH175">IF(ISNUMBER($BG175),_xlfn.LET(_xlpm.p,TRIM(INDEX('TY Sales Target'!$I$5:$I$300,$BG175)&amp;""),IF(_xlpm.p="","Not set",_xlpm.p)),"Not set")</f>
        <v>Not set</v>
      </c>
      <c r="BI175" cm="1">
        <f t="array" ref="BI175">IF($BF175="",0,_xlfn.LET(_xlpm.d,IFERROR(--'Sales and count'!$G$2:$CC$2,0),SUMPRODUCT(('Sales and count'!$G$3:$CC$3="Total")*(_xlpm.d&gt;=$BZ$5)*(_xlpm.d&lt;=$BZ$6),INDEX('Sales and count'!$G$4:$CC$300,$BF175,0))))</f>
        <v>0</v>
      </c>
      <c r="BJ175" cm="1">
        <f t="array" ref="BJ175">IF($AW175="",0,SUMPRODUCT((TRIM('LY Sales '!$B$5:$B$200)=$AW175)*('LY Sales '!$C$2:$AG$2&gt;=EDATE($BZ$5,-12))*('LY Sales '!$C$2:$AG$2&lt;=EDATE($BZ$6,-12)),'LY Sales '!$C$5:$AG$200))</f>
        <v>0</v>
      </c>
      <c r="BK175" cm="1">
        <f t="array" ref="BK175">IF($AW175="",0,SUMPRODUCT((TRIM('LY Sales '!$B$5:$B$200)=$AW175)*('LY Sales '!$C$2:$AG$2&gt;=EDATE($BZ$5,-12))*('LY Sales '!$C$2:$AG$2&lt;=EDATE($BZ$7,-12)),'LY Sales '!$C$5:$AG$200))</f>
        <v>0</v>
      </c>
      <c r="BL175" cm="1">
        <f t="array" ref="BL175">IF($AW175="",0,SUMPRODUCT((TRIM('LY Sales '!$B$5:$B$200)=$AW175)*('LY Sales '!$C$2:$AG$2&gt;=EDATE($BZ$5,-12))*('LY Sales '!$C$2:$AG$2&lt;=EDATE($BZ$6,-12))*('LY Sales '!$C$5:$AG$200&gt;0)))</f>
        <v>0</v>
      </c>
      <c r="BM175" cm="1">
        <f t="array" ref="BM175">IF(NOT(ISNUMBER($BG175)),0,SUMPRODUCT(('TY Sales Target'!$K$2:$AO$2&gt;=$BZ$5)*('TY Sales Target'!$K$2:$AO$2&lt;=$BZ$6),INDEX('TY Sales Target'!$K$5:$AO$300,$BG175,0)))</f>
        <v>0</v>
      </c>
      <c r="BN175" cm="1">
        <f t="array" ref="BN175">IF(NOT(ISNUMBER($BG175)),0,SUMPRODUCT(('TY Sales Target'!$K$2:$AO$2&gt;=$BZ$5)*('TY Sales Target'!$K$2:$AO$2&lt;=$BZ$7),INDEX('TY Sales Target'!$K$5:$AO$300,$BG175,0)))</f>
        <v>0</v>
      </c>
      <c r="BO175" cm="1">
        <f t="array" ref="BO175">IF($AW175="",0,IFERROR(_xlfn.SWITCH($BP175,"LY trend",$BI175*$BK175/$BJ175,"Target curve",$BI175*$BN175/$BM175,"Run rate",$BI175/$BZ$8*$BZ$9,0),0))</f>
        <v>0</v>
      </c>
      <c r="BP175" t="str">
        <f t="shared" si="92"/>
        <v/>
      </c>
      <c r="CB175" cm="1">
        <f t="array" ref="CB175">IF($AW175="",0,_xlfn.LET(_xlpm.k,IFERROR(_xlfn.XLOOKUP($AW175,$CD$6:$CD$21,$CE$6:$CE$21),$AW175),SUMPRODUCT((TRIM('Makeup '!$A$2:$A$300&amp;"")=_xlpm.k)*1,IFERROR('Makeup '!$F$2:$F$300*1,0))))</f>
        <v>0</v>
      </c>
      <c r="CF175" t="str" cm="1">
        <f t="array" ref="CF175">IF($AW175="","",_xlfn.LET(_xlpm.c,IFERROR(TRIM(INDEX('Sales and count'!$B$4:$B$300,$BF175)&amp;""),""),IF(OR(_xlpm.c="",_xlpm.c="0",LEFT(_xlpm.c,1)="#"),"Not set",_xlpm.c)))</f>
        <v/>
      </c>
      <c r="CH175" cm="1">
        <f t="array" ref="CH175">IF($AW175="",0,_xlfn.LET(_xlpm.k,IFERROR(_xlfn.XLOOKUP($AW175,$CD$6:$CD$21,$CE$6:$CE$21),$AW175),--(SUMPRODUCT((TRIM('Makeup '!$A$2:$A$300&amp;"")=_xlpm.k)*ISNUMBER('Makeup '!$F$2:$F$300))&gt;0)))</f>
        <v>0</v>
      </c>
      <c r="CI175">
        <f t="shared" si="95"/>
        <v>0</v>
      </c>
      <c r="CJ175" cm="1">
        <f t="array" ref="CJ175">IF($AW175="",0,--(SUMPRODUCT(--(TRIM(Footfall!$B$5:$B$301)=$AW175))&gt;0))</f>
        <v>0</v>
      </c>
      <c r="CK175" s="8" cm="1">
        <f t="array" ref="CK175">IF($AW175="",0,_xlfn.LET(_xlpm.r,IFERROR(MATCH(IFERROR(_xlfn.XLOOKUP($AW175,$BT$5:$BT$22,$BU$5:$BU$22),$AW175),TRIM('TY Beauty Target'!$B$5:$B$300&amp;""),0),""),IF(ISNUMBER(_xlpm.r),SUMPRODUCT(('TY Beauty Target'!$L$2:$AP$2&gt;=$U$4)*('TY Beauty Target'!$L$2:$AP$2&lt;=$U$5),INDEX('TY Beauty Target'!$L$5:$AP$300,_xlpm.r,0)),0)))</f>
        <v>0</v>
      </c>
    </row>
    <row r="176" spans="1:89" ht="15" customHeight="1" x14ac:dyDescent="0.25">
      <c r="A176" s="38" t="str">
        <f t="shared" si="96"/>
        <v/>
      </c>
      <c r="B176" s="43" t="str" cm="1">
        <f t="array" ref="B176">IF($AI176="","",IF(LEFT($AI176,2)="C|",IF($C176="","",_xlfn.TEXTJOIN(", ",TRUE,_xlfn.UNIQUE(_xlfn._xlws.FILTER($AN$5:$AN$302,($AP$5:$AP$302=1)*($AO$5:$AO$302=$A176))))),IF($AI176="CT",B$13,IF(LEFT($AI176,3)="AM|",IF($C176="","",ROWS(_xlfn.UNIQUE(_xlfn._xlws.FILTER($AO$5:$AO$302,($AP$5:$AP$302=1)*($AN$5:$AN$302=$A176))))),IF(LEFT($AI176,2)="S|",IF($AG176="","",INDEX($AO$5:$AO$302,$AH176)),IF($AI176="HDR","City",""))))))</f>
        <v/>
      </c>
      <c r="C176" s="39" t="str" cm="1">
        <f t="array" ref="C176">IF($AI176="","",IF(LEFT($AI176,2)="C|",_xlfn.LET(_xlpm.n,SUMPRODUCT($AP$5:$AP$302*($AO$5:$AO$302=$A176)),IF(_xlpm.n=0,"",_xlpm.n)),IF($AI176="CT",C$13,IF(LEFT($AI176,3)="AM|",_xlfn.LET(_xlpm.n,SUMPRODUCT($AP$5:$AP$302*($AN$5:$AN$302=$A176)),IF(_xlpm.n=0,"",_xlpm.n)),IF(LEFT($AI176,2)="S|","",IF($AI176="HDR","# Stores",""))))))</f>
        <v/>
      </c>
      <c r="D176" s="40" t="str" cm="1">
        <f t="array" ref="D176">IF($AI176="","",IF(LEFT($AI176,2)="C|",IF($C176="","",SUMPRODUCT($AP$5:$AP$302*($AO$5:$AO$302=$A176),$AR$5:$AR$302)),IF($AI176="CT",D$13,IF(LEFT($AI176,3)="AM|",IF($C176="","",SUMPRODUCT($AP$5:$AP$302*($AN$5:$AN$302=$A176),$AR$5:$AR$302)),IF(LEFT($AI176,2)="S|",IF($AG176="","",INDEX($AR$5:$AR$302,$AH176)),IF($AI176="HDR","Sales TY",""))))))</f>
        <v/>
      </c>
      <c r="E176" s="40" t="str" cm="1">
        <f t="array" ref="E176">IF($AI176="","",IF(LEFT($AI176,2)="C|",IF($C176="","",SUMPRODUCT($AP$5:$AP$302*($AO$5:$AO$302=$A176),$AT$5:$AT$302)),IF($AI176="CT",E$13,IF(LEFT($AI176,3)="AM|",IF($C176="","",SUMPRODUCT($AP$5:$AP$302*($AN$5:$AN$302=$A176),$AT$5:$AT$302)),IF(LEFT($AI176,2)="S|",IF($AG176="","",INDEX($AT$5:$AT$302,$AH176)),IF($AI176="HDR","Sales LY",""))))))</f>
        <v/>
      </c>
      <c r="F176" s="41" t="str">
        <f t="shared" si="97"/>
        <v/>
      </c>
      <c r="G176" s="41" t="str">
        <f t="shared" si="98"/>
        <v/>
      </c>
      <c r="H176" s="40" t="str" cm="1">
        <f t="array" ref="H176">IF($AI176="","",IF(LEFT($AI176,2)="C|",IF($C176="","",SUMPRODUCT($AP$5:$AP$302*($AO$5:$AO$302=$A176),$AV$5:$AV$302)),IF($AI176="CT",H$13,IF(LEFT($AI176,3)="AM|",IF($C176="","",SUMPRODUCT($AP$5:$AP$302*($AN$5:$AN$302=$A176),$AV$5:$AV$302)),IF(LEFT($AI176,2)="S|",IF($AG176="","",INDEX($AV$5:$AV$302,$AH176)),IF($AI176="HDR","Target",""))))))</f>
        <v/>
      </c>
      <c r="I176" s="41" t="str">
        <f t="shared" si="99"/>
        <v/>
      </c>
      <c r="J176" s="40" t="str">
        <f t="shared" si="100"/>
        <v/>
      </c>
      <c r="K176" s="41" t="str">
        <f t="shared" si="101"/>
        <v/>
      </c>
      <c r="L176" s="40" t="str" cm="1">
        <f t="array" ref="L176">IF($AI176="","",IF(LEFT($AI176,2)="C|",IF($C176="","",SUMPRODUCT($AP$5:$AP$302*($AO$5:$AO$302=$A176),$BN$5:$BN$302)),IF($AI176="CT",L$13,IF(LEFT($AI176,3)="AM|",IF($C176="","",SUMPRODUCT($AP$5:$AP$302*($AN$5:$AN$302=$A176),$BN$5:$BN$302)),IF(LEFT($AI176,2)="S|",IF($AG176="","",INDEX($BN$5:$BN$302,$AH176)),IF($AI176="HDR","Month Target",""))))))</f>
        <v/>
      </c>
      <c r="M176" s="40" t="str" cm="1">
        <f t="array" ref="M176">IF($AI176="","",IF(LEFT($AI176,2)="C|",IF($C176="","",SUMPRODUCT($AP$5:$AP$302*($AO$5:$AO$302=$A176),$BO$5:$BO$302)),IF($AI176="CT",M$13,IF(LEFT($AI176,3)="AM|",IF($C176="","",SUMPRODUCT($AP$5:$AP$302*($AN$5:$AN$302=$A176),$BO$5:$BO$302)),IF(LEFT($AI176,2)="S|",IF($AG176="","",INDEX($BO$5:$BO$302,$AH176)),IF($AI176="HDR","Projected Close",""))))))</f>
        <v/>
      </c>
      <c r="N176" s="41" t="str">
        <f t="shared" si="109"/>
        <v/>
      </c>
      <c r="O176" s="41" t="str" cm="1">
        <f t="array" ref="O176">IF($AI176="HDR","Proj. vs LY",IF(OR($AI176="",M176=""),"",_xlfn.LET(_xlpm.ly,IF(LEFT($AI176,2)="C|",SUMPRODUCT($AP$5:$AP$302*($AO$5:$AO$302=$A176),$BK$5:$BK$302),IF($AI176="CT",SUMPRODUCT($AP$5:$AP$302,$BK$5:$BK$302),IF(LEFT($AI176,3)="AM|",SUMPRODUCT($AP$5:$AP$302*($AN$5:$AN$302=$A176),$BK$5:$BK$302),IF(LEFT($AI176,2)="S|",INDEX($BK$5:$BK$302,$AH176),0)))),IFERROR(M176/_xlpm.ly-1,""))))</f>
        <v/>
      </c>
      <c r="P176" s="40" t="str" cm="1">
        <f t="array" ref="P176">IF($AI176="","",IF(LEFT($AI176,2)="C|",IF($C176="","",SUMPRODUCT($AP$5:$AP$302*($AO$5:$AO$302=$A176),$AS$5:$AS$302)),IF($AI176="CT",P$13,IF(LEFT($AI176,3)="AM|",IF($C176="","",SUMPRODUCT($AP$5:$AP$302*($AN$5:$AN$302=$A176),$AS$5:$AS$302)),IF(LEFT($AI176,2)="S|",IF($AG176="","",INDEX($AS$5:$AS$302,$AH176)),IF($AI176="HDR","Trans TY",""))))))</f>
        <v/>
      </c>
      <c r="Q176" s="40" t="str" cm="1">
        <f t="array" ref="Q176">IF($AI176="","",IF(LEFT($AI176,2)="C|",IF($C176="","",SUMPRODUCT($AP$5:$AP$302*($AO$5:$AO$302=$A176),$AU$5:$AU$302)),IF($AI176="CT",Q$13,IF(LEFT($AI176,3)="AM|",IF($C176="","",SUMPRODUCT($AP$5:$AP$302*($AN$5:$AN$302=$A176),$AU$5:$AU$302)),IF(LEFT($AI176,2)="S|",IF($AG176="","",INDEX($AU$5:$AU$302,$AH176)),IF($AI176="HDR","Trans LY",""))))))</f>
        <v/>
      </c>
      <c r="R176" s="41" t="str">
        <f t="shared" si="102"/>
        <v/>
      </c>
      <c r="S176" s="41" t="str">
        <f t="shared" si="103"/>
        <v/>
      </c>
      <c r="T176" s="42" t="str">
        <f t="shared" si="104"/>
        <v/>
      </c>
      <c r="U176" s="42" t="str">
        <f t="shared" si="105"/>
        <v/>
      </c>
      <c r="V176" s="41" t="str">
        <f t="shared" si="106"/>
        <v/>
      </c>
      <c r="W176" s="40" t="str" cm="1">
        <f t="array" ref="W176">IF($AI176="","",IF(LEFT($AI176,2)="C|",_xlfn.LET(_xlpm.n,SUMPRODUCT($AP$5:$AP$302*($AO$5:$AO$302=$A176),$BB$5:$BB$302),IF(_xlpm.n=0,"",_xlpm.n)),IF($AI176="CT",W$13,IF(LEFT($AI176,3)="AM|",_xlfn.LET(_xlpm.n,SUMPRODUCT($AP$5:$AP$302*($AN$5:$AN$302=$A176),$BB$5:$BB$302),IF(_xlpm.n=0,"",_xlpm.n)),IF(LEFT($AI176,2)="S|",IF($AG176="","",_xlfn.LET(_xlpm.n,INDEX($BB$5:$BB$302,$AH176),IF(_xlpm.n=0,"",_xlpm.n))),IF($AI176="HDR","Footfall",""))))))</f>
        <v/>
      </c>
      <c r="X176" s="40" t="str" cm="1">
        <f t="array" ref="X176">IF($AI176="","",IF($AI176="HDR","Trans (FF stores)",IF(W176="","",IF(LEFT($AI176,2)="C|",SUMPRODUCT($AP$5:$AP$302*($AO$5:$AO$302=$A176),$BC$5:$BC$302),IF($AI176="CT",X$13,IF(LEFT($AI176,3)="AM|",SUMPRODUCT($AP$5:$AP$302*($AN$5:$AN$302=$A176),$BC$5:$BC$302),IF(LEFT($AI176,2)="S|",INDEX($BC$5:$BC$302,$AH176),"")))))))</f>
        <v/>
      </c>
      <c r="Y176" s="41" t="str">
        <f t="shared" si="110"/>
        <v/>
      </c>
      <c r="Z176" s="40" t="str" cm="1">
        <f t="array" ref="Z176">IF($AI176="","",IF(LEFT($AI176,2)="C|",IF($C176="","",SUMPRODUCT($AP$5:$AP$302*($AO$5:$AO$302=$A176),$CB$5:$CB$302)),IF($AI176="CT",Z$13,IF(LEFT($AI176,3)="AM|",IF($C176="","",SUMPRODUCT($AP$5:$AP$302*($AN$5:$AN$302=$A176),$CB$5:$CB$302)),IF(LEFT($AI176,2)="S|",IF($AG176="","",INDEX($CB$5:$CB$302,$AH176)),IF($AI176="HDR","Makeup Sales",""))))))</f>
        <v/>
      </c>
      <c r="AA176" s="41" t="str">
        <f t="shared" si="107"/>
        <v/>
      </c>
      <c r="AB176" s="40" t="str" cm="1">
        <f t="array" ref="AB176">IF($AI176="","",IF(LEFT($AI176,2)="C|",IF($C176="","",SUMPRODUCT($AP$5:$AP$302*($AO$5:$AO$302=$A176),$CK$5:$CK$302)),IF($AI176="CT",AB$13,IF(LEFT($AI176,3)="AM|",IF($C176="","",SUMPRODUCT($AP$5:$AP$302*($AN$5:$AN$302=$A176),$CK$5:$CK$302)),IF(LEFT($AI176,2)="S|",IF($AG176="","",INDEX($CK$5:$CK$302,$AH176)),IF($AI176="HDR","Makeup Target",""))))))</f>
        <v/>
      </c>
      <c r="AC176" s="41" t="str">
        <f t="shared" si="111"/>
        <v/>
      </c>
      <c r="AD176" s="40" t="str" cm="1">
        <f t="array" ref="AD176">IF($AI176="","",IF(LEFT($AI176,2)="C|",IF($C176="","",SUMPRODUCT($AP$5:$AP$302*($AO$5:$AO$302=$A176),$CI$5:$CI$302)),IF($AI176="CT",AD$13,IF(LEFT($AI176,3)="AM|",IF($C176="","",SUMPRODUCT($AP$5:$AP$302*($AN$5:$AN$302=$A176),$CI$5:$CI$302)),IF(LEFT($AI176,2)="S|",IF($AG176="","",INDEX($CI$5:$CI$302,$AH176)),IF($AI176="HDR","Cosmetic Sales",""))))))</f>
        <v/>
      </c>
      <c r="AE176" s="8" t="str" cm="1">
        <f t="array" ref="AE176">IF($AI176="","",IF(LEFT($AI176,2)="C|",IF($C176="","",SUMPRODUCT($AP$5:$AP$302*($AO$5:$AO$302=$A176)*$AQ$5:$AQ$302,$AR$5:$AR$302)),IF($AI176="CT",AE$13,IF(LEFT($AI176,3)="AM|",IF($C176="","",SUMPRODUCT($AP$5:$AP$302*($AN$5:$AN$302=$A176)*$AQ$5:$AQ$302,$AR$5:$AR$302)),IF(LEFT($AI176,2)="S|",IF($AG176="","",IF(INDEX($AQ$5:$AQ$302,$AH176)=1,D176,0)),IF($AI176="HDR","LFL Sales",""))))))</f>
        <v/>
      </c>
      <c r="AF176" s="8" t="str" cm="1">
        <f t="array" ref="AF176">IF($AI176="","",IF(LEFT($AI176,2)="C|",IF($C176="","",SUMPRODUCT($AP$5:$AP$302*($AO$5:$AO$302=$A176)*$AQ$5:$AQ$302,$AS$5:$AS$302)),IF($AI176="CT",AF$13,IF(LEFT($AI176,3)="AM|",IF($C176="","",SUMPRODUCT($AP$5:$AP$302*($AN$5:$AN$302=$A176)*$AQ$5:$AQ$302,$AS$5:$AS$302)),IF(LEFT($AI176,2)="S|",IF($AG176="","",IF(INDEX($AQ$5:$AQ$302,$AH176)=1,P176,0)),IF($AI176="HDR","LFL Trans",""))))))</f>
        <v/>
      </c>
      <c r="AG176" s="8" t="str" cm="1">
        <f t="array" ref="AG176">IF($AI176="","",IF(LEFT($AI176,2)="C|","",IF($AI176="CT","",IF(LEFT($AI176,3)="AM|","",IF(LEFT($AI176,2)="S|",IF($AH176="","",IF(INDEX($AP$5:$AP$302,$AH176)=1,1,"")),IF($AI176="HDR","Show",""))))))</f>
        <v/>
      </c>
      <c r="AH176" s="8" t="str">
        <f t="shared" si="108"/>
        <v/>
      </c>
      <c r="AI176" s="8"/>
      <c r="AN176" s="8" t="str" cm="1">
        <f t="array" ref="AN176">IF($AW176="","",_xlfn.LET(_xlpm.sa,IFERROR(TRIM(INDEX('Sales and count'!$D$4:$D$300,$BF176)&amp;""),""),_xlpm.ta,IFERROR(TRIM(INDEX('TY Sales Target'!$F$5:$F$300,$BG176)&amp;""),""),IF(AND(_xlpm.sa&lt;&gt;"",LEFT(_xlpm.sa,1)&lt;&gt;"#",_xlpm.sa&lt;&gt;"0"),_xlpm.sa,IF(AND(_xlpm.ta&lt;&gt;"",LEFT(_xlpm.ta,1)&lt;&gt;"#",_xlpm.ta&lt;&gt;"0"),_xlpm.ta,IF(ISNUMBER($BG176),"Unassigned","")))))</f>
        <v/>
      </c>
      <c r="AO176" s="8" t="str" cm="1">
        <f t="array" ref="AO176">IF($AW176="","",_xlfn.LET(_xlpm.sa,IFERROR(TRIM(INDEX('Sales and count'!$C$4:$C$300,$BF176)&amp;""),""),_xlpm.ta,IFERROR(TRIM(INDEX('TY Sales Target'!$D$5:$D$300,$BG176)&amp;""),""),IF(AND(_xlpm.sa&lt;&gt;"",LEFT(_xlpm.sa,1)&lt;&gt;"#",_xlpm.sa&lt;&gt;"0"),_xlpm.sa,IF(AND(_xlpm.ta&lt;&gt;"",LEFT(_xlpm.ta,1)&lt;&gt;"#",_xlpm.ta&lt;&gt;"0"),_xlpm.ta,""))))</f>
        <v/>
      </c>
      <c r="AP176" s="8">
        <f t="shared" si="93"/>
        <v>0</v>
      </c>
      <c r="AQ176" s="8">
        <f t="shared" si="94"/>
        <v>0</v>
      </c>
      <c r="AR176" s="8" cm="1">
        <f t="array" ref="AR176">IF($BF176="",0,_xlfn.LET(_xlpm.d,IFERROR(--'Sales and count'!$G$2:$CC$2,0),SUMPRODUCT(('Sales and count'!$G$3:$CC$3="Total")*(_xlpm.d&gt;=$U$4)*(_xlpm.d&lt;=$U$5),INDEX('Sales and count'!$G$4:$CC$300,$BF176,0))))</f>
        <v>0</v>
      </c>
      <c r="AS176" s="8" cm="1">
        <f t="array" ref="AS176">IF($BF176="",0,_xlfn.LET(_xlpm.d,IFERROR(--'Sales and count'!$F$2:$CB$2,0),SUMPRODUCT(('Sales and count'!$G$3:$CC$3="Transactions")*(_xlpm.d&gt;=$U$4)*(_xlpm.d&lt;=$U$5),INDEX('Sales and count'!$G$4:$CC$300,$BF176,0))))</f>
        <v>0</v>
      </c>
      <c r="AT176" s="8" cm="1">
        <f t="array" ref="AT176">IF($AW176="",0,SUMPRODUCT((TRIM('LY Sales '!$B$5:$B$200)=$AW176)*('LY Sales '!$C$2:$AG$2&gt;=EDATE($U$4,-12))*('LY Sales '!$C$2:$AG$2&lt;=EDATE($U$5,-12)),'LY Sales '!$C$5:$AG$200))</f>
        <v>0</v>
      </c>
      <c r="AU176" s="8" cm="1">
        <f t="array" ref="AU176">IF($AW176="",0,SUMPRODUCT((TRIM('LY Transaction'!$B$5:$B$200)=$AW176)*('LY Transaction'!$C$2:$AG$2&gt;=EDATE($U$4,-12))*('LY Transaction'!$C$2:$AG$2&lt;=EDATE($U$5,-12)),'LY Transaction'!$C$5:$AG$200))</f>
        <v>0</v>
      </c>
      <c r="AV176" s="8" cm="1">
        <f t="array" ref="AV176">IF(NOT(ISNUMBER($BG176)),0,SUMPRODUCT(('TY Sales Target'!$K$2:$AO$2&gt;=$U$4)*('TY Sales Target'!$K$2:$AO$2&lt;=$U$5),INDEX('TY Sales Target'!$K$5:$AO$300,$BG176,0)))</f>
        <v>0</v>
      </c>
      <c r="AW176" s="8" t="str" cm="1">
        <f t="array" ref="AW176">IFERROR(INDEX(_xlfn.ANCHORARRAY($BR$5),ROWS($AW$5:AW176)),"")</f>
        <v/>
      </c>
      <c r="BB176" cm="1">
        <f t="array" ref="BB176">IF($AW176="",0,SUMPRODUCT((TRIM(Footfall!$B$5:$B$301)=$AW176)*(Footfall!$C$1:$BZ$1&gt;=$U$4)*(Footfall!$C$2:$BZ$2&lt;=$U$5)*(Footfall!$C$1:$BZ$1&lt;&gt;""),Footfall!$C$5:$BZ$301))</f>
        <v>0</v>
      </c>
      <c r="BC176" cm="1">
        <f t="array" ref="BC176">IF(OR($BB176&lt;=0,$BD$1="",$BF176=""),0,_xlfn.LET(_xlpm.d,IFERROR(--'Sales and count'!$F$2:$CB$2,0),SUMPRODUCT(('Sales and count'!$G$3:$CC$3="Transactions")*(_xlpm.d&gt;=$BD$1)*(_xlpm.d&lt;=$BD$2),INDEX('Sales and count'!$G$4:$CC$300,$BF176,0))))</f>
        <v>0</v>
      </c>
      <c r="BF176" t="str" cm="1">
        <f t="array" ref="BF176">IF($AW176="","",IFERROR(MATCH($AW176,TRIM('Sales and count'!$A$4:$A$300&amp;""),0),""))</f>
        <v/>
      </c>
      <c r="BG176" t="str" cm="1">
        <f t="array" ref="BG176">IF($AW176="","",IFERROR(MATCH(IFERROR(_xlfn.XLOOKUP($AW176,$BT$5:$BT$22,$BU$5:$BU$22),$AW176),TRIM('TY Sales Target'!$B$5:$B$300&amp;""),0),""))</f>
        <v/>
      </c>
      <c r="BH176" t="str" cm="1">
        <f t="array" ref="BH176">IF(ISNUMBER($BG176),_xlfn.LET(_xlpm.p,TRIM(INDEX('TY Sales Target'!$I$5:$I$300,$BG176)&amp;""),IF(_xlpm.p="","Not set",_xlpm.p)),"Not set")</f>
        <v>Not set</v>
      </c>
      <c r="BI176" cm="1">
        <f t="array" ref="BI176">IF($BF176="",0,_xlfn.LET(_xlpm.d,IFERROR(--'Sales and count'!$G$2:$CC$2,0),SUMPRODUCT(('Sales and count'!$G$3:$CC$3="Total")*(_xlpm.d&gt;=$BZ$5)*(_xlpm.d&lt;=$BZ$6),INDEX('Sales and count'!$G$4:$CC$300,$BF176,0))))</f>
        <v>0</v>
      </c>
      <c r="BJ176" cm="1">
        <f t="array" ref="BJ176">IF($AW176="",0,SUMPRODUCT((TRIM('LY Sales '!$B$5:$B$200)=$AW176)*('LY Sales '!$C$2:$AG$2&gt;=EDATE($BZ$5,-12))*('LY Sales '!$C$2:$AG$2&lt;=EDATE($BZ$6,-12)),'LY Sales '!$C$5:$AG$200))</f>
        <v>0</v>
      </c>
      <c r="BK176" cm="1">
        <f t="array" ref="BK176">IF($AW176="",0,SUMPRODUCT((TRIM('LY Sales '!$B$5:$B$200)=$AW176)*('LY Sales '!$C$2:$AG$2&gt;=EDATE($BZ$5,-12))*('LY Sales '!$C$2:$AG$2&lt;=EDATE($BZ$7,-12)),'LY Sales '!$C$5:$AG$200))</f>
        <v>0</v>
      </c>
      <c r="BL176" cm="1">
        <f t="array" ref="BL176">IF($AW176="",0,SUMPRODUCT((TRIM('LY Sales '!$B$5:$B$200)=$AW176)*('LY Sales '!$C$2:$AG$2&gt;=EDATE($BZ$5,-12))*('LY Sales '!$C$2:$AG$2&lt;=EDATE($BZ$6,-12))*('LY Sales '!$C$5:$AG$200&gt;0)))</f>
        <v>0</v>
      </c>
      <c r="BM176" cm="1">
        <f t="array" ref="BM176">IF(NOT(ISNUMBER($BG176)),0,SUMPRODUCT(('TY Sales Target'!$K$2:$AO$2&gt;=$BZ$5)*('TY Sales Target'!$K$2:$AO$2&lt;=$BZ$6),INDEX('TY Sales Target'!$K$5:$AO$300,$BG176,0)))</f>
        <v>0</v>
      </c>
      <c r="BN176" cm="1">
        <f t="array" ref="BN176">IF(NOT(ISNUMBER($BG176)),0,SUMPRODUCT(('TY Sales Target'!$K$2:$AO$2&gt;=$BZ$5)*('TY Sales Target'!$K$2:$AO$2&lt;=$BZ$7),INDEX('TY Sales Target'!$K$5:$AO$300,$BG176,0)))</f>
        <v>0</v>
      </c>
      <c r="BO176" cm="1">
        <f t="array" ref="BO176">IF($AW176="",0,IFERROR(_xlfn.SWITCH($BP176,"LY trend",$BI176*$BK176/$BJ176,"Target curve",$BI176*$BN176/$BM176,"Run rate",$BI176/$BZ$8*$BZ$9,0),0))</f>
        <v>0</v>
      </c>
      <c r="BP176" t="str">
        <f t="shared" si="92"/>
        <v/>
      </c>
      <c r="CB176" cm="1">
        <f t="array" ref="CB176">IF($AW176="",0,_xlfn.LET(_xlpm.k,IFERROR(_xlfn.XLOOKUP($AW176,$CD$6:$CD$21,$CE$6:$CE$21),$AW176),SUMPRODUCT((TRIM('Makeup '!$A$2:$A$300&amp;"")=_xlpm.k)*1,IFERROR('Makeup '!$F$2:$F$300*1,0))))</f>
        <v>0</v>
      </c>
      <c r="CF176" t="str" cm="1">
        <f t="array" ref="CF176">IF($AW176="","",_xlfn.LET(_xlpm.c,IFERROR(TRIM(INDEX('Sales and count'!$B$4:$B$300,$BF176)&amp;""),""),IF(OR(_xlpm.c="",_xlpm.c="0",LEFT(_xlpm.c,1)="#"),"Not set",_xlpm.c)))</f>
        <v/>
      </c>
      <c r="CH176" cm="1">
        <f t="array" ref="CH176">IF($AW176="",0,_xlfn.LET(_xlpm.k,IFERROR(_xlfn.XLOOKUP($AW176,$CD$6:$CD$21,$CE$6:$CE$21),$AW176),--(SUMPRODUCT((TRIM('Makeup '!$A$2:$A$300&amp;"")=_xlpm.k)*ISNUMBER('Makeup '!$F$2:$F$300))&gt;0)))</f>
        <v>0</v>
      </c>
      <c r="CI176">
        <f t="shared" si="95"/>
        <v>0</v>
      </c>
      <c r="CJ176" cm="1">
        <f t="array" ref="CJ176">IF($AW176="",0,--(SUMPRODUCT(--(TRIM(Footfall!$B$5:$B$301)=$AW176))&gt;0))</f>
        <v>0</v>
      </c>
      <c r="CK176" s="8" cm="1">
        <f t="array" ref="CK176">IF($AW176="",0,_xlfn.LET(_xlpm.r,IFERROR(MATCH(IFERROR(_xlfn.XLOOKUP($AW176,$BT$5:$BT$22,$BU$5:$BU$22),$AW176),TRIM('TY Beauty Target'!$B$5:$B$300&amp;""),0),""),IF(ISNUMBER(_xlpm.r),SUMPRODUCT(('TY Beauty Target'!$L$2:$AP$2&gt;=$U$4)*('TY Beauty Target'!$L$2:$AP$2&lt;=$U$5),INDEX('TY Beauty Target'!$L$5:$AP$300,_xlpm.r,0)),0)))</f>
        <v>0</v>
      </c>
    </row>
    <row r="177" spans="1:89" ht="15" customHeight="1" x14ac:dyDescent="0.25">
      <c r="A177" s="38" t="str">
        <f t="shared" si="96"/>
        <v/>
      </c>
      <c r="B177" s="43" t="str" cm="1">
        <f t="array" ref="B177">IF($AI177="","",IF(LEFT($AI177,2)="C|",IF($C177="","",_xlfn.TEXTJOIN(", ",TRUE,_xlfn.UNIQUE(_xlfn._xlws.FILTER($AN$5:$AN$302,($AP$5:$AP$302=1)*($AO$5:$AO$302=$A177))))),IF($AI177="CT",B$13,IF(LEFT($AI177,3)="AM|",IF($C177="","",ROWS(_xlfn.UNIQUE(_xlfn._xlws.FILTER($AO$5:$AO$302,($AP$5:$AP$302=1)*($AN$5:$AN$302=$A177))))),IF(LEFT($AI177,2)="S|",IF($AG177="","",INDEX($AO$5:$AO$302,$AH177)),IF($AI177="HDR","City",""))))))</f>
        <v/>
      </c>
      <c r="C177" s="39" t="str" cm="1">
        <f t="array" ref="C177">IF($AI177="","",IF(LEFT($AI177,2)="C|",_xlfn.LET(_xlpm.n,SUMPRODUCT($AP$5:$AP$302*($AO$5:$AO$302=$A177)),IF(_xlpm.n=0,"",_xlpm.n)),IF($AI177="CT",C$13,IF(LEFT($AI177,3)="AM|",_xlfn.LET(_xlpm.n,SUMPRODUCT($AP$5:$AP$302*($AN$5:$AN$302=$A177)),IF(_xlpm.n=0,"",_xlpm.n)),IF(LEFT($AI177,2)="S|","",IF($AI177="HDR","# Stores",""))))))</f>
        <v/>
      </c>
      <c r="D177" s="40" t="str" cm="1">
        <f t="array" ref="D177">IF($AI177="","",IF(LEFT($AI177,2)="C|",IF($C177="","",SUMPRODUCT($AP$5:$AP$302*($AO$5:$AO$302=$A177),$AR$5:$AR$302)),IF($AI177="CT",D$13,IF(LEFT($AI177,3)="AM|",IF($C177="","",SUMPRODUCT($AP$5:$AP$302*($AN$5:$AN$302=$A177),$AR$5:$AR$302)),IF(LEFT($AI177,2)="S|",IF($AG177="","",INDEX($AR$5:$AR$302,$AH177)),IF($AI177="HDR","Sales TY",""))))))</f>
        <v/>
      </c>
      <c r="E177" s="40" t="str" cm="1">
        <f t="array" ref="E177">IF($AI177="","",IF(LEFT($AI177,2)="C|",IF($C177="","",SUMPRODUCT($AP$5:$AP$302*($AO$5:$AO$302=$A177),$AT$5:$AT$302)),IF($AI177="CT",E$13,IF(LEFT($AI177,3)="AM|",IF($C177="","",SUMPRODUCT($AP$5:$AP$302*($AN$5:$AN$302=$A177),$AT$5:$AT$302)),IF(LEFT($AI177,2)="S|",IF($AG177="","",INDEX($AT$5:$AT$302,$AH177)),IF($AI177="HDR","Sales LY",""))))))</f>
        <v/>
      </c>
      <c r="F177" s="41" t="str">
        <f t="shared" si="97"/>
        <v/>
      </c>
      <c r="G177" s="41" t="str">
        <f t="shared" si="98"/>
        <v/>
      </c>
      <c r="H177" s="40" t="str" cm="1">
        <f t="array" ref="H177">IF($AI177="","",IF(LEFT($AI177,2)="C|",IF($C177="","",SUMPRODUCT($AP$5:$AP$302*($AO$5:$AO$302=$A177),$AV$5:$AV$302)),IF($AI177="CT",H$13,IF(LEFT($AI177,3)="AM|",IF($C177="","",SUMPRODUCT($AP$5:$AP$302*($AN$5:$AN$302=$A177),$AV$5:$AV$302)),IF(LEFT($AI177,2)="S|",IF($AG177="","",INDEX($AV$5:$AV$302,$AH177)),IF($AI177="HDR","Target",""))))))</f>
        <v/>
      </c>
      <c r="I177" s="41" t="str">
        <f t="shared" si="99"/>
        <v/>
      </c>
      <c r="J177" s="40" t="str">
        <f t="shared" si="100"/>
        <v/>
      </c>
      <c r="K177" s="41" t="str">
        <f t="shared" si="101"/>
        <v/>
      </c>
      <c r="L177" s="40" t="str" cm="1">
        <f t="array" ref="L177">IF($AI177="","",IF(LEFT($AI177,2)="C|",IF($C177="","",SUMPRODUCT($AP$5:$AP$302*($AO$5:$AO$302=$A177),$BN$5:$BN$302)),IF($AI177="CT",L$13,IF(LEFT($AI177,3)="AM|",IF($C177="","",SUMPRODUCT($AP$5:$AP$302*($AN$5:$AN$302=$A177),$BN$5:$BN$302)),IF(LEFT($AI177,2)="S|",IF($AG177="","",INDEX($BN$5:$BN$302,$AH177)),IF($AI177="HDR","Month Target",""))))))</f>
        <v/>
      </c>
      <c r="M177" s="40" t="str" cm="1">
        <f t="array" ref="M177">IF($AI177="","",IF(LEFT($AI177,2)="C|",IF($C177="","",SUMPRODUCT($AP$5:$AP$302*($AO$5:$AO$302=$A177),$BO$5:$BO$302)),IF($AI177="CT",M$13,IF(LEFT($AI177,3)="AM|",IF($C177="","",SUMPRODUCT($AP$5:$AP$302*($AN$5:$AN$302=$A177),$BO$5:$BO$302)),IF(LEFT($AI177,2)="S|",IF($AG177="","",INDEX($BO$5:$BO$302,$AH177)),IF($AI177="HDR","Projected Close",""))))))</f>
        <v/>
      </c>
      <c r="N177" s="41" t="str">
        <f t="shared" si="109"/>
        <v/>
      </c>
      <c r="O177" s="41" t="str" cm="1">
        <f t="array" ref="O177">IF($AI177="HDR","Proj. vs LY",IF(OR($AI177="",M177=""),"",_xlfn.LET(_xlpm.ly,IF(LEFT($AI177,2)="C|",SUMPRODUCT($AP$5:$AP$302*($AO$5:$AO$302=$A177),$BK$5:$BK$302),IF($AI177="CT",SUMPRODUCT($AP$5:$AP$302,$BK$5:$BK$302),IF(LEFT($AI177,3)="AM|",SUMPRODUCT($AP$5:$AP$302*($AN$5:$AN$302=$A177),$BK$5:$BK$302),IF(LEFT($AI177,2)="S|",INDEX($BK$5:$BK$302,$AH177),0)))),IFERROR(M177/_xlpm.ly-1,""))))</f>
        <v/>
      </c>
      <c r="P177" s="40" t="str" cm="1">
        <f t="array" ref="P177">IF($AI177="","",IF(LEFT($AI177,2)="C|",IF($C177="","",SUMPRODUCT($AP$5:$AP$302*($AO$5:$AO$302=$A177),$AS$5:$AS$302)),IF($AI177="CT",P$13,IF(LEFT($AI177,3)="AM|",IF($C177="","",SUMPRODUCT($AP$5:$AP$302*($AN$5:$AN$302=$A177),$AS$5:$AS$302)),IF(LEFT($AI177,2)="S|",IF($AG177="","",INDEX($AS$5:$AS$302,$AH177)),IF($AI177="HDR","Trans TY",""))))))</f>
        <v/>
      </c>
      <c r="Q177" s="40" t="str" cm="1">
        <f t="array" ref="Q177">IF($AI177="","",IF(LEFT($AI177,2)="C|",IF($C177="","",SUMPRODUCT($AP$5:$AP$302*($AO$5:$AO$302=$A177),$AU$5:$AU$302)),IF($AI177="CT",Q$13,IF(LEFT($AI177,3)="AM|",IF($C177="","",SUMPRODUCT($AP$5:$AP$302*($AN$5:$AN$302=$A177),$AU$5:$AU$302)),IF(LEFT($AI177,2)="S|",IF($AG177="","",INDEX($AU$5:$AU$302,$AH177)),IF($AI177="HDR","Trans LY",""))))))</f>
        <v/>
      </c>
      <c r="R177" s="41" t="str">
        <f t="shared" si="102"/>
        <v/>
      </c>
      <c r="S177" s="41" t="str">
        <f t="shared" si="103"/>
        <v/>
      </c>
      <c r="T177" s="42" t="str">
        <f t="shared" si="104"/>
        <v/>
      </c>
      <c r="U177" s="42" t="str">
        <f t="shared" si="105"/>
        <v/>
      </c>
      <c r="V177" s="41" t="str">
        <f t="shared" si="106"/>
        <v/>
      </c>
      <c r="W177" s="40" t="str" cm="1">
        <f t="array" ref="W177">IF($AI177="","",IF(LEFT($AI177,2)="C|",_xlfn.LET(_xlpm.n,SUMPRODUCT($AP$5:$AP$302*($AO$5:$AO$302=$A177),$BB$5:$BB$302),IF(_xlpm.n=0,"",_xlpm.n)),IF($AI177="CT",W$13,IF(LEFT($AI177,3)="AM|",_xlfn.LET(_xlpm.n,SUMPRODUCT($AP$5:$AP$302*($AN$5:$AN$302=$A177),$BB$5:$BB$302),IF(_xlpm.n=0,"",_xlpm.n)),IF(LEFT($AI177,2)="S|",IF($AG177="","",_xlfn.LET(_xlpm.n,INDEX($BB$5:$BB$302,$AH177),IF(_xlpm.n=0,"",_xlpm.n))),IF($AI177="HDR","Footfall",""))))))</f>
        <v/>
      </c>
      <c r="X177" s="40" t="str" cm="1">
        <f t="array" ref="X177">IF($AI177="","",IF($AI177="HDR","Trans (FF stores)",IF(W177="","",IF(LEFT($AI177,2)="C|",SUMPRODUCT($AP$5:$AP$302*($AO$5:$AO$302=$A177),$BC$5:$BC$302),IF($AI177="CT",X$13,IF(LEFT($AI177,3)="AM|",SUMPRODUCT($AP$5:$AP$302*($AN$5:$AN$302=$A177),$BC$5:$BC$302),IF(LEFT($AI177,2)="S|",INDEX($BC$5:$BC$302,$AH177),"")))))))</f>
        <v/>
      </c>
      <c r="Y177" s="41" t="str">
        <f t="shared" si="110"/>
        <v/>
      </c>
      <c r="Z177" s="40" t="str" cm="1">
        <f t="array" ref="Z177">IF($AI177="","",IF(LEFT($AI177,2)="C|",IF($C177="","",SUMPRODUCT($AP$5:$AP$302*($AO$5:$AO$302=$A177),$CB$5:$CB$302)),IF($AI177="CT",Z$13,IF(LEFT($AI177,3)="AM|",IF($C177="","",SUMPRODUCT($AP$5:$AP$302*($AN$5:$AN$302=$A177),$CB$5:$CB$302)),IF(LEFT($AI177,2)="S|",IF($AG177="","",INDEX($CB$5:$CB$302,$AH177)),IF($AI177="HDR","Makeup Sales",""))))))</f>
        <v/>
      </c>
      <c r="AA177" s="41" t="str">
        <f t="shared" si="107"/>
        <v/>
      </c>
      <c r="AB177" s="40" t="str" cm="1">
        <f t="array" ref="AB177">IF($AI177="","",IF(LEFT($AI177,2)="C|",IF($C177="","",SUMPRODUCT($AP$5:$AP$302*($AO$5:$AO$302=$A177),$CK$5:$CK$302)),IF($AI177="CT",AB$13,IF(LEFT($AI177,3)="AM|",IF($C177="","",SUMPRODUCT($AP$5:$AP$302*($AN$5:$AN$302=$A177),$CK$5:$CK$302)),IF(LEFT($AI177,2)="S|",IF($AG177="","",INDEX($CK$5:$CK$302,$AH177)),IF($AI177="HDR","Makeup Target",""))))))</f>
        <v/>
      </c>
      <c r="AC177" s="41" t="str">
        <f t="shared" si="111"/>
        <v/>
      </c>
      <c r="AD177" s="40" t="str" cm="1">
        <f t="array" ref="AD177">IF($AI177="","",IF(LEFT($AI177,2)="C|",IF($C177="","",SUMPRODUCT($AP$5:$AP$302*($AO$5:$AO$302=$A177),$CI$5:$CI$302)),IF($AI177="CT",AD$13,IF(LEFT($AI177,3)="AM|",IF($C177="","",SUMPRODUCT($AP$5:$AP$302*($AN$5:$AN$302=$A177),$CI$5:$CI$302)),IF(LEFT($AI177,2)="S|",IF($AG177="","",INDEX($CI$5:$CI$302,$AH177)),IF($AI177="HDR","Cosmetic Sales",""))))))</f>
        <v/>
      </c>
      <c r="AE177" s="8" t="str" cm="1">
        <f t="array" ref="AE177">IF($AI177="","",IF(LEFT($AI177,2)="C|",IF($C177="","",SUMPRODUCT($AP$5:$AP$302*($AO$5:$AO$302=$A177)*$AQ$5:$AQ$302,$AR$5:$AR$302)),IF($AI177="CT",AE$13,IF(LEFT($AI177,3)="AM|",IF($C177="","",SUMPRODUCT($AP$5:$AP$302*($AN$5:$AN$302=$A177)*$AQ$5:$AQ$302,$AR$5:$AR$302)),IF(LEFT($AI177,2)="S|",IF($AG177="","",IF(INDEX($AQ$5:$AQ$302,$AH177)=1,D177,0)),IF($AI177="HDR","LFL Sales",""))))))</f>
        <v/>
      </c>
      <c r="AF177" s="8" t="str" cm="1">
        <f t="array" ref="AF177">IF($AI177="","",IF(LEFT($AI177,2)="C|",IF($C177="","",SUMPRODUCT($AP$5:$AP$302*($AO$5:$AO$302=$A177)*$AQ$5:$AQ$302,$AS$5:$AS$302)),IF($AI177="CT",AF$13,IF(LEFT($AI177,3)="AM|",IF($C177="","",SUMPRODUCT($AP$5:$AP$302*($AN$5:$AN$302=$A177)*$AQ$5:$AQ$302,$AS$5:$AS$302)),IF(LEFT($AI177,2)="S|",IF($AG177="","",IF(INDEX($AQ$5:$AQ$302,$AH177)=1,P177,0)),IF($AI177="HDR","LFL Trans",""))))))</f>
        <v/>
      </c>
      <c r="AG177" s="8" t="str" cm="1">
        <f t="array" ref="AG177">IF($AI177="","",IF(LEFT($AI177,2)="C|","",IF($AI177="CT","",IF(LEFT($AI177,3)="AM|","",IF(LEFT($AI177,2)="S|",IF($AH177="","",IF(INDEX($AP$5:$AP$302,$AH177)=1,1,"")),IF($AI177="HDR","Show",""))))))</f>
        <v/>
      </c>
      <c r="AH177" s="8" t="str">
        <f t="shared" si="108"/>
        <v/>
      </c>
      <c r="AI177" s="8"/>
      <c r="AN177" s="8" t="str" cm="1">
        <f t="array" ref="AN177">IF($AW177="","",_xlfn.LET(_xlpm.sa,IFERROR(TRIM(INDEX('Sales and count'!$D$4:$D$300,$BF177)&amp;""),""),_xlpm.ta,IFERROR(TRIM(INDEX('TY Sales Target'!$F$5:$F$300,$BG177)&amp;""),""),IF(AND(_xlpm.sa&lt;&gt;"",LEFT(_xlpm.sa,1)&lt;&gt;"#",_xlpm.sa&lt;&gt;"0"),_xlpm.sa,IF(AND(_xlpm.ta&lt;&gt;"",LEFT(_xlpm.ta,1)&lt;&gt;"#",_xlpm.ta&lt;&gt;"0"),_xlpm.ta,IF(ISNUMBER($BG177),"Unassigned","")))))</f>
        <v/>
      </c>
      <c r="AO177" s="8" t="str" cm="1">
        <f t="array" ref="AO177">IF($AW177="","",_xlfn.LET(_xlpm.sa,IFERROR(TRIM(INDEX('Sales and count'!$C$4:$C$300,$BF177)&amp;""),""),_xlpm.ta,IFERROR(TRIM(INDEX('TY Sales Target'!$D$5:$D$300,$BG177)&amp;""),""),IF(AND(_xlpm.sa&lt;&gt;"",LEFT(_xlpm.sa,1)&lt;&gt;"#",_xlpm.sa&lt;&gt;"0"),_xlpm.sa,IF(AND(_xlpm.ta&lt;&gt;"",LEFT(_xlpm.ta,1)&lt;&gt;"#",_xlpm.ta&lt;&gt;"0"),_xlpm.ta,""))))</f>
        <v/>
      </c>
      <c r="AP177" s="8">
        <f t="shared" si="93"/>
        <v>0</v>
      </c>
      <c r="AQ177" s="8">
        <f t="shared" si="94"/>
        <v>0</v>
      </c>
      <c r="AR177" s="8" cm="1">
        <f t="array" ref="AR177">IF($BF177="",0,_xlfn.LET(_xlpm.d,IFERROR(--'Sales and count'!$G$2:$CC$2,0),SUMPRODUCT(('Sales and count'!$G$3:$CC$3="Total")*(_xlpm.d&gt;=$U$4)*(_xlpm.d&lt;=$U$5),INDEX('Sales and count'!$G$4:$CC$300,$BF177,0))))</f>
        <v>0</v>
      </c>
      <c r="AS177" s="8" cm="1">
        <f t="array" ref="AS177">IF($BF177="",0,_xlfn.LET(_xlpm.d,IFERROR(--'Sales and count'!$F$2:$CB$2,0),SUMPRODUCT(('Sales and count'!$G$3:$CC$3="Transactions")*(_xlpm.d&gt;=$U$4)*(_xlpm.d&lt;=$U$5),INDEX('Sales and count'!$G$4:$CC$300,$BF177,0))))</f>
        <v>0</v>
      </c>
      <c r="AT177" s="8" cm="1">
        <f t="array" ref="AT177">IF($AW177="",0,SUMPRODUCT((TRIM('LY Sales '!$B$5:$B$200)=$AW177)*('LY Sales '!$C$2:$AG$2&gt;=EDATE($U$4,-12))*('LY Sales '!$C$2:$AG$2&lt;=EDATE($U$5,-12)),'LY Sales '!$C$5:$AG$200))</f>
        <v>0</v>
      </c>
      <c r="AU177" s="8" cm="1">
        <f t="array" ref="AU177">IF($AW177="",0,SUMPRODUCT((TRIM('LY Transaction'!$B$5:$B$200)=$AW177)*('LY Transaction'!$C$2:$AG$2&gt;=EDATE($U$4,-12))*('LY Transaction'!$C$2:$AG$2&lt;=EDATE($U$5,-12)),'LY Transaction'!$C$5:$AG$200))</f>
        <v>0</v>
      </c>
      <c r="AV177" s="8" cm="1">
        <f t="array" ref="AV177">IF(NOT(ISNUMBER($BG177)),0,SUMPRODUCT(('TY Sales Target'!$K$2:$AO$2&gt;=$U$4)*('TY Sales Target'!$K$2:$AO$2&lt;=$U$5),INDEX('TY Sales Target'!$K$5:$AO$300,$BG177,0)))</f>
        <v>0</v>
      </c>
      <c r="AW177" s="8" t="str" cm="1">
        <f t="array" ref="AW177">IFERROR(INDEX(_xlfn.ANCHORARRAY($BR$5),ROWS($AW$5:AW177)),"")</f>
        <v/>
      </c>
      <c r="BB177" cm="1">
        <f t="array" ref="BB177">IF($AW177="",0,SUMPRODUCT((TRIM(Footfall!$B$5:$B$301)=$AW177)*(Footfall!$C$1:$BZ$1&gt;=$U$4)*(Footfall!$C$2:$BZ$2&lt;=$U$5)*(Footfall!$C$1:$BZ$1&lt;&gt;""),Footfall!$C$5:$BZ$301))</f>
        <v>0</v>
      </c>
      <c r="BC177" cm="1">
        <f t="array" ref="BC177">IF(OR($BB177&lt;=0,$BD$1="",$BF177=""),0,_xlfn.LET(_xlpm.d,IFERROR(--'Sales and count'!$F$2:$CB$2,0),SUMPRODUCT(('Sales and count'!$G$3:$CC$3="Transactions")*(_xlpm.d&gt;=$BD$1)*(_xlpm.d&lt;=$BD$2),INDEX('Sales and count'!$G$4:$CC$300,$BF177,0))))</f>
        <v>0</v>
      </c>
      <c r="BF177" t="str" cm="1">
        <f t="array" ref="BF177">IF($AW177="","",IFERROR(MATCH($AW177,TRIM('Sales and count'!$A$4:$A$300&amp;""),0),""))</f>
        <v/>
      </c>
      <c r="BG177" t="str" cm="1">
        <f t="array" ref="BG177">IF($AW177="","",IFERROR(MATCH(IFERROR(_xlfn.XLOOKUP($AW177,$BT$5:$BT$22,$BU$5:$BU$22),$AW177),TRIM('TY Sales Target'!$B$5:$B$300&amp;""),0),""))</f>
        <v/>
      </c>
      <c r="BH177" t="str" cm="1">
        <f t="array" ref="BH177">IF(ISNUMBER($BG177),_xlfn.LET(_xlpm.p,TRIM(INDEX('TY Sales Target'!$I$5:$I$300,$BG177)&amp;""),IF(_xlpm.p="","Not set",_xlpm.p)),"Not set")</f>
        <v>Not set</v>
      </c>
      <c r="BI177" cm="1">
        <f t="array" ref="BI177">IF($BF177="",0,_xlfn.LET(_xlpm.d,IFERROR(--'Sales and count'!$G$2:$CC$2,0),SUMPRODUCT(('Sales and count'!$G$3:$CC$3="Total")*(_xlpm.d&gt;=$BZ$5)*(_xlpm.d&lt;=$BZ$6),INDEX('Sales and count'!$G$4:$CC$300,$BF177,0))))</f>
        <v>0</v>
      </c>
      <c r="BJ177" cm="1">
        <f t="array" ref="BJ177">IF($AW177="",0,SUMPRODUCT((TRIM('LY Sales '!$B$5:$B$200)=$AW177)*('LY Sales '!$C$2:$AG$2&gt;=EDATE($BZ$5,-12))*('LY Sales '!$C$2:$AG$2&lt;=EDATE($BZ$6,-12)),'LY Sales '!$C$5:$AG$200))</f>
        <v>0</v>
      </c>
      <c r="BK177" cm="1">
        <f t="array" ref="BK177">IF($AW177="",0,SUMPRODUCT((TRIM('LY Sales '!$B$5:$B$200)=$AW177)*('LY Sales '!$C$2:$AG$2&gt;=EDATE($BZ$5,-12))*('LY Sales '!$C$2:$AG$2&lt;=EDATE($BZ$7,-12)),'LY Sales '!$C$5:$AG$200))</f>
        <v>0</v>
      </c>
      <c r="BL177" cm="1">
        <f t="array" ref="BL177">IF($AW177="",0,SUMPRODUCT((TRIM('LY Sales '!$B$5:$B$200)=$AW177)*('LY Sales '!$C$2:$AG$2&gt;=EDATE($BZ$5,-12))*('LY Sales '!$C$2:$AG$2&lt;=EDATE($BZ$6,-12))*('LY Sales '!$C$5:$AG$200&gt;0)))</f>
        <v>0</v>
      </c>
      <c r="BM177" cm="1">
        <f t="array" ref="BM177">IF(NOT(ISNUMBER($BG177)),0,SUMPRODUCT(('TY Sales Target'!$K$2:$AO$2&gt;=$BZ$5)*('TY Sales Target'!$K$2:$AO$2&lt;=$BZ$6),INDEX('TY Sales Target'!$K$5:$AO$300,$BG177,0)))</f>
        <v>0</v>
      </c>
      <c r="BN177" cm="1">
        <f t="array" ref="BN177">IF(NOT(ISNUMBER($BG177)),0,SUMPRODUCT(('TY Sales Target'!$K$2:$AO$2&gt;=$BZ$5)*('TY Sales Target'!$K$2:$AO$2&lt;=$BZ$7),INDEX('TY Sales Target'!$K$5:$AO$300,$BG177,0)))</f>
        <v>0</v>
      </c>
      <c r="BO177" cm="1">
        <f t="array" ref="BO177">IF($AW177="",0,IFERROR(_xlfn.SWITCH($BP177,"LY trend",$BI177*$BK177/$BJ177,"Target curve",$BI177*$BN177/$BM177,"Run rate",$BI177/$BZ$8*$BZ$9,0),0))</f>
        <v>0</v>
      </c>
      <c r="BP177" t="str">
        <f t="shared" si="92"/>
        <v/>
      </c>
      <c r="CB177" cm="1">
        <f t="array" ref="CB177">IF($AW177="",0,_xlfn.LET(_xlpm.k,IFERROR(_xlfn.XLOOKUP($AW177,$CD$6:$CD$21,$CE$6:$CE$21),$AW177),SUMPRODUCT((TRIM('Makeup '!$A$2:$A$300&amp;"")=_xlpm.k)*1,IFERROR('Makeup '!$F$2:$F$300*1,0))))</f>
        <v>0</v>
      </c>
      <c r="CF177" t="str" cm="1">
        <f t="array" ref="CF177">IF($AW177="","",_xlfn.LET(_xlpm.c,IFERROR(TRIM(INDEX('Sales and count'!$B$4:$B$300,$BF177)&amp;""),""),IF(OR(_xlpm.c="",_xlpm.c="0",LEFT(_xlpm.c,1)="#"),"Not set",_xlpm.c)))</f>
        <v/>
      </c>
      <c r="CH177" cm="1">
        <f t="array" ref="CH177">IF($AW177="",0,_xlfn.LET(_xlpm.k,IFERROR(_xlfn.XLOOKUP($AW177,$CD$6:$CD$21,$CE$6:$CE$21),$AW177),--(SUMPRODUCT((TRIM('Makeup '!$A$2:$A$300&amp;"")=_xlpm.k)*ISNUMBER('Makeup '!$F$2:$F$300))&gt;0)))</f>
        <v>0</v>
      </c>
      <c r="CI177">
        <f t="shared" si="95"/>
        <v>0</v>
      </c>
      <c r="CJ177" cm="1">
        <f t="array" ref="CJ177">IF($AW177="",0,--(SUMPRODUCT(--(TRIM(Footfall!$B$5:$B$301)=$AW177))&gt;0))</f>
        <v>0</v>
      </c>
      <c r="CK177" s="8" cm="1">
        <f t="array" ref="CK177">IF($AW177="",0,_xlfn.LET(_xlpm.r,IFERROR(MATCH(IFERROR(_xlfn.XLOOKUP($AW177,$BT$5:$BT$22,$BU$5:$BU$22),$AW177),TRIM('TY Beauty Target'!$B$5:$B$300&amp;""),0),""),IF(ISNUMBER(_xlpm.r),SUMPRODUCT(('TY Beauty Target'!$L$2:$AP$2&gt;=$U$4)*('TY Beauty Target'!$L$2:$AP$2&lt;=$U$5),INDEX('TY Beauty Target'!$L$5:$AP$300,_xlpm.r,0)),0)))</f>
        <v>0</v>
      </c>
    </row>
    <row r="178" spans="1:89" ht="15" customHeight="1" x14ac:dyDescent="0.25">
      <c r="A178" s="38" t="str">
        <f t="shared" si="96"/>
        <v/>
      </c>
      <c r="B178" s="43" t="str" cm="1">
        <f t="array" ref="B178">IF($AI178="","",IF(LEFT($AI178,2)="C|",IF($C178="","",_xlfn.TEXTJOIN(", ",TRUE,_xlfn.UNIQUE(_xlfn._xlws.FILTER($AN$5:$AN$302,($AP$5:$AP$302=1)*($AO$5:$AO$302=$A178))))),IF($AI178="CT",B$13,IF(LEFT($AI178,3)="AM|",IF($C178="","",ROWS(_xlfn.UNIQUE(_xlfn._xlws.FILTER($AO$5:$AO$302,($AP$5:$AP$302=1)*($AN$5:$AN$302=$A178))))),IF(LEFT($AI178,2)="S|",IF($AG178="","",INDEX($AO$5:$AO$302,$AH178)),IF($AI178="HDR","City",""))))))</f>
        <v/>
      </c>
      <c r="C178" s="39" t="str" cm="1">
        <f t="array" ref="C178">IF($AI178="","",IF(LEFT($AI178,2)="C|",_xlfn.LET(_xlpm.n,SUMPRODUCT($AP$5:$AP$302*($AO$5:$AO$302=$A178)),IF(_xlpm.n=0,"",_xlpm.n)),IF($AI178="CT",C$13,IF(LEFT($AI178,3)="AM|",_xlfn.LET(_xlpm.n,SUMPRODUCT($AP$5:$AP$302*($AN$5:$AN$302=$A178)),IF(_xlpm.n=0,"",_xlpm.n)),IF(LEFT($AI178,2)="S|","",IF($AI178="HDR","# Stores",""))))))</f>
        <v/>
      </c>
      <c r="D178" s="40" t="str" cm="1">
        <f t="array" ref="D178">IF($AI178="","",IF(LEFT($AI178,2)="C|",IF($C178="","",SUMPRODUCT($AP$5:$AP$302*($AO$5:$AO$302=$A178),$AR$5:$AR$302)),IF($AI178="CT",D$13,IF(LEFT($AI178,3)="AM|",IF($C178="","",SUMPRODUCT($AP$5:$AP$302*($AN$5:$AN$302=$A178),$AR$5:$AR$302)),IF(LEFT($AI178,2)="S|",IF($AG178="","",INDEX($AR$5:$AR$302,$AH178)),IF($AI178="HDR","Sales TY",""))))))</f>
        <v/>
      </c>
      <c r="E178" s="40" t="str" cm="1">
        <f t="array" ref="E178">IF($AI178="","",IF(LEFT($AI178,2)="C|",IF($C178="","",SUMPRODUCT($AP$5:$AP$302*($AO$5:$AO$302=$A178),$AT$5:$AT$302)),IF($AI178="CT",E$13,IF(LEFT($AI178,3)="AM|",IF($C178="","",SUMPRODUCT($AP$5:$AP$302*($AN$5:$AN$302=$A178),$AT$5:$AT$302)),IF(LEFT($AI178,2)="S|",IF($AG178="","",INDEX($AT$5:$AT$302,$AH178)),IF($AI178="HDR","Sales LY",""))))))</f>
        <v/>
      </c>
      <c r="F178" s="41" t="str">
        <f t="shared" si="97"/>
        <v/>
      </c>
      <c r="G178" s="41" t="str">
        <f t="shared" si="98"/>
        <v/>
      </c>
      <c r="H178" s="40" t="str" cm="1">
        <f t="array" ref="H178">IF($AI178="","",IF(LEFT($AI178,2)="C|",IF($C178="","",SUMPRODUCT($AP$5:$AP$302*($AO$5:$AO$302=$A178),$AV$5:$AV$302)),IF($AI178="CT",H$13,IF(LEFT($AI178,3)="AM|",IF($C178="","",SUMPRODUCT($AP$5:$AP$302*($AN$5:$AN$302=$A178),$AV$5:$AV$302)),IF(LEFT($AI178,2)="S|",IF($AG178="","",INDEX($AV$5:$AV$302,$AH178)),IF($AI178="HDR","Target",""))))))</f>
        <v/>
      </c>
      <c r="I178" s="41" t="str">
        <f t="shared" si="99"/>
        <v/>
      </c>
      <c r="J178" s="40" t="str">
        <f t="shared" si="100"/>
        <v/>
      </c>
      <c r="K178" s="41" t="str">
        <f t="shared" si="101"/>
        <v/>
      </c>
      <c r="L178" s="40" t="str" cm="1">
        <f t="array" ref="L178">IF($AI178="","",IF(LEFT($AI178,2)="C|",IF($C178="","",SUMPRODUCT($AP$5:$AP$302*($AO$5:$AO$302=$A178),$BN$5:$BN$302)),IF($AI178="CT",L$13,IF(LEFT($AI178,3)="AM|",IF($C178="","",SUMPRODUCT($AP$5:$AP$302*($AN$5:$AN$302=$A178),$BN$5:$BN$302)),IF(LEFT($AI178,2)="S|",IF($AG178="","",INDEX($BN$5:$BN$302,$AH178)),IF($AI178="HDR","Month Target",""))))))</f>
        <v/>
      </c>
      <c r="M178" s="40" t="str" cm="1">
        <f t="array" ref="M178">IF($AI178="","",IF(LEFT($AI178,2)="C|",IF($C178="","",SUMPRODUCT($AP$5:$AP$302*($AO$5:$AO$302=$A178),$BO$5:$BO$302)),IF($AI178="CT",M$13,IF(LEFT($AI178,3)="AM|",IF($C178="","",SUMPRODUCT($AP$5:$AP$302*($AN$5:$AN$302=$A178),$BO$5:$BO$302)),IF(LEFT($AI178,2)="S|",IF($AG178="","",INDEX($BO$5:$BO$302,$AH178)),IF($AI178="HDR","Projected Close",""))))))</f>
        <v/>
      </c>
      <c r="N178" s="41" t="str">
        <f t="shared" si="109"/>
        <v/>
      </c>
      <c r="O178" s="41" t="str" cm="1">
        <f t="array" ref="O178">IF($AI178="HDR","Proj. vs LY",IF(OR($AI178="",M178=""),"",_xlfn.LET(_xlpm.ly,IF(LEFT($AI178,2)="C|",SUMPRODUCT($AP$5:$AP$302*($AO$5:$AO$302=$A178),$BK$5:$BK$302),IF($AI178="CT",SUMPRODUCT($AP$5:$AP$302,$BK$5:$BK$302),IF(LEFT($AI178,3)="AM|",SUMPRODUCT($AP$5:$AP$302*($AN$5:$AN$302=$A178),$BK$5:$BK$302),IF(LEFT($AI178,2)="S|",INDEX($BK$5:$BK$302,$AH178),0)))),IFERROR(M178/_xlpm.ly-1,""))))</f>
        <v/>
      </c>
      <c r="P178" s="40" t="str" cm="1">
        <f t="array" ref="P178">IF($AI178="","",IF(LEFT($AI178,2)="C|",IF($C178="","",SUMPRODUCT($AP$5:$AP$302*($AO$5:$AO$302=$A178),$AS$5:$AS$302)),IF($AI178="CT",P$13,IF(LEFT($AI178,3)="AM|",IF($C178="","",SUMPRODUCT($AP$5:$AP$302*($AN$5:$AN$302=$A178),$AS$5:$AS$302)),IF(LEFT($AI178,2)="S|",IF($AG178="","",INDEX($AS$5:$AS$302,$AH178)),IF($AI178="HDR","Trans TY",""))))))</f>
        <v/>
      </c>
      <c r="Q178" s="40" t="str" cm="1">
        <f t="array" ref="Q178">IF($AI178="","",IF(LEFT($AI178,2)="C|",IF($C178="","",SUMPRODUCT($AP$5:$AP$302*($AO$5:$AO$302=$A178),$AU$5:$AU$302)),IF($AI178="CT",Q$13,IF(LEFT($AI178,3)="AM|",IF($C178="","",SUMPRODUCT($AP$5:$AP$302*($AN$5:$AN$302=$A178),$AU$5:$AU$302)),IF(LEFT($AI178,2)="S|",IF($AG178="","",INDEX($AU$5:$AU$302,$AH178)),IF($AI178="HDR","Trans LY",""))))))</f>
        <v/>
      </c>
      <c r="R178" s="41" t="str">
        <f t="shared" si="102"/>
        <v/>
      </c>
      <c r="S178" s="41" t="str">
        <f t="shared" si="103"/>
        <v/>
      </c>
      <c r="T178" s="42" t="str">
        <f t="shared" si="104"/>
        <v/>
      </c>
      <c r="U178" s="42" t="str">
        <f t="shared" si="105"/>
        <v/>
      </c>
      <c r="V178" s="41" t="str">
        <f t="shared" si="106"/>
        <v/>
      </c>
      <c r="W178" s="40" t="str" cm="1">
        <f t="array" ref="W178">IF($AI178="","",IF(LEFT($AI178,2)="C|",_xlfn.LET(_xlpm.n,SUMPRODUCT($AP$5:$AP$302*($AO$5:$AO$302=$A178),$BB$5:$BB$302),IF(_xlpm.n=0,"",_xlpm.n)),IF($AI178="CT",W$13,IF(LEFT($AI178,3)="AM|",_xlfn.LET(_xlpm.n,SUMPRODUCT($AP$5:$AP$302*($AN$5:$AN$302=$A178),$BB$5:$BB$302),IF(_xlpm.n=0,"",_xlpm.n)),IF(LEFT($AI178,2)="S|",IF($AG178="","",_xlfn.LET(_xlpm.n,INDEX($BB$5:$BB$302,$AH178),IF(_xlpm.n=0,"",_xlpm.n))),IF($AI178="HDR","Footfall",""))))))</f>
        <v/>
      </c>
      <c r="X178" s="40" t="str" cm="1">
        <f t="array" ref="X178">IF($AI178="","",IF($AI178="HDR","Trans (FF stores)",IF(W178="","",IF(LEFT($AI178,2)="C|",SUMPRODUCT($AP$5:$AP$302*($AO$5:$AO$302=$A178),$BC$5:$BC$302),IF($AI178="CT",X$13,IF(LEFT($AI178,3)="AM|",SUMPRODUCT($AP$5:$AP$302*($AN$5:$AN$302=$A178),$BC$5:$BC$302),IF(LEFT($AI178,2)="S|",INDEX($BC$5:$BC$302,$AH178),"")))))))</f>
        <v/>
      </c>
      <c r="Y178" s="41" t="str">
        <f t="shared" si="110"/>
        <v/>
      </c>
      <c r="Z178" s="40" t="str" cm="1">
        <f t="array" ref="Z178">IF($AI178="","",IF(LEFT($AI178,2)="C|",IF($C178="","",SUMPRODUCT($AP$5:$AP$302*($AO$5:$AO$302=$A178),$CB$5:$CB$302)),IF($AI178="CT",Z$13,IF(LEFT($AI178,3)="AM|",IF($C178="","",SUMPRODUCT($AP$5:$AP$302*($AN$5:$AN$302=$A178),$CB$5:$CB$302)),IF(LEFT($AI178,2)="S|",IF($AG178="","",INDEX($CB$5:$CB$302,$AH178)),IF($AI178="HDR","Makeup Sales",""))))))</f>
        <v/>
      </c>
      <c r="AA178" s="41" t="str">
        <f t="shared" si="107"/>
        <v/>
      </c>
      <c r="AB178" s="40" t="str" cm="1">
        <f t="array" ref="AB178">IF($AI178="","",IF(LEFT($AI178,2)="C|",IF($C178="","",SUMPRODUCT($AP$5:$AP$302*($AO$5:$AO$302=$A178),$CK$5:$CK$302)),IF($AI178="CT",AB$13,IF(LEFT($AI178,3)="AM|",IF($C178="","",SUMPRODUCT($AP$5:$AP$302*($AN$5:$AN$302=$A178),$CK$5:$CK$302)),IF(LEFT($AI178,2)="S|",IF($AG178="","",INDEX($CK$5:$CK$302,$AH178)),IF($AI178="HDR","Makeup Target",""))))))</f>
        <v/>
      </c>
      <c r="AC178" s="41" t="str">
        <f t="shared" si="111"/>
        <v/>
      </c>
      <c r="AD178" s="40" t="str" cm="1">
        <f t="array" ref="AD178">IF($AI178="","",IF(LEFT($AI178,2)="C|",IF($C178="","",SUMPRODUCT($AP$5:$AP$302*($AO$5:$AO$302=$A178),$CI$5:$CI$302)),IF($AI178="CT",AD$13,IF(LEFT($AI178,3)="AM|",IF($C178="","",SUMPRODUCT($AP$5:$AP$302*($AN$5:$AN$302=$A178),$CI$5:$CI$302)),IF(LEFT($AI178,2)="S|",IF($AG178="","",INDEX($CI$5:$CI$302,$AH178)),IF($AI178="HDR","Cosmetic Sales",""))))))</f>
        <v/>
      </c>
      <c r="AE178" s="8" t="str" cm="1">
        <f t="array" ref="AE178">IF($AI178="","",IF(LEFT($AI178,2)="C|",IF($C178="","",SUMPRODUCT($AP$5:$AP$302*($AO$5:$AO$302=$A178)*$AQ$5:$AQ$302,$AR$5:$AR$302)),IF($AI178="CT",AE$13,IF(LEFT($AI178,3)="AM|",IF($C178="","",SUMPRODUCT($AP$5:$AP$302*($AN$5:$AN$302=$A178)*$AQ$5:$AQ$302,$AR$5:$AR$302)),IF(LEFT($AI178,2)="S|",IF($AG178="","",IF(INDEX($AQ$5:$AQ$302,$AH178)=1,D178,0)),IF($AI178="HDR","LFL Sales",""))))))</f>
        <v/>
      </c>
      <c r="AF178" s="8" t="str" cm="1">
        <f t="array" ref="AF178">IF($AI178="","",IF(LEFT($AI178,2)="C|",IF($C178="","",SUMPRODUCT($AP$5:$AP$302*($AO$5:$AO$302=$A178)*$AQ$5:$AQ$302,$AS$5:$AS$302)),IF($AI178="CT",AF$13,IF(LEFT($AI178,3)="AM|",IF($C178="","",SUMPRODUCT($AP$5:$AP$302*($AN$5:$AN$302=$A178)*$AQ$5:$AQ$302,$AS$5:$AS$302)),IF(LEFT($AI178,2)="S|",IF($AG178="","",IF(INDEX($AQ$5:$AQ$302,$AH178)=1,P178,0)),IF($AI178="HDR","LFL Trans",""))))))</f>
        <v/>
      </c>
      <c r="AG178" s="8" t="str" cm="1">
        <f t="array" ref="AG178">IF($AI178="","",IF(LEFT($AI178,2)="C|","",IF($AI178="CT","",IF(LEFT($AI178,3)="AM|","",IF(LEFT($AI178,2)="S|",IF($AH178="","",IF(INDEX($AP$5:$AP$302,$AH178)=1,1,"")),IF($AI178="HDR","Show",""))))))</f>
        <v/>
      </c>
      <c r="AH178" s="8" t="str">
        <f t="shared" si="108"/>
        <v/>
      </c>
      <c r="AI178" s="8"/>
      <c r="AN178" s="8" t="str" cm="1">
        <f t="array" ref="AN178">IF($AW178="","",_xlfn.LET(_xlpm.sa,IFERROR(TRIM(INDEX('Sales and count'!$D$4:$D$300,$BF178)&amp;""),""),_xlpm.ta,IFERROR(TRIM(INDEX('TY Sales Target'!$F$5:$F$300,$BG178)&amp;""),""),IF(AND(_xlpm.sa&lt;&gt;"",LEFT(_xlpm.sa,1)&lt;&gt;"#",_xlpm.sa&lt;&gt;"0"),_xlpm.sa,IF(AND(_xlpm.ta&lt;&gt;"",LEFT(_xlpm.ta,1)&lt;&gt;"#",_xlpm.ta&lt;&gt;"0"),_xlpm.ta,IF(ISNUMBER($BG178),"Unassigned","")))))</f>
        <v/>
      </c>
      <c r="AO178" s="8" t="str" cm="1">
        <f t="array" ref="AO178">IF($AW178="","",_xlfn.LET(_xlpm.sa,IFERROR(TRIM(INDEX('Sales and count'!$C$4:$C$300,$BF178)&amp;""),""),_xlpm.ta,IFERROR(TRIM(INDEX('TY Sales Target'!$D$5:$D$300,$BG178)&amp;""),""),IF(AND(_xlpm.sa&lt;&gt;"",LEFT(_xlpm.sa,1)&lt;&gt;"#",_xlpm.sa&lt;&gt;"0"),_xlpm.sa,IF(AND(_xlpm.ta&lt;&gt;"",LEFT(_xlpm.ta,1)&lt;&gt;"#",_xlpm.ta&lt;&gt;"0"),_xlpm.ta,""))))</f>
        <v/>
      </c>
      <c r="AP178" s="8">
        <f t="shared" si="93"/>
        <v>0</v>
      </c>
      <c r="AQ178" s="8">
        <f t="shared" si="94"/>
        <v>0</v>
      </c>
      <c r="AR178" s="8" cm="1">
        <f t="array" ref="AR178">IF($BF178="",0,_xlfn.LET(_xlpm.d,IFERROR(--'Sales and count'!$G$2:$CC$2,0),SUMPRODUCT(('Sales and count'!$G$3:$CC$3="Total")*(_xlpm.d&gt;=$U$4)*(_xlpm.d&lt;=$U$5),INDEX('Sales and count'!$G$4:$CC$300,$BF178,0))))</f>
        <v>0</v>
      </c>
      <c r="AS178" s="8" cm="1">
        <f t="array" ref="AS178">IF($BF178="",0,_xlfn.LET(_xlpm.d,IFERROR(--'Sales and count'!$F$2:$CB$2,0),SUMPRODUCT(('Sales and count'!$G$3:$CC$3="Transactions")*(_xlpm.d&gt;=$U$4)*(_xlpm.d&lt;=$U$5),INDEX('Sales and count'!$G$4:$CC$300,$BF178,0))))</f>
        <v>0</v>
      </c>
      <c r="AT178" s="8" cm="1">
        <f t="array" ref="AT178">IF($AW178="",0,SUMPRODUCT((TRIM('LY Sales '!$B$5:$B$200)=$AW178)*('LY Sales '!$C$2:$AG$2&gt;=EDATE($U$4,-12))*('LY Sales '!$C$2:$AG$2&lt;=EDATE($U$5,-12)),'LY Sales '!$C$5:$AG$200))</f>
        <v>0</v>
      </c>
      <c r="AU178" s="8" cm="1">
        <f t="array" ref="AU178">IF($AW178="",0,SUMPRODUCT((TRIM('LY Transaction'!$B$5:$B$200)=$AW178)*('LY Transaction'!$C$2:$AG$2&gt;=EDATE($U$4,-12))*('LY Transaction'!$C$2:$AG$2&lt;=EDATE($U$5,-12)),'LY Transaction'!$C$5:$AG$200))</f>
        <v>0</v>
      </c>
      <c r="AV178" s="8" cm="1">
        <f t="array" ref="AV178">IF(NOT(ISNUMBER($BG178)),0,SUMPRODUCT(('TY Sales Target'!$K$2:$AO$2&gt;=$U$4)*('TY Sales Target'!$K$2:$AO$2&lt;=$U$5),INDEX('TY Sales Target'!$K$5:$AO$300,$BG178,0)))</f>
        <v>0</v>
      </c>
      <c r="AW178" s="8" t="str" cm="1">
        <f t="array" ref="AW178">IFERROR(INDEX(_xlfn.ANCHORARRAY($BR$5),ROWS($AW$5:AW178)),"")</f>
        <v/>
      </c>
      <c r="BB178" cm="1">
        <f t="array" ref="BB178">IF($AW178="",0,SUMPRODUCT((TRIM(Footfall!$B$5:$B$301)=$AW178)*(Footfall!$C$1:$BZ$1&gt;=$U$4)*(Footfall!$C$2:$BZ$2&lt;=$U$5)*(Footfall!$C$1:$BZ$1&lt;&gt;""),Footfall!$C$5:$BZ$301))</f>
        <v>0</v>
      </c>
      <c r="BC178" cm="1">
        <f t="array" ref="BC178">IF(OR($BB178&lt;=0,$BD$1="",$BF178=""),0,_xlfn.LET(_xlpm.d,IFERROR(--'Sales and count'!$F$2:$CB$2,0),SUMPRODUCT(('Sales and count'!$G$3:$CC$3="Transactions")*(_xlpm.d&gt;=$BD$1)*(_xlpm.d&lt;=$BD$2),INDEX('Sales and count'!$G$4:$CC$300,$BF178,0))))</f>
        <v>0</v>
      </c>
      <c r="BF178" t="str" cm="1">
        <f t="array" ref="BF178">IF($AW178="","",IFERROR(MATCH($AW178,TRIM('Sales and count'!$A$4:$A$300&amp;""),0),""))</f>
        <v/>
      </c>
      <c r="BG178" t="str" cm="1">
        <f t="array" ref="BG178">IF($AW178="","",IFERROR(MATCH(IFERROR(_xlfn.XLOOKUP($AW178,$BT$5:$BT$22,$BU$5:$BU$22),$AW178),TRIM('TY Sales Target'!$B$5:$B$300&amp;""),0),""))</f>
        <v/>
      </c>
      <c r="BH178" t="str" cm="1">
        <f t="array" ref="BH178">IF(ISNUMBER($BG178),_xlfn.LET(_xlpm.p,TRIM(INDEX('TY Sales Target'!$I$5:$I$300,$BG178)&amp;""),IF(_xlpm.p="","Not set",_xlpm.p)),"Not set")</f>
        <v>Not set</v>
      </c>
      <c r="BI178" cm="1">
        <f t="array" ref="BI178">IF($BF178="",0,_xlfn.LET(_xlpm.d,IFERROR(--'Sales and count'!$G$2:$CC$2,0),SUMPRODUCT(('Sales and count'!$G$3:$CC$3="Total")*(_xlpm.d&gt;=$BZ$5)*(_xlpm.d&lt;=$BZ$6),INDEX('Sales and count'!$G$4:$CC$300,$BF178,0))))</f>
        <v>0</v>
      </c>
      <c r="BJ178" cm="1">
        <f t="array" ref="BJ178">IF($AW178="",0,SUMPRODUCT((TRIM('LY Sales '!$B$5:$B$200)=$AW178)*('LY Sales '!$C$2:$AG$2&gt;=EDATE($BZ$5,-12))*('LY Sales '!$C$2:$AG$2&lt;=EDATE($BZ$6,-12)),'LY Sales '!$C$5:$AG$200))</f>
        <v>0</v>
      </c>
      <c r="BK178" cm="1">
        <f t="array" ref="BK178">IF($AW178="",0,SUMPRODUCT((TRIM('LY Sales '!$B$5:$B$200)=$AW178)*('LY Sales '!$C$2:$AG$2&gt;=EDATE($BZ$5,-12))*('LY Sales '!$C$2:$AG$2&lt;=EDATE($BZ$7,-12)),'LY Sales '!$C$5:$AG$200))</f>
        <v>0</v>
      </c>
      <c r="BL178" cm="1">
        <f t="array" ref="BL178">IF($AW178="",0,SUMPRODUCT((TRIM('LY Sales '!$B$5:$B$200)=$AW178)*('LY Sales '!$C$2:$AG$2&gt;=EDATE($BZ$5,-12))*('LY Sales '!$C$2:$AG$2&lt;=EDATE($BZ$6,-12))*('LY Sales '!$C$5:$AG$200&gt;0)))</f>
        <v>0</v>
      </c>
      <c r="BM178" cm="1">
        <f t="array" ref="BM178">IF(NOT(ISNUMBER($BG178)),0,SUMPRODUCT(('TY Sales Target'!$K$2:$AO$2&gt;=$BZ$5)*('TY Sales Target'!$K$2:$AO$2&lt;=$BZ$6),INDEX('TY Sales Target'!$K$5:$AO$300,$BG178,0)))</f>
        <v>0</v>
      </c>
      <c r="BN178" cm="1">
        <f t="array" ref="BN178">IF(NOT(ISNUMBER($BG178)),0,SUMPRODUCT(('TY Sales Target'!$K$2:$AO$2&gt;=$BZ$5)*('TY Sales Target'!$K$2:$AO$2&lt;=$BZ$7),INDEX('TY Sales Target'!$K$5:$AO$300,$BG178,0)))</f>
        <v>0</v>
      </c>
      <c r="BO178" cm="1">
        <f t="array" ref="BO178">IF($AW178="",0,IFERROR(_xlfn.SWITCH($BP178,"LY trend",$BI178*$BK178/$BJ178,"Target curve",$BI178*$BN178/$BM178,"Run rate",$BI178/$BZ$8*$BZ$9,0),0))</f>
        <v>0</v>
      </c>
      <c r="BP178" t="str">
        <f t="shared" si="92"/>
        <v/>
      </c>
      <c r="CB178" cm="1">
        <f t="array" ref="CB178">IF($AW178="",0,_xlfn.LET(_xlpm.k,IFERROR(_xlfn.XLOOKUP($AW178,$CD$6:$CD$21,$CE$6:$CE$21),$AW178),SUMPRODUCT((TRIM('Makeup '!$A$2:$A$300&amp;"")=_xlpm.k)*1,IFERROR('Makeup '!$F$2:$F$300*1,0))))</f>
        <v>0</v>
      </c>
      <c r="CF178" t="str" cm="1">
        <f t="array" ref="CF178">IF($AW178="","",_xlfn.LET(_xlpm.c,IFERROR(TRIM(INDEX('Sales and count'!$B$4:$B$300,$BF178)&amp;""),""),IF(OR(_xlpm.c="",_xlpm.c="0",LEFT(_xlpm.c,1)="#"),"Not set",_xlpm.c)))</f>
        <v/>
      </c>
      <c r="CH178" cm="1">
        <f t="array" ref="CH178">IF($AW178="",0,_xlfn.LET(_xlpm.k,IFERROR(_xlfn.XLOOKUP($AW178,$CD$6:$CD$21,$CE$6:$CE$21),$AW178),--(SUMPRODUCT((TRIM('Makeup '!$A$2:$A$300&amp;"")=_xlpm.k)*ISNUMBER('Makeup '!$F$2:$F$300))&gt;0)))</f>
        <v>0</v>
      </c>
      <c r="CI178">
        <f t="shared" si="95"/>
        <v>0</v>
      </c>
      <c r="CJ178" cm="1">
        <f t="array" ref="CJ178">IF($AW178="",0,--(SUMPRODUCT(--(TRIM(Footfall!$B$5:$B$301)=$AW178))&gt;0))</f>
        <v>0</v>
      </c>
      <c r="CK178" s="8" cm="1">
        <f t="array" ref="CK178">IF($AW178="",0,_xlfn.LET(_xlpm.r,IFERROR(MATCH(IFERROR(_xlfn.XLOOKUP($AW178,$BT$5:$BT$22,$BU$5:$BU$22),$AW178),TRIM('TY Beauty Target'!$B$5:$B$300&amp;""),0),""),IF(ISNUMBER(_xlpm.r),SUMPRODUCT(('TY Beauty Target'!$L$2:$AP$2&gt;=$U$4)*('TY Beauty Target'!$L$2:$AP$2&lt;=$U$5),INDEX('TY Beauty Target'!$L$5:$AP$300,_xlpm.r,0)),0)))</f>
        <v>0</v>
      </c>
    </row>
    <row r="179" spans="1:89" ht="15" customHeight="1" x14ac:dyDescent="0.25">
      <c r="A179" s="38" t="str">
        <f t="shared" si="96"/>
        <v/>
      </c>
      <c r="B179" s="43" t="str" cm="1">
        <f t="array" ref="B179">IF($AI179="","",IF(LEFT($AI179,2)="C|",IF($C179="","",_xlfn.TEXTJOIN(", ",TRUE,_xlfn.UNIQUE(_xlfn._xlws.FILTER($AN$5:$AN$302,($AP$5:$AP$302=1)*($AO$5:$AO$302=$A179))))),IF($AI179="CT",B$13,IF(LEFT($AI179,3)="AM|",IF($C179="","",ROWS(_xlfn.UNIQUE(_xlfn._xlws.FILTER($AO$5:$AO$302,($AP$5:$AP$302=1)*($AN$5:$AN$302=$A179))))),IF(LEFT($AI179,2)="S|",IF($AG179="","",INDEX($AO$5:$AO$302,$AH179)),IF($AI179="HDR","City",""))))))</f>
        <v/>
      </c>
      <c r="C179" s="39" t="str" cm="1">
        <f t="array" ref="C179">IF($AI179="","",IF(LEFT($AI179,2)="C|",_xlfn.LET(_xlpm.n,SUMPRODUCT($AP$5:$AP$302*($AO$5:$AO$302=$A179)),IF(_xlpm.n=0,"",_xlpm.n)),IF($AI179="CT",C$13,IF(LEFT($AI179,3)="AM|",_xlfn.LET(_xlpm.n,SUMPRODUCT($AP$5:$AP$302*($AN$5:$AN$302=$A179)),IF(_xlpm.n=0,"",_xlpm.n)),IF(LEFT($AI179,2)="S|","",IF($AI179="HDR","# Stores",""))))))</f>
        <v/>
      </c>
      <c r="D179" s="40" t="str" cm="1">
        <f t="array" ref="D179">IF($AI179="","",IF(LEFT($AI179,2)="C|",IF($C179="","",SUMPRODUCT($AP$5:$AP$302*($AO$5:$AO$302=$A179),$AR$5:$AR$302)),IF($AI179="CT",D$13,IF(LEFT($AI179,3)="AM|",IF($C179="","",SUMPRODUCT($AP$5:$AP$302*($AN$5:$AN$302=$A179),$AR$5:$AR$302)),IF(LEFT($AI179,2)="S|",IF($AG179="","",INDEX($AR$5:$AR$302,$AH179)),IF($AI179="HDR","Sales TY",""))))))</f>
        <v/>
      </c>
      <c r="E179" s="40" t="str" cm="1">
        <f t="array" ref="E179">IF($AI179="","",IF(LEFT($AI179,2)="C|",IF($C179="","",SUMPRODUCT($AP$5:$AP$302*($AO$5:$AO$302=$A179),$AT$5:$AT$302)),IF($AI179="CT",E$13,IF(LEFT($AI179,3)="AM|",IF($C179="","",SUMPRODUCT($AP$5:$AP$302*($AN$5:$AN$302=$A179),$AT$5:$AT$302)),IF(LEFT($AI179,2)="S|",IF($AG179="","",INDEX($AT$5:$AT$302,$AH179)),IF($AI179="HDR","Sales LY",""))))))</f>
        <v/>
      </c>
      <c r="F179" s="41" t="str">
        <f t="shared" si="97"/>
        <v/>
      </c>
      <c r="G179" s="41" t="str">
        <f t="shared" si="98"/>
        <v/>
      </c>
      <c r="H179" s="40" t="str" cm="1">
        <f t="array" ref="H179">IF($AI179="","",IF(LEFT($AI179,2)="C|",IF($C179="","",SUMPRODUCT($AP$5:$AP$302*($AO$5:$AO$302=$A179),$AV$5:$AV$302)),IF($AI179="CT",H$13,IF(LEFT($AI179,3)="AM|",IF($C179="","",SUMPRODUCT($AP$5:$AP$302*($AN$5:$AN$302=$A179),$AV$5:$AV$302)),IF(LEFT($AI179,2)="S|",IF($AG179="","",INDEX($AV$5:$AV$302,$AH179)),IF($AI179="HDR","Target",""))))))</f>
        <v/>
      </c>
      <c r="I179" s="41" t="str">
        <f t="shared" si="99"/>
        <v/>
      </c>
      <c r="J179" s="40" t="str">
        <f t="shared" si="100"/>
        <v/>
      </c>
      <c r="K179" s="41" t="str">
        <f t="shared" si="101"/>
        <v/>
      </c>
      <c r="L179" s="40" t="str" cm="1">
        <f t="array" ref="L179">IF($AI179="","",IF(LEFT($AI179,2)="C|",IF($C179="","",SUMPRODUCT($AP$5:$AP$302*($AO$5:$AO$302=$A179),$BN$5:$BN$302)),IF($AI179="CT",L$13,IF(LEFT($AI179,3)="AM|",IF($C179="","",SUMPRODUCT($AP$5:$AP$302*($AN$5:$AN$302=$A179),$BN$5:$BN$302)),IF(LEFT($AI179,2)="S|",IF($AG179="","",INDEX($BN$5:$BN$302,$AH179)),IF($AI179="HDR","Month Target",""))))))</f>
        <v/>
      </c>
      <c r="M179" s="40" t="str" cm="1">
        <f t="array" ref="M179">IF($AI179="","",IF(LEFT($AI179,2)="C|",IF($C179="","",SUMPRODUCT($AP$5:$AP$302*($AO$5:$AO$302=$A179),$BO$5:$BO$302)),IF($AI179="CT",M$13,IF(LEFT($AI179,3)="AM|",IF($C179="","",SUMPRODUCT($AP$5:$AP$302*($AN$5:$AN$302=$A179),$BO$5:$BO$302)),IF(LEFT($AI179,2)="S|",IF($AG179="","",INDEX($BO$5:$BO$302,$AH179)),IF($AI179="HDR","Projected Close",""))))))</f>
        <v/>
      </c>
      <c r="N179" s="41" t="str">
        <f t="shared" si="109"/>
        <v/>
      </c>
      <c r="O179" s="41" t="str" cm="1">
        <f t="array" ref="O179">IF($AI179="HDR","Proj. vs LY",IF(OR($AI179="",M179=""),"",_xlfn.LET(_xlpm.ly,IF(LEFT($AI179,2)="C|",SUMPRODUCT($AP$5:$AP$302*($AO$5:$AO$302=$A179),$BK$5:$BK$302),IF($AI179="CT",SUMPRODUCT($AP$5:$AP$302,$BK$5:$BK$302),IF(LEFT($AI179,3)="AM|",SUMPRODUCT($AP$5:$AP$302*($AN$5:$AN$302=$A179),$BK$5:$BK$302),IF(LEFT($AI179,2)="S|",INDEX($BK$5:$BK$302,$AH179),0)))),IFERROR(M179/_xlpm.ly-1,""))))</f>
        <v/>
      </c>
      <c r="P179" s="40" t="str" cm="1">
        <f t="array" ref="P179">IF($AI179="","",IF(LEFT($AI179,2)="C|",IF($C179="","",SUMPRODUCT($AP$5:$AP$302*($AO$5:$AO$302=$A179),$AS$5:$AS$302)),IF($AI179="CT",P$13,IF(LEFT($AI179,3)="AM|",IF($C179="","",SUMPRODUCT($AP$5:$AP$302*($AN$5:$AN$302=$A179),$AS$5:$AS$302)),IF(LEFT($AI179,2)="S|",IF($AG179="","",INDEX($AS$5:$AS$302,$AH179)),IF($AI179="HDR","Trans TY",""))))))</f>
        <v/>
      </c>
      <c r="Q179" s="40" t="str" cm="1">
        <f t="array" ref="Q179">IF($AI179="","",IF(LEFT($AI179,2)="C|",IF($C179="","",SUMPRODUCT($AP$5:$AP$302*($AO$5:$AO$302=$A179),$AU$5:$AU$302)),IF($AI179="CT",Q$13,IF(LEFT($AI179,3)="AM|",IF($C179="","",SUMPRODUCT($AP$5:$AP$302*($AN$5:$AN$302=$A179),$AU$5:$AU$302)),IF(LEFT($AI179,2)="S|",IF($AG179="","",INDEX($AU$5:$AU$302,$AH179)),IF($AI179="HDR","Trans LY",""))))))</f>
        <v/>
      </c>
      <c r="R179" s="41" t="str">
        <f t="shared" si="102"/>
        <v/>
      </c>
      <c r="S179" s="41" t="str">
        <f t="shared" si="103"/>
        <v/>
      </c>
      <c r="T179" s="42" t="str">
        <f t="shared" si="104"/>
        <v/>
      </c>
      <c r="U179" s="42" t="str">
        <f t="shared" si="105"/>
        <v/>
      </c>
      <c r="V179" s="41" t="str">
        <f t="shared" si="106"/>
        <v/>
      </c>
      <c r="W179" s="40" t="str" cm="1">
        <f t="array" ref="W179">IF($AI179="","",IF(LEFT($AI179,2)="C|",_xlfn.LET(_xlpm.n,SUMPRODUCT($AP$5:$AP$302*($AO$5:$AO$302=$A179),$BB$5:$BB$302),IF(_xlpm.n=0,"",_xlpm.n)),IF($AI179="CT",W$13,IF(LEFT($AI179,3)="AM|",_xlfn.LET(_xlpm.n,SUMPRODUCT($AP$5:$AP$302*($AN$5:$AN$302=$A179),$BB$5:$BB$302),IF(_xlpm.n=0,"",_xlpm.n)),IF(LEFT($AI179,2)="S|",IF($AG179="","",_xlfn.LET(_xlpm.n,INDEX($BB$5:$BB$302,$AH179),IF(_xlpm.n=0,"",_xlpm.n))),IF($AI179="HDR","Footfall",""))))))</f>
        <v/>
      </c>
      <c r="X179" s="40" t="str" cm="1">
        <f t="array" ref="X179">IF($AI179="","",IF($AI179="HDR","Trans (FF stores)",IF(W179="","",IF(LEFT($AI179,2)="C|",SUMPRODUCT($AP$5:$AP$302*($AO$5:$AO$302=$A179),$BC$5:$BC$302),IF($AI179="CT",X$13,IF(LEFT($AI179,3)="AM|",SUMPRODUCT($AP$5:$AP$302*($AN$5:$AN$302=$A179),$BC$5:$BC$302),IF(LEFT($AI179,2)="S|",INDEX($BC$5:$BC$302,$AH179),"")))))))</f>
        <v/>
      </c>
      <c r="Y179" s="41" t="str">
        <f t="shared" si="110"/>
        <v/>
      </c>
      <c r="Z179" s="40" t="str" cm="1">
        <f t="array" ref="Z179">IF($AI179="","",IF(LEFT($AI179,2)="C|",IF($C179="","",SUMPRODUCT($AP$5:$AP$302*($AO$5:$AO$302=$A179),$CB$5:$CB$302)),IF($AI179="CT",Z$13,IF(LEFT($AI179,3)="AM|",IF($C179="","",SUMPRODUCT($AP$5:$AP$302*($AN$5:$AN$302=$A179),$CB$5:$CB$302)),IF(LEFT($AI179,2)="S|",IF($AG179="","",INDEX($CB$5:$CB$302,$AH179)),IF($AI179="HDR","Makeup Sales",""))))))</f>
        <v/>
      </c>
      <c r="AA179" s="41" t="str">
        <f t="shared" si="107"/>
        <v/>
      </c>
      <c r="AB179" s="40" t="str" cm="1">
        <f t="array" ref="AB179">IF($AI179="","",IF(LEFT($AI179,2)="C|",IF($C179="","",SUMPRODUCT($AP$5:$AP$302*($AO$5:$AO$302=$A179),$CK$5:$CK$302)),IF($AI179="CT",AB$13,IF(LEFT($AI179,3)="AM|",IF($C179="","",SUMPRODUCT($AP$5:$AP$302*($AN$5:$AN$302=$A179),$CK$5:$CK$302)),IF(LEFT($AI179,2)="S|",IF($AG179="","",INDEX($CK$5:$CK$302,$AH179)),IF($AI179="HDR","Makeup Target",""))))))</f>
        <v/>
      </c>
      <c r="AC179" s="41" t="str">
        <f t="shared" si="111"/>
        <v/>
      </c>
      <c r="AD179" s="40" t="str" cm="1">
        <f t="array" ref="AD179">IF($AI179="","",IF(LEFT($AI179,2)="C|",IF($C179="","",SUMPRODUCT($AP$5:$AP$302*($AO$5:$AO$302=$A179),$CI$5:$CI$302)),IF($AI179="CT",AD$13,IF(LEFT($AI179,3)="AM|",IF($C179="","",SUMPRODUCT($AP$5:$AP$302*($AN$5:$AN$302=$A179),$CI$5:$CI$302)),IF(LEFT($AI179,2)="S|",IF($AG179="","",INDEX($CI$5:$CI$302,$AH179)),IF($AI179="HDR","Cosmetic Sales",""))))))</f>
        <v/>
      </c>
      <c r="AE179" s="8" t="str" cm="1">
        <f t="array" ref="AE179">IF($AI179="","",IF(LEFT($AI179,2)="C|",IF($C179="","",SUMPRODUCT($AP$5:$AP$302*($AO$5:$AO$302=$A179)*$AQ$5:$AQ$302,$AR$5:$AR$302)),IF($AI179="CT",AE$13,IF(LEFT($AI179,3)="AM|",IF($C179="","",SUMPRODUCT($AP$5:$AP$302*($AN$5:$AN$302=$A179)*$AQ$5:$AQ$302,$AR$5:$AR$302)),IF(LEFT($AI179,2)="S|",IF($AG179="","",IF(INDEX($AQ$5:$AQ$302,$AH179)=1,D179,0)),IF($AI179="HDR","LFL Sales",""))))))</f>
        <v/>
      </c>
      <c r="AF179" s="8" t="str" cm="1">
        <f t="array" ref="AF179">IF($AI179="","",IF(LEFT($AI179,2)="C|",IF($C179="","",SUMPRODUCT($AP$5:$AP$302*($AO$5:$AO$302=$A179)*$AQ$5:$AQ$302,$AS$5:$AS$302)),IF($AI179="CT",AF$13,IF(LEFT($AI179,3)="AM|",IF($C179="","",SUMPRODUCT($AP$5:$AP$302*($AN$5:$AN$302=$A179)*$AQ$5:$AQ$302,$AS$5:$AS$302)),IF(LEFT($AI179,2)="S|",IF($AG179="","",IF(INDEX($AQ$5:$AQ$302,$AH179)=1,P179,0)),IF($AI179="HDR","LFL Trans",""))))))</f>
        <v/>
      </c>
      <c r="AG179" s="8" t="str" cm="1">
        <f t="array" ref="AG179">IF($AI179="","",IF(LEFT($AI179,2)="C|","",IF($AI179="CT","",IF(LEFT($AI179,3)="AM|","",IF(LEFT($AI179,2)="S|",IF($AH179="","",IF(INDEX($AP$5:$AP$302,$AH179)=1,1,"")),IF($AI179="HDR","Show",""))))))</f>
        <v/>
      </c>
      <c r="AH179" s="8" t="str">
        <f t="shared" si="108"/>
        <v/>
      </c>
      <c r="AI179" s="8"/>
      <c r="AN179" s="8" t="str" cm="1">
        <f t="array" ref="AN179">IF($AW179="","",_xlfn.LET(_xlpm.sa,IFERROR(TRIM(INDEX('Sales and count'!$D$4:$D$300,$BF179)&amp;""),""),_xlpm.ta,IFERROR(TRIM(INDEX('TY Sales Target'!$F$5:$F$300,$BG179)&amp;""),""),IF(AND(_xlpm.sa&lt;&gt;"",LEFT(_xlpm.sa,1)&lt;&gt;"#",_xlpm.sa&lt;&gt;"0"),_xlpm.sa,IF(AND(_xlpm.ta&lt;&gt;"",LEFT(_xlpm.ta,1)&lt;&gt;"#",_xlpm.ta&lt;&gt;"0"),_xlpm.ta,IF(ISNUMBER($BG179),"Unassigned","")))))</f>
        <v/>
      </c>
      <c r="AO179" s="8" t="str" cm="1">
        <f t="array" ref="AO179">IF($AW179="","",_xlfn.LET(_xlpm.sa,IFERROR(TRIM(INDEX('Sales and count'!$C$4:$C$300,$BF179)&amp;""),""),_xlpm.ta,IFERROR(TRIM(INDEX('TY Sales Target'!$D$5:$D$300,$BG179)&amp;""),""),IF(AND(_xlpm.sa&lt;&gt;"",LEFT(_xlpm.sa,1)&lt;&gt;"#",_xlpm.sa&lt;&gt;"0"),_xlpm.sa,IF(AND(_xlpm.ta&lt;&gt;"",LEFT(_xlpm.ta,1)&lt;&gt;"#",_xlpm.ta&lt;&gt;"0"),_xlpm.ta,""))))</f>
        <v/>
      </c>
      <c r="AP179" s="8">
        <f t="shared" si="93"/>
        <v>0</v>
      </c>
      <c r="AQ179" s="8">
        <f t="shared" si="94"/>
        <v>0</v>
      </c>
      <c r="AR179" s="8" cm="1">
        <f t="array" ref="AR179">IF($BF179="",0,_xlfn.LET(_xlpm.d,IFERROR(--'Sales and count'!$G$2:$CC$2,0),SUMPRODUCT(('Sales and count'!$G$3:$CC$3="Total")*(_xlpm.d&gt;=$U$4)*(_xlpm.d&lt;=$U$5),INDEX('Sales and count'!$G$4:$CC$300,$BF179,0))))</f>
        <v>0</v>
      </c>
      <c r="AS179" s="8" cm="1">
        <f t="array" ref="AS179">IF($BF179="",0,_xlfn.LET(_xlpm.d,IFERROR(--'Sales and count'!$F$2:$CB$2,0),SUMPRODUCT(('Sales and count'!$G$3:$CC$3="Transactions")*(_xlpm.d&gt;=$U$4)*(_xlpm.d&lt;=$U$5),INDEX('Sales and count'!$G$4:$CC$300,$BF179,0))))</f>
        <v>0</v>
      </c>
      <c r="AT179" s="8" cm="1">
        <f t="array" ref="AT179">IF($AW179="",0,SUMPRODUCT((TRIM('LY Sales '!$B$5:$B$200)=$AW179)*('LY Sales '!$C$2:$AG$2&gt;=EDATE($U$4,-12))*('LY Sales '!$C$2:$AG$2&lt;=EDATE($U$5,-12)),'LY Sales '!$C$5:$AG$200))</f>
        <v>0</v>
      </c>
      <c r="AU179" s="8" cm="1">
        <f t="array" ref="AU179">IF($AW179="",0,SUMPRODUCT((TRIM('LY Transaction'!$B$5:$B$200)=$AW179)*('LY Transaction'!$C$2:$AG$2&gt;=EDATE($U$4,-12))*('LY Transaction'!$C$2:$AG$2&lt;=EDATE($U$5,-12)),'LY Transaction'!$C$5:$AG$200))</f>
        <v>0</v>
      </c>
      <c r="AV179" s="8" cm="1">
        <f t="array" ref="AV179">IF(NOT(ISNUMBER($BG179)),0,SUMPRODUCT(('TY Sales Target'!$K$2:$AO$2&gt;=$U$4)*('TY Sales Target'!$K$2:$AO$2&lt;=$U$5),INDEX('TY Sales Target'!$K$5:$AO$300,$BG179,0)))</f>
        <v>0</v>
      </c>
      <c r="AW179" s="8" t="str" cm="1">
        <f t="array" ref="AW179">IFERROR(INDEX(_xlfn.ANCHORARRAY($BR$5),ROWS($AW$5:AW179)),"")</f>
        <v/>
      </c>
      <c r="BB179" cm="1">
        <f t="array" ref="BB179">IF($AW179="",0,SUMPRODUCT((TRIM(Footfall!$B$5:$B$301)=$AW179)*(Footfall!$C$1:$BZ$1&gt;=$U$4)*(Footfall!$C$2:$BZ$2&lt;=$U$5)*(Footfall!$C$1:$BZ$1&lt;&gt;""),Footfall!$C$5:$BZ$301))</f>
        <v>0</v>
      </c>
      <c r="BC179" cm="1">
        <f t="array" ref="BC179">IF(OR($BB179&lt;=0,$BD$1="",$BF179=""),0,_xlfn.LET(_xlpm.d,IFERROR(--'Sales and count'!$F$2:$CB$2,0),SUMPRODUCT(('Sales and count'!$G$3:$CC$3="Transactions")*(_xlpm.d&gt;=$BD$1)*(_xlpm.d&lt;=$BD$2),INDEX('Sales and count'!$G$4:$CC$300,$BF179,0))))</f>
        <v>0</v>
      </c>
      <c r="BF179" t="str" cm="1">
        <f t="array" ref="BF179">IF($AW179="","",IFERROR(MATCH($AW179,TRIM('Sales and count'!$A$4:$A$300&amp;""),0),""))</f>
        <v/>
      </c>
      <c r="BG179" t="str" cm="1">
        <f t="array" ref="BG179">IF($AW179="","",IFERROR(MATCH(IFERROR(_xlfn.XLOOKUP($AW179,$BT$5:$BT$22,$BU$5:$BU$22),$AW179),TRIM('TY Sales Target'!$B$5:$B$300&amp;""),0),""))</f>
        <v/>
      </c>
      <c r="BH179" t="str" cm="1">
        <f t="array" ref="BH179">IF(ISNUMBER($BG179),_xlfn.LET(_xlpm.p,TRIM(INDEX('TY Sales Target'!$I$5:$I$300,$BG179)&amp;""),IF(_xlpm.p="","Not set",_xlpm.p)),"Not set")</f>
        <v>Not set</v>
      </c>
      <c r="BI179" cm="1">
        <f t="array" ref="BI179">IF($BF179="",0,_xlfn.LET(_xlpm.d,IFERROR(--'Sales and count'!$G$2:$CC$2,0),SUMPRODUCT(('Sales and count'!$G$3:$CC$3="Total")*(_xlpm.d&gt;=$BZ$5)*(_xlpm.d&lt;=$BZ$6),INDEX('Sales and count'!$G$4:$CC$300,$BF179,0))))</f>
        <v>0</v>
      </c>
      <c r="BJ179" cm="1">
        <f t="array" ref="BJ179">IF($AW179="",0,SUMPRODUCT((TRIM('LY Sales '!$B$5:$B$200)=$AW179)*('LY Sales '!$C$2:$AG$2&gt;=EDATE($BZ$5,-12))*('LY Sales '!$C$2:$AG$2&lt;=EDATE($BZ$6,-12)),'LY Sales '!$C$5:$AG$200))</f>
        <v>0</v>
      </c>
      <c r="BK179" cm="1">
        <f t="array" ref="BK179">IF($AW179="",0,SUMPRODUCT((TRIM('LY Sales '!$B$5:$B$200)=$AW179)*('LY Sales '!$C$2:$AG$2&gt;=EDATE($BZ$5,-12))*('LY Sales '!$C$2:$AG$2&lt;=EDATE($BZ$7,-12)),'LY Sales '!$C$5:$AG$200))</f>
        <v>0</v>
      </c>
      <c r="BL179" cm="1">
        <f t="array" ref="BL179">IF($AW179="",0,SUMPRODUCT((TRIM('LY Sales '!$B$5:$B$200)=$AW179)*('LY Sales '!$C$2:$AG$2&gt;=EDATE($BZ$5,-12))*('LY Sales '!$C$2:$AG$2&lt;=EDATE($BZ$6,-12))*('LY Sales '!$C$5:$AG$200&gt;0)))</f>
        <v>0</v>
      </c>
      <c r="BM179" cm="1">
        <f t="array" ref="BM179">IF(NOT(ISNUMBER($BG179)),0,SUMPRODUCT(('TY Sales Target'!$K$2:$AO$2&gt;=$BZ$5)*('TY Sales Target'!$K$2:$AO$2&lt;=$BZ$6),INDEX('TY Sales Target'!$K$5:$AO$300,$BG179,0)))</f>
        <v>0</v>
      </c>
      <c r="BN179" cm="1">
        <f t="array" ref="BN179">IF(NOT(ISNUMBER($BG179)),0,SUMPRODUCT(('TY Sales Target'!$K$2:$AO$2&gt;=$BZ$5)*('TY Sales Target'!$K$2:$AO$2&lt;=$BZ$7),INDEX('TY Sales Target'!$K$5:$AO$300,$BG179,0)))</f>
        <v>0</v>
      </c>
      <c r="BO179" cm="1">
        <f t="array" ref="BO179">IF($AW179="",0,IFERROR(_xlfn.SWITCH($BP179,"LY trend",$BI179*$BK179/$BJ179,"Target curve",$BI179*$BN179/$BM179,"Run rate",$BI179/$BZ$8*$BZ$9,0),0))</f>
        <v>0</v>
      </c>
      <c r="BP179" t="str">
        <f t="shared" si="92"/>
        <v/>
      </c>
      <c r="CB179" cm="1">
        <f t="array" ref="CB179">IF($AW179="",0,_xlfn.LET(_xlpm.k,IFERROR(_xlfn.XLOOKUP($AW179,$CD$6:$CD$21,$CE$6:$CE$21),$AW179),SUMPRODUCT((TRIM('Makeup '!$A$2:$A$300&amp;"")=_xlpm.k)*1,IFERROR('Makeup '!$F$2:$F$300*1,0))))</f>
        <v>0</v>
      </c>
      <c r="CF179" t="str" cm="1">
        <f t="array" ref="CF179">IF($AW179="","",_xlfn.LET(_xlpm.c,IFERROR(TRIM(INDEX('Sales and count'!$B$4:$B$300,$BF179)&amp;""),""),IF(OR(_xlpm.c="",_xlpm.c="0",LEFT(_xlpm.c,1)="#"),"Not set",_xlpm.c)))</f>
        <v/>
      </c>
      <c r="CH179" cm="1">
        <f t="array" ref="CH179">IF($AW179="",0,_xlfn.LET(_xlpm.k,IFERROR(_xlfn.XLOOKUP($AW179,$CD$6:$CD$21,$CE$6:$CE$21),$AW179),--(SUMPRODUCT((TRIM('Makeup '!$A$2:$A$300&amp;"")=_xlpm.k)*ISNUMBER('Makeup '!$F$2:$F$300))&gt;0)))</f>
        <v>0</v>
      </c>
      <c r="CI179">
        <f t="shared" si="95"/>
        <v>0</v>
      </c>
      <c r="CJ179" cm="1">
        <f t="array" ref="CJ179">IF($AW179="",0,--(SUMPRODUCT(--(TRIM(Footfall!$B$5:$B$301)=$AW179))&gt;0))</f>
        <v>0</v>
      </c>
      <c r="CK179" s="8" cm="1">
        <f t="array" ref="CK179">IF($AW179="",0,_xlfn.LET(_xlpm.r,IFERROR(MATCH(IFERROR(_xlfn.XLOOKUP($AW179,$BT$5:$BT$22,$BU$5:$BU$22),$AW179),TRIM('TY Beauty Target'!$B$5:$B$300&amp;""),0),""),IF(ISNUMBER(_xlpm.r),SUMPRODUCT(('TY Beauty Target'!$L$2:$AP$2&gt;=$U$4)*('TY Beauty Target'!$L$2:$AP$2&lt;=$U$5),INDEX('TY Beauty Target'!$L$5:$AP$300,_xlpm.r,0)),0)))</f>
        <v>0</v>
      </c>
    </row>
    <row r="180" spans="1:89" ht="15" customHeight="1" x14ac:dyDescent="0.25">
      <c r="A180" s="38" t="str">
        <f t="shared" si="96"/>
        <v/>
      </c>
      <c r="B180" s="43" t="str" cm="1">
        <f t="array" ref="B180">IF($AI180="","",IF(LEFT($AI180,2)="C|",IF($C180="","",_xlfn.TEXTJOIN(", ",TRUE,_xlfn.UNIQUE(_xlfn._xlws.FILTER($AN$5:$AN$302,($AP$5:$AP$302=1)*($AO$5:$AO$302=$A180))))),IF($AI180="CT",B$13,IF(LEFT($AI180,3)="AM|",IF($C180="","",ROWS(_xlfn.UNIQUE(_xlfn._xlws.FILTER($AO$5:$AO$302,($AP$5:$AP$302=1)*($AN$5:$AN$302=$A180))))),IF(LEFT($AI180,2)="S|",IF($AG180="","",INDEX($AO$5:$AO$302,$AH180)),IF($AI180="HDR","City",""))))))</f>
        <v/>
      </c>
      <c r="C180" s="39" t="str" cm="1">
        <f t="array" ref="C180">IF($AI180="","",IF(LEFT($AI180,2)="C|",_xlfn.LET(_xlpm.n,SUMPRODUCT($AP$5:$AP$302*($AO$5:$AO$302=$A180)),IF(_xlpm.n=0,"",_xlpm.n)),IF($AI180="CT",C$13,IF(LEFT($AI180,3)="AM|",_xlfn.LET(_xlpm.n,SUMPRODUCT($AP$5:$AP$302*($AN$5:$AN$302=$A180)),IF(_xlpm.n=0,"",_xlpm.n)),IF(LEFT($AI180,2)="S|","",IF($AI180="HDR","# Stores",""))))))</f>
        <v/>
      </c>
      <c r="D180" s="40" t="str" cm="1">
        <f t="array" ref="D180">IF($AI180="","",IF(LEFT($AI180,2)="C|",IF($C180="","",SUMPRODUCT($AP$5:$AP$302*($AO$5:$AO$302=$A180),$AR$5:$AR$302)),IF($AI180="CT",D$13,IF(LEFT($AI180,3)="AM|",IF($C180="","",SUMPRODUCT($AP$5:$AP$302*($AN$5:$AN$302=$A180),$AR$5:$AR$302)),IF(LEFT($AI180,2)="S|",IF($AG180="","",INDEX($AR$5:$AR$302,$AH180)),IF($AI180="HDR","Sales TY",""))))))</f>
        <v/>
      </c>
      <c r="E180" s="40" t="str" cm="1">
        <f t="array" ref="E180">IF($AI180="","",IF(LEFT($AI180,2)="C|",IF($C180="","",SUMPRODUCT($AP$5:$AP$302*($AO$5:$AO$302=$A180),$AT$5:$AT$302)),IF($AI180="CT",E$13,IF(LEFT($AI180,3)="AM|",IF($C180="","",SUMPRODUCT($AP$5:$AP$302*($AN$5:$AN$302=$A180),$AT$5:$AT$302)),IF(LEFT($AI180,2)="S|",IF($AG180="","",INDEX($AT$5:$AT$302,$AH180)),IF($AI180="HDR","Sales LY",""))))))</f>
        <v/>
      </c>
      <c r="F180" s="41" t="str">
        <f t="shared" si="97"/>
        <v/>
      </c>
      <c r="G180" s="41" t="str">
        <f t="shared" si="98"/>
        <v/>
      </c>
      <c r="H180" s="40" t="str" cm="1">
        <f t="array" ref="H180">IF($AI180="","",IF(LEFT($AI180,2)="C|",IF($C180="","",SUMPRODUCT($AP$5:$AP$302*($AO$5:$AO$302=$A180),$AV$5:$AV$302)),IF($AI180="CT",H$13,IF(LEFT($AI180,3)="AM|",IF($C180="","",SUMPRODUCT($AP$5:$AP$302*($AN$5:$AN$302=$A180),$AV$5:$AV$302)),IF(LEFT($AI180,2)="S|",IF($AG180="","",INDEX($AV$5:$AV$302,$AH180)),IF($AI180="HDR","Target",""))))))</f>
        <v/>
      </c>
      <c r="I180" s="41" t="str">
        <f t="shared" si="99"/>
        <v/>
      </c>
      <c r="J180" s="40" t="str">
        <f t="shared" si="100"/>
        <v/>
      </c>
      <c r="K180" s="41" t="str">
        <f t="shared" si="101"/>
        <v/>
      </c>
      <c r="L180" s="40" t="str" cm="1">
        <f t="array" ref="L180">IF($AI180="","",IF(LEFT($AI180,2)="C|",IF($C180="","",SUMPRODUCT($AP$5:$AP$302*($AO$5:$AO$302=$A180),$BN$5:$BN$302)),IF($AI180="CT",L$13,IF(LEFT($AI180,3)="AM|",IF($C180="","",SUMPRODUCT($AP$5:$AP$302*($AN$5:$AN$302=$A180),$BN$5:$BN$302)),IF(LEFT($AI180,2)="S|",IF($AG180="","",INDEX($BN$5:$BN$302,$AH180)),IF($AI180="HDR","Month Target",""))))))</f>
        <v/>
      </c>
      <c r="M180" s="40" t="str" cm="1">
        <f t="array" ref="M180">IF($AI180="","",IF(LEFT($AI180,2)="C|",IF($C180="","",SUMPRODUCT($AP$5:$AP$302*($AO$5:$AO$302=$A180),$BO$5:$BO$302)),IF($AI180="CT",M$13,IF(LEFT($AI180,3)="AM|",IF($C180="","",SUMPRODUCT($AP$5:$AP$302*($AN$5:$AN$302=$A180),$BO$5:$BO$302)),IF(LEFT($AI180,2)="S|",IF($AG180="","",INDEX($BO$5:$BO$302,$AH180)),IF($AI180="HDR","Projected Close",""))))))</f>
        <v/>
      </c>
      <c r="N180" s="41" t="str">
        <f t="shared" si="109"/>
        <v/>
      </c>
      <c r="O180" s="41" t="str" cm="1">
        <f t="array" ref="O180">IF($AI180="HDR","Proj. vs LY",IF(OR($AI180="",M180=""),"",_xlfn.LET(_xlpm.ly,IF(LEFT($AI180,2)="C|",SUMPRODUCT($AP$5:$AP$302*($AO$5:$AO$302=$A180),$BK$5:$BK$302),IF($AI180="CT",SUMPRODUCT($AP$5:$AP$302,$BK$5:$BK$302),IF(LEFT($AI180,3)="AM|",SUMPRODUCT($AP$5:$AP$302*($AN$5:$AN$302=$A180),$BK$5:$BK$302),IF(LEFT($AI180,2)="S|",INDEX($BK$5:$BK$302,$AH180),0)))),IFERROR(M180/_xlpm.ly-1,""))))</f>
        <v/>
      </c>
      <c r="P180" s="40" t="str" cm="1">
        <f t="array" ref="P180">IF($AI180="","",IF(LEFT($AI180,2)="C|",IF($C180="","",SUMPRODUCT($AP$5:$AP$302*($AO$5:$AO$302=$A180),$AS$5:$AS$302)),IF($AI180="CT",P$13,IF(LEFT($AI180,3)="AM|",IF($C180="","",SUMPRODUCT($AP$5:$AP$302*($AN$5:$AN$302=$A180),$AS$5:$AS$302)),IF(LEFT($AI180,2)="S|",IF($AG180="","",INDEX($AS$5:$AS$302,$AH180)),IF($AI180="HDR","Trans TY",""))))))</f>
        <v/>
      </c>
      <c r="Q180" s="40" t="str" cm="1">
        <f t="array" ref="Q180">IF($AI180="","",IF(LEFT($AI180,2)="C|",IF($C180="","",SUMPRODUCT($AP$5:$AP$302*($AO$5:$AO$302=$A180),$AU$5:$AU$302)),IF($AI180="CT",Q$13,IF(LEFT($AI180,3)="AM|",IF($C180="","",SUMPRODUCT($AP$5:$AP$302*($AN$5:$AN$302=$A180),$AU$5:$AU$302)),IF(LEFT($AI180,2)="S|",IF($AG180="","",INDEX($AU$5:$AU$302,$AH180)),IF($AI180="HDR","Trans LY",""))))))</f>
        <v/>
      </c>
      <c r="R180" s="41" t="str">
        <f t="shared" si="102"/>
        <v/>
      </c>
      <c r="S180" s="41" t="str">
        <f t="shared" si="103"/>
        <v/>
      </c>
      <c r="T180" s="42" t="str">
        <f t="shared" si="104"/>
        <v/>
      </c>
      <c r="U180" s="42" t="str">
        <f t="shared" si="105"/>
        <v/>
      </c>
      <c r="V180" s="41" t="str">
        <f t="shared" si="106"/>
        <v/>
      </c>
      <c r="W180" s="40" t="str" cm="1">
        <f t="array" ref="W180">IF($AI180="","",IF(LEFT($AI180,2)="C|",_xlfn.LET(_xlpm.n,SUMPRODUCT($AP$5:$AP$302*($AO$5:$AO$302=$A180),$BB$5:$BB$302),IF(_xlpm.n=0,"",_xlpm.n)),IF($AI180="CT",W$13,IF(LEFT($AI180,3)="AM|",_xlfn.LET(_xlpm.n,SUMPRODUCT($AP$5:$AP$302*($AN$5:$AN$302=$A180),$BB$5:$BB$302),IF(_xlpm.n=0,"",_xlpm.n)),IF(LEFT($AI180,2)="S|",IF($AG180="","",_xlfn.LET(_xlpm.n,INDEX($BB$5:$BB$302,$AH180),IF(_xlpm.n=0,"",_xlpm.n))),IF($AI180="HDR","Footfall",""))))))</f>
        <v/>
      </c>
      <c r="X180" s="40" t="str" cm="1">
        <f t="array" ref="X180">IF($AI180="","",IF($AI180="HDR","Trans (FF stores)",IF(W180="","",IF(LEFT($AI180,2)="C|",SUMPRODUCT($AP$5:$AP$302*($AO$5:$AO$302=$A180),$BC$5:$BC$302),IF($AI180="CT",X$13,IF(LEFT($AI180,3)="AM|",SUMPRODUCT($AP$5:$AP$302*($AN$5:$AN$302=$A180),$BC$5:$BC$302),IF(LEFT($AI180,2)="S|",INDEX($BC$5:$BC$302,$AH180),"")))))))</f>
        <v/>
      </c>
      <c r="Y180" s="41" t="str">
        <f t="shared" si="110"/>
        <v/>
      </c>
      <c r="Z180" s="40" t="str" cm="1">
        <f t="array" ref="Z180">IF($AI180="","",IF(LEFT($AI180,2)="C|",IF($C180="","",SUMPRODUCT($AP$5:$AP$302*($AO$5:$AO$302=$A180),$CB$5:$CB$302)),IF($AI180="CT",Z$13,IF(LEFT($AI180,3)="AM|",IF($C180="","",SUMPRODUCT($AP$5:$AP$302*($AN$5:$AN$302=$A180),$CB$5:$CB$302)),IF(LEFT($AI180,2)="S|",IF($AG180="","",INDEX($CB$5:$CB$302,$AH180)),IF($AI180="HDR","Makeup Sales",""))))))</f>
        <v/>
      </c>
      <c r="AA180" s="41" t="str">
        <f t="shared" si="107"/>
        <v/>
      </c>
      <c r="AB180" s="40" t="str" cm="1">
        <f t="array" ref="AB180">IF($AI180="","",IF(LEFT($AI180,2)="C|",IF($C180="","",SUMPRODUCT($AP$5:$AP$302*($AO$5:$AO$302=$A180),$CK$5:$CK$302)),IF($AI180="CT",AB$13,IF(LEFT($AI180,3)="AM|",IF($C180="","",SUMPRODUCT($AP$5:$AP$302*($AN$5:$AN$302=$A180),$CK$5:$CK$302)),IF(LEFT($AI180,2)="S|",IF($AG180="","",INDEX($CK$5:$CK$302,$AH180)),IF($AI180="HDR","Makeup Target",""))))))</f>
        <v/>
      </c>
      <c r="AC180" s="41" t="str">
        <f t="shared" si="111"/>
        <v/>
      </c>
      <c r="AD180" s="40" t="str" cm="1">
        <f t="array" ref="AD180">IF($AI180="","",IF(LEFT($AI180,2)="C|",IF($C180="","",SUMPRODUCT($AP$5:$AP$302*($AO$5:$AO$302=$A180),$CI$5:$CI$302)),IF($AI180="CT",AD$13,IF(LEFT($AI180,3)="AM|",IF($C180="","",SUMPRODUCT($AP$5:$AP$302*($AN$5:$AN$302=$A180),$CI$5:$CI$302)),IF(LEFT($AI180,2)="S|",IF($AG180="","",INDEX($CI$5:$CI$302,$AH180)),IF($AI180="HDR","Cosmetic Sales",""))))))</f>
        <v/>
      </c>
      <c r="AE180" s="8" t="str" cm="1">
        <f t="array" ref="AE180">IF($AI180="","",IF(LEFT($AI180,2)="C|",IF($C180="","",SUMPRODUCT($AP$5:$AP$302*($AO$5:$AO$302=$A180)*$AQ$5:$AQ$302,$AR$5:$AR$302)),IF($AI180="CT",AE$13,IF(LEFT($AI180,3)="AM|",IF($C180="","",SUMPRODUCT($AP$5:$AP$302*($AN$5:$AN$302=$A180)*$AQ$5:$AQ$302,$AR$5:$AR$302)),IF(LEFT($AI180,2)="S|",IF($AG180="","",IF(INDEX($AQ$5:$AQ$302,$AH180)=1,D180,0)),IF($AI180="HDR","LFL Sales",""))))))</f>
        <v/>
      </c>
      <c r="AF180" s="8" t="str" cm="1">
        <f t="array" ref="AF180">IF($AI180="","",IF(LEFT($AI180,2)="C|",IF($C180="","",SUMPRODUCT($AP$5:$AP$302*($AO$5:$AO$302=$A180)*$AQ$5:$AQ$302,$AS$5:$AS$302)),IF($AI180="CT",AF$13,IF(LEFT($AI180,3)="AM|",IF($C180="","",SUMPRODUCT($AP$5:$AP$302*($AN$5:$AN$302=$A180)*$AQ$5:$AQ$302,$AS$5:$AS$302)),IF(LEFT($AI180,2)="S|",IF($AG180="","",IF(INDEX($AQ$5:$AQ$302,$AH180)=1,P180,0)),IF($AI180="HDR","LFL Trans",""))))))</f>
        <v/>
      </c>
      <c r="AG180" s="8" t="str" cm="1">
        <f t="array" ref="AG180">IF($AI180="","",IF(LEFT($AI180,2)="C|","",IF($AI180="CT","",IF(LEFT($AI180,3)="AM|","",IF(LEFT($AI180,2)="S|",IF($AH180="","",IF(INDEX($AP$5:$AP$302,$AH180)=1,1,"")),IF($AI180="HDR","Show",""))))))</f>
        <v/>
      </c>
      <c r="AH180" s="8" t="str">
        <f t="shared" si="108"/>
        <v/>
      </c>
      <c r="AI180" s="8"/>
      <c r="AN180" s="8" t="str" cm="1">
        <f t="array" ref="AN180">IF($AW180="","",_xlfn.LET(_xlpm.sa,IFERROR(TRIM(INDEX('Sales and count'!$D$4:$D$300,$BF180)&amp;""),""),_xlpm.ta,IFERROR(TRIM(INDEX('TY Sales Target'!$F$5:$F$300,$BG180)&amp;""),""),IF(AND(_xlpm.sa&lt;&gt;"",LEFT(_xlpm.sa,1)&lt;&gt;"#",_xlpm.sa&lt;&gt;"0"),_xlpm.sa,IF(AND(_xlpm.ta&lt;&gt;"",LEFT(_xlpm.ta,1)&lt;&gt;"#",_xlpm.ta&lt;&gt;"0"),_xlpm.ta,IF(ISNUMBER($BG180),"Unassigned","")))))</f>
        <v/>
      </c>
      <c r="AO180" s="8" t="str" cm="1">
        <f t="array" ref="AO180">IF($AW180="","",_xlfn.LET(_xlpm.sa,IFERROR(TRIM(INDEX('Sales and count'!$C$4:$C$300,$BF180)&amp;""),""),_xlpm.ta,IFERROR(TRIM(INDEX('TY Sales Target'!$D$5:$D$300,$BG180)&amp;""),""),IF(AND(_xlpm.sa&lt;&gt;"",LEFT(_xlpm.sa,1)&lt;&gt;"#",_xlpm.sa&lt;&gt;"0"),_xlpm.sa,IF(AND(_xlpm.ta&lt;&gt;"",LEFT(_xlpm.ta,1)&lt;&gt;"#",_xlpm.ta&lt;&gt;"0"),_xlpm.ta,""))))</f>
        <v/>
      </c>
      <c r="AP180" s="8">
        <f t="shared" si="93"/>
        <v>0</v>
      </c>
      <c r="AQ180" s="8">
        <f t="shared" si="94"/>
        <v>0</v>
      </c>
      <c r="AR180" s="8" cm="1">
        <f t="array" ref="AR180">IF($BF180="",0,_xlfn.LET(_xlpm.d,IFERROR(--'Sales and count'!$G$2:$CC$2,0),SUMPRODUCT(('Sales and count'!$G$3:$CC$3="Total")*(_xlpm.d&gt;=$U$4)*(_xlpm.d&lt;=$U$5),INDEX('Sales and count'!$G$4:$CC$300,$BF180,0))))</f>
        <v>0</v>
      </c>
      <c r="AS180" s="8" cm="1">
        <f t="array" ref="AS180">IF($BF180="",0,_xlfn.LET(_xlpm.d,IFERROR(--'Sales and count'!$F$2:$CB$2,0),SUMPRODUCT(('Sales and count'!$G$3:$CC$3="Transactions")*(_xlpm.d&gt;=$U$4)*(_xlpm.d&lt;=$U$5),INDEX('Sales and count'!$G$4:$CC$300,$BF180,0))))</f>
        <v>0</v>
      </c>
      <c r="AT180" s="8" cm="1">
        <f t="array" ref="AT180">IF($AW180="",0,SUMPRODUCT((TRIM('LY Sales '!$B$5:$B$200)=$AW180)*('LY Sales '!$C$2:$AG$2&gt;=EDATE($U$4,-12))*('LY Sales '!$C$2:$AG$2&lt;=EDATE($U$5,-12)),'LY Sales '!$C$5:$AG$200))</f>
        <v>0</v>
      </c>
      <c r="AU180" s="8" cm="1">
        <f t="array" ref="AU180">IF($AW180="",0,SUMPRODUCT((TRIM('LY Transaction'!$B$5:$B$200)=$AW180)*('LY Transaction'!$C$2:$AG$2&gt;=EDATE($U$4,-12))*('LY Transaction'!$C$2:$AG$2&lt;=EDATE($U$5,-12)),'LY Transaction'!$C$5:$AG$200))</f>
        <v>0</v>
      </c>
      <c r="AV180" s="8" cm="1">
        <f t="array" ref="AV180">IF(NOT(ISNUMBER($BG180)),0,SUMPRODUCT(('TY Sales Target'!$K$2:$AO$2&gt;=$U$4)*('TY Sales Target'!$K$2:$AO$2&lt;=$U$5),INDEX('TY Sales Target'!$K$5:$AO$300,$BG180,0)))</f>
        <v>0</v>
      </c>
      <c r="AW180" s="8" t="str" cm="1">
        <f t="array" ref="AW180">IFERROR(INDEX(_xlfn.ANCHORARRAY($BR$5),ROWS($AW$5:AW180)),"")</f>
        <v/>
      </c>
      <c r="BB180" cm="1">
        <f t="array" ref="BB180">IF($AW180="",0,SUMPRODUCT((TRIM(Footfall!$B$5:$B$301)=$AW180)*(Footfall!$C$1:$BZ$1&gt;=$U$4)*(Footfall!$C$2:$BZ$2&lt;=$U$5)*(Footfall!$C$1:$BZ$1&lt;&gt;""),Footfall!$C$5:$BZ$301))</f>
        <v>0</v>
      </c>
      <c r="BC180" cm="1">
        <f t="array" ref="BC180">IF(OR($BB180&lt;=0,$BD$1="",$BF180=""),0,_xlfn.LET(_xlpm.d,IFERROR(--'Sales and count'!$F$2:$CB$2,0),SUMPRODUCT(('Sales and count'!$G$3:$CC$3="Transactions")*(_xlpm.d&gt;=$BD$1)*(_xlpm.d&lt;=$BD$2),INDEX('Sales and count'!$G$4:$CC$300,$BF180,0))))</f>
        <v>0</v>
      </c>
      <c r="BF180" t="str" cm="1">
        <f t="array" ref="BF180">IF($AW180="","",IFERROR(MATCH($AW180,TRIM('Sales and count'!$A$4:$A$300&amp;""),0),""))</f>
        <v/>
      </c>
      <c r="BG180" t="str" cm="1">
        <f t="array" ref="BG180">IF($AW180="","",IFERROR(MATCH(IFERROR(_xlfn.XLOOKUP($AW180,$BT$5:$BT$22,$BU$5:$BU$22),$AW180),TRIM('TY Sales Target'!$B$5:$B$300&amp;""),0),""))</f>
        <v/>
      </c>
      <c r="BH180" t="str" cm="1">
        <f t="array" ref="BH180">IF(ISNUMBER($BG180),_xlfn.LET(_xlpm.p,TRIM(INDEX('TY Sales Target'!$I$5:$I$300,$BG180)&amp;""),IF(_xlpm.p="","Not set",_xlpm.p)),"Not set")</f>
        <v>Not set</v>
      </c>
      <c r="BI180" cm="1">
        <f t="array" ref="BI180">IF($BF180="",0,_xlfn.LET(_xlpm.d,IFERROR(--'Sales and count'!$G$2:$CC$2,0),SUMPRODUCT(('Sales and count'!$G$3:$CC$3="Total")*(_xlpm.d&gt;=$BZ$5)*(_xlpm.d&lt;=$BZ$6),INDEX('Sales and count'!$G$4:$CC$300,$BF180,0))))</f>
        <v>0</v>
      </c>
      <c r="BJ180" cm="1">
        <f t="array" ref="BJ180">IF($AW180="",0,SUMPRODUCT((TRIM('LY Sales '!$B$5:$B$200)=$AW180)*('LY Sales '!$C$2:$AG$2&gt;=EDATE($BZ$5,-12))*('LY Sales '!$C$2:$AG$2&lt;=EDATE($BZ$6,-12)),'LY Sales '!$C$5:$AG$200))</f>
        <v>0</v>
      </c>
      <c r="BK180" cm="1">
        <f t="array" ref="BK180">IF($AW180="",0,SUMPRODUCT((TRIM('LY Sales '!$B$5:$B$200)=$AW180)*('LY Sales '!$C$2:$AG$2&gt;=EDATE($BZ$5,-12))*('LY Sales '!$C$2:$AG$2&lt;=EDATE($BZ$7,-12)),'LY Sales '!$C$5:$AG$200))</f>
        <v>0</v>
      </c>
      <c r="BL180" cm="1">
        <f t="array" ref="BL180">IF($AW180="",0,SUMPRODUCT((TRIM('LY Sales '!$B$5:$B$200)=$AW180)*('LY Sales '!$C$2:$AG$2&gt;=EDATE($BZ$5,-12))*('LY Sales '!$C$2:$AG$2&lt;=EDATE($BZ$6,-12))*('LY Sales '!$C$5:$AG$200&gt;0)))</f>
        <v>0</v>
      </c>
      <c r="BM180" cm="1">
        <f t="array" ref="BM180">IF(NOT(ISNUMBER($BG180)),0,SUMPRODUCT(('TY Sales Target'!$K$2:$AO$2&gt;=$BZ$5)*('TY Sales Target'!$K$2:$AO$2&lt;=$BZ$6),INDEX('TY Sales Target'!$K$5:$AO$300,$BG180,0)))</f>
        <v>0</v>
      </c>
      <c r="BN180" cm="1">
        <f t="array" ref="BN180">IF(NOT(ISNUMBER($BG180)),0,SUMPRODUCT(('TY Sales Target'!$K$2:$AO$2&gt;=$BZ$5)*('TY Sales Target'!$K$2:$AO$2&lt;=$BZ$7),INDEX('TY Sales Target'!$K$5:$AO$300,$BG180,0)))</f>
        <v>0</v>
      </c>
      <c r="BO180" cm="1">
        <f t="array" ref="BO180">IF($AW180="",0,IFERROR(_xlfn.SWITCH($BP180,"LY trend",$BI180*$BK180/$BJ180,"Target curve",$BI180*$BN180/$BM180,"Run rate",$BI180/$BZ$8*$BZ$9,0),0))</f>
        <v>0</v>
      </c>
      <c r="BP180" t="str">
        <f t="shared" si="92"/>
        <v/>
      </c>
      <c r="CB180" cm="1">
        <f t="array" ref="CB180">IF($AW180="",0,_xlfn.LET(_xlpm.k,IFERROR(_xlfn.XLOOKUP($AW180,$CD$6:$CD$21,$CE$6:$CE$21),$AW180),SUMPRODUCT((TRIM('Makeup '!$A$2:$A$300&amp;"")=_xlpm.k)*1,IFERROR('Makeup '!$F$2:$F$300*1,0))))</f>
        <v>0</v>
      </c>
      <c r="CF180" t="str" cm="1">
        <f t="array" ref="CF180">IF($AW180="","",_xlfn.LET(_xlpm.c,IFERROR(TRIM(INDEX('Sales and count'!$B$4:$B$300,$BF180)&amp;""),""),IF(OR(_xlpm.c="",_xlpm.c="0",LEFT(_xlpm.c,1)="#"),"Not set",_xlpm.c)))</f>
        <v/>
      </c>
      <c r="CH180" cm="1">
        <f t="array" ref="CH180">IF($AW180="",0,_xlfn.LET(_xlpm.k,IFERROR(_xlfn.XLOOKUP($AW180,$CD$6:$CD$21,$CE$6:$CE$21),$AW180),--(SUMPRODUCT((TRIM('Makeup '!$A$2:$A$300&amp;"")=_xlpm.k)*ISNUMBER('Makeup '!$F$2:$F$300))&gt;0)))</f>
        <v>0</v>
      </c>
      <c r="CI180">
        <f t="shared" si="95"/>
        <v>0</v>
      </c>
      <c r="CJ180" cm="1">
        <f t="array" ref="CJ180">IF($AW180="",0,--(SUMPRODUCT(--(TRIM(Footfall!$B$5:$B$301)=$AW180))&gt;0))</f>
        <v>0</v>
      </c>
      <c r="CK180" s="8" cm="1">
        <f t="array" ref="CK180">IF($AW180="",0,_xlfn.LET(_xlpm.r,IFERROR(MATCH(IFERROR(_xlfn.XLOOKUP($AW180,$BT$5:$BT$22,$BU$5:$BU$22),$AW180),TRIM('TY Beauty Target'!$B$5:$B$300&amp;""),0),""),IF(ISNUMBER(_xlpm.r),SUMPRODUCT(('TY Beauty Target'!$L$2:$AP$2&gt;=$U$4)*('TY Beauty Target'!$L$2:$AP$2&lt;=$U$5),INDEX('TY Beauty Target'!$L$5:$AP$300,_xlpm.r,0)),0)))</f>
        <v>0</v>
      </c>
    </row>
    <row r="181" spans="1:89" ht="15" customHeight="1" x14ac:dyDescent="0.25">
      <c r="A181" s="38" t="str">
        <f t="shared" si="96"/>
        <v/>
      </c>
      <c r="B181" s="43" t="str" cm="1">
        <f t="array" ref="B181">IF($AI181="","",IF(LEFT($AI181,2)="C|",IF($C181="","",_xlfn.TEXTJOIN(", ",TRUE,_xlfn.UNIQUE(_xlfn._xlws.FILTER($AN$5:$AN$302,($AP$5:$AP$302=1)*($AO$5:$AO$302=$A181))))),IF($AI181="CT",B$13,IF(LEFT($AI181,3)="AM|",IF($C181="","",ROWS(_xlfn.UNIQUE(_xlfn._xlws.FILTER($AO$5:$AO$302,($AP$5:$AP$302=1)*($AN$5:$AN$302=$A181))))),IF(LEFT($AI181,2)="S|",IF($AG181="","",INDEX($AO$5:$AO$302,$AH181)),IF($AI181="HDR","City",""))))))</f>
        <v/>
      </c>
      <c r="C181" s="39" t="str" cm="1">
        <f t="array" ref="C181">IF($AI181="","",IF(LEFT($AI181,2)="C|",_xlfn.LET(_xlpm.n,SUMPRODUCT($AP$5:$AP$302*($AO$5:$AO$302=$A181)),IF(_xlpm.n=0,"",_xlpm.n)),IF($AI181="CT",C$13,IF(LEFT($AI181,3)="AM|",_xlfn.LET(_xlpm.n,SUMPRODUCT($AP$5:$AP$302*($AN$5:$AN$302=$A181)),IF(_xlpm.n=0,"",_xlpm.n)),IF(LEFT($AI181,2)="S|","",IF($AI181="HDR","# Stores",""))))))</f>
        <v/>
      </c>
      <c r="D181" s="40" t="str" cm="1">
        <f t="array" ref="D181">IF($AI181="","",IF(LEFT($AI181,2)="C|",IF($C181="","",SUMPRODUCT($AP$5:$AP$302*($AO$5:$AO$302=$A181),$AR$5:$AR$302)),IF($AI181="CT",D$13,IF(LEFT($AI181,3)="AM|",IF($C181="","",SUMPRODUCT($AP$5:$AP$302*($AN$5:$AN$302=$A181),$AR$5:$AR$302)),IF(LEFT($AI181,2)="S|",IF($AG181="","",INDEX($AR$5:$AR$302,$AH181)),IF($AI181="HDR","Sales TY",""))))))</f>
        <v/>
      </c>
      <c r="E181" s="40" t="str" cm="1">
        <f t="array" ref="E181">IF($AI181="","",IF(LEFT($AI181,2)="C|",IF($C181="","",SUMPRODUCT($AP$5:$AP$302*($AO$5:$AO$302=$A181),$AT$5:$AT$302)),IF($AI181="CT",E$13,IF(LEFT($AI181,3)="AM|",IF($C181="","",SUMPRODUCT($AP$5:$AP$302*($AN$5:$AN$302=$A181),$AT$5:$AT$302)),IF(LEFT($AI181,2)="S|",IF($AG181="","",INDEX($AT$5:$AT$302,$AH181)),IF($AI181="HDR","Sales LY",""))))))</f>
        <v/>
      </c>
      <c r="F181" s="41" t="str">
        <f t="shared" si="97"/>
        <v/>
      </c>
      <c r="G181" s="41" t="str">
        <f t="shared" si="98"/>
        <v/>
      </c>
      <c r="H181" s="40" t="str" cm="1">
        <f t="array" ref="H181">IF($AI181="","",IF(LEFT($AI181,2)="C|",IF($C181="","",SUMPRODUCT($AP$5:$AP$302*($AO$5:$AO$302=$A181),$AV$5:$AV$302)),IF($AI181="CT",H$13,IF(LEFT($AI181,3)="AM|",IF($C181="","",SUMPRODUCT($AP$5:$AP$302*($AN$5:$AN$302=$A181),$AV$5:$AV$302)),IF(LEFT($AI181,2)="S|",IF($AG181="","",INDEX($AV$5:$AV$302,$AH181)),IF($AI181="HDR","Target",""))))))</f>
        <v/>
      </c>
      <c r="I181" s="41" t="str">
        <f t="shared" si="99"/>
        <v/>
      </c>
      <c r="J181" s="40" t="str">
        <f t="shared" si="100"/>
        <v/>
      </c>
      <c r="K181" s="41" t="str">
        <f t="shared" si="101"/>
        <v/>
      </c>
      <c r="L181" s="40" t="str" cm="1">
        <f t="array" ref="L181">IF($AI181="","",IF(LEFT($AI181,2)="C|",IF($C181="","",SUMPRODUCT($AP$5:$AP$302*($AO$5:$AO$302=$A181),$BN$5:$BN$302)),IF($AI181="CT",L$13,IF(LEFT($AI181,3)="AM|",IF($C181="","",SUMPRODUCT($AP$5:$AP$302*($AN$5:$AN$302=$A181),$BN$5:$BN$302)),IF(LEFT($AI181,2)="S|",IF($AG181="","",INDEX($BN$5:$BN$302,$AH181)),IF($AI181="HDR","Month Target",""))))))</f>
        <v/>
      </c>
      <c r="M181" s="40" t="str" cm="1">
        <f t="array" ref="M181">IF($AI181="","",IF(LEFT($AI181,2)="C|",IF($C181="","",SUMPRODUCT($AP$5:$AP$302*($AO$5:$AO$302=$A181),$BO$5:$BO$302)),IF($AI181="CT",M$13,IF(LEFT($AI181,3)="AM|",IF($C181="","",SUMPRODUCT($AP$5:$AP$302*($AN$5:$AN$302=$A181),$BO$5:$BO$302)),IF(LEFT($AI181,2)="S|",IF($AG181="","",INDEX($BO$5:$BO$302,$AH181)),IF($AI181="HDR","Projected Close",""))))))</f>
        <v/>
      </c>
      <c r="N181" s="41" t="str">
        <f t="shared" si="109"/>
        <v/>
      </c>
      <c r="O181" s="41" t="str" cm="1">
        <f t="array" ref="O181">IF($AI181="HDR","Proj. vs LY",IF(OR($AI181="",M181=""),"",_xlfn.LET(_xlpm.ly,IF(LEFT($AI181,2)="C|",SUMPRODUCT($AP$5:$AP$302*($AO$5:$AO$302=$A181),$BK$5:$BK$302),IF($AI181="CT",SUMPRODUCT($AP$5:$AP$302,$BK$5:$BK$302),IF(LEFT($AI181,3)="AM|",SUMPRODUCT($AP$5:$AP$302*($AN$5:$AN$302=$A181),$BK$5:$BK$302),IF(LEFT($AI181,2)="S|",INDEX($BK$5:$BK$302,$AH181),0)))),IFERROR(M181/_xlpm.ly-1,""))))</f>
        <v/>
      </c>
      <c r="P181" s="40" t="str" cm="1">
        <f t="array" ref="P181">IF($AI181="","",IF(LEFT($AI181,2)="C|",IF($C181="","",SUMPRODUCT($AP$5:$AP$302*($AO$5:$AO$302=$A181),$AS$5:$AS$302)),IF($AI181="CT",P$13,IF(LEFT($AI181,3)="AM|",IF($C181="","",SUMPRODUCT($AP$5:$AP$302*($AN$5:$AN$302=$A181),$AS$5:$AS$302)),IF(LEFT($AI181,2)="S|",IF($AG181="","",INDEX($AS$5:$AS$302,$AH181)),IF($AI181="HDR","Trans TY",""))))))</f>
        <v/>
      </c>
      <c r="Q181" s="40" t="str" cm="1">
        <f t="array" ref="Q181">IF($AI181="","",IF(LEFT($AI181,2)="C|",IF($C181="","",SUMPRODUCT($AP$5:$AP$302*($AO$5:$AO$302=$A181),$AU$5:$AU$302)),IF($AI181="CT",Q$13,IF(LEFT($AI181,3)="AM|",IF($C181="","",SUMPRODUCT($AP$5:$AP$302*($AN$5:$AN$302=$A181),$AU$5:$AU$302)),IF(LEFT($AI181,2)="S|",IF($AG181="","",INDEX($AU$5:$AU$302,$AH181)),IF($AI181="HDR","Trans LY",""))))))</f>
        <v/>
      </c>
      <c r="R181" s="41" t="str">
        <f t="shared" si="102"/>
        <v/>
      </c>
      <c r="S181" s="41" t="str">
        <f t="shared" si="103"/>
        <v/>
      </c>
      <c r="T181" s="42" t="str">
        <f t="shared" si="104"/>
        <v/>
      </c>
      <c r="U181" s="42" t="str">
        <f t="shared" si="105"/>
        <v/>
      </c>
      <c r="V181" s="41" t="str">
        <f t="shared" si="106"/>
        <v/>
      </c>
      <c r="W181" s="40" t="str" cm="1">
        <f t="array" ref="W181">IF($AI181="","",IF(LEFT($AI181,2)="C|",_xlfn.LET(_xlpm.n,SUMPRODUCT($AP$5:$AP$302*($AO$5:$AO$302=$A181),$BB$5:$BB$302),IF(_xlpm.n=0,"",_xlpm.n)),IF($AI181="CT",W$13,IF(LEFT($AI181,3)="AM|",_xlfn.LET(_xlpm.n,SUMPRODUCT($AP$5:$AP$302*($AN$5:$AN$302=$A181),$BB$5:$BB$302),IF(_xlpm.n=0,"",_xlpm.n)),IF(LEFT($AI181,2)="S|",IF($AG181="","",_xlfn.LET(_xlpm.n,INDEX($BB$5:$BB$302,$AH181),IF(_xlpm.n=0,"",_xlpm.n))),IF($AI181="HDR","Footfall",""))))))</f>
        <v/>
      </c>
      <c r="X181" s="40" t="str" cm="1">
        <f t="array" ref="X181">IF($AI181="","",IF($AI181="HDR","Trans (FF stores)",IF(W181="","",IF(LEFT($AI181,2)="C|",SUMPRODUCT($AP$5:$AP$302*($AO$5:$AO$302=$A181),$BC$5:$BC$302),IF($AI181="CT",X$13,IF(LEFT($AI181,3)="AM|",SUMPRODUCT($AP$5:$AP$302*($AN$5:$AN$302=$A181),$BC$5:$BC$302),IF(LEFT($AI181,2)="S|",INDEX($BC$5:$BC$302,$AH181),"")))))))</f>
        <v/>
      </c>
      <c r="Y181" s="41" t="str">
        <f t="shared" si="110"/>
        <v/>
      </c>
      <c r="Z181" s="40" t="str" cm="1">
        <f t="array" ref="Z181">IF($AI181="","",IF(LEFT($AI181,2)="C|",IF($C181="","",SUMPRODUCT($AP$5:$AP$302*($AO$5:$AO$302=$A181),$CB$5:$CB$302)),IF($AI181="CT",Z$13,IF(LEFT($AI181,3)="AM|",IF($C181="","",SUMPRODUCT($AP$5:$AP$302*($AN$5:$AN$302=$A181),$CB$5:$CB$302)),IF(LEFT($AI181,2)="S|",IF($AG181="","",INDEX($CB$5:$CB$302,$AH181)),IF($AI181="HDR","Makeup Sales",""))))))</f>
        <v/>
      </c>
      <c r="AA181" s="41" t="str">
        <f t="shared" si="107"/>
        <v/>
      </c>
      <c r="AB181" s="40" t="str" cm="1">
        <f t="array" ref="AB181">IF($AI181="","",IF(LEFT($AI181,2)="C|",IF($C181="","",SUMPRODUCT($AP$5:$AP$302*($AO$5:$AO$302=$A181),$CK$5:$CK$302)),IF($AI181="CT",AB$13,IF(LEFT($AI181,3)="AM|",IF($C181="","",SUMPRODUCT($AP$5:$AP$302*($AN$5:$AN$302=$A181),$CK$5:$CK$302)),IF(LEFT($AI181,2)="S|",IF($AG181="","",INDEX($CK$5:$CK$302,$AH181)),IF($AI181="HDR","Makeup Target",""))))))</f>
        <v/>
      </c>
      <c r="AC181" s="41" t="str">
        <f t="shared" si="111"/>
        <v/>
      </c>
      <c r="AD181" s="40" t="str" cm="1">
        <f t="array" ref="AD181">IF($AI181="","",IF(LEFT($AI181,2)="C|",IF($C181="","",SUMPRODUCT($AP$5:$AP$302*($AO$5:$AO$302=$A181),$CI$5:$CI$302)),IF($AI181="CT",AD$13,IF(LEFT($AI181,3)="AM|",IF($C181="","",SUMPRODUCT($AP$5:$AP$302*($AN$5:$AN$302=$A181),$CI$5:$CI$302)),IF(LEFT($AI181,2)="S|",IF($AG181="","",INDEX($CI$5:$CI$302,$AH181)),IF($AI181="HDR","Cosmetic Sales",""))))))</f>
        <v/>
      </c>
      <c r="AE181" s="8" t="str" cm="1">
        <f t="array" ref="AE181">IF($AI181="","",IF(LEFT($AI181,2)="C|",IF($C181="","",SUMPRODUCT($AP$5:$AP$302*($AO$5:$AO$302=$A181)*$AQ$5:$AQ$302,$AR$5:$AR$302)),IF($AI181="CT",AE$13,IF(LEFT($AI181,3)="AM|",IF($C181="","",SUMPRODUCT($AP$5:$AP$302*($AN$5:$AN$302=$A181)*$AQ$5:$AQ$302,$AR$5:$AR$302)),IF(LEFT($AI181,2)="S|",IF($AG181="","",IF(INDEX($AQ$5:$AQ$302,$AH181)=1,D181,0)),IF($AI181="HDR","LFL Sales",""))))))</f>
        <v/>
      </c>
      <c r="AF181" s="8" t="str" cm="1">
        <f t="array" ref="AF181">IF($AI181="","",IF(LEFT($AI181,2)="C|",IF($C181="","",SUMPRODUCT($AP$5:$AP$302*($AO$5:$AO$302=$A181)*$AQ$5:$AQ$302,$AS$5:$AS$302)),IF($AI181="CT",AF$13,IF(LEFT($AI181,3)="AM|",IF($C181="","",SUMPRODUCT($AP$5:$AP$302*($AN$5:$AN$302=$A181)*$AQ$5:$AQ$302,$AS$5:$AS$302)),IF(LEFT($AI181,2)="S|",IF($AG181="","",IF(INDEX($AQ$5:$AQ$302,$AH181)=1,P181,0)),IF($AI181="HDR","LFL Trans",""))))))</f>
        <v/>
      </c>
      <c r="AG181" s="8" t="str" cm="1">
        <f t="array" ref="AG181">IF($AI181="","",IF(LEFT($AI181,2)="C|","",IF($AI181="CT","",IF(LEFT($AI181,3)="AM|","",IF(LEFT($AI181,2)="S|",IF($AH181="","",IF(INDEX($AP$5:$AP$302,$AH181)=1,1,"")),IF($AI181="HDR","Show",""))))))</f>
        <v/>
      </c>
      <c r="AH181" s="8" t="str">
        <f t="shared" si="108"/>
        <v/>
      </c>
      <c r="AI181" s="8"/>
      <c r="AN181" s="8" t="str" cm="1">
        <f t="array" ref="AN181">IF($AW181="","",_xlfn.LET(_xlpm.sa,IFERROR(TRIM(INDEX('Sales and count'!$D$4:$D$300,$BF181)&amp;""),""),_xlpm.ta,IFERROR(TRIM(INDEX('TY Sales Target'!$F$5:$F$300,$BG181)&amp;""),""),IF(AND(_xlpm.sa&lt;&gt;"",LEFT(_xlpm.sa,1)&lt;&gt;"#",_xlpm.sa&lt;&gt;"0"),_xlpm.sa,IF(AND(_xlpm.ta&lt;&gt;"",LEFT(_xlpm.ta,1)&lt;&gt;"#",_xlpm.ta&lt;&gt;"0"),_xlpm.ta,IF(ISNUMBER($BG181),"Unassigned","")))))</f>
        <v/>
      </c>
      <c r="AO181" s="8" t="str" cm="1">
        <f t="array" ref="AO181">IF($AW181="","",_xlfn.LET(_xlpm.sa,IFERROR(TRIM(INDEX('Sales and count'!$C$4:$C$300,$BF181)&amp;""),""),_xlpm.ta,IFERROR(TRIM(INDEX('TY Sales Target'!$D$5:$D$300,$BG181)&amp;""),""),IF(AND(_xlpm.sa&lt;&gt;"",LEFT(_xlpm.sa,1)&lt;&gt;"#",_xlpm.sa&lt;&gt;"0"),_xlpm.sa,IF(AND(_xlpm.ta&lt;&gt;"",LEFT(_xlpm.ta,1)&lt;&gt;"#",_xlpm.ta&lt;&gt;"0"),_xlpm.ta,""))))</f>
        <v/>
      </c>
      <c r="AP181" s="8">
        <f t="shared" si="93"/>
        <v>0</v>
      </c>
      <c r="AQ181" s="8">
        <f t="shared" si="94"/>
        <v>0</v>
      </c>
      <c r="AR181" s="8" cm="1">
        <f t="array" ref="AR181">IF($BF181="",0,_xlfn.LET(_xlpm.d,IFERROR(--'Sales and count'!$G$2:$CC$2,0),SUMPRODUCT(('Sales and count'!$G$3:$CC$3="Total")*(_xlpm.d&gt;=$U$4)*(_xlpm.d&lt;=$U$5),INDEX('Sales and count'!$G$4:$CC$300,$BF181,0))))</f>
        <v>0</v>
      </c>
      <c r="AS181" s="8" cm="1">
        <f t="array" ref="AS181">IF($BF181="",0,_xlfn.LET(_xlpm.d,IFERROR(--'Sales and count'!$F$2:$CB$2,0),SUMPRODUCT(('Sales and count'!$G$3:$CC$3="Transactions")*(_xlpm.d&gt;=$U$4)*(_xlpm.d&lt;=$U$5),INDEX('Sales and count'!$G$4:$CC$300,$BF181,0))))</f>
        <v>0</v>
      </c>
      <c r="AT181" s="8" cm="1">
        <f t="array" ref="AT181">IF($AW181="",0,SUMPRODUCT((TRIM('LY Sales '!$B$5:$B$200)=$AW181)*('LY Sales '!$C$2:$AG$2&gt;=EDATE($U$4,-12))*('LY Sales '!$C$2:$AG$2&lt;=EDATE($U$5,-12)),'LY Sales '!$C$5:$AG$200))</f>
        <v>0</v>
      </c>
      <c r="AU181" s="8" cm="1">
        <f t="array" ref="AU181">IF($AW181="",0,SUMPRODUCT((TRIM('LY Transaction'!$B$5:$B$200)=$AW181)*('LY Transaction'!$C$2:$AG$2&gt;=EDATE($U$4,-12))*('LY Transaction'!$C$2:$AG$2&lt;=EDATE($U$5,-12)),'LY Transaction'!$C$5:$AG$200))</f>
        <v>0</v>
      </c>
      <c r="AV181" s="8" cm="1">
        <f t="array" ref="AV181">IF(NOT(ISNUMBER($BG181)),0,SUMPRODUCT(('TY Sales Target'!$K$2:$AO$2&gt;=$U$4)*('TY Sales Target'!$K$2:$AO$2&lt;=$U$5),INDEX('TY Sales Target'!$K$5:$AO$300,$BG181,0)))</f>
        <v>0</v>
      </c>
      <c r="AW181" s="8" t="str" cm="1">
        <f t="array" ref="AW181">IFERROR(INDEX(_xlfn.ANCHORARRAY($BR$5),ROWS($AW$5:AW181)),"")</f>
        <v/>
      </c>
      <c r="BB181" cm="1">
        <f t="array" ref="BB181">IF($AW181="",0,SUMPRODUCT((TRIM(Footfall!$B$5:$B$301)=$AW181)*(Footfall!$C$1:$BZ$1&gt;=$U$4)*(Footfall!$C$2:$BZ$2&lt;=$U$5)*(Footfall!$C$1:$BZ$1&lt;&gt;""),Footfall!$C$5:$BZ$301))</f>
        <v>0</v>
      </c>
      <c r="BC181" cm="1">
        <f t="array" ref="BC181">IF(OR($BB181&lt;=0,$BD$1="",$BF181=""),0,_xlfn.LET(_xlpm.d,IFERROR(--'Sales and count'!$F$2:$CB$2,0),SUMPRODUCT(('Sales and count'!$G$3:$CC$3="Transactions")*(_xlpm.d&gt;=$BD$1)*(_xlpm.d&lt;=$BD$2),INDEX('Sales and count'!$G$4:$CC$300,$BF181,0))))</f>
        <v>0</v>
      </c>
      <c r="BF181" t="str" cm="1">
        <f t="array" ref="BF181">IF($AW181="","",IFERROR(MATCH($AW181,TRIM('Sales and count'!$A$4:$A$300&amp;""),0),""))</f>
        <v/>
      </c>
      <c r="BG181" t="str" cm="1">
        <f t="array" ref="BG181">IF($AW181="","",IFERROR(MATCH(IFERROR(_xlfn.XLOOKUP($AW181,$BT$5:$BT$22,$BU$5:$BU$22),$AW181),TRIM('TY Sales Target'!$B$5:$B$300&amp;""),0),""))</f>
        <v/>
      </c>
      <c r="BH181" t="str" cm="1">
        <f t="array" ref="BH181">IF(ISNUMBER($BG181),_xlfn.LET(_xlpm.p,TRIM(INDEX('TY Sales Target'!$I$5:$I$300,$BG181)&amp;""),IF(_xlpm.p="","Not set",_xlpm.p)),"Not set")</f>
        <v>Not set</v>
      </c>
      <c r="BI181" cm="1">
        <f t="array" ref="BI181">IF($BF181="",0,_xlfn.LET(_xlpm.d,IFERROR(--'Sales and count'!$G$2:$CC$2,0),SUMPRODUCT(('Sales and count'!$G$3:$CC$3="Total")*(_xlpm.d&gt;=$BZ$5)*(_xlpm.d&lt;=$BZ$6),INDEX('Sales and count'!$G$4:$CC$300,$BF181,0))))</f>
        <v>0</v>
      </c>
      <c r="BJ181" cm="1">
        <f t="array" ref="BJ181">IF($AW181="",0,SUMPRODUCT((TRIM('LY Sales '!$B$5:$B$200)=$AW181)*('LY Sales '!$C$2:$AG$2&gt;=EDATE($BZ$5,-12))*('LY Sales '!$C$2:$AG$2&lt;=EDATE($BZ$6,-12)),'LY Sales '!$C$5:$AG$200))</f>
        <v>0</v>
      </c>
      <c r="BK181" cm="1">
        <f t="array" ref="BK181">IF($AW181="",0,SUMPRODUCT((TRIM('LY Sales '!$B$5:$B$200)=$AW181)*('LY Sales '!$C$2:$AG$2&gt;=EDATE($BZ$5,-12))*('LY Sales '!$C$2:$AG$2&lt;=EDATE($BZ$7,-12)),'LY Sales '!$C$5:$AG$200))</f>
        <v>0</v>
      </c>
      <c r="BL181" cm="1">
        <f t="array" ref="BL181">IF($AW181="",0,SUMPRODUCT((TRIM('LY Sales '!$B$5:$B$200)=$AW181)*('LY Sales '!$C$2:$AG$2&gt;=EDATE($BZ$5,-12))*('LY Sales '!$C$2:$AG$2&lt;=EDATE($BZ$6,-12))*('LY Sales '!$C$5:$AG$200&gt;0)))</f>
        <v>0</v>
      </c>
      <c r="BM181" cm="1">
        <f t="array" ref="BM181">IF(NOT(ISNUMBER($BG181)),0,SUMPRODUCT(('TY Sales Target'!$K$2:$AO$2&gt;=$BZ$5)*('TY Sales Target'!$K$2:$AO$2&lt;=$BZ$6),INDEX('TY Sales Target'!$K$5:$AO$300,$BG181,0)))</f>
        <v>0</v>
      </c>
      <c r="BN181" cm="1">
        <f t="array" ref="BN181">IF(NOT(ISNUMBER($BG181)),0,SUMPRODUCT(('TY Sales Target'!$K$2:$AO$2&gt;=$BZ$5)*('TY Sales Target'!$K$2:$AO$2&lt;=$BZ$7),INDEX('TY Sales Target'!$K$5:$AO$300,$BG181,0)))</f>
        <v>0</v>
      </c>
      <c r="BO181" cm="1">
        <f t="array" ref="BO181">IF($AW181="",0,IFERROR(_xlfn.SWITCH($BP181,"LY trend",$BI181*$BK181/$BJ181,"Target curve",$BI181*$BN181/$BM181,"Run rate",$BI181/$BZ$8*$BZ$9,0),0))</f>
        <v>0</v>
      </c>
      <c r="BP181" t="str">
        <f t="shared" si="92"/>
        <v/>
      </c>
      <c r="CB181" cm="1">
        <f t="array" ref="CB181">IF($AW181="",0,_xlfn.LET(_xlpm.k,IFERROR(_xlfn.XLOOKUP($AW181,$CD$6:$CD$21,$CE$6:$CE$21),$AW181),SUMPRODUCT((TRIM('Makeup '!$A$2:$A$300&amp;"")=_xlpm.k)*1,IFERROR('Makeup '!$F$2:$F$300*1,0))))</f>
        <v>0</v>
      </c>
      <c r="CF181" t="str" cm="1">
        <f t="array" ref="CF181">IF($AW181="","",_xlfn.LET(_xlpm.c,IFERROR(TRIM(INDEX('Sales and count'!$B$4:$B$300,$BF181)&amp;""),""),IF(OR(_xlpm.c="",_xlpm.c="0",LEFT(_xlpm.c,1)="#"),"Not set",_xlpm.c)))</f>
        <v/>
      </c>
      <c r="CH181" cm="1">
        <f t="array" ref="CH181">IF($AW181="",0,_xlfn.LET(_xlpm.k,IFERROR(_xlfn.XLOOKUP($AW181,$CD$6:$CD$21,$CE$6:$CE$21),$AW181),--(SUMPRODUCT((TRIM('Makeup '!$A$2:$A$300&amp;"")=_xlpm.k)*ISNUMBER('Makeup '!$F$2:$F$300))&gt;0)))</f>
        <v>0</v>
      </c>
      <c r="CI181">
        <f t="shared" si="95"/>
        <v>0</v>
      </c>
      <c r="CJ181" cm="1">
        <f t="array" ref="CJ181">IF($AW181="",0,--(SUMPRODUCT(--(TRIM(Footfall!$B$5:$B$301)=$AW181))&gt;0))</f>
        <v>0</v>
      </c>
      <c r="CK181" s="8" cm="1">
        <f t="array" ref="CK181">IF($AW181="",0,_xlfn.LET(_xlpm.r,IFERROR(MATCH(IFERROR(_xlfn.XLOOKUP($AW181,$BT$5:$BT$22,$BU$5:$BU$22),$AW181),TRIM('TY Beauty Target'!$B$5:$B$300&amp;""),0),""),IF(ISNUMBER(_xlpm.r),SUMPRODUCT(('TY Beauty Target'!$L$2:$AP$2&gt;=$U$4)*('TY Beauty Target'!$L$2:$AP$2&lt;=$U$5),INDEX('TY Beauty Target'!$L$5:$AP$300,_xlpm.r,0)),0)))</f>
        <v>0</v>
      </c>
    </row>
    <row r="182" spans="1:89" ht="15" customHeight="1" x14ac:dyDescent="0.25">
      <c r="A182" s="38" t="str">
        <f t="shared" si="96"/>
        <v/>
      </c>
      <c r="B182" s="43" t="str" cm="1">
        <f t="array" ref="B182">IF($AI182="","",IF(LEFT($AI182,2)="C|",IF($C182="","",_xlfn.TEXTJOIN(", ",TRUE,_xlfn.UNIQUE(_xlfn._xlws.FILTER($AN$5:$AN$302,($AP$5:$AP$302=1)*($AO$5:$AO$302=$A182))))),IF($AI182="CT",B$13,IF(LEFT($AI182,3)="AM|",IF($C182="","",ROWS(_xlfn.UNIQUE(_xlfn._xlws.FILTER($AO$5:$AO$302,($AP$5:$AP$302=1)*($AN$5:$AN$302=$A182))))),IF(LEFT($AI182,2)="S|",IF($AG182="","",INDEX($AO$5:$AO$302,$AH182)),IF($AI182="HDR","City",""))))))</f>
        <v/>
      </c>
      <c r="C182" s="39" t="str" cm="1">
        <f t="array" ref="C182">IF($AI182="","",IF(LEFT($AI182,2)="C|",_xlfn.LET(_xlpm.n,SUMPRODUCT($AP$5:$AP$302*($AO$5:$AO$302=$A182)),IF(_xlpm.n=0,"",_xlpm.n)),IF($AI182="CT",C$13,IF(LEFT($AI182,3)="AM|",_xlfn.LET(_xlpm.n,SUMPRODUCT($AP$5:$AP$302*($AN$5:$AN$302=$A182)),IF(_xlpm.n=0,"",_xlpm.n)),IF(LEFT($AI182,2)="S|","",IF($AI182="HDR","# Stores",""))))))</f>
        <v/>
      </c>
      <c r="D182" s="40" t="str" cm="1">
        <f t="array" ref="D182">IF($AI182="","",IF(LEFT($AI182,2)="C|",IF($C182="","",SUMPRODUCT($AP$5:$AP$302*($AO$5:$AO$302=$A182),$AR$5:$AR$302)),IF($AI182="CT",D$13,IF(LEFT($AI182,3)="AM|",IF($C182="","",SUMPRODUCT($AP$5:$AP$302*($AN$5:$AN$302=$A182),$AR$5:$AR$302)),IF(LEFT($AI182,2)="S|",IF($AG182="","",INDEX($AR$5:$AR$302,$AH182)),IF($AI182="HDR","Sales TY",""))))))</f>
        <v/>
      </c>
      <c r="E182" s="40" t="str" cm="1">
        <f t="array" ref="E182">IF($AI182="","",IF(LEFT($AI182,2)="C|",IF($C182="","",SUMPRODUCT($AP$5:$AP$302*($AO$5:$AO$302=$A182),$AT$5:$AT$302)),IF($AI182="CT",E$13,IF(LEFT($AI182,3)="AM|",IF($C182="","",SUMPRODUCT($AP$5:$AP$302*($AN$5:$AN$302=$A182),$AT$5:$AT$302)),IF(LEFT($AI182,2)="S|",IF($AG182="","",INDEX($AT$5:$AT$302,$AH182)),IF($AI182="HDR","Sales LY",""))))))</f>
        <v/>
      </c>
      <c r="F182" s="41" t="str">
        <f t="shared" si="97"/>
        <v/>
      </c>
      <c r="G182" s="41" t="str">
        <f t="shared" si="98"/>
        <v/>
      </c>
      <c r="H182" s="40" t="str" cm="1">
        <f t="array" ref="H182">IF($AI182="","",IF(LEFT($AI182,2)="C|",IF($C182="","",SUMPRODUCT($AP$5:$AP$302*($AO$5:$AO$302=$A182),$AV$5:$AV$302)),IF($AI182="CT",H$13,IF(LEFT($AI182,3)="AM|",IF($C182="","",SUMPRODUCT($AP$5:$AP$302*($AN$5:$AN$302=$A182),$AV$5:$AV$302)),IF(LEFT($AI182,2)="S|",IF($AG182="","",INDEX($AV$5:$AV$302,$AH182)),IF($AI182="HDR","Target",""))))))</f>
        <v/>
      </c>
      <c r="I182" s="41" t="str">
        <f t="shared" si="99"/>
        <v/>
      </c>
      <c r="J182" s="40" t="str">
        <f t="shared" si="100"/>
        <v/>
      </c>
      <c r="K182" s="41" t="str">
        <f t="shared" si="101"/>
        <v/>
      </c>
      <c r="L182" s="40" t="str" cm="1">
        <f t="array" ref="L182">IF($AI182="","",IF(LEFT($AI182,2)="C|",IF($C182="","",SUMPRODUCT($AP$5:$AP$302*($AO$5:$AO$302=$A182),$BN$5:$BN$302)),IF($AI182="CT",L$13,IF(LEFT($AI182,3)="AM|",IF($C182="","",SUMPRODUCT($AP$5:$AP$302*($AN$5:$AN$302=$A182),$BN$5:$BN$302)),IF(LEFT($AI182,2)="S|",IF($AG182="","",INDEX($BN$5:$BN$302,$AH182)),IF($AI182="HDR","Month Target",""))))))</f>
        <v/>
      </c>
      <c r="M182" s="40" t="str" cm="1">
        <f t="array" ref="M182">IF($AI182="","",IF(LEFT($AI182,2)="C|",IF($C182="","",SUMPRODUCT($AP$5:$AP$302*($AO$5:$AO$302=$A182),$BO$5:$BO$302)),IF($AI182="CT",M$13,IF(LEFT($AI182,3)="AM|",IF($C182="","",SUMPRODUCT($AP$5:$AP$302*($AN$5:$AN$302=$A182),$BO$5:$BO$302)),IF(LEFT($AI182,2)="S|",IF($AG182="","",INDEX($BO$5:$BO$302,$AH182)),IF($AI182="HDR","Projected Close",""))))))</f>
        <v/>
      </c>
      <c r="N182" s="41" t="str">
        <f t="shared" si="109"/>
        <v/>
      </c>
      <c r="O182" s="41" t="str" cm="1">
        <f t="array" ref="O182">IF($AI182="HDR","Proj. vs LY",IF(OR($AI182="",M182=""),"",_xlfn.LET(_xlpm.ly,IF(LEFT($AI182,2)="C|",SUMPRODUCT($AP$5:$AP$302*($AO$5:$AO$302=$A182),$BK$5:$BK$302),IF($AI182="CT",SUMPRODUCT($AP$5:$AP$302,$BK$5:$BK$302),IF(LEFT($AI182,3)="AM|",SUMPRODUCT($AP$5:$AP$302*($AN$5:$AN$302=$A182),$BK$5:$BK$302),IF(LEFT($AI182,2)="S|",INDEX($BK$5:$BK$302,$AH182),0)))),IFERROR(M182/_xlpm.ly-1,""))))</f>
        <v/>
      </c>
      <c r="P182" s="40" t="str" cm="1">
        <f t="array" ref="P182">IF($AI182="","",IF(LEFT($AI182,2)="C|",IF($C182="","",SUMPRODUCT($AP$5:$AP$302*($AO$5:$AO$302=$A182),$AS$5:$AS$302)),IF($AI182="CT",P$13,IF(LEFT($AI182,3)="AM|",IF($C182="","",SUMPRODUCT($AP$5:$AP$302*($AN$5:$AN$302=$A182),$AS$5:$AS$302)),IF(LEFT($AI182,2)="S|",IF($AG182="","",INDEX($AS$5:$AS$302,$AH182)),IF($AI182="HDR","Trans TY",""))))))</f>
        <v/>
      </c>
      <c r="Q182" s="40" t="str" cm="1">
        <f t="array" ref="Q182">IF($AI182="","",IF(LEFT($AI182,2)="C|",IF($C182="","",SUMPRODUCT($AP$5:$AP$302*($AO$5:$AO$302=$A182),$AU$5:$AU$302)),IF($AI182="CT",Q$13,IF(LEFT($AI182,3)="AM|",IF($C182="","",SUMPRODUCT($AP$5:$AP$302*($AN$5:$AN$302=$A182),$AU$5:$AU$302)),IF(LEFT($AI182,2)="S|",IF($AG182="","",INDEX($AU$5:$AU$302,$AH182)),IF($AI182="HDR","Trans LY",""))))))</f>
        <v/>
      </c>
      <c r="R182" s="41" t="str">
        <f t="shared" si="102"/>
        <v/>
      </c>
      <c r="S182" s="41" t="str">
        <f t="shared" si="103"/>
        <v/>
      </c>
      <c r="T182" s="42" t="str">
        <f t="shared" si="104"/>
        <v/>
      </c>
      <c r="U182" s="42" t="str">
        <f t="shared" si="105"/>
        <v/>
      </c>
      <c r="V182" s="41" t="str">
        <f t="shared" si="106"/>
        <v/>
      </c>
      <c r="W182" s="40" t="str" cm="1">
        <f t="array" ref="W182">IF($AI182="","",IF(LEFT($AI182,2)="C|",_xlfn.LET(_xlpm.n,SUMPRODUCT($AP$5:$AP$302*($AO$5:$AO$302=$A182),$BB$5:$BB$302),IF(_xlpm.n=0,"",_xlpm.n)),IF($AI182="CT",W$13,IF(LEFT($AI182,3)="AM|",_xlfn.LET(_xlpm.n,SUMPRODUCT($AP$5:$AP$302*($AN$5:$AN$302=$A182),$BB$5:$BB$302),IF(_xlpm.n=0,"",_xlpm.n)),IF(LEFT($AI182,2)="S|",IF($AG182="","",_xlfn.LET(_xlpm.n,INDEX($BB$5:$BB$302,$AH182),IF(_xlpm.n=0,"",_xlpm.n))),IF($AI182="HDR","Footfall",""))))))</f>
        <v/>
      </c>
      <c r="X182" s="40" t="str" cm="1">
        <f t="array" ref="X182">IF($AI182="","",IF($AI182="HDR","Trans (FF stores)",IF(W182="","",IF(LEFT($AI182,2)="C|",SUMPRODUCT($AP$5:$AP$302*($AO$5:$AO$302=$A182),$BC$5:$BC$302),IF($AI182="CT",X$13,IF(LEFT($AI182,3)="AM|",SUMPRODUCT($AP$5:$AP$302*($AN$5:$AN$302=$A182),$BC$5:$BC$302),IF(LEFT($AI182,2)="S|",INDEX($BC$5:$BC$302,$AH182),"")))))))</f>
        <v/>
      </c>
      <c r="Y182" s="41" t="str">
        <f t="shared" si="110"/>
        <v/>
      </c>
      <c r="Z182" s="40" t="str" cm="1">
        <f t="array" ref="Z182">IF($AI182="","",IF(LEFT($AI182,2)="C|",IF($C182="","",SUMPRODUCT($AP$5:$AP$302*($AO$5:$AO$302=$A182),$CB$5:$CB$302)),IF($AI182="CT",Z$13,IF(LEFT($AI182,3)="AM|",IF($C182="","",SUMPRODUCT($AP$5:$AP$302*($AN$5:$AN$302=$A182),$CB$5:$CB$302)),IF(LEFT($AI182,2)="S|",IF($AG182="","",INDEX($CB$5:$CB$302,$AH182)),IF($AI182="HDR","Makeup Sales",""))))))</f>
        <v/>
      </c>
      <c r="AA182" s="41" t="str">
        <f t="shared" si="107"/>
        <v/>
      </c>
      <c r="AB182" s="40" t="str" cm="1">
        <f t="array" ref="AB182">IF($AI182="","",IF(LEFT($AI182,2)="C|",IF($C182="","",SUMPRODUCT($AP$5:$AP$302*($AO$5:$AO$302=$A182),$CK$5:$CK$302)),IF($AI182="CT",AB$13,IF(LEFT($AI182,3)="AM|",IF($C182="","",SUMPRODUCT($AP$5:$AP$302*($AN$5:$AN$302=$A182),$CK$5:$CK$302)),IF(LEFT($AI182,2)="S|",IF($AG182="","",INDEX($CK$5:$CK$302,$AH182)),IF($AI182="HDR","Makeup Target",""))))))</f>
        <v/>
      </c>
      <c r="AC182" s="41" t="str">
        <f t="shared" si="111"/>
        <v/>
      </c>
      <c r="AD182" s="40" t="str" cm="1">
        <f t="array" ref="AD182">IF($AI182="","",IF(LEFT($AI182,2)="C|",IF($C182="","",SUMPRODUCT($AP$5:$AP$302*($AO$5:$AO$302=$A182),$CI$5:$CI$302)),IF($AI182="CT",AD$13,IF(LEFT($AI182,3)="AM|",IF($C182="","",SUMPRODUCT($AP$5:$AP$302*($AN$5:$AN$302=$A182),$CI$5:$CI$302)),IF(LEFT($AI182,2)="S|",IF($AG182="","",INDEX($CI$5:$CI$302,$AH182)),IF($AI182="HDR","Cosmetic Sales",""))))))</f>
        <v/>
      </c>
      <c r="AE182" s="8" t="str" cm="1">
        <f t="array" ref="AE182">IF($AI182="","",IF(LEFT($AI182,2)="C|",IF($C182="","",SUMPRODUCT($AP$5:$AP$302*($AO$5:$AO$302=$A182)*$AQ$5:$AQ$302,$AR$5:$AR$302)),IF($AI182="CT",AE$13,IF(LEFT($AI182,3)="AM|",IF($C182="","",SUMPRODUCT($AP$5:$AP$302*($AN$5:$AN$302=$A182)*$AQ$5:$AQ$302,$AR$5:$AR$302)),IF(LEFT($AI182,2)="S|",IF($AG182="","",IF(INDEX($AQ$5:$AQ$302,$AH182)=1,D182,0)),IF($AI182="HDR","LFL Sales",""))))))</f>
        <v/>
      </c>
      <c r="AF182" s="8" t="str" cm="1">
        <f t="array" ref="AF182">IF($AI182="","",IF(LEFT($AI182,2)="C|",IF($C182="","",SUMPRODUCT($AP$5:$AP$302*($AO$5:$AO$302=$A182)*$AQ$5:$AQ$302,$AS$5:$AS$302)),IF($AI182="CT",AF$13,IF(LEFT($AI182,3)="AM|",IF($C182="","",SUMPRODUCT($AP$5:$AP$302*($AN$5:$AN$302=$A182)*$AQ$5:$AQ$302,$AS$5:$AS$302)),IF(LEFT($AI182,2)="S|",IF($AG182="","",IF(INDEX($AQ$5:$AQ$302,$AH182)=1,P182,0)),IF($AI182="HDR","LFL Trans",""))))))</f>
        <v/>
      </c>
      <c r="AG182" s="8" t="str" cm="1">
        <f t="array" ref="AG182">IF($AI182="","",IF(LEFT($AI182,2)="C|","",IF($AI182="CT","",IF(LEFT($AI182,3)="AM|","",IF(LEFT($AI182,2)="S|",IF($AH182="","",IF(INDEX($AP$5:$AP$302,$AH182)=1,1,"")),IF($AI182="HDR","Show",""))))))</f>
        <v/>
      </c>
      <c r="AH182" s="8" t="str">
        <f t="shared" si="108"/>
        <v/>
      </c>
      <c r="AI182" s="8"/>
      <c r="AN182" s="8" t="str" cm="1">
        <f t="array" ref="AN182">IF($AW182="","",_xlfn.LET(_xlpm.sa,IFERROR(TRIM(INDEX('Sales and count'!$D$4:$D$300,$BF182)&amp;""),""),_xlpm.ta,IFERROR(TRIM(INDEX('TY Sales Target'!$F$5:$F$300,$BG182)&amp;""),""),IF(AND(_xlpm.sa&lt;&gt;"",LEFT(_xlpm.sa,1)&lt;&gt;"#",_xlpm.sa&lt;&gt;"0"),_xlpm.sa,IF(AND(_xlpm.ta&lt;&gt;"",LEFT(_xlpm.ta,1)&lt;&gt;"#",_xlpm.ta&lt;&gt;"0"),_xlpm.ta,IF(ISNUMBER($BG182),"Unassigned","")))))</f>
        <v/>
      </c>
      <c r="AO182" s="8" t="str" cm="1">
        <f t="array" ref="AO182">IF($AW182="","",_xlfn.LET(_xlpm.sa,IFERROR(TRIM(INDEX('Sales and count'!$C$4:$C$300,$BF182)&amp;""),""),_xlpm.ta,IFERROR(TRIM(INDEX('TY Sales Target'!$D$5:$D$300,$BG182)&amp;""),""),IF(AND(_xlpm.sa&lt;&gt;"",LEFT(_xlpm.sa,1)&lt;&gt;"#",_xlpm.sa&lt;&gt;"0"),_xlpm.sa,IF(AND(_xlpm.ta&lt;&gt;"",LEFT(_xlpm.ta,1)&lt;&gt;"#",_xlpm.ta&lt;&gt;"0"),_xlpm.ta,""))))</f>
        <v/>
      </c>
      <c r="AP182" s="8">
        <f t="shared" si="93"/>
        <v>0</v>
      </c>
      <c r="AQ182" s="8">
        <f t="shared" si="94"/>
        <v>0</v>
      </c>
      <c r="AR182" s="8" cm="1">
        <f t="array" ref="AR182">IF($BF182="",0,_xlfn.LET(_xlpm.d,IFERROR(--'Sales and count'!$G$2:$CC$2,0),SUMPRODUCT(('Sales and count'!$G$3:$CC$3="Total")*(_xlpm.d&gt;=$U$4)*(_xlpm.d&lt;=$U$5),INDEX('Sales and count'!$G$4:$CC$300,$BF182,0))))</f>
        <v>0</v>
      </c>
      <c r="AS182" s="8" cm="1">
        <f t="array" ref="AS182">IF($BF182="",0,_xlfn.LET(_xlpm.d,IFERROR(--'Sales and count'!$F$2:$CB$2,0),SUMPRODUCT(('Sales and count'!$G$3:$CC$3="Transactions")*(_xlpm.d&gt;=$U$4)*(_xlpm.d&lt;=$U$5),INDEX('Sales and count'!$G$4:$CC$300,$BF182,0))))</f>
        <v>0</v>
      </c>
      <c r="AT182" s="8" cm="1">
        <f t="array" ref="AT182">IF($AW182="",0,SUMPRODUCT((TRIM('LY Sales '!$B$5:$B$200)=$AW182)*('LY Sales '!$C$2:$AG$2&gt;=EDATE($U$4,-12))*('LY Sales '!$C$2:$AG$2&lt;=EDATE($U$5,-12)),'LY Sales '!$C$5:$AG$200))</f>
        <v>0</v>
      </c>
      <c r="AU182" s="8" cm="1">
        <f t="array" ref="AU182">IF($AW182="",0,SUMPRODUCT((TRIM('LY Transaction'!$B$5:$B$200)=$AW182)*('LY Transaction'!$C$2:$AG$2&gt;=EDATE($U$4,-12))*('LY Transaction'!$C$2:$AG$2&lt;=EDATE($U$5,-12)),'LY Transaction'!$C$5:$AG$200))</f>
        <v>0</v>
      </c>
      <c r="AV182" s="8" cm="1">
        <f t="array" ref="AV182">IF(NOT(ISNUMBER($BG182)),0,SUMPRODUCT(('TY Sales Target'!$K$2:$AO$2&gt;=$U$4)*('TY Sales Target'!$K$2:$AO$2&lt;=$U$5),INDEX('TY Sales Target'!$K$5:$AO$300,$BG182,0)))</f>
        <v>0</v>
      </c>
      <c r="AW182" s="8" t="str" cm="1">
        <f t="array" ref="AW182">IFERROR(INDEX(_xlfn.ANCHORARRAY($BR$5),ROWS($AW$5:AW182)),"")</f>
        <v/>
      </c>
      <c r="BB182" cm="1">
        <f t="array" ref="BB182">IF($AW182="",0,SUMPRODUCT((TRIM(Footfall!$B$5:$B$301)=$AW182)*(Footfall!$C$1:$BZ$1&gt;=$U$4)*(Footfall!$C$2:$BZ$2&lt;=$U$5)*(Footfall!$C$1:$BZ$1&lt;&gt;""),Footfall!$C$5:$BZ$301))</f>
        <v>0</v>
      </c>
      <c r="BC182" cm="1">
        <f t="array" ref="BC182">IF(OR($BB182&lt;=0,$BD$1="",$BF182=""),0,_xlfn.LET(_xlpm.d,IFERROR(--'Sales and count'!$F$2:$CB$2,0),SUMPRODUCT(('Sales and count'!$G$3:$CC$3="Transactions")*(_xlpm.d&gt;=$BD$1)*(_xlpm.d&lt;=$BD$2),INDEX('Sales and count'!$G$4:$CC$300,$BF182,0))))</f>
        <v>0</v>
      </c>
      <c r="BF182" t="str" cm="1">
        <f t="array" ref="BF182">IF($AW182="","",IFERROR(MATCH($AW182,TRIM('Sales and count'!$A$4:$A$300&amp;""),0),""))</f>
        <v/>
      </c>
      <c r="BG182" t="str" cm="1">
        <f t="array" ref="BG182">IF($AW182="","",IFERROR(MATCH(IFERROR(_xlfn.XLOOKUP($AW182,$BT$5:$BT$22,$BU$5:$BU$22),$AW182),TRIM('TY Sales Target'!$B$5:$B$300&amp;""),0),""))</f>
        <v/>
      </c>
      <c r="BH182" t="str" cm="1">
        <f t="array" ref="BH182">IF(ISNUMBER($BG182),_xlfn.LET(_xlpm.p,TRIM(INDEX('TY Sales Target'!$I$5:$I$300,$BG182)&amp;""),IF(_xlpm.p="","Not set",_xlpm.p)),"Not set")</f>
        <v>Not set</v>
      </c>
      <c r="BI182" cm="1">
        <f t="array" ref="BI182">IF($BF182="",0,_xlfn.LET(_xlpm.d,IFERROR(--'Sales and count'!$G$2:$CC$2,0),SUMPRODUCT(('Sales and count'!$G$3:$CC$3="Total")*(_xlpm.d&gt;=$BZ$5)*(_xlpm.d&lt;=$BZ$6),INDEX('Sales and count'!$G$4:$CC$300,$BF182,0))))</f>
        <v>0</v>
      </c>
      <c r="BJ182" cm="1">
        <f t="array" ref="BJ182">IF($AW182="",0,SUMPRODUCT((TRIM('LY Sales '!$B$5:$B$200)=$AW182)*('LY Sales '!$C$2:$AG$2&gt;=EDATE($BZ$5,-12))*('LY Sales '!$C$2:$AG$2&lt;=EDATE($BZ$6,-12)),'LY Sales '!$C$5:$AG$200))</f>
        <v>0</v>
      </c>
      <c r="BK182" cm="1">
        <f t="array" ref="BK182">IF($AW182="",0,SUMPRODUCT((TRIM('LY Sales '!$B$5:$B$200)=$AW182)*('LY Sales '!$C$2:$AG$2&gt;=EDATE($BZ$5,-12))*('LY Sales '!$C$2:$AG$2&lt;=EDATE($BZ$7,-12)),'LY Sales '!$C$5:$AG$200))</f>
        <v>0</v>
      </c>
      <c r="BL182" cm="1">
        <f t="array" ref="BL182">IF($AW182="",0,SUMPRODUCT((TRIM('LY Sales '!$B$5:$B$200)=$AW182)*('LY Sales '!$C$2:$AG$2&gt;=EDATE($BZ$5,-12))*('LY Sales '!$C$2:$AG$2&lt;=EDATE($BZ$6,-12))*('LY Sales '!$C$5:$AG$200&gt;0)))</f>
        <v>0</v>
      </c>
      <c r="BM182" cm="1">
        <f t="array" ref="BM182">IF(NOT(ISNUMBER($BG182)),0,SUMPRODUCT(('TY Sales Target'!$K$2:$AO$2&gt;=$BZ$5)*('TY Sales Target'!$K$2:$AO$2&lt;=$BZ$6),INDEX('TY Sales Target'!$K$5:$AO$300,$BG182,0)))</f>
        <v>0</v>
      </c>
      <c r="BN182" cm="1">
        <f t="array" ref="BN182">IF(NOT(ISNUMBER($BG182)),0,SUMPRODUCT(('TY Sales Target'!$K$2:$AO$2&gt;=$BZ$5)*('TY Sales Target'!$K$2:$AO$2&lt;=$BZ$7),INDEX('TY Sales Target'!$K$5:$AO$300,$BG182,0)))</f>
        <v>0</v>
      </c>
      <c r="BO182" cm="1">
        <f t="array" ref="BO182">IF($AW182="",0,IFERROR(_xlfn.SWITCH($BP182,"LY trend",$BI182*$BK182/$BJ182,"Target curve",$BI182*$BN182/$BM182,"Run rate",$BI182/$BZ$8*$BZ$9,0),0))</f>
        <v>0</v>
      </c>
      <c r="BP182" t="str">
        <f t="shared" si="92"/>
        <v/>
      </c>
      <c r="CB182" cm="1">
        <f t="array" ref="CB182">IF($AW182="",0,_xlfn.LET(_xlpm.k,IFERROR(_xlfn.XLOOKUP($AW182,$CD$6:$CD$21,$CE$6:$CE$21),$AW182),SUMPRODUCT((TRIM('Makeup '!$A$2:$A$300&amp;"")=_xlpm.k)*1,IFERROR('Makeup '!$F$2:$F$300*1,0))))</f>
        <v>0</v>
      </c>
      <c r="CF182" t="str" cm="1">
        <f t="array" ref="CF182">IF($AW182="","",_xlfn.LET(_xlpm.c,IFERROR(TRIM(INDEX('Sales and count'!$B$4:$B$300,$BF182)&amp;""),""),IF(OR(_xlpm.c="",_xlpm.c="0",LEFT(_xlpm.c,1)="#"),"Not set",_xlpm.c)))</f>
        <v/>
      </c>
      <c r="CH182" cm="1">
        <f t="array" ref="CH182">IF($AW182="",0,_xlfn.LET(_xlpm.k,IFERROR(_xlfn.XLOOKUP($AW182,$CD$6:$CD$21,$CE$6:$CE$21),$AW182),--(SUMPRODUCT((TRIM('Makeup '!$A$2:$A$300&amp;"")=_xlpm.k)*ISNUMBER('Makeup '!$F$2:$F$300))&gt;0)))</f>
        <v>0</v>
      </c>
      <c r="CI182">
        <f t="shared" si="95"/>
        <v>0</v>
      </c>
      <c r="CJ182" cm="1">
        <f t="array" ref="CJ182">IF($AW182="",0,--(SUMPRODUCT(--(TRIM(Footfall!$B$5:$B$301)=$AW182))&gt;0))</f>
        <v>0</v>
      </c>
      <c r="CK182" s="8" cm="1">
        <f t="array" ref="CK182">IF($AW182="",0,_xlfn.LET(_xlpm.r,IFERROR(MATCH(IFERROR(_xlfn.XLOOKUP($AW182,$BT$5:$BT$22,$BU$5:$BU$22),$AW182),TRIM('TY Beauty Target'!$B$5:$B$300&amp;""),0),""),IF(ISNUMBER(_xlpm.r),SUMPRODUCT(('TY Beauty Target'!$L$2:$AP$2&gt;=$U$4)*('TY Beauty Target'!$L$2:$AP$2&lt;=$U$5),INDEX('TY Beauty Target'!$L$5:$AP$300,_xlpm.r,0)),0)))</f>
        <v>0</v>
      </c>
    </row>
    <row r="183" spans="1:89" ht="15" customHeight="1" x14ac:dyDescent="0.25">
      <c r="A183" s="38" t="str">
        <f t="shared" si="96"/>
        <v/>
      </c>
      <c r="B183" s="43" t="str" cm="1">
        <f t="array" ref="B183">IF($AI183="","",IF(LEFT($AI183,2)="C|",IF($C183="","",_xlfn.TEXTJOIN(", ",TRUE,_xlfn.UNIQUE(_xlfn._xlws.FILTER($AN$5:$AN$302,($AP$5:$AP$302=1)*($AO$5:$AO$302=$A183))))),IF($AI183="CT",B$13,IF(LEFT($AI183,3)="AM|",IF($C183="","",ROWS(_xlfn.UNIQUE(_xlfn._xlws.FILTER($AO$5:$AO$302,($AP$5:$AP$302=1)*($AN$5:$AN$302=$A183))))),IF(LEFT($AI183,2)="S|",IF($AG183="","",INDEX($AO$5:$AO$302,$AH183)),IF($AI183="HDR","City",""))))))</f>
        <v/>
      </c>
      <c r="C183" s="39" t="str" cm="1">
        <f t="array" ref="C183">IF($AI183="","",IF(LEFT($AI183,2)="C|",_xlfn.LET(_xlpm.n,SUMPRODUCT($AP$5:$AP$302*($AO$5:$AO$302=$A183)),IF(_xlpm.n=0,"",_xlpm.n)),IF($AI183="CT",C$13,IF(LEFT($AI183,3)="AM|",_xlfn.LET(_xlpm.n,SUMPRODUCT($AP$5:$AP$302*($AN$5:$AN$302=$A183)),IF(_xlpm.n=0,"",_xlpm.n)),IF(LEFT($AI183,2)="S|","",IF($AI183="HDR","# Stores",""))))))</f>
        <v/>
      </c>
      <c r="D183" s="40" t="str" cm="1">
        <f t="array" ref="D183">IF($AI183="","",IF(LEFT($AI183,2)="C|",IF($C183="","",SUMPRODUCT($AP$5:$AP$302*($AO$5:$AO$302=$A183),$AR$5:$AR$302)),IF($AI183="CT",D$13,IF(LEFT($AI183,3)="AM|",IF($C183="","",SUMPRODUCT($AP$5:$AP$302*($AN$5:$AN$302=$A183),$AR$5:$AR$302)),IF(LEFT($AI183,2)="S|",IF($AG183="","",INDEX($AR$5:$AR$302,$AH183)),IF($AI183="HDR","Sales TY",""))))))</f>
        <v/>
      </c>
      <c r="E183" s="40" t="str" cm="1">
        <f t="array" ref="E183">IF($AI183="","",IF(LEFT($AI183,2)="C|",IF($C183="","",SUMPRODUCT($AP$5:$AP$302*($AO$5:$AO$302=$A183),$AT$5:$AT$302)),IF($AI183="CT",E$13,IF(LEFT($AI183,3)="AM|",IF($C183="","",SUMPRODUCT($AP$5:$AP$302*($AN$5:$AN$302=$A183),$AT$5:$AT$302)),IF(LEFT($AI183,2)="S|",IF($AG183="","",INDEX($AT$5:$AT$302,$AH183)),IF($AI183="HDR","Sales LY",""))))))</f>
        <v/>
      </c>
      <c r="F183" s="41" t="str">
        <f t="shared" si="97"/>
        <v/>
      </c>
      <c r="G183" s="41" t="str">
        <f t="shared" si="98"/>
        <v/>
      </c>
      <c r="H183" s="40" t="str" cm="1">
        <f t="array" ref="H183">IF($AI183="","",IF(LEFT($AI183,2)="C|",IF($C183="","",SUMPRODUCT($AP$5:$AP$302*($AO$5:$AO$302=$A183),$AV$5:$AV$302)),IF($AI183="CT",H$13,IF(LEFT($AI183,3)="AM|",IF($C183="","",SUMPRODUCT($AP$5:$AP$302*($AN$5:$AN$302=$A183),$AV$5:$AV$302)),IF(LEFT($AI183,2)="S|",IF($AG183="","",INDEX($AV$5:$AV$302,$AH183)),IF($AI183="HDR","Target",""))))))</f>
        <v/>
      </c>
      <c r="I183" s="41" t="str">
        <f t="shared" si="99"/>
        <v/>
      </c>
      <c r="J183" s="40" t="str">
        <f t="shared" si="100"/>
        <v/>
      </c>
      <c r="K183" s="41" t="str">
        <f t="shared" si="101"/>
        <v/>
      </c>
      <c r="L183" s="40" t="str" cm="1">
        <f t="array" ref="L183">IF($AI183="","",IF(LEFT($AI183,2)="C|",IF($C183="","",SUMPRODUCT($AP$5:$AP$302*($AO$5:$AO$302=$A183),$BN$5:$BN$302)),IF($AI183="CT",L$13,IF(LEFT($AI183,3)="AM|",IF($C183="","",SUMPRODUCT($AP$5:$AP$302*($AN$5:$AN$302=$A183),$BN$5:$BN$302)),IF(LEFT($AI183,2)="S|",IF($AG183="","",INDEX($BN$5:$BN$302,$AH183)),IF($AI183="HDR","Month Target",""))))))</f>
        <v/>
      </c>
      <c r="M183" s="40" t="str" cm="1">
        <f t="array" ref="M183">IF($AI183="","",IF(LEFT($AI183,2)="C|",IF($C183="","",SUMPRODUCT($AP$5:$AP$302*($AO$5:$AO$302=$A183),$BO$5:$BO$302)),IF($AI183="CT",M$13,IF(LEFT($AI183,3)="AM|",IF($C183="","",SUMPRODUCT($AP$5:$AP$302*($AN$5:$AN$302=$A183),$BO$5:$BO$302)),IF(LEFT($AI183,2)="S|",IF($AG183="","",INDEX($BO$5:$BO$302,$AH183)),IF($AI183="HDR","Projected Close",""))))))</f>
        <v/>
      </c>
      <c r="N183" s="41" t="str">
        <f t="shared" si="109"/>
        <v/>
      </c>
      <c r="O183" s="41" t="str" cm="1">
        <f t="array" ref="O183">IF($AI183="HDR","Proj. vs LY",IF(OR($AI183="",M183=""),"",_xlfn.LET(_xlpm.ly,IF(LEFT($AI183,2)="C|",SUMPRODUCT($AP$5:$AP$302*($AO$5:$AO$302=$A183),$BK$5:$BK$302),IF($AI183="CT",SUMPRODUCT($AP$5:$AP$302,$BK$5:$BK$302),IF(LEFT($AI183,3)="AM|",SUMPRODUCT($AP$5:$AP$302*($AN$5:$AN$302=$A183),$BK$5:$BK$302),IF(LEFT($AI183,2)="S|",INDEX($BK$5:$BK$302,$AH183),0)))),IFERROR(M183/_xlpm.ly-1,""))))</f>
        <v/>
      </c>
      <c r="P183" s="40" t="str" cm="1">
        <f t="array" ref="P183">IF($AI183="","",IF(LEFT($AI183,2)="C|",IF($C183="","",SUMPRODUCT($AP$5:$AP$302*($AO$5:$AO$302=$A183),$AS$5:$AS$302)),IF($AI183="CT",P$13,IF(LEFT($AI183,3)="AM|",IF($C183="","",SUMPRODUCT($AP$5:$AP$302*($AN$5:$AN$302=$A183),$AS$5:$AS$302)),IF(LEFT($AI183,2)="S|",IF($AG183="","",INDEX($AS$5:$AS$302,$AH183)),IF($AI183="HDR","Trans TY",""))))))</f>
        <v/>
      </c>
      <c r="Q183" s="40" t="str" cm="1">
        <f t="array" ref="Q183">IF($AI183="","",IF(LEFT($AI183,2)="C|",IF($C183="","",SUMPRODUCT($AP$5:$AP$302*($AO$5:$AO$302=$A183),$AU$5:$AU$302)),IF($AI183="CT",Q$13,IF(LEFT($AI183,3)="AM|",IF($C183="","",SUMPRODUCT($AP$5:$AP$302*($AN$5:$AN$302=$A183),$AU$5:$AU$302)),IF(LEFT($AI183,2)="S|",IF($AG183="","",INDEX($AU$5:$AU$302,$AH183)),IF($AI183="HDR","Trans LY",""))))))</f>
        <v/>
      </c>
      <c r="R183" s="41" t="str">
        <f t="shared" si="102"/>
        <v/>
      </c>
      <c r="S183" s="41" t="str">
        <f t="shared" si="103"/>
        <v/>
      </c>
      <c r="T183" s="42" t="str">
        <f t="shared" si="104"/>
        <v/>
      </c>
      <c r="U183" s="42" t="str">
        <f t="shared" si="105"/>
        <v/>
      </c>
      <c r="V183" s="41" t="str">
        <f t="shared" si="106"/>
        <v/>
      </c>
      <c r="W183" s="40" t="str" cm="1">
        <f t="array" ref="W183">IF($AI183="","",IF(LEFT($AI183,2)="C|",_xlfn.LET(_xlpm.n,SUMPRODUCT($AP$5:$AP$302*($AO$5:$AO$302=$A183),$BB$5:$BB$302),IF(_xlpm.n=0,"",_xlpm.n)),IF($AI183="CT",W$13,IF(LEFT($AI183,3)="AM|",_xlfn.LET(_xlpm.n,SUMPRODUCT($AP$5:$AP$302*($AN$5:$AN$302=$A183),$BB$5:$BB$302),IF(_xlpm.n=0,"",_xlpm.n)),IF(LEFT($AI183,2)="S|",IF($AG183="","",_xlfn.LET(_xlpm.n,INDEX($BB$5:$BB$302,$AH183),IF(_xlpm.n=0,"",_xlpm.n))),IF($AI183="HDR","Footfall",""))))))</f>
        <v/>
      </c>
      <c r="X183" s="40" t="str" cm="1">
        <f t="array" ref="X183">IF($AI183="","",IF($AI183="HDR","Trans (FF stores)",IF(W183="","",IF(LEFT($AI183,2)="C|",SUMPRODUCT($AP$5:$AP$302*($AO$5:$AO$302=$A183),$BC$5:$BC$302),IF($AI183="CT",X$13,IF(LEFT($AI183,3)="AM|",SUMPRODUCT($AP$5:$AP$302*($AN$5:$AN$302=$A183),$BC$5:$BC$302),IF(LEFT($AI183,2)="S|",INDEX($BC$5:$BC$302,$AH183),"")))))))</f>
        <v/>
      </c>
      <c r="Y183" s="41" t="str">
        <f t="shared" si="110"/>
        <v/>
      </c>
      <c r="Z183" s="40" t="str" cm="1">
        <f t="array" ref="Z183">IF($AI183="","",IF(LEFT($AI183,2)="C|",IF($C183="","",SUMPRODUCT($AP$5:$AP$302*($AO$5:$AO$302=$A183),$CB$5:$CB$302)),IF($AI183="CT",Z$13,IF(LEFT($AI183,3)="AM|",IF($C183="","",SUMPRODUCT($AP$5:$AP$302*($AN$5:$AN$302=$A183),$CB$5:$CB$302)),IF(LEFT($AI183,2)="S|",IF($AG183="","",INDEX($CB$5:$CB$302,$AH183)),IF($AI183="HDR","Makeup Sales",""))))))</f>
        <v/>
      </c>
      <c r="AA183" s="41" t="str">
        <f t="shared" si="107"/>
        <v/>
      </c>
      <c r="AB183" s="40" t="str" cm="1">
        <f t="array" ref="AB183">IF($AI183="","",IF(LEFT($AI183,2)="C|",IF($C183="","",SUMPRODUCT($AP$5:$AP$302*($AO$5:$AO$302=$A183),$CK$5:$CK$302)),IF($AI183="CT",AB$13,IF(LEFT($AI183,3)="AM|",IF($C183="","",SUMPRODUCT($AP$5:$AP$302*($AN$5:$AN$302=$A183),$CK$5:$CK$302)),IF(LEFT($AI183,2)="S|",IF($AG183="","",INDEX($CK$5:$CK$302,$AH183)),IF($AI183="HDR","Makeup Target",""))))))</f>
        <v/>
      </c>
      <c r="AC183" s="41" t="str">
        <f t="shared" si="111"/>
        <v/>
      </c>
      <c r="AD183" s="40" t="str" cm="1">
        <f t="array" ref="AD183">IF($AI183="","",IF(LEFT($AI183,2)="C|",IF($C183="","",SUMPRODUCT($AP$5:$AP$302*($AO$5:$AO$302=$A183),$CI$5:$CI$302)),IF($AI183="CT",AD$13,IF(LEFT($AI183,3)="AM|",IF($C183="","",SUMPRODUCT($AP$5:$AP$302*($AN$5:$AN$302=$A183),$CI$5:$CI$302)),IF(LEFT($AI183,2)="S|",IF($AG183="","",INDEX($CI$5:$CI$302,$AH183)),IF($AI183="HDR","Cosmetic Sales",""))))))</f>
        <v/>
      </c>
      <c r="AE183" s="8" t="str" cm="1">
        <f t="array" ref="AE183">IF($AI183="","",IF(LEFT($AI183,2)="C|",IF($C183="","",SUMPRODUCT($AP$5:$AP$302*($AO$5:$AO$302=$A183)*$AQ$5:$AQ$302,$AR$5:$AR$302)),IF($AI183="CT",AE$13,IF(LEFT($AI183,3)="AM|",IF($C183="","",SUMPRODUCT($AP$5:$AP$302*($AN$5:$AN$302=$A183)*$AQ$5:$AQ$302,$AR$5:$AR$302)),IF(LEFT($AI183,2)="S|",IF($AG183="","",IF(INDEX($AQ$5:$AQ$302,$AH183)=1,D183,0)),IF($AI183="HDR","LFL Sales",""))))))</f>
        <v/>
      </c>
      <c r="AF183" s="8" t="str" cm="1">
        <f t="array" ref="AF183">IF($AI183="","",IF(LEFT($AI183,2)="C|",IF($C183="","",SUMPRODUCT($AP$5:$AP$302*($AO$5:$AO$302=$A183)*$AQ$5:$AQ$302,$AS$5:$AS$302)),IF($AI183="CT",AF$13,IF(LEFT($AI183,3)="AM|",IF($C183="","",SUMPRODUCT($AP$5:$AP$302*($AN$5:$AN$302=$A183)*$AQ$5:$AQ$302,$AS$5:$AS$302)),IF(LEFT($AI183,2)="S|",IF($AG183="","",IF(INDEX($AQ$5:$AQ$302,$AH183)=1,P183,0)),IF($AI183="HDR","LFL Trans",""))))))</f>
        <v/>
      </c>
      <c r="AG183" s="8" t="str" cm="1">
        <f t="array" ref="AG183">IF($AI183="","",IF(LEFT($AI183,2)="C|","",IF($AI183="CT","",IF(LEFT($AI183,3)="AM|","",IF(LEFT($AI183,2)="S|",IF($AH183="","",IF(INDEX($AP$5:$AP$302,$AH183)=1,1,"")),IF($AI183="HDR","Show",""))))))</f>
        <v/>
      </c>
      <c r="AH183" s="8" t="str">
        <f t="shared" si="108"/>
        <v/>
      </c>
      <c r="AI183" s="8"/>
      <c r="AN183" s="8" t="str" cm="1">
        <f t="array" ref="AN183">IF($AW183="","",_xlfn.LET(_xlpm.sa,IFERROR(TRIM(INDEX('Sales and count'!$D$4:$D$300,$BF183)&amp;""),""),_xlpm.ta,IFERROR(TRIM(INDEX('TY Sales Target'!$F$5:$F$300,$BG183)&amp;""),""),IF(AND(_xlpm.sa&lt;&gt;"",LEFT(_xlpm.sa,1)&lt;&gt;"#",_xlpm.sa&lt;&gt;"0"),_xlpm.sa,IF(AND(_xlpm.ta&lt;&gt;"",LEFT(_xlpm.ta,1)&lt;&gt;"#",_xlpm.ta&lt;&gt;"0"),_xlpm.ta,IF(ISNUMBER($BG183),"Unassigned","")))))</f>
        <v/>
      </c>
      <c r="AO183" s="8" t="str" cm="1">
        <f t="array" ref="AO183">IF($AW183="","",_xlfn.LET(_xlpm.sa,IFERROR(TRIM(INDEX('Sales and count'!$C$4:$C$300,$BF183)&amp;""),""),_xlpm.ta,IFERROR(TRIM(INDEX('TY Sales Target'!$D$5:$D$300,$BG183)&amp;""),""),IF(AND(_xlpm.sa&lt;&gt;"",LEFT(_xlpm.sa,1)&lt;&gt;"#",_xlpm.sa&lt;&gt;"0"),_xlpm.sa,IF(AND(_xlpm.ta&lt;&gt;"",LEFT(_xlpm.ta,1)&lt;&gt;"#",_xlpm.ta&lt;&gt;"0"),_xlpm.ta,""))))</f>
        <v/>
      </c>
      <c r="AP183" s="8">
        <f t="shared" si="93"/>
        <v>0</v>
      </c>
      <c r="AQ183" s="8">
        <f t="shared" si="94"/>
        <v>0</v>
      </c>
      <c r="AR183" s="8" cm="1">
        <f t="array" ref="AR183">IF($BF183="",0,_xlfn.LET(_xlpm.d,IFERROR(--'Sales and count'!$G$2:$CC$2,0),SUMPRODUCT(('Sales and count'!$G$3:$CC$3="Total")*(_xlpm.d&gt;=$U$4)*(_xlpm.d&lt;=$U$5),INDEX('Sales and count'!$G$4:$CC$300,$BF183,0))))</f>
        <v>0</v>
      </c>
      <c r="AS183" s="8" cm="1">
        <f t="array" ref="AS183">IF($BF183="",0,_xlfn.LET(_xlpm.d,IFERROR(--'Sales and count'!$F$2:$CB$2,0),SUMPRODUCT(('Sales and count'!$G$3:$CC$3="Transactions")*(_xlpm.d&gt;=$U$4)*(_xlpm.d&lt;=$U$5),INDEX('Sales and count'!$G$4:$CC$300,$BF183,0))))</f>
        <v>0</v>
      </c>
      <c r="AT183" s="8" cm="1">
        <f t="array" ref="AT183">IF($AW183="",0,SUMPRODUCT((TRIM('LY Sales '!$B$5:$B$200)=$AW183)*('LY Sales '!$C$2:$AG$2&gt;=EDATE($U$4,-12))*('LY Sales '!$C$2:$AG$2&lt;=EDATE($U$5,-12)),'LY Sales '!$C$5:$AG$200))</f>
        <v>0</v>
      </c>
      <c r="AU183" s="8" cm="1">
        <f t="array" ref="AU183">IF($AW183="",0,SUMPRODUCT((TRIM('LY Transaction'!$B$5:$B$200)=$AW183)*('LY Transaction'!$C$2:$AG$2&gt;=EDATE($U$4,-12))*('LY Transaction'!$C$2:$AG$2&lt;=EDATE($U$5,-12)),'LY Transaction'!$C$5:$AG$200))</f>
        <v>0</v>
      </c>
      <c r="AV183" s="8" cm="1">
        <f t="array" ref="AV183">IF(NOT(ISNUMBER($BG183)),0,SUMPRODUCT(('TY Sales Target'!$K$2:$AO$2&gt;=$U$4)*('TY Sales Target'!$K$2:$AO$2&lt;=$U$5),INDEX('TY Sales Target'!$K$5:$AO$300,$BG183,0)))</f>
        <v>0</v>
      </c>
      <c r="AW183" s="8" t="str" cm="1">
        <f t="array" ref="AW183">IFERROR(INDEX(_xlfn.ANCHORARRAY($BR$5),ROWS($AW$5:AW183)),"")</f>
        <v/>
      </c>
      <c r="BB183" cm="1">
        <f t="array" ref="BB183">IF($AW183="",0,SUMPRODUCT((TRIM(Footfall!$B$5:$B$301)=$AW183)*(Footfall!$C$1:$BZ$1&gt;=$U$4)*(Footfall!$C$2:$BZ$2&lt;=$U$5)*(Footfall!$C$1:$BZ$1&lt;&gt;""),Footfall!$C$5:$BZ$301))</f>
        <v>0</v>
      </c>
      <c r="BC183" cm="1">
        <f t="array" ref="BC183">IF(OR($BB183&lt;=0,$BD$1="",$BF183=""),0,_xlfn.LET(_xlpm.d,IFERROR(--'Sales and count'!$F$2:$CB$2,0),SUMPRODUCT(('Sales and count'!$G$3:$CC$3="Transactions")*(_xlpm.d&gt;=$BD$1)*(_xlpm.d&lt;=$BD$2),INDEX('Sales and count'!$G$4:$CC$300,$BF183,0))))</f>
        <v>0</v>
      </c>
      <c r="BF183" t="str" cm="1">
        <f t="array" ref="BF183">IF($AW183="","",IFERROR(MATCH($AW183,TRIM('Sales and count'!$A$4:$A$300&amp;""),0),""))</f>
        <v/>
      </c>
      <c r="BG183" t="str" cm="1">
        <f t="array" ref="BG183">IF($AW183="","",IFERROR(MATCH(IFERROR(_xlfn.XLOOKUP($AW183,$BT$5:$BT$22,$BU$5:$BU$22),$AW183),TRIM('TY Sales Target'!$B$5:$B$300&amp;""),0),""))</f>
        <v/>
      </c>
      <c r="BH183" t="str" cm="1">
        <f t="array" ref="BH183">IF(ISNUMBER($BG183),_xlfn.LET(_xlpm.p,TRIM(INDEX('TY Sales Target'!$I$5:$I$300,$BG183)&amp;""),IF(_xlpm.p="","Not set",_xlpm.p)),"Not set")</f>
        <v>Not set</v>
      </c>
      <c r="BI183" cm="1">
        <f t="array" ref="BI183">IF($BF183="",0,_xlfn.LET(_xlpm.d,IFERROR(--'Sales and count'!$G$2:$CC$2,0),SUMPRODUCT(('Sales and count'!$G$3:$CC$3="Total")*(_xlpm.d&gt;=$BZ$5)*(_xlpm.d&lt;=$BZ$6),INDEX('Sales and count'!$G$4:$CC$300,$BF183,0))))</f>
        <v>0</v>
      </c>
      <c r="BJ183" cm="1">
        <f t="array" ref="BJ183">IF($AW183="",0,SUMPRODUCT((TRIM('LY Sales '!$B$5:$B$200)=$AW183)*('LY Sales '!$C$2:$AG$2&gt;=EDATE($BZ$5,-12))*('LY Sales '!$C$2:$AG$2&lt;=EDATE($BZ$6,-12)),'LY Sales '!$C$5:$AG$200))</f>
        <v>0</v>
      </c>
      <c r="BK183" cm="1">
        <f t="array" ref="BK183">IF($AW183="",0,SUMPRODUCT((TRIM('LY Sales '!$B$5:$B$200)=$AW183)*('LY Sales '!$C$2:$AG$2&gt;=EDATE($BZ$5,-12))*('LY Sales '!$C$2:$AG$2&lt;=EDATE($BZ$7,-12)),'LY Sales '!$C$5:$AG$200))</f>
        <v>0</v>
      </c>
      <c r="BL183" cm="1">
        <f t="array" ref="BL183">IF($AW183="",0,SUMPRODUCT((TRIM('LY Sales '!$B$5:$B$200)=$AW183)*('LY Sales '!$C$2:$AG$2&gt;=EDATE($BZ$5,-12))*('LY Sales '!$C$2:$AG$2&lt;=EDATE($BZ$6,-12))*('LY Sales '!$C$5:$AG$200&gt;0)))</f>
        <v>0</v>
      </c>
      <c r="BM183" cm="1">
        <f t="array" ref="BM183">IF(NOT(ISNUMBER($BG183)),0,SUMPRODUCT(('TY Sales Target'!$K$2:$AO$2&gt;=$BZ$5)*('TY Sales Target'!$K$2:$AO$2&lt;=$BZ$6),INDEX('TY Sales Target'!$K$5:$AO$300,$BG183,0)))</f>
        <v>0</v>
      </c>
      <c r="BN183" cm="1">
        <f t="array" ref="BN183">IF(NOT(ISNUMBER($BG183)),0,SUMPRODUCT(('TY Sales Target'!$K$2:$AO$2&gt;=$BZ$5)*('TY Sales Target'!$K$2:$AO$2&lt;=$BZ$7),INDEX('TY Sales Target'!$K$5:$AO$300,$BG183,0)))</f>
        <v>0</v>
      </c>
      <c r="BO183" cm="1">
        <f t="array" ref="BO183">IF($AW183="",0,IFERROR(_xlfn.SWITCH($BP183,"LY trend",$BI183*$BK183/$BJ183,"Target curve",$BI183*$BN183/$BM183,"Run rate",$BI183/$BZ$8*$BZ$9,0),0))</f>
        <v>0</v>
      </c>
      <c r="BP183" t="str">
        <f t="shared" si="92"/>
        <v/>
      </c>
      <c r="CB183" cm="1">
        <f t="array" ref="CB183">IF($AW183="",0,_xlfn.LET(_xlpm.k,IFERROR(_xlfn.XLOOKUP($AW183,$CD$6:$CD$21,$CE$6:$CE$21),$AW183),SUMPRODUCT((TRIM('Makeup '!$A$2:$A$300&amp;"")=_xlpm.k)*1,IFERROR('Makeup '!$F$2:$F$300*1,0))))</f>
        <v>0</v>
      </c>
      <c r="CF183" t="str" cm="1">
        <f t="array" ref="CF183">IF($AW183="","",_xlfn.LET(_xlpm.c,IFERROR(TRIM(INDEX('Sales and count'!$B$4:$B$300,$BF183)&amp;""),""),IF(OR(_xlpm.c="",_xlpm.c="0",LEFT(_xlpm.c,1)="#"),"Not set",_xlpm.c)))</f>
        <v/>
      </c>
      <c r="CH183" cm="1">
        <f t="array" ref="CH183">IF($AW183="",0,_xlfn.LET(_xlpm.k,IFERROR(_xlfn.XLOOKUP($AW183,$CD$6:$CD$21,$CE$6:$CE$21),$AW183),--(SUMPRODUCT((TRIM('Makeup '!$A$2:$A$300&amp;"")=_xlpm.k)*ISNUMBER('Makeup '!$F$2:$F$300))&gt;0)))</f>
        <v>0</v>
      </c>
      <c r="CI183">
        <f t="shared" si="95"/>
        <v>0</v>
      </c>
      <c r="CJ183" cm="1">
        <f t="array" ref="CJ183">IF($AW183="",0,--(SUMPRODUCT(--(TRIM(Footfall!$B$5:$B$301)=$AW183))&gt;0))</f>
        <v>0</v>
      </c>
      <c r="CK183" s="8" cm="1">
        <f t="array" ref="CK183">IF($AW183="",0,_xlfn.LET(_xlpm.r,IFERROR(MATCH(IFERROR(_xlfn.XLOOKUP($AW183,$BT$5:$BT$22,$BU$5:$BU$22),$AW183),TRIM('TY Beauty Target'!$B$5:$B$300&amp;""),0),""),IF(ISNUMBER(_xlpm.r),SUMPRODUCT(('TY Beauty Target'!$L$2:$AP$2&gt;=$U$4)*('TY Beauty Target'!$L$2:$AP$2&lt;=$U$5),INDEX('TY Beauty Target'!$L$5:$AP$300,_xlpm.r,0)),0)))</f>
        <v>0</v>
      </c>
    </row>
    <row r="184" spans="1:89" ht="15" customHeight="1" x14ac:dyDescent="0.25">
      <c r="A184" s="38" t="str">
        <f t="shared" si="96"/>
        <v/>
      </c>
      <c r="B184" s="43" t="str" cm="1">
        <f t="array" ref="B184">IF($AI184="","",IF(LEFT($AI184,2)="C|",IF($C184="","",_xlfn.TEXTJOIN(", ",TRUE,_xlfn.UNIQUE(_xlfn._xlws.FILTER($AN$5:$AN$302,($AP$5:$AP$302=1)*($AO$5:$AO$302=$A184))))),IF($AI184="CT",B$13,IF(LEFT($AI184,3)="AM|",IF($C184="","",ROWS(_xlfn.UNIQUE(_xlfn._xlws.FILTER($AO$5:$AO$302,($AP$5:$AP$302=1)*($AN$5:$AN$302=$A184))))),IF(LEFT($AI184,2)="S|",IF($AG184="","",INDEX($AO$5:$AO$302,$AH184)),IF($AI184="HDR","City",""))))))</f>
        <v/>
      </c>
      <c r="C184" s="39" t="str" cm="1">
        <f t="array" ref="C184">IF($AI184="","",IF(LEFT($AI184,2)="C|",_xlfn.LET(_xlpm.n,SUMPRODUCT($AP$5:$AP$302*($AO$5:$AO$302=$A184)),IF(_xlpm.n=0,"",_xlpm.n)),IF($AI184="CT",C$13,IF(LEFT($AI184,3)="AM|",_xlfn.LET(_xlpm.n,SUMPRODUCT($AP$5:$AP$302*($AN$5:$AN$302=$A184)),IF(_xlpm.n=0,"",_xlpm.n)),IF(LEFT($AI184,2)="S|","",IF($AI184="HDR","# Stores",""))))))</f>
        <v/>
      </c>
      <c r="D184" s="40" t="str" cm="1">
        <f t="array" ref="D184">IF($AI184="","",IF(LEFT($AI184,2)="C|",IF($C184="","",SUMPRODUCT($AP$5:$AP$302*($AO$5:$AO$302=$A184),$AR$5:$AR$302)),IF($AI184="CT",D$13,IF(LEFT($AI184,3)="AM|",IF($C184="","",SUMPRODUCT($AP$5:$AP$302*($AN$5:$AN$302=$A184),$AR$5:$AR$302)),IF(LEFT($AI184,2)="S|",IF($AG184="","",INDEX($AR$5:$AR$302,$AH184)),IF($AI184="HDR","Sales TY",""))))))</f>
        <v/>
      </c>
      <c r="E184" s="40" t="str" cm="1">
        <f t="array" ref="E184">IF($AI184="","",IF(LEFT($AI184,2)="C|",IF($C184="","",SUMPRODUCT($AP$5:$AP$302*($AO$5:$AO$302=$A184),$AT$5:$AT$302)),IF($AI184="CT",E$13,IF(LEFT($AI184,3)="AM|",IF($C184="","",SUMPRODUCT($AP$5:$AP$302*($AN$5:$AN$302=$A184),$AT$5:$AT$302)),IF(LEFT($AI184,2)="S|",IF($AG184="","",INDEX($AT$5:$AT$302,$AH184)),IF($AI184="HDR","Sales LY",""))))))</f>
        <v/>
      </c>
      <c r="F184" s="41" t="str">
        <f t="shared" si="97"/>
        <v/>
      </c>
      <c r="G184" s="41" t="str">
        <f t="shared" si="98"/>
        <v/>
      </c>
      <c r="H184" s="40" t="str" cm="1">
        <f t="array" ref="H184">IF($AI184="","",IF(LEFT($AI184,2)="C|",IF($C184="","",SUMPRODUCT($AP$5:$AP$302*($AO$5:$AO$302=$A184),$AV$5:$AV$302)),IF($AI184="CT",H$13,IF(LEFT($AI184,3)="AM|",IF($C184="","",SUMPRODUCT($AP$5:$AP$302*($AN$5:$AN$302=$A184),$AV$5:$AV$302)),IF(LEFT($AI184,2)="S|",IF($AG184="","",INDEX($AV$5:$AV$302,$AH184)),IF($AI184="HDR","Target",""))))))</f>
        <v/>
      </c>
      <c r="I184" s="41" t="str">
        <f t="shared" si="99"/>
        <v/>
      </c>
      <c r="J184" s="40" t="str">
        <f t="shared" si="100"/>
        <v/>
      </c>
      <c r="K184" s="41" t="str">
        <f t="shared" si="101"/>
        <v/>
      </c>
      <c r="L184" s="40" t="str" cm="1">
        <f t="array" ref="L184">IF($AI184="","",IF(LEFT($AI184,2)="C|",IF($C184="","",SUMPRODUCT($AP$5:$AP$302*($AO$5:$AO$302=$A184),$BN$5:$BN$302)),IF($AI184="CT",L$13,IF(LEFT($AI184,3)="AM|",IF($C184="","",SUMPRODUCT($AP$5:$AP$302*($AN$5:$AN$302=$A184),$BN$5:$BN$302)),IF(LEFT($AI184,2)="S|",IF($AG184="","",INDEX($BN$5:$BN$302,$AH184)),IF($AI184="HDR","Month Target",""))))))</f>
        <v/>
      </c>
      <c r="M184" s="40" t="str" cm="1">
        <f t="array" ref="M184">IF($AI184="","",IF(LEFT($AI184,2)="C|",IF($C184="","",SUMPRODUCT($AP$5:$AP$302*($AO$5:$AO$302=$A184),$BO$5:$BO$302)),IF($AI184="CT",M$13,IF(LEFT($AI184,3)="AM|",IF($C184="","",SUMPRODUCT($AP$5:$AP$302*($AN$5:$AN$302=$A184),$BO$5:$BO$302)),IF(LEFT($AI184,2)="S|",IF($AG184="","",INDEX($BO$5:$BO$302,$AH184)),IF($AI184="HDR","Projected Close",""))))))</f>
        <v/>
      </c>
      <c r="N184" s="41" t="str">
        <f t="shared" si="109"/>
        <v/>
      </c>
      <c r="O184" s="41" t="str" cm="1">
        <f t="array" ref="O184">IF($AI184="HDR","Proj. vs LY",IF(OR($AI184="",M184=""),"",_xlfn.LET(_xlpm.ly,IF(LEFT($AI184,2)="C|",SUMPRODUCT($AP$5:$AP$302*($AO$5:$AO$302=$A184),$BK$5:$BK$302),IF($AI184="CT",SUMPRODUCT($AP$5:$AP$302,$BK$5:$BK$302),IF(LEFT($AI184,3)="AM|",SUMPRODUCT($AP$5:$AP$302*($AN$5:$AN$302=$A184),$BK$5:$BK$302),IF(LEFT($AI184,2)="S|",INDEX($BK$5:$BK$302,$AH184),0)))),IFERROR(M184/_xlpm.ly-1,""))))</f>
        <v/>
      </c>
      <c r="P184" s="40" t="str" cm="1">
        <f t="array" ref="P184">IF($AI184="","",IF(LEFT($AI184,2)="C|",IF($C184="","",SUMPRODUCT($AP$5:$AP$302*($AO$5:$AO$302=$A184),$AS$5:$AS$302)),IF($AI184="CT",P$13,IF(LEFT($AI184,3)="AM|",IF($C184="","",SUMPRODUCT($AP$5:$AP$302*($AN$5:$AN$302=$A184),$AS$5:$AS$302)),IF(LEFT($AI184,2)="S|",IF($AG184="","",INDEX($AS$5:$AS$302,$AH184)),IF($AI184="HDR","Trans TY",""))))))</f>
        <v/>
      </c>
      <c r="Q184" s="40" t="str" cm="1">
        <f t="array" ref="Q184">IF($AI184="","",IF(LEFT($AI184,2)="C|",IF($C184="","",SUMPRODUCT($AP$5:$AP$302*($AO$5:$AO$302=$A184),$AU$5:$AU$302)),IF($AI184="CT",Q$13,IF(LEFT($AI184,3)="AM|",IF($C184="","",SUMPRODUCT($AP$5:$AP$302*($AN$5:$AN$302=$A184),$AU$5:$AU$302)),IF(LEFT($AI184,2)="S|",IF($AG184="","",INDEX($AU$5:$AU$302,$AH184)),IF($AI184="HDR","Trans LY",""))))))</f>
        <v/>
      </c>
      <c r="R184" s="41" t="str">
        <f t="shared" si="102"/>
        <v/>
      </c>
      <c r="S184" s="41" t="str">
        <f t="shared" si="103"/>
        <v/>
      </c>
      <c r="T184" s="42" t="str">
        <f t="shared" si="104"/>
        <v/>
      </c>
      <c r="U184" s="42" t="str">
        <f t="shared" si="105"/>
        <v/>
      </c>
      <c r="V184" s="41" t="str">
        <f t="shared" si="106"/>
        <v/>
      </c>
      <c r="W184" s="40" t="str" cm="1">
        <f t="array" ref="W184">IF($AI184="","",IF(LEFT($AI184,2)="C|",_xlfn.LET(_xlpm.n,SUMPRODUCT($AP$5:$AP$302*($AO$5:$AO$302=$A184),$BB$5:$BB$302),IF(_xlpm.n=0,"",_xlpm.n)),IF($AI184="CT",W$13,IF(LEFT($AI184,3)="AM|",_xlfn.LET(_xlpm.n,SUMPRODUCT($AP$5:$AP$302*($AN$5:$AN$302=$A184),$BB$5:$BB$302),IF(_xlpm.n=0,"",_xlpm.n)),IF(LEFT($AI184,2)="S|",IF($AG184="","",_xlfn.LET(_xlpm.n,INDEX($BB$5:$BB$302,$AH184),IF(_xlpm.n=0,"",_xlpm.n))),IF($AI184="HDR","Footfall",""))))))</f>
        <v/>
      </c>
      <c r="X184" s="40" t="str" cm="1">
        <f t="array" ref="X184">IF($AI184="","",IF($AI184="HDR","Trans (FF stores)",IF(W184="","",IF(LEFT($AI184,2)="C|",SUMPRODUCT($AP$5:$AP$302*($AO$5:$AO$302=$A184),$BC$5:$BC$302),IF($AI184="CT",X$13,IF(LEFT($AI184,3)="AM|",SUMPRODUCT($AP$5:$AP$302*($AN$5:$AN$302=$A184),$BC$5:$BC$302),IF(LEFT($AI184,2)="S|",INDEX($BC$5:$BC$302,$AH184),"")))))))</f>
        <v/>
      </c>
      <c r="Y184" s="41" t="str">
        <f t="shared" si="110"/>
        <v/>
      </c>
      <c r="Z184" s="40" t="str" cm="1">
        <f t="array" ref="Z184">IF($AI184="","",IF(LEFT($AI184,2)="C|",IF($C184="","",SUMPRODUCT($AP$5:$AP$302*($AO$5:$AO$302=$A184),$CB$5:$CB$302)),IF($AI184="CT",Z$13,IF(LEFT($AI184,3)="AM|",IF($C184="","",SUMPRODUCT($AP$5:$AP$302*($AN$5:$AN$302=$A184),$CB$5:$CB$302)),IF(LEFT($AI184,2)="S|",IF($AG184="","",INDEX($CB$5:$CB$302,$AH184)),IF($AI184="HDR","Makeup Sales",""))))))</f>
        <v/>
      </c>
      <c r="AA184" s="41" t="str">
        <f t="shared" si="107"/>
        <v/>
      </c>
      <c r="AB184" s="40" t="str" cm="1">
        <f t="array" ref="AB184">IF($AI184="","",IF(LEFT($AI184,2)="C|",IF($C184="","",SUMPRODUCT($AP$5:$AP$302*($AO$5:$AO$302=$A184),$CK$5:$CK$302)),IF($AI184="CT",AB$13,IF(LEFT($AI184,3)="AM|",IF($C184="","",SUMPRODUCT($AP$5:$AP$302*($AN$5:$AN$302=$A184),$CK$5:$CK$302)),IF(LEFT($AI184,2)="S|",IF($AG184="","",INDEX($CK$5:$CK$302,$AH184)),IF($AI184="HDR","Makeup Target",""))))))</f>
        <v/>
      </c>
      <c r="AC184" s="41" t="str">
        <f t="shared" si="111"/>
        <v/>
      </c>
      <c r="AD184" s="40" t="str" cm="1">
        <f t="array" ref="AD184">IF($AI184="","",IF(LEFT($AI184,2)="C|",IF($C184="","",SUMPRODUCT($AP$5:$AP$302*($AO$5:$AO$302=$A184),$CI$5:$CI$302)),IF($AI184="CT",AD$13,IF(LEFT($AI184,3)="AM|",IF($C184="","",SUMPRODUCT($AP$5:$AP$302*($AN$5:$AN$302=$A184),$CI$5:$CI$302)),IF(LEFT($AI184,2)="S|",IF($AG184="","",INDEX($CI$5:$CI$302,$AH184)),IF($AI184="HDR","Cosmetic Sales",""))))))</f>
        <v/>
      </c>
      <c r="AE184" s="8" t="str" cm="1">
        <f t="array" ref="AE184">IF($AI184="","",IF(LEFT($AI184,2)="C|",IF($C184="","",SUMPRODUCT($AP$5:$AP$302*($AO$5:$AO$302=$A184)*$AQ$5:$AQ$302,$AR$5:$AR$302)),IF($AI184="CT",AE$13,IF(LEFT($AI184,3)="AM|",IF($C184="","",SUMPRODUCT($AP$5:$AP$302*($AN$5:$AN$302=$A184)*$AQ$5:$AQ$302,$AR$5:$AR$302)),IF(LEFT($AI184,2)="S|",IF($AG184="","",IF(INDEX($AQ$5:$AQ$302,$AH184)=1,D184,0)),IF($AI184="HDR","LFL Sales",""))))))</f>
        <v/>
      </c>
      <c r="AF184" s="8" t="str" cm="1">
        <f t="array" ref="AF184">IF($AI184="","",IF(LEFT($AI184,2)="C|",IF($C184="","",SUMPRODUCT($AP$5:$AP$302*($AO$5:$AO$302=$A184)*$AQ$5:$AQ$302,$AS$5:$AS$302)),IF($AI184="CT",AF$13,IF(LEFT($AI184,3)="AM|",IF($C184="","",SUMPRODUCT($AP$5:$AP$302*($AN$5:$AN$302=$A184)*$AQ$5:$AQ$302,$AS$5:$AS$302)),IF(LEFT($AI184,2)="S|",IF($AG184="","",IF(INDEX($AQ$5:$AQ$302,$AH184)=1,P184,0)),IF($AI184="HDR","LFL Trans",""))))))</f>
        <v/>
      </c>
      <c r="AG184" s="8" t="str" cm="1">
        <f t="array" ref="AG184">IF($AI184="","",IF(LEFT($AI184,2)="C|","",IF($AI184="CT","",IF(LEFT($AI184,3)="AM|","",IF(LEFT($AI184,2)="S|",IF($AH184="","",IF(INDEX($AP$5:$AP$302,$AH184)=1,1,"")),IF($AI184="HDR","Show",""))))))</f>
        <v/>
      </c>
      <c r="AH184" s="8" t="str">
        <f t="shared" si="108"/>
        <v/>
      </c>
      <c r="AI184" s="8"/>
      <c r="AN184" s="8" t="str" cm="1">
        <f t="array" ref="AN184">IF($AW184="","",_xlfn.LET(_xlpm.sa,IFERROR(TRIM(INDEX('Sales and count'!$D$4:$D$300,$BF184)&amp;""),""),_xlpm.ta,IFERROR(TRIM(INDEX('TY Sales Target'!$F$5:$F$300,$BG184)&amp;""),""),IF(AND(_xlpm.sa&lt;&gt;"",LEFT(_xlpm.sa,1)&lt;&gt;"#",_xlpm.sa&lt;&gt;"0"),_xlpm.sa,IF(AND(_xlpm.ta&lt;&gt;"",LEFT(_xlpm.ta,1)&lt;&gt;"#",_xlpm.ta&lt;&gt;"0"),_xlpm.ta,IF(ISNUMBER($BG184),"Unassigned","")))))</f>
        <v/>
      </c>
      <c r="AO184" s="8" t="str" cm="1">
        <f t="array" ref="AO184">IF($AW184="","",_xlfn.LET(_xlpm.sa,IFERROR(TRIM(INDEX('Sales and count'!$C$4:$C$300,$BF184)&amp;""),""),_xlpm.ta,IFERROR(TRIM(INDEX('TY Sales Target'!$D$5:$D$300,$BG184)&amp;""),""),IF(AND(_xlpm.sa&lt;&gt;"",LEFT(_xlpm.sa,1)&lt;&gt;"#",_xlpm.sa&lt;&gt;"0"),_xlpm.sa,IF(AND(_xlpm.ta&lt;&gt;"",LEFT(_xlpm.ta,1)&lt;&gt;"#",_xlpm.ta&lt;&gt;"0"),_xlpm.ta,""))))</f>
        <v/>
      </c>
      <c r="AP184" s="8">
        <f t="shared" si="93"/>
        <v>0</v>
      </c>
      <c r="AQ184" s="8">
        <f t="shared" si="94"/>
        <v>0</v>
      </c>
      <c r="AR184" s="8" cm="1">
        <f t="array" ref="AR184">IF($BF184="",0,_xlfn.LET(_xlpm.d,IFERROR(--'Sales and count'!$G$2:$CC$2,0),SUMPRODUCT(('Sales and count'!$G$3:$CC$3="Total")*(_xlpm.d&gt;=$U$4)*(_xlpm.d&lt;=$U$5),INDEX('Sales and count'!$G$4:$CC$300,$BF184,0))))</f>
        <v>0</v>
      </c>
      <c r="AS184" s="8" cm="1">
        <f t="array" ref="AS184">IF($BF184="",0,_xlfn.LET(_xlpm.d,IFERROR(--'Sales and count'!$F$2:$CB$2,0),SUMPRODUCT(('Sales and count'!$G$3:$CC$3="Transactions")*(_xlpm.d&gt;=$U$4)*(_xlpm.d&lt;=$U$5),INDEX('Sales and count'!$G$4:$CC$300,$BF184,0))))</f>
        <v>0</v>
      </c>
      <c r="AT184" s="8" cm="1">
        <f t="array" ref="AT184">IF($AW184="",0,SUMPRODUCT((TRIM('LY Sales '!$B$5:$B$200)=$AW184)*('LY Sales '!$C$2:$AG$2&gt;=EDATE($U$4,-12))*('LY Sales '!$C$2:$AG$2&lt;=EDATE($U$5,-12)),'LY Sales '!$C$5:$AG$200))</f>
        <v>0</v>
      </c>
      <c r="AU184" s="8" cm="1">
        <f t="array" ref="AU184">IF($AW184="",0,SUMPRODUCT((TRIM('LY Transaction'!$B$5:$B$200)=$AW184)*('LY Transaction'!$C$2:$AG$2&gt;=EDATE($U$4,-12))*('LY Transaction'!$C$2:$AG$2&lt;=EDATE($U$5,-12)),'LY Transaction'!$C$5:$AG$200))</f>
        <v>0</v>
      </c>
      <c r="AV184" s="8" cm="1">
        <f t="array" ref="AV184">IF(NOT(ISNUMBER($BG184)),0,SUMPRODUCT(('TY Sales Target'!$K$2:$AO$2&gt;=$U$4)*('TY Sales Target'!$K$2:$AO$2&lt;=$U$5),INDEX('TY Sales Target'!$K$5:$AO$300,$BG184,0)))</f>
        <v>0</v>
      </c>
      <c r="AW184" s="8" t="str" cm="1">
        <f t="array" ref="AW184">IFERROR(INDEX(_xlfn.ANCHORARRAY($BR$5),ROWS($AW$5:AW184)),"")</f>
        <v/>
      </c>
      <c r="BB184" cm="1">
        <f t="array" ref="BB184">IF($AW184="",0,SUMPRODUCT((TRIM(Footfall!$B$5:$B$301)=$AW184)*(Footfall!$C$1:$BZ$1&gt;=$U$4)*(Footfall!$C$2:$BZ$2&lt;=$U$5)*(Footfall!$C$1:$BZ$1&lt;&gt;""),Footfall!$C$5:$BZ$301))</f>
        <v>0</v>
      </c>
      <c r="BC184" cm="1">
        <f t="array" ref="BC184">IF(OR($BB184&lt;=0,$BD$1="",$BF184=""),0,_xlfn.LET(_xlpm.d,IFERROR(--'Sales and count'!$F$2:$CB$2,0),SUMPRODUCT(('Sales and count'!$G$3:$CC$3="Transactions")*(_xlpm.d&gt;=$BD$1)*(_xlpm.d&lt;=$BD$2),INDEX('Sales and count'!$G$4:$CC$300,$BF184,0))))</f>
        <v>0</v>
      </c>
      <c r="BF184" t="str" cm="1">
        <f t="array" ref="BF184">IF($AW184="","",IFERROR(MATCH($AW184,TRIM('Sales and count'!$A$4:$A$300&amp;""),0),""))</f>
        <v/>
      </c>
      <c r="BG184" t="str" cm="1">
        <f t="array" ref="BG184">IF($AW184="","",IFERROR(MATCH(IFERROR(_xlfn.XLOOKUP($AW184,$BT$5:$BT$22,$BU$5:$BU$22),$AW184),TRIM('TY Sales Target'!$B$5:$B$300&amp;""),0),""))</f>
        <v/>
      </c>
      <c r="BH184" t="str" cm="1">
        <f t="array" ref="BH184">IF(ISNUMBER($BG184),_xlfn.LET(_xlpm.p,TRIM(INDEX('TY Sales Target'!$I$5:$I$300,$BG184)&amp;""),IF(_xlpm.p="","Not set",_xlpm.p)),"Not set")</f>
        <v>Not set</v>
      </c>
      <c r="BI184" cm="1">
        <f t="array" ref="BI184">IF($BF184="",0,_xlfn.LET(_xlpm.d,IFERROR(--'Sales and count'!$G$2:$CC$2,0),SUMPRODUCT(('Sales and count'!$G$3:$CC$3="Total")*(_xlpm.d&gt;=$BZ$5)*(_xlpm.d&lt;=$BZ$6),INDEX('Sales and count'!$G$4:$CC$300,$BF184,0))))</f>
        <v>0</v>
      </c>
      <c r="BJ184" cm="1">
        <f t="array" ref="BJ184">IF($AW184="",0,SUMPRODUCT((TRIM('LY Sales '!$B$5:$B$200)=$AW184)*('LY Sales '!$C$2:$AG$2&gt;=EDATE($BZ$5,-12))*('LY Sales '!$C$2:$AG$2&lt;=EDATE($BZ$6,-12)),'LY Sales '!$C$5:$AG$200))</f>
        <v>0</v>
      </c>
      <c r="BK184" cm="1">
        <f t="array" ref="BK184">IF($AW184="",0,SUMPRODUCT((TRIM('LY Sales '!$B$5:$B$200)=$AW184)*('LY Sales '!$C$2:$AG$2&gt;=EDATE($BZ$5,-12))*('LY Sales '!$C$2:$AG$2&lt;=EDATE($BZ$7,-12)),'LY Sales '!$C$5:$AG$200))</f>
        <v>0</v>
      </c>
      <c r="BL184" cm="1">
        <f t="array" ref="BL184">IF($AW184="",0,SUMPRODUCT((TRIM('LY Sales '!$B$5:$B$200)=$AW184)*('LY Sales '!$C$2:$AG$2&gt;=EDATE($BZ$5,-12))*('LY Sales '!$C$2:$AG$2&lt;=EDATE($BZ$6,-12))*('LY Sales '!$C$5:$AG$200&gt;0)))</f>
        <v>0</v>
      </c>
      <c r="BM184" cm="1">
        <f t="array" ref="BM184">IF(NOT(ISNUMBER($BG184)),0,SUMPRODUCT(('TY Sales Target'!$K$2:$AO$2&gt;=$BZ$5)*('TY Sales Target'!$K$2:$AO$2&lt;=$BZ$6),INDEX('TY Sales Target'!$K$5:$AO$300,$BG184,0)))</f>
        <v>0</v>
      </c>
      <c r="BN184" cm="1">
        <f t="array" ref="BN184">IF(NOT(ISNUMBER($BG184)),0,SUMPRODUCT(('TY Sales Target'!$K$2:$AO$2&gt;=$BZ$5)*('TY Sales Target'!$K$2:$AO$2&lt;=$BZ$7),INDEX('TY Sales Target'!$K$5:$AO$300,$BG184,0)))</f>
        <v>0</v>
      </c>
      <c r="BO184" cm="1">
        <f t="array" ref="BO184">IF($AW184="",0,IFERROR(_xlfn.SWITCH($BP184,"LY trend",$BI184*$BK184/$BJ184,"Target curve",$BI184*$BN184/$BM184,"Run rate",$BI184/$BZ$8*$BZ$9,0),0))</f>
        <v>0</v>
      </c>
      <c r="BP184" t="str">
        <f t="shared" si="92"/>
        <v/>
      </c>
      <c r="CB184" cm="1">
        <f t="array" ref="CB184">IF($AW184="",0,_xlfn.LET(_xlpm.k,IFERROR(_xlfn.XLOOKUP($AW184,$CD$6:$CD$21,$CE$6:$CE$21),$AW184),SUMPRODUCT((TRIM('Makeup '!$A$2:$A$300&amp;"")=_xlpm.k)*1,IFERROR('Makeup '!$F$2:$F$300*1,0))))</f>
        <v>0</v>
      </c>
      <c r="CF184" t="str" cm="1">
        <f t="array" ref="CF184">IF($AW184="","",_xlfn.LET(_xlpm.c,IFERROR(TRIM(INDEX('Sales and count'!$B$4:$B$300,$BF184)&amp;""),""),IF(OR(_xlpm.c="",_xlpm.c="0",LEFT(_xlpm.c,1)="#"),"Not set",_xlpm.c)))</f>
        <v/>
      </c>
      <c r="CH184" cm="1">
        <f t="array" ref="CH184">IF($AW184="",0,_xlfn.LET(_xlpm.k,IFERROR(_xlfn.XLOOKUP($AW184,$CD$6:$CD$21,$CE$6:$CE$21),$AW184),--(SUMPRODUCT((TRIM('Makeup '!$A$2:$A$300&amp;"")=_xlpm.k)*ISNUMBER('Makeup '!$F$2:$F$300))&gt;0)))</f>
        <v>0</v>
      </c>
      <c r="CI184">
        <f t="shared" si="95"/>
        <v>0</v>
      </c>
      <c r="CJ184" cm="1">
        <f t="array" ref="CJ184">IF($AW184="",0,--(SUMPRODUCT(--(TRIM(Footfall!$B$5:$B$301)=$AW184))&gt;0))</f>
        <v>0</v>
      </c>
      <c r="CK184" s="8" cm="1">
        <f t="array" ref="CK184">IF($AW184="",0,_xlfn.LET(_xlpm.r,IFERROR(MATCH(IFERROR(_xlfn.XLOOKUP($AW184,$BT$5:$BT$22,$BU$5:$BU$22),$AW184),TRIM('TY Beauty Target'!$B$5:$B$300&amp;""),0),""),IF(ISNUMBER(_xlpm.r),SUMPRODUCT(('TY Beauty Target'!$L$2:$AP$2&gt;=$U$4)*('TY Beauty Target'!$L$2:$AP$2&lt;=$U$5),INDEX('TY Beauty Target'!$L$5:$AP$300,_xlpm.r,0)),0)))</f>
        <v>0</v>
      </c>
    </row>
    <row r="185" spans="1:89" ht="15" customHeight="1" x14ac:dyDescent="0.25">
      <c r="A185" s="38" t="str">
        <f t="shared" si="96"/>
        <v/>
      </c>
      <c r="B185" s="43" t="str" cm="1">
        <f t="array" ref="B185">IF($AI185="","",IF(LEFT($AI185,2)="C|",IF($C185="","",_xlfn.TEXTJOIN(", ",TRUE,_xlfn.UNIQUE(_xlfn._xlws.FILTER($AN$5:$AN$302,($AP$5:$AP$302=1)*($AO$5:$AO$302=$A185))))),IF($AI185="CT",B$13,IF(LEFT($AI185,3)="AM|",IF($C185="","",ROWS(_xlfn.UNIQUE(_xlfn._xlws.FILTER($AO$5:$AO$302,($AP$5:$AP$302=1)*($AN$5:$AN$302=$A185))))),IF(LEFT($AI185,2)="S|",IF($AG185="","",INDEX($AO$5:$AO$302,$AH185)),IF($AI185="HDR","City",""))))))</f>
        <v/>
      </c>
      <c r="C185" s="39" t="str" cm="1">
        <f t="array" ref="C185">IF($AI185="","",IF(LEFT($AI185,2)="C|",_xlfn.LET(_xlpm.n,SUMPRODUCT($AP$5:$AP$302*($AO$5:$AO$302=$A185)),IF(_xlpm.n=0,"",_xlpm.n)),IF($AI185="CT",C$13,IF(LEFT($AI185,3)="AM|",_xlfn.LET(_xlpm.n,SUMPRODUCT($AP$5:$AP$302*($AN$5:$AN$302=$A185)),IF(_xlpm.n=0,"",_xlpm.n)),IF(LEFT($AI185,2)="S|","",IF($AI185="HDR","# Stores",""))))))</f>
        <v/>
      </c>
      <c r="D185" s="40" t="str" cm="1">
        <f t="array" ref="D185">IF($AI185="","",IF(LEFT($AI185,2)="C|",IF($C185="","",SUMPRODUCT($AP$5:$AP$302*($AO$5:$AO$302=$A185),$AR$5:$AR$302)),IF($AI185="CT",D$13,IF(LEFT($AI185,3)="AM|",IF($C185="","",SUMPRODUCT($AP$5:$AP$302*($AN$5:$AN$302=$A185),$AR$5:$AR$302)),IF(LEFT($AI185,2)="S|",IF($AG185="","",INDEX($AR$5:$AR$302,$AH185)),IF($AI185="HDR","Sales TY",""))))))</f>
        <v/>
      </c>
      <c r="E185" s="40" t="str" cm="1">
        <f t="array" ref="E185">IF($AI185="","",IF(LEFT($AI185,2)="C|",IF($C185="","",SUMPRODUCT($AP$5:$AP$302*($AO$5:$AO$302=$A185),$AT$5:$AT$302)),IF($AI185="CT",E$13,IF(LEFT($AI185,3)="AM|",IF($C185="","",SUMPRODUCT($AP$5:$AP$302*($AN$5:$AN$302=$A185),$AT$5:$AT$302)),IF(LEFT($AI185,2)="S|",IF($AG185="","",INDEX($AT$5:$AT$302,$AH185)),IF($AI185="HDR","Sales LY",""))))))</f>
        <v/>
      </c>
      <c r="F185" s="41" t="str">
        <f t="shared" si="97"/>
        <v/>
      </c>
      <c r="G185" s="41" t="str">
        <f t="shared" si="98"/>
        <v/>
      </c>
      <c r="H185" s="40" t="str" cm="1">
        <f t="array" ref="H185">IF($AI185="","",IF(LEFT($AI185,2)="C|",IF($C185="","",SUMPRODUCT($AP$5:$AP$302*($AO$5:$AO$302=$A185),$AV$5:$AV$302)),IF($AI185="CT",H$13,IF(LEFT($AI185,3)="AM|",IF($C185="","",SUMPRODUCT($AP$5:$AP$302*($AN$5:$AN$302=$A185),$AV$5:$AV$302)),IF(LEFT($AI185,2)="S|",IF($AG185="","",INDEX($AV$5:$AV$302,$AH185)),IF($AI185="HDR","Target",""))))))</f>
        <v/>
      </c>
      <c r="I185" s="41" t="str">
        <f t="shared" si="99"/>
        <v/>
      </c>
      <c r="J185" s="40" t="str">
        <f t="shared" si="100"/>
        <v/>
      </c>
      <c r="K185" s="41" t="str">
        <f t="shared" si="101"/>
        <v/>
      </c>
      <c r="L185" s="40" t="str" cm="1">
        <f t="array" ref="L185">IF($AI185="","",IF(LEFT($AI185,2)="C|",IF($C185="","",SUMPRODUCT($AP$5:$AP$302*($AO$5:$AO$302=$A185),$BN$5:$BN$302)),IF($AI185="CT",L$13,IF(LEFT($AI185,3)="AM|",IF($C185="","",SUMPRODUCT($AP$5:$AP$302*($AN$5:$AN$302=$A185),$BN$5:$BN$302)),IF(LEFT($AI185,2)="S|",IF($AG185="","",INDEX($BN$5:$BN$302,$AH185)),IF($AI185="HDR","Month Target",""))))))</f>
        <v/>
      </c>
      <c r="M185" s="40" t="str" cm="1">
        <f t="array" ref="M185">IF($AI185="","",IF(LEFT($AI185,2)="C|",IF($C185="","",SUMPRODUCT($AP$5:$AP$302*($AO$5:$AO$302=$A185),$BO$5:$BO$302)),IF($AI185="CT",M$13,IF(LEFT($AI185,3)="AM|",IF($C185="","",SUMPRODUCT($AP$5:$AP$302*($AN$5:$AN$302=$A185),$BO$5:$BO$302)),IF(LEFT($AI185,2)="S|",IF($AG185="","",INDEX($BO$5:$BO$302,$AH185)),IF($AI185="HDR","Projected Close",""))))))</f>
        <v/>
      </c>
      <c r="N185" s="41" t="str">
        <f t="shared" si="109"/>
        <v/>
      </c>
      <c r="O185" s="41" t="str" cm="1">
        <f t="array" ref="O185">IF($AI185="HDR","Proj. vs LY",IF(OR($AI185="",M185=""),"",_xlfn.LET(_xlpm.ly,IF(LEFT($AI185,2)="C|",SUMPRODUCT($AP$5:$AP$302*($AO$5:$AO$302=$A185),$BK$5:$BK$302),IF($AI185="CT",SUMPRODUCT($AP$5:$AP$302,$BK$5:$BK$302),IF(LEFT($AI185,3)="AM|",SUMPRODUCT($AP$5:$AP$302*($AN$5:$AN$302=$A185),$BK$5:$BK$302),IF(LEFT($AI185,2)="S|",INDEX($BK$5:$BK$302,$AH185),0)))),IFERROR(M185/_xlpm.ly-1,""))))</f>
        <v/>
      </c>
      <c r="P185" s="40" t="str" cm="1">
        <f t="array" ref="P185">IF($AI185="","",IF(LEFT($AI185,2)="C|",IF($C185="","",SUMPRODUCT($AP$5:$AP$302*($AO$5:$AO$302=$A185),$AS$5:$AS$302)),IF($AI185="CT",P$13,IF(LEFT($AI185,3)="AM|",IF($C185="","",SUMPRODUCT($AP$5:$AP$302*($AN$5:$AN$302=$A185),$AS$5:$AS$302)),IF(LEFT($AI185,2)="S|",IF($AG185="","",INDEX($AS$5:$AS$302,$AH185)),IF($AI185="HDR","Trans TY",""))))))</f>
        <v/>
      </c>
      <c r="Q185" s="40" t="str" cm="1">
        <f t="array" ref="Q185">IF($AI185="","",IF(LEFT($AI185,2)="C|",IF($C185="","",SUMPRODUCT($AP$5:$AP$302*($AO$5:$AO$302=$A185),$AU$5:$AU$302)),IF($AI185="CT",Q$13,IF(LEFT($AI185,3)="AM|",IF($C185="","",SUMPRODUCT($AP$5:$AP$302*($AN$5:$AN$302=$A185),$AU$5:$AU$302)),IF(LEFT($AI185,2)="S|",IF($AG185="","",INDEX($AU$5:$AU$302,$AH185)),IF($AI185="HDR","Trans LY",""))))))</f>
        <v/>
      </c>
      <c r="R185" s="41" t="str">
        <f t="shared" si="102"/>
        <v/>
      </c>
      <c r="S185" s="41" t="str">
        <f t="shared" si="103"/>
        <v/>
      </c>
      <c r="T185" s="42" t="str">
        <f t="shared" si="104"/>
        <v/>
      </c>
      <c r="U185" s="42" t="str">
        <f t="shared" si="105"/>
        <v/>
      </c>
      <c r="V185" s="41" t="str">
        <f t="shared" si="106"/>
        <v/>
      </c>
      <c r="W185" s="40" t="str" cm="1">
        <f t="array" ref="W185">IF($AI185="","",IF(LEFT($AI185,2)="C|",_xlfn.LET(_xlpm.n,SUMPRODUCT($AP$5:$AP$302*($AO$5:$AO$302=$A185),$BB$5:$BB$302),IF(_xlpm.n=0,"",_xlpm.n)),IF($AI185="CT",W$13,IF(LEFT($AI185,3)="AM|",_xlfn.LET(_xlpm.n,SUMPRODUCT($AP$5:$AP$302*($AN$5:$AN$302=$A185),$BB$5:$BB$302),IF(_xlpm.n=0,"",_xlpm.n)),IF(LEFT($AI185,2)="S|",IF($AG185="","",_xlfn.LET(_xlpm.n,INDEX($BB$5:$BB$302,$AH185),IF(_xlpm.n=0,"",_xlpm.n))),IF($AI185="HDR","Footfall",""))))))</f>
        <v/>
      </c>
      <c r="X185" s="40" t="str" cm="1">
        <f t="array" ref="X185">IF($AI185="","",IF($AI185="HDR","Trans (FF stores)",IF(W185="","",IF(LEFT($AI185,2)="C|",SUMPRODUCT($AP$5:$AP$302*($AO$5:$AO$302=$A185),$BC$5:$BC$302),IF($AI185="CT",X$13,IF(LEFT($AI185,3)="AM|",SUMPRODUCT($AP$5:$AP$302*($AN$5:$AN$302=$A185),$BC$5:$BC$302),IF(LEFT($AI185,2)="S|",INDEX($BC$5:$BC$302,$AH185),"")))))))</f>
        <v/>
      </c>
      <c r="Y185" s="41" t="str">
        <f t="shared" si="110"/>
        <v/>
      </c>
      <c r="Z185" s="40" t="str" cm="1">
        <f t="array" ref="Z185">IF($AI185="","",IF(LEFT($AI185,2)="C|",IF($C185="","",SUMPRODUCT($AP$5:$AP$302*($AO$5:$AO$302=$A185),$CB$5:$CB$302)),IF($AI185="CT",Z$13,IF(LEFT($AI185,3)="AM|",IF($C185="","",SUMPRODUCT($AP$5:$AP$302*($AN$5:$AN$302=$A185),$CB$5:$CB$302)),IF(LEFT($AI185,2)="S|",IF($AG185="","",INDEX($CB$5:$CB$302,$AH185)),IF($AI185="HDR","Makeup Sales",""))))))</f>
        <v/>
      </c>
      <c r="AA185" s="41" t="str">
        <f t="shared" si="107"/>
        <v/>
      </c>
      <c r="AB185" s="40" t="str" cm="1">
        <f t="array" ref="AB185">IF($AI185="","",IF(LEFT($AI185,2)="C|",IF($C185="","",SUMPRODUCT($AP$5:$AP$302*($AO$5:$AO$302=$A185),$CK$5:$CK$302)),IF($AI185="CT",AB$13,IF(LEFT($AI185,3)="AM|",IF($C185="","",SUMPRODUCT($AP$5:$AP$302*($AN$5:$AN$302=$A185),$CK$5:$CK$302)),IF(LEFT($AI185,2)="S|",IF($AG185="","",INDEX($CK$5:$CK$302,$AH185)),IF($AI185="HDR","Makeup Target",""))))))</f>
        <v/>
      </c>
      <c r="AC185" s="41" t="str">
        <f t="shared" si="111"/>
        <v/>
      </c>
      <c r="AD185" s="40" t="str" cm="1">
        <f t="array" ref="AD185">IF($AI185="","",IF(LEFT($AI185,2)="C|",IF($C185="","",SUMPRODUCT($AP$5:$AP$302*($AO$5:$AO$302=$A185),$CI$5:$CI$302)),IF($AI185="CT",AD$13,IF(LEFT($AI185,3)="AM|",IF($C185="","",SUMPRODUCT($AP$5:$AP$302*($AN$5:$AN$302=$A185),$CI$5:$CI$302)),IF(LEFT($AI185,2)="S|",IF($AG185="","",INDEX($CI$5:$CI$302,$AH185)),IF($AI185="HDR","Cosmetic Sales",""))))))</f>
        <v/>
      </c>
      <c r="AE185" s="8" t="str" cm="1">
        <f t="array" ref="AE185">IF($AI185="","",IF(LEFT($AI185,2)="C|",IF($C185="","",SUMPRODUCT($AP$5:$AP$302*($AO$5:$AO$302=$A185)*$AQ$5:$AQ$302,$AR$5:$AR$302)),IF($AI185="CT",AE$13,IF(LEFT($AI185,3)="AM|",IF($C185="","",SUMPRODUCT($AP$5:$AP$302*($AN$5:$AN$302=$A185)*$AQ$5:$AQ$302,$AR$5:$AR$302)),IF(LEFT($AI185,2)="S|",IF($AG185="","",IF(INDEX($AQ$5:$AQ$302,$AH185)=1,D185,0)),IF($AI185="HDR","LFL Sales",""))))))</f>
        <v/>
      </c>
      <c r="AF185" s="8" t="str" cm="1">
        <f t="array" ref="AF185">IF($AI185="","",IF(LEFT($AI185,2)="C|",IF($C185="","",SUMPRODUCT($AP$5:$AP$302*($AO$5:$AO$302=$A185)*$AQ$5:$AQ$302,$AS$5:$AS$302)),IF($AI185="CT",AF$13,IF(LEFT($AI185,3)="AM|",IF($C185="","",SUMPRODUCT($AP$5:$AP$302*($AN$5:$AN$302=$A185)*$AQ$5:$AQ$302,$AS$5:$AS$302)),IF(LEFT($AI185,2)="S|",IF($AG185="","",IF(INDEX($AQ$5:$AQ$302,$AH185)=1,P185,0)),IF($AI185="HDR","LFL Trans",""))))))</f>
        <v/>
      </c>
      <c r="AG185" s="8" t="str" cm="1">
        <f t="array" ref="AG185">IF($AI185="","",IF(LEFT($AI185,2)="C|","",IF($AI185="CT","",IF(LEFT($AI185,3)="AM|","",IF(LEFT($AI185,2)="S|",IF($AH185="","",IF(INDEX($AP$5:$AP$302,$AH185)=1,1,"")),IF($AI185="HDR","Show",""))))))</f>
        <v/>
      </c>
      <c r="AH185" s="8" t="str">
        <f t="shared" si="108"/>
        <v/>
      </c>
      <c r="AI185" s="8"/>
      <c r="AN185" s="8" t="str" cm="1">
        <f t="array" ref="AN185">IF($AW185="","",_xlfn.LET(_xlpm.sa,IFERROR(TRIM(INDEX('Sales and count'!$D$4:$D$300,$BF185)&amp;""),""),_xlpm.ta,IFERROR(TRIM(INDEX('TY Sales Target'!$F$5:$F$300,$BG185)&amp;""),""),IF(AND(_xlpm.sa&lt;&gt;"",LEFT(_xlpm.sa,1)&lt;&gt;"#",_xlpm.sa&lt;&gt;"0"),_xlpm.sa,IF(AND(_xlpm.ta&lt;&gt;"",LEFT(_xlpm.ta,1)&lt;&gt;"#",_xlpm.ta&lt;&gt;"0"),_xlpm.ta,IF(ISNUMBER($BG185),"Unassigned","")))))</f>
        <v/>
      </c>
      <c r="AO185" s="8" t="str" cm="1">
        <f t="array" ref="AO185">IF($AW185="","",_xlfn.LET(_xlpm.sa,IFERROR(TRIM(INDEX('Sales and count'!$C$4:$C$300,$BF185)&amp;""),""),_xlpm.ta,IFERROR(TRIM(INDEX('TY Sales Target'!$D$5:$D$300,$BG185)&amp;""),""),IF(AND(_xlpm.sa&lt;&gt;"",LEFT(_xlpm.sa,1)&lt;&gt;"#",_xlpm.sa&lt;&gt;"0"),_xlpm.sa,IF(AND(_xlpm.ta&lt;&gt;"",LEFT(_xlpm.ta,1)&lt;&gt;"#",_xlpm.ta&lt;&gt;"0"),_xlpm.ta,""))))</f>
        <v/>
      </c>
      <c r="AP185" s="8">
        <f t="shared" si="93"/>
        <v>0</v>
      </c>
      <c r="AQ185" s="8">
        <f t="shared" si="94"/>
        <v>0</v>
      </c>
      <c r="AR185" s="8" cm="1">
        <f t="array" ref="AR185">IF($BF185="",0,_xlfn.LET(_xlpm.d,IFERROR(--'Sales and count'!$G$2:$CC$2,0),SUMPRODUCT(('Sales and count'!$G$3:$CC$3="Total")*(_xlpm.d&gt;=$U$4)*(_xlpm.d&lt;=$U$5),INDEX('Sales and count'!$G$4:$CC$300,$BF185,0))))</f>
        <v>0</v>
      </c>
      <c r="AS185" s="8" cm="1">
        <f t="array" ref="AS185">IF($BF185="",0,_xlfn.LET(_xlpm.d,IFERROR(--'Sales and count'!$F$2:$CB$2,0),SUMPRODUCT(('Sales and count'!$G$3:$CC$3="Transactions")*(_xlpm.d&gt;=$U$4)*(_xlpm.d&lt;=$U$5),INDEX('Sales and count'!$G$4:$CC$300,$BF185,0))))</f>
        <v>0</v>
      </c>
      <c r="AT185" s="8" cm="1">
        <f t="array" ref="AT185">IF($AW185="",0,SUMPRODUCT((TRIM('LY Sales '!$B$5:$B$200)=$AW185)*('LY Sales '!$C$2:$AG$2&gt;=EDATE($U$4,-12))*('LY Sales '!$C$2:$AG$2&lt;=EDATE($U$5,-12)),'LY Sales '!$C$5:$AG$200))</f>
        <v>0</v>
      </c>
      <c r="AU185" s="8" cm="1">
        <f t="array" ref="AU185">IF($AW185="",0,SUMPRODUCT((TRIM('LY Transaction'!$B$5:$B$200)=$AW185)*('LY Transaction'!$C$2:$AG$2&gt;=EDATE($U$4,-12))*('LY Transaction'!$C$2:$AG$2&lt;=EDATE($U$5,-12)),'LY Transaction'!$C$5:$AG$200))</f>
        <v>0</v>
      </c>
      <c r="AV185" s="8" cm="1">
        <f t="array" ref="AV185">IF(NOT(ISNUMBER($BG185)),0,SUMPRODUCT(('TY Sales Target'!$K$2:$AO$2&gt;=$U$4)*('TY Sales Target'!$K$2:$AO$2&lt;=$U$5),INDEX('TY Sales Target'!$K$5:$AO$300,$BG185,0)))</f>
        <v>0</v>
      </c>
      <c r="AW185" s="8" t="str" cm="1">
        <f t="array" ref="AW185">IFERROR(INDEX(_xlfn.ANCHORARRAY($BR$5),ROWS($AW$5:AW185)),"")</f>
        <v/>
      </c>
      <c r="BB185" cm="1">
        <f t="array" ref="BB185">IF($AW185="",0,SUMPRODUCT((TRIM(Footfall!$B$5:$B$301)=$AW185)*(Footfall!$C$1:$BZ$1&gt;=$U$4)*(Footfall!$C$2:$BZ$2&lt;=$U$5)*(Footfall!$C$1:$BZ$1&lt;&gt;""),Footfall!$C$5:$BZ$301))</f>
        <v>0</v>
      </c>
      <c r="BC185" cm="1">
        <f t="array" ref="BC185">IF(OR($BB185&lt;=0,$BD$1="",$BF185=""),0,_xlfn.LET(_xlpm.d,IFERROR(--'Sales and count'!$F$2:$CB$2,0),SUMPRODUCT(('Sales and count'!$G$3:$CC$3="Transactions")*(_xlpm.d&gt;=$BD$1)*(_xlpm.d&lt;=$BD$2),INDEX('Sales and count'!$G$4:$CC$300,$BF185,0))))</f>
        <v>0</v>
      </c>
      <c r="BF185" t="str" cm="1">
        <f t="array" ref="BF185">IF($AW185="","",IFERROR(MATCH($AW185,TRIM('Sales and count'!$A$4:$A$300&amp;""),0),""))</f>
        <v/>
      </c>
      <c r="BG185" t="str" cm="1">
        <f t="array" ref="BG185">IF($AW185="","",IFERROR(MATCH(IFERROR(_xlfn.XLOOKUP($AW185,$BT$5:$BT$22,$BU$5:$BU$22),$AW185),TRIM('TY Sales Target'!$B$5:$B$300&amp;""),0),""))</f>
        <v/>
      </c>
      <c r="BH185" t="str" cm="1">
        <f t="array" ref="BH185">IF(ISNUMBER($BG185),_xlfn.LET(_xlpm.p,TRIM(INDEX('TY Sales Target'!$I$5:$I$300,$BG185)&amp;""),IF(_xlpm.p="","Not set",_xlpm.p)),"Not set")</f>
        <v>Not set</v>
      </c>
      <c r="BI185" cm="1">
        <f t="array" ref="BI185">IF($BF185="",0,_xlfn.LET(_xlpm.d,IFERROR(--'Sales and count'!$G$2:$CC$2,0),SUMPRODUCT(('Sales and count'!$G$3:$CC$3="Total")*(_xlpm.d&gt;=$BZ$5)*(_xlpm.d&lt;=$BZ$6),INDEX('Sales and count'!$G$4:$CC$300,$BF185,0))))</f>
        <v>0</v>
      </c>
      <c r="BJ185" cm="1">
        <f t="array" ref="BJ185">IF($AW185="",0,SUMPRODUCT((TRIM('LY Sales '!$B$5:$B$200)=$AW185)*('LY Sales '!$C$2:$AG$2&gt;=EDATE($BZ$5,-12))*('LY Sales '!$C$2:$AG$2&lt;=EDATE($BZ$6,-12)),'LY Sales '!$C$5:$AG$200))</f>
        <v>0</v>
      </c>
      <c r="BK185" cm="1">
        <f t="array" ref="BK185">IF($AW185="",0,SUMPRODUCT((TRIM('LY Sales '!$B$5:$B$200)=$AW185)*('LY Sales '!$C$2:$AG$2&gt;=EDATE($BZ$5,-12))*('LY Sales '!$C$2:$AG$2&lt;=EDATE($BZ$7,-12)),'LY Sales '!$C$5:$AG$200))</f>
        <v>0</v>
      </c>
      <c r="BL185" cm="1">
        <f t="array" ref="BL185">IF($AW185="",0,SUMPRODUCT((TRIM('LY Sales '!$B$5:$B$200)=$AW185)*('LY Sales '!$C$2:$AG$2&gt;=EDATE($BZ$5,-12))*('LY Sales '!$C$2:$AG$2&lt;=EDATE($BZ$6,-12))*('LY Sales '!$C$5:$AG$200&gt;0)))</f>
        <v>0</v>
      </c>
      <c r="BM185" cm="1">
        <f t="array" ref="BM185">IF(NOT(ISNUMBER($BG185)),0,SUMPRODUCT(('TY Sales Target'!$K$2:$AO$2&gt;=$BZ$5)*('TY Sales Target'!$K$2:$AO$2&lt;=$BZ$6),INDEX('TY Sales Target'!$K$5:$AO$300,$BG185,0)))</f>
        <v>0</v>
      </c>
      <c r="BN185" cm="1">
        <f t="array" ref="BN185">IF(NOT(ISNUMBER($BG185)),0,SUMPRODUCT(('TY Sales Target'!$K$2:$AO$2&gt;=$BZ$5)*('TY Sales Target'!$K$2:$AO$2&lt;=$BZ$7),INDEX('TY Sales Target'!$K$5:$AO$300,$BG185,0)))</f>
        <v>0</v>
      </c>
      <c r="BO185" cm="1">
        <f t="array" ref="BO185">IF($AW185="",0,IFERROR(_xlfn.SWITCH($BP185,"LY trend",$BI185*$BK185/$BJ185,"Target curve",$BI185*$BN185/$BM185,"Run rate",$BI185/$BZ$8*$BZ$9,0),0))</f>
        <v>0</v>
      </c>
      <c r="BP185" t="str">
        <f t="shared" si="92"/>
        <v/>
      </c>
      <c r="CB185" cm="1">
        <f t="array" ref="CB185">IF($AW185="",0,_xlfn.LET(_xlpm.k,IFERROR(_xlfn.XLOOKUP($AW185,$CD$6:$CD$21,$CE$6:$CE$21),$AW185),SUMPRODUCT((TRIM('Makeup '!$A$2:$A$300&amp;"")=_xlpm.k)*1,IFERROR('Makeup '!$F$2:$F$300*1,0))))</f>
        <v>0</v>
      </c>
      <c r="CF185" t="str" cm="1">
        <f t="array" ref="CF185">IF($AW185="","",_xlfn.LET(_xlpm.c,IFERROR(TRIM(INDEX('Sales and count'!$B$4:$B$300,$BF185)&amp;""),""),IF(OR(_xlpm.c="",_xlpm.c="0",LEFT(_xlpm.c,1)="#"),"Not set",_xlpm.c)))</f>
        <v/>
      </c>
      <c r="CH185" cm="1">
        <f t="array" ref="CH185">IF($AW185="",0,_xlfn.LET(_xlpm.k,IFERROR(_xlfn.XLOOKUP($AW185,$CD$6:$CD$21,$CE$6:$CE$21),$AW185),--(SUMPRODUCT((TRIM('Makeup '!$A$2:$A$300&amp;"")=_xlpm.k)*ISNUMBER('Makeup '!$F$2:$F$300))&gt;0)))</f>
        <v>0</v>
      </c>
      <c r="CI185">
        <f t="shared" si="95"/>
        <v>0</v>
      </c>
      <c r="CJ185" cm="1">
        <f t="array" ref="CJ185">IF($AW185="",0,--(SUMPRODUCT(--(TRIM(Footfall!$B$5:$B$301)=$AW185))&gt;0))</f>
        <v>0</v>
      </c>
      <c r="CK185" s="8" cm="1">
        <f t="array" ref="CK185">IF($AW185="",0,_xlfn.LET(_xlpm.r,IFERROR(MATCH(IFERROR(_xlfn.XLOOKUP($AW185,$BT$5:$BT$22,$BU$5:$BU$22),$AW185),TRIM('TY Beauty Target'!$B$5:$B$300&amp;""),0),""),IF(ISNUMBER(_xlpm.r),SUMPRODUCT(('TY Beauty Target'!$L$2:$AP$2&gt;=$U$4)*('TY Beauty Target'!$L$2:$AP$2&lt;=$U$5),INDEX('TY Beauty Target'!$L$5:$AP$300,_xlpm.r,0)),0)))</f>
        <v>0</v>
      </c>
    </row>
    <row r="186" spans="1:89" ht="15" customHeight="1" x14ac:dyDescent="0.25">
      <c r="A186" s="38" t="str">
        <f t="shared" si="96"/>
        <v/>
      </c>
      <c r="B186" s="43" t="str" cm="1">
        <f t="array" ref="B186">IF($AI186="","",IF(LEFT($AI186,2)="C|",IF($C186="","",_xlfn.TEXTJOIN(", ",TRUE,_xlfn.UNIQUE(_xlfn._xlws.FILTER($AN$5:$AN$302,($AP$5:$AP$302=1)*($AO$5:$AO$302=$A186))))),IF($AI186="CT",B$13,IF(LEFT($AI186,3)="AM|",IF($C186="","",ROWS(_xlfn.UNIQUE(_xlfn._xlws.FILTER($AO$5:$AO$302,($AP$5:$AP$302=1)*($AN$5:$AN$302=$A186))))),IF(LEFT($AI186,2)="S|",IF($AG186="","",INDEX($AO$5:$AO$302,$AH186)),IF($AI186="HDR","City",""))))))</f>
        <v/>
      </c>
      <c r="C186" s="39" t="str" cm="1">
        <f t="array" ref="C186">IF($AI186="","",IF(LEFT($AI186,2)="C|",_xlfn.LET(_xlpm.n,SUMPRODUCT($AP$5:$AP$302*($AO$5:$AO$302=$A186)),IF(_xlpm.n=0,"",_xlpm.n)),IF($AI186="CT",C$13,IF(LEFT($AI186,3)="AM|",_xlfn.LET(_xlpm.n,SUMPRODUCT($AP$5:$AP$302*($AN$5:$AN$302=$A186)),IF(_xlpm.n=0,"",_xlpm.n)),IF(LEFT($AI186,2)="S|","",IF($AI186="HDR","# Stores",""))))))</f>
        <v/>
      </c>
      <c r="D186" s="40" t="str" cm="1">
        <f t="array" ref="D186">IF($AI186="","",IF(LEFT($AI186,2)="C|",IF($C186="","",SUMPRODUCT($AP$5:$AP$302*($AO$5:$AO$302=$A186),$AR$5:$AR$302)),IF($AI186="CT",D$13,IF(LEFT($AI186,3)="AM|",IF($C186="","",SUMPRODUCT($AP$5:$AP$302*($AN$5:$AN$302=$A186),$AR$5:$AR$302)),IF(LEFT($AI186,2)="S|",IF($AG186="","",INDEX($AR$5:$AR$302,$AH186)),IF($AI186="HDR","Sales TY",""))))))</f>
        <v/>
      </c>
      <c r="E186" s="40" t="str" cm="1">
        <f t="array" ref="E186">IF($AI186="","",IF(LEFT($AI186,2)="C|",IF($C186="","",SUMPRODUCT($AP$5:$AP$302*($AO$5:$AO$302=$A186),$AT$5:$AT$302)),IF($AI186="CT",E$13,IF(LEFT($AI186,3)="AM|",IF($C186="","",SUMPRODUCT($AP$5:$AP$302*($AN$5:$AN$302=$A186),$AT$5:$AT$302)),IF(LEFT($AI186,2)="S|",IF($AG186="","",INDEX($AT$5:$AT$302,$AH186)),IF($AI186="HDR","Sales LY",""))))))</f>
        <v/>
      </c>
      <c r="F186" s="41" t="str">
        <f t="shared" si="97"/>
        <v/>
      </c>
      <c r="G186" s="41" t="str">
        <f t="shared" si="98"/>
        <v/>
      </c>
      <c r="H186" s="40" t="str" cm="1">
        <f t="array" ref="H186">IF($AI186="","",IF(LEFT($AI186,2)="C|",IF($C186="","",SUMPRODUCT($AP$5:$AP$302*($AO$5:$AO$302=$A186),$AV$5:$AV$302)),IF($AI186="CT",H$13,IF(LEFT($AI186,3)="AM|",IF($C186="","",SUMPRODUCT($AP$5:$AP$302*($AN$5:$AN$302=$A186),$AV$5:$AV$302)),IF(LEFT($AI186,2)="S|",IF($AG186="","",INDEX($AV$5:$AV$302,$AH186)),IF($AI186="HDR","Target",""))))))</f>
        <v/>
      </c>
      <c r="I186" s="41" t="str">
        <f t="shared" si="99"/>
        <v/>
      </c>
      <c r="J186" s="40" t="str">
        <f t="shared" si="100"/>
        <v/>
      </c>
      <c r="K186" s="41" t="str">
        <f t="shared" si="101"/>
        <v/>
      </c>
      <c r="L186" s="40" t="str" cm="1">
        <f t="array" ref="L186">IF($AI186="","",IF(LEFT($AI186,2)="C|",IF($C186="","",SUMPRODUCT($AP$5:$AP$302*($AO$5:$AO$302=$A186),$BN$5:$BN$302)),IF($AI186="CT",L$13,IF(LEFT($AI186,3)="AM|",IF($C186="","",SUMPRODUCT($AP$5:$AP$302*($AN$5:$AN$302=$A186),$BN$5:$BN$302)),IF(LEFT($AI186,2)="S|",IF($AG186="","",INDEX($BN$5:$BN$302,$AH186)),IF($AI186="HDR","Month Target",""))))))</f>
        <v/>
      </c>
      <c r="M186" s="40" t="str" cm="1">
        <f t="array" ref="M186">IF($AI186="","",IF(LEFT($AI186,2)="C|",IF($C186="","",SUMPRODUCT($AP$5:$AP$302*($AO$5:$AO$302=$A186),$BO$5:$BO$302)),IF($AI186="CT",M$13,IF(LEFT($AI186,3)="AM|",IF($C186="","",SUMPRODUCT($AP$5:$AP$302*($AN$5:$AN$302=$A186),$BO$5:$BO$302)),IF(LEFT($AI186,2)="S|",IF($AG186="","",INDEX($BO$5:$BO$302,$AH186)),IF($AI186="HDR","Projected Close",""))))))</f>
        <v/>
      </c>
      <c r="N186" s="41" t="str">
        <f t="shared" si="109"/>
        <v/>
      </c>
      <c r="O186" s="41" t="str" cm="1">
        <f t="array" ref="O186">IF($AI186="HDR","Proj. vs LY",IF(OR($AI186="",M186=""),"",_xlfn.LET(_xlpm.ly,IF(LEFT($AI186,2)="C|",SUMPRODUCT($AP$5:$AP$302*($AO$5:$AO$302=$A186),$BK$5:$BK$302),IF($AI186="CT",SUMPRODUCT($AP$5:$AP$302,$BK$5:$BK$302),IF(LEFT($AI186,3)="AM|",SUMPRODUCT($AP$5:$AP$302*($AN$5:$AN$302=$A186),$BK$5:$BK$302),IF(LEFT($AI186,2)="S|",INDEX($BK$5:$BK$302,$AH186),0)))),IFERROR(M186/_xlpm.ly-1,""))))</f>
        <v/>
      </c>
      <c r="P186" s="40" t="str" cm="1">
        <f t="array" ref="P186">IF($AI186="","",IF(LEFT($AI186,2)="C|",IF($C186="","",SUMPRODUCT($AP$5:$AP$302*($AO$5:$AO$302=$A186),$AS$5:$AS$302)),IF($AI186="CT",P$13,IF(LEFT($AI186,3)="AM|",IF($C186="","",SUMPRODUCT($AP$5:$AP$302*($AN$5:$AN$302=$A186),$AS$5:$AS$302)),IF(LEFT($AI186,2)="S|",IF($AG186="","",INDEX($AS$5:$AS$302,$AH186)),IF($AI186="HDR","Trans TY",""))))))</f>
        <v/>
      </c>
      <c r="Q186" s="40" t="str" cm="1">
        <f t="array" ref="Q186">IF($AI186="","",IF(LEFT($AI186,2)="C|",IF($C186="","",SUMPRODUCT($AP$5:$AP$302*($AO$5:$AO$302=$A186),$AU$5:$AU$302)),IF($AI186="CT",Q$13,IF(LEFT($AI186,3)="AM|",IF($C186="","",SUMPRODUCT($AP$5:$AP$302*($AN$5:$AN$302=$A186),$AU$5:$AU$302)),IF(LEFT($AI186,2)="S|",IF($AG186="","",INDEX($AU$5:$AU$302,$AH186)),IF($AI186="HDR","Trans LY",""))))))</f>
        <v/>
      </c>
      <c r="R186" s="41" t="str">
        <f t="shared" si="102"/>
        <v/>
      </c>
      <c r="S186" s="41" t="str">
        <f t="shared" si="103"/>
        <v/>
      </c>
      <c r="T186" s="42" t="str">
        <f t="shared" si="104"/>
        <v/>
      </c>
      <c r="U186" s="42" t="str">
        <f t="shared" si="105"/>
        <v/>
      </c>
      <c r="V186" s="41" t="str">
        <f t="shared" si="106"/>
        <v/>
      </c>
      <c r="W186" s="40" t="str" cm="1">
        <f t="array" ref="W186">IF($AI186="","",IF(LEFT($AI186,2)="C|",_xlfn.LET(_xlpm.n,SUMPRODUCT($AP$5:$AP$302*($AO$5:$AO$302=$A186),$BB$5:$BB$302),IF(_xlpm.n=0,"",_xlpm.n)),IF($AI186="CT",W$13,IF(LEFT($AI186,3)="AM|",_xlfn.LET(_xlpm.n,SUMPRODUCT($AP$5:$AP$302*($AN$5:$AN$302=$A186),$BB$5:$BB$302),IF(_xlpm.n=0,"",_xlpm.n)),IF(LEFT($AI186,2)="S|",IF($AG186="","",_xlfn.LET(_xlpm.n,INDEX($BB$5:$BB$302,$AH186),IF(_xlpm.n=0,"",_xlpm.n))),IF($AI186="HDR","Footfall",""))))))</f>
        <v/>
      </c>
      <c r="X186" s="40" t="str" cm="1">
        <f t="array" ref="X186">IF($AI186="","",IF($AI186="HDR","Trans (FF stores)",IF(W186="","",IF(LEFT($AI186,2)="C|",SUMPRODUCT($AP$5:$AP$302*($AO$5:$AO$302=$A186),$BC$5:$BC$302),IF($AI186="CT",X$13,IF(LEFT($AI186,3)="AM|",SUMPRODUCT($AP$5:$AP$302*($AN$5:$AN$302=$A186),$BC$5:$BC$302),IF(LEFT($AI186,2)="S|",INDEX($BC$5:$BC$302,$AH186),"")))))))</f>
        <v/>
      </c>
      <c r="Y186" s="41" t="str">
        <f t="shared" si="110"/>
        <v/>
      </c>
      <c r="Z186" s="40" t="str" cm="1">
        <f t="array" ref="Z186">IF($AI186="","",IF(LEFT($AI186,2)="C|",IF($C186="","",SUMPRODUCT($AP$5:$AP$302*($AO$5:$AO$302=$A186),$CB$5:$CB$302)),IF($AI186="CT",Z$13,IF(LEFT($AI186,3)="AM|",IF($C186="","",SUMPRODUCT($AP$5:$AP$302*($AN$5:$AN$302=$A186),$CB$5:$CB$302)),IF(LEFT($AI186,2)="S|",IF($AG186="","",INDEX($CB$5:$CB$302,$AH186)),IF($AI186="HDR","Makeup Sales",""))))))</f>
        <v/>
      </c>
      <c r="AA186" s="41" t="str">
        <f t="shared" si="107"/>
        <v/>
      </c>
      <c r="AB186" s="40" t="str" cm="1">
        <f t="array" ref="AB186">IF($AI186="","",IF(LEFT($AI186,2)="C|",IF($C186="","",SUMPRODUCT($AP$5:$AP$302*($AO$5:$AO$302=$A186),$CK$5:$CK$302)),IF($AI186="CT",AB$13,IF(LEFT($AI186,3)="AM|",IF($C186="","",SUMPRODUCT($AP$5:$AP$302*($AN$5:$AN$302=$A186),$CK$5:$CK$302)),IF(LEFT($AI186,2)="S|",IF($AG186="","",INDEX($CK$5:$CK$302,$AH186)),IF($AI186="HDR","Makeup Target",""))))))</f>
        <v/>
      </c>
      <c r="AC186" s="41" t="str">
        <f t="shared" si="111"/>
        <v/>
      </c>
      <c r="AD186" s="40" t="str" cm="1">
        <f t="array" ref="AD186">IF($AI186="","",IF(LEFT($AI186,2)="C|",IF($C186="","",SUMPRODUCT($AP$5:$AP$302*($AO$5:$AO$302=$A186),$CI$5:$CI$302)),IF($AI186="CT",AD$13,IF(LEFT($AI186,3)="AM|",IF($C186="","",SUMPRODUCT($AP$5:$AP$302*($AN$5:$AN$302=$A186),$CI$5:$CI$302)),IF(LEFT($AI186,2)="S|",IF($AG186="","",INDEX($CI$5:$CI$302,$AH186)),IF($AI186="HDR","Cosmetic Sales",""))))))</f>
        <v/>
      </c>
      <c r="AE186" s="8" t="str" cm="1">
        <f t="array" ref="AE186">IF($AI186="","",IF(LEFT($AI186,2)="C|",IF($C186="","",SUMPRODUCT($AP$5:$AP$302*($AO$5:$AO$302=$A186)*$AQ$5:$AQ$302,$AR$5:$AR$302)),IF($AI186="CT",AE$13,IF(LEFT($AI186,3)="AM|",IF($C186="","",SUMPRODUCT($AP$5:$AP$302*($AN$5:$AN$302=$A186)*$AQ$5:$AQ$302,$AR$5:$AR$302)),IF(LEFT($AI186,2)="S|",IF($AG186="","",IF(INDEX($AQ$5:$AQ$302,$AH186)=1,D186,0)),IF($AI186="HDR","LFL Sales",""))))))</f>
        <v/>
      </c>
      <c r="AF186" s="8" t="str" cm="1">
        <f t="array" ref="AF186">IF($AI186="","",IF(LEFT($AI186,2)="C|",IF($C186="","",SUMPRODUCT($AP$5:$AP$302*($AO$5:$AO$302=$A186)*$AQ$5:$AQ$302,$AS$5:$AS$302)),IF($AI186="CT",AF$13,IF(LEFT($AI186,3)="AM|",IF($C186="","",SUMPRODUCT($AP$5:$AP$302*($AN$5:$AN$302=$A186)*$AQ$5:$AQ$302,$AS$5:$AS$302)),IF(LEFT($AI186,2)="S|",IF($AG186="","",IF(INDEX($AQ$5:$AQ$302,$AH186)=1,P186,0)),IF($AI186="HDR","LFL Trans",""))))))</f>
        <v/>
      </c>
      <c r="AG186" s="8" t="str" cm="1">
        <f t="array" ref="AG186">IF($AI186="","",IF(LEFT($AI186,2)="C|","",IF($AI186="CT","",IF(LEFT($AI186,3)="AM|","",IF(LEFT($AI186,2)="S|",IF($AH186="","",IF(INDEX($AP$5:$AP$302,$AH186)=1,1,"")),IF($AI186="HDR","Show",""))))))</f>
        <v/>
      </c>
      <c r="AH186" s="8" t="str">
        <f t="shared" si="108"/>
        <v/>
      </c>
      <c r="AI186" s="8"/>
      <c r="AN186" s="8" t="str" cm="1">
        <f t="array" ref="AN186">IF($AW186="","",_xlfn.LET(_xlpm.sa,IFERROR(TRIM(INDEX('Sales and count'!$D$4:$D$300,$BF186)&amp;""),""),_xlpm.ta,IFERROR(TRIM(INDEX('TY Sales Target'!$F$5:$F$300,$BG186)&amp;""),""),IF(AND(_xlpm.sa&lt;&gt;"",LEFT(_xlpm.sa,1)&lt;&gt;"#",_xlpm.sa&lt;&gt;"0"),_xlpm.sa,IF(AND(_xlpm.ta&lt;&gt;"",LEFT(_xlpm.ta,1)&lt;&gt;"#",_xlpm.ta&lt;&gt;"0"),_xlpm.ta,IF(ISNUMBER($BG186),"Unassigned","")))))</f>
        <v/>
      </c>
      <c r="AO186" s="8" t="str" cm="1">
        <f t="array" ref="AO186">IF($AW186="","",_xlfn.LET(_xlpm.sa,IFERROR(TRIM(INDEX('Sales and count'!$C$4:$C$300,$BF186)&amp;""),""),_xlpm.ta,IFERROR(TRIM(INDEX('TY Sales Target'!$D$5:$D$300,$BG186)&amp;""),""),IF(AND(_xlpm.sa&lt;&gt;"",LEFT(_xlpm.sa,1)&lt;&gt;"#",_xlpm.sa&lt;&gt;"0"),_xlpm.sa,IF(AND(_xlpm.ta&lt;&gt;"",LEFT(_xlpm.ta,1)&lt;&gt;"#",_xlpm.ta&lt;&gt;"0"),_xlpm.ta,""))))</f>
        <v/>
      </c>
      <c r="AP186" s="8">
        <f t="shared" si="93"/>
        <v>0</v>
      </c>
      <c r="AQ186" s="8">
        <f t="shared" si="94"/>
        <v>0</v>
      </c>
      <c r="AR186" s="8" cm="1">
        <f t="array" ref="AR186">IF($BF186="",0,_xlfn.LET(_xlpm.d,IFERROR(--'Sales and count'!$G$2:$CC$2,0),SUMPRODUCT(('Sales and count'!$G$3:$CC$3="Total")*(_xlpm.d&gt;=$U$4)*(_xlpm.d&lt;=$U$5),INDEX('Sales and count'!$G$4:$CC$300,$BF186,0))))</f>
        <v>0</v>
      </c>
      <c r="AS186" s="8" cm="1">
        <f t="array" ref="AS186">IF($BF186="",0,_xlfn.LET(_xlpm.d,IFERROR(--'Sales and count'!$F$2:$CB$2,0),SUMPRODUCT(('Sales and count'!$G$3:$CC$3="Transactions")*(_xlpm.d&gt;=$U$4)*(_xlpm.d&lt;=$U$5),INDEX('Sales and count'!$G$4:$CC$300,$BF186,0))))</f>
        <v>0</v>
      </c>
      <c r="AT186" s="8" cm="1">
        <f t="array" ref="AT186">IF($AW186="",0,SUMPRODUCT((TRIM('LY Sales '!$B$5:$B$200)=$AW186)*('LY Sales '!$C$2:$AG$2&gt;=EDATE($U$4,-12))*('LY Sales '!$C$2:$AG$2&lt;=EDATE($U$5,-12)),'LY Sales '!$C$5:$AG$200))</f>
        <v>0</v>
      </c>
      <c r="AU186" s="8" cm="1">
        <f t="array" ref="AU186">IF($AW186="",0,SUMPRODUCT((TRIM('LY Transaction'!$B$5:$B$200)=$AW186)*('LY Transaction'!$C$2:$AG$2&gt;=EDATE($U$4,-12))*('LY Transaction'!$C$2:$AG$2&lt;=EDATE($U$5,-12)),'LY Transaction'!$C$5:$AG$200))</f>
        <v>0</v>
      </c>
      <c r="AV186" s="8" cm="1">
        <f t="array" ref="AV186">IF(NOT(ISNUMBER($BG186)),0,SUMPRODUCT(('TY Sales Target'!$K$2:$AO$2&gt;=$U$4)*('TY Sales Target'!$K$2:$AO$2&lt;=$U$5),INDEX('TY Sales Target'!$K$5:$AO$300,$BG186,0)))</f>
        <v>0</v>
      </c>
      <c r="AW186" s="8" t="str" cm="1">
        <f t="array" ref="AW186">IFERROR(INDEX(_xlfn.ANCHORARRAY($BR$5),ROWS($AW$5:AW186)),"")</f>
        <v/>
      </c>
      <c r="BB186" cm="1">
        <f t="array" ref="BB186">IF($AW186="",0,SUMPRODUCT((TRIM(Footfall!$B$5:$B$301)=$AW186)*(Footfall!$C$1:$BZ$1&gt;=$U$4)*(Footfall!$C$2:$BZ$2&lt;=$U$5)*(Footfall!$C$1:$BZ$1&lt;&gt;""),Footfall!$C$5:$BZ$301))</f>
        <v>0</v>
      </c>
      <c r="BC186" cm="1">
        <f t="array" ref="BC186">IF(OR($BB186&lt;=0,$BD$1="",$BF186=""),0,_xlfn.LET(_xlpm.d,IFERROR(--'Sales and count'!$F$2:$CB$2,0),SUMPRODUCT(('Sales and count'!$G$3:$CC$3="Transactions")*(_xlpm.d&gt;=$BD$1)*(_xlpm.d&lt;=$BD$2),INDEX('Sales and count'!$G$4:$CC$300,$BF186,0))))</f>
        <v>0</v>
      </c>
      <c r="BF186" t="str" cm="1">
        <f t="array" ref="BF186">IF($AW186="","",IFERROR(MATCH($AW186,TRIM('Sales and count'!$A$4:$A$300&amp;""),0),""))</f>
        <v/>
      </c>
      <c r="BG186" t="str" cm="1">
        <f t="array" ref="BG186">IF($AW186="","",IFERROR(MATCH(IFERROR(_xlfn.XLOOKUP($AW186,$BT$5:$BT$22,$BU$5:$BU$22),$AW186),TRIM('TY Sales Target'!$B$5:$B$300&amp;""),0),""))</f>
        <v/>
      </c>
      <c r="BH186" t="str" cm="1">
        <f t="array" ref="BH186">IF(ISNUMBER($BG186),_xlfn.LET(_xlpm.p,TRIM(INDEX('TY Sales Target'!$I$5:$I$300,$BG186)&amp;""),IF(_xlpm.p="","Not set",_xlpm.p)),"Not set")</f>
        <v>Not set</v>
      </c>
      <c r="BI186" cm="1">
        <f t="array" ref="BI186">IF($BF186="",0,_xlfn.LET(_xlpm.d,IFERROR(--'Sales and count'!$G$2:$CC$2,0),SUMPRODUCT(('Sales and count'!$G$3:$CC$3="Total")*(_xlpm.d&gt;=$BZ$5)*(_xlpm.d&lt;=$BZ$6),INDEX('Sales and count'!$G$4:$CC$300,$BF186,0))))</f>
        <v>0</v>
      </c>
      <c r="BJ186" cm="1">
        <f t="array" ref="BJ186">IF($AW186="",0,SUMPRODUCT((TRIM('LY Sales '!$B$5:$B$200)=$AW186)*('LY Sales '!$C$2:$AG$2&gt;=EDATE($BZ$5,-12))*('LY Sales '!$C$2:$AG$2&lt;=EDATE($BZ$6,-12)),'LY Sales '!$C$5:$AG$200))</f>
        <v>0</v>
      </c>
      <c r="BK186" cm="1">
        <f t="array" ref="BK186">IF($AW186="",0,SUMPRODUCT((TRIM('LY Sales '!$B$5:$B$200)=$AW186)*('LY Sales '!$C$2:$AG$2&gt;=EDATE($BZ$5,-12))*('LY Sales '!$C$2:$AG$2&lt;=EDATE($BZ$7,-12)),'LY Sales '!$C$5:$AG$200))</f>
        <v>0</v>
      </c>
      <c r="BL186" cm="1">
        <f t="array" ref="BL186">IF($AW186="",0,SUMPRODUCT((TRIM('LY Sales '!$B$5:$B$200)=$AW186)*('LY Sales '!$C$2:$AG$2&gt;=EDATE($BZ$5,-12))*('LY Sales '!$C$2:$AG$2&lt;=EDATE($BZ$6,-12))*('LY Sales '!$C$5:$AG$200&gt;0)))</f>
        <v>0</v>
      </c>
      <c r="BM186" cm="1">
        <f t="array" ref="BM186">IF(NOT(ISNUMBER($BG186)),0,SUMPRODUCT(('TY Sales Target'!$K$2:$AO$2&gt;=$BZ$5)*('TY Sales Target'!$K$2:$AO$2&lt;=$BZ$6),INDEX('TY Sales Target'!$K$5:$AO$300,$BG186,0)))</f>
        <v>0</v>
      </c>
      <c r="BN186" cm="1">
        <f t="array" ref="BN186">IF(NOT(ISNUMBER($BG186)),0,SUMPRODUCT(('TY Sales Target'!$K$2:$AO$2&gt;=$BZ$5)*('TY Sales Target'!$K$2:$AO$2&lt;=$BZ$7),INDEX('TY Sales Target'!$K$5:$AO$300,$BG186,0)))</f>
        <v>0</v>
      </c>
      <c r="BO186" cm="1">
        <f t="array" ref="BO186">IF($AW186="",0,IFERROR(_xlfn.SWITCH($BP186,"LY trend",$BI186*$BK186/$BJ186,"Target curve",$BI186*$BN186/$BM186,"Run rate",$BI186/$BZ$8*$BZ$9,0),0))</f>
        <v>0</v>
      </c>
      <c r="BP186" t="str">
        <f t="shared" si="92"/>
        <v/>
      </c>
      <c r="CB186" cm="1">
        <f t="array" ref="CB186">IF($AW186="",0,_xlfn.LET(_xlpm.k,IFERROR(_xlfn.XLOOKUP($AW186,$CD$6:$CD$21,$CE$6:$CE$21),$AW186),SUMPRODUCT((TRIM('Makeup '!$A$2:$A$300&amp;"")=_xlpm.k)*1,IFERROR('Makeup '!$F$2:$F$300*1,0))))</f>
        <v>0</v>
      </c>
      <c r="CF186" t="str" cm="1">
        <f t="array" ref="CF186">IF($AW186="","",_xlfn.LET(_xlpm.c,IFERROR(TRIM(INDEX('Sales and count'!$B$4:$B$300,$BF186)&amp;""),""),IF(OR(_xlpm.c="",_xlpm.c="0",LEFT(_xlpm.c,1)="#"),"Not set",_xlpm.c)))</f>
        <v/>
      </c>
      <c r="CH186" cm="1">
        <f t="array" ref="CH186">IF($AW186="",0,_xlfn.LET(_xlpm.k,IFERROR(_xlfn.XLOOKUP($AW186,$CD$6:$CD$21,$CE$6:$CE$21),$AW186),--(SUMPRODUCT((TRIM('Makeup '!$A$2:$A$300&amp;"")=_xlpm.k)*ISNUMBER('Makeup '!$F$2:$F$300))&gt;0)))</f>
        <v>0</v>
      </c>
      <c r="CI186">
        <f t="shared" si="95"/>
        <v>0</v>
      </c>
      <c r="CJ186" cm="1">
        <f t="array" ref="CJ186">IF($AW186="",0,--(SUMPRODUCT(--(TRIM(Footfall!$B$5:$B$301)=$AW186))&gt;0))</f>
        <v>0</v>
      </c>
      <c r="CK186" s="8" cm="1">
        <f t="array" ref="CK186">IF($AW186="",0,_xlfn.LET(_xlpm.r,IFERROR(MATCH(IFERROR(_xlfn.XLOOKUP($AW186,$BT$5:$BT$22,$BU$5:$BU$22),$AW186),TRIM('TY Beauty Target'!$B$5:$B$300&amp;""),0),""),IF(ISNUMBER(_xlpm.r),SUMPRODUCT(('TY Beauty Target'!$L$2:$AP$2&gt;=$U$4)*('TY Beauty Target'!$L$2:$AP$2&lt;=$U$5),INDEX('TY Beauty Target'!$L$5:$AP$300,_xlpm.r,0)),0)))</f>
        <v>0</v>
      </c>
    </row>
    <row r="187" spans="1:89" ht="15" customHeight="1" x14ac:dyDescent="0.25">
      <c r="A187" s="38" t="str">
        <f t="shared" si="96"/>
        <v/>
      </c>
      <c r="B187" s="43" t="str" cm="1">
        <f t="array" ref="B187">IF($AI187="","",IF(LEFT($AI187,2)="C|",IF($C187="","",_xlfn.TEXTJOIN(", ",TRUE,_xlfn.UNIQUE(_xlfn._xlws.FILTER($AN$5:$AN$302,($AP$5:$AP$302=1)*($AO$5:$AO$302=$A187))))),IF($AI187="CT",B$13,IF(LEFT($AI187,3)="AM|",IF($C187="","",ROWS(_xlfn.UNIQUE(_xlfn._xlws.FILTER($AO$5:$AO$302,($AP$5:$AP$302=1)*($AN$5:$AN$302=$A187))))),IF(LEFT($AI187,2)="S|",IF($AG187="","",INDEX($AO$5:$AO$302,$AH187)),IF($AI187="HDR","City",""))))))</f>
        <v/>
      </c>
      <c r="C187" s="39" t="str" cm="1">
        <f t="array" ref="C187">IF($AI187="","",IF(LEFT($AI187,2)="C|",_xlfn.LET(_xlpm.n,SUMPRODUCT($AP$5:$AP$302*($AO$5:$AO$302=$A187)),IF(_xlpm.n=0,"",_xlpm.n)),IF($AI187="CT",C$13,IF(LEFT($AI187,3)="AM|",_xlfn.LET(_xlpm.n,SUMPRODUCT($AP$5:$AP$302*($AN$5:$AN$302=$A187)),IF(_xlpm.n=0,"",_xlpm.n)),IF(LEFT($AI187,2)="S|","",IF($AI187="HDR","# Stores",""))))))</f>
        <v/>
      </c>
      <c r="D187" s="40" t="str" cm="1">
        <f t="array" ref="D187">IF($AI187="","",IF(LEFT($AI187,2)="C|",IF($C187="","",SUMPRODUCT($AP$5:$AP$302*($AO$5:$AO$302=$A187),$AR$5:$AR$302)),IF($AI187="CT",D$13,IF(LEFT($AI187,3)="AM|",IF($C187="","",SUMPRODUCT($AP$5:$AP$302*($AN$5:$AN$302=$A187),$AR$5:$AR$302)),IF(LEFT($AI187,2)="S|",IF($AG187="","",INDEX($AR$5:$AR$302,$AH187)),IF($AI187="HDR","Sales TY",""))))))</f>
        <v/>
      </c>
      <c r="E187" s="40" t="str" cm="1">
        <f t="array" ref="E187">IF($AI187="","",IF(LEFT($AI187,2)="C|",IF($C187="","",SUMPRODUCT($AP$5:$AP$302*($AO$5:$AO$302=$A187),$AT$5:$AT$302)),IF($AI187="CT",E$13,IF(LEFT($AI187,3)="AM|",IF($C187="","",SUMPRODUCT($AP$5:$AP$302*($AN$5:$AN$302=$A187),$AT$5:$AT$302)),IF(LEFT($AI187,2)="S|",IF($AG187="","",INDEX($AT$5:$AT$302,$AH187)),IF($AI187="HDR","Sales LY",""))))))</f>
        <v/>
      </c>
      <c r="F187" s="41" t="str">
        <f t="shared" si="97"/>
        <v/>
      </c>
      <c r="G187" s="41" t="str">
        <f t="shared" si="98"/>
        <v/>
      </c>
      <c r="H187" s="40" t="str" cm="1">
        <f t="array" ref="H187">IF($AI187="","",IF(LEFT($AI187,2)="C|",IF($C187="","",SUMPRODUCT($AP$5:$AP$302*($AO$5:$AO$302=$A187),$AV$5:$AV$302)),IF($AI187="CT",H$13,IF(LEFT($AI187,3)="AM|",IF($C187="","",SUMPRODUCT($AP$5:$AP$302*($AN$5:$AN$302=$A187),$AV$5:$AV$302)),IF(LEFT($AI187,2)="S|",IF($AG187="","",INDEX($AV$5:$AV$302,$AH187)),IF($AI187="HDR","Target",""))))))</f>
        <v/>
      </c>
      <c r="I187" s="41" t="str">
        <f t="shared" si="99"/>
        <v/>
      </c>
      <c r="J187" s="40" t="str">
        <f t="shared" si="100"/>
        <v/>
      </c>
      <c r="K187" s="41" t="str">
        <f t="shared" si="101"/>
        <v/>
      </c>
      <c r="L187" s="40" t="str" cm="1">
        <f t="array" ref="L187">IF($AI187="","",IF(LEFT($AI187,2)="C|",IF($C187="","",SUMPRODUCT($AP$5:$AP$302*($AO$5:$AO$302=$A187),$BN$5:$BN$302)),IF($AI187="CT",L$13,IF(LEFT($AI187,3)="AM|",IF($C187="","",SUMPRODUCT($AP$5:$AP$302*($AN$5:$AN$302=$A187),$BN$5:$BN$302)),IF(LEFT($AI187,2)="S|",IF($AG187="","",INDEX($BN$5:$BN$302,$AH187)),IF($AI187="HDR","Month Target",""))))))</f>
        <v/>
      </c>
      <c r="M187" s="40" t="str" cm="1">
        <f t="array" ref="M187">IF($AI187="","",IF(LEFT($AI187,2)="C|",IF($C187="","",SUMPRODUCT($AP$5:$AP$302*($AO$5:$AO$302=$A187),$BO$5:$BO$302)),IF($AI187="CT",M$13,IF(LEFT($AI187,3)="AM|",IF($C187="","",SUMPRODUCT($AP$5:$AP$302*($AN$5:$AN$302=$A187),$BO$5:$BO$302)),IF(LEFT($AI187,2)="S|",IF($AG187="","",INDEX($BO$5:$BO$302,$AH187)),IF($AI187="HDR","Projected Close",""))))))</f>
        <v/>
      </c>
      <c r="N187" s="41" t="str">
        <f t="shared" si="109"/>
        <v/>
      </c>
      <c r="O187" s="41" t="str" cm="1">
        <f t="array" ref="O187">IF($AI187="HDR","Proj. vs LY",IF(OR($AI187="",M187=""),"",_xlfn.LET(_xlpm.ly,IF(LEFT($AI187,2)="C|",SUMPRODUCT($AP$5:$AP$302*($AO$5:$AO$302=$A187),$BK$5:$BK$302),IF($AI187="CT",SUMPRODUCT($AP$5:$AP$302,$BK$5:$BK$302),IF(LEFT($AI187,3)="AM|",SUMPRODUCT($AP$5:$AP$302*($AN$5:$AN$302=$A187),$BK$5:$BK$302),IF(LEFT($AI187,2)="S|",INDEX($BK$5:$BK$302,$AH187),0)))),IFERROR(M187/_xlpm.ly-1,""))))</f>
        <v/>
      </c>
      <c r="P187" s="40" t="str" cm="1">
        <f t="array" ref="P187">IF($AI187="","",IF(LEFT($AI187,2)="C|",IF($C187="","",SUMPRODUCT($AP$5:$AP$302*($AO$5:$AO$302=$A187),$AS$5:$AS$302)),IF($AI187="CT",P$13,IF(LEFT($AI187,3)="AM|",IF($C187="","",SUMPRODUCT($AP$5:$AP$302*($AN$5:$AN$302=$A187),$AS$5:$AS$302)),IF(LEFT($AI187,2)="S|",IF($AG187="","",INDEX($AS$5:$AS$302,$AH187)),IF($AI187="HDR","Trans TY",""))))))</f>
        <v/>
      </c>
      <c r="Q187" s="40" t="str" cm="1">
        <f t="array" ref="Q187">IF($AI187="","",IF(LEFT($AI187,2)="C|",IF($C187="","",SUMPRODUCT($AP$5:$AP$302*($AO$5:$AO$302=$A187),$AU$5:$AU$302)),IF($AI187="CT",Q$13,IF(LEFT($AI187,3)="AM|",IF($C187="","",SUMPRODUCT($AP$5:$AP$302*($AN$5:$AN$302=$A187),$AU$5:$AU$302)),IF(LEFT($AI187,2)="S|",IF($AG187="","",INDEX($AU$5:$AU$302,$AH187)),IF($AI187="HDR","Trans LY",""))))))</f>
        <v/>
      </c>
      <c r="R187" s="41" t="str">
        <f t="shared" si="102"/>
        <v/>
      </c>
      <c r="S187" s="41" t="str">
        <f t="shared" si="103"/>
        <v/>
      </c>
      <c r="T187" s="42" t="str">
        <f t="shared" si="104"/>
        <v/>
      </c>
      <c r="U187" s="42" t="str">
        <f t="shared" si="105"/>
        <v/>
      </c>
      <c r="V187" s="41" t="str">
        <f t="shared" si="106"/>
        <v/>
      </c>
      <c r="W187" s="40" t="str" cm="1">
        <f t="array" ref="W187">IF($AI187="","",IF(LEFT($AI187,2)="C|",_xlfn.LET(_xlpm.n,SUMPRODUCT($AP$5:$AP$302*($AO$5:$AO$302=$A187),$BB$5:$BB$302),IF(_xlpm.n=0,"",_xlpm.n)),IF($AI187="CT",W$13,IF(LEFT($AI187,3)="AM|",_xlfn.LET(_xlpm.n,SUMPRODUCT($AP$5:$AP$302*($AN$5:$AN$302=$A187),$BB$5:$BB$302),IF(_xlpm.n=0,"",_xlpm.n)),IF(LEFT($AI187,2)="S|",IF($AG187="","",_xlfn.LET(_xlpm.n,INDEX($BB$5:$BB$302,$AH187),IF(_xlpm.n=0,"",_xlpm.n))),IF($AI187="HDR","Footfall",""))))))</f>
        <v/>
      </c>
      <c r="X187" s="40" t="str" cm="1">
        <f t="array" ref="X187">IF($AI187="","",IF($AI187="HDR","Trans (FF stores)",IF(W187="","",IF(LEFT($AI187,2)="C|",SUMPRODUCT($AP$5:$AP$302*($AO$5:$AO$302=$A187),$BC$5:$BC$302),IF($AI187="CT",X$13,IF(LEFT($AI187,3)="AM|",SUMPRODUCT($AP$5:$AP$302*($AN$5:$AN$302=$A187),$BC$5:$BC$302),IF(LEFT($AI187,2)="S|",INDEX($BC$5:$BC$302,$AH187),"")))))))</f>
        <v/>
      </c>
      <c r="Y187" s="41" t="str">
        <f t="shared" si="110"/>
        <v/>
      </c>
      <c r="Z187" s="40" t="str" cm="1">
        <f t="array" ref="Z187">IF($AI187="","",IF(LEFT($AI187,2)="C|",IF($C187="","",SUMPRODUCT($AP$5:$AP$302*($AO$5:$AO$302=$A187),$CB$5:$CB$302)),IF($AI187="CT",Z$13,IF(LEFT($AI187,3)="AM|",IF($C187="","",SUMPRODUCT($AP$5:$AP$302*($AN$5:$AN$302=$A187),$CB$5:$CB$302)),IF(LEFT($AI187,2)="S|",IF($AG187="","",INDEX($CB$5:$CB$302,$AH187)),IF($AI187="HDR","Makeup Sales",""))))))</f>
        <v/>
      </c>
      <c r="AA187" s="41" t="str">
        <f t="shared" si="107"/>
        <v/>
      </c>
      <c r="AB187" s="40" t="str" cm="1">
        <f t="array" ref="AB187">IF($AI187="","",IF(LEFT($AI187,2)="C|",IF($C187="","",SUMPRODUCT($AP$5:$AP$302*($AO$5:$AO$302=$A187),$CK$5:$CK$302)),IF($AI187="CT",AB$13,IF(LEFT($AI187,3)="AM|",IF($C187="","",SUMPRODUCT($AP$5:$AP$302*($AN$5:$AN$302=$A187),$CK$5:$CK$302)),IF(LEFT($AI187,2)="S|",IF($AG187="","",INDEX($CK$5:$CK$302,$AH187)),IF($AI187="HDR","Makeup Target",""))))))</f>
        <v/>
      </c>
      <c r="AC187" s="41" t="str">
        <f t="shared" si="111"/>
        <v/>
      </c>
      <c r="AD187" s="40" t="str" cm="1">
        <f t="array" ref="AD187">IF($AI187="","",IF(LEFT($AI187,2)="C|",IF($C187="","",SUMPRODUCT($AP$5:$AP$302*($AO$5:$AO$302=$A187),$CI$5:$CI$302)),IF($AI187="CT",AD$13,IF(LEFT($AI187,3)="AM|",IF($C187="","",SUMPRODUCT($AP$5:$AP$302*($AN$5:$AN$302=$A187),$CI$5:$CI$302)),IF(LEFT($AI187,2)="S|",IF($AG187="","",INDEX($CI$5:$CI$302,$AH187)),IF($AI187="HDR","Cosmetic Sales",""))))))</f>
        <v/>
      </c>
      <c r="AE187" s="8" t="str" cm="1">
        <f t="array" ref="AE187">IF($AI187="","",IF(LEFT($AI187,2)="C|",IF($C187="","",SUMPRODUCT($AP$5:$AP$302*($AO$5:$AO$302=$A187)*$AQ$5:$AQ$302,$AR$5:$AR$302)),IF($AI187="CT",AE$13,IF(LEFT($AI187,3)="AM|",IF($C187="","",SUMPRODUCT($AP$5:$AP$302*($AN$5:$AN$302=$A187)*$AQ$5:$AQ$302,$AR$5:$AR$302)),IF(LEFT($AI187,2)="S|",IF($AG187="","",IF(INDEX($AQ$5:$AQ$302,$AH187)=1,D187,0)),IF($AI187="HDR","LFL Sales",""))))))</f>
        <v/>
      </c>
      <c r="AF187" s="8" t="str" cm="1">
        <f t="array" ref="AF187">IF($AI187="","",IF(LEFT($AI187,2)="C|",IF($C187="","",SUMPRODUCT($AP$5:$AP$302*($AO$5:$AO$302=$A187)*$AQ$5:$AQ$302,$AS$5:$AS$302)),IF($AI187="CT",AF$13,IF(LEFT($AI187,3)="AM|",IF($C187="","",SUMPRODUCT($AP$5:$AP$302*($AN$5:$AN$302=$A187)*$AQ$5:$AQ$302,$AS$5:$AS$302)),IF(LEFT($AI187,2)="S|",IF($AG187="","",IF(INDEX($AQ$5:$AQ$302,$AH187)=1,P187,0)),IF($AI187="HDR","LFL Trans",""))))))</f>
        <v/>
      </c>
      <c r="AG187" s="8" t="str" cm="1">
        <f t="array" ref="AG187">IF($AI187="","",IF(LEFT($AI187,2)="C|","",IF($AI187="CT","",IF(LEFT($AI187,3)="AM|","",IF(LEFT($AI187,2)="S|",IF($AH187="","",IF(INDEX($AP$5:$AP$302,$AH187)=1,1,"")),IF($AI187="HDR","Show",""))))))</f>
        <v/>
      </c>
      <c r="AH187" s="8" t="str">
        <f t="shared" si="108"/>
        <v/>
      </c>
      <c r="AI187" s="8"/>
      <c r="AN187" s="8" t="str" cm="1">
        <f t="array" ref="AN187">IF($AW187="","",_xlfn.LET(_xlpm.sa,IFERROR(TRIM(INDEX('Sales and count'!$D$4:$D$300,$BF187)&amp;""),""),_xlpm.ta,IFERROR(TRIM(INDEX('TY Sales Target'!$F$5:$F$300,$BG187)&amp;""),""),IF(AND(_xlpm.sa&lt;&gt;"",LEFT(_xlpm.sa,1)&lt;&gt;"#",_xlpm.sa&lt;&gt;"0"),_xlpm.sa,IF(AND(_xlpm.ta&lt;&gt;"",LEFT(_xlpm.ta,1)&lt;&gt;"#",_xlpm.ta&lt;&gt;"0"),_xlpm.ta,IF(ISNUMBER($BG187),"Unassigned","")))))</f>
        <v/>
      </c>
      <c r="AO187" s="8" t="str" cm="1">
        <f t="array" ref="AO187">IF($AW187="","",_xlfn.LET(_xlpm.sa,IFERROR(TRIM(INDEX('Sales and count'!$C$4:$C$300,$BF187)&amp;""),""),_xlpm.ta,IFERROR(TRIM(INDEX('TY Sales Target'!$D$5:$D$300,$BG187)&amp;""),""),IF(AND(_xlpm.sa&lt;&gt;"",LEFT(_xlpm.sa,1)&lt;&gt;"#",_xlpm.sa&lt;&gt;"0"),_xlpm.sa,IF(AND(_xlpm.ta&lt;&gt;"",LEFT(_xlpm.ta,1)&lt;&gt;"#",_xlpm.ta&lt;&gt;"0"),_xlpm.ta,""))))</f>
        <v/>
      </c>
      <c r="AP187" s="8">
        <f t="shared" si="93"/>
        <v>0</v>
      </c>
      <c r="AQ187" s="8">
        <f t="shared" si="94"/>
        <v>0</v>
      </c>
      <c r="AR187" s="8" cm="1">
        <f t="array" ref="AR187">IF($BF187="",0,_xlfn.LET(_xlpm.d,IFERROR(--'Sales and count'!$G$2:$CC$2,0),SUMPRODUCT(('Sales and count'!$G$3:$CC$3="Total")*(_xlpm.d&gt;=$U$4)*(_xlpm.d&lt;=$U$5),INDEX('Sales and count'!$G$4:$CC$300,$BF187,0))))</f>
        <v>0</v>
      </c>
      <c r="AS187" s="8" cm="1">
        <f t="array" ref="AS187">IF($BF187="",0,_xlfn.LET(_xlpm.d,IFERROR(--'Sales and count'!$F$2:$CB$2,0),SUMPRODUCT(('Sales and count'!$G$3:$CC$3="Transactions")*(_xlpm.d&gt;=$U$4)*(_xlpm.d&lt;=$U$5),INDEX('Sales and count'!$G$4:$CC$300,$BF187,0))))</f>
        <v>0</v>
      </c>
      <c r="AT187" s="8" cm="1">
        <f t="array" ref="AT187">IF($AW187="",0,SUMPRODUCT((TRIM('LY Sales '!$B$5:$B$200)=$AW187)*('LY Sales '!$C$2:$AG$2&gt;=EDATE($U$4,-12))*('LY Sales '!$C$2:$AG$2&lt;=EDATE($U$5,-12)),'LY Sales '!$C$5:$AG$200))</f>
        <v>0</v>
      </c>
      <c r="AU187" s="8" cm="1">
        <f t="array" ref="AU187">IF($AW187="",0,SUMPRODUCT((TRIM('LY Transaction'!$B$5:$B$200)=$AW187)*('LY Transaction'!$C$2:$AG$2&gt;=EDATE($U$4,-12))*('LY Transaction'!$C$2:$AG$2&lt;=EDATE($U$5,-12)),'LY Transaction'!$C$5:$AG$200))</f>
        <v>0</v>
      </c>
      <c r="AV187" s="8" cm="1">
        <f t="array" ref="AV187">IF(NOT(ISNUMBER($BG187)),0,SUMPRODUCT(('TY Sales Target'!$K$2:$AO$2&gt;=$U$4)*('TY Sales Target'!$K$2:$AO$2&lt;=$U$5),INDEX('TY Sales Target'!$K$5:$AO$300,$BG187,0)))</f>
        <v>0</v>
      </c>
      <c r="AW187" s="8" t="str" cm="1">
        <f t="array" ref="AW187">IFERROR(INDEX(_xlfn.ANCHORARRAY($BR$5),ROWS($AW$5:AW187)),"")</f>
        <v/>
      </c>
      <c r="BB187" cm="1">
        <f t="array" ref="BB187">IF($AW187="",0,SUMPRODUCT((TRIM(Footfall!$B$5:$B$301)=$AW187)*(Footfall!$C$1:$BZ$1&gt;=$U$4)*(Footfall!$C$2:$BZ$2&lt;=$U$5)*(Footfall!$C$1:$BZ$1&lt;&gt;""),Footfall!$C$5:$BZ$301))</f>
        <v>0</v>
      </c>
      <c r="BC187" cm="1">
        <f t="array" ref="BC187">IF(OR($BB187&lt;=0,$BD$1="",$BF187=""),0,_xlfn.LET(_xlpm.d,IFERROR(--'Sales and count'!$F$2:$CB$2,0),SUMPRODUCT(('Sales and count'!$G$3:$CC$3="Transactions")*(_xlpm.d&gt;=$BD$1)*(_xlpm.d&lt;=$BD$2),INDEX('Sales and count'!$G$4:$CC$300,$BF187,0))))</f>
        <v>0</v>
      </c>
      <c r="BF187" t="str" cm="1">
        <f t="array" ref="BF187">IF($AW187="","",IFERROR(MATCH($AW187,TRIM('Sales and count'!$A$4:$A$300&amp;""),0),""))</f>
        <v/>
      </c>
      <c r="BG187" t="str" cm="1">
        <f t="array" ref="BG187">IF($AW187="","",IFERROR(MATCH(IFERROR(_xlfn.XLOOKUP($AW187,$BT$5:$BT$22,$BU$5:$BU$22),$AW187),TRIM('TY Sales Target'!$B$5:$B$300&amp;""),0),""))</f>
        <v/>
      </c>
      <c r="BH187" t="str" cm="1">
        <f t="array" ref="BH187">IF(ISNUMBER($BG187),_xlfn.LET(_xlpm.p,TRIM(INDEX('TY Sales Target'!$I$5:$I$300,$BG187)&amp;""),IF(_xlpm.p="","Not set",_xlpm.p)),"Not set")</f>
        <v>Not set</v>
      </c>
      <c r="BI187" cm="1">
        <f t="array" ref="BI187">IF($BF187="",0,_xlfn.LET(_xlpm.d,IFERROR(--'Sales and count'!$G$2:$CC$2,0),SUMPRODUCT(('Sales and count'!$G$3:$CC$3="Total")*(_xlpm.d&gt;=$BZ$5)*(_xlpm.d&lt;=$BZ$6),INDEX('Sales and count'!$G$4:$CC$300,$BF187,0))))</f>
        <v>0</v>
      </c>
      <c r="BJ187" cm="1">
        <f t="array" ref="BJ187">IF($AW187="",0,SUMPRODUCT((TRIM('LY Sales '!$B$5:$B$200)=$AW187)*('LY Sales '!$C$2:$AG$2&gt;=EDATE($BZ$5,-12))*('LY Sales '!$C$2:$AG$2&lt;=EDATE($BZ$6,-12)),'LY Sales '!$C$5:$AG$200))</f>
        <v>0</v>
      </c>
      <c r="BK187" cm="1">
        <f t="array" ref="BK187">IF($AW187="",0,SUMPRODUCT((TRIM('LY Sales '!$B$5:$B$200)=$AW187)*('LY Sales '!$C$2:$AG$2&gt;=EDATE($BZ$5,-12))*('LY Sales '!$C$2:$AG$2&lt;=EDATE($BZ$7,-12)),'LY Sales '!$C$5:$AG$200))</f>
        <v>0</v>
      </c>
      <c r="BL187" cm="1">
        <f t="array" ref="BL187">IF($AW187="",0,SUMPRODUCT((TRIM('LY Sales '!$B$5:$B$200)=$AW187)*('LY Sales '!$C$2:$AG$2&gt;=EDATE($BZ$5,-12))*('LY Sales '!$C$2:$AG$2&lt;=EDATE($BZ$6,-12))*('LY Sales '!$C$5:$AG$200&gt;0)))</f>
        <v>0</v>
      </c>
      <c r="BM187" cm="1">
        <f t="array" ref="BM187">IF(NOT(ISNUMBER($BG187)),0,SUMPRODUCT(('TY Sales Target'!$K$2:$AO$2&gt;=$BZ$5)*('TY Sales Target'!$K$2:$AO$2&lt;=$BZ$6),INDEX('TY Sales Target'!$K$5:$AO$300,$BG187,0)))</f>
        <v>0</v>
      </c>
      <c r="BN187" cm="1">
        <f t="array" ref="BN187">IF(NOT(ISNUMBER($BG187)),0,SUMPRODUCT(('TY Sales Target'!$K$2:$AO$2&gt;=$BZ$5)*('TY Sales Target'!$K$2:$AO$2&lt;=$BZ$7),INDEX('TY Sales Target'!$K$5:$AO$300,$BG187,0)))</f>
        <v>0</v>
      </c>
      <c r="BO187" cm="1">
        <f t="array" ref="BO187">IF($AW187="",0,IFERROR(_xlfn.SWITCH($BP187,"LY trend",$BI187*$BK187/$BJ187,"Target curve",$BI187*$BN187/$BM187,"Run rate",$BI187/$BZ$8*$BZ$9,0),0))</f>
        <v>0</v>
      </c>
      <c r="BP187" t="str">
        <f t="shared" si="92"/>
        <v/>
      </c>
      <c r="CB187" cm="1">
        <f t="array" ref="CB187">IF($AW187="",0,_xlfn.LET(_xlpm.k,IFERROR(_xlfn.XLOOKUP($AW187,$CD$6:$CD$21,$CE$6:$CE$21),$AW187),SUMPRODUCT((TRIM('Makeup '!$A$2:$A$300&amp;"")=_xlpm.k)*1,IFERROR('Makeup '!$F$2:$F$300*1,0))))</f>
        <v>0</v>
      </c>
      <c r="CF187" t="str" cm="1">
        <f t="array" ref="CF187">IF($AW187="","",_xlfn.LET(_xlpm.c,IFERROR(TRIM(INDEX('Sales and count'!$B$4:$B$300,$BF187)&amp;""),""),IF(OR(_xlpm.c="",_xlpm.c="0",LEFT(_xlpm.c,1)="#"),"Not set",_xlpm.c)))</f>
        <v/>
      </c>
      <c r="CH187" cm="1">
        <f t="array" ref="CH187">IF($AW187="",0,_xlfn.LET(_xlpm.k,IFERROR(_xlfn.XLOOKUP($AW187,$CD$6:$CD$21,$CE$6:$CE$21),$AW187),--(SUMPRODUCT((TRIM('Makeup '!$A$2:$A$300&amp;"")=_xlpm.k)*ISNUMBER('Makeup '!$F$2:$F$300))&gt;0)))</f>
        <v>0</v>
      </c>
      <c r="CI187">
        <f t="shared" si="95"/>
        <v>0</v>
      </c>
      <c r="CJ187" cm="1">
        <f t="array" ref="CJ187">IF($AW187="",0,--(SUMPRODUCT(--(TRIM(Footfall!$B$5:$B$301)=$AW187))&gt;0))</f>
        <v>0</v>
      </c>
      <c r="CK187" s="8" cm="1">
        <f t="array" ref="CK187">IF($AW187="",0,_xlfn.LET(_xlpm.r,IFERROR(MATCH(IFERROR(_xlfn.XLOOKUP($AW187,$BT$5:$BT$22,$BU$5:$BU$22),$AW187),TRIM('TY Beauty Target'!$B$5:$B$300&amp;""),0),""),IF(ISNUMBER(_xlpm.r),SUMPRODUCT(('TY Beauty Target'!$L$2:$AP$2&gt;=$U$4)*('TY Beauty Target'!$L$2:$AP$2&lt;=$U$5),INDEX('TY Beauty Target'!$L$5:$AP$300,_xlpm.r,0)),0)))</f>
        <v>0</v>
      </c>
    </row>
    <row r="188" spans="1:89" ht="15" customHeight="1" x14ac:dyDescent="0.25">
      <c r="A188" s="38" t="str">
        <f t="shared" si="96"/>
        <v/>
      </c>
      <c r="B188" s="43" t="str" cm="1">
        <f t="array" ref="B188">IF($AI188="","",IF(LEFT($AI188,2)="C|",IF($C188="","",_xlfn.TEXTJOIN(", ",TRUE,_xlfn.UNIQUE(_xlfn._xlws.FILTER($AN$5:$AN$302,($AP$5:$AP$302=1)*($AO$5:$AO$302=$A188))))),IF($AI188="CT",B$13,IF(LEFT($AI188,3)="AM|",IF($C188="","",ROWS(_xlfn.UNIQUE(_xlfn._xlws.FILTER($AO$5:$AO$302,($AP$5:$AP$302=1)*($AN$5:$AN$302=$A188))))),IF(LEFT($AI188,2)="S|",IF($AG188="","",INDEX($AO$5:$AO$302,$AH188)),IF($AI188="HDR","City",""))))))</f>
        <v/>
      </c>
      <c r="C188" s="39" t="str" cm="1">
        <f t="array" ref="C188">IF($AI188="","",IF(LEFT($AI188,2)="C|",_xlfn.LET(_xlpm.n,SUMPRODUCT($AP$5:$AP$302*($AO$5:$AO$302=$A188)),IF(_xlpm.n=0,"",_xlpm.n)),IF($AI188="CT",C$13,IF(LEFT($AI188,3)="AM|",_xlfn.LET(_xlpm.n,SUMPRODUCT($AP$5:$AP$302*($AN$5:$AN$302=$A188)),IF(_xlpm.n=0,"",_xlpm.n)),IF(LEFT($AI188,2)="S|","",IF($AI188="HDR","# Stores",""))))))</f>
        <v/>
      </c>
      <c r="D188" s="40" t="str" cm="1">
        <f t="array" ref="D188">IF($AI188="","",IF(LEFT($AI188,2)="C|",IF($C188="","",SUMPRODUCT($AP$5:$AP$302*($AO$5:$AO$302=$A188),$AR$5:$AR$302)),IF($AI188="CT",D$13,IF(LEFT($AI188,3)="AM|",IF($C188="","",SUMPRODUCT($AP$5:$AP$302*($AN$5:$AN$302=$A188),$AR$5:$AR$302)),IF(LEFT($AI188,2)="S|",IF($AG188="","",INDEX($AR$5:$AR$302,$AH188)),IF($AI188="HDR","Sales TY",""))))))</f>
        <v/>
      </c>
      <c r="E188" s="40" t="str" cm="1">
        <f t="array" ref="E188">IF($AI188="","",IF(LEFT($AI188,2)="C|",IF($C188="","",SUMPRODUCT($AP$5:$AP$302*($AO$5:$AO$302=$A188),$AT$5:$AT$302)),IF($AI188="CT",E$13,IF(LEFT($AI188,3)="AM|",IF($C188="","",SUMPRODUCT($AP$5:$AP$302*($AN$5:$AN$302=$A188),$AT$5:$AT$302)),IF(LEFT($AI188,2)="S|",IF($AG188="","",INDEX($AT$5:$AT$302,$AH188)),IF($AI188="HDR","Sales LY",""))))))</f>
        <v/>
      </c>
      <c r="F188" s="41" t="str">
        <f t="shared" si="97"/>
        <v/>
      </c>
      <c r="G188" s="41" t="str">
        <f t="shared" si="98"/>
        <v/>
      </c>
      <c r="H188" s="40" t="str" cm="1">
        <f t="array" ref="H188">IF($AI188="","",IF(LEFT($AI188,2)="C|",IF($C188="","",SUMPRODUCT($AP$5:$AP$302*($AO$5:$AO$302=$A188),$AV$5:$AV$302)),IF($AI188="CT",H$13,IF(LEFT($AI188,3)="AM|",IF($C188="","",SUMPRODUCT($AP$5:$AP$302*($AN$5:$AN$302=$A188),$AV$5:$AV$302)),IF(LEFT($AI188,2)="S|",IF($AG188="","",INDEX($AV$5:$AV$302,$AH188)),IF($AI188="HDR","Target",""))))))</f>
        <v/>
      </c>
      <c r="I188" s="41" t="str">
        <f t="shared" si="99"/>
        <v/>
      </c>
      <c r="J188" s="40" t="str">
        <f t="shared" si="100"/>
        <v/>
      </c>
      <c r="K188" s="41" t="str">
        <f t="shared" si="101"/>
        <v/>
      </c>
      <c r="L188" s="40" t="str" cm="1">
        <f t="array" ref="L188">IF($AI188="","",IF(LEFT($AI188,2)="C|",IF($C188="","",SUMPRODUCT($AP$5:$AP$302*($AO$5:$AO$302=$A188),$BN$5:$BN$302)),IF($AI188="CT",L$13,IF(LEFT($AI188,3)="AM|",IF($C188="","",SUMPRODUCT($AP$5:$AP$302*($AN$5:$AN$302=$A188),$BN$5:$BN$302)),IF(LEFT($AI188,2)="S|",IF($AG188="","",INDEX($BN$5:$BN$302,$AH188)),IF($AI188="HDR","Month Target",""))))))</f>
        <v/>
      </c>
      <c r="M188" s="40" t="str" cm="1">
        <f t="array" ref="M188">IF($AI188="","",IF(LEFT($AI188,2)="C|",IF($C188="","",SUMPRODUCT($AP$5:$AP$302*($AO$5:$AO$302=$A188),$BO$5:$BO$302)),IF($AI188="CT",M$13,IF(LEFT($AI188,3)="AM|",IF($C188="","",SUMPRODUCT($AP$5:$AP$302*($AN$5:$AN$302=$A188),$BO$5:$BO$302)),IF(LEFT($AI188,2)="S|",IF($AG188="","",INDEX($BO$5:$BO$302,$AH188)),IF($AI188="HDR","Projected Close",""))))))</f>
        <v/>
      </c>
      <c r="N188" s="41" t="str">
        <f t="shared" si="109"/>
        <v/>
      </c>
      <c r="O188" s="41" t="str" cm="1">
        <f t="array" ref="O188">IF($AI188="HDR","Proj. vs LY",IF(OR($AI188="",M188=""),"",_xlfn.LET(_xlpm.ly,IF(LEFT($AI188,2)="C|",SUMPRODUCT($AP$5:$AP$302*($AO$5:$AO$302=$A188),$BK$5:$BK$302),IF($AI188="CT",SUMPRODUCT($AP$5:$AP$302,$BK$5:$BK$302),IF(LEFT($AI188,3)="AM|",SUMPRODUCT($AP$5:$AP$302*($AN$5:$AN$302=$A188),$BK$5:$BK$302),IF(LEFT($AI188,2)="S|",INDEX($BK$5:$BK$302,$AH188),0)))),IFERROR(M188/_xlpm.ly-1,""))))</f>
        <v/>
      </c>
      <c r="P188" s="40" t="str" cm="1">
        <f t="array" ref="P188">IF($AI188="","",IF(LEFT($AI188,2)="C|",IF($C188="","",SUMPRODUCT($AP$5:$AP$302*($AO$5:$AO$302=$A188),$AS$5:$AS$302)),IF($AI188="CT",P$13,IF(LEFT($AI188,3)="AM|",IF($C188="","",SUMPRODUCT($AP$5:$AP$302*($AN$5:$AN$302=$A188),$AS$5:$AS$302)),IF(LEFT($AI188,2)="S|",IF($AG188="","",INDEX($AS$5:$AS$302,$AH188)),IF($AI188="HDR","Trans TY",""))))))</f>
        <v/>
      </c>
      <c r="Q188" s="40" t="str" cm="1">
        <f t="array" ref="Q188">IF($AI188="","",IF(LEFT($AI188,2)="C|",IF($C188="","",SUMPRODUCT($AP$5:$AP$302*($AO$5:$AO$302=$A188),$AU$5:$AU$302)),IF($AI188="CT",Q$13,IF(LEFT($AI188,3)="AM|",IF($C188="","",SUMPRODUCT($AP$5:$AP$302*($AN$5:$AN$302=$A188),$AU$5:$AU$302)),IF(LEFT($AI188,2)="S|",IF($AG188="","",INDEX($AU$5:$AU$302,$AH188)),IF($AI188="HDR","Trans LY",""))))))</f>
        <v/>
      </c>
      <c r="R188" s="41" t="str">
        <f t="shared" si="102"/>
        <v/>
      </c>
      <c r="S188" s="41" t="str">
        <f t="shared" si="103"/>
        <v/>
      </c>
      <c r="T188" s="42" t="str">
        <f t="shared" si="104"/>
        <v/>
      </c>
      <c r="U188" s="42" t="str">
        <f t="shared" si="105"/>
        <v/>
      </c>
      <c r="V188" s="41" t="str">
        <f t="shared" si="106"/>
        <v/>
      </c>
      <c r="W188" s="40" t="str" cm="1">
        <f t="array" ref="W188">IF($AI188="","",IF(LEFT($AI188,2)="C|",_xlfn.LET(_xlpm.n,SUMPRODUCT($AP$5:$AP$302*($AO$5:$AO$302=$A188),$BB$5:$BB$302),IF(_xlpm.n=0,"",_xlpm.n)),IF($AI188="CT",W$13,IF(LEFT($AI188,3)="AM|",_xlfn.LET(_xlpm.n,SUMPRODUCT($AP$5:$AP$302*($AN$5:$AN$302=$A188),$BB$5:$BB$302),IF(_xlpm.n=0,"",_xlpm.n)),IF(LEFT($AI188,2)="S|",IF($AG188="","",_xlfn.LET(_xlpm.n,INDEX($BB$5:$BB$302,$AH188),IF(_xlpm.n=0,"",_xlpm.n))),IF($AI188="HDR","Footfall",""))))))</f>
        <v/>
      </c>
      <c r="X188" s="40" t="str" cm="1">
        <f t="array" ref="X188">IF($AI188="","",IF($AI188="HDR","Trans (FF stores)",IF(W188="","",IF(LEFT($AI188,2)="C|",SUMPRODUCT($AP$5:$AP$302*($AO$5:$AO$302=$A188),$BC$5:$BC$302),IF($AI188="CT",X$13,IF(LEFT($AI188,3)="AM|",SUMPRODUCT($AP$5:$AP$302*($AN$5:$AN$302=$A188),$BC$5:$BC$302),IF(LEFT($AI188,2)="S|",INDEX($BC$5:$BC$302,$AH188),"")))))))</f>
        <v/>
      </c>
      <c r="Y188" s="41" t="str">
        <f t="shared" si="110"/>
        <v/>
      </c>
      <c r="Z188" s="40" t="str" cm="1">
        <f t="array" ref="Z188">IF($AI188="","",IF(LEFT($AI188,2)="C|",IF($C188="","",SUMPRODUCT($AP$5:$AP$302*($AO$5:$AO$302=$A188),$CB$5:$CB$302)),IF($AI188="CT",Z$13,IF(LEFT($AI188,3)="AM|",IF($C188="","",SUMPRODUCT($AP$5:$AP$302*($AN$5:$AN$302=$A188),$CB$5:$CB$302)),IF(LEFT($AI188,2)="S|",IF($AG188="","",INDEX($CB$5:$CB$302,$AH188)),IF($AI188="HDR","Makeup Sales",""))))))</f>
        <v/>
      </c>
      <c r="AA188" s="41" t="str">
        <f t="shared" si="107"/>
        <v/>
      </c>
      <c r="AB188" s="40" t="str" cm="1">
        <f t="array" ref="AB188">IF($AI188="","",IF(LEFT($AI188,2)="C|",IF($C188="","",SUMPRODUCT($AP$5:$AP$302*($AO$5:$AO$302=$A188),$CK$5:$CK$302)),IF($AI188="CT",AB$13,IF(LEFT($AI188,3)="AM|",IF($C188="","",SUMPRODUCT($AP$5:$AP$302*($AN$5:$AN$302=$A188),$CK$5:$CK$302)),IF(LEFT($AI188,2)="S|",IF($AG188="","",INDEX($CK$5:$CK$302,$AH188)),IF($AI188="HDR","Makeup Target",""))))))</f>
        <v/>
      </c>
      <c r="AC188" s="41" t="str">
        <f t="shared" si="111"/>
        <v/>
      </c>
      <c r="AD188" s="40" t="str" cm="1">
        <f t="array" ref="AD188">IF($AI188="","",IF(LEFT($AI188,2)="C|",IF($C188="","",SUMPRODUCT($AP$5:$AP$302*($AO$5:$AO$302=$A188),$CI$5:$CI$302)),IF($AI188="CT",AD$13,IF(LEFT($AI188,3)="AM|",IF($C188="","",SUMPRODUCT($AP$5:$AP$302*($AN$5:$AN$302=$A188),$CI$5:$CI$302)),IF(LEFT($AI188,2)="S|",IF($AG188="","",INDEX($CI$5:$CI$302,$AH188)),IF($AI188="HDR","Cosmetic Sales",""))))))</f>
        <v/>
      </c>
      <c r="AE188" s="8" t="str" cm="1">
        <f t="array" ref="AE188">IF($AI188="","",IF(LEFT($AI188,2)="C|",IF($C188="","",SUMPRODUCT($AP$5:$AP$302*($AO$5:$AO$302=$A188)*$AQ$5:$AQ$302,$AR$5:$AR$302)),IF($AI188="CT",AE$13,IF(LEFT($AI188,3)="AM|",IF($C188="","",SUMPRODUCT($AP$5:$AP$302*($AN$5:$AN$302=$A188)*$AQ$5:$AQ$302,$AR$5:$AR$302)),IF(LEFT($AI188,2)="S|",IF($AG188="","",IF(INDEX($AQ$5:$AQ$302,$AH188)=1,D188,0)),IF($AI188="HDR","LFL Sales",""))))))</f>
        <v/>
      </c>
      <c r="AF188" s="8" t="str" cm="1">
        <f t="array" ref="AF188">IF($AI188="","",IF(LEFT($AI188,2)="C|",IF($C188="","",SUMPRODUCT($AP$5:$AP$302*($AO$5:$AO$302=$A188)*$AQ$5:$AQ$302,$AS$5:$AS$302)),IF($AI188="CT",AF$13,IF(LEFT($AI188,3)="AM|",IF($C188="","",SUMPRODUCT($AP$5:$AP$302*($AN$5:$AN$302=$A188)*$AQ$5:$AQ$302,$AS$5:$AS$302)),IF(LEFT($AI188,2)="S|",IF($AG188="","",IF(INDEX($AQ$5:$AQ$302,$AH188)=1,P188,0)),IF($AI188="HDR","LFL Trans",""))))))</f>
        <v/>
      </c>
      <c r="AG188" s="8" t="str" cm="1">
        <f t="array" ref="AG188">IF($AI188="","",IF(LEFT($AI188,2)="C|","",IF($AI188="CT","",IF(LEFT($AI188,3)="AM|","",IF(LEFT($AI188,2)="S|",IF($AH188="","",IF(INDEX($AP$5:$AP$302,$AH188)=1,1,"")),IF($AI188="HDR","Show",""))))))</f>
        <v/>
      </c>
      <c r="AH188" s="8" t="str">
        <f t="shared" si="108"/>
        <v/>
      </c>
      <c r="AI188" s="8"/>
      <c r="AN188" s="8" t="str" cm="1">
        <f t="array" ref="AN188">IF($AW188="","",_xlfn.LET(_xlpm.sa,IFERROR(TRIM(INDEX('Sales and count'!$D$4:$D$300,$BF188)&amp;""),""),_xlpm.ta,IFERROR(TRIM(INDEX('TY Sales Target'!$F$5:$F$300,$BG188)&amp;""),""),IF(AND(_xlpm.sa&lt;&gt;"",LEFT(_xlpm.sa,1)&lt;&gt;"#",_xlpm.sa&lt;&gt;"0"),_xlpm.sa,IF(AND(_xlpm.ta&lt;&gt;"",LEFT(_xlpm.ta,1)&lt;&gt;"#",_xlpm.ta&lt;&gt;"0"),_xlpm.ta,IF(ISNUMBER($BG188),"Unassigned","")))))</f>
        <v/>
      </c>
      <c r="AO188" s="8" t="str" cm="1">
        <f t="array" ref="AO188">IF($AW188="","",_xlfn.LET(_xlpm.sa,IFERROR(TRIM(INDEX('Sales and count'!$C$4:$C$300,$BF188)&amp;""),""),_xlpm.ta,IFERROR(TRIM(INDEX('TY Sales Target'!$D$5:$D$300,$BG188)&amp;""),""),IF(AND(_xlpm.sa&lt;&gt;"",LEFT(_xlpm.sa,1)&lt;&gt;"#",_xlpm.sa&lt;&gt;"0"),_xlpm.sa,IF(AND(_xlpm.ta&lt;&gt;"",LEFT(_xlpm.ta,1)&lt;&gt;"#",_xlpm.ta&lt;&gt;"0"),_xlpm.ta,""))))</f>
        <v/>
      </c>
      <c r="AP188" s="8">
        <f t="shared" si="93"/>
        <v>0</v>
      </c>
      <c r="AQ188" s="8">
        <f t="shared" si="94"/>
        <v>0</v>
      </c>
      <c r="AR188" s="8" cm="1">
        <f t="array" ref="AR188">IF($BF188="",0,_xlfn.LET(_xlpm.d,IFERROR(--'Sales and count'!$G$2:$CC$2,0),SUMPRODUCT(('Sales and count'!$G$3:$CC$3="Total")*(_xlpm.d&gt;=$U$4)*(_xlpm.d&lt;=$U$5),INDEX('Sales and count'!$G$4:$CC$300,$BF188,0))))</f>
        <v>0</v>
      </c>
      <c r="AS188" s="8" cm="1">
        <f t="array" ref="AS188">IF($BF188="",0,_xlfn.LET(_xlpm.d,IFERROR(--'Sales and count'!$F$2:$CB$2,0),SUMPRODUCT(('Sales and count'!$G$3:$CC$3="Transactions")*(_xlpm.d&gt;=$U$4)*(_xlpm.d&lt;=$U$5),INDEX('Sales and count'!$G$4:$CC$300,$BF188,0))))</f>
        <v>0</v>
      </c>
      <c r="AT188" s="8" cm="1">
        <f t="array" ref="AT188">IF($AW188="",0,SUMPRODUCT((TRIM('LY Sales '!$B$5:$B$200)=$AW188)*('LY Sales '!$C$2:$AG$2&gt;=EDATE($U$4,-12))*('LY Sales '!$C$2:$AG$2&lt;=EDATE($U$5,-12)),'LY Sales '!$C$5:$AG$200))</f>
        <v>0</v>
      </c>
      <c r="AU188" s="8" cm="1">
        <f t="array" ref="AU188">IF($AW188="",0,SUMPRODUCT((TRIM('LY Transaction'!$B$5:$B$200)=$AW188)*('LY Transaction'!$C$2:$AG$2&gt;=EDATE($U$4,-12))*('LY Transaction'!$C$2:$AG$2&lt;=EDATE($U$5,-12)),'LY Transaction'!$C$5:$AG$200))</f>
        <v>0</v>
      </c>
      <c r="AV188" s="8" cm="1">
        <f t="array" ref="AV188">IF(NOT(ISNUMBER($BG188)),0,SUMPRODUCT(('TY Sales Target'!$K$2:$AO$2&gt;=$U$4)*('TY Sales Target'!$K$2:$AO$2&lt;=$U$5),INDEX('TY Sales Target'!$K$5:$AO$300,$BG188,0)))</f>
        <v>0</v>
      </c>
      <c r="AW188" s="8" t="str" cm="1">
        <f t="array" ref="AW188">IFERROR(INDEX(_xlfn.ANCHORARRAY($BR$5),ROWS($AW$5:AW188)),"")</f>
        <v/>
      </c>
      <c r="BB188" cm="1">
        <f t="array" ref="BB188">IF($AW188="",0,SUMPRODUCT((TRIM(Footfall!$B$5:$B$301)=$AW188)*(Footfall!$C$1:$BZ$1&gt;=$U$4)*(Footfall!$C$2:$BZ$2&lt;=$U$5)*(Footfall!$C$1:$BZ$1&lt;&gt;""),Footfall!$C$5:$BZ$301))</f>
        <v>0</v>
      </c>
      <c r="BC188" cm="1">
        <f t="array" ref="BC188">IF(OR($BB188&lt;=0,$BD$1="",$BF188=""),0,_xlfn.LET(_xlpm.d,IFERROR(--'Sales and count'!$F$2:$CB$2,0),SUMPRODUCT(('Sales and count'!$G$3:$CC$3="Transactions")*(_xlpm.d&gt;=$BD$1)*(_xlpm.d&lt;=$BD$2),INDEX('Sales and count'!$G$4:$CC$300,$BF188,0))))</f>
        <v>0</v>
      </c>
      <c r="BF188" t="str" cm="1">
        <f t="array" ref="BF188">IF($AW188="","",IFERROR(MATCH($AW188,TRIM('Sales and count'!$A$4:$A$300&amp;""),0),""))</f>
        <v/>
      </c>
      <c r="BG188" t="str" cm="1">
        <f t="array" ref="BG188">IF($AW188="","",IFERROR(MATCH(IFERROR(_xlfn.XLOOKUP($AW188,$BT$5:$BT$22,$BU$5:$BU$22),$AW188),TRIM('TY Sales Target'!$B$5:$B$300&amp;""),0),""))</f>
        <v/>
      </c>
      <c r="BH188" t="str" cm="1">
        <f t="array" ref="BH188">IF(ISNUMBER($BG188),_xlfn.LET(_xlpm.p,TRIM(INDEX('TY Sales Target'!$I$5:$I$300,$BG188)&amp;""),IF(_xlpm.p="","Not set",_xlpm.p)),"Not set")</f>
        <v>Not set</v>
      </c>
      <c r="BI188" cm="1">
        <f t="array" ref="BI188">IF($BF188="",0,_xlfn.LET(_xlpm.d,IFERROR(--'Sales and count'!$G$2:$CC$2,0),SUMPRODUCT(('Sales and count'!$G$3:$CC$3="Total")*(_xlpm.d&gt;=$BZ$5)*(_xlpm.d&lt;=$BZ$6),INDEX('Sales and count'!$G$4:$CC$300,$BF188,0))))</f>
        <v>0</v>
      </c>
      <c r="BJ188" cm="1">
        <f t="array" ref="BJ188">IF($AW188="",0,SUMPRODUCT((TRIM('LY Sales '!$B$5:$B$200)=$AW188)*('LY Sales '!$C$2:$AG$2&gt;=EDATE($BZ$5,-12))*('LY Sales '!$C$2:$AG$2&lt;=EDATE($BZ$6,-12)),'LY Sales '!$C$5:$AG$200))</f>
        <v>0</v>
      </c>
      <c r="BK188" cm="1">
        <f t="array" ref="BK188">IF($AW188="",0,SUMPRODUCT((TRIM('LY Sales '!$B$5:$B$200)=$AW188)*('LY Sales '!$C$2:$AG$2&gt;=EDATE($BZ$5,-12))*('LY Sales '!$C$2:$AG$2&lt;=EDATE($BZ$7,-12)),'LY Sales '!$C$5:$AG$200))</f>
        <v>0</v>
      </c>
      <c r="BL188" cm="1">
        <f t="array" ref="BL188">IF($AW188="",0,SUMPRODUCT((TRIM('LY Sales '!$B$5:$B$200)=$AW188)*('LY Sales '!$C$2:$AG$2&gt;=EDATE($BZ$5,-12))*('LY Sales '!$C$2:$AG$2&lt;=EDATE($BZ$6,-12))*('LY Sales '!$C$5:$AG$200&gt;0)))</f>
        <v>0</v>
      </c>
      <c r="BM188" cm="1">
        <f t="array" ref="BM188">IF(NOT(ISNUMBER($BG188)),0,SUMPRODUCT(('TY Sales Target'!$K$2:$AO$2&gt;=$BZ$5)*('TY Sales Target'!$K$2:$AO$2&lt;=$BZ$6),INDEX('TY Sales Target'!$K$5:$AO$300,$BG188,0)))</f>
        <v>0</v>
      </c>
      <c r="BN188" cm="1">
        <f t="array" ref="BN188">IF(NOT(ISNUMBER($BG188)),0,SUMPRODUCT(('TY Sales Target'!$K$2:$AO$2&gt;=$BZ$5)*('TY Sales Target'!$K$2:$AO$2&lt;=$BZ$7),INDEX('TY Sales Target'!$K$5:$AO$300,$BG188,0)))</f>
        <v>0</v>
      </c>
      <c r="BO188" cm="1">
        <f t="array" ref="BO188">IF($AW188="",0,IFERROR(_xlfn.SWITCH($BP188,"LY trend",$BI188*$BK188/$BJ188,"Target curve",$BI188*$BN188/$BM188,"Run rate",$BI188/$BZ$8*$BZ$9,0),0))</f>
        <v>0</v>
      </c>
      <c r="BP188" t="str">
        <f t="shared" si="92"/>
        <v/>
      </c>
      <c r="CB188" cm="1">
        <f t="array" ref="CB188">IF($AW188="",0,_xlfn.LET(_xlpm.k,IFERROR(_xlfn.XLOOKUP($AW188,$CD$6:$CD$21,$CE$6:$CE$21),$AW188),SUMPRODUCT((TRIM('Makeup '!$A$2:$A$300&amp;"")=_xlpm.k)*1,IFERROR('Makeup '!$F$2:$F$300*1,0))))</f>
        <v>0</v>
      </c>
      <c r="CF188" t="str" cm="1">
        <f t="array" ref="CF188">IF($AW188="","",_xlfn.LET(_xlpm.c,IFERROR(TRIM(INDEX('Sales and count'!$B$4:$B$300,$BF188)&amp;""),""),IF(OR(_xlpm.c="",_xlpm.c="0",LEFT(_xlpm.c,1)="#"),"Not set",_xlpm.c)))</f>
        <v/>
      </c>
      <c r="CH188" cm="1">
        <f t="array" ref="CH188">IF($AW188="",0,_xlfn.LET(_xlpm.k,IFERROR(_xlfn.XLOOKUP($AW188,$CD$6:$CD$21,$CE$6:$CE$21),$AW188),--(SUMPRODUCT((TRIM('Makeup '!$A$2:$A$300&amp;"")=_xlpm.k)*ISNUMBER('Makeup '!$F$2:$F$300))&gt;0)))</f>
        <v>0</v>
      </c>
      <c r="CI188">
        <f t="shared" si="95"/>
        <v>0</v>
      </c>
      <c r="CJ188" cm="1">
        <f t="array" ref="CJ188">IF($AW188="",0,--(SUMPRODUCT(--(TRIM(Footfall!$B$5:$B$301)=$AW188))&gt;0))</f>
        <v>0</v>
      </c>
      <c r="CK188" s="8" cm="1">
        <f t="array" ref="CK188">IF($AW188="",0,_xlfn.LET(_xlpm.r,IFERROR(MATCH(IFERROR(_xlfn.XLOOKUP($AW188,$BT$5:$BT$22,$BU$5:$BU$22),$AW188),TRIM('TY Beauty Target'!$B$5:$B$300&amp;""),0),""),IF(ISNUMBER(_xlpm.r),SUMPRODUCT(('TY Beauty Target'!$L$2:$AP$2&gt;=$U$4)*('TY Beauty Target'!$L$2:$AP$2&lt;=$U$5),INDEX('TY Beauty Target'!$L$5:$AP$300,_xlpm.r,0)),0)))</f>
        <v>0</v>
      </c>
    </row>
    <row r="189" spans="1:89" ht="15" customHeight="1" x14ac:dyDescent="0.25">
      <c r="A189" s="38" t="str">
        <f t="shared" si="96"/>
        <v/>
      </c>
      <c r="B189" s="43" t="str" cm="1">
        <f t="array" ref="B189">IF($AI189="","",IF(LEFT($AI189,2)="C|",IF($C189="","",_xlfn.TEXTJOIN(", ",TRUE,_xlfn.UNIQUE(_xlfn._xlws.FILTER($AN$5:$AN$302,($AP$5:$AP$302=1)*($AO$5:$AO$302=$A189))))),IF($AI189="CT",B$13,IF(LEFT($AI189,3)="AM|",IF($C189="","",ROWS(_xlfn.UNIQUE(_xlfn._xlws.FILTER($AO$5:$AO$302,($AP$5:$AP$302=1)*($AN$5:$AN$302=$A189))))),IF(LEFT($AI189,2)="S|",IF($AG189="","",INDEX($AO$5:$AO$302,$AH189)),IF($AI189="HDR","City",""))))))</f>
        <v/>
      </c>
      <c r="C189" s="39" t="str" cm="1">
        <f t="array" ref="C189">IF($AI189="","",IF(LEFT($AI189,2)="C|",_xlfn.LET(_xlpm.n,SUMPRODUCT($AP$5:$AP$302*($AO$5:$AO$302=$A189)),IF(_xlpm.n=0,"",_xlpm.n)),IF($AI189="CT",C$13,IF(LEFT($AI189,3)="AM|",_xlfn.LET(_xlpm.n,SUMPRODUCT($AP$5:$AP$302*($AN$5:$AN$302=$A189)),IF(_xlpm.n=0,"",_xlpm.n)),IF(LEFT($AI189,2)="S|","",IF($AI189="HDR","# Stores",""))))))</f>
        <v/>
      </c>
      <c r="D189" s="40" t="str" cm="1">
        <f t="array" ref="D189">IF($AI189="","",IF(LEFT($AI189,2)="C|",IF($C189="","",SUMPRODUCT($AP$5:$AP$302*($AO$5:$AO$302=$A189),$AR$5:$AR$302)),IF($AI189="CT",D$13,IF(LEFT($AI189,3)="AM|",IF($C189="","",SUMPRODUCT($AP$5:$AP$302*($AN$5:$AN$302=$A189),$AR$5:$AR$302)),IF(LEFT($AI189,2)="S|",IF($AG189="","",INDEX($AR$5:$AR$302,$AH189)),IF($AI189="HDR","Sales TY",""))))))</f>
        <v/>
      </c>
      <c r="E189" s="40" t="str" cm="1">
        <f t="array" ref="E189">IF($AI189="","",IF(LEFT($AI189,2)="C|",IF($C189="","",SUMPRODUCT($AP$5:$AP$302*($AO$5:$AO$302=$A189),$AT$5:$AT$302)),IF($AI189="CT",E$13,IF(LEFT($AI189,3)="AM|",IF($C189="","",SUMPRODUCT($AP$5:$AP$302*($AN$5:$AN$302=$A189),$AT$5:$AT$302)),IF(LEFT($AI189,2)="S|",IF($AG189="","",INDEX($AT$5:$AT$302,$AH189)),IF($AI189="HDR","Sales LY",""))))))</f>
        <v/>
      </c>
      <c r="F189" s="41" t="str">
        <f t="shared" si="97"/>
        <v/>
      </c>
      <c r="G189" s="41" t="str">
        <f t="shared" si="98"/>
        <v/>
      </c>
      <c r="H189" s="40" t="str" cm="1">
        <f t="array" ref="H189">IF($AI189="","",IF(LEFT($AI189,2)="C|",IF($C189="","",SUMPRODUCT($AP$5:$AP$302*($AO$5:$AO$302=$A189),$AV$5:$AV$302)),IF($AI189="CT",H$13,IF(LEFT($AI189,3)="AM|",IF($C189="","",SUMPRODUCT($AP$5:$AP$302*($AN$5:$AN$302=$A189),$AV$5:$AV$302)),IF(LEFT($AI189,2)="S|",IF($AG189="","",INDEX($AV$5:$AV$302,$AH189)),IF($AI189="HDR","Target",""))))))</f>
        <v/>
      </c>
      <c r="I189" s="41" t="str">
        <f t="shared" si="99"/>
        <v/>
      </c>
      <c r="J189" s="40" t="str">
        <f t="shared" si="100"/>
        <v/>
      </c>
      <c r="K189" s="41" t="str">
        <f t="shared" si="101"/>
        <v/>
      </c>
      <c r="L189" s="40" t="str" cm="1">
        <f t="array" ref="L189">IF($AI189="","",IF(LEFT($AI189,2)="C|",IF($C189="","",SUMPRODUCT($AP$5:$AP$302*($AO$5:$AO$302=$A189),$BN$5:$BN$302)),IF($AI189="CT",L$13,IF(LEFT($AI189,3)="AM|",IF($C189="","",SUMPRODUCT($AP$5:$AP$302*($AN$5:$AN$302=$A189),$BN$5:$BN$302)),IF(LEFT($AI189,2)="S|",IF($AG189="","",INDEX($BN$5:$BN$302,$AH189)),IF($AI189="HDR","Month Target",""))))))</f>
        <v/>
      </c>
      <c r="M189" s="40" t="str" cm="1">
        <f t="array" ref="M189">IF($AI189="","",IF(LEFT($AI189,2)="C|",IF($C189="","",SUMPRODUCT($AP$5:$AP$302*($AO$5:$AO$302=$A189),$BO$5:$BO$302)),IF($AI189="CT",M$13,IF(LEFT($AI189,3)="AM|",IF($C189="","",SUMPRODUCT($AP$5:$AP$302*($AN$5:$AN$302=$A189),$BO$5:$BO$302)),IF(LEFT($AI189,2)="S|",IF($AG189="","",INDEX($BO$5:$BO$302,$AH189)),IF($AI189="HDR","Projected Close",""))))))</f>
        <v/>
      </c>
      <c r="N189" s="41" t="str">
        <f t="shared" si="109"/>
        <v/>
      </c>
      <c r="O189" s="41" t="str" cm="1">
        <f t="array" ref="O189">IF($AI189="HDR","Proj. vs LY",IF(OR($AI189="",M189=""),"",_xlfn.LET(_xlpm.ly,IF(LEFT($AI189,2)="C|",SUMPRODUCT($AP$5:$AP$302*($AO$5:$AO$302=$A189),$BK$5:$BK$302),IF($AI189="CT",SUMPRODUCT($AP$5:$AP$302,$BK$5:$BK$302),IF(LEFT($AI189,3)="AM|",SUMPRODUCT($AP$5:$AP$302*($AN$5:$AN$302=$A189),$BK$5:$BK$302),IF(LEFT($AI189,2)="S|",INDEX($BK$5:$BK$302,$AH189),0)))),IFERROR(M189/_xlpm.ly-1,""))))</f>
        <v/>
      </c>
      <c r="P189" s="40" t="str" cm="1">
        <f t="array" ref="P189">IF($AI189="","",IF(LEFT($AI189,2)="C|",IF($C189="","",SUMPRODUCT($AP$5:$AP$302*($AO$5:$AO$302=$A189),$AS$5:$AS$302)),IF($AI189="CT",P$13,IF(LEFT($AI189,3)="AM|",IF($C189="","",SUMPRODUCT($AP$5:$AP$302*($AN$5:$AN$302=$A189),$AS$5:$AS$302)),IF(LEFT($AI189,2)="S|",IF($AG189="","",INDEX($AS$5:$AS$302,$AH189)),IF($AI189="HDR","Trans TY",""))))))</f>
        <v/>
      </c>
      <c r="Q189" s="40" t="str" cm="1">
        <f t="array" ref="Q189">IF($AI189="","",IF(LEFT($AI189,2)="C|",IF($C189="","",SUMPRODUCT($AP$5:$AP$302*($AO$5:$AO$302=$A189),$AU$5:$AU$302)),IF($AI189="CT",Q$13,IF(LEFT($AI189,3)="AM|",IF($C189="","",SUMPRODUCT($AP$5:$AP$302*($AN$5:$AN$302=$A189),$AU$5:$AU$302)),IF(LEFT($AI189,2)="S|",IF($AG189="","",INDEX($AU$5:$AU$302,$AH189)),IF($AI189="HDR","Trans LY",""))))))</f>
        <v/>
      </c>
      <c r="R189" s="41" t="str">
        <f t="shared" si="102"/>
        <v/>
      </c>
      <c r="S189" s="41" t="str">
        <f t="shared" si="103"/>
        <v/>
      </c>
      <c r="T189" s="42" t="str">
        <f t="shared" si="104"/>
        <v/>
      </c>
      <c r="U189" s="42" t="str">
        <f t="shared" si="105"/>
        <v/>
      </c>
      <c r="V189" s="41" t="str">
        <f t="shared" si="106"/>
        <v/>
      </c>
      <c r="W189" s="40" t="str" cm="1">
        <f t="array" ref="W189">IF($AI189="","",IF(LEFT($AI189,2)="C|",_xlfn.LET(_xlpm.n,SUMPRODUCT($AP$5:$AP$302*($AO$5:$AO$302=$A189),$BB$5:$BB$302),IF(_xlpm.n=0,"",_xlpm.n)),IF($AI189="CT",W$13,IF(LEFT($AI189,3)="AM|",_xlfn.LET(_xlpm.n,SUMPRODUCT($AP$5:$AP$302*($AN$5:$AN$302=$A189),$BB$5:$BB$302),IF(_xlpm.n=0,"",_xlpm.n)),IF(LEFT($AI189,2)="S|",IF($AG189="","",_xlfn.LET(_xlpm.n,INDEX($BB$5:$BB$302,$AH189),IF(_xlpm.n=0,"",_xlpm.n))),IF($AI189="HDR","Footfall",""))))))</f>
        <v/>
      </c>
      <c r="X189" s="40" t="str" cm="1">
        <f t="array" ref="X189">IF($AI189="","",IF($AI189="HDR","Trans (FF stores)",IF(W189="","",IF(LEFT($AI189,2)="C|",SUMPRODUCT($AP$5:$AP$302*($AO$5:$AO$302=$A189),$BC$5:$BC$302),IF($AI189="CT",X$13,IF(LEFT($AI189,3)="AM|",SUMPRODUCT($AP$5:$AP$302*($AN$5:$AN$302=$A189),$BC$5:$BC$302),IF(LEFT($AI189,2)="S|",INDEX($BC$5:$BC$302,$AH189),"")))))))</f>
        <v/>
      </c>
      <c r="Y189" s="41" t="str">
        <f t="shared" si="110"/>
        <v/>
      </c>
      <c r="Z189" s="40" t="str" cm="1">
        <f t="array" ref="Z189">IF($AI189="","",IF(LEFT($AI189,2)="C|",IF($C189="","",SUMPRODUCT($AP$5:$AP$302*($AO$5:$AO$302=$A189),$CB$5:$CB$302)),IF($AI189="CT",Z$13,IF(LEFT($AI189,3)="AM|",IF($C189="","",SUMPRODUCT($AP$5:$AP$302*($AN$5:$AN$302=$A189),$CB$5:$CB$302)),IF(LEFT($AI189,2)="S|",IF($AG189="","",INDEX($CB$5:$CB$302,$AH189)),IF($AI189="HDR","Makeup Sales",""))))))</f>
        <v/>
      </c>
      <c r="AA189" s="41" t="str">
        <f t="shared" si="107"/>
        <v/>
      </c>
      <c r="AB189" s="40" t="str" cm="1">
        <f t="array" ref="AB189">IF($AI189="","",IF(LEFT($AI189,2)="C|",IF($C189="","",SUMPRODUCT($AP$5:$AP$302*($AO$5:$AO$302=$A189),$CK$5:$CK$302)),IF($AI189="CT",AB$13,IF(LEFT($AI189,3)="AM|",IF($C189="","",SUMPRODUCT($AP$5:$AP$302*($AN$5:$AN$302=$A189),$CK$5:$CK$302)),IF(LEFT($AI189,2)="S|",IF($AG189="","",INDEX($CK$5:$CK$302,$AH189)),IF($AI189="HDR","Makeup Target",""))))))</f>
        <v/>
      </c>
      <c r="AC189" s="41" t="str">
        <f t="shared" si="111"/>
        <v/>
      </c>
      <c r="AD189" s="40" t="str" cm="1">
        <f t="array" ref="AD189">IF($AI189="","",IF(LEFT($AI189,2)="C|",IF($C189="","",SUMPRODUCT($AP$5:$AP$302*($AO$5:$AO$302=$A189),$CI$5:$CI$302)),IF($AI189="CT",AD$13,IF(LEFT($AI189,3)="AM|",IF($C189="","",SUMPRODUCT($AP$5:$AP$302*($AN$5:$AN$302=$A189),$CI$5:$CI$302)),IF(LEFT($AI189,2)="S|",IF($AG189="","",INDEX($CI$5:$CI$302,$AH189)),IF($AI189="HDR","Cosmetic Sales",""))))))</f>
        <v/>
      </c>
      <c r="AE189" s="8" t="str" cm="1">
        <f t="array" ref="AE189">IF($AI189="","",IF(LEFT($AI189,2)="C|",IF($C189="","",SUMPRODUCT($AP$5:$AP$302*($AO$5:$AO$302=$A189)*$AQ$5:$AQ$302,$AR$5:$AR$302)),IF($AI189="CT",AE$13,IF(LEFT($AI189,3)="AM|",IF($C189="","",SUMPRODUCT($AP$5:$AP$302*($AN$5:$AN$302=$A189)*$AQ$5:$AQ$302,$AR$5:$AR$302)),IF(LEFT($AI189,2)="S|",IF($AG189="","",IF(INDEX($AQ$5:$AQ$302,$AH189)=1,D189,0)),IF($AI189="HDR","LFL Sales",""))))))</f>
        <v/>
      </c>
      <c r="AF189" s="8" t="str" cm="1">
        <f t="array" ref="AF189">IF($AI189="","",IF(LEFT($AI189,2)="C|",IF($C189="","",SUMPRODUCT($AP$5:$AP$302*($AO$5:$AO$302=$A189)*$AQ$5:$AQ$302,$AS$5:$AS$302)),IF($AI189="CT",AF$13,IF(LEFT($AI189,3)="AM|",IF($C189="","",SUMPRODUCT($AP$5:$AP$302*($AN$5:$AN$302=$A189)*$AQ$5:$AQ$302,$AS$5:$AS$302)),IF(LEFT($AI189,2)="S|",IF($AG189="","",IF(INDEX($AQ$5:$AQ$302,$AH189)=1,P189,0)),IF($AI189="HDR","LFL Trans",""))))))</f>
        <v/>
      </c>
      <c r="AG189" s="8" t="str" cm="1">
        <f t="array" ref="AG189">IF($AI189="","",IF(LEFT($AI189,2)="C|","",IF($AI189="CT","",IF(LEFT($AI189,3)="AM|","",IF(LEFT($AI189,2)="S|",IF($AH189="","",IF(INDEX($AP$5:$AP$302,$AH189)=1,1,"")),IF($AI189="HDR","Show",""))))))</f>
        <v/>
      </c>
      <c r="AH189" s="8" t="str">
        <f t="shared" si="108"/>
        <v/>
      </c>
      <c r="AI189" s="8"/>
      <c r="AN189" s="8" t="str" cm="1">
        <f t="array" ref="AN189">IF($AW189="","",_xlfn.LET(_xlpm.sa,IFERROR(TRIM(INDEX('Sales and count'!$D$4:$D$300,$BF189)&amp;""),""),_xlpm.ta,IFERROR(TRIM(INDEX('TY Sales Target'!$F$5:$F$300,$BG189)&amp;""),""),IF(AND(_xlpm.sa&lt;&gt;"",LEFT(_xlpm.sa,1)&lt;&gt;"#",_xlpm.sa&lt;&gt;"0"),_xlpm.sa,IF(AND(_xlpm.ta&lt;&gt;"",LEFT(_xlpm.ta,1)&lt;&gt;"#",_xlpm.ta&lt;&gt;"0"),_xlpm.ta,IF(ISNUMBER($BG189),"Unassigned","")))))</f>
        <v/>
      </c>
      <c r="AO189" s="8" t="str" cm="1">
        <f t="array" ref="AO189">IF($AW189="","",_xlfn.LET(_xlpm.sa,IFERROR(TRIM(INDEX('Sales and count'!$C$4:$C$300,$BF189)&amp;""),""),_xlpm.ta,IFERROR(TRIM(INDEX('TY Sales Target'!$D$5:$D$300,$BG189)&amp;""),""),IF(AND(_xlpm.sa&lt;&gt;"",LEFT(_xlpm.sa,1)&lt;&gt;"#",_xlpm.sa&lt;&gt;"0"),_xlpm.sa,IF(AND(_xlpm.ta&lt;&gt;"",LEFT(_xlpm.ta,1)&lt;&gt;"#",_xlpm.ta&lt;&gt;"0"),_xlpm.ta,""))))</f>
        <v/>
      </c>
      <c r="AP189" s="8">
        <f t="shared" si="93"/>
        <v>0</v>
      </c>
      <c r="AQ189" s="8">
        <f t="shared" si="94"/>
        <v>0</v>
      </c>
      <c r="AR189" s="8" cm="1">
        <f t="array" ref="AR189">IF($BF189="",0,_xlfn.LET(_xlpm.d,IFERROR(--'Sales and count'!$G$2:$CC$2,0),SUMPRODUCT(('Sales and count'!$G$3:$CC$3="Total")*(_xlpm.d&gt;=$U$4)*(_xlpm.d&lt;=$U$5),INDEX('Sales and count'!$G$4:$CC$300,$BF189,0))))</f>
        <v>0</v>
      </c>
      <c r="AS189" s="8" cm="1">
        <f t="array" ref="AS189">IF($BF189="",0,_xlfn.LET(_xlpm.d,IFERROR(--'Sales and count'!$F$2:$CB$2,0),SUMPRODUCT(('Sales and count'!$G$3:$CC$3="Transactions")*(_xlpm.d&gt;=$U$4)*(_xlpm.d&lt;=$U$5),INDEX('Sales and count'!$G$4:$CC$300,$BF189,0))))</f>
        <v>0</v>
      </c>
      <c r="AT189" s="8" cm="1">
        <f t="array" ref="AT189">IF($AW189="",0,SUMPRODUCT((TRIM('LY Sales '!$B$5:$B$200)=$AW189)*('LY Sales '!$C$2:$AG$2&gt;=EDATE($U$4,-12))*('LY Sales '!$C$2:$AG$2&lt;=EDATE($U$5,-12)),'LY Sales '!$C$5:$AG$200))</f>
        <v>0</v>
      </c>
      <c r="AU189" s="8" cm="1">
        <f t="array" ref="AU189">IF($AW189="",0,SUMPRODUCT((TRIM('LY Transaction'!$B$5:$B$200)=$AW189)*('LY Transaction'!$C$2:$AG$2&gt;=EDATE($U$4,-12))*('LY Transaction'!$C$2:$AG$2&lt;=EDATE($U$5,-12)),'LY Transaction'!$C$5:$AG$200))</f>
        <v>0</v>
      </c>
      <c r="AV189" s="8" cm="1">
        <f t="array" ref="AV189">IF(NOT(ISNUMBER($BG189)),0,SUMPRODUCT(('TY Sales Target'!$K$2:$AO$2&gt;=$U$4)*('TY Sales Target'!$K$2:$AO$2&lt;=$U$5),INDEX('TY Sales Target'!$K$5:$AO$300,$BG189,0)))</f>
        <v>0</v>
      </c>
      <c r="AW189" s="8" t="str" cm="1">
        <f t="array" ref="AW189">IFERROR(INDEX(_xlfn.ANCHORARRAY($BR$5),ROWS($AW$5:AW189)),"")</f>
        <v/>
      </c>
      <c r="BB189" cm="1">
        <f t="array" ref="BB189">IF($AW189="",0,SUMPRODUCT((TRIM(Footfall!$B$5:$B$301)=$AW189)*(Footfall!$C$1:$BZ$1&gt;=$U$4)*(Footfall!$C$2:$BZ$2&lt;=$U$5)*(Footfall!$C$1:$BZ$1&lt;&gt;""),Footfall!$C$5:$BZ$301))</f>
        <v>0</v>
      </c>
      <c r="BC189" cm="1">
        <f t="array" ref="BC189">IF(OR($BB189&lt;=0,$BD$1="",$BF189=""),0,_xlfn.LET(_xlpm.d,IFERROR(--'Sales and count'!$F$2:$CB$2,0),SUMPRODUCT(('Sales and count'!$G$3:$CC$3="Transactions")*(_xlpm.d&gt;=$BD$1)*(_xlpm.d&lt;=$BD$2),INDEX('Sales and count'!$G$4:$CC$300,$BF189,0))))</f>
        <v>0</v>
      </c>
      <c r="BF189" t="str" cm="1">
        <f t="array" ref="BF189">IF($AW189="","",IFERROR(MATCH($AW189,TRIM('Sales and count'!$A$4:$A$300&amp;""),0),""))</f>
        <v/>
      </c>
      <c r="BG189" t="str" cm="1">
        <f t="array" ref="BG189">IF($AW189="","",IFERROR(MATCH(IFERROR(_xlfn.XLOOKUP($AW189,$BT$5:$BT$22,$BU$5:$BU$22),$AW189),TRIM('TY Sales Target'!$B$5:$B$300&amp;""),0),""))</f>
        <v/>
      </c>
      <c r="BH189" t="str" cm="1">
        <f t="array" ref="BH189">IF(ISNUMBER($BG189),_xlfn.LET(_xlpm.p,TRIM(INDEX('TY Sales Target'!$I$5:$I$300,$BG189)&amp;""),IF(_xlpm.p="","Not set",_xlpm.p)),"Not set")</f>
        <v>Not set</v>
      </c>
      <c r="BI189" cm="1">
        <f t="array" ref="BI189">IF($BF189="",0,_xlfn.LET(_xlpm.d,IFERROR(--'Sales and count'!$G$2:$CC$2,0),SUMPRODUCT(('Sales and count'!$G$3:$CC$3="Total")*(_xlpm.d&gt;=$BZ$5)*(_xlpm.d&lt;=$BZ$6),INDEX('Sales and count'!$G$4:$CC$300,$BF189,0))))</f>
        <v>0</v>
      </c>
      <c r="BJ189" cm="1">
        <f t="array" ref="BJ189">IF($AW189="",0,SUMPRODUCT((TRIM('LY Sales '!$B$5:$B$200)=$AW189)*('LY Sales '!$C$2:$AG$2&gt;=EDATE($BZ$5,-12))*('LY Sales '!$C$2:$AG$2&lt;=EDATE($BZ$6,-12)),'LY Sales '!$C$5:$AG$200))</f>
        <v>0</v>
      </c>
      <c r="BK189" cm="1">
        <f t="array" ref="BK189">IF($AW189="",0,SUMPRODUCT((TRIM('LY Sales '!$B$5:$B$200)=$AW189)*('LY Sales '!$C$2:$AG$2&gt;=EDATE($BZ$5,-12))*('LY Sales '!$C$2:$AG$2&lt;=EDATE($BZ$7,-12)),'LY Sales '!$C$5:$AG$200))</f>
        <v>0</v>
      </c>
      <c r="BL189" cm="1">
        <f t="array" ref="BL189">IF($AW189="",0,SUMPRODUCT((TRIM('LY Sales '!$B$5:$B$200)=$AW189)*('LY Sales '!$C$2:$AG$2&gt;=EDATE($BZ$5,-12))*('LY Sales '!$C$2:$AG$2&lt;=EDATE($BZ$6,-12))*('LY Sales '!$C$5:$AG$200&gt;0)))</f>
        <v>0</v>
      </c>
      <c r="BM189" cm="1">
        <f t="array" ref="BM189">IF(NOT(ISNUMBER($BG189)),0,SUMPRODUCT(('TY Sales Target'!$K$2:$AO$2&gt;=$BZ$5)*('TY Sales Target'!$K$2:$AO$2&lt;=$BZ$6),INDEX('TY Sales Target'!$K$5:$AO$300,$BG189,0)))</f>
        <v>0</v>
      </c>
      <c r="BN189" cm="1">
        <f t="array" ref="BN189">IF(NOT(ISNUMBER($BG189)),0,SUMPRODUCT(('TY Sales Target'!$K$2:$AO$2&gt;=$BZ$5)*('TY Sales Target'!$K$2:$AO$2&lt;=$BZ$7),INDEX('TY Sales Target'!$K$5:$AO$300,$BG189,0)))</f>
        <v>0</v>
      </c>
      <c r="BO189" cm="1">
        <f t="array" ref="BO189">IF($AW189="",0,IFERROR(_xlfn.SWITCH($BP189,"LY trend",$BI189*$BK189/$BJ189,"Target curve",$BI189*$BN189/$BM189,"Run rate",$BI189/$BZ$8*$BZ$9,0),0))</f>
        <v>0</v>
      </c>
      <c r="BP189" t="str">
        <f t="shared" si="92"/>
        <v/>
      </c>
      <c r="CB189" cm="1">
        <f t="array" ref="CB189">IF($AW189="",0,_xlfn.LET(_xlpm.k,IFERROR(_xlfn.XLOOKUP($AW189,$CD$6:$CD$21,$CE$6:$CE$21),$AW189),SUMPRODUCT((TRIM('Makeup '!$A$2:$A$300&amp;"")=_xlpm.k)*1,IFERROR('Makeup '!$F$2:$F$300*1,0))))</f>
        <v>0</v>
      </c>
      <c r="CF189" t="str" cm="1">
        <f t="array" ref="CF189">IF($AW189="","",_xlfn.LET(_xlpm.c,IFERROR(TRIM(INDEX('Sales and count'!$B$4:$B$300,$BF189)&amp;""),""),IF(OR(_xlpm.c="",_xlpm.c="0",LEFT(_xlpm.c,1)="#"),"Not set",_xlpm.c)))</f>
        <v/>
      </c>
      <c r="CH189" cm="1">
        <f t="array" ref="CH189">IF($AW189="",0,_xlfn.LET(_xlpm.k,IFERROR(_xlfn.XLOOKUP($AW189,$CD$6:$CD$21,$CE$6:$CE$21),$AW189),--(SUMPRODUCT((TRIM('Makeup '!$A$2:$A$300&amp;"")=_xlpm.k)*ISNUMBER('Makeup '!$F$2:$F$300))&gt;0)))</f>
        <v>0</v>
      </c>
      <c r="CI189">
        <f t="shared" si="95"/>
        <v>0</v>
      </c>
      <c r="CJ189" cm="1">
        <f t="array" ref="CJ189">IF($AW189="",0,--(SUMPRODUCT(--(TRIM(Footfall!$B$5:$B$301)=$AW189))&gt;0))</f>
        <v>0</v>
      </c>
      <c r="CK189" s="8" cm="1">
        <f t="array" ref="CK189">IF($AW189="",0,_xlfn.LET(_xlpm.r,IFERROR(MATCH(IFERROR(_xlfn.XLOOKUP($AW189,$BT$5:$BT$22,$BU$5:$BU$22),$AW189),TRIM('TY Beauty Target'!$B$5:$B$300&amp;""),0),""),IF(ISNUMBER(_xlpm.r),SUMPRODUCT(('TY Beauty Target'!$L$2:$AP$2&gt;=$U$4)*('TY Beauty Target'!$L$2:$AP$2&lt;=$U$5),INDEX('TY Beauty Target'!$L$5:$AP$300,_xlpm.r,0)),0)))</f>
        <v>0</v>
      </c>
    </row>
    <row r="190" spans="1:89" ht="15" customHeight="1" x14ac:dyDescent="0.25">
      <c r="A190" s="38" t="str">
        <f t="shared" ref="A190:A204" si="112">IF($AI190="","",IF(LEFT($AI190,2)="C|",MID($AI190,3,200),IF($AI190="CT","Total (selection)",IF(LEFT($AI190,3)="AM|",MID($AI190,4,200),IF(LEFT($AI190,2)="S|",MID($AI190,3,200),IF($AI190="HDR","Name",IF($AI190="SEC","AREA MANAGER → STORES","")))))))</f>
        <v/>
      </c>
      <c r="B190" s="43" t="str" cm="1">
        <f t="array" ref="B190">IF($AI190="","",IF(LEFT($AI190,2)="C|",IF($C190="","",_xlfn.TEXTJOIN(", ",TRUE,_xlfn.UNIQUE(_xlfn._xlws.FILTER($AN$5:$AN$302,($AP$5:$AP$302=1)*($AO$5:$AO$302=$A190))))),IF($AI190="CT",B$13,IF(LEFT($AI190,3)="AM|",IF($C190="","",ROWS(_xlfn.UNIQUE(_xlfn._xlws.FILTER($AO$5:$AO$302,($AP$5:$AP$302=1)*($AN$5:$AN$302=$A190))))),IF(LEFT($AI190,2)="S|",IF($AG190="","",INDEX($AO$5:$AO$302,$AH190)),IF($AI190="HDR","City",""))))))</f>
        <v/>
      </c>
      <c r="C190" s="39" t="str" cm="1">
        <f t="array" ref="C190">IF($AI190="","",IF(LEFT($AI190,2)="C|",_xlfn.LET(_xlpm.n,SUMPRODUCT($AP$5:$AP$302*($AO$5:$AO$302=$A190)),IF(_xlpm.n=0,"",_xlpm.n)),IF($AI190="CT",C$13,IF(LEFT($AI190,3)="AM|",_xlfn.LET(_xlpm.n,SUMPRODUCT($AP$5:$AP$302*($AN$5:$AN$302=$A190)),IF(_xlpm.n=0,"",_xlpm.n)),IF(LEFT($AI190,2)="S|","",IF($AI190="HDR","# Stores",""))))))</f>
        <v/>
      </c>
      <c r="D190" s="40" t="str" cm="1">
        <f t="array" ref="D190">IF($AI190="","",IF(LEFT($AI190,2)="C|",IF($C190="","",SUMPRODUCT($AP$5:$AP$302*($AO$5:$AO$302=$A190),$AR$5:$AR$302)),IF($AI190="CT",D$13,IF(LEFT($AI190,3)="AM|",IF($C190="","",SUMPRODUCT($AP$5:$AP$302*($AN$5:$AN$302=$A190),$AR$5:$AR$302)),IF(LEFT($AI190,2)="S|",IF($AG190="","",INDEX($AR$5:$AR$302,$AH190)),IF($AI190="HDR","Sales TY",""))))))</f>
        <v/>
      </c>
      <c r="E190" s="40" t="str" cm="1">
        <f t="array" ref="E190">IF($AI190="","",IF(LEFT($AI190,2)="C|",IF($C190="","",SUMPRODUCT($AP$5:$AP$302*($AO$5:$AO$302=$A190),$AT$5:$AT$302)),IF($AI190="CT",E$13,IF(LEFT($AI190,3)="AM|",IF($C190="","",SUMPRODUCT($AP$5:$AP$302*($AN$5:$AN$302=$A190),$AT$5:$AT$302)),IF(LEFT($AI190,2)="S|",IF($AG190="","",INDEX($AT$5:$AT$302,$AH190)),IF($AI190="HDR","Sales LY",""))))))</f>
        <v/>
      </c>
      <c r="F190" s="41" t="str">
        <f t="shared" ref="F190:F204" si="113">IF($AI190="","",IF(LEFT($AI190,2)="C|",IF($C190="","",IFERROR(AE190/E190-1,"")),IF($AI190="CT",F$13,IF(LEFT($AI190,3)="AM|",IF($C190="","",IFERROR(AE190/E190-1,"")),IF(LEFT($AI190,2)="S|",IF($AG190="","",IFERROR(AE190/E190-1,"")),IF($AI190="HDR","LFL vs LY",""))))))</f>
        <v/>
      </c>
      <c r="G190" s="41" t="str">
        <f t="shared" ref="G190:G204" si="114">IF($AI190="","",IF(LEFT($AI190,2)="C|",IF(D190="","",IFERROR(D190/E190-1,"")),IF($AI190="CT",G$13,IF(LEFT($AI190,3)="AM|",IF(D190="","",IFERROR(D190/E190-1,"")),IF(LEFT($AI190,2)="S|",IF(D190="","",IFERROR(D190/E190-1,"")),IF($AI190="HDR","Total Growth",""))))))</f>
        <v/>
      </c>
      <c r="H190" s="40" t="str" cm="1">
        <f t="array" ref="H190">IF($AI190="","",IF(LEFT($AI190,2)="C|",IF($C190="","",SUMPRODUCT($AP$5:$AP$302*($AO$5:$AO$302=$A190),$AV$5:$AV$302)),IF($AI190="CT",H$13,IF(LEFT($AI190,3)="AM|",IF($C190="","",SUMPRODUCT($AP$5:$AP$302*($AN$5:$AN$302=$A190),$AV$5:$AV$302)),IF(LEFT($AI190,2)="S|",IF($AG190="","",INDEX($AV$5:$AV$302,$AH190)),IF($AI190="HDR","Target",""))))))</f>
        <v/>
      </c>
      <c r="I190" s="41" t="str">
        <f t="shared" ref="I190:I204" si="115">IF($AI190="","",IF(LEFT($AI190,2)="C|",IF($C190="","",IFERROR(D190/H190,"")),IF($AI190="CT",I$13,IF(LEFT($AI190,3)="AM|",IF($C190="","",IFERROR(D190/H190,"")),IF(LEFT($AI190,2)="S|",IF($AG190="","",IFERROR(D190/H190,"")),IF($AI190="HDR","Ach. %",""))))))</f>
        <v/>
      </c>
      <c r="J190" s="40" t="str">
        <f t="shared" ref="J190:J204" si="116">IF($AI190="","",IF(LEFT($AI190,2)="C|",IF($C190="","",IF(H190=0,"",D190-H190)),IF($AI190="CT",J$13,IF(LEFT($AI190,3)="AM|",IF($C190="","",IF(H190=0,"",D190-H190)),IF(LEFT($AI190,2)="S|",IF($AG190="","",IF(H190=0,"",D190-H190)),IF($AI190="HDR","Var Target",""))))))</f>
        <v/>
      </c>
      <c r="K190" s="41" t="str">
        <f t="shared" ref="K190:K204" si="117">IF($AI190="","",IF(LEFT($AI190,2)="C|",IF($C190="","",IFERROR(D190/$D$13,"")),IF($AI190="CT",K$13,IF(LEFT($AI190,3)="AM|",IF($C190="","",IFERROR(D190/$D$13,"")),IF(LEFT($AI190,2)="S|",IF($AG190="","",IFERROR(D190/$D$13,"")),IF($AI190="HDR","% Share",""))))))</f>
        <v/>
      </c>
      <c r="L190" s="40" t="str" cm="1">
        <f t="array" ref="L190">IF($AI190="","",IF(LEFT($AI190,2)="C|",IF($C190="","",SUMPRODUCT($AP$5:$AP$302*($AO$5:$AO$302=$A190),$BN$5:$BN$302)),IF($AI190="CT",L$13,IF(LEFT($AI190,3)="AM|",IF($C190="","",SUMPRODUCT($AP$5:$AP$302*($AN$5:$AN$302=$A190),$BN$5:$BN$302)),IF(LEFT($AI190,2)="S|",IF($AG190="","",INDEX($BN$5:$BN$302,$AH190)),IF($AI190="HDR","Month Target",""))))))</f>
        <v/>
      </c>
      <c r="M190" s="40" t="str" cm="1">
        <f t="array" ref="M190">IF($AI190="","",IF(LEFT($AI190,2)="C|",IF($C190="","",SUMPRODUCT($AP$5:$AP$302*($AO$5:$AO$302=$A190),$BO$5:$BO$302)),IF($AI190="CT",M$13,IF(LEFT($AI190,3)="AM|",IF($C190="","",SUMPRODUCT($AP$5:$AP$302*($AN$5:$AN$302=$A190),$BO$5:$BO$302)),IF(LEFT($AI190,2)="S|",IF($AG190="","",INDEX($BO$5:$BO$302,$AH190)),IF($AI190="HDR","Projected Close",""))))))</f>
        <v/>
      </c>
      <c r="N190" s="41" t="str">
        <f t="shared" si="109"/>
        <v/>
      </c>
      <c r="O190" s="41" t="str" cm="1">
        <f t="array" ref="O190">IF($AI190="HDR","Proj. vs LY",IF(OR($AI190="",M190=""),"",_xlfn.LET(_xlpm.ly,IF(LEFT($AI190,2)="C|",SUMPRODUCT($AP$5:$AP$302*($AO$5:$AO$302=$A190),$BK$5:$BK$302),IF($AI190="CT",SUMPRODUCT($AP$5:$AP$302,$BK$5:$BK$302),IF(LEFT($AI190,3)="AM|",SUMPRODUCT($AP$5:$AP$302*($AN$5:$AN$302=$A190),$BK$5:$BK$302),IF(LEFT($AI190,2)="S|",INDEX($BK$5:$BK$302,$AH190),0)))),IFERROR(M190/_xlpm.ly-1,""))))</f>
        <v/>
      </c>
      <c r="P190" s="40" t="str" cm="1">
        <f t="array" ref="P190">IF($AI190="","",IF(LEFT($AI190,2)="C|",IF($C190="","",SUMPRODUCT($AP$5:$AP$302*($AO$5:$AO$302=$A190),$AS$5:$AS$302)),IF($AI190="CT",P$13,IF(LEFT($AI190,3)="AM|",IF($C190="","",SUMPRODUCT($AP$5:$AP$302*($AN$5:$AN$302=$A190),$AS$5:$AS$302)),IF(LEFT($AI190,2)="S|",IF($AG190="","",INDEX($AS$5:$AS$302,$AH190)),IF($AI190="HDR","Trans TY",""))))))</f>
        <v/>
      </c>
      <c r="Q190" s="40" t="str" cm="1">
        <f t="array" ref="Q190">IF($AI190="","",IF(LEFT($AI190,2)="C|",IF($C190="","",SUMPRODUCT($AP$5:$AP$302*($AO$5:$AO$302=$A190),$AU$5:$AU$302)),IF($AI190="CT",Q$13,IF(LEFT($AI190,3)="AM|",IF($C190="","",SUMPRODUCT($AP$5:$AP$302*($AN$5:$AN$302=$A190),$AU$5:$AU$302)),IF(LEFT($AI190,2)="S|",IF($AG190="","",INDEX($AU$5:$AU$302,$AH190)),IF($AI190="HDR","Trans LY",""))))))</f>
        <v/>
      </c>
      <c r="R190" s="41" t="str">
        <f t="shared" ref="R190:R204" si="118">IF($AI190="","",IF(LEFT($AI190,2)="C|",IF($C190="","",IFERROR(AF190/Q190-1,"")),IF($AI190="CT",R$13,IF(LEFT($AI190,3)="AM|",IF($C190="","",IFERROR(AF190/Q190-1,"")),IF(LEFT($AI190,2)="S|",IF($AG190="","",IFERROR(AF190/Q190-1,"")),IF($AI190="HDR","Trans LFL",""))))))</f>
        <v/>
      </c>
      <c r="S190" s="41" t="str">
        <f t="shared" ref="S190:S204" si="119">IF($AI190="","",IF(LEFT($AI190,2)="C|",IF(P190="","",IFERROR(P190/Q190-1,"")),IF($AI190="CT",S$13,IF(LEFT($AI190,3)="AM|",IF(P190="","",IFERROR(P190/Q190-1,"")),IF(LEFT($AI190,2)="S|",IF(P190="","",IFERROR(P190/Q190-1,"")),IF($AI190="HDR","Trans Growth",""))))))</f>
        <v/>
      </c>
      <c r="T190" s="42" t="str">
        <f t="shared" ref="T190:T204" si="120">IF($AI190="","",IF(LEFT($AI190,2)="C|",IF($C190="","",IFERROR(D190/P190,"")),IF($AI190="CT",T$13,IF(LEFT($AI190,3)="AM|",IF($C190="","",IFERROR(D190/P190,"")),IF(LEFT($AI190,2)="S|",IF($AG190="","",IFERROR(D190/P190,"")),IF($AI190="HDR","ATV TY",""))))))</f>
        <v/>
      </c>
      <c r="U190" s="42" t="str">
        <f t="shared" ref="U190:U204" si="121">IF($AI190="","",IF(LEFT($AI190,2)="C|",IF($C190="","",IFERROR(E190/Q190,"")),IF($AI190="CT",U$13,IF(LEFT($AI190,3)="AM|",IF($C190="","",IFERROR(E190/Q190,"")),IF(LEFT($AI190,2)="S|",IF($AG190="","",IFERROR(E190/Q190,"")),IF($AI190="HDR","ATV LY",""))))))</f>
        <v/>
      </c>
      <c r="V190" s="41" t="str">
        <f t="shared" ref="V190:V204" si="122">IF($AI190="","",IF(LEFT($AI190,2)="C|",IF($C190="","",IFERROR((AE190/AF190)/U190-1,"")),IF($AI190="CT",V$13,IF(LEFT($AI190,3)="AM|",IF($C190="","",IFERROR((AE190/AF190)/U190-1,"")),IF(LEFT($AI190,2)="S|",IF($AG190="","",IFERROR((AE190/AF190)/U190-1,"")),IF($AI190="HDR","ATV LFL",""))))))</f>
        <v/>
      </c>
      <c r="W190" s="40" t="str" cm="1">
        <f t="array" ref="W190">IF($AI190="","",IF(LEFT($AI190,2)="C|",_xlfn.LET(_xlpm.n,SUMPRODUCT($AP$5:$AP$302*($AO$5:$AO$302=$A190),$BB$5:$BB$302),IF(_xlpm.n=0,"",_xlpm.n)),IF($AI190="CT",W$13,IF(LEFT($AI190,3)="AM|",_xlfn.LET(_xlpm.n,SUMPRODUCT($AP$5:$AP$302*($AN$5:$AN$302=$A190),$BB$5:$BB$302),IF(_xlpm.n=0,"",_xlpm.n)),IF(LEFT($AI190,2)="S|",IF($AG190="","",_xlfn.LET(_xlpm.n,INDEX($BB$5:$BB$302,$AH190),IF(_xlpm.n=0,"",_xlpm.n))),IF($AI190="HDR","Footfall",""))))))</f>
        <v/>
      </c>
      <c r="X190" s="40" t="str" cm="1">
        <f t="array" ref="X190">IF($AI190="","",IF($AI190="HDR","Trans (FF stores)",IF(W190="","",IF(LEFT($AI190,2)="C|",SUMPRODUCT($AP$5:$AP$302*($AO$5:$AO$302=$A190),$BC$5:$BC$302),IF($AI190="CT",X$13,IF(LEFT($AI190,3)="AM|",SUMPRODUCT($AP$5:$AP$302*($AN$5:$AN$302=$A190),$BC$5:$BC$302),IF(LEFT($AI190,2)="S|",INDEX($BC$5:$BC$302,$AH190),"")))))))</f>
        <v/>
      </c>
      <c r="Y190" s="41" t="str">
        <f t="shared" si="110"/>
        <v/>
      </c>
      <c r="Z190" s="40" t="str" cm="1">
        <f t="array" ref="Z190">IF($AI190="","",IF(LEFT($AI190,2)="C|",IF($C190="","",SUMPRODUCT($AP$5:$AP$302*($AO$5:$AO$302=$A190),$CB$5:$CB$302)),IF($AI190="CT",Z$13,IF(LEFT($AI190,3)="AM|",IF($C190="","",SUMPRODUCT($AP$5:$AP$302*($AN$5:$AN$302=$A190),$CB$5:$CB$302)),IF(LEFT($AI190,2)="S|",IF($AG190="","",INDEX($CB$5:$CB$302,$AH190)),IF($AI190="HDR","Makeup Sales",""))))))</f>
        <v/>
      </c>
      <c r="AA190" s="41" t="str">
        <f t="shared" ref="AA190:AA204" si="123">IF($AI190="HDR","Makeup % of Sales",IF(OR(Z190="",AD190=""),"",IFERROR(Z190/AD190,"")))</f>
        <v/>
      </c>
      <c r="AB190" s="40" t="str" cm="1">
        <f t="array" ref="AB190">IF($AI190="","",IF(LEFT($AI190,2)="C|",IF($C190="","",SUMPRODUCT($AP$5:$AP$302*($AO$5:$AO$302=$A190),$CK$5:$CK$302)),IF($AI190="CT",AB$13,IF(LEFT($AI190,3)="AM|",IF($C190="","",SUMPRODUCT($AP$5:$AP$302*($AN$5:$AN$302=$A190),$CK$5:$CK$302)),IF(LEFT($AI190,2)="S|",IF($AG190="","",INDEX($CK$5:$CK$302,$AH190)),IF($AI190="HDR","Makeup Target",""))))))</f>
        <v/>
      </c>
      <c r="AC190" s="41" t="str">
        <f t="shared" si="111"/>
        <v/>
      </c>
      <c r="AD190" s="40" t="str" cm="1">
        <f t="array" ref="AD190">IF($AI190="","",IF(LEFT($AI190,2)="C|",IF($C190="","",SUMPRODUCT($AP$5:$AP$302*($AO$5:$AO$302=$A190),$CI$5:$CI$302)),IF($AI190="CT",AD$13,IF(LEFT($AI190,3)="AM|",IF($C190="","",SUMPRODUCT($AP$5:$AP$302*($AN$5:$AN$302=$A190),$CI$5:$CI$302)),IF(LEFT($AI190,2)="S|",IF($AG190="","",INDEX($CI$5:$CI$302,$AH190)),IF($AI190="HDR","Cosmetic Sales",""))))))</f>
        <v/>
      </c>
      <c r="AE190" s="8" t="str" cm="1">
        <f t="array" ref="AE190">IF($AI190="","",IF(LEFT($AI190,2)="C|",IF($C190="","",SUMPRODUCT($AP$5:$AP$302*($AO$5:$AO$302=$A190)*$AQ$5:$AQ$302,$AR$5:$AR$302)),IF($AI190="CT",AE$13,IF(LEFT($AI190,3)="AM|",IF($C190="","",SUMPRODUCT($AP$5:$AP$302*($AN$5:$AN$302=$A190)*$AQ$5:$AQ$302,$AR$5:$AR$302)),IF(LEFT($AI190,2)="S|",IF($AG190="","",IF(INDEX($AQ$5:$AQ$302,$AH190)=1,D190,0)),IF($AI190="HDR","LFL Sales",""))))))</f>
        <v/>
      </c>
      <c r="AF190" s="8" t="str" cm="1">
        <f t="array" ref="AF190">IF($AI190="","",IF(LEFT($AI190,2)="C|",IF($C190="","",SUMPRODUCT($AP$5:$AP$302*($AO$5:$AO$302=$A190)*$AQ$5:$AQ$302,$AS$5:$AS$302)),IF($AI190="CT",AF$13,IF(LEFT($AI190,3)="AM|",IF($C190="","",SUMPRODUCT($AP$5:$AP$302*($AN$5:$AN$302=$A190)*$AQ$5:$AQ$302,$AS$5:$AS$302)),IF(LEFT($AI190,2)="S|",IF($AG190="","",IF(INDEX($AQ$5:$AQ$302,$AH190)=1,P190,0)),IF($AI190="HDR","LFL Trans",""))))))</f>
        <v/>
      </c>
      <c r="AG190" s="8" t="str" cm="1">
        <f t="array" ref="AG190">IF($AI190="","",IF(LEFT($AI190,2)="C|","",IF($AI190="CT","",IF(LEFT($AI190,3)="AM|","",IF(LEFT($AI190,2)="S|",IF($AH190="","",IF(INDEX($AP$5:$AP$302,$AH190)=1,1,"")),IF($AI190="HDR","Show",""))))))</f>
        <v/>
      </c>
      <c r="AH190" s="8" t="str">
        <f t="shared" ref="AH190:AH204" si="124">IF($AI190="","",IF(LEFT($AI190,2)="C|","",IF($AI190="CT","",IF(LEFT($AI190,3)="AM|","",IF(LEFT($AI190,2)="S|",IFERROR(MATCH($A190,$AW$5:$AW$302,0),""),IF($AI190="HDR","Src Row",""))))))</f>
        <v/>
      </c>
      <c r="AI190" s="8"/>
      <c r="AN190" s="8" t="str" cm="1">
        <f t="array" ref="AN190">IF($AW190="","",_xlfn.LET(_xlpm.sa,IFERROR(TRIM(INDEX('Sales and count'!$D$4:$D$300,$BF190)&amp;""),""),_xlpm.ta,IFERROR(TRIM(INDEX('TY Sales Target'!$F$5:$F$300,$BG190)&amp;""),""),IF(AND(_xlpm.sa&lt;&gt;"",LEFT(_xlpm.sa,1)&lt;&gt;"#",_xlpm.sa&lt;&gt;"0"),_xlpm.sa,IF(AND(_xlpm.ta&lt;&gt;"",LEFT(_xlpm.ta,1)&lt;&gt;"#",_xlpm.ta&lt;&gt;"0"),_xlpm.ta,IF(ISNUMBER($BG190),"Unassigned","")))))</f>
        <v/>
      </c>
      <c r="AO190" s="8" t="str" cm="1">
        <f t="array" ref="AO190">IF($AW190="","",_xlfn.LET(_xlpm.sa,IFERROR(TRIM(INDEX('Sales and count'!$C$4:$C$300,$BF190)&amp;""),""),_xlpm.ta,IFERROR(TRIM(INDEX('TY Sales Target'!$D$5:$D$300,$BG190)&amp;""),""),IF(AND(_xlpm.sa&lt;&gt;"",LEFT(_xlpm.sa,1)&lt;&gt;"#",_xlpm.sa&lt;&gt;"0"),_xlpm.sa,IF(AND(_xlpm.ta&lt;&gt;"",LEFT(_xlpm.ta,1)&lt;&gt;"#",_xlpm.ta&lt;&gt;"0"),_xlpm.ta,""))))</f>
        <v/>
      </c>
      <c r="AP190" s="8">
        <f t="shared" si="93"/>
        <v>0</v>
      </c>
      <c r="AQ190" s="8">
        <f t="shared" si="94"/>
        <v>0</v>
      </c>
      <c r="AR190" s="8" cm="1">
        <f t="array" ref="AR190">IF($BF190="",0,_xlfn.LET(_xlpm.d,IFERROR(--'Sales and count'!$G$2:$CC$2,0),SUMPRODUCT(('Sales and count'!$G$3:$CC$3="Total")*(_xlpm.d&gt;=$U$4)*(_xlpm.d&lt;=$U$5),INDEX('Sales and count'!$G$4:$CC$300,$BF190,0))))</f>
        <v>0</v>
      </c>
      <c r="AS190" s="8" cm="1">
        <f t="array" ref="AS190">IF($BF190="",0,_xlfn.LET(_xlpm.d,IFERROR(--'Sales and count'!$F$2:$CB$2,0),SUMPRODUCT(('Sales and count'!$G$3:$CC$3="Transactions")*(_xlpm.d&gt;=$U$4)*(_xlpm.d&lt;=$U$5),INDEX('Sales and count'!$G$4:$CC$300,$BF190,0))))</f>
        <v>0</v>
      </c>
      <c r="AT190" s="8" cm="1">
        <f t="array" ref="AT190">IF($AW190="",0,SUMPRODUCT((TRIM('LY Sales '!$B$5:$B$200)=$AW190)*('LY Sales '!$C$2:$AG$2&gt;=EDATE($U$4,-12))*('LY Sales '!$C$2:$AG$2&lt;=EDATE($U$5,-12)),'LY Sales '!$C$5:$AG$200))</f>
        <v>0</v>
      </c>
      <c r="AU190" s="8" cm="1">
        <f t="array" ref="AU190">IF($AW190="",0,SUMPRODUCT((TRIM('LY Transaction'!$B$5:$B$200)=$AW190)*('LY Transaction'!$C$2:$AG$2&gt;=EDATE($U$4,-12))*('LY Transaction'!$C$2:$AG$2&lt;=EDATE($U$5,-12)),'LY Transaction'!$C$5:$AG$200))</f>
        <v>0</v>
      </c>
      <c r="AV190" s="8" cm="1">
        <f t="array" ref="AV190">IF(NOT(ISNUMBER($BG190)),0,SUMPRODUCT(('TY Sales Target'!$K$2:$AO$2&gt;=$U$4)*('TY Sales Target'!$K$2:$AO$2&lt;=$U$5),INDEX('TY Sales Target'!$K$5:$AO$300,$BG190,0)))</f>
        <v>0</v>
      </c>
      <c r="AW190" s="8" t="str" cm="1">
        <f t="array" ref="AW190">IFERROR(INDEX(_xlfn.ANCHORARRAY($BR$5),ROWS($AW$5:AW190)),"")</f>
        <v/>
      </c>
      <c r="BB190" cm="1">
        <f t="array" ref="BB190">IF($AW190="",0,SUMPRODUCT((TRIM(Footfall!$B$5:$B$301)=$AW190)*(Footfall!$C$1:$BZ$1&gt;=$U$4)*(Footfall!$C$2:$BZ$2&lt;=$U$5)*(Footfall!$C$1:$BZ$1&lt;&gt;""),Footfall!$C$5:$BZ$301))</f>
        <v>0</v>
      </c>
      <c r="BC190" cm="1">
        <f t="array" ref="BC190">IF(OR($BB190&lt;=0,$BD$1="",$BF190=""),0,_xlfn.LET(_xlpm.d,IFERROR(--'Sales and count'!$F$2:$CB$2,0),SUMPRODUCT(('Sales and count'!$G$3:$CC$3="Transactions")*(_xlpm.d&gt;=$BD$1)*(_xlpm.d&lt;=$BD$2),INDEX('Sales and count'!$G$4:$CC$300,$BF190,0))))</f>
        <v>0</v>
      </c>
      <c r="BF190" t="str" cm="1">
        <f t="array" ref="BF190">IF($AW190="","",IFERROR(MATCH($AW190,TRIM('Sales and count'!$A$4:$A$300&amp;""),0),""))</f>
        <v/>
      </c>
      <c r="BG190" t="str" cm="1">
        <f t="array" ref="BG190">IF($AW190="","",IFERROR(MATCH(IFERROR(_xlfn.XLOOKUP($AW190,$BT$5:$BT$22,$BU$5:$BU$22),$AW190),TRIM('TY Sales Target'!$B$5:$B$300&amp;""),0),""))</f>
        <v/>
      </c>
      <c r="BH190" t="str" cm="1">
        <f t="array" ref="BH190">IF(ISNUMBER($BG190),_xlfn.LET(_xlpm.p,TRIM(INDEX('TY Sales Target'!$I$5:$I$300,$BG190)&amp;""),IF(_xlpm.p="","Not set",_xlpm.p)),"Not set")</f>
        <v>Not set</v>
      </c>
      <c r="BI190" cm="1">
        <f t="array" ref="BI190">IF($BF190="",0,_xlfn.LET(_xlpm.d,IFERROR(--'Sales and count'!$G$2:$CC$2,0),SUMPRODUCT(('Sales and count'!$G$3:$CC$3="Total")*(_xlpm.d&gt;=$BZ$5)*(_xlpm.d&lt;=$BZ$6),INDEX('Sales and count'!$G$4:$CC$300,$BF190,0))))</f>
        <v>0</v>
      </c>
      <c r="BJ190" cm="1">
        <f t="array" ref="BJ190">IF($AW190="",0,SUMPRODUCT((TRIM('LY Sales '!$B$5:$B$200)=$AW190)*('LY Sales '!$C$2:$AG$2&gt;=EDATE($BZ$5,-12))*('LY Sales '!$C$2:$AG$2&lt;=EDATE($BZ$6,-12)),'LY Sales '!$C$5:$AG$200))</f>
        <v>0</v>
      </c>
      <c r="BK190" cm="1">
        <f t="array" ref="BK190">IF($AW190="",0,SUMPRODUCT((TRIM('LY Sales '!$B$5:$B$200)=$AW190)*('LY Sales '!$C$2:$AG$2&gt;=EDATE($BZ$5,-12))*('LY Sales '!$C$2:$AG$2&lt;=EDATE($BZ$7,-12)),'LY Sales '!$C$5:$AG$200))</f>
        <v>0</v>
      </c>
      <c r="BL190" cm="1">
        <f t="array" ref="BL190">IF($AW190="",0,SUMPRODUCT((TRIM('LY Sales '!$B$5:$B$200)=$AW190)*('LY Sales '!$C$2:$AG$2&gt;=EDATE($BZ$5,-12))*('LY Sales '!$C$2:$AG$2&lt;=EDATE($BZ$6,-12))*('LY Sales '!$C$5:$AG$200&gt;0)))</f>
        <v>0</v>
      </c>
      <c r="BM190" cm="1">
        <f t="array" ref="BM190">IF(NOT(ISNUMBER($BG190)),0,SUMPRODUCT(('TY Sales Target'!$K$2:$AO$2&gt;=$BZ$5)*('TY Sales Target'!$K$2:$AO$2&lt;=$BZ$6),INDEX('TY Sales Target'!$K$5:$AO$300,$BG190,0)))</f>
        <v>0</v>
      </c>
      <c r="BN190" cm="1">
        <f t="array" ref="BN190">IF(NOT(ISNUMBER($BG190)),0,SUMPRODUCT(('TY Sales Target'!$K$2:$AO$2&gt;=$BZ$5)*('TY Sales Target'!$K$2:$AO$2&lt;=$BZ$7),INDEX('TY Sales Target'!$K$5:$AO$300,$BG190,0)))</f>
        <v>0</v>
      </c>
      <c r="BO190" cm="1">
        <f t="array" ref="BO190">IF($AW190="",0,IFERROR(_xlfn.SWITCH($BP190,"LY trend",$BI190*$BK190/$BJ190,"Target curve",$BI190*$BN190/$BM190,"Run rate",$BI190/$BZ$8*$BZ$9,0),0))</f>
        <v>0</v>
      </c>
      <c r="BP190" t="str">
        <f t="shared" si="92"/>
        <v/>
      </c>
      <c r="CB190" cm="1">
        <f t="array" ref="CB190">IF($AW190="",0,_xlfn.LET(_xlpm.k,IFERROR(_xlfn.XLOOKUP($AW190,$CD$6:$CD$21,$CE$6:$CE$21),$AW190),SUMPRODUCT((TRIM('Makeup '!$A$2:$A$300&amp;"")=_xlpm.k)*1,IFERROR('Makeup '!$F$2:$F$300*1,0))))</f>
        <v>0</v>
      </c>
      <c r="CF190" t="str" cm="1">
        <f t="array" ref="CF190">IF($AW190="","",_xlfn.LET(_xlpm.c,IFERROR(TRIM(INDEX('Sales and count'!$B$4:$B$300,$BF190)&amp;""),""),IF(OR(_xlpm.c="",_xlpm.c="0",LEFT(_xlpm.c,1)="#"),"Not set",_xlpm.c)))</f>
        <v/>
      </c>
      <c r="CH190" cm="1">
        <f t="array" ref="CH190">IF($AW190="",0,_xlfn.LET(_xlpm.k,IFERROR(_xlfn.XLOOKUP($AW190,$CD$6:$CD$21,$CE$6:$CE$21),$AW190),--(SUMPRODUCT((TRIM('Makeup '!$A$2:$A$300&amp;"")=_xlpm.k)*ISNUMBER('Makeup '!$F$2:$F$300))&gt;0)))</f>
        <v>0</v>
      </c>
      <c r="CI190">
        <f t="shared" si="95"/>
        <v>0</v>
      </c>
      <c r="CJ190" cm="1">
        <f t="array" ref="CJ190">IF($AW190="",0,--(SUMPRODUCT(--(TRIM(Footfall!$B$5:$B$301)=$AW190))&gt;0))</f>
        <v>0</v>
      </c>
      <c r="CK190" s="8" cm="1">
        <f t="array" ref="CK190">IF($AW190="",0,_xlfn.LET(_xlpm.r,IFERROR(MATCH(IFERROR(_xlfn.XLOOKUP($AW190,$BT$5:$BT$22,$BU$5:$BU$22),$AW190),TRIM('TY Beauty Target'!$B$5:$B$300&amp;""),0),""),IF(ISNUMBER(_xlpm.r),SUMPRODUCT(('TY Beauty Target'!$L$2:$AP$2&gt;=$U$4)*('TY Beauty Target'!$L$2:$AP$2&lt;=$U$5),INDEX('TY Beauty Target'!$L$5:$AP$300,_xlpm.r,0)),0)))</f>
        <v>0</v>
      </c>
    </row>
    <row r="191" spans="1:89" ht="15" customHeight="1" x14ac:dyDescent="0.25">
      <c r="A191" s="38" t="str">
        <f t="shared" si="112"/>
        <v/>
      </c>
      <c r="B191" s="43" t="str" cm="1">
        <f t="array" ref="B191">IF($AI191="","",IF(LEFT($AI191,2)="C|",IF($C191="","",_xlfn.TEXTJOIN(", ",TRUE,_xlfn.UNIQUE(_xlfn._xlws.FILTER($AN$5:$AN$302,($AP$5:$AP$302=1)*($AO$5:$AO$302=$A191))))),IF($AI191="CT",B$13,IF(LEFT($AI191,3)="AM|",IF($C191="","",ROWS(_xlfn.UNIQUE(_xlfn._xlws.FILTER($AO$5:$AO$302,($AP$5:$AP$302=1)*($AN$5:$AN$302=$A191))))),IF(LEFT($AI191,2)="S|",IF($AG191="","",INDEX($AO$5:$AO$302,$AH191)),IF($AI191="HDR","City",""))))))</f>
        <v/>
      </c>
      <c r="C191" s="39" t="str" cm="1">
        <f t="array" ref="C191">IF($AI191="","",IF(LEFT($AI191,2)="C|",_xlfn.LET(_xlpm.n,SUMPRODUCT($AP$5:$AP$302*($AO$5:$AO$302=$A191)),IF(_xlpm.n=0,"",_xlpm.n)),IF($AI191="CT",C$13,IF(LEFT($AI191,3)="AM|",_xlfn.LET(_xlpm.n,SUMPRODUCT($AP$5:$AP$302*($AN$5:$AN$302=$A191)),IF(_xlpm.n=0,"",_xlpm.n)),IF(LEFT($AI191,2)="S|","",IF($AI191="HDR","# Stores",""))))))</f>
        <v/>
      </c>
      <c r="D191" s="40" t="str" cm="1">
        <f t="array" ref="D191">IF($AI191="","",IF(LEFT($AI191,2)="C|",IF($C191="","",SUMPRODUCT($AP$5:$AP$302*($AO$5:$AO$302=$A191),$AR$5:$AR$302)),IF($AI191="CT",D$13,IF(LEFT($AI191,3)="AM|",IF($C191="","",SUMPRODUCT($AP$5:$AP$302*($AN$5:$AN$302=$A191),$AR$5:$AR$302)),IF(LEFT($AI191,2)="S|",IF($AG191="","",INDEX($AR$5:$AR$302,$AH191)),IF($AI191="HDR","Sales TY",""))))))</f>
        <v/>
      </c>
      <c r="E191" s="40" t="str" cm="1">
        <f t="array" ref="E191">IF($AI191="","",IF(LEFT($AI191,2)="C|",IF($C191="","",SUMPRODUCT($AP$5:$AP$302*($AO$5:$AO$302=$A191),$AT$5:$AT$302)),IF($AI191="CT",E$13,IF(LEFT($AI191,3)="AM|",IF($C191="","",SUMPRODUCT($AP$5:$AP$302*($AN$5:$AN$302=$A191),$AT$5:$AT$302)),IF(LEFT($AI191,2)="S|",IF($AG191="","",INDEX($AT$5:$AT$302,$AH191)),IF($AI191="HDR","Sales LY",""))))))</f>
        <v/>
      </c>
      <c r="F191" s="41" t="str">
        <f t="shared" si="113"/>
        <v/>
      </c>
      <c r="G191" s="41" t="str">
        <f t="shared" si="114"/>
        <v/>
      </c>
      <c r="H191" s="40" t="str" cm="1">
        <f t="array" ref="H191">IF($AI191="","",IF(LEFT($AI191,2)="C|",IF($C191="","",SUMPRODUCT($AP$5:$AP$302*($AO$5:$AO$302=$A191),$AV$5:$AV$302)),IF($AI191="CT",H$13,IF(LEFT($AI191,3)="AM|",IF($C191="","",SUMPRODUCT($AP$5:$AP$302*($AN$5:$AN$302=$A191),$AV$5:$AV$302)),IF(LEFT($AI191,2)="S|",IF($AG191="","",INDEX($AV$5:$AV$302,$AH191)),IF($AI191="HDR","Target",""))))))</f>
        <v/>
      </c>
      <c r="I191" s="41" t="str">
        <f t="shared" si="115"/>
        <v/>
      </c>
      <c r="J191" s="40" t="str">
        <f t="shared" si="116"/>
        <v/>
      </c>
      <c r="K191" s="41" t="str">
        <f t="shared" si="117"/>
        <v/>
      </c>
      <c r="L191" s="40" t="str" cm="1">
        <f t="array" ref="L191">IF($AI191="","",IF(LEFT($AI191,2)="C|",IF($C191="","",SUMPRODUCT($AP$5:$AP$302*($AO$5:$AO$302=$A191),$BN$5:$BN$302)),IF($AI191="CT",L$13,IF(LEFT($AI191,3)="AM|",IF($C191="","",SUMPRODUCT($AP$5:$AP$302*($AN$5:$AN$302=$A191),$BN$5:$BN$302)),IF(LEFT($AI191,2)="S|",IF($AG191="","",INDEX($BN$5:$BN$302,$AH191)),IF($AI191="HDR","Month Target",""))))))</f>
        <v/>
      </c>
      <c r="M191" s="40" t="str" cm="1">
        <f t="array" ref="M191">IF($AI191="","",IF(LEFT($AI191,2)="C|",IF($C191="","",SUMPRODUCT($AP$5:$AP$302*($AO$5:$AO$302=$A191),$BO$5:$BO$302)),IF($AI191="CT",M$13,IF(LEFT($AI191,3)="AM|",IF($C191="","",SUMPRODUCT($AP$5:$AP$302*($AN$5:$AN$302=$A191),$BO$5:$BO$302)),IF(LEFT($AI191,2)="S|",IF($AG191="","",INDEX($BO$5:$BO$302,$AH191)),IF($AI191="HDR","Projected Close",""))))))</f>
        <v/>
      </c>
      <c r="N191" s="41" t="str">
        <f t="shared" si="109"/>
        <v/>
      </c>
      <c r="O191" s="41" t="str" cm="1">
        <f t="array" ref="O191">IF($AI191="HDR","Proj. vs LY",IF(OR($AI191="",M191=""),"",_xlfn.LET(_xlpm.ly,IF(LEFT($AI191,2)="C|",SUMPRODUCT($AP$5:$AP$302*($AO$5:$AO$302=$A191),$BK$5:$BK$302),IF($AI191="CT",SUMPRODUCT($AP$5:$AP$302,$BK$5:$BK$302),IF(LEFT($AI191,3)="AM|",SUMPRODUCT($AP$5:$AP$302*($AN$5:$AN$302=$A191),$BK$5:$BK$302),IF(LEFT($AI191,2)="S|",INDEX($BK$5:$BK$302,$AH191),0)))),IFERROR(M191/_xlpm.ly-1,""))))</f>
        <v/>
      </c>
      <c r="P191" s="40" t="str" cm="1">
        <f t="array" ref="P191">IF($AI191="","",IF(LEFT($AI191,2)="C|",IF($C191="","",SUMPRODUCT($AP$5:$AP$302*($AO$5:$AO$302=$A191),$AS$5:$AS$302)),IF($AI191="CT",P$13,IF(LEFT($AI191,3)="AM|",IF($C191="","",SUMPRODUCT($AP$5:$AP$302*($AN$5:$AN$302=$A191),$AS$5:$AS$302)),IF(LEFT($AI191,2)="S|",IF($AG191="","",INDEX($AS$5:$AS$302,$AH191)),IF($AI191="HDR","Trans TY",""))))))</f>
        <v/>
      </c>
      <c r="Q191" s="40" t="str" cm="1">
        <f t="array" ref="Q191">IF($AI191="","",IF(LEFT($AI191,2)="C|",IF($C191="","",SUMPRODUCT($AP$5:$AP$302*($AO$5:$AO$302=$A191),$AU$5:$AU$302)),IF($AI191="CT",Q$13,IF(LEFT($AI191,3)="AM|",IF($C191="","",SUMPRODUCT($AP$5:$AP$302*($AN$5:$AN$302=$A191),$AU$5:$AU$302)),IF(LEFT($AI191,2)="S|",IF($AG191="","",INDEX($AU$5:$AU$302,$AH191)),IF($AI191="HDR","Trans LY",""))))))</f>
        <v/>
      </c>
      <c r="R191" s="41" t="str">
        <f t="shared" si="118"/>
        <v/>
      </c>
      <c r="S191" s="41" t="str">
        <f t="shared" si="119"/>
        <v/>
      </c>
      <c r="T191" s="42" t="str">
        <f t="shared" si="120"/>
        <v/>
      </c>
      <c r="U191" s="42" t="str">
        <f t="shared" si="121"/>
        <v/>
      </c>
      <c r="V191" s="41" t="str">
        <f t="shared" si="122"/>
        <v/>
      </c>
      <c r="W191" s="40" t="str" cm="1">
        <f t="array" ref="W191">IF($AI191="","",IF(LEFT($AI191,2)="C|",_xlfn.LET(_xlpm.n,SUMPRODUCT($AP$5:$AP$302*($AO$5:$AO$302=$A191),$BB$5:$BB$302),IF(_xlpm.n=0,"",_xlpm.n)),IF($AI191="CT",W$13,IF(LEFT($AI191,3)="AM|",_xlfn.LET(_xlpm.n,SUMPRODUCT($AP$5:$AP$302*($AN$5:$AN$302=$A191),$BB$5:$BB$302),IF(_xlpm.n=0,"",_xlpm.n)),IF(LEFT($AI191,2)="S|",IF($AG191="","",_xlfn.LET(_xlpm.n,INDEX($BB$5:$BB$302,$AH191),IF(_xlpm.n=0,"",_xlpm.n))),IF($AI191="HDR","Footfall",""))))))</f>
        <v/>
      </c>
      <c r="X191" s="40" t="str" cm="1">
        <f t="array" ref="X191">IF($AI191="","",IF($AI191="HDR","Trans (FF stores)",IF(W191="","",IF(LEFT($AI191,2)="C|",SUMPRODUCT($AP$5:$AP$302*($AO$5:$AO$302=$A191),$BC$5:$BC$302),IF($AI191="CT",X$13,IF(LEFT($AI191,3)="AM|",SUMPRODUCT($AP$5:$AP$302*($AN$5:$AN$302=$A191),$BC$5:$BC$302),IF(LEFT($AI191,2)="S|",INDEX($BC$5:$BC$302,$AH191),"")))))))</f>
        <v/>
      </c>
      <c r="Y191" s="41" t="str">
        <f t="shared" si="110"/>
        <v/>
      </c>
      <c r="Z191" s="40" t="str" cm="1">
        <f t="array" ref="Z191">IF($AI191="","",IF(LEFT($AI191,2)="C|",IF($C191="","",SUMPRODUCT($AP$5:$AP$302*($AO$5:$AO$302=$A191),$CB$5:$CB$302)),IF($AI191="CT",Z$13,IF(LEFT($AI191,3)="AM|",IF($C191="","",SUMPRODUCT($AP$5:$AP$302*($AN$5:$AN$302=$A191),$CB$5:$CB$302)),IF(LEFT($AI191,2)="S|",IF($AG191="","",INDEX($CB$5:$CB$302,$AH191)),IF($AI191="HDR","Makeup Sales",""))))))</f>
        <v/>
      </c>
      <c r="AA191" s="41" t="str">
        <f t="shared" si="123"/>
        <v/>
      </c>
      <c r="AB191" s="40" t="str" cm="1">
        <f t="array" ref="AB191">IF($AI191="","",IF(LEFT($AI191,2)="C|",IF($C191="","",SUMPRODUCT($AP$5:$AP$302*($AO$5:$AO$302=$A191),$CK$5:$CK$302)),IF($AI191="CT",AB$13,IF(LEFT($AI191,3)="AM|",IF($C191="","",SUMPRODUCT($AP$5:$AP$302*($AN$5:$AN$302=$A191),$CK$5:$CK$302)),IF(LEFT($AI191,2)="S|",IF($AG191="","",INDEX($CK$5:$CK$302,$AH191)),IF($AI191="HDR","Makeup Target",""))))))</f>
        <v/>
      </c>
      <c r="AC191" s="41" t="str">
        <f t="shared" si="111"/>
        <v/>
      </c>
      <c r="AD191" s="40" t="str" cm="1">
        <f t="array" ref="AD191">IF($AI191="","",IF(LEFT($AI191,2)="C|",IF($C191="","",SUMPRODUCT($AP$5:$AP$302*($AO$5:$AO$302=$A191),$CI$5:$CI$302)),IF($AI191="CT",AD$13,IF(LEFT($AI191,3)="AM|",IF($C191="","",SUMPRODUCT($AP$5:$AP$302*($AN$5:$AN$302=$A191),$CI$5:$CI$302)),IF(LEFT($AI191,2)="S|",IF($AG191="","",INDEX($CI$5:$CI$302,$AH191)),IF($AI191="HDR","Cosmetic Sales",""))))))</f>
        <v/>
      </c>
      <c r="AE191" s="8" t="str" cm="1">
        <f t="array" ref="AE191">IF($AI191="","",IF(LEFT($AI191,2)="C|",IF($C191="","",SUMPRODUCT($AP$5:$AP$302*($AO$5:$AO$302=$A191)*$AQ$5:$AQ$302,$AR$5:$AR$302)),IF($AI191="CT",AE$13,IF(LEFT($AI191,3)="AM|",IF($C191="","",SUMPRODUCT($AP$5:$AP$302*($AN$5:$AN$302=$A191)*$AQ$5:$AQ$302,$AR$5:$AR$302)),IF(LEFT($AI191,2)="S|",IF($AG191="","",IF(INDEX($AQ$5:$AQ$302,$AH191)=1,D191,0)),IF($AI191="HDR","LFL Sales",""))))))</f>
        <v/>
      </c>
      <c r="AF191" s="8" t="str" cm="1">
        <f t="array" ref="AF191">IF($AI191="","",IF(LEFT($AI191,2)="C|",IF($C191="","",SUMPRODUCT($AP$5:$AP$302*($AO$5:$AO$302=$A191)*$AQ$5:$AQ$302,$AS$5:$AS$302)),IF($AI191="CT",AF$13,IF(LEFT($AI191,3)="AM|",IF($C191="","",SUMPRODUCT($AP$5:$AP$302*($AN$5:$AN$302=$A191)*$AQ$5:$AQ$302,$AS$5:$AS$302)),IF(LEFT($AI191,2)="S|",IF($AG191="","",IF(INDEX($AQ$5:$AQ$302,$AH191)=1,P191,0)),IF($AI191="HDR","LFL Trans",""))))))</f>
        <v/>
      </c>
      <c r="AG191" s="8" t="str" cm="1">
        <f t="array" ref="AG191">IF($AI191="","",IF(LEFT($AI191,2)="C|","",IF($AI191="CT","",IF(LEFT($AI191,3)="AM|","",IF(LEFT($AI191,2)="S|",IF($AH191="","",IF(INDEX($AP$5:$AP$302,$AH191)=1,1,"")),IF($AI191="HDR","Show",""))))))</f>
        <v/>
      </c>
      <c r="AH191" s="8" t="str">
        <f t="shared" si="124"/>
        <v/>
      </c>
      <c r="AI191" s="8"/>
      <c r="AN191" s="8" t="str" cm="1">
        <f t="array" ref="AN191">IF($AW191="","",_xlfn.LET(_xlpm.sa,IFERROR(TRIM(INDEX('Sales and count'!$D$4:$D$300,$BF191)&amp;""),""),_xlpm.ta,IFERROR(TRIM(INDEX('TY Sales Target'!$F$5:$F$300,$BG191)&amp;""),""),IF(AND(_xlpm.sa&lt;&gt;"",LEFT(_xlpm.sa,1)&lt;&gt;"#",_xlpm.sa&lt;&gt;"0"),_xlpm.sa,IF(AND(_xlpm.ta&lt;&gt;"",LEFT(_xlpm.ta,1)&lt;&gt;"#",_xlpm.ta&lt;&gt;"0"),_xlpm.ta,IF(ISNUMBER($BG191),"Unassigned","")))))</f>
        <v/>
      </c>
      <c r="AO191" s="8" t="str" cm="1">
        <f t="array" ref="AO191">IF($AW191="","",_xlfn.LET(_xlpm.sa,IFERROR(TRIM(INDEX('Sales and count'!$C$4:$C$300,$BF191)&amp;""),""),_xlpm.ta,IFERROR(TRIM(INDEX('TY Sales Target'!$D$5:$D$300,$BG191)&amp;""),""),IF(AND(_xlpm.sa&lt;&gt;"",LEFT(_xlpm.sa,1)&lt;&gt;"#",_xlpm.sa&lt;&gt;"0"),_xlpm.sa,IF(AND(_xlpm.ta&lt;&gt;"",LEFT(_xlpm.ta,1)&lt;&gt;"#",_xlpm.ta&lt;&gt;"0"),_xlpm.ta,""))))</f>
        <v/>
      </c>
      <c r="AP191" s="8">
        <f t="shared" si="93"/>
        <v>0</v>
      </c>
      <c r="AQ191" s="8">
        <f t="shared" si="94"/>
        <v>0</v>
      </c>
      <c r="AR191" s="8" cm="1">
        <f t="array" ref="AR191">IF($BF191="",0,_xlfn.LET(_xlpm.d,IFERROR(--'Sales and count'!$G$2:$CC$2,0),SUMPRODUCT(('Sales and count'!$G$3:$CC$3="Total")*(_xlpm.d&gt;=$U$4)*(_xlpm.d&lt;=$U$5),INDEX('Sales and count'!$G$4:$CC$300,$BF191,0))))</f>
        <v>0</v>
      </c>
      <c r="AS191" s="8" cm="1">
        <f t="array" ref="AS191">IF($BF191="",0,_xlfn.LET(_xlpm.d,IFERROR(--'Sales and count'!$F$2:$CB$2,0),SUMPRODUCT(('Sales and count'!$G$3:$CC$3="Transactions")*(_xlpm.d&gt;=$U$4)*(_xlpm.d&lt;=$U$5),INDEX('Sales and count'!$G$4:$CC$300,$BF191,0))))</f>
        <v>0</v>
      </c>
      <c r="AT191" s="8" cm="1">
        <f t="array" ref="AT191">IF($AW191="",0,SUMPRODUCT((TRIM('LY Sales '!$B$5:$B$200)=$AW191)*('LY Sales '!$C$2:$AG$2&gt;=EDATE($U$4,-12))*('LY Sales '!$C$2:$AG$2&lt;=EDATE($U$5,-12)),'LY Sales '!$C$5:$AG$200))</f>
        <v>0</v>
      </c>
      <c r="AU191" s="8" cm="1">
        <f t="array" ref="AU191">IF($AW191="",0,SUMPRODUCT((TRIM('LY Transaction'!$B$5:$B$200)=$AW191)*('LY Transaction'!$C$2:$AG$2&gt;=EDATE($U$4,-12))*('LY Transaction'!$C$2:$AG$2&lt;=EDATE($U$5,-12)),'LY Transaction'!$C$5:$AG$200))</f>
        <v>0</v>
      </c>
      <c r="AV191" s="8" cm="1">
        <f t="array" ref="AV191">IF(NOT(ISNUMBER($BG191)),0,SUMPRODUCT(('TY Sales Target'!$K$2:$AO$2&gt;=$U$4)*('TY Sales Target'!$K$2:$AO$2&lt;=$U$5),INDEX('TY Sales Target'!$K$5:$AO$300,$BG191,0)))</f>
        <v>0</v>
      </c>
      <c r="AW191" s="8" t="str" cm="1">
        <f t="array" ref="AW191">IFERROR(INDEX(_xlfn.ANCHORARRAY($BR$5),ROWS($AW$5:AW191)),"")</f>
        <v/>
      </c>
      <c r="BB191" cm="1">
        <f t="array" ref="BB191">IF($AW191="",0,SUMPRODUCT((TRIM(Footfall!$B$5:$B$301)=$AW191)*(Footfall!$C$1:$BZ$1&gt;=$U$4)*(Footfall!$C$2:$BZ$2&lt;=$U$5)*(Footfall!$C$1:$BZ$1&lt;&gt;""),Footfall!$C$5:$BZ$301))</f>
        <v>0</v>
      </c>
      <c r="BC191" cm="1">
        <f t="array" ref="BC191">IF(OR($BB191&lt;=0,$BD$1="",$BF191=""),0,_xlfn.LET(_xlpm.d,IFERROR(--'Sales and count'!$F$2:$CB$2,0),SUMPRODUCT(('Sales and count'!$G$3:$CC$3="Transactions")*(_xlpm.d&gt;=$BD$1)*(_xlpm.d&lt;=$BD$2),INDEX('Sales and count'!$G$4:$CC$300,$BF191,0))))</f>
        <v>0</v>
      </c>
      <c r="BF191" t="str" cm="1">
        <f t="array" ref="BF191">IF($AW191="","",IFERROR(MATCH($AW191,TRIM('Sales and count'!$A$4:$A$300&amp;""),0),""))</f>
        <v/>
      </c>
      <c r="BG191" t="str" cm="1">
        <f t="array" ref="BG191">IF($AW191="","",IFERROR(MATCH(IFERROR(_xlfn.XLOOKUP($AW191,$BT$5:$BT$22,$BU$5:$BU$22),$AW191),TRIM('TY Sales Target'!$B$5:$B$300&amp;""),0),""))</f>
        <v/>
      </c>
      <c r="BH191" t="str" cm="1">
        <f t="array" ref="BH191">IF(ISNUMBER($BG191),_xlfn.LET(_xlpm.p,TRIM(INDEX('TY Sales Target'!$I$5:$I$300,$BG191)&amp;""),IF(_xlpm.p="","Not set",_xlpm.p)),"Not set")</f>
        <v>Not set</v>
      </c>
      <c r="BI191" cm="1">
        <f t="array" ref="BI191">IF($BF191="",0,_xlfn.LET(_xlpm.d,IFERROR(--'Sales and count'!$G$2:$CC$2,0),SUMPRODUCT(('Sales and count'!$G$3:$CC$3="Total")*(_xlpm.d&gt;=$BZ$5)*(_xlpm.d&lt;=$BZ$6),INDEX('Sales and count'!$G$4:$CC$300,$BF191,0))))</f>
        <v>0</v>
      </c>
      <c r="BJ191" cm="1">
        <f t="array" ref="BJ191">IF($AW191="",0,SUMPRODUCT((TRIM('LY Sales '!$B$5:$B$200)=$AW191)*('LY Sales '!$C$2:$AG$2&gt;=EDATE($BZ$5,-12))*('LY Sales '!$C$2:$AG$2&lt;=EDATE($BZ$6,-12)),'LY Sales '!$C$5:$AG$200))</f>
        <v>0</v>
      </c>
      <c r="BK191" cm="1">
        <f t="array" ref="BK191">IF($AW191="",0,SUMPRODUCT((TRIM('LY Sales '!$B$5:$B$200)=$AW191)*('LY Sales '!$C$2:$AG$2&gt;=EDATE($BZ$5,-12))*('LY Sales '!$C$2:$AG$2&lt;=EDATE($BZ$7,-12)),'LY Sales '!$C$5:$AG$200))</f>
        <v>0</v>
      </c>
      <c r="BL191" cm="1">
        <f t="array" ref="BL191">IF($AW191="",0,SUMPRODUCT((TRIM('LY Sales '!$B$5:$B$200)=$AW191)*('LY Sales '!$C$2:$AG$2&gt;=EDATE($BZ$5,-12))*('LY Sales '!$C$2:$AG$2&lt;=EDATE($BZ$6,-12))*('LY Sales '!$C$5:$AG$200&gt;0)))</f>
        <v>0</v>
      </c>
      <c r="BM191" cm="1">
        <f t="array" ref="BM191">IF(NOT(ISNUMBER($BG191)),0,SUMPRODUCT(('TY Sales Target'!$K$2:$AO$2&gt;=$BZ$5)*('TY Sales Target'!$K$2:$AO$2&lt;=$BZ$6),INDEX('TY Sales Target'!$K$5:$AO$300,$BG191,0)))</f>
        <v>0</v>
      </c>
      <c r="BN191" cm="1">
        <f t="array" ref="BN191">IF(NOT(ISNUMBER($BG191)),0,SUMPRODUCT(('TY Sales Target'!$K$2:$AO$2&gt;=$BZ$5)*('TY Sales Target'!$K$2:$AO$2&lt;=$BZ$7),INDEX('TY Sales Target'!$K$5:$AO$300,$BG191,0)))</f>
        <v>0</v>
      </c>
      <c r="BO191" cm="1">
        <f t="array" ref="BO191">IF($AW191="",0,IFERROR(_xlfn.SWITCH($BP191,"LY trend",$BI191*$BK191/$BJ191,"Target curve",$BI191*$BN191/$BM191,"Run rate",$BI191/$BZ$8*$BZ$9,0),0))</f>
        <v>0</v>
      </c>
      <c r="BP191" t="str">
        <f t="shared" si="92"/>
        <v/>
      </c>
      <c r="CB191" cm="1">
        <f t="array" ref="CB191">IF($AW191="",0,_xlfn.LET(_xlpm.k,IFERROR(_xlfn.XLOOKUP($AW191,$CD$6:$CD$21,$CE$6:$CE$21),$AW191),SUMPRODUCT((TRIM('Makeup '!$A$2:$A$300&amp;"")=_xlpm.k)*1,IFERROR('Makeup '!$F$2:$F$300*1,0))))</f>
        <v>0</v>
      </c>
      <c r="CF191" t="str" cm="1">
        <f t="array" ref="CF191">IF($AW191="","",_xlfn.LET(_xlpm.c,IFERROR(TRIM(INDEX('Sales and count'!$B$4:$B$300,$BF191)&amp;""),""),IF(OR(_xlpm.c="",_xlpm.c="0",LEFT(_xlpm.c,1)="#"),"Not set",_xlpm.c)))</f>
        <v/>
      </c>
      <c r="CH191" cm="1">
        <f t="array" ref="CH191">IF($AW191="",0,_xlfn.LET(_xlpm.k,IFERROR(_xlfn.XLOOKUP($AW191,$CD$6:$CD$21,$CE$6:$CE$21),$AW191),--(SUMPRODUCT((TRIM('Makeup '!$A$2:$A$300&amp;"")=_xlpm.k)*ISNUMBER('Makeup '!$F$2:$F$300))&gt;0)))</f>
        <v>0</v>
      </c>
      <c r="CI191">
        <f t="shared" si="95"/>
        <v>0</v>
      </c>
      <c r="CJ191" cm="1">
        <f t="array" ref="CJ191">IF($AW191="",0,--(SUMPRODUCT(--(TRIM(Footfall!$B$5:$B$301)=$AW191))&gt;0))</f>
        <v>0</v>
      </c>
      <c r="CK191" s="8" cm="1">
        <f t="array" ref="CK191">IF($AW191="",0,_xlfn.LET(_xlpm.r,IFERROR(MATCH(IFERROR(_xlfn.XLOOKUP($AW191,$BT$5:$BT$22,$BU$5:$BU$22),$AW191),TRIM('TY Beauty Target'!$B$5:$B$300&amp;""),0),""),IF(ISNUMBER(_xlpm.r),SUMPRODUCT(('TY Beauty Target'!$L$2:$AP$2&gt;=$U$4)*('TY Beauty Target'!$L$2:$AP$2&lt;=$U$5),INDEX('TY Beauty Target'!$L$5:$AP$300,_xlpm.r,0)),0)))</f>
        <v>0</v>
      </c>
    </row>
    <row r="192" spans="1:89" ht="15" customHeight="1" x14ac:dyDescent="0.25">
      <c r="A192" s="38" t="str">
        <f t="shared" si="112"/>
        <v/>
      </c>
      <c r="B192" s="43" t="str" cm="1">
        <f t="array" ref="B192">IF($AI192="","",IF(LEFT($AI192,2)="C|",IF($C192="","",_xlfn.TEXTJOIN(", ",TRUE,_xlfn.UNIQUE(_xlfn._xlws.FILTER($AN$5:$AN$302,($AP$5:$AP$302=1)*($AO$5:$AO$302=$A192))))),IF($AI192="CT",B$13,IF(LEFT($AI192,3)="AM|",IF($C192="","",ROWS(_xlfn.UNIQUE(_xlfn._xlws.FILTER($AO$5:$AO$302,($AP$5:$AP$302=1)*($AN$5:$AN$302=$A192))))),IF(LEFT($AI192,2)="S|",IF($AG192="","",INDEX($AO$5:$AO$302,$AH192)),IF($AI192="HDR","City",""))))))</f>
        <v/>
      </c>
      <c r="C192" s="39" t="str" cm="1">
        <f t="array" ref="C192">IF($AI192="","",IF(LEFT($AI192,2)="C|",_xlfn.LET(_xlpm.n,SUMPRODUCT($AP$5:$AP$302*($AO$5:$AO$302=$A192)),IF(_xlpm.n=0,"",_xlpm.n)),IF($AI192="CT",C$13,IF(LEFT($AI192,3)="AM|",_xlfn.LET(_xlpm.n,SUMPRODUCT($AP$5:$AP$302*($AN$5:$AN$302=$A192)),IF(_xlpm.n=0,"",_xlpm.n)),IF(LEFT($AI192,2)="S|","",IF($AI192="HDR","# Stores",""))))))</f>
        <v/>
      </c>
      <c r="D192" s="40" t="str" cm="1">
        <f t="array" ref="D192">IF($AI192="","",IF(LEFT($AI192,2)="C|",IF($C192="","",SUMPRODUCT($AP$5:$AP$302*($AO$5:$AO$302=$A192),$AR$5:$AR$302)),IF($AI192="CT",D$13,IF(LEFT($AI192,3)="AM|",IF($C192="","",SUMPRODUCT($AP$5:$AP$302*($AN$5:$AN$302=$A192),$AR$5:$AR$302)),IF(LEFT($AI192,2)="S|",IF($AG192="","",INDEX($AR$5:$AR$302,$AH192)),IF($AI192="HDR","Sales TY",""))))))</f>
        <v/>
      </c>
      <c r="E192" s="40" t="str" cm="1">
        <f t="array" ref="E192">IF($AI192="","",IF(LEFT($AI192,2)="C|",IF($C192="","",SUMPRODUCT($AP$5:$AP$302*($AO$5:$AO$302=$A192),$AT$5:$AT$302)),IF($AI192="CT",E$13,IF(LEFT($AI192,3)="AM|",IF($C192="","",SUMPRODUCT($AP$5:$AP$302*($AN$5:$AN$302=$A192),$AT$5:$AT$302)),IF(LEFT($AI192,2)="S|",IF($AG192="","",INDEX($AT$5:$AT$302,$AH192)),IF($AI192="HDR","Sales LY",""))))))</f>
        <v/>
      </c>
      <c r="F192" s="41" t="str">
        <f t="shared" si="113"/>
        <v/>
      </c>
      <c r="G192" s="41" t="str">
        <f t="shared" si="114"/>
        <v/>
      </c>
      <c r="H192" s="40" t="str" cm="1">
        <f t="array" ref="H192">IF($AI192="","",IF(LEFT($AI192,2)="C|",IF($C192="","",SUMPRODUCT($AP$5:$AP$302*($AO$5:$AO$302=$A192),$AV$5:$AV$302)),IF($AI192="CT",H$13,IF(LEFT($AI192,3)="AM|",IF($C192="","",SUMPRODUCT($AP$5:$AP$302*($AN$5:$AN$302=$A192),$AV$5:$AV$302)),IF(LEFT($AI192,2)="S|",IF($AG192="","",INDEX($AV$5:$AV$302,$AH192)),IF($AI192="HDR","Target",""))))))</f>
        <v/>
      </c>
      <c r="I192" s="41" t="str">
        <f t="shared" si="115"/>
        <v/>
      </c>
      <c r="J192" s="40" t="str">
        <f t="shared" si="116"/>
        <v/>
      </c>
      <c r="K192" s="41" t="str">
        <f t="shared" si="117"/>
        <v/>
      </c>
      <c r="L192" s="40" t="str" cm="1">
        <f t="array" ref="L192">IF($AI192="","",IF(LEFT($AI192,2)="C|",IF($C192="","",SUMPRODUCT($AP$5:$AP$302*($AO$5:$AO$302=$A192),$BN$5:$BN$302)),IF($AI192="CT",L$13,IF(LEFT($AI192,3)="AM|",IF($C192="","",SUMPRODUCT($AP$5:$AP$302*($AN$5:$AN$302=$A192),$BN$5:$BN$302)),IF(LEFT($AI192,2)="S|",IF($AG192="","",INDEX($BN$5:$BN$302,$AH192)),IF($AI192="HDR","Month Target",""))))))</f>
        <v/>
      </c>
      <c r="M192" s="40" t="str" cm="1">
        <f t="array" ref="M192">IF($AI192="","",IF(LEFT($AI192,2)="C|",IF($C192="","",SUMPRODUCT($AP$5:$AP$302*($AO$5:$AO$302=$A192),$BO$5:$BO$302)),IF($AI192="CT",M$13,IF(LEFT($AI192,3)="AM|",IF($C192="","",SUMPRODUCT($AP$5:$AP$302*($AN$5:$AN$302=$A192),$BO$5:$BO$302)),IF(LEFT($AI192,2)="S|",IF($AG192="","",INDEX($BO$5:$BO$302,$AH192)),IF($AI192="HDR","Projected Close",""))))))</f>
        <v/>
      </c>
      <c r="N192" s="41" t="str">
        <f t="shared" si="109"/>
        <v/>
      </c>
      <c r="O192" s="41" t="str" cm="1">
        <f t="array" ref="O192">IF($AI192="HDR","Proj. vs LY",IF(OR($AI192="",M192=""),"",_xlfn.LET(_xlpm.ly,IF(LEFT($AI192,2)="C|",SUMPRODUCT($AP$5:$AP$302*($AO$5:$AO$302=$A192),$BK$5:$BK$302),IF($AI192="CT",SUMPRODUCT($AP$5:$AP$302,$BK$5:$BK$302),IF(LEFT($AI192,3)="AM|",SUMPRODUCT($AP$5:$AP$302*($AN$5:$AN$302=$A192),$BK$5:$BK$302),IF(LEFT($AI192,2)="S|",INDEX($BK$5:$BK$302,$AH192),0)))),IFERROR(M192/_xlpm.ly-1,""))))</f>
        <v/>
      </c>
      <c r="P192" s="40" t="str" cm="1">
        <f t="array" ref="P192">IF($AI192="","",IF(LEFT($AI192,2)="C|",IF($C192="","",SUMPRODUCT($AP$5:$AP$302*($AO$5:$AO$302=$A192),$AS$5:$AS$302)),IF($AI192="CT",P$13,IF(LEFT($AI192,3)="AM|",IF($C192="","",SUMPRODUCT($AP$5:$AP$302*($AN$5:$AN$302=$A192),$AS$5:$AS$302)),IF(LEFT($AI192,2)="S|",IF($AG192="","",INDEX($AS$5:$AS$302,$AH192)),IF($AI192="HDR","Trans TY",""))))))</f>
        <v/>
      </c>
      <c r="Q192" s="40" t="str" cm="1">
        <f t="array" ref="Q192">IF($AI192="","",IF(LEFT($AI192,2)="C|",IF($C192="","",SUMPRODUCT($AP$5:$AP$302*($AO$5:$AO$302=$A192),$AU$5:$AU$302)),IF($AI192="CT",Q$13,IF(LEFT($AI192,3)="AM|",IF($C192="","",SUMPRODUCT($AP$5:$AP$302*($AN$5:$AN$302=$A192),$AU$5:$AU$302)),IF(LEFT($AI192,2)="S|",IF($AG192="","",INDEX($AU$5:$AU$302,$AH192)),IF($AI192="HDR","Trans LY",""))))))</f>
        <v/>
      </c>
      <c r="R192" s="41" t="str">
        <f t="shared" si="118"/>
        <v/>
      </c>
      <c r="S192" s="41" t="str">
        <f t="shared" si="119"/>
        <v/>
      </c>
      <c r="T192" s="42" t="str">
        <f t="shared" si="120"/>
        <v/>
      </c>
      <c r="U192" s="42" t="str">
        <f t="shared" si="121"/>
        <v/>
      </c>
      <c r="V192" s="41" t="str">
        <f t="shared" si="122"/>
        <v/>
      </c>
      <c r="W192" s="40" t="str" cm="1">
        <f t="array" ref="W192">IF($AI192="","",IF(LEFT($AI192,2)="C|",_xlfn.LET(_xlpm.n,SUMPRODUCT($AP$5:$AP$302*($AO$5:$AO$302=$A192),$BB$5:$BB$302),IF(_xlpm.n=0,"",_xlpm.n)),IF($AI192="CT",W$13,IF(LEFT($AI192,3)="AM|",_xlfn.LET(_xlpm.n,SUMPRODUCT($AP$5:$AP$302*($AN$5:$AN$302=$A192),$BB$5:$BB$302),IF(_xlpm.n=0,"",_xlpm.n)),IF(LEFT($AI192,2)="S|",IF($AG192="","",_xlfn.LET(_xlpm.n,INDEX($BB$5:$BB$302,$AH192),IF(_xlpm.n=0,"",_xlpm.n))),IF($AI192="HDR","Footfall",""))))))</f>
        <v/>
      </c>
      <c r="X192" s="40" t="str" cm="1">
        <f t="array" ref="X192">IF($AI192="","",IF($AI192="HDR","Trans (FF stores)",IF(W192="","",IF(LEFT($AI192,2)="C|",SUMPRODUCT($AP$5:$AP$302*($AO$5:$AO$302=$A192),$BC$5:$BC$302),IF($AI192="CT",X$13,IF(LEFT($AI192,3)="AM|",SUMPRODUCT($AP$5:$AP$302*($AN$5:$AN$302=$A192),$BC$5:$BC$302),IF(LEFT($AI192,2)="S|",INDEX($BC$5:$BC$302,$AH192),"")))))))</f>
        <v/>
      </c>
      <c r="Y192" s="41" t="str">
        <f t="shared" si="110"/>
        <v/>
      </c>
      <c r="Z192" s="40" t="str" cm="1">
        <f t="array" ref="Z192">IF($AI192="","",IF(LEFT($AI192,2)="C|",IF($C192="","",SUMPRODUCT($AP$5:$AP$302*($AO$5:$AO$302=$A192),$CB$5:$CB$302)),IF($AI192="CT",Z$13,IF(LEFT($AI192,3)="AM|",IF($C192="","",SUMPRODUCT($AP$5:$AP$302*($AN$5:$AN$302=$A192),$CB$5:$CB$302)),IF(LEFT($AI192,2)="S|",IF($AG192="","",INDEX($CB$5:$CB$302,$AH192)),IF($AI192="HDR","Makeup Sales",""))))))</f>
        <v/>
      </c>
      <c r="AA192" s="41" t="str">
        <f t="shared" si="123"/>
        <v/>
      </c>
      <c r="AB192" s="40" t="str" cm="1">
        <f t="array" ref="AB192">IF($AI192="","",IF(LEFT($AI192,2)="C|",IF($C192="","",SUMPRODUCT($AP$5:$AP$302*($AO$5:$AO$302=$A192),$CK$5:$CK$302)),IF($AI192="CT",AB$13,IF(LEFT($AI192,3)="AM|",IF($C192="","",SUMPRODUCT($AP$5:$AP$302*($AN$5:$AN$302=$A192),$CK$5:$CK$302)),IF(LEFT($AI192,2)="S|",IF($AG192="","",INDEX($CK$5:$CK$302,$AH192)),IF($AI192="HDR","Makeup Target",""))))))</f>
        <v/>
      </c>
      <c r="AC192" s="41" t="str">
        <f t="shared" si="111"/>
        <v/>
      </c>
      <c r="AD192" s="40" t="str" cm="1">
        <f t="array" ref="AD192">IF($AI192="","",IF(LEFT($AI192,2)="C|",IF($C192="","",SUMPRODUCT($AP$5:$AP$302*($AO$5:$AO$302=$A192),$CI$5:$CI$302)),IF($AI192="CT",AD$13,IF(LEFT($AI192,3)="AM|",IF($C192="","",SUMPRODUCT($AP$5:$AP$302*($AN$5:$AN$302=$A192),$CI$5:$CI$302)),IF(LEFT($AI192,2)="S|",IF($AG192="","",INDEX($CI$5:$CI$302,$AH192)),IF($AI192="HDR","Cosmetic Sales",""))))))</f>
        <v/>
      </c>
      <c r="AE192" s="8" t="str" cm="1">
        <f t="array" ref="AE192">IF($AI192="","",IF(LEFT($AI192,2)="C|",IF($C192="","",SUMPRODUCT($AP$5:$AP$302*($AO$5:$AO$302=$A192)*$AQ$5:$AQ$302,$AR$5:$AR$302)),IF($AI192="CT",AE$13,IF(LEFT($AI192,3)="AM|",IF($C192="","",SUMPRODUCT($AP$5:$AP$302*($AN$5:$AN$302=$A192)*$AQ$5:$AQ$302,$AR$5:$AR$302)),IF(LEFT($AI192,2)="S|",IF($AG192="","",IF(INDEX($AQ$5:$AQ$302,$AH192)=1,D192,0)),IF($AI192="HDR","LFL Sales",""))))))</f>
        <v/>
      </c>
      <c r="AF192" s="8" t="str" cm="1">
        <f t="array" ref="AF192">IF($AI192="","",IF(LEFT($AI192,2)="C|",IF($C192="","",SUMPRODUCT($AP$5:$AP$302*($AO$5:$AO$302=$A192)*$AQ$5:$AQ$302,$AS$5:$AS$302)),IF($AI192="CT",AF$13,IF(LEFT($AI192,3)="AM|",IF($C192="","",SUMPRODUCT($AP$5:$AP$302*($AN$5:$AN$302=$A192)*$AQ$5:$AQ$302,$AS$5:$AS$302)),IF(LEFT($AI192,2)="S|",IF($AG192="","",IF(INDEX($AQ$5:$AQ$302,$AH192)=1,P192,0)),IF($AI192="HDR","LFL Trans",""))))))</f>
        <v/>
      </c>
      <c r="AG192" s="8" t="str" cm="1">
        <f t="array" ref="AG192">IF($AI192="","",IF(LEFT($AI192,2)="C|","",IF($AI192="CT","",IF(LEFT($AI192,3)="AM|","",IF(LEFT($AI192,2)="S|",IF($AH192="","",IF(INDEX($AP$5:$AP$302,$AH192)=1,1,"")),IF($AI192="HDR","Show",""))))))</f>
        <v/>
      </c>
      <c r="AH192" s="8" t="str">
        <f t="shared" si="124"/>
        <v/>
      </c>
      <c r="AI192" s="8"/>
      <c r="AN192" s="8" t="str" cm="1">
        <f t="array" ref="AN192">IF($AW192="","",_xlfn.LET(_xlpm.sa,IFERROR(TRIM(INDEX('Sales and count'!$D$4:$D$300,$BF192)&amp;""),""),_xlpm.ta,IFERROR(TRIM(INDEX('TY Sales Target'!$F$5:$F$300,$BG192)&amp;""),""),IF(AND(_xlpm.sa&lt;&gt;"",LEFT(_xlpm.sa,1)&lt;&gt;"#",_xlpm.sa&lt;&gt;"0"),_xlpm.sa,IF(AND(_xlpm.ta&lt;&gt;"",LEFT(_xlpm.ta,1)&lt;&gt;"#",_xlpm.ta&lt;&gt;"0"),_xlpm.ta,IF(ISNUMBER($BG192),"Unassigned","")))))</f>
        <v/>
      </c>
      <c r="AO192" s="8" t="str" cm="1">
        <f t="array" ref="AO192">IF($AW192="","",_xlfn.LET(_xlpm.sa,IFERROR(TRIM(INDEX('Sales and count'!$C$4:$C$300,$BF192)&amp;""),""),_xlpm.ta,IFERROR(TRIM(INDEX('TY Sales Target'!$D$5:$D$300,$BG192)&amp;""),""),IF(AND(_xlpm.sa&lt;&gt;"",LEFT(_xlpm.sa,1)&lt;&gt;"#",_xlpm.sa&lt;&gt;"0"),_xlpm.sa,IF(AND(_xlpm.ta&lt;&gt;"",LEFT(_xlpm.ta,1)&lt;&gt;"#",_xlpm.ta&lt;&gt;"0"),_xlpm.ta,""))))</f>
        <v/>
      </c>
      <c r="AP192" s="8">
        <f t="shared" si="93"/>
        <v>0</v>
      </c>
      <c r="AQ192" s="8">
        <f t="shared" si="94"/>
        <v>0</v>
      </c>
      <c r="AR192" s="8" cm="1">
        <f t="array" ref="AR192">IF($BF192="",0,_xlfn.LET(_xlpm.d,IFERROR(--'Sales and count'!$G$2:$CC$2,0),SUMPRODUCT(('Sales and count'!$G$3:$CC$3="Total")*(_xlpm.d&gt;=$U$4)*(_xlpm.d&lt;=$U$5),INDEX('Sales and count'!$G$4:$CC$300,$BF192,0))))</f>
        <v>0</v>
      </c>
      <c r="AS192" s="8" cm="1">
        <f t="array" ref="AS192">IF($BF192="",0,_xlfn.LET(_xlpm.d,IFERROR(--'Sales and count'!$F$2:$CB$2,0),SUMPRODUCT(('Sales and count'!$G$3:$CC$3="Transactions")*(_xlpm.d&gt;=$U$4)*(_xlpm.d&lt;=$U$5),INDEX('Sales and count'!$G$4:$CC$300,$BF192,0))))</f>
        <v>0</v>
      </c>
      <c r="AT192" s="8" cm="1">
        <f t="array" ref="AT192">IF($AW192="",0,SUMPRODUCT((TRIM('LY Sales '!$B$5:$B$200)=$AW192)*('LY Sales '!$C$2:$AG$2&gt;=EDATE($U$4,-12))*('LY Sales '!$C$2:$AG$2&lt;=EDATE($U$5,-12)),'LY Sales '!$C$5:$AG$200))</f>
        <v>0</v>
      </c>
      <c r="AU192" s="8" cm="1">
        <f t="array" ref="AU192">IF($AW192="",0,SUMPRODUCT((TRIM('LY Transaction'!$B$5:$B$200)=$AW192)*('LY Transaction'!$C$2:$AG$2&gt;=EDATE($U$4,-12))*('LY Transaction'!$C$2:$AG$2&lt;=EDATE($U$5,-12)),'LY Transaction'!$C$5:$AG$200))</f>
        <v>0</v>
      </c>
      <c r="AV192" s="8" cm="1">
        <f t="array" ref="AV192">IF(NOT(ISNUMBER($BG192)),0,SUMPRODUCT(('TY Sales Target'!$K$2:$AO$2&gt;=$U$4)*('TY Sales Target'!$K$2:$AO$2&lt;=$U$5),INDEX('TY Sales Target'!$K$5:$AO$300,$BG192,0)))</f>
        <v>0</v>
      </c>
      <c r="AW192" s="8" t="str" cm="1">
        <f t="array" ref="AW192">IFERROR(INDEX(_xlfn.ANCHORARRAY($BR$5),ROWS($AW$5:AW192)),"")</f>
        <v/>
      </c>
      <c r="BB192" cm="1">
        <f t="array" ref="BB192">IF($AW192="",0,SUMPRODUCT((TRIM(Footfall!$B$5:$B$301)=$AW192)*(Footfall!$C$1:$BZ$1&gt;=$U$4)*(Footfall!$C$2:$BZ$2&lt;=$U$5)*(Footfall!$C$1:$BZ$1&lt;&gt;""),Footfall!$C$5:$BZ$301))</f>
        <v>0</v>
      </c>
      <c r="BC192" cm="1">
        <f t="array" ref="BC192">IF(OR($BB192&lt;=0,$BD$1="",$BF192=""),0,_xlfn.LET(_xlpm.d,IFERROR(--'Sales and count'!$F$2:$CB$2,0),SUMPRODUCT(('Sales and count'!$G$3:$CC$3="Transactions")*(_xlpm.d&gt;=$BD$1)*(_xlpm.d&lt;=$BD$2),INDEX('Sales and count'!$G$4:$CC$300,$BF192,0))))</f>
        <v>0</v>
      </c>
      <c r="BF192" t="str" cm="1">
        <f t="array" ref="BF192">IF($AW192="","",IFERROR(MATCH($AW192,TRIM('Sales and count'!$A$4:$A$300&amp;""),0),""))</f>
        <v/>
      </c>
      <c r="BG192" t="str" cm="1">
        <f t="array" ref="BG192">IF($AW192="","",IFERROR(MATCH(IFERROR(_xlfn.XLOOKUP($AW192,$BT$5:$BT$22,$BU$5:$BU$22),$AW192),TRIM('TY Sales Target'!$B$5:$B$300&amp;""),0),""))</f>
        <v/>
      </c>
      <c r="BH192" t="str" cm="1">
        <f t="array" ref="BH192">IF(ISNUMBER($BG192),_xlfn.LET(_xlpm.p,TRIM(INDEX('TY Sales Target'!$I$5:$I$300,$BG192)&amp;""),IF(_xlpm.p="","Not set",_xlpm.p)),"Not set")</f>
        <v>Not set</v>
      </c>
      <c r="BI192" cm="1">
        <f t="array" ref="BI192">IF($BF192="",0,_xlfn.LET(_xlpm.d,IFERROR(--'Sales and count'!$G$2:$CC$2,0),SUMPRODUCT(('Sales and count'!$G$3:$CC$3="Total")*(_xlpm.d&gt;=$BZ$5)*(_xlpm.d&lt;=$BZ$6),INDEX('Sales and count'!$G$4:$CC$300,$BF192,0))))</f>
        <v>0</v>
      </c>
      <c r="BJ192" cm="1">
        <f t="array" ref="BJ192">IF($AW192="",0,SUMPRODUCT((TRIM('LY Sales '!$B$5:$B$200)=$AW192)*('LY Sales '!$C$2:$AG$2&gt;=EDATE($BZ$5,-12))*('LY Sales '!$C$2:$AG$2&lt;=EDATE($BZ$6,-12)),'LY Sales '!$C$5:$AG$200))</f>
        <v>0</v>
      </c>
      <c r="BK192" cm="1">
        <f t="array" ref="BK192">IF($AW192="",0,SUMPRODUCT((TRIM('LY Sales '!$B$5:$B$200)=$AW192)*('LY Sales '!$C$2:$AG$2&gt;=EDATE($BZ$5,-12))*('LY Sales '!$C$2:$AG$2&lt;=EDATE($BZ$7,-12)),'LY Sales '!$C$5:$AG$200))</f>
        <v>0</v>
      </c>
      <c r="BL192" cm="1">
        <f t="array" ref="BL192">IF($AW192="",0,SUMPRODUCT((TRIM('LY Sales '!$B$5:$B$200)=$AW192)*('LY Sales '!$C$2:$AG$2&gt;=EDATE($BZ$5,-12))*('LY Sales '!$C$2:$AG$2&lt;=EDATE($BZ$6,-12))*('LY Sales '!$C$5:$AG$200&gt;0)))</f>
        <v>0</v>
      </c>
      <c r="BM192" cm="1">
        <f t="array" ref="BM192">IF(NOT(ISNUMBER($BG192)),0,SUMPRODUCT(('TY Sales Target'!$K$2:$AO$2&gt;=$BZ$5)*('TY Sales Target'!$K$2:$AO$2&lt;=$BZ$6),INDEX('TY Sales Target'!$K$5:$AO$300,$BG192,0)))</f>
        <v>0</v>
      </c>
      <c r="BN192" cm="1">
        <f t="array" ref="BN192">IF(NOT(ISNUMBER($BG192)),0,SUMPRODUCT(('TY Sales Target'!$K$2:$AO$2&gt;=$BZ$5)*('TY Sales Target'!$K$2:$AO$2&lt;=$BZ$7),INDEX('TY Sales Target'!$K$5:$AO$300,$BG192,0)))</f>
        <v>0</v>
      </c>
      <c r="BO192" cm="1">
        <f t="array" ref="BO192">IF($AW192="",0,IFERROR(_xlfn.SWITCH($BP192,"LY trend",$BI192*$BK192/$BJ192,"Target curve",$BI192*$BN192/$BM192,"Run rate",$BI192/$BZ$8*$BZ$9,0),0))</f>
        <v>0</v>
      </c>
      <c r="BP192" t="str">
        <f t="shared" si="92"/>
        <v/>
      </c>
      <c r="CB192" cm="1">
        <f t="array" ref="CB192">IF($AW192="",0,_xlfn.LET(_xlpm.k,IFERROR(_xlfn.XLOOKUP($AW192,$CD$6:$CD$21,$CE$6:$CE$21),$AW192),SUMPRODUCT((TRIM('Makeup '!$A$2:$A$300&amp;"")=_xlpm.k)*1,IFERROR('Makeup '!$F$2:$F$300*1,0))))</f>
        <v>0</v>
      </c>
      <c r="CF192" t="str" cm="1">
        <f t="array" ref="CF192">IF($AW192="","",_xlfn.LET(_xlpm.c,IFERROR(TRIM(INDEX('Sales and count'!$B$4:$B$300,$BF192)&amp;""),""),IF(OR(_xlpm.c="",_xlpm.c="0",LEFT(_xlpm.c,1)="#"),"Not set",_xlpm.c)))</f>
        <v/>
      </c>
      <c r="CH192" cm="1">
        <f t="array" ref="CH192">IF($AW192="",0,_xlfn.LET(_xlpm.k,IFERROR(_xlfn.XLOOKUP($AW192,$CD$6:$CD$21,$CE$6:$CE$21),$AW192),--(SUMPRODUCT((TRIM('Makeup '!$A$2:$A$300&amp;"")=_xlpm.k)*ISNUMBER('Makeup '!$F$2:$F$300))&gt;0)))</f>
        <v>0</v>
      </c>
      <c r="CI192">
        <f t="shared" si="95"/>
        <v>0</v>
      </c>
      <c r="CJ192" cm="1">
        <f t="array" ref="CJ192">IF($AW192="",0,--(SUMPRODUCT(--(TRIM(Footfall!$B$5:$B$301)=$AW192))&gt;0))</f>
        <v>0</v>
      </c>
      <c r="CK192" s="8" cm="1">
        <f t="array" ref="CK192">IF($AW192="",0,_xlfn.LET(_xlpm.r,IFERROR(MATCH(IFERROR(_xlfn.XLOOKUP($AW192,$BT$5:$BT$22,$BU$5:$BU$22),$AW192),TRIM('TY Beauty Target'!$B$5:$B$300&amp;""),0),""),IF(ISNUMBER(_xlpm.r),SUMPRODUCT(('TY Beauty Target'!$L$2:$AP$2&gt;=$U$4)*('TY Beauty Target'!$L$2:$AP$2&lt;=$U$5),INDEX('TY Beauty Target'!$L$5:$AP$300,_xlpm.r,0)),0)))</f>
        <v>0</v>
      </c>
    </row>
    <row r="193" spans="1:89" ht="15" customHeight="1" x14ac:dyDescent="0.25">
      <c r="A193" s="38" t="str">
        <f t="shared" si="112"/>
        <v/>
      </c>
      <c r="B193" s="43" t="str" cm="1">
        <f t="array" ref="B193">IF($AI193="","",IF(LEFT($AI193,2)="C|",IF($C193="","",_xlfn.TEXTJOIN(", ",TRUE,_xlfn.UNIQUE(_xlfn._xlws.FILTER($AN$5:$AN$302,($AP$5:$AP$302=1)*($AO$5:$AO$302=$A193))))),IF($AI193="CT",B$13,IF(LEFT($AI193,3)="AM|",IF($C193="","",ROWS(_xlfn.UNIQUE(_xlfn._xlws.FILTER($AO$5:$AO$302,($AP$5:$AP$302=1)*($AN$5:$AN$302=$A193))))),IF(LEFT($AI193,2)="S|",IF($AG193="","",INDEX($AO$5:$AO$302,$AH193)),IF($AI193="HDR","City",""))))))</f>
        <v/>
      </c>
      <c r="C193" s="39" t="str" cm="1">
        <f t="array" ref="C193">IF($AI193="","",IF(LEFT($AI193,2)="C|",_xlfn.LET(_xlpm.n,SUMPRODUCT($AP$5:$AP$302*($AO$5:$AO$302=$A193)),IF(_xlpm.n=0,"",_xlpm.n)),IF($AI193="CT",C$13,IF(LEFT($AI193,3)="AM|",_xlfn.LET(_xlpm.n,SUMPRODUCT($AP$5:$AP$302*($AN$5:$AN$302=$A193)),IF(_xlpm.n=0,"",_xlpm.n)),IF(LEFT($AI193,2)="S|","",IF($AI193="HDR","# Stores",""))))))</f>
        <v/>
      </c>
      <c r="D193" s="40" t="str" cm="1">
        <f t="array" ref="D193">IF($AI193="","",IF(LEFT($AI193,2)="C|",IF($C193="","",SUMPRODUCT($AP$5:$AP$302*($AO$5:$AO$302=$A193),$AR$5:$AR$302)),IF($AI193="CT",D$13,IF(LEFT($AI193,3)="AM|",IF($C193="","",SUMPRODUCT($AP$5:$AP$302*($AN$5:$AN$302=$A193),$AR$5:$AR$302)),IF(LEFT($AI193,2)="S|",IF($AG193="","",INDEX($AR$5:$AR$302,$AH193)),IF($AI193="HDR","Sales TY",""))))))</f>
        <v/>
      </c>
      <c r="E193" s="40" t="str" cm="1">
        <f t="array" ref="E193">IF($AI193="","",IF(LEFT($AI193,2)="C|",IF($C193="","",SUMPRODUCT($AP$5:$AP$302*($AO$5:$AO$302=$A193),$AT$5:$AT$302)),IF($AI193="CT",E$13,IF(LEFT($AI193,3)="AM|",IF($C193="","",SUMPRODUCT($AP$5:$AP$302*($AN$5:$AN$302=$A193),$AT$5:$AT$302)),IF(LEFT($AI193,2)="S|",IF($AG193="","",INDEX($AT$5:$AT$302,$AH193)),IF($AI193="HDR","Sales LY",""))))))</f>
        <v/>
      </c>
      <c r="F193" s="41" t="str">
        <f t="shared" si="113"/>
        <v/>
      </c>
      <c r="G193" s="41" t="str">
        <f t="shared" si="114"/>
        <v/>
      </c>
      <c r="H193" s="40" t="str" cm="1">
        <f t="array" ref="H193">IF($AI193="","",IF(LEFT($AI193,2)="C|",IF($C193="","",SUMPRODUCT($AP$5:$AP$302*($AO$5:$AO$302=$A193),$AV$5:$AV$302)),IF($AI193="CT",H$13,IF(LEFT($AI193,3)="AM|",IF($C193="","",SUMPRODUCT($AP$5:$AP$302*($AN$5:$AN$302=$A193),$AV$5:$AV$302)),IF(LEFT($AI193,2)="S|",IF($AG193="","",INDEX($AV$5:$AV$302,$AH193)),IF($AI193="HDR","Target",""))))))</f>
        <v/>
      </c>
      <c r="I193" s="41" t="str">
        <f t="shared" si="115"/>
        <v/>
      </c>
      <c r="J193" s="40" t="str">
        <f t="shared" si="116"/>
        <v/>
      </c>
      <c r="K193" s="41" t="str">
        <f t="shared" si="117"/>
        <v/>
      </c>
      <c r="L193" s="40" t="str" cm="1">
        <f t="array" ref="L193">IF($AI193="","",IF(LEFT($AI193,2)="C|",IF($C193="","",SUMPRODUCT($AP$5:$AP$302*($AO$5:$AO$302=$A193),$BN$5:$BN$302)),IF($AI193="CT",L$13,IF(LEFT($AI193,3)="AM|",IF($C193="","",SUMPRODUCT($AP$5:$AP$302*($AN$5:$AN$302=$A193),$BN$5:$BN$302)),IF(LEFT($AI193,2)="S|",IF($AG193="","",INDEX($BN$5:$BN$302,$AH193)),IF($AI193="HDR","Month Target",""))))))</f>
        <v/>
      </c>
      <c r="M193" s="40" t="str" cm="1">
        <f t="array" ref="M193">IF($AI193="","",IF(LEFT($AI193,2)="C|",IF($C193="","",SUMPRODUCT($AP$5:$AP$302*($AO$5:$AO$302=$A193),$BO$5:$BO$302)),IF($AI193="CT",M$13,IF(LEFT($AI193,3)="AM|",IF($C193="","",SUMPRODUCT($AP$5:$AP$302*($AN$5:$AN$302=$A193),$BO$5:$BO$302)),IF(LEFT($AI193,2)="S|",IF($AG193="","",INDEX($BO$5:$BO$302,$AH193)),IF($AI193="HDR","Projected Close",""))))))</f>
        <v/>
      </c>
      <c r="N193" s="41" t="str">
        <f t="shared" si="109"/>
        <v/>
      </c>
      <c r="O193" s="41" t="str" cm="1">
        <f t="array" ref="O193">IF($AI193="HDR","Proj. vs LY",IF(OR($AI193="",M193=""),"",_xlfn.LET(_xlpm.ly,IF(LEFT($AI193,2)="C|",SUMPRODUCT($AP$5:$AP$302*($AO$5:$AO$302=$A193),$BK$5:$BK$302),IF($AI193="CT",SUMPRODUCT($AP$5:$AP$302,$BK$5:$BK$302),IF(LEFT($AI193,3)="AM|",SUMPRODUCT($AP$5:$AP$302*($AN$5:$AN$302=$A193),$BK$5:$BK$302),IF(LEFT($AI193,2)="S|",INDEX($BK$5:$BK$302,$AH193),0)))),IFERROR(M193/_xlpm.ly-1,""))))</f>
        <v/>
      </c>
      <c r="P193" s="40" t="str" cm="1">
        <f t="array" ref="P193">IF($AI193="","",IF(LEFT($AI193,2)="C|",IF($C193="","",SUMPRODUCT($AP$5:$AP$302*($AO$5:$AO$302=$A193),$AS$5:$AS$302)),IF($AI193="CT",P$13,IF(LEFT($AI193,3)="AM|",IF($C193="","",SUMPRODUCT($AP$5:$AP$302*($AN$5:$AN$302=$A193),$AS$5:$AS$302)),IF(LEFT($AI193,2)="S|",IF($AG193="","",INDEX($AS$5:$AS$302,$AH193)),IF($AI193="HDR","Trans TY",""))))))</f>
        <v/>
      </c>
      <c r="Q193" s="40" t="str" cm="1">
        <f t="array" ref="Q193">IF($AI193="","",IF(LEFT($AI193,2)="C|",IF($C193="","",SUMPRODUCT($AP$5:$AP$302*($AO$5:$AO$302=$A193),$AU$5:$AU$302)),IF($AI193="CT",Q$13,IF(LEFT($AI193,3)="AM|",IF($C193="","",SUMPRODUCT($AP$5:$AP$302*($AN$5:$AN$302=$A193),$AU$5:$AU$302)),IF(LEFT($AI193,2)="S|",IF($AG193="","",INDEX($AU$5:$AU$302,$AH193)),IF($AI193="HDR","Trans LY",""))))))</f>
        <v/>
      </c>
      <c r="R193" s="41" t="str">
        <f t="shared" si="118"/>
        <v/>
      </c>
      <c r="S193" s="41" t="str">
        <f t="shared" si="119"/>
        <v/>
      </c>
      <c r="T193" s="42" t="str">
        <f t="shared" si="120"/>
        <v/>
      </c>
      <c r="U193" s="42" t="str">
        <f t="shared" si="121"/>
        <v/>
      </c>
      <c r="V193" s="41" t="str">
        <f t="shared" si="122"/>
        <v/>
      </c>
      <c r="W193" s="40" t="str" cm="1">
        <f t="array" ref="W193">IF($AI193="","",IF(LEFT($AI193,2)="C|",_xlfn.LET(_xlpm.n,SUMPRODUCT($AP$5:$AP$302*($AO$5:$AO$302=$A193),$BB$5:$BB$302),IF(_xlpm.n=0,"",_xlpm.n)),IF($AI193="CT",W$13,IF(LEFT($AI193,3)="AM|",_xlfn.LET(_xlpm.n,SUMPRODUCT($AP$5:$AP$302*($AN$5:$AN$302=$A193),$BB$5:$BB$302),IF(_xlpm.n=0,"",_xlpm.n)),IF(LEFT($AI193,2)="S|",IF($AG193="","",_xlfn.LET(_xlpm.n,INDEX($BB$5:$BB$302,$AH193),IF(_xlpm.n=0,"",_xlpm.n))),IF($AI193="HDR","Footfall",""))))))</f>
        <v/>
      </c>
      <c r="X193" s="40" t="str" cm="1">
        <f t="array" ref="X193">IF($AI193="","",IF($AI193="HDR","Trans (FF stores)",IF(W193="","",IF(LEFT($AI193,2)="C|",SUMPRODUCT($AP$5:$AP$302*($AO$5:$AO$302=$A193),$BC$5:$BC$302),IF($AI193="CT",X$13,IF(LEFT($AI193,3)="AM|",SUMPRODUCT($AP$5:$AP$302*($AN$5:$AN$302=$A193),$BC$5:$BC$302),IF(LEFT($AI193,2)="S|",INDEX($BC$5:$BC$302,$AH193),"")))))))</f>
        <v/>
      </c>
      <c r="Y193" s="41" t="str">
        <f t="shared" si="110"/>
        <v/>
      </c>
      <c r="Z193" s="40" t="str" cm="1">
        <f t="array" ref="Z193">IF($AI193="","",IF(LEFT($AI193,2)="C|",IF($C193="","",SUMPRODUCT($AP$5:$AP$302*($AO$5:$AO$302=$A193),$CB$5:$CB$302)),IF($AI193="CT",Z$13,IF(LEFT($AI193,3)="AM|",IF($C193="","",SUMPRODUCT($AP$5:$AP$302*($AN$5:$AN$302=$A193),$CB$5:$CB$302)),IF(LEFT($AI193,2)="S|",IF($AG193="","",INDEX($CB$5:$CB$302,$AH193)),IF($AI193="HDR","Makeup Sales",""))))))</f>
        <v/>
      </c>
      <c r="AA193" s="41" t="str">
        <f t="shared" si="123"/>
        <v/>
      </c>
      <c r="AB193" s="40" t="str" cm="1">
        <f t="array" ref="AB193">IF($AI193="","",IF(LEFT($AI193,2)="C|",IF($C193="","",SUMPRODUCT($AP$5:$AP$302*($AO$5:$AO$302=$A193),$CK$5:$CK$302)),IF($AI193="CT",AB$13,IF(LEFT($AI193,3)="AM|",IF($C193="","",SUMPRODUCT($AP$5:$AP$302*($AN$5:$AN$302=$A193),$CK$5:$CK$302)),IF(LEFT($AI193,2)="S|",IF($AG193="","",INDEX($CK$5:$CK$302,$AH193)),IF($AI193="HDR","Makeup Target",""))))))</f>
        <v/>
      </c>
      <c r="AC193" s="41" t="str">
        <f t="shared" si="111"/>
        <v/>
      </c>
      <c r="AD193" s="40" t="str" cm="1">
        <f t="array" ref="AD193">IF($AI193="","",IF(LEFT($AI193,2)="C|",IF($C193="","",SUMPRODUCT($AP$5:$AP$302*($AO$5:$AO$302=$A193),$CI$5:$CI$302)),IF($AI193="CT",AD$13,IF(LEFT($AI193,3)="AM|",IF($C193="","",SUMPRODUCT($AP$5:$AP$302*($AN$5:$AN$302=$A193),$CI$5:$CI$302)),IF(LEFT($AI193,2)="S|",IF($AG193="","",INDEX($CI$5:$CI$302,$AH193)),IF($AI193="HDR","Cosmetic Sales",""))))))</f>
        <v/>
      </c>
      <c r="AE193" s="8" t="str" cm="1">
        <f t="array" ref="AE193">IF($AI193="","",IF(LEFT($AI193,2)="C|",IF($C193="","",SUMPRODUCT($AP$5:$AP$302*($AO$5:$AO$302=$A193)*$AQ$5:$AQ$302,$AR$5:$AR$302)),IF($AI193="CT",AE$13,IF(LEFT($AI193,3)="AM|",IF($C193="","",SUMPRODUCT($AP$5:$AP$302*($AN$5:$AN$302=$A193)*$AQ$5:$AQ$302,$AR$5:$AR$302)),IF(LEFT($AI193,2)="S|",IF($AG193="","",IF(INDEX($AQ$5:$AQ$302,$AH193)=1,D193,0)),IF($AI193="HDR","LFL Sales",""))))))</f>
        <v/>
      </c>
      <c r="AF193" s="8" t="str" cm="1">
        <f t="array" ref="AF193">IF($AI193="","",IF(LEFT($AI193,2)="C|",IF($C193="","",SUMPRODUCT($AP$5:$AP$302*($AO$5:$AO$302=$A193)*$AQ$5:$AQ$302,$AS$5:$AS$302)),IF($AI193="CT",AF$13,IF(LEFT($AI193,3)="AM|",IF($C193="","",SUMPRODUCT($AP$5:$AP$302*($AN$5:$AN$302=$A193)*$AQ$5:$AQ$302,$AS$5:$AS$302)),IF(LEFT($AI193,2)="S|",IF($AG193="","",IF(INDEX($AQ$5:$AQ$302,$AH193)=1,P193,0)),IF($AI193="HDR","LFL Trans",""))))))</f>
        <v/>
      </c>
      <c r="AG193" s="8" t="str" cm="1">
        <f t="array" ref="AG193">IF($AI193="","",IF(LEFT($AI193,2)="C|","",IF($AI193="CT","",IF(LEFT($AI193,3)="AM|","",IF(LEFT($AI193,2)="S|",IF($AH193="","",IF(INDEX($AP$5:$AP$302,$AH193)=1,1,"")),IF($AI193="HDR","Show",""))))))</f>
        <v/>
      </c>
      <c r="AH193" s="8" t="str">
        <f t="shared" si="124"/>
        <v/>
      </c>
      <c r="AI193" s="8"/>
      <c r="AN193" s="8" t="str" cm="1">
        <f t="array" ref="AN193">IF($AW193="","",_xlfn.LET(_xlpm.sa,IFERROR(TRIM(INDEX('Sales and count'!$D$4:$D$300,$BF193)&amp;""),""),_xlpm.ta,IFERROR(TRIM(INDEX('TY Sales Target'!$F$5:$F$300,$BG193)&amp;""),""),IF(AND(_xlpm.sa&lt;&gt;"",LEFT(_xlpm.sa,1)&lt;&gt;"#",_xlpm.sa&lt;&gt;"0"),_xlpm.sa,IF(AND(_xlpm.ta&lt;&gt;"",LEFT(_xlpm.ta,1)&lt;&gt;"#",_xlpm.ta&lt;&gt;"0"),_xlpm.ta,IF(ISNUMBER($BG193),"Unassigned","")))))</f>
        <v/>
      </c>
      <c r="AO193" s="8" t="str" cm="1">
        <f t="array" ref="AO193">IF($AW193="","",_xlfn.LET(_xlpm.sa,IFERROR(TRIM(INDEX('Sales and count'!$C$4:$C$300,$BF193)&amp;""),""),_xlpm.ta,IFERROR(TRIM(INDEX('TY Sales Target'!$D$5:$D$300,$BG193)&amp;""),""),IF(AND(_xlpm.sa&lt;&gt;"",LEFT(_xlpm.sa,1)&lt;&gt;"#",_xlpm.sa&lt;&gt;"0"),_xlpm.sa,IF(AND(_xlpm.ta&lt;&gt;"",LEFT(_xlpm.ta,1)&lt;&gt;"#",_xlpm.ta&lt;&gt;"0"),_xlpm.ta,""))))</f>
        <v/>
      </c>
      <c r="AP193" s="8">
        <f t="shared" si="93"/>
        <v>0</v>
      </c>
      <c r="AQ193" s="8">
        <f t="shared" si="94"/>
        <v>0</v>
      </c>
      <c r="AR193" s="8" cm="1">
        <f t="array" ref="AR193">IF($BF193="",0,_xlfn.LET(_xlpm.d,IFERROR(--'Sales and count'!$G$2:$CC$2,0),SUMPRODUCT(('Sales and count'!$G$3:$CC$3="Total")*(_xlpm.d&gt;=$U$4)*(_xlpm.d&lt;=$U$5),INDEX('Sales and count'!$G$4:$CC$300,$BF193,0))))</f>
        <v>0</v>
      </c>
      <c r="AS193" s="8" cm="1">
        <f t="array" ref="AS193">IF($BF193="",0,_xlfn.LET(_xlpm.d,IFERROR(--'Sales and count'!$F$2:$CB$2,0),SUMPRODUCT(('Sales and count'!$G$3:$CC$3="Transactions")*(_xlpm.d&gt;=$U$4)*(_xlpm.d&lt;=$U$5),INDEX('Sales and count'!$G$4:$CC$300,$BF193,0))))</f>
        <v>0</v>
      </c>
      <c r="AT193" s="8" cm="1">
        <f t="array" ref="AT193">IF($AW193="",0,SUMPRODUCT((TRIM('LY Sales '!$B$5:$B$200)=$AW193)*('LY Sales '!$C$2:$AG$2&gt;=EDATE($U$4,-12))*('LY Sales '!$C$2:$AG$2&lt;=EDATE($U$5,-12)),'LY Sales '!$C$5:$AG$200))</f>
        <v>0</v>
      </c>
      <c r="AU193" s="8" cm="1">
        <f t="array" ref="AU193">IF($AW193="",0,SUMPRODUCT((TRIM('LY Transaction'!$B$5:$B$200)=$AW193)*('LY Transaction'!$C$2:$AG$2&gt;=EDATE($U$4,-12))*('LY Transaction'!$C$2:$AG$2&lt;=EDATE($U$5,-12)),'LY Transaction'!$C$5:$AG$200))</f>
        <v>0</v>
      </c>
      <c r="AV193" s="8" cm="1">
        <f t="array" ref="AV193">IF(NOT(ISNUMBER($BG193)),0,SUMPRODUCT(('TY Sales Target'!$K$2:$AO$2&gt;=$U$4)*('TY Sales Target'!$K$2:$AO$2&lt;=$U$5),INDEX('TY Sales Target'!$K$5:$AO$300,$BG193,0)))</f>
        <v>0</v>
      </c>
      <c r="AW193" s="8" t="str" cm="1">
        <f t="array" ref="AW193">IFERROR(INDEX(_xlfn.ANCHORARRAY($BR$5),ROWS($AW$5:AW193)),"")</f>
        <v/>
      </c>
      <c r="BB193" cm="1">
        <f t="array" ref="BB193">IF($AW193="",0,SUMPRODUCT((TRIM(Footfall!$B$5:$B$301)=$AW193)*(Footfall!$C$1:$BZ$1&gt;=$U$4)*(Footfall!$C$2:$BZ$2&lt;=$U$5)*(Footfall!$C$1:$BZ$1&lt;&gt;""),Footfall!$C$5:$BZ$301))</f>
        <v>0</v>
      </c>
      <c r="BC193" cm="1">
        <f t="array" ref="BC193">IF(OR($BB193&lt;=0,$BD$1="",$BF193=""),0,_xlfn.LET(_xlpm.d,IFERROR(--'Sales and count'!$F$2:$CB$2,0),SUMPRODUCT(('Sales and count'!$G$3:$CC$3="Transactions")*(_xlpm.d&gt;=$BD$1)*(_xlpm.d&lt;=$BD$2),INDEX('Sales and count'!$G$4:$CC$300,$BF193,0))))</f>
        <v>0</v>
      </c>
      <c r="BF193" t="str" cm="1">
        <f t="array" ref="BF193">IF($AW193="","",IFERROR(MATCH($AW193,TRIM('Sales and count'!$A$4:$A$300&amp;""),0),""))</f>
        <v/>
      </c>
      <c r="BG193" t="str" cm="1">
        <f t="array" ref="BG193">IF($AW193="","",IFERROR(MATCH(IFERROR(_xlfn.XLOOKUP($AW193,$BT$5:$BT$22,$BU$5:$BU$22),$AW193),TRIM('TY Sales Target'!$B$5:$B$300&amp;""),0),""))</f>
        <v/>
      </c>
      <c r="BH193" t="str" cm="1">
        <f t="array" ref="BH193">IF(ISNUMBER($BG193),_xlfn.LET(_xlpm.p,TRIM(INDEX('TY Sales Target'!$I$5:$I$300,$BG193)&amp;""),IF(_xlpm.p="","Not set",_xlpm.p)),"Not set")</f>
        <v>Not set</v>
      </c>
      <c r="BI193" cm="1">
        <f t="array" ref="BI193">IF($BF193="",0,_xlfn.LET(_xlpm.d,IFERROR(--'Sales and count'!$G$2:$CC$2,0),SUMPRODUCT(('Sales and count'!$G$3:$CC$3="Total")*(_xlpm.d&gt;=$BZ$5)*(_xlpm.d&lt;=$BZ$6),INDEX('Sales and count'!$G$4:$CC$300,$BF193,0))))</f>
        <v>0</v>
      </c>
      <c r="BJ193" cm="1">
        <f t="array" ref="BJ193">IF($AW193="",0,SUMPRODUCT((TRIM('LY Sales '!$B$5:$B$200)=$AW193)*('LY Sales '!$C$2:$AG$2&gt;=EDATE($BZ$5,-12))*('LY Sales '!$C$2:$AG$2&lt;=EDATE($BZ$6,-12)),'LY Sales '!$C$5:$AG$200))</f>
        <v>0</v>
      </c>
      <c r="BK193" cm="1">
        <f t="array" ref="BK193">IF($AW193="",0,SUMPRODUCT((TRIM('LY Sales '!$B$5:$B$200)=$AW193)*('LY Sales '!$C$2:$AG$2&gt;=EDATE($BZ$5,-12))*('LY Sales '!$C$2:$AG$2&lt;=EDATE($BZ$7,-12)),'LY Sales '!$C$5:$AG$200))</f>
        <v>0</v>
      </c>
      <c r="BL193" cm="1">
        <f t="array" ref="BL193">IF($AW193="",0,SUMPRODUCT((TRIM('LY Sales '!$B$5:$B$200)=$AW193)*('LY Sales '!$C$2:$AG$2&gt;=EDATE($BZ$5,-12))*('LY Sales '!$C$2:$AG$2&lt;=EDATE($BZ$6,-12))*('LY Sales '!$C$5:$AG$200&gt;0)))</f>
        <v>0</v>
      </c>
      <c r="BM193" cm="1">
        <f t="array" ref="BM193">IF(NOT(ISNUMBER($BG193)),0,SUMPRODUCT(('TY Sales Target'!$K$2:$AO$2&gt;=$BZ$5)*('TY Sales Target'!$K$2:$AO$2&lt;=$BZ$6),INDEX('TY Sales Target'!$K$5:$AO$300,$BG193,0)))</f>
        <v>0</v>
      </c>
      <c r="BN193" cm="1">
        <f t="array" ref="BN193">IF(NOT(ISNUMBER($BG193)),0,SUMPRODUCT(('TY Sales Target'!$K$2:$AO$2&gt;=$BZ$5)*('TY Sales Target'!$K$2:$AO$2&lt;=$BZ$7),INDEX('TY Sales Target'!$K$5:$AO$300,$BG193,0)))</f>
        <v>0</v>
      </c>
      <c r="BO193" cm="1">
        <f t="array" ref="BO193">IF($AW193="",0,IFERROR(_xlfn.SWITCH($BP193,"LY trend",$BI193*$BK193/$BJ193,"Target curve",$BI193*$BN193/$BM193,"Run rate",$BI193/$BZ$8*$BZ$9,0),0))</f>
        <v>0</v>
      </c>
      <c r="BP193" t="str">
        <f t="shared" si="92"/>
        <v/>
      </c>
      <c r="CB193" cm="1">
        <f t="array" ref="CB193">IF($AW193="",0,_xlfn.LET(_xlpm.k,IFERROR(_xlfn.XLOOKUP($AW193,$CD$6:$CD$21,$CE$6:$CE$21),$AW193),SUMPRODUCT((TRIM('Makeup '!$A$2:$A$300&amp;"")=_xlpm.k)*1,IFERROR('Makeup '!$F$2:$F$300*1,0))))</f>
        <v>0</v>
      </c>
      <c r="CF193" t="str" cm="1">
        <f t="array" ref="CF193">IF($AW193="","",_xlfn.LET(_xlpm.c,IFERROR(TRIM(INDEX('Sales and count'!$B$4:$B$300,$BF193)&amp;""),""),IF(OR(_xlpm.c="",_xlpm.c="0",LEFT(_xlpm.c,1)="#"),"Not set",_xlpm.c)))</f>
        <v/>
      </c>
      <c r="CH193" cm="1">
        <f t="array" ref="CH193">IF($AW193="",0,_xlfn.LET(_xlpm.k,IFERROR(_xlfn.XLOOKUP($AW193,$CD$6:$CD$21,$CE$6:$CE$21),$AW193),--(SUMPRODUCT((TRIM('Makeup '!$A$2:$A$300&amp;"")=_xlpm.k)*ISNUMBER('Makeup '!$F$2:$F$300))&gt;0)))</f>
        <v>0</v>
      </c>
      <c r="CI193">
        <f t="shared" si="95"/>
        <v>0</v>
      </c>
      <c r="CJ193" cm="1">
        <f t="array" ref="CJ193">IF($AW193="",0,--(SUMPRODUCT(--(TRIM(Footfall!$B$5:$B$301)=$AW193))&gt;0))</f>
        <v>0</v>
      </c>
      <c r="CK193" s="8" cm="1">
        <f t="array" ref="CK193">IF($AW193="",0,_xlfn.LET(_xlpm.r,IFERROR(MATCH(IFERROR(_xlfn.XLOOKUP($AW193,$BT$5:$BT$22,$BU$5:$BU$22),$AW193),TRIM('TY Beauty Target'!$B$5:$B$300&amp;""),0),""),IF(ISNUMBER(_xlpm.r),SUMPRODUCT(('TY Beauty Target'!$L$2:$AP$2&gt;=$U$4)*('TY Beauty Target'!$L$2:$AP$2&lt;=$U$5),INDEX('TY Beauty Target'!$L$5:$AP$300,_xlpm.r,0)),0)))</f>
        <v>0</v>
      </c>
    </row>
    <row r="194" spans="1:89" ht="15" customHeight="1" x14ac:dyDescent="0.25">
      <c r="A194" s="38" t="str">
        <f t="shared" si="112"/>
        <v/>
      </c>
      <c r="B194" s="43" t="str" cm="1">
        <f t="array" ref="B194">IF($AI194="","",IF(LEFT($AI194,2)="C|",IF($C194="","",_xlfn.TEXTJOIN(", ",TRUE,_xlfn.UNIQUE(_xlfn._xlws.FILTER($AN$5:$AN$302,($AP$5:$AP$302=1)*($AO$5:$AO$302=$A194))))),IF($AI194="CT",B$13,IF(LEFT($AI194,3)="AM|",IF($C194="","",ROWS(_xlfn.UNIQUE(_xlfn._xlws.FILTER($AO$5:$AO$302,($AP$5:$AP$302=1)*($AN$5:$AN$302=$A194))))),IF(LEFT($AI194,2)="S|",IF($AG194="","",INDEX($AO$5:$AO$302,$AH194)),IF($AI194="HDR","City",""))))))</f>
        <v/>
      </c>
      <c r="C194" s="39" t="str" cm="1">
        <f t="array" ref="C194">IF($AI194="","",IF(LEFT($AI194,2)="C|",_xlfn.LET(_xlpm.n,SUMPRODUCT($AP$5:$AP$302*($AO$5:$AO$302=$A194)),IF(_xlpm.n=0,"",_xlpm.n)),IF($AI194="CT",C$13,IF(LEFT($AI194,3)="AM|",_xlfn.LET(_xlpm.n,SUMPRODUCT($AP$5:$AP$302*($AN$5:$AN$302=$A194)),IF(_xlpm.n=0,"",_xlpm.n)),IF(LEFT($AI194,2)="S|","",IF($AI194="HDR","# Stores",""))))))</f>
        <v/>
      </c>
      <c r="D194" s="40" t="str" cm="1">
        <f t="array" ref="D194">IF($AI194="","",IF(LEFT($AI194,2)="C|",IF($C194="","",SUMPRODUCT($AP$5:$AP$302*($AO$5:$AO$302=$A194),$AR$5:$AR$302)),IF($AI194="CT",D$13,IF(LEFT($AI194,3)="AM|",IF($C194="","",SUMPRODUCT($AP$5:$AP$302*($AN$5:$AN$302=$A194),$AR$5:$AR$302)),IF(LEFT($AI194,2)="S|",IF($AG194="","",INDEX($AR$5:$AR$302,$AH194)),IF($AI194="HDR","Sales TY",""))))))</f>
        <v/>
      </c>
      <c r="E194" s="40" t="str" cm="1">
        <f t="array" ref="E194">IF($AI194="","",IF(LEFT($AI194,2)="C|",IF($C194="","",SUMPRODUCT($AP$5:$AP$302*($AO$5:$AO$302=$A194),$AT$5:$AT$302)),IF($AI194="CT",E$13,IF(LEFT($AI194,3)="AM|",IF($C194="","",SUMPRODUCT($AP$5:$AP$302*($AN$5:$AN$302=$A194),$AT$5:$AT$302)),IF(LEFT($AI194,2)="S|",IF($AG194="","",INDEX($AT$5:$AT$302,$AH194)),IF($AI194="HDR","Sales LY",""))))))</f>
        <v/>
      </c>
      <c r="F194" s="41" t="str">
        <f t="shared" si="113"/>
        <v/>
      </c>
      <c r="G194" s="41" t="str">
        <f t="shared" si="114"/>
        <v/>
      </c>
      <c r="H194" s="40" t="str" cm="1">
        <f t="array" ref="H194">IF($AI194="","",IF(LEFT($AI194,2)="C|",IF($C194="","",SUMPRODUCT($AP$5:$AP$302*($AO$5:$AO$302=$A194),$AV$5:$AV$302)),IF($AI194="CT",H$13,IF(LEFT($AI194,3)="AM|",IF($C194="","",SUMPRODUCT($AP$5:$AP$302*($AN$5:$AN$302=$A194),$AV$5:$AV$302)),IF(LEFT($AI194,2)="S|",IF($AG194="","",INDEX($AV$5:$AV$302,$AH194)),IF($AI194="HDR","Target",""))))))</f>
        <v/>
      </c>
      <c r="I194" s="41" t="str">
        <f t="shared" si="115"/>
        <v/>
      </c>
      <c r="J194" s="40" t="str">
        <f t="shared" si="116"/>
        <v/>
      </c>
      <c r="K194" s="41" t="str">
        <f t="shared" si="117"/>
        <v/>
      </c>
      <c r="L194" s="40" t="str" cm="1">
        <f t="array" ref="L194">IF($AI194="","",IF(LEFT($AI194,2)="C|",IF($C194="","",SUMPRODUCT($AP$5:$AP$302*($AO$5:$AO$302=$A194),$BN$5:$BN$302)),IF($AI194="CT",L$13,IF(LEFT($AI194,3)="AM|",IF($C194="","",SUMPRODUCT($AP$5:$AP$302*($AN$5:$AN$302=$A194),$BN$5:$BN$302)),IF(LEFT($AI194,2)="S|",IF($AG194="","",INDEX($BN$5:$BN$302,$AH194)),IF($AI194="HDR","Month Target",""))))))</f>
        <v/>
      </c>
      <c r="M194" s="40" t="str" cm="1">
        <f t="array" ref="M194">IF($AI194="","",IF(LEFT($AI194,2)="C|",IF($C194="","",SUMPRODUCT($AP$5:$AP$302*($AO$5:$AO$302=$A194),$BO$5:$BO$302)),IF($AI194="CT",M$13,IF(LEFT($AI194,3)="AM|",IF($C194="","",SUMPRODUCT($AP$5:$AP$302*($AN$5:$AN$302=$A194),$BO$5:$BO$302)),IF(LEFT($AI194,2)="S|",IF($AG194="","",INDEX($BO$5:$BO$302,$AH194)),IF($AI194="HDR","Projected Close",""))))))</f>
        <v/>
      </c>
      <c r="N194" s="41" t="str">
        <f t="shared" si="109"/>
        <v/>
      </c>
      <c r="O194" s="41" t="str" cm="1">
        <f t="array" ref="O194">IF($AI194="HDR","Proj. vs LY",IF(OR($AI194="",M194=""),"",_xlfn.LET(_xlpm.ly,IF(LEFT($AI194,2)="C|",SUMPRODUCT($AP$5:$AP$302*($AO$5:$AO$302=$A194),$BK$5:$BK$302),IF($AI194="CT",SUMPRODUCT($AP$5:$AP$302,$BK$5:$BK$302),IF(LEFT($AI194,3)="AM|",SUMPRODUCT($AP$5:$AP$302*($AN$5:$AN$302=$A194),$BK$5:$BK$302),IF(LEFT($AI194,2)="S|",INDEX($BK$5:$BK$302,$AH194),0)))),IFERROR(M194/_xlpm.ly-1,""))))</f>
        <v/>
      </c>
      <c r="P194" s="40" t="str" cm="1">
        <f t="array" ref="P194">IF($AI194="","",IF(LEFT($AI194,2)="C|",IF($C194="","",SUMPRODUCT($AP$5:$AP$302*($AO$5:$AO$302=$A194),$AS$5:$AS$302)),IF($AI194="CT",P$13,IF(LEFT($AI194,3)="AM|",IF($C194="","",SUMPRODUCT($AP$5:$AP$302*($AN$5:$AN$302=$A194),$AS$5:$AS$302)),IF(LEFT($AI194,2)="S|",IF($AG194="","",INDEX($AS$5:$AS$302,$AH194)),IF($AI194="HDR","Trans TY",""))))))</f>
        <v/>
      </c>
      <c r="Q194" s="40" t="str" cm="1">
        <f t="array" ref="Q194">IF($AI194="","",IF(LEFT($AI194,2)="C|",IF($C194="","",SUMPRODUCT($AP$5:$AP$302*($AO$5:$AO$302=$A194),$AU$5:$AU$302)),IF($AI194="CT",Q$13,IF(LEFT($AI194,3)="AM|",IF($C194="","",SUMPRODUCT($AP$5:$AP$302*($AN$5:$AN$302=$A194),$AU$5:$AU$302)),IF(LEFT($AI194,2)="S|",IF($AG194="","",INDEX($AU$5:$AU$302,$AH194)),IF($AI194="HDR","Trans LY",""))))))</f>
        <v/>
      </c>
      <c r="R194" s="41" t="str">
        <f t="shared" si="118"/>
        <v/>
      </c>
      <c r="S194" s="41" t="str">
        <f t="shared" si="119"/>
        <v/>
      </c>
      <c r="T194" s="42" t="str">
        <f t="shared" si="120"/>
        <v/>
      </c>
      <c r="U194" s="42" t="str">
        <f t="shared" si="121"/>
        <v/>
      </c>
      <c r="V194" s="41" t="str">
        <f t="shared" si="122"/>
        <v/>
      </c>
      <c r="W194" s="40" t="str" cm="1">
        <f t="array" ref="W194">IF($AI194="","",IF(LEFT($AI194,2)="C|",_xlfn.LET(_xlpm.n,SUMPRODUCT($AP$5:$AP$302*($AO$5:$AO$302=$A194),$BB$5:$BB$302),IF(_xlpm.n=0,"",_xlpm.n)),IF($AI194="CT",W$13,IF(LEFT($AI194,3)="AM|",_xlfn.LET(_xlpm.n,SUMPRODUCT($AP$5:$AP$302*($AN$5:$AN$302=$A194),$BB$5:$BB$302),IF(_xlpm.n=0,"",_xlpm.n)),IF(LEFT($AI194,2)="S|",IF($AG194="","",_xlfn.LET(_xlpm.n,INDEX($BB$5:$BB$302,$AH194),IF(_xlpm.n=0,"",_xlpm.n))),IF($AI194="HDR","Footfall",""))))))</f>
        <v/>
      </c>
      <c r="X194" s="40" t="str" cm="1">
        <f t="array" ref="X194">IF($AI194="","",IF($AI194="HDR","Trans (FF stores)",IF(W194="","",IF(LEFT($AI194,2)="C|",SUMPRODUCT($AP$5:$AP$302*($AO$5:$AO$302=$A194),$BC$5:$BC$302),IF($AI194="CT",X$13,IF(LEFT($AI194,3)="AM|",SUMPRODUCT($AP$5:$AP$302*($AN$5:$AN$302=$A194),$BC$5:$BC$302),IF(LEFT($AI194,2)="S|",INDEX($BC$5:$BC$302,$AH194),"")))))))</f>
        <v/>
      </c>
      <c r="Y194" s="41" t="str">
        <f t="shared" si="110"/>
        <v/>
      </c>
      <c r="Z194" s="40" t="str" cm="1">
        <f t="array" ref="Z194">IF($AI194="","",IF(LEFT($AI194,2)="C|",IF($C194="","",SUMPRODUCT($AP$5:$AP$302*($AO$5:$AO$302=$A194),$CB$5:$CB$302)),IF($AI194="CT",Z$13,IF(LEFT($AI194,3)="AM|",IF($C194="","",SUMPRODUCT($AP$5:$AP$302*($AN$5:$AN$302=$A194),$CB$5:$CB$302)),IF(LEFT($AI194,2)="S|",IF($AG194="","",INDEX($CB$5:$CB$302,$AH194)),IF($AI194="HDR","Makeup Sales",""))))))</f>
        <v/>
      </c>
      <c r="AA194" s="41" t="str">
        <f t="shared" si="123"/>
        <v/>
      </c>
      <c r="AB194" s="40" t="str" cm="1">
        <f t="array" ref="AB194">IF($AI194="","",IF(LEFT($AI194,2)="C|",IF($C194="","",SUMPRODUCT($AP$5:$AP$302*($AO$5:$AO$302=$A194),$CK$5:$CK$302)),IF($AI194="CT",AB$13,IF(LEFT($AI194,3)="AM|",IF($C194="","",SUMPRODUCT($AP$5:$AP$302*($AN$5:$AN$302=$A194),$CK$5:$CK$302)),IF(LEFT($AI194,2)="S|",IF($AG194="","",INDEX($CK$5:$CK$302,$AH194)),IF($AI194="HDR","Makeup Target",""))))))</f>
        <v/>
      </c>
      <c r="AC194" s="41" t="str">
        <f t="shared" si="111"/>
        <v/>
      </c>
      <c r="AD194" s="40" t="str" cm="1">
        <f t="array" ref="AD194">IF($AI194="","",IF(LEFT($AI194,2)="C|",IF($C194="","",SUMPRODUCT($AP$5:$AP$302*($AO$5:$AO$302=$A194),$CI$5:$CI$302)),IF($AI194="CT",AD$13,IF(LEFT($AI194,3)="AM|",IF($C194="","",SUMPRODUCT($AP$5:$AP$302*($AN$5:$AN$302=$A194),$CI$5:$CI$302)),IF(LEFT($AI194,2)="S|",IF($AG194="","",INDEX($CI$5:$CI$302,$AH194)),IF($AI194="HDR","Cosmetic Sales",""))))))</f>
        <v/>
      </c>
      <c r="AE194" s="8" t="str" cm="1">
        <f t="array" ref="AE194">IF($AI194="","",IF(LEFT($AI194,2)="C|",IF($C194="","",SUMPRODUCT($AP$5:$AP$302*($AO$5:$AO$302=$A194)*$AQ$5:$AQ$302,$AR$5:$AR$302)),IF($AI194="CT",AE$13,IF(LEFT($AI194,3)="AM|",IF($C194="","",SUMPRODUCT($AP$5:$AP$302*($AN$5:$AN$302=$A194)*$AQ$5:$AQ$302,$AR$5:$AR$302)),IF(LEFT($AI194,2)="S|",IF($AG194="","",IF(INDEX($AQ$5:$AQ$302,$AH194)=1,D194,0)),IF($AI194="HDR","LFL Sales",""))))))</f>
        <v/>
      </c>
      <c r="AF194" s="8" t="str" cm="1">
        <f t="array" ref="AF194">IF($AI194="","",IF(LEFT($AI194,2)="C|",IF($C194="","",SUMPRODUCT($AP$5:$AP$302*($AO$5:$AO$302=$A194)*$AQ$5:$AQ$302,$AS$5:$AS$302)),IF($AI194="CT",AF$13,IF(LEFT($AI194,3)="AM|",IF($C194="","",SUMPRODUCT($AP$5:$AP$302*($AN$5:$AN$302=$A194)*$AQ$5:$AQ$302,$AS$5:$AS$302)),IF(LEFT($AI194,2)="S|",IF($AG194="","",IF(INDEX($AQ$5:$AQ$302,$AH194)=1,P194,0)),IF($AI194="HDR","LFL Trans",""))))))</f>
        <v/>
      </c>
      <c r="AG194" s="8" t="str" cm="1">
        <f t="array" ref="AG194">IF($AI194="","",IF(LEFT($AI194,2)="C|","",IF($AI194="CT","",IF(LEFT($AI194,3)="AM|","",IF(LEFT($AI194,2)="S|",IF($AH194="","",IF(INDEX($AP$5:$AP$302,$AH194)=1,1,"")),IF($AI194="HDR","Show",""))))))</f>
        <v/>
      </c>
      <c r="AH194" s="8" t="str">
        <f t="shared" si="124"/>
        <v/>
      </c>
      <c r="AI194" s="8"/>
      <c r="AN194" s="8" t="str" cm="1">
        <f t="array" ref="AN194">IF($AW194="","",_xlfn.LET(_xlpm.sa,IFERROR(TRIM(INDEX('Sales and count'!$D$4:$D$300,$BF194)&amp;""),""),_xlpm.ta,IFERROR(TRIM(INDEX('TY Sales Target'!$F$5:$F$300,$BG194)&amp;""),""),IF(AND(_xlpm.sa&lt;&gt;"",LEFT(_xlpm.sa,1)&lt;&gt;"#",_xlpm.sa&lt;&gt;"0"),_xlpm.sa,IF(AND(_xlpm.ta&lt;&gt;"",LEFT(_xlpm.ta,1)&lt;&gt;"#",_xlpm.ta&lt;&gt;"0"),_xlpm.ta,IF(ISNUMBER($BG194),"Unassigned","")))))</f>
        <v/>
      </c>
      <c r="AO194" s="8" t="str" cm="1">
        <f t="array" ref="AO194">IF($AW194="","",_xlfn.LET(_xlpm.sa,IFERROR(TRIM(INDEX('Sales and count'!$C$4:$C$300,$BF194)&amp;""),""),_xlpm.ta,IFERROR(TRIM(INDEX('TY Sales Target'!$D$5:$D$300,$BG194)&amp;""),""),IF(AND(_xlpm.sa&lt;&gt;"",LEFT(_xlpm.sa,1)&lt;&gt;"#",_xlpm.sa&lt;&gt;"0"),_xlpm.sa,IF(AND(_xlpm.ta&lt;&gt;"",LEFT(_xlpm.ta,1)&lt;&gt;"#",_xlpm.ta&lt;&gt;"0"),_xlpm.ta,""))))</f>
        <v/>
      </c>
      <c r="AP194" s="8">
        <f t="shared" si="93"/>
        <v>0</v>
      </c>
      <c r="AQ194" s="8">
        <f t="shared" si="94"/>
        <v>0</v>
      </c>
      <c r="AR194" s="8" cm="1">
        <f t="array" ref="AR194">IF($BF194="",0,_xlfn.LET(_xlpm.d,IFERROR(--'Sales and count'!$G$2:$CC$2,0),SUMPRODUCT(('Sales and count'!$G$3:$CC$3="Total")*(_xlpm.d&gt;=$U$4)*(_xlpm.d&lt;=$U$5),INDEX('Sales and count'!$G$4:$CC$300,$BF194,0))))</f>
        <v>0</v>
      </c>
      <c r="AS194" s="8" cm="1">
        <f t="array" ref="AS194">IF($BF194="",0,_xlfn.LET(_xlpm.d,IFERROR(--'Sales and count'!$F$2:$CB$2,0),SUMPRODUCT(('Sales and count'!$G$3:$CC$3="Transactions")*(_xlpm.d&gt;=$U$4)*(_xlpm.d&lt;=$U$5),INDEX('Sales and count'!$G$4:$CC$300,$BF194,0))))</f>
        <v>0</v>
      </c>
      <c r="AT194" s="8" cm="1">
        <f t="array" ref="AT194">IF($AW194="",0,SUMPRODUCT((TRIM('LY Sales '!$B$5:$B$200)=$AW194)*('LY Sales '!$C$2:$AG$2&gt;=EDATE($U$4,-12))*('LY Sales '!$C$2:$AG$2&lt;=EDATE($U$5,-12)),'LY Sales '!$C$5:$AG$200))</f>
        <v>0</v>
      </c>
      <c r="AU194" s="8" cm="1">
        <f t="array" ref="AU194">IF($AW194="",0,SUMPRODUCT((TRIM('LY Transaction'!$B$5:$B$200)=$AW194)*('LY Transaction'!$C$2:$AG$2&gt;=EDATE($U$4,-12))*('LY Transaction'!$C$2:$AG$2&lt;=EDATE($U$5,-12)),'LY Transaction'!$C$5:$AG$200))</f>
        <v>0</v>
      </c>
      <c r="AV194" s="8" cm="1">
        <f t="array" ref="AV194">IF(NOT(ISNUMBER($BG194)),0,SUMPRODUCT(('TY Sales Target'!$K$2:$AO$2&gt;=$U$4)*('TY Sales Target'!$K$2:$AO$2&lt;=$U$5),INDEX('TY Sales Target'!$K$5:$AO$300,$BG194,0)))</f>
        <v>0</v>
      </c>
      <c r="AW194" s="8" t="str" cm="1">
        <f t="array" ref="AW194">IFERROR(INDEX(_xlfn.ANCHORARRAY($BR$5),ROWS($AW$5:AW194)),"")</f>
        <v/>
      </c>
      <c r="BB194" cm="1">
        <f t="array" ref="BB194">IF($AW194="",0,SUMPRODUCT((TRIM(Footfall!$B$5:$B$301)=$AW194)*(Footfall!$C$1:$BZ$1&gt;=$U$4)*(Footfall!$C$2:$BZ$2&lt;=$U$5)*(Footfall!$C$1:$BZ$1&lt;&gt;""),Footfall!$C$5:$BZ$301))</f>
        <v>0</v>
      </c>
      <c r="BC194" cm="1">
        <f t="array" ref="BC194">IF(OR($BB194&lt;=0,$BD$1="",$BF194=""),0,_xlfn.LET(_xlpm.d,IFERROR(--'Sales and count'!$F$2:$CB$2,0),SUMPRODUCT(('Sales and count'!$G$3:$CC$3="Transactions")*(_xlpm.d&gt;=$BD$1)*(_xlpm.d&lt;=$BD$2),INDEX('Sales and count'!$G$4:$CC$300,$BF194,0))))</f>
        <v>0</v>
      </c>
      <c r="BF194" t="str" cm="1">
        <f t="array" ref="BF194">IF($AW194="","",IFERROR(MATCH($AW194,TRIM('Sales and count'!$A$4:$A$300&amp;""),0),""))</f>
        <v/>
      </c>
      <c r="BG194" t="str" cm="1">
        <f t="array" ref="BG194">IF($AW194="","",IFERROR(MATCH(IFERROR(_xlfn.XLOOKUP($AW194,$BT$5:$BT$22,$BU$5:$BU$22),$AW194),TRIM('TY Sales Target'!$B$5:$B$300&amp;""),0),""))</f>
        <v/>
      </c>
      <c r="BH194" t="str" cm="1">
        <f t="array" ref="BH194">IF(ISNUMBER($BG194),_xlfn.LET(_xlpm.p,TRIM(INDEX('TY Sales Target'!$I$5:$I$300,$BG194)&amp;""),IF(_xlpm.p="","Not set",_xlpm.p)),"Not set")</f>
        <v>Not set</v>
      </c>
      <c r="BI194" cm="1">
        <f t="array" ref="BI194">IF($BF194="",0,_xlfn.LET(_xlpm.d,IFERROR(--'Sales and count'!$G$2:$CC$2,0),SUMPRODUCT(('Sales and count'!$G$3:$CC$3="Total")*(_xlpm.d&gt;=$BZ$5)*(_xlpm.d&lt;=$BZ$6),INDEX('Sales and count'!$G$4:$CC$300,$BF194,0))))</f>
        <v>0</v>
      </c>
      <c r="BJ194" cm="1">
        <f t="array" ref="BJ194">IF($AW194="",0,SUMPRODUCT((TRIM('LY Sales '!$B$5:$B$200)=$AW194)*('LY Sales '!$C$2:$AG$2&gt;=EDATE($BZ$5,-12))*('LY Sales '!$C$2:$AG$2&lt;=EDATE($BZ$6,-12)),'LY Sales '!$C$5:$AG$200))</f>
        <v>0</v>
      </c>
      <c r="BK194" cm="1">
        <f t="array" ref="BK194">IF($AW194="",0,SUMPRODUCT((TRIM('LY Sales '!$B$5:$B$200)=$AW194)*('LY Sales '!$C$2:$AG$2&gt;=EDATE($BZ$5,-12))*('LY Sales '!$C$2:$AG$2&lt;=EDATE($BZ$7,-12)),'LY Sales '!$C$5:$AG$200))</f>
        <v>0</v>
      </c>
      <c r="BL194" cm="1">
        <f t="array" ref="BL194">IF($AW194="",0,SUMPRODUCT((TRIM('LY Sales '!$B$5:$B$200)=$AW194)*('LY Sales '!$C$2:$AG$2&gt;=EDATE($BZ$5,-12))*('LY Sales '!$C$2:$AG$2&lt;=EDATE($BZ$6,-12))*('LY Sales '!$C$5:$AG$200&gt;0)))</f>
        <v>0</v>
      </c>
      <c r="BM194" cm="1">
        <f t="array" ref="BM194">IF(NOT(ISNUMBER($BG194)),0,SUMPRODUCT(('TY Sales Target'!$K$2:$AO$2&gt;=$BZ$5)*('TY Sales Target'!$K$2:$AO$2&lt;=$BZ$6),INDEX('TY Sales Target'!$K$5:$AO$300,$BG194,0)))</f>
        <v>0</v>
      </c>
      <c r="BN194" cm="1">
        <f t="array" ref="BN194">IF(NOT(ISNUMBER($BG194)),0,SUMPRODUCT(('TY Sales Target'!$K$2:$AO$2&gt;=$BZ$5)*('TY Sales Target'!$K$2:$AO$2&lt;=$BZ$7),INDEX('TY Sales Target'!$K$5:$AO$300,$BG194,0)))</f>
        <v>0</v>
      </c>
      <c r="BO194" cm="1">
        <f t="array" ref="BO194">IF($AW194="",0,IFERROR(_xlfn.SWITCH($BP194,"LY trend",$BI194*$BK194/$BJ194,"Target curve",$BI194*$BN194/$BM194,"Run rate",$BI194/$BZ$8*$BZ$9,0),0))</f>
        <v>0</v>
      </c>
      <c r="BP194" t="str">
        <f t="shared" si="92"/>
        <v/>
      </c>
      <c r="CB194" cm="1">
        <f t="array" ref="CB194">IF($AW194="",0,_xlfn.LET(_xlpm.k,IFERROR(_xlfn.XLOOKUP($AW194,$CD$6:$CD$21,$CE$6:$CE$21),$AW194),SUMPRODUCT((TRIM('Makeup '!$A$2:$A$300&amp;"")=_xlpm.k)*1,IFERROR('Makeup '!$F$2:$F$300*1,0))))</f>
        <v>0</v>
      </c>
      <c r="CF194" t="str" cm="1">
        <f t="array" ref="CF194">IF($AW194="","",_xlfn.LET(_xlpm.c,IFERROR(TRIM(INDEX('Sales and count'!$B$4:$B$300,$BF194)&amp;""),""),IF(OR(_xlpm.c="",_xlpm.c="0",LEFT(_xlpm.c,1)="#"),"Not set",_xlpm.c)))</f>
        <v/>
      </c>
      <c r="CH194" cm="1">
        <f t="array" ref="CH194">IF($AW194="",0,_xlfn.LET(_xlpm.k,IFERROR(_xlfn.XLOOKUP($AW194,$CD$6:$CD$21,$CE$6:$CE$21),$AW194),--(SUMPRODUCT((TRIM('Makeup '!$A$2:$A$300&amp;"")=_xlpm.k)*ISNUMBER('Makeup '!$F$2:$F$300))&gt;0)))</f>
        <v>0</v>
      </c>
      <c r="CI194">
        <f t="shared" si="95"/>
        <v>0</v>
      </c>
      <c r="CJ194" cm="1">
        <f t="array" ref="CJ194">IF($AW194="",0,--(SUMPRODUCT(--(TRIM(Footfall!$B$5:$B$301)=$AW194))&gt;0))</f>
        <v>0</v>
      </c>
      <c r="CK194" s="8" cm="1">
        <f t="array" ref="CK194">IF($AW194="",0,_xlfn.LET(_xlpm.r,IFERROR(MATCH(IFERROR(_xlfn.XLOOKUP($AW194,$BT$5:$BT$22,$BU$5:$BU$22),$AW194),TRIM('TY Beauty Target'!$B$5:$B$300&amp;""),0),""),IF(ISNUMBER(_xlpm.r),SUMPRODUCT(('TY Beauty Target'!$L$2:$AP$2&gt;=$U$4)*('TY Beauty Target'!$L$2:$AP$2&lt;=$U$5),INDEX('TY Beauty Target'!$L$5:$AP$300,_xlpm.r,0)),0)))</f>
        <v>0</v>
      </c>
    </row>
    <row r="195" spans="1:89" ht="15" customHeight="1" x14ac:dyDescent="0.25">
      <c r="A195" s="38" t="str">
        <f t="shared" si="112"/>
        <v/>
      </c>
      <c r="B195" s="43" t="str" cm="1">
        <f t="array" ref="B195">IF($AI195="","",IF(LEFT($AI195,2)="C|",IF($C195="","",_xlfn.TEXTJOIN(", ",TRUE,_xlfn.UNIQUE(_xlfn._xlws.FILTER($AN$5:$AN$302,($AP$5:$AP$302=1)*($AO$5:$AO$302=$A195))))),IF($AI195="CT",B$13,IF(LEFT($AI195,3)="AM|",IF($C195="","",ROWS(_xlfn.UNIQUE(_xlfn._xlws.FILTER($AO$5:$AO$302,($AP$5:$AP$302=1)*($AN$5:$AN$302=$A195))))),IF(LEFT($AI195,2)="S|",IF($AG195="","",INDEX($AO$5:$AO$302,$AH195)),IF($AI195="HDR","City",""))))))</f>
        <v/>
      </c>
      <c r="C195" s="39" t="str" cm="1">
        <f t="array" ref="C195">IF($AI195="","",IF(LEFT($AI195,2)="C|",_xlfn.LET(_xlpm.n,SUMPRODUCT($AP$5:$AP$302*($AO$5:$AO$302=$A195)),IF(_xlpm.n=0,"",_xlpm.n)),IF($AI195="CT",C$13,IF(LEFT($AI195,3)="AM|",_xlfn.LET(_xlpm.n,SUMPRODUCT($AP$5:$AP$302*($AN$5:$AN$302=$A195)),IF(_xlpm.n=0,"",_xlpm.n)),IF(LEFT($AI195,2)="S|","",IF($AI195="HDR","# Stores",""))))))</f>
        <v/>
      </c>
      <c r="D195" s="40" t="str" cm="1">
        <f t="array" ref="D195">IF($AI195="","",IF(LEFT($AI195,2)="C|",IF($C195="","",SUMPRODUCT($AP$5:$AP$302*($AO$5:$AO$302=$A195),$AR$5:$AR$302)),IF($AI195="CT",D$13,IF(LEFT($AI195,3)="AM|",IF($C195="","",SUMPRODUCT($AP$5:$AP$302*($AN$5:$AN$302=$A195),$AR$5:$AR$302)),IF(LEFT($AI195,2)="S|",IF($AG195="","",INDEX($AR$5:$AR$302,$AH195)),IF($AI195="HDR","Sales TY",""))))))</f>
        <v/>
      </c>
      <c r="E195" s="40" t="str" cm="1">
        <f t="array" ref="E195">IF($AI195="","",IF(LEFT($AI195,2)="C|",IF($C195="","",SUMPRODUCT($AP$5:$AP$302*($AO$5:$AO$302=$A195),$AT$5:$AT$302)),IF($AI195="CT",E$13,IF(LEFT($AI195,3)="AM|",IF($C195="","",SUMPRODUCT($AP$5:$AP$302*($AN$5:$AN$302=$A195),$AT$5:$AT$302)),IF(LEFT($AI195,2)="S|",IF($AG195="","",INDEX($AT$5:$AT$302,$AH195)),IF($AI195="HDR","Sales LY",""))))))</f>
        <v/>
      </c>
      <c r="F195" s="41" t="str">
        <f t="shared" si="113"/>
        <v/>
      </c>
      <c r="G195" s="41" t="str">
        <f t="shared" si="114"/>
        <v/>
      </c>
      <c r="H195" s="40" t="str" cm="1">
        <f t="array" ref="H195">IF($AI195="","",IF(LEFT($AI195,2)="C|",IF($C195="","",SUMPRODUCT($AP$5:$AP$302*($AO$5:$AO$302=$A195),$AV$5:$AV$302)),IF($AI195="CT",H$13,IF(LEFT($AI195,3)="AM|",IF($C195="","",SUMPRODUCT($AP$5:$AP$302*($AN$5:$AN$302=$A195),$AV$5:$AV$302)),IF(LEFT($AI195,2)="S|",IF($AG195="","",INDEX($AV$5:$AV$302,$AH195)),IF($AI195="HDR","Target",""))))))</f>
        <v/>
      </c>
      <c r="I195" s="41" t="str">
        <f t="shared" si="115"/>
        <v/>
      </c>
      <c r="J195" s="40" t="str">
        <f t="shared" si="116"/>
        <v/>
      </c>
      <c r="K195" s="41" t="str">
        <f t="shared" si="117"/>
        <v/>
      </c>
      <c r="L195" s="40" t="str" cm="1">
        <f t="array" ref="L195">IF($AI195="","",IF(LEFT($AI195,2)="C|",IF($C195="","",SUMPRODUCT($AP$5:$AP$302*($AO$5:$AO$302=$A195),$BN$5:$BN$302)),IF($AI195="CT",L$13,IF(LEFT($AI195,3)="AM|",IF($C195="","",SUMPRODUCT($AP$5:$AP$302*($AN$5:$AN$302=$A195),$BN$5:$BN$302)),IF(LEFT($AI195,2)="S|",IF($AG195="","",INDEX($BN$5:$BN$302,$AH195)),IF($AI195="HDR","Month Target",""))))))</f>
        <v/>
      </c>
      <c r="M195" s="40" t="str" cm="1">
        <f t="array" ref="M195">IF($AI195="","",IF(LEFT($AI195,2)="C|",IF($C195="","",SUMPRODUCT($AP$5:$AP$302*($AO$5:$AO$302=$A195),$BO$5:$BO$302)),IF($AI195="CT",M$13,IF(LEFT($AI195,3)="AM|",IF($C195="","",SUMPRODUCT($AP$5:$AP$302*($AN$5:$AN$302=$A195),$BO$5:$BO$302)),IF(LEFT($AI195,2)="S|",IF($AG195="","",INDEX($BO$5:$BO$302,$AH195)),IF($AI195="HDR","Projected Close",""))))))</f>
        <v/>
      </c>
      <c r="N195" s="41" t="str">
        <f t="shared" si="109"/>
        <v/>
      </c>
      <c r="O195" s="41" t="str" cm="1">
        <f t="array" ref="O195">IF($AI195="HDR","Proj. vs LY",IF(OR($AI195="",M195=""),"",_xlfn.LET(_xlpm.ly,IF(LEFT($AI195,2)="C|",SUMPRODUCT($AP$5:$AP$302*($AO$5:$AO$302=$A195),$BK$5:$BK$302),IF($AI195="CT",SUMPRODUCT($AP$5:$AP$302,$BK$5:$BK$302),IF(LEFT($AI195,3)="AM|",SUMPRODUCT($AP$5:$AP$302*($AN$5:$AN$302=$A195),$BK$5:$BK$302),IF(LEFT($AI195,2)="S|",INDEX($BK$5:$BK$302,$AH195),0)))),IFERROR(M195/_xlpm.ly-1,""))))</f>
        <v/>
      </c>
      <c r="P195" s="40" t="str" cm="1">
        <f t="array" ref="P195">IF($AI195="","",IF(LEFT($AI195,2)="C|",IF($C195="","",SUMPRODUCT($AP$5:$AP$302*($AO$5:$AO$302=$A195),$AS$5:$AS$302)),IF($AI195="CT",P$13,IF(LEFT($AI195,3)="AM|",IF($C195="","",SUMPRODUCT($AP$5:$AP$302*($AN$5:$AN$302=$A195),$AS$5:$AS$302)),IF(LEFT($AI195,2)="S|",IF($AG195="","",INDEX($AS$5:$AS$302,$AH195)),IF($AI195="HDR","Trans TY",""))))))</f>
        <v/>
      </c>
      <c r="Q195" s="40" t="str" cm="1">
        <f t="array" ref="Q195">IF($AI195="","",IF(LEFT($AI195,2)="C|",IF($C195="","",SUMPRODUCT($AP$5:$AP$302*($AO$5:$AO$302=$A195),$AU$5:$AU$302)),IF($AI195="CT",Q$13,IF(LEFT($AI195,3)="AM|",IF($C195="","",SUMPRODUCT($AP$5:$AP$302*($AN$5:$AN$302=$A195),$AU$5:$AU$302)),IF(LEFT($AI195,2)="S|",IF($AG195="","",INDEX($AU$5:$AU$302,$AH195)),IF($AI195="HDR","Trans LY",""))))))</f>
        <v/>
      </c>
      <c r="R195" s="41" t="str">
        <f t="shared" si="118"/>
        <v/>
      </c>
      <c r="S195" s="41" t="str">
        <f t="shared" si="119"/>
        <v/>
      </c>
      <c r="T195" s="42" t="str">
        <f t="shared" si="120"/>
        <v/>
      </c>
      <c r="U195" s="42" t="str">
        <f t="shared" si="121"/>
        <v/>
      </c>
      <c r="V195" s="41" t="str">
        <f t="shared" si="122"/>
        <v/>
      </c>
      <c r="W195" s="40" t="str" cm="1">
        <f t="array" ref="W195">IF($AI195="","",IF(LEFT($AI195,2)="C|",_xlfn.LET(_xlpm.n,SUMPRODUCT($AP$5:$AP$302*($AO$5:$AO$302=$A195),$BB$5:$BB$302),IF(_xlpm.n=0,"",_xlpm.n)),IF($AI195="CT",W$13,IF(LEFT($AI195,3)="AM|",_xlfn.LET(_xlpm.n,SUMPRODUCT($AP$5:$AP$302*($AN$5:$AN$302=$A195),$BB$5:$BB$302),IF(_xlpm.n=0,"",_xlpm.n)),IF(LEFT($AI195,2)="S|",IF($AG195="","",_xlfn.LET(_xlpm.n,INDEX($BB$5:$BB$302,$AH195),IF(_xlpm.n=0,"",_xlpm.n))),IF($AI195="HDR","Footfall",""))))))</f>
        <v/>
      </c>
      <c r="X195" s="40" t="str" cm="1">
        <f t="array" ref="X195">IF($AI195="","",IF($AI195="HDR","Trans (FF stores)",IF(W195="","",IF(LEFT($AI195,2)="C|",SUMPRODUCT($AP$5:$AP$302*($AO$5:$AO$302=$A195),$BC$5:$BC$302),IF($AI195="CT",X$13,IF(LEFT($AI195,3)="AM|",SUMPRODUCT($AP$5:$AP$302*($AN$5:$AN$302=$A195),$BC$5:$BC$302),IF(LEFT($AI195,2)="S|",INDEX($BC$5:$BC$302,$AH195),"")))))))</f>
        <v/>
      </c>
      <c r="Y195" s="41" t="str">
        <f t="shared" si="110"/>
        <v/>
      </c>
      <c r="Z195" s="40" t="str" cm="1">
        <f t="array" ref="Z195">IF($AI195="","",IF(LEFT($AI195,2)="C|",IF($C195="","",SUMPRODUCT($AP$5:$AP$302*($AO$5:$AO$302=$A195),$CB$5:$CB$302)),IF($AI195="CT",Z$13,IF(LEFT($AI195,3)="AM|",IF($C195="","",SUMPRODUCT($AP$5:$AP$302*($AN$5:$AN$302=$A195),$CB$5:$CB$302)),IF(LEFT($AI195,2)="S|",IF($AG195="","",INDEX($CB$5:$CB$302,$AH195)),IF($AI195="HDR","Makeup Sales",""))))))</f>
        <v/>
      </c>
      <c r="AA195" s="41" t="str">
        <f t="shared" si="123"/>
        <v/>
      </c>
      <c r="AB195" s="40" t="str" cm="1">
        <f t="array" ref="AB195">IF($AI195="","",IF(LEFT($AI195,2)="C|",IF($C195="","",SUMPRODUCT($AP$5:$AP$302*($AO$5:$AO$302=$A195),$CK$5:$CK$302)),IF($AI195="CT",AB$13,IF(LEFT($AI195,3)="AM|",IF($C195="","",SUMPRODUCT($AP$5:$AP$302*($AN$5:$AN$302=$A195),$CK$5:$CK$302)),IF(LEFT($AI195,2)="S|",IF($AG195="","",INDEX($CK$5:$CK$302,$AH195)),IF($AI195="HDR","Makeup Target",""))))))</f>
        <v/>
      </c>
      <c r="AC195" s="41" t="str">
        <f t="shared" si="111"/>
        <v/>
      </c>
      <c r="AD195" s="40" t="str" cm="1">
        <f t="array" ref="AD195">IF($AI195="","",IF(LEFT($AI195,2)="C|",IF($C195="","",SUMPRODUCT($AP$5:$AP$302*($AO$5:$AO$302=$A195),$CI$5:$CI$302)),IF($AI195="CT",AD$13,IF(LEFT($AI195,3)="AM|",IF($C195="","",SUMPRODUCT($AP$5:$AP$302*($AN$5:$AN$302=$A195),$CI$5:$CI$302)),IF(LEFT($AI195,2)="S|",IF($AG195="","",INDEX($CI$5:$CI$302,$AH195)),IF($AI195="HDR","Cosmetic Sales",""))))))</f>
        <v/>
      </c>
      <c r="AE195" s="8" t="str" cm="1">
        <f t="array" ref="AE195">IF($AI195="","",IF(LEFT($AI195,2)="C|",IF($C195="","",SUMPRODUCT($AP$5:$AP$302*($AO$5:$AO$302=$A195)*$AQ$5:$AQ$302,$AR$5:$AR$302)),IF($AI195="CT",AE$13,IF(LEFT($AI195,3)="AM|",IF($C195="","",SUMPRODUCT($AP$5:$AP$302*($AN$5:$AN$302=$A195)*$AQ$5:$AQ$302,$AR$5:$AR$302)),IF(LEFT($AI195,2)="S|",IF($AG195="","",IF(INDEX($AQ$5:$AQ$302,$AH195)=1,D195,0)),IF($AI195="HDR","LFL Sales",""))))))</f>
        <v/>
      </c>
      <c r="AF195" s="8" t="str" cm="1">
        <f t="array" ref="AF195">IF($AI195="","",IF(LEFT($AI195,2)="C|",IF($C195="","",SUMPRODUCT($AP$5:$AP$302*($AO$5:$AO$302=$A195)*$AQ$5:$AQ$302,$AS$5:$AS$302)),IF($AI195="CT",AF$13,IF(LEFT($AI195,3)="AM|",IF($C195="","",SUMPRODUCT($AP$5:$AP$302*($AN$5:$AN$302=$A195)*$AQ$5:$AQ$302,$AS$5:$AS$302)),IF(LEFT($AI195,2)="S|",IF($AG195="","",IF(INDEX($AQ$5:$AQ$302,$AH195)=1,P195,0)),IF($AI195="HDR","LFL Trans",""))))))</f>
        <v/>
      </c>
      <c r="AG195" s="8" t="str" cm="1">
        <f t="array" ref="AG195">IF($AI195="","",IF(LEFT($AI195,2)="C|","",IF($AI195="CT","",IF(LEFT($AI195,3)="AM|","",IF(LEFT($AI195,2)="S|",IF($AH195="","",IF(INDEX($AP$5:$AP$302,$AH195)=1,1,"")),IF($AI195="HDR","Show",""))))))</f>
        <v/>
      </c>
      <c r="AH195" s="8" t="str">
        <f t="shared" si="124"/>
        <v/>
      </c>
      <c r="AI195" s="8"/>
      <c r="AN195" s="8" t="str" cm="1">
        <f t="array" ref="AN195">IF($AW195="","",_xlfn.LET(_xlpm.sa,IFERROR(TRIM(INDEX('Sales and count'!$D$4:$D$300,$BF195)&amp;""),""),_xlpm.ta,IFERROR(TRIM(INDEX('TY Sales Target'!$F$5:$F$300,$BG195)&amp;""),""),IF(AND(_xlpm.sa&lt;&gt;"",LEFT(_xlpm.sa,1)&lt;&gt;"#",_xlpm.sa&lt;&gt;"0"),_xlpm.sa,IF(AND(_xlpm.ta&lt;&gt;"",LEFT(_xlpm.ta,1)&lt;&gt;"#",_xlpm.ta&lt;&gt;"0"),_xlpm.ta,IF(ISNUMBER($BG195),"Unassigned","")))))</f>
        <v/>
      </c>
      <c r="AO195" s="8" t="str" cm="1">
        <f t="array" ref="AO195">IF($AW195="","",_xlfn.LET(_xlpm.sa,IFERROR(TRIM(INDEX('Sales and count'!$C$4:$C$300,$BF195)&amp;""),""),_xlpm.ta,IFERROR(TRIM(INDEX('TY Sales Target'!$D$5:$D$300,$BG195)&amp;""),""),IF(AND(_xlpm.sa&lt;&gt;"",LEFT(_xlpm.sa,1)&lt;&gt;"#",_xlpm.sa&lt;&gt;"0"),_xlpm.sa,IF(AND(_xlpm.ta&lt;&gt;"",LEFT(_xlpm.ta,1)&lt;&gt;"#",_xlpm.ta&lt;&gt;"0"),_xlpm.ta,""))))</f>
        <v/>
      </c>
      <c r="AP195" s="8">
        <f t="shared" si="93"/>
        <v>0</v>
      </c>
      <c r="AQ195" s="8">
        <f t="shared" si="94"/>
        <v>0</v>
      </c>
      <c r="AR195" s="8" cm="1">
        <f t="array" ref="AR195">IF($BF195="",0,_xlfn.LET(_xlpm.d,IFERROR(--'Sales and count'!$G$2:$CC$2,0),SUMPRODUCT(('Sales and count'!$G$3:$CC$3="Total")*(_xlpm.d&gt;=$U$4)*(_xlpm.d&lt;=$U$5),INDEX('Sales and count'!$G$4:$CC$300,$BF195,0))))</f>
        <v>0</v>
      </c>
      <c r="AS195" s="8" cm="1">
        <f t="array" ref="AS195">IF($BF195="",0,_xlfn.LET(_xlpm.d,IFERROR(--'Sales and count'!$F$2:$CB$2,0),SUMPRODUCT(('Sales and count'!$G$3:$CC$3="Transactions")*(_xlpm.d&gt;=$U$4)*(_xlpm.d&lt;=$U$5),INDEX('Sales and count'!$G$4:$CC$300,$BF195,0))))</f>
        <v>0</v>
      </c>
      <c r="AT195" s="8" cm="1">
        <f t="array" ref="AT195">IF($AW195="",0,SUMPRODUCT((TRIM('LY Sales '!$B$5:$B$200)=$AW195)*('LY Sales '!$C$2:$AG$2&gt;=EDATE($U$4,-12))*('LY Sales '!$C$2:$AG$2&lt;=EDATE($U$5,-12)),'LY Sales '!$C$5:$AG$200))</f>
        <v>0</v>
      </c>
      <c r="AU195" s="8" cm="1">
        <f t="array" ref="AU195">IF($AW195="",0,SUMPRODUCT((TRIM('LY Transaction'!$B$5:$B$200)=$AW195)*('LY Transaction'!$C$2:$AG$2&gt;=EDATE($U$4,-12))*('LY Transaction'!$C$2:$AG$2&lt;=EDATE($U$5,-12)),'LY Transaction'!$C$5:$AG$200))</f>
        <v>0</v>
      </c>
      <c r="AV195" s="8" cm="1">
        <f t="array" ref="AV195">IF(NOT(ISNUMBER($BG195)),0,SUMPRODUCT(('TY Sales Target'!$K$2:$AO$2&gt;=$U$4)*('TY Sales Target'!$K$2:$AO$2&lt;=$U$5),INDEX('TY Sales Target'!$K$5:$AO$300,$BG195,0)))</f>
        <v>0</v>
      </c>
      <c r="AW195" s="8" t="str" cm="1">
        <f t="array" ref="AW195">IFERROR(INDEX(_xlfn.ANCHORARRAY($BR$5),ROWS($AW$5:AW195)),"")</f>
        <v/>
      </c>
      <c r="BB195" cm="1">
        <f t="array" ref="BB195">IF($AW195="",0,SUMPRODUCT((TRIM(Footfall!$B$5:$B$301)=$AW195)*(Footfall!$C$1:$BZ$1&gt;=$U$4)*(Footfall!$C$2:$BZ$2&lt;=$U$5)*(Footfall!$C$1:$BZ$1&lt;&gt;""),Footfall!$C$5:$BZ$301))</f>
        <v>0</v>
      </c>
      <c r="BC195" cm="1">
        <f t="array" ref="BC195">IF(OR($BB195&lt;=0,$BD$1="",$BF195=""),0,_xlfn.LET(_xlpm.d,IFERROR(--'Sales and count'!$F$2:$CB$2,0),SUMPRODUCT(('Sales and count'!$G$3:$CC$3="Transactions")*(_xlpm.d&gt;=$BD$1)*(_xlpm.d&lt;=$BD$2),INDEX('Sales and count'!$G$4:$CC$300,$BF195,0))))</f>
        <v>0</v>
      </c>
      <c r="BF195" t="str" cm="1">
        <f t="array" ref="BF195">IF($AW195="","",IFERROR(MATCH($AW195,TRIM('Sales and count'!$A$4:$A$300&amp;""),0),""))</f>
        <v/>
      </c>
      <c r="BG195" t="str" cm="1">
        <f t="array" ref="BG195">IF($AW195="","",IFERROR(MATCH(IFERROR(_xlfn.XLOOKUP($AW195,$BT$5:$BT$22,$BU$5:$BU$22),$AW195),TRIM('TY Sales Target'!$B$5:$B$300&amp;""),0),""))</f>
        <v/>
      </c>
      <c r="BH195" t="str" cm="1">
        <f t="array" ref="BH195">IF(ISNUMBER($BG195),_xlfn.LET(_xlpm.p,TRIM(INDEX('TY Sales Target'!$I$5:$I$300,$BG195)&amp;""),IF(_xlpm.p="","Not set",_xlpm.p)),"Not set")</f>
        <v>Not set</v>
      </c>
      <c r="BI195" cm="1">
        <f t="array" ref="BI195">IF($BF195="",0,_xlfn.LET(_xlpm.d,IFERROR(--'Sales and count'!$G$2:$CC$2,0),SUMPRODUCT(('Sales and count'!$G$3:$CC$3="Total")*(_xlpm.d&gt;=$BZ$5)*(_xlpm.d&lt;=$BZ$6),INDEX('Sales and count'!$G$4:$CC$300,$BF195,0))))</f>
        <v>0</v>
      </c>
      <c r="BJ195" cm="1">
        <f t="array" ref="BJ195">IF($AW195="",0,SUMPRODUCT((TRIM('LY Sales '!$B$5:$B$200)=$AW195)*('LY Sales '!$C$2:$AG$2&gt;=EDATE($BZ$5,-12))*('LY Sales '!$C$2:$AG$2&lt;=EDATE($BZ$6,-12)),'LY Sales '!$C$5:$AG$200))</f>
        <v>0</v>
      </c>
      <c r="BK195" cm="1">
        <f t="array" ref="BK195">IF($AW195="",0,SUMPRODUCT((TRIM('LY Sales '!$B$5:$B$200)=$AW195)*('LY Sales '!$C$2:$AG$2&gt;=EDATE($BZ$5,-12))*('LY Sales '!$C$2:$AG$2&lt;=EDATE($BZ$7,-12)),'LY Sales '!$C$5:$AG$200))</f>
        <v>0</v>
      </c>
      <c r="BL195" cm="1">
        <f t="array" ref="BL195">IF($AW195="",0,SUMPRODUCT((TRIM('LY Sales '!$B$5:$B$200)=$AW195)*('LY Sales '!$C$2:$AG$2&gt;=EDATE($BZ$5,-12))*('LY Sales '!$C$2:$AG$2&lt;=EDATE($BZ$6,-12))*('LY Sales '!$C$5:$AG$200&gt;0)))</f>
        <v>0</v>
      </c>
      <c r="BM195" cm="1">
        <f t="array" ref="BM195">IF(NOT(ISNUMBER($BG195)),0,SUMPRODUCT(('TY Sales Target'!$K$2:$AO$2&gt;=$BZ$5)*('TY Sales Target'!$K$2:$AO$2&lt;=$BZ$6),INDEX('TY Sales Target'!$K$5:$AO$300,$BG195,0)))</f>
        <v>0</v>
      </c>
      <c r="BN195" cm="1">
        <f t="array" ref="BN195">IF(NOT(ISNUMBER($BG195)),0,SUMPRODUCT(('TY Sales Target'!$K$2:$AO$2&gt;=$BZ$5)*('TY Sales Target'!$K$2:$AO$2&lt;=$BZ$7),INDEX('TY Sales Target'!$K$5:$AO$300,$BG195,0)))</f>
        <v>0</v>
      </c>
      <c r="BO195" cm="1">
        <f t="array" ref="BO195">IF($AW195="",0,IFERROR(_xlfn.SWITCH($BP195,"LY trend",$BI195*$BK195/$BJ195,"Target curve",$BI195*$BN195/$BM195,"Run rate",$BI195/$BZ$8*$BZ$9,0),0))</f>
        <v>0</v>
      </c>
      <c r="BP195" t="str">
        <f t="shared" si="92"/>
        <v/>
      </c>
      <c r="CB195" cm="1">
        <f t="array" ref="CB195">IF($AW195="",0,_xlfn.LET(_xlpm.k,IFERROR(_xlfn.XLOOKUP($AW195,$CD$6:$CD$21,$CE$6:$CE$21),$AW195),SUMPRODUCT((TRIM('Makeup '!$A$2:$A$300&amp;"")=_xlpm.k)*1,IFERROR('Makeup '!$F$2:$F$300*1,0))))</f>
        <v>0</v>
      </c>
      <c r="CF195" t="str" cm="1">
        <f t="array" ref="CF195">IF($AW195="","",_xlfn.LET(_xlpm.c,IFERROR(TRIM(INDEX('Sales and count'!$B$4:$B$300,$BF195)&amp;""),""),IF(OR(_xlpm.c="",_xlpm.c="0",LEFT(_xlpm.c,1)="#"),"Not set",_xlpm.c)))</f>
        <v/>
      </c>
      <c r="CH195" cm="1">
        <f t="array" ref="CH195">IF($AW195="",0,_xlfn.LET(_xlpm.k,IFERROR(_xlfn.XLOOKUP($AW195,$CD$6:$CD$21,$CE$6:$CE$21),$AW195),--(SUMPRODUCT((TRIM('Makeup '!$A$2:$A$300&amp;"")=_xlpm.k)*ISNUMBER('Makeup '!$F$2:$F$300))&gt;0)))</f>
        <v>0</v>
      </c>
      <c r="CI195">
        <f t="shared" si="95"/>
        <v>0</v>
      </c>
      <c r="CJ195" cm="1">
        <f t="array" ref="CJ195">IF($AW195="",0,--(SUMPRODUCT(--(TRIM(Footfall!$B$5:$B$301)=$AW195))&gt;0))</f>
        <v>0</v>
      </c>
      <c r="CK195" s="8" cm="1">
        <f t="array" ref="CK195">IF($AW195="",0,_xlfn.LET(_xlpm.r,IFERROR(MATCH(IFERROR(_xlfn.XLOOKUP($AW195,$BT$5:$BT$22,$BU$5:$BU$22),$AW195),TRIM('TY Beauty Target'!$B$5:$B$300&amp;""),0),""),IF(ISNUMBER(_xlpm.r),SUMPRODUCT(('TY Beauty Target'!$L$2:$AP$2&gt;=$U$4)*('TY Beauty Target'!$L$2:$AP$2&lt;=$U$5),INDEX('TY Beauty Target'!$L$5:$AP$300,_xlpm.r,0)),0)))</f>
        <v>0</v>
      </c>
    </row>
    <row r="196" spans="1:89" ht="15" customHeight="1" x14ac:dyDescent="0.25">
      <c r="A196" s="38" t="str">
        <f t="shared" si="112"/>
        <v/>
      </c>
      <c r="B196" s="43" t="str" cm="1">
        <f t="array" ref="B196">IF($AI196="","",IF(LEFT($AI196,2)="C|",IF($C196="","",_xlfn.TEXTJOIN(", ",TRUE,_xlfn.UNIQUE(_xlfn._xlws.FILTER($AN$5:$AN$302,($AP$5:$AP$302=1)*($AO$5:$AO$302=$A196))))),IF($AI196="CT",B$13,IF(LEFT($AI196,3)="AM|",IF($C196="","",ROWS(_xlfn.UNIQUE(_xlfn._xlws.FILTER($AO$5:$AO$302,($AP$5:$AP$302=1)*($AN$5:$AN$302=$A196))))),IF(LEFT($AI196,2)="S|",IF($AG196="","",INDEX($AO$5:$AO$302,$AH196)),IF($AI196="HDR","City",""))))))</f>
        <v/>
      </c>
      <c r="C196" s="39" t="str" cm="1">
        <f t="array" ref="C196">IF($AI196="","",IF(LEFT($AI196,2)="C|",_xlfn.LET(_xlpm.n,SUMPRODUCT($AP$5:$AP$302*($AO$5:$AO$302=$A196)),IF(_xlpm.n=0,"",_xlpm.n)),IF($AI196="CT",C$13,IF(LEFT($AI196,3)="AM|",_xlfn.LET(_xlpm.n,SUMPRODUCT($AP$5:$AP$302*($AN$5:$AN$302=$A196)),IF(_xlpm.n=0,"",_xlpm.n)),IF(LEFT($AI196,2)="S|","",IF($AI196="HDR","# Stores",""))))))</f>
        <v/>
      </c>
      <c r="D196" s="40" t="str" cm="1">
        <f t="array" ref="D196">IF($AI196="","",IF(LEFT($AI196,2)="C|",IF($C196="","",SUMPRODUCT($AP$5:$AP$302*($AO$5:$AO$302=$A196),$AR$5:$AR$302)),IF($AI196="CT",D$13,IF(LEFT($AI196,3)="AM|",IF($C196="","",SUMPRODUCT($AP$5:$AP$302*($AN$5:$AN$302=$A196),$AR$5:$AR$302)),IF(LEFT($AI196,2)="S|",IF($AG196="","",INDEX($AR$5:$AR$302,$AH196)),IF($AI196="HDR","Sales TY",""))))))</f>
        <v/>
      </c>
      <c r="E196" s="40" t="str" cm="1">
        <f t="array" ref="E196">IF($AI196="","",IF(LEFT($AI196,2)="C|",IF($C196="","",SUMPRODUCT($AP$5:$AP$302*($AO$5:$AO$302=$A196),$AT$5:$AT$302)),IF($AI196="CT",E$13,IF(LEFT($AI196,3)="AM|",IF($C196="","",SUMPRODUCT($AP$5:$AP$302*($AN$5:$AN$302=$A196),$AT$5:$AT$302)),IF(LEFT($AI196,2)="S|",IF($AG196="","",INDEX($AT$5:$AT$302,$AH196)),IF($AI196="HDR","Sales LY",""))))))</f>
        <v/>
      </c>
      <c r="F196" s="41" t="str">
        <f t="shared" si="113"/>
        <v/>
      </c>
      <c r="G196" s="41" t="str">
        <f t="shared" si="114"/>
        <v/>
      </c>
      <c r="H196" s="40" t="str" cm="1">
        <f t="array" ref="H196">IF($AI196="","",IF(LEFT($AI196,2)="C|",IF($C196="","",SUMPRODUCT($AP$5:$AP$302*($AO$5:$AO$302=$A196),$AV$5:$AV$302)),IF($AI196="CT",H$13,IF(LEFT($AI196,3)="AM|",IF($C196="","",SUMPRODUCT($AP$5:$AP$302*($AN$5:$AN$302=$A196),$AV$5:$AV$302)),IF(LEFT($AI196,2)="S|",IF($AG196="","",INDEX($AV$5:$AV$302,$AH196)),IF($AI196="HDR","Target",""))))))</f>
        <v/>
      </c>
      <c r="I196" s="41" t="str">
        <f t="shared" si="115"/>
        <v/>
      </c>
      <c r="J196" s="40" t="str">
        <f t="shared" si="116"/>
        <v/>
      </c>
      <c r="K196" s="41" t="str">
        <f t="shared" si="117"/>
        <v/>
      </c>
      <c r="L196" s="40" t="str" cm="1">
        <f t="array" ref="L196">IF($AI196="","",IF(LEFT($AI196,2)="C|",IF($C196="","",SUMPRODUCT($AP$5:$AP$302*($AO$5:$AO$302=$A196),$BN$5:$BN$302)),IF($AI196="CT",L$13,IF(LEFT($AI196,3)="AM|",IF($C196="","",SUMPRODUCT($AP$5:$AP$302*($AN$5:$AN$302=$A196),$BN$5:$BN$302)),IF(LEFT($AI196,2)="S|",IF($AG196="","",INDEX($BN$5:$BN$302,$AH196)),IF($AI196="HDR","Month Target",""))))))</f>
        <v/>
      </c>
      <c r="M196" s="40" t="str" cm="1">
        <f t="array" ref="M196">IF($AI196="","",IF(LEFT($AI196,2)="C|",IF($C196="","",SUMPRODUCT($AP$5:$AP$302*($AO$5:$AO$302=$A196),$BO$5:$BO$302)),IF($AI196="CT",M$13,IF(LEFT($AI196,3)="AM|",IF($C196="","",SUMPRODUCT($AP$5:$AP$302*($AN$5:$AN$302=$A196),$BO$5:$BO$302)),IF(LEFT($AI196,2)="S|",IF($AG196="","",INDEX($BO$5:$BO$302,$AH196)),IF($AI196="HDR","Projected Close",""))))))</f>
        <v/>
      </c>
      <c r="N196" s="41" t="str">
        <f t="shared" si="109"/>
        <v/>
      </c>
      <c r="O196" s="41" t="str" cm="1">
        <f t="array" ref="O196">IF($AI196="HDR","Proj. vs LY",IF(OR($AI196="",M196=""),"",_xlfn.LET(_xlpm.ly,IF(LEFT($AI196,2)="C|",SUMPRODUCT($AP$5:$AP$302*($AO$5:$AO$302=$A196),$BK$5:$BK$302),IF($AI196="CT",SUMPRODUCT($AP$5:$AP$302,$BK$5:$BK$302),IF(LEFT($AI196,3)="AM|",SUMPRODUCT($AP$5:$AP$302*($AN$5:$AN$302=$A196),$BK$5:$BK$302),IF(LEFT($AI196,2)="S|",INDEX($BK$5:$BK$302,$AH196),0)))),IFERROR(M196/_xlpm.ly-1,""))))</f>
        <v/>
      </c>
      <c r="P196" s="40" t="str" cm="1">
        <f t="array" ref="P196">IF($AI196="","",IF(LEFT($AI196,2)="C|",IF($C196="","",SUMPRODUCT($AP$5:$AP$302*($AO$5:$AO$302=$A196),$AS$5:$AS$302)),IF($AI196="CT",P$13,IF(LEFT($AI196,3)="AM|",IF($C196="","",SUMPRODUCT($AP$5:$AP$302*($AN$5:$AN$302=$A196),$AS$5:$AS$302)),IF(LEFT($AI196,2)="S|",IF($AG196="","",INDEX($AS$5:$AS$302,$AH196)),IF($AI196="HDR","Trans TY",""))))))</f>
        <v/>
      </c>
      <c r="Q196" s="40" t="str" cm="1">
        <f t="array" ref="Q196">IF($AI196="","",IF(LEFT($AI196,2)="C|",IF($C196="","",SUMPRODUCT($AP$5:$AP$302*($AO$5:$AO$302=$A196),$AU$5:$AU$302)),IF($AI196="CT",Q$13,IF(LEFT($AI196,3)="AM|",IF($C196="","",SUMPRODUCT($AP$5:$AP$302*($AN$5:$AN$302=$A196),$AU$5:$AU$302)),IF(LEFT($AI196,2)="S|",IF($AG196="","",INDEX($AU$5:$AU$302,$AH196)),IF($AI196="HDR","Trans LY",""))))))</f>
        <v/>
      </c>
      <c r="R196" s="41" t="str">
        <f t="shared" si="118"/>
        <v/>
      </c>
      <c r="S196" s="41" t="str">
        <f t="shared" si="119"/>
        <v/>
      </c>
      <c r="T196" s="42" t="str">
        <f t="shared" si="120"/>
        <v/>
      </c>
      <c r="U196" s="42" t="str">
        <f t="shared" si="121"/>
        <v/>
      </c>
      <c r="V196" s="41" t="str">
        <f t="shared" si="122"/>
        <v/>
      </c>
      <c r="W196" s="40" t="str" cm="1">
        <f t="array" ref="W196">IF($AI196="","",IF(LEFT($AI196,2)="C|",_xlfn.LET(_xlpm.n,SUMPRODUCT($AP$5:$AP$302*($AO$5:$AO$302=$A196),$BB$5:$BB$302),IF(_xlpm.n=0,"",_xlpm.n)),IF($AI196="CT",W$13,IF(LEFT($AI196,3)="AM|",_xlfn.LET(_xlpm.n,SUMPRODUCT($AP$5:$AP$302*($AN$5:$AN$302=$A196),$BB$5:$BB$302),IF(_xlpm.n=0,"",_xlpm.n)),IF(LEFT($AI196,2)="S|",IF($AG196="","",_xlfn.LET(_xlpm.n,INDEX($BB$5:$BB$302,$AH196),IF(_xlpm.n=0,"",_xlpm.n))),IF($AI196="HDR","Footfall",""))))))</f>
        <v/>
      </c>
      <c r="X196" s="40" t="str" cm="1">
        <f t="array" ref="X196">IF($AI196="","",IF($AI196="HDR","Trans (FF stores)",IF(W196="","",IF(LEFT($AI196,2)="C|",SUMPRODUCT($AP$5:$AP$302*($AO$5:$AO$302=$A196),$BC$5:$BC$302),IF($AI196="CT",X$13,IF(LEFT($AI196,3)="AM|",SUMPRODUCT($AP$5:$AP$302*($AN$5:$AN$302=$A196),$BC$5:$BC$302),IF(LEFT($AI196,2)="S|",INDEX($BC$5:$BC$302,$AH196),"")))))))</f>
        <v/>
      </c>
      <c r="Y196" s="41" t="str">
        <f t="shared" si="110"/>
        <v/>
      </c>
      <c r="Z196" s="40" t="str" cm="1">
        <f t="array" ref="Z196">IF($AI196="","",IF(LEFT($AI196,2)="C|",IF($C196="","",SUMPRODUCT($AP$5:$AP$302*($AO$5:$AO$302=$A196),$CB$5:$CB$302)),IF($AI196="CT",Z$13,IF(LEFT($AI196,3)="AM|",IF($C196="","",SUMPRODUCT($AP$5:$AP$302*($AN$5:$AN$302=$A196),$CB$5:$CB$302)),IF(LEFT($AI196,2)="S|",IF($AG196="","",INDEX($CB$5:$CB$302,$AH196)),IF($AI196="HDR","Makeup Sales",""))))))</f>
        <v/>
      </c>
      <c r="AA196" s="41" t="str">
        <f t="shared" si="123"/>
        <v/>
      </c>
      <c r="AB196" s="40" t="str" cm="1">
        <f t="array" ref="AB196">IF($AI196="","",IF(LEFT($AI196,2)="C|",IF($C196="","",SUMPRODUCT($AP$5:$AP$302*($AO$5:$AO$302=$A196),$CK$5:$CK$302)),IF($AI196="CT",AB$13,IF(LEFT($AI196,3)="AM|",IF($C196="","",SUMPRODUCT($AP$5:$AP$302*($AN$5:$AN$302=$A196),$CK$5:$CK$302)),IF(LEFT($AI196,2)="S|",IF($AG196="","",INDEX($CK$5:$CK$302,$AH196)),IF($AI196="HDR","Makeup Target",""))))))</f>
        <v/>
      </c>
      <c r="AC196" s="41" t="str">
        <f t="shared" si="111"/>
        <v/>
      </c>
      <c r="AD196" s="40" t="str" cm="1">
        <f t="array" ref="AD196">IF($AI196="","",IF(LEFT($AI196,2)="C|",IF($C196="","",SUMPRODUCT($AP$5:$AP$302*($AO$5:$AO$302=$A196),$CI$5:$CI$302)),IF($AI196="CT",AD$13,IF(LEFT($AI196,3)="AM|",IF($C196="","",SUMPRODUCT($AP$5:$AP$302*($AN$5:$AN$302=$A196),$CI$5:$CI$302)),IF(LEFT($AI196,2)="S|",IF($AG196="","",INDEX($CI$5:$CI$302,$AH196)),IF($AI196="HDR","Cosmetic Sales",""))))))</f>
        <v/>
      </c>
      <c r="AE196" s="8" t="str" cm="1">
        <f t="array" ref="AE196">IF($AI196="","",IF(LEFT($AI196,2)="C|",IF($C196="","",SUMPRODUCT($AP$5:$AP$302*($AO$5:$AO$302=$A196)*$AQ$5:$AQ$302,$AR$5:$AR$302)),IF($AI196="CT",AE$13,IF(LEFT($AI196,3)="AM|",IF($C196="","",SUMPRODUCT($AP$5:$AP$302*($AN$5:$AN$302=$A196)*$AQ$5:$AQ$302,$AR$5:$AR$302)),IF(LEFT($AI196,2)="S|",IF($AG196="","",IF(INDEX($AQ$5:$AQ$302,$AH196)=1,D196,0)),IF($AI196="HDR","LFL Sales",""))))))</f>
        <v/>
      </c>
      <c r="AF196" s="8" t="str" cm="1">
        <f t="array" ref="AF196">IF($AI196="","",IF(LEFT($AI196,2)="C|",IF($C196="","",SUMPRODUCT($AP$5:$AP$302*($AO$5:$AO$302=$A196)*$AQ$5:$AQ$302,$AS$5:$AS$302)),IF($AI196="CT",AF$13,IF(LEFT($AI196,3)="AM|",IF($C196="","",SUMPRODUCT($AP$5:$AP$302*($AN$5:$AN$302=$A196)*$AQ$5:$AQ$302,$AS$5:$AS$302)),IF(LEFT($AI196,2)="S|",IF($AG196="","",IF(INDEX($AQ$5:$AQ$302,$AH196)=1,P196,0)),IF($AI196="HDR","LFL Trans",""))))))</f>
        <v/>
      </c>
      <c r="AG196" s="8" t="str" cm="1">
        <f t="array" ref="AG196">IF($AI196="","",IF(LEFT($AI196,2)="C|","",IF($AI196="CT","",IF(LEFT($AI196,3)="AM|","",IF(LEFT($AI196,2)="S|",IF($AH196="","",IF(INDEX($AP$5:$AP$302,$AH196)=1,1,"")),IF($AI196="HDR","Show",""))))))</f>
        <v/>
      </c>
      <c r="AH196" s="8" t="str">
        <f t="shared" si="124"/>
        <v/>
      </c>
      <c r="AI196" s="8"/>
      <c r="AN196" s="8" t="str" cm="1">
        <f t="array" ref="AN196">IF($AW196="","",_xlfn.LET(_xlpm.sa,IFERROR(TRIM(INDEX('Sales and count'!$D$4:$D$300,$BF196)&amp;""),""),_xlpm.ta,IFERROR(TRIM(INDEX('TY Sales Target'!$F$5:$F$300,$BG196)&amp;""),""),IF(AND(_xlpm.sa&lt;&gt;"",LEFT(_xlpm.sa,1)&lt;&gt;"#",_xlpm.sa&lt;&gt;"0"),_xlpm.sa,IF(AND(_xlpm.ta&lt;&gt;"",LEFT(_xlpm.ta,1)&lt;&gt;"#",_xlpm.ta&lt;&gt;"0"),_xlpm.ta,IF(ISNUMBER($BG196),"Unassigned","")))))</f>
        <v/>
      </c>
      <c r="AO196" s="8" t="str" cm="1">
        <f t="array" ref="AO196">IF($AW196="","",_xlfn.LET(_xlpm.sa,IFERROR(TRIM(INDEX('Sales and count'!$C$4:$C$300,$BF196)&amp;""),""),_xlpm.ta,IFERROR(TRIM(INDEX('TY Sales Target'!$D$5:$D$300,$BG196)&amp;""),""),IF(AND(_xlpm.sa&lt;&gt;"",LEFT(_xlpm.sa,1)&lt;&gt;"#",_xlpm.sa&lt;&gt;"0"),_xlpm.sa,IF(AND(_xlpm.ta&lt;&gt;"",LEFT(_xlpm.ta,1)&lt;&gt;"#",_xlpm.ta&lt;&gt;"0"),_xlpm.ta,""))))</f>
        <v/>
      </c>
      <c r="AP196" s="8">
        <f t="shared" si="93"/>
        <v>0</v>
      </c>
      <c r="AQ196" s="8">
        <f t="shared" si="94"/>
        <v>0</v>
      </c>
      <c r="AR196" s="8" cm="1">
        <f t="array" ref="AR196">IF($BF196="",0,_xlfn.LET(_xlpm.d,IFERROR(--'Sales and count'!$G$2:$CC$2,0),SUMPRODUCT(('Sales and count'!$G$3:$CC$3="Total")*(_xlpm.d&gt;=$U$4)*(_xlpm.d&lt;=$U$5),INDEX('Sales and count'!$G$4:$CC$300,$BF196,0))))</f>
        <v>0</v>
      </c>
      <c r="AS196" s="8" cm="1">
        <f t="array" ref="AS196">IF($BF196="",0,_xlfn.LET(_xlpm.d,IFERROR(--'Sales and count'!$F$2:$CB$2,0),SUMPRODUCT(('Sales and count'!$G$3:$CC$3="Transactions")*(_xlpm.d&gt;=$U$4)*(_xlpm.d&lt;=$U$5),INDEX('Sales and count'!$G$4:$CC$300,$BF196,0))))</f>
        <v>0</v>
      </c>
      <c r="AT196" s="8" cm="1">
        <f t="array" ref="AT196">IF($AW196="",0,SUMPRODUCT((TRIM('LY Sales '!$B$5:$B$200)=$AW196)*('LY Sales '!$C$2:$AG$2&gt;=EDATE($U$4,-12))*('LY Sales '!$C$2:$AG$2&lt;=EDATE($U$5,-12)),'LY Sales '!$C$5:$AG$200))</f>
        <v>0</v>
      </c>
      <c r="AU196" s="8" cm="1">
        <f t="array" ref="AU196">IF($AW196="",0,SUMPRODUCT((TRIM('LY Transaction'!$B$5:$B$200)=$AW196)*('LY Transaction'!$C$2:$AG$2&gt;=EDATE($U$4,-12))*('LY Transaction'!$C$2:$AG$2&lt;=EDATE($U$5,-12)),'LY Transaction'!$C$5:$AG$200))</f>
        <v>0</v>
      </c>
      <c r="AV196" s="8" cm="1">
        <f t="array" ref="AV196">IF(NOT(ISNUMBER($BG196)),0,SUMPRODUCT(('TY Sales Target'!$K$2:$AO$2&gt;=$U$4)*('TY Sales Target'!$K$2:$AO$2&lt;=$U$5),INDEX('TY Sales Target'!$K$5:$AO$300,$BG196,0)))</f>
        <v>0</v>
      </c>
      <c r="AW196" s="8" t="str" cm="1">
        <f t="array" ref="AW196">IFERROR(INDEX(_xlfn.ANCHORARRAY($BR$5),ROWS($AW$5:AW196)),"")</f>
        <v/>
      </c>
      <c r="BB196" cm="1">
        <f t="array" ref="BB196">IF($AW196="",0,SUMPRODUCT((TRIM(Footfall!$B$5:$B$301)=$AW196)*(Footfall!$C$1:$BZ$1&gt;=$U$4)*(Footfall!$C$2:$BZ$2&lt;=$U$5)*(Footfall!$C$1:$BZ$1&lt;&gt;""),Footfall!$C$5:$BZ$301))</f>
        <v>0</v>
      </c>
      <c r="BC196" cm="1">
        <f t="array" ref="BC196">IF(OR($BB196&lt;=0,$BD$1="",$BF196=""),0,_xlfn.LET(_xlpm.d,IFERROR(--'Sales and count'!$F$2:$CB$2,0),SUMPRODUCT(('Sales and count'!$G$3:$CC$3="Transactions")*(_xlpm.d&gt;=$BD$1)*(_xlpm.d&lt;=$BD$2),INDEX('Sales and count'!$G$4:$CC$300,$BF196,0))))</f>
        <v>0</v>
      </c>
      <c r="BF196" t="str" cm="1">
        <f t="array" ref="BF196">IF($AW196="","",IFERROR(MATCH($AW196,TRIM('Sales and count'!$A$4:$A$300&amp;""),0),""))</f>
        <v/>
      </c>
      <c r="BG196" t="str" cm="1">
        <f t="array" ref="BG196">IF($AW196="","",IFERROR(MATCH(IFERROR(_xlfn.XLOOKUP($AW196,$BT$5:$BT$22,$BU$5:$BU$22),$AW196),TRIM('TY Sales Target'!$B$5:$B$300&amp;""),0),""))</f>
        <v/>
      </c>
      <c r="BH196" t="str" cm="1">
        <f t="array" ref="BH196">IF(ISNUMBER($BG196),_xlfn.LET(_xlpm.p,TRIM(INDEX('TY Sales Target'!$I$5:$I$300,$BG196)&amp;""),IF(_xlpm.p="","Not set",_xlpm.p)),"Not set")</f>
        <v>Not set</v>
      </c>
      <c r="BI196" cm="1">
        <f t="array" ref="BI196">IF($BF196="",0,_xlfn.LET(_xlpm.d,IFERROR(--'Sales and count'!$G$2:$CC$2,0),SUMPRODUCT(('Sales and count'!$G$3:$CC$3="Total")*(_xlpm.d&gt;=$BZ$5)*(_xlpm.d&lt;=$BZ$6),INDEX('Sales and count'!$G$4:$CC$300,$BF196,0))))</f>
        <v>0</v>
      </c>
      <c r="BJ196" cm="1">
        <f t="array" ref="BJ196">IF($AW196="",0,SUMPRODUCT((TRIM('LY Sales '!$B$5:$B$200)=$AW196)*('LY Sales '!$C$2:$AG$2&gt;=EDATE($BZ$5,-12))*('LY Sales '!$C$2:$AG$2&lt;=EDATE($BZ$6,-12)),'LY Sales '!$C$5:$AG$200))</f>
        <v>0</v>
      </c>
      <c r="BK196" cm="1">
        <f t="array" ref="BK196">IF($AW196="",0,SUMPRODUCT((TRIM('LY Sales '!$B$5:$B$200)=$AW196)*('LY Sales '!$C$2:$AG$2&gt;=EDATE($BZ$5,-12))*('LY Sales '!$C$2:$AG$2&lt;=EDATE($BZ$7,-12)),'LY Sales '!$C$5:$AG$200))</f>
        <v>0</v>
      </c>
      <c r="BL196" cm="1">
        <f t="array" ref="BL196">IF($AW196="",0,SUMPRODUCT((TRIM('LY Sales '!$B$5:$B$200)=$AW196)*('LY Sales '!$C$2:$AG$2&gt;=EDATE($BZ$5,-12))*('LY Sales '!$C$2:$AG$2&lt;=EDATE($BZ$6,-12))*('LY Sales '!$C$5:$AG$200&gt;0)))</f>
        <v>0</v>
      </c>
      <c r="BM196" cm="1">
        <f t="array" ref="BM196">IF(NOT(ISNUMBER($BG196)),0,SUMPRODUCT(('TY Sales Target'!$K$2:$AO$2&gt;=$BZ$5)*('TY Sales Target'!$K$2:$AO$2&lt;=$BZ$6),INDEX('TY Sales Target'!$K$5:$AO$300,$BG196,0)))</f>
        <v>0</v>
      </c>
      <c r="BN196" cm="1">
        <f t="array" ref="BN196">IF(NOT(ISNUMBER($BG196)),0,SUMPRODUCT(('TY Sales Target'!$K$2:$AO$2&gt;=$BZ$5)*('TY Sales Target'!$K$2:$AO$2&lt;=$BZ$7),INDEX('TY Sales Target'!$K$5:$AO$300,$BG196,0)))</f>
        <v>0</v>
      </c>
      <c r="BO196" cm="1">
        <f t="array" ref="BO196">IF($AW196="",0,IFERROR(_xlfn.SWITCH($BP196,"LY trend",$BI196*$BK196/$BJ196,"Target curve",$BI196*$BN196/$BM196,"Run rate",$BI196/$BZ$8*$BZ$9,0),0))</f>
        <v>0</v>
      </c>
      <c r="BP196" t="str">
        <f t="shared" si="92"/>
        <v/>
      </c>
      <c r="CB196" cm="1">
        <f t="array" ref="CB196">IF($AW196="",0,_xlfn.LET(_xlpm.k,IFERROR(_xlfn.XLOOKUP($AW196,$CD$6:$CD$21,$CE$6:$CE$21),$AW196),SUMPRODUCT((TRIM('Makeup '!$A$2:$A$300&amp;"")=_xlpm.k)*1,IFERROR('Makeup '!$F$2:$F$300*1,0))))</f>
        <v>0</v>
      </c>
      <c r="CF196" t="str" cm="1">
        <f t="array" ref="CF196">IF($AW196="","",_xlfn.LET(_xlpm.c,IFERROR(TRIM(INDEX('Sales and count'!$B$4:$B$300,$BF196)&amp;""),""),IF(OR(_xlpm.c="",_xlpm.c="0",LEFT(_xlpm.c,1)="#"),"Not set",_xlpm.c)))</f>
        <v/>
      </c>
      <c r="CH196" cm="1">
        <f t="array" ref="CH196">IF($AW196="",0,_xlfn.LET(_xlpm.k,IFERROR(_xlfn.XLOOKUP($AW196,$CD$6:$CD$21,$CE$6:$CE$21),$AW196),--(SUMPRODUCT((TRIM('Makeup '!$A$2:$A$300&amp;"")=_xlpm.k)*ISNUMBER('Makeup '!$F$2:$F$300))&gt;0)))</f>
        <v>0</v>
      </c>
      <c r="CI196">
        <f t="shared" si="95"/>
        <v>0</v>
      </c>
      <c r="CJ196" cm="1">
        <f t="array" ref="CJ196">IF($AW196="",0,--(SUMPRODUCT(--(TRIM(Footfall!$B$5:$B$301)=$AW196))&gt;0))</f>
        <v>0</v>
      </c>
      <c r="CK196" s="8" cm="1">
        <f t="array" ref="CK196">IF($AW196="",0,_xlfn.LET(_xlpm.r,IFERROR(MATCH(IFERROR(_xlfn.XLOOKUP($AW196,$BT$5:$BT$22,$BU$5:$BU$22),$AW196),TRIM('TY Beauty Target'!$B$5:$B$300&amp;""),0),""),IF(ISNUMBER(_xlpm.r),SUMPRODUCT(('TY Beauty Target'!$L$2:$AP$2&gt;=$U$4)*('TY Beauty Target'!$L$2:$AP$2&lt;=$U$5),INDEX('TY Beauty Target'!$L$5:$AP$300,_xlpm.r,0)),0)))</f>
        <v>0</v>
      </c>
    </row>
    <row r="197" spans="1:89" ht="15" customHeight="1" x14ac:dyDescent="0.25">
      <c r="A197" s="38" t="str">
        <f t="shared" si="112"/>
        <v/>
      </c>
      <c r="B197" s="43" t="str" cm="1">
        <f t="array" ref="B197">IF($AI197="","",IF(LEFT($AI197,2)="C|",IF($C197="","",_xlfn.TEXTJOIN(", ",TRUE,_xlfn.UNIQUE(_xlfn._xlws.FILTER($AN$5:$AN$302,($AP$5:$AP$302=1)*($AO$5:$AO$302=$A197))))),IF($AI197="CT",B$13,IF(LEFT($AI197,3)="AM|",IF($C197="","",ROWS(_xlfn.UNIQUE(_xlfn._xlws.FILTER($AO$5:$AO$302,($AP$5:$AP$302=1)*($AN$5:$AN$302=$A197))))),IF(LEFT($AI197,2)="S|",IF($AG197="","",INDEX($AO$5:$AO$302,$AH197)),IF($AI197="HDR","City",""))))))</f>
        <v/>
      </c>
      <c r="C197" s="39" t="str" cm="1">
        <f t="array" ref="C197">IF($AI197="","",IF(LEFT($AI197,2)="C|",_xlfn.LET(_xlpm.n,SUMPRODUCT($AP$5:$AP$302*($AO$5:$AO$302=$A197)),IF(_xlpm.n=0,"",_xlpm.n)),IF($AI197="CT",C$13,IF(LEFT($AI197,3)="AM|",_xlfn.LET(_xlpm.n,SUMPRODUCT($AP$5:$AP$302*($AN$5:$AN$302=$A197)),IF(_xlpm.n=0,"",_xlpm.n)),IF(LEFT($AI197,2)="S|","",IF($AI197="HDR","# Stores",""))))))</f>
        <v/>
      </c>
      <c r="D197" s="40" t="str" cm="1">
        <f t="array" ref="D197">IF($AI197="","",IF(LEFT($AI197,2)="C|",IF($C197="","",SUMPRODUCT($AP$5:$AP$302*($AO$5:$AO$302=$A197),$AR$5:$AR$302)),IF($AI197="CT",D$13,IF(LEFT($AI197,3)="AM|",IF($C197="","",SUMPRODUCT($AP$5:$AP$302*($AN$5:$AN$302=$A197),$AR$5:$AR$302)),IF(LEFT($AI197,2)="S|",IF($AG197="","",INDEX($AR$5:$AR$302,$AH197)),IF($AI197="HDR","Sales TY",""))))))</f>
        <v/>
      </c>
      <c r="E197" s="40" t="str" cm="1">
        <f t="array" ref="E197">IF($AI197="","",IF(LEFT($AI197,2)="C|",IF($C197="","",SUMPRODUCT($AP$5:$AP$302*($AO$5:$AO$302=$A197),$AT$5:$AT$302)),IF($AI197="CT",E$13,IF(LEFT($AI197,3)="AM|",IF($C197="","",SUMPRODUCT($AP$5:$AP$302*($AN$5:$AN$302=$A197),$AT$5:$AT$302)),IF(LEFT($AI197,2)="S|",IF($AG197="","",INDEX($AT$5:$AT$302,$AH197)),IF($AI197="HDR","Sales LY",""))))))</f>
        <v/>
      </c>
      <c r="F197" s="41" t="str">
        <f t="shared" si="113"/>
        <v/>
      </c>
      <c r="G197" s="41" t="str">
        <f t="shared" si="114"/>
        <v/>
      </c>
      <c r="H197" s="40" t="str" cm="1">
        <f t="array" ref="H197">IF($AI197="","",IF(LEFT($AI197,2)="C|",IF($C197="","",SUMPRODUCT($AP$5:$AP$302*($AO$5:$AO$302=$A197),$AV$5:$AV$302)),IF($AI197="CT",H$13,IF(LEFT($AI197,3)="AM|",IF($C197="","",SUMPRODUCT($AP$5:$AP$302*($AN$5:$AN$302=$A197),$AV$5:$AV$302)),IF(LEFT($AI197,2)="S|",IF($AG197="","",INDEX($AV$5:$AV$302,$AH197)),IF($AI197="HDR","Target",""))))))</f>
        <v/>
      </c>
      <c r="I197" s="41" t="str">
        <f t="shared" si="115"/>
        <v/>
      </c>
      <c r="J197" s="40" t="str">
        <f t="shared" si="116"/>
        <v/>
      </c>
      <c r="K197" s="41" t="str">
        <f t="shared" si="117"/>
        <v/>
      </c>
      <c r="L197" s="40" t="str" cm="1">
        <f t="array" ref="L197">IF($AI197="","",IF(LEFT($AI197,2)="C|",IF($C197="","",SUMPRODUCT($AP$5:$AP$302*($AO$5:$AO$302=$A197),$BN$5:$BN$302)),IF($AI197="CT",L$13,IF(LEFT($AI197,3)="AM|",IF($C197="","",SUMPRODUCT($AP$5:$AP$302*($AN$5:$AN$302=$A197),$BN$5:$BN$302)),IF(LEFT($AI197,2)="S|",IF($AG197="","",INDEX($BN$5:$BN$302,$AH197)),IF($AI197="HDR","Month Target",""))))))</f>
        <v/>
      </c>
      <c r="M197" s="40" t="str" cm="1">
        <f t="array" ref="M197">IF($AI197="","",IF(LEFT($AI197,2)="C|",IF($C197="","",SUMPRODUCT($AP$5:$AP$302*($AO$5:$AO$302=$A197),$BO$5:$BO$302)),IF($AI197="CT",M$13,IF(LEFT($AI197,3)="AM|",IF($C197="","",SUMPRODUCT($AP$5:$AP$302*($AN$5:$AN$302=$A197),$BO$5:$BO$302)),IF(LEFT($AI197,2)="S|",IF($AG197="","",INDEX($BO$5:$BO$302,$AH197)),IF($AI197="HDR","Projected Close",""))))))</f>
        <v/>
      </c>
      <c r="N197" s="41" t="str">
        <f t="shared" si="109"/>
        <v/>
      </c>
      <c r="O197" s="41" t="str" cm="1">
        <f t="array" ref="O197">IF($AI197="HDR","Proj. vs LY",IF(OR($AI197="",M197=""),"",_xlfn.LET(_xlpm.ly,IF(LEFT($AI197,2)="C|",SUMPRODUCT($AP$5:$AP$302*($AO$5:$AO$302=$A197),$BK$5:$BK$302),IF($AI197="CT",SUMPRODUCT($AP$5:$AP$302,$BK$5:$BK$302),IF(LEFT($AI197,3)="AM|",SUMPRODUCT($AP$5:$AP$302*($AN$5:$AN$302=$A197),$BK$5:$BK$302),IF(LEFT($AI197,2)="S|",INDEX($BK$5:$BK$302,$AH197),0)))),IFERROR(M197/_xlpm.ly-1,""))))</f>
        <v/>
      </c>
      <c r="P197" s="40" t="str" cm="1">
        <f t="array" ref="P197">IF($AI197="","",IF(LEFT($AI197,2)="C|",IF($C197="","",SUMPRODUCT($AP$5:$AP$302*($AO$5:$AO$302=$A197),$AS$5:$AS$302)),IF($AI197="CT",P$13,IF(LEFT($AI197,3)="AM|",IF($C197="","",SUMPRODUCT($AP$5:$AP$302*($AN$5:$AN$302=$A197),$AS$5:$AS$302)),IF(LEFT($AI197,2)="S|",IF($AG197="","",INDEX($AS$5:$AS$302,$AH197)),IF($AI197="HDR","Trans TY",""))))))</f>
        <v/>
      </c>
      <c r="Q197" s="40" t="str" cm="1">
        <f t="array" ref="Q197">IF($AI197="","",IF(LEFT($AI197,2)="C|",IF($C197="","",SUMPRODUCT($AP$5:$AP$302*($AO$5:$AO$302=$A197),$AU$5:$AU$302)),IF($AI197="CT",Q$13,IF(LEFT($AI197,3)="AM|",IF($C197="","",SUMPRODUCT($AP$5:$AP$302*($AN$5:$AN$302=$A197),$AU$5:$AU$302)),IF(LEFT($AI197,2)="S|",IF($AG197="","",INDEX($AU$5:$AU$302,$AH197)),IF($AI197="HDR","Trans LY",""))))))</f>
        <v/>
      </c>
      <c r="R197" s="41" t="str">
        <f t="shared" si="118"/>
        <v/>
      </c>
      <c r="S197" s="41" t="str">
        <f t="shared" si="119"/>
        <v/>
      </c>
      <c r="T197" s="42" t="str">
        <f t="shared" si="120"/>
        <v/>
      </c>
      <c r="U197" s="42" t="str">
        <f t="shared" si="121"/>
        <v/>
      </c>
      <c r="V197" s="41" t="str">
        <f t="shared" si="122"/>
        <v/>
      </c>
      <c r="W197" s="40" t="str" cm="1">
        <f t="array" ref="W197">IF($AI197="","",IF(LEFT($AI197,2)="C|",_xlfn.LET(_xlpm.n,SUMPRODUCT($AP$5:$AP$302*($AO$5:$AO$302=$A197),$BB$5:$BB$302),IF(_xlpm.n=0,"",_xlpm.n)),IF($AI197="CT",W$13,IF(LEFT($AI197,3)="AM|",_xlfn.LET(_xlpm.n,SUMPRODUCT($AP$5:$AP$302*($AN$5:$AN$302=$A197),$BB$5:$BB$302),IF(_xlpm.n=0,"",_xlpm.n)),IF(LEFT($AI197,2)="S|",IF($AG197="","",_xlfn.LET(_xlpm.n,INDEX($BB$5:$BB$302,$AH197),IF(_xlpm.n=0,"",_xlpm.n))),IF($AI197="HDR","Footfall",""))))))</f>
        <v/>
      </c>
      <c r="X197" s="40" t="str" cm="1">
        <f t="array" ref="X197">IF($AI197="","",IF($AI197="HDR","Trans (FF stores)",IF(W197="","",IF(LEFT($AI197,2)="C|",SUMPRODUCT($AP$5:$AP$302*($AO$5:$AO$302=$A197),$BC$5:$BC$302),IF($AI197="CT",X$13,IF(LEFT($AI197,3)="AM|",SUMPRODUCT($AP$5:$AP$302*($AN$5:$AN$302=$A197),$BC$5:$BC$302),IF(LEFT($AI197,2)="S|",INDEX($BC$5:$BC$302,$AH197),"")))))))</f>
        <v/>
      </c>
      <c r="Y197" s="41" t="str">
        <f t="shared" si="110"/>
        <v/>
      </c>
      <c r="Z197" s="40" t="str" cm="1">
        <f t="array" ref="Z197">IF($AI197="","",IF(LEFT($AI197,2)="C|",IF($C197="","",SUMPRODUCT($AP$5:$AP$302*($AO$5:$AO$302=$A197),$CB$5:$CB$302)),IF($AI197="CT",Z$13,IF(LEFT($AI197,3)="AM|",IF($C197="","",SUMPRODUCT($AP$5:$AP$302*($AN$5:$AN$302=$A197),$CB$5:$CB$302)),IF(LEFT($AI197,2)="S|",IF($AG197="","",INDEX($CB$5:$CB$302,$AH197)),IF($AI197="HDR","Makeup Sales",""))))))</f>
        <v/>
      </c>
      <c r="AA197" s="41" t="str">
        <f t="shared" si="123"/>
        <v/>
      </c>
      <c r="AB197" s="40" t="str" cm="1">
        <f t="array" ref="AB197">IF($AI197="","",IF(LEFT($AI197,2)="C|",IF($C197="","",SUMPRODUCT($AP$5:$AP$302*($AO$5:$AO$302=$A197),$CK$5:$CK$302)),IF($AI197="CT",AB$13,IF(LEFT($AI197,3)="AM|",IF($C197="","",SUMPRODUCT($AP$5:$AP$302*($AN$5:$AN$302=$A197),$CK$5:$CK$302)),IF(LEFT($AI197,2)="S|",IF($AG197="","",INDEX($CK$5:$CK$302,$AH197)),IF($AI197="HDR","Makeup Target",""))))))</f>
        <v/>
      </c>
      <c r="AC197" s="41" t="str">
        <f t="shared" si="111"/>
        <v/>
      </c>
      <c r="AD197" s="40" t="str" cm="1">
        <f t="array" ref="AD197">IF($AI197="","",IF(LEFT($AI197,2)="C|",IF($C197="","",SUMPRODUCT($AP$5:$AP$302*($AO$5:$AO$302=$A197),$CI$5:$CI$302)),IF($AI197="CT",AD$13,IF(LEFT($AI197,3)="AM|",IF($C197="","",SUMPRODUCT($AP$5:$AP$302*($AN$5:$AN$302=$A197),$CI$5:$CI$302)),IF(LEFT($AI197,2)="S|",IF($AG197="","",INDEX($CI$5:$CI$302,$AH197)),IF($AI197="HDR","Cosmetic Sales",""))))))</f>
        <v/>
      </c>
      <c r="AE197" s="8" t="str" cm="1">
        <f t="array" ref="AE197">IF($AI197="","",IF(LEFT($AI197,2)="C|",IF($C197="","",SUMPRODUCT($AP$5:$AP$302*($AO$5:$AO$302=$A197)*$AQ$5:$AQ$302,$AR$5:$AR$302)),IF($AI197="CT",AE$13,IF(LEFT($AI197,3)="AM|",IF($C197="","",SUMPRODUCT($AP$5:$AP$302*($AN$5:$AN$302=$A197)*$AQ$5:$AQ$302,$AR$5:$AR$302)),IF(LEFT($AI197,2)="S|",IF($AG197="","",IF(INDEX($AQ$5:$AQ$302,$AH197)=1,D197,0)),IF($AI197="HDR","LFL Sales",""))))))</f>
        <v/>
      </c>
      <c r="AF197" s="8" t="str" cm="1">
        <f t="array" ref="AF197">IF($AI197="","",IF(LEFT($AI197,2)="C|",IF($C197="","",SUMPRODUCT($AP$5:$AP$302*($AO$5:$AO$302=$A197)*$AQ$5:$AQ$302,$AS$5:$AS$302)),IF($AI197="CT",AF$13,IF(LEFT($AI197,3)="AM|",IF($C197="","",SUMPRODUCT($AP$5:$AP$302*($AN$5:$AN$302=$A197)*$AQ$5:$AQ$302,$AS$5:$AS$302)),IF(LEFT($AI197,2)="S|",IF($AG197="","",IF(INDEX($AQ$5:$AQ$302,$AH197)=1,P197,0)),IF($AI197="HDR","LFL Trans",""))))))</f>
        <v/>
      </c>
      <c r="AG197" s="8" t="str" cm="1">
        <f t="array" ref="AG197">IF($AI197="","",IF(LEFT($AI197,2)="C|","",IF($AI197="CT","",IF(LEFT($AI197,3)="AM|","",IF(LEFT($AI197,2)="S|",IF($AH197="","",IF(INDEX($AP$5:$AP$302,$AH197)=1,1,"")),IF($AI197="HDR","Show",""))))))</f>
        <v/>
      </c>
      <c r="AH197" s="8" t="str">
        <f t="shared" si="124"/>
        <v/>
      </c>
      <c r="AI197" s="8"/>
      <c r="AN197" s="8" t="str" cm="1">
        <f t="array" ref="AN197">IF($AW197="","",_xlfn.LET(_xlpm.sa,IFERROR(TRIM(INDEX('Sales and count'!$D$4:$D$300,$BF197)&amp;""),""),_xlpm.ta,IFERROR(TRIM(INDEX('TY Sales Target'!$F$5:$F$300,$BG197)&amp;""),""),IF(AND(_xlpm.sa&lt;&gt;"",LEFT(_xlpm.sa,1)&lt;&gt;"#",_xlpm.sa&lt;&gt;"0"),_xlpm.sa,IF(AND(_xlpm.ta&lt;&gt;"",LEFT(_xlpm.ta,1)&lt;&gt;"#",_xlpm.ta&lt;&gt;"0"),_xlpm.ta,IF(ISNUMBER($BG197),"Unassigned","")))))</f>
        <v/>
      </c>
      <c r="AO197" s="8" t="str" cm="1">
        <f t="array" ref="AO197">IF($AW197="","",_xlfn.LET(_xlpm.sa,IFERROR(TRIM(INDEX('Sales and count'!$C$4:$C$300,$BF197)&amp;""),""),_xlpm.ta,IFERROR(TRIM(INDEX('TY Sales Target'!$D$5:$D$300,$BG197)&amp;""),""),IF(AND(_xlpm.sa&lt;&gt;"",LEFT(_xlpm.sa,1)&lt;&gt;"#",_xlpm.sa&lt;&gt;"0"),_xlpm.sa,IF(AND(_xlpm.ta&lt;&gt;"",LEFT(_xlpm.ta,1)&lt;&gt;"#",_xlpm.ta&lt;&gt;"0"),_xlpm.ta,""))))</f>
        <v/>
      </c>
      <c r="AP197" s="8">
        <f t="shared" si="93"/>
        <v>0</v>
      </c>
      <c r="AQ197" s="8">
        <f t="shared" si="94"/>
        <v>0</v>
      </c>
      <c r="AR197" s="8" cm="1">
        <f t="array" ref="AR197">IF($BF197="",0,_xlfn.LET(_xlpm.d,IFERROR(--'Sales and count'!$G$2:$CC$2,0),SUMPRODUCT(('Sales and count'!$G$3:$CC$3="Total")*(_xlpm.d&gt;=$U$4)*(_xlpm.d&lt;=$U$5),INDEX('Sales and count'!$G$4:$CC$300,$BF197,0))))</f>
        <v>0</v>
      </c>
      <c r="AS197" s="8" cm="1">
        <f t="array" ref="AS197">IF($BF197="",0,_xlfn.LET(_xlpm.d,IFERROR(--'Sales and count'!$F$2:$CB$2,0),SUMPRODUCT(('Sales and count'!$G$3:$CC$3="Transactions")*(_xlpm.d&gt;=$U$4)*(_xlpm.d&lt;=$U$5),INDEX('Sales and count'!$G$4:$CC$300,$BF197,0))))</f>
        <v>0</v>
      </c>
      <c r="AT197" s="8" cm="1">
        <f t="array" ref="AT197">IF($AW197="",0,SUMPRODUCT((TRIM('LY Sales '!$B$5:$B$200)=$AW197)*('LY Sales '!$C$2:$AG$2&gt;=EDATE($U$4,-12))*('LY Sales '!$C$2:$AG$2&lt;=EDATE($U$5,-12)),'LY Sales '!$C$5:$AG$200))</f>
        <v>0</v>
      </c>
      <c r="AU197" s="8" cm="1">
        <f t="array" ref="AU197">IF($AW197="",0,SUMPRODUCT((TRIM('LY Transaction'!$B$5:$B$200)=$AW197)*('LY Transaction'!$C$2:$AG$2&gt;=EDATE($U$4,-12))*('LY Transaction'!$C$2:$AG$2&lt;=EDATE($U$5,-12)),'LY Transaction'!$C$5:$AG$200))</f>
        <v>0</v>
      </c>
      <c r="AV197" s="8" cm="1">
        <f t="array" ref="AV197">IF(NOT(ISNUMBER($BG197)),0,SUMPRODUCT(('TY Sales Target'!$K$2:$AO$2&gt;=$U$4)*('TY Sales Target'!$K$2:$AO$2&lt;=$U$5),INDEX('TY Sales Target'!$K$5:$AO$300,$BG197,0)))</f>
        <v>0</v>
      </c>
      <c r="AW197" s="8" t="str" cm="1">
        <f t="array" ref="AW197">IFERROR(INDEX(_xlfn.ANCHORARRAY($BR$5),ROWS($AW$5:AW197)),"")</f>
        <v/>
      </c>
      <c r="BB197" cm="1">
        <f t="array" ref="BB197">IF($AW197="",0,SUMPRODUCT((TRIM(Footfall!$B$5:$B$301)=$AW197)*(Footfall!$C$1:$BZ$1&gt;=$U$4)*(Footfall!$C$2:$BZ$2&lt;=$U$5)*(Footfall!$C$1:$BZ$1&lt;&gt;""),Footfall!$C$5:$BZ$301))</f>
        <v>0</v>
      </c>
      <c r="BC197" cm="1">
        <f t="array" ref="BC197">IF(OR($BB197&lt;=0,$BD$1="",$BF197=""),0,_xlfn.LET(_xlpm.d,IFERROR(--'Sales and count'!$F$2:$CB$2,0),SUMPRODUCT(('Sales and count'!$G$3:$CC$3="Transactions")*(_xlpm.d&gt;=$BD$1)*(_xlpm.d&lt;=$BD$2),INDEX('Sales and count'!$G$4:$CC$300,$BF197,0))))</f>
        <v>0</v>
      </c>
      <c r="BF197" t="str" cm="1">
        <f t="array" ref="BF197">IF($AW197="","",IFERROR(MATCH($AW197,TRIM('Sales and count'!$A$4:$A$300&amp;""),0),""))</f>
        <v/>
      </c>
      <c r="BG197" t="str" cm="1">
        <f t="array" ref="BG197">IF($AW197="","",IFERROR(MATCH(IFERROR(_xlfn.XLOOKUP($AW197,$BT$5:$BT$22,$BU$5:$BU$22),$AW197),TRIM('TY Sales Target'!$B$5:$B$300&amp;""),0),""))</f>
        <v/>
      </c>
      <c r="BH197" t="str" cm="1">
        <f t="array" ref="BH197">IF(ISNUMBER($BG197),_xlfn.LET(_xlpm.p,TRIM(INDEX('TY Sales Target'!$I$5:$I$300,$BG197)&amp;""),IF(_xlpm.p="","Not set",_xlpm.p)),"Not set")</f>
        <v>Not set</v>
      </c>
      <c r="BI197" cm="1">
        <f t="array" ref="BI197">IF($BF197="",0,_xlfn.LET(_xlpm.d,IFERROR(--'Sales and count'!$G$2:$CC$2,0),SUMPRODUCT(('Sales and count'!$G$3:$CC$3="Total")*(_xlpm.d&gt;=$BZ$5)*(_xlpm.d&lt;=$BZ$6),INDEX('Sales and count'!$G$4:$CC$300,$BF197,0))))</f>
        <v>0</v>
      </c>
      <c r="BJ197" cm="1">
        <f t="array" ref="BJ197">IF($AW197="",0,SUMPRODUCT((TRIM('LY Sales '!$B$5:$B$200)=$AW197)*('LY Sales '!$C$2:$AG$2&gt;=EDATE($BZ$5,-12))*('LY Sales '!$C$2:$AG$2&lt;=EDATE($BZ$6,-12)),'LY Sales '!$C$5:$AG$200))</f>
        <v>0</v>
      </c>
      <c r="BK197" cm="1">
        <f t="array" ref="BK197">IF($AW197="",0,SUMPRODUCT((TRIM('LY Sales '!$B$5:$B$200)=$AW197)*('LY Sales '!$C$2:$AG$2&gt;=EDATE($BZ$5,-12))*('LY Sales '!$C$2:$AG$2&lt;=EDATE($BZ$7,-12)),'LY Sales '!$C$5:$AG$200))</f>
        <v>0</v>
      </c>
      <c r="BL197" cm="1">
        <f t="array" ref="BL197">IF($AW197="",0,SUMPRODUCT((TRIM('LY Sales '!$B$5:$B$200)=$AW197)*('LY Sales '!$C$2:$AG$2&gt;=EDATE($BZ$5,-12))*('LY Sales '!$C$2:$AG$2&lt;=EDATE($BZ$6,-12))*('LY Sales '!$C$5:$AG$200&gt;0)))</f>
        <v>0</v>
      </c>
      <c r="BM197" cm="1">
        <f t="array" ref="BM197">IF(NOT(ISNUMBER($BG197)),0,SUMPRODUCT(('TY Sales Target'!$K$2:$AO$2&gt;=$BZ$5)*('TY Sales Target'!$K$2:$AO$2&lt;=$BZ$6),INDEX('TY Sales Target'!$K$5:$AO$300,$BG197,0)))</f>
        <v>0</v>
      </c>
      <c r="BN197" cm="1">
        <f t="array" ref="BN197">IF(NOT(ISNUMBER($BG197)),0,SUMPRODUCT(('TY Sales Target'!$K$2:$AO$2&gt;=$BZ$5)*('TY Sales Target'!$K$2:$AO$2&lt;=$BZ$7),INDEX('TY Sales Target'!$K$5:$AO$300,$BG197,0)))</f>
        <v>0</v>
      </c>
      <c r="BO197" cm="1">
        <f t="array" ref="BO197">IF($AW197="",0,IFERROR(_xlfn.SWITCH($BP197,"LY trend",$BI197*$BK197/$BJ197,"Target curve",$BI197*$BN197/$BM197,"Run rate",$BI197/$BZ$8*$BZ$9,0),0))</f>
        <v>0</v>
      </c>
      <c r="BP197" t="str">
        <f t="shared" ref="BP197:BP260" si="125">IF($AW197="","",IF(AND($BL197&gt;=$BZ$8,$BJ197&gt;0,$BK197&gt;0),"LY trend",IF($BM197&gt;0,"Target curve",IF($BI197&gt;0,"Run rate",""))))</f>
        <v/>
      </c>
      <c r="CB197" cm="1">
        <f t="array" ref="CB197">IF($AW197="",0,_xlfn.LET(_xlpm.k,IFERROR(_xlfn.XLOOKUP($AW197,$CD$6:$CD$21,$CE$6:$CE$21),$AW197),SUMPRODUCT((TRIM('Makeup '!$A$2:$A$300&amp;"")=_xlpm.k)*1,IFERROR('Makeup '!$F$2:$F$300*1,0))))</f>
        <v>0</v>
      </c>
      <c r="CF197" t="str" cm="1">
        <f t="array" ref="CF197">IF($AW197="","",_xlfn.LET(_xlpm.c,IFERROR(TRIM(INDEX('Sales and count'!$B$4:$B$300,$BF197)&amp;""),""),IF(OR(_xlpm.c="",_xlpm.c="0",LEFT(_xlpm.c,1)="#"),"Not set",_xlpm.c)))</f>
        <v/>
      </c>
      <c r="CH197" cm="1">
        <f t="array" ref="CH197">IF($AW197="",0,_xlfn.LET(_xlpm.k,IFERROR(_xlfn.XLOOKUP($AW197,$CD$6:$CD$21,$CE$6:$CE$21),$AW197),--(SUMPRODUCT((TRIM('Makeup '!$A$2:$A$300&amp;"")=_xlpm.k)*ISNUMBER('Makeup '!$F$2:$F$300))&gt;0)))</f>
        <v>0</v>
      </c>
      <c r="CI197">
        <f t="shared" si="95"/>
        <v>0</v>
      </c>
      <c r="CJ197" cm="1">
        <f t="array" ref="CJ197">IF($AW197="",0,--(SUMPRODUCT(--(TRIM(Footfall!$B$5:$B$301)=$AW197))&gt;0))</f>
        <v>0</v>
      </c>
      <c r="CK197" s="8" cm="1">
        <f t="array" ref="CK197">IF($AW197="",0,_xlfn.LET(_xlpm.r,IFERROR(MATCH(IFERROR(_xlfn.XLOOKUP($AW197,$BT$5:$BT$22,$BU$5:$BU$22),$AW197),TRIM('TY Beauty Target'!$B$5:$B$300&amp;""),0),""),IF(ISNUMBER(_xlpm.r),SUMPRODUCT(('TY Beauty Target'!$L$2:$AP$2&gt;=$U$4)*('TY Beauty Target'!$L$2:$AP$2&lt;=$U$5),INDEX('TY Beauty Target'!$L$5:$AP$300,_xlpm.r,0)),0)))</f>
        <v>0</v>
      </c>
    </row>
    <row r="198" spans="1:89" ht="15" customHeight="1" x14ac:dyDescent="0.25">
      <c r="A198" s="38" t="str">
        <f t="shared" si="112"/>
        <v/>
      </c>
      <c r="B198" s="43" t="str" cm="1">
        <f t="array" ref="B198">IF($AI198="","",IF(LEFT($AI198,2)="C|",IF($C198="","",_xlfn.TEXTJOIN(", ",TRUE,_xlfn.UNIQUE(_xlfn._xlws.FILTER($AN$5:$AN$302,($AP$5:$AP$302=1)*($AO$5:$AO$302=$A198))))),IF($AI198="CT",B$13,IF(LEFT($AI198,3)="AM|",IF($C198="","",ROWS(_xlfn.UNIQUE(_xlfn._xlws.FILTER($AO$5:$AO$302,($AP$5:$AP$302=1)*($AN$5:$AN$302=$A198))))),IF(LEFT($AI198,2)="S|",IF($AG198="","",INDEX($AO$5:$AO$302,$AH198)),IF($AI198="HDR","City",""))))))</f>
        <v/>
      </c>
      <c r="C198" s="39" t="str" cm="1">
        <f t="array" ref="C198">IF($AI198="","",IF(LEFT($AI198,2)="C|",_xlfn.LET(_xlpm.n,SUMPRODUCT($AP$5:$AP$302*($AO$5:$AO$302=$A198)),IF(_xlpm.n=0,"",_xlpm.n)),IF($AI198="CT",C$13,IF(LEFT($AI198,3)="AM|",_xlfn.LET(_xlpm.n,SUMPRODUCT($AP$5:$AP$302*($AN$5:$AN$302=$A198)),IF(_xlpm.n=0,"",_xlpm.n)),IF(LEFT($AI198,2)="S|","",IF($AI198="HDR","# Stores",""))))))</f>
        <v/>
      </c>
      <c r="D198" s="40" t="str" cm="1">
        <f t="array" ref="D198">IF($AI198="","",IF(LEFT($AI198,2)="C|",IF($C198="","",SUMPRODUCT($AP$5:$AP$302*($AO$5:$AO$302=$A198),$AR$5:$AR$302)),IF($AI198="CT",D$13,IF(LEFT($AI198,3)="AM|",IF($C198="","",SUMPRODUCT($AP$5:$AP$302*($AN$5:$AN$302=$A198),$AR$5:$AR$302)),IF(LEFT($AI198,2)="S|",IF($AG198="","",INDEX($AR$5:$AR$302,$AH198)),IF($AI198="HDR","Sales TY",""))))))</f>
        <v/>
      </c>
      <c r="E198" s="40" t="str" cm="1">
        <f t="array" ref="E198">IF($AI198="","",IF(LEFT($AI198,2)="C|",IF($C198="","",SUMPRODUCT($AP$5:$AP$302*($AO$5:$AO$302=$A198),$AT$5:$AT$302)),IF($AI198="CT",E$13,IF(LEFT($AI198,3)="AM|",IF($C198="","",SUMPRODUCT($AP$5:$AP$302*($AN$5:$AN$302=$A198),$AT$5:$AT$302)),IF(LEFT($AI198,2)="S|",IF($AG198="","",INDEX($AT$5:$AT$302,$AH198)),IF($AI198="HDR","Sales LY",""))))))</f>
        <v/>
      </c>
      <c r="F198" s="41" t="str">
        <f t="shared" si="113"/>
        <v/>
      </c>
      <c r="G198" s="41" t="str">
        <f t="shared" si="114"/>
        <v/>
      </c>
      <c r="H198" s="40" t="str" cm="1">
        <f t="array" ref="H198">IF($AI198="","",IF(LEFT($AI198,2)="C|",IF($C198="","",SUMPRODUCT($AP$5:$AP$302*($AO$5:$AO$302=$A198),$AV$5:$AV$302)),IF($AI198="CT",H$13,IF(LEFT($AI198,3)="AM|",IF($C198="","",SUMPRODUCT($AP$5:$AP$302*($AN$5:$AN$302=$A198),$AV$5:$AV$302)),IF(LEFT($AI198,2)="S|",IF($AG198="","",INDEX($AV$5:$AV$302,$AH198)),IF($AI198="HDR","Target",""))))))</f>
        <v/>
      </c>
      <c r="I198" s="41" t="str">
        <f t="shared" si="115"/>
        <v/>
      </c>
      <c r="J198" s="40" t="str">
        <f t="shared" si="116"/>
        <v/>
      </c>
      <c r="K198" s="41" t="str">
        <f t="shared" si="117"/>
        <v/>
      </c>
      <c r="L198" s="40" t="str" cm="1">
        <f t="array" ref="L198">IF($AI198="","",IF(LEFT($AI198,2)="C|",IF($C198="","",SUMPRODUCT($AP$5:$AP$302*($AO$5:$AO$302=$A198),$BN$5:$BN$302)),IF($AI198="CT",L$13,IF(LEFT($AI198,3)="AM|",IF($C198="","",SUMPRODUCT($AP$5:$AP$302*($AN$5:$AN$302=$A198),$BN$5:$BN$302)),IF(LEFT($AI198,2)="S|",IF($AG198="","",INDEX($BN$5:$BN$302,$AH198)),IF($AI198="HDR","Month Target",""))))))</f>
        <v/>
      </c>
      <c r="M198" s="40" t="str" cm="1">
        <f t="array" ref="M198">IF($AI198="","",IF(LEFT($AI198,2)="C|",IF($C198="","",SUMPRODUCT($AP$5:$AP$302*($AO$5:$AO$302=$A198),$BO$5:$BO$302)),IF($AI198="CT",M$13,IF(LEFT($AI198,3)="AM|",IF($C198="","",SUMPRODUCT($AP$5:$AP$302*($AN$5:$AN$302=$A198),$BO$5:$BO$302)),IF(LEFT($AI198,2)="S|",IF($AG198="","",INDEX($BO$5:$BO$302,$AH198)),IF($AI198="HDR","Projected Close",""))))))</f>
        <v/>
      </c>
      <c r="N198" s="41" t="str">
        <f t="shared" si="109"/>
        <v/>
      </c>
      <c r="O198" s="41" t="str" cm="1">
        <f t="array" ref="O198">IF($AI198="HDR","Proj. vs LY",IF(OR($AI198="",M198=""),"",_xlfn.LET(_xlpm.ly,IF(LEFT($AI198,2)="C|",SUMPRODUCT($AP$5:$AP$302*($AO$5:$AO$302=$A198),$BK$5:$BK$302),IF($AI198="CT",SUMPRODUCT($AP$5:$AP$302,$BK$5:$BK$302),IF(LEFT($AI198,3)="AM|",SUMPRODUCT($AP$5:$AP$302*($AN$5:$AN$302=$A198),$BK$5:$BK$302),IF(LEFT($AI198,2)="S|",INDEX($BK$5:$BK$302,$AH198),0)))),IFERROR(M198/_xlpm.ly-1,""))))</f>
        <v/>
      </c>
      <c r="P198" s="40" t="str" cm="1">
        <f t="array" ref="P198">IF($AI198="","",IF(LEFT($AI198,2)="C|",IF($C198="","",SUMPRODUCT($AP$5:$AP$302*($AO$5:$AO$302=$A198),$AS$5:$AS$302)),IF($AI198="CT",P$13,IF(LEFT($AI198,3)="AM|",IF($C198="","",SUMPRODUCT($AP$5:$AP$302*($AN$5:$AN$302=$A198),$AS$5:$AS$302)),IF(LEFT($AI198,2)="S|",IF($AG198="","",INDEX($AS$5:$AS$302,$AH198)),IF($AI198="HDR","Trans TY",""))))))</f>
        <v/>
      </c>
      <c r="Q198" s="40" t="str" cm="1">
        <f t="array" ref="Q198">IF($AI198="","",IF(LEFT($AI198,2)="C|",IF($C198="","",SUMPRODUCT($AP$5:$AP$302*($AO$5:$AO$302=$A198),$AU$5:$AU$302)),IF($AI198="CT",Q$13,IF(LEFT($AI198,3)="AM|",IF($C198="","",SUMPRODUCT($AP$5:$AP$302*($AN$5:$AN$302=$A198),$AU$5:$AU$302)),IF(LEFT($AI198,2)="S|",IF($AG198="","",INDEX($AU$5:$AU$302,$AH198)),IF($AI198="HDR","Trans LY",""))))))</f>
        <v/>
      </c>
      <c r="R198" s="41" t="str">
        <f t="shared" si="118"/>
        <v/>
      </c>
      <c r="S198" s="41" t="str">
        <f t="shared" si="119"/>
        <v/>
      </c>
      <c r="T198" s="42" t="str">
        <f t="shared" si="120"/>
        <v/>
      </c>
      <c r="U198" s="42" t="str">
        <f t="shared" si="121"/>
        <v/>
      </c>
      <c r="V198" s="41" t="str">
        <f t="shared" si="122"/>
        <v/>
      </c>
      <c r="W198" s="40" t="str" cm="1">
        <f t="array" ref="W198">IF($AI198="","",IF(LEFT($AI198,2)="C|",_xlfn.LET(_xlpm.n,SUMPRODUCT($AP$5:$AP$302*($AO$5:$AO$302=$A198),$BB$5:$BB$302),IF(_xlpm.n=0,"",_xlpm.n)),IF($AI198="CT",W$13,IF(LEFT($AI198,3)="AM|",_xlfn.LET(_xlpm.n,SUMPRODUCT($AP$5:$AP$302*($AN$5:$AN$302=$A198),$BB$5:$BB$302),IF(_xlpm.n=0,"",_xlpm.n)),IF(LEFT($AI198,2)="S|",IF($AG198="","",_xlfn.LET(_xlpm.n,INDEX($BB$5:$BB$302,$AH198),IF(_xlpm.n=0,"",_xlpm.n))),IF($AI198="HDR","Footfall",""))))))</f>
        <v/>
      </c>
      <c r="X198" s="40" t="str" cm="1">
        <f t="array" ref="X198">IF($AI198="","",IF($AI198="HDR","Trans (FF stores)",IF(W198="","",IF(LEFT($AI198,2)="C|",SUMPRODUCT($AP$5:$AP$302*($AO$5:$AO$302=$A198),$BC$5:$BC$302),IF($AI198="CT",X$13,IF(LEFT($AI198,3)="AM|",SUMPRODUCT($AP$5:$AP$302*($AN$5:$AN$302=$A198),$BC$5:$BC$302),IF(LEFT($AI198,2)="S|",INDEX($BC$5:$BC$302,$AH198),"")))))))</f>
        <v/>
      </c>
      <c r="Y198" s="41" t="str">
        <f t="shared" si="110"/>
        <v/>
      </c>
      <c r="Z198" s="40" t="str" cm="1">
        <f t="array" ref="Z198">IF($AI198="","",IF(LEFT($AI198,2)="C|",IF($C198="","",SUMPRODUCT($AP$5:$AP$302*($AO$5:$AO$302=$A198),$CB$5:$CB$302)),IF($AI198="CT",Z$13,IF(LEFT($AI198,3)="AM|",IF($C198="","",SUMPRODUCT($AP$5:$AP$302*($AN$5:$AN$302=$A198),$CB$5:$CB$302)),IF(LEFT($AI198,2)="S|",IF($AG198="","",INDEX($CB$5:$CB$302,$AH198)),IF($AI198="HDR","Makeup Sales",""))))))</f>
        <v/>
      </c>
      <c r="AA198" s="41" t="str">
        <f t="shared" si="123"/>
        <v/>
      </c>
      <c r="AB198" s="40" t="str" cm="1">
        <f t="array" ref="AB198">IF($AI198="","",IF(LEFT($AI198,2)="C|",IF($C198="","",SUMPRODUCT($AP$5:$AP$302*($AO$5:$AO$302=$A198),$CK$5:$CK$302)),IF($AI198="CT",AB$13,IF(LEFT($AI198,3)="AM|",IF($C198="","",SUMPRODUCT($AP$5:$AP$302*($AN$5:$AN$302=$A198),$CK$5:$CK$302)),IF(LEFT($AI198,2)="S|",IF($AG198="","",INDEX($CK$5:$CK$302,$AH198)),IF($AI198="HDR","Makeup Target",""))))))</f>
        <v/>
      </c>
      <c r="AC198" s="41" t="str">
        <f t="shared" si="111"/>
        <v/>
      </c>
      <c r="AD198" s="40" t="str" cm="1">
        <f t="array" ref="AD198">IF($AI198="","",IF(LEFT($AI198,2)="C|",IF($C198="","",SUMPRODUCT($AP$5:$AP$302*($AO$5:$AO$302=$A198),$CI$5:$CI$302)),IF($AI198="CT",AD$13,IF(LEFT($AI198,3)="AM|",IF($C198="","",SUMPRODUCT($AP$5:$AP$302*($AN$5:$AN$302=$A198),$CI$5:$CI$302)),IF(LEFT($AI198,2)="S|",IF($AG198="","",INDEX($CI$5:$CI$302,$AH198)),IF($AI198="HDR","Cosmetic Sales",""))))))</f>
        <v/>
      </c>
      <c r="AE198" s="8" t="str" cm="1">
        <f t="array" ref="AE198">IF($AI198="","",IF(LEFT($AI198,2)="C|",IF($C198="","",SUMPRODUCT($AP$5:$AP$302*($AO$5:$AO$302=$A198)*$AQ$5:$AQ$302,$AR$5:$AR$302)),IF($AI198="CT",AE$13,IF(LEFT($AI198,3)="AM|",IF($C198="","",SUMPRODUCT($AP$5:$AP$302*($AN$5:$AN$302=$A198)*$AQ$5:$AQ$302,$AR$5:$AR$302)),IF(LEFT($AI198,2)="S|",IF($AG198="","",IF(INDEX($AQ$5:$AQ$302,$AH198)=1,D198,0)),IF($AI198="HDR","LFL Sales",""))))))</f>
        <v/>
      </c>
      <c r="AF198" s="8" t="str" cm="1">
        <f t="array" ref="AF198">IF($AI198="","",IF(LEFT($AI198,2)="C|",IF($C198="","",SUMPRODUCT($AP$5:$AP$302*($AO$5:$AO$302=$A198)*$AQ$5:$AQ$302,$AS$5:$AS$302)),IF($AI198="CT",AF$13,IF(LEFT($AI198,3)="AM|",IF($C198="","",SUMPRODUCT($AP$5:$AP$302*($AN$5:$AN$302=$A198)*$AQ$5:$AQ$302,$AS$5:$AS$302)),IF(LEFT($AI198,2)="S|",IF($AG198="","",IF(INDEX($AQ$5:$AQ$302,$AH198)=1,P198,0)),IF($AI198="HDR","LFL Trans",""))))))</f>
        <v/>
      </c>
      <c r="AG198" s="8" t="str" cm="1">
        <f t="array" ref="AG198">IF($AI198="","",IF(LEFT($AI198,2)="C|","",IF($AI198="CT","",IF(LEFT($AI198,3)="AM|","",IF(LEFT($AI198,2)="S|",IF($AH198="","",IF(INDEX($AP$5:$AP$302,$AH198)=1,1,"")),IF($AI198="HDR","Show",""))))))</f>
        <v/>
      </c>
      <c r="AH198" s="8" t="str">
        <f t="shared" si="124"/>
        <v/>
      </c>
      <c r="AI198" s="8"/>
      <c r="AN198" s="8" t="str" cm="1">
        <f t="array" ref="AN198">IF($AW198="","",_xlfn.LET(_xlpm.sa,IFERROR(TRIM(INDEX('Sales and count'!$D$4:$D$300,$BF198)&amp;""),""),_xlpm.ta,IFERROR(TRIM(INDEX('TY Sales Target'!$F$5:$F$300,$BG198)&amp;""),""),IF(AND(_xlpm.sa&lt;&gt;"",LEFT(_xlpm.sa,1)&lt;&gt;"#",_xlpm.sa&lt;&gt;"0"),_xlpm.sa,IF(AND(_xlpm.ta&lt;&gt;"",LEFT(_xlpm.ta,1)&lt;&gt;"#",_xlpm.ta&lt;&gt;"0"),_xlpm.ta,IF(ISNUMBER($BG198),"Unassigned","")))))</f>
        <v/>
      </c>
      <c r="AO198" s="8" t="str" cm="1">
        <f t="array" ref="AO198">IF($AW198="","",_xlfn.LET(_xlpm.sa,IFERROR(TRIM(INDEX('Sales and count'!$C$4:$C$300,$BF198)&amp;""),""),_xlpm.ta,IFERROR(TRIM(INDEX('TY Sales Target'!$D$5:$D$300,$BG198)&amp;""),""),IF(AND(_xlpm.sa&lt;&gt;"",LEFT(_xlpm.sa,1)&lt;&gt;"#",_xlpm.sa&lt;&gt;"0"),_xlpm.sa,IF(AND(_xlpm.ta&lt;&gt;"",LEFT(_xlpm.ta,1)&lt;&gt;"#",_xlpm.ta&lt;&gt;"0"),_xlpm.ta,""))))</f>
        <v/>
      </c>
      <c r="AP198" s="8">
        <f t="shared" ref="AP198:AP261" si="126">IF(AND(AN198&lt;&gt;"",OR($B$3="All",$CF198=$B$3),IF(OR($B$4="All",$B$4="Multiple (ticked)"),IF(COUNTIF($B$10:$M$10,"✔")&gt;0,COUNTIFS($B$9:$M$9,AN198,$B$10:$M$10,"✔")&gt;0,$B$4="All"),AN198=$B$4),OR($B$5="All",AO198=$B$5),OR($B$6="All Stores",CJ198=IF($B$6="With Footfall Device",1,0)),OR($B$7="All Stores",AQ198=1),OR($B$8="All",BH198=$B$8)),1,0)</f>
        <v>0</v>
      </c>
      <c r="AQ198" s="8">
        <f t="shared" ref="AQ198:AQ261" si="127">--(AT198&gt;0)</f>
        <v>0</v>
      </c>
      <c r="AR198" s="8" cm="1">
        <f t="array" ref="AR198">IF($BF198="",0,_xlfn.LET(_xlpm.d,IFERROR(--'Sales and count'!$G$2:$CC$2,0),SUMPRODUCT(('Sales and count'!$G$3:$CC$3="Total")*(_xlpm.d&gt;=$U$4)*(_xlpm.d&lt;=$U$5),INDEX('Sales and count'!$G$4:$CC$300,$BF198,0))))</f>
        <v>0</v>
      </c>
      <c r="AS198" s="8" cm="1">
        <f t="array" ref="AS198">IF($BF198="",0,_xlfn.LET(_xlpm.d,IFERROR(--'Sales and count'!$F$2:$CB$2,0),SUMPRODUCT(('Sales and count'!$G$3:$CC$3="Transactions")*(_xlpm.d&gt;=$U$4)*(_xlpm.d&lt;=$U$5),INDEX('Sales and count'!$G$4:$CC$300,$BF198,0))))</f>
        <v>0</v>
      </c>
      <c r="AT198" s="8" cm="1">
        <f t="array" ref="AT198">IF($AW198="",0,SUMPRODUCT((TRIM('LY Sales '!$B$5:$B$200)=$AW198)*('LY Sales '!$C$2:$AG$2&gt;=EDATE($U$4,-12))*('LY Sales '!$C$2:$AG$2&lt;=EDATE($U$5,-12)),'LY Sales '!$C$5:$AG$200))</f>
        <v>0</v>
      </c>
      <c r="AU198" s="8" cm="1">
        <f t="array" ref="AU198">IF($AW198="",0,SUMPRODUCT((TRIM('LY Transaction'!$B$5:$B$200)=$AW198)*('LY Transaction'!$C$2:$AG$2&gt;=EDATE($U$4,-12))*('LY Transaction'!$C$2:$AG$2&lt;=EDATE($U$5,-12)),'LY Transaction'!$C$5:$AG$200))</f>
        <v>0</v>
      </c>
      <c r="AV198" s="8" cm="1">
        <f t="array" ref="AV198">IF(NOT(ISNUMBER($BG198)),0,SUMPRODUCT(('TY Sales Target'!$K$2:$AO$2&gt;=$U$4)*('TY Sales Target'!$K$2:$AO$2&lt;=$U$5),INDEX('TY Sales Target'!$K$5:$AO$300,$BG198,0)))</f>
        <v>0</v>
      </c>
      <c r="AW198" s="8" t="str" cm="1">
        <f t="array" ref="AW198">IFERROR(INDEX(_xlfn.ANCHORARRAY($BR$5),ROWS($AW$5:AW198)),"")</f>
        <v/>
      </c>
      <c r="BB198" cm="1">
        <f t="array" ref="BB198">IF($AW198="",0,SUMPRODUCT((TRIM(Footfall!$B$5:$B$301)=$AW198)*(Footfall!$C$1:$BZ$1&gt;=$U$4)*(Footfall!$C$2:$BZ$2&lt;=$U$5)*(Footfall!$C$1:$BZ$1&lt;&gt;""),Footfall!$C$5:$BZ$301))</f>
        <v>0</v>
      </c>
      <c r="BC198" cm="1">
        <f t="array" ref="BC198">IF(OR($BB198&lt;=0,$BD$1="",$BF198=""),0,_xlfn.LET(_xlpm.d,IFERROR(--'Sales and count'!$F$2:$CB$2,0),SUMPRODUCT(('Sales and count'!$G$3:$CC$3="Transactions")*(_xlpm.d&gt;=$BD$1)*(_xlpm.d&lt;=$BD$2),INDEX('Sales and count'!$G$4:$CC$300,$BF198,0))))</f>
        <v>0</v>
      </c>
      <c r="BF198" t="str" cm="1">
        <f t="array" ref="BF198">IF($AW198="","",IFERROR(MATCH($AW198,TRIM('Sales and count'!$A$4:$A$300&amp;""),0),""))</f>
        <v/>
      </c>
      <c r="BG198" t="str" cm="1">
        <f t="array" ref="BG198">IF($AW198="","",IFERROR(MATCH(IFERROR(_xlfn.XLOOKUP($AW198,$BT$5:$BT$22,$BU$5:$BU$22),$AW198),TRIM('TY Sales Target'!$B$5:$B$300&amp;""),0),""))</f>
        <v/>
      </c>
      <c r="BH198" t="str" cm="1">
        <f t="array" ref="BH198">IF(ISNUMBER($BG198),_xlfn.LET(_xlpm.p,TRIM(INDEX('TY Sales Target'!$I$5:$I$300,$BG198)&amp;""),IF(_xlpm.p="","Not set",_xlpm.p)),"Not set")</f>
        <v>Not set</v>
      </c>
      <c r="BI198" cm="1">
        <f t="array" ref="BI198">IF($BF198="",0,_xlfn.LET(_xlpm.d,IFERROR(--'Sales and count'!$G$2:$CC$2,0),SUMPRODUCT(('Sales and count'!$G$3:$CC$3="Total")*(_xlpm.d&gt;=$BZ$5)*(_xlpm.d&lt;=$BZ$6),INDEX('Sales and count'!$G$4:$CC$300,$BF198,0))))</f>
        <v>0</v>
      </c>
      <c r="BJ198" cm="1">
        <f t="array" ref="BJ198">IF($AW198="",0,SUMPRODUCT((TRIM('LY Sales '!$B$5:$B$200)=$AW198)*('LY Sales '!$C$2:$AG$2&gt;=EDATE($BZ$5,-12))*('LY Sales '!$C$2:$AG$2&lt;=EDATE($BZ$6,-12)),'LY Sales '!$C$5:$AG$200))</f>
        <v>0</v>
      </c>
      <c r="BK198" cm="1">
        <f t="array" ref="BK198">IF($AW198="",0,SUMPRODUCT((TRIM('LY Sales '!$B$5:$B$200)=$AW198)*('LY Sales '!$C$2:$AG$2&gt;=EDATE($BZ$5,-12))*('LY Sales '!$C$2:$AG$2&lt;=EDATE($BZ$7,-12)),'LY Sales '!$C$5:$AG$200))</f>
        <v>0</v>
      </c>
      <c r="BL198" cm="1">
        <f t="array" ref="BL198">IF($AW198="",0,SUMPRODUCT((TRIM('LY Sales '!$B$5:$B$200)=$AW198)*('LY Sales '!$C$2:$AG$2&gt;=EDATE($BZ$5,-12))*('LY Sales '!$C$2:$AG$2&lt;=EDATE($BZ$6,-12))*('LY Sales '!$C$5:$AG$200&gt;0)))</f>
        <v>0</v>
      </c>
      <c r="BM198" cm="1">
        <f t="array" ref="BM198">IF(NOT(ISNUMBER($BG198)),0,SUMPRODUCT(('TY Sales Target'!$K$2:$AO$2&gt;=$BZ$5)*('TY Sales Target'!$K$2:$AO$2&lt;=$BZ$6),INDEX('TY Sales Target'!$K$5:$AO$300,$BG198,0)))</f>
        <v>0</v>
      </c>
      <c r="BN198" cm="1">
        <f t="array" ref="BN198">IF(NOT(ISNUMBER($BG198)),0,SUMPRODUCT(('TY Sales Target'!$K$2:$AO$2&gt;=$BZ$5)*('TY Sales Target'!$K$2:$AO$2&lt;=$BZ$7),INDEX('TY Sales Target'!$K$5:$AO$300,$BG198,0)))</f>
        <v>0</v>
      </c>
      <c r="BO198" cm="1">
        <f t="array" ref="BO198">IF($AW198="",0,IFERROR(_xlfn.SWITCH($BP198,"LY trend",$BI198*$BK198/$BJ198,"Target curve",$BI198*$BN198/$BM198,"Run rate",$BI198/$BZ$8*$BZ$9,0),0))</f>
        <v>0</v>
      </c>
      <c r="BP198" t="str">
        <f t="shared" si="125"/>
        <v/>
      </c>
      <c r="CB198" cm="1">
        <f t="array" ref="CB198">IF($AW198="",0,_xlfn.LET(_xlpm.k,IFERROR(_xlfn.XLOOKUP($AW198,$CD$6:$CD$21,$CE$6:$CE$21),$AW198),SUMPRODUCT((TRIM('Makeup '!$A$2:$A$300&amp;"")=_xlpm.k)*1,IFERROR('Makeup '!$F$2:$F$300*1,0))))</f>
        <v>0</v>
      </c>
      <c r="CF198" t="str" cm="1">
        <f t="array" ref="CF198">IF($AW198="","",_xlfn.LET(_xlpm.c,IFERROR(TRIM(INDEX('Sales and count'!$B$4:$B$300,$BF198)&amp;""),""),IF(OR(_xlpm.c="",_xlpm.c="0",LEFT(_xlpm.c,1)="#"),"Not set",_xlpm.c)))</f>
        <v/>
      </c>
      <c r="CH198" cm="1">
        <f t="array" ref="CH198">IF($AW198="",0,_xlfn.LET(_xlpm.k,IFERROR(_xlfn.XLOOKUP($AW198,$CD$6:$CD$21,$CE$6:$CE$21),$AW198),--(SUMPRODUCT((TRIM('Makeup '!$A$2:$A$300&amp;"")=_xlpm.k)*ISNUMBER('Makeup '!$F$2:$F$300))&gt;0)))</f>
        <v>0</v>
      </c>
      <c r="CI198">
        <f t="shared" si="95"/>
        <v>0</v>
      </c>
      <c r="CJ198" cm="1">
        <f t="array" ref="CJ198">IF($AW198="",0,--(SUMPRODUCT(--(TRIM(Footfall!$B$5:$B$301)=$AW198))&gt;0))</f>
        <v>0</v>
      </c>
      <c r="CK198" s="8" cm="1">
        <f t="array" ref="CK198">IF($AW198="",0,_xlfn.LET(_xlpm.r,IFERROR(MATCH(IFERROR(_xlfn.XLOOKUP($AW198,$BT$5:$BT$22,$BU$5:$BU$22),$AW198),TRIM('TY Beauty Target'!$B$5:$B$300&amp;""),0),""),IF(ISNUMBER(_xlpm.r),SUMPRODUCT(('TY Beauty Target'!$L$2:$AP$2&gt;=$U$4)*('TY Beauty Target'!$L$2:$AP$2&lt;=$U$5),INDEX('TY Beauty Target'!$L$5:$AP$300,_xlpm.r,0)),0)))</f>
        <v>0</v>
      </c>
    </row>
    <row r="199" spans="1:89" ht="15" customHeight="1" x14ac:dyDescent="0.25">
      <c r="A199" s="38" t="str">
        <f t="shared" si="112"/>
        <v/>
      </c>
      <c r="B199" s="43" t="str" cm="1">
        <f t="array" ref="B199">IF($AI199="","",IF(LEFT($AI199,2)="C|",IF($C199="","",_xlfn.TEXTJOIN(", ",TRUE,_xlfn.UNIQUE(_xlfn._xlws.FILTER($AN$5:$AN$302,($AP$5:$AP$302=1)*($AO$5:$AO$302=$A199))))),IF($AI199="CT",B$13,IF(LEFT($AI199,3)="AM|",IF($C199="","",ROWS(_xlfn.UNIQUE(_xlfn._xlws.FILTER($AO$5:$AO$302,($AP$5:$AP$302=1)*($AN$5:$AN$302=$A199))))),IF(LEFT($AI199,2)="S|",IF($AG199="","",INDEX($AO$5:$AO$302,$AH199)),IF($AI199="HDR","City",""))))))</f>
        <v/>
      </c>
      <c r="C199" s="39" t="str" cm="1">
        <f t="array" ref="C199">IF($AI199="","",IF(LEFT($AI199,2)="C|",_xlfn.LET(_xlpm.n,SUMPRODUCT($AP$5:$AP$302*($AO$5:$AO$302=$A199)),IF(_xlpm.n=0,"",_xlpm.n)),IF($AI199="CT",C$13,IF(LEFT($AI199,3)="AM|",_xlfn.LET(_xlpm.n,SUMPRODUCT($AP$5:$AP$302*($AN$5:$AN$302=$A199)),IF(_xlpm.n=0,"",_xlpm.n)),IF(LEFT($AI199,2)="S|","",IF($AI199="HDR","# Stores",""))))))</f>
        <v/>
      </c>
      <c r="D199" s="40" t="str" cm="1">
        <f t="array" ref="D199">IF($AI199="","",IF(LEFT($AI199,2)="C|",IF($C199="","",SUMPRODUCT($AP$5:$AP$302*($AO$5:$AO$302=$A199),$AR$5:$AR$302)),IF($AI199="CT",D$13,IF(LEFT($AI199,3)="AM|",IF($C199="","",SUMPRODUCT($AP$5:$AP$302*($AN$5:$AN$302=$A199),$AR$5:$AR$302)),IF(LEFT($AI199,2)="S|",IF($AG199="","",INDEX($AR$5:$AR$302,$AH199)),IF($AI199="HDR","Sales TY",""))))))</f>
        <v/>
      </c>
      <c r="E199" s="40" t="str" cm="1">
        <f t="array" ref="E199">IF($AI199="","",IF(LEFT($AI199,2)="C|",IF($C199="","",SUMPRODUCT($AP$5:$AP$302*($AO$5:$AO$302=$A199),$AT$5:$AT$302)),IF($AI199="CT",E$13,IF(LEFT($AI199,3)="AM|",IF($C199="","",SUMPRODUCT($AP$5:$AP$302*($AN$5:$AN$302=$A199),$AT$5:$AT$302)),IF(LEFT($AI199,2)="S|",IF($AG199="","",INDEX($AT$5:$AT$302,$AH199)),IF($AI199="HDR","Sales LY",""))))))</f>
        <v/>
      </c>
      <c r="F199" s="41" t="str">
        <f t="shared" si="113"/>
        <v/>
      </c>
      <c r="G199" s="41" t="str">
        <f t="shared" si="114"/>
        <v/>
      </c>
      <c r="H199" s="40" t="str" cm="1">
        <f t="array" ref="H199">IF($AI199="","",IF(LEFT($AI199,2)="C|",IF($C199="","",SUMPRODUCT($AP$5:$AP$302*($AO$5:$AO$302=$A199),$AV$5:$AV$302)),IF($AI199="CT",H$13,IF(LEFT($AI199,3)="AM|",IF($C199="","",SUMPRODUCT($AP$5:$AP$302*($AN$5:$AN$302=$A199),$AV$5:$AV$302)),IF(LEFT($AI199,2)="S|",IF($AG199="","",INDEX($AV$5:$AV$302,$AH199)),IF($AI199="HDR","Target",""))))))</f>
        <v/>
      </c>
      <c r="I199" s="41" t="str">
        <f t="shared" si="115"/>
        <v/>
      </c>
      <c r="J199" s="40" t="str">
        <f t="shared" si="116"/>
        <v/>
      </c>
      <c r="K199" s="41" t="str">
        <f t="shared" si="117"/>
        <v/>
      </c>
      <c r="L199" s="40" t="str" cm="1">
        <f t="array" ref="L199">IF($AI199="","",IF(LEFT($AI199,2)="C|",IF($C199="","",SUMPRODUCT($AP$5:$AP$302*($AO$5:$AO$302=$A199),$BN$5:$BN$302)),IF($AI199="CT",L$13,IF(LEFT($AI199,3)="AM|",IF($C199="","",SUMPRODUCT($AP$5:$AP$302*($AN$5:$AN$302=$A199),$BN$5:$BN$302)),IF(LEFT($AI199,2)="S|",IF($AG199="","",INDEX($BN$5:$BN$302,$AH199)),IF($AI199="HDR","Month Target",""))))))</f>
        <v/>
      </c>
      <c r="M199" s="40" t="str" cm="1">
        <f t="array" ref="M199">IF($AI199="","",IF(LEFT($AI199,2)="C|",IF($C199="","",SUMPRODUCT($AP$5:$AP$302*($AO$5:$AO$302=$A199),$BO$5:$BO$302)),IF($AI199="CT",M$13,IF(LEFT($AI199,3)="AM|",IF($C199="","",SUMPRODUCT($AP$5:$AP$302*($AN$5:$AN$302=$A199),$BO$5:$BO$302)),IF(LEFT($AI199,2)="S|",IF($AG199="","",INDEX($BO$5:$BO$302,$AH199)),IF($AI199="HDR","Projected Close",""))))))</f>
        <v/>
      </c>
      <c r="N199" s="41" t="str">
        <f t="shared" si="109"/>
        <v/>
      </c>
      <c r="O199" s="41" t="str" cm="1">
        <f t="array" ref="O199">IF($AI199="HDR","Proj. vs LY",IF(OR($AI199="",M199=""),"",_xlfn.LET(_xlpm.ly,IF(LEFT($AI199,2)="C|",SUMPRODUCT($AP$5:$AP$302*($AO$5:$AO$302=$A199),$BK$5:$BK$302),IF($AI199="CT",SUMPRODUCT($AP$5:$AP$302,$BK$5:$BK$302),IF(LEFT($AI199,3)="AM|",SUMPRODUCT($AP$5:$AP$302*($AN$5:$AN$302=$A199),$BK$5:$BK$302),IF(LEFT($AI199,2)="S|",INDEX($BK$5:$BK$302,$AH199),0)))),IFERROR(M199/_xlpm.ly-1,""))))</f>
        <v/>
      </c>
      <c r="P199" s="40" t="str" cm="1">
        <f t="array" ref="P199">IF($AI199="","",IF(LEFT($AI199,2)="C|",IF($C199="","",SUMPRODUCT($AP$5:$AP$302*($AO$5:$AO$302=$A199),$AS$5:$AS$302)),IF($AI199="CT",P$13,IF(LEFT($AI199,3)="AM|",IF($C199="","",SUMPRODUCT($AP$5:$AP$302*($AN$5:$AN$302=$A199),$AS$5:$AS$302)),IF(LEFT($AI199,2)="S|",IF($AG199="","",INDEX($AS$5:$AS$302,$AH199)),IF($AI199="HDR","Trans TY",""))))))</f>
        <v/>
      </c>
      <c r="Q199" s="40" t="str" cm="1">
        <f t="array" ref="Q199">IF($AI199="","",IF(LEFT($AI199,2)="C|",IF($C199="","",SUMPRODUCT($AP$5:$AP$302*($AO$5:$AO$302=$A199),$AU$5:$AU$302)),IF($AI199="CT",Q$13,IF(LEFT($AI199,3)="AM|",IF($C199="","",SUMPRODUCT($AP$5:$AP$302*($AN$5:$AN$302=$A199),$AU$5:$AU$302)),IF(LEFT($AI199,2)="S|",IF($AG199="","",INDEX($AU$5:$AU$302,$AH199)),IF($AI199="HDR","Trans LY",""))))))</f>
        <v/>
      </c>
      <c r="R199" s="41" t="str">
        <f t="shared" si="118"/>
        <v/>
      </c>
      <c r="S199" s="41" t="str">
        <f t="shared" si="119"/>
        <v/>
      </c>
      <c r="T199" s="42" t="str">
        <f t="shared" si="120"/>
        <v/>
      </c>
      <c r="U199" s="42" t="str">
        <f t="shared" si="121"/>
        <v/>
      </c>
      <c r="V199" s="41" t="str">
        <f t="shared" si="122"/>
        <v/>
      </c>
      <c r="W199" s="40" t="str" cm="1">
        <f t="array" ref="W199">IF($AI199="","",IF(LEFT($AI199,2)="C|",_xlfn.LET(_xlpm.n,SUMPRODUCT($AP$5:$AP$302*($AO$5:$AO$302=$A199),$BB$5:$BB$302),IF(_xlpm.n=0,"",_xlpm.n)),IF($AI199="CT",W$13,IF(LEFT($AI199,3)="AM|",_xlfn.LET(_xlpm.n,SUMPRODUCT($AP$5:$AP$302*($AN$5:$AN$302=$A199),$BB$5:$BB$302),IF(_xlpm.n=0,"",_xlpm.n)),IF(LEFT($AI199,2)="S|",IF($AG199="","",_xlfn.LET(_xlpm.n,INDEX($BB$5:$BB$302,$AH199),IF(_xlpm.n=0,"",_xlpm.n))),IF($AI199="HDR","Footfall",""))))))</f>
        <v/>
      </c>
      <c r="X199" s="40" t="str" cm="1">
        <f t="array" ref="X199">IF($AI199="","",IF($AI199="HDR","Trans (FF stores)",IF(W199="","",IF(LEFT($AI199,2)="C|",SUMPRODUCT($AP$5:$AP$302*($AO$5:$AO$302=$A199),$BC$5:$BC$302),IF($AI199="CT",X$13,IF(LEFT($AI199,3)="AM|",SUMPRODUCT($AP$5:$AP$302*($AN$5:$AN$302=$A199),$BC$5:$BC$302),IF(LEFT($AI199,2)="S|",INDEX($BC$5:$BC$302,$AH199),"")))))))</f>
        <v/>
      </c>
      <c r="Y199" s="41" t="str">
        <f t="shared" si="110"/>
        <v/>
      </c>
      <c r="Z199" s="40" t="str" cm="1">
        <f t="array" ref="Z199">IF($AI199="","",IF(LEFT($AI199,2)="C|",IF($C199="","",SUMPRODUCT($AP$5:$AP$302*($AO$5:$AO$302=$A199),$CB$5:$CB$302)),IF($AI199="CT",Z$13,IF(LEFT($AI199,3)="AM|",IF($C199="","",SUMPRODUCT($AP$5:$AP$302*($AN$5:$AN$302=$A199),$CB$5:$CB$302)),IF(LEFT($AI199,2)="S|",IF($AG199="","",INDEX($CB$5:$CB$302,$AH199)),IF($AI199="HDR","Makeup Sales",""))))))</f>
        <v/>
      </c>
      <c r="AA199" s="41" t="str">
        <f t="shared" si="123"/>
        <v/>
      </c>
      <c r="AB199" s="40" t="str" cm="1">
        <f t="array" ref="AB199">IF($AI199="","",IF(LEFT($AI199,2)="C|",IF($C199="","",SUMPRODUCT($AP$5:$AP$302*($AO$5:$AO$302=$A199),$CK$5:$CK$302)),IF($AI199="CT",AB$13,IF(LEFT($AI199,3)="AM|",IF($C199="","",SUMPRODUCT($AP$5:$AP$302*($AN$5:$AN$302=$A199),$CK$5:$CK$302)),IF(LEFT($AI199,2)="S|",IF($AG199="","",INDEX($CK$5:$CK$302,$AH199)),IF($AI199="HDR","Makeup Target",""))))))</f>
        <v/>
      </c>
      <c r="AC199" s="41" t="str">
        <f t="shared" si="111"/>
        <v/>
      </c>
      <c r="AD199" s="40" t="str" cm="1">
        <f t="array" ref="AD199">IF($AI199="","",IF(LEFT($AI199,2)="C|",IF($C199="","",SUMPRODUCT($AP$5:$AP$302*($AO$5:$AO$302=$A199),$CI$5:$CI$302)),IF($AI199="CT",AD$13,IF(LEFT($AI199,3)="AM|",IF($C199="","",SUMPRODUCT($AP$5:$AP$302*($AN$5:$AN$302=$A199),$CI$5:$CI$302)),IF(LEFT($AI199,2)="S|",IF($AG199="","",INDEX($CI$5:$CI$302,$AH199)),IF($AI199="HDR","Cosmetic Sales",""))))))</f>
        <v/>
      </c>
      <c r="AE199" s="8" t="str" cm="1">
        <f t="array" ref="AE199">IF($AI199="","",IF(LEFT($AI199,2)="C|",IF($C199="","",SUMPRODUCT($AP$5:$AP$302*($AO$5:$AO$302=$A199)*$AQ$5:$AQ$302,$AR$5:$AR$302)),IF($AI199="CT",AE$13,IF(LEFT($AI199,3)="AM|",IF($C199="","",SUMPRODUCT($AP$5:$AP$302*($AN$5:$AN$302=$A199)*$AQ$5:$AQ$302,$AR$5:$AR$302)),IF(LEFT($AI199,2)="S|",IF($AG199="","",IF(INDEX($AQ$5:$AQ$302,$AH199)=1,D199,0)),IF($AI199="HDR","LFL Sales",""))))))</f>
        <v/>
      </c>
      <c r="AF199" s="8" t="str" cm="1">
        <f t="array" ref="AF199">IF($AI199="","",IF(LEFT($AI199,2)="C|",IF($C199="","",SUMPRODUCT($AP$5:$AP$302*($AO$5:$AO$302=$A199)*$AQ$5:$AQ$302,$AS$5:$AS$302)),IF($AI199="CT",AF$13,IF(LEFT($AI199,3)="AM|",IF($C199="","",SUMPRODUCT($AP$5:$AP$302*($AN$5:$AN$302=$A199)*$AQ$5:$AQ$302,$AS$5:$AS$302)),IF(LEFT($AI199,2)="S|",IF($AG199="","",IF(INDEX($AQ$5:$AQ$302,$AH199)=1,P199,0)),IF($AI199="HDR","LFL Trans",""))))))</f>
        <v/>
      </c>
      <c r="AG199" s="8" t="str" cm="1">
        <f t="array" ref="AG199">IF($AI199="","",IF(LEFT($AI199,2)="C|","",IF($AI199="CT","",IF(LEFT($AI199,3)="AM|","",IF(LEFT($AI199,2)="S|",IF($AH199="","",IF(INDEX($AP$5:$AP$302,$AH199)=1,1,"")),IF($AI199="HDR","Show",""))))))</f>
        <v/>
      </c>
      <c r="AH199" s="8" t="str">
        <f t="shared" si="124"/>
        <v/>
      </c>
      <c r="AI199" s="8"/>
      <c r="AN199" s="8" t="str" cm="1">
        <f t="array" ref="AN199">IF($AW199="","",_xlfn.LET(_xlpm.sa,IFERROR(TRIM(INDEX('Sales and count'!$D$4:$D$300,$BF199)&amp;""),""),_xlpm.ta,IFERROR(TRIM(INDEX('TY Sales Target'!$F$5:$F$300,$BG199)&amp;""),""),IF(AND(_xlpm.sa&lt;&gt;"",LEFT(_xlpm.sa,1)&lt;&gt;"#",_xlpm.sa&lt;&gt;"0"),_xlpm.sa,IF(AND(_xlpm.ta&lt;&gt;"",LEFT(_xlpm.ta,1)&lt;&gt;"#",_xlpm.ta&lt;&gt;"0"),_xlpm.ta,IF(ISNUMBER($BG199),"Unassigned","")))))</f>
        <v/>
      </c>
      <c r="AO199" s="8" t="str" cm="1">
        <f t="array" ref="AO199">IF($AW199="","",_xlfn.LET(_xlpm.sa,IFERROR(TRIM(INDEX('Sales and count'!$C$4:$C$300,$BF199)&amp;""),""),_xlpm.ta,IFERROR(TRIM(INDEX('TY Sales Target'!$D$5:$D$300,$BG199)&amp;""),""),IF(AND(_xlpm.sa&lt;&gt;"",LEFT(_xlpm.sa,1)&lt;&gt;"#",_xlpm.sa&lt;&gt;"0"),_xlpm.sa,IF(AND(_xlpm.ta&lt;&gt;"",LEFT(_xlpm.ta,1)&lt;&gt;"#",_xlpm.ta&lt;&gt;"0"),_xlpm.ta,""))))</f>
        <v/>
      </c>
      <c r="AP199" s="8">
        <f t="shared" si="126"/>
        <v>0</v>
      </c>
      <c r="AQ199" s="8">
        <f t="shared" si="127"/>
        <v>0</v>
      </c>
      <c r="AR199" s="8" cm="1">
        <f t="array" ref="AR199">IF($BF199="",0,_xlfn.LET(_xlpm.d,IFERROR(--'Sales and count'!$G$2:$CC$2,0),SUMPRODUCT(('Sales and count'!$G$3:$CC$3="Total")*(_xlpm.d&gt;=$U$4)*(_xlpm.d&lt;=$U$5),INDEX('Sales and count'!$G$4:$CC$300,$BF199,0))))</f>
        <v>0</v>
      </c>
      <c r="AS199" s="8" cm="1">
        <f t="array" ref="AS199">IF($BF199="",0,_xlfn.LET(_xlpm.d,IFERROR(--'Sales and count'!$F$2:$CB$2,0),SUMPRODUCT(('Sales and count'!$G$3:$CC$3="Transactions")*(_xlpm.d&gt;=$U$4)*(_xlpm.d&lt;=$U$5),INDEX('Sales and count'!$G$4:$CC$300,$BF199,0))))</f>
        <v>0</v>
      </c>
      <c r="AT199" s="8" cm="1">
        <f t="array" ref="AT199">IF($AW199="",0,SUMPRODUCT((TRIM('LY Sales '!$B$5:$B$200)=$AW199)*('LY Sales '!$C$2:$AG$2&gt;=EDATE($U$4,-12))*('LY Sales '!$C$2:$AG$2&lt;=EDATE($U$5,-12)),'LY Sales '!$C$5:$AG$200))</f>
        <v>0</v>
      </c>
      <c r="AU199" s="8" cm="1">
        <f t="array" ref="AU199">IF($AW199="",0,SUMPRODUCT((TRIM('LY Transaction'!$B$5:$B$200)=$AW199)*('LY Transaction'!$C$2:$AG$2&gt;=EDATE($U$4,-12))*('LY Transaction'!$C$2:$AG$2&lt;=EDATE($U$5,-12)),'LY Transaction'!$C$5:$AG$200))</f>
        <v>0</v>
      </c>
      <c r="AV199" s="8" cm="1">
        <f t="array" ref="AV199">IF(NOT(ISNUMBER($BG199)),0,SUMPRODUCT(('TY Sales Target'!$K$2:$AO$2&gt;=$U$4)*('TY Sales Target'!$K$2:$AO$2&lt;=$U$5),INDEX('TY Sales Target'!$K$5:$AO$300,$BG199,0)))</f>
        <v>0</v>
      </c>
      <c r="AW199" s="8" t="str" cm="1">
        <f t="array" ref="AW199">IFERROR(INDEX(_xlfn.ANCHORARRAY($BR$5),ROWS($AW$5:AW199)),"")</f>
        <v/>
      </c>
      <c r="BB199" cm="1">
        <f t="array" ref="BB199">IF($AW199="",0,SUMPRODUCT((TRIM(Footfall!$B$5:$B$301)=$AW199)*(Footfall!$C$1:$BZ$1&gt;=$U$4)*(Footfall!$C$2:$BZ$2&lt;=$U$5)*(Footfall!$C$1:$BZ$1&lt;&gt;""),Footfall!$C$5:$BZ$301))</f>
        <v>0</v>
      </c>
      <c r="BC199" cm="1">
        <f t="array" ref="BC199">IF(OR($BB199&lt;=0,$BD$1="",$BF199=""),0,_xlfn.LET(_xlpm.d,IFERROR(--'Sales and count'!$F$2:$CB$2,0),SUMPRODUCT(('Sales and count'!$G$3:$CC$3="Transactions")*(_xlpm.d&gt;=$BD$1)*(_xlpm.d&lt;=$BD$2),INDEX('Sales and count'!$G$4:$CC$300,$BF199,0))))</f>
        <v>0</v>
      </c>
      <c r="BF199" t="str" cm="1">
        <f t="array" ref="BF199">IF($AW199="","",IFERROR(MATCH($AW199,TRIM('Sales and count'!$A$4:$A$300&amp;""),0),""))</f>
        <v/>
      </c>
      <c r="BG199" t="str" cm="1">
        <f t="array" ref="BG199">IF($AW199="","",IFERROR(MATCH(IFERROR(_xlfn.XLOOKUP($AW199,$BT$5:$BT$22,$BU$5:$BU$22),$AW199),TRIM('TY Sales Target'!$B$5:$B$300&amp;""),0),""))</f>
        <v/>
      </c>
      <c r="BH199" t="str" cm="1">
        <f t="array" ref="BH199">IF(ISNUMBER($BG199),_xlfn.LET(_xlpm.p,TRIM(INDEX('TY Sales Target'!$I$5:$I$300,$BG199)&amp;""),IF(_xlpm.p="","Not set",_xlpm.p)),"Not set")</f>
        <v>Not set</v>
      </c>
      <c r="BI199" cm="1">
        <f t="array" ref="BI199">IF($BF199="",0,_xlfn.LET(_xlpm.d,IFERROR(--'Sales and count'!$G$2:$CC$2,0),SUMPRODUCT(('Sales and count'!$G$3:$CC$3="Total")*(_xlpm.d&gt;=$BZ$5)*(_xlpm.d&lt;=$BZ$6),INDEX('Sales and count'!$G$4:$CC$300,$BF199,0))))</f>
        <v>0</v>
      </c>
      <c r="BJ199" cm="1">
        <f t="array" ref="BJ199">IF($AW199="",0,SUMPRODUCT((TRIM('LY Sales '!$B$5:$B$200)=$AW199)*('LY Sales '!$C$2:$AG$2&gt;=EDATE($BZ$5,-12))*('LY Sales '!$C$2:$AG$2&lt;=EDATE($BZ$6,-12)),'LY Sales '!$C$5:$AG$200))</f>
        <v>0</v>
      </c>
      <c r="BK199" cm="1">
        <f t="array" ref="BK199">IF($AW199="",0,SUMPRODUCT((TRIM('LY Sales '!$B$5:$B$200)=$AW199)*('LY Sales '!$C$2:$AG$2&gt;=EDATE($BZ$5,-12))*('LY Sales '!$C$2:$AG$2&lt;=EDATE($BZ$7,-12)),'LY Sales '!$C$5:$AG$200))</f>
        <v>0</v>
      </c>
      <c r="BL199" cm="1">
        <f t="array" ref="BL199">IF($AW199="",0,SUMPRODUCT((TRIM('LY Sales '!$B$5:$B$200)=$AW199)*('LY Sales '!$C$2:$AG$2&gt;=EDATE($BZ$5,-12))*('LY Sales '!$C$2:$AG$2&lt;=EDATE($BZ$6,-12))*('LY Sales '!$C$5:$AG$200&gt;0)))</f>
        <v>0</v>
      </c>
      <c r="BM199" cm="1">
        <f t="array" ref="BM199">IF(NOT(ISNUMBER($BG199)),0,SUMPRODUCT(('TY Sales Target'!$K$2:$AO$2&gt;=$BZ$5)*('TY Sales Target'!$K$2:$AO$2&lt;=$BZ$6),INDEX('TY Sales Target'!$K$5:$AO$300,$BG199,0)))</f>
        <v>0</v>
      </c>
      <c r="BN199" cm="1">
        <f t="array" ref="BN199">IF(NOT(ISNUMBER($BG199)),0,SUMPRODUCT(('TY Sales Target'!$K$2:$AO$2&gt;=$BZ$5)*('TY Sales Target'!$K$2:$AO$2&lt;=$BZ$7),INDEX('TY Sales Target'!$K$5:$AO$300,$BG199,0)))</f>
        <v>0</v>
      </c>
      <c r="BO199" cm="1">
        <f t="array" ref="BO199">IF($AW199="",0,IFERROR(_xlfn.SWITCH($BP199,"LY trend",$BI199*$BK199/$BJ199,"Target curve",$BI199*$BN199/$BM199,"Run rate",$BI199/$BZ$8*$BZ$9,0),0))</f>
        <v>0</v>
      </c>
      <c r="BP199" t="str">
        <f t="shared" si="125"/>
        <v/>
      </c>
      <c r="CB199" cm="1">
        <f t="array" ref="CB199">IF($AW199="",0,_xlfn.LET(_xlpm.k,IFERROR(_xlfn.XLOOKUP($AW199,$CD$6:$CD$21,$CE$6:$CE$21),$AW199),SUMPRODUCT((TRIM('Makeup '!$A$2:$A$300&amp;"")=_xlpm.k)*1,IFERROR('Makeup '!$F$2:$F$300*1,0))))</f>
        <v>0</v>
      </c>
      <c r="CF199" t="str" cm="1">
        <f t="array" ref="CF199">IF($AW199="","",_xlfn.LET(_xlpm.c,IFERROR(TRIM(INDEX('Sales and count'!$B$4:$B$300,$BF199)&amp;""),""),IF(OR(_xlpm.c="",_xlpm.c="0",LEFT(_xlpm.c,1)="#"),"Not set",_xlpm.c)))</f>
        <v/>
      </c>
      <c r="CH199" cm="1">
        <f t="array" ref="CH199">IF($AW199="",0,_xlfn.LET(_xlpm.k,IFERROR(_xlfn.XLOOKUP($AW199,$CD$6:$CD$21,$CE$6:$CE$21),$AW199),--(SUMPRODUCT((TRIM('Makeup '!$A$2:$A$300&amp;"")=_xlpm.k)*ISNUMBER('Makeup '!$F$2:$F$300))&gt;0)))</f>
        <v>0</v>
      </c>
      <c r="CI199">
        <f t="shared" ref="CI199:CI262" si="128">$AR199*$CH199</f>
        <v>0</v>
      </c>
      <c r="CJ199" cm="1">
        <f t="array" ref="CJ199">IF($AW199="",0,--(SUMPRODUCT(--(TRIM(Footfall!$B$5:$B$301)=$AW199))&gt;0))</f>
        <v>0</v>
      </c>
      <c r="CK199" s="8" cm="1">
        <f t="array" ref="CK199">IF($AW199="",0,_xlfn.LET(_xlpm.r,IFERROR(MATCH(IFERROR(_xlfn.XLOOKUP($AW199,$BT$5:$BT$22,$BU$5:$BU$22),$AW199),TRIM('TY Beauty Target'!$B$5:$B$300&amp;""),0),""),IF(ISNUMBER(_xlpm.r),SUMPRODUCT(('TY Beauty Target'!$L$2:$AP$2&gt;=$U$4)*('TY Beauty Target'!$L$2:$AP$2&lt;=$U$5),INDEX('TY Beauty Target'!$L$5:$AP$300,_xlpm.r,0)),0)))</f>
        <v>0</v>
      </c>
    </row>
    <row r="200" spans="1:89" ht="15" customHeight="1" x14ac:dyDescent="0.25">
      <c r="A200" s="38" t="str">
        <f t="shared" si="112"/>
        <v/>
      </c>
      <c r="B200" s="43" t="str" cm="1">
        <f t="array" ref="B200">IF($AI200="","",IF(LEFT($AI200,2)="C|",IF($C200="","",_xlfn.TEXTJOIN(", ",TRUE,_xlfn.UNIQUE(_xlfn._xlws.FILTER($AN$5:$AN$302,($AP$5:$AP$302=1)*($AO$5:$AO$302=$A200))))),IF($AI200="CT",B$13,IF(LEFT($AI200,3)="AM|",IF($C200="","",ROWS(_xlfn.UNIQUE(_xlfn._xlws.FILTER($AO$5:$AO$302,($AP$5:$AP$302=1)*($AN$5:$AN$302=$A200))))),IF(LEFT($AI200,2)="S|",IF($AG200="","",INDEX($AO$5:$AO$302,$AH200)),IF($AI200="HDR","City",""))))))</f>
        <v/>
      </c>
      <c r="C200" s="39" t="str" cm="1">
        <f t="array" ref="C200">IF($AI200="","",IF(LEFT($AI200,2)="C|",_xlfn.LET(_xlpm.n,SUMPRODUCT($AP$5:$AP$302*($AO$5:$AO$302=$A200)),IF(_xlpm.n=0,"",_xlpm.n)),IF($AI200="CT",C$13,IF(LEFT($AI200,3)="AM|",_xlfn.LET(_xlpm.n,SUMPRODUCT($AP$5:$AP$302*($AN$5:$AN$302=$A200)),IF(_xlpm.n=0,"",_xlpm.n)),IF(LEFT($AI200,2)="S|","",IF($AI200="HDR","# Stores",""))))))</f>
        <v/>
      </c>
      <c r="D200" s="40" t="str" cm="1">
        <f t="array" ref="D200">IF($AI200="","",IF(LEFT($AI200,2)="C|",IF($C200="","",SUMPRODUCT($AP$5:$AP$302*($AO$5:$AO$302=$A200),$AR$5:$AR$302)),IF($AI200="CT",D$13,IF(LEFT($AI200,3)="AM|",IF($C200="","",SUMPRODUCT($AP$5:$AP$302*($AN$5:$AN$302=$A200),$AR$5:$AR$302)),IF(LEFT($AI200,2)="S|",IF($AG200="","",INDEX($AR$5:$AR$302,$AH200)),IF($AI200="HDR","Sales TY",""))))))</f>
        <v/>
      </c>
      <c r="E200" s="40" t="str" cm="1">
        <f t="array" ref="E200">IF($AI200="","",IF(LEFT($AI200,2)="C|",IF($C200="","",SUMPRODUCT($AP$5:$AP$302*($AO$5:$AO$302=$A200),$AT$5:$AT$302)),IF($AI200="CT",E$13,IF(LEFT($AI200,3)="AM|",IF($C200="","",SUMPRODUCT($AP$5:$AP$302*($AN$5:$AN$302=$A200),$AT$5:$AT$302)),IF(LEFT($AI200,2)="S|",IF($AG200="","",INDEX($AT$5:$AT$302,$AH200)),IF($AI200="HDR","Sales LY",""))))))</f>
        <v/>
      </c>
      <c r="F200" s="41" t="str">
        <f t="shared" si="113"/>
        <v/>
      </c>
      <c r="G200" s="41" t="str">
        <f t="shared" si="114"/>
        <v/>
      </c>
      <c r="H200" s="40" t="str" cm="1">
        <f t="array" ref="H200">IF($AI200="","",IF(LEFT($AI200,2)="C|",IF($C200="","",SUMPRODUCT($AP$5:$AP$302*($AO$5:$AO$302=$A200),$AV$5:$AV$302)),IF($AI200="CT",H$13,IF(LEFT($AI200,3)="AM|",IF($C200="","",SUMPRODUCT($AP$5:$AP$302*($AN$5:$AN$302=$A200),$AV$5:$AV$302)),IF(LEFT($AI200,2)="S|",IF($AG200="","",INDEX($AV$5:$AV$302,$AH200)),IF($AI200="HDR","Target",""))))))</f>
        <v/>
      </c>
      <c r="I200" s="41" t="str">
        <f t="shared" si="115"/>
        <v/>
      </c>
      <c r="J200" s="40" t="str">
        <f t="shared" si="116"/>
        <v/>
      </c>
      <c r="K200" s="41" t="str">
        <f t="shared" si="117"/>
        <v/>
      </c>
      <c r="L200" s="40" t="str" cm="1">
        <f t="array" ref="L200">IF($AI200="","",IF(LEFT($AI200,2)="C|",IF($C200="","",SUMPRODUCT($AP$5:$AP$302*($AO$5:$AO$302=$A200),$BN$5:$BN$302)),IF($AI200="CT",L$13,IF(LEFT($AI200,3)="AM|",IF($C200="","",SUMPRODUCT($AP$5:$AP$302*($AN$5:$AN$302=$A200),$BN$5:$BN$302)),IF(LEFT($AI200,2)="S|",IF($AG200="","",INDEX($BN$5:$BN$302,$AH200)),IF($AI200="HDR","Month Target",""))))))</f>
        <v/>
      </c>
      <c r="M200" s="40" t="str" cm="1">
        <f t="array" ref="M200">IF($AI200="","",IF(LEFT($AI200,2)="C|",IF($C200="","",SUMPRODUCT($AP$5:$AP$302*($AO$5:$AO$302=$A200),$BO$5:$BO$302)),IF($AI200="CT",M$13,IF(LEFT($AI200,3)="AM|",IF($C200="","",SUMPRODUCT($AP$5:$AP$302*($AN$5:$AN$302=$A200),$BO$5:$BO$302)),IF(LEFT($AI200,2)="S|",IF($AG200="","",INDEX($BO$5:$BO$302,$AH200)),IF($AI200="HDR","Projected Close",""))))))</f>
        <v/>
      </c>
      <c r="N200" s="41" t="str">
        <f t="shared" si="109"/>
        <v/>
      </c>
      <c r="O200" s="41" t="str" cm="1">
        <f t="array" ref="O200">IF($AI200="HDR","Proj. vs LY",IF(OR($AI200="",M200=""),"",_xlfn.LET(_xlpm.ly,IF(LEFT($AI200,2)="C|",SUMPRODUCT($AP$5:$AP$302*($AO$5:$AO$302=$A200),$BK$5:$BK$302),IF($AI200="CT",SUMPRODUCT($AP$5:$AP$302,$BK$5:$BK$302),IF(LEFT($AI200,3)="AM|",SUMPRODUCT($AP$5:$AP$302*($AN$5:$AN$302=$A200),$BK$5:$BK$302),IF(LEFT($AI200,2)="S|",INDEX($BK$5:$BK$302,$AH200),0)))),IFERROR(M200/_xlpm.ly-1,""))))</f>
        <v/>
      </c>
      <c r="P200" s="40" t="str" cm="1">
        <f t="array" ref="P200">IF($AI200="","",IF(LEFT($AI200,2)="C|",IF($C200="","",SUMPRODUCT($AP$5:$AP$302*($AO$5:$AO$302=$A200),$AS$5:$AS$302)),IF($AI200="CT",P$13,IF(LEFT($AI200,3)="AM|",IF($C200="","",SUMPRODUCT($AP$5:$AP$302*($AN$5:$AN$302=$A200),$AS$5:$AS$302)),IF(LEFT($AI200,2)="S|",IF($AG200="","",INDEX($AS$5:$AS$302,$AH200)),IF($AI200="HDR","Trans TY",""))))))</f>
        <v/>
      </c>
      <c r="Q200" s="40" t="str" cm="1">
        <f t="array" ref="Q200">IF($AI200="","",IF(LEFT($AI200,2)="C|",IF($C200="","",SUMPRODUCT($AP$5:$AP$302*($AO$5:$AO$302=$A200),$AU$5:$AU$302)),IF($AI200="CT",Q$13,IF(LEFT($AI200,3)="AM|",IF($C200="","",SUMPRODUCT($AP$5:$AP$302*($AN$5:$AN$302=$A200),$AU$5:$AU$302)),IF(LEFT($AI200,2)="S|",IF($AG200="","",INDEX($AU$5:$AU$302,$AH200)),IF($AI200="HDR","Trans LY",""))))))</f>
        <v/>
      </c>
      <c r="R200" s="41" t="str">
        <f t="shared" si="118"/>
        <v/>
      </c>
      <c r="S200" s="41" t="str">
        <f t="shared" si="119"/>
        <v/>
      </c>
      <c r="T200" s="42" t="str">
        <f t="shared" si="120"/>
        <v/>
      </c>
      <c r="U200" s="42" t="str">
        <f t="shared" si="121"/>
        <v/>
      </c>
      <c r="V200" s="41" t="str">
        <f t="shared" si="122"/>
        <v/>
      </c>
      <c r="W200" s="40" t="str" cm="1">
        <f t="array" ref="W200">IF($AI200="","",IF(LEFT($AI200,2)="C|",_xlfn.LET(_xlpm.n,SUMPRODUCT($AP$5:$AP$302*($AO$5:$AO$302=$A200),$BB$5:$BB$302),IF(_xlpm.n=0,"",_xlpm.n)),IF($AI200="CT",W$13,IF(LEFT($AI200,3)="AM|",_xlfn.LET(_xlpm.n,SUMPRODUCT($AP$5:$AP$302*($AN$5:$AN$302=$A200),$BB$5:$BB$302),IF(_xlpm.n=0,"",_xlpm.n)),IF(LEFT($AI200,2)="S|",IF($AG200="","",_xlfn.LET(_xlpm.n,INDEX($BB$5:$BB$302,$AH200),IF(_xlpm.n=0,"",_xlpm.n))),IF($AI200="HDR","Footfall",""))))))</f>
        <v/>
      </c>
      <c r="X200" s="40" t="str" cm="1">
        <f t="array" ref="X200">IF($AI200="","",IF($AI200="HDR","Trans (FF stores)",IF(W200="","",IF(LEFT($AI200,2)="C|",SUMPRODUCT($AP$5:$AP$302*($AO$5:$AO$302=$A200),$BC$5:$BC$302),IF($AI200="CT",X$13,IF(LEFT($AI200,3)="AM|",SUMPRODUCT($AP$5:$AP$302*($AN$5:$AN$302=$A200),$BC$5:$BC$302),IF(LEFT($AI200,2)="S|",INDEX($BC$5:$BC$302,$AH200),"")))))))</f>
        <v/>
      </c>
      <c r="Y200" s="41" t="str">
        <f t="shared" si="110"/>
        <v/>
      </c>
      <c r="Z200" s="40" t="str" cm="1">
        <f t="array" ref="Z200">IF($AI200="","",IF(LEFT($AI200,2)="C|",IF($C200="","",SUMPRODUCT($AP$5:$AP$302*($AO$5:$AO$302=$A200),$CB$5:$CB$302)),IF($AI200="CT",Z$13,IF(LEFT($AI200,3)="AM|",IF($C200="","",SUMPRODUCT($AP$5:$AP$302*($AN$5:$AN$302=$A200),$CB$5:$CB$302)),IF(LEFT($AI200,2)="S|",IF($AG200="","",INDEX($CB$5:$CB$302,$AH200)),IF($AI200="HDR","Makeup Sales",""))))))</f>
        <v/>
      </c>
      <c r="AA200" s="41" t="str">
        <f t="shared" si="123"/>
        <v/>
      </c>
      <c r="AB200" s="40" t="str" cm="1">
        <f t="array" ref="AB200">IF($AI200="","",IF(LEFT($AI200,2)="C|",IF($C200="","",SUMPRODUCT($AP$5:$AP$302*($AO$5:$AO$302=$A200),$CK$5:$CK$302)),IF($AI200="CT",AB$13,IF(LEFT($AI200,3)="AM|",IF($C200="","",SUMPRODUCT($AP$5:$AP$302*($AN$5:$AN$302=$A200),$CK$5:$CK$302)),IF(LEFT($AI200,2)="S|",IF($AG200="","",INDEX($CK$5:$CK$302,$AH200)),IF($AI200="HDR","Makeup Target",""))))))</f>
        <v/>
      </c>
      <c r="AC200" s="41" t="str">
        <f t="shared" si="111"/>
        <v/>
      </c>
      <c r="AD200" s="40" t="str" cm="1">
        <f t="array" ref="AD200">IF($AI200="","",IF(LEFT($AI200,2)="C|",IF($C200="","",SUMPRODUCT($AP$5:$AP$302*($AO$5:$AO$302=$A200),$CI$5:$CI$302)),IF($AI200="CT",AD$13,IF(LEFT($AI200,3)="AM|",IF($C200="","",SUMPRODUCT($AP$5:$AP$302*($AN$5:$AN$302=$A200),$CI$5:$CI$302)),IF(LEFT($AI200,2)="S|",IF($AG200="","",INDEX($CI$5:$CI$302,$AH200)),IF($AI200="HDR","Cosmetic Sales",""))))))</f>
        <v/>
      </c>
      <c r="AE200" s="8" t="str" cm="1">
        <f t="array" ref="AE200">IF($AI200="","",IF(LEFT($AI200,2)="C|",IF($C200="","",SUMPRODUCT($AP$5:$AP$302*($AO$5:$AO$302=$A200)*$AQ$5:$AQ$302,$AR$5:$AR$302)),IF($AI200="CT",AE$13,IF(LEFT($AI200,3)="AM|",IF($C200="","",SUMPRODUCT($AP$5:$AP$302*($AN$5:$AN$302=$A200)*$AQ$5:$AQ$302,$AR$5:$AR$302)),IF(LEFT($AI200,2)="S|",IF($AG200="","",IF(INDEX($AQ$5:$AQ$302,$AH200)=1,D200,0)),IF($AI200="HDR","LFL Sales",""))))))</f>
        <v/>
      </c>
      <c r="AF200" s="8" t="str" cm="1">
        <f t="array" ref="AF200">IF($AI200="","",IF(LEFT($AI200,2)="C|",IF($C200="","",SUMPRODUCT($AP$5:$AP$302*($AO$5:$AO$302=$A200)*$AQ$5:$AQ$302,$AS$5:$AS$302)),IF($AI200="CT",AF$13,IF(LEFT($AI200,3)="AM|",IF($C200="","",SUMPRODUCT($AP$5:$AP$302*($AN$5:$AN$302=$A200)*$AQ$5:$AQ$302,$AS$5:$AS$302)),IF(LEFT($AI200,2)="S|",IF($AG200="","",IF(INDEX($AQ$5:$AQ$302,$AH200)=1,P200,0)),IF($AI200="HDR","LFL Trans",""))))))</f>
        <v/>
      </c>
      <c r="AG200" s="8" t="str" cm="1">
        <f t="array" ref="AG200">IF($AI200="","",IF(LEFT($AI200,2)="C|","",IF($AI200="CT","",IF(LEFT($AI200,3)="AM|","",IF(LEFT($AI200,2)="S|",IF($AH200="","",IF(INDEX($AP$5:$AP$302,$AH200)=1,1,"")),IF($AI200="HDR","Show",""))))))</f>
        <v/>
      </c>
      <c r="AH200" s="8" t="str">
        <f t="shared" si="124"/>
        <v/>
      </c>
      <c r="AI200" s="8"/>
      <c r="AN200" s="8" t="str" cm="1">
        <f t="array" ref="AN200">IF($AW200="","",_xlfn.LET(_xlpm.sa,IFERROR(TRIM(INDEX('Sales and count'!$D$4:$D$300,$BF200)&amp;""),""),_xlpm.ta,IFERROR(TRIM(INDEX('TY Sales Target'!$F$5:$F$300,$BG200)&amp;""),""),IF(AND(_xlpm.sa&lt;&gt;"",LEFT(_xlpm.sa,1)&lt;&gt;"#",_xlpm.sa&lt;&gt;"0"),_xlpm.sa,IF(AND(_xlpm.ta&lt;&gt;"",LEFT(_xlpm.ta,1)&lt;&gt;"#",_xlpm.ta&lt;&gt;"0"),_xlpm.ta,IF(ISNUMBER($BG200),"Unassigned","")))))</f>
        <v/>
      </c>
      <c r="AO200" s="8" t="str" cm="1">
        <f t="array" ref="AO200">IF($AW200="","",_xlfn.LET(_xlpm.sa,IFERROR(TRIM(INDEX('Sales and count'!$C$4:$C$300,$BF200)&amp;""),""),_xlpm.ta,IFERROR(TRIM(INDEX('TY Sales Target'!$D$5:$D$300,$BG200)&amp;""),""),IF(AND(_xlpm.sa&lt;&gt;"",LEFT(_xlpm.sa,1)&lt;&gt;"#",_xlpm.sa&lt;&gt;"0"),_xlpm.sa,IF(AND(_xlpm.ta&lt;&gt;"",LEFT(_xlpm.ta,1)&lt;&gt;"#",_xlpm.ta&lt;&gt;"0"),_xlpm.ta,""))))</f>
        <v/>
      </c>
      <c r="AP200" s="8">
        <f t="shared" si="126"/>
        <v>0</v>
      </c>
      <c r="AQ200" s="8">
        <f t="shared" si="127"/>
        <v>0</v>
      </c>
      <c r="AR200" s="8" cm="1">
        <f t="array" ref="AR200">IF($BF200="",0,_xlfn.LET(_xlpm.d,IFERROR(--'Sales and count'!$G$2:$CC$2,0),SUMPRODUCT(('Sales and count'!$G$3:$CC$3="Total")*(_xlpm.d&gt;=$U$4)*(_xlpm.d&lt;=$U$5),INDEX('Sales and count'!$G$4:$CC$300,$BF200,0))))</f>
        <v>0</v>
      </c>
      <c r="AS200" s="8" cm="1">
        <f t="array" ref="AS200">IF($BF200="",0,_xlfn.LET(_xlpm.d,IFERROR(--'Sales and count'!$F$2:$CB$2,0),SUMPRODUCT(('Sales and count'!$G$3:$CC$3="Transactions")*(_xlpm.d&gt;=$U$4)*(_xlpm.d&lt;=$U$5),INDEX('Sales and count'!$G$4:$CC$300,$BF200,0))))</f>
        <v>0</v>
      </c>
      <c r="AT200" s="8" cm="1">
        <f t="array" ref="AT200">IF($AW200="",0,SUMPRODUCT((TRIM('LY Sales '!$B$5:$B$200)=$AW200)*('LY Sales '!$C$2:$AG$2&gt;=EDATE($U$4,-12))*('LY Sales '!$C$2:$AG$2&lt;=EDATE($U$5,-12)),'LY Sales '!$C$5:$AG$200))</f>
        <v>0</v>
      </c>
      <c r="AU200" s="8" cm="1">
        <f t="array" ref="AU200">IF($AW200="",0,SUMPRODUCT((TRIM('LY Transaction'!$B$5:$B$200)=$AW200)*('LY Transaction'!$C$2:$AG$2&gt;=EDATE($U$4,-12))*('LY Transaction'!$C$2:$AG$2&lt;=EDATE($U$5,-12)),'LY Transaction'!$C$5:$AG$200))</f>
        <v>0</v>
      </c>
      <c r="AV200" s="8" cm="1">
        <f t="array" ref="AV200">IF(NOT(ISNUMBER($BG200)),0,SUMPRODUCT(('TY Sales Target'!$K$2:$AO$2&gt;=$U$4)*('TY Sales Target'!$K$2:$AO$2&lt;=$U$5),INDEX('TY Sales Target'!$K$5:$AO$300,$BG200,0)))</f>
        <v>0</v>
      </c>
      <c r="AW200" s="8" t="str" cm="1">
        <f t="array" ref="AW200">IFERROR(INDEX(_xlfn.ANCHORARRAY($BR$5),ROWS($AW$5:AW200)),"")</f>
        <v/>
      </c>
      <c r="BB200" cm="1">
        <f t="array" ref="BB200">IF($AW200="",0,SUMPRODUCT((TRIM(Footfall!$B$5:$B$301)=$AW200)*(Footfall!$C$1:$BZ$1&gt;=$U$4)*(Footfall!$C$2:$BZ$2&lt;=$U$5)*(Footfall!$C$1:$BZ$1&lt;&gt;""),Footfall!$C$5:$BZ$301))</f>
        <v>0</v>
      </c>
      <c r="BC200" cm="1">
        <f t="array" ref="BC200">IF(OR($BB200&lt;=0,$BD$1="",$BF200=""),0,_xlfn.LET(_xlpm.d,IFERROR(--'Sales and count'!$F$2:$CB$2,0),SUMPRODUCT(('Sales and count'!$G$3:$CC$3="Transactions")*(_xlpm.d&gt;=$BD$1)*(_xlpm.d&lt;=$BD$2),INDEX('Sales and count'!$G$4:$CC$300,$BF200,0))))</f>
        <v>0</v>
      </c>
      <c r="BF200" t="str" cm="1">
        <f t="array" ref="BF200">IF($AW200="","",IFERROR(MATCH($AW200,TRIM('Sales and count'!$A$4:$A$300&amp;""),0),""))</f>
        <v/>
      </c>
      <c r="BG200" t="str" cm="1">
        <f t="array" ref="BG200">IF($AW200="","",IFERROR(MATCH(IFERROR(_xlfn.XLOOKUP($AW200,$BT$5:$BT$22,$BU$5:$BU$22),$AW200),TRIM('TY Sales Target'!$B$5:$B$300&amp;""),0),""))</f>
        <v/>
      </c>
      <c r="BH200" t="str" cm="1">
        <f t="array" ref="BH200">IF(ISNUMBER($BG200),_xlfn.LET(_xlpm.p,TRIM(INDEX('TY Sales Target'!$I$5:$I$300,$BG200)&amp;""),IF(_xlpm.p="","Not set",_xlpm.p)),"Not set")</f>
        <v>Not set</v>
      </c>
      <c r="BI200" cm="1">
        <f t="array" ref="BI200">IF($BF200="",0,_xlfn.LET(_xlpm.d,IFERROR(--'Sales and count'!$G$2:$CC$2,0),SUMPRODUCT(('Sales and count'!$G$3:$CC$3="Total")*(_xlpm.d&gt;=$BZ$5)*(_xlpm.d&lt;=$BZ$6),INDEX('Sales and count'!$G$4:$CC$300,$BF200,0))))</f>
        <v>0</v>
      </c>
      <c r="BJ200" cm="1">
        <f t="array" ref="BJ200">IF($AW200="",0,SUMPRODUCT((TRIM('LY Sales '!$B$5:$B$200)=$AW200)*('LY Sales '!$C$2:$AG$2&gt;=EDATE($BZ$5,-12))*('LY Sales '!$C$2:$AG$2&lt;=EDATE($BZ$6,-12)),'LY Sales '!$C$5:$AG$200))</f>
        <v>0</v>
      </c>
      <c r="BK200" cm="1">
        <f t="array" ref="BK200">IF($AW200="",0,SUMPRODUCT((TRIM('LY Sales '!$B$5:$B$200)=$AW200)*('LY Sales '!$C$2:$AG$2&gt;=EDATE($BZ$5,-12))*('LY Sales '!$C$2:$AG$2&lt;=EDATE($BZ$7,-12)),'LY Sales '!$C$5:$AG$200))</f>
        <v>0</v>
      </c>
      <c r="BL200" cm="1">
        <f t="array" ref="BL200">IF($AW200="",0,SUMPRODUCT((TRIM('LY Sales '!$B$5:$B$200)=$AW200)*('LY Sales '!$C$2:$AG$2&gt;=EDATE($BZ$5,-12))*('LY Sales '!$C$2:$AG$2&lt;=EDATE($BZ$6,-12))*('LY Sales '!$C$5:$AG$200&gt;0)))</f>
        <v>0</v>
      </c>
      <c r="BM200" cm="1">
        <f t="array" ref="BM200">IF(NOT(ISNUMBER($BG200)),0,SUMPRODUCT(('TY Sales Target'!$K$2:$AO$2&gt;=$BZ$5)*('TY Sales Target'!$K$2:$AO$2&lt;=$BZ$6),INDEX('TY Sales Target'!$K$5:$AO$300,$BG200,0)))</f>
        <v>0</v>
      </c>
      <c r="BN200" cm="1">
        <f t="array" ref="BN200">IF(NOT(ISNUMBER($BG200)),0,SUMPRODUCT(('TY Sales Target'!$K$2:$AO$2&gt;=$BZ$5)*('TY Sales Target'!$K$2:$AO$2&lt;=$BZ$7),INDEX('TY Sales Target'!$K$5:$AO$300,$BG200,0)))</f>
        <v>0</v>
      </c>
      <c r="BO200" cm="1">
        <f t="array" ref="BO200">IF($AW200="",0,IFERROR(_xlfn.SWITCH($BP200,"LY trend",$BI200*$BK200/$BJ200,"Target curve",$BI200*$BN200/$BM200,"Run rate",$BI200/$BZ$8*$BZ$9,0),0))</f>
        <v>0</v>
      </c>
      <c r="BP200" t="str">
        <f t="shared" si="125"/>
        <v/>
      </c>
      <c r="CB200" cm="1">
        <f t="array" ref="CB200">IF($AW200="",0,_xlfn.LET(_xlpm.k,IFERROR(_xlfn.XLOOKUP($AW200,$CD$6:$CD$21,$CE$6:$CE$21),$AW200),SUMPRODUCT((TRIM('Makeup '!$A$2:$A$300&amp;"")=_xlpm.k)*1,IFERROR('Makeup '!$F$2:$F$300*1,0))))</f>
        <v>0</v>
      </c>
      <c r="CF200" t="str" cm="1">
        <f t="array" ref="CF200">IF($AW200="","",_xlfn.LET(_xlpm.c,IFERROR(TRIM(INDEX('Sales and count'!$B$4:$B$300,$BF200)&amp;""),""),IF(OR(_xlpm.c="",_xlpm.c="0",LEFT(_xlpm.c,1)="#"),"Not set",_xlpm.c)))</f>
        <v/>
      </c>
      <c r="CH200" cm="1">
        <f t="array" ref="CH200">IF($AW200="",0,_xlfn.LET(_xlpm.k,IFERROR(_xlfn.XLOOKUP($AW200,$CD$6:$CD$21,$CE$6:$CE$21),$AW200),--(SUMPRODUCT((TRIM('Makeup '!$A$2:$A$300&amp;"")=_xlpm.k)*ISNUMBER('Makeup '!$F$2:$F$300))&gt;0)))</f>
        <v>0</v>
      </c>
      <c r="CI200">
        <f t="shared" si="128"/>
        <v>0</v>
      </c>
      <c r="CJ200" cm="1">
        <f t="array" ref="CJ200">IF($AW200="",0,--(SUMPRODUCT(--(TRIM(Footfall!$B$5:$B$301)=$AW200))&gt;0))</f>
        <v>0</v>
      </c>
      <c r="CK200" s="8" cm="1">
        <f t="array" ref="CK200">IF($AW200="",0,_xlfn.LET(_xlpm.r,IFERROR(MATCH(IFERROR(_xlfn.XLOOKUP($AW200,$BT$5:$BT$22,$BU$5:$BU$22),$AW200),TRIM('TY Beauty Target'!$B$5:$B$300&amp;""),0),""),IF(ISNUMBER(_xlpm.r),SUMPRODUCT(('TY Beauty Target'!$L$2:$AP$2&gt;=$U$4)*('TY Beauty Target'!$L$2:$AP$2&lt;=$U$5),INDEX('TY Beauty Target'!$L$5:$AP$300,_xlpm.r,0)),0)))</f>
        <v>0</v>
      </c>
    </row>
    <row r="201" spans="1:89" ht="15" customHeight="1" x14ac:dyDescent="0.25">
      <c r="A201" s="38" t="str">
        <f t="shared" si="112"/>
        <v/>
      </c>
      <c r="B201" s="43" t="str" cm="1">
        <f t="array" ref="B201">IF($AI201="","",IF(LEFT($AI201,2)="C|",IF($C201="","",_xlfn.TEXTJOIN(", ",TRUE,_xlfn.UNIQUE(_xlfn._xlws.FILTER($AN$5:$AN$302,($AP$5:$AP$302=1)*($AO$5:$AO$302=$A201))))),IF($AI201="CT",B$13,IF(LEFT($AI201,3)="AM|",IF($C201="","",ROWS(_xlfn.UNIQUE(_xlfn._xlws.FILTER($AO$5:$AO$302,($AP$5:$AP$302=1)*($AN$5:$AN$302=$A201))))),IF(LEFT($AI201,2)="S|",IF($AG201="","",INDEX($AO$5:$AO$302,$AH201)),IF($AI201="HDR","City",""))))))</f>
        <v/>
      </c>
      <c r="C201" s="39" t="str" cm="1">
        <f t="array" ref="C201">IF($AI201="","",IF(LEFT($AI201,2)="C|",_xlfn.LET(_xlpm.n,SUMPRODUCT($AP$5:$AP$302*($AO$5:$AO$302=$A201)),IF(_xlpm.n=0,"",_xlpm.n)),IF($AI201="CT",C$13,IF(LEFT($AI201,3)="AM|",_xlfn.LET(_xlpm.n,SUMPRODUCT($AP$5:$AP$302*($AN$5:$AN$302=$A201)),IF(_xlpm.n=0,"",_xlpm.n)),IF(LEFT($AI201,2)="S|","",IF($AI201="HDR","# Stores",""))))))</f>
        <v/>
      </c>
      <c r="D201" s="40" t="str" cm="1">
        <f t="array" ref="D201">IF($AI201="","",IF(LEFT($AI201,2)="C|",IF($C201="","",SUMPRODUCT($AP$5:$AP$302*($AO$5:$AO$302=$A201),$AR$5:$AR$302)),IF($AI201="CT",D$13,IF(LEFT($AI201,3)="AM|",IF($C201="","",SUMPRODUCT($AP$5:$AP$302*($AN$5:$AN$302=$A201),$AR$5:$AR$302)),IF(LEFT($AI201,2)="S|",IF($AG201="","",INDEX($AR$5:$AR$302,$AH201)),IF($AI201="HDR","Sales TY",""))))))</f>
        <v/>
      </c>
      <c r="E201" s="40" t="str" cm="1">
        <f t="array" ref="E201">IF($AI201="","",IF(LEFT($AI201,2)="C|",IF($C201="","",SUMPRODUCT($AP$5:$AP$302*($AO$5:$AO$302=$A201),$AT$5:$AT$302)),IF($AI201="CT",E$13,IF(LEFT($AI201,3)="AM|",IF($C201="","",SUMPRODUCT($AP$5:$AP$302*($AN$5:$AN$302=$A201),$AT$5:$AT$302)),IF(LEFT($AI201,2)="S|",IF($AG201="","",INDEX($AT$5:$AT$302,$AH201)),IF($AI201="HDR","Sales LY",""))))))</f>
        <v/>
      </c>
      <c r="F201" s="41" t="str">
        <f t="shared" si="113"/>
        <v/>
      </c>
      <c r="G201" s="41" t="str">
        <f t="shared" si="114"/>
        <v/>
      </c>
      <c r="H201" s="40" t="str" cm="1">
        <f t="array" ref="H201">IF($AI201="","",IF(LEFT($AI201,2)="C|",IF($C201="","",SUMPRODUCT($AP$5:$AP$302*($AO$5:$AO$302=$A201),$AV$5:$AV$302)),IF($AI201="CT",H$13,IF(LEFT($AI201,3)="AM|",IF($C201="","",SUMPRODUCT($AP$5:$AP$302*($AN$5:$AN$302=$A201),$AV$5:$AV$302)),IF(LEFT($AI201,2)="S|",IF($AG201="","",INDEX($AV$5:$AV$302,$AH201)),IF($AI201="HDR","Target",""))))))</f>
        <v/>
      </c>
      <c r="I201" s="41" t="str">
        <f t="shared" si="115"/>
        <v/>
      </c>
      <c r="J201" s="40" t="str">
        <f t="shared" si="116"/>
        <v/>
      </c>
      <c r="K201" s="41" t="str">
        <f t="shared" si="117"/>
        <v/>
      </c>
      <c r="L201" s="40" t="str" cm="1">
        <f t="array" ref="L201">IF($AI201="","",IF(LEFT($AI201,2)="C|",IF($C201="","",SUMPRODUCT($AP$5:$AP$302*($AO$5:$AO$302=$A201),$BN$5:$BN$302)),IF($AI201="CT",L$13,IF(LEFT($AI201,3)="AM|",IF($C201="","",SUMPRODUCT($AP$5:$AP$302*($AN$5:$AN$302=$A201),$BN$5:$BN$302)),IF(LEFT($AI201,2)="S|",IF($AG201="","",INDEX($BN$5:$BN$302,$AH201)),IF($AI201="HDR","Month Target",""))))))</f>
        <v/>
      </c>
      <c r="M201" s="40" t="str" cm="1">
        <f t="array" ref="M201">IF($AI201="","",IF(LEFT($AI201,2)="C|",IF($C201="","",SUMPRODUCT($AP$5:$AP$302*($AO$5:$AO$302=$A201),$BO$5:$BO$302)),IF($AI201="CT",M$13,IF(LEFT($AI201,3)="AM|",IF($C201="","",SUMPRODUCT($AP$5:$AP$302*($AN$5:$AN$302=$A201),$BO$5:$BO$302)),IF(LEFT($AI201,2)="S|",IF($AG201="","",INDEX($BO$5:$BO$302,$AH201)),IF($AI201="HDR","Projected Close",""))))))</f>
        <v/>
      </c>
      <c r="N201" s="41" t="str">
        <f t="shared" si="109"/>
        <v/>
      </c>
      <c r="O201" s="41" t="str" cm="1">
        <f t="array" ref="O201">IF($AI201="HDR","Proj. vs LY",IF(OR($AI201="",M201=""),"",_xlfn.LET(_xlpm.ly,IF(LEFT($AI201,2)="C|",SUMPRODUCT($AP$5:$AP$302*($AO$5:$AO$302=$A201),$BK$5:$BK$302),IF($AI201="CT",SUMPRODUCT($AP$5:$AP$302,$BK$5:$BK$302),IF(LEFT($AI201,3)="AM|",SUMPRODUCT($AP$5:$AP$302*($AN$5:$AN$302=$A201),$BK$5:$BK$302),IF(LEFT($AI201,2)="S|",INDEX($BK$5:$BK$302,$AH201),0)))),IFERROR(M201/_xlpm.ly-1,""))))</f>
        <v/>
      </c>
      <c r="P201" s="40" t="str" cm="1">
        <f t="array" ref="P201">IF($AI201="","",IF(LEFT($AI201,2)="C|",IF($C201="","",SUMPRODUCT($AP$5:$AP$302*($AO$5:$AO$302=$A201),$AS$5:$AS$302)),IF($AI201="CT",P$13,IF(LEFT($AI201,3)="AM|",IF($C201="","",SUMPRODUCT($AP$5:$AP$302*($AN$5:$AN$302=$A201),$AS$5:$AS$302)),IF(LEFT($AI201,2)="S|",IF($AG201="","",INDEX($AS$5:$AS$302,$AH201)),IF($AI201="HDR","Trans TY",""))))))</f>
        <v/>
      </c>
      <c r="Q201" s="40" t="str" cm="1">
        <f t="array" ref="Q201">IF($AI201="","",IF(LEFT($AI201,2)="C|",IF($C201="","",SUMPRODUCT($AP$5:$AP$302*($AO$5:$AO$302=$A201),$AU$5:$AU$302)),IF($AI201="CT",Q$13,IF(LEFT($AI201,3)="AM|",IF($C201="","",SUMPRODUCT($AP$5:$AP$302*($AN$5:$AN$302=$A201),$AU$5:$AU$302)),IF(LEFT($AI201,2)="S|",IF($AG201="","",INDEX($AU$5:$AU$302,$AH201)),IF($AI201="HDR","Trans LY",""))))))</f>
        <v/>
      </c>
      <c r="R201" s="41" t="str">
        <f t="shared" si="118"/>
        <v/>
      </c>
      <c r="S201" s="41" t="str">
        <f t="shared" si="119"/>
        <v/>
      </c>
      <c r="T201" s="42" t="str">
        <f t="shared" si="120"/>
        <v/>
      </c>
      <c r="U201" s="42" t="str">
        <f t="shared" si="121"/>
        <v/>
      </c>
      <c r="V201" s="41" t="str">
        <f t="shared" si="122"/>
        <v/>
      </c>
      <c r="W201" s="40" t="str" cm="1">
        <f t="array" ref="W201">IF($AI201="","",IF(LEFT($AI201,2)="C|",_xlfn.LET(_xlpm.n,SUMPRODUCT($AP$5:$AP$302*($AO$5:$AO$302=$A201),$BB$5:$BB$302),IF(_xlpm.n=0,"",_xlpm.n)),IF($AI201="CT",W$13,IF(LEFT($AI201,3)="AM|",_xlfn.LET(_xlpm.n,SUMPRODUCT($AP$5:$AP$302*($AN$5:$AN$302=$A201),$BB$5:$BB$302),IF(_xlpm.n=0,"",_xlpm.n)),IF(LEFT($AI201,2)="S|",IF($AG201="","",_xlfn.LET(_xlpm.n,INDEX($BB$5:$BB$302,$AH201),IF(_xlpm.n=0,"",_xlpm.n))),IF($AI201="HDR","Footfall",""))))))</f>
        <v/>
      </c>
      <c r="X201" s="40" t="str" cm="1">
        <f t="array" ref="X201">IF($AI201="","",IF($AI201="HDR","Trans (FF stores)",IF(W201="","",IF(LEFT($AI201,2)="C|",SUMPRODUCT($AP$5:$AP$302*($AO$5:$AO$302=$A201),$BC$5:$BC$302),IF($AI201="CT",X$13,IF(LEFT($AI201,3)="AM|",SUMPRODUCT($AP$5:$AP$302*($AN$5:$AN$302=$A201),$BC$5:$BC$302),IF(LEFT($AI201,2)="S|",INDEX($BC$5:$BC$302,$AH201),"")))))))</f>
        <v/>
      </c>
      <c r="Y201" s="41" t="str">
        <f t="shared" si="110"/>
        <v/>
      </c>
      <c r="Z201" s="40" t="str" cm="1">
        <f t="array" ref="Z201">IF($AI201="","",IF(LEFT($AI201,2)="C|",IF($C201="","",SUMPRODUCT($AP$5:$AP$302*($AO$5:$AO$302=$A201),$CB$5:$CB$302)),IF($AI201="CT",Z$13,IF(LEFT($AI201,3)="AM|",IF($C201="","",SUMPRODUCT($AP$5:$AP$302*($AN$5:$AN$302=$A201),$CB$5:$CB$302)),IF(LEFT($AI201,2)="S|",IF($AG201="","",INDEX($CB$5:$CB$302,$AH201)),IF($AI201="HDR","Makeup Sales",""))))))</f>
        <v/>
      </c>
      <c r="AA201" s="41" t="str">
        <f t="shared" si="123"/>
        <v/>
      </c>
      <c r="AB201" s="40" t="str" cm="1">
        <f t="array" ref="AB201">IF($AI201="","",IF(LEFT($AI201,2)="C|",IF($C201="","",SUMPRODUCT($AP$5:$AP$302*($AO$5:$AO$302=$A201),$CK$5:$CK$302)),IF($AI201="CT",AB$13,IF(LEFT($AI201,3)="AM|",IF($C201="","",SUMPRODUCT($AP$5:$AP$302*($AN$5:$AN$302=$A201),$CK$5:$CK$302)),IF(LEFT($AI201,2)="S|",IF($AG201="","",INDEX($CK$5:$CK$302,$AH201)),IF($AI201="HDR","Makeup Target",""))))))</f>
        <v/>
      </c>
      <c r="AC201" s="41" t="str">
        <f t="shared" si="111"/>
        <v/>
      </c>
      <c r="AD201" s="40" t="str" cm="1">
        <f t="array" ref="AD201">IF($AI201="","",IF(LEFT($AI201,2)="C|",IF($C201="","",SUMPRODUCT($AP$5:$AP$302*($AO$5:$AO$302=$A201),$CI$5:$CI$302)),IF($AI201="CT",AD$13,IF(LEFT($AI201,3)="AM|",IF($C201="","",SUMPRODUCT($AP$5:$AP$302*($AN$5:$AN$302=$A201),$CI$5:$CI$302)),IF(LEFT($AI201,2)="S|",IF($AG201="","",INDEX($CI$5:$CI$302,$AH201)),IF($AI201="HDR","Cosmetic Sales",""))))))</f>
        <v/>
      </c>
      <c r="AE201" s="8" t="str" cm="1">
        <f t="array" ref="AE201">IF($AI201="","",IF(LEFT($AI201,2)="C|",IF($C201="","",SUMPRODUCT($AP$5:$AP$302*($AO$5:$AO$302=$A201)*$AQ$5:$AQ$302,$AR$5:$AR$302)),IF($AI201="CT",AE$13,IF(LEFT($AI201,3)="AM|",IF($C201="","",SUMPRODUCT($AP$5:$AP$302*($AN$5:$AN$302=$A201)*$AQ$5:$AQ$302,$AR$5:$AR$302)),IF(LEFT($AI201,2)="S|",IF($AG201="","",IF(INDEX($AQ$5:$AQ$302,$AH201)=1,D201,0)),IF($AI201="HDR","LFL Sales",""))))))</f>
        <v/>
      </c>
      <c r="AF201" s="8" t="str" cm="1">
        <f t="array" ref="AF201">IF($AI201="","",IF(LEFT($AI201,2)="C|",IF($C201="","",SUMPRODUCT($AP$5:$AP$302*($AO$5:$AO$302=$A201)*$AQ$5:$AQ$302,$AS$5:$AS$302)),IF($AI201="CT",AF$13,IF(LEFT($AI201,3)="AM|",IF($C201="","",SUMPRODUCT($AP$5:$AP$302*($AN$5:$AN$302=$A201)*$AQ$5:$AQ$302,$AS$5:$AS$302)),IF(LEFT($AI201,2)="S|",IF($AG201="","",IF(INDEX($AQ$5:$AQ$302,$AH201)=1,P201,0)),IF($AI201="HDR","LFL Trans",""))))))</f>
        <v/>
      </c>
      <c r="AG201" s="8" t="str" cm="1">
        <f t="array" ref="AG201">IF($AI201="","",IF(LEFT($AI201,2)="C|","",IF($AI201="CT","",IF(LEFT($AI201,3)="AM|","",IF(LEFT($AI201,2)="S|",IF($AH201="","",IF(INDEX($AP$5:$AP$302,$AH201)=1,1,"")),IF($AI201="HDR","Show",""))))))</f>
        <v/>
      </c>
      <c r="AH201" s="8" t="str">
        <f t="shared" si="124"/>
        <v/>
      </c>
      <c r="AI201" s="8"/>
      <c r="AN201" s="8" t="str" cm="1">
        <f t="array" ref="AN201">IF($AW201="","",_xlfn.LET(_xlpm.sa,IFERROR(TRIM(INDEX('Sales and count'!$D$4:$D$300,$BF201)&amp;""),""),_xlpm.ta,IFERROR(TRIM(INDEX('TY Sales Target'!$F$5:$F$300,$BG201)&amp;""),""),IF(AND(_xlpm.sa&lt;&gt;"",LEFT(_xlpm.sa,1)&lt;&gt;"#",_xlpm.sa&lt;&gt;"0"),_xlpm.sa,IF(AND(_xlpm.ta&lt;&gt;"",LEFT(_xlpm.ta,1)&lt;&gt;"#",_xlpm.ta&lt;&gt;"0"),_xlpm.ta,IF(ISNUMBER($BG201),"Unassigned","")))))</f>
        <v/>
      </c>
      <c r="AO201" s="8" t="str" cm="1">
        <f t="array" ref="AO201">IF($AW201="","",_xlfn.LET(_xlpm.sa,IFERROR(TRIM(INDEX('Sales and count'!$C$4:$C$300,$BF201)&amp;""),""),_xlpm.ta,IFERROR(TRIM(INDEX('TY Sales Target'!$D$5:$D$300,$BG201)&amp;""),""),IF(AND(_xlpm.sa&lt;&gt;"",LEFT(_xlpm.sa,1)&lt;&gt;"#",_xlpm.sa&lt;&gt;"0"),_xlpm.sa,IF(AND(_xlpm.ta&lt;&gt;"",LEFT(_xlpm.ta,1)&lt;&gt;"#",_xlpm.ta&lt;&gt;"0"),_xlpm.ta,""))))</f>
        <v/>
      </c>
      <c r="AP201" s="8">
        <f t="shared" si="126"/>
        <v>0</v>
      </c>
      <c r="AQ201" s="8">
        <f t="shared" si="127"/>
        <v>0</v>
      </c>
      <c r="AR201" s="8" cm="1">
        <f t="array" ref="AR201">IF($BF201="",0,_xlfn.LET(_xlpm.d,IFERROR(--'Sales and count'!$G$2:$CC$2,0),SUMPRODUCT(('Sales and count'!$G$3:$CC$3="Total")*(_xlpm.d&gt;=$U$4)*(_xlpm.d&lt;=$U$5),INDEX('Sales and count'!$G$4:$CC$300,$BF201,0))))</f>
        <v>0</v>
      </c>
      <c r="AS201" s="8" cm="1">
        <f t="array" ref="AS201">IF($BF201="",0,_xlfn.LET(_xlpm.d,IFERROR(--'Sales and count'!$F$2:$CB$2,0),SUMPRODUCT(('Sales and count'!$G$3:$CC$3="Transactions")*(_xlpm.d&gt;=$U$4)*(_xlpm.d&lt;=$U$5),INDEX('Sales and count'!$G$4:$CC$300,$BF201,0))))</f>
        <v>0</v>
      </c>
      <c r="AT201" s="8" cm="1">
        <f t="array" ref="AT201">IF($AW201="",0,SUMPRODUCT((TRIM('LY Sales '!$B$5:$B$200)=$AW201)*('LY Sales '!$C$2:$AG$2&gt;=EDATE($U$4,-12))*('LY Sales '!$C$2:$AG$2&lt;=EDATE($U$5,-12)),'LY Sales '!$C$5:$AG$200))</f>
        <v>0</v>
      </c>
      <c r="AU201" s="8" cm="1">
        <f t="array" ref="AU201">IF($AW201="",0,SUMPRODUCT((TRIM('LY Transaction'!$B$5:$B$200)=$AW201)*('LY Transaction'!$C$2:$AG$2&gt;=EDATE($U$4,-12))*('LY Transaction'!$C$2:$AG$2&lt;=EDATE($U$5,-12)),'LY Transaction'!$C$5:$AG$200))</f>
        <v>0</v>
      </c>
      <c r="AV201" s="8" cm="1">
        <f t="array" ref="AV201">IF(NOT(ISNUMBER($BG201)),0,SUMPRODUCT(('TY Sales Target'!$K$2:$AO$2&gt;=$U$4)*('TY Sales Target'!$K$2:$AO$2&lt;=$U$5),INDEX('TY Sales Target'!$K$5:$AO$300,$BG201,0)))</f>
        <v>0</v>
      </c>
      <c r="AW201" s="8" t="str" cm="1">
        <f t="array" ref="AW201">IFERROR(INDEX(_xlfn.ANCHORARRAY($BR$5),ROWS($AW$5:AW201)),"")</f>
        <v/>
      </c>
      <c r="BB201" cm="1">
        <f t="array" ref="BB201">IF($AW201="",0,SUMPRODUCT((TRIM(Footfall!$B$5:$B$301)=$AW201)*(Footfall!$C$1:$BZ$1&gt;=$U$4)*(Footfall!$C$2:$BZ$2&lt;=$U$5)*(Footfall!$C$1:$BZ$1&lt;&gt;""),Footfall!$C$5:$BZ$301))</f>
        <v>0</v>
      </c>
      <c r="BC201" cm="1">
        <f t="array" ref="BC201">IF(OR($BB201&lt;=0,$BD$1="",$BF201=""),0,_xlfn.LET(_xlpm.d,IFERROR(--'Sales and count'!$F$2:$CB$2,0),SUMPRODUCT(('Sales and count'!$G$3:$CC$3="Transactions")*(_xlpm.d&gt;=$BD$1)*(_xlpm.d&lt;=$BD$2),INDEX('Sales and count'!$G$4:$CC$300,$BF201,0))))</f>
        <v>0</v>
      </c>
      <c r="BF201" t="str" cm="1">
        <f t="array" ref="BF201">IF($AW201="","",IFERROR(MATCH($AW201,TRIM('Sales and count'!$A$4:$A$300&amp;""),0),""))</f>
        <v/>
      </c>
      <c r="BG201" t="str" cm="1">
        <f t="array" ref="BG201">IF($AW201="","",IFERROR(MATCH(IFERROR(_xlfn.XLOOKUP($AW201,$BT$5:$BT$22,$BU$5:$BU$22),$AW201),TRIM('TY Sales Target'!$B$5:$B$300&amp;""),0),""))</f>
        <v/>
      </c>
      <c r="BH201" t="str" cm="1">
        <f t="array" ref="BH201">IF(ISNUMBER($BG201),_xlfn.LET(_xlpm.p,TRIM(INDEX('TY Sales Target'!$I$5:$I$300,$BG201)&amp;""),IF(_xlpm.p="","Not set",_xlpm.p)),"Not set")</f>
        <v>Not set</v>
      </c>
      <c r="BI201" cm="1">
        <f t="array" ref="BI201">IF($BF201="",0,_xlfn.LET(_xlpm.d,IFERROR(--'Sales and count'!$G$2:$CC$2,0),SUMPRODUCT(('Sales and count'!$G$3:$CC$3="Total")*(_xlpm.d&gt;=$BZ$5)*(_xlpm.d&lt;=$BZ$6),INDEX('Sales and count'!$G$4:$CC$300,$BF201,0))))</f>
        <v>0</v>
      </c>
      <c r="BJ201" cm="1">
        <f t="array" ref="BJ201">IF($AW201="",0,SUMPRODUCT((TRIM('LY Sales '!$B$5:$B$200)=$AW201)*('LY Sales '!$C$2:$AG$2&gt;=EDATE($BZ$5,-12))*('LY Sales '!$C$2:$AG$2&lt;=EDATE($BZ$6,-12)),'LY Sales '!$C$5:$AG$200))</f>
        <v>0</v>
      </c>
      <c r="BK201" cm="1">
        <f t="array" ref="BK201">IF($AW201="",0,SUMPRODUCT((TRIM('LY Sales '!$B$5:$B$200)=$AW201)*('LY Sales '!$C$2:$AG$2&gt;=EDATE($BZ$5,-12))*('LY Sales '!$C$2:$AG$2&lt;=EDATE($BZ$7,-12)),'LY Sales '!$C$5:$AG$200))</f>
        <v>0</v>
      </c>
      <c r="BL201" cm="1">
        <f t="array" ref="BL201">IF($AW201="",0,SUMPRODUCT((TRIM('LY Sales '!$B$5:$B$200)=$AW201)*('LY Sales '!$C$2:$AG$2&gt;=EDATE($BZ$5,-12))*('LY Sales '!$C$2:$AG$2&lt;=EDATE($BZ$6,-12))*('LY Sales '!$C$5:$AG$200&gt;0)))</f>
        <v>0</v>
      </c>
      <c r="BM201" cm="1">
        <f t="array" ref="BM201">IF(NOT(ISNUMBER($BG201)),0,SUMPRODUCT(('TY Sales Target'!$K$2:$AO$2&gt;=$BZ$5)*('TY Sales Target'!$K$2:$AO$2&lt;=$BZ$6),INDEX('TY Sales Target'!$K$5:$AO$300,$BG201,0)))</f>
        <v>0</v>
      </c>
      <c r="BN201" cm="1">
        <f t="array" ref="BN201">IF(NOT(ISNUMBER($BG201)),0,SUMPRODUCT(('TY Sales Target'!$K$2:$AO$2&gt;=$BZ$5)*('TY Sales Target'!$K$2:$AO$2&lt;=$BZ$7),INDEX('TY Sales Target'!$K$5:$AO$300,$BG201,0)))</f>
        <v>0</v>
      </c>
      <c r="BO201" cm="1">
        <f t="array" ref="BO201">IF($AW201="",0,IFERROR(_xlfn.SWITCH($BP201,"LY trend",$BI201*$BK201/$BJ201,"Target curve",$BI201*$BN201/$BM201,"Run rate",$BI201/$BZ$8*$BZ$9,0),0))</f>
        <v>0</v>
      </c>
      <c r="BP201" t="str">
        <f t="shared" si="125"/>
        <v/>
      </c>
      <c r="CB201" cm="1">
        <f t="array" ref="CB201">IF($AW201="",0,_xlfn.LET(_xlpm.k,IFERROR(_xlfn.XLOOKUP($AW201,$CD$6:$CD$21,$CE$6:$CE$21),$AW201),SUMPRODUCT((TRIM('Makeup '!$A$2:$A$300&amp;"")=_xlpm.k)*1,IFERROR('Makeup '!$F$2:$F$300*1,0))))</f>
        <v>0</v>
      </c>
      <c r="CF201" t="str" cm="1">
        <f t="array" ref="CF201">IF($AW201="","",_xlfn.LET(_xlpm.c,IFERROR(TRIM(INDEX('Sales and count'!$B$4:$B$300,$BF201)&amp;""),""),IF(OR(_xlpm.c="",_xlpm.c="0",LEFT(_xlpm.c,1)="#"),"Not set",_xlpm.c)))</f>
        <v/>
      </c>
      <c r="CH201" cm="1">
        <f t="array" ref="CH201">IF($AW201="",0,_xlfn.LET(_xlpm.k,IFERROR(_xlfn.XLOOKUP($AW201,$CD$6:$CD$21,$CE$6:$CE$21),$AW201),--(SUMPRODUCT((TRIM('Makeup '!$A$2:$A$300&amp;"")=_xlpm.k)*ISNUMBER('Makeup '!$F$2:$F$300))&gt;0)))</f>
        <v>0</v>
      </c>
      <c r="CI201">
        <f t="shared" si="128"/>
        <v>0</v>
      </c>
      <c r="CJ201" cm="1">
        <f t="array" ref="CJ201">IF($AW201="",0,--(SUMPRODUCT(--(TRIM(Footfall!$B$5:$B$301)=$AW201))&gt;0))</f>
        <v>0</v>
      </c>
      <c r="CK201" s="8" cm="1">
        <f t="array" ref="CK201">IF($AW201="",0,_xlfn.LET(_xlpm.r,IFERROR(MATCH(IFERROR(_xlfn.XLOOKUP($AW201,$BT$5:$BT$22,$BU$5:$BU$22),$AW201),TRIM('TY Beauty Target'!$B$5:$B$300&amp;""),0),""),IF(ISNUMBER(_xlpm.r),SUMPRODUCT(('TY Beauty Target'!$L$2:$AP$2&gt;=$U$4)*('TY Beauty Target'!$L$2:$AP$2&lt;=$U$5),INDEX('TY Beauty Target'!$L$5:$AP$300,_xlpm.r,0)),0)))</f>
        <v>0</v>
      </c>
    </row>
    <row r="202" spans="1:89" ht="15" customHeight="1" x14ac:dyDescent="0.25">
      <c r="A202" s="38" t="str">
        <f t="shared" si="112"/>
        <v/>
      </c>
      <c r="B202" s="43" t="str" cm="1">
        <f t="array" ref="B202">IF($AI202="","",IF(LEFT($AI202,2)="C|",IF($C202="","",_xlfn.TEXTJOIN(", ",TRUE,_xlfn.UNIQUE(_xlfn._xlws.FILTER($AN$5:$AN$302,($AP$5:$AP$302=1)*($AO$5:$AO$302=$A202))))),IF($AI202="CT",B$13,IF(LEFT($AI202,3)="AM|",IF($C202="","",ROWS(_xlfn.UNIQUE(_xlfn._xlws.FILTER($AO$5:$AO$302,($AP$5:$AP$302=1)*($AN$5:$AN$302=$A202))))),IF(LEFT($AI202,2)="S|",IF($AG202="","",INDEX($AO$5:$AO$302,$AH202)),IF($AI202="HDR","City",""))))))</f>
        <v/>
      </c>
      <c r="C202" s="39" t="str" cm="1">
        <f t="array" ref="C202">IF($AI202="","",IF(LEFT($AI202,2)="C|",_xlfn.LET(_xlpm.n,SUMPRODUCT($AP$5:$AP$302*($AO$5:$AO$302=$A202)),IF(_xlpm.n=0,"",_xlpm.n)),IF($AI202="CT",C$13,IF(LEFT($AI202,3)="AM|",_xlfn.LET(_xlpm.n,SUMPRODUCT($AP$5:$AP$302*($AN$5:$AN$302=$A202)),IF(_xlpm.n=0,"",_xlpm.n)),IF(LEFT($AI202,2)="S|","",IF($AI202="HDR","# Stores",""))))))</f>
        <v/>
      </c>
      <c r="D202" s="40" t="str" cm="1">
        <f t="array" ref="D202">IF($AI202="","",IF(LEFT($AI202,2)="C|",IF($C202="","",SUMPRODUCT($AP$5:$AP$302*($AO$5:$AO$302=$A202),$AR$5:$AR$302)),IF($AI202="CT",D$13,IF(LEFT($AI202,3)="AM|",IF($C202="","",SUMPRODUCT($AP$5:$AP$302*($AN$5:$AN$302=$A202),$AR$5:$AR$302)),IF(LEFT($AI202,2)="S|",IF($AG202="","",INDEX($AR$5:$AR$302,$AH202)),IF($AI202="HDR","Sales TY",""))))))</f>
        <v/>
      </c>
      <c r="E202" s="40" t="str" cm="1">
        <f t="array" ref="E202">IF($AI202="","",IF(LEFT($AI202,2)="C|",IF($C202="","",SUMPRODUCT($AP$5:$AP$302*($AO$5:$AO$302=$A202),$AT$5:$AT$302)),IF($AI202="CT",E$13,IF(LEFT($AI202,3)="AM|",IF($C202="","",SUMPRODUCT($AP$5:$AP$302*($AN$5:$AN$302=$A202),$AT$5:$AT$302)),IF(LEFT($AI202,2)="S|",IF($AG202="","",INDEX($AT$5:$AT$302,$AH202)),IF($AI202="HDR","Sales LY",""))))))</f>
        <v/>
      </c>
      <c r="F202" s="41" t="str">
        <f t="shared" si="113"/>
        <v/>
      </c>
      <c r="G202" s="41" t="str">
        <f t="shared" si="114"/>
        <v/>
      </c>
      <c r="H202" s="40" t="str" cm="1">
        <f t="array" ref="H202">IF($AI202="","",IF(LEFT($AI202,2)="C|",IF($C202="","",SUMPRODUCT($AP$5:$AP$302*($AO$5:$AO$302=$A202),$AV$5:$AV$302)),IF($AI202="CT",H$13,IF(LEFT($AI202,3)="AM|",IF($C202="","",SUMPRODUCT($AP$5:$AP$302*($AN$5:$AN$302=$A202),$AV$5:$AV$302)),IF(LEFT($AI202,2)="S|",IF($AG202="","",INDEX($AV$5:$AV$302,$AH202)),IF($AI202="HDR","Target",""))))))</f>
        <v/>
      </c>
      <c r="I202" s="41" t="str">
        <f t="shared" si="115"/>
        <v/>
      </c>
      <c r="J202" s="40" t="str">
        <f t="shared" si="116"/>
        <v/>
      </c>
      <c r="K202" s="41" t="str">
        <f t="shared" si="117"/>
        <v/>
      </c>
      <c r="L202" s="40" t="str" cm="1">
        <f t="array" ref="L202">IF($AI202="","",IF(LEFT($AI202,2)="C|",IF($C202="","",SUMPRODUCT($AP$5:$AP$302*($AO$5:$AO$302=$A202),$BN$5:$BN$302)),IF($AI202="CT",L$13,IF(LEFT($AI202,3)="AM|",IF($C202="","",SUMPRODUCT($AP$5:$AP$302*($AN$5:$AN$302=$A202),$BN$5:$BN$302)),IF(LEFT($AI202,2)="S|",IF($AG202="","",INDEX($BN$5:$BN$302,$AH202)),IF($AI202="HDR","Month Target",""))))))</f>
        <v/>
      </c>
      <c r="M202" s="40" t="str" cm="1">
        <f t="array" ref="M202">IF($AI202="","",IF(LEFT($AI202,2)="C|",IF($C202="","",SUMPRODUCT($AP$5:$AP$302*($AO$5:$AO$302=$A202),$BO$5:$BO$302)),IF($AI202="CT",M$13,IF(LEFT($AI202,3)="AM|",IF($C202="","",SUMPRODUCT($AP$5:$AP$302*($AN$5:$AN$302=$A202),$BO$5:$BO$302)),IF(LEFT($AI202,2)="S|",IF($AG202="","",INDEX($BO$5:$BO$302,$AH202)),IF($AI202="HDR","Projected Close",""))))))</f>
        <v/>
      </c>
      <c r="N202" s="41" t="str">
        <f t="shared" si="109"/>
        <v/>
      </c>
      <c r="O202" s="41" t="str" cm="1">
        <f t="array" ref="O202">IF($AI202="HDR","Proj. vs LY",IF(OR($AI202="",M202=""),"",_xlfn.LET(_xlpm.ly,IF(LEFT($AI202,2)="C|",SUMPRODUCT($AP$5:$AP$302*($AO$5:$AO$302=$A202),$BK$5:$BK$302),IF($AI202="CT",SUMPRODUCT($AP$5:$AP$302,$BK$5:$BK$302),IF(LEFT($AI202,3)="AM|",SUMPRODUCT($AP$5:$AP$302*($AN$5:$AN$302=$A202),$BK$5:$BK$302),IF(LEFT($AI202,2)="S|",INDEX($BK$5:$BK$302,$AH202),0)))),IFERROR(M202/_xlpm.ly-1,""))))</f>
        <v/>
      </c>
      <c r="P202" s="40" t="str" cm="1">
        <f t="array" ref="P202">IF($AI202="","",IF(LEFT($AI202,2)="C|",IF($C202="","",SUMPRODUCT($AP$5:$AP$302*($AO$5:$AO$302=$A202),$AS$5:$AS$302)),IF($AI202="CT",P$13,IF(LEFT($AI202,3)="AM|",IF($C202="","",SUMPRODUCT($AP$5:$AP$302*($AN$5:$AN$302=$A202),$AS$5:$AS$302)),IF(LEFT($AI202,2)="S|",IF($AG202="","",INDEX($AS$5:$AS$302,$AH202)),IF($AI202="HDR","Trans TY",""))))))</f>
        <v/>
      </c>
      <c r="Q202" s="40" t="str" cm="1">
        <f t="array" ref="Q202">IF($AI202="","",IF(LEFT($AI202,2)="C|",IF($C202="","",SUMPRODUCT($AP$5:$AP$302*($AO$5:$AO$302=$A202),$AU$5:$AU$302)),IF($AI202="CT",Q$13,IF(LEFT($AI202,3)="AM|",IF($C202="","",SUMPRODUCT($AP$5:$AP$302*($AN$5:$AN$302=$A202),$AU$5:$AU$302)),IF(LEFT($AI202,2)="S|",IF($AG202="","",INDEX($AU$5:$AU$302,$AH202)),IF($AI202="HDR","Trans LY",""))))))</f>
        <v/>
      </c>
      <c r="R202" s="41" t="str">
        <f t="shared" si="118"/>
        <v/>
      </c>
      <c r="S202" s="41" t="str">
        <f t="shared" si="119"/>
        <v/>
      </c>
      <c r="T202" s="42" t="str">
        <f t="shared" si="120"/>
        <v/>
      </c>
      <c r="U202" s="42" t="str">
        <f t="shared" si="121"/>
        <v/>
      </c>
      <c r="V202" s="41" t="str">
        <f t="shared" si="122"/>
        <v/>
      </c>
      <c r="W202" s="40" t="str" cm="1">
        <f t="array" ref="W202">IF($AI202="","",IF(LEFT($AI202,2)="C|",_xlfn.LET(_xlpm.n,SUMPRODUCT($AP$5:$AP$302*($AO$5:$AO$302=$A202),$BB$5:$BB$302),IF(_xlpm.n=0,"",_xlpm.n)),IF($AI202="CT",W$13,IF(LEFT($AI202,3)="AM|",_xlfn.LET(_xlpm.n,SUMPRODUCT($AP$5:$AP$302*($AN$5:$AN$302=$A202),$BB$5:$BB$302),IF(_xlpm.n=0,"",_xlpm.n)),IF(LEFT($AI202,2)="S|",IF($AG202="","",_xlfn.LET(_xlpm.n,INDEX($BB$5:$BB$302,$AH202),IF(_xlpm.n=0,"",_xlpm.n))),IF($AI202="HDR","Footfall",""))))))</f>
        <v/>
      </c>
      <c r="X202" s="40" t="str" cm="1">
        <f t="array" ref="X202">IF($AI202="","",IF($AI202="HDR","Trans (FF stores)",IF(W202="","",IF(LEFT($AI202,2)="C|",SUMPRODUCT($AP$5:$AP$302*($AO$5:$AO$302=$A202),$BC$5:$BC$302),IF($AI202="CT",X$13,IF(LEFT($AI202,3)="AM|",SUMPRODUCT($AP$5:$AP$302*($AN$5:$AN$302=$A202),$BC$5:$BC$302),IF(LEFT($AI202,2)="S|",INDEX($BC$5:$BC$302,$AH202),"")))))))</f>
        <v/>
      </c>
      <c r="Y202" s="41" t="str">
        <f t="shared" si="110"/>
        <v/>
      </c>
      <c r="Z202" s="40" t="str" cm="1">
        <f t="array" ref="Z202">IF($AI202="","",IF(LEFT($AI202,2)="C|",IF($C202="","",SUMPRODUCT($AP$5:$AP$302*($AO$5:$AO$302=$A202),$CB$5:$CB$302)),IF($AI202="CT",Z$13,IF(LEFT($AI202,3)="AM|",IF($C202="","",SUMPRODUCT($AP$5:$AP$302*($AN$5:$AN$302=$A202),$CB$5:$CB$302)),IF(LEFT($AI202,2)="S|",IF($AG202="","",INDEX($CB$5:$CB$302,$AH202)),IF($AI202="HDR","Makeup Sales",""))))))</f>
        <v/>
      </c>
      <c r="AA202" s="41" t="str">
        <f t="shared" si="123"/>
        <v/>
      </c>
      <c r="AB202" s="40" t="str" cm="1">
        <f t="array" ref="AB202">IF($AI202="","",IF(LEFT($AI202,2)="C|",IF($C202="","",SUMPRODUCT($AP$5:$AP$302*($AO$5:$AO$302=$A202),$CK$5:$CK$302)),IF($AI202="CT",AB$13,IF(LEFT($AI202,3)="AM|",IF($C202="","",SUMPRODUCT($AP$5:$AP$302*($AN$5:$AN$302=$A202),$CK$5:$CK$302)),IF(LEFT($AI202,2)="S|",IF($AG202="","",INDEX($CK$5:$CK$302,$AH202)),IF($AI202="HDR","Makeup Target",""))))))</f>
        <v/>
      </c>
      <c r="AC202" s="41" t="str">
        <f t="shared" si="111"/>
        <v/>
      </c>
      <c r="AD202" s="40" t="str" cm="1">
        <f t="array" ref="AD202">IF($AI202="","",IF(LEFT($AI202,2)="C|",IF($C202="","",SUMPRODUCT($AP$5:$AP$302*($AO$5:$AO$302=$A202),$CI$5:$CI$302)),IF($AI202="CT",AD$13,IF(LEFT($AI202,3)="AM|",IF($C202="","",SUMPRODUCT($AP$5:$AP$302*($AN$5:$AN$302=$A202),$CI$5:$CI$302)),IF(LEFT($AI202,2)="S|",IF($AG202="","",INDEX($CI$5:$CI$302,$AH202)),IF($AI202="HDR","Cosmetic Sales",""))))))</f>
        <v/>
      </c>
      <c r="AE202" s="8" t="str" cm="1">
        <f t="array" ref="AE202">IF($AI202="","",IF(LEFT($AI202,2)="C|",IF($C202="","",SUMPRODUCT($AP$5:$AP$302*($AO$5:$AO$302=$A202)*$AQ$5:$AQ$302,$AR$5:$AR$302)),IF($AI202="CT",AE$13,IF(LEFT($AI202,3)="AM|",IF($C202="","",SUMPRODUCT($AP$5:$AP$302*($AN$5:$AN$302=$A202)*$AQ$5:$AQ$302,$AR$5:$AR$302)),IF(LEFT($AI202,2)="S|",IF($AG202="","",IF(INDEX($AQ$5:$AQ$302,$AH202)=1,D202,0)),IF($AI202="HDR","LFL Sales",""))))))</f>
        <v/>
      </c>
      <c r="AF202" s="8" t="str" cm="1">
        <f t="array" ref="AF202">IF($AI202="","",IF(LEFT($AI202,2)="C|",IF($C202="","",SUMPRODUCT($AP$5:$AP$302*($AO$5:$AO$302=$A202)*$AQ$5:$AQ$302,$AS$5:$AS$302)),IF($AI202="CT",AF$13,IF(LEFT($AI202,3)="AM|",IF($C202="","",SUMPRODUCT($AP$5:$AP$302*($AN$5:$AN$302=$A202)*$AQ$5:$AQ$302,$AS$5:$AS$302)),IF(LEFT($AI202,2)="S|",IF($AG202="","",IF(INDEX($AQ$5:$AQ$302,$AH202)=1,P202,0)),IF($AI202="HDR","LFL Trans",""))))))</f>
        <v/>
      </c>
      <c r="AG202" s="8" t="str" cm="1">
        <f t="array" ref="AG202">IF($AI202="","",IF(LEFT($AI202,2)="C|","",IF($AI202="CT","",IF(LEFT($AI202,3)="AM|","",IF(LEFT($AI202,2)="S|",IF($AH202="","",IF(INDEX($AP$5:$AP$302,$AH202)=1,1,"")),IF($AI202="HDR","Show",""))))))</f>
        <v/>
      </c>
      <c r="AH202" s="8" t="str">
        <f t="shared" si="124"/>
        <v/>
      </c>
      <c r="AI202" s="8"/>
      <c r="AN202" s="8" t="str" cm="1">
        <f t="array" ref="AN202">IF($AW202="","",_xlfn.LET(_xlpm.sa,IFERROR(TRIM(INDEX('Sales and count'!$D$4:$D$300,$BF202)&amp;""),""),_xlpm.ta,IFERROR(TRIM(INDEX('TY Sales Target'!$F$5:$F$300,$BG202)&amp;""),""),IF(AND(_xlpm.sa&lt;&gt;"",LEFT(_xlpm.sa,1)&lt;&gt;"#",_xlpm.sa&lt;&gt;"0"),_xlpm.sa,IF(AND(_xlpm.ta&lt;&gt;"",LEFT(_xlpm.ta,1)&lt;&gt;"#",_xlpm.ta&lt;&gt;"0"),_xlpm.ta,IF(ISNUMBER($BG202),"Unassigned","")))))</f>
        <v/>
      </c>
      <c r="AO202" s="8" t="str" cm="1">
        <f t="array" ref="AO202">IF($AW202="","",_xlfn.LET(_xlpm.sa,IFERROR(TRIM(INDEX('Sales and count'!$C$4:$C$300,$BF202)&amp;""),""),_xlpm.ta,IFERROR(TRIM(INDEX('TY Sales Target'!$D$5:$D$300,$BG202)&amp;""),""),IF(AND(_xlpm.sa&lt;&gt;"",LEFT(_xlpm.sa,1)&lt;&gt;"#",_xlpm.sa&lt;&gt;"0"),_xlpm.sa,IF(AND(_xlpm.ta&lt;&gt;"",LEFT(_xlpm.ta,1)&lt;&gt;"#",_xlpm.ta&lt;&gt;"0"),_xlpm.ta,""))))</f>
        <v/>
      </c>
      <c r="AP202" s="8">
        <f t="shared" si="126"/>
        <v>0</v>
      </c>
      <c r="AQ202" s="8">
        <f t="shared" si="127"/>
        <v>0</v>
      </c>
      <c r="AR202" s="8" cm="1">
        <f t="array" ref="AR202">IF($BF202="",0,_xlfn.LET(_xlpm.d,IFERROR(--'Sales and count'!$G$2:$CC$2,0),SUMPRODUCT(('Sales and count'!$G$3:$CC$3="Total")*(_xlpm.d&gt;=$U$4)*(_xlpm.d&lt;=$U$5),INDEX('Sales and count'!$G$4:$CC$300,$BF202,0))))</f>
        <v>0</v>
      </c>
      <c r="AS202" s="8" cm="1">
        <f t="array" ref="AS202">IF($BF202="",0,_xlfn.LET(_xlpm.d,IFERROR(--'Sales and count'!$F$2:$CB$2,0),SUMPRODUCT(('Sales and count'!$G$3:$CC$3="Transactions")*(_xlpm.d&gt;=$U$4)*(_xlpm.d&lt;=$U$5),INDEX('Sales and count'!$G$4:$CC$300,$BF202,0))))</f>
        <v>0</v>
      </c>
      <c r="AT202" s="8" cm="1">
        <f t="array" ref="AT202">IF($AW202="",0,SUMPRODUCT((TRIM('LY Sales '!$B$5:$B$200)=$AW202)*('LY Sales '!$C$2:$AG$2&gt;=EDATE($U$4,-12))*('LY Sales '!$C$2:$AG$2&lt;=EDATE($U$5,-12)),'LY Sales '!$C$5:$AG$200))</f>
        <v>0</v>
      </c>
      <c r="AU202" s="8" cm="1">
        <f t="array" ref="AU202">IF($AW202="",0,SUMPRODUCT((TRIM('LY Transaction'!$B$5:$B$200)=$AW202)*('LY Transaction'!$C$2:$AG$2&gt;=EDATE($U$4,-12))*('LY Transaction'!$C$2:$AG$2&lt;=EDATE($U$5,-12)),'LY Transaction'!$C$5:$AG$200))</f>
        <v>0</v>
      </c>
      <c r="AV202" s="8" cm="1">
        <f t="array" ref="AV202">IF(NOT(ISNUMBER($BG202)),0,SUMPRODUCT(('TY Sales Target'!$K$2:$AO$2&gt;=$U$4)*('TY Sales Target'!$K$2:$AO$2&lt;=$U$5),INDEX('TY Sales Target'!$K$5:$AO$300,$BG202,0)))</f>
        <v>0</v>
      </c>
      <c r="AW202" s="8" t="str" cm="1">
        <f t="array" ref="AW202">IFERROR(INDEX(_xlfn.ANCHORARRAY($BR$5),ROWS($AW$5:AW202)),"")</f>
        <v/>
      </c>
      <c r="BB202" cm="1">
        <f t="array" ref="BB202">IF($AW202="",0,SUMPRODUCT((TRIM(Footfall!$B$5:$B$301)=$AW202)*(Footfall!$C$1:$BZ$1&gt;=$U$4)*(Footfall!$C$2:$BZ$2&lt;=$U$5)*(Footfall!$C$1:$BZ$1&lt;&gt;""),Footfall!$C$5:$BZ$301))</f>
        <v>0</v>
      </c>
      <c r="BC202" cm="1">
        <f t="array" ref="BC202">IF(OR($BB202&lt;=0,$BD$1="",$BF202=""),0,_xlfn.LET(_xlpm.d,IFERROR(--'Sales and count'!$F$2:$CB$2,0),SUMPRODUCT(('Sales and count'!$G$3:$CC$3="Transactions")*(_xlpm.d&gt;=$BD$1)*(_xlpm.d&lt;=$BD$2),INDEX('Sales and count'!$G$4:$CC$300,$BF202,0))))</f>
        <v>0</v>
      </c>
      <c r="BF202" t="str" cm="1">
        <f t="array" ref="BF202">IF($AW202="","",IFERROR(MATCH($AW202,TRIM('Sales and count'!$A$4:$A$300&amp;""),0),""))</f>
        <v/>
      </c>
      <c r="BG202" t="str" cm="1">
        <f t="array" ref="BG202">IF($AW202="","",IFERROR(MATCH(IFERROR(_xlfn.XLOOKUP($AW202,$BT$5:$BT$22,$BU$5:$BU$22),$AW202),TRIM('TY Sales Target'!$B$5:$B$300&amp;""),0),""))</f>
        <v/>
      </c>
      <c r="BH202" t="str" cm="1">
        <f t="array" ref="BH202">IF(ISNUMBER($BG202),_xlfn.LET(_xlpm.p,TRIM(INDEX('TY Sales Target'!$I$5:$I$300,$BG202)&amp;""),IF(_xlpm.p="","Not set",_xlpm.p)),"Not set")</f>
        <v>Not set</v>
      </c>
      <c r="BI202" cm="1">
        <f t="array" ref="BI202">IF($BF202="",0,_xlfn.LET(_xlpm.d,IFERROR(--'Sales and count'!$G$2:$CC$2,0),SUMPRODUCT(('Sales and count'!$G$3:$CC$3="Total")*(_xlpm.d&gt;=$BZ$5)*(_xlpm.d&lt;=$BZ$6),INDEX('Sales and count'!$G$4:$CC$300,$BF202,0))))</f>
        <v>0</v>
      </c>
      <c r="BJ202" cm="1">
        <f t="array" ref="BJ202">IF($AW202="",0,SUMPRODUCT((TRIM('LY Sales '!$B$5:$B$200)=$AW202)*('LY Sales '!$C$2:$AG$2&gt;=EDATE($BZ$5,-12))*('LY Sales '!$C$2:$AG$2&lt;=EDATE($BZ$6,-12)),'LY Sales '!$C$5:$AG$200))</f>
        <v>0</v>
      </c>
      <c r="BK202" cm="1">
        <f t="array" ref="BK202">IF($AW202="",0,SUMPRODUCT((TRIM('LY Sales '!$B$5:$B$200)=$AW202)*('LY Sales '!$C$2:$AG$2&gt;=EDATE($BZ$5,-12))*('LY Sales '!$C$2:$AG$2&lt;=EDATE($BZ$7,-12)),'LY Sales '!$C$5:$AG$200))</f>
        <v>0</v>
      </c>
      <c r="BL202" cm="1">
        <f t="array" ref="BL202">IF($AW202="",0,SUMPRODUCT((TRIM('LY Sales '!$B$5:$B$200)=$AW202)*('LY Sales '!$C$2:$AG$2&gt;=EDATE($BZ$5,-12))*('LY Sales '!$C$2:$AG$2&lt;=EDATE($BZ$6,-12))*('LY Sales '!$C$5:$AG$200&gt;0)))</f>
        <v>0</v>
      </c>
      <c r="BM202" cm="1">
        <f t="array" ref="BM202">IF(NOT(ISNUMBER($BG202)),0,SUMPRODUCT(('TY Sales Target'!$K$2:$AO$2&gt;=$BZ$5)*('TY Sales Target'!$K$2:$AO$2&lt;=$BZ$6),INDEX('TY Sales Target'!$K$5:$AO$300,$BG202,0)))</f>
        <v>0</v>
      </c>
      <c r="BN202" cm="1">
        <f t="array" ref="BN202">IF(NOT(ISNUMBER($BG202)),0,SUMPRODUCT(('TY Sales Target'!$K$2:$AO$2&gt;=$BZ$5)*('TY Sales Target'!$K$2:$AO$2&lt;=$BZ$7),INDEX('TY Sales Target'!$K$5:$AO$300,$BG202,0)))</f>
        <v>0</v>
      </c>
      <c r="BO202" cm="1">
        <f t="array" ref="BO202">IF($AW202="",0,IFERROR(_xlfn.SWITCH($BP202,"LY trend",$BI202*$BK202/$BJ202,"Target curve",$BI202*$BN202/$BM202,"Run rate",$BI202/$BZ$8*$BZ$9,0),0))</f>
        <v>0</v>
      </c>
      <c r="BP202" t="str">
        <f t="shared" si="125"/>
        <v/>
      </c>
      <c r="CB202" cm="1">
        <f t="array" ref="CB202">IF($AW202="",0,_xlfn.LET(_xlpm.k,IFERROR(_xlfn.XLOOKUP($AW202,$CD$6:$CD$21,$CE$6:$CE$21),$AW202),SUMPRODUCT((TRIM('Makeup '!$A$2:$A$300&amp;"")=_xlpm.k)*1,IFERROR('Makeup '!$F$2:$F$300*1,0))))</f>
        <v>0</v>
      </c>
      <c r="CF202" t="str" cm="1">
        <f t="array" ref="CF202">IF($AW202="","",_xlfn.LET(_xlpm.c,IFERROR(TRIM(INDEX('Sales and count'!$B$4:$B$300,$BF202)&amp;""),""),IF(OR(_xlpm.c="",_xlpm.c="0",LEFT(_xlpm.c,1)="#"),"Not set",_xlpm.c)))</f>
        <v/>
      </c>
      <c r="CH202" cm="1">
        <f t="array" ref="CH202">IF($AW202="",0,_xlfn.LET(_xlpm.k,IFERROR(_xlfn.XLOOKUP($AW202,$CD$6:$CD$21,$CE$6:$CE$21),$AW202),--(SUMPRODUCT((TRIM('Makeup '!$A$2:$A$300&amp;"")=_xlpm.k)*ISNUMBER('Makeup '!$F$2:$F$300))&gt;0)))</f>
        <v>0</v>
      </c>
      <c r="CI202">
        <f t="shared" si="128"/>
        <v>0</v>
      </c>
      <c r="CJ202" cm="1">
        <f t="array" ref="CJ202">IF($AW202="",0,--(SUMPRODUCT(--(TRIM(Footfall!$B$5:$B$301)=$AW202))&gt;0))</f>
        <v>0</v>
      </c>
      <c r="CK202" s="8" cm="1">
        <f t="array" ref="CK202">IF($AW202="",0,_xlfn.LET(_xlpm.r,IFERROR(MATCH(IFERROR(_xlfn.XLOOKUP($AW202,$BT$5:$BT$22,$BU$5:$BU$22),$AW202),TRIM('TY Beauty Target'!$B$5:$B$300&amp;""),0),""),IF(ISNUMBER(_xlpm.r),SUMPRODUCT(('TY Beauty Target'!$L$2:$AP$2&gt;=$U$4)*('TY Beauty Target'!$L$2:$AP$2&lt;=$U$5),INDEX('TY Beauty Target'!$L$5:$AP$300,_xlpm.r,0)),0)))</f>
        <v>0</v>
      </c>
    </row>
    <row r="203" spans="1:89" ht="15" customHeight="1" x14ac:dyDescent="0.25">
      <c r="A203" s="38" t="str">
        <f t="shared" si="112"/>
        <v/>
      </c>
      <c r="B203" s="43" t="str" cm="1">
        <f t="array" ref="B203">IF($AI203="","",IF(LEFT($AI203,2)="C|",IF($C203="","",_xlfn.TEXTJOIN(", ",TRUE,_xlfn.UNIQUE(_xlfn._xlws.FILTER($AN$5:$AN$302,($AP$5:$AP$302=1)*($AO$5:$AO$302=$A203))))),IF($AI203="CT",B$13,IF(LEFT($AI203,3)="AM|",IF($C203="","",ROWS(_xlfn.UNIQUE(_xlfn._xlws.FILTER($AO$5:$AO$302,($AP$5:$AP$302=1)*($AN$5:$AN$302=$A203))))),IF(LEFT($AI203,2)="S|",IF($AG203="","",INDEX($AO$5:$AO$302,$AH203)),IF($AI203="HDR","City",""))))))</f>
        <v/>
      </c>
      <c r="C203" s="39" t="str" cm="1">
        <f t="array" ref="C203">IF($AI203="","",IF(LEFT($AI203,2)="C|",_xlfn.LET(_xlpm.n,SUMPRODUCT($AP$5:$AP$302*($AO$5:$AO$302=$A203)),IF(_xlpm.n=0,"",_xlpm.n)),IF($AI203="CT",C$13,IF(LEFT($AI203,3)="AM|",_xlfn.LET(_xlpm.n,SUMPRODUCT($AP$5:$AP$302*($AN$5:$AN$302=$A203)),IF(_xlpm.n=0,"",_xlpm.n)),IF(LEFT($AI203,2)="S|","",IF($AI203="HDR","# Stores",""))))))</f>
        <v/>
      </c>
      <c r="D203" s="40" t="str" cm="1">
        <f t="array" ref="D203">IF($AI203="","",IF(LEFT($AI203,2)="C|",IF($C203="","",SUMPRODUCT($AP$5:$AP$302*($AO$5:$AO$302=$A203),$AR$5:$AR$302)),IF($AI203="CT",D$13,IF(LEFT($AI203,3)="AM|",IF($C203="","",SUMPRODUCT($AP$5:$AP$302*($AN$5:$AN$302=$A203),$AR$5:$AR$302)),IF(LEFT($AI203,2)="S|",IF($AG203="","",INDEX($AR$5:$AR$302,$AH203)),IF($AI203="HDR","Sales TY",""))))))</f>
        <v/>
      </c>
      <c r="E203" s="40" t="str" cm="1">
        <f t="array" ref="E203">IF($AI203="","",IF(LEFT($AI203,2)="C|",IF($C203="","",SUMPRODUCT($AP$5:$AP$302*($AO$5:$AO$302=$A203),$AT$5:$AT$302)),IF($AI203="CT",E$13,IF(LEFT($AI203,3)="AM|",IF($C203="","",SUMPRODUCT($AP$5:$AP$302*($AN$5:$AN$302=$A203),$AT$5:$AT$302)),IF(LEFT($AI203,2)="S|",IF($AG203="","",INDEX($AT$5:$AT$302,$AH203)),IF($AI203="HDR","Sales LY",""))))))</f>
        <v/>
      </c>
      <c r="F203" s="41" t="str">
        <f t="shared" si="113"/>
        <v/>
      </c>
      <c r="G203" s="41" t="str">
        <f t="shared" si="114"/>
        <v/>
      </c>
      <c r="H203" s="40" t="str" cm="1">
        <f t="array" ref="H203">IF($AI203="","",IF(LEFT($AI203,2)="C|",IF($C203="","",SUMPRODUCT($AP$5:$AP$302*($AO$5:$AO$302=$A203),$AV$5:$AV$302)),IF($AI203="CT",H$13,IF(LEFT($AI203,3)="AM|",IF($C203="","",SUMPRODUCT($AP$5:$AP$302*($AN$5:$AN$302=$A203),$AV$5:$AV$302)),IF(LEFT($AI203,2)="S|",IF($AG203="","",INDEX($AV$5:$AV$302,$AH203)),IF($AI203="HDR","Target",""))))))</f>
        <v/>
      </c>
      <c r="I203" s="41" t="str">
        <f t="shared" si="115"/>
        <v/>
      </c>
      <c r="J203" s="40" t="str">
        <f t="shared" si="116"/>
        <v/>
      </c>
      <c r="K203" s="41" t="str">
        <f t="shared" si="117"/>
        <v/>
      </c>
      <c r="L203" s="40" t="str" cm="1">
        <f t="array" ref="L203">IF($AI203="","",IF(LEFT($AI203,2)="C|",IF($C203="","",SUMPRODUCT($AP$5:$AP$302*($AO$5:$AO$302=$A203),$BN$5:$BN$302)),IF($AI203="CT",L$13,IF(LEFT($AI203,3)="AM|",IF($C203="","",SUMPRODUCT($AP$5:$AP$302*($AN$5:$AN$302=$A203),$BN$5:$BN$302)),IF(LEFT($AI203,2)="S|",IF($AG203="","",INDEX($BN$5:$BN$302,$AH203)),IF($AI203="HDR","Month Target",""))))))</f>
        <v/>
      </c>
      <c r="M203" s="40" t="str" cm="1">
        <f t="array" ref="M203">IF($AI203="","",IF(LEFT($AI203,2)="C|",IF($C203="","",SUMPRODUCT($AP$5:$AP$302*($AO$5:$AO$302=$A203),$BO$5:$BO$302)),IF($AI203="CT",M$13,IF(LEFT($AI203,3)="AM|",IF($C203="","",SUMPRODUCT($AP$5:$AP$302*($AN$5:$AN$302=$A203),$BO$5:$BO$302)),IF(LEFT($AI203,2)="S|",IF($AG203="","",INDEX($BO$5:$BO$302,$AH203)),IF($AI203="HDR","Projected Close",""))))))</f>
        <v/>
      </c>
      <c r="N203" s="41" t="str">
        <f t="shared" si="109"/>
        <v/>
      </c>
      <c r="O203" s="41" t="str" cm="1">
        <f t="array" ref="O203">IF($AI203="HDR","Proj. vs LY",IF(OR($AI203="",M203=""),"",_xlfn.LET(_xlpm.ly,IF(LEFT($AI203,2)="C|",SUMPRODUCT($AP$5:$AP$302*($AO$5:$AO$302=$A203),$BK$5:$BK$302),IF($AI203="CT",SUMPRODUCT($AP$5:$AP$302,$BK$5:$BK$302),IF(LEFT($AI203,3)="AM|",SUMPRODUCT($AP$5:$AP$302*($AN$5:$AN$302=$A203),$BK$5:$BK$302),IF(LEFT($AI203,2)="S|",INDEX($BK$5:$BK$302,$AH203),0)))),IFERROR(M203/_xlpm.ly-1,""))))</f>
        <v/>
      </c>
      <c r="P203" s="40" t="str" cm="1">
        <f t="array" ref="P203">IF($AI203="","",IF(LEFT($AI203,2)="C|",IF($C203="","",SUMPRODUCT($AP$5:$AP$302*($AO$5:$AO$302=$A203),$AS$5:$AS$302)),IF($AI203="CT",P$13,IF(LEFT($AI203,3)="AM|",IF($C203="","",SUMPRODUCT($AP$5:$AP$302*($AN$5:$AN$302=$A203),$AS$5:$AS$302)),IF(LEFT($AI203,2)="S|",IF($AG203="","",INDEX($AS$5:$AS$302,$AH203)),IF($AI203="HDR","Trans TY",""))))))</f>
        <v/>
      </c>
      <c r="Q203" s="40" t="str" cm="1">
        <f t="array" ref="Q203">IF($AI203="","",IF(LEFT($AI203,2)="C|",IF($C203="","",SUMPRODUCT($AP$5:$AP$302*($AO$5:$AO$302=$A203),$AU$5:$AU$302)),IF($AI203="CT",Q$13,IF(LEFT($AI203,3)="AM|",IF($C203="","",SUMPRODUCT($AP$5:$AP$302*($AN$5:$AN$302=$A203),$AU$5:$AU$302)),IF(LEFT($AI203,2)="S|",IF($AG203="","",INDEX($AU$5:$AU$302,$AH203)),IF($AI203="HDR","Trans LY",""))))))</f>
        <v/>
      </c>
      <c r="R203" s="41" t="str">
        <f t="shared" si="118"/>
        <v/>
      </c>
      <c r="S203" s="41" t="str">
        <f t="shared" si="119"/>
        <v/>
      </c>
      <c r="T203" s="42" t="str">
        <f t="shared" si="120"/>
        <v/>
      </c>
      <c r="U203" s="42" t="str">
        <f t="shared" si="121"/>
        <v/>
      </c>
      <c r="V203" s="41" t="str">
        <f t="shared" si="122"/>
        <v/>
      </c>
      <c r="W203" s="40" t="str" cm="1">
        <f t="array" ref="W203">IF($AI203="","",IF(LEFT($AI203,2)="C|",_xlfn.LET(_xlpm.n,SUMPRODUCT($AP$5:$AP$302*($AO$5:$AO$302=$A203),$BB$5:$BB$302),IF(_xlpm.n=0,"",_xlpm.n)),IF($AI203="CT",W$13,IF(LEFT($AI203,3)="AM|",_xlfn.LET(_xlpm.n,SUMPRODUCT($AP$5:$AP$302*($AN$5:$AN$302=$A203),$BB$5:$BB$302),IF(_xlpm.n=0,"",_xlpm.n)),IF(LEFT($AI203,2)="S|",IF($AG203="","",_xlfn.LET(_xlpm.n,INDEX($BB$5:$BB$302,$AH203),IF(_xlpm.n=0,"",_xlpm.n))),IF($AI203="HDR","Footfall",""))))))</f>
        <v/>
      </c>
      <c r="X203" s="40" t="str" cm="1">
        <f t="array" ref="X203">IF($AI203="","",IF($AI203="HDR","Trans (FF stores)",IF(W203="","",IF(LEFT($AI203,2)="C|",SUMPRODUCT($AP$5:$AP$302*($AO$5:$AO$302=$A203),$BC$5:$BC$302),IF($AI203="CT",X$13,IF(LEFT($AI203,3)="AM|",SUMPRODUCT($AP$5:$AP$302*($AN$5:$AN$302=$A203),$BC$5:$BC$302),IF(LEFT($AI203,2)="S|",INDEX($BC$5:$BC$302,$AH203),"")))))))</f>
        <v/>
      </c>
      <c r="Y203" s="41" t="str">
        <f t="shared" si="110"/>
        <v/>
      </c>
      <c r="Z203" s="40" t="str" cm="1">
        <f t="array" ref="Z203">IF($AI203="","",IF(LEFT($AI203,2)="C|",IF($C203="","",SUMPRODUCT($AP$5:$AP$302*($AO$5:$AO$302=$A203),$CB$5:$CB$302)),IF($AI203="CT",Z$13,IF(LEFT($AI203,3)="AM|",IF($C203="","",SUMPRODUCT($AP$5:$AP$302*($AN$5:$AN$302=$A203),$CB$5:$CB$302)),IF(LEFT($AI203,2)="S|",IF($AG203="","",INDEX($CB$5:$CB$302,$AH203)),IF($AI203="HDR","Makeup Sales",""))))))</f>
        <v/>
      </c>
      <c r="AA203" s="41" t="str">
        <f t="shared" si="123"/>
        <v/>
      </c>
      <c r="AB203" s="40" t="str" cm="1">
        <f t="array" ref="AB203">IF($AI203="","",IF(LEFT($AI203,2)="C|",IF($C203="","",SUMPRODUCT($AP$5:$AP$302*($AO$5:$AO$302=$A203),$CK$5:$CK$302)),IF($AI203="CT",AB$13,IF(LEFT($AI203,3)="AM|",IF($C203="","",SUMPRODUCT($AP$5:$AP$302*($AN$5:$AN$302=$A203),$CK$5:$CK$302)),IF(LEFT($AI203,2)="S|",IF($AG203="","",INDEX($CK$5:$CK$302,$AH203)),IF($AI203="HDR","Makeup Target",""))))))</f>
        <v/>
      </c>
      <c r="AC203" s="41" t="str">
        <f t="shared" si="111"/>
        <v/>
      </c>
      <c r="AD203" s="40" t="str" cm="1">
        <f t="array" ref="AD203">IF($AI203="","",IF(LEFT($AI203,2)="C|",IF($C203="","",SUMPRODUCT($AP$5:$AP$302*($AO$5:$AO$302=$A203),$CI$5:$CI$302)),IF($AI203="CT",AD$13,IF(LEFT($AI203,3)="AM|",IF($C203="","",SUMPRODUCT($AP$5:$AP$302*($AN$5:$AN$302=$A203),$CI$5:$CI$302)),IF(LEFT($AI203,2)="S|",IF($AG203="","",INDEX($CI$5:$CI$302,$AH203)),IF($AI203="HDR","Cosmetic Sales",""))))))</f>
        <v/>
      </c>
      <c r="AE203" s="8" t="str" cm="1">
        <f t="array" ref="AE203">IF($AI203="","",IF(LEFT($AI203,2)="C|",IF($C203="","",SUMPRODUCT($AP$5:$AP$302*($AO$5:$AO$302=$A203)*$AQ$5:$AQ$302,$AR$5:$AR$302)),IF($AI203="CT",AE$13,IF(LEFT($AI203,3)="AM|",IF($C203="","",SUMPRODUCT($AP$5:$AP$302*($AN$5:$AN$302=$A203)*$AQ$5:$AQ$302,$AR$5:$AR$302)),IF(LEFT($AI203,2)="S|",IF($AG203="","",IF(INDEX($AQ$5:$AQ$302,$AH203)=1,D203,0)),IF($AI203="HDR","LFL Sales",""))))))</f>
        <v/>
      </c>
      <c r="AF203" s="8" t="str" cm="1">
        <f t="array" ref="AF203">IF($AI203="","",IF(LEFT($AI203,2)="C|",IF($C203="","",SUMPRODUCT($AP$5:$AP$302*($AO$5:$AO$302=$A203)*$AQ$5:$AQ$302,$AS$5:$AS$302)),IF($AI203="CT",AF$13,IF(LEFT($AI203,3)="AM|",IF($C203="","",SUMPRODUCT($AP$5:$AP$302*($AN$5:$AN$302=$A203)*$AQ$5:$AQ$302,$AS$5:$AS$302)),IF(LEFT($AI203,2)="S|",IF($AG203="","",IF(INDEX($AQ$5:$AQ$302,$AH203)=1,P203,0)),IF($AI203="HDR","LFL Trans",""))))))</f>
        <v/>
      </c>
      <c r="AG203" s="8" t="str" cm="1">
        <f t="array" ref="AG203">IF($AI203="","",IF(LEFT($AI203,2)="C|","",IF($AI203="CT","",IF(LEFT($AI203,3)="AM|","",IF(LEFT($AI203,2)="S|",IF($AH203="","",IF(INDEX($AP$5:$AP$302,$AH203)=1,1,"")),IF($AI203="HDR","Show",""))))))</f>
        <v/>
      </c>
      <c r="AH203" s="8" t="str">
        <f t="shared" si="124"/>
        <v/>
      </c>
      <c r="AI203" s="8"/>
      <c r="AN203" s="8" t="str" cm="1">
        <f t="array" ref="AN203">IF($AW203="","",_xlfn.LET(_xlpm.sa,IFERROR(TRIM(INDEX('Sales and count'!$D$4:$D$300,$BF203)&amp;""),""),_xlpm.ta,IFERROR(TRIM(INDEX('TY Sales Target'!$F$5:$F$300,$BG203)&amp;""),""),IF(AND(_xlpm.sa&lt;&gt;"",LEFT(_xlpm.sa,1)&lt;&gt;"#",_xlpm.sa&lt;&gt;"0"),_xlpm.sa,IF(AND(_xlpm.ta&lt;&gt;"",LEFT(_xlpm.ta,1)&lt;&gt;"#",_xlpm.ta&lt;&gt;"0"),_xlpm.ta,IF(ISNUMBER($BG203),"Unassigned","")))))</f>
        <v/>
      </c>
      <c r="AO203" s="8" t="str" cm="1">
        <f t="array" ref="AO203">IF($AW203="","",_xlfn.LET(_xlpm.sa,IFERROR(TRIM(INDEX('Sales and count'!$C$4:$C$300,$BF203)&amp;""),""),_xlpm.ta,IFERROR(TRIM(INDEX('TY Sales Target'!$D$5:$D$300,$BG203)&amp;""),""),IF(AND(_xlpm.sa&lt;&gt;"",LEFT(_xlpm.sa,1)&lt;&gt;"#",_xlpm.sa&lt;&gt;"0"),_xlpm.sa,IF(AND(_xlpm.ta&lt;&gt;"",LEFT(_xlpm.ta,1)&lt;&gt;"#",_xlpm.ta&lt;&gt;"0"),_xlpm.ta,""))))</f>
        <v/>
      </c>
      <c r="AP203" s="8">
        <f t="shared" si="126"/>
        <v>0</v>
      </c>
      <c r="AQ203" s="8">
        <f t="shared" si="127"/>
        <v>0</v>
      </c>
      <c r="AR203" s="8" cm="1">
        <f t="array" ref="AR203">IF($BF203="",0,_xlfn.LET(_xlpm.d,IFERROR(--'Sales and count'!$G$2:$CC$2,0),SUMPRODUCT(('Sales and count'!$G$3:$CC$3="Total")*(_xlpm.d&gt;=$U$4)*(_xlpm.d&lt;=$U$5),INDEX('Sales and count'!$G$4:$CC$300,$BF203,0))))</f>
        <v>0</v>
      </c>
      <c r="AS203" s="8" cm="1">
        <f t="array" ref="AS203">IF($BF203="",0,_xlfn.LET(_xlpm.d,IFERROR(--'Sales and count'!$F$2:$CB$2,0),SUMPRODUCT(('Sales and count'!$G$3:$CC$3="Transactions")*(_xlpm.d&gt;=$U$4)*(_xlpm.d&lt;=$U$5),INDEX('Sales and count'!$G$4:$CC$300,$BF203,0))))</f>
        <v>0</v>
      </c>
      <c r="AT203" s="8" cm="1">
        <f t="array" ref="AT203">IF($AW203="",0,SUMPRODUCT((TRIM('LY Sales '!$B$5:$B$200)=$AW203)*('LY Sales '!$C$2:$AG$2&gt;=EDATE($U$4,-12))*('LY Sales '!$C$2:$AG$2&lt;=EDATE($U$5,-12)),'LY Sales '!$C$5:$AG$200))</f>
        <v>0</v>
      </c>
      <c r="AU203" s="8" cm="1">
        <f t="array" ref="AU203">IF($AW203="",0,SUMPRODUCT((TRIM('LY Transaction'!$B$5:$B$200)=$AW203)*('LY Transaction'!$C$2:$AG$2&gt;=EDATE($U$4,-12))*('LY Transaction'!$C$2:$AG$2&lt;=EDATE($U$5,-12)),'LY Transaction'!$C$5:$AG$200))</f>
        <v>0</v>
      </c>
      <c r="AV203" s="8" cm="1">
        <f t="array" ref="AV203">IF(NOT(ISNUMBER($BG203)),0,SUMPRODUCT(('TY Sales Target'!$K$2:$AO$2&gt;=$U$4)*('TY Sales Target'!$K$2:$AO$2&lt;=$U$5),INDEX('TY Sales Target'!$K$5:$AO$300,$BG203,0)))</f>
        <v>0</v>
      </c>
      <c r="AW203" s="8" t="str" cm="1">
        <f t="array" ref="AW203">IFERROR(INDEX(_xlfn.ANCHORARRAY($BR$5),ROWS($AW$5:AW203)),"")</f>
        <v/>
      </c>
      <c r="BB203" cm="1">
        <f t="array" ref="BB203">IF($AW203="",0,SUMPRODUCT((TRIM(Footfall!$B$5:$B$301)=$AW203)*(Footfall!$C$1:$BZ$1&gt;=$U$4)*(Footfall!$C$2:$BZ$2&lt;=$U$5)*(Footfall!$C$1:$BZ$1&lt;&gt;""),Footfall!$C$5:$BZ$301))</f>
        <v>0</v>
      </c>
      <c r="BC203" cm="1">
        <f t="array" ref="BC203">IF(OR($BB203&lt;=0,$BD$1="",$BF203=""),0,_xlfn.LET(_xlpm.d,IFERROR(--'Sales and count'!$F$2:$CB$2,0),SUMPRODUCT(('Sales and count'!$G$3:$CC$3="Transactions")*(_xlpm.d&gt;=$BD$1)*(_xlpm.d&lt;=$BD$2),INDEX('Sales and count'!$G$4:$CC$300,$BF203,0))))</f>
        <v>0</v>
      </c>
      <c r="BF203" t="str" cm="1">
        <f t="array" ref="BF203">IF($AW203="","",IFERROR(MATCH($AW203,TRIM('Sales and count'!$A$4:$A$300&amp;""),0),""))</f>
        <v/>
      </c>
      <c r="BG203" t="str" cm="1">
        <f t="array" ref="BG203">IF($AW203="","",IFERROR(MATCH(IFERROR(_xlfn.XLOOKUP($AW203,$BT$5:$BT$22,$BU$5:$BU$22),$AW203),TRIM('TY Sales Target'!$B$5:$B$300&amp;""),0),""))</f>
        <v/>
      </c>
      <c r="BH203" t="str" cm="1">
        <f t="array" ref="BH203">IF(ISNUMBER($BG203),_xlfn.LET(_xlpm.p,TRIM(INDEX('TY Sales Target'!$I$5:$I$300,$BG203)&amp;""),IF(_xlpm.p="","Not set",_xlpm.p)),"Not set")</f>
        <v>Not set</v>
      </c>
      <c r="BI203" cm="1">
        <f t="array" ref="BI203">IF($BF203="",0,_xlfn.LET(_xlpm.d,IFERROR(--'Sales and count'!$G$2:$CC$2,0),SUMPRODUCT(('Sales and count'!$G$3:$CC$3="Total")*(_xlpm.d&gt;=$BZ$5)*(_xlpm.d&lt;=$BZ$6),INDEX('Sales and count'!$G$4:$CC$300,$BF203,0))))</f>
        <v>0</v>
      </c>
      <c r="BJ203" cm="1">
        <f t="array" ref="BJ203">IF($AW203="",0,SUMPRODUCT((TRIM('LY Sales '!$B$5:$B$200)=$AW203)*('LY Sales '!$C$2:$AG$2&gt;=EDATE($BZ$5,-12))*('LY Sales '!$C$2:$AG$2&lt;=EDATE($BZ$6,-12)),'LY Sales '!$C$5:$AG$200))</f>
        <v>0</v>
      </c>
      <c r="BK203" cm="1">
        <f t="array" ref="BK203">IF($AW203="",0,SUMPRODUCT((TRIM('LY Sales '!$B$5:$B$200)=$AW203)*('LY Sales '!$C$2:$AG$2&gt;=EDATE($BZ$5,-12))*('LY Sales '!$C$2:$AG$2&lt;=EDATE($BZ$7,-12)),'LY Sales '!$C$5:$AG$200))</f>
        <v>0</v>
      </c>
      <c r="BL203" cm="1">
        <f t="array" ref="BL203">IF($AW203="",0,SUMPRODUCT((TRIM('LY Sales '!$B$5:$B$200)=$AW203)*('LY Sales '!$C$2:$AG$2&gt;=EDATE($BZ$5,-12))*('LY Sales '!$C$2:$AG$2&lt;=EDATE($BZ$6,-12))*('LY Sales '!$C$5:$AG$200&gt;0)))</f>
        <v>0</v>
      </c>
      <c r="BM203" cm="1">
        <f t="array" ref="BM203">IF(NOT(ISNUMBER($BG203)),0,SUMPRODUCT(('TY Sales Target'!$K$2:$AO$2&gt;=$BZ$5)*('TY Sales Target'!$K$2:$AO$2&lt;=$BZ$6),INDEX('TY Sales Target'!$K$5:$AO$300,$BG203,0)))</f>
        <v>0</v>
      </c>
      <c r="BN203" cm="1">
        <f t="array" ref="BN203">IF(NOT(ISNUMBER($BG203)),0,SUMPRODUCT(('TY Sales Target'!$K$2:$AO$2&gt;=$BZ$5)*('TY Sales Target'!$K$2:$AO$2&lt;=$BZ$7),INDEX('TY Sales Target'!$K$5:$AO$300,$BG203,0)))</f>
        <v>0</v>
      </c>
      <c r="BO203" cm="1">
        <f t="array" ref="BO203">IF($AW203="",0,IFERROR(_xlfn.SWITCH($BP203,"LY trend",$BI203*$BK203/$BJ203,"Target curve",$BI203*$BN203/$BM203,"Run rate",$BI203/$BZ$8*$BZ$9,0),0))</f>
        <v>0</v>
      </c>
      <c r="BP203" t="str">
        <f t="shared" si="125"/>
        <v/>
      </c>
      <c r="CB203" cm="1">
        <f t="array" ref="CB203">IF($AW203="",0,_xlfn.LET(_xlpm.k,IFERROR(_xlfn.XLOOKUP($AW203,$CD$6:$CD$21,$CE$6:$CE$21),$AW203),SUMPRODUCT((TRIM('Makeup '!$A$2:$A$300&amp;"")=_xlpm.k)*1,IFERROR('Makeup '!$F$2:$F$300*1,0))))</f>
        <v>0</v>
      </c>
      <c r="CF203" t="str" cm="1">
        <f t="array" ref="CF203">IF($AW203="","",_xlfn.LET(_xlpm.c,IFERROR(TRIM(INDEX('Sales and count'!$B$4:$B$300,$BF203)&amp;""),""),IF(OR(_xlpm.c="",_xlpm.c="0",LEFT(_xlpm.c,1)="#"),"Not set",_xlpm.c)))</f>
        <v/>
      </c>
      <c r="CH203" cm="1">
        <f t="array" ref="CH203">IF($AW203="",0,_xlfn.LET(_xlpm.k,IFERROR(_xlfn.XLOOKUP($AW203,$CD$6:$CD$21,$CE$6:$CE$21),$AW203),--(SUMPRODUCT((TRIM('Makeup '!$A$2:$A$300&amp;"")=_xlpm.k)*ISNUMBER('Makeup '!$F$2:$F$300))&gt;0)))</f>
        <v>0</v>
      </c>
      <c r="CI203">
        <f t="shared" si="128"/>
        <v>0</v>
      </c>
      <c r="CJ203" cm="1">
        <f t="array" ref="CJ203">IF($AW203="",0,--(SUMPRODUCT(--(TRIM(Footfall!$B$5:$B$301)=$AW203))&gt;0))</f>
        <v>0</v>
      </c>
      <c r="CK203" s="8" cm="1">
        <f t="array" ref="CK203">IF($AW203="",0,_xlfn.LET(_xlpm.r,IFERROR(MATCH(IFERROR(_xlfn.XLOOKUP($AW203,$BT$5:$BT$22,$BU$5:$BU$22),$AW203),TRIM('TY Beauty Target'!$B$5:$B$300&amp;""),0),""),IF(ISNUMBER(_xlpm.r),SUMPRODUCT(('TY Beauty Target'!$L$2:$AP$2&gt;=$U$4)*('TY Beauty Target'!$L$2:$AP$2&lt;=$U$5),INDEX('TY Beauty Target'!$L$5:$AP$300,_xlpm.r,0)),0)))</f>
        <v>0</v>
      </c>
    </row>
    <row r="204" spans="1:89" ht="15" customHeight="1" x14ac:dyDescent="0.25">
      <c r="A204" s="38" t="str">
        <f t="shared" si="112"/>
        <v/>
      </c>
      <c r="B204" s="43" t="str" cm="1">
        <f t="array" ref="B204">IF($AI204="","",IF(LEFT($AI204,2)="C|",IF($C204="","",_xlfn.TEXTJOIN(", ",TRUE,_xlfn.UNIQUE(_xlfn._xlws.FILTER($AN$5:$AN$302,($AP$5:$AP$302=1)*($AO$5:$AO$302=$A204))))),IF($AI204="CT",B$13,IF(LEFT($AI204,3)="AM|",IF($C204="","",ROWS(_xlfn.UNIQUE(_xlfn._xlws.FILTER($AO$5:$AO$302,($AP$5:$AP$302=1)*($AN$5:$AN$302=$A204))))),IF(LEFT($AI204,2)="S|",IF($AG204="","",INDEX($AO$5:$AO$302,$AH204)),IF($AI204="HDR","City",""))))))</f>
        <v/>
      </c>
      <c r="C204" s="39" t="str" cm="1">
        <f t="array" ref="C204">IF($AI204="","",IF(LEFT($AI204,2)="C|",_xlfn.LET(_xlpm.n,SUMPRODUCT($AP$5:$AP$302*($AO$5:$AO$302=$A204)),IF(_xlpm.n=0,"",_xlpm.n)),IF($AI204="CT",C$13,IF(LEFT($AI204,3)="AM|",_xlfn.LET(_xlpm.n,SUMPRODUCT($AP$5:$AP$302*($AN$5:$AN$302=$A204)),IF(_xlpm.n=0,"",_xlpm.n)),IF(LEFT($AI204,2)="S|","",IF($AI204="HDR","# Stores",""))))))</f>
        <v/>
      </c>
      <c r="D204" s="40" t="str" cm="1">
        <f t="array" ref="D204">IF($AI204="","",IF(LEFT($AI204,2)="C|",IF($C204="","",SUMPRODUCT($AP$5:$AP$302*($AO$5:$AO$302=$A204),$AR$5:$AR$302)),IF($AI204="CT",D$13,IF(LEFT($AI204,3)="AM|",IF($C204="","",SUMPRODUCT($AP$5:$AP$302*($AN$5:$AN$302=$A204),$AR$5:$AR$302)),IF(LEFT($AI204,2)="S|",IF($AG204="","",INDEX($AR$5:$AR$302,$AH204)),IF($AI204="HDR","Sales TY",""))))))</f>
        <v/>
      </c>
      <c r="E204" s="40" t="str" cm="1">
        <f t="array" ref="E204">IF($AI204="","",IF(LEFT($AI204,2)="C|",IF($C204="","",SUMPRODUCT($AP$5:$AP$302*($AO$5:$AO$302=$A204),$AT$5:$AT$302)),IF($AI204="CT",E$13,IF(LEFT($AI204,3)="AM|",IF($C204="","",SUMPRODUCT($AP$5:$AP$302*($AN$5:$AN$302=$A204),$AT$5:$AT$302)),IF(LEFT($AI204,2)="S|",IF($AG204="","",INDEX($AT$5:$AT$302,$AH204)),IF($AI204="HDR","Sales LY",""))))))</f>
        <v/>
      </c>
      <c r="F204" s="41" t="str">
        <f t="shared" si="113"/>
        <v/>
      </c>
      <c r="G204" s="41" t="str">
        <f t="shared" si="114"/>
        <v/>
      </c>
      <c r="H204" s="40" t="str" cm="1">
        <f t="array" ref="H204">IF($AI204="","",IF(LEFT($AI204,2)="C|",IF($C204="","",SUMPRODUCT($AP$5:$AP$302*($AO$5:$AO$302=$A204),$AV$5:$AV$302)),IF($AI204="CT",H$13,IF(LEFT($AI204,3)="AM|",IF($C204="","",SUMPRODUCT($AP$5:$AP$302*($AN$5:$AN$302=$A204),$AV$5:$AV$302)),IF(LEFT($AI204,2)="S|",IF($AG204="","",INDEX($AV$5:$AV$302,$AH204)),IF($AI204="HDR","Target",""))))))</f>
        <v/>
      </c>
      <c r="I204" s="41" t="str">
        <f t="shared" si="115"/>
        <v/>
      </c>
      <c r="J204" s="40" t="str">
        <f t="shared" si="116"/>
        <v/>
      </c>
      <c r="K204" s="41" t="str">
        <f t="shared" si="117"/>
        <v/>
      </c>
      <c r="L204" s="40" t="str" cm="1">
        <f t="array" ref="L204">IF($AI204="","",IF(LEFT($AI204,2)="C|",IF($C204="","",SUMPRODUCT($AP$5:$AP$302*($AO$5:$AO$302=$A204),$BN$5:$BN$302)),IF($AI204="CT",L$13,IF(LEFT($AI204,3)="AM|",IF($C204="","",SUMPRODUCT($AP$5:$AP$302*($AN$5:$AN$302=$A204),$BN$5:$BN$302)),IF(LEFT($AI204,2)="S|",IF($AG204="","",INDEX($BN$5:$BN$302,$AH204)),IF($AI204="HDR","Month Target",""))))))</f>
        <v/>
      </c>
      <c r="M204" s="40" t="str" cm="1">
        <f t="array" ref="M204">IF($AI204="","",IF(LEFT($AI204,2)="C|",IF($C204="","",SUMPRODUCT($AP$5:$AP$302*($AO$5:$AO$302=$A204),$BO$5:$BO$302)),IF($AI204="CT",M$13,IF(LEFT($AI204,3)="AM|",IF($C204="","",SUMPRODUCT($AP$5:$AP$302*($AN$5:$AN$302=$A204),$BO$5:$BO$302)),IF(LEFT($AI204,2)="S|",IF($AG204="","",INDEX($BO$5:$BO$302,$AH204)),IF($AI204="HDR","Projected Close",""))))))</f>
        <v/>
      </c>
      <c r="N204" s="41" t="str">
        <f t="shared" si="109"/>
        <v/>
      </c>
      <c r="O204" s="41" t="str" cm="1">
        <f t="array" ref="O204">IF($AI204="HDR","Proj. vs LY",IF(OR($AI204="",M204=""),"",_xlfn.LET(_xlpm.ly,IF(LEFT($AI204,2)="C|",SUMPRODUCT($AP$5:$AP$302*($AO$5:$AO$302=$A204),$BK$5:$BK$302),IF($AI204="CT",SUMPRODUCT($AP$5:$AP$302,$BK$5:$BK$302),IF(LEFT($AI204,3)="AM|",SUMPRODUCT($AP$5:$AP$302*($AN$5:$AN$302=$A204),$BK$5:$BK$302),IF(LEFT($AI204,2)="S|",INDEX($BK$5:$BK$302,$AH204),0)))),IFERROR(M204/_xlpm.ly-1,""))))</f>
        <v/>
      </c>
      <c r="P204" s="40" t="str" cm="1">
        <f t="array" ref="P204">IF($AI204="","",IF(LEFT($AI204,2)="C|",IF($C204="","",SUMPRODUCT($AP$5:$AP$302*($AO$5:$AO$302=$A204),$AS$5:$AS$302)),IF($AI204="CT",P$13,IF(LEFT($AI204,3)="AM|",IF($C204="","",SUMPRODUCT($AP$5:$AP$302*($AN$5:$AN$302=$A204),$AS$5:$AS$302)),IF(LEFT($AI204,2)="S|",IF($AG204="","",INDEX($AS$5:$AS$302,$AH204)),IF($AI204="HDR","Trans TY",""))))))</f>
        <v/>
      </c>
      <c r="Q204" s="40" t="str" cm="1">
        <f t="array" ref="Q204">IF($AI204="","",IF(LEFT($AI204,2)="C|",IF($C204="","",SUMPRODUCT($AP$5:$AP$302*($AO$5:$AO$302=$A204),$AU$5:$AU$302)),IF($AI204="CT",Q$13,IF(LEFT($AI204,3)="AM|",IF($C204="","",SUMPRODUCT($AP$5:$AP$302*($AN$5:$AN$302=$A204),$AU$5:$AU$302)),IF(LEFT($AI204,2)="S|",IF($AG204="","",INDEX($AU$5:$AU$302,$AH204)),IF($AI204="HDR","Trans LY",""))))))</f>
        <v/>
      </c>
      <c r="R204" s="41" t="str">
        <f t="shared" si="118"/>
        <v/>
      </c>
      <c r="S204" s="41" t="str">
        <f t="shared" si="119"/>
        <v/>
      </c>
      <c r="T204" s="42" t="str">
        <f t="shared" si="120"/>
        <v/>
      </c>
      <c r="U204" s="42" t="str">
        <f t="shared" si="121"/>
        <v/>
      </c>
      <c r="V204" s="41" t="str">
        <f t="shared" si="122"/>
        <v/>
      </c>
      <c r="W204" s="40" t="str" cm="1">
        <f t="array" ref="W204">IF($AI204="","",IF(LEFT($AI204,2)="C|",_xlfn.LET(_xlpm.n,SUMPRODUCT($AP$5:$AP$302*($AO$5:$AO$302=$A204),$BB$5:$BB$302),IF(_xlpm.n=0,"",_xlpm.n)),IF($AI204="CT",W$13,IF(LEFT($AI204,3)="AM|",_xlfn.LET(_xlpm.n,SUMPRODUCT($AP$5:$AP$302*($AN$5:$AN$302=$A204),$BB$5:$BB$302),IF(_xlpm.n=0,"",_xlpm.n)),IF(LEFT($AI204,2)="S|",IF($AG204="","",_xlfn.LET(_xlpm.n,INDEX($BB$5:$BB$302,$AH204),IF(_xlpm.n=0,"",_xlpm.n))),IF($AI204="HDR","Footfall",""))))))</f>
        <v/>
      </c>
      <c r="X204" s="40" t="str" cm="1">
        <f t="array" ref="X204">IF($AI204="","",IF($AI204="HDR","Trans (FF stores)",IF(W204="","",IF(LEFT($AI204,2)="C|",SUMPRODUCT($AP$5:$AP$302*($AO$5:$AO$302=$A204),$BC$5:$BC$302),IF($AI204="CT",X$13,IF(LEFT($AI204,3)="AM|",SUMPRODUCT($AP$5:$AP$302*($AN$5:$AN$302=$A204),$BC$5:$BC$302),IF(LEFT($AI204,2)="S|",INDEX($BC$5:$BC$302,$AH204),"")))))))</f>
        <v/>
      </c>
      <c r="Y204" s="41" t="str">
        <f t="shared" si="110"/>
        <v/>
      </c>
      <c r="Z204" s="40" t="str" cm="1">
        <f t="array" ref="Z204">IF($AI204="","",IF(LEFT($AI204,2)="C|",IF($C204="","",SUMPRODUCT($AP$5:$AP$302*($AO$5:$AO$302=$A204),$CB$5:$CB$302)),IF($AI204="CT",Z$13,IF(LEFT($AI204,3)="AM|",IF($C204="","",SUMPRODUCT($AP$5:$AP$302*($AN$5:$AN$302=$A204),$CB$5:$CB$302)),IF(LEFT($AI204,2)="S|",IF($AG204="","",INDEX($CB$5:$CB$302,$AH204)),IF($AI204="HDR","Makeup Sales",""))))))</f>
        <v/>
      </c>
      <c r="AA204" s="41" t="str">
        <f t="shared" si="123"/>
        <v/>
      </c>
      <c r="AB204" s="40" t="str" cm="1">
        <f t="array" ref="AB204">IF($AI204="","",IF(LEFT($AI204,2)="C|",IF($C204="","",SUMPRODUCT($AP$5:$AP$302*($AO$5:$AO$302=$A204),$CK$5:$CK$302)),IF($AI204="CT",AB$13,IF(LEFT($AI204,3)="AM|",IF($C204="","",SUMPRODUCT($AP$5:$AP$302*($AN$5:$AN$302=$A204),$CK$5:$CK$302)),IF(LEFT($AI204,2)="S|",IF($AG204="","",INDEX($CK$5:$CK$302,$AH204)),IF($AI204="HDR","Makeup Target",""))))))</f>
        <v/>
      </c>
      <c r="AC204" s="41" t="str">
        <f t="shared" si="111"/>
        <v/>
      </c>
      <c r="AD204" s="40" t="str" cm="1">
        <f t="array" ref="AD204">IF($AI204="","",IF(LEFT($AI204,2)="C|",IF($C204="","",SUMPRODUCT($AP$5:$AP$302*($AO$5:$AO$302=$A204),$CI$5:$CI$302)),IF($AI204="CT",AD$13,IF(LEFT($AI204,3)="AM|",IF($C204="","",SUMPRODUCT($AP$5:$AP$302*($AN$5:$AN$302=$A204),$CI$5:$CI$302)),IF(LEFT($AI204,2)="S|",IF($AG204="","",INDEX($CI$5:$CI$302,$AH204)),IF($AI204="HDR","Cosmetic Sales",""))))))</f>
        <v/>
      </c>
      <c r="AE204" s="8" t="str" cm="1">
        <f t="array" ref="AE204">IF($AI204="","",IF(LEFT($AI204,2)="C|",IF($C204="","",SUMPRODUCT($AP$5:$AP$302*($AO$5:$AO$302=$A204)*$AQ$5:$AQ$302,$AR$5:$AR$302)),IF($AI204="CT",AE$13,IF(LEFT($AI204,3)="AM|",IF($C204="","",SUMPRODUCT($AP$5:$AP$302*($AN$5:$AN$302=$A204)*$AQ$5:$AQ$302,$AR$5:$AR$302)),IF(LEFT($AI204,2)="S|",IF($AG204="","",IF(INDEX($AQ$5:$AQ$302,$AH204)=1,D204,0)),IF($AI204="HDR","LFL Sales",""))))))</f>
        <v/>
      </c>
      <c r="AF204" s="8" t="str" cm="1">
        <f t="array" ref="AF204">IF($AI204="","",IF(LEFT($AI204,2)="C|",IF($C204="","",SUMPRODUCT($AP$5:$AP$302*($AO$5:$AO$302=$A204)*$AQ$5:$AQ$302,$AS$5:$AS$302)),IF($AI204="CT",AF$13,IF(LEFT($AI204,3)="AM|",IF($C204="","",SUMPRODUCT($AP$5:$AP$302*($AN$5:$AN$302=$A204)*$AQ$5:$AQ$302,$AS$5:$AS$302)),IF(LEFT($AI204,2)="S|",IF($AG204="","",IF(INDEX($AQ$5:$AQ$302,$AH204)=1,P204,0)),IF($AI204="HDR","LFL Trans",""))))))</f>
        <v/>
      </c>
      <c r="AG204" s="8" t="str" cm="1">
        <f t="array" ref="AG204">IF($AI204="","",IF(LEFT($AI204,2)="C|","",IF($AI204="CT","",IF(LEFT($AI204,3)="AM|","",IF(LEFT($AI204,2)="S|",IF($AH204="","",IF(INDEX($AP$5:$AP$302,$AH204)=1,1,"")),IF($AI204="HDR","Show",""))))))</f>
        <v/>
      </c>
      <c r="AH204" s="8" t="str">
        <f t="shared" si="124"/>
        <v/>
      </c>
      <c r="AI204" s="8"/>
      <c r="AN204" s="8" t="str" cm="1">
        <f t="array" ref="AN204">IF($AW204="","",_xlfn.LET(_xlpm.sa,IFERROR(TRIM(INDEX('Sales and count'!$D$4:$D$300,$BF204)&amp;""),""),_xlpm.ta,IFERROR(TRIM(INDEX('TY Sales Target'!$F$5:$F$300,$BG204)&amp;""),""),IF(AND(_xlpm.sa&lt;&gt;"",LEFT(_xlpm.sa,1)&lt;&gt;"#",_xlpm.sa&lt;&gt;"0"),_xlpm.sa,IF(AND(_xlpm.ta&lt;&gt;"",LEFT(_xlpm.ta,1)&lt;&gt;"#",_xlpm.ta&lt;&gt;"0"),_xlpm.ta,IF(ISNUMBER($BG204),"Unassigned","")))))</f>
        <v/>
      </c>
      <c r="AO204" s="8" t="str" cm="1">
        <f t="array" ref="AO204">IF($AW204="","",_xlfn.LET(_xlpm.sa,IFERROR(TRIM(INDEX('Sales and count'!$C$4:$C$300,$BF204)&amp;""),""),_xlpm.ta,IFERROR(TRIM(INDEX('TY Sales Target'!$D$5:$D$300,$BG204)&amp;""),""),IF(AND(_xlpm.sa&lt;&gt;"",LEFT(_xlpm.sa,1)&lt;&gt;"#",_xlpm.sa&lt;&gt;"0"),_xlpm.sa,IF(AND(_xlpm.ta&lt;&gt;"",LEFT(_xlpm.ta,1)&lt;&gt;"#",_xlpm.ta&lt;&gt;"0"),_xlpm.ta,""))))</f>
        <v/>
      </c>
      <c r="AP204" s="8">
        <f t="shared" si="126"/>
        <v>0</v>
      </c>
      <c r="AQ204" s="8">
        <f t="shared" si="127"/>
        <v>0</v>
      </c>
      <c r="AR204" s="8" cm="1">
        <f t="array" ref="AR204">IF($BF204="",0,_xlfn.LET(_xlpm.d,IFERROR(--'Sales and count'!$G$2:$CC$2,0),SUMPRODUCT(('Sales and count'!$G$3:$CC$3="Total")*(_xlpm.d&gt;=$U$4)*(_xlpm.d&lt;=$U$5),INDEX('Sales and count'!$G$4:$CC$300,$BF204,0))))</f>
        <v>0</v>
      </c>
      <c r="AS204" s="8" cm="1">
        <f t="array" ref="AS204">IF($BF204="",0,_xlfn.LET(_xlpm.d,IFERROR(--'Sales and count'!$F$2:$CB$2,0),SUMPRODUCT(('Sales and count'!$G$3:$CC$3="Transactions")*(_xlpm.d&gt;=$U$4)*(_xlpm.d&lt;=$U$5),INDEX('Sales and count'!$G$4:$CC$300,$BF204,0))))</f>
        <v>0</v>
      </c>
      <c r="AT204" s="8" cm="1">
        <f t="array" ref="AT204">IF($AW204="",0,SUMPRODUCT((TRIM('LY Sales '!$B$5:$B$200)=$AW204)*('LY Sales '!$C$2:$AG$2&gt;=EDATE($U$4,-12))*('LY Sales '!$C$2:$AG$2&lt;=EDATE($U$5,-12)),'LY Sales '!$C$5:$AG$200))</f>
        <v>0</v>
      </c>
      <c r="AU204" s="8" cm="1">
        <f t="array" ref="AU204">IF($AW204="",0,SUMPRODUCT((TRIM('LY Transaction'!$B$5:$B$200)=$AW204)*('LY Transaction'!$C$2:$AG$2&gt;=EDATE($U$4,-12))*('LY Transaction'!$C$2:$AG$2&lt;=EDATE($U$5,-12)),'LY Transaction'!$C$5:$AG$200))</f>
        <v>0</v>
      </c>
      <c r="AV204" s="8" cm="1">
        <f t="array" ref="AV204">IF(NOT(ISNUMBER($BG204)),0,SUMPRODUCT(('TY Sales Target'!$K$2:$AO$2&gt;=$U$4)*('TY Sales Target'!$K$2:$AO$2&lt;=$U$5),INDEX('TY Sales Target'!$K$5:$AO$300,$BG204,0)))</f>
        <v>0</v>
      </c>
      <c r="AW204" s="8" t="str" cm="1">
        <f t="array" ref="AW204">IFERROR(INDEX(_xlfn.ANCHORARRAY($BR$5),ROWS($AW$5:AW204)),"")</f>
        <v/>
      </c>
      <c r="BB204" cm="1">
        <f t="array" ref="BB204">IF($AW204="",0,SUMPRODUCT((TRIM(Footfall!$B$5:$B$301)=$AW204)*(Footfall!$C$1:$BZ$1&gt;=$U$4)*(Footfall!$C$2:$BZ$2&lt;=$U$5)*(Footfall!$C$1:$BZ$1&lt;&gt;""),Footfall!$C$5:$BZ$301))</f>
        <v>0</v>
      </c>
      <c r="BC204" cm="1">
        <f t="array" ref="BC204">IF(OR($BB204&lt;=0,$BD$1="",$BF204=""),0,_xlfn.LET(_xlpm.d,IFERROR(--'Sales and count'!$F$2:$CB$2,0),SUMPRODUCT(('Sales and count'!$G$3:$CC$3="Transactions")*(_xlpm.d&gt;=$BD$1)*(_xlpm.d&lt;=$BD$2),INDEX('Sales and count'!$G$4:$CC$300,$BF204,0))))</f>
        <v>0</v>
      </c>
      <c r="BF204" t="str" cm="1">
        <f t="array" ref="BF204">IF($AW204="","",IFERROR(MATCH($AW204,TRIM('Sales and count'!$A$4:$A$300&amp;""),0),""))</f>
        <v/>
      </c>
      <c r="BG204" t="str" cm="1">
        <f t="array" ref="BG204">IF($AW204="","",IFERROR(MATCH(IFERROR(_xlfn.XLOOKUP($AW204,$BT$5:$BT$22,$BU$5:$BU$22),$AW204),TRIM('TY Sales Target'!$B$5:$B$300&amp;""),0),""))</f>
        <v/>
      </c>
      <c r="BH204" t="str" cm="1">
        <f t="array" ref="BH204">IF(ISNUMBER($BG204),_xlfn.LET(_xlpm.p,TRIM(INDEX('TY Sales Target'!$I$5:$I$300,$BG204)&amp;""),IF(_xlpm.p="","Not set",_xlpm.p)),"Not set")</f>
        <v>Not set</v>
      </c>
      <c r="BI204" cm="1">
        <f t="array" ref="BI204">IF($BF204="",0,_xlfn.LET(_xlpm.d,IFERROR(--'Sales and count'!$G$2:$CC$2,0),SUMPRODUCT(('Sales and count'!$G$3:$CC$3="Total")*(_xlpm.d&gt;=$BZ$5)*(_xlpm.d&lt;=$BZ$6),INDEX('Sales and count'!$G$4:$CC$300,$BF204,0))))</f>
        <v>0</v>
      </c>
      <c r="BJ204" cm="1">
        <f t="array" ref="BJ204">IF($AW204="",0,SUMPRODUCT((TRIM('LY Sales '!$B$5:$B$200)=$AW204)*('LY Sales '!$C$2:$AG$2&gt;=EDATE($BZ$5,-12))*('LY Sales '!$C$2:$AG$2&lt;=EDATE($BZ$6,-12)),'LY Sales '!$C$5:$AG$200))</f>
        <v>0</v>
      </c>
      <c r="BK204" cm="1">
        <f t="array" ref="BK204">IF($AW204="",0,SUMPRODUCT((TRIM('LY Sales '!$B$5:$B$200)=$AW204)*('LY Sales '!$C$2:$AG$2&gt;=EDATE($BZ$5,-12))*('LY Sales '!$C$2:$AG$2&lt;=EDATE($BZ$7,-12)),'LY Sales '!$C$5:$AG$200))</f>
        <v>0</v>
      </c>
      <c r="BL204" cm="1">
        <f t="array" ref="BL204">IF($AW204="",0,SUMPRODUCT((TRIM('LY Sales '!$B$5:$B$200)=$AW204)*('LY Sales '!$C$2:$AG$2&gt;=EDATE($BZ$5,-12))*('LY Sales '!$C$2:$AG$2&lt;=EDATE($BZ$6,-12))*('LY Sales '!$C$5:$AG$200&gt;0)))</f>
        <v>0</v>
      </c>
      <c r="BM204" cm="1">
        <f t="array" ref="BM204">IF(NOT(ISNUMBER($BG204)),0,SUMPRODUCT(('TY Sales Target'!$K$2:$AO$2&gt;=$BZ$5)*('TY Sales Target'!$K$2:$AO$2&lt;=$BZ$6),INDEX('TY Sales Target'!$K$5:$AO$300,$BG204,0)))</f>
        <v>0</v>
      </c>
      <c r="BN204" cm="1">
        <f t="array" ref="BN204">IF(NOT(ISNUMBER($BG204)),0,SUMPRODUCT(('TY Sales Target'!$K$2:$AO$2&gt;=$BZ$5)*('TY Sales Target'!$K$2:$AO$2&lt;=$BZ$7),INDEX('TY Sales Target'!$K$5:$AO$300,$BG204,0)))</f>
        <v>0</v>
      </c>
      <c r="BO204" cm="1">
        <f t="array" ref="BO204">IF($AW204="",0,IFERROR(_xlfn.SWITCH($BP204,"LY trend",$BI204*$BK204/$BJ204,"Target curve",$BI204*$BN204/$BM204,"Run rate",$BI204/$BZ$8*$BZ$9,0),0))</f>
        <v>0</v>
      </c>
      <c r="BP204" t="str">
        <f t="shared" si="125"/>
        <v/>
      </c>
      <c r="CB204" cm="1">
        <f t="array" ref="CB204">IF($AW204="",0,_xlfn.LET(_xlpm.k,IFERROR(_xlfn.XLOOKUP($AW204,$CD$6:$CD$21,$CE$6:$CE$21),$AW204),SUMPRODUCT((TRIM('Makeup '!$A$2:$A$300&amp;"")=_xlpm.k)*1,IFERROR('Makeup '!$F$2:$F$300*1,0))))</f>
        <v>0</v>
      </c>
      <c r="CF204" t="str" cm="1">
        <f t="array" ref="CF204">IF($AW204="","",_xlfn.LET(_xlpm.c,IFERROR(TRIM(INDEX('Sales and count'!$B$4:$B$300,$BF204)&amp;""),""),IF(OR(_xlpm.c="",_xlpm.c="0",LEFT(_xlpm.c,1)="#"),"Not set",_xlpm.c)))</f>
        <v/>
      </c>
      <c r="CH204" cm="1">
        <f t="array" ref="CH204">IF($AW204="",0,_xlfn.LET(_xlpm.k,IFERROR(_xlfn.XLOOKUP($AW204,$CD$6:$CD$21,$CE$6:$CE$21),$AW204),--(SUMPRODUCT((TRIM('Makeup '!$A$2:$A$300&amp;"")=_xlpm.k)*ISNUMBER('Makeup '!$F$2:$F$300))&gt;0)))</f>
        <v>0</v>
      </c>
      <c r="CI204">
        <f t="shared" si="128"/>
        <v>0</v>
      </c>
      <c r="CJ204" cm="1">
        <f t="array" ref="CJ204">IF($AW204="",0,--(SUMPRODUCT(--(TRIM(Footfall!$B$5:$B$301)=$AW204))&gt;0))</f>
        <v>0</v>
      </c>
      <c r="CK204" s="8" cm="1">
        <f t="array" ref="CK204">IF($AW204="",0,_xlfn.LET(_xlpm.r,IFERROR(MATCH(IFERROR(_xlfn.XLOOKUP($AW204,$BT$5:$BT$22,$BU$5:$BU$22),$AW204),TRIM('TY Beauty Target'!$B$5:$B$300&amp;""),0),""),IF(ISNUMBER(_xlpm.r),SUMPRODUCT(('TY Beauty Target'!$L$2:$AP$2&gt;=$U$4)*('TY Beauty Target'!$L$2:$AP$2&lt;=$U$5),INDEX('TY Beauty Target'!$L$5:$AP$300,_xlpm.r,0)),0)))</f>
        <v>0</v>
      </c>
    </row>
    <row r="205" spans="1:89" ht="15" customHeight="1" x14ac:dyDescent="0.25">
      <c r="AB205" s="40" t="str" cm="1">
        <f t="array" ref="AB205">IF($AI205="","",IF(LEFT($AI205,2)="C|",IF($C205="","",SUMPRODUCT($AP$5:$AP$302*($AO$5:$AO$302=$A205),$CK$5:$CK$302)),IF($AI205="CT",AB$13,IF(LEFT($AI205,3)="AM|",IF($C205="","",SUMPRODUCT($AP$5:$AP$302*($AN$5:$AN$302=$A205),$CK$5:$CK$302)),IF(LEFT($AI205,2)="S|",IF($AG205="","",INDEX($CK$5:$CK$302,$AH205)),IF($AI205="HDR","Makeup Target",""))))))</f>
        <v/>
      </c>
      <c r="AC205" s="41" t="str">
        <f t="shared" si="111"/>
        <v/>
      </c>
      <c r="AN205" s="8" t="str" cm="1">
        <f t="array" ref="AN205">IF($AW205="","",_xlfn.LET(_xlpm.sa,IFERROR(TRIM(INDEX('Sales and count'!$D$4:$D$300,$BF205)&amp;""),""),_xlpm.ta,IFERROR(TRIM(INDEX('TY Sales Target'!$F$5:$F$300,$BG205)&amp;""),""),IF(AND(_xlpm.sa&lt;&gt;"",LEFT(_xlpm.sa,1)&lt;&gt;"#",_xlpm.sa&lt;&gt;"0"),_xlpm.sa,IF(AND(_xlpm.ta&lt;&gt;"",LEFT(_xlpm.ta,1)&lt;&gt;"#",_xlpm.ta&lt;&gt;"0"),_xlpm.ta,IF(ISNUMBER($BG205),"Unassigned","")))))</f>
        <v/>
      </c>
      <c r="AO205" s="8" t="str" cm="1">
        <f t="array" ref="AO205">IF($AW205="","",_xlfn.LET(_xlpm.sa,IFERROR(TRIM(INDEX('Sales and count'!$C$4:$C$300,$BF205)&amp;""),""),_xlpm.ta,IFERROR(TRIM(INDEX('TY Sales Target'!$D$5:$D$300,$BG205)&amp;""),""),IF(AND(_xlpm.sa&lt;&gt;"",LEFT(_xlpm.sa,1)&lt;&gt;"#",_xlpm.sa&lt;&gt;"0"),_xlpm.sa,IF(AND(_xlpm.ta&lt;&gt;"",LEFT(_xlpm.ta,1)&lt;&gt;"#",_xlpm.ta&lt;&gt;"0"),_xlpm.ta,""))))</f>
        <v/>
      </c>
      <c r="AP205" s="8">
        <f t="shared" si="126"/>
        <v>0</v>
      </c>
      <c r="AQ205" s="8">
        <f t="shared" si="127"/>
        <v>0</v>
      </c>
      <c r="AR205" s="8" cm="1">
        <f t="array" ref="AR205">IF($BF205="",0,_xlfn.LET(_xlpm.d,IFERROR(--'Sales and count'!$G$2:$CC$2,0),SUMPRODUCT(('Sales and count'!$G$3:$CC$3="Total")*(_xlpm.d&gt;=$U$4)*(_xlpm.d&lt;=$U$5),INDEX('Sales and count'!$G$4:$CC$300,$BF205,0))))</f>
        <v>0</v>
      </c>
      <c r="AS205" s="8" cm="1">
        <f t="array" ref="AS205">IF($BF205="",0,_xlfn.LET(_xlpm.d,IFERROR(--'Sales and count'!$F$2:$CB$2,0),SUMPRODUCT(('Sales and count'!$G$3:$CC$3="Transactions")*(_xlpm.d&gt;=$U$4)*(_xlpm.d&lt;=$U$5),INDEX('Sales and count'!$G$4:$CC$300,$BF205,0))))</f>
        <v>0</v>
      </c>
      <c r="AT205" s="8" cm="1">
        <f t="array" ref="AT205">IF($AW205="",0,SUMPRODUCT((TRIM('LY Sales '!$B$5:$B$200)=$AW205)*('LY Sales '!$C$2:$AG$2&gt;=EDATE($U$4,-12))*('LY Sales '!$C$2:$AG$2&lt;=EDATE($U$5,-12)),'LY Sales '!$C$5:$AG$200))</f>
        <v>0</v>
      </c>
      <c r="AU205" s="8" cm="1">
        <f t="array" ref="AU205">IF($AW205="",0,SUMPRODUCT((TRIM('LY Transaction'!$B$5:$B$200)=$AW205)*('LY Transaction'!$C$2:$AG$2&gt;=EDATE($U$4,-12))*('LY Transaction'!$C$2:$AG$2&lt;=EDATE($U$5,-12)),'LY Transaction'!$C$5:$AG$200))</f>
        <v>0</v>
      </c>
      <c r="AV205" s="8" cm="1">
        <f t="array" ref="AV205">IF(NOT(ISNUMBER($BG205)),0,SUMPRODUCT(('TY Sales Target'!$K$2:$AO$2&gt;=$U$4)*('TY Sales Target'!$K$2:$AO$2&lt;=$U$5),INDEX('TY Sales Target'!$K$5:$AO$300,$BG205,0)))</f>
        <v>0</v>
      </c>
      <c r="AW205" s="8" t="str" cm="1">
        <f t="array" ref="AW205">IFERROR(INDEX(_xlfn.ANCHORARRAY($BR$5),ROWS($AW$5:AW205)),"")</f>
        <v/>
      </c>
      <c r="BB205" cm="1">
        <f t="array" ref="BB205">IF($AW205="",0,SUMPRODUCT((TRIM(Footfall!$B$5:$B$301)=$AW205)*(Footfall!$C$1:$BZ$1&gt;=$U$4)*(Footfall!$C$2:$BZ$2&lt;=$U$5)*(Footfall!$C$1:$BZ$1&lt;&gt;""),Footfall!$C$5:$BZ$301))</f>
        <v>0</v>
      </c>
      <c r="BC205" cm="1">
        <f t="array" ref="BC205">IF(OR($BB205&lt;=0,$BD$1="",$BF205=""),0,_xlfn.LET(_xlpm.d,IFERROR(--'Sales and count'!$F$2:$CB$2,0),SUMPRODUCT(('Sales and count'!$G$3:$CC$3="Transactions")*(_xlpm.d&gt;=$BD$1)*(_xlpm.d&lt;=$BD$2),INDEX('Sales and count'!$G$4:$CC$300,$BF205,0))))</f>
        <v>0</v>
      </c>
      <c r="BF205" t="str" cm="1">
        <f t="array" ref="BF205">IF($AW205="","",IFERROR(MATCH($AW205,TRIM('Sales and count'!$A$4:$A$300&amp;""),0),""))</f>
        <v/>
      </c>
      <c r="BG205" t="str" cm="1">
        <f t="array" ref="BG205">IF($AW205="","",IFERROR(MATCH(IFERROR(_xlfn.XLOOKUP($AW205,$BT$5:$BT$22,$BU$5:$BU$22),$AW205),TRIM('TY Sales Target'!$B$5:$B$300&amp;""),0),""))</f>
        <v/>
      </c>
      <c r="BH205" t="str" cm="1">
        <f t="array" ref="BH205">IF(ISNUMBER($BG205),_xlfn.LET(_xlpm.p,TRIM(INDEX('TY Sales Target'!$I$5:$I$300,$BG205)&amp;""),IF(_xlpm.p="","Not set",_xlpm.p)),"Not set")</f>
        <v>Not set</v>
      </c>
      <c r="BI205" cm="1">
        <f t="array" ref="BI205">IF($BF205="",0,_xlfn.LET(_xlpm.d,IFERROR(--'Sales and count'!$G$2:$CC$2,0),SUMPRODUCT(('Sales and count'!$G$3:$CC$3="Total")*(_xlpm.d&gt;=$BZ$5)*(_xlpm.d&lt;=$BZ$6),INDEX('Sales and count'!$G$4:$CC$300,$BF205,0))))</f>
        <v>0</v>
      </c>
      <c r="BJ205" cm="1">
        <f t="array" ref="BJ205">IF($AW205="",0,SUMPRODUCT((TRIM('LY Sales '!$B$5:$B$200)=$AW205)*('LY Sales '!$C$2:$AG$2&gt;=EDATE($BZ$5,-12))*('LY Sales '!$C$2:$AG$2&lt;=EDATE($BZ$6,-12)),'LY Sales '!$C$5:$AG$200))</f>
        <v>0</v>
      </c>
      <c r="BK205" cm="1">
        <f t="array" ref="BK205">IF($AW205="",0,SUMPRODUCT((TRIM('LY Sales '!$B$5:$B$200)=$AW205)*('LY Sales '!$C$2:$AG$2&gt;=EDATE($BZ$5,-12))*('LY Sales '!$C$2:$AG$2&lt;=EDATE($BZ$7,-12)),'LY Sales '!$C$5:$AG$200))</f>
        <v>0</v>
      </c>
      <c r="BL205" cm="1">
        <f t="array" ref="BL205">IF($AW205="",0,SUMPRODUCT((TRIM('LY Sales '!$B$5:$B$200)=$AW205)*('LY Sales '!$C$2:$AG$2&gt;=EDATE($BZ$5,-12))*('LY Sales '!$C$2:$AG$2&lt;=EDATE($BZ$6,-12))*('LY Sales '!$C$5:$AG$200&gt;0)))</f>
        <v>0</v>
      </c>
      <c r="BM205" cm="1">
        <f t="array" ref="BM205">IF(NOT(ISNUMBER($BG205)),0,SUMPRODUCT(('TY Sales Target'!$K$2:$AO$2&gt;=$BZ$5)*('TY Sales Target'!$K$2:$AO$2&lt;=$BZ$6),INDEX('TY Sales Target'!$K$5:$AO$300,$BG205,0)))</f>
        <v>0</v>
      </c>
      <c r="BN205" cm="1">
        <f t="array" ref="BN205">IF(NOT(ISNUMBER($BG205)),0,SUMPRODUCT(('TY Sales Target'!$K$2:$AO$2&gt;=$BZ$5)*('TY Sales Target'!$K$2:$AO$2&lt;=$BZ$7),INDEX('TY Sales Target'!$K$5:$AO$300,$BG205,0)))</f>
        <v>0</v>
      </c>
      <c r="BO205" cm="1">
        <f t="array" ref="BO205">IF($AW205="",0,IFERROR(_xlfn.SWITCH($BP205,"LY trend",$BI205*$BK205/$BJ205,"Target curve",$BI205*$BN205/$BM205,"Run rate",$BI205/$BZ$8*$BZ$9,0),0))</f>
        <v>0</v>
      </c>
      <c r="BP205" t="str">
        <f t="shared" si="125"/>
        <v/>
      </c>
      <c r="CB205" cm="1">
        <f t="array" ref="CB205">IF($AW205="",0,_xlfn.LET(_xlpm.k,IFERROR(_xlfn.XLOOKUP($AW205,$CD$6:$CD$21,$CE$6:$CE$21),$AW205),SUMPRODUCT((TRIM('Makeup '!$A$2:$A$300&amp;"")=_xlpm.k)*1,IFERROR('Makeup '!$F$2:$F$300*1,0))))</f>
        <v>0</v>
      </c>
      <c r="CF205" t="str" cm="1">
        <f t="array" ref="CF205">IF($AW205="","",_xlfn.LET(_xlpm.c,IFERROR(TRIM(INDEX('Sales and count'!$B$4:$B$300,$BF205)&amp;""),""),IF(OR(_xlpm.c="",_xlpm.c="0",LEFT(_xlpm.c,1)="#"),"Not set",_xlpm.c)))</f>
        <v/>
      </c>
      <c r="CH205" cm="1">
        <f t="array" ref="CH205">IF($AW205="",0,_xlfn.LET(_xlpm.k,IFERROR(_xlfn.XLOOKUP($AW205,$CD$6:$CD$21,$CE$6:$CE$21),$AW205),--(SUMPRODUCT((TRIM('Makeup '!$A$2:$A$300&amp;"")=_xlpm.k)*ISNUMBER('Makeup '!$F$2:$F$300))&gt;0)))</f>
        <v>0</v>
      </c>
      <c r="CI205">
        <f t="shared" si="128"/>
        <v>0</v>
      </c>
      <c r="CJ205" cm="1">
        <f t="array" ref="CJ205">IF($AW205="",0,--(SUMPRODUCT(--(TRIM(Footfall!$B$5:$B$301)=$AW205))&gt;0))</f>
        <v>0</v>
      </c>
      <c r="CK205" s="8" cm="1">
        <f t="array" ref="CK205">IF($AW205="",0,_xlfn.LET(_xlpm.r,IFERROR(MATCH(IFERROR(_xlfn.XLOOKUP($AW205,$BT$5:$BT$22,$BU$5:$BU$22),$AW205),TRIM('TY Beauty Target'!$B$5:$B$300&amp;""),0),""),IF(ISNUMBER(_xlpm.r),SUMPRODUCT(('TY Beauty Target'!$L$2:$AP$2&gt;=$U$4)*('TY Beauty Target'!$L$2:$AP$2&lt;=$U$5),INDEX('TY Beauty Target'!$L$5:$AP$300,_xlpm.r,0)),0)))</f>
        <v>0</v>
      </c>
    </row>
    <row r="206" spans="1:89" ht="15" customHeight="1" x14ac:dyDescent="0.25">
      <c r="AB206" s="40" t="str" cm="1">
        <f t="array" ref="AB206">IF($AI206="","",IF(LEFT($AI206,2)="C|",IF($C206="","",SUMPRODUCT($AP$5:$AP$302*($AO$5:$AO$302=$A206),$CK$5:$CK$302)),IF($AI206="CT",AB$13,IF(LEFT($AI206,3)="AM|",IF($C206="","",SUMPRODUCT($AP$5:$AP$302*($AN$5:$AN$302=$A206),$CK$5:$CK$302)),IF(LEFT($AI206,2)="S|",IF($AG206="","",INDEX($CK$5:$CK$302,$AH206)),IF($AI206="HDR","Makeup Target",""))))))</f>
        <v/>
      </c>
      <c r="AC206" s="41" t="str">
        <f t="shared" si="111"/>
        <v/>
      </c>
      <c r="AN206" s="8" t="str" cm="1">
        <f t="array" ref="AN206">IF($AW206="","",_xlfn.LET(_xlpm.sa,IFERROR(TRIM(INDEX('Sales and count'!$D$4:$D$300,$BF206)&amp;""),""),_xlpm.ta,IFERROR(TRIM(INDEX('TY Sales Target'!$F$5:$F$300,$BG206)&amp;""),""),IF(AND(_xlpm.sa&lt;&gt;"",LEFT(_xlpm.sa,1)&lt;&gt;"#",_xlpm.sa&lt;&gt;"0"),_xlpm.sa,IF(AND(_xlpm.ta&lt;&gt;"",LEFT(_xlpm.ta,1)&lt;&gt;"#",_xlpm.ta&lt;&gt;"0"),_xlpm.ta,IF(ISNUMBER($BG206),"Unassigned","")))))</f>
        <v/>
      </c>
      <c r="AO206" s="8" t="str" cm="1">
        <f t="array" ref="AO206">IF($AW206="","",_xlfn.LET(_xlpm.sa,IFERROR(TRIM(INDEX('Sales and count'!$C$4:$C$300,$BF206)&amp;""),""),_xlpm.ta,IFERROR(TRIM(INDEX('TY Sales Target'!$D$5:$D$300,$BG206)&amp;""),""),IF(AND(_xlpm.sa&lt;&gt;"",LEFT(_xlpm.sa,1)&lt;&gt;"#",_xlpm.sa&lt;&gt;"0"),_xlpm.sa,IF(AND(_xlpm.ta&lt;&gt;"",LEFT(_xlpm.ta,1)&lt;&gt;"#",_xlpm.ta&lt;&gt;"0"),_xlpm.ta,""))))</f>
        <v/>
      </c>
      <c r="AP206" s="8">
        <f t="shared" si="126"/>
        <v>0</v>
      </c>
      <c r="AQ206" s="8">
        <f t="shared" si="127"/>
        <v>0</v>
      </c>
      <c r="AR206" s="8" cm="1">
        <f t="array" ref="AR206">IF($BF206="",0,_xlfn.LET(_xlpm.d,IFERROR(--'Sales and count'!$G$2:$CC$2,0),SUMPRODUCT(('Sales and count'!$G$3:$CC$3="Total")*(_xlpm.d&gt;=$U$4)*(_xlpm.d&lt;=$U$5),INDEX('Sales and count'!$G$4:$CC$300,$BF206,0))))</f>
        <v>0</v>
      </c>
      <c r="AS206" s="8" cm="1">
        <f t="array" ref="AS206">IF($BF206="",0,_xlfn.LET(_xlpm.d,IFERROR(--'Sales and count'!$F$2:$CB$2,0),SUMPRODUCT(('Sales and count'!$G$3:$CC$3="Transactions")*(_xlpm.d&gt;=$U$4)*(_xlpm.d&lt;=$U$5),INDEX('Sales and count'!$G$4:$CC$300,$BF206,0))))</f>
        <v>0</v>
      </c>
      <c r="AT206" s="8" cm="1">
        <f t="array" ref="AT206">IF($AW206="",0,SUMPRODUCT((TRIM('LY Sales '!$B$5:$B$200)=$AW206)*('LY Sales '!$C$2:$AG$2&gt;=EDATE($U$4,-12))*('LY Sales '!$C$2:$AG$2&lt;=EDATE($U$5,-12)),'LY Sales '!$C$5:$AG$200))</f>
        <v>0</v>
      </c>
      <c r="AU206" s="8" cm="1">
        <f t="array" ref="AU206">IF($AW206="",0,SUMPRODUCT((TRIM('LY Transaction'!$B$5:$B$200)=$AW206)*('LY Transaction'!$C$2:$AG$2&gt;=EDATE($U$4,-12))*('LY Transaction'!$C$2:$AG$2&lt;=EDATE($U$5,-12)),'LY Transaction'!$C$5:$AG$200))</f>
        <v>0</v>
      </c>
      <c r="AV206" s="8" cm="1">
        <f t="array" ref="AV206">IF(NOT(ISNUMBER($BG206)),0,SUMPRODUCT(('TY Sales Target'!$K$2:$AO$2&gt;=$U$4)*('TY Sales Target'!$K$2:$AO$2&lt;=$U$5),INDEX('TY Sales Target'!$K$5:$AO$300,$BG206,0)))</f>
        <v>0</v>
      </c>
      <c r="AW206" s="8" t="str" cm="1">
        <f t="array" ref="AW206">IFERROR(INDEX(_xlfn.ANCHORARRAY($BR$5),ROWS($AW$5:AW206)),"")</f>
        <v/>
      </c>
      <c r="BB206" cm="1">
        <f t="array" ref="BB206">IF($AW206="",0,SUMPRODUCT((TRIM(Footfall!$B$5:$B$301)=$AW206)*(Footfall!$C$1:$BZ$1&gt;=$U$4)*(Footfall!$C$2:$BZ$2&lt;=$U$5)*(Footfall!$C$1:$BZ$1&lt;&gt;""),Footfall!$C$5:$BZ$301))</f>
        <v>0</v>
      </c>
      <c r="BC206" cm="1">
        <f t="array" ref="BC206">IF(OR($BB206&lt;=0,$BD$1="",$BF206=""),0,_xlfn.LET(_xlpm.d,IFERROR(--'Sales and count'!$F$2:$CB$2,0),SUMPRODUCT(('Sales and count'!$G$3:$CC$3="Transactions")*(_xlpm.d&gt;=$BD$1)*(_xlpm.d&lt;=$BD$2),INDEX('Sales and count'!$G$4:$CC$300,$BF206,0))))</f>
        <v>0</v>
      </c>
      <c r="BF206" t="str" cm="1">
        <f t="array" ref="BF206">IF($AW206="","",IFERROR(MATCH($AW206,TRIM('Sales and count'!$A$4:$A$300&amp;""),0),""))</f>
        <v/>
      </c>
      <c r="BG206" t="str" cm="1">
        <f t="array" ref="BG206">IF($AW206="","",IFERROR(MATCH(IFERROR(_xlfn.XLOOKUP($AW206,$BT$5:$BT$22,$BU$5:$BU$22),$AW206),TRIM('TY Sales Target'!$B$5:$B$300&amp;""),0),""))</f>
        <v/>
      </c>
      <c r="BH206" t="str" cm="1">
        <f t="array" ref="BH206">IF(ISNUMBER($BG206),_xlfn.LET(_xlpm.p,TRIM(INDEX('TY Sales Target'!$I$5:$I$300,$BG206)&amp;""),IF(_xlpm.p="","Not set",_xlpm.p)),"Not set")</f>
        <v>Not set</v>
      </c>
      <c r="BI206" cm="1">
        <f t="array" ref="BI206">IF($BF206="",0,_xlfn.LET(_xlpm.d,IFERROR(--'Sales and count'!$G$2:$CC$2,0),SUMPRODUCT(('Sales and count'!$G$3:$CC$3="Total")*(_xlpm.d&gt;=$BZ$5)*(_xlpm.d&lt;=$BZ$6),INDEX('Sales and count'!$G$4:$CC$300,$BF206,0))))</f>
        <v>0</v>
      </c>
      <c r="BJ206" cm="1">
        <f t="array" ref="BJ206">IF($AW206="",0,SUMPRODUCT((TRIM('LY Sales '!$B$5:$B$200)=$AW206)*('LY Sales '!$C$2:$AG$2&gt;=EDATE($BZ$5,-12))*('LY Sales '!$C$2:$AG$2&lt;=EDATE($BZ$6,-12)),'LY Sales '!$C$5:$AG$200))</f>
        <v>0</v>
      </c>
      <c r="BK206" cm="1">
        <f t="array" ref="BK206">IF($AW206="",0,SUMPRODUCT((TRIM('LY Sales '!$B$5:$B$200)=$AW206)*('LY Sales '!$C$2:$AG$2&gt;=EDATE($BZ$5,-12))*('LY Sales '!$C$2:$AG$2&lt;=EDATE($BZ$7,-12)),'LY Sales '!$C$5:$AG$200))</f>
        <v>0</v>
      </c>
      <c r="BL206" cm="1">
        <f t="array" ref="BL206">IF($AW206="",0,SUMPRODUCT((TRIM('LY Sales '!$B$5:$B$200)=$AW206)*('LY Sales '!$C$2:$AG$2&gt;=EDATE($BZ$5,-12))*('LY Sales '!$C$2:$AG$2&lt;=EDATE($BZ$6,-12))*('LY Sales '!$C$5:$AG$200&gt;0)))</f>
        <v>0</v>
      </c>
      <c r="BM206" cm="1">
        <f t="array" ref="BM206">IF(NOT(ISNUMBER($BG206)),0,SUMPRODUCT(('TY Sales Target'!$K$2:$AO$2&gt;=$BZ$5)*('TY Sales Target'!$K$2:$AO$2&lt;=$BZ$6),INDEX('TY Sales Target'!$K$5:$AO$300,$BG206,0)))</f>
        <v>0</v>
      </c>
      <c r="BN206" cm="1">
        <f t="array" ref="BN206">IF(NOT(ISNUMBER($BG206)),0,SUMPRODUCT(('TY Sales Target'!$K$2:$AO$2&gt;=$BZ$5)*('TY Sales Target'!$K$2:$AO$2&lt;=$BZ$7),INDEX('TY Sales Target'!$K$5:$AO$300,$BG206,0)))</f>
        <v>0</v>
      </c>
      <c r="BO206" cm="1">
        <f t="array" ref="BO206">IF($AW206="",0,IFERROR(_xlfn.SWITCH($BP206,"LY trend",$BI206*$BK206/$BJ206,"Target curve",$BI206*$BN206/$BM206,"Run rate",$BI206/$BZ$8*$BZ$9,0),0))</f>
        <v>0</v>
      </c>
      <c r="BP206" t="str">
        <f t="shared" si="125"/>
        <v/>
      </c>
      <c r="CB206" cm="1">
        <f t="array" ref="CB206">IF($AW206="",0,_xlfn.LET(_xlpm.k,IFERROR(_xlfn.XLOOKUP($AW206,$CD$6:$CD$21,$CE$6:$CE$21),$AW206),SUMPRODUCT((TRIM('Makeup '!$A$2:$A$300&amp;"")=_xlpm.k)*1,IFERROR('Makeup '!$F$2:$F$300*1,0))))</f>
        <v>0</v>
      </c>
      <c r="CF206" t="str" cm="1">
        <f t="array" ref="CF206">IF($AW206="","",_xlfn.LET(_xlpm.c,IFERROR(TRIM(INDEX('Sales and count'!$B$4:$B$300,$BF206)&amp;""),""),IF(OR(_xlpm.c="",_xlpm.c="0",LEFT(_xlpm.c,1)="#"),"Not set",_xlpm.c)))</f>
        <v/>
      </c>
      <c r="CH206" cm="1">
        <f t="array" ref="CH206">IF($AW206="",0,_xlfn.LET(_xlpm.k,IFERROR(_xlfn.XLOOKUP($AW206,$CD$6:$CD$21,$CE$6:$CE$21),$AW206),--(SUMPRODUCT((TRIM('Makeup '!$A$2:$A$300&amp;"")=_xlpm.k)*ISNUMBER('Makeup '!$F$2:$F$300))&gt;0)))</f>
        <v>0</v>
      </c>
      <c r="CI206">
        <f t="shared" si="128"/>
        <v>0</v>
      </c>
      <c r="CJ206" cm="1">
        <f t="array" ref="CJ206">IF($AW206="",0,--(SUMPRODUCT(--(TRIM(Footfall!$B$5:$B$301)=$AW206))&gt;0))</f>
        <v>0</v>
      </c>
      <c r="CK206" s="8" cm="1">
        <f t="array" ref="CK206">IF($AW206="",0,_xlfn.LET(_xlpm.r,IFERROR(MATCH(IFERROR(_xlfn.XLOOKUP($AW206,$BT$5:$BT$22,$BU$5:$BU$22),$AW206),TRIM('TY Beauty Target'!$B$5:$B$300&amp;""),0),""),IF(ISNUMBER(_xlpm.r),SUMPRODUCT(('TY Beauty Target'!$L$2:$AP$2&gt;=$U$4)*('TY Beauty Target'!$L$2:$AP$2&lt;=$U$5),INDEX('TY Beauty Target'!$L$5:$AP$300,_xlpm.r,0)),0)))</f>
        <v>0</v>
      </c>
    </row>
    <row r="207" spans="1:89" ht="15" customHeight="1" x14ac:dyDescent="0.25">
      <c r="AB207" s="40" t="str" cm="1">
        <f t="array" ref="AB207">IF($AI207="","",IF(LEFT($AI207,2)="C|",IF($C207="","",SUMPRODUCT($AP$5:$AP$302*($AO$5:$AO$302=$A207),$CK$5:$CK$302)),IF($AI207="CT",AB$13,IF(LEFT($AI207,3)="AM|",IF($C207="","",SUMPRODUCT($AP$5:$AP$302*($AN$5:$AN$302=$A207),$CK$5:$CK$302)),IF(LEFT($AI207,2)="S|",IF($AG207="","",INDEX($CK$5:$CK$302,$AH207)),IF($AI207="HDR","Makeup Target",""))))))</f>
        <v/>
      </c>
      <c r="AC207" s="41" t="str">
        <f t="shared" si="111"/>
        <v/>
      </c>
      <c r="AN207" s="8" t="str" cm="1">
        <f t="array" ref="AN207">IF($AW207="","",_xlfn.LET(_xlpm.sa,IFERROR(TRIM(INDEX('Sales and count'!$D$4:$D$300,$BF207)&amp;""),""),_xlpm.ta,IFERROR(TRIM(INDEX('TY Sales Target'!$F$5:$F$300,$BG207)&amp;""),""),IF(AND(_xlpm.sa&lt;&gt;"",LEFT(_xlpm.sa,1)&lt;&gt;"#",_xlpm.sa&lt;&gt;"0"),_xlpm.sa,IF(AND(_xlpm.ta&lt;&gt;"",LEFT(_xlpm.ta,1)&lt;&gt;"#",_xlpm.ta&lt;&gt;"0"),_xlpm.ta,IF(ISNUMBER($BG207),"Unassigned","")))))</f>
        <v/>
      </c>
      <c r="AO207" s="8" t="str" cm="1">
        <f t="array" ref="AO207">IF($AW207="","",_xlfn.LET(_xlpm.sa,IFERROR(TRIM(INDEX('Sales and count'!$C$4:$C$300,$BF207)&amp;""),""),_xlpm.ta,IFERROR(TRIM(INDEX('TY Sales Target'!$D$5:$D$300,$BG207)&amp;""),""),IF(AND(_xlpm.sa&lt;&gt;"",LEFT(_xlpm.sa,1)&lt;&gt;"#",_xlpm.sa&lt;&gt;"0"),_xlpm.sa,IF(AND(_xlpm.ta&lt;&gt;"",LEFT(_xlpm.ta,1)&lt;&gt;"#",_xlpm.ta&lt;&gt;"0"),_xlpm.ta,""))))</f>
        <v/>
      </c>
      <c r="AP207" s="8">
        <f t="shared" si="126"/>
        <v>0</v>
      </c>
      <c r="AQ207" s="8">
        <f t="shared" si="127"/>
        <v>0</v>
      </c>
      <c r="AR207" s="8" cm="1">
        <f t="array" ref="AR207">IF($BF207="",0,_xlfn.LET(_xlpm.d,IFERROR(--'Sales and count'!$G$2:$CC$2,0),SUMPRODUCT(('Sales and count'!$G$3:$CC$3="Total")*(_xlpm.d&gt;=$U$4)*(_xlpm.d&lt;=$U$5),INDEX('Sales and count'!$G$4:$CC$300,$BF207,0))))</f>
        <v>0</v>
      </c>
      <c r="AS207" s="8" cm="1">
        <f t="array" ref="AS207">IF($BF207="",0,_xlfn.LET(_xlpm.d,IFERROR(--'Sales and count'!$F$2:$CB$2,0),SUMPRODUCT(('Sales and count'!$G$3:$CC$3="Transactions")*(_xlpm.d&gt;=$U$4)*(_xlpm.d&lt;=$U$5),INDEX('Sales and count'!$G$4:$CC$300,$BF207,0))))</f>
        <v>0</v>
      </c>
      <c r="AT207" s="8" cm="1">
        <f t="array" ref="AT207">IF($AW207="",0,SUMPRODUCT((TRIM('LY Sales '!$B$5:$B$200)=$AW207)*('LY Sales '!$C$2:$AG$2&gt;=EDATE($U$4,-12))*('LY Sales '!$C$2:$AG$2&lt;=EDATE($U$5,-12)),'LY Sales '!$C$5:$AG$200))</f>
        <v>0</v>
      </c>
      <c r="AU207" s="8" cm="1">
        <f t="array" ref="AU207">IF($AW207="",0,SUMPRODUCT((TRIM('LY Transaction'!$B$5:$B$200)=$AW207)*('LY Transaction'!$C$2:$AG$2&gt;=EDATE($U$4,-12))*('LY Transaction'!$C$2:$AG$2&lt;=EDATE($U$5,-12)),'LY Transaction'!$C$5:$AG$200))</f>
        <v>0</v>
      </c>
      <c r="AV207" s="8" cm="1">
        <f t="array" ref="AV207">IF(NOT(ISNUMBER($BG207)),0,SUMPRODUCT(('TY Sales Target'!$K$2:$AO$2&gt;=$U$4)*('TY Sales Target'!$K$2:$AO$2&lt;=$U$5),INDEX('TY Sales Target'!$K$5:$AO$300,$BG207,0)))</f>
        <v>0</v>
      </c>
      <c r="AW207" s="8" t="str" cm="1">
        <f t="array" ref="AW207">IFERROR(INDEX(_xlfn.ANCHORARRAY($BR$5),ROWS($AW$5:AW207)),"")</f>
        <v/>
      </c>
      <c r="BB207" cm="1">
        <f t="array" ref="BB207">IF($AW207="",0,SUMPRODUCT((TRIM(Footfall!$B$5:$B$301)=$AW207)*(Footfall!$C$1:$BZ$1&gt;=$U$4)*(Footfall!$C$2:$BZ$2&lt;=$U$5)*(Footfall!$C$1:$BZ$1&lt;&gt;""),Footfall!$C$5:$BZ$301))</f>
        <v>0</v>
      </c>
      <c r="BC207" cm="1">
        <f t="array" ref="BC207">IF(OR($BB207&lt;=0,$BD$1="",$BF207=""),0,_xlfn.LET(_xlpm.d,IFERROR(--'Sales and count'!$F$2:$CB$2,0),SUMPRODUCT(('Sales and count'!$G$3:$CC$3="Transactions")*(_xlpm.d&gt;=$BD$1)*(_xlpm.d&lt;=$BD$2),INDEX('Sales and count'!$G$4:$CC$300,$BF207,0))))</f>
        <v>0</v>
      </c>
      <c r="BF207" t="str" cm="1">
        <f t="array" ref="BF207">IF($AW207="","",IFERROR(MATCH($AW207,TRIM('Sales and count'!$A$4:$A$300&amp;""),0),""))</f>
        <v/>
      </c>
      <c r="BG207" t="str" cm="1">
        <f t="array" ref="BG207">IF($AW207="","",IFERROR(MATCH(IFERROR(_xlfn.XLOOKUP($AW207,$BT$5:$BT$22,$BU$5:$BU$22),$AW207),TRIM('TY Sales Target'!$B$5:$B$300&amp;""),0),""))</f>
        <v/>
      </c>
      <c r="BH207" t="str" cm="1">
        <f t="array" ref="BH207">IF(ISNUMBER($BG207),_xlfn.LET(_xlpm.p,TRIM(INDEX('TY Sales Target'!$I$5:$I$300,$BG207)&amp;""),IF(_xlpm.p="","Not set",_xlpm.p)),"Not set")</f>
        <v>Not set</v>
      </c>
      <c r="BI207" cm="1">
        <f t="array" ref="BI207">IF($BF207="",0,_xlfn.LET(_xlpm.d,IFERROR(--'Sales and count'!$G$2:$CC$2,0),SUMPRODUCT(('Sales and count'!$G$3:$CC$3="Total")*(_xlpm.d&gt;=$BZ$5)*(_xlpm.d&lt;=$BZ$6),INDEX('Sales and count'!$G$4:$CC$300,$BF207,0))))</f>
        <v>0</v>
      </c>
      <c r="BJ207" cm="1">
        <f t="array" ref="BJ207">IF($AW207="",0,SUMPRODUCT((TRIM('LY Sales '!$B$5:$B$200)=$AW207)*('LY Sales '!$C$2:$AG$2&gt;=EDATE($BZ$5,-12))*('LY Sales '!$C$2:$AG$2&lt;=EDATE($BZ$6,-12)),'LY Sales '!$C$5:$AG$200))</f>
        <v>0</v>
      </c>
      <c r="BK207" cm="1">
        <f t="array" ref="BK207">IF($AW207="",0,SUMPRODUCT((TRIM('LY Sales '!$B$5:$B$200)=$AW207)*('LY Sales '!$C$2:$AG$2&gt;=EDATE($BZ$5,-12))*('LY Sales '!$C$2:$AG$2&lt;=EDATE($BZ$7,-12)),'LY Sales '!$C$5:$AG$200))</f>
        <v>0</v>
      </c>
      <c r="BL207" cm="1">
        <f t="array" ref="BL207">IF($AW207="",0,SUMPRODUCT((TRIM('LY Sales '!$B$5:$B$200)=$AW207)*('LY Sales '!$C$2:$AG$2&gt;=EDATE($BZ$5,-12))*('LY Sales '!$C$2:$AG$2&lt;=EDATE($BZ$6,-12))*('LY Sales '!$C$5:$AG$200&gt;0)))</f>
        <v>0</v>
      </c>
      <c r="BM207" cm="1">
        <f t="array" ref="BM207">IF(NOT(ISNUMBER($BG207)),0,SUMPRODUCT(('TY Sales Target'!$K$2:$AO$2&gt;=$BZ$5)*('TY Sales Target'!$K$2:$AO$2&lt;=$BZ$6),INDEX('TY Sales Target'!$K$5:$AO$300,$BG207,0)))</f>
        <v>0</v>
      </c>
      <c r="BN207" cm="1">
        <f t="array" ref="BN207">IF(NOT(ISNUMBER($BG207)),0,SUMPRODUCT(('TY Sales Target'!$K$2:$AO$2&gt;=$BZ$5)*('TY Sales Target'!$K$2:$AO$2&lt;=$BZ$7),INDEX('TY Sales Target'!$K$5:$AO$300,$BG207,0)))</f>
        <v>0</v>
      </c>
      <c r="BO207" cm="1">
        <f t="array" ref="BO207">IF($AW207="",0,IFERROR(_xlfn.SWITCH($BP207,"LY trend",$BI207*$BK207/$BJ207,"Target curve",$BI207*$BN207/$BM207,"Run rate",$BI207/$BZ$8*$BZ$9,0),0))</f>
        <v>0</v>
      </c>
      <c r="BP207" t="str">
        <f t="shared" si="125"/>
        <v/>
      </c>
      <c r="CB207" cm="1">
        <f t="array" ref="CB207">IF($AW207="",0,_xlfn.LET(_xlpm.k,IFERROR(_xlfn.XLOOKUP($AW207,$CD$6:$CD$21,$CE$6:$CE$21),$AW207),SUMPRODUCT((TRIM('Makeup '!$A$2:$A$300&amp;"")=_xlpm.k)*1,IFERROR('Makeup '!$F$2:$F$300*1,0))))</f>
        <v>0</v>
      </c>
      <c r="CF207" t="str" cm="1">
        <f t="array" ref="CF207">IF($AW207="","",_xlfn.LET(_xlpm.c,IFERROR(TRIM(INDEX('Sales and count'!$B$4:$B$300,$BF207)&amp;""),""),IF(OR(_xlpm.c="",_xlpm.c="0",LEFT(_xlpm.c,1)="#"),"Not set",_xlpm.c)))</f>
        <v/>
      </c>
      <c r="CH207" cm="1">
        <f t="array" ref="CH207">IF($AW207="",0,_xlfn.LET(_xlpm.k,IFERROR(_xlfn.XLOOKUP($AW207,$CD$6:$CD$21,$CE$6:$CE$21),$AW207),--(SUMPRODUCT((TRIM('Makeup '!$A$2:$A$300&amp;"")=_xlpm.k)*ISNUMBER('Makeup '!$F$2:$F$300))&gt;0)))</f>
        <v>0</v>
      </c>
      <c r="CI207">
        <f t="shared" si="128"/>
        <v>0</v>
      </c>
      <c r="CJ207" cm="1">
        <f t="array" ref="CJ207">IF($AW207="",0,--(SUMPRODUCT(--(TRIM(Footfall!$B$5:$B$301)=$AW207))&gt;0))</f>
        <v>0</v>
      </c>
      <c r="CK207" s="8" cm="1">
        <f t="array" ref="CK207">IF($AW207="",0,_xlfn.LET(_xlpm.r,IFERROR(MATCH(IFERROR(_xlfn.XLOOKUP($AW207,$BT$5:$BT$22,$BU$5:$BU$22),$AW207),TRIM('TY Beauty Target'!$B$5:$B$300&amp;""),0),""),IF(ISNUMBER(_xlpm.r),SUMPRODUCT(('TY Beauty Target'!$L$2:$AP$2&gt;=$U$4)*('TY Beauty Target'!$L$2:$AP$2&lt;=$U$5),INDEX('TY Beauty Target'!$L$5:$AP$300,_xlpm.r,0)),0)))</f>
        <v>0</v>
      </c>
    </row>
    <row r="208" spans="1:89" ht="15" customHeight="1" x14ac:dyDescent="0.25">
      <c r="AB208" s="40" t="str" cm="1">
        <f t="array" ref="AB208">IF($AI208="","",IF(LEFT($AI208,2)="C|",IF($C208="","",SUMPRODUCT($AP$5:$AP$302*($AO$5:$AO$302=$A208),$CK$5:$CK$302)),IF($AI208="CT",AB$13,IF(LEFT($AI208,3)="AM|",IF($C208="","",SUMPRODUCT($AP$5:$AP$302*($AN$5:$AN$302=$A208),$CK$5:$CK$302)),IF(LEFT($AI208,2)="S|",IF($AG208="","",INDEX($CK$5:$CK$302,$AH208)),IF($AI208="HDR","Makeup Target",""))))))</f>
        <v/>
      </c>
      <c r="AC208" s="41" t="str">
        <f t="shared" si="111"/>
        <v/>
      </c>
      <c r="AN208" s="8" t="str" cm="1">
        <f t="array" ref="AN208">IF($AW208="","",_xlfn.LET(_xlpm.sa,IFERROR(TRIM(INDEX('Sales and count'!$D$4:$D$300,$BF208)&amp;""),""),_xlpm.ta,IFERROR(TRIM(INDEX('TY Sales Target'!$F$5:$F$300,$BG208)&amp;""),""),IF(AND(_xlpm.sa&lt;&gt;"",LEFT(_xlpm.sa,1)&lt;&gt;"#",_xlpm.sa&lt;&gt;"0"),_xlpm.sa,IF(AND(_xlpm.ta&lt;&gt;"",LEFT(_xlpm.ta,1)&lt;&gt;"#",_xlpm.ta&lt;&gt;"0"),_xlpm.ta,IF(ISNUMBER($BG208),"Unassigned","")))))</f>
        <v/>
      </c>
      <c r="AO208" s="8" t="str" cm="1">
        <f t="array" ref="AO208">IF($AW208="","",_xlfn.LET(_xlpm.sa,IFERROR(TRIM(INDEX('Sales and count'!$C$4:$C$300,$BF208)&amp;""),""),_xlpm.ta,IFERROR(TRIM(INDEX('TY Sales Target'!$D$5:$D$300,$BG208)&amp;""),""),IF(AND(_xlpm.sa&lt;&gt;"",LEFT(_xlpm.sa,1)&lt;&gt;"#",_xlpm.sa&lt;&gt;"0"),_xlpm.sa,IF(AND(_xlpm.ta&lt;&gt;"",LEFT(_xlpm.ta,1)&lt;&gt;"#",_xlpm.ta&lt;&gt;"0"),_xlpm.ta,""))))</f>
        <v/>
      </c>
      <c r="AP208" s="8">
        <f t="shared" si="126"/>
        <v>0</v>
      </c>
      <c r="AQ208" s="8">
        <f t="shared" si="127"/>
        <v>0</v>
      </c>
      <c r="AR208" s="8" cm="1">
        <f t="array" ref="AR208">IF($BF208="",0,_xlfn.LET(_xlpm.d,IFERROR(--'Sales and count'!$G$2:$CC$2,0),SUMPRODUCT(('Sales and count'!$G$3:$CC$3="Total")*(_xlpm.d&gt;=$U$4)*(_xlpm.d&lt;=$U$5),INDEX('Sales and count'!$G$4:$CC$300,$BF208,0))))</f>
        <v>0</v>
      </c>
      <c r="AS208" s="8" cm="1">
        <f t="array" ref="AS208">IF($BF208="",0,_xlfn.LET(_xlpm.d,IFERROR(--'Sales and count'!$F$2:$CB$2,0),SUMPRODUCT(('Sales and count'!$G$3:$CC$3="Transactions")*(_xlpm.d&gt;=$U$4)*(_xlpm.d&lt;=$U$5),INDEX('Sales and count'!$G$4:$CC$300,$BF208,0))))</f>
        <v>0</v>
      </c>
      <c r="AT208" s="8" cm="1">
        <f t="array" ref="AT208">IF($AW208="",0,SUMPRODUCT((TRIM('LY Sales '!$B$5:$B$200)=$AW208)*('LY Sales '!$C$2:$AG$2&gt;=EDATE($U$4,-12))*('LY Sales '!$C$2:$AG$2&lt;=EDATE($U$5,-12)),'LY Sales '!$C$5:$AG$200))</f>
        <v>0</v>
      </c>
      <c r="AU208" s="8" cm="1">
        <f t="array" ref="AU208">IF($AW208="",0,SUMPRODUCT((TRIM('LY Transaction'!$B$5:$B$200)=$AW208)*('LY Transaction'!$C$2:$AG$2&gt;=EDATE($U$4,-12))*('LY Transaction'!$C$2:$AG$2&lt;=EDATE($U$5,-12)),'LY Transaction'!$C$5:$AG$200))</f>
        <v>0</v>
      </c>
      <c r="AV208" s="8" cm="1">
        <f t="array" ref="AV208">IF(NOT(ISNUMBER($BG208)),0,SUMPRODUCT(('TY Sales Target'!$K$2:$AO$2&gt;=$U$4)*('TY Sales Target'!$K$2:$AO$2&lt;=$U$5),INDEX('TY Sales Target'!$K$5:$AO$300,$BG208,0)))</f>
        <v>0</v>
      </c>
      <c r="AW208" s="8" t="str" cm="1">
        <f t="array" ref="AW208">IFERROR(INDEX(_xlfn.ANCHORARRAY($BR$5),ROWS($AW$5:AW208)),"")</f>
        <v/>
      </c>
      <c r="BB208" cm="1">
        <f t="array" ref="BB208">IF($AW208="",0,SUMPRODUCT((TRIM(Footfall!$B$5:$B$301)=$AW208)*(Footfall!$C$1:$BZ$1&gt;=$U$4)*(Footfall!$C$2:$BZ$2&lt;=$U$5)*(Footfall!$C$1:$BZ$1&lt;&gt;""),Footfall!$C$5:$BZ$301))</f>
        <v>0</v>
      </c>
      <c r="BC208" cm="1">
        <f t="array" ref="BC208">IF(OR($BB208&lt;=0,$BD$1="",$BF208=""),0,_xlfn.LET(_xlpm.d,IFERROR(--'Sales and count'!$F$2:$CB$2,0),SUMPRODUCT(('Sales and count'!$G$3:$CC$3="Transactions")*(_xlpm.d&gt;=$BD$1)*(_xlpm.d&lt;=$BD$2),INDEX('Sales and count'!$G$4:$CC$300,$BF208,0))))</f>
        <v>0</v>
      </c>
      <c r="BF208" t="str" cm="1">
        <f t="array" ref="BF208">IF($AW208="","",IFERROR(MATCH($AW208,TRIM('Sales and count'!$A$4:$A$300&amp;""),0),""))</f>
        <v/>
      </c>
      <c r="BG208" t="str" cm="1">
        <f t="array" ref="BG208">IF($AW208="","",IFERROR(MATCH(IFERROR(_xlfn.XLOOKUP($AW208,$BT$5:$BT$22,$BU$5:$BU$22),$AW208),TRIM('TY Sales Target'!$B$5:$B$300&amp;""),0),""))</f>
        <v/>
      </c>
      <c r="BH208" t="str" cm="1">
        <f t="array" ref="BH208">IF(ISNUMBER($BG208),_xlfn.LET(_xlpm.p,TRIM(INDEX('TY Sales Target'!$I$5:$I$300,$BG208)&amp;""),IF(_xlpm.p="","Not set",_xlpm.p)),"Not set")</f>
        <v>Not set</v>
      </c>
      <c r="BI208" cm="1">
        <f t="array" ref="BI208">IF($BF208="",0,_xlfn.LET(_xlpm.d,IFERROR(--'Sales and count'!$G$2:$CC$2,0),SUMPRODUCT(('Sales and count'!$G$3:$CC$3="Total")*(_xlpm.d&gt;=$BZ$5)*(_xlpm.d&lt;=$BZ$6),INDEX('Sales and count'!$G$4:$CC$300,$BF208,0))))</f>
        <v>0</v>
      </c>
      <c r="BJ208" cm="1">
        <f t="array" ref="BJ208">IF($AW208="",0,SUMPRODUCT((TRIM('LY Sales '!$B$5:$B$200)=$AW208)*('LY Sales '!$C$2:$AG$2&gt;=EDATE($BZ$5,-12))*('LY Sales '!$C$2:$AG$2&lt;=EDATE($BZ$6,-12)),'LY Sales '!$C$5:$AG$200))</f>
        <v>0</v>
      </c>
      <c r="BK208" cm="1">
        <f t="array" ref="BK208">IF($AW208="",0,SUMPRODUCT((TRIM('LY Sales '!$B$5:$B$200)=$AW208)*('LY Sales '!$C$2:$AG$2&gt;=EDATE($BZ$5,-12))*('LY Sales '!$C$2:$AG$2&lt;=EDATE($BZ$7,-12)),'LY Sales '!$C$5:$AG$200))</f>
        <v>0</v>
      </c>
      <c r="BL208" cm="1">
        <f t="array" ref="BL208">IF($AW208="",0,SUMPRODUCT((TRIM('LY Sales '!$B$5:$B$200)=$AW208)*('LY Sales '!$C$2:$AG$2&gt;=EDATE($BZ$5,-12))*('LY Sales '!$C$2:$AG$2&lt;=EDATE($BZ$6,-12))*('LY Sales '!$C$5:$AG$200&gt;0)))</f>
        <v>0</v>
      </c>
      <c r="BM208" cm="1">
        <f t="array" ref="BM208">IF(NOT(ISNUMBER($BG208)),0,SUMPRODUCT(('TY Sales Target'!$K$2:$AO$2&gt;=$BZ$5)*('TY Sales Target'!$K$2:$AO$2&lt;=$BZ$6),INDEX('TY Sales Target'!$K$5:$AO$300,$BG208,0)))</f>
        <v>0</v>
      </c>
      <c r="BN208" cm="1">
        <f t="array" ref="BN208">IF(NOT(ISNUMBER($BG208)),0,SUMPRODUCT(('TY Sales Target'!$K$2:$AO$2&gt;=$BZ$5)*('TY Sales Target'!$K$2:$AO$2&lt;=$BZ$7),INDEX('TY Sales Target'!$K$5:$AO$300,$BG208,0)))</f>
        <v>0</v>
      </c>
      <c r="BO208" cm="1">
        <f t="array" ref="BO208">IF($AW208="",0,IFERROR(_xlfn.SWITCH($BP208,"LY trend",$BI208*$BK208/$BJ208,"Target curve",$BI208*$BN208/$BM208,"Run rate",$BI208/$BZ$8*$BZ$9,0),0))</f>
        <v>0</v>
      </c>
      <c r="BP208" t="str">
        <f t="shared" si="125"/>
        <v/>
      </c>
      <c r="CB208" cm="1">
        <f t="array" ref="CB208">IF($AW208="",0,_xlfn.LET(_xlpm.k,IFERROR(_xlfn.XLOOKUP($AW208,$CD$6:$CD$21,$CE$6:$CE$21),$AW208),SUMPRODUCT((TRIM('Makeup '!$A$2:$A$300&amp;"")=_xlpm.k)*1,IFERROR('Makeup '!$F$2:$F$300*1,0))))</f>
        <v>0</v>
      </c>
      <c r="CF208" t="str" cm="1">
        <f t="array" ref="CF208">IF($AW208="","",_xlfn.LET(_xlpm.c,IFERROR(TRIM(INDEX('Sales and count'!$B$4:$B$300,$BF208)&amp;""),""),IF(OR(_xlpm.c="",_xlpm.c="0",LEFT(_xlpm.c,1)="#"),"Not set",_xlpm.c)))</f>
        <v/>
      </c>
      <c r="CH208" cm="1">
        <f t="array" ref="CH208">IF($AW208="",0,_xlfn.LET(_xlpm.k,IFERROR(_xlfn.XLOOKUP($AW208,$CD$6:$CD$21,$CE$6:$CE$21),$AW208),--(SUMPRODUCT((TRIM('Makeup '!$A$2:$A$300&amp;"")=_xlpm.k)*ISNUMBER('Makeup '!$F$2:$F$300))&gt;0)))</f>
        <v>0</v>
      </c>
      <c r="CI208">
        <f t="shared" si="128"/>
        <v>0</v>
      </c>
      <c r="CJ208" cm="1">
        <f t="array" ref="CJ208">IF($AW208="",0,--(SUMPRODUCT(--(TRIM(Footfall!$B$5:$B$301)=$AW208))&gt;0))</f>
        <v>0</v>
      </c>
      <c r="CK208" s="8" cm="1">
        <f t="array" ref="CK208">IF($AW208="",0,_xlfn.LET(_xlpm.r,IFERROR(MATCH(IFERROR(_xlfn.XLOOKUP($AW208,$BT$5:$BT$22,$BU$5:$BU$22),$AW208),TRIM('TY Beauty Target'!$B$5:$B$300&amp;""),0),""),IF(ISNUMBER(_xlpm.r),SUMPRODUCT(('TY Beauty Target'!$L$2:$AP$2&gt;=$U$4)*('TY Beauty Target'!$L$2:$AP$2&lt;=$U$5),INDEX('TY Beauty Target'!$L$5:$AP$300,_xlpm.r,0)),0)))</f>
        <v>0</v>
      </c>
    </row>
    <row r="209" spans="28:89" ht="15" customHeight="1" x14ac:dyDescent="0.25">
      <c r="AB209" s="40" t="str" cm="1">
        <f t="array" ref="AB209">IF($AI209="","",IF(LEFT($AI209,2)="C|",IF($C209="","",SUMPRODUCT($AP$5:$AP$302*($AO$5:$AO$302=$A209),$CK$5:$CK$302)),IF($AI209="CT",AB$13,IF(LEFT($AI209,3)="AM|",IF($C209="","",SUMPRODUCT($AP$5:$AP$302*($AN$5:$AN$302=$A209),$CK$5:$CK$302)),IF(LEFT($AI209,2)="S|",IF($AG209="","",INDEX($CK$5:$CK$302,$AH209)),IF($AI209="HDR","Makeup Target",""))))))</f>
        <v/>
      </c>
      <c r="AC209" s="41" t="str">
        <f t="shared" si="111"/>
        <v/>
      </c>
      <c r="AN209" s="8" t="str" cm="1">
        <f t="array" ref="AN209">IF($AW209="","",_xlfn.LET(_xlpm.sa,IFERROR(TRIM(INDEX('Sales and count'!$D$4:$D$300,$BF209)&amp;""),""),_xlpm.ta,IFERROR(TRIM(INDEX('TY Sales Target'!$F$5:$F$300,$BG209)&amp;""),""),IF(AND(_xlpm.sa&lt;&gt;"",LEFT(_xlpm.sa,1)&lt;&gt;"#",_xlpm.sa&lt;&gt;"0"),_xlpm.sa,IF(AND(_xlpm.ta&lt;&gt;"",LEFT(_xlpm.ta,1)&lt;&gt;"#",_xlpm.ta&lt;&gt;"0"),_xlpm.ta,IF(ISNUMBER($BG209),"Unassigned","")))))</f>
        <v/>
      </c>
      <c r="AO209" s="8" t="str" cm="1">
        <f t="array" ref="AO209">IF($AW209="","",_xlfn.LET(_xlpm.sa,IFERROR(TRIM(INDEX('Sales and count'!$C$4:$C$300,$BF209)&amp;""),""),_xlpm.ta,IFERROR(TRIM(INDEX('TY Sales Target'!$D$5:$D$300,$BG209)&amp;""),""),IF(AND(_xlpm.sa&lt;&gt;"",LEFT(_xlpm.sa,1)&lt;&gt;"#",_xlpm.sa&lt;&gt;"0"),_xlpm.sa,IF(AND(_xlpm.ta&lt;&gt;"",LEFT(_xlpm.ta,1)&lt;&gt;"#",_xlpm.ta&lt;&gt;"0"),_xlpm.ta,""))))</f>
        <v/>
      </c>
      <c r="AP209" s="8">
        <f t="shared" si="126"/>
        <v>0</v>
      </c>
      <c r="AQ209" s="8">
        <f t="shared" si="127"/>
        <v>0</v>
      </c>
      <c r="AR209" s="8" cm="1">
        <f t="array" ref="AR209">IF($BF209="",0,_xlfn.LET(_xlpm.d,IFERROR(--'Sales and count'!$G$2:$CC$2,0),SUMPRODUCT(('Sales and count'!$G$3:$CC$3="Total")*(_xlpm.d&gt;=$U$4)*(_xlpm.d&lt;=$U$5),INDEX('Sales and count'!$G$4:$CC$300,$BF209,0))))</f>
        <v>0</v>
      </c>
      <c r="AS209" s="8" cm="1">
        <f t="array" ref="AS209">IF($BF209="",0,_xlfn.LET(_xlpm.d,IFERROR(--'Sales and count'!$F$2:$CB$2,0),SUMPRODUCT(('Sales and count'!$G$3:$CC$3="Transactions")*(_xlpm.d&gt;=$U$4)*(_xlpm.d&lt;=$U$5),INDEX('Sales and count'!$G$4:$CC$300,$BF209,0))))</f>
        <v>0</v>
      </c>
      <c r="AT209" s="8" cm="1">
        <f t="array" ref="AT209">IF($AW209="",0,SUMPRODUCT((TRIM('LY Sales '!$B$5:$B$200)=$AW209)*('LY Sales '!$C$2:$AG$2&gt;=EDATE($U$4,-12))*('LY Sales '!$C$2:$AG$2&lt;=EDATE($U$5,-12)),'LY Sales '!$C$5:$AG$200))</f>
        <v>0</v>
      </c>
      <c r="AU209" s="8" cm="1">
        <f t="array" ref="AU209">IF($AW209="",0,SUMPRODUCT((TRIM('LY Transaction'!$B$5:$B$200)=$AW209)*('LY Transaction'!$C$2:$AG$2&gt;=EDATE($U$4,-12))*('LY Transaction'!$C$2:$AG$2&lt;=EDATE($U$5,-12)),'LY Transaction'!$C$5:$AG$200))</f>
        <v>0</v>
      </c>
      <c r="AV209" s="8" cm="1">
        <f t="array" ref="AV209">IF(NOT(ISNUMBER($BG209)),0,SUMPRODUCT(('TY Sales Target'!$K$2:$AO$2&gt;=$U$4)*('TY Sales Target'!$K$2:$AO$2&lt;=$U$5),INDEX('TY Sales Target'!$K$5:$AO$300,$BG209,0)))</f>
        <v>0</v>
      </c>
      <c r="AW209" s="8" t="str" cm="1">
        <f t="array" ref="AW209">IFERROR(INDEX(_xlfn.ANCHORARRAY($BR$5),ROWS($AW$5:AW209)),"")</f>
        <v/>
      </c>
      <c r="BB209" cm="1">
        <f t="array" ref="BB209">IF($AW209="",0,SUMPRODUCT((TRIM(Footfall!$B$5:$B$301)=$AW209)*(Footfall!$C$1:$BZ$1&gt;=$U$4)*(Footfall!$C$2:$BZ$2&lt;=$U$5)*(Footfall!$C$1:$BZ$1&lt;&gt;""),Footfall!$C$5:$BZ$301))</f>
        <v>0</v>
      </c>
      <c r="BC209" cm="1">
        <f t="array" ref="BC209">IF(OR($BB209&lt;=0,$BD$1="",$BF209=""),0,_xlfn.LET(_xlpm.d,IFERROR(--'Sales and count'!$F$2:$CB$2,0),SUMPRODUCT(('Sales and count'!$G$3:$CC$3="Transactions")*(_xlpm.d&gt;=$BD$1)*(_xlpm.d&lt;=$BD$2),INDEX('Sales and count'!$G$4:$CC$300,$BF209,0))))</f>
        <v>0</v>
      </c>
      <c r="BF209" t="str" cm="1">
        <f t="array" ref="BF209">IF($AW209="","",IFERROR(MATCH($AW209,TRIM('Sales and count'!$A$4:$A$300&amp;""),0),""))</f>
        <v/>
      </c>
      <c r="BG209" t="str" cm="1">
        <f t="array" ref="BG209">IF($AW209="","",IFERROR(MATCH(IFERROR(_xlfn.XLOOKUP($AW209,$BT$5:$BT$22,$BU$5:$BU$22),$AW209),TRIM('TY Sales Target'!$B$5:$B$300&amp;""),0),""))</f>
        <v/>
      </c>
      <c r="BH209" t="str" cm="1">
        <f t="array" ref="BH209">IF(ISNUMBER($BG209),_xlfn.LET(_xlpm.p,TRIM(INDEX('TY Sales Target'!$I$5:$I$300,$BG209)&amp;""),IF(_xlpm.p="","Not set",_xlpm.p)),"Not set")</f>
        <v>Not set</v>
      </c>
      <c r="BI209" cm="1">
        <f t="array" ref="BI209">IF($BF209="",0,_xlfn.LET(_xlpm.d,IFERROR(--'Sales and count'!$G$2:$CC$2,0),SUMPRODUCT(('Sales and count'!$G$3:$CC$3="Total")*(_xlpm.d&gt;=$BZ$5)*(_xlpm.d&lt;=$BZ$6),INDEX('Sales and count'!$G$4:$CC$300,$BF209,0))))</f>
        <v>0</v>
      </c>
      <c r="BJ209" cm="1">
        <f t="array" ref="BJ209">IF($AW209="",0,SUMPRODUCT((TRIM('LY Sales '!$B$5:$B$200)=$AW209)*('LY Sales '!$C$2:$AG$2&gt;=EDATE($BZ$5,-12))*('LY Sales '!$C$2:$AG$2&lt;=EDATE($BZ$6,-12)),'LY Sales '!$C$5:$AG$200))</f>
        <v>0</v>
      </c>
      <c r="BK209" cm="1">
        <f t="array" ref="BK209">IF($AW209="",0,SUMPRODUCT((TRIM('LY Sales '!$B$5:$B$200)=$AW209)*('LY Sales '!$C$2:$AG$2&gt;=EDATE($BZ$5,-12))*('LY Sales '!$C$2:$AG$2&lt;=EDATE($BZ$7,-12)),'LY Sales '!$C$5:$AG$200))</f>
        <v>0</v>
      </c>
      <c r="BL209" cm="1">
        <f t="array" ref="BL209">IF($AW209="",0,SUMPRODUCT((TRIM('LY Sales '!$B$5:$B$200)=$AW209)*('LY Sales '!$C$2:$AG$2&gt;=EDATE($BZ$5,-12))*('LY Sales '!$C$2:$AG$2&lt;=EDATE($BZ$6,-12))*('LY Sales '!$C$5:$AG$200&gt;0)))</f>
        <v>0</v>
      </c>
      <c r="BM209" cm="1">
        <f t="array" ref="BM209">IF(NOT(ISNUMBER($BG209)),0,SUMPRODUCT(('TY Sales Target'!$K$2:$AO$2&gt;=$BZ$5)*('TY Sales Target'!$K$2:$AO$2&lt;=$BZ$6),INDEX('TY Sales Target'!$K$5:$AO$300,$BG209,0)))</f>
        <v>0</v>
      </c>
      <c r="BN209" cm="1">
        <f t="array" ref="BN209">IF(NOT(ISNUMBER($BG209)),0,SUMPRODUCT(('TY Sales Target'!$K$2:$AO$2&gt;=$BZ$5)*('TY Sales Target'!$K$2:$AO$2&lt;=$BZ$7),INDEX('TY Sales Target'!$K$5:$AO$300,$BG209,0)))</f>
        <v>0</v>
      </c>
      <c r="BO209" cm="1">
        <f t="array" ref="BO209">IF($AW209="",0,IFERROR(_xlfn.SWITCH($BP209,"LY trend",$BI209*$BK209/$BJ209,"Target curve",$BI209*$BN209/$BM209,"Run rate",$BI209/$BZ$8*$BZ$9,0),0))</f>
        <v>0</v>
      </c>
      <c r="BP209" t="str">
        <f t="shared" si="125"/>
        <v/>
      </c>
      <c r="CB209" cm="1">
        <f t="array" ref="CB209">IF($AW209="",0,_xlfn.LET(_xlpm.k,IFERROR(_xlfn.XLOOKUP($AW209,$CD$6:$CD$21,$CE$6:$CE$21),$AW209),SUMPRODUCT((TRIM('Makeup '!$A$2:$A$300&amp;"")=_xlpm.k)*1,IFERROR('Makeup '!$F$2:$F$300*1,0))))</f>
        <v>0</v>
      </c>
      <c r="CF209" t="str" cm="1">
        <f t="array" ref="CF209">IF($AW209="","",_xlfn.LET(_xlpm.c,IFERROR(TRIM(INDEX('Sales and count'!$B$4:$B$300,$BF209)&amp;""),""),IF(OR(_xlpm.c="",_xlpm.c="0",LEFT(_xlpm.c,1)="#"),"Not set",_xlpm.c)))</f>
        <v/>
      </c>
      <c r="CH209" cm="1">
        <f t="array" ref="CH209">IF($AW209="",0,_xlfn.LET(_xlpm.k,IFERROR(_xlfn.XLOOKUP($AW209,$CD$6:$CD$21,$CE$6:$CE$21),$AW209),--(SUMPRODUCT((TRIM('Makeup '!$A$2:$A$300&amp;"")=_xlpm.k)*ISNUMBER('Makeup '!$F$2:$F$300))&gt;0)))</f>
        <v>0</v>
      </c>
      <c r="CI209">
        <f t="shared" si="128"/>
        <v>0</v>
      </c>
      <c r="CJ209" cm="1">
        <f t="array" ref="CJ209">IF($AW209="",0,--(SUMPRODUCT(--(TRIM(Footfall!$B$5:$B$301)=$AW209))&gt;0))</f>
        <v>0</v>
      </c>
      <c r="CK209" s="8" cm="1">
        <f t="array" ref="CK209">IF($AW209="",0,_xlfn.LET(_xlpm.r,IFERROR(MATCH(IFERROR(_xlfn.XLOOKUP($AW209,$BT$5:$BT$22,$BU$5:$BU$22),$AW209),TRIM('TY Beauty Target'!$B$5:$B$300&amp;""),0),""),IF(ISNUMBER(_xlpm.r),SUMPRODUCT(('TY Beauty Target'!$L$2:$AP$2&gt;=$U$4)*('TY Beauty Target'!$L$2:$AP$2&lt;=$U$5),INDEX('TY Beauty Target'!$L$5:$AP$300,_xlpm.r,0)),0)))</f>
        <v>0</v>
      </c>
    </row>
    <row r="210" spans="28:89" x14ac:dyDescent="0.25">
      <c r="AB210" s="40" t="str" cm="1">
        <f t="array" ref="AB210">IF($AI210="","",IF(LEFT($AI210,2)="C|",IF($C210="","",SUMPRODUCT($AP$5:$AP$302*($AO$5:$AO$302=$A210),$CK$5:$CK$302)),IF($AI210="CT",AB$13,IF(LEFT($AI210,3)="AM|",IF($C210="","",SUMPRODUCT($AP$5:$AP$302*($AN$5:$AN$302=$A210),$CK$5:$CK$302)),IF(LEFT($AI210,2)="S|",IF($AG210="","",INDEX($CK$5:$CK$302,$AH210)),IF($AI210="HDR","Makeup Target",""))))))</f>
        <v/>
      </c>
      <c r="AC210" s="41" t="str">
        <f t="shared" si="111"/>
        <v/>
      </c>
      <c r="AN210" s="8" t="str" cm="1">
        <f t="array" ref="AN210">IF($AW210="","",_xlfn.LET(_xlpm.sa,IFERROR(TRIM(INDEX('Sales and count'!$D$4:$D$300,$BF210)&amp;""),""),_xlpm.ta,IFERROR(TRIM(INDEX('TY Sales Target'!$F$5:$F$300,$BG210)&amp;""),""),IF(AND(_xlpm.sa&lt;&gt;"",LEFT(_xlpm.sa,1)&lt;&gt;"#",_xlpm.sa&lt;&gt;"0"),_xlpm.sa,IF(AND(_xlpm.ta&lt;&gt;"",LEFT(_xlpm.ta,1)&lt;&gt;"#",_xlpm.ta&lt;&gt;"0"),_xlpm.ta,IF(ISNUMBER($BG210),"Unassigned","")))))</f>
        <v/>
      </c>
      <c r="AO210" s="8" t="str" cm="1">
        <f t="array" ref="AO210">IF($AW210="","",_xlfn.LET(_xlpm.sa,IFERROR(TRIM(INDEX('Sales and count'!$C$4:$C$300,$BF210)&amp;""),""),_xlpm.ta,IFERROR(TRIM(INDEX('TY Sales Target'!$D$5:$D$300,$BG210)&amp;""),""),IF(AND(_xlpm.sa&lt;&gt;"",LEFT(_xlpm.sa,1)&lt;&gt;"#",_xlpm.sa&lt;&gt;"0"),_xlpm.sa,IF(AND(_xlpm.ta&lt;&gt;"",LEFT(_xlpm.ta,1)&lt;&gt;"#",_xlpm.ta&lt;&gt;"0"),_xlpm.ta,""))))</f>
        <v/>
      </c>
      <c r="AP210" s="8">
        <f t="shared" si="126"/>
        <v>0</v>
      </c>
      <c r="AQ210" s="8">
        <f t="shared" si="127"/>
        <v>0</v>
      </c>
      <c r="AR210" s="8" cm="1">
        <f t="array" ref="AR210">IF($BF210="",0,_xlfn.LET(_xlpm.d,IFERROR(--'Sales and count'!$G$2:$CC$2,0),SUMPRODUCT(('Sales and count'!$G$3:$CC$3="Total")*(_xlpm.d&gt;=$U$4)*(_xlpm.d&lt;=$U$5),INDEX('Sales and count'!$G$4:$CC$300,$BF210,0))))</f>
        <v>0</v>
      </c>
      <c r="AS210" s="8" cm="1">
        <f t="array" ref="AS210">IF($BF210="",0,_xlfn.LET(_xlpm.d,IFERROR(--'Sales and count'!$F$2:$CB$2,0),SUMPRODUCT(('Sales and count'!$G$3:$CC$3="Transactions")*(_xlpm.d&gt;=$U$4)*(_xlpm.d&lt;=$U$5),INDEX('Sales and count'!$G$4:$CC$300,$BF210,0))))</f>
        <v>0</v>
      </c>
      <c r="AT210" s="8" cm="1">
        <f t="array" ref="AT210">IF($AW210="",0,SUMPRODUCT((TRIM('LY Sales '!$B$5:$B$200)=$AW210)*('LY Sales '!$C$2:$AG$2&gt;=EDATE($U$4,-12))*('LY Sales '!$C$2:$AG$2&lt;=EDATE($U$5,-12)),'LY Sales '!$C$5:$AG$200))</f>
        <v>0</v>
      </c>
      <c r="AU210" s="8" cm="1">
        <f t="array" ref="AU210">IF($AW210="",0,SUMPRODUCT((TRIM('LY Transaction'!$B$5:$B$200)=$AW210)*('LY Transaction'!$C$2:$AG$2&gt;=EDATE($U$4,-12))*('LY Transaction'!$C$2:$AG$2&lt;=EDATE($U$5,-12)),'LY Transaction'!$C$5:$AG$200))</f>
        <v>0</v>
      </c>
      <c r="AV210" s="8" cm="1">
        <f t="array" ref="AV210">IF(NOT(ISNUMBER($BG210)),0,SUMPRODUCT(('TY Sales Target'!$K$2:$AO$2&gt;=$U$4)*('TY Sales Target'!$K$2:$AO$2&lt;=$U$5),INDEX('TY Sales Target'!$K$5:$AO$300,$BG210,0)))</f>
        <v>0</v>
      </c>
      <c r="AW210" s="8" t="str" cm="1">
        <f t="array" ref="AW210">IFERROR(INDEX(_xlfn.ANCHORARRAY($BR$5),ROWS($AW$5:AW210)),"")</f>
        <v/>
      </c>
      <c r="BB210" cm="1">
        <f t="array" ref="BB210">IF($AW210="",0,SUMPRODUCT((TRIM(Footfall!$B$5:$B$301)=$AW210)*(Footfall!$C$1:$BZ$1&gt;=$U$4)*(Footfall!$C$2:$BZ$2&lt;=$U$5)*(Footfall!$C$1:$BZ$1&lt;&gt;""),Footfall!$C$5:$BZ$301))</f>
        <v>0</v>
      </c>
      <c r="BC210" cm="1">
        <f t="array" ref="BC210">IF(OR($BB210&lt;=0,$BD$1="",$BF210=""),0,_xlfn.LET(_xlpm.d,IFERROR(--'Sales and count'!$F$2:$CB$2,0),SUMPRODUCT(('Sales and count'!$G$3:$CC$3="Transactions")*(_xlpm.d&gt;=$BD$1)*(_xlpm.d&lt;=$BD$2),INDEX('Sales and count'!$G$4:$CC$300,$BF210,0))))</f>
        <v>0</v>
      </c>
      <c r="BF210" t="str" cm="1">
        <f t="array" ref="BF210">IF($AW210="","",IFERROR(MATCH($AW210,TRIM('Sales and count'!$A$4:$A$300&amp;""),0),""))</f>
        <v/>
      </c>
      <c r="BG210" t="str" cm="1">
        <f t="array" ref="BG210">IF($AW210="","",IFERROR(MATCH(IFERROR(_xlfn.XLOOKUP($AW210,$BT$5:$BT$22,$BU$5:$BU$22),$AW210),TRIM('TY Sales Target'!$B$5:$B$300&amp;""),0),""))</f>
        <v/>
      </c>
      <c r="BH210" t="str" cm="1">
        <f t="array" ref="BH210">IF(ISNUMBER($BG210),_xlfn.LET(_xlpm.p,TRIM(INDEX('TY Sales Target'!$I$5:$I$300,$BG210)&amp;""),IF(_xlpm.p="","Not set",_xlpm.p)),"Not set")</f>
        <v>Not set</v>
      </c>
      <c r="BI210" cm="1">
        <f t="array" ref="BI210">IF($BF210="",0,_xlfn.LET(_xlpm.d,IFERROR(--'Sales and count'!$G$2:$CC$2,0),SUMPRODUCT(('Sales and count'!$G$3:$CC$3="Total")*(_xlpm.d&gt;=$BZ$5)*(_xlpm.d&lt;=$BZ$6),INDEX('Sales and count'!$G$4:$CC$300,$BF210,0))))</f>
        <v>0</v>
      </c>
      <c r="BJ210" cm="1">
        <f t="array" ref="BJ210">IF($AW210="",0,SUMPRODUCT((TRIM('LY Sales '!$B$5:$B$200)=$AW210)*('LY Sales '!$C$2:$AG$2&gt;=EDATE($BZ$5,-12))*('LY Sales '!$C$2:$AG$2&lt;=EDATE($BZ$6,-12)),'LY Sales '!$C$5:$AG$200))</f>
        <v>0</v>
      </c>
      <c r="BK210" cm="1">
        <f t="array" ref="BK210">IF($AW210="",0,SUMPRODUCT((TRIM('LY Sales '!$B$5:$B$200)=$AW210)*('LY Sales '!$C$2:$AG$2&gt;=EDATE($BZ$5,-12))*('LY Sales '!$C$2:$AG$2&lt;=EDATE($BZ$7,-12)),'LY Sales '!$C$5:$AG$200))</f>
        <v>0</v>
      </c>
      <c r="BL210" cm="1">
        <f t="array" ref="BL210">IF($AW210="",0,SUMPRODUCT((TRIM('LY Sales '!$B$5:$B$200)=$AW210)*('LY Sales '!$C$2:$AG$2&gt;=EDATE($BZ$5,-12))*('LY Sales '!$C$2:$AG$2&lt;=EDATE($BZ$6,-12))*('LY Sales '!$C$5:$AG$200&gt;0)))</f>
        <v>0</v>
      </c>
      <c r="BM210" cm="1">
        <f t="array" ref="BM210">IF(NOT(ISNUMBER($BG210)),0,SUMPRODUCT(('TY Sales Target'!$K$2:$AO$2&gt;=$BZ$5)*('TY Sales Target'!$K$2:$AO$2&lt;=$BZ$6),INDEX('TY Sales Target'!$K$5:$AO$300,$BG210,0)))</f>
        <v>0</v>
      </c>
      <c r="BN210" cm="1">
        <f t="array" ref="BN210">IF(NOT(ISNUMBER($BG210)),0,SUMPRODUCT(('TY Sales Target'!$K$2:$AO$2&gt;=$BZ$5)*('TY Sales Target'!$K$2:$AO$2&lt;=$BZ$7),INDEX('TY Sales Target'!$K$5:$AO$300,$BG210,0)))</f>
        <v>0</v>
      </c>
      <c r="BO210" cm="1">
        <f t="array" ref="BO210">IF($AW210="",0,IFERROR(_xlfn.SWITCH($BP210,"LY trend",$BI210*$BK210/$BJ210,"Target curve",$BI210*$BN210/$BM210,"Run rate",$BI210/$BZ$8*$BZ$9,0),0))</f>
        <v>0</v>
      </c>
      <c r="BP210" t="str">
        <f t="shared" si="125"/>
        <v/>
      </c>
      <c r="CB210" cm="1">
        <f t="array" ref="CB210">IF($AW210="",0,_xlfn.LET(_xlpm.k,IFERROR(_xlfn.XLOOKUP($AW210,$CD$6:$CD$21,$CE$6:$CE$21),$AW210),SUMPRODUCT((TRIM('Makeup '!$A$2:$A$300&amp;"")=_xlpm.k)*1,IFERROR('Makeup '!$F$2:$F$300*1,0))))</f>
        <v>0</v>
      </c>
      <c r="CF210" t="str" cm="1">
        <f t="array" ref="CF210">IF($AW210="","",_xlfn.LET(_xlpm.c,IFERROR(TRIM(INDEX('Sales and count'!$B$4:$B$300,$BF210)&amp;""),""),IF(OR(_xlpm.c="",_xlpm.c="0",LEFT(_xlpm.c,1)="#"),"Not set",_xlpm.c)))</f>
        <v/>
      </c>
      <c r="CH210" cm="1">
        <f t="array" ref="CH210">IF($AW210="",0,_xlfn.LET(_xlpm.k,IFERROR(_xlfn.XLOOKUP($AW210,$CD$6:$CD$21,$CE$6:$CE$21),$AW210),--(SUMPRODUCT((TRIM('Makeup '!$A$2:$A$300&amp;"")=_xlpm.k)*ISNUMBER('Makeup '!$F$2:$F$300))&gt;0)))</f>
        <v>0</v>
      </c>
      <c r="CI210">
        <f t="shared" si="128"/>
        <v>0</v>
      </c>
      <c r="CJ210" cm="1">
        <f t="array" ref="CJ210">IF($AW210="",0,--(SUMPRODUCT(--(TRIM(Footfall!$B$5:$B$301)=$AW210))&gt;0))</f>
        <v>0</v>
      </c>
      <c r="CK210" s="8" cm="1">
        <f t="array" ref="CK210">IF($AW210="",0,_xlfn.LET(_xlpm.r,IFERROR(MATCH(IFERROR(_xlfn.XLOOKUP($AW210,$BT$5:$BT$22,$BU$5:$BU$22),$AW210),TRIM('TY Beauty Target'!$B$5:$B$300&amp;""),0),""),IF(ISNUMBER(_xlpm.r),SUMPRODUCT(('TY Beauty Target'!$L$2:$AP$2&gt;=$U$4)*('TY Beauty Target'!$L$2:$AP$2&lt;=$U$5),INDEX('TY Beauty Target'!$L$5:$AP$300,_xlpm.r,0)),0)))</f>
        <v>0</v>
      </c>
    </row>
    <row r="211" spans="28:89" x14ac:dyDescent="0.25">
      <c r="AB211" s="40" t="str" cm="1">
        <f t="array" ref="AB211">IF($AI211="","",IF(LEFT($AI211,2)="C|",IF($C211="","",SUMPRODUCT($AP$5:$AP$302*($AO$5:$AO$302=$A211),$CK$5:$CK$302)),IF($AI211="CT",AB$13,IF(LEFT($AI211,3)="AM|",IF($C211="","",SUMPRODUCT($AP$5:$AP$302*($AN$5:$AN$302=$A211),$CK$5:$CK$302)),IF(LEFT($AI211,2)="S|",IF($AG211="","",INDEX($CK$5:$CK$302,$AH211)),IF($AI211="HDR","Makeup Target",""))))))</f>
        <v/>
      </c>
      <c r="AC211" s="41" t="str">
        <f t="shared" si="111"/>
        <v/>
      </c>
      <c r="AN211" s="8" t="str" cm="1">
        <f t="array" ref="AN211">IF($AW211="","",_xlfn.LET(_xlpm.sa,IFERROR(TRIM(INDEX('Sales and count'!$D$4:$D$300,$BF211)&amp;""),""),_xlpm.ta,IFERROR(TRIM(INDEX('TY Sales Target'!$F$5:$F$300,$BG211)&amp;""),""),IF(AND(_xlpm.sa&lt;&gt;"",LEFT(_xlpm.sa,1)&lt;&gt;"#",_xlpm.sa&lt;&gt;"0"),_xlpm.sa,IF(AND(_xlpm.ta&lt;&gt;"",LEFT(_xlpm.ta,1)&lt;&gt;"#",_xlpm.ta&lt;&gt;"0"),_xlpm.ta,IF(ISNUMBER($BG211),"Unassigned","")))))</f>
        <v/>
      </c>
      <c r="AO211" s="8" t="str" cm="1">
        <f t="array" ref="AO211">IF($AW211="","",_xlfn.LET(_xlpm.sa,IFERROR(TRIM(INDEX('Sales and count'!$C$4:$C$300,$BF211)&amp;""),""),_xlpm.ta,IFERROR(TRIM(INDEX('TY Sales Target'!$D$5:$D$300,$BG211)&amp;""),""),IF(AND(_xlpm.sa&lt;&gt;"",LEFT(_xlpm.sa,1)&lt;&gt;"#",_xlpm.sa&lt;&gt;"0"),_xlpm.sa,IF(AND(_xlpm.ta&lt;&gt;"",LEFT(_xlpm.ta,1)&lt;&gt;"#",_xlpm.ta&lt;&gt;"0"),_xlpm.ta,""))))</f>
        <v/>
      </c>
      <c r="AP211" s="8">
        <f t="shared" si="126"/>
        <v>0</v>
      </c>
      <c r="AQ211" s="8">
        <f t="shared" si="127"/>
        <v>0</v>
      </c>
      <c r="AR211" s="8" cm="1">
        <f t="array" ref="AR211">IF($BF211="",0,_xlfn.LET(_xlpm.d,IFERROR(--'Sales and count'!$G$2:$CC$2,0),SUMPRODUCT(('Sales and count'!$G$3:$CC$3="Total")*(_xlpm.d&gt;=$U$4)*(_xlpm.d&lt;=$U$5),INDEX('Sales and count'!$G$4:$CC$300,$BF211,0))))</f>
        <v>0</v>
      </c>
      <c r="AS211" s="8" cm="1">
        <f t="array" ref="AS211">IF($BF211="",0,_xlfn.LET(_xlpm.d,IFERROR(--'Sales and count'!$F$2:$CB$2,0),SUMPRODUCT(('Sales and count'!$G$3:$CC$3="Transactions")*(_xlpm.d&gt;=$U$4)*(_xlpm.d&lt;=$U$5),INDEX('Sales and count'!$G$4:$CC$300,$BF211,0))))</f>
        <v>0</v>
      </c>
      <c r="AT211" s="8" cm="1">
        <f t="array" ref="AT211">IF($AW211="",0,SUMPRODUCT((TRIM('LY Sales '!$B$5:$B$200)=$AW211)*('LY Sales '!$C$2:$AG$2&gt;=EDATE($U$4,-12))*('LY Sales '!$C$2:$AG$2&lt;=EDATE($U$5,-12)),'LY Sales '!$C$5:$AG$200))</f>
        <v>0</v>
      </c>
      <c r="AU211" s="8" cm="1">
        <f t="array" ref="AU211">IF($AW211="",0,SUMPRODUCT((TRIM('LY Transaction'!$B$5:$B$200)=$AW211)*('LY Transaction'!$C$2:$AG$2&gt;=EDATE($U$4,-12))*('LY Transaction'!$C$2:$AG$2&lt;=EDATE($U$5,-12)),'LY Transaction'!$C$5:$AG$200))</f>
        <v>0</v>
      </c>
      <c r="AV211" s="8" cm="1">
        <f t="array" ref="AV211">IF(NOT(ISNUMBER($BG211)),0,SUMPRODUCT(('TY Sales Target'!$K$2:$AO$2&gt;=$U$4)*('TY Sales Target'!$K$2:$AO$2&lt;=$U$5),INDEX('TY Sales Target'!$K$5:$AO$300,$BG211,0)))</f>
        <v>0</v>
      </c>
      <c r="AW211" s="8" t="str" cm="1">
        <f t="array" ref="AW211">IFERROR(INDEX(_xlfn.ANCHORARRAY($BR$5),ROWS($AW$5:AW211)),"")</f>
        <v/>
      </c>
      <c r="BB211" cm="1">
        <f t="array" ref="BB211">IF($AW211="",0,SUMPRODUCT((TRIM(Footfall!$B$5:$B$301)=$AW211)*(Footfall!$C$1:$BZ$1&gt;=$U$4)*(Footfall!$C$2:$BZ$2&lt;=$U$5)*(Footfall!$C$1:$BZ$1&lt;&gt;""),Footfall!$C$5:$BZ$301))</f>
        <v>0</v>
      </c>
      <c r="BC211" cm="1">
        <f t="array" ref="BC211">IF(OR($BB211&lt;=0,$BD$1="",$BF211=""),0,_xlfn.LET(_xlpm.d,IFERROR(--'Sales and count'!$F$2:$CB$2,0),SUMPRODUCT(('Sales and count'!$G$3:$CC$3="Transactions")*(_xlpm.d&gt;=$BD$1)*(_xlpm.d&lt;=$BD$2),INDEX('Sales and count'!$G$4:$CC$300,$BF211,0))))</f>
        <v>0</v>
      </c>
      <c r="BF211" t="str" cm="1">
        <f t="array" ref="BF211">IF($AW211="","",IFERROR(MATCH($AW211,TRIM('Sales and count'!$A$4:$A$300&amp;""),0),""))</f>
        <v/>
      </c>
      <c r="BG211" t="str" cm="1">
        <f t="array" ref="BG211">IF($AW211="","",IFERROR(MATCH(IFERROR(_xlfn.XLOOKUP($AW211,$BT$5:$BT$22,$BU$5:$BU$22),$AW211),TRIM('TY Sales Target'!$B$5:$B$300&amp;""),0),""))</f>
        <v/>
      </c>
      <c r="BH211" t="str" cm="1">
        <f t="array" ref="BH211">IF(ISNUMBER($BG211),_xlfn.LET(_xlpm.p,TRIM(INDEX('TY Sales Target'!$I$5:$I$300,$BG211)&amp;""),IF(_xlpm.p="","Not set",_xlpm.p)),"Not set")</f>
        <v>Not set</v>
      </c>
      <c r="BI211" cm="1">
        <f t="array" ref="BI211">IF($BF211="",0,_xlfn.LET(_xlpm.d,IFERROR(--'Sales and count'!$G$2:$CC$2,0),SUMPRODUCT(('Sales and count'!$G$3:$CC$3="Total")*(_xlpm.d&gt;=$BZ$5)*(_xlpm.d&lt;=$BZ$6),INDEX('Sales and count'!$G$4:$CC$300,$BF211,0))))</f>
        <v>0</v>
      </c>
      <c r="BJ211" cm="1">
        <f t="array" ref="BJ211">IF($AW211="",0,SUMPRODUCT((TRIM('LY Sales '!$B$5:$B$200)=$AW211)*('LY Sales '!$C$2:$AG$2&gt;=EDATE($BZ$5,-12))*('LY Sales '!$C$2:$AG$2&lt;=EDATE($BZ$6,-12)),'LY Sales '!$C$5:$AG$200))</f>
        <v>0</v>
      </c>
      <c r="BK211" cm="1">
        <f t="array" ref="BK211">IF($AW211="",0,SUMPRODUCT((TRIM('LY Sales '!$B$5:$B$200)=$AW211)*('LY Sales '!$C$2:$AG$2&gt;=EDATE($BZ$5,-12))*('LY Sales '!$C$2:$AG$2&lt;=EDATE($BZ$7,-12)),'LY Sales '!$C$5:$AG$200))</f>
        <v>0</v>
      </c>
      <c r="BL211" cm="1">
        <f t="array" ref="BL211">IF($AW211="",0,SUMPRODUCT((TRIM('LY Sales '!$B$5:$B$200)=$AW211)*('LY Sales '!$C$2:$AG$2&gt;=EDATE($BZ$5,-12))*('LY Sales '!$C$2:$AG$2&lt;=EDATE($BZ$6,-12))*('LY Sales '!$C$5:$AG$200&gt;0)))</f>
        <v>0</v>
      </c>
      <c r="BM211" cm="1">
        <f t="array" ref="BM211">IF(NOT(ISNUMBER($BG211)),0,SUMPRODUCT(('TY Sales Target'!$K$2:$AO$2&gt;=$BZ$5)*('TY Sales Target'!$K$2:$AO$2&lt;=$BZ$6),INDEX('TY Sales Target'!$K$5:$AO$300,$BG211,0)))</f>
        <v>0</v>
      </c>
      <c r="BN211" cm="1">
        <f t="array" ref="BN211">IF(NOT(ISNUMBER($BG211)),0,SUMPRODUCT(('TY Sales Target'!$K$2:$AO$2&gt;=$BZ$5)*('TY Sales Target'!$K$2:$AO$2&lt;=$BZ$7),INDEX('TY Sales Target'!$K$5:$AO$300,$BG211,0)))</f>
        <v>0</v>
      </c>
      <c r="BO211" cm="1">
        <f t="array" ref="BO211">IF($AW211="",0,IFERROR(_xlfn.SWITCH($BP211,"LY trend",$BI211*$BK211/$BJ211,"Target curve",$BI211*$BN211/$BM211,"Run rate",$BI211/$BZ$8*$BZ$9,0),0))</f>
        <v>0</v>
      </c>
      <c r="BP211" t="str">
        <f t="shared" si="125"/>
        <v/>
      </c>
      <c r="CB211" cm="1">
        <f t="array" ref="CB211">IF($AW211="",0,_xlfn.LET(_xlpm.k,IFERROR(_xlfn.XLOOKUP($AW211,$CD$6:$CD$21,$CE$6:$CE$21),$AW211),SUMPRODUCT((TRIM('Makeup '!$A$2:$A$300&amp;"")=_xlpm.k)*1,IFERROR('Makeup '!$F$2:$F$300*1,0))))</f>
        <v>0</v>
      </c>
      <c r="CF211" t="str" cm="1">
        <f t="array" ref="CF211">IF($AW211="","",_xlfn.LET(_xlpm.c,IFERROR(TRIM(INDEX('Sales and count'!$B$4:$B$300,$BF211)&amp;""),""),IF(OR(_xlpm.c="",_xlpm.c="0",LEFT(_xlpm.c,1)="#"),"Not set",_xlpm.c)))</f>
        <v/>
      </c>
      <c r="CH211" cm="1">
        <f t="array" ref="CH211">IF($AW211="",0,_xlfn.LET(_xlpm.k,IFERROR(_xlfn.XLOOKUP($AW211,$CD$6:$CD$21,$CE$6:$CE$21),$AW211),--(SUMPRODUCT((TRIM('Makeup '!$A$2:$A$300&amp;"")=_xlpm.k)*ISNUMBER('Makeup '!$F$2:$F$300))&gt;0)))</f>
        <v>0</v>
      </c>
      <c r="CI211">
        <f t="shared" si="128"/>
        <v>0</v>
      </c>
      <c r="CJ211" cm="1">
        <f t="array" ref="CJ211">IF($AW211="",0,--(SUMPRODUCT(--(TRIM(Footfall!$B$5:$B$301)=$AW211))&gt;0))</f>
        <v>0</v>
      </c>
      <c r="CK211" s="8" cm="1">
        <f t="array" ref="CK211">IF($AW211="",0,_xlfn.LET(_xlpm.r,IFERROR(MATCH(IFERROR(_xlfn.XLOOKUP($AW211,$BT$5:$BT$22,$BU$5:$BU$22),$AW211),TRIM('TY Beauty Target'!$B$5:$B$300&amp;""),0),""),IF(ISNUMBER(_xlpm.r),SUMPRODUCT(('TY Beauty Target'!$L$2:$AP$2&gt;=$U$4)*('TY Beauty Target'!$L$2:$AP$2&lt;=$U$5),INDEX('TY Beauty Target'!$L$5:$AP$300,_xlpm.r,0)),0)))</f>
        <v>0</v>
      </c>
    </row>
    <row r="212" spans="28:89" x14ac:dyDescent="0.25">
      <c r="AB212" s="40" t="str" cm="1">
        <f t="array" ref="AB212">IF($AI212="","",IF(LEFT($AI212,2)="C|",IF($C212="","",SUMPRODUCT($AP$5:$AP$302*($AO$5:$AO$302=$A212),$CK$5:$CK$302)),IF($AI212="CT",AB$13,IF(LEFT($AI212,3)="AM|",IF($C212="","",SUMPRODUCT($AP$5:$AP$302*($AN$5:$AN$302=$A212),$CK$5:$CK$302)),IF(LEFT($AI212,2)="S|",IF($AG212="","",INDEX($CK$5:$CK$302,$AH212)),IF($AI212="HDR","Makeup Target",""))))))</f>
        <v/>
      </c>
      <c r="AC212" s="41" t="str">
        <f t="shared" si="111"/>
        <v/>
      </c>
      <c r="AN212" s="8" t="str" cm="1">
        <f t="array" ref="AN212">IF($AW212="","",_xlfn.LET(_xlpm.sa,IFERROR(TRIM(INDEX('Sales and count'!$D$4:$D$300,$BF212)&amp;""),""),_xlpm.ta,IFERROR(TRIM(INDEX('TY Sales Target'!$F$5:$F$300,$BG212)&amp;""),""),IF(AND(_xlpm.sa&lt;&gt;"",LEFT(_xlpm.sa,1)&lt;&gt;"#",_xlpm.sa&lt;&gt;"0"),_xlpm.sa,IF(AND(_xlpm.ta&lt;&gt;"",LEFT(_xlpm.ta,1)&lt;&gt;"#",_xlpm.ta&lt;&gt;"0"),_xlpm.ta,IF(ISNUMBER($BG212),"Unassigned","")))))</f>
        <v/>
      </c>
      <c r="AO212" s="8" t="str" cm="1">
        <f t="array" ref="AO212">IF($AW212="","",_xlfn.LET(_xlpm.sa,IFERROR(TRIM(INDEX('Sales and count'!$C$4:$C$300,$BF212)&amp;""),""),_xlpm.ta,IFERROR(TRIM(INDEX('TY Sales Target'!$D$5:$D$300,$BG212)&amp;""),""),IF(AND(_xlpm.sa&lt;&gt;"",LEFT(_xlpm.sa,1)&lt;&gt;"#",_xlpm.sa&lt;&gt;"0"),_xlpm.sa,IF(AND(_xlpm.ta&lt;&gt;"",LEFT(_xlpm.ta,1)&lt;&gt;"#",_xlpm.ta&lt;&gt;"0"),_xlpm.ta,""))))</f>
        <v/>
      </c>
      <c r="AP212" s="8">
        <f t="shared" si="126"/>
        <v>0</v>
      </c>
      <c r="AQ212" s="8">
        <f t="shared" si="127"/>
        <v>0</v>
      </c>
      <c r="AR212" s="8" cm="1">
        <f t="array" ref="AR212">IF($BF212="",0,_xlfn.LET(_xlpm.d,IFERROR(--'Sales and count'!$G$2:$CC$2,0),SUMPRODUCT(('Sales and count'!$G$3:$CC$3="Total")*(_xlpm.d&gt;=$U$4)*(_xlpm.d&lt;=$U$5),INDEX('Sales and count'!$G$4:$CC$300,$BF212,0))))</f>
        <v>0</v>
      </c>
      <c r="AS212" s="8" cm="1">
        <f t="array" ref="AS212">IF($BF212="",0,_xlfn.LET(_xlpm.d,IFERROR(--'Sales and count'!$F$2:$CB$2,0),SUMPRODUCT(('Sales and count'!$G$3:$CC$3="Transactions")*(_xlpm.d&gt;=$U$4)*(_xlpm.d&lt;=$U$5),INDEX('Sales and count'!$G$4:$CC$300,$BF212,0))))</f>
        <v>0</v>
      </c>
      <c r="AT212" s="8" cm="1">
        <f t="array" ref="AT212">IF($AW212="",0,SUMPRODUCT((TRIM('LY Sales '!$B$5:$B$200)=$AW212)*('LY Sales '!$C$2:$AG$2&gt;=EDATE($U$4,-12))*('LY Sales '!$C$2:$AG$2&lt;=EDATE($U$5,-12)),'LY Sales '!$C$5:$AG$200))</f>
        <v>0</v>
      </c>
      <c r="AU212" s="8" cm="1">
        <f t="array" ref="AU212">IF($AW212="",0,SUMPRODUCT((TRIM('LY Transaction'!$B$5:$B$200)=$AW212)*('LY Transaction'!$C$2:$AG$2&gt;=EDATE($U$4,-12))*('LY Transaction'!$C$2:$AG$2&lt;=EDATE($U$5,-12)),'LY Transaction'!$C$5:$AG$200))</f>
        <v>0</v>
      </c>
      <c r="AV212" s="8" cm="1">
        <f t="array" ref="AV212">IF(NOT(ISNUMBER($BG212)),0,SUMPRODUCT(('TY Sales Target'!$K$2:$AO$2&gt;=$U$4)*('TY Sales Target'!$K$2:$AO$2&lt;=$U$5),INDEX('TY Sales Target'!$K$5:$AO$300,$BG212,0)))</f>
        <v>0</v>
      </c>
      <c r="AW212" s="8" t="str" cm="1">
        <f t="array" ref="AW212">IFERROR(INDEX(_xlfn.ANCHORARRAY($BR$5),ROWS($AW$5:AW212)),"")</f>
        <v/>
      </c>
      <c r="BB212" cm="1">
        <f t="array" ref="BB212">IF($AW212="",0,SUMPRODUCT((TRIM(Footfall!$B$5:$B$301)=$AW212)*(Footfall!$C$1:$BZ$1&gt;=$U$4)*(Footfall!$C$2:$BZ$2&lt;=$U$5)*(Footfall!$C$1:$BZ$1&lt;&gt;""),Footfall!$C$5:$BZ$301))</f>
        <v>0</v>
      </c>
      <c r="BC212" cm="1">
        <f t="array" ref="BC212">IF(OR($BB212&lt;=0,$BD$1="",$BF212=""),0,_xlfn.LET(_xlpm.d,IFERROR(--'Sales and count'!$F$2:$CB$2,0),SUMPRODUCT(('Sales and count'!$G$3:$CC$3="Transactions")*(_xlpm.d&gt;=$BD$1)*(_xlpm.d&lt;=$BD$2),INDEX('Sales and count'!$G$4:$CC$300,$BF212,0))))</f>
        <v>0</v>
      </c>
      <c r="BF212" t="str" cm="1">
        <f t="array" ref="BF212">IF($AW212="","",IFERROR(MATCH($AW212,TRIM('Sales and count'!$A$4:$A$300&amp;""),0),""))</f>
        <v/>
      </c>
      <c r="BG212" t="str" cm="1">
        <f t="array" ref="BG212">IF($AW212="","",IFERROR(MATCH(IFERROR(_xlfn.XLOOKUP($AW212,$BT$5:$BT$22,$BU$5:$BU$22),$AW212),TRIM('TY Sales Target'!$B$5:$B$300&amp;""),0),""))</f>
        <v/>
      </c>
      <c r="BH212" t="str" cm="1">
        <f t="array" ref="BH212">IF(ISNUMBER($BG212),_xlfn.LET(_xlpm.p,TRIM(INDEX('TY Sales Target'!$I$5:$I$300,$BG212)&amp;""),IF(_xlpm.p="","Not set",_xlpm.p)),"Not set")</f>
        <v>Not set</v>
      </c>
      <c r="BI212" cm="1">
        <f t="array" ref="BI212">IF($BF212="",0,_xlfn.LET(_xlpm.d,IFERROR(--'Sales and count'!$G$2:$CC$2,0),SUMPRODUCT(('Sales and count'!$G$3:$CC$3="Total")*(_xlpm.d&gt;=$BZ$5)*(_xlpm.d&lt;=$BZ$6),INDEX('Sales and count'!$G$4:$CC$300,$BF212,0))))</f>
        <v>0</v>
      </c>
      <c r="BJ212" cm="1">
        <f t="array" ref="BJ212">IF($AW212="",0,SUMPRODUCT((TRIM('LY Sales '!$B$5:$B$200)=$AW212)*('LY Sales '!$C$2:$AG$2&gt;=EDATE($BZ$5,-12))*('LY Sales '!$C$2:$AG$2&lt;=EDATE($BZ$6,-12)),'LY Sales '!$C$5:$AG$200))</f>
        <v>0</v>
      </c>
      <c r="BK212" cm="1">
        <f t="array" ref="BK212">IF($AW212="",0,SUMPRODUCT((TRIM('LY Sales '!$B$5:$B$200)=$AW212)*('LY Sales '!$C$2:$AG$2&gt;=EDATE($BZ$5,-12))*('LY Sales '!$C$2:$AG$2&lt;=EDATE($BZ$7,-12)),'LY Sales '!$C$5:$AG$200))</f>
        <v>0</v>
      </c>
      <c r="BL212" cm="1">
        <f t="array" ref="BL212">IF($AW212="",0,SUMPRODUCT((TRIM('LY Sales '!$B$5:$B$200)=$AW212)*('LY Sales '!$C$2:$AG$2&gt;=EDATE($BZ$5,-12))*('LY Sales '!$C$2:$AG$2&lt;=EDATE($BZ$6,-12))*('LY Sales '!$C$5:$AG$200&gt;0)))</f>
        <v>0</v>
      </c>
      <c r="BM212" cm="1">
        <f t="array" ref="BM212">IF(NOT(ISNUMBER($BG212)),0,SUMPRODUCT(('TY Sales Target'!$K$2:$AO$2&gt;=$BZ$5)*('TY Sales Target'!$K$2:$AO$2&lt;=$BZ$6),INDEX('TY Sales Target'!$K$5:$AO$300,$BG212,0)))</f>
        <v>0</v>
      </c>
      <c r="BN212" cm="1">
        <f t="array" ref="BN212">IF(NOT(ISNUMBER($BG212)),0,SUMPRODUCT(('TY Sales Target'!$K$2:$AO$2&gt;=$BZ$5)*('TY Sales Target'!$K$2:$AO$2&lt;=$BZ$7),INDEX('TY Sales Target'!$K$5:$AO$300,$BG212,0)))</f>
        <v>0</v>
      </c>
      <c r="BO212" cm="1">
        <f t="array" ref="BO212">IF($AW212="",0,IFERROR(_xlfn.SWITCH($BP212,"LY trend",$BI212*$BK212/$BJ212,"Target curve",$BI212*$BN212/$BM212,"Run rate",$BI212/$BZ$8*$BZ$9,0),0))</f>
        <v>0</v>
      </c>
      <c r="BP212" t="str">
        <f t="shared" si="125"/>
        <v/>
      </c>
      <c r="CB212" cm="1">
        <f t="array" ref="CB212">IF($AW212="",0,_xlfn.LET(_xlpm.k,IFERROR(_xlfn.XLOOKUP($AW212,$CD$6:$CD$21,$CE$6:$CE$21),$AW212),SUMPRODUCT((TRIM('Makeup '!$A$2:$A$300&amp;"")=_xlpm.k)*1,IFERROR('Makeup '!$F$2:$F$300*1,0))))</f>
        <v>0</v>
      </c>
      <c r="CF212" t="str" cm="1">
        <f t="array" ref="CF212">IF($AW212="","",_xlfn.LET(_xlpm.c,IFERROR(TRIM(INDEX('Sales and count'!$B$4:$B$300,$BF212)&amp;""),""),IF(OR(_xlpm.c="",_xlpm.c="0",LEFT(_xlpm.c,1)="#"),"Not set",_xlpm.c)))</f>
        <v/>
      </c>
      <c r="CH212" cm="1">
        <f t="array" ref="CH212">IF($AW212="",0,_xlfn.LET(_xlpm.k,IFERROR(_xlfn.XLOOKUP($AW212,$CD$6:$CD$21,$CE$6:$CE$21),$AW212),--(SUMPRODUCT((TRIM('Makeup '!$A$2:$A$300&amp;"")=_xlpm.k)*ISNUMBER('Makeup '!$F$2:$F$300))&gt;0)))</f>
        <v>0</v>
      </c>
      <c r="CI212">
        <f t="shared" si="128"/>
        <v>0</v>
      </c>
      <c r="CJ212" cm="1">
        <f t="array" ref="CJ212">IF($AW212="",0,--(SUMPRODUCT(--(TRIM(Footfall!$B$5:$B$301)=$AW212))&gt;0))</f>
        <v>0</v>
      </c>
      <c r="CK212" s="8" cm="1">
        <f t="array" ref="CK212">IF($AW212="",0,_xlfn.LET(_xlpm.r,IFERROR(MATCH(IFERROR(_xlfn.XLOOKUP($AW212,$BT$5:$BT$22,$BU$5:$BU$22),$AW212),TRIM('TY Beauty Target'!$B$5:$B$300&amp;""),0),""),IF(ISNUMBER(_xlpm.r),SUMPRODUCT(('TY Beauty Target'!$L$2:$AP$2&gt;=$U$4)*('TY Beauty Target'!$L$2:$AP$2&lt;=$U$5),INDEX('TY Beauty Target'!$L$5:$AP$300,_xlpm.r,0)),0)))</f>
        <v>0</v>
      </c>
    </row>
    <row r="213" spans="28:89" x14ac:dyDescent="0.25">
      <c r="AB213" s="40" t="str" cm="1">
        <f t="array" ref="AB213">IF($AI213="","",IF(LEFT($AI213,2)="C|",IF($C213="","",SUMPRODUCT($AP$5:$AP$302*($AO$5:$AO$302=$A213),$CK$5:$CK$302)),IF($AI213="CT",AB$13,IF(LEFT($AI213,3)="AM|",IF($C213="","",SUMPRODUCT($AP$5:$AP$302*($AN$5:$AN$302=$A213),$CK$5:$CK$302)),IF(LEFT($AI213,2)="S|",IF($AG213="","",INDEX($CK$5:$CK$302,$AH213)),IF($AI213="HDR","Makeup Target",""))))))</f>
        <v/>
      </c>
      <c r="AC213" s="41" t="str">
        <f t="shared" si="111"/>
        <v/>
      </c>
      <c r="AN213" s="8" t="str" cm="1">
        <f t="array" ref="AN213">IF($AW213="","",_xlfn.LET(_xlpm.sa,IFERROR(TRIM(INDEX('Sales and count'!$D$4:$D$300,$BF213)&amp;""),""),_xlpm.ta,IFERROR(TRIM(INDEX('TY Sales Target'!$F$5:$F$300,$BG213)&amp;""),""),IF(AND(_xlpm.sa&lt;&gt;"",LEFT(_xlpm.sa,1)&lt;&gt;"#",_xlpm.sa&lt;&gt;"0"),_xlpm.sa,IF(AND(_xlpm.ta&lt;&gt;"",LEFT(_xlpm.ta,1)&lt;&gt;"#",_xlpm.ta&lt;&gt;"0"),_xlpm.ta,IF(ISNUMBER($BG213),"Unassigned","")))))</f>
        <v/>
      </c>
      <c r="AO213" s="8" t="str" cm="1">
        <f t="array" ref="AO213">IF($AW213="","",_xlfn.LET(_xlpm.sa,IFERROR(TRIM(INDEX('Sales and count'!$C$4:$C$300,$BF213)&amp;""),""),_xlpm.ta,IFERROR(TRIM(INDEX('TY Sales Target'!$D$5:$D$300,$BG213)&amp;""),""),IF(AND(_xlpm.sa&lt;&gt;"",LEFT(_xlpm.sa,1)&lt;&gt;"#",_xlpm.sa&lt;&gt;"0"),_xlpm.sa,IF(AND(_xlpm.ta&lt;&gt;"",LEFT(_xlpm.ta,1)&lt;&gt;"#",_xlpm.ta&lt;&gt;"0"),_xlpm.ta,""))))</f>
        <v/>
      </c>
      <c r="AP213" s="8">
        <f t="shared" si="126"/>
        <v>0</v>
      </c>
      <c r="AQ213" s="8">
        <f t="shared" si="127"/>
        <v>0</v>
      </c>
      <c r="AR213" s="8" cm="1">
        <f t="array" ref="AR213">IF($BF213="",0,_xlfn.LET(_xlpm.d,IFERROR(--'Sales and count'!$G$2:$CC$2,0),SUMPRODUCT(('Sales and count'!$G$3:$CC$3="Total")*(_xlpm.d&gt;=$U$4)*(_xlpm.d&lt;=$U$5),INDEX('Sales and count'!$G$4:$CC$300,$BF213,0))))</f>
        <v>0</v>
      </c>
      <c r="AS213" s="8" cm="1">
        <f t="array" ref="AS213">IF($BF213="",0,_xlfn.LET(_xlpm.d,IFERROR(--'Sales and count'!$F$2:$CB$2,0),SUMPRODUCT(('Sales and count'!$G$3:$CC$3="Transactions")*(_xlpm.d&gt;=$U$4)*(_xlpm.d&lt;=$U$5),INDEX('Sales and count'!$G$4:$CC$300,$BF213,0))))</f>
        <v>0</v>
      </c>
      <c r="AT213" s="8" cm="1">
        <f t="array" ref="AT213">IF($AW213="",0,SUMPRODUCT((TRIM('LY Sales '!$B$5:$B$200)=$AW213)*('LY Sales '!$C$2:$AG$2&gt;=EDATE($U$4,-12))*('LY Sales '!$C$2:$AG$2&lt;=EDATE($U$5,-12)),'LY Sales '!$C$5:$AG$200))</f>
        <v>0</v>
      </c>
      <c r="AU213" s="8" cm="1">
        <f t="array" ref="AU213">IF($AW213="",0,SUMPRODUCT((TRIM('LY Transaction'!$B$5:$B$200)=$AW213)*('LY Transaction'!$C$2:$AG$2&gt;=EDATE($U$4,-12))*('LY Transaction'!$C$2:$AG$2&lt;=EDATE($U$5,-12)),'LY Transaction'!$C$5:$AG$200))</f>
        <v>0</v>
      </c>
      <c r="AV213" s="8" cm="1">
        <f t="array" ref="AV213">IF(NOT(ISNUMBER($BG213)),0,SUMPRODUCT(('TY Sales Target'!$K$2:$AO$2&gt;=$U$4)*('TY Sales Target'!$K$2:$AO$2&lt;=$U$5),INDEX('TY Sales Target'!$K$5:$AO$300,$BG213,0)))</f>
        <v>0</v>
      </c>
      <c r="AW213" s="8" t="str" cm="1">
        <f t="array" ref="AW213">IFERROR(INDEX(_xlfn.ANCHORARRAY($BR$5),ROWS($AW$5:AW213)),"")</f>
        <v/>
      </c>
      <c r="BB213" cm="1">
        <f t="array" ref="BB213">IF($AW213="",0,SUMPRODUCT((TRIM(Footfall!$B$5:$B$301)=$AW213)*(Footfall!$C$1:$BZ$1&gt;=$U$4)*(Footfall!$C$2:$BZ$2&lt;=$U$5)*(Footfall!$C$1:$BZ$1&lt;&gt;""),Footfall!$C$5:$BZ$301))</f>
        <v>0</v>
      </c>
      <c r="BC213" cm="1">
        <f t="array" ref="BC213">IF(OR($BB213&lt;=0,$BD$1="",$BF213=""),0,_xlfn.LET(_xlpm.d,IFERROR(--'Sales and count'!$F$2:$CB$2,0),SUMPRODUCT(('Sales and count'!$G$3:$CC$3="Transactions")*(_xlpm.d&gt;=$BD$1)*(_xlpm.d&lt;=$BD$2),INDEX('Sales and count'!$G$4:$CC$300,$BF213,0))))</f>
        <v>0</v>
      </c>
      <c r="BF213" t="str" cm="1">
        <f t="array" ref="BF213">IF($AW213="","",IFERROR(MATCH($AW213,TRIM('Sales and count'!$A$4:$A$300&amp;""),0),""))</f>
        <v/>
      </c>
      <c r="BG213" t="str" cm="1">
        <f t="array" ref="BG213">IF($AW213="","",IFERROR(MATCH(IFERROR(_xlfn.XLOOKUP($AW213,$BT$5:$BT$22,$BU$5:$BU$22),$AW213),TRIM('TY Sales Target'!$B$5:$B$300&amp;""),0),""))</f>
        <v/>
      </c>
      <c r="BH213" t="str" cm="1">
        <f t="array" ref="BH213">IF(ISNUMBER($BG213),_xlfn.LET(_xlpm.p,TRIM(INDEX('TY Sales Target'!$I$5:$I$300,$BG213)&amp;""),IF(_xlpm.p="","Not set",_xlpm.p)),"Not set")</f>
        <v>Not set</v>
      </c>
      <c r="BI213" cm="1">
        <f t="array" ref="BI213">IF($BF213="",0,_xlfn.LET(_xlpm.d,IFERROR(--'Sales and count'!$G$2:$CC$2,0),SUMPRODUCT(('Sales and count'!$G$3:$CC$3="Total")*(_xlpm.d&gt;=$BZ$5)*(_xlpm.d&lt;=$BZ$6),INDEX('Sales and count'!$G$4:$CC$300,$BF213,0))))</f>
        <v>0</v>
      </c>
      <c r="BJ213" cm="1">
        <f t="array" ref="BJ213">IF($AW213="",0,SUMPRODUCT((TRIM('LY Sales '!$B$5:$B$200)=$AW213)*('LY Sales '!$C$2:$AG$2&gt;=EDATE($BZ$5,-12))*('LY Sales '!$C$2:$AG$2&lt;=EDATE($BZ$6,-12)),'LY Sales '!$C$5:$AG$200))</f>
        <v>0</v>
      </c>
      <c r="BK213" cm="1">
        <f t="array" ref="BK213">IF($AW213="",0,SUMPRODUCT((TRIM('LY Sales '!$B$5:$B$200)=$AW213)*('LY Sales '!$C$2:$AG$2&gt;=EDATE($BZ$5,-12))*('LY Sales '!$C$2:$AG$2&lt;=EDATE($BZ$7,-12)),'LY Sales '!$C$5:$AG$200))</f>
        <v>0</v>
      </c>
      <c r="BL213" cm="1">
        <f t="array" ref="BL213">IF($AW213="",0,SUMPRODUCT((TRIM('LY Sales '!$B$5:$B$200)=$AW213)*('LY Sales '!$C$2:$AG$2&gt;=EDATE($BZ$5,-12))*('LY Sales '!$C$2:$AG$2&lt;=EDATE($BZ$6,-12))*('LY Sales '!$C$5:$AG$200&gt;0)))</f>
        <v>0</v>
      </c>
      <c r="BM213" cm="1">
        <f t="array" ref="BM213">IF(NOT(ISNUMBER($BG213)),0,SUMPRODUCT(('TY Sales Target'!$K$2:$AO$2&gt;=$BZ$5)*('TY Sales Target'!$K$2:$AO$2&lt;=$BZ$6),INDEX('TY Sales Target'!$K$5:$AO$300,$BG213,0)))</f>
        <v>0</v>
      </c>
      <c r="BN213" cm="1">
        <f t="array" ref="BN213">IF(NOT(ISNUMBER($BG213)),0,SUMPRODUCT(('TY Sales Target'!$K$2:$AO$2&gt;=$BZ$5)*('TY Sales Target'!$K$2:$AO$2&lt;=$BZ$7),INDEX('TY Sales Target'!$K$5:$AO$300,$BG213,0)))</f>
        <v>0</v>
      </c>
      <c r="BO213" cm="1">
        <f t="array" ref="BO213">IF($AW213="",0,IFERROR(_xlfn.SWITCH($BP213,"LY trend",$BI213*$BK213/$BJ213,"Target curve",$BI213*$BN213/$BM213,"Run rate",$BI213/$BZ$8*$BZ$9,0),0))</f>
        <v>0</v>
      </c>
      <c r="BP213" t="str">
        <f t="shared" si="125"/>
        <v/>
      </c>
      <c r="CB213" cm="1">
        <f t="array" ref="CB213">IF($AW213="",0,_xlfn.LET(_xlpm.k,IFERROR(_xlfn.XLOOKUP($AW213,$CD$6:$CD$21,$CE$6:$CE$21),$AW213),SUMPRODUCT((TRIM('Makeup '!$A$2:$A$300&amp;"")=_xlpm.k)*1,IFERROR('Makeup '!$F$2:$F$300*1,0))))</f>
        <v>0</v>
      </c>
      <c r="CF213" t="str" cm="1">
        <f t="array" ref="CF213">IF($AW213="","",_xlfn.LET(_xlpm.c,IFERROR(TRIM(INDEX('Sales and count'!$B$4:$B$300,$BF213)&amp;""),""),IF(OR(_xlpm.c="",_xlpm.c="0",LEFT(_xlpm.c,1)="#"),"Not set",_xlpm.c)))</f>
        <v/>
      </c>
      <c r="CH213" cm="1">
        <f t="array" ref="CH213">IF($AW213="",0,_xlfn.LET(_xlpm.k,IFERROR(_xlfn.XLOOKUP($AW213,$CD$6:$CD$21,$CE$6:$CE$21),$AW213),--(SUMPRODUCT((TRIM('Makeup '!$A$2:$A$300&amp;"")=_xlpm.k)*ISNUMBER('Makeup '!$F$2:$F$300))&gt;0)))</f>
        <v>0</v>
      </c>
      <c r="CI213">
        <f t="shared" si="128"/>
        <v>0</v>
      </c>
      <c r="CJ213" cm="1">
        <f t="array" ref="CJ213">IF($AW213="",0,--(SUMPRODUCT(--(TRIM(Footfall!$B$5:$B$301)=$AW213))&gt;0))</f>
        <v>0</v>
      </c>
      <c r="CK213" s="8" cm="1">
        <f t="array" ref="CK213">IF($AW213="",0,_xlfn.LET(_xlpm.r,IFERROR(MATCH(IFERROR(_xlfn.XLOOKUP($AW213,$BT$5:$BT$22,$BU$5:$BU$22),$AW213),TRIM('TY Beauty Target'!$B$5:$B$300&amp;""),0),""),IF(ISNUMBER(_xlpm.r),SUMPRODUCT(('TY Beauty Target'!$L$2:$AP$2&gt;=$U$4)*('TY Beauty Target'!$L$2:$AP$2&lt;=$U$5),INDEX('TY Beauty Target'!$L$5:$AP$300,_xlpm.r,0)),0)))</f>
        <v>0</v>
      </c>
    </row>
    <row r="214" spans="28:89" x14ac:dyDescent="0.25">
      <c r="AB214" s="40" t="str" cm="1">
        <f t="array" ref="AB214">IF($AI214="","",IF(LEFT($AI214,2)="C|",IF($C214="","",SUMPRODUCT($AP$5:$AP$302*($AO$5:$AO$302=$A214),$CK$5:$CK$302)),IF($AI214="CT",AB$13,IF(LEFT($AI214,3)="AM|",IF($C214="","",SUMPRODUCT($AP$5:$AP$302*($AN$5:$AN$302=$A214),$CK$5:$CK$302)),IF(LEFT($AI214,2)="S|",IF($AG214="","",INDEX($CK$5:$CK$302,$AH214)),IF($AI214="HDR","Makeup Target",""))))))</f>
        <v/>
      </c>
      <c r="AC214" s="41" t="str">
        <f t="shared" si="111"/>
        <v/>
      </c>
      <c r="AN214" s="8" t="str" cm="1">
        <f t="array" ref="AN214">IF($AW214="","",_xlfn.LET(_xlpm.sa,IFERROR(TRIM(INDEX('Sales and count'!$D$4:$D$300,$BF214)&amp;""),""),_xlpm.ta,IFERROR(TRIM(INDEX('TY Sales Target'!$F$5:$F$300,$BG214)&amp;""),""),IF(AND(_xlpm.sa&lt;&gt;"",LEFT(_xlpm.sa,1)&lt;&gt;"#",_xlpm.sa&lt;&gt;"0"),_xlpm.sa,IF(AND(_xlpm.ta&lt;&gt;"",LEFT(_xlpm.ta,1)&lt;&gt;"#",_xlpm.ta&lt;&gt;"0"),_xlpm.ta,IF(ISNUMBER($BG214),"Unassigned","")))))</f>
        <v/>
      </c>
      <c r="AO214" s="8" t="str" cm="1">
        <f t="array" ref="AO214">IF($AW214="","",_xlfn.LET(_xlpm.sa,IFERROR(TRIM(INDEX('Sales and count'!$C$4:$C$300,$BF214)&amp;""),""),_xlpm.ta,IFERROR(TRIM(INDEX('TY Sales Target'!$D$5:$D$300,$BG214)&amp;""),""),IF(AND(_xlpm.sa&lt;&gt;"",LEFT(_xlpm.sa,1)&lt;&gt;"#",_xlpm.sa&lt;&gt;"0"),_xlpm.sa,IF(AND(_xlpm.ta&lt;&gt;"",LEFT(_xlpm.ta,1)&lt;&gt;"#",_xlpm.ta&lt;&gt;"0"),_xlpm.ta,""))))</f>
        <v/>
      </c>
      <c r="AP214" s="8">
        <f t="shared" si="126"/>
        <v>0</v>
      </c>
      <c r="AQ214" s="8">
        <f t="shared" si="127"/>
        <v>0</v>
      </c>
      <c r="AR214" s="8" cm="1">
        <f t="array" ref="AR214">IF($BF214="",0,_xlfn.LET(_xlpm.d,IFERROR(--'Sales and count'!$G$2:$CC$2,0),SUMPRODUCT(('Sales and count'!$G$3:$CC$3="Total")*(_xlpm.d&gt;=$U$4)*(_xlpm.d&lt;=$U$5),INDEX('Sales and count'!$G$4:$CC$300,$BF214,0))))</f>
        <v>0</v>
      </c>
      <c r="AS214" s="8" cm="1">
        <f t="array" ref="AS214">IF($BF214="",0,_xlfn.LET(_xlpm.d,IFERROR(--'Sales and count'!$F$2:$CB$2,0),SUMPRODUCT(('Sales and count'!$G$3:$CC$3="Transactions")*(_xlpm.d&gt;=$U$4)*(_xlpm.d&lt;=$U$5),INDEX('Sales and count'!$G$4:$CC$300,$BF214,0))))</f>
        <v>0</v>
      </c>
      <c r="AT214" s="8" cm="1">
        <f t="array" ref="AT214">IF($AW214="",0,SUMPRODUCT((TRIM('LY Sales '!$B$5:$B$200)=$AW214)*('LY Sales '!$C$2:$AG$2&gt;=EDATE($U$4,-12))*('LY Sales '!$C$2:$AG$2&lt;=EDATE($U$5,-12)),'LY Sales '!$C$5:$AG$200))</f>
        <v>0</v>
      </c>
      <c r="AU214" s="8" cm="1">
        <f t="array" ref="AU214">IF($AW214="",0,SUMPRODUCT((TRIM('LY Transaction'!$B$5:$B$200)=$AW214)*('LY Transaction'!$C$2:$AG$2&gt;=EDATE($U$4,-12))*('LY Transaction'!$C$2:$AG$2&lt;=EDATE($U$5,-12)),'LY Transaction'!$C$5:$AG$200))</f>
        <v>0</v>
      </c>
      <c r="AV214" s="8" cm="1">
        <f t="array" ref="AV214">IF(NOT(ISNUMBER($BG214)),0,SUMPRODUCT(('TY Sales Target'!$K$2:$AO$2&gt;=$U$4)*('TY Sales Target'!$K$2:$AO$2&lt;=$U$5),INDEX('TY Sales Target'!$K$5:$AO$300,$BG214,0)))</f>
        <v>0</v>
      </c>
      <c r="AW214" s="8" t="str" cm="1">
        <f t="array" ref="AW214">IFERROR(INDEX(_xlfn.ANCHORARRAY($BR$5),ROWS($AW$5:AW214)),"")</f>
        <v/>
      </c>
      <c r="BB214" cm="1">
        <f t="array" ref="BB214">IF($AW214="",0,SUMPRODUCT((TRIM(Footfall!$B$5:$B$301)=$AW214)*(Footfall!$C$1:$BZ$1&gt;=$U$4)*(Footfall!$C$2:$BZ$2&lt;=$U$5)*(Footfall!$C$1:$BZ$1&lt;&gt;""),Footfall!$C$5:$BZ$301))</f>
        <v>0</v>
      </c>
      <c r="BC214" cm="1">
        <f t="array" ref="BC214">IF(OR($BB214&lt;=0,$BD$1="",$BF214=""),0,_xlfn.LET(_xlpm.d,IFERROR(--'Sales and count'!$F$2:$CB$2,0),SUMPRODUCT(('Sales and count'!$G$3:$CC$3="Transactions")*(_xlpm.d&gt;=$BD$1)*(_xlpm.d&lt;=$BD$2),INDEX('Sales and count'!$G$4:$CC$300,$BF214,0))))</f>
        <v>0</v>
      </c>
      <c r="BF214" t="str" cm="1">
        <f t="array" ref="BF214">IF($AW214="","",IFERROR(MATCH($AW214,TRIM('Sales and count'!$A$4:$A$300&amp;""),0),""))</f>
        <v/>
      </c>
      <c r="BG214" t="str" cm="1">
        <f t="array" ref="BG214">IF($AW214="","",IFERROR(MATCH(IFERROR(_xlfn.XLOOKUP($AW214,$BT$5:$BT$22,$BU$5:$BU$22),$AW214),TRIM('TY Sales Target'!$B$5:$B$300&amp;""),0),""))</f>
        <v/>
      </c>
      <c r="BH214" t="str" cm="1">
        <f t="array" ref="BH214">IF(ISNUMBER($BG214),_xlfn.LET(_xlpm.p,TRIM(INDEX('TY Sales Target'!$I$5:$I$300,$BG214)&amp;""),IF(_xlpm.p="","Not set",_xlpm.p)),"Not set")</f>
        <v>Not set</v>
      </c>
      <c r="BI214" cm="1">
        <f t="array" ref="BI214">IF($BF214="",0,_xlfn.LET(_xlpm.d,IFERROR(--'Sales and count'!$G$2:$CC$2,0),SUMPRODUCT(('Sales and count'!$G$3:$CC$3="Total")*(_xlpm.d&gt;=$BZ$5)*(_xlpm.d&lt;=$BZ$6),INDEX('Sales and count'!$G$4:$CC$300,$BF214,0))))</f>
        <v>0</v>
      </c>
      <c r="BJ214" cm="1">
        <f t="array" ref="BJ214">IF($AW214="",0,SUMPRODUCT((TRIM('LY Sales '!$B$5:$B$200)=$AW214)*('LY Sales '!$C$2:$AG$2&gt;=EDATE($BZ$5,-12))*('LY Sales '!$C$2:$AG$2&lt;=EDATE($BZ$6,-12)),'LY Sales '!$C$5:$AG$200))</f>
        <v>0</v>
      </c>
      <c r="BK214" cm="1">
        <f t="array" ref="BK214">IF($AW214="",0,SUMPRODUCT((TRIM('LY Sales '!$B$5:$B$200)=$AW214)*('LY Sales '!$C$2:$AG$2&gt;=EDATE($BZ$5,-12))*('LY Sales '!$C$2:$AG$2&lt;=EDATE($BZ$7,-12)),'LY Sales '!$C$5:$AG$200))</f>
        <v>0</v>
      </c>
      <c r="BL214" cm="1">
        <f t="array" ref="BL214">IF($AW214="",0,SUMPRODUCT((TRIM('LY Sales '!$B$5:$B$200)=$AW214)*('LY Sales '!$C$2:$AG$2&gt;=EDATE($BZ$5,-12))*('LY Sales '!$C$2:$AG$2&lt;=EDATE($BZ$6,-12))*('LY Sales '!$C$5:$AG$200&gt;0)))</f>
        <v>0</v>
      </c>
      <c r="BM214" cm="1">
        <f t="array" ref="BM214">IF(NOT(ISNUMBER($BG214)),0,SUMPRODUCT(('TY Sales Target'!$K$2:$AO$2&gt;=$BZ$5)*('TY Sales Target'!$K$2:$AO$2&lt;=$BZ$6),INDEX('TY Sales Target'!$K$5:$AO$300,$BG214,0)))</f>
        <v>0</v>
      </c>
      <c r="BN214" cm="1">
        <f t="array" ref="BN214">IF(NOT(ISNUMBER($BG214)),0,SUMPRODUCT(('TY Sales Target'!$K$2:$AO$2&gt;=$BZ$5)*('TY Sales Target'!$K$2:$AO$2&lt;=$BZ$7),INDEX('TY Sales Target'!$K$5:$AO$300,$BG214,0)))</f>
        <v>0</v>
      </c>
      <c r="BO214" cm="1">
        <f t="array" ref="BO214">IF($AW214="",0,IFERROR(_xlfn.SWITCH($BP214,"LY trend",$BI214*$BK214/$BJ214,"Target curve",$BI214*$BN214/$BM214,"Run rate",$BI214/$BZ$8*$BZ$9,0),0))</f>
        <v>0</v>
      </c>
      <c r="BP214" t="str">
        <f t="shared" si="125"/>
        <v/>
      </c>
      <c r="CB214" cm="1">
        <f t="array" ref="CB214">IF($AW214="",0,_xlfn.LET(_xlpm.k,IFERROR(_xlfn.XLOOKUP($AW214,$CD$6:$CD$21,$CE$6:$CE$21),$AW214),SUMPRODUCT((TRIM('Makeup '!$A$2:$A$300&amp;"")=_xlpm.k)*1,IFERROR('Makeup '!$F$2:$F$300*1,0))))</f>
        <v>0</v>
      </c>
      <c r="CF214" t="str" cm="1">
        <f t="array" ref="CF214">IF($AW214="","",_xlfn.LET(_xlpm.c,IFERROR(TRIM(INDEX('Sales and count'!$B$4:$B$300,$BF214)&amp;""),""),IF(OR(_xlpm.c="",_xlpm.c="0",LEFT(_xlpm.c,1)="#"),"Not set",_xlpm.c)))</f>
        <v/>
      </c>
      <c r="CH214" cm="1">
        <f t="array" ref="CH214">IF($AW214="",0,_xlfn.LET(_xlpm.k,IFERROR(_xlfn.XLOOKUP($AW214,$CD$6:$CD$21,$CE$6:$CE$21),$AW214),--(SUMPRODUCT((TRIM('Makeup '!$A$2:$A$300&amp;"")=_xlpm.k)*ISNUMBER('Makeup '!$F$2:$F$300))&gt;0)))</f>
        <v>0</v>
      </c>
      <c r="CI214">
        <f t="shared" si="128"/>
        <v>0</v>
      </c>
      <c r="CJ214" cm="1">
        <f t="array" ref="CJ214">IF($AW214="",0,--(SUMPRODUCT(--(TRIM(Footfall!$B$5:$B$301)=$AW214))&gt;0))</f>
        <v>0</v>
      </c>
      <c r="CK214" s="8" cm="1">
        <f t="array" ref="CK214">IF($AW214="",0,_xlfn.LET(_xlpm.r,IFERROR(MATCH(IFERROR(_xlfn.XLOOKUP($AW214,$BT$5:$BT$22,$BU$5:$BU$22),$AW214),TRIM('TY Beauty Target'!$B$5:$B$300&amp;""),0),""),IF(ISNUMBER(_xlpm.r),SUMPRODUCT(('TY Beauty Target'!$L$2:$AP$2&gt;=$U$4)*('TY Beauty Target'!$L$2:$AP$2&lt;=$U$5),INDEX('TY Beauty Target'!$L$5:$AP$300,_xlpm.r,0)),0)))</f>
        <v>0</v>
      </c>
    </row>
    <row r="215" spans="28:89" x14ac:dyDescent="0.25">
      <c r="AB215" s="40" t="str" cm="1">
        <f t="array" ref="AB215">IF($AI215="","",IF(LEFT($AI215,2)="C|",IF($C215="","",SUMPRODUCT($AP$5:$AP$302*($AO$5:$AO$302=$A215),$CK$5:$CK$302)),IF($AI215="CT",AB$13,IF(LEFT($AI215,3)="AM|",IF($C215="","",SUMPRODUCT($AP$5:$AP$302*($AN$5:$AN$302=$A215),$CK$5:$CK$302)),IF(LEFT($AI215,2)="S|",IF($AG215="","",INDEX($CK$5:$CK$302,$AH215)),IF($AI215="HDR","Makeup Target",""))))))</f>
        <v/>
      </c>
      <c r="AC215" s="41" t="str">
        <f t="shared" si="111"/>
        <v/>
      </c>
      <c r="AN215" s="8" t="str" cm="1">
        <f t="array" ref="AN215">IF($AW215="","",_xlfn.LET(_xlpm.sa,IFERROR(TRIM(INDEX('Sales and count'!$D$4:$D$300,$BF215)&amp;""),""),_xlpm.ta,IFERROR(TRIM(INDEX('TY Sales Target'!$F$5:$F$300,$BG215)&amp;""),""),IF(AND(_xlpm.sa&lt;&gt;"",LEFT(_xlpm.sa,1)&lt;&gt;"#",_xlpm.sa&lt;&gt;"0"),_xlpm.sa,IF(AND(_xlpm.ta&lt;&gt;"",LEFT(_xlpm.ta,1)&lt;&gt;"#",_xlpm.ta&lt;&gt;"0"),_xlpm.ta,IF(ISNUMBER($BG215),"Unassigned","")))))</f>
        <v/>
      </c>
      <c r="AO215" s="8" t="str" cm="1">
        <f t="array" ref="AO215">IF($AW215="","",_xlfn.LET(_xlpm.sa,IFERROR(TRIM(INDEX('Sales and count'!$C$4:$C$300,$BF215)&amp;""),""),_xlpm.ta,IFERROR(TRIM(INDEX('TY Sales Target'!$D$5:$D$300,$BG215)&amp;""),""),IF(AND(_xlpm.sa&lt;&gt;"",LEFT(_xlpm.sa,1)&lt;&gt;"#",_xlpm.sa&lt;&gt;"0"),_xlpm.sa,IF(AND(_xlpm.ta&lt;&gt;"",LEFT(_xlpm.ta,1)&lt;&gt;"#",_xlpm.ta&lt;&gt;"0"),_xlpm.ta,""))))</f>
        <v/>
      </c>
      <c r="AP215" s="8">
        <f t="shared" si="126"/>
        <v>0</v>
      </c>
      <c r="AQ215" s="8">
        <f t="shared" si="127"/>
        <v>0</v>
      </c>
      <c r="AR215" s="8" cm="1">
        <f t="array" ref="AR215">IF($BF215="",0,_xlfn.LET(_xlpm.d,IFERROR(--'Sales and count'!$G$2:$CC$2,0),SUMPRODUCT(('Sales and count'!$G$3:$CC$3="Total")*(_xlpm.d&gt;=$U$4)*(_xlpm.d&lt;=$U$5),INDEX('Sales and count'!$G$4:$CC$300,$BF215,0))))</f>
        <v>0</v>
      </c>
      <c r="AS215" s="8" cm="1">
        <f t="array" ref="AS215">IF($BF215="",0,_xlfn.LET(_xlpm.d,IFERROR(--'Sales and count'!$F$2:$CB$2,0),SUMPRODUCT(('Sales and count'!$G$3:$CC$3="Transactions")*(_xlpm.d&gt;=$U$4)*(_xlpm.d&lt;=$U$5),INDEX('Sales and count'!$G$4:$CC$300,$BF215,0))))</f>
        <v>0</v>
      </c>
      <c r="AT215" s="8" cm="1">
        <f t="array" ref="AT215">IF($AW215="",0,SUMPRODUCT((TRIM('LY Sales '!$B$5:$B$200)=$AW215)*('LY Sales '!$C$2:$AG$2&gt;=EDATE($U$4,-12))*('LY Sales '!$C$2:$AG$2&lt;=EDATE($U$5,-12)),'LY Sales '!$C$5:$AG$200))</f>
        <v>0</v>
      </c>
      <c r="AU215" s="8" cm="1">
        <f t="array" ref="AU215">IF($AW215="",0,SUMPRODUCT((TRIM('LY Transaction'!$B$5:$B$200)=$AW215)*('LY Transaction'!$C$2:$AG$2&gt;=EDATE($U$4,-12))*('LY Transaction'!$C$2:$AG$2&lt;=EDATE($U$5,-12)),'LY Transaction'!$C$5:$AG$200))</f>
        <v>0</v>
      </c>
      <c r="AV215" s="8" cm="1">
        <f t="array" ref="AV215">IF(NOT(ISNUMBER($BG215)),0,SUMPRODUCT(('TY Sales Target'!$K$2:$AO$2&gt;=$U$4)*('TY Sales Target'!$K$2:$AO$2&lt;=$U$5),INDEX('TY Sales Target'!$K$5:$AO$300,$BG215,0)))</f>
        <v>0</v>
      </c>
      <c r="AW215" s="8" t="str" cm="1">
        <f t="array" ref="AW215">IFERROR(INDEX(_xlfn.ANCHORARRAY($BR$5),ROWS($AW$5:AW215)),"")</f>
        <v/>
      </c>
      <c r="BB215" cm="1">
        <f t="array" ref="BB215">IF($AW215="",0,SUMPRODUCT((TRIM(Footfall!$B$5:$B$301)=$AW215)*(Footfall!$C$1:$BZ$1&gt;=$U$4)*(Footfall!$C$2:$BZ$2&lt;=$U$5)*(Footfall!$C$1:$BZ$1&lt;&gt;""),Footfall!$C$5:$BZ$301))</f>
        <v>0</v>
      </c>
      <c r="BC215" cm="1">
        <f t="array" ref="BC215">IF(OR($BB215&lt;=0,$BD$1="",$BF215=""),0,_xlfn.LET(_xlpm.d,IFERROR(--'Sales and count'!$F$2:$CB$2,0),SUMPRODUCT(('Sales and count'!$G$3:$CC$3="Transactions")*(_xlpm.d&gt;=$BD$1)*(_xlpm.d&lt;=$BD$2),INDEX('Sales and count'!$G$4:$CC$300,$BF215,0))))</f>
        <v>0</v>
      </c>
      <c r="BF215" t="str" cm="1">
        <f t="array" ref="BF215">IF($AW215="","",IFERROR(MATCH($AW215,TRIM('Sales and count'!$A$4:$A$300&amp;""),0),""))</f>
        <v/>
      </c>
      <c r="BG215" t="str" cm="1">
        <f t="array" ref="BG215">IF($AW215="","",IFERROR(MATCH(IFERROR(_xlfn.XLOOKUP($AW215,$BT$5:$BT$22,$BU$5:$BU$22),$AW215),TRIM('TY Sales Target'!$B$5:$B$300&amp;""),0),""))</f>
        <v/>
      </c>
      <c r="BH215" t="str" cm="1">
        <f t="array" ref="BH215">IF(ISNUMBER($BG215),_xlfn.LET(_xlpm.p,TRIM(INDEX('TY Sales Target'!$I$5:$I$300,$BG215)&amp;""),IF(_xlpm.p="","Not set",_xlpm.p)),"Not set")</f>
        <v>Not set</v>
      </c>
      <c r="BI215" cm="1">
        <f t="array" ref="BI215">IF($BF215="",0,_xlfn.LET(_xlpm.d,IFERROR(--'Sales and count'!$G$2:$CC$2,0),SUMPRODUCT(('Sales and count'!$G$3:$CC$3="Total")*(_xlpm.d&gt;=$BZ$5)*(_xlpm.d&lt;=$BZ$6),INDEX('Sales and count'!$G$4:$CC$300,$BF215,0))))</f>
        <v>0</v>
      </c>
      <c r="BJ215" cm="1">
        <f t="array" ref="BJ215">IF($AW215="",0,SUMPRODUCT((TRIM('LY Sales '!$B$5:$B$200)=$AW215)*('LY Sales '!$C$2:$AG$2&gt;=EDATE($BZ$5,-12))*('LY Sales '!$C$2:$AG$2&lt;=EDATE($BZ$6,-12)),'LY Sales '!$C$5:$AG$200))</f>
        <v>0</v>
      </c>
      <c r="BK215" cm="1">
        <f t="array" ref="BK215">IF($AW215="",0,SUMPRODUCT((TRIM('LY Sales '!$B$5:$B$200)=$AW215)*('LY Sales '!$C$2:$AG$2&gt;=EDATE($BZ$5,-12))*('LY Sales '!$C$2:$AG$2&lt;=EDATE($BZ$7,-12)),'LY Sales '!$C$5:$AG$200))</f>
        <v>0</v>
      </c>
      <c r="BL215" cm="1">
        <f t="array" ref="BL215">IF($AW215="",0,SUMPRODUCT((TRIM('LY Sales '!$B$5:$B$200)=$AW215)*('LY Sales '!$C$2:$AG$2&gt;=EDATE($BZ$5,-12))*('LY Sales '!$C$2:$AG$2&lt;=EDATE($BZ$6,-12))*('LY Sales '!$C$5:$AG$200&gt;0)))</f>
        <v>0</v>
      </c>
      <c r="BM215" cm="1">
        <f t="array" ref="BM215">IF(NOT(ISNUMBER($BG215)),0,SUMPRODUCT(('TY Sales Target'!$K$2:$AO$2&gt;=$BZ$5)*('TY Sales Target'!$K$2:$AO$2&lt;=$BZ$6),INDEX('TY Sales Target'!$K$5:$AO$300,$BG215,0)))</f>
        <v>0</v>
      </c>
      <c r="BN215" cm="1">
        <f t="array" ref="BN215">IF(NOT(ISNUMBER($BG215)),0,SUMPRODUCT(('TY Sales Target'!$K$2:$AO$2&gt;=$BZ$5)*('TY Sales Target'!$K$2:$AO$2&lt;=$BZ$7),INDEX('TY Sales Target'!$K$5:$AO$300,$BG215,0)))</f>
        <v>0</v>
      </c>
      <c r="BO215" cm="1">
        <f t="array" ref="BO215">IF($AW215="",0,IFERROR(_xlfn.SWITCH($BP215,"LY trend",$BI215*$BK215/$BJ215,"Target curve",$BI215*$BN215/$BM215,"Run rate",$BI215/$BZ$8*$BZ$9,0),0))</f>
        <v>0</v>
      </c>
      <c r="BP215" t="str">
        <f t="shared" si="125"/>
        <v/>
      </c>
      <c r="CB215" cm="1">
        <f t="array" ref="CB215">IF($AW215="",0,_xlfn.LET(_xlpm.k,IFERROR(_xlfn.XLOOKUP($AW215,$CD$6:$CD$21,$CE$6:$CE$21),$AW215),SUMPRODUCT((TRIM('Makeup '!$A$2:$A$300&amp;"")=_xlpm.k)*1,IFERROR('Makeup '!$F$2:$F$300*1,0))))</f>
        <v>0</v>
      </c>
      <c r="CF215" t="str" cm="1">
        <f t="array" ref="CF215">IF($AW215="","",_xlfn.LET(_xlpm.c,IFERROR(TRIM(INDEX('Sales and count'!$B$4:$B$300,$BF215)&amp;""),""),IF(OR(_xlpm.c="",_xlpm.c="0",LEFT(_xlpm.c,1)="#"),"Not set",_xlpm.c)))</f>
        <v/>
      </c>
      <c r="CH215" cm="1">
        <f t="array" ref="CH215">IF($AW215="",0,_xlfn.LET(_xlpm.k,IFERROR(_xlfn.XLOOKUP($AW215,$CD$6:$CD$21,$CE$6:$CE$21),$AW215),--(SUMPRODUCT((TRIM('Makeup '!$A$2:$A$300&amp;"")=_xlpm.k)*ISNUMBER('Makeup '!$F$2:$F$300))&gt;0)))</f>
        <v>0</v>
      </c>
      <c r="CI215">
        <f t="shared" si="128"/>
        <v>0</v>
      </c>
      <c r="CJ215" cm="1">
        <f t="array" ref="CJ215">IF($AW215="",0,--(SUMPRODUCT(--(TRIM(Footfall!$B$5:$B$301)=$AW215))&gt;0))</f>
        <v>0</v>
      </c>
      <c r="CK215" s="8" cm="1">
        <f t="array" ref="CK215">IF($AW215="",0,_xlfn.LET(_xlpm.r,IFERROR(MATCH(IFERROR(_xlfn.XLOOKUP($AW215,$BT$5:$BT$22,$BU$5:$BU$22),$AW215),TRIM('TY Beauty Target'!$B$5:$B$300&amp;""),0),""),IF(ISNUMBER(_xlpm.r),SUMPRODUCT(('TY Beauty Target'!$L$2:$AP$2&gt;=$U$4)*('TY Beauty Target'!$L$2:$AP$2&lt;=$U$5),INDEX('TY Beauty Target'!$L$5:$AP$300,_xlpm.r,0)),0)))</f>
        <v>0</v>
      </c>
    </row>
    <row r="216" spans="28:89" x14ac:dyDescent="0.25">
      <c r="AB216" s="40" t="str" cm="1">
        <f t="array" ref="AB216">IF($AI216="","",IF(LEFT($AI216,2)="C|",IF($C216="","",SUMPRODUCT($AP$5:$AP$302*($AO$5:$AO$302=$A216),$CK$5:$CK$302)),IF($AI216="CT",AB$13,IF(LEFT($AI216,3)="AM|",IF($C216="","",SUMPRODUCT($AP$5:$AP$302*($AN$5:$AN$302=$A216),$CK$5:$CK$302)),IF(LEFT($AI216,2)="S|",IF($AG216="","",INDEX($CK$5:$CK$302,$AH216)),IF($AI216="HDR","Makeup Target",""))))))</f>
        <v/>
      </c>
      <c r="AC216" s="41" t="str">
        <f t="shared" si="111"/>
        <v/>
      </c>
      <c r="AN216" s="8" t="str" cm="1">
        <f t="array" ref="AN216">IF($AW216="","",_xlfn.LET(_xlpm.sa,IFERROR(TRIM(INDEX('Sales and count'!$D$4:$D$300,$BF216)&amp;""),""),_xlpm.ta,IFERROR(TRIM(INDEX('TY Sales Target'!$F$5:$F$300,$BG216)&amp;""),""),IF(AND(_xlpm.sa&lt;&gt;"",LEFT(_xlpm.sa,1)&lt;&gt;"#",_xlpm.sa&lt;&gt;"0"),_xlpm.sa,IF(AND(_xlpm.ta&lt;&gt;"",LEFT(_xlpm.ta,1)&lt;&gt;"#",_xlpm.ta&lt;&gt;"0"),_xlpm.ta,IF(ISNUMBER($BG216),"Unassigned","")))))</f>
        <v/>
      </c>
      <c r="AO216" s="8" t="str" cm="1">
        <f t="array" ref="AO216">IF($AW216="","",_xlfn.LET(_xlpm.sa,IFERROR(TRIM(INDEX('Sales and count'!$C$4:$C$300,$BF216)&amp;""),""),_xlpm.ta,IFERROR(TRIM(INDEX('TY Sales Target'!$D$5:$D$300,$BG216)&amp;""),""),IF(AND(_xlpm.sa&lt;&gt;"",LEFT(_xlpm.sa,1)&lt;&gt;"#",_xlpm.sa&lt;&gt;"0"),_xlpm.sa,IF(AND(_xlpm.ta&lt;&gt;"",LEFT(_xlpm.ta,1)&lt;&gt;"#",_xlpm.ta&lt;&gt;"0"),_xlpm.ta,""))))</f>
        <v/>
      </c>
      <c r="AP216" s="8">
        <f t="shared" si="126"/>
        <v>0</v>
      </c>
      <c r="AQ216" s="8">
        <f t="shared" si="127"/>
        <v>0</v>
      </c>
      <c r="AR216" s="8" cm="1">
        <f t="array" ref="AR216">IF($BF216="",0,_xlfn.LET(_xlpm.d,IFERROR(--'Sales and count'!$G$2:$CC$2,0),SUMPRODUCT(('Sales and count'!$G$3:$CC$3="Total")*(_xlpm.d&gt;=$U$4)*(_xlpm.d&lt;=$U$5),INDEX('Sales and count'!$G$4:$CC$300,$BF216,0))))</f>
        <v>0</v>
      </c>
      <c r="AS216" s="8" cm="1">
        <f t="array" ref="AS216">IF($BF216="",0,_xlfn.LET(_xlpm.d,IFERROR(--'Sales and count'!$F$2:$CB$2,0),SUMPRODUCT(('Sales and count'!$G$3:$CC$3="Transactions")*(_xlpm.d&gt;=$U$4)*(_xlpm.d&lt;=$U$5),INDEX('Sales and count'!$G$4:$CC$300,$BF216,0))))</f>
        <v>0</v>
      </c>
      <c r="AT216" s="8" cm="1">
        <f t="array" ref="AT216">IF($AW216="",0,SUMPRODUCT((TRIM('LY Sales '!$B$5:$B$200)=$AW216)*('LY Sales '!$C$2:$AG$2&gt;=EDATE($U$4,-12))*('LY Sales '!$C$2:$AG$2&lt;=EDATE($U$5,-12)),'LY Sales '!$C$5:$AG$200))</f>
        <v>0</v>
      </c>
      <c r="AU216" s="8" cm="1">
        <f t="array" ref="AU216">IF($AW216="",0,SUMPRODUCT((TRIM('LY Transaction'!$B$5:$B$200)=$AW216)*('LY Transaction'!$C$2:$AG$2&gt;=EDATE($U$4,-12))*('LY Transaction'!$C$2:$AG$2&lt;=EDATE($U$5,-12)),'LY Transaction'!$C$5:$AG$200))</f>
        <v>0</v>
      </c>
      <c r="AV216" s="8" cm="1">
        <f t="array" ref="AV216">IF(NOT(ISNUMBER($BG216)),0,SUMPRODUCT(('TY Sales Target'!$K$2:$AO$2&gt;=$U$4)*('TY Sales Target'!$K$2:$AO$2&lt;=$U$5),INDEX('TY Sales Target'!$K$5:$AO$300,$BG216,0)))</f>
        <v>0</v>
      </c>
      <c r="AW216" s="8" t="str" cm="1">
        <f t="array" ref="AW216">IFERROR(INDEX(_xlfn.ANCHORARRAY($BR$5),ROWS($AW$5:AW216)),"")</f>
        <v/>
      </c>
      <c r="BB216" cm="1">
        <f t="array" ref="BB216">IF($AW216="",0,SUMPRODUCT((TRIM(Footfall!$B$5:$B$301)=$AW216)*(Footfall!$C$1:$BZ$1&gt;=$U$4)*(Footfall!$C$2:$BZ$2&lt;=$U$5)*(Footfall!$C$1:$BZ$1&lt;&gt;""),Footfall!$C$5:$BZ$301))</f>
        <v>0</v>
      </c>
      <c r="BC216" cm="1">
        <f t="array" ref="BC216">IF(OR($BB216&lt;=0,$BD$1="",$BF216=""),0,_xlfn.LET(_xlpm.d,IFERROR(--'Sales and count'!$F$2:$CB$2,0),SUMPRODUCT(('Sales and count'!$G$3:$CC$3="Transactions")*(_xlpm.d&gt;=$BD$1)*(_xlpm.d&lt;=$BD$2),INDEX('Sales and count'!$G$4:$CC$300,$BF216,0))))</f>
        <v>0</v>
      </c>
      <c r="BF216" t="str" cm="1">
        <f t="array" ref="BF216">IF($AW216="","",IFERROR(MATCH($AW216,TRIM('Sales and count'!$A$4:$A$300&amp;""),0),""))</f>
        <v/>
      </c>
      <c r="BG216" t="str" cm="1">
        <f t="array" ref="BG216">IF($AW216="","",IFERROR(MATCH(IFERROR(_xlfn.XLOOKUP($AW216,$BT$5:$BT$22,$BU$5:$BU$22),$AW216),TRIM('TY Sales Target'!$B$5:$B$300&amp;""),0),""))</f>
        <v/>
      </c>
      <c r="BH216" t="str" cm="1">
        <f t="array" ref="BH216">IF(ISNUMBER($BG216),_xlfn.LET(_xlpm.p,TRIM(INDEX('TY Sales Target'!$I$5:$I$300,$BG216)&amp;""),IF(_xlpm.p="","Not set",_xlpm.p)),"Not set")</f>
        <v>Not set</v>
      </c>
      <c r="BI216" cm="1">
        <f t="array" ref="BI216">IF($BF216="",0,_xlfn.LET(_xlpm.d,IFERROR(--'Sales and count'!$G$2:$CC$2,0),SUMPRODUCT(('Sales and count'!$G$3:$CC$3="Total")*(_xlpm.d&gt;=$BZ$5)*(_xlpm.d&lt;=$BZ$6),INDEX('Sales and count'!$G$4:$CC$300,$BF216,0))))</f>
        <v>0</v>
      </c>
      <c r="BJ216" cm="1">
        <f t="array" ref="BJ216">IF($AW216="",0,SUMPRODUCT((TRIM('LY Sales '!$B$5:$B$200)=$AW216)*('LY Sales '!$C$2:$AG$2&gt;=EDATE($BZ$5,-12))*('LY Sales '!$C$2:$AG$2&lt;=EDATE($BZ$6,-12)),'LY Sales '!$C$5:$AG$200))</f>
        <v>0</v>
      </c>
      <c r="BK216" cm="1">
        <f t="array" ref="BK216">IF($AW216="",0,SUMPRODUCT((TRIM('LY Sales '!$B$5:$B$200)=$AW216)*('LY Sales '!$C$2:$AG$2&gt;=EDATE($BZ$5,-12))*('LY Sales '!$C$2:$AG$2&lt;=EDATE($BZ$7,-12)),'LY Sales '!$C$5:$AG$200))</f>
        <v>0</v>
      </c>
      <c r="BL216" cm="1">
        <f t="array" ref="BL216">IF($AW216="",0,SUMPRODUCT((TRIM('LY Sales '!$B$5:$B$200)=$AW216)*('LY Sales '!$C$2:$AG$2&gt;=EDATE($BZ$5,-12))*('LY Sales '!$C$2:$AG$2&lt;=EDATE($BZ$6,-12))*('LY Sales '!$C$5:$AG$200&gt;0)))</f>
        <v>0</v>
      </c>
      <c r="BM216" cm="1">
        <f t="array" ref="BM216">IF(NOT(ISNUMBER($BG216)),0,SUMPRODUCT(('TY Sales Target'!$K$2:$AO$2&gt;=$BZ$5)*('TY Sales Target'!$K$2:$AO$2&lt;=$BZ$6),INDEX('TY Sales Target'!$K$5:$AO$300,$BG216,0)))</f>
        <v>0</v>
      </c>
      <c r="BN216" cm="1">
        <f t="array" ref="BN216">IF(NOT(ISNUMBER($BG216)),0,SUMPRODUCT(('TY Sales Target'!$K$2:$AO$2&gt;=$BZ$5)*('TY Sales Target'!$K$2:$AO$2&lt;=$BZ$7),INDEX('TY Sales Target'!$K$5:$AO$300,$BG216,0)))</f>
        <v>0</v>
      </c>
      <c r="BO216" cm="1">
        <f t="array" ref="BO216">IF($AW216="",0,IFERROR(_xlfn.SWITCH($BP216,"LY trend",$BI216*$BK216/$BJ216,"Target curve",$BI216*$BN216/$BM216,"Run rate",$BI216/$BZ$8*$BZ$9,0),0))</f>
        <v>0</v>
      </c>
      <c r="BP216" t="str">
        <f t="shared" si="125"/>
        <v/>
      </c>
      <c r="CB216" cm="1">
        <f t="array" ref="CB216">IF($AW216="",0,_xlfn.LET(_xlpm.k,IFERROR(_xlfn.XLOOKUP($AW216,$CD$6:$CD$21,$CE$6:$CE$21),$AW216),SUMPRODUCT((TRIM('Makeup '!$A$2:$A$300&amp;"")=_xlpm.k)*1,IFERROR('Makeup '!$F$2:$F$300*1,0))))</f>
        <v>0</v>
      </c>
      <c r="CF216" t="str" cm="1">
        <f t="array" ref="CF216">IF($AW216="","",_xlfn.LET(_xlpm.c,IFERROR(TRIM(INDEX('Sales and count'!$B$4:$B$300,$BF216)&amp;""),""),IF(OR(_xlpm.c="",_xlpm.c="0",LEFT(_xlpm.c,1)="#"),"Not set",_xlpm.c)))</f>
        <v/>
      </c>
      <c r="CH216" cm="1">
        <f t="array" ref="CH216">IF($AW216="",0,_xlfn.LET(_xlpm.k,IFERROR(_xlfn.XLOOKUP($AW216,$CD$6:$CD$21,$CE$6:$CE$21),$AW216),--(SUMPRODUCT((TRIM('Makeup '!$A$2:$A$300&amp;"")=_xlpm.k)*ISNUMBER('Makeup '!$F$2:$F$300))&gt;0)))</f>
        <v>0</v>
      </c>
      <c r="CI216">
        <f t="shared" si="128"/>
        <v>0</v>
      </c>
      <c r="CJ216" cm="1">
        <f t="array" ref="CJ216">IF($AW216="",0,--(SUMPRODUCT(--(TRIM(Footfall!$B$5:$B$301)=$AW216))&gt;0))</f>
        <v>0</v>
      </c>
      <c r="CK216" s="8" cm="1">
        <f t="array" ref="CK216">IF($AW216="",0,_xlfn.LET(_xlpm.r,IFERROR(MATCH(IFERROR(_xlfn.XLOOKUP($AW216,$BT$5:$BT$22,$BU$5:$BU$22),$AW216),TRIM('TY Beauty Target'!$B$5:$B$300&amp;""),0),""),IF(ISNUMBER(_xlpm.r),SUMPRODUCT(('TY Beauty Target'!$L$2:$AP$2&gt;=$U$4)*('TY Beauty Target'!$L$2:$AP$2&lt;=$U$5),INDEX('TY Beauty Target'!$L$5:$AP$300,_xlpm.r,0)),0)))</f>
        <v>0</v>
      </c>
    </row>
    <row r="217" spans="28:89" x14ac:dyDescent="0.25">
      <c r="AB217" s="40" t="str" cm="1">
        <f t="array" ref="AB217">IF($AI217="","",IF(LEFT($AI217,2)="C|",IF($C217="","",SUMPRODUCT($AP$5:$AP$302*($AO$5:$AO$302=$A217),$CK$5:$CK$302)),IF($AI217="CT",AB$13,IF(LEFT($AI217,3)="AM|",IF($C217="","",SUMPRODUCT($AP$5:$AP$302*($AN$5:$AN$302=$A217),$CK$5:$CK$302)),IF(LEFT($AI217,2)="S|",IF($AG217="","",INDEX($CK$5:$CK$302,$AH217)),IF($AI217="HDR","Makeup Target",""))))))</f>
        <v/>
      </c>
      <c r="AC217" s="41" t="str">
        <f t="shared" si="111"/>
        <v/>
      </c>
      <c r="AN217" s="8" t="str" cm="1">
        <f t="array" ref="AN217">IF($AW217="","",_xlfn.LET(_xlpm.sa,IFERROR(TRIM(INDEX('Sales and count'!$D$4:$D$300,$BF217)&amp;""),""),_xlpm.ta,IFERROR(TRIM(INDEX('TY Sales Target'!$F$5:$F$300,$BG217)&amp;""),""),IF(AND(_xlpm.sa&lt;&gt;"",LEFT(_xlpm.sa,1)&lt;&gt;"#",_xlpm.sa&lt;&gt;"0"),_xlpm.sa,IF(AND(_xlpm.ta&lt;&gt;"",LEFT(_xlpm.ta,1)&lt;&gt;"#",_xlpm.ta&lt;&gt;"0"),_xlpm.ta,IF(ISNUMBER($BG217),"Unassigned","")))))</f>
        <v/>
      </c>
      <c r="AO217" s="8" t="str" cm="1">
        <f t="array" ref="AO217">IF($AW217="","",_xlfn.LET(_xlpm.sa,IFERROR(TRIM(INDEX('Sales and count'!$C$4:$C$300,$BF217)&amp;""),""),_xlpm.ta,IFERROR(TRIM(INDEX('TY Sales Target'!$D$5:$D$300,$BG217)&amp;""),""),IF(AND(_xlpm.sa&lt;&gt;"",LEFT(_xlpm.sa,1)&lt;&gt;"#",_xlpm.sa&lt;&gt;"0"),_xlpm.sa,IF(AND(_xlpm.ta&lt;&gt;"",LEFT(_xlpm.ta,1)&lt;&gt;"#",_xlpm.ta&lt;&gt;"0"),_xlpm.ta,""))))</f>
        <v/>
      </c>
      <c r="AP217" s="8">
        <f t="shared" si="126"/>
        <v>0</v>
      </c>
      <c r="AQ217" s="8">
        <f t="shared" si="127"/>
        <v>0</v>
      </c>
      <c r="AR217" s="8" cm="1">
        <f t="array" ref="AR217">IF($BF217="",0,_xlfn.LET(_xlpm.d,IFERROR(--'Sales and count'!$G$2:$CC$2,0),SUMPRODUCT(('Sales and count'!$G$3:$CC$3="Total")*(_xlpm.d&gt;=$U$4)*(_xlpm.d&lt;=$U$5),INDEX('Sales and count'!$G$4:$CC$300,$BF217,0))))</f>
        <v>0</v>
      </c>
      <c r="AS217" s="8" cm="1">
        <f t="array" ref="AS217">IF($BF217="",0,_xlfn.LET(_xlpm.d,IFERROR(--'Sales and count'!$F$2:$CB$2,0),SUMPRODUCT(('Sales and count'!$G$3:$CC$3="Transactions")*(_xlpm.d&gt;=$U$4)*(_xlpm.d&lt;=$U$5),INDEX('Sales and count'!$G$4:$CC$300,$BF217,0))))</f>
        <v>0</v>
      </c>
      <c r="AT217" s="8" cm="1">
        <f t="array" ref="AT217">IF($AW217="",0,SUMPRODUCT((TRIM('LY Sales '!$B$5:$B$200)=$AW217)*('LY Sales '!$C$2:$AG$2&gt;=EDATE($U$4,-12))*('LY Sales '!$C$2:$AG$2&lt;=EDATE($U$5,-12)),'LY Sales '!$C$5:$AG$200))</f>
        <v>0</v>
      </c>
      <c r="AU217" s="8" cm="1">
        <f t="array" ref="AU217">IF($AW217="",0,SUMPRODUCT((TRIM('LY Transaction'!$B$5:$B$200)=$AW217)*('LY Transaction'!$C$2:$AG$2&gt;=EDATE($U$4,-12))*('LY Transaction'!$C$2:$AG$2&lt;=EDATE($U$5,-12)),'LY Transaction'!$C$5:$AG$200))</f>
        <v>0</v>
      </c>
      <c r="AV217" s="8" cm="1">
        <f t="array" ref="AV217">IF(NOT(ISNUMBER($BG217)),0,SUMPRODUCT(('TY Sales Target'!$K$2:$AO$2&gt;=$U$4)*('TY Sales Target'!$K$2:$AO$2&lt;=$U$5),INDEX('TY Sales Target'!$K$5:$AO$300,$BG217,0)))</f>
        <v>0</v>
      </c>
      <c r="AW217" s="8" t="str" cm="1">
        <f t="array" ref="AW217">IFERROR(INDEX(_xlfn.ANCHORARRAY($BR$5),ROWS($AW$5:AW217)),"")</f>
        <v/>
      </c>
      <c r="BB217" cm="1">
        <f t="array" ref="BB217">IF($AW217="",0,SUMPRODUCT((TRIM(Footfall!$B$5:$B$301)=$AW217)*(Footfall!$C$1:$BZ$1&gt;=$U$4)*(Footfall!$C$2:$BZ$2&lt;=$U$5)*(Footfall!$C$1:$BZ$1&lt;&gt;""),Footfall!$C$5:$BZ$301))</f>
        <v>0</v>
      </c>
      <c r="BC217" cm="1">
        <f t="array" ref="BC217">IF(OR($BB217&lt;=0,$BD$1="",$BF217=""),0,_xlfn.LET(_xlpm.d,IFERROR(--'Sales and count'!$F$2:$CB$2,0),SUMPRODUCT(('Sales and count'!$G$3:$CC$3="Transactions")*(_xlpm.d&gt;=$BD$1)*(_xlpm.d&lt;=$BD$2),INDEX('Sales and count'!$G$4:$CC$300,$BF217,0))))</f>
        <v>0</v>
      </c>
      <c r="BF217" t="str" cm="1">
        <f t="array" ref="BF217">IF($AW217="","",IFERROR(MATCH($AW217,TRIM('Sales and count'!$A$4:$A$300&amp;""),0),""))</f>
        <v/>
      </c>
      <c r="BG217" t="str" cm="1">
        <f t="array" ref="BG217">IF($AW217="","",IFERROR(MATCH(IFERROR(_xlfn.XLOOKUP($AW217,$BT$5:$BT$22,$BU$5:$BU$22),$AW217),TRIM('TY Sales Target'!$B$5:$B$300&amp;""),0),""))</f>
        <v/>
      </c>
      <c r="BH217" t="str" cm="1">
        <f t="array" ref="BH217">IF(ISNUMBER($BG217),_xlfn.LET(_xlpm.p,TRIM(INDEX('TY Sales Target'!$I$5:$I$300,$BG217)&amp;""),IF(_xlpm.p="","Not set",_xlpm.p)),"Not set")</f>
        <v>Not set</v>
      </c>
      <c r="BI217" cm="1">
        <f t="array" ref="BI217">IF($BF217="",0,_xlfn.LET(_xlpm.d,IFERROR(--'Sales and count'!$G$2:$CC$2,0),SUMPRODUCT(('Sales and count'!$G$3:$CC$3="Total")*(_xlpm.d&gt;=$BZ$5)*(_xlpm.d&lt;=$BZ$6),INDEX('Sales and count'!$G$4:$CC$300,$BF217,0))))</f>
        <v>0</v>
      </c>
      <c r="BJ217" cm="1">
        <f t="array" ref="BJ217">IF($AW217="",0,SUMPRODUCT((TRIM('LY Sales '!$B$5:$B$200)=$AW217)*('LY Sales '!$C$2:$AG$2&gt;=EDATE($BZ$5,-12))*('LY Sales '!$C$2:$AG$2&lt;=EDATE($BZ$6,-12)),'LY Sales '!$C$5:$AG$200))</f>
        <v>0</v>
      </c>
      <c r="BK217" cm="1">
        <f t="array" ref="BK217">IF($AW217="",0,SUMPRODUCT((TRIM('LY Sales '!$B$5:$B$200)=$AW217)*('LY Sales '!$C$2:$AG$2&gt;=EDATE($BZ$5,-12))*('LY Sales '!$C$2:$AG$2&lt;=EDATE($BZ$7,-12)),'LY Sales '!$C$5:$AG$200))</f>
        <v>0</v>
      </c>
      <c r="BL217" cm="1">
        <f t="array" ref="BL217">IF($AW217="",0,SUMPRODUCT((TRIM('LY Sales '!$B$5:$B$200)=$AW217)*('LY Sales '!$C$2:$AG$2&gt;=EDATE($BZ$5,-12))*('LY Sales '!$C$2:$AG$2&lt;=EDATE($BZ$6,-12))*('LY Sales '!$C$5:$AG$200&gt;0)))</f>
        <v>0</v>
      </c>
      <c r="BM217" cm="1">
        <f t="array" ref="BM217">IF(NOT(ISNUMBER($BG217)),0,SUMPRODUCT(('TY Sales Target'!$K$2:$AO$2&gt;=$BZ$5)*('TY Sales Target'!$K$2:$AO$2&lt;=$BZ$6),INDEX('TY Sales Target'!$K$5:$AO$300,$BG217,0)))</f>
        <v>0</v>
      </c>
      <c r="BN217" cm="1">
        <f t="array" ref="BN217">IF(NOT(ISNUMBER($BG217)),0,SUMPRODUCT(('TY Sales Target'!$K$2:$AO$2&gt;=$BZ$5)*('TY Sales Target'!$K$2:$AO$2&lt;=$BZ$7),INDEX('TY Sales Target'!$K$5:$AO$300,$BG217,0)))</f>
        <v>0</v>
      </c>
      <c r="BO217" cm="1">
        <f t="array" ref="BO217">IF($AW217="",0,IFERROR(_xlfn.SWITCH($BP217,"LY trend",$BI217*$BK217/$BJ217,"Target curve",$BI217*$BN217/$BM217,"Run rate",$BI217/$BZ$8*$BZ$9,0),0))</f>
        <v>0</v>
      </c>
      <c r="BP217" t="str">
        <f t="shared" si="125"/>
        <v/>
      </c>
      <c r="CB217" cm="1">
        <f t="array" ref="CB217">IF($AW217="",0,_xlfn.LET(_xlpm.k,IFERROR(_xlfn.XLOOKUP($AW217,$CD$6:$CD$21,$CE$6:$CE$21),$AW217),SUMPRODUCT((TRIM('Makeup '!$A$2:$A$300&amp;"")=_xlpm.k)*1,IFERROR('Makeup '!$F$2:$F$300*1,0))))</f>
        <v>0</v>
      </c>
      <c r="CF217" t="str" cm="1">
        <f t="array" ref="CF217">IF($AW217="","",_xlfn.LET(_xlpm.c,IFERROR(TRIM(INDEX('Sales and count'!$B$4:$B$300,$BF217)&amp;""),""),IF(OR(_xlpm.c="",_xlpm.c="0",LEFT(_xlpm.c,1)="#"),"Not set",_xlpm.c)))</f>
        <v/>
      </c>
      <c r="CH217" cm="1">
        <f t="array" ref="CH217">IF($AW217="",0,_xlfn.LET(_xlpm.k,IFERROR(_xlfn.XLOOKUP($AW217,$CD$6:$CD$21,$CE$6:$CE$21),$AW217),--(SUMPRODUCT((TRIM('Makeup '!$A$2:$A$300&amp;"")=_xlpm.k)*ISNUMBER('Makeup '!$F$2:$F$300))&gt;0)))</f>
        <v>0</v>
      </c>
      <c r="CI217">
        <f t="shared" si="128"/>
        <v>0</v>
      </c>
      <c r="CJ217" cm="1">
        <f t="array" ref="CJ217">IF($AW217="",0,--(SUMPRODUCT(--(TRIM(Footfall!$B$5:$B$301)=$AW217))&gt;0))</f>
        <v>0</v>
      </c>
      <c r="CK217" s="8" cm="1">
        <f t="array" ref="CK217">IF($AW217="",0,_xlfn.LET(_xlpm.r,IFERROR(MATCH(IFERROR(_xlfn.XLOOKUP($AW217,$BT$5:$BT$22,$BU$5:$BU$22),$AW217),TRIM('TY Beauty Target'!$B$5:$B$300&amp;""),0),""),IF(ISNUMBER(_xlpm.r),SUMPRODUCT(('TY Beauty Target'!$L$2:$AP$2&gt;=$U$4)*('TY Beauty Target'!$L$2:$AP$2&lt;=$U$5),INDEX('TY Beauty Target'!$L$5:$AP$300,_xlpm.r,0)),0)))</f>
        <v>0</v>
      </c>
    </row>
    <row r="218" spans="28:89" x14ac:dyDescent="0.25">
      <c r="AB218" s="40" t="str" cm="1">
        <f t="array" ref="AB218">IF($AI218="","",IF(LEFT($AI218,2)="C|",IF($C218="","",SUMPRODUCT($AP$5:$AP$302*($AO$5:$AO$302=$A218),$CK$5:$CK$302)),IF($AI218="CT",AB$13,IF(LEFT($AI218,3)="AM|",IF($C218="","",SUMPRODUCT($AP$5:$AP$302*($AN$5:$AN$302=$A218),$CK$5:$CK$302)),IF(LEFT($AI218,2)="S|",IF($AG218="","",INDEX($CK$5:$CK$302,$AH218)),IF($AI218="HDR","Makeup Target",""))))))</f>
        <v/>
      </c>
      <c r="AC218" s="41" t="str">
        <f t="shared" si="111"/>
        <v/>
      </c>
      <c r="AN218" s="8" t="str" cm="1">
        <f t="array" ref="AN218">IF($AW218="","",_xlfn.LET(_xlpm.sa,IFERROR(TRIM(INDEX('Sales and count'!$D$4:$D$300,$BF218)&amp;""),""),_xlpm.ta,IFERROR(TRIM(INDEX('TY Sales Target'!$F$5:$F$300,$BG218)&amp;""),""),IF(AND(_xlpm.sa&lt;&gt;"",LEFT(_xlpm.sa,1)&lt;&gt;"#",_xlpm.sa&lt;&gt;"0"),_xlpm.sa,IF(AND(_xlpm.ta&lt;&gt;"",LEFT(_xlpm.ta,1)&lt;&gt;"#",_xlpm.ta&lt;&gt;"0"),_xlpm.ta,IF(ISNUMBER($BG218),"Unassigned","")))))</f>
        <v/>
      </c>
      <c r="AO218" s="8" t="str" cm="1">
        <f t="array" ref="AO218">IF($AW218="","",_xlfn.LET(_xlpm.sa,IFERROR(TRIM(INDEX('Sales and count'!$C$4:$C$300,$BF218)&amp;""),""),_xlpm.ta,IFERROR(TRIM(INDEX('TY Sales Target'!$D$5:$D$300,$BG218)&amp;""),""),IF(AND(_xlpm.sa&lt;&gt;"",LEFT(_xlpm.sa,1)&lt;&gt;"#",_xlpm.sa&lt;&gt;"0"),_xlpm.sa,IF(AND(_xlpm.ta&lt;&gt;"",LEFT(_xlpm.ta,1)&lt;&gt;"#",_xlpm.ta&lt;&gt;"0"),_xlpm.ta,""))))</f>
        <v/>
      </c>
      <c r="AP218" s="8">
        <f t="shared" si="126"/>
        <v>0</v>
      </c>
      <c r="AQ218" s="8">
        <f t="shared" si="127"/>
        <v>0</v>
      </c>
      <c r="AR218" s="8" cm="1">
        <f t="array" ref="AR218">IF($BF218="",0,_xlfn.LET(_xlpm.d,IFERROR(--'Sales and count'!$G$2:$CC$2,0),SUMPRODUCT(('Sales and count'!$G$3:$CC$3="Total")*(_xlpm.d&gt;=$U$4)*(_xlpm.d&lt;=$U$5),INDEX('Sales and count'!$G$4:$CC$300,$BF218,0))))</f>
        <v>0</v>
      </c>
      <c r="AS218" s="8" cm="1">
        <f t="array" ref="AS218">IF($BF218="",0,_xlfn.LET(_xlpm.d,IFERROR(--'Sales and count'!$F$2:$CB$2,0),SUMPRODUCT(('Sales and count'!$G$3:$CC$3="Transactions")*(_xlpm.d&gt;=$U$4)*(_xlpm.d&lt;=$U$5),INDEX('Sales and count'!$G$4:$CC$300,$BF218,0))))</f>
        <v>0</v>
      </c>
      <c r="AT218" s="8" cm="1">
        <f t="array" ref="AT218">IF($AW218="",0,SUMPRODUCT((TRIM('LY Sales '!$B$5:$B$200)=$AW218)*('LY Sales '!$C$2:$AG$2&gt;=EDATE($U$4,-12))*('LY Sales '!$C$2:$AG$2&lt;=EDATE($U$5,-12)),'LY Sales '!$C$5:$AG$200))</f>
        <v>0</v>
      </c>
      <c r="AU218" s="8" cm="1">
        <f t="array" ref="AU218">IF($AW218="",0,SUMPRODUCT((TRIM('LY Transaction'!$B$5:$B$200)=$AW218)*('LY Transaction'!$C$2:$AG$2&gt;=EDATE($U$4,-12))*('LY Transaction'!$C$2:$AG$2&lt;=EDATE($U$5,-12)),'LY Transaction'!$C$5:$AG$200))</f>
        <v>0</v>
      </c>
      <c r="AV218" s="8" cm="1">
        <f t="array" ref="AV218">IF(NOT(ISNUMBER($BG218)),0,SUMPRODUCT(('TY Sales Target'!$K$2:$AO$2&gt;=$U$4)*('TY Sales Target'!$K$2:$AO$2&lt;=$U$5),INDEX('TY Sales Target'!$K$5:$AO$300,$BG218,0)))</f>
        <v>0</v>
      </c>
      <c r="AW218" s="8" t="str" cm="1">
        <f t="array" ref="AW218">IFERROR(INDEX(_xlfn.ANCHORARRAY($BR$5),ROWS($AW$5:AW218)),"")</f>
        <v/>
      </c>
      <c r="BB218" cm="1">
        <f t="array" ref="BB218">IF($AW218="",0,SUMPRODUCT((TRIM(Footfall!$B$5:$B$301)=$AW218)*(Footfall!$C$1:$BZ$1&gt;=$U$4)*(Footfall!$C$2:$BZ$2&lt;=$U$5)*(Footfall!$C$1:$BZ$1&lt;&gt;""),Footfall!$C$5:$BZ$301))</f>
        <v>0</v>
      </c>
      <c r="BC218" cm="1">
        <f t="array" ref="BC218">IF(OR($BB218&lt;=0,$BD$1="",$BF218=""),0,_xlfn.LET(_xlpm.d,IFERROR(--'Sales and count'!$F$2:$CB$2,0),SUMPRODUCT(('Sales and count'!$G$3:$CC$3="Transactions")*(_xlpm.d&gt;=$BD$1)*(_xlpm.d&lt;=$BD$2),INDEX('Sales and count'!$G$4:$CC$300,$BF218,0))))</f>
        <v>0</v>
      </c>
      <c r="BF218" t="str" cm="1">
        <f t="array" ref="BF218">IF($AW218="","",IFERROR(MATCH($AW218,TRIM('Sales and count'!$A$4:$A$300&amp;""),0),""))</f>
        <v/>
      </c>
      <c r="BG218" t="str" cm="1">
        <f t="array" ref="BG218">IF($AW218="","",IFERROR(MATCH(IFERROR(_xlfn.XLOOKUP($AW218,$BT$5:$BT$22,$BU$5:$BU$22),$AW218),TRIM('TY Sales Target'!$B$5:$B$300&amp;""),0),""))</f>
        <v/>
      </c>
      <c r="BH218" t="str" cm="1">
        <f t="array" ref="BH218">IF(ISNUMBER($BG218),_xlfn.LET(_xlpm.p,TRIM(INDEX('TY Sales Target'!$I$5:$I$300,$BG218)&amp;""),IF(_xlpm.p="","Not set",_xlpm.p)),"Not set")</f>
        <v>Not set</v>
      </c>
      <c r="BI218" cm="1">
        <f t="array" ref="BI218">IF($BF218="",0,_xlfn.LET(_xlpm.d,IFERROR(--'Sales and count'!$G$2:$CC$2,0),SUMPRODUCT(('Sales and count'!$G$3:$CC$3="Total")*(_xlpm.d&gt;=$BZ$5)*(_xlpm.d&lt;=$BZ$6),INDEX('Sales and count'!$G$4:$CC$300,$BF218,0))))</f>
        <v>0</v>
      </c>
      <c r="BJ218" cm="1">
        <f t="array" ref="BJ218">IF($AW218="",0,SUMPRODUCT((TRIM('LY Sales '!$B$5:$B$200)=$AW218)*('LY Sales '!$C$2:$AG$2&gt;=EDATE($BZ$5,-12))*('LY Sales '!$C$2:$AG$2&lt;=EDATE($BZ$6,-12)),'LY Sales '!$C$5:$AG$200))</f>
        <v>0</v>
      </c>
      <c r="BK218" cm="1">
        <f t="array" ref="BK218">IF($AW218="",0,SUMPRODUCT((TRIM('LY Sales '!$B$5:$B$200)=$AW218)*('LY Sales '!$C$2:$AG$2&gt;=EDATE($BZ$5,-12))*('LY Sales '!$C$2:$AG$2&lt;=EDATE($BZ$7,-12)),'LY Sales '!$C$5:$AG$200))</f>
        <v>0</v>
      </c>
      <c r="BL218" cm="1">
        <f t="array" ref="BL218">IF($AW218="",0,SUMPRODUCT((TRIM('LY Sales '!$B$5:$B$200)=$AW218)*('LY Sales '!$C$2:$AG$2&gt;=EDATE($BZ$5,-12))*('LY Sales '!$C$2:$AG$2&lt;=EDATE($BZ$6,-12))*('LY Sales '!$C$5:$AG$200&gt;0)))</f>
        <v>0</v>
      </c>
      <c r="BM218" cm="1">
        <f t="array" ref="BM218">IF(NOT(ISNUMBER($BG218)),0,SUMPRODUCT(('TY Sales Target'!$K$2:$AO$2&gt;=$BZ$5)*('TY Sales Target'!$K$2:$AO$2&lt;=$BZ$6),INDEX('TY Sales Target'!$K$5:$AO$300,$BG218,0)))</f>
        <v>0</v>
      </c>
      <c r="BN218" cm="1">
        <f t="array" ref="BN218">IF(NOT(ISNUMBER($BG218)),0,SUMPRODUCT(('TY Sales Target'!$K$2:$AO$2&gt;=$BZ$5)*('TY Sales Target'!$K$2:$AO$2&lt;=$BZ$7),INDEX('TY Sales Target'!$K$5:$AO$300,$BG218,0)))</f>
        <v>0</v>
      </c>
      <c r="BO218" cm="1">
        <f t="array" ref="BO218">IF($AW218="",0,IFERROR(_xlfn.SWITCH($BP218,"LY trend",$BI218*$BK218/$BJ218,"Target curve",$BI218*$BN218/$BM218,"Run rate",$BI218/$BZ$8*$BZ$9,0),0))</f>
        <v>0</v>
      </c>
      <c r="BP218" t="str">
        <f t="shared" si="125"/>
        <v/>
      </c>
      <c r="CB218" cm="1">
        <f t="array" ref="CB218">IF($AW218="",0,_xlfn.LET(_xlpm.k,IFERROR(_xlfn.XLOOKUP($AW218,$CD$6:$CD$21,$CE$6:$CE$21),$AW218),SUMPRODUCT((TRIM('Makeup '!$A$2:$A$300&amp;"")=_xlpm.k)*1,IFERROR('Makeup '!$F$2:$F$300*1,0))))</f>
        <v>0</v>
      </c>
      <c r="CF218" t="str" cm="1">
        <f t="array" ref="CF218">IF($AW218="","",_xlfn.LET(_xlpm.c,IFERROR(TRIM(INDEX('Sales and count'!$B$4:$B$300,$BF218)&amp;""),""),IF(OR(_xlpm.c="",_xlpm.c="0",LEFT(_xlpm.c,1)="#"),"Not set",_xlpm.c)))</f>
        <v/>
      </c>
      <c r="CH218" cm="1">
        <f t="array" ref="CH218">IF($AW218="",0,_xlfn.LET(_xlpm.k,IFERROR(_xlfn.XLOOKUP($AW218,$CD$6:$CD$21,$CE$6:$CE$21),$AW218),--(SUMPRODUCT((TRIM('Makeup '!$A$2:$A$300&amp;"")=_xlpm.k)*ISNUMBER('Makeup '!$F$2:$F$300))&gt;0)))</f>
        <v>0</v>
      </c>
      <c r="CI218">
        <f t="shared" si="128"/>
        <v>0</v>
      </c>
      <c r="CJ218" cm="1">
        <f t="array" ref="CJ218">IF($AW218="",0,--(SUMPRODUCT(--(TRIM(Footfall!$B$5:$B$301)=$AW218))&gt;0))</f>
        <v>0</v>
      </c>
      <c r="CK218" s="8" cm="1">
        <f t="array" ref="CK218">IF($AW218="",0,_xlfn.LET(_xlpm.r,IFERROR(MATCH(IFERROR(_xlfn.XLOOKUP($AW218,$BT$5:$BT$22,$BU$5:$BU$22),$AW218),TRIM('TY Beauty Target'!$B$5:$B$300&amp;""),0),""),IF(ISNUMBER(_xlpm.r),SUMPRODUCT(('TY Beauty Target'!$L$2:$AP$2&gt;=$U$4)*('TY Beauty Target'!$L$2:$AP$2&lt;=$U$5),INDEX('TY Beauty Target'!$L$5:$AP$300,_xlpm.r,0)),0)))</f>
        <v>0</v>
      </c>
    </row>
    <row r="219" spans="28:89" x14ac:dyDescent="0.25">
      <c r="AB219" s="40" t="str" cm="1">
        <f t="array" ref="AB219">IF($AI219="","",IF(LEFT($AI219,2)="C|",IF($C219="","",SUMPRODUCT($AP$5:$AP$302*($AO$5:$AO$302=$A219),$CK$5:$CK$302)),IF($AI219="CT",AB$13,IF(LEFT($AI219,3)="AM|",IF($C219="","",SUMPRODUCT($AP$5:$AP$302*($AN$5:$AN$302=$A219),$CK$5:$CK$302)),IF(LEFT($AI219,2)="S|",IF($AG219="","",INDEX($CK$5:$CK$302,$AH219)),IF($AI219="HDR","Makeup Target",""))))))</f>
        <v/>
      </c>
      <c r="AC219" s="41" t="str">
        <f t="shared" si="111"/>
        <v/>
      </c>
      <c r="AN219" s="8" t="str" cm="1">
        <f t="array" ref="AN219">IF($AW219="","",_xlfn.LET(_xlpm.sa,IFERROR(TRIM(INDEX('Sales and count'!$D$4:$D$300,$BF219)&amp;""),""),_xlpm.ta,IFERROR(TRIM(INDEX('TY Sales Target'!$F$5:$F$300,$BG219)&amp;""),""),IF(AND(_xlpm.sa&lt;&gt;"",LEFT(_xlpm.sa,1)&lt;&gt;"#",_xlpm.sa&lt;&gt;"0"),_xlpm.sa,IF(AND(_xlpm.ta&lt;&gt;"",LEFT(_xlpm.ta,1)&lt;&gt;"#",_xlpm.ta&lt;&gt;"0"),_xlpm.ta,IF(ISNUMBER($BG219),"Unassigned","")))))</f>
        <v/>
      </c>
      <c r="AO219" s="8" t="str" cm="1">
        <f t="array" ref="AO219">IF($AW219="","",_xlfn.LET(_xlpm.sa,IFERROR(TRIM(INDEX('Sales and count'!$C$4:$C$300,$BF219)&amp;""),""),_xlpm.ta,IFERROR(TRIM(INDEX('TY Sales Target'!$D$5:$D$300,$BG219)&amp;""),""),IF(AND(_xlpm.sa&lt;&gt;"",LEFT(_xlpm.sa,1)&lt;&gt;"#",_xlpm.sa&lt;&gt;"0"),_xlpm.sa,IF(AND(_xlpm.ta&lt;&gt;"",LEFT(_xlpm.ta,1)&lt;&gt;"#",_xlpm.ta&lt;&gt;"0"),_xlpm.ta,""))))</f>
        <v/>
      </c>
      <c r="AP219" s="8">
        <f t="shared" si="126"/>
        <v>0</v>
      </c>
      <c r="AQ219" s="8">
        <f t="shared" si="127"/>
        <v>0</v>
      </c>
      <c r="AR219" s="8" cm="1">
        <f t="array" ref="AR219">IF($BF219="",0,_xlfn.LET(_xlpm.d,IFERROR(--'Sales and count'!$G$2:$CC$2,0),SUMPRODUCT(('Sales and count'!$G$3:$CC$3="Total")*(_xlpm.d&gt;=$U$4)*(_xlpm.d&lt;=$U$5),INDEX('Sales and count'!$G$4:$CC$300,$BF219,0))))</f>
        <v>0</v>
      </c>
      <c r="AS219" s="8" cm="1">
        <f t="array" ref="AS219">IF($BF219="",0,_xlfn.LET(_xlpm.d,IFERROR(--'Sales and count'!$F$2:$CB$2,0),SUMPRODUCT(('Sales and count'!$G$3:$CC$3="Transactions")*(_xlpm.d&gt;=$U$4)*(_xlpm.d&lt;=$U$5),INDEX('Sales and count'!$G$4:$CC$300,$BF219,0))))</f>
        <v>0</v>
      </c>
      <c r="AT219" s="8" cm="1">
        <f t="array" ref="AT219">IF($AW219="",0,SUMPRODUCT((TRIM('LY Sales '!$B$5:$B$200)=$AW219)*('LY Sales '!$C$2:$AG$2&gt;=EDATE($U$4,-12))*('LY Sales '!$C$2:$AG$2&lt;=EDATE($U$5,-12)),'LY Sales '!$C$5:$AG$200))</f>
        <v>0</v>
      </c>
      <c r="AU219" s="8" cm="1">
        <f t="array" ref="AU219">IF($AW219="",0,SUMPRODUCT((TRIM('LY Transaction'!$B$5:$B$200)=$AW219)*('LY Transaction'!$C$2:$AG$2&gt;=EDATE($U$4,-12))*('LY Transaction'!$C$2:$AG$2&lt;=EDATE($U$5,-12)),'LY Transaction'!$C$5:$AG$200))</f>
        <v>0</v>
      </c>
      <c r="AV219" s="8" cm="1">
        <f t="array" ref="AV219">IF(NOT(ISNUMBER($BG219)),0,SUMPRODUCT(('TY Sales Target'!$K$2:$AO$2&gt;=$U$4)*('TY Sales Target'!$K$2:$AO$2&lt;=$U$5),INDEX('TY Sales Target'!$K$5:$AO$300,$BG219,0)))</f>
        <v>0</v>
      </c>
      <c r="AW219" s="8" t="str" cm="1">
        <f t="array" ref="AW219">IFERROR(INDEX(_xlfn.ANCHORARRAY($BR$5),ROWS($AW$5:AW219)),"")</f>
        <v/>
      </c>
      <c r="BB219" cm="1">
        <f t="array" ref="BB219">IF($AW219="",0,SUMPRODUCT((TRIM(Footfall!$B$5:$B$301)=$AW219)*(Footfall!$C$1:$BZ$1&gt;=$U$4)*(Footfall!$C$2:$BZ$2&lt;=$U$5)*(Footfall!$C$1:$BZ$1&lt;&gt;""),Footfall!$C$5:$BZ$301))</f>
        <v>0</v>
      </c>
      <c r="BC219" cm="1">
        <f t="array" ref="BC219">IF(OR($BB219&lt;=0,$BD$1="",$BF219=""),0,_xlfn.LET(_xlpm.d,IFERROR(--'Sales and count'!$F$2:$CB$2,0),SUMPRODUCT(('Sales and count'!$G$3:$CC$3="Transactions")*(_xlpm.d&gt;=$BD$1)*(_xlpm.d&lt;=$BD$2),INDEX('Sales and count'!$G$4:$CC$300,$BF219,0))))</f>
        <v>0</v>
      </c>
      <c r="BF219" t="str" cm="1">
        <f t="array" ref="BF219">IF($AW219="","",IFERROR(MATCH($AW219,TRIM('Sales and count'!$A$4:$A$300&amp;""),0),""))</f>
        <v/>
      </c>
      <c r="BG219" t="str" cm="1">
        <f t="array" ref="BG219">IF($AW219="","",IFERROR(MATCH(IFERROR(_xlfn.XLOOKUP($AW219,$BT$5:$BT$22,$BU$5:$BU$22),$AW219),TRIM('TY Sales Target'!$B$5:$B$300&amp;""),0),""))</f>
        <v/>
      </c>
      <c r="BH219" t="str" cm="1">
        <f t="array" ref="BH219">IF(ISNUMBER($BG219),_xlfn.LET(_xlpm.p,TRIM(INDEX('TY Sales Target'!$I$5:$I$300,$BG219)&amp;""),IF(_xlpm.p="","Not set",_xlpm.p)),"Not set")</f>
        <v>Not set</v>
      </c>
      <c r="BI219" cm="1">
        <f t="array" ref="BI219">IF($BF219="",0,_xlfn.LET(_xlpm.d,IFERROR(--'Sales and count'!$G$2:$CC$2,0),SUMPRODUCT(('Sales and count'!$G$3:$CC$3="Total")*(_xlpm.d&gt;=$BZ$5)*(_xlpm.d&lt;=$BZ$6),INDEX('Sales and count'!$G$4:$CC$300,$BF219,0))))</f>
        <v>0</v>
      </c>
      <c r="BJ219" cm="1">
        <f t="array" ref="BJ219">IF($AW219="",0,SUMPRODUCT((TRIM('LY Sales '!$B$5:$B$200)=$AW219)*('LY Sales '!$C$2:$AG$2&gt;=EDATE($BZ$5,-12))*('LY Sales '!$C$2:$AG$2&lt;=EDATE($BZ$6,-12)),'LY Sales '!$C$5:$AG$200))</f>
        <v>0</v>
      </c>
      <c r="BK219" cm="1">
        <f t="array" ref="BK219">IF($AW219="",0,SUMPRODUCT((TRIM('LY Sales '!$B$5:$B$200)=$AW219)*('LY Sales '!$C$2:$AG$2&gt;=EDATE($BZ$5,-12))*('LY Sales '!$C$2:$AG$2&lt;=EDATE($BZ$7,-12)),'LY Sales '!$C$5:$AG$200))</f>
        <v>0</v>
      </c>
      <c r="BL219" cm="1">
        <f t="array" ref="BL219">IF($AW219="",0,SUMPRODUCT((TRIM('LY Sales '!$B$5:$B$200)=$AW219)*('LY Sales '!$C$2:$AG$2&gt;=EDATE($BZ$5,-12))*('LY Sales '!$C$2:$AG$2&lt;=EDATE($BZ$6,-12))*('LY Sales '!$C$5:$AG$200&gt;0)))</f>
        <v>0</v>
      </c>
      <c r="BM219" cm="1">
        <f t="array" ref="BM219">IF(NOT(ISNUMBER($BG219)),0,SUMPRODUCT(('TY Sales Target'!$K$2:$AO$2&gt;=$BZ$5)*('TY Sales Target'!$K$2:$AO$2&lt;=$BZ$6),INDEX('TY Sales Target'!$K$5:$AO$300,$BG219,0)))</f>
        <v>0</v>
      </c>
      <c r="BN219" cm="1">
        <f t="array" ref="BN219">IF(NOT(ISNUMBER($BG219)),0,SUMPRODUCT(('TY Sales Target'!$K$2:$AO$2&gt;=$BZ$5)*('TY Sales Target'!$K$2:$AO$2&lt;=$BZ$7),INDEX('TY Sales Target'!$K$5:$AO$300,$BG219,0)))</f>
        <v>0</v>
      </c>
      <c r="BO219" cm="1">
        <f t="array" ref="BO219">IF($AW219="",0,IFERROR(_xlfn.SWITCH($BP219,"LY trend",$BI219*$BK219/$BJ219,"Target curve",$BI219*$BN219/$BM219,"Run rate",$BI219/$BZ$8*$BZ$9,0),0))</f>
        <v>0</v>
      </c>
      <c r="BP219" t="str">
        <f t="shared" si="125"/>
        <v/>
      </c>
      <c r="CB219" cm="1">
        <f t="array" ref="CB219">IF($AW219="",0,_xlfn.LET(_xlpm.k,IFERROR(_xlfn.XLOOKUP($AW219,$CD$6:$CD$21,$CE$6:$CE$21),$AW219),SUMPRODUCT((TRIM('Makeup '!$A$2:$A$300&amp;"")=_xlpm.k)*1,IFERROR('Makeup '!$F$2:$F$300*1,0))))</f>
        <v>0</v>
      </c>
      <c r="CF219" t="str" cm="1">
        <f t="array" ref="CF219">IF($AW219="","",_xlfn.LET(_xlpm.c,IFERROR(TRIM(INDEX('Sales and count'!$B$4:$B$300,$BF219)&amp;""),""),IF(OR(_xlpm.c="",_xlpm.c="0",LEFT(_xlpm.c,1)="#"),"Not set",_xlpm.c)))</f>
        <v/>
      </c>
      <c r="CH219" cm="1">
        <f t="array" ref="CH219">IF($AW219="",0,_xlfn.LET(_xlpm.k,IFERROR(_xlfn.XLOOKUP($AW219,$CD$6:$CD$21,$CE$6:$CE$21),$AW219),--(SUMPRODUCT((TRIM('Makeup '!$A$2:$A$300&amp;"")=_xlpm.k)*ISNUMBER('Makeup '!$F$2:$F$300))&gt;0)))</f>
        <v>0</v>
      </c>
      <c r="CI219">
        <f t="shared" si="128"/>
        <v>0</v>
      </c>
      <c r="CJ219" cm="1">
        <f t="array" ref="CJ219">IF($AW219="",0,--(SUMPRODUCT(--(TRIM(Footfall!$B$5:$B$301)=$AW219))&gt;0))</f>
        <v>0</v>
      </c>
      <c r="CK219" s="8" cm="1">
        <f t="array" ref="CK219">IF($AW219="",0,_xlfn.LET(_xlpm.r,IFERROR(MATCH(IFERROR(_xlfn.XLOOKUP($AW219,$BT$5:$BT$22,$BU$5:$BU$22),$AW219),TRIM('TY Beauty Target'!$B$5:$B$300&amp;""),0),""),IF(ISNUMBER(_xlpm.r),SUMPRODUCT(('TY Beauty Target'!$L$2:$AP$2&gt;=$U$4)*('TY Beauty Target'!$L$2:$AP$2&lt;=$U$5),INDEX('TY Beauty Target'!$L$5:$AP$300,_xlpm.r,0)),0)))</f>
        <v>0</v>
      </c>
    </row>
    <row r="220" spans="28:89" x14ac:dyDescent="0.25">
      <c r="AB220" s="40" t="str" cm="1">
        <f t="array" ref="AB220">IF($AI220="","",IF(LEFT($AI220,2)="C|",IF($C220="","",SUMPRODUCT($AP$5:$AP$302*($AO$5:$AO$302=$A220),$CK$5:$CK$302)),IF($AI220="CT",AB$13,IF(LEFT($AI220,3)="AM|",IF($C220="","",SUMPRODUCT($AP$5:$AP$302*($AN$5:$AN$302=$A220),$CK$5:$CK$302)),IF(LEFT($AI220,2)="S|",IF($AG220="","",INDEX($CK$5:$CK$302,$AH220)),IF($AI220="HDR","Makeup Target",""))))))</f>
        <v/>
      </c>
      <c r="AC220" s="41" t="str">
        <f t="shared" si="111"/>
        <v/>
      </c>
      <c r="AN220" s="8" t="str" cm="1">
        <f t="array" ref="AN220">IF($AW220="","",_xlfn.LET(_xlpm.sa,IFERROR(TRIM(INDEX('Sales and count'!$D$4:$D$300,$BF220)&amp;""),""),_xlpm.ta,IFERROR(TRIM(INDEX('TY Sales Target'!$F$5:$F$300,$BG220)&amp;""),""),IF(AND(_xlpm.sa&lt;&gt;"",LEFT(_xlpm.sa,1)&lt;&gt;"#",_xlpm.sa&lt;&gt;"0"),_xlpm.sa,IF(AND(_xlpm.ta&lt;&gt;"",LEFT(_xlpm.ta,1)&lt;&gt;"#",_xlpm.ta&lt;&gt;"0"),_xlpm.ta,IF(ISNUMBER($BG220),"Unassigned","")))))</f>
        <v/>
      </c>
      <c r="AO220" s="8" t="str" cm="1">
        <f t="array" ref="AO220">IF($AW220="","",_xlfn.LET(_xlpm.sa,IFERROR(TRIM(INDEX('Sales and count'!$C$4:$C$300,$BF220)&amp;""),""),_xlpm.ta,IFERROR(TRIM(INDEX('TY Sales Target'!$D$5:$D$300,$BG220)&amp;""),""),IF(AND(_xlpm.sa&lt;&gt;"",LEFT(_xlpm.sa,1)&lt;&gt;"#",_xlpm.sa&lt;&gt;"0"),_xlpm.sa,IF(AND(_xlpm.ta&lt;&gt;"",LEFT(_xlpm.ta,1)&lt;&gt;"#",_xlpm.ta&lt;&gt;"0"),_xlpm.ta,""))))</f>
        <v/>
      </c>
      <c r="AP220" s="8">
        <f t="shared" si="126"/>
        <v>0</v>
      </c>
      <c r="AQ220" s="8">
        <f t="shared" si="127"/>
        <v>0</v>
      </c>
      <c r="AR220" s="8" cm="1">
        <f t="array" ref="AR220">IF($BF220="",0,_xlfn.LET(_xlpm.d,IFERROR(--'Sales and count'!$G$2:$CC$2,0),SUMPRODUCT(('Sales and count'!$G$3:$CC$3="Total")*(_xlpm.d&gt;=$U$4)*(_xlpm.d&lt;=$U$5),INDEX('Sales and count'!$G$4:$CC$300,$BF220,0))))</f>
        <v>0</v>
      </c>
      <c r="AS220" s="8" cm="1">
        <f t="array" ref="AS220">IF($BF220="",0,_xlfn.LET(_xlpm.d,IFERROR(--'Sales and count'!$F$2:$CB$2,0),SUMPRODUCT(('Sales and count'!$G$3:$CC$3="Transactions")*(_xlpm.d&gt;=$U$4)*(_xlpm.d&lt;=$U$5),INDEX('Sales and count'!$G$4:$CC$300,$BF220,0))))</f>
        <v>0</v>
      </c>
      <c r="AT220" s="8" cm="1">
        <f t="array" ref="AT220">IF($AW220="",0,SUMPRODUCT((TRIM('LY Sales '!$B$5:$B$200)=$AW220)*('LY Sales '!$C$2:$AG$2&gt;=EDATE($U$4,-12))*('LY Sales '!$C$2:$AG$2&lt;=EDATE($U$5,-12)),'LY Sales '!$C$5:$AG$200))</f>
        <v>0</v>
      </c>
      <c r="AU220" s="8" cm="1">
        <f t="array" ref="AU220">IF($AW220="",0,SUMPRODUCT((TRIM('LY Transaction'!$B$5:$B$200)=$AW220)*('LY Transaction'!$C$2:$AG$2&gt;=EDATE($U$4,-12))*('LY Transaction'!$C$2:$AG$2&lt;=EDATE($U$5,-12)),'LY Transaction'!$C$5:$AG$200))</f>
        <v>0</v>
      </c>
      <c r="AV220" s="8" cm="1">
        <f t="array" ref="AV220">IF(NOT(ISNUMBER($BG220)),0,SUMPRODUCT(('TY Sales Target'!$K$2:$AO$2&gt;=$U$4)*('TY Sales Target'!$K$2:$AO$2&lt;=$U$5),INDEX('TY Sales Target'!$K$5:$AO$300,$BG220,0)))</f>
        <v>0</v>
      </c>
      <c r="AW220" s="8" t="str" cm="1">
        <f t="array" ref="AW220">IFERROR(INDEX(_xlfn.ANCHORARRAY($BR$5),ROWS($AW$5:AW220)),"")</f>
        <v/>
      </c>
      <c r="BB220" cm="1">
        <f t="array" ref="BB220">IF($AW220="",0,SUMPRODUCT((TRIM(Footfall!$B$5:$B$301)=$AW220)*(Footfall!$C$1:$BZ$1&gt;=$U$4)*(Footfall!$C$2:$BZ$2&lt;=$U$5)*(Footfall!$C$1:$BZ$1&lt;&gt;""),Footfall!$C$5:$BZ$301))</f>
        <v>0</v>
      </c>
      <c r="BC220" cm="1">
        <f t="array" ref="BC220">IF(OR($BB220&lt;=0,$BD$1="",$BF220=""),0,_xlfn.LET(_xlpm.d,IFERROR(--'Sales and count'!$F$2:$CB$2,0),SUMPRODUCT(('Sales and count'!$G$3:$CC$3="Transactions")*(_xlpm.d&gt;=$BD$1)*(_xlpm.d&lt;=$BD$2),INDEX('Sales and count'!$G$4:$CC$300,$BF220,0))))</f>
        <v>0</v>
      </c>
      <c r="BF220" t="str" cm="1">
        <f t="array" ref="BF220">IF($AW220="","",IFERROR(MATCH($AW220,TRIM('Sales and count'!$A$4:$A$300&amp;""),0),""))</f>
        <v/>
      </c>
      <c r="BG220" t="str" cm="1">
        <f t="array" ref="BG220">IF($AW220="","",IFERROR(MATCH(IFERROR(_xlfn.XLOOKUP($AW220,$BT$5:$BT$22,$BU$5:$BU$22),$AW220),TRIM('TY Sales Target'!$B$5:$B$300&amp;""),0),""))</f>
        <v/>
      </c>
      <c r="BH220" t="str" cm="1">
        <f t="array" ref="BH220">IF(ISNUMBER($BG220),_xlfn.LET(_xlpm.p,TRIM(INDEX('TY Sales Target'!$I$5:$I$300,$BG220)&amp;""),IF(_xlpm.p="","Not set",_xlpm.p)),"Not set")</f>
        <v>Not set</v>
      </c>
      <c r="BI220" cm="1">
        <f t="array" ref="BI220">IF($BF220="",0,_xlfn.LET(_xlpm.d,IFERROR(--'Sales and count'!$G$2:$CC$2,0),SUMPRODUCT(('Sales and count'!$G$3:$CC$3="Total")*(_xlpm.d&gt;=$BZ$5)*(_xlpm.d&lt;=$BZ$6),INDEX('Sales and count'!$G$4:$CC$300,$BF220,0))))</f>
        <v>0</v>
      </c>
      <c r="BJ220" cm="1">
        <f t="array" ref="BJ220">IF($AW220="",0,SUMPRODUCT((TRIM('LY Sales '!$B$5:$B$200)=$AW220)*('LY Sales '!$C$2:$AG$2&gt;=EDATE($BZ$5,-12))*('LY Sales '!$C$2:$AG$2&lt;=EDATE($BZ$6,-12)),'LY Sales '!$C$5:$AG$200))</f>
        <v>0</v>
      </c>
      <c r="BK220" cm="1">
        <f t="array" ref="BK220">IF($AW220="",0,SUMPRODUCT((TRIM('LY Sales '!$B$5:$B$200)=$AW220)*('LY Sales '!$C$2:$AG$2&gt;=EDATE($BZ$5,-12))*('LY Sales '!$C$2:$AG$2&lt;=EDATE($BZ$7,-12)),'LY Sales '!$C$5:$AG$200))</f>
        <v>0</v>
      </c>
      <c r="BL220" cm="1">
        <f t="array" ref="BL220">IF($AW220="",0,SUMPRODUCT((TRIM('LY Sales '!$B$5:$B$200)=$AW220)*('LY Sales '!$C$2:$AG$2&gt;=EDATE($BZ$5,-12))*('LY Sales '!$C$2:$AG$2&lt;=EDATE($BZ$6,-12))*('LY Sales '!$C$5:$AG$200&gt;0)))</f>
        <v>0</v>
      </c>
      <c r="BM220" cm="1">
        <f t="array" ref="BM220">IF(NOT(ISNUMBER($BG220)),0,SUMPRODUCT(('TY Sales Target'!$K$2:$AO$2&gt;=$BZ$5)*('TY Sales Target'!$K$2:$AO$2&lt;=$BZ$6),INDEX('TY Sales Target'!$K$5:$AO$300,$BG220,0)))</f>
        <v>0</v>
      </c>
      <c r="BN220" cm="1">
        <f t="array" ref="BN220">IF(NOT(ISNUMBER($BG220)),0,SUMPRODUCT(('TY Sales Target'!$K$2:$AO$2&gt;=$BZ$5)*('TY Sales Target'!$K$2:$AO$2&lt;=$BZ$7),INDEX('TY Sales Target'!$K$5:$AO$300,$BG220,0)))</f>
        <v>0</v>
      </c>
      <c r="BO220" cm="1">
        <f t="array" ref="BO220">IF($AW220="",0,IFERROR(_xlfn.SWITCH($BP220,"LY trend",$BI220*$BK220/$BJ220,"Target curve",$BI220*$BN220/$BM220,"Run rate",$BI220/$BZ$8*$BZ$9,0),0))</f>
        <v>0</v>
      </c>
      <c r="BP220" t="str">
        <f t="shared" si="125"/>
        <v/>
      </c>
      <c r="CB220" cm="1">
        <f t="array" ref="CB220">IF($AW220="",0,_xlfn.LET(_xlpm.k,IFERROR(_xlfn.XLOOKUP($AW220,$CD$6:$CD$21,$CE$6:$CE$21),$AW220),SUMPRODUCT((TRIM('Makeup '!$A$2:$A$300&amp;"")=_xlpm.k)*1,IFERROR('Makeup '!$F$2:$F$300*1,0))))</f>
        <v>0</v>
      </c>
      <c r="CF220" t="str" cm="1">
        <f t="array" ref="CF220">IF($AW220="","",_xlfn.LET(_xlpm.c,IFERROR(TRIM(INDEX('Sales and count'!$B$4:$B$300,$BF220)&amp;""),""),IF(OR(_xlpm.c="",_xlpm.c="0",LEFT(_xlpm.c,1)="#"),"Not set",_xlpm.c)))</f>
        <v/>
      </c>
      <c r="CH220" cm="1">
        <f t="array" ref="CH220">IF($AW220="",0,_xlfn.LET(_xlpm.k,IFERROR(_xlfn.XLOOKUP($AW220,$CD$6:$CD$21,$CE$6:$CE$21),$AW220),--(SUMPRODUCT((TRIM('Makeup '!$A$2:$A$300&amp;"")=_xlpm.k)*ISNUMBER('Makeup '!$F$2:$F$300))&gt;0)))</f>
        <v>0</v>
      </c>
      <c r="CI220">
        <f t="shared" si="128"/>
        <v>0</v>
      </c>
      <c r="CJ220" cm="1">
        <f t="array" ref="CJ220">IF($AW220="",0,--(SUMPRODUCT(--(TRIM(Footfall!$B$5:$B$301)=$AW220))&gt;0))</f>
        <v>0</v>
      </c>
      <c r="CK220" s="8" cm="1">
        <f t="array" ref="CK220">IF($AW220="",0,_xlfn.LET(_xlpm.r,IFERROR(MATCH(IFERROR(_xlfn.XLOOKUP($AW220,$BT$5:$BT$22,$BU$5:$BU$22),$AW220),TRIM('TY Beauty Target'!$B$5:$B$300&amp;""),0),""),IF(ISNUMBER(_xlpm.r),SUMPRODUCT(('TY Beauty Target'!$L$2:$AP$2&gt;=$U$4)*('TY Beauty Target'!$L$2:$AP$2&lt;=$U$5),INDEX('TY Beauty Target'!$L$5:$AP$300,_xlpm.r,0)),0)))</f>
        <v>0</v>
      </c>
    </row>
    <row r="221" spans="28:89" x14ac:dyDescent="0.25">
      <c r="AB221" s="40" t="str" cm="1">
        <f t="array" ref="AB221">IF($AI221="","",IF(LEFT($AI221,2)="C|",IF($C221="","",SUMPRODUCT($AP$5:$AP$302*($AO$5:$AO$302=$A221),$CK$5:$CK$302)),IF($AI221="CT",AB$13,IF(LEFT($AI221,3)="AM|",IF($C221="","",SUMPRODUCT($AP$5:$AP$302*($AN$5:$AN$302=$A221),$CK$5:$CK$302)),IF(LEFT($AI221,2)="S|",IF($AG221="","",INDEX($CK$5:$CK$302,$AH221)),IF($AI221="HDR","Makeup Target",""))))))</f>
        <v/>
      </c>
      <c r="AC221" s="41" t="str">
        <f t="shared" si="111"/>
        <v/>
      </c>
      <c r="AN221" s="8" t="str" cm="1">
        <f t="array" ref="AN221">IF($AW221="","",_xlfn.LET(_xlpm.sa,IFERROR(TRIM(INDEX('Sales and count'!$D$4:$D$300,$BF221)&amp;""),""),_xlpm.ta,IFERROR(TRIM(INDEX('TY Sales Target'!$F$5:$F$300,$BG221)&amp;""),""),IF(AND(_xlpm.sa&lt;&gt;"",LEFT(_xlpm.sa,1)&lt;&gt;"#",_xlpm.sa&lt;&gt;"0"),_xlpm.sa,IF(AND(_xlpm.ta&lt;&gt;"",LEFT(_xlpm.ta,1)&lt;&gt;"#",_xlpm.ta&lt;&gt;"0"),_xlpm.ta,IF(ISNUMBER($BG221),"Unassigned","")))))</f>
        <v/>
      </c>
      <c r="AO221" s="8" t="str" cm="1">
        <f t="array" ref="AO221">IF($AW221="","",_xlfn.LET(_xlpm.sa,IFERROR(TRIM(INDEX('Sales and count'!$C$4:$C$300,$BF221)&amp;""),""),_xlpm.ta,IFERROR(TRIM(INDEX('TY Sales Target'!$D$5:$D$300,$BG221)&amp;""),""),IF(AND(_xlpm.sa&lt;&gt;"",LEFT(_xlpm.sa,1)&lt;&gt;"#",_xlpm.sa&lt;&gt;"0"),_xlpm.sa,IF(AND(_xlpm.ta&lt;&gt;"",LEFT(_xlpm.ta,1)&lt;&gt;"#",_xlpm.ta&lt;&gt;"0"),_xlpm.ta,""))))</f>
        <v/>
      </c>
      <c r="AP221" s="8">
        <f t="shared" si="126"/>
        <v>0</v>
      </c>
      <c r="AQ221" s="8">
        <f t="shared" si="127"/>
        <v>0</v>
      </c>
      <c r="AR221" s="8" cm="1">
        <f t="array" ref="AR221">IF($BF221="",0,_xlfn.LET(_xlpm.d,IFERROR(--'Sales and count'!$G$2:$CC$2,0),SUMPRODUCT(('Sales and count'!$G$3:$CC$3="Total")*(_xlpm.d&gt;=$U$4)*(_xlpm.d&lt;=$U$5),INDEX('Sales and count'!$G$4:$CC$300,$BF221,0))))</f>
        <v>0</v>
      </c>
      <c r="AS221" s="8" cm="1">
        <f t="array" ref="AS221">IF($BF221="",0,_xlfn.LET(_xlpm.d,IFERROR(--'Sales and count'!$F$2:$CB$2,0),SUMPRODUCT(('Sales and count'!$G$3:$CC$3="Transactions")*(_xlpm.d&gt;=$U$4)*(_xlpm.d&lt;=$U$5),INDEX('Sales and count'!$G$4:$CC$300,$BF221,0))))</f>
        <v>0</v>
      </c>
      <c r="AT221" s="8" cm="1">
        <f t="array" ref="AT221">IF($AW221="",0,SUMPRODUCT((TRIM('LY Sales '!$B$5:$B$200)=$AW221)*('LY Sales '!$C$2:$AG$2&gt;=EDATE($U$4,-12))*('LY Sales '!$C$2:$AG$2&lt;=EDATE($U$5,-12)),'LY Sales '!$C$5:$AG$200))</f>
        <v>0</v>
      </c>
      <c r="AU221" s="8" cm="1">
        <f t="array" ref="AU221">IF($AW221="",0,SUMPRODUCT((TRIM('LY Transaction'!$B$5:$B$200)=$AW221)*('LY Transaction'!$C$2:$AG$2&gt;=EDATE($U$4,-12))*('LY Transaction'!$C$2:$AG$2&lt;=EDATE($U$5,-12)),'LY Transaction'!$C$5:$AG$200))</f>
        <v>0</v>
      </c>
      <c r="AV221" s="8" cm="1">
        <f t="array" ref="AV221">IF(NOT(ISNUMBER($BG221)),0,SUMPRODUCT(('TY Sales Target'!$K$2:$AO$2&gt;=$U$4)*('TY Sales Target'!$K$2:$AO$2&lt;=$U$5),INDEX('TY Sales Target'!$K$5:$AO$300,$BG221,0)))</f>
        <v>0</v>
      </c>
      <c r="AW221" s="8" t="str" cm="1">
        <f t="array" ref="AW221">IFERROR(INDEX(_xlfn.ANCHORARRAY($BR$5),ROWS($AW$5:AW221)),"")</f>
        <v/>
      </c>
      <c r="BB221" cm="1">
        <f t="array" ref="BB221">IF($AW221="",0,SUMPRODUCT((TRIM(Footfall!$B$5:$B$301)=$AW221)*(Footfall!$C$1:$BZ$1&gt;=$U$4)*(Footfall!$C$2:$BZ$2&lt;=$U$5)*(Footfall!$C$1:$BZ$1&lt;&gt;""),Footfall!$C$5:$BZ$301))</f>
        <v>0</v>
      </c>
      <c r="BC221" cm="1">
        <f t="array" ref="BC221">IF(OR($BB221&lt;=0,$BD$1="",$BF221=""),0,_xlfn.LET(_xlpm.d,IFERROR(--'Sales and count'!$F$2:$CB$2,0),SUMPRODUCT(('Sales and count'!$G$3:$CC$3="Transactions")*(_xlpm.d&gt;=$BD$1)*(_xlpm.d&lt;=$BD$2),INDEX('Sales and count'!$G$4:$CC$300,$BF221,0))))</f>
        <v>0</v>
      </c>
      <c r="BF221" t="str" cm="1">
        <f t="array" ref="BF221">IF($AW221="","",IFERROR(MATCH($AW221,TRIM('Sales and count'!$A$4:$A$300&amp;""),0),""))</f>
        <v/>
      </c>
      <c r="BG221" t="str" cm="1">
        <f t="array" ref="BG221">IF($AW221="","",IFERROR(MATCH(IFERROR(_xlfn.XLOOKUP($AW221,$BT$5:$BT$22,$BU$5:$BU$22),$AW221),TRIM('TY Sales Target'!$B$5:$B$300&amp;""),0),""))</f>
        <v/>
      </c>
      <c r="BH221" t="str" cm="1">
        <f t="array" ref="BH221">IF(ISNUMBER($BG221),_xlfn.LET(_xlpm.p,TRIM(INDEX('TY Sales Target'!$I$5:$I$300,$BG221)&amp;""),IF(_xlpm.p="","Not set",_xlpm.p)),"Not set")</f>
        <v>Not set</v>
      </c>
      <c r="BI221" cm="1">
        <f t="array" ref="BI221">IF($BF221="",0,_xlfn.LET(_xlpm.d,IFERROR(--'Sales and count'!$G$2:$CC$2,0),SUMPRODUCT(('Sales and count'!$G$3:$CC$3="Total")*(_xlpm.d&gt;=$BZ$5)*(_xlpm.d&lt;=$BZ$6),INDEX('Sales and count'!$G$4:$CC$300,$BF221,0))))</f>
        <v>0</v>
      </c>
      <c r="BJ221" cm="1">
        <f t="array" ref="BJ221">IF($AW221="",0,SUMPRODUCT((TRIM('LY Sales '!$B$5:$B$200)=$AW221)*('LY Sales '!$C$2:$AG$2&gt;=EDATE($BZ$5,-12))*('LY Sales '!$C$2:$AG$2&lt;=EDATE($BZ$6,-12)),'LY Sales '!$C$5:$AG$200))</f>
        <v>0</v>
      </c>
      <c r="BK221" cm="1">
        <f t="array" ref="BK221">IF($AW221="",0,SUMPRODUCT((TRIM('LY Sales '!$B$5:$B$200)=$AW221)*('LY Sales '!$C$2:$AG$2&gt;=EDATE($BZ$5,-12))*('LY Sales '!$C$2:$AG$2&lt;=EDATE($BZ$7,-12)),'LY Sales '!$C$5:$AG$200))</f>
        <v>0</v>
      </c>
      <c r="BL221" cm="1">
        <f t="array" ref="BL221">IF($AW221="",0,SUMPRODUCT((TRIM('LY Sales '!$B$5:$B$200)=$AW221)*('LY Sales '!$C$2:$AG$2&gt;=EDATE($BZ$5,-12))*('LY Sales '!$C$2:$AG$2&lt;=EDATE($BZ$6,-12))*('LY Sales '!$C$5:$AG$200&gt;0)))</f>
        <v>0</v>
      </c>
      <c r="BM221" cm="1">
        <f t="array" ref="BM221">IF(NOT(ISNUMBER($BG221)),0,SUMPRODUCT(('TY Sales Target'!$K$2:$AO$2&gt;=$BZ$5)*('TY Sales Target'!$K$2:$AO$2&lt;=$BZ$6),INDEX('TY Sales Target'!$K$5:$AO$300,$BG221,0)))</f>
        <v>0</v>
      </c>
      <c r="BN221" cm="1">
        <f t="array" ref="BN221">IF(NOT(ISNUMBER($BG221)),0,SUMPRODUCT(('TY Sales Target'!$K$2:$AO$2&gt;=$BZ$5)*('TY Sales Target'!$K$2:$AO$2&lt;=$BZ$7),INDEX('TY Sales Target'!$K$5:$AO$300,$BG221,0)))</f>
        <v>0</v>
      </c>
      <c r="BO221" cm="1">
        <f t="array" ref="BO221">IF($AW221="",0,IFERROR(_xlfn.SWITCH($BP221,"LY trend",$BI221*$BK221/$BJ221,"Target curve",$BI221*$BN221/$BM221,"Run rate",$BI221/$BZ$8*$BZ$9,0),0))</f>
        <v>0</v>
      </c>
      <c r="BP221" t="str">
        <f t="shared" si="125"/>
        <v/>
      </c>
      <c r="CB221" cm="1">
        <f t="array" ref="CB221">IF($AW221="",0,_xlfn.LET(_xlpm.k,IFERROR(_xlfn.XLOOKUP($AW221,$CD$6:$CD$21,$CE$6:$CE$21),$AW221),SUMPRODUCT((TRIM('Makeup '!$A$2:$A$300&amp;"")=_xlpm.k)*1,IFERROR('Makeup '!$F$2:$F$300*1,0))))</f>
        <v>0</v>
      </c>
      <c r="CF221" t="str" cm="1">
        <f t="array" ref="CF221">IF($AW221="","",_xlfn.LET(_xlpm.c,IFERROR(TRIM(INDEX('Sales and count'!$B$4:$B$300,$BF221)&amp;""),""),IF(OR(_xlpm.c="",_xlpm.c="0",LEFT(_xlpm.c,1)="#"),"Not set",_xlpm.c)))</f>
        <v/>
      </c>
      <c r="CH221" cm="1">
        <f t="array" ref="CH221">IF($AW221="",0,_xlfn.LET(_xlpm.k,IFERROR(_xlfn.XLOOKUP($AW221,$CD$6:$CD$21,$CE$6:$CE$21),$AW221),--(SUMPRODUCT((TRIM('Makeup '!$A$2:$A$300&amp;"")=_xlpm.k)*ISNUMBER('Makeup '!$F$2:$F$300))&gt;0)))</f>
        <v>0</v>
      </c>
      <c r="CI221">
        <f t="shared" si="128"/>
        <v>0</v>
      </c>
      <c r="CJ221" cm="1">
        <f t="array" ref="CJ221">IF($AW221="",0,--(SUMPRODUCT(--(TRIM(Footfall!$B$5:$B$301)=$AW221))&gt;0))</f>
        <v>0</v>
      </c>
      <c r="CK221" s="8" cm="1">
        <f t="array" ref="CK221">IF($AW221="",0,_xlfn.LET(_xlpm.r,IFERROR(MATCH(IFERROR(_xlfn.XLOOKUP($AW221,$BT$5:$BT$22,$BU$5:$BU$22),$AW221),TRIM('TY Beauty Target'!$B$5:$B$300&amp;""),0),""),IF(ISNUMBER(_xlpm.r),SUMPRODUCT(('TY Beauty Target'!$L$2:$AP$2&gt;=$U$4)*('TY Beauty Target'!$L$2:$AP$2&lt;=$U$5),INDEX('TY Beauty Target'!$L$5:$AP$300,_xlpm.r,0)),0)))</f>
        <v>0</v>
      </c>
    </row>
    <row r="222" spans="28:89" x14ac:dyDescent="0.25">
      <c r="AB222" s="40" t="str" cm="1">
        <f t="array" ref="AB222">IF($AI222="","",IF(LEFT($AI222,2)="C|",IF($C222="","",SUMPRODUCT($AP$5:$AP$302*($AO$5:$AO$302=$A222),$CK$5:$CK$302)),IF($AI222="CT",AB$13,IF(LEFT($AI222,3)="AM|",IF($C222="","",SUMPRODUCT($AP$5:$AP$302*($AN$5:$AN$302=$A222),$CK$5:$CK$302)),IF(LEFT($AI222,2)="S|",IF($AG222="","",INDEX($CK$5:$CK$302,$AH222)),IF($AI222="HDR","Makeup Target",""))))))</f>
        <v/>
      </c>
      <c r="AC222" s="41" t="str">
        <f t="shared" si="111"/>
        <v/>
      </c>
      <c r="AN222" s="8" t="str" cm="1">
        <f t="array" ref="AN222">IF($AW222="","",_xlfn.LET(_xlpm.sa,IFERROR(TRIM(INDEX('Sales and count'!$D$4:$D$300,$BF222)&amp;""),""),_xlpm.ta,IFERROR(TRIM(INDEX('TY Sales Target'!$F$5:$F$300,$BG222)&amp;""),""),IF(AND(_xlpm.sa&lt;&gt;"",LEFT(_xlpm.sa,1)&lt;&gt;"#",_xlpm.sa&lt;&gt;"0"),_xlpm.sa,IF(AND(_xlpm.ta&lt;&gt;"",LEFT(_xlpm.ta,1)&lt;&gt;"#",_xlpm.ta&lt;&gt;"0"),_xlpm.ta,IF(ISNUMBER($BG222),"Unassigned","")))))</f>
        <v/>
      </c>
      <c r="AO222" s="8" t="str" cm="1">
        <f t="array" ref="AO222">IF($AW222="","",_xlfn.LET(_xlpm.sa,IFERROR(TRIM(INDEX('Sales and count'!$C$4:$C$300,$BF222)&amp;""),""),_xlpm.ta,IFERROR(TRIM(INDEX('TY Sales Target'!$D$5:$D$300,$BG222)&amp;""),""),IF(AND(_xlpm.sa&lt;&gt;"",LEFT(_xlpm.sa,1)&lt;&gt;"#",_xlpm.sa&lt;&gt;"0"),_xlpm.sa,IF(AND(_xlpm.ta&lt;&gt;"",LEFT(_xlpm.ta,1)&lt;&gt;"#",_xlpm.ta&lt;&gt;"0"),_xlpm.ta,""))))</f>
        <v/>
      </c>
      <c r="AP222" s="8">
        <f t="shared" si="126"/>
        <v>0</v>
      </c>
      <c r="AQ222" s="8">
        <f t="shared" si="127"/>
        <v>0</v>
      </c>
      <c r="AR222" s="8" cm="1">
        <f t="array" ref="AR222">IF($BF222="",0,_xlfn.LET(_xlpm.d,IFERROR(--'Sales and count'!$G$2:$CC$2,0),SUMPRODUCT(('Sales and count'!$G$3:$CC$3="Total")*(_xlpm.d&gt;=$U$4)*(_xlpm.d&lt;=$U$5),INDEX('Sales and count'!$G$4:$CC$300,$BF222,0))))</f>
        <v>0</v>
      </c>
      <c r="AS222" s="8" cm="1">
        <f t="array" ref="AS222">IF($BF222="",0,_xlfn.LET(_xlpm.d,IFERROR(--'Sales and count'!$F$2:$CB$2,0),SUMPRODUCT(('Sales and count'!$G$3:$CC$3="Transactions")*(_xlpm.d&gt;=$U$4)*(_xlpm.d&lt;=$U$5),INDEX('Sales and count'!$G$4:$CC$300,$BF222,0))))</f>
        <v>0</v>
      </c>
      <c r="AT222" s="8" cm="1">
        <f t="array" ref="AT222">IF($AW222="",0,SUMPRODUCT((TRIM('LY Sales '!$B$5:$B$200)=$AW222)*('LY Sales '!$C$2:$AG$2&gt;=EDATE($U$4,-12))*('LY Sales '!$C$2:$AG$2&lt;=EDATE($U$5,-12)),'LY Sales '!$C$5:$AG$200))</f>
        <v>0</v>
      </c>
      <c r="AU222" s="8" cm="1">
        <f t="array" ref="AU222">IF($AW222="",0,SUMPRODUCT((TRIM('LY Transaction'!$B$5:$B$200)=$AW222)*('LY Transaction'!$C$2:$AG$2&gt;=EDATE($U$4,-12))*('LY Transaction'!$C$2:$AG$2&lt;=EDATE($U$5,-12)),'LY Transaction'!$C$5:$AG$200))</f>
        <v>0</v>
      </c>
      <c r="AV222" s="8" cm="1">
        <f t="array" ref="AV222">IF(NOT(ISNUMBER($BG222)),0,SUMPRODUCT(('TY Sales Target'!$K$2:$AO$2&gt;=$U$4)*('TY Sales Target'!$K$2:$AO$2&lt;=$U$5),INDEX('TY Sales Target'!$K$5:$AO$300,$BG222,0)))</f>
        <v>0</v>
      </c>
      <c r="AW222" s="8" t="str" cm="1">
        <f t="array" ref="AW222">IFERROR(INDEX(_xlfn.ANCHORARRAY($BR$5),ROWS($AW$5:AW222)),"")</f>
        <v/>
      </c>
      <c r="BB222" cm="1">
        <f t="array" ref="BB222">IF($AW222="",0,SUMPRODUCT((TRIM(Footfall!$B$5:$B$301)=$AW222)*(Footfall!$C$1:$BZ$1&gt;=$U$4)*(Footfall!$C$2:$BZ$2&lt;=$U$5)*(Footfall!$C$1:$BZ$1&lt;&gt;""),Footfall!$C$5:$BZ$301))</f>
        <v>0</v>
      </c>
      <c r="BC222" cm="1">
        <f t="array" ref="BC222">IF(OR($BB222&lt;=0,$BD$1="",$BF222=""),0,_xlfn.LET(_xlpm.d,IFERROR(--'Sales and count'!$F$2:$CB$2,0),SUMPRODUCT(('Sales and count'!$G$3:$CC$3="Transactions")*(_xlpm.d&gt;=$BD$1)*(_xlpm.d&lt;=$BD$2),INDEX('Sales and count'!$G$4:$CC$300,$BF222,0))))</f>
        <v>0</v>
      </c>
      <c r="BF222" t="str" cm="1">
        <f t="array" ref="BF222">IF($AW222="","",IFERROR(MATCH($AW222,TRIM('Sales and count'!$A$4:$A$300&amp;""),0),""))</f>
        <v/>
      </c>
      <c r="BG222" t="str" cm="1">
        <f t="array" ref="BG222">IF($AW222="","",IFERROR(MATCH(IFERROR(_xlfn.XLOOKUP($AW222,$BT$5:$BT$22,$BU$5:$BU$22),$AW222),TRIM('TY Sales Target'!$B$5:$B$300&amp;""),0),""))</f>
        <v/>
      </c>
      <c r="BH222" t="str" cm="1">
        <f t="array" ref="BH222">IF(ISNUMBER($BG222),_xlfn.LET(_xlpm.p,TRIM(INDEX('TY Sales Target'!$I$5:$I$300,$BG222)&amp;""),IF(_xlpm.p="","Not set",_xlpm.p)),"Not set")</f>
        <v>Not set</v>
      </c>
      <c r="BI222" cm="1">
        <f t="array" ref="BI222">IF($BF222="",0,_xlfn.LET(_xlpm.d,IFERROR(--'Sales and count'!$G$2:$CC$2,0),SUMPRODUCT(('Sales and count'!$G$3:$CC$3="Total")*(_xlpm.d&gt;=$BZ$5)*(_xlpm.d&lt;=$BZ$6),INDEX('Sales and count'!$G$4:$CC$300,$BF222,0))))</f>
        <v>0</v>
      </c>
      <c r="BJ222" cm="1">
        <f t="array" ref="BJ222">IF($AW222="",0,SUMPRODUCT((TRIM('LY Sales '!$B$5:$B$200)=$AW222)*('LY Sales '!$C$2:$AG$2&gt;=EDATE($BZ$5,-12))*('LY Sales '!$C$2:$AG$2&lt;=EDATE($BZ$6,-12)),'LY Sales '!$C$5:$AG$200))</f>
        <v>0</v>
      </c>
      <c r="BK222" cm="1">
        <f t="array" ref="BK222">IF($AW222="",0,SUMPRODUCT((TRIM('LY Sales '!$B$5:$B$200)=$AW222)*('LY Sales '!$C$2:$AG$2&gt;=EDATE($BZ$5,-12))*('LY Sales '!$C$2:$AG$2&lt;=EDATE($BZ$7,-12)),'LY Sales '!$C$5:$AG$200))</f>
        <v>0</v>
      </c>
      <c r="BL222" cm="1">
        <f t="array" ref="BL222">IF($AW222="",0,SUMPRODUCT((TRIM('LY Sales '!$B$5:$B$200)=$AW222)*('LY Sales '!$C$2:$AG$2&gt;=EDATE($BZ$5,-12))*('LY Sales '!$C$2:$AG$2&lt;=EDATE($BZ$6,-12))*('LY Sales '!$C$5:$AG$200&gt;0)))</f>
        <v>0</v>
      </c>
      <c r="BM222" cm="1">
        <f t="array" ref="BM222">IF(NOT(ISNUMBER($BG222)),0,SUMPRODUCT(('TY Sales Target'!$K$2:$AO$2&gt;=$BZ$5)*('TY Sales Target'!$K$2:$AO$2&lt;=$BZ$6),INDEX('TY Sales Target'!$K$5:$AO$300,$BG222,0)))</f>
        <v>0</v>
      </c>
      <c r="BN222" cm="1">
        <f t="array" ref="BN222">IF(NOT(ISNUMBER($BG222)),0,SUMPRODUCT(('TY Sales Target'!$K$2:$AO$2&gt;=$BZ$5)*('TY Sales Target'!$K$2:$AO$2&lt;=$BZ$7),INDEX('TY Sales Target'!$K$5:$AO$300,$BG222,0)))</f>
        <v>0</v>
      </c>
      <c r="BO222" cm="1">
        <f t="array" ref="BO222">IF($AW222="",0,IFERROR(_xlfn.SWITCH($BP222,"LY trend",$BI222*$BK222/$BJ222,"Target curve",$BI222*$BN222/$BM222,"Run rate",$BI222/$BZ$8*$BZ$9,0),0))</f>
        <v>0</v>
      </c>
      <c r="BP222" t="str">
        <f t="shared" si="125"/>
        <v/>
      </c>
      <c r="CB222" cm="1">
        <f t="array" ref="CB222">IF($AW222="",0,_xlfn.LET(_xlpm.k,IFERROR(_xlfn.XLOOKUP($AW222,$CD$6:$CD$21,$CE$6:$CE$21),$AW222),SUMPRODUCT((TRIM('Makeup '!$A$2:$A$300&amp;"")=_xlpm.k)*1,IFERROR('Makeup '!$F$2:$F$300*1,0))))</f>
        <v>0</v>
      </c>
      <c r="CF222" t="str" cm="1">
        <f t="array" ref="CF222">IF($AW222="","",_xlfn.LET(_xlpm.c,IFERROR(TRIM(INDEX('Sales and count'!$B$4:$B$300,$BF222)&amp;""),""),IF(OR(_xlpm.c="",_xlpm.c="0",LEFT(_xlpm.c,1)="#"),"Not set",_xlpm.c)))</f>
        <v/>
      </c>
      <c r="CH222" cm="1">
        <f t="array" ref="CH222">IF($AW222="",0,_xlfn.LET(_xlpm.k,IFERROR(_xlfn.XLOOKUP($AW222,$CD$6:$CD$21,$CE$6:$CE$21),$AW222),--(SUMPRODUCT((TRIM('Makeup '!$A$2:$A$300&amp;"")=_xlpm.k)*ISNUMBER('Makeup '!$F$2:$F$300))&gt;0)))</f>
        <v>0</v>
      </c>
      <c r="CI222">
        <f t="shared" si="128"/>
        <v>0</v>
      </c>
      <c r="CJ222" cm="1">
        <f t="array" ref="CJ222">IF($AW222="",0,--(SUMPRODUCT(--(TRIM(Footfall!$B$5:$B$301)=$AW222))&gt;0))</f>
        <v>0</v>
      </c>
      <c r="CK222" s="8" cm="1">
        <f t="array" ref="CK222">IF($AW222="",0,_xlfn.LET(_xlpm.r,IFERROR(MATCH(IFERROR(_xlfn.XLOOKUP($AW222,$BT$5:$BT$22,$BU$5:$BU$22),$AW222),TRIM('TY Beauty Target'!$B$5:$B$300&amp;""),0),""),IF(ISNUMBER(_xlpm.r),SUMPRODUCT(('TY Beauty Target'!$L$2:$AP$2&gt;=$U$4)*('TY Beauty Target'!$L$2:$AP$2&lt;=$U$5),INDEX('TY Beauty Target'!$L$5:$AP$300,_xlpm.r,0)),0)))</f>
        <v>0</v>
      </c>
    </row>
    <row r="223" spans="28:89" x14ac:dyDescent="0.25">
      <c r="AB223" s="40" t="str" cm="1">
        <f t="array" ref="AB223">IF($AI223="","",IF(LEFT($AI223,2)="C|",IF($C223="","",SUMPRODUCT($AP$5:$AP$302*($AO$5:$AO$302=$A223),$CK$5:$CK$302)),IF($AI223="CT",AB$13,IF(LEFT($AI223,3)="AM|",IF($C223="","",SUMPRODUCT($AP$5:$AP$302*($AN$5:$AN$302=$A223),$CK$5:$CK$302)),IF(LEFT($AI223,2)="S|",IF($AG223="","",INDEX($CK$5:$CK$302,$AH223)),IF($AI223="HDR","Makeup Target",""))))))</f>
        <v/>
      </c>
      <c r="AC223" s="41" t="str">
        <f t="shared" ref="AC223:AC286" si="129">IF($AI223="HDR","Makeup Ach. %",IF(OR(Z223="",AB223=""),"",IFERROR(Z223/AB223,"")))</f>
        <v/>
      </c>
      <c r="AN223" s="8" t="str" cm="1">
        <f t="array" ref="AN223">IF($AW223="","",_xlfn.LET(_xlpm.sa,IFERROR(TRIM(INDEX('Sales and count'!$D$4:$D$300,$BF223)&amp;""),""),_xlpm.ta,IFERROR(TRIM(INDEX('TY Sales Target'!$F$5:$F$300,$BG223)&amp;""),""),IF(AND(_xlpm.sa&lt;&gt;"",LEFT(_xlpm.sa,1)&lt;&gt;"#",_xlpm.sa&lt;&gt;"0"),_xlpm.sa,IF(AND(_xlpm.ta&lt;&gt;"",LEFT(_xlpm.ta,1)&lt;&gt;"#",_xlpm.ta&lt;&gt;"0"),_xlpm.ta,IF(ISNUMBER($BG223),"Unassigned","")))))</f>
        <v/>
      </c>
      <c r="AO223" s="8" t="str" cm="1">
        <f t="array" ref="AO223">IF($AW223="","",_xlfn.LET(_xlpm.sa,IFERROR(TRIM(INDEX('Sales and count'!$C$4:$C$300,$BF223)&amp;""),""),_xlpm.ta,IFERROR(TRIM(INDEX('TY Sales Target'!$D$5:$D$300,$BG223)&amp;""),""),IF(AND(_xlpm.sa&lt;&gt;"",LEFT(_xlpm.sa,1)&lt;&gt;"#",_xlpm.sa&lt;&gt;"0"),_xlpm.sa,IF(AND(_xlpm.ta&lt;&gt;"",LEFT(_xlpm.ta,1)&lt;&gt;"#",_xlpm.ta&lt;&gt;"0"),_xlpm.ta,""))))</f>
        <v/>
      </c>
      <c r="AP223" s="8">
        <f t="shared" si="126"/>
        <v>0</v>
      </c>
      <c r="AQ223" s="8">
        <f t="shared" si="127"/>
        <v>0</v>
      </c>
      <c r="AR223" s="8" cm="1">
        <f t="array" ref="AR223">IF($BF223="",0,_xlfn.LET(_xlpm.d,IFERROR(--'Sales and count'!$G$2:$CC$2,0),SUMPRODUCT(('Sales and count'!$G$3:$CC$3="Total")*(_xlpm.d&gt;=$U$4)*(_xlpm.d&lt;=$U$5),INDEX('Sales and count'!$G$4:$CC$300,$BF223,0))))</f>
        <v>0</v>
      </c>
      <c r="AS223" s="8" cm="1">
        <f t="array" ref="AS223">IF($BF223="",0,_xlfn.LET(_xlpm.d,IFERROR(--'Sales and count'!$F$2:$CB$2,0),SUMPRODUCT(('Sales and count'!$G$3:$CC$3="Transactions")*(_xlpm.d&gt;=$U$4)*(_xlpm.d&lt;=$U$5),INDEX('Sales and count'!$G$4:$CC$300,$BF223,0))))</f>
        <v>0</v>
      </c>
      <c r="AT223" s="8" cm="1">
        <f t="array" ref="AT223">IF($AW223="",0,SUMPRODUCT((TRIM('LY Sales '!$B$5:$B$200)=$AW223)*('LY Sales '!$C$2:$AG$2&gt;=EDATE($U$4,-12))*('LY Sales '!$C$2:$AG$2&lt;=EDATE($U$5,-12)),'LY Sales '!$C$5:$AG$200))</f>
        <v>0</v>
      </c>
      <c r="AU223" s="8" cm="1">
        <f t="array" ref="AU223">IF($AW223="",0,SUMPRODUCT((TRIM('LY Transaction'!$B$5:$B$200)=$AW223)*('LY Transaction'!$C$2:$AG$2&gt;=EDATE($U$4,-12))*('LY Transaction'!$C$2:$AG$2&lt;=EDATE($U$5,-12)),'LY Transaction'!$C$5:$AG$200))</f>
        <v>0</v>
      </c>
      <c r="AV223" s="8" cm="1">
        <f t="array" ref="AV223">IF(NOT(ISNUMBER($BG223)),0,SUMPRODUCT(('TY Sales Target'!$K$2:$AO$2&gt;=$U$4)*('TY Sales Target'!$K$2:$AO$2&lt;=$U$5),INDEX('TY Sales Target'!$K$5:$AO$300,$BG223,0)))</f>
        <v>0</v>
      </c>
      <c r="AW223" s="8" t="str" cm="1">
        <f t="array" ref="AW223">IFERROR(INDEX(_xlfn.ANCHORARRAY($BR$5),ROWS($AW$5:AW223)),"")</f>
        <v/>
      </c>
      <c r="BB223" cm="1">
        <f t="array" ref="BB223">IF($AW223="",0,SUMPRODUCT((TRIM(Footfall!$B$5:$B$301)=$AW223)*(Footfall!$C$1:$BZ$1&gt;=$U$4)*(Footfall!$C$2:$BZ$2&lt;=$U$5)*(Footfall!$C$1:$BZ$1&lt;&gt;""),Footfall!$C$5:$BZ$301))</f>
        <v>0</v>
      </c>
      <c r="BC223" cm="1">
        <f t="array" ref="BC223">IF(OR($BB223&lt;=0,$BD$1="",$BF223=""),0,_xlfn.LET(_xlpm.d,IFERROR(--'Sales and count'!$F$2:$CB$2,0),SUMPRODUCT(('Sales and count'!$G$3:$CC$3="Transactions")*(_xlpm.d&gt;=$BD$1)*(_xlpm.d&lt;=$BD$2),INDEX('Sales and count'!$G$4:$CC$300,$BF223,0))))</f>
        <v>0</v>
      </c>
      <c r="BF223" t="str" cm="1">
        <f t="array" ref="BF223">IF($AW223="","",IFERROR(MATCH($AW223,TRIM('Sales and count'!$A$4:$A$300&amp;""),0),""))</f>
        <v/>
      </c>
      <c r="BG223" t="str" cm="1">
        <f t="array" ref="BG223">IF($AW223="","",IFERROR(MATCH(IFERROR(_xlfn.XLOOKUP($AW223,$BT$5:$BT$22,$BU$5:$BU$22),$AW223),TRIM('TY Sales Target'!$B$5:$B$300&amp;""),0),""))</f>
        <v/>
      </c>
      <c r="BH223" t="str" cm="1">
        <f t="array" ref="BH223">IF(ISNUMBER($BG223),_xlfn.LET(_xlpm.p,TRIM(INDEX('TY Sales Target'!$I$5:$I$300,$BG223)&amp;""),IF(_xlpm.p="","Not set",_xlpm.p)),"Not set")</f>
        <v>Not set</v>
      </c>
      <c r="BI223" cm="1">
        <f t="array" ref="BI223">IF($BF223="",0,_xlfn.LET(_xlpm.d,IFERROR(--'Sales and count'!$G$2:$CC$2,0),SUMPRODUCT(('Sales and count'!$G$3:$CC$3="Total")*(_xlpm.d&gt;=$BZ$5)*(_xlpm.d&lt;=$BZ$6),INDEX('Sales and count'!$G$4:$CC$300,$BF223,0))))</f>
        <v>0</v>
      </c>
      <c r="BJ223" cm="1">
        <f t="array" ref="BJ223">IF($AW223="",0,SUMPRODUCT((TRIM('LY Sales '!$B$5:$B$200)=$AW223)*('LY Sales '!$C$2:$AG$2&gt;=EDATE($BZ$5,-12))*('LY Sales '!$C$2:$AG$2&lt;=EDATE($BZ$6,-12)),'LY Sales '!$C$5:$AG$200))</f>
        <v>0</v>
      </c>
      <c r="BK223" cm="1">
        <f t="array" ref="BK223">IF($AW223="",0,SUMPRODUCT((TRIM('LY Sales '!$B$5:$B$200)=$AW223)*('LY Sales '!$C$2:$AG$2&gt;=EDATE($BZ$5,-12))*('LY Sales '!$C$2:$AG$2&lt;=EDATE($BZ$7,-12)),'LY Sales '!$C$5:$AG$200))</f>
        <v>0</v>
      </c>
      <c r="BL223" cm="1">
        <f t="array" ref="BL223">IF($AW223="",0,SUMPRODUCT((TRIM('LY Sales '!$B$5:$B$200)=$AW223)*('LY Sales '!$C$2:$AG$2&gt;=EDATE($BZ$5,-12))*('LY Sales '!$C$2:$AG$2&lt;=EDATE($BZ$6,-12))*('LY Sales '!$C$5:$AG$200&gt;0)))</f>
        <v>0</v>
      </c>
      <c r="BM223" cm="1">
        <f t="array" ref="BM223">IF(NOT(ISNUMBER($BG223)),0,SUMPRODUCT(('TY Sales Target'!$K$2:$AO$2&gt;=$BZ$5)*('TY Sales Target'!$K$2:$AO$2&lt;=$BZ$6),INDEX('TY Sales Target'!$K$5:$AO$300,$BG223,0)))</f>
        <v>0</v>
      </c>
      <c r="BN223" cm="1">
        <f t="array" ref="BN223">IF(NOT(ISNUMBER($BG223)),0,SUMPRODUCT(('TY Sales Target'!$K$2:$AO$2&gt;=$BZ$5)*('TY Sales Target'!$K$2:$AO$2&lt;=$BZ$7),INDEX('TY Sales Target'!$K$5:$AO$300,$BG223,0)))</f>
        <v>0</v>
      </c>
      <c r="BO223" cm="1">
        <f t="array" ref="BO223">IF($AW223="",0,IFERROR(_xlfn.SWITCH($BP223,"LY trend",$BI223*$BK223/$BJ223,"Target curve",$BI223*$BN223/$BM223,"Run rate",$BI223/$BZ$8*$BZ$9,0),0))</f>
        <v>0</v>
      </c>
      <c r="BP223" t="str">
        <f t="shared" si="125"/>
        <v/>
      </c>
      <c r="CB223" cm="1">
        <f t="array" ref="CB223">IF($AW223="",0,_xlfn.LET(_xlpm.k,IFERROR(_xlfn.XLOOKUP($AW223,$CD$6:$CD$21,$CE$6:$CE$21),$AW223),SUMPRODUCT((TRIM('Makeup '!$A$2:$A$300&amp;"")=_xlpm.k)*1,IFERROR('Makeup '!$F$2:$F$300*1,0))))</f>
        <v>0</v>
      </c>
      <c r="CF223" t="str" cm="1">
        <f t="array" ref="CF223">IF($AW223="","",_xlfn.LET(_xlpm.c,IFERROR(TRIM(INDEX('Sales and count'!$B$4:$B$300,$BF223)&amp;""),""),IF(OR(_xlpm.c="",_xlpm.c="0",LEFT(_xlpm.c,1)="#"),"Not set",_xlpm.c)))</f>
        <v/>
      </c>
      <c r="CH223" cm="1">
        <f t="array" ref="CH223">IF($AW223="",0,_xlfn.LET(_xlpm.k,IFERROR(_xlfn.XLOOKUP($AW223,$CD$6:$CD$21,$CE$6:$CE$21),$AW223),--(SUMPRODUCT((TRIM('Makeup '!$A$2:$A$300&amp;"")=_xlpm.k)*ISNUMBER('Makeup '!$F$2:$F$300))&gt;0)))</f>
        <v>0</v>
      </c>
      <c r="CI223">
        <f t="shared" si="128"/>
        <v>0</v>
      </c>
      <c r="CJ223" cm="1">
        <f t="array" ref="CJ223">IF($AW223="",0,--(SUMPRODUCT(--(TRIM(Footfall!$B$5:$B$301)=$AW223))&gt;0))</f>
        <v>0</v>
      </c>
      <c r="CK223" s="8" cm="1">
        <f t="array" ref="CK223">IF($AW223="",0,_xlfn.LET(_xlpm.r,IFERROR(MATCH(IFERROR(_xlfn.XLOOKUP($AW223,$BT$5:$BT$22,$BU$5:$BU$22),$AW223),TRIM('TY Beauty Target'!$B$5:$B$300&amp;""),0),""),IF(ISNUMBER(_xlpm.r),SUMPRODUCT(('TY Beauty Target'!$L$2:$AP$2&gt;=$U$4)*('TY Beauty Target'!$L$2:$AP$2&lt;=$U$5),INDEX('TY Beauty Target'!$L$5:$AP$300,_xlpm.r,0)),0)))</f>
        <v>0</v>
      </c>
    </row>
    <row r="224" spans="28:89" x14ac:dyDescent="0.25">
      <c r="AB224" s="40" t="str" cm="1">
        <f t="array" ref="AB224">IF($AI224="","",IF(LEFT($AI224,2)="C|",IF($C224="","",SUMPRODUCT($AP$5:$AP$302*($AO$5:$AO$302=$A224),$CK$5:$CK$302)),IF($AI224="CT",AB$13,IF(LEFT($AI224,3)="AM|",IF($C224="","",SUMPRODUCT($AP$5:$AP$302*($AN$5:$AN$302=$A224),$CK$5:$CK$302)),IF(LEFT($AI224,2)="S|",IF($AG224="","",INDEX($CK$5:$CK$302,$AH224)),IF($AI224="HDR","Makeup Target",""))))))</f>
        <v/>
      </c>
      <c r="AC224" s="41" t="str">
        <f t="shared" si="129"/>
        <v/>
      </c>
      <c r="AN224" s="8" t="str" cm="1">
        <f t="array" ref="AN224">IF($AW224="","",_xlfn.LET(_xlpm.sa,IFERROR(TRIM(INDEX('Sales and count'!$D$4:$D$300,$BF224)&amp;""),""),_xlpm.ta,IFERROR(TRIM(INDEX('TY Sales Target'!$F$5:$F$300,$BG224)&amp;""),""),IF(AND(_xlpm.sa&lt;&gt;"",LEFT(_xlpm.sa,1)&lt;&gt;"#",_xlpm.sa&lt;&gt;"0"),_xlpm.sa,IF(AND(_xlpm.ta&lt;&gt;"",LEFT(_xlpm.ta,1)&lt;&gt;"#",_xlpm.ta&lt;&gt;"0"),_xlpm.ta,IF(ISNUMBER($BG224),"Unassigned","")))))</f>
        <v/>
      </c>
      <c r="AO224" s="8" t="str" cm="1">
        <f t="array" ref="AO224">IF($AW224="","",_xlfn.LET(_xlpm.sa,IFERROR(TRIM(INDEX('Sales and count'!$C$4:$C$300,$BF224)&amp;""),""),_xlpm.ta,IFERROR(TRIM(INDEX('TY Sales Target'!$D$5:$D$300,$BG224)&amp;""),""),IF(AND(_xlpm.sa&lt;&gt;"",LEFT(_xlpm.sa,1)&lt;&gt;"#",_xlpm.sa&lt;&gt;"0"),_xlpm.sa,IF(AND(_xlpm.ta&lt;&gt;"",LEFT(_xlpm.ta,1)&lt;&gt;"#",_xlpm.ta&lt;&gt;"0"),_xlpm.ta,""))))</f>
        <v/>
      </c>
      <c r="AP224" s="8">
        <f t="shared" si="126"/>
        <v>0</v>
      </c>
      <c r="AQ224" s="8">
        <f t="shared" si="127"/>
        <v>0</v>
      </c>
      <c r="AR224" s="8" cm="1">
        <f t="array" ref="AR224">IF($BF224="",0,_xlfn.LET(_xlpm.d,IFERROR(--'Sales and count'!$G$2:$CC$2,0),SUMPRODUCT(('Sales and count'!$G$3:$CC$3="Total")*(_xlpm.d&gt;=$U$4)*(_xlpm.d&lt;=$U$5),INDEX('Sales and count'!$G$4:$CC$300,$BF224,0))))</f>
        <v>0</v>
      </c>
      <c r="AS224" s="8" cm="1">
        <f t="array" ref="AS224">IF($BF224="",0,_xlfn.LET(_xlpm.d,IFERROR(--'Sales and count'!$F$2:$CB$2,0),SUMPRODUCT(('Sales and count'!$G$3:$CC$3="Transactions")*(_xlpm.d&gt;=$U$4)*(_xlpm.d&lt;=$U$5),INDEX('Sales and count'!$G$4:$CC$300,$BF224,0))))</f>
        <v>0</v>
      </c>
      <c r="AT224" s="8" cm="1">
        <f t="array" ref="AT224">IF($AW224="",0,SUMPRODUCT((TRIM('LY Sales '!$B$5:$B$200)=$AW224)*('LY Sales '!$C$2:$AG$2&gt;=EDATE($U$4,-12))*('LY Sales '!$C$2:$AG$2&lt;=EDATE($U$5,-12)),'LY Sales '!$C$5:$AG$200))</f>
        <v>0</v>
      </c>
      <c r="AU224" s="8" cm="1">
        <f t="array" ref="AU224">IF($AW224="",0,SUMPRODUCT((TRIM('LY Transaction'!$B$5:$B$200)=$AW224)*('LY Transaction'!$C$2:$AG$2&gt;=EDATE($U$4,-12))*('LY Transaction'!$C$2:$AG$2&lt;=EDATE($U$5,-12)),'LY Transaction'!$C$5:$AG$200))</f>
        <v>0</v>
      </c>
      <c r="AV224" s="8" cm="1">
        <f t="array" ref="AV224">IF(NOT(ISNUMBER($BG224)),0,SUMPRODUCT(('TY Sales Target'!$K$2:$AO$2&gt;=$U$4)*('TY Sales Target'!$K$2:$AO$2&lt;=$U$5),INDEX('TY Sales Target'!$K$5:$AO$300,$BG224,0)))</f>
        <v>0</v>
      </c>
      <c r="AW224" s="8" t="str" cm="1">
        <f t="array" ref="AW224">IFERROR(INDEX(_xlfn.ANCHORARRAY($BR$5),ROWS($AW$5:AW224)),"")</f>
        <v/>
      </c>
      <c r="BB224" cm="1">
        <f t="array" ref="BB224">IF($AW224="",0,SUMPRODUCT((TRIM(Footfall!$B$5:$B$301)=$AW224)*(Footfall!$C$1:$BZ$1&gt;=$U$4)*(Footfall!$C$2:$BZ$2&lt;=$U$5)*(Footfall!$C$1:$BZ$1&lt;&gt;""),Footfall!$C$5:$BZ$301))</f>
        <v>0</v>
      </c>
      <c r="BC224" cm="1">
        <f t="array" ref="BC224">IF(OR($BB224&lt;=0,$BD$1="",$BF224=""),0,_xlfn.LET(_xlpm.d,IFERROR(--'Sales and count'!$F$2:$CB$2,0),SUMPRODUCT(('Sales and count'!$G$3:$CC$3="Transactions")*(_xlpm.d&gt;=$BD$1)*(_xlpm.d&lt;=$BD$2),INDEX('Sales and count'!$G$4:$CC$300,$BF224,0))))</f>
        <v>0</v>
      </c>
      <c r="BF224" t="str" cm="1">
        <f t="array" ref="BF224">IF($AW224="","",IFERROR(MATCH($AW224,TRIM('Sales and count'!$A$4:$A$300&amp;""),0),""))</f>
        <v/>
      </c>
      <c r="BG224" t="str" cm="1">
        <f t="array" ref="BG224">IF($AW224="","",IFERROR(MATCH(IFERROR(_xlfn.XLOOKUP($AW224,$BT$5:$BT$22,$BU$5:$BU$22),$AW224),TRIM('TY Sales Target'!$B$5:$B$300&amp;""),0),""))</f>
        <v/>
      </c>
      <c r="BH224" t="str" cm="1">
        <f t="array" ref="BH224">IF(ISNUMBER($BG224),_xlfn.LET(_xlpm.p,TRIM(INDEX('TY Sales Target'!$I$5:$I$300,$BG224)&amp;""),IF(_xlpm.p="","Not set",_xlpm.p)),"Not set")</f>
        <v>Not set</v>
      </c>
      <c r="BI224" cm="1">
        <f t="array" ref="BI224">IF($BF224="",0,_xlfn.LET(_xlpm.d,IFERROR(--'Sales and count'!$G$2:$CC$2,0),SUMPRODUCT(('Sales and count'!$G$3:$CC$3="Total")*(_xlpm.d&gt;=$BZ$5)*(_xlpm.d&lt;=$BZ$6),INDEX('Sales and count'!$G$4:$CC$300,$BF224,0))))</f>
        <v>0</v>
      </c>
      <c r="BJ224" cm="1">
        <f t="array" ref="BJ224">IF($AW224="",0,SUMPRODUCT((TRIM('LY Sales '!$B$5:$B$200)=$AW224)*('LY Sales '!$C$2:$AG$2&gt;=EDATE($BZ$5,-12))*('LY Sales '!$C$2:$AG$2&lt;=EDATE($BZ$6,-12)),'LY Sales '!$C$5:$AG$200))</f>
        <v>0</v>
      </c>
      <c r="BK224" cm="1">
        <f t="array" ref="BK224">IF($AW224="",0,SUMPRODUCT((TRIM('LY Sales '!$B$5:$B$200)=$AW224)*('LY Sales '!$C$2:$AG$2&gt;=EDATE($BZ$5,-12))*('LY Sales '!$C$2:$AG$2&lt;=EDATE($BZ$7,-12)),'LY Sales '!$C$5:$AG$200))</f>
        <v>0</v>
      </c>
      <c r="BL224" cm="1">
        <f t="array" ref="BL224">IF($AW224="",0,SUMPRODUCT((TRIM('LY Sales '!$B$5:$B$200)=$AW224)*('LY Sales '!$C$2:$AG$2&gt;=EDATE($BZ$5,-12))*('LY Sales '!$C$2:$AG$2&lt;=EDATE($BZ$6,-12))*('LY Sales '!$C$5:$AG$200&gt;0)))</f>
        <v>0</v>
      </c>
      <c r="BM224" cm="1">
        <f t="array" ref="BM224">IF(NOT(ISNUMBER($BG224)),0,SUMPRODUCT(('TY Sales Target'!$K$2:$AO$2&gt;=$BZ$5)*('TY Sales Target'!$K$2:$AO$2&lt;=$BZ$6),INDEX('TY Sales Target'!$K$5:$AO$300,$BG224,0)))</f>
        <v>0</v>
      </c>
      <c r="BN224" cm="1">
        <f t="array" ref="BN224">IF(NOT(ISNUMBER($BG224)),0,SUMPRODUCT(('TY Sales Target'!$K$2:$AO$2&gt;=$BZ$5)*('TY Sales Target'!$K$2:$AO$2&lt;=$BZ$7),INDEX('TY Sales Target'!$K$5:$AO$300,$BG224,0)))</f>
        <v>0</v>
      </c>
      <c r="BO224" cm="1">
        <f t="array" ref="BO224">IF($AW224="",0,IFERROR(_xlfn.SWITCH($BP224,"LY trend",$BI224*$BK224/$BJ224,"Target curve",$BI224*$BN224/$BM224,"Run rate",$BI224/$BZ$8*$BZ$9,0),0))</f>
        <v>0</v>
      </c>
      <c r="BP224" t="str">
        <f t="shared" si="125"/>
        <v/>
      </c>
      <c r="CB224" cm="1">
        <f t="array" ref="CB224">IF($AW224="",0,_xlfn.LET(_xlpm.k,IFERROR(_xlfn.XLOOKUP($AW224,$CD$6:$CD$21,$CE$6:$CE$21),$AW224),SUMPRODUCT((TRIM('Makeup '!$A$2:$A$300&amp;"")=_xlpm.k)*1,IFERROR('Makeup '!$F$2:$F$300*1,0))))</f>
        <v>0</v>
      </c>
      <c r="CF224" t="str" cm="1">
        <f t="array" ref="CF224">IF($AW224="","",_xlfn.LET(_xlpm.c,IFERROR(TRIM(INDEX('Sales and count'!$B$4:$B$300,$BF224)&amp;""),""),IF(OR(_xlpm.c="",_xlpm.c="0",LEFT(_xlpm.c,1)="#"),"Not set",_xlpm.c)))</f>
        <v/>
      </c>
      <c r="CH224" cm="1">
        <f t="array" ref="CH224">IF($AW224="",0,_xlfn.LET(_xlpm.k,IFERROR(_xlfn.XLOOKUP($AW224,$CD$6:$CD$21,$CE$6:$CE$21),$AW224),--(SUMPRODUCT((TRIM('Makeup '!$A$2:$A$300&amp;"")=_xlpm.k)*ISNUMBER('Makeup '!$F$2:$F$300))&gt;0)))</f>
        <v>0</v>
      </c>
      <c r="CI224">
        <f t="shared" si="128"/>
        <v>0</v>
      </c>
      <c r="CJ224" cm="1">
        <f t="array" ref="CJ224">IF($AW224="",0,--(SUMPRODUCT(--(TRIM(Footfall!$B$5:$B$301)=$AW224))&gt;0))</f>
        <v>0</v>
      </c>
      <c r="CK224" s="8" cm="1">
        <f t="array" ref="CK224">IF($AW224="",0,_xlfn.LET(_xlpm.r,IFERROR(MATCH(IFERROR(_xlfn.XLOOKUP($AW224,$BT$5:$BT$22,$BU$5:$BU$22),$AW224),TRIM('TY Beauty Target'!$B$5:$B$300&amp;""),0),""),IF(ISNUMBER(_xlpm.r),SUMPRODUCT(('TY Beauty Target'!$L$2:$AP$2&gt;=$U$4)*('TY Beauty Target'!$L$2:$AP$2&lt;=$U$5),INDEX('TY Beauty Target'!$L$5:$AP$300,_xlpm.r,0)),0)))</f>
        <v>0</v>
      </c>
    </row>
    <row r="225" spans="28:89" x14ac:dyDescent="0.25">
      <c r="AB225" s="40" t="str" cm="1">
        <f t="array" ref="AB225">IF($AI225="","",IF(LEFT($AI225,2)="C|",IF($C225="","",SUMPRODUCT($AP$5:$AP$302*($AO$5:$AO$302=$A225),$CK$5:$CK$302)),IF($AI225="CT",AB$13,IF(LEFT($AI225,3)="AM|",IF($C225="","",SUMPRODUCT($AP$5:$AP$302*($AN$5:$AN$302=$A225),$CK$5:$CK$302)),IF(LEFT($AI225,2)="S|",IF($AG225="","",INDEX($CK$5:$CK$302,$AH225)),IF($AI225="HDR","Makeup Target",""))))))</f>
        <v/>
      </c>
      <c r="AC225" s="41" t="str">
        <f t="shared" si="129"/>
        <v/>
      </c>
      <c r="AN225" s="8" t="str" cm="1">
        <f t="array" ref="AN225">IF($AW225="","",_xlfn.LET(_xlpm.sa,IFERROR(TRIM(INDEX('Sales and count'!$D$4:$D$300,$BF225)&amp;""),""),_xlpm.ta,IFERROR(TRIM(INDEX('TY Sales Target'!$F$5:$F$300,$BG225)&amp;""),""),IF(AND(_xlpm.sa&lt;&gt;"",LEFT(_xlpm.sa,1)&lt;&gt;"#",_xlpm.sa&lt;&gt;"0"),_xlpm.sa,IF(AND(_xlpm.ta&lt;&gt;"",LEFT(_xlpm.ta,1)&lt;&gt;"#",_xlpm.ta&lt;&gt;"0"),_xlpm.ta,IF(ISNUMBER($BG225),"Unassigned","")))))</f>
        <v/>
      </c>
      <c r="AO225" s="8" t="str" cm="1">
        <f t="array" ref="AO225">IF($AW225="","",_xlfn.LET(_xlpm.sa,IFERROR(TRIM(INDEX('Sales and count'!$C$4:$C$300,$BF225)&amp;""),""),_xlpm.ta,IFERROR(TRIM(INDEX('TY Sales Target'!$D$5:$D$300,$BG225)&amp;""),""),IF(AND(_xlpm.sa&lt;&gt;"",LEFT(_xlpm.sa,1)&lt;&gt;"#",_xlpm.sa&lt;&gt;"0"),_xlpm.sa,IF(AND(_xlpm.ta&lt;&gt;"",LEFT(_xlpm.ta,1)&lt;&gt;"#",_xlpm.ta&lt;&gt;"0"),_xlpm.ta,""))))</f>
        <v/>
      </c>
      <c r="AP225" s="8">
        <f t="shared" si="126"/>
        <v>0</v>
      </c>
      <c r="AQ225" s="8">
        <f t="shared" si="127"/>
        <v>0</v>
      </c>
      <c r="AR225" s="8" cm="1">
        <f t="array" ref="AR225">IF($BF225="",0,_xlfn.LET(_xlpm.d,IFERROR(--'Sales and count'!$G$2:$CC$2,0),SUMPRODUCT(('Sales and count'!$G$3:$CC$3="Total")*(_xlpm.d&gt;=$U$4)*(_xlpm.d&lt;=$U$5),INDEX('Sales and count'!$G$4:$CC$300,$BF225,0))))</f>
        <v>0</v>
      </c>
      <c r="AS225" s="8" cm="1">
        <f t="array" ref="AS225">IF($BF225="",0,_xlfn.LET(_xlpm.d,IFERROR(--'Sales and count'!$F$2:$CB$2,0),SUMPRODUCT(('Sales and count'!$G$3:$CC$3="Transactions")*(_xlpm.d&gt;=$U$4)*(_xlpm.d&lt;=$U$5),INDEX('Sales and count'!$G$4:$CC$300,$BF225,0))))</f>
        <v>0</v>
      </c>
      <c r="AT225" s="8" cm="1">
        <f t="array" ref="AT225">IF($AW225="",0,SUMPRODUCT((TRIM('LY Sales '!$B$5:$B$200)=$AW225)*('LY Sales '!$C$2:$AG$2&gt;=EDATE($U$4,-12))*('LY Sales '!$C$2:$AG$2&lt;=EDATE($U$5,-12)),'LY Sales '!$C$5:$AG$200))</f>
        <v>0</v>
      </c>
      <c r="AU225" s="8" cm="1">
        <f t="array" ref="AU225">IF($AW225="",0,SUMPRODUCT((TRIM('LY Transaction'!$B$5:$B$200)=$AW225)*('LY Transaction'!$C$2:$AG$2&gt;=EDATE($U$4,-12))*('LY Transaction'!$C$2:$AG$2&lt;=EDATE($U$5,-12)),'LY Transaction'!$C$5:$AG$200))</f>
        <v>0</v>
      </c>
      <c r="AV225" s="8" cm="1">
        <f t="array" ref="AV225">IF(NOT(ISNUMBER($BG225)),0,SUMPRODUCT(('TY Sales Target'!$K$2:$AO$2&gt;=$U$4)*('TY Sales Target'!$K$2:$AO$2&lt;=$U$5),INDEX('TY Sales Target'!$K$5:$AO$300,$BG225,0)))</f>
        <v>0</v>
      </c>
      <c r="AW225" s="8" t="str" cm="1">
        <f t="array" ref="AW225">IFERROR(INDEX(_xlfn.ANCHORARRAY($BR$5),ROWS($AW$5:AW225)),"")</f>
        <v/>
      </c>
      <c r="BB225" cm="1">
        <f t="array" ref="BB225">IF($AW225="",0,SUMPRODUCT((TRIM(Footfall!$B$5:$B$301)=$AW225)*(Footfall!$C$1:$BZ$1&gt;=$U$4)*(Footfall!$C$2:$BZ$2&lt;=$U$5)*(Footfall!$C$1:$BZ$1&lt;&gt;""),Footfall!$C$5:$BZ$301))</f>
        <v>0</v>
      </c>
      <c r="BC225" cm="1">
        <f t="array" ref="BC225">IF(OR($BB225&lt;=0,$BD$1="",$BF225=""),0,_xlfn.LET(_xlpm.d,IFERROR(--'Sales and count'!$F$2:$CB$2,0),SUMPRODUCT(('Sales and count'!$G$3:$CC$3="Transactions")*(_xlpm.d&gt;=$BD$1)*(_xlpm.d&lt;=$BD$2),INDEX('Sales and count'!$G$4:$CC$300,$BF225,0))))</f>
        <v>0</v>
      </c>
      <c r="BF225" t="str" cm="1">
        <f t="array" ref="BF225">IF($AW225="","",IFERROR(MATCH($AW225,TRIM('Sales and count'!$A$4:$A$300&amp;""),0),""))</f>
        <v/>
      </c>
      <c r="BG225" t="str" cm="1">
        <f t="array" ref="BG225">IF($AW225="","",IFERROR(MATCH(IFERROR(_xlfn.XLOOKUP($AW225,$BT$5:$BT$22,$BU$5:$BU$22),$AW225),TRIM('TY Sales Target'!$B$5:$B$300&amp;""),0),""))</f>
        <v/>
      </c>
      <c r="BH225" t="str" cm="1">
        <f t="array" ref="BH225">IF(ISNUMBER($BG225),_xlfn.LET(_xlpm.p,TRIM(INDEX('TY Sales Target'!$I$5:$I$300,$BG225)&amp;""),IF(_xlpm.p="","Not set",_xlpm.p)),"Not set")</f>
        <v>Not set</v>
      </c>
      <c r="BI225" cm="1">
        <f t="array" ref="BI225">IF($BF225="",0,_xlfn.LET(_xlpm.d,IFERROR(--'Sales and count'!$G$2:$CC$2,0),SUMPRODUCT(('Sales and count'!$G$3:$CC$3="Total")*(_xlpm.d&gt;=$BZ$5)*(_xlpm.d&lt;=$BZ$6),INDEX('Sales and count'!$G$4:$CC$300,$BF225,0))))</f>
        <v>0</v>
      </c>
      <c r="BJ225" cm="1">
        <f t="array" ref="BJ225">IF($AW225="",0,SUMPRODUCT((TRIM('LY Sales '!$B$5:$B$200)=$AW225)*('LY Sales '!$C$2:$AG$2&gt;=EDATE($BZ$5,-12))*('LY Sales '!$C$2:$AG$2&lt;=EDATE($BZ$6,-12)),'LY Sales '!$C$5:$AG$200))</f>
        <v>0</v>
      </c>
      <c r="BK225" cm="1">
        <f t="array" ref="BK225">IF($AW225="",0,SUMPRODUCT((TRIM('LY Sales '!$B$5:$B$200)=$AW225)*('LY Sales '!$C$2:$AG$2&gt;=EDATE($BZ$5,-12))*('LY Sales '!$C$2:$AG$2&lt;=EDATE($BZ$7,-12)),'LY Sales '!$C$5:$AG$200))</f>
        <v>0</v>
      </c>
      <c r="BL225" cm="1">
        <f t="array" ref="BL225">IF($AW225="",0,SUMPRODUCT((TRIM('LY Sales '!$B$5:$B$200)=$AW225)*('LY Sales '!$C$2:$AG$2&gt;=EDATE($BZ$5,-12))*('LY Sales '!$C$2:$AG$2&lt;=EDATE($BZ$6,-12))*('LY Sales '!$C$5:$AG$200&gt;0)))</f>
        <v>0</v>
      </c>
      <c r="BM225" cm="1">
        <f t="array" ref="BM225">IF(NOT(ISNUMBER($BG225)),0,SUMPRODUCT(('TY Sales Target'!$K$2:$AO$2&gt;=$BZ$5)*('TY Sales Target'!$K$2:$AO$2&lt;=$BZ$6),INDEX('TY Sales Target'!$K$5:$AO$300,$BG225,0)))</f>
        <v>0</v>
      </c>
      <c r="BN225" cm="1">
        <f t="array" ref="BN225">IF(NOT(ISNUMBER($BG225)),0,SUMPRODUCT(('TY Sales Target'!$K$2:$AO$2&gt;=$BZ$5)*('TY Sales Target'!$K$2:$AO$2&lt;=$BZ$7),INDEX('TY Sales Target'!$K$5:$AO$300,$BG225,0)))</f>
        <v>0</v>
      </c>
      <c r="BO225" cm="1">
        <f t="array" ref="BO225">IF($AW225="",0,IFERROR(_xlfn.SWITCH($BP225,"LY trend",$BI225*$BK225/$BJ225,"Target curve",$BI225*$BN225/$BM225,"Run rate",$BI225/$BZ$8*$BZ$9,0),0))</f>
        <v>0</v>
      </c>
      <c r="BP225" t="str">
        <f t="shared" si="125"/>
        <v/>
      </c>
      <c r="CB225" cm="1">
        <f t="array" ref="CB225">IF($AW225="",0,_xlfn.LET(_xlpm.k,IFERROR(_xlfn.XLOOKUP($AW225,$CD$6:$CD$21,$CE$6:$CE$21),$AW225),SUMPRODUCT((TRIM('Makeup '!$A$2:$A$300&amp;"")=_xlpm.k)*1,IFERROR('Makeup '!$F$2:$F$300*1,0))))</f>
        <v>0</v>
      </c>
      <c r="CF225" t="str" cm="1">
        <f t="array" ref="CF225">IF($AW225="","",_xlfn.LET(_xlpm.c,IFERROR(TRIM(INDEX('Sales and count'!$B$4:$B$300,$BF225)&amp;""),""),IF(OR(_xlpm.c="",_xlpm.c="0",LEFT(_xlpm.c,1)="#"),"Not set",_xlpm.c)))</f>
        <v/>
      </c>
      <c r="CH225" cm="1">
        <f t="array" ref="CH225">IF($AW225="",0,_xlfn.LET(_xlpm.k,IFERROR(_xlfn.XLOOKUP($AW225,$CD$6:$CD$21,$CE$6:$CE$21),$AW225),--(SUMPRODUCT((TRIM('Makeup '!$A$2:$A$300&amp;"")=_xlpm.k)*ISNUMBER('Makeup '!$F$2:$F$300))&gt;0)))</f>
        <v>0</v>
      </c>
      <c r="CI225">
        <f t="shared" si="128"/>
        <v>0</v>
      </c>
      <c r="CJ225" cm="1">
        <f t="array" ref="CJ225">IF($AW225="",0,--(SUMPRODUCT(--(TRIM(Footfall!$B$5:$B$301)=$AW225))&gt;0))</f>
        <v>0</v>
      </c>
      <c r="CK225" s="8" cm="1">
        <f t="array" ref="CK225">IF($AW225="",0,_xlfn.LET(_xlpm.r,IFERROR(MATCH(IFERROR(_xlfn.XLOOKUP($AW225,$BT$5:$BT$22,$BU$5:$BU$22),$AW225),TRIM('TY Beauty Target'!$B$5:$B$300&amp;""),0),""),IF(ISNUMBER(_xlpm.r),SUMPRODUCT(('TY Beauty Target'!$L$2:$AP$2&gt;=$U$4)*('TY Beauty Target'!$L$2:$AP$2&lt;=$U$5),INDEX('TY Beauty Target'!$L$5:$AP$300,_xlpm.r,0)),0)))</f>
        <v>0</v>
      </c>
    </row>
    <row r="226" spans="28:89" x14ac:dyDescent="0.25">
      <c r="AB226" s="40" t="str" cm="1">
        <f t="array" ref="AB226">IF($AI226="","",IF(LEFT($AI226,2)="C|",IF($C226="","",SUMPRODUCT($AP$5:$AP$302*($AO$5:$AO$302=$A226),$CK$5:$CK$302)),IF($AI226="CT",AB$13,IF(LEFT($AI226,3)="AM|",IF($C226="","",SUMPRODUCT($AP$5:$AP$302*($AN$5:$AN$302=$A226),$CK$5:$CK$302)),IF(LEFT($AI226,2)="S|",IF($AG226="","",INDEX($CK$5:$CK$302,$AH226)),IF($AI226="HDR","Makeup Target",""))))))</f>
        <v/>
      </c>
      <c r="AC226" s="41" t="str">
        <f t="shared" si="129"/>
        <v/>
      </c>
      <c r="AN226" s="8" t="str" cm="1">
        <f t="array" ref="AN226">IF($AW226="","",_xlfn.LET(_xlpm.sa,IFERROR(TRIM(INDEX('Sales and count'!$D$4:$D$300,$BF226)&amp;""),""),_xlpm.ta,IFERROR(TRIM(INDEX('TY Sales Target'!$F$5:$F$300,$BG226)&amp;""),""),IF(AND(_xlpm.sa&lt;&gt;"",LEFT(_xlpm.sa,1)&lt;&gt;"#",_xlpm.sa&lt;&gt;"0"),_xlpm.sa,IF(AND(_xlpm.ta&lt;&gt;"",LEFT(_xlpm.ta,1)&lt;&gt;"#",_xlpm.ta&lt;&gt;"0"),_xlpm.ta,IF(ISNUMBER($BG226),"Unassigned","")))))</f>
        <v/>
      </c>
      <c r="AO226" s="8" t="str" cm="1">
        <f t="array" ref="AO226">IF($AW226="","",_xlfn.LET(_xlpm.sa,IFERROR(TRIM(INDEX('Sales and count'!$C$4:$C$300,$BF226)&amp;""),""),_xlpm.ta,IFERROR(TRIM(INDEX('TY Sales Target'!$D$5:$D$300,$BG226)&amp;""),""),IF(AND(_xlpm.sa&lt;&gt;"",LEFT(_xlpm.sa,1)&lt;&gt;"#",_xlpm.sa&lt;&gt;"0"),_xlpm.sa,IF(AND(_xlpm.ta&lt;&gt;"",LEFT(_xlpm.ta,1)&lt;&gt;"#",_xlpm.ta&lt;&gt;"0"),_xlpm.ta,""))))</f>
        <v/>
      </c>
      <c r="AP226" s="8">
        <f t="shared" si="126"/>
        <v>0</v>
      </c>
      <c r="AQ226" s="8">
        <f t="shared" si="127"/>
        <v>0</v>
      </c>
      <c r="AR226" s="8" cm="1">
        <f t="array" ref="AR226">IF($BF226="",0,_xlfn.LET(_xlpm.d,IFERROR(--'Sales and count'!$G$2:$CC$2,0),SUMPRODUCT(('Sales and count'!$G$3:$CC$3="Total")*(_xlpm.d&gt;=$U$4)*(_xlpm.d&lt;=$U$5),INDEX('Sales and count'!$G$4:$CC$300,$BF226,0))))</f>
        <v>0</v>
      </c>
      <c r="AS226" s="8" cm="1">
        <f t="array" ref="AS226">IF($BF226="",0,_xlfn.LET(_xlpm.d,IFERROR(--'Sales and count'!$F$2:$CB$2,0),SUMPRODUCT(('Sales and count'!$G$3:$CC$3="Transactions")*(_xlpm.d&gt;=$U$4)*(_xlpm.d&lt;=$U$5),INDEX('Sales and count'!$G$4:$CC$300,$BF226,0))))</f>
        <v>0</v>
      </c>
      <c r="AT226" s="8" cm="1">
        <f t="array" ref="AT226">IF($AW226="",0,SUMPRODUCT((TRIM('LY Sales '!$B$5:$B$200)=$AW226)*('LY Sales '!$C$2:$AG$2&gt;=EDATE($U$4,-12))*('LY Sales '!$C$2:$AG$2&lt;=EDATE($U$5,-12)),'LY Sales '!$C$5:$AG$200))</f>
        <v>0</v>
      </c>
      <c r="AU226" s="8" cm="1">
        <f t="array" ref="AU226">IF($AW226="",0,SUMPRODUCT((TRIM('LY Transaction'!$B$5:$B$200)=$AW226)*('LY Transaction'!$C$2:$AG$2&gt;=EDATE($U$4,-12))*('LY Transaction'!$C$2:$AG$2&lt;=EDATE($U$5,-12)),'LY Transaction'!$C$5:$AG$200))</f>
        <v>0</v>
      </c>
      <c r="AV226" s="8" cm="1">
        <f t="array" ref="AV226">IF(NOT(ISNUMBER($BG226)),0,SUMPRODUCT(('TY Sales Target'!$K$2:$AO$2&gt;=$U$4)*('TY Sales Target'!$K$2:$AO$2&lt;=$U$5),INDEX('TY Sales Target'!$K$5:$AO$300,$BG226,0)))</f>
        <v>0</v>
      </c>
      <c r="AW226" s="8" t="str" cm="1">
        <f t="array" ref="AW226">IFERROR(INDEX(_xlfn.ANCHORARRAY($BR$5),ROWS($AW$5:AW226)),"")</f>
        <v/>
      </c>
      <c r="BB226" cm="1">
        <f t="array" ref="BB226">IF($AW226="",0,SUMPRODUCT((TRIM(Footfall!$B$5:$B$301)=$AW226)*(Footfall!$C$1:$BZ$1&gt;=$U$4)*(Footfall!$C$2:$BZ$2&lt;=$U$5)*(Footfall!$C$1:$BZ$1&lt;&gt;""),Footfall!$C$5:$BZ$301))</f>
        <v>0</v>
      </c>
      <c r="BC226" cm="1">
        <f t="array" ref="BC226">IF(OR($BB226&lt;=0,$BD$1="",$BF226=""),0,_xlfn.LET(_xlpm.d,IFERROR(--'Sales and count'!$F$2:$CB$2,0),SUMPRODUCT(('Sales and count'!$G$3:$CC$3="Transactions")*(_xlpm.d&gt;=$BD$1)*(_xlpm.d&lt;=$BD$2),INDEX('Sales and count'!$G$4:$CC$300,$BF226,0))))</f>
        <v>0</v>
      </c>
      <c r="BF226" t="str" cm="1">
        <f t="array" ref="BF226">IF($AW226="","",IFERROR(MATCH($AW226,TRIM('Sales and count'!$A$4:$A$300&amp;""),0),""))</f>
        <v/>
      </c>
      <c r="BG226" t="str" cm="1">
        <f t="array" ref="BG226">IF($AW226="","",IFERROR(MATCH(IFERROR(_xlfn.XLOOKUP($AW226,$BT$5:$BT$22,$BU$5:$BU$22),$AW226),TRIM('TY Sales Target'!$B$5:$B$300&amp;""),0),""))</f>
        <v/>
      </c>
      <c r="BH226" t="str" cm="1">
        <f t="array" ref="BH226">IF(ISNUMBER($BG226),_xlfn.LET(_xlpm.p,TRIM(INDEX('TY Sales Target'!$I$5:$I$300,$BG226)&amp;""),IF(_xlpm.p="","Not set",_xlpm.p)),"Not set")</f>
        <v>Not set</v>
      </c>
      <c r="BI226" cm="1">
        <f t="array" ref="BI226">IF($BF226="",0,_xlfn.LET(_xlpm.d,IFERROR(--'Sales and count'!$G$2:$CC$2,0),SUMPRODUCT(('Sales and count'!$G$3:$CC$3="Total")*(_xlpm.d&gt;=$BZ$5)*(_xlpm.d&lt;=$BZ$6),INDEX('Sales and count'!$G$4:$CC$300,$BF226,0))))</f>
        <v>0</v>
      </c>
      <c r="BJ226" cm="1">
        <f t="array" ref="BJ226">IF($AW226="",0,SUMPRODUCT((TRIM('LY Sales '!$B$5:$B$200)=$AW226)*('LY Sales '!$C$2:$AG$2&gt;=EDATE($BZ$5,-12))*('LY Sales '!$C$2:$AG$2&lt;=EDATE($BZ$6,-12)),'LY Sales '!$C$5:$AG$200))</f>
        <v>0</v>
      </c>
      <c r="BK226" cm="1">
        <f t="array" ref="BK226">IF($AW226="",0,SUMPRODUCT((TRIM('LY Sales '!$B$5:$B$200)=$AW226)*('LY Sales '!$C$2:$AG$2&gt;=EDATE($BZ$5,-12))*('LY Sales '!$C$2:$AG$2&lt;=EDATE($BZ$7,-12)),'LY Sales '!$C$5:$AG$200))</f>
        <v>0</v>
      </c>
      <c r="BL226" cm="1">
        <f t="array" ref="BL226">IF($AW226="",0,SUMPRODUCT((TRIM('LY Sales '!$B$5:$B$200)=$AW226)*('LY Sales '!$C$2:$AG$2&gt;=EDATE($BZ$5,-12))*('LY Sales '!$C$2:$AG$2&lt;=EDATE($BZ$6,-12))*('LY Sales '!$C$5:$AG$200&gt;0)))</f>
        <v>0</v>
      </c>
      <c r="BM226" cm="1">
        <f t="array" ref="BM226">IF(NOT(ISNUMBER($BG226)),0,SUMPRODUCT(('TY Sales Target'!$K$2:$AO$2&gt;=$BZ$5)*('TY Sales Target'!$K$2:$AO$2&lt;=$BZ$6),INDEX('TY Sales Target'!$K$5:$AO$300,$BG226,0)))</f>
        <v>0</v>
      </c>
      <c r="BN226" cm="1">
        <f t="array" ref="BN226">IF(NOT(ISNUMBER($BG226)),0,SUMPRODUCT(('TY Sales Target'!$K$2:$AO$2&gt;=$BZ$5)*('TY Sales Target'!$K$2:$AO$2&lt;=$BZ$7),INDEX('TY Sales Target'!$K$5:$AO$300,$BG226,0)))</f>
        <v>0</v>
      </c>
      <c r="BO226" cm="1">
        <f t="array" ref="BO226">IF($AW226="",0,IFERROR(_xlfn.SWITCH($BP226,"LY trend",$BI226*$BK226/$BJ226,"Target curve",$BI226*$BN226/$BM226,"Run rate",$BI226/$BZ$8*$BZ$9,0),0))</f>
        <v>0</v>
      </c>
      <c r="BP226" t="str">
        <f t="shared" si="125"/>
        <v/>
      </c>
      <c r="CB226" cm="1">
        <f t="array" ref="CB226">IF($AW226="",0,_xlfn.LET(_xlpm.k,IFERROR(_xlfn.XLOOKUP($AW226,$CD$6:$CD$21,$CE$6:$CE$21),$AW226),SUMPRODUCT((TRIM('Makeup '!$A$2:$A$300&amp;"")=_xlpm.k)*1,IFERROR('Makeup '!$F$2:$F$300*1,0))))</f>
        <v>0</v>
      </c>
      <c r="CF226" t="str" cm="1">
        <f t="array" ref="CF226">IF($AW226="","",_xlfn.LET(_xlpm.c,IFERROR(TRIM(INDEX('Sales and count'!$B$4:$B$300,$BF226)&amp;""),""),IF(OR(_xlpm.c="",_xlpm.c="0",LEFT(_xlpm.c,1)="#"),"Not set",_xlpm.c)))</f>
        <v/>
      </c>
      <c r="CH226" cm="1">
        <f t="array" ref="CH226">IF($AW226="",0,_xlfn.LET(_xlpm.k,IFERROR(_xlfn.XLOOKUP($AW226,$CD$6:$CD$21,$CE$6:$CE$21),$AW226),--(SUMPRODUCT((TRIM('Makeup '!$A$2:$A$300&amp;"")=_xlpm.k)*ISNUMBER('Makeup '!$F$2:$F$300))&gt;0)))</f>
        <v>0</v>
      </c>
      <c r="CI226">
        <f t="shared" si="128"/>
        <v>0</v>
      </c>
      <c r="CJ226" cm="1">
        <f t="array" ref="CJ226">IF($AW226="",0,--(SUMPRODUCT(--(TRIM(Footfall!$B$5:$B$301)=$AW226))&gt;0))</f>
        <v>0</v>
      </c>
      <c r="CK226" s="8" cm="1">
        <f t="array" ref="CK226">IF($AW226="",0,_xlfn.LET(_xlpm.r,IFERROR(MATCH(IFERROR(_xlfn.XLOOKUP($AW226,$BT$5:$BT$22,$BU$5:$BU$22),$AW226),TRIM('TY Beauty Target'!$B$5:$B$300&amp;""),0),""),IF(ISNUMBER(_xlpm.r),SUMPRODUCT(('TY Beauty Target'!$L$2:$AP$2&gt;=$U$4)*('TY Beauty Target'!$L$2:$AP$2&lt;=$U$5),INDEX('TY Beauty Target'!$L$5:$AP$300,_xlpm.r,0)),0)))</f>
        <v>0</v>
      </c>
    </row>
    <row r="227" spans="28:89" x14ac:dyDescent="0.25">
      <c r="AB227" s="40" t="str" cm="1">
        <f t="array" ref="AB227">IF($AI227="","",IF(LEFT($AI227,2)="C|",IF($C227="","",SUMPRODUCT($AP$5:$AP$302*($AO$5:$AO$302=$A227),$CK$5:$CK$302)),IF($AI227="CT",AB$13,IF(LEFT($AI227,3)="AM|",IF($C227="","",SUMPRODUCT($AP$5:$AP$302*($AN$5:$AN$302=$A227),$CK$5:$CK$302)),IF(LEFT($AI227,2)="S|",IF($AG227="","",INDEX($CK$5:$CK$302,$AH227)),IF($AI227="HDR","Makeup Target",""))))))</f>
        <v/>
      </c>
      <c r="AC227" s="41" t="str">
        <f t="shared" si="129"/>
        <v/>
      </c>
      <c r="AN227" s="8" t="str" cm="1">
        <f t="array" ref="AN227">IF($AW227="","",_xlfn.LET(_xlpm.sa,IFERROR(TRIM(INDEX('Sales and count'!$D$4:$D$300,$BF227)&amp;""),""),_xlpm.ta,IFERROR(TRIM(INDEX('TY Sales Target'!$F$5:$F$300,$BG227)&amp;""),""),IF(AND(_xlpm.sa&lt;&gt;"",LEFT(_xlpm.sa,1)&lt;&gt;"#",_xlpm.sa&lt;&gt;"0"),_xlpm.sa,IF(AND(_xlpm.ta&lt;&gt;"",LEFT(_xlpm.ta,1)&lt;&gt;"#",_xlpm.ta&lt;&gt;"0"),_xlpm.ta,IF(ISNUMBER($BG227),"Unassigned","")))))</f>
        <v/>
      </c>
      <c r="AO227" s="8" t="str" cm="1">
        <f t="array" ref="AO227">IF($AW227="","",_xlfn.LET(_xlpm.sa,IFERROR(TRIM(INDEX('Sales and count'!$C$4:$C$300,$BF227)&amp;""),""),_xlpm.ta,IFERROR(TRIM(INDEX('TY Sales Target'!$D$5:$D$300,$BG227)&amp;""),""),IF(AND(_xlpm.sa&lt;&gt;"",LEFT(_xlpm.sa,1)&lt;&gt;"#",_xlpm.sa&lt;&gt;"0"),_xlpm.sa,IF(AND(_xlpm.ta&lt;&gt;"",LEFT(_xlpm.ta,1)&lt;&gt;"#",_xlpm.ta&lt;&gt;"0"),_xlpm.ta,""))))</f>
        <v/>
      </c>
      <c r="AP227" s="8">
        <f t="shared" si="126"/>
        <v>0</v>
      </c>
      <c r="AQ227" s="8">
        <f t="shared" si="127"/>
        <v>0</v>
      </c>
      <c r="AR227" s="8" cm="1">
        <f t="array" ref="AR227">IF($BF227="",0,_xlfn.LET(_xlpm.d,IFERROR(--'Sales and count'!$G$2:$CC$2,0),SUMPRODUCT(('Sales and count'!$G$3:$CC$3="Total")*(_xlpm.d&gt;=$U$4)*(_xlpm.d&lt;=$U$5),INDEX('Sales and count'!$G$4:$CC$300,$BF227,0))))</f>
        <v>0</v>
      </c>
      <c r="AS227" s="8" cm="1">
        <f t="array" ref="AS227">IF($BF227="",0,_xlfn.LET(_xlpm.d,IFERROR(--'Sales and count'!$F$2:$CB$2,0),SUMPRODUCT(('Sales and count'!$G$3:$CC$3="Transactions")*(_xlpm.d&gt;=$U$4)*(_xlpm.d&lt;=$U$5),INDEX('Sales and count'!$G$4:$CC$300,$BF227,0))))</f>
        <v>0</v>
      </c>
      <c r="AT227" s="8" cm="1">
        <f t="array" ref="AT227">IF($AW227="",0,SUMPRODUCT((TRIM('LY Sales '!$B$5:$B$200)=$AW227)*('LY Sales '!$C$2:$AG$2&gt;=EDATE($U$4,-12))*('LY Sales '!$C$2:$AG$2&lt;=EDATE($U$5,-12)),'LY Sales '!$C$5:$AG$200))</f>
        <v>0</v>
      </c>
      <c r="AU227" s="8" cm="1">
        <f t="array" ref="AU227">IF($AW227="",0,SUMPRODUCT((TRIM('LY Transaction'!$B$5:$B$200)=$AW227)*('LY Transaction'!$C$2:$AG$2&gt;=EDATE($U$4,-12))*('LY Transaction'!$C$2:$AG$2&lt;=EDATE($U$5,-12)),'LY Transaction'!$C$5:$AG$200))</f>
        <v>0</v>
      </c>
      <c r="AV227" s="8" cm="1">
        <f t="array" ref="AV227">IF(NOT(ISNUMBER($BG227)),0,SUMPRODUCT(('TY Sales Target'!$K$2:$AO$2&gt;=$U$4)*('TY Sales Target'!$K$2:$AO$2&lt;=$U$5),INDEX('TY Sales Target'!$K$5:$AO$300,$BG227,0)))</f>
        <v>0</v>
      </c>
      <c r="AW227" s="8" t="str" cm="1">
        <f t="array" ref="AW227">IFERROR(INDEX(_xlfn.ANCHORARRAY($BR$5),ROWS($AW$5:AW227)),"")</f>
        <v/>
      </c>
      <c r="BB227" cm="1">
        <f t="array" ref="BB227">IF($AW227="",0,SUMPRODUCT((TRIM(Footfall!$B$5:$B$301)=$AW227)*(Footfall!$C$1:$BZ$1&gt;=$U$4)*(Footfall!$C$2:$BZ$2&lt;=$U$5)*(Footfall!$C$1:$BZ$1&lt;&gt;""),Footfall!$C$5:$BZ$301))</f>
        <v>0</v>
      </c>
      <c r="BC227" cm="1">
        <f t="array" ref="BC227">IF(OR($BB227&lt;=0,$BD$1="",$BF227=""),0,_xlfn.LET(_xlpm.d,IFERROR(--'Sales and count'!$F$2:$CB$2,0),SUMPRODUCT(('Sales and count'!$G$3:$CC$3="Transactions")*(_xlpm.d&gt;=$BD$1)*(_xlpm.d&lt;=$BD$2),INDEX('Sales and count'!$G$4:$CC$300,$BF227,0))))</f>
        <v>0</v>
      </c>
      <c r="BF227" t="str" cm="1">
        <f t="array" ref="BF227">IF($AW227="","",IFERROR(MATCH($AW227,TRIM('Sales and count'!$A$4:$A$300&amp;""),0),""))</f>
        <v/>
      </c>
      <c r="BG227" t="str" cm="1">
        <f t="array" ref="BG227">IF($AW227="","",IFERROR(MATCH(IFERROR(_xlfn.XLOOKUP($AW227,$BT$5:$BT$22,$BU$5:$BU$22),$AW227),TRIM('TY Sales Target'!$B$5:$B$300&amp;""),0),""))</f>
        <v/>
      </c>
      <c r="BH227" t="str" cm="1">
        <f t="array" ref="BH227">IF(ISNUMBER($BG227),_xlfn.LET(_xlpm.p,TRIM(INDEX('TY Sales Target'!$I$5:$I$300,$BG227)&amp;""),IF(_xlpm.p="","Not set",_xlpm.p)),"Not set")</f>
        <v>Not set</v>
      </c>
      <c r="BI227" cm="1">
        <f t="array" ref="BI227">IF($BF227="",0,_xlfn.LET(_xlpm.d,IFERROR(--'Sales and count'!$G$2:$CC$2,0),SUMPRODUCT(('Sales and count'!$G$3:$CC$3="Total")*(_xlpm.d&gt;=$BZ$5)*(_xlpm.d&lt;=$BZ$6),INDEX('Sales and count'!$G$4:$CC$300,$BF227,0))))</f>
        <v>0</v>
      </c>
      <c r="BJ227" cm="1">
        <f t="array" ref="BJ227">IF($AW227="",0,SUMPRODUCT((TRIM('LY Sales '!$B$5:$B$200)=$AW227)*('LY Sales '!$C$2:$AG$2&gt;=EDATE($BZ$5,-12))*('LY Sales '!$C$2:$AG$2&lt;=EDATE($BZ$6,-12)),'LY Sales '!$C$5:$AG$200))</f>
        <v>0</v>
      </c>
      <c r="BK227" cm="1">
        <f t="array" ref="BK227">IF($AW227="",0,SUMPRODUCT((TRIM('LY Sales '!$B$5:$B$200)=$AW227)*('LY Sales '!$C$2:$AG$2&gt;=EDATE($BZ$5,-12))*('LY Sales '!$C$2:$AG$2&lt;=EDATE($BZ$7,-12)),'LY Sales '!$C$5:$AG$200))</f>
        <v>0</v>
      </c>
      <c r="BL227" cm="1">
        <f t="array" ref="BL227">IF($AW227="",0,SUMPRODUCT((TRIM('LY Sales '!$B$5:$B$200)=$AW227)*('LY Sales '!$C$2:$AG$2&gt;=EDATE($BZ$5,-12))*('LY Sales '!$C$2:$AG$2&lt;=EDATE($BZ$6,-12))*('LY Sales '!$C$5:$AG$200&gt;0)))</f>
        <v>0</v>
      </c>
      <c r="BM227" cm="1">
        <f t="array" ref="BM227">IF(NOT(ISNUMBER($BG227)),0,SUMPRODUCT(('TY Sales Target'!$K$2:$AO$2&gt;=$BZ$5)*('TY Sales Target'!$K$2:$AO$2&lt;=$BZ$6),INDEX('TY Sales Target'!$K$5:$AO$300,$BG227,0)))</f>
        <v>0</v>
      </c>
      <c r="BN227" cm="1">
        <f t="array" ref="BN227">IF(NOT(ISNUMBER($BG227)),0,SUMPRODUCT(('TY Sales Target'!$K$2:$AO$2&gt;=$BZ$5)*('TY Sales Target'!$K$2:$AO$2&lt;=$BZ$7),INDEX('TY Sales Target'!$K$5:$AO$300,$BG227,0)))</f>
        <v>0</v>
      </c>
      <c r="BO227" cm="1">
        <f t="array" ref="BO227">IF($AW227="",0,IFERROR(_xlfn.SWITCH($BP227,"LY trend",$BI227*$BK227/$BJ227,"Target curve",$BI227*$BN227/$BM227,"Run rate",$BI227/$BZ$8*$BZ$9,0),0))</f>
        <v>0</v>
      </c>
      <c r="BP227" t="str">
        <f t="shared" si="125"/>
        <v/>
      </c>
      <c r="CB227" cm="1">
        <f t="array" ref="CB227">IF($AW227="",0,_xlfn.LET(_xlpm.k,IFERROR(_xlfn.XLOOKUP($AW227,$CD$6:$CD$21,$CE$6:$CE$21),$AW227),SUMPRODUCT((TRIM('Makeup '!$A$2:$A$300&amp;"")=_xlpm.k)*1,IFERROR('Makeup '!$F$2:$F$300*1,0))))</f>
        <v>0</v>
      </c>
      <c r="CF227" t="str" cm="1">
        <f t="array" ref="CF227">IF($AW227="","",_xlfn.LET(_xlpm.c,IFERROR(TRIM(INDEX('Sales and count'!$B$4:$B$300,$BF227)&amp;""),""),IF(OR(_xlpm.c="",_xlpm.c="0",LEFT(_xlpm.c,1)="#"),"Not set",_xlpm.c)))</f>
        <v/>
      </c>
      <c r="CH227" cm="1">
        <f t="array" ref="CH227">IF($AW227="",0,_xlfn.LET(_xlpm.k,IFERROR(_xlfn.XLOOKUP($AW227,$CD$6:$CD$21,$CE$6:$CE$21),$AW227),--(SUMPRODUCT((TRIM('Makeup '!$A$2:$A$300&amp;"")=_xlpm.k)*ISNUMBER('Makeup '!$F$2:$F$300))&gt;0)))</f>
        <v>0</v>
      </c>
      <c r="CI227">
        <f t="shared" si="128"/>
        <v>0</v>
      </c>
      <c r="CJ227" cm="1">
        <f t="array" ref="CJ227">IF($AW227="",0,--(SUMPRODUCT(--(TRIM(Footfall!$B$5:$B$301)=$AW227))&gt;0))</f>
        <v>0</v>
      </c>
      <c r="CK227" s="8" cm="1">
        <f t="array" ref="CK227">IF($AW227="",0,_xlfn.LET(_xlpm.r,IFERROR(MATCH(IFERROR(_xlfn.XLOOKUP($AW227,$BT$5:$BT$22,$BU$5:$BU$22),$AW227),TRIM('TY Beauty Target'!$B$5:$B$300&amp;""),0),""),IF(ISNUMBER(_xlpm.r),SUMPRODUCT(('TY Beauty Target'!$L$2:$AP$2&gt;=$U$4)*('TY Beauty Target'!$L$2:$AP$2&lt;=$U$5),INDEX('TY Beauty Target'!$L$5:$AP$300,_xlpm.r,0)),0)))</f>
        <v>0</v>
      </c>
    </row>
    <row r="228" spans="28:89" x14ac:dyDescent="0.25">
      <c r="AB228" s="40" t="str" cm="1">
        <f t="array" ref="AB228">IF($AI228="","",IF(LEFT($AI228,2)="C|",IF($C228="","",SUMPRODUCT($AP$5:$AP$302*($AO$5:$AO$302=$A228),$CK$5:$CK$302)),IF($AI228="CT",AB$13,IF(LEFT($AI228,3)="AM|",IF($C228="","",SUMPRODUCT($AP$5:$AP$302*($AN$5:$AN$302=$A228),$CK$5:$CK$302)),IF(LEFT($AI228,2)="S|",IF($AG228="","",INDEX($CK$5:$CK$302,$AH228)),IF($AI228="HDR","Makeup Target",""))))))</f>
        <v/>
      </c>
      <c r="AC228" s="41" t="str">
        <f t="shared" si="129"/>
        <v/>
      </c>
      <c r="AN228" s="8" t="str" cm="1">
        <f t="array" ref="AN228">IF($AW228="","",_xlfn.LET(_xlpm.sa,IFERROR(TRIM(INDEX('Sales and count'!$D$4:$D$300,$BF228)&amp;""),""),_xlpm.ta,IFERROR(TRIM(INDEX('TY Sales Target'!$F$5:$F$300,$BG228)&amp;""),""),IF(AND(_xlpm.sa&lt;&gt;"",LEFT(_xlpm.sa,1)&lt;&gt;"#",_xlpm.sa&lt;&gt;"0"),_xlpm.sa,IF(AND(_xlpm.ta&lt;&gt;"",LEFT(_xlpm.ta,1)&lt;&gt;"#",_xlpm.ta&lt;&gt;"0"),_xlpm.ta,IF(ISNUMBER($BG228),"Unassigned","")))))</f>
        <v/>
      </c>
      <c r="AO228" s="8" t="str" cm="1">
        <f t="array" ref="AO228">IF($AW228="","",_xlfn.LET(_xlpm.sa,IFERROR(TRIM(INDEX('Sales and count'!$C$4:$C$300,$BF228)&amp;""),""),_xlpm.ta,IFERROR(TRIM(INDEX('TY Sales Target'!$D$5:$D$300,$BG228)&amp;""),""),IF(AND(_xlpm.sa&lt;&gt;"",LEFT(_xlpm.sa,1)&lt;&gt;"#",_xlpm.sa&lt;&gt;"0"),_xlpm.sa,IF(AND(_xlpm.ta&lt;&gt;"",LEFT(_xlpm.ta,1)&lt;&gt;"#",_xlpm.ta&lt;&gt;"0"),_xlpm.ta,""))))</f>
        <v/>
      </c>
      <c r="AP228" s="8">
        <f t="shared" si="126"/>
        <v>0</v>
      </c>
      <c r="AQ228" s="8">
        <f t="shared" si="127"/>
        <v>0</v>
      </c>
      <c r="AR228" s="8" cm="1">
        <f t="array" ref="AR228">IF($BF228="",0,_xlfn.LET(_xlpm.d,IFERROR(--'Sales and count'!$G$2:$CC$2,0),SUMPRODUCT(('Sales and count'!$G$3:$CC$3="Total")*(_xlpm.d&gt;=$U$4)*(_xlpm.d&lt;=$U$5),INDEX('Sales and count'!$G$4:$CC$300,$BF228,0))))</f>
        <v>0</v>
      </c>
      <c r="AS228" s="8" cm="1">
        <f t="array" ref="AS228">IF($BF228="",0,_xlfn.LET(_xlpm.d,IFERROR(--'Sales and count'!$F$2:$CB$2,0),SUMPRODUCT(('Sales and count'!$G$3:$CC$3="Transactions")*(_xlpm.d&gt;=$U$4)*(_xlpm.d&lt;=$U$5),INDEX('Sales and count'!$G$4:$CC$300,$BF228,0))))</f>
        <v>0</v>
      </c>
      <c r="AT228" s="8" cm="1">
        <f t="array" ref="AT228">IF($AW228="",0,SUMPRODUCT((TRIM('LY Sales '!$B$5:$B$200)=$AW228)*('LY Sales '!$C$2:$AG$2&gt;=EDATE($U$4,-12))*('LY Sales '!$C$2:$AG$2&lt;=EDATE($U$5,-12)),'LY Sales '!$C$5:$AG$200))</f>
        <v>0</v>
      </c>
      <c r="AU228" s="8" cm="1">
        <f t="array" ref="AU228">IF($AW228="",0,SUMPRODUCT((TRIM('LY Transaction'!$B$5:$B$200)=$AW228)*('LY Transaction'!$C$2:$AG$2&gt;=EDATE($U$4,-12))*('LY Transaction'!$C$2:$AG$2&lt;=EDATE($U$5,-12)),'LY Transaction'!$C$5:$AG$200))</f>
        <v>0</v>
      </c>
      <c r="AV228" s="8" cm="1">
        <f t="array" ref="AV228">IF(NOT(ISNUMBER($BG228)),0,SUMPRODUCT(('TY Sales Target'!$K$2:$AO$2&gt;=$U$4)*('TY Sales Target'!$K$2:$AO$2&lt;=$U$5),INDEX('TY Sales Target'!$K$5:$AO$300,$BG228,0)))</f>
        <v>0</v>
      </c>
      <c r="AW228" s="8" t="str" cm="1">
        <f t="array" ref="AW228">IFERROR(INDEX(_xlfn.ANCHORARRAY($BR$5),ROWS($AW$5:AW228)),"")</f>
        <v/>
      </c>
      <c r="BB228" cm="1">
        <f t="array" ref="BB228">IF($AW228="",0,SUMPRODUCT((TRIM(Footfall!$B$5:$B$301)=$AW228)*(Footfall!$C$1:$BZ$1&gt;=$U$4)*(Footfall!$C$2:$BZ$2&lt;=$U$5)*(Footfall!$C$1:$BZ$1&lt;&gt;""),Footfall!$C$5:$BZ$301))</f>
        <v>0</v>
      </c>
      <c r="BC228" cm="1">
        <f t="array" ref="BC228">IF(OR($BB228&lt;=0,$BD$1="",$BF228=""),0,_xlfn.LET(_xlpm.d,IFERROR(--'Sales and count'!$F$2:$CB$2,0),SUMPRODUCT(('Sales and count'!$G$3:$CC$3="Transactions")*(_xlpm.d&gt;=$BD$1)*(_xlpm.d&lt;=$BD$2),INDEX('Sales and count'!$G$4:$CC$300,$BF228,0))))</f>
        <v>0</v>
      </c>
      <c r="BF228" t="str" cm="1">
        <f t="array" ref="BF228">IF($AW228="","",IFERROR(MATCH($AW228,TRIM('Sales and count'!$A$4:$A$300&amp;""),0),""))</f>
        <v/>
      </c>
      <c r="BG228" t="str" cm="1">
        <f t="array" ref="BG228">IF($AW228="","",IFERROR(MATCH(IFERROR(_xlfn.XLOOKUP($AW228,$BT$5:$BT$22,$BU$5:$BU$22),$AW228),TRIM('TY Sales Target'!$B$5:$B$300&amp;""),0),""))</f>
        <v/>
      </c>
      <c r="BH228" t="str" cm="1">
        <f t="array" ref="BH228">IF(ISNUMBER($BG228),_xlfn.LET(_xlpm.p,TRIM(INDEX('TY Sales Target'!$I$5:$I$300,$BG228)&amp;""),IF(_xlpm.p="","Not set",_xlpm.p)),"Not set")</f>
        <v>Not set</v>
      </c>
      <c r="BI228" cm="1">
        <f t="array" ref="BI228">IF($BF228="",0,_xlfn.LET(_xlpm.d,IFERROR(--'Sales and count'!$G$2:$CC$2,0),SUMPRODUCT(('Sales and count'!$G$3:$CC$3="Total")*(_xlpm.d&gt;=$BZ$5)*(_xlpm.d&lt;=$BZ$6),INDEX('Sales and count'!$G$4:$CC$300,$BF228,0))))</f>
        <v>0</v>
      </c>
      <c r="BJ228" cm="1">
        <f t="array" ref="BJ228">IF($AW228="",0,SUMPRODUCT((TRIM('LY Sales '!$B$5:$B$200)=$AW228)*('LY Sales '!$C$2:$AG$2&gt;=EDATE($BZ$5,-12))*('LY Sales '!$C$2:$AG$2&lt;=EDATE($BZ$6,-12)),'LY Sales '!$C$5:$AG$200))</f>
        <v>0</v>
      </c>
      <c r="BK228" cm="1">
        <f t="array" ref="BK228">IF($AW228="",0,SUMPRODUCT((TRIM('LY Sales '!$B$5:$B$200)=$AW228)*('LY Sales '!$C$2:$AG$2&gt;=EDATE($BZ$5,-12))*('LY Sales '!$C$2:$AG$2&lt;=EDATE($BZ$7,-12)),'LY Sales '!$C$5:$AG$200))</f>
        <v>0</v>
      </c>
      <c r="BL228" cm="1">
        <f t="array" ref="BL228">IF($AW228="",0,SUMPRODUCT((TRIM('LY Sales '!$B$5:$B$200)=$AW228)*('LY Sales '!$C$2:$AG$2&gt;=EDATE($BZ$5,-12))*('LY Sales '!$C$2:$AG$2&lt;=EDATE($BZ$6,-12))*('LY Sales '!$C$5:$AG$200&gt;0)))</f>
        <v>0</v>
      </c>
      <c r="BM228" cm="1">
        <f t="array" ref="BM228">IF(NOT(ISNUMBER($BG228)),0,SUMPRODUCT(('TY Sales Target'!$K$2:$AO$2&gt;=$BZ$5)*('TY Sales Target'!$K$2:$AO$2&lt;=$BZ$6),INDEX('TY Sales Target'!$K$5:$AO$300,$BG228,0)))</f>
        <v>0</v>
      </c>
      <c r="BN228" cm="1">
        <f t="array" ref="BN228">IF(NOT(ISNUMBER($BG228)),0,SUMPRODUCT(('TY Sales Target'!$K$2:$AO$2&gt;=$BZ$5)*('TY Sales Target'!$K$2:$AO$2&lt;=$BZ$7),INDEX('TY Sales Target'!$K$5:$AO$300,$BG228,0)))</f>
        <v>0</v>
      </c>
      <c r="BO228" cm="1">
        <f t="array" ref="BO228">IF($AW228="",0,IFERROR(_xlfn.SWITCH($BP228,"LY trend",$BI228*$BK228/$BJ228,"Target curve",$BI228*$BN228/$BM228,"Run rate",$BI228/$BZ$8*$BZ$9,0),0))</f>
        <v>0</v>
      </c>
      <c r="BP228" t="str">
        <f t="shared" si="125"/>
        <v/>
      </c>
      <c r="CB228" cm="1">
        <f t="array" ref="CB228">IF($AW228="",0,_xlfn.LET(_xlpm.k,IFERROR(_xlfn.XLOOKUP($AW228,$CD$6:$CD$21,$CE$6:$CE$21),$AW228),SUMPRODUCT((TRIM('Makeup '!$A$2:$A$300&amp;"")=_xlpm.k)*1,IFERROR('Makeup '!$F$2:$F$300*1,0))))</f>
        <v>0</v>
      </c>
      <c r="CF228" t="str" cm="1">
        <f t="array" ref="CF228">IF($AW228="","",_xlfn.LET(_xlpm.c,IFERROR(TRIM(INDEX('Sales and count'!$B$4:$B$300,$BF228)&amp;""),""),IF(OR(_xlpm.c="",_xlpm.c="0",LEFT(_xlpm.c,1)="#"),"Not set",_xlpm.c)))</f>
        <v/>
      </c>
      <c r="CH228" cm="1">
        <f t="array" ref="CH228">IF($AW228="",0,_xlfn.LET(_xlpm.k,IFERROR(_xlfn.XLOOKUP($AW228,$CD$6:$CD$21,$CE$6:$CE$21),$AW228),--(SUMPRODUCT((TRIM('Makeup '!$A$2:$A$300&amp;"")=_xlpm.k)*ISNUMBER('Makeup '!$F$2:$F$300))&gt;0)))</f>
        <v>0</v>
      </c>
      <c r="CI228">
        <f t="shared" si="128"/>
        <v>0</v>
      </c>
      <c r="CJ228" cm="1">
        <f t="array" ref="CJ228">IF($AW228="",0,--(SUMPRODUCT(--(TRIM(Footfall!$B$5:$B$301)=$AW228))&gt;0))</f>
        <v>0</v>
      </c>
      <c r="CK228" s="8" cm="1">
        <f t="array" ref="CK228">IF($AW228="",0,_xlfn.LET(_xlpm.r,IFERROR(MATCH(IFERROR(_xlfn.XLOOKUP($AW228,$BT$5:$BT$22,$BU$5:$BU$22),$AW228),TRIM('TY Beauty Target'!$B$5:$B$300&amp;""),0),""),IF(ISNUMBER(_xlpm.r),SUMPRODUCT(('TY Beauty Target'!$L$2:$AP$2&gt;=$U$4)*('TY Beauty Target'!$L$2:$AP$2&lt;=$U$5),INDEX('TY Beauty Target'!$L$5:$AP$300,_xlpm.r,0)),0)))</f>
        <v>0</v>
      </c>
    </row>
    <row r="229" spans="28:89" x14ac:dyDescent="0.25">
      <c r="AB229" s="40" t="str" cm="1">
        <f t="array" ref="AB229">IF($AI229="","",IF(LEFT($AI229,2)="C|",IF($C229="","",SUMPRODUCT($AP$5:$AP$302*($AO$5:$AO$302=$A229),$CK$5:$CK$302)),IF($AI229="CT",AB$13,IF(LEFT($AI229,3)="AM|",IF($C229="","",SUMPRODUCT($AP$5:$AP$302*($AN$5:$AN$302=$A229),$CK$5:$CK$302)),IF(LEFT($AI229,2)="S|",IF($AG229="","",INDEX($CK$5:$CK$302,$AH229)),IF($AI229="HDR","Makeup Target",""))))))</f>
        <v/>
      </c>
      <c r="AC229" s="41" t="str">
        <f t="shared" si="129"/>
        <v/>
      </c>
      <c r="AN229" s="8" t="str" cm="1">
        <f t="array" ref="AN229">IF($AW229="","",_xlfn.LET(_xlpm.sa,IFERROR(TRIM(INDEX('Sales and count'!$D$4:$D$300,$BF229)&amp;""),""),_xlpm.ta,IFERROR(TRIM(INDEX('TY Sales Target'!$F$5:$F$300,$BG229)&amp;""),""),IF(AND(_xlpm.sa&lt;&gt;"",LEFT(_xlpm.sa,1)&lt;&gt;"#",_xlpm.sa&lt;&gt;"0"),_xlpm.sa,IF(AND(_xlpm.ta&lt;&gt;"",LEFT(_xlpm.ta,1)&lt;&gt;"#",_xlpm.ta&lt;&gt;"0"),_xlpm.ta,IF(ISNUMBER($BG229),"Unassigned","")))))</f>
        <v/>
      </c>
      <c r="AO229" s="8" t="str" cm="1">
        <f t="array" ref="AO229">IF($AW229="","",_xlfn.LET(_xlpm.sa,IFERROR(TRIM(INDEX('Sales and count'!$C$4:$C$300,$BF229)&amp;""),""),_xlpm.ta,IFERROR(TRIM(INDEX('TY Sales Target'!$D$5:$D$300,$BG229)&amp;""),""),IF(AND(_xlpm.sa&lt;&gt;"",LEFT(_xlpm.sa,1)&lt;&gt;"#",_xlpm.sa&lt;&gt;"0"),_xlpm.sa,IF(AND(_xlpm.ta&lt;&gt;"",LEFT(_xlpm.ta,1)&lt;&gt;"#",_xlpm.ta&lt;&gt;"0"),_xlpm.ta,""))))</f>
        <v/>
      </c>
      <c r="AP229" s="8">
        <f t="shared" si="126"/>
        <v>0</v>
      </c>
      <c r="AQ229" s="8">
        <f t="shared" si="127"/>
        <v>0</v>
      </c>
      <c r="AR229" s="8" cm="1">
        <f t="array" ref="AR229">IF($BF229="",0,_xlfn.LET(_xlpm.d,IFERROR(--'Sales and count'!$G$2:$CC$2,0),SUMPRODUCT(('Sales and count'!$G$3:$CC$3="Total")*(_xlpm.d&gt;=$U$4)*(_xlpm.d&lt;=$U$5),INDEX('Sales and count'!$G$4:$CC$300,$BF229,0))))</f>
        <v>0</v>
      </c>
      <c r="AS229" s="8" cm="1">
        <f t="array" ref="AS229">IF($BF229="",0,_xlfn.LET(_xlpm.d,IFERROR(--'Sales and count'!$F$2:$CB$2,0),SUMPRODUCT(('Sales and count'!$G$3:$CC$3="Transactions")*(_xlpm.d&gt;=$U$4)*(_xlpm.d&lt;=$U$5),INDEX('Sales and count'!$G$4:$CC$300,$BF229,0))))</f>
        <v>0</v>
      </c>
      <c r="AT229" s="8" cm="1">
        <f t="array" ref="AT229">IF($AW229="",0,SUMPRODUCT((TRIM('LY Sales '!$B$5:$B$200)=$AW229)*('LY Sales '!$C$2:$AG$2&gt;=EDATE($U$4,-12))*('LY Sales '!$C$2:$AG$2&lt;=EDATE($U$5,-12)),'LY Sales '!$C$5:$AG$200))</f>
        <v>0</v>
      </c>
      <c r="AU229" s="8" cm="1">
        <f t="array" ref="AU229">IF($AW229="",0,SUMPRODUCT((TRIM('LY Transaction'!$B$5:$B$200)=$AW229)*('LY Transaction'!$C$2:$AG$2&gt;=EDATE($U$4,-12))*('LY Transaction'!$C$2:$AG$2&lt;=EDATE($U$5,-12)),'LY Transaction'!$C$5:$AG$200))</f>
        <v>0</v>
      </c>
      <c r="AV229" s="8" cm="1">
        <f t="array" ref="AV229">IF(NOT(ISNUMBER($BG229)),0,SUMPRODUCT(('TY Sales Target'!$K$2:$AO$2&gt;=$U$4)*('TY Sales Target'!$K$2:$AO$2&lt;=$U$5),INDEX('TY Sales Target'!$K$5:$AO$300,$BG229,0)))</f>
        <v>0</v>
      </c>
      <c r="AW229" s="8" t="str" cm="1">
        <f t="array" ref="AW229">IFERROR(INDEX(_xlfn.ANCHORARRAY($BR$5),ROWS($AW$5:AW229)),"")</f>
        <v/>
      </c>
      <c r="BB229" cm="1">
        <f t="array" ref="BB229">IF($AW229="",0,SUMPRODUCT((TRIM(Footfall!$B$5:$B$301)=$AW229)*(Footfall!$C$1:$BZ$1&gt;=$U$4)*(Footfall!$C$2:$BZ$2&lt;=$U$5)*(Footfall!$C$1:$BZ$1&lt;&gt;""),Footfall!$C$5:$BZ$301))</f>
        <v>0</v>
      </c>
      <c r="BC229" cm="1">
        <f t="array" ref="BC229">IF(OR($BB229&lt;=0,$BD$1="",$BF229=""),0,_xlfn.LET(_xlpm.d,IFERROR(--'Sales and count'!$F$2:$CB$2,0),SUMPRODUCT(('Sales and count'!$G$3:$CC$3="Transactions")*(_xlpm.d&gt;=$BD$1)*(_xlpm.d&lt;=$BD$2),INDEX('Sales and count'!$G$4:$CC$300,$BF229,0))))</f>
        <v>0</v>
      </c>
      <c r="BF229" t="str" cm="1">
        <f t="array" ref="BF229">IF($AW229="","",IFERROR(MATCH($AW229,TRIM('Sales and count'!$A$4:$A$300&amp;""),0),""))</f>
        <v/>
      </c>
      <c r="BG229" t="str" cm="1">
        <f t="array" ref="BG229">IF($AW229="","",IFERROR(MATCH(IFERROR(_xlfn.XLOOKUP($AW229,$BT$5:$BT$22,$BU$5:$BU$22),$AW229),TRIM('TY Sales Target'!$B$5:$B$300&amp;""),0),""))</f>
        <v/>
      </c>
      <c r="BH229" t="str" cm="1">
        <f t="array" ref="BH229">IF(ISNUMBER($BG229),_xlfn.LET(_xlpm.p,TRIM(INDEX('TY Sales Target'!$I$5:$I$300,$BG229)&amp;""),IF(_xlpm.p="","Not set",_xlpm.p)),"Not set")</f>
        <v>Not set</v>
      </c>
      <c r="BI229" cm="1">
        <f t="array" ref="BI229">IF($BF229="",0,_xlfn.LET(_xlpm.d,IFERROR(--'Sales and count'!$G$2:$CC$2,0),SUMPRODUCT(('Sales and count'!$G$3:$CC$3="Total")*(_xlpm.d&gt;=$BZ$5)*(_xlpm.d&lt;=$BZ$6),INDEX('Sales and count'!$G$4:$CC$300,$BF229,0))))</f>
        <v>0</v>
      </c>
      <c r="BJ229" cm="1">
        <f t="array" ref="BJ229">IF($AW229="",0,SUMPRODUCT((TRIM('LY Sales '!$B$5:$B$200)=$AW229)*('LY Sales '!$C$2:$AG$2&gt;=EDATE($BZ$5,-12))*('LY Sales '!$C$2:$AG$2&lt;=EDATE($BZ$6,-12)),'LY Sales '!$C$5:$AG$200))</f>
        <v>0</v>
      </c>
      <c r="BK229" cm="1">
        <f t="array" ref="BK229">IF($AW229="",0,SUMPRODUCT((TRIM('LY Sales '!$B$5:$B$200)=$AW229)*('LY Sales '!$C$2:$AG$2&gt;=EDATE($BZ$5,-12))*('LY Sales '!$C$2:$AG$2&lt;=EDATE($BZ$7,-12)),'LY Sales '!$C$5:$AG$200))</f>
        <v>0</v>
      </c>
      <c r="BL229" cm="1">
        <f t="array" ref="BL229">IF($AW229="",0,SUMPRODUCT((TRIM('LY Sales '!$B$5:$B$200)=$AW229)*('LY Sales '!$C$2:$AG$2&gt;=EDATE($BZ$5,-12))*('LY Sales '!$C$2:$AG$2&lt;=EDATE($BZ$6,-12))*('LY Sales '!$C$5:$AG$200&gt;0)))</f>
        <v>0</v>
      </c>
      <c r="BM229" cm="1">
        <f t="array" ref="BM229">IF(NOT(ISNUMBER($BG229)),0,SUMPRODUCT(('TY Sales Target'!$K$2:$AO$2&gt;=$BZ$5)*('TY Sales Target'!$K$2:$AO$2&lt;=$BZ$6),INDEX('TY Sales Target'!$K$5:$AO$300,$BG229,0)))</f>
        <v>0</v>
      </c>
      <c r="BN229" cm="1">
        <f t="array" ref="BN229">IF(NOT(ISNUMBER($BG229)),0,SUMPRODUCT(('TY Sales Target'!$K$2:$AO$2&gt;=$BZ$5)*('TY Sales Target'!$K$2:$AO$2&lt;=$BZ$7),INDEX('TY Sales Target'!$K$5:$AO$300,$BG229,0)))</f>
        <v>0</v>
      </c>
      <c r="BO229" cm="1">
        <f t="array" ref="BO229">IF($AW229="",0,IFERROR(_xlfn.SWITCH($BP229,"LY trend",$BI229*$BK229/$BJ229,"Target curve",$BI229*$BN229/$BM229,"Run rate",$BI229/$BZ$8*$BZ$9,0),0))</f>
        <v>0</v>
      </c>
      <c r="BP229" t="str">
        <f t="shared" si="125"/>
        <v/>
      </c>
      <c r="CB229" cm="1">
        <f t="array" ref="CB229">IF($AW229="",0,_xlfn.LET(_xlpm.k,IFERROR(_xlfn.XLOOKUP($AW229,$CD$6:$CD$21,$CE$6:$CE$21),$AW229),SUMPRODUCT((TRIM('Makeup '!$A$2:$A$300&amp;"")=_xlpm.k)*1,IFERROR('Makeup '!$F$2:$F$300*1,0))))</f>
        <v>0</v>
      </c>
      <c r="CF229" t="str" cm="1">
        <f t="array" ref="CF229">IF($AW229="","",_xlfn.LET(_xlpm.c,IFERROR(TRIM(INDEX('Sales and count'!$B$4:$B$300,$BF229)&amp;""),""),IF(OR(_xlpm.c="",_xlpm.c="0",LEFT(_xlpm.c,1)="#"),"Not set",_xlpm.c)))</f>
        <v/>
      </c>
      <c r="CH229" cm="1">
        <f t="array" ref="CH229">IF($AW229="",0,_xlfn.LET(_xlpm.k,IFERROR(_xlfn.XLOOKUP($AW229,$CD$6:$CD$21,$CE$6:$CE$21),$AW229),--(SUMPRODUCT((TRIM('Makeup '!$A$2:$A$300&amp;"")=_xlpm.k)*ISNUMBER('Makeup '!$F$2:$F$300))&gt;0)))</f>
        <v>0</v>
      </c>
      <c r="CI229">
        <f t="shared" si="128"/>
        <v>0</v>
      </c>
      <c r="CJ229" cm="1">
        <f t="array" ref="CJ229">IF($AW229="",0,--(SUMPRODUCT(--(TRIM(Footfall!$B$5:$B$301)=$AW229))&gt;0))</f>
        <v>0</v>
      </c>
      <c r="CK229" s="8" cm="1">
        <f t="array" ref="CK229">IF($AW229="",0,_xlfn.LET(_xlpm.r,IFERROR(MATCH(IFERROR(_xlfn.XLOOKUP($AW229,$BT$5:$BT$22,$BU$5:$BU$22),$AW229),TRIM('TY Beauty Target'!$B$5:$B$300&amp;""),0),""),IF(ISNUMBER(_xlpm.r),SUMPRODUCT(('TY Beauty Target'!$L$2:$AP$2&gt;=$U$4)*('TY Beauty Target'!$L$2:$AP$2&lt;=$U$5),INDEX('TY Beauty Target'!$L$5:$AP$300,_xlpm.r,0)),0)))</f>
        <v>0</v>
      </c>
    </row>
    <row r="230" spans="28:89" x14ac:dyDescent="0.25">
      <c r="AB230" s="40" t="str" cm="1">
        <f t="array" ref="AB230">IF($AI230="","",IF(LEFT($AI230,2)="C|",IF($C230="","",SUMPRODUCT($AP$5:$AP$302*($AO$5:$AO$302=$A230),$CK$5:$CK$302)),IF($AI230="CT",AB$13,IF(LEFT($AI230,3)="AM|",IF($C230="","",SUMPRODUCT($AP$5:$AP$302*($AN$5:$AN$302=$A230),$CK$5:$CK$302)),IF(LEFT($AI230,2)="S|",IF($AG230="","",INDEX($CK$5:$CK$302,$AH230)),IF($AI230="HDR","Makeup Target",""))))))</f>
        <v/>
      </c>
      <c r="AC230" s="41" t="str">
        <f t="shared" si="129"/>
        <v/>
      </c>
      <c r="AN230" s="8" t="str" cm="1">
        <f t="array" ref="AN230">IF($AW230="","",_xlfn.LET(_xlpm.sa,IFERROR(TRIM(INDEX('Sales and count'!$D$4:$D$300,$BF230)&amp;""),""),_xlpm.ta,IFERROR(TRIM(INDEX('TY Sales Target'!$F$5:$F$300,$BG230)&amp;""),""),IF(AND(_xlpm.sa&lt;&gt;"",LEFT(_xlpm.sa,1)&lt;&gt;"#",_xlpm.sa&lt;&gt;"0"),_xlpm.sa,IF(AND(_xlpm.ta&lt;&gt;"",LEFT(_xlpm.ta,1)&lt;&gt;"#",_xlpm.ta&lt;&gt;"0"),_xlpm.ta,IF(ISNUMBER($BG230),"Unassigned","")))))</f>
        <v/>
      </c>
      <c r="AO230" s="8" t="str" cm="1">
        <f t="array" ref="AO230">IF($AW230="","",_xlfn.LET(_xlpm.sa,IFERROR(TRIM(INDEX('Sales and count'!$C$4:$C$300,$BF230)&amp;""),""),_xlpm.ta,IFERROR(TRIM(INDEX('TY Sales Target'!$D$5:$D$300,$BG230)&amp;""),""),IF(AND(_xlpm.sa&lt;&gt;"",LEFT(_xlpm.sa,1)&lt;&gt;"#",_xlpm.sa&lt;&gt;"0"),_xlpm.sa,IF(AND(_xlpm.ta&lt;&gt;"",LEFT(_xlpm.ta,1)&lt;&gt;"#",_xlpm.ta&lt;&gt;"0"),_xlpm.ta,""))))</f>
        <v/>
      </c>
      <c r="AP230" s="8">
        <f t="shared" si="126"/>
        <v>0</v>
      </c>
      <c r="AQ230" s="8">
        <f t="shared" si="127"/>
        <v>0</v>
      </c>
      <c r="AR230" s="8" cm="1">
        <f t="array" ref="AR230">IF($BF230="",0,_xlfn.LET(_xlpm.d,IFERROR(--'Sales and count'!$G$2:$CC$2,0),SUMPRODUCT(('Sales and count'!$G$3:$CC$3="Total")*(_xlpm.d&gt;=$U$4)*(_xlpm.d&lt;=$U$5),INDEX('Sales and count'!$G$4:$CC$300,$BF230,0))))</f>
        <v>0</v>
      </c>
      <c r="AS230" s="8" cm="1">
        <f t="array" ref="AS230">IF($BF230="",0,_xlfn.LET(_xlpm.d,IFERROR(--'Sales and count'!$F$2:$CB$2,0),SUMPRODUCT(('Sales and count'!$G$3:$CC$3="Transactions")*(_xlpm.d&gt;=$U$4)*(_xlpm.d&lt;=$U$5),INDEX('Sales and count'!$G$4:$CC$300,$BF230,0))))</f>
        <v>0</v>
      </c>
      <c r="AT230" s="8" cm="1">
        <f t="array" ref="AT230">IF($AW230="",0,SUMPRODUCT((TRIM('LY Sales '!$B$5:$B$200)=$AW230)*('LY Sales '!$C$2:$AG$2&gt;=EDATE($U$4,-12))*('LY Sales '!$C$2:$AG$2&lt;=EDATE($U$5,-12)),'LY Sales '!$C$5:$AG$200))</f>
        <v>0</v>
      </c>
      <c r="AU230" s="8" cm="1">
        <f t="array" ref="AU230">IF($AW230="",0,SUMPRODUCT((TRIM('LY Transaction'!$B$5:$B$200)=$AW230)*('LY Transaction'!$C$2:$AG$2&gt;=EDATE($U$4,-12))*('LY Transaction'!$C$2:$AG$2&lt;=EDATE($U$5,-12)),'LY Transaction'!$C$5:$AG$200))</f>
        <v>0</v>
      </c>
      <c r="AV230" s="8" cm="1">
        <f t="array" ref="AV230">IF(NOT(ISNUMBER($BG230)),0,SUMPRODUCT(('TY Sales Target'!$K$2:$AO$2&gt;=$U$4)*('TY Sales Target'!$K$2:$AO$2&lt;=$U$5),INDEX('TY Sales Target'!$K$5:$AO$300,$BG230,0)))</f>
        <v>0</v>
      </c>
      <c r="AW230" s="8" t="str" cm="1">
        <f t="array" ref="AW230">IFERROR(INDEX(_xlfn.ANCHORARRAY($BR$5),ROWS($AW$5:AW230)),"")</f>
        <v/>
      </c>
      <c r="BB230" cm="1">
        <f t="array" ref="BB230">IF($AW230="",0,SUMPRODUCT((TRIM(Footfall!$B$5:$B$301)=$AW230)*(Footfall!$C$1:$BZ$1&gt;=$U$4)*(Footfall!$C$2:$BZ$2&lt;=$U$5)*(Footfall!$C$1:$BZ$1&lt;&gt;""),Footfall!$C$5:$BZ$301))</f>
        <v>0</v>
      </c>
      <c r="BC230" cm="1">
        <f t="array" ref="BC230">IF(OR($BB230&lt;=0,$BD$1="",$BF230=""),0,_xlfn.LET(_xlpm.d,IFERROR(--'Sales and count'!$F$2:$CB$2,0),SUMPRODUCT(('Sales and count'!$G$3:$CC$3="Transactions")*(_xlpm.d&gt;=$BD$1)*(_xlpm.d&lt;=$BD$2),INDEX('Sales and count'!$G$4:$CC$300,$BF230,0))))</f>
        <v>0</v>
      </c>
      <c r="BF230" t="str" cm="1">
        <f t="array" ref="BF230">IF($AW230="","",IFERROR(MATCH($AW230,TRIM('Sales and count'!$A$4:$A$300&amp;""),0),""))</f>
        <v/>
      </c>
      <c r="BG230" t="str" cm="1">
        <f t="array" ref="BG230">IF($AW230="","",IFERROR(MATCH(IFERROR(_xlfn.XLOOKUP($AW230,$BT$5:$BT$22,$BU$5:$BU$22),$AW230),TRIM('TY Sales Target'!$B$5:$B$300&amp;""),0),""))</f>
        <v/>
      </c>
      <c r="BH230" t="str" cm="1">
        <f t="array" ref="BH230">IF(ISNUMBER($BG230),_xlfn.LET(_xlpm.p,TRIM(INDEX('TY Sales Target'!$I$5:$I$300,$BG230)&amp;""),IF(_xlpm.p="","Not set",_xlpm.p)),"Not set")</f>
        <v>Not set</v>
      </c>
      <c r="BI230" cm="1">
        <f t="array" ref="BI230">IF($BF230="",0,_xlfn.LET(_xlpm.d,IFERROR(--'Sales and count'!$G$2:$CC$2,0),SUMPRODUCT(('Sales and count'!$G$3:$CC$3="Total")*(_xlpm.d&gt;=$BZ$5)*(_xlpm.d&lt;=$BZ$6),INDEX('Sales and count'!$G$4:$CC$300,$BF230,0))))</f>
        <v>0</v>
      </c>
      <c r="BJ230" cm="1">
        <f t="array" ref="BJ230">IF($AW230="",0,SUMPRODUCT((TRIM('LY Sales '!$B$5:$B$200)=$AW230)*('LY Sales '!$C$2:$AG$2&gt;=EDATE($BZ$5,-12))*('LY Sales '!$C$2:$AG$2&lt;=EDATE($BZ$6,-12)),'LY Sales '!$C$5:$AG$200))</f>
        <v>0</v>
      </c>
      <c r="BK230" cm="1">
        <f t="array" ref="BK230">IF($AW230="",0,SUMPRODUCT((TRIM('LY Sales '!$B$5:$B$200)=$AW230)*('LY Sales '!$C$2:$AG$2&gt;=EDATE($BZ$5,-12))*('LY Sales '!$C$2:$AG$2&lt;=EDATE($BZ$7,-12)),'LY Sales '!$C$5:$AG$200))</f>
        <v>0</v>
      </c>
      <c r="BL230" cm="1">
        <f t="array" ref="BL230">IF($AW230="",0,SUMPRODUCT((TRIM('LY Sales '!$B$5:$B$200)=$AW230)*('LY Sales '!$C$2:$AG$2&gt;=EDATE($BZ$5,-12))*('LY Sales '!$C$2:$AG$2&lt;=EDATE($BZ$6,-12))*('LY Sales '!$C$5:$AG$200&gt;0)))</f>
        <v>0</v>
      </c>
      <c r="BM230" cm="1">
        <f t="array" ref="BM230">IF(NOT(ISNUMBER($BG230)),0,SUMPRODUCT(('TY Sales Target'!$K$2:$AO$2&gt;=$BZ$5)*('TY Sales Target'!$K$2:$AO$2&lt;=$BZ$6),INDEX('TY Sales Target'!$K$5:$AO$300,$BG230,0)))</f>
        <v>0</v>
      </c>
      <c r="BN230" cm="1">
        <f t="array" ref="BN230">IF(NOT(ISNUMBER($BG230)),0,SUMPRODUCT(('TY Sales Target'!$K$2:$AO$2&gt;=$BZ$5)*('TY Sales Target'!$K$2:$AO$2&lt;=$BZ$7),INDEX('TY Sales Target'!$K$5:$AO$300,$BG230,0)))</f>
        <v>0</v>
      </c>
      <c r="BO230" cm="1">
        <f t="array" ref="BO230">IF($AW230="",0,IFERROR(_xlfn.SWITCH($BP230,"LY trend",$BI230*$BK230/$BJ230,"Target curve",$BI230*$BN230/$BM230,"Run rate",$BI230/$BZ$8*$BZ$9,0),0))</f>
        <v>0</v>
      </c>
      <c r="BP230" t="str">
        <f t="shared" si="125"/>
        <v/>
      </c>
      <c r="CB230" cm="1">
        <f t="array" ref="CB230">IF($AW230="",0,_xlfn.LET(_xlpm.k,IFERROR(_xlfn.XLOOKUP($AW230,$CD$6:$CD$21,$CE$6:$CE$21),$AW230),SUMPRODUCT((TRIM('Makeup '!$A$2:$A$300&amp;"")=_xlpm.k)*1,IFERROR('Makeup '!$F$2:$F$300*1,0))))</f>
        <v>0</v>
      </c>
      <c r="CF230" t="str" cm="1">
        <f t="array" ref="CF230">IF($AW230="","",_xlfn.LET(_xlpm.c,IFERROR(TRIM(INDEX('Sales and count'!$B$4:$B$300,$BF230)&amp;""),""),IF(OR(_xlpm.c="",_xlpm.c="0",LEFT(_xlpm.c,1)="#"),"Not set",_xlpm.c)))</f>
        <v/>
      </c>
      <c r="CH230" cm="1">
        <f t="array" ref="CH230">IF($AW230="",0,_xlfn.LET(_xlpm.k,IFERROR(_xlfn.XLOOKUP($AW230,$CD$6:$CD$21,$CE$6:$CE$21),$AW230),--(SUMPRODUCT((TRIM('Makeup '!$A$2:$A$300&amp;"")=_xlpm.k)*ISNUMBER('Makeup '!$F$2:$F$300))&gt;0)))</f>
        <v>0</v>
      </c>
      <c r="CI230">
        <f t="shared" si="128"/>
        <v>0</v>
      </c>
      <c r="CJ230" cm="1">
        <f t="array" ref="CJ230">IF($AW230="",0,--(SUMPRODUCT(--(TRIM(Footfall!$B$5:$B$301)=$AW230))&gt;0))</f>
        <v>0</v>
      </c>
      <c r="CK230" s="8" cm="1">
        <f t="array" ref="CK230">IF($AW230="",0,_xlfn.LET(_xlpm.r,IFERROR(MATCH(IFERROR(_xlfn.XLOOKUP($AW230,$BT$5:$BT$22,$BU$5:$BU$22),$AW230),TRIM('TY Beauty Target'!$B$5:$B$300&amp;""),0),""),IF(ISNUMBER(_xlpm.r),SUMPRODUCT(('TY Beauty Target'!$L$2:$AP$2&gt;=$U$4)*('TY Beauty Target'!$L$2:$AP$2&lt;=$U$5),INDEX('TY Beauty Target'!$L$5:$AP$300,_xlpm.r,0)),0)))</f>
        <v>0</v>
      </c>
    </row>
    <row r="231" spans="28:89" x14ac:dyDescent="0.25">
      <c r="AB231" s="40" t="str" cm="1">
        <f t="array" ref="AB231">IF($AI231="","",IF(LEFT($AI231,2)="C|",IF($C231="","",SUMPRODUCT($AP$5:$AP$302*($AO$5:$AO$302=$A231),$CK$5:$CK$302)),IF($AI231="CT",AB$13,IF(LEFT($AI231,3)="AM|",IF($C231="","",SUMPRODUCT($AP$5:$AP$302*($AN$5:$AN$302=$A231),$CK$5:$CK$302)),IF(LEFT($AI231,2)="S|",IF($AG231="","",INDEX($CK$5:$CK$302,$AH231)),IF($AI231="HDR","Makeup Target",""))))))</f>
        <v/>
      </c>
      <c r="AC231" s="41" t="str">
        <f t="shared" si="129"/>
        <v/>
      </c>
      <c r="AN231" s="8" t="str" cm="1">
        <f t="array" ref="AN231">IF($AW231="","",_xlfn.LET(_xlpm.sa,IFERROR(TRIM(INDEX('Sales and count'!$D$4:$D$300,$BF231)&amp;""),""),_xlpm.ta,IFERROR(TRIM(INDEX('TY Sales Target'!$F$5:$F$300,$BG231)&amp;""),""),IF(AND(_xlpm.sa&lt;&gt;"",LEFT(_xlpm.sa,1)&lt;&gt;"#",_xlpm.sa&lt;&gt;"0"),_xlpm.sa,IF(AND(_xlpm.ta&lt;&gt;"",LEFT(_xlpm.ta,1)&lt;&gt;"#",_xlpm.ta&lt;&gt;"0"),_xlpm.ta,IF(ISNUMBER($BG231),"Unassigned","")))))</f>
        <v/>
      </c>
      <c r="AO231" s="8" t="str" cm="1">
        <f t="array" ref="AO231">IF($AW231="","",_xlfn.LET(_xlpm.sa,IFERROR(TRIM(INDEX('Sales and count'!$C$4:$C$300,$BF231)&amp;""),""),_xlpm.ta,IFERROR(TRIM(INDEX('TY Sales Target'!$D$5:$D$300,$BG231)&amp;""),""),IF(AND(_xlpm.sa&lt;&gt;"",LEFT(_xlpm.sa,1)&lt;&gt;"#",_xlpm.sa&lt;&gt;"0"),_xlpm.sa,IF(AND(_xlpm.ta&lt;&gt;"",LEFT(_xlpm.ta,1)&lt;&gt;"#",_xlpm.ta&lt;&gt;"0"),_xlpm.ta,""))))</f>
        <v/>
      </c>
      <c r="AP231" s="8">
        <f t="shared" si="126"/>
        <v>0</v>
      </c>
      <c r="AQ231" s="8">
        <f t="shared" si="127"/>
        <v>0</v>
      </c>
      <c r="AR231" s="8" cm="1">
        <f t="array" ref="AR231">IF($BF231="",0,_xlfn.LET(_xlpm.d,IFERROR(--'Sales and count'!$G$2:$CC$2,0),SUMPRODUCT(('Sales and count'!$G$3:$CC$3="Total")*(_xlpm.d&gt;=$U$4)*(_xlpm.d&lt;=$U$5),INDEX('Sales and count'!$G$4:$CC$300,$BF231,0))))</f>
        <v>0</v>
      </c>
      <c r="AS231" s="8" cm="1">
        <f t="array" ref="AS231">IF($BF231="",0,_xlfn.LET(_xlpm.d,IFERROR(--'Sales and count'!$F$2:$CB$2,0),SUMPRODUCT(('Sales and count'!$G$3:$CC$3="Transactions")*(_xlpm.d&gt;=$U$4)*(_xlpm.d&lt;=$U$5),INDEX('Sales and count'!$G$4:$CC$300,$BF231,0))))</f>
        <v>0</v>
      </c>
      <c r="AT231" s="8" cm="1">
        <f t="array" ref="AT231">IF($AW231="",0,SUMPRODUCT((TRIM('LY Sales '!$B$5:$B$200)=$AW231)*('LY Sales '!$C$2:$AG$2&gt;=EDATE($U$4,-12))*('LY Sales '!$C$2:$AG$2&lt;=EDATE($U$5,-12)),'LY Sales '!$C$5:$AG$200))</f>
        <v>0</v>
      </c>
      <c r="AU231" s="8" cm="1">
        <f t="array" ref="AU231">IF($AW231="",0,SUMPRODUCT((TRIM('LY Transaction'!$B$5:$B$200)=$AW231)*('LY Transaction'!$C$2:$AG$2&gt;=EDATE($U$4,-12))*('LY Transaction'!$C$2:$AG$2&lt;=EDATE($U$5,-12)),'LY Transaction'!$C$5:$AG$200))</f>
        <v>0</v>
      </c>
      <c r="AV231" s="8" cm="1">
        <f t="array" ref="AV231">IF(NOT(ISNUMBER($BG231)),0,SUMPRODUCT(('TY Sales Target'!$K$2:$AO$2&gt;=$U$4)*('TY Sales Target'!$K$2:$AO$2&lt;=$U$5),INDEX('TY Sales Target'!$K$5:$AO$300,$BG231,0)))</f>
        <v>0</v>
      </c>
      <c r="AW231" s="8" t="str" cm="1">
        <f t="array" ref="AW231">IFERROR(INDEX(_xlfn.ANCHORARRAY($BR$5),ROWS($AW$5:AW231)),"")</f>
        <v/>
      </c>
      <c r="BB231" cm="1">
        <f t="array" ref="BB231">IF($AW231="",0,SUMPRODUCT((TRIM(Footfall!$B$5:$B$301)=$AW231)*(Footfall!$C$1:$BZ$1&gt;=$U$4)*(Footfall!$C$2:$BZ$2&lt;=$U$5)*(Footfall!$C$1:$BZ$1&lt;&gt;""),Footfall!$C$5:$BZ$301))</f>
        <v>0</v>
      </c>
      <c r="BC231" cm="1">
        <f t="array" ref="BC231">IF(OR($BB231&lt;=0,$BD$1="",$BF231=""),0,_xlfn.LET(_xlpm.d,IFERROR(--'Sales and count'!$F$2:$CB$2,0),SUMPRODUCT(('Sales and count'!$G$3:$CC$3="Transactions")*(_xlpm.d&gt;=$BD$1)*(_xlpm.d&lt;=$BD$2),INDEX('Sales and count'!$G$4:$CC$300,$BF231,0))))</f>
        <v>0</v>
      </c>
      <c r="BF231" t="str" cm="1">
        <f t="array" ref="BF231">IF($AW231="","",IFERROR(MATCH($AW231,TRIM('Sales and count'!$A$4:$A$300&amp;""),0),""))</f>
        <v/>
      </c>
      <c r="BG231" t="str" cm="1">
        <f t="array" ref="BG231">IF($AW231="","",IFERROR(MATCH(IFERROR(_xlfn.XLOOKUP($AW231,$BT$5:$BT$22,$BU$5:$BU$22),$AW231),TRIM('TY Sales Target'!$B$5:$B$300&amp;""),0),""))</f>
        <v/>
      </c>
      <c r="BH231" t="str" cm="1">
        <f t="array" ref="BH231">IF(ISNUMBER($BG231),_xlfn.LET(_xlpm.p,TRIM(INDEX('TY Sales Target'!$I$5:$I$300,$BG231)&amp;""),IF(_xlpm.p="","Not set",_xlpm.p)),"Not set")</f>
        <v>Not set</v>
      </c>
      <c r="BI231" cm="1">
        <f t="array" ref="BI231">IF($BF231="",0,_xlfn.LET(_xlpm.d,IFERROR(--'Sales and count'!$G$2:$CC$2,0),SUMPRODUCT(('Sales and count'!$G$3:$CC$3="Total")*(_xlpm.d&gt;=$BZ$5)*(_xlpm.d&lt;=$BZ$6),INDEX('Sales and count'!$G$4:$CC$300,$BF231,0))))</f>
        <v>0</v>
      </c>
      <c r="BJ231" cm="1">
        <f t="array" ref="BJ231">IF($AW231="",0,SUMPRODUCT((TRIM('LY Sales '!$B$5:$B$200)=$AW231)*('LY Sales '!$C$2:$AG$2&gt;=EDATE($BZ$5,-12))*('LY Sales '!$C$2:$AG$2&lt;=EDATE($BZ$6,-12)),'LY Sales '!$C$5:$AG$200))</f>
        <v>0</v>
      </c>
      <c r="BK231" cm="1">
        <f t="array" ref="BK231">IF($AW231="",0,SUMPRODUCT((TRIM('LY Sales '!$B$5:$B$200)=$AW231)*('LY Sales '!$C$2:$AG$2&gt;=EDATE($BZ$5,-12))*('LY Sales '!$C$2:$AG$2&lt;=EDATE($BZ$7,-12)),'LY Sales '!$C$5:$AG$200))</f>
        <v>0</v>
      </c>
      <c r="BL231" cm="1">
        <f t="array" ref="BL231">IF($AW231="",0,SUMPRODUCT((TRIM('LY Sales '!$B$5:$B$200)=$AW231)*('LY Sales '!$C$2:$AG$2&gt;=EDATE($BZ$5,-12))*('LY Sales '!$C$2:$AG$2&lt;=EDATE($BZ$6,-12))*('LY Sales '!$C$5:$AG$200&gt;0)))</f>
        <v>0</v>
      </c>
      <c r="BM231" cm="1">
        <f t="array" ref="BM231">IF(NOT(ISNUMBER($BG231)),0,SUMPRODUCT(('TY Sales Target'!$K$2:$AO$2&gt;=$BZ$5)*('TY Sales Target'!$K$2:$AO$2&lt;=$BZ$6),INDEX('TY Sales Target'!$K$5:$AO$300,$BG231,0)))</f>
        <v>0</v>
      </c>
      <c r="BN231" cm="1">
        <f t="array" ref="BN231">IF(NOT(ISNUMBER($BG231)),0,SUMPRODUCT(('TY Sales Target'!$K$2:$AO$2&gt;=$BZ$5)*('TY Sales Target'!$K$2:$AO$2&lt;=$BZ$7),INDEX('TY Sales Target'!$K$5:$AO$300,$BG231,0)))</f>
        <v>0</v>
      </c>
      <c r="BO231" cm="1">
        <f t="array" ref="BO231">IF($AW231="",0,IFERROR(_xlfn.SWITCH($BP231,"LY trend",$BI231*$BK231/$BJ231,"Target curve",$BI231*$BN231/$BM231,"Run rate",$BI231/$BZ$8*$BZ$9,0),0))</f>
        <v>0</v>
      </c>
      <c r="BP231" t="str">
        <f t="shared" si="125"/>
        <v/>
      </c>
      <c r="CB231" cm="1">
        <f t="array" ref="CB231">IF($AW231="",0,_xlfn.LET(_xlpm.k,IFERROR(_xlfn.XLOOKUP($AW231,$CD$6:$CD$21,$CE$6:$CE$21),$AW231),SUMPRODUCT((TRIM('Makeup '!$A$2:$A$300&amp;"")=_xlpm.k)*1,IFERROR('Makeup '!$F$2:$F$300*1,0))))</f>
        <v>0</v>
      </c>
      <c r="CF231" t="str" cm="1">
        <f t="array" ref="CF231">IF($AW231="","",_xlfn.LET(_xlpm.c,IFERROR(TRIM(INDEX('Sales and count'!$B$4:$B$300,$BF231)&amp;""),""),IF(OR(_xlpm.c="",_xlpm.c="0",LEFT(_xlpm.c,1)="#"),"Not set",_xlpm.c)))</f>
        <v/>
      </c>
      <c r="CH231" cm="1">
        <f t="array" ref="CH231">IF($AW231="",0,_xlfn.LET(_xlpm.k,IFERROR(_xlfn.XLOOKUP($AW231,$CD$6:$CD$21,$CE$6:$CE$21),$AW231),--(SUMPRODUCT((TRIM('Makeup '!$A$2:$A$300&amp;"")=_xlpm.k)*ISNUMBER('Makeup '!$F$2:$F$300))&gt;0)))</f>
        <v>0</v>
      </c>
      <c r="CI231">
        <f t="shared" si="128"/>
        <v>0</v>
      </c>
      <c r="CJ231" cm="1">
        <f t="array" ref="CJ231">IF($AW231="",0,--(SUMPRODUCT(--(TRIM(Footfall!$B$5:$B$301)=$AW231))&gt;0))</f>
        <v>0</v>
      </c>
      <c r="CK231" s="8" cm="1">
        <f t="array" ref="CK231">IF($AW231="",0,_xlfn.LET(_xlpm.r,IFERROR(MATCH(IFERROR(_xlfn.XLOOKUP($AW231,$BT$5:$BT$22,$BU$5:$BU$22),$AW231),TRIM('TY Beauty Target'!$B$5:$B$300&amp;""),0),""),IF(ISNUMBER(_xlpm.r),SUMPRODUCT(('TY Beauty Target'!$L$2:$AP$2&gt;=$U$4)*('TY Beauty Target'!$L$2:$AP$2&lt;=$U$5),INDEX('TY Beauty Target'!$L$5:$AP$300,_xlpm.r,0)),0)))</f>
        <v>0</v>
      </c>
    </row>
    <row r="232" spans="28:89" x14ac:dyDescent="0.25">
      <c r="AB232" s="40" t="str" cm="1">
        <f t="array" ref="AB232">IF($AI232="","",IF(LEFT($AI232,2)="C|",IF($C232="","",SUMPRODUCT($AP$5:$AP$302*($AO$5:$AO$302=$A232),$CK$5:$CK$302)),IF($AI232="CT",AB$13,IF(LEFT($AI232,3)="AM|",IF($C232="","",SUMPRODUCT($AP$5:$AP$302*($AN$5:$AN$302=$A232),$CK$5:$CK$302)),IF(LEFT($AI232,2)="S|",IF($AG232="","",INDEX($CK$5:$CK$302,$AH232)),IF($AI232="HDR","Makeup Target",""))))))</f>
        <v/>
      </c>
      <c r="AC232" s="41" t="str">
        <f t="shared" si="129"/>
        <v/>
      </c>
      <c r="AN232" s="8" t="str" cm="1">
        <f t="array" ref="AN232">IF($AW232="","",_xlfn.LET(_xlpm.sa,IFERROR(TRIM(INDEX('Sales and count'!$D$4:$D$300,$BF232)&amp;""),""),_xlpm.ta,IFERROR(TRIM(INDEX('TY Sales Target'!$F$5:$F$300,$BG232)&amp;""),""),IF(AND(_xlpm.sa&lt;&gt;"",LEFT(_xlpm.sa,1)&lt;&gt;"#",_xlpm.sa&lt;&gt;"0"),_xlpm.sa,IF(AND(_xlpm.ta&lt;&gt;"",LEFT(_xlpm.ta,1)&lt;&gt;"#",_xlpm.ta&lt;&gt;"0"),_xlpm.ta,IF(ISNUMBER($BG232),"Unassigned","")))))</f>
        <v/>
      </c>
      <c r="AO232" s="8" t="str" cm="1">
        <f t="array" ref="AO232">IF($AW232="","",_xlfn.LET(_xlpm.sa,IFERROR(TRIM(INDEX('Sales and count'!$C$4:$C$300,$BF232)&amp;""),""),_xlpm.ta,IFERROR(TRIM(INDEX('TY Sales Target'!$D$5:$D$300,$BG232)&amp;""),""),IF(AND(_xlpm.sa&lt;&gt;"",LEFT(_xlpm.sa,1)&lt;&gt;"#",_xlpm.sa&lt;&gt;"0"),_xlpm.sa,IF(AND(_xlpm.ta&lt;&gt;"",LEFT(_xlpm.ta,1)&lt;&gt;"#",_xlpm.ta&lt;&gt;"0"),_xlpm.ta,""))))</f>
        <v/>
      </c>
      <c r="AP232" s="8">
        <f t="shared" si="126"/>
        <v>0</v>
      </c>
      <c r="AQ232" s="8">
        <f t="shared" si="127"/>
        <v>0</v>
      </c>
      <c r="AR232" s="8" cm="1">
        <f t="array" ref="AR232">IF($BF232="",0,_xlfn.LET(_xlpm.d,IFERROR(--'Sales and count'!$G$2:$CC$2,0),SUMPRODUCT(('Sales and count'!$G$3:$CC$3="Total")*(_xlpm.d&gt;=$U$4)*(_xlpm.d&lt;=$U$5),INDEX('Sales and count'!$G$4:$CC$300,$BF232,0))))</f>
        <v>0</v>
      </c>
      <c r="AS232" s="8" cm="1">
        <f t="array" ref="AS232">IF($BF232="",0,_xlfn.LET(_xlpm.d,IFERROR(--'Sales and count'!$F$2:$CB$2,0),SUMPRODUCT(('Sales and count'!$G$3:$CC$3="Transactions")*(_xlpm.d&gt;=$U$4)*(_xlpm.d&lt;=$U$5),INDEX('Sales and count'!$G$4:$CC$300,$BF232,0))))</f>
        <v>0</v>
      </c>
      <c r="AT232" s="8" cm="1">
        <f t="array" ref="AT232">IF($AW232="",0,SUMPRODUCT((TRIM('LY Sales '!$B$5:$B$200)=$AW232)*('LY Sales '!$C$2:$AG$2&gt;=EDATE($U$4,-12))*('LY Sales '!$C$2:$AG$2&lt;=EDATE($U$5,-12)),'LY Sales '!$C$5:$AG$200))</f>
        <v>0</v>
      </c>
      <c r="AU232" s="8" cm="1">
        <f t="array" ref="AU232">IF($AW232="",0,SUMPRODUCT((TRIM('LY Transaction'!$B$5:$B$200)=$AW232)*('LY Transaction'!$C$2:$AG$2&gt;=EDATE($U$4,-12))*('LY Transaction'!$C$2:$AG$2&lt;=EDATE($U$5,-12)),'LY Transaction'!$C$5:$AG$200))</f>
        <v>0</v>
      </c>
      <c r="AV232" s="8" cm="1">
        <f t="array" ref="AV232">IF(NOT(ISNUMBER($BG232)),0,SUMPRODUCT(('TY Sales Target'!$K$2:$AO$2&gt;=$U$4)*('TY Sales Target'!$K$2:$AO$2&lt;=$U$5),INDEX('TY Sales Target'!$K$5:$AO$300,$BG232,0)))</f>
        <v>0</v>
      </c>
      <c r="AW232" s="8" t="str" cm="1">
        <f t="array" ref="AW232">IFERROR(INDEX(_xlfn.ANCHORARRAY($BR$5),ROWS($AW$5:AW232)),"")</f>
        <v/>
      </c>
      <c r="BB232" cm="1">
        <f t="array" ref="BB232">IF($AW232="",0,SUMPRODUCT((TRIM(Footfall!$B$5:$B$301)=$AW232)*(Footfall!$C$1:$BZ$1&gt;=$U$4)*(Footfall!$C$2:$BZ$2&lt;=$U$5)*(Footfall!$C$1:$BZ$1&lt;&gt;""),Footfall!$C$5:$BZ$301))</f>
        <v>0</v>
      </c>
      <c r="BC232" cm="1">
        <f t="array" ref="BC232">IF(OR($BB232&lt;=0,$BD$1="",$BF232=""),0,_xlfn.LET(_xlpm.d,IFERROR(--'Sales and count'!$F$2:$CB$2,0),SUMPRODUCT(('Sales and count'!$G$3:$CC$3="Transactions")*(_xlpm.d&gt;=$BD$1)*(_xlpm.d&lt;=$BD$2),INDEX('Sales and count'!$G$4:$CC$300,$BF232,0))))</f>
        <v>0</v>
      </c>
      <c r="BF232" t="str" cm="1">
        <f t="array" ref="BF232">IF($AW232="","",IFERROR(MATCH($AW232,TRIM('Sales and count'!$A$4:$A$300&amp;""),0),""))</f>
        <v/>
      </c>
      <c r="BG232" t="str" cm="1">
        <f t="array" ref="BG232">IF($AW232="","",IFERROR(MATCH(IFERROR(_xlfn.XLOOKUP($AW232,$BT$5:$BT$22,$BU$5:$BU$22),$AW232),TRIM('TY Sales Target'!$B$5:$B$300&amp;""),0),""))</f>
        <v/>
      </c>
      <c r="BH232" t="str" cm="1">
        <f t="array" ref="BH232">IF(ISNUMBER($BG232),_xlfn.LET(_xlpm.p,TRIM(INDEX('TY Sales Target'!$I$5:$I$300,$BG232)&amp;""),IF(_xlpm.p="","Not set",_xlpm.p)),"Not set")</f>
        <v>Not set</v>
      </c>
      <c r="BI232" cm="1">
        <f t="array" ref="BI232">IF($BF232="",0,_xlfn.LET(_xlpm.d,IFERROR(--'Sales and count'!$G$2:$CC$2,0),SUMPRODUCT(('Sales and count'!$G$3:$CC$3="Total")*(_xlpm.d&gt;=$BZ$5)*(_xlpm.d&lt;=$BZ$6),INDEX('Sales and count'!$G$4:$CC$300,$BF232,0))))</f>
        <v>0</v>
      </c>
      <c r="BJ232" cm="1">
        <f t="array" ref="BJ232">IF($AW232="",0,SUMPRODUCT((TRIM('LY Sales '!$B$5:$B$200)=$AW232)*('LY Sales '!$C$2:$AG$2&gt;=EDATE($BZ$5,-12))*('LY Sales '!$C$2:$AG$2&lt;=EDATE($BZ$6,-12)),'LY Sales '!$C$5:$AG$200))</f>
        <v>0</v>
      </c>
      <c r="BK232" cm="1">
        <f t="array" ref="BK232">IF($AW232="",0,SUMPRODUCT((TRIM('LY Sales '!$B$5:$B$200)=$AW232)*('LY Sales '!$C$2:$AG$2&gt;=EDATE($BZ$5,-12))*('LY Sales '!$C$2:$AG$2&lt;=EDATE($BZ$7,-12)),'LY Sales '!$C$5:$AG$200))</f>
        <v>0</v>
      </c>
      <c r="BL232" cm="1">
        <f t="array" ref="BL232">IF($AW232="",0,SUMPRODUCT((TRIM('LY Sales '!$B$5:$B$200)=$AW232)*('LY Sales '!$C$2:$AG$2&gt;=EDATE($BZ$5,-12))*('LY Sales '!$C$2:$AG$2&lt;=EDATE($BZ$6,-12))*('LY Sales '!$C$5:$AG$200&gt;0)))</f>
        <v>0</v>
      </c>
      <c r="BM232" cm="1">
        <f t="array" ref="BM232">IF(NOT(ISNUMBER($BG232)),0,SUMPRODUCT(('TY Sales Target'!$K$2:$AO$2&gt;=$BZ$5)*('TY Sales Target'!$K$2:$AO$2&lt;=$BZ$6),INDEX('TY Sales Target'!$K$5:$AO$300,$BG232,0)))</f>
        <v>0</v>
      </c>
      <c r="BN232" cm="1">
        <f t="array" ref="BN232">IF(NOT(ISNUMBER($BG232)),0,SUMPRODUCT(('TY Sales Target'!$K$2:$AO$2&gt;=$BZ$5)*('TY Sales Target'!$K$2:$AO$2&lt;=$BZ$7),INDEX('TY Sales Target'!$K$5:$AO$300,$BG232,0)))</f>
        <v>0</v>
      </c>
      <c r="BO232" cm="1">
        <f t="array" ref="BO232">IF($AW232="",0,IFERROR(_xlfn.SWITCH($BP232,"LY trend",$BI232*$BK232/$BJ232,"Target curve",$BI232*$BN232/$BM232,"Run rate",$BI232/$BZ$8*$BZ$9,0),0))</f>
        <v>0</v>
      </c>
      <c r="BP232" t="str">
        <f t="shared" si="125"/>
        <v/>
      </c>
      <c r="CB232" cm="1">
        <f t="array" ref="CB232">IF($AW232="",0,_xlfn.LET(_xlpm.k,IFERROR(_xlfn.XLOOKUP($AW232,$CD$6:$CD$21,$CE$6:$CE$21),$AW232),SUMPRODUCT((TRIM('Makeup '!$A$2:$A$300&amp;"")=_xlpm.k)*1,IFERROR('Makeup '!$F$2:$F$300*1,0))))</f>
        <v>0</v>
      </c>
      <c r="CF232" t="str" cm="1">
        <f t="array" ref="CF232">IF($AW232="","",_xlfn.LET(_xlpm.c,IFERROR(TRIM(INDEX('Sales and count'!$B$4:$B$300,$BF232)&amp;""),""),IF(OR(_xlpm.c="",_xlpm.c="0",LEFT(_xlpm.c,1)="#"),"Not set",_xlpm.c)))</f>
        <v/>
      </c>
      <c r="CH232" cm="1">
        <f t="array" ref="CH232">IF($AW232="",0,_xlfn.LET(_xlpm.k,IFERROR(_xlfn.XLOOKUP($AW232,$CD$6:$CD$21,$CE$6:$CE$21),$AW232),--(SUMPRODUCT((TRIM('Makeup '!$A$2:$A$300&amp;"")=_xlpm.k)*ISNUMBER('Makeup '!$F$2:$F$300))&gt;0)))</f>
        <v>0</v>
      </c>
      <c r="CI232">
        <f t="shared" si="128"/>
        <v>0</v>
      </c>
      <c r="CJ232" cm="1">
        <f t="array" ref="CJ232">IF($AW232="",0,--(SUMPRODUCT(--(TRIM(Footfall!$B$5:$B$301)=$AW232))&gt;0))</f>
        <v>0</v>
      </c>
      <c r="CK232" s="8" cm="1">
        <f t="array" ref="CK232">IF($AW232="",0,_xlfn.LET(_xlpm.r,IFERROR(MATCH(IFERROR(_xlfn.XLOOKUP($AW232,$BT$5:$BT$22,$BU$5:$BU$22),$AW232),TRIM('TY Beauty Target'!$B$5:$B$300&amp;""),0),""),IF(ISNUMBER(_xlpm.r),SUMPRODUCT(('TY Beauty Target'!$L$2:$AP$2&gt;=$U$4)*('TY Beauty Target'!$L$2:$AP$2&lt;=$U$5),INDEX('TY Beauty Target'!$L$5:$AP$300,_xlpm.r,0)),0)))</f>
        <v>0</v>
      </c>
    </row>
    <row r="233" spans="28:89" x14ac:dyDescent="0.25">
      <c r="AB233" s="40" t="str" cm="1">
        <f t="array" ref="AB233">IF($AI233="","",IF(LEFT($AI233,2)="C|",IF($C233="","",SUMPRODUCT($AP$5:$AP$302*($AO$5:$AO$302=$A233),$CK$5:$CK$302)),IF($AI233="CT",AB$13,IF(LEFT($AI233,3)="AM|",IF($C233="","",SUMPRODUCT($AP$5:$AP$302*($AN$5:$AN$302=$A233),$CK$5:$CK$302)),IF(LEFT($AI233,2)="S|",IF($AG233="","",INDEX($CK$5:$CK$302,$AH233)),IF($AI233="HDR","Makeup Target",""))))))</f>
        <v/>
      </c>
      <c r="AC233" s="41" t="str">
        <f t="shared" si="129"/>
        <v/>
      </c>
      <c r="AN233" s="8" t="str" cm="1">
        <f t="array" ref="AN233">IF($AW233="","",_xlfn.LET(_xlpm.sa,IFERROR(TRIM(INDEX('Sales and count'!$D$4:$D$300,$BF233)&amp;""),""),_xlpm.ta,IFERROR(TRIM(INDEX('TY Sales Target'!$F$5:$F$300,$BG233)&amp;""),""),IF(AND(_xlpm.sa&lt;&gt;"",LEFT(_xlpm.sa,1)&lt;&gt;"#",_xlpm.sa&lt;&gt;"0"),_xlpm.sa,IF(AND(_xlpm.ta&lt;&gt;"",LEFT(_xlpm.ta,1)&lt;&gt;"#",_xlpm.ta&lt;&gt;"0"),_xlpm.ta,IF(ISNUMBER($BG233),"Unassigned","")))))</f>
        <v/>
      </c>
      <c r="AO233" s="8" t="str" cm="1">
        <f t="array" ref="AO233">IF($AW233="","",_xlfn.LET(_xlpm.sa,IFERROR(TRIM(INDEX('Sales and count'!$C$4:$C$300,$BF233)&amp;""),""),_xlpm.ta,IFERROR(TRIM(INDEX('TY Sales Target'!$D$5:$D$300,$BG233)&amp;""),""),IF(AND(_xlpm.sa&lt;&gt;"",LEFT(_xlpm.sa,1)&lt;&gt;"#",_xlpm.sa&lt;&gt;"0"),_xlpm.sa,IF(AND(_xlpm.ta&lt;&gt;"",LEFT(_xlpm.ta,1)&lt;&gt;"#",_xlpm.ta&lt;&gt;"0"),_xlpm.ta,""))))</f>
        <v/>
      </c>
      <c r="AP233" s="8">
        <f t="shared" si="126"/>
        <v>0</v>
      </c>
      <c r="AQ233" s="8">
        <f t="shared" si="127"/>
        <v>0</v>
      </c>
      <c r="AR233" s="8" cm="1">
        <f t="array" ref="AR233">IF($BF233="",0,_xlfn.LET(_xlpm.d,IFERROR(--'Sales and count'!$G$2:$CC$2,0),SUMPRODUCT(('Sales and count'!$G$3:$CC$3="Total")*(_xlpm.d&gt;=$U$4)*(_xlpm.d&lt;=$U$5),INDEX('Sales and count'!$G$4:$CC$300,$BF233,0))))</f>
        <v>0</v>
      </c>
      <c r="AS233" s="8" cm="1">
        <f t="array" ref="AS233">IF($BF233="",0,_xlfn.LET(_xlpm.d,IFERROR(--'Sales and count'!$F$2:$CB$2,0),SUMPRODUCT(('Sales and count'!$G$3:$CC$3="Transactions")*(_xlpm.d&gt;=$U$4)*(_xlpm.d&lt;=$U$5),INDEX('Sales and count'!$G$4:$CC$300,$BF233,0))))</f>
        <v>0</v>
      </c>
      <c r="AT233" s="8" cm="1">
        <f t="array" ref="AT233">IF($AW233="",0,SUMPRODUCT((TRIM('LY Sales '!$B$5:$B$200)=$AW233)*('LY Sales '!$C$2:$AG$2&gt;=EDATE($U$4,-12))*('LY Sales '!$C$2:$AG$2&lt;=EDATE($U$5,-12)),'LY Sales '!$C$5:$AG$200))</f>
        <v>0</v>
      </c>
      <c r="AU233" s="8" cm="1">
        <f t="array" ref="AU233">IF($AW233="",0,SUMPRODUCT((TRIM('LY Transaction'!$B$5:$B$200)=$AW233)*('LY Transaction'!$C$2:$AG$2&gt;=EDATE($U$4,-12))*('LY Transaction'!$C$2:$AG$2&lt;=EDATE($U$5,-12)),'LY Transaction'!$C$5:$AG$200))</f>
        <v>0</v>
      </c>
      <c r="AV233" s="8" cm="1">
        <f t="array" ref="AV233">IF(NOT(ISNUMBER($BG233)),0,SUMPRODUCT(('TY Sales Target'!$K$2:$AO$2&gt;=$U$4)*('TY Sales Target'!$K$2:$AO$2&lt;=$U$5),INDEX('TY Sales Target'!$K$5:$AO$300,$BG233,0)))</f>
        <v>0</v>
      </c>
      <c r="AW233" s="8" t="str" cm="1">
        <f t="array" ref="AW233">IFERROR(INDEX(_xlfn.ANCHORARRAY($BR$5),ROWS($AW$5:AW233)),"")</f>
        <v/>
      </c>
      <c r="BB233" cm="1">
        <f t="array" ref="BB233">IF($AW233="",0,SUMPRODUCT((TRIM(Footfall!$B$5:$B$301)=$AW233)*(Footfall!$C$1:$BZ$1&gt;=$U$4)*(Footfall!$C$2:$BZ$2&lt;=$U$5)*(Footfall!$C$1:$BZ$1&lt;&gt;""),Footfall!$C$5:$BZ$301))</f>
        <v>0</v>
      </c>
      <c r="BC233" cm="1">
        <f t="array" ref="BC233">IF(OR($BB233&lt;=0,$BD$1="",$BF233=""),0,_xlfn.LET(_xlpm.d,IFERROR(--'Sales and count'!$F$2:$CB$2,0),SUMPRODUCT(('Sales and count'!$G$3:$CC$3="Transactions")*(_xlpm.d&gt;=$BD$1)*(_xlpm.d&lt;=$BD$2),INDEX('Sales and count'!$G$4:$CC$300,$BF233,0))))</f>
        <v>0</v>
      </c>
      <c r="BF233" t="str" cm="1">
        <f t="array" ref="BF233">IF($AW233="","",IFERROR(MATCH($AW233,TRIM('Sales and count'!$A$4:$A$300&amp;""),0),""))</f>
        <v/>
      </c>
      <c r="BG233" t="str" cm="1">
        <f t="array" ref="BG233">IF($AW233="","",IFERROR(MATCH(IFERROR(_xlfn.XLOOKUP($AW233,$BT$5:$BT$22,$BU$5:$BU$22),$AW233),TRIM('TY Sales Target'!$B$5:$B$300&amp;""),0),""))</f>
        <v/>
      </c>
      <c r="BH233" t="str" cm="1">
        <f t="array" ref="BH233">IF(ISNUMBER($BG233),_xlfn.LET(_xlpm.p,TRIM(INDEX('TY Sales Target'!$I$5:$I$300,$BG233)&amp;""),IF(_xlpm.p="","Not set",_xlpm.p)),"Not set")</f>
        <v>Not set</v>
      </c>
      <c r="BI233" cm="1">
        <f t="array" ref="BI233">IF($BF233="",0,_xlfn.LET(_xlpm.d,IFERROR(--'Sales and count'!$G$2:$CC$2,0),SUMPRODUCT(('Sales and count'!$G$3:$CC$3="Total")*(_xlpm.d&gt;=$BZ$5)*(_xlpm.d&lt;=$BZ$6),INDEX('Sales and count'!$G$4:$CC$300,$BF233,0))))</f>
        <v>0</v>
      </c>
      <c r="BJ233" cm="1">
        <f t="array" ref="BJ233">IF($AW233="",0,SUMPRODUCT((TRIM('LY Sales '!$B$5:$B$200)=$AW233)*('LY Sales '!$C$2:$AG$2&gt;=EDATE($BZ$5,-12))*('LY Sales '!$C$2:$AG$2&lt;=EDATE($BZ$6,-12)),'LY Sales '!$C$5:$AG$200))</f>
        <v>0</v>
      </c>
      <c r="BK233" cm="1">
        <f t="array" ref="BK233">IF($AW233="",0,SUMPRODUCT((TRIM('LY Sales '!$B$5:$B$200)=$AW233)*('LY Sales '!$C$2:$AG$2&gt;=EDATE($BZ$5,-12))*('LY Sales '!$C$2:$AG$2&lt;=EDATE($BZ$7,-12)),'LY Sales '!$C$5:$AG$200))</f>
        <v>0</v>
      </c>
      <c r="BL233" cm="1">
        <f t="array" ref="BL233">IF($AW233="",0,SUMPRODUCT((TRIM('LY Sales '!$B$5:$B$200)=$AW233)*('LY Sales '!$C$2:$AG$2&gt;=EDATE($BZ$5,-12))*('LY Sales '!$C$2:$AG$2&lt;=EDATE($BZ$6,-12))*('LY Sales '!$C$5:$AG$200&gt;0)))</f>
        <v>0</v>
      </c>
      <c r="BM233" cm="1">
        <f t="array" ref="BM233">IF(NOT(ISNUMBER($BG233)),0,SUMPRODUCT(('TY Sales Target'!$K$2:$AO$2&gt;=$BZ$5)*('TY Sales Target'!$K$2:$AO$2&lt;=$BZ$6),INDEX('TY Sales Target'!$K$5:$AO$300,$BG233,0)))</f>
        <v>0</v>
      </c>
      <c r="BN233" cm="1">
        <f t="array" ref="BN233">IF(NOT(ISNUMBER($BG233)),0,SUMPRODUCT(('TY Sales Target'!$K$2:$AO$2&gt;=$BZ$5)*('TY Sales Target'!$K$2:$AO$2&lt;=$BZ$7),INDEX('TY Sales Target'!$K$5:$AO$300,$BG233,0)))</f>
        <v>0</v>
      </c>
      <c r="BO233" cm="1">
        <f t="array" ref="BO233">IF($AW233="",0,IFERROR(_xlfn.SWITCH($BP233,"LY trend",$BI233*$BK233/$BJ233,"Target curve",$BI233*$BN233/$BM233,"Run rate",$BI233/$BZ$8*$BZ$9,0),0))</f>
        <v>0</v>
      </c>
      <c r="BP233" t="str">
        <f t="shared" si="125"/>
        <v/>
      </c>
      <c r="CB233" cm="1">
        <f t="array" ref="CB233">IF($AW233="",0,_xlfn.LET(_xlpm.k,IFERROR(_xlfn.XLOOKUP($AW233,$CD$6:$CD$21,$CE$6:$CE$21),$AW233),SUMPRODUCT((TRIM('Makeup '!$A$2:$A$300&amp;"")=_xlpm.k)*1,IFERROR('Makeup '!$F$2:$F$300*1,0))))</f>
        <v>0</v>
      </c>
      <c r="CF233" t="str" cm="1">
        <f t="array" ref="CF233">IF($AW233="","",_xlfn.LET(_xlpm.c,IFERROR(TRIM(INDEX('Sales and count'!$B$4:$B$300,$BF233)&amp;""),""),IF(OR(_xlpm.c="",_xlpm.c="0",LEFT(_xlpm.c,1)="#"),"Not set",_xlpm.c)))</f>
        <v/>
      </c>
      <c r="CH233" cm="1">
        <f t="array" ref="CH233">IF($AW233="",0,_xlfn.LET(_xlpm.k,IFERROR(_xlfn.XLOOKUP($AW233,$CD$6:$CD$21,$CE$6:$CE$21),$AW233),--(SUMPRODUCT((TRIM('Makeup '!$A$2:$A$300&amp;"")=_xlpm.k)*ISNUMBER('Makeup '!$F$2:$F$300))&gt;0)))</f>
        <v>0</v>
      </c>
      <c r="CI233">
        <f t="shared" si="128"/>
        <v>0</v>
      </c>
      <c r="CJ233" cm="1">
        <f t="array" ref="CJ233">IF($AW233="",0,--(SUMPRODUCT(--(TRIM(Footfall!$B$5:$B$301)=$AW233))&gt;0))</f>
        <v>0</v>
      </c>
      <c r="CK233" s="8" cm="1">
        <f t="array" ref="CK233">IF($AW233="",0,_xlfn.LET(_xlpm.r,IFERROR(MATCH(IFERROR(_xlfn.XLOOKUP($AW233,$BT$5:$BT$22,$BU$5:$BU$22),$AW233),TRIM('TY Beauty Target'!$B$5:$B$300&amp;""),0),""),IF(ISNUMBER(_xlpm.r),SUMPRODUCT(('TY Beauty Target'!$L$2:$AP$2&gt;=$U$4)*('TY Beauty Target'!$L$2:$AP$2&lt;=$U$5),INDEX('TY Beauty Target'!$L$5:$AP$300,_xlpm.r,0)),0)))</f>
        <v>0</v>
      </c>
    </row>
    <row r="234" spans="28:89" x14ac:dyDescent="0.25">
      <c r="AB234" s="40" t="str" cm="1">
        <f t="array" ref="AB234">IF($AI234="","",IF(LEFT($AI234,2)="C|",IF($C234="","",SUMPRODUCT($AP$5:$AP$302*($AO$5:$AO$302=$A234),$CK$5:$CK$302)),IF($AI234="CT",AB$13,IF(LEFT($AI234,3)="AM|",IF($C234="","",SUMPRODUCT($AP$5:$AP$302*($AN$5:$AN$302=$A234),$CK$5:$CK$302)),IF(LEFT($AI234,2)="S|",IF($AG234="","",INDEX($CK$5:$CK$302,$AH234)),IF($AI234="HDR","Makeup Target",""))))))</f>
        <v/>
      </c>
      <c r="AC234" s="41" t="str">
        <f t="shared" si="129"/>
        <v/>
      </c>
      <c r="AN234" s="8" t="str" cm="1">
        <f t="array" ref="AN234">IF($AW234="","",_xlfn.LET(_xlpm.sa,IFERROR(TRIM(INDEX('Sales and count'!$D$4:$D$300,$BF234)&amp;""),""),_xlpm.ta,IFERROR(TRIM(INDEX('TY Sales Target'!$F$5:$F$300,$BG234)&amp;""),""),IF(AND(_xlpm.sa&lt;&gt;"",LEFT(_xlpm.sa,1)&lt;&gt;"#",_xlpm.sa&lt;&gt;"0"),_xlpm.sa,IF(AND(_xlpm.ta&lt;&gt;"",LEFT(_xlpm.ta,1)&lt;&gt;"#",_xlpm.ta&lt;&gt;"0"),_xlpm.ta,IF(ISNUMBER($BG234),"Unassigned","")))))</f>
        <v/>
      </c>
      <c r="AO234" s="8" t="str" cm="1">
        <f t="array" ref="AO234">IF($AW234="","",_xlfn.LET(_xlpm.sa,IFERROR(TRIM(INDEX('Sales and count'!$C$4:$C$300,$BF234)&amp;""),""),_xlpm.ta,IFERROR(TRIM(INDEX('TY Sales Target'!$D$5:$D$300,$BG234)&amp;""),""),IF(AND(_xlpm.sa&lt;&gt;"",LEFT(_xlpm.sa,1)&lt;&gt;"#",_xlpm.sa&lt;&gt;"0"),_xlpm.sa,IF(AND(_xlpm.ta&lt;&gt;"",LEFT(_xlpm.ta,1)&lt;&gt;"#",_xlpm.ta&lt;&gt;"0"),_xlpm.ta,""))))</f>
        <v/>
      </c>
      <c r="AP234" s="8">
        <f t="shared" si="126"/>
        <v>0</v>
      </c>
      <c r="AQ234" s="8">
        <f t="shared" si="127"/>
        <v>0</v>
      </c>
      <c r="AR234" s="8" cm="1">
        <f t="array" ref="AR234">IF($BF234="",0,_xlfn.LET(_xlpm.d,IFERROR(--'Sales and count'!$G$2:$CC$2,0),SUMPRODUCT(('Sales and count'!$G$3:$CC$3="Total")*(_xlpm.d&gt;=$U$4)*(_xlpm.d&lt;=$U$5),INDEX('Sales and count'!$G$4:$CC$300,$BF234,0))))</f>
        <v>0</v>
      </c>
      <c r="AS234" s="8" cm="1">
        <f t="array" ref="AS234">IF($BF234="",0,_xlfn.LET(_xlpm.d,IFERROR(--'Sales and count'!$F$2:$CB$2,0),SUMPRODUCT(('Sales and count'!$G$3:$CC$3="Transactions")*(_xlpm.d&gt;=$U$4)*(_xlpm.d&lt;=$U$5),INDEX('Sales and count'!$G$4:$CC$300,$BF234,0))))</f>
        <v>0</v>
      </c>
      <c r="AT234" s="8" cm="1">
        <f t="array" ref="AT234">IF($AW234="",0,SUMPRODUCT((TRIM('LY Sales '!$B$5:$B$200)=$AW234)*('LY Sales '!$C$2:$AG$2&gt;=EDATE($U$4,-12))*('LY Sales '!$C$2:$AG$2&lt;=EDATE($U$5,-12)),'LY Sales '!$C$5:$AG$200))</f>
        <v>0</v>
      </c>
      <c r="AU234" s="8" cm="1">
        <f t="array" ref="AU234">IF($AW234="",0,SUMPRODUCT((TRIM('LY Transaction'!$B$5:$B$200)=$AW234)*('LY Transaction'!$C$2:$AG$2&gt;=EDATE($U$4,-12))*('LY Transaction'!$C$2:$AG$2&lt;=EDATE($U$5,-12)),'LY Transaction'!$C$5:$AG$200))</f>
        <v>0</v>
      </c>
      <c r="AV234" s="8" cm="1">
        <f t="array" ref="AV234">IF(NOT(ISNUMBER($BG234)),0,SUMPRODUCT(('TY Sales Target'!$K$2:$AO$2&gt;=$U$4)*('TY Sales Target'!$K$2:$AO$2&lt;=$U$5),INDEX('TY Sales Target'!$K$5:$AO$300,$BG234,0)))</f>
        <v>0</v>
      </c>
      <c r="AW234" s="8" t="str" cm="1">
        <f t="array" ref="AW234">IFERROR(INDEX(_xlfn.ANCHORARRAY($BR$5),ROWS($AW$5:AW234)),"")</f>
        <v/>
      </c>
      <c r="BB234" cm="1">
        <f t="array" ref="BB234">IF($AW234="",0,SUMPRODUCT((TRIM(Footfall!$B$5:$B$301)=$AW234)*(Footfall!$C$1:$BZ$1&gt;=$U$4)*(Footfall!$C$2:$BZ$2&lt;=$U$5)*(Footfall!$C$1:$BZ$1&lt;&gt;""),Footfall!$C$5:$BZ$301))</f>
        <v>0</v>
      </c>
      <c r="BC234" cm="1">
        <f t="array" ref="BC234">IF(OR($BB234&lt;=0,$BD$1="",$BF234=""),0,_xlfn.LET(_xlpm.d,IFERROR(--'Sales and count'!$F$2:$CB$2,0),SUMPRODUCT(('Sales and count'!$G$3:$CC$3="Transactions")*(_xlpm.d&gt;=$BD$1)*(_xlpm.d&lt;=$BD$2),INDEX('Sales and count'!$G$4:$CC$300,$BF234,0))))</f>
        <v>0</v>
      </c>
      <c r="BF234" t="str" cm="1">
        <f t="array" ref="BF234">IF($AW234="","",IFERROR(MATCH($AW234,TRIM('Sales and count'!$A$4:$A$300&amp;""),0),""))</f>
        <v/>
      </c>
      <c r="BG234" t="str" cm="1">
        <f t="array" ref="BG234">IF($AW234="","",IFERROR(MATCH(IFERROR(_xlfn.XLOOKUP($AW234,$BT$5:$BT$22,$BU$5:$BU$22),$AW234),TRIM('TY Sales Target'!$B$5:$B$300&amp;""),0),""))</f>
        <v/>
      </c>
      <c r="BH234" t="str" cm="1">
        <f t="array" ref="BH234">IF(ISNUMBER($BG234),_xlfn.LET(_xlpm.p,TRIM(INDEX('TY Sales Target'!$I$5:$I$300,$BG234)&amp;""),IF(_xlpm.p="","Not set",_xlpm.p)),"Not set")</f>
        <v>Not set</v>
      </c>
      <c r="BI234" cm="1">
        <f t="array" ref="BI234">IF($BF234="",0,_xlfn.LET(_xlpm.d,IFERROR(--'Sales and count'!$G$2:$CC$2,0),SUMPRODUCT(('Sales and count'!$G$3:$CC$3="Total")*(_xlpm.d&gt;=$BZ$5)*(_xlpm.d&lt;=$BZ$6),INDEX('Sales and count'!$G$4:$CC$300,$BF234,0))))</f>
        <v>0</v>
      </c>
      <c r="BJ234" cm="1">
        <f t="array" ref="BJ234">IF($AW234="",0,SUMPRODUCT((TRIM('LY Sales '!$B$5:$B$200)=$AW234)*('LY Sales '!$C$2:$AG$2&gt;=EDATE($BZ$5,-12))*('LY Sales '!$C$2:$AG$2&lt;=EDATE($BZ$6,-12)),'LY Sales '!$C$5:$AG$200))</f>
        <v>0</v>
      </c>
      <c r="BK234" cm="1">
        <f t="array" ref="BK234">IF($AW234="",0,SUMPRODUCT((TRIM('LY Sales '!$B$5:$B$200)=$AW234)*('LY Sales '!$C$2:$AG$2&gt;=EDATE($BZ$5,-12))*('LY Sales '!$C$2:$AG$2&lt;=EDATE($BZ$7,-12)),'LY Sales '!$C$5:$AG$200))</f>
        <v>0</v>
      </c>
      <c r="BL234" cm="1">
        <f t="array" ref="BL234">IF($AW234="",0,SUMPRODUCT((TRIM('LY Sales '!$B$5:$B$200)=$AW234)*('LY Sales '!$C$2:$AG$2&gt;=EDATE($BZ$5,-12))*('LY Sales '!$C$2:$AG$2&lt;=EDATE($BZ$6,-12))*('LY Sales '!$C$5:$AG$200&gt;0)))</f>
        <v>0</v>
      </c>
      <c r="BM234" cm="1">
        <f t="array" ref="BM234">IF(NOT(ISNUMBER($BG234)),0,SUMPRODUCT(('TY Sales Target'!$K$2:$AO$2&gt;=$BZ$5)*('TY Sales Target'!$K$2:$AO$2&lt;=$BZ$6),INDEX('TY Sales Target'!$K$5:$AO$300,$BG234,0)))</f>
        <v>0</v>
      </c>
      <c r="BN234" cm="1">
        <f t="array" ref="BN234">IF(NOT(ISNUMBER($BG234)),0,SUMPRODUCT(('TY Sales Target'!$K$2:$AO$2&gt;=$BZ$5)*('TY Sales Target'!$K$2:$AO$2&lt;=$BZ$7),INDEX('TY Sales Target'!$K$5:$AO$300,$BG234,0)))</f>
        <v>0</v>
      </c>
      <c r="BO234" cm="1">
        <f t="array" ref="BO234">IF($AW234="",0,IFERROR(_xlfn.SWITCH($BP234,"LY trend",$BI234*$BK234/$BJ234,"Target curve",$BI234*$BN234/$BM234,"Run rate",$BI234/$BZ$8*$BZ$9,0),0))</f>
        <v>0</v>
      </c>
      <c r="BP234" t="str">
        <f t="shared" si="125"/>
        <v/>
      </c>
      <c r="CB234" cm="1">
        <f t="array" ref="CB234">IF($AW234="",0,_xlfn.LET(_xlpm.k,IFERROR(_xlfn.XLOOKUP($AW234,$CD$6:$CD$21,$CE$6:$CE$21),$AW234),SUMPRODUCT((TRIM('Makeup '!$A$2:$A$300&amp;"")=_xlpm.k)*1,IFERROR('Makeup '!$F$2:$F$300*1,0))))</f>
        <v>0</v>
      </c>
      <c r="CF234" t="str" cm="1">
        <f t="array" ref="CF234">IF($AW234="","",_xlfn.LET(_xlpm.c,IFERROR(TRIM(INDEX('Sales and count'!$B$4:$B$300,$BF234)&amp;""),""),IF(OR(_xlpm.c="",_xlpm.c="0",LEFT(_xlpm.c,1)="#"),"Not set",_xlpm.c)))</f>
        <v/>
      </c>
      <c r="CH234" cm="1">
        <f t="array" ref="CH234">IF($AW234="",0,_xlfn.LET(_xlpm.k,IFERROR(_xlfn.XLOOKUP($AW234,$CD$6:$CD$21,$CE$6:$CE$21),$AW234),--(SUMPRODUCT((TRIM('Makeup '!$A$2:$A$300&amp;"")=_xlpm.k)*ISNUMBER('Makeup '!$F$2:$F$300))&gt;0)))</f>
        <v>0</v>
      </c>
      <c r="CI234">
        <f t="shared" si="128"/>
        <v>0</v>
      </c>
      <c r="CJ234" cm="1">
        <f t="array" ref="CJ234">IF($AW234="",0,--(SUMPRODUCT(--(TRIM(Footfall!$B$5:$B$301)=$AW234))&gt;0))</f>
        <v>0</v>
      </c>
      <c r="CK234" s="8" cm="1">
        <f t="array" ref="CK234">IF($AW234="",0,_xlfn.LET(_xlpm.r,IFERROR(MATCH(IFERROR(_xlfn.XLOOKUP($AW234,$BT$5:$BT$22,$BU$5:$BU$22),$AW234),TRIM('TY Beauty Target'!$B$5:$B$300&amp;""),0),""),IF(ISNUMBER(_xlpm.r),SUMPRODUCT(('TY Beauty Target'!$L$2:$AP$2&gt;=$U$4)*('TY Beauty Target'!$L$2:$AP$2&lt;=$U$5),INDEX('TY Beauty Target'!$L$5:$AP$300,_xlpm.r,0)),0)))</f>
        <v>0</v>
      </c>
    </row>
    <row r="235" spans="28:89" x14ac:dyDescent="0.25">
      <c r="AB235" s="40" t="str" cm="1">
        <f t="array" ref="AB235">IF($AI235="","",IF(LEFT($AI235,2)="C|",IF($C235="","",SUMPRODUCT($AP$5:$AP$302*($AO$5:$AO$302=$A235),$CK$5:$CK$302)),IF($AI235="CT",AB$13,IF(LEFT($AI235,3)="AM|",IF($C235="","",SUMPRODUCT($AP$5:$AP$302*($AN$5:$AN$302=$A235),$CK$5:$CK$302)),IF(LEFT($AI235,2)="S|",IF($AG235="","",INDEX($CK$5:$CK$302,$AH235)),IF($AI235="HDR","Makeup Target",""))))))</f>
        <v/>
      </c>
      <c r="AC235" s="41" t="str">
        <f t="shared" si="129"/>
        <v/>
      </c>
      <c r="AN235" s="8" t="str" cm="1">
        <f t="array" ref="AN235">IF($AW235="","",_xlfn.LET(_xlpm.sa,IFERROR(TRIM(INDEX('Sales and count'!$D$4:$D$300,$BF235)&amp;""),""),_xlpm.ta,IFERROR(TRIM(INDEX('TY Sales Target'!$F$5:$F$300,$BG235)&amp;""),""),IF(AND(_xlpm.sa&lt;&gt;"",LEFT(_xlpm.sa,1)&lt;&gt;"#",_xlpm.sa&lt;&gt;"0"),_xlpm.sa,IF(AND(_xlpm.ta&lt;&gt;"",LEFT(_xlpm.ta,1)&lt;&gt;"#",_xlpm.ta&lt;&gt;"0"),_xlpm.ta,IF(ISNUMBER($BG235),"Unassigned","")))))</f>
        <v/>
      </c>
      <c r="AO235" s="8" t="str" cm="1">
        <f t="array" ref="AO235">IF($AW235="","",_xlfn.LET(_xlpm.sa,IFERROR(TRIM(INDEX('Sales and count'!$C$4:$C$300,$BF235)&amp;""),""),_xlpm.ta,IFERROR(TRIM(INDEX('TY Sales Target'!$D$5:$D$300,$BG235)&amp;""),""),IF(AND(_xlpm.sa&lt;&gt;"",LEFT(_xlpm.sa,1)&lt;&gt;"#",_xlpm.sa&lt;&gt;"0"),_xlpm.sa,IF(AND(_xlpm.ta&lt;&gt;"",LEFT(_xlpm.ta,1)&lt;&gt;"#",_xlpm.ta&lt;&gt;"0"),_xlpm.ta,""))))</f>
        <v/>
      </c>
      <c r="AP235" s="8">
        <f t="shared" si="126"/>
        <v>0</v>
      </c>
      <c r="AQ235" s="8">
        <f t="shared" si="127"/>
        <v>0</v>
      </c>
      <c r="AR235" s="8" cm="1">
        <f t="array" ref="AR235">IF($BF235="",0,_xlfn.LET(_xlpm.d,IFERROR(--'Sales and count'!$G$2:$CC$2,0),SUMPRODUCT(('Sales and count'!$G$3:$CC$3="Total")*(_xlpm.d&gt;=$U$4)*(_xlpm.d&lt;=$U$5),INDEX('Sales and count'!$G$4:$CC$300,$BF235,0))))</f>
        <v>0</v>
      </c>
      <c r="AS235" s="8" cm="1">
        <f t="array" ref="AS235">IF($BF235="",0,_xlfn.LET(_xlpm.d,IFERROR(--'Sales and count'!$F$2:$CB$2,0),SUMPRODUCT(('Sales and count'!$G$3:$CC$3="Transactions")*(_xlpm.d&gt;=$U$4)*(_xlpm.d&lt;=$U$5),INDEX('Sales and count'!$G$4:$CC$300,$BF235,0))))</f>
        <v>0</v>
      </c>
      <c r="AT235" s="8" cm="1">
        <f t="array" ref="AT235">IF($AW235="",0,SUMPRODUCT((TRIM('LY Sales '!$B$5:$B$200)=$AW235)*('LY Sales '!$C$2:$AG$2&gt;=EDATE($U$4,-12))*('LY Sales '!$C$2:$AG$2&lt;=EDATE($U$5,-12)),'LY Sales '!$C$5:$AG$200))</f>
        <v>0</v>
      </c>
      <c r="AU235" s="8" cm="1">
        <f t="array" ref="AU235">IF($AW235="",0,SUMPRODUCT((TRIM('LY Transaction'!$B$5:$B$200)=$AW235)*('LY Transaction'!$C$2:$AG$2&gt;=EDATE($U$4,-12))*('LY Transaction'!$C$2:$AG$2&lt;=EDATE($U$5,-12)),'LY Transaction'!$C$5:$AG$200))</f>
        <v>0</v>
      </c>
      <c r="AV235" s="8" cm="1">
        <f t="array" ref="AV235">IF(NOT(ISNUMBER($BG235)),0,SUMPRODUCT(('TY Sales Target'!$K$2:$AO$2&gt;=$U$4)*('TY Sales Target'!$K$2:$AO$2&lt;=$U$5),INDEX('TY Sales Target'!$K$5:$AO$300,$BG235,0)))</f>
        <v>0</v>
      </c>
      <c r="AW235" s="8" t="str" cm="1">
        <f t="array" ref="AW235">IFERROR(INDEX(_xlfn.ANCHORARRAY($BR$5),ROWS($AW$5:AW235)),"")</f>
        <v/>
      </c>
      <c r="BB235" cm="1">
        <f t="array" ref="BB235">IF($AW235="",0,SUMPRODUCT((TRIM(Footfall!$B$5:$B$301)=$AW235)*(Footfall!$C$1:$BZ$1&gt;=$U$4)*(Footfall!$C$2:$BZ$2&lt;=$U$5)*(Footfall!$C$1:$BZ$1&lt;&gt;""),Footfall!$C$5:$BZ$301))</f>
        <v>0</v>
      </c>
      <c r="BC235" cm="1">
        <f t="array" ref="BC235">IF(OR($BB235&lt;=0,$BD$1="",$BF235=""),0,_xlfn.LET(_xlpm.d,IFERROR(--'Sales and count'!$F$2:$CB$2,0),SUMPRODUCT(('Sales and count'!$G$3:$CC$3="Transactions")*(_xlpm.d&gt;=$BD$1)*(_xlpm.d&lt;=$BD$2),INDEX('Sales and count'!$G$4:$CC$300,$BF235,0))))</f>
        <v>0</v>
      </c>
      <c r="BF235" t="str" cm="1">
        <f t="array" ref="BF235">IF($AW235="","",IFERROR(MATCH($AW235,TRIM('Sales and count'!$A$4:$A$300&amp;""),0),""))</f>
        <v/>
      </c>
      <c r="BG235" t="str" cm="1">
        <f t="array" ref="BG235">IF($AW235="","",IFERROR(MATCH(IFERROR(_xlfn.XLOOKUP($AW235,$BT$5:$BT$22,$BU$5:$BU$22),$AW235),TRIM('TY Sales Target'!$B$5:$B$300&amp;""),0),""))</f>
        <v/>
      </c>
      <c r="BH235" t="str" cm="1">
        <f t="array" ref="BH235">IF(ISNUMBER($BG235),_xlfn.LET(_xlpm.p,TRIM(INDEX('TY Sales Target'!$I$5:$I$300,$BG235)&amp;""),IF(_xlpm.p="","Not set",_xlpm.p)),"Not set")</f>
        <v>Not set</v>
      </c>
      <c r="BI235" cm="1">
        <f t="array" ref="BI235">IF($BF235="",0,_xlfn.LET(_xlpm.d,IFERROR(--'Sales and count'!$G$2:$CC$2,0),SUMPRODUCT(('Sales and count'!$G$3:$CC$3="Total")*(_xlpm.d&gt;=$BZ$5)*(_xlpm.d&lt;=$BZ$6),INDEX('Sales and count'!$G$4:$CC$300,$BF235,0))))</f>
        <v>0</v>
      </c>
      <c r="BJ235" cm="1">
        <f t="array" ref="BJ235">IF($AW235="",0,SUMPRODUCT((TRIM('LY Sales '!$B$5:$B$200)=$AW235)*('LY Sales '!$C$2:$AG$2&gt;=EDATE($BZ$5,-12))*('LY Sales '!$C$2:$AG$2&lt;=EDATE($BZ$6,-12)),'LY Sales '!$C$5:$AG$200))</f>
        <v>0</v>
      </c>
      <c r="BK235" cm="1">
        <f t="array" ref="BK235">IF($AW235="",0,SUMPRODUCT((TRIM('LY Sales '!$B$5:$B$200)=$AW235)*('LY Sales '!$C$2:$AG$2&gt;=EDATE($BZ$5,-12))*('LY Sales '!$C$2:$AG$2&lt;=EDATE($BZ$7,-12)),'LY Sales '!$C$5:$AG$200))</f>
        <v>0</v>
      </c>
      <c r="BL235" cm="1">
        <f t="array" ref="BL235">IF($AW235="",0,SUMPRODUCT((TRIM('LY Sales '!$B$5:$B$200)=$AW235)*('LY Sales '!$C$2:$AG$2&gt;=EDATE($BZ$5,-12))*('LY Sales '!$C$2:$AG$2&lt;=EDATE($BZ$6,-12))*('LY Sales '!$C$5:$AG$200&gt;0)))</f>
        <v>0</v>
      </c>
      <c r="BM235" cm="1">
        <f t="array" ref="BM235">IF(NOT(ISNUMBER($BG235)),0,SUMPRODUCT(('TY Sales Target'!$K$2:$AO$2&gt;=$BZ$5)*('TY Sales Target'!$K$2:$AO$2&lt;=$BZ$6),INDEX('TY Sales Target'!$K$5:$AO$300,$BG235,0)))</f>
        <v>0</v>
      </c>
      <c r="BN235" cm="1">
        <f t="array" ref="BN235">IF(NOT(ISNUMBER($BG235)),0,SUMPRODUCT(('TY Sales Target'!$K$2:$AO$2&gt;=$BZ$5)*('TY Sales Target'!$K$2:$AO$2&lt;=$BZ$7),INDEX('TY Sales Target'!$K$5:$AO$300,$BG235,0)))</f>
        <v>0</v>
      </c>
      <c r="BO235" cm="1">
        <f t="array" ref="BO235">IF($AW235="",0,IFERROR(_xlfn.SWITCH($BP235,"LY trend",$BI235*$BK235/$BJ235,"Target curve",$BI235*$BN235/$BM235,"Run rate",$BI235/$BZ$8*$BZ$9,0),0))</f>
        <v>0</v>
      </c>
      <c r="BP235" t="str">
        <f t="shared" si="125"/>
        <v/>
      </c>
      <c r="CB235" cm="1">
        <f t="array" ref="CB235">IF($AW235="",0,_xlfn.LET(_xlpm.k,IFERROR(_xlfn.XLOOKUP($AW235,$CD$6:$CD$21,$CE$6:$CE$21),$AW235),SUMPRODUCT((TRIM('Makeup '!$A$2:$A$300&amp;"")=_xlpm.k)*1,IFERROR('Makeup '!$F$2:$F$300*1,0))))</f>
        <v>0</v>
      </c>
      <c r="CF235" t="str" cm="1">
        <f t="array" ref="CF235">IF($AW235="","",_xlfn.LET(_xlpm.c,IFERROR(TRIM(INDEX('Sales and count'!$B$4:$B$300,$BF235)&amp;""),""),IF(OR(_xlpm.c="",_xlpm.c="0",LEFT(_xlpm.c,1)="#"),"Not set",_xlpm.c)))</f>
        <v/>
      </c>
      <c r="CH235" cm="1">
        <f t="array" ref="CH235">IF($AW235="",0,_xlfn.LET(_xlpm.k,IFERROR(_xlfn.XLOOKUP($AW235,$CD$6:$CD$21,$CE$6:$CE$21),$AW235),--(SUMPRODUCT((TRIM('Makeup '!$A$2:$A$300&amp;"")=_xlpm.k)*ISNUMBER('Makeup '!$F$2:$F$300))&gt;0)))</f>
        <v>0</v>
      </c>
      <c r="CI235">
        <f t="shared" si="128"/>
        <v>0</v>
      </c>
      <c r="CJ235" cm="1">
        <f t="array" ref="CJ235">IF($AW235="",0,--(SUMPRODUCT(--(TRIM(Footfall!$B$5:$B$301)=$AW235))&gt;0))</f>
        <v>0</v>
      </c>
      <c r="CK235" s="8" cm="1">
        <f t="array" ref="CK235">IF($AW235="",0,_xlfn.LET(_xlpm.r,IFERROR(MATCH(IFERROR(_xlfn.XLOOKUP($AW235,$BT$5:$BT$22,$BU$5:$BU$22),$AW235),TRIM('TY Beauty Target'!$B$5:$B$300&amp;""),0),""),IF(ISNUMBER(_xlpm.r),SUMPRODUCT(('TY Beauty Target'!$L$2:$AP$2&gt;=$U$4)*('TY Beauty Target'!$L$2:$AP$2&lt;=$U$5),INDEX('TY Beauty Target'!$L$5:$AP$300,_xlpm.r,0)),0)))</f>
        <v>0</v>
      </c>
    </row>
    <row r="236" spans="28:89" x14ac:dyDescent="0.25">
      <c r="AB236" s="40" t="str" cm="1">
        <f t="array" ref="AB236">IF($AI236="","",IF(LEFT($AI236,2)="C|",IF($C236="","",SUMPRODUCT($AP$5:$AP$302*($AO$5:$AO$302=$A236),$CK$5:$CK$302)),IF($AI236="CT",AB$13,IF(LEFT($AI236,3)="AM|",IF($C236="","",SUMPRODUCT($AP$5:$AP$302*($AN$5:$AN$302=$A236),$CK$5:$CK$302)),IF(LEFT($AI236,2)="S|",IF($AG236="","",INDEX($CK$5:$CK$302,$AH236)),IF($AI236="HDR","Makeup Target",""))))))</f>
        <v/>
      </c>
      <c r="AC236" s="41" t="str">
        <f t="shared" si="129"/>
        <v/>
      </c>
      <c r="AN236" s="8" t="str" cm="1">
        <f t="array" ref="AN236">IF($AW236="","",_xlfn.LET(_xlpm.sa,IFERROR(TRIM(INDEX('Sales and count'!$D$4:$D$300,$BF236)&amp;""),""),_xlpm.ta,IFERROR(TRIM(INDEX('TY Sales Target'!$F$5:$F$300,$BG236)&amp;""),""),IF(AND(_xlpm.sa&lt;&gt;"",LEFT(_xlpm.sa,1)&lt;&gt;"#",_xlpm.sa&lt;&gt;"0"),_xlpm.sa,IF(AND(_xlpm.ta&lt;&gt;"",LEFT(_xlpm.ta,1)&lt;&gt;"#",_xlpm.ta&lt;&gt;"0"),_xlpm.ta,IF(ISNUMBER($BG236),"Unassigned","")))))</f>
        <v/>
      </c>
      <c r="AO236" s="8" t="str" cm="1">
        <f t="array" ref="AO236">IF($AW236="","",_xlfn.LET(_xlpm.sa,IFERROR(TRIM(INDEX('Sales and count'!$C$4:$C$300,$BF236)&amp;""),""),_xlpm.ta,IFERROR(TRIM(INDEX('TY Sales Target'!$D$5:$D$300,$BG236)&amp;""),""),IF(AND(_xlpm.sa&lt;&gt;"",LEFT(_xlpm.sa,1)&lt;&gt;"#",_xlpm.sa&lt;&gt;"0"),_xlpm.sa,IF(AND(_xlpm.ta&lt;&gt;"",LEFT(_xlpm.ta,1)&lt;&gt;"#",_xlpm.ta&lt;&gt;"0"),_xlpm.ta,""))))</f>
        <v/>
      </c>
      <c r="AP236" s="8">
        <f t="shared" si="126"/>
        <v>0</v>
      </c>
      <c r="AQ236" s="8">
        <f t="shared" si="127"/>
        <v>0</v>
      </c>
      <c r="AR236" s="8" cm="1">
        <f t="array" ref="AR236">IF($BF236="",0,_xlfn.LET(_xlpm.d,IFERROR(--'Sales and count'!$G$2:$CC$2,0),SUMPRODUCT(('Sales and count'!$G$3:$CC$3="Total")*(_xlpm.d&gt;=$U$4)*(_xlpm.d&lt;=$U$5),INDEX('Sales and count'!$G$4:$CC$300,$BF236,0))))</f>
        <v>0</v>
      </c>
      <c r="AS236" s="8" cm="1">
        <f t="array" ref="AS236">IF($BF236="",0,_xlfn.LET(_xlpm.d,IFERROR(--'Sales and count'!$F$2:$CB$2,0),SUMPRODUCT(('Sales and count'!$G$3:$CC$3="Transactions")*(_xlpm.d&gt;=$U$4)*(_xlpm.d&lt;=$U$5),INDEX('Sales and count'!$G$4:$CC$300,$BF236,0))))</f>
        <v>0</v>
      </c>
      <c r="AT236" s="8" cm="1">
        <f t="array" ref="AT236">IF($AW236="",0,SUMPRODUCT((TRIM('LY Sales '!$B$5:$B$200)=$AW236)*('LY Sales '!$C$2:$AG$2&gt;=EDATE($U$4,-12))*('LY Sales '!$C$2:$AG$2&lt;=EDATE($U$5,-12)),'LY Sales '!$C$5:$AG$200))</f>
        <v>0</v>
      </c>
      <c r="AU236" s="8" cm="1">
        <f t="array" ref="AU236">IF($AW236="",0,SUMPRODUCT((TRIM('LY Transaction'!$B$5:$B$200)=$AW236)*('LY Transaction'!$C$2:$AG$2&gt;=EDATE($U$4,-12))*('LY Transaction'!$C$2:$AG$2&lt;=EDATE($U$5,-12)),'LY Transaction'!$C$5:$AG$200))</f>
        <v>0</v>
      </c>
      <c r="AV236" s="8" cm="1">
        <f t="array" ref="AV236">IF(NOT(ISNUMBER($BG236)),0,SUMPRODUCT(('TY Sales Target'!$K$2:$AO$2&gt;=$U$4)*('TY Sales Target'!$K$2:$AO$2&lt;=$U$5),INDEX('TY Sales Target'!$K$5:$AO$300,$BG236,0)))</f>
        <v>0</v>
      </c>
      <c r="AW236" s="8" t="str" cm="1">
        <f t="array" ref="AW236">IFERROR(INDEX(_xlfn.ANCHORARRAY($BR$5),ROWS($AW$5:AW236)),"")</f>
        <v/>
      </c>
      <c r="BB236" cm="1">
        <f t="array" ref="BB236">IF($AW236="",0,SUMPRODUCT((TRIM(Footfall!$B$5:$B$301)=$AW236)*(Footfall!$C$1:$BZ$1&gt;=$U$4)*(Footfall!$C$2:$BZ$2&lt;=$U$5)*(Footfall!$C$1:$BZ$1&lt;&gt;""),Footfall!$C$5:$BZ$301))</f>
        <v>0</v>
      </c>
      <c r="BC236" cm="1">
        <f t="array" ref="BC236">IF(OR($BB236&lt;=0,$BD$1="",$BF236=""),0,_xlfn.LET(_xlpm.d,IFERROR(--'Sales and count'!$F$2:$CB$2,0),SUMPRODUCT(('Sales and count'!$G$3:$CC$3="Transactions")*(_xlpm.d&gt;=$BD$1)*(_xlpm.d&lt;=$BD$2),INDEX('Sales and count'!$G$4:$CC$300,$BF236,0))))</f>
        <v>0</v>
      </c>
      <c r="BF236" t="str" cm="1">
        <f t="array" ref="BF236">IF($AW236="","",IFERROR(MATCH($AW236,TRIM('Sales and count'!$A$4:$A$300&amp;""),0),""))</f>
        <v/>
      </c>
      <c r="BG236" t="str" cm="1">
        <f t="array" ref="BG236">IF($AW236="","",IFERROR(MATCH(IFERROR(_xlfn.XLOOKUP($AW236,$BT$5:$BT$22,$BU$5:$BU$22),$AW236),TRIM('TY Sales Target'!$B$5:$B$300&amp;""),0),""))</f>
        <v/>
      </c>
      <c r="BH236" t="str" cm="1">
        <f t="array" ref="BH236">IF(ISNUMBER($BG236),_xlfn.LET(_xlpm.p,TRIM(INDEX('TY Sales Target'!$I$5:$I$300,$BG236)&amp;""),IF(_xlpm.p="","Not set",_xlpm.p)),"Not set")</f>
        <v>Not set</v>
      </c>
      <c r="BI236" cm="1">
        <f t="array" ref="BI236">IF($BF236="",0,_xlfn.LET(_xlpm.d,IFERROR(--'Sales and count'!$G$2:$CC$2,0),SUMPRODUCT(('Sales and count'!$G$3:$CC$3="Total")*(_xlpm.d&gt;=$BZ$5)*(_xlpm.d&lt;=$BZ$6),INDEX('Sales and count'!$G$4:$CC$300,$BF236,0))))</f>
        <v>0</v>
      </c>
      <c r="BJ236" cm="1">
        <f t="array" ref="BJ236">IF($AW236="",0,SUMPRODUCT((TRIM('LY Sales '!$B$5:$B$200)=$AW236)*('LY Sales '!$C$2:$AG$2&gt;=EDATE($BZ$5,-12))*('LY Sales '!$C$2:$AG$2&lt;=EDATE($BZ$6,-12)),'LY Sales '!$C$5:$AG$200))</f>
        <v>0</v>
      </c>
      <c r="BK236" cm="1">
        <f t="array" ref="BK236">IF($AW236="",0,SUMPRODUCT((TRIM('LY Sales '!$B$5:$B$200)=$AW236)*('LY Sales '!$C$2:$AG$2&gt;=EDATE($BZ$5,-12))*('LY Sales '!$C$2:$AG$2&lt;=EDATE($BZ$7,-12)),'LY Sales '!$C$5:$AG$200))</f>
        <v>0</v>
      </c>
      <c r="BL236" cm="1">
        <f t="array" ref="BL236">IF($AW236="",0,SUMPRODUCT((TRIM('LY Sales '!$B$5:$B$200)=$AW236)*('LY Sales '!$C$2:$AG$2&gt;=EDATE($BZ$5,-12))*('LY Sales '!$C$2:$AG$2&lt;=EDATE($BZ$6,-12))*('LY Sales '!$C$5:$AG$200&gt;0)))</f>
        <v>0</v>
      </c>
      <c r="BM236" cm="1">
        <f t="array" ref="BM236">IF(NOT(ISNUMBER($BG236)),0,SUMPRODUCT(('TY Sales Target'!$K$2:$AO$2&gt;=$BZ$5)*('TY Sales Target'!$K$2:$AO$2&lt;=$BZ$6),INDEX('TY Sales Target'!$K$5:$AO$300,$BG236,0)))</f>
        <v>0</v>
      </c>
      <c r="BN236" cm="1">
        <f t="array" ref="BN236">IF(NOT(ISNUMBER($BG236)),0,SUMPRODUCT(('TY Sales Target'!$K$2:$AO$2&gt;=$BZ$5)*('TY Sales Target'!$K$2:$AO$2&lt;=$BZ$7),INDEX('TY Sales Target'!$K$5:$AO$300,$BG236,0)))</f>
        <v>0</v>
      </c>
      <c r="BO236" cm="1">
        <f t="array" ref="BO236">IF($AW236="",0,IFERROR(_xlfn.SWITCH($BP236,"LY trend",$BI236*$BK236/$BJ236,"Target curve",$BI236*$BN236/$BM236,"Run rate",$BI236/$BZ$8*$BZ$9,0),0))</f>
        <v>0</v>
      </c>
      <c r="BP236" t="str">
        <f t="shared" si="125"/>
        <v/>
      </c>
      <c r="CB236" cm="1">
        <f t="array" ref="CB236">IF($AW236="",0,_xlfn.LET(_xlpm.k,IFERROR(_xlfn.XLOOKUP($AW236,$CD$6:$CD$21,$CE$6:$CE$21),$AW236),SUMPRODUCT((TRIM('Makeup '!$A$2:$A$300&amp;"")=_xlpm.k)*1,IFERROR('Makeup '!$F$2:$F$300*1,0))))</f>
        <v>0</v>
      </c>
      <c r="CF236" t="str" cm="1">
        <f t="array" ref="CF236">IF($AW236="","",_xlfn.LET(_xlpm.c,IFERROR(TRIM(INDEX('Sales and count'!$B$4:$B$300,$BF236)&amp;""),""),IF(OR(_xlpm.c="",_xlpm.c="0",LEFT(_xlpm.c,1)="#"),"Not set",_xlpm.c)))</f>
        <v/>
      </c>
      <c r="CH236" cm="1">
        <f t="array" ref="CH236">IF($AW236="",0,_xlfn.LET(_xlpm.k,IFERROR(_xlfn.XLOOKUP($AW236,$CD$6:$CD$21,$CE$6:$CE$21),$AW236),--(SUMPRODUCT((TRIM('Makeup '!$A$2:$A$300&amp;"")=_xlpm.k)*ISNUMBER('Makeup '!$F$2:$F$300))&gt;0)))</f>
        <v>0</v>
      </c>
      <c r="CI236">
        <f t="shared" si="128"/>
        <v>0</v>
      </c>
      <c r="CJ236" cm="1">
        <f t="array" ref="CJ236">IF($AW236="",0,--(SUMPRODUCT(--(TRIM(Footfall!$B$5:$B$301)=$AW236))&gt;0))</f>
        <v>0</v>
      </c>
      <c r="CK236" s="8" cm="1">
        <f t="array" ref="CK236">IF($AW236="",0,_xlfn.LET(_xlpm.r,IFERROR(MATCH(IFERROR(_xlfn.XLOOKUP($AW236,$BT$5:$BT$22,$BU$5:$BU$22),$AW236),TRIM('TY Beauty Target'!$B$5:$B$300&amp;""),0),""),IF(ISNUMBER(_xlpm.r),SUMPRODUCT(('TY Beauty Target'!$L$2:$AP$2&gt;=$U$4)*('TY Beauty Target'!$L$2:$AP$2&lt;=$U$5),INDEX('TY Beauty Target'!$L$5:$AP$300,_xlpm.r,0)),0)))</f>
        <v>0</v>
      </c>
    </row>
    <row r="237" spans="28:89" x14ac:dyDescent="0.25">
      <c r="AB237" s="40" t="str" cm="1">
        <f t="array" ref="AB237">IF($AI237="","",IF(LEFT($AI237,2)="C|",IF($C237="","",SUMPRODUCT($AP$5:$AP$302*($AO$5:$AO$302=$A237),$CK$5:$CK$302)),IF($AI237="CT",AB$13,IF(LEFT($AI237,3)="AM|",IF($C237="","",SUMPRODUCT($AP$5:$AP$302*($AN$5:$AN$302=$A237),$CK$5:$CK$302)),IF(LEFT($AI237,2)="S|",IF($AG237="","",INDEX($CK$5:$CK$302,$AH237)),IF($AI237="HDR","Makeup Target",""))))))</f>
        <v/>
      </c>
      <c r="AC237" s="41" t="str">
        <f t="shared" si="129"/>
        <v/>
      </c>
      <c r="AN237" s="8" t="str" cm="1">
        <f t="array" ref="AN237">IF($AW237="","",_xlfn.LET(_xlpm.sa,IFERROR(TRIM(INDEX('Sales and count'!$D$4:$D$300,$BF237)&amp;""),""),_xlpm.ta,IFERROR(TRIM(INDEX('TY Sales Target'!$F$5:$F$300,$BG237)&amp;""),""),IF(AND(_xlpm.sa&lt;&gt;"",LEFT(_xlpm.sa,1)&lt;&gt;"#",_xlpm.sa&lt;&gt;"0"),_xlpm.sa,IF(AND(_xlpm.ta&lt;&gt;"",LEFT(_xlpm.ta,1)&lt;&gt;"#",_xlpm.ta&lt;&gt;"0"),_xlpm.ta,IF(ISNUMBER($BG237),"Unassigned","")))))</f>
        <v/>
      </c>
      <c r="AO237" s="8" t="str" cm="1">
        <f t="array" ref="AO237">IF($AW237="","",_xlfn.LET(_xlpm.sa,IFERROR(TRIM(INDEX('Sales and count'!$C$4:$C$300,$BF237)&amp;""),""),_xlpm.ta,IFERROR(TRIM(INDEX('TY Sales Target'!$D$5:$D$300,$BG237)&amp;""),""),IF(AND(_xlpm.sa&lt;&gt;"",LEFT(_xlpm.sa,1)&lt;&gt;"#",_xlpm.sa&lt;&gt;"0"),_xlpm.sa,IF(AND(_xlpm.ta&lt;&gt;"",LEFT(_xlpm.ta,1)&lt;&gt;"#",_xlpm.ta&lt;&gt;"0"),_xlpm.ta,""))))</f>
        <v/>
      </c>
      <c r="AP237" s="8">
        <f t="shared" si="126"/>
        <v>0</v>
      </c>
      <c r="AQ237" s="8">
        <f t="shared" si="127"/>
        <v>0</v>
      </c>
      <c r="AR237" s="8" cm="1">
        <f t="array" ref="AR237">IF($BF237="",0,_xlfn.LET(_xlpm.d,IFERROR(--'Sales and count'!$G$2:$CC$2,0),SUMPRODUCT(('Sales and count'!$G$3:$CC$3="Total")*(_xlpm.d&gt;=$U$4)*(_xlpm.d&lt;=$U$5),INDEX('Sales and count'!$G$4:$CC$300,$BF237,0))))</f>
        <v>0</v>
      </c>
      <c r="AS237" s="8" cm="1">
        <f t="array" ref="AS237">IF($BF237="",0,_xlfn.LET(_xlpm.d,IFERROR(--'Sales and count'!$F$2:$CB$2,0),SUMPRODUCT(('Sales and count'!$G$3:$CC$3="Transactions")*(_xlpm.d&gt;=$U$4)*(_xlpm.d&lt;=$U$5),INDEX('Sales and count'!$G$4:$CC$300,$BF237,0))))</f>
        <v>0</v>
      </c>
      <c r="AT237" s="8" cm="1">
        <f t="array" ref="AT237">IF($AW237="",0,SUMPRODUCT((TRIM('LY Sales '!$B$5:$B$200)=$AW237)*('LY Sales '!$C$2:$AG$2&gt;=EDATE($U$4,-12))*('LY Sales '!$C$2:$AG$2&lt;=EDATE($U$5,-12)),'LY Sales '!$C$5:$AG$200))</f>
        <v>0</v>
      </c>
      <c r="AU237" s="8" cm="1">
        <f t="array" ref="AU237">IF($AW237="",0,SUMPRODUCT((TRIM('LY Transaction'!$B$5:$B$200)=$AW237)*('LY Transaction'!$C$2:$AG$2&gt;=EDATE($U$4,-12))*('LY Transaction'!$C$2:$AG$2&lt;=EDATE($U$5,-12)),'LY Transaction'!$C$5:$AG$200))</f>
        <v>0</v>
      </c>
      <c r="AV237" s="8" cm="1">
        <f t="array" ref="AV237">IF(NOT(ISNUMBER($BG237)),0,SUMPRODUCT(('TY Sales Target'!$K$2:$AO$2&gt;=$U$4)*('TY Sales Target'!$K$2:$AO$2&lt;=$U$5),INDEX('TY Sales Target'!$K$5:$AO$300,$BG237,0)))</f>
        <v>0</v>
      </c>
      <c r="AW237" s="8" t="str" cm="1">
        <f t="array" ref="AW237">IFERROR(INDEX(_xlfn.ANCHORARRAY($BR$5),ROWS($AW$5:AW237)),"")</f>
        <v/>
      </c>
      <c r="BB237" cm="1">
        <f t="array" ref="BB237">IF($AW237="",0,SUMPRODUCT((TRIM(Footfall!$B$5:$B$301)=$AW237)*(Footfall!$C$1:$BZ$1&gt;=$U$4)*(Footfall!$C$2:$BZ$2&lt;=$U$5)*(Footfall!$C$1:$BZ$1&lt;&gt;""),Footfall!$C$5:$BZ$301))</f>
        <v>0</v>
      </c>
      <c r="BC237" cm="1">
        <f t="array" ref="BC237">IF(OR($BB237&lt;=0,$BD$1="",$BF237=""),0,_xlfn.LET(_xlpm.d,IFERROR(--'Sales and count'!$F$2:$CB$2,0),SUMPRODUCT(('Sales and count'!$G$3:$CC$3="Transactions")*(_xlpm.d&gt;=$BD$1)*(_xlpm.d&lt;=$BD$2),INDEX('Sales and count'!$G$4:$CC$300,$BF237,0))))</f>
        <v>0</v>
      </c>
      <c r="BF237" t="str" cm="1">
        <f t="array" ref="BF237">IF($AW237="","",IFERROR(MATCH($AW237,TRIM('Sales and count'!$A$4:$A$300&amp;""),0),""))</f>
        <v/>
      </c>
      <c r="BG237" t="str" cm="1">
        <f t="array" ref="BG237">IF($AW237="","",IFERROR(MATCH(IFERROR(_xlfn.XLOOKUP($AW237,$BT$5:$BT$22,$BU$5:$BU$22),$AW237),TRIM('TY Sales Target'!$B$5:$B$300&amp;""),0),""))</f>
        <v/>
      </c>
      <c r="BH237" t="str" cm="1">
        <f t="array" ref="BH237">IF(ISNUMBER($BG237),_xlfn.LET(_xlpm.p,TRIM(INDEX('TY Sales Target'!$I$5:$I$300,$BG237)&amp;""),IF(_xlpm.p="","Not set",_xlpm.p)),"Not set")</f>
        <v>Not set</v>
      </c>
      <c r="BI237" cm="1">
        <f t="array" ref="BI237">IF($BF237="",0,_xlfn.LET(_xlpm.d,IFERROR(--'Sales and count'!$G$2:$CC$2,0),SUMPRODUCT(('Sales and count'!$G$3:$CC$3="Total")*(_xlpm.d&gt;=$BZ$5)*(_xlpm.d&lt;=$BZ$6),INDEX('Sales and count'!$G$4:$CC$300,$BF237,0))))</f>
        <v>0</v>
      </c>
      <c r="BJ237" cm="1">
        <f t="array" ref="BJ237">IF($AW237="",0,SUMPRODUCT((TRIM('LY Sales '!$B$5:$B$200)=$AW237)*('LY Sales '!$C$2:$AG$2&gt;=EDATE($BZ$5,-12))*('LY Sales '!$C$2:$AG$2&lt;=EDATE($BZ$6,-12)),'LY Sales '!$C$5:$AG$200))</f>
        <v>0</v>
      </c>
      <c r="BK237" cm="1">
        <f t="array" ref="BK237">IF($AW237="",0,SUMPRODUCT((TRIM('LY Sales '!$B$5:$B$200)=$AW237)*('LY Sales '!$C$2:$AG$2&gt;=EDATE($BZ$5,-12))*('LY Sales '!$C$2:$AG$2&lt;=EDATE($BZ$7,-12)),'LY Sales '!$C$5:$AG$200))</f>
        <v>0</v>
      </c>
      <c r="BL237" cm="1">
        <f t="array" ref="BL237">IF($AW237="",0,SUMPRODUCT((TRIM('LY Sales '!$B$5:$B$200)=$AW237)*('LY Sales '!$C$2:$AG$2&gt;=EDATE($BZ$5,-12))*('LY Sales '!$C$2:$AG$2&lt;=EDATE($BZ$6,-12))*('LY Sales '!$C$5:$AG$200&gt;0)))</f>
        <v>0</v>
      </c>
      <c r="BM237" cm="1">
        <f t="array" ref="BM237">IF(NOT(ISNUMBER($BG237)),0,SUMPRODUCT(('TY Sales Target'!$K$2:$AO$2&gt;=$BZ$5)*('TY Sales Target'!$K$2:$AO$2&lt;=$BZ$6),INDEX('TY Sales Target'!$K$5:$AO$300,$BG237,0)))</f>
        <v>0</v>
      </c>
      <c r="BN237" cm="1">
        <f t="array" ref="BN237">IF(NOT(ISNUMBER($BG237)),0,SUMPRODUCT(('TY Sales Target'!$K$2:$AO$2&gt;=$BZ$5)*('TY Sales Target'!$K$2:$AO$2&lt;=$BZ$7),INDEX('TY Sales Target'!$K$5:$AO$300,$BG237,0)))</f>
        <v>0</v>
      </c>
      <c r="BO237" cm="1">
        <f t="array" ref="BO237">IF($AW237="",0,IFERROR(_xlfn.SWITCH($BP237,"LY trend",$BI237*$BK237/$BJ237,"Target curve",$BI237*$BN237/$BM237,"Run rate",$BI237/$BZ$8*$BZ$9,0),0))</f>
        <v>0</v>
      </c>
      <c r="BP237" t="str">
        <f t="shared" si="125"/>
        <v/>
      </c>
      <c r="CB237" cm="1">
        <f t="array" ref="CB237">IF($AW237="",0,_xlfn.LET(_xlpm.k,IFERROR(_xlfn.XLOOKUP($AW237,$CD$6:$CD$21,$CE$6:$CE$21),$AW237),SUMPRODUCT((TRIM('Makeup '!$A$2:$A$300&amp;"")=_xlpm.k)*1,IFERROR('Makeup '!$F$2:$F$300*1,0))))</f>
        <v>0</v>
      </c>
      <c r="CF237" t="str" cm="1">
        <f t="array" ref="CF237">IF($AW237="","",_xlfn.LET(_xlpm.c,IFERROR(TRIM(INDEX('Sales and count'!$B$4:$B$300,$BF237)&amp;""),""),IF(OR(_xlpm.c="",_xlpm.c="0",LEFT(_xlpm.c,1)="#"),"Not set",_xlpm.c)))</f>
        <v/>
      </c>
      <c r="CH237" cm="1">
        <f t="array" ref="CH237">IF($AW237="",0,_xlfn.LET(_xlpm.k,IFERROR(_xlfn.XLOOKUP($AW237,$CD$6:$CD$21,$CE$6:$CE$21),$AW237),--(SUMPRODUCT((TRIM('Makeup '!$A$2:$A$300&amp;"")=_xlpm.k)*ISNUMBER('Makeup '!$F$2:$F$300))&gt;0)))</f>
        <v>0</v>
      </c>
      <c r="CI237">
        <f t="shared" si="128"/>
        <v>0</v>
      </c>
      <c r="CJ237" cm="1">
        <f t="array" ref="CJ237">IF($AW237="",0,--(SUMPRODUCT(--(TRIM(Footfall!$B$5:$B$301)=$AW237))&gt;0))</f>
        <v>0</v>
      </c>
      <c r="CK237" s="8" cm="1">
        <f t="array" ref="CK237">IF($AW237="",0,_xlfn.LET(_xlpm.r,IFERROR(MATCH(IFERROR(_xlfn.XLOOKUP($AW237,$BT$5:$BT$22,$BU$5:$BU$22),$AW237),TRIM('TY Beauty Target'!$B$5:$B$300&amp;""),0),""),IF(ISNUMBER(_xlpm.r),SUMPRODUCT(('TY Beauty Target'!$L$2:$AP$2&gt;=$U$4)*('TY Beauty Target'!$L$2:$AP$2&lt;=$U$5),INDEX('TY Beauty Target'!$L$5:$AP$300,_xlpm.r,0)),0)))</f>
        <v>0</v>
      </c>
    </row>
    <row r="238" spans="28:89" x14ac:dyDescent="0.25">
      <c r="AB238" s="40" t="str" cm="1">
        <f t="array" ref="AB238">IF($AI238="","",IF(LEFT($AI238,2)="C|",IF($C238="","",SUMPRODUCT($AP$5:$AP$302*($AO$5:$AO$302=$A238),$CK$5:$CK$302)),IF($AI238="CT",AB$13,IF(LEFT($AI238,3)="AM|",IF($C238="","",SUMPRODUCT($AP$5:$AP$302*($AN$5:$AN$302=$A238),$CK$5:$CK$302)),IF(LEFT($AI238,2)="S|",IF($AG238="","",INDEX($CK$5:$CK$302,$AH238)),IF($AI238="HDR","Makeup Target",""))))))</f>
        <v/>
      </c>
      <c r="AC238" s="41" t="str">
        <f t="shared" si="129"/>
        <v/>
      </c>
      <c r="AN238" s="8" t="str" cm="1">
        <f t="array" ref="AN238">IF($AW238="","",_xlfn.LET(_xlpm.sa,IFERROR(TRIM(INDEX('Sales and count'!$D$4:$D$300,$BF238)&amp;""),""),_xlpm.ta,IFERROR(TRIM(INDEX('TY Sales Target'!$F$5:$F$300,$BG238)&amp;""),""),IF(AND(_xlpm.sa&lt;&gt;"",LEFT(_xlpm.sa,1)&lt;&gt;"#",_xlpm.sa&lt;&gt;"0"),_xlpm.sa,IF(AND(_xlpm.ta&lt;&gt;"",LEFT(_xlpm.ta,1)&lt;&gt;"#",_xlpm.ta&lt;&gt;"0"),_xlpm.ta,IF(ISNUMBER($BG238),"Unassigned","")))))</f>
        <v/>
      </c>
      <c r="AO238" s="8" t="str" cm="1">
        <f t="array" ref="AO238">IF($AW238="","",_xlfn.LET(_xlpm.sa,IFERROR(TRIM(INDEX('Sales and count'!$C$4:$C$300,$BF238)&amp;""),""),_xlpm.ta,IFERROR(TRIM(INDEX('TY Sales Target'!$D$5:$D$300,$BG238)&amp;""),""),IF(AND(_xlpm.sa&lt;&gt;"",LEFT(_xlpm.sa,1)&lt;&gt;"#",_xlpm.sa&lt;&gt;"0"),_xlpm.sa,IF(AND(_xlpm.ta&lt;&gt;"",LEFT(_xlpm.ta,1)&lt;&gt;"#",_xlpm.ta&lt;&gt;"0"),_xlpm.ta,""))))</f>
        <v/>
      </c>
      <c r="AP238" s="8">
        <f t="shared" si="126"/>
        <v>0</v>
      </c>
      <c r="AQ238" s="8">
        <f t="shared" si="127"/>
        <v>0</v>
      </c>
      <c r="AR238" s="8" cm="1">
        <f t="array" ref="AR238">IF($BF238="",0,_xlfn.LET(_xlpm.d,IFERROR(--'Sales and count'!$G$2:$CC$2,0),SUMPRODUCT(('Sales and count'!$G$3:$CC$3="Total")*(_xlpm.d&gt;=$U$4)*(_xlpm.d&lt;=$U$5),INDEX('Sales and count'!$G$4:$CC$300,$BF238,0))))</f>
        <v>0</v>
      </c>
      <c r="AS238" s="8" cm="1">
        <f t="array" ref="AS238">IF($BF238="",0,_xlfn.LET(_xlpm.d,IFERROR(--'Sales and count'!$F$2:$CB$2,0),SUMPRODUCT(('Sales and count'!$G$3:$CC$3="Transactions")*(_xlpm.d&gt;=$U$4)*(_xlpm.d&lt;=$U$5),INDEX('Sales and count'!$G$4:$CC$300,$BF238,0))))</f>
        <v>0</v>
      </c>
      <c r="AT238" s="8" cm="1">
        <f t="array" ref="AT238">IF($AW238="",0,SUMPRODUCT((TRIM('LY Sales '!$B$5:$B$200)=$AW238)*('LY Sales '!$C$2:$AG$2&gt;=EDATE($U$4,-12))*('LY Sales '!$C$2:$AG$2&lt;=EDATE($U$5,-12)),'LY Sales '!$C$5:$AG$200))</f>
        <v>0</v>
      </c>
      <c r="AU238" s="8" cm="1">
        <f t="array" ref="AU238">IF($AW238="",0,SUMPRODUCT((TRIM('LY Transaction'!$B$5:$B$200)=$AW238)*('LY Transaction'!$C$2:$AG$2&gt;=EDATE($U$4,-12))*('LY Transaction'!$C$2:$AG$2&lt;=EDATE($U$5,-12)),'LY Transaction'!$C$5:$AG$200))</f>
        <v>0</v>
      </c>
      <c r="AV238" s="8" cm="1">
        <f t="array" ref="AV238">IF(NOT(ISNUMBER($BG238)),0,SUMPRODUCT(('TY Sales Target'!$K$2:$AO$2&gt;=$U$4)*('TY Sales Target'!$K$2:$AO$2&lt;=$U$5),INDEX('TY Sales Target'!$K$5:$AO$300,$BG238,0)))</f>
        <v>0</v>
      </c>
      <c r="AW238" s="8" t="str" cm="1">
        <f t="array" ref="AW238">IFERROR(INDEX(_xlfn.ANCHORARRAY($BR$5),ROWS($AW$5:AW238)),"")</f>
        <v/>
      </c>
      <c r="BB238" cm="1">
        <f t="array" ref="BB238">IF($AW238="",0,SUMPRODUCT((TRIM(Footfall!$B$5:$B$301)=$AW238)*(Footfall!$C$1:$BZ$1&gt;=$U$4)*(Footfall!$C$2:$BZ$2&lt;=$U$5)*(Footfall!$C$1:$BZ$1&lt;&gt;""),Footfall!$C$5:$BZ$301))</f>
        <v>0</v>
      </c>
      <c r="BC238" cm="1">
        <f t="array" ref="BC238">IF(OR($BB238&lt;=0,$BD$1="",$BF238=""),0,_xlfn.LET(_xlpm.d,IFERROR(--'Sales and count'!$F$2:$CB$2,0),SUMPRODUCT(('Sales and count'!$G$3:$CC$3="Transactions")*(_xlpm.d&gt;=$BD$1)*(_xlpm.d&lt;=$BD$2),INDEX('Sales and count'!$G$4:$CC$300,$BF238,0))))</f>
        <v>0</v>
      </c>
      <c r="BF238" t="str" cm="1">
        <f t="array" ref="BF238">IF($AW238="","",IFERROR(MATCH($AW238,TRIM('Sales and count'!$A$4:$A$300&amp;""),0),""))</f>
        <v/>
      </c>
      <c r="BG238" t="str" cm="1">
        <f t="array" ref="BG238">IF($AW238="","",IFERROR(MATCH(IFERROR(_xlfn.XLOOKUP($AW238,$BT$5:$BT$22,$BU$5:$BU$22),$AW238),TRIM('TY Sales Target'!$B$5:$B$300&amp;""),0),""))</f>
        <v/>
      </c>
      <c r="BH238" t="str" cm="1">
        <f t="array" ref="BH238">IF(ISNUMBER($BG238),_xlfn.LET(_xlpm.p,TRIM(INDEX('TY Sales Target'!$I$5:$I$300,$BG238)&amp;""),IF(_xlpm.p="","Not set",_xlpm.p)),"Not set")</f>
        <v>Not set</v>
      </c>
      <c r="BI238" cm="1">
        <f t="array" ref="BI238">IF($BF238="",0,_xlfn.LET(_xlpm.d,IFERROR(--'Sales and count'!$G$2:$CC$2,0),SUMPRODUCT(('Sales and count'!$G$3:$CC$3="Total")*(_xlpm.d&gt;=$BZ$5)*(_xlpm.d&lt;=$BZ$6),INDEX('Sales and count'!$G$4:$CC$300,$BF238,0))))</f>
        <v>0</v>
      </c>
      <c r="BJ238" cm="1">
        <f t="array" ref="BJ238">IF($AW238="",0,SUMPRODUCT((TRIM('LY Sales '!$B$5:$B$200)=$AW238)*('LY Sales '!$C$2:$AG$2&gt;=EDATE($BZ$5,-12))*('LY Sales '!$C$2:$AG$2&lt;=EDATE($BZ$6,-12)),'LY Sales '!$C$5:$AG$200))</f>
        <v>0</v>
      </c>
      <c r="BK238" cm="1">
        <f t="array" ref="BK238">IF($AW238="",0,SUMPRODUCT((TRIM('LY Sales '!$B$5:$B$200)=$AW238)*('LY Sales '!$C$2:$AG$2&gt;=EDATE($BZ$5,-12))*('LY Sales '!$C$2:$AG$2&lt;=EDATE($BZ$7,-12)),'LY Sales '!$C$5:$AG$200))</f>
        <v>0</v>
      </c>
      <c r="BL238" cm="1">
        <f t="array" ref="BL238">IF($AW238="",0,SUMPRODUCT((TRIM('LY Sales '!$B$5:$B$200)=$AW238)*('LY Sales '!$C$2:$AG$2&gt;=EDATE($BZ$5,-12))*('LY Sales '!$C$2:$AG$2&lt;=EDATE($BZ$6,-12))*('LY Sales '!$C$5:$AG$200&gt;0)))</f>
        <v>0</v>
      </c>
      <c r="BM238" cm="1">
        <f t="array" ref="BM238">IF(NOT(ISNUMBER($BG238)),0,SUMPRODUCT(('TY Sales Target'!$K$2:$AO$2&gt;=$BZ$5)*('TY Sales Target'!$K$2:$AO$2&lt;=$BZ$6),INDEX('TY Sales Target'!$K$5:$AO$300,$BG238,0)))</f>
        <v>0</v>
      </c>
      <c r="BN238" cm="1">
        <f t="array" ref="BN238">IF(NOT(ISNUMBER($BG238)),0,SUMPRODUCT(('TY Sales Target'!$K$2:$AO$2&gt;=$BZ$5)*('TY Sales Target'!$K$2:$AO$2&lt;=$BZ$7),INDEX('TY Sales Target'!$K$5:$AO$300,$BG238,0)))</f>
        <v>0</v>
      </c>
      <c r="BO238" cm="1">
        <f t="array" ref="BO238">IF($AW238="",0,IFERROR(_xlfn.SWITCH($BP238,"LY trend",$BI238*$BK238/$BJ238,"Target curve",$BI238*$BN238/$BM238,"Run rate",$BI238/$BZ$8*$BZ$9,0),0))</f>
        <v>0</v>
      </c>
      <c r="BP238" t="str">
        <f t="shared" si="125"/>
        <v/>
      </c>
      <c r="CB238" cm="1">
        <f t="array" ref="CB238">IF($AW238="",0,_xlfn.LET(_xlpm.k,IFERROR(_xlfn.XLOOKUP($AW238,$CD$6:$CD$21,$CE$6:$CE$21),$AW238),SUMPRODUCT((TRIM('Makeup '!$A$2:$A$300&amp;"")=_xlpm.k)*1,IFERROR('Makeup '!$F$2:$F$300*1,0))))</f>
        <v>0</v>
      </c>
      <c r="CF238" t="str" cm="1">
        <f t="array" ref="CF238">IF($AW238="","",_xlfn.LET(_xlpm.c,IFERROR(TRIM(INDEX('Sales and count'!$B$4:$B$300,$BF238)&amp;""),""),IF(OR(_xlpm.c="",_xlpm.c="0",LEFT(_xlpm.c,1)="#"),"Not set",_xlpm.c)))</f>
        <v/>
      </c>
      <c r="CH238" cm="1">
        <f t="array" ref="CH238">IF($AW238="",0,_xlfn.LET(_xlpm.k,IFERROR(_xlfn.XLOOKUP($AW238,$CD$6:$CD$21,$CE$6:$CE$21),$AW238),--(SUMPRODUCT((TRIM('Makeup '!$A$2:$A$300&amp;"")=_xlpm.k)*ISNUMBER('Makeup '!$F$2:$F$300))&gt;0)))</f>
        <v>0</v>
      </c>
      <c r="CI238">
        <f t="shared" si="128"/>
        <v>0</v>
      </c>
      <c r="CJ238" cm="1">
        <f t="array" ref="CJ238">IF($AW238="",0,--(SUMPRODUCT(--(TRIM(Footfall!$B$5:$B$301)=$AW238))&gt;0))</f>
        <v>0</v>
      </c>
      <c r="CK238" s="8" cm="1">
        <f t="array" ref="CK238">IF($AW238="",0,_xlfn.LET(_xlpm.r,IFERROR(MATCH(IFERROR(_xlfn.XLOOKUP($AW238,$BT$5:$BT$22,$BU$5:$BU$22),$AW238),TRIM('TY Beauty Target'!$B$5:$B$300&amp;""),0),""),IF(ISNUMBER(_xlpm.r),SUMPRODUCT(('TY Beauty Target'!$L$2:$AP$2&gt;=$U$4)*('TY Beauty Target'!$L$2:$AP$2&lt;=$U$5),INDEX('TY Beauty Target'!$L$5:$AP$300,_xlpm.r,0)),0)))</f>
        <v>0</v>
      </c>
    </row>
    <row r="239" spans="28:89" x14ac:dyDescent="0.25">
      <c r="AB239" s="40" t="str" cm="1">
        <f t="array" ref="AB239">IF($AI239="","",IF(LEFT($AI239,2)="C|",IF($C239="","",SUMPRODUCT($AP$5:$AP$302*($AO$5:$AO$302=$A239),$CK$5:$CK$302)),IF($AI239="CT",AB$13,IF(LEFT($AI239,3)="AM|",IF($C239="","",SUMPRODUCT($AP$5:$AP$302*($AN$5:$AN$302=$A239),$CK$5:$CK$302)),IF(LEFT($AI239,2)="S|",IF($AG239="","",INDEX($CK$5:$CK$302,$AH239)),IF($AI239="HDR","Makeup Target",""))))))</f>
        <v/>
      </c>
      <c r="AC239" s="41" t="str">
        <f t="shared" si="129"/>
        <v/>
      </c>
      <c r="AN239" s="8" t="str" cm="1">
        <f t="array" ref="AN239">IF($AW239="","",_xlfn.LET(_xlpm.sa,IFERROR(TRIM(INDEX('Sales and count'!$D$4:$D$300,$BF239)&amp;""),""),_xlpm.ta,IFERROR(TRIM(INDEX('TY Sales Target'!$F$5:$F$300,$BG239)&amp;""),""),IF(AND(_xlpm.sa&lt;&gt;"",LEFT(_xlpm.sa,1)&lt;&gt;"#",_xlpm.sa&lt;&gt;"0"),_xlpm.sa,IF(AND(_xlpm.ta&lt;&gt;"",LEFT(_xlpm.ta,1)&lt;&gt;"#",_xlpm.ta&lt;&gt;"0"),_xlpm.ta,IF(ISNUMBER($BG239),"Unassigned","")))))</f>
        <v/>
      </c>
      <c r="AO239" s="8" t="str" cm="1">
        <f t="array" ref="AO239">IF($AW239="","",_xlfn.LET(_xlpm.sa,IFERROR(TRIM(INDEX('Sales and count'!$C$4:$C$300,$BF239)&amp;""),""),_xlpm.ta,IFERROR(TRIM(INDEX('TY Sales Target'!$D$5:$D$300,$BG239)&amp;""),""),IF(AND(_xlpm.sa&lt;&gt;"",LEFT(_xlpm.sa,1)&lt;&gt;"#",_xlpm.sa&lt;&gt;"0"),_xlpm.sa,IF(AND(_xlpm.ta&lt;&gt;"",LEFT(_xlpm.ta,1)&lt;&gt;"#",_xlpm.ta&lt;&gt;"0"),_xlpm.ta,""))))</f>
        <v/>
      </c>
      <c r="AP239" s="8">
        <f t="shared" si="126"/>
        <v>0</v>
      </c>
      <c r="AQ239" s="8">
        <f t="shared" si="127"/>
        <v>0</v>
      </c>
      <c r="AR239" s="8" cm="1">
        <f t="array" ref="AR239">IF($BF239="",0,_xlfn.LET(_xlpm.d,IFERROR(--'Sales and count'!$G$2:$CC$2,0),SUMPRODUCT(('Sales and count'!$G$3:$CC$3="Total")*(_xlpm.d&gt;=$U$4)*(_xlpm.d&lt;=$U$5),INDEX('Sales and count'!$G$4:$CC$300,$BF239,0))))</f>
        <v>0</v>
      </c>
      <c r="AS239" s="8" cm="1">
        <f t="array" ref="AS239">IF($BF239="",0,_xlfn.LET(_xlpm.d,IFERROR(--'Sales and count'!$F$2:$CB$2,0),SUMPRODUCT(('Sales and count'!$G$3:$CC$3="Transactions")*(_xlpm.d&gt;=$U$4)*(_xlpm.d&lt;=$U$5),INDEX('Sales and count'!$G$4:$CC$300,$BF239,0))))</f>
        <v>0</v>
      </c>
      <c r="AT239" s="8" cm="1">
        <f t="array" ref="AT239">IF($AW239="",0,SUMPRODUCT((TRIM('LY Sales '!$B$5:$B$200)=$AW239)*('LY Sales '!$C$2:$AG$2&gt;=EDATE($U$4,-12))*('LY Sales '!$C$2:$AG$2&lt;=EDATE($U$5,-12)),'LY Sales '!$C$5:$AG$200))</f>
        <v>0</v>
      </c>
      <c r="AU239" s="8" cm="1">
        <f t="array" ref="AU239">IF($AW239="",0,SUMPRODUCT((TRIM('LY Transaction'!$B$5:$B$200)=$AW239)*('LY Transaction'!$C$2:$AG$2&gt;=EDATE($U$4,-12))*('LY Transaction'!$C$2:$AG$2&lt;=EDATE($U$5,-12)),'LY Transaction'!$C$5:$AG$200))</f>
        <v>0</v>
      </c>
      <c r="AV239" s="8" cm="1">
        <f t="array" ref="AV239">IF(NOT(ISNUMBER($BG239)),0,SUMPRODUCT(('TY Sales Target'!$K$2:$AO$2&gt;=$U$4)*('TY Sales Target'!$K$2:$AO$2&lt;=$U$5),INDEX('TY Sales Target'!$K$5:$AO$300,$BG239,0)))</f>
        <v>0</v>
      </c>
      <c r="AW239" s="8" t="str" cm="1">
        <f t="array" ref="AW239">IFERROR(INDEX(_xlfn.ANCHORARRAY($BR$5),ROWS($AW$5:AW239)),"")</f>
        <v/>
      </c>
      <c r="BB239" cm="1">
        <f t="array" ref="BB239">IF($AW239="",0,SUMPRODUCT((TRIM(Footfall!$B$5:$B$301)=$AW239)*(Footfall!$C$1:$BZ$1&gt;=$U$4)*(Footfall!$C$2:$BZ$2&lt;=$U$5)*(Footfall!$C$1:$BZ$1&lt;&gt;""),Footfall!$C$5:$BZ$301))</f>
        <v>0</v>
      </c>
      <c r="BC239" cm="1">
        <f t="array" ref="BC239">IF(OR($BB239&lt;=0,$BD$1="",$BF239=""),0,_xlfn.LET(_xlpm.d,IFERROR(--'Sales and count'!$F$2:$CB$2,0),SUMPRODUCT(('Sales and count'!$G$3:$CC$3="Transactions")*(_xlpm.d&gt;=$BD$1)*(_xlpm.d&lt;=$BD$2),INDEX('Sales and count'!$G$4:$CC$300,$BF239,0))))</f>
        <v>0</v>
      </c>
      <c r="BF239" t="str" cm="1">
        <f t="array" ref="BF239">IF($AW239="","",IFERROR(MATCH($AW239,TRIM('Sales and count'!$A$4:$A$300&amp;""),0),""))</f>
        <v/>
      </c>
      <c r="BG239" t="str" cm="1">
        <f t="array" ref="BG239">IF($AW239="","",IFERROR(MATCH(IFERROR(_xlfn.XLOOKUP($AW239,$BT$5:$BT$22,$BU$5:$BU$22),$AW239),TRIM('TY Sales Target'!$B$5:$B$300&amp;""),0),""))</f>
        <v/>
      </c>
      <c r="BH239" t="str" cm="1">
        <f t="array" ref="BH239">IF(ISNUMBER($BG239),_xlfn.LET(_xlpm.p,TRIM(INDEX('TY Sales Target'!$I$5:$I$300,$BG239)&amp;""),IF(_xlpm.p="","Not set",_xlpm.p)),"Not set")</f>
        <v>Not set</v>
      </c>
      <c r="BI239" cm="1">
        <f t="array" ref="BI239">IF($BF239="",0,_xlfn.LET(_xlpm.d,IFERROR(--'Sales and count'!$G$2:$CC$2,0),SUMPRODUCT(('Sales and count'!$G$3:$CC$3="Total")*(_xlpm.d&gt;=$BZ$5)*(_xlpm.d&lt;=$BZ$6),INDEX('Sales and count'!$G$4:$CC$300,$BF239,0))))</f>
        <v>0</v>
      </c>
      <c r="BJ239" cm="1">
        <f t="array" ref="BJ239">IF($AW239="",0,SUMPRODUCT((TRIM('LY Sales '!$B$5:$B$200)=$AW239)*('LY Sales '!$C$2:$AG$2&gt;=EDATE($BZ$5,-12))*('LY Sales '!$C$2:$AG$2&lt;=EDATE($BZ$6,-12)),'LY Sales '!$C$5:$AG$200))</f>
        <v>0</v>
      </c>
      <c r="BK239" cm="1">
        <f t="array" ref="BK239">IF($AW239="",0,SUMPRODUCT((TRIM('LY Sales '!$B$5:$B$200)=$AW239)*('LY Sales '!$C$2:$AG$2&gt;=EDATE($BZ$5,-12))*('LY Sales '!$C$2:$AG$2&lt;=EDATE($BZ$7,-12)),'LY Sales '!$C$5:$AG$200))</f>
        <v>0</v>
      </c>
      <c r="BL239" cm="1">
        <f t="array" ref="BL239">IF($AW239="",0,SUMPRODUCT((TRIM('LY Sales '!$B$5:$B$200)=$AW239)*('LY Sales '!$C$2:$AG$2&gt;=EDATE($BZ$5,-12))*('LY Sales '!$C$2:$AG$2&lt;=EDATE($BZ$6,-12))*('LY Sales '!$C$5:$AG$200&gt;0)))</f>
        <v>0</v>
      </c>
      <c r="BM239" cm="1">
        <f t="array" ref="BM239">IF(NOT(ISNUMBER($BG239)),0,SUMPRODUCT(('TY Sales Target'!$K$2:$AO$2&gt;=$BZ$5)*('TY Sales Target'!$K$2:$AO$2&lt;=$BZ$6),INDEX('TY Sales Target'!$K$5:$AO$300,$BG239,0)))</f>
        <v>0</v>
      </c>
      <c r="BN239" cm="1">
        <f t="array" ref="BN239">IF(NOT(ISNUMBER($BG239)),0,SUMPRODUCT(('TY Sales Target'!$K$2:$AO$2&gt;=$BZ$5)*('TY Sales Target'!$K$2:$AO$2&lt;=$BZ$7),INDEX('TY Sales Target'!$K$5:$AO$300,$BG239,0)))</f>
        <v>0</v>
      </c>
      <c r="BO239" cm="1">
        <f t="array" ref="BO239">IF($AW239="",0,IFERROR(_xlfn.SWITCH($BP239,"LY trend",$BI239*$BK239/$BJ239,"Target curve",$BI239*$BN239/$BM239,"Run rate",$BI239/$BZ$8*$BZ$9,0),0))</f>
        <v>0</v>
      </c>
      <c r="BP239" t="str">
        <f t="shared" si="125"/>
        <v/>
      </c>
      <c r="CB239" cm="1">
        <f t="array" ref="CB239">IF($AW239="",0,_xlfn.LET(_xlpm.k,IFERROR(_xlfn.XLOOKUP($AW239,$CD$6:$CD$21,$CE$6:$CE$21),$AW239),SUMPRODUCT((TRIM('Makeup '!$A$2:$A$300&amp;"")=_xlpm.k)*1,IFERROR('Makeup '!$F$2:$F$300*1,0))))</f>
        <v>0</v>
      </c>
      <c r="CF239" t="str" cm="1">
        <f t="array" ref="CF239">IF($AW239="","",_xlfn.LET(_xlpm.c,IFERROR(TRIM(INDEX('Sales and count'!$B$4:$B$300,$BF239)&amp;""),""),IF(OR(_xlpm.c="",_xlpm.c="0",LEFT(_xlpm.c,1)="#"),"Not set",_xlpm.c)))</f>
        <v/>
      </c>
      <c r="CH239" cm="1">
        <f t="array" ref="CH239">IF($AW239="",0,_xlfn.LET(_xlpm.k,IFERROR(_xlfn.XLOOKUP($AW239,$CD$6:$CD$21,$CE$6:$CE$21),$AW239),--(SUMPRODUCT((TRIM('Makeup '!$A$2:$A$300&amp;"")=_xlpm.k)*ISNUMBER('Makeup '!$F$2:$F$300))&gt;0)))</f>
        <v>0</v>
      </c>
      <c r="CI239">
        <f t="shared" si="128"/>
        <v>0</v>
      </c>
      <c r="CJ239" cm="1">
        <f t="array" ref="CJ239">IF($AW239="",0,--(SUMPRODUCT(--(TRIM(Footfall!$B$5:$B$301)=$AW239))&gt;0))</f>
        <v>0</v>
      </c>
      <c r="CK239" s="8" cm="1">
        <f t="array" ref="CK239">IF($AW239="",0,_xlfn.LET(_xlpm.r,IFERROR(MATCH(IFERROR(_xlfn.XLOOKUP($AW239,$BT$5:$BT$22,$BU$5:$BU$22),$AW239),TRIM('TY Beauty Target'!$B$5:$B$300&amp;""),0),""),IF(ISNUMBER(_xlpm.r),SUMPRODUCT(('TY Beauty Target'!$L$2:$AP$2&gt;=$U$4)*('TY Beauty Target'!$L$2:$AP$2&lt;=$U$5),INDEX('TY Beauty Target'!$L$5:$AP$300,_xlpm.r,0)),0)))</f>
        <v>0</v>
      </c>
    </row>
    <row r="240" spans="28:89" x14ac:dyDescent="0.25">
      <c r="AB240" s="40" t="str" cm="1">
        <f t="array" ref="AB240">IF($AI240="","",IF(LEFT($AI240,2)="C|",IF($C240="","",SUMPRODUCT($AP$5:$AP$302*($AO$5:$AO$302=$A240),$CK$5:$CK$302)),IF($AI240="CT",AB$13,IF(LEFT($AI240,3)="AM|",IF($C240="","",SUMPRODUCT($AP$5:$AP$302*($AN$5:$AN$302=$A240),$CK$5:$CK$302)),IF(LEFT($AI240,2)="S|",IF($AG240="","",INDEX($CK$5:$CK$302,$AH240)),IF($AI240="HDR","Makeup Target",""))))))</f>
        <v/>
      </c>
      <c r="AC240" s="41" t="str">
        <f t="shared" si="129"/>
        <v/>
      </c>
      <c r="AN240" s="8" t="str" cm="1">
        <f t="array" ref="AN240">IF($AW240="","",_xlfn.LET(_xlpm.sa,IFERROR(TRIM(INDEX('Sales and count'!$D$4:$D$300,$BF240)&amp;""),""),_xlpm.ta,IFERROR(TRIM(INDEX('TY Sales Target'!$F$5:$F$300,$BG240)&amp;""),""),IF(AND(_xlpm.sa&lt;&gt;"",LEFT(_xlpm.sa,1)&lt;&gt;"#",_xlpm.sa&lt;&gt;"0"),_xlpm.sa,IF(AND(_xlpm.ta&lt;&gt;"",LEFT(_xlpm.ta,1)&lt;&gt;"#",_xlpm.ta&lt;&gt;"0"),_xlpm.ta,IF(ISNUMBER($BG240),"Unassigned","")))))</f>
        <v/>
      </c>
      <c r="AO240" s="8" t="str" cm="1">
        <f t="array" ref="AO240">IF($AW240="","",_xlfn.LET(_xlpm.sa,IFERROR(TRIM(INDEX('Sales and count'!$C$4:$C$300,$BF240)&amp;""),""),_xlpm.ta,IFERROR(TRIM(INDEX('TY Sales Target'!$D$5:$D$300,$BG240)&amp;""),""),IF(AND(_xlpm.sa&lt;&gt;"",LEFT(_xlpm.sa,1)&lt;&gt;"#",_xlpm.sa&lt;&gt;"0"),_xlpm.sa,IF(AND(_xlpm.ta&lt;&gt;"",LEFT(_xlpm.ta,1)&lt;&gt;"#",_xlpm.ta&lt;&gt;"0"),_xlpm.ta,""))))</f>
        <v/>
      </c>
      <c r="AP240" s="8">
        <f t="shared" si="126"/>
        <v>0</v>
      </c>
      <c r="AQ240" s="8">
        <f t="shared" si="127"/>
        <v>0</v>
      </c>
      <c r="AR240" s="8" cm="1">
        <f t="array" ref="AR240">IF($BF240="",0,_xlfn.LET(_xlpm.d,IFERROR(--'Sales and count'!$G$2:$CC$2,0),SUMPRODUCT(('Sales and count'!$G$3:$CC$3="Total")*(_xlpm.d&gt;=$U$4)*(_xlpm.d&lt;=$U$5),INDEX('Sales and count'!$G$4:$CC$300,$BF240,0))))</f>
        <v>0</v>
      </c>
      <c r="AS240" s="8" cm="1">
        <f t="array" ref="AS240">IF($BF240="",0,_xlfn.LET(_xlpm.d,IFERROR(--'Sales and count'!$F$2:$CB$2,0),SUMPRODUCT(('Sales and count'!$G$3:$CC$3="Transactions")*(_xlpm.d&gt;=$U$4)*(_xlpm.d&lt;=$U$5),INDEX('Sales and count'!$G$4:$CC$300,$BF240,0))))</f>
        <v>0</v>
      </c>
      <c r="AT240" s="8" cm="1">
        <f t="array" ref="AT240">IF($AW240="",0,SUMPRODUCT((TRIM('LY Sales '!$B$5:$B$200)=$AW240)*('LY Sales '!$C$2:$AG$2&gt;=EDATE($U$4,-12))*('LY Sales '!$C$2:$AG$2&lt;=EDATE($U$5,-12)),'LY Sales '!$C$5:$AG$200))</f>
        <v>0</v>
      </c>
      <c r="AU240" s="8" cm="1">
        <f t="array" ref="AU240">IF($AW240="",0,SUMPRODUCT((TRIM('LY Transaction'!$B$5:$B$200)=$AW240)*('LY Transaction'!$C$2:$AG$2&gt;=EDATE($U$4,-12))*('LY Transaction'!$C$2:$AG$2&lt;=EDATE($U$5,-12)),'LY Transaction'!$C$5:$AG$200))</f>
        <v>0</v>
      </c>
      <c r="AV240" s="8" cm="1">
        <f t="array" ref="AV240">IF(NOT(ISNUMBER($BG240)),0,SUMPRODUCT(('TY Sales Target'!$K$2:$AO$2&gt;=$U$4)*('TY Sales Target'!$K$2:$AO$2&lt;=$U$5),INDEX('TY Sales Target'!$K$5:$AO$300,$BG240,0)))</f>
        <v>0</v>
      </c>
      <c r="AW240" s="8" t="str" cm="1">
        <f t="array" ref="AW240">IFERROR(INDEX(_xlfn.ANCHORARRAY($BR$5),ROWS($AW$5:AW240)),"")</f>
        <v/>
      </c>
      <c r="BB240" cm="1">
        <f t="array" ref="BB240">IF($AW240="",0,SUMPRODUCT((TRIM(Footfall!$B$5:$B$301)=$AW240)*(Footfall!$C$1:$BZ$1&gt;=$U$4)*(Footfall!$C$2:$BZ$2&lt;=$U$5)*(Footfall!$C$1:$BZ$1&lt;&gt;""),Footfall!$C$5:$BZ$301))</f>
        <v>0</v>
      </c>
      <c r="BC240" cm="1">
        <f t="array" ref="BC240">IF(OR($BB240&lt;=0,$BD$1="",$BF240=""),0,_xlfn.LET(_xlpm.d,IFERROR(--'Sales and count'!$F$2:$CB$2,0),SUMPRODUCT(('Sales and count'!$G$3:$CC$3="Transactions")*(_xlpm.d&gt;=$BD$1)*(_xlpm.d&lt;=$BD$2),INDEX('Sales and count'!$G$4:$CC$300,$BF240,0))))</f>
        <v>0</v>
      </c>
      <c r="BF240" t="str" cm="1">
        <f t="array" ref="BF240">IF($AW240="","",IFERROR(MATCH($AW240,TRIM('Sales and count'!$A$4:$A$300&amp;""),0),""))</f>
        <v/>
      </c>
      <c r="BG240" t="str" cm="1">
        <f t="array" ref="BG240">IF($AW240="","",IFERROR(MATCH(IFERROR(_xlfn.XLOOKUP($AW240,$BT$5:$BT$22,$BU$5:$BU$22),$AW240),TRIM('TY Sales Target'!$B$5:$B$300&amp;""),0),""))</f>
        <v/>
      </c>
      <c r="BH240" t="str" cm="1">
        <f t="array" ref="BH240">IF(ISNUMBER($BG240),_xlfn.LET(_xlpm.p,TRIM(INDEX('TY Sales Target'!$I$5:$I$300,$BG240)&amp;""),IF(_xlpm.p="","Not set",_xlpm.p)),"Not set")</f>
        <v>Not set</v>
      </c>
      <c r="BI240" cm="1">
        <f t="array" ref="BI240">IF($BF240="",0,_xlfn.LET(_xlpm.d,IFERROR(--'Sales and count'!$G$2:$CC$2,0),SUMPRODUCT(('Sales and count'!$G$3:$CC$3="Total")*(_xlpm.d&gt;=$BZ$5)*(_xlpm.d&lt;=$BZ$6),INDEX('Sales and count'!$G$4:$CC$300,$BF240,0))))</f>
        <v>0</v>
      </c>
      <c r="BJ240" cm="1">
        <f t="array" ref="BJ240">IF($AW240="",0,SUMPRODUCT((TRIM('LY Sales '!$B$5:$B$200)=$AW240)*('LY Sales '!$C$2:$AG$2&gt;=EDATE($BZ$5,-12))*('LY Sales '!$C$2:$AG$2&lt;=EDATE($BZ$6,-12)),'LY Sales '!$C$5:$AG$200))</f>
        <v>0</v>
      </c>
      <c r="BK240" cm="1">
        <f t="array" ref="BK240">IF($AW240="",0,SUMPRODUCT((TRIM('LY Sales '!$B$5:$B$200)=$AW240)*('LY Sales '!$C$2:$AG$2&gt;=EDATE($BZ$5,-12))*('LY Sales '!$C$2:$AG$2&lt;=EDATE($BZ$7,-12)),'LY Sales '!$C$5:$AG$200))</f>
        <v>0</v>
      </c>
      <c r="BL240" cm="1">
        <f t="array" ref="BL240">IF($AW240="",0,SUMPRODUCT((TRIM('LY Sales '!$B$5:$B$200)=$AW240)*('LY Sales '!$C$2:$AG$2&gt;=EDATE($BZ$5,-12))*('LY Sales '!$C$2:$AG$2&lt;=EDATE($BZ$6,-12))*('LY Sales '!$C$5:$AG$200&gt;0)))</f>
        <v>0</v>
      </c>
      <c r="BM240" cm="1">
        <f t="array" ref="BM240">IF(NOT(ISNUMBER($BG240)),0,SUMPRODUCT(('TY Sales Target'!$K$2:$AO$2&gt;=$BZ$5)*('TY Sales Target'!$K$2:$AO$2&lt;=$BZ$6),INDEX('TY Sales Target'!$K$5:$AO$300,$BG240,0)))</f>
        <v>0</v>
      </c>
      <c r="BN240" cm="1">
        <f t="array" ref="BN240">IF(NOT(ISNUMBER($BG240)),0,SUMPRODUCT(('TY Sales Target'!$K$2:$AO$2&gt;=$BZ$5)*('TY Sales Target'!$K$2:$AO$2&lt;=$BZ$7),INDEX('TY Sales Target'!$K$5:$AO$300,$BG240,0)))</f>
        <v>0</v>
      </c>
      <c r="BO240" cm="1">
        <f t="array" ref="BO240">IF($AW240="",0,IFERROR(_xlfn.SWITCH($BP240,"LY trend",$BI240*$BK240/$BJ240,"Target curve",$BI240*$BN240/$BM240,"Run rate",$BI240/$BZ$8*$BZ$9,0),0))</f>
        <v>0</v>
      </c>
      <c r="BP240" t="str">
        <f t="shared" si="125"/>
        <v/>
      </c>
      <c r="CB240" cm="1">
        <f t="array" ref="CB240">IF($AW240="",0,_xlfn.LET(_xlpm.k,IFERROR(_xlfn.XLOOKUP($AW240,$CD$6:$CD$21,$CE$6:$CE$21),$AW240),SUMPRODUCT((TRIM('Makeup '!$A$2:$A$300&amp;"")=_xlpm.k)*1,IFERROR('Makeup '!$F$2:$F$300*1,0))))</f>
        <v>0</v>
      </c>
      <c r="CF240" t="str" cm="1">
        <f t="array" ref="CF240">IF($AW240="","",_xlfn.LET(_xlpm.c,IFERROR(TRIM(INDEX('Sales and count'!$B$4:$B$300,$BF240)&amp;""),""),IF(OR(_xlpm.c="",_xlpm.c="0",LEFT(_xlpm.c,1)="#"),"Not set",_xlpm.c)))</f>
        <v/>
      </c>
      <c r="CH240" cm="1">
        <f t="array" ref="CH240">IF($AW240="",0,_xlfn.LET(_xlpm.k,IFERROR(_xlfn.XLOOKUP($AW240,$CD$6:$CD$21,$CE$6:$CE$21),$AW240),--(SUMPRODUCT((TRIM('Makeup '!$A$2:$A$300&amp;"")=_xlpm.k)*ISNUMBER('Makeup '!$F$2:$F$300))&gt;0)))</f>
        <v>0</v>
      </c>
      <c r="CI240">
        <f t="shared" si="128"/>
        <v>0</v>
      </c>
      <c r="CJ240" cm="1">
        <f t="array" ref="CJ240">IF($AW240="",0,--(SUMPRODUCT(--(TRIM(Footfall!$B$5:$B$301)=$AW240))&gt;0))</f>
        <v>0</v>
      </c>
      <c r="CK240" s="8" cm="1">
        <f t="array" ref="CK240">IF($AW240="",0,_xlfn.LET(_xlpm.r,IFERROR(MATCH(IFERROR(_xlfn.XLOOKUP($AW240,$BT$5:$BT$22,$BU$5:$BU$22),$AW240),TRIM('TY Beauty Target'!$B$5:$B$300&amp;""),0),""),IF(ISNUMBER(_xlpm.r),SUMPRODUCT(('TY Beauty Target'!$L$2:$AP$2&gt;=$U$4)*('TY Beauty Target'!$L$2:$AP$2&lt;=$U$5),INDEX('TY Beauty Target'!$L$5:$AP$300,_xlpm.r,0)),0)))</f>
        <v>0</v>
      </c>
    </row>
    <row r="241" spans="28:89" x14ac:dyDescent="0.25">
      <c r="AB241" s="40" t="str" cm="1">
        <f t="array" ref="AB241">IF($AI241="","",IF(LEFT($AI241,2)="C|",IF($C241="","",SUMPRODUCT($AP$5:$AP$302*($AO$5:$AO$302=$A241),$CK$5:$CK$302)),IF($AI241="CT",AB$13,IF(LEFT($AI241,3)="AM|",IF($C241="","",SUMPRODUCT($AP$5:$AP$302*($AN$5:$AN$302=$A241),$CK$5:$CK$302)),IF(LEFT($AI241,2)="S|",IF($AG241="","",INDEX($CK$5:$CK$302,$AH241)),IF($AI241="HDR","Makeup Target",""))))))</f>
        <v/>
      </c>
      <c r="AC241" s="41" t="str">
        <f t="shared" si="129"/>
        <v/>
      </c>
      <c r="AN241" s="8" t="str" cm="1">
        <f t="array" ref="AN241">IF($AW241="","",_xlfn.LET(_xlpm.sa,IFERROR(TRIM(INDEX('Sales and count'!$D$4:$D$300,$BF241)&amp;""),""),_xlpm.ta,IFERROR(TRIM(INDEX('TY Sales Target'!$F$5:$F$300,$BG241)&amp;""),""),IF(AND(_xlpm.sa&lt;&gt;"",LEFT(_xlpm.sa,1)&lt;&gt;"#",_xlpm.sa&lt;&gt;"0"),_xlpm.sa,IF(AND(_xlpm.ta&lt;&gt;"",LEFT(_xlpm.ta,1)&lt;&gt;"#",_xlpm.ta&lt;&gt;"0"),_xlpm.ta,IF(ISNUMBER($BG241),"Unassigned","")))))</f>
        <v/>
      </c>
      <c r="AO241" s="8" t="str" cm="1">
        <f t="array" ref="AO241">IF($AW241="","",_xlfn.LET(_xlpm.sa,IFERROR(TRIM(INDEX('Sales and count'!$C$4:$C$300,$BF241)&amp;""),""),_xlpm.ta,IFERROR(TRIM(INDEX('TY Sales Target'!$D$5:$D$300,$BG241)&amp;""),""),IF(AND(_xlpm.sa&lt;&gt;"",LEFT(_xlpm.sa,1)&lt;&gt;"#",_xlpm.sa&lt;&gt;"0"),_xlpm.sa,IF(AND(_xlpm.ta&lt;&gt;"",LEFT(_xlpm.ta,1)&lt;&gt;"#",_xlpm.ta&lt;&gt;"0"),_xlpm.ta,""))))</f>
        <v/>
      </c>
      <c r="AP241" s="8">
        <f t="shared" si="126"/>
        <v>0</v>
      </c>
      <c r="AQ241" s="8">
        <f t="shared" si="127"/>
        <v>0</v>
      </c>
      <c r="AR241" s="8" cm="1">
        <f t="array" ref="AR241">IF($BF241="",0,_xlfn.LET(_xlpm.d,IFERROR(--'Sales and count'!$G$2:$CC$2,0),SUMPRODUCT(('Sales and count'!$G$3:$CC$3="Total")*(_xlpm.d&gt;=$U$4)*(_xlpm.d&lt;=$U$5),INDEX('Sales and count'!$G$4:$CC$300,$BF241,0))))</f>
        <v>0</v>
      </c>
      <c r="AS241" s="8" cm="1">
        <f t="array" ref="AS241">IF($BF241="",0,_xlfn.LET(_xlpm.d,IFERROR(--'Sales and count'!$F$2:$CB$2,0),SUMPRODUCT(('Sales and count'!$G$3:$CC$3="Transactions")*(_xlpm.d&gt;=$U$4)*(_xlpm.d&lt;=$U$5),INDEX('Sales and count'!$G$4:$CC$300,$BF241,0))))</f>
        <v>0</v>
      </c>
      <c r="AT241" s="8" cm="1">
        <f t="array" ref="AT241">IF($AW241="",0,SUMPRODUCT((TRIM('LY Sales '!$B$5:$B$200)=$AW241)*('LY Sales '!$C$2:$AG$2&gt;=EDATE($U$4,-12))*('LY Sales '!$C$2:$AG$2&lt;=EDATE($U$5,-12)),'LY Sales '!$C$5:$AG$200))</f>
        <v>0</v>
      </c>
      <c r="AU241" s="8" cm="1">
        <f t="array" ref="AU241">IF($AW241="",0,SUMPRODUCT((TRIM('LY Transaction'!$B$5:$B$200)=$AW241)*('LY Transaction'!$C$2:$AG$2&gt;=EDATE($U$4,-12))*('LY Transaction'!$C$2:$AG$2&lt;=EDATE($U$5,-12)),'LY Transaction'!$C$5:$AG$200))</f>
        <v>0</v>
      </c>
      <c r="AV241" s="8" cm="1">
        <f t="array" ref="AV241">IF(NOT(ISNUMBER($BG241)),0,SUMPRODUCT(('TY Sales Target'!$K$2:$AO$2&gt;=$U$4)*('TY Sales Target'!$K$2:$AO$2&lt;=$U$5),INDEX('TY Sales Target'!$K$5:$AO$300,$BG241,0)))</f>
        <v>0</v>
      </c>
      <c r="AW241" s="8" t="str" cm="1">
        <f t="array" ref="AW241">IFERROR(INDEX(_xlfn.ANCHORARRAY($BR$5),ROWS($AW$5:AW241)),"")</f>
        <v/>
      </c>
      <c r="BB241" cm="1">
        <f t="array" ref="BB241">IF($AW241="",0,SUMPRODUCT((TRIM(Footfall!$B$5:$B$301)=$AW241)*(Footfall!$C$1:$BZ$1&gt;=$U$4)*(Footfall!$C$2:$BZ$2&lt;=$U$5)*(Footfall!$C$1:$BZ$1&lt;&gt;""),Footfall!$C$5:$BZ$301))</f>
        <v>0</v>
      </c>
      <c r="BC241" cm="1">
        <f t="array" ref="BC241">IF(OR($BB241&lt;=0,$BD$1="",$BF241=""),0,_xlfn.LET(_xlpm.d,IFERROR(--'Sales and count'!$F$2:$CB$2,0),SUMPRODUCT(('Sales and count'!$G$3:$CC$3="Transactions")*(_xlpm.d&gt;=$BD$1)*(_xlpm.d&lt;=$BD$2),INDEX('Sales and count'!$G$4:$CC$300,$BF241,0))))</f>
        <v>0</v>
      </c>
      <c r="BF241" t="str" cm="1">
        <f t="array" ref="BF241">IF($AW241="","",IFERROR(MATCH($AW241,TRIM('Sales and count'!$A$4:$A$300&amp;""),0),""))</f>
        <v/>
      </c>
      <c r="BG241" t="str" cm="1">
        <f t="array" ref="BG241">IF($AW241="","",IFERROR(MATCH(IFERROR(_xlfn.XLOOKUP($AW241,$BT$5:$BT$22,$BU$5:$BU$22),$AW241),TRIM('TY Sales Target'!$B$5:$B$300&amp;""),0),""))</f>
        <v/>
      </c>
      <c r="BH241" t="str" cm="1">
        <f t="array" ref="BH241">IF(ISNUMBER($BG241),_xlfn.LET(_xlpm.p,TRIM(INDEX('TY Sales Target'!$I$5:$I$300,$BG241)&amp;""),IF(_xlpm.p="","Not set",_xlpm.p)),"Not set")</f>
        <v>Not set</v>
      </c>
      <c r="BI241" cm="1">
        <f t="array" ref="BI241">IF($BF241="",0,_xlfn.LET(_xlpm.d,IFERROR(--'Sales and count'!$G$2:$CC$2,0),SUMPRODUCT(('Sales and count'!$G$3:$CC$3="Total")*(_xlpm.d&gt;=$BZ$5)*(_xlpm.d&lt;=$BZ$6),INDEX('Sales and count'!$G$4:$CC$300,$BF241,0))))</f>
        <v>0</v>
      </c>
      <c r="BJ241" cm="1">
        <f t="array" ref="BJ241">IF($AW241="",0,SUMPRODUCT((TRIM('LY Sales '!$B$5:$B$200)=$AW241)*('LY Sales '!$C$2:$AG$2&gt;=EDATE($BZ$5,-12))*('LY Sales '!$C$2:$AG$2&lt;=EDATE($BZ$6,-12)),'LY Sales '!$C$5:$AG$200))</f>
        <v>0</v>
      </c>
      <c r="BK241" cm="1">
        <f t="array" ref="BK241">IF($AW241="",0,SUMPRODUCT((TRIM('LY Sales '!$B$5:$B$200)=$AW241)*('LY Sales '!$C$2:$AG$2&gt;=EDATE($BZ$5,-12))*('LY Sales '!$C$2:$AG$2&lt;=EDATE($BZ$7,-12)),'LY Sales '!$C$5:$AG$200))</f>
        <v>0</v>
      </c>
      <c r="BL241" cm="1">
        <f t="array" ref="BL241">IF($AW241="",0,SUMPRODUCT((TRIM('LY Sales '!$B$5:$B$200)=$AW241)*('LY Sales '!$C$2:$AG$2&gt;=EDATE($BZ$5,-12))*('LY Sales '!$C$2:$AG$2&lt;=EDATE($BZ$6,-12))*('LY Sales '!$C$5:$AG$200&gt;0)))</f>
        <v>0</v>
      </c>
      <c r="BM241" cm="1">
        <f t="array" ref="BM241">IF(NOT(ISNUMBER($BG241)),0,SUMPRODUCT(('TY Sales Target'!$K$2:$AO$2&gt;=$BZ$5)*('TY Sales Target'!$K$2:$AO$2&lt;=$BZ$6),INDEX('TY Sales Target'!$K$5:$AO$300,$BG241,0)))</f>
        <v>0</v>
      </c>
      <c r="BN241" cm="1">
        <f t="array" ref="BN241">IF(NOT(ISNUMBER($BG241)),0,SUMPRODUCT(('TY Sales Target'!$K$2:$AO$2&gt;=$BZ$5)*('TY Sales Target'!$K$2:$AO$2&lt;=$BZ$7),INDEX('TY Sales Target'!$K$5:$AO$300,$BG241,0)))</f>
        <v>0</v>
      </c>
      <c r="BO241" cm="1">
        <f t="array" ref="BO241">IF($AW241="",0,IFERROR(_xlfn.SWITCH($BP241,"LY trend",$BI241*$BK241/$BJ241,"Target curve",$BI241*$BN241/$BM241,"Run rate",$BI241/$BZ$8*$BZ$9,0),0))</f>
        <v>0</v>
      </c>
      <c r="BP241" t="str">
        <f t="shared" si="125"/>
        <v/>
      </c>
      <c r="CB241" cm="1">
        <f t="array" ref="CB241">IF($AW241="",0,_xlfn.LET(_xlpm.k,IFERROR(_xlfn.XLOOKUP($AW241,$CD$6:$CD$21,$CE$6:$CE$21),$AW241),SUMPRODUCT((TRIM('Makeup '!$A$2:$A$300&amp;"")=_xlpm.k)*1,IFERROR('Makeup '!$F$2:$F$300*1,0))))</f>
        <v>0</v>
      </c>
      <c r="CF241" t="str" cm="1">
        <f t="array" ref="CF241">IF($AW241="","",_xlfn.LET(_xlpm.c,IFERROR(TRIM(INDEX('Sales and count'!$B$4:$B$300,$BF241)&amp;""),""),IF(OR(_xlpm.c="",_xlpm.c="0",LEFT(_xlpm.c,1)="#"),"Not set",_xlpm.c)))</f>
        <v/>
      </c>
      <c r="CH241" cm="1">
        <f t="array" ref="CH241">IF($AW241="",0,_xlfn.LET(_xlpm.k,IFERROR(_xlfn.XLOOKUP($AW241,$CD$6:$CD$21,$CE$6:$CE$21),$AW241),--(SUMPRODUCT((TRIM('Makeup '!$A$2:$A$300&amp;"")=_xlpm.k)*ISNUMBER('Makeup '!$F$2:$F$300))&gt;0)))</f>
        <v>0</v>
      </c>
      <c r="CI241">
        <f t="shared" si="128"/>
        <v>0</v>
      </c>
      <c r="CJ241" cm="1">
        <f t="array" ref="CJ241">IF($AW241="",0,--(SUMPRODUCT(--(TRIM(Footfall!$B$5:$B$301)=$AW241))&gt;0))</f>
        <v>0</v>
      </c>
      <c r="CK241" s="8" cm="1">
        <f t="array" ref="CK241">IF($AW241="",0,_xlfn.LET(_xlpm.r,IFERROR(MATCH(IFERROR(_xlfn.XLOOKUP($AW241,$BT$5:$BT$22,$BU$5:$BU$22),$AW241),TRIM('TY Beauty Target'!$B$5:$B$300&amp;""),0),""),IF(ISNUMBER(_xlpm.r),SUMPRODUCT(('TY Beauty Target'!$L$2:$AP$2&gt;=$U$4)*('TY Beauty Target'!$L$2:$AP$2&lt;=$U$5),INDEX('TY Beauty Target'!$L$5:$AP$300,_xlpm.r,0)),0)))</f>
        <v>0</v>
      </c>
    </row>
    <row r="242" spans="28:89" x14ac:dyDescent="0.25">
      <c r="AB242" s="40" t="str" cm="1">
        <f t="array" ref="AB242">IF($AI242="","",IF(LEFT($AI242,2)="C|",IF($C242="","",SUMPRODUCT($AP$5:$AP$302*($AO$5:$AO$302=$A242),$CK$5:$CK$302)),IF($AI242="CT",AB$13,IF(LEFT($AI242,3)="AM|",IF($C242="","",SUMPRODUCT($AP$5:$AP$302*($AN$5:$AN$302=$A242),$CK$5:$CK$302)),IF(LEFT($AI242,2)="S|",IF($AG242="","",INDEX($CK$5:$CK$302,$AH242)),IF($AI242="HDR","Makeup Target",""))))))</f>
        <v/>
      </c>
      <c r="AC242" s="41" t="str">
        <f t="shared" si="129"/>
        <v/>
      </c>
      <c r="AN242" s="8" t="str" cm="1">
        <f t="array" ref="AN242">IF($AW242="","",_xlfn.LET(_xlpm.sa,IFERROR(TRIM(INDEX('Sales and count'!$D$4:$D$300,$BF242)&amp;""),""),_xlpm.ta,IFERROR(TRIM(INDEX('TY Sales Target'!$F$5:$F$300,$BG242)&amp;""),""),IF(AND(_xlpm.sa&lt;&gt;"",LEFT(_xlpm.sa,1)&lt;&gt;"#",_xlpm.sa&lt;&gt;"0"),_xlpm.sa,IF(AND(_xlpm.ta&lt;&gt;"",LEFT(_xlpm.ta,1)&lt;&gt;"#",_xlpm.ta&lt;&gt;"0"),_xlpm.ta,IF(ISNUMBER($BG242),"Unassigned","")))))</f>
        <v/>
      </c>
      <c r="AO242" s="8" t="str" cm="1">
        <f t="array" ref="AO242">IF($AW242="","",_xlfn.LET(_xlpm.sa,IFERROR(TRIM(INDEX('Sales and count'!$C$4:$C$300,$BF242)&amp;""),""),_xlpm.ta,IFERROR(TRIM(INDEX('TY Sales Target'!$D$5:$D$300,$BG242)&amp;""),""),IF(AND(_xlpm.sa&lt;&gt;"",LEFT(_xlpm.sa,1)&lt;&gt;"#",_xlpm.sa&lt;&gt;"0"),_xlpm.sa,IF(AND(_xlpm.ta&lt;&gt;"",LEFT(_xlpm.ta,1)&lt;&gt;"#",_xlpm.ta&lt;&gt;"0"),_xlpm.ta,""))))</f>
        <v/>
      </c>
      <c r="AP242" s="8">
        <f t="shared" si="126"/>
        <v>0</v>
      </c>
      <c r="AQ242" s="8">
        <f t="shared" si="127"/>
        <v>0</v>
      </c>
      <c r="AR242" s="8" cm="1">
        <f t="array" ref="AR242">IF($BF242="",0,_xlfn.LET(_xlpm.d,IFERROR(--'Sales and count'!$G$2:$CC$2,0),SUMPRODUCT(('Sales and count'!$G$3:$CC$3="Total")*(_xlpm.d&gt;=$U$4)*(_xlpm.d&lt;=$U$5),INDEX('Sales and count'!$G$4:$CC$300,$BF242,0))))</f>
        <v>0</v>
      </c>
      <c r="AS242" s="8" cm="1">
        <f t="array" ref="AS242">IF($BF242="",0,_xlfn.LET(_xlpm.d,IFERROR(--'Sales and count'!$F$2:$CB$2,0),SUMPRODUCT(('Sales and count'!$G$3:$CC$3="Transactions")*(_xlpm.d&gt;=$U$4)*(_xlpm.d&lt;=$U$5),INDEX('Sales and count'!$G$4:$CC$300,$BF242,0))))</f>
        <v>0</v>
      </c>
      <c r="AT242" s="8" cm="1">
        <f t="array" ref="AT242">IF($AW242="",0,SUMPRODUCT((TRIM('LY Sales '!$B$5:$B$200)=$AW242)*('LY Sales '!$C$2:$AG$2&gt;=EDATE($U$4,-12))*('LY Sales '!$C$2:$AG$2&lt;=EDATE($U$5,-12)),'LY Sales '!$C$5:$AG$200))</f>
        <v>0</v>
      </c>
      <c r="AU242" s="8" cm="1">
        <f t="array" ref="AU242">IF($AW242="",0,SUMPRODUCT((TRIM('LY Transaction'!$B$5:$B$200)=$AW242)*('LY Transaction'!$C$2:$AG$2&gt;=EDATE($U$4,-12))*('LY Transaction'!$C$2:$AG$2&lt;=EDATE($U$5,-12)),'LY Transaction'!$C$5:$AG$200))</f>
        <v>0</v>
      </c>
      <c r="AV242" s="8" cm="1">
        <f t="array" ref="AV242">IF(NOT(ISNUMBER($BG242)),0,SUMPRODUCT(('TY Sales Target'!$K$2:$AO$2&gt;=$U$4)*('TY Sales Target'!$K$2:$AO$2&lt;=$U$5),INDEX('TY Sales Target'!$K$5:$AO$300,$BG242,0)))</f>
        <v>0</v>
      </c>
      <c r="AW242" s="8" t="str" cm="1">
        <f t="array" ref="AW242">IFERROR(INDEX(_xlfn.ANCHORARRAY($BR$5),ROWS($AW$5:AW242)),"")</f>
        <v/>
      </c>
      <c r="BB242" cm="1">
        <f t="array" ref="BB242">IF($AW242="",0,SUMPRODUCT((TRIM(Footfall!$B$5:$B$301)=$AW242)*(Footfall!$C$1:$BZ$1&gt;=$U$4)*(Footfall!$C$2:$BZ$2&lt;=$U$5)*(Footfall!$C$1:$BZ$1&lt;&gt;""),Footfall!$C$5:$BZ$301))</f>
        <v>0</v>
      </c>
      <c r="BC242" cm="1">
        <f t="array" ref="BC242">IF(OR($BB242&lt;=0,$BD$1="",$BF242=""),0,_xlfn.LET(_xlpm.d,IFERROR(--'Sales and count'!$F$2:$CB$2,0),SUMPRODUCT(('Sales and count'!$G$3:$CC$3="Transactions")*(_xlpm.d&gt;=$BD$1)*(_xlpm.d&lt;=$BD$2),INDEX('Sales and count'!$G$4:$CC$300,$BF242,0))))</f>
        <v>0</v>
      </c>
      <c r="BF242" t="str" cm="1">
        <f t="array" ref="BF242">IF($AW242="","",IFERROR(MATCH($AW242,TRIM('Sales and count'!$A$4:$A$300&amp;""),0),""))</f>
        <v/>
      </c>
      <c r="BG242" t="str" cm="1">
        <f t="array" ref="BG242">IF($AW242="","",IFERROR(MATCH(IFERROR(_xlfn.XLOOKUP($AW242,$BT$5:$BT$22,$BU$5:$BU$22),$AW242),TRIM('TY Sales Target'!$B$5:$B$300&amp;""),0),""))</f>
        <v/>
      </c>
      <c r="BH242" t="str" cm="1">
        <f t="array" ref="BH242">IF(ISNUMBER($BG242),_xlfn.LET(_xlpm.p,TRIM(INDEX('TY Sales Target'!$I$5:$I$300,$BG242)&amp;""),IF(_xlpm.p="","Not set",_xlpm.p)),"Not set")</f>
        <v>Not set</v>
      </c>
      <c r="BI242" cm="1">
        <f t="array" ref="BI242">IF($BF242="",0,_xlfn.LET(_xlpm.d,IFERROR(--'Sales and count'!$G$2:$CC$2,0),SUMPRODUCT(('Sales and count'!$G$3:$CC$3="Total")*(_xlpm.d&gt;=$BZ$5)*(_xlpm.d&lt;=$BZ$6),INDEX('Sales and count'!$G$4:$CC$300,$BF242,0))))</f>
        <v>0</v>
      </c>
      <c r="BJ242" cm="1">
        <f t="array" ref="BJ242">IF($AW242="",0,SUMPRODUCT((TRIM('LY Sales '!$B$5:$B$200)=$AW242)*('LY Sales '!$C$2:$AG$2&gt;=EDATE($BZ$5,-12))*('LY Sales '!$C$2:$AG$2&lt;=EDATE($BZ$6,-12)),'LY Sales '!$C$5:$AG$200))</f>
        <v>0</v>
      </c>
      <c r="BK242" cm="1">
        <f t="array" ref="BK242">IF($AW242="",0,SUMPRODUCT((TRIM('LY Sales '!$B$5:$B$200)=$AW242)*('LY Sales '!$C$2:$AG$2&gt;=EDATE($BZ$5,-12))*('LY Sales '!$C$2:$AG$2&lt;=EDATE($BZ$7,-12)),'LY Sales '!$C$5:$AG$200))</f>
        <v>0</v>
      </c>
      <c r="BL242" cm="1">
        <f t="array" ref="BL242">IF($AW242="",0,SUMPRODUCT((TRIM('LY Sales '!$B$5:$B$200)=$AW242)*('LY Sales '!$C$2:$AG$2&gt;=EDATE($BZ$5,-12))*('LY Sales '!$C$2:$AG$2&lt;=EDATE($BZ$6,-12))*('LY Sales '!$C$5:$AG$200&gt;0)))</f>
        <v>0</v>
      </c>
      <c r="BM242" cm="1">
        <f t="array" ref="BM242">IF(NOT(ISNUMBER($BG242)),0,SUMPRODUCT(('TY Sales Target'!$K$2:$AO$2&gt;=$BZ$5)*('TY Sales Target'!$K$2:$AO$2&lt;=$BZ$6),INDEX('TY Sales Target'!$K$5:$AO$300,$BG242,0)))</f>
        <v>0</v>
      </c>
      <c r="BN242" cm="1">
        <f t="array" ref="BN242">IF(NOT(ISNUMBER($BG242)),0,SUMPRODUCT(('TY Sales Target'!$K$2:$AO$2&gt;=$BZ$5)*('TY Sales Target'!$K$2:$AO$2&lt;=$BZ$7),INDEX('TY Sales Target'!$K$5:$AO$300,$BG242,0)))</f>
        <v>0</v>
      </c>
      <c r="BO242" cm="1">
        <f t="array" ref="BO242">IF($AW242="",0,IFERROR(_xlfn.SWITCH($BP242,"LY trend",$BI242*$BK242/$BJ242,"Target curve",$BI242*$BN242/$BM242,"Run rate",$BI242/$BZ$8*$BZ$9,0),0))</f>
        <v>0</v>
      </c>
      <c r="BP242" t="str">
        <f t="shared" si="125"/>
        <v/>
      </c>
      <c r="CB242" cm="1">
        <f t="array" ref="CB242">IF($AW242="",0,_xlfn.LET(_xlpm.k,IFERROR(_xlfn.XLOOKUP($AW242,$CD$6:$CD$21,$CE$6:$CE$21),$AW242),SUMPRODUCT((TRIM('Makeup '!$A$2:$A$300&amp;"")=_xlpm.k)*1,IFERROR('Makeup '!$F$2:$F$300*1,0))))</f>
        <v>0</v>
      </c>
      <c r="CF242" t="str" cm="1">
        <f t="array" ref="CF242">IF($AW242="","",_xlfn.LET(_xlpm.c,IFERROR(TRIM(INDEX('Sales and count'!$B$4:$B$300,$BF242)&amp;""),""),IF(OR(_xlpm.c="",_xlpm.c="0",LEFT(_xlpm.c,1)="#"),"Not set",_xlpm.c)))</f>
        <v/>
      </c>
      <c r="CH242" cm="1">
        <f t="array" ref="CH242">IF($AW242="",0,_xlfn.LET(_xlpm.k,IFERROR(_xlfn.XLOOKUP($AW242,$CD$6:$CD$21,$CE$6:$CE$21),$AW242),--(SUMPRODUCT((TRIM('Makeup '!$A$2:$A$300&amp;"")=_xlpm.k)*ISNUMBER('Makeup '!$F$2:$F$300))&gt;0)))</f>
        <v>0</v>
      </c>
      <c r="CI242">
        <f t="shared" si="128"/>
        <v>0</v>
      </c>
      <c r="CJ242" cm="1">
        <f t="array" ref="CJ242">IF($AW242="",0,--(SUMPRODUCT(--(TRIM(Footfall!$B$5:$B$301)=$AW242))&gt;0))</f>
        <v>0</v>
      </c>
      <c r="CK242" s="8" cm="1">
        <f t="array" ref="CK242">IF($AW242="",0,_xlfn.LET(_xlpm.r,IFERROR(MATCH(IFERROR(_xlfn.XLOOKUP($AW242,$BT$5:$BT$22,$BU$5:$BU$22),$AW242),TRIM('TY Beauty Target'!$B$5:$B$300&amp;""),0),""),IF(ISNUMBER(_xlpm.r),SUMPRODUCT(('TY Beauty Target'!$L$2:$AP$2&gt;=$U$4)*('TY Beauty Target'!$L$2:$AP$2&lt;=$U$5),INDEX('TY Beauty Target'!$L$5:$AP$300,_xlpm.r,0)),0)))</f>
        <v>0</v>
      </c>
    </row>
    <row r="243" spans="28:89" x14ac:dyDescent="0.25">
      <c r="AB243" s="40" t="str" cm="1">
        <f t="array" ref="AB243">IF($AI243="","",IF(LEFT($AI243,2)="C|",IF($C243="","",SUMPRODUCT($AP$5:$AP$302*($AO$5:$AO$302=$A243),$CK$5:$CK$302)),IF($AI243="CT",AB$13,IF(LEFT($AI243,3)="AM|",IF($C243="","",SUMPRODUCT($AP$5:$AP$302*($AN$5:$AN$302=$A243),$CK$5:$CK$302)),IF(LEFT($AI243,2)="S|",IF($AG243="","",INDEX($CK$5:$CK$302,$AH243)),IF($AI243="HDR","Makeup Target",""))))))</f>
        <v/>
      </c>
      <c r="AC243" s="41" t="str">
        <f t="shared" si="129"/>
        <v/>
      </c>
      <c r="AN243" s="8" t="str" cm="1">
        <f t="array" ref="AN243">IF($AW243="","",_xlfn.LET(_xlpm.sa,IFERROR(TRIM(INDEX('Sales and count'!$D$4:$D$300,$BF243)&amp;""),""),_xlpm.ta,IFERROR(TRIM(INDEX('TY Sales Target'!$F$5:$F$300,$BG243)&amp;""),""),IF(AND(_xlpm.sa&lt;&gt;"",LEFT(_xlpm.sa,1)&lt;&gt;"#",_xlpm.sa&lt;&gt;"0"),_xlpm.sa,IF(AND(_xlpm.ta&lt;&gt;"",LEFT(_xlpm.ta,1)&lt;&gt;"#",_xlpm.ta&lt;&gt;"0"),_xlpm.ta,IF(ISNUMBER($BG243),"Unassigned","")))))</f>
        <v/>
      </c>
      <c r="AO243" s="8" t="str" cm="1">
        <f t="array" ref="AO243">IF($AW243="","",_xlfn.LET(_xlpm.sa,IFERROR(TRIM(INDEX('Sales and count'!$C$4:$C$300,$BF243)&amp;""),""),_xlpm.ta,IFERROR(TRIM(INDEX('TY Sales Target'!$D$5:$D$300,$BG243)&amp;""),""),IF(AND(_xlpm.sa&lt;&gt;"",LEFT(_xlpm.sa,1)&lt;&gt;"#",_xlpm.sa&lt;&gt;"0"),_xlpm.sa,IF(AND(_xlpm.ta&lt;&gt;"",LEFT(_xlpm.ta,1)&lt;&gt;"#",_xlpm.ta&lt;&gt;"0"),_xlpm.ta,""))))</f>
        <v/>
      </c>
      <c r="AP243" s="8">
        <f t="shared" si="126"/>
        <v>0</v>
      </c>
      <c r="AQ243" s="8">
        <f t="shared" si="127"/>
        <v>0</v>
      </c>
      <c r="AR243" s="8" cm="1">
        <f t="array" ref="AR243">IF($BF243="",0,_xlfn.LET(_xlpm.d,IFERROR(--'Sales and count'!$G$2:$CC$2,0),SUMPRODUCT(('Sales and count'!$G$3:$CC$3="Total")*(_xlpm.d&gt;=$U$4)*(_xlpm.d&lt;=$U$5),INDEX('Sales and count'!$G$4:$CC$300,$BF243,0))))</f>
        <v>0</v>
      </c>
      <c r="AS243" s="8" cm="1">
        <f t="array" ref="AS243">IF($BF243="",0,_xlfn.LET(_xlpm.d,IFERROR(--'Sales and count'!$F$2:$CB$2,0),SUMPRODUCT(('Sales and count'!$G$3:$CC$3="Transactions")*(_xlpm.d&gt;=$U$4)*(_xlpm.d&lt;=$U$5),INDEX('Sales and count'!$G$4:$CC$300,$BF243,0))))</f>
        <v>0</v>
      </c>
      <c r="AT243" s="8" cm="1">
        <f t="array" ref="AT243">IF($AW243="",0,SUMPRODUCT((TRIM('LY Sales '!$B$5:$B$200)=$AW243)*('LY Sales '!$C$2:$AG$2&gt;=EDATE($U$4,-12))*('LY Sales '!$C$2:$AG$2&lt;=EDATE($U$5,-12)),'LY Sales '!$C$5:$AG$200))</f>
        <v>0</v>
      </c>
      <c r="AU243" s="8" cm="1">
        <f t="array" ref="AU243">IF($AW243="",0,SUMPRODUCT((TRIM('LY Transaction'!$B$5:$B$200)=$AW243)*('LY Transaction'!$C$2:$AG$2&gt;=EDATE($U$4,-12))*('LY Transaction'!$C$2:$AG$2&lt;=EDATE($U$5,-12)),'LY Transaction'!$C$5:$AG$200))</f>
        <v>0</v>
      </c>
      <c r="AV243" s="8" cm="1">
        <f t="array" ref="AV243">IF(NOT(ISNUMBER($BG243)),0,SUMPRODUCT(('TY Sales Target'!$K$2:$AO$2&gt;=$U$4)*('TY Sales Target'!$K$2:$AO$2&lt;=$U$5),INDEX('TY Sales Target'!$K$5:$AO$300,$BG243,0)))</f>
        <v>0</v>
      </c>
      <c r="AW243" s="8" t="str" cm="1">
        <f t="array" ref="AW243">IFERROR(INDEX(_xlfn.ANCHORARRAY($BR$5),ROWS($AW$5:AW243)),"")</f>
        <v/>
      </c>
      <c r="BB243" cm="1">
        <f t="array" ref="BB243">IF($AW243="",0,SUMPRODUCT((TRIM(Footfall!$B$5:$B$301)=$AW243)*(Footfall!$C$1:$BZ$1&gt;=$U$4)*(Footfall!$C$2:$BZ$2&lt;=$U$5)*(Footfall!$C$1:$BZ$1&lt;&gt;""),Footfall!$C$5:$BZ$301))</f>
        <v>0</v>
      </c>
      <c r="BC243" cm="1">
        <f t="array" ref="BC243">IF(OR($BB243&lt;=0,$BD$1="",$BF243=""),0,_xlfn.LET(_xlpm.d,IFERROR(--'Sales and count'!$F$2:$CB$2,0),SUMPRODUCT(('Sales and count'!$G$3:$CC$3="Transactions")*(_xlpm.d&gt;=$BD$1)*(_xlpm.d&lt;=$BD$2),INDEX('Sales and count'!$G$4:$CC$300,$BF243,0))))</f>
        <v>0</v>
      </c>
      <c r="BF243" t="str" cm="1">
        <f t="array" ref="BF243">IF($AW243="","",IFERROR(MATCH($AW243,TRIM('Sales and count'!$A$4:$A$300&amp;""),0),""))</f>
        <v/>
      </c>
      <c r="BG243" t="str" cm="1">
        <f t="array" ref="BG243">IF($AW243="","",IFERROR(MATCH(IFERROR(_xlfn.XLOOKUP($AW243,$BT$5:$BT$22,$BU$5:$BU$22),$AW243),TRIM('TY Sales Target'!$B$5:$B$300&amp;""),0),""))</f>
        <v/>
      </c>
      <c r="BH243" t="str" cm="1">
        <f t="array" ref="BH243">IF(ISNUMBER($BG243),_xlfn.LET(_xlpm.p,TRIM(INDEX('TY Sales Target'!$I$5:$I$300,$BG243)&amp;""),IF(_xlpm.p="","Not set",_xlpm.p)),"Not set")</f>
        <v>Not set</v>
      </c>
      <c r="BI243" cm="1">
        <f t="array" ref="BI243">IF($BF243="",0,_xlfn.LET(_xlpm.d,IFERROR(--'Sales and count'!$G$2:$CC$2,0),SUMPRODUCT(('Sales and count'!$G$3:$CC$3="Total")*(_xlpm.d&gt;=$BZ$5)*(_xlpm.d&lt;=$BZ$6),INDEX('Sales and count'!$G$4:$CC$300,$BF243,0))))</f>
        <v>0</v>
      </c>
      <c r="BJ243" cm="1">
        <f t="array" ref="BJ243">IF($AW243="",0,SUMPRODUCT((TRIM('LY Sales '!$B$5:$B$200)=$AW243)*('LY Sales '!$C$2:$AG$2&gt;=EDATE($BZ$5,-12))*('LY Sales '!$C$2:$AG$2&lt;=EDATE($BZ$6,-12)),'LY Sales '!$C$5:$AG$200))</f>
        <v>0</v>
      </c>
      <c r="BK243" cm="1">
        <f t="array" ref="BK243">IF($AW243="",0,SUMPRODUCT((TRIM('LY Sales '!$B$5:$B$200)=$AW243)*('LY Sales '!$C$2:$AG$2&gt;=EDATE($BZ$5,-12))*('LY Sales '!$C$2:$AG$2&lt;=EDATE($BZ$7,-12)),'LY Sales '!$C$5:$AG$200))</f>
        <v>0</v>
      </c>
      <c r="BL243" cm="1">
        <f t="array" ref="BL243">IF($AW243="",0,SUMPRODUCT((TRIM('LY Sales '!$B$5:$B$200)=$AW243)*('LY Sales '!$C$2:$AG$2&gt;=EDATE($BZ$5,-12))*('LY Sales '!$C$2:$AG$2&lt;=EDATE($BZ$6,-12))*('LY Sales '!$C$5:$AG$200&gt;0)))</f>
        <v>0</v>
      </c>
      <c r="BM243" cm="1">
        <f t="array" ref="BM243">IF(NOT(ISNUMBER($BG243)),0,SUMPRODUCT(('TY Sales Target'!$K$2:$AO$2&gt;=$BZ$5)*('TY Sales Target'!$K$2:$AO$2&lt;=$BZ$6),INDEX('TY Sales Target'!$K$5:$AO$300,$BG243,0)))</f>
        <v>0</v>
      </c>
      <c r="BN243" cm="1">
        <f t="array" ref="BN243">IF(NOT(ISNUMBER($BG243)),0,SUMPRODUCT(('TY Sales Target'!$K$2:$AO$2&gt;=$BZ$5)*('TY Sales Target'!$K$2:$AO$2&lt;=$BZ$7),INDEX('TY Sales Target'!$K$5:$AO$300,$BG243,0)))</f>
        <v>0</v>
      </c>
      <c r="BO243" cm="1">
        <f t="array" ref="BO243">IF($AW243="",0,IFERROR(_xlfn.SWITCH($BP243,"LY trend",$BI243*$BK243/$BJ243,"Target curve",$BI243*$BN243/$BM243,"Run rate",$BI243/$BZ$8*$BZ$9,0),0))</f>
        <v>0</v>
      </c>
      <c r="BP243" t="str">
        <f t="shared" si="125"/>
        <v/>
      </c>
      <c r="CB243" cm="1">
        <f t="array" ref="CB243">IF($AW243="",0,_xlfn.LET(_xlpm.k,IFERROR(_xlfn.XLOOKUP($AW243,$CD$6:$CD$21,$CE$6:$CE$21),$AW243),SUMPRODUCT((TRIM('Makeup '!$A$2:$A$300&amp;"")=_xlpm.k)*1,IFERROR('Makeup '!$F$2:$F$300*1,0))))</f>
        <v>0</v>
      </c>
      <c r="CF243" t="str" cm="1">
        <f t="array" ref="CF243">IF($AW243="","",_xlfn.LET(_xlpm.c,IFERROR(TRIM(INDEX('Sales and count'!$B$4:$B$300,$BF243)&amp;""),""),IF(OR(_xlpm.c="",_xlpm.c="0",LEFT(_xlpm.c,1)="#"),"Not set",_xlpm.c)))</f>
        <v/>
      </c>
      <c r="CH243" cm="1">
        <f t="array" ref="CH243">IF($AW243="",0,_xlfn.LET(_xlpm.k,IFERROR(_xlfn.XLOOKUP($AW243,$CD$6:$CD$21,$CE$6:$CE$21),$AW243),--(SUMPRODUCT((TRIM('Makeup '!$A$2:$A$300&amp;"")=_xlpm.k)*ISNUMBER('Makeup '!$F$2:$F$300))&gt;0)))</f>
        <v>0</v>
      </c>
      <c r="CI243">
        <f t="shared" si="128"/>
        <v>0</v>
      </c>
      <c r="CJ243" cm="1">
        <f t="array" ref="CJ243">IF($AW243="",0,--(SUMPRODUCT(--(TRIM(Footfall!$B$5:$B$301)=$AW243))&gt;0))</f>
        <v>0</v>
      </c>
      <c r="CK243" s="8" cm="1">
        <f t="array" ref="CK243">IF($AW243="",0,_xlfn.LET(_xlpm.r,IFERROR(MATCH(IFERROR(_xlfn.XLOOKUP($AW243,$BT$5:$BT$22,$BU$5:$BU$22),$AW243),TRIM('TY Beauty Target'!$B$5:$B$300&amp;""),0),""),IF(ISNUMBER(_xlpm.r),SUMPRODUCT(('TY Beauty Target'!$L$2:$AP$2&gt;=$U$4)*('TY Beauty Target'!$L$2:$AP$2&lt;=$U$5),INDEX('TY Beauty Target'!$L$5:$AP$300,_xlpm.r,0)),0)))</f>
        <v>0</v>
      </c>
    </row>
    <row r="244" spans="28:89" x14ac:dyDescent="0.25">
      <c r="AB244" s="40" t="str" cm="1">
        <f t="array" ref="AB244">IF($AI244="","",IF(LEFT($AI244,2)="C|",IF($C244="","",SUMPRODUCT($AP$5:$AP$302*($AO$5:$AO$302=$A244),$CK$5:$CK$302)),IF($AI244="CT",AB$13,IF(LEFT($AI244,3)="AM|",IF($C244="","",SUMPRODUCT($AP$5:$AP$302*($AN$5:$AN$302=$A244),$CK$5:$CK$302)),IF(LEFT($AI244,2)="S|",IF($AG244="","",INDEX($CK$5:$CK$302,$AH244)),IF($AI244="HDR","Makeup Target",""))))))</f>
        <v/>
      </c>
      <c r="AC244" s="41" t="str">
        <f t="shared" si="129"/>
        <v/>
      </c>
      <c r="AN244" s="8" t="str" cm="1">
        <f t="array" ref="AN244">IF($AW244="","",_xlfn.LET(_xlpm.sa,IFERROR(TRIM(INDEX('Sales and count'!$D$4:$D$300,$BF244)&amp;""),""),_xlpm.ta,IFERROR(TRIM(INDEX('TY Sales Target'!$F$5:$F$300,$BG244)&amp;""),""),IF(AND(_xlpm.sa&lt;&gt;"",LEFT(_xlpm.sa,1)&lt;&gt;"#",_xlpm.sa&lt;&gt;"0"),_xlpm.sa,IF(AND(_xlpm.ta&lt;&gt;"",LEFT(_xlpm.ta,1)&lt;&gt;"#",_xlpm.ta&lt;&gt;"0"),_xlpm.ta,IF(ISNUMBER($BG244),"Unassigned","")))))</f>
        <v/>
      </c>
      <c r="AO244" s="8" t="str" cm="1">
        <f t="array" ref="AO244">IF($AW244="","",_xlfn.LET(_xlpm.sa,IFERROR(TRIM(INDEX('Sales and count'!$C$4:$C$300,$BF244)&amp;""),""),_xlpm.ta,IFERROR(TRIM(INDEX('TY Sales Target'!$D$5:$D$300,$BG244)&amp;""),""),IF(AND(_xlpm.sa&lt;&gt;"",LEFT(_xlpm.sa,1)&lt;&gt;"#",_xlpm.sa&lt;&gt;"0"),_xlpm.sa,IF(AND(_xlpm.ta&lt;&gt;"",LEFT(_xlpm.ta,1)&lt;&gt;"#",_xlpm.ta&lt;&gt;"0"),_xlpm.ta,""))))</f>
        <v/>
      </c>
      <c r="AP244" s="8">
        <f t="shared" si="126"/>
        <v>0</v>
      </c>
      <c r="AQ244" s="8">
        <f t="shared" si="127"/>
        <v>0</v>
      </c>
      <c r="AR244" s="8" cm="1">
        <f t="array" ref="AR244">IF($BF244="",0,_xlfn.LET(_xlpm.d,IFERROR(--'Sales and count'!$G$2:$CC$2,0),SUMPRODUCT(('Sales and count'!$G$3:$CC$3="Total")*(_xlpm.d&gt;=$U$4)*(_xlpm.d&lt;=$U$5),INDEX('Sales and count'!$G$4:$CC$300,$BF244,0))))</f>
        <v>0</v>
      </c>
      <c r="AS244" s="8" cm="1">
        <f t="array" ref="AS244">IF($BF244="",0,_xlfn.LET(_xlpm.d,IFERROR(--'Sales and count'!$F$2:$CB$2,0),SUMPRODUCT(('Sales and count'!$G$3:$CC$3="Transactions")*(_xlpm.d&gt;=$U$4)*(_xlpm.d&lt;=$U$5),INDEX('Sales and count'!$G$4:$CC$300,$BF244,0))))</f>
        <v>0</v>
      </c>
      <c r="AT244" s="8" cm="1">
        <f t="array" ref="AT244">IF($AW244="",0,SUMPRODUCT((TRIM('LY Sales '!$B$5:$B$200)=$AW244)*('LY Sales '!$C$2:$AG$2&gt;=EDATE($U$4,-12))*('LY Sales '!$C$2:$AG$2&lt;=EDATE($U$5,-12)),'LY Sales '!$C$5:$AG$200))</f>
        <v>0</v>
      </c>
      <c r="AU244" s="8" cm="1">
        <f t="array" ref="AU244">IF($AW244="",0,SUMPRODUCT((TRIM('LY Transaction'!$B$5:$B$200)=$AW244)*('LY Transaction'!$C$2:$AG$2&gt;=EDATE($U$4,-12))*('LY Transaction'!$C$2:$AG$2&lt;=EDATE($U$5,-12)),'LY Transaction'!$C$5:$AG$200))</f>
        <v>0</v>
      </c>
      <c r="AV244" s="8" cm="1">
        <f t="array" ref="AV244">IF(NOT(ISNUMBER($BG244)),0,SUMPRODUCT(('TY Sales Target'!$K$2:$AO$2&gt;=$U$4)*('TY Sales Target'!$K$2:$AO$2&lt;=$U$5),INDEX('TY Sales Target'!$K$5:$AO$300,$BG244,0)))</f>
        <v>0</v>
      </c>
      <c r="AW244" s="8" t="str" cm="1">
        <f t="array" ref="AW244">IFERROR(INDEX(_xlfn.ANCHORARRAY($BR$5),ROWS($AW$5:AW244)),"")</f>
        <v/>
      </c>
      <c r="BB244" cm="1">
        <f t="array" ref="BB244">IF($AW244="",0,SUMPRODUCT((TRIM(Footfall!$B$5:$B$301)=$AW244)*(Footfall!$C$1:$BZ$1&gt;=$U$4)*(Footfall!$C$2:$BZ$2&lt;=$U$5)*(Footfall!$C$1:$BZ$1&lt;&gt;""),Footfall!$C$5:$BZ$301))</f>
        <v>0</v>
      </c>
      <c r="BC244" cm="1">
        <f t="array" ref="BC244">IF(OR($BB244&lt;=0,$BD$1="",$BF244=""),0,_xlfn.LET(_xlpm.d,IFERROR(--'Sales and count'!$F$2:$CB$2,0),SUMPRODUCT(('Sales and count'!$G$3:$CC$3="Transactions")*(_xlpm.d&gt;=$BD$1)*(_xlpm.d&lt;=$BD$2),INDEX('Sales and count'!$G$4:$CC$300,$BF244,0))))</f>
        <v>0</v>
      </c>
      <c r="BF244" t="str" cm="1">
        <f t="array" ref="BF244">IF($AW244="","",IFERROR(MATCH($AW244,TRIM('Sales and count'!$A$4:$A$300&amp;""),0),""))</f>
        <v/>
      </c>
      <c r="BG244" t="str" cm="1">
        <f t="array" ref="BG244">IF($AW244="","",IFERROR(MATCH(IFERROR(_xlfn.XLOOKUP($AW244,$BT$5:$BT$22,$BU$5:$BU$22),$AW244),TRIM('TY Sales Target'!$B$5:$B$300&amp;""),0),""))</f>
        <v/>
      </c>
      <c r="BH244" t="str" cm="1">
        <f t="array" ref="BH244">IF(ISNUMBER($BG244),_xlfn.LET(_xlpm.p,TRIM(INDEX('TY Sales Target'!$I$5:$I$300,$BG244)&amp;""),IF(_xlpm.p="","Not set",_xlpm.p)),"Not set")</f>
        <v>Not set</v>
      </c>
      <c r="BI244" cm="1">
        <f t="array" ref="BI244">IF($BF244="",0,_xlfn.LET(_xlpm.d,IFERROR(--'Sales and count'!$G$2:$CC$2,0),SUMPRODUCT(('Sales and count'!$G$3:$CC$3="Total")*(_xlpm.d&gt;=$BZ$5)*(_xlpm.d&lt;=$BZ$6),INDEX('Sales and count'!$G$4:$CC$300,$BF244,0))))</f>
        <v>0</v>
      </c>
      <c r="BJ244" cm="1">
        <f t="array" ref="BJ244">IF($AW244="",0,SUMPRODUCT((TRIM('LY Sales '!$B$5:$B$200)=$AW244)*('LY Sales '!$C$2:$AG$2&gt;=EDATE($BZ$5,-12))*('LY Sales '!$C$2:$AG$2&lt;=EDATE($BZ$6,-12)),'LY Sales '!$C$5:$AG$200))</f>
        <v>0</v>
      </c>
      <c r="BK244" cm="1">
        <f t="array" ref="BK244">IF($AW244="",0,SUMPRODUCT((TRIM('LY Sales '!$B$5:$B$200)=$AW244)*('LY Sales '!$C$2:$AG$2&gt;=EDATE($BZ$5,-12))*('LY Sales '!$C$2:$AG$2&lt;=EDATE($BZ$7,-12)),'LY Sales '!$C$5:$AG$200))</f>
        <v>0</v>
      </c>
      <c r="BL244" cm="1">
        <f t="array" ref="BL244">IF($AW244="",0,SUMPRODUCT((TRIM('LY Sales '!$B$5:$B$200)=$AW244)*('LY Sales '!$C$2:$AG$2&gt;=EDATE($BZ$5,-12))*('LY Sales '!$C$2:$AG$2&lt;=EDATE($BZ$6,-12))*('LY Sales '!$C$5:$AG$200&gt;0)))</f>
        <v>0</v>
      </c>
      <c r="BM244" cm="1">
        <f t="array" ref="BM244">IF(NOT(ISNUMBER($BG244)),0,SUMPRODUCT(('TY Sales Target'!$K$2:$AO$2&gt;=$BZ$5)*('TY Sales Target'!$K$2:$AO$2&lt;=$BZ$6),INDEX('TY Sales Target'!$K$5:$AO$300,$BG244,0)))</f>
        <v>0</v>
      </c>
      <c r="BN244" cm="1">
        <f t="array" ref="BN244">IF(NOT(ISNUMBER($BG244)),0,SUMPRODUCT(('TY Sales Target'!$K$2:$AO$2&gt;=$BZ$5)*('TY Sales Target'!$K$2:$AO$2&lt;=$BZ$7),INDEX('TY Sales Target'!$K$5:$AO$300,$BG244,0)))</f>
        <v>0</v>
      </c>
      <c r="BO244" cm="1">
        <f t="array" ref="BO244">IF($AW244="",0,IFERROR(_xlfn.SWITCH($BP244,"LY trend",$BI244*$BK244/$BJ244,"Target curve",$BI244*$BN244/$BM244,"Run rate",$BI244/$BZ$8*$BZ$9,0),0))</f>
        <v>0</v>
      </c>
      <c r="BP244" t="str">
        <f t="shared" si="125"/>
        <v/>
      </c>
      <c r="CB244" cm="1">
        <f t="array" ref="CB244">IF($AW244="",0,_xlfn.LET(_xlpm.k,IFERROR(_xlfn.XLOOKUP($AW244,$CD$6:$CD$21,$CE$6:$CE$21),$AW244),SUMPRODUCT((TRIM('Makeup '!$A$2:$A$300&amp;"")=_xlpm.k)*1,IFERROR('Makeup '!$F$2:$F$300*1,0))))</f>
        <v>0</v>
      </c>
      <c r="CF244" t="str" cm="1">
        <f t="array" ref="CF244">IF($AW244="","",_xlfn.LET(_xlpm.c,IFERROR(TRIM(INDEX('Sales and count'!$B$4:$B$300,$BF244)&amp;""),""),IF(OR(_xlpm.c="",_xlpm.c="0",LEFT(_xlpm.c,1)="#"),"Not set",_xlpm.c)))</f>
        <v/>
      </c>
      <c r="CH244" cm="1">
        <f t="array" ref="CH244">IF($AW244="",0,_xlfn.LET(_xlpm.k,IFERROR(_xlfn.XLOOKUP($AW244,$CD$6:$CD$21,$CE$6:$CE$21),$AW244),--(SUMPRODUCT((TRIM('Makeup '!$A$2:$A$300&amp;"")=_xlpm.k)*ISNUMBER('Makeup '!$F$2:$F$300))&gt;0)))</f>
        <v>0</v>
      </c>
      <c r="CI244">
        <f t="shared" si="128"/>
        <v>0</v>
      </c>
      <c r="CJ244" cm="1">
        <f t="array" ref="CJ244">IF($AW244="",0,--(SUMPRODUCT(--(TRIM(Footfall!$B$5:$B$301)=$AW244))&gt;0))</f>
        <v>0</v>
      </c>
      <c r="CK244" s="8" cm="1">
        <f t="array" ref="CK244">IF($AW244="",0,_xlfn.LET(_xlpm.r,IFERROR(MATCH(IFERROR(_xlfn.XLOOKUP($AW244,$BT$5:$BT$22,$BU$5:$BU$22),$AW244),TRIM('TY Beauty Target'!$B$5:$B$300&amp;""),0),""),IF(ISNUMBER(_xlpm.r),SUMPRODUCT(('TY Beauty Target'!$L$2:$AP$2&gt;=$U$4)*('TY Beauty Target'!$L$2:$AP$2&lt;=$U$5),INDEX('TY Beauty Target'!$L$5:$AP$300,_xlpm.r,0)),0)))</f>
        <v>0</v>
      </c>
    </row>
    <row r="245" spans="28:89" x14ac:dyDescent="0.25">
      <c r="AB245" s="40" t="str" cm="1">
        <f t="array" ref="AB245">IF($AI245="","",IF(LEFT($AI245,2)="C|",IF($C245="","",SUMPRODUCT($AP$5:$AP$302*($AO$5:$AO$302=$A245),$CK$5:$CK$302)),IF($AI245="CT",AB$13,IF(LEFT($AI245,3)="AM|",IF($C245="","",SUMPRODUCT($AP$5:$AP$302*($AN$5:$AN$302=$A245),$CK$5:$CK$302)),IF(LEFT($AI245,2)="S|",IF($AG245="","",INDEX($CK$5:$CK$302,$AH245)),IF($AI245="HDR","Makeup Target",""))))))</f>
        <v/>
      </c>
      <c r="AC245" s="41" t="str">
        <f t="shared" si="129"/>
        <v/>
      </c>
      <c r="AN245" s="8" t="str" cm="1">
        <f t="array" ref="AN245">IF($AW245="","",_xlfn.LET(_xlpm.sa,IFERROR(TRIM(INDEX('Sales and count'!$D$4:$D$300,$BF245)&amp;""),""),_xlpm.ta,IFERROR(TRIM(INDEX('TY Sales Target'!$F$5:$F$300,$BG245)&amp;""),""),IF(AND(_xlpm.sa&lt;&gt;"",LEFT(_xlpm.sa,1)&lt;&gt;"#",_xlpm.sa&lt;&gt;"0"),_xlpm.sa,IF(AND(_xlpm.ta&lt;&gt;"",LEFT(_xlpm.ta,1)&lt;&gt;"#",_xlpm.ta&lt;&gt;"0"),_xlpm.ta,IF(ISNUMBER($BG245),"Unassigned","")))))</f>
        <v/>
      </c>
      <c r="AO245" s="8" t="str" cm="1">
        <f t="array" ref="AO245">IF($AW245="","",_xlfn.LET(_xlpm.sa,IFERROR(TRIM(INDEX('Sales and count'!$C$4:$C$300,$BF245)&amp;""),""),_xlpm.ta,IFERROR(TRIM(INDEX('TY Sales Target'!$D$5:$D$300,$BG245)&amp;""),""),IF(AND(_xlpm.sa&lt;&gt;"",LEFT(_xlpm.sa,1)&lt;&gt;"#",_xlpm.sa&lt;&gt;"0"),_xlpm.sa,IF(AND(_xlpm.ta&lt;&gt;"",LEFT(_xlpm.ta,1)&lt;&gt;"#",_xlpm.ta&lt;&gt;"0"),_xlpm.ta,""))))</f>
        <v/>
      </c>
      <c r="AP245" s="8">
        <f t="shared" si="126"/>
        <v>0</v>
      </c>
      <c r="AQ245" s="8">
        <f t="shared" si="127"/>
        <v>0</v>
      </c>
      <c r="AR245" s="8" cm="1">
        <f t="array" ref="AR245">IF($BF245="",0,_xlfn.LET(_xlpm.d,IFERROR(--'Sales and count'!$G$2:$CC$2,0),SUMPRODUCT(('Sales and count'!$G$3:$CC$3="Total")*(_xlpm.d&gt;=$U$4)*(_xlpm.d&lt;=$U$5),INDEX('Sales and count'!$G$4:$CC$300,$BF245,0))))</f>
        <v>0</v>
      </c>
      <c r="AS245" s="8" cm="1">
        <f t="array" ref="AS245">IF($BF245="",0,_xlfn.LET(_xlpm.d,IFERROR(--'Sales and count'!$F$2:$CB$2,0),SUMPRODUCT(('Sales and count'!$G$3:$CC$3="Transactions")*(_xlpm.d&gt;=$U$4)*(_xlpm.d&lt;=$U$5),INDEX('Sales and count'!$G$4:$CC$300,$BF245,0))))</f>
        <v>0</v>
      </c>
      <c r="AT245" s="8" cm="1">
        <f t="array" ref="AT245">IF($AW245="",0,SUMPRODUCT((TRIM('LY Sales '!$B$5:$B$200)=$AW245)*('LY Sales '!$C$2:$AG$2&gt;=EDATE($U$4,-12))*('LY Sales '!$C$2:$AG$2&lt;=EDATE($U$5,-12)),'LY Sales '!$C$5:$AG$200))</f>
        <v>0</v>
      </c>
      <c r="AU245" s="8" cm="1">
        <f t="array" ref="AU245">IF($AW245="",0,SUMPRODUCT((TRIM('LY Transaction'!$B$5:$B$200)=$AW245)*('LY Transaction'!$C$2:$AG$2&gt;=EDATE($U$4,-12))*('LY Transaction'!$C$2:$AG$2&lt;=EDATE($U$5,-12)),'LY Transaction'!$C$5:$AG$200))</f>
        <v>0</v>
      </c>
      <c r="AV245" s="8" cm="1">
        <f t="array" ref="AV245">IF(NOT(ISNUMBER($BG245)),0,SUMPRODUCT(('TY Sales Target'!$K$2:$AO$2&gt;=$U$4)*('TY Sales Target'!$K$2:$AO$2&lt;=$U$5),INDEX('TY Sales Target'!$K$5:$AO$300,$BG245,0)))</f>
        <v>0</v>
      </c>
      <c r="AW245" s="8" t="str" cm="1">
        <f t="array" ref="AW245">IFERROR(INDEX(_xlfn.ANCHORARRAY($BR$5),ROWS($AW$5:AW245)),"")</f>
        <v/>
      </c>
      <c r="BB245" cm="1">
        <f t="array" ref="BB245">IF($AW245="",0,SUMPRODUCT((TRIM(Footfall!$B$5:$B$301)=$AW245)*(Footfall!$C$1:$BZ$1&gt;=$U$4)*(Footfall!$C$2:$BZ$2&lt;=$U$5)*(Footfall!$C$1:$BZ$1&lt;&gt;""),Footfall!$C$5:$BZ$301))</f>
        <v>0</v>
      </c>
      <c r="BC245" cm="1">
        <f t="array" ref="BC245">IF(OR($BB245&lt;=0,$BD$1="",$BF245=""),0,_xlfn.LET(_xlpm.d,IFERROR(--'Sales and count'!$F$2:$CB$2,0),SUMPRODUCT(('Sales and count'!$G$3:$CC$3="Transactions")*(_xlpm.d&gt;=$BD$1)*(_xlpm.d&lt;=$BD$2),INDEX('Sales and count'!$G$4:$CC$300,$BF245,0))))</f>
        <v>0</v>
      </c>
      <c r="BF245" t="str" cm="1">
        <f t="array" ref="BF245">IF($AW245="","",IFERROR(MATCH($AW245,TRIM('Sales and count'!$A$4:$A$300&amp;""),0),""))</f>
        <v/>
      </c>
      <c r="BG245" t="str" cm="1">
        <f t="array" ref="BG245">IF($AW245="","",IFERROR(MATCH(IFERROR(_xlfn.XLOOKUP($AW245,$BT$5:$BT$22,$BU$5:$BU$22),$AW245),TRIM('TY Sales Target'!$B$5:$B$300&amp;""),0),""))</f>
        <v/>
      </c>
      <c r="BH245" t="str" cm="1">
        <f t="array" ref="BH245">IF(ISNUMBER($BG245),_xlfn.LET(_xlpm.p,TRIM(INDEX('TY Sales Target'!$I$5:$I$300,$BG245)&amp;""),IF(_xlpm.p="","Not set",_xlpm.p)),"Not set")</f>
        <v>Not set</v>
      </c>
      <c r="BI245" cm="1">
        <f t="array" ref="BI245">IF($BF245="",0,_xlfn.LET(_xlpm.d,IFERROR(--'Sales and count'!$G$2:$CC$2,0),SUMPRODUCT(('Sales and count'!$G$3:$CC$3="Total")*(_xlpm.d&gt;=$BZ$5)*(_xlpm.d&lt;=$BZ$6),INDEX('Sales and count'!$G$4:$CC$300,$BF245,0))))</f>
        <v>0</v>
      </c>
      <c r="BJ245" cm="1">
        <f t="array" ref="BJ245">IF($AW245="",0,SUMPRODUCT((TRIM('LY Sales '!$B$5:$B$200)=$AW245)*('LY Sales '!$C$2:$AG$2&gt;=EDATE($BZ$5,-12))*('LY Sales '!$C$2:$AG$2&lt;=EDATE($BZ$6,-12)),'LY Sales '!$C$5:$AG$200))</f>
        <v>0</v>
      </c>
      <c r="BK245" cm="1">
        <f t="array" ref="BK245">IF($AW245="",0,SUMPRODUCT((TRIM('LY Sales '!$B$5:$B$200)=$AW245)*('LY Sales '!$C$2:$AG$2&gt;=EDATE($BZ$5,-12))*('LY Sales '!$C$2:$AG$2&lt;=EDATE($BZ$7,-12)),'LY Sales '!$C$5:$AG$200))</f>
        <v>0</v>
      </c>
      <c r="BL245" cm="1">
        <f t="array" ref="BL245">IF($AW245="",0,SUMPRODUCT((TRIM('LY Sales '!$B$5:$B$200)=$AW245)*('LY Sales '!$C$2:$AG$2&gt;=EDATE($BZ$5,-12))*('LY Sales '!$C$2:$AG$2&lt;=EDATE($BZ$6,-12))*('LY Sales '!$C$5:$AG$200&gt;0)))</f>
        <v>0</v>
      </c>
      <c r="BM245" cm="1">
        <f t="array" ref="BM245">IF(NOT(ISNUMBER($BG245)),0,SUMPRODUCT(('TY Sales Target'!$K$2:$AO$2&gt;=$BZ$5)*('TY Sales Target'!$K$2:$AO$2&lt;=$BZ$6),INDEX('TY Sales Target'!$K$5:$AO$300,$BG245,0)))</f>
        <v>0</v>
      </c>
      <c r="BN245" cm="1">
        <f t="array" ref="BN245">IF(NOT(ISNUMBER($BG245)),0,SUMPRODUCT(('TY Sales Target'!$K$2:$AO$2&gt;=$BZ$5)*('TY Sales Target'!$K$2:$AO$2&lt;=$BZ$7),INDEX('TY Sales Target'!$K$5:$AO$300,$BG245,0)))</f>
        <v>0</v>
      </c>
      <c r="BO245" cm="1">
        <f t="array" ref="BO245">IF($AW245="",0,IFERROR(_xlfn.SWITCH($BP245,"LY trend",$BI245*$BK245/$BJ245,"Target curve",$BI245*$BN245/$BM245,"Run rate",$BI245/$BZ$8*$BZ$9,0),0))</f>
        <v>0</v>
      </c>
      <c r="BP245" t="str">
        <f t="shared" si="125"/>
        <v/>
      </c>
      <c r="CB245" cm="1">
        <f t="array" ref="CB245">IF($AW245="",0,_xlfn.LET(_xlpm.k,IFERROR(_xlfn.XLOOKUP($AW245,$CD$6:$CD$21,$CE$6:$CE$21),$AW245),SUMPRODUCT((TRIM('Makeup '!$A$2:$A$300&amp;"")=_xlpm.k)*1,IFERROR('Makeup '!$F$2:$F$300*1,0))))</f>
        <v>0</v>
      </c>
      <c r="CF245" t="str" cm="1">
        <f t="array" ref="CF245">IF($AW245="","",_xlfn.LET(_xlpm.c,IFERROR(TRIM(INDEX('Sales and count'!$B$4:$B$300,$BF245)&amp;""),""),IF(OR(_xlpm.c="",_xlpm.c="0",LEFT(_xlpm.c,1)="#"),"Not set",_xlpm.c)))</f>
        <v/>
      </c>
      <c r="CH245" cm="1">
        <f t="array" ref="CH245">IF($AW245="",0,_xlfn.LET(_xlpm.k,IFERROR(_xlfn.XLOOKUP($AW245,$CD$6:$CD$21,$CE$6:$CE$21),$AW245),--(SUMPRODUCT((TRIM('Makeup '!$A$2:$A$300&amp;"")=_xlpm.k)*ISNUMBER('Makeup '!$F$2:$F$300))&gt;0)))</f>
        <v>0</v>
      </c>
      <c r="CI245">
        <f t="shared" si="128"/>
        <v>0</v>
      </c>
      <c r="CJ245" cm="1">
        <f t="array" ref="CJ245">IF($AW245="",0,--(SUMPRODUCT(--(TRIM(Footfall!$B$5:$B$301)=$AW245))&gt;0))</f>
        <v>0</v>
      </c>
      <c r="CK245" s="8" cm="1">
        <f t="array" ref="CK245">IF($AW245="",0,_xlfn.LET(_xlpm.r,IFERROR(MATCH(IFERROR(_xlfn.XLOOKUP($AW245,$BT$5:$BT$22,$BU$5:$BU$22),$AW245),TRIM('TY Beauty Target'!$B$5:$B$300&amp;""),0),""),IF(ISNUMBER(_xlpm.r),SUMPRODUCT(('TY Beauty Target'!$L$2:$AP$2&gt;=$U$4)*('TY Beauty Target'!$L$2:$AP$2&lt;=$U$5),INDEX('TY Beauty Target'!$L$5:$AP$300,_xlpm.r,0)),0)))</f>
        <v>0</v>
      </c>
    </row>
    <row r="246" spans="28:89" x14ac:dyDescent="0.25">
      <c r="AB246" s="40" t="str" cm="1">
        <f t="array" ref="AB246">IF($AI246="","",IF(LEFT($AI246,2)="C|",IF($C246="","",SUMPRODUCT($AP$5:$AP$302*($AO$5:$AO$302=$A246),$CK$5:$CK$302)),IF($AI246="CT",AB$13,IF(LEFT($AI246,3)="AM|",IF($C246="","",SUMPRODUCT($AP$5:$AP$302*($AN$5:$AN$302=$A246),$CK$5:$CK$302)),IF(LEFT($AI246,2)="S|",IF($AG246="","",INDEX($CK$5:$CK$302,$AH246)),IF($AI246="HDR","Makeup Target",""))))))</f>
        <v/>
      </c>
      <c r="AC246" s="41" t="str">
        <f t="shared" si="129"/>
        <v/>
      </c>
      <c r="AN246" s="8" t="str" cm="1">
        <f t="array" ref="AN246">IF($AW246="","",_xlfn.LET(_xlpm.sa,IFERROR(TRIM(INDEX('Sales and count'!$D$4:$D$300,$BF246)&amp;""),""),_xlpm.ta,IFERROR(TRIM(INDEX('TY Sales Target'!$F$5:$F$300,$BG246)&amp;""),""),IF(AND(_xlpm.sa&lt;&gt;"",LEFT(_xlpm.sa,1)&lt;&gt;"#",_xlpm.sa&lt;&gt;"0"),_xlpm.sa,IF(AND(_xlpm.ta&lt;&gt;"",LEFT(_xlpm.ta,1)&lt;&gt;"#",_xlpm.ta&lt;&gt;"0"),_xlpm.ta,IF(ISNUMBER($BG246),"Unassigned","")))))</f>
        <v/>
      </c>
      <c r="AO246" s="8" t="str" cm="1">
        <f t="array" ref="AO246">IF($AW246="","",_xlfn.LET(_xlpm.sa,IFERROR(TRIM(INDEX('Sales and count'!$C$4:$C$300,$BF246)&amp;""),""),_xlpm.ta,IFERROR(TRIM(INDEX('TY Sales Target'!$D$5:$D$300,$BG246)&amp;""),""),IF(AND(_xlpm.sa&lt;&gt;"",LEFT(_xlpm.sa,1)&lt;&gt;"#",_xlpm.sa&lt;&gt;"0"),_xlpm.sa,IF(AND(_xlpm.ta&lt;&gt;"",LEFT(_xlpm.ta,1)&lt;&gt;"#",_xlpm.ta&lt;&gt;"0"),_xlpm.ta,""))))</f>
        <v/>
      </c>
      <c r="AP246" s="8">
        <f t="shared" si="126"/>
        <v>0</v>
      </c>
      <c r="AQ246" s="8">
        <f t="shared" si="127"/>
        <v>0</v>
      </c>
      <c r="AR246" s="8" cm="1">
        <f t="array" ref="AR246">IF($BF246="",0,_xlfn.LET(_xlpm.d,IFERROR(--'Sales and count'!$G$2:$CC$2,0),SUMPRODUCT(('Sales and count'!$G$3:$CC$3="Total")*(_xlpm.d&gt;=$U$4)*(_xlpm.d&lt;=$U$5),INDEX('Sales and count'!$G$4:$CC$300,$BF246,0))))</f>
        <v>0</v>
      </c>
      <c r="AS246" s="8" cm="1">
        <f t="array" ref="AS246">IF($BF246="",0,_xlfn.LET(_xlpm.d,IFERROR(--'Sales and count'!$F$2:$CB$2,0),SUMPRODUCT(('Sales and count'!$G$3:$CC$3="Transactions")*(_xlpm.d&gt;=$U$4)*(_xlpm.d&lt;=$U$5),INDEX('Sales and count'!$G$4:$CC$300,$BF246,0))))</f>
        <v>0</v>
      </c>
      <c r="AT246" s="8" cm="1">
        <f t="array" ref="AT246">IF($AW246="",0,SUMPRODUCT((TRIM('LY Sales '!$B$5:$B$200)=$AW246)*('LY Sales '!$C$2:$AG$2&gt;=EDATE($U$4,-12))*('LY Sales '!$C$2:$AG$2&lt;=EDATE($U$5,-12)),'LY Sales '!$C$5:$AG$200))</f>
        <v>0</v>
      </c>
      <c r="AU246" s="8" cm="1">
        <f t="array" ref="AU246">IF($AW246="",0,SUMPRODUCT((TRIM('LY Transaction'!$B$5:$B$200)=$AW246)*('LY Transaction'!$C$2:$AG$2&gt;=EDATE($U$4,-12))*('LY Transaction'!$C$2:$AG$2&lt;=EDATE($U$5,-12)),'LY Transaction'!$C$5:$AG$200))</f>
        <v>0</v>
      </c>
      <c r="AV246" s="8" cm="1">
        <f t="array" ref="AV246">IF(NOT(ISNUMBER($BG246)),0,SUMPRODUCT(('TY Sales Target'!$K$2:$AO$2&gt;=$U$4)*('TY Sales Target'!$K$2:$AO$2&lt;=$U$5),INDEX('TY Sales Target'!$K$5:$AO$300,$BG246,0)))</f>
        <v>0</v>
      </c>
      <c r="AW246" s="8" t="str" cm="1">
        <f t="array" ref="AW246">IFERROR(INDEX(_xlfn.ANCHORARRAY($BR$5),ROWS($AW$5:AW246)),"")</f>
        <v/>
      </c>
      <c r="BB246" cm="1">
        <f t="array" ref="BB246">IF($AW246="",0,SUMPRODUCT((TRIM(Footfall!$B$5:$B$301)=$AW246)*(Footfall!$C$1:$BZ$1&gt;=$U$4)*(Footfall!$C$2:$BZ$2&lt;=$U$5)*(Footfall!$C$1:$BZ$1&lt;&gt;""),Footfall!$C$5:$BZ$301))</f>
        <v>0</v>
      </c>
      <c r="BC246" cm="1">
        <f t="array" ref="BC246">IF(OR($BB246&lt;=0,$BD$1="",$BF246=""),0,_xlfn.LET(_xlpm.d,IFERROR(--'Sales and count'!$F$2:$CB$2,0),SUMPRODUCT(('Sales and count'!$G$3:$CC$3="Transactions")*(_xlpm.d&gt;=$BD$1)*(_xlpm.d&lt;=$BD$2),INDEX('Sales and count'!$G$4:$CC$300,$BF246,0))))</f>
        <v>0</v>
      </c>
      <c r="BF246" t="str" cm="1">
        <f t="array" ref="BF246">IF($AW246="","",IFERROR(MATCH($AW246,TRIM('Sales and count'!$A$4:$A$300&amp;""),0),""))</f>
        <v/>
      </c>
      <c r="BG246" t="str" cm="1">
        <f t="array" ref="BG246">IF($AW246="","",IFERROR(MATCH(IFERROR(_xlfn.XLOOKUP($AW246,$BT$5:$BT$22,$BU$5:$BU$22),$AW246),TRIM('TY Sales Target'!$B$5:$B$300&amp;""),0),""))</f>
        <v/>
      </c>
      <c r="BH246" t="str" cm="1">
        <f t="array" ref="BH246">IF(ISNUMBER($BG246),_xlfn.LET(_xlpm.p,TRIM(INDEX('TY Sales Target'!$I$5:$I$300,$BG246)&amp;""),IF(_xlpm.p="","Not set",_xlpm.p)),"Not set")</f>
        <v>Not set</v>
      </c>
      <c r="BI246" cm="1">
        <f t="array" ref="BI246">IF($BF246="",0,_xlfn.LET(_xlpm.d,IFERROR(--'Sales and count'!$G$2:$CC$2,0),SUMPRODUCT(('Sales and count'!$G$3:$CC$3="Total")*(_xlpm.d&gt;=$BZ$5)*(_xlpm.d&lt;=$BZ$6),INDEX('Sales and count'!$G$4:$CC$300,$BF246,0))))</f>
        <v>0</v>
      </c>
      <c r="BJ246" cm="1">
        <f t="array" ref="BJ246">IF($AW246="",0,SUMPRODUCT((TRIM('LY Sales '!$B$5:$B$200)=$AW246)*('LY Sales '!$C$2:$AG$2&gt;=EDATE($BZ$5,-12))*('LY Sales '!$C$2:$AG$2&lt;=EDATE($BZ$6,-12)),'LY Sales '!$C$5:$AG$200))</f>
        <v>0</v>
      </c>
      <c r="BK246" cm="1">
        <f t="array" ref="BK246">IF($AW246="",0,SUMPRODUCT((TRIM('LY Sales '!$B$5:$B$200)=$AW246)*('LY Sales '!$C$2:$AG$2&gt;=EDATE($BZ$5,-12))*('LY Sales '!$C$2:$AG$2&lt;=EDATE($BZ$7,-12)),'LY Sales '!$C$5:$AG$200))</f>
        <v>0</v>
      </c>
      <c r="BL246" cm="1">
        <f t="array" ref="BL246">IF($AW246="",0,SUMPRODUCT((TRIM('LY Sales '!$B$5:$B$200)=$AW246)*('LY Sales '!$C$2:$AG$2&gt;=EDATE($BZ$5,-12))*('LY Sales '!$C$2:$AG$2&lt;=EDATE($BZ$6,-12))*('LY Sales '!$C$5:$AG$200&gt;0)))</f>
        <v>0</v>
      </c>
      <c r="BM246" cm="1">
        <f t="array" ref="BM246">IF(NOT(ISNUMBER($BG246)),0,SUMPRODUCT(('TY Sales Target'!$K$2:$AO$2&gt;=$BZ$5)*('TY Sales Target'!$K$2:$AO$2&lt;=$BZ$6),INDEX('TY Sales Target'!$K$5:$AO$300,$BG246,0)))</f>
        <v>0</v>
      </c>
      <c r="BN246" cm="1">
        <f t="array" ref="BN246">IF(NOT(ISNUMBER($BG246)),0,SUMPRODUCT(('TY Sales Target'!$K$2:$AO$2&gt;=$BZ$5)*('TY Sales Target'!$K$2:$AO$2&lt;=$BZ$7),INDEX('TY Sales Target'!$K$5:$AO$300,$BG246,0)))</f>
        <v>0</v>
      </c>
      <c r="BO246" cm="1">
        <f t="array" ref="BO246">IF($AW246="",0,IFERROR(_xlfn.SWITCH($BP246,"LY trend",$BI246*$BK246/$BJ246,"Target curve",$BI246*$BN246/$BM246,"Run rate",$BI246/$BZ$8*$BZ$9,0),0))</f>
        <v>0</v>
      </c>
      <c r="BP246" t="str">
        <f t="shared" si="125"/>
        <v/>
      </c>
      <c r="CB246" cm="1">
        <f t="array" ref="CB246">IF($AW246="",0,_xlfn.LET(_xlpm.k,IFERROR(_xlfn.XLOOKUP($AW246,$CD$6:$CD$21,$CE$6:$CE$21),$AW246),SUMPRODUCT((TRIM('Makeup '!$A$2:$A$300&amp;"")=_xlpm.k)*1,IFERROR('Makeup '!$F$2:$F$300*1,0))))</f>
        <v>0</v>
      </c>
      <c r="CF246" t="str" cm="1">
        <f t="array" ref="CF246">IF($AW246="","",_xlfn.LET(_xlpm.c,IFERROR(TRIM(INDEX('Sales and count'!$B$4:$B$300,$BF246)&amp;""),""),IF(OR(_xlpm.c="",_xlpm.c="0",LEFT(_xlpm.c,1)="#"),"Not set",_xlpm.c)))</f>
        <v/>
      </c>
      <c r="CH246" cm="1">
        <f t="array" ref="CH246">IF($AW246="",0,_xlfn.LET(_xlpm.k,IFERROR(_xlfn.XLOOKUP($AW246,$CD$6:$CD$21,$CE$6:$CE$21),$AW246),--(SUMPRODUCT((TRIM('Makeup '!$A$2:$A$300&amp;"")=_xlpm.k)*ISNUMBER('Makeup '!$F$2:$F$300))&gt;0)))</f>
        <v>0</v>
      </c>
      <c r="CI246">
        <f t="shared" si="128"/>
        <v>0</v>
      </c>
      <c r="CJ246" cm="1">
        <f t="array" ref="CJ246">IF($AW246="",0,--(SUMPRODUCT(--(TRIM(Footfall!$B$5:$B$301)=$AW246))&gt;0))</f>
        <v>0</v>
      </c>
      <c r="CK246" s="8" cm="1">
        <f t="array" ref="CK246">IF($AW246="",0,_xlfn.LET(_xlpm.r,IFERROR(MATCH(IFERROR(_xlfn.XLOOKUP($AW246,$BT$5:$BT$22,$BU$5:$BU$22),$AW246),TRIM('TY Beauty Target'!$B$5:$B$300&amp;""),0),""),IF(ISNUMBER(_xlpm.r),SUMPRODUCT(('TY Beauty Target'!$L$2:$AP$2&gt;=$U$4)*('TY Beauty Target'!$L$2:$AP$2&lt;=$U$5),INDEX('TY Beauty Target'!$L$5:$AP$300,_xlpm.r,0)),0)))</f>
        <v>0</v>
      </c>
    </row>
    <row r="247" spans="28:89" x14ac:dyDescent="0.25">
      <c r="AB247" s="40" t="str" cm="1">
        <f t="array" ref="AB247">IF($AI247="","",IF(LEFT($AI247,2)="C|",IF($C247="","",SUMPRODUCT($AP$5:$AP$302*($AO$5:$AO$302=$A247),$CK$5:$CK$302)),IF($AI247="CT",AB$13,IF(LEFT($AI247,3)="AM|",IF($C247="","",SUMPRODUCT($AP$5:$AP$302*($AN$5:$AN$302=$A247),$CK$5:$CK$302)),IF(LEFT($AI247,2)="S|",IF($AG247="","",INDEX($CK$5:$CK$302,$AH247)),IF($AI247="HDR","Makeup Target",""))))))</f>
        <v/>
      </c>
      <c r="AC247" s="41" t="str">
        <f t="shared" si="129"/>
        <v/>
      </c>
      <c r="AN247" s="8" t="str" cm="1">
        <f t="array" ref="AN247">IF($AW247="","",_xlfn.LET(_xlpm.sa,IFERROR(TRIM(INDEX('Sales and count'!$D$4:$D$300,$BF247)&amp;""),""),_xlpm.ta,IFERROR(TRIM(INDEX('TY Sales Target'!$F$5:$F$300,$BG247)&amp;""),""),IF(AND(_xlpm.sa&lt;&gt;"",LEFT(_xlpm.sa,1)&lt;&gt;"#",_xlpm.sa&lt;&gt;"0"),_xlpm.sa,IF(AND(_xlpm.ta&lt;&gt;"",LEFT(_xlpm.ta,1)&lt;&gt;"#",_xlpm.ta&lt;&gt;"0"),_xlpm.ta,IF(ISNUMBER($BG247),"Unassigned","")))))</f>
        <v/>
      </c>
      <c r="AO247" s="8" t="str" cm="1">
        <f t="array" ref="AO247">IF($AW247="","",_xlfn.LET(_xlpm.sa,IFERROR(TRIM(INDEX('Sales and count'!$C$4:$C$300,$BF247)&amp;""),""),_xlpm.ta,IFERROR(TRIM(INDEX('TY Sales Target'!$D$5:$D$300,$BG247)&amp;""),""),IF(AND(_xlpm.sa&lt;&gt;"",LEFT(_xlpm.sa,1)&lt;&gt;"#",_xlpm.sa&lt;&gt;"0"),_xlpm.sa,IF(AND(_xlpm.ta&lt;&gt;"",LEFT(_xlpm.ta,1)&lt;&gt;"#",_xlpm.ta&lt;&gt;"0"),_xlpm.ta,""))))</f>
        <v/>
      </c>
      <c r="AP247" s="8">
        <f t="shared" si="126"/>
        <v>0</v>
      </c>
      <c r="AQ247" s="8">
        <f t="shared" si="127"/>
        <v>0</v>
      </c>
      <c r="AR247" s="8" cm="1">
        <f t="array" ref="AR247">IF($BF247="",0,_xlfn.LET(_xlpm.d,IFERROR(--'Sales and count'!$G$2:$CC$2,0),SUMPRODUCT(('Sales and count'!$G$3:$CC$3="Total")*(_xlpm.d&gt;=$U$4)*(_xlpm.d&lt;=$U$5),INDEX('Sales and count'!$G$4:$CC$300,$BF247,0))))</f>
        <v>0</v>
      </c>
      <c r="AS247" s="8" cm="1">
        <f t="array" ref="AS247">IF($BF247="",0,_xlfn.LET(_xlpm.d,IFERROR(--'Sales and count'!$F$2:$CB$2,0),SUMPRODUCT(('Sales and count'!$G$3:$CC$3="Transactions")*(_xlpm.d&gt;=$U$4)*(_xlpm.d&lt;=$U$5),INDEX('Sales and count'!$G$4:$CC$300,$BF247,0))))</f>
        <v>0</v>
      </c>
      <c r="AT247" s="8" cm="1">
        <f t="array" ref="AT247">IF($AW247="",0,SUMPRODUCT((TRIM('LY Sales '!$B$5:$B$200)=$AW247)*('LY Sales '!$C$2:$AG$2&gt;=EDATE($U$4,-12))*('LY Sales '!$C$2:$AG$2&lt;=EDATE($U$5,-12)),'LY Sales '!$C$5:$AG$200))</f>
        <v>0</v>
      </c>
      <c r="AU247" s="8" cm="1">
        <f t="array" ref="AU247">IF($AW247="",0,SUMPRODUCT((TRIM('LY Transaction'!$B$5:$B$200)=$AW247)*('LY Transaction'!$C$2:$AG$2&gt;=EDATE($U$4,-12))*('LY Transaction'!$C$2:$AG$2&lt;=EDATE($U$5,-12)),'LY Transaction'!$C$5:$AG$200))</f>
        <v>0</v>
      </c>
      <c r="AV247" s="8" cm="1">
        <f t="array" ref="AV247">IF(NOT(ISNUMBER($BG247)),0,SUMPRODUCT(('TY Sales Target'!$K$2:$AO$2&gt;=$U$4)*('TY Sales Target'!$K$2:$AO$2&lt;=$U$5),INDEX('TY Sales Target'!$K$5:$AO$300,$BG247,0)))</f>
        <v>0</v>
      </c>
      <c r="AW247" s="8" t="str" cm="1">
        <f t="array" ref="AW247">IFERROR(INDEX(_xlfn.ANCHORARRAY($BR$5),ROWS($AW$5:AW247)),"")</f>
        <v/>
      </c>
      <c r="BB247" cm="1">
        <f t="array" ref="BB247">IF($AW247="",0,SUMPRODUCT((TRIM(Footfall!$B$5:$B$301)=$AW247)*(Footfall!$C$1:$BZ$1&gt;=$U$4)*(Footfall!$C$2:$BZ$2&lt;=$U$5)*(Footfall!$C$1:$BZ$1&lt;&gt;""),Footfall!$C$5:$BZ$301))</f>
        <v>0</v>
      </c>
      <c r="BC247" cm="1">
        <f t="array" ref="BC247">IF(OR($BB247&lt;=0,$BD$1="",$BF247=""),0,_xlfn.LET(_xlpm.d,IFERROR(--'Sales and count'!$F$2:$CB$2,0),SUMPRODUCT(('Sales and count'!$G$3:$CC$3="Transactions")*(_xlpm.d&gt;=$BD$1)*(_xlpm.d&lt;=$BD$2),INDEX('Sales and count'!$G$4:$CC$300,$BF247,0))))</f>
        <v>0</v>
      </c>
      <c r="BF247" t="str" cm="1">
        <f t="array" ref="BF247">IF($AW247="","",IFERROR(MATCH($AW247,TRIM('Sales and count'!$A$4:$A$300&amp;""),0),""))</f>
        <v/>
      </c>
      <c r="BG247" t="str" cm="1">
        <f t="array" ref="BG247">IF($AW247="","",IFERROR(MATCH(IFERROR(_xlfn.XLOOKUP($AW247,$BT$5:$BT$22,$BU$5:$BU$22),$AW247),TRIM('TY Sales Target'!$B$5:$B$300&amp;""),0),""))</f>
        <v/>
      </c>
      <c r="BH247" t="str" cm="1">
        <f t="array" ref="BH247">IF(ISNUMBER($BG247),_xlfn.LET(_xlpm.p,TRIM(INDEX('TY Sales Target'!$I$5:$I$300,$BG247)&amp;""),IF(_xlpm.p="","Not set",_xlpm.p)),"Not set")</f>
        <v>Not set</v>
      </c>
      <c r="BI247" cm="1">
        <f t="array" ref="BI247">IF($BF247="",0,_xlfn.LET(_xlpm.d,IFERROR(--'Sales and count'!$G$2:$CC$2,0),SUMPRODUCT(('Sales and count'!$G$3:$CC$3="Total")*(_xlpm.d&gt;=$BZ$5)*(_xlpm.d&lt;=$BZ$6),INDEX('Sales and count'!$G$4:$CC$300,$BF247,0))))</f>
        <v>0</v>
      </c>
      <c r="BJ247" cm="1">
        <f t="array" ref="BJ247">IF($AW247="",0,SUMPRODUCT((TRIM('LY Sales '!$B$5:$B$200)=$AW247)*('LY Sales '!$C$2:$AG$2&gt;=EDATE($BZ$5,-12))*('LY Sales '!$C$2:$AG$2&lt;=EDATE($BZ$6,-12)),'LY Sales '!$C$5:$AG$200))</f>
        <v>0</v>
      </c>
      <c r="BK247" cm="1">
        <f t="array" ref="BK247">IF($AW247="",0,SUMPRODUCT((TRIM('LY Sales '!$B$5:$B$200)=$AW247)*('LY Sales '!$C$2:$AG$2&gt;=EDATE($BZ$5,-12))*('LY Sales '!$C$2:$AG$2&lt;=EDATE($BZ$7,-12)),'LY Sales '!$C$5:$AG$200))</f>
        <v>0</v>
      </c>
      <c r="BL247" cm="1">
        <f t="array" ref="BL247">IF($AW247="",0,SUMPRODUCT((TRIM('LY Sales '!$B$5:$B$200)=$AW247)*('LY Sales '!$C$2:$AG$2&gt;=EDATE($BZ$5,-12))*('LY Sales '!$C$2:$AG$2&lt;=EDATE($BZ$6,-12))*('LY Sales '!$C$5:$AG$200&gt;0)))</f>
        <v>0</v>
      </c>
      <c r="BM247" cm="1">
        <f t="array" ref="BM247">IF(NOT(ISNUMBER($BG247)),0,SUMPRODUCT(('TY Sales Target'!$K$2:$AO$2&gt;=$BZ$5)*('TY Sales Target'!$K$2:$AO$2&lt;=$BZ$6),INDEX('TY Sales Target'!$K$5:$AO$300,$BG247,0)))</f>
        <v>0</v>
      </c>
      <c r="BN247" cm="1">
        <f t="array" ref="BN247">IF(NOT(ISNUMBER($BG247)),0,SUMPRODUCT(('TY Sales Target'!$K$2:$AO$2&gt;=$BZ$5)*('TY Sales Target'!$K$2:$AO$2&lt;=$BZ$7),INDEX('TY Sales Target'!$K$5:$AO$300,$BG247,0)))</f>
        <v>0</v>
      </c>
      <c r="BO247" cm="1">
        <f t="array" ref="BO247">IF($AW247="",0,IFERROR(_xlfn.SWITCH($BP247,"LY trend",$BI247*$BK247/$BJ247,"Target curve",$BI247*$BN247/$BM247,"Run rate",$BI247/$BZ$8*$BZ$9,0),0))</f>
        <v>0</v>
      </c>
      <c r="BP247" t="str">
        <f t="shared" si="125"/>
        <v/>
      </c>
      <c r="CB247" cm="1">
        <f t="array" ref="CB247">IF($AW247="",0,_xlfn.LET(_xlpm.k,IFERROR(_xlfn.XLOOKUP($AW247,$CD$6:$CD$21,$CE$6:$CE$21),$AW247),SUMPRODUCT((TRIM('Makeup '!$A$2:$A$300&amp;"")=_xlpm.k)*1,IFERROR('Makeup '!$F$2:$F$300*1,0))))</f>
        <v>0</v>
      </c>
      <c r="CF247" t="str" cm="1">
        <f t="array" ref="CF247">IF($AW247="","",_xlfn.LET(_xlpm.c,IFERROR(TRIM(INDEX('Sales and count'!$B$4:$B$300,$BF247)&amp;""),""),IF(OR(_xlpm.c="",_xlpm.c="0",LEFT(_xlpm.c,1)="#"),"Not set",_xlpm.c)))</f>
        <v/>
      </c>
      <c r="CH247" cm="1">
        <f t="array" ref="CH247">IF($AW247="",0,_xlfn.LET(_xlpm.k,IFERROR(_xlfn.XLOOKUP($AW247,$CD$6:$CD$21,$CE$6:$CE$21),$AW247),--(SUMPRODUCT((TRIM('Makeup '!$A$2:$A$300&amp;"")=_xlpm.k)*ISNUMBER('Makeup '!$F$2:$F$300))&gt;0)))</f>
        <v>0</v>
      </c>
      <c r="CI247">
        <f t="shared" si="128"/>
        <v>0</v>
      </c>
      <c r="CJ247" cm="1">
        <f t="array" ref="CJ247">IF($AW247="",0,--(SUMPRODUCT(--(TRIM(Footfall!$B$5:$B$301)=$AW247))&gt;0))</f>
        <v>0</v>
      </c>
      <c r="CK247" s="8" cm="1">
        <f t="array" ref="CK247">IF($AW247="",0,_xlfn.LET(_xlpm.r,IFERROR(MATCH(IFERROR(_xlfn.XLOOKUP($AW247,$BT$5:$BT$22,$BU$5:$BU$22),$AW247),TRIM('TY Beauty Target'!$B$5:$B$300&amp;""),0),""),IF(ISNUMBER(_xlpm.r),SUMPRODUCT(('TY Beauty Target'!$L$2:$AP$2&gt;=$U$4)*('TY Beauty Target'!$L$2:$AP$2&lt;=$U$5),INDEX('TY Beauty Target'!$L$5:$AP$300,_xlpm.r,0)),0)))</f>
        <v>0</v>
      </c>
    </row>
    <row r="248" spans="28:89" x14ac:dyDescent="0.25">
      <c r="AB248" s="40" t="str" cm="1">
        <f t="array" ref="AB248">IF($AI248="","",IF(LEFT($AI248,2)="C|",IF($C248="","",SUMPRODUCT($AP$5:$AP$302*($AO$5:$AO$302=$A248),$CK$5:$CK$302)),IF($AI248="CT",AB$13,IF(LEFT($AI248,3)="AM|",IF($C248="","",SUMPRODUCT($AP$5:$AP$302*($AN$5:$AN$302=$A248),$CK$5:$CK$302)),IF(LEFT($AI248,2)="S|",IF($AG248="","",INDEX($CK$5:$CK$302,$AH248)),IF($AI248="HDR","Makeup Target",""))))))</f>
        <v/>
      </c>
      <c r="AC248" s="41" t="str">
        <f t="shared" si="129"/>
        <v/>
      </c>
      <c r="AN248" s="8" t="str" cm="1">
        <f t="array" ref="AN248">IF($AW248="","",_xlfn.LET(_xlpm.sa,IFERROR(TRIM(INDEX('Sales and count'!$D$4:$D$300,$BF248)&amp;""),""),_xlpm.ta,IFERROR(TRIM(INDEX('TY Sales Target'!$F$5:$F$300,$BG248)&amp;""),""),IF(AND(_xlpm.sa&lt;&gt;"",LEFT(_xlpm.sa,1)&lt;&gt;"#",_xlpm.sa&lt;&gt;"0"),_xlpm.sa,IF(AND(_xlpm.ta&lt;&gt;"",LEFT(_xlpm.ta,1)&lt;&gt;"#",_xlpm.ta&lt;&gt;"0"),_xlpm.ta,IF(ISNUMBER($BG248),"Unassigned","")))))</f>
        <v/>
      </c>
      <c r="AO248" s="8" t="str" cm="1">
        <f t="array" ref="AO248">IF($AW248="","",_xlfn.LET(_xlpm.sa,IFERROR(TRIM(INDEX('Sales and count'!$C$4:$C$300,$BF248)&amp;""),""),_xlpm.ta,IFERROR(TRIM(INDEX('TY Sales Target'!$D$5:$D$300,$BG248)&amp;""),""),IF(AND(_xlpm.sa&lt;&gt;"",LEFT(_xlpm.sa,1)&lt;&gt;"#",_xlpm.sa&lt;&gt;"0"),_xlpm.sa,IF(AND(_xlpm.ta&lt;&gt;"",LEFT(_xlpm.ta,1)&lt;&gt;"#",_xlpm.ta&lt;&gt;"0"),_xlpm.ta,""))))</f>
        <v/>
      </c>
      <c r="AP248" s="8">
        <f t="shared" si="126"/>
        <v>0</v>
      </c>
      <c r="AQ248" s="8">
        <f t="shared" si="127"/>
        <v>0</v>
      </c>
      <c r="AR248" s="8" cm="1">
        <f t="array" ref="AR248">IF($BF248="",0,_xlfn.LET(_xlpm.d,IFERROR(--'Sales and count'!$G$2:$CC$2,0),SUMPRODUCT(('Sales and count'!$G$3:$CC$3="Total")*(_xlpm.d&gt;=$U$4)*(_xlpm.d&lt;=$U$5),INDEX('Sales and count'!$G$4:$CC$300,$BF248,0))))</f>
        <v>0</v>
      </c>
      <c r="AS248" s="8" cm="1">
        <f t="array" ref="AS248">IF($BF248="",0,_xlfn.LET(_xlpm.d,IFERROR(--'Sales and count'!$F$2:$CB$2,0),SUMPRODUCT(('Sales and count'!$G$3:$CC$3="Transactions")*(_xlpm.d&gt;=$U$4)*(_xlpm.d&lt;=$U$5),INDEX('Sales and count'!$G$4:$CC$300,$BF248,0))))</f>
        <v>0</v>
      </c>
      <c r="AT248" s="8" cm="1">
        <f t="array" ref="AT248">IF($AW248="",0,SUMPRODUCT((TRIM('LY Sales '!$B$5:$B$200)=$AW248)*('LY Sales '!$C$2:$AG$2&gt;=EDATE($U$4,-12))*('LY Sales '!$C$2:$AG$2&lt;=EDATE($U$5,-12)),'LY Sales '!$C$5:$AG$200))</f>
        <v>0</v>
      </c>
      <c r="AU248" s="8" cm="1">
        <f t="array" ref="AU248">IF($AW248="",0,SUMPRODUCT((TRIM('LY Transaction'!$B$5:$B$200)=$AW248)*('LY Transaction'!$C$2:$AG$2&gt;=EDATE($U$4,-12))*('LY Transaction'!$C$2:$AG$2&lt;=EDATE($U$5,-12)),'LY Transaction'!$C$5:$AG$200))</f>
        <v>0</v>
      </c>
      <c r="AV248" s="8" cm="1">
        <f t="array" ref="AV248">IF(NOT(ISNUMBER($BG248)),0,SUMPRODUCT(('TY Sales Target'!$K$2:$AO$2&gt;=$U$4)*('TY Sales Target'!$K$2:$AO$2&lt;=$U$5),INDEX('TY Sales Target'!$K$5:$AO$300,$BG248,0)))</f>
        <v>0</v>
      </c>
      <c r="AW248" s="8" t="str" cm="1">
        <f t="array" ref="AW248">IFERROR(INDEX(_xlfn.ANCHORARRAY($BR$5),ROWS($AW$5:AW248)),"")</f>
        <v/>
      </c>
      <c r="BB248" cm="1">
        <f t="array" ref="BB248">IF($AW248="",0,SUMPRODUCT((TRIM(Footfall!$B$5:$B$301)=$AW248)*(Footfall!$C$1:$BZ$1&gt;=$U$4)*(Footfall!$C$2:$BZ$2&lt;=$U$5)*(Footfall!$C$1:$BZ$1&lt;&gt;""),Footfall!$C$5:$BZ$301))</f>
        <v>0</v>
      </c>
      <c r="BC248" cm="1">
        <f t="array" ref="BC248">IF(OR($BB248&lt;=0,$BD$1="",$BF248=""),0,_xlfn.LET(_xlpm.d,IFERROR(--'Sales and count'!$F$2:$CB$2,0),SUMPRODUCT(('Sales and count'!$G$3:$CC$3="Transactions")*(_xlpm.d&gt;=$BD$1)*(_xlpm.d&lt;=$BD$2),INDEX('Sales and count'!$G$4:$CC$300,$BF248,0))))</f>
        <v>0</v>
      </c>
      <c r="BF248" t="str" cm="1">
        <f t="array" ref="BF248">IF($AW248="","",IFERROR(MATCH($AW248,TRIM('Sales and count'!$A$4:$A$300&amp;""),0),""))</f>
        <v/>
      </c>
      <c r="BG248" t="str" cm="1">
        <f t="array" ref="BG248">IF($AW248="","",IFERROR(MATCH(IFERROR(_xlfn.XLOOKUP($AW248,$BT$5:$BT$22,$BU$5:$BU$22),$AW248),TRIM('TY Sales Target'!$B$5:$B$300&amp;""),0),""))</f>
        <v/>
      </c>
      <c r="BH248" t="str" cm="1">
        <f t="array" ref="BH248">IF(ISNUMBER($BG248),_xlfn.LET(_xlpm.p,TRIM(INDEX('TY Sales Target'!$I$5:$I$300,$BG248)&amp;""),IF(_xlpm.p="","Not set",_xlpm.p)),"Not set")</f>
        <v>Not set</v>
      </c>
      <c r="BI248" cm="1">
        <f t="array" ref="BI248">IF($BF248="",0,_xlfn.LET(_xlpm.d,IFERROR(--'Sales and count'!$G$2:$CC$2,0),SUMPRODUCT(('Sales and count'!$G$3:$CC$3="Total")*(_xlpm.d&gt;=$BZ$5)*(_xlpm.d&lt;=$BZ$6),INDEX('Sales and count'!$G$4:$CC$300,$BF248,0))))</f>
        <v>0</v>
      </c>
      <c r="BJ248" cm="1">
        <f t="array" ref="BJ248">IF($AW248="",0,SUMPRODUCT((TRIM('LY Sales '!$B$5:$B$200)=$AW248)*('LY Sales '!$C$2:$AG$2&gt;=EDATE($BZ$5,-12))*('LY Sales '!$C$2:$AG$2&lt;=EDATE($BZ$6,-12)),'LY Sales '!$C$5:$AG$200))</f>
        <v>0</v>
      </c>
      <c r="BK248" cm="1">
        <f t="array" ref="BK248">IF($AW248="",0,SUMPRODUCT((TRIM('LY Sales '!$B$5:$B$200)=$AW248)*('LY Sales '!$C$2:$AG$2&gt;=EDATE($BZ$5,-12))*('LY Sales '!$C$2:$AG$2&lt;=EDATE($BZ$7,-12)),'LY Sales '!$C$5:$AG$200))</f>
        <v>0</v>
      </c>
      <c r="BL248" cm="1">
        <f t="array" ref="BL248">IF($AW248="",0,SUMPRODUCT((TRIM('LY Sales '!$B$5:$B$200)=$AW248)*('LY Sales '!$C$2:$AG$2&gt;=EDATE($BZ$5,-12))*('LY Sales '!$C$2:$AG$2&lt;=EDATE($BZ$6,-12))*('LY Sales '!$C$5:$AG$200&gt;0)))</f>
        <v>0</v>
      </c>
      <c r="BM248" cm="1">
        <f t="array" ref="BM248">IF(NOT(ISNUMBER($BG248)),0,SUMPRODUCT(('TY Sales Target'!$K$2:$AO$2&gt;=$BZ$5)*('TY Sales Target'!$K$2:$AO$2&lt;=$BZ$6),INDEX('TY Sales Target'!$K$5:$AO$300,$BG248,0)))</f>
        <v>0</v>
      </c>
      <c r="BN248" cm="1">
        <f t="array" ref="BN248">IF(NOT(ISNUMBER($BG248)),0,SUMPRODUCT(('TY Sales Target'!$K$2:$AO$2&gt;=$BZ$5)*('TY Sales Target'!$K$2:$AO$2&lt;=$BZ$7),INDEX('TY Sales Target'!$K$5:$AO$300,$BG248,0)))</f>
        <v>0</v>
      </c>
      <c r="BO248" cm="1">
        <f t="array" ref="BO248">IF($AW248="",0,IFERROR(_xlfn.SWITCH($BP248,"LY trend",$BI248*$BK248/$BJ248,"Target curve",$BI248*$BN248/$BM248,"Run rate",$BI248/$BZ$8*$BZ$9,0),0))</f>
        <v>0</v>
      </c>
      <c r="BP248" t="str">
        <f t="shared" si="125"/>
        <v/>
      </c>
      <c r="CB248" cm="1">
        <f t="array" ref="CB248">IF($AW248="",0,_xlfn.LET(_xlpm.k,IFERROR(_xlfn.XLOOKUP($AW248,$CD$6:$CD$21,$CE$6:$CE$21),$AW248),SUMPRODUCT((TRIM('Makeup '!$A$2:$A$300&amp;"")=_xlpm.k)*1,IFERROR('Makeup '!$F$2:$F$300*1,0))))</f>
        <v>0</v>
      </c>
      <c r="CF248" t="str" cm="1">
        <f t="array" ref="CF248">IF($AW248="","",_xlfn.LET(_xlpm.c,IFERROR(TRIM(INDEX('Sales and count'!$B$4:$B$300,$BF248)&amp;""),""),IF(OR(_xlpm.c="",_xlpm.c="0",LEFT(_xlpm.c,1)="#"),"Not set",_xlpm.c)))</f>
        <v/>
      </c>
      <c r="CH248" cm="1">
        <f t="array" ref="CH248">IF($AW248="",0,_xlfn.LET(_xlpm.k,IFERROR(_xlfn.XLOOKUP($AW248,$CD$6:$CD$21,$CE$6:$CE$21),$AW248),--(SUMPRODUCT((TRIM('Makeup '!$A$2:$A$300&amp;"")=_xlpm.k)*ISNUMBER('Makeup '!$F$2:$F$300))&gt;0)))</f>
        <v>0</v>
      </c>
      <c r="CI248">
        <f t="shared" si="128"/>
        <v>0</v>
      </c>
      <c r="CJ248" cm="1">
        <f t="array" ref="CJ248">IF($AW248="",0,--(SUMPRODUCT(--(TRIM(Footfall!$B$5:$B$301)=$AW248))&gt;0))</f>
        <v>0</v>
      </c>
      <c r="CK248" s="8" cm="1">
        <f t="array" ref="CK248">IF($AW248="",0,_xlfn.LET(_xlpm.r,IFERROR(MATCH(IFERROR(_xlfn.XLOOKUP($AW248,$BT$5:$BT$22,$BU$5:$BU$22),$AW248),TRIM('TY Beauty Target'!$B$5:$B$300&amp;""),0),""),IF(ISNUMBER(_xlpm.r),SUMPRODUCT(('TY Beauty Target'!$L$2:$AP$2&gt;=$U$4)*('TY Beauty Target'!$L$2:$AP$2&lt;=$U$5),INDEX('TY Beauty Target'!$L$5:$AP$300,_xlpm.r,0)),0)))</f>
        <v>0</v>
      </c>
    </row>
    <row r="249" spans="28:89" x14ac:dyDescent="0.25">
      <c r="AB249" s="40" t="str" cm="1">
        <f t="array" ref="AB249">IF($AI249="","",IF(LEFT($AI249,2)="C|",IF($C249="","",SUMPRODUCT($AP$5:$AP$302*($AO$5:$AO$302=$A249),$CK$5:$CK$302)),IF($AI249="CT",AB$13,IF(LEFT($AI249,3)="AM|",IF($C249="","",SUMPRODUCT($AP$5:$AP$302*($AN$5:$AN$302=$A249),$CK$5:$CK$302)),IF(LEFT($AI249,2)="S|",IF($AG249="","",INDEX($CK$5:$CK$302,$AH249)),IF($AI249="HDR","Makeup Target",""))))))</f>
        <v/>
      </c>
      <c r="AC249" s="41" t="str">
        <f t="shared" si="129"/>
        <v/>
      </c>
      <c r="AN249" s="8" t="str" cm="1">
        <f t="array" ref="AN249">IF($AW249="","",_xlfn.LET(_xlpm.sa,IFERROR(TRIM(INDEX('Sales and count'!$D$4:$D$300,$BF249)&amp;""),""),_xlpm.ta,IFERROR(TRIM(INDEX('TY Sales Target'!$F$5:$F$300,$BG249)&amp;""),""),IF(AND(_xlpm.sa&lt;&gt;"",LEFT(_xlpm.sa,1)&lt;&gt;"#",_xlpm.sa&lt;&gt;"0"),_xlpm.sa,IF(AND(_xlpm.ta&lt;&gt;"",LEFT(_xlpm.ta,1)&lt;&gt;"#",_xlpm.ta&lt;&gt;"0"),_xlpm.ta,IF(ISNUMBER($BG249),"Unassigned","")))))</f>
        <v/>
      </c>
      <c r="AO249" s="8" t="str" cm="1">
        <f t="array" ref="AO249">IF($AW249="","",_xlfn.LET(_xlpm.sa,IFERROR(TRIM(INDEX('Sales and count'!$C$4:$C$300,$BF249)&amp;""),""),_xlpm.ta,IFERROR(TRIM(INDEX('TY Sales Target'!$D$5:$D$300,$BG249)&amp;""),""),IF(AND(_xlpm.sa&lt;&gt;"",LEFT(_xlpm.sa,1)&lt;&gt;"#",_xlpm.sa&lt;&gt;"0"),_xlpm.sa,IF(AND(_xlpm.ta&lt;&gt;"",LEFT(_xlpm.ta,1)&lt;&gt;"#",_xlpm.ta&lt;&gt;"0"),_xlpm.ta,""))))</f>
        <v/>
      </c>
      <c r="AP249" s="8">
        <f t="shared" si="126"/>
        <v>0</v>
      </c>
      <c r="AQ249" s="8">
        <f t="shared" si="127"/>
        <v>0</v>
      </c>
      <c r="AR249" s="8" cm="1">
        <f t="array" ref="AR249">IF($BF249="",0,_xlfn.LET(_xlpm.d,IFERROR(--'Sales and count'!$G$2:$CC$2,0),SUMPRODUCT(('Sales and count'!$G$3:$CC$3="Total")*(_xlpm.d&gt;=$U$4)*(_xlpm.d&lt;=$U$5),INDEX('Sales and count'!$G$4:$CC$300,$BF249,0))))</f>
        <v>0</v>
      </c>
      <c r="AS249" s="8" cm="1">
        <f t="array" ref="AS249">IF($BF249="",0,_xlfn.LET(_xlpm.d,IFERROR(--'Sales and count'!$F$2:$CB$2,0),SUMPRODUCT(('Sales and count'!$G$3:$CC$3="Transactions")*(_xlpm.d&gt;=$U$4)*(_xlpm.d&lt;=$U$5),INDEX('Sales and count'!$G$4:$CC$300,$BF249,0))))</f>
        <v>0</v>
      </c>
      <c r="AT249" s="8" cm="1">
        <f t="array" ref="AT249">IF($AW249="",0,SUMPRODUCT((TRIM('LY Sales '!$B$5:$B$200)=$AW249)*('LY Sales '!$C$2:$AG$2&gt;=EDATE($U$4,-12))*('LY Sales '!$C$2:$AG$2&lt;=EDATE($U$5,-12)),'LY Sales '!$C$5:$AG$200))</f>
        <v>0</v>
      </c>
      <c r="AU249" s="8" cm="1">
        <f t="array" ref="AU249">IF($AW249="",0,SUMPRODUCT((TRIM('LY Transaction'!$B$5:$B$200)=$AW249)*('LY Transaction'!$C$2:$AG$2&gt;=EDATE($U$4,-12))*('LY Transaction'!$C$2:$AG$2&lt;=EDATE($U$5,-12)),'LY Transaction'!$C$5:$AG$200))</f>
        <v>0</v>
      </c>
      <c r="AV249" s="8" cm="1">
        <f t="array" ref="AV249">IF(NOT(ISNUMBER($BG249)),0,SUMPRODUCT(('TY Sales Target'!$K$2:$AO$2&gt;=$U$4)*('TY Sales Target'!$K$2:$AO$2&lt;=$U$5),INDEX('TY Sales Target'!$K$5:$AO$300,$BG249,0)))</f>
        <v>0</v>
      </c>
      <c r="AW249" s="8" t="str" cm="1">
        <f t="array" ref="AW249">IFERROR(INDEX(_xlfn.ANCHORARRAY($BR$5),ROWS($AW$5:AW249)),"")</f>
        <v/>
      </c>
      <c r="BB249" cm="1">
        <f t="array" ref="BB249">IF($AW249="",0,SUMPRODUCT((TRIM(Footfall!$B$5:$B$301)=$AW249)*(Footfall!$C$1:$BZ$1&gt;=$U$4)*(Footfall!$C$2:$BZ$2&lt;=$U$5)*(Footfall!$C$1:$BZ$1&lt;&gt;""),Footfall!$C$5:$BZ$301))</f>
        <v>0</v>
      </c>
      <c r="BC249" cm="1">
        <f t="array" ref="BC249">IF(OR($BB249&lt;=0,$BD$1="",$BF249=""),0,_xlfn.LET(_xlpm.d,IFERROR(--'Sales and count'!$F$2:$CB$2,0),SUMPRODUCT(('Sales and count'!$G$3:$CC$3="Transactions")*(_xlpm.d&gt;=$BD$1)*(_xlpm.d&lt;=$BD$2),INDEX('Sales and count'!$G$4:$CC$300,$BF249,0))))</f>
        <v>0</v>
      </c>
      <c r="BF249" t="str" cm="1">
        <f t="array" ref="BF249">IF($AW249="","",IFERROR(MATCH($AW249,TRIM('Sales and count'!$A$4:$A$300&amp;""),0),""))</f>
        <v/>
      </c>
      <c r="BG249" t="str" cm="1">
        <f t="array" ref="BG249">IF($AW249="","",IFERROR(MATCH(IFERROR(_xlfn.XLOOKUP($AW249,$BT$5:$BT$22,$BU$5:$BU$22),$AW249),TRIM('TY Sales Target'!$B$5:$B$300&amp;""),0),""))</f>
        <v/>
      </c>
      <c r="BH249" t="str" cm="1">
        <f t="array" ref="BH249">IF(ISNUMBER($BG249),_xlfn.LET(_xlpm.p,TRIM(INDEX('TY Sales Target'!$I$5:$I$300,$BG249)&amp;""),IF(_xlpm.p="","Not set",_xlpm.p)),"Not set")</f>
        <v>Not set</v>
      </c>
      <c r="BI249" cm="1">
        <f t="array" ref="BI249">IF($BF249="",0,_xlfn.LET(_xlpm.d,IFERROR(--'Sales and count'!$G$2:$CC$2,0),SUMPRODUCT(('Sales and count'!$G$3:$CC$3="Total")*(_xlpm.d&gt;=$BZ$5)*(_xlpm.d&lt;=$BZ$6),INDEX('Sales and count'!$G$4:$CC$300,$BF249,0))))</f>
        <v>0</v>
      </c>
      <c r="BJ249" cm="1">
        <f t="array" ref="BJ249">IF($AW249="",0,SUMPRODUCT((TRIM('LY Sales '!$B$5:$B$200)=$AW249)*('LY Sales '!$C$2:$AG$2&gt;=EDATE($BZ$5,-12))*('LY Sales '!$C$2:$AG$2&lt;=EDATE($BZ$6,-12)),'LY Sales '!$C$5:$AG$200))</f>
        <v>0</v>
      </c>
      <c r="BK249" cm="1">
        <f t="array" ref="BK249">IF($AW249="",0,SUMPRODUCT((TRIM('LY Sales '!$B$5:$B$200)=$AW249)*('LY Sales '!$C$2:$AG$2&gt;=EDATE($BZ$5,-12))*('LY Sales '!$C$2:$AG$2&lt;=EDATE($BZ$7,-12)),'LY Sales '!$C$5:$AG$200))</f>
        <v>0</v>
      </c>
      <c r="BL249" cm="1">
        <f t="array" ref="BL249">IF($AW249="",0,SUMPRODUCT((TRIM('LY Sales '!$B$5:$B$200)=$AW249)*('LY Sales '!$C$2:$AG$2&gt;=EDATE($BZ$5,-12))*('LY Sales '!$C$2:$AG$2&lt;=EDATE($BZ$6,-12))*('LY Sales '!$C$5:$AG$200&gt;0)))</f>
        <v>0</v>
      </c>
      <c r="BM249" cm="1">
        <f t="array" ref="BM249">IF(NOT(ISNUMBER($BG249)),0,SUMPRODUCT(('TY Sales Target'!$K$2:$AO$2&gt;=$BZ$5)*('TY Sales Target'!$K$2:$AO$2&lt;=$BZ$6),INDEX('TY Sales Target'!$K$5:$AO$300,$BG249,0)))</f>
        <v>0</v>
      </c>
      <c r="BN249" cm="1">
        <f t="array" ref="BN249">IF(NOT(ISNUMBER($BG249)),0,SUMPRODUCT(('TY Sales Target'!$K$2:$AO$2&gt;=$BZ$5)*('TY Sales Target'!$K$2:$AO$2&lt;=$BZ$7),INDEX('TY Sales Target'!$K$5:$AO$300,$BG249,0)))</f>
        <v>0</v>
      </c>
      <c r="BO249" cm="1">
        <f t="array" ref="BO249">IF($AW249="",0,IFERROR(_xlfn.SWITCH($BP249,"LY trend",$BI249*$BK249/$BJ249,"Target curve",$BI249*$BN249/$BM249,"Run rate",$BI249/$BZ$8*$BZ$9,0),0))</f>
        <v>0</v>
      </c>
      <c r="BP249" t="str">
        <f t="shared" si="125"/>
        <v/>
      </c>
      <c r="CB249" cm="1">
        <f t="array" ref="CB249">IF($AW249="",0,_xlfn.LET(_xlpm.k,IFERROR(_xlfn.XLOOKUP($AW249,$CD$6:$CD$21,$CE$6:$CE$21),$AW249),SUMPRODUCT((TRIM('Makeup '!$A$2:$A$300&amp;"")=_xlpm.k)*1,IFERROR('Makeup '!$F$2:$F$300*1,0))))</f>
        <v>0</v>
      </c>
      <c r="CF249" t="str" cm="1">
        <f t="array" ref="CF249">IF($AW249="","",_xlfn.LET(_xlpm.c,IFERROR(TRIM(INDEX('Sales and count'!$B$4:$B$300,$BF249)&amp;""),""),IF(OR(_xlpm.c="",_xlpm.c="0",LEFT(_xlpm.c,1)="#"),"Not set",_xlpm.c)))</f>
        <v/>
      </c>
      <c r="CH249" cm="1">
        <f t="array" ref="CH249">IF($AW249="",0,_xlfn.LET(_xlpm.k,IFERROR(_xlfn.XLOOKUP($AW249,$CD$6:$CD$21,$CE$6:$CE$21),$AW249),--(SUMPRODUCT((TRIM('Makeup '!$A$2:$A$300&amp;"")=_xlpm.k)*ISNUMBER('Makeup '!$F$2:$F$300))&gt;0)))</f>
        <v>0</v>
      </c>
      <c r="CI249">
        <f t="shared" si="128"/>
        <v>0</v>
      </c>
      <c r="CJ249" cm="1">
        <f t="array" ref="CJ249">IF($AW249="",0,--(SUMPRODUCT(--(TRIM(Footfall!$B$5:$B$301)=$AW249))&gt;0))</f>
        <v>0</v>
      </c>
      <c r="CK249" s="8" cm="1">
        <f t="array" ref="CK249">IF($AW249="",0,_xlfn.LET(_xlpm.r,IFERROR(MATCH(IFERROR(_xlfn.XLOOKUP($AW249,$BT$5:$BT$22,$BU$5:$BU$22),$AW249),TRIM('TY Beauty Target'!$B$5:$B$300&amp;""),0),""),IF(ISNUMBER(_xlpm.r),SUMPRODUCT(('TY Beauty Target'!$L$2:$AP$2&gt;=$U$4)*('TY Beauty Target'!$L$2:$AP$2&lt;=$U$5),INDEX('TY Beauty Target'!$L$5:$AP$300,_xlpm.r,0)),0)))</f>
        <v>0</v>
      </c>
    </row>
    <row r="250" spans="28:89" x14ac:dyDescent="0.25">
      <c r="AB250" s="40" t="str" cm="1">
        <f t="array" ref="AB250">IF($AI250="","",IF(LEFT($AI250,2)="C|",IF($C250="","",SUMPRODUCT($AP$5:$AP$302*($AO$5:$AO$302=$A250),$CK$5:$CK$302)),IF($AI250="CT",AB$13,IF(LEFT($AI250,3)="AM|",IF($C250="","",SUMPRODUCT($AP$5:$AP$302*($AN$5:$AN$302=$A250),$CK$5:$CK$302)),IF(LEFT($AI250,2)="S|",IF($AG250="","",INDEX($CK$5:$CK$302,$AH250)),IF($AI250="HDR","Makeup Target",""))))))</f>
        <v/>
      </c>
      <c r="AC250" s="41" t="str">
        <f t="shared" si="129"/>
        <v/>
      </c>
      <c r="AN250" s="8" t="str" cm="1">
        <f t="array" ref="AN250">IF($AW250="","",_xlfn.LET(_xlpm.sa,IFERROR(TRIM(INDEX('Sales and count'!$D$4:$D$300,$BF250)&amp;""),""),_xlpm.ta,IFERROR(TRIM(INDEX('TY Sales Target'!$F$5:$F$300,$BG250)&amp;""),""),IF(AND(_xlpm.sa&lt;&gt;"",LEFT(_xlpm.sa,1)&lt;&gt;"#",_xlpm.sa&lt;&gt;"0"),_xlpm.sa,IF(AND(_xlpm.ta&lt;&gt;"",LEFT(_xlpm.ta,1)&lt;&gt;"#",_xlpm.ta&lt;&gt;"0"),_xlpm.ta,IF(ISNUMBER($BG250),"Unassigned","")))))</f>
        <v/>
      </c>
      <c r="AO250" s="8" t="str" cm="1">
        <f t="array" ref="AO250">IF($AW250="","",_xlfn.LET(_xlpm.sa,IFERROR(TRIM(INDEX('Sales and count'!$C$4:$C$300,$BF250)&amp;""),""),_xlpm.ta,IFERROR(TRIM(INDEX('TY Sales Target'!$D$5:$D$300,$BG250)&amp;""),""),IF(AND(_xlpm.sa&lt;&gt;"",LEFT(_xlpm.sa,1)&lt;&gt;"#",_xlpm.sa&lt;&gt;"0"),_xlpm.sa,IF(AND(_xlpm.ta&lt;&gt;"",LEFT(_xlpm.ta,1)&lt;&gt;"#",_xlpm.ta&lt;&gt;"0"),_xlpm.ta,""))))</f>
        <v/>
      </c>
      <c r="AP250" s="8">
        <f t="shared" si="126"/>
        <v>0</v>
      </c>
      <c r="AQ250" s="8">
        <f t="shared" si="127"/>
        <v>0</v>
      </c>
      <c r="AR250" s="8" cm="1">
        <f t="array" ref="AR250">IF($BF250="",0,_xlfn.LET(_xlpm.d,IFERROR(--'Sales and count'!$G$2:$CC$2,0),SUMPRODUCT(('Sales and count'!$G$3:$CC$3="Total")*(_xlpm.d&gt;=$U$4)*(_xlpm.d&lt;=$U$5),INDEX('Sales and count'!$G$4:$CC$300,$BF250,0))))</f>
        <v>0</v>
      </c>
      <c r="AS250" s="8" cm="1">
        <f t="array" ref="AS250">IF($BF250="",0,_xlfn.LET(_xlpm.d,IFERROR(--'Sales and count'!$F$2:$CB$2,0),SUMPRODUCT(('Sales and count'!$G$3:$CC$3="Transactions")*(_xlpm.d&gt;=$U$4)*(_xlpm.d&lt;=$U$5),INDEX('Sales and count'!$G$4:$CC$300,$BF250,0))))</f>
        <v>0</v>
      </c>
      <c r="AT250" s="8" cm="1">
        <f t="array" ref="AT250">IF($AW250="",0,SUMPRODUCT((TRIM('LY Sales '!$B$5:$B$200)=$AW250)*('LY Sales '!$C$2:$AG$2&gt;=EDATE($U$4,-12))*('LY Sales '!$C$2:$AG$2&lt;=EDATE($U$5,-12)),'LY Sales '!$C$5:$AG$200))</f>
        <v>0</v>
      </c>
      <c r="AU250" s="8" cm="1">
        <f t="array" ref="AU250">IF($AW250="",0,SUMPRODUCT((TRIM('LY Transaction'!$B$5:$B$200)=$AW250)*('LY Transaction'!$C$2:$AG$2&gt;=EDATE($U$4,-12))*('LY Transaction'!$C$2:$AG$2&lt;=EDATE($U$5,-12)),'LY Transaction'!$C$5:$AG$200))</f>
        <v>0</v>
      </c>
      <c r="AV250" s="8" cm="1">
        <f t="array" ref="AV250">IF(NOT(ISNUMBER($BG250)),0,SUMPRODUCT(('TY Sales Target'!$K$2:$AO$2&gt;=$U$4)*('TY Sales Target'!$K$2:$AO$2&lt;=$U$5),INDEX('TY Sales Target'!$K$5:$AO$300,$BG250,0)))</f>
        <v>0</v>
      </c>
      <c r="AW250" s="8" t="str" cm="1">
        <f t="array" ref="AW250">IFERROR(INDEX(_xlfn.ANCHORARRAY($BR$5),ROWS($AW$5:AW250)),"")</f>
        <v/>
      </c>
      <c r="BB250" cm="1">
        <f t="array" ref="BB250">IF($AW250="",0,SUMPRODUCT((TRIM(Footfall!$B$5:$B$301)=$AW250)*(Footfall!$C$1:$BZ$1&gt;=$U$4)*(Footfall!$C$2:$BZ$2&lt;=$U$5)*(Footfall!$C$1:$BZ$1&lt;&gt;""),Footfall!$C$5:$BZ$301))</f>
        <v>0</v>
      </c>
      <c r="BC250" cm="1">
        <f t="array" ref="BC250">IF(OR($BB250&lt;=0,$BD$1="",$BF250=""),0,_xlfn.LET(_xlpm.d,IFERROR(--'Sales and count'!$F$2:$CB$2,0),SUMPRODUCT(('Sales and count'!$G$3:$CC$3="Transactions")*(_xlpm.d&gt;=$BD$1)*(_xlpm.d&lt;=$BD$2),INDEX('Sales and count'!$G$4:$CC$300,$BF250,0))))</f>
        <v>0</v>
      </c>
      <c r="BF250" t="str" cm="1">
        <f t="array" ref="BF250">IF($AW250="","",IFERROR(MATCH($AW250,TRIM('Sales and count'!$A$4:$A$300&amp;""),0),""))</f>
        <v/>
      </c>
      <c r="BG250" t="str" cm="1">
        <f t="array" ref="BG250">IF($AW250="","",IFERROR(MATCH(IFERROR(_xlfn.XLOOKUP($AW250,$BT$5:$BT$22,$BU$5:$BU$22),$AW250),TRIM('TY Sales Target'!$B$5:$B$300&amp;""),0),""))</f>
        <v/>
      </c>
      <c r="BH250" t="str" cm="1">
        <f t="array" ref="BH250">IF(ISNUMBER($BG250),_xlfn.LET(_xlpm.p,TRIM(INDEX('TY Sales Target'!$I$5:$I$300,$BG250)&amp;""),IF(_xlpm.p="","Not set",_xlpm.p)),"Not set")</f>
        <v>Not set</v>
      </c>
      <c r="BI250" cm="1">
        <f t="array" ref="BI250">IF($BF250="",0,_xlfn.LET(_xlpm.d,IFERROR(--'Sales and count'!$G$2:$CC$2,0),SUMPRODUCT(('Sales and count'!$G$3:$CC$3="Total")*(_xlpm.d&gt;=$BZ$5)*(_xlpm.d&lt;=$BZ$6),INDEX('Sales and count'!$G$4:$CC$300,$BF250,0))))</f>
        <v>0</v>
      </c>
      <c r="BJ250" cm="1">
        <f t="array" ref="BJ250">IF($AW250="",0,SUMPRODUCT((TRIM('LY Sales '!$B$5:$B$200)=$AW250)*('LY Sales '!$C$2:$AG$2&gt;=EDATE($BZ$5,-12))*('LY Sales '!$C$2:$AG$2&lt;=EDATE($BZ$6,-12)),'LY Sales '!$C$5:$AG$200))</f>
        <v>0</v>
      </c>
      <c r="BK250" cm="1">
        <f t="array" ref="BK250">IF($AW250="",0,SUMPRODUCT((TRIM('LY Sales '!$B$5:$B$200)=$AW250)*('LY Sales '!$C$2:$AG$2&gt;=EDATE($BZ$5,-12))*('LY Sales '!$C$2:$AG$2&lt;=EDATE($BZ$7,-12)),'LY Sales '!$C$5:$AG$200))</f>
        <v>0</v>
      </c>
      <c r="BL250" cm="1">
        <f t="array" ref="BL250">IF($AW250="",0,SUMPRODUCT((TRIM('LY Sales '!$B$5:$B$200)=$AW250)*('LY Sales '!$C$2:$AG$2&gt;=EDATE($BZ$5,-12))*('LY Sales '!$C$2:$AG$2&lt;=EDATE($BZ$6,-12))*('LY Sales '!$C$5:$AG$200&gt;0)))</f>
        <v>0</v>
      </c>
      <c r="BM250" cm="1">
        <f t="array" ref="BM250">IF(NOT(ISNUMBER($BG250)),0,SUMPRODUCT(('TY Sales Target'!$K$2:$AO$2&gt;=$BZ$5)*('TY Sales Target'!$K$2:$AO$2&lt;=$BZ$6),INDEX('TY Sales Target'!$K$5:$AO$300,$BG250,0)))</f>
        <v>0</v>
      </c>
      <c r="BN250" cm="1">
        <f t="array" ref="BN250">IF(NOT(ISNUMBER($BG250)),0,SUMPRODUCT(('TY Sales Target'!$K$2:$AO$2&gt;=$BZ$5)*('TY Sales Target'!$K$2:$AO$2&lt;=$BZ$7),INDEX('TY Sales Target'!$K$5:$AO$300,$BG250,0)))</f>
        <v>0</v>
      </c>
      <c r="BO250" cm="1">
        <f t="array" ref="BO250">IF($AW250="",0,IFERROR(_xlfn.SWITCH($BP250,"LY trend",$BI250*$BK250/$BJ250,"Target curve",$BI250*$BN250/$BM250,"Run rate",$BI250/$BZ$8*$BZ$9,0),0))</f>
        <v>0</v>
      </c>
      <c r="BP250" t="str">
        <f t="shared" si="125"/>
        <v/>
      </c>
      <c r="CB250" cm="1">
        <f t="array" ref="CB250">IF($AW250="",0,_xlfn.LET(_xlpm.k,IFERROR(_xlfn.XLOOKUP($AW250,$CD$6:$CD$21,$CE$6:$CE$21),$AW250),SUMPRODUCT((TRIM('Makeup '!$A$2:$A$300&amp;"")=_xlpm.k)*1,IFERROR('Makeup '!$F$2:$F$300*1,0))))</f>
        <v>0</v>
      </c>
      <c r="CF250" t="str" cm="1">
        <f t="array" ref="CF250">IF($AW250="","",_xlfn.LET(_xlpm.c,IFERROR(TRIM(INDEX('Sales and count'!$B$4:$B$300,$BF250)&amp;""),""),IF(OR(_xlpm.c="",_xlpm.c="0",LEFT(_xlpm.c,1)="#"),"Not set",_xlpm.c)))</f>
        <v/>
      </c>
      <c r="CH250" cm="1">
        <f t="array" ref="CH250">IF($AW250="",0,_xlfn.LET(_xlpm.k,IFERROR(_xlfn.XLOOKUP($AW250,$CD$6:$CD$21,$CE$6:$CE$21),$AW250),--(SUMPRODUCT((TRIM('Makeup '!$A$2:$A$300&amp;"")=_xlpm.k)*ISNUMBER('Makeup '!$F$2:$F$300))&gt;0)))</f>
        <v>0</v>
      </c>
      <c r="CI250">
        <f t="shared" si="128"/>
        <v>0</v>
      </c>
      <c r="CJ250" cm="1">
        <f t="array" ref="CJ250">IF($AW250="",0,--(SUMPRODUCT(--(TRIM(Footfall!$B$5:$B$301)=$AW250))&gt;0))</f>
        <v>0</v>
      </c>
      <c r="CK250" s="8" cm="1">
        <f t="array" ref="CK250">IF($AW250="",0,_xlfn.LET(_xlpm.r,IFERROR(MATCH(IFERROR(_xlfn.XLOOKUP($AW250,$BT$5:$BT$22,$BU$5:$BU$22),$AW250),TRIM('TY Beauty Target'!$B$5:$B$300&amp;""),0),""),IF(ISNUMBER(_xlpm.r),SUMPRODUCT(('TY Beauty Target'!$L$2:$AP$2&gt;=$U$4)*('TY Beauty Target'!$L$2:$AP$2&lt;=$U$5),INDEX('TY Beauty Target'!$L$5:$AP$300,_xlpm.r,0)),0)))</f>
        <v>0</v>
      </c>
    </row>
    <row r="251" spans="28:89" x14ac:dyDescent="0.25">
      <c r="AB251" s="40" t="str" cm="1">
        <f t="array" ref="AB251">IF($AI251="","",IF(LEFT($AI251,2)="C|",IF($C251="","",SUMPRODUCT($AP$5:$AP$302*($AO$5:$AO$302=$A251),$CK$5:$CK$302)),IF($AI251="CT",AB$13,IF(LEFT($AI251,3)="AM|",IF($C251="","",SUMPRODUCT($AP$5:$AP$302*($AN$5:$AN$302=$A251),$CK$5:$CK$302)),IF(LEFT($AI251,2)="S|",IF($AG251="","",INDEX($CK$5:$CK$302,$AH251)),IF($AI251="HDR","Makeup Target",""))))))</f>
        <v/>
      </c>
      <c r="AC251" s="41" t="str">
        <f t="shared" si="129"/>
        <v/>
      </c>
      <c r="AN251" s="8" t="str" cm="1">
        <f t="array" ref="AN251">IF($AW251="","",_xlfn.LET(_xlpm.sa,IFERROR(TRIM(INDEX('Sales and count'!$D$4:$D$300,$BF251)&amp;""),""),_xlpm.ta,IFERROR(TRIM(INDEX('TY Sales Target'!$F$5:$F$300,$BG251)&amp;""),""),IF(AND(_xlpm.sa&lt;&gt;"",LEFT(_xlpm.sa,1)&lt;&gt;"#",_xlpm.sa&lt;&gt;"0"),_xlpm.sa,IF(AND(_xlpm.ta&lt;&gt;"",LEFT(_xlpm.ta,1)&lt;&gt;"#",_xlpm.ta&lt;&gt;"0"),_xlpm.ta,IF(ISNUMBER($BG251),"Unassigned","")))))</f>
        <v/>
      </c>
      <c r="AO251" s="8" t="str" cm="1">
        <f t="array" ref="AO251">IF($AW251="","",_xlfn.LET(_xlpm.sa,IFERROR(TRIM(INDEX('Sales and count'!$C$4:$C$300,$BF251)&amp;""),""),_xlpm.ta,IFERROR(TRIM(INDEX('TY Sales Target'!$D$5:$D$300,$BG251)&amp;""),""),IF(AND(_xlpm.sa&lt;&gt;"",LEFT(_xlpm.sa,1)&lt;&gt;"#",_xlpm.sa&lt;&gt;"0"),_xlpm.sa,IF(AND(_xlpm.ta&lt;&gt;"",LEFT(_xlpm.ta,1)&lt;&gt;"#",_xlpm.ta&lt;&gt;"0"),_xlpm.ta,""))))</f>
        <v/>
      </c>
      <c r="AP251" s="8">
        <f t="shared" si="126"/>
        <v>0</v>
      </c>
      <c r="AQ251" s="8">
        <f t="shared" si="127"/>
        <v>0</v>
      </c>
      <c r="AR251" s="8" cm="1">
        <f t="array" ref="AR251">IF($BF251="",0,_xlfn.LET(_xlpm.d,IFERROR(--'Sales and count'!$G$2:$CC$2,0),SUMPRODUCT(('Sales and count'!$G$3:$CC$3="Total")*(_xlpm.d&gt;=$U$4)*(_xlpm.d&lt;=$U$5),INDEX('Sales and count'!$G$4:$CC$300,$BF251,0))))</f>
        <v>0</v>
      </c>
      <c r="AS251" s="8" cm="1">
        <f t="array" ref="AS251">IF($BF251="",0,_xlfn.LET(_xlpm.d,IFERROR(--'Sales and count'!$F$2:$CB$2,0),SUMPRODUCT(('Sales and count'!$G$3:$CC$3="Transactions")*(_xlpm.d&gt;=$U$4)*(_xlpm.d&lt;=$U$5),INDEX('Sales and count'!$G$4:$CC$300,$BF251,0))))</f>
        <v>0</v>
      </c>
      <c r="AT251" s="8" cm="1">
        <f t="array" ref="AT251">IF($AW251="",0,SUMPRODUCT((TRIM('LY Sales '!$B$5:$B$200)=$AW251)*('LY Sales '!$C$2:$AG$2&gt;=EDATE($U$4,-12))*('LY Sales '!$C$2:$AG$2&lt;=EDATE($U$5,-12)),'LY Sales '!$C$5:$AG$200))</f>
        <v>0</v>
      </c>
      <c r="AU251" s="8" cm="1">
        <f t="array" ref="AU251">IF($AW251="",0,SUMPRODUCT((TRIM('LY Transaction'!$B$5:$B$200)=$AW251)*('LY Transaction'!$C$2:$AG$2&gt;=EDATE($U$4,-12))*('LY Transaction'!$C$2:$AG$2&lt;=EDATE($U$5,-12)),'LY Transaction'!$C$5:$AG$200))</f>
        <v>0</v>
      </c>
      <c r="AV251" s="8" cm="1">
        <f t="array" ref="AV251">IF(NOT(ISNUMBER($BG251)),0,SUMPRODUCT(('TY Sales Target'!$K$2:$AO$2&gt;=$U$4)*('TY Sales Target'!$K$2:$AO$2&lt;=$U$5),INDEX('TY Sales Target'!$K$5:$AO$300,$BG251,0)))</f>
        <v>0</v>
      </c>
      <c r="AW251" s="8" t="str" cm="1">
        <f t="array" ref="AW251">IFERROR(INDEX(_xlfn.ANCHORARRAY($BR$5),ROWS($AW$5:AW251)),"")</f>
        <v/>
      </c>
      <c r="BB251" cm="1">
        <f t="array" ref="BB251">IF($AW251="",0,SUMPRODUCT((TRIM(Footfall!$B$5:$B$301)=$AW251)*(Footfall!$C$1:$BZ$1&gt;=$U$4)*(Footfall!$C$2:$BZ$2&lt;=$U$5)*(Footfall!$C$1:$BZ$1&lt;&gt;""),Footfall!$C$5:$BZ$301))</f>
        <v>0</v>
      </c>
      <c r="BC251" cm="1">
        <f t="array" ref="BC251">IF(OR($BB251&lt;=0,$BD$1="",$BF251=""),0,_xlfn.LET(_xlpm.d,IFERROR(--'Sales and count'!$F$2:$CB$2,0),SUMPRODUCT(('Sales and count'!$G$3:$CC$3="Transactions")*(_xlpm.d&gt;=$BD$1)*(_xlpm.d&lt;=$BD$2),INDEX('Sales and count'!$G$4:$CC$300,$BF251,0))))</f>
        <v>0</v>
      </c>
      <c r="BF251" t="str" cm="1">
        <f t="array" ref="BF251">IF($AW251="","",IFERROR(MATCH($AW251,TRIM('Sales and count'!$A$4:$A$300&amp;""),0),""))</f>
        <v/>
      </c>
      <c r="BG251" t="str" cm="1">
        <f t="array" ref="BG251">IF($AW251="","",IFERROR(MATCH(IFERROR(_xlfn.XLOOKUP($AW251,$BT$5:$BT$22,$BU$5:$BU$22),$AW251),TRIM('TY Sales Target'!$B$5:$B$300&amp;""),0),""))</f>
        <v/>
      </c>
      <c r="BH251" t="str" cm="1">
        <f t="array" ref="BH251">IF(ISNUMBER($BG251),_xlfn.LET(_xlpm.p,TRIM(INDEX('TY Sales Target'!$I$5:$I$300,$BG251)&amp;""),IF(_xlpm.p="","Not set",_xlpm.p)),"Not set")</f>
        <v>Not set</v>
      </c>
      <c r="BI251" cm="1">
        <f t="array" ref="BI251">IF($BF251="",0,_xlfn.LET(_xlpm.d,IFERROR(--'Sales and count'!$G$2:$CC$2,0),SUMPRODUCT(('Sales and count'!$G$3:$CC$3="Total")*(_xlpm.d&gt;=$BZ$5)*(_xlpm.d&lt;=$BZ$6),INDEX('Sales and count'!$G$4:$CC$300,$BF251,0))))</f>
        <v>0</v>
      </c>
      <c r="BJ251" cm="1">
        <f t="array" ref="BJ251">IF($AW251="",0,SUMPRODUCT((TRIM('LY Sales '!$B$5:$B$200)=$AW251)*('LY Sales '!$C$2:$AG$2&gt;=EDATE($BZ$5,-12))*('LY Sales '!$C$2:$AG$2&lt;=EDATE($BZ$6,-12)),'LY Sales '!$C$5:$AG$200))</f>
        <v>0</v>
      </c>
      <c r="BK251" cm="1">
        <f t="array" ref="BK251">IF($AW251="",0,SUMPRODUCT((TRIM('LY Sales '!$B$5:$B$200)=$AW251)*('LY Sales '!$C$2:$AG$2&gt;=EDATE($BZ$5,-12))*('LY Sales '!$C$2:$AG$2&lt;=EDATE($BZ$7,-12)),'LY Sales '!$C$5:$AG$200))</f>
        <v>0</v>
      </c>
      <c r="BL251" cm="1">
        <f t="array" ref="BL251">IF($AW251="",0,SUMPRODUCT((TRIM('LY Sales '!$B$5:$B$200)=$AW251)*('LY Sales '!$C$2:$AG$2&gt;=EDATE($BZ$5,-12))*('LY Sales '!$C$2:$AG$2&lt;=EDATE($BZ$6,-12))*('LY Sales '!$C$5:$AG$200&gt;0)))</f>
        <v>0</v>
      </c>
      <c r="BM251" cm="1">
        <f t="array" ref="BM251">IF(NOT(ISNUMBER($BG251)),0,SUMPRODUCT(('TY Sales Target'!$K$2:$AO$2&gt;=$BZ$5)*('TY Sales Target'!$K$2:$AO$2&lt;=$BZ$6),INDEX('TY Sales Target'!$K$5:$AO$300,$BG251,0)))</f>
        <v>0</v>
      </c>
      <c r="BN251" cm="1">
        <f t="array" ref="BN251">IF(NOT(ISNUMBER($BG251)),0,SUMPRODUCT(('TY Sales Target'!$K$2:$AO$2&gt;=$BZ$5)*('TY Sales Target'!$K$2:$AO$2&lt;=$BZ$7),INDEX('TY Sales Target'!$K$5:$AO$300,$BG251,0)))</f>
        <v>0</v>
      </c>
      <c r="BO251" cm="1">
        <f t="array" ref="BO251">IF($AW251="",0,IFERROR(_xlfn.SWITCH($BP251,"LY trend",$BI251*$BK251/$BJ251,"Target curve",$BI251*$BN251/$BM251,"Run rate",$BI251/$BZ$8*$BZ$9,0),0))</f>
        <v>0</v>
      </c>
      <c r="BP251" t="str">
        <f t="shared" si="125"/>
        <v/>
      </c>
      <c r="CB251" cm="1">
        <f t="array" ref="CB251">IF($AW251="",0,_xlfn.LET(_xlpm.k,IFERROR(_xlfn.XLOOKUP($AW251,$CD$6:$CD$21,$CE$6:$CE$21),$AW251),SUMPRODUCT((TRIM('Makeup '!$A$2:$A$300&amp;"")=_xlpm.k)*1,IFERROR('Makeup '!$F$2:$F$300*1,0))))</f>
        <v>0</v>
      </c>
      <c r="CF251" t="str" cm="1">
        <f t="array" ref="CF251">IF($AW251="","",_xlfn.LET(_xlpm.c,IFERROR(TRIM(INDEX('Sales and count'!$B$4:$B$300,$BF251)&amp;""),""),IF(OR(_xlpm.c="",_xlpm.c="0",LEFT(_xlpm.c,1)="#"),"Not set",_xlpm.c)))</f>
        <v/>
      </c>
      <c r="CH251" cm="1">
        <f t="array" ref="CH251">IF($AW251="",0,_xlfn.LET(_xlpm.k,IFERROR(_xlfn.XLOOKUP($AW251,$CD$6:$CD$21,$CE$6:$CE$21),$AW251),--(SUMPRODUCT((TRIM('Makeup '!$A$2:$A$300&amp;"")=_xlpm.k)*ISNUMBER('Makeup '!$F$2:$F$300))&gt;0)))</f>
        <v>0</v>
      </c>
      <c r="CI251">
        <f t="shared" si="128"/>
        <v>0</v>
      </c>
      <c r="CJ251" cm="1">
        <f t="array" ref="CJ251">IF($AW251="",0,--(SUMPRODUCT(--(TRIM(Footfall!$B$5:$B$301)=$AW251))&gt;0))</f>
        <v>0</v>
      </c>
      <c r="CK251" s="8" cm="1">
        <f t="array" ref="CK251">IF($AW251="",0,_xlfn.LET(_xlpm.r,IFERROR(MATCH(IFERROR(_xlfn.XLOOKUP($AW251,$BT$5:$BT$22,$BU$5:$BU$22),$AW251),TRIM('TY Beauty Target'!$B$5:$B$300&amp;""),0),""),IF(ISNUMBER(_xlpm.r),SUMPRODUCT(('TY Beauty Target'!$L$2:$AP$2&gt;=$U$4)*('TY Beauty Target'!$L$2:$AP$2&lt;=$U$5),INDEX('TY Beauty Target'!$L$5:$AP$300,_xlpm.r,0)),0)))</f>
        <v>0</v>
      </c>
    </row>
    <row r="252" spans="28:89" x14ac:dyDescent="0.25">
      <c r="AB252" s="40" t="str" cm="1">
        <f t="array" ref="AB252">IF($AI252="","",IF(LEFT($AI252,2)="C|",IF($C252="","",SUMPRODUCT($AP$5:$AP$302*($AO$5:$AO$302=$A252),$CK$5:$CK$302)),IF($AI252="CT",AB$13,IF(LEFT($AI252,3)="AM|",IF($C252="","",SUMPRODUCT($AP$5:$AP$302*($AN$5:$AN$302=$A252),$CK$5:$CK$302)),IF(LEFT($AI252,2)="S|",IF($AG252="","",INDEX($CK$5:$CK$302,$AH252)),IF($AI252="HDR","Makeup Target",""))))))</f>
        <v/>
      </c>
      <c r="AC252" s="41" t="str">
        <f t="shared" si="129"/>
        <v/>
      </c>
      <c r="AN252" s="8" t="str" cm="1">
        <f t="array" ref="AN252">IF($AW252="","",_xlfn.LET(_xlpm.sa,IFERROR(TRIM(INDEX('Sales and count'!$D$4:$D$300,$BF252)&amp;""),""),_xlpm.ta,IFERROR(TRIM(INDEX('TY Sales Target'!$F$5:$F$300,$BG252)&amp;""),""),IF(AND(_xlpm.sa&lt;&gt;"",LEFT(_xlpm.sa,1)&lt;&gt;"#",_xlpm.sa&lt;&gt;"0"),_xlpm.sa,IF(AND(_xlpm.ta&lt;&gt;"",LEFT(_xlpm.ta,1)&lt;&gt;"#",_xlpm.ta&lt;&gt;"0"),_xlpm.ta,IF(ISNUMBER($BG252),"Unassigned","")))))</f>
        <v/>
      </c>
      <c r="AO252" s="8" t="str" cm="1">
        <f t="array" ref="AO252">IF($AW252="","",_xlfn.LET(_xlpm.sa,IFERROR(TRIM(INDEX('Sales and count'!$C$4:$C$300,$BF252)&amp;""),""),_xlpm.ta,IFERROR(TRIM(INDEX('TY Sales Target'!$D$5:$D$300,$BG252)&amp;""),""),IF(AND(_xlpm.sa&lt;&gt;"",LEFT(_xlpm.sa,1)&lt;&gt;"#",_xlpm.sa&lt;&gt;"0"),_xlpm.sa,IF(AND(_xlpm.ta&lt;&gt;"",LEFT(_xlpm.ta,1)&lt;&gt;"#",_xlpm.ta&lt;&gt;"0"),_xlpm.ta,""))))</f>
        <v/>
      </c>
      <c r="AP252" s="8">
        <f t="shared" si="126"/>
        <v>0</v>
      </c>
      <c r="AQ252" s="8">
        <f t="shared" si="127"/>
        <v>0</v>
      </c>
      <c r="AR252" s="8" cm="1">
        <f t="array" ref="AR252">IF($BF252="",0,_xlfn.LET(_xlpm.d,IFERROR(--'Sales and count'!$G$2:$CC$2,0),SUMPRODUCT(('Sales and count'!$G$3:$CC$3="Total")*(_xlpm.d&gt;=$U$4)*(_xlpm.d&lt;=$U$5),INDEX('Sales and count'!$G$4:$CC$300,$BF252,0))))</f>
        <v>0</v>
      </c>
      <c r="AS252" s="8" cm="1">
        <f t="array" ref="AS252">IF($BF252="",0,_xlfn.LET(_xlpm.d,IFERROR(--'Sales and count'!$F$2:$CB$2,0),SUMPRODUCT(('Sales and count'!$G$3:$CC$3="Transactions")*(_xlpm.d&gt;=$U$4)*(_xlpm.d&lt;=$U$5),INDEX('Sales and count'!$G$4:$CC$300,$BF252,0))))</f>
        <v>0</v>
      </c>
      <c r="AT252" s="8" cm="1">
        <f t="array" ref="AT252">IF($AW252="",0,SUMPRODUCT((TRIM('LY Sales '!$B$5:$B$200)=$AW252)*('LY Sales '!$C$2:$AG$2&gt;=EDATE($U$4,-12))*('LY Sales '!$C$2:$AG$2&lt;=EDATE($U$5,-12)),'LY Sales '!$C$5:$AG$200))</f>
        <v>0</v>
      </c>
      <c r="AU252" s="8" cm="1">
        <f t="array" ref="AU252">IF($AW252="",0,SUMPRODUCT((TRIM('LY Transaction'!$B$5:$B$200)=$AW252)*('LY Transaction'!$C$2:$AG$2&gt;=EDATE($U$4,-12))*('LY Transaction'!$C$2:$AG$2&lt;=EDATE($U$5,-12)),'LY Transaction'!$C$5:$AG$200))</f>
        <v>0</v>
      </c>
      <c r="AV252" s="8" cm="1">
        <f t="array" ref="AV252">IF(NOT(ISNUMBER($BG252)),0,SUMPRODUCT(('TY Sales Target'!$K$2:$AO$2&gt;=$U$4)*('TY Sales Target'!$K$2:$AO$2&lt;=$U$5),INDEX('TY Sales Target'!$K$5:$AO$300,$BG252,0)))</f>
        <v>0</v>
      </c>
      <c r="AW252" s="8" t="str" cm="1">
        <f t="array" ref="AW252">IFERROR(INDEX(_xlfn.ANCHORARRAY($BR$5),ROWS($AW$5:AW252)),"")</f>
        <v/>
      </c>
      <c r="BB252" cm="1">
        <f t="array" ref="BB252">IF($AW252="",0,SUMPRODUCT((TRIM(Footfall!$B$5:$B$301)=$AW252)*(Footfall!$C$1:$BZ$1&gt;=$U$4)*(Footfall!$C$2:$BZ$2&lt;=$U$5)*(Footfall!$C$1:$BZ$1&lt;&gt;""),Footfall!$C$5:$BZ$301))</f>
        <v>0</v>
      </c>
      <c r="BC252" cm="1">
        <f t="array" ref="BC252">IF(OR($BB252&lt;=0,$BD$1="",$BF252=""),0,_xlfn.LET(_xlpm.d,IFERROR(--'Sales and count'!$F$2:$CB$2,0),SUMPRODUCT(('Sales and count'!$G$3:$CC$3="Transactions")*(_xlpm.d&gt;=$BD$1)*(_xlpm.d&lt;=$BD$2),INDEX('Sales and count'!$G$4:$CC$300,$BF252,0))))</f>
        <v>0</v>
      </c>
      <c r="BF252" t="str" cm="1">
        <f t="array" ref="BF252">IF($AW252="","",IFERROR(MATCH($AW252,TRIM('Sales and count'!$A$4:$A$300&amp;""),0),""))</f>
        <v/>
      </c>
      <c r="BG252" t="str" cm="1">
        <f t="array" ref="BG252">IF($AW252="","",IFERROR(MATCH(IFERROR(_xlfn.XLOOKUP($AW252,$BT$5:$BT$22,$BU$5:$BU$22),$AW252),TRIM('TY Sales Target'!$B$5:$B$300&amp;""),0),""))</f>
        <v/>
      </c>
      <c r="BH252" t="str" cm="1">
        <f t="array" ref="BH252">IF(ISNUMBER($BG252),_xlfn.LET(_xlpm.p,TRIM(INDEX('TY Sales Target'!$I$5:$I$300,$BG252)&amp;""),IF(_xlpm.p="","Not set",_xlpm.p)),"Not set")</f>
        <v>Not set</v>
      </c>
      <c r="BI252" cm="1">
        <f t="array" ref="BI252">IF($BF252="",0,_xlfn.LET(_xlpm.d,IFERROR(--'Sales and count'!$G$2:$CC$2,0),SUMPRODUCT(('Sales and count'!$G$3:$CC$3="Total")*(_xlpm.d&gt;=$BZ$5)*(_xlpm.d&lt;=$BZ$6),INDEX('Sales and count'!$G$4:$CC$300,$BF252,0))))</f>
        <v>0</v>
      </c>
      <c r="BJ252" cm="1">
        <f t="array" ref="BJ252">IF($AW252="",0,SUMPRODUCT((TRIM('LY Sales '!$B$5:$B$200)=$AW252)*('LY Sales '!$C$2:$AG$2&gt;=EDATE($BZ$5,-12))*('LY Sales '!$C$2:$AG$2&lt;=EDATE($BZ$6,-12)),'LY Sales '!$C$5:$AG$200))</f>
        <v>0</v>
      </c>
      <c r="BK252" cm="1">
        <f t="array" ref="BK252">IF($AW252="",0,SUMPRODUCT((TRIM('LY Sales '!$B$5:$B$200)=$AW252)*('LY Sales '!$C$2:$AG$2&gt;=EDATE($BZ$5,-12))*('LY Sales '!$C$2:$AG$2&lt;=EDATE($BZ$7,-12)),'LY Sales '!$C$5:$AG$200))</f>
        <v>0</v>
      </c>
      <c r="BL252" cm="1">
        <f t="array" ref="BL252">IF($AW252="",0,SUMPRODUCT((TRIM('LY Sales '!$B$5:$B$200)=$AW252)*('LY Sales '!$C$2:$AG$2&gt;=EDATE($BZ$5,-12))*('LY Sales '!$C$2:$AG$2&lt;=EDATE($BZ$6,-12))*('LY Sales '!$C$5:$AG$200&gt;0)))</f>
        <v>0</v>
      </c>
      <c r="BM252" cm="1">
        <f t="array" ref="BM252">IF(NOT(ISNUMBER($BG252)),0,SUMPRODUCT(('TY Sales Target'!$K$2:$AO$2&gt;=$BZ$5)*('TY Sales Target'!$K$2:$AO$2&lt;=$BZ$6),INDEX('TY Sales Target'!$K$5:$AO$300,$BG252,0)))</f>
        <v>0</v>
      </c>
      <c r="BN252" cm="1">
        <f t="array" ref="BN252">IF(NOT(ISNUMBER($BG252)),0,SUMPRODUCT(('TY Sales Target'!$K$2:$AO$2&gt;=$BZ$5)*('TY Sales Target'!$K$2:$AO$2&lt;=$BZ$7),INDEX('TY Sales Target'!$K$5:$AO$300,$BG252,0)))</f>
        <v>0</v>
      </c>
      <c r="BO252" cm="1">
        <f t="array" ref="BO252">IF($AW252="",0,IFERROR(_xlfn.SWITCH($BP252,"LY trend",$BI252*$BK252/$BJ252,"Target curve",$BI252*$BN252/$BM252,"Run rate",$BI252/$BZ$8*$BZ$9,0),0))</f>
        <v>0</v>
      </c>
      <c r="BP252" t="str">
        <f t="shared" si="125"/>
        <v/>
      </c>
      <c r="CB252" cm="1">
        <f t="array" ref="CB252">IF($AW252="",0,_xlfn.LET(_xlpm.k,IFERROR(_xlfn.XLOOKUP($AW252,$CD$6:$CD$21,$CE$6:$CE$21),$AW252),SUMPRODUCT((TRIM('Makeup '!$A$2:$A$300&amp;"")=_xlpm.k)*1,IFERROR('Makeup '!$F$2:$F$300*1,0))))</f>
        <v>0</v>
      </c>
      <c r="CF252" t="str" cm="1">
        <f t="array" ref="CF252">IF($AW252="","",_xlfn.LET(_xlpm.c,IFERROR(TRIM(INDEX('Sales and count'!$B$4:$B$300,$BF252)&amp;""),""),IF(OR(_xlpm.c="",_xlpm.c="0",LEFT(_xlpm.c,1)="#"),"Not set",_xlpm.c)))</f>
        <v/>
      </c>
      <c r="CH252" cm="1">
        <f t="array" ref="CH252">IF($AW252="",0,_xlfn.LET(_xlpm.k,IFERROR(_xlfn.XLOOKUP($AW252,$CD$6:$CD$21,$CE$6:$CE$21),$AW252),--(SUMPRODUCT((TRIM('Makeup '!$A$2:$A$300&amp;"")=_xlpm.k)*ISNUMBER('Makeup '!$F$2:$F$300))&gt;0)))</f>
        <v>0</v>
      </c>
      <c r="CI252">
        <f t="shared" si="128"/>
        <v>0</v>
      </c>
      <c r="CJ252" cm="1">
        <f t="array" ref="CJ252">IF($AW252="",0,--(SUMPRODUCT(--(TRIM(Footfall!$B$5:$B$301)=$AW252))&gt;0))</f>
        <v>0</v>
      </c>
      <c r="CK252" s="8" cm="1">
        <f t="array" ref="CK252">IF($AW252="",0,_xlfn.LET(_xlpm.r,IFERROR(MATCH(IFERROR(_xlfn.XLOOKUP($AW252,$BT$5:$BT$22,$BU$5:$BU$22),$AW252),TRIM('TY Beauty Target'!$B$5:$B$300&amp;""),0),""),IF(ISNUMBER(_xlpm.r),SUMPRODUCT(('TY Beauty Target'!$L$2:$AP$2&gt;=$U$4)*('TY Beauty Target'!$L$2:$AP$2&lt;=$U$5),INDEX('TY Beauty Target'!$L$5:$AP$300,_xlpm.r,0)),0)))</f>
        <v>0</v>
      </c>
    </row>
    <row r="253" spans="28:89" x14ac:dyDescent="0.25">
      <c r="AB253" s="40" t="str" cm="1">
        <f t="array" ref="AB253">IF($AI253="","",IF(LEFT($AI253,2)="C|",IF($C253="","",SUMPRODUCT($AP$5:$AP$302*($AO$5:$AO$302=$A253),$CK$5:$CK$302)),IF($AI253="CT",AB$13,IF(LEFT($AI253,3)="AM|",IF($C253="","",SUMPRODUCT($AP$5:$AP$302*($AN$5:$AN$302=$A253),$CK$5:$CK$302)),IF(LEFT($AI253,2)="S|",IF($AG253="","",INDEX($CK$5:$CK$302,$AH253)),IF($AI253="HDR","Makeup Target",""))))))</f>
        <v/>
      </c>
      <c r="AC253" s="41" t="str">
        <f t="shared" si="129"/>
        <v/>
      </c>
      <c r="AN253" s="8" t="str" cm="1">
        <f t="array" ref="AN253">IF($AW253="","",_xlfn.LET(_xlpm.sa,IFERROR(TRIM(INDEX('Sales and count'!$D$4:$D$300,$BF253)&amp;""),""),_xlpm.ta,IFERROR(TRIM(INDEX('TY Sales Target'!$F$5:$F$300,$BG253)&amp;""),""),IF(AND(_xlpm.sa&lt;&gt;"",LEFT(_xlpm.sa,1)&lt;&gt;"#",_xlpm.sa&lt;&gt;"0"),_xlpm.sa,IF(AND(_xlpm.ta&lt;&gt;"",LEFT(_xlpm.ta,1)&lt;&gt;"#",_xlpm.ta&lt;&gt;"0"),_xlpm.ta,IF(ISNUMBER($BG253),"Unassigned","")))))</f>
        <v/>
      </c>
      <c r="AO253" s="8" t="str" cm="1">
        <f t="array" ref="AO253">IF($AW253="","",_xlfn.LET(_xlpm.sa,IFERROR(TRIM(INDEX('Sales and count'!$C$4:$C$300,$BF253)&amp;""),""),_xlpm.ta,IFERROR(TRIM(INDEX('TY Sales Target'!$D$5:$D$300,$BG253)&amp;""),""),IF(AND(_xlpm.sa&lt;&gt;"",LEFT(_xlpm.sa,1)&lt;&gt;"#",_xlpm.sa&lt;&gt;"0"),_xlpm.sa,IF(AND(_xlpm.ta&lt;&gt;"",LEFT(_xlpm.ta,1)&lt;&gt;"#",_xlpm.ta&lt;&gt;"0"),_xlpm.ta,""))))</f>
        <v/>
      </c>
      <c r="AP253" s="8">
        <f t="shared" si="126"/>
        <v>0</v>
      </c>
      <c r="AQ253" s="8">
        <f t="shared" si="127"/>
        <v>0</v>
      </c>
      <c r="AR253" s="8" cm="1">
        <f t="array" ref="AR253">IF($BF253="",0,_xlfn.LET(_xlpm.d,IFERROR(--'Sales and count'!$G$2:$CC$2,0),SUMPRODUCT(('Sales and count'!$G$3:$CC$3="Total")*(_xlpm.d&gt;=$U$4)*(_xlpm.d&lt;=$U$5),INDEX('Sales and count'!$G$4:$CC$300,$BF253,0))))</f>
        <v>0</v>
      </c>
      <c r="AS253" s="8" cm="1">
        <f t="array" ref="AS253">IF($BF253="",0,_xlfn.LET(_xlpm.d,IFERROR(--'Sales and count'!$F$2:$CB$2,0),SUMPRODUCT(('Sales and count'!$G$3:$CC$3="Transactions")*(_xlpm.d&gt;=$U$4)*(_xlpm.d&lt;=$U$5),INDEX('Sales and count'!$G$4:$CC$300,$BF253,0))))</f>
        <v>0</v>
      </c>
      <c r="AT253" s="8" cm="1">
        <f t="array" ref="AT253">IF($AW253="",0,SUMPRODUCT((TRIM('LY Sales '!$B$5:$B$200)=$AW253)*('LY Sales '!$C$2:$AG$2&gt;=EDATE($U$4,-12))*('LY Sales '!$C$2:$AG$2&lt;=EDATE($U$5,-12)),'LY Sales '!$C$5:$AG$200))</f>
        <v>0</v>
      </c>
      <c r="AU253" s="8" cm="1">
        <f t="array" ref="AU253">IF($AW253="",0,SUMPRODUCT((TRIM('LY Transaction'!$B$5:$B$200)=$AW253)*('LY Transaction'!$C$2:$AG$2&gt;=EDATE($U$4,-12))*('LY Transaction'!$C$2:$AG$2&lt;=EDATE($U$5,-12)),'LY Transaction'!$C$5:$AG$200))</f>
        <v>0</v>
      </c>
      <c r="AV253" s="8" cm="1">
        <f t="array" ref="AV253">IF(NOT(ISNUMBER($BG253)),0,SUMPRODUCT(('TY Sales Target'!$K$2:$AO$2&gt;=$U$4)*('TY Sales Target'!$K$2:$AO$2&lt;=$U$5),INDEX('TY Sales Target'!$K$5:$AO$300,$BG253,0)))</f>
        <v>0</v>
      </c>
      <c r="AW253" s="8" t="str" cm="1">
        <f t="array" ref="AW253">IFERROR(INDEX(_xlfn.ANCHORARRAY($BR$5),ROWS($AW$5:AW253)),"")</f>
        <v/>
      </c>
      <c r="BB253" cm="1">
        <f t="array" ref="BB253">IF($AW253="",0,SUMPRODUCT((TRIM(Footfall!$B$5:$B$301)=$AW253)*(Footfall!$C$1:$BZ$1&gt;=$U$4)*(Footfall!$C$2:$BZ$2&lt;=$U$5)*(Footfall!$C$1:$BZ$1&lt;&gt;""),Footfall!$C$5:$BZ$301))</f>
        <v>0</v>
      </c>
      <c r="BC253" cm="1">
        <f t="array" ref="BC253">IF(OR($BB253&lt;=0,$BD$1="",$BF253=""),0,_xlfn.LET(_xlpm.d,IFERROR(--'Sales and count'!$F$2:$CB$2,0),SUMPRODUCT(('Sales and count'!$G$3:$CC$3="Transactions")*(_xlpm.d&gt;=$BD$1)*(_xlpm.d&lt;=$BD$2),INDEX('Sales and count'!$G$4:$CC$300,$BF253,0))))</f>
        <v>0</v>
      </c>
      <c r="BF253" t="str" cm="1">
        <f t="array" ref="BF253">IF($AW253="","",IFERROR(MATCH($AW253,TRIM('Sales and count'!$A$4:$A$300&amp;""),0),""))</f>
        <v/>
      </c>
      <c r="BG253" t="str" cm="1">
        <f t="array" ref="BG253">IF($AW253="","",IFERROR(MATCH(IFERROR(_xlfn.XLOOKUP($AW253,$BT$5:$BT$22,$BU$5:$BU$22),$AW253),TRIM('TY Sales Target'!$B$5:$B$300&amp;""),0),""))</f>
        <v/>
      </c>
      <c r="BH253" t="str" cm="1">
        <f t="array" ref="BH253">IF(ISNUMBER($BG253),_xlfn.LET(_xlpm.p,TRIM(INDEX('TY Sales Target'!$I$5:$I$300,$BG253)&amp;""),IF(_xlpm.p="","Not set",_xlpm.p)),"Not set")</f>
        <v>Not set</v>
      </c>
      <c r="BI253" cm="1">
        <f t="array" ref="BI253">IF($BF253="",0,_xlfn.LET(_xlpm.d,IFERROR(--'Sales and count'!$G$2:$CC$2,0),SUMPRODUCT(('Sales and count'!$G$3:$CC$3="Total")*(_xlpm.d&gt;=$BZ$5)*(_xlpm.d&lt;=$BZ$6),INDEX('Sales and count'!$G$4:$CC$300,$BF253,0))))</f>
        <v>0</v>
      </c>
      <c r="BJ253" cm="1">
        <f t="array" ref="BJ253">IF($AW253="",0,SUMPRODUCT((TRIM('LY Sales '!$B$5:$B$200)=$AW253)*('LY Sales '!$C$2:$AG$2&gt;=EDATE($BZ$5,-12))*('LY Sales '!$C$2:$AG$2&lt;=EDATE($BZ$6,-12)),'LY Sales '!$C$5:$AG$200))</f>
        <v>0</v>
      </c>
      <c r="BK253" cm="1">
        <f t="array" ref="BK253">IF($AW253="",0,SUMPRODUCT((TRIM('LY Sales '!$B$5:$B$200)=$AW253)*('LY Sales '!$C$2:$AG$2&gt;=EDATE($BZ$5,-12))*('LY Sales '!$C$2:$AG$2&lt;=EDATE($BZ$7,-12)),'LY Sales '!$C$5:$AG$200))</f>
        <v>0</v>
      </c>
      <c r="BL253" cm="1">
        <f t="array" ref="BL253">IF($AW253="",0,SUMPRODUCT((TRIM('LY Sales '!$B$5:$B$200)=$AW253)*('LY Sales '!$C$2:$AG$2&gt;=EDATE($BZ$5,-12))*('LY Sales '!$C$2:$AG$2&lt;=EDATE($BZ$6,-12))*('LY Sales '!$C$5:$AG$200&gt;0)))</f>
        <v>0</v>
      </c>
      <c r="BM253" cm="1">
        <f t="array" ref="BM253">IF(NOT(ISNUMBER($BG253)),0,SUMPRODUCT(('TY Sales Target'!$K$2:$AO$2&gt;=$BZ$5)*('TY Sales Target'!$K$2:$AO$2&lt;=$BZ$6),INDEX('TY Sales Target'!$K$5:$AO$300,$BG253,0)))</f>
        <v>0</v>
      </c>
      <c r="BN253" cm="1">
        <f t="array" ref="BN253">IF(NOT(ISNUMBER($BG253)),0,SUMPRODUCT(('TY Sales Target'!$K$2:$AO$2&gt;=$BZ$5)*('TY Sales Target'!$K$2:$AO$2&lt;=$BZ$7),INDEX('TY Sales Target'!$K$5:$AO$300,$BG253,0)))</f>
        <v>0</v>
      </c>
      <c r="BO253" cm="1">
        <f t="array" ref="BO253">IF($AW253="",0,IFERROR(_xlfn.SWITCH($BP253,"LY trend",$BI253*$BK253/$BJ253,"Target curve",$BI253*$BN253/$BM253,"Run rate",$BI253/$BZ$8*$BZ$9,0),0))</f>
        <v>0</v>
      </c>
      <c r="BP253" t="str">
        <f t="shared" si="125"/>
        <v/>
      </c>
      <c r="CB253" cm="1">
        <f t="array" ref="CB253">IF($AW253="",0,_xlfn.LET(_xlpm.k,IFERROR(_xlfn.XLOOKUP($AW253,$CD$6:$CD$21,$CE$6:$CE$21),$AW253),SUMPRODUCT((TRIM('Makeup '!$A$2:$A$300&amp;"")=_xlpm.k)*1,IFERROR('Makeup '!$F$2:$F$300*1,0))))</f>
        <v>0</v>
      </c>
      <c r="CF253" t="str" cm="1">
        <f t="array" ref="CF253">IF($AW253="","",_xlfn.LET(_xlpm.c,IFERROR(TRIM(INDEX('Sales and count'!$B$4:$B$300,$BF253)&amp;""),""),IF(OR(_xlpm.c="",_xlpm.c="0",LEFT(_xlpm.c,1)="#"),"Not set",_xlpm.c)))</f>
        <v/>
      </c>
      <c r="CH253" cm="1">
        <f t="array" ref="CH253">IF($AW253="",0,_xlfn.LET(_xlpm.k,IFERROR(_xlfn.XLOOKUP($AW253,$CD$6:$CD$21,$CE$6:$CE$21),$AW253),--(SUMPRODUCT((TRIM('Makeup '!$A$2:$A$300&amp;"")=_xlpm.k)*ISNUMBER('Makeup '!$F$2:$F$300))&gt;0)))</f>
        <v>0</v>
      </c>
      <c r="CI253">
        <f t="shared" si="128"/>
        <v>0</v>
      </c>
      <c r="CJ253" cm="1">
        <f t="array" ref="CJ253">IF($AW253="",0,--(SUMPRODUCT(--(TRIM(Footfall!$B$5:$B$301)=$AW253))&gt;0))</f>
        <v>0</v>
      </c>
      <c r="CK253" s="8" cm="1">
        <f t="array" ref="CK253">IF($AW253="",0,_xlfn.LET(_xlpm.r,IFERROR(MATCH(IFERROR(_xlfn.XLOOKUP($AW253,$BT$5:$BT$22,$BU$5:$BU$22),$AW253),TRIM('TY Beauty Target'!$B$5:$B$300&amp;""),0),""),IF(ISNUMBER(_xlpm.r),SUMPRODUCT(('TY Beauty Target'!$L$2:$AP$2&gt;=$U$4)*('TY Beauty Target'!$L$2:$AP$2&lt;=$U$5),INDEX('TY Beauty Target'!$L$5:$AP$300,_xlpm.r,0)),0)))</f>
        <v>0</v>
      </c>
    </row>
    <row r="254" spans="28:89" x14ac:dyDescent="0.25">
      <c r="AB254" s="40" t="str" cm="1">
        <f t="array" ref="AB254">IF($AI254="","",IF(LEFT($AI254,2)="C|",IF($C254="","",SUMPRODUCT($AP$5:$AP$302*($AO$5:$AO$302=$A254),$CK$5:$CK$302)),IF($AI254="CT",AB$13,IF(LEFT($AI254,3)="AM|",IF($C254="","",SUMPRODUCT($AP$5:$AP$302*($AN$5:$AN$302=$A254),$CK$5:$CK$302)),IF(LEFT($AI254,2)="S|",IF($AG254="","",INDEX($CK$5:$CK$302,$AH254)),IF($AI254="HDR","Makeup Target",""))))))</f>
        <v/>
      </c>
      <c r="AC254" s="41" t="str">
        <f t="shared" si="129"/>
        <v/>
      </c>
      <c r="AN254" s="8" t="str" cm="1">
        <f t="array" ref="AN254">IF($AW254="","",_xlfn.LET(_xlpm.sa,IFERROR(TRIM(INDEX('Sales and count'!$D$4:$D$300,$BF254)&amp;""),""),_xlpm.ta,IFERROR(TRIM(INDEX('TY Sales Target'!$F$5:$F$300,$BG254)&amp;""),""),IF(AND(_xlpm.sa&lt;&gt;"",LEFT(_xlpm.sa,1)&lt;&gt;"#",_xlpm.sa&lt;&gt;"0"),_xlpm.sa,IF(AND(_xlpm.ta&lt;&gt;"",LEFT(_xlpm.ta,1)&lt;&gt;"#",_xlpm.ta&lt;&gt;"0"),_xlpm.ta,IF(ISNUMBER($BG254),"Unassigned","")))))</f>
        <v/>
      </c>
      <c r="AO254" s="8" t="str" cm="1">
        <f t="array" ref="AO254">IF($AW254="","",_xlfn.LET(_xlpm.sa,IFERROR(TRIM(INDEX('Sales and count'!$C$4:$C$300,$BF254)&amp;""),""),_xlpm.ta,IFERROR(TRIM(INDEX('TY Sales Target'!$D$5:$D$300,$BG254)&amp;""),""),IF(AND(_xlpm.sa&lt;&gt;"",LEFT(_xlpm.sa,1)&lt;&gt;"#",_xlpm.sa&lt;&gt;"0"),_xlpm.sa,IF(AND(_xlpm.ta&lt;&gt;"",LEFT(_xlpm.ta,1)&lt;&gt;"#",_xlpm.ta&lt;&gt;"0"),_xlpm.ta,""))))</f>
        <v/>
      </c>
      <c r="AP254" s="8">
        <f t="shared" si="126"/>
        <v>0</v>
      </c>
      <c r="AQ254" s="8">
        <f t="shared" si="127"/>
        <v>0</v>
      </c>
      <c r="AR254" s="8" cm="1">
        <f t="array" ref="AR254">IF($BF254="",0,_xlfn.LET(_xlpm.d,IFERROR(--'Sales and count'!$G$2:$CC$2,0),SUMPRODUCT(('Sales and count'!$G$3:$CC$3="Total")*(_xlpm.d&gt;=$U$4)*(_xlpm.d&lt;=$U$5),INDEX('Sales and count'!$G$4:$CC$300,$BF254,0))))</f>
        <v>0</v>
      </c>
      <c r="AS254" s="8" cm="1">
        <f t="array" ref="AS254">IF($BF254="",0,_xlfn.LET(_xlpm.d,IFERROR(--'Sales and count'!$F$2:$CB$2,0),SUMPRODUCT(('Sales and count'!$G$3:$CC$3="Transactions")*(_xlpm.d&gt;=$U$4)*(_xlpm.d&lt;=$U$5),INDEX('Sales and count'!$G$4:$CC$300,$BF254,0))))</f>
        <v>0</v>
      </c>
      <c r="AT254" s="8" cm="1">
        <f t="array" ref="AT254">IF($AW254="",0,SUMPRODUCT((TRIM('LY Sales '!$B$5:$B$200)=$AW254)*('LY Sales '!$C$2:$AG$2&gt;=EDATE($U$4,-12))*('LY Sales '!$C$2:$AG$2&lt;=EDATE($U$5,-12)),'LY Sales '!$C$5:$AG$200))</f>
        <v>0</v>
      </c>
      <c r="AU254" s="8" cm="1">
        <f t="array" ref="AU254">IF($AW254="",0,SUMPRODUCT((TRIM('LY Transaction'!$B$5:$B$200)=$AW254)*('LY Transaction'!$C$2:$AG$2&gt;=EDATE($U$4,-12))*('LY Transaction'!$C$2:$AG$2&lt;=EDATE($U$5,-12)),'LY Transaction'!$C$5:$AG$200))</f>
        <v>0</v>
      </c>
      <c r="AV254" s="8" cm="1">
        <f t="array" ref="AV254">IF(NOT(ISNUMBER($BG254)),0,SUMPRODUCT(('TY Sales Target'!$K$2:$AO$2&gt;=$U$4)*('TY Sales Target'!$K$2:$AO$2&lt;=$U$5),INDEX('TY Sales Target'!$K$5:$AO$300,$BG254,0)))</f>
        <v>0</v>
      </c>
      <c r="AW254" s="8" t="str" cm="1">
        <f t="array" ref="AW254">IFERROR(INDEX(_xlfn.ANCHORARRAY($BR$5),ROWS($AW$5:AW254)),"")</f>
        <v/>
      </c>
      <c r="BB254" cm="1">
        <f t="array" ref="BB254">IF($AW254="",0,SUMPRODUCT((TRIM(Footfall!$B$5:$B$301)=$AW254)*(Footfall!$C$1:$BZ$1&gt;=$U$4)*(Footfall!$C$2:$BZ$2&lt;=$U$5)*(Footfall!$C$1:$BZ$1&lt;&gt;""),Footfall!$C$5:$BZ$301))</f>
        <v>0</v>
      </c>
      <c r="BC254" cm="1">
        <f t="array" ref="BC254">IF(OR($BB254&lt;=0,$BD$1="",$BF254=""),0,_xlfn.LET(_xlpm.d,IFERROR(--'Sales and count'!$F$2:$CB$2,0),SUMPRODUCT(('Sales and count'!$G$3:$CC$3="Transactions")*(_xlpm.d&gt;=$BD$1)*(_xlpm.d&lt;=$BD$2),INDEX('Sales and count'!$G$4:$CC$300,$BF254,0))))</f>
        <v>0</v>
      </c>
      <c r="BF254" t="str" cm="1">
        <f t="array" ref="BF254">IF($AW254="","",IFERROR(MATCH($AW254,TRIM('Sales and count'!$A$4:$A$300&amp;""),0),""))</f>
        <v/>
      </c>
      <c r="BG254" t="str" cm="1">
        <f t="array" ref="BG254">IF($AW254="","",IFERROR(MATCH(IFERROR(_xlfn.XLOOKUP($AW254,$BT$5:$BT$22,$BU$5:$BU$22),$AW254),TRIM('TY Sales Target'!$B$5:$B$300&amp;""),0),""))</f>
        <v/>
      </c>
      <c r="BH254" t="str" cm="1">
        <f t="array" ref="BH254">IF(ISNUMBER($BG254),_xlfn.LET(_xlpm.p,TRIM(INDEX('TY Sales Target'!$I$5:$I$300,$BG254)&amp;""),IF(_xlpm.p="","Not set",_xlpm.p)),"Not set")</f>
        <v>Not set</v>
      </c>
      <c r="BI254" cm="1">
        <f t="array" ref="BI254">IF($BF254="",0,_xlfn.LET(_xlpm.d,IFERROR(--'Sales and count'!$G$2:$CC$2,0),SUMPRODUCT(('Sales and count'!$G$3:$CC$3="Total")*(_xlpm.d&gt;=$BZ$5)*(_xlpm.d&lt;=$BZ$6),INDEX('Sales and count'!$G$4:$CC$300,$BF254,0))))</f>
        <v>0</v>
      </c>
      <c r="BJ254" cm="1">
        <f t="array" ref="BJ254">IF($AW254="",0,SUMPRODUCT((TRIM('LY Sales '!$B$5:$B$200)=$AW254)*('LY Sales '!$C$2:$AG$2&gt;=EDATE($BZ$5,-12))*('LY Sales '!$C$2:$AG$2&lt;=EDATE($BZ$6,-12)),'LY Sales '!$C$5:$AG$200))</f>
        <v>0</v>
      </c>
      <c r="BK254" cm="1">
        <f t="array" ref="BK254">IF($AW254="",0,SUMPRODUCT((TRIM('LY Sales '!$B$5:$B$200)=$AW254)*('LY Sales '!$C$2:$AG$2&gt;=EDATE($BZ$5,-12))*('LY Sales '!$C$2:$AG$2&lt;=EDATE($BZ$7,-12)),'LY Sales '!$C$5:$AG$200))</f>
        <v>0</v>
      </c>
      <c r="BL254" cm="1">
        <f t="array" ref="BL254">IF($AW254="",0,SUMPRODUCT((TRIM('LY Sales '!$B$5:$B$200)=$AW254)*('LY Sales '!$C$2:$AG$2&gt;=EDATE($BZ$5,-12))*('LY Sales '!$C$2:$AG$2&lt;=EDATE($BZ$6,-12))*('LY Sales '!$C$5:$AG$200&gt;0)))</f>
        <v>0</v>
      </c>
      <c r="BM254" cm="1">
        <f t="array" ref="BM254">IF(NOT(ISNUMBER($BG254)),0,SUMPRODUCT(('TY Sales Target'!$K$2:$AO$2&gt;=$BZ$5)*('TY Sales Target'!$K$2:$AO$2&lt;=$BZ$6),INDEX('TY Sales Target'!$K$5:$AO$300,$BG254,0)))</f>
        <v>0</v>
      </c>
      <c r="BN254" cm="1">
        <f t="array" ref="BN254">IF(NOT(ISNUMBER($BG254)),0,SUMPRODUCT(('TY Sales Target'!$K$2:$AO$2&gt;=$BZ$5)*('TY Sales Target'!$K$2:$AO$2&lt;=$BZ$7),INDEX('TY Sales Target'!$K$5:$AO$300,$BG254,0)))</f>
        <v>0</v>
      </c>
      <c r="BO254" cm="1">
        <f t="array" ref="BO254">IF($AW254="",0,IFERROR(_xlfn.SWITCH($BP254,"LY trend",$BI254*$BK254/$BJ254,"Target curve",$BI254*$BN254/$BM254,"Run rate",$BI254/$BZ$8*$BZ$9,0),0))</f>
        <v>0</v>
      </c>
      <c r="BP254" t="str">
        <f t="shared" si="125"/>
        <v/>
      </c>
      <c r="CB254" cm="1">
        <f t="array" ref="CB254">IF($AW254="",0,_xlfn.LET(_xlpm.k,IFERROR(_xlfn.XLOOKUP($AW254,$CD$6:$CD$21,$CE$6:$CE$21),$AW254),SUMPRODUCT((TRIM('Makeup '!$A$2:$A$300&amp;"")=_xlpm.k)*1,IFERROR('Makeup '!$F$2:$F$300*1,0))))</f>
        <v>0</v>
      </c>
      <c r="CF254" t="str" cm="1">
        <f t="array" ref="CF254">IF($AW254="","",_xlfn.LET(_xlpm.c,IFERROR(TRIM(INDEX('Sales and count'!$B$4:$B$300,$BF254)&amp;""),""),IF(OR(_xlpm.c="",_xlpm.c="0",LEFT(_xlpm.c,1)="#"),"Not set",_xlpm.c)))</f>
        <v/>
      </c>
      <c r="CH254" cm="1">
        <f t="array" ref="CH254">IF($AW254="",0,_xlfn.LET(_xlpm.k,IFERROR(_xlfn.XLOOKUP($AW254,$CD$6:$CD$21,$CE$6:$CE$21),$AW254),--(SUMPRODUCT((TRIM('Makeup '!$A$2:$A$300&amp;"")=_xlpm.k)*ISNUMBER('Makeup '!$F$2:$F$300))&gt;0)))</f>
        <v>0</v>
      </c>
      <c r="CI254">
        <f t="shared" si="128"/>
        <v>0</v>
      </c>
      <c r="CJ254" cm="1">
        <f t="array" ref="CJ254">IF($AW254="",0,--(SUMPRODUCT(--(TRIM(Footfall!$B$5:$B$301)=$AW254))&gt;0))</f>
        <v>0</v>
      </c>
      <c r="CK254" s="8" cm="1">
        <f t="array" ref="CK254">IF($AW254="",0,_xlfn.LET(_xlpm.r,IFERROR(MATCH(IFERROR(_xlfn.XLOOKUP($AW254,$BT$5:$BT$22,$BU$5:$BU$22),$AW254),TRIM('TY Beauty Target'!$B$5:$B$300&amp;""),0),""),IF(ISNUMBER(_xlpm.r),SUMPRODUCT(('TY Beauty Target'!$L$2:$AP$2&gt;=$U$4)*('TY Beauty Target'!$L$2:$AP$2&lt;=$U$5),INDEX('TY Beauty Target'!$L$5:$AP$300,_xlpm.r,0)),0)))</f>
        <v>0</v>
      </c>
    </row>
    <row r="255" spans="28:89" x14ac:dyDescent="0.25">
      <c r="AB255" s="40" t="str" cm="1">
        <f t="array" ref="AB255">IF($AI255="","",IF(LEFT($AI255,2)="C|",IF($C255="","",SUMPRODUCT($AP$5:$AP$302*($AO$5:$AO$302=$A255),$CK$5:$CK$302)),IF($AI255="CT",AB$13,IF(LEFT($AI255,3)="AM|",IF($C255="","",SUMPRODUCT($AP$5:$AP$302*($AN$5:$AN$302=$A255),$CK$5:$CK$302)),IF(LEFT($AI255,2)="S|",IF($AG255="","",INDEX($CK$5:$CK$302,$AH255)),IF($AI255="HDR","Makeup Target",""))))))</f>
        <v/>
      </c>
      <c r="AC255" s="41" t="str">
        <f t="shared" si="129"/>
        <v/>
      </c>
      <c r="AN255" s="8" t="str" cm="1">
        <f t="array" ref="AN255">IF($AW255="","",_xlfn.LET(_xlpm.sa,IFERROR(TRIM(INDEX('Sales and count'!$D$4:$D$300,$BF255)&amp;""),""),_xlpm.ta,IFERROR(TRIM(INDEX('TY Sales Target'!$F$5:$F$300,$BG255)&amp;""),""),IF(AND(_xlpm.sa&lt;&gt;"",LEFT(_xlpm.sa,1)&lt;&gt;"#",_xlpm.sa&lt;&gt;"0"),_xlpm.sa,IF(AND(_xlpm.ta&lt;&gt;"",LEFT(_xlpm.ta,1)&lt;&gt;"#",_xlpm.ta&lt;&gt;"0"),_xlpm.ta,IF(ISNUMBER($BG255),"Unassigned","")))))</f>
        <v/>
      </c>
      <c r="AO255" s="8" t="str" cm="1">
        <f t="array" ref="AO255">IF($AW255="","",_xlfn.LET(_xlpm.sa,IFERROR(TRIM(INDEX('Sales and count'!$C$4:$C$300,$BF255)&amp;""),""),_xlpm.ta,IFERROR(TRIM(INDEX('TY Sales Target'!$D$5:$D$300,$BG255)&amp;""),""),IF(AND(_xlpm.sa&lt;&gt;"",LEFT(_xlpm.sa,1)&lt;&gt;"#",_xlpm.sa&lt;&gt;"0"),_xlpm.sa,IF(AND(_xlpm.ta&lt;&gt;"",LEFT(_xlpm.ta,1)&lt;&gt;"#",_xlpm.ta&lt;&gt;"0"),_xlpm.ta,""))))</f>
        <v/>
      </c>
      <c r="AP255" s="8">
        <f t="shared" si="126"/>
        <v>0</v>
      </c>
      <c r="AQ255" s="8">
        <f t="shared" si="127"/>
        <v>0</v>
      </c>
      <c r="AR255" s="8" cm="1">
        <f t="array" ref="AR255">IF($BF255="",0,_xlfn.LET(_xlpm.d,IFERROR(--'Sales and count'!$G$2:$CC$2,0),SUMPRODUCT(('Sales and count'!$G$3:$CC$3="Total")*(_xlpm.d&gt;=$U$4)*(_xlpm.d&lt;=$U$5),INDEX('Sales and count'!$G$4:$CC$300,$BF255,0))))</f>
        <v>0</v>
      </c>
      <c r="AS255" s="8" cm="1">
        <f t="array" ref="AS255">IF($BF255="",0,_xlfn.LET(_xlpm.d,IFERROR(--'Sales and count'!$F$2:$CB$2,0),SUMPRODUCT(('Sales and count'!$G$3:$CC$3="Transactions")*(_xlpm.d&gt;=$U$4)*(_xlpm.d&lt;=$U$5),INDEX('Sales and count'!$G$4:$CC$300,$BF255,0))))</f>
        <v>0</v>
      </c>
      <c r="AT255" s="8" cm="1">
        <f t="array" ref="AT255">IF($AW255="",0,SUMPRODUCT((TRIM('LY Sales '!$B$5:$B$200)=$AW255)*('LY Sales '!$C$2:$AG$2&gt;=EDATE($U$4,-12))*('LY Sales '!$C$2:$AG$2&lt;=EDATE($U$5,-12)),'LY Sales '!$C$5:$AG$200))</f>
        <v>0</v>
      </c>
      <c r="AU255" s="8" cm="1">
        <f t="array" ref="AU255">IF($AW255="",0,SUMPRODUCT((TRIM('LY Transaction'!$B$5:$B$200)=$AW255)*('LY Transaction'!$C$2:$AG$2&gt;=EDATE($U$4,-12))*('LY Transaction'!$C$2:$AG$2&lt;=EDATE($U$5,-12)),'LY Transaction'!$C$5:$AG$200))</f>
        <v>0</v>
      </c>
      <c r="AV255" s="8" cm="1">
        <f t="array" ref="AV255">IF(NOT(ISNUMBER($BG255)),0,SUMPRODUCT(('TY Sales Target'!$K$2:$AO$2&gt;=$U$4)*('TY Sales Target'!$K$2:$AO$2&lt;=$U$5),INDEX('TY Sales Target'!$K$5:$AO$300,$BG255,0)))</f>
        <v>0</v>
      </c>
      <c r="AW255" s="8" t="str" cm="1">
        <f t="array" ref="AW255">IFERROR(INDEX(_xlfn.ANCHORARRAY($BR$5),ROWS($AW$5:AW255)),"")</f>
        <v/>
      </c>
      <c r="BB255" cm="1">
        <f t="array" ref="BB255">IF($AW255="",0,SUMPRODUCT((TRIM(Footfall!$B$5:$B$301)=$AW255)*(Footfall!$C$1:$BZ$1&gt;=$U$4)*(Footfall!$C$2:$BZ$2&lt;=$U$5)*(Footfall!$C$1:$BZ$1&lt;&gt;""),Footfall!$C$5:$BZ$301))</f>
        <v>0</v>
      </c>
      <c r="BC255" cm="1">
        <f t="array" ref="BC255">IF(OR($BB255&lt;=0,$BD$1="",$BF255=""),0,_xlfn.LET(_xlpm.d,IFERROR(--'Sales and count'!$F$2:$CB$2,0),SUMPRODUCT(('Sales and count'!$G$3:$CC$3="Transactions")*(_xlpm.d&gt;=$BD$1)*(_xlpm.d&lt;=$BD$2),INDEX('Sales and count'!$G$4:$CC$300,$BF255,0))))</f>
        <v>0</v>
      </c>
      <c r="BF255" t="str" cm="1">
        <f t="array" ref="BF255">IF($AW255="","",IFERROR(MATCH($AW255,TRIM('Sales and count'!$A$4:$A$300&amp;""),0),""))</f>
        <v/>
      </c>
      <c r="BG255" t="str" cm="1">
        <f t="array" ref="BG255">IF($AW255="","",IFERROR(MATCH(IFERROR(_xlfn.XLOOKUP($AW255,$BT$5:$BT$22,$BU$5:$BU$22),$AW255),TRIM('TY Sales Target'!$B$5:$B$300&amp;""),0),""))</f>
        <v/>
      </c>
      <c r="BH255" t="str" cm="1">
        <f t="array" ref="BH255">IF(ISNUMBER($BG255),_xlfn.LET(_xlpm.p,TRIM(INDEX('TY Sales Target'!$I$5:$I$300,$BG255)&amp;""),IF(_xlpm.p="","Not set",_xlpm.p)),"Not set")</f>
        <v>Not set</v>
      </c>
      <c r="BI255" cm="1">
        <f t="array" ref="BI255">IF($BF255="",0,_xlfn.LET(_xlpm.d,IFERROR(--'Sales and count'!$G$2:$CC$2,0),SUMPRODUCT(('Sales and count'!$G$3:$CC$3="Total")*(_xlpm.d&gt;=$BZ$5)*(_xlpm.d&lt;=$BZ$6),INDEX('Sales and count'!$G$4:$CC$300,$BF255,0))))</f>
        <v>0</v>
      </c>
      <c r="BJ255" cm="1">
        <f t="array" ref="BJ255">IF($AW255="",0,SUMPRODUCT((TRIM('LY Sales '!$B$5:$B$200)=$AW255)*('LY Sales '!$C$2:$AG$2&gt;=EDATE($BZ$5,-12))*('LY Sales '!$C$2:$AG$2&lt;=EDATE($BZ$6,-12)),'LY Sales '!$C$5:$AG$200))</f>
        <v>0</v>
      </c>
      <c r="BK255" cm="1">
        <f t="array" ref="BK255">IF($AW255="",0,SUMPRODUCT((TRIM('LY Sales '!$B$5:$B$200)=$AW255)*('LY Sales '!$C$2:$AG$2&gt;=EDATE($BZ$5,-12))*('LY Sales '!$C$2:$AG$2&lt;=EDATE($BZ$7,-12)),'LY Sales '!$C$5:$AG$200))</f>
        <v>0</v>
      </c>
      <c r="BL255" cm="1">
        <f t="array" ref="BL255">IF($AW255="",0,SUMPRODUCT((TRIM('LY Sales '!$B$5:$B$200)=$AW255)*('LY Sales '!$C$2:$AG$2&gt;=EDATE($BZ$5,-12))*('LY Sales '!$C$2:$AG$2&lt;=EDATE($BZ$6,-12))*('LY Sales '!$C$5:$AG$200&gt;0)))</f>
        <v>0</v>
      </c>
      <c r="BM255" cm="1">
        <f t="array" ref="BM255">IF(NOT(ISNUMBER($BG255)),0,SUMPRODUCT(('TY Sales Target'!$K$2:$AO$2&gt;=$BZ$5)*('TY Sales Target'!$K$2:$AO$2&lt;=$BZ$6),INDEX('TY Sales Target'!$K$5:$AO$300,$BG255,0)))</f>
        <v>0</v>
      </c>
      <c r="BN255" cm="1">
        <f t="array" ref="BN255">IF(NOT(ISNUMBER($BG255)),0,SUMPRODUCT(('TY Sales Target'!$K$2:$AO$2&gt;=$BZ$5)*('TY Sales Target'!$K$2:$AO$2&lt;=$BZ$7),INDEX('TY Sales Target'!$K$5:$AO$300,$BG255,0)))</f>
        <v>0</v>
      </c>
      <c r="BO255" cm="1">
        <f t="array" ref="BO255">IF($AW255="",0,IFERROR(_xlfn.SWITCH($BP255,"LY trend",$BI255*$BK255/$BJ255,"Target curve",$BI255*$BN255/$BM255,"Run rate",$BI255/$BZ$8*$BZ$9,0),0))</f>
        <v>0</v>
      </c>
      <c r="BP255" t="str">
        <f t="shared" si="125"/>
        <v/>
      </c>
      <c r="CB255" cm="1">
        <f t="array" ref="CB255">IF($AW255="",0,_xlfn.LET(_xlpm.k,IFERROR(_xlfn.XLOOKUP($AW255,$CD$6:$CD$21,$CE$6:$CE$21),$AW255),SUMPRODUCT((TRIM('Makeup '!$A$2:$A$300&amp;"")=_xlpm.k)*1,IFERROR('Makeup '!$F$2:$F$300*1,0))))</f>
        <v>0</v>
      </c>
      <c r="CF255" t="str" cm="1">
        <f t="array" ref="CF255">IF($AW255="","",_xlfn.LET(_xlpm.c,IFERROR(TRIM(INDEX('Sales and count'!$B$4:$B$300,$BF255)&amp;""),""),IF(OR(_xlpm.c="",_xlpm.c="0",LEFT(_xlpm.c,1)="#"),"Not set",_xlpm.c)))</f>
        <v/>
      </c>
      <c r="CH255" cm="1">
        <f t="array" ref="CH255">IF($AW255="",0,_xlfn.LET(_xlpm.k,IFERROR(_xlfn.XLOOKUP($AW255,$CD$6:$CD$21,$CE$6:$CE$21),$AW255),--(SUMPRODUCT((TRIM('Makeup '!$A$2:$A$300&amp;"")=_xlpm.k)*ISNUMBER('Makeup '!$F$2:$F$300))&gt;0)))</f>
        <v>0</v>
      </c>
      <c r="CI255">
        <f t="shared" si="128"/>
        <v>0</v>
      </c>
      <c r="CJ255" cm="1">
        <f t="array" ref="CJ255">IF($AW255="",0,--(SUMPRODUCT(--(TRIM(Footfall!$B$5:$B$301)=$AW255))&gt;0))</f>
        <v>0</v>
      </c>
      <c r="CK255" s="8" cm="1">
        <f t="array" ref="CK255">IF($AW255="",0,_xlfn.LET(_xlpm.r,IFERROR(MATCH(IFERROR(_xlfn.XLOOKUP($AW255,$BT$5:$BT$22,$BU$5:$BU$22),$AW255),TRIM('TY Beauty Target'!$B$5:$B$300&amp;""),0),""),IF(ISNUMBER(_xlpm.r),SUMPRODUCT(('TY Beauty Target'!$L$2:$AP$2&gt;=$U$4)*('TY Beauty Target'!$L$2:$AP$2&lt;=$U$5),INDEX('TY Beauty Target'!$L$5:$AP$300,_xlpm.r,0)),0)))</f>
        <v>0</v>
      </c>
    </row>
    <row r="256" spans="28:89" x14ac:dyDescent="0.25">
      <c r="AB256" s="40" t="str" cm="1">
        <f t="array" ref="AB256">IF($AI256="","",IF(LEFT($AI256,2)="C|",IF($C256="","",SUMPRODUCT($AP$5:$AP$302*($AO$5:$AO$302=$A256),$CK$5:$CK$302)),IF($AI256="CT",AB$13,IF(LEFT($AI256,3)="AM|",IF($C256="","",SUMPRODUCT($AP$5:$AP$302*($AN$5:$AN$302=$A256),$CK$5:$CK$302)),IF(LEFT($AI256,2)="S|",IF($AG256="","",INDEX($CK$5:$CK$302,$AH256)),IF($AI256="HDR","Makeup Target",""))))))</f>
        <v/>
      </c>
      <c r="AC256" s="41" t="str">
        <f t="shared" si="129"/>
        <v/>
      </c>
      <c r="AN256" s="8" t="str" cm="1">
        <f t="array" ref="AN256">IF($AW256="","",_xlfn.LET(_xlpm.sa,IFERROR(TRIM(INDEX('Sales and count'!$D$4:$D$300,$BF256)&amp;""),""),_xlpm.ta,IFERROR(TRIM(INDEX('TY Sales Target'!$F$5:$F$300,$BG256)&amp;""),""),IF(AND(_xlpm.sa&lt;&gt;"",LEFT(_xlpm.sa,1)&lt;&gt;"#",_xlpm.sa&lt;&gt;"0"),_xlpm.sa,IF(AND(_xlpm.ta&lt;&gt;"",LEFT(_xlpm.ta,1)&lt;&gt;"#",_xlpm.ta&lt;&gt;"0"),_xlpm.ta,IF(ISNUMBER($BG256),"Unassigned","")))))</f>
        <v/>
      </c>
      <c r="AO256" s="8" t="str" cm="1">
        <f t="array" ref="AO256">IF($AW256="","",_xlfn.LET(_xlpm.sa,IFERROR(TRIM(INDEX('Sales and count'!$C$4:$C$300,$BF256)&amp;""),""),_xlpm.ta,IFERROR(TRIM(INDEX('TY Sales Target'!$D$5:$D$300,$BG256)&amp;""),""),IF(AND(_xlpm.sa&lt;&gt;"",LEFT(_xlpm.sa,1)&lt;&gt;"#",_xlpm.sa&lt;&gt;"0"),_xlpm.sa,IF(AND(_xlpm.ta&lt;&gt;"",LEFT(_xlpm.ta,1)&lt;&gt;"#",_xlpm.ta&lt;&gt;"0"),_xlpm.ta,""))))</f>
        <v/>
      </c>
      <c r="AP256" s="8">
        <f t="shared" si="126"/>
        <v>0</v>
      </c>
      <c r="AQ256" s="8">
        <f t="shared" si="127"/>
        <v>0</v>
      </c>
      <c r="AR256" s="8" cm="1">
        <f t="array" ref="AR256">IF($BF256="",0,_xlfn.LET(_xlpm.d,IFERROR(--'Sales and count'!$G$2:$CC$2,0),SUMPRODUCT(('Sales and count'!$G$3:$CC$3="Total")*(_xlpm.d&gt;=$U$4)*(_xlpm.d&lt;=$U$5),INDEX('Sales and count'!$G$4:$CC$300,$BF256,0))))</f>
        <v>0</v>
      </c>
      <c r="AS256" s="8" cm="1">
        <f t="array" ref="AS256">IF($BF256="",0,_xlfn.LET(_xlpm.d,IFERROR(--'Sales and count'!$F$2:$CB$2,0),SUMPRODUCT(('Sales and count'!$G$3:$CC$3="Transactions")*(_xlpm.d&gt;=$U$4)*(_xlpm.d&lt;=$U$5),INDEX('Sales and count'!$G$4:$CC$300,$BF256,0))))</f>
        <v>0</v>
      </c>
      <c r="AT256" s="8" cm="1">
        <f t="array" ref="AT256">IF($AW256="",0,SUMPRODUCT((TRIM('LY Sales '!$B$5:$B$200)=$AW256)*('LY Sales '!$C$2:$AG$2&gt;=EDATE($U$4,-12))*('LY Sales '!$C$2:$AG$2&lt;=EDATE($U$5,-12)),'LY Sales '!$C$5:$AG$200))</f>
        <v>0</v>
      </c>
      <c r="AU256" s="8" cm="1">
        <f t="array" ref="AU256">IF($AW256="",0,SUMPRODUCT((TRIM('LY Transaction'!$B$5:$B$200)=$AW256)*('LY Transaction'!$C$2:$AG$2&gt;=EDATE($U$4,-12))*('LY Transaction'!$C$2:$AG$2&lt;=EDATE($U$5,-12)),'LY Transaction'!$C$5:$AG$200))</f>
        <v>0</v>
      </c>
      <c r="AV256" s="8" cm="1">
        <f t="array" ref="AV256">IF(NOT(ISNUMBER($BG256)),0,SUMPRODUCT(('TY Sales Target'!$K$2:$AO$2&gt;=$U$4)*('TY Sales Target'!$K$2:$AO$2&lt;=$U$5),INDEX('TY Sales Target'!$K$5:$AO$300,$BG256,0)))</f>
        <v>0</v>
      </c>
      <c r="AW256" s="8" t="str" cm="1">
        <f t="array" ref="AW256">IFERROR(INDEX(_xlfn.ANCHORARRAY($BR$5),ROWS($AW$5:AW256)),"")</f>
        <v/>
      </c>
      <c r="BB256" cm="1">
        <f t="array" ref="BB256">IF($AW256="",0,SUMPRODUCT((TRIM(Footfall!$B$5:$B$301)=$AW256)*(Footfall!$C$1:$BZ$1&gt;=$U$4)*(Footfall!$C$2:$BZ$2&lt;=$U$5)*(Footfall!$C$1:$BZ$1&lt;&gt;""),Footfall!$C$5:$BZ$301))</f>
        <v>0</v>
      </c>
      <c r="BC256" cm="1">
        <f t="array" ref="BC256">IF(OR($BB256&lt;=0,$BD$1="",$BF256=""),0,_xlfn.LET(_xlpm.d,IFERROR(--'Sales and count'!$F$2:$CB$2,0),SUMPRODUCT(('Sales and count'!$G$3:$CC$3="Transactions")*(_xlpm.d&gt;=$BD$1)*(_xlpm.d&lt;=$BD$2),INDEX('Sales and count'!$G$4:$CC$300,$BF256,0))))</f>
        <v>0</v>
      </c>
      <c r="BF256" t="str" cm="1">
        <f t="array" ref="BF256">IF($AW256="","",IFERROR(MATCH($AW256,TRIM('Sales and count'!$A$4:$A$300&amp;""),0),""))</f>
        <v/>
      </c>
      <c r="BG256" t="str" cm="1">
        <f t="array" ref="BG256">IF($AW256="","",IFERROR(MATCH(IFERROR(_xlfn.XLOOKUP($AW256,$BT$5:$BT$22,$BU$5:$BU$22),$AW256),TRIM('TY Sales Target'!$B$5:$B$300&amp;""),0),""))</f>
        <v/>
      </c>
      <c r="BH256" t="str" cm="1">
        <f t="array" ref="BH256">IF(ISNUMBER($BG256),_xlfn.LET(_xlpm.p,TRIM(INDEX('TY Sales Target'!$I$5:$I$300,$BG256)&amp;""),IF(_xlpm.p="","Not set",_xlpm.p)),"Not set")</f>
        <v>Not set</v>
      </c>
      <c r="BI256" cm="1">
        <f t="array" ref="BI256">IF($BF256="",0,_xlfn.LET(_xlpm.d,IFERROR(--'Sales and count'!$G$2:$CC$2,0),SUMPRODUCT(('Sales and count'!$G$3:$CC$3="Total")*(_xlpm.d&gt;=$BZ$5)*(_xlpm.d&lt;=$BZ$6),INDEX('Sales and count'!$G$4:$CC$300,$BF256,0))))</f>
        <v>0</v>
      </c>
      <c r="BJ256" cm="1">
        <f t="array" ref="BJ256">IF($AW256="",0,SUMPRODUCT((TRIM('LY Sales '!$B$5:$B$200)=$AW256)*('LY Sales '!$C$2:$AG$2&gt;=EDATE($BZ$5,-12))*('LY Sales '!$C$2:$AG$2&lt;=EDATE($BZ$6,-12)),'LY Sales '!$C$5:$AG$200))</f>
        <v>0</v>
      </c>
      <c r="BK256" cm="1">
        <f t="array" ref="BK256">IF($AW256="",0,SUMPRODUCT((TRIM('LY Sales '!$B$5:$B$200)=$AW256)*('LY Sales '!$C$2:$AG$2&gt;=EDATE($BZ$5,-12))*('LY Sales '!$C$2:$AG$2&lt;=EDATE($BZ$7,-12)),'LY Sales '!$C$5:$AG$200))</f>
        <v>0</v>
      </c>
      <c r="BL256" cm="1">
        <f t="array" ref="BL256">IF($AW256="",0,SUMPRODUCT((TRIM('LY Sales '!$B$5:$B$200)=$AW256)*('LY Sales '!$C$2:$AG$2&gt;=EDATE($BZ$5,-12))*('LY Sales '!$C$2:$AG$2&lt;=EDATE($BZ$6,-12))*('LY Sales '!$C$5:$AG$200&gt;0)))</f>
        <v>0</v>
      </c>
      <c r="BM256" cm="1">
        <f t="array" ref="BM256">IF(NOT(ISNUMBER($BG256)),0,SUMPRODUCT(('TY Sales Target'!$K$2:$AO$2&gt;=$BZ$5)*('TY Sales Target'!$K$2:$AO$2&lt;=$BZ$6),INDEX('TY Sales Target'!$K$5:$AO$300,$BG256,0)))</f>
        <v>0</v>
      </c>
      <c r="BN256" cm="1">
        <f t="array" ref="BN256">IF(NOT(ISNUMBER($BG256)),0,SUMPRODUCT(('TY Sales Target'!$K$2:$AO$2&gt;=$BZ$5)*('TY Sales Target'!$K$2:$AO$2&lt;=$BZ$7),INDEX('TY Sales Target'!$K$5:$AO$300,$BG256,0)))</f>
        <v>0</v>
      </c>
      <c r="BO256" cm="1">
        <f t="array" ref="BO256">IF($AW256="",0,IFERROR(_xlfn.SWITCH($BP256,"LY trend",$BI256*$BK256/$BJ256,"Target curve",$BI256*$BN256/$BM256,"Run rate",$BI256/$BZ$8*$BZ$9,0),0))</f>
        <v>0</v>
      </c>
      <c r="BP256" t="str">
        <f t="shared" si="125"/>
        <v/>
      </c>
      <c r="CB256" cm="1">
        <f t="array" ref="CB256">IF($AW256="",0,_xlfn.LET(_xlpm.k,IFERROR(_xlfn.XLOOKUP($AW256,$CD$6:$CD$21,$CE$6:$CE$21),$AW256),SUMPRODUCT((TRIM('Makeup '!$A$2:$A$300&amp;"")=_xlpm.k)*1,IFERROR('Makeup '!$F$2:$F$300*1,0))))</f>
        <v>0</v>
      </c>
      <c r="CF256" t="str" cm="1">
        <f t="array" ref="CF256">IF($AW256="","",_xlfn.LET(_xlpm.c,IFERROR(TRIM(INDEX('Sales and count'!$B$4:$B$300,$BF256)&amp;""),""),IF(OR(_xlpm.c="",_xlpm.c="0",LEFT(_xlpm.c,1)="#"),"Not set",_xlpm.c)))</f>
        <v/>
      </c>
      <c r="CH256" cm="1">
        <f t="array" ref="CH256">IF($AW256="",0,_xlfn.LET(_xlpm.k,IFERROR(_xlfn.XLOOKUP($AW256,$CD$6:$CD$21,$CE$6:$CE$21),$AW256),--(SUMPRODUCT((TRIM('Makeup '!$A$2:$A$300&amp;"")=_xlpm.k)*ISNUMBER('Makeup '!$F$2:$F$300))&gt;0)))</f>
        <v>0</v>
      </c>
      <c r="CI256">
        <f t="shared" si="128"/>
        <v>0</v>
      </c>
      <c r="CJ256" cm="1">
        <f t="array" ref="CJ256">IF($AW256="",0,--(SUMPRODUCT(--(TRIM(Footfall!$B$5:$B$301)=$AW256))&gt;0))</f>
        <v>0</v>
      </c>
      <c r="CK256" s="8" cm="1">
        <f t="array" ref="CK256">IF($AW256="",0,_xlfn.LET(_xlpm.r,IFERROR(MATCH(IFERROR(_xlfn.XLOOKUP($AW256,$BT$5:$BT$22,$BU$5:$BU$22),$AW256),TRIM('TY Beauty Target'!$B$5:$B$300&amp;""),0),""),IF(ISNUMBER(_xlpm.r),SUMPRODUCT(('TY Beauty Target'!$L$2:$AP$2&gt;=$U$4)*('TY Beauty Target'!$L$2:$AP$2&lt;=$U$5),INDEX('TY Beauty Target'!$L$5:$AP$300,_xlpm.r,0)),0)))</f>
        <v>0</v>
      </c>
    </row>
    <row r="257" spans="28:89" x14ac:dyDescent="0.25">
      <c r="AB257" s="40" t="str" cm="1">
        <f t="array" ref="AB257">IF($AI257="","",IF(LEFT($AI257,2)="C|",IF($C257="","",SUMPRODUCT($AP$5:$AP$302*($AO$5:$AO$302=$A257),$CK$5:$CK$302)),IF($AI257="CT",AB$13,IF(LEFT($AI257,3)="AM|",IF($C257="","",SUMPRODUCT($AP$5:$AP$302*($AN$5:$AN$302=$A257),$CK$5:$CK$302)),IF(LEFT($AI257,2)="S|",IF($AG257="","",INDEX($CK$5:$CK$302,$AH257)),IF($AI257="HDR","Makeup Target",""))))))</f>
        <v/>
      </c>
      <c r="AC257" s="41" t="str">
        <f t="shared" si="129"/>
        <v/>
      </c>
      <c r="AN257" s="8" t="str" cm="1">
        <f t="array" ref="AN257">IF($AW257="","",_xlfn.LET(_xlpm.sa,IFERROR(TRIM(INDEX('Sales and count'!$D$4:$D$300,$BF257)&amp;""),""),_xlpm.ta,IFERROR(TRIM(INDEX('TY Sales Target'!$F$5:$F$300,$BG257)&amp;""),""),IF(AND(_xlpm.sa&lt;&gt;"",LEFT(_xlpm.sa,1)&lt;&gt;"#",_xlpm.sa&lt;&gt;"0"),_xlpm.sa,IF(AND(_xlpm.ta&lt;&gt;"",LEFT(_xlpm.ta,1)&lt;&gt;"#",_xlpm.ta&lt;&gt;"0"),_xlpm.ta,IF(ISNUMBER($BG257),"Unassigned","")))))</f>
        <v/>
      </c>
      <c r="AO257" s="8" t="str" cm="1">
        <f t="array" ref="AO257">IF($AW257="","",_xlfn.LET(_xlpm.sa,IFERROR(TRIM(INDEX('Sales and count'!$C$4:$C$300,$BF257)&amp;""),""),_xlpm.ta,IFERROR(TRIM(INDEX('TY Sales Target'!$D$5:$D$300,$BG257)&amp;""),""),IF(AND(_xlpm.sa&lt;&gt;"",LEFT(_xlpm.sa,1)&lt;&gt;"#",_xlpm.sa&lt;&gt;"0"),_xlpm.sa,IF(AND(_xlpm.ta&lt;&gt;"",LEFT(_xlpm.ta,1)&lt;&gt;"#",_xlpm.ta&lt;&gt;"0"),_xlpm.ta,""))))</f>
        <v/>
      </c>
      <c r="AP257" s="8">
        <f t="shared" si="126"/>
        <v>0</v>
      </c>
      <c r="AQ257" s="8">
        <f t="shared" si="127"/>
        <v>0</v>
      </c>
      <c r="AR257" s="8" cm="1">
        <f t="array" ref="AR257">IF($BF257="",0,_xlfn.LET(_xlpm.d,IFERROR(--'Sales and count'!$G$2:$CC$2,0),SUMPRODUCT(('Sales and count'!$G$3:$CC$3="Total")*(_xlpm.d&gt;=$U$4)*(_xlpm.d&lt;=$U$5),INDEX('Sales and count'!$G$4:$CC$300,$BF257,0))))</f>
        <v>0</v>
      </c>
      <c r="AS257" s="8" cm="1">
        <f t="array" ref="AS257">IF($BF257="",0,_xlfn.LET(_xlpm.d,IFERROR(--'Sales and count'!$F$2:$CB$2,0),SUMPRODUCT(('Sales and count'!$G$3:$CC$3="Transactions")*(_xlpm.d&gt;=$U$4)*(_xlpm.d&lt;=$U$5),INDEX('Sales and count'!$G$4:$CC$300,$BF257,0))))</f>
        <v>0</v>
      </c>
      <c r="AT257" s="8" cm="1">
        <f t="array" ref="AT257">IF($AW257="",0,SUMPRODUCT((TRIM('LY Sales '!$B$5:$B$200)=$AW257)*('LY Sales '!$C$2:$AG$2&gt;=EDATE($U$4,-12))*('LY Sales '!$C$2:$AG$2&lt;=EDATE($U$5,-12)),'LY Sales '!$C$5:$AG$200))</f>
        <v>0</v>
      </c>
      <c r="AU257" s="8" cm="1">
        <f t="array" ref="AU257">IF($AW257="",0,SUMPRODUCT((TRIM('LY Transaction'!$B$5:$B$200)=$AW257)*('LY Transaction'!$C$2:$AG$2&gt;=EDATE($U$4,-12))*('LY Transaction'!$C$2:$AG$2&lt;=EDATE($U$5,-12)),'LY Transaction'!$C$5:$AG$200))</f>
        <v>0</v>
      </c>
      <c r="AV257" s="8" cm="1">
        <f t="array" ref="AV257">IF(NOT(ISNUMBER($BG257)),0,SUMPRODUCT(('TY Sales Target'!$K$2:$AO$2&gt;=$U$4)*('TY Sales Target'!$K$2:$AO$2&lt;=$U$5),INDEX('TY Sales Target'!$K$5:$AO$300,$BG257,0)))</f>
        <v>0</v>
      </c>
      <c r="AW257" s="8" t="str" cm="1">
        <f t="array" ref="AW257">IFERROR(INDEX(_xlfn.ANCHORARRAY($BR$5),ROWS($AW$5:AW257)),"")</f>
        <v/>
      </c>
      <c r="BB257" cm="1">
        <f t="array" ref="BB257">IF($AW257="",0,SUMPRODUCT((TRIM(Footfall!$B$5:$B$301)=$AW257)*(Footfall!$C$1:$BZ$1&gt;=$U$4)*(Footfall!$C$2:$BZ$2&lt;=$U$5)*(Footfall!$C$1:$BZ$1&lt;&gt;""),Footfall!$C$5:$BZ$301))</f>
        <v>0</v>
      </c>
      <c r="BC257" cm="1">
        <f t="array" ref="BC257">IF(OR($BB257&lt;=0,$BD$1="",$BF257=""),0,_xlfn.LET(_xlpm.d,IFERROR(--'Sales and count'!$F$2:$CB$2,0),SUMPRODUCT(('Sales and count'!$G$3:$CC$3="Transactions")*(_xlpm.d&gt;=$BD$1)*(_xlpm.d&lt;=$BD$2),INDEX('Sales and count'!$G$4:$CC$300,$BF257,0))))</f>
        <v>0</v>
      </c>
      <c r="BF257" t="str" cm="1">
        <f t="array" ref="BF257">IF($AW257="","",IFERROR(MATCH($AW257,TRIM('Sales and count'!$A$4:$A$300&amp;""),0),""))</f>
        <v/>
      </c>
      <c r="BG257" t="str" cm="1">
        <f t="array" ref="BG257">IF($AW257="","",IFERROR(MATCH(IFERROR(_xlfn.XLOOKUP($AW257,$BT$5:$BT$22,$BU$5:$BU$22),$AW257),TRIM('TY Sales Target'!$B$5:$B$300&amp;""),0),""))</f>
        <v/>
      </c>
      <c r="BH257" t="str" cm="1">
        <f t="array" ref="BH257">IF(ISNUMBER($BG257),_xlfn.LET(_xlpm.p,TRIM(INDEX('TY Sales Target'!$I$5:$I$300,$BG257)&amp;""),IF(_xlpm.p="","Not set",_xlpm.p)),"Not set")</f>
        <v>Not set</v>
      </c>
      <c r="BI257" cm="1">
        <f t="array" ref="BI257">IF($BF257="",0,_xlfn.LET(_xlpm.d,IFERROR(--'Sales and count'!$G$2:$CC$2,0),SUMPRODUCT(('Sales and count'!$G$3:$CC$3="Total")*(_xlpm.d&gt;=$BZ$5)*(_xlpm.d&lt;=$BZ$6),INDEX('Sales and count'!$G$4:$CC$300,$BF257,0))))</f>
        <v>0</v>
      </c>
      <c r="BJ257" cm="1">
        <f t="array" ref="BJ257">IF($AW257="",0,SUMPRODUCT((TRIM('LY Sales '!$B$5:$B$200)=$AW257)*('LY Sales '!$C$2:$AG$2&gt;=EDATE($BZ$5,-12))*('LY Sales '!$C$2:$AG$2&lt;=EDATE($BZ$6,-12)),'LY Sales '!$C$5:$AG$200))</f>
        <v>0</v>
      </c>
      <c r="BK257" cm="1">
        <f t="array" ref="BK257">IF($AW257="",0,SUMPRODUCT((TRIM('LY Sales '!$B$5:$B$200)=$AW257)*('LY Sales '!$C$2:$AG$2&gt;=EDATE($BZ$5,-12))*('LY Sales '!$C$2:$AG$2&lt;=EDATE($BZ$7,-12)),'LY Sales '!$C$5:$AG$200))</f>
        <v>0</v>
      </c>
      <c r="BL257" cm="1">
        <f t="array" ref="BL257">IF($AW257="",0,SUMPRODUCT((TRIM('LY Sales '!$B$5:$B$200)=$AW257)*('LY Sales '!$C$2:$AG$2&gt;=EDATE($BZ$5,-12))*('LY Sales '!$C$2:$AG$2&lt;=EDATE($BZ$6,-12))*('LY Sales '!$C$5:$AG$200&gt;0)))</f>
        <v>0</v>
      </c>
      <c r="BM257" cm="1">
        <f t="array" ref="BM257">IF(NOT(ISNUMBER($BG257)),0,SUMPRODUCT(('TY Sales Target'!$K$2:$AO$2&gt;=$BZ$5)*('TY Sales Target'!$K$2:$AO$2&lt;=$BZ$6),INDEX('TY Sales Target'!$K$5:$AO$300,$BG257,0)))</f>
        <v>0</v>
      </c>
      <c r="BN257" cm="1">
        <f t="array" ref="BN257">IF(NOT(ISNUMBER($BG257)),0,SUMPRODUCT(('TY Sales Target'!$K$2:$AO$2&gt;=$BZ$5)*('TY Sales Target'!$K$2:$AO$2&lt;=$BZ$7),INDEX('TY Sales Target'!$K$5:$AO$300,$BG257,0)))</f>
        <v>0</v>
      </c>
      <c r="BO257" cm="1">
        <f t="array" ref="BO257">IF($AW257="",0,IFERROR(_xlfn.SWITCH($BP257,"LY trend",$BI257*$BK257/$BJ257,"Target curve",$BI257*$BN257/$BM257,"Run rate",$BI257/$BZ$8*$BZ$9,0),0))</f>
        <v>0</v>
      </c>
      <c r="BP257" t="str">
        <f t="shared" si="125"/>
        <v/>
      </c>
      <c r="CB257" cm="1">
        <f t="array" ref="CB257">IF($AW257="",0,_xlfn.LET(_xlpm.k,IFERROR(_xlfn.XLOOKUP($AW257,$CD$6:$CD$21,$CE$6:$CE$21),$AW257),SUMPRODUCT((TRIM('Makeup '!$A$2:$A$300&amp;"")=_xlpm.k)*1,IFERROR('Makeup '!$F$2:$F$300*1,0))))</f>
        <v>0</v>
      </c>
      <c r="CF257" t="str" cm="1">
        <f t="array" ref="CF257">IF($AW257="","",_xlfn.LET(_xlpm.c,IFERROR(TRIM(INDEX('Sales and count'!$B$4:$B$300,$BF257)&amp;""),""),IF(OR(_xlpm.c="",_xlpm.c="0",LEFT(_xlpm.c,1)="#"),"Not set",_xlpm.c)))</f>
        <v/>
      </c>
      <c r="CH257" cm="1">
        <f t="array" ref="CH257">IF($AW257="",0,_xlfn.LET(_xlpm.k,IFERROR(_xlfn.XLOOKUP($AW257,$CD$6:$CD$21,$CE$6:$CE$21),$AW257),--(SUMPRODUCT((TRIM('Makeup '!$A$2:$A$300&amp;"")=_xlpm.k)*ISNUMBER('Makeup '!$F$2:$F$300))&gt;0)))</f>
        <v>0</v>
      </c>
      <c r="CI257">
        <f t="shared" si="128"/>
        <v>0</v>
      </c>
      <c r="CJ257" cm="1">
        <f t="array" ref="CJ257">IF($AW257="",0,--(SUMPRODUCT(--(TRIM(Footfall!$B$5:$B$301)=$AW257))&gt;0))</f>
        <v>0</v>
      </c>
      <c r="CK257" s="8" cm="1">
        <f t="array" ref="CK257">IF($AW257="",0,_xlfn.LET(_xlpm.r,IFERROR(MATCH(IFERROR(_xlfn.XLOOKUP($AW257,$BT$5:$BT$22,$BU$5:$BU$22),$AW257),TRIM('TY Beauty Target'!$B$5:$B$300&amp;""),0),""),IF(ISNUMBER(_xlpm.r),SUMPRODUCT(('TY Beauty Target'!$L$2:$AP$2&gt;=$U$4)*('TY Beauty Target'!$L$2:$AP$2&lt;=$U$5),INDEX('TY Beauty Target'!$L$5:$AP$300,_xlpm.r,0)),0)))</f>
        <v>0</v>
      </c>
    </row>
    <row r="258" spans="28:89" x14ac:dyDescent="0.25">
      <c r="AB258" s="40" t="str" cm="1">
        <f t="array" ref="AB258">IF($AI258="","",IF(LEFT($AI258,2)="C|",IF($C258="","",SUMPRODUCT($AP$5:$AP$302*($AO$5:$AO$302=$A258),$CK$5:$CK$302)),IF($AI258="CT",AB$13,IF(LEFT($AI258,3)="AM|",IF($C258="","",SUMPRODUCT($AP$5:$AP$302*($AN$5:$AN$302=$A258),$CK$5:$CK$302)),IF(LEFT($AI258,2)="S|",IF($AG258="","",INDEX($CK$5:$CK$302,$AH258)),IF($AI258="HDR","Makeup Target",""))))))</f>
        <v/>
      </c>
      <c r="AC258" s="41" t="str">
        <f t="shared" si="129"/>
        <v/>
      </c>
      <c r="AN258" s="8" t="str" cm="1">
        <f t="array" ref="AN258">IF($AW258="","",_xlfn.LET(_xlpm.sa,IFERROR(TRIM(INDEX('Sales and count'!$D$4:$D$300,$BF258)&amp;""),""),_xlpm.ta,IFERROR(TRIM(INDEX('TY Sales Target'!$F$5:$F$300,$BG258)&amp;""),""),IF(AND(_xlpm.sa&lt;&gt;"",LEFT(_xlpm.sa,1)&lt;&gt;"#",_xlpm.sa&lt;&gt;"0"),_xlpm.sa,IF(AND(_xlpm.ta&lt;&gt;"",LEFT(_xlpm.ta,1)&lt;&gt;"#",_xlpm.ta&lt;&gt;"0"),_xlpm.ta,IF(ISNUMBER($BG258),"Unassigned","")))))</f>
        <v/>
      </c>
      <c r="AO258" s="8" t="str" cm="1">
        <f t="array" ref="AO258">IF($AW258="","",_xlfn.LET(_xlpm.sa,IFERROR(TRIM(INDEX('Sales and count'!$C$4:$C$300,$BF258)&amp;""),""),_xlpm.ta,IFERROR(TRIM(INDEX('TY Sales Target'!$D$5:$D$300,$BG258)&amp;""),""),IF(AND(_xlpm.sa&lt;&gt;"",LEFT(_xlpm.sa,1)&lt;&gt;"#",_xlpm.sa&lt;&gt;"0"),_xlpm.sa,IF(AND(_xlpm.ta&lt;&gt;"",LEFT(_xlpm.ta,1)&lt;&gt;"#",_xlpm.ta&lt;&gt;"0"),_xlpm.ta,""))))</f>
        <v/>
      </c>
      <c r="AP258" s="8">
        <f t="shared" si="126"/>
        <v>0</v>
      </c>
      <c r="AQ258" s="8">
        <f t="shared" si="127"/>
        <v>0</v>
      </c>
      <c r="AR258" s="8" cm="1">
        <f t="array" ref="AR258">IF($BF258="",0,_xlfn.LET(_xlpm.d,IFERROR(--'Sales and count'!$G$2:$CC$2,0),SUMPRODUCT(('Sales and count'!$G$3:$CC$3="Total")*(_xlpm.d&gt;=$U$4)*(_xlpm.d&lt;=$U$5),INDEX('Sales and count'!$G$4:$CC$300,$BF258,0))))</f>
        <v>0</v>
      </c>
      <c r="AS258" s="8" cm="1">
        <f t="array" ref="AS258">IF($BF258="",0,_xlfn.LET(_xlpm.d,IFERROR(--'Sales and count'!$F$2:$CB$2,0),SUMPRODUCT(('Sales and count'!$G$3:$CC$3="Transactions")*(_xlpm.d&gt;=$U$4)*(_xlpm.d&lt;=$U$5),INDEX('Sales and count'!$G$4:$CC$300,$BF258,0))))</f>
        <v>0</v>
      </c>
      <c r="AT258" s="8" cm="1">
        <f t="array" ref="AT258">IF($AW258="",0,SUMPRODUCT((TRIM('LY Sales '!$B$5:$B$200)=$AW258)*('LY Sales '!$C$2:$AG$2&gt;=EDATE($U$4,-12))*('LY Sales '!$C$2:$AG$2&lt;=EDATE($U$5,-12)),'LY Sales '!$C$5:$AG$200))</f>
        <v>0</v>
      </c>
      <c r="AU258" s="8" cm="1">
        <f t="array" ref="AU258">IF($AW258="",0,SUMPRODUCT((TRIM('LY Transaction'!$B$5:$B$200)=$AW258)*('LY Transaction'!$C$2:$AG$2&gt;=EDATE($U$4,-12))*('LY Transaction'!$C$2:$AG$2&lt;=EDATE($U$5,-12)),'LY Transaction'!$C$5:$AG$200))</f>
        <v>0</v>
      </c>
      <c r="AV258" s="8" cm="1">
        <f t="array" ref="AV258">IF(NOT(ISNUMBER($BG258)),0,SUMPRODUCT(('TY Sales Target'!$K$2:$AO$2&gt;=$U$4)*('TY Sales Target'!$K$2:$AO$2&lt;=$U$5),INDEX('TY Sales Target'!$K$5:$AO$300,$BG258,0)))</f>
        <v>0</v>
      </c>
      <c r="AW258" s="8" t="str" cm="1">
        <f t="array" ref="AW258">IFERROR(INDEX(_xlfn.ANCHORARRAY($BR$5),ROWS($AW$5:AW258)),"")</f>
        <v/>
      </c>
      <c r="BB258" cm="1">
        <f t="array" ref="BB258">IF($AW258="",0,SUMPRODUCT((TRIM(Footfall!$B$5:$B$301)=$AW258)*(Footfall!$C$1:$BZ$1&gt;=$U$4)*(Footfall!$C$2:$BZ$2&lt;=$U$5)*(Footfall!$C$1:$BZ$1&lt;&gt;""),Footfall!$C$5:$BZ$301))</f>
        <v>0</v>
      </c>
      <c r="BC258" cm="1">
        <f t="array" ref="BC258">IF(OR($BB258&lt;=0,$BD$1="",$BF258=""),0,_xlfn.LET(_xlpm.d,IFERROR(--'Sales and count'!$F$2:$CB$2,0),SUMPRODUCT(('Sales and count'!$G$3:$CC$3="Transactions")*(_xlpm.d&gt;=$BD$1)*(_xlpm.d&lt;=$BD$2),INDEX('Sales and count'!$G$4:$CC$300,$BF258,0))))</f>
        <v>0</v>
      </c>
      <c r="BF258" t="str" cm="1">
        <f t="array" ref="BF258">IF($AW258="","",IFERROR(MATCH($AW258,TRIM('Sales and count'!$A$4:$A$300&amp;""),0),""))</f>
        <v/>
      </c>
      <c r="BG258" t="str" cm="1">
        <f t="array" ref="BG258">IF($AW258="","",IFERROR(MATCH(IFERROR(_xlfn.XLOOKUP($AW258,$BT$5:$BT$22,$BU$5:$BU$22),$AW258),TRIM('TY Sales Target'!$B$5:$B$300&amp;""),0),""))</f>
        <v/>
      </c>
      <c r="BH258" t="str" cm="1">
        <f t="array" ref="BH258">IF(ISNUMBER($BG258),_xlfn.LET(_xlpm.p,TRIM(INDEX('TY Sales Target'!$I$5:$I$300,$BG258)&amp;""),IF(_xlpm.p="","Not set",_xlpm.p)),"Not set")</f>
        <v>Not set</v>
      </c>
      <c r="BI258" cm="1">
        <f t="array" ref="BI258">IF($BF258="",0,_xlfn.LET(_xlpm.d,IFERROR(--'Sales and count'!$G$2:$CC$2,0),SUMPRODUCT(('Sales and count'!$G$3:$CC$3="Total")*(_xlpm.d&gt;=$BZ$5)*(_xlpm.d&lt;=$BZ$6),INDEX('Sales and count'!$G$4:$CC$300,$BF258,0))))</f>
        <v>0</v>
      </c>
      <c r="BJ258" cm="1">
        <f t="array" ref="BJ258">IF($AW258="",0,SUMPRODUCT((TRIM('LY Sales '!$B$5:$B$200)=$AW258)*('LY Sales '!$C$2:$AG$2&gt;=EDATE($BZ$5,-12))*('LY Sales '!$C$2:$AG$2&lt;=EDATE($BZ$6,-12)),'LY Sales '!$C$5:$AG$200))</f>
        <v>0</v>
      </c>
      <c r="BK258" cm="1">
        <f t="array" ref="BK258">IF($AW258="",0,SUMPRODUCT((TRIM('LY Sales '!$B$5:$B$200)=$AW258)*('LY Sales '!$C$2:$AG$2&gt;=EDATE($BZ$5,-12))*('LY Sales '!$C$2:$AG$2&lt;=EDATE($BZ$7,-12)),'LY Sales '!$C$5:$AG$200))</f>
        <v>0</v>
      </c>
      <c r="BL258" cm="1">
        <f t="array" ref="BL258">IF($AW258="",0,SUMPRODUCT((TRIM('LY Sales '!$B$5:$B$200)=$AW258)*('LY Sales '!$C$2:$AG$2&gt;=EDATE($BZ$5,-12))*('LY Sales '!$C$2:$AG$2&lt;=EDATE($BZ$6,-12))*('LY Sales '!$C$5:$AG$200&gt;0)))</f>
        <v>0</v>
      </c>
      <c r="BM258" cm="1">
        <f t="array" ref="BM258">IF(NOT(ISNUMBER($BG258)),0,SUMPRODUCT(('TY Sales Target'!$K$2:$AO$2&gt;=$BZ$5)*('TY Sales Target'!$K$2:$AO$2&lt;=$BZ$6),INDEX('TY Sales Target'!$K$5:$AO$300,$BG258,0)))</f>
        <v>0</v>
      </c>
      <c r="BN258" cm="1">
        <f t="array" ref="BN258">IF(NOT(ISNUMBER($BG258)),0,SUMPRODUCT(('TY Sales Target'!$K$2:$AO$2&gt;=$BZ$5)*('TY Sales Target'!$K$2:$AO$2&lt;=$BZ$7),INDEX('TY Sales Target'!$K$5:$AO$300,$BG258,0)))</f>
        <v>0</v>
      </c>
      <c r="BO258" cm="1">
        <f t="array" ref="BO258">IF($AW258="",0,IFERROR(_xlfn.SWITCH($BP258,"LY trend",$BI258*$BK258/$BJ258,"Target curve",$BI258*$BN258/$BM258,"Run rate",$BI258/$BZ$8*$BZ$9,0),0))</f>
        <v>0</v>
      </c>
      <c r="BP258" t="str">
        <f t="shared" si="125"/>
        <v/>
      </c>
      <c r="CB258" cm="1">
        <f t="array" ref="CB258">IF($AW258="",0,_xlfn.LET(_xlpm.k,IFERROR(_xlfn.XLOOKUP($AW258,$CD$6:$CD$21,$CE$6:$CE$21),$AW258),SUMPRODUCT((TRIM('Makeup '!$A$2:$A$300&amp;"")=_xlpm.k)*1,IFERROR('Makeup '!$F$2:$F$300*1,0))))</f>
        <v>0</v>
      </c>
      <c r="CF258" t="str" cm="1">
        <f t="array" ref="CF258">IF($AW258="","",_xlfn.LET(_xlpm.c,IFERROR(TRIM(INDEX('Sales and count'!$B$4:$B$300,$BF258)&amp;""),""),IF(OR(_xlpm.c="",_xlpm.c="0",LEFT(_xlpm.c,1)="#"),"Not set",_xlpm.c)))</f>
        <v/>
      </c>
      <c r="CH258" cm="1">
        <f t="array" ref="CH258">IF($AW258="",0,_xlfn.LET(_xlpm.k,IFERROR(_xlfn.XLOOKUP($AW258,$CD$6:$CD$21,$CE$6:$CE$21),$AW258),--(SUMPRODUCT((TRIM('Makeup '!$A$2:$A$300&amp;"")=_xlpm.k)*ISNUMBER('Makeup '!$F$2:$F$300))&gt;0)))</f>
        <v>0</v>
      </c>
      <c r="CI258">
        <f t="shared" si="128"/>
        <v>0</v>
      </c>
      <c r="CJ258" cm="1">
        <f t="array" ref="CJ258">IF($AW258="",0,--(SUMPRODUCT(--(TRIM(Footfall!$B$5:$B$301)=$AW258))&gt;0))</f>
        <v>0</v>
      </c>
      <c r="CK258" s="8" cm="1">
        <f t="array" ref="CK258">IF($AW258="",0,_xlfn.LET(_xlpm.r,IFERROR(MATCH(IFERROR(_xlfn.XLOOKUP($AW258,$BT$5:$BT$22,$BU$5:$BU$22),$AW258),TRIM('TY Beauty Target'!$B$5:$B$300&amp;""),0),""),IF(ISNUMBER(_xlpm.r),SUMPRODUCT(('TY Beauty Target'!$L$2:$AP$2&gt;=$U$4)*('TY Beauty Target'!$L$2:$AP$2&lt;=$U$5),INDEX('TY Beauty Target'!$L$5:$AP$300,_xlpm.r,0)),0)))</f>
        <v>0</v>
      </c>
    </row>
    <row r="259" spans="28:89" x14ac:dyDescent="0.25">
      <c r="AB259" s="40" t="str" cm="1">
        <f t="array" ref="AB259">IF($AI259="","",IF(LEFT($AI259,2)="C|",IF($C259="","",SUMPRODUCT($AP$5:$AP$302*($AO$5:$AO$302=$A259),$CK$5:$CK$302)),IF($AI259="CT",AB$13,IF(LEFT($AI259,3)="AM|",IF($C259="","",SUMPRODUCT($AP$5:$AP$302*($AN$5:$AN$302=$A259),$CK$5:$CK$302)),IF(LEFT($AI259,2)="S|",IF($AG259="","",INDEX($CK$5:$CK$302,$AH259)),IF($AI259="HDR","Makeup Target",""))))))</f>
        <v/>
      </c>
      <c r="AC259" s="41" t="str">
        <f t="shared" si="129"/>
        <v/>
      </c>
      <c r="AN259" s="8" t="str" cm="1">
        <f t="array" ref="AN259">IF($AW259="","",_xlfn.LET(_xlpm.sa,IFERROR(TRIM(INDEX('Sales and count'!$D$4:$D$300,$BF259)&amp;""),""),_xlpm.ta,IFERROR(TRIM(INDEX('TY Sales Target'!$F$5:$F$300,$BG259)&amp;""),""),IF(AND(_xlpm.sa&lt;&gt;"",LEFT(_xlpm.sa,1)&lt;&gt;"#",_xlpm.sa&lt;&gt;"0"),_xlpm.sa,IF(AND(_xlpm.ta&lt;&gt;"",LEFT(_xlpm.ta,1)&lt;&gt;"#",_xlpm.ta&lt;&gt;"0"),_xlpm.ta,IF(ISNUMBER($BG259),"Unassigned","")))))</f>
        <v/>
      </c>
      <c r="AO259" s="8" t="str" cm="1">
        <f t="array" ref="AO259">IF($AW259="","",_xlfn.LET(_xlpm.sa,IFERROR(TRIM(INDEX('Sales and count'!$C$4:$C$300,$BF259)&amp;""),""),_xlpm.ta,IFERROR(TRIM(INDEX('TY Sales Target'!$D$5:$D$300,$BG259)&amp;""),""),IF(AND(_xlpm.sa&lt;&gt;"",LEFT(_xlpm.sa,1)&lt;&gt;"#",_xlpm.sa&lt;&gt;"0"),_xlpm.sa,IF(AND(_xlpm.ta&lt;&gt;"",LEFT(_xlpm.ta,1)&lt;&gt;"#",_xlpm.ta&lt;&gt;"0"),_xlpm.ta,""))))</f>
        <v/>
      </c>
      <c r="AP259" s="8">
        <f t="shared" si="126"/>
        <v>0</v>
      </c>
      <c r="AQ259" s="8">
        <f t="shared" si="127"/>
        <v>0</v>
      </c>
      <c r="AR259" s="8" cm="1">
        <f t="array" ref="AR259">IF($BF259="",0,_xlfn.LET(_xlpm.d,IFERROR(--'Sales and count'!$G$2:$CC$2,0),SUMPRODUCT(('Sales and count'!$G$3:$CC$3="Total")*(_xlpm.d&gt;=$U$4)*(_xlpm.d&lt;=$U$5),INDEX('Sales and count'!$G$4:$CC$300,$BF259,0))))</f>
        <v>0</v>
      </c>
      <c r="AS259" s="8" cm="1">
        <f t="array" ref="AS259">IF($BF259="",0,_xlfn.LET(_xlpm.d,IFERROR(--'Sales and count'!$F$2:$CB$2,0),SUMPRODUCT(('Sales and count'!$G$3:$CC$3="Transactions")*(_xlpm.d&gt;=$U$4)*(_xlpm.d&lt;=$U$5),INDEX('Sales and count'!$G$4:$CC$300,$BF259,0))))</f>
        <v>0</v>
      </c>
      <c r="AT259" s="8" cm="1">
        <f t="array" ref="AT259">IF($AW259="",0,SUMPRODUCT((TRIM('LY Sales '!$B$5:$B$200)=$AW259)*('LY Sales '!$C$2:$AG$2&gt;=EDATE($U$4,-12))*('LY Sales '!$C$2:$AG$2&lt;=EDATE($U$5,-12)),'LY Sales '!$C$5:$AG$200))</f>
        <v>0</v>
      </c>
      <c r="AU259" s="8" cm="1">
        <f t="array" ref="AU259">IF($AW259="",0,SUMPRODUCT((TRIM('LY Transaction'!$B$5:$B$200)=$AW259)*('LY Transaction'!$C$2:$AG$2&gt;=EDATE($U$4,-12))*('LY Transaction'!$C$2:$AG$2&lt;=EDATE($U$5,-12)),'LY Transaction'!$C$5:$AG$200))</f>
        <v>0</v>
      </c>
      <c r="AV259" s="8" cm="1">
        <f t="array" ref="AV259">IF(NOT(ISNUMBER($BG259)),0,SUMPRODUCT(('TY Sales Target'!$K$2:$AO$2&gt;=$U$4)*('TY Sales Target'!$K$2:$AO$2&lt;=$U$5),INDEX('TY Sales Target'!$K$5:$AO$300,$BG259,0)))</f>
        <v>0</v>
      </c>
      <c r="AW259" s="8" t="str" cm="1">
        <f t="array" ref="AW259">IFERROR(INDEX(_xlfn.ANCHORARRAY($BR$5),ROWS($AW$5:AW259)),"")</f>
        <v/>
      </c>
      <c r="BB259" cm="1">
        <f t="array" ref="BB259">IF($AW259="",0,SUMPRODUCT((TRIM(Footfall!$B$5:$B$301)=$AW259)*(Footfall!$C$1:$BZ$1&gt;=$U$4)*(Footfall!$C$2:$BZ$2&lt;=$U$5)*(Footfall!$C$1:$BZ$1&lt;&gt;""),Footfall!$C$5:$BZ$301))</f>
        <v>0</v>
      </c>
      <c r="BC259" cm="1">
        <f t="array" ref="BC259">IF(OR($BB259&lt;=0,$BD$1="",$BF259=""),0,_xlfn.LET(_xlpm.d,IFERROR(--'Sales and count'!$F$2:$CB$2,0),SUMPRODUCT(('Sales and count'!$G$3:$CC$3="Transactions")*(_xlpm.d&gt;=$BD$1)*(_xlpm.d&lt;=$BD$2),INDEX('Sales and count'!$G$4:$CC$300,$BF259,0))))</f>
        <v>0</v>
      </c>
      <c r="BF259" t="str" cm="1">
        <f t="array" ref="BF259">IF($AW259="","",IFERROR(MATCH($AW259,TRIM('Sales and count'!$A$4:$A$300&amp;""),0),""))</f>
        <v/>
      </c>
      <c r="BG259" t="str" cm="1">
        <f t="array" ref="BG259">IF($AW259="","",IFERROR(MATCH(IFERROR(_xlfn.XLOOKUP($AW259,$BT$5:$BT$22,$BU$5:$BU$22),$AW259),TRIM('TY Sales Target'!$B$5:$B$300&amp;""),0),""))</f>
        <v/>
      </c>
      <c r="BH259" t="str" cm="1">
        <f t="array" ref="BH259">IF(ISNUMBER($BG259),_xlfn.LET(_xlpm.p,TRIM(INDEX('TY Sales Target'!$I$5:$I$300,$BG259)&amp;""),IF(_xlpm.p="","Not set",_xlpm.p)),"Not set")</f>
        <v>Not set</v>
      </c>
      <c r="BI259" cm="1">
        <f t="array" ref="BI259">IF($BF259="",0,_xlfn.LET(_xlpm.d,IFERROR(--'Sales and count'!$G$2:$CC$2,0),SUMPRODUCT(('Sales and count'!$G$3:$CC$3="Total")*(_xlpm.d&gt;=$BZ$5)*(_xlpm.d&lt;=$BZ$6),INDEX('Sales and count'!$G$4:$CC$300,$BF259,0))))</f>
        <v>0</v>
      </c>
      <c r="BJ259" cm="1">
        <f t="array" ref="BJ259">IF($AW259="",0,SUMPRODUCT((TRIM('LY Sales '!$B$5:$B$200)=$AW259)*('LY Sales '!$C$2:$AG$2&gt;=EDATE($BZ$5,-12))*('LY Sales '!$C$2:$AG$2&lt;=EDATE($BZ$6,-12)),'LY Sales '!$C$5:$AG$200))</f>
        <v>0</v>
      </c>
      <c r="BK259" cm="1">
        <f t="array" ref="BK259">IF($AW259="",0,SUMPRODUCT((TRIM('LY Sales '!$B$5:$B$200)=$AW259)*('LY Sales '!$C$2:$AG$2&gt;=EDATE($BZ$5,-12))*('LY Sales '!$C$2:$AG$2&lt;=EDATE($BZ$7,-12)),'LY Sales '!$C$5:$AG$200))</f>
        <v>0</v>
      </c>
      <c r="BL259" cm="1">
        <f t="array" ref="BL259">IF($AW259="",0,SUMPRODUCT((TRIM('LY Sales '!$B$5:$B$200)=$AW259)*('LY Sales '!$C$2:$AG$2&gt;=EDATE($BZ$5,-12))*('LY Sales '!$C$2:$AG$2&lt;=EDATE($BZ$6,-12))*('LY Sales '!$C$5:$AG$200&gt;0)))</f>
        <v>0</v>
      </c>
      <c r="BM259" cm="1">
        <f t="array" ref="BM259">IF(NOT(ISNUMBER($BG259)),0,SUMPRODUCT(('TY Sales Target'!$K$2:$AO$2&gt;=$BZ$5)*('TY Sales Target'!$K$2:$AO$2&lt;=$BZ$6),INDEX('TY Sales Target'!$K$5:$AO$300,$BG259,0)))</f>
        <v>0</v>
      </c>
      <c r="BN259" cm="1">
        <f t="array" ref="BN259">IF(NOT(ISNUMBER($BG259)),0,SUMPRODUCT(('TY Sales Target'!$K$2:$AO$2&gt;=$BZ$5)*('TY Sales Target'!$K$2:$AO$2&lt;=$BZ$7),INDEX('TY Sales Target'!$K$5:$AO$300,$BG259,0)))</f>
        <v>0</v>
      </c>
      <c r="BO259" cm="1">
        <f t="array" ref="BO259">IF($AW259="",0,IFERROR(_xlfn.SWITCH($BP259,"LY trend",$BI259*$BK259/$BJ259,"Target curve",$BI259*$BN259/$BM259,"Run rate",$BI259/$BZ$8*$BZ$9,0),0))</f>
        <v>0</v>
      </c>
      <c r="BP259" t="str">
        <f t="shared" si="125"/>
        <v/>
      </c>
      <c r="CB259" cm="1">
        <f t="array" ref="CB259">IF($AW259="",0,_xlfn.LET(_xlpm.k,IFERROR(_xlfn.XLOOKUP($AW259,$CD$6:$CD$21,$CE$6:$CE$21),$AW259),SUMPRODUCT((TRIM('Makeup '!$A$2:$A$300&amp;"")=_xlpm.k)*1,IFERROR('Makeup '!$F$2:$F$300*1,0))))</f>
        <v>0</v>
      </c>
      <c r="CF259" t="str" cm="1">
        <f t="array" ref="CF259">IF($AW259="","",_xlfn.LET(_xlpm.c,IFERROR(TRIM(INDEX('Sales and count'!$B$4:$B$300,$BF259)&amp;""),""),IF(OR(_xlpm.c="",_xlpm.c="0",LEFT(_xlpm.c,1)="#"),"Not set",_xlpm.c)))</f>
        <v/>
      </c>
      <c r="CH259" cm="1">
        <f t="array" ref="CH259">IF($AW259="",0,_xlfn.LET(_xlpm.k,IFERROR(_xlfn.XLOOKUP($AW259,$CD$6:$CD$21,$CE$6:$CE$21),$AW259),--(SUMPRODUCT((TRIM('Makeup '!$A$2:$A$300&amp;"")=_xlpm.k)*ISNUMBER('Makeup '!$F$2:$F$300))&gt;0)))</f>
        <v>0</v>
      </c>
      <c r="CI259">
        <f t="shared" si="128"/>
        <v>0</v>
      </c>
      <c r="CJ259" cm="1">
        <f t="array" ref="CJ259">IF($AW259="",0,--(SUMPRODUCT(--(TRIM(Footfall!$B$5:$B$301)=$AW259))&gt;0))</f>
        <v>0</v>
      </c>
      <c r="CK259" s="8" cm="1">
        <f t="array" ref="CK259">IF($AW259="",0,_xlfn.LET(_xlpm.r,IFERROR(MATCH(IFERROR(_xlfn.XLOOKUP($AW259,$BT$5:$BT$22,$BU$5:$BU$22),$AW259),TRIM('TY Beauty Target'!$B$5:$B$300&amp;""),0),""),IF(ISNUMBER(_xlpm.r),SUMPRODUCT(('TY Beauty Target'!$L$2:$AP$2&gt;=$U$4)*('TY Beauty Target'!$L$2:$AP$2&lt;=$U$5),INDEX('TY Beauty Target'!$L$5:$AP$300,_xlpm.r,0)),0)))</f>
        <v>0</v>
      </c>
    </row>
    <row r="260" spans="28:89" x14ac:dyDescent="0.25">
      <c r="AB260" s="40" t="str" cm="1">
        <f t="array" ref="AB260">IF($AI260="","",IF(LEFT($AI260,2)="C|",IF($C260="","",SUMPRODUCT($AP$5:$AP$302*($AO$5:$AO$302=$A260),$CK$5:$CK$302)),IF($AI260="CT",AB$13,IF(LEFT($AI260,3)="AM|",IF($C260="","",SUMPRODUCT($AP$5:$AP$302*($AN$5:$AN$302=$A260),$CK$5:$CK$302)),IF(LEFT($AI260,2)="S|",IF($AG260="","",INDEX($CK$5:$CK$302,$AH260)),IF($AI260="HDR","Makeup Target",""))))))</f>
        <v/>
      </c>
      <c r="AC260" s="41" t="str">
        <f t="shared" si="129"/>
        <v/>
      </c>
      <c r="AN260" s="8" t="str" cm="1">
        <f t="array" ref="AN260">IF($AW260="","",_xlfn.LET(_xlpm.sa,IFERROR(TRIM(INDEX('Sales and count'!$D$4:$D$300,$BF260)&amp;""),""),_xlpm.ta,IFERROR(TRIM(INDEX('TY Sales Target'!$F$5:$F$300,$BG260)&amp;""),""),IF(AND(_xlpm.sa&lt;&gt;"",LEFT(_xlpm.sa,1)&lt;&gt;"#",_xlpm.sa&lt;&gt;"0"),_xlpm.sa,IF(AND(_xlpm.ta&lt;&gt;"",LEFT(_xlpm.ta,1)&lt;&gt;"#",_xlpm.ta&lt;&gt;"0"),_xlpm.ta,IF(ISNUMBER($BG260),"Unassigned","")))))</f>
        <v/>
      </c>
      <c r="AO260" s="8" t="str" cm="1">
        <f t="array" ref="AO260">IF($AW260="","",_xlfn.LET(_xlpm.sa,IFERROR(TRIM(INDEX('Sales and count'!$C$4:$C$300,$BF260)&amp;""),""),_xlpm.ta,IFERROR(TRIM(INDEX('TY Sales Target'!$D$5:$D$300,$BG260)&amp;""),""),IF(AND(_xlpm.sa&lt;&gt;"",LEFT(_xlpm.sa,1)&lt;&gt;"#",_xlpm.sa&lt;&gt;"0"),_xlpm.sa,IF(AND(_xlpm.ta&lt;&gt;"",LEFT(_xlpm.ta,1)&lt;&gt;"#",_xlpm.ta&lt;&gt;"0"),_xlpm.ta,""))))</f>
        <v/>
      </c>
      <c r="AP260" s="8">
        <f t="shared" si="126"/>
        <v>0</v>
      </c>
      <c r="AQ260" s="8">
        <f t="shared" si="127"/>
        <v>0</v>
      </c>
      <c r="AR260" s="8" cm="1">
        <f t="array" ref="AR260">IF($BF260="",0,_xlfn.LET(_xlpm.d,IFERROR(--'Sales and count'!$G$2:$CC$2,0),SUMPRODUCT(('Sales and count'!$G$3:$CC$3="Total")*(_xlpm.d&gt;=$U$4)*(_xlpm.d&lt;=$U$5),INDEX('Sales and count'!$G$4:$CC$300,$BF260,0))))</f>
        <v>0</v>
      </c>
      <c r="AS260" s="8" cm="1">
        <f t="array" ref="AS260">IF($BF260="",0,_xlfn.LET(_xlpm.d,IFERROR(--'Sales and count'!$F$2:$CB$2,0),SUMPRODUCT(('Sales and count'!$G$3:$CC$3="Transactions")*(_xlpm.d&gt;=$U$4)*(_xlpm.d&lt;=$U$5),INDEX('Sales and count'!$G$4:$CC$300,$BF260,0))))</f>
        <v>0</v>
      </c>
      <c r="AT260" s="8" cm="1">
        <f t="array" ref="AT260">IF($AW260="",0,SUMPRODUCT((TRIM('LY Sales '!$B$5:$B$200)=$AW260)*('LY Sales '!$C$2:$AG$2&gt;=EDATE($U$4,-12))*('LY Sales '!$C$2:$AG$2&lt;=EDATE($U$5,-12)),'LY Sales '!$C$5:$AG$200))</f>
        <v>0</v>
      </c>
      <c r="AU260" s="8" cm="1">
        <f t="array" ref="AU260">IF($AW260="",0,SUMPRODUCT((TRIM('LY Transaction'!$B$5:$B$200)=$AW260)*('LY Transaction'!$C$2:$AG$2&gt;=EDATE($U$4,-12))*('LY Transaction'!$C$2:$AG$2&lt;=EDATE($U$5,-12)),'LY Transaction'!$C$5:$AG$200))</f>
        <v>0</v>
      </c>
      <c r="AV260" s="8" cm="1">
        <f t="array" ref="AV260">IF(NOT(ISNUMBER($BG260)),0,SUMPRODUCT(('TY Sales Target'!$K$2:$AO$2&gt;=$U$4)*('TY Sales Target'!$K$2:$AO$2&lt;=$U$5),INDEX('TY Sales Target'!$K$5:$AO$300,$BG260,0)))</f>
        <v>0</v>
      </c>
      <c r="AW260" s="8" t="str" cm="1">
        <f t="array" ref="AW260">IFERROR(INDEX(_xlfn.ANCHORARRAY($BR$5),ROWS($AW$5:AW260)),"")</f>
        <v/>
      </c>
      <c r="BB260" cm="1">
        <f t="array" ref="BB260">IF($AW260="",0,SUMPRODUCT((TRIM(Footfall!$B$5:$B$301)=$AW260)*(Footfall!$C$1:$BZ$1&gt;=$U$4)*(Footfall!$C$2:$BZ$2&lt;=$U$5)*(Footfall!$C$1:$BZ$1&lt;&gt;""),Footfall!$C$5:$BZ$301))</f>
        <v>0</v>
      </c>
      <c r="BC260" cm="1">
        <f t="array" ref="BC260">IF(OR($BB260&lt;=0,$BD$1="",$BF260=""),0,_xlfn.LET(_xlpm.d,IFERROR(--'Sales and count'!$F$2:$CB$2,0),SUMPRODUCT(('Sales and count'!$G$3:$CC$3="Transactions")*(_xlpm.d&gt;=$BD$1)*(_xlpm.d&lt;=$BD$2),INDEX('Sales and count'!$G$4:$CC$300,$BF260,0))))</f>
        <v>0</v>
      </c>
      <c r="BF260" t="str" cm="1">
        <f t="array" ref="BF260">IF($AW260="","",IFERROR(MATCH($AW260,TRIM('Sales and count'!$A$4:$A$300&amp;""),0),""))</f>
        <v/>
      </c>
      <c r="BG260" t="str" cm="1">
        <f t="array" ref="BG260">IF($AW260="","",IFERROR(MATCH(IFERROR(_xlfn.XLOOKUP($AW260,$BT$5:$BT$22,$BU$5:$BU$22),$AW260),TRIM('TY Sales Target'!$B$5:$B$300&amp;""),0),""))</f>
        <v/>
      </c>
      <c r="BH260" t="str" cm="1">
        <f t="array" ref="BH260">IF(ISNUMBER($BG260),_xlfn.LET(_xlpm.p,TRIM(INDEX('TY Sales Target'!$I$5:$I$300,$BG260)&amp;""),IF(_xlpm.p="","Not set",_xlpm.p)),"Not set")</f>
        <v>Not set</v>
      </c>
      <c r="BI260" cm="1">
        <f t="array" ref="BI260">IF($BF260="",0,_xlfn.LET(_xlpm.d,IFERROR(--'Sales and count'!$G$2:$CC$2,0),SUMPRODUCT(('Sales and count'!$G$3:$CC$3="Total")*(_xlpm.d&gt;=$BZ$5)*(_xlpm.d&lt;=$BZ$6),INDEX('Sales and count'!$G$4:$CC$300,$BF260,0))))</f>
        <v>0</v>
      </c>
      <c r="BJ260" cm="1">
        <f t="array" ref="BJ260">IF($AW260="",0,SUMPRODUCT((TRIM('LY Sales '!$B$5:$B$200)=$AW260)*('LY Sales '!$C$2:$AG$2&gt;=EDATE($BZ$5,-12))*('LY Sales '!$C$2:$AG$2&lt;=EDATE($BZ$6,-12)),'LY Sales '!$C$5:$AG$200))</f>
        <v>0</v>
      </c>
      <c r="BK260" cm="1">
        <f t="array" ref="BK260">IF($AW260="",0,SUMPRODUCT((TRIM('LY Sales '!$B$5:$B$200)=$AW260)*('LY Sales '!$C$2:$AG$2&gt;=EDATE($BZ$5,-12))*('LY Sales '!$C$2:$AG$2&lt;=EDATE($BZ$7,-12)),'LY Sales '!$C$5:$AG$200))</f>
        <v>0</v>
      </c>
      <c r="BL260" cm="1">
        <f t="array" ref="BL260">IF($AW260="",0,SUMPRODUCT((TRIM('LY Sales '!$B$5:$B$200)=$AW260)*('LY Sales '!$C$2:$AG$2&gt;=EDATE($BZ$5,-12))*('LY Sales '!$C$2:$AG$2&lt;=EDATE($BZ$6,-12))*('LY Sales '!$C$5:$AG$200&gt;0)))</f>
        <v>0</v>
      </c>
      <c r="BM260" cm="1">
        <f t="array" ref="BM260">IF(NOT(ISNUMBER($BG260)),0,SUMPRODUCT(('TY Sales Target'!$K$2:$AO$2&gt;=$BZ$5)*('TY Sales Target'!$K$2:$AO$2&lt;=$BZ$6),INDEX('TY Sales Target'!$K$5:$AO$300,$BG260,0)))</f>
        <v>0</v>
      </c>
      <c r="BN260" cm="1">
        <f t="array" ref="BN260">IF(NOT(ISNUMBER($BG260)),0,SUMPRODUCT(('TY Sales Target'!$K$2:$AO$2&gt;=$BZ$5)*('TY Sales Target'!$K$2:$AO$2&lt;=$BZ$7),INDEX('TY Sales Target'!$K$5:$AO$300,$BG260,0)))</f>
        <v>0</v>
      </c>
      <c r="BO260" cm="1">
        <f t="array" ref="BO260">IF($AW260="",0,IFERROR(_xlfn.SWITCH($BP260,"LY trend",$BI260*$BK260/$BJ260,"Target curve",$BI260*$BN260/$BM260,"Run rate",$BI260/$BZ$8*$BZ$9,0),0))</f>
        <v>0</v>
      </c>
      <c r="BP260" t="str">
        <f t="shared" si="125"/>
        <v/>
      </c>
      <c r="CB260" cm="1">
        <f t="array" ref="CB260">IF($AW260="",0,_xlfn.LET(_xlpm.k,IFERROR(_xlfn.XLOOKUP($AW260,$CD$6:$CD$21,$CE$6:$CE$21),$AW260),SUMPRODUCT((TRIM('Makeup '!$A$2:$A$300&amp;"")=_xlpm.k)*1,IFERROR('Makeup '!$F$2:$F$300*1,0))))</f>
        <v>0</v>
      </c>
      <c r="CF260" t="str" cm="1">
        <f t="array" ref="CF260">IF($AW260="","",_xlfn.LET(_xlpm.c,IFERROR(TRIM(INDEX('Sales and count'!$B$4:$B$300,$BF260)&amp;""),""),IF(OR(_xlpm.c="",_xlpm.c="0",LEFT(_xlpm.c,1)="#"),"Not set",_xlpm.c)))</f>
        <v/>
      </c>
      <c r="CH260" cm="1">
        <f t="array" ref="CH260">IF($AW260="",0,_xlfn.LET(_xlpm.k,IFERROR(_xlfn.XLOOKUP($AW260,$CD$6:$CD$21,$CE$6:$CE$21),$AW260),--(SUMPRODUCT((TRIM('Makeup '!$A$2:$A$300&amp;"")=_xlpm.k)*ISNUMBER('Makeup '!$F$2:$F$300))&gt;0)))</f>
        <v>0</v>
      </c>
      <c r="CI260">
        <f t="shared" si="128"/>
        <v>0</v>
      </c>
      <c r="CJ260" cm="1">
        <f t="array" ref="CJ260">IF($AW260="",0,--(SUMPRODUCT(--(TRIM(Footfall!$B$5:$B$301)=$AW260))&gt;0))</f>
        <v>0</v>
      </c>
      <c r="CK260" s="8" cm="1">
        <f t="array" ref="CK260">IF($AW260="",0,_xlfn.LET(_xlpm.r,IFERROR(MATCH(IFERROR(_xlfn.XLOOKUP($AW260,$BT$5:$BT$22,$BU$5:$BU$22),$AW260),TRIM('TY Beauty Target'!$B$5:$B$300&amp;""),0),""),IF(ISNUMBER(_xlpm.r),SUMPRODUCT(('TY Beauty Target'!$L$2:$AP$2&gt;=$U$4)*('TY Beauty Target'!$L$2:$AP$2&lt;=$U$5),INDEX('TY Beauty Target'!$L$5:$AP$300,_xlpm.r,0)),0)))</f>
        <v>0</v>
      </c>
    </row>
    <row r="261" spans="28:89" x14ac:dyDescent="0.25">
      <c r="AB261" s="40" t="str" cm="1">
        <f t="array" ref="AB261">IF($AI261="","",IF(LEFT($AI261,2)="C|",IF($C261="","",SUMPRODUCT($AP$5:$AP$302*($AO$5:$AO$302=$A261),$CK$5:$CK$302)),IF($AI261="CT",AB$13,IF(LEFT($AI261,3)="AM|",IF($C261="","",SUMPRODUCT($AP$5:$AP$302*($AN$5:$AN$302=$A261),$CK$5:$CK$302)),IF(LEFT($AI261,2)="S|",IF($AG261="","",INDEX($CK$5:$CK$302,$AH261)),IF($AI261="HDR","Makeup Target",""))))))</f>
        <v/>
      </c>
      <c r="AC261" s="41" t="str">
        <f t="shared" si="129"/>
        <v/>
      </c>
      <c r="AN261" s="8" t="str" cm="1">
        <f t="array" ref="AN261">IF($AW261="","",_xlfn.LET(_xlpm.sa,IFERROR(TRIM(INDEX('Sales and count'!$D$4:$D$300,$BF261)&amp;""),""),_xlpm.ta,IFERROR(TRIM(INDEX('TY Sales Target'!$F$5:$F$300,$BG261)&amp;""),""),IF(AND(_xlpm.sa&lt;&gt;"",LEFT(_xlpm.sa,1)&lt;&gt;"#",_xlpm.sa&lt;&gt;"0"),_xlpm.sa,IF(AND(_xlpm.ta&lt;&gt;"",LEFT(_xlpm.ta,1)&lt;&gt;"#",_xlpm.ta&lt;&gt;"0"),_xlpm.ta,IF(ISNUMBER($BG261),"Unassigned","")))))</f>
        <v/>
      </c>
      <c r="AO261" s="8" t="str" cm="1">
        <f t="array" ref="AO261">IF($AW261="","",_xlfn.LET(_xlpm.sa,IFERROR(TRIM(INDEX('Sales and count'!$C$4:$C$300,$BF261)&amp;""),""),_xlpm.ta,IFERROR(TRIM(INDEX('TY Sales Target'!$D$5:$D$300,$BG261)&amp;""),""),IF(AND(_xlpm.sa&lt;&gt;"",LEFT(_xlpm.sa,1)&lt;&gt;"#",_xlpm.sa&lt;&gt;"0"),_xlpm.sa,IF(AND(_xlpm.ta&lt;&gt;"",LEFT(_xlpm.ta,1)&lt;&gt;"#",_xlpm.ta&lt;&gt;"0"),_xlpm.ta,""))))</f>
        <v/>
      </c>
      <c r="AP261" s="8">
        <f t="shared" si="126"/>
        <v>0</v>
      </c>
      <c r="AQ261" s="8">
        <f t="shared" si="127"/>
        <v>0</v>
      </c>
      <c r="AR261" s="8" cm="1">
        <f t="array" ref="AR261">IF($BF261="",0,_xlfn.LET(_xlpm.d,IFERROR(--'Sales and count'!$G$2:$CC$2,0),SUMPRODUCT(('Sales and count'!$G$3:$CC$3="Total")*(_xlpm.d&gt;=$U$4)*(_xlpm.d&lt;=$U$5),INDEX('Sales and count'!$G$4:$CC$300,$BF261,0))))</f>
        <v>0</v>
      </c>
      <c r="AS261" s="8" cm="1">
        <f t="array" ref="AS261">IF($BF261="",0,_xlfn.LET(_xlpm.d,IFERROR(--'Sales and count'!$F$2:$CB$2,0),SUMPRODUCT(('Sales and count'!$G$3:$CC$3="Transactions")*(_xlpm.d&gt;=$U$4)*(_xlpm.d&lt;=$U$5),INDEX('Sales and count'!$G$4:$CC$300,$BF261,0))))</f>
        <v>0</v>
      </c>
      <c r="AT261" s="8" cm="1">
        <f t="array" ref="AT261">IF($AW261="",0,SUMPRODUCT((TRIM('LY Sales '!$B$5:$B$200)=$AW261)*('LY Sales '!$C$2:$AG$2&gt;=EDATE($U$4,-12))*('LY Sales '!$C$2:$AG$2&lt;=EDATE($U$5,-12)),'LY Sales '!$C$5:$AG$200))</f>
        <v>0</v>
      </c>
      <c r="AU261" s="8" cm="1">
        <f t="array" ref="AU261">IF($AW261="",0,SUMPRODUCT((TRIM('LY Transaction'!$B$5:$B$200)=$AW261)*('LY Transaction'!$C$2:$AG$2&gt;=EDATE($U$4,-12))*('LY Transaction'!$C$2:$AG$2&lt;=EDATE($U$5,-12)),'LY Transaction'!$C$5:$AG$200))</f>
        <v>0</v>
      </c>
      <c r="AV261" s="8" cm="1">
        <f t="array" ref="AV261">IF(NOT(ISNUMBER($BG261)),0,SUMPRODUCT(('TY Sales Target'!$K$2:$AO$2&gt;=$U$4)*('TY Sales Target'!$K$2:$AO$2&lt;=$U$5),INDEX('TY Sales Target'!$K$5:$AO$300,$BG261,0)))</f>
        <v>0</v>
      </c>
      <c r="AW261" s="8" t="str" cm="1">
        <f t="array" ref="AW261">IFERROR(INDEX(_xlfn.ANCHORARRAY($BR$5),ROWS($AW$5:AW261)),"")</f>
        <v/>
      </c>
      <c r="BB261" cm="1">
        <f t="array" ref="BB261">IF($AW261="",0,SUMPRODUCT((TRIM(Footfall!$B$5:$B$301)=$AW261)*(Footfall!$C$1:$BZ$1&gt;=$U$4)*(Footfall!$C$2:$BZ$2&lt;=$U$5)*(Footfall!$C$1:$BZ$1&lt;&gt;""),Footfall!$C$5:$BZ$301))</f>
        <v>0</v>
      </c>
      <c r="BC261" cm="1">
        <f t="array" ref="BC261">IF(OR($BB261&lt;=0,$BD$1="",$BF261=""),0,_xlfn.LET(_xlpm.d,IFERROR(--'Sales and count'!$F$2:$CB$2,0),SUMPRODUCT(('Sales and count'!$G$3:$CC$3="Transactions")*(_xlpm.d&gt;=$BD$1)*(_xlpm.d&lt;=$BD$2),INDEX('Sales and count'!$G$4:$CC$300,$BF261,0))))</f>
        <v>0</v>
      </c>
      <c r="BF261" t="str" cm="1">
        <f t="array" ref="BF261">IF($AW261="","",IFERROR(MATCH($AW261,TRIM('Sales and count'!$A$4:$A$300&amp;""),0),""))</f>
        <v/>
      </c>
      <c r="BG261" t="str" cm="1">
        <f t="array" ref="BG261">IF($AW261="","",IFERROR(MATCH(IFERROR(_xlfn.XLOOKUP($AW261,$BT$5:$BT$22,$BU$5:$BU$22),$AW261),TRIM('TY Sales Target'!$B$5:$B$300&amp;""),0),""))</f>
        <v/>
      </c>
      <c r="BH261" t="str" cm="1">
        <f t="array" ref="BH261">IF(ISNUMBER($BG261),_xlfn.LET(_xlpm.p,TRIM(INDEX('TY Sales Target'!$I$5:$I$300,$BG261)&amp;""),IF(_xlpm.p="","Not set",_xlpm.p)),"Not set")</f>
        <v>Not set</v>
      </c>
      <c r="BI261" cm="1">
        <f t="array" ref="BI261">IF($BF261="",0,_xlfn.LET(_xlpm.d,IFERROR(--'Sales and count'!$G$2:$CC$2,0),SUMPRODUCT(('Sales and count'!$G$3:$CC$3="Total")*(_xlpm.d&gt;=$BZ$5)*(_xlpm.d&lt;=$BZ$6),INDEX('Sales and count'!$G$4:$CC$300,$BF261,0))))</f>
        <v>0</v>
      </c>
      <c r="BJ261" cm="1">
        <f t="array" ref="BJ261">IF($AW261="",0,SUMPRODUCT((TRIM('LY Sales '!$B$5:$B$200)=$AW261)*('LY Sales '!$C$2:$AG$2&gt;=EDATE($BZ$5,-12))*('LY Sales '!$C$2:$AG$2&lt;=EDATE($BZ$6,-12)),'LY Sales '!$C$5:$AG$200))</f>
        <v>0</v>
      </c>
      <c r="BK261" cm="1">
        <f t="array" ref="BK261">IF($AW261="",0,SUMPRODUCT((TRIM('LY Sales '!$B$5:$B$200)=$AW261)*('LY Sales '!$C$2:$AG$2&gt;=EDATE($BZ$5,-12))*('LY Sales '!$C$2:$AG$2&lt;=EDATE($BZ$7,-12)),'LY Sales '!$C$5:$AG$200))</f>
        <v>0</v>
      </c>
      <c r="BL261" cm="1">
        <f t="array" ref="BL261">IF($AW261="",0,SUMPRODUCT((TRIM('LY Sales '!$B$5:$B$200)=$AW261)*('LY Sales '!$C$2:$AG$2&gt;=EDATE($BZ$5,-12))*('LY Sales '!$C$2:$AG$2&lt;=EDATE($BZ$6,-12))*('LY Sales '!$C$5:$AG$200&gt;0)))</f>
        <v>0</v>
      </c>
      <c r="BM261" cm="1">
        <f t="array" ref="BM261">IF(NOT(ISNUMBER($BG261)),0,SUMPRODUCT(('TY Sales Target'!$K$2:$AO$2&gt;=$BZ$5)*('TY Sales Target'!$K$2:$AO$2&lt;=$BZ$6),INDEX('TY Sales Target'!$K$5:$AO$300,$BG261,0)))</f>
        <v>0</v>
      </c>
      <c r="BN261" cm="1">
        <f t="array" ref="BN261">IF(NOT(ISNUMBER($BG261)),0,SUMPRODUCT(('TY Sales Target'!$K$2:$AO$2&gt;=$BZ$5)*('TY Sales Target'!$K$2:$AO$2&lt;=$BZ$7),INDEX('TY Sales Target'!$K$5:$AO$300,$BG261,0)))</f>
        <v>0</v>
      </c>
      <c r="BO261" cm="1">
        <f t="array" ref="BO261">IF($AW261="",0,IFERROR(_xlfn.SWITCH($BP261,"LY trend",$BI261*$BK261/$BJ261,"Target curve",$BI261*$BN261/$BM261,"Run rate",$BI261/$BZ$8*$BZ$9,0),0))</f>
        <v>0</v>
      </c>
      <c r="BP261" t="str">
        <f t="shared" ref="BP261:BP302" si="130">IF($AW261="","",IF(AND($BL261&gt;=$BZ$8,$BJ261&gt;0,$BK261&gt;0),"LY trend",IF($BM261&gt;0,"Target curve",IF($BI261&gt;0,"Run rate",""))))</f>
        <v/>
      </c>
      <c r="CB261" cm="1">
        <f t="array" ref="CB261">IF($AW261="",0,_xlfn.LET(_xlpm.k,IFERROR(_xlfn.XLOOKUP($AW261,$CD$6:$CD$21,$CE$6:$CE$21),$AW261),SUMPRODUCT((TRIM('Makeup '!$A$2:$A$300&amp;"")=_xlpm.k)*1,IFERROR('Makeup '!$F$2:$F$300*1,0))))</f>
        <v>0</v>
      </c>
      <c r="CF261" t="str" cm="1">
        <f t="array" ref="CF261">IF($AW261="","",_xlfn.LET(_xlpm.c,IFERROR(TRIM(INDEX('Sales and count'!$B$4:$B$300,$BF261)&amp;""),""),IF(OR(_xlpm.c="",_xlpm.c="0",LEFT(_xlpm.c,1)="#"),"Not set",_xlpm.c)))</f>
        <v/>
      </c>
      <c r="CH261" cm="1">
        <f t="array" ref="CH261">IF($AW261="",0,_xlfn.LET(_xlpm.k,IFERROR(_xlfn.XLOOKUP($AW261,$CD$6:$CD$21,$CE$6:$CE$21),$AW261),--(SUMPRODUCT((TRIM('Makeup '!$A$2:$A$300&amp;"")=_xlpm.k)*ISNUMBER('Makeup '!$F$2:$F$300))&gt;0)))</f>
        <v>0</v>
      </c>
      <c r="CI261">
        <f t="shared" si="128"/>
        <v>0</v>
      </c>
      <c r="CJ261" cm="1">
        <f t="array" ref="CJ261">IF($AW261="",0,--(SUMPRODUCT(--(TRIM(Footfall!$B$5:$B$301)=$AW261))&gt;0))</f>
        <v>0</v>
      </c>
      <c r="CK261" s="8" cm="1">
        <f t="array" ref="CK261">IF($AW261="",0,_xlfn.LET(_xlpm.r,IFERROR(MATCH(IFERROR(_xlfn.XLOOKUP($AW261,$BT$5:$BT$22,$BU$5:$BU$22),$AW261),TRIM('TY Beauty Target'!$B$5:$B$300&amp;""),0),""),IF(ISNUMBER(_xlpm.r),SUMPRODUCT(('TY Beauty Target'!$L$2:$AP$2&gt;=$U$4)*('TY Beauty Target'!$L$2:$AP$2&lt;=$U$5),INDEX('TY Beauty Target'!$L$5:$AP$300,_xlpm.r,0)),0)))</f>
        <v>0</v>
      </c>
    </row>
    <row r="262" spans="28:89" x14ac:dyDescent="0.25">
      <c r="AB262" s="40" t="str" cm="1">
        <f t="array" ref="AB262">IF($AI262="","",IF(LEFT($AI262,2)="C|",IF($C262="","",SUMPRODUCT($AP$5:$AP$302*($AO$5:$AO$302=$A262),$CK$5:$CK$302)),IF($AI262="CT",AB$13,IF(LEFT($AI262,3)="AM|",IF($C262="","",SUMPRODUCT($AP$5:$AP$302*($AN$5:$AN$302=$A262),$CK$5:$CK$302)),IF(LEFT($AI262,2)="S|",IF($AG262="","",INDEX($CK$5:$CK$302,$AH262)),IF($AI262="HDR","Makeup Target",""))))))</f>
        <v/>
      </c>
      <c r="AC262" s="41" t="str">
        <f t="shared" si="129"/>
        <v/>
      </c>
      <c r="AN262" s="8" t="str" cm="1">
        <f t="array" ref="AN262">IF($AW262="","",_xlfn.LET(_xlpm.sa,IFERROR(TRIM(INDEX('Sales and count'!$D$4:$D$300,$BF262)&amp;""),""),_xlpm.ta,IFERROR(TRIM(INDEX('TY Sales Target'!$F$5:$F$300,$BG262)&amp;""),""),IF(AND(_xlpm.sa&lt;&gt;"",LEFT(_xlpm.sa,1)&lt;&gt;"#",_xlpm.sa&lt;&gt;"0"),_xlpm.sa,IF(AND(_xlpm.ta&lt;&gt;"",LEFT(_xlpm.ta,1)&lt;&gt;"#",_xlpm.ta&lt;&gt;"0"),_xlpm.ta,IF(ISNUMBER($BG262),"Unassigned","")))))</f>
        <v/>
      </c>
      <c r="AO262" s="8" t="str" cm="1">
        <f t="array" ref="AO262">IF($AW262="","",_xlfn.LET(_xlpm.sa,IFERROR(TRIM(INDEX('Sales and count'!$C$4:$C$300,$BF262)&amp;""),""),_xlpm.ta,IFERROR(TRIM(INDEX('TY Sales Target'!$D$5:$D$300,$BG262)&amp;""),""),IF(AND(_xlpm.sa&lt;&gt;"",LEFT(_xlpm.sa,1)&lt;&gt;"#",_xlpm.sa&lt;&gt;"0"),_xlpm.sa,IF(AND(_xlpm.ta&lt;&gt;"",LEFT(_xlpm.ta,1)&lt;&gt;"#",_xlpm.ta&lt;&gt;"0"),_xlpm.ta,""))))</f>
        <v/>
      </c>
      <c r="AP262" s="8">
        <f t="shared" ref="AP262:AP302" si="131">IF(AND(AN262&lt;&gt;"",OR($B$3="All",$CF262=$B$3),IF(OR($B$4="All",$B$4="Multiple (ticked)"),IF(COUNTIF($B$10:$M$10,"✔")&gt;0,COUNTIFS($B$9:$M$9,AN262,$B$10:$M$10,"✔")&gt;0,$B$4="All"),AN262=$B$4),OR($B$5="All",AO262=$B$5),OR($B$6="All Stores",CJ262=IF($B$6="With Footfall Device",1,0)),OR($B$7="All Stores",AQ262=1),OR($B$8="All",BH262=$B$8)),1,0)</f>
        <v>0</v>
      </c>
      <c r="AQ262" s="8">
        <f t="shared" ref="AQ262:AQ302" si="132">--(AT262&gt;0)</f>
        <v>0</v>
      </c>
      <c r="AR262" s="8" cm="1">
        <f t="array" ref="AR262">IF($BF262="",0,_xlfn.LET(_xlpm.d,IFERROR(--'Sales and count'!$G$2:$CC$2,0),SUMPRODUCT(('Sales and count'!$G$3:$CC$3="Total")*(_xlpm.d&gt;=$U$4)*(_xlpm.d&lt;=$U$5),INDEX('Sales and count'!$G$4:$CC$300,$BF262,0))))</f>
        <v>0</v>
      </c>
      <c r="AS262" s="8" cm="1">
        <f t="array" ref="AS262">IF($BF262="",0,_xlfn.LET(_xlpm.d,IFERROR(--'Sales and count'!$F$2:$CB$2,0),SUMPRODUCT(('Sales and count'!$G$3:$CC$3="Transactions")*(_xlpm.d&gt;=$U$4)*(_xlpm.d&lt;=$U$5),INDEX('Sales and count'!$G$4:$CC$300,$BF262,0))))</f>
        <v>0</v>
      </c>
      <c r="AT262" s="8" cm="1">
        <f t="array" ref="AT262">IF($AW262="",0,SUMPRODUCT((TRIM('LY Sales '!$B$5:$B$200)=$AW262)*('LY Sales '!$C$2:$AG$2&gt;=EDATE($U$4,-12))*('LY Sales '!$C$2:$AG$2&lt;=EDATE($U$5,-12)),'LY Sales '!$C$5:$AG$200))</f>
        <v>0</v>
      </c>
      <c r="AU262" s="8" cm="1">
        <f t="array" ref="AU262">IF($AW262="",0,SUMPRODUCT((TRIM('LY Transaction'!$B$5:$B$200)=$AW262)*('LY Transaction'!$C$2:$AG$2&gt;=EDATE($U$4,-12))*('LY Transaction'!$C$2:$AG$2&lt;=EDATE($U$5,-12)),'LY Transaction'!$C$5:$AG$200))</f>
        <v>0</v>
      </c>
      <c r="AV262" s="8" cm="1">
        <f t="array" ref="AV262">IF(NOT(ISNUMBER($BG262)),0,SUMPRODUCT(('TY Sales Target'!$K$2:$AO$2&gt;=$U$4)*('TY Sales Target'!$K$2:$AO$2&lt;=$U$5),INDEX('TY Sales Target'!$K$5:$AO$300,$BG262,0)))</f>
        <v>0</v>
      </c>
      <c r="AW262" s="8" t="str" cm="1">
        <f t="array" ref="AW262">IFERROR(INDEX(_xlfn.ANCHORARRAY($BR$5),ROWS($AW$5:AW262)),"")</f>
        <v/>
      </c>
      <c r="BB262" cm="1">
        <f t="array" ref="BB262">IF($AW262="",0,SUMPRODUCT((TRIM(Footfall!$B$5:$B$301)=$AW262)*(Footfall!$C$1:$BZ$1&gt;=$U$4)*(Footfall!$C$2:$BZ$2&lt;=$U$5)*(Footfall!$C$1:$BZ$1&lt;&gt;""),Footfall!$C$5:$BZ$301))</f>
        <v>0</v>
      </c>
      <c r="BC262" cm="1">
        <f t="array" ref="BC262">IF(OR($BB262&lt;=0,$BD$1="",$BF262=""),0,_xlfn.LET(_xlpm.d,IFERROR(--'Sales and count'!$F$2:$CB$2,0),SUMPRODUCT(('Sales and count'!$G$3:$CC$3="Transactions")*(_xlpm.d&gt;=$BD$1)*(_xlpm.d&lt;=$BD$2),INDEX('Sales and count'!$G$4:$CC$300,$BF262,0))))</f>
        <v>0</v>
      </c>
      <c r="BF262" t="str" cm="1">
        <f t="array" ref="BF262">IF($AW262="","",IFERROR(MATCH($AW262,TRIM('Sales and count'!$A$4:$A$300&amp;""),0),""))</f>
        <v/>
      </c>
      <c r="BG262" t="str" cm="1">
        <f t="array" ref="BG262">IF($AW262="","",IFERROR(MATCH(IFERROR(_xlfn.XLOOKUP($AW262,$BT$5:$BT$22,$BU$5:$BU$22),$AW262),TRIM('TY Sales Target'!$B$5:$B$300&amp;""),0),""))</f>
        <v/>
      </c>
      <c r="BH262" t="str" cm="1">
        <f t="array" ref="BH262">IF(ISNUMBER($BG262),_xlfn.LET(_xlpm.p,TRIM(INDEX('TY Sales Target'!$I$5:$I$300,$BG262)&amp;""),IF(_xlpm.p="","Not set",_xlpm.p)),"Not set")</f>
        <v>Not set</v>
      </c>
      <c r="BI262" cm="1">
        <f t="array" ref="BI262">IF($BF262="",0,_xlfn.LET(_xlpm.d,IFERROR(--'Sales and count'!$G$2:$CC$2,0),SUMPRODUCT(('Sales and count'!$G$3:$CC$3="Total")*(_xlpm.d&gt;=$BZ$5)*(_xlpm.d&lt;=$BZ$6),INDEX('Sales and count'!$G$4:$CC$300,$BF262,0))))</f>
        <v>0</v>
      </c>
      <c r="BJ262" cm="1">
        <f t="array" ref="BJ262">IF($AW262="",0,SUMPRODUCT((TRIM('LY Sales '!$B$5:$B$200)=$AW262)*('LY Sales '!$C$2:$AG$2&gt;=EDATE($BZ$5,-12))*('LY Sales '!$C$2:$AG$2&lt;=EDATE($BZ$6,-12)),'LY Sales '!$C$5:$AG$200))</f>
        <v>0</v>
      </c>
      <c r="BK262" cm="1">
        <f t="array" ref="BK262">IF($AW262="",0,SUMPRODUCT((TRIM('LY Sales '!$B$5:$B$200)=$AW262)*('LY Sales '!$C$2:$AG$2&gt;=EDATE($BZ$5,-12))*('LY Sales '!$C$2:$AG$2&lt;=EDATE($BZ$7,-12)),'LY Sales '!$C$5:$AG$200))</f>
        <v>0</v>
      </c>
      <c r="BL262" cm="1">
        <f t="array" ref="BL262">IF($AW262="",0,SUMPRODUCT((TRIM('LY Sales '!$B$5:$B$200)=$AW262)*('LY Sales '!$C$2:$AG$2&gt;=EDATE($BZ$5,-12))*('LY Sales '!$C$2:$AG$2&lt;=EDATE($BZ$6,-12))*('LY Sales '!$C$5:$AG$200&gt;0)))</f>
        <v>0</v>
      </c>
      <c r="BM262" cm="1">
        <f t="array" ref="BM262">IF(NOT(ISNUMBER($BG262)),0,SUMPRODUCT(('TY Sales Target'!$K$2:$AO$2&gt;=$BZ$5)*('TY Sales Target'!$K$2:$AO$2&lt;=$BZ$6),INDEX('TY Sales Target'!$K$5:$AO$300,$BG262,0)))</f>
        <v>0</v>
      </c>
      <c r="BN262" cm="1">
        <f t="array" ref="BN262">IF(NOT(ISNUMBER($BG262)),0,SUMPRODUCT(('TY Sales Target'!$K$2:$AO$2&gt;=$BZ$5)*('TY Sales Target'!$K$2:$AO$2&lt;=$BZ$7),INDEX('TY Sales Target'!$K$5:$AO$300,$BG262,0)))</f>
        <v>0</v>
      </c>
      <c r="BO262" cm="1">
        <f t="array" ref="BO262">IF($AW262="",0,IFERROR(_xlfn.SWITCH($BP262,"LY trend",$BI262*$BK262/$BJ262,"Target curve",$BI262*$BN262/$BM262,"Run rate",$BI262/$BZ$8*$BZ$9,0),0))</f>
        <v>0</v>
      </c>
      <c r="BP262" t="str">
        <f t="shared" si="130"/>
        <v/>
      </c>
      <c r="CB262" cm="1">
        <f t="array" ref="CB262">IF($AW262="",0,_xlfn.LET(_xlpm.k,IFERROR(_xlfn.XLOOKUP($AW262,$CD$6:$CD$21,$CE$6:$CE$21),$AW262),SUMPRODUCT((TRIM('Makeup '!$A$2:$A$300&amp;"")=_xlpm.k)*1,IFERROR('Makeup '!$F$2:$F$300*1,0))))</f>
        <v>0</v>
      </c>
      <c r="CF262" t="str" cm="1">
        <f t="array" ref="CF262">IF($AW262="","",_xlfn.LET(_xlpm.c,IFERROR(TRIM(INDEX('Sales and count'!$B$4:$B$300,$BF262)&amp;""),""),IF(OR(_xlpm.c="",_xlpm.c="0",LEFT(_xlpm.c,1)="#"),"Not set",_xlpm.c)))</f>
        <v/>
      </c>
      <c r="CH262" cm="1">
        <f t="array" ref="CH262">IF($AW262="",0,_xlfn.LET(_xlpm.k,IFERROR(_xlfn.XLOOKUP($AW262,$CD$6:$CD$21,$CE$6:$CE$21),$AW262),--(SUMPRODUCT((TRIM('Makeup '!$A$2:$A$300&amp;"")=_xlpm.k)*ISNUMBER('Makeup '!$F$2:$F$300))&gt;0)))</f>
        <v>0</v>
      </c>
      <c r="CI262">
        <f t="shared" si="128"/>
        <v>0</v>
      </c>
      <c r="CJ262" cm="1">
        <f t="array" ref="CJ262">IF($AW262="",0,--(SUMPRODUCT(--(TRIM(Footfall!$B$5:$B$301)=$AW262))&gt;0))</f>
        <v>0</v>
      </c>
      <c r="CK262" s="8" cm="1">
        <f t="array" ref="CK262">IF($AW262="",0,_xlfn.LET(_xlpm.r,IFERROR(MATCH(IFERROR(_xlfn.XLOOKUP($AW262,$BT$5:$BT$22,$BU$5:$BU$22),$AW262),TRIM('TY Beauty Target'!$B$5:$B$300&amp;""),0),""),IF(ISNUMBER(_xlpm.r),SUMPRODUCT(('TY Beauty Target'!$L$2:$AP$2&gt;=$U$4)*('TY Beauty Target'!$L$2:$AP$2&lt;=$U$5),INDEX('TY Beauty Target'!$L$5:$AP$300,_xlpm.r,0)),0)))</f>
        <v>0</v>
      </c>
    </row>
    <row r="263" spans="28:89" x14ac:dyDescent="0.25">
      <c r="AB263" s="40" t="str" cm="1">
        <f t="array" ref="AB263">IF($AI263="","",IF(LEFT($AI263,2)="C|",IF($C263="","",SUMPRODUCT($AP$5:$AP$302*($AO$5:$AO$302=$A263),$CK$5:$CK$302)),IF($AI263="CT",AB$13,IF(LEFT($AI263,3)="AM|",IF($C263="","",SUMPRODUCT($AP$5:$AP$302*($AN$5:$AN$302=$A263),$CK$5:$CK$302)),IF(LEFT($AI263,2)="S|",IF($AG263="","",INDEX($CK$5:$CK$302,$AH263)),IF($AI263="HDR","Makeup Target",""))))))</f>
        <v/>
      </c>
      <c r="AC263" s="41" t="str">
        <f t="shared" si="129"/>
        <v/>
      </c>
      <c r="AN263" s="8" t="str" cm="1">
        <f t="array" ref="AN263">IF($AW263="","",_xlfn.LET(_xlpm.sa,IFERROR(TRIM(INDEX('Sales and count'!$D$4:$D$300,$BF263)&amp;""),""),_xlpm.ta,IFERROR(TRIM(INDEX('TY Sales Target'!$F$5:$F$300,$BG263)&amp;""),""),IF(AND(_xlpm.sa&lt;&gt;"",LEFT(_xlpm.sa,1)&lt;&gt;"#",_xlpm.sa&lt;&gt;"0"),_xlpm.sa,IF(AND(_xlpm.ta&lt;&gt;"",LEFT(_xlpm.ta,1)&lt;&gt;"#",_xlpm.ta&lt;&gt;"0"),_xlpm.ta,IF(ISNUMBER($BG263),"Unassigned","")))))</f>
        <v/>
      </c>
      <c r="AO263" s="8" t="str" cm="1">
        <f t="array" ref="AO263">IF($AW263="","",_xlfn.LET(_xlpm.sa,IFERROR(TRIM(INDEX('Sales and count'!$C$4:$C$300,$BF263)&amp;""),""),_xlpm.ta,IFERROR(TRIM(INDEX('TY Sales Target'!$D$5:$D$300,$BG263)&amp;""),""),IF(AND(_xlpm.sa&lt;&gt;"",LEFT(_xlpm.sa,1)&lt;&gt;"#",_xlpm.sa&lt;&gt;"0"),_xlpm.sa,IF(AND(_xlpm.ta&lt;&gt;"",LEFT(_xlpm.ta,1)&lt;&gt;"#",_xlpm.ta&lt;&gt;"0"),_xlpm.ta,""))))</f>
        <v/>
      </c>
      <c r="AP263" s="8">
        <f t="shared" si="131"/>
        <v>0</v>
      </c>
      <c r="AQ263" s="8">
        <f t="shared" si="132"/>
        <v>0</v>
      </c>
      <c r="AR263" s="8" cm="1">
        <f t="array" ref="AR263">IF($BF263="",0,_xlfn.LET(_xlpm.d,IFERROR(--'Sales and count'!$G$2:$CC$2,0),SUMPRODUCT(('Sales and count'!$G$3:$CC$3="Total")*(_xlpm.d&gt;=$U$4)*(_xlpm.d&lt;=$U$5),INDEX('Sales and count'!$G$4:$CC$300,$BF263,0))))</f>
        <v>0</v>
      </c>
      <c r="AS263" s="8" cm="1">
        <f t="array" ref="AS263">IF($BF263="",0,_xlfn.LET(_xlpm.d,IFERROR(--'Sales and count'!$F$2:$CB$2,0),SUMPRODUCT(('Sales and count'!$G$3:$CC$3="Transactions")*(_xlpm.d&gt;=$U$4)*(_xlpm.d&lt;=$U$5),INDEX('Sales and count'!$G$4:$CC$300,$BF263,0))))</f>
        <v>0</v>
      </c>
      <c r="AT263" s="8" cm="1">
        <f t="array" ref="AT263">IF($AW263="",0,SUMPRODUCT((TRIM('LY Sales '!$B$5:$B$200)=$AW263)*('LY Sales '!$C$2:$AG$2&gt;=EDATE($U$4,-12))*('LY Sales '!$C$2:$AG$2&lt;=EDATE($U$5,-12)),'LY Sales '!$C$5:$AG$200))</f>
        <v>0</v>
      </c>
      <c r="AU263" s="8" cm="1">
        <f t="array" ref="AU263">IF($AW263="",0,SUMPRODUCT((TRIM('LY Transaction'!$B$5:$B$200)=$AW263)*('LY Transaction'!$C$2:$AG$2&gt;=EDATE($U$4,-12))*('LY Transaction'!$C$2:$AG$2&lt;=EDATE($U$5,-12)),'LY Transaction'!$C$5:$AG$200))</f>
        <v>0</v>
      </c>
      <c r="AV263" s="8" cm="1">
        <f t="array" ref="AV263">IF(NOT(ISNUMBER($BG263)),0,SUMPRODUCT(('TY Sales Target'!$K$2:$AO$2&gt;=$U$4)*('TY Sales Target'!$K$2:$AO$2&lt;=$U$5),INDEX('TY Sales Target'!$K$5:$AO$300,$BG263,0)))</f>
        <v>0</v>
      </c>
      <c r="AW263" s="8" t="str" cm="1">
        <f t="array" ref="AW263">IFERROR(INDEX(_xlfn.ANCHORARRAY($BR$5),ROWS($AW$5:AW263)),"")</f>
        <v/>
      </c>
      <c r="BB263" cm="1">
        <f t="array" ref="BB263">IF($AW263="",0,SUMPRODUCT((TRIM(Footfall!$B$5:$B$301)=$AW263)*(Footfall!$C$1:$BZ$1&gt;=$U$4)*(Footfall!$C$2:$BZ$2&lt;=$U$5)*(Footfall!$C$1:$BZ$1&lt;&gt;""),Footfall!$C$5:$BZ$301))</f>
        <v>0</v>
      </c>
      <c r="BC263" cm="1">
        <f t="array" ref="BC263">IF(OR($BB263&lt;=0,$BD$1="",$BF263=""),0,_xlfn.LET(_xlpm.d,IFERROR(--'Sales and count'!$F$2:$CB$2,0),SUMPRODUCT(('Sales and count'!$G$3:$CC$3="Transactions")*(_xlpm.d&gt;=$BD$1)*(_xlpm.d&lt;=$BD$2),INDEX('Sales and count'!$G$4:$CC$300,$BF263,0))))</f>
        <v>0</v>
      </c>
      <c r="BF263" t="str" cm="1">
        <f t="array" ref="BF263">IF($AW263="","",IFERROR(MATCH($AW263,TRIM('Sales and count'!$A$4:$A$300&amp;""),0),""))</f>
        <v/>
      </c>
      <c r="BG263" t="str" cm="1">
        <f t="array" ref="BG263">IF($AW263="","",IFERROR(MATCH(IFERROR(_xlfn.XLOOKUP($AW263,$BT$5:$BT$22,$BU$5:$BU$22),$AW263),TRIM('TY Sales Target'!$B$5:$B$300&amp;""),0),""))</f>
        <v/>
      </c>
      <c r="BH263" t="str" cm="1">
        <f t="array" ref="BH263">IF(ISNUMBER($BG263),_xlfn.LET(_xlpm.p,TRIM(INDEX('TY Sales Target'!$I$5:$I$300,$BG263)&amp;""),IF(_xlpm.p="","Not set",_xlpm.p)),"Not set")</f>
        <v>Not set</v>
      </c>
      <c r="BI263" cm="1">
        <f t="array" ref="BI263">IF($BF263="",0,_xlfn.LET(_xlpm.d,IFERROR(--'Sales and count'!$G$2:$CC$2,0),SUMPRODUCT(('Sales and count'!$G$3:$CC$3="Total")*(_xlpm.d&gt;=$BZ$5)*(_xlpm.d&lt;=$BZ$6),INDEX('Sales and count'!$G$4:$CC$300,$BF263,0))))</f>
        <v>0</v>
      </c>
      <c r="BJ263" cm="1">
        <f t="array" ref="BJ263">IF($AW263="",0,SUMPRODUCT((TRIM('LY Sales '!$B$5:$B$200)=$AW263)*('LY Sales '!$C$2:$AG$2&gt;=EDATE($BZ$5,-12))*('LY Sales '!$C$2:$AG$2&lt;=EDATE($BZ$6,-12)),'LY Sales '!$C$5:$AG$200))</f>
        <v>0</v>
      </c>
      <c r="BK263" cm="1">
        <f t="array" ref="BK263">IF($AW263="",0,SUMPRODUCT((TRIM('LY Sales '!$B$5:$B$200)=$AW263)*('LY Sales '!$C$2:$AG$2&gt;=EDATE($BZ$5,-12))*('LY Sales '!$C$2:$AG$2&lt;=EDATE($BZ$7,-12)),'LY Sales '!$C$5:$AG$200))</f>
        <v>0</v>
      </c>
      <c r="BL263" cm="1">
        <f t="array" ref="BL263">IF($AW263="",0,SUMPRODUCT((TRIM('LY Sales '!$B$5:$B$200)=$AW263)*('LY Sales '!$C$2:$AG$2&gt;=EDATE($BZ$5,-12))*('LY Sales '!$C$2:$AG$2&lt;=EDATE($BZ$6,-12))*('LY Sales '!$C$5:$AG$200&gt;0)))</f>
        <v>0</v>
      </c>
      <c r="BM263" cm="1">
        <f t="array" ref="BM263">IF(NOT(ISNUMBER($BG263)),0,SUMPRODUCT(('TY Sales Target'!$K$2:$AO$2&gt;=$BZ$5)*('TY Sales Target'!$K$2:$AO$2&lt;=$BZ$6),INDEX('TY Sales Target'!$K$5:$AO$300,$BG263,0)))</f>
        <v>0</v>
      </c>
      <c r="BN263" cm="1">
        <f t="array" ref="BN263">IF(NOT(ISNUMBER($BG263)),0,SUMPRODUCT(('TY Sales Target'!$K$2:$AO$2&gt;=$BZ$5)*('TY Sales Target'!$K$2:$AO$2&lt;=$BZ$7),INDEX('TY Sales Target'!$K$5:$AO$300,$BG263,0)))</f>
        <v>0</v>
      </c>
      <c r="BO263" cm="1">
        <f t="array" ref="BO263">IF($AW263="",0,IFERROR(_xlfn.SWITCH($BP263,"LY trend",$BI263*$BK263/$BJ263,"Target curve",$BI263*$BN263/$BM263,"Run rate",$BI263/$BZ$8*$BZ$9,0),0))</f>
        <v>0</v>
      </c>
      <c r="BP263" t="str">
        <f t="shared" si="130"/>
        <v/>
      </c>
      <c r="CB263" cm="1">
        <f t="array" ref="CB263">IF($AW263="",0,_xlfn.LET(_xlpm.k,IFERROR(_xlfn.XLOOKUP($AW263,$CD$6:$CD$21,$CE$6:$CE$21),$AW263),SUMPRODUCT((TRIM('Makeup '!$A$2:$A$300&amp;"")=_xlpm.k)*1,IFERROR('Makeup '!$F$2:$F$300*1,0))))</f>
        <v>0</v>
      </c>
      <c r="CF263" t="str" cm="1">
        <f t="array" ref="CF263">IF($AW263="","",_xlfn.LET(_xlpm.c,IFERROR(TRIM(INDEX('Sales and count'!$B$4:$B$300,$BF263)&amp;""),""),IF(OR(_xlpm.c="",_xlpm.c="0",LEFT(_xlpm.c,1)="#"),"Not set",_xlpm.c)))</f>
        <v/>
      </c>
      <c r="CH263" cm="1">
        <f t="array" ref="CH263">IF($AW263="",0,_xlfn.LET(_xlpm.k,IFERROR(_xlfn.XLOOKUP($AW263,$CD$6:$CD$21,$CE$6:$CE$21),$AW263),--(SUMPRODUCT((TRIM('Makeup '!$A$2:$A$300&amp;"")=_xlpm.k)*ISNUMBER('Makeup '!$F$2:$F$300))&gt;0)))</f>
        <v>0</v>
      </c>
      <c r="CI263">
        <f t="shared" ref="CI263:CI302" si="133">$AR263*$CH263</f>
        <v>0</v>
      </c>
      <c r="CJ263" cm="1">
        <f t="array" ref="CJ263">IF($AW263="",0,--(SUMPRODUCT(--(TRIM(Footfall!$B$5:$B$301)=$AW263))&gt;0))</f>
        <v>0</v>
      </c>
      <c r="CK263" s="8" cm="1">
        <f t="array" ref="CK263">IF($AW263="",0,_xlfn.LET(_xlpm.r,IFERROR(MATCH(IFERROR(_xlfn.XLOOKUP($AW263,$BT$5:$BT$22,$BU$5:$BU$22),$AW263),TRIM('TY Beauty Target'!$B$5:$B$300&amp;""),0),""),IF(ISNUMBER(_xlpm.r),SUMPRODUCT(('TY Beauty Target'!$L$2:$AP$2&gt;=$U$4)*('TY Beauty Target'!$L$2:$AP$2&lt;=$U$5),INDEX('TY Beauty Target'!$L$5:$AP$300,_xlpm.r,0)),0)))</f>
        <v>0</v>
      </c>
    </row>
    <row r="264" spans="28:89" x14ac:dyDescent="0.25">
      <c r="AB264" s="40" t="str" cm="1">
        <f t="array" ref="AB264">IF($AI264="","",IF(LEFT($AI264,2)="C|",IF($C264="","",SUMPRODUCT($AP$5:$AP$302*($AO$5:$AO$302=$A264),$CK$5:$CK$302)),IF($AI264="CT",AB$13,IF(LEFT($AI264,3)="AM|",IF($C264="","",SUMPRODUCT($AP$5:$AP$302*($AN$5:$AN$302=$A264),$CK$5:$CK$302)),IF(LEFT($AI264,2)="S|",IF($AG264="","",INDEX($CK$5:$CK$302,$AH264)),IF($AI264="HDR","Makeup Target",""))))))</f>
        <v/>
      </c>
      <c r="AC264" s="41" t="str">
        <f t="shared" si="129"/>
        <v/>
      </c>
      <c r="AN264" s="8" t="str" cm="1">
        <f t="array" ref="AN264">IF($AW264="","",_xlfn.LET(_xlpm.sa,IFERROR(TRIM(INDEX('Sales and count'!$D$4:$D$300,$BF264)&amp;""),""),_xlpm.ta,IFERROR(TRIM(INDEX('TY Sales Target'!$F$5:$F$300,$BG264)&amp;""),""),IF(AND(_xlpm.sa&lt;&gt;"",LEFT(_xlpm.sa,1)&lt;&gt;"#",_xlpm.sa&lt;&gt;"0"),_xlpm.sa,IF(AND(_xlpm.ta&lt;&gt;"",LEFT(_xlpm.ta,1)&lt;&gt;"#",_xlpm.ta&lt;&gt;"0"),_xlpm.ta,IF(ISNUMBER($BG264),"Unassigned","")))))</f>
        <v/>
      </c>
      <c r="AO264" s="8" t="str" cm="1">
        <f t="array" ref="AO264">IF($AW264="","",_xlfn.LET(_xlpm.sa,IFERROR(TRIM(INDEX('Sales and count'!$C$4:$C$300,$BF264)&amp;""),""),_xlpm.ta,IFERROR(TRIM(INDEX('TY Sales Target'!$D$5:$D$300,$BG264)&amp;""),""),IF(AND(_xlpm.sa&lt;&gt;"",LEFT(_xlpm.sa,1)&lt;&gt;"#",_xlpm.sa&lt;&gt;"0"),_xlpm.sa,IF(AND(_xlpm.ta&lt;&gt;"",LEFT(_xlpm.ta,1)&lt;&gt;"#",_xlpm.ta&lt;&gt;"0"),_xlpm.ta,""))))</f>
        <v/>
      </c>
      <c r="AP264" s="8">
        <f t="shared" si="131"/>
        <v>0</v>
      </c>
      <c r="AQ264" s="8">
        <f t="shared" si="132"/>
        <v>0</v>
      </c>
      <c r="AR264" s="8" cm="1">
        <f t="array" ref="AR264">IF($BF264="",0,_xlfn.LET(_xlpm.d,IFERROR(--'Sales and count'!$G$2:$CC$2,0),SUMPRODUCT(('Sales and count'!$G$3:$CC$3="Total")*(_xlpm.d&gt;=$U$4)*(_xlpm.d&lt;=$U$5),INDEX('Sales and count'!$G$4:$CC$300,$BF264,0))))</f>
        <v>0</v>
      </c>
      <c r="AS264" s="8" cm="1">
        <f t="array" ref="AS264">IF($BF264="",0,_xlfn.LET(_xlpm.d,IFERROR(--'Sales and count'!$F$2:$CB$2,0),SUMPRODUCT(('Sales and count'!$G$3:$CC$3="Transactions")*(_xlpm.d&gt;=$U$4)*(_xlpm.d&lt;=$U$5),INDEX('Sales and count'!$G$4:$CC$300,$BF264,0))))</f>
        <v>0</v>
      </c>
      <c r="AT264" s="8" cm="1">
        <f t="array" ref="AT264">IF($AW264="",0,SUMPRODUCT((TRIM('LY Sales '!$B$5:$B$200)=$AW264)*('LY Sales '!$C$2:$AG$2&gt;=EDATE($U$4,-12))*('LY Sales '!$C$2:$AG$2&lt;=EDATE($U$5,-12)),'LY Sales '!$C$5:$AG$200))</f>
        <v>0</v>
      </c>
      <c r="AU264" s="8" cm="1">
        <f t="array" ref="AU264">IF($AW264="",0,SUMPRODUCT((TRIM('LY Transaction'!$B$5:$B$200)=$AW264)*('LY Transaction'!$C$2:$AG$2&gt;=EDATE($U$4,-12))*('LY Transaction'!$C$2:$AG$2&lt;=EDATE($U$5,-12)),'LY Transaction'!$C$5:$AG$200))</f>
        <v>0</v>
      </c>
      <c r="AV264" s="8" cm="1">
        <f t="array" ref="AV264">IF(NOT(ISNUMBER($BG264)),0,SUMPRODUCT(('TY Sales Target'!$K$2:$AO$2&gt;=$U$4)*('TY Sales Target'!$K$2:$AO$2&lt;=$U$5),INDEX('TY Sales Target'!$K$5:$AO$300,$BG264,0)))</f>
        <v>0</v>
      </c>
      <c r="AW264" s="8" t="str" cm="1">
        <f t="array" ref="AW264">IFERROR(INDEX(_xlfn.ANCHORARRAY($BR$5),ROWS($AW$5:AW264)),"")</f>
        <v/>
      </c>
      <c r="BB264" cm="1">
        <f t="array" ref="BB264">IF($AW264="",0,SUMPRODUCT((TRIM(Footfall!$B$5:$B$301)=$AW264)*(Footfall!$C$1:$BZ$1&gt;=$U$4)*(Footfall!$C$2:$BZ$2&lt;=$U$5)*(Footfall!$C$1:$BZ$1&lt;&gt;""),Footfall!$C$5:$BZ$301))</f>
        <v>0</v>
      </c>
      <c r="BC264" cm="1">
        <f t="array" ref="BC264">IF(OR($BB264&lt;=0,$BD$1="",$BF264=""),0,_xlfn.LET(_xlpm.d,IFERROR(--'Sales and count'!$F$2:$CB$2,0),SUMPRODUCT(('Sales and count'!$G$3:$CC$3="Transactions")*(_xlpm.d&gt;=$BD$1)*(_xlpm.d&lt;=$BD$2),INDEX('Sales and count'!$G$4:$CC$300,$BF264,0))))</f>
        <v>0</v>
      </c>
      <c r="BF264" t="str" cm="1">
        <f t="array" ref="BF264">IF($AW264="","",IFERROR(MATCH($AW264,TRIM('Sales and count'!$A$4:$A$300&amp;""),0),""))</f>
        <v/>
      </c>
      <c r="BG264" t="str" cm="1">
        <f t="array" ref="BG264">IF($AW264="","",IFERROR(MATCH(IFERROR(_xlfn.XLOOKUP($AW264,$BT$5:$BT$22,$BU$5:$BU$22),$AW264),TRIM('TY Sales Target'!$B$5:$B$300&amp;""),0),""))</f>
        <v/>
      </c>
      <c r="BH264" t="str" cm="1">
        <f t="array" ref="BH264">IF(ISNUMBER($BG264),_xlfn.LET(_xlpm.p,TRIM(INDEX('TY Sales Target'!$I$5:$I$300,$BG264)&amp;""),IF(_xlpm.p="","Not set",_xlpm.p)),"Not set")</f>
        <v>Not set</v>
      </c>
      <c r="BI264" cm="1">
        <f t="array" ref="BI264">IF($BF264="",0,_xlfn.LET(_xlpm.d,IFERROR(--'Sales and count'!$G$2:$CC$2,0),SUMPRODUCT(('Sales and count'!$G$3:$CC$3="Total")*(_xlpm.d&gt;=$BZ$5)*(_xlpm.d&lt;=$BZ$6),INDEX('Sales and count'!$G$4:$CC$300,$BF264,0))))</f>
        <v>0</v>
      </c>
      <c r="BJ264" cm="1">
        <f t="array" ref="BJ264">IF($AW264="",0,SUMPRODUCT((TRIM('LY Sales '!$B$5:$B$200)=$AW264)*('LY Sales '!$C$2:$AG$2&gt;=EDATE($BZ$5,-12))*('LY Sales '!$C$2:$AG$2&lt;=EDATE($BZ$6,-12)),'LY Sales '!$C$5:$AG$200))</f>
        <v>0</v>
      </c>
      <c r="BK264" cm="1">
        <f t="array" ref="BK264">IF($AW264="",0,SUMPRODUCT((TRIM('LY Sales '!$B$5:$B$200)=$AW264)*('LY Sales '!$C$2:$AG$2&gt;=EDATE($BZ$5,-12))*('LY Sales '!$C$2:$AG$2&lt;=EDATE($BZ$7,-12)),'LY Sales '!$C$5:$AG$200))</f>
        <v>0</v>
      </c>
      <c r="BL264" cm="1">
        <f t="array" ref="BL264">IF($AW264="",0,SUMPRODUCT((TRIM('LY Sales '!$B$5:$B$200)=$AW264)*('LY Sales '!$C$2:$AG$2&gt;=EDATE($BZ$5,-12))*('LY Sales '!$C$2:$AG$2&lt;=EDATE($BZ$6,-12))*('LY Sales '!$C$5:$AG$200&gt;0)))</f>
        <v>0</v>
      </c>
      <c r="BM264" cm="1">
        <f t="array" ref="BM264">IF(NOT(ISNUMBER($BG264)),0,SUMPRODUCT(('TY Sales Target'!$K$2:$AO$2&gt;=$BZ$5)*('TY Sales Target'!$K$2:$AO$2&lt;=$BZ$6),INDEX('TY Sales Target'!$K$5:$AO$300,$BG264,0)))</f>
        <v>0</v>
      </c>
      <c r="BN264" cm="1">
        <f t="array" ref="BN264">IF(NOT(ISNUMBER($BG264)),0,SUMPRODUCT(('TY Sales Target'!$K$2:$AO$2&gt;=$BZ$5)*('TY Sales Target'!$K$2:$AO$2&lt;=$BZ$7),INDEX('TY Sales Target'!$K$5:$AO$300,$BG264,0)))</f>
        <v>0</v>
      </c>
      <c r="BO264" cm="1">
        <f t="array" ref="BO264">IF($AW264="",0,IFERROR(_xlfn.SWITCH($BP264,"LY trend",$BI264*$BK264/$BJ264,"Target curve",$BI264*$BN264/$BM264,"Run rate",$BI264/$BZ$8*$BZ$9,0),0))</f>
        <v>0</v>
      </c>
      <c r="BP264" t="str">
        <f t="shared" si="130"/>
        <v/>
      </c>
      <c r="CB264" cm="1">
        <f t="array" ref="CB264">IF($AW264="",0,_xlfn.LET(_xlpm.k,IFERROR(_xlfn.XLOOKUP($AW264,$CD$6:$CD$21,$CE$6:$CE$21),$AW264),SUMPRODUCT((TRIM('Makeup '!$A$2:$A$300&amp;"")=_xlpm.k)*1,IFERROR('Makeup '!$F$2:$F$300*1,0))))</f>
        <v>0</v>
      </c>
      <c r="CF264" t="str" cm="1">
        <f t="array" ref="CF264">IF($AW264="","",_xlfn.LET(_xlpm.c,IFERROR(TRIM(INDEX('Sales and count'!$B$4:$B$300,$BF264)&amp;""),""),IF(OR(_xlpm.c="",_xlpm.c="0",LEFT(_xlpm.c,1)="#"),"Not set",_xlpm.c)))</f>
        <v/>
      </c>
      <c r="CH264" cm="1">
        <f t="array" ref="CH264">IF($AW264="",0,_xlfn.LET(_xlpm.k,IFERROR(_xlfn.XLOOKUP($AW264,$CD$6:$CD$21,$CE$6:$CE$21),$AW264),--(SUMPRODUCT((TRIM('Makeup '!$A$2:$A$300&amp;"")=_xlpm.k)*ISNUMBER('Makeup '!$F$2:$F$300))&gt;0)))</f>
        <v>0</v>
      </c>
      <c r="CI264">
        <f t="shared" si="133"/>
        <v>0</v>
      </c>
      <c r="CJ264" cm="1">
        <f t="array" ref="CJ264">IF($AW264="",0,--(SUMPRODUCT(--(TRIM(Footfall!$B$5:$B$301)=$AW264))&gt;0))</f>
        <v>0</v>
      </c>
      <c r="CK264" s="8" cm="1">
        <f t="array" ref="CK264">IF($AW264="",0,_xlfn.LET(_xlpm.r,IFERROR(MATCH(IFERROR(_xlfn.XLOOKUP($AW264,$BT$5:$BT$22,$BU$5:$BU$22),$AW264),TRIM('TY Beauty Target'!$B$5:$B$300&amp;""),0),""),IF(ISNUMBER(_xlpm.r),SUMPRODUCT(('TY Beauty Target'!$L$2:$AP$2&gt;=$U$4)*('TY Beauty Target'!$L$2:$AP$2&lt;=$U$5),INDEX('TY Beauty Target'!$L$5:$AP$300,_xlpm.r,0)),0)))</f>
        <v>0</v>
      </c>
    </row>
    <row r="265" spans="28:89" x14ac:dyDescent="0.25">
      <c r="AB265" s="40" t="str" cm="1">
        <f t="array" ref="AB265">IF($AI265="","",IF(LEFT($AI265,2)="C|",IF($C265="","",SUMPRODUCT($AP$5:$AP$302*($AO$5:$AO$302=$A265),$CK$5:$CK$302)),IF($AI265="CT",AB$13,IF(LEFT($AI265,3)="AM|",IF($C265="","",SUMPRODUCT($AP$5:$AP$302*($AN$5:$AN$302=$A265),$CK$5:$CK$302)),IF(LEFT($AI265,2)="S|",IF($AG265="","",INDEX($CK$5:$CK$302,$AH265)),IF($AI265="HDR","Makeup Target",""))))))</f>
        <v/>
      </c>
      <c r="AC265" s="41" t="str">
        <f t="shared" si="129"/>
        <v/>
      </c>
      <c r="AN265" s="8" t="str" cm="1">
        <f t="array" ref="AN265">IF($AW265="","",_xlfn.LET(_xlpm.sa,IFERROR(TRIM(INDEX('Sales and count'!$D$4:$D$300,$BF265)&amp;""),""),_xlpm.ta,IFERROR(TRIM(INDEX('TY Sales Target'!$F$5:$F$300,$BG265)&amp;""),""),IF(AND(_xlpm.sa&lt;&gt;"",LEFT(_xlpm.sa,1)&lt;&gt;"#",_xlpm.sa&lt;&gt;"0"),_xlpm.sa,IF(AND(_xlpm.ta&lt;&gt;"",LEFT(_xlpm.ta,1)&lt;&gt;"#",_xlpm.ta&lt;&gt;"0"),_xlpm.ta,IF(ISNUMBER($BG265),"Unassigned","")))))</f>
        <v/>
      </c>
      <c r="AO265" s="8" t="str" cm="1">
        <f t="array" ref="AO265">IF($AW265="","",_xlfn.LET(_xlpm.sa,IFERROR(TRIM(INDEX('Sales and count'!$C$4:$C$300,$BF265)&amp;""),""),_xlpm.ta,IFERROR(TRIM(INDEX('TY Sales Target'!$D$5:$D$300,$BG265)&amp;""),""),IF(AND(_xlpm.sa&lt;&gt;"",LEFT(_xlpm.sa,1)&lt;&gt;"#",_xlpm.sa&lt;&gt;"0"),_xlpm.sa,IF(AND(_xlpm.ta&lt;&gt;"",LEFT(_xlpm.ta,1)&lt;&gt;"#",_xlpm.ta&lt;&gt;"0"),_xlpm.ta,""))))</f>
        <v/>
      </c>
      <c r="AP265" s="8">
        <f t="shared" si="131"/>
        <v>0</v>
      </c>
      <c r="AQ265" s="8">
        <f t="shared" si="132"/>
        <v>0</v>
      </c>
      <c r="AR265" s="8" cm="1">
        <f t="array" ref="AR265">IF($BF265="",0,_xlfn.LET(_xlpm.d,IFERROR(--'Sales and count'!$G$2:$CC$2,0),SUMPRODUCT(('Sales and count'!$G$3:$CC$3="Total")*(_xlpm.d&gt;=$U$4)*(_xlpm.d&lt;=$U$5),INDEX('Sales and count'!$G$4:$CC$300,$BF265,0))))</f>
        <v>0</v>
      </c>
      <c r="AS265" s="8" cm="1">
        <f t="array" ref="AS265">IF($BF265="",0,_xlfn.LET(_xlpm.d,IFERROR(--'Sales and count'!$F$2:$CB$2,0),SUMPRODUCT(('Sales and count'!$G$3:$CC$3="Transactions")*(_xlpm.d&gt;=$U$4)*(_xlpm.d&lt;=$U$5),INDEX('Sales and count'!$G$4:$CC$300,$BF265,0))))</f>
        <v>0</v>
      </c>
      <c r="AT265" s="8" cm="1">
        <f t="array" ref="AT265">IF($AW265="",0,SUMPRODUCT((TRIM('LY Sales '!$B$5:$B$200)=$AW265)*('LY Sales '!$C$2:$AG$2&gt;=EDATE($U$4,-12))*('LY Sales '!$C$2:$AG$2&lt;=EDATE($U$5,-12)),'LY Sales '!$C$5:$AG$200))</f>
        <v>0</v>
      </c>
      <c r="AU265" s="8" cm="1">
        <f t="array" ref="AU265">IF($AW265="",0,SUMPRODUCT((TRIM('LY Transaction'!$B$5:$B$200)=$AW265)*('LY Transaction'!$C$2:$AG$2&gt;=EDATE($U$4,-12))*('LY Transaction'!$C$2:$AG$2&lt;=EDATE($U$5,-12)),'LY Transaction'!$C$5:$AG$200))</f>
        <v>0</v>
      </c>
      <c r="AV265" s="8" cm="1">
        <f t="array" ref="AV265">IF(NOT(ISNUMBER($BG265)),0,SUMPRODUCT(('TY Sales Target'!$K$2:$AO$2&gt;=$U$4)*('TY Sales Target'!$K$2:$AO$2&lt;=$U$5),INDEX('TY Sales Target'!$K$5:$AO$300,$BG265,0)))</f>
        <v>0</v>
      </c>
      <c r="AW265" s="8" t="str" cm="1">
        <f t="array" ref="AW265">IFERROR(INDEX(_xlfn.ANCHORARRAY($BR$5),ROWS($AW$5:AW265)),"")</f>
        <v/>
      </c>
      <c r="BB265" cm="1">
        <f t="array" ref="BB265">IF($AW265="",0,SUMPRODUCT((TRIM(Footfall!$B$5:$B$301)=$AW265)*(Footfall!$C$1:$BZ$1&gt;=$U$4)*(Footfall!$C$2:$BZ$2&lt;=$U$5)*(Footfall!$C$1:$BZ$1&lt;&gt;""),Footfall!$C$5:$BZ$301))</f>
        <v>0</v>
      </c>
      <c r="BC265" cm="1">
        <f t="array" ref="BC265">IF(OR($BB265&lt;=0,$BD$1="",$BF265=""),0,_xlfn.LET(_xlpm.d,IFERROR(--'Sales and count'!$F$2:$CB$2,0),SUMPRODUCT(('Sales and count'!$G$3:$CC$3="Transactions")*(_xlpm.d&gt;=$BD$1)*(_xlpm.d&lt;=$BD$2),INDEX('Sales and count'!$G$4:$CC$300,$BF265,0))))</f>
        <v>0</v>
      </c>
      <c r="BF265" t="str" cm="1">
        <f t="array" ref="BF265">IF($AW265="","",IFERROR(MATCH($AW265,TRIM('Sales and count'!$A$4:$A$300&amp;""),0),""))</f>
        <v/>
      </c>
      <c r="BG265" t="str" cm="1">
        <f t="array" ref="BG265">IF($AW265="","",IFERROR(MATCH(IFERROR(_xlfn.XLOOKUP($AW265,$BT$5:$BT$22,$BU$5:$BU$22),$AW265),TRIM('TY Sales Target'!$B$5:$B$300&amp;""),0),""))</f>
        <v/>
      </c>
      <c r="BH265" t="str" cm="1">
        <f t="array" ref="BH265">IF(ISNUMBER($BG265),_xlfn.LET(_xlpm.p,TRIM(INDEX('TY Sales Target'!$I$5:$I$300,$BG265)&amp;""),IF(_xlpm.p="","Not set",_xlpm.p)),"Not set")</f>
        <v>Not set</v>
      </c>
      <c r="BI265" cm="1">
        <f t="array" ref="BI265">IF($BF265="",0,_xlfn.LET(_xlpm.d,IFERROR(--'Sales and count'!$G$2:$CC$2,0),SUMPRODUCT(('Sales and count'!$G$3:$CC$3="Total")*(_xlpm.d&gt;=$BZ$5)*(_xlpm.d&lt;=$BZ$6),INDEX('Sales and count'!$G$4:$CC$300,$BF265,0))))</f>
        <v>0</v>
      </c>
      <c r="BJ265" cm="1">
        <f t="array" ref="BJ265">IF($AW265="",0,SUMPRODUCT((TRIM('LY Sales '!$B$5:$B$200)=$AW265)*('LY Sales '!$C$2:$AG$2&gt;=EDATE($BZ$5,-12))*('LY Sales '!$C$2:$AG$2&lt;=EDATE($BZ$6,-12)),'LY Sales '!$C$5:$AG$200))</f>
        <v>0</v>
      </c>
      <c r="BK265" cm="1">
        <f t="array" ref="BK265">IF($AW265="",0,SUMPRODUCT((TRIM('LY Sales '!$B$5:$B$200)=$AW265)*('LY Sales '!$C$2:$AG$2&gt;=EDATE($BZ$5,-12))*('LY Sales '!$C$2:$AG$2&lt;=EDATE($BZ$7,-12)),'LY Sales '!$C$5:$AG$200))</f>
        <v>0</v>
      </c>
      <c r="BL265" cm="1">
        <f t="array" ref="BL265">IF($AW265="",0,SUMPRODUCT((TRIM('LY Sales '!$B$5:$B$200)=$AW265)*('LY Sales '!$C$2:$AG$2&gt;=EDATE($BZ$5,-12))*('LY Sales '!$C$2:$AG$2&lt;=EDATE($BZ$6,-12))*('LY Sales '!$C$5:$AG$200&gt;0)))</f>
        <v>0</v>
      </c>
      <c r="BM265" cm="1">
        <f t="array" ref="BM265">IF(NOT(ISNUMBER($BG265)),0,SUMPRODUCT(('TY Sales Target'!$K$2:$AO$2&gt;=$BZ$5)*('TY Sales Target'!$K$2:$AO$2&lt;=$BZ$6),INDEX('TY Sales Target'!$K$5:$AO$300,$BG265,0)))</f>
        <v>0</v>
      </c>
      <c r="BN265" cm="1">
        <f t="array" ref="BN265">IF(NOT(ISNUMBER($BG265)),0,SUMPRODUCT(('TY Sales Target'!$K$2:$AO$2&gt;=$BZ$5)*('TY Sales Target'!$K$2:$AO$2&lt;=$BZ$7),INDEX('TY Sales Target'!$K$5:$AO$300,$BG265,0)))</f>
        <v>0</v>
      </c>
      <c r="BO265" cm="1">
        <f t="array" ref="BO265">IF($AW265="",0,IFERROR(_xlfn.SWITCH($BP265,"LY trend",$BI265*$BK265/$BJ265,"Target curve",$BI265*$BN265/$BM265,"Run rate",$BI265/$BZ$8*$BZ$9,0),0))</f>
        <v>0</v>
      </c>
      <c r="BP265" t="str">
        <f t="shared" si="130"/>
        <v/>
      </c>
      <c r="CB265" cm="1">
        <f t="array" ref="CB265">IF($AW265="",0,_xlfn.LET(_xlpm.k,IFERROR(_xlfn.XLOOKUP($AW265,$CD$6:$CD$21,$CE$6:$CE$21),$AW265),SUMPRODUCT((TRIM('Makeup '!$A$2:$A$300&amp;"")=_xlpm.k)*1,IFERROR('Makeup '!$F$2:$F$300*1,0))))</f>
        <v>0</v>
      </c>
      <c r="CF265" t="str" cm="1">
        <f t="array" ref="CF265">IF($AW265="","",_xlfn.LET(_xlpm.c,IFERROR(TRIM(INDEX('Sales and count'!$B$4:$B$300,$BF265)&amp;""),""),IF(OR(_xlpm.c="",_xlpm.c="0",LEFT(_xlpm.c,1)="#"),"Not set",_xlpm.c)))</f>
        <v/>
      </c>
      <c r="CH265" cm="1">
        <f t="array" ref="CH265">IF($AW265="",0,_xlfn.LET(_xlpm.k,IFERROR(_xlfn.XLOOKUP($AW265,$CD$6:$CD$21,$CE$6:$CE$21),$AW265),--(SUMPRODUCT((TRIM('Makeup '!$A$2:$A$300&amp;"")=_xlpm.k)*ISNUMBER('Makeup '!$F$2:$F$300))&gt;0)))</f>
        <v>0</v>
      </c>
      <c r="CI265">
        <f t="shared" si="133"/>
        <v>0</v>
      </c>
      <c r="CJ265" cm="1">
        <f t="array" ref="CJ265">IF($AW265="",0,--(SUMPRODUCT(--(TRIM(Footfall!$B$5:$B$301)=$AW265))&gt;0))</f>
        <v>0</v>
      </c>
      <c r="CK265" s="8" cm="1">
        <f t="array" ref="CK265">IF($AW265="",0,_xlfn.LET(_xlpm.r,IFERROR(MATCH(IFERROR(_xlfn.XLOOKUP($AW265,$BT$5:$BT$22,$BU$5:$BU$22),$AW265),TRIM('TY Beauty Target'!$B$5:$B$300&amp;""),0),""),IF(ISNUMBER(_xlpm.r),SUMPRODUCT(('TY Beauty Target'!$L$2:$AP$2&gt;=$U$4)*('TY Beauty Target'!$L$2:$AP$2&lt;=$U$5),INDEX('TY Beauty Target'!$L$5:$AP$300,_xlpm.r,0)),0)))</f>
        <v>0</v>
      </c>
    </row>
    <row r="266" spans="28:89" x14ac:dyDescent="0.25">
      <c r="AB266" s="40" t="str" cm="1">
        <f t="array" ref="AB266">IF($AI266="","",IF(LEFT($AI266,2)="C|",IF($C266="","",SUMPRODUCT($AP$5:$AP$302*($AO$5:$AO$302=$A266),$CK$5:$CK$302)),IF($AI266="CT",AB$13,IF(LEFT($AI266,3)="AM|",IF($C266="","",SUMPRODUCT($AP$5:$AP$302*($AN$5:$AN$302=$A266),$CK$5:$CK$302)),IF(LEFT($AI266,2)="S|",IF($AG266="","",INDEX($CK$5:$CK$302,$AH266)),IF($AI266="HDR","Makeup Target",""))))))</f>
        <v/>
      </c>
      <c r="AC266" s="41" t="str">
        <f t="shared" si="129"/>
        <v/>
      </c>
      <c r="AN266" s="8" t="str" cm="1">
        <f t="array" ref="AN266">IF($AW266="","",_xlfn.LET(_xlpm.sa,IFERROR(TRIM(INDEX('Sales and count'!$D$4:$D$300,$BF266)&amp;""),""),_xlpm.ta,IFERROR(TRIM(INDEX('TY Sales Target'!$F$5:$F$300,$BG266)&amp;""),""),IF(AND(_xlpm.sa&lt;&gt;"",LEFT(_xlpm.sa,1)&lt;&gt;"#",_xlpm.sa&lt;&gt;"0"),_xlpm.sa,IF(AND(_xlpm.ta&lt;&gt;"",LEFT(_xlpm.ta,1)&lt;&gt;"#",_xlpm.ta&lt;&gt;"0"),_xlpm.ta,IF(ISNUMBER($BG266),"Unassigned","")))))</f>
        <v/>
      </c>
      <c r="AO266" s="8" t="str" cm="1">
        <f t="array" ref="AO266">IF($AW266="","",_xlfn.LET(_xlpm.sa,IFERROR(TRIM(INDEX('Sales and count'!$C$4:$C$300,$BF266)&amp;""),""),_xlpm.ta,IFERROR(TRIM(INDEX('TY Sales Target'!$D$5:$D$300,$BG266)&amp;""),""),IF(AND(_xlpm.sa&lt;&gt;"",LEFT(_xlpm.sa,1)&lt;&gt;"#",_xlpm.sa&lt;&gt;"0"),_xlpm.sa,IF(AND(_xlpm.ta&lt;&gt;"",LEFT(_xlpm.ta,1)&lt;&gt;"#",_xlpm.ta&lt;&gt;"0"),_xlpm.ta,""))))</f>
        <v/>
      </c>
      <c r="AP266" s="8">
        <f t="shared" si="131"/>
        <v>0</v>
      </c>
      <c r="AQ266" s="8">
        <f t="shared" si="132"/>
        <v>0</v>
      </c>
      <c r="AR266" s="8" cm="1">
        <f t="array" ref="AR266">IF($BF266="",0,_xlfn.LET(_xlpm.d,IFERROR(--'Sales and count'!$G$2:$CC$2,0),SUMPRODUCT(('Sales and count'!$G$3:$CC$3="Total")*(_xlpm.d&gt;=$U$4)*(_xlpm.d&lt;=$U$5),INDEX('Sales and count'!$G$4:$CC$300,$BF266,0))))</f>
        <v>0</v>
      </c>
      <c r="AS266" s="8" cm="1">
        <f t="array" ref="AS266">IF($BF266="",0,_xlfn.LET(_xlpm.d,IFERROR(--'Sales and count'!$F$2:$CB$2,0),SUMPRODUCT(('Sales and count'!$G$3:$CC$3="Transactions")*(_xlpm.d&gt;=$U$4)*(_xlpm.d&lt;=$U$5),INDEX('Sales and count'!$G$4:$CC$300,$BF266,0))))</f>
        <v>0</v>
      </c>
      <c r="AT266" s="8" cm="1">
        <f t="array" ref="AT266">IF($AW266="",0,SUMPRODUCT((TRIM('LY Sales '!$B$5:$B$200)=$AW266)*('LY Sales '!$C$2:$AG$2&gt;=EDATE($U$4,-12))*('LY Sales '!$C$2:$AG$2&lt;=EDATE($U$5,-12)),'LY Sales '!$C$5:$AG$200))</f>
        <v>0</v>
      </c>
      <c r="AU266" s="8" cm="1">
        <f t="array" ref="AU266">IF($AW266="",0,SUMPRODUCT((TRIM('LY Transaction'!$B$5:$B$200)=$AW266)*('LY Transaction'!$C$2:$AG$2&gt;=EDATE($U$4,-12))*('LY Transaction'!$C$2:$AG$2&lt;=EDATE($U$5,-12)),'LY Transaction'!$C$5:$AG$200))</f>
        <v>0</v>
      </c>
      <c r="AV266" s="8" cm="1">
        <f t="array" ref="AV266">IF(NOT(ISNUMBER($BG266)),0,SUMPRODUCT(('TY Sales Target'!$K$2:$AO$2&gt;=$U$4)*('TY Sales Target'!$K$2:$AO$2&lt;=$U$5),INDEX('TY Sales Target'!$K$5:$AO$300,$BG266,0)))</f>
        <v>0</v>
      </c>
      <c r="AW266" s="8" t="str" cm="1">
        <f t="array" ref="AW266">IFERROR(INDEX(_xlfn.ANCHORARRAY($BR$5),ROWS($AW$5:AW266)),"")</f>
        <v/>
      </c>
      <c r="BB266" cm="1">
        <f t="array" ref="BB266">IF($AW266="",0,SUMPRODUCT((TRIM(Footfall!$B$5:$B$301)=$AW266)*(Footfall!$C$1:$BZ$1&gt;=$U$4)*(Footfall!$C$2:$BZ$2&lt;=$U$5)*(Footfall!$C$1:$BZ$1&lt;&gt;""),Footfall!$C$5:$BZ$301))</f>
        <v>0</v>
      </c>
      <c r="BC266" cm="1">
        <f t="array" ref="BC266">IF(OR($BB266&lt;=0,$BD$1="",$BF266=""),0,_xlfn.LET(_xlpm.d,IFERROR(--'Sales and count'!$F$2:$CB$2,0),SUMPRODUCT(('Sales and count'!$G$3:$CC$3="Transactions")*(_xlpm.d&gt;=$BD$1)*(_xlpm.d&lt;=$BD$2),INDEX('Sales and count'!$G$4:$CC$300,$BF266,0))))</f>
        <v>0</v>
      </c>
      <c r="BF266" t="str" cm="1">
        <f t="array" ref="BF266">IF($AW266="","",IFERROR(MATCH($AW266,TRIM('Sales and count'!$A$4:$A$300&amp;""),0),""))</f>
        <v/>
      </c>
      <c r="BG266" t="str" cm="1">
        <f t="array" ref="BG266">IF($AW266="","",IFERROR(MATCH(IFERROR(_xlfn.XLOOKUP($AW266,$BT$5:$BT$22,$BU$5:$BU$22),$AW266),TRIM('TY Sales Target'!$B$5:$B$300&amp;""),0),""))</f>
        <v/>
      </c>
      <c r="BH266" t="str" cm="1">
        <f t="array" ref="BH266">IF(ISNUMBER($BG266),_xlfn.LET(_xlpm.p,TRIM(INDEX('TY Sales Target'!$I$5:$I$300,$BG266)&amp;""),IF(_xlpm.p="","Not set",_xlpm.p)),"Not set")</f>
        <v>Not set</v>
      </c>
      <c r="BI266" cm="1">
        <f t="array" ref="BI266">IF($BF266="",0,_xlfn.LET(_xlpm.d,IFERROR(--'Sales and count'!$G$2:$CC$2,0),SUMPRODUCT(('Sales and count'!$G$3:$CC$3="Total")*(_xlpm.d&gt;=$BZ$5)*(_xlpm.d&lt;=$BZ$6),INDEX('Sales and count'!$G$4:$CC$300,$BF266,0))))</f>
        <v>0</v>
      </c>
      <c r="BJ266" cm="1">
        <f t="array" ref="BJ266">IF($AW266="",0,SUMPRODUCT((TRIM('LY Sales '!$B$5:$B$200)=$AW266)*('LY Sales '!$C$2:$AG$2&gt;=EDATE($BZ$5,-12))*('LY Sales '!$C$2:$AG$2&lt;=EDATE($BZ$6,-12)),'LY Sales '!$C$5:$AG$200))</f>
        <v>0</v>
      </c>
      <c r="BK266" cm="1">
        <f t="array" ref="BK266">IF($AW266="",0,SUMPRODUCT((TRIM('LY Sales '!$B$5:$B$200)=$AW266)*('LY Sales '!$C$2:$AG$2&gt;=EDATE($BZ$5,-12))*('LY Sales '!$C$2:$AG$2&lt;=EDATE($BZ$7,-12)),'LY Sales '!$C$5:$AG$200))</f>
        <v>0</v>
      </c>
      <c r="BL266" cm="1">
        <f t="array" ref="BL266">IF($AW266="",0,SUMPRODUCT((TRIM('LY Sales '!$B$5:$B$200)=$AW266)*('LY Sales '!$C$2:$AG$2&gt;=EDATE($BZ$5,-12))*('LY Sales '!$C$2:$AG$2&lt;=EDATE($BZ$6,-12))*('LY Sales '!$C$5:$AG$200&gt;0)))</f>
        <v>0</v>
      </c>
      <c r="BM266" cm="1">
        <f t="array" ref="BM266">IF(NOT(ISNUMBER($BG266)),0,SUMPRODUCT(('TY Sales Target'!$K$2:$AO$2&gt;=$BZ$5)*('TY Sales Target'!$K$2:$AO$2&lt;=$BZ$6),INDEX('TY Sales Target'!$K$5:$AO$300,$BG266,0)))</f>
        <v>0</v>
      </c>
      <c r="BN266" cm="1">
        <f t="array" ref="BN266">IF(NOT(ISNUMBER($BG266)),0,SUMPRODUCT(('TY Sales Target'!$K$2:$AO$2&gt;=$BZ$5)*('TY Sales Target'!$K$2:$AO$2&lt;=$BZ$7),INDEX('TY Sales Target'!$K$5:$AO$300,$BG266,0)))</f>
        <v>0</v>
      </c>
      <c r="BO266" cm="1">
        <f t="array" ref="BO266">IF($AW266="",0,IFERROR(_xlfn.SWITCH($BP266,"LY trend",$BI266*$BK266/$BJ266,"Target curve",$BI266*$BN266/$BM266,"Run rate",$BI266/$BZ$8*$BZ$9,0),0))</f>
        <v>0</v>
      </c>
      <c r="BP266" t="str">
        <f t="shared" si="130"/>
        <v/>
      </c>
      <c r="CB266" cm="1">
        <f t="array" ref="CB266">IF($AW266="",0,_xlfn.LET(_xlpm.k,IFERROR(_xlfn.XLOOKUP($AW266,$CD$6:$CD$21,$CE$6:$CE$21),$AW266),SUMPRODUCT((TRIM('Makeup '!$A$2:$A$300&amp;"")=_xlpm.k)*1,IFERROR('Makeup '!$F$2:$F$300*1,0))))</f>
        <v>0</v>
      </c>
      <c r="CF266" t="str" cm="1">
        <f t="array" ref="CF266">IF($AW266="","",_xlfn.LET(_xlpm.c,IFERROR(TRIM(INDEX('Sales and count'!$B$4:$B$300,$BF266)&amp;""),""),IF(OR(_xlpm.c="",_xlpm.c="0",LEFT(_xlpm.c,1)="#"),"Not set",_xlpm.c)))</f>
        <v/>
      </c>
      <c r="CH266" cm="1">
        <f t="array" ref="CH266">IF($AW266="",0,_xlfn.LET(_xlpm.k,IFERROR(_xlfn.XLOOKUP($AW266,$CD$6:$CD$21,$CE$6:$CE$21),$AW266),--(SUMPRODUCT((TRIM('Makeup '!$A$2:$A$300&amp;"")=_xlpm.k)*ISNUMBER('Makeup '!$F$2:$F$300))&gt;0)))</f>
        <v>0</v>
      </c>
      <c r="CI266">
        <f t="shared" si="133"/>
        <v>0</v>
      </c>
      <c r="CJ266" cm="1">
        <f t="array" ref="CJ266">IF($AW266="",0,--(SUMPRODUCT(--(TRIM(Footfall!$B$5:$B$301)=$AW266))&gt;0))</f>
        <v>0</v>
      </c>
      <c r="CK266" s="8" cm="1">
        <f t="array" ref="CK266">IF($AW266="",0,_xlfn.LET(_xlpm.r,IFERROR(MATCH(IFERROR(_xlfn.XLOOKUP($AW266,$BT$5:$BT$22,$BU$5:$BU$22),$AW266),TRIM('TY Beauty Target'!$B$5:$B$300&amp;""),0),""),IF(ISNUMBER(_xlpm.r),SUMPRODUCT(('TY Beauty Target'!$L$2:$AP$2&gt;=$U$4)*('TY Beauty Target'!$L$2:$AP$2&lt;=$U$5),INDEX('TY Beauty Target'!$L$5:$AP$300,_xlpm.r,0)),0)))</f>
        <v>0</v>
      </c>
    </row>
    <row r="267" spans="28:89" x14ac:dyDescent="0.25">
      <c r="AB267" s="40" t="str" cm="1">
        <f t="array" ref="AB267">IF($AI267="","",IF(LEFT($AI267,2)="C|",IF($C267="","",SUMPRODUCT($AP$5:$AP$302*($AO$5:$AO$302=$A267),$CK$5:$CK$302)),IF($AI267="CT",AB$13,IF(LEFT($AI267,3)="AM|",IF($C267="","",SUMPRODUCT($AP$5:$AP$302*($AN$5:$AN$302=$A267),$CK$5:$CK$302)),IF(LEFT($AI267,2)="S|",IF($AG267="","",INDEX($CK$5:$CK$302,$AH267)),IF($AI267="HDR","Makeup Target",""))))))</f>
        <v/>
      </c>
      <c r="AC267" s="41" t="str">
        <f t="shared" si="129"/>
        <v/>
      </c>
      <c r="AN267" s="8" t="str" cm="1">
        <f t="array" ref="AN267">IF($AW267="","",_xlfn.LET(_xlpm.sa,IFERROR(TRIM(INDEX('Sales and count'!$D$4:$D$300,$BF267)&amp;""),""),_xlpm.ta,IFERROR(TRIM(INDEX('TY Sales Target'!$F$5:$F$300,$BG267)&amp;""),""),IF(AND(_xlpm.sa&lt;&gt;"",LEFT(_xlpm.sa,1)&lt;&gt;"#",_xlpm.sa&lt;&gt;"0"),_xlpm.sa,IF(AND(_xlpm.ta&lt;&gt;"",LEFT(_xlpm.ta,1)&lt;&gt;"#",_xlpm.ta&lt;&gt;"0"),_xlpm.ta,IF(ISNUMBER($BG267),"Unassigned","")))))</f>
        <v/>
      </c>
      <c r="AO267" s="8" t="str" cm="1">
        <f t="array" ref="AO267">IF($AW267="","",_xlfn.LET(_xlpm.sa,IFERROR(TRIM(INDEX('Sales and count'!$C$4:$C$300,$BF267)&amp;""),""),_xlpm.ta,IFERROR(TRIM(INDEX('TY Sales Target'!$D$5:$D$300,$BG267)&amp;""),""),IF(AND(_xlpm.sa&lt;&gt;"",LEFT(_xlpm.sa,1)&lt;&gt;"#",_xlpm.sa&lt;&gt;"0"),_xlpm.sa,IF(AND(_xlpm.ta&lt;&gt;"",LEFT(_xlpm.ta,1)&lt;&gt;"#",_xlpm.ta&lt;&gt;"0"),_xlpm.ta,""))))</f>
        <v/>
      </c>
      <c r="AP267" s="8">
        <f t="shared" si="131"/>
        <v>0</v>
      </c>
      <c r="AQ267" s="8">
        <f t="shared" si="132"/>
        <v>0</v>
      </c>
      <c r="AR267" s="8" cm="1">
        <f t="array" ref="AR267">IF($BF267="",0,_xlfn.LET(_xlpm.d,IFERROR(--'Sales and count'!$G$2:$CC$2,0),SUMPRODUCT(('Sales and count'!$G$3:$CC$3="Total")*(_xlpm.d&gt;=$U$4)*(_xlpm.d&lt;=$U$5),INDEX('Sales and count'!$G$4:$CC$300,$BF267,0))))</f>
        <v>0</v>
      </c>
      <c r="AS267" s="8" cm="1">
        <f t="array" ref="AS267">IF($BF267="",0,_xlfn.LET(_xlpm.d,IFERROR(--'Sales and count'!$F$2:$CB$2,0),SUMPRODUCT(('Sales and count'!$G$3:$CC$3="Transactions")*(_xlpm.d&gt;=$U$4)*(_xlpm.d&lt;=$U$5),INDEX('Sales and count'!$G$4:$CC$300,$BF267,0))))</f>
        <v>0</v>
      </c>
      <c r="AT267" s="8" cm="1">
        <f t="array" ref="AT267">IF($AW267="",0,SUMPRODUCT((TRIM('LY Sales '!$B$5:$B$200)=$AW267)*('LY Sales '!$C$2:$AG$2&gt;=EDATE($U$4,-12))*('LY Sales '!$C$2:$AG$2&lt;=EDATE($U$5,-12)),'LY Sales '!$C$5:$AG$200))</f>
        <v>0</v>
      </c>
      <c r="AU267" s="8" cm="1">
        <f t="array" ref="AU267">IF($AW267="",0,SUMPRODUCT((TRIM('LY Transaction'!$B$5:$B$200)=$AW267)*('LY Transaction'!$C$2:$AG$2&gt;=EDATE($U$4,-12))*('LY Transaction'!$C$2:$AG$2&lt;=EDATE($U$5,-12)),'LY Transaction'!$C$5:$AG$200))</f>
        <v>0</v>
      </c>
      <c r="AV267" s="8" cm="1">
        <f t="array" ref="AV267">IF(NOT(ISNUMBER($BG267)),0,SUMPRODUCT(('TY Sales Target'!$K$2:$AO$2&gt;=$U$4)*('TY Sales Target'!$K$2:$AO$2&lt;=$U$5),INDEX('TY Sales Target'!$K$5:$AO$300,$BG267,0)))</f>
        <v>0</v>
      </c>
      <c r="AW267" s="8" t="str" cm="1">
        <f t="array" ref="AW267">IFERROR(INDEX(_xlfn.ANCHORARRAY($BR$5),ROWS($AW$5:AW267)),"")</f>
        <v/>
      </c>
      <c r="BB267" cm="1">
        <f t="array" ref="BB267">IF($AW267="",0,SUMPRODUCT((TRIM(Footfall!$B$5:$B$301)=$AW267)*(Footfall!$C$1:$BZ$1&gt;=$U$4)*(Footfall!$C$2:$BZ$2&lt;=$U$5)*(Footfall!$C$1:$BZ$1&lt;&gt;""),Footfall!$C$5:$BZ$301))</f>
        <v>0</v>
      </c>
      <c r="BC267" cm="1">
        <f t="array" ref="BC267">IF(OR($BB267&lt;=0,$BD$1="",$BF267=""),0,_xlfn.LET(_xlpm.d,IFERROR(--'Sales and count'!$F$2:$CB$2,0),SUMPRODUCT(('Sales and count'!$G$3:$CC$3="Transactions")*(_xlpm.d&gt;=$BD$1)*(_xlpm.d&lt;=$BD$2),INDEX('Sales and count'!$G$4:$CC$300,$BF267,0))))</f>
        <v>0</v>
      </c>
      <c r="BF267" t="str" cm="1">
        <f t="array" ref="BF267">IF($AW267="","",IFERROR(MATCH($AW267,TRIM('Sales and count'!$A$4:$A$300&amp;""),0),""))</f>
        <v/>
      </c>
      <c r="BG267" t="str" cm="1">
        <f t="array" ref="BG267">IF($AW267="","",IFERROR(MATCH(IFERROR(_xlfn.XLOOKUP($AW267,$BT$5:$BT$22,$BU$5:$BU$22),$AW267),TRIM('TY Sales Target'!$B$5:$B$300&amp;""),0),""))</f>
        <v/>
      </c>
      <c r="BH267" t="str" cm="1">
        <f t="array" ref="BH267">IF(ISNUMBER($BG267),_xlfn.LET(_xlpm.p,TRIM(INDEX('TY Sales Target'!$I$5:$I$300,$BG267)&amp;""),IF(_xlpm.p="","Not set",_xlpm.p)),"Not set")</f>
        <v>Not set</v>
      </c>
      <c r="BI267" cm="1">
        <f t="array" ref="BI267">IF($BF267="",0,_xlfn.LET(_xlpm.d,IFERROR(--'Sales and count'!$G$2:$CC$2,0),SUMPRODUCT(('Sales and count'!$G$3:$CC$3="Total")*(_xlpm.d&gt;=$BZ$5)*(_xlpm.d&lt;=$BZ$6),INDEX('Sales and count'!$G$4:$CC$300,$BF267,0))))</f>
        <v>0</v>
      </c>
      <c r="BJ267" cm="1">
        <f t="array" ref="BJ267">IF($AW267="",0,SUMPRODUCT((TRIM('LY Sales '!$B$5:$B$200)=$AW267)*('LY Sales '!$C$2:$AG$2&gt;=EDATE($BZ$5,-12))*('LY Sales '!$C$2:$AG$2&lt;=EDATE($BZ$6,-12)),'LY Sales '!$C$5:$AG$200))</f>
        <v>0</v>
      </c>
      <c r="BK267" cm="1">
        <f t="array" ref="BK267">IF($AW267="",0,SUMPRODUCT((TRIM('LY Sales '!$B$5:$B$200)=$AW267)*('LY Sales '!$C$2:$AG$2&gt;=EDATE($BZ$5,-12))*('LY Sales '!$C$2:$AG$2&lt;=EDATE($BZ$7,-12)),'LY Sales '!$C$5:$AG$200))</f>
        <v>0</v>
      </c>
      <c r="BL267" cm="1">
        <f t="array" ref="BL267">IF($AW267="",0,SUMPRODUCT((TRIM('LY Sales '!$B$5:$B$200)=$AW267)*('LY Sales '!$C$2:$AG$2&gt;=EDATE($BZ$5,-12))*('LY Sales '!$C$2:$AG$2&lt;=EDATE($BZ$6,-12))*('LY Sales '!$C$5:$AG$200&gt;0)))</f>
        <v>0</v>
      </c>
      <c r="BM267" cm="1">
        <f t="array" ref="BM267">IF(NOT(ISNUMBER($BG267)),0,SUMPRODUCT(('TY Sales Target'!$K$2:$AO$2&gt;=$BZ$5)*('TY Sales Target'!$K$2:$AO$2&lt;=$BZ$6),INDEX('TY Sales Target'!$K$5:$AO$300,$BG267,0)))</f>
        <v>0</v>
      </c>
      <c r="BN267" cm="1">
        <f t="array" ref="BN267">IF(NOT(ISNUMBER($BG267)),0,SUMPRODUCT(('TY Sales Target'!$K$2:$AO$2&gt;=$BZ$5)*('TY Sales Target'!$K$2:$AO$2&lt;=$BZ$7),INDEX('TY Sales Target'!$K$5:$AO$300,$BG267,0)))</f>
        <v>0</v>
      </c>
      <c r="BO267" cm="1">
        <f t="array" ref="BO267">IF($AW267="",0,IFERROR(_xlfn.SWITCH($BP267,"LY trend",$BI267*$BK267/$BJ267,"Target curve",$BI267*$BN267/$BM267,"Run rate",$BI267/$BZ$8*$BZ$9,0),0))</f>
        <v>0</v>
      </c>
      <c r="BP267" t="str">
        <f t="shared" si="130"/>
        <v/>
      </c>
      <c r="CB267" cm="1">
        <f t="array" ref="CB267">IF($AW267="",0,_xlfn.LET(_xlpm.k,IFERROR(_xlfn.XLOOKUP($AW267,$CD$6:$CD$21,$CE$6:$CE$21),$AW267),SUMPRODUCT((TRIM('Makeup '!$A$2:$A$300&amp;"")=_xlpm.k)*1,IFERROR('Makeup '!$F$2:$F$300*1,0))))</f>
        <v>0</v>
      </c>
      <c r="CF267" t="str" cm="1">
        <f t="array" ref="CF267">IF($AW267="","",_xlfn.LET(_xlpm.c,IFERROR(TRIM(INDEX('Sales and count'!$B$4:$B$300,$BF267)&amp;""),""),IF(OR(_xlpm.c="",_xlpm.c="0",LEFT(_xlpm.c,1)="#"),"Not set",_xlpm.c)))</f>
        <v/>
      </c>
      <c r="CH267" cm="1">
        <f t="array" ref="CH267">IF($AW267="",0,_xlfn.LET(_xlpm.k,IFERROR(_xlfn.XLOOKUP($AW267,$CD$6:$CD$21,$CE$6:$CE$21),$AW267),--(SUMPRODUCT((TRIM('Makeup '!$A$2:$A$300&amp;"")=_xlpm.k)*ISNUMBER('Makeup '!$F$2:$F$300))&gt;0)))</f>
        <v>0</v>
      </c>
      <c r="CI267">
        <f t="shared" si="133"/>
        <v>0</v>
      </c>
      <c r="CJ267" cm="1">
        <f t="array" ref="CJ267">IF($AW267="",0,--(SUMPRODUCT(--(TRIM(Footfall!$B$5:$B$301)=$AW267))&gt;0))</f>
        <v>0</v>
      </c>
      <c r="CK267" s="8" cm="1">
        <f t="array" ref="CK267">IF($AW267="",0,_xlfn.LET(_xlpm.r,IFERROR(MATCH(IFERROR(_xlfn.XLOOKUP($AW267,$BT$5:$BT$22,$BU$5:$BU$22),$AW267),TRIM('TY Beauty Target'!$B$5:$B$300&amp;""),0),""),IF(ISNUMBER(_xlpm.r),SUMPRODUCT(('TY Beauty Target'!$L$2:$AP$2&gt;=$U$4)*('TY Beauty Target'!$L$2:$AP$2&lt;=$U$5),INDEX('TY Beauty Target'!$L$5:$AP$300,_xlpm.r,0)),0)))</f>
        <v>0</v>
      </c>
    </row>
    <row r="268" spans="28:89" x14ac:dyDescent="0.25">
      <c r="AB268" s="40" t="str" cm="1">
        <f t="array" ref="AB268">IF($AI268="","",IF(LEFT($AI268,2)="C|",IF($C268="","",SUMPRODUCT($AP$5:$AP$302*($AO$5:$AO$302=$A268),$CK$5:$CK$302)),IF($AI268="CT",AB$13,IF(LEFT($AI268,3)="AM|",IF($C268="","",SUMPRODUCT($AP$5:$AP$302*($AN$5:$AN$302=$A268),$CK$5:$CK$302)),IF(LEFT($AI268,2)="S|",IF($AG268="","",INDEX($CK$5:$CK$302,$AH268)),IF($AI268="HDR","Makeup Target",""))))))</f>
        <v/>
      </c>
      <c r="AC268" s="41" t="str">
        <f t="shared" si="129"/>
        <v/>
      </c>
      <c r="AN268" s="8" t="str" cm="1">
        <f t="array" ref="AN268">IF($AW268="","",_xlfn.LET(_xlpm.sa,IFERROR(TRIM(INDEX('Sales and count'!$D$4:$D$300,$BF268)&amp;""),""),_xlpm.ta,IFERROR(TRIM(INDEX('TY Sales Target'!$F$5:$F$300,$BG268)&amp;""),""),IF(AND(_xlpm.sa&lt;&gt;"",LEFT(_xlpm.sa,1)&lt;&gt;"#",_xlpm.sa&lt;&gt;"0"),_xlpm.sa,IF(AND(_xlpm.ta&lt;&gt;"",LEFT(_xlpm.ta,1)&lt;&gt;"#",_xlpm.ta&lt;&gt;"0"),_xlpm.ta,IF(ISNUMBER($BG268),"Unassigned","")))))</f>
        <v/>
      </c>
      <c r="AO268" s="8" t="str" cm="1">
        <f t="array" ref="AO268">IF($AW268="","",_xlfn.LET(_xlpm.sa,IFERROR(TRIM(INDEX('Sales and count'!$C$4:$C$300,$BF268)&amp;""),""),_xlpm.ta,IFERROR(TRIM(INDEX('TY Sales Target'!$D$5:$D$300,$BG268)&amp;""),""),IF(AND(_xlpm.sa&lt;&gt;"",LEFT(_xlpm.sa,1)&lt;&gt;"#",_xlpm.sa&lt;&gt;"0"),_xlpm.sa,IF(AND(_xlpm.ta&lt;&gt;"",LEFT(_xlpm.ta,1)&lt;&gt;"#",_xlpm.ta&lt;&gt;"0"),_xlpm.ta,""))))</f>
        <v/>
      </c>
      <c r="AP268" s="8">
        <f t="shared" si="131"/>
        <v>0</v>
      </c>
      <c r="AQ268" s="8">
        <f t="shared" si="132"/>
        <v>0</v>
      </c>
      <c r="AR268" s="8" cm="1">
        <f t="array" ref="AR268">IF($BF268="",0,_xlfn.LET(_xlpm.d,IFERROR(--'Sales and count'!$G$2:$CC$2,0),SUMPRODUCT(('Sales and count'!$G$3:$CC$3="Total")*(_xlpm.d&gt;=$U$4)*(_xlpm.d&lt;=$U$5),INDEX('Sales and count'!$G$4:$CC$300,$BF268,0))))</f>
        <v>0</v>
      </c>
      <c r="AS268" s="8" cm="1">
        <f t="array" ref="AS268">IF($BF268="",0,_xlfn.LET(_xlpm.d,IFERROR(--'Sales and count'!$F$2:$CB$2,0),SUMPRODUCT(('Sales and count'!$G$3:$CC$3="Transactions")*(_xlpm.d&gt;=$U$4)*(_xlpm.d&lt;=$U$5),INDEX('Sales and count'!$G$4:$CC$300,$BF268,0))))</f>
        <v>0</v>
      </c>
      <c r="AT268" s="8" cm="1">
        <f t="array" ref="AT268">IF($AW268="",0,SUMPRODUCT((TRIM('LY Sales '!$B$5:$B$200)=$AW268)*('LY Sales '!$C$2:$AG$2&gt;=EDATE($U$4,-12))*('LY Sales '!$C$2:$AG$2&lt;=EDATE($U$5,-12)),'LY Sales '!$C$5:$AG$200))</f>
        <v>0</v>
      </c>
      <c r="AU268" s="8" cm="1">
        <f t="array" ref="AU268">IF($AW268="",0,SUMPRODUCT((TRIM('LY Transaction'!$B$5:$B$200)=$AW268)*('LY Transaction'!$C$2:$AG$2&gt;=EDATE($U$4,-12))*('LY Transaction'!$C$2:$AG$2&lt;=EDATE($U$5,-12)),'LY Transaction'!$C$5:$AG$200))</f>
        <v>0</v>
      </c>
      <c r="AV268" s="8" cm="1">
        <f t="array" ref="AV268">IF(NOT(ISNUMBER($BG268)),0,SUMPRODUCT(('TY Sales Target'!$K$2:$AO$2&gt;=$U$4)*('TY Sales Target'!$K$2:$AO$2&lt;=$U$5),INDEX('TY Sales Target'!$K$5:$AO$300,$BG268,0)))</f>
        <v>0</v>
      </c>
      <c r="AW268" s="8" t="str" cm="1">
        <f t="array" ref="AW268">IFERROR(INDEX(_xlfn.ANCHORARRAY($BR$5),ROWS($AW$5:AW268)),"")</f>
        <v/>
      </c>
      <c r="BB268" cm="1">
        <f t="array" ref="BB268">IF($AW268="",0,SUMPRODUCT((TRIM(Footfall!$B$5:$B$301)=$AW268)*(Footfall!$C$1:$BZ$1&gt;=$U$4)*(Footfall!$C$2:$BZ$2&lt;=$U$5)*(Footfall!$C$1:$BZ$1&lt;&gt;""),Footfall!$C$5:$BZ$301))</f>
        <v>0</v>
      </c>
      <c r="BC268" cm="1">
        <f t="array" ref="BC268">IF(OR($BB268&lt;=0,$BD$1="",$BF268=""),0,_xlfn.LET(_xlpm.d,IFERROR(--'Sales and count'!$F$2:$CB$2,0),SUMPRODUCT(('Sales and count'!$G$3:$CC$3="Transactions")*(_xlpm.d&gt;=$BD$1)*(_xlpm.d&lt;=$BD$2),INDEX('Sales and count'!$G$4:$CC$300,$BF268,0))))</f>
        <v>0</v>
      </c>
      <c r="BF268" t="str" cm="1">
        <f t="array" ref="BF268">IF($AW268="","",IFERROR(MATCH($AW268,TRIM('Sales and count'!$A$4:$A$300&amp;""),0),""))</f>
        <v/>
      </c>
      <c r="BG268" t="str" cm="1">
        <f t="array" ref="BG268">IF($AW268="","",IFERROR(MATCH(IFERROR(_xlfn.XLOOKUP($AW268,$BT$5:$BT$22,$BU$5:$BU$22),$AW268),TRIM('TY Sales Target'!$B$5:$B$300&amp;""),0),""))</f>
        <v/>
      </c>
      <c r="BH268" t="str" cm="1">
        <f t="array" ref="BH268">IF(ISNUMBER($BG268),_xlfn.LET(_xlpm.p,TRIM(INDEX('TY Sales Target'!$I$5:$I$300,$BG268)&amp;""),IF(_xlpm.p="","Not set",_xlpm.p)),"Not set")</f>
        <v>Not set</v>
      </c>
      <c r="BI268" cm="1">
        <f t="array" ref="BI268">IF($BF268="",0,_xlfn.LET(_xlpm.d,IFERROR(--'Sales and count'!$G$2:$CC$2,0),SUMPRODUCT(('Sales and count'!$G$3:$CC$3="Total")*(_xlpm.d&gt;=$BZ$5)*(_xlpm.d&lt;=$BZ$6),INDEX('Sales and count'!$G$4:$CC$300,$BF268,0))))</f>
        <v>0</v>
      </c>
      <c r="BJ268" cm="1">
        <f t="array" ref="BJ268">IF($AW268="",0,SUMPRODUCT((TRIM('LY Sales '!$B$5:$B$200)=$AW268)*('LY Sales '!$C$2:$AG$2&gt;=EDATE($BZ$5,-12))*('LY Sales '!$C$2:$AG$2&lt;=EDATE($BZ$6,-12)),'LY Sales '!$C$5:$AG$200))</f>
        <v>0</v>
      </c>
      <c r="BK268" cm="1">
        <f t="array" ref="BK268">IF($AW268="",0,SUMPRODUCT((TRIM('LY Sales '!$B$5:$B$200)=$AW268)*('LY Sales '!$C$2:$AG$2&gt;=EDATE($BZ$5,-12))*('LY Sales '!$C$2:$AG$2&lt;=EDATE($BZ$7,-12)),'LY Sales '!$C$5:$AG$200))</f>
        <v>0</v>
      </c>
      <c r="BL268" cm="1">
        <f t="array" ref="BL268">IF($AW268="",0,SUMPRODUCT((TRIM('LY Sales '!$B$5:$B$200)=$AW268)*('LY Sales '!$C$2:$AG$2&gt;=EDATE($BZ$5,-12))*('LY Sales '!$C$2:$AG$2&lt;=EDATE($BZ$6,-12))*('LY Sales '!$C$5:$AG$200&gt;0)))</f>
        <v>0</v>
      </c>
      <c r="BM268" cm="1">
        <f t="array" ref="BM268">IF(NOT(ISNUMBER($BG268)),0,SUMPRODUCT(('TY Sales Target'!$K$2:$AO$2&gt;=$BZ$5)*('TY Sales Target'!$K$2:$AO$2&lt;=$BZ$6),INDEX('TY Sales Target'!$K$5:$AO$300,$BG268,0)))</f>
        <v>0</v>
      </c>
      <c r="BN268" cm="1">
        <f t="array" ref="BN268">IF(NOT(ISNUMBER($BG268)),0,SUMPRODUCT(('TY Sales Target'!$K$2:$AO$2&gt;=$BZ$5)*('TY Sales Target'!$K$2:$AO$2&lt;=$BZ$7),INDEX('TY Sales Target'!$K$5:$AO$300,$BG268,0)))</f>
        <v>0</v>
      </c>
      <c r="BO268" cm="1">
        <f t="array" ref="BO268">IF($AW268="",0,IFERROR(_xlfn.SWITCH($BP268,"LY trend",$BI268*$BK268/$BJ268,"Target curve",$BI268*$BN268/$BM268,"Run rate",$BI268/$BZ$8*$BZ$9,0),0))</f>
        <v>0</v>
      </c>
      <c r="BP268" t="str">
        <f t="shared" si="130"/>
        <v/>
      </c>
      <c r="CB268" cm="1">
        <f t="array" ref="CB268">IF($AW268="",0,_xlfn.LET(_xlpm.k,IFERROR(_xlfn.XLOOKUP($AW268,$CD$6:$CD$21,$CE$6:$CE$21),$AW268),SUMPRODUCT((TRIM('Makeup '!$A$2:$A$300&amp;"")=_xlpm.k)*1,IFERROR('Makeup '!$F$2:$F$300*1,0))))</f>
        <v>0</v>
      </c>
      <c r="CF268" t="str" cm="1">
        <f t="array" ref="CF268">IF($AW268="","",_xlfn.LET(_xlpm.c,IFERROR(TRIM(INDEX('Sales and count'!$B$4:$B$300,$BF268)&amp;""),""),IF(OR(_xlpm.c="",_xlpm.c="0",LEFT(_xlpm.c,1)="#"),"Not set",_xlpm.c)))</f>
        <v/>
      </c>
      <c r="CH268" cm="1">
        <f t="array" ref="CH268">IF($AW268="",0,_xlfn.LET(_xlpm.k,IFERROR(_xlfn.XLOOKUP($AW268,$CD$6:$CD$21,$CE$6:$CE$21),$AW268),--(SUMPRODUCT((TRIM('Makeup '!$A$2:$A$300&amp;"")=_xlpm.k)*ISNUMBER('Makeup '!$F$2:$F$300))&gt;0)))</f>
        <v>0</v>
      </c>
      <c r="CI268">
        <f t="shared" si="133"/>
        <v>0</v>
      </c>
      <c r="CJ268" cm="1">
        <f t="array" ref="CJ268">IF($AW268="",0,--(SUMPRODUCT(--(TRIM(Footfall!$B$5:$B$301)=$AW268))&gt;0))</f>
        <v>0</v>
      </c>
      <c r="CK268" s="8" cm="1">
        <f t="array" ref="CK268">IF($AW268="",0,_xlfn.LET(_xlpm.r,IFERROR(MATCH(IFERROR(_xlfn.XLOOKUP($AW268,$BT$5:$BT$22,$BU$5:$BU$22),$AW268),TRIM('TY Beauty Target'!$B$5:$B$300&amp;""),0),""),IF(ISNUMBER(_xlpm.r),SUMPRODUCT(('TY Beauty Target'!$L$2:$AP$2&gt;=$U$4)*('TY Beauty Target'!$L$2:$AP$2&lt;=$U$5),INDEX('TY Beauty Target'!$L$5:$AP$300,_xlpm.r,0)),0)))</f>
        <v>0</v>
      </c>
    </row>
    <row r="269" spans="28:89" x14ac:dyDescent="0.25">
      <c r="AB269" s="40" t="str" cm="1">
        <f t="array" ref="AB269">IF($AI269="","",IF(LEFT($AI269,2)="C|",IF($C269="","",SUMPRODUCT($AP$5:$AP$302*($AO$5:$AO$302=$A269),$CK$5:$CK$302)),IF($AI269="CT",AB$13,IF(LEFT($AI269,3)="AM|",IF($C269="","",SUMPRODUCT($AP$5:$AP$302*($AN$5:$AN$302=$A269),$CK$5:$CK$302)),IF(LEFT($AI269,2)="S|",IF($AG269="","",INDEX($CK$5:$CK$302,$AH269)),IF($AI269="HDR","Makeup Target",""))))))</f>
        <v/>
      </c>
      <c r="AC269" s="41" t="str">
        <f t="shared" si="129"/>
        <v/>
      </c>
      <c r="AN269" s="8" t="str" cm="1">
        <f t="array" ref="AN269">IF($AW269="","",_xlfn.LET(_xlpm.sa,IFERROR(TRIM(INDEX('Sales and count'!$D$4:$D$300,$BF269)&amp;""),""),_xlpm.ta,IFERROR(TRIM(INDEX('TY Sales Target'!$F$5:$F$300,$BG269)&amp;""),""),IF(AND(_xlpm.sa&lt;&gt;"",LEFT(_xlpm.sa,1)&lt;&gt;"#",_xlpm.sa&lt;&gt;"0"),_xlpm.sa,IF(AND(_xlpm.ta&lt;&gt;"",LEFT(_xlpm.ta,1)&lt;&gt;"#",_xlpm.ta&lt;&gt;"0"),_xlpm.ta,IF(ISNUMBER($BG269),"Unassigned","")))))</f>
        <v/>
      </c>
      <c r="AO269" s="8" t="str" cm="1">
        <f t="array" ref="AO269">IF($AW269="","",_xlfn.LET(_xlpm.sa,IFERROR(TRIM(INDEX('Sales and count'!$C$4:$C$300,$BF269)&amp;""),""),_xlpm.ta,IFERROR(TRIM(INDEX('TY Sales Target'!$D$5:$D$300,$BG269)&amp;""),""),IF(AND(_xlpm.sa&lt;&gt;"",LEFT(_xlpm.sa,1)&lt;&gt;"#",_xlpm.sa&lt;&gt;"0"),_xlpm.sa,IF(AND(_xlpm.ta&lt;&gt;"",LEFT(_xlpm.ta,1)&lt;&gt;"#",_xlpm.ta&lt;&gt;"0"),_xlpm.ta,""))))</f>
        <v/>
      </c>
      <c r="AP269" s="8">
        <f t="shared" si="131"/>
        <v>0</v>
      </c>
      <c r="AQ269" s="8">
        <f t="shared" si="132"/>
        <v>0</v>
      </c>
      <c r="AR269" s="8" cm="1">
        <f t="array" ref="AR269">IF($BF269="",0,_xlfn.LET(_xlpm.d,IFERROR(--'Sales and count'!$G$2:$CC$2,0),SUMPRODUCT(('Sales and count'!$G$3:$CC$3="Total")*(_xlpm.d&gt;=$U$4)*(_xlpm.d&lt;=$U$5),INDEX('Sales and count'!$G$4:$CC$300,$BF269,0))))</f>
        <v>0</v>
      </c>
      <c r="AS269" s="8" cm="1">
        <f t="array" ref="AS269">IF($BF269="",0,_xlfn.LET(_xlpm.d,IFERROR(--'Sales and count'!$F$2:$CB$2,0),SUMPRODUCT(('Sales and count'!$G$3:$CC$3="Transactions")*(_xlpm.d&gt;=$U$4)*(_xlpm.d&lt;=$U$5),INDEX('Sales and count'!$G$4:$CC$300,$BF269,0))))</f>
        <v>0</v>
      </c>
      <c r="AT269" s="8" cm="1">
        <f t="array" ref="AT269">IF($AW269="",0,SUMPRODUCT((TRIM('LY Sales '!$B$5:$B$200)=$AW269)*('LY Sales '!$C$2:$AG$2&gt;=EDATE($U$4,-12))*('LY Sales '!$C$2:$AG$2&lt;=EDATE($U$5,-12)),'LY Sales '!$C$5:$AG$200))</f>
        <v>0</v>
      </c>
      <c r="AU269" s="8" cm="1">
        <f t="array" ref="AU269">IF($AW269="",0,SUMPRODUCT((TRIM('LY Transaction'!$B$5:$B$200)=$AW269)*('LY Transaction'!$C$2:$AG$2&gt;=EDATE($U$4,-12))*('LY Transaction'!$C$2:$AG$2&lt;=EDATE($U$5,-12)),'LY Transaction'!$C$5:$AG$200))</f>
        <v>0</v>
      </c>
      <c r="AV269" s="8" cm="1">
        <f t="array" ref="AV269">IF(NOT(ISNUMBER($BG269)),0,SUMPRODUCT(('TY Sales Target'!$K$2:$AO$2&gt;=$U$4)*('TY Sales Target'!$K$2:$AO$2&lt;=$U$5),INDEX('TY Sales Target'!$K$5:$AO$300,$BG269,0)))</f>
        <v>0</v>
      </c>
      <c r="AW269" s="8" t="str" cm="1">
        <f t="array" ref="AW269">IFERROR(INDEX(_xlfn.ANCHORARRAY($BR$5),ROWS($AW$5:AW269)),"")</f>
        <v/>
      </c>
      <c r="BB269" cm="1">
        <f t="array" ref="BB269">IF($AW269="",0,SUMPRODUCT((TRIM(Footfall!$B$5:$B$301)=$AW269)*(Footfall!$C$1:$BZ$1&gt;=$U$4)*(Footfall!$C$2:$BZ$2&lt;=$U$5)*(Footfall!$C$1:$BZ$1&lt;&gt;""),Footfall!$C$5:$BZ$301))</f>
        <v>0</v>
      </c>
      <c r="BC269" cm="1">
        <f t="array" ref="BC269">IF(OR($BB269&lt;=0,$BD$1="",$BF269=""),0,_xlfn.LET(_xlpm.d,IFERROR(--'Sales and count'!$F$2:$CB$2,0),SUMPRODUCT(('Sales and count'!$G$3:$CC$3="Transactions")*(_xlpm.d&gt;=$BD$1)*(_xlpm.d&lt;=$BD$2),INDEX('Sales and count'!$G$4:$CC$300,$BF269,0))))</f>
        <v>0</v>
      </c>
      <c r="BF269" t="str" cm="1">
        <f t="array" ref="BF269">IF($AW269="","",IFERROR(MATCH($AW269,TRIM('Sales and count'!$A$4:$A$300&amp;""),0),""))</f>
        <v/>
      </c>
      <c r="BG269" t="str" cm="1">
        <f t="array" ref="BG269">IF($AW269="","",IFERROR(MATCH(IFERROR(_xlfn.XLOOKUP($AW269,$BT$5:$BT$22,$BU$5:$BU$22),$AW269),TRIM('TY Sales Target'!$B$5:$B$300&amp;""),0),""))</f>
        <v/>
      </c>
      <c r="BH269" t="str" cm="1">
        <f t="array" ref="BH269">IF(ISNUMBER($BG269),_xlfn.LET(_xlpm.p,TRIM(INDEX('TY Sales Target'!$I$5:$I$300,$BG269)&amp;""),IF(_xlpm.p="","Not set",_xlpm.p)),"Not set")</f>
        <v>Not set</v>
      </c>
      <c r="BI269" cm="1">
        <f t="array" ref="BI269">IF($BF269="",0,_xlfn.LET(_xlpm.d,IFERROR(--'Sales and count'!$G$2:$CC$2,0),SUMPRODUCT(('Sales and count'!$G$3:$CC$3="Total")*(_xlpm.d&gt;=$BZ$5)*(_xlpm.d&lt;=$BZ$6),INDEX('Sales and count'!$G$4:$CC$300,$BF269,0))))</f>
        <v>0</v>
      </c>
      <c r="BJ269" cm="1">
        <f t="array" ref="BJ269">IF($AW269="",0,SUMPRODUCT((TRIM('LY Sales '!$B$5:$B$200)=$AW269)*('LY Sales '!$C$2:$AG$2&gt;=EDATE($BZ$5,-12))*('LY Sales '!$C$2:$AG$2&lt;=EDATE($BZ$6,-12)),'LY Sales '!$C$5:$AG$200))</f>
        <v>0</v>
      </c>
      <c r="BK269" cm="1">
        <f t="array" ref="BK269">IF($AW269="",0,SUMPRODUCT((TRIM('LY Sales '!$B$5:$B$200)=$AW269)*('LY Sales '!$C$2:$AG$2&gt;=EDATE($BZ$5,-12))*('LY Sales '!$C$2:$AG$2&lt;=EDATE($BZ$7,-12)),'LY Sales '!$C$5:$AG$200))</f>
        <v>0</v>
      </c>
      <c r="BL269" cm="1">
        <f t="array" ref="BL269">IF($AW269="",0,SUMPRODUCT((TRIM('LY Sales '!$B$5:$B$200)=$AW269)*('LY Sales '!$C$2:$AG$2&gt;=EDATE($BZ$5,-12))*('LY Sales '!$C$2:$AG$2&lt;=EDATE($BZ$6,-12))*('LY Sales '!$C$5:$AG$200&gt;0)))</f>
        <v>0</v>
      </c>
      <c r="BM269" cm="1">
        <f t="array" ref="BM269">IF(NOT(ISNUMBER($BG269)),0,SUMPRODUCT(('TY Sales Target'!$K$2:$AO$2&gt;=$BZ$5)*('TY Sales Target'!$K$2:$AO$2&lt;=$BZ$6),INDEX('TY Sales Target'!$K$5:$AO$300,$BG269,0)))</f>
        <v>0</v>
      </c>
      <c r="BN269" cm="1">
        <f t="array" ref="BN269">IF(NOT(ISNUMBER($BG269)),0,SUMPRODUCT(('TY Sales Target'!$K$2:$AO$2&gt;=$BZ$5)*('TY Sales Target'!$K$2:$AO$2&lt;=$BZ$7),INDEX('TY Sales Target'!$K$5:$AO$300,$BG269,0)))</f>
        <v>0</v>
      </c>
      <c r="BO269" cm="1">
        <f t="array" ref="BO269">IF($AW269="",0,IFERROR(_xlfn.SWITCH($BP269,"LY trend",$BI269*$BK269/$BJ269,"Target curve",$BI269*$BN269/$BM269,"Run rate",$BI269/$BZ$8*$BZ$9,0),0))</f>
        <v>0</v>
      </c>
      <c r="BP269" t="str">
        <f t="shared" si="130"/>
        <v/>
      </c>
      <c r="CB269" cm="1">
        <f t="array" ref="CB269">IF($AW269="",0,_xlfn.LET(_xlpm.k,IFERROR(_xlfn.XLOOKUP($AW269,$CD$6:$CD$21,$CE$6:$CE$21),$AW269),SUMPRODUCT((TRIM('Makeup '!$A$2:$A$300&amp;"")=_xlpm.k)*1,IFERROR('Makeup '!$F$2:$F$300*1,0))))</f>
        <v>0</v>
      </c>
      <c r="CF269" t="str" cm="1">
        <f t="array" ref="CF269">IF($AW269="","",_xlfn.LET(_xlpm.c,IFERROR(TRIM(INDEX('Sales and count'!$B$4:$B$300,$BF269)&amp;""),""),IF(OR(_xlpm.c="",_xlpm.c="0",LEFT(_xlpm.c,1)="#"),"Not set",_xlpm.c)))</f>
        <v/>
      </c>
      <c r="CH269" cm="1">
        <f t="array" ref="CH269">IF($AW269="",0,_xlfn.LET(_xlpm.k,IFERROR(_xlfn.XLOOKUP($AW269,$CD$6:$CD$21,$CE$6:$CE$21),$AW269),--(SUMPRODUCT((TRIM('Makeup '!$A$2:$A$300&amp;"")=_xlpm.k)*ISNUMBER('Makeup '!$F$2:$F$300))&gt;0)))</f>
        <v>0</v>
      </c>
      <c r="CI269">
        <f t="shared" si="133"/>
        <v>0</v>
      </c>
      <c r="CJ269" cm="1">
        <f t="array" ref="CJ269">IF($AW269="",0,--(SUMPRODUCT(--(TRIM(Footfall!$B$5:$B$301)=$AW269))&gt;0))</f>
        <v>0</v>
      </c>
      <c r="CK269" s="8" cm="1">
        <f t="array" ref="CK269">IF($AW269="",0,_xlfn.LET(_xlpm.r,IFERROR(MATCH(IFERROR(_xlfn.XLOOKUP($AW269,$BT$5:$BT$22,$BU$5:$BU$22),$AW269),TRIM('TY Beauty Target'!$B$5:$B$300&amp;""),0),""),IF(ISNUMBER(_xlpm.r),SUMPRODUCT(('TY Beauty Target'!$L$2:$AP$2&gt;=$U$4)*('TY Beauty Target'!$L$2:$AP$2&lt;=$U$5),INDEX('TY Beauty Target'!$L$5:$AP$300,_xlpm.r,0)),0)))</f>
        <v>0</v>
      </c>
    </row>
    <row r="270" spans="28:89" x14ac:dyDescent="0.25">
      <c r="AB270" s="40" t="str" cm="1">
        <f t="array" ref="AB270">IF($AI270="","",IF(LEFT($AI270,2)="C|",IF($C270="","",SUMPRODUCT($AP$5:$AP$302*($AO$5:$AO$302=$A270),$CK$5:$CK$302)),IF($AI270="CT",AB$13,IF(LEFT($AI270,3)="AM|",IF($C270="","",SUMPRODUCT($AP$5:$AP$302*($AN$5:$AN$302=$A270),$CK$5:$CK$302)),IF(LEFT($AI270,2)="S|",IF($AG270="","",INDEX($CK$5:$CK$302,$AH270)),IF($AI270="HDR","Makeup Target",""))))))</f>
        <v/>
      </c>
      <c r="AC270" s="41" t="str">
        <f t="shared" si="129"/>
        <v/>
      </c>
      <c r="AN270" s="8" t="str" cm="1">
        <f t="array" ref="AN270">IF($AW270="","",_xlfn.LET(_xlpm.sa,IFERROR(TRIM(INDEX('Sales and count'!$D$4:$D$300,$BF270)&amp;""),""),_xlpm.ta,IFERROR(TRIM(INDEX('TY Sales Target'!$F$5:$F$300,$BG270)&amp;""),""),IF(AND(_xlpm.sa&lt;&gt;"",LEFT(_xlpm.sa,1)&lt;&gt;"#",_xlpm.sa&lt;&gt;"0"),_xlpm.sa,IF(AND(_xlpm.ta&lt;&gt;"",LEFT(_xlpm.ta,1)&lt;&gt;"#",_xlpm.ta&lt;&gt;"0"),_xlpm.ta,IF(ISNUMBER($BG270),"Unassigned","")))))</f>
        <v/>
      </c>
      <c r="AO270" s="8" t="str" cm="1">
        <f t="array" ref="AO270">IF($AW270="","",_xlfn.LET(_xlpm.sa,IFERROR(TRIM(INDEX('Sales and count'!$C$4:$C$300,$BF270)&amp;""),""),_xlpm.ta,IFERROR(TRIM(INDEX('TY Sales Target'!$D$5:$D$300,$BG270)&amp;""),""),IF(AND(_xlpm.sa&lt;&gt;"",LEFT(_xlpm.sa,1)&lt;&gt;"#",_xlpm.sa&lt;&gt;"0"),_xlpm.sa,IF(AND(_xlpm.ta&lt;&gt;"",LEFT(_xlpm.ta,1)&lt;&gt;"#",_xlpm.ta&lt;&gt;"0"),_xlpm.ta,""))))</f>
        <v/>
      </c>
      <c r="AP270" s="8">
        <f t="shared" si="131"/>
        <v>0</v>
      </c>
      <c r="AQ270" s="8">
        <f t="shared" si="132"/>
        <v>0</v>
      </c>
      <c r="AR270" s="8" cm="1">
        <f t="array" ref="AR270">IF($BF270="",0,_xlfn.LET(_xlpm.d,IFERROR(--'Sales and count'!$G$2:$CC$2,0),SUMPRODUCT(('Sales and count'!$G$3:$CC$3="Total")*(_xlpm.d&gt;=$U$4)*(_xlpm.d&lt;=$U$5),INDEX('Sales and count'!$G$4:$CC$300,$BF270,0))))</f>
        <v>0</v>
      </c>
      <c r="AS270" s="8" cm="1">
        <f t="array" ref="AS270">IF($BF270="",0,_xlfn.LET(_xlpm.d,IFERROR(--'Sales and count'!$F$2:$CB$2,0),SUMPRODUCT(('Sales and count'!$G$3:$CC$3="Transactions")*(_xlpm.d&gt;=$U$4)*(_xlpm.d&lt;=$U$5),INDEX('Sales and count'!$G$4:$CC$300,$BF270,0))))</f>
        <v>0</v>
      </c>
      <c r="AT270" s="8" cm="1">
        <f t="array" ref="AT270">IF($AW270="",0,SUMPRODUCT((TRIM('LY Sales '!$B$5:$B$200)=$AW270)*('LY Sales '!$C$2:$AG$2&gt;=EDATE($U$4,-12))*('LY Sales '!$C$2:$AG$2&lt;=EDATE($U$5,-12)),'LY Sales '!$C$5:$AG$200))</f>
        <v>0</v>
      </c>
      <c r="AU270" s="8" cm="1">
        <f t="array" ref="AU270">IF($AW270="",0,SUMPRODUCT((TRIM('LY Transaction'!$B$5:$B$200)=$AW270)*('LY Transaction'!$C$2:$AG$2&gt;=EDATE($U$4,-12))*('LY Transaction'!$C$2:$AG$2&lt;=EDATE($U$5,-12)),'LY Transaction'!$C$5:$AG$200))</f>
        <v>0</v>
      </c>
      <c r="AV270" s="8" cm="1">
        <f t="array" ref="AV270">IF(NOT(ISNUMBER($BG270)),0,SUMPRODUCT(('TY Sales Target'!$K$2:$AO$2&gt;=$U$4)*('TY Sales Target'!$K$2:$AO$2&lt;=$U$5),INDEX('TY Sales Target'!$K$5:$AO$300,$BG270,0)))</f>
        <v>0</v>
      </c>
      <c r="AW270" s="8" t="str" cm="1">
        <f t="array" ref="AW270">IFERROR(INDEX(_xlfn.ANCHORARRAY($BR$5),ROWS($AW$5:AW270)),"")</f>
        <v/>
      </c>
      <c r="BB270" cm="1">
        <f t="array" ref="BB270">IF($AW270="",0,SUMPRODUCT((TRIM(Footfall!$B$5:$B$301)=$AW270)*(Footfall!$C$1:$BZ$1&gt;=$U$4)*(Footfall!$C$2:$BZ$2&lt;=$U$5)*(Footfall!$C$1:$BZ$1&lt;&gt;""),Footfall!$C$5:$BZ$301))</f>
        <v>0</v>
      </c>
      <c r="BC270" cm="1">
        <f t="array" ref="BC270">IF(OR($BB270&lt;=0,$BD$1="",$BF270=""),0,_xlfn.LET(_xlpm.d,IFERROR(--'Sales and count'!$F$2:$CB$2,0),SUMPRODUCT(('Sales and count'!$G$3:$CC$3="Transactions")*(_xlpm.d&gt;=$BD$1)*(_xlpm.d&lt;=$BD$2),INDEX('Sales and count'!$G$4:$CC$300,$BF270,0))))</f>
        <v>0</v>
      </c>
      <c r="BF270" t="str" cm="1">
        <f t="array" ref="BF270">IF($AW270="","",IFERROR(MATCH($AW270,TRIM('Sales and count'!$A$4:$A$300&amp;""),0),""))</f>
        <v/>
      </c>
      <c r="BG270" t="str" cm="1">
        <f t="array" ref="BG270">IF($AW270="","",IFERROR(MATCH(IFERROR(_xlfn.XLOOKUP($AW270,$BT$5:$BT$22,$BU$5:$BU$22),$AW270),TRIM('TY Sales Target'!$B$5:$B$300&amp;""),0),""))</f>
        <v/>
      </c>
      <c r="BH270" t="str" cm="1">
        <f t="array" ref="BH270">IF(ISNUMBER($BG270),_xlfn.LET(_xlpm.p,TRIM(INDEX('TY Sales Target'!$I$5:$I$300,$BG270)&amp;""),IF(_xlpm.p="","Not set",_xlpm.p)),"Not set")</f>
        <v>Not set</v>
      </c>
      <c r="BI270" cm="1">
        <f t="array" ref="BI270">IF($BF270="",0,_xlfn.LET(_xlpm.d,IFERROR(--'Sales and count'!$G$2:$CC$2,0),SUMPRODUCT(('Sales and count'!$G$3:$CC$3="Total")*(_xlpm.d&gt;=$BZ$5)*(_xlpm.d&lt;=$BZ$6),INDEX('Sales and count'!$G$4:$CC$300,$BF270,0))))</f>
        <v>0</v>
      </c>
      <c r="BJ270" cm="1">
        <f t="array" ref="BJ270">IF($AW270="",0,SUMPRODUCT((TRIM('LY Sales '!$B$5:$B$200)=$AW270)*('LY Sales '!$C$2:$AG$2&gt;=EDATE($BZ$5,-12))*('LY Sales '!$C$2:$AG$2&lt;=EDATE($BZ$6,-12)),'LY Sales '!$C$5:$AG$200))</f>
        <v>0</v>
      </c>
      <c r="BK270" cm="1">
        <f t="array" ref="BK270">IF($AW270="",0,SUMPRODUCT((TRIM('LY Sales '!$B$5:$B$200)=$AW270)*('LY Sales '!$C$2:$AG$2&gt;=EDATE($BZ$5,-12))*('LY Sales '!$C$2:$AG$2&lt;=EDATE($BZ$7,-12)),'LY Sales '!$C$5:$AG$200))</f>
        <v>0</v>
      </c>
      <c r="BL270" cm="1">
        <f t="array" ref="BL270">IF($AW270="",0,SUMPRODUCT((TRIM('LY Sales '!$B$5:$B$200)=$AW270)*('LY Sales '!$C$2:$AG$2&gt;=EDATE($BZ$5,-12))*('LY Sales '!$C$2:$AG$2&lt;=EDATE($BZ$6,-12))*('LY Sales '!$C$5:$AG$200&gt;0)))</f>
        <v>0</v>
      </c>
      <c r="BM270" cm="1">
        <f t="array" ref="BM270">IF(NOT(ISNUMBER($BG270)),0,SUMPRODUCT(('TY Sales Target'!$K$2:$AO$2&gt;=$BZ$5)*('TY Sales Target'!$K$2:$AO$2&lt;=$BZ$6),INDEX('TY Sales Target'!$K$5:$AO$300,$BG270,0)))</f>
        <v>0</v>
      </c>
      <c r="BN270" cm="1">
        <f t="array" ref="BN270">IF(NOT(ISNUMBER($BG270)),0,SUMPRODUCT(('TY Sales Target'!$K$2:$AO$2&gt;=$BZ$5)*('TY Sales Target'!$K$2:$AO$2&lt;=$BZ$7),INDEX('TY Sales Target'!$K$5:$AO$300,$BG270,0)))</f>
        <v>0</v>
      </c>
      <c r="BO270" cm="1">
        <f t="array" ref="BO270">IF($AW270="",0,IFERROR(_xlfn.SWITCH($BP270,"LY trend",$BI270*$BK270/$BJ270,"Target curve",$BI270*$BN270/$BM270,"Run rate",$BI270/$BZ$8*$BZ$9,0),0))</f>
        <v>0</v>
      </c>
      <c r="BP270" t="str">
        <f t="shared" si="130"/>
        <v/>
      </c>
      <c r="CB270" cm="1">
        <f t="array" ref="CB270">IF($AW270="",0,_xlfn.LET(_xlpm.k,IFERROR(_xlfn.XLOOKUP($AW270,$CD$6:$CD$21,$CE$6:$CE$21),$AW270),SUMPRODUCT((TRIM('Makeup '!$A$2:$A$300&amp;"")=_xlpm.k)*1,IFERROR('Makeup '!$F$2:$F$300*1,0))))</f>
        <v>0</v>
      </c>
      <c r="CF270" t="str" cm="1">
        <f t="array" ref="CF270">IF($AW270="","",_xlfn.LET(_xlpm.c,IFERROR(TRIM(INDEX('Sales and count'!$B$4:$B$300,$BF270)&amp;""),""),IF(OR(_xlpm.c="",_xlpm.c="0",LEFT(_xlpm.c,1)="#"),"Not set",_xlpm.c)))</f>
        <v/>
      </c>
      <c r="CH270" cm="1">
        <f t="array" ref="CH270">IF($AW270="",0,_xlfn.LET(_xlpm.k,IFERROR(_xlfn.XLOOKUP($AW270,$CD$6:$CD$21,$CE$6:$CE$21),$AW270),--(SUMPRODUCT((TRIM('Makeup '!$A$2:$A$300&amp;"")=_xlpm.k)*ISNUMBER('Makeup '!$F$2:$F$300))&gt;0)))</f>
        <v>0</v>
      </c>
      <c r="CI270">
        <f t="shared" si="133"/>
        <v>0</v>
      </c>
      <c r="CJ270" cm="1">
        <f t="array" ref="CJ270">IF($AW270="",0,--(SUMPRODUCT(--(TRIM(Footfall!$B$5:$B$301)=$AW270))&gt;0))</f>
        <v>0</v>
      </c>
      <c r="CK270" s="8" cm="1">
        <f t="array" ref="CK270">IF($AW270="",0,_xlfn.LET(_xlpm.r,IFERROR(MATCH(IFERROR(_xlfn.XLOOKUP($AW270,$BT$5:$BT$22,$BU$5:$BU$22),$AW270),TRIM('TY Beauty Target'!$B$5:$B$300&amp;""),0),""),IF(ISNUMBER(_xlpm.r),SUMPRODUCT(('TY Beauty Target'!$L$2:$AP$2&gt;=$U$4)*('TY Beauty Target'!$L$2:$AP$2&lt;=$U$5),INDEX('TY Beauty Target'!$L$5:$AP$300,_xlpm.r,0)),0)))</f>
        <v>0</v>
      </c>
    </row>
    <row r="271" spans="28:89" x14ac:dyDescent="0.25">
      <c r="AB271" s="40" t="str" cm="1">
        <f t="array" ref="AB271">IF($AI271="","",IF(LEFT($AI271,2)="C|",IF($C271="","",SUMPRODUCT($AP$5:$AP$302*($AO$5:$AO$302=$A271),$CK$5:$CK$302)),IF($AI271="CT",AB$13,IF(LEFT($AI271,3)="AM|",IF($C271="","",SUMPRODUCT($AP$5:$AP$302*($AN$5:$AN$302=$A271),$CK$5:$CK$302)),IF(LEFT($AI271,2)="S|",IF($AG271="","",INDEX($CK$5:$CK$302,$AH271)),IF($AI271="HDR","Makeup Target",""))))))</f>
        <v/>
      </c>
      <c r="AC271" s="41" t="str">
        <f t="shared" si="129"/>
        <v/>
      </c>
      <c r="AN271" s="8" t="str" cm="1">
        <f t="array" ref="AN271">IF($AW271="","",_xlfn.LET(_xlpm.sa,IFERROR(TRIM(INDEX('Sales and count'!$D$4:$D$300,$BF271)&amp;""),""),_xlpm.ta,IFERROR(TRIM(INDEX('TY Sales Target'!$F$5:$F$300,$BG271)&amp;""),""),IF(AND(_xlpm.sa&lt;&gt;"",LEFT(_xlpm.sa,1)&lt;&gt;"#",_xlpm.sa&lt;&gt;"0"),_xlpm.sa,IF(AND(_xlpm.ta&lt;&gt;"",LEFT(_xlpm.ta,1)&lt;&gt;"#",_xlpm.ta&lt;&gt;"0"),_xlpm.ta,IF(ISNUMBER($BG271),"Unassigned","")))))</f>
        <v/>
      </c>
      <c r="AO271" s="8" t="str" cm="1">
        <f t="array" ref="AO271">IF($AW271="","",_xlfn.LET(_xlpm.sa,IFERROR(TRIM(INDEX('Sales and count'!$C$4:$C$300,$BF271)&amp;""),""),_xlpm.ta,IFERROR(TRIM(INDEX('TY Sales Target'!$D$5:$D$300,$BG271)&amp;""),""),IF(AND(_xlpm.sa&lt;&gt;"",LEFT(_xlpm.sa,1)&lt;&gt;"#",_xlpm.sa&lt;&gt;"0"),_xlpm.sa,IF(AND(_xlpm.ta&lt;&gt;"",LEFT(_xlpm.ta,1)&lt;&gt;"#",_xlpm.ta&lt;&gt;"0"),_xlpm.ta,""))))</f>
        <v/>
      </c>
      <c r="AP271" s="8">
        <f t="shared" si="131"/>
        <v>0</v>
      </c>
      <c r="AQ271" s="8">
        <f t="shared" si="132"/>
        <v>0</v>
      </c>
      <c r="AR271" s="8" cm="1">
        <f t="array" ref="AR271">IF($BF271="",0,_xlfn.LET(_xlpm.d,IFERROR(--'Sales and count'!$G$2:$CC$2,0),SUMPRODUCT(('Sales and count'!$G$3:$CC$3="Total")*(_xlpm.d&gt;=$U$4)*(_xlpm.d&lt;=$U$5),INDEX('Sales and count'!$G$4:$CC$300,$BF271,0))))</f>
        <v>0</v>
      </c>
      <c r="AS271" s="8" cm="1">
        <f t="array" ref="AS271">IF($BF271="",0,_xlfn.LET(_xlpm.d,IFERROR(--'Sales and count'!$F$2:$CB$2,0),SUMPRODUCT(('Sales and count'!$G$3:$CC$3="Transactions")*(_xlpm.d&gt;=$U$4)*(_xlpm.d&lt;=$U$5),INDEX('Sales and count'!$G$4:$CC$300,$BF271,0))))</f>
        <v>0</v>
      </c>
      <c r="AT271" s="8" cm="1">
        <f t="array" ref="AT271">IF($AW271="",0,SUMPRODUCT((TRIM('LY Sales '!$B$5:$B$200)=$AW271)*('LY Sales '!$C$2:$AG$2&gt;=EDATE($U$4,-12))*('LY Sales '!$C$2:$AG$2&lt;=EDATE($U$5,-12)),'LY Sales '!$C$5:$AG$200))</f>
        <v>0</v>
      </c>
      <c r="AU271" s="8" cm="1">
        <f t="array" ref="AU271">IF($AW271="",0,SUMPRODUCT((TRIM('LY Transaction'!$B$5:$B$200)=$AW271)*('LY Transaction'!$C$2:$AG$2&gt;=EDATE($U$4,-12))*('LY Transaction'!$C$2:$AG$2&lt;=EDATE($U$5,-12)),'LY Transaction'!$C$5:$AG$200))</f>
        <v>0</v>
      </c>
      <c r="AV271" s="8" cm="1">
        <f t="array" ref="AV271">IF(NOT(ISNUMBER($BG271)),0,SUMPRODUCT(('TY Sales Target'!$K$2:$AO$2&gt;=$U$4)*('TY Sales Target'!$K$2:$AO$2&lt;=$U$5),INDEX('TY Sales Target'!$K$5:$AO$300,$BG271,0)))</f>
        <v>0</v>
      </c>
      <c r="AW271" s="8" t="str" cm="1">
        <f t="array" ref="AW271">IFERROR(INDEX(_xlfn.ANCHORARRAY($BR$5),ROWS($AW$5:AW271)),"")</f>
        <v/>
      </c>
      <c r="BB271" cm="1">
        <f t="array" ref="BB271">IF($AW271="",0,SUMPRODUCT((TRIM(Footfall!$B$5:$B$301)=$AW271)*(Footfall!$C$1:$BZ$1&gt;=$U$4)*(Footfall!$C$2:$BZ$2&lt;=$U$5)*(Footfall!$C$1:$BZ$1&lt;&gt;""),Footfall!$C$5:$BZ$301))</f>
        <v>0</v>
      </c>
      <c r="BC271" cm="1">
        <f t="array" ref="BC271">IF(OR($BB271&lt;=0,$BD$1="",$BF271=""),0,_xlfn.LET(_xlpm.d,IFERROR(--'Sales and count'!$F$2:$CB$2,0),SUMPRODUCT(('Sales and count'!$G$3:$CC$3="Transactions")*(_xlpm.d&gt;=$BD$1)*(_xlpm.d&lt;=$BD$2),INDEX('Sales and count'!$G$4:$CC$300,$BF271,0))))</f>
        <v>0</v>
      </c>
      <c r="BF271" t="str" cm="1">
        <f t="array" ref="BF271">IF($AW271="","",IFERROR(MATCH($AW271,TRIM('Sales and count'!$A$4:$A$300&amp;""),0),""))</f>
        <v/>
      </c>
      <c r="BG271" t="str" cm="1">
        <f t="array" ref="BG271">IF($AW271="","",IFERROR(MATCH(IFERROR(_xlfn.XLOOKUP($AW271,$BT$5:$BT$22,$BU$5:$BU$22),$AW271),TRIM('TY Sales Target'!$B$5:$B$300&amp;""),0),""))</f>
        <v/>
      </c>
      <c r="BH271" t="str" cm="1">
        <f t="array" ref="BH271">IF(ISNUMBER($BG271),_xlfn.LET(_xlpm.p,TRIM(INDEX('TY Sales Target'!$I$5:$I$300,$BG271)&amp;""),IF(_xlpm.p="","Not set",_xlpm.p)),"Not set")</f>
        <v>Not set</v>
      </c>
      <c r="BI271" cm="1">
        <f t="array" ref="BI271">IF($BF271="",0,_xlfn.LET(_xlpm.d,IFERROR(--'Sales and count'!$G$2:$CC$2,0),SUMPRODUCT(('Sales and count'!$G$3:$CC$3="Total")*(_xlpm.d&gt;=$BZ$5)*(_xlpm.d&lt;=$BZ$6),INDEX('Sales and count'!$G$4:$CC$300,$BF271,0))))</f>
        <v>0</v>
      </c>
      <c r="BJ271" cm="1">
        <f t="array" ref="BJ271">IF($AW271="",0,SUMPRODUCT((TRIM('LY Sales '!$B$5:$B$200)=$AW271)*('LY Sales '!$C$2:$AG$2&gt;=EDATE($BZ$5,-12))*('LY Sales '!$C$2:$AG$2&lt;=EDATE($BZ$6,-12)),'LY Sales '!$C$5:$AG$200))</f>
        <v>0</v>
      </c>
      <c r="BK271" cm="1">
        <f t="array" ref="BK271">IF($AW271="",0,SUMPRODUCT((TRIM('LY Sales '!$B$5:$B$200)=$AW271)*('LY Sales '!$C$2:$AG$2&gt;=EDATE($BZ$5,-12))*('LY Sales '!$C$2:$AG$2&lt;=EDATE($BZ$7,-12)),'LY Sales '!$C$5:$AG$200))</f>
        <v>0</v>
      </c>
      <c r="BL271" cm="1">
        <f t="array" ref="BL271">IF($AW271="",0,SUMPRODUCT((TRIM('LY Sales '!$B$5:$B$200)=$AW271)*('LY Sales '!$C$2:$AG$2&gt;=EDATE($BZ$5,-12))*('LY Sales '!$C$2:$AG$2&lt;=EDATE($BZ$6,-12))*('LY Sales '!$C$5:$AG$200&gt;0)))</f>
        <v>0</v>
      </c>
      <c r="BM271" cm="1">
        <f t="array" ref="BM271">IF(NOT(ISNUMBER($BG271)),0,SUMPRODUCT(('TY Sales Target'!$K$2:$AO$2&gt;=$BZ$5)*('TY Sales Target'!$K$2:$AO$2&lt;=$BZ$6),INDEX('TY Sales Target'!$K$5:$AO$300,$BG271,0)))</f>
        <v>0</v>
      </c>
      <c r="BN271" cm="1">
        <f t="array" ref="BN271">IF(NOT(ISNUMBER($BG271)),0,SUMPRODUCT(('TY Sales Target'!$K$2:$AO$2&gt;=$BZ$5)*('TY Sales Target'!$K$2:$AO$2&lt;=$BZ$7),INDEX('TY Sales Target'!$K$5:$AO$300,$BG271,0)))</f>
        <v>0</v>
      </c>
      <c r="BO271" cm="1">
        <f t="array" ref="BO271">IF($AW271="",0,IFERROR(_xlfn.SWITCH($BP271,"LY trend",$BI271*$BK271/$BJ271,"Target curve",$BI271*$BN271/$BM271,"Run rate",$BI271/$BZ$8*$BZ$9,0),0))</f>
        <v>0</v>
      </c>
      <c r="BP271" t="str">
        <f t="shared" si="130"/>
        <v/>
      </c>
      <c r="CB271" cm="1">
        <f t="array" ref="CB271">IF($AW271="",0,_xlfn.LET(_xlpm.k,IFERROR(_xlfn.XLOOKUP($AW271,$CD$6:$CD$21,$CE$6:$CE$21),$AW271),SUMPRODUCT((TRIM('Makeup '!$A$2:$A$300&amp;"")=_xlpm.k)*1,IFERROR('Makeup '!$F$2:$F$300*1,0))))</f>
        <v>0</v>
      </c>
      <c r="CF271" t="str" cm="1">
        <f t="array" ref="CF271">IF($AW271="","",_xlfn.LET(_xlpm.c,IFERROR(TRIM(INDEX('Sales and count'!$B$4:$B$300,$BF271)&amp;""),""),IF(OR(_xlpm.c="",_xlpm.c="0",LEFT(_xlpm.c,1)="#"),"Not set",_xlpm.c)))</f>
        <v/>
      </c>
      <c r="CH271" cm="1">
        <f t="array" ref="CH271">IF($AW271="",0,_xlfn.LET(_xlpm.k,IFERROR(_xlfn.XLOOKUP($AW271,$CD$6:$CD$21,$CE$6:$CE$21),$AW271),--(SUMPRODUCT((TRIM('Makeup '!$A$2:$A$300&amp;"")=_xlpm.k)*ISNUMBER('Makeup '!$F$2:$F$300))&gt;0)))</f>
        <v>0</v>
      </c>
      <c r="CI271">
        <f t="shared" si="133"/>
        <v>0</v>
      </c>
      <c r="CJ271" cm="1">
        <f t="array" ref="CJ271">IF($AW271="",0,--(SUMPRODUCT(--(TRIM(Footfall!$B$5:$B$301)=$AW271))&gt;0))</f>
        <v>0</v>
      </c>
      <c r="CK271" s="8" cm="1">
        <f t="array" ref="CK271">IF($AW271="",0,_xlfn.LET(_xlpm.r,IFERROR(MATCH(IFERROR(_xlfn.XLOOKUP($AW271,$BT$5:$BT$22,$BU$5:$BU$22),$AW271),TRIM('TY Beauty Target'!$B$5:$B$300&amp;""),0),""),IF(ISNUMBER(_xlpm.r),SUMPRODUCT(('TY Beauty Target'!$L$2:$AP$2&gt;=$U$4)*('TY Beauty Target'!$L$2:$AP$2&lt;=$U$5),INDEX('TY Beauty Target'!$L$5:$AP$300,_xlpm.r,0)),0)))</f>
        <v>0</v>
      </c>
    </row>
    <row r="272" spans="28:89" x14ac:dyDescent="0.25">
      <c r="AB272" s="40" t="str" cm="1">
        <f t="array" ref="AB272">IF($AI272="","",IF(LEFT($AI272,2)="C|",IF($C272="","",SUMPRODUCT($AP$5:$AP$302*($AO$5:$AO$302=$A272),$CK$5:$CK$302)),IF($AI272="CT",AB$13,IF(LEFT($AI272,3)="AM|",IF($C272="","",SUMPRODUCT($AP$5:$AP$302*($AN$5:$AN$302=$A272),$CK$5:$CK$302)),IF(LEFT($AI272,2)="S|",IF($AG272="","",INDEX($CK$5:$CK$302,$AH272)),IF($AI272="HDR","Makeup Target",""))))))</f>
        <v/>
      </c>
      <c r="AC272" s="41" t="str">
        <f t="shared" si="129"/>
        <v/>
      </c>
      <c r="AN272" s="8" t="str" cm="1">
        <f t="array" ref="AN272">IF($AW272="","",_xlfn.LET(_xlpm.sa,IFERROR(TRIM(INDEX('Sales and count'!$D$4:$D$300,$BF272)&amp;""),""),_xlpm.ta,IFERROR(TRIM(INDEX('TY Sales Target'!$F$5:$F$300,$BG272)&amp;""),""),IF(AND(_xlpm.sa&lt;&gt;"",LEFT(_xlpm.sa,1)&lt;&gt;"#",_xlpm.sa&lt;&gt;"0"),_xlpm.sa,IF(AND(_xlpm.ta&lt;&gt;"",LEFT(_xlpm.ta,1)&lt;&gt;"#",_xlpm.ta&lt;&gt;"0"),_xlpm.ta,IF(ISNUMBER($BG272),"Unassigned","")))))</f>
        <v/>
      </c>
      <c r="AO272" s="8" t="str" cm="1">
        <f t="array" ref="AO272">IF($AW272="","",_xlfn.LET(_xlpm.sa,IFERROR(TRIM(INDEX('Sales and count'!$C$4:$C$300,$BF272)&amp;""),""),_xlpm.ta,IFERROR(TRIM(INDEX('TY Sales Target'!$D$5:$D$300,$BG272)&amp;""),""),IF(AND(_xlpm.sa&lt;&gt;"",LEFT(_xlpm.sa,1)&lt;&gt;"#",_xlpm.sa&lt;&gt;"0"),_xlpm.sa,IF(AND(_xlpm.ta&lt;&gt;"",LEFT(_xlpm.ta,1)&lt;&gt;"#",_xlpm.ta&lt;&gt;"0"),_xlpm.ta,""))))</f>
        <v/>
      </c>
      <c r="AP272" s="8">
        <f t="shared" si="131"/>
        <v>0</v>
      </c>
      <c r="AQ272" s="8">
        <f t="shared" si="132"/>
        <v>0</v>
      </c>
      <c r="AR272" s="8" cm="1">
        <f t="array" ref="AR272">IF($BF272="",0,_xlfn.LET(_xlpm.d,IFERROR(--'Sales and count'!$G$2:$CC$2,0),SUMPRODUCT(('Sales and count'!$G$3:$CC$3="Total")*(_xlpm.d&gt;=$U$4)*(_xlpm.d&lt;=$U$5),INDEX('Sales and count'!$G$4:$CC$300,$BF272,0))))</f>
        <v>0</v>
      </c>
      <c r="AS272" s="8" cm="1">
        <f t="array" ref="AS272">IF($BF272="",0,_xlfn.LET(_xlpm.d,IFERROR(--'Sales and count'!$F$2:$CB$2,0),SUMPRODUCT(('Sales and count'!$G$3:$CC$3="Transactions")*(_xlpm.d&gt;=$U$4)*(_xlpm.d&lt;=$U$5),INDEX('Sales and count'!$G$4:$CC$300,$BF272,0))))</f>
        <v>0</v>
      </c>
      <c r="AT272" s="8" cm="1">
        <f t="array" ref="AT272">IF($AW272="",0,SUMPRODUCT((TRIM('LY Sales '!$B$5:$B$200)=$AW272)*('LY Sales '!$C$2:$AG$2&gt;=EDATE($U$4,-12))*('LY Sales '!$C$2:$AG$2&lt;=EDATE($U$5,-12)),'LY Sales '!$C$5:$AG$200))</f>
        <v>0</v>
      </c>
      <c r="AU272" s="8" cm="1">
        <f t="array" ref="AU272">IF($AW272="",0,SUMPRODUCT((TRIM('LY Transaction'!$B$5:$B$200)=$AW272)*('LY Transaction'!$C$2:$AG$2&gt;=EDATE($U$4,-12))*('LY Transaction'!$C$2:$AG$2&lt;=EDATE($U$5,-12)),'LY Transaction'!$C$5:$AG$200))</f>
        <v>0</v>
      </c>
      <c r="AV272" s="8" cm="1">
        <f t="array" ref="AV272">IF(NOT(ISNUMBER($BG272)),0,SUMPRODUCT(('TY Sales Target'!$K$2:$AO$2&gt;=$U$4)*('TY Sales Target'!$K$2:$AO$2&lt;=$U$5),INDEX('TY Sales Target'!$K$5:$AO$300,$BG272,0)))</f>
        <v>0</v>
      </c>
      <c r="AW272" s="8" t="str" cm="1">
        <f t="array" ref="AW272">IFERROR(INDEX(_xlfn.ANCHORARRAY($BR$5),ROWS($AW$5:AW272)),"")</f>
        <v/>
      </c>
      <c r="BB272" cm="1">
        <f t="array" ref="BB272">IF($AW272="",0,SUMPRODUCT((TRIM(Footfall!$B$5:$B$301)=$AW272)*(Footfall!$C$1:$BZ$1&gt;=$U$4)*(Footfall!$C$2:$BZ$2&lt;=$U$5)*(Footfall!$C$1:$BZ$1&lt;&gt;""),Footfall!$C$5:$BZ$301))</f>
        <v>0</v>
      </c>
      <c r="BC272" cm="1">
        <f t="array" ref="BC272">IF(OR($BB272&lt;=0,$BD$1="",$BF272=""),0,_xlfn.LET(_xlpm.d,IFERROR(--'Sales and count'!$F$2:$CB$2,0),SUMPRODUCT(('Sales and count'!$G$3:$CC$3="Transactions")*(_xlpm.d&gt;=$BD$1)*(_xlpm.d&lt;=$BD$2),INDEX('Sales and count'!$G$4:$CC$300,$BF272,0))))</f>
        <v>0</v>
      </c>
      <c r="BF272" t="str" cm="1">
        <f t="array" ref="BF272">IF($AW272="","",IFERROR(MATCH($AW272,TRIM('Sales and count'!$A$4:$A$300&amp;""),0),""))</f>
        <v/>
      </c>
      <c r="BG272" t="str" cm="1">
        <f t="array" ref="BG272">IF($AW272="","",IFERROR(MATCH(IFERROR(_xlfn.XLOOKUP($AW272,$BT$5:$BT$22,$BU$5:$BU$22),$AW272),TRIM('TY Sales Target'!$B$5:$B$300&amp;""),0),""))</f>
        <v/>
      </c>
      <c r="BH272" t="str" cm="1">
        <f t="array" ref="BH272">IF(ISNUMBER($BG272),_xlfn.LET(_xlpm.p,TRIM(INDEX('TY Sales Target'!$I$5:$I$300,$BG272)&amp;""),IF(_xlpm.p="","Not set",_xlpm.p)),"Not set")</f>
        <v>Not set</v>
      </c>
      <c r="BI272" cm="1">
        <f t="array" ref="BI272">IF($BF272="",0,_xlfn.LET(_xlpm.d,IFERROR(--'Sales and count'!$G$2:$CC$2,0),SUMPRODUCT(('Sales and count'!$G$3:$CC$3="Total")*(_xlpm.d&gt;=$BZ$5)*(_xlpm.d&lt;=$BZ$6),INDEX('Sales and count'!$G$4:$CC$300,$BF272,0))))</f>
        <v>0</v>
      </c>
      <c r="BJ272" cm="1">
        <f t="array" ref="BJ272">IF($AW272="",0,SUMPRODUCT((TRIM('LY Sales '!$B$5:$B$200)=$AW272)*('LY Sales '!$C$2:$AG$2&gt;=EDATE($BZ$5,-12))*('LY Sales '!$C$2:$AG$2&lt;=EDATE($BZ$6,-12)),'LY Sales '!$C$5:$AG$200))</f>
        <v>0</v>
      </c>
      <c r="BK272" cm="1">
        <f t="array" ref="BK272">IF($AW272="",0,SUMPRODUCT((TRIM('LY Sales '!$B$5:$B$200)=$AW272)*('LY Sales '!$C$2:$AG$2&gt;=EDATE($BZ$5,-12))*('LY Sales '!$C$2:$AG$2&lt;=EDATE($BZ$7,-12)),'LY Sales '!$C$5:$AG$200))</f>
        <v>0</v>
      </c>
      <c r="BL272" cm="1">
        <f t="array" ref="BL272">IF($AW272="",0,SUMPRODUCT((TRIM('LY Sales '!$B$5:$B$200)=$AW272)*('LY Sales '!$C$2:$AG$2&gt;=EDATE($BZ$5,-12))*('LY Sales '!$C$2:$AG$2&lt;=EDATE($BZ$6,-12))*('LY Sales '!$C$5:$AG$200&gt;0)))</f>
        <v>0</v>
      </c>
      <c r="BM272" cm="1">
        <f t="array" ref="BM272">IF(NOT(ISNUMBER($BG272)),0,SUMPRODUCT(('TY Sales Target'!$K$2:$AO$2&gt;=$BZ$5)*('TY Sales Target'!$K$2:$AO$2&lt;=$BZ$6),INDEX('TY Sales Target'!$K$5:$AO$300,$BG272,0)))</f>
        <v>0</v>
      </c>
      <c r="BN272" cm="1">
        <f t="array" ref="BN272">IF(NOT(ISNUMBER($BG272)),0,SUMPRODUCT(('TY Sales Target'!$K$2:$AO$2&gt;=$BZ$5)*('TY Sales Target'!$K$2:$AO$2&lt;=$BZ$7),INDEX('TY Sales Target'!$K$5:$AO$300,$BG272,0)))</f>
        <v>0</v>
      </c>
      <c r="BO272" cm="1">
        <f t="array" ref="BO272">IF($AW272="",0,IFERROR(_xlfn.SWITCH($BP272,"LY trend",$BI272*$BK272/$BJ272,"Target curve",$BI272*$BN272/$BM272,"Run rate",$BI272/$BZ$8*$BZ$9,0),0))</f>
        <v>0</v>
      </c>
      <c r="BP272" t="str">
        <f t="shared" si="130"/>
        <v/>
      </c>
      <c r="CB272" cm="1">
        <f t="array" ref="CB272">IF($AW272="",0,_xlfn.LET(_xlpm.k,IFERROR(_xlfn.XLOOKUP($AW272,$CD$6:$CD$21,$CE$6:$CE$21),$AW272),SUMPRODUCT((TRIM('Makeup '!$A$2:$A$300&amp;"")=_xlpm.k)*1,IFERROR('Makeup '!$F$2:$F$300*1,0))))</f>
        <v>0</v>
      </c>
      <c r="CF272" t="str" cm="1">
        <f t="array" ref="CF272">IF($AW272="","",_xlfn.LET(_xlpm.c,IFERROR(TRIM(INDEX('Sales and count'!$B$4:$B$300,$BF272)&amp;""),""),IF(OR(_xlpm.c="",_xlpm.c="0",LEFT(_xlpm.c,1)="#"),"Not set",_xlpm.c)))</f>
        <v/>
      </c>
      <c r="CH272" cm="1">
        <f t="array" ref="CH272">IF($AW272="",0,_xlfn.LET(_xlpm.k,IFERROR(_xlfn.XLOOKUP($AW272,$CD$6:$CD$21,$CE$6:$CE$21),$AW272),--(SUMPRODUCT((TRIM('Makeup '!$A$2:$A$300&amp;"")=_xlpm.k)*ISNUMBER('Makeup '!$F$2:$F$300))&gt;0)))</f>
        <v>0</v>
      </c>
      <c r="CI272">
        <f t="shared" si="133"/>
        <v>0</v>
      </c>
      <c r="CJ272" cm="1">
        <f t="array" ref="CJ272">IF($AW272="",0,--(SUMPRODUCT(--(TRIM(Footfall!$B$5:$B$301)=$AW272))&gt;0))</f>
        <v>0</v>
      </c>
      <c r="CK272" s="8" cm="1">
        <f t="array" ref="CK272">IF($AW272="",0,_xlfn.LET(_xlpm.r,IFERROR(MATCH(IFERROR(_xlfn.XLOOKUP($AW272,$BT$5:$BT$22,$BU$5:$BU$22),$AW272),TRIM('TY Beauty Target'!$B$5:$B$300&amp;""),0),""),IF(ISNUMBER(_xlpm.r),SUMPRODUCT(('TY Beauty Target'!$L$2:$AP$2&gt;=$U$4)*('TY Beauty Target'!$L$2:$AP$2&lt;=$U$5),INDEX('TY Beauty Target'!$L$5:$AP$300,_xlpm.r,0)),0)))</f>
        <v>0</v>
      </c>
    </row>
    <row r="273" spans="28:89" x14ac:dyDescent="0.25">
      <c r="AB273" s="40" t="str" cm="1">
        <f t="array" ref="AB273">IF($AI273="","",IF(LEFT($AI273,2)="C|",IF($C273="","",SUMPRODUCT($AP$5:$AP$302*($AO$5:$AO$302=$A273),$CK$5:$CK$302)),IF($AI273="CT",AB$13,IF(LEFT($AI273,3)="AM|",IF($C273="","",SUMPRODUCT($AP$5:$AP$302*($AN$5:$AN$302=$A273),$CK$5:$CK$302)),IF(LEFT($AI273,2)="S|",IF($AG273="","",INDEX($CK$5:$CK$302,$AH273)),IF($AI273="HDR","Makeup Target",""))))))</f>
        <v/>
      </c>
      <c r="AC273" s="41" t="str">
        <f t="shared" si="129"/>
        <v/>
      </c>
      <c r="AN273" s="8" t="str" cm="1">
        <f t="array" ref="AN273">IF($AW273="","",_xlfn.LET(_xlpm.sa,IFERROR(TRIM(INDEX('Sales and count'!$D$4:$D$300,$BF273)&amp;""),""),_xlpm.ta,IFERROR(TRIM(INDEX('TY Sales Target'!$F$5:$F$300,$BG273)&amp;""),""),IF(AND(_xlpm.sa&lt;&gt;"",LEFT(_xlpm.sa,1)&lt;&gt;"#",_xlpm.sa&lt;&gt;"0"),_xlpm.sa,IF(AND(_xlpm.ta&lt;&gt;"",LEFT(_xlpm.ta,1)&lt;&gt;"#",_xlpm.ta&lt;&gt;"0"),_xlpm.ta,IF(ISNUMBER($BG273),"Unassigned","")))))</f>
        <v/>
      </c>
      <c r="AO273" s="8" t="str" cm="1">
        <f t="array" ref="AO273">IF($AW273="","",_xlfn.LET(_xlpm.sa,IFERROR(TRIM(INDEX('Sales and count'!$C$4:$C$300,$BF273)&amp;""),""),_xlpm.ta,IFERROR(TRIM(INDEX('TY Sales Target'!$D$5:$D$300,$BG273)&amp;""),""),IF(AND(_xlpm.sa&lt;&gt;"",LEFT(_xlpm.sa,1)&lt;&gt;"#",_xlpm.sa&lt;&gt;"0"),_xlpm.sa,IF(AND(_xlpm.ta&lt;&gt;"",LEFT(_xlpm.ta,1)&lt;&gt;"#",_xlpm.ta&lt;&gt;"0"),_xlpm.ta,""))))</f>
        <v/>
      </c>
      <c r="AP273" s="8">
        <f t="shared" si="131"/>
        <v>0</v>
      </c>
      <c r="AQ273" s="8">
        <f t="shared" si="132"/>
        <v>0</v>
      </c>
      <c r="AR273" s="8" cm="1">
        <f t="array" ref="AR273">IF($BF273="",0,_xlfn.LET(_xlpm.d,IFERROR(--'Sales and count'!$G$2:$CC$2,0),SUMPRODUCT(('Sales and count'!$G$3:$CC$3="Total")*(_xlpm.d&gt;=$U$4)*(_xlpm.d&lt;=$U$5),INDEX('Sales and count'!$G$4:$CC$300,$BF273,0))))</f>
        <v>0</v>
      </c>
      <c r="AS273" s="8" cm="1">
        <f t="array" ref="AS273">IF($BF273="",0,_xlfn.LET(_xlpm.d,IFERROR(--'Sales and count'!$F$2:$CB$2,0),SUMPRODUCT(('Sales and count'!$G$3:$CC$3="Transactions")*(_xlpm.d&gt;=$U$4)*(_xlpm.d&lt;=$U$5),INDEX('Sales and count'!$G$4:$CC$300,$BF273,0))))</f>
        <v>0</v>
      </c>
      <c r="AT273" s="8" cm="1">
        <f t="array" ref="AT273">IF($AW273="",0,SUMPRODUCT((TRIM('LY Sales '!$B$5:$B$200)=$AW273)*('LY Sales '!$C$2:$AG$2&gt;=EDATE($U$4,-12))*('LY Sales '!$C$2:$AG$2&lt;=EDATE($U$5,-12)),'LY Sales '!$C$5:$AG$200))</f>
        <v>0</v>
      </c>
      <c r="AU273" s="8" cm="1">
        <f t="array" ref="AU273">IF($AW273="",0,SUMPRODUCT((TRIM('LY Transaction'!$B$5:$B$200)=$AW273)*('LY Transaction'!$C$2:$AG$2&gt;=EDATE($U$4,-12))*('LY Transaction'!$C$2:$AG$2&lt;=EDATE($U$5,-12)),'LY Transaction'!$C$5:$AG$200))</f>
        <v>0</v>
      </c>
      <c r="AV273" s="8" cm="1">
        <f t="array" ref="AV273">IF(NOT(ISNUMBER($BG273)),0,SUMPRODUCT(('TY Sales Target'!$K$2:$AO$2&gt;=$U$4)*('TY Sales Target'!$K$2:$AO$2&lt;=$U$5),INDEX('TY Sales Target'!$K$5:$AO$300,$BG273,0)))</f>
        <v>0</v>
      </c>
      <c r="AW273" s="8" t="str" cm="1">
        <f t="array" ref="AW273">IFERROR(INDEX(_xlfn.ANCHORARRAY($BR$5),ROWS($AW$5:AW273)),"")</f>
        <v/>
      </c>
      <c r="BB273" cm="1">
        <f t="array" ref="BB273">IF($AW273="",0,SUMPRODUCT((TRIM(Footfall!$B$5:$B$301)=$AW273)*(Footfall!$C$1:$BZ$1&gt;=$U$4)*(Footfall!$C$2:$BZ$2&lt;=$U$5)*(Footfall!$C$1:$BZ$1&lt;&gt;""),Footfall!$C$5:$BZ$301))</f>
        <v>0</v>
      </c>
      <c r="BC273" cm="1">
        <f t="array" ref="BC273">IF(OR($BB273&lt;=0,$BD$1="",$BF273=""),0,_xlfn.LET(_xlpm.d,IFERROR(--'Sales and count'!$F$2:$CB$2,0),SUMPRODUCT(('Sales and count'!$G$3:$CC$3="Transactions")*(_xlpm.d&gt;=$BD$1)*(_xlpm.d&lt;=$BD$2),INDEX('Sales and count'!$G$4:$CC$300,$BF273,0))))</f>
        <v>0</v>
      </c>
      <c r="BF273" t="str" cm="1">
        <f t="array" ref="BF273">IF($AW273="","",IFERROR(MATCH($AW273,TRIM('Sales and count'!$A$4:$A$300&amp;""),0),""))</f>
        <v/>
      </c>
      <c r="BG273" t="str" cm="1">
        <f t="array" ref="BG273">IF($AW273="","",IFERROR(MATCH(IFERROR(_xlfn.XLOOKUP($AW273,$BT$5:$BT$22,$BU$5:$BU$22),$AW273),TRIM('TY Sales Target'!$B$5:$B$300&amp;""),0),""))</f>
        <v/>
      </c>
      <c r="BH273" t="str" cm="1">
        <f t="array" ref="BH273">IF(ISNUMBER($BG273),_xlfn.LET(_xlpm.p,TRIM(INDEX('TY Sales Target'!$I$5:$I$300,$BG273)&amp;""),IF(_xlpm.p="","Not set",_xlpm.p)),"Not set")</f>
        <v>Not set</v>
      </c>
      <c r="BI273" cm="1">
        <f t="array" ref="BI273">IF($BF273="",0,_xlfn.LET(_xlpm.d,IFERROR(--'Sales and count'!$G$2:$CC$2,0),SUMPRODUCT(('Sales and count'!$G$3:$CC$3="Total")*(_xlpm.d&gt;=$BZ$5)*(_xlpm.d&lt;=$BZ$6),INDEX('Sales and count'!$G$4:$CC$300,$BF273,0))))</f>
        <v>0</v>
      </c>
      <c r="BJ273" cm="1">
        <f t="array" ref="BJ273">IF($AW273="",0,SUMPRODUCT((TRIM('LY Sales '!$B$5:$B$200)=$AW273)*('LY Sales '!$C$2:$AG$2&gt;=EDATE($BZ$5,-12))*('LY Sales '!$C$2:$AG$2&lt;=EDATE($BZ$6,-12)),'LY Sales '!$C$5:$AG$200))</f>
        <v>0</v>
      </c>
      <c r="BK273" cm="1">
        <f t="array" ref="BK273">IF($AW273="",0,SUMPRODUCT((TRIM('LY Sales '!$B$5:$B$200)=$AW273)*('LY Sales '!$C$2:$AG$2&gt;=EDATE($BZ$5,-12))*('LY Sales '!$C$2:$AG$2&lt;=EDATE($BZ$7,-12)),'LY Sales '!$C$5:$AG$200))</f>
        <v>0</v>
      </c>
      <c r="BL273" cm="1">
        <f t="array" ref="BL273">IF($AW273="",0,SUMPRODUCT((TRIM('LY Sales '!$B$5:$B$200)=$AW273)*('LY Sales '!$C$2:$AG$2&gt;=EDATE($BZ$5,-12))*('LY Sales '!$C$2:$AG$2&lt;=EDATE($BZ$6,-12))*('LY Sales '!$C$5:$AG$200&gt;0)))</f>
        <v>0</v>
      </c>
      <c r="BM273" cm="1">
        <f t="array" ref="BM273">IF(NOT(ISNUMBER($BG273)),0,SUMPRODUCT(('TY Sales Target'!$K$2:$AO$2&gt;=$BZ$5)*('TY Sales Target'!$K$2:$AO$2&lt;=$BZ$6),INDEX('TY Sales Target'!$K$5:$AO$300,$BG273,0)))</f>
        <v>0</v>
      </c>
      <c r="BN273" cm="1">
        <f t="array" ref="BN273">IF(NOT(ISNUMBER($BG273)),0,SUMPRODUCT(('TY Sales Target'!$K$2:$AO$2&gt;=$BZ$5)*('TY Sales Target'!$K$2:$AO$2&lt;=$BZ$7),INDEX('TY Sales Target'!$K$5:$AO$300,$BG273,0)))</f>
        <v>0</v>
      </c>
      <c r="BO273" cm="1">
        <f t="array" ref="BO273">IF($AW273="",0,IFERROR(_xlfn.SWITCH($BP273,"LY trend",$BI273*$BK273/$BJ273,"Target curve",$BI273*$BN273/$BM273,"Run rate",$BI273/$BZ$8*$BZ$9,0),0))</f>
        <v>0</v>
      </c>
      <c r="BP273" t="str">
        <f t="shared" si="130"/>
        <v/>
      </c>
      <c r="CB273" cm="1">
        <f t="array" ref="CB273">IF($AW273="",0,_xlfn.LET(_xlpm.k,IFERROR(_xlfn.XLOOKUP($AW273,$CD$6:$CD$21,$CE$6:$CE$21),$AW273),SUMPRODUCT((TRIM('Makeup '!$A$2:$A$300&amp;"")=_xlpm.k)*1,IFERROR('Makeup '!$F$2:$F$300*1,0))))</f>
        <v>0</v>
      </c>
      <c r="CF273" t="str" cm="1">
        <f t="array" ref="CF273">IF($AW273="","",_xlfn.LET(_xlpm.c,IFERROR(TRIM(INDEX('Sales and count'!$B$4:$B$300,$BF273)&amp;""),""),IF(OR(_xlpm.c="",_xlpm.c="0",LEFT(_xlpm.c,1)="#"),"Not set",_xlpm.c)))</f>
        <v/>
      </c>
      <c r="CH273" cm="1">
        <f t="array" ref="CH273">IF($AW273="",0,_xlfn.LET(_xlpm.k,IFERROR(_xlfn.XLOOKUP($AW273,$CD$6:$CD$21,$CE$6:$CE$21),$AW273),--(SUMPRODUCT((TRIM('Makeup '!$A$2:$A$300&amp;"")=_xlpm.k)*ISNUMBER('Makeup '!$F$2:$F$300))&gt;0)))</f>
        <v>0</v>
      </c>
      <c r="CI273">
        <f t="shared" si="133"/>
        <v>0</v>
      </c>
      <c r="CJ273" cm="1">
        <f t="array" ref="CJ273">IF($AW273="",0,--(SUMPRODUCT(--(TRIM(Footfall!$B$5:$B$301)=$AW273))&gt;0))</f>
        <v>0</v>
      </c>
      <c r="CK273" s="8" cm="1">
        <f t="array" ref="CK273">IF($AW273="",0,_xlfn.LET(_xlpm.r,IFERROR(MATCH(IFERROR(_xlfn.XLOOKUP($AW273,$BT$5:$BT$22,$BU$5:$BU$22),$AW273),TRIM('TY Beauty Target'!$B$5:$B$300&amp;""),0),""),IF(ISNUMBER(_xlpm.r),SUMPRODUCT(('TY Beauty Target'!$L$2:$AP$2&gt;=$U$4)*('TY Beauty Target'!$L$2:$AP$2&lt;=$U$5),INDEX('TY Beauty Target'!$L$5:$AP$300,_xlpm.r,0)),0)))</f>
        <v>0</v>
      </c>
    </row>
    <row r="274" spans="28:89" x14ac:dyDescent="0.25">
      <c r="AB274" s="40" t="str" cm="1">
        <f t="array" ref="AB274">IF($AI274="","",IF(LEFT($AI274,2)="C|",IF($C274="","",SUMPRODUCT($AP$5:$AP$302*($AO$5:$AO$302=$A274),$CK$5:$CK$302)),IF($AI274="CT",AB$13,IF(LEFT($AI274,3)="AM|",IF($C274="","",SUMPRODUCT($AP$5:$AP$302*($AN$5:$AN$302=$A274),$CK$5:$CK$302)),IF(LEFT($AI274,2)="S|",IF($AG274="","",INDEX($CK$5:$CK$302,$AH274)),IF($AI274="HDR","Makeup Target",""))))))</f>
        <v/>
      </c>
      <c r="AC274" s="41" t="str">
        <f t="shared" si="129"/>
        <v/>
      </c>
      <c r="AN274" s="8" t="str" cm="1">
        <f t="array" ref="AN274">IF($AW274="","",_xlfn.LET(_xlpm.sa,IFERROR(TRIM(INDEX('Sales and count'!$D$4:$D$300,$BF274)&amp;""),""),_xlpm.ta,IFERROR(TRIM(INDEX('TY Sales Target'!$F$5:$F$300,$BG274)&amp;""),""),IF(AND(_xlpm.sa&lt;&gt;"",LEFT(_xlpm.sa,1)&lt;&gt;"#",_xlpm.sa&lt;&gt;"0"),_xlpm.sa,IF(AND(_xlpm.ta&lt;&gt;"",LEFT(_xlpm.ta,1)&lt;&gt;"#",_xlpm.ta&lt;&gt;"0"),_xlpm.ta,IF(ISNUMBER($BG274),"Unassigned","")))))</f>
        <v/>
      </c>
      <c r="AO274" s="8" t="str" cm="1">
        <f t="array" ref="AO274">IF($AW274="","",_xlfn.LET(_xlpm.sa,IFERROR(TRIM(INDEX('Sales and count'!$C$4:$C$300,$BF274)&amp;""),""),_xlpm.ta,IFERROR(TRIM(INDEX('TY Sales Target'!$D$5:$D$300,$BG274)&amp;""),""),IF(AND(_xlpm.sa&lt;&gt;"",LEFT(_xlpm.sa,1)&lt;&gt;"#",_xlpm.sa&lt;&gt;"0"),_xlpm.sa,IF(AND(_xlpm.ta&lt;&gt;"",LEFT(_xlpm.ta,1)&lt;&gt;"#",_xlpm.ta&lt;&gt;"0"),_xlpm.ta,""))))</f>
        <v/>
      </c>
      <c r="AP274" s="8">
        <f t="shared" si="131"/>
        <v>0</v>
      </c>
      <c r="AQ274" s="8">
        <f t="shared" si="132"/>
        <v>0</v>
      </c>
      <c r="AR274" s="8" cm="1">
        <f t="array" ref="AR274">IF($BF274="",0,_xlfn.LET(_xlpm.d,IFERROR(--'Sales and count'!$G$2:$CC$2,0),SUMPRODUCT(('Sales and count'!$G$3:$CC$3="Total")*(_xlpm.d&gt;=$U$4)*(_xlpm.d&lt;=$U$5),INDEX('Sales and count'!$G$4:$CC$300,$BF274,0))))</f>
        <v>0</v>
      </c>
      <c r="AS274" s="8" cm="1">
        <f t="array" ref="AS274">IF($BF274="",0,_xlfn.LET(_xlpm.d,IFERROR(--'Sales and count'!$F$2:$CB$2,0),SUMPRODUCT(('Sales and count'!$G$3:$CC$3="Transactions")*(_xlpm.d&gt;=$U$4)*(_xlpm.d&lt;=$U$5),INDEX('Sales and count'!$G$4:$CC$300,$BF274,0))))</f>
        <v>0</v>
      </c>
      <c r="AT274" s="8" cm="1">
        <f t="array" ref="AT274">IF($AW274="",0,SUMPRODUCT((TRIM('LY Sales '!$B$5:$B$200)=$AW274)*('LY Sales '!$C$2:$AG$2&gt;=EDATE($U$4,-12))*('LY Sales '!$C$2:$AG$2&lt;=EDATE($U$5,-12)),'LY Sales '!$C$5:$AG$200))</f>
        <v>0</v>
      </c>
      <c r="AU274" s="8" cm="1">
        <f t="array" ref="AU274">IF($AW274="",0,SUMPRODUCT((TRIM('LY Transaction'!$B$5:$B$200)=$AW274)*('LY Transaction'!$C$2:$AG$2&gt;=EDATE($U$4,-12))*('LY Transaction'!$C$2:$AG$2&lt;=EDATE($U$5,-12)),'LY Transaction'!$C$5:$AG$200))</f>
        <v>0</v>
      </c>
      <c r="AV274" s="8" cm="1">
        <f t="array" ref="AV274">IF(NOT(ISNUMBER($BG274)),0,SUMPRODUCT(('TY Sales Target'!$K$2:$AO$2&gt;=$U$4)*('TY Sales Target'!$K$2:$AO$2&lt;=$U$5),INDEX('TY Sales Target'!$K$5:$AO$300,$BG274,0)))</f>
        <v>0</v>
      </c>
      <c r="AW274" s="8" t="str" cm="1">
        <f t="array" ref="AW274">IFERROR(INDEX(_xlfn.ANCHORARRAY($BR$5),ROWS($AW$5:AW274)),"")</f>
        <v/>
      </c>
      <c r="BB274" cm="1">
        <f t="array" ref="BB274">IF($AW274="",0,SUMPRODUCT((TRIM(Footfall!$B$5:$B$301)=$AW274)*(Footfall!$C$1:$BZ$1&gt;=$U$4)*(Footfall!$C$2:$BZ$2&lt;=$U$5)*(Footfall!$C$1:$BZ$1&lt;&gt;""),Footfall!$C$5:$BZ$301))</f>
        <v>0</v>
      </c>
      <c r="BC274" cm="1">
        <f t="array" ref="BC274">IF(OR($BB274&lt;=0,$BD$1="",$BF274=""),0,_xlfn.LET(_xlpm.d,IFERROR(--'Sales and count'!$F$2:$CB$2,0),SUMPRODUCT(('Sales and count'!$G$3:$CC$3="Transactions")*(_xlpm.d&gt;=$BD$1)*(_xlpm.d&lt;=$BD$2),INDEX('Sales and count'!$G$4:$CC$300,$BF274,0))))</f>
        <v>0</v>
      </c>
      <c r="BF274" t="str" cm="1">
        <f t="array" ref="BF274">IF($AW274="","",IFERROR(MATCH($AW274,TRIM('Sales and count'!$A$4:$A$300&amp;""),0),""))</f>
        <v/>
      </c>
      <c r="BG274" t="str" cm="1">
        <f t="array" ref="BG274">IF($AW274="","",IFERROR(MATCH(IFERROR(_xlfn.XLOOKUP($AW274,$BT$5:$BT$22,$BU$5:$BU$22),$AW274),TRIM('TY Sales Target'!$B$5:$B$300&amp;""),0),""))</f>
        <v/>
      </c>
      <c r="BH274" t="str" cm="1">
        <f t="array" ref="BH274">IF(ISNUMBER($BG274),_xlfn.LET(_xlpm.p,TRIM(INDEX('TY Sales Target'!$I$5:$I$300,$BG274)&amp;""),IF(_xlpm.p="","Not set",_xlpm.p)),"Not set")</f>
        <v>Not set</v>
      </c>
      <c r="BI274" cm="1">
        <f t="array" ref="BI274">IF($BF274="",0,_xlfn.LET(_xlpm.d,IFERROR(--'Sales and count'!$G$2:$CC$2,0),SUMPRODUCT(('Sales and count'!$G$3:$CC$3="Total")*(_xlpm.d&gt;=$BZ$5)*(_xlpm.d&lt;=$BZ$6),INDEX('Sales and count'!$G$4:$CC$300,$BF274,0))))</f>
        <v>0</v>
      </c>
      <c r="BJ274" cm="1">
        <f t="array" ref="BJ274">IF($AW274="",0,SUMPRODUCT((TRIM('LY Sales '!$B$5:$B$200)=$AW274)*('LY Sales '!$C$2:$AG$2&gt;=EDATE($BZ$5,-12))*('LY Sales '!$C$2:$AG$2&lt;=EDATE($BZ$6,-12)),'LY Sales '!$C$5:$AG$200))</f>
        <v>0</v>
      </c>
      <c r="BK274" cm="1">
        <f t="array" ref="BK274">IF($AW274="",0,SUMPRODUCT((TRIM('LY Sales '!$B$5:$B$200)=$AW274)*('LY Sales '!$C$2:$AG$2&gt;=EDATE($BZ$5,-12))*('LY Sales '!$C$2:$AG$2&lt;=EDATE($BZ$7,-12)),'LY Sales '!$C$5:$AG$200))</f>
        <v>0</v>
      </c>
      <c r="BL274" cm="1">
        <f t="array" ref="BL274">IF($AW274="",0,SUMPRODUCT((TRIM('LY Sales '!$B$5:$B$200)=$AW274)*('LY Sales '!$C$2:$AG$2&gt;=EDATE($BZ$5,-12))*('LY Sales '!$C$2:$AG$2&lt;=EDATE($BZ$6,-12))*('LY Sales '!$C$5:$AG$200&gt;0)))</f>
        <v>0</v>
      </c>
      <c r="BM274" cm="1">
        <f t="array" ref="BM274">IF(NOT(ISNUMBER($BG274)),0,SUMPRODUCT(('TY Sales Target'!$K$2:$AO$2&gt;=$BZ$5)*('TY Sales Target'!$K$2:$AO$2&lt;=$BZ$6),INDEX('TY Sales Target'!$K$5:$AO$300,$BG274,0)))</f>
        <v>0</v>
      </c>
      <c r="BN274" cm="1">
        <f t="array" ref="BN274">IF(NOT(ISNUMBER($BG274)),0,SUMPRODUCT(('TY Sales Target'!$K$2:$AO$2&gt;=$BZ$5)*('TY Sales Target'!$K$2:$AO$2&lt;=$BZ$7),INDEX('TY Sales Target'!$K$5:$AO$300,$BG274,0)))</f>
        <v>0</v>
      </c>
      <c r="BO274" cm="1">
        <f t="array" ref="BO274">IF($AW274="",0,IFERROR(_xlfn.SWITCH($BP274,"LY trend",$BI274*$BK274/$BJ274,"Target curve",$BI274*$BN274/$BM274,"Run rate",$BI274/$BZ$8*$BZ$9,0),0))</f>
        <v>0</v>
      </c>
      <c r="BP274" t="str">
        <f t="shared" si="130"/>
        <v/>
      </c>
      <c r="CB274" cm="1">
        <f t="array" ref="CB274">IF($AW274="",0,_xlfn.LET(_xlpm.k,IFERROR(_xlfn.XLOOKUP($AW274,$CD$6:$CD$21,$CE$6:$CE$21),$AW274),SUMPRODUCT((TRIM('Makeup '!$A$2:$A$300&amp;"")=_xlpm.k)*1,IFERROR('Makeup '!$F$2:$F$300*1,0))))</f>
        <v>0</v>
      </c>
      <c r="CF274" t="str" cm="1">
        <f t="array" ref="CF274">IF($AW274="","",_xlfn.LET(_xlpm.c,IFERROR(TRIM(INDEX('Sales and count'!$B$4:$B$300,$BF274)&amp;""),""),IF(OR(_xlpm.c="",_xlpm.c="0",LEFT(_xlpm.c,1)="#"),"Not set",_xlpm.c)))</f>
        <v/>
      </c>
      <c r="CH274" cm="1">
        <f t="array" ref="CH274">IF($AW274="",0,_xlfn.LET(_xlpm.k,IFERROR(_xlfn.XLOOKUP($AW274,$CD$6:$CD$21,$CE$6:$CE$21),$AW274),--(SUMPRODUCT((TRIM('Makeup '!$A$2:$A$300&amp;"")=_xlpm.k)*ISNUMBER('Makeup '!$F$2:$F$300))&gt;0)))</f>
        <v>0</v>
      </c>
      <c r="CI274">
        <f t="shared" si="133"/>
        <v>0</v>
      </c>
      <c r="CJ274" cm="1">
        <f t="array" ref="CJ274">IF($AW274="",0,--(SUMPRODUCT(--(TRIM(Footfall!$B$5:$B$301)=$AW274))&gt;0))</f>
        <v>0</v>
      </c>
      <c r="CK274" s="8" cm="1">
        <f t="array" ref="CK274">IF($AW274="",0,_xlfn.LET(_xlpm.r,IFERROR(MATCH(IFERROR(_xlfn.XLOOKUP($AW274,$BT$5:$BT$22,$BU$5:$BU$22),$AW274),TRIM('TY Beauty Target'!$B$5:$B$300&amp;""),0),""),IF(ISNUMBER(_xlpm.r),SUMPRODUCT(('TY Beauty Target'!$L$2:$AP$2&gt;=$U$4)*('TY Beauty Target'!$L$2:$AP$2&lt;=$U$5),INDEX('TY Beauty Target'!$L$5:$AP$300,_xlpm.r,0)),0)))</f>
        <v>0</v>
      </c>
    </row>
    <row r="275" spans="28:89" x14ac:dyDescent="0.25">
      <c r="AB275" s="40" t="str" cm="1">
        <f t="array" ref="AB275">IF($AI275="","",IF(LEFT($AI275,2)="C|",IF($C275="","",SUMPRODUCT($AP$5:$AP$302*($AO$5:$AO$302=$A275),$CK$5:$CK$302)),IF($AI275="CT",AB$13,IF(LEFT($AI275,3)="AM|",IF($C275="","",SUMPRODUCT($AP$5:$AP$302*($AN$5:$AN$302=$A275),$CK$5:$CK$302)),IF(LEFT($AI275,2)="S|",IF($AG275="","",INDEX($CK$5:$CK$302,$AH275)),IF($AI275="HDR","Makeup Target",""))))))</f>
        <v/>
      </c>
      <c r="AC275" s="41" t="str">
        <f t="shared" si="129"/>
        <v/>
      </c>
      <c r="AN275" s="8" t="str" cm="1">
        <f t="array" ref="AN275">IF($AW275="","",_xlfn.LET(_xlpm.sa,IFERROR(TRIM(INDEX('Sales and count'!$D$4:$D$300,$BF275)&amp;""),""),_xlpm.ta,IFERROR(TRIM(INDEX('TY Sales Target'!$F$5:$F$300,$BG275)&amp;""),""),IF(AND(_xlpm.sa&lt;&gt;"",LEFT(_xlpm.sa,1)&lt;&gt;"#",_xlpm.sa&lt;&gt;"0"),_xlpm.sa,IF(AND(_xlpm.ta&lt;&gt;"",LEFT(_xlpm.ta,1)&lt;&gt;"#",_xlpm.ta&lt;&gt;"0"),_xlpm.ta,IF(ISNUMBER($BG275),"Unassigned","")))))</f>
        <v/>
      </c>
      <c r="AO275" s="8" t="str" cm="1">
        <f t="array" ref="AO275">IF($AW275="","",_xlfn.LET(_xlpm.sa,IFERROR(TRIM(INDEX('Sales and count'!$C$4:$C$300,$BF275)&amp;""),""),_xlpm.ta,IFERROR(TRIM(INDEX('TY Sales Target'!$D$5:$D$300,$BG275)&amp;""),""),IF(AND(_xlpm.sa&lt;&gt;"",LEFT(_xlpm.sa,1)&lt;&gt;"#",_xlpm.sa&lt;&gt;"0"),_xlpm.sa,IF(AND(_xlpm.ta&lt;&gt;"",LEFT(_xlpm.ta,1)&lt;&gt;"#",_xlpm.ta&lt;&gt;"0"),_xlpm.ta,""))))</f>
        <v/>
      </c>
      <c r="AP275" s="8">
        <f t="shared" si="131"/>
        <v>0</v>
      </c>
      <c r="AQ275" s="8">
        <f t="shared" si="132"/>
        <v>0</v>
      </c>
      <c r="AR275" s="8" cm="1">
        <f t="array" ref="AR275">IF($BF275="",0,_xlfn.LET(_xlpm.d,IFERROR(--'Sales and count'!$G$2:$CC$2,0),SUMPRODUCT(('Sales and count'!$G$3:$CC$3="Total")*(_xlpm.d&gt;=$U$4)*(_xlpm.d&lt;=$U$5),INDEX('Sales and count'!$G$4:$CC$300,$BF275,0))))</f>
        <v>0</v>
      </c>
      <c r="AS275" s="8" cm="1">
        <f t="array" ref="AS275">IF($BF275="",0,_xlfn.LET(_xlpm.d,IFERROR(--'Sales and count'!$F$2:$CB$2,0),SUMPRODUCT(('Sales and count'!$G$3:$CC$3="Transactions")*(_xlpm.d&gt;=$U$4)*(_xlpm.d&lt;=$U$5),INDEX('Sales and count'!$G$4:$CC$300,$BF275,0))))</f>
        <v>0</v>
      </c>
      <c r="AT275" s="8" cm="1">
        <f t="array" ref="AT275">IF($AW275="",0,SUMPRODUCT((TRIM('LY Sales '!$B$5:$B$200)=$AW275)*('LY Sales '!$C$2:$AG$2&gt;=EDATE($U$4,-12))*('LY Sales '!$C$2:$AG$2&lt;=EDATE($U$5,-12)),'LY Sales '!$C$5:$AG$200))</f>
        <v>0</v>
      </c>
      <c r="AU275" s="8" cm="1">
        <f t="array" ref="AU275">IF($AW275="",0,SUMPRODUCT((TRIM('LY Transaction'!$B$5:$B$200)=$AW275)*('LY Transaction'!$C$2:$AG$2&gt;=EDATE($U$4,-12))*('LY Transaction'!$C$2:$AG$2&lt;=EDATE($U$5,-12)),'LY Transaction'!$C$5:$AG$200))</f>
        <v>0</v>
      </c>
      <c r="AV275" s="8" cm="1">
        <f t="array" ref="AV275">IF(NOT(ISNUMBER($BG275)),0,SUMPRODUCT(('TY Sales Target'!$K$2:$AO$2&gt;=$U$4)*('TY Sales Target'!$K$2:$AO$2&lt;=$U$5),INDEX('TY Sales Target'!$K$5:$AO$300,$BG275,0)))</f>
        <v>0</v>
      </c>
      <c r="AW275" s="8" t="str" cm="1">
        <f t="array" ref="AW275">IFERROR(INDEX(_xlfn.ANCHORARRAY($BR$5),ROWS($AW$5:AW275)),"")</f>
        <v/>
      </c>
      <c r="BB275" cm="1">
        <f t="array" ref="BB275">IF($AW275="",0,SUMPRODUCT((TRIM(Footfall!$B$5:$B$301)=$AW275)*(Footfall!$C$1:$BZ$1&gt;=$U$4)*(Footfall!$C$2:$BZ$2&lt;=$U$5)*(Footfall!$C$1:$BZ$1&lt;&gt;""),Footfall!$C$5:$BZ$301))</f>
        <v>0</v>
      </c>
      <c r="BC275" cm="1">
        <f t="array" ref="BC275">IF(OR($BB275&lt;=0,$BD$1="",$BF275=""),0,_xlfn.LET(_xlpm.d,IFERROR(--'Sales and count'!$F$2:$CB$2,0),SUMPRODUCT(('Sales and count'!$G$3:$CC$3="Transactions")*(_xlpm.d&gt;=$BD$1)*(_xlpm.d&lt;=$BD$2),INDEX('Sales and count'!$G$4:$CC$300,$BF275,0))))</f>
        <v>0</v>
      </c>
      <c r="BF275" t="str" cm="1">
        <f t="array" ref="BF275">IF($AW275="","",IFERROR(MATCH($AW275,TRIM('Sales and count'!$A$4:$A$300&amp;""),0),""))</f>
        <v/>
      </c>
      <c r="BG275" t="str" cm="1">
        <f t="array" ref="BG275">IF($AW275="","",IFERROR(MATCH(IFERROR(_xlfn.XLOOKUP($AW275,$BT$5:$BT$22,$BU$5:$BU$22),$AW275),TRIM('TY Sales Target'!$B$5:$B$300&amp;""),0),""))</f>
        <v/>
      </c>
      <c r="BH275" t="str" cm="1">
        <f t="array" ref="BH275">IF(ISNUMBER($BG275),_xlfn.LET(_xlpm.p,TRIM(INDEX('TY Sales Target'!$I$5:$I$300,$BG275)&amp;""),IF(_xlpm.p="","Not set",_xlpm.p)),"Not set")</f>
        <v>Not set</v>
      </c>
      <c r="BI275" cm="1">
        <f t="array" ref="BI275">IF($BF275="",0,_xlfn.LET(_xlpm.d,IFERROR(--'Sales and count'!$G$2:$CC$2,0),SUMPRODUCT(('Sales and count'!$G$3:$CC$3="Total")*(_xlpm.d&gt;=$BZ$5)*(_xlpm.d&lt;=$BZ$6),INDEX('Sales and count'!$G$4:$CC$300,$BF275,0))))</f>
        <v>0</v>
      </c>
      <c r="BJ275" cm="1">
        <f t="array" ref="BJ275">IF($AW275="",0,SUMPRODUCT((TRIM('LY Sales '!$B$5:$B$200)=$AW275)*('LY Sales '!$C$2:$AG$2&gt;=EDATE($BZ$5,-12))*('LY Sales '!$C$2:$AG$2&lt;=EDATE($BZ$6,-12)),'LY Sales '!$C$5:$AG$200))</f>
        <v>0</v>
      </c>
      <c r="BK275" cm="1">
        <f t="array" ref="BK275">IF($AW275="",0,SUMPRODUCT((TRIM('LY Sales '!$B$5:$B$200)=$AW275)*('LY Sales '!$C$2:$AG$2&gt;=EDATE($BZ$5,-12))*('LY Sales '!$C$2:$AG$2&lt;=EDATE($BZ$7,-12)),'LY Sales '!$C$5:$AG$200))</f>
        <v>0</v>
      </c>
      <c r="BL275" cm="1">
        <f t="array" ref="BL275">IF($AW275="",0,SUMPRODUCT((TRIM('LY Sales '!$B$5:$B$200)=$AW275)*('LY Sales '!$C$2:$AG$2&gt;=EDATE($BZ$5,-12))*('LY Sales '!$C$2:$AG$2&lt;=EDATE($BZ$6,-12))*('LY Sales '!$C$5:$AG$200&gt;0)))</f>
        <v>0</v>
      </c>
      <c r="BM275" cm="1">
        <f t="array" ref="BM275">IF(NOT(ISNUMBER($BG275)),0,SUMPRODUCT(('TY Sales Target'!$K$2:$AO$2&gt;=$BZ$5)*('TY Sales Target'!$K$2:$AO$2&lt;=$BZ$6),INDEX('TY Sales Target'!$K$5:$AO$300,$BG275,0)))</f>
        <v>0</v>
      </c>
      <c r="BN275" cm="1">
        <f t="array" ref="BN275">IF(NOT(ISNUMBER($BG275)),0,SUMPRODUCT(('TY Sales Target'!$K$2:$AO$2&gt;=$BZ$5)*('TY Sales Target'!$K$2:$AO$2&lt;=$BZ$7),INDEX('TY Sales Target'!$K$5:$AO$300,$BG275,0)))</f>
        <v>0</v>
      </c>
      <c r="BO275" cm="1">
        <f t="array" ref="BO275">IF($AW275="",0,IFERROR(_xlfn.SWITCH($BP275,"LY trend",$BI275*$BK275/$BJ275,"Target curve",$BI275*$BN275/$BM275,"Run rate",$BI275/$BZ$8*$BZ$9,0),0))</f>
        <v>0</v>
      </c>
      <c r="BP275" t="str">
        <f t="shared" si="130"/>
        <v/>
      </c>
      <c r="CB275" cm="1">
        <f t="array" ref="CB275">IF($AW275="",0,_xlfn.LET(_xlpm.k,IFERROR(_xlfn.XLOOKUP($AW275,$CD$6:$CD$21,$CE$6:$CE$21),$AW275),SUMPRODUCT((TRIM('Makeup '!$A$2:$A$300&amp;"")=_xlpm.k)*1,IFERROR('Makeup '!$F$2:$F$300*1,0))))</f>
        <v>0</v>
      </c>
      <c r="CF275" t="str" cm="1">
        <f t="array" ref="CF275">IF($AW275="","",_xlfn.LET(_xlpm.c,IFERROR(TRIM(INDEX('Sales and count'!$B$4:$B$300,$BF275)&amp;""),""),IF(OR(_xlpm.c="",_xlpm.c="0",LEFT(_xlpm.c,1)="#"),"Not set",_xlpm.c)))</f>
        <v/>
      </c>
      <c r="CH275" cm="1">
        <f t="array" ref="CH275">IF($AW275="",0,_xlfn.LET(_xlpm.k,IFERROR(_xlfn.XLOOKUP($AW275,$CD$6:$CD$21,$CE$6:$CE$21),$AW275),--(SUMPRODUCT((TRIM('Makeup '!$A$2:$A$300&amp;"")=_xlpm.k)*ISNUMBER('Makeup '!$F$2:$F$300))&gt;0)))</f>
        <v>0</v>
      </c>
      <c r="CI275">
        <f t="shared" si="133"/>
        <v>0</v>
      </c>
      <c r="CJ275" cm="1">
        <f t="array" ref="CJ275">IF($AW275="",0,--(SUMPRODUCT(--(TRIM(Footfall!$B$5:$B$301)=$AW275))&gt;0))</f>
        <v>0</v>
      </c>
      <c r="CK275" s="8" cm="1">
        <f t="array" ref="CK275">IF($AW275="",0,_xlfn.LET(_xlpm.r,IFERROR(MATCH(IFERROR(_xlfn.XLOOKUP($AW275,$BT$5:$BT$22,$BU$5:$BU$22),$AW275),TRIM('TY Beauty Target'!$B$5:$B$300&amp;""),0),""),IF(ISNUMBER(_xlpm.r),SUMPRODUCT(('TY Beauty Target'!$L$2:$AP$2&gt;=$U$4)*('TY Beauty Target'!$L$2:$AP$2&lt;=$U$5),INDEX('TY Beauty Target'!$L$5:$AP$300,_xlpm.r,0)),0)))</f>
        <v>0</v>
      </c>
    </row>
    <row r="276" spans="28:89" x14ac:dyDescent="0.25">
      <c r="AB276" s="40" t="str" cm="1">
        <f t="array" ref="AB276">IF($AI276="","",IF(LEFT($AI276,2)="C|",IF($C276="","",SUMPRODUCT($AP$5:$AP$302*($AO$5:$AO$302=$A276),$CK$5:$CK$302)),IF($AI276="CT",AB$13,IF(LEFT($AI276,3)="AM|",IF($C276="","",SUMPRODUCT($AP$5:$AP$302*($AN$5:$AN$302=$A276),$CK$5:$CK$302)),IF(LEFT($AI276,2)="S|",IF($AG276="","",INDEX($CK$5:$CK$302,$AH276)),IF($AI276="HDR","Makeup Target",""))))))</f>
        <v/>
      </c>
      <c r="AC276" s="41" t="str">
        <f t="shared" si="129"/>
        <v/>
      </c>
      <c r="AN276" s="8" t="str" cm="1">
        <f t="array" ref="AN276">IF($AW276="","",_xlfn.LET(_xlpm.sa,IFERROR(TRIM(INDEX('Sales and count'!$D$4:$D$300,$BF276)&amp;""),""),_xlpm.ta,IFERROR(TRIM(INDEX('TY Sales Target'!$F$5:$F$300,$BG276)&amp;""),""),IF(AND(_xlpm.sa&lt;&gt;"",LEFT(_xlpm.sa,1)&lt;&gt;"#",_xlpm.sa&lt;&gt;"0"),_xlpm.sa,IF(AND(_xlpm.ta&lt;&gt;"",LEFT(_xlpm.ta,1)&lt;&gt;"#",_xlpm.ta&lt;&gt;"0"),_xlpm.ta,IF(ISNUMBER($BG276),"Unassigned","")))))</f>
        <v/>
      </c>
      <c r="AO276" s="8" t="str" cm="1">
        <f t="array" ref="AO276">IF($AW276="","",_xlfn.LET(_xlpm.sa,IFERROR(TRIM(INDEX('Sales and count'!$C$4:$C$300,$BF276)&amp;""),""),_xlpm.ta,IFERROR(TRIM(INDEX('TY Sales Target'!$D$5:$D$300,$BG276)&amp;""),""),IF(AND(_xlpm.sa&lt;&gt;"",LEFT(_xlpm.sa,1)&lt;&gt;"#",_xlpm.sa&lt;&gt;"0"),_xlpm.sa,IF(AND(_xlpm.ta&lt;&gt;"",LEFT(_xlpm.ta,1)&lt;&gt;"#",_xlpm.ta&lt;&gt;"0"),_xlpm.ta,""))))</f>
        <v/>
      </c>
      <c r="AP276" s="8">
        <f t="shared" si="131"/>
        <v>0</v>
      </c>
      <c r="AQ276" s="8">
        <f t="shared" si="132"/>
        <v>0</v>
      </c>
      <c r="AR276" s="8" cm="1">
        <f t="array" ref="AR276">IF($BF276="",0,_xlfn.LET(_xlpm.d,IFERROR(--'Sales and count'!$G$2:$CC$2,0),SUMPRODUCT(('Sales and count'!$G$3:$CC$3="Total")*(_xlpm.d&gt;=$U$4)*(_xlpm.d&lt;=$U$5),INDEX('Sales and count'!$G$4:$CC$300,$BF276,0))))</f>
        <v>0</v>
      </c>
      <c r="AS276" s="8" cm="1">
        <f t="array" ref="AS276">IF($BF276="",0,_xlfn.LET(_xlpm.d,IFERROR(--'Sales and count'!$F$2:$CB$2,0),SUMPRODUCT(('Sales and count'!$G$3:$CC$3="Transactions")*(_xlpm.d&gt;=$U$4)*(_xlpm.d&lt;=$U$5),INDEX('Sales and count'!$G$4:$CC$300,$BF276,0))))</f>
        <v>0</v>
      </c>
      <c r="AT276" s="8" cm="1">
        <f t="array" ref="AT276">IF($AW276="",0,SUMPRODUCT((TRIM('LY Sales '!$B$5:$B$200)=$AW276)*('LY Sales '!$C$2:$AG$2&gt;=EDATE($U$4,-12))*('LY Sales '!$C$2:$AG$2&lt;=EDATE($U$5,-12)),'LY Sales '!$C$5:$AG$200))</f>
        <v>0</v>
      </c>
      <c r="AU276" s="8" cm="1">
        <f t="array" ref="AU276">IF($AW276="",0,SUMPRODUCT((TRIM('LY Transaction'!$B$5:$B$200)=$AW276)*('LY Transaction'!$C$2:$AG$2&gt;=EDATE($U$4,-12))*('LY Transaction'!$C$2:$AG$2&lt;=EDATE($U$5,-12)),'LY Transaction'!$C$5:$AG$200))</f>
        <v>0</v>
      </c>
      <c r="AV276" s="8" cm="1">
        <f t="array" ref="AV276">IF(NOT(ISNUMBER($BG276)),0,SUMPRODUCT(('TY Sales Target'!$K$2:$AO$2&gt;=$U$4)*('TY Sales Target'!$K$2:$AO$2&lt;=$U$5),INDEX('TY Sales Target'!$K$5:$AO$300,$BG276,0)))</f>
        <v>0</v>
      </c>
      <c r="AW276" s="8" t="str" cm="1">
        <f t="array" ref="AW276">IFERROR(INDEX(_xlfn.ANCHORARRAY($BR$5),ROWS($AW$5:AW276)),"")</f>
        <v/>
      </c>
      <c r="BB276" cm="1">
        <f t="array" ref="BB276">IF($AW276="",0,SUMPRODUCT((TRIM(Footfall!$B$5:$B$301)=$AW276)*(Footfall!$C$1:$BZ$1&gt;=$U$4)*(Footfall!$C$2:$BZ$2&lt;=$U$5)*(Footfall!$C$1:$BZ$1&lt;&gt;""),Footfall!$C$5:$BZ$301))</f>
        <v>0</v>
      </c>
      <c r="BC276" cm="1">
        <f t="array" ref="BC276">IF(OR($BB276&lt;=0,$BD$1="",$BF276=""),0,_xlfn.LET(_xlpm.d,IFERROR(--'Sales and count'!$F$2:$CB$2,0),SUMPRODUCT(('Sales and count'!$G$3:$CC$3="Transactions")*(_xlpm.d&gt;=$BD$1)*(_xlpm.d&lt;=$BD$2),INDEX('Sales and count'!$G$4:$CC$300,$BF276,0))))</f>
        <v>0</v>
      </c>
      <c r="BF276" t="str" cm="1">
        <f t="array" ref="BF276">IF($AW276="","",IFERROR(MATCH($AW276,TRIM('Sales and count'!$A$4:$A$300&amp;""),0),""))</f>
        <v/>
      </c>
      <c r="BG276" t="str" cm="1">
        <f t="array" ref="BG276">IF($AW276="","",IFERROR(MATCH(IFERROR(_xlfn.XLOOKUP($AW276,$BT$5:$BT$22,$BU$5:$BU$22),$AW276),TRIM('TY Sales Target'!$B$5:$B$300&amp;""),0),""))</f>
        <v/>
      </c>
      <c r="BH276" t="str" cm="1">
        <f t="array" ref="BH276">IF(ISNUMBER($BG276),_xlfn.LET(_xlpm.p,TRIM(INDEX('TY Sales Target'!$I$5:$I$300,$BG276)&amp;""),IF(_xlpm.p="","Not set",_xlpm.p)),"Not set")</f>
        <v>Not set</v>
      </c>
      <c r="BI276" cm="1">
        <f t="array" ref="BI276">IF($BF276="",0,_xlfn.LET(_xlpm.d,IFERROR(--'Sales and count'!$G$2:$CC$2,0),SUMPRODUCT(('Sales and count'!$G$3:$CC$3="Total")*(_xlpm.d&gt;=$BZ$5)*(_xlpm.d&lt;=$BZ$6),INDEX('Sales and count'!$G$4:$CC$300,$BF276,0))))</f>
        <v>0</v>
      </c>
      <c r="BJ276" cm="1">
        <f t="array" ref="BJ276">IF($AW276="",0,SUMPRODUCT((TRIM('LY Sales '!$B$5:$B$200)=$AW276)*('LY Sales '!$C$2:$AG$2&gt;=EDATE($BZ$5,-12))*('LY Sales '!$C$2:$AG$2&lt;=EDATE($BZ$6,-12)),'LY Sales '!$C$5:$AG$200))</f>
        <v>0</v>
      </c>
      <c r="BK276" cm="1">
        <f t="array" ref="BK276">IF($AW276="",0,SUMPRODUCT((TRIM('LY Sales '!$B$5:$B$200)=$AW276)*('LY Sales '!$C$2:$AG$2&gt;=EDATE($BZ$5,-12))*('LY Sales '!$C$2:$AG$2&lt;=EDATE($BZ$7,-12)),'LY Sales '!$C$5:$AG$200))</f>
        <v>0</v>
      </c>
      <c r="BL276" cm="1">
        <f t="array" ref="BL276">IF($AW276="",0,SUMPRODUCT((TRIM('LY Sales '!$B$5:$B$200)=$AW276)*('LY Sales '!$C$2:$AG$2&gt;=EDATE($BZ$5,-12))*('LY Sales '!$C$2:$AG$2&lt;=EDATE($BZ$6,-12))*('LY Sales '!$C$5:$AG$200&gt;0)))</f>
        <v>0</v>
      </c>
      <c r="BM276" cm="1">
        <f t="array" ref="BM276">IF(NOT(ISNUMBER($BG276)),0,SUMPRODUCT(('TY Sales Target'!$K$2:$AO$2&gt;=$BZ$5)*('TY Sales Target'!$K$2:$AO$2&lt;=$BZ$6),INDEX('TY Sales Target'!$K$5:$AO$300,$BG276,0)))</f>
        <v>0</v>
      </c>
      <c r="BN276" cm="1">
        <f t="array" ref="BN276">IF(NOT(ISNUMBER($BG276)),0,SUMPRODUCT(('TY Sales Target'!$K$2:$AO$2&gt;=$BZ$5)*('TY Sales Target'!$K$2:$AO$2&lt;=$BZ$7),INDEX('TY Sales Target'!$K$5:$AO$300,$BG276,0)))</f>
        <v>0</v>
      </c>
      <c r="BO276" cm="1">
        <f t="array" ref="BO276">IF($AW276="",0,IFERROR(_xlfn.SWITCH($BP276,"LY trend",$BI276*$BK276/$BJ276,"Target curve",$BI276*$BN276/$BM276,"Run rate",$BI276/$BZ$8*$BZ$9,0),0))</f>
        <v>0</v>
      </c>
      <c r="BP276" t="str">
        <f t="shared" si="130"/>
        <v/>
      </c>
      <c r="CB276" cm="1">
        <f t="array" ref="CB276">IF($AW276="",0,_xlfn.LET(_xlpm.k,IFERROR(_xlfn.XLOOKUP($AW276,$CD$6:$CD$21,$CE$6:$CE$21),$AW276),SUMPRODUCT((TRIM('Makeup '!$A$2:$A$300&amp;"")=_xlpm.k)*1,IFERROR('Makeup '!$F$2:$F$300*1,0))))</f>
        <v>0</v>
      </c>
      <c r="CF276" t="str" cm="1">
        <f t="array" ref="CF276">IF($AW276="","",_xlfn.LET(_xlpm.c,IFERROR(TRIM(INDEX('Sales and count'!$B$4:$B$300,$BF276)&amp;""),""),IF(OR(_xlpm.c="",_xlpm.c="0",LEFT(_xlpm.c,1)="#"),"Not set",_xlpm.c)))</f>
        <v/>
      </c>
      <c r="CH276" cm="1">
        <f t="array" ref="CH276">IF($AW276="",0,_xlfn.LET(_xlpm.k,IFERROR(_xlfn.XLOOKUP($AW276,$CD$6:$CD$21,$CE$6:$CE$21),$AW276),--(SUMPRODUCT((TRIM('Makeup '!$A$2:$A$300&amp;"")=_xlpm.k)*ISNUMBER('Makeup '!$F$2:$F$300))&gt;0)))</f>
        <v>0</v>
      </c>
      <c r="CI276">
        <f t="shared" si="133"/>
        <v>0</v>
      </c>
      <c r="CJ276" cm="1">
        <f t="array" ref="CJ276">IF($AW276="",0,--(SUMPRODUCT(--(TRIM(Footfall!$B$5:$B$301)=$AW276))&gt;0))</f>
        <v>0</v>
      </c>
      <c r="CK276" s="8" cm="1">
        <f t="array" ref="CK276">IF($AW276="",0,_xlfn.LET(_xlpm.r,IFERROR(MATCH(IFERROR(_xlfn.XLOOKUP($AW276,$BT$5:$BT$22,$BU$5:$BU$22),$AW276),TRIM('TY Beauty Target'!$B$5:$B$300&amp;""),0),""),IF(ISNUMBER(_xlpm.r),SUMPRODUCT(('TY Beauty Target'!$L$2:$AP$2&gt;=$U$4)*('TY Beauty Target'!$L$2:$AP$2&lt;=$U$5),INDEX('TY Beauty Target'!$L$5:$AP$300,_xlpm.r,0)),0)))</f>
        <v>0</v>
      </c>
    </row>
    <row r="277" spans="28:89" x14ac:dyDescent="0.25">
      <c r="AB277" s="40" t="str" cm="1">
        <f t="array" ref="AB277">IF($AI277="","",IF(LEFT($AI277,2)="C|",IF($C277="","",SUMPRODUCT($AP$5:$AP$302*($AO$5:$AO$302=$A277),$CK$5:$CK$302)),IF($AI277="CT",AB$13,IF(LEFT($AI277,3)="AM|",IF($C277="","",SUMPRODUCT($AP$5:$AP$302*($AN$5:$AN$302=$A277),$CK$5:$CK$302)),IF(LEFT($AI277,2)="S|",IF($AG277="","",INDEX($CK$5:$CK$302,$AH277)),IF($AI277="HDR","Makeup Target",""))))))</f>
        <v/>
      </c>
      <c r="AC277" s="41" t="str">
        <f t="shared" si="129"/>
        <v/>
      </c>
      <c r="AN277" s="8" t="str" cm="1">
        <f t="array" ref="AN277">IF($AW277="","",_xlfn.LET(_xlpm.sa,IFERROR(TRIM(INDEX('Sales and count'!$D$4:$D$300,$BF277)&amp;""),""),_xlpm.ta,IFERROR(TRIM(INDEX('TY Sales Target'!$F$5:$F$300,$BG277)&amp;""),""),IF(AND(_xlpm.sa&lt;&gt;"",LEFT(_xlpm.sa,1)&lt;&gt;"#",_xlpm.sa&lt;&gt;"0"),_xlpm.sa,IF(AND(_xlpm.ta&lt;&gt;"",LEFT(_xlpm.ta,1)&lt;&gt;"#",_xlpm.ta&lt;&gt;"0"),_xlpm.ta,IF(ISNUMBER($BG277),"Unassigned","")))))</f>
        <v/>
      </c>
      <c r="AO277" s="8" t="str" cm="1">
        <f t="array" ref="AO277">IF($AW277="","",_xlfn.LET(_xlpm.sa,IFERROR(TRIM(INDEX('Sales and count'!$C$4:$C$300,$BF277)&amp;""),""),_xlpm.ta,IFERROR(TRIM(INDEX('TY Sales Target'!$D$5:$D$300,$BG277)&amp;""),""),IF(AND(_xlpm.sa&lt;&gt;"",LEFT(_xlpm.sa,1)&lt;&gt;"#",_xlpm.sa&lt;&gt;"0"),_xlpm.sa,IF(AND(_xlpm.ta&lt;&gt;"",LEFT(_xlpm.ta,1)&lt;&gt;"#",_xlpm.ta&lt;&gt;"0"),_xlpm.ta,""))))</f>
        <v/>
      </c>
      <c r="AP277" s="8">
        <f t="shared" si="131"/>
        <v>0</v>
      </c>
      <c r="AQ277" s="8">
        <f t="shared" si="132"/>
        <v>0</v>
      </c>
      <c r="AR277" s="8" cm="1">
        <f t="array" ref="AR277">IF($BF277="",0,_xlfn.LET(_xlpm.d,IFERROR(--'Sales and count'!$G$2:$CC$2,0),SUMPRODUCT(('Sales and count'!$G$3:$CC$3="Total")*(_xlpm.d&gt;=$U$4)*(_xlpm.d&lt;=$U$5),INDEX('Sales and count'!$G$4:$CC$300,$BF277,0))))</f>
        <v>0</v>
      </c>
      <c r="AS277" s="8" cm="1">
        <f t="array" ref="AS277">IF($BF277="",0,_xlfn.LET(_xlpm.d,IFERROR(--'Sales and count'!$F$2:$CB$2,0),SUMPRODUCT(('Sales and count'!$G$3:$CC$3="Transactions")*(_xlpm.d&gt;=$U$4)*(_xlpm.d&lt;=$U$5),INDEX('Sales and count'!$G$4:$CC$300,$BF277,0))))</f>
        <v>0</v>
      </c>
      <c r="AT277" s="8" cm="1">
        <f t="array" ref="AT277">IF($AW277="",0,SUMPRODUCT((TRIM('LY Sales '!$B$5:$B$200)=$AW277)*('LY Sales '!$C$2:$AG$2&gt;=EDATE($U$4,-12))*('LY Sales '!$C$2:$AG$2&lt;=EDATE($U$5,-12)),'LY Sales '!$C$5:$AG$200))</f>
        <v>0</v>
      </c>
      <c r="AU277" s="8" cm="1">
        <f t="array" ref="AU277">IF($AW277="",0,SUMPRODUCT((TRIM('LY Transaction'!$B$5:$B$200)=$AW277)*('LY Transaction'!$C$2:$AG$2&gt;=EDATE($U$4,-12))*('LY Transaction'!$C$2:$AG$2&lt;=EDATE($U$5,-12)),'LY Transaction'!$C$5:$AG$200))</f>
        <v>0</v>
      </c>
      <c r="AV277" s="8" cm="1">
        <f t="array" ref="AV277">IF(NOT(ISNUMBER($BG277)),0,SUMPRODUCT(('TY Sales Target'!$K$2:$AO$2&gt;=$U$4)*('TY Sales Target'!$K$2:$AO$2&lt;=$U$5),INDEX('TY Sales Target'!$K$5:$AO$300,$BG277,0)))</f>
        <v>0</v>
      </c>
      <c r="AW277" s="8" t="str" cm="1">
        <f t="array" ref="AW277">IFERROR(INDEX(_xlfn.ANCHORARRAY($BR$5),ROWS($AW$5:AW277)),"")</f>
        <v/>
      </c>
      <c r="BB277" cm="1">
        <f t="array" ref="BB277">IF($AW277="",0,SUMPRODUCT((TRIM(Footfall!$B$5:$B$301)=$AW277)*(Footfall!$C$1:$BZ$1&gt;=$U$4)*(Footfall!$C$2:$BZ$2&lt;=$U$5)*(Footfall!$C$1:$BZ$1&lt;&gt;""),Footfall!$C$5:$BZ$301))</f>
        <v>0</v>
      </c>
      <c r="BC277" cm="1">
        <f t="array" ref="BC277">IF(OR($BB277&lt;=0,$BD$1="",$BF277=""),0,_xlfn.LET(_xlpm.d,IFERROR(--'Sales and count'!$F$2:$CB$2,0),SUMPRODUCT(('Sales and count'!$G$3:$CC$3="Transactions")*(_xlpm.d&gt;=$BD$1)*(_xlpm.d&lt;=$BD$2),INDEX('Sales and count'!$G$4:$CC$300,$BF277,0))))</f>
        <v>0</v>
      </c>
      <c r="BF277" t="str" cm="1">
        <f t="array" ref="BF277">IF($AW277="","",IFERROR(MATCH($AW277,TRIM('Sales and count'!$A$4:$A$300&amp;""),0),""))</f>
        <v/>
      </c>
      <c r="BG277" t="str" cm="1">
        <f t="array" ref="BG277">IF($AW277="","",IFERROR(MATCH(IFERROR(_xlfn.XLOOKUP($AW277,$BT$5:$BT$22,$BU$5:$BU$22),$AW277),TRIM('TY Sales Target'!$B$5:$B$300&amp;""),0),""))</f>
        <v/>
      </c>
      <c r="BH277" t="str" cm="1">
        <f t="array" ref="BH277">IF(ISNUMBER($BG277),_xlfn.LET(_xlpm.p,TRIM(INDEX('TY Sales Target'!$I$5:$I$300,$BG277)&amp;""),IF(_xlpm.p="","Not set",_xlpm.p)),"Not set")</f>
        <v>Not set</v>
      </c>
      <c r="BI277" cm="1">
        <f t="array" ref="BI277">IF($BF277="",0,_xlfn.LET(_xlpm.d,IFERROR(--'Sales and count'!$G$2:$CC$2,0),SUMPRODUCT(('Sales and count'!$G$3:$CC$3="Total")*(_xlpm.d&gt;=$BZ$5)*(_xlpm.d&lt;=$BZ$6),INDEX('Sales and count'!$G$4:$CC$300,$BF277,0))))</f>
        <v>0</v>
      </c>
      <c r="BJ277" cm="1">
        <f t="array" ref="BJ277">IF($AW277="",0,SUMPRODUCT((TRIM('LY Sales '!$B$5:$B$200)=$AW277)*('LY Sales '!$C$2:$AG$2&gt;=EDATE($BZ$5,-12))*('LY Sales '!$C$2:$AG$2&lt;=EDATE($BZ$6,-12)),'LY Sales '!$C$5:$AG$200))</f>
        <v>0</v>
      </c>
      <c r="BK277" cm="1">
        <f t="array" ref="BK277">IF($AW277="",0,SUMPRODUCT((TRIM('LY Sales '!$B$5:$B$200)=$AW277)*('LY Sales '!$C$2:$AG$2&gt;=EDATE($BZ$5,-12))*('LY Sales '!$C$2:$AG$2&lt;=EDATE($BZ$7,-12)),'LY Sales '!$C$5:$AG$200))</f>
        <v>0</v>
      </c>
      <c r="BL277" cm="1">
        <f t="array" ref="BL277">IF($AW277="",0,SUMPRODUCT((TRIM('LY Sales '!$B$5:$B$200)=$AW277)*('LY Sales '!$C$2:$AG$2&gt;=EDATE($BZ$5,-12))*('LY Sales '!$C$2:$AG$2&lt;=EDATE($BZ$6,-12))*('LY Sales '!$C$5:$AG$200&gt;0)))</f>
        <v>0</v>
      </c>
      <c r="BM277" cm="1">
        <f t="array" ref="BM277">IF(NOT(ISNUMBER($BG277)),0,SUMPRODUCT(('TY Sales Target'!$K$2:$AO$2&gt;=$BZ$5)*('TY Sales Target'!$K$2:$AO$2&lt;=$BZ$6),INDEX('TY Sales Target'!$K$5:$AO$300,$BG277,0)))</f>
        <v>0</v>
      </c>
      <c r="BN277" cm="1">
        <f t="array" ref="BN277">IF(NOT(ISNUMBER($BG277)),0,SUMPRODUCT(('TY Sales Target'!$K$2:$AO$2&gt;=$BZ$5)*('TY Sales Target'!$K$2:$AO$2&lt;=$BZ$7),INDEX('TY Sales Target'!$K$5:$AO$300,$BG277,0)))</f>
        <v>0</v>
      </c>
      <c r="BO277" cm="1">
        <f t="array" ref="BO277">IF($AW277="",0,IFERROR(_xlfn.SWITCH($BP277,"LY trend",$BI277*$BK277/$BJ277,"Target curve",$BI277*$BN277/$BM277,"Run rate",$BI277/$BZ$8*$BZ$9,0),0))</f>
        <v>0</v>
      </c>
      <c r="BP277" t="str">
        <f t="shared" si="130"/>
        <v/>
      </c>
      <c r="CB277" cm="1">
        <f t="array" ref="CB277">IF($AW277="",0,_xlfn.LET(_xlpm.k,IFERROR(_xlfn.XLOOKUP($AW277,$CD$6:$CD$21,$CE$6:$CE$21),$AW277),SUMPRODUCT((TRIM('Makeup '!$A$2:$A$300&amp;"")=_xlpm.k)*1,IFERROR('Makeup '!$F$2:$F$300*1,0))))</f>
        <v>0</v>
      </c>
      <c r="CF277" t="str" cm="1">
        <f t="array" ref="CF277">IF($AW277="","",_xlfn.LET(_xlpm.c,IFERROR(TRIM(INDEX('Sales and count'!$B$4:$B$300,$BF277)&amp;""),""),IF(OR(_xlpm.c="",_xlpm.c="0",LEFT(_xlpm.c,1)="#"),"Not set",_xlpm.c)))</f>
        <v/>
      </c>
      <c r="CH277" cm="1">
        <f t="array" ref="CH277">IF($AW277="",0,_xlfn.LET(_xlpm.k,IFERROR(_xlfn.XLOOKUP($AW277,$CD$6:$CD$21,$CE$6:$CE$21),$AW277),--(SUMPRODUCT((TRIM('Makeup '!$A$2:$A$300&amp;"")=_xlpm.k)*ISNUMBER('Makeup '!$F$2:$F$300))&gt;0)))</f>
        <v>0</v>
      </c>
      <c r="CI277">
        <f t="shared" si="133"/>
        <v>0</v>
      </c>
      <c r="CJ277" cm="1">
        <f t="array" ref="CJ277">IF($AW277="",0,--(SUMPRODUCT(--(TRIM(Footfall!$B$5:$B$301)=$AW277))&gt;0))</f>
        <v>0</v>
      </c>
      <c r="CK277" s="8" cm="1">
        <f t="array" ref="CK277">IF($AW277="",0,_xlfn.LET(_xlpm.r,IFERROR(MATCH(IFERROR(_xlfn.XLOOKUP($AW277,$BT$5:$BT$22,$BU$5:$BU$22),$AW277),TRIM('TY Beauty Target'!$B$5:$B$300&amp;""),0),""),IF(ISNUMBER(_xlpm.r),SUMPRODUCT(('TY Beauty Target'!$L$2:$AP$2&gt;=$U$4)*('TY Beauty Target'!$L$2:$AP$2&lt;=$U$5),INDEX('TY Beauty Target'!$L$5:$AP$300,_xlpm.r,0)),0)))</f>
        <v>0</v>
      </c>
    </row>
    <row r="278" spans="28:89" x14ac:dyDescent="0.25">
      <c r="AB278" s="40" t="str" cm="1">
        <f t="array" ref="AB278">IF($AI278="","",IF(LEFT($AI278,2)="C|",IF($C278="","",SUMPRODUCT($AP$5:$AP$302*($AO$5:$AO$302=$A278),$CK$5:$CK$302)),IF($AI278="CT",AB$13,IF(LEFT($AI278,3)="AM|",IF($C278="","",SUMPRODUCT($AP$5:$AP$302*($AN$5:$AN$302=$A278),$CK$5:$CK$302)),IF(LEFT($AI278,2)="S|",IF($AG278="","",INDEX($CK$5:$CK$302,$AH278)),IF($AI278="HDR","Makeup Target",""))))))</f>
        <v/>
      </c>
      <c r="AC278" s="41" t="str">
        <f t="shared" si="129"/>
        <v/>
      </c>
      <c r="AN278" s="8" t="str" cm="1">
        <f t="array" ref="AN278">IF($AW278="","",_xlfn.LET(_xlpm.sa,IFERROR(TRIM(INDEX('Sales and count'!$D$4:$D$300,$BF278)&amp;""),""),_xlpm.ta,IFERROR(TRIM(INDEX('TY Sales Target'!$F$5:$F$300,$BG278)&amp;""),""),IF(AND(_xlpm.sa&lt;&gt;"",LEFT(_xlpm.sa,1)&lt;&gt;"#",_xlpm.sa&lt;&gt;"0"),_xlpm.sa,IF(AND(_xlpm.ta&lt;&gt;"",LEFT(_xlpm.ta,1)&lt;&gt;"#",_xlpm.ta&lt;&gt;"0"),_xlpm.ta,IF(ISNUMBER($BG278),"Unassigned","")))))</f>
        <v/>
      </c>
      <c r="AO278" s="8" t="str" cm="1">
        <f t="array" ref="AO278">IF($AW278="","",_xlfn.LET(_xlpm.sa,IFERROR(TRIM(INDEX('Sales and count'!$C$4:$C$300,$BF278)&amp;""),""),_xlpm.ta,IFERROR(TRIM(INDEX('TY Sales Target'!$D$5:$D$300,$BG278)&amp;""),""),IF(AND(_xlpm.sa&lt;&gt;"",LEFT(_xlpm.sa,1)&lt;&gt;"#",_xlpm.sa&lt;&gt;"0"),_xlpm.sa,IF(AND(_xlpm.ta&lt;&gt;"",LEFT(_xlpm.ta,1)&lt;&gt;"#",_xlpm.ta&lt;&gt;"0"),_xlpm.ta,""))))</f>
        <v/>
      </c>
      <c r="AP278" s="8">
        <f t="shared" si="131"/>
        <v>0</v>
      </c>
      <c r="AQ278" s="8">
        <f t="shared" si="132"/>
        <v>0</v>
      </c>
      <c r="AR278" s="8" cm="1">
        <f t="array" ref="AR278">IF($BF278="",0,_xlfn.LET(_xlpm.d,IFERROR(--'Sales and count'!$G$2:$CC$2,0),SUMPRODUCT(('Sales and count'!$G$3:$CC$3="Total")*(_xlpm.d&gt;=$U$4)*(_xlpm.d&lt;=$U$5),INDEX('Sales and count'!$G$4:$CC$300,$BF278,0))))</f>
        <v>0</v>
      </c>
      <c r="AS278" s="8" cm="1">
        <f t="array" ref="AS278">IF($BF278="",0,_xlfn.LET(_xlpm.d,IFERROR(--'Sales and count'!$F$2:$CB$2,0),SUMPRODUCT(('Sales and count'!$G$3:$CC$3="Transactions")*(_xlpm.d&gt;=$U$4)*(_xlpm.d&lt;=$U$5),INDEX('Sales and count'!$G$4:$CC$300,$BF278,0))))</f>
        <v>0</v>
      </c>
      <c r="AT278" s="8" cm="1">
        <f t="array" ref="AT278">IF($AW278="",0,SUMPRODUCT((TRIM('LY Sales '!$B$5:$B$200)=$AW278)*('LY Sales '!$C$2:$AG$2&gt;=EDATE($U$4,-12))*('LY Sales '!$C$2:$AG$2&lt;=EDATE($U$5,-12)),'LY Sales '!$C$5:$AG$200))</f>
        <v>0</v>
      </c>
      <c r="AU278" s="8" cm="1">
        <f t="array" ref="AU278">IF($AW278="",0,SUMPRODUCT((TRIM('LY Transaction'!$B$5:$B$200)=$AW278)*('LY Transaction'!$C$2:$AG$2&gt;=EDATE($U$4,-12))*('LY Transaction'!$C$2:$AG$2&lt;=EDATE($U$5,-12)),'LY Transaction'!$C$5:$AG$200))</f>
        <v>0</v>
      </c>
      <c r="AV278" s="8" cm="1">
        <f t="array" ref="AV278">IF(NOT(ISNUMBER($BG278)),0,SUMPRODUCT(('TY Sales Target'!$K$2:$AO$2&gt;=$U$4)*('TY Sales Target'!$K$2:$AO$2&lt;=$U$5),INDEX('TY Sales Target'!$K$5:$AO$300,$BG278,0)))</f>
        <v>0</v>
      </c>
      <c r="AW278" s="8" t="str" cm="1">
        <f t="array" ref="AW278">IFERROR(INDEX(_xlfn.ANCHORARRAY($BR$5),ROWS($AW$5:AW278)),"")</f>
        <v/>
      </c>
      <c r="BB278" cm="1">
        <f t="array" ref="BB278">IF($AW278="",0,SUMPRODUCT((TRIM(Footfall!$B$5:$B$301)=$AW278)*(Footfall!$C$1:$BZ$1&gt;=$U$4)*(Footfall!$C$2:$BZ$2&lt;=$U$5)*(Footfall!$C$1:$BZ$1&lt;&gt;""),Footfall!$C$5:$BZ$301))</f>
        <v>0</v>
      </c>
      <c r="BC278" cm="1">
        <f t="array" ref="BC278">IF(OR($BB278&lt;=0,$BD$1="",$BF278=""),0,_xlfn.LET(_xlpm.d,IFERROR(--'Sales and count'!$F$2:$CB$2,0),SUMPRODUCT(('Sales and count'!$G$3:$CC$3="Transactions")*(_xlpm.d&gt;=$BD$1)*(_xlpm.d&lt;=$BD$2),INDEX('Sales and count'!$G$4:$CC$300,$BF278,0))))</f>
        <v>0</v>
      </c>
      <c r="BF278" t="str" cm="1">
        <f t="array" ref="BF278">IF($AW278="","",IFERROR(MATCH($AW278,TRIM('Sales and count'!$A$4:$A$300&amp;""),0),""))</f>
        <v/>
      </c>
      <c r="BG278" t="str" cm="1">
        <f t="array" ref="BG278">IF($AW278="","",IFERROR(MATCH(IFERROR(_xlfn.XLOOKUP($AW278,$BT$5:$BT$22,$BU$5:$BU$22),$AW278),TRIM('TY Sales Target'!$B$5:$B$300&amp;""),0),""))</f>
        <v/>
      </c>
      <c r="BH278" t="str" cm="1">
        <f t="array" ref="BH278">IF(ISNUMBER($BG278),_xlfn.LET(_xlpm.p,TRIM(INDEX('TY Sales Target'!$I$5:$I$300,$BG278)&amp;""),IF(_xlpm.p="","Not set",_xlpm.p)),"Not set")</f>
        <v>Not set</v>
      </c>
      <c r="BI278" cm="1">
        <f t="array" ref="BI278">IF($BF278="",0,_xlfn.LET(_xlpm.d,IFERROR(--'Sales and count'!$G$2:$CC$2,0),SUMPRODUCT(('Sales and count'!$G$3:$CC$3="Total")*(_xlpm.d&gt;=$BZ$5)*(_xlpm.d&lt;=$BZ$6),INDEX('Sales and count'!$G$4:$CC$300,$BF278,0))))</f>
        <v>0</v>
      </c>
      <c r="BJ278" cm="1">
        <f t="array" ref="BJ278">IF($AW278="",0,SUMPRODUCT((TRIM('LY Sales '!$B$5:$B$200)=$AW278)*('LY Sales '!$C$2:$AG$2&gt;=EDATE($BZ$5,-12))*('LY Sales '!$C$2:$AG$2&lt;=EDATE($BZ$6,-12)),'LY Sales '!$C$5:$AG$200))</f>
        <v>0</v>
      </c>
      <c r="BK278" cm="1">
        <f t="array" ref="BK278">IF($AW278="",0,SUMPRODUCT((TRIM('LY Sales '!$B$5:$B$200)=$AW278)*('LY Sales '!$C$2:$AG$2&gt;=EDATE($BZ$5,-12))*('LY Sales '!$C$2:$AG$2&lt;=EDATE($BZ$7,-12)),'LY Sales '!$C$5:$AG$200))</f>
        <v>0</v>
      </c>
      <c r="BL278" cm="1">
        <f t="array" ref="BL278">IF($AW278="",0,SUMPRODUCT((TRIM('LY Sales '!$B$5:$B$200)=$AW278)*('LY Sales '!$C$2:$AG$2&gt;=EDATE($BZ$5,-12))*('LY Sales '!$C$2:$AG$2&lt;=EDATE($BZ$6,-12))*('LY Sales '!$C$5:$AG$200&gt;0)))</f>
        <v>0</v>
      </c>
      <c r="BM278" cm="1">
        <f t="array" ref="BM278">IF(NOT(ISNUMBER($BG278)),0,SUMPRODUCT(('TY Sales Target'!$K$2:$AO$2&gt;=$BZ$5)*('TY Sales Target'!$K$2:$AO$2&lt;=$BZ$6),INDEX('TY Sales Target'!$K$5:$AO$300,$BG278,0)))</f>
        <v>0</v>
      </c>
      <c r="BN278" cm="1">
        <f t="array" ref="BN278">IF(NOT(ISNUMBER($BG278)),0,SUMPRODUCT(('TY Sales Target'!$K$2:$AO$2&gt;=$BZ$5)*('TY Sales Target'!$K$2:$AO$2&lt;=$BZ$7),INDEX('TY Sales Target'!$K$5:$AO$300,$BG278,0)))</f>
        <v>0</v>
      </c>
      <c r="BO278" cm="1">
        <f t="array" ref="BO278">IF($AW278="",0,IFERROR(_xlfn.SWITCH($BP278,"LY trend",$BI278*$BK278/$BJ278,"Target curve",$BI278*$BN278/$BM278,"Run rate",$BI278/$BZ$8*$BZ$9,0),0))</f>
        <v>0</v>
      </c>
      <c r="BP278" t="str">
        <f t="shared" si="130"/>
        <v/>
      </c>
      <c r="CB278" cm="1">
        <f t="array" ref="CB278">IF($AW278="",0,_xlfn.LET(_xlpm.k,IFERROR(_xlfn.XLOOKUP($AW278,$CD$6:$CD$21,$CE$6:$CE$21),$AW278),SUMPRODUCT((TRIM('Makeup '!$A$2:$A$300&amp;"")=_xlpm.k)*1,IFERROR('Makeup '!$F$2:$F$300*1,0))))</f>
        <v>0</v>
      </c>
      <c r="CF278" t="str" cm="1">
        <f t="array" ref="CF278">IF($AW278="","",_xlfn.LET(_xlpm.c,IFERROR(TRIM(INDEX('Sales and count'!$B$4:$B$300,$BF278)&amp;""),""),IF(OR(_xlpm.c="",_xlpm.c="0",LEFT(_xlpm.c,1)="#"),"Not set",_xlpm.c)))</f>
        <v/>
      </c>
      <c r="CH278" cm="1">
        <f t="array" ref="CH278">IF($AW278="",0,_xlfn.LET(_xlpm.k,IFERROR(_xlfn.XLOOKUP($AW278,$CD$6:$CD$21,$CE$6:$CE$21),$AW278),--(SUMPRODUCT((TRIM('Makeup '!$A$2:$A$300&amp;"")=_xlpm.k)*ISNUMBER('Makeup '!$F$2:$F$300))&gt;0)))</f>
        <v>0</v>
      </c>
      <c r="CI278">
        <f t="shared" si="133"/>
        <v>0</v>
      </c>
      <c r="CJ278" cm="1">
        <f t="array" ref="CJ278">IF($AW278="",0,--(SUMPRODUCT(--(TRIM(Footfall!$B$5:$B$301)=$AW278))&gt;0))</f>
        <v>0</v>
      </c>
      <c r="CK278" s="8" cm="1">
        <f t="array" ref="CK278">IF($AW278="",0,_xlfn.LET(_xlpm.r,IFERROR(MATCH(IFERROR(_xlfn.XLOOKUP($AW278,$BT$5:$BT$22,$BU$5:$BU$22),$AW278),TRIM('TY Beauty Target'!$B$5:$B$300&amp;""),0),""),IF(ISNUMBER(_xlpm.r),SUMPRODUCT(('TY Beauty Target'!$L$2:$AP$2&gt;=$U$4)*('TY Beauty Target'!$L$2:$AP$2&lt;=$U$5),INDEX('TY Beauty Target'!$L$5:$AP$300,_xlpm.r,0)),0)))</f>
        <v>0</v>
      </c>
    </row>
    <row r="279" spans="28:89" x14ac:dyDescent="0.25">
      <c r="AB279" s="40" t="str" cm="1">
        <f t="array" ref="AB279">IF($AI279="","",IF(LEFT($AI279,2)="C|",IF($C279="","",SUMPRODUCT($AP$5:$AP$302*($AO$5:$AO$302=$A279),$CK$5:$CK$302)),IF($AI279="CT",AB$13,IF(LEFT($AI279,3)="AM|",IF($C279="","",SUMPRODUCT($AP$5:$AP$302*($AN$5:$AN$302=$A279),$CK$5:$CK$302)),IF(LEFT($AI279,2)="S|",IF($AG279="","",INDEX($CK$5:$CK$302,$AH279)),IF($AI279="HDR","Makeup Target",""))))))</f>
        <v/>
      </c>
      <c r="AC279" s="41" t="str">
        <f t="shared" si="129"/>
        <v/>
      </c>
      <c r="AN279" s="8" t="str" cm="1">
        <f t="array" ref="AN279">IF($AW279="","",_xlfn.LET(_xlpm.sa,IFERROR(TRIM(INDEX('Sales and count'!$D$4:$D$300,$BF279)&amp;""),""),_xlpm.ta,IFERROR(TRIM(INDEX('TY Sales Target'!$F$5:$F$300,$BG279)&amp;""),""),IF(AND(_xlpm.sa&lt;&gt;"",LEFT(_xlpm.sa,1)&lt;&gt;"#",_xlpm.sa&lt;&gt;"0"),_xlpm.sa,IF(AND(_xlpm.ta&lt;&gt;"",LEFT(_xlpm.ta,1)&lt;&gt;"#",_xlpm.ta&lt;&gt;"0"),_xlpm.ta,IF(ISNUMBER($BG279),"Unassigned","")))))</f>
        <v/>
      </c>
      <c r="AO279" s="8" t="str" cm="1">
        <f t="array" ref="AO279">IF($AW279="","",_xlfn.LET(_xlpm.sa,IFERROR(TRIM(INDEX('Sales and count'!$C$4:$C$300,$BF279)&amp;""),""),_xlpm.ta,IFERROR(TRIM(INDEX('TY Sales Target'!$D$5:$D$300,$BG279)&amp;""),""),IF(AND(_xlpm.sa&lt;&gt;"",LEFT(_xlpm.sa,1)&lt;&gt;"#",_xlpm.sa&lt;&gt;"0"),_xlpm.sa,IF(AND(_xlpm.ta&lt;&gt;"",LEFT(_xlpm.ta,1)&lt;&gt;"#",_xlpm.ta&lt;&gt;"0"),_xlpm.ta,""))))</f>
        <v/>
      </c>
      <c r="AP279" s="8">
        <f t="shared" si="131"/>
        <v>0</v>
      </c>
      <c r="AQ279" s="8">
        <f t="shared" si="132"/>
        <v>0</v>
      </c>
      <c r="AR279" s="8" cm="1">
        <f t="array" ref="AR279">IF($BF279="",0,_xlfn.LET(_xlpm.d,IFERROR(--'Sales and count'!$G$2:$CC$2,0),SUMPRODUCT(('Sales and count'!$G$3:$CC$3="Total")*(_xlpm.d&gt;=$U$4)*(_xlpm.d&lt;=$U$5),INDEX('Sales and count'!$G$4:$CC$300,$BF279,0))))</f>
        <v>0</v>
      </c>
      <c r="AS279" s="8" cm="1">
        <f t="array" ref="AS279">IF($BF279="",0,_xlfn.LET(_xlpm.d,IFERROR(--'Sales and count'!$F$2:$CB$2,0),SUMPRODUCT(('Sales and count'!$G$3:$CC$3="Transactions")*(_xlpm.d&gt;=$U$4)*(_xlpm.d&lt;=$U$5),INDEX('Sales and count'!$G$4:$CC$300,$BF279,0))))</f>
        <v>0</v>
      </c>
      <c r="AT279" s="8" cm="1">
        <f t="array" ref="AT279">IF($AW279="",0,SUMPRODUCT((TRIM('LY Sales '!$B$5:$B$200)=$AW279)*('LY Sales '!$C$2:$AG$2&gt;=EDATE($U$4,-12))*('LY Sales '!$C$2:$AG$2&lt;=EDATE($U$5,-12)),'LY Sales '!$C$5:$AG$200))</f>
        <v>0</v>
      </c>
      <c r="AU279" s="8" cm="1">
        <f t="array" ref="AU279">IF($AW279="",0,SUMPRODUCT((TRIM('LY Transaction'!$B$5:$B$200)=$AW279)*('LY Transaction'!$C$2:$AG$2&gt;=EDATE($U$4,-12))*('LY Transaction'!$C$2:$AG$2&lt;=EDATE($U$5,-12)),'LY Transaction'!$C$5:$AG$200))</f>
        <v>0</v>
      </c>
      <c r="AV279" s="8" cm="1">
        <f t="array" ref="AV279">IF(NOT(ISNUMBER($BG279)),0,SUMPRODUCT(('TY Sales Target'!$K$2:$AO$2&gt;=$U$4)*('TY Sales Target'!$K$2:$AO$2&lt;=$U$5),INDEX('TY Sales Target'!$K$5:$AO$300,$BG279,0)))</f>
        <v>0</v>
      </c>
      <c r="AW279" s="8" t="str" cm="1">
        <f t="array" ref="AW279">IFERROR(INDEX(_xlfn.ANCHORARRAY($BR$5),ROWS($AW$5:AW279)),"")</f>
        <v/>
      </c>
      <c r="BB279" cm="1">
        <f t="array" ref="BB279">IF($AW279="",0,SUMPRODUCT((TRIM(Footfall!$B$5:$B$301)=$AW279)*(Footfall!$C$1:$BZ$1&gt;=$U$4)*(Footfall!$C$2:$BZ$2&lt;=$U$5)*(Footfall!$C$1:$BZ$1&lt;&gt;""),Footfall!$C$5:$BZ$301))</f>
        <v>0</v>
      </c>
      <c r="BC279" cm="1">
        <f t="array" ref="BC279">IF(OR($BB279&lt;=0,$BD$1="",$BF279=""),0,_xlfn.LET(_xlpm.d,IFERROR(--'Sales and count'!$F$2:$CB$2,0),SUMPRODUCT(('Sales and count'!$G$3:$CC$3="Transactions")*(_xlpm.d&gt;=$BD$1)*(_xlpm.d&lt;=$BD$2),INDEX('Sales and count'!$G$4:$CC$300,$BF279,0))))</f>
        <v>0</v>
      </c>
      <c r="BF279" t="str" cm="1">
        <f t="array" ref="BF279">IF($AW279="","",IFERROR(MATCH($AW279,TRIM('Sales and count'!$A$4:$A$300&amp;""),0),""))</f>
        <v/>
      </c>
      <c r="BG279" t="str" cm="1">
        <f t="array" ref="BG279">IF($AW279="","",IFERROR(MATCH(IFERROR(_xlfn.XLOOKUP($AW279,$BT$5:$BT$22,$BU$5:$BU$22),$AW279),TRIM('TY Sales Target'!$B$5:$B$300&amp;""),0),""))</f>
        <v/>
      </c>
      <c r="BH279" t="str" cm="1">
        <f t="array" ref="BH279">IF(ISNUMBER($BG279),_xlfn.LET(_xlpm.p,TRIM(INDEX('TY Sales Target'!$I$5:$I$300,$BG279)&amp;""),IF(_xlpm.p="","Not set",_xlpm.p)),"Not set")</f>
        <v>Not set</v>
      </c>
      <c r="BI279" cm="1">
        <f t="array" ref="BI279">IF($BF279="",0,_xlfn.LET(_xlpm.d,IFERROR(--'Sales and count'!$G$2:$CC$2,0),SUMPRODUCT(('Sales and count'!$G$3:$CC$3="Total")*(_xlpm.d&gt;=$BZ$5)*(_xlpm.d&lt;=$BZ$6),INDEX('Sales and count'!$G$4:$CC$300,$BF279,0))))</f>
        <v>0</v>
      </c>
      <c r="BJ279" cm="1">
        <f t="array" ref="BJ279">IF($AW279="",0,SUMPRODUCT((TRIM('LY Sales '!$B$5:$B$200)=$AW279)*('LY Sales '!$C$2:$AG$2&gt;=EDATE($BZ$5,-12))*('LY Sales '!$C$2:$AG$2&lt;=EDATE($BZ$6,-12)),'LY Sales '!$C$5:$AG$200))</f>
        <v>0</v>
      </c>
      <c r="BK279" cm="1">
        <f t="array" ref="BK279">IF($AW279="",0,SUMPRODUCT((TRIM('LY Sales '!$B$5:$B$200)=$AW279)*('LY Sales '!$C$2:$AG$2&gt;=EDATE($BZ$5,-12))*('LY Sales '!$C$2:$AG$2&lt;=EDATE($BZ$7,-12)),'LY Sales '!$C$5:$AG$200))</f>
        <v>0</v>
      </c>
      <c r="BL279" cm="1">
        <f t="array" ref="BL279">IF($AW279="",0,SUMPRODUCT((TRIM('LY Sales '!$B$5:$B$200)=$AW279)*('LY Sales '!$C$2:$AG$2&gt;=EDATE($BZ$5,-12))*('LY Sales '!$C$2:$AG$2&lt;=EDATE($BZ$6,-12))*('LY Sales '!$C$5:$AG$200&gt;0)))</f>
        <v>0</v>
      </c>
      <c r="BM279" cm="1">
        <f t="array" ref="BM279">IF(NOT(ISNUMBER($BG279)),0,SUMPRODUCT(('TY Sales Target'!$K$2:$AO$2&gt;=$BZ$5)*('TY Sales Target'!$K$2:$AO$2&lt;=$BZ$6),INDEX('TY Sales Target'!$K$5:$AO$300,$BG279,0)))</f>
        <v>0</v>
      </c>
      <c r="BN279" cm="1">
        <f t="array" ref="BN279">IF(NOT(ISNUMBER($BG279)),0,SUMPRODUCT(('TY Sales Target'!$K$2:$AO$2&gt;=$BZ$5)*('TY Sales Target'!$K$2:$AO$2&lt;=$BZ$7),INDEX('TY Sales Target'!$K$5:$AO$300,$BG279,0)))</f>
        <v>0</v>
      </c>
      <c r="BO279" cm="1">
        <f t="array" ref="BO279">IF($AW279="",0,IFERROR(_xlfn.SWITCH($BP279,"LY trend",$BI279*$BK279/$BJ279,"Target curve",$BI279*$BN279/$BM279,"Run rate",$BI279/$BZ$8*$BZ$9,0),0))</f>
        <v>0</v>
      </c>
      <c r="BP279" t="str">
        <f t="shared" si="130"/>
        <v/>
      </c>
      <c r="CB279" cm="1">
        <f t="array" ref="CB279">IF($AW279="",0,_xlfn.LET(_xlpm.k,IFERROR(_xlfn.XLOOKUP($AW279,$CD$6:$CD$21,$CE$6:$CE$21),$AW279),SUMPRODUCT((TRIM('Makeup '!$A$2:$A$300&amp;"")=_xlpm.k)*1,IFERROR('Makeup '!$F$2:$F$300*1,0))))</f>
        <v>0</v>
      </c>
      <c r="CF279" t="str" cm="1">
        <f t="array" ref="CF279">IF($AW279="","",_xlfn.LET(_xlpm.c,IFERROR(TRIM(INDEX('Sales and count'!$B$4:$B$300,$BF279)&amp;""),""),IF(OR(_xlpm.c="",_xlpm.c="0",LEFT(_xlpm.c,1)="#"),"Not set",_xlpm.c)))</f>
        <v/>
      </c>
      <c r="CH279" cm="1">
        <f t="array" ref="CH279">IF($AW279="",0,_xlfn.LET(_xlpm.k,IFERROR(_xlfn.XLOOKUP($AW279,$CD$6:$CD$21,$CE$6:$CE$21),$AW279),--(SUMPRODUCT((TRIM('Makeup '!$A$2:$A$300&amp;"")=_xlpm.k)*ISNUMBER('Makeup '!$F$2:$F$300))&gt;0)))</f>
        <v>0</v>
      </c>
      <c r="CI279">
        <f t="shared" si="133"/>
        <v>0</v>
      </c>
      <c r="CJ279" cm="1">
        <f t="array" ref="CJ279">IF($AW279="",0,--(SUMPRODUCT(--(TRIM(Footfall!$B$5:$B$301)=$AW279))&gt;0))</f>
        <v>0</v>
      </c>
      <c r="CK279" s="8" cm="1">
        <f t="array" ref="CK279">IF($AW279="",0,_xlfn.LET(_xlpm.r,IFERROR(MATCH(IFERROR(_xlfn.XLOOKUP($AW279,$BT$5:$BT$22,$BU$5:$BU$22),$AW279),TRIM('TY Beauty Target'!$B$5:$B$300&amp;""),0),""),IF(ISNUMBER(_xlpm.r),SUMPRODUCT(('TY Beauty Target'!$L$2:$AP$2&gt;=$U$4)*('TY Beauty Target'!$L$2:$AP$2&lt;=$U$5),INDEX('TY Beauty Target'!$L$5:$AP$300,_xlpm.r,0)),0)))</f>
        <v>0</v>
      </c>
    </row>
    <row r="280" spans="28:89" x14ac:dyDescent="0.25">
      <c r="AB280" s="40" t="str" cm="1">
        <f t="array" ref="AB280">IF($AI280="","",IF(LEFT($AI280,2)="C|",IF($C280="","",SUMPRODUCT($AP$5:$AP$302*($AO$5:$AO$302=$A280),$CK$5:$CK$302)),IF($AI280="CT",AB$13,IF(LEFT($AI280,3)="AM|",IF($C280="","",SUMPRODUCT($AP$5:$AP$302*($AN$5:$AN$302=$A280),$CK$5:$CK$302)),IF(LEFT($AI280,2)="S|",IF($AG280="","",INDEX($CK$5:$CK$302,$AH280)),IF($AI280="HDR","Makeup Target",""))))))</f>
        <v/>
      </c>
      <c r="AC280" s="41" t="str">
        <f t="shared" si="129"/>
        <v/>
      </c>
      <c r="AN280" s="8" t="str" cm="1">
        <f t="array" ref="AN280">IF($AW280="","",_xlfn.LET(_xlpm.sa,IFERROR(TRIM(INDEX('Sales and count'!$D$4:$D$300,$BF280)&amp;""),""),_xlpm.ta,IFERROR(TRIM(INDEX('TY Sales Target'!$F$5:$F$300,$BG280)&amp;""),""),IF(AND(_xlpm.sa&lt;&gt;"",LEFT(_xlpm.sa,1)&lt;&gt;"#",_xlpm.sa&lt;&gt;"0"),_xlpm.sa,IF(AND(_xlpm.ta&lt;&gt;"",LEFT(_xlpm.ta,1)&lt;&gt;"#",_xlpm.ta&lt;&gt;"0"),_xlpm.ta,IF(ISNUMBER($BG280),"Unassigned","")))))</f>
        <v/>
      </c>
      <c r="AO280" s="8" t="str" cm="1">
        <f t="array" ref="AO280">IF($AW280="","",_xlfn.LET(_xlpm.sa,IFERROR(TRIM(INDEX('Sales and count'!$C$4:$C$300,$BF280)&amp;""),""),_xlpm.ta,IFERROR(TRIM(INDEX('TY Sales Target'!$D$5:$D$300,$BG280)&amp;""),""),IF(AND(_xlpm.sa&lt;&gt;"",LEFT(_xlpm.sa,1)&lt;&gt;"#",_xlpm.sa&lt;&gt;"0"),_xlpm.sa,IF(AND(_xlpm.ta&lt;&gt;"",LEFT(_xlpm.ta,1)&lt;&gt;"#",_xlpm.ta&lt;&gt;"0"),_xlpm.ta,""))))</f>
        <v/>
      </c>
      <c r="AP280" s="8">
        <f t="shared" si="131"/>
        <v>0</v>
      </c>
      <c r="AQ280" s="8">
        <f t="shared" si="132"/>
        <v>0</v>
      </c>
      <c r="AR280" s="8" cm="1">
        <f t="array" ref="AR280">IF($BF280="",0,_xlfn.LET(_xlpm.d,IFERROR(--'Sales and count'!$G$2:$CC$2,0),SUMPRODUCT(('Sales and count'!$G$3:$CC$3="Total")*(_xlpm.d&gt;=$U$4)*(_xlpm.d&lt;=$U$5),INDEX('Sales and count'!$G$4:$CC$300,$BF280,0))))</f>
        <v>0</v>
      </c>
      <c r="AS280" s="8" cm="1">
        <f t="array" ref="AS280">IF($BF280="",0,_xlfn.LET(_xlpm.d,IFERROR(--'Sales and count'!$F$2:$CB$2,0),SUMPRODUCT(('Sales and count'!$G$3:$CC$3="Transactions")*(_xlpm.d&gt;=$U$4)*(_xlpm.d&lt;=$U$5),INDEX('Sales and count'!$G$4:$CC$300,$BF280,0))))</f>
        <v>0</v>
      </c>
      <c r="AT280" s="8" cm="1">
        <f t="array" ref="AT280">IF($AW280="",0,SUMPRODUCT((TRIM('LY Sales '!$B$5:$B$200)=$AW280)*('LY Sales '!$C$2:$AG$2&gt;=EDATE($U$4,-12))*('LY Sales '!$C$2:$AG$2&lt;=EDATE($U$5,-12)),'LY Sales '!$C$5:$AG$200))</f>
        <v>0</v>
      </c>
      <c r="AU280" s="8" cm="1">
        <f t="array" ref="AU280">IF($AW280="",0,SUMPRODUCT((TRIM('LY Transaction'!$B$5:$B$200)=$AW280)*('LY Transaction'!$C$2:$AG$2&gt;=EDATE($U$4,-12))*('LY Transaction'!$C$2:$AG$2&lt;=EDATE($U$5,-12)),'LY Transaction'!$C$5:$AG$200))</f>
        <v>0</v>
      </c>
      <c r="AV280" s="8" cm="1">
        <f t="array" ref="AV280">IF(NOT(ISNUMBER($BG280)),0,SUMPRODUCT(('TY Sales Target'!$K$2:$AO$2&gt;=$U$4)*('TY Sales Target'!$K$2:$AO$2&lt;=$U$5),INDEX('TY Sales Target'!$K$5:$AO$300,$BG280,0)))</f>
        <v>0</v>
      </c>
      <c r="AW280" s="8" t="str" cm="1">
        <f t="array" ref="AW280">IFERROR(INDEX(_xlfn.ANCHORARRAY($BR$5),ROWS($AW$5:AW280)),"")</f>
        <v/>
      </c>
      <c r="BB280" cm="1">
        <f t="array" ref="BB280">IF($AW280="",0,SUMPRODUCT((TRIM(Footfall!$B$5:$B$301)=$AW280)*(Footfall!$C$1:$BZ$1&gt;=$U$4)*(Footfall!$C$2:$BZ$2&lt;=$U$5)*(Footfall!$C$1:$BZ$1&lt;&gt;""),Footfall!$C$5:$BZ$301))</f>
        <v>0</v>
      </c>
      <c r="BC280" cm="1">
        <f t="array" ref="BC280">IF(OR($BB280&lt;=0,$BD$1="",$BF280=""),0,_xlfn.LET(_xlpm.d,IFERROR(--'Sales and count'!$F$2:$CB$2,0),SUMPRODUCT(('Sales and count'!$G$3:$CC$3="Transactions")*(_xlpm.d&gt;=$BD$1)*(_xlpm.d&lt;=$BD$2),INDEX('Sales and count'!$G$4:$CC$300,$BF280,0))))</f>
        <v>0</v>
      </c>
      <c r="BF280" t="str" cm="1">
        <f t="array" ref="BF280">IF($AW280="","",IFERROR(MATCH($AW280,TRIM('Sales and count'!$A$4:$A$300&amp;""),0),""))</f>
        <v/>
      </c>
      <c r="BG280" t="str" cm="1">
        <f t="array" ref="BG280">IF($AW280="","",IFERROR(MATCH(IFERROR(_xlfn.XLOOKUP($AW280,$BT$5:$BT$22,$BU$5:$BU$22),$AW280),TRIM('TY Sales Target'!$B$5:$B$300&amp;""),0),""))</f>
        <v/>
      </c>
      <c r="BH280" t="str" cm="1">
        <f t="array" ref="BH280">IF(ISNUMBER($BG280),_xlfn.LET(_xlpm.p,TRIM(INDEX('TY Sales Target'!$I$5:$I$300,$BG280)&amp;""),IF(_xlpm.p="","Not set",_xlpm.p)),"Not set")</f>
        <v>Not set</v>
      </c>
      <c r="BI280" cm="1">
        <f t="array" ref="BI280">IF($BF280="",0,_xlfn.LET(_xlpm.d,IFERROR(--'Sales and count'!$G$2:$CC$2,0),SUMPRODUCT(('Sales and count'!$G$3:$CC$3="Total")*(_xlpm.d&gt;=$BZ$5)*(_xlpm.d&lt;=$BZ$6),INDEX('Sales and count'!$G$4:$CC$300,$BF280,0))))</f>
        <v>0</v>
      </c>
      <c r="BJ280" cm="1">
        <f t="array" ref="BJ280">IF($AW280="",0,SUMPRODUCT((TRIM('LY Sales '!$B$5:$B$200)=$AW280)*('LY Sales '!$C$2:$AG$2&gt;=EDATE($BZ$5,-12))*('LY Sales '!$C$2:$AG$2&lt;=EDATE($BZ$6,-12)),'LY Sales '!$C$5:$AG$200))</f>
        <v>0</v>
      </c>
      <c r="BK280" cm="1">
        <f t="array" ref="BK280">IF($AW280="",0,SUMPRODUCT((TRIM('LY Sales '!$B$5:$B$200)=$AW280)*('LY Sales '!$C$2:$AG$2&gt;=EDATE($BZ$5,-12))*('LY Sales '!$C$2:$AG$2&lt;=EDATE($BZ$7,-12)),'LY Sales '!$C$5:$AG$200))</f>
        <v>0</v>
      </c>
      <c r="BL280" cm="1">
        <f t="array" ref="BL280">IF($AW280="",0,SUMPRODUCT((TRIM('LY Sales '!$B$5:$B$200)=$AW280)*('LY Sales '!$C$2:$AG$2&gt;=EDATE($BZ$5,-12))*('LY Sales '!$C$2:$AG$2&lt;=EDATE($BZ$6,-12))*('LY Sales '!$C$5:$AG$200&gt;0)))</f>
        <v>0</v>
      </c>
      <c r="BM280" cm="1">
        <f t="array" ref="BM280">IF(NOT(ISNUMBER($BG280)),0,SUMPRODUCT(('TY Sales Target'!$K$2:$AO$2&gt;=$BZ$5)*('TY Sales Target'!$K$2:$AO$2&lt;=$BZ$6),INDEX('TY Sales Target'!$K$5:$AO$300,$BG280,0)))</f>
        <v>0</v>
      </c>
      <c r="BN280" cm="1">
        <f t="array" ref="BN280">IF(NOT(ISNUMBER($BG280)),0,SUMPRODUCT(('TY Sales Target'!$K$2:$AO$2&gt;=$BZ$5)*('TY Sales Target'!$K$2:$AO$2&lt;=$BZ$7),INDEX('TY Sales Target'!$K$5:$AO$300,$BG280,0)))</f>
        <v>0</v>
      </c>
      <c r="BO280" cm="1">
        <f t="array" ref="BO280">IF($AW280="",0,IFERROR(_xlfn.SWITCH($BP280,"LY trend",$BI280*$BK280/$BJ280,"Target curve",$BI280*$BN280/$BM280,"Run rate",$BI280/$BZ$8*$BZ$9,0),0))</f>
        <v>0</v>
      </c>
      <c r="BP280" t="str">
        <f t="shared" si="130"/>
        <v/>
      </c>
      <c r="CB280" cm="1">
        <f t="array" ref="CB280">IF($AW280="",0,_xlfn.LET(_xlpm.k,IFERROR(_xlfn.XLOOKUP($AW280,$CD$6:$CD$21,$CE$6:$CE$21),$AW280),SUMPRODUCT((TRIM('Makeup '!$A$2:$A$300&amp;"")=_xlpm.k)*1,IFERROR('Makeup '!$F$2:$F$300*1,0))))</f>
        <v>0</v>
      </c>
      <c r="CF280" t="str" cm="1">
        <f t="array" ref="CF280">IF($AW280="","",_xlfn.LET(_xlpm.c,IFERROR(TRIM(INDEX('Sales and count'!$B$4:$B$300,$BF280)&amp;""),""),IF(OR(_xlpm.c="",_xlpm.c="0",LEFT(_xlpm.c,1)="#"),"Not set",_xlpm.c)))</f>
        <v/>
      </c>
      <c r="CH280" cm="1">
        <f t="array" ref="CH280">IF($AW280="",0,_xlfn.LET(_xlpm.k,IFERROR(_xlfn.XLOOKUP($AW280,$CD$6:$CD$21,$CE$6:$CE$21),$AW280),--(SUMPRODUCT((TRIM('Makeup '!$A$2:$A$300&amp;"")=_xlpm.k)*ISNUMBER('Makeup '!$F$2:$F$300))&gt;0)))</f>
        <v>0</v>
      </c>
      <c r="CI280">
        <f t="shared" si="133"/>
        <v>0</v>
      </c>
      <c r="CJ280" cm="1">
        <f t="array" ref="CJ280">IF($AW280="",0,--(SUMPRODUCT(--(TRIM(Footfall!$B$5:$B$301)=$AW280))&gt;0))</f>
        <v>0</v>
      </c>
      <c r="CK280" s="8" cm="1">
        <f t="array" ref="CK280">IF($AW280="",0,_xlfn.LET(_xlpm.r,IFERROR(MATCH(IFERROR(_xlfn.XLOOKUP($AW280,$BT$5:$BT$22,$BU$5:$BU$22),$AW280),TRIM('TY Beauty Target'!$B$5:$B$300&amp;""),0),""),IF(ISNUMBER(_xlpm.r),SUMPRODUCT(('TY Beauty Target'!$L$2:$AP$2&gt;=$U$4)*('TY Beauty Target'!$L$2:$AP$2&lt;=$U$5),INDEX('TY Beauty Target'!$L$5:$AP$300,_xlpm.r,0)),0)))</f>
        <v>0</v>
      </c>
    </row>
    <row r="281" spans="28:89" x14ac:dyDescent="0.25">
      <c r="AB281" s="40" t="str" cm="1">
        <f t="array" ref="AB281">IF($AI281="","",IF(LEFT($AI281,2)="C|",IF($C281="","",SUMPRODUCT($AP$5:$AP$302*($AO$5:$AO$302=$A281),$CK$5:$CK$302)),IF($AI281="CT",AB$13,IF(LEFT($AI281,3)="AM|",IF($C281="","",SUMPRODUCT($AP$5:$AP$302*($AN$5:$AN$302=$A281),$CK$5:$CK$302)),IF(LEFT($AI281,2)="S|",IF($AG281="","",INDEX($CK$5:$CK$302,$AH281)),IF($AI281="HDR","Makeup Target",""))))))</f>
        <v/>
      </c>
      <c r="AC281" s="41" t="str">
        <f t="shared" si="129"/>
        <v/>
      </c>
      <c r="AN281" s="8" t="str" cm="1">
        <f t="array" ref="AN281">IF($AW281="","",_xlfn.LET(_xlpm.sa,IFERROR(TRIM(INDEX('Sales and count'!$D$4:$D$300,$BF281)&amp;""),""),_xlpm.ta,IFERROR(TRIM(INDEX('TY Sales Target'!$F$5:$F$300,$BG281)&amp;""),""),IF(AND(_xlpm.sa&lt;&gt;"",LEFT(_xlpm.sa,1)&lt;&gt;"#",_xlpm.sa&lt;&gt;"0"),_xlpm.sa,IF(AND(_xlpm.ta&lt;&gt;"",LEFT(_xlpm.ta,1)&lt;&gt;"#",_xlpm.ta&lt;&gt;"0"),_xlpm.ta,IF(ISNUMBER($BG281),"Unassigned","")))))</f>
        <v/>
      </c>
      <c r="AO281" s="8" t="str" cm="1">
        <f t="array" ref="AO281">IF($AW281="","",_xlfn.LET(_xlpm.sa,IFERROR(TRIM(INDEX('Sales and count'!$C$4:$C$300,$BF281)&amp;""),""),_xlpm.ta,IFERROR(TRIM(INDEX('TY Sales Target'!$D$5:$D$300,$BG281)&amp;""),""),IF(AND(_xlpm.sa&lt;&gt;"",LEFT(_xlpm.sa,1)&lt;&gt;"#",_xlpm.sa&lt;&gt;"0"),_xlpm.sa,IF(AND(_xlpm.ta&lt;&gt;"",LEFT(_xlpm.ta,1)&lt;&gt;"#",_xlpm.ta&lt;&gt;"0"),_xlpm.ta,""))))</f>
        <v/>
      </c>
      <c r="AP281" s="8">
        <f t="shared" si="131"/>
        <v>0</v>
      </c>
      <c r="AQ281" s="8">
        <f t="shared" si="132"/>
        <v>0</v>
      </c>
      <c r="AR281" s="8" cm="1">
        <f t="array" ref="AR281">IF($BF281="",0,_xlfn.LET(_xlpm.d,IFERROR(--'Sales and count'!$G$2:$CC$2,0),SUMPRODUCT(('Sales and count'!$G$3:$CC$3="Total")*(_xlpm.d&gt;=$U$4)*(_xlpm.d&lt;=$U$5),INDEX('Sales and count'!$G$4:$CC$300,$BF281,0))))</f>
        <v>0</v>
      </c>
      <c r="AS281" s="8" cm="1">
        <f t="array" ref="AS281">IF($BF281="",0,_xlfn.LET(_xlpm.d,IFERROR(--'Sales and count'!$F$2:$CB$2,0),SUMPRODUCT(('Sales and count'!$G$3:$CC$3="Transactions")*(_xlpm.d&gt;=$U$4)*(_xlpm.d&lt;=$U$5),INDEX('Sales and count'!$G$4:$CC$300,$BF281,0))))</f>
        <v>0</v>
      </c>
      <c r="AT281" s="8" cm="1">
        <f t="array" ref="AT281">IF($AW281="",0,SUMPRODUCT((TRIM('LY Sales '!$B$5:$B$200)=$AW281)*('LY Sales '!$C$2:$AG$2&gt;=EDATE($U$4,-12))*('LY Sales '!$C$2:$AG$2&lt;=EDATE($U$5,-12)),'LY Sales '!$C$5:$AG$200))</f>
        <v>0</v>
      </c>
      <c r="AU281" s="8" cm="1">
        <f t="array" ref="AU281">IF($AW281="",0,SUMPRODUCT((TRIM('LY Transaction'!$B$5:$B$200)=$AW281)*('LY Transaction'!$C$2:$AG$2&gt;=EDATE($U$4,-12))*('LY Transaction'!$C$2:$AG$2&lt;=EDATE($U$5,-12)),'LY Transaction'!$C$5:$AG$200))</f>
        <v>0</v>
      </c>
      <c r="AV281" s="8" cm="1">
        <f t="array" ref="AV281">IF(NOT(ISNUMBER($BG281)),0,SUMPRODUCT(('TY Sales Target'!$K$2:$AO$2&gt;=$U$4)*('TY Sales Target'!$K$2:$AO$2&lt;=$U$5),INDEX('TY Sales Target'!$K$5:$AO$300,$BG281,0)))</f>
        <v>0</v>
      </c>
      <c r="AW281" s="8" t="str" cm="1">
        <f t="array" ref="AW281">IFERROR(INDEX(_xlfn.ANCHORARRAY($BR$5),ROWS($AW$5:AW281)),"")</f>
        <v/>
      </c>
      <c r="BB281" cm="1">
        <f t="array" ref="BB281">IF($AW281="",0,SUMPRODUCT((TRIM(Footfall!$B$5:$B$301)=$AW281)*(Footfall!$C$1:$BZ$1&gt;=$U$4)*(Footfall!$C$2:$BZ$2&lt;=$U$5)*(Footfall!$C$1:$BZ$1&lt;&gt;""),Footfall!$C$5:$BZ$301))</f>
        <v>0</v>
      </c>
      <c r="BC281" cm="1">
        <f t="array" ref="BC281">IF(OR($BB281&lt;=0,$BD$1="",$BF281=""),0,_xlfn.LET(_xlpm.d,IFERROR(--'Sales and count'!$F$2:$CB$2,0),SUMPRODUCT(('Sales and count'!$G$3:$CC$3="Transactions")*(_xlpm.d&gt;=$BD$1)*(_xlpm.d&lt;=$BD$2),INDEX('Sales and count'!$G$4:$CC$300,$BF281,0))))</f>
        <v>0</v>
      </c>
      <c r="BF281" t="str" cm="1">
        <f t="array" ref="BF281">IF($AW281="","",IFERROR(MATCH($AW281,TRIM('Sales and count'!$A$4:$A$300&amp;""),0),""))</f>
        <v/>
      </c>
      <c r="BG281" t="str" cm="1">
        <f t="array" ref="BG281">IF($AW281="","",IFERROR(MATCH(IFERROR(_xlfn.XLOOKUP($AW281,$BT$5:$BT$22,$BU$5:$BU$22),$AW281),TRIM('TY Sales Target'!$B$5:$B$300&amp;""),0),""))</f>
        <v/>
      </c>
      <c r="BH281" t="str" cm="1">
        <f t="array" ref="BH281">IF(ISNUMBER($BG281),_xlfn.LET(_xlpm.p,TRIM(INDEX('TY Sales Target'!$I$5:$I$300,$BG281)&amp;""),IF(_xlpm.p="","Not set",_xlpm.p)),"Not set")</f>
        <v>Not set</v>
      </c>
      <c r="BI281" cm="1">
        <f t="array" ref="BI281">IF($BF281="",0,_xlfn.LET(_xlpm.d,IFERROR(--'Sales and count'!$G$2:$CC$2,0),SUMPRODUCT(('Sales and count'!$G$3:$CC$3="Total")*(_xlpm.d&gt;=$BZ$5)*(_xlpm.d&lt;=$BZ$6),INDEX('Sales and count'!$G$4:$CC$300,$BF281,0))))</f>
        <v>0</v>
      </c>
      <c r="BJ281" cm="1">
        <f t="array" ref="BJ281">IF($AW281="",0,SUMPRODUCT((TRIM('LY Sales '!$B$5:$B$200)=$AW281)*('LY Sales '!$C$2:$AG$2&gt;=EDATE($BZ$5,-12))*('LY Sales '!$C$2:$AG$2&lt;=EDATE($BZ$6,-12)),'LY Sales '!$C$5:$AG$200))</f>
        <v>0</v>
      </c>
      <c r="BK281" cm="1">
        <f t="array" ref="BK281">IF($AW281="",0,SUMPRODUCT((TRIM('LY Sales '!$B$5:$B$200)=$AW281)*('LY Sales '!$C$2:$AG$2&gt;=EDATE($BZ$5,-12))*('LY Sales '!$C$2:$AG$2&lt;=EDATE($BZ$7,-12)),'LY Sales '!$C$5:$AG$200))</f>
        <v>0</v>
      </c>
      <c r="BL281" cm="1">
        <f t="array" ref="BL281">IF($AW281="",0,SUMPRODUCT((TRIM('LY Sales '!$B$5:$B$200)=$AW281)*('LY Sales '!$C$2:$AG$2&gt;=EDATE($BZ$5,-12))*('LY Sales '!$C$2:$AG$2&lt;=EDATE($BZ$6,-12))*('LY Sales '!$C$5:$AG$200&gt;0)))</f>
        <v>0</v>
      </c>
      <c r="BM281" cm="1">
        <f t="array" ref="BM281">IF(NOT(ISNUMBER($BG281)),0,SUMPRODUCT(('TY Sales Target'!$K$2:$AO$2&gt;=$BZ$5)*('TY Sales Target'!$K$2:$AO$2&lt;=$BZ$6),INDEX('TY Sales Target'!$K$5:$AO$300,$BG281,0)))</f>
        <v>0</v>
      </c>
      <c r="BN281" cm="1">
        <f t="array" ref="BN281">IF(NOT(ISNUMBER($BG281)),0,SUMPRODUCT(('TY Sales Target'!$K$2:$AO$2&gt;=$BZ$5)*('TY Sales Target'!$K$2:$AO$2&lt;=$BZ$7),INDEX('TY Sales Target'!$K$5:$AO$300,$BG281,0)))</f>
        <v>0</v>
      </c>
      <c r="BO281" cm="1">
        <f t="array" ref="BO281">IF($AW281="",0,IFERROR(_xlfn.SWITCH($BP281,"LY trend",$BI281*$BK281/$BJ281,"Target curve",$BI281*$BN281/$BM281,"Run rate",$BI281/$BZ$8*$BZ$9,0),0))</f>
        <v>0</v>
      </c>
      <c r="BP281" t="str">
        <f t="shared" si="130"/>
        <v/>
      </c>
      <c r="CB281" cm="1">
        <f t="array" ref="CB281">IF($AW281="",0,_xlfn.LET(_xlpm.k,IFERROR(_xlfn.XLOOKUP($AW281,$CD$6:$CD$21,$CE$6:$CE$21),$AW281),SUMPRODUCT((TRIM('Makeup '!$A$2:$A$300&amp;"")=_xlpm.k)*1,IFERROR('Makeup '!$F$2:$F$300*1,0))))</f>
        <v>0</v>
      </c>
      <c r="CF281" t="str" cm="1">
        <f t="array" ref="CF281">IF($AW281="","",_xlfn.LET(_xlpm.c,IFERROR(TRIM(INDEX('Sales and count'!$B$4:$B$300,$BF281)&amp;""),""),IF(OR(_xlpm.c="",_xlpm.c="0",LEFT(_xlpm.c,1)="#"),"Not set",_xlpm.c)))</f>
        <v/>
      </c>
      <c r="CH281" cm="1">
        <f t="array" ref="CH281">IF($AW281="",0,_xlfn.LET(_xlpm.k,IFERROR(_xlfn.XLOOKUP($AW281,$CD$6:$CD$21,$CE$6:$CE$21),$AW281),--(SUMPRODUCT((TRIM('Makeup '!$A$2:$A$300&amp;"")=_xlpm.k)*ISNUMBER('Makeup '!$F$2:$F$300))&gt;0)))</f>
        <v>0</v>
      </c>
      <c r="CI281">
        <f t="shared" si="133"/>
        <v>0</v>
      </c>
      <c r="CJ281" cm="1">
        <f t="array" ref="CJ281">IF($AW281="",0,--(SUMPRODUCT(--(TRIM(Footfall!$B$5:$B$301)=$AW281))&gt;0))</f>
        <v>0</v>
      </c>
      <c r="CK281" s="8" cm="1">
        <f t="array" ref="CK281">IF($AW281="",0,_xlfn.LET(_xlpm.r,IFERROR(MATCH(IFERROR(_xlfn.XLOOKUP($AW281,$BT$5:$BT$22,$BU$5:$BU$22),$AW281),TRIM('TY Beauty Target'!$B$5:$B$300&amp;""),0),""),IF(ISNUMBER(_xlpm.r),SUMPRODUCT(('TY Beauty Target'!$L$2:$AP$2&gt;=$U$4)*('TY Beauty Target'!$L$2:$AP$2&lt;=$U$5),INDEX('TY Beauty Target'!$L$5:$AP$300,_xlpm.r,0)),0)))</f>
        <v>0</v>
      </c>
    </row>
    <row r="282" spans="28:89" x14ac:dyDescent="0.25">
      <c r="AB282" s="40" t="str" cm="1">
        <f t="array" ref="AB282">IF($AI282="","",IF(LEFT($AI282,2)="C|",IF($C282="","",SUMPRODUCT($AP$5:$AP$302*($AO$5:$AO$302=$A282),$CK$5:$CK$302)),IF($AI282="CT",AB$13,IF(LEFT($AI282,3)="AM|",IF($C282="","",SUMPRODUCT($AP$5:$AP$302*($AN$5:$AN$302=$A282),$CK$5:$CK$302)),IF(LEFT($AI282,2)="S|",IF($AG282="","",INDEX($CK$5:$CK$302,$AH282)),IF($AI282="HDR","Makeup Target",""))))))</f>
        <v/>
      </c>
      <c r="AC282" s="41" t="str">
        <f t="shared" si="129"/>
        <v/>
      </c>
      <c r="AN282" s="8" t="str" cm="1">
        <f t="array" ref="AN282">IF($AW282="","",_xlfn.LET(_xlpm.sa,IFERROR(TRIM(INDEX('Sales and count'!$D$4:$D$300,$BF282)&amp;""),""),_xlpm.ta,IFERROR(TRIM(INDEX('TY Sales Target'!$F$5:$F$300,$BG282)&amp;""),""),IF(AND(_xlpm.sa&lt;&gt;"",LEFT(_xlpm.sa,1)&lt;&gt;"#",_xlpm.sa&lt;&gt;"0"),_xlpm.sa,IF(AND(_xlpm.ta&lt;&gt;"",LEFT(_xlpm.ta,1)&lt;&gt;"#",_xlpm.ta&lt;&gt;"0"),_xlpm.ta,IF(ISNUMBER($BG282),"Unassigned","")))))</f>
        <v/>
      </c>
      <c r="AO282" s="8" t="str" cm="1">
        <f t="array" ref="AO282">IF($AW282="","",_xlfn.LET(_xlpm.sa,IFERROR(TRIM(INDEX('Sales and count'!$C$4:$C$300,$BF282)&amp;""),""),_xlpm.ta,IFERROR(TRIM(INDEX('TY Sales Target'!$D$5:$D$300,$BG282)&amp;""),""),IF(AND(_xlpm.sa&lt;&gt;"",LEFT(_xlpm.sa,1)&lt;&gt;"#",_xlpm.sa&lt;&gt;"0"),_xlpm.sa,IF(AND(_xlpm.ta&lt;&gt;"",LEFT(_xlpm.ta,1)&lt;&gt;"#",_xlpm.ta&lt;&gt;"0"),_xlpm.ta,""))))</f>
        <v/>
      </c>
      <c r="AP282" s="8">
        <f t="shared" si="131"/>
        <v>0</v>
      </c>
      <c r="AQ282" s="8">
        <f t="shared" si="132"/>
        <v>0</v>
      </c>
      <c r="AR282" s="8" cm="1">
        <f t="array" ref="AR282">IF($BF282="",0,_xlfn.LET(_xlpm.d,IFERROR(--'Sales and count'!$G$2:$CC$2,0),SUMPRODUCT(('Sales and count'!$G$3:$CC$3="Total")*(_xlpm.d&gt;=$U$4)*(_xlpm.d&lt;=$U$5),INDEX('Sales and count'!$G$4:$CC$300,$BF282,0))))</f>
        <v>0</v>
      </c>
      <c r="AS282" s="8" cm="1">
        <f t="array" ref="AS282">IF($BF282="",0,_xlfn.LET(_xlpm.d,IFERROR(--'Sales and count'!$F$2:$CB$2,0),SUMPRODUCT(('Sales and count'!$G$3:$CC$3="Transactions")*(_xlpm.d&gt;=$U$4)*(_xlpm.d&lt;=$U$5),INDEX('Sales and count'!$G$4:$CC$300,$BF282,0))))</f>
        <v>0</v>
      </c>
      <c r="AT282" s="8" cm="1">
        <f t="array" ref="AT282">IF($AW282="",0,SUMPRODUCT((TRIM('LY Sales '!$B$5:$B$200)=$AW282)*('LY Sales '!$C$2:$AG$2&gt;=EDATE($U$4,-12))*('LY Sales '!$C$2:$AG$2&lt;=EDATE($U$5,-12)),'LY Sales '!$C$5:$AG$200))</f>
        <v>0</v>
      </c>
      <c r="AU282" s="8" cm="1">
        <f t="array" ref="AU282">IF($AW282="",0,SUMPRODUCT((TRIM('LY Transaction'!$B$5:$B$200)=$AW282)*('LY Transaction'!$C$2:$AG$2&gt;=EDATE($U$4,-12))*('LY Transaction'!$C$2:$AG$2&lt;=EDATE($U$5,-12)),'LY Transaction'!$C$5:$AG$200))</f>
        <v>0</v>
      </c>
      <c r="AV282" s="8" cm="1">
        <f t="array" ref="AV282">IF(NOT(ISNUMBER($BG282)),0,SUMPRODUCT(('TY Sales Target'!$K$2:$AO$2&gt;=$U$4)*('TY Sales Target'!$K$2:$AO$2&lt;=$U$5),INDEX('TY Sales Target'!$K$5:$AO$300,$BG282,0)))</f>
        <v>0</v>
      </c>
      <c r="AW282" s="8" t="str" cm="1">
        <f t="array" ref="AW282">IFERROR(INDEX(_xlfn.ANCHORARRAY($BR$5),ROWS($AW$5:AW282)),"")</f>
        <v/>
      </c>
      <c r="BB282" cm="1">
        <f t="array" ref="BB282">IF($AW282="",0,SUMPRODUCT((TRIM(Footfall!$B$5:$B$301)=$AW282)*(Footfall!$C$1:$BZ$1&gt;=$U$4)*(Footfall!$C$2:$BZ$2&lt;=$U$5)*(Footfall!$C$1:$BZ$1&lt;&gt;""),Footfall!$C$5:$BZ$301))</f>
        <v>0</v>
      </c>
      <c r="BC282" cm="1">
        <f t="array" ref="BC282">IF(OR($BB282&lt;=0,$BD$1="",$BF282=""),0,_xlfn.LET(_xlpm.d,IFERROR(--'Sales and count'!$F$2:$CB$2,0),SUMPRODUCT(('Sales and count'!$G$3:$CC$3="Transactions")*(_xlpm.d&gt;=$BD$1)*(_xlpm.d&lt;=$BD$2),INDEX('Sales and count'!$G$4:$CC$300,$BF282,0))))</f>
        <v>0</v>
      </c>
      <c r="BF282" t="str" cm="1">
        <f t="array" ref="BF282">IF($AW282="","",IFERROR(MATCH($AW282,TRIM('Sales and count'!$A$4:$A$300&amp;""),0),""))</f>
        <v/>
      </c>
      <c r="BG282" t="str" cm="1">
        <f t="array" ref="BG282">IF($AW282="","",IFERROR(MATCH(IFERROR(_xlfn.XLOOKUP($AW282,$BT$5:$BT$22,$BU$5:$BU$22),$AW282),TRIM('TY Sales Target'!$B$5:$B$300&amp;""),0),""))</f>
        <v/>
      </c>
      <c r="BH282" t="str" cm="1">
        <f t="array" ref="BH282">IF(ISNUMBER($BG282),_xlfn.LET(_xlpm.p,TRIM(INDEX('TY Sales Target'!$I$5:$I$300,$BG282)&amp;""),IF(_xlpm.p="","Not set",_xlpm.p)),"Not set")</f>
        <v>Not set</v>
      </c>
      <c r="BI282" cm="1">
        <f t="array" ref="BI282">IF($BF282="",0,_xlfn.LET(_xlpm.d,IFERROR(--'Sales and count'!$G$2:$CC$2,0),SUMPRODUCT(('Sales and count'!$G$3:$CC$3="Total")*(_xlpm.d&gt;=$BZ$5)*(_xlpm.d&lt;=$BZ$6),INDEX('Sales and count'!$G$4:$CC$300,$BF282,0))))</f>
        <v>0</v>
      </c>
      <c r="BJ282" cm="1">
        <f t="array" ref="BJ282">IF($AW282="",0,SUMPRODUCT((TRIM('LY Sales '!$B$5:$B$200)=$AW282)*('LY Sales '!$C$2:$AG$2&gt;=EDATE($BZ$5,-12))*('LY Sales '!$C$2:$AG$2&lt;=EDATE($BZ$6,-12)),'LY Sales '!$C$5:$AG$200))</f>
        <v>0</v>
      </c>
      <c r="BK282" cm="1">
        <f t="array" ref="BK282">IF($AW282="",0,SUMPRODUCT((TRIM('LY Sales '!$B$5:$B$200)=$AW282)*('LY Sales '!$C$2:$AG$2&gt;=EDATE($BZ$5,-12))*('LY Sales '!$C$2:$AG$2&lt;=EDATE($BZ$7,-12)),'LY Sales '!$C$5:$AG$200))</f>
        <v>0</v>
      </c>
      <c r="BL282" cm="1">
        <f t="array" ref="BL282">IF($AW282="",0,SUMPRODUCT((TRIM('LY Sales '!$B$5:$B$200)=$AW282)*('LY Sales '!$C$2:$AG$2&gt;=EDATE($BZ$5,-12))*('LY Sales '!$C$2:$AG$2&lt;=EDATE($BZ$6,-12))*('LY Sales '!$C$5:$AG$200&gt;0)))</f>
        <v>0</v>
      </c>
      <c r="BM282" cm="1">
        <f t="array" ref="BM282">IF(NOT(ISNUMBER($BG282)),0,SUMPRODUCT(('TY Sales Target'!$K$2:$AO$2&gt;=$BZ$5)*('TY Sales Target'!$K$2:$AO$2&lt;=$BZ$6),INDEX('TY Sales Target'!$K$5:$AO$300,$BG282,0)))</f>
        <v>0</v>
      </c>
      <c r="BN282" cm="1">
        <f t="array" ref="BN282">IF(NOT(ISNUMBER($BG282)),0,SUMPRODUCT(('TY Sales Target'!$K$2:$AO$2&gt;=$BZ$5)*('TY Sales Target'!$K$2:$AO$2&lt;=$BZ$7),INDEX('TY Sales Target'!$K$5:$AO$300,$BG282,0)))</f>
        <v>0</v>
      </c>
      <c r="BO282" cm="1">
        <f t="array" ref="BO282">IF($AW282="",0,IFERROR(_xlfn.SWITCH($BP282,"LY trend",$BI282*$BK282/$BJ282,"Target curve",$BI282*$BN282/$BM282,"Run rate",$BI282/$BZ$8*$BZ$9,0),0))</f>
        <v>0</v>
      </c>
      <c r="BP282" t="str">
        <f t="shared" si="130"/>
        <v/>
      </c>
      <c r="CB282" cm="1">
        <f t="array" ref="CB282">IF($AW282="",0,_xlfn.LET(_xlpm.k,IFERROR(_xlfn.XLOOKUP($AW282,$CD$6:$CD$21,$CE$6:$CE$21),$AW282),SUMPRODUCT((TRIM('Makeup '!$A$2:$A$300&amp;"")=_xlpm.k)*1,IFERROR('Makeup '!$F$2:$F$300*1,0))))</f>
        <v>0</v>
      </c>
      <c r="CF282" t="str" cm="1">
        <f t="array" ref="CF282">IF($AW282="","",_xlfn.LET(_xlpm.c,IFERROR(TRIM(INDEX('Sales and count'!$B$4:$B$300,$BF282)&amp;""),""),IF(OR(_xlpm.c="",_xlpm.c="0",LEFT(_xlpm.c,1)="#"),"Not set",_xlpm.c)))</f>
        <v/>
      </c>
      <c r="CH282" cm="1">
        <f t="array" ref="CH282">IF($AW282="",0,_xlfn.LET(_xlpm.k,IFERROR(_xlfn.XLOOKUP($AW282,$CD$6:$CD$21,$CE$6:$CE$21),$AW282),--(SUMPRODUCT((TRIM('Makeup '!$A$2:$A$300&amp;"")=_xlpm.k)*ISNUMBER('Makeup '!$F$2:$F$300))&gt;0)))</f>
        <v>0</v>
      </c>
      <c r="CI282">
        <f t="shared" si="133"/>
        <v>0</v>
      </c>
      <c r="CJ282" cm="1">
        <f t="array" ref="CJ282">IF($AW282="",0,--(SUMPRODUCT(--(TRIM(Footfall!$B$5:$B$301)=$AW282))&gt;0))</f>
        <v>0</v>
      </c>
      <c r="CK282" s="8" cm="1">
        <f t="array" ref="CK282">IF($AW282="",0,_xlfn.LET(_xlpm.r,IFERROR(MATCH(IFERROR(_xlfn.XLOOKUP($AW282,$BT$5:$BT$22,$BU$5:$BU$22),$AW282),TRIM('TY Beauty Target'!$B$5:$B$300&amp;""),0),""),IF(ISNUMBER(_xlpm.r),SUMPRODUCT(('TY Beauty Target'!$L$2:$AP$2&gt;=$U$4)*('TY Beauty Target'!$L$2:$AP$2&lt;=$U$5),INDEX('TY Beauty Target'!$L$5:$AP$300,_xlpm.r,0)),0)))</f>
        <v>0</v>
      </c>
    </row>
    <row r="283" spans="28:89" x14ac:dyDescent="0.25">
      <c r="AB283" s="40" t="str" cm="1">
        <f t="array" ref="AB283">IF($AI283="","",IF(LEFT($AI283,2)="C|",IF($C283="","",SUMPRODUCT($AP$5:$AP$302*($AO$5:$AO$302=$A283),$CK$5:$CK$302)),IF($AI283="CT",AB$13,IF(LEFT($AI283,3)="AM|",IF($C283="","",SUMPRODUCT($AP$5:$AP$302*($AN$5:$AN$302=$A283),$CK$5:$CK$302)),IF(LEFT($AI283,2)="S|",IF($AG283="","",INDEX($CK$5:$CK$302,$AH283)),IF($AI283="HDR","Makeup Target",""))))))</f>
        <v/>
      </c>
      <c r="AC283" s="41" t="str">
        <f t="shared" si="129"/>
        <v/>
      </c>
      <c r="AN283" s="8" t="str" cm="1">
        <f t="array" ref="AN283">IF($AW283="","",_xlfn.LET(_xlpm.sa,IFERROR(TRIM(INDEX('Sales and count'!$D$4:$D$300,$BF283)&amp;""),""),_xlpm.ta,IFERROR(TRIM(INDEX('TY Sales Target'!$F$5:$F$300,$BG283)&amp;""),""),IF(AND(_xlpm.sa&lt;&gt;"",LEFT(_xlpm.sa,1)&lt;&gt;"#",_xlpm.sa&lt;&gt;"0"),_xlpm.sa,IF(AND(_xlpm.ta&lt;&gt;"",LEFT(_xlpm.ta,1)&lt;&gt;"#",_xlpm.ta&lt;&gt;"0"),_xlpm.ta,IF(ISNUMBER($BG283),"Unassigned","")))))</f>
        <v/>
      </c>
      <c r="AO283" s="8" t="str" cm="1">
        <f t="array" ref="AO283">IF($AW283="","",_xlfn.LET(_xlpm.sa,IFERROR(TRIM(INDEX('Sales and count'!$C$4:$C$300,$BF283)&amp;""),""),_xlpm.ta,IFERROR(TRIM(INDEX('TY Sales Target'!$D$5:$D$300,$BG283)&amp;""),""),IF(AND(_xlpm.sa&lt;&gt;"",LEFT(_xlpm.sa,1)&lt;&gt;"#",_xlpm.sa&lt;&gt;"0"),_xlpm.sa,IF(AND(_xlpm.ta&lt;&gt;"",LEFT(_xlpm.ta,1)&lt;&gt;"#",_xlpm.ta&lt;&gt;"0"),_xlpm.ta,""))))</f>
        <v/>
      </c>
      <c r="AP283" s="8">
        <f t="shared" si="131"/>
        <v>0</v>
      </c>
      <c r="AQ283" s="8">
        <f t="shared" si="132"/>
        <v>0</v>
      </c>
      <c r="AR283" s="8" cm="1">
        <f t="array" ref="AR283">IF($BF283="",0,_xlfn.LET(_xlpm.d,IFERROR(--'Sales and count'!$G$2:$CC$2,0),SUMPRODUCT(('Sales and count'!$G$3:$CC$3="Total")*(_xlpm.d&gt;=$U$4)*(_xlpm.d&lt;=$U$5),INDEX('Sales and count'!$G$4:$CC$300,$BF283,0))))</f>
        <v>0</v>
      </c>
      <c r="AS283" s="8" cm="1">
        <f t="array" ref="AS283">IF($BF283="",0,_xlfn.LET(_xlpm.d,IFERROR(--'Sales and count'!$F$2:$CB$2,0),SUMPRODUCT(('Sales and count'!$G$3:$CC$3="Transactions")*(_xlpm.d&gt;=$U$4)*(_xlpm.d&lt;=$U$5),INDEX('Sales and count'!$G$4:$CC$300,$BF283,0))))</f>
        <v>0</v>
      </c>
      <c r="AT283" s="8" cm="1">
        <f t="array" ref="AT283">IF($AW283="",0,SUMPRODUCT((TRIM('LY Sales '!$B$5:$B$200)=$AW283)*('LY Sales '!$C$2:$AG$2&gt;=EDATE($U$4,-12))*('LY Sales '!$C$2:$AG$2&lt;=EDATE($U$5,-12)),'LY Sales '!$C$5:$AG$200))</f>
        <v>0</v>
      </c>
      <c r="AU283" s="8" cm="1">
        <f t="array" ref="AU283">IF($AW283="",0,SUMPRODUCT((TRIM('LY Transaction'!$B$5:$B$200)=$AW283)*('LY Transaction'!$C$2:$AG$2&gt;=EDATE($U$4,-12))*('LY Transaction'!$C$2:$AG$2&lt;=EDATE($U$5,-12)),'LY Transaction'!$C$5:$AG$200))</f>
        <v>0</v>
      </c>
      <c r="AV283" s="8" cm="1">
        <f t="array" ref="AV283">IF(NOT(ISNUMBER($BG283)),0,SUMPRODUCT(('TY Sales Target'!$K$2:$AO$2&gt;=$U$4)*('TY Sales Target'!$K$2:$AO$2&lt;=$U$5),INDEX('TY Sales Target'!$K$5:$AO$300,$BG283,0)))</f>
        <v>0</v>
      </c>
      <c r="AW283" s="8" t="str" cm="1">
        <f t="array" ref="AW283">IFERROR(INDEX(_xlfn.ANCHORARRAY($BR$5),ROWS($AW$5:AW283)),"")</f>
        <v/>
      </c>
      <c r="BB283" cm="1">
        <f t="array" ref="BB283">IF($AW283="",0,SUMPRODUCT((TRIM(Footfall!$B$5:$B$301)=$AW283)*(Footfall!$C$1:$BZ$1&gt;=$U$4)*(Footfall!$C$2:$BZ$2&lt;=$U$5)*(Footfall!$C$1:$BZ$1&lt;&gt;""),Footfall!$C$5:$BZ$301))</f>
        <v>0</v>
      </c>
      <c r="BC283" cm="1">
        <f t="array" ref="BC283">IF(OR($BB283&lt;=0,$BD$1="",$BF283=""),0,_xlfn.LET(_xlpm.d,IFERROR(--'Sales and count'!$F$2:$CB$2,0),SUMPRODUCT(('Sales and count'!$G$3:$CC$3="Transactions")*(_xlpm.d&gt;=$BD$1)*(_xlpm.d&lt;=$BD$2),INDEX('Sales and count'!$G$4:$CC$300,$BF283,0))))</f>
        <v>0</v>
      </c>
      <c r="BF283" t="str" cm="1">
        <f t="array" ref="BF283">IF($AW283="","",IFERROR(MATCH($AW283,TRIM('Sales and count'!$A$4:$A$300&amp;""),0),""))</f>
        <v/>
      </c>
      <c r="BG283" t="str" cm="1">
        <f t="array" ref="BG283">IF($AW283="","",IFERROR(MATCH(IFERROR(_xlfn.XLOOKUP($AW283,$BT$5:$BT$22,$BU$5:$BU$22),$AW283),TRIM('TY Sales Target'!$B$5:$B$300&amp;""),0),""))</f>
        <v/>
      </c>
      <c r="BH283" t="str" cm="1">
        <f t="array" ref="BH283">IF(ISNUMBER($BG283),_xlfn.LET(_xlpm.p,TRIM(INDEX('TY Sales Target'!$I$5:$I$300,$BG283)&amp;""),IF(_xlpm.p="","Not set",_xlpm.p)),"Not set")</f>
        <v>Not set</v>
      </c>
      <c r="BI283" cm="1">
        <f t="array" ref="BI283">IF($BF283="",0,_xlfn.LET(_xlpm.d,IFERROR(--'Sales and count'!$G$2:$CC$2,0),SUMPRODUCT(('Sales and count'!$G$3:$CC$3="Total")*(_xlpm.d&gt;=$BZ$5)*(_xlpm.d&lt;=$BZ$6),INDEX('Sales and count'!$G$4:$CC$300,$BF283,0))))</f>
        <v>0</v>
      </c>
      <c r="BJ283" cm="1">
        <f t="array" ref="BJ283">IF($AW283="",0,SUMPRODUCT((TRIM('LY Sales '!$B$5:$B$200)=$AW283)*('LY Sales '!$C$2:$AG$2&gt;=EDATE($BZ$5,-12))*('LY Sales '!$C$2:$AG$2&lt;=EDATE($BZ$6,-12)),'LY Sales '!$C$5:$AG$200))</f>
        <v>0</v>
      </c>
      <c r="BK283" cm="1">
        <f t="array" ref="BK283">IF($AW283="",0,SUMPRODUCT((TRIM('LY Sales '!$B$5:$B$200)=$AW283)*('LY Sales '!$C$2:$AG$2&gt;=EDATE($BZ$5,-12))*('LY Sales '!$C$2:$AG$2&lt;=EDATE($BZ$7,-12)),'LY Sales '!$C$5:$AG$200))</f>
        <v>0</v>
      </c>
      <c r="BL283" cm="1">
        <f t="array" ref="BL283">IF($AW283="",0,SUMPRODUCT((TRIM('LY Sales '!$B$5:$B$200)=$AW283)*('LY Sales '!$C$2:$AG$2&gt;=EDATE($BZ$5,-12))*('LY Sales '!$C$2:$AG$2&lt;=EDATE($BZ$6,-12))*('LY Sales '!$C$5:$AG$200&gt;0)))</f>
        <v>0</v>
      </c>
      <c r="BM283" cm="1">
        <f t="array" ref="BM283">IF(NOT(ISNUMBER($BG283)),0,SUMPRODUCT(('TY Sales Target'!$K$2:$AO$2&gt;=$BZ$5)*('TY Sales Target'!$K$2:$AO$2&lt;=$BZ$6),INDEX('TY Sales Target'!$K$5:$AO$300,$BG283,0)))</f>
        <v>0</v>
      </c>
      <c r="BN283" cm="1">
        <f t="array" ref="BN283">IF(NOT(ISNUMBER($BG283)),0,SUMPRODUCT(('TY Sales Target'!$K$2:$AO$2&gt;=$BZ$5)*('TY Sales Target'!$K$2:$AO$2&lt;=$BZ$7),INDEX('TY Sales Target'!$K$5:$AO$300,$BG283,0)))</f>
        <v>0</v>
      </c>
      <c r="BO283" cm="1">
        <f t="array" ref="BO283">IF($AW283="",0,IFERROR(_xlfn.SWITCH($BP283,"LY trend",$BI283*$BK283/$BJ283,"Target curve",$BI283*$BN283/$BM283,"Run rate",$BI283/$BZ$8*$BZ$9,0),0))</f>
        <v>0</v>
      </c>
      <c r="BP283" t="str">
        <f t="shared" si="130"/>
        <v/>
      </c>
      <c r="CB283" cm="1">
        <f t="array" ref="CB283">IF($AW283="",0,_xlfn.LET(_xlpm.k,IFERROR(_xlfn.XLOOKUP($AW283,$CD$6:$CD$21,$CE$6:$CE$21),$AW283),SUMPRODUCT((TRIM('Makeup '!$A$2:$A$300&amp;"")=_xlpm.k)*1,IFERROR('Makeup '!$F$2:$F$300*1,0))))</f>
        <v>0</v>
      </c>
      <c r="CF283" t="str" cm="1">
        <f t="array" ref="CF283">IF($AW283="","",_xlfn.LET(_xlpm.c,IFERROR(TRIM(INDEX('Sales and count'!$B$4:$B$300,$BF283)&amp;""),""),IF(OR(_xlpm.c="",_xlpm.c="0",LEFT(_xlpm.c,1)="#"),"Not set",_xlpm.c)))</f>
        <v/>
      </c>
      <c r="CH283" cm="1">
        <f t="array" ref="CH283">IF($AW283="",0,_xlfn.LET(_xlpm.k,IFERROR(_xlfn.XLOOKUP($AW283,$CD$6:$CD$21,$CE$6:$CE$21),$AW283),--(SUMPRODUCT((TRIM('Makeup '!$A$2:$A$300&amp;"")=_xlpm.k)*ISNUMBER('Makeup '!$F$2:$F$300))&gt;0)))</f>
        <v>0</v>
      </c>
      <c r="CI283">
        <f t="shared" si="133"/>
        <v>0</v>
      </c>
      <c r="CJ283" cm="1">
        <f t="array" ref="CJ283">IF($AW283="",0,--(SUMPRODUCT(--(TRIM(Footfall!$B$5:$B$301)=$AW283))&gt;0))</f>
        <v>0</v>
      </c>
      <c r="CK283" s="8" cm="1">
        <f t="array" ref="CK283">IF($AW283="",0,_xlfn.LET(_xlpm.r,IFERROR(MATCH(IFERROR(_xlfn.XLOOKUP($AW283,$BT$5:$BT$22,$BU$5:$BU$22),$AW283),TRIM('TY Beauty Target'!$B$5:$B$300&amp;""),0),""),IF(ISNUMBER(_xlpm.r),SUMPRODUCT(('TY Beauty Target'!$L$2:$AP$2&gt;=$U$4)*('TY Beauty Target'!$L$2:$AP$2&lt;=$U$5),INDEX('TY Beauty Target'!$L$5:$AP$300,_xlpm.r,0)),0)))</f>
        <v>0</v>
      </c>
    </row>
    <row r="284" spans="28:89" x14ac:dyDescent="0.25">
      <c r="AB284" s="40" t="str" cm="1">
        <f t="array" ref="AB284">IF($AI284="","",IF(LEFT($AI284,2)="C|",IF($C284="","",SUMPRODUCT($AP$5:$AP$302*($AO$5:$AO$302=$A284),$CK$5:$CK$302)),IF($AI284="CT",AB$13,IF(LEFT($AI284,3)="AM|",IF($C284="","",SUMPRODUCT($AP$5:$AP$302*($AN$5:$AN$302=$A284),$CK$5:$CK$302)),IF(LEFT($AI284,2)="S|",IF($AG284="","",INDEX($CK$5:$CK$302,$AH284)),IF($AI284="HDR","Makeup Target",""))))))</f>
        <v/>
      </c>
      <c r="AC284" s="41" t="str">
        <f t="shared" si="129"/>
        <v/>
      </c>
      <c r="AN284" s="8" t="str" cm="1">
        <f t="array" ref="AN284">IF($AW284="","",_xlfn.LET(_xlpm.sa,IFERROR(TRIM(INDEX('Sales and count'!$D$4:$D$300,$BF284)&amp;""),""),_xlpm.ta,IFERROR(TRIM(INDEX('TY Sales Target'!$F$5:$F$300,$BG284)&amp;""),""),IF(AND(_xlpm.sa&lt;&gt;"",LEFT(_xlpm.sa,1)&lt;&gt;"#",_xlpm.sa&lt;&gt;"0"),_xlpm.sa,IF(AND(_xlpm.ta&lt;&gt;"",LEFT(_xlpm.ta,1)&lt;&gt;"#",_xlpm.ta&lt;&gt;"0"),_xlpm.ta,IF(ISNUMBER($BG284),"Unassigned","")))))</f>
        <v/>
      </c>
      <c r="AO284" s="8" t="str" cm="1">
        <f t="array" ref="AO284">IF($AW284="","",_xlfn.LET(_xlpm.sa,IFERROR(TRIM(INDEX('Sales and count'!$C$4:$C$300,$BF284)&amp;""),""),_xlpm.ta,IFERROR(TRIM(INDEX('TY Sales Target'!$D$5:$D$300,$BG284)&amp;""),""),IF(AND(_xlpm.sa&lt;&gt;"",LEFT(_xlpm.sa,1)&lt;&gt;"#",_xlpm.sa&lt;&gt;"0"),_xlpm.sa,IF(AND(_xlpm.ta&lt;&gt;"",LEFT(_xlpm.ta,1)&lt;&gt;"#",_xlpm.ta&lt;&gt;"0"),_xlpm.ta,""))))</f>
        <v/>
      </c>
      <c r="AP284" s="8">
        <f t="shared" si="131"/>
        <v>0</v>
      </c>
      <c r="AQ284" s="8">
        <f t="shared" si="132"/>
        <v>0</v>
      </c>
      <c r="AR284" s="8" cm="1">
        <f t="array" ref="AR284">IF($BF284="",0,_xlfn.LET(_xlpm.d,IFERROR(--'Sales and count'!$G$2:$CC$2,0),SUMPRODUCT(('Sales and count'!$G$3:$CC$3="Total")*(_xlpm.d&gt;=$U$4)*(_xlpm.d&lt;=$U$5),INDEX('Sales and count'!$G$4:$CC$300,$BF284,0))))</f>
        <v>0</v>
      </c>
      <c r="AS284" s="8" cm="1">
        <f t="array" ref="AS284">IF($BF284="",0,_xlfn.LET(_xlpm.d,IFERROR(--'Sales and count'!$F$2:$CB$2,0),SUMPRODUCT(('Sales and count'!$G$3:$CC$3="Transactions")*(_xlpm.d&gt;=$U$4)*(_xlpm.d&lt;=$U$5),INDEX('Sales and count'!$G$4:$CC$300,$BF284,0))))</f>
        <v>0</v>
      </c>
      <c r="AT284" s="8" cm="1">
        <f t="array" ref="AT284">IF($AW284="",0,SUMPRODUCT((TRIM('LY Sales '!$B$5:$B$200)=$AW284)*('LY Sales '!$C$2:$AG$2&gt;=EDATE($U$4,-12))*('LY Sales '!$C$2:$AG$2&lt;=EDATE($U$5,-12)),'LY Sales '!$C$5:$AG$200))</f>
        <v>0</v>
      </c>
      <c r="AU284" s="8" cm="1">
        <f t="array" ref="AU284">IF($AW284="",0,SUMPRODUCT((TRIM('LY Transaction'!$B$5:$B$200)=$AW284)*('LY Transaction'!$C$2:$AG$2&gt;=EDATE($U$4,-12))*('LY Transaction'!$C$2:$AG$2&lt;=EDATE($U$5,-12)),'LY Transaction'!$C$5:$AG$200))</f>
        <v>0</v>
      </c>
      <c r="AV284" s="8" cm="1">
        <f t="array" ref="AV284">IF(NOT(ISNUMBER($BG284)),0,SUMPRODUCT(('TY Sales Target'!$K$2:$AO$2&gt;=$U$4)*('TY Sales Target'!$K$2:$AO$2&lt;=$U$5),INDEX('TY Sales Target'!$K$5:$AO$300,$BG284,0)))</f>
        <v>0</v>
      </c>
      <c r="AW284" s="8" t="str" cm="1">
        <f t="array" ref="AW284">IFERROR(INDEX(_xlfn.ANCHORARRAY($BR$5),ROWS($AW$5:AW284)),"")</f>
        <v/>
      </c>
      <c r="BB284" cm="1">
        <f t="array" ref="BB284">IF($AW284="",0,SUMPRODUCT((TRIM(Footfall!$B$5:$B$301)=$AW284)*(Footfall!$C$1:$BZ$1&gt;=$U$4)*(Footfall!$C$2:$BZ$2&lt;=$U$5)*(Footfall!$C$1:$BZ$1&lt;&gt;""),Footfall!$C$5:$BZ$301))</f>
        <v>0</v>
      </c>
      <c r="BC284" cm="1">
        <f t="array" ref="BC284">IF(OR($BB284&lt;=0,$BD$1="",$BF284=""),0,_xlfn.LET(_xlpm.d,IFERROR(--'Sales and count'!$F$2:$CB$2,0),SUMPRODUCT(('Sales and count'!$G$3:$CC$3="Transactions")*(_xlpm.d&gt;=$BD$1)*(_xlpm.d&lt;=$BD$2),INDEX('Sales and count'!$G$4:$CC$300,$BF284,0))))</f>
        <v>0</v>
      </c>
      <c r="BF284" t="str" cm="1">
        <f t="array" ref="BF284">IF($AW284="","",IFERROR(MATCH($AW284,TRIM('Sales and count'!$A$4:$A$300&amp;""),0),""))</f>
        <v/>
      </c>
      <c r="BG284" t="str" cm="1">
        <f t="array" ref="BG284">IF($AW284="","",IFERROR(MATCH(IFERROR(_xlfn.XLOOKUP($AW284,$BT$5:$BT$22,$BU$5:$BU$22),$AW284),TRIM('TY Sales Target'!$B$5:$B$300&amp;""),0),""))</f>
        <v/>
      </c>
      <c r="BH284" t="str" cm="1">
        <f t="array" ref="BH284">IF(ISNUMBER($BG284),_xlfn.LET(_xlpm.p,TRIM(INDEX('TY Sales Target'!$I$5:$I$300,$BG284)&amp;""),IF(_xlpm.p="","Not set",_xlpm.p)),"Not set")</f>
        <v>Not set</v>
      </c>
      <c r="BI284" cm="1">
        <f t="array" ref="BI284">IF($BF284="",0,_xlfn.LET(_xlpm.d,IFERROR(--'Sales and count'!$G$2:$CC$2,0),SUMPRODUCT(('Sales and count'!$G$3:$CC$3="Total")*(_xlpm.d&gt;=$BZ$5)*(_xlpm.d&lt;=$BZ$6),INDEX('Sales and count'!$G$4:$CC$300,$BF284,0))))</f>
        <v>0</v>
      </c>
      <c r="BJ284" cm="1">
        <f t="array" ref="BJ284">IF($AW284="",0,SUMPRODUCT((TRIM('LY Sales '!$B$5:$B$200)=$AW284)*('LY Sales '!$C$2:$AG$2&gt;=EDATE($BZ$5,-12))*('LY Sales '!$C$2:$AG$2&lt;=EDATE($BZ$6,-12)),'LY Sales '!$C$5:$AG$200))</f>
        <v>0</v>
      </c>
      <c r="BK284" cm="1">
        <f t="array" ref="BK284">IF($AW284="",0,SUMPRODUCT((TRIM('LY Sales '!$B$5:$B$200)=$AW284)*('LY Sales '!$C$2:$AG$2&gt;=EDATE($BZ$5,-12))*('LY Sales '!$C$2:$AG$2&lt;=EDATE($BZ$7,-12)),'LY Sales '!$C$5:$AG$200))</f>
        <v>0</v>
      </c>
      <c r="BL284" cm="1">
        <f t="array" ref="BL284">IF($AW284="",0,SUMPRODUCT((TRIM('LY Sales '!$B$5:$B$200)=$AW284)*('LY Sales '!$C$2:$AG$2&gt;=EDATE($BZ$5,-12))*('LY Sales '!$C$2:$AG$2&lt;=EDATE($BZ$6,-12))*('LY Sales '!$C$5:$AG$200&gt;0)))</f>
        <v>0</v>
      </c>
      <c r="BM284" cm="1">
        <f t="array" ref="BM284">IF(NOT(ISNUMBER($BG284)),0,SUMPRODUCT(('TY Sales Target'!$K$2:$AO$2&gt;=$BZ$5)*('TY Sales Target'!$K$2:$AO$2&lt;=$BZ$6),INDEX('TY Sales Target'!$K$5:$AO$300,$BG284,0)))</f>
        <v>0</v>
      </c>
      <c r="BN284" cm="1">
        <f t="array" ref="BN284">IF(NOT(ISNUMBER($BG284)),0,SUMPRODUCT(('TY Sales Target'!$K$2:$AO$2&gt;=$BZ$5)*('TY Sales Target'!$K$2:$AO$2&lt;=$BZ$7),INDEX('TY Sales Target'!$K$5:$AO$300,$BG284,0)))</f>
        <v>0</v>
      </c>
      <c r="BO284" cm="1">
        <f t="array" ref="BO284">IF($AW284="",0,IFERROR(_xlfn.SWITCH($BP284,"LY trend",$BI284*$BK284/$BJ284,"Target curve",$BI284*$BN284/$BM284,"Run rate",$BI284/$BZ$8*$BZ$9,0),0))</f>
        <v>0</v>
      </c>
      <c r="BP284" t="str">
        <f t="shared" si="130"/>
        <v/>
      </c>
      <c r="CB284" cm="1">
        <f t="array" ref="CB284">IF($AW284="",0,_xlfn.LET(_xlpm.k,IFERROR(_xlfn.XLOOKUP($AW284,$CD$6:$CD$21,$CE$6:$CE$21),$AW284),SUMPRODUCT((TRIM('Makeup '!$A$2:$A$300&amp;"")=_xlpm.k)*1,IFERROR('Makeup '!$F$2:$F$300*1,0))))</f>
        <v>0</v>
      </c>
      <c r="CF284" t="str" cm="1">
        <f t="array" ref="CF284">IF($AW284="","",_xlfn.LET(_xlpm.c,IFERROR(TRIM(INDEX('Sales and count'!$B$4:$B$300,$BF284)&amp;""),""),IF(OR(_xlpm.c="",_xlpm.c="0",LEFT(_xlpm.c,1)="#"),"Not set",_xlpm.c)))</f>
        <v/>
      </c>
      <c r="CH284" cm="1">
        <f t="array" ref="CH284">IF($AW284="",0,_xlfn.LET(_xlpm.k,IFERROR(_xlfn.XLOOKUP($AW284,$CD$6:$CD$21,$CE$6:$CE$21),$AW284),--(SUMPRODUCT((TRIM('Makeup '!$A$2:$A$300&amp;"")=_xlpm.k)*ISNUMBER('Makeup '!$F$2:$F$300))&gt;0)))</f>
        <v>0</v>
      </c>
      <c r="CI284">
        <f t="shared" si="133"/>
        <v>0</v>
      </c>
      <c r="CJ284" cm="1">
        <f t="array" ref="CJ284">IF($AW284="",0,--(SUMPRODUCT(--(TRIM(Footfall!$B$5:$B$301)=$AW284))&gt;0))</f>
        <v>0</v>
      </c>
      <c r="CK284" s="8" cm="1">
        <f t="array" ref="CK284">IF($AW284="",0,_xlfn.LET(_xlpm.r,IFERROR(MATCH(IFERROR(_xlfn.XLOOKUP($AW284,$BT$5:$BT$22,$BU$5:$BU$22),$AW284),TRIM('TY Beauty Target'!$B$5:$B$300&amp;""),0),""),IF(ISNUMBER(_xlpm.r),SUMPRODUCT(('TY Beauty Target'!$L$2:$AP$2&gt;=$U$4)*('TY Beauty Target'!$L$2:$AP$2&lt;=$U$5),INDEX('TY Beauty Target'!$L$5:$AP$300,_xlpm.r,0)),0)))</f>
        <v>0</v>
      </c>
    </row>
    <row r="285" spans="28:89" x14ac:dyDescent="0.25">
      <c r="AB285" s="40" t="str" cm="1">
        <f t="array" ref="AB285">IF($AI285="","",IF(LEFT($AI285,2)="C|",IF($C285="","",SUMPRODUCT($AP$5:$AP$302*($AO$5:$AO$302=$A285),$CK$5:$CK$302)),IF($AI285="CT",AB$13,IF(LEFT($AI285,3)="AM|",IF($C285="","",SUMPRODUCT($AP$5:$AP$302*($AN$5:$AN$302=$A285),$CK$5:$CK$302)),IF(LEFT($AI285,2)="S|",IF($AG285="","",INDEX($CK$5:$CK$302,$AH285)),IF($AI285="HDR","Makeup Target",""))))))</f>
        <v/>
      </c>
      <c r="AC285" s="41" t="str">
        <f t="shared" si="129"/>
        <v/>
      </c>
      <c r="AN285" s="8" t="str" cm="1">
        <f t="array" ref="AN285">IF($AW285="","",_xlfn.LET(_xlpm.sa,IFERROR(TRIM(INDEX('Sales and count'!$D$4:$D$300,$BF285)&amp;""),""),_xlpm.ta,IFERROR(TRIM(INDEX('TY Sales Target'!$F$5:$F$300,$BG285)&amp;""),""),IF(AND(_xlpm.sa&lt;&gt;"",LEFT(_xlpm.sa,1)&lt;&gt;"#",_xlpm.sa&lt;&gt;"0"),_xlpm.sa,IF(AND(_xlpm.ta&lt;&gt;"",LEFT(_xlpm.ta,1)&lt;&gt;"#",_xlpm.ta&lt;&gt;"0"),_xlpm.ta,IF(ISNUMBER($BG285),"Unassigned","")))))</f>
        <v/>
      </c>
      <c r="AO285" s="8" t="str" cm="1">
        <f t="array" ref="AO285">IF($AW285="","",_xlfn.LET(_xlpm.sa,IFERROR(TRIM(INDEX('Sales and count'!$C$4:$C$300,$BF285)&amp;""),""),_xlpm.ta,IFERROR(TRIM(INDEX('TY Sales Target'!$D$5:$D$300,$BG285)&amp;""),""),IF(AND(_xlpm.sa&lt;&gt;"",LEFT(_xlpm.sa,1)&lt;&gt;"#",_xlpm.sa&lt;&gt;"0"),_xlpm.sa,IF(AND(_xlpm.ta&lt;&gt;"",LEFT(_xlpm.ta,1)&lt;&gt;"#",_xlpm.ta&lt;&gt;"0"),_xlpm.ta,""))))</f>
        <v/>
      </c>
      <c r="AP285" s="8">
        <f t="shared" si="131"/>
        <v>0</v>
      </c>
      <c r="AQ285" s="8">
        <f t="shared" si="132"/>
        <v>0</v>
      </c>
      <c r="AR285" s="8" cm="1">
        <f t="array" ref="AR285">IF($BF285="",0,_xlfn.LET(_xlpm.d,IFERROR(--'Sales and count'!$G$2:$CC$2,0),SUMPRODUCT(('Sales and count'!$G$3:$CC$3="Total")*(_xlpm.d&gt;=$U$4)*(_xlpm.d&lt;=$U$5),INDEX('Sales and count'!$G$4:$CC$300,$BF285,0))))</f>
        <v>0</v>
      </c>
      <c r="AS285" s="8" cm="1">
        <f t="array" ref="AS285">IF($BF285="",0,_xlfn.LET(_xlpm.d,IFERROR(--'Sales and count'!$F$2:$CB$2,0),SUMPRODUCT(('Sales and count'!$G$3:$CC$3="Transactions")*(_xlpm.d&gt;=$U$4)*(_xlpm.d&lt;=$U$5),INDEX('Sales and count'!$G$4:$CC$300,$BF285,0))))</f>
        <v>0</v>
      </c>
      <c r="AT285" s="8" cm="1">
        <f t="array" ref="AT285">IF($AW285="",0,SUMPRODUCT((TRIM('LY Sales '!$B$5:$B$200)=$AW285)*('LY Sales '!$C$2:$AG$2&gt;=EDATE($U$4,-12))*('LY Sales '!$C$2:$AG$2&lt;=EDATE($U$5,-12)),'LY Sales '!$C$5:$AG$200))</f>
        <v>0</v>
      </c>
      <c r="AU285" s="8" cm="1">
        <f t="array" ref="AU285">IF($AW285="",0,SUMPRODUCT((TRIM('LY Transaction'!$B$5:$B$200)=$AW285)*('LY Transaction'!$C$2:$AG$2&gt;=EDATE($U$4,-12))*('LY Transaction'!$C$2:$AG$2&lt;=EDATE($U$5,-12)),'LY Transaction'!$C$5:$AG$200))</f>
        <v>0</v>
      </c>
      <c r="AV285" s="8" cm="1">
        <f t="array" ref="AV285">IF(NOT(ISNUMBER($BG285)),0,SUMPRODUCT(('TY Sales Target'!$K$2:$AO$2&gt;=$U$4)*('TY Sales Target'!$K$2:$AO$2&lt;=$U$5),INDEX('TY Sales Target'!$K$5:$AO$300,$BG285,0)))</f>
        <v>0</v>
      </c>
      <c r="AW285" s="8" t="str" cm="1">
        <f t="array" ref="AW285">IFERROR(INDEX(_xlfn.ANCHORARRAY($BR$5),ROWS($AW$5:AW285)),"")</f>
        <v/>
      </c>
      <c r="BB285" cm="1">
        <f t="array" ref="BB285">IF($AW285="",0,SUMPRODUCT((TRIM(Footfall!$B$5:$B$301)=$AW285)*(Footfall!$C$1:$BZ$1&gt;=$U$4)*(Footfall!$C$2:$BZ$2&lt;=$U$5)*(Footfall!$C$1:$BZ$1&lt;&gt;""),Footfall!$C$5:$BZ$301))</f>
        <v>0</v>
      </c>
      <c r="BC285" cm="1">
        <f t="array" ref="BC285">IF(OR($BB285&lt;=0,$BD$1="",$BF285=""),0,_xlfn.LET(_xlpm.d,IFERROR(--'Sales and count'!$F$2:$CB$2,0),SUMPRODUCT(('Sales and count'!$G$3:$CC$3="Transactions")*(_xlpm.d&gt;=$BD$1)*(_xlpm.d&lt;=$BD$2),INDEX('Sales and count'!$G$4:$CC$300,$BF285,0))))</f>
        <v>0</v>
      </c>
      <c r="BF285" t="str" cm="1">
        <f t="array" ref="BF285">IF($AW285="","",IFERROR(MATCH($AW285,TRIM('Sales and count'!$A$4:$A$300&amp;""),0),""))</f>
        <v/>
      </c>
      <c r="BG285" t="str" cm="1">
        <f t="array" ref="BG285">IF($AW285="","",IFERROR(MATCH(IFERROR(_xlfn.XLOOKUP($AW285,$BT$5:$BT$22,$BU$5:$BU$22),$AW285),TRIM('TY Sales Target'!$B$5:$B$300&amp;""),0),""))</f>
        <v/>
      </c>
      <c r="BH285" t="str" cm="1">
        <f t="array" ref="BH285">IF(ISNUMBER($BG285),_xlfn.LET(_xlpm.p,TRIM(INDEX('TY Sales Target'!$I$5:$I$300,$BG285)&amp;""),IF(_xlpm.p="","Not set",_xlpm.p)),"Not set")</f>
        <v>Not set</v>
      </c>
      <c r="BI285" cm="1">
        <f t="array" ref="BI285">IF($BF285="",0,_xlfn.LET(_xlpm.d,IFERROR(--'Sales and count'!$G$2:$CC$2,0),SUMPRODUCT(('Sales and count'!$G$3:$CC$3="Total")*(_xlpm.d&gt;=$BZ$5)*(_xlpm.d&lt;=$BZ$6),INDEX('Sales and count'!$G$4:$CC$300,$BF285,0))))</f>
        <v>0</v>
      </c>
      <c r="BJ285" cm="1">
        <f t="array" ref="BJ285">IF($AW285="",0,SUMPRODUCT((TRIM('LY Sales '!$B$5:$B$200)=$AW285)*('LY Sales '!$C$2:$AG$2&gt;=EDATE($BZ$5,-12))*('LY Sales '!$C$2:$AG$2&lt;=EDATE($BZ$6,-12)),'LY Sales '!$C$5:$AG$200))</f>
        <v>0</v>
      </c>
      <c r="BK285" cm="1">
        <f t="array" ref="BK285">IF($AW285="",0,SUMPRODUCT((TRIM('LY Sales '!$B$5:$B$200)=$AW285)*('LY Sales '!$C$2:$AG$2&gt;=EDATE($BZ$5,-12))*('LY Sales '!$C$2:$AG$2&lt;=EDATE($BZ$7,-12)),'LY Sales '!$C$5:$AG$200))</f>
        <v>0</v>
      </c>
      <c r="BL285" cm="1">
        <f t="array" ref="BL285">IF($AW285="",0,SUMPRODUCT((TRIM('LY Sales '!$B$5:$B$200)=$AW285)*('LY Sales '!$C$2:$AG$2&gt;=EDATE($BZ$5,-12))*('LY Sales '!$C$2:$AG$2&lt;=EDATE($BZ$6,-12))*('LY Sales '!$C$5:$AG$200&gt;0)))</f>
        <v>0</v>
      </c>
      <c r="BM285" cm="1">
        <f t="array" ref="BM285">IF(NOT(ISNUMBER($BG285)),0,SUMPRODUCT(('TY Sales Target'!$K$2:$AO$2&gt;=$BZ$5)*('TY Sales Target'!$K$2:$AO$2&lt;=$BZ$6),INDEX('TY Sales Target'!$K$5:$AO$300,$BG285,0)))</f>
        <v>0</v>
      </c>
      <c r="BN285" cm="1">
        <f t="array" ref="BN285">IF(NOT(ISNUMBER($BG285)),0,SUMPRODUCT(('TY Sales Target'!$K$2:$AO$2&gt;=$BZ$5)*('TY Sales Target'!$K$2:$AO$2&lt;=$BZ$7),INDEX('TY Sales Target'!$K$5:$AO$300,$BG285,0)))</f>
        <v>0</v>
      </c>
      <c r="BO285" cm="1">
        <f t="array" ref="BO285">IF($AW285="",0,IFERROR(_xlfn.SWITCH($BP285,"LY trend",$BI285*$BK285/$BJ285,"Target curve",$BI285*$BN285/$BM285,"Run rate",$BI285/$BZ$8*$BZ$9,0),0))</f>
        <v>0</v>
      </c>
      <c r="BP285" t="str">
        <f t="shared" si="130"/>
        <v/>
      </c>
      <c r="CB285" cm="1">
        <f t="array" ref="CB285">IF($AW285="",0,_xlfn.LET(_xlpm.k,IFERROR(_xlfn.XLOOKUP($AW285,$CD$6:$CD$21,$CE$6:$CE$21),$AW285),SUMPRODUCT((TRIM('Makeup '!$A$2:$A$300&amp;"")=_xlpm.k)*1,IFERROR('Makeup '!$F$2:$F$300*1,0))))</f>
        <v>0</v>
      </c>
      <c r="CF285" t="str" cm="1">
        <f t="array" ref="CF285">IF($AW285="","",_xlfn.LET(_xlpm.c,IFERROR(TRIM(INDEX('Sales and count'!$B$4:$B$300,$BF285)&amp;""),""),IF(OR(_xlpm.c="",_xlpm.c="0",LEFT(_xlpm.c,1)="#"),"Not set",_xlpm.c)))</f>
        <v/>
      </c>
      <c r="CH285" cm="1">
        <f t="array" ref="CH285">IF($AW285="",0,_xlfn.LET(_xlpm.k,IFERROR(_xlfn.XLOOKUP($AW285,$CD$6:$CD$21,$CE$6:$CE$21),$AW285),--(SUMPRODUCT((TRIM('Makeup '!$A$2:$A$300&amp;"")=_xlpm.k)*ISNUMBER('Makeup '!$F$2:$F$300))&gt;0)))</f>
        <v>0</v>
      </c>
      <c r="CI285">
        <f t="shared" si="133"/>
        <v>0</v>
      </c>
      <c r="CJ285" cm="1">
        <f t="array" ref="CJ285">IF($AW285="",0,--(SUMPRODUCT(--(TRIM(Footfall!$B$5:$B$301)=$AW285))&gt;0))</f>
        <v>0</v>
      </c>
      <c r="CK285" s="8" cm="1">
        <f t="array" ref="CK285">IF($AW285="",0,_xlfn.LET(_xlpm.r,IFERROR(MATCH(IFERROR(_xlfn.XLOOKUP($AW285,$BT$5:$BT$22,$BU$5:$BU$22),$AW285),TRIM('TY Beauty Target'!$B$5:$B$300&amp;""),0),""),IF(ISNUMBER(_xlpm.r),SUMPRODUCT(('TY Beauty Target'!$L$2:$AP$2&gt;=$U$4)*('TY Beauty Target'!$L$2:$AP$2&lt;=$U$5),INDEX('TY Beauty Target'!$L$5:$AP$300,_xlpm.r,0)),0)))</f>
        <v>0</v>
      </c>
    </row>
    <row r="286" spans="28:89" x14ac:dyDescent="0.25">
      <c r="AB286" s="40" t="str" cm="1">
        <f t="array" ref="AB286">IF($AI286="","",IF(LEFT($AI286,2)="C|",IF($C286="","",SUMPRODUCT($AP$5:$AP$302*($AO$5:$AO$302=$A286),$CK$5:$CK$302)),IF($AI286="CT",AB$13,IF(LEFT($AI286,3)="AM|",IF($C286="","",SUMPRODUCT($AP$5:$AP$302*($AN$5:$AN$302=$A286),$CK$5:$CK$302)),IF(LEFT($AI286,2)="S|",IF($AG286="","",INDEX($CK$5:$CK$302,$AH286)),IF($AI286="HDR","Makeup Target",""))))))</f>
        <v/>
      </c>
      <c r="AC286" s="41" t="str">
        <f t="shared" si="129"/>
        <v/>
      </c>
      <c r="AN286" s="8" t="str" cm="1">
        <f t="array" ref="AN286">IF($AW286="","",_xlfn.LET(_xlpm.sa,IFERROR(TRIM(INDEX('Sales and count'!$D$4:$D$300,$BF286)&amp;""),""),_xlpm.ta,IFERROR(TRIM(INDEX('TY Sales Target'!$F$5:$F$300,$BG286)&amp;""),""),IF(AND(_xlpm.sa&lt;&gt;"",LEFT(_xlpm.sa,1)&lt;&gt;"#",_xlpm.sa&lt;&gt;"0"),_xlpm.sa,IF(AND(_xlpm.ta&lt;&gt;"",LEFT(_xlpm.ta,1)&lt;&gt;"#",_xlpm.ta&lt;&gt;"0"),_xlpm.ta,IF(ISNUMBER($BG286),"Unassigned","")))))</f>
        <v/>
      </c>
      <c r="AO286" s="8" t="str" cm="1">
        <f t="array" ref="AO286">IF($AW286="","",_xlfn.LET(_xlpm.sa,IFERROR(TRIM(INDEX('Sales and count'!$C$4:$C$300,$BF286)&amp;""),""),_xlpm.ta,IFERROR(TRIM(INDEX('TY Sales Target'!$D$5:$D$300,$BG286)&amp;""),""),IF(AND(_xlpm.sa&lt;&gt;"",LEFT(_xlpm.sa,1)&lt;&gt;"#",_xlpm.sa&lt;&gt;"0"),_xlpm.sa,IF(AND(_xlpm.ta&lt;&gt;"",LEFT(_xlpm.ta,1)&lt;&gt;"#",_xlpm.ta&lt;&gt;"0"),_xlpm.ta,""))))</f>
        <v/>
      </c>
      <c r="AP286" s="8">
        <f t="shared" si="131"/>
        <v>0</v>
      </c>
      <c r="AQ286" s="8">
        <f t="shared" si="132"/>
        <v>0</v>
      </c>
      <c r="AR286" s="8" cm="1">
        <f t="array" ref="AR286">IF($BF286="",0,_xlfn.LET(_xlpm.d,IFERROR(--'Sales and count'!$G$2:$CC$2,0),SUMPRODUCT(('Sales and count'!$G$3:$CC$3="Total")*(_xlpm.d&gt;=$U$4)*(_xlpm.d&lt;=$U$5),INDEX('Sales and count'!$G$4:$CC$300,$BF286,0))))</f>
        <v>0</v>
      </c>
      <c r="AS286" s="8" cm="1">
        <f t="array" ref="AS286">IF($BF286="",0,_xlfn.LET(_xlpm.d,IFERROR(--'Sales and count'!$F$2:$CB$2,0),SUMPRODUCT(('Sales and count'!$G$3:$CC$3="Transactions")*(_xlpm.d&gt;=$U$4)*(_xlpm.d&lt;=$U$5),INDEX('Sales and count'!$G$4:$CC$300,$BF286,0))))</f>
        <v>0</v>
      </c>
      <c r="AT286" s="8" cm="1">
        <f t="array" ref="AT286">IF($AW286="",0,SUMPRODUCT((TRIM('LY Sales '!$B$5:$B$200)=$AW286)*('LY Sales '!$C$2:$AG$2&gt;=EDATE($U$4,-12))*('LY Sales '!$C$2:$AG$2&lt;=EDATE($U$5,-12)),'LY Sales '!$C$5:$AG$200))</f>
        <v>0</v>
      </c>
      <c r="AU286" s="8" cm="1">
        <f t="array" ref="AU286">IF($AW286="",0,SUMPRODUCT((TRIM('LY Transaction'!$B$5:$B$200)=$AW286)*('LY Transaction'!$C$2:$AG$2&gt;=EDATE($U$4,-12))*('LY Transaction'!$C$2:$AG$2&lt;=EDATE($U$5,-12)),'LY Transaction'!$C$5:$AG$200))</f>
        <v>0</v>
      </c>
      <c r="AV286" s="8" cm="1">
        <f t="array" ref="AV286">IF(NOT(ISNUMBER($BG286)),0,SUMPRODUCT(('TY Sales Target'!$K$2:$AO$2&gt;=$U$4)*('TY Sales Target'!$K$2:$AO$2&lt;=$U$5),INDEX('TY Sales Target'!$K$5:$AO$300,$BG286,0)))</f>
        <v>0</v>
      </c>
      <c r="AW286" s="8" t="str" cm="1">
        <f t="array" ref="AW286">IFERROR(INDEX(_xlfn.ANCHORARRAY($BR$5),ROWS($AW$5:AW286)),"")</f>
        <v/>
      </c>
      <c r="BB286" cm="1">
        <f t="array" ref="BB286">IF($AW286="",0,SUMPRODUCT((TRIM(Footfall!$B$5:$B$301)=$AW286)*(Footfall!$C$1:$BZ$1&gt;=$U$4)*(Footfall!$C$2:$BZ$2&lt;=$U$5)*(Footfall!$C$1:$BZ$1&lt;&gt;""),Footfall!$C$5:$BZ$301))</f>
        <v>0</v>
      </c>
      <c r="BC286" cm="1">
        <f t="array" ref="BC286">IF(OR($BB286&lt;=0,$BD$1="",$BF286=""),0,_xlfn.LET(_xlpm.d,IFERROR(--'Sales and count'!$F$2:$CB$2,0),SUMPRODUCT(('Sales and count'!$G$3:$CC$3="Transactions")*(_xlpm.d&gt;=$BD$1)*(_xlpm.d&lt;=$BD$2),INDEX('Sales and count'!$G$4:$CC$300,$BF286,0))))</f>
        <v>0</v>
      </c>
      <c r="BF286" t="str" cm="1">
        <f t="array" ref="BF286">IF($AW286="","",IFERROR(MATCH($AW286,TRIM('Sales and count'!$A$4:$A$300&amp;""),0),""))</f>
        <v/>
      </c>
      <c r="BG286" t="str" cm="1">
        <f t="array" ref="BG286">IF($AW286="","",IFERROR(MATCH(IFERROR(_xlfn.XLOOKUP($AW286,$BT$5:$BT$22,$BU$5:$BU$22),$AW286),TRIM('TY Sales Target'!$B$5:$B$300&amp;""),0),""))</f>
        <v/>
      </c>
      <c r="BH286" t="str" cm="1">
        <f t="array" ref="BH286">IF(ISNUMBER($BG286),_xlfn.LET(_xlpm.p,TRIM(INDEX('TY Sales Target'!$I$5:$I$300,$BG286)&amp;""),IF(_xlpm.p="","Not set",_xlpm.p)),"Not set")</f>
        <v>Not set</v>
      </c>
      <c r="BI286" cm="1">
        <f t="array" ref="BI286">IF($BF286="",0,_xlfn.LET(_xlpm.d,IFERROR(--'Sales and count'!$G$2:$CC$2,0),SUMPRODUCT(('Sales and count'!$G$3:$CC$3="Total")*(_xlpm.d&gt;=$BZ$5)*(_xlpm.d&lt;=$BZ$6),INDEX('Sales and count'!$G$4:$CC$300,$BF286,0))))</f>
        <v>0</v>
      </c>
      <c r="BJ286" cm="1">
        <f t="array" ref="BJ286">IF($AW286="",0,SUMPRODUCT((TRIM('LY Sales '!$B$5:$B$200)=$AW286)*('LY Sales '!$C$2:$AG$2&gt;=EDATE($BZ$5,-12))*('LY Sales '!$C$2:$AG$2&lt;=EDATE($BZ$6,-12)),'LY Sales '!$C$5:$AG$200))</f>
        <v>0</v>
      </c>
      <c r="BK286" cm="1">
        <f t="array" ref="BK286">IF($AW286="",0,SUMPRODUCT((TRIM('LY Sales '!$B$5:$B$200)=$AW286)*('LY Sales '!$C$2:$AG$2&gt;=EDATE($BZ$5,-12))*('LY Sales '!$C$2:$AG$2&lt;=EDATE($BZ$7,-12)),'LY Sales '!$C$5:$AG$200))</f>
        <v>0</v>
      </c>
      <c r="BL286" cm="1">
        <f t="array" ref="BL286">IF($AW286="",0,SUMPRODUCT((TRIM('LY Sales '!$B$5:$B$200)=$AW286)*('LY Sales '!$C$2:$AG$2&gt;=EDATE($BZ$5,-12))*('LY Sales '!$C$2:$AG$2&lt;=EDATE($BZ$6,-12))*('LY Sales '!$C$5:$AG$200&gt;0)))</f>
        <v>0</v>
      </c>
      <c r="BM286" cm="1">
        <f t="array" ref="BM286">IF(NOT(ISNUMBER($BG286)),0,SUMPRODUCT(('TY Sales Target'!$K$2:$AO$2&gt;=$BZ$5)*('TY Sales Target'!$K$2:$AO$2&lt;=$BZ$6),INDEX('TY Sales Target'!$K$5:$AO$300,$BG286,0)))</f>
        <v>0</v>
      </c>
      <c r="BN286" cm="1">
        <f t="array" ref="BN286">IF(NOT(ISNUMBER($BG286)),0,SUMPRODUCT(('TY Sales Target'!$K$2:$AO$2&gt;=$BZ$5)*('TY Sales Target'!$K$2:$AO$2&lt;=$BZ$7),INDEX('TY Sales Target'!$K$5:$AO$300,$BG286,0)))</f>
        <v>0</v>
      </c>
      <c r="BO286" cm="1">
        <f t="array" ref="BO286">IF($AW286="",0,IFERROR(_xlfn.SWITCH($BP286,"LY trend",$BI286*$BK286/$BJ286,"Target curve",$BI286*$BN286/$BM286,"Run rate",$BI286/$BZ$8*$BZ$9,0),0))</f>
        <v>0</v>
      </c>
      <c r="BP286" t="str">
        <f t="shared" si="130"/>
        <v/>
      </c>
      <c r="CB286" cm="1">
        <f t="array" ref="CB286">IF($AW286="",0,_xlfn.LET(_xlpm.k,IFERROR(_xlfn.XLOOKUP($AW286,$CD$6:$CD$21,$CE$6:$CE$21),$AW286),SUMPRODUCT((TRIM('Makeup '!$A$2:$A$300&amp;"")=_xlpm.k)*1,IFERROR('Makeup '!$F$2:$F$300*1,0))))</f>
        <v>0</v>
      </c>
      <c r="CF286" t="str" cm="1">
        <f t="array" ref="CF286">IF($AW286="","",_xlfn.LET(_xlpm.c,IFERROR(TRIM(INDEX('Sales and count'!$B$4:$B$300,$BF286)&amp;""),""),IF(OR(_xlpm.c="",_xlpm.c="0",LEFT(_xlpm.c,1)="#"),"Not set",_xlpm.c)))</f>
        <v/>
      </c>
      <c r="CH286" cm="1">
        <f t="array" ref="CH286">IF($AW286="",0,_xlfn.LET(_xlpm.k,IFERROR(_xlfn.XLOOKUP($AW286,$CD$6:$CD$21,$CE$6:$CE$21),$AW286),--(SUMPRODUCT((TRIM('Makeup '!$A$2:$A$300&amp;"")=_xlpm.k)*ISNUMBER('Makeup '!$F$2:$F$300))&gt;0)))</f>
        <v>0</v>
      </c>
      <c r="CI286">
        <f t="shared" si="133"/>
        <v>0</v>
      </c>
      <c r="CJ286" cm="1">
        <f t="array" ref="CJ286">IF($AW286="",0,--(SUMPRODUCT(--(TRIM(Footfall!$B$5:$B$301)=$AW286))&gt;0))</f>
        <v>0</v>
      </c>
      <c r="CK286" s="8" cm="1">
        <f t="array" ref="CK286">IF($AW286="",0,_xlfn.LET(_xlpm.r,IFERROR(MATCH(IFERROR(_xlfn.XLOOKUP($AW286,$BT$5:$BT$22,$BU$5:$BU$22),$AW286),TRIM('TY Beauty Target'!$B$5:$B$300&amp;""),0),""),IF(ISNUMBER(_xlpm.r),SUMPRODUCT(('TY Beauty Target'!$L$2:$AP$2&gt;=$U$4)*('TY Beauty Target'!$L$2:$AP$2&lt;=$U$5),INDEX('TY Beauty Target'!$L$5:$AP$300,_xlpm.r,0)),0)))</f>
        <v>0</v>
      </c>
    </row>
    <row r="287" spans="28:89" x14ac:dyDescent="0.25">
      <c r="AB287" s="40" t="str" cm="1">
        <f t="array" ref="AB287">IF($AI287="","",IF(LEFT($AI287,2)="C|",IF($C287="","",SUMPRODUCT($AP$5:$AP$302*($AO$5:$AO$302=$A287),$CK$5:$CK$302)),IF($AI287="CT",AB$13,IF(LEFT($AI287,3)="AM|",IF($C287="","",SUMPRODUCT($AP$5:$AP$302*($AN$5:$AN$302=$A287),$CK$5:$CK$302)),IF(LEFT($AI287,2)="S|",IF($AG287="","",INDEX($CK$5:$CK$302,$AH287)),IF($AI287="HDR","Makeup Target",""))))))</f>
        <v/>
      </c>
      <c r="AC287" s="41" t="str">
        <f t="shared" ref="AC287:AC302" si="134">IF($AI287="HDR","Makeup Ach. %",IF(OR(Z287="",AB287=""),"",IFERROR(Z287/AB287,"")))</f>
        <v/>
      </c>
      <c r="AN287" s="8" t="str" cm="1">
        <f t="array" ref="AN287">IF($AW287="","",_xlfn.LET(_xlpm.sa,IFERROR(TRIM(INDEX('Sales and count'!$D$4:$D$300,$BF287)&amp;""),""),_xlpm.ta,IFERROR(TRIM(INDEX('TY Sales Target'!$F$5:$F$300,$BG287)&amp;""),""),IF(AND(_xlpm.sa&lt;&gt;"",LEFT(_xlpm.sa,1)&lt;&gt;"#",_xlpm.sa&lt;&gt;"0"),_xlpm.sa,IF(AND(_xlpm.ta&lt;&gt;"",LEFT(_xlpm.ta,1)&lt;&gt;"#",_xlpm.ta&lt;&gt;"0"),_xlpm.ta,IF(ISNUMBER($BG287),"Unassigned","")))))</f>
        <v/>
      </c>
      <c r="AO287" s="8" t="str" cm="1">
        <f t="array" ref="AO287">IF($AW287="","",_xlfn.LET(_xlpm.sa,IFERROR(TRIM(INDEX('Sales and count'!$C$4:$C$300,$BF287)&amp;""),""),_xlpm.ta,IFERROR(TRIM(INDEX('TY Sales Target'!$D$5:$D$300,$BG287)&amp;""),""),IF(AND(_xlpm.sa&lt;&gt;"",LEFT(_xlpm.sa,1)&lt;&gt;"#",_xlpm.sa&lt;&gt;"0"),_xlpm.sa,IF(AND(_xlpm.ta&lt;&gt;"",LEFT(_xlpm.ta,1)&lt;&gt;"#",_xlpm.ta&lt;&gt;"0"),_xlpm.ta,""))))</f>
        <v/>
      </c>
      <c r="AP287" s="8">
        <f t="shared" si="131"/>
        <v>0</v>
      </c>
      <c r="AQ287" s="8">
        <f t="shared" si="132"/>
        <v>0</v>
      </c>
      <c r="AR287" s="8" cm="1">
        <f t="array" ref="AR287">IF($BF287="",0,_xlfn.LET(_xlpm.d,IFERROR(--'Sales and count'!$G$2:$CC$2,0),SUMPRODUCT(('Sales and count'!$G$3:$CC$3="Total")*(_xlpm.d&gt;=$U$4)*(_xlpm.d&lt;=$U$5),INDEX('Sales and count'!$G$4:$CC$300,$BF287,0))))</f>
        <v>0</v>
      </c>
      <c r="AS287" s="8" cm="1">
        <f t="array" ref="AS287">IF($BF287="",0,_xlfn.LET(_xlpm.d,IFERROR(--'Sales and count'!$F$2:$CB$2,0),SUMPRODUCT(('Sales and count'!$G$3:$CC$3="Transactions")*(_xlpm.d&gt;=$U$4)*(_xlpm.d&lt;=$U$5),INDEX('Sales and count'!$G$4:$CC$300,$BF287,0))))</f>
        <v>0</v>
      </c>
      <c r="AT287" s="8" cm="1">
        <f t="array" ref="AT287">IF($AW287="",0,SUMPRODUCT((TRIM('LY Sales '!$B$5:$B$200)=$AW287)*('LY Sales '!$C$2:$AG$2&gt;=EDATE($U$4,-12))*('LY Sales '!$C$2:$AG$2&lt;=EDATE($U$5,-12)),'LY Sales '!$C$5:$AG$200))</f>
        <v>0</v>
      </c>
      <c r="AU287" s="8" cm="1">
        <f t="array" ref="AU287">IF($AW287="",0,SUMPRODUCT((TRIM('LY Transaction'!$B$5:$B$200)=$AW287)*('LY Transaction'!$C$2:$AG$2&gt;=EDATE($U$4,-12))*('LY Transaction'!$C$2:$AG$2&lt;=EDATE($U$5,-12)),'LY Transaction'!$C$5:$AG$200))</f>
        <v>0</v>
      </c>
      <c r="AV287" s="8" cm="1">
        <f t="array" ref="AV287">IF(NOT(ISNUMBER($BG287)),0,SUMPRODUCT(('TY Sales Target'!$K$2:$AO$2&gt;=$U$4)*('TY Sales Target'!$K$2:$AO$2&lt;=$U$5),INDEX('TY Sales Target'!$K$5:$AO$300,$BG287,0)))</f>
        <v>0</v>
      </c>
      <c r="AW287" s="8" t="str" cm="1">
        <f t="array" ref="AW287">IFERROR(INDEX(_xlfn.ANCHORARRAY($BR$5),ROWS($AW$5:AW287)),"")</f>
        <v/>
      </c>
      <c r="BB287" cm="1">
        <f t="array" ref="BB287">IF($AW287="",0,SUMPRODUCT((TRIM(Footfall!$B$5:$B$301)=$AW287)*(Footfall!$C$1:$BZ$1&gt;=$U$4)*(Footfall!$C$2:$BZ$2&lt;=$U$5)*(Footfall!$C$1:$BZ$1&lt;&gt;""),Footfall!$C$5:$BZ$301))</f>
        <v>0</v>
      </c>
      <c r="BC287" cm="1">
        <f t="array" ref="BC287">IF(OR($BB287&lt;=0,$BD$1="",$BF287=""),0,_xlfn.LET(_xlpm.d,IFERROR(--'Sales and count'!$F$2:$CB$2,0),SUMPRODUCT(('Sales and count'!$G$3:$CC$3="Transactions")*(_xlpm.d&gt;=$BD$1)*(_xlpm.d&lt;=$BD$2),INDEX('Sales and count'!$G$4:$CC$300,$BF287,0))))</f>
        <v>0</v>
      </c>
      <c r="BF287" t="str" cm="1">
        <f t="array" ref="BF287">IF($AW287="","",IFERROR(MATCH($AW287,TRIM('Sales and count'!$A$4:$A$300&amp;""),0),""))</f>
        <v/>
      </c>
      <c r="BG287" t="str" cm="1">
        <f t="array" ref="BG287">IF($AW287="","",IFERROR(MATCH(IFERROR(_xlfn.XLOOKUP($AW287,$BT$5:$BT$22,$BU$5:$BU$22),$AW287),TRIM('TY Sales Target'!$B$5:$B$300&amp;""),0),""))</f>
        <v/>
      </c>
      <c r="BH287" t="str" cm="1">
        <f t="array" ref="BH287">IF(ISNUMBER($BG287),_xlfn.LET(_xlpm.p,TRIM(INDEX('TY Sales Target'!$I$5:$I$300,$BG287)&amp;""),IF(_xlpm.p="","Not set",_xlpm.p)),"Not set")</f>
        <v>Not set</v>
      </c>
      <c r="BI287" cm="1">
        <f t="array" ref="BI287">IF($BF287="",0,_xlfn.LET(_xlpm.d,IFERROR(--'Sales and count'!$G$2:$CC$2,0),SUMPRODUCT(('Sales and count'!$G$3:$CC$3="Total")*(_xlpm.d&gt;=$BZ$5)*(_xlpm.d&lt;=$BZ$6),INDEX('Sales and count'!$G$4:$CC$300,$BF287,0))))</f>
        <v>0</v>
      </c>
      <c r="BJ287" cm="1">
        <f t="array" ref="BJ287">IF($AW287="",0,SUMPRODUCT((TRIM('LY Sales '!$B$5:$B$200)=$AW287)*('LY Sales '!$C$2:$AG$2&gt;=EDATE($BZ$5,-12))*('LY Sales '!$C$2:$AG$2&lt;=EDATE($BZ$6,-12)),'LY Sales '!$C$5:$AG$200))</f>
        <v>0</v>
      </c>
      <c r="BK287" cm="1">
        <f t="array" ref="BK287">IF($AW287="",0,SUMPRODUCT((TRIM('LY Sales '!$B$5:$B$200)=$AW287)*('LY Sales '!$C$2:$AG$2&gt;=EDATE($BZ$5,-12))*('LY Sales '!$C$2:$AG$2&lt;=EDATE($BZ$7,-12)),'LY Sales '!$C$5:$AG$200))</f>
        <v>0</v>
      </c>
      <c r="BL287" cm="1">
        <f t="array" ref="BL287">IF($AW287="",0,SUMPRODUCT((TRIM('LY Sales '!$B$5:$B$200)=$AW287)*('LY Sales '!$C$2:$AG$2&gt;=EDATE($BZ$5,-12))*('LY Sales '!$C$2:$AG$2&lt;=EDATE($BZ$6,-12))*('LY Sales '!$C$5:$AG$200&gt;0)))</f>
        <v>0</v>
      </c>
      <c r="BM287" cm="1">
        <f t="array" ref="BM287">IF(NOT(ISNUMBER($BG287)),0,SUMPRODUCT(('TY Sales Target'!$K$2:$AO$2&gt;=$BZ$5)*('TY Sales Target'!$K$2:$AO$2&lt;=$BZ$6),INDEX('TY Sales Target'!$K$5:$AO$300,$BG287,0)))</f>
        <v>0</v>
      </c>
      <c r="BN287" cm="1">
        <f t="array" ref="BN287">IF(NOT(ISNUMBER($BG287)),0,SUMPRODUCT(('TY Sales Target'!$K$2:$AO$2&gt;=$BZ$5)*('TY Sales Target'!$K$2:$AO$2&lt;=$BZ$7),INDEX('TY Sales Target'!$K$5:$AO$300,$BG287,0)))</f>
        <v>0</v>
      </c>
      <c r="BO287" cm="1">
        <f t="array" ref="BO287">IF($AW287="",0,IFERROR(_xlfn.SWITCH($BP287,"LY trend",$BI287*$BK287/$BJ287,"Target curve",$BI287*$BN287/$BM287,"Run rate",$BI287/$BZ$8*$BZ$9,0),0))</f>
        <v>0</v>
      </c>
      <c r="BP287" t="str">
        <f t="shared" si="130"/>
        <v/>
      </c>
      <c r="CB287" cm="1">
        <f t="array" ref="CB287">IF($AW287="",0,_xlfn.LET(_xlpm.k,IFERROR(_xlfn.XLOOKUP($AW287,$CD$6:$CD$21,$CE$6:$CE$21),$AW287),SUMPRODUCT((TRIM('Makeup '!$A$2:$A$300&amp;"")=_xlpm.k)*1,IFERROR('Makeup '!$F$2:$F$300*1,0))))</f>
        <v>0</v>
      </c>
      <c r="CF287" t="str" cm="1">
        <f t="array" ref="CF287">IF($AW287="","",_xlfn.LET(_xlpm.c,IFERROR(TRIM(INDEX('Sales and count'!$B$4:$B$300,$BF287)&amp;""),""),IF(OR(_xlpm.c="",_xlpm.c="0",LEFT(_xlpm.c,1)="#"),"Not set",_xlpm.c)))</f>
        <v/>
      </c>
      <c r="CH287" cm="1">
        <f t="array" ref="CH287">IF($AW287="",0,_xlfn.LET(_xlpm.k,IFERROR(_xlfn.XLOOKUP($AW287,$CD$6:$CD$21,$CE$6:$CE$21),$AW287),--(SUMPRODUCT((TRIM('Makeup '!$A$2:$A$300&amp;"")=_xlpm.k)*ISNUMBER('Makeup '!$F$2:$F$300))&gt;0)))</f>
        <v>0</v>
      </c>
      <c r="CI287">
        <f t="shared" si="133"/>
        <v>0</v>
      </c>
      <c r="CJ287" cm="1">
        <f t="array" ref="CJ287">IF($AW287="",0,--(SUMPRODUCT(--(TRIM(Footfall!$B$5:$B$301)=$AW287))&gt;0))</f>
        <v>0</v>
      </c>
      <c r="CK287" s="8" cm="1">
        <f t="array" ref="CK287">IF($AW287="",0,_xlfn.LET(_xlpm.r,IFERROR(MATCH(IFERROR(_xlfn.XLOOKUP($AW287,$BT$5:$BT$22,$BU$5:$BU$22),$AW287),TRIM('TY Beauty Target'!$B$5:$B$300&amp;""),0),""),IF(ISNUMBER(_xlpm.r),SUMPRODUCT(('TY Beauty Target'!$L$2:$AP$2&gt;=$U$4)*('TY Beauty Target'!$L$2:$AP$2&lt;=$U$5),INDEX('TY Beauty Target'!$L$5:$AP$300,_xlpm.r,0)),0)))</f>
        <v>0</v>
      </c>
    </row>
    <row r="288" spans="28:89" x14ac:dyDescent="0.25">
      <c r="AB288" s="40" t="str" cm="1">
        <f t="array" ref="AB288">IF($AI288="","",IF(LEFT($AI288,2)="C|",IF($C288="","",SUMPRODUCT($AP$5:$AP$302*($AO$5:$AO$302=$A288),$CK$5:$CK$302)),IF($AI288="CT",AB$13,IF(LEFT($AI288,3)="AM|",IF($C288="","",SUMPRODUCT($AP$5:$AP$302*($AN$5:$AN$302=$A288),$CK$5:$CK$302)),IF(LEFT($AI288,2)="S|",IF($AG288="","",INDEX($CK$5:$CK$302,$AH288)),IF($AI288="HDR","Makeup Target",""))))))</f>
        <v/>
      </c>
      <c r="AC288" s="41" t="str">
        <f t="shared" si="134"/>
        <v/>
      </c>
      <c r="AN288" s="8" t="str" cm="1">
        <f t="array" ref="AN288">IF($AW288="","",_xlfn.LET(_xlpm.sa,IFERROR(TRIM(INDEX('Sales and count'!$D$4:$D$300,$BF288)&amp;""),""),_xlpm.ta,IFERROR(TRIM(INDEX('TY Sales Target'!$F$5:$F$300,$BG288)&amp;""),""),IF(AND(_xlpm.sa&lt;&gt;"",LEFT(_xlpm.sa,1)&lt;&gt;"#",_xlpm.sa&lt;&gt;"0"),_xlpm.sa,IF(AND(_xlpm.ta&lt;&gt;"",LEFT(_xlpm.ta,1)&lt;&gt;"#",_xlpm.ta&lt;&gt;"0"),_xlpm.ta,IF(ISNUMBER($BG288),"Unassigned","")))))</f>
        <v/>
      </c>
      <c r="AO288" s="8" t="str" cm="1">
        <f t="array" ref="AO288">IF($AW288="","",_xlfn.LET(_xlpm.sa,IFERROR(TRIM(INDEX('Sales and count'!$C$4:$C$300,$BF288)&amp;""),""),_xlpm.ta,IFERROR(TRIM(INDEX('TY Sales Target'!$D$5:$D$300,$BG288)&amp;""),""),IF(AND(_xlpm.sa&lt;&gt;"",LEFT(_xlpm.sa,1)&lt;&gt;"#",_xlpm.sa&lt;&gt;"0"),_xlpm.sa,IF(AND(_xlpm.ta&lt;&gt;"",LEFT(_xlpm.ta,1)&lt;&gt;"#",_xlpm.ta&lt;&gt;"0"),_xlpm.ta,""))))</f>
        <v/>
      </c>
      <c r="AP288" s="8">
        <f t="shared" si="131"/>
        <v>0</v>
      </c>
      <c r="AQ288" s="8">
        <f t="shared" si="132"/>
        <v>0</v>
      </c>
      <c r="AR288" s="8" cm="1">
        <f t="array" ref="AR288">IF($BF288="",0,_xlfn.LET(_xlpm.d,IFERROR(--'Sales and count'!$G$2:$CC$2,0),SUMPRODUCT(('Sales and count'!$G$3:$CC$3="Total")*(_xlpm.d&gt;=$U$4)*(_xlpm.d&lt;=$U$5),INDEX('Sales and count'!$G$4:$CC$300,$BF288,0))))</f>
        <v>0</v>
      </c>
      <c r="AS288" s="8" cm="1">
        <f t="array" ref="AS288">IF($BF288="",0,_xlfn.LET(_xlpm.d,IFERROR(--'Sales and count'!$F$2:$CB$2,0),SUMPRODUCT(('Sales and count'!$G$3:$CC$3="Transactions")*(_xlpm.d&gt;=$U$4)*(_xlpm.d&lt;=$U$5),INDEX('Sales and count'!$G$4:$CC$300,$BF288,0))))</f>
        <v>0</v>
      </c>
      <c r="AT288" s="8" cm="1">
        <f t="array" ref="AT288">IF($AW288="",0,SUMPRODUCT((TRIM('LY Sales '!$B$5:$B$200)=$AW288)*('LY Sales '!$C$2:$AG$2&gt;=EDATE($U$4,-12))*('LY Sales '!$C$2:$AG$2&lt;=EDATE($U$5,-12)),'LY Sales '!$C$5:$AG$200))</f>
        <v>0</v>
      </c>
      <c r="AU288" s="8" cm="1">
        <f t="array" ref="AU288">IF($AW288="",0,SUMPRODUCT((TRIM('LY Transaction'!$B$5:$B$200)=$AW288)*('LY Transaction'!$C$2:$AG$2&gt;=EDATE($U$4,-12))*('LY Transaction'!$C$2:$AG$2&lt;=EDATE($U$5,-12)),'LY Transaction'!$C$5:$AG$200))</f>
        <v>0</v>
      </c>
      <c r="AV288" s="8" cm="1">
        <f t="array" ref="AV288">IF(NOT(ISNUMBER($BG288)),0,SUMPRODUCT(('TY Sales Target'!$K$2:$AO$2&gt;=$U$4)*('TY Sales Target'!$K$2:$AO$2&lt;=$U$5),INDEX('TY Sales Target'!$K$5:$AO$300,$BG288,0)))</f>
        <v>0</v>
      </c>
      <c r="AW288" s="8" t="str" cm="1">
        <f t="array" ref="AW288">IFERROR(INDEX(_xlfn.ANCHORARRAY($BR$5),ROWS($AW$5:AW288)),"")</f>
        <v/>
      </c>
      <c r="BB288" cm="1">
        <f t="array" ref="BB288">IF($AW288="",0,SUMPRODUCT((TRIM(Footfall!$B$5:$B$301)=$AW288)*(Footfall!$C$1:$BZ$1&gt;=$U$4)*(Footfall!$C$2:$BZ$2&lt;=$U$5)*(Footfall!$C$1:$BZ$1&lt;&gt;""),Footfall!$C$5:$BZ$301))</f>
        <v>0</v>
      </c>
      <c r="BC288" cm="1">
        <f t="array" ref="BC288">IF(OR($BB288&lt;=0,$BD$1="",$BF288=""),0,_xlfn.LET(_xlpm.d,IFERROR(--'Sales and count'!$F$2:$CB$2,0),SUMPRODUCT(('Sales and count'!$G$3:$CC$3="Transactions")*(_xlpm.d&gt;=$BD$1)*(_xlpm.d&lt;=$BD$2),INDEX('Sales and count'!$G$4:$CC$300,$BF288,0))))</f>
        <v>0</v>
      </c>
      <c r="BF288" t="str" cm="1">
        <f t="array" ref="BF288">IF($AW288="","",IFERROR(MATCH($AW288,TRIM('Sales and count'!$A$4:$A$300&amp;""),0),""))</f>
        <v/>
      </c>
      <c r="BG288" t="str" cm="1">
        <f t="array" ref="BG288">IF($AW288="","",IFERROR(MATCH(IFERROR(_xlfn.XLOOKUP($AW288,$BT$5:$BT$22,$BU$5:$BU$22),$AW288),TRIM('TY Sales Target'!$B$5:$B$300&amp;""),0),""))</f>
        <v/>
      </c>
      <c r="BH288" t="str" cm="1">
        <f t="array" ref="BH288">IF(ISNUMBER($BG288),_xlfn.LET(_xlpm.p,TRIM(INDEX('TY Sales Target'!$I$5:$I$300,$BG288)&amp;""),IF(_xlpm.p="","Not set",_xlpm.p)),"Not set")</f>
        <v>Not set</v>
      </c>
      <c r="BI288" cm="1">
        <f t="array" ref="BI288">IF($BF288="",0,_xlfn.LET(_xlpm.d,IFERROR(--'Sales and count'!$G$2:$CC$2,0),SUMPRODUCT(('Sales and count'!$G$3:$CC$3="Total")*(_xlpm.d&gt;=$BZ$5)*(_xlpm.d&lt;=$BZ$6),INDEX('Sales and count'!$G$4:$CC$300,$BF288,0))))</f>
        <v>0</v>
      </c>
      <c r="BJ288" cm="1">
        <f t="array" ref="BJ288">IF($AW288="",0,SUMPRODUCT((TRIM('LY Sales '!$B$5:$B$200)=$AW288)*('LY Sales '!$C$2:$AG$2&gt;=EDATE($BZ$5,-12))*('LY Sales '!$C$2:$AG$2&lt;=EDATE($BZ$6,-12)),'LY Sales '!$C$5:$AG$200))</f>
        <v>0</v>
      </c>
      <c r="BK288" cm="1">
        <f t="array" ref="BK288">IF($AW288="",0,SUMPRODUCT((TRIM('LY Sales '!$B$5:$B$200)=$AW288)*('LY Sales '!$C$2:$AG$2&gt;=EDATE($BZ$5,-12))*('LY Sales '!$C$2:$AG$2&lt;=EDATE($BZ$7,-12)),'LY Sales '!$C$5:$AG$200))</f>
        <v>0</v>
      </c>
      <c r="BL288" cm="1">
        <f t="array" ref="BL288">IF($AW288="",0,SUMPRODUCT((TRIM('LY Sales '!$B$5:$B$200)=$AW288)*('LY Sales '!$C$2:$AG$2&gt;=EDATE($BZ$5,-12))*('LY Sales '!$C$2:$AG$2&lt;=EDATE($BZ$6,-12))*('LY Sales '!$C$5:$AG$200&gt;0)))</f>
        <v>0</v>
      </c>
      <c r="BM288" cm="1">
        <f t="array" ref="BM288">IF(NOT(ISNUMBER($BG288)),0,SUMPRODUCT(('TY Sales Target'!$K$2:$AO$2&gt;=$BZ$5)*('TY Sales Target'!$K$2:$AO$2&lt;=$BZ$6),INDEX('TY Sales Target'!$K$5:$AO$300,$BG288,0)))</f>
        <v>0</v>
      </c>
      <c r="BN288" cm="1">
        <f t="array" ref="BN288">IF(NOT(ISNUMBER($BG288)),0,SUMPRODUCT(('TY Sales Target'!$K$2:$AO$2&gt;=$BZ$5)*('TY Sales Target'!$K$2:$AO$2&lt;=$BZ$7),INDEX('TY Sales Target'!$K$5:$AO$300,$BG288,0)))</f>
        <v>0</v>
      </c>
      <c r="BO288" cm="1">
        <f t="array" ref="BO288">IF($AW288="",0,IFERROR(_xlfn.SWITCH($BP288,"LY trend",$BI288*$BK288/$BJ288,"Target curve",$BI288*$BN288/$BM288,"Run rate",$BI288/$BZ$8*$BZ$9,0),0))</f>
        <v>0</v>
      </c>
      <c r="BP288" t="str">
        <f t="shared" si="130"/>
        <v/>
      </c>
      <c r="CB288" cm="1">
        <f t="array" ref="CB288">IF($AW288="",0,_xlfn.LET(_xlpm.k,IFERROR(_xlfn.XLOOKUP($AW288,$CD$6:$CD$21,$CE$6:$CE$21),$AW288),SUMPRODUCT((TRIM('Makeup '!$A$2:$A$300&amp;"")=_xlpm.k)*1,IFERROR('Makeup '!$F$2:$F$300*1,0))))</f>
        <v>0</v>
      </c>
      <c r="CF288" t="str" cm="1">
        <f t="array" ref="CF288">IF($AW288="","",_xlfn.LET(_xlpm.c,IFERROR(TRIM(INDEX('Sales and count'!$B$4:$B$300,$BF288)&amp;""),""),IF(OR(_xlpm.c="",_xlpm.c="0",LEFT(_xlpm.c,1)="#"),"Not set",_xlpm.c)))</f>
        <v/>
      </c>
      <c r="CH288" cm="1">
        <f t="array" ref="CH288">IF($AW288="",0,_xlfn.LET(_xlpm.k,IFERROR(_xlfn.XLOOKUP($AW288,$CD$6:$CD$21,$CE$6:$CE$21),$AW288),--(SUMPRODUCT((TRIM('Makeup '!$A$2:$A$300&amp;"")=_xlpm.k)*ISNUMBER('Makeup '!$F$2:$F$300))&gt;0)))</f>
        <v>0</v>
      </c>
      <c r="CI288">
        <f t="shared" si="133"/>
        <v>0</v>
      </c>
      <c r="CJ288" cm="1">
        <f t="array" ref="CJ288">IF($AW288="",0,--(SUMPRODUCT(--(TRIM(Footfall!$B$5:$B$301)=$AW288))&gt;0))</f>
        <v>0</v>
      </c>
      <c r="CK288" s="8" cm="1">
        <f t="array" ref="CK288">IF($AW288="",0,_xlfn.LET(_xlpm.r,IFERROR(MATCH(IFERROR(_xlfn.XLOOKUP($AW288,$BT$5:$BT$22,$BU$5:$BU$22),$AW288),TRIM('TY Beauty Target'!$B$5:$B$300&amp;""),0),""),IF(ISNUMBER(_xlpm.r),SUMPRODUCT(('TY Beauty Target'!$L$2:$AP$2&gt;=$U$4)*('TY Beauty Target'!$L$2:$AP$2&lt;=$U$5),INDEX('TY Beauty Target'!$L$5:$AP$300,_xlpm.r,0)),0)))</f>
        <v>0</v>
      </c>
    </row>
    <row r="289" spans="28:89" x14ac:dyDescent="0.25">
      <c r="AB289" s="40" t="str" cm="1">
        <f t="array" ref="AB289">IF($AI289="","",IF(LEFT($AI289,2)="C|",IF($C289="","",SUMPRODUCT($AP$5:$AP$302*($AO$5:$AO$302=$A289),$CK$5:$CK$302)),IF($AI289="CT",AB$13,IF(LEFT($AI289,3)="AM|",IF($C289="","",SUMPRODUCT($AP$5:$AP$302*($AN$5:$AN$302=$A289),$CK$5:$CK$302)),IF(LEFT($AI289,2)="S|",IF($AG289="","",INDEX($CK$5:$CK$302,$AH289)),IF($AI289="HDR","Makeup Target",""))))))</f>
        <v/>
      </c>
      <c r="AC289" s="41" t="str">
        <f t="shared" si="134"/>
        <v/>
      </c>
      <c r="AN289" s="8" t="str" cm="1">
        <f t="array" ref="AN289">IF($AW289="","",_xlfn.LET(_xlpm.sa,IFERROR(TRIM(INDEX('Sales and count'!$D$4:$D$300,$BF289)&amp;""),""),_xlpm.ta,IFERROR(TRIM(INDEX('TY Sales Target'!$F$5:$F$300,$BG289)&amp;""),""),IF(AND(_xlpm.sa&lt;&gt;"",LEFT(_xlpm.sa,1)&lt;&gt;"#",_xlpm.sa&lt;&gt;"0"),_xlpm.sa,IF(AND(_xlpm.ta&lt;&gt;"",LEFT(_xlpm.ta,1)&lt;&gt;"#",_xlpm.ta&lt;&gt;"0"),_xlpm.ta,IF(ISNUMBER($BG289),"Unassigned","")))))</f>
        <v/>
      </c>
      <c r="AO289" s="8" t="str" cm="1">
        <f t="array" ref="AO289">IF($AW289="","",_xlfn.LET(_xlpm.sa,IFERROR(TRIM(INDEX('Sales and count'!$C$4:$C$300,$BF289)&amp;""),""),_xlpm.ta,IFERROR(TRIM(INDEX('TY Sales Target'!$D$5:$D$300,$BG289)&amp;""),""),IF(AND(_xlpm.sa&lt;&gt;"",LEFT(_xlpm.sa,1)&lt;&gt;"#",_xlpm.sa&lt;&gt;"0"),_xlpm.sa,IF(AND(_xlpm.ta&lt;&gt;"",LEFT(_xlpm.ta,1)&lt;&gt;"#",_xlpm.ta&lt;&gt;"0"),_xlpm.ta,""))))</f>
        <v/>
      </c>
      <c r="AP289" s="8">
        <f t="shared" si="131"/>
        <v>0</v>
      </c>
      <c r="AQ289" s="8">
        <f t="shared" si="132"/>
        <v>0</v>
      </c>
      <c r="AR289" s="8" cm="1">
        <f t="array" ref="AR289">IF($BF289="",0,_xlfn.LET(_xlpm.d,IFERROR(--'Sales and count'!$G$2:$CC$2,0),SUMPRODUCT(('Sales and count'!$G$3:$CC$3="Total")*(_xlpm.d&gt;=$U$4)*(_xlpm.d&lt;=$U$5),INDEX('Sales and count'!$G$4:$CC$300,$BF289,0))))</f>
        <v>0</v>
      </c>
      <c r="AS289" s="8" cm="1">
        <f t="array" ref="AS289">IF($BF289="",0,_xlfn.LET(_xlpm.d,IFERROR(--'Sales and count'!$F$2:$CB$2,0),SUMPRODUCT(('Sales and count'!$G$3:$CC$3="Transactions")*(_xlpm.d&gt;=$U$4)*(_xlpm.d&lt;=$U$5),INDEX('Sales and count'!$G$4:$CC$300,$BF289,0))))</f>
        <v>0</v>
      </c>
      <c r="AT289" s="8" cm="1">
        <f t="array" ref="AT289">IF($AW289="",0,SUMPRODUCT((TRIM('LY Sales '!$B$5:$B$200)=$AW289)*('LY Sales '!$C$2:$AG$2&gt;=EDATE($U$4,-12))*('LY Sales '!$C$2:$AG$2&lt;=EDATE($U$5,-12)),'LY Sales '!$C$5:$AG$200))</f>
        <v>0</v>
      </c>
      <c r="AU289" s="8" cm="1">
        <f t="array" ref="AU289">IF($AW289="",0,SUMPRODUCT((TRIM('LY Transaction'!$B$5:$B$200)=$AW289)*('LY Transaction'!$C$2:$AG$2&gt;=EDATE($U$4,-12))*('LY Transaction'!$C$2:$AG$2&lt;=EDATE($U$5,-12)),'LY Transaction'!$C$5:$AG$200))</f>
        <v>0</v>
      </c>
      <c r="AV289" s="8" cm="1">
        <f t="array" ref="AV289">IF(NOT(ISNUMBER($BG289)),0,SUMPRODUCT(('TY Sales Target'!$K$2:$AO$2&gt;=$U$4)*('TY Sales Target'!$K$2:$AO$2&lt;=$U$5),INDEX('TY Sales Target'!$K$5:$AO$300,$BG289,0)))</f>
        <v>0</v>
      </c>
      <c r="AW289" s="8" t="str" cm="1">
        <f t="array" ref="AW289">IFERROR(INDEX(_xlfn.ANCHORARRAY($BR$5),ROWS($AW$5:AW289)),"")</f>
        <v/>
      </c>
      <c r="BB289" cm="1">
        <f t="array" ref="BB289">IF($AW289="",0,SUMPRODUCT((TRIM(Footfall!$B$5:$B$301)=$AW289)*(Footfall!$C$1:$BZ$1&gt;=$U$4)*(Footfall!$C$2:$BZ$2&lt;=$U$5)*(Footfall!$C$1:$BZ$1&lt;&gt;""),Footfall!$C$5:$BZ$301))</f>
        <v>0</v>
      </c>
      <c r="BC289" cm="1">
        <f t="array" ref="BC289">IF(OR($BB289&lt;=0,$BD$1="",$BF289=""),0,_xlfn.LET(_xlpm.d,IFERROR(--'Sales and count'!$F$2:$CB$2,0),SUMPRODUCT(('Sales and count'!$G$3:$CC$3="Transactions")*(_xlpm.d&gt;=$BD$1)*(_xlpm.d&lt;=$BD$2),INDEX('Sales and count'!$G$4:$CC$300,$BF289,0))))</f>
        <v>0</v>
      </c>
      <c r="BF289" t="str" cm="1">
        <f t="array" ref="BF289">IF($AW289="","",IFERROR(MATCH($AW289,TRIM('Sales and count'!$A$4:$A$300&amp;""),0),""))</f>
        <v/>
      </c>
      <c r="BG289" t="str" cm="1">
        <f t="array" ref="BG289">IF($AW289="","",IFERROR(MATCH(IFERROR(_xlfn.XLOOKUP($AW289,$BT$5:$BT$22,$BU$5:$BU$22),$AW289),TRIM('TY Sales Target'!$B$5:$B$300&amp;""),0),""))</f>
        <v/>
      </c>
      <c r="BH289" t="str" cm="1">
        <f t="array" ref="BH289">IF(ISNUMBER($BG289),_xlfn.LET(_xlpm.p,TRIM(INDEX('TY Sales Target'!$I$5:$I$300,$BG289)&amp;""),IF(_xlpm.p="","Not set",_xlpm.p)),"Not set")</f>
        <v>Not set</v>
      </c>
      <c r="BI289" cm="1">
        <f t="array" ref="BI289">IF($BF289="",0,_xlfn.LET(_xlpm.d,IFERROR(--'Sales and count'!$G$2:$CC$2,0),SUMPRODUCT(('Sales and count'!$G$3:$CC$3="Total")*(_xlpm.d&gt;=$BZ$5)*(_xlpm.d&lt;=$BZ$6),INDEX('Sales and count'!$G$4:$CC$300,$BF289,0))))</f>
        <v>0</v>
      </c>
      <c r="BJ289" cm="1">
        <f t="array" ref="BJ289">IF($AW289="",0,SUMPRODUCT((TRIM('LY Sales '!$B$5:$B$200)=$AW289)*('LY Sales '!$C$2:$AG$2&gt;=EDATE($BZ$5,-12))*('LY Sales '!$C$2:$AG$2&lt;=EDATE($BZ$6,-12)),'LY Sales '!$C$5:$AG$200))</f>
        <v>0</v>
      </c>
      <c r="BK289" cm="1">
        <f t="array" ref="BK289">IF($AW289="",0,SUMPRODUCT((TRIM('LY Sales '!$B$5:$B$200)=$AW289)*('LY Sales '!$C$2:$AG$2&gt;=EDATE($BZ$5,-12))*('LY Sales '!$C$2:$AG$2&lt;=EDATE($BZ$7,-12)),'LY Sales '!$C$5:$AG$200))</f>
        <v>0</v>
      </c>
      <c r="BL289" cm="1">
        <f t="array" ref="BL289">IF($AW289="",0,SUMPRODUCT((TRIM('LY Sales '!$B$5:$B$200)=$AW289)*('LY Sales '!$C$2:$AG$2&gt;=EDATE($BZ$5,-12))*('LY Sales '!$C$2:$AG$2&lt;=EDATE($BZ$6,-12))*('LY Sales '!$C$5:$AG$200&gt;0)))</f>
        <v>0</v>
      </c>
      <c r="BM289" cm="1">
        <f t="array" ref="BM289">IF(NOT(ISNUMBER($BG289)),0,SUMPRODUCT(('TY Sales Target'!$K$2:$AO$2&gt;=$BZ$5)*('TY Sales Target'!$K$2:$AO$2&lt;=$BZ$6),INDEX('TY Sales Target'!$K$5:$AO$300,$BG289,0)))</f>
        <v>0</v>
      </c>
      <c r="BN289" cm="1">
        <f t="array" ref="BN289">IF(NOT(ISNUMBER($BG289)),0,SUMPRODUCT(('TY Sales Target'!$K$2:$AO$2&gt;=$BZ$5)*('TY Sales Target'!$K$2:$AO$2&lt;=$BZ$7),INDEX('TY Sales Target'!$K$5:$AO$300,$BG289,0)))</f>
        <v>0</v>
      </c>
      <c r="BO289" cm="1">
        <f t="array" ref="BO289">IF($AW289="",0,IFERROR(_xlfn.SWITCH($BP289,"LY trend",$BI289*$BK289/$BJ289,"Target curve",$BI289*$BN289/$BM289,"Run rate",$BI289/$BZ$8*$BZ$9,0),0))</f>
        <v>0</v>
      </c>
      <c r="BP289" t="str">
        <f t="shared" si="130"/>
        <v/>
      </c>
      <c r="CB289" cm="1">
        <f t="array" ref="CB289">IF($AW289="",0,_xlfn.LET(_xlpm.k,IFERROR(_xlfn.XLOOKUP($AW289,$CD$6:$CD$21,$CE$6:$CE$21),$AW289),SUMPRODUCT((TRIM('Makeup '!$A$2:$A$300&amp;"")=_xlpm.k)*1,IFERROR('Makeup '!$F$2:$F$300*1,0))))</f>
        <v>0</v>
      </c>
      <c r="CF289" t="str" cm="1">
        <f t="array" ref="CF289">IF($AW289="","",_xlfn.LET(_xlpm.c,IFERROR(TRIM(INDEX('Sales and count'!$B$4:$B$300,$BF289)&amp;""),""),IF(OR(_xlpm.c="",_xlpm.c="0",LEFT(_xlpm.c,1)="#"),"Not set",_xlpm.c)))</f>
        <v/>
      </c>
      <c r="CH289" cm="1">
        <f t="array" ref="CH289">IF($AW289="",0,_xlfn.LET(_xlpm.k,IFERROR(_xlfn.XLOOKUP($AW289,$CD$6:$CD$21,$CE$6:$CE$21),$AW289),--(SUMPRODUCT((TRIM('Makeup '!$A$2:$A$300&amp;"")=_xlpm.k)*ISNUMBER('Makeup '!$F$2:$F$300))&gt;0)))</f>
        <v>0</v>
      </c>
      <c r="CI289">
        <f t="shared" si="133"/>
        <v>0</v>
      </c>
      <c r="CJ289" cm="1">
        <f t="array" ref="CJ289">IF($AW289="",0,--(SUMPRODUCT(--(TRIM(Footfall!$B$5:$B$301)=$AW289))&gt;0))</f>
        <v>0</v>
      </c>
      <c r="CK289" s="8" cm="1">
        <f t="array" ref="CK289">IF($AW289="",0,_xlfn.LET(_xlpm.r,IFERROR(MATCH(IFERROR(_xlfn.XLOOKUP($AW289,$BT$5:$BT$22,$BU$5:$BU$22),$AW289),TRIM('TY Beauty Target'!$B$5:$B$300&amp;""),0),""),IF(ISNUMBER(_xlpm.r),SUMPRODUCT(('TY Beauty Target'!$L$2:$AP$2&gt;=$U$4)*('TY Beauty Target'!$L$2:$AP$2&lt;=$U$5),INDEX('TY Beauty Target'!$L$5:$AP$300,_xlpm.r,0)),0)))</f>
        <v>0</v>
      </c>
    </row>
    <row r="290" spans="28:89" x14ac:dyDescent="0.25">
      <c r="AB290" s="40" t="str" cm="1">
        <f t="array" ref="AB290">IF($AI290="","",IF(LEFT($AI290,2)="C|",IF($C290="","",SUMPRODUCT($AP$5:$AP$302*($AO$5:$AO$302=$A290),$CK$5:$CK$302)),IF($AI290="CT",AB$13,IF(LEFT($AI290,3)="AM|",IF($C290="","",SUMPRODUCT($AP$5:$AP$302*($AN$5:$AN$302=$A290),$CK$5:$CK$302)),IF(LEFT($AI290,2)="S|",IF($AG290="","",INDEX($CK$5:$CK$302,$AH290)),IF($AI290="HDR","Makeup Target",""))))))</f>
        <v/>
      </c>
      <c r="AC290" s="41" t="str">
        <f t="shared" si="134"/>
        <v/>
      </c>
      <c r="AN290" s="8" t="str" cm="1">
        <f t="array" ref="AN290">IF($AW290="","",_xlfn.LET(_xlpm.sa,IFERROR(TRIM(INDEX('Sales and count'!$D$4:$D$300,$BF290)&amp;""),""),_xlpm.ta,IFERROR(TRIM(INDEX('TY Sales Target'!$F$5:$F$300,$BG290)&amp;""),""),IF(AND(_xlpm.sa&lt;&gt;"",LEFT(_xlpm.sa,1)&lt;&gt;"#",_xlpm.sa&lt;&gt;"0"),_xlpm.sa,IF(AND(_xlpm.ta&lt;&gt;"",LEFT(_xlpm.ta,1)&lt;&gt;"#",_xlpm.ta&lt;&gt;"0"),_xlpm.ta,IF(ISNUMBER($BG290),"Unassigned","")))))</f>
        <v/>
      </c>
      <c r="AO290" s="8" t="str" cm="1">
        <f t="array" ref="AO290">IF($AW290="","",_xlfn.LET(_xlpm.sa,IFERROR(TRIM(INDEX('Sales and count'!$C$4:$C$300,$BF290)&amp;""),""),_xlpm.ta,IFERROR(TRIM(INDEX('TY Sales Target'!$D$5:$D$300,$BG290)&amp;""),""),IF(AND(_xlpm.sa&lt;&gt;"",LEFT(_xlpm.sa,1)&lt;&gt;"#",_xlpm.sa&lt;&gt;"0"),_xlpm.sa,IF(AND(_xlpm.ta&lt;&gt;"",LEFT(_xlpm.ta,1)&lt;&gt;"#",_xlpm.ta&lt;&gt;"0"),_xlpm.ta,""))))</f>
        <v/>
      </c>
      <c r="AP290" s="8">
        <f t="shared" si="131"/>
        <v>0</v>
      </c>
      <c r="AQ290" s="8">
        <f t="shared" si="132"/>
        <v>0</v>
      </c>
      <c r="AR290" s="8" cm="1">
        <f t="array" ref="AR290">IF($BF290="",0,_xlfn.LET(_xlpm.d,IFERROR(--'Sales and count'!$G$2:$CC$2,0),SUMPRODUCT(('Sales and count'!$G$3:$CC$3="Total")*(_xlpm.d&gt;=$U$4)*(_xlpm.d&lt;=$U$5),INDEX('Sales and count'!$G$4:$CC$300,$BF290,0))))</f>
        <v>0</v>
      </c>
      <c r="AS290" s="8" cm="1">
        <f t="array" ref="AS290">IF($BF290="",0,_xlfn.LET(_xlpm.d,IFERROR(--'Sales and count'!$F$2:$CB$2,0),SUMPRODUCT(('Sales and count'!$G$3:$CC$3="Transactions")*(_xlpm.d&gt;=$U$4)*(_xlpm.d&lt;=$U$5),INDEX('Sales and count'!$G$4:$CC$300,$BF290,0))))</f>
        <v>0</v>
      </c>
      <c r="AT290" s="8" cm="1">
        <f t="array" ref="AT290">IF($AW290="",0,SUMPRODUCT((TRIM('LY Sales '!$B$5:$B$200)=$AW290)*('LY Sales '!$C$2:$AG$2&gt;=EDATE($U$4,-12))*('LY Sales '!$C$2:$AG$2&lt;=EDATE($U$5,-12)),'LY Sales '!$C$5:$AG$200))</f>
        <v>0</v>
      </c>
      <c r="AU290" s="8" cm="1">
        <f t="array" ref="AU290">IF($AW290="",0,SUMPRODUCT((TRIM('LY Transaction'!$B$5:$B$200)=$AW290)*('LY Transaction'!$C$2:$AG$2&gt;=EDATE($U$4,-12))*('LY Transaction'!$C$2:$AG$2&lt;=EDATE($U$5,-12)),'LY Transaction'!$C$5:$AG$200))</f>
        <v>0</v>
      </c>
      <c r="AV290" s="8" cm="1">
        <f t="array" ref="AV290">IF(NOT(ISNUMBER($BG290)),0,SUMPRODUCT(('TY Sales Target'!$K$2:$AO$2&gt;=$U$4)*('TY Sales Target'!$K$2:$AO$2&lt;=$U$5),INDEX('TY Sales Target'!$K$5:$AO$300,$BG290,0)))</f>
        <v>0</v>
      </c>
      <c r="AW290" s="8" t="str" cm="1">
        <f t="array" ref="AW290">IFERROR(INDEX(_xlfn.ANCHORARRAY($BR$5),ROWS($AW$5:AW290)),"")</f>
        <v/>
      </c>
      <c r="BB290" cm="1">
        <f t="array" ref="BB290">IF($AW290="",0,SUMPRODUCT((TRIM(Footfall!$B$5:$B$301)=$AW290)*(Footfall!$C$1:$BZ$1&gt;=$U$4)*(Footfall!$C$2:$BZ$2&lt;=$U$5)*(Footfall!$C$1:$BZ$1&lt;&gt;""),Footfall!$C$5:$BZ$301))</f>
        <v>0</v>
      </c>
      <c r="BC290" cm="1">
        <f t="array" ref="BC290">IF(OR($BB290&lt;=0,$BD$1="",$BF290=""),0,_xlfn.LET(_xlpm.d,IFERROR(--'Sales and count'!$F$2:$CB$2,0),SUMPRODUCT(('Sales and count'!$G$3:$CC$3="Transactions")*(_xlpm.d&gt;=$BD$1)*(_xlpm.d&lt;=$BD$2),INDEX('Sales and count'!$G$4:$CC$300,$BF290,0))))</f>
        <v>0</v>
      </c>
      <c r="BF290" t="str" cm="1">
        <f t="array" ref="BF290">IF($AW290="","",IFERROR(MATCH($AW290,TRIM('Sales and count'!$A$4:$A$300&amp;""),0),""))</f>
        <v/>
      </c>
      <c r="BG290" t="str" cm="1">
        <f t="array" ref="BG290">IF($AW290="","",IFERROR(MATCH(IFERROR(_xlfn.XLOOKUP($AW290,$BT$5:$BT$22,$BU$5:$BU$22),$AW290),TRIM('TY Sales Target'!$B$5:$B$300&amp;""),0),""))</f>
        <v/>
      </c>
      <c r="BH290" t="str" cm="1">
        <f t="array" ref="BH290">IF(ISNUMBER($BG290),_xlfn.LET(_xlpm.p,TRIM(INDEX('TY Sales Target'!$I$5:$I$300,$BG290)&amp;""),IF(_xlpm.p="","Not set",_xlpm.p)),"Not set")</f>
        <v>Not set</v>
      </c>
      <c r="BI290" cm="1">
        <f t="array" ref="BI290">IF($BF290="",0,_xlfn.LET(_xlpm.d,IFERROR(--'Sales and count'!$G$2:$CC$2,0),SUMPRODUCT(('Sales and count'!$G$3:$CC$3="Total")*(_xlpm.d&gt;=$BZ$5)*(_xlpm.d&lt;=$BZ$6),INDEX('Sales and count'!$G$4:$CC$300,$BF290,0))))</f>
        <v>0</v>
      </c>
      <c r="BJ290" cm="1">
        <f t="array" ref="BJ290">IF($AW290="",0,SUMPRODUCT((TRIM('LY Sales '!$B$5:$B$200)=$AW290)*('LY Sales '!$C$2:$AG$2&gt;=EDATE($BZ$5,-12))*('LY Sales '!$C$2:$AG$2&lt;=EDATE($BZ$6,-12)),'LY Sales '!$C$5:$AG$200))</f>
        <v>0</v>
      </c>
      <c r="BK290" cm="1">
        <f t="array" ref="BK290">IF($AW290="",0,SUMPRODUCT((TRIM('LY Sales '!$B$5:$B$200)=$AW290)*('LY Sales '!$C$2:$AG$2&gt;=EDATE($BZ$5,-12))*('LY Sales '!$C$2:$AG$2&lt;=EDATE($BZ$7,-12)),'LY Sales '!$C$5:$AG$200))</f>
        <v>0</v>
      </c>
      <c r="BL290" cm="1">
        <f t="array" ref="BL290">IF($AW290="",0,SUMPRODUCT((TRIM('LY Sales '!$B$5:$B$200)=$AW290)*('LY Sales '!$C$2:$AG$2&gt;=EDATE($BZ$5,-12))*('LY Sales '!$C$2:$AG$2&lt;=EDATE($BZ$6,-12))*('LY Sales '!$C$5:$AG$200&gt;0)))</f>
        <v>0</v>
      </c>
      <c r="BM290" cm="1">
        <f t="array" ref="BM290">IF(NOT(ISNUMBER($BG290)),0,SUMPRODUCT(('TY Sales Target'!$K$2:$AO$2&gt;=$BZ$5)*('TY Sales Target'!$K$2:$AO$2&lt;=$BZ$6),INDEX('TY Sales Target'!$K$5:$AO$300,$BG290,0)))</f>
        <v>0</v>
      </c>
      <c r="BN290" cm="1">
        <f t="array" ref="BN290">IF(NOT(ISNUMBER($BG290)),0,SUMPRODUCT(('TY Sales Target'!$K$2:$AO$2&gt;=$BZ$5)*('TY Sales Target'!$K$2:$AO$2&lt;=$BZ$7),INDEX('TY Sales Target'!$K$5:$AO$300,$BG290,0)))</f>
        <v>0</v>
      </c>
      <c r="BO290" cm="1">
        <f t="array" ref="BO290">IF($AW290="",0,IFERROR(_xlfn.SWITCH($BP290,"LY trend",$BI290*$BK290/$BJ290,"Target curve",$BI290*$BN290/$BM290,"Run rate",$BI290/$BZ$8*$BZ$9,0),0))</f>
        <v>0</v>
      </c>
      <c r="BP290" t="str">
        <f t="shared" si="130"/>
        <v/>
      </c>
      <c r="CB290" cm="1">
        <f t="array" ref="CB290">IF($AW290="",0,_xlfn.LET(_xlpm.k,IFERROR(_xlfn.XLOOKUP($AW290,$CD$6:$CD$21,$CE$6:$CE$21),$AW290),SUMPRODUCT((TRIM('Makeup '!$A$2:$A$300&amp;"")=_xlpm.k)*1,IFERROR('Makeup '!$F$2:$F$300*1,0))))</f>
        <v>0</v>
      </c>
      <c r="CF290" t="str" cm="1">
        <f t="array" ref="CF290">IF($AW290="","",_xlfn.LET(_xlpm.c,IFERROR(TRIM(INDEX('Sales and count'!$B$4:$B$300,$BF290)&amp;""),""),IF(OR(_xlpm.c="",_xlpm.c="0",LEFT(_xlpm.c,1)="#"),"Not set",_xlpm.c)))</f>
        <v/>
      </c>
      <c r="CH290" cm="1">
        <f t="array" ref="CH290">IF($AW290="",0,_xlfn.LET(_xlpm.k,IFERROR(_xlfn.XLOOKUP($AW290,$CD$6:$CD$21,$CE$6:$CE$21),$AW290),--(SUMPRODUCT((TRIM('Makeup '!$A$2:$A$300&amp;"")=_xlpm.k)*ISNUMBER('Makeup '!$F$2:$F$300))&gt;0)))</f>
        <v>0</v>
      </c>
      <c r="CI290">
        <f t="shared" si="133"/>
        <v>0</v>
      </c>
      <c r="CJ290" cm="1">
        <f t="array" ref="CJ290">IF($AW290="",0,--(SUMPRODUCT(--(TRIM(Footfall!$B$5:$B$301)=$AW290))&gt;0))</f>
        <v>0</v>
      </c>
      <c r="CK290" s="8" cm="1">
        <f t="array" ref="CK290">IF($AW290="",0,_xlfn.LET(_xlpm.r,IFERROR(MATCH(IFERROR(_xlfn.XLOOKUP($AW290,$BT$5:$BT$22,$BU$5:$BU$22),$AW290),TRIM('TY Beauty Target'!$B$5:$B$300&amp;""),0),""),IF(ISNUMBER(_xlpm.r),SUMPRODUCT(('TY Beauty Target'!$L$2:$AP$2&gt;=$U$4)*('TY Beauty Target'!$L$2:$AP$2&lt;=$U$5),INDEX('TY Beauty Target'!$L$5:$AP$300,_xlpm.r,0)),0)))</f>
        <v>0</v>
      </c>
    </row>
    <row r="291" spans="28:89" x14ac:dyDescent="0.25">
      <c r="AB291" s="40" t="str" cm="1">
        <f t="array" ref="AB291">IF($AI291="","",IF(LEFT($AI291,2)="C|",IF($C291="","",SUMPRODUCT($AP$5:$AP$302*($AO$5:$AO$302=$A291),$CK$5:$CK$302)),IF($AI291="CT",AB$13,IF(LEFT($AI291,3)="AM|",IF($C291="","",SUMPRODUCT($AP$5:$AP$302*($AN$5:$AN$302=$A291),$CK$5:$CK$302)),IF(LEFT($AI291,2)="S|",IF($AG291="","",INDEX($CK$5:$CK$302,$AH291)),IF($AI291="HDR","Makeup Target",""))))))</f>
        <v/>
      </c>
      <c r="AC291" s="41" t="str">
        <f t="shared" si="134"/>
        <v/>
      </c>
      <c r="AN291" s="8" t="str" cm="1">
        <f t="array" ref="AN291">IF($AW291="","",_xlfn.LET(_xlpm.sa,IFERROR(TRIM(INDEX('Sales and count'!$D$4:$D$300,$BF291)&amp;""),""),_xlpm.ta,IFERROR(TRIM(INDEX('TY Sales Target'!$F$5:$F$300,$BG291)&amp;""),""),IF(AND(_xlpm.sa&lt;&gt;"",LEFT(_xlpm.sa,1)&lt;&gt;"#",_xlpm.sa&lt;&gt;"0"),_xlpm.sa,IF(AND(_xlpm.ta&lt;&gt;"",LEFT(_xlpm.ta,1)&lt;&gt;"#",_xlpm.ta&lt;&gt;"0"),_xlpm.ta,IF(ISNUMBER($BG291),"Unassigned","")))))</f>
        <v/>
      </c>
      <c r="AO291" s="8" t="str" cm="1">
        <f t="array" ref="AO291">IF($AW291="","",_xlfn.LET(_xlpm.sa,IFERROR(TRIM(INDEX('Sales and count'!$C$4:$C$300,$BF291)&amp;""),""),_xlpm.ta,IFERROR(TRIM(INDEX('TY Sales Target'!$D$5:$D$300,$BG291)&amp;""),""),IF(AND(_xlpm.sa&lt;&gt;"",LEFT(_xlpm.sa,1)&lt;&gt;"#",_xlpm.sa&lt;&gt;"0"),_xlpm.sa,IF(AND(_xlpm.ta&lt;&gt;"",LEFT(_xlpm.ta,1)&lt;&gt;"#",_xlpm.ta&lt;&gt;"0"),_xlpm.ta,""))))</f>
        <v/>
      </c>
      <c r="AP291" s="8">
        <f t="shared" si="131"/>
        <v>0</v>
      </c>
      <c r="AQ291" s="8">
        <f t="shared" si="132"/>
        <v>0</v>
      </c>
      <c r="AR291" s="8" cm="1">
        <f t="array" ref="AR291">IF($BF291="",0,_xlfn.LET(_xlpm.d,IFERROR(--'Sales and count'!$G$2:$CC$2,0),SUMPRODUCT(('Sales and count'!$G$3:$CC$3="Total")*(_xlpm.d&gt;=$U$4)*(_xlpm.d&lt;=$U$5),INDEX('Sales and count'!$G$4:$CC$300,$BF291,0))))</f>
        <v>0</v>
      </c>
      <c r="AS291" s="8" cm="1">
        <f t="array" ref="AS291">IF($BF291="",0,_xlfn.LET(_xlpm.d,IFERROR(--'Sales and count'!$F$2:$CB$2,0),SUMPRODUCT(('Sales and count'!$G$3:$CC$3="Transactions")*(_xlpm.d&gt;=$U$4)*(_xlpm.d&lt;=$U$5),INDEX('Sales and count'!$G$4:$CC$300,$BF291,0))))</f>
        <v>0</v>
      </c>
      <c r="AT291" s="8" cm="1">
        <f t="array" ref="AT291">IF($AW291="",0,SUMPRODUCT((TRIM('LY Sales '!$B$5:$B$200)=$AW291)*('LY Sales '!$C$2:$AG$2&gt;=EDATE($U$4,-12))*('LY Sales '!$C$2:$AG$2&lt;=EDATE($U$5,-12)),'LY Sales '!$C$5:$AG$200))</f>
        <v>0</v>
      </c>
      <c r="AU291" s="8" cm="1">
        <f t="array" ref="AU291">IF($AW291="",0,SUMPRODUCT((TRIM('LY Transaction'!$B$5:$B$200)=$AW291)*('LY Transaction'!$C$2:$AG$2&gt;=EDATE($U$4,-12))*('LY Transaction'!$C$2:$AG$2&lt;=EDATE($U$5,-12)),'LY Transaction'!$C$5:$AG$200))</f>
        <v>0</v>
      </c>
      <c r="AV291" s="8" cm="1">
        <f t="array" ref="AV291">IF(NOT(ISNUMBER($BG291)),0,SUMPRODUCT(('TY Sales Target'!$K$2:$AO$2&gt;=$U$4)*('TY Sales Target'!$K$2:$AO$2&lt;=$U$5),INDEX('TY Sales Target'!$K$5:$AO$300,$BG291,0)))</f>
        <v>0</v>
      </c>
      <c r="AW291" s="8" t="str" cm="1">
        <f t="array" ref="AW291">IFERROR(INDEX(_xlfn.ANCHORARRAY($BR$5),ROWS($AW$5:AW291)),"")</f>
        <v/>
      </c>
      <c r="BB291" cm="1">
        <f t="array" ref="BB291">IF($AW291="",0,SUMPRODUCT((TRIM(Footfall!$B$5:$B$301)=$AW291)*(Footfall!$C$1:$BZ$1&gt;=$U$4)*(Footfall!$C$2:$BZ$2&lt;=$U$5)*(Footfall!$C$1:$BZ$1&lt;&gt;""),Footfall!$C$5:$BZ$301))</f>
        <v>0</v>
      </c>
      <c r="BC291" cm="1">
        <f t="array" ref="BC291">IF(OR($BB291&lt;=0,$BD$1="",$BF291=""),0,_xlfn.LET(_xlpm.d,IFERROR(--'Sales and count'!$F$2:$CB$2,0),SUMPRODUCT(('Sales and count'!$G$3:$CC$3="Transactions")*(_xlpm.d&gt;=$BD$1)*(_xlpm.d&lt;=$BD$2),INDEX('Sales and count'!$G$4:$CC$300,$BF291,0))))</f>
        <v>0</v>
      </c>
      <c r="BF291" t="str" cm="1">
        <f t="array" ref="BF291">IF($AW291="","",IFERROR(MATCH($AW291,TRIM('Sales and count'!$A$4:$A$300&amp;""),0),""))</f>
        <v/>
      </c>
      <c r="BG291" t="str" cm="1">
        <f t="array" ref="BG291">IF($AW291="","",IFERROR(MATCH(IFERROR(_xlfn.XLOOKUP($AW291,$BT$5:$BT$22,$BU$5:$BU$22),$AW291),TRIM('TY Sales Target'!$B$5:$B$300&amp;""),0),""))</f>
        <v/>
      </c>
      <c r="BH291" t="str" cm="1">
        <f t="array" ref="BH291">IF(ISNUMBER($BG291),_xlfn.LET(_xlpm.p,TRIM(INDEX('TY Sales Target'!$I$5:$I$300,$BG291)&amp;""),IF(_xlpm.p="","Not set",_xlpm.p)),"Not set")</f>
        <v>Not set</v>
      </c>
      <c r="BI291" cm="1">
        <f t="array" ref="BI291">IF($BF291="",0,_xlfn.LET(_xlpm.d,IFERROR(--'Sales and count'!$G$2:$CC$2,0),SUMPRODUCT(('Sales and count'!$G$3:$CC$3="Total")*(_xlpm.d&gt;=$BZ$5)*(_xlpm.d&lt;=$BZ$6),INDEX('Sales and count'!$G$4:$CC$300,$BF291,0))))</f>
        <v>0</v>
      </c>
      <c r="BJ291" cm="1">
        <f t="array" ref="BJ291">IF($AW291="",0,SUMPRODUCT((TRIM('LY Sales '!$B$5:$B$200)=$AW291)*('LY Sales '!$C$2:$AG$2&gt;=EDATE($BZ$5,-12))*('LY Sales '!$C$2:$AG$2&lt;=EDATE($BZ$6,-12)),'LY Sales '!$C$5:$AG$200))</f>
        <v>0</v>
      </c>
      <c r="BK291" cm="1">
        <f t="array" ref="BK291">IF($AW291="",0,SUMPRODUCT((TRIM('LY Sales '!$B$5:$B$200)=$AW291)*('LY Sales '!$C$2:$AG$2&gt;=EDATE($BZ$5,-12))*('LY Sales '!$C$2:$AG$2&lt;=EDATE($BZ$7,-12)),'LY Sales '!$C$5:$AG$200))</f>
        <v>0</v>
      </c>
      <c r="BL291" cm="1">
        <f t="array" ref="BL291">IF($AW291="",0,SUMPRODUCT((TRIM('LY Sales '!$B$5:$B$200)=$AW291)*('LY Sales '!$C$2:$AG$2&gt;=EDATE($BZ$5,-12))*('LY Sales '!$C$2:$AG$2&lt;=EDATE($BZ$6,-12))*('LY Sales '!$C$5:$AG$200&gt;0)))</f>
        <v>0</v>
      </c>
      <c r="BM291" cm="1">
        <f t="array" ref="BM291">IF(NOT(ISNUMBER($BG291)),0,SUMPRODUCT(('TY Sales Target'!$K$2:$AO$2&gt;=$BZ$5)*('TY Sales Target'!$K$2:$AO$2&lt;=$BZ$6),INDEX('TY Sales Target'!$K$5:$AO$300,$BG291,0)))</f>
        <v>0</v>
      </c>
      <c r="BN291" cm="1">
        <f t="array" ref="BN291">IF(NOT(ISNUMBER($BG291)),0,SUMPRODUCT(('TY Sales Target'!$K$2:$AO$2&gt;=$BZ$5)*('TY Sales Target'!$K$2:$AO$2&lt;=$BZ$7),INDEX('TY Sales Target'!$K$5:$AO$300,$BG291,0)))</f>
        <v>0</v>
      </c>
      <c r="BO291" cm="1">
        <f t="array" ref="BO291">IF($AW291="",0,IFERROR(_xlfn.SWITCH($BP291,"LY trend",$BI291*$BK291/$BJ291,"Target curve",$BI291*$BN291/$BM291,"Run rate",$BI291/$BZ$8*$BZ$9,0),0))</f>
        <v>0</v>
      </c>
      <c r="BP291" t="str">
        <f t="shared" si="130"/>
        <v/>
      </c>
      <c r="CB291" cm="1">
        <f t="array" ref="CB291">IF($AW291="",0,_xlfn.LET(_xlpm.k,IFERROR(_xlfn.XLOOKUP($AW291,$CD$6:$CD$21,$CE$6:$CE$21),$AW291),SUMPRODUCT((TRIM('Makeup '!$A$2:$A$300&amp;"")=_xlpm.k)*1,IFERROR('Makeup '!$F$2:$F$300*1,0))))</f>
        <v>0</v>
      </c>
      <c r="CF291" t="str" cm="1">
        <f t="array" ref="CF291">IF($AW291="","",_xlfn.LET(_xlpm.c,IFERROR(TRIM(INDEX('Sales and count'!$B$4:$B$300,$BF291)&amp;""),""),IF(OR(_xlpm.c="",_xlpm.c="0",LEFT(_xlpm.c,1)="#"),"Not set",_xlpm.c)))</f>
        <v/>
      </c>
      <c r="CH291" cm="1">
        <f t="array" ref="CH291">IF($AW291="",0,_xlfn.LET(_xlpm.k,IFERROR(_xlfn.XLOOKUP($AW291,$CD$6:$CD$21,$CE$6:$CE$21),$AW291),--(SUMPRODUCT((TRIM('Makeup '!$A$2:$A$300&amp;"")=_xlpm.k)*ISNUMBER('Makeup '!$F$2:$F$300))&gt;0)))</f>
        <v>0</v>
      </c>
      <c r="CI291">
        <f t="shared" si="133"/>
        <v>0</v>
      </c>
      <c r="CJ291" cm="1">
        <f t="array" ref="CJ291">IF($AW291="",0,--(SUMPRODUCT(--(TRIM(Footfall!$B$5:$B$301)=$AW291))&gt;0))</f>
        <v>0</v>
      </c>
      <c r="CK291" s="8" cm="1">
        <f t="array" ref="CK291">IF($AW291="",0,_xlfn.LET(_xlpm.r,IFERROR(MATCH(IFERROR(_xlfn.XLOOKUP($AW291,$BT$5:$BT$22,$BU$5:$BU$22),$AW291),TRIM('TY Beauty Target'!$B$5:$B$300&amp;""),0),""),IF(ISNUMBER(_xlpm.r),SUMPRODUCT(('TY Beauty Target'!$L$2:$AP$2&gt;=$U$4)*('TY Beauty Target'!$L$2:$AP$2&lt;=$U$5),INDEX('TY Beauty Target'!$L$5:$AP$300,_xlpm.r,0)),0)))</f>
        <v>0</v>
      </c>
    </row>
    <row r="292" spans="28:89" x14ac:dyDescent="0.25">
      <c r="AB292" s="40" t="str" cm="1">
        <f t="array" ref="AB292">IF($AI292="","",IF(LEFT($AI292,2)="C|",IF($C292="","",SUMPRODUCT($AP$5:$AP$302*($AO$5:$AO$302=$A292),$CK$5:$CK$302)),IF($AI292="CT",AB$13,IF(LEFT($AI292,3)="AM|",IF($C292="","",SUMPRODUCT($AP$5:$AP$302*($AN$5:$AN$302=$A292),$CK$5:$CK$302)),IF(LEFT($AI292,2)="S|",IF($AG292="","",INDEX($CK$5:$CK$302,$AH292)),IF($AI292="HDR","Makeup Target",""))))))</f>
        <v/>
      </c>
      <c r="AC292" s="41" t="str">
        <f t="shared" si="134"/>
        <v/>
      </c>
      <c r="AN292" s="8" t="str" cm="1">
        <f t="array" ref="AN292">IF($AW292="","",_xlfn.LET(_xlpm.sa,IFERROR(TRIM(INDEX('Sales and count'!$D$4:$D$300,$BF292)&amp;""),""),_xlpm.ta,IFERROR(TRIM(INDEX('TY Sales Target'!$F$5:$F$300,$BG292)&amp;""),""),IF(AND(_xlpm.sa&lt;&gt;"",LEFT(_xlpm.sa,1)&lt;&gt;"#",_xlpm.sa&lt;&gt;"0"),_xlpm.sa,IF(AND(_xlpm.ta&lt;&gt;"",LEFT(_xlpm.ta,1)&lt;&gt;"#",_xlpm.ta&lt;&gt;"0"),_xlpm.ta,IF(ISNUMBER($BG292),"Unassigned","")))))</f>
        <v/>
      </c>
      <c r="AO292" s="8" t="str" cm="1">
        <f t="array" ref="AO292">IF($AW292="","",_xlfn.LET(_xlpm.sa,IFERROR(TRIM(INDEX('Sales and count'!$C$4:$C$300,$BF292)&amp;""),""),_xlpm.ta,IFERROR(TRIM(INDEX('TY Sales Target'!$D$5:$D$300,$BG292)&amp;""),""),IF(AND(_xlpm.sa&lt;&gt;"",LEFT(_xlpm.sa,1)&lt;&gt;"#",_xlpm.sa&lt;&gt;"0"),_xlpm.sa,IF(AND(_xlpm.ta&lt;&gt;"",LEFT(_xlpm.ta,1)&lt;&gt;"#",_xlpm.ta&lt;&gt;"0"),_xlpm.ta,""))))</f>
        <v/>
      </c>
      <c r="AP292" s="8">
        <f t="shared" si="131"/>
        <v>0</v>
      </c>
      <c r="AQ292" s="8">
        <f t="shared" si="132"/>
        <v>0</v>
      </c>
      <c r="AR292" s="8" cm="1">
        <f t="array" ref="AR292">IF($BF292="",0,_xlfn.LET(_xlpm.d,IFERROR(--'Sales and count'!$G$2:$CC$2,0),SUMPRODUCT(('Sales and count'!$G$3:$CC$3="Total")*(_xlpm.d&gt;=$U$4)*(_xlpm.d&lt;=$U$5),INDEX('Sales and count'!$G$4:$CC$300,$BF292,0))))</f>
        <v>0</v>
      </c>
      <c r="AS292" s="8" cm="1">
        <f t="array" ref="AS292">IF($BF292="",0,_xlfn.LET(_xlpm.d,IFERROR(--'Sales and count'!$F$2:$CB$2,0),SUMPRODUCT(('Sales and count'!$G$3:$CC$3="Transactions")*(_xlpm.d&gt;=$U$4)*(_xlpm.d&lt;=$U$5),INDEX('Sales and count'!$G$4:$CC$300,$BF292,0))))</f>
        <v>0</v>
      </c>
      <c r="AT292" s="8" cm="1">
        <f t="array" ref="AT292">IF($AW292="",0,SUMPRODUCT((TRIM('LY Sales '!$B$5:$B$200)=$AW292)*('LY Sales '!$C$2:$AG$2&gt;=EDATE($U$4,-12))*('LY Sales '!$C$2:$AG$2&lt;=EDATE($U$5,-12)),'LY Sales '!$C$5:$AG$200))</f>
        <v>0</v>
      </c>
      <c r="AU292" s="8" cm="1">
        <f t="array" ref="AU292">IF($AW292="",0,SUMPRODUCT((TRIM('LY Transaction'!$B$5:$B$200)=$AW292)*('LY Transaction'!$C$2:$AG$2&gt;=EDATE($U$4,-12))*('LY Transaction'!$C$2:$AG$2&lt;=EDATE($U$5,-12)),'LY Transaction'!$C$5:$AG$200))</f>
        <v>0</v>
      </c>
      <c r="AV292" s="8" cm="1">
        <f t="array" ref="AV292">IF(NOT(ISNUMBER($BG292)),0,SUMPRODUCT(('TY Sales Target'!$K$2:$AO$2&gt;=$U$4)*('TY Sales Target'!$K$2:$AO$2&lt;=$U$5),INDEX('TY Sales Target'!$K$5:$AO$300,$BG292,0)))</f>
        <v>0</v>
      </c>
      <c r="AW292" s="8" t="str" cm="1">
        <f t="array" ref="AW292">IFERROR(INDEX(_xlfn.ANCHORARRAY($BR$5),ROWS($AW$5:AW292)),"")</f>
        <v/>
      </c>
      <c r="BB292" cm="1">
        <f t="array" ref="BB292">IF($AW292="",0,SUMPRODUCT((TRIM(Footfall!$B$5:$B$301)=$AW292)*(Footfall!$C$1:$BZ$1&gt;=$U$4)*(Footfall!$C$2:$BZ$2&lt;=$U$5)*(Footfall!$C$1:$BZ$1&lt;&gt;""),Footfall!$C$5:$BZ$301))</f>
        <v>0</v>
      </c>
      <c r="BC292" cm="1">
        <f t="array" ref="BC292">IF(OR($BB292&lt;=0,$BD$1="",$BF292=""),0,_xlfn.LET(_xlpm.d,IFERROR(--'Sales and count'!$F$2:$CB$2,0),SUMPRODUCT(('Sales and count'!$G$3:$CC$3="Transactions")*(_xlpm.d&gt;=$BD$1)*(_xlpm.d&lt;=$BD$2),INDEX('Sales and count'!$G$4:$CC$300,$BF292,0))))</f>
        <v>0</v>
      </c>
      <c r="BF292" t="str" cm="1">
        <f t="array" ref="BF292">IF($AW292="","",IFERROR(MATCH($AW292,TRIM('Sales and count'!$A$4:$A$300&amp;""),0),""))</f>
        <v/>
      </c>
      <c r="BG292" t="str" cm="1">
        <f t="array" ref="BG292">IF($AW292="","",IFERROR(MATCH(IFERROR(_xlfn.XLOOKUP($AW292,$BT$5:$BT$22,$BU$5:$BU$22),$AW292),TRIM('TY Sales Target'!$B$5:$B$300&amp;""),0),""))</f>
        <v/>
      </c>
      <c r="BH292" t="str" cm="1">
        <f t="array" ref="BH292">IF(ISNUMBER($BG292),_xlfn.LET(_xlpm.p,TRIM(INDEX('TY Sales Target'!$I$5:$I$300,$BG292)&amp;""),IF(_xlpm.p="","Not set",_xlpm.p)),"Not set")</f>
        <v>Not set</v>
      </c>
      <c r="BI292" cm="1">
        <f t="array" ref="BI292">IF($BF292="",0,_xlfn.LET(_xlpm.d,IFERROR(--'Sales and count'!$G$2:$CC$2,0),SUMPRODUCT(('Sales and count'!$G$3:$CC$3="Total")*(_xlpm.d&gt;=$BZ$5)*(_xlpm.d&lt;=$BZ$6),INDEX('Sales and count'!$G$4:$CC$300,$BF292,0))))</f>
        <v>0</v>
      </c>
      <c r="BJ292" cm="1">
        <f t="array" ref="BJ292">IF($AW292="",0,SUMPRODUCT((TRIM('LY Sales '!$B$5:$B$200)=$AW292)*('LY Sales '!$C$2:$AG$2&gt;=EDATE($BZ$5,-12))*('LY Sales '!$C$2:$AG$2&lt;=EDATE($BZ$6,-12)),'LY Sales '!$C$5:$AG$200))</f>
        <v>0</v>
      </c>
      <c r="BK292" cm="1">
        <f t="array" ref="BK292">IF($AW292="",0,SUMPRODUCT((TRIM('LY Sales '!$B$5:$B$200)=$AW292)*('LY Sales '!$C$2:$AG$2&gt;=EDATE($BZ$5,-12))*('LY Sales '!$C$2:$AG$2&lt;=EDATE($BZ$7,-12)),'LY Sales '!$C$5:$AG$200))</f>
        <v>0</v>
      </c>
      <c r="BL292" cm="1">
        <f t="array" ref="BL292">IF($AW292="",0,SUMPRODUCT((TRIM('LY Sales '!$B$5:$B$200)=$AW292)*('LY Sales '!$C$2:$AG$2&gt;=EDATE($BZ$5,-12))*('LY Sales '!$C$2:$AG$2&lt;=EDATE($BZ$6,-12))*('LY Sales '!$C$5:$AG$200&gt;0)))</f>
        <v>0</v>
      </c>
      <c r="BM292" cm="1">
        <f t="array" ref="BM292">IF(NOT(ISNUMBER($BG292)),0,SUMPRODUCT(('TY Sales Target'!$K$2:$AO$2&gt;=$BZ$5)*('TY Sales Target'!$K$2:$AO$2&lt;=$BZ$6),INDEX('TY Sales Target'!$K$5:$AO$300,$BG292,0)))</f>
        <v>0</v>
      </c>
      <c r="BN292" cm="1">
        <f t="array" ref="BN292">IF(NOT(ISNUMBER($BG292)),0,SUMPRODUCT(('TY Sales Target'!$K$2:$AO$2&gt;=$BZ$5)*('TY Sales Target'!$K$2:$AO$2&lt;=$BZ$7),INDEX('TY Sales Target'!$K$5:$AO$300,$BG292,0)))</f>
        <v>0</v>
      </c>
      <c r="BO292" cm="1">
        <f t="array" ref="BO292">IF($AW292="",0,IFERROR(_xlfn.SWITCH($BP292,"LY trend",$BI292*$BK292/$BJ292,"Target curve",$BI292*$BN292/$BM292,"Run rate",$BI292/$BZ$8*$BZ$9,0),0))</f>
        <v>0</v>
      </c>
      <c r="BP292" t="str">
        <f t="shared" si="130"/>
        <v/>
      </c>
      <c r="CB292" cm="1">
        <f t="array" ref="CB292">IF($AW292="",0,_xlfn.LET(_xlpm.k,IFERROR(_xlfn.XLOOKUP($AW292,$CD$6:$CD$21,$CE$6:$CE$21),$AW292),SUMPRODUCT((TRIM('Makeup '!$A$2:$A$300&amp;"")=_xlpm.k)*1,IFERROR('Makeup '!$F$2:$F$300*1,0))))</f>
        <v>0</v>
      </c>
      <c r="CF292" t="str" cm="1">
        <f t="array" ref="CF292">IF($AW292="","",_xlfn.LET(_xlpm.c,IFERROR(TRIM(INDEX('Sales and count'!$B$4:$B$300,$BF292)&amp;""),""),IF(OR(_xlpm.c="",_xlpm.c="0",LEFT(_xlpm.c,1)="#"),"Not set",_xlpm.c)))</f>
        <v/>
      </c>
      <c r="CH292" cm="1">
        <f t="array" ref="CH292">IF($AW292="",0,_xlfn.LET(_xlpm.k,IFERROR(_xlfn.XLOOKUP($AW292,$CD$6:$CD$21,$CE$6:$CE$21),$AW292),--(SUMPRODUCT((TRIM('Makeup '!$A$2:$A$300&amp;"")=_xlpm.k)*ISNUMBER('Makeup '!$F$2:$F$300))&gt;0)))</f>
        <v>0</v>
      </c>
      <c r="CI292">
        <f t="shared" si="133"/>
        <v>0</v>
      </c>
      <c r="CJ292" cm="1">
        <f t="array" ref="CJ292">IF($AW292="",0,--(SUMPRODUCT(--(TRIM(Footfall!$B$5:$B$301)=$AW292))&gt;0))</f>
        <v>0</v>
      </c>
      <c r="CK292" s="8" cm="1">
        <f t="array" ref="CK292">IF($AW292="",0,_xlfn.LET(_xlpm.r,IFERROR(MATCH(IFERROR(_xlfn.XLOOKUP($AW292,$BT$5:$BT$22,$BU$5:$BU$22),$AW292),TRIM('TY Beauty Target'!$B$5:$B$300&amp;""),0),""),IF(ISNUMBER(_xlpm.r),SUMPRODUCT(('TY Beauty Target'!$L$2:$AP$2&gt;=$U$4)*('TY Beauty Target'!$L$2:$AP$2&lt;=$U$5),INDEX('TY Beauty Target'!$L$5:$AP$300,_xlpm.r,0)),0)))</f>
        <v>0</v>
      </c>
    </row>
    <row r="293" spans="28:89" x14ac:dyDescent="0.25">
      <c r="AB293" s="40" t="str" cm="1">
        <f t="array" ref="AB293">IF($AI293="","",IF(LEFT($AI293,2)="C|",IF($C293="","",SUMPRODUCT($AP$5:$AP$302*($AO$5:$AO$302=$A293),$CK$5:$CK$302)),IF($AI293="CT",AB$13,IF(LEFT($AI293,3)="AM|",IF($C293="","",SUMPRODUCT($AP$5:$AP$302*($AN$5:$AN$302=$A293),$CK$5:$CK$302)),IF(LEFT($AI293,2)="S|",IF($AG293="","",INDEX($CK$5:$CK$302,$AH293)),IF($AI293="HDR","Makeup Target",""))))))</f>
        <v/>
      </c>
      <c r="AC293" s="41" t="str">
        <f t="shared" si="134"/>
        <v/>
      </c>
      <c r="AN293" s="8" t="str" cm="1">
        <f t="array" ref="AN293">IF($AW293="","",_xlfn.LET(_xlpm.sa,IFERROR(TRIM(INDEX('Sales and count'!$D$4:$D$300,$BF293)&amp;""),""),_xlpm.ta,IFERROR(TRIM(INDEX('TY Sales Target'!$F$5:$F$300,$BG293)&amp;""),""),IF(AND(_xlpm.sa&lt;&gt;"",LEFT(_xlpm.sa,1)&lt;&gt;"#",_xlpm.sa&lt;&gt;"0"),_xlpm.sa,IF(AND(_xlpm.ta&lt;&gt;"",LEFT(_xlpm.ta,1)&lt;&gt;"#",_xlpm.ta&lt;&gt;"0"),_xlpm.ta,IF(ISNUMBER($BG293),"Unassigned","")))))</f>
        <v/>
      </c>
      <c r="AO293" s="8" t="str" cm="1">
        <f t="array" ref="AO293">IF($AW293="","",_xlfn.LET(_xlpm.sa,IFERROR(TRIM(INDEX('Sales and count'!$C$4:$C$300,$BF293)&amp;""),""),_xlpm.ta,IFERROR(TRIM(INDEX('TY Sales Target'!$D$5:$D$300,$BG293)&amp;""),""),IF(AND(_xlpm.sa&lt;&gt;"",LEFT(_xlpm.sa,1)&lt;&gt;"#",_xlpm.sa&lt;&gt;"0"),_xlpm.sa,IF(AND(_xlpm.ta&lt;&gt;"",LEFT(_xlpm.ta,1)&lt;&gt;"#",_xlpm.ta&lt;&gt;"0"),_xlpm.ta,""))))</f>
        <v/>
      </c>
      <c r="AP293" s="8">
        <f t="shared" si="131"/>
        <v>0</v>
      </c>
      <c r="AQ293" s="8">
        <f t="shared" si="132"/>
        <v>0</v>
      </c>
      <c r="AR293" s="8" cm="1">
        <f t="array" ref="AR293">IF($BF293="",0,_xlfn.LET(_xlpm.d,IFERROR(--'Sales and count'!$G$2:$CC$2,0),SUMPRODUCT(('Sales and count'!$G$3:$CC$3="Total")*(_xlpm.d&gt;=$U$4)*(_xlpm.d&lt;=$U$5),INDEX('Sales and count'!$G$4:$CC$300,$BF293,0))))</f>
        <v>0</v>
      </c>
      <c r="AS293" s="8" cm="1">
        <f t="array" ref="AS293">IF($BF293="",0,_xlfn.LET(_xlpm.d,IFERROR(--'Sales and count'!$F$2:$CB$2,0),SUMPRODUCT(('Sales and count'!$G$3:$CC$3="Transactions")*(_xlpm.d&gt;=$U$4)*(_xlpm.d&lt;=$U$5),INDEX('Sales and count'!$G$4:$CC$300,$BF293,0))))</f>
        <v>0</v>
      </c>
      <c r="AT293" s="8" cm="1">
        <f t="array" ref="AT293">IF($AW293="",0,SUMPRODUCT((TRIM('LY Sales '!$B$5:$B$200)=$AW293)*('LY Sales '!$C$2:$AG$2&gt;=EDATE($U$4,-12))*('LY Sales '!$C$2:$AG$2&lt;=EDATE($U$5,-12)),'LY Sales '!$C$5:$AG$200))</f>
        <v>0</v>
      </c>
      <c r="AU293" s="8" cm="1">
        <f t="array" ref="AU293">IF($AW293="",0,SUMPRODUCT((TRIM('LY Transaction'!$B$5:$B$200)=$AW293)*('LY Transaction'!$C$2:$AG$2&gt;=EDATE($U$4,-12))*('LY Transaction'!$C$2:$AG$2&lt;=EDATE($U$5,-12)),'LY Transaction'!$C$5:$AG$200))</f>
        <v>0</v>
      </c>
      <c r="AV293" s="8" cm="1">
        <f t="array" ref="AV293">IF(NOT(ISNUMBER($BG293)),0,SUMPRODUCT(('TY Sales Target'!$K$2:$AO$2&gt;=$U$4)*('TY Sales Target'!$K$2:$AO$2&lt;=$U$5),INDEX('TY Sales Target'!$K$5:$AO$300,$BG293,0)))</f>
        <v>0</v>
      </c>
      <c r="AW293" s="8" t="str" cm="1">
        <f t="array" ref="AW293">IFERROR(INDEX(_xlfn.ANCHORARRAY($BR$5),ROWS($AW$5:AW293)),"")</f>
        <v/>
      </c>
      <c r="BB293" cm="1">
        <f t="array" ref="BB293">IF($AW293="",0,SUMPRODUCT((TRIM(Footfall!$B$5:$B$301)=$AW293)*(Footfall!$C$1:$BZ$1&gt;=$U$4)*(Footfall!$C$2:$BZ$2&lt;=$U$5)*(Footfall!$C$1:$BZ$1&lt;&gt;""),Footfall!$C$5:$BZ$301))</f>
        <v>0</v>
      </c>
      <c r="BC293" cm="1">
        <f t="array" ref="BC293">IF(OR($BB293&lt;=0,$BD$1="",$BF293=""),0,_xlfn.LET(_xlpm.d,IFERROR(--'Sales and count'!$F$2:$CB$2,0),SUMPRODUCT(('Sales and count'!$G$3:$CC$3="Transactions")*(_xlpm.d&gt;=$BD$1)*(_xlpm.d&lt;=$BD$2),INDEX('Sales and count'!$G$4:$CC$300,$BF293,0))))</f>
        <v>0</v>
      </c>
      <c r="BF293" t="str" cm="1">
        <f t="array" ref="BF293">IF($AW293="","",IFERROR(MATCH($AW293,TRIM('Sales and count'!$A$4:$A$300&amp;""),0),""))</f>
        <v/>
      </c>
      <c r="BG293" t="str" cm="1">
        <f t="array" ref="BG293">IF($AW293="","",IFERROR(MATCH(IFERROR(_xlfn.XLOOKUP($AW293,$BT$5:$BT$22,$BU$5:$BU$22),$AW293),TRIM('TY Sales Target'!$B$5:$B$300&amp;""),0),""))</f>
        <v/>
      </c>
      <c r="BH293" t="str" cm="1">
        <f t="array" ref="BH293">IF(ISNUMBER($BG293),_xlfn.LET(_xlpm.p,TRIM(INDEX('TY Sales Target'!$I$5:$I$300,$BG293)&amp;""),IF(_xlpm.p="","Not set",_xlpm.p)),"Not set")</f>
        <v>Not set</v>
      </c>
      <c r="BI293" cm="1">
        <f t="array" ref="BI293">IF($BF293="",0,_xlfn.LET(_xlpm.d,IFERROR(--'Sales and count'!$G$2:$CC$2,0),SUMPRODUCT(('Sales and count'!$G$3:$CC$3="Total")*(_xlpm.d&gt;=$BZ$5)*(_xlpm.d&lt;=$BZ$6),INDEX('Sales and count'!$G$4:$CC$300,$BF293,0))))</f>
        <v>0</v>
      </c>
      <c r="BJ293" cm="1">
        <f t="array" ref="BJ293">IF($AW293="",0,SUMPRODUCT((TRIM('LY Sales '!$B$5:$B$200)=$AW293)*('LY Sales '!$C$2:$AG$2&gt;=EDATE($BZ$5,-12))*('LY Sales '!$C$2:$AG$2&lt;=EDATE($BZ$6,-12)),'LY Sales '!$C$5:$AG$200))</f>
        <v>0</v>
      </c>
      <c r="BK293" cm="1">
        <f t="array" ref="BK293">IF($AW293="",0,SUMPRODUCT((TRIM('LY Sales '!$B$5:$B$200)=$AW293)*('LY Sales '!$C$2:$AG$2&gt;=EDATE($BZ$5,-12))*('LY Sales '!$C$2:$AG$2&lt;=EDATE($BZ$7,-12)),'LY Sales '!$C$5:$AG$200))</f>
        <v>0</v>
      </c>
      <c r="BL293" cm="1">
        <f t="array" ref="BL293">IF($AW293="",0,SUMPRODUCT((TRIM('LY Sales '!$B$5:$B$200)=$AW293)*('LY Sales '!$C$2:$AG$2&gt;=EDATE($BZ$5,-12))*('LY Sales '!$C$2:$AG$2&lt;=EDATE($BZ$6,-12))*('LY Sales '!$C$5:$AG$200&gt;0)))</f>
        <v>0</v>
      </c>
      <c r="BM293" cm="1">
        <f t="array" ref="BM293">IF(NOT(ISNUMBER($BG293)),0,SUMPRODUCT(('TY Sales Target'!$K$2:$AO$2&gt;=$BZ$5)*('TY Sales Target'!$K$2:$AO$2&lt;=$BZ$6),INDEX('TY Sales Target'!$K$5:$AO$300,$BG293,0)))</f>
        <v>0</v>
      </c>
      <c r="BN293" cm="1">
        <f t="array" ref="BN293">IF(NOT(ISNUMBER($BG293)),0,SUMPRODUCT(('TY Sales Target'!$K$2:$AO$2&gt;=$BZ$5)*('TY Sales Target'!$K$2:$AO$2&lt;=$BZ$7),INDEX('TY Sales Target'!$K$5:$AO$300,$BG293,0)))</f>
        <v>0</v>
      </c>
      <c r="BO293" cm="1">
        <f t="array" ref="BO293">IF($AW293="",0,IFERROR(_xlfn.SWITCH($BP293,"LY trend",$BI293*$BK293/$BJ293,"Target curve",$BI293*$BN293/$BM293,"Run rate",$BI293/$BZ$8*$BZ$9,0),0))</f>
        <v>0</v>
      </c>
      <c r="BP293" t="str">
        <f t="shared" si="130"/>
        <v/>
      </c>
      <c r="CB293" cm="1">
        <f t="array" ref="CB293">IF($AW293="",0,_xlfn.LET(_xlpm.k,IFERROR(_xlfn.XLOOKUP($AW293,$CD$6:$CD$21,$CE$6:$CE$21),$AW293),SUMPRODUCT((TRIM('Makeup '!$A$2:$A$300&amp;"")=_xlpm.k)*1,IFERROR('Makeup '!$F$2:$F$300*1,0))))</f>
        <v>0</v>
      </c>
      <c r="CF293" t="str" cm="1">
        <f t="array" ref="CF293">IF($AW293="","",_xlfn.LET(_xlpm.c,IFERROR(TRIM(INDEX('Sales and count'!$B$4:$B$300,$BF293)&amp;""),""),IF(OR(_xlpm.c="",_xlpm.c="0",LEFT(_xlpm.c,1)="#"),"Not set",_xlpm.c)))</f>
        <v/>
      </c>
      <c r="CH293" cm="1">
        <f t="array" ref="CH293">IF($AW293="",0,_xlfn.LET(_xlpm.k,IFERROR(_xlfn.XLOOKUP($AW293,$CD$6:$CD$21,$CE$6:$CE$21),$AW293),--(SUMPRODUCT((TRIM('Makeup '!$A$2:$A$300&amp;"")=_xlpm.k)*ISNUMBER('Makeup '!$F$2:$F$300))&gt;0)))</f>
        <v>0</v>
      </c>
      <c r="CI293">
        <f t="shared" si="133"/>
        <v>0</v>
      </c>
      <c r="CJ293" cm="1">
        <f t="array" ref="CJ293">IF($AW293="",0,--(SUMPRODUCT(--(TRIM(Footfall!$B$5:$B$301)=$AW293))&gt;0))</f>
        <v>0</v>
      </c>
      <c r="CK293" s="8" cm="1">
        <f t="array" ref="CK293">IF($AW293="",0,_xlfn.LET(_xlpm.r,IFERROR(MATCH(IFERROR(_xlfn.XLOOKUP($AW293,$BT$5:$BT$22,$BU$5:$BU$22),$AW293),TRIM('TY Beauty Target'!$B$5:$B$300&amp;""),0),""),IF(ISNUMBER(_xlpm.r),SUMPRODUCT(('TY Beauty Target'!$L$2:$AP$2&gt;=$U$4)*('TY Beauty Target'!$L$2:$AP$2&lt;=$U$5),INDEX('TY Beauty Target'!$L$5:$AP$300,_xlpm.r,0)),0)))</f>
        <v>0</v>
      </c>
    </row>
    <row r="294" spans="28:89" x14ac:dyDescent="0.25">
      <c r="AB294" s="40" t="str" cm="1">
        <f t="array" ref="AB294">IF($AI294="","",IF(LEFT($AI294,2)="C|",IF($C294="","",SUMPRODUCT($AP$5:$AP$302*($AO$5:$AO$302=$A294),$CK$5:$CK$302)),IF($AI294="CT",AB$13,IF(LEFT($AI294,3)="AM|",IF($C294="","",SUMPRODUCT($AP$5:$AP$302*($AN$5:$AN$302=$A294),$CK$5:$CK$302)),IF(LEFT($AI294,2)="S|",IF($AG294="","",INDEX($CK$5:$CK$302,$AH294)),IF($AI294="HDR","Makeup Target",""))))))</f>
        <v/>
      </c>
      <c r="AC294" s="41" t="str">
        <f t="shared" si="134"/>
        <v/>
      </c>
      <c r="AN294" s="8" t="str" cm="1">
        <f t="array" ref="AN294">IF($AW294="","",_xlfn.LET(_xlpm.sa,IFERROR(TRIM(INDEX('Sales and count'!$D$4:$D$300,$BF294)&amp;""),""),_xlpm.ta,IFERROR(TRIM(INDEX('TY Sales Target'!$F$5:$F$300,$BG294)&amp;""),""),IF(AND(_xlpm.sa&lt;&gt;"",LEFT(_xlpm.sa,1)&lt;&gt;"#",_xlpm.sa&lt;&gt;"0"),_xlpm.sa,IF(AND(_xlpm.ta&lt;&gt;"",LEFT(_xlpm.ta,1)&lt;&gt;"#",_xlpm.ta&lt;&gt;"0"),_xlpm.ta,IF(ISNUMBER($BG294),"Unassigned","")))))</f>
        <v/>
      </c>
      <c r="AO294" s="8" t="str" cm="1">
        <f t="array" ref="AO294">IF($AW294="","",_xlfn.LET(_xlpm.sa,IFERROR(TRIM(INDEX('Sales and count'!$C$4:$C$300,$BF294)&amp;""),""),_xlpm.ta,IFERROR(TRIM(INDEX('TY Sales Target'!$D$5:$D$300,$BG294)&amp;""),""),IF(AND(_xlpm.sa&lt;&gt;"",LEFT(_xlpm.sa,1)&lt;&gt;"#",_xlpm.sa&lt;&gt;"0"),_xlpm.sa,IF(AND(_xlpm.ta&lt;&gt;"",LEFT(_xlpm.ta,1)&lt;&gt;"#",_xlpm.ta&lt;&gt;"0"),_xlpm.ta,""))))</f>
        <v/>
      </c>
      <c r="AP294" s="8">
        <f t="shared" si="131"/>
        <v>0</v>
      </c>
      <c r="AQ294" s="8">
        <f t="shared" si="132"/>
        <v>0</v>
      </c>
      <c r="AR294" s="8" cm="1">
        <f t="array" ref="AR294">IF($BF294="",0,_xlfn.LET(_xlpm.d,IFERROR(--'Sales and count'!$G$2:$CC$2,0),SUMPRODUCT(('Sales and count'!$G$3:$CC$3="Total")*(_xlpm.d&gt;=$U$4)*(_xlpm.d&lt;=$U$5),INDEX('Sales and count'!$G$4:$CC$300,$BF294,0))))</f>
        <v>0</v>
      </c>
      <c r="AS294" s="8" cm="1">
        <f t="array" ref="AS294">IF($BF294="",0,_xlfn.LET(_xlpm.d,IFERROR(--'Sales and count'!$F$2:$CB$2,0),SUMPRODUCT(('Sales and count'!$G$3:$CC$3="Transactions")*(_xlpm.d&gt;=$U$4)*(_xlpm.d&lt;=$U$5),INDEX('Sales and count'!$G$4:$CC$300,$BF294,0))))</f>
        <v>0</v>
      </c>
      <c r="AT294" s="8" cm="1">
        <f t="array" ref="AT294">IF($AW294="",0,SUMPRODUCT((TRIM('LY Sales '!$B$5:$B$200)=$AW294)*('LY Sales '!$C$2:$AG$2&gt;=EDATE($U$4,-12))*('LY Sales '!$C$2:$AG$2&lt;=EDATE($U$5,-12)),'LY Sales '!$C$5:$AG$200))</f>
        <v>0</v>
      </c>
      <c r="AU294" s="8" cm="1">
        <f t="array" ref="AU294">IF($AW294="",0,SUMPRODUCT((TRIM('LY Transaction'!$B$5:$B$200)=$AW294)*('LY Transaction'!$C$2:$AG$2&gt;=EDATE($U$4,-12))*('LY Transaction'!$C$2:$AG$2&lt;=EDATE($U$5,-12)),'LY Transaction'!$C$5:$AG$200))</f>
        <v>0</v>
      </c>
      <c r="AV294" s="8" cm="1">
        <f t="array" ref="AV294">IF(NOT(ISNUMBER($BG294)),0,SUMPRODUCT(('TY Sales Target'!$K$2:$AO$2&gt;=$U$4)*('TY Sales Target'!$K$2:$AO$2&lt;=$U$5),INDEX('TY Sales Target'!$K$5:$AO$300,$BG294,0)))</f>
        <v>0</v>
      </c>
      <c r="AW294" s="8" t="str" cm="1">
        <f t="array" ref="AW294">IFERROR(INDEX(_xlfn.ANCHORARRAY($BR$5),ROWS($AW$5:AW294)),"")</f>
        <v/>
      </c>
      <c r="BB294" cm="1">
        <f t="array" ref="BB294">IF($AW294="",0,SUMPRODUCT((TRIM(Footfall!$B$5:$B$301)=$AW294)*(Footfall!$C$1:$BZ$1&gt;=$U$4)*(Footfall!$C$2:$BZ$2&lt;=$U$5)*(Footfall!$C$1:$BZ$1&lt;&gt;""),Footfall!$C$5:$BZ$301))</f>
        <v>0</v>
      </c>
      <c r="BC294" cm="1">
        <f t="array" ref="BC294">IF(OR($BB294&lt;=0,$BD$1="",$BF294=""),0,_xlfn.LET(_xlpm.d,IFERROR(--'Sales and count'!$F$2:$CB$2,0),SUMPRODUCT(('Sales and count'!$G$3:$CC$3="Transactions")*(_xlpm.d&gt;=$BD$1)*(_xlpm.d&lt;=$BD$2),INDEX('Sales and count'!$G$4:$CC$300,$BF294,0))))</f>
        <v>0</v>
      </c>
      <c r="BF294" t="str" cm="1">
        <f t="array" ref="BF294">IF($AW294="","",IFERROR(MATCH($AW294,TRIM('Sales and count'!$A$4:$A$300&amp;""),0),""))</f>
        <v/>
      </c>
      <c r="BG294" t="str" cm="1">
        <f t="array" ref="BG294">IF($AW294="","",IFERROR(MATCH(IFERROR(_xlfn.XLOOKUP($AW294,$BT$5:$BT$22,$BU$5:$BU$22),$AW294),TRIM('TY Sales Target'!$B$5:$B$300&amp;""),0),""))</f>
        <v/>
      </c>
      <c r="BH294" t="str" cm="1">
        <f t="array" ref="BH294">IF(ISNUMBER($BG294),_xlfn.LET(_xlpm.p,TRIM(INDEX('TY Sales Target'!$I$5:$I$300,$BG294)&amp;""),IF(_xlpm.p="","Not set",_xlpm.p)),"Not set")</f>
        <v>Not set</v>
      </c>
      <c r="BI294" cm="1">
        <f t="array" ref="BI294">IF($BF294="",0,_xlfn.LET(_xlpm.d,IFERROR(--'Sales and count'!$G$2:$CC$2,0),SUMPRODUCT(('Sales and count'!$G$3:$CC$3="Total")*(_xlpm.d&gt;=$BZ$5)*(_xlpm.d&lt;=$BZ$6),INDEX('Sales and count'!$G$4:$CC$300,$BF294,0))))</f>
        <v>0</v>
      </c>
      <c r="BJ294" cm="1">
        <f t="array" ref="BJ294">IF($AW294="",0,SUMPRODUCT((TRIM('LY Sales '!$B$5:$B$200)=$AW294)*('LY Sales '!$C$2:$AG$2&gt;=EDATE($BZ$5,-12))*('LY Sales '!$C$2:$AG$2&lt;=EDATE($BZ$6,-12)),'LY Sales '!$C$5:$AG$200))</f>
        <v>0</v>
      </c>
      <c r="BK294" cm="1">
        <f t="array" ref="BK294">IF($AW294="",0,SUMPRODUCT((TRIM('LY Sales '!$B$5:$B$200)=$AW294)*('LY Sales '!$C$2:$AG$2&gt;=EDATE($BZ$5,-12))*('LY Sales '!$C$2:$AG$2&lt;=EDATE($BZ$7,-12)),'LY Sales '!$C$5:$AG$200))</f>
        <v>0</v>
      </c>
      <c r="BL294" cm="1">
        <f t="array" ref="BL294">IF($AW294="",0,SUMPRODUCT((TRIM('LY Sales '!$B$5:$B$200)=$AW294)*('LY Sales '!$C$2:$AG$2&gt;=EDATE($BZ$5,-12))*('LY Sales '!$C$2:$AG$2&lt;=EDATE($BZ$6,-12))*('LY Sales '!$C$5:$AG$200&gt;0)))</f>
        <v>0</v>
      </c>
      <c r="BM294" cm="1">
        <f t="array" ref="BM294">IF(NOT(ISNUMBER($BG294)),0,SUMPRODUCT(('TY Sales Target'!$K$2:$AO$2&gt;=$BZ$5)*('TY Sales Target'!$K$2:$AO$2&lt;=$BZ$6),INDEX('TY Sales Target'!$K$5:$AO$300,$BG294,0)))</f>
        <v>0</v>
      </c>
      <c r="BN294" cm="1">
        <f t="array" ref="BN294">IF(NOT(ISNUMBER($BG294)),0,SUMPRODUCT(('TY Sales Target'!$K$2:$AO$2&gt;=$BZ$5)*('TY Sales Target'!$K$2:$AO$2&lt;=$BZ$7),INDEX('TY Sales Target'!$K$5:$AO$300,$BG294,0)))</f>
        <v>0</v>
      </c>
      <c r="BO294" cm="1">
        <f t="array" ref="BO294">IF($AW294="",0,IFERROR(_xlfn.SWITCH($BP294,"LY trend",$BI294*$BK294/$BJ294,"Target curve",$BI294*$BN294/$BM294,"Run rate",$BI294/$BZ$8*$BZ$9,0),0))</f>
        <v>0</v>
      </c>
      <c r="BP294" t="str">
        <f t="shared" si="130"/>
        <v/>
      </c>
      <c r="CB294" cm="1">
        <f t="array" ref="CB294">IF($AW294="",0,_xlfn.LET(_xlpm.k,IFERROR(_xlfn.XLOOKUP($AW294,$CD$6:$CD$21,$CE$6:$CE$21),$AW294),SUMPRODUCT((TRIM('Makeup '!$A$2:$A$300&amp;"")=_xlpm.k)*1,IFERROR('Makeup '!$F$2:$F$300*1,0))))</f>
        <v>0</v>
      </c>
      <c r="CF294" t="str" cm="1">
        <f t="array" ref="CF294">IF($AW294="","",_xlfn.LET(_xlpm.c,IFERROR(TRIM(INDEX('Sales and count'!$B$4:$B$300,$BF294)&amp;""),""),IF(OR(_xlpm.c="",_xlpm.c="0",LEFT(_xlpm.c,1)="#"),"Not set",_xlpm.c)))</f>
        <v/>
      </c>
      <c r="CH294" cm="1">
        <f t="array" ref="CH294">IF($AW294="",0,_xlfn.LET(_xlpm.k,IFERROR(_xlfn.XLOOKUP($AW294,$CD$6:$CD$21,$CE$6:$CE$21),$AW294),--(SUMPRODUCT((TRIM('Makeup '!$A$2:$A$300&amp;"")=_xlpm.k)*ISNUMBER('Makeup '!$F$2:$F$300))&gt;0)))</f>
        <v>0</v>
      </c>
      <c r="CI294">
        <f t="shared" si="133"/>
        <v>0</v>
      </c>
      <c r="CJ294" cm="1">
        <f t="array" ref="CJ294">IF($AW294="",0,--(SUMPRODUCT(--(TRIM(Footfall!$B$5:$B$301)=$AW294))&gt;0))</f>
        <v>0</v>
      </c>
      <c r="CK294" s="8" cm="1">
        <f t="array" ref="CK294">IF($AW294="",0,_xlfn.LET(_xlpm.r,IFERROR(MATCH(IFERROR(_xlfn.XLOOKUP($AW294,$BT$5:$BT$22,$BU$5:$BU$22),$AW294),TRIM('TY Beauty Target'!$B$5:$B$300&amp;""),0),""),IF(ISNUMBER(_xlpm.r),SUMPRODUCT(('TY Beauty Target'!$L$2:$AP$2&gt;=$U$4)*('TY Beauty Target'!$L$2:$AP$2&lt;=$U$5),INDEX('TY Beauty Target'!$L$5:$AP$300,_xlpm.r,0)),0)))</f>
        <v>0</v>
      </c>
    </row>
    <row r="295" spans="28:89" x14ac:dyDescent="0.25">
      <c r="AB295" s="40" t="str" cm="1">
        <f t="array" ref="AB295">IF($AI295="","",IF(LEFT($AI295,2)="C|",IF($C295="","",SUMPRODUCT($AP$5:$AP$302*($AO$5:$AO$302=$A295),$CK$5:$CK$302)),IF($AI295="CT",AB$13,IF(LEFT($AI295,3)="AM|",IF($C295="","",SUMPRODUCT($AP$5:$AP$302*($AN$5:$AN$302=$A295),$CK$5:$CK$302)),IF(LEFT($AI295,2)="S|",IF($AG295="","",INDEX($CK$5:$CK$302,$AH295)),IF($AI295="HDR","Makeup Target",""))))))</f>
        <v/>
      </c>
      <c r="AC295" s="41" t="str">
        <f t="shared" si="134"/>
        <v/>
      </c>
      <c r="AN295" s="8" t="str" cm="1">
        <f t="array" ref="AN295">IF($AW295="","",_xlfn.LET(_xlpm.sa,IFERROR(TRIM(INDEX('Sales and count'!$D$4:$D$300,$BF295)&amp;""),""),_xlpm.ta,IFERROR(TRIM(INDEX('TY Sales Target'!$F$5:$F$300,$BG295)&amp;""),""),IF(AND(_xlpm.sa&lt;&gt;"",LEFT(_xlpm.sa,1)&lt;&gt;"#",_xlpm.sa&lt;&gt;"0"),_xlpm.sa,IF(AND(_xlpm.ta&lt;&gt;"",LEFT(_xlpm.ta,1)&lt;&gt;"#",_xlpm.ta&lt;&gt;"0"),_xlpm.ta,IF(ISNUMBER($BG295),"Unassigned","")))))</f>
        <v/>
      </c>
      <c r="AO295" s="8" t="str" cm="1">
        <f t="array" ref="AO295">IF($AW295="","",_xlfn.LET(_xlpm.sa,IFERROR(TRIM(INDEX('Sales and count'!$C$4:$C$300,$BF295)&amp;""),""),_xlpm.ta,IFERROR(TRIM(INDEX('TY Sales Target'!$D$5:$D$300,$BG295)&amp;""),""),IF(AND(_xlpm.sa&lt;&gt;"",LEFT(_xlpm.sa,1)&lt;&gt;"#",_xlpm.sa&lt;&gt;"0"),_xlpm.sa,IF(AND(_xlpm.ta&lt;&gt;"",LEFT(_xlpm.ta,1)&lt;&gt;"#",_xlpm.ta&lt;&gt;"0"),_xlpm.ta,""))))</f>
        <v/>
      </c>
      <c r="AP295" s="8">
        <f t="shared" si="131"/>
        <v>0</v>
      </c>
      <c r="AQ295" s="8">
        <f t="shared" si="132"/>
        <v>0</v>
      </c>
      <c r="AR295" s="8" cm="1">
        <f t="array" ref="AR295">IF($BF295="",0,_xlfn.LET(_xlpm.d,IFERROR(--'Sales and count'!$G$2:$CC$2,0),SUMPRODUCT(('Sales and count'!$G$3:$CC$3="Total")*(_xlpm.d&gt;=$U$4)*(_xlpm.d&lt;=$U$5),INDEX('Sales and count'!$G$4:$CC$300,$BF295,0))))</f>
        <v>0</v>
      </c>
      <c r="AS295" s="8" cm="1">
        <f t="array" ref="AS295">IF($BF295="",0,_xlfn.LET(_xlpm.d,IFERROR(--'Sales and count'!$F$2:$CB$2,0),SUMPRODUCT(('Sales and count'!$G$3:$CC$3="Transactions")*(_xlpm.d&gt;=$U$4)*(_xlpm.d&lt;=$U$5),INDEX('Sales and count'!$G$4:$CC$300,$BF295,0))))</f>
        <v>0</v>
      </c>
      <c r="AT295" s="8" cm="1">
        <f t="array" ref="AT295">IF($AW295="",0,SUMPRODUCT((TRIM('LY Sales '!$B$5:$B$200)=$AW295)*('LY Sales '!$C$2:$AG$2&gt;=EDATE($U$4,-12))*('LY Sales '!$C$2:$AG$2&lt;=EDATE($U$5,-12)),'LY Sales '!$C$5:$AG$200))</f>
        <v>0</v>
      </c>
      <c r="AU295" s="8" cm="1">
        <f t="array" ref="AU295">IF($AW295="",0,SUMPRODUCT((TRIM('LY Transaction'!$B$5:$B$200)=$AW295)*('LY Transaction'!$C$2:$AG$2&gt;=EDATE($U$4,-12))*('LY Transaction'!$C$2:$AG$2&lt;=EDATE($U$5,-12)),'LY Transaction'!$C$5:$AG$200))</f>
        <v>0</v>
      </c>
      <c r="AV295" s="8" cm="1">
        <f t="array" ref="AV295">IF(NOT(ISNUMBER($BG295)),0,SUMPRODUCT(('TY Sales Target'!$K$2:$AO$2&gt;=$U$4)*('TY Sales Target'!$K$2:$AO$2&lt;=$U$5),INDEX('TY Sales Target'!$K$5:$AO$300,$BG295,0)))</f>
        <v>0</v>
      </c>
      <c r="AW295" s="8" t="str" cm="1">
        <f t="array" ref="AW295">IFERROR(INDEX(_xlfn.ANCHORARRAY($BR$5),ROWS($AW$5:AW295)),"")</f>
        <v/>
      </c>
      <c r="BB295" cm="1">
        <f t="array" ref="BB295">IF($AW295="",0,SUMPRODUCT((TRIM(Footfall!$B$5:$B$301)=$AW295)*(Footfall!$C$1:$BZ$1&gt;=$U$4)*(Footfall!$C$2:$BZ$2&lt;=$U$5)*(Footfall!$C$1:$BZ$1&lt;&gt;""),Footfall!$C$5:$BZ$301))</f>
        <v>0</v>
      </c>
      <c r="BC295" cm="1">
        <f t="array" ref="BC295">IF(OR($BB295&lt;=0,$BD$1="",$BF295=""),0,_xlfn.LET(_xlpm.d,IFERROR(--'Sales and count'!$F$2:$CB$2,0),SUMPRODUCT(('Sales and count'!$G$3:$CC$3="Transactions")*(_xlpm.d&gt;=$BD$1)*(_xlpm.d&lt;=$BD$2),INDEX('Sales and count'!$G$4:$CC$300,$BF295,0))))</f>
        <v>0</v>
      </c>
      <c r="BF295" t="str" cm="1">
        <f t="array" ref="BF295">IF($AW295="","",IFERROR(MATCH($AW295,TRIM('Sales and count'!$A$4:$A$300&amp;""),0),""))</f>
        <v/>
      </c>
      <c r="BG295" t="str" cm="1">
        <f t="array" ref="BG295">IF($AW295="","",IFERROR(MATCH(IFERROR(_xlfn.XLOOKUP($AW295,$BT$5:$BT$22,$BU$5:$BU$22),$AW295),TRIM('TY Sales Target'!$B$5:$B$300&amp;""),0),""))</f>
        <v/>
      </c>
      <c r="BH295" t="str" cm="1">
        <f t="array" ref="BH295">IF(ISNUMBER($BG295),_xlfn.LET(_xlpm.p,TRIM(INDEX('TY Sales Target'!$I$5:$I$300,$BG295)&amp;""),IF(_xlpm.p="","Not set",_xlpm.p)),"Not set")</f>
        <v>Not set</v>
      </c>
      <c r="BI295" cm="1">
        <f t="array" ref="BI295">IF($BF295="",0,_xlfn.LET(_xlpm.d,IFERROR(--'Sales and count'!$G$2:$CC$2,0),SUMPRODUCT(('Sales and count'!$G$3:$CC$3="Total")*(_xlpm.d&gt;=$BZ$5)*(_xlpm.d&lt;=$BZ$6),INDEX('Sales and count'!$G$4:$CC$300,$BF295,0))))</f>
        <v>0</v>
      </c>
      <c r="BJ295" cm="1">
        <f t="array" ref="BJ295">IF($AW295="",0,SUMPRODUCT((TRIM('LY Sales '!$B$5:$B$200)=$AW295)*('LY Sales '!$C$2:$AG$2&gt;=EDATE($BZ$5,-12))*('LY Sales '!$C$2:$AG$2&lt;=EDATE($BZ$6,-12)),'LY Sales '!$C$5:$AG$200))</f>
        <v>0</v>
      </c>
      <c r="BK295" cm="1">
        <f t="array" ref="BK295">IF($AW295="",0,SUMPRODUCT((TRIM('LY Sales '!$B$5:$B$200)=$AW295)*('LY Sales '!$C$2:$AG$2&gt;=EDATE($BZ$5,-12))*('LY Sales '!$C$2:$AG$2&lt;=EDATE($BZ$7,-12)),'LY Sales '!$C$5:$AG$200))</f>
        <v>0</v>
      </c>
      <c r="BL295" cm="1">
        <f t="array" ref="BL295">IF($AW295="",0,SUMPRODUCT((TRIM('LY Sales '!$B$5:$B$200)=$AW295)*('LY Sales '!$C$2:$AG$2&gt;=EDATE($BZ$5,-12))*('LY Sales '!$C$2:$AG$2&lt;=EDATE($BZ$6,-12))*('LY Sales '!$C$5:$AG$200&gt;0)))</f>
        <v>0</v>
      </c>
      <c r="BM295" cm="1">
        <f t="array" ref="BM295">IF(NOT(ISNUMBER($BG295)),0,SUMPRODUCT(('TY Sales Target'!$K$2:$AO$2&gt;=$BZ$5)*('TY Sales Target'!$K$2:$AO$2&lt;=$BZ$6),INDEX('TY Sales Target'!$K$5:$AO$300,$BG295,0)))</f>
        <v>0</v>
      </c>
      <c r="BN295" cm="1">
        <f t="array" ref="BN295">IF(NOT(ISNUMBER($BG295)),0,SUMPRODUCT(('TY Sales Target'!$K$2:$AO$2&gt;=$BZ$5)*('TY Sales Target'!$K$2:$AO$2&lt;=$BZ$7),INDEX('TY Sales Target'!$K$5:$AO$300,$BG295,0)))</f>
        <v>0</v>
      </c>
      <c r="BO295" cm="1">
        <f t="array" ref="BO295">IF($AW295="",0,IFERROR(_xlfn.SWITCH($BP295,"LY trend",$BI295*$BK295/$BJ295,"Target curve",$BI295*$BN295/$BM295,"Run rate",$BI295/$BZ$8*$BZ$9,0),0))</f>
        <v>0</v>
      </c>
      <c r="BP295" t="str">
        <f t="shared" si="130"/>
        <v/>
      </c>
      <c r="CB295" cm="1">
        <f t="array" ref="CB295">IF($AW295="",0,_xlfn.LET(_xlpm.k,IFERROR(_xlfn.XLOOKUP($AW295,$CD$6:$CD$21,$CE$6:$CE$21),$AW295),SUMPRODUCT((TRIM('Makeup '!$A$2:$A$300&amp;"")=_xlpm.k)*1,IFERROR('Makeup '!$F$2:$F$300*1,0))))</f>
        <v>0</v>
      </c>
      <c r="CF295" t="str" cm="1">
        <f t="array" ref="CF295">IF($AW295="","",_xlfn.LET(_xlpm.c,IFERROR(TRIM(INDEX('Sales and count'!$B$4:$B$300,$BF295)&amp;""),""),IF(OR(_xlpm.c="",_xlpm.c="0",LEFT(_xlpm.c,1)="#"),"Not set",_xlpm.c)))</f>
        <v/>
      </c>
      <c r="CH295" cm="1">
        <f t="array" ref="CH295">IF($AW295="",0,_xlfn.LET(_xlpm.k,IFERROR(_xlfn.XLOOKUP($AW295,$CD$6:$CD$21,$CE$6:$CE$21),$AW295),--(SUMPRODUCT((TRIM('Makeup '!$A$2:$A$300&amp;"")=_xlpm.k)*ISNUMBER('Makeup '!$F$2:$F$300))&gt;0)))</f>
        <v>0</v>
      </c>
      <c r="CI295">
        <f t="shared" si="133"/>
        <v>0</v>
      </c>
      <c r="CJ295" cm="1">
        <f t="array" ref="CJ295">IF($AW295="",0,--(SUMPRODUCT(--(TRIM(Footfall!$B$5:$B$301)=$AW295))&gt;0))</f>
        <v>0</v>
      </c>
      <c r="CK295" s="8" cm="1">
        <f t="array" ref="CK295">IF($AW295="",0,_xlfn.LET(_xlpm.r,IFERROR(MATCH(IFERROR(_xlfn.XLOOKUP($AW295,$BT$5:$BT$22,$BU$5:$BU$22),$AW295),TRIM('TY Beauty Target'!$B$5:$B$300&amp;""),0),""),IF(ISNUMBER(_xlpm.r),SUMPRODUCT(('TY Beauty Target'!$L$2:$AP$2&gt;=$U$4)*('TY Beauty Target'!$L$2:$AP$2&lt;=$U$5),INDEX('TY Beauty Target'!$L$5:$AP$300,_xlpm.r,0)),0)))</f>
        <v>0</v>
      </c>
    </row>
    <row r="296" spans="28:89" x14ac:dyDescent="0.25">
      <c r="AB296" s="40" t="str" cm="1">
        <f t="array" ref="AB296">IF($AI296="","",IF(LEFT($AI296,2)="C|",IF($C296="","",SUMPRODUCT($AP$5:$AP$302*($AO$5:$AO$302=$A296),$CK$5:$CK$302)),IF($AI296="CT",AB$13,IF(LEFT($AI296,3)="AM|",IF($C296="","",SUMPRODUCT($AP$5:$AP$302*($AN$5:$AN$302=$A296),$CK$5:$CK$302)),IF(LEFT($AI296,2)="S|",IF($AG296="","",INDEX($CK$5:$CK$302,$AH296)),IF($AI296="HDR","Makeup Target",""))))))</f>
        <v/>
      </c>
      <c r="AC296" s="41" t="str">
        <f t="shared" si="134"/>
        <v/>
      </c>
      <c r="AN296" s="8" t="str" cm="1">
        <f t="array" ref="AN296">IF($AW296="","",_xlfn.LET(_xlpm.sa,IFERROR(TRIM(INDEX('Sales and count'!$D$4:$D$300,$BF296)&amp;""),""),_xlpm.ta,IFERROR(TRIM(INDEX('TY Sales Target'!$F$5:$F$300,$BG296)&amp;""),""),IF(AND(_xlpm.sa&lt;&gt;"",LEFT(_xlpm.sa,1)&lt;&gt;"#",_xlpm.sa&lt;&gt;"0"),_xlpm.sa,IF(AND(_xlpm.ta&lt;&gt;"",LEFT(_xlpm.ta,1)&lt;&gt;"#",_xlpm.ta&lt;&gt;"0"),_xlpm.ta,IF(ISNUMBER($BG296),"Unassigned","")))))</f>
        <v/>
      </c>
      <c r="AO296" s="8" t="str" cm="1">
        <f t="array" ref="AO296">IF($AW296="","",_xlfn.LET(_xlpm.sa,IFERROR(TRIM(INDEX('Sales and count'!$C$4:$C$300,$BF296)&amp;""),""),_xlpm.ta,IFERROR(TRIM(INDEX('TY Sales Target'!$D$5:$D$300,$BG296)&amp;""),""),IF(AND(_xlpm.sa&lt;&gt;"",LEFT(_xlpm.sa,1)&lt;&gt;"#",_xlpm.sa&lt;&gt;"0"),_xlpm.sa,IF(AND(_xlpm.ta&lt;&gt;"",LEFT(_xlpm.ta,1)&lt;&gt;"#",_xlpm.ta&lt;&gt;"0"),_xlpm.ta,""))))</f>
        <v/>
      </c>
      <c r="AP296" s="8">
        <f t="shared" si="131"/>
        <v>0</v>
      </c>
      <c r="AQ296" s="8">
        <f t="shared" si="132"/>
        <v>0</v>
      </c>
      <c r="AR296" s="8" cm="1">
        <f t="array" ref="AR296">IF($BF296="",0,_xlfn.LET(_xlpm.d,IFERROR(--'Sales and count'!$G$2:$CC$2,0),SUMPRODUCT(('Sales and count'!$G$3:$CC$3="Total")*(_xlpm.d&gt;=$U$4)*(_xlpm.d&lt;=$U$5),INDEX('Sales and count'!$G$4:$CC$300,$BF296,0))))</f>
        <v>0</v>
      </c>
      <c r="AS296" s="8" cm="1">
        <f t="array" ref="AS296">IF($BF296="",0,_xlfn.LET(_xlpm.d,IFERROR(--'Sales and count'!$F$2:$CB$2,0),SUMPRODUCT(('Sales and count'!$G$3:$CC$3="Transactions")*(_xlpm.d&gt;=$U$4)*(_xlpm.d&lt;=$U$5),INDEX('Sales and count'!$G$4:$CC$300,$BF296,0))))</f>
        <v>0</v>
      </c>
      <c r="AT296" s="8" cm="1">
        <f t="array" ref="AT296">IF($AW296="",0,SUMPRODUCT((TRIM('LY Sales '!$B$5:$B$200)=$AW296)*('LY Sales '!$C$2:$AG$2&gt;=EDATE($U$4,-12))*('LY Sales '!$C$2:$AG$2&lt;=EDATE($U$5,-12)),'LY Sales '!$C$5:$AG$200))</f>
        <v>0</v>
      </c>
      <c r="AU296" s="8" cm="1">
        <f t="array" ref="AU296">IF($AW296="",0,SUMPRODUCT((TRIM('LY Transaction'!$B$5:$B$200)=$AW296)*('LY Transaction'!$C$2:$AG$2&gt;=EDATE($U$4,-12))*('LY Transaction'!$C$2:$AG$2&lt;=EDATE($U$5,-12)),'LY Transaction'!$C$5:$AG$200))</f>
        <v>0</v>
      </c>
      <c r="AV296" s="8" cm="1">
        <f t="array" ref="AV296">IF(NOT(ISNUMBER($BG296)),0,SUMPRODUCT(('TY Sales Target'!$K$2:$AO$2&gt;=$U$4)*('TY Sales Target'!$K$2:$AO$2&lt;=$U$5),INDEX('TY Sales Target'!$K$5:$AO$300,$BG296,0)))</f>
        <v>0</v>
      </c>
      <c r="AW296" s="8" t="str" cm="1">
        <f t="array" ref="AW296">IFERROR(INDEX(_xlfn.ANCHORARRAY($BR$5),ROWS($AW$5:AW296)),"")</f>
        <v/>
      </c>
      <c r="BB296" cm="1">
        <f t="array" ref="BB296">IF($AW296="",0,SUMPRODUCT((TRIM(Footfall!$B$5:$B$301)=$AW296)*(Footfall!$C$1:$BZ$1&gt;=$U$4)*(Footfall!$C$2:$BZ$2&lt;=$U$5)*(Footfall!$C$1:$BZ$1&lt;&gt;""),Footfall!$C$5:$BZ$301))</f>
        <v>0</v>
      </c>
      <c r="BC296" cm="1">
        <f t="array" ref="BC296">IF(OR($BB296&lt;=0,$BD$1="",$BF296=""),0,_xlfn.LET(_xlpm.d,IFERROR(--'Sales and count'!$F$2:$CB$2,0),SUMPRODUCT(('Sales and count'!$G$3:$CC$3="Transactions")*(_xlpm.d&gt;=$BD$1)*(_xlpm.d&lt;=$BD$2),INDEX('Sales and count'!$G$4:$CC$300,$BF296,0))))</f>
        <v>0</v>
      </c>
      <c r="BF296" t="str" cm="1">
        <f t="array" ref="BF296">IF($AW296="","",IFERROR(MATCH($AW296,TRIM('Sales and count'!$A$4:$A$300&amp;""),0),""))</f>
        <v/>
      </c>
      <c r="BG296" t="str" cm="1">
        <f t="array" ref="BG296">IF($AW296="","",IFERROR(MATCH(IFERROR(_xlfn.XLOOKUP($AW296,$BT$5:$BT$22,$BU$5:$BU$22),$AW296),TRIM('TY Sales Target'!$B$5:$B$300&amp;""),0),""))</f>
        <v/>
      </c>
      <c r="BH296" t="str" cm="1">
        <f t="array" ref="BH296">IF(ISNUMBER($BG296),_xlfn.LET(_xlpm.p,TRIM(INDEX('TY Sales Target'!$I$5:$I$300,$BG296)&amp;""),IF(_xlpm.p="","Not set",_xlpm.p)),"Not set")</f>
        <v>Not set</v>
      </c>
      <c r="BI296" cm="1">
        <f t="array" ref="BI296">IF($BF296="",0,_xlfn.LET(_xlpm.d,IFERROR(--'Sales and count'!$G$2:$CC$2,0),SUMPRODUCT(('Sales and count'!$G$3:$CC$3="Total")*(_xlpm.d&gt;=$BZ$5)*(_xlpm.d&lt;=$BZ$6),INDEX('Sales and count'!$G$4:$CC$300,$BF296,0))))</f>
        <v>0</v>
      </c>
      <c r="BJ296" cm="1">
        <f t="array" ref="BJ296">IF($AW296="",0,SUMPRODUCT((TRIM('LY Sales '!$B$5:$B$200)=$AW296)*('LY Sales '!$C$2:$AG$2&gt;=EDATE($BZ$5,-12))*('LY Sales '!$C$2:$AG$2&lt;=EDATE($BZ$6,-12)),'LY Sales '!$C$5:$AG$200))</f>
        <v>0</v>
      </c>
      <c r="BK296" cm="1">
        <f t="array" ref="BK296">IF($AW296="",0,SUMPRODUCT((TRIM('LY Sales '!$B$5:$B$200)=$AW296)*('LY Sales '!$C$2:$AG$2&gt;=EDATE($BZ$5,-12))*('LY Sales '!$C$2:$AG$2&lt;=EDATE($BZ$7,-12)),'LY Sales '!$C$5:$AG$200))</f>
        <v>0</v>
      </c>
      <c r="BL296" cm="1">
        <f t="array" ref="BL296">IF($AW296="",0,SUMPRODUCT((TRIM('LY Sales '!$B$5:$B$200)=$AW296)*('LY Sales '!$C$2:$AG$2&gt;=EDATE($BZ$5,-12))*('LY Sales '!$C$2:$AG$2&lt;=EDATE($BZ$6,-12))*('LY Sales '!$C$5:$AG$200&gt;0)))</f>
        <v>0</v>
      </c>
      <c r="BM296" cm="1">
        <f t="array" ref="BM296">IF(NOT(ISNUMBER($BG296)),0,SUMPRODUCT(('TY Sales Target'!$K$2:$AO$2&gt;=$BZ$5)*('TY Sales Target'!$K$2:$AO$2&lt;=$BZ$6),INDEX('TY Sales Target'!$K$5:$AO$300,$BG296,0)))</f>
        <v>0</v>
      </c>
      <c r="BN296" cm="1">
        <f t="array" ref="BN296">IF(NOT(ISNUMBER($BG296)),0,SUMPRODUCT(('TY Sales Target'!$K$2:$AO$2&gt;=$BZ$5)*('TY Sales Target'!$K$2:$AO$2&lt;=$BZ$7),INDEX('TY Sales Target'!$K$5:$AO$300,$BG296,0)))</f>
        <v>0</v>
      </c>
      <c r="BO296" cm="1">
        <f t="array" ref="BO296">IF($AW296="",0,IFERROR(_xlfn.SWITCH($BP296,"LY trend",$BI296*$BK296/$BJ296,"Target curve",$BI296*$BN296/$BM296,"Run rate",$BI296/$BZ$8*$BZ$9,0),0))</f>
        <v>0</v>
      </c>
      <c r="BP296" t="str">
        <f t="shared" si="130"/>
        <v/>
      </c>
      <c r="CB296" cm="1">
        <f t="array" ref="CB296">IF($AW296="",0,_xlfn.LET(_xlpm.k,IFERROR(_xlfn.XLOOKUP($AW296,$CD$6:$CD$21,$CE$6:$CE$21),$AW296),SUMPRODUCT((TRIM('Makeup '!$A$2:$A$300&amp;"")=_xlpm.k)*1,IFERROR('Makeup '!$F$2:$F$300*1,0))))</f>
        <v>0</v>
      </c>
      <c r="CF296" t="str" cm="1">
        <f t="array" ref="CF296">IF($AW296="","",_xlfn.LET(_xlpm.c,IFERROR(TRIM(INDEX('Sales and count'!$B$4:$B$300,$BF296)&amp;""),""),IF(OR(_xlpm.c="",_xlpm.c="0",LEFT(_xlpm.c,1)="#"),"Not set",_xlpm.c)))</f>
        <v/>
      </c>
      <c r="CH296" cm="1">
        <f t="array" ref="CH296">IF($AW296="",0,_xlfn.LET(_xlpm.k,IFERROR(_xlfn.XLOOKUP($AW296,$CD$6:$CD$21,$CE$6:$CE$21),$AW296),--(SUMPRODUCT((TRIM('Makeup '!$A$2:$A$300&amp;"")=_xlpm.k)*ISNUMBER('Makeup '!$F$2:$F$300))&gt;0)))</f>
        <v>0</v>
      </c>
      <c r="CI296">
        <f t="shared" si="133"/>
        <v>0</v>
      </c>
      <c r="CJ296" cm="1">
        <f t="array" ref="CJ296">IF($AW296="",0,--(SUMPRODUCT(--(TRIM(Footfall!$B$5:$B$301)=$AW296))&gt;0))</f>
        <v>0</v>
      </c>
      <c r="CK296" s="8" cm="1">
        <f t="array" ref="CK296">IF($AW296="",0,_xlfn.LET(_xlpm.r,IFERROR(MATCH(IFERROR(_xlfn.XLOOKUP($AW296,$BT$5:$BT$22,$BU$5:$BU$22),$AW296),TRIM('TY Beauty Target'!$B$5:$B$300&amp;""),0),""),IF(ISNUMBER(_xlpm.r),SUMPRODUCT(('TY Beauty Target'!$L$2:$AP$2&gt;=$U$4)*('TY Beauty Target'!$L$2:$AP$2&lt;=$U$5),INDEX('TY Beauty Target'!$L$5:$AP$300,_xlpm.r,0)),0)))</f>
        <v>0</v>
      </c>
    </row>
    <row r="297" spans="28:89" x14ac:dyDescent="0.25">
      <c r="AB297" s="40" t="str" cm="1">
        <f t="array" ref="AB297">IF($AI297="","",IF(LEFT($AI297,2)="C|",IF($C297="","",SUMPRODUCT($AP$5:$AP$302*($AO$5:$AO$302=$A297),$CK$5:$CK$302)),IF($AI297="CT",AB$13,IF(LEFT($AI297,3)="AM|",IF($C297="","",SUMPRODUCT($AP$5:$AP$302*($AN$5:$AN$302=$A297),$CK$5:$CK$302)),IF(LEFT($AI297,2)="S|",IF($AG297="","",INDEX($CK$5:$CK$302,$AH297)),IF($AI297="HDR","Makeup Target",""))))))</f>
        <v/>
      </c>
      <c r="AC297" s="41" t="str">
        <f t="shared" si="134"/>
        <v/>
      </c>
      <c r="AN297" s="8" t="str" cm="1">
        <f t="array" ref="AN297">IF($AW297="","",_xlfn.LET(_xlpm.sa,IFERROR(TRIM(INDEX('Sales and count'!$D$4:$D$300,$BF297)&amp;""),""),_xlpm.ta,IFERROR(TRIM(INDEX('TY Sales Target'!$F$5:$F$300,$BG297)&amp;""),""),IF(AND(_xlpm.sa&lt;&gt;"",LEFT(_xlpm.sa,1)&lt;&gt;"#",_xlpm.sa&lt;&gt;"0"),_xlpm.sa,IF(AND(_xlpm.ta&lt;&gt;"",LEFT(_xlpm.ta,1)&lt;&gt;"#",_xlpm.ta&lt;&gt;"0"),_xlpm.ta,IF(ISNUMBER($BG297),"Unassigned","")))))</f>
        <v/>
      </c>
      <c r="AO297" s="8" t="str" cm="1">
        <f t="array" ref="AO297">IF($AW297="","",_xlfn.LET(_xlpm.sa,IFERROR(TRIM(INDEX('Sales and count'!$C$4:$C$300,$BF297)&amp;""),""),_xlpm.ta,IFERROR(TRIM(INDEX('TY Sales Target'!$D$5:$D$300,$BG297)&amp;""),""),IF(AND(_xlpm.sa&lt;&gt;"",LEFT(_xlpm.sa,1)&lt;&gt;"#",_xlpm.sa&lt;&gt;"0"),_xlpm.sa,IF(AND(_xlpm.ta&lt;&gt;"",LEFT(_xlpm.ta,1)&lt;&gt;"#",_xlpm.ta&lt;&gt;"0"),_xlpm.ta,""))))</f>
        <v/>
      </c>
      <c r="AP297" s="8">
        <f t="shared" si="131"/>
        <v>0</v>
      </c>
      <c r="AQ297" s="8">
        <f t="shared" si="132"/>
        <v>0</v>
      </c>
      <c r="AR297" s="8" cm="1">
        <f t="array" ref="AR297">IF($BF297="",0,_xlfn.LET(_xlpm.d,IFERROR(--'Sales and count'!$G$2:$CC$2,0),SUMPRODUCT(('Sales and count'!$G$3:$CC$3="Total")*(_xlpm.d&gt;=$U$4)*(_xlpm.d&lt;=$U$5),INDEX('Sales and count'!$G$4:$CC$300,$BF297,0))))</f>
        <v>0</v>
      </c>
      <c r="AS297" s="8" cm="1">
        <f t="array" ref="AS297">IF($BF297="",0,_xlfn.LET(_xlpm.d,IFERROR(--'Sales and count'!$F$2:$CB$2,0),SUMPRODUCT(('Sales and count'!$G$3:$CC$3="Transactions")*(_xlpm.d&gt;=$U$4)*(_xlpm.d&lt;=$U$5),INDEX('Sales and count'!$G$4:$CC$300,$BF297,0))))</f>
        <v>0</v>
      </c>
      <c r="AT297" s="8" cm="1">
        <f t="array" ref="AT297">IF($AW297="",0,SUMPRODUCT((TRIM('LY Sales '!$B$5:$B$200)=$AW297)*('LY Sales '!$C$2:$AG$2&gt;=EDATE($U$4,-12))*('LY Sales '!$C$2:$AG$2&lt;=EDATE($U$5,-12)),'LY Sales '!$C$5:$AG$200))</f>
        <v>0</v>
      </c>
      <c r="AU297" s="8" cm="1">
        <f t="array" ref="AU297">IF($AW297="",0,SUMPRODUCT((TRIM('LY Transaction'!$B$5:$B$200)=$AW297)*('LY Transaction'!$C$2:$AG$2&gt;=EDATE($U$4,-12))*('LY Transaction'!$C$2:$AG$2&lt;=EDATE($U$5,-12)),'LY Transaction'!$C$5:$AG$200))</f>
        <v>0</v>
      </c>
      <c r="AV297" s="8" cm="1">
        <f t="array" ref="AV297">IF(NOT(ISNUMBER($BG297)),0,SUMPRODUCT(('TY Sales Target'!$K$2:$AO$2&gt;=$U$4)*('TY Sales Target'!$K$2:$AO$2&lt;=$U$5),INDEX('TY Sales Target'!$K$5:$AO$300,$BG297,0)))</f>
        <v>0</v>
      </c>
      <c r="AW297" s="8" t="str" cm="1">
        <f t="array" ref="AW297">IFERROR(INDEX(_xlfn.ANCHORARRAY($BR$5),ROWS($AW$5:AW297)),"")</f>
        <v/>
      </c>
      <c r="BB297" cm="1">
        <f t="array" ref="BB297">IF($AW297="",0,SUMPRODUCT((TRIM(Footfall!$B$5:$B$301)=$AW297)*(Footfall!$C$1:$BZ$1&gt;=$U$4)*(Footfall!$C$2:$BZ$2&lt;=$U$5)*(Footfall!$C$1:$BZ$1&lt;&gt;""),Footfall!$C$5:$BZ$301))</f>
        <v>0</v>
      </c>
      <c r="BC297" cm="1">
        <f t="array" ref="BC297">IF(OR($BB297&lt;=0,$BD$1="",$BF297=""),0,_xlfn.LET(_xlpm.d,IFERROR(--'Sales and count'!$F$2:$CB$2,0),SUMPRODUCT(('Sales and count'!$G$3:$CC$3="Transactions")*(_xlpm.d&gt;=$BD$1)*(_xlpm.d&lt;=$BD$2),INDEX('Sales and count'!$G$4:$CC$300,$BF297,0))))</f>
        <v>0</v>
      </c>
      <c r="BF297" t="str" cm="1">
        <f t="array" ref="BF297">IF($AW297="","",IFERROR(MATCH($AW297,TRIM('Sales and count'!$A$4:$A$300&amp;""),0),""))</f>
        <v/>
      </c>
      <c r="BG297" t="str" cm="1">
        <f t="array" ref="BG297">IF($AW297="","",IFERROR(MATCH(IFERROR(_xlfn.XLOOKUP($AW297,$BT$5:$BT$22,$BU$5:$BU$22),$AW297),TRIM('TY Sales Target'!$B$5:$B$300&amp;""),0),""))</f>
        <v/>
      </c>
      <c r="BH297" t="str" cm="1">
        <f t="array" ref="BH297">IF(ISNUMBER($BG297),_xlfn.LET(_xlpm.p,TRIM(INDEX('TY Sales Target'!$I$5:$I$300,$BG297)&amp;""),IF(_xlpm.p="","Not set",_xlpm.p)),"Not set")</f>
        <v>Not set</v>
      </c>
      <c r="BI297" cm="1">
        <f t="array" ref="BI297">IF($BF297="",0,_xlfn.LET(_xlpm.d,IFERROR(--'Sales and count'!$G$2:$CC$2,0),SUMPRODUCT(('Sales and count'!$G$3:$CC$3="Total")*(_xlpm.d&gt;=$BZ$5)*(_xlpm.d&lt;=$BZ$6),INDEX('Sales and count'!$G$4:$CC$300,$BF297,0))))</f>
        <v>0</v>
      </c>
      <c r="BJ297" cm="1">
        <f t="array" ref="BJ297">IF($AW297="",0,SUMPRODUCT((TRIM('LY Sales '!$B$5:$B$200)=$AW297)*('LY Sales '!$C$2:$AG$2&gt;=EDATE($BZ$5,-12))*('LY Sales '!$C$2:$AG$2&lt;=EDATE($BZ$6,-12)),'LY Sales '!$C$5:$AG$200))</f>
        <v>0</v>
      </c>
      <c r="BK297" cm="1">
        <f t="array" ref="BK297">IF($AW297="",0,SUMPRODUCT((TRIM('LY Sales '!$B$5:$B$200)=$AW297)*('LY Sales '!$C$2:$AG$2&gt;=EDATE($BZ$5,-12))*('LY Sales '!$C$2:$AG$2&lt;=EDATE($BZ$7,-12)),'LY Sales '!$C$5:$AG$200))</f>
        <v>0</v>
      </c>
      <c r="BL297" cm="1">
        <f t="array" ref="BL297">IF($AW297="",0,SUMPRODUCT((TRIM('LY Sales '!$B$5:$B$200)=$AW297)*('LY Sales '!$C$2:$AG$2&gt;=EDATE($BZ$5,-12))*('LY Sales '!$C$2:$AG$2&lt;=EDATE($BZ$6,-12))*('LY Sales '!$C$5:$AG$200&gt;0)))</f>
        <v>0</v>
      </c>
      <c r="BM297" cm="1">
        <f t="array" ref="BM297">IF(NOT(ISNUMBER($BG297)),0,SUMPRODUCT(('TY Sales Target'!$K$2:$AO$2&gt;=$BZ$5)*('TY Sales Target'!$K$2:$AO$2&lt;=$BZ$6),INDEX('TY Sales Target'!$K$5:$AO$300,$BG297,0)))</f>
        <v>0</v>
      </c>
      <c r="BN297" cm="1">
        <f t="array" ref="BN297">IF(NOT(ISNUMBER($BG297)),0,SUMPRODUCT(('TY Sales Target'!$K$2:$AO$2&gt;=$BZ$5)*('TY Sales Target'!$K$2:$AO$2&lt;=$BZ$7),INDEX('TY Sales Target'!$K$5:$AO$300,$BG297,0)))</f>
        <v>0</v>
      </c>
      <c r="BO297" cm="1">
        <f t="array" ref="BO297">IF($AW297="",0,IFERROR(_xlfn.SWITCH($BP297,"LY trend",$BI297*$BK297/$BJ297,"Target curve",$BI297*$BN297/$BM297,"Run rate",$BI297/$BZ$8*$BZ$9,0),0))</f>
        <v>0</v>
      </c>
      <c r="BP297" t="str">
        <f t="shared" si="130"/>
        <v/>
      </c>
      <c r="CB297" cm="1">
        <f t="array" ref="CB297">IF($AW297="",0,_xlfn.LET(_xlpm.k,IFERROR(_xlfn.XLOOKUP($AW297,$CD$6:$CD$21,$CE$6:$CE$21),$AW297),SUMPRODUCT((TRIM('Makeup '!$A$2:$A$300&amp;"")=_xlpm.k)*1,IFERROR('Makeup '!$F$2:$F$300*1,0))))</f>
        <v>0</v>
      </c>
      <c r="CF297" t="str" cm="1">
        <f t="array" ref="CF297">IF($AW297="","",_xlfn.LET(_xlpm.c,IFERROR(TRIM(INDEX('Sales and count'!$B$4:$B$300,$BF297)&amp;""),""),IF(OR(_xlpm.c="",_xlpm.c="0",LEFT(_xlpm.c,1)="#"),"Not set",_xlpm.c)))</f>
        <v/>
      </c>
      <c r="CH297" cm="1">
        <f t="array" ref="CH297">IF($AW297="",0,_xlfn.LET(_xlpm.k,IFERROR(_xlfn.XLOOKUP($AW297,$CD$6:$CD$21,$CE$6:$CE$21),$AW297),--(SUMPRODUCT((TRIM('Makeup '!$A$2:$A$300&amp;"")=_xlpm.k)*ISNUMBER('Makeup '!$F$2:$F$300))&gt;0)))</f>
        <v>0</v>
      </c>
      <c r="CI297">
        <f t="shared" si="133"/>
        <v>0</v>
      </c>
      <c r="CJ297" cm="1">
        <f t="array" ref="CJ297">IF($AW297="",0,--(SUMPRODUCT(--(TRIM(Footfall!$B$5:$B$301)=$AW297))&gt;0))</f>
        <v>0</v>
      </c>
      <c r="CK297" s="8" cm="1">
        <f t="array" ref="CK297">IF($AW297="",0,_xlfn.LET(_xlpm.r,IFERROR(MATCH(IFERROR(_xlfn.XLOOKUP($AW297,$BT$5:$BT$22,$BU$5:$BU$22),$AW297),TRIM('TY Beauty Target'!$B$5:$B$300&amp;""),0),""),IF(ISNUMBER(_xlpm.r),SUMPRODUCT(('TY Beauty Target'!$L$2:$AP$2&gt;=$U$4)*('TY Beauty Target'!$L$2:$AP$2&lt;=$U$5),INDEX('TY Beauty Target'!$L$5:$AP$300,_xlpm.r,0)),0)))</f>
        <v>0</v>
      </c>
    </row>
    <row r="298" spans="28:89" x14ac:dyDescent="0.25">
      <c r="AB298" s="40" t="str" cm="1">
        <f t="array" ref="AB298">IF($AI298="","",IF(LEFT($AI298,2)="C|",IF($C298="","",SUMPRODUCT($AP$5:$AP$302*($AO$5:$AO$302=$A298),$CK$5:$CK$302)),IF($AI298="CT",AB$13,IF(LEFT($AI298,3)="AM|",IF($C298="","",SUMPRODUCT($AP$5:$AP$302*($AN$5:$AN$302=$A298),$CK$5:$CK$302)),IF(LEFT($AI298,2)="S|",IF($AG298="","",INDEX($CK$5:$CK$302,$AH298)),IF($AI298="HDR","Makeup Target",""))))))</f>
        <v/>
      </c>
      <c r="AC298" s="41" t="str">
        <f t="shared" si="134"/>
        <v/>
      </c>
      <c r="AN298" s="8" t="str" cm="1">
        <f t="array" ref="AN298">IF($AW298="","",_xlfn.LET(_xlpm.sa,IFERROR(TRIM(INDEX('Sales and count'!$D$4:$D$300,$BF298)&amp;""),""),_xlpm.ta,IFERROR(TRIM(INDEX('TY Sales Target'!$F$5:$F$300,$BG298)&amp;""),""),IF(AND(_xlpm.sa&lt;&gt;"",LEFT(_xlpm.sa,1)&lt;&gt;"#",_xlpm.sa&lt;&gt;"0"),_xlpm.sa,IF(AND(_xlpm.ta&lt;&gt;"",LEFT(_xlpm.ta,1)&lt;&gt;"#",_xlpm.ta&lt;&gt;"0"),_xlpm.ta,IF(ISNUMBER($BG298),"Unassigned","")))))</f>
        <v/>
      </c>
      <c r="AO298" s="8" t="str" cm="1">
        <f t="array" ref="AO298">IF($AW298="","",_xlfn.LET(_xlpm.sa,IFERROR(TRIM(INDEX('Sales and count'!$C$4:$C$300,$BF298)&amp;""),""),_xlpm.ta,IFERROR(TRIM(INDEX('TY Sales Target'!$D$5:$D$300,$BG298)&amp;""),""),IF(AND(_xlpm.sa&lt;&gt;"",LEFT(_xlpm.sa,1)&lt;&gt;"#",_xlpm.sa&lt;&gt;"0"),_xlpm.sa,IF(AND(_xlpm.ta&lt;&gt;"",LEFT(_xlpm.ta,1)&lt;&gt;"#",_xlpm.ta&lt;&gt;"0"),_xlpm.ta,""))))</f>
        <v/>
      </c>
      <c r="AP298" s="8">
        <f t="shared" si="131"/>
        <v>0</v>
      </c>
      <c r="AQ298" s="8">
        <f t="shared" si="132"/>
        <v>0</v>
      </c>
      <c r="AR298" s="8" cm="1">
        <f t="array" ref="AR298">IF($BF298="",0,_xlfn.LET(_xlpm.d,IFERROR(--'Sales and count'!$G$2:$CC$2,0),SUMPRODUCT(('Sales and count'!$G$3:$CC$3="Total")*(_xlpm.d&gt;=$U$4)*(_xlpm.d&lt;=$U$5),INDEX('Sales and count'!$G$4:$CC$300,$BF298,0))))</f>
        <v>0</v>
      </c>
      <c r="AS298" s="8" cm="1">
        <f t="array" ref="AS298">IF($BF298="",0,_xlfn.LET(_xlpm.d,IFERROR(--'Sales and count'!$F$2:$CB$2,0),SUMPRODUCT(('Sales and count'!$G$3:$CC$3="Transactions")*(_xlpm.d&gt;=$U$4)*(_xlpm.d&lt;=$U$5),INDEX('Sales and count'!$G$4:$CC$300,$BF298,0))))</f>
        <v>0</v>
      </c>
      <c r="AT298" s="8" cm="1">
        <f t="array" ref="AT298">IF($AW298="",0,SUMPRODUCT((TRIM('LY Sales '!$B$5:$B$200)=$AW298)*('LY Sales '!$C$2:$AG$2&gt;=EDATE($U$4,-12))*('LY Sales '!$C$2:$AG$2&lt;=EDATE($U$5,-12)),'LY Sales '!$C$5:$AG$200))</f>
        <v>0</v>
      </c>
      <c r="AU298" s="8" cm="1">
        <f t="array" ref="AU298">IF($AW298="",0,SUMPRODUCT((TRIM('LY Transaction'!$B$5:$B$200)=$AW298)*('LY Transaction'!$C$2:$AG$2&gt;=EDATE($U$4,-12))*('LY Transaction'!$C$2:$AG$2&lt;=EDATE($U$5,-12)),'LY Transaction'!$C$5:$AG$200))</f>
        <v>0</v>
      </c>
      <c r="AV298" s="8" cm="1">
        <f t="array" ref="AV298">IF(NOT(ISNUMBER($BG298)),0,SUMPRODUCT(('TY Sales Target'!$K$2:$AO$2&gt;=$U$4)*('TY Sales Target'!$K$2:$AO$2&lt;=$U$5),INDEX('TY Sales Target'!$K$5:$AO$300,$BG298,0)))</f>
        <v>0</v>
      </c>
      <c r="AW298" s="8" t="str" cm="1">
        <f t="array" ref="AW298">IFERROR(INDEX(_xlfn.ANCHORARRAY($BR$5),ROWS($AW$5:AW298)),"")</f>
        <v/>
      </c>
      <c r="BB298" cm="1">
        <f t="array" ref="BB298">IF($AW298="",0,SUMPRODUCT((TRIM(Footfall!$B$5:$B$301)=$AW298)*(Footfall!$C$1:$BZ$1&gt;=$U$4)*(Footfall!$C$2:$BZ$2&lt;=$U$5)*(Footfall!$C$1:$BZ$1&lt;&gt;""),Footfall!$C$5:$BZ$301))</f>
        <v>0</v>
      </c>
      <c r="BC298" cm="1">
        <f t="array" ref="BC298">IF(OR($BB298&lt;=0,$BD$1="",$BF298=""),0,_xlfn.LET(_xlpm.d,IFERROR(--'Sales and count'!$F$2:$CB$2,0),SUMPRODUCT(('Sales and count'!$G$3:$CC$3="Transactions")*(_xlpm.d&gt;=$BD$1)*(_xlpm.d&lt;=$BD$2),INDEX('Sales and count'!$G$4:$CC$300,$BF298,0))))</f>
        <v>0</v>
      </c>
      <c r="BF298" t="str" cm="1">
        <f t="array" ref="BF298">IF($AW298="","",IFERROR(MATCH($AW298,TRIM('Sales and count'!$A$4:$A$300&amp;""),0),""))</f>
        <v/>
      </c>
      <c r="BG298" t="str" cm="1">
        <f t="array" ref="BG298">IF($AW298="","",IFERROR(MATCH(IFERROR(_xlfn.XLOOKUP($AW298,$BT$5:$BT$22,$BU$5:$BU$22),$AW298),TRIM('TY Sales Target'!$B$5:$B$300&amp;""),0),""))</f>
        <v/>
      </c>
      <c r="BH298" t="str" cm="1">
        <f t="array" ref="BH298">IF(ISNUMBER($BG298),_xlfn.LET(_xlpm.p,TRIM(INDEX('TY Sales Target'!$I$5:$I$300,$BG298)&amp;""),IF(_xlpm.p="","Not set",_xlpm.p)),"Not set")</f>
        <v>Not set</v>
      </c>
      <c r="BI298" cm="1">
        <f t="array" ref="BI298">IF($BF298="",0,_xlfn.LET(_xlpm.d,IFERROR(--'Sales and count'!$G$2:$CC$2,0),SUMPRODUCT(('Sales and count'!$G$3:$CC$3="Total")*(_xlpm.d&gt;=$BZ$5)*(_xlpm.d&lt;=$BZ$6),INDEX('Sales and count'!$G$4:$CC$300,$BF298,0))))</f>
        <v>0</v>
      </c>
      <c r="BJ298" cm="1">
        <f t="array" ref="BJ298">IF($AW298="",0,SUMPRODUCT((TRIM('LY Sales '!$B$5:$B$200)=$AW298)*('LY Sales '!$C$2:$AG$2&gt;=EDATE($BZ$5,-12))*('LY Sales '!$C$2:$AG$2&lt;=EDATE($BZ$6,-12)),'LY Sales '!$C$5:$AG$200))</f>
        <v>0</v>
      </c>
      <c r="BK298" cm="1">
        <f t="array" ref="BK298">IF($AW298="",0,SUMPRODUCT((TRIM('LY Sales '!$B$5:$B$200)=$AW298)*('LY Sales '!$C$2:$AG$2&gt;=EDATE($BZ$5,-12))*('LY Sales '!$C$2:$AG$2&lt;=EDATE($BZ$7,-12)),'LY Sales '!$C$5:$AG$200))</f>
        <v>0</v>
      </c>
      <c r="BL298" cm="1">
        <f t="array" ref="BL298">IF($AW298="",0,SUMPRODUCT((TRIM('LY Sales '!$B$5:$B$200)=$AW298)*('LY Sales '!$C$2:$AG$2&gt;=EDATE($BZ$5,-12))*('LY Sales '!$C$2:$AG$2&lt;=EDATE($BZ$6,-12))*('LY Sales '!$C$5:$AG$200&gt;0)))</f>
        <v>0</v>
      </c>
      <c r="BM298" cm="1">
        <f t="array" ref="BM298">IF(NOT(ISNUMBER($BG298)),0,SUMPRODUCT(('TY Sales Target'!$K$2:$AO$2&gt;=$BZ$5)*('TY Sales Target'!$K$2:$AO$2&lt;=$BZ$6),INDEX('TY Sales Target'!$K$5:$AO$300,$BG298,0)))</f>
        <v>0</v>
      </c>
      <c r="BN298" cm="1">
        <f t="array" ref="BN298">IF(NOT(ISNUMBER($BG298)),0,SUMPRODUCT(('TY Sales Target'!$K$2:$AO$2&gt;=$BZ$5)*('TY Sales Target'!$K$2:$AO$2&lt;=$BZ$7),INDEX('TY Sales Target'!$K$5:$AO$300,$BG298,0)))</f>
        <v>0</v>
      </c>
      <c r="BO298" cm="1">
        <f t="array" ref="BO298">IF($AW298="",0,IFERROR(_xlfn.SWITCH($BP298,"LY trend",$BI298*$BK298/$BJ298,"Target curve",$BI298*$BN298/$BM298,"Run rate",$BI298/$BZ$8*$BZ$9,0),0))</f>
        <v>0</v>
      </c>
      <c r="BP298" t="str">
        <f t="shared" si="130"/>
        <v/>
      </c>
      <c r="CB298" cm="1">
        <f t="array" ref="CB298">IF($AW298="",0,_xlfn.LET(_xlpm.k,IFERROR(_xlfn.XLOOKUP($AW298,$CD$6:$CD$21,$CE$6:$CE$21),$AW298),SUMPRODUCT((TRIM('Makeup '!$A$2:$A$300&amp;"")=_xlpm.k)*1,IFERROR('Makeup '!$F$2:$F$300*1,0))))</f>
        <v>0</v>
      </c>
      <c r="CF298" t="str" cm="1">
        <f t="array" ref="CF298">IF($AW298="","",_xlfn.LET(_xlpm.c,IFERROR(TRIM(INDEX('Sales and count'!$B$4:$B$300,$BF298)&amp;""),""),IF(OR(_xlpm.c="",_xlpm.c="0",LEFT(_xlpm.c,1)="#"),"Not set",_xlpm.c)))</f>
        <v/>
      </c>
      <c r="CH298" cm="1">
        <f t="array" ref="CH298">IF($AW298="",0,_xlfn.LET(_xlpm.k,IFERROR(_xlfn.XLOOKUP($AW298,$CD$6:$CD$21,$CE$6:$CE$21),$AW298),--(SUMPRODUCT((TRIM('Makeup '!$A$2:$A$300&amp;"")=_xlpm.k)*ISNUMBER('Makeup '!$F$2:$F$300))&gt;0)))</f>
        <v>0</v>
      </c>
      <c r="CI298">
        <f t="shared" si="133"/>
        <v>0</v>
      </c>
      <c r="CJ298" cm="1">
        <f t="array" ref="CJ298">IF($AW298="",0,--(SUMPRODUCT(--(TRIM(Footfall!$B$5:$B$301)=$AW298))&gt;0))</f>
        <v>0</v>
      </c>
      <c r="CK298" s="8" cm="1">
        <f t="array" ref="CK298">IF($AW298="",0,_xlfn.LET(_xlpm.r,IFERROR(MATCH(IFERROR(_xlfn.XLOOKUP($AW298,$BT$5:$BT$22,$BU$5:$BU$22),$AW298),TRIM('TY Beauty Target'!$B$5:$B$300&amp;""),0),""),IF(ISNUMBER(_xlpm.r),SUMPRODUCT(('TY Beauty Target'!$L$2:$AP$2&gt;=$U$4)*('TY Beauty Target'!$L$2:$AP$2&lt;=$U$5),INDEX('TY Beauty Target'!$L$5:$AP$300,_xlpm.r,0)),0)))</f>
        <v>0</v>
      </c>
    </row>
    <row r="299" spans="28:89" x14ac:dyDescent="0.25">
      <c r="AB299" s="40" t="str" cm="1">
        <f t="array" ref="AB299">IF($AI299="","",IF(LEFT($AI299,2)="C|",IF($C299="","",SUMPRODUCT($AP$5:$AP$302*($AO$5:$AO$302=$A299),$CK$5:$CK$302)),IF($AI299="CT",AB$13,IF(LEFT($AI299,3)="AM|",IF($C299="","",SUMPRODUCT($AP$5:$AP$302*($AN$5:$AN$302=$A299),$CK$5:$CK$302)),IF(LEFT($AI299,2)="S|",IF($AG299="","",INDEX($CK$5:$CK$302,$AH299)),IF($AI299="HDR","Makeup Target",""))))))</f>
        <v/>
      </c>
      <c r="AC299" s="41" t="str">
        <f t="shared" si="134"/>
        <v/>
      </c>
      <c r="AN299" s="8" t="str" cm="1">
        <f t="array" ref="AN299">IF($AW299="","",_xlfn.LET(_xlpm.sa,IFERROR(TRIM(INDEX('Sales and count'!$D$4:$D$300,$BF299)&amp;""),""),_xlpm.ta,IFERROR(TRIM(INDEX('TY Sales Target'!$F$5:$F$300,$BG299)&amp;""),""),IF(AND(_xlpm.sa&lt;&gt;"",LEFT(_xlpm.sa,1)&lt;&gt;"#",_xlpm.sa&lt;&gt;"0"),_xlpm.sa,IF(AND(_xlpm.ta&lt;&gt;"",LEFT(_xlpm.ta,1)&lt;&gt;"#",_xlpm.ta&lt;&gt;"0"),_xlpm.ta,IF(ISNUMBER($BG299),"Unassigned","")))))</f>
        <v/>
      </c>
      <c r="AO299" s="8" t="str" cm="1">
        <f t="array" ref="AO299">IF($AW299="","",_xlfn.LET(_xlpm.sa,IFERROR(TRIM(INDEX('Sales and count'!$C$4:$C$300,$BF299)&amp;""),""),_xlpm.ta,IFERROR(TRIM(INDEX('TY Sales Target'!$D$5:$D$300,$BG299)&amp;""),""),IF(AND(_xlpm.sa&lt;&gt;"",LEFT(_xlpm.sa,1)&lt;&gt;"#",_xlpm.sa&lt;&gt;"0"),_xlpm.sa,IF(AND(_xlpm.ta&lt;&gt;"",LEFT(_xlpm.ta,1)&lt;&gt;"#",_xlpm.ta&lt;&gt;"0"),_xlpm.ta,""))))</f>
        <v/>
      </c>
      <c r="AP299" s="8">
        <f t="shared" si="131"/>
        <v>0</v>
      </c>
      <c r="AQ299" s="8">
        <f t="shared" si="132"/>
        <v>0</v>
      </c>
      <c r="AR299" s="8" cm="1">
        <f t="array" ref="AR299">IF($BF299="",0,_xlfn.LET(_xlpm.d,IFERROR(--'Sales and count'!$G$2:$CC$2,0),SUMPRODUCT(('Sales and count'!$G$3:$CC$3="Total")*(_xlpm.d&gt;=$U$4)*(_xlpm.d&lt;=$U$5),INDEX('Sales and count'!$G$4:$CC$300,$BF299,0))))</f>
        <v>0</v>
      </c>
      <c r="AS299" s="8" cm="1">
        <f t="array" ref="AS299">IF($BF299="",0,_xlfn.LET(_xlpm.d,IFERROR(--'Sales and count'!$F$2:$CB$2,0),SUMPRODUCT(('Sales and count'!$G$3:$CC$3="Transactions")*(_xlpm.d&gt;=$U$4)*(_xlpm.d&lt;=$U$5),INDEX('Sales and count'!$G$4:$CC$300,$BF299,0))))</f>
        <v>0</v>
      </c>
      <c r="AT299" s="8" cm="1">
        <f t="array" ref="AT299">IF($AW299="",0,SUMPRODUCT((TRIM('LY Sales '!$B$5:$B$200)=$AW299)*('LY Sales '!$C$2:$AG$2&gt;=EDATE($U$4,-12))*('LY Sales '!$C$2:$AG$2&lt;=EDATE($U$5,-12)),'LY Sales '!$C$5:$AG$200))</f>
        <v>0</v>
      </c>
      <c r="AU299" s="8" cm="1">
        <f t="array" ref="AU299">IF($AW299="",0,SUMPRODUCT((TRIM('LY Transaction'!$B$5:$B$200)=$AW299)*('LY Transaction'!$C$2:$AG$2&gt;=EDATE($U$4,-12))*('LY Transaction'!$C$2:$AG$2&lt;=EDATE($U$5,-12)),'LY Transaction'!$C$5:$AG$200))</f>
        <v>0</v>
      </c>
      <c r="AV299" s="8" cm="1">
        <f t="array" ref="AV299">IF(NOT(ISNUMBER($BG299)),0,SUMPRODUCT(('TY Sales Target'!$K$2:$AO$2&gt;=$U$4)*('TY Sales Target'!$K$2:$AO$2&lt;=$U$5),INDEX('TY Sales Target'!$K$5:$AO$300,$BG299,0)))</f>
        <v>0</v>
      </c>
      <c r="AW299" s="8" t="str" cm="1">
        <f t="array" ref="AW299">IFERROR(INDEX(_xlfn.ANCHORARRAY($BR$5),ROWS($AW$5:AW299)),"")</f>
        <v/>
      </c>
      <c r="BB299" cm="1">
        <f t="array" ref="BB299">IF($AW299="",0,SUMPRODUCT((TRIM(Footfall!$B$5:$B$301)=$AW299)*(Footfall!$C$1:$BZ$1&gt;=$U$4)*(Footfall!$C$2:$BZ$2&lt;=$U$5)*(Footfall!$C$1:$BZ$1&lt;&gt;""),Footfall!$C$5:$BZ$301))</f>
        <v>0</v>
      </c>
      <c r="BC299" cm="1">
        <f t="array" ref="BC299">IF(OR($BB299&lt;=0,$BD$1="",$BF299=""),0,_xlfn.LET(_xlpm.d,IFERROR(--'Sales and count'!$F$2:$CB$2,0),SUMPRODUCT(('Sales and count'!$G$3:$CC$3="Transactions")*(_xlpm.d&gt;=$BD$1)*(_xlpm.d&lt;=$BD$2),INDEX('Sales and count'!$G$4:$CC$300,$BF299,0))))</f>
        <v>0</v>
      </c>
      <c r="BF299" t="str" cm="1">
        <f t="array" ref="BF299">IF($AW299="","",IFERROR(MATCH($AW299,TRIM('Sales and count'!$A$4:$A$300&amp;""),0),""))</f>
        <v/>
      </c>
      <c r="BG299" t="str" cm="1">
        <f t="array" ref="BG299">IF($AW299="","",IFERROR(MATCH(IFERROR(_xlfn.XLOOKUP($AW299,$BT$5:$BT$22,$BU$5:$BU$22),$AW299),TRIM('TY Sales Target'!$B$5:$B$300&amp;""),0),""))</f>
        <v/>
      </c>
      <c r="BH299" t="str" cm="1">
        <f t="array" ref="BH299">IF(ISNUMBER($BG299),_xlfn.LET(_xlpm.p,TRIM(INDEX('TY Sales Target'!$I$5:$I$300,$BG299)&amp;""),IF(_xlpm.p="","Not set",_xlpm.p)),"Not set")</f>
        <v>Not set</v>
      </c>
      <c r="BI299" cm="1">
        <f t="array" ref="BI299">IF($BF299="",0,_xlfn.LET(_xlpm.d,IFERROR(--'Sales and count'!$G$2:$CC$2,0),SUMPRODUCT(('Sales and count'!$G$3:$CC$3="Total")*(_xlpm.d&gt;=$BZ$5)*(_xlpm.d&lt;=$BZ$6),INDEX('Sales and count'!$G$4:$CC$300,$BF299,0))))</f>
        <v>0</v>
      </c>
      <c r="BJ299" cm="1">
        <f t="array" ref="BJ299">IF($AW299="",0,SUMPRODUCT((TRIM('LY Sales '!$B$5:$B$200)=$AW299)*('LY Sales '!$C$2:$AG$2&gt;=EDATE($BZ$5,-12))*('LY Sales '!$C$2:$AG$2&lt;=EDATE($BZ$6,-12)),'LY Sales '!$C$5:$AG$200))</f>
        <v>0</v>
      </c>
      <c r="BK299" cm="1">
        <f t="array" ref="BK299">IF($AW299="",0,SUMPRODUCT((TRIM('LY Sales '!$B$5:$B$200)=$AW299)*('LY Sales '!$C$2:$AG$2&gt;=EDATE($BZ$5,-12))*('LY Sales '!$C$2:$AG$2&lt;=EDATE($BZ$7,-12)),'LY Sales '!$C$5:$AG$200))</f>
        <v>0</v>
      </c>
      <c r="BL299" cm="1">
        <f t="array" ref="BL299">IF($AW299="",0,SUMPRODUCT((TRIM('LY Sales '!$B$5:$B$200)=$AW299)*('LY Sales '!$C$2:$AG$2&gt;=EDATE($BZ$5,-12))*('LY Sales '!$C$2:$AG$2&lt;=EDATE($BZ$6,-12))*('LY Sales '!$C$5:$AG$200&gt;0)))</f>
        <v>0</v>
      </c>
      <c r="BM299" cm="1">
        <f t="array" ref="BM299">IF(NOT(ISNUMBER($BG299)),0,SUMPRODUCT(('TY Sales Target'!$K$2:$AO$2&gt;=$BZ$5)*('TY Sales Target'!$K$2:$AO$2&lt;=$BZ$6),INDEX('TY Sales Target'!$K$5:$AO$300,$BG299,0)))</f>
        <v>0</v>
      </c>
      <c r="BN299" cm="1">
        <f t="array" ref="BN299">IF(NOT(ISNUMBER($BG299)),0,SUMPRODUCT(('TY Sales Target'!$K$2:$AO$2&gt;=$BZ$5)*('TY Sales Target'!$K$2:$AO$2&lt;=$BZ$7),INDEX('TY Sales Target'!$K$5:$AO$300,$BG299,0)))</f>
        <v>0</v>
      </c>
      <c r="BO299" cm="1">
        <f t="array" ref="BO299">IF($AW299="",0,IFERROR(_xlfn.SWITCH($BP299,"LY trend",$BI299*$BK299/$BJ299,"Target curve",$BI299*$BN299/$BM299,"Run rate",$BI299/$BZ$8*$BZ$9,0),0))</f>
        <v>0</v>
      </c>
      <c r="BP299" t="str">
        <f t="shared" si="130"/>
        <v/>
      </c>
      <c r="CB299" cm="1">
        <f t="array" ref="CB299">IF($AW299="",0,_xlfn.LET(_xlpm.k,IFERROR(_xlfn.XLOOKUP($AW299,$CD$6:$CD$21,$CE$6:$CE$21),$AW299),SUMPRODUCT((TRIM('Makeup '!$A$2:$A$300&amp;"")=_xlpm.k)*1,IFERROR('Makeup '!$F$2:$F$300*1,0))))</f>
        <v>0</v>
      </c>
      <c r="CF299" t="str" cm="1">
        <f t="array" ref="CF299">IF($AW299="","",_xlfn.LET(_xlpm.c,IFERROR(TRIM(INDEX('Sales and count'!$B$4:$B$300,$BF299)&amp;""),""),IF(OR(_xlpm.c="",_xlpm.c="0",LEFT(_xlpm.c,1)="#"),"Not set",_xlpm.c)))</f>
        <v/>
      </c>
      <c r="CH299" cm="1">
        <f t="array" ref="CH299">IF($AW299="",0,_xlfn.LET(_xlpm.k,IFERROR(_xlfn.XLOOKUP($AW299,$CD$6:$CD$21,$CE$6:$CE$21),$AW299),--(SUMPRODUCT((TRIM('Makeup '!$A$2:$A$300&amp;"")=_xlpm.k)*ISNUMBER('Makeup '!$F$2:$F$300))&gt;0)))</f>
        <v>0</v>
      </c>
      <c r="CI299">
        <f t="shared" si="133"/>
        <v>0</v>
      </c>
      <c r="CJ299" cm="1">
        <f t="array" ref="CJ299">IF($AW299="",0,--(SUMPRODUCT(--(TRIM(Footfall!$B$5:$B$301)=$AW299))&gt;0))</f>
        <v>0</v>
      </c>
      <c r="CK299" s="8" cm="1">
        <f t="array" ref="CK299">IF($AW299="",0,_xlfn.LET(_xlpm.r,IFERROR(MATCH(IFERROR(_xlfn.XLOOKUP($AW299,$BT$5:$BT$22,$BU$5:$BU$22),$AW299),TRIM('TY Beauty Target'!$B$5:$B$300&amp;""),0),""),IF(ISNUMBER(_xlpm.r),SUMPRODUCT(('TY Beauty Target'!$L$2:$AP$2&gt;=$U$4)*('TY Beauty Target'!$L$2:$AP$2&lt;=$U$5),INDEX('TY Beauty Target'!$L$5:$AP$300,_xlpm.r,0)),0)))</f>
        <v>0</v>
      </c>
    </row>
    <row r="300" spans="28:89" x14ac:dyDescent="0.25">
      <c r="AB300" s="40" t="str" cm="1">
        <f t="array" ref="AB300">IF($AI300="","",IF(LEFT($AI300,2)="C|",IF($C300="","",SUMPRODUCT($AP$5:$AP$302*($AO$5:$AO$302=$A300),$CK$5:$CK$302)),IF($AI300="CT",AB$13,IF(LEFT($AI300,3)="AM|",IF($C300="","",SUMPRODUCT($AP$5:$AP$302*($AN$5:$AN$302=$A300),$CK$5:$CK$302)),IF(LEFT($AI300,2)="S|",IF($AG300="","",INDEX($CK$5:$CK$302,$AH300)),IF($AI300="HDR","Makeup Target",""))))))</f>
        <v/>
      </c>
      <c r="AC300" s="41" t="str">
        <f t="shared" si="134"/>
        <v/>
      </c>
      <c r="AN300" s="8" t="str" cm="1">
        <f t="array" ref="AN300">IF($AW300="","",_xlfn.LET(_xlpm.sa,IFERROR(TRIM(INDEX('Sales and count'!$D$4:$D$300,$BF300)&amp;""),""),_xlpm.ta,IFERROR(TRIM(INDEX('TY Sales Target'!$F$5:$F$300,$BG300)&amp;""),""),IF(AND(_xlpm.sa&lt;&gt;"",LEFT(_xlpm.sa,1)&lt;&gt;"#",_xlpm.sa&lt;&gt;"0"),_xlpm.sa,IF(AND(_xlpm.ta&lt;&gt;"",LEFT(_xlpm.ta,1)&lt;&gt;"#",_xlpm.ta&lt;&gt;"0"),_xlpm.ta,IF(ISNUMBER($BG300),"Unassigned","")))))</f>
        <v/>
      </c>
      <c r="AO300" s="8" t="str" cm="1">
        <f t="array" ref="AO300">IF($AW300="","",_xlfn.LET(_xlpm.sa,IFERROR(TRIM(INDEX('Sales and count'!$C$4:$C$300,$BF300)&amp;""),""),_xlpm.ta,IFERROR(TRIM(INDEX('TY Sales Target'!$D$5:$D$300,$BG300)&amp;""),""),IF(AND(_xlpm.sa&lt;&gt;"",LEFT(_xlpm.sa,1)&lt;&gt;"#",_xlpm.sa&lt;&gt;"0"),_xlpm.sa,IF(AND(_xlpm.ta&lt;&gt;"",LEFT(_xlpm.ta,1)&lt;&gt;"#",_xlpm.ta&lt;&gt;"0"),_xlpm.ta,""))))</f>
        <v/>
      </c>
      <c r="AP300" s="8">
        <f t="shared" si="131"/>
        <v>0</v>
      </c>
      <c r="AQ300" s="8">
        <f t="shared" si="132"/>
        <v>0</v>
      </c>
      <c r="AR300" s="8" cm="1">
        <f t="array" ref="AR300">IF($BF300="",0,_xlfn.LET(_xlpm.d,IFERROR(--'Sales and count'!$G$2:$CC$2,0),SUMPRODUCT(('Sales and count'!$G$3:$CC$3="Total")*(_xlpm.d&gt;=$U$4)*(_xlpm.d&lt;=$U$5),INDEX('Sales and count'!$G$4:$CC$300,$BF300,0))))</f>
        <v>0</v>
      </c>
      <c r="AS300" s="8" cm="1">
        <f t="array" ref="AS300">IF($BF300="",0,_xlfn.LET(_xlpm.d,IFERROR(--'Sales and count'!$F$2:$CB$2,0),SUMPRODUCT(('Sales and count'!$G$3:$CC$3="Transactions")*(_xlpm.d&gt;=$U$4)*(_xlpm.d&lt;=$U$5),INDEX('Sales and count'!$G$4:$CC$300,$BF300,0))))</f>
        <v>0</v>
      </c>
      <c r="AT300" s="8" cm="1">
        <f t="array" ref="AT300">IF($AW300="",0,SUMPRODUCT((TRIM('LY Sales '!$B$5:$B$200)=$AW300)*('LY Sales '!$C$2:$AG$2&gt;=EDATE($U$4,-12))*('LY Sales '!$C$2:$AG$2&lt;=EDATE($U$5,-12)),'LY Sales '!$C$5:$AG$200))</f>
        <v>0</v>
      </c>
      <c r="AU300" s="8" cm="1">
        <f t="array" ref="AU300">IF($AW300="",0,SUMPRODUCT((TRIM('LY Transaction'!$B$5:$B$200)=$AW300)*('LY Transaction'!$C$2:$AG$2&gt;=EDATE($U$4,-12))*('LY Transaction'!$C$2:$AG$2&lt;=EDATE($U$5,-12)),'LY Transaction'!$C$5:$AG$200))</f>
        <v>0</v>
      </c>
      <c r="AV300" s="8" cm="1">
        <f t="array" ref="AV300">IF(NOT(ISNUMBER($BG300)),0,SUMPRODUCT(('TY Sales Target'!$K$2:$AO$2&gt;=$U$4)*('TY Sales Target'!$K$2:$AO$2&lt;=$U$5),INDEX('TY Sales Target'!$K$5:$AO$300,$BG300,0)))</f>
        <v>0</v>
      </c>
      <c r="AW300" s="8" t="str" cm="1">
        <f t="array" ref="AW300">IFERROR(INDEX(_xlfn.ANCHORARRAY($BR$5),ROWS($AW$5:AW300)),"")</f>
        <v/>
      </c>
      <c r="BB300" cm="1">
        <f t="array" ref="BB300">IF($AW300="",0,SUMPRODUCT((TRIM(Footfall!$B$5:$B$301)=$AW300)*(Footfall!$C$1:$BZ$1&gt;=$U$4)*(Footfall!$C$2:$BZ$2&lt;=$U$5)*(Footfall!$C$1:$BZ$1&lt;&gt;""),Footfall!$C$5:$BZ$301))</f>
        <v>0</v>
      </c>
      <c r="BC300" cm="1">
        <f t="array" ref="BC300">IF(OR($BB300&lt;=0,$BD$1="",$BF300=""),0,_xlfn.LET(_xlpm.d,IFERROR(--'Sales and count'!$F$2:$CB$2,0),SUMPRODUCT(('Sales and count'!$G$3:$CC$3="Transactions")*(_xlpm.d&gt;=$BD$1)*(_xlpm.d&lt;=$BD$2),INDEX('Sales and count'!$G$4:$CC$300,$BF300,0))))</f>
        <v>0</v>
      </c>
      <c r="BF300" t="str" cm="1">
        <f t="array" ref="BF300">IF($AW300="","",IFERROR(MATCH($AW300,TRIM('Sales and count'!$A$4:$A$300&amp;""),0),""))</f>
        <v/>
      </c>
      <c r="BG300" t="str" cm="1">
        <f t="array" ref="BG300">IF($AW300="","",IFERROR(MATCH(IFERROR(_xlfn.XLOOKUP($AW300,$BT$5:$BT$22,$BU$5:$BU$22),$AW300),TRIM('TY Sales Target'!$B$5:$B$300&amp;""),0),""))</f>
        <v/>
      </c>
      <c r="BH300" t="str" cm="1">
        <f t="array" ref="BH300">IF(ISNUMBER($BG300),_xlfn.LET(_xlpm.p,TRIM(INDEX('TY Sales Target'!$I$5:$I$300,$BG300)&amp;""),IF(_xlpm.p="","Not set",_xlpm.p)),"Not set")</f>
        <v>Not set</v>
      </c>
      <c r="BI300" cm="1">
        <f t="array" ref="BI300">IF($BF300="",0,_xlfn.LET(_xlpm.d,IFERROR(--'Sales and count'!$G$2:$CC$2,0),SUMPRODUCT(('Sales and count'!$G$3:$CC$3="Total")*(_xlpm.d&gt;=$BZ$5)*(_xlpm.d&lt;=$BZ$6),INDEX('Sales and count'!$G$4:$CC$300,$BF300,0))))</f>
        <v>0</v>
      </c>
      <c r="BJ300" cm="1">
        <f t="array" ref="BJ300">IF($AW300="",0,SUMPRODUCT((TRIM('LY Sales '!$B$5:$B$200)=$AW300)*('LY Sales '!$C$2:$AG$2&gt;=EDATE($BZ$5,-12))*('LY Sales '!$C$2:$AG$2&lt;=EDATE($BZ$6,-12)),'LY Sales '!$C$5:$AG$200))</f>
        <v>0</v>
      </c>
      <c r="BK300" cm="1">
        <f t="array" ref="BK300">IF($AW300="",0,SUMPRODUCT((TRIM('LY Sales '!$B$5:$B$200)=$AW300)*('LY Sales '!$C$2:$AG$2&gt;=EDATE($BZ$5,-12))*('LY Sales '!$C$2:$AG$2&lt;=EDATE($BZ$7,-12)),'LY Sales '!$C$5:$AG$200))</f>
        <v>0</v>
      </c>
      <c r="BL300" cm="1">
        <f t="array" ref="BL300">IF($AW300="",0,SUMPRODUCT((TRIM('LY Sales '!$B$5:$B$200)=$AW300)*('LY Sales '!$C$2:$AG$2&gt;=EDATE($BZ$5,-12))*('LY Sales '!$C$2:$AG$2&lt;=EDATE($BZ$6,-12))*('LY Sales '!$C$5:$AG$200&gt;0)))</f>
        <v>0</v>
      </c>
      <c r="BM300" cm="1">
        <f t="array" ref="BM300">IF(NOT(ISNUMBER($BG300)),0,SUMPRODUCT(('TY Sales Target'!$K$2:$AO$2&gt;=$BZ$5)*('TY Sales Target'!$K$2:$AO$2&lt;=$BZ$6),INDEX('TY Sales Target'!$K$5:$AO$300,$BG300,0)))</f>
        <v>0</v>
      </c>
      <c r="BN300" cm="1">
        <f t="array" ref="BN300">IF(NOT(ISNUMBER($BG300)),0,SUMPRODUCT(('TY Sales Target'!$K$2:$AO$2&gt;=$BZ$5)*('TY Sales Target'!$K$2:$AO$2&lt;=$BZ$7),INDEX('TY Sales Target'!$K$5:$AO$300,$BG300,0)))</f>
        <v>0</v>
      </c>
      <c r="BO300" cm="1">
        <f t="array" ref="BO300">IF($AW300="",0,IFERROR(_xlfn.SWITCH($BP300,"LY trend",$BI300*$BK300/$BJ300,"Target curve",$BI300*$BN300/$BM300,"Run rate",$BI300/$BZ$8*$BZ$9,0),0))</f>
        <v>0</v>
      </c>
      <c r="BP300" t="str">
        <f t="shared" si="130"/>
        <v/>
      </c>
      <c r="CB300" cm="1">
        <f t="array" ref="CB300">IF($AW300="",0,_xlfn.LET(_xlpm.k,IFERROR(_xlfn.XLOOKUP($AW300,$CD$6:$CD$21,$CE$6:$CE$21),$AW300),SUMPRODUCT((TRIM('Makeup '!$A$2:$A$300&amp;"")=_xlpm.k)*1,IFERROR('Makeup '!$F$2:$F$300*1,0))))</f>
        <v>0</v>
      </c>
      <c r="CF300" t="str" cm="1">
        <f t="array" ref="CF300">IF($AW300="","",_xlfn.LET(_xlpm.c,IFERROR(TRIM(INDEX('Sales and count'!$B$4:$B$300,$BF300)&amp;""),""),IF(OR(_xlpm.c="",_xlpm.c="0",LEFT(_xlpm.c,1)="#"),"Not set",_xlpm.c)))</f>
        <v/>
      </c>
      <c r="CH300" cm="1">
        <f t="array" ref="CH300">IF($AW300="",0,_xlfn.LET(_xlpm.k,IFERROR(_xlfn.XLOOKUP($AW300,$CD$6:$CD$21,$CE$6:$CE$21),$AW300),--(SUMPRODUCT((TRIM('Makeup '!$A$2:$A$300&amp;"")=_xlpm.k)*ISNUMBER('Makeup '!$F$2:$F$300))&gt;0)))</f>
        <v>0</v>
      </c>
      <c r="CI300">
        <f t="shared" si="133"/>
        <v>0</v>
      </c>
      <c r="CJ300" cm="1">
        <f t="array" ref="CJ300">IF($AW300="",0,--(SUMPRODUCT(--(TRIM(Footfall!$B$5:$B$301)=$AW300))&gt;0))</f>
        <v>0</v>
      </c>
      <c r="CK300" s="8" cm="1">
        <f t="array" ref="CK300">IF($AW300="",0,_xlfn.LET(_xlpm.r,IFERROR(MATCH(IFERROR(_xlfn.XLOOKUP($AW300,$BT$5:$BT$22,$BU$5:$BU$22),$AW300),TRIM('TY Beauty Target'!$B$5:$B$300&amp;""),0),""),IF(ISNUMBER(_xlpm.r),SUMPRODUCT(('TY Beauty Target'!$L$2:$AP$2&gt;=$U$4)*('TY Beauty Target'!$L$2:$AP$2&lt;=$U$5),INDEX('TY Beauty Target'!$L$5:$AP$300,_xlpm.r,0)),0)))</f>
        <v>0</v>
      </c>
    </row>
    <row r="301" spans="28:89" x14ac:dyDescent="0.25">
      <c r="AB301" s="40" t="str" cm="1">
        <f t="array" ref="AB301">IF($AI301="","",IF(LEFT($AI301,2)="C|",IF($C301="","",SUMPRODUCT($AP$5:$AP$302*($AO$5:$AO$302=$A301),$CK$5:$CK$302)),IF($AI301="CT",AB$13,IF(LEFT($AI301,3)="AM|",IF($C301="","",SUMPRODUCT($AP$5:$AP$302*($AN$5:$AN$302=$A301),$CK$5:$CK$302)),IF(LEFT($AI301,2)="S|",IF($AG301="","",INDEX($CK$5:$CK$302,$AH301)),IF($AI301="HDR","Makeup Target",""))))))</f>
        <v/>
      </c>
      <c r="AC301" s="41" t="str">
        <f t="shared" si="134"/>
        <v/>
      </c>
      <c r="AN301" s="8" t="str" cm="1">
        <f t="array" ref="AN301">IF($AW301="","",_xlfn.LET(_xlpm.sa,IFERROR(TRIM(INDEX('Sales and count'!$D$4:$D$300,$BF301)&amp;""),""),_xlpm.ta,IFERROR(TRIM(INDEX('TY Sales Target'!$F$5:$F$300,$BG301)&amp;""),""),IF(AND(_xlpm.sa&lt;&gt;"",LEFT(_xlpm.sa,1)&lt;&gt;"#",_xlpm.sa&lt;&gt;"0"),_xlpm.sa,IF(AND(_xlpm.ta&lt;&gt;"",LEFT(_xlpm.ta,1)&lt;&gt;"#",_xlpm.ta&lt;&gt;"0"),_xlpm.ta,IF(ISNUMBER($BG301),"Unassigned","")))))</f>
        <v/>
      </c>
      <c r="AO301" s="8" t="str" cm="1">
        <f t="array" ref="AO301">IF($AW301="","",_xlfn.LET(_xlpm.sa,IFERROR(TRIM(INDEX('Sales and count'!$C$4:$C$300,$BF301)&amp;""),""),_xlpm.ta,IFERROR(TRIM(INDEX('TY Sales Target'!$D$5:$D$300,$BG301)&amp;""),""),IF(AND(_xlpm.sa&lt;&gt;"",LEFT(_xlpm.sa,1)&lt;&gt;"#",_xlpm.sa&lt;&gt;"0"),_xlpm.sa,IF(AND(_xlpm.ta&lt;&gt;"",LEFT(_xlpm.ta,1)&lt;&gt;"#",_xlpm.ta&lt;&gt;"0"),_xlpm.ta,""))))</f>
        <v/>
      </c>
      <c r="AP301" s="8">
        <f t="shared" si="131"/>
        <v>0</v>
      </c>
      <c r="AQ301" s="8">
        <f t="shared" si="132"/>
        <v>0</v>
      </c>
      <c r="AR301" s="8" cm="1">
        <f t="array" ref="AR301">IF($BF301="",0,_xlfn.LET(_xlpm.d,IFERROR(--'Sales and count'!$G$2:$CC$2,0),SUMPRODUCT(('Sales and count'!$G$3:$CC$3="Total")*(_xlpm.d&gt;=$U$4)*(_xlpm.d&lt;=$U$5),INDEX('Sales and count'!$G$4:$CC$300,$BF301,0))))</f>
        <v>0</v>
      </c>
      <c r="AS301" s="8" cm="1">
        <f t="array" ref="AS301">IF($BF301="",0,_xlfn.LET(_xlpm.d,IFERROR(--'Sales and count'!$F$2:$CB$2,0),SUMPRODUCT(('Sales and count'!$G$3:$CC$3="Transactions")*(_xlpm.d&gt;=$U$4)*(_xlpm.d&lt;=$U$5),INDEX('Sales and count'!$G$4:$CC$300,$BF301,0))))</f>
        <v>0</v>
      </c>
      <c r="AT301" s="8" cm="1">
        <f t="array" ref="AT301">IF($AW301="",0,SUMPRODUCT((TRIM('LY Sales '!$B$5:$B$200)=$AW301)*('LY Sales '!$C$2:$AG$2&gt;=EDATE($U$4,-12))*('LY Sales '!$C$2:$AG$2&lt;=EDATE($U$5,-12)),'LY Sales '!$C$5:$AG$200))</f>
        <v>0</v>
      </c>
      <c r="AU301" s="8" cm="1">
        <f t="array" ref="AU301">IF($AW301="",0,SUMPRODUCT((TRIM('LY Transaction'!$B$5:$B$200)=$AW301)*('LY Transaction'!$C$2:$AG$2&gt;=EDATE($U$4,-12))*('LY Transaction'!$C$2:$AG$2&lt;=EDATE($U$5,-12)),'LY Transaction'!$C$5:$AG$200))</f>
        <v>0</v>
      </c>
      <c r="AV301" s="8" cm="1">
        <f t="array" ref="AV301">IF(NOT(ISNUMBER($BG301)),0,SUMPRODUCT(('TY Sales Target'!$K$2:$AO$2&gt;=$U$4)*('TY Sales Target'!$K$2:$AO$2&lt;=$U$5),INDEX('TY Sales Target'!$K$5:$AO$300,$BG301,0)))</f>
        <v>0</v>
      </c>
      <c r="AW301" s="8" t="str" cm="1">
        <f t="array" ref="AW301">IFERROR(INDEX(_xlfn.ANCHORARRAY($BR$5),ROWS($AW$5:AW301)),"")</f>
        <v/>
      </c>
      <c r="BB301" cm="1">
        <f t="array" ref="BB301">IF($AW301="",0,SUMPRODUCT((TRIM(Footfall!$B$5:$B$301)=$AW301)*(Footfall!$C$1:$BZ$1&gt;=$U$4)*(Footfall!$C$2:$BZ$2&lt;=$U$5)*(Footfall!$C$1:$BZ$1&lt;&gt;""),Footfall!$C$5:$BZ$301))</f>
        <v>0</v>
      </c>
      <c r="BC301" cm="1">
        <f t="array" ref="BC301">IF(OR($BB301&lt;=0,$BD$1="",$BF301=""),0,_xlfn.LET(_xlpm.d,IFERROR(--'Sales and count'!$F$2:$CB$2,0),SUMPRODUCT(('Sales and count'!$G$3:$CC$3="Transactions")*(_xlpm.d&gt;=$BD$1)*(_xlpm.d&lt;=$BD$2),INDEX('Sales and count'!$G$4:$CC$300,$BF301,0))))</f>
        <v>0</v>
      </c>
      <c r="BF301" t="str" cm="1">
        <f t="array" ref="BF301">IF($AW301="","",IFERROR(MATCH($AW301,TRIM('Sales and count'!$A$4:$A$300&amp;""),0),""))</f>
        <v/>
      </c>
      <c r="BG301" t="str" cm="1">
        <f t="array" ref="BG301">IF($AW301="","",IFERROR(MATCH(IFERROR(_xlfn.XLOOKUP($AW301,$BT$5:$BT$22,$BU$5:$BU$22),$AW301),TRIM('TY Sales Target'!$B$5:$B$300&amp;""),0),""))</f>
        <v/>
      </c>
      <c r="BH301" t="str" cm="1">
        <f t="array" ref="BH301">IF(ISNUMBER($BG301),_xlfn.LET(_xlpm.p,TRIM(INDEX('TY Sales Target'!$I$5:$I$300,$BG301)&amp;""),IF(_xlpm.p="","Not set",_xlpm.p)),"Not set")</f>
        <v>Not set</v>
      </c>
      <c r="BI301" cm="1">
        <f t="array" ref="BI301">IF($BF301="",0,_xlfn.LET(_xlpm.d,IFERROR(--'Sales and count'!$G$2:$CC$2,0),SUMPRODUCT(('Sales and count'!$G$3:$CC$3="Total")*(_xlpm.d&gt;=$BZ$5)*(_xlpm.d&lt;=$BZ$6),INDEX('Sales and count'!$G$4:$CC$300,$BF301,0))))</f>
        <v>0</v>
      </c>
      <c r="BJ301" cm="1">
        <f t="array" ref="BJ301">IF($AW301="",0,SUMPRODUCT((TRIM('LY Sales '!$B$5:$B$200)=$AW301)*('LY Sales '!$C$2:$AG$2&gt;=EDATE($BZ$5,-12))*('LY Sales '!$C$2:$AG$2&lt;=EDATE($BZ$6,-12)),'LY Sales '!$C$5:$AG$200))</f>
        <v>0</v>
      </c>
      <c r="BK301" cm="1">
        <f t="array" ref="BK301">IF($AW301="",0,SUMPRODUCT((TRIM('LY Sales '!$B$5:$B$200)=$AW301)*('LY Sales '!$C$2:$AG$2&gt;=EDATE($BZ$5,-12))*('LY Sales '!$C$2:$AG$2&lt;=EDATE($BZ$7,-12)),'LY Sales '!$C$5:$AG$200))</f>
        <v>0</v>
      </c>
      <c r="BL301" cm="1">
        <f t="array" ref="BL301">IF($AW301="",0,SUMPRODUCT((TRIM('LY Sales '!$B$5:$B$200)=$AW301)*('LY Sales '!$C$2:$AG$2&gt;=EDATE($BZ$5,-12))*('LY Sales '!$C$2:$AG$2&lt;=EDATE($BZ$6,-12))*('LY Sales '!$C$5:$AG$200&gt;0)))</f>
        <v>0</v>
      </c>
      <c r="BM301" cm="1">
        <f t="array" ref="BM301">IF(NOT(ISNUMBER($BG301)),0,SUMPRODUCT(('TY Sales Target'!$K$2:$AO$2&gt;=$BZ$5)*('TY Sales Target'!$K$2:$AO$2&lt;=$BZ$6),INDEX('TY Sales Target'!$K$5:$AO$300,$BG301,0)))</f>
        <v>0</v>
      </c>
      <c r="BN301" cm="1">
        <f t="array" ref="BN301">IF(NOT(ISNUMBER($BG301)),0,SUMPRODUCT(('TY Sales Target'!$K$2:$AO$2&gt;=$BZ$5)*('TY Sales Target'!$K$2:$AO$2&lt;=$BZ$7),INDEX('TY Sales Target'!$K$5:$AO$300,$BG301,0)))</f>
        <v>0</v>
      </c>
      <c r="BO301" cm="1">
        <f t="array" ref="BO301">IF($AW301="",0,IFERROR(_xlfn.SWITCH($BP301,"LY trend",$BI301*$BK301/$BJ301,"Target curve",$BI301*$BN301/$BM301,"Run rate",$BI301/$BZ$8*$BZ$9,0),0))</f>
        <v>0</v>
      </c>
      <c r="BP301" t="str">
        <f t="shared" si="130"/>
        <v/>
      </c>
      <c r="CB301" cm="1">
        <f t="array" ref="CB301">IF($AW301="",0,_xlfn.LET(_xlpm.k,IFERROR(_xlfn.XLOOKUP($AW301,$CD$6:$CD$21,$CE$6:$CE$21),$AW301),SUMPRODUCT((TRIM('Makeup '!$A$2:$A$300&amp;"")=_xlpm.k)*1,IFERROR('Makeup '!$F$2:$F$300*1,0))))</f>
        <v>0</v>
      </c>
      <c r="CF301" t="str" cm="1">
        <f t="array" ref="CF301">IF($AW301="","",_xlfn.LET(_xlpm.c,IFERROR(TRIM(INDEX('Sales and count'!$B$4:$B$300,$BF301)&amp;""),""),IF(OR(_xlpm.c="",_xlpm.c="0",LEFT(_xlpm.c,1)="#"),"Not set",_xlpm.c)))</f>
        <v/>
      </c>
      <c r="CH301" cm="1">
        <f t="array" ref="CH301">IF($AW301="",0,_xlfn.LET(_xlpm.k,IFERROR(_xlfn.XLOOKUP($AW301,$CD$6:$CD$21,$CE$6:$CE$21),$AW301),--(SUMPRODUCT((TRIM('Makeup '!$A$2:$A$300&amp;"")=_xlpm.k)*ISNUMBER('Makeup '!$F$2:$F$300))&gt;0)))</f>
        <v>0</v>
      </c>
      <c r="CI301">
        <f t="shared" si="133"/>
        <v>0</v>
      </c>
      <c r="CJ301" cm="1">
        <f t="array" ref="CJ301">IF($AW301="",0,--(SUMPRODUCT(--(TRIM(Footfall!$B$5:$B$301)=$AW301))&gt;0))</f>
        <v>0</v>
      </c>
      <c r="CK301" s="8" cm="1">
        <f t="array" ref="CK301">IF($AW301="",0,_xlfn.LET(_xlpm.r,IFERROR(MATCH(IFERROR(_xlfn.XLOOKUP($AW301,$BT$5:$BT$22,$BU$5:$BU$22),$AW301),TRIM('TY Beauty Target'!$B$5:$B$300&amp;""),0),""),IF(ISNUMBER(_xlpm.r),SUMPRODUCT(('TY Beauty Target'!$L$2:$AP$2&gt;=$U$4)*('TY Beauty Target'!$L$2:$AP$2&lt;=$U$5),INDEX('TY Beauty Target'!$L$5:$AP$300,_xlpm.r,0)),0)))</f>
        <v>0</v>
      </c>
    </row>
    <row r="302" spans="28:89" x14ac:dyDescent="0.25">
      <c r="AB302" s="40" t="str" cm="1">
        <f t="array" ref="AB302">IF($AI302="","",IF(LEFT($AI302,2)="C|",IF($C302="","",SUMPRODUCT($AP$5:$AP$302*($AO$5:$AO$302=$A302),$CK$5:$CK$302)),IF($AI302="CT",AB$13,IF(LEFT($AI302,3)="AM|",IF($C302="","",SUMPRODUCT($AP$5:$AP$302*($AN$5:$AN$302=$A302),$CK$5:$CK$302)),IF(LEFT($AI302,2)="S|",IF($AG302="","",INDEX($CK$5:$CK$302,$AH302)),IF($AI302="HDR","Makeup Target",""))))))</f>
        <v/>
      </c>
      <c r="AC302" s="41" t="str">
        <f t="shared" si="134"/>
        <v/>
      </c>
      <c r="AN302" s="8" t="str" cm="1">
        <f t="array" ref="AN302">IF($AW302="","",_xlfn.LET(_xlpm.sa,IFERROR(TRIM(INDEX('Sales and count'!$D$4:$D$300,$BF302)&amp;""),""),_xlpm.ta,IFERROR(TRIM(INDEX('TY Sales Target'!$F$5:$F$300,$BG302)&amp;""),""),IF(AND(_xlpm.sa&lt;&gt;"",LEFT(_xlpm.sa,1)&lt;&gt;"#",_xlpm.sa&lt;&gt;"0"),_xlpm.sa,IF(AND(_xlpm.ta&lt;&gt;"",LEFT(_xlpm.ta,1)&lt;&gt;"#",_xlpm.ta&lt;&gt;"0"),_xlpm.ta,IF(ISNUMBER($BG302),"Unassigned","")))))</f>
        <v/>
      </c>
      <c r="AO302" s="8" t="str" cm="1">
        <f t="array" ref="AO302">IF($AW302="","",_xlfn.LET(_xlpm.sa,IFERROR(TRIM(INDEX('Sales and count'!$C$4:$C$300,$BF302)&amp;""),""),_xlpm.ta,IFERROR(TRIM(INDEX('TY Sales Target'!$D$5:$D$300,$BG302)&amp;""),""),IF(AND(_xlpm.sa&lt;&gt;"",LEFT(_xlpm.sa,1)&lt;&gt;"#",_xlpm.sa&lt;&gt;"0"),_xlpm.sa,IF(AND(_xlpm.ta&lt;&gt;"",LEFT(_xlpm.ta,1)&lt;&gt;"#",_xlpm.ta&lt;&gt;"0"),_xlpm.ta,""))))</f>
        <v/>
      </c>
      <c r="AP302" s="8">
        <f t="shared" si="131"/>
        <v>0</v>
      </c>
      <c r="AQ302" s="8">
        <f t="shared" si="132"/>
        <v>0</v>
      </c>
      <c r="AR302" s="8" cm="1">
        <f t="array" ref="AR302">IF($BF302="",0,_xlfn.LET(_xlpm.d,IFERROR(--'Sales and count'!$G$2:$CC$2,0),SUMPRODUCT(('Sales and count'!$G$3:$CC$3="Total")*(_xlpm.d&gt;=$U$4)*(_xlpm.d&lt;=$U$5),INDEX('Sales and count'!$G$4:$CC$300,$BF302,0))))</f>
        <v>0</v>
      </c>
      <c r="AS302" s="8" cm="1">
        <f t="array" ref="AS302">IF($BF302="",0,_xlfn.LET(_xlpm.d,IFERROR(--'Sales and count'!$F$2:$CB$2,0),SUMPRODUCT(('Sales and count'!$G$3:$CC$3="Transactions")*(_xlpm.d&gt;=$U$4)*(_xlpm.d&lt;=$U$5),INDEX('Sales and count'!$G$4:$CC$300,$BF302,0))))</f>
        <v>0</v>
      </c>
      <c r="AT302" s="8" cm="1">
        <f t="array" ref="AT302">IF($AW302="",0,SUMPRODUCT((TRIM('LY Sales '!$B$5:$B$200)=$AW302)*('LY Sales '!$C$2:$AG$2&gt;=EDATE($U$4,-12))*('LY Sales '!$C$2:$AG$2&lt;=EDATE($U$5,-12)),'LY Sales '!$C$5:$AG$200))</f>
        <v>0</v>
      </c>
      <c r="AU302" s="8" cm="1">
        <f t="array" ref="AU302">IF($AW302="",0,SUMPRODUCT((TRIM('LY Transaction'!$B$5:$B$200)=$AW302)*('LY Transaction'!$C$2:$AG$2&gt;=EDATE($U$4,-12))*('LY Transaction'!$C$2:$AG$2&lt;=EDATE($U$5,-12)),'LY Transaction'!$C$5:$AG$200))</f>
        <v>0</v>
      </c>
      <c r="AV302" s="8" cm="1">
        <f t="array" ref="AV302">IF(NOT(ISNUMBER($BG302)),0,SUMPRODUCT(('TY Sales Target'!$K$2:$AO$2&gt;=$U$4)*('TY Sales Target'!$K$2:$AO$2&lt;=$U$5),INDEX('TY Sales Target'!$K$5:$AO$300,$BG302,0)))</f>
        <v>0</v>
      </c>
      <c r="AW302" s="8" t="str" cm="1">
        <f t="array" ref="AW302">IFERROR(INDEX(_xlfn.ANCHORARRAY($BR$5),ROWS($AW$5:AW302)),"")</f>
        <v/>
      </c>
      <c r="BB302" cm="1">
        <f t="array" ref="BB302">IF($AW302="",0,SUMPRODUCT((TRIM(Footfall!$B$5:$B$301)=$AW302)*(Footfall!$C$1:$BZ$1&gt;=$U$4)*(Footfall!$C$2:$BZ$2&lt;=$U$5)*(Footfall!$C$1:$BZ$1&lt;&gt;""),Footfall!$C$5:$BZ$301))</f>
        <v>0</v>
      </c>
      <c r="BC302" cm="1">
        <f t="array" ref="BC302">IF(OR($BB302&lt;=0,$BD$1="",$BF302=""),0,_xlfn.LET(_xlpm.d,IFERROR(--'Sales and count'!$F$2:$CB$2,0),SUMPRODUCT(('Sales and count'!$G$3:$CC$3="Transactions")*(_xlpm.d&gt;=$BD$1)*(_xlpm.d&lt;=$BD$2),INDEX('Sales and count'!$G$4:$CC$300,$BF302,0))))</f>
        <v>0</v>
      </c>
      <c r="BF302" t="str" cm="1">
        <f t="array" ref="BF302">IF($AW302="","",IFERROR(MATCH($AW302,TRIM('Sales and count'!$A$4:$A$300&amp;""),0),""))</f>
        <v/>
      </c>
      <c r="BG302" t="str" cm="1">
        <f t="array" ref="BG302">IF($AW302="","",IFERROR(MATCH(IFERROR(_xlfn.XLOOKUP($AW302,$BT$5:$BT$22,$BU$5:$BU$22),$AW302),TRIM('TY Sales Target'!$B$5:$B$300&amp;""),0),""))</f>
        <v/>
      </c>
      <c r="BH302" t="str" cm="1">
        <f t="array" ref="BH302">IF(ISNUMBER($BG302),_xlfn.LET(_xlpm.p,TRIM(INDEX('TY Sales Target'!$I$5:$I$300,$BG302)&amp;""),IF(_xlpm.p="","Not set",_xlpm.p)),"Not set")</f>
        <v>Not set</v>
      </c>
      <c r="BI302" cm="1">
        <f t="array" ref="BI302">IF($BF302="",0,_xlfn.LET(_xlpm.d,IFERROR(--'Sales and count'!$G$2:$CC$2,0),SUMPRODUCT(('Sales and count'!$G$3:$CC$3="Total")*(_xlpm.d&gt;=$BZ$5)*(_xlpm.d&lt;=$BZ$6),INDEX('Sales and count'!$G$4:$CC$300,$BF302,0))))</f>
        <v>0</v>
      </c>
      <c r="BJ302" cm="1">
        <f t="array" ref="BJ302">IF($AW302="",0,SUMPRODUCT((TRIM('LY Sales '!$B$5:$B$200)=$AW302)*('LY Sales '!$C$2:$AG$2&gt;=EDATE($BZ$5,-12))*('LY Sales '!$C$2:$AG$2&lt;=EDATE($BZ$6,-12)),'LY Sales '!$C$5:$AG$200))</f>
        <v>0</v>
      </c>
      <c r="BK302" cm="1">
        <f t="array" ref="BK302">IF($AW302="",0,SUMPRODUCT((TRIM('LY Sales '!$B$5:$B$200)=$AW302)*('LY Sales '!$C$2:$AG$2&gt;=EDATE($BZ$5,-12))*('LY Sales '!$C$2:$AG$2&lt;=EDATE($BZ$7,-12)),'LY Sales '!$C$5:$AG$200))</f>
        <v>0</v>
      </c>
      <c r="BL302" cm="1">
        <f t="array" ref="BL302">IF($AW302="",0,SUMPRODUCT((TRIM('LY Sales '!$B$5:$B$200)=$AW302)*('LY Sales '!$C$2:$AG$2&gt;=EDATE($BZ$5,-12))*('LY Sales '!$C$2:$AG$2&lt;=EDATE($BZ$6,-12))*('LY Sales '!$C$5:$AG$200&gt;0)))</f>
        <v>0</v>
      </c>
      <c r="BM302" cm="1">
        <f t="array" ref="BM302">IF(NOT(ISNUMBER($BG302)),0,SUMPRODUCT(('TY Sales Target'!$K$2:$AO$2&gt;=$BZ$5)*('TY Sales Target'!$K$2:$AO$2&lt;=$BZ$6),INDEX('TY Sales Target'!$K$5:$AO$300,$BG302,0)))</f>
        <v>0</v>
      </c>
      <c r="BN302" cm="1">
        <f t="array" ref="BN302">IF(NOT(ISNUMBER($BG302)),0,SUMPRODUCT(('TY Sales Target'!$K$2:$AO$2&gt;=$BZ$5)*('TY Sales Target'!$K$2:$AO$2&lt;=$BZ$7),INDEX('TY Sales Target'!$K$5:$AO$300,$BG302,0)))</f>
        <v>0</v>
      </c>
      <c r="BO302" cm="1">
        <f t="array" ref="BO302">IF($AW302="",0,IFERROR(_xlfn.SWITCH($BP302,"LY trend",$BI302*$BK302/$BJ302,"Target curve",$BI302*$BN302/$BM302,"Run rate",$BI302/$BZ$8*$BZ$9,0),0))</f>
        <v>0</v>
      </c>
      <c r="BP302" t="str">
        <f t="shared" si="130"/>
        <v/>
      </c>
      <c r="CB302" cm="1">
        <f t="array" ref="CB302">IF($AW302="",0,_xlfn.LET(_xlpm.k,IFERROR(_xlfn.XLOOKUP($AW302,$CD$6:$CD$21,$CE$6:$CE$21),$AW302),SUMPRODUCT((TRIM('Makeup '!$A$2:$A$300&amp;"")=_xlpm.k)*1,IFERROR('Makeup '!$F$2:$F$300*1,0))))</f>
        <v>0</v>
      </c>
      <c r="CF302" t="str" cm="1">
        <f t="array" ref="CF302">IF($AW302="","",_xlfn.LET(_xlpm.c,IFERROR(TRIM(INDEX('Sales and count'!$B$4:$B$300,$BF302)&amp;""),""),IF(OR(_xlpm.c="",_xlpm.c="0",LEFT(_xlpm.c,1)="#"),"Not set",_xlpm.c)))</f>
        <v/>
      </c>
      <c r="CH302" cm="1">
        <f t="array" ref="CH302">IF($AW302="",0,_xlfn.LET(_xlpm.k,IFERROR(_xlfn.XLOOKUP($AW302,$CD$6:$CD$21,$CE$6:$CE$21),$AW302),--(SUMPRODUCT((TRIM('Makeup '!$A$2:$A$300&amp;"")=_xlpm.k)*ISNUMBER('Makeup '!$F$2:$F$300))&gt;0)))</f>
        <v>0</v>
      </c>
      <c r="CI302">
        <f t="shared" si="133"/>
        <v>0</v>
      </c>
      <c r="CJ302" cm="1">
        <f t="array" ref="CJ302">IF($AW302="",0,--(SUMPRODUCT(--(TRIM(Footfall!$B$5:$B$301)=$AW302))&gt;0))</f>
        <v>0</v>
      </c>
      <c r="CK302" s="8" cm="1">
        <f t="array" ref="CK302">IF($AW302="",0,_xlfn.LET(_xlpm.r,IFERROR(MATCH(IFERROR(_xlfn.XLOOKUP($AW302,$BT$5:$BT$22,$BU$5:$BU$22),$AW302),TRIM('TY Beauty Target'!$B$5:$B$300&amp;""),0),""),IF(ISNUMBER(_xlpm.r),SUMPRODUCT(('TY Beauty Target'!$L$2:$AP$2&gt;=$U$4)*('TY Beauty Target'!$L$2:$AP$2&lt;=$U$5),INDEX('TY Beauty Target'!$L$5:$AP$300,_xlpm.r,0)),0)))</f>
        <v>0</v>
      </c>
    </row>
  </sheetData>
  <conditionalFormatting sqref="A30:A204">
    <cfRule type="expression" dxfId="180" priority="151">
      <formula>LEFT($AI30,2)="S|"</formula>
    </cfRule>
  </conditionalFormatting>
  <conditionalFormatting sqref="A30:C204">
    <cfRule type="expression" dxfId="179" priority="36">
      <formula>LEFT($AI30,3)="AM|"</formula>
    </cfRule>
  </conditionalFormatting>
  <conditionalFormatting sqref="A18:AD26">
    <cfRule type="expression" dxfId="178" priority="10">
      <formula>$A18&lt;&gt;""</formula>
    </cfRule>
  </conditionalFormatting>
  <conditionalFormatting sqref="A30:AD30 A31:AA204 AD31:AD204 AB31:AC302">
    <cfRule type="expression" dxfId="177" priority="5">
      <formula>$AI30="HDR"</formula>
    </cfRule>
    <cfRule type="expression" dxfId="176" priority="6">
      <formula>$AI30="CT"</formula>
    </cfRule>
    <cfRule type="expression" dxfId="175" priority="7">
      <formula>$AI30="SEC"</formula>
    </cfRule>
    <cfRule type="expression" dxfId="174" priority="8">
      <formula>LEFT($AI30,3)="AM|"</formula>
    </cfRule>
    <cfRule type="expression" dxfId="173" priority="9">
      <formula>AND($AI30&lt;&gt;"",$AI30&lt;&gt;"BL",$AI30&lt;&gt;"SEC")</formula>
    </cfRule>
  </conditionalFormatting>
  <conditionalFormatting sqref="D18:D26 P18:P26">
    <cfRule type="expression" dxfId="172" priority="215">
      <formula>AND(ISNUMBER(D18),D18&lt;&gt;0,D18&gt;=AVERAGE(D$18:D$26))</formula>
    </cfRule>
    <cfRule type="expression" dxfId="171" priority="214">
      <formula>AND(ISNUMBER(D18),D18&lt;&gt;0,D18&lt;AVERAGE(D$18:D$26))</formula>
    </cfRule>
  </conditionalFormatting>
  <conditionalFormatting sqref="D30:D204 P30:P204">
    <cfRule type="expression" dxfId="170" priority="132">
      <formula>AND(ISNUMBER(FIND("|",$AI30)),ISNUMBER(D30),D30&lt;&gt;0,D30&gt;=AVERAGEIFS(D$30:D$204,$AI$30:$AI$204,LEFT($AI30,FIND("|",$AI30))&amp;"*"))</formula>
    </cfRule>
    <cfRule type="expression" dxfId="169" priority="131">
      <formula>AND(ISNUMBER(FIND("|",$AI30)),ISNUMBER(D30),D30&lt;&gt;0,D30&lt;AVERAGEIFS(D$30:D$204,$AI$30:$AI$204,LEFT($AI30,FIND("|",$AI30))&amp;"*"))</formula>
    </cfRule>
  </conditionalFormatting>
  <conditionalFormatting sqref="F5:F6">
    <cfRule type="expression" dxfId="168" priority="207">
      <formula>AND(ISNUMBER(F5),F5&lt;0.7)</formula>
    </cfRule>
    <cfRule type="expression" dxfId="167" priority="206">
      <formula>AND(ISNUMBER(F5),F5&gt;=0.7,F5&lt;0.8)</formula>
    </cfRule>
    <cfRule type="expression" dxfId="166" priority="205">
      <formula>AND(ISNUMBER(F5),F5&gt;=0.8)</formula>
    </cfRule>
  </conditionalFormatting>
  <conditionalFormatting sqref="F7:F8">
    <cfRule type="expression" dxfId="165" priority="209">
      <formula>AND(ISNUMBER(F7),F7&gt;=0)</formula>
    </cfRule>
    <cfRule type="expression" dxfId="164" priority="208">
      <formula>AND(ISNUMBER(F7),F7&lt;0)</formula>
    </cfRule>
  </conditionalFormatting>
  <conditionalFormatting sqref="F13:G13">
    <cfRule type="expression" dxfId="163" priority="173">
      <formula>AND(ISNUMBER(F13),F13&lt;0)</formula>
    </cfRule>
    <cfRule type="expression" dxfId="162" priority="172">
      <formula>AND(ISNUMBER(F13),F13&gt;=0)</formula>
    </cfRule>
  </conditionalFormatting>
  <conditionalFormatting sqref="F18:G26">
    <cfRule type="expression" dxfId="161" priority="186">
      <formula>AND(ISNUMBER(F18),F18&lt;0)</formula>
    </cfRule>
  </conditionalFormatting>
  <conditionalFormatting sqref="F18:G27">
    <cfRule type="expression" dxfId="160" priority="185">
      <formula>AND(ISNUMBER(F18),F18&gt;=0)</formula>
    </cfRule>
  </conditionalFormatting>
  <conditionalFormatting sqref="F27:G27">
    <cfRule type="expression" dxfId="159" priority="64">
      <formula>AND(ISNUMBER(F27),F27&lt;0)</formula>
    </cfRule>
  </conditionalFormatting>
  <conditionalFormatting sqref="F30:G204">
    <cfRule type="expression" dxfId="158" priority="213">
      <formula>AND(ISNUMBER(F30),F30&lt;0)</formula>
    </cfRule>
    <cfRule type="expression" dxfId="157" priority="125">
      <formula>AND(ISNUMBER(F30),F30&gt;=0)</formula>
    </cfRule>
  </conditionalFormatting>
  <conditionalFormatting sqref="I13">
    <cfRule type="expression" dxfId="156" priority="168">
      <formula>AND(ISNUMBER(I13),I13&lt;0.7)</formula>
    </cfRule>
    <cfRule type="expression" dxfId="155" priority="170">
      <formula>AND(ISNUMBER(I13),I13&gt;=0.8)</formula>
    </cfRule>
    <cfRule type="expression" dxfId="154" priority="169">
      <formula>AND(ISNUMBER(I13),I13&gt;=0.7,I13&lt;0.8)</formula>
    </cfRule>
  </conditionalFormatting>
  <conditionalFormatting sqref="I18:I27">
    <cfRule type="expression" dxfId="153" priority="181">
      <formula>AND(ISNUMBER(I18),I18&lt;0.7)</formula>
    </cfRule>
    <cfRule type="expression" dxfId="152" priority="183">
      <formula>AND(ISNUMBER(I18),I18&gt;=0.8)</formula>
    </cfRule>
    <cfRule type="expression" dxfId="151" priority="182">
      <formula>AND(ISNUMBER(I18),I18&gt;=0.7,I18&lt;0.8)</formula>
    </cfRule>
  </conditionalFormatting>
  <conditionalFormatting sqref="I30:I204">
    <cfRule type="expression" dxfId="150" priority="212">
      <formula>AND(ISNUMBER(I30),I30&gt;=0.8)</formula>
    </cfRule>
    <cfRule type="expression" dxfId="149" priority="122">
      <formula>AND(ISNUMBER(I30),I30&lt;0.7)</formula>
    </cfRule>
    <cfRule type="expression" dxfId="148" priority="123">
      <formula>AND(ISNUMBER(I30),I30&gt;=0.7,I30&lt;0.8)</formula>
    </cfRule>
  </conditionalFormatting>
  <conditionalFormatting sqref="J3:J8">
    <cfRule type="expression" dxfId="147" priority="165">
      <formula>AND(ISNUMBER(J3),J3&gt;=0)</formula>
    </cfRule>
    <cfRule type="expression" dxfId="146" priority="166">
      <formula>AND(ISNUMBER(J3),J3&lt;0)</formula>
    </cfRule>
  </conditionalFormatting>
  <conditionalFormatting sqref="K18:K26">
    <cfRule type="expression" dxfId="145" priority="216">
      <formula>AND(ISNUMBER(K18),K18&lt;&gt;0,K18&lt;AVERAGE(K$18:K$26))</formula>
    </cfRule>
    <cfRule type="expression" dxfId="144" priority="217">
      <formula>AND(ISNUMBER(K18),K18&lt;&gt;0,K18&gt;=AVERAGE(K$18:K$26))</formula>
    </cfRule>
  </conditionalFormatting>
  <conditionalFormatting sqref="K30:K204">
    <cfRule type="expression" dxfId="143" priority="133">
      <formula>AND(ISNUMBER(FIND("|",$AI30)),ISNUMBER(K30),K30&lt;&gt;0,K30&lt;AVERAGEIFS(K$30:K$204,$AI$30:$AI$204,LEFT($AI30,FIND("|",$AI30))&amp;"*"))</formula>
    </cfRule>
    <cfRule type="expression" dxfId="142" priority="134">
      <formula>AND(ISNUMBER(FIND("|",$AI30)),ISNUMBER(K30),K30&lt;&gt;0,K30&gt;=AVERAGEIFS(K$30:K$204,$AI$30:$AI$204,LEFT($AI30,FIND("|",$AI30))&amp;"*"))</formula>
    </cfRule>
  </conditionalFormatting>
  <conditionalFormatting sqref="N13">
    <cfRule type="expression" dxfId="141" priority="49">
      <formula>AND(ISNUMBER(N13),N13&lt;0.7)</formula>
    </cfRule>
    <cfRule type="expression" dxfId="140" priority="51">
      <formula>AND(ISNUMBER(N13),N13&gt;=0.8)</formula>
    </cfRule>
    <cfRule type="expression" dxfId="139" priority="50">
      <formula>AND(ISNUMBER(N13),N13&gt;=0.7,N13&lt;0.8)</formula>
    </cfRule>
  </conditionalFormatting>
  <conditionalFormatting sqref="N18:N27">
    <cfRule type="expression" dxfId="138" priority="53">
      <formula>AND(ISNUMBER(N18),N18&gt;=0.7,N18&lt;0.8)</formula>
    </cfRule>
    <cfRule type="expression" dxfId="137" priority="52">
      <formula>AND(ISNUMBER(N18),N18&lt;0.7)</formula>
    </cfRule>
    <cfRule type="expression" dxfId="136" priority="54">
      <formula>AND(ISNUMBER(N18),N18&gt;=0.8)</formula>
    </cfRule>
  </conditionalFormatting>
  <conditionalFormatting sqref="N30:N204">
    <cfRule type="expression" dxfId="135" priority="46">
      <formula>AND(ISNUMBER(N30),N30&lt;0.7)</formula>
    </cfRule>
    <cfRule type="expression" dxfId="134" priority="48">
      <formula>AND(ISNUMBER(N30),N30&gt;=0.8)</formula>
    </cfRule>
    <cfRule type="expression" dxfId="133" priority="47">
      <formula>AND(ISNUMBER(N30),N30&gt;=0.7,N30&lt;0.8)</formula>
    </cfRule>
  </conditionalFormatting>
  <conditionalFormatting sqref="O13">
    <cfRule type="expression" dxfId="132" priority="41">
      <formula>AND(ISNUMBER(O13),O13&gt;=0)</formula>
    </cfRule>
    <cfRule type="expression" dxfId="131" priority="42">
      <formula>AND(ISNUMBER(O13),O13&lt;0)</formula>
    </cfRule>
  </conditionalFormatting>
  <conditionalFormatting sqref="O18:O27">
    <cfRule type="expression" dxfId="130" priority="31">
      <formula>AND(ISNUMBER(O18),O18&gt;=0)</formula>
    </cfRule>
    <cfRule type="expression" dxfId="129" priority="32">
      <formula>AND(ISNUMBER(O18),O18&lt;0)</formula>
    </cfRule>
  </conditionalFormatting>
  <conditionalFormatting sqref="O30:O204">
    <cfRule type="expression" dxfId="128" priority="40">
      <formula>AND(ISNUMBER(O30),O30&lt;0)</formula>
    </cfRule>
    <cfRule type="expression" dxfId="127" priority="39">
      <formula>AND(ISNUMBER(O30),O30&gt;=0)</formula>
    </cfRule>
  </conditionalFormatting>
  <conditionalFormatting sqref="R13:S13">
    <cfRule type="expression" dxfId="126" priority="175">
      <formula>AND(ISNUMBER(R13),R13&gt;=0)</formula>
    </cfRule>
    <cfRule type="expression" dxfId="125" priority="176">
      <formula>AND(ISNUMBER(R13),R13&lt;0)</formula>
    </cfRule>
  </conditionalFormatting>
  <conditionalFormatting sqref="R18:S26">
    <cfRule type="expression" dxfId="124" priority="189">
      <formula>AND(ISNUMBER(R18),R18&lt;0)</formula>
    </cfRule>
  </conditionalFormatting>
  <conditionalFormatting sqref="R18:S27">
    <cfRule type="expression" dxfId="123" priority="188">
      <formula>AND(ISNUMBER(R18),R18&gt;=0)</formula>
    </cfRule>
  </conditionalFormatting>
  <conditionalFormatting sqref="R27:S27">
    <cfRule type="expression" dxfId="122" priority="66">
      <formula>AND(ISNUMBER(R27),R27&lt;0)</formula>
    </cfRule>
  </conditionalFormatting>
  <conditionalFormatting sqref="R30:S204">
    <cfRule type="expression" dxfId="121" priority="128">
      <formula>AND(ISNUMBER(R30),R30&lt;0)</formula>
    </cfRule>
    <cfRule type="expression" dxfId="120" priority="127">
      <formula>AND(ISNUMBER(R30),R30&gt;=0)</formula>
    </cfRule>
  </conditionalFormatting>
  <conditionalFormatting sqref="T18:T26">
    <cfRule type="expression" dxfId="119" priority="220">
      <formula>AND(ISNUMBER(T18),T18&lt;&gt;0,T18&lt;$T$27)</formula>
    </cfRule>
    <cfRule type="expression" dxfId="118" priority="221">
      <formula>AND(ISNUMBER(T18),T18&lt;&gt;0,T18&gt;=$T$27)</formula>
    </cfRule>
  </conditionalFormatting>
  <conditionalFormatting sqref="T30:T204">
    <cfRule type="expression" dxfId="117" priority="138">
      <formula>AND(ISNUMBER(FIND("|",$AI30)),ISNUMBER(T30),T30&lt;&gt;0,T30&gt;=$R$4)</formula>
    </cfRule>
    <cfRule type="expression" dxfId="116" priority="137">
      <formula>AND(ISNUMBER(FIND("|",$AI30)),ISNUMBER(T30),T30&lt;&gt;0,T30&lt;$R$4)</formula>
    </cfRule>
  </conditionalFormatting>
  <conditionalFormatting sqref="V13">
    <cfRule type="expression" dxfId="115" priority="179">
      <formula>AND(ISNUMBER(V13),V13&lt;0)</formula>
    </cfRule>
    <cfRule type="expression" dxfId="114" priority="178">
      <formula>AND(ISNUMBER(V13),V13&gt;=0)</formula>
    </cfRule>
  </conditionalFormatting>
  <conditionalFormatting sqref="V18:V27">
    <cfRule type="expression" dxfId="113" priority="191">
      <formula>AND(ISNUMBER(V18),V18&gt;=0)</formula>
    </cfRule>
    <cfRule type="expression" dxfId="112" priority="192">
      <formula>AND(ISNUMBER(V18),V18&lt;0)</formula>
    </cfRule>
  </conditionalFormatting>
  <conditionalFormatting sqref="V30:V204">
    <cfRule type="expression" dxfId="111" priority="129">
      <formula>AND(ISNUMBER(V30),V30&gt;=0)</formula>
    </cfRule>
    <cfRule type="expression" dxfId="110" priority="130">
      <formula>AND(ISNUMBER(V30),V30&lt;0)</formula>
    </cfRule>
  </conditionalFormatting>
  <conditionalFormatting sqref="W30:Y204">
    <cfRule type="expression" dxfId="109" priority="68">
      <formula>AND(ISNUMBER(FIND("|",$AI30)),ISNUMBER(W30),W30&lt;&gt;0,W30&gt;=AVERAGEIFS(W$30:W$204,$AI$30:$AI$204,LEFT($AI30,FIND("|",$AI30))&amp;"*"))</formula>
    </cfRule>
    <cfRule type="expression" dxfId="108" priority="67">
      <formula>AND(ISNUMBER(FIND("|",$AI30)),ISNUMBER(W30),W30&lt;&gt;0,W30&lt;AVERAGEIFS(W$30:W$204,$AI$30:$AI$204,LEFT($AI30,FIND("|",$AI30))&amp;"*"))</formula>
    </cfRule>
  </conditionalFormatting>
  <conditionalFormatting sqref="W18:AD26">
    <cfRule type="expression" dxfId="107" priority="4">
      <formula>AND(ISNUMBER(W18),W18&lt;&gt;0,W18&gt;=AVERAGE(W$18:W$26))</formula>
    </cfRule>
    <cfRule type="expression" dxfId="106" priority="3">
      <formula>AND(ISNUMBER(W18),W18&lt;&gt;0,W18&lt;AVERAGE(W$18:W$26))</formula>
    </cfRule>
  </conditionalFormatting>
  <conditionalFormatting sqref="Z30:AD30 Z31:AA204 AD31:AD204 AB31:AC302">
    <cfRule type="expression" dxfId="105" priority="2">
      <formula>AND(ISNUMBER(FIND("|",$AI30)),ISNUMBER(Z30),Z30&lt;&gt;0,Z30&gt;=AVERAGEIFS(Z$30:Z$204,$AI$30:$AI$204,LEFT($AI30,FIND("|",$AI30))&amp;"*"))</formula>
    </cfRule>
    <cfRule type="expression" dxfId="104" priority="1">
      <formula>AND(ISNUMBER(FIND("|",$AI30)),ISNUMBER(Z30),Z30&lt;&gt;0,Z30&lt;AVERAGEIFS(Z$30:Z$204,$AI$30:$AI$204,LEFT($AI30,FIND("|",$AI30))&amp;"*"))</formula>
    </cfRule>
  </conditionalFormatting>
  <dataValidations count="8">
    <dataValidation type="list" allowBlank="1" showInputMessage="1" showErrorMessage="1" sqref="B7" xr:uid="{019A5800-AACB-47A8-8606-4715DFEAACC4}">
      <formula1>"All Stores,Like-for-Like (has LY sales)"</formula1>
    </dataValidation>
    <dataValidation type="list" allowBlank="1" showInputMessage="1" showErrorMessage="1" sqref="U4:U6" xr:uid="{880C7C97-CA5D-420D-836B-DF647F1427A9}">
      <formula1>$AY$6:$AY$41</formula1>
    </dataValidation>
    <dataValidation type="list" allowBlank="1" showInputMessage="1" showErrorMessage="1" sqref="B8" xr:uid="{79D5923A-1071-447A-9186-0C64B23BBFDB}">
      <formula1>_xlfn.ANCHORARRAY($BW$5)</formula1>
    </dataValidation>
    <dataValidation type="list" allowBlank="1" showInputMessage="1" showErrorMessage="1" sqref="B5" xr:uid="{016354D2-6516-45CD-80BC-C8DC3CFC8457}">
      <formula1>_xlfn.ANCHORARRAY($BX$5)</formula1>
    </dataValidation>
    <dataValidation type="list" allowBlank="1" showInputMessage="1" showErrorMessage="1" sqref="B4" xr:uid="{14C1275F-5F7B-488A-8814-139D0349A92D}">
      <formula1>_xlfn.ANCHORARRAY($BV$5)</formula1>
    </dataValidation>
    <dataValidation type="list" allowBlank="1" showInputMessage="1" showErrorMessage="1" sqref="B10:M10" xr:uid="{1D9F6F87-03AD-4143-B265-7E592C30E481}">
      <formula1>"✔"</formula1>
    </dataValidation>
    <dataValidation type="list" allowBlank="1" showInputMessage="1" showErrorMessage="1" sqref="B3" xr:uid="{B9C850BE-0581-4723-884D-FF1D0596D257}">
      <formula1>_xlfn.ANCHORARRAY($CG$5)</formula1>
    </dataValidation>
    <dataValidation type="list" allowBlank="1" showInputMessage="1" showErrorMessage="1" sqref="B6" xr:uid="{A0DAEA76-8024-473B-8515-C0866E59960C}">
      <formula1>"All Stores,With Footfall Device,Without Footfall Device"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8057-72C8-4F27-A2F4-E295F375F495}">
  <sheetPr>
    <tabColor rgb="FF92D050"/>
  </sheetPr>
  <dimension ref="A1:AA301"/>
  <sheetViews>
    <sheetView zoomScale="85" zoomScaleNormal="85" workbookViewId="0"/>
  </sheetViews>
  <sheetFormatPr defaultRowHeight="15" outlineLevelRow="1" x14ac:dyDescent="0.25"/>
  <cols>
    <col min="1" max="1" width="38.140625" customWidth="1"/>
    <col min="2" max="2" width="25.7109375" customWidth="1"/>
    <col min="3" max="6" width="18.140625" customWidth="1"/>
    <col min="7" max="7" width="20.7109375" customWidth="1"/>
    <col min="8" max="18" width="18.140625" customWidth="1"/>
    <col min="26" max="27" width="9.140625" style="142"/>
  </cols>
  <sheetData>
    <row r="1" spans="1:27" ht="18.75" x14ac:dyDescent="0.3">
      <c r="A1" s="46" t="s">
        <v>208</v>
      </c>
    </row>
    <row r="2" spans="1:27" x14ac:dyDescent="0.25">
      <c r="A2" s="47" t="str">
        <f>"Sales loaded through "&amp;TEXT('Sales Dashboard'!$AZ$6,"dd mmm yyyy")&amp;"  |  LY = same dates last year  |  Mapped stores only (excludes stores with no Area Manager/City, same as Dashboard)"</f>
        <v>Sales loaded through 26 Oct 2026  |  LY = same dates last year  |  Mapped stores only (excludes stores with no Area Manager/City, same as Dashboard)</v>
      </c>
      <c r="Z2" s="170" t="s">
        <v>428</v>
      </c>
      <c r="AA2" s="170"/>
    </row>
    <row r="3" spans="1:27" x14ac:dyDescent="0.25">
      <c r="A3" s="48" t="s">
        <v>1329</v>
      </c>
      <c r="B3" s="210" t="s">
        <v>1330</v>
      </c>
      <c r="C3" s="66"/>
      <c r="Z3" s="170"/>
      <c r="AA3" s="170"/>
    </row>
    <row r="4" spans="1:27" x14ac:dyDescent="0.25">
      <c r="A4" s="48" t="s">
        <v>134</v>
      </c>
      <c r="B4" s="210" t="s">
        <v>165</v>
      </c>
      <c r="C4" s="66" t="str">
        <f>_xlfn.LET(_xlpm.k,COUNTIF($B$6:$M$6,"✔"),_xlpm.c,IF($B$3="All",""," · "&amp;$B$3&amp;" only"),IF(OR($B$4="All",$B$4="Multiple (ticked)"),IF(_xlpm.k&gt;0,"Showing "&amp;_xlpm.k&amp;" ticked AM(s)"&amp;_xlpm.c&amp;" – all tables below follow this selection",IF($B$4="All","Showing whole business"&amp;_xlpm.c,"Tick at least one AM in row 6")),"Showing "&amp;$B$4&amp;" only"&amp;_xlpm.c&amp;" – all tables below follow this selection"))</f>
        <v>Showing whole business · KSA only</v>
      </c>
      <c r="Z4" s="170" t="s">
        <v>165</v>
      </c>
      <c r="AA4" s="170" t="s">
        <v>429</v>
      </c>
    </row>
    <row r="5" spans="1:27" ht="30" customHeight="1" x14ac:dyDescent="0.25">
      <c r="A5" s="205" t="s">
        <v>688</v>
      </c>
      <c r="B5" s="207" t="str" cm="1">
        <f t="array" ref="B5">IFERROR(INDEX(_xlfn._xlws.SORT(_xlfn.UNIQUE(_xlfn._xlws.FILTER('Sales Dashboard'!$AN$5:$AN$302,'Sales Dashboard'!$AN$5:$AN$302&lt;&gt;""))),COLUMNS($B$5:B5)),"")</f>
        <v>Ahlam Al Zahrani</v>
      </c>
      <c r="C5" s="207" t="str" cm="1">
        <f t="array" ref="C5">IFERROR(INDEX(_xlfn._xlws.SORT(_xlfn.UNIQUE(_xlfn._xlws.FILTER('Sales Dashboard'!$AN$5:$AN$302,'Sales Dashboard'!$AN$5:$AN$302&lt;&gt;""))),COLUMNS($B$5:C5)),"")</f>
        <v>Ahmed Jaffari</v>
      </c>
      <c r="D5" s="207" t="str" cm="1">
        <f t="array" ref="D5">IFERROR(INDEX(_xlfn._xlws.SORT(_xlfn.UNIQUE(_xlfn._xlws.FILTER('Sales Dashboard'!$AN$5:$AN$302,'Sales Dashboard'!$AN$5:$AN$302&lt;&gt;""))),COLUMNS($B$5:D5)),"")</f>
        <v>Hamzah Al Makhadam</v>
      </c>
      <c r="E5" s="207" t="str" cm="1">
        <f t="array" ref="E5">IFERROR(INDEX(_xlfn._xlws.SORT(_xlfn.UNIQUE(_xlfn._xlws.FILTER('Sales Dashboard'!$AN$5:$AN$302,'Sales Dashboard'!$AN$5:$AN$302&lt;&gt;""))),COLUMNS($B$5:E5)),"")</f>
        <v>Lina Al Ghathami</v>
      </c>
      <c r="F5" s="207" t="str" cm="1">
        <f t="array" ref="F5">IFERROR(INDEX(_xlfn._xlws.SORT(_xlfn.UNIQUE(_xlfn._xlws.FILTER('Sales Dashboard'!$AN$5:$AN$302,'Sales Dashboard'!$AN$5:$AN$302&lt;&gt;""))),COLUMNS($B$5:F5)),"")</f>
        <v>Maram Zamzami</v>
      </c>
      <c r="G5" s="207" t="str" cm="1">
        <f t="array" ref="G5">IFERROR(INDEX(_xlfn._xlws.SORT(_xlfn.UNIQUE(_xlfn._xlws.FILTER('Sales Dashboard'!$AN$5:$AN$302,'Sales Dashboard'!$AN$5:$AN$302&lt;&gt;""))),COLUMNS($B$5:G5)),"")</f>
        <v>Mohammed Haidar</v>
      </c>
      <c r="H5" s="207" t="str" cm="1">
        <f t="array" ref="H5">IFERROR(INDEX(_xlfn._xlws.SORT(_xlfn.UNIQUE(_xlfn._xlws.FILTER('Sales Dashboard'!$AN$5:$AN$302,'Sales Dashboard'!$AN$5:$AN$302&lt;&gt;""))),COLUMNS($B$5:H5)),"")</f>
        <v>Mohammed Sanad</v>
      </c>
      <c r="I5" s="207" t="str" cm="1">
        <f t="array" ref="I5">IFERROR(INDEX(_xlfn._xlws.SORT(_xlfn.UNIQUE(_xlfn._xlws.FILTER('Sales Dashboard'!$AN$5:$AN$302,'Sales Dashboard'!$AN$5:$AN$302&lt;&gt;""))),COLUMNS($B$5:I5)),"")</f>
        <v>No assignment</v>
      </c>
      <c r="J5" s="207" t="str" cm="1">
        <f t="array" ref="J5">IFERROR(INDEX(_xlfn._xlws.SORT(_xlfn.UNIQUE(_xlfn._xlws.FILTER('Sales Dashboard'!$AN$5:$AN$302,'Sales Dashboard'!$AN$5:$AN$302&lt;&gt;""))),COLUMNS($B$5:J5)),"")</f>
        <v>Saleh Bin Hoiel</v>
      </c>
      <c r="K5" s="207" t="str" cm="1">
        <f t="array" ref="K5">IFERROR(INDEX(_xlfn._xlws.SORT(_xlfn.UNIQUE(_xlfn._xlws.FILTER('Sales Dashboard'!$AN$5:$AN$302,'Sales Dashboard'!$AN$5:$AN$302&lt;&gt;""))),COLUMNS($B$5:K5)),"")</f>
        <v/>
      </c>
      <c r="L5" s="207" t="str" cm="1">
        <f t="array" ref="L5">IFERROR(INDEX(_xlfn._xlws.SORT(_xlfn.UNIQUE(_xlfn._xlws.FILTER('Sales Dashboard'!$AN$5:$AN$302,'Sales Dashboard'!$AN$5:$AN$302&lt;&gt;""))),COLUMNS($B$5:L5)),"")</f>
        <v/>
      </c>
      <c r="M5" s="207" t="str" cm="1">
        <f t="array" ref="M5">IFERROR(INDEX(_xlfn._xlws.SORT(_xlfn.UNIQUE(_xlfn._xlws.FILTER('Sales Dashboard'!$AN$5:$AN$302,'Sales Dashboard'!$AN$5:$AN$302&lt;&gt;""))),COLUMNS($B$5:M5)),"")</f>
        <v/>
      </c>
      <c r="Z5" s="142" t="str" cm="1">
        <f t="array" ref="Z5:Z13">_xlfn.VSTACK("Multiple (ticked)",_xlfn._xlws.SORT(_xlfn.UNIQUE(_xlfn._xlws.FILTER('Sales Dashboard'!$AN$5:$AN$302,('Sales Dashboard'!$AN$5:$AN$302&lt;&gt;"")*(($B$3="All")+('Sales Dashboard'!$CF$5:$CF$302=$B$3))))))</f>
        <v>Multiple (ticked)</v>
      </c>
      <c r="AA5" s="142">
        <f>--AND('Sales Dashboard'!AN5&lt;&gt;"",OR($B$3="All",'Sales Dashboard'!CF5=$B$3),IF(OR($B$4="All",$B$4="Multiple (ticked)"),IF(COUNTIF($B$6:$M$6,"✔")&gt;0,COUNTIFS($B$5:$M$5,'Sales Dashboard'!AN5,$B$6:$M$6,"✔")&gt;0,$B$4="All"),'Sales Dashboard'!AN5=$B$4))</f>
        <v>1</v>
      </c>
    </row>
    <row r="6" spans="1:27" ht="15.95" customHeight="1" x14ac:dyDescent="0.25">
      <c r="A6" s="205" t="s">
        <v>689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Z6" s="142" t="str">
        <v>Ahlam Al Zahrani</v>
      </c>
      <c r="AA6" s="142">
        <f>--AND('Sales Dashboard'!AN6&lt;&gt;"",OR($B$3="All",'Sales Dashboard'!CF6=$B$3),IF(OR($B$4="All",$B$4="Multiple (ticked)"),IF(COUNTIF($B$6:$M$6,"✔")&gt;0,COUNTIFS($B$5:$M$5,'Sales Dashboard'!AN6,$B$6:$M$6,"✔")&gt;0,$B$4="All"),'Sales Dashboard'!AN6=$B$4))</f>
        <v>1</v>
      </c>
    </row>
    <row r="7" spans="1:27" ht="15.75" customHeight="1" x14ac:dyDescent="0.25">
      <c r="A7" s="49" t="s">
        <v>402</v>
      </c>
      <c r="Z7" s="142" t="str">
        <v>Ahmed Jaffari</v>
      </c>
      <c r="AA7" s="142">
        <f>--AND('Sales Dashboard'!AN7&lt;&gt;"",OR($B$3="All",'Sales Dashboard'!CF7=$B$3),IF(OR($B$4="All",$B$4="Multiple (ticked)"),IF(COUNTIF($B$6:$M$6,"✔")&gt;0,COUNTIFS($B$5:$M$5,'Sales Dashboard'!AN7,$B$6:$M$6,"✔")&gt;0,$B$4="All"),'Sales Dashboard'!AN7=$B$4))</f>
        <v>1</v>
      </c>
    </row>
    <row r="8" spans="1:27" ht="30" customHeight="1" x14ac:dyDescent="0.25">
      <c r="A8" s="50" t="s">
        <v>227</v>
      </c>
      <c r="B8" s="50" t="str" cm="1">
        <f t="array" ref="B8">INDEX($A$115:$A$119,COLUMN()-1)</f>
        <v>WK1</v>
      </c>
      <c r="C8" s="50" t="str" cm="1">
        <f t="array" ref="C8">INDEX($A$115:$A$119,COLUMN()-1)</f>
        <v>WK2</v>
      </c>
      <c r="D8" s="50" t="str" cm="1">
        <f t="array" ref="D8">INDEX($A$115:$A$119,COLUMN()-1)</f>
        <v>WK3</v>
      </c>
      <c r="E8" s="50" t="str" cm="1">
        <f t="array" ref="E8">INDEX($A$115:$A$119,COLUMN()-1)</f>
        <v>WK4</v>
      </c>
      <c r="F8" s="50" t="str" cm="1">
        <f t="array" ref="F8">INDEX($A$115:$A$119,COLUMN()-1)</f>
        <v>WK5</v>
      </c>
      <c r="G8" s="143" t="s">
        <v>426</v>
      </c>
      <c r="H8" s="144" t="str">
        <f>"Selected: "&amp;TEXT('Sales Dashboard'!$U$4,"d mmm")&amp;" – "&amp;TEXT('Sales Dashboard'!$U$5,"d mmm")</f>
        <v>Selected: 1 Oct – 26 Oct</v>
      </c>
      <c r="Z8" s="142" t="str">
        <v>Hamzah Al Makhadam</v>
      </c>
      <c r="AA8" s="142">
        <f>--AND('Sales Dashboard'!AN8&lt;&gt;"",OR($B$3="All",'Sales Dashboard'!CF8=$B$3),IF(OR($B$4="All",$B$4="Multiple (ticked)"),IF(COUNTIF($B$6:$M$6,"✔")&gt;0,COUNTIFS($B$5:$M$5,'Sales Dashboard'!AN8,$B$6:$M$6,"✔")&gt;0,$B$4="All"),'Sales Dashboard'!AN8=$B$4))</f>
        <v>1</v>
      </c>
    </row>
    <row r="9" spans="1:27" ht="15" customHeight="1" x14ac:dyDescent="0.25">
      <c r="A9" s="45" t="s">
        <v>210</v>
      </c>
      <c r="B9" s="145">
        <f>INDEX($B$115:$B$119,MATCH(B$8,$A$115:$A$119,0))</f>
        <v>46296</v>
      </c>
      <c r="C9" s="145">
        <f>INDEX($B$115:$B$119,MATCH(C$8,$A$115:$A$119,0))</f>
        <v>46299</v>
      </c>
      <c r="D9" s="145">
        <f>INDEX($B$115:$B$119,MATCH(D$8,$A$115:$A$119,0))</f>
        <v>46306</v>
      </c>
      <c r="E9" s="145">
        <f>INDEX($B$115:$B$119,MATCH(E$8,$A$115:$A$119,0))</f>
        <v>46313</v>
      </c>
      <c r="F9" s="145">
        <f>INDEX($B$115:$B$119,MATCH(F$8,$A$115:$A$119,0))</f>
        <v>46320</v>
      </c>
      <c r="G9" s="146">
        <f>MIN(B9:F9)</f>
        <v>46296</v>
      </c>
      <c r="H9" s="147">
        <f>'Sales Dashboard'!$U$4</f>
        <v>46296</v>
      </c>
      <c r="Z9" s="142" t="str">
        <v>Lina Al Ghathami</v>
      </c>
      <c r="AA9" s="142">
        <f>--AND('Sales Dashboard'!AN9&lt;&gt;"",OR($B$3="All",'Sales Dashboard'!CF9=$B$3),IF(OR($B$4="All",$B$4="Multiple (ticked)"),IF(COUNTIF($B$6:$M$6,"✔")&gt;0,COUNTIFS($B$5:$M$5,'Sales Dashboard'!AN9,$B$6:$M$6,"✔")&gt;0,$B$4="All"),'Sales Dashboard'!AN9=$B$4))</f>
        <v>1</v>
      </c>
    </row>
    <row r="10" spans="1:27" ht="15" customHeight="1" x14ac:dyDescent="0.25">
      <c r="A10" s="45" t="s">
        <v>211</v>
      </c>
      <c r="B10" s="145">
        <f>INDEX($C$115:$C$119,MATCH(B$8,$A$115:$A$119,0))</f>
        <v>46298</v>
      </c>
      <c r="C10" s="145">
        <f>INDEX($C$115:$C$119,MATCH(C$8,$A$115:$A$119,0))</f>
        <v>46305</v>
      </c>
      <c r="D10" s="145">
        <f>INDEX($C$115:$C$119,MATCH(D$8,$A$115:$A$119,0))</f>
        <v>46312</v>
      </c>
      <c r="E10" s="145">
        <f>INDEX($C$115:$C$119,MATCH(E$8,$A$115:$A$119,0))</f>
        <v>46319</v>
      </c>
      <c r="F10" s="145">
        <f>INDEX($C$115:$C$119,MATCH(F$8,$A$115:$A$119,0))</f>
        <v>46326</v>
      </c>
      <c r="G10" s="146">
        <f>MAX(B10:F10)</f>
        <v>46326</v>
      </c>
      <c r="H10" s="147">
        <f>'Sales Dashboard'!$U$5</f>
        <v>46321</v>
      </c>
      <c r="Z10" s="142" t="str">
        <v>Maram Zamzami</v>
      </c>
      <c r="AA10" s="142">
        <f>--AND('Sales Dashboard'!AN10&lt;&gt;"",OR($B$3="All",'Sales Dashboard'!CF10=$B$3),IF(OR($B$4="All",$B$4="Multiple (ticked)"),IF(COUNTIF($B$6:$M$6,"✔")&gt;0,COUNTIFS($B$5:$M$5,'Sales Dashboard'!AN10,$B$6:$M$6,"✔")&gt;0,$B$4="All"),'Sales Dashboard'!AN10=$B$4))</f>
        <v>1</v>
      </c>
    </row>
    <row r="11" spans="1:27" ht="15" customHeight="1" x14ac:dyDescent="0.25">
      <c r="A11" s="45" t="s">
        <v>403</v>
      </c>
      <c r="B11" s="148">
        <f t="shared" ref="B11:H11" si="0">MAX(0,B$10-B$9+1)</f>
        <v>3</v>
      </c>
      <c r="C11" s="148">
        <f t="shared" si="0"/>
        <v>7</v>
      </c>
      <c r="D11" s="148">
        <f t="shared" si="0"/>
        <v>7</v>
      </c>
      <c r="E11" s="148">
        <f t="shared" si="0"/>
        <v>7</v>
      </c>
      <c r="F11" s="148">
        <f t="shared" si="0"/>
        <v>7</v>
      </c>
      <c r="G11" s="149">
        <f t="shared" si="0"/>
        <v>31</v>
      </c>
      <c r="H11" s="150">
        <f t="shared" si="0"/>
        <v>26</v>
      </c>
      <c r="Z11" s="142" t="str">
        <v>Mohammed Haidar</v>
      </c>
      <c r="AA11" s="142">
        <f>--AND('Sales Dashboard'!AN11&lt;&gt;"",OR($B$3="All",'Sales Dashboard'!CF11=$B$3),IF(OR($B$4="All",$B$4="Multiple (ticked)"),IF(COUNTIF($B$6:$M$6,"✔")&gt;0,COUNTIFS($B$5:$M$5,'Sales Dashboard'!AN11,$B$6:$M$6,"✔")&gt;0,$B$4="All"),'Sales Dashboard'!AN11=$B$4))</f>
        <v>1</v>
      </c>
    </row>
    <row r="12" spans="1:27" ht="15" customHeight="1" x14ac:dyDescent="0.25">
      <c r="A12" s="45" t="s">
        <v>404</v>
      </c>
      <c r="B12" s="148">
        <f>MAX(0,MIN(B$10,'Sales Dashboard'!$AZ$6)-B$9+1)</f>
        <v>3</v>
      </c>
      <c r="C12" s="148">
        <f>MAX(0,MIN(C$10,'Sales Dashboard'!$AZ$6)-C$9+1)</f>
        <v>7</v>
      </c>
      <c r="D12" s="148">
        <f>MAX(0,MIN(D$10,'Sales Dashboard'!$AZ$6)-D$9+1)</f>
        <v>7</v>
      </c>
      <c r="E12" s="148">
        <f>MAX(0,MIN(E$10,'Sales Dashboard'!$AZ$6)-E$9+1)</f>
        <v>7</v>
      </c>
      <c r="F12" s="148">
        <f>MAX(0,MIN(F$10,'Sales Dashboard'!$AZ$6)-F$9+1)</f>
        <v>2</v>
      </c>
      <c r="G12" s="149">
        <f>MAX(0,MIN(G$10,'Sales Dashboard'!$AZ$6)-G$9+1)</f>
        <v>26</v>
      </c>
      <c r="H12" s="150">
        <f>MAX(0,MIN(H$10,'Sales Dashboard'!$AZ$6)-H$9+1)</f>
        <v>26</v>
      </c>
      <c r="Z12" s="142" t="str">
        <v>Mohammed Sanad</v>
      </c>
      <c r="AA12" s="142">
        <f>--AND('Sales Dashboard'!AN12&lt;&gt;"",OR($B$3="All",'Sales Dashboard'!CF12=$B$3),IF(OR($B$4="All",$B$4="Multiple (ticked)"),IF(COUNTIF($B$6:$M$6,"✔")&gt;0,COUNTIFS($B$5:$M$5,'Sales Dashboard'!AN12,$B$6:$M$6,"✔")&gt;0,$B$4="All"),'Sales Dashboard'!AN12=$B$4))</f>
        <v>1</v>
      </c>
    </row>
    <row r="13" spans="1:27" ht="15" customHeight="1" x14ac:dyDescent="0.25">
      <c r="A13" s="151" t="s">
        <v>405</v>
      </c>
      <c r="B13" s="152"/>
      <c r="C13" s="152"/>
      <c r="D13" s="152"/>
      <c r="E13" s="152"/>
      <c r="F13" s="152"/>
      <c r="G13" s="152"/>
      <c r="H13" s="152"/>
      <c r="Z13" s="142" t="str">
        <v>Saleh Bin Hoiel</v>
      </c>
      <c r="AA13" s="142">
        <f>--AND('Sales Dashboard'!AN13&lt;&gt;"",OR($B$3="All",'Sales Dashboard'!CF13=$B$3),IF(OR($B$4="All",$B$4="Multiple (ticked)"),IF(COUNTIF($B$6:$M$6,"✔")&gt;0,COUNTIFS($B$5:$M$5,'Sales Dashboard'!AN13,$B$6:$M$6,"✔")&gt;0,$B$4="All"),'Sales Dashboard'!AN13=$B$4))</f>
        <v>1</v>
      </c>
    </row>
    <row r="14" spans="1:27" ht="15" customHeight="1" x14ac:dyDescent="0.25">
      <c r="A14" s="153" t="s">
        <v>406</v>
      </c>
      <c r="B14" s="154" cm="1">
        <f t="array" ref="B14">_xlfn.LET(_xlpm.m,ISNUMBER(MATCH(TRIM('TY Sales Target'!$B$5:$B$300),_xlfn._xlws.FILTER('Sales Dashboard'!$AW$5:$AW$301,$AA$5:$AA$301=1),0)),_xlpm.dd,'TY Sales Target'!$K$2:$AO$2,SUMPRODUCT(_xlpm.m*(_xlpm.dd&gt;=B$9)*(_xlpm.dd&lt;=B$10),'TY Sales Target'!$K$5:$AO$300))</f>
        <v>5099265.9022147739</v>
      </c>
      <c r="C14" s="154" cm="1">
        <f t="array" ref="C14">_xlfn.LET(_xlpm.m,ISNUMBER(MATCH(TRIM('TY Sales Target'!$B$5:$B$300),_xlfn._xlws.FILTER('Sales Dashboard'!$AW$5:$AW$301,$AA$5:$AA$301=1),0)),_xlpm.dd,'TY Sales Target'!$K$2:$AO$2,SUMPRODUCT(_xlpm.m*(_xlpm.dd&gt;=C$9)*(_xlpm.dd&lt;=C$10),'TY Sales Target'!$K$5:$AO$300))</f>
        <v>5864732.13944316</v>
      </c>
      <c r="D14" s="154" cm="1">
        <f t="array" ref="D14">_xlfn.LET(_xlpm.m,ISNUMBER(MATCH(TRIM('TY Sales Target'!$B$5:$B$300),_xlfn._xlws.FILTER('Sales Dashboard'!$AW$5:$AW$301,$AA$5:$AA$301=1),0)),_xlpm.dd,'TY Sales Target'!$K$2:$AO$2,SUMPRODUCT(_xlpm.m*(_xlpm.dd&gt;=D$9)*(_xlpm.dd&lt;=D$10),'TY Sales Target'!$K$5:$AO$300))</f>
        <v>5173329.61001701</v>
      </c>
      <c r="E14" s="154" cm="1">
        <f t="array" ref="E14">_xlfn.LET(_xlpm.m,ISNUMBER(MATCH(TRIM('TY Sales Target'!$B$5:$B$300),_xlfn._xlws.FILTER('Sales Dashboard'!$AW$5:$AW$301,$AA$5:$AA$301=1),0)),_xlpm.dd,'TY Sales Target'!$K$2:$AO$2,SUMPRODUCT(_xlpm.m*(_xlpm.dd&gt;=E$9)*(_xlpm.dd&lt;=E$10),'TY Sales Target'!$K$5:$AO$300))</f>
        <v>4848118.5982609242</v>
      </c>
      <c r="F14" s="154" cm="1">
        <f t="array" ref="F14">_xlfn.LET(_xlpm.m,ISNUMBER(MATCH(TRIM('TY Sales Target'!$B$5:$B$300),_xlfn._xlws.FILTER('Sales Dashboard'!$AW$5:$AW$301,$AA$5:$AA$301=1),0)),_xlpm.dd,'TY Sales Target'!$K$2:$AO$2,SUMPRODUCT(_xlpm.m*(_xlpm.dd&gt;=F$9)*(_xlpm.dd&lt;=F$10),'TY Sales Target'!$K$5:$AO$300))</f>
        <v>8649845.29050624</v>
      </c>
      <c r="G14" s="155" cm="1">
        <f t="array" ref="G14">_xlfn.LET(_xlpm.m,ISNUMBER(MATCH(TRIM('TY Sales Target'!$B$5:$B$300),_xlfn._xlws.FILTER('Sales Dashboard'!$AW$5:$AW$301,$AA$5:$AA$301=1),0)),_xlpm.dd,'TY Sales Target'!$K$2:$AO$2,SUMPRODUCT(_xlpm.m*(_xlpm.dd&gt;=G$9)*(_xlpm.dd&lt;=G$10),'TY Sales Target'!$K$5:$AO$300))</f>
        <v>29635291.540442165</v>
      </c>
      <c r="H14" s="156" cm="1">
        <f t="array" ref="H14">_xlfn.LET(_xlpm.m,ISNUMBER(MATCH(TRIM('TY Sales Target'!$B$5:$B$300),_xlfn._xlws.FILTER('Sales Dashboard'!$AW$5:$AW$301,$AA$5:$AA$301=1),0)),_xlpm.dd,'TY Sales Target'!$K$2:$AO$2,SUMPRODUCT(_xlpm.m*(_xlpm.dd&gt;=H$9)*(_xlpm.dd&lt;=H$10),'TY Sales Target'!$K$5:$AO$300))</f>
        <v>22705818.471960336</v>
      </c>
      <c r="AA14" s="142">
        <f>--AND('Sales Dashboard'!AN14&lt;&gt;"",OR($B$3="All",'Sales Dashboard'!CF14=$B$3),IF(OR($B$4="All",$B$4="Multiple (ticked)"),IF(COUNTIF($B$6:$M$6,"✔")&gt;0,COUNTIFS($B$5:$M$5,'Sales Dashboard'!AN14,$B$6:$M$6,"✔")&gt;0,$B$4="All"),'Sales Dashboard'!AN14=$B$4))</f>
        <v>1</v>
      </c>
    </row>
    <row r="15" spans="1:27" ht="15" customHeight="1" x14ac:dyDescent="0.25">
      <c r="A15" s="45" t="s">
        <v>407</v>
      </c>
      <c r="B15" s="148">
        <f t="shared" ref="B15:H15" si="1">IFERROR(B14/B11,0)</f>
        <v>1699755.3007382581</v>
      </c>
      <c r="C15" s="148">
        <f t="shared" si="1"/>
        <v>837818.87706330861</v>
      </c>
      <c r="D15" s="148">
        <f t="shared" si="1"/>
        <v>739047.08714528719</v>
      </c>
      <c r="E15" s="148">
        <f t="shared" si="1"/>
        <v>692588.37118013203</v>
      </c>
      <c r="F15" s="148">
        <f t="shared" si="1"/>
        <v>1235692.1843580343</v>
      </c>
      <c r="G15" s="149">
        <f t="shared" si="1"/>
        <v>955977.14646587626</v>
      </c>
      <c r="H15" s="150">
        <f t="shared" si="1"/>
        <v>873300.7104600129</v>
      </c>
      <c r="AA15" s="142">
        <f>--AND('Sales Dashboard'!AN15&lt;&gt;"",OR($B$3="All",'Sales Dashboard'!CF15=$B$3),IF(OR($B$4="All",$B$4="Multiple (ticked)"),IF(COUNTIF($B$6:$M$6,"✔")&gt;0,COUNTIFS($B$5:$M$5,'Sales Dashboard'!AN15,$B$6:$M$6,"✔")&gt;0,$B$4="All"),'Sales Dashboard'!AN15=$B$4))</f>
        <v>1</v>
      </c>
    </row>
    <row r="16" spans="1:27" ht="15" customHeight="1" x14ac:dyDescent="0.25">
      <c r="A16" s="151" t="s">
        <v>408</v>
      </c>
      <c r="B16" s="152"/>
      <c r="C16" s="152"/>
      <c r="D16" s="152"/>
      <c r="E16" s="152"/>
      <c r="F16" s="152"/>
      <c r="G16" s="152"/>
      <c r="H16" s="152"/>
      <c r="AA16" s="142">
        <f>--AND('Sales Dashboard'!AN16&lt;&gt;"",OR($B$3="All",'Sales Dashboard'!CF16=$B$3),IF(OR($B$4="All",$B$4="Multiple (ticked)"),IF(COUNTIF($B$6:$M$6,"✔")&gt;0,COUNTIFS($B$5:$M$5,'Sales Dashboard'!AN16,$B$6:$M$6,"✔")&gt;0,$B$4="All"),'Sales Dashboard'!AN16=$B$4))</f>
        <v>1</v>
      </c>
    </row>
    <row r="17" spans="1:27" ht="15" customHeight="1" x14ac:dyDescent="0.25">
      <c r="A17" s="45" t="s">
        <v>409</v>
      </c>
      <c r="B17" s="148" cm="1">
        <f t="array" ref="B17">_xlfn.LET(_xlpm.m,ISNUMBER(MATCH(TRIM('LY Sales '!$B$5:$B$200),_xlfn._xlws.FILTER('Sales Dashboard'!$AW$5:$AW$301,$AA$5:$AA$301=1),0)),_xlpm.dd,'LY Sales '!$C$2:$AG$2,SUMPRODUCT(_xlpm.m*(_xlpm.dd&gt;=EDATE(B$9,-12))*(_xlpm.dd&lt;=EDATE(B$10,-12)),'LY Sales '!$C$5:$AG$200))</f>
        <v>2911949.9099999997</v>
      </c>
      <c r="C17" s="148" cm="1">
        <f t="array" ref="C17">_xlfn.LET(_xlpm.m,ISNUMBER(MATCH(TRIM('LY Sales '!$B$5:$B$200),_xlfn._xlws.FILTER('Sales Dashboard'!$AW$5:$AW$301,$AA$5:$AA$301=1),0)),_xlpm.dd,'LY Sales '!$C$2:$AG$2,SUMPRODUCT(_xlpm.m*(_xlpm.dd&gt;=EDATE(C$9,-12))*(_xlpm.dd&lt;=EDATE(C$10,-12)),'LY Sales '!$C$5:$AG$200))</f>
        <v>4107049.4599999911</v>
      </c>
      <c r="D17" s="148" cm="1">
        <f t="array" ref="D17">_xlfn.LET(_xlpm.m,ISNUMBER(MATCH(TRIM('LY Sales '!$B$5:$B$200),_xlfn._xlws.FILTER('Sales Dashboard'!$AW$5:$AW$301,$AA$5:$AA$301=1),0)),_xlpm.dd,'LY Sales '!$C$2:$AG$2,SUMPRODUCT(_xlpm.m*(_xlpm.dd&gt;=EDATE(D$9,-12))*(_xlpm.dd&lt;=EDATE(D$10,-12)),'LY Sales '!$C$5:$AG$200))</f>
        <v>3090825.0599999949</v>
      </c>
      <c r="E17" s="148" cm="1">
        <f t="array" ref="E17">_xlfn.LET(_xlpm.m,ISNUMBER(MATCH(TRIM('LY Sales '!$B$5:$B$200),_xlfn._xlws.FILTER('Sales Dashboard'!$AW$5:$AW$301,$AA$5:$AA$301=1),0)),_xlpm.dd,'LY Sales '!$C$2:$AG$2,SUMPRODUCT(_xlpm.m*(_xlpm.dd&gt;=EDATE(E$9,-12))*(_xlpm.dd&lt;=EDATE(E$10,-12)),'LY Sales '!$C$5:$AG$200))</f>
        <v>2716675.8899999973</v>
      </c>
      <c r="F17" s="148" cm="1">
        <f t="array" ref="F17">_xlfn.LET(_xlpm.m,ISNUMBER(MATCH(TRIM('LY Sales '!$B$5:$B$200),_xlfn._xlws.FILTER('Sales Dashboard'!$AW$5:$AW$301,$AA$5:$AA$301=1),0)),_xlpm.dd,'LY Sales '!$C$2:$AG$2,SUMPRODUCT(_xlpm.m*(_xlpm.dd&gt;=EDATE(F$9,-12))*(_xlpm.dd&lt;=EDATE(F$10,-12)),'LY Sales '!$C$5:$AG$200))</f>
        <v>4660399.7699999884</v>
      </c>
      <c r="G17" s="149" cm="1">
        <f t="array" ref="G17">_xlfn.LET(_xlpm.m,ISNUMBER(MATCH(TRIM('LY Sales '!$B$5:$B$200),_xlfn._xlws.FILTER('Sales Dashboard'!$AW$5:$AW$301,$AA$5:$AA$301=1),0)),_xlpm.dd,'LY Sales '!$C$2:$AG$2,SUMPRODUCT(_xlpm.m*(_xlpm.dd&gt;=EDATE(G$9,-12))*(_xlpm.dd&lt;=EDATE(G$10,-12)),'LY Sales '!$C$5:$AG$200))</f>
        <v>17486900.089999996</v>
      </c>
      <c r="H17" s="150" cm="1">
        <f t="array" ref="H17">_xlfn.LET(_xlpm.m,ISNUMBER(MATCH(TRIM('LY Sales '!$B$5:$B$200),_xlfn._xlws.FILTER('Sales Dashboard'!$AW$5:$AW$301,$AA$5:$AA$301=1),0)),_xlpm.dd,'LY Sales '!$C$2:$AG$2,SUMPRODUCT(_xlpm.m*(_xlpm.dd&gt;=EDATE(H$9,-12))*(_xlpm.dd&lt;=EDATE(H$10,-12)),'LY Sales '!$C$5:$AG$200))</f>
        <v>13721115.989999961</v>
      </c>
      <c r="AA17" s="142">
        <f>--AND('Sales Dashboard'!AN17&lt;&gt;"",OR($B$3="All",'Sales Dashboard'!CF17=$B$3),IF(OR($B$4="All",$B$4="Multiple (ticked)"),IF(COUNTIF($B$6:$M$6,"✔")&gt;0,COUNTIFS($B$5:$M$5,'Sales Dashboard'!AN17,$B$6:$M$6,"✔")&gt;0,$B$4="All"),'Sales Dashboard'!AN17=$B$4))</f>
        <v>1</v>
      </c>
    </row>
    <row r="18" spans="1:27" ht="15" customHeight="1" x14ac:dyDescent="0.25">
      <c r="A18" s="153" t="s">
        <v>410</v>
      </c>
      <c r="B18" s="154" cm="1">
        <f t="array" ref="B18">_xlfn.LET(_xlpm.m,ISNUMBER(MATCH(TRIM('LY Transaction'!$B$5:$B$200),_xlfn._xlws.FILTER('Sales Dashboard'!$AW$5:$AW$301,$AA$5:$AA$301=1),0)),_xlpm.dd,'LY Transaction'!$C$2:$AG$2,SUMPRODUCT(_xlpm.m*(_xlpm.dd&gt;=EDATE(B$9,-12))*(_xlpm.dd&lt;=EDATE(B$10,-12)),'LY Transaction'!$C$5:$AG$200))</f>
        <v>22243</v>
      </c>
      <c r="C18" s="154" cm="1">
        <f t="array" ref="C18">_xlfn.LET(_xlpm.m,ISNUMBER(MATCH(TRIM('LY Transaction'!$B$5:$B$200),_xlfn._xlws.FILTER('Sales Dashboard'!$AW$5:$AW$301,$AA$5:$AA$301=1),0)),_xlpm.dd,'LY Transaction'!$C$2:$AG$2,SUMPRODUCT(_xlpm.m*(_xlpm.dd&gt;=EDATE(C$9,-12))*(_xlpm.dd&lt;=EDATE(C$10,-12)),'LY Transaction'!$C$5:$AG$200))</f>
        <v>27104</v>
      </c>
      <c r="D18" s="154" cm="1">
        <f t="array" ref="D18">_xlfn.LET(_xlpm.m,ISNUMBER(MATCH(TRIM('LY Transaction'!$B$5:$B$200),_xlfn._xlws.FILTER('Sales Dashboard'!$AW$5:$AW$301,$AA$5:$AA$301=1),0)),_xlpm.dd,'LY Transaction'!$C$2:$AG$2,SUMPRODUCT(_xlpm.m*(_xlpm.dd&gt;=EDATE(D$9,-12))*(_xlpm.dd&lt;=EDATE(D$10,-12)),'LY Transaction'!$C$5:$AG$200))</f>
        <v>19335</v>
      </c>
      <c r="E18" s="154" cm="1">
        <f t="array" ref="E18">_xlfn.LET(_xlpm.m,ISNUMBER(MATCH(TRIM('LY Transaction'!$B$5:$B$200),_xlfn._xlws.FILTER('Sales Dashboard'!$AW$5:$AW$301,$AA$5:$AA$301=1),0)),_xlpm.dd,'LY Transaction'!$C$2:$AG$2,SUMPRODUCT(_xlpm.m*(_xlpm.dd&gt;=EDATE(E$9,-12))*(_xlpm.dd&lt;=EDATE(E$10,-12)),'LY Transaction'!$C$5:$AG$200))</f>
        <v>17042</v>
      </c>
      <c r="F18" s="154" cm="1">
        <f t="array" ref="F18">_xlfn.LET(_xlpm.m,ISNUMBER(MATCH(TRIM('LY Transaction'!$B$5:$B$200),_xlfn._xlws.FILTER('Sales Dashboard'!$AW$5:$AW$301,$AA$5:$AA$301=1),0)),_xlpm.dd,'LY Transaction'!$C$2:$AG$2,SUMPRODUCT(_xlpm.m*(_xlpm.dd&gt;=EDATE(F$9,-12))*(_xlpm.dd&lt;=EDATE(F$10,-12)),'LY Transaction'!$C$5:$AG$200))</f>
        <v>31164</v>
      </c>
      <c r="G18" s="155" cm="1">
        <f t="array" ref="G18">_xlfn.LET(_xlpm.m,ISNUMBER(MATCH(TRIM('LY Transaction'!$B$5:$B$200),_xlfn._xlws.FILTER('Sales Dashboard'!$AW$5:$AW$301,$AA$5:$AA$301=1),0)),_xlpm.dd,'LY Transaction'!$C$2:$AG$2,SUMPRODUCT(_xlpm.m*(_xlpm.dd&gt;=EDATE(G$9,-12))*(_xlpm.dd&lt;=EDATE(G$10,-12)),'LY Transaction'!$C$5:$AG$200))</f>
        <v>116888</v>
      </c>
      <c r="H18" s="156" cm="1">
        <f t="array" ref="H18">_xlfn.LET(_xlpm.m,ISNUMBER(MATCH(TRIM('LY Transaction'!$B$5:$B$200),_xlfn._xlws.FILTER('Sales Dashboard'!$AW$5:$AW$301,$AA$5:$AA$301=1),0)),_xlpm.dd,'LY Transaction'!$C$2:$AG$2,SUMPRODUCT(_xlpm.m*(_xlpm.dd&gt;=EDATE(H$9,-12))*(_xlpm.dd&lt;=EDATE(H$10,-12)),'LY Transaction'!$C$5:$AG$200))</f>
        <v>91308</v>
      </c>
      <c r="AA18" s="142">
        <f>--AND('Sales Dashboard'!AN18&lt;&gt;"",OR($B$3="All",'Sales Dashboard'!CF18=$B$3),IF(OR($B$4="All",$B$4="Multiple (ticked)"),IF(COUNTIF($B$6:$M$6,"✔")&gt;0,COUNTIFS($B$5:$M$5,'Sales Dashboard'!AN18,$B$6:$M$6,"✔")&gt;0,$B$4="All"),'Sales Dashboard'!AN18=$B$4))</f>
        <v>1</v>
      </c>
    </row>
    <row r="19" spans="1:27" ht="15" customHeight="1" x14ac:dyDescent="0.25">
      <c r="A19" s="153" t="s">
        <v>411</v>
      </c>
      <c r="B19" s="157">
        <f t="shared" ref="B19:H19" si="2">IFERROR(B17/B18,0)</f>
        <v>130.91534010699993</v>
      </c>
      <c r="C19" s="157">
        <f t="shared" si="2"/>
        <v>151.52927464580841</v>
      </c>
      <c r="D19" s="157">
        <f t="shared" si="2"/>
        <v>159.85648099301758</v>
      </c>
      <c r="E19" s="157">
        <f t="shared" si="2"/>
        <v>159.41062610022283</v>
      </c>
      <c r="F19" s="157">
        <f t="shared" si="2"/>
        <v>149.54433865999192</v>
      </c>
      <c r="G19" s="158">
        <f t="shared" si="2"/>
        <v>149.60389509616039</v>
      </c>
      <c r="H19" s="159">
        <f t="shared" si="2"/>
        <v>150.27287849914532</v>
      </c>
      <c r="AA19" s="142">
        <f>--AND('Sales Dashboard'!AN19&lt;&gt;"",OR($B$3="All",'Sales Dashboard'!CF19=$B$3),IF(OR($B$4="All",$B$4="Multiple (ticked)"),IF(COUNTIF($B$6:$M$6,"✔")&gt;0,COUNTIFS($B$5:$M$5,'Sales Dashboard'!AN19,$B$6:$M$6,"✔")&gt;0,$B$4="All"),'Sales Dashboard'!AN19=$B$4))</f>
        <v>1</v>
      </c>
    </row>
    <row r="20" spans="1:27" ht="15" customHeight="1" x14ac:dyDescent="0.25">
      <c r="A20" s="151" t="s">
        <v>412</v>
      </c>
      <c r="B20" s="152"/>
      <c r="C20" s="152"/>
      <c r="D20" s="152"/>
      <c r="E20" s="152"/>
      <c r="F20" s="152"/>
      <c r="G20" s="152"/>
      <c r="H20" s="152"/>
      <c r="AA20" s="142">
        <f>--AND('Sales Dashboard'!AN20&lt;&gt;"",OR($B$3="All",'Sales Dashboard'!CF20=$B$3),IF(OR($B$4="All",$B$4="Multiple (ticked)"),IF(COUNTIF($B$6:$M$6,"✔")&gt;0,COUNTIFS($B$5:$M$5,'Sales Dashboard'!AN20,$B$6:$M$6,"✔")&gt;0,$B$4="All"),'Sales Dashboard'!AN20=$B$4))</f>
        <v>1</v>
      </c>
    </row>
    <row r="21" spans="1:27" ht="15" customHeight="1" x14ac:dyDescent="0.25">
      <c r="A21" s="45" t="s">
        <v>413</v>
      </c>
      <c r="B21" s="61">
        <f t="shared" ref="B21:H21" si="3">IFERROR(B14/B17-1,"")</f>
        <v>0.75115165432731446</v>
      </c>
      <c r="C21" s="61">
        <f t="shared" si="3"/>
        <v>0.42796725400116631</v>
      </c>
      <c r="D21" s="61">
        <f t="shared" si="3"/>
        <v>0.67376978948689459</v>
      </c>
      <c r="E21" s="61">
        <f t="shared" si="3"/>
        <v>0.7845774742974323</v>
      </c>
      <c r="F21" s="61">
        <f t="shared" si="3"/>
        <v>0.85603075216576574</v>
      </c>
      <c r="G21" s="160">
        <f t="shared" si="3"/>
        <v>0.69471383652436547</v>
      </c>
      <c r="H21" s="161">
        <f t="shared" si="3"/>
        <v>0.65480843456964322</v>
      </c>
      <c r="AA21" s="142">
        <f>--AND('Sales Dashboard'!AN21&lt;&gt;"",OR($B$3="All",'Sales Dashboard'!CF21=$B$3),IF(OR($B$4="All",$B$4="Multiple (ticked)"),IF(COUNTIF($B$6:$M$6,"✔")&gt;0,COUNTIFS($B$5:$M$5,'Sales Dashboard'!AN21,$B$6:$M$6,"✔")&gt;0,$B$4="All"),'Sales Dashboard'!AN21=$B$4))</f>
        <v>1</v>
      </c>
    </row>
    <row r="22" spans="1:27" ht="15" customHeight="1" x14ac:dyDescent="0.25">
      <c r="A22" s="153" t="s">
        <v>414</v>
      </c>
      <c r="B22" s="154">
        <f t="shared" ref="B22:H22" si="4">IFERROR(B14/B19,0)</f>
        <v>38950.866247202459</v>
      </c>
      <c r="C22" s="154">
        <f t="shared" si="4"/>
        <v>38703.624452447606</v>
      </c>
      <c r="D22" s="154">
        <f t="shared" si="4"/>
        <v>32362.338879729108</v>
      </c>
      <c r="E22" s="154">
        <f t="shared" si="4"/>
        <v>30412.769316976839</v>
      </c>
      <c r="F22" s="154">
        <f t="shared" si="4"/>
        <v>57841.342360493923</v>
      </c>
      <c r="G22" s="155">
        <f t="shared" si="4"/>
        <v>198091.71092366005</v>
      </c>
      <c r="H22" s="156">
        <f t="shared" si="4"/>
        <v>151097.24854368498</v>
      </c>
      <c r="AA22" s="142">
        <f>--AND('Sales Dashboard'!AN22&lt;&gt;"",OR($B$3="All",'Sales Dashboard'!CF22=$B$3),IF(OR($B$4="All",$B$4="Multiple (ticked)"),IF(COUNTIF($B$6:$M$6,"✔")&gt;0,COUNTIFS($B$5:$M$5,'Sales Dashboard'!AN22,$B$6:$M$6,"✔")&gt;0,$B$4="All"),'Sales Dashboard'!AN22=$B$4))</f>
        <v>1</v>
      </c>
    </row>
    <row r="23" spans="1:27" ht="15" customHeight="1" x14ac:dyDescent="0.25">
      <c r="A23" s="153" t="s">
        <v>415</v>
      </c>
      <c r="B23" s="157">
        <f t="shared" ref="B23:H23" si="5">IFERROR(B14/B18,0)</f>
        <v>229.25261440519597</v>
      </c>
      <c r="C23" s="157">
        <f t="shared" si="5"/>
        <v>216.37884221676359</v>
      </c>
      <c r="D23" s="157">
        <f t="shared" si="5"/>
        <v>267.56294853979881</v>
      </c>
      <c r="E23" s="157">
        <f t="shared" si="5"/>
        <v>284.48061250210799</v>
      </c>
      <c r="F23" s="157">
        <f t="shared" si="5"/>
        <v>277.55889136523683</v>
      </c>
      <c r="G23" s="158">
        <f t="shared" si="5"/>
        <v>253.53579101740269</v>
      </c>
      <c r="H23" s="159">
        <f t="shared" si="5"/>
        <v>248.67282682744488</v>
      </c>
      <c r="AA23" s="142">
        <f>--AND('Sales Dashboard'!AN23&lt;&gt;"",OR($B$3="All",'Sales Dashboard'!CF23=$B$3),IF(OR($B$4="All",$B$4="Multiple (ticked)"),IF(COUNTIF($B$6:$M$6,"✔")&gt;0,COUNTIFS($B$5:$M$5,'Sales Dashboard'!AN23,$B$6:$M$6,"✔")&gt;0,$B$4="All"),'Sales Dashboard'!AN23=$B$4))</f>
        <v>1</v>
      </c>
    </row>
    <row r="24" spans="1:27" ht="15" customHeight="1" x14ac:dyDescent="0.25">
      <c r="A24" s="151" t="s">
        <v>416</v>
      </c>
      <c r="B24" s="152"/>
      <c r="C24" s="152"/>
      <c r="D24" s="152"/>
      <c r="E24" s="152"/>
      <c r="F24" s="152"/>
      <c r="G24" s="152"/>
      <c r="H24" s="152"/>
      <c r="AA24" s="142">
        <f>--AND('Sales Dashboard'!AN24&lt;&gt;"",OR($B$3="All",'Sales Dashboard'!CF24=$B$3),IF(OR($B$4="All",$B$4="Multiple (ticked)"),IF(COUNTIF($B$6:$M$6,"✔")&gt;0,COUNTIFS($B$5:$M$5,'Sales Dashboard'!AN24,$B$6:$M$6,"✔")&gt;0,$B$4="All"),'Sales Dashboard'!AN24=$B$4))</f>
        <v>0</v>
      </c>
    </row>
    <row r="25" spans="1:27" ht="15" customHeight="1" x14ac:dyDescent="0.25">
      <c r="A25" s="45" t="s">
        <v>173</v>
      </c>
      <c r="B25" s="148" cm="1">
        <f t="array" ref="B25">_xlfn.LET(_xlpm.d,IFERROR(--'Sales and count'!$G$2:$CC$2,0),SUMPRODUCT(($AA$5:$AA$301=1)*(_xlpm.d&gt;=B$9)*(_xlpm.d&lt;=B$10)*('Sales and count'!$G$3:$CC$3="Total"),'Sales and count'!$G$4:$CC$300))</f>
        <v>2966157.2499999995</v>
      </c>
      <c r="C25" s="148" cm="1">
        <f t="array" ref="C25">_xlfn.LET(_xlpm.d,IFERROR(--'Sales and count'!$G$2:$CC$2,0),SUMPRODUCT(($AA$5:$AA$301=1)*(_xlpm.d&gt;=C$9)*(_xlpm.d&lt;=C$10)*('Sales and count'!$G$3:$CC$3="Total"),'Sales and count'!$G$4:$CC$300))</f>
        <v>4534581.1899999753</v>
      </c>
      <c r="D25" s="148" cm="1">
        <f t="array" ref="D25">_xlfn.LET(_xlpm.d,IFERROR(--'Sales and count'!$G$2:$CC$2,0),SUMPRODUCT(($AA$5:$AA$301=1)*(_xlpm.d&gt;=D$9)*(_xlpm.d&lt;=D$10)*('Sales and count'!$G$3:$CC$3="Total"),'Sales and count'!$G$4:$CC$300))</f>
        <v>3627161.1499999901</v>
      </c>
      <c r="E25" s="148" cm="1">
        <f t="array" ref="E25">_xlfn.LET(_xlpm.d,IFERROR(--'Sales and count'!$G$2:$CC$2,0),SUMPRODUCT(($AA$5:$AA$301=1)*(_xlpm.d&gt;=E$9)*(_xlpm.d&lt;=E$10)*('Sales and count'!$G$3:$CC$3="Total"),'Sales and count'!$G$4:$CC$300))</f>
        <v>3300789.8799999864</v>
      </c>
      <c r="F25" s="148" cm="1">
        <f t="array" ref="F25">_xlfn.LET(_xlpm.d,IFERROR(--'Sales and count'!$G$2:$CC$2,0),SUMPRODUCT(($AA$5:$AA$301=1)*(_xlpm.d&gt;=F$9)*(_xlpm.d&lt;=F$10)*('Sales and count'!$G$3:$CC$3="Total"),'Sales and count'!$G$4:$CC$300))</f>
        <v>924279.00999999978</v>
      </c>
      <c r="G25" s="149" cm="1">
        <f t="array" ref="G25">_xlfn.LET(_xlpm.d,IFERROR(--'Sales and count'!$G$2:$CC$2,0),SUMPRODUCT(($AA$5:$AA$301=1)*(_xlpm.d&gt;=G$9)*(_xlpm.d&lt;=G$10)*('Sales and count'!$G$3:$CC$3="Total"),'Sales and count'!$G$4:$CC$300))</f>
        <v>15352968.479999823</v>
      </c>
      <c r="H25" s="150" cm="1">
        <f t="array" ref="H25">_xlfn.LET(_xlpm.d,IFERROR(--'Sales and count'!$G$2:$CC$2,0),SUMPRODUCT(($AA$5:$AA$301=1)*(_xlpm.d&gt;=H$9)*(_xlpm.d&lt;=H$10)*('Sales and count'!$G$3:$CC$3="Total"),'Sales and count'!$G$4:$CC$300))</f>
        <v>15352968.479999823</v>
      </c>
      <c r="AA25" s="142">
        <f>--AND('Sales Dashboard'!AN25&lt;&gt;"",OR($B$3="All",'Sales Dashboard'!CF25=$B$3),IF(OR($B$4="All",$B$4="Multiple (ticked)"),IF(COUNTIF($B$6:$M$6,"✔")&gt;0,COUNTIFS($B$5:$M$5,'Sales Dashboard'!AN25,$B$6:$M$6,"✔")&gt;0,$B$4="All"),'Sales Dashboard'!AN25=$B$4))</f>
        <v>1</v>
      </c>
    </row>
    <row r="26" spans="1:27" ht="15" customHeight="1" x14ac:dyDescent="0.25">
      <c r="A26" s="45" t="s">
        <v>186</v>
      </c>
      <c r="B26" s="148" cm="1">
        <f t="array" aca="1" ref="B26" ca="1">_xlfn.LET(_xlpm.d,IFERROR(--'Sales and count'!$F$2:$CB$2,0),SUMPRODUCT(($AA$5:$AA$301=1)*(_xlpm.d&gt;=B$9)*(_xlpm.d&lt;=B$10)*('Sales and count'!$G$3:$CC$3="Transactions"),'Sales and count'!$G$4:$CC$300))</f>
        <v>19995</v>
      </c>
      <c r="C26" s="148" cm="1">
        <f t="array" aca="1" ref="C26" ca="1">_xlfn.LET(_xlpm.d,IFERROR(--'Sales and count'!$F$2:$CB$2,0),SUMPRODUCT(($AA$5:$AA$301=1)*(_xlpm.d&gt;=C$9)*(_xlpm.d&lt;=C$10)*('Sales and count'!$G$3:$CC$3="Transactions"),'Sales and count'!$G$4:$CC$300))</f>
        <v>27895</v>
      </c>
      <c r="D26" s="148" cm="1">
        <f t="array" aca="1" ref="D26" ca="1">_xlfn.LET(_xlpm.d,IFERROR(--'Sales and count'!$F$2:$CB$2,0),SUMPRODUCT(($AA$5:$AA$301=1)*(_xlpm.d&gt;=D$9)*(_xlpm.d&lt;=D$10)*('Sales and count'!$G$3:$CC$3="Transactions"),'Sales and count'!$G$4:$CC$300))</f>
        <v>22211</v>
      </c>
      <c r="E26" s="148" cm="1">
        <f t="array" aca="1" ref="E26" ca="1">_xlfn.LET(_xlpm.d,IFERROR(--'Sales and count'!$F$2:$CB$2,0),SUMPRODUCT(($AA$5:$AA$301=1)*(_xlpm.d&gt;=E$9)*(_xlpm.d&lt;=E$10)*('Sales and count'!$G$3:$CC$3="Transactions"),'Sales and count'!$G$4:$CC$300))</f>
        <v>19225</v>
      </c>
      <c r="F26" s="148" cm="1">
        <f t="array" aca="1" ref="F26" ca="1">_xlfn.LET(_xlpm.d,IFERROR(--'Sales and count'!$F$2:$CB$2,0),SUMPRODUCT(($AA$5:$AA$301=1)*(_xlpm.d&gt;=F$9)*(_xlpm.d&lt;=F$10)*('Sales and count'!$G$3:$CC$3="Transactions"),'Sales and count'!$G$4:$CC$300))</f>
        <v>5002</v>
      </c>
      <c r="G26" s="149" cm="1">
        <f t="array" aca="1" ref="G26" ca="1">_xlfn.LET(_xlpm.d,IFERROR(--'Sales and count'!$F$2:$CB$2,0),SUMPRODUCT(($AA$5:$AA$301=1)*(_xlpm.d&gt;=G$9)*(_xlpm.d&lt;=G$10)*('Sales and count'!$G$3:$CC$3="Transactions"),'Sales and count'!$G$4:$CC$300))</f>
        <v>94328</v>
      </c>
      <c r="H26" s="150" cm="1">
        <f t="array" aca="1" ref="H26" ca="1">_xlfn.LET(_xlpm.d,IFERROR(--'Sales and count'!$F$2:$CB$2,0),SUMPRODUCT(($AA$5:$AA$301=1)*(_xlpm.d&gt;=H$9)*(_xlpm.d&lt;=H$10)*('Sales and count'!$G$3:$CC$3="Transactions"),'Sales and count'!$G$4:$CC$300))</f>
        <v>94328</v>
      </c>
      <c r="AA26" s="142">
        <f>--AND('Sales Dashboard'!AN26&lt;&gt;"",OR($B$3="All",'Sales Dashboard'!CF26=$B$3),IF(OR($B$4="All",$B$4="Multiple (ticked)"),IF(COUNTIF($B$6:$M$6,"✔")&gt;0,COUNTIFS($B$5:$M$5,'Sales Dashboard'!AN26,$B$6:$M$6,"✔")&gt;0,$B$4="All"),'Sales Dashboard'!AN26=$B$4))</f>
        <v>1</v>
      </c>
    </row>
    <row r="27" spans="1:27" ht="15" customHeight="1" x14ac:dyDescent="0.25">
      <c r="A27" s="45" t="s">
        <v>189</v>
      </c>
      <c r="B27" s="162">
        <f t="shared" ref="B27:H27" ca="1" si="6">IFERROR(B25/B26,0)</f>
        <v>148.34494873718427</v>
      </c>
      <c r="C27" s="162">
        <f t="shared" ca="1" si="6"/>
        <v>162.55892417995969</v>
      </c>
      <c r="D27" s="162">
        <f t="shared" ca="1" si="6"/>
        <v>163.30472063391969</v>
      </c>
      <c r="E27" s="162">
        <f t="shared" ca="1" si="6"/>
        <v>171.69258153445963</v>
      </c>
      <c r="F27" s="162">
        <f t="shared" ca="1" si="6"/>
        <v>184.78188924430222</v>
      </c>
      <c r="G27" s="163">
        <f t="shared" ca="1" si="6"/>
        <v>162.76151810702891</v>
      </c>
      <c r="H27" s="164">
        <f t="shared" ca="1" si="6"/>
        <v>162.76151810702891</v>
      </c>
      <c r="AA27" s="142">
        <f>--AND('Sales Dashboard'!AN27&lt;&gt;"",OR($B$3="All",'Sales Dashboard'!CF27=$B$3),IF(OR($B$4="All",$B$4="Multiple (ticked)"),IF(COUNTIF($B$6:$M$6,"✔")&gt;0,COUNTIFS($B$5:$M$5,'Sales Dashboard'!AN27,$B$6:$M$6,"✔")&gt;0,$B$4="All"),'Sales Dashboard'!AN27=$B$4))</f>
        <v>1</v>
      </c>
    </row>
    <row r="28" spans="1:27" ht="15" customHeight="1" x14ac:dyDescent="0.25">
      <c r="A28" s="45" t="s">
        <v>417</v>
      </c>
      <c r="B28" s="61">
        <f t="shared" ref="B28:H28" si="7">IF(B$12=0,"",IFERROR(B25/B38,""))</f>
        <v>0.5816831886942202</v>
      </c>
      <c r="C28" s="61">
        <f t="shared" si="7"/>
        <v>0.77319493579301324</v>
      </c>
      <c r="D28" s="61">
        <f t="shared" si="7"/>
        <v>0.70112701556397905</v>
      </c>
      <c r="E28" s="61">
        <f t="shared" si="7"/>
        <v>0.68083934274710556</v>
      </c>
      <c r="F28" s="61">
        <f t="shared" si="7"/>
        <v>0.53725525102489813</v>
      </c>
      <c r="G28" s="160">
        <f t="shared" si="7"/>
        <v>0.67616890793694018</v>
      </c>
      <c r="H28" s="161">
        <f t="shared" si="7"/>
        <v>0.67616890793694018</v>
      </c>
      <c r="AA28" s="142">
        <f>--AND('Sales Dashboard'!AN28&lt;&gt;"",OR($B$3="All",'Sales Dashboard'!CF28=$B$3),IF(OR($B$4="All",$B$4="Multiple (ticked)"),IF(COUNTIF($B$6:$M$6,"✔")&gt;0,COUNTIFS($B$5:$M$5,'Sales Dashboard'!AN28,$B$6:$M$6,"✔")&gt;0,$B$4="All"),'Sales Dashboard'!AN28=$B$4))</f>
        <v>1</v>
      </c>
    </row>
    <row r="29" spans="1:27" ht="15" customHeight="1" x14ac:dyDescent="0.25">
      <c r="A29" s="153" t="s">
        <v>418</v>
      </c>
      <c r="B29" s="154">
        <f t="shared" ref="B29:H29" si="8">MAX(0,B14-B25)</f>
        <v>2133108.6522147744</v>
      </c>
      <c r="C29" s="154">
        <f t="shared" si="8"/>
        <v>1330150.9494431848</v>
      </c>
      <c r="D29" s="154">
        <f t="shared" si="8"/>
        <v>1546168.4600170199</v>
      </c>
      <c r="E29" s="154">
        <f t="shared" si="8"/>
        <v>1547328.7182609378</v>
      </c>
      <c r="F29" s="154">
        <f t="shared" si="8"/>
        <v>7725566.2805062402</v>
      </c>
      <c r="G29" s="155">
        <f t="shared" si="8"/>
        <v>14282323.060442341</v>
      </c>
      <c r="H29" s="156">
        <f t="shared" si="8"/>
        <v>7352849.9919605125</v>
      </c>
      <c r="AA29" s="142">
        <f>--AND('Sales Dashboard'!AN29&lt;&gt;"",OR($B$3="All",'Sales Dashboard'!CF29=$B$3),IF(OR($B$4="All",$B$4="Multiple (ticked)"),IF(COUNTIF($B$6:$M$6,"✔")&gt;0,COUNTIFS($B$5:$M$5,'Sales Dashboard'!AN29,$B$6:$M$6,"✔")&gt;0,$B$4="All"),'Sales Dashboard'!AN29=$B$4))</f>
        <v>1</v>
      </c>
    </row>
    <row r="30" spans="1:27" ht="15" customHeight="1" x14ac:dyDescent="0.25">
      <c r="A30" s="153" t="s">
        <v>419</v>
      </c>
      <c r="B30" s="154" t="str">
        <f t="shared" ref="B30:H30" si="9">IF(B11-B12&lt;=0,"",B29/(B11-B12))</f>
        <v/>
      </c>
      <c r="C30" s="154" t="str">
        <f t="shared" si="9"/>
        <v/>
      </c>
      <c r="D30" s="154" t="str">
        <f t="shared" si="9"/>
        <v/>
      </c>
      <c r="E30" s="154" t="str">
        <f t="shared" si="9"/>
        <v/>
      </c>
      <c r="F30" s="154">
        <f t="shared" si="9"/>
        <v>1545113.2561012481</v>
      </c>
      <c r="G30" s="155">
        <f t="shared" si="9"/>
        <v>2856464.6120884684</v>
      </c>
      <c r="H30" s="156" t="str">
        <f t="shared" si="9"/>
        <v/>
      </c>
      <c r="AA30" s="142">
        <f>--AND('Sales Dashboard'!AN30&lt;&gt;"",OR($B$3="All",'Sales Dashboard'!CF30=$B$3),IF(OR($B$4="All",$B$4="Multiple (ticked)"),IF(COUNTIF($B$6:$M$6,"✔")&gt;0,COUNTIFS($B$5:$M$5,'Sales Dashboard'!AN30,$B$6:$M$6,"✔")&gt;0,$B$4="All"),'Sales Dashboard'!AN30=$B$4))</f>
        <v>1</v>
      </c>
    </row>
    <row r="31" spans="1:27" ht="15" customHeight="1" x14ac:dyDescent="0.25">
      <c r="A31" s="45" t="s">
        <v>420</v>
      </c>
      <c r="B31" s="61">
        <f t="shared" ref="B31:H32" si="10">IF(B$12=0,"",IFERROR(B25/B39-1,""))</f>
        <v>1.8615478176271294E-2</v>
      </c>
      <c r="C31" s="61">
        <f t="shared" si="10"/>
        <v>0.10409704927195707</v>
      </c>
      <c r="D31" s="61">
        <f t="shared" si="10"/>
        <v>0.17352521724409598</v>
      </c>
      <c r="E31" s="61">
        <f t="shared" si="10"/>
        <v>0.2150105546819534</v>
      </c>
      <c r="F31" s="61">
        <f t="shared" si="10"/>
        <v>3.3157635166394028E-2</v>
      </c>
      <c r="G31" s="160">
        <f t="shared" si="10"/>
        <v>0.11893001204779319</v>
      </c>
      <c r="H31" s="161">
        <f t="shared" si="10"/>
        <v>0.11893001204779319</v>
      </c>
      <c r="AA31" s="142">
        <f>--AND('Sales Dashboard'!AN31&lt;&gt;"",OR($B$3="All",'Sales Dashboard'!CF31=$B$3),IF(OR($B$4="All",$B$4="Multiple (ticked)"),IF(COUNTIF($B$6:$M$6,"✔")&gt;0,COUNTIFS($B$5:$M$5,'Sales Dashboard'!AN31,$B$6:$M$6,"✔")&gt;0,$B$4="All"),'Sales Dashboard'!AN31=$B$4))</f>
        <v>1</v>
      </c>
    </row>
    <row r="32" spans="1:27" ht="15" customHeight="1" outlineLevel="1" x14ac:dyDescent="0.25">
      <c r="A32" s="45" t="s">
        <v>421</v>
      </c>
      <c r="B32" s="61">
        <f t="shared" ca="1" si="10"/>
        <v>-0.10106550375399004</v>
      </c>
      <c r="C32" s="61">
        <f t="shared" ca="1" si="10"/>
        <v>2.9183884297520724E-2</v>
      </c>
      <c r="D32" s="61">
        <f t="shared" ca="1" si="10"/>
        <v>0.14874579777605379</v>
      </c>
      <c r="E32" s="61">
        <f t="shared" ca="1" si="10"/>
        <v>0.12809529397957986</v>
      </c>
      <c r="F32" s="61">
        <f t="shared" ca="1" si="10"/>
        <v>-0.10422636103151861</v>
      </c>
      <c r="G32" s="160">
        <f t="shared" ca="1" si="10"/>
        <v>3.3074867481491133E-2</v>
      </c>
      <c r="H32" s="161">
        <f t="shared" ca="1" si="10"/>
        <v>3.3074867481491133E-2</v>
      </c>
      <c r="AA32" s="142">
        <f>--AND('Sales Dashboard'!AN32&lt;&gt;"",OR($B$3="All",'Sales Dashboard'!CF32=$B$3),IF(OR($B$4="All",$B$4="Multiple (ticked)"),IF(COUNTIF($B$6:$M$6,"✔")&gt;0,COUNTIFS($B$5:$M$5,'Sales Dashboard'!AN32,$B$6:$M$6,"✔")&gt;0,$B$4="All"),'Sales Dashboard'!AN32=$B$4))</f>
        <v>1</v>
      </c>
    </row>
    <row r="33" spans="1:27" ht="15" customHeight="1" outlineLevel="1" x14ac:dyDescent="0.25">
      <c r="A33" s="45" t="s">
        <v>422</v>
      </c>
      <c r="B33" s="61">
        <f t="shared" ref="B33:H33" ca="1" si="11">IF(B$12=0,"",IFERROR(B27/(B39/B40)-1,""))</f>
        <v>0.13313648817578394</v>
      </c>
      <c r="C33" s="61">
        <f t="shared" ca="1" si="11"/>
        <v>7.2788902078047224E-2</v>
      </c>
      <c r="D33" s="61">
        <f t="shared" ca="1" si="11"/>
        <v>2.1570846671225885E-2</v>
      </c>
      <c r="E33" s="61">
        <f t="shared" ca="1" si="11"/>
        <v>7.7046027198431677E-2</v>
      </c>
      <c r="F33" s="61">
        <f t="shared" ca="1" si="11"/>
        <v>0.15336909931410325</v>
      </c>
      <c r="G33" s="160">
        <f t="shared" ca="1" si="11"/>
        <v>8.3106411034474359E-2</v>
      </c>
      <c r="H33" s="161">
        <f t="shared" ca="1" si="11"/>
        <v>8.3106411034474359E-2</v>
      </c>
      <c r="AA33" s="142">
        <f>--AND('Sales Dashboard'!AN33&lt;&gt;"",OR($B$3="All",'Sales Dashboard'!CF33=$B$3),IF(OR($B$4="All",$B$4="Multiple (ticked)"),IF(COUNTIF($B$6:$M$6,"✔")&gt;0,COUNTIFS($B$5:$M$5,'Sales Dashboard'!AN33,$B$6:$M$6,"✔")&gt;0,$B$4="All"),'Sales Dashboard'!AN33=$B$4))</f>
        <v>1</v>
      </c>
    </row>
    <row r="34" spans="1:27" ht="15" customHeight="1" outlineLevel="1" x14ac:dyDescent="0.25">
      <c r="A34" s="151" t="s">
        <v>514</v>
      </c>
      <c r="B34" s="152"/>
      <c r="C34" s="152"/>
      <c r="D34" s="152"/>
      <c r="E34" s="152"/>
      <c r="F34" s="152"/>
      <c r="G34" s="152"/>
      <c r="H34" s="152"/>
      <c r="AA34" s="142">
        <f>--AND('Sales Dashboard'!AN34&lt;&gt;"",OR($B$3="All",'Sales Dashboard'!CF34=$B$3),IF(OR($B$4="All",$B$4="Multiple (ticked)"),IF(COUNTIF($B$6:$M$6,"✔")&gt;0,COUNTIFS($B$5:$M$5,'Sales Dashboard'!AN34,$B$6:$M$6,"✔")&gt;0,$B$4="All"),'Sales Dashboard'!AN34=$B$4))</f>
        <v>1</v>
      </c>
    </row>
    <row r="35" spans="1:27" ht="15" customHeight="1" x14ac:dyDescent="0.25">
      <c r="A35" s="45" t="s">
        <v>515</v>
      </c>
      <c r="B35" s="148" t="str" cm="1">
        <f t="array" ref="B35">_xlfn.LET(_xlpm.f,Footfall!$C$1:$BZ$1,_xlpm.t,Footfall!$C$2:$BZ$2,_xlpm.k,(_xlpm.f&gt;=B$9)*(_xlpm.t&lt;=B$10)*(_xlpm.f&lt;&gt;""),_xlpm.n,SUMPRODUCT(ISNUMBER(MATCH(TRIM(Footfall!$B$5:$B$301),_xlfn._xlws.FILTER('Sales Dashboard'!$AW$5:$AW$301,$AA$5:$AA$301=1),0))*_xlpm.k,Footfall!$C$5:$BZ$301),IF(_xlpm.n=0,"",_xlpm.n))</f>
        <v/>
      </c>
      <c r="C35" s="148" t="str" cm="1">
        <f t="array" ref="C35">_xlfn.LET(_xlpm.f,Footfall!$C$1:$BZ$1,_xlpm.t,Footfall!$C$2:$BZ$2,_xlpm.k,(_xlpm.f&gt;=C$9)*(_xlpm.t&lt;=C$10)*(_xlpm.f&lt;&gt;""),_xlpm.n,SUMPRODUCT(ISNUMBER(MATCH(TRIM(Footfall!$B$5:$B$301),_xlfn._xlws.FILTER('Sales Dashboard'!$AW$5:$AW$301,$AA$5:$AA$301=1),0))*_xlpm.k,Footfall!$C$5:$BZ$301),IF(_xlpm.n=0,"",_xlpm.n))</f>
        <v/>
      </c>
      <c r="D35" s="148" t="str" cm="1">
        <f t="array" ref="D35">_xlfn.LET(_xlpm.f,Footfall!$C$1:$BZ$1,_xlpm.t,Footfall!$C$2:$BZ$2,_xlpm.k,(_xlpm.f&gt;=D$9)*(_xlpm.t&lt;=D$10)*(_xlpm.f&lt;&gt;""),_xlpm.n,SUMPRODUCT(ISNUMBER(MATCH(TRIM(Footfall!$B$5:$B$301),_xlfn._xlws.FILTER('Sales Dashboard'!$AW$5:$AW$301,$AA$5:$AA$301=1),0))*_xlpm.k,Footfall!$C$5:$BZ$301),IF(_xlpm.n=0,"",_xlpm.n))</f>
        <v/>
      </c>
      <c r="E35" s="148" cm="1">
        <f t="array" ref="E35">_xlfn.LET(_xlpm.f,Footfall!$C$1:$BZ$1,_xlpm.t,Footfall!$C$2:$BZ$2,_xlpm.k,(_xlpm.f&gt;=E$9)*(_xlpm.t&lt;=E$10)*(_xlpm.f&lt;&gt;""),_xlpm.n,SUMPRODUCT(ISNUMBER(MATCH(TRIM(Footfall!$B$5:$B$301),_xlfn._xlws.FILTER('Sales Dashboard'!$AW$5:$AW$301,$AA$5:$AA$301=1),0))*_xlpm.k,Footfall!$C$5:$BZ$301),IF(_xlpm.n=0,"",_xlpm.n))</f>
        <v>72238</v>
      </c>
      <c r="F35" s="148" cm="1">
        <f t="array" ref="F35">_xlfn.LET(_xlpm.f,Footfall!$C$1:$BZ$1,_xlpm.t,Footfall!$C$2:$BZ$2,_xlpm.k,(_xlpm.f&gt;=F$9)*(_xlpm.t&lt;=F$10)*(_xlpm.f&lt;&gt;""),_xlpm.n,SUMPRODUCT(ISNUMBER(MATCH(TRIM(Footfall!$B$5:$B$301),_xlfn._xlws.FILTER('Sales Dashboard'!$AW$5:$AW$301,$AA$5:$AA$301=1),0))*_xlpm.k,Footfall!$C$5:$BZ$301),IF(_xlpm.n=0,"",_xlpm.n))</f>
        <v>19704</v>
      </c>
      <c r="G35" s="149" cm="1">
        <f t="array" ref="G35">_xlfn.LET(_xlpm.f,Footfall!$C$1:$BZ$1,_xlpm.t,Footfall!$C$2:$BZ$2,_xlpm.k,(_xlpm.f&gt;=G$9)*(_xlpm.t&lt;=G$10)*(_xlpm.f&lt;&gt;""),_xlpm.n,SUMPRODUCT(ISNUMBER(MATCH(TRIM(Footfall!$B$5:$B$301),_xlfn._xlws.FILTER('Sales Dashboard'!$AW$5:$AW$301,$AA$5:$AA$301=1),0))*_xlpm.k,Footfall!$C$5:$BZ$301),IF(_xlpm.n=0,"",_xlpm.n))</f>
        <v>360680</v>
      </c>
      <c r="H35" s="150" cm="1">
        <f t="array" ref="H35">_xlfn.LET(_xlpm.f,Footfall!$C$1:$BZ$1,_xlpm.t,Footfall!$C$2:$BZ$2,_xlpm.k,(_xlpm.f&gt;=H$9)*(_xlpm.t&lt;=H$10)*(_xlpm.f&lt;&gt;""),_xlpm.n,SUMPRODUCT(ISNUMBER(MATCH(TRIM(Footfall!$B$5:$B$301),_xlfn._xlws.FILTER('Sales Dashboard'!$AW$5:$AW$301,$AA$5:$AA$301=1),0))*_xlpm.k,Footfall!$C$5:$BZ$301),IF(_xlpm.n=0,"",_xlpm.n))</f>
        <v>360680</v>
      </c>
      <c r="AA35" s="142">
        <f>--AND('Sales Dashboard'!AN35&lt;&gt;"",OR($B$3="All",'Sales Dashboard'!CF35=$B$3),IF(OR($B$4="All",$B$4="Multiple (ticked)"),IF(COUNTIF($B$6:$M$6,"✔")&gt;0,COUNTIFS($B$5:$M$5,'Sales Dashboard'!AN35,$B$6:$M$6,"✔")&gt;0,$B$4="All"),'Sales Dashboard'!AN35=$B$4))</f>
        <v>1</v>
      </c>
    </row>
    <row r="36" spans="1:27" ht="15" customHeight="1" x14ac:dyDescent="0.25">
      <c r="A36" s="45" t="s">
        <v>516</v>
      </c>
      <c r="B36" s="148" t="str" cm="1">
        <f t="array" ref="B36">IF(B35="","",_xlfn.LET(_xlpm.f,Footfall!$C$1:$BZ$1,_xlpm.t,Footfall!$C$2:$BZ$2,_xlpm.k,(_xlpm.f&gt;=B$9)*(_xlpm.t&lt;=B$10)*(_xlpm.f&lt;&gt;""),_xlpm.a,MIN(_xlfn._xlws.FILTER(_xlpm.f,_xlpm.k=1)),_xlpm.b,MAX(_xlfn._xlws.FILTER(_xlpm.t,_xlpm.k=1)),_xlpm.ffs,_xlfn.MAP('Sales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/>
      </c>
      <c r="C36" s="148" t="str" cm="1">
        <f t="array" ref="C36">IF(C35="","",_xlfn.LET(_xlpm.f,Footfall!$C$1:$BZ$1,_xlpm.t,Footfall!$C$2:$BZ$2,_xlpm.k,(_xlpm.f&gt;=C$9)*(_xlpm.t&lt;=C$10)*(_xlpm.f&lt;&gt;""),_xlpm.a,MIN(_xlfn._xlws.FILTER(_xlpm.f,_xlpm.k=1)),_xlpm.b,MAX(_xlfn._xlws.FILTER(_xlpm.t,_xlpm.k=1)),_xlpm.ffs,_xlfn.MAP('Sales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/>
      </c>
      <c r="D36" s="148" t="str" cm="1">
        <f t="array" ref="D36">IF(D35="","",_xlfn.LET(_xlpm.f,Footfall!$C$1:$BZ$1,_xlpm.t,Footfall!$C$2:$BZ$2,_xlpm.k,(_xlpm.f&gt;=D$9)*(_xlpm.t&lt;=D$10)*(_xlpm.f&lt;&gt;""),_xlpm.a,MIN(_xlfn._xlws.FILTER(_xlpm.f,_xlpm.k=1)),_xlpm.b,MAX(_xlfn._xlws.FILTER(_xlpm.t,_xlpm.k=1)),_xlpm.ffs,_xlfn.MAP('Sales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/>
      </c>
      <c r="E36" s="148" cm="1">
        <f t="array" aca="1" ref="E36" ca="1">IF(E35="","",_xlfn.LET(_xlpm.f,Footfall!$C$1:$BZ$1,_xlpm.t,Footfall!$C$2:$BZ$2,_xlpm.k,(_xlpm.f&gt;=E$9)*(_xlpm.t&lt;=E$10)*(_xlpm.f&lt;&gt;""),_xlpm.a,MIN(_xlfn._xlws.FILTER(_xlpm.f,_xlpm.k=1)),_xlpm.b,MAX(_xlfn._xlws.FILTER(_xlpm.t,_xlpm.k=1)),_xlpm.ffs,_xlfn.MAP('Sales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>11075</v>
      </c>
      <c r="F36" s="148" cm="1">
        <f t="array" aca="1" ref="F36" ca="1">IF(F35="","",_xlfn.LET(_xlpm.f,Footfall!$C$1:$BZ$1,_xlpm.t,Footfall!$C$2:$BZ$2,_xlpm.k,(_xlpm.f&gt;=F$9)*(_xlpm.t&lt;=F$10)*(_xlpm.f&lt;&gt;""),_xlpm.a,MIN(_xlfn._xlws.FILTER(_xlpm.f,_xlpm.k=1)),_xlpm.b,MAX(_xlfn._xlws.FILTER(_xlpm.t,_xlpm.k=1)),_xlpm.ffs,_xlfn.MAP('Sales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>2998</v>
      </c>
      <c r="G36" s="149" cm="1">
        <f t="array" aca="1" ref="G36" ca="1">IF(G35="","",_xlfn.LET(_xlpm.f,Footfall!$C$1:$BZ$1,_xlpm.t,Footfall!$C$2:$BZ$2,_xlpm.k,(_xlpm.f&gt;=G$9)*(_xlpm.t&lt;=G$10)*(_xlpm.f&lt;&gt;""),_xlpm.a,MIN(_xlfn._xlws.FILTER(_xlpm.f,_xlpm.k=1)),_xlpm.b,MAX(_xlfn._xlws.FILTER(_xlpm.t,_xlpm.k=1)),_xlpm.ffs,_xlfn.MAP('Sales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>63531</v>
      </c>
      <c r="H36" s="150" cm="1">
        <f t="array" aca="1" ref="H36" ca="1">IF(H35="","",_xlfn.LET(_xlpm.f,Footfall!$C$1:$BZ$1,_xlpm.t,Footfall!$C$2:$BZ$2,_xlpm.k,(_xlpm.f&gt;=H$9)*(_xlpm.t&lt;=H$10)*(_xlpm.f&lt;&gt;""),_xlpm.a,MIN(_xlfn._xlws.FILTER(_xlpm.f,_xlpm.k=1)),_xlpm.b,MAX(_xlfn._xlws.FILTER(_xlpm.t,_xlpm.k=1)),_xlpm.ffs,_xlfn.MAP('Sales Dashboard'!$AW$5:$AW$301,_xlfn.LAMBDA(_xlpm.i,IF(_xlpm.i="",0,SUMPRODUCT((TRIM(Footfall!$B$5:$B$301)=_xlpm.i)*_xlpm.k,Footfall!$C$5:$BZ$301)))),_xlpm.d,IFERROR(--'Sales and count'!$F$2:$CB$2,0),SUMPRODUCT(($AA$5:$AA$301=1)*(_xlpm.ffs&gt;0)*(_xlpm.d&gt;=_xlpm.a)*(_xlpm.d&lt;=_xlpm.b)*('Sales and count'!$G$3:$CC$3="Transactions"),'Sales and count'!$G$4:$CC$300)))</f>
        <v>63531</v>
      </c>
      <c r="AA36" s="142">
        <f>--AND('Sales Dashboard'!AN36&lt;&gt;"",OR($B$3="All",'Sales Dashboard'!CF36=$B$3),IF(OR($B$4="All",$B$4="Multiple (ticked)"),IF(COUNTIF($B$6:$M$6,"✔")&gt;0,COUNTIFS($B$5:$M$5,'Sales Dashboard'!AN36,$B$6:$M$6,"✔")&gt;0,$B$4="All"),'Sales Dashboard'!AN36=$B$4))</f>
        <v>1</v>
      </c>
    </row>
    <row r="37" spans="1:27" ht="15" customHeight="1" x14ac:dyDescent="0.25">
      <c r="A37" s="45" t="s">
        <v>517</v>
      </c>
      <c r="B37" s="61" t="str">
        <f t="shared" ref="B37:H37" si="12">IF(OR(B35="",B36=""),"",IFERROR(B36/B35,""))</f>
        <v/>
      </c>
      <c r="C37" s="61" t="str">
        <f t="shared" si="12"/>
        <v/>
      </c>
      <c r="D37" s="61" t="str">
        <f t="shared" si="12"/>
        <v/>
      </c>
      <c r="E37" s="61">
        <f t="shared" ca="1" si="12"/>
        <v>0.15331266092638224</v>
      </c>
      <c r="F37" s="61">
        <f t="shared" ca="1" si="12"/>
        <v>0.15215184734064149</v>
      </c>
      <c r="G37" s="160">
        <f t="shared" ca="1" si="12"/>
        <v>0.17614228679161584</v>
      </c>
      <c r="H37" s="161">
        <f t="shared" ca="1" si="12"/>
        <v>0.17614228679161584</v>
      </c>
      <c r="AA37" s="142">
        <f>--AND('Sales Dashboard'!AN37&lt;&gt;"",OR($B$3="All",'Sales Dashboard'!CF37=$B$3),IF(OR($B$4="All",$B$4="Multiple (ticked)"),IF(COUNTIF($B$6:$M$6,"✔")&gt;0,COUNTIFS($B$5:$M$5,'Sales Dashboard'!AN37,$B$6:$M$6,"✔")&gt;0,$B$4="All"),'Sales Dashboard'!AN37=$B$4))</f>
        <v>1</v>
      </c>
    </row>
    <row r="38" spans="1:27" ht="15" customHeight="1" x14ac:dyDescent="0.25">
      <c r="A38" s="165" t="s">
        <v>423</v>
      </c>
      <c r="B38" s="166" cm="1">
        <f t="array" ref="B38">IF(B$12=0,0,_xlfn.LET(_xlpm.m,ISNUMBER(MATCH(TRIM('TY Sales Target'!$B$5:$B$300),_xlfn._xlws.FILTER('Sales Dashboard'!$AW$5:$AW$301,$AA$5:$AA$301=1),0)),_xlpm.dd,'TY Sales Target'!$K$2:$AO$2,SUMPRODUCT(_xlpm.m*(_xlpm.dd&gt;=B$9)*(_xlpm.dd&lt;=MIN(B$10,'Sales Dashboard'!$AZ$6)),'TY Sales Target'!$K$5:$AO$300)))</f>
        <v>5099265.9022147739</v>
      </c>
      <c r="C38" s="166" cm="1">
        <f t="array" ref="C38">IF(C$12=0,0,_xlfn.LET(_xlpm.m,ISNUMBER(MATCH(TRIM('TY Sales Target'!$B$5:$B$300),_xlfn._xlws.FILTER('Sales Dashboard'!$AW$5:$AW$301,$AA$5:$AA$301=1),0)),_xlpm.dd,'TY Sales Target'!$K$2:$AO$2,SUMPRODUCT(_xlpm.m*(_xlpm.dd&gt;=C$9)*(_xlpm.dd&lt;=MIN(C$10,'Sales Dashboard'!$AZ$6)),'TY Sales Target'!$K$5:$AO$300)))</f>
        <v>5864732.13944316</v>
      </c>
      <c r="D38" s="166" cm="1">
        <f t="array" ref="D38">IF(D$12=0,0,_xlfn.LET(_xlpm.m,ISNUMBER(MATCH(TRIM('TY Sales Target'!$B$5:$B$300),_xlfn._xlws.FILTER('Sales Dashboard'!$AW$5:$AW$301,$AA$5:$AA$301=1),0)),_xlpm.dd,'TY Sales Target'!$K$2:$AO$2,SUMPRODUCT(_xlpm.m*(_xlpm.dd&gt;=D$9)*(_xlpm.dd&lt;=MIN(D$10,'Sales Dashboard'!$AZ$6)),'TY Sales Target'!$K$5:$AO$300)))</f>
        <v>5173329.61001701</v>
      </c>
      <c r="E38" s="166" cm="1">
        <f t="array" ref="E38">IF(E$12=0,0,_xlfn.LET(_xlpm.m,ISNUMBER(MATCH(TRIM('TY Sales Target'!$B$5:$B$300),_xlfn._xlws.FILTER('Sales Dashboard'!$AW$5:$AW$301,$AA$5:$AA$301=1),0)),_xlpm.dd,'TY Sales Target'!$K$2:$AO$2,SUMPRODUCT(_xlpm.m*(_xlpm.dd&gt;=E$9)*(_xlpm.dd&lt;=MIN(E$10,'Sales Dashboard'!$AZ$6)),'TY Sales Target'!$K$5:$AO$300)))</f>
        <v>4848118.5982609242</v>
      </c>
      <c r="F38" s="166" cm="1">
        <f t="array" ref="F38">IF(F$12=0,0,_xlfn.LET(_xlpm.m,ISNUMBER(MATCH(TRIM('TY Sales Target'!$B$5:$B$300),_xlfn._xlws.FILTER('Sales Dashboard'!$AW$5:$AW$301,$AA$5:$AA$301=1),0)),_xlpm.dd,'TY Sales Target'!$K$2:$AO$2,SUMPRODUCT(_xlpm.m*(_xlpm.dd&gt;=F$9)*(_xlpm.dd&lt;=MIN(F$10,'Sales Dashboard'!$AZ$6)),'TY Sales Target'!$K$5:$AO$300)))</f>
        <v>1720372.2220244352</v>
      </c>
      <c r="G38" s="167" cm="1">
        <f t="array" ref="G38">IF(G$12=0,0,_xlfn.LET(_xlpm.m,ISNUMBER(MATCH(TRIM('TY Sales Target'!$B$5:$B$300),_xlfn._xlws.FILTER('Sales Dashboard'!$AW$5:$AW$301,$AA$5:$AA$301=1),0)),_xlpm.dd,'TY Sales Target'!$K$2:$AO$2,SUMPRODUCT(_xlpm.m*(_xlpm.dd&gt;=G$9)*(_xlpm.dd&lt;=MIN(G$10,'Sales Dashboard'!$AZ$6)),'TY Sales Target'!$K$5:$AO$300)))</f>
        <v>22705818.471960336</v>
      </c>
      <c r="H38" s="168" cm="1">
        <f t="array" ref="H38">IF(H$12=0,0,_xlfn.LET(_xlpm.m,ISNUMBER(MATCH(TRIM('TY Sales Target'!$B$5:$B$300),_xlfn._xlws.FILTER('Sales Dashboard'!$AW$5:$AW$301,$AA$5:$AA$301=1),0)),_xlpm.dd,'TY Sales Target'!$K$2:$AO$2,SUMPRODUCT(_xlpm.m*(_xlpm.dd&gt;=H$9)*(_xlpm.dd&lt;=MIN(H$10,'Sales Dashboard'!$AZ$6)),'TY Sales Target'!$K$5:$AO$300)))</f>
        <v>22705818.471960336</v>
      </c>
      <c r="AA38" s="142">
        <f>--AND('Sales Dashboard'!AN38&lt;&gt;"",OR($B$3="All",'Sales Dashboard'!CF38=$B$3),IF(OR($B$4="All",$B$4="Multiple (ticked)"),IF(COUNTIF($B$6:$M$6,"✔")&gt;0,COUNTIFS($B$5:$M$5,'Sales Dashboard'!AN38,$B$6:$M$6,"✔")&gt;0,$B$4="All"),'Sales Dashboard'!AN38=$B$4))</f>
        <v>1</v>
      </c>
    </row>
    <row r="39" spans="1:27" ht="15" customHeight="1" x14ac:dyDescent="0.25">
      <c r="A39" s="165" t="s">
        <v>424</v>
      </c>
      <c r="B39" s="166" cm="1">
        <f t="array" ref="B39">IF(B$12=0,0,_xlfn.LET(_xlpm.m,ISNUMBER(MATCH(TRIM('LY Sales '!$B$5:$B$200),_xlfn._xlws.FILTER('Sales Dashboard'!$AW$5:$AW$301,$AA$5:$AA$301=1),0)),_xlpm.dd,'LY Sales '!$C$2:$AG$2,SUMPRODUCT(_xlpm.m*(_xlpm.dd&gt;=EDATE(B$9,-12))*(_xlpm.dd&lt;=EDATE(MIN(B$10,'Sales Dashboard'!$AZ$6),-12)),'LY Sales '!$C$5:$AG$200)))</f>
        <v>2911949.9099999997</v>
      </c>
      <c r="C39" s="166" cm="1">
        <f t="array" ref="C39">IF(C$12=0,0,_xlfn.LET(_xlpm.m,ISNUMBER(MATCH(TRIM('LY Sales '!$B$5:$B$200),_xlfn._xlws.FILTER('Sales Dashboard'!$AW$5:$AW$301,$AA$5:$AA$301=1),0)),_xlpm.dd,'LY Sales '!$C$2:$AG$2,SUMPRODUCT(_xlpm.m*(_xlpm.dd&gt;=EDATE(C$9,-12))*(_xlpm.dd&lt;=EDATE(MIN(C$10,'Sales Dashboard'!$AZ$6),-12)),'LY Sales '!$C$5:$AG$200)))</f>
        <v>4107049.4599999911</v>
      </c>
      <c r="D39" s="166" cm="1">
        <f t="array" ref="D39">IF(D$12=0,0,_xlfn.LET(_xlpm.m,ISNUMBER(MATCH(TRIM('LY Sales '!$B$5:$B$200),_xlfn._xlws.FILTER('Sales Dashboard'!$AW$5:$AW$301,$AA$5:$AA$301=1),0)),_xlpm.dd,'LY Sales '!$C$2:$AG$2,SUMPRODUCT(_xlpm.m*(_xlpm.dd&gt;=EDATE(D$9,-12))*(_xlpm.dd&lt;=EDATE(MIN(D$10,'Sales Dashboard'!$AZ$6),-12)),'LY Sales '!$C$5:$AG$200)))</f>
        <v>3090825.0599999949</v>
      </c>
      <c r="E39" s="166" cm="1">
        <f t="array" ref="E39">IF(E$12=0,0,_xlfn.LET(_xlpm.m,ISNUMBER(MATCH(TRIM('LY Sales '!$B$5:$B$200),_xlfn._xlws.FILTER('Sales Dashboard'!$AW$5:$AW$301,$AA$5:$AA$301=1),0)),_xlpm.dd,'LY Sales '!$C$2:$AG$2,SUMPRODUCT(_xlpm.m*(_xlpm.dd&gt;=EDATE(E$9,-12))*(_xlpm.dd&lt;=EDATE(MIN(E$10,'Sales Dashboard'!$AZ$6),-12)),'LY Sales '!$C$5:$AG$200)))</f>
        <v>2716675.8899999973</v>
      </c>
      <c r="F39" s="166" cm="1">
        <f t="array" ref="F39">IF(F$12=0,0,_xlfn.LET(_xlpm.m,ISNUMBER(MATCH(TRIM('LY Sales '!$B$5:$B$200),_xlfn._xlws.FILTER('Sales Dashboard'!$AW$5:$AW$301,$AA$5:$AA$301=1),0)),_xlpm.dd,'LY Sales '!$C$2:$AG$2,SUMPRODUCT(_xlpm.m*(_xlpm.dd&gt;=EDATE(F$9,-12))*(_xlpm.dd&lt;=EDATE(MIN(F$10,'Sales Dashboard'!$AZ$6),-12)),'LY Sales '!$C$5:$AG$200)))</f>
        <v>894615.67000000051</v>
      </c>
      <c r="G39" s="167" cm="1">
        <f t="array" ref="G39">IF(G$12=0,0,_xlfn.LET(_xlpm.m,ISNUMBER(MATCH(TRIM('LY Sales '!$B$5:$B$200),_xlfn._xlws.FILTER('Sales Dashboard'!$AW$5:$AW$301,$AA$5:$AA$301=1),0)),_xlpm.dd,'LY Sales '!$C$2:$AG$2,SUMPRODUCT(_xlpm.m*(_xlpm.dd&gt;=EDATE(G$9,-12))*(_xlpm.dd&lt;=EDATE(MIN(G$10,'Sales Dashboard'!$AZ$6),-12)),'LY Sales '!$C$5:$AG$200)))</f>
        <v>13721115.989999961</v>
      </c>
      <c r="H39" s="168" cm="1">
        <f t="array" ref="H39">IF(H$12=0,0,_xlfn.LET(_xlpm.m,ISNUMBER(MATCH(TRIM('LY Sales '!$B$5:$B$200),_xlfn._xlws.FILTER('Sales Dashboard'!$AW$5:$AW$301,$AA$5:$AA$301=1),0)),_xlpm.dd,'LY Sales '!$C$2:$AG$2,SUMPRODUCT(_xlpm.m*(_xlpm.dd&gt;=EDATE(H$9,-12))*(_xlpm.dd&lt;=EDATE(MIN(H$10,'Sales Dashboard'!$AZ$6),-12)),'LY Sales '!$C$5:$AG$200)))</f>
        <v>13721115.989999961</v>
      </c>
      <c r="AA39" s="142">
        <f>--AND('Sales Dashboard'!AN39&lt;&gt;"",OR($B$3="All",'Sales Dashboard'!CF39=$B$3),IF(OR($B$4="All",$B$4="Multiple (ticked)"),IF(COUNTIF($B$6:$M$6,"✔")&gt;0,COUNTIFS($B$5:$M$5,'Sales Dashboard'!AN39,$B$6:$M$6,"✔")&gt;0,$B$4="All"),'Sales Dashboard'!AN39=$B$4))</f>
        <v>1</v>
      </c>
    </row>
    <row r="40" spans="1:27" ht="15" customHeight="1" x14ac:dyDescent="0.25">
      <c r="A40" s="165" t="s">
        <v>425</v>
      </c>
      <c r="B40" s="166" cm="1">
        <f t="array" ref="B40">IF(B$12=0,0,_xlfn.LET(_xlpm.m,ISNUMBER(MATCH(TRIM('LY Transaction'!$B$5:$B$200),_xlfn._xlws.FILTER('Sales Dashboard'!$AW$5:$AW$301,$AA$5:$AA$301=1),0)),_xlpm.dd,'LY Transaction'!$C$2:$AG$2,SUMPRODUCT(_xlpm.m*(_xlpm.dd&gt;=EDATE(B$9,-12))*(_xlpm.dd&lt;=EDATE(MIN(B$10,'Sales Dashboard'!$AZ$6),-12)),'LY Transaction'!$C$5:$AG$200)))</f>
        <v>22243</v>
      </c>
      <c r="C40" s="166" cm="1">
        <f t="array" ref="C40">IF(C$12=0,0,_xlfn.LET(_xlpm.m,ISNUMBER(MATCH(TRIM('LY Transaction'!$B$5:$B$200),_xlfn._xlws.FILTER('Sales Dashboard'!$AW$5:$AW$301,$AA$5:$AA$301=1),0)),_xlpm.dd,'LY Transaction'!$C$2:$AG$2,SUMPRODUCT(_xlpm.m*(_xlpm.dd&gt;=EDATE(C$9,-12))*(_xlpm.dd&lt;=EDATE(MIN(C$10,'Sales Dashboard'!$AZ$6),-12)),'LY Transaction'!$C$5:$AG$200)))</f>
        <v>27104</v>
      </c>
      <c r="D40" s="166" cm="1">
        <f t="array" ref="D40">IF(D$12=0,0,_xlfn.LET(_xlpm.m,ISNUMBER(MATCH(TRIM('LY Transaction'!$B$5:$B$200),_xlfn._xlws.FILTER('Sales Dashboard'!$AW$5:$AW$301,$AA$5:$AA$301=1),0)),_xlpm.dd,'LY Transaction'!$C$2:$AG$2,SUMPRODUCT(_xlpm.m*(_xlpm.dd&gt;=EDATE(D$9,-12))*(_xlpm.dd&lt;=EDATE(MIN(D$10,'Sales Dashboard'!$AZ$6),-12)),'LY Transaction'!$C$5:$AG$200)))</f>
        <v>19335</v>
      </c>
      <c r="E40" s="166" cm="1">
        <f t="array" ref="E40">IF(E$12=0,0,_xlfn.LET(_xlpm.m,ISNUMBER(MATCH(TRIM('LY Transaction'!$B$5:$B$200),_xlfn._xlws.FILTER('Sales Dashboard'!$AW$5:$AW$301,$AA$5:$AA$301=1),0)),_xlpm.dd,'LY Transaction'!$C$2:$AG$2,SUMPRODUCT(_xlpm.m*(_xlpm.dd&gt;=EDATE(E$9,-12))*(_xlpm.dd&lt;=EDATE(MIN(E$10,'Sales Dashboard'!$AZ$6),-12)),'LY Transaction'!$C$5:$AG$200)))</f>
        <v>17042</v>
      </c>
      <c r="F40" s="166" cm="1">
        <f t="array" ref="F40">IF(F$12=0,0,_xlfn.LET(_xlpm.m,ISNUMBER(MATCH(TRIM('LY Transaction'!$B$5:$B$200),_xlfn._xlws.FILTER('Sales Dashboard'!$AW$5:$AW$301,$AA$5:$AA$301=1),0)),_xlpm.dd,'LY Transaction'!$C$2:$AG$2,SUMPRODUCT(_xlpm.m*(_xlpm.dd&gt;=EDATE(F$9,-12))*(_xlpm.dd&lt;=EDATE(MIN(F$10,'Sales Dashboard'!$AZ$6),-12)),'LY Transaction'!$C$5:$AG$200)))</f>
        <v>5584</v>
      </c>
      <c r="G40" s="167" cm="1">
        <f t="array" ref="G40">IF(G$12=0,0,_xlfn.LET(_xlpm.m,ISNUMBER(MATCH(TRIM('LY Transaction'!$B$5:$B$200),_xlfn._xlws.FILTER('Sales Dashboard'!$AW$5:$AW$301,$AA$5:$AA$301=1),0)),_xlpm.dd,'LY Transaction'!$C$2:$AG$2,SUMPRODUCT(_xlpm.m*(_xlpm.dd&gt;=EDATE(G$9,-12))*(_xlpm.dd&lt;=EDATE(MIN(G$10,'Sales Dashboard'!$AZ$6),-12)),'LY Transaction'!$C$5:$AG$200)))</f>
        <v>91308</v>
      </c>
      <c r="H40" s="168" cm="1">
        <f t="array" ref="H40">IF(H$12=0,0,_xlfn.LET(_xlpm.m,ISNUMBER(MATCH(TRIM('LY Transaction'!$B$5:$B$200),_xlfn._xlws.FILTER('Sales Dashboard'!$AW$5:$AW$301,$AA$5:$AA$301=1),0)),_xlpm.dd,'LY Transaction'!$C$2:$AG$2,SUMPRODUCT(_xlpm.m*(_xlpm.dd&gt;=EDATE(H$9,-12))*(_xlpm.dd&lt;=EDATE(MIN(H$10,'Sales Dashboard'!$AZ$6),-12)),'LY Transaction'!$C$5:$AG$200)))</f>
        <v>91308</v>
      </c>
      <c r="AA40" s="142">
        <f>--AND('Sales Dashboard'!AN40&lt;&gt;"",OR($B$3="All",'Sales Dashboard'!CF40=$B$3),IF(OR($B$4="All",$B$4="Multiple (ticked)"),IF(COUNTIF($B$6:$M$6,"✔")&gt;0,COUNTIFS($B$5:$M$5,'Sales Dashboard'!AN40,$B$6:$M$6,"✔")&gt;0,$B$4="All"),'Sales Dashboard'!AN40=$B$4))</f>
        <v>1</v>
      </c>
    </row>
    <row r="41" spans="1:27" ht="15" customHeight="1" x14ac:dyDescent="0.25">
      <c r="A41" s="169" t="s">
        <v>427</v>
      </c>
      <c r="AA41" s="142">
        <f>--AND('Sales Dashboard'!AN41&lt;&gt;"",OR($B$3="All",'Sales Dashboard'!CF41=$B$3),IF(OR($B$4="All",$B$4="Multiple (ticked)"),IF(COUNTIF($B$6:$M$6,"✔")&gt;0,COUNTIFS($B$5:$M$5,'Sales Dashboard'!AN41,$B$6:$M$6,"✔")&gt;0,$B$4="All"),'Sales Dashboard'!AN41=$B$4))</f>
        <v>1</v>
      </c>
    </row>
    <row r="42" spans="1:27" ht="15" customHeight="1" x14ac:dyDescent="0.25">
      <c r="AA42" s="142">
        <f>--AND('Sales Dashboard'!AN42&lt;&gt;"",OR($B$3="All",'Sales Dashboard'!CF42=$B$3),IF(OR($B$4="All",$B$4="Multiple (ticked)"),IF(COUNTIF($B$6:$M$6,"✔")&gt;0,COUNTIFS($B$5:$M$5,'Sales Dashboard'!AN42,$B$6:$M$6,"✔")&gt;0,$B$4="All"),'Sales Dashboard'!AN42=$B$4))</f>
        <v>1</v>
      </c>
    </row>
    <row r="43" spans="1:27" ht="15" customHeight="1" x14ac:dyDescent="0.25">
      <c r="AA43" s="142">
        <f>--AND('Sales Dashboard'!AN43&lt;&gt;"",OR($B$3="All",'Sales Dashboard'!CF43=$B$3),IF(OR($B$4="All",$B$4="Multiple (ticked)"),IF(COUNTIF($B$6:$M$6,"✔")&gt;0,COUNTIFS($B$5:$M$5,'Sales Dashboard'!AN43,$B$6:$M$6,"✔")&gt;0,$B$4="All"),'Sales Dashboard'!AN43=$B$4))</f>
        <v>1</v>
      </c>
    </row>
    <row r="44" spans="1:27" ht="15.75" customHeight="1" x14ac:dyDescent="0.3">
      <c r="A44" s="49" t="s">
        <v>224</v>
      </c>
      <c r="C44" s="62" t="s">
        <v>210</v>
      </c>
      <c r="D44" s="62" t="s">
        <v>211</v>
      </c>
      <c r="E44" s="62" t="s">
        <v>212</v>
      </c>
      <c r="AA44" s="142">
        <f>--AND('Sales Dashboard'!AN44&lt;&gt;"",OR($B$3="All",'Sales Dashboard'!CF44=$B$3),IF(OR($B$4="All",$B$4="Multiple (ticked)"),IF(COUNTIF($B$6:$M$6,"✔")&gt;0,COUNTIFS($B$5:$M$5,'Sales Dashboard'!AN44,$B$6:$M$6,"✔")&gt;0,$B$4="All"),'Sales Dashboard'!AN44=$B$4))</f>
        <v>1</v>
      </c>
    </row>
    <row r="45" spans="1:27" ht="15" customHeight="1" x14ac:dyDescent="0.3">
      <c r="A45" s="10" t="s">
        <v>225</v>
      </c>
      <c r="B45" s="63" t="s">
        <v>217</v>
      </c>
      <c r="C45" s="64">
        <f>INDEX($B$115:$B$119,MATCH($B45,$A$115:$A$119,0))</f>
        <v>46299</v>
      </c>
      <c r="D45" s="64">
        <f>INDEX($C$115:$C$119,MATCH($B45,$A$115:$A$119,0))</f>
        <v>46305</v>
      </c>
      <c r="E45" s="65">
        <f>MAX(0,MIN($D45,'Sales Dashboard'!$AZ$6)-$C45+1)</f>
        <v>7</v>
      </c>
      <c r="F45" s="66" t="str">
        <f>IF(E45=0,"No data yet for this week",IF(E45&lt;D45-C45+1,"Partial week: "&amp;E45&amp;" of "&amp;(D45-C45+1)&amp;" days",""))</f>
        <v/>
      </c>
      <c r="AA45" s="142">
        <f>--AND('Sales Dashboard'!AN45&lt;&gt;"",OR($B$3="All",'Sales Dashboard'!CF45=$B$3),IF(OR($B$4="All",$B$4="Multiple (ticked)"),IF(COUNTIF($B$6:$M$6,"✔")&gt;0,COUNTIFS($B$5:$M$5,'Sales Dashboard'!AN45,$B$6:$M$6,"✔")&gt;0,$B$4="All"),'Sales Dashboard'!AN45=$B$4))</f>
        <v>1</v>
      </c>
    </row>
    <row r="46" spans="1:27" ht="15" customHeight="1" x14ac:dyDescent="0.3">
      <c r="A46" s="10" t="s">
        <v>226</v>
      </c>
      <c r="B46" s="63" t="s">
        <v>218</v>
      </c>
      <c r="C46" s="64">
        <f>INDEX($B$115:$B$119,MATCH($B46,$A$115:$A$119,0))</f>
        <v>46306</v>
      </c>
      <c r="D46" s="64">
        <f>INDEX($C$115:$C$119,MATCH($B46,$A$115:$A$119,0))</f>
        <v>46312</v>
      </c>
      <c r="E46" s="65">
        <f>MAX(0,MIN($D46,'Sales Dashboard'!$AZ$6)-$C46+1)</f>
        <v>7</v>
      </c>
      <c r="F46" s="66" t="str">
        <f>IF(E46=0,"No data yet for this week",IF(E46&lt;D46-C46+1,"Partial week: "&amp;E46&amp;" of "&amp;(D46-C46+1)&amp;" days",""))</f>
        <v/>
      </c>
      <c r="AA46" s="142">
        <f>--AND('Sales Dashboard'!AN46&lt;&gt;"",OR($B$3="All",'Sales Dashboard'!CF46=$B$3),IF(OR($B$4="All",$B$4="Multiple (ticked)"),IF(COUNTIF($B$6:$M$6,"✔")&gt;0,COUNTIFS($B$5:$M$5,'Sales Dashboard'!AN46,$B$6:$M$6,"✔")&gt;0,$B$4="All"),'Sales Dashboard'!AN46=$B$4))</f>
        <v>1</v>
      </c>
    </row>
    <row r="47" spans="1:27" ht="15" customHeight="1" x14ac:dyDescent="0.25">
      <c r="AA47" s="142">
        <f>--AND('Sales Dashboard'!AN47&lt;&gt;"",OR($B$3="All",'Sales Dashboard'!CF47=$B$3),IF(OR($B$4="All",$B$4="Multiple (ticked)"),IF(COUNTIF($B$6:$M$6,"✔")&gt;0,COUNTIFS($B$5:$M$5,'Sales Dashboard'!AN47,$B$6:$M$6,"✔")&gt;0,$B$4="All"),'Sales Dashboard'!AN47=$B$4))</f>
        <v>1</v>
      </c>
    </row>
    <row r="48" spans="1:27" ht="15" customHeight="1" x14ac:dyDescent="0.25">
      <c r="A48" s="72" t="s">
        <v>227</v>
      </c>
      <c r="B48" s="50" t="str">
        <f>$B$45&amp;" ("&amp;TEXT($C$45,"d mmm")&amp;"–"&amp;TEXT($D$45,"d mmm")&amp;")"</f>
        <v>WK2 (4 Oct–10 Oct)</v>
      </c>
      <c r="C48" s="50" t="str">
        <f>$B$46&amp;" ("&amp;TEXT($C$46,"d mmm")&amp;"–"&amp;TEXT($D$46,"d mmm")&amp;")"</f>
        <v>WK3 (11 Oct–17 Oct)</v>
      </c>
      <c r="D48" s="50" t="s">
        <v>228</v>
      </c>
      <c r="E48" s="50" t="s">
        <v>229</v>
      </c>
      <c r="G48" s="50" t="s">
        <v>398</v>
      </c>
      <c r="H48" s="50" t="str">
        <f>B48</f>
        <v>WK2 (4 Oct–10 Oct)</v>
      </c>
      <c r="I48" s="50" t="str">
        <f>C48</f>
        <v>WK3 (11 Oct–17 Oct)</v>
      </c>
      <c r="J48" s="50" t="s">
        <v>228</v>
      </c>
      <c r="K48" s="50" t="s">
        <v>229</v>
      </c>
      <c r="AA48" s="142">
        <f>--AND('Sales Dashboard'!AN48&lt;&gt;"",OR($B$3="All",'Sales Dashboard'!CF48=$B$3),IF(OR($B$4="All",$B$4="Multiple (ticked)"),IF(COUNTIF($B$6:$M$6,"✔")&gt;0,COUNTIFS($B$5:$M$5,'Sales Dashboard'!AN48,$B$6:$M$6,"✔")&gt;0,$B$4="All"),'Sales Dashboard'!AN48=$B$4))</f>
        <v>1</v>
      </c>
    </row>
    <row r="49" spans="1:27" ht="15" customHeight="1" x14ac:dyDescent="0.25">
      <c r="A49" s="73" t="s">
        <v>212</v>
      </c>
      <c r="B49" s="53">
        <f>$E$45</f>
        <v>7</v>
      </c>
      <c r="C49" s="53">
        <f>$E$46</f>
        <v>7</v>
      </c>
      <c r="D49" s="67">
        <f t="shared" ref="D49:D54" si="13">C49-B49</f>
        <v>0</v>
      </c>
      <c r="E49" s="55"/>
      <c r="G49" s="73" t="s">
        <v>397</v>
      </c>
      <c r="H49" s="53">
        <f>INDEX($R$115:$R$119,MATCH($B$45,$A$115:$A$119,0))</f>
        <v>5864732.13944316</v>
      </c>
      <c r="I49" s="53">
        <f>INDEX($R$115:$R$119,MATCH($B$46,$A$115:$A$119,0))</f>
        <v>5173329.61001701</v>
      </c>
      <c r="J49" s="67">
        <f>I49-H49</f>
        <v>-691402.52942615002</v>
      </c>
      <c r="K49" s="55">
        <f>IFERROR(I49/H49-1,"")</f>
        <v>-0.11789157850469134</v>
      </c>
      <c r="AA49" s="142">
        <f>--AND('Sales Dashboard'!AN49&lt;&gt;"",OR($B$3="All",'Sales Dashboard'!CF49=$B$3),IF(OR($B$4="All",$B$4="Multiple (ticked)"),IF(COUNTIF($B$6:$M$6,"✔")&gt;0,COUNTIFS($B$5:$M$5,'Sales Dashboard'!AN49,$B$6:$M$6,"✔")&gt;0,$B$4="All"),'Sales Dashboard'!AN49=$B$4))</f>
        <v>1</v>
      </c>
    </row>
    <row r="50" spans="1:27" ht="15" customHeight="1" x14ac:dyDescent="0.25">
      <c r="A50" s="73" t="s">
        <v>213</v>
      </c>
      <c r="B50" s="53">
        <f>B60</f>
        <v>4534581.1900000013</v>
      </c>
      <c r="C50" s="53">
        <f>C60</f>
        <v>3627161.1500000013</v>
      </c>
      <c r="D50" s="67">
        <f t="shared" si="13"/>
        <v>-907420.04</v>
      </c>
      <c r="E50" s="55">
        <f>IFERROR(C50/B50-1,"")</f>
        <v>-0.20011110221184503</v>
      </c>
      <c r="G50" s="74" t="s">
        <v>183</v>
      </c>
      <c r="H50" s="71">
        <f>IFERROR(B50/H49,"")</f>
        <v>0.77319493579301768</v>
      </c>
      <c r="I50" s="71">
        <f>IFERROR(C50/I49,"")</f>
        <v>0.70112701556398127</v>
      </c>
      <c r="J50" s="71">
        <f>IFERROR(I50-H50,"")</f>
        <v>-7.2067920229036408E-2</v>
      </c>
      <c r="K50" s="141" t="s">
        <v>399</v>
      </c>
      <c r="AA50" s="142">
        <f>--AND('Sales Dashboard'!AN50&lt;&gt;"",OR($B$3="All",'Sales Dashboard'!CF50=$B$3),IF(OR($B$4="All",$B$4="Multiple (ticked)"),IF(COUNTIF($B$6:$M$6,"✔")&gt;0,COUNTIFS($B$5:$M$5,'Sales Dashboard'!AN50,$B$6:$M$6,"✔")&gt;0,$B$4="All"),'Sales Dashboard'!AN50=$B$4))</f>
        <v>1</v>
      </c>
    </row>
    <row r="51" spans="1:27" ht="15" customHeight="1" x14ac:dyDescent="0.25">
      <c r="A51" s="73" t="s">
        <v>230</v>
      </c>
      <c r="B51" s="53">
        <f ca="1">E60</f>
        <v>27895</v>
      </c>
      <c r="C51" s="53">
        <f ca="1">F60</f>
        <v>22211</v>
      </c>
      <c r="D51" s="67">
        <f t="shared" ca="1" si="13"/>
        <v>-5684</v>
      </c>
      <c r="E51" s="55">
        <f ca="1">IFERROR(C51/B51-1,"")</f>
        <v>-0.20376411543287332</v>
      </c>
      <c r="G51" s="73" t="s">
        <v>400</v>
      </c>
      <c r="H51" s="53">
        <f>INDEX($P$115:$P$119,MATCH($B$45,$A$115:$A$119,0))</f>
        <v>4107049.4599999911</v>
      </c>
      <c r="I51" s="53">
        <f>INDEX($P$115:$P$119,MATCH($B$46,$A$115:$A$119,0))</f>
        <v>3090825.0599999949</v>
      </c>
      <c r="J51" s="67">
        <f>I51-H51</f>
        <v>-1016224.3999999962</v>
      </c>
      <c r="K51" s="55">
        <f>IFERROR(I51/H51-1,"")</f>
        <v>-0.24743417626141717</v>
      </c>
      <c r="AA51" s="142">
        <f>--AND('Sales Dashboard'!AN51&lt;&gt;"",OR($B$3="All",'Sales Dashboard'!CF51=$B$3),IF(OR($B$4="All",$B$4="Multiple (ticked)"),IF(COUNTIF($B$6:$M$6,"✔")&gt;0,COUNTIFS($B$5:$M$5,'Sales Dashboard'!AN51,$B$6:$M$6,"✔")&gt;0,$B$4="All"),'Sales Dashboard'!AN51=$B$4))</f>
        <v>1</v>
      </c>
    </row>
    <row r="52" spans="1:27" ht="15" customHeight="1" x14ac:dyDescent="0.25">
      <c r="A52" s="73" t="s">
        <v>231</v>
      </c>
      <c r="B52" s="54">
        <f ca="1">IFERROR(B50/B51,0)</f>
        <v>162.55892417996063</v>
      </c>
      <c r="C52" s="54">
        <f ca="1">IFERROR(C50/C51,0)</f>
        <v>163.3047206339202</v>
      </c>
      <c r="D52" s="68">
        <f t="shared" ca="1" si="13"/>
        <v>0.74579645395957073</v>
      </c>
      <c r="E52" s="55">
        <f ca="1">IFERROR(C52/B52-1,"")</f>
        <v>4.5878530368097525E-3</v>
      </c>
      <c r="G52" s="74" t="s">
        <v>392</v>
      </c>
      <c r="H52" s="71">
        <f>IFERROR(B50/H51-1,"")</f>
        <v>0.1040970492719635</v>
      </c>
      <c r="I52" s="71">
        <f>IFERROR(C50/I51-1,"")</f>
        <v>0.17352521724409953</v>
      </c>
      <c r="J52" s="71">
        <f>IFERROR(I52-H52,"")</f>
        <v>6.9428167972136023E-2</v>
      </c>
      <c r="K52" s="141" t="s">
        <v>399</v>
      </c>
      <c r="AA52" s="142">
        <f>--AND('Sales Dashboard'!AN52&lt;&gt;"",OR($B$3="All",'Sales Dashboard'!CF52=$B$3),IF(OR($B$4="All",$B$4="Multiple (ticked)"),IF(COUNTIF($B$6:$M$6,"✔")&gt;0,COUNTIFS($B$5:$M$5,'Sales Dashboard'!AN52,$B$6:$M$6,"✔")&gt;0,$B$4="All"),'Sales Dashboard'!AN52=$B$4))</f>
        <v>1</v>
      </c>
    </row>
    <row r="53" spans="1:27" ht="15" customHeight="1" x14ac:dyDescent="0.25">
      <c r="A53" s="74" t="s">
        <v>215</v>
      </c>
      <c r="B53" s="69">
        <f>IFERROR(B50/B49,0)</f>
        <v>647797.312857143</v>
      </c>
      <c r="C53" s="69">
        <f>IFERROR(C50/C49,0)</f>
        <v>518165.87857142877</v>
      </c>
      <c r="D53" s="70">
        <f t="shared" si="13"/>
        <v>-129631.43428571423</v>
      </c>
      <c r="E53" s="71">
        <f>IFERROR(C53/B53-1,"")</f>
        <v>-0.20011110221184492</v>
      </c>
      <c r="G53" s="73" t="s">
        <v>401</v>
      </c>
      <c r="H53" s="53">
        <f>INDEX($Q$115:$Q$119,MATCH($B$45,$A$115:$A$119,0))</f>
        <v>27104</v>
      </c>
      <c r="I53" s="53">
        <f>INDEX($Q$115:$Q$119,MATCH($B$46,$A$115:$A$119,0))</f>
        <v>19335</v>
      </c>
      <c r="J53" s="67">
        <f>I53-H53</f>
        <v>-7769</v>
      </c>
      <c r="K53" s="55">
        <f>IFERROR(I53/H53-1,"")</f>
        <v>-0.28663665879574973</v>
      </c>
      <c r="AA53" s="142">
        <f>--AND('Sales Dashboard'!AN53&lt;&gt;"",OR($B$3="All",'Sales Dashboard'!CF53=$B$3),IF(OR($B$4="All",$B$4="Multiple (ticked)"),IF(COUNTIF($B$6:$M$6,"✔")&gt;0,COUNTIFS($B$5:$M$5,'Sales Dashboard'!AN53,$B$6:$M$6,"✔")&gt;0,$B$4="All"),'Sales Dashboard'!AN53=$B$4))</f>
        <v>1</v>
      </c>
    </row>
    <row r="54" spans="1:27" ht="15" customHeight="1" x14ac:dyDescent="0.25">
      <c r="A54" s="74" t="s">
        <v>232</v>
      </c>
      <c r="B54" s="69">
        <f ca="1">IFERROR(B51/B49,0)</f>
        <v>3985</v>
      </c>
      <c r="C54" s="69">
        <f ca="1">IFERROR(C51/C49,0)</f>
        <v>3173</v>
      </c>
      <c r="D54" s="70">
        <f t="shared" ca="1" si="13"/>
        <v>-812</v>
      </c>
      <c r="E54" s="71">
        <f ca="1">IFERROR(C54/B54-1,"")</f>
        <v>-0.20376411543287332</v>
      </c>
      <c r="G54" s="74" t="s">
        <v>393</v>
      </c>
      <c r="H54" s="71">
        <f ca="1">IFERROR(B51/H53-1,"")</f>
        <v>2.9183884297520724E-2</v>
      </c>
      <c r="I54" s="71">
        <f ca="1">IFERROR(C51/I53-1,"")</f>
        <v>0.14874579777605379</v>
      </c>
      <c r="J54" s="71">
        <f ca="1">IFERROR(I54-H54,"")</f>
        <v>0.11956191347853307</v>
      </c>
      <c r="K54" s="141" t="s">
        <v>399</v>
      </c>
      <c r="AA54" s="142">
        <f>--AND('Sales Dashboard'!AN54&lt;&gt;"",OR($B$3="All",'Sales Dashboard'!CF54=$B$3),IF(OR($B$4="All",$B$4="Multiple (ticked)"),IF(COUNTIF($B$6:$M$6,"✔")&gt;0,COUNTIFS($B$5:$M$5,'Sales Dashboard'!AN54,$B$6:$M$6,"✔")&gt;0,$B$4="All"),'Sales Dashboard'!AN54=$B$4))</f>
        <v>1</v>
      </c>
    </row>
    <row r="55" spans="1:27" ht="15" customHeight="1" x14ac:dyDescent="0.3">
      <c r="A55" s="47" t="s">
        <v>233</v>
      </c>
      <c r="AA55" s="142">
        <f>--AND('Sales Dashboard'!AN55&lt;&gt;"",OR($B$3="All",'Sales Dashboard'!CF55=$B$3),IF(OR($B$4="All",$B$4="Multiple (ticked)"),IF(COUNTIF($B$6:$M$6,"✔")&gt;0,COUNTIFS($B$5:$M$5,'Sales Dashboard'!AN55,$B$6:$M$6,"✔")&gt;0,$B$4="All"),'Sales Dashboard'!AN55=$B$4))</f>
        <v>1</v>
      </c>
    </row>
    <row r="56" spans="1:27" ht="15" customHeight="1" x14ac:dyDescent="0.25">
      <c r="AA56" s="142">
        <f>--AND('Sales Dashboard'!AN56&lt;&gt;"",OR($B$3="All",'Sales Dashboard'!CF56=$B$3),IF(OR($B$4="All",$B$4="Multiple (ticked)"),IF(COUNTIF($B$6:$M$6,"✔")&gt;0,COUNTIFS($B$5:$M$5,'Sales Dashboard'!AN56,$B$6:$M$6,"✔")&gt;0,$B$4="All"),'Sales Dashboard'!AN56=$B$4))</f>
        <v>1</v>
      </c>
    </row>
    <row r="57" spans="1:27" ht="15.75" customHeight="1" x14ac:dyDescent="0.3">
      <c r="A57" s="49" t="s">
        <v>234</v>
      </c>
      <c r="AA57" s="142">
        <f>--AND('Sales Dashboard'!AN57&lt;&gt;"",OR($B$3="All",'Sales Dashboard'!CF57=$B$3),IF(OR($B$4="All",$B$4="Multiple (ticked)"),IF(COUNTIF($B$6:$M$6,"✔")&gt;0,COUNTIFS($B$5:$M$5,'Sales Dashboard'!AN57,$B$6:$M$6,"✔")&gt;0,$B$4="All"),'Sales Dashboard'!AN57=$B$4))</f>
        <v>1</v>
      </c>
    </row>
    <row r="58" spans="1:27" ht="15" customHeight="1" x14ac:dyDescent="0.25">
      <c r="AA58" s="142">
        <f>--AND('Sales Dashboard'!AN58&lt;&gt;"",OR($B$3="All",'Sales Dashboard'!CF58=$B$3),IF(OR($B$4="All",$B$4="Multiple (ticked)"),IF(COUNTIF($B$6:$M$6,"✔")&gt;0,COUNTIFS($B$5:$M$5,'Sales Dashboard'!AN58,$B$6:$M$6,"✔")&gt;0,$B$4="All"),'Sales Dashboard'!AN58=$B$4))</f>
        <v>1</v>
      </c>
    </row>
    <row r="59" spans="1:27" ht="30" customHeight="1" x14ac:dyDescent="0.25">
      <c r="A59" s="50" t="s">
        <v>134</v>
      </c>
      <c r="B59" s="50" t="str">
        <f>"Sales "&amp;$B$45</f>
        <v>Sales WK2</v>
      </c>
      <c r="C59" s="50" t="str">
        <f>"Sales "&amp;$B$46</f>
        <v>Sales WK3</v>
      </c>
      <c r="D59" s="50" t="s">
        <v>235</v>
      </c>
      <c r="E59" s="50" t="str">
        <f>"Trans "&amp;$B$45</f>
        <v>Trans WK2</v>
      </c>
      <c r="F59" s="50" t="str">
        <f>"Trans "&amp;$B$46</f>
        <v>Trans WK3</v>
      </c>
      <c r="G59" s="50" t="s">
        <v>235</v>
      </c>
      <c r="H59" s="50" t="str">
        <f>"ATV "&amp;$B$45</f>
        <v>ATV WK2</v>
      </c>
      <c r="I59" s="50" t="str">
        <f>"ATV "&amp;$B$46</f>
        <v>ATV WK3</v>
      </c>
      <c r="J59" s="50" t="s">
        <v>235</v>
      </c>
      <c r="K59" s="50" t="str">
        <f>"Avg Daily Sales "&amp;$B$45</f>
        <v>Avg Daily Sales WK2</v>
      </c>
      <c r="L59" s="50" t="str">
        <f>"Avg Daily Sales "&amp;$B$46</f>
        <v>Avg Daily Sales WK3</v>
      </c>
      <c r="M59" s="50" t="s">
        <v>235</v>
      </c>
      <c r="AA59" s="142">
        <f>--AND('Sales Dashboard'!AN59&lt;&gt;"",OR($B$3="All",'Sales Dashboard'!CF59=$B$3),IF(OR($B$4="All",$B$4="Multiple (ticked)"),IF(COUNTIF($B$6:$M$6,"✔")&gt;0,COUNTIFS($B$5:$M$5,'Sales Dashboard'!AN59,$B$6:$M$6,"✔")&gt;0,$B$4="All"),'Sales Dashboard'!AN59=$B$4))</f>
        <v>1</v>
      </c>
    </row>
    <row r="60" spans="1:27" ht="15" customHeight="1" x14ac:dyDescent="0.25">
      <c r="A60" s="56" t="s">
        <v>0</v>
      </c>
      <c r="B60" s="58">
        <f>SUM(B61:B72)</f>
        <v>4534581.1900000013</v>
      </c>
      <c r="C60" s="58">
        <f>SUM(C61:C72)</f>
        <v>3627161.1500000013</v>
      </c>
      <c r="D60" s="60">
        <f>IFERROR(C60/B60-1,"")</f>
        <v>-0.20011110221184503</v>
      </c>
      <c r="E60" s="58">
        <f ca="1">SUM(E61:E72)</f>
        <v>27895</v>
      </c>
      <c r="F60" s="58">
        <f ca="1">SUM(F61:F72)</f>
        <v>22211</v>
      </c>
      <c r="G60" s="60">
        <f ca="1">IFERROR(F60/E60-1,"")</f>
        <v>-0.20376411543287332</v>
      </c>
      <c r="H60" s="59">
        <f ca="1">IFERROR(B60/E60,0)</f>
        <v>162.55892417996063</v>
      </c>
      <c r="I60" s="59">
        <f ca="1">IFERROR(C60/F60,0)</f>
        <v>163.3047206339202</v>
      </c>
      <c r="J60" s="60">
        <f ca="1">IFERROR(I60/H60-1,"")</f>
        <v>4.5878530368097525E-3</v>
      </c>
      <c r="K60" s="58">
        <f>IFERROR(B60/$E$45,0)</f>
        <v>647797.312857143</v>
      </c>
      <c r="L60" s="58">
        <f>IFERROR(C60/$E$46,0)</f>
        <v>518165.87857142877</v>
      </c>
      <c r="M60" s="60">
        <f>IFERROR(L60/K60-1,"")</f>
        <v>-0.20011110221184492</v>
      </c>
      <c r="AA60" s="142">
        <f>--AND('Sales Dashboard'!AN60&lt;&gt;"",OR($B$3="All",'Sales Dashboard'!CF60=$B$3),IF(OR($B$4="All",$B$4="Multiple (ticked)"),IF(COUNTIF($B$6:$M$6,"✔")&gt;0,COUNTIFS($B$5:$M$5,'Sales Dashboard'!AN60,$B$6:$M$6,"✔")&gt;0,$B$4="All"),'Sales Dashboard'!AN60=$B$4))</f>
        <v>1</v>
      </c>
    </row>
    <row r="61" spans="1:27" ht="15" customHeight="1" x14ac:dyDescent="0.25">
      <c r="A61" s="45" t="str" cm="1">
        <f t="array" ref="A61:A68">_xlfn._xlws.SORT(_xlfn.UNIQUE(_xlfn._xlws.FILTER('Sales Dashboard'!$AN$5:$AN$301,($AA$5:$AA$301=1)*($AA$5:$AA$301=1))))</f>
        <v>Ahlam Al Zahrani</v>
      </c>
      <c r="B61" s="53" cm="1">
        <f t="array" ref="B61">IF($A61="","",_xlfn.LET(_xlpm.d,IFERROR(--'Sales and count'!$G$2:$CZ$2,0),SUMPRODUCT(('Sales Dashboard'!$AN$5:$AN$301=$A61)*($AA$5:$AA$301=1)*(_xlpm.d&gt;=$C$45)*(_xlpm.d&lt;=$D$45)*('Sales and count'!$G$3:$CZ$3="Total"),'Sales and count'!$G$4:$CZ$300)))</f>
        <v>484725.14000000007</v>
      </c>
      <c r="C61" s="53" cm="1">
        <f t="array" ref="C61">IF($A61="","",_xlfn.LET(_xlpm.d,IFERROR(--'Sales and count'!$G$2:$CZ$2,0),SUMPRODUCT(('Sales Dashboard'!$AN$5:$AN$301=$A61)*($AA$5:$AA$301=1)*(_xlpm.d&gt;=$C$46)*(_xlpm.d&lt;=$D$46)*('Sales and count'!$G$3:$CZ$3="Total"),'Sales and count'!$G$4:$CZ$300)))</f>
        <v>376189.46000000014</v>
      </c>
      <c r="D61" s="55">
        <f t="shared" ref="D61:D72" si="14">IF($A61="","",IFERROR(C61/B61-1,""))</f>
        <v>-0.22391180288276347</v>
      </c>
      <c r="E61" s="53" cm="1">
        <f t="array" aca="1" ref="E61" ca="1">IF($A61="","",_xlfn.LET(_xlpm.d,IFERROR(--'Sales and count'!$F$2:$CY$2,0),SUMPRODUCT(('Sales Dashboard'!$AN$5:$AN$301=$A61)*($AA$5:$AA$301=1)*(_xlpm.d&gt;=$C$45)*(_xlpm.d&lt;=$D$45)*('Sales and count'!$G$3:$CZ$3="Transactions"),'Sales and count'!$G$4:$CZ$300)))</f>
        <v>3084</v>
      </c>
      <c r="F61" s="53" cm="1">
        <f t="array" aca="1" ref="F61" ca="1">IF($A61="","",_xlfn.LET(_xlpm.d,IFERROR(--'Sales and count'!$F$2:$CY$2,0),SUMPRODUCT(('Sales Dashboard'!$AN$5:$AN$301=$A61)*($AA$5:$AA$301=1)*(_xlpm.d&gt;=$C$46)*(_xlpm.d&lt;=$D$46)*('Sales and count'!$G$3:$CZ$3="Transactions"),'Sales and count'!$G$4:$CZ$300)))</f>
        <v>2560</v>
      </c>
      <c r="G61" s="55">
        <f t="shared" ref="G61:G72" ca="1" si="15">IF($A61="","",IFERROR(F61/E61-1,""))</f>
        <v>-0.16990920881971461</v>
      </c>
      <c r="H61" s="54">
        <f t="shared" ref="H61:H72" ca="1" si="16">IF($A61="","",IFERROR(B61/E61,0))</f>
        <v>157.17416990920884</v>
      </c>
      <c r="I61" s="54">
        <f t="shared" ref="I61:I72" ca="1" si="17">IF($A61="","",IFERROR(C61/F61,0))</f>
        <v>146.94900781250004</v>
      </c>
      <c r="J61" s="55">
        <f t="shared" ref="J61:J72" ca="1" si="18">IF($A61="","",IFERROR(I61/H61-1,""))</f>
        <v>-6.5056250035329222E-2</v>
      </c>
      <c r="K61" s="53">
        <f t="shared" ref="K61:K72" si="19">IF($A61="","",IFERROR(B61/$E$45,0))</f>
        <v>69246.448571428584</v>
      </c>
      <c r="L61" s="53">
        <f t="shared" ref="L61:L72" si="20">IF($A61="","",IFERROR(C61/$E$46,0))</f>
        <v>53741.351428571448</v>
      </c>
      <c r="M61" s="55">
        <f t="shared" ref="M61:M72" si="21">IF($A61="","",IFERROR(L61/K61-1,""))</f>
        <v>-0.22391180288276347</v>
      </c>
      <c r="AA61" s="142">
        <f>--AND('Sales Dashboard'!AN61&lt;&gt;"",OR($B$3="All",'Sales Dashboard'!CF61=$B$3),IF(OR($B$4="All",$B$4="Multiple (ticked)"),IF(COUNTIF($B$6:$M$6,"✔")&gt;0,COUNTIFS($B$5:$M$5,'Sales Dashboard'!AN61,$B$6:$M$6,"✔")&gt;0,$B$4="All"),'Sales Dashboard'!AN61=$B$4))</f>
        <v>1</v>
      </c>
    </row>
    <row r="62" spans="1:27" ht="15" customHeight="1" x14ac:dyDescent="0.25">
      <c r="A62" s="45" t="str">
        <v>Ahmed Jaffari</v>
      </c>
      <c r="B62" s="53" cm="1">
        <f t="array" ref="B62">IF($A62="","",_xlfn.LET(_xlpm.d,IFERROR(--'Sales and count'!$G$2:$CZ$2,0),SUMPRODUCT(('Sales Dashboard'!$AN$5:$AN$301=$A62)*($AA$5:$AA$301=1)*(_xlpm.d&gt;=$C$45)*(_xlpm.d&lt;=$D$45)*('Sales and count'!$G$3:$CZ$3="Total"),'Sales and count'!$G$4:$CZ$300)))</f>
        <v>418378.89999999979</v>
      </c>
      <c r="C62" s="53" cm="1">
        <f t="array" ref="C62">IF($A62="","",_xlfn.LET(_xlpm.d,IFERROR(--'Sales and count'!$G$2:$CZ$2,0),SUMPRODUCT(('Sales Dashboard'!$AN$5:$AN$301=$A62)*($AA$5:$AA$301=1)*(_xlpm.d&gt;=$C$46)*(_xlpm.d&lt;=$D$46)*('Sales and count'!$G$3:$CZ$3="Total"),'Sales and count'!$G$4:$CZ$300)))</f>
        <v>323289.75000000017</v>
      </c>
      <c r="D62" s="55">
        <f t="shared" si="14"/>
        <v>-0.22727998472198208</v>
      </c>
      <c r="E62" s="53" cm="1">
        <f t="array" aca="1" ref="E62" ca="1">IF($A62="","",_xlfn.LET(_xlpm.d,IFERROR(--'Sales and count'!$F$2:$CY$2,0),SUMPRODUCT(('Sales Dashboard'!$AN$5:$AN$301=$A62)*($AA$5:$AA$301=1)*(_xlpm.d&gt;=$C$45)*(_xlpm.d&lt;=$D$45)*('Sales and count'!$G$3:$CZ$3="Transactions"),'Sales and count'!$G$4:$CZ$300)))</f>
        <v>2746</v>
      </c>
      <c r="F62" s="53" cm="1">
        <f t="array" aca="1" ref="F62" ca="1">IF($A62="","",_xlfn.LET(_xlpm.d,IFERROR(--'Sales and count'!$F$2:$CY$2,0),SUMPRODUCT(('Sales Dashboard'!$AN$5:$AN$301=$A62)*($AA$5:$AA$301=1)*(_xlpm.d&gt;=$C$46)*(_xlpm.d&lt;=$D$46)*('Sales and count'!$G$3:$CZ$3="Transactions"),'Sales and count'!$G$4:$CZ$300)))</f>
        <v>2141</v>
      </c>
      <c r="G62" s="55">
        <f t="shared" ca="1" si="15"/>
        <v>-0.2203204661325564</v>
      </c>
      <c r="H62" s="54">
        <f t="shared" ca="1" si="16"/>
        <v>152.35939548434078</v>
      </c>
      <c r="I62" s="54">
        <f t="shared" ca="1" si="17"/>
        <v>150.99941616067267</v>
      </c>
      <c r="J62" s="55">
        <f t="shared" ca="1" si="18"/>
        <v>-8.9261270651856961E-3</v>
      </c>
      <c r="K62" s="53">
        <f t="shared" si="19"/>
        <v>59768.414285714258</v>
      </c>
      <c r="L62" s="53">
        <f t="shared" si="20"/>
        <v>46184.250000000022</v>
      </c>
      <c r="M62" s="55">
        <f t="shared" si="21"/>
        <v>-0.22727998472198219</v>
      </c>
      <c r="AA62" s="142">
        <f>--AND('Sales Dashboard'!AN62&lt;&gt;"",OR($B$3="All",'Sales Dashboard'!CF62=$B$3),IF(OR($B$4="All",$B$4="Multiple (ticked)"),IF(COUNTIF($B$6:$M$6,"✔")&gt;0,COUNTIFS($B$5:$M$5,'Sales Dashboard'!AN62,$B$6:$M$6,"✔")&gt;0,$B$4="All"),'Sales Dashboard'!AN62=$B$4))</f>
        <v>1</v>
      </c>
    </row>
    <row r="63" spans="1:27" ht="15" customHeight="1" x14ac:dyDescent="0.25">
      <c r="A63" s="45" t="str">
        <v>Hamzah Al Makhadam</v>
      </c>
      <c r="B63" s="53" cm="1">
        <f t="array" ref="B63">IF($A63="","",_xlfn.LET(_xlpm.d,IFERROR(--'Sales and count'!$G$2:$CZ$2,0),SUMPRODUCT(('Sales Dashboard'!$AN$5:$AN$301=$A63)*($AA$5:$AA$301=1)*(_xlpm.d&gt;=$C$45)*(_xlpm.d&lt;=$D$45)*('Sales and count'!$G$3:$CZ$3="Total"),'Sales and count'!$G$4:$CZ$300)))</f>
        <v>837375.98</v>
      </c>
      <c r="C63" s="53" cm="1">
        <f t="array" ref="C63">IF($A63="","",_xlfn.LET(_xlpm.d,IFERROR(--'Sales and count'!$G$2:$CZ$2,0),SUMPRODUCT(('Sales Dashboard'!$AN$5:$AN$301=$A63)*($AA$5:$AA$301=1)*(_xlpm.d&gt;=$C$46)*(_xlpm.d&lt;=$D$46)*('Sales and count'!$G$3:$CZ$3="Total"),'Sales and count'!$G$4:$CZ$300)))</f>
        <v>670274.95000000007</v>
      </c>
      <c r="D63" s="55">
        <f t="shared" si="14"/>
        <v>-0.19955316845845028</v>
      </c>
      <c r="E63" s="53" cm="1">
        <f t="array" aca="1" ref="E63" ca="1">IF($A63="","",_xlfn.LET(_xlpm.d,IFERROR(--'Sales and count'!$F$2:$CY$2,0),SUMPRODUCT(('Sales Dashboard'!$AN$5:$AN$301=$A63)*($AA$5:$AA$301=1)*(_xlpm.d&gt;=$C$45)*(_xlpm.d&lt;=$D$45)*('Sales and count'!$G$3:$CZ$3="Transactions"),'Sales and count'!$G$4:$CZ$300)))</f>
        <v>4697</v>
      </c>
      <c r="F63" s="53" cm="1">
        <f t="array" aca="1" ref="F63" ca="1">IF($A63="","",_xlfn.LET(_xlpm.d,IFERROR(--'Sales and count'!$F$2:$CY$2,0),SUMPRODUCT(('Sales Dashboard'!$AN$5:$AN$301=$A63)*($AA$5:$AA$301=1)*(_xlpm.d&gt;=$C$46)*(_xlpm.d&lt;=$D$46)*('Sales and count'!$G$3:$CZ$3="Transactions"),'Sales and count'!$G$4:$CZ$300)))</f>
        <v>3658</v>
      </c>
      <c r="G63" s="55">
        <f t="shared" ca="1" si="15"/>
        <v>-0.22120502448371304</v>
      </c>
      <c r="H63" s="54">
        <f t="shared" ca="1" si="16"/>
        <v>178.27889716840536</v>
      </c>
      <c r="I63" s="54">
        <f t="shared" ca="1" si="17"/>
        <v>183.23536085292511</v>
      </c>
      <c r="J63" s="55">
        <f t="shared" ca="1" si="18"/>
        <v>2.7801740773826911E-2</v>
      </c>
      <c r="K63" s="53">
        <f t="shared" si="19"/>
        <v>119625.14</v>
      </c>
      <c r="L63" s="53">
        <f t="shared" si="20"/>
        <v>95753.564285714296</v>
      </c>
      <c r="M63" s="55">
        <f t="shared" si="21"/>
        <v>-0.19955316845845028</v>
      </c>
      <c r="AA63" s="142">
        <f>--AND('Sales Dashboard'!AN63&lt;&gt;"",OR($B$3="All",'Sales Dashboard'!CF63=$B$3),IF(OR($B$4="All",$B$4="Multiple (ticked)"),IF(COUNTIF($B$6:$M$6,"✔")&gt;0,COUNTIFS($B$5:$M$5,'Sales Dashboard'!AN63,$B$6:$M$6,"✔")&gt;0,$B$4="All"),'Sales Dashboard'!AN63=$B$4))</f>
        <v>1</v>
      </c>
    </row>
    <row r="64" spans="1:27" ht="15" customHeight="1" x14ac:dyDescent="0.25">
      <c r="A64" s="45" t="str">
        <v>Lina Al Ghathami</v>
      </c>
      <c r="B64" s="53" cm="1">
        <f t="array" ref="B64">IF($A64="","",_xlfn.LET(_xlpm.d,IFERROR(--'Sales and count'!$G$2:$CZ$2,0),SUMPRODUCT(('Sales Dashboard'!$AN$5:$AN$301=$A64)*($AA$5:$AA$301=1)*(_xlpm.d&gt;=$C$45)*(_xlpm.d&lt;=$D$45)*('Sales and count'!$G$3:$CZ$3="Total"),'Sales and count'!$G$4:$CZ$300)))</f>
        <v>572725.85000000056</v>
      </c>
      <c r="C64" s="53" cm="1">
        <f t="array" ref="C64">IF($A64="","",_xlfn.LET(_xlpm.d,IFERROR(--'Sales and count'!$G$2:$CZ$2,0),SUMPRODUCT(('Sales Dashboard'!$AN$5:$AN$301=$A64)*($AA$5:$AA$301=1)*(_xlpm.d&gt;=$C$46)*(_xlpm.d&lt;=$D$46)*('Sales and count'!$G$3:$CZ$3="Total"),'Sales and count'!$G$4:$CZ$300)))</f>
        <v>440299.42000000033</v>
      </c>
      <c r="D64" s="55">
        <f t="shared" si="14"/>
        <v>-0.23122132517678418</v>
      </c>
      <c r="E64" s="53" cm="1">
        <f t="array" aca="1" ref="E64" ca="1">IF($A64="","",_xlfn.LET(_xlpm.d,IFERROR(--'Sales and count'!$F$2:$CY$2,0),SUMPRODUCT(('Sales Dashboard'!$AN$5:$AN$301=$A64)*($AA$5:$AA$301=1)*(_xlpm.d&gt;=$C$45)*(_xlpm.d&lt;=$D$45)*('Sales and count'!$G$3:$CZ$3="Transactions"),'Sales and count'!$G$4:$CZ$300)))</f>
        <v>3843</v>
      </c>
      <c r="F64" s="53" cm="1">
        <f t="array" aca="1" ref="F64" ca="1">IF($A64="","",_xlfn.LET(_xlpm.d,IFERROR(--'Sales and count'!$F$2:$CY$2,0),SUMPRODUCT(('Sales Dashboard'!$AN$5:$AN$301=$A64)*($AA$5:$AA$301=1)*(_xlpm.d&gt;=$C$46)*(_xlpm.d&lt;=$D$46)*('Sales and count'!$G$3:$CZ$3="Transactions"),'Sales and count'!$G$4:$CZ$300)))</f>
        <v>2949</v>
      </c>
      <c r="G64" s="55">
        <f t="shared" ca="1" si="15"/>
        <v>-0.23263075722092119</v>
      </c>
      <c r="H64" s="54">
        <f t="shared" ca="1" si="16"/>
        <v>149.03092635961502</v>
      </c>
      <c r="I64" s="54">
        <f t="shared" ca="1" si="17"/>
        <v>149.3046524245508</v>
      </c>
      <c r="J64" s="55">
        <f t="shared" ca="1" si="18"/>
        <v>1.8367064583311166E-3</v>
      </c>
      <c r="K64" s="53">
        <f t="shared" si="19"/>
        <v>81817.978571428655</v>
      </c>
      <c r="L64" s="53">
        <f t="shared" si="20"/>
        <v>62899.917142857194</v>
      </c>
      <c r="M64" s="55">
        <f t="shared" si="21"/>
        <v>-0.23122132517678418</v>
      </c>
      <c r="AA64" s="142">
        <f>--AND('Sales Dashboard'!AN64&lt;&gt;"",OR($B$3="All",'Sales Dashboard'!CF64=$B$3),IF(OR($B$4="All",$B$4="Multiple (ticked)"),IF(COUNTIF($B$6:$M$6,"✔")&gt;0,COUNTIFS($B$5:$M$5,'Sales Dashboard'!AN64,$B$6:$M$6,"✔")&gt;0,$B$4="All"),'Sales Dashboard'!AN64=$B$4))</f>
        <v>1</v>
      </c>
    </row>
    <row r="65" spans="1:27" ht="15" customHeight="1" x14ac:dyDescent="0.25">
      <c r="A65" s="45" t="str">
        <v>Maram Zamzami</v>
      </c>
      <c r="B65" s="53" cm="1">
        <f t="array" ref="B65">IF($A65="","",_xlfn.LET(_xlpm.d,IFERROR(--'Sales and count'!$G$2:$CZ$2,0),SUMPRODUCT(('Sales Dashboard'!$AN$5:$AN$301=$A65)*($AA$5:$AA$301=1)*(_xlpm.d&gt;=$C$45)*(_xlpm.d&lt;=$D$45)*('Sales and count'!$G$3:$CZ$3="Total"),'Sales and count'!$G$4:$CZ$300)))</f>
        <v>740287.96000000054</v>
      </c>
      <c r="C65" s="53" cm="1">
        <f t="array" ref="C65">IF($A65="","",_xlfn.LET(_xlpm.d,IFERROR(--'Sales and count'!$G$2:$CZ$2,0),SUMPRODUCT(('Sales Dashboard'!$AN$5:$AN$301=$A65)*($AA$5:$AA$301=1)*(_xlpm.d&gt;=$C$46)*(_xlpm.d&lt;=$D$46)*('Sales and count'!$G$3:$CZ$3="Total"),'Sales and count'!$G$4:$CZ$300)))</f>
        <v>637591.02000000014</v>
      </c>
      <c r="D65" s="55">
        <f t="shared" si="14"/>
        <v>-0.13872566561801214</v>
      </c>
      <c r="E65" s="53" cm="1">
        <f t="array" aca="1" ref="E65" ca="1">IF($A65="","",_xlfn.LET(_xlpm.d,IFERROR(--'Sales and count'!$F$2:$CY$2,0),SUMPRODUCT(('Sales Dashboard'!$AN$5:$AN$301=$A65)*($AA$5:$AA$301=1)*(_xlpm.d&gt;=$C$45)*(_xlpm.d&lt;=$D$45)*('Sales and count'!$G$3:$CZ$3="Transactions"),'Sales and count'!$G$4:$CZ$300)))</f>
        <v>4166</v>
      </c>
      <c r="F65" s="53" cm="1">
        <f t="array" aca="1" ref="F65" ca="1">IF($A65="","",_xlfn.LET(_xlpm.d,IFERROR(--'Sales and count'!$F$2:$CY$2,0),SUMPRODUCT(('Sales Dashboard'!$AN$5:$AN$301=$A65)*($AA$5:$AA$301=1)*(_xlpm.d&gt;=$C$46)*(_xlpm.d&lt;=$D$46)*('Sales and count'!$G$3:$CZ$3="Transactions"),'Sales and count'!$G$4:$CZ$300)))</f>
        <v>3555</v>
      </c>
      <c r="G65" s="55">
        <f t="shared" ca="1" si="15"/>
        <v>-0.1466634661545847</v>
      </c>
      <c r="H65" s="54">
        <f t="shared" ca="1" si="16"/>
        <v>177.69754200672119</v>
      </c>
      <c r="I65" s="54">
        <f t="shared" ca="1" si="17"/>
        <v>179.3504978902954</v>
      </c>
      <c r="J65" s="55">
        <f t="shared" ca="1" si="18"/>
        <v>9.3020751154322401E-3</v>
      </c>
      <c r="K65" s="53">
        <f t="shared" si="19"/>
        <v>105755.42285714294</v>
      </c>
      <c r="L65" s="53">
        <f t="shared" si="20"/>
        <v>91084.43142857145</v>
      </c>
      <c r="M65" s="55">
        <f t="shared" si="21"/>
        <v>-0.13872566561801214</v>
      </c>
      <c r="AA65" s="142">
        <f>--AND('Sales Dashboard'!AN65&lt;&gt;"",OR($B$3="All",'Sales Dashboard'!CF65=$B$3),IF(OR($B$4="All",$B$4="Multiple (ticked)"),IF(COUNTIF($B$6:$M$6,"✔")&gt;0,COUNTIFS($B$5:$M$5,'Sales Dashboard'!AN65,$B$6:$M$6,"✔")&gt;0,$B$4="All"),'Sales Dashboard'!AN65=$B$4))</f>
        <v>1</v>
      </c>
    </row>
    <row r="66" spans="1:27" ht="15" customHeight="1" x14ac:dyDescent="0.25">
      <c r="A66" s="45" t="str">
        <v>Mohammed Haidar</v>
      </c>
      <c r="B66" s="53" cm="1">
        <f t="array" ref="B66">IF($A66="","",_xlfn.LET(_xlpm.d,IFERROR(--'Sales and count'!$G$2:$CZ$2,0),SUMPRODUCT(('Sales Dashboard'!$AN$5:$AN$301=$A66)*($AA$5:$AA$301=1)*(_xlpm.d&gt;=$C$45)*(_xlpm.d&lt;=$D$45)*('Sales and count'!$G$3:$CZ$3="Total"),'Sales and count'!$G$4:$CZ$300)))</f>
        <v>402000.74</v>
      </c>
      <c r="C66" s="53" cm="1">
        <f t="array" ref="C66">IF($A66="","",_xlfn.LET(_xlpm.d,IFERROR(--'Sales and count'!$G$2:$CZ$2,0),SUMPRODUCT(('Sales Dashboard'!$AN$5:$AN$301=$A66)*($AA$5:$AA$301=1)*(_xlpm.d&gt;=$C$46)*(_xlpm.d&lt;=$D$46)*('Sales and count'!$G$3:$CZ$3="Total"),'Sales and count'!$G$4:$CZ$300)))</f>
        <v>350715.96</v>
      </c>
      <c r="D66" s="55">
        <f t="shared" si="14"/>
        <v>-0.12757384476456424</v>
      </c>
      <c r="E66" s="53" cm="1">
        <f t="array" aca="1" ref="E66" ca="1">IF($A66="","",_xlfn.LET(_xlpm.d,IFERROR(--'Sales and count'!$F$2:$CY$2,0),SUMPRODUCT(('Sales Dashboard'!$AN$5:$AN$301=$A66)*($AA$5:$AA$301=1)*(_xlpm.d&gt;=$C$45)*(_xlpm.d&lt;=$D$45)*('Sales and count'!$G$3:$CZ$3="Transactions"),'Sales and count'!$G$4:$CZ$300)))</f>
        <v>2197</v>
      </c>
      <c r="F66" s="53" cm="1">
        <f t="array" aca="1" ref="F66" ca="1">IF($A66="","",_xlfn.LET(_xlpm.d,IFERROR(--'Sales and count'!$F$2:$CY$2,0),SUMPRODUCT(('Sales Dashboard'!$AN$5:$AN$301=$A66)*($AA$5:$AA$301=1)*(_xlpm.d&gt;=$C$46)*(_xlpm.d&lt;=$D$46)*('Sales and count'!$G$3:$CZ$3="Transactions"),'Sales and count'!$G$4:$CZ$300)))</f>
        <v>1884</v>
      </c>
      <c r="G66" s="55">
        <f t="shared" ca="1" si="15"/>
        <v>-0.14246700045516614</v>
      </c>
      <c r="H66" s="54">
        <f t="shared" ca="1" si="16"/>
        <v>182.97712335002277</v>
      </c>
      <c r="I66" s="54">
        <f t="shared" ca="1" si="17"/>
        <v>186.15496815286625</v>
      </c>
      <c r="J66" s="55">
        <f t="shared" ca="1" si="18"/>
        <v>1.7367443233679447E-2</v>
      </c>
      <c r="K66" s="53">
        <f t="shared" si="19"/>
        <v>57428.677142857145</v>
      </c>
      <c r="L66" s="53">
        <f t="shared" si="20"/>
        <v>50102.280000000006</v>
      </c>
      <c r="M66" s="55">
        <f t="shared" si="21"/>
        <v>-0.12757384476456424</v>
      </c>
      <c r="AA66" s="142">
        <f>--AND('Sales Dashboard'!AN66&lt;&gt;"",OR($B$3="All",'Sales Dashboard'!CF66=$B$3),IF(OR($B$4="All",$B$4="Multiple (ticked)"),IF(COUNTIF($B$6:$M$6,"✔")&gt;0,COUNTIFS($B$5:$M$5,'Sales Dashboard'!AN66,$B$6:$M$6,"✔")&gt;0,$B$4="All"),'Sales Dashboard'!AN66=$B$4))</f>
        <v>1</v>
      </c>
    </row>
    <row r="67" spans="1:27" ht="15" customHeight="1" x14ac:dyDescent="0.25">
      <c r="A67" s="45" t="str">
        <v>Mohammed Sanad</v>
      </c>
      <c r="B67" s="53" cm="1">
        <f t="array" ref="B67">IF($A67="","",_xlfn.LET(_xlpm.d,IFERROR(--'Sales and count'!$G$2:$CZ$2,0),SUMPRODUCT(('Sales Dashboard'!$AN$5:$AN$301=$A67)*($AA$5:$AA$301=1)*(_xlpm.d&gt;=$C$45)*(_xlpm.d&lt;=$D$45)*('Sales and count'!$G$3:$CZ$3="Total"),'Sales and count'!$G$4:$CZ$300)))</f>
        <v>540631.64000000036</v>
      </c>
      <c r="C67" s="53" cm="1">
        <f t="array" ref="C67">IF($A67="","",_xlfn.LET(_xlpm.d,IFERROR(--'Sales and count'!$G$2:$CZ$2,0),SUMPRODUCT(('Sales Dashboard'!$AN$5:$AN$301=$A67)*($AA$5:$AA$301=1)*(_xlpm.d&gt;=$C$46)*(_xlpm.d&lt;=$D$46)*('Sales and count'!$G$3:$CZ$3="Total"),'Sales and count'!$G$4:$CZ$300)))</f>
        <v>426083.95000000019</v>
      </c>
      <c r="D67" s="55">
        <f t="shared" si="14"/>
        <v>-0.21187751793439258</v>
      </c>
      <c r="E67" s="53" cm="1">
        <f t="array" aca="1" ref="E67" ca="1">IF($A67="","",_xlfn.LET(_xlpm.d,IFERROR(--'Sales and count'!$F$2:$CY$2,0),SUMPRODUCT(('Sales Dashboard'!$AN$5:$AN$301=$A67)*($AA$5:$AA$301=1)*(_xlpm.d&gt;=$C$45)*(_xlpm.d&lt;=$D$45)*('Sales and count'!$G$3:$CZ$3="Transactions"),'Sales and count'!$G$4:$CZ$300)))</f>
        <v>3519</v>
      </c>
      <c r="F67" s="53" cm="1">
        <f t="array" aca="1" ref="F67" ca="1">IF($A67="","",_xlfn.LET(_xlpm.d,IFERROR(--'Sales and count'!$F$2:$CY$2,0),SUMPRODUCT(('Sales Dashboard'!$AN$5:$AN$301=$A67)*($AA$5:$AA$301=1)*(_xlpm.d&gt;=$C$46)*(_xlpm.d&lt;=$D$46)*('Sales and count'!$G$3:$CZ$3="Transactions"),'Sales and count'!$G$4:$CZ$300)))</f>
        <v>2641</v>
      </c>
      <c r="G67" s="55">
        <f t="shared" ca="1" si="15"/>
        <v>-0.24950269963057692</v>
      </c>
      <c r="H67" s="54">
        <f t="shared" ca="1" si="16"/>
        <v>153.63217959647636</v>
      </c>
      <c r="I67" s="54">
        <f t="shared" ca="1" si="17"/>
        <v>161.33432411965171</v>
      </c>
      <c r="J67" s="55">
        <f t="shared" ca="1" si="18"/>
        <v>5.0133666940125776E-2</v>
      </c>
      <c r="K67" s="53">
        <f t="shared" si="19"/>
        <v>77233.091428571483</v>
      </c>
      <c r="L67" s="53">
        <f t="shared" si="20"/>
        <v>60869.135714285738</v>
      </c>
      <c r="M67" s="55">
        <f t="shared" si="21"/>
        <v>-0.21187751793439269</v>
      </c>
      <c r="AA67" s="142">
        <f>--AND('Sales Dashboard'!AN67&lt;&gt;"",OR($B$3="All",'Sales Dashboard'!CF67=$B$3),IF(OR($B$4="All",$B$4="Multiple (ticked)"),IF(COUNTIF($B$6:$M$6,"✔")&gt;0,COUNTIFS($B$5:$M$5,'Sales Dashboard'!AN67,$B$6:$M$6,"✔")&gt;0,$B$4="All"),'Sales Dashboard'!AN67=$B$4))</f>
        <v>1</v>
      </c>
    </row>
    <row r="68" spans="1:27" ht="15" customHeight="1" x14ac:dyDescent="0.25">
      <c r="A68" s="45" t="str">
        <v>Saleh Bin Hoiel</v>
      </c>
      <c r="B68" s="53" cm="1">
        <f t="array" ref="B68">IF($A68="","",_xlfn.LET(_xlpm.d,IFERROR(--'Sales and count'!$G$2:$CZ$2,0),SUMPRODUCT(('Sales Dashboard'!$AN$5:$AN$301=$A68)*($AA$5:$AA$301=1)*(_xlpm.d&gt;=$C$45)*(_xlpm.d&lt;=$D$45)*('Sales and count'!$G$3:$CZ$3="Total"),'Sales and count'!$G$4:$CZ$300)))</f>
        <v>538454.98000000021</v>
      </c>
      <c r="C68" s="53" cm="1">
        <f t="array" ref="C68">IF($A68="","",_xlfn.LET(_xlpm.d,IFERROR(--'Sales and count'!$G$2:$CZ$2,0),SUMPRODUCT(('Sales Dashboard'!$AN$5:$AN$301=$A68)*($AA$5:$AA$301=1)*(_xlpm.d&gt;=$C$46)*(_xlpm.d&lt;=$D$46)*('Sales and count'!$G$3:$CZ$3="Total"),'Sales and count'!$G$4:$CZ$300)))</f>
        <v>402716.64</v>
      </c>
      <c r="D68" s="55">
        <f t="shared" si="14"/>
        <v>-0.25208855901007754</v>
      </c>
      <c r="E68" s="53" cm="1">
        <f t="array" aca="1" ref="E68" ca="1">IF($A68="","",_xlfn.LET(_xlpm.d,IFERROR(--'Sales and count'!$F$2:$CY$2,0),SUMPRODUCT(('Sales Dashboard'!$AN$5:$AN$301=$A68)*($AA$5:$AA$301=1)*(_xlpm.d&gt;=$C$45)*(_xlpm.d&lt;=$D$45)*('Sales and count'!$G$3:$CZ$3="Transactions"),'Sales and count'!$G$4:$CZ$300)))</f>
        <v>3643</v>
      </c>
      <c r="F68" s="53" cm="1">
        <f t="array" aca="1" ref="F68" ca="1">IF($A68="","",_xlfn.LET(_xlpm.d,IFERROR(--'Sales and count'!$F$2:$CY$2,0),SUMPRODUCT(('Sales Dashboard'!$AN$5:$AN$301=$A68)*($AA$5:$AA$301=1)*(_xlpm.d&gt;=$C$46)*(_xlpm.d&lt;=$D$46)*('Sales and count'!$G$3:$CZ$3="Transactions"),'Sales and count'!$G$4:$CZ$300)))</f>
        <v>2823</v>
      </c>
      <c r="G68" s="55">
        <f t="shared" ca="1" si="15"/>
        <v>-0.22508921218775735</v>
      </c>
      <c r="H68" s="54">
        <f t="shared" ca="1" si="16"/>
        <v>147.80537469118863</v>
      </c>
      <c r="I68" s="54">
        <f t="shared" ca="1" si="17"/>
        <v>142.65555791710946</v>
      </c>
      <c r="J68" s="55">
        <f t="shared" ca="1" si="18"/>
        <v>-3.4841877603157156E-2</v>
      </c>
      <c r="K68" s="53">
        <f t="shared" si="19"/>
        <v>76922.140000000029</v>
      </c>
      <c r="L68" s="53">
        <f t="shared" si="20"/>
        <v>57530.948571428577</v>
      </c>
      <c r="M68" s="55">
        <f t="shared" si="21"/>
        <v>-0.25208855901007754</v>
      </c>
      <c r="AA68" s="142">
        <f>--AND('Sales Dashboard'!AN68&lt;&gt;"",OR($B$3="All",'Sales Dashboard'!CF68=$B$3),IF(OR($B$4="All",$B$4="Multiple (ticked)"),IF(COUNTIF($B$6:$M$6,"✔")&gt;0,COUNTIFS($B$5:$M$5,'Sales Dashboard'!AN68,$B$6:$M$6,"✔")&gt;0,$B$4="All"),'Sales Dashboard'!AN68=$B$4))</f>
        <v>1</v>
      </c>
    </row>
    <row r="69" spans="1:27" ht="15" customHeight="1" x14ac:dyDescent="0.25">
      <c r="A69" s="45"/>
      <c r="B69" s="53" t="str" cm="1">
        <f t="array" ref="B69">IF($A69="","",_xlfn.LET(_xlpm.d,IFERROR(--'Sales and count'!$G$2:$CZ$2,0),SUMPRODUCT(('Sales Dashboard'!$AN$5:$AN$301=$A69)*($AA$5:$AA$301=1)*(_xlpm.d&gt;=$C$45)*(_xlpm.d&lt;=$D$45)*('Sales and count'!$G$3:$CZ$3="Total"),'Sales and count'!$G$4:$CZ$300)))</f>
        <v/>
      </c>
      <c r="C69" s="53" t="str" cm="1">
        <f t="array" ref="C69">IF($A69="","",_xlfn.LET(_xlpm.d,IFERROR(--'Sales and count'!$G$2:$CZ$2,0),SUMPRODUCT(('Sales Dashboard'!$AN$5:$AN$301=$A69)*($AA$5:$AA$301=1)*(_xlpm.d&gt;=$C$46)*(_xlpm.d&lt;=$D$46)*('Sales and count'!$G$3:$CZ$3="Total"),'Sales and count'!$G$4:$CZ$300)))</f>
        <v/>
      </c>
      <c r="D69" s="55" t="str">
        <f t="shared" si="14"/>
        <v/>
      </c>
      <c r="E69" s="53" t="str" cm="1">
        <f t="array" ref="E69">IF($A69="","",_xlfn.LET(_xlpm.d,IFERROR(--'Sales and count'!$F$2:$CY$2,0),SUMPRODUCT(('Sales Dashboard'!$AN$5:$AN$301=$A69)*($AA$5:$AA$301=1)*(_xlpm.d&gt;=$C$45)*(_xlpm.d&lt;=$D$45)*('Sales and count'!$G$3:$CZ$3="Transactions"),'Sales and count'!$G$4:$CZ$300)))</f>
        <v/>
      </c>
      <c r="F69" s="53" t="str" cm="1">
        <f t="array" ref="F69">IF($A69="","",_xlfn.LET(_xlpm.d,IFERROR(--'Sales and count'!$F$2:$CY$2,0),SUMPRODUCT(('Sales Dashboard'!$AN$5:$AN$301=$A69)*($AA$5:$AA$301=1)*(_xlpm.d&gt;=$C$46)*(_xlpm.d&lt;=$D$46)*('Sales and count'!$G$3:$CZ$3="Transactions"),'Sales and count'!$G$4:$CZ$300)))</f>
        <v/>
      </c>
      <c r="G69" s="55" t="str">
        <f t="shared" si="15"/>
        <v/>
      </c>
      <c r="H69" s="54" t="str">
        <f t="shared" si="16"/>
        <v/>
      </c>
      <c r="I69" s="54" t="str">
        <f t="shared" si="17"/>
        <v/>
      </c>
      <c r="J69" s="55" t="str">
        <f t="shared" si="18"/>
        <v/>
      </c>
      <c r="K69" s="53" t="str">
        <f t="shared" si="19"/>
        <v/>
      </c>
      <c r="L69" s="53" t="str">
        <f t="shared" si="20"/>
        <v/>
      </c>
      <c r="M69" s="55" t="str">
        <f t="shared" si="21"/>
        <v/>
      </c>
      <c r="AA69" s="142">
        <f>--AND('Sales Dashboard'!AN69&lt;&gt;"",OR($B$3="All",'Sales Dashboard'!CF69=$B$3),IF(OR($B$4="All",$B$4="Multiple (ticked)"),IF(COUNTIF($B$6:$M$6,"✔")&gt;0,COUNTIFS($B$5:$M$5,'Sales Dashboard'!AN69,$B$6:$M$6,"✔")&gt;0,$B$4="All"),'Sales Dashboard'!AN69=$B$4))</f>
        <v>1</v>
      </c>
    </row>
    <row r="70" spans="1:27" ht="15" customHeight="1" x14ac:dyDescent="0.25">
      <c r="A70" s="45"/>
      <c r="B70" s="53" t="str" cm="1">
        <f t="array" ref="B70">IF($A70="","",_xlfn.LET(_xlpm.d,IFERROR(--'Sales and count'!$G$2:$CZ$2,0),SUMPRODUCT(('Sales Dashboard'!$AN$5:$AN$301=$A70)*($AA$5:$AA$301=1)*(_xlpm.d&gt;=$C$45)*(_xlpm.d&lt;=$D$45)*('Sales and count'!$G$3:$CZ$3="Total"),'Sales and count'!$G$4:$CZ$300)))</f>
        <v/>
      </c>
      <c r="C70" s="53" t="str" cm="1">
        <f t="array" ref="C70">IF($A70="","",_xlfn.LET(_xlpm.d,IFERROR(--'Sales and count'!$G$2:$CZ$2,0),SUMPRODUCT(('Sales Dashboard'!$AN$5:$AN$301=$A70)*($AA$5:$AA$301=1)*(_xlpm.d&gt;=$C$46)*(_xlpm.d&lt;=$D$46)*('Sales and count'!$G$3:$CZ$3="Total"),'Sales and count'!$G$4:$CZ$300)))</f>
        <v/>
      </c>
      <c r="D70" s="55" t="str">
        <f t="shared" si="14"/>
        <v/>
      </c>
      <c r="E70" s="53" t="str" cm="1">
        <f t="array" ref="E70">IF($A70="","",_xlfn.LET(_xlpm.d,IFERROR(--'Sales and count'!$F$2:$CY$2,0),SUMPRODUCT(('Sales Dashboard'!$AN$5:$AN$301=$A70)*($AA$5:$AA$301=1)*(_xlpm.d&gt;=$C$45)*(_xlpm.d&lt;=$D$45)*('Sales and count'!$G$3:$CZ$3="Transactions"),'Sales and count'!$G$4:$CZ$300)))</f>
        <v/>
      </c>
      <c r="F70" s="53" t="str" cm="1">
        <f t="array" ref="F70">IF($A70="","",_xlfn.LET(_xlpm.d,IFERROR(--'Sales and count'!$F$2:$CY$2,0),SUMPRODUCT(('Sales Dashboard'!$AN$5:$AN$301=$A70)*($AA$5:$AA$301=1)*(_xlpm.d&gt;=$C$46)*(_xlpm.d&lt;=$D$46)*('Sales and count'!$G$3:$CZ$3="Transactions"),'Sales and count'!$G$4:$CZ$300)))</f>
        <v/>
      </c>
      <c r="G70" s="55" t="str">
        <f t="shared" si="15"/>
        <v/>
      </c>
      <c r="H70" s="54" t="str">
        <f t="shared" si="16"/>
        <v/>
      </c>
      <c r="I70" s="54" t="str">
        <f t="shared" si="17"/>
        <v/>
      </c>
      <c r="J70" s="55" t="str">
        <f t="shared" si="18"/>
        <v/>
      </c>
      <c r="K70" s="53" t="str">
        <f t="shared" si="19"/>
        <v/>
      </c>
      <c r="L70" s="53" t="str">
        <f t="shared" si="20"/>
        <v/>
      </c>
      <c r="M70" s="55" t="str">
        <f t="shared" si="21"/>
        <v/>
      </c>
      <c r="AA70" s="142">
        <f>--AND('Sales Dashboard'!AN70&lt;&gt;"",OR($B$3="All",'Sales Dashboard'!CF70=$B$3),IF(OR($B$4="All",$B$4="Multiple (ticked)"),IF(COUNTIF($B$6:$M$6,"✔")&gt;0,COUNTIFS($B$5:$M$5,'Sales Dashboard'!AN70,$B$6:$M$6,"✔")&gt;0,$B$4="All"),'Sales Dashboard'!AN70=$B$4))</f>
        <v>1</v>
      </c>
    </row>
    <row r="71" spans="1:27" ht="15" customHeight="1" x14ac:dyDescent="0.25">
      <c r="A71" s="45"/>
      <c r="B71" s="53" t="str" cm="1">
        <f t="array" ref="B71">IF($A71="","",_xlfn.LET(_xlpm.d,IFERROR(--'Sales and count'!$G$2:$CZ$2,0),SUMPRODUCT(('Sales Dashboard'!$AN$5:$AN$301=$A71)*($AA$5:$AA$301=1)*(_xlpm.d&gt;=$C$45)*(_xlpm.d&lt;=$D$45)*('Sales and count'!$G$3:$CZ$3="Total"),'Sales and count'!$G$4:$CZ$300)))</f>
        <v/>
      </c>
      <c r="C71" s="53" t="str" cm="1">
        <f t="array" ref="C71">IF($A71="","",_xlfn.LET(_xlpm.d,IFERROR(--'Sales and count'!$G$2:$CZ$2,0),SUMPRODUCT(('Sales Dashboard'!$AN$5:$AN$301=$A71)*($AA$5:$AA$301=1)*(_xlpm.d&gt;=$C$46)*(_xlpm.d&lt;=$D$46)*('Sales and count'!$G$3:$CZ$3="Total"),'Sales and count'!$G$4:$CZ$300)))</f>
        <v/>
      </c>
      <c r="D71" s="55" t="str">
        <f t="shared" si="14"/>
        <v/>
      </c>
      <c r="E71" s="53" t="str" cm="1">
        <f t="array" ref="E71">IF($A71="","",_xlfn.LET(_xlpm.d,IFERROR(--'Sales and count'!$F$2:$CY$2,0),SUMPRODUCT(('Sales Dashboard'!$AN$5:$AN$301=$A71)*($AA$5:$AA$301=1)*(_xlpm.d&gt;=$C$45)*(_xlpm.d&lt;=$D$45)*('Sales and count'!$G$3:$CZ$3="Transactions"),'Sales and count'!$G$4:$CZ$300)))</f>
        <v/>
      </c>
      <c r="F71" s="53" t="str" cm="1">
        <f t="array" ref="F71">IF($A71="","",_xlfn.LET(_xlpm.d,IFERROR(--'Sales and count'!$F$2:$CY$2,0),SUMPRODUCT(('Sales Dashboard'!$AN$5:$AN$301=$A71)*($AA$5:$AA$301=1)*(_xlpm.d&gt;=$C$46)*(_xlpm.d&lt;=$D$46)*('Sales and count'!$G$3:$CZ$3="Transactions"),'Sales and count'!$G$4:$CZ$300)))</f>
        <v/>
      </c>
      <c r="G71" s="55" t="str">
        <f t="shared" si="15"/>
        <v/>
      </c>
      <c r="H71" s="54" t="str">
        <f t="shared" si="16"/>
        <v/>
      </c>
      <c r="I71" s="54" t="str">
        <f t="shared" si="17"/>
        <v/>
      </c>
      <c r="J71" s="55" t="str">
        <f t="shared" si="18"/>
        <v/>
      </c>
      <c r="K71" s="53" t="str">
        <f t="shared" si="19"/>
        <v/>
      </c>
      <c r="L71" s="53" t="str">
        <f t="shared" si="20"/>
        <v/>
      </c>
      <c r="M71" s="55" t="str">
        <f t="shared" si="21"/>
        <v/>
      </c>
      <c r="AA71" s="142">
        <f>--AND('Sales Dashboard'!AN71&lt;&gt;"",OR($B$3="All",'Sales Dashboard'!CF71=$B$3),IF(OR($B$4="All",$B$4="Multiple (ticked)"),IF(COUNTIF($B$6:$M$6,"✔")&gt;0,COUNTIFS($B$5:$M$5,'Sales Dashboard'!AN71,$B$6:$M$6,"✔")&gt;0,$B$4="All"),'Sales Dashboard'!AN71=$B$4))</f>
        <v>1</v>
      </c>
    </row>
    <row r="72" spans="1:27" ht="15" customHeight="1" x14ac:dyDescent="0.25">
      <c r="A72" s="45"/>
      <c r="B72" s="53" t="str" cm="1">
        <f t="array" ref="B72">IF($A72="","",_xlfn.LET(_xlpm.d,IFERROR(--'Sales and count'!$G$2:$CZ$2,0),SUMPRODUCT(('Sales Dashboard'!$AN$5:$AN$301=$A72)*($AA$5:$AA$301=1)*(_xlpm.d&gt;=$C$45)*(_xlpm.d&lt;=$D$45)*('Sales and count'!$G$3:$CZ$3="Total"),'Sales and count'!$G$4:$CZ$300)))</f>
        <v/>
      </c>
      <c r="C72" s="53" t="str" cm="1">
        <f t="array" ref="C72">IF($A72="","",_xlfn.LET(_xlpm.d,IFERROR(--'Sales and count'!$G$2:$CZ$2,0),SUMPRODUCT(('Sales Dashboard'!$AN$5:$AN$301=$A72)*($AA$5:$AA$301=1)*(_xlpm.d&gt;=$C$46)*(_xlpm.d&lt;=$D$46)*('Sales and count'!$G$3:$CZ$3="Total"),'Sales and count'!$G$4:$CZ$300)))</f>
        <v/>
      </c>
      <c r="D72" s="55" t="str">
        <f t="shared" si="14"/>
        <v/>
      </c>
      <c r="E72" s="53" t="str" cm="1">
        <f t="array" ref="E72">IF($A72="","",_xlfn.LET(_xlpm.d,IFERROR(--'Sales and count'!$F$2:$CY$2,0),SUMPRODUCT(('Sales Dashboard'!$AN$5:$AN$301=$A72)*($AA$5:$AA$301=1)*(_xlpm.d&gt;=$C$45)*(_xlpm.d&lt;=$D$45)*('Sales and count'!$G$3:$CZ$3="Transactions"),'Sales and count'!$G$4:$CZ$300)))</f>
        <v/>
      </c>
      <c r="F72" s="53" t="str" cm="1">
        <f t="array" ref="F72">IF($A72="","",_xlfn.LET(_xlpm.d,IFERROR(--'Sales and count'!$F$2:$CY$2,0),SUMPRODUCT(('Sales Dashboard'!$AN$5:$AN$301=$A72)*($AA$5:$AA$301=1)*(_xlpm.d&gt;=$C$46)*(_xlpm.d&lt;=$D$46)*('Sales and count'!$G$3:$CZ$3="Transactions"),'Sales and count'!$G$4:$CZ$300)))</f>
        <v/>
      </c>
      <c r="G72" s="55" t="str">
        <f t="shared" si="15"/>
        <v/>
      </c>
      <c r="H72" s="54" t="str">
        <f t="shared" si="16"/>
        <v/>
      </c>
      <c r="I72" s="54" t="str">
        <f t="shared" si="17"/>
        <v/>
      </c>
      <c r="J72" s="55" t="str">
        <f t="shared" si="18"/>
        <v/>
      </c>
      <c r="K72" s="53" t="str">
        <f t="shared" si="19"/>
        <v/>
      </c>
      <c r="L72" s="53" t="str">
        <f t="shared" si="20"/>
        <v/>
      </c>
      <c r="M72" s="55" t="str">
        <f t="shared" si="21"/>
        <v/>
      </c>
      <c r="AA72" s="142">
        <f>--AND('Sales Dashboard'!AN72&lt;&gt;"",OR($B$3="All",'Sales Dashboard'!CF72=$B$3),IF(OR($B$4="All",$B$4="Multiple (ticked)"),IF(COUNTIF($B$6:$M$6,"✔")&gt;0,COUNTIFS($B$5:$M$5,'Sales Dashboard'!AN72,$B$6:$M$6,"✔")&gt;0,$B$4="All"),'Sales Dashboard'!AN72=$B$4))</f>
        <v>1</v>
      </c>
    </row>
    <row r="73" spans="1:27" ht="15" customHeight="1" x14ac:dyDescent="0.25">
      <c r="AA73" s="142">
        <f>--AND('Sales Dashboard'!AN73&lt;&gt;"",OR($B$3="All",'Sales Dashboard'!CF73=$B$3),IF(OR($B$4="All",$B$4="Multiple (ticked)"),IF(COUNTIF($B$6:$M$6,"✔")&gt;0,COUNTIFS($B$5:$M$5,'Sales Dashboard'!AN73,$B$6:$M$6,"✔")&gt;0,$B$4="All"),'Sales Dashboard'!AN73=$B$4))</f>
        <v>1</v>
      </c>
    </row>
    <row r="74" spans="1:27" ht="15" customHeight="1" x14ac:dyDescent="0.25">
      <c r="AA74" s="142">
        <f>--AND('Sales Dashboard'!AN74&lt;&gt;"",OR($B$3="All",'Sales Dashboard'!CF74=$B$3),IF(OR($B$4="All",$B$4="Multiple (ticked)"),IF(COUNTIF($B$6:$M$6,"✔")&gt;0,COUNTIFS($B$5:$M$5,'Sales Dashboard'!AN74,$B$6:$M$6,"✔")&gt;0,$B$4="All"),'Sales Dashboard'!AN74=$B$4))</f>
        <v>1</v>
      </c>
    </row>
    <row r="75" spans="1:27" ht="15.75" customHeight="1" x14ac:dyDescent="0.3">
      <c r="A75" s="49" t="s">
        <v>236</v>
      </c>
      <c r="AA75" s="142">
        <f>--AND('Sales Dashboard'!AN75&lt;&gt;"",OR($B$3="All",'Sales Dashboard'!CF75=$B$3),IF(OR($B$4="All",$B$4="Multiple (ticked)"),IF(COUNTIF($B$6:$M$6,"✔")&gt;0,COUNTIFS($B$5:$M$5,'Sales Dashboard'!AN75,$B$6:$M$6,"✔")&gt;0,$B$4="All"),'Sales Dashboard'!AN75=$B$4))</f>
        <v>1</v>
      </c>
    </row>
    <row r="76" spans="1:27" ht="15" customHeight="1" x14ac:dyDescent="0.25">
      <c r="AA76" s="142">
        <f>--AND('Sales Dashboard'!AN76&lt;&gt;"",OR($B$3="All",'Sales Dashboard'!CF76=$B$3),IF(OR($B$4="All",$B$4="Multiple (ticked)"),IF(COUNTIF($B$6:$M$6,"✔")&gt;0,COUNTIFS($B$5:$M$5,'Sales Dashboard'!AN76,$B$6:$M$6,"✔")&gt;0,$B$4="All"),'Sales Dashboard'!AN76=$B$4))</f>
        <v>1</v>
      </c>
    </row>
    <row r="77" spans="1:27" ht="30" customHeight="1" x14ac:dyDescent="0.25">
      <c r="A77" s="50" t="s">
        <v>135</v>
      </c>
      <c r="B77" s="50" t="str">
        <f>"Sales "&amp;$B$45</f>
        <v>Sales WK2</v>
      </c>
      <c r="C77" s="50" t="str">
        <f>"Sales "&amp;$B$46</f>
        <v>Sales WK3</v>
      </c>
      <c r="D77" s="50" t="s">
        <v>235</v>
      </c>
      <c r="E77" s="50" t="str">
        <f>"Trans "&amp;$B$45</f>
        <v>Trans WK2</v>
      </c>
      <c r="F77" s="50" t="str">
        <f>"Trans "&amp;$B$46</f>
        <v>Trans WK3</v>
      </c>
      <c r="G77" s="50" t="s">
        <v>235</v>
      </c>
      <c r="H77" s="50" t="str">
        <f>"ATV "&amp;$B$45</f>
        <v>ATV WK2</v>
      </c>
      <c r="I77" s="50" t="str">
        <f>"ATV "&amp;$B$46</f>
        <v>ATV WK3</v>
      </c>
      <c r="J77" s="50" t="s">
        <v>235</v>
      </c>
      <c r="K77" s="50" t="str">
        <f>"Avg Daily Sales "&amp;$B$45</f>
        <v>Avg Daily Sales WK2</v>
      </c>
      <c r="L77" s="50" t="str">
        <f>"Avg Daily Sales "&amp;$B$46</f>
        <v>Avg Daily Sales WK3</v>
      </c>
      <c r="M77" s="50" t="s">
        <v>235</v>
      </c>
      <c r="AA77" s="142">
        <f>--AND('Sales Dashboard'!AN77&lt;&gt;"",OR($B$3="All",'Sales Dashboard'!CF77=$B$3),IF(OR($B$4="All",$B$4="Multiple (ticked)"),IF(COUNTIF($B$6:$M$6,"✔")&gt;0,COUNTIFS($B$5:$M$5,'Sales Dashboard'!AN77,$B$6:$M$6,"✔")&gt;0,$B$4="All"),'Sales Dashboard'!AN77=$B$4))</f>
        <v>1</v>
      </c>
    </row>
    <row r="78" spans="1:27" ht="15" customHeight="1" x14ac:dyDescent="0.25">
      <c r="A78" s="56" t="s">
        <v>0</v>
      </c>
      <c r="B78" s="58">
        <f>SUM(B79:B113)</f>
        <v>4534581.1899999995</v>
      </c>
      <c r="C78" s="58">
        <f>SUM(C79:C113)</f>
        <v>3627161.1500000008</v>
      </c>
      <c r="D78" s="60">
        <f>IFERROR(C78/B78-1,"")</f>
        <v>-0.2001111022118448</v>
      </c>
      <c r="E78" s="58">
        <f ca="1">SUM(E79:E113)</f>
        <v>27895</v>
      </c>
      <c r="F78" s="58">
        <f ca="1">SUM(F79:F113)</f>
        <v>22211</v>
      </c>
      <c r="G78" s="60">
        <f ca="1">IFERROR(F78/E78-1,"")</f>
        <v>-0.20376411543287332</v>
      </c>
      <c r="H78" s="59">
        <f ca="1">IFERROR(B78/E78,0)</f>
        <v>162.55892417996054</v>
      </c>
      <c r="I78" s="59">
        <f ca="1">IFERROR(C78/F78,0)</f>
        <v>163.30472063392017</v>
      </c>
      <c r="J78" s="60">
        <f ca="1">IFERROR(I78/H78-1,"")</f>
        <v>4.5878530368101966E-3</v>
      </c>
      <c r="K78" s="58">
        <f>IFERROR(B78/$E$45,0)</f>
        <v>647797.31285714277</v>
      </c>
      <c r="L78" s="58">
        <f>IFERROR(C78/$E$46,0)</f>
        <v>518165.87857142871</v>
      </c>
      <c r="M78" s="60">
        <f>IFERROR(L78/K78-1,"")</f>
        <v>-0.20011110221184469</v>
      </c>
      <c r="AA78" s="142">
        <f>--AND('Sales Dashboard'!AN78&lt;&gt;"",OR($B$3="All",'Sales Dashboard'!CF78=$B$3),IF(OR($B$4="All",$B$4="Multiple (ticked)"),IF(COUNTIF($B$6:$M$6,"✔")&gt;0,COUNTIFS($B$5:$M$5,'Sales Dashboard'!AN78,$B$6:$M$6,"✔")&gt;0,$B$4="All"),'Sales Dashboard'!AN78=$B$4))</f>
        <v>1</v>
      </c>
    </row>
    <row r="79" spans="1:27" ht="15" customHeight="1" x14ac:dyDescent="0.25">
      <c r="A79" s="45" t="str" cm="1">
        <f t="array" ref="A79:A107">_xlfn._xlws.SORT(_xlfn.UNIQUE(_xlfn._xlws.FILTER('Sales Dashboard'!$AO$5:$AO$301,('Sales Dashboard'!$AO$5:$AO$301&lt;&gt;"")*($AA$5:$AA$301=1))))</f>
        <v>Abha</v>
      </c>
      <c r="B79" s="53" cm="1">
        <f t="array" ref="B79">IF($A79="","",_xlfn.LET(_xlpm.d,IFERROR(--'Sales and count'!$G$2:$CZ$2,0),SUMPRODUCT(('Sales Dashboard'!$AO$5:$AO$301=$A79)*($AA$5:$AA$301=1)*(_xlpm.d&gt;=$C$45)*(_xlpm.d&lt;=$D$45)*('Sales and count'!$G$3:$CZ$3="Total"),'Sales and count'!$G$4:$CZ$300)))</f>
        <v>123058.09</v>
      </c>
      <c r="C79" s="53" cm="1">
        <f t="array" ref="C79">IF($A79="","",_xlfn.LET(_xlpm.d,IFERROR(--'Sales and count'!$G$2:$CZ$2,0),SUMPRODUCT(('Sales Dashboard'!$AO$5:$AO$301=$A79)*($AA$5:$AA$301=1)*(_xlpm.d&gt;=$C$46)*(_xlpm.d&lt;=$D$46)*('Sales and count'!$G$3:$CZ$3="Total"),'Sales and count'!$G$4:$CZ$300)))</f>
        <v>98852.850000000035</v>
      </c>
      <c r="D79" s="55">
        <f t="shared" ref="D79:D112" si="22">IF($A79="","",IFERROR(C79/B79-1,""))</f>
        <v>-0.19669767343211619</v>
      </c>
      <c r="E79" s="53" cm="1">
        <f t="array" aca="1" ref="E79" ca="1">IF($A79="","",_xlfn.LET(_xlpm.d,IFERROR(--'Sales and count'!$F$2:$CY$2,0),SUMPRODUCT(('Sales Dashboard'!$AO$5:$AO$301=$A79)*($AA$5:$AA$301=1)*(_xlpm.d&gt;=$C$45)*(_xlpm.d&lt;=$D$45)*('Sales and count'!$G$3:$CZ$3="Transactions"),'Sales and count'!$G$4:$CZ$300)))</f>
        <v>885</v>
      </c>
      <c r="F79" s="53" cm="1">
        <f t="array" aca="1" ref="F79" ca="1">IF($A79="","",_xlfn.LET(_xlpm.d,IFERROR(--'Sales and count'!$F$2:$CY$2,0),SUMPRODUCT(('Sales Dashboard'!$AO$5:$AO$301=$A79)*($AA$5:$AA$301=1)*(_xlpm.d&gt;=$C$46)*(_xlpm.d&lt;=$D$46)*('Sales and count'!$G$3:$CZ$3="Transactions"),'Sales and count'!$G$4:$CZ$300)))</f>
        <v>687</v>
      </c>
      <c r="G79" s="55">
        <f t="shared" ref="G79:G112" ca="1" si="23">IF($A79="","",IFERROR(F79/E79-1,""))</f>
        <v>-0.22372881355932206</v>
      </c>
      <c r="H79" s="54">
        <f t="shared" ref="H79:H112" ca="1" si="24">IF($A79="","",IFERROR(B79/E79,0))</f>
        <v>139.04868926553672</v>
      </c>
      <c r="I79" s="54">
        <f t="shared" ref="I79:I112" ca="1" si="25">IF($A79="","",IFERROR(C79/F79,0))</f>
        <v>143.89061135371185</v>
      </c>
      <c r="J79" s="55">
        <f t="shared" ref="J79:J112" ca="1" si="26">IF($A79="","",IFERROR(I79/H79-1,""))</f>
        <v>3.4821774399675709E-2</v>
      </c>
      <c r="K79" s="53">
        <f t="shared" ref="K79:K112" si="27">IF($A79="","",IFERROR(B79/$E$45,0))</f>
        <v>17579.727142857144</v>
      </c>
      <c r="L79" s="53">
        <f t="shared" ref="L79:L112" si="28">IF($A79="","",IFERROR(C79/$E$46,0))</f>
        <v>14121.835714285718</v>
      </c>
      <c r="M79" s="55">
        <f t="shared" ref="M79:M112" si="29">IF($A79="","",IFERROR(L79/K79-1,""))</f>
        <v>-0.1966976734321163</v>
      </c>
      <c r="AA79" s="142">
        <f>--AND('Sales Dashboard'!AN79&lt;&gt;"",OR($B$3="All",'Sales Dashboard'!CF79=$B$3),IF(OR($B$4="All",$B$4="Multiple (ticked)"),IF(COUNTIF($B$6:$M$6,"✔")&gt;0,COUNTIFS($B$5:$M$5,'Sales Dashboard'!AN79,$B$6:$M$6,"✔")&gt;0,$B$4="All"),'Sales Dashboard'!AN79=$B$4))</f>
        <v>1</v>
      </c>
    </row>
    <row r="80" spans="1:27" ht="15" customHeight="1" x14ac:dyDescent="0.25">
      <c r="A80" s="45" t="str">
        <v>Al Hasa</v>
      </c>
      <c r="B80" s="53" cm="1">
        <f t="array" ref="B80">IF($A80="","",_xlfn.LET(_xlpm.d,IFERROR(--'Sales and count'!$G$2:$CZ$2,0),SUMPRODUCT(('Sales Dashboard'!$AO$5:$AO$301=$A80)*($AA$5:$AA$301=1)*(_xlpm.d&gt;=$C$45)*(_xlpm.d&lt;=$D$45)*('Sales and count'!$G$3:$CZ$3="Total"),'Sales and count'!$G$4:$CZ$300)))</f>
        <v>164725.29999999996</v>
      </c>
      <c r="C80" s="53" cm="1">
        <f t="array" ref="C80">IF($A80="","",_xlfn.LET(_xlpm.d,IFERROR(--'Sales and count'!$G$2:$CZ$2,0),SUMPRODUCT(('Sales Dashboard'!$AO$5:$AO$301=$A80)*($AA$5:$AA$301=1)*(_xlpm.d&gt;=$C$46)*(_xlpm.d&lt;=$D$46)*('Sales and count'!$G$3:$CZ$3="Total"),'Sales and count'!$G$4:$CZ$300)))</f>
        <v>124048.58000000002</v>
      </c>
      <c r="D80" s="55">
        <f t="shared" si="22"/>
        <v>-0.24693668792832646</v>
      </c>
      <c r="E80" s="53" cm="1">
        <f t="array" aca="1" ref="E80" ca="1">IF($A80="","",_xlfn.LET(_xlpm.d,IFERROR(--'Sales and count'!$F$2:$CY$2,0),SUMPRODUCT(('Sales Dashboard'!$AO$5:$AO$301=$A80)*($AA$5:$AA$301=1)*(_xlpm.d&gt;=$C$45)*(_xlpm.d&lt;=$D$45)*('Sales and count'!$G$3:$CZ$3="Transactions"),'Sales and count'!$G$4:$CZ$300)))</f>
        <v>926</v>
      </c>
      <c r="F80" s="53" cm="1">
        <f t="array" aca="1" ref="F80" ca="1">IF($A80="","",_xlfn.LET(_xlpm.d,IFERROR(--'Sales and count'!$F$2:$CY$2,0),SUMPRODUCT(('Sales Dashboard'!$AO$5:$AO$301=$A80)*($AA$5:$AA$301=1)*(_xlpm.d&gt;=$C$46)*(_xlpm.d&lt;=$D$46)*('Sales and count'!$G$3:$CZ$3="Transactions"),'Sales and count'!$G$4:$CZ$300)))</f>
        <v>714</v>
      </c>
      <c r="G80" s="55">
        <f t="shared" ca="1" si="23"/>
        <v>-0.2289416846652268</v>
      </c>
      <c r="H80" s="54">
        <f t="shared" ca="1" si="24"/>
        <v>177.88909287257016</v>
      </c>
      <c r="I80" s="54">
        <f t="shared" ca="1" si="25"/>
        <v>173.73750700280115</v>
      </c>
      <c r="J80" s="55">
        <f t="shared" ca="1" si="26"/>
        <v>-2.3338057453263672E-2</v>
      </c>
      <c r="K80" s="53">
        <f t="shared" si="27"/>
        <v>23532.185714285708</v>
      </c>
      <c r="L80" s="53">
        <f t="shared" si="28"/>
        <v>17721.225714285716</v>
      </c>
      <c r="M80" s="55">
        <f t="shared" si="29"/>
        <v>-0.24693668792832646</v>
      </c>
      <c r="AA80" s="142">
        <f>--AND('Sales Dashboard'!AN80&lt;&gt;"",OR($B$3="All",'Sales Dashboard'!CF80=$B$3),IF(OR($B$4="All",$B$4="Multiple (ticked)"),IF(COUNTIF($B$6:$M$6,"✔")&gt;0,COUNTIFS($B$5:$M$5,'Sales Dashboard'!AN80,$B$6:$M$6,"✔")&gt;0,$B$4="All"),'Sales Dashboard'!AN80=$B$4))</f>
        <v>1</v>
      </c>
    </row>
    <row r="81" spans="1:27" ht="15" customHeight="1" x14ac:dyDescent="0.25">
      <c r="A81" s="45" t="str">
        <v>Arar</v>
      </c>
      <c r="B81" s="53" cm="1">
        <f t="array" ref="B81">IF($A81="","",_xlfn.LET(_xlpm.d,IFERROR(--'Sales and count'!$G$2:$CZ$2,0),SUMPRODUCT(('Sales Dashboard'!$AO$5:$AO$301=$A81)*($AA$5:$AA$301=1)*(_xlpm.d&gt;=$C$45)*(_xlpm.d&lt;=$D$45)*('Sales and count'!$G$3:$CZ$3="Total"),'Sales and count'!$G$4:$CZ$300)))</f>
        <v>29402.38</v>
      </c>
      <c r="C81" s="53" cm="1">
        <f t="array" ref="C81">IF($A81="","",_xlfn.LET(_xlpm.d,IFERROR(--'Sales and count'!$G$2:$CZ$2,0),SUMPRODUCT(('Sales Dashboard'!$AO$5:$AO$301=$A81)*($AA$5:$AA$301=1)*(_xlpm.d&gt;=$C$46)*(_xlpm.d&lt;=$D$46)*('Sales and count'!$G$3:$CZ$3="Total"),'Sales and count'!$G$4:$CZ$300)))</f>
        <v>27739.39</v>
      </c>
      <c r="D81" s="55">
        <f t="shared" si="22"/>
        <v>-5.6559707071332399E-2</v>
      </c>
      <c r="E81" s="53" cm="1">
        <f t="array" aca="1" ref="E81" ca="1">IF($A81="","",_xlfn.LET(_xlpm.d,IFERROR(--'Sales and count'!$F$2:$CY$2,0),SUMPRODUCT(('Sales Dashboard'!$AO$5:$AO$301=$A81)*($AA$5:$AA$301=1)*(_xlpm.d&gt;=$C$45)*(_xlpm.d&lt;=$D$45)*('Sales and count'!$G$3:$CZ$3="Transactions"),'Sales and count'!$G$4:$CZ$300)))</f>
        <v>209</v>
      </c>
      <c r="F81" s="53" cm="1">
        <f t="array" aca="1" ref="F81" ca="1">IF($A81="","",_xlfn.LET(_xlpm.d,IFERROR(--'Sales and count'!$F$2:$CY$2,0),SUMPRODUCT(('Sales Dashboard'!$AO$5:$AO$301=$A81)*($AA$5:$AA$301=1)*(_xlpm.d&gt;=$C$46)*(_xlpm.d&lt;=$D$46)*('Sales and count'!$G$3:$CZ$3="Transactions"),'Sales and count'!$G$4:$CZ$300)))</f>
        <v>164</v>
      </c>
      <c r="G81" s="55">
        <f t="shared" ca="1" si="23"/>
        <v>-0.21531100478468901</v>
      </c>
      <c r="H81" s="54">
        <f t="shared" ca="1" si="24"/>
        <v>140.68124401913877</v>
      </c>
      <c r="I81" s="54">
        <f t="shared" ca="1" si="25"/>
        <v>169.1426219512195</v>
      </c>
      <c r="J81" s="55">
        <f t="shared" ca="1" si="26"/>
        <v>0.20231110501275307</v>
      </c>
      <c r="K81" s="53">
        <f t="shared" si="27"/>
        <v>4200.34</v>
      </c>
      <c r="L81" s="53">
        <f t="shared" si="28"/>
        <v>3962.77</v>
      </c>
      <c r="M81" s="55">
        <f t="shared" si="29"/>
        <v>-5.6559707071332399E-2</v>
      </c>
      <c r="AA81" s="142">
        <f>--AND('Sales Dashboard'!AN81&lt;&gt;"",OR($B$3="All",'Sales Dashboard'!CF81=$B$3),IF(OR($B$4="All",$B$4="Multiple (ticked)"),IF(COUNTIF($B$6:$M$6,"✔")&gt;0,COUNTIFS($B$5:$M$5,'Sales Dashboard'!AN81,$B$6:$M$6,"✔")&gt;0,$B$4="All"),'Sales Dashboard'!AN81=$B$4))</f>
        <v>1</v>
      </c>
    </row>
    <row r="82" spans="1:27" ht="15" customHeight="1" x14ac:dyDescent="0.25">
      <c r="A82" s="45" t="str">
        <v>Baha</v>
      </c>
      <c r="B82" s="53" cm="1">
        <f t="array" ref="B82">IF($A82="","",_xlfn.LET(_xlpm.d,IFERROR(--'Sales and count'!$G$2:$CZ$2,0),SUMPRODUCT(('Sales Dashboard'!$AO$5:$AO$301=$A82)*($AA$5:$AA$301=1)*(_xlpm.d&gt;=$C$45)*(_xlpm.d&lt;=$D$45)*('Sales and count'!$G$3:$CZ$3="Total"),'Sales and count'!$G$4:$CZ$300)))</f>
        <v>34598.51</v>
      </c>
      <c r="C82" s="53" cm="1">
        <f t="array" ref="C82">IF($A82="","",_xlfn.LET(_xlpm.d,IFERROR(--'Sales and count'!$G$2:$CZ$2,0),SUMPRODUCT(('Sales Dashboard'!$AO$5:$AO$301=$A82)*($AA$5:$AA$301=1)*(_xlpm.d&gt;=$C$46)*(_xlpm.d&lt;=$D$46)*('Sales and count'!$G$3:$CZ$3="Total"),'Sales and count'!$G$4:$CZ$300)))</f>
        <v>31005.409999999996</v>
      </c>
      <c r="D82" s="55">
        <f t="shared" si="22"/>
        <v>-0.10385129301810991</v>
      </c>
      <c r="E82" s="53" cm="1">
        <f t="array" aca="1" ref="E82" ca="1">IF($A82="","",_xlfn.LET(_xlpm.d,IFERROR(--'Sales and count'!$F$2:$CY$2,0),SUMPRODUCT(('Sales Dashboard'!$AO$5:$AO$301=$A82)*($AA$5:$AA$301=1)*(_xlpm.d&gt;=$C$45)*(_xlpm.d&lt;=$D$45)*('Sales and count'!$G$3:$CZ$3="Transactions"),'Sales and count'!$G$4:$CZ$300)))</f>
        <v>235</v>
      </c>
      <c r="F82" s="53" cm="1">
        <f t="array" aca="1" ref="F82" ca="1">IF($A82="","",_xlfn.LET(_xlpm.d,IFERROR(--'Sales and count'!$F$2:$CY$2,0),SUMPRODUCT(('Sales Dashboard'!$AO$5:$AO$301=$A82)*($AA$5:$AA$301=1)*(_xlpm.d&gt;=$C$46)*(_xlpm.d&lt;=$D$46)*('Sales and count'!$G$3:$CZ$3="Transactions"),'Sales and count'!$G$4:$CZ$300)))</f>
        <v>215</v>
      </c>
      <c r="G82" s="55">
        <f t="shared" ca="1" si="23"/>
        <v>-8.5106382978723416E-2</v>
      </c>
      <c r="H82" s="54">
        <f t="shared" ca="1" si="24"/>
        <v>147.22770212765957</v>
      </c>
      <c r="I82" s="54">
        <f t="shared" ca="1" si="25"/>
        <v>144.21120930232556</v>
      </c>
      <c r="J82" s="55">
        <f t="shared" ca="1" si="26"/>
        <v>-2.0488622601189888E-2</v>
      </c>
      <c r="K82" s="53">
        <f t="shared" si="27"/>
        <v>4942.6442857142856</v>
      </c>
      <c r="L82" s="53">
        <f t="shared" si="28"/>
        <v>4429.3442857142854</v>
      </c>
      <c r="M82" s="55">
        <f t="shared" si="29"/>
        <v>-0.1038512930181098</v>
      </c>
      <c r="AA82" s="142">
        <f>--AND('Sales Dashboard'!AN82&lt;&gt;"",OR($B$3="All",'Sales Dashboard'!CF82=$B$3),IF(OR($B$4="All",$B$4="Multiple (ticked)"),IF(COUNTIF($B$6:$M$6,"✔")&gt;0,COUNTIFS($B$5:$M$5,'Sales Dashboard'!AN82,$B$6:$M$6,"✔")&gt;0,$B$4="All"),'Sales Dashboard'!AN82=$B$4))</f>
        <v>1</v>
      </c>
    </row>
    <row r="83" spans="1:27" ht="15" customHeight="1" x14ac:dyDescent="0.25">
      <c r="A83" s="45" t="str">
        <v>Buraidah</v>
      </c>
      <c r="B83" s="53" cm="1">
        <f t="array" ref="B83">IF($A83="","",_xlfn.LET(_xlpm.d,IFERROR(--'Sales and count'!$G$2:$CZ$2,0),SUMPRODUCT(('Sales Dashboard'!$AO$5:$AO$301=$A83)*($AA$5:$AA$301=1)*(_xlpm.d&gt;=$C$45)*(_xlpm.d&lt;=$D$45)*('Sales and count'!$G$3:$CZ$3="Total"),'Sales and count'!$G$4:$CZ$300)))</f>
        <v>42945.609999999986</v>
      </c>
      <c r="C83" s="53" cm="1">
        <f t="array" ref="C83">IF($A83="","",_xlfn.LET(_xlpm.d,IFERROR(--'Sales and count'!$G$2:$CZ$2,0),SUMPRODUCT(('Sales Dashboard'!$AO$5:$AO$301=$A83)*($AA$5:$AA$301=1)*(_xlpm.d&gt;=$C$46)*(_xlpm.d&lt;=$D$46)*('Sales and count'!$G$3:$CZ$3="Total"),'Sales and count'!$G$4:$CZ$300)))</f>
        <v>39550.43</v>
      </c>
      <c r="D83" s="55">
        <f t="shared" si="22"/>
        <v>-7.9057673182427401E-2</v>
      </c>
      <c r="E83" s="53" cm="1">
        <f t="array" aca="1" ref="E83" ca="1">IF($A83="","",_xlfn.LET(_xlpm.d,IFERROR(--'Sales and count'!$F$2:$CY$2,0),SUMPRODUCT(('Sales Dashboard'!$AO$5:$AO$301=$A83)*($AA$5:$AA$301=1)*(_xlpm.d&gt;=$C$45)*(_xlpm.d&lt;=$D$45)*('Sales and count'!$G$3:$CZ$3="Transactions"),'Sales and count'!$G$4:$CZ$300)))</f>
        <v>322</v>
      </c>
      <c r="F83" s="53" cm="1">
        <f t="array" aca="1" ref="F83" ca="1">IF($A83="","",_xlfn.LET(_xlpm.d,IFERROR(--'Sales and count'!$F$2:$CY$2,0),SUMPRODUCT(('Sales Dashboard'!$AO$5:$AO$301=$A83)*($AA$5:$AA$301=1)*(_xlpm.d&gt;=$C$46)*(_xlpm.d&lt;=$D$46)*('Sales and count'!$G$3:$CZ$3="Transactions"),'Sales and count'!$G$4:$CZ$300)))</f>
        <v>301</v>
      </c>
      <c r="G83" s="55">
        <f t="shared" ca="1" si="23"/>
        <v>-6.5217391304347783E-2</v>
      </c>
      <c r="H83" s="54">
        <f t="shared" ca="1" si="24"/>
        <v>133.37145962732916</v>
      </c>
      <c r="I83" s="54">
        <f t="shared" ca="1" si="25"/>
        <v>131.39677740863789</v>
      </c>
      <c r="J83" s="55">
        <f t="shared" ca="1" si="26"/>
        <v>-1.4805882939340931E-2</v>
      </c>
      <c r="K83" s="53">
        <f t="shared" si="27"/>
        <v>6135.0871428571409</v>
      </c>
      <c r="L83" s="53">
        <f t="shared" si="28"/>
        <v>5650.0614285714282</v>
      </c>
      <c r="M83" s="55">
        <f t="shared" si="29"/>
        <v>-7.9057673182427513E-2</v>
      </c>
      <c r="AA83" s="142">
        <f>--AND('Sales Dashboard'!AN83&lt;&gt;"",OR($B$3="All",'Sales Dashboard'!CF83=$B$3),IF(OR($B$4="All",$B$4="Multiple (ticked)"),IF(COUNTIF($B$6:$M$6,"✔")&gt;0,COUNTIFS($B$5:$M$5,'Sales Dashboard'!AN83,$B$6:$M$6,"✔")&gt;0,$B$4="All"),'Sales Dashboard'!AN83=$B$4))</f>
        <v>1</v>
      </c>
    </row>
    <row r="84" spans="1:27" ht="15" customHeight="1" x14ac:dyDescent="0.25">
      <c r="A84" s="45" t="str">
        <v>Dammam</v>
      </c>
      <c r="B84" s="53" cm="1">
        <f t="array" ref="B84">IF($A84="","",_xlfn.LET(_xlpm.d,IFERROR(--'Sales and count'!$G$2:$CZ$2,0),SUMPRODUCT(('Sales Dashboard'!$AO$5:$AO$301=$A84)*($AA$5:$AA$301=1)*(_xlpm.d&gt;=$C$45)*(_xlpm.d&lt;=$D$45)*('Sales and count'!$G$3:$CZ$3="Total"),'Sales and count'!$G$4:$CZ$300)))</f>
        <v>169606.63999999998</v>
      </c>
      <c r="C84" s="53" cm="1">
        <f t="array" ref="C84">IF($A84="","",_xlfn.LET(_xlpm.d,IFERROR(--'Sales and count'!$G$2:$CZ$2,0),SUMPRODUCT(('Sales Dashboard'!$AO$5:$AO$301=$A84)*($AA$5:$AA$301=1)*(_xlpm.d&gt;=$C$46)*(_xlpm.d&lt;=$D$46)*('Sales and count'!$G$3:$CZ$3="Total"),'Sales and count'!$G$4:$CZ$300)))</f>
        <v>123841.46</v>
      </c>
      <c r="D84" s="55">
        <f t="shared" si="22"/>
        <v>-0.26983129905763115</v>
      </c>
      <c r="E84" s="53" cm="1">
        <f t="array" aca="1" ref="E84" ca="1">IF($A84="","",_xlfn.LET(_xlpm.d,IFERROR(--'Sales and count'!$F$2:$CY$2,0),SUMPRODUCT(('Sales Dashboard'!$AO$5:$AO$301=$A84)*($AA$5:$AA$301=1)*(_xlpm.d&gt;=$C$45)*(_xlpm.d&lt;=$D$45)*('Sales and count'!$G$3:$CZ$3="Transactions"),'Sales and count'!$G$4:$CZ$300)))</f>
        <v>1076</v>
      </c>
      <c r="F84" s="53" cm="1">
        <f t="array" aca="1" ref="F84" ca="1">IF($A84="","",_xlfn.LET(_xlpm.d,IFERROR(--'Sales and count'!$F$2:$CY$2,0),SUMPRODUCT(('Sales Dashboard'!$AO$5:$AO$301=$A84)*($AA$5:$AA$301=1)*(_xlpm.d&gt;=$C$46)*(_xlpm.d&lt;=$D$46)*('Sales and count'!$G$3:$CZ$3="Transactions"),'Sales and count'!$G$4:$CZ$300)))</f>
        <v>819</v>
      </c>
      <c r="G84" s="55">
        <f t="shared" ca="1" si="23"/>
        <v>-0.23884758364312264</v>
      </c>
      <c r="H84" s="54">
        <f t="shared" ca="1" si="24"/>
        <v>157.62698884758362</v>
      </c>
      <c r="I84" s="54">
        <f t="shared" ca="1" si="25"/>
        <v>151.21057387057388</v>
      </c>
      <c r="J84" s="55">
        <f t="shared" ca="1" si="26"/>
        <v>-4.0706322083041591E-2</v>
      </c>
      <c r="K84" s="53">
        <f t="shared" si="27"/>
        <v>24229.519999999997</v>
      </c>
      <c r="L84" s="53">
        <f t="shared" si="28"/>
        <v>17691.637142857144</v>
      </c>
      <c r="M84" s="55">
        <f t="shared" si="29"/>
        <v>-0.26983129905763115</v>
      </c>
      <c r="AA84" s="142">
        <f>--AND('Sales Dashboard'!AN84&lt;&gt;"",OR($B$3="All",'Sales Dashboard'!CF84=$B$3),IF(OR($B$4="All",$B$4="Multiple (ticked)"),IF(COUNTIF($B$6:$M$6,"✔")&gt;0,COUNTIFS($B$5:$M$5,'Sales Dashboard'!AN84,$B$6:$M$6,"✔")&gt;0,$B$4="All"),'Sales Dashboard'!AN84=$B$4))</f>
        <v>1</v>
      </c>
    </row>
    <row r="85" spans="1:27" ht="15" customHeight="1" x14ac:dyDescent="0.25">
      <c r="A85" s="45" t="str">
        <v>Dawadami</v>
      </c>
      <c r="B85" s="53" cm="1">
        <f t="array" ref="B85">IF($A85="","",_xlfn.LET(_xlpm.d,IFERROR(--'Sales and count'!$G$2:$CZ$2,0),SUMPRODUCT(('Sales Dashboard'!$AO$5:$AO$301=$A85)*($AA$5:$AA$301=1)*(_xlpm.d&gt;=$C$45)*(_xlpm.d&lt;=$D$45)*('Sales and count'!$G$3:$CZ$3="Total"),'Sales and count'!$G$4:$CZ$300)))</f>
        <v>19263.310000000005</v>
      </c>
      <c r="C85" s="53" cm="1">
        <f t="array" ref="C85">IF($A85="","",_xlfn.LET(_xlpm.d,IFERROR(--'Sales and count'!$G$2:$CZ$2,0),SUMPRODUCT(('Sales Dashboard'!$AO$5:$AO$301=$A85)*($AA$5:$AA$301=1)*(_xlpm.d&gt;=$C$46)*(_xlpm.d&lt;=$D$46)*('Sales and count'!$G$3:$CZ$3="Total"),'Sales and count'!$G$4:$CZ$300)))</f>
        <v>14828.070000000002</v>
      </c>
      <c r="D85" s="55">
        <f t="shared" si="22"/>
        <v>-0.23024288141549931</v>
      </c>
      <c r="E85" s="53" cm="1">
        <f t="array" aca="1" ref="E85" ca="1">IF($A85="","",_xlfn.LET(_xlpm.d,IFERROR(--'Sales and count'!$F$2:$CY$2,0),SUMPRODUCT(('Sales Dashboard'!$AO$5:$AO$301=$A85)*($AA$5:$AA$301=1)*(_xlpm.d&gt;=$C$45)*(_xlpm.d&lt;=$D$45)*('Sales and count'!$G$3:$CZ$3="Transactions"),'Sales and count'!$G$4:$CZ$300)))</f>
        <v>164</v>
      </c>
      <c r="F85" s="53" cm="1">
        <f t="array" aca="1" ref="F85" ca="1">IF($A85="","",_xlfn.LET(_xlpm.d,IFERROR(--'Sales and count'!$F$2:$CY$2,0),SUMPRODUCT(('Sales Dashboard'!$AO$5:$AO$301=$A85)*($AA$5:$AA$301=1)*(_xlpm.d&gt;=$C$46)*(_xlpm.d&lt;=$D$46)*('Sales and count'!$G$3:$CZ$3="Transactions"),'Sales and count'!$G$4:$CZ$300)))</f>
        <v>122</v>
      </c>
      <c r="G85" s="55">
        <f t="shared" ca="1" si="23"/>
        <v>-0.25609756097560976</v>
      </c>
      <c r="H85" s="54">
        <f t="shared" ca="1" si="24"/>
        <v>117.45920731707321</v>
      </c>
      <c r="I85" s="54">
        <f t="shared" ca="1" si="25"/>
        <v>121.54155737704919</v>
      </c>
      <c r="J85" s="55">
        <f t="shared" ca="1" si="26"/>
        <v>3.4755470884082706E-2</v>
      </c>
      <c r="K85" s="53">
        <f t="shared" si="27"/>
        <v>2751.9014285714293</v>
      </c>
      <c r="L85" s="53">
        <f t="shared" si="28"/>
        <v>2118.2957142857144</v>
      </c>
      <c r="M85" s="55">
        <f t="shared" si="29"/>
        <v>-0.23024288141549931</v>
      </c>
      <c r="AA85" s="142">
        <f>--AND('Sales Dashboard'!AN85&lt;&gt;"",OR($B$3="All",'Sales Dashboard'!CF85=$B$3),IF(OR($B$4="All",$B$4="Multiple (ticked)"),IF(COUNTIF($B$6:$M$6,"✔")&gt;0,COUNTIFS($B$5:$M$5,'Sales Dashboard'!AN85,$B$6:$M$6,"✔")&gt;0,$B$4="All"),'Sales Dashboard'!AN85=$B$4))</f>
        <v>1</v>
      </c>
    </row>
    <row r="86" spans="1:27" ht="15" customHeight="1" x14ac:dyDescent="0.25">
      <c r="A86" s="45" t="str">
        <v>Hafer Al Batin</v>
      </c>
      <c r="B86" s="53" cm="1">
        <f t="array" ref="B86">IF($A86="","",_xlfn.LET(_xlpm.d,IFERROR(--'Sales and count'!$G$2:$CZ$2,0),SUMPRODUCT(('Sales Dashboard'!$AO$5:$AO$301=$A86)*($AA$5:$AA$301=1)*(_xlpm.d&gt;=$C$45)*(_xlpm.d&lt;=$D$45)*('Sales and count'!$G$3:$CZ$3="Total"),'Sales and count'!$G$4:$CZ$300)))</f>
        <v>87973.51</v>
      </c>
      <c r="C86" s="53" cm="1">
        <f t="array" ref="C86">IF($A86="","",_xlfn.LET(_xlpm.d,IFERROR(--'Sales and count'!$G$2:$CZ$2,0),SUMPRODUCT(('Sales Dashboard'!$AO$5:$AO$301=$A86)*($AA$5:$AA$301=1)*(_xlpm.d&gt;=$C$46)*(_xlpm.d&lt;=$D$46)*('Sales and count'!$G$3:$CZ$3="Total"),'Sales and count'!$G$4:$CZ$300)))</f>
        <v>76527.009999999995</v>
      </c>
      <c r="D86" s="55">
        <f t="shared" si="22"/>
        <v>-0.13011303061569335</v>
      </c>
      <c r="E86" s="53" cm="1">
        <f t="array" aca="1" ref="E86" ca="1">IF($A86="","",_xlfn.LET(_xlpm.d,IFERROR(--'Sales and count'!$F$2:$CY$2,0),SUMPRODUCT(('Sales Dashboard'!$AO$5:$AO$301=$A86)*($AA$5:$AA$301=1)*(_xlpm.d&gt;=$C$45)*(_xlpm.d&lt;=$D$45)*('Sales and count'!$G$3:$CZ$3="Transactions"),'Sales and count'!$G$4:$CZ$300)))</f>
        <v>502</v>
      </c>
      <c r="F86" s="53" cm="1">
        <f t="array" aca="1" ref="F86" ca="1">IF($A86="","",_xlfn.LET(_xlpm.d,IFERROR(--'Sales and count'!$F$2:$CY$2,0),SUMPRODUCT(('Sales Dashboard'!$AO$5:$AO$301=$A86)*($AA$5:$AA$301=1)*(_xlpm.d&gt;=$C$46)*(_xlpm.d&lt;=$D$46)*('Sales and count'!$G$3:$CZ$3="Transactions"),'Sales and count'!$G$4:$CZ$300)))</f>
        <v>383</v>
      </c>
      <c r="G86" s="55">
        <f t="shared" ca="1" si="23"/>
        <v>-0.23705179282868527</v>
      </c>
      <c r="H86" s="54">
        <f t="shared" ca="1" si="24"/>
        <v>175.24603585657368</v>
      </c>
      <c r="I86" s="54">
        <f t="shared" ca="1" si="25"/>
        <v>199.80942558746736</v>
      </c>
      <c r="J86" s="55">
        <f t="shared" ca="1" si="26"/>
        <v>0.14016516613817753</v>
      </c>
      <c r="K86" s="53">
        <f t="shared" si="27"/>
        <v>12567.644285714285</v>
      </c>
      <c r="L86" s="53">
        <f t="shared" si="28"/>
        <v>10932.429999999998</v>
      </c>
      <c r="M86" s="55">
        <f t="shared" si="29"/>
        <v>-0.13011303061569335</v>
      </c>
      <c r="AA86" s="142">
        <f>--AND('Sales Dashboard'!AN86&lt;&gt;"",OR($B$3="All",'Sales Dashboard'!CF86=$B$3),IF(OR($B$4="All",$B$4="Multiple (ticked)"),IF(COUNTIF($B$6:$M$6,"✔")&gt;0,COUNTIFS($B$5:$M$5,'Sales Dashboard'!AN86,$B$6:$M$6,"✔")&gt;0,$B$4="All"),'Sales Dashboard'!AN86=$B$4))</f>
        <v>1</v>
      </c>
    </row>
    <row r="87" spans="1:27" ht="15" customHeight="1" x14ac:dyDescent="0.25">
      <c r="A87" s="45" t="str">
        <v>Hail</v>
      </c>
      <c r="B87" s="53" cm="1">
        <f t="array" ref="B87">IF($A87="","",_xlfn.LET(_xlpm.d,IFERROR(--'Sales and count'!$G$2:$CZ$2,0),SUMPRODUCT(('Sales Dashboard'!$AO$5:$AO$301=$A87)*($AA$5:$AA$301=1)*(_xlpm.d&gt;=$C$45)*(_xlpm.d&lt;=$D$45)*('Sales and count'!$G$3:$CZ$3="Total"),'Sales and count'!$G$4:$CZ$300)))</f>
        <v>57370.78</v>
      </c>
      <c r="C87" s="53" cm="1">
        <f t="array" ref="C87">IF($A87="","",_xlfn.LET(_xlpm.d,IFERROR(--'Sales and count'!$G$2:$CZ$2,0),SUMPRODUCT(('Sales Dashboard'!$AO$5:$AO$301=$A87)*($AA$5:$AA$301=1)*(_xlpm.d&gt;=$C$46)*(_xlpm.d&lt;=$D$46)*('Sales and count'!$G$3:$CZ$3="Total"),'Sales and count'!$G$4:$CZ$300)))</f>
        <v>50020.789999999994</v>
      </c>
      <c r="D87" s="55">
        <f t="shared" si="22"/>
        <v>-0.12811382379671332</v>
      </c>
      <c r="E87" s="53" cm="1">
        <f t="array" aca="1" ref="E87" ca="1">IF($A87="","",_xlfn.LET(_xlpm.d,IFERROR(--'Sales and count'!$F$2:$CY$2,0),SUMPRODUCT(('Sales Dashboard'!$AO$5:$AO$301=$A87)*($AA$5:$AA$301=1)*(_xlpm.d&gt;=$C$45)*(_xlpm.d&lt;=$D$45)*('Sales and count'!$G$3:$CZ$3="Transactions"),'Sales and count'!$G$4:$CZ$300)))</f>
        <v>375</v>
      </c>
      <c r="F87" s="53" cm="1">
        <f t="array" aca="1" ref="F87" ca="1">IF($A87="","",_xlfn.LET(_xlpm.d,IFERROR(--'Sales and count'!$F$2:$CY$2,0),SUMPRODUCT(('Sales Dashboard'!$AO$5:$AO$301=$A87)*($AA$5:$AA$301=1)*(_xlpm.d&gt;=$C$46)*(_xlpm.d&lt;=$D$46)*('Sales and count'!$G$3:$CZ$3="Transactions"),'Sales and count'!$G$4:$CZ$300)))</f>
        <v>312</v>
      </c>
      <c r="G87" s="55">
        <f t="shared" ca="1" si="23"/>
        <v>-0.16800000000000004</v>
      </c>
      <c r="H87" s="54">
        <f t="shared" ca="1" si="24"/>
        <v>152.98874666666666</v>
      </c>
      <c r="I87" s="54">
        <f t="shared" ca="1" si="25"/>
        <v>160.32304487179485</v>
      </c>
      <c r="J87" s="55">
        <f t="shared" ca="1" si="26"/>
        <v>4.7940115628950286E-2</v>
      </c>
      <c r="K87" s="53">
        <f t="shared" si="27"/>
        <v>8195.8257142857146</v>
      </c>
      <c r="L87" s="53">
        <f t="shared" si="28"/>
        <v>7145.8271428571416</v>
      </c>
      <c r="M87" s="55">
        <f t="shared" si="29"/>
        <v>-0.12811382379671343</v>
      </c>
      <c r="AA87" s="142">
        <f>--AND('Sales Dashboard'!AN87&lt;&gt;"",OR($B$3="All",'Sales Dashboard'!CF87=$B$3),IF(OR($B$4="All",$B$4="Multiple (ticked)"),IF(COUNTIF($B$6:$M$6,"✔")&gt;0,COUNTIFS($B$5:$M$5,'Sales Dashboard'!AN87,$B$6:$M$6,"✔")&gt;0,$B$4="All"),'Sales Dashboard'!AN87=$B$4))</f>
        <v>1</v>
      </c>
    </row>
    <row r="88" spans="1:27" ht="15" customHeight="1" x14ac:dyDescent="0.25">
      <c r="A88" s="45" t="str">
        <v>Jeddah</v>
      </c>
      <c r="B88" s="53" cm="1">
        <f t="array" ref="B88">IF($A88="","",_xlfn.LET(_xlpm.d,IFERROR(--'Sales and count'!$G$2:$CZ$2,0),SUMPRODUCT(('Sales Dashboard'!$AO$5:$AO$301=$A88)*($AA$5:$AA$301=1)*(_xlpm.d&gt;=$C$45)*(_xlpm.d&lt;=$D$45)*('Sales and count'!$G$3:$CZ$3="Total"),'Sales and count'!$G$4:$CZ$300)))</f>
        <v>857439.43999999983</v>
      </c>
      <c r="C88" s="53" cm="1">
        <f t="array" ref="C88">IF($A88="","",_xlfn.LET(_xlpm.d,IFERROR(--'Sales and count'!$G$2:$CZ$2,0),SUMPRODUCT(('Sales Dashboard'!$AO$5:$AO$301=$A88)*($AA$5:$AA$301=1)*(_xlpm.d&gt;=$C$46)*(_xlpm.d&lt;=$D$46)*('Sales and count'!$G$3:$CZ$3="Total"),'Sales and count'!$G$4:$CZ$300)))</f>
        <v>637408.38000000012</v>
      </c>
      <c r="D88" s="55">
        <f t="shared" si="22"/>
        <v>-0.25661411142925705</v>
      </c>
      <c r="E88" s="53" cm="1">
        <f t="array" aca="1" ref="E88" ca="1">IF($A88="","",_xlfn.LET(_xlpm.d,IFERROR(--'Sales and count'!$F$2:$CY$2,0),SUMPRODUCT(('Sales Dashboard'!$AO$5:$AO$301=$A88)*($AA$5:$AA$301=1)*(_xlpm.d&gt;=$C$45)*(_xlpm.d&lt;=$D$45)*('Sales and count'!$G$3:$CZ$3="Transactions"),'Sales and count'!$G$4:$CZ$300)))</f>
        <v>5466</v>
      </c>
      <c r="F88" s="53" cm="1">
        <f t="array" aca="1" ref="F88" ca="1">IF($A88="","",_xlfn.LET(_xlpm.d,IFERROR(--'Sales and count'!$F$2:$CY$2,0),SUMPRODUCT(('Sales Dashboard'!$AO$5:$AO$301=$A88)*($AA$5:$AA$301=1)*(_xlpm.d&gt;=$C$46)*(_xlpm.d&lt;=$D$46)*('Sales and count'!$G$3:$CZ$3="Transactions"),'Sales and count'!$G$4:$CZ$300)))</f>
        <v>4286</v>
      </c>
      <c r="G88" s="55">
        <f t="shared" ca="1" si="23"/>
        <v>-0.21587998536406883</v>
      </c>
      <c r="H88" s="54">
        <f t="shared" ca="1" si="24"/>
        <v>156.86780826930109</v>
      </c>
      <c r="I88" s="54">
        <f t="shared" ca="1" si="25"/>
        <v>148.71870741950539</v>
      </c>
      <c r="J88" s="55">
        <f t="shared" ca="1" si="26"/>
        <v>-5.1948841127465895E-2</v>
      </c>
      <c r="K88" s="53">
        <f t="shared" si="27"/>
        <v>122491.34857142855</v>
      </c>
      <c r="L88" s="53">
        <f t="shared" si="28"/>
        <v>91058.340000000011</v>
      </c>
      <c r="M88" s="55">
        <f t="shared" si="29"/>
        <v>-0.25661411142925705</v>
      </c>
      <c r="AA88" s="142">
        <f>--AND('Sales Dashboard'!AN88&lt;&gt;"",OR($B$3="All",'Sales Dashboard'!CF88=$B$3),IF(OR($B$4="All",$B$4="Multiple (ticked)"),IF(COUNTIF($B$6:$M$6,"✔")&gt;0,COUNTIFS($B$5:$M$5,'Sales Dashboard'!AN88,$B$6:$M$6,"✔")&gt;0,$B$4="All"),'Sales Dashboard'!AN88=$B$4))</f>
        <v>1</v>
      </c>
    </row>
    <row r="89" spans="1:27" ht="15" customHeight="1" x14ac:dyDescent="0.25">
      <c r="A89" s="45" t="str">
        <v>Jizan</v>
      </c>
      <c r="B89" s="53" cm="1">
        <f t="array" ref="B89">IF($A89="","",_xlfn.LET(_xlpm.d,IFERROR(--'Sales and count'!$G$2:$CZ$2,0),SUMPRODUCT(('Sales Dashboard'!$AO$5:$AO$301=$A89)*($AA$5:$AA$301=1)*(_xlpm.d&gt;=$C$45)*(_xlpm.d&lt;=$D$45)*('Sales and count'!$G$3:$CZ$3="Total"),'Sales and count'!$G$4:$CZ$300)))</f>
        <v>109528.36999999998</v>
      </c>
      <c r="C89" s="53" cm="1">
        <f t="array" ref="C89">IF($A89="","",_xlfn.LET(_xlpm.d,IFERROR(--'Sales and count'!$G$2:$CZ$2,0),SUMPRODUCT(('Sales Dashboard'!$AO$5:$AO$301=$A89)*($AA$5:$AA$301=1)*(_xlpm.d&gt;=$C$46)*(_xlpm.d&lt;=$D$46)*('Sales and count'!$G$3:$CZ$3="Total"),'Sales and count'!$G$4:$CZ$300)))</f>
        <v>76374.319999999978</v>
      </c>
      <c r="D89" s="55">
        <f t="shared" si="22"/>
        <v>-0.30269828721088432</v>
      </c>
      <c r="E89" s="53" cm="1">
        <f t="array" aca="1" ref="E89" ca="1">IF($A89="","",_xlfn.LET(_xlpm.d,IFERROR(--'Sales and count'!$F$2:$CY$2,0),SUMPRODUCT(('Sales Dashboard'!$AO$5:$AO$301=$A89)*($AA$5:$AA$301=1)*(_xlpm.d&gt;=$C$45)*(_xlpm.d&lt;=$D$45)*('Sales and count'!$G$3:$CZ$3="Transactions"),'Sales and count'!$G$4:$CZ$300)))</f>
        <v>750</v>
      </c>
      <c r="F89" s="53" cm="1">
        <f t="array" aca="1" ref="F89" ca="1">IF($A89="","",_xlfn.LET(_xlpm.d,IFERROR(--'Sales and count'!$F$2:$CY$2,0),SUMPRODUCT(('Sales Dashboard'!$AO$5:$AO$301=$A89)*($AA$5:$AA$301=1)*(_xlpm.d&gt;=$C$46)*(_xlpm.d&lt;=$D$46)*('Sales and count'!$G$3:$CZ$3="Transactions"),'Sales and count'!$G$4:$CZ$300)))</f>
        <v>545</v>
      </c>
      <c r="G89" s="55">
        <f t="shared" ca="1" si="23"/>
        <v>-0.27333333333333332</v>
      </c>
      <c r="H89" s="54">
        <f t="shared" ca="1" si="24"/>
        <v>146.03782666666663</v>
      </c>
      <c r="I89" s="54">
        <f t="shared" ca="1" si="25"/>
        <v>140.13636697247702</v>
      </c>
      <c r="J89" s="55">
        <f t="shared" ca="1" si="26"/>
        <v>-4.0410486987455529E-2</v>
      </c>
      <c r="K89" s="53">
        <f t="shared" si="27"/>
        <v>15646.909999999998</v>
      </c>
      <c r="L89" s="53">
        <f t="shared" si="28"/>
        <v>10910.61714285714</v>
      </c>
      <c r="M89" s="55">
        <f t="shared" si="29"/>
        <v>-0.30269828721088443</v>
      </c>
      <c r="AA89" s="142">
        <f>--AND('Sales Dashboard'!AN89&lt;&gt;"",OR($B$3="All",'Sales Dashboard'!CF89=$B$3),IF(OR($B$4="All",$B$4="Multiple (ticked)"),IF(COUNTIF($B$6:$M$6,"✔")&gt;0,COUNTIFS($B$5:$M$5,'Sales Dashboard'!AN89,$B$6:$M$6,"✔")&gt;0,$B$4="All"),'Sales Dashboard'!AN89=$B$4))</f>
        <v>1</v>
      </c>
    </row>
    <row r="90" spans="1:27" ht="15" customHeight="1" x14ac:dyDescent="0.25">
      <c r="A90" s="45" t="str">
        <v>Jubail</v>
      </c>
      <c r="B90" s="53" cm="1">
        <f t="array" ref="B90">IF($A90="","",_xlfn.LET(_xlpm.d,IFERROR(--'Sales and count'!$G$2:$CZ$2,0),SUMPRODUCT(('Sales Dashboard'!$AO$5:$AO$301=$A90)*($AA$5:$AA$301=1)*(_xlpm.d&gt;=$C$45)*(_xlpm.d&lt;=$D$45)*('Sales and count'!$G$3:$CZ$3="Total"),'Sales and count'!$G$4:$CZ$300)))</f>
        <v>74720.33</v>
      </c>
      <c r="C90" s="53" cm="1">
        <f t="array" ref="C90">IF($A90="","",_xlfn.LET(_xlpm.d,IFERROR(--'Sales and count'!$G$2:$CZ$2,0),SUMPRODUCT(('Sales Dashboard'!$AO$5:$AO$301=$A90)*($AA$5:$AA$301=1)*(_xlpm.d&gt;=$C$46)*(_xlpm.d&lt;=$D$46)*('Sales and count'!$G$3:$CZ$3="Total"),'Sales and count'!$G$4:$CZ$300)))</f>
        <v>56003.92</v>
      </c>
      <c r="D90" s="55">
        <f t="shared" si="22"/>
        <v>-0.25048617959797559</v>
      </c>
      <c r="E90" s="53" cm="1">
        <f t="array" aca="1" ref="E90" ca="1">IF($A90="","",_xlfn.LET(_xlpm.d,IFERROR(--'Sales and count'!$F$2:$CY$2,0),SUMPRODUCT(('Sales Dashboard'!$AO$5:$AO$301=$A90)*($AA$5:$AA$301=1)*(_xlpm.d&gt;=$C$45)*(_xlpm.d&lt;=$D$45)*('Sales and count'!$G$3:$CZ$3="Transactions"),'Sales and count'!$G$4:$CZ$300)))</f>
        <v>518</v>
      </c>
      <c r="F90" s="53" cm="1">
        <f t="array" aca="1" ref="F90" ca="1">IF($A90="","",_xlfn.LET(_xlpm.d,IFERROR(--'Sales and count'!$F$2:$CY$2,0),SUMPRODUCT(('Sales Dashboard'!$AO$5:$AO$301=$A90)*($AA$5:$AA$301=1)*(_xlpm.d&gt;=$C$46)*(_xlpm.d&lt;=$D$46)*('Sales and count'!$G$3:$CZ$3="Transactions"),'Sales and count'!$G$4:$CZ$300)))</f>
        <v>410</v>
      </c>
      <c r="G90" s="55">
        <f t="shared" ca="1" si="23"/>
        <v>-0.20849420849420852</v>
      </c>
      <c r="H90" s="54">
        <f t="shared" ca="1" si="24"/>
        <v>144.24774131274131</v>
      </c>
      <c r="I90" s="54">
        <f t="shared" ca="1" si="25"/>
        <v>136.59492682926827</v>
      </c>
      <c r="J90" s="55">
        <f t="shared" ca="1" si="26"/>
        <v>-5.3053270809149677E-2</v>
      </c>
      <c r="K90" s="53">
        <f t="shared" si="27"/>
        <v>10674.332857142857</v>
      </c>
      <c r="L90" s="53">
        <f t="shared" si="28"/>
        <v>8000.5599999999995</v>
      </c>
      <c r="M90" s="55">
        <f t="shared" si="29"/>
        <v>-0.25048617959797559</v>
      </c>
      <c r="AA90" s="142">
        <f>--AND('Sales Dashboard'!AN90&lt;&gt;"",OR($B$3="All",'Sales Dashboard'!CF90=$B$3),IF(OR($B$4="All",$B$4="Multiple (ticked)"),IF(COUNTIF($B$6:$M$6,"✔")&gt;0,COUNTIFS($B$5:$M$5,'Sales Dashboard'!AN90,$B$6:$M$6,"✔")&gt;0,$B$4="All"),'Sales Dashboard'!AN90=$B$4))</f>
        <v>1</v>
      </c>
    </row>
    <row r="91" spans="1:27" ht="15" customHeight="1" x14ac:dyDescent="0.25">
      <c r="A91" s="45" t="str">
        <v>Khamis meshaet</v>
      </c>
      <c r="B91" s="53" cm="1">
        <f t="array" ref="B91">IF($A91="","",_xlfn.LET(_xlpm.d,IFERROR(--'Sales and count'!$G$2:$CZ$2,0),SUMPRODUCT(('Sales Dashboard'!$AO$5:$AO$301=$A91)*($AA$5:$AA$301=1)*(_xlpm.d&gt;=$C$45)*(_xlpm.d&lt;=$D$45)*('Sales and count'!$G$3:$CZ$3="Total"),'Sales and count'!$G$4:$CZ$300)))</f>
        <v>76826.259999999995</v>
      </c>
      <c r="C91" s="53" cm="1">
        <f t="array" ref="C91">IF($A91="","",_xlfn.LET(_xlpm.d,IFERROR(--'Sales and count'!$G$2:$CZ$2,0),SUMPRODUCT(('Sales Dashboard'!$AO$5:$AO$301=$A91)*($AA$5:$AA$301=1)*(_xlpm.d&gt;=$C$46)*(_xlpm.d&lt;=$D$46)*('Sales and count'!$G$3:$CZ$3="Total"),'Sales and count'!$G$4:$CZ$300)))</f>
        <v>61590.04</v>
      </c>
      <c r="D91" s="55">
        <f t="shared" si="22"/>
        <v>-0.19832047011008991</v>
      </c>
      <c r="E91" s="53" cm="1">
        <f t="array" aca="1" ref="E91" ca="1">IF($A91="","",_xlfn.LET(_xlpm.d,IFERROR(--'Sales and count'!$F$2:$CY$2,0),SUMPRODUCT(('Sales Dashboard'!$AO$5:$AO$301=$A91)*($AA$5:$AA$301=1)*(_xlpm.d&gt;=$C$45)*(_xlpm.d&lt;=$D$45)*('Sales and count'!$G$3:$CZ$3="Transactions"),'Sales and count'!$G$4:$CZ$300)))</f>
        <v>487</v>
      </c>
      <c r="F91" s="53" cm="1">
        <f t="array" aca="1" ref="F91" ca="1">IF($A91="","",_xlfn.LET(_xlpm.d,IFERROR(--'Sales and count'!$F$2:$CY$2,0),SUMPRODUCT(('Sales Dashboard'!$AO$5:$AO$301=$A91)*($AA$5:$AA$301=1)*(_xlpm.d&gt;=$C$46)*(_xlpm.d&lt;=$D$46)*('Sales and count'!$G$3:$CZ$3="Transactions"),'Sales and count'!$G$4:$CZ$300)))</f>
        <v>382</v>
      </c>
      <c r="G91" s="55">
        <f t="shared" ca="1" si="23"/>
        <v>-0.21560574948665301</v>
      </c>
      <c r="H91" s="54">
        <f t="shared" ca="1" si="24"/>
        <v>157.75412731006159</v>
      </c>
      <c r="I91" s="54">
        <f t="shared" ca="1" si="25"/>
        <v>161.23047120418849</v>
      </c>
      <c r="J91" s="55">
        <f t="shared" ca="1" si="26"/>
        <v>2.203646873399534E-2</v>
      </c>
      <c r="K91" s="53">
        <f t="shared" si="27"/>
        <v>10975.179999999998</v>
      </c>
      <c r="L91" s="53">
        <f t="shared" si="28"/>
        <v>8798.5771428571425</v>
      </c>
      <c r="M91" s="55">
        <f t="shared" si="29"/>
        <v>-0.19832047011008991</v>
      </c>
      <c r="AA91" s="142">
        <f>--AND('Sales Dashboard'!AN91&lt;&gt;"",OR($B$3="All",'Sales Dashboard'!CF91=$B$3),IF(OR($B$4="All",$B$4="Multiple (ticked)"),IF(COUNTIF($B$6:$M$6,"✔")&gt;0,COUNTIFS($B$5:$M$5,'Sales Dashboard'!AN91,$B$6:$M$6,"✔")&gt;0,$B$4="All"),'Sales Dashboard'!AN91=$B$4))</f>
        <v>1</v>
      </c>
    </row>
    <row r="92" spans="1:27" ht="15" customHeight="1" x14ac:dyDescent="0.25">
      <c r="A92" s="45" t="str">
        <v>Khobar</v>
      </c>
      <c r="B92" s="53" cm="1">
        <f t="array" ref="B92">IF($A92="","",_xlfn.LET(_xlpm.d,IFERROR(--'Sales and count'!$G$2:$CZ$2,0),SUMPRODUCT(('Sales Dashboard'!$AO$5:$AO$301=$A92)*($AA$5:$AA$301=1)*(_xlpm.d&gt;=$C$45)*(_xlpm.d&lt;=$D$45)*('Sales and count'!$G$3:$CZ$3="Total"),'Sales and count'!$G$4:$CZ$300)))</f>
        <v>203746.31999999998</v>
      </c>
      <c r="C92" s="53" cm="1">
        <f t="array" ref="C92">IF($A92="","",_xlfn.LET(_xlpm.d,IFERROR(--'Sales and count'!$G$2:$CZ$2,0),SUMPRODUCT(('Sales Dashboard'!$AO$5:$AO$301=$A92)*($AA$5:$AA$301=1)*(_xlpm.d&gt;=$C$46)*(_xlpm.d&lt;=$D$46)*('Sales and count'!$G$3:$CZ$3="Total"),'Sales and count'!$G$4:$CZ$300)))</f>
        <v>170965</v>
      </c>
      <c r="D92" s="55">
        <f t="shared" si="22"/>
        <v>-0.16089282005191541</v>
      </c>
      <c r="E92" s="53" cm="1">
        <f t="array" aca="1" ref="E92" ca="1">IF($A92="","",_xlfn.LET(_xlpm.d,IFERROR(--'Sales and count'!$F$2:$CY$2,0),SUMPRODUCT(('Sales Dashboard'!$AO$5:$AO$301=$A92)*($AA$5:$AA$301=1)*(_xlpm.d&gt;=$C$45)*(_xlpm.d&lt;=$D$45)*('Sales and count'!$G$3:$CZ$3="Transactions"),'Sales and count'!$G$4:$CZ$300)))</f>
        <v>903</v>
      </c>
      <c r="F92" s="53" cm="1">
        <f t="array" aca="1" ref="F92" ca="1">IF($A92="","",_xlfn.LET(_xlpm.d,IFERROR(--'Sales and count'!$F$2:$CY$2,0),SUMPRODUCT(('Sales Dashboard'!$AO$5:$AO$301=$A92)*($AA$5:$AA$301=1)*(_xlpm.d&gt;=$C$46)*(_xlpm.d&lt;=$D$46)*('Sales and count'!$G$3:$CZ$3="Transactions"),'Sales and count'!$G$4:$CZ$300)))</f>
        <v>661</v>
      </c>
      <c r="G92" s="55">
        <f t="shared" ca="1" si="23"/>
        <v>-0.26799557032115173</v>
      </c>
      <c r="H92" s="54">
        <f t="shared" ca="1" si="24"/>
        <v>225.63269102990031</v>
      </c>
      <c r="I92" s="54">
        <f t="shared" ca="1" si="25"/>
        <v>258.64599092284419</v>
      </c>
      <c r="J92" s="55">
        <f t="shared" ca="1" si="26"/>
        <v>0.14631434719080239</v>
      </c>
      <c r="K92" s="53">
        <f t="shared" si="27"/>
        <v>29106.61714285714</v>
      </c>
      <c r="L92" s="53">
        <f t="shared" si="28"/>
        <v>24423.571428571428</v>
      </c>
      <c r="M92" s="55">
        <f t="shared" si="29"/>
        <v>-0.16089282005191552</v>
      </c>
      <c r="AA92" s="142">
        <f>--AND('Sales Dashboard'!AN92&lt;&gt;"",OR($B$3="All",'Sales Dashboard'!CF92=$B$3),IF(OR($B$4="All",$B$4="Multiple (ticked)"),IF(COUNTIF($B$6:$M$6,"✔")&gt;0,COUNTIFS($B$5:$M$5,'Sales Dashboard'!AN92,$B$6:$M$6,"✔")&gt;0,$B$4="All"),'Sales Dashboard'!AN92=$B$4))</f>
        <v>1</v>
      </c>
    </row>
    <row r="93" spans="1:27" ht="15" customHeight="1" x14ac:dyDescent="0.25">
      <c r="A93" s="45" t="str">
        <v>Madinah</v>
      </c>
      <c r="B93" s="53" cm="1">
        <f t="array" ref="B93">IF($A93="","",_xlfn.LET(_xlpm.d,IFERROR(--'Sales and count'!$G$2:$CZ$2,0),SUMPRODUCT(('Sales Dashboard'!$AO$5:$AO$301=$A93)*($AA$5:$AA$301=1)*(_xlpm.d&gt;=$C$45)*(_xlpm.d&lt;=$D$45)*('Sales and count'!$G$3:$CZ$3="Total"),'Sales and count'!$G$4:$CZ$300)))</f>
        <v>352037.03999999992</v>
      </c>
      <c r="C93" s="53" cm="1">
        <f t="array" ref="C93">IF($A93="","",_xlfn.LET(_xlpm.d,IFERROR(--'Sales and count'!$G$2:$CZ$2,0),SUMPRODUCT(('Sales Dashboard'!$AO$5:$AO$301=$A93)*($AA$5:$AA$301=1)*(_xlpm.d&gt;=$C$46)*(_xlpm.d&lt;=$D$46)*('Sales and count'!$G$3:$CZ$3="Total"),'Sales and count'!$G$4:$CZ$300)))</f>
        <v>315377.34000000008</v>
      </c>
      <c r="D93" s="55">
        <f t="shared" si="22"/>
        <v>-0.1041359170614542</v>
      </c>
      <c r="E93" s="53" cm="1">
        <f t="array" aca="1" ref="E93" ca="1">IF($A93="","",_xlfn.LET(_xlpm.d,IFERROR(--'Sales and count'!$F$2:$CY$2,0),SUMPRODUCT(('Sales Dashboard'!$AO$5:$AO$301=$A93)*($AA$5:$AA$301=1)*(_xlpm.d&gt;=$C$45)*(_xlpm.d&lt;=$D$45)*('Sales and count'!$G$3:$CZ$3="Transactions"),'Sales and count'!$G$4:$CZ$300)))</f>
        <v>1862</v>
      </c>
      <c r="F93" s="53" cm="1">
        <f t="array" aca="1" ref="F93" ca="1">IF($A93="","",_xlfn.LET(_xlpm.d,IFERROR(--'Sales and count'!$F$2:$CY$2,0),SUMPRODUCT(('Sales Dashboard'!$AO$5:$AO$301=$A93)*($AA$5:$AA$301=1)*(_xlpm.d&gt;=$C$46)*(_xlpm.d&lt;=$D$46)*('Sales and count'!$G$3:$CZ$3="Transactions"),'Sales and count'!$G$4:$CZ$300)))</f>
        <v>1618</v>
      </c>
      <c r="G93" s="55">
        <f t="shared" ca="1" si="23"/>
        <v>-0.13104189044038672</v>
      </c>
      <c r="H93" s="54">
        <f t="shared" ca="1" si="24"/>
        <v>189.06393125671318</v>
      </c>
      <c r="I93" s="54">
        <f t="shared" ca="1" si="25"/>
        <v>194.91800988875158</v>
      </c>
      <c r="J93" s="55">
        <f t="shared" ca="1" si="26"/>
        <v>3.0963487287745339E-2</v>
      </c>
      <c r="K93" s="53">
        <f t="shared" si="27"/>
        <v>50291.005714285704</v>
      </c>
      <c r="L93" s="53">
        <f t="shared" si="28"/>
        <v>45053.905714285727</v>
      </c>
      <c r="M93" s="55">
        <f t="shared" si="29"/>
        <v>-0.1041359170614542</v>
      </c>
      <c r="AA93" s="142">
        <f>--AND('Sales Dashboard'!AN93&lt;&gt;"",OR($B$3="All",'Sales Dashboard'!CF93=$B$3),IF(OR($B$4="All",$B$4="Multiple (ticked)"),IF(COUNTIF($B$6:$M$6,"✔")&gt;0,COUNTIFS($B$5:$M$5,'Sales Dashboard'!AN93,$B$6:$M$6,"✔")&gt;0,$B$4="All"),'Sales Dashboard'!AN93=$B$4))</f>
        <v>1</v>
      </c>
    </row>
    <row r="94" spans="1:27" ht="15" customHeight="1" x14ac:dyDescent="0.25">
      <c r="A94" s="45" t="str">
        <v>Makkah</v>
      </c>
      <c r="B94" s="53" cm="1">
        <f t="array" ref="B94">IF($A94="","",_xlfn.LET(_xlpm.d,IFERROR(--'Sales and count'!$G$2:$CZ$2,0),SUMPRODUCT(('Sales Dashboard'!$AO$5:$AO$301=$A94)*($AA$5:$AA$301=1)*(_xlpm.d&gt;=$C$45)*(_xlpm.d&lt;=$D$45)*('Sales and count'!$G$3:$CZ$3="Total"),'Sales and count'!$G$4:$CZ$300)))</f>
        <v>740287.96000000054</v>
      </c>
      <c r="C94" s="53" cm="1">
        <f t="array" ref="C94">IF($A94="","",_xlfn.LET(_xlpm.d,IFERROR(--'Sales and count'!$G$2:$CZ$2,0),SUMPRODUCT(('Sales Dashboard'!$AO$5:$AO$301=$A94)*($AA$5:$AA$301=1)*(_xlpm.d&gt;=$C$46)*(_xlpm.d&lt;=$D$46)*('Sales and count'!$G$3:$CZ$3="Total"),'Sales and count'!$G$4:$CZ$300)))</f>
        <v>637591.02000000014</v>
      </c>
      <c r="D94" s="55">
        <f t="shared" si="22"/>
        <v>-0.13872566561801214</v>
      </c>
      <c r="E94" s="53" cm="1">
        <f t="array" aca="1" ref="E94" ca="1">IF($A94="","",_xlfn.LET(_xlpm.d,IFERROR(--'Sales and count'!$F$2:$CY$2,0),SUMPRODUCT(('Sales Dashboard'!$AO$5:$AO$301=$A94)*($AA$5:$AA$301=1)*(_xlpm.d&gt;=$C$45)*(_xlpm.d&lt;=$D$45)*('Sales and count'!$G$3:$CZ$3="Transactions"),'Sales and count'!$G$4:$CZ$300)))</f>
        <v>4166</v>
      </c>
      <c r="F94" s="53" cm="1">
        <f t="array" aca="1" ref="F94" ca="1">IF($A94="","",_xlfn.LET(_xlpm.d,IFERROR(--'Sales and count'!$F$2:$CY$2,0),SUMPRODUCT(('Sales Dashboard'!$AO$5:$AO$301=$A94)*($AA$5:$AA$301=1)*(_xlpm.d&gt;=$C$46)*(_xlpm.d&lt;=$D$46)*('Sales and count'!$G$3:$CZ$3="Transactions"),'Sales and count'!$G$4:$CZ$300)))</f>
        <v>3555</v>
      </c>
      <c r="G94" s="55">
        <f t="shared" ca="1" si="23"/>
        <v>-0.1466634661545847</v>
      </c>
      <c r="H94" s="54">
        <f t="shared" ca="1" si="24"/>
        <v>177.69754200672119</v>
      </c>
      <c r="I94" s="54">
        <f t="shared" ca="1" si="25"/>
        <v>179.3504978902954</v>
      </c>
      <c r="J94" s="55">
        <f t="shared" ca="1" si="26"/>
        <v>9.3020751154322401E-3</v>
      </c>
      <c r="K94" s="53">
        <f t="shared" si="27"/>
        <v>105755.42285714294</v>
      </c>
      <c r="L94" s="53">
        <f t="shared" si="28"/>
        <v>91084.43142857145</v>
      </c>
      <c r="M94" s="55">
        <f t="shared" si="29"/>
        <v>-0.13872566561801214</v>
      </c>
      <c r="AA94" s="142">
        <f>--AND('Sales Dashboard'!AN94&lt;&gt;"",OR($B$3="All",'Sales Dashboard'!CF94=$B$3),IF(OR($B$4="All",$B$4="Multiple (ticked)"),IF(COUNTIF($B$6:$M$6,"✔")&gt;0,COUNTIFS($B$5:$M$5,'Sales Dashboard'!AN94,$B$6:$M$6,"✔")&gt;0,$B$4="All"),'Sales Dashboard'!AN94=$B$4))</f>
        <v>1</v>
      </c>
    </row>
    <row r="95" spans="1:27" ht="15" customHeight="1" x14ac:dyDescent="0.25">
      <c r="A95" s="45" t="str">
        <v>Muthnab</v>
      </c>
      <c r="B95" s="53" cm="1">
        <f t="array" ref="B95">IF($A95="","",_xlfn.LET(_xlpm.d,IFERROR(--'Sales and count'!$G$2:$CZ$2,0),SUMPRODUCT(('Sales Dashboard'!$AO$5:$AO$301=$A95)*($AA$5:$AA$301=1)*(_xlpm.d&gt;=$C$45)*(_xlpm.d&lt;=$D$45)*('Sales and count'!$G$3:$CZ$3="Total"),'Sales and count'!$G$4:$CZ$300)))</f>
        <v>5753.08</v>
      </c>
      <c r="C95" s="53" cm="1">
        <f t="array" ref="C95">IF($A95="","",_xlfn.LET(_xlpm.d,IFERROR(--'Sales and count'!$G$2:$CZ$2,0),SUMPRODUCT(('Sales Dashboard'!$AO$5:$AO$301=$A95)*($AA$5:$AA$301=1)*(_xlpm.d&gt;=$C$46)*(_xlpm.d&lt;=$D$46)*('Sales and count'!$G$3:$CZ$3="Total"),'Sales and count'!$G$4:$CZ$300)))</f>
        <v>3494.0899999999997</v>
      </c>
      <c r="D95" s="55">
        <f t="shared" si="22"/>
        <v>-0.39265749824441865</v>
      </c>
      <c r="E95" s="53" cm="1">
        <f t="array" aca="1" ref="E95" ca="1">IF($A95="","",_xlfn.LET(_xlpm.d,IFERROR(--'Sales and count'!$F$2:$CY$2,0),SUMPRODUCT(('Sales Dashboard'!$AO$5:$AO$301=$A95)*($AA$5:$AA$301=1)*(_xlpm.d&gt;=$C$45)*(_xlpm.d&lt;=$D$45)*('Sales and count'!$G$3:$CZ$3="Transactions"),'Sales and count'!$G$4:$CZ$300)))</f>
        <v>46</v>
      </c>
      <c r="F95" s="53" cm="1">
        <f t="array" aca="1" ref="F95" ca="1">IF($A95="","",_xlfn.LET(_xlpm.d,IFERROR(--'Sales and count'!$F$2:$CY$2,0),SUMPRODUCT(('Sales Dashboard'!$AO$5:$AO$301=$A95)*($AA$5:$AA$301=1)*(_xlpm.d&gt;=$C$46)*(_xlpm.d&lt;=$D$46)*('Sales and count'!$G$3:$CZ$3="Transactions"),'Sales and count'!$G$4:$CZ$300)))</f>
        <v>34</v>
      </c>
      <c r="G95" s="55">
        <f t="shared" ca="1" si="23"/>
        <v>-0.26086956521739135</v>
      </c>
      <c r="H95" s="54">
        <f t="shared" ca="1" si="24"/>
        <v>125.06695652173913</v>
      </c>
      <c r="I95" s="54">
        <f t="shared" ca="1" si="25"/>
        <v>102.76735294117645</v>
      </c>
      <c r="J95" s="55">
        <f t="shared" ca="1" si="26"/>
        <v>-0.1783013211542136</v>
      </c>
      <c r="K95" s="53">
        <f t="shared" si="27"/>
        <v>821.86857142857139</v>
      </c>
      <c r="L95" s="53">
        <f t="shared" si="28"/>
        <v>499.15571428571423</v>
      </c>
      <c r="M95" s="55">
        <f t="shared" si="29"/>
        <v>-0.39265749824441865</v>
      </c>
      <c r="AA95" s="142">
        <f>--AND('Sales Dashboard'!AN95&lt;&gt;"",OR($B$3="All",'Sales Dashboard'!CF95=$B$3),IF(OR($B$4="All",$B$4="Multiple (ticked)"),IF(COUNTIF($B$6:$M$6,"✔")&gt;0,COUNTIFS($B$5:$M$5,'Sales Dashboard'!AN95,$B$6:$M$6,"✔")&gt;0,$B$4="All"),'Sales Dashboard'!AN95=$B$4))</f>
        <v>1</v>
      </c>
    </row>
    <row r="96" spans="1:27" ht="15" customHeight="1" x14ac:dyDescent="0.25">
      <c r="A96" s="45" t="str">
        <v>Najran</v>
      </c>
      <c r="B96" s="53" cm="1">
        <f t="array" ref="B96">IF($A96="","",_xlfn.LET(_xlpm.d,IFERROR(--'Sales and count'!$G$2:$CZ$2,0),SUMPRODUCT(('Sales Dashboard'!$AO$5:$AO$301=$A96)*($AA$5:$AA$301=1)*(_xlpm.d&gt;=$C$45)*(_xlpm.d&lt;=$D$45)*('Sales and count'!$G$3:$CZ$3="Total"),'Sales and count'!$G$4:$CZ$300)))</f>
        <v>51215.8</v>
      </c>
      <c r="C96" s="53" cm="1">
        <f t="array" ref="C96">IF($A96="","",_xlfn.LET(_xlpm.d,IFERROR(--'Sales and count'!$G$2:$CZ$2,0),SUMPRODUCT(('Sales Dashboard'!$AO$5:$AO$301=$A96)*($AA$5:$AA$301=1)*(_xlpm.d&gt;=$C$46)*(_xlpm.d&lt;=$D$46)*('Sales and count'!$G$3:$CZ$3="Total"),'Sales and count'!$G$4:$CZ$300)))</f>
        <v>38979.57</v>
      </c>
      <c r="D96" s="55">
        <f t="shared" si="22"/>
        <v>-0.23891513946867959</v>
      </c>
      <c r="E96" s="53" cm="1">
        <f t="array" aca="1" ref="E96" ca="1">IF($A96="","",_xlfn.LET(_xlpm.d,IFERROR(--'Sales and count'!$F$2:$CY$2,0),SUMPRODUCT(('Sales Dashboard'!$AO$5:$AO$301=$A96)*($AA$5:$AA$301=1)*(_xlpm.d&gt;=$C$45)*(_xlpm.d&lt;=$D$45)*('Sales and count'!$G$3:$CZ$3="Transactions"),'Sales and count'!$G$4:$CZ$300)))</f>
        <v>282</v>
      </c>
      <c r="F96" s="53" cm="1">
        <f t="array" aca="1" ref="F96" ca="1">IF($A96="","",_xlfn.LET(_xlpm.d,IFERROR(--'Sales and count'!$F$2:$CY$2,0),SUMPRODUCT(('Sales Dashboard'!$AO$5:$AO$301=$A96)*($AA$5:$AA$301=1)*(_xlpm.d&gt;=$C$46)*(_xlpm.d&lt;=$D$46)*('Sales and count'!$G$3:$CZ$3="Transactions"),'Sales and count'!$G$4:$CZ$300)))</f>
        <v>233</v>
      </c>
      <c r="G96" s="55">
        <f t="shared" ca="1" si="23"/>
        <v>-0.17375886524822692</v>
      </c>
      <c r="H96" s="54">
        <f t="shared" ca="1" si="24"/>
        <v>181.6163120567376</v>
      </c>
      <c r="I96" s="54">
        <f t="shared" ca="1" si="25"/>
        <v>167.29429184549358</v>
      </c>
      <c r="J96" s="55">
        <f t="shared" ca="1" si="26"/>
        <v>-7.8858666653079945E-2</v>
      </c>
      <c r="K96" s="53">
        <f t="shared" si="27"/>
        <v>7316.5428571428574</v>
      </c>
      <c r="L96" s="53">
        <f t="shared" si="28"/>
        <v>5568.51</v>
      </c>
      <c r="M96" s="55">
        <f t="shared" si="29"/>
        <v>-0.23891513946867959</v>
      </c>
      <c r="AA96" s="142">
        <f>--AND('Sales Dashboard'!AN96&lt;&gt;"",OR($B$3="All",'Sales Dashboard'!CF96=$B$3),IF(OR($B$4="All",$B$4="Multiple (ticked)"),IF(COUNTIF($B$6:$M$6,"✔")&gt;0,COUNTIFS($B$5:$M$5,'Sales Dashboard'!AN96,$B$6:$M$6,"✔")&gt;0,$B$4="All"),'Sales Dashboard'!AN96=$B$4))</f>
        <v>1</v>
      </c>
    </row>
    <row r="97" spans="1:27" ht="15" customHeight="1" x14ac:dyDescent="0.25">
      <c r="A97" s="45" t="str">
        <v>Onaizah</v>
      </c>
      <c r="B97" s="53" cm="1">
        <f t="array" ref="B97">IF($A97="","",_xlfn.LET(_xlpm.d,IFERROR(--'Sales and count'!$G$2:$CZ$2,0),SUMPRODUCT(('Sales Dashboard'!$AO$5:$AO$301=$A97)*($AA$5:$AA$301=1)*(_xlpm.d&gt;=$C$45)*(_xlpm.d&lt;=$D$45)*('Sales and count'!$G$3:$CZ$3="Total"),'Sales and count'!$G$4:$CZ$300)))</f>
        <v>17113.21</v>
      </c>
      <c r="C97" s="53" cm="1">
        <f t="array" ref="C97">IF($A97="","",_xlfn.LET(_xlpm.d,IFERROR(--'Sales and count'!$G$2:$CZ$2,0),SUMPRODUCT(('Sales Dashboard'!$AO$5:$AO$301=$A97)*($AA$5:$AA$301=1)*(_xlpm.d&gt;=$C$46)*(_xlpm.d&lt;=$D$46)*('Sales and count'!$G$3:$CZ$3="Total"),'Sales and count'!$G$4:$CZ$300)))</f>
        <v>12624.210000000001</v>
      </c>
      <c r="D97" s="55">
        <f t="shared" si="22"/>
        <v>-0.26231198004348677</v>
      </c>
      <c r="E97" s="53" cm="1">
        <f t="array" aca="1" ref="E97" ca="1">IF($A97="","",_xlfn.LET(_xlpm.d,IFERROR(--'Sales and count'!$F$2:$CY$2,0),SUMPRODUCT(('Sales Dashboard'!$AO$5:$AO$301=$A97)*($AA$5:$AA$301=1)*(_xlpm.d&gt;=$C$45)*(_xlpm.d&lt;=$D$45)*('Sales and count'!$G$3:$CZ$3="Transactions"),'Sales and count'!$G$4:$CZ$300)))</f>
        <v>115</v>
      </c>
      <c r="F97" s="53" cm="1">
        <f t="array" aca="1" ref="F97" ca="1">IF($A97="","",_xlfn.LET(_xlpm.d,IFERROR(--'Sales and count'!$F$2:$CY$2,0),SUMPRODUCT(('Sales Dashboard'!$AO$5:$AO$301=$A97)*($AA$5:$AA$301=1)*(_xlpm.d&gt;=$C$46)*(_xlpm.d&lt;=$D$46)*('Sales and count'!$G$3:$CZ$3="Transactions"),'Sales and count'!$G$4:$CZ$300)))</f>
        <v>95</v>
      </c>
      <c r="G97" s="55">
        <f t="shared" ca="1" si="23"/>
        <v>-0.17391304347826086</v>
      </c>
      <c r="H97" s="54">
        <f t="shared" ca="1" si="24"/>
        <v>148.81052173913042</v>
      </c>
      <c r="I97" s="54">
        <f t="shared" ca="1" si="25"/>
        <v>132.88642105263159</v>
      </c>
      <c r="J97" s="55">
        <f t="shared" ca="1" si="26"/>
        <v>-0.10700923900001025</v>
      </c>
      <c r="K97" s="53">
        <f t="shared" si="27"/>
        <v>2444.7442857142855</v>
      </c>
      <c r="L97" s="53">
        <f t="shared" si="28"/>
        <v>1803.4585714285715</v>
      </c>
      <c r="M97" s="55">
        <f t="shared" si="29"/>
        <v>-0.26231198004348677</v>
      </c>
      <c r="AA97" s="142">
        <f>--AND('Sales Dashboard'!AN97&lt;&gt;"",OR($B$3="All",'Sales Dashboard'!CF97=$B$3),IF(OR($B$4="All",$B$4="Multiple (ticked)"),IF(COUNTIF($B$6:$M$6,"✔")&gt;0,COUNTIFS($B$5:$M$5,'Sales Dashboard'!AN97,$B$6:$M$6,"✔")&gt;0,$B$4="All"),'Sales Dashboard'!AN97=$B$4))</f>
        <v>1</v>
      </c>
    </row>
    <row r="98" spans="1:27" ht="15" customHeight="1" x14ac:dyDescent="0.25">
      <c r="A98" s="45" t="str">
        <v>Qatif</v>
      </c>
      <c r="B98" s="53" cm="1">
        <f t="array" ref="B98">IF($A98="","",_xlfn.LET(_xlpm.d,IFERROR(--'Sales and count'!$G$2:$CZ$2,0),SUMPRODUCT(('Sales Dashboard'!$AO$5:$AO$301=$A98)*($AA$5:$AA$301=1)*(_xlpm.d&gt;=$C$45)*(_xlpm.d&lt;=$D$45)*('Sales and count'!$G$3:$CZ$3="Total"),'Sales and count'!$G$4:$CZ$300)))</f>
        <v>59825.409999999996</v>
      </c>
      <c r="C98" s="53" cm="1">
        <f t="array" ref="C98">IF($A98="","",_xlfn.LET(_xlpm.d,IFERROR(--'Sales and count'!$G$2:$CZ$2,0),SUMPRODUCT(('Sales Dashboard'!$AO$5:$AO$301=$A98)*($AA$5:$AA$301=1)*(_xlpm.d&gt;=$C$46)*(_xlpm.d&lt;=$D$46)*('Sales and count'!$G$3:$CZ$3="Total"),'Sales and count'!$G$4:$CZ$300)))</f>
        <v>51549.979999999996</v>
      </c>
      <c r="D98" s="55">
        <f t="shared" si="22"/>
        <v>-0.13832633992813426</v>
      </c>
      <c r="E98" s="53" cm="1">
        <f t="array" aca="1" ref="E98" ca="1">IF($A98="","",_xlfn.LET(_xlpm.d,IFERROR(--'Sales and count'!$F$2:$CY$2,0),SUMPRODUCT(('Sales Dashboard'!$AO$5:$AO$301=$A98)*($AA$5:$AA$301=1)*(_xlpm.d&gt;=$C$45)*(_xlpm.d&lt;=$D$45)*('Sales and count'!$G$3:$CZ$3="Transactions"),'Sales and count'!$G$4:$CZ$300)))</f>
        <v>295</v>
      </c>
      <c r="F98" s="53" cm="1">
        <f t="array" aca="1" ref="F98" ca="1">IF($A98="","",_xlfn.LET(_xlpm.d,IFERROR(--'Sales and count'!$F$2:$CY$2,0),SUMPRODUCT(('Sales Dashboard'!$AO$5:$AO$301=$A98)*($AA$5:$AA$301=1)*(_xlpm.d&gt;=$C$46)*(_xlpm.d&lt;=$D$46)*('Sales and count'!$G$3:$CZ$3="Transactions"),'Sales and count'!$G$4:$CZ$300)))</f>
        <v>260</v>
      </c>
      <c r="G98" s="55">
        <f t="shared" ca="1" si="23"/>
        <v>-0.11864406779661019</v>
      </c>
      <c r="H98" s="54">
        <f t="shared" ca="1" si="24"/>
        <v>202.79799999999997</v>
      </c>
      <c r="I98" s="54">
        <f t="shared" ca="1" si="25"/>
        <v>198.26915384615384</v>
      </c>
      <c r="J98" s="55">
        <f t="shared" ca="1" si="26"/>
        <v>-2.2331808764613714E-2</v>
      </c>
      <c r="K98" s="53">
        <f t="shared" si="27"/>
        <v>8546.4871428571423</v>
      </c>
      <c r="L98" s="53">
        <f t="shared" si="28"/>
        <v>7364.2828571428563</v>
      </c>
      <c r="M98" s="55">
        <f t="shared" si="29"/>
        <v>-0.13832633992813426</v>
      </c>
      <c r="AA98" s="142">
        <f>--AND('Sales Dashboard'!AN98&lt;&gt;"",OR($B$3="All",'Sales Dashboard'!CF98=$B$3),IF(OR($B$4="All",$B$4="Multiple (ticked)"),IF(COUNTIF($B$6:$M$6,"✔")&gt;0,COUNTIFS($B$5:$M$5,'Sales Dashboard'!AN98,$B$6:$M$6,"✔")&gt;0,$B$4="All"),'Sales Dashboard'!AN98=$B$4))</f>
        <v>1</v>
      </c>
    </row>
    <row r="99" spans="1:27" ht="15" customHeight="1" x14ac:dyDescent="0.25">
      <c r="A99" s="45" t="str">
        <v>Qunfudah</v>
      </c>
      <c r="B99" s="53" cm="1">
        <f t="array" ref="B99">IF($A99="","",_xlfn.LET(_xlpm.d,IFERROR(--'Sales and count'!$G$2:$CZ$2,0),SUMPRODUCT(('Sales Dashboard'!$AO$5:$AO$301=$A99)*($AA$5:$AA$301=1)*(_xlpm.d&gt;=$C$45)*(_xlpm.d&lt;=$D$45)*('Sales and count'!$G$3:$CZ$3="Total"),'Sales and count'!$G$4:$CZ$300)))</f>
        <v>26181.32</v>
      </c>
      <c r="C99" s="53" cm="1">
        <f t="array" ref="C99">IF($A99="","",_xlfn.LET(_xlpm.d,IFERROR(--'Sales and count'!$G$2:$CZ$2,0),SUMPRODUCT(('Sales Dashboard'!$AO$5:$AO$301=$A99)*($AA$5:$AA$301=1)*(_xlpm.d&gt;=$C$46)*(_xlpm.d&lt;=$D$46)*('Sales and count'!$G$3:$CZ$3="Total"),'Sales and count'!$G$4:$CZ$300)))</f>
        <v>17080.060000000001</v>
      </c>
      <c r="D99" s="55">
        <f t="shared" si="22"/>
        <v>-0.34762418396016692</v>
      </c>
      <c r="E99" s="53" cm="1">
        <f t="array" aca="1" ref="E99" ca="1">IF($A99="","",_xlfn.LET(_xlpm.d,IFERROR(--'Sales and count'!$F$2:$CY$2,0),SUMPRODUCT(('Sales Dashboard'!$AO$5:$AO$301=$A99)*($AA$5:$AA$301=1)*(_xlpm.d&gt;=$C$45)*(_xlpm.d&lt;=$D$45)*('Sales and count'!$G$3:$CZ$3="Transactions"),'Sales and count'!$G$4:$CZ$300)))</f>
        <v>179</v>
      </c>
      <c r="F99" s="53" cm="1">
        <f t="array" aca="1" ref="F99" ca="1">IF($A99="","",_xlfn.LET(_xlpm.d,IFERROR(--'Sales and count'!$F$2:$CY$2,0),SUMPRODUCT(('Sales Dashboard'!$AO$5:$AO$301=$A99)*($AA$5:$AA$301=1)*(_xlpm.d&gt;=$C$46)*(_xlpm.d&lt;=$D$46)*('Sales and count'!$G$3:$CZ$3="Transactions"),'Sales and count'!$G$4:$CZ$300)))</f>
        <v>133</v>
      </c>
      <c r="G99" s="55">
        <f t="shared" ca="1" si="23"/>
        <v>-0.25698324022346364</v>
      </c>
      <c r="H99" s="54">
        <f t="shared" ca="1" si="24"/>
        <v>146.26435754189944</v>
      </c>
      <c r="I99" s="54">
        <f t="shared" ca="1" si="25"/>
        <v>128.42150375939852</v>
      </c>
      <c r="J99" s="55">
        <f t="shared" ca="1" si="26"/>
        <v>-0.12199044307420959</v>
      </c>
      <c r="K99" s="53">
        <f t="shared" si="27"/>
        <v>3740.1885714285713</v>
      </c>
      <c r="L99" s="53">
        <f t="shared" si="28"/>
        <v>2440.0085714285715</v>
      </c>
      <c r="M99" s="55">
        <f t="shared" si="29"/>
        <v>-0.34762418396016703</v>
      </c>
      <c r="AA99" s="142">
        <f>--AND('Sales Dashboard'!AN99&lt;&gt;"",OR($B$3="All",'Sales Dashboard'!CF99=$B$3),IF(OR($B$4="All",$B$4="Multiple (ticked)"),IF(COUNTIF($B$6:$M$6,"✔")&gt;0,COUNTIFS($B$5:$M$5,'Sales Dashboard'!AN99,$B$6:$M$6,"✔")&gt;0,$B$4="All"),'Sales Dashboard'!AN99=$B$4))</f>
        <v>1</v>
      </c>
    </row>
    <row r="100" spans="1:27" ht="15" customHeight="1" x14ac:dyDescent="0.25">
      <c r="A100" s="45" t="str">
        <v>Qurayat</v>
      </c>
      <c r="B100" s="53" cm="1">
        <f t="array" ref="B100">IF($A100="","",_xlfn.LET(_xlpm.d,IFERROR(--'Sales and count'!$G$2:$CZ$2,0),SUMPRODUCT(('Sales Dashboard'!$AO$5:$AO$301=$A100)*($AA$5:$AA$301=1)*(_xlpm.d&gt;=$C$45)*(_xlpm.d&lt;=$D$45)*('Sales and count'!$G$3:$CZ$3="Total"),'Sales and count'!$G$4:$CZ$300)))</f>
        <v>24175.309999999998</v>
      </c>
      <c r="C100" s="53" cm="1">
        <f t="array" ref="C100">IF($A100="","",_xlfn.LET(_xlpm.d,IFERROR(--'Sales and count'!$G$2:$CZ$2,0),SUMPRODUCT(('Sales Dashboard'!$AO$5:$AO$301=$A100)*($AA$5:$AA$301=1)*(_xlpm.d&gt;=$C$46)*(_xlpm.d&lt;=$D$46)*('Sales and count'!$G$3:$CZ$3="Total"),'Sales and count'!$G$4:$CZ$300)))</f>
        <v>26117.45</v>
      </c>
      <c r="D100" s="55">
        <f t="shared" si="22"/>
        <v>8.0335681321149766E-2</v>
      </c>
      <c r="E100" s="53" cm="1">
        <f t="array" aca="1" ref="E100" ca="1">IF($A100="","",_xlfn.LET(_xlpm.d,IFERROR(--'Sales and count'!$F$2:$CY$2,0),SUMPRODUCT(('Sales Dashboard'!$AO$5:$AO$301=$A100)*($AA$5:$AA$301=1)*(_xlpm.d&gt;=$C$45)*(_xlpm.d&lt;=$D$45)*('Sales and count'!$G$3:$CZ$3="Transactions"),'Sales and count'!$G$4:$CZ$300)))</f>
        <v>176</v>
      </c>
      <c r="F100" s="53" cm="1">
        <f t="array" aca="1" ref="F100" ca="1">IF($A100="","",_xlfn.LET(_xlpm.d,IFERROR(--'Sales and count'!$F$2:$CY$2,0),SUMPRODUCT(('Sales Dashboard'!$AO$5:$AO$301=$A100)*($AA$5:$AA$301=1)*(_xlpm.d&gt;=$C$46)*(_xlpm.d&lt;=$D$46)*('Sales and count'!$G$3:$CZ$3="Transactions"),'Sales and count'!$G$4:$CZ$300)))</f>
        <v>135</v>
      </c>
      <c r="G100" s="55">
        <f t="shared" ca="1" si="23"/>
        <v>-0.23295454545454541</v>
      </c>
      <c r="H100" s="54">
        <f t="shared" ca="1" si="24"/>
        <v>137.35971590909091</v>
      </c>
      <c r="I100" s="54">
        <f t="shared" ca="1" si="25"/>
        <v>193.46259259259259</v>
      </c>
      <c r="J100" s="55">
        <f t="shared" ca="1" si="26"/>
        <v>0.40843762898164671</v>
      </c>
      <c r="K100" s="53">
        <f t="shared" si="27"/>
        <v>3453.6157142857141</v>
      </c>
      <c r="L100" s="53">
        <f t="shared" si="28"/>
        <v>3731.0642857142857</v>
      </c>
      <c r="M100" s="55">
        <f t="shared" si="29"/>
        <v>8.0335681321149544E-2</v>
      </c>
      <c r="AA100" s="142">
        <f>--AND('Sales Dashboard'!AN100&lt;&gt;"",OR($B$3="All",'Sales Dashboard'!CF100=$B$3),IF(OR($B$4="All",$B$4="Multiple (ticked)"),IF(COUNTIF($B$6:$M$6,"✔")&gt;0,COUNTIFS($B$5:$M$5,'Sales Dashboard'!AN100,$B$6:$M$6,"✔")&gt;0,$B$4="All"),'Sales Dashboard'!AN100=$B$4))</f>
        <v>1</v>
      </c>
    </row>
    <row r="101" spans="1:27" ht="15" customHeight="1" x14ac:dyDescent="0.25">
      <c r="A101" s="45" t="str">
        <v>Riyadh</v>
      </c>
      <c r="B101" s="53" cm="1">
        <f t="array" ref="B101">IF($A101="","",_xlfn.LET(_xlpm.d,IFERROR(--'Sales and count'!$G$2:$CZ$2,0),SUMPRODUCT(('Sales Dashboard'!$AO$5:$AO$301=$A101)*($AA$5:$AA$301=1)*(_xlpm.d&gt;=$C$45)*(_xlpm.d&lt;=$D$45)*('Sales and count'!$G$3:$CZ$3="Total"),'Sales and count'!$G$4:$CZ$300)))</f>
        <v>875774.27000000025</v>
      </c>
      <c r="C101" s="53" cm="1">
        <f t="array" ref="C101">IF($A101="","",_xlfn.LET(_xlpm.d,IFERROR(--'Sales and count'!$G$2:$CZ$2,0),SUMPRODUCT(('Sales Dashboard'!$AO$5:$AO$301=$A101)*($AA$5:$AA$301=1)*(_xlpm.d&gt;=$C$46)*(_xlpm.d&lt;=$D$46)*('Sales and count'!$G$3:$CZ$3="Total"),'Sales and count'!$G$4:$CZ$300)))</f>
        <v>666651.6100000008</v>
      </c>
      <c r="D101" s="55">
        <f t="shared" si="22"/>
        <v>-0.23878602873317956</v>
      </c>
      <c r="E101" s="53" cm="1">
        <f t="array" aca="1" ref="E101" ca="1">IF($A101="","",_xlfn.LET(_xlpm.d,IFERROR(--'Sales and count'!$F$2:$CY$2,0),SUMPRODUCT(('Sales Dashboard'!$AO$5:$AO$301=$A101)*($AA$5:$AA$301=1)*(_xlpm.d&gt;=$C$45)*(_xlpm.d&lt;=$D$45)*('Sales and count'!$G$3:$CZ$3="Transactions"),'Sales and count'!$G$4:$CZ$300)))</f>
        <v>5715</v>
      </c>
      <c r="F101" s="53" cm="1">
        <f t="array" aca="1" ref="F101" ca="1">IF($A101="","",_xlfn.LET(_xlpm.d,IFERROR(--'Sales and count'!$F$2:$CY$2,0),SUMPRODUCT(('Sales Dashboard'!$AO$5:$AO$301=$A101)*($AA$5:$AA$301=1)*(_xlpm.d&gt;=$C$46)*(_xlpm.d&lt;=$D$46)*('Sales and count'!$G$3:$CZ$3="Transactions"),'Sales and count'!$G$4:$CZ$300)))</f>
        <v>4255</v>
      </c>
      <c r="G101" s="55">
        <f t="shared" ca="1" si="23"/>
        <v>-0.25546806649168852</v>
      </c>
      <c r="H101" s="54">
        <f t="shared" ca="1" si="24"/>
        <v>153.24134208223975</v>
      </c>
      <c r="I101" s="54">
        <f t="shared" ca="1" si="25"/>
        <v>156.67487896592263</v>
      </c>
      <c r="J101" s="55">
        <f t="shared" ca="1" si="26"/>
        <v>2.2406074216187788E-2</v>
      </c>
      <c r="K101" s="53">
        <f t="shared" si="27"/>
        <v>125110.61000000003</v>
      </c>
      <c r="L101" s="53">
        <f t="shared" si="28"/>
        <v>95235.944285714402</v>
      </c>
      <c r="M101" s="55">
        <f t="shared" si="29"/>
        <v>-0.23878602873317956</v>
      </c>
      <c r="AA101" s="142">
        <f>--AND('Sales Dashboard'!AN101&lt;&gt;"",OR($B$3="All",'Sales Dashboard'!CF101=$B$3),IF(OR($B$4="All",$B$4="Multiple (ticked)"),IF(COUNTIF($B$6:$M$6,"✔")&gt;0,COUNTIFS($B$5:$M$5,'Sales Dashboard'!AN101,$B$6:$M$6,"✔")&gt;0,$B$4="All"),'Sales Dashboard'!AN101=$B$4))</f>
        <v>1</v>
      </c>
    </row>
    <row r="102" spans="1:27" ht="15" customHeight="1" x14ac:dyDescent="0.25">
      <c r="A102" s="45" t="str">
        <v>Sabya</v>
      </c>
      <c r="B102" s="53" cm="1">
        <f t="array" ref="B102">IF($A102="","",_xlfn.LET(_xlpm.d,IFERROR(--'Sales and count'!$G$2:$CZ$2,0),SUMPRODUCT(('Sales Dashboard'!$AO$5:$AO$301=$A102)*($AA$5:$AA$301=1)*(_xlpm.d&gt;=$C$45)*(_xlpm.d&lt;=$D$45)*('Sales and count'!$G$3:$CZ$3="Total"),'Sales and count'!$G$4:$CZ$300)))</f>
        <v>26430.58</v>
      </c>
      <c r="C102" s="53" cm="1">
        <f t="array" ref="C102">IF($A102="","",_xlfn.LET(_xlpm.d,IFERROR(--'Sales and count'!$G$2:$CZ$2,0),SUMPRODUCT(('Sales Dashboard'!$AO$5:$AO$301=$A102)*($AA$5:$AA$301=1)*(_xlpm.d&gt;=$C$46)*(_xlpm.d&lt;=$D$46)*('Sales and count'!$G$3:$CZ$3="Total"),'Sales and count'!$G$4:$CZ$300)))</f>
        <v>21632.44</v>
      </c>
      <c r="D102" s="55">
        <f t="shared" si="22"/>
        <v>-0.18153744639731717</v>
      </c>
      <c r="E102" s="53" cm="1">
        <f t="array" aca="1" ref="E102" ca="1">IF($A102="","",_xlfn.LET(_xlpm.d,IFERROR(--'Sales and count'!$F$2:$CY$2,0),SUMPRODUCT(('Sales Dashboard'!$AO$5:$AO$301=$A102)*($AA$5:$AA$301=1)*(_xlpm.d&gt;=$C$45)*(_xlpm.d&lt;=$D$45)*('Sales and count'!$G$3:$CZ$3="Transactions"),'Sales and count'!$G$4:$CZ$300)))</f>
        <v>172</v>
      </c>
      <c r="F102" s="53" cm="1">
        <f t="array" aca="1" ref="F102" ca="1">IF($A102="","",_xlfn.LET(_xlpm.d,IFERROR(--'Sales and count'!$F$2:$CY$2,0),SUMPRODUCT(('Sales Dashboard'!$AO$5:$AO$301=$A102)*($AA$5:$AA$301=1)*(_xlpm.d&gt;=$C$46)*(_xlpm.d&lt;=$D$46)*('Sales and count'!$G$3:$CZ$3="Transactions"),'Sales and count'!$G$4:$CZ$300)))</f>
        <v>154</v>
      </c>
      <c r="G102" s="55">
        <f t="shared" ca="1" si="23"/>
        <v>-0.10465116279069764</v>
      </c>
      <c r="H102" s="54">
        <f t="shared" ca="1" si="24"/>
        <v>153.66616279069768</v>
      </c>
      <c r="I102" s="54">
        <f t="shared" ca="1" si="25"/>
        <v>140.47038961038959</v>
      </c>
      <c r="J102" s="55">
        <f t="shared" ca="1" si="26"/>
        <v>-8.5872992080120558E-2</v>
      </c>
      <c r="K102" s="53">
        <f t="shared" si="27"/>
        <v>3775.7971428571432</v>
      </c>
      <c r="L102" s="53">
        <f t="shared" si="28"/>
        <v>3090.3485714285712</v>
      </c>
      <c r="M102" s="55">
        <f t="shared" si="29"/>
        <v>-0.18153744639731717</v>
      </c>
      <c r="AA102" s="142">
        <f>--AND('Sales Dashboard'!AN102&lt;&gt;"",OR($B$3="All",'Sales Dashboard'!CF102=$B$3),IF(OR($B$4="All",$B$4="Multiple (ticked)"),IF(COUNTIF($B$6:$M$6,"✔")&gt;0,COUNTIFS($B$5:$M$5,'Sales Dashboard'!AN102,$B$6:$M$6,"✔")&gt;0,$B$4="All"),'Sales Dashboard'!AN102=$B$4))</f>
        <v>1</v>
      </c>
    </row>
    <row r="103" spans="1:27" ht="15" customHeight="1" x14ac:dyDescent="0.25">
      <c r="A103" s="45" t="str">
        <v>Samtah</v>
      </c>
      <c r="B103" s="53" cm="1">
        <f t="array" ref="B103">IF($A103="","",_xlfn.LET(_xlpm.d,IFERROR(--'Sales and count'!$G$2:$CZ$2,0),SUMPRODUCT(('Sales Dashboard'!$AO$5:$AO$301=$A103)*($AA$5:$AA$301=1)*(_xlpm.d&gt;=$C$45)*(_xlpm.d&lt;=$D$45)*('Sales and count'!$G$3:$CZ$3="Total"),'Sales and count'!$G$4:$CZ$300)))</f>
        <v>31319.8</v>
      </c>
      <c r="C103" s="53" cm="1">
        <f t="array" ref="C103">IF($A103="","",_xlfn.LET(_xlpm.d,IFERROR(--'Sales and count'!$G$2:$CZ$2,0),SUMPRODUCT(('Sales Dashboard'!$AO$5:$AO$301=$A103)*($AA$5:$AA$301=1)*(_xlpm.d&gt;=$C$46)*(_xlpm.d&lt;=$D$46)*('Sales and count'!$G$3:$CZ$3="Total"),'Sales and count'!$G$4:$CZ$300)))</f>
        <v>25860.530000000002</v>
      </c>
      <c r="D103" s="55">
        <f t="shared" si="22"/>
        <v>-0.17430730719864107</v>
      </c>
      <c r="E103" s="53" cm="1">
        <f t="array" aca="1" ref="E103" ca="1">IF($A103="","",_xlfn.LET(_xlpm.d,IFERROR(--'Sales and count'!$F$2:$CY$2,0),SUMPRODUCT(('Sales Dashboard'!$AO$5:$AO$301=$A103)*($AA$5:$AA$301=1)*(_xlpm.d&gt;=$C$45)*(_xlpm.d&lt;=$D$45)*('Sales and count'!$G$3:$CZ$3="Transactions"),'Sales and count'!$G$4:$CZ$300)))</f>
        <v>170</v>
      </c>
      <c r="F103" s="53" cm="1">
        <f t="array" aca="1" ref="F103" ca="1">IF($A103="","",_xlfn.LET(_xlpm.d,IFERROR(--'Sales and count'!$F$2:$CY$2,0),SUMPRODUCT(('Sales Dashboard'!$AO$5:$AO$301=$A103)*($AA$5:$AA$301=1)*(_xlpm.d&gt;=$C$46)*(_xlpm.d&lt;=$D$46)*('Sales and count'!$G$3:$CZ$3="Transactions"),'Sales and count'!$G$4:$CZ$300)))</f>
        <v>140</v>
      </c>
      <c r="G103" s="55">
        <f t="shared" ca="1" si="23"/>
        <v>-0.17647058823529416</v>
      </c>
      <c r="H103" s="54">
        <f t="shared" ca="1" si="24"/>
        <v>184.23411764705881</v>
      </c>
      <c r="I103" s="54">
        <f t="shared" ca="1" si="25"/>
        <v>184.71807142857145</v>
      </c>
      <c r="J103" s="55">
        <f t="shared" ca="1" si="26"/>
        <v>2.6268412587930889E-3</v>
      </c>
      <c r="K103" s="53">
        <f t="shared" si="27"/>
        <v>4474.2571428571428</v>
      </c>
      <c r="L103" s="53">
        <f t="shared" si="28"/>
        <v>3694.3614285714289</v>
      </c>
      <c r="M103" s="55">
        <f t="shared" si="29"/>
        <v>-0.17430730719864107</v>
      </c>
      <c r="AA103" s="142">
        <f>--AND('Sales Dashboard'!AN103&lt;&gt;"",OR($B$3="All",'Sales Dashboard'!CF103=$B$3),IF(OR($B$4="All",$B$4="Multiple (ticked)"),IF(COUNTIF($B$6:$M$6,"✔")&gt;0,COUNTIFS($B$5:$M$5,'Sales Dashboard'!AN103,$B$6:$M$6,"✔")&gt;0,$B$4="All"),'Sales Dashboard'!AN103=$B$4))</f>
        <v>1</v>
      </c>
    </row>
    <row r="104" spans="1:27" ht="15" customHeight="1" x14ac:dyDescent="0.25">
      <c r="A104" s="45" t="str">
        <v>Skaka</v>
      </c>
      <c r="B104" s="53" cm="1">
        <f t="array" ref="B104">IF($A104="","",_xlfn.LET(_xlpm.d,IFERROR(--'Sales and count'!$G$2:$CZ$2,0),SUMPRODUCT(('Sales Dashboard'!$AO$5:$AO$301=$A104)*($AA$5:$AA$301=1)*(_xlpm.d&gt;=$C$45)*(_xlpm.d&lt;=$D$45)*('Sales and count'!$G$3:$CZ$3="Total"),'Sales and count'!$G$4:$CZ$300)))</f>
        <v>41559.539999999994</v>
      </c>
      <c r="C104" s="53" cm="1">
        <f t="array" ref="C104">IF($A104="","",_xlfn.LET(_xlpm.d,IFERROR(--'Sales and count'!$G$2:$CZ$2,0),SUMPRODUCT(('Sales Dashboard'!$AO$5:$AO$301=$A104)*($AA$5:$AA$301=1)*(_xlpm.d&gt;=$C$46)*(_xlpm.d&lt;=$D$46)*('Sales and count'!$G$3:$CZ$3="Total"),'Sales and count'!$G$4:$CZ$300)))</f>
        <v>25357.33</v>
      </c>
      <c r="D104" s="55">
        <f t="shared" si="22"/>
        <v>-0.38985537376015211</v>
      </c>
      <c r="E104" s="53" cm="1">
        <f t="array" aca="1" ref="E104" ca="1">IF($A104="","",_xlfn.LET(_xlpm.d,IFERROR(--'Sales and count'!$F$2:$CY$2,0),SUMPRODUCT(('Sales Dashboard'!$AO$5:$AO$301=$A104)*($AA$5:$AA$301=1)*(_xlpm.d&gt;=$C$45)*(_xlpm.d&lt;=$D$45)*('Sales and count'!$G$3:$CZ$3="Transactions"),'Sales and count'!$G$4:$CZ$300)))</f>
        <v>240</v>
      </c>
      <c r="F104" s="53" cm="1">
        <f t="array" aca="1" ref="F104" ca="1">IF($A104="","",_xlfn.LET(_xlpm.d,IFERROR(--'Sales and count'!$F$2:$CY$2,0),SUMPRODUCT(('Sales Dashboard'!$AO$5:$AO$301=$A104)*($AA$5:$AA$301=1)*(_xlpm.d&gt;=$C$46)*(_xlpm.d&lt;=$D$46)*('Sales and count'!$G$3:$CZ$3="Transactions"),'Sales and count'!$G$4:$CZ$300)))</f>
        <v>172</v>
      </c>
      <c r="G104" s="55">
        <f t="shared" ca="1" si="23"/>
        <v>-0.28333333333333333</v>
      </c>
      <c r="H104" s="54">
        <f t="shared" ca="1" si="24"/>
        <v>173.16474999999997</v>
      </c>
      <c r="I104" s="54">
        <f t="shared" ca="1" si="25"/>
        <v>147.42633720930235</v>
      </c>
      <c r="J104" s="55">
        <f t="shared" ca="1" si="26"/>
        <v>-0.14863540524672392</v>
      </c>
      <c r="K104" s="53">
        <f t="shared" si="27"/>
        <v>5937.0771428571416</v>
      </c>
      <c r="L104" s="53">
        <f t="shared" si="28"/>
        <v>3622.4757142857147</v>
      </c>
      <c r="M104" s="55">
        <f t="shared" si="29"/>
        <v>-0.38985537376015211</v>
      </c>
      <c r="AA104" s="142">
        <f>--AND('Sales Dashboard'!AN104&lt;&gt;"",OR($B$3="All",'Sales Dashboard'!CF104=$B$3),IF(OR($B$4="All",$B$4="Multiple (ticked)"),IF(COUNTIF($B$6:$M$6,"✔")&gt;0,COUNTIFS($B$5:$M$5,'Sales Dashboard'!AN104,$B$6:$M$6,"✔")&gt;0,$B$4="All"),'Sales Dashboard'!AN104=$B$4))</f>
        <v>1</v>
      </c>
    </row>
    <row r="105" spans="1:27" ht="15" customHeight="1" x14ac:dyDescent="0.25">
      <c r="A105" s="45" t="str">
        <v>Tabuk</v>
      </c>
      <c r="B105" s="53" cm="1">
        <f t="array" ref="B105">IF($A105="","",_xlfn.LET(_xlpm.d,IFERROR(--'Sales and count'!$G$2:$CZ$2,0),SUMPRODUCT(('Sales Dashboard'!$AO$5:$AO$301=$A105)*($AA$5:$AA$301=1)*(_xlpm.d&gt;=$C$45)*(_xlpm.d&lt;=$D$45)*('Sales and count'!$G$3:$CZ$3="Total"),'Sales and count'!$G$4:$CZ$300)))</f>
        <v>76778.47</v>
      </c>
      <c r="C105" s="53" cm="1">
        <f t="array" ref="C105">IF($A105="","",_xlfn.LET(_xlpm.d,IFERROR(--'Sales and count'!$G$2:$CZ$2,0),SUMPRODUCT(('Sales Dashboard'!$AO$5:$AO$301=$A105)*($AA$5:$AA$301=1)*(_xlpm.d&gt;=$C$46)*(_xlpm.d&lt;=$D$46)*('Sales and count'!$G$3:$CZ$3="Total"),'Sales and count'!$G$4:$CZ$300)))</f>
        <v>67339</v>
      </c>
      <c r="D105" s="55">
        <f t="shared" si="22"/>
        <v>-0.12294423163160195</v>
      </c>
      <c r="E105" s="53" cm="1">
        <f t="array" aca="1" ref="E105" ca="1">IF($A105="","",_xlfn.LET(_xlpm.d,IFERROR(--'Sales and count'!$F$2:$CY$2,0),SUMPRODUCT(('Sales Dashboard'!$AO$5:$AO$301=$A105)*($AA$5:$AA$301=1)*(_xlpm.d&gt;=$C$45)*(_xlpm.d&lt;=$D$45)*('Sales and count'!$G$3:$CZ$3="Transactions"),'Sales and count'!$G$4:$CZ$300)))</f>
        <v>477</v>
      </c>
      <c r="F105" s="53" cm="1">
        <f t="array" aca="1" ref="F105" ca="1">IF($A105="","",_xlfn.LET(_xlpm.d,IFERROR(--'Sales and count'!$F$2:$CY$2,0),SUMPRODUCT(('Sales Dashboard'!$AO$5:$AO$301=$A105)*($AA$5:$AA$301=1)*(_xlpm.d&gt;=$C$46)*(_xlpm.d&lt;=$D$46)*('Sales and count'!$G$3:$CZ$3="Transactions"),'Sales and count'!$G$4:$CZ$300)))</f>
        <v>411</v>
      </c>
      <c r="G105" s="55">
        <f t="shared" ca="1" si="23"/>
        <v>-0.13836477987421381</v>
      </c>
      <c r="H105" s="54">
        <f t="shared" ca="1" si="24"/>
        <v>160.96115303983228</v>
      </c>
      <c r="I105" s="54">
        <f t="shared" ca="1" si="25"/>
        <v>163.8418491484185</v>
      </c>
      <c r="J105" s="55">
        <f t="shared" ca="1" si="26"/>
        <v>1.7896840661133506E-2</v>
      </c>
      <c r="K105" s="53">
        <f t="shared" si="27"/>
        <v>10968.352857142858</v>
      </c>
      <c r="L105" s="53">
        <f t="shared" si="28"/>
        <v>9619.8571428571431</v>
      </c>
      <c r="M105" s="55">
        <f t="shared" si="29"/>
        <v>-0.12294423163160195</v>
      </c>
      <c r="AA105" s="142">
        <f>--AND('Sales Dashboard'!AN105&lt;&gt;"",OR($B$3="All",'Sales Dashboard'!CF105=$B$3),IF(OR($B$4="All",$B$4="Multiple (ticked)"),IF(COUNTIF($B$6:$M$6,"✔")&gt;0,COUNTIFS($B$5:$M$5,'Sales Dashboard'!AN105,$B$6:$M$6,"✔")&gt;0,$B$4="All"),'Sales Dashboard'!AN105=$B$4))</f>
        <v>1</v>
      </c>
    </row>
    <row r="106" spans="1:27" ht="15" customHeight="1" x14ac:dyDescent="0.25">
      <c r="A106" s="45" t="str">
        <v>Taif</v>
      </c>
      <c r="B106" s="53" cm="1">
        <f t="array" ref="B106">IF($A106="","",_xlfn.LET(_xlpm.d,IFERROR(--'Sales and count'!$G$2:$CZ$2,0),SUMPRODUCT(('Sales Dashboard'!$AO$5:$AO$301=$A106)*($AA$5:$AA$301=1)*(_xlpm.d&gt;=$C$45)*(_xlpm.d&lt;=$D$45)*('Sales and count'!$G$3:$CZ$3="Total"),'Sales and count'!$G$4:$CZ$300)))</f>
        <v>104960.85000000002</v>
      </c>
      <c r="C106" s="53" cm="1">
        <f t="array" ref="C106">IF($A106="","",_xlfn.LET(_xlpm.d,IFERROR(--'Sales and count'!$G$2:$CZ$2,0),SUMPRODUCT(('Sales Dashboard'!$AO$5:$AO$301=$A106)*($AA$5:$AA$301=1)*(_xlpm.d&gt;=$C$46)*(_xlpm.d&lt;=$D$46)*('Sales and count'!$G$3:$CZ$3="Total"),'Sales and count'!$G$4:$CZ$300)))</f>
        <v>93412.250000000015</v>
      </c>
      <c r="D106" s="55">
        <f t="shared" si="22"/>
        <v>-0.11002769127727152</v>
      </c>
      <c r="E106" s="53" cm="1">
        <f t="array" aca="1" ref="E106" ca="1">IF($A106="","",_xlfn.LET(_xlpm.d,IFERROR(--'Sales and count'!$F$2:$CY$2,0),SUMPRODUCT(('Sales Dashboard'!$AO$5:$AO$301=$A106)*($AA$5:$AA$301=1)*(_xlpm.d&gt;=$C$45)*(_xlpm.d&lt;=$D$45)*('Sales and count'!$G$3:$CZ$3="Transactions"),'Sales and count'!$G$4:$CZ$300)))</f>
        <v>847</v>
      </c>
      <c r="F106" s="53" cm="1">
        <f t="array" aca="1" ref="F106" ca="1">IF($A106="","",_xlfn.LET(_xlpm.d,IFERROR(--'Sales and count'!$F$2:$CY$2,0),SUMPRODUCT(('Sales Dashboard'!$AO$5:$AO$301=$A106)*($AA$5:$AA$301=1)*(_xlpm.d&gt;=$C$46)*(_xlpm.d&lt;=$D$46)*('Sales and count'!$G$3:$CZ$3="Transactions"),'Sales and count'!$G$4:$CZ$300)))</f>
        <v>749</v>
      </c>
      <c r="G106" s="55">
        <f t="shared" ca="1" si="23"/>
        <v>-0.11570247933884292</v>
      </c>
      <c r="H106" s="54">
        <f t="shared" ca="1" si="24"/>
        <v>123.92072018890204</v>
      </c>
      <c r="I106" s="54">
        <f t="shared" ca="1" si="25"/>
        <v>124.71595460614154</v>
      </c>
      <c r="J106" s="55">
        <f t="shared" ca="1" si="26"/>
        <v>6.4172836957956392E-3</v>
      </c>
      <c r="K106" s="53">
        <f t="shared" si="27"/>
        <v>14994.407142857146</v>
      </c>
      <c r="L106" s="53">
        <f t="shared" si="28"/>
        <v>13344.607142857145</v>
      </c>
      <c r="M106" s="55">
        <f t="shared" si="29"/>
        <v>-0.11002769127727152</v>
      </c>
      <c r="AA106" s="142">
        <f>--AND('Sales Dashboard'!AN106&lt;&gt;"",OR($B$3="All",'Sales Dashboard'!CF106=$B$3),IF(OR($B$4="All",$B$4="Multiple (ticked)"),IF(COUNTIF($B$6:$M$6,"✔")&gt;0,COUNTIFS($B$5:$M$5,'Sales Dashboard'!AN106,$B$6:$M$6,"✔")&gt;0,$B$4="All"),'Sales Dashboard'!AN106=$B$4))</f>
        <v>1</v>
      </c>
    </row>
    <row r="107" spans="1:27" ht="15" customHeight="1" x14ac:dyDescent="0.25">
      <c r="A107" s="45" t="str">
        <v>Yanbu</v>
      </c>
      <c r="B107" s="53" cm="1">
        <f t="array" ref="B107">IF($A107="","",_xlfn.LET(_xlpm.d,IFERROR(--'Sales and count'!$G$2:$CZ$2,0),SUMPRODUCT(('Sales Dashboard'!$AO$5:$AO$301=$A107)*($AA$5:$AA$301=1)*(_xlpm.d&gt;=$C$45)*(_xlpm.d&lt;=$D$45)*('Sales and count'!$G$3:$CZ$3="Total"),'Sales and count'!$G$4:$CZ$300)))</f>
        <v>49963.7</v>
      </c>
      <c r="C107" s="53" cm="1">
        <f t="array" ref="C107">IF($A107="","",_xlfn.LET(_xlpm.d,IFERROR(--'Sales and count'!$G$2:$CZ$2,0),SUMPRODUCT(('Sales Dashboard'!$AO$5:$AO$301=$A107)*($AA$5:$AA$301=1)*(_xlpm.d&gt;=$C$46)*(_xlpm.d&lt;=$D$46)*('Sales and count'!$G$3:$CZ$3="Total"),'Sales and count'!$G$4:$CZ$300)))</f>
        <v>35338.620000000003</v>
      </c>
      <c r="D107" s="55">
        <f t="shared" si="22"/>
        <v>-0.29271411044418238</v>
      </c>
      <c r="E107" s="53" cm="1">
        <f t="array" aca="1" ref="E107" ca="1">IF($A107="","",_xlfn.LET(_xlpm.d,IFERROR(--'Sales and count'!$F$2:$CY$2,0),SUMPRODUCT(('Sales Dashboard'!$AO$5:$AO$301=$A107)*($AA$5:$AA$301=1)*(_xlpm.d&gt;=$C$45)*(_xlpm.d&lt;=$D$45)*('Sales and count'!$G$3:$CZ$3="Transactions"),'Sales and count'!$G$4:$CZ$300)))</f>
        <v>335</v>
      </c>
      <c r="F107" s="53" cm="1">
        <f t="array" aca="1" ref="F107" ca="1">IF($A107="","",_xlfn.LET(_xlpm.d,IFERROR(--'Sales and count'!$F$2:$CY$2,0),SUMPRODUCT(('Sales Dashboard'!$AO$5:$AO$301=$A107)*($AA$5:$AA$301=1)*(_xlpm.d&gt;=$C$46)*(_xlpm.d&lt;=$D$46)*('Sales and count'!$G$3:$CZ$3="Transactions"),'Sales and count'!$G$4:$CZ$300)))</f>
        <v>266</v>
      </c>
      <c r="G107" s="55">
        <f t="shared" ca="1" si="23"/>
        <v>-0.20597014925373136</v>
      </c>
      <c r="H107" s="54">
        <f t="shared" ca="1" si="24"/>
        <v>149.14537313432834</v>
      </c>
      <c r="I107" s="54">
        <f t="shared" ca="1" si="25"/>
        <v>132.85195488721806</v>
      </c>
      <c r="J107" s="55">
        <f t="shared" ca="1" si="26"/>
        <v>-0.10924521428120704</v>
      </c>
      <c r="K107" s="53">
        <f t="shared" si="27"/>
        <v>7137.6714285714279</v>
      </c>
      <c r="L107" s="53">
        <f t="shared" si="28"/>
        <v>5048.3742857142861</v>
      </c>
      <c r="M107" s="55">
        <f t="shared" si="29"/>
        <v>-0.29271411044418238</v>
      </c>
      <c r="AA107" s="142">
        <f>--AND('Sales Dashboard'!AN107&lt;&gt;"",OR($B$3="All",'Sales Dashboard'!CF107=$B$3),IF(OR($B$4="All",$B$4="Multiple (ticked)"),IF(COUNTIF($B$6:$M$6,"✔")&gt;0,COUNTIFS($B$5:$M$5,'Sales Dashboard'!AN107,$B$6:$M$6,"✔")&gt;0,$B$4="All"),'Sales Dashboard'!AN107=$B$4))</f>
        <v>1</v>
      </c>
    </row>
    <row r="108" spans="1:27" ht="15" customHeight="1" x14ac:dyDescent="0.25">
      <c r="A108" s="45"/>
      <c r="B108" s="53" t="str" cm="1">
        <f t="array" ref="B108">IF($A108="","",_xlfn.LET(_xlpm.d,IFERROR(--'Sales and count'!$G$2:$CZ$2,0),SUMPRODUCT(('Sales Dashboard'!$AO$5:$AO$301=$A108)*($AA$5:$AA$301=1)*(_xlpm.d&gt;=$C$45)*(_xlpm.d&lt;=$D$45)*('Sales and count'!$G$3:$CZ$3="Total"),'Sales and count'!$G$4:$CZ$300)))</f>
        <v/>
      </c>
      <c r="C108" s="53" t="str" cm="1">
        <f t="array" ref="C108">IF($A108="","",_xlfn.LET(_xlpm.d,IFERROR(--'Sales and count'!$G$2:$CZ$2,0),SUMPRODUCT(('Sales Dashboard'!$AO$5:$AO$301=$A108)*($AA$5:$AA$301=1)*(_xlpm.d&gt;=$C$46)*(_xlpm.d&lt;=$D$46)*('Sales and count'!$G$3:$CZ$3="Total"),'Sales and count'!$G$4:$CZ$300)))</f>
        <v/>
      </c>
      <c r="D108" s="55" t="str">
        <f t="shared" si="22"/>
        <v/>
      </c>
      <c r="E108" s="53" t="str" cm="1">
        <f t="array" ref="E108">IF($A108="","",_xlfn.LET(_xlpm.d,IFERROR(--'Sales and count'!$F$2:$CY$2,0),SUMPRODUCT(('Sales Dashboard'!$AO$5:$AO$301=$A108)*($AA$5:$AA$301=1)*(_xlpm.d&gt;=$C$45)*(_xlpm.d&lt;=$D$45)*('Sales and count'!$G$3:$CZ$3="Transactions"),'Sales and count'!$G$4:$CZ$300)))</f>
        <v/>
      </c>
      <c r="F108" s="53" t="str" cm="1">
        <f t="array" ref="F108">IF($A108="","",_xlfn.LET(_xlpm.d,IFERROR(--'Sales and count'!$F$2:$CY$2,0),SUMPRODUCT(('Sales Dashboard'!$AO$5:$AO$301=$A108)*($AA$5:$AA$301=1)*(_xlpm.d&gt;=$C$46)*(_xlpm.d&lt;=$D$46)*('Sales and count'!$G$3:$CZ$3="Transactions"),'Sales and count'!$G$4:$CZ$300)))</f>
        <v/>
      </c>
      <c r="G108" s="55" t="str">
        <f t="shared" si="23"/>
        <v/>
      </c>
      <c r="H108" s="54" t="str">
        <f t="shared" si="24"/>
        <v/>
      </c>
      <c r="I108" s="54" t="str">
        <f t="shared" si="25"/>
        <v/>
      </c>
      <c r="J108" s="55" t="str">
        <f t="shared" si="26"/>
        <v/>
      </c>
      <c r="K108" s="53" t="str">
        <f t="shared" si="27"/>
        <v/>
      </c>
      <c r="L108" s="53" t="str">
        <f t="shared" si="28"/>
        <v/>
      </c>
      <c r="M108" s="55" t="str">
        <f t="shared" si="29"/>
        <v/>
      </c>
      <c r="AA108" s="142">
        <f>--AND('Sales Dashboard'!AN108&lt;&gt;"",OR($B$3="All",'Sales Dashboard'!CF108=$B$3),IF(OR($B$4="All",$B$4="Multiple (ticked)"),IF(COUNTIF($B$6:$M$6,"✔")&gt;0,COUNTIFS($B$5:$M$5,'Sales Dashboard'!AN108,$B$6:$M$6,"✔")&gt;0,$B$4="All"),'Sales Dashboard'!AN108=$B$4))</f>
        <v>1</v>
      </c>
    </row>
    <row r="109" spans="1:27" ht="15" customHeight="1" x14ac:dyDescent="0.25">
      <c r="A109" s="45"/>
      <c r="B109" s="53" t="str" cm="1">
        <f t="array" ref="B109">IF($A109="","",_xlfn.LET(_xlpm.d,IFERROR(--'Sales and count'!$G$2:$CZ$2,0),SUMPRODUCT(('Sales Dashboard'!$AO$5:$AO$301=$A109)*($AA$5:$AA$301=1)*(_xlpm.d&gt;=$C$45)*(_xlpm.d&lt;=$D$45)*('Sales and count'!$G$3:$CZ$3="Total"),'Sales and count'!$G$4:$CZ$300)))</f>
        <v/>
      </c>
      <c r="C109" s="53" t="str" cm="1">
        <f t="array" ref="C109">IF($A109="","",_xlfn.LET(_xlpm.d,IFERROR(--'Sales and count'!$G$2:$CZ$2,0),SUMPRODUCT(('Sales Dashboard'!$AO$5:$AO$301=$A109)*($AA$5:$AA$301=1)*(_xlpm.d&gt;=$C$46)*(_xlpm.d&lt;=$D$46)*('Sales and count'!$G$3:$CZ$3="Total"),'Sales and count'!$G$4:$CZ$300)))</f>
        <v/>
      </c>
      <c r="D109" s="55" t="str">
        <f t="shared" si="22"/>
        <v/>
      </c>
      <c r="E109" s="53" t="str" cm="1">
        <f t="array" ref="E109">IF($A109="","",_xlfn.LET(_xlpm.d,IFERROR(--'Sales and count'!$F$2:$CY$2,0),SUMPRODUCT(('Sales Dashboard'!$AO$5:$AO$301=$A109)*($AA$5:$AA$301=1)*(_xlpm.d&gt;=$C$45)*(_xlpm.d&lt;=$D$45)*('Sales and count'!$G$3:$CZ$3="Transactions"),'Sales and count'!$G$4:$CZ$300)))</f>
        <v/>
      </c>
      <c r="F109" s="53" t="str" cm="1">
        <f t="array" ref="F109">IF($A109="","",_xlfn.LET(_xlpm.d,IFERROR(--'Sales and count'!$F$2:$CY$2,0),SUMPRODUCT(('Sales Dashboard'!$AO$5:$AO$301=$A109)*($AA$5:$AA$301=1)*(_xlpm.d&gt;=$C$46)*(_xlpm.d&lt;=$D$46)*('Sales and count'!$G$3:$CZ$3="Transactions"),'Sales and count'!$G$4:$CZ$300)))</f>
        <v/>
      </c>
      <c r="G109" s="55" t="str">
        <f t="shared" si="23"/>
        <v/>
      </c>
      <c r="H109" s="54" t="str">
        <f t="shared" si="24"/>
        <v/>
      </c>
      <c r="I109" s="54" t="str">
        <f t="shared" si="25"/>
        <v/>
      </c>
      <c r="J109" s="55" t="str">
        <f t="shared" si="26"/>
        <v/>
      </c>
      <c r="K109" s="53" t="str">
        <f t="shared" si="27"/>
        <v/>
      </c>
      <c r="L109" s="53" t="str">
        <f t="shared" si="28"/>
        <v/>
      </c>
      <c r="M109" s="55" t="str">
        <f t="shared" si="29"/>
        <v/>
      </c>
      <c r="AA109" s="142">
        <f>--AND('Sales Dashboard'!AN109&lt;&gt;"",OR($B$3="All",'Sales Dashboard'!CF109=$B$3),IF(OR($B$4="All",$B$4="Multiple (ticked)"),IF(COUNTIF($B$6:$M$6,"✔")&gt;0,COUNTIFS($B$5:$M$5,'Sales Dashboard'!AN109,$B$6:$M$6,"✔")&gt;0,$B$4="All"),'Sales Dashboard'!AN109=$B$4))</f>
        <v>1</v>
      </c>
    </row>
    <row r="110" spans="1:27" ht="32.1" customHeight="1" x14ac:dyDescent="0.25">
      <c r="A110" s="45"/>
      <c r="B110" s="53" t="str" cm="1">
        <f t="array" ref="B110">IF($A110="","",_xlfn.LET(_xlpm.d,IFERROR(--'Sales and count'!$G$2:$CZ$2,0),SUMPRODUCT(('Sales Dashboard'!$AO$5:$AO$301=$A110)*($AA$5:$AA$301=1)*(_xlpm.d&gt;=$C$45)*(_xlpm.d&lt;=$D$45)*('Sales and count'!$G$3:$CZ$3="Total"),'Sales and count'!$G$4:$CZ$300)))</f>
        <v/>
      </c>
      <c r="C110" s="53" t="str" cm="1">
        <f t="array" ref="C110">IF($A110="","",_xlfn.LET(_xlpm.d,IFERROR(--'Sales and count'!$G$2:$CZ$2,0),SUMPRODUCT(('Sales Dashboard'!$AO$5:$AO$301=$A110)*($AA$5:$AA$301=1)*(_xlpm.d&gt;=$C$46)*(_xlpm.d&lt;=$D$46)*('Sales and count'!$G$3:$CZ$3="Total"),'Sales and count'!$G$4:$CZ$300)))</f>
        <v/>
      </c>
      <c r="D110" s="55" t="str">
        <f t="shared" si="22"/>
        <v/>
      </c>
      <c r="E110" s="53" t="str" cm="1">
        <f t="array" ref="E110">IF($A110="","",_xlfn.LET(_xlpm.d,IFERROR(--'Sales and count'!$F$2:$CY$2,0),SUMPRODUCT(('Sales Dashboard'!$AO$5:$AO$301=$A110)*($AA$5:$AA$301=1)*(_xlpm.d&gt;=$C$45)*(_xlpm.d&lt;=$D$45)*('Sales and count'!$G$3:$CZ$3="Transactions"),'Sales and count'!$G$4:$CZ$300)))</f>
        <v/>
      </c>
      <c r="F110" s="53" t="str" cm="1">
        <f t="array" ref="F110">IF($A110="","",_xlfn.LET(_xlpm.d,IFERROR(--'Sales and count'!$F$2:$CY$2,0),SUMPRODUCT(('Sales Dashboard'!$AO$5:$AO$301=$A110)*($AA$5:$AA$301=1)*(_xlpm.d&gt;=$C$46)*(_xlpm.d&lt;=$D$46)*('Sales and count'!$G$3:$CZ$3="Transactions"),'Sales and count'!$G$4:$CZ$300)))</f>
        <v/>
      </c>
      <c r="G110" s="55" t="str">
        <f t="shared" si="23"/>
        <v/>
      </c>
      <c r="H110" s="54" t="str">
        <f t="shared" si="24"/>
        <v/>
      </c>
      <c r="I110" s="54" t="str">
        <f t="shared" si="25"/>
        <v/>
      </c>
      <c r="J110" s="55" t="str">
        <f t="shared" si="26"/>
        <v/>
      </c>
      <c r="K110" s="53" t="str">
        <f t="shared" si="27"/>
        <v/>
      </c>
      <c r="L110" s="53" t="str">
        <f t="shared" si="28"/>
        <v/>
      </c>
      <c r="M110" s="55" t="str">
        <f t="shared" si="29"/>
        <v/>
      </c>
      <c r="AA110" s="142">
        <f>--AND('Sales Dashboard'!AN110&lt;&gt;"",OR($B$3="All",'Sales Dashboard'!CF110=$B$3),IF(OR($B$4="All",$B$4="Multiple (ticked)"),IF(COUNTIF($B$6:$M$6,"✔")&gt;0,COUNTIFS($B$5:$M$5,'Sales Dashboard'!AN110,$B$6:$M$6,"✔")&gt;0,$B$4="All"),'Sales Dashboard'!AN110=$B$4))</f>
        <v>1</v>
      </c>
    </row>
    <row r="111" spans="1:27" ht="15" customHeight="1" x14ac:dyDescent="0.25">
      <c r="A111" s="45"/>
      <c r="B111" s="53" t="str" cm="1">
        <f t="array" ref="B111">IF($A111="","",_xlfn.LET(_xlpm.d,IFERROR(--'Sales and count'!$G$2:$CZ$2,0),SUMPRODUCT(('Sales Dashboard'!$AO$5:$AO$301=$A111)*($AA$5:$AA$301=1)*(_xlpm.d&gt;=$C$45)*(_xlpm.d&lt;=$D$45)*('Sales and count'!$G$3:$CZ$3="Total"),'Sales and count'!$G$4:$CZ$300)))</f>
        <v/>
      </c>
      <c r="C111" s="53" t="str" cm="1">
        <f t="array" ref="C111">IF($A111="","",_xlfn.LET(_xlpm.d,IFERROR(--'Sales and count'!$G$2:$CZ$2,0),SUMPRODUCT(('Sales Dashboard'!$AO$5:$AO$301=$A111)*($AA$5:$AA$301=1)*(_xlpm.d&gt;=$C$46)*(_xlpm.d&lt;=$D$46)*('Sales and count'!$G$3:$CZ$3="Total"),'Sales and count'!$G$4:$CZ$300)))</f>
        <v/>
      </c>
      <c r="D111" s="55" t="str">
        <f t="shared" si="22"/>
        <v/>
      </c>
      <c r="E111" s="53" t="str" cm="1">
        <f t="array" ref="E111">IF($A111="","",_xlfn.LET(_xlpm.d,IFERROR(--'Sales and count'!$F$2:$CY$2,0),SUMPRODUCT(('Sales Dashboard'!$AO$5:$AO$301=$A111)*($AA$5:$AA$301=1)*(_xlpm.d&gt;=$C$45)*(_xlpm.d&lt;=$D$45)*('Sales and count'!$G$3:$CZ$3="Transactions"),'Sales and count'!$G$4:$CZ$300)))</f>
        <v/>
      </c>
      <c r="F111" s="53" t="str" cm="1">
        <f t="array" ref="F111">IF($A111="","",_xlfn.LET(_xlpm.d,IFERROR(--'Sales and count'!$F$2:$CY$2,0),SUMPRODUCT(('Sales Dashboard'!$AO$5:$AO$301=$A111)*($AA$5:$AA$301=1)*(_xlpm.d&gt;=$C$46)*(_xlpm.d&lt;=$D$46)*('Sales and count'!$G$3:$CZ$3="Transactions"),'Sales and count'!$G$4:$CZ$300)))</f>
        <v/>
      </c>
      <c r="G111" s="55" t="str">
        <f t="shared" si="23"/>
        <v/>
      </c>
      <c r="H111" s="54" t="str">
        <f t="shared" si="24"/>
        <v/>
      </c>
      <c r="I111" s="54" t="str">
        <f t="shared" si="25"/>
        <v/>
      </c>
      <c r="J111" s="55" t="str">
        <f t="shared" si="26"/>
        <v/>
      </c>
      <c r="K111" s="53" t="str">
        <f t="shared" si="27"/>
        <v/>
      </c>
      <c r="L111" s="53" t="str">
        <f t="shared" si="28"/>
        <v/>
      </c>
      <c r="M111" s="55" t="str">
        <f t="shared" si="29"/>
        <v/>
      </c>
      <c r="AA111" s="142">
        <f>--AND('Sales Dashboard'!AN111&lt;&gt;"",OR($B$3="All",'Sales Dashboard'!CF111=$B$3),IF(OR($B$4="All",$B$4="Multiple (ticked)"),IF(COUNTIF($B$6:$M$6,"✔")&gt;0,COUNTIFS($B$5:$M$5,'Sales Dashboard'!AN111,$B$6:$M$6,"✔")&gt;0,$B$4="All"),'Sales Dashboard'!AN111=$B$4))</f>
        <v>1</v>
      </c>
    </row>
    <row r="112" spans="1:27" ht="15" customHeight="1" x14ac:dyDescent="0.25">
      <c r="A112" s="45"/>
      <c r="B112" s="53" t="str" cm="1">
        <f t="array" ref="B112">IF($A112="","",_xlfn.LET(_xlpm.d,IFERROR(--'Sales and count'!$G$2:$CZ$2,0),SUMPRODUCT(('Sales Dashboard'!$AO$5:$AO$301=$A112)*($AA$5:$AA$301=1)*(_xlpm.d&gt;=$C$45)*(_xlpm.d&lt;=$D$45)*('Sales and count'!$G$3:$CZ$3="Total"),'Sales and count'!$G$4:$CZ$300)))</f>
        <v/>
      </c>
      <c r="C112" s="53" t="str" cm="1">
        <f t="array" ref="C112">IF($A112="","",_xlfn.LET(_xlpm.d,IFERROR(--'Sales and count'!$G$2:$CZ$2,0),SUMPRODUCT(('Sales Dashboard'!$AO$5:$AO$301=$A112)*($AA$5:$AA$301=1)*(_xlpm.d&gt;=$C$46)*(_xlpm.d&lt;=$D$46)*('Sales and count'!$G$3:$CZ$3="Total"),'Sales and count'!$G$4:$CZ$300)))</f>
        <v/>
      </c>
      <c r="D112" s="55" t="str">
        <f t="shared" si="22"/>
        <v/>
      </c>
      <c r="E112" s="53" t="str" cm="1">
        <f t="array" ref="E112">IF($A112="","",_xlfn.LET(_xlpm.d,IFERROR(--'Sales and count'!$F$2:$CY$2,0),SUMPRODUCT(('Sales Dashboard'!$AO$5:$AO$301=$A112)*($AA$5:$AA$301=1)*(_xlpm.d&gt;=$C$45)*(_xlpm.d&lt;=$D$45)*('Sales and count'!$G$3:$CZ$3="Transactions"),'Sales and count'!$G$4:$CZ$300)))</f>
        <v/>
      </c>
      <c r="F112" s="53" t="str" cm="1">
        <f t="array" ref="F112">IF($A112="","",_xlfn.LET(_xlpm.d,IFERROR(--'Sales and count'!$F$2:$CY$2,0),SUMPRODUCT(('Sales Dashboard'!$AO$5:$AO$301=$A112)*($AA$5:$AA$301=1)*(_xlpm.d&gt;=$C$46)*(_xlpm.d&lt;=$D$46)*('Sales and count'!$G$3:$CZ$3="Transactions"),'Sales and count'!$G$4:$CZ$300)))</f>
        <v/>
      </c>
      <c r="G112" s="55" t="str">
        <f t="shared" si="23"/>
        <v/>
      </c>
      <c r="H112" s="54" t="str">
        <f t="shared" si="24"/>
        <v/>
      </c>
      <c r="I112" s="54" t="str">
        <f t="shared" si="25"/>
        <v/>
      </c>
      <c r="J112" s="55" t="str">
        <f t="shared" si="26"/>
        <v/>
      </c>
      <c r="K112" s="53" t="str">
        <f t="shared" si="27"/>
        <v/>
      </c>
      <c r="L112" s="53" t="str">
        <f t="shared" si="28"/>
        <v/>
      </c>
      <c r="M112" s="55" t="str">
        <f t="shared" si="29"/>
        <v/>
      </c>
      <c r="AA112" s="142">
        <f>--AND('Sales Dashboard'!AN112&lt;&gt;"",OR($B$3="All",'Sales Dashboard'!CF112=$B$3),IF(OR($B$4="All",$B$4="Multiple (ticked)"),IF(COUNTIF($B$6:$M$6,"✔")&gt;0,COUNTIFS($B$5:$M$5,'Sales Dashboard'!AN112,$B$6:$M$6,"✔")&gt;0,$B$4="All"),'Sales Dashboard'!AN112=$B$4))</f>
        <v>1</v>
      </c>
    </row>
    <row r="113" spans="1:27" ht="15.75" customHeight="1" x14ac:dyDescent="0.3">
      <c r="A113" s="49" t="s">
        <v>391</v>
      </c>
      <c r="AA113" s="142">
        <f>--AND('Sales Dashboard'!AN113&lt;&gt;"",OR($B$3="All",'Sales Dashboard'!CF113=$B$3),IF(OR($B$4="All",$B$4="Multiple (ticked)"),IF(COUNTIF($B$6:$M$6,"✔")&gt;0,COUNTIFS($B$5:$M$5,'Sales Dashboard'!AN113,$B$6:$M$6,"✔")&gt;0,$B$4="All"),'Sales Dashboard'!AN113=$B$4))</f>
        <v>1</v>
      </c>
    </row>
    <row r="114" spans="1:27" ht="30" customHeight="1" x14ac:dyDescent="0.25">
      <c r="A114" s="50" t="s">
        <v>209</v>
      </c>
      <c r="B114" s="50" t="s">
        <v>210</v>
      </c>
      <c r="C114" s="50" t="s">
        <v>211</v>
      </c>
      <c r="D114" s="50" t="s">
        <v>212</v>
      </c>
      <c r="E114" s="50" t="s">
        <v>173</v>
      </c>
      <c r="F114" s="50" t="s">
        <v>175</v>
      </c>
      <c r="G114" s="50" t="s">
        <v>392</v>
      </c>
      <c r="H114" s="50" t="s">
        <v>174</v>
      </c>
      <c r="I114" s="50" t="s">
        <v>176</v>
      </c>
      <c r="J114" s="50" t="s">
        <v>393</v>
      </c>
      <c r="K114" s="50" t="s">
        <v>189</v>
      </c>
      <c r="L114" s="50" t="s">
        <v>190</v>
      </c>
      <c r="M114" s="50" t="s">
        <v>394</v>
      </c>
      <c r="N114" s="50" t="s">
        <v>177</v>
      </c>
      <c r="O114" s="50" t="s">
        <v>183</v>
      </c>
      <c r="P114" s="135" t="s">
        <v>395</v>
      </c>
      <c r="Q114" s="135" t="s">
        <v>396</v>
      </c>
      <c r="R114" s="135" t="s">
        <v>397</v>
      </c>
      <c r="AA114" s="142">
        <f>--AND('Sales Dashboard'!AN114&lt;&gt;"",OR($B$3="All",'Sales Dashboard'!CF114=$B$3),IF(OR($B$4="All",$B$4="Multiple (ticked)"),IF(COUNTIF($B$6:$M$6,"✔")&gt;0,COUNTIFS($B$5:$M$5,'Sales Dashboard'!AN114,$B$6:$M$6,"✔")&gt;0,$B$4="All"),'Sales Dashboard'!AN114=$B$4))</f>
        <v>1</v>
      </c>
    </row>
    <row r="115" spans="1:27" ht="15" customHeight="1" x14ac:dyDescent="0.25">
      <c r="A115" s="51" t="s">
        <v>216</v>
      </c>
      <c r="B115" s="52">
        <v>46296</v>
      </c>
      <c r="C115" s="52">
        <v>46298</v>
      </c>
      <c r="D115" s="53">
        <f>MAX(0,MIN($C115,'Sales Dashboard'!$AZ$6)-$B115+1)</f>
        <v>3</v>
      </c>
      <c r="E115" s="53" cm="1">
        <f t="array" ref="E115">_xlfn.LET(_xlpm.d,IFERROR(--'Sales and count'!$G$2:$CC$2,0),SUMPRODUCT(($AA$5:$AA$301=1)*(_xlpm.d&gt;=$B115)*(_xlpm.d&lt;=$C115)*('Sales and count'!$G$3:$CC$3="Total"),'Sales and count'!$G$4:$CC$300))</f>
        <v>2966157.2499999995</v>
      </c>
      <c r="F115" s="69" cm="1">
        <f t="array" ref="F115">_xlfn.LET(_xlpm.m,ISNUMBER(MATCH(TRIM('LY Sales '!$B$5:$B$200),_xlfn._xlws.FILTER('Sales Dashboard'!$AW$5:$AW$301,$AA$5:$AA$301=1),0)),_xlpm.dd,'LY Sales '!$C$2:$AG$2,SUMPRODUCT(_xlpm.m*(_xlpm.dd&gt;=EDATE($B115,-12))*(_xlpm.dd&lt;=EDATE($C115,-12)),'LY Sales '!$C$5:$AG$200))</f>
        <v>2911949.9099999997</v>
      </c>
      <c r="G115" s="55">
        <f>IF($D115=0,"",IFERROR(E115/P115-1,""))</f>
        <v>1.8615478176271294E-2</v>
      </c>
      <c r="H115" s="53" cm="1">
        <f t="array" aca="1" ref="H115" ca="1">_xlfn.LET(_xlpm.d,IFERROR(--'Sales and count'!$F$2:$CB$2,0),SUMPRODUCT(($AA$5:$AA$301=1)*(_xlpm.d&gt;=$B115)*(_xlpm.d&lt;=$C115)*('Sales and count'!$G$3:$CC$3="Transactions"),'Sales and count'!$G$4:$CC$300))</f>
        <v>19995</v>
      </c>
      <c r="I115" s="69" cm="1">
        <f t="array" ref="I115">_xlfn.LET(_xlpm.m,ISNUMBER(MATCH(TRIM('LY Transaction'!$B$5:$B$200),_xlfn._xlws.FILTER('Sales Dashboard'!$AW$5:$AW$301,$AA$5:$AA$301=1),0)),_xlpm.dd,'LY Transaction'!$C$2:$AG$2,SUMPRODUCT(_xlpm.m*(_xlpm.dd&gt;=EDATE($B115,-12))*(_xlpm.dd&lt;=EDATE($C115,-12)),'LY Transaction'!$C$5:$AG$200))</f>
        <v>22243</v>
      </c>
      <c r="J115" s="55">
        <f ca="1">IF($D115=0,"",IFERROR(H115/Q115-1,""))</f>
        <v>-0.10106550375399004</v>
      </c>
      <c r="K115" s="54">
        <f t="shared" ref="K115:L120" ca="1" si="30">IFERROR(E115/H115,0)</f>
        <v>148.34494873718427</v>
      </c>
      <c r="L115" s="136">
        <f t="shared" si="30"/>
        <v>130.91534010699993</v>
      </c>
      <c r="M115" s="55">
        <f ca="1">IF($D115=0,"",IFERROR(K115/(P115/Q115)-1,""))</f>
        <v>0.13313648817578394</v>
      </c>
      <c r="N115" s="53" cm="1">
        <f t="array" ref="N115">_xlfn.LET(_xlpm.m,ISNUMBER(MATCH(TRIM('TY Sales Target'!$B$5:$B$300),_xlfn._xlws.FILTER('Sales Dashboard'!$AW$5:$AW$301,$AA$5:$AA$301=1),0)),_xlpm.dd,'TY Sales Target'!$K$2:$AO$2,SUMPRODUCT(_xlpm.m*(_xlpm.dd&gt;=$B115)*(_xlpm.dd&lt;=$C115),'TY Sales Target'!$K$5:$AO$300))</f>
        <v>5099265.9022147739</v>
      </c>
      <c r="O115" s="55">
        <f>IF($D115=0,"",IFERROR(E115/R115,""))</f>
        <v>0.5816831886942202</v>
      </c>
      <c r="P115" s="137" cm="1">
        <f t="array" ref="P115">IF($D115=0,0,_xlfn.LET(_xlpm.m,ISNUMBER(MATCH(TRIM('LY Sales '!$B$5:$B$200),_xlfn._xlws.FILTER('Sales Dashboard'!$AW$5:$AW$301,$AA$5:$AA$301=1),0)),_xlpm.dd,'LY Sales '!$C$2:$AG$2,SUMPRODUCT(_xlpm.m*(_xlpm.dd&gt;=EDATE($B115,-12))*(_xlpm.dd&lt;=EDATE(MIN($C115,'Sales Dashboard'!$AZ$6),-12)),'LY Sales '!$C$5:$AG$200)))</f>
        <v>2911949.9099999997</v>
      </c>
      <c r="Q115" s="137" cm="1">
        <f t="array" ref="Q115">IF($D115=0,0,_xlfn.LET(_xlpm.m,ISNUMBER(MATCH(TRIM('LY Transaction'!$B$5:$B$200),_xlfn._xlws.FILTER('Sales Dashboard'!$AW$5:$AW$301,$AA$5:$AA$301=1),0)),_xlpm.dd,'LY Transaction'!$C$2:$AG$2,SUMPRODUCT(_xlpm.m*(_xlpm.dd&gt;=EDATE($B115,-12))*(_xlpm.dd&lt;=EDATE(MIN($C115,'Sales Dashboard'!$AZ$6),-12)),'LY Transaction'!$C$5:$AG$200)))</f>
        <v>22243</v>
      </c>
      <c r="R115" s="137" cm="1">
        <f t="array" ref="R115">IF($D115=0,0,_xlfn.LET(_xlpm.m,ISNUMBER(MATCH(TRIM('TY Sales Target'!$B$5:$B$300),_xlfn._xlws.FILTER('Sales Dashboard'!$AW$5:$AW$301,$AA$5:$AA$301=1),0)),_xlpm.dd,'TY Sales Target'!$K$2:$AO$2,SUMPRODUCT(_xlpm.m*(_xlpm.dd&gt;=$B115)*(_xlpm.dd&lt;=MIN($C115,'Sales Dashboard'!$AZ$6)),'TY Sales Target'!$K$5:$AO$300)))</f>
        <v>5099265.9022147739</v>
      </c>
      <c r="AA115" s="142">
        <f>--AND('Sales Dashboard'!AN115&lt;&gt;"",OR($B$3="All",'Sales Dashboard'!CF115=$B$3),IF(OR($B$4="All",$B$4="Multiple (ticked)"),IF(COUNTIF($B$6:$M$6,"✔")&gt;0,COUNTIFS($B$5:$M$5,'Sales Dashboard'!AN115,$B$6:$M$6,"✔")&gt;0,$B$4="All"),'Sales Dashboard'!AN115=$B$4))</f>
        <v>1</v>
      </c>
    </row>
    <row r="116" spans="1:27" ht="15" customHeight="1" x14ac:dyDescent="0.25">
      <c r="A116" s="51" t="s">
        <v>217</v>
      </c>
      <c r="B116" s="52">
        <v>46299</v>
      </c>
      <c r="C116" s="52">
        <v>46305</v>
      </c>
      <c r="D116" s="53">
        <f>MAX(0,MIN($C116,'Sales Dashboard'!$AZ$6)-$B116+1)</f>
        <v>7</v>
      </c>
      <c r="E116" s="53" cm="1">
        <f t="array" ref="E116">_xlfn.LET(_xlpm.d,IFERROR(--'Sales and count'!$G$2:$CC$2,0),SUMPRODUCT(($AA$5:$AA$301=1)*(_xlpm.d&gt;=$B116)*(_xlpm.d&lt;=$C116)*('Sales and count'!$G$3:$CC$3="Total"),'Sales and count'!$G$4:$CC$300))</f>
        <v>4534581.1899999753</v>
      </c>
      <c r="F116" s="69" cm="1">
        <f t="array" ref="F116">_xlfn.LET(_xlpm.m,ISNUMBER(MATCH(TRIM('LY Sales '!$B$5:$B$200),_xlfn._xlws.FILTER('Sales Dashboard'!$AW$5:$AW$301,$AA$5:$AA$301=1),0)),_xlpm.dd,'LY Sales '!$C$2:$AG$2,SUMPRODUCT(_xlpm.m*(_xlpm.dd&gt;=EDATE($B116,-12))*(_xlpm.dd&lt;=EDATE($C116,-12)),'LY Sales '!$C$5:$AG$200))</f>
        <v>4107049.4599999911</v>
      </c>
      <c r="G116" s="55">
        <f>IF($D116=0,"",IFERROR(E116/P116-1,""))</f>
        <v>0.10409704927195707</v>
      </c>
      <c r="H116" s="53" cm="1">
        <f t="array" aca="1" ref="H116" ca="1">_xlfn.LET(_xlpm.d,IFERROR(--'Sales and count'!$F$2:$CB$2,0),SUMPRODUCT(($AA$5:$AA$301=1)*(_xlpm.d&gt;=$B116)*(_xlpm.d&lt;=$C116)*('Sales and count'!$G$3:$CC$3="Transactions"),'Sales and count'!$G$4:$CC$300))</f>
        <v>27895</v>
      </c>
      <c r="I116" s="69" cm="1">
        <f t="array" ref="I116">_xlfn.LET(_xlpm.m,ISNUMBER(MATCH(TRIM('LY Transaction'!$B$5:$B$200),_xlfn._xlws.FILTER('Sales Dashboard'!$AW$5:$AW$301,$AA$5:$AA$301=1),0)),_xlpm.dd,'LY Transaction'!$C$2:$AG$2,SUMPRODUCT(_xlpm.m*(_xlpm.dd&gt;=EDATE($B116,-12))*(_xlpm.dd&lt;=EDATE($C116,-12)),'LY Transaction'!$C$5:$AG$200))</f>
        <v>27104</v>
      </c>
      <c r="J116" s="55">
        <f ca="1">IF($D116=0,"",IFERROR(H116/Q116-1,""))</f>
        <v>2.9183884297520724E-2</v>
      </c>
      <c r="K116" s="54">
        <f t="shared" ca="1" si="30"/>
        <v>162.55892417995969</v>
      </c>
      <c r="L116" s="136">
        <f t="shared" si="30"/>
        <v>151.52927464580841</v>
      </c>
      <c r="M116" s="55">
        <f ca="1">IF($D116=0,"",IFERROR(K116/(P116/Q116)-1,""))</f>
        <v>7.2788902078047224E-2</v>
      </c>
      <c r="N116" s="53" cm="1">
        <f t="array" ref="N116">_xlfn.LET(_xlpm.m,ISNUMBER(MATCH(TRIM('TY Sales Target'!$B$5:$B$300),_xlfn._xlws.FILTER('Sales Dashboard'!$AW$5:$AW$301,$AA$5:$AA$301=1),0)),_xlpm.dd,'TY Sales Target'!$K$2:$AO$2,SUMPRODUCT(_xlpm.m*(_xlpm.dd&gt;=$B116)*(_xlpm.dd&lt;=$C116),'TY Sales Target'!$K$5:$AO$300))</f>
        <v>5864732.13944316</v>
      </c>
      <c r="O116" s="55">
        <f>IF($D116=0,"",IFERROR(E116/R116,""))</f>
        <v>0.77319493579301324</v>
      </c>
      <c r="P116" s="137" cm="1">
        <f t="array" ref="P116">IF($D116=0,0,_xlfn.LET(_xlpm.m,ISNUMBER(MATCH(TRIM('LY Sales '!$B$5:$B$200),_xlfn._xlws.FILTER('Sales Dashboard'!$AW$5:$AW$301,$AA$5:$AA$301=1),0)),_xlpm.dd,'LY Sales '!$C$2:$AG$2,SUMPRODUCT(_xlpm.m*(_xlpm.dd&gt;=EDATE($B116,-12))*(_xlpm.dd&lt;=EDATE(MIN($C116,'Sales Dashboard'!$AZ$6),-12)),'LY Sales '!$C$5:$AG$200)))</f>
        <v>4107049.4599999911</v>
      </c>
      <c r="Q116" s="137" cm="1">
        <f t="array" ref="Q116">IF($D116=0,0,_xlfn.LET(_xlpm.m,ISNUMBER(MATCH(TRIM('LY Transaction'!$B$5:$B$200),_xlfn._xlws.FILTER('Sales Dashboard'!$AW$5:$AW$301,$AA$5:$AA$301=1),0)),_xlpm.dd,'LY Transaction'!$C$2:$AG$2,SUMPRODUCT(_xlpm.m*(_xlpm.dd&gt;=EDATE($B116,-12))*(_xlpm.dd&lt;=EDATE(MIN($C116,'Sales Dashboard'!$AZ$6),-12)),'LY Transaction'!$C$5:$AG$200)))</f>
        <v>27104</v>
      </c>
      <c r="R116" s="137" cm="1">
        <f t="array" ref="R116">IF($D116=0,0,_xlfn.LET(_xlpm.m,ISNUMBER(MATCH(TRIM('TY Sales Target'!$B$5:$B$300),_xlfn._xlws.FILTER('Sales Dashboard'!$AW$5:$AW$301,$AA$5:$AA$301=1),0)),_xlpm.dd,'TY Sales Target'!$K$2:$AO$2,SUMPRODUCT(_xlpm.m*(_xlpm.dd&gt;=$B116)*(_xlpm.dd&lt;=MIN($C116,'Sales Dashboard'!$AZ$6)),'TY Sales Target'!$K$5:$AO$300)))</f>
        <v>5864732.13944316</v>
      </c>
      <c r="AA116" s="142">
        <f>--AND('Sales Dashboard'!AN116&lt;&gt;"",OR($B$3="All",'Sales Dashboard'!CF116=$B$3),IF(OR($B$4="All",$B$4="Multiple (ticked)"),IF(COUNTIF($B$6:$M$6,"✔")&gt;0,COUNTIFS($B$5:$M$5,'Sales Dashboard'!AN116,$B$6:$M$6,"✔")&gt;0,$B$4="All"),'Sales Dashboard'!AN116=$B$4))</f>
        <v>1</v>
      </c>
    </row>
    <row r="117" spans="1:27" ht="15" customHeight="1" x14ac:dyDescent="0.25">
      <c r="A117" s="51" t="s">
        <v>218</v>
      </c>
      <c r="B117" s="52">
        <v>46306</v>
      </c>
      <c r="C117" s="52">
        <v>46312</v>
      </c>
      <c r="D117" s="53">
        <f>MAX(0,MIN($C117,'Sales Dashboard'!$AZ$6)-$B117+1)</f>
        <v>7</v>
      </c>
      <c r="E117" s="53" cm="1">
        <f t="array" ref="E117">_xlfn.LET(_xlpm.d,IFERROR(--'Sales and count'!$G$2:$CC$2,0),SUMPRODUCT(($AA$5:$AA$301=1)*(_xlpm.d&gt;=$B117)*(_xlpm.d&lt;=$C117)*('Sales and count'!$G$3:$CC$3="Total"),'Sales and count'!$G$4:$CC$300))</f>
        <v>3627161.1499999901</v>
      </c>
      <c r="F117" s="69" cm="1">
        <f t="array" ref="F117">_xlfn.LET(_xlpm.m,ISNUMBER(MATCH(TRIM('LY Sales '!$B$5:$B$200),_xlfn._xlws.FILTER('Sales Dashboard'!$AW$5:$AW$301,$AA$5:$AA$301=1),0)),_xlpm.dd,'LY Sales '!$C$2:$AG$2,SUMPRODUCT(_xlpm.m*(_xlpm.dd&gt;=EDATE($B117,-12))*(_xlpm.dd&lt;=EDATE($C117,-12)),'LY Sales '!$C$5:$AG$200))</f>
        <v>3090825.0599999949</v>
      </c>
      <c r="G117" s="55">
        <f>IF($D117=0,"",IFERROR(E117/P117-1,""))</f>
        <v>0.17352521724409598</v>
      </c>
      <c r="H117" s="53" cm="1">
        <f t="array" aca="1" ref="H117" ca="1">_xlfn.LET(_xlpm.d,IFERROR(--'Sales and count'!$F$2:$CB$2,0),SUMPRODUCT(($AA$5:$AA$301=1)*(_xlpm.d&gt;=$B117)*(_xlpm.d&lt;=$C117)*('Sales and count'!$G$3:$CC$3="Transactions"),'Sales and count'!$G$4:$CC$300))</f>
        <v>22211</v>
      </c>
      <c r="I117" s="69" cm="1">
        <f t="array" ref="I117">_xlfn.LET(_xlpm.m,ISNUMBER(MATCH(TRIM('LY Transaction'!$B$5:$B$200),_xlfn._xlws.FILTER('Sales Dashboard'!$AW$5:$AW$301,$AA$5:$AA$301=1),0)),_xlpm.dd,'LY Transaction'!$C$2:$AG$2,SUMPRODUCT(_xlpm.m*(_xlpm.dd&gt;=EDATE($B117,-12))*(_xlpm.dd&lt;=EDATE($C117,-12)),'LY Transaction'!$C$5:$AG$200))</f>
        <v>19335</v>
      </c>
      <c r="J117" s="55">
        <f ca="1">IF($D117=0,"",IFERROR(H117/Q117-1,""))</f>
        <v>0.14874579777605379</v>
      </c>
      <c r="K117" s="54">
        <f t="shared" ca="1" si="30"/>
        <v>163.30472063391969</v>
      </c>
      <c r="L117" s="136">
        <f t="shared" si="30"/>
        <v>159.85648099301758</v>
      </c>
      <c r="M117" s="55">
        <f ca="1">IF($D117=0,"",IFERROR(K117/(P117/Q117)-1,""))</f>
        <v>2.1570846671225885E-2</v>
      </c>
      <c r="N117" s="53" cm="1">
        <f t="array" ref="N117">_xlfn.LET(_xlpm.m,ISNUMBER(MATCH(TRIM('TY Sales Target'!$B$5:$B$300),_xlfn._xlws.FILTER('Sales Dashboard'!$AW$5:$AW$301,$AA$5:$AA$301=1),0)),_xlpm.dd,'TY Sales Target'!$K$2:$AO$2,SUMPRODUCT(_xlpm.m*(_xlpm.dd&gt;=$B117)*(_xlpm.dd&lt;=$C117),'TY Sales Target'!$K$5:$AO$300))</f>
        <v>5173329.61001701</v>
      </c>
      <c r="O117" s="55">
        <f>IF($D117=0,"",IFERROR(E117/R117,""))</f>
        <v>0.70112701556397905</v>
      </c>
      <c r="P117" s="137" cm="1">
        <f t="array" ref="P117">IF($D117=0,0,_xlfn.LET(_xlpm.m,ISNUMBER(MATCH(TRIM('LY Sales '!$B$5:$B$200),_xlfn._xlws.FILTER('Sales Dashboard'!$AW$5:$AW$301,$AA$5:$AA$301=1),0)),_xlpm.dd,'LY Sales '!$C$2:$AG$2,SUMPRODUCT(_xlpm.m*(_xlpm.dd&gt;=EDATE($B117,-12))*(_xlpm.dd&lt;=EDATE(MIN($C117,'Sales Dashboard'!$AZ$6),-12)),'LY Sales '!$C$5:$AG$200)))</f>
        <v>3090825.0599999949</v>
      </c>
      <c r="Q117" s="137" cm="1">
        <f t="array" ref="Q117">IF($D117=0,0,_xlfn.LET(_xlpm.m,ISNUMBER(MATCH(TRIM('LY Transaction'!$B$5:$B$200),_xlfn._xlws.FILTER('Sales Dashboard'!$AW$5:$AW$301,$AA$5:$AA$301=1),0)),_xlpm.dd,'LY Transaction'!$C$2:$AG$2,SUMPRODUCT(_xlpm.m*(_xlpm.dd&gt;=EDATE($B117,-12))*(_xlpm.dd&lt;=EDATE(MIN($C117,'Sales Dashboard'!$AZ$6),-12)),'LY Transaction'!$C$5:$AG$200)))</f>
        <v>19335</v>
      </c>
      <c r="R117" s="137" cm="1">
        <f t="array" ref="R117">IF($D117=0,0,_xlfn.LET(_xlpm.m,ISNUMBER(MATCH(TRIM('TY Sales Target'!$B$5:$B$300),_xlfn._xlws.FILTER('Sales Dashboard'!$AW$5:$AW$301,$AA$5:$AA$301=1),0)),_xlpm.dd,'TY Sales Target'!$K$2:$AO$2,SUMPRODUCT(_xlpm.m*(_xlpm.dd&gt;=$B117)*(_xlpm.dd&lt;=MIN($C117,'Sales Dashboard'!$AZ$6)),'TY Sales Target'!$K$5:$AO$300)))</f>
        <v>5173329.61001701</v>
      </c>
      <c r="AA117" s="142">
        <f>--AND('Sales Dashboard'!AN117&lt;&gt;"",OR($B$3="All",'Sales Dashboard'!CF117=$B$3),IF(OR($B$4="All",$B$4="Multiple (ticked)"),IF(COUNTIF($B$6:$M$6,"✔")&gt;0,COUNTIFS($B$5:$M$5,'Sales Dashboard'!AN117,$B$6:$M$6,"✔")&gt;0,$B$4="All"),'Sales Dashboard'!AN117=$B$4))</f>
        <v>1</v>
      </c>
    </row>
    <row r="118" spans="1:27" ht="15" customHeight="1" x14ac:dyDescent="0.25">
      <c r="A118" s="51" t="s">
        <v>219</v>
      </c>
      <c r="B118" s="52">
        <v>46313</v>
      </c>
      <c r="C118" s="52">
        <v>46319</v>
      </c>
      <c r="D118" s="53">
        <f>MAX(0,MIN($C118,'Sales Dashboard'!$AZ$6)-$B118+1)</f>
        <v>7</v>
      </c>
      <c r="E118" s="53" cm="1">
        <f t="array" ref="E118">_xlfn.LET(_xlpm.d,IFERROR(--'Sales and count'!$G$2:$CC$2,0),SUMPRODUCT(($AA$5:$AA$301=1)*(_xlpm.d&gt;=$B118)*(_xlpm.d&lt;=$C118)*('Sales and count'!$G$3:$CC$3="Total"),'Sales and count'!$G$4:$CC$300))</f>
        <v>3300789.8799999864</v>
      </c>
      <c r="F118" s="69" cm="1">
        <f t="array" ref="F118">_xlfn.LET(_xlpm.m,ISNUMBER(MATCH(TRIM('LY Sales '!$B$5:$B$200),_xlfn._xlws.FILTER('Sales Dashboard'!$AW$5:$AW$301,$AA$5:$AA$301=1),0)),_xlpm.dd,'LY Sales '!$C$2:$AG$2,SUMPRODUCT(_xlpm.m*(_xlpm.dd&gt;=EDATE($B118,-12))*(_xlpm.dd&lt;=EDATE($C118,-12)),'LY Sales '!$C$5:$AG$200))</f>
        <v>2716675.8899999973</v>
      </c>
      <c r="G118" s="55">
        <f>IF($D118=0,"",IFERROR(E118/P118-1,""))</f>
        <v>0.2150105546819534</v>
      </c>
      <c r="H118" s="53" cm="1">
        <f t="array" aca="1" ref="H118" ca="1">_xlfn.LET(_xlpm.d,IFERROR(--'Sales and count'!$F$2:$CB$2,0),SUMPRODUCT(($AA$5:$AA$301=1)*(_xlpm.d&gt;=$B118)*(_xlpm.d&lt;=$C118)*('Sales and count'!$G$3:$CC$3="Transactions"),'Sales and count'!$G$4:$CC$300))</f>
        <v>19225</v>
      </c>
      <c r="I118" s="69" cm="1">
        <f t="array" ref="I118">_xlfn.LET(_xlpm.m,ISNUMBER(MATCH(TRIM('LY Transaction'!$B$5:$B$200),_xlfn._xlws.FILTER('Sales Dashboard'!$AW$5:$AW$301,$AA$5:$AA$301=1),0)),_xlpm.dd,'LY Transaction'!$C$2:$AG$2,SUMPRODUCT(_xlpm.m*(_xlpm.dd&gt;=EDATE($B118,-12))*(_xlpm.dd&lt;=EDATE($C118,-12)),'LY Transaction'!$C$5:$AG$200))</f>
        <v>17042</v>
      </c>
      <c r="J118" s="55">
        <f ca="1">IF($D118=0,"",IFERROR(H118/Q118-1,""))</f>
        <v>0.12809529397957986</v>
      </c>
      <c r="K118" s="54">
        <f t="shared" ca="1" si="30"/>
        <v>171.69258153445963</v>
      </c>
      <c r="L118" s="136">
        <f t="shared" si="30"/>
        <v>159.41062610022283</v>
      </c>
      <c r="M118" s="55">
        <f ca="1">IF($D118=0,"",IFERROR(K118/(P118/Q118)-1,""))</f>
        <v>7.7046027198431677E-2</v>
      </c>
      <c r="N118" s="53" cm="1">
        <f t="array" ref="N118">_xlfn.LET(_xlpm.m,ISNUMBER(MATCH(TRIM('TY Sales Target'!$B$5:$B$300),_xlfn._xlws.FILTER('Sales Dashboard'!$AW$5:$AW$301,$AA$5:$AA$301=1),0)),_xlpm.dd,'TY Sales Target'!$K$2:$AO$2,SUMPRODUCT(_xlpm.m*(_xlpm.dd&gt;=$B118)*(_xlpm.dd&lt;=$C118),'TY Sales Target'!$K$5:$AO$300))</f>
        <v>4848118.5982609242</v>
      </c>
      <c r="O118" s="55">
        <f>IF($D118=0,"",IFERROR(E118/R118,""))</f>
        <v>0.68083934274710556</v>
      </c>
      <c r="P118" s="137" cm="1">
        <f t="array" ref="P118">IF($D118=0,0,_xlfn.LET(_xlpm.m,ISNUMBER(MATCH(TRIM('LY Sales '!$B$5:$B$200),_xlfn._xlws.FILTER('Sales Dashboard'!$AW$5:$AW$301,$AA$5:$AA$301=1),0)),_xlpm.dd,'LY Sales '!$C$2:$AG$2,SUMPRODUCT(_xlpm.m*(_xlpm.dd&gt;=EDATE($B118,-12))*(_xlpm.dd&lt;=EDATE(MIN($C118,'Sales Dashboard'!$AZ$6),-12)),'LY Sales '!$C$5:$AG$200)))</f>
        <v>2716675.8899999973</v>
      </c>
      <c r="Q118" s="137" cm="1">
        <f t="array" ref="Q118">IF($D118=0,0,_xlfn.LET(_xlpm.m,ISNUMBER(MATCH(TRIM('LY Transaction'!$B$5:$B$200),_xlfn._xlws.FILTER('Sales Dashboard'!$AW$5:$AW$301,$AA$5:$AA$301=1),0)),_xlpm.dd,'LY Transaction'!$C$2:$AG$2,SUMPRODUCT(_xlpm.m*(_xlpm.dd&gt;=EDATE($B118,-12))*(_xlpm.dd&lt;=EDATE(MIN($C118,'Sales Dashboard'!$AZ$6),-12)),'LY Transaction'!$C$5:$AG$200)))</f>
        <v>17042</v>
      </c>
      <c r="R118" s="137" cm="1">
        <f t="array" ref="R118">IF($D118=0,0,_xlfn.LET(_xlpm.m,ISNUMBER(MATCH(TRIM('TY Sales Target'!$B$5:$B$300),_xlfn._xlws.FILTER('Sales Dashboard'!$AW$5:$AW$301,$AA$5:$AA$301=1),0)),_xlpm.dd,'TY Sales Target'!$K$2:$AO$2,SUMPRODUCT(_xlpm.m*(_xlpm.dd&gt;=$B118)*(_xlpm.dd&lt;=MIN($C118,'Sales Dashboard'!$AZ$6)),'TY Sales Target'!$K$5:$AO$300)))</f>
        <v>4848118.5982609242</v>
      </c>
      <c r="AA118" s="142">
        <f>--AND('Sales Dashboard'!AN118&lt;&gt;"",OR($B$3="All",'Sales Dashboard'!CF118=$B$3),IF(OR($B$4="All",$B$4="Multiple (ticked)"),IF(COUNTIF($B$6:$M$6,"✔")&gt;0,COUNTIFS($B$5:$M$5,'Sales Dashboard'!AN118,$B$6:$M$6,"✔")&gt;0,$B$4="All"),'Sales Dashboard'!AN118=$B$4))</f>
        <v>0</v>
      </c>
    </row>
    <row r="119" spans="1:27" ht="15" customHeight="1" x14ac:dyDescent="0.25">
      <c r="A119" s="51" t="s">
        <v>220</v>
      </c>
      <c r="B119" s="52">
        <v>46320</v>
      </c>
      <c r="C119" s="52">
        <v>46326</v>
      </c>
      <c r="D119" s="53">
        <f>MAX(0,MIN($C119,'Sales Dashboard'!$AZ$6)-$B119+1)</f>
        <v>2</v>
      </c>
      <c r="E119" s="53" cm="1">
        <f t="array" ref="E119">_xlfn.LET(_xlpm.d,IFERROR(--'Sales and count'!$G$2:$CC$2,0),SUMPRODUCT(($AA$5:$AA$301=1)*(_xlpm.d&gt;=$B119)*(_xlpm.d&lt;=$C119)*('Sales and count'!$G$3:$CC$3="Total"),'Sales and count'!$G$4:$CC$300))</f>
        <v>924279.00999999978</v>
      </c>
      <c r="F119" s="69" cm="1">
        <f t="array" ref="F119">_xlfn.LET(_xlpm.m,ISNUMBER(MATCH(TRIM('LY Sales '!$B$5:$B$200),_xlfn._xlws.FILTER('Sales Dashboard'!$AW$5:$AW$301,$AA$5:$AA$301=1),0)),_xlpm.dd,'LY Sales '!$C$2:$AG$2,SUMPRODUCT(_xlpm.m*(_xlpm.dd&gt;=EDATE($B119,-12))*(_xlpm.dd&lt;=EDATE($C119,-12)),'LY Sales '!$C$5:$AG$200))</f>
        <v>4660399.7699999884</v>
      </c>
      <c r="G119" s="55">
        <f>IF($D119=0,"",IFERROR(E119/P119-1,""))</f>
        <v>3.3157635166394028E-2</v>
      </c>
      <c r="H119" s="53" cm="1">
        <f t="array" aca="1" ref="H119" ca="1">_xlfn.LET(_xlpm.d,IFERROR(--'Sales and count'!$F$2:$CB$2,0),SUMPRODUCT(($AA$5:$AA$301=1)*(_xlpm.d&gt;=$B119)*(_xlpm.d&lt;=$C119)*('Sales and count'!$G$3:$CC$3="Transactions"),'Sales and count'!$G$4:$CC$300))</f>
        <v>5002</v>
      </c>
      <c r="I119" s="69" cm="1">
        <f t="array" ref="I119">_xlfn.LET(_xlpm.m,ISNUMBER(MATCH(TRIM('LY Transaction'!$B$5:$B$200),_xlfn._xlws.FILTER('Sales Dashboard'!$AW$5:$AW$301,$AA$5:$AA$301=1),0)),_xlpm.dd,'LY Transaction'!$C$2:$AG$2,SUMPRODUCT(_xlpm.m*(_xlpm.dd&gt;=EDATE($B119,-12))*(_xlpm.dd&lt;=EDATE($C119,-12)),'LY Transaction'!$C$5:$AG$200))</f>
        <v>31164</v>
      </c>
      <c r="J119" s="55">
        <f ca="1">IF($D119=0,"",IFERROR(H119/Q119-1,""))</f>
        <v>-0.10422636103151861</v>
      </c>
      <c r="K119" s="54">
        <f t="shared" ca="1" si="30"/>
        <v>184.78188924430222</v>
      </c>
      <c r="L119" s="136">
        <f t="shared" si="30"/>
        <v>149.54433865999192</v>
      </c>
      <c r="M119" s="55">
        <f ca="1">IF($D119=0,"",IFERROR(K119/(P119/Q119)-1,""))</f>
        <v>0.15336909931410325</v>
      </c>
      <c r="N119" s="53" cm="1">
        <f t="array" ref="N119">_xlfn.LET(_xlpm.m,ISNUMBER(MATCH(TRIM('TY Sales Target'!$B$5:$B$300),_xlfn._xlws.FILTER('Sales Dashboard'!$AW$5:$AW$301,$AA$5:$AA$301=1),0)),_xlpm.dd,'TY Sales Target'!$K$2:$AO$2,SUMPRODUCT(_xlpm.m*(_xlpm.dd&gt;=$B119)*(_xlpm.dd&lt;=$C119),'TY Sales Target'!$K$5:$AO$300))</f>
        <v>8649845.29050624</v>
      </c>
      <c r="O119" s="55">
        <f>IF($D119=0,"",IFERROR(E119/R119,""))</f>
        <v>0.53725525102489813</v>
      </c>
      <c r="P119" s="137" cm="1">
        <f t="array" ref="P119">IF($D119=0,0,_xlfn.LET(_xlpm.m,ISNUMBER(MATCH(TRIM('LY Sales '!$B$5:$B$200),_xlfn._xlws.FILTER('Sales Dashboard'!$AW$5:$AW$301,$AA$5:$AA$301=1),0)),_xlpm.dd,'LY Sales '!$C$2:$AG$2,SUMPRODUCT(_xlpm.m*(_xlpm.dd&gt;=EDATE($B119,-12))*(_xlpm.dd&lt;=EDATE(MIN($C119,'Sales Dashboard'!$AZ$6),-12)),'LY Sales '!$C$5:$AG$200)))</f>
        <v>894615.67000000051</v>
      </c>
      <c r="Q119" s="137" cm="1">
        <f t="array" ref="Q119">IF($D119=0,0,_xlfn.LET(_xlpm.m,ISNUMBER(MATCH(TRIM('LY Transaction'!$B$5:$B$200),_xlfn._xlws.FILTER('Sales Dashboard'!$AW$5:$AW$301,$AA$5:$AA$301=1),0)),_xlpm.dd,'LY Transaction'!$C$2:$AG$2,SUMPRODUCT(_xlpm.m*(_xlpm.dd&gt;=EDATE($B119,-12))*(_xlpm.dd&lt;=EDATE(MIN($C119,'Sales Dashboard'!$AZ$6),-12)),'LY Transaction'!$C$5:$AG$200)))</f>
        <v>5584</v>
      </c>
      <c r="R119" s="137" cm="1">
        <f t="array" ref="R119">IF($D119=0,0,_xlfn.LET(_xlpm.m,ISNUMBER(MATCH(TRIM('TY Sales Target'!$B$5:$B$300),_xlfn._xlws.FILTER('Sales Dashboard'!$AW$5:$AW$301,$AA$5:$AA$301=1),0)),_xlpm.dd,'TY Sales Target'!$K$2:$AO$2,SUMPRODUCT(_xlpm.m*(_xlpm.dd&gt;=$B119)*(_xlpm.dd&lt;=MIN($C119,'Sales Dashboard'!$AZ$6)),'TY Sales Target'!$K$5:$AO$300)))</f>
        <v>1720372.2220244352</v>
      </c>
      <c r="AA119" s="142">
        <f>--AND('Sales Dashboard'!AN119&lt;&gt;"",OR($B$3="All",'Sales Dashboard'!CF119=$B$3),IF(OR($B$4="All",$B$4="Multiple (ticked)"),IF(COUNTIF($B$6:$M$6,"✔")&gt;0,COUNTIFS($B$5:$M$5,'Sales Dashboard'!AN119,$B$6:$M$6,"✔")&gt;0,$B$4="All"),'Sales Dashboard'!AN119=$B$4))</f>
        <v>0</v>
      </c>
    </row>
    <row r="120" spans="1:27" ht="15" customHeight="1" x14ac:dyDescent="0.25">
      <c r="A120" s="56" t="s">
        <v>0</v>
      </c>
      <c r="B120" s="57">
        <f>B115</f>
        <v>46296</v>
      </c>
      <c r="C120" s="57">
        <f>C119</f>
        <v>46326</v>
      </c>
      <c r="D120" s="58">
        <f>SUM(D115:D119)</f>
        <v>26</v>
      </c>
      <c r="E120" s="58">
        <f>SUM(E115:E119)</f>
        <v>15352968.479999952</v>
      </c>
      <c r="F120" s="138">
        <f>SUM(F115:F119)</f>
        <v>17486900.08999997</v>
      </c>
      <c r="G120" s="60">
        <f>IFERROR(E120/P120-1,"")</f>
        <v>0.11893001204780074</v>
      </c>
      <c r="H120" s="58">
        <f ca="1">SUM(H115:H119)</f>
        <v>94328</v>
      </c>
      <c r="I120" s="138">
        <f>SUM(I115:I119)</f>
        <v>116888</v>
      </c>
      <c r="J120" s="60">
        <f ca="1">IFERROR(H120/Q120-1,"")</f>
        <v>3.3074867481491133E-2</v>
      </c>
      <c r="K120" s="59">
        <f t="shared" ca="1" si="30"/>
        <v>162.76151810703027</v>
      </c>
      <c r="L120" s="139">
        <f t="shared" si="30"/>
        <v>149.60389509616016</v>
      </c>
      <c r="M120" s="60">
        <f ca="1">IFERROR(K120/(P120/Q120)-1,"")</f>
        <v>8.3106411034481686E-2</v>
      </c>
      <c r="N120" s="58">
        <f>SUM(N115:N119)</f>
        <v>29635291.540442109</v>
      </c>
      <c r="O120" s="60">
        <f>IFERROR(E120/R120,"")</f>
        <v>0.67616890793694673</v>
      </c>
      <c r="P120" s="140">
        <f>SUM(P115:P119)</f>
        <v>13721115.989999982</v>
      </c>
      <c r="Q120" s="140">
        <f>SUM(Q115:Q119)</f>
        <v>91308</v>
      </c>
      <c r="R120" s="140">
        <f>SUM(R115:R119)</f>
        <v>22705818.471960306</v>
      </c>
      <c r="AA120" s="142">
        <f>--AND('Sales Dashboard'!AN120&lt;&gt;"",OR($B$3="All",'Sales Dashboard'!CF120=$B$3),IF(OR($B$4="All",$B$4="Multiple (ticked)"),IF(COUNTIF($B$6:$M$6,"✔")&gt;0,COUNTIFS($B$5:$M$5,'Sales Dashboard'!AN120,$B$6:$M$6,"✔")&gt;0,$B$4="All"),'Sales Dashboard'!AN120=$B$4))</f>
        <v>0</v>
      </c>
    </row>
    <row r="121" spans="1:27" ht="15" customHeight="1" x14ac:dyDescent="0.25">
      <c r="AA121" s="142">
        <f>--AND('Sales Dashboard'!AN121&lt;&gt;"",OR($B$3="All",'Sales Dashboard'!CF121=$B$3),IF(OR($B$4="All",$B$4="Multiple (ticked)"),IF(COUNTIF($B$6:$M$6,"✔")&gt;0,COUNTIFS($B$5:$M$5,'Sales Dashboard'!AN121,$B$6:$M$6,"✔")&gt;0,$B$4="All"),'Sales Dashboard'!AN121=$B$4))</f>
        <v>0</v>
      </c>
    </row>
    <row r="122" spans="1:27" ht="15" customHeight="1" x14ac:dyDescent="0.25">
      <c r="AA122" s="142">
        <f>--AND('Sales Dashboard'!AN122&lt;&gt;"",OR($B$3="All",'Sales Dashboard'!CF122=$B$3),IF(OR($B$4="All",$B$4="Multiple (ticked)"),IF(COUNTIF($B$6:$M$6,"✔")&gt;0,COUNTIFS($B$5:$M$5,'Sales Dashboard'!AN122,$B$6:$M$6,"✔")&gt;0,$B$4="All"),'Sales Dashboard'!AN122=$B$4))</f>
        <v>0</v>
      </c>
    </row>
    <row r="123" spans="1:27" ht="15.75" customHeight="1" x14ac:dyDescent="0.3">
      <c r="A123" s="49" t="s">
        <v>221</v>
      </c>
      <c r="AA123" s="142">
        <f>--AND('Sales Dashboard'!AN123&lt;&gt;"",OR($B$3="All",'Sales Dashboard'!CF123=$B$3),IF(OR($B$4="All",$B$4="Multiple (ticked)"),IF(COUNTIF($B$6:$M$6,"✔")&gt;0,COUNTIFS($B$5:$M$5,'Sales Dashboard'!AN123,$B$6:$M$6,"✔")&gt;0,$B$4="All"),'Sales Dashboard'!AN123=$B$4))</f>
        <v>0</v>
      </c>
    </row>
    <row r="124" spans="1:27" ht="15" customHeight="1" x14ac:dyDescent="0.25">
      <c r="A124" s="50" t="s">
        <v>134</v>
      </c>
      <c r="B124" s="50" t="str" cm="1">
        <f t="array" ref="B124">INDEX($A$115:$A$119,COLUMN()-1)</f>
        <v>WK1</v>
      </c>
      <c r="C124" s="50" t="str" cm="1">
        <f t="array" ref="C124">INDEX($A$115:$A$119,COLUMN()-1)</f>
        <v>WK2</v>
      </c>
      <c r="D124" s="50" t="str" cm="1">
        <f t="array" ref="D124">INDEX($A$115:$A$119,COLUMN()-1)</f>
        <v>WK3</v>
      </c>
      <c r="E124" s="50" t="str" cm="1">
        <f t="array" ref="E124">INDEX($A$115:$A$119,COLUMN()-1)</f>
        <v>WK4</v>
      </c>
      <c r="F124" s="50" t="str" cm="1">
        <f t="array" ref="F124">INDEX($A$115:$A$119,COLUMN()-1)</f>
        <v>WK5</v>
      </c>
      <c r="G124" s="50" t="s">
        <v>0</v>
      </c>
      <c r="H124" s="50" t="s">
        <v>222</v>
      </c>
      <c r="AA124" s="142">
        <f>--AND('Sales Dashboard'!AN124&lt;&gt;"",OR($B$3="All",'Sales Dashboard'!CF124=$B$3),IF(OR($B$4="All",$B$4="Multiple (ticked)"),IF(COUNTIF($B$6:$M$6,"✔")&gt;0,COUNTIFS($B$5:$M$5,'Sales Dashboard'!AN124,$B$6:$M$6,"✔")&gt;0,$B$4="All"),'Sales Dashboard'!AN124=$B$4))</f>
        <v>0</v>
      </c>
    </row>
    <row r="125" spans="1:27" ht="15" customHeight="1" x14ac:dyDescent="0.25">
      <c r="A125" s="56" t="s">
        <v>0</v>
      </c>
      <c r="B125" s="58">
        <f t="shared" ref="B125:G125" si="31">SUM(B126:B137)</f>
        <v>2966157.25</v>
      </c>
      <c r="C125" s="58">
        <f t="shared" si="31"/>
        <v>4534581.1900000013</v>
      </c>
      <c r="D125" s="58">
        <f t="shared" si="31"/>
        <v>3627161.1500000013</v>
      </c>
      <c r="E125" s="58">
        <f t="shared" si="31"/>
        <v>3300789.8800000013</v>
      </c>
      <c r="F125" s="58">
        <f t="shared" si="31"/>
        <v>924279.01</v>
      </c>
      <c r="G125" s="58">
        <f t="shared" si="31"/>
        <v>15352968.480000002</v>
      </c>
      <c r="H125" s="60" cm="1">
        <f t="array" ref="H125">_xlfn.LET(_xlpm.k,SUMPRODUCT(--($D$115:$D$119&gt;0)),IF(_xlpm.k&lt;2,"",IFERROR((INDEX(B125:F125,_xlpm.k)/INDEX($D$115:$D$119,_xlpm.k))/(INDEX(B125:F125,_xlpm.k-1)/INDEX($D$115:$D$119,_xlpm.k-1))-1,"")))</f>
        <v>-1.9938665408172351E-2</v>
      </c>
      <c r="AA125" s="142">
        <f>--AND('Sales Dashboard'!AN125&lt;&gt;"",OR($B$3="All",'Sales Dashboard'!CF125=$B$3),IF(OR($B$4="All",$B$4="Multiple (ticked)"),IF(COUNTIF($B$6:$M$6,"✔")&gt;0,COUNTIFS($B$5:$M$5,'Sales Dashboard'!AN125,$B$6:$M$6,"✔")&gt;0,$B$4="All"),'Sales Dashboard'!AN125=$B$4))</f>
        <v>0</v>
      </c>
    </row>
    <row r="126" spans="1:27" ht="15" customHeight="1" x14ac:dyDescent="0.25">
      <c r="A126" s="45" t="str" cm="1">
        <f t="array" ref="A126:A133">_xlfn._xlws.SORT(_xlfn.UNIQUE(_xlfn._xlws.FILTER('Sales Dashboard'!$AN$5:$AN$301,($AA$5:$AA$301=1)*($AA$5:$AA$301=1))))</f>
        <v>Ahlam Al Zahrani</v>
      </c>
      <c r="B126" s="53" cm="1">
        <f t="array" ref="B126">IF($A126="","",_xlfn.LET(_xlpm.d,IFERROR(--'Sales and count'!$G$2:$CZ$2,0),_xlpm.f,INDEX($B$115:$B$119,MATCH(B$124,$A$115:$A$119,0)),_xlpm.t,INDEX($C$115:$C$119,MATCH(B$124,$A$115:$A$119,0)),SUMPRODUCT(('Sales Dashboard'!$AN$5:$AN$301=$A126)*($AA$5:$AA$301=1)*(_xlpm.d&gt;=_xlpm.f)*(_xlpm.d&lt;=_xlpm.t)*('Sales and count'!$G$3:$CZ$3="Total"),'Sales and count'!$G$4:$CZ$300)))</f>
        <v>307984.23</v>
      </c>
      <c r="C126" s="53" cm="1">
        <f t="array" ref="C126">IF($A126="","",_xlfn.LET(_xlpm.d,IFERROR(--'Sales and count'!$G$2:$CZ$2,0),_xlpm.f,INDEX($B$115:$B$119,MATCH(C$124,$A$115:$A$119,0)),_xlpm.t,INDEX($C$115:$C$119,MATCH(C$124,$A$115:$A$119,0)),SUMPRODUCT(('Sales Dashboard'!$AN$5:$AN$301=$A126)*($AA$5:$AA$301=1)*(_xlpm.d&gt;=_xlpm.f)*(_xlpm.d&lt;=_xlpm.t)*('Sales and count'!$G$3:$CZ$3="Total"),'Sales and count'!$G$4:$CZ$300)))</f>
        <v>484725.14000000007</v>
      </c>
      <c r="D126" s="53" cm="1">
        <f t="array" ref="D126">IF($A126="","",_xlfn.LET(_xlpm.d,IFERROR(--'Sales and count'!$G$2:$CZ$2,0),_xlpm.f,INDEX($B$115:$B$119,MATCH(D$124,$A$115:$A$119,0)),_xlpm.t,INDEX($C$115:$C$119,MATCH(D$124,$A$115:$A$119,0)),SUMPRODUCT(('Sales Dashboard'!$AN$5:$AN$301=$A126)*($AA$5:$AA$301=1)*(_xlpm.d&gt;=_xlpm.f)*(_xlpm.d&lt;=_xlpm.t)*('Sales and count'!$G$3:$CZ$3="Total"),'Sales and count'!$G$4:$CZ$300)))</f>
        <v>376189.46000000014</v>
      </c>
      <c r="E126" s="53" cm="1">
        <f t="array" ref="E126">IF($A126="","",_xlfn.LET(_xlpm.d,IFERROR(--'Sales and count'!$G$2:$CZ$2,0),_xlpm.f,INDEX($B$115:$B$119,MATCH(E$124,$A$115:$A$119,0)),_xlpm.t,INDEX($C$115:$C$119,MATCH(E$124,$A$115:$A$119,0)),SUMPRODUCT(('Sales Dashboard'!$AN$5:$AN$301=$A126)*($AA$5:$AA$301=1)*(_xlpm.d&gt;=_xlpm.f)*(_xlpm.d&lt;=_xlpm.t)*('Sales and count'!$G$3:$CZ$3="Total"),'Sales and count'!$G$4:$CZ$300)))</f>
        <v>359404.51000000007</v>
      </c>
      <c r="F126" s="53" cm="1">
        <f t="array" ref="F126">IF($A126="","",_xlfn.LET(_xlpm.d,IFERROR(--'Sales and count'!$G$2:$CZ$2,0),_xlpm.f,INDEX($B$115:$B$119,MATCH(F$124,$A$115:$A$119,0)),_xlpm.t,INDEX($C$115:$C$119,MATCH(F$124,$A$115:$A$119,0)),SUMPRODUCT(('Sales Dashboard'!$AN$5:$AN$301=$A126)*($AA$5:$AA$301=1)*(_xlpm.d&gt;=_xlpm.f)*(_xlpm.d&lt;=_xlpm.t)*('Sales and count'!$G$3:$CZ$3="Total"),'Sales and count'!$G$4:$CZ$300)))</f>
        <v>93674.19</v>
      </c>
      <c r="G126" s="53">
        <f t="shared" ref="G126:G137" si="32">IF($A126="","",SUM(B126:F126))</f>
        <v>1621977.5300000003</v>
      </c>
      <c r="H126" s="55" cm="1">
        <f t="array" ref="H126">IF($A126="","",_xlfn.LET(_xlpm.k,SUMPRODUCT(--($D$115:$D$119&gt;0)),IF(_xlpm.k&lt;2,"",IFERROR((INDEX(B126:F126,_xlpm.k)/INDEX($D$115:$D$119,_xlpm.k))/(INDEX(B126:F126,_xlpm.k-1)/INDEX($D$115:$D$119,_xlpm.k-1))-1,""))))</f>
        <v>-8.7769752805828771E-2</v>
      </c>
      <c r="AA126" s="142">
        <f>--AND('Sales Dashboard'!AN126&lt;&gt;"",OR($B$3="All",'Sales Dashboard'!CF126=$B$3),IF(OR($B$4="All",$B$4="Multiple (ticked)"),IF(COUNTIF($B$6:$M$6,"✔")&gt;0,COUNTIFS($B$5:$M$5,'Sales Dashboard'!AN126,$B$6:$M$6,"✔")&gt;0,$B$4="All"),'Sales Dashboard'!AN126=$B$4))</f>
        <v>0</v>
      </c>
    </row>
    <row r="127" spans="1:27" ht="15" customHeight="1" x14ac:dyDescent="0.25">
      <c r="A127" s="45" t="str">
        <v>Ahmed Jaffari</v>
      </c>
      <c r="B127" s="53" cm="1">
        <f t="array" ref="B127">IF($A127="","",_xlfn.LET(_xlpm.d,IFERROR(--'Sales and count'!$G$2:$CZ$2,0),_xlpm.f,INDEX($B$115:$B$119,MATCH(B$124,$A$115:$A$119,0)),_xlpm.t,INDEX($C$115:$C$119,MATCH(B$124,$A$115:$A$119,0)),SUMPRODUCT(('Sales Dashboard'!$AN$5:$AN$301=$A127)*($AA$5:$AA$301=1)*(_xlpm.d&gt;=_xlpm.f)*(_xlpm.d&lt;=_xlpm.t)*('Sales and count'!$G$3:$CZ$3="Total"),'Sales and count'!$G$4:$CZ$300)))</f>
        <v>313093.03999999986</v>
      </c>
      <c r="C127" s="53" cm="1">
        <f t="array" ref="C127">IF($A127="","",_xlfn.LET(_xlpm.d,IFERROR(--'Sales and count'!$G$2:$CZ$2,0),_xlpm.f,INDEX($B$115:$B$119,MATCH(C$124,$A$115:$A$119,0)),_xlpm.t,INDEX($C$115:$C$119,MATCH(C$124,$A$115:$A$119,0)),SUMPRODUCT(('Sales Dashboard'!$AN$5:$AN$301=$A127)*($AA$5:$AA$301=1)*(_xlpm.d&gt;=_xlpm.f)*(_xlpm.d&lt;=_xlpm.t)*('Sales and count'!$G$3:$CZ$3="Total"),'Sales and count'!$G$4:$CZ$300)))</f>
        <v>418378.89999999979</v>
      </c>
      <c r="D127" s="53" cm="1">
        <f t="array" ref="D127">IF($A127="","",_xlfn.LET(_xlpm.d,IFERROR(--'Sales and count'!$G$2:$CZ$2,0),_xlpm.f,INDEX($B$115:$B$119,MATCH(D$124,$A$115:$A$119,0)),_xlpm.t,INDEX($C$115:$C$119,MATCH(D$124,$A$115:$A$119,0)),SUMPRODUCT(('Sales Dashboard'!$AN$5:$AN$301=$A127)*($AA$5:$AA$301=1)*(_xlpm.d&gt;=_xlpm.f)*(_xlpm.d&lt;=_xlpm.t)*('Sales and count'!$G$3:$CZ$3="Total"),'Sales and count'!$G$4:$CZ$300)))</f>
        <v>323289.75000000017</v>
      </c>
      <c r="E127" s="53" cm="1">
        <f t="array" ref="E127">IF($A127="","",_xlfn.LET(_xlpm.d,IFERROR(--'Sales and count'!$G$2:$CZ$2,0),_xlpm.f,INDEX($B$115:$B$119,MATCH(E$124,$A$115:$A$119,0)),_xlpm.t,INDEX($C$115:$C$119,MATCH(E$124,$A$115:$A$119,0)),SUMPRODUCT(('Sales Dashboard'!$AN$5:$AN$301=$A127)*($AA$5:$AA$301=1)*(_xlpm.d&gt;=_xlpm.f)*(_xlpm.d&lt;=_xlpm.t)*('Sales and count'!$G$3:$CZ$3="Total"),'Sales and count'!$G$4:$CZ$300)))</f>
        <v>268620.80000000005</v>
      </c>
      <c r="F127" s="53" cm="1">
        <f t="array" ref="F127">IF($A127="","",_xlfn.LET(_xlpm.d,IFERROR(--'Sales and count'!$G$2:$CZ$2,0),_xlpm.f,INDEX($B$115:$B$119,MATCH(F$124,$A$115:$A$119,0)),_xlpm.t,INDEX($C$115:$C$119,MATCH(F$124,$A$115:$A$119,0)),SUMPRODUCT(('Sales Dashboard'!$AN$5:$AN$301=$A127)*($AA$5:$AA$301=1)*(_xlpm.d&gt;=_xlpm.f)*(_xlpm.d&lt;=_xlpm.t)*('Sales and count'!$G$3:$CZ$3="Total"),'Sales and count'!$G$4:$CZ$300)))</f>
        <v>77947.650000000009</v>
      </c>
      <c r="G127" s="53">
        <f t="shared" si="32"/>
        <v>1401330.14</v>
      </c>
      <c r="H127" s="55" cm="1">
        <f t="array" ref="H127">IF($A127="","",_xlfn.LET(_xlpm.k,SUMPRODUCT(--($D$115:$D$119&gt;0)),IF(_xlpm.k&lt;2,"",IFERROR((INDEX(B127:F127,_xlpm.k)/INDEX($D$115:$D$119,_xlpm.k))/(INDEX(B127:F127,_xlpm.k-1)/INDEX($D$115:$D$119,_xlpm.k-1))-1,""))))</f>
        <v>1.5620439668111885E-2</v>
      </c>
      <c r="AA127" s="142">
        <f>--AND('Sales Dashboard'!AN127&lt;&gt;"",OR($B$3="All",'Sales Dashboard'!CF127=$B$3),IF(OR($B$4="All",$B$4="Multiple (ticked)"),IF(COUNTIF($B$6:$M$6,"✔")&gt;0,COUNTIFS($B$5:$M$5,'Sales Dashboard'!AN127,$B$6:$M$6,"✔")&gt;0,$B$4="All"),'Sales Dashboard'!AN127=$B$4))</f>
        <v>0</v>
      </c>
    </row>
    <row r="128" spans="1:27" ht="15" customHeight="1" x14ac:dyDescent="0.25">
      <c r="A128" s="45" t="str">
        <v>Hamzah Al Makhadam</v>
      </c>
      <c r="B128" s="53" cm="1">
        <f t="array" ref="B128">IF($A128="","",_xlfn.LET(_xlpm.d,IFERROR(--'Sales and count'!$G$2:$CZ$2,0),_xlpm.f,INDEX($B$115:$B$119,MATCH(B$124,$A$115:$A$119,0)),_xlpm.t,INDEX($C$115:$C$119,MATCH(B$124,$A$115:$A$119,0)),SUMPRODUCT(('Sales Dashboard'!$AN$5:$AN$301=$A128)*($AA$5:$AA$301=1)*(_xlpm.d&gt;=_xlpm.f)*(_xlpm.d&lt;=_xlpm.t)*('Sales and count'!$G$3:$CZ$3="Total"),'Sales and count'!$G$4:$CZ$300)))</f>
        <v>611350.54</v>
      </c>
      <c r="C128" s="53" cm="1">
        <f t="array" ref="C128">IF($A128="","",_xlfn.LET(_xlpm.d,IFERROR(--'Sales and count'!$G$2:$CZ$2,0),_xlpm.f,INDEX($B$115:$B$119,MATCH(C$124,$A$115:$A$119,0)),_xlpm.t,INDEX($C$115:$C$119,MATCH(C$124,$A$115:$A$119,0)),SUMPRODUCT(('Sales Dashboard'!$AN$5:$AN$301=$A128)*($AA$5:$AA$301=1)*(_xlpm.d&gt;=_xlpm.f)*(_xlpm.d&lt;=_xlpm.t)*('Sales and count'!$G$3:$CZ$3="Total"),'Sales and count'!$G$4:$CZ$300)))</f>
        <v>837375.98</v>
      </c>
      <c r="D128" s="53" cm="1">
        <f t="array" ref="D128">IF($A128="","",_xlfn.LET(_xlpm.d,IFERROR(--'Sales and count'!$G$2:$CZ$2,0),_xlpm.f,INDEX($B$115:$B$119,MATCH(D$124,$A$115:$A$119,0)),_xlpm.t,INDEX($C$115:$C$119,MATCH(D$124,$A$115:$A$119,0)),SUMPRODUCT(('Sales Dashboard'!$AN$5:$AN$301=$A128)*($AA$5:$AA$301=1)*(_xlpm.d&gt;=_xlpm.f)*(_xlpm.d&lt;=_xlpm.t)*('Sales and count'!$G$3:$CZ$3="Total"),'Sales and count'!$G$4:$CZ$300)))</f>
        <v>670274.95000000007</v>
      </c>
      <c r="E128" s="53" cm="1">
        <f t="array" ref="E128">IF($A128="","",_xlfn.LET(_xlpm.d,IFERROR(--'Sales and count'!$G$2:$CZ$2,0),_xlpm.f,INDEX($B$115:$B$119,MATCH(E$124,$A$115:$A$119,0)),_xlpm.t,INDEX($C$115:$C$119,MATCH(E$124,$A$115:$A$119,0)),SUMPRODUCT(('Sales Dashboard'!$AN$5:$AN$301=$A128)*($AA$5:$AA$301=1)*(_xlpm.d&gt;=_xlpm.f)*(_xlpm.d&lt;=_xlpm.t)*('Sales and count'!$G$3:$CZ$3="Total"),'Sales and count'!$G$4:$CZ$300)))</f>
        <v>616881.38000000024</v>
      </c>
      <c r="F128" s="53" cm="1">
        <f t="array" ref="F128">IF($A128="","",_xlfn.LET(_xlpm.d,IFERROR(--'Sales and count'!$G$2:$CZ$2,0),_xlpm.f,INDEX($B$115:$B$119,MATCH(F$124,$A$115:$A$119,0)),_xlpm.t,INDEX($C$115:$C$119,MATCH(F$124,$A$115:$A$119,0)),SUMPRODUCT(('Sales Dashboard'!$AN$5:$AN$301=$A128)*($AA$5:$AA$301=1)*(_xlpm.d&gt;=_xlpm.f)*(_xlpm.d&lt;=_xlpm.t)*('Sales and count'!$G$3:$CZ$3="Total"),'Sales and count'!$G$4:$CZ$300)))</f>
        <v>173532.39999999997</v>
      </c>
      <c r="G128" s="53">
        <f t="shared" si="32"/>
        <v>2909415.2500000005</v>
      </c>
      <c r="H128" s="55" cm="1">
        <f t="array" ref="H128">IF($A128="","",_xlfn.LET(_xlpm.k,SUMPRODUCT(--($D$115:$D$119&gt;0)),IF(_xlpm.k&lt;2,"",IFERROR((INDEX(B128:F128,_xlpm.k)/INDEX($D$115:$D$119,_xlpm.k))/(INDEX(B128:F128,_xlpm.k-1)/INDEX($D$115:$D$119,_xlpm.k-1))-1,""))))</f>
        <v>-1.5429189968418799E-2</v>
      </c>
      <c r="AA128" s="142">
        <f>--AND('Sales Dashboard'!AN128&lt;&gt;"",OR($B$3="All",'Sales Dashboard'!CF128=$B$3),IF(OR($B$4="All",$B$4="Multiple (ticked)"),IF(COUNTIF($B$6:$M$6,"✔")&gt;0,COUNTIFS($B$5:$M$5,'Sales Dashboard'!AN128,$B$6:$M$6,"✔")&gt;0,$B$4="All"),'Sales Dashboard'!AN128=$B$4))</f>
        <v>0</v>
      </c>
    </row>
    <row r="129" spans="1:27" ht="15" customHeight="1" x14ac:dyDescent="0.25">
      <c r="A129" s="45" t="str">
        <v>Lina Al Ghathami</v>
      </c>
      <c r="B129" s="53" cm="1">
        <f t="array" ref="B129">IF($A129="","",_xlfn.LET(_xlpm.d,IFERROR(--'Sales and count'!$G$2:$CZ$2,0),_xlpm.f,INDEX($B$115:$B$119,MATCH(B$124,$A$115:$A$119,0)),_xlpm.t,INDEX($C$115:$C$119,MATCH(B$124,$A$115:$A$119,0)),SUMPRODUCT(('Sales Dashboard'!$AN$5:$AN$301=$A129)*($AA$5:$AA$301=1)*(_xlpm.d&gt;=_xlpm.f)*(_xlpm.d&lt;=_xlpm.t)*('Sales and count'!$G$3:$CZ$3="Total"),'Sales and count'!$G$4:$CZ$300)))</f>
        <v>360378.78000000014</v>
      </c>
      <c r="C129" s="53" cm="1">
        <f t="array" ref="C129">IF($A129="","",_xlfn.LET(_xlpm.d,IFERROR(--'Sales and count'!$G$2:$CZ$2,0),_xlpm.f,INDEX($B$115:$B$119,MATCH(C$124,$A$115:$A$119,0)),_xlpm.t,INDEX($C$115:$C$119,MATCH(C$124,$A$115:$A$119,0)),SUMPRODUCT(('Sales Dashboard'!$AN$5:$AN$301=$A129)*($AA$5:$AA$301=1)*(_xlpm.d&gt;=_xlpm.f)*(_xlpm.d&lt;=_xlpm.t)*('Sales and count'!$G$3:$CZ$3="Total"),'Sales and count'!$G$4:$CZ$300)))</f>
        <v>572725.85000000056</v>
      </c>
      <c r="D129" s="53" cm="1">
        <f t="array" ref="D129">IF($A129="","",_xlfn.LET(_xlpm.d,IFERROR(--'Sales and count'!$G$2:$CZ$2,0),_xlpm.f,INDEX($B$115:$B$119,MATCH(D$124,$A$115:$A$119,0)),_xlpm.t,INDEX($C$115:$C$119,MATCH(D$124,$A$115:$A$119,0)),SUMPRODUCT(('Sales Dashboard'!$AN$5:$AN$301=$A129)*($AA$5:$AA$301=1)*(_xlpm.d&gt;=_xlpm.f)*(_xlpm.d&lt;=_xlpm.t)*('Sales and count'!$G$3:$CZ$3="Total"),'Sales and count'!$G$4:$CZ$300)))</f>
        <v>440299.42000000033</v>
      </c>
      <c r="E129" s="53" cm="1">
        <f t="array" ref="E129">IF($A129="","",_xlfn.LET(_xlpm.d,IFERROR(--'Sales and count'!$G$2:$CZ$2,0),_xlpm.f,INDEX($B$115:$B$119,MATCH(E$124,$A$115:$A$119,0)),_xlpm.t,INDEX($C$115:$C$119,MATCH(E$124,$A$115:$A$119,0)),SUMPRODUCT(('Sales Dashboard'!$AN$5:$AN$301=$A129)*($AA$5:$AA$301=1)*(_xlpm.d&gt;=_xlpm.f)*(_xlpm.d&lt;=_xlpm.t)*('Sales and count'!$G$3:$CZ$3="Total"),'Sales and count'!$G$4:$CZ$300)))</f>
        <v>399442.0400000001</v>
      </c>
      <c r="F129" s="53" cm="1">
        <f t="array" ref="F129">IF($A129="","",_xlfn.LET(_xlpm.d,IFERROR(--'Sales and count'!$G$2:$CZ$2,0),_xlpm.f,INDEX($B$115:$B$119,MATCH(F$124,$A$115:$A$119,0)),_xlpm.t,INDEX($C$115:$C$119,MATCH(F$124,$A$115:$A$119,0)),SUMPRODUCT(('Sales Dashboard'!$AN$5:$AN$301=$A129)*($AA$5:$AA$301=1)*(_xlpm.d&gt;=_xlpm.f)*(_xlpm.d&lt;=_xlpm.t)*('Sales and count'!$G$3:$CZ$3="Total"),'Sales and count'!$G$4:$CZ$300)))</f>
        <v>115180.96000000002</v>
      </c>
      <c r="G129" s="53">
        <f t="shared" si="32"/>
        <v>1888027.050000001</v>
      </c>
      <c r="H129" s="55" cm="1">
        <f t="array" ref="H129">IF($A129="","",_xlfn.LET(_xlpm.k,SUMPRODUCT(--($D$115:$D$119&gt;0)),IF(_xlpm.k&lt;2,"",IFERROR((INDEX(B129:F129,_xlpm.k)/INDEX($D$115:$D$119,_xlpm.k))/(INDEX(B129:F129,_xlpm.k-1)/INDEX($D$115:$D$119,_xlpm.k-1))-1,""))))</f>
        <v>9.2411905366795999E-3</v>
      </c>
      <c r="AA129" s="142">
        <f>--AND('Sales Dashboard'!AN129&lt;&gt;"",OR($B$3="All",'Sales Dashboard'!CF129=$B$3),IF(OR($B$4="All",$B$4="Multiple (ticked)"),IF(COUNTIF($B$6:$M$6,"✔")&gt;0,COUNTIFS($B$5:$M$5,'Sales Dashboard'!AN129,$B$6:$M$6,"✔")&gt;0,$B$4="All"),'Sales Dashboard'!AN129=$B$4))</f>
        <v>0</v>
      </c>
    </row>
    <row r="130" spans="1:27" ht="15" customHeight="1" x14ac:dyDescent="0.25">
      <c r="A130" s="45" t="str">
        <v>Maram Zamzami</v>
      </c>
      <c r="B130" s="53" cm="1">
        <f t="array" ref="B130">IF($A130="","",_xlfn.LET(_xlpm.d,IFERROR(--'Sales and count'!$G$2:$CZ$2,0),_xlpm.f,INDEX($B$115:$B$119,MATCH(B$124,$A$115:$A$119,0)),_xlpm.t,INDEX($C$115:$C$119,MATCH(B$124,$A$115:$A$119,0)),SUMPRODUCT(('Sales Dashboard'!$AN$5:$AN$301=$A130)*($AA$5:$AA$301=1)*(_xlpm.d&gt;=_xlpm.f)*(_xlpm.d&lt;=_xlpm.t)*('Sales and count'!$G$3:$CZ$3="Total"),'Sales and count'!$G$4:$CZ$300)))</f>
        <v>450248.4200000001</v>
      </c>
      <c r="C130" s="53" cm="1">
        <f t="array" ref="C130">IF($A130="","",_xlfn.LET(_xlpm.d,IFERROR(--'Sales and count'!$G$2:$CZ$2,0),_xlpm.f,INDEX($B$115:$B$119,MATCH(C$124,$A$115:$A$119,0)),_xlpm.t,INDEX($C$115:$C$119,MATCH(C$124,$A$115:$A$119,0)),SUMPRODUCT(('Sales Dashboard'!$AN$5:$AN$301=$A130)*($AA$5:$AA$301=1)*(_xlpm.d&gt;=_xlpm.f)*(_xlpm.d&lt;=_xlpm.t)*('Sales and count'!$G$3:$CZ$3="Total"),'Sales and count'!$G$4:$CZ$300)))</f>
        <v>740287.96000000054</v>
      </c>
      <c r="D130" s="53" cm="1">
        <f t="array" ref="D130">IF($A130="","",_xlfn.LET(_xlpm.d,IFERROR(--'Sales and count'!$G$2:$CZ$2,0),_xlpm.f,INDEX($B$115:$B$119,MATCH(D$124,$A$115:$A$119,0)),_xlpm.t,INDEX($C$115:$C$119,MATCH(D$124,$A$115:$A$119,0)),SUMPRODUCT(('Sales Dashboard'!$AN$5:$AN$301=$A130)*($AA$5:$AA$301=1)*(_xlpm.d&gt;=_xlpm.f)*(_xlpm.d&lt;=_xlpm.t)*('Sales and count'!$G$3:$CZ$3="Total"),'Sales and count'!$G$4:$CZ$300)))</f>
        <v>637591.02000000014</v>
      </c>
      <c r="E130" s="53" cm="1">
        <f t="array" ref="E130">IF($A130="","",_xlfn.LET(_xlpm.d,IFERROR(--'Sales and count'!$G$2:$CZ$2,0),_xlpm.f,INDEX($B$115:$B$119,MATCH(E$124,$A$115:$A$119,0)),_xlpm.t,INDEX($C$115:$C$119,MATCH(E$124,$A$115:$A$119,0)),SUMPRODUCT(('Sales Dashboard'!$AN$5:$AN$301=$A130)*($AA$5:$AA$301=1)*(_xlpm.d&gt;=_xlpm.f)*(_xlpm.d&lt;=_xlpm.t)*('Sales and count'!$G$3:$CZ$3="Total"),'Sales and count'!$G$4:$CZ$300)))</f>
        <v>564071.7300000001</v>
      </c>
      <c r="F130" s="53" cm="1">
        <f t="array" ref="F130">IF($A130="","",_xlfn.LET(_xlpm.d,IFERROR(--'Sales and count'!$G$2:$CZ$2,0),_xlpm.f,INDEX($B$115:$B$119,MATCH(F$124,$A$115:$A$119,0)),_xlpm.t,INDEX($C$115:$C$119,MATCH(F$124,$A$115:$A$119,0)),SUMPRODUCT(('Sales Dashboard'!$AN$5:$AN$301=$A130)*($AA$5:$AA$301=1)*(_xlpm.d&gt;=_xlpm.f)*(_xlpm.d&lt;=_xlpm.t)*('Sales and count'!$G$3:$CZ$3="Total"),'Sales and count'!$G$4:$CZ$300)))</f>
        <v>145742.29999999999</v>
      </c>
      <c r="G130" s="53">
        <f t="shared" si="32"/>
        <v>2537941.4300000006</v>
      </c>
      <c r="H130" s="55" cm="1">
        <f t="array" ref="H130">IF($A130="","",_xlfn.LET(_xlpm.k,SUMPRODUCT(--($D$115:$D$119&gt;0)),IF(_xlpm.k&lt;2,"",IFERROR((INDEX(B130:F130,_xlpm.k)/INDEX($D$115:$D$119,_xlpm.k))/(INDEX(B130:F130,_xlpm.k-1)/INDEX($D$115:$D$119,_xlpm.k-1))-1,""))))</f>
        <v>-9.5685844777223861E-2</v>
      </c>
      <c r="AA130" s="142">
        <f>--AND('Sales Dashboard'!AN130&lt;&gt;"",OR($B$3="All",'Sales Dashboard'!CF130=$B$3),IF(OR($B$4="All",$B$4="Multiple (ticked)"),IF(COUNTIF($B$6:$M$6,"✔")&gt;0,COUNTIFS($B$5:$M$5,'Sales Dashboard'!AN130,$B$6:$M$6,"✔")&gt;0,$B$4="All"),'Sales Dashboard'!AN130=$B$4))</f>
        <v>0</v>
      </c>
    </row>
    <row r="131" spans="1:27" ht="15" customHeight="1" x14ac:dyDescent="0.25">
      <c r="A131" s="45" t="str">
        <v>Mohammed Haidar</v>
      </c>
      <c r="B131" s="53" cm="1">
        <f t="array" ref="B131">IF($A131="","",_xlfn.LET(_xlpm.d,IFERROR(--'Sales and count'!$G$2:$CZ$2,0),_xlpm.f,INDEX($B$115:$B$119,MATCH(B$124,$A$115:$A$119,0)),_xlpm.t,INDEX($C$115:$C$119,MATCH(B$124,$A$115:$A$119,0)),SUMPRODUCT(('Sales Dashboard'!$AN$5:$AN$301=$A131)*($AA$5:$AA$301=1)*(_xlpm.d&gt;=_xlpm.f)*(_xlpm.d&lt;=_xlpm.t)*('Sales and count'!$G$3:$CZ$3="Total"),'Sales and count'!$G$4:$CZ$300)))</f>
        <v>219814.09999999998</v>
      </c>
      <c r="C131" s="53" cm="1">
        <f t="array" ref="C131">IF($A131="","",_xlfn.LET(_xlpm.d,IFERROR(--'Sales and count'!$G$2:$CZ$2,0),_xlpm.f,INDEX($B$115:$B$119,MATCH(C$124,$A$115:$A$119,0)),_xlpm.t,INDEX($C$115:$C$119,MATCH(C$124,$A$115:$A$119,0)),SUMPRODUCT(('Sales Dashboard'!$AN$5:$AN$301=$A131)*($AA$5:$AA$301=1)*(_xlpm.d&gt;=_xlpm.f)*(_xlpm.d&lt;=_xlpm.t)*('Sales and count'!$G$3:$CZ$3="Total"),'Sales and count'!$G$4:$CZ$300)))</f>
        <v>402000.74</v>
      </c>
      <c r="D131" s="53" cm="1">
        <f t="array" ref="D131">IF($A131="","",_xlfn.LET(_xlpm.d,IFERROR(--'Sales and count'!$G$2:$CZ$2,0),_xlpm.f,INDEX($B$115:$B$119,MATCH(D$124,$A$115:$A$119,0)),_xlpm.t,INDEX($C$115:$C$119,MATCH(D$124,$A$115:$A$119,0)),SUMPRODUCT(('Sales Dashboard'!$AN$5:$AN$301=$A131)*($AA$5:$AA$301=1)*(_xlpm.d&gt;=_xlpm.f)*(_xlpm.d&lt;=_xlpm.t)*('Sales and count'!$G$3:$CZ$3="Total"),'Sales and count'!$G$4:$CZ$300)))</f>
        <v>350715.96</v>
      </c>
      <c r="E131" s="53" cm="1">
        <f t="array" ref="E131">IF($A131="","",_xlfn.LET(_xlpm.d,IFERROR(--'Sales and count'!$G$2:$CZ$2,0),_xlpm.f,INDEX($B$115:$B$119,MATCH(E$124,$A$115:$A$119,0)),_xlpm.t,INDEX($C$115:$C$119,MATCH(E$124,$A$115:$A$119,0)),SUMPRODUCT(('Sales Dashboard'!$AN$5:$AN$301=$A131)*($AA$5:$AA$301=1)*(_xlpm.d&gt;=_xlpm.f)*(_xlpm.d&lt;=_xlpm.t)*('Sales and count'!$G$3:$CZ$3="Total"),'Sales and count'!$G$4:$CZ$300)))</f>
        <v>334030.71999999997</v>
      </c>
      <c r="F131" s="53" cm="1">
        <f t="array" ref="F131">IF($A131="","",_xlfn.LET(_xlpm.d,IFERROR(--'Sales and count'!$G$2:$CZ$2,0),_xlpm.f,INDEX($B$115:$B$119,MATCH(F$124,$A$115:$A$119,0)),_xlpm.t,INDEX($C$115:$C$119,MATCH(F$124,$A$115:$A$119,0)),SUMPRODUCT(('Sales Dashboard'!$AN$5:$AN$301=$A131)*($AA$5:$AA$301=1)*(_xlpm.d&gt;=_xlpm.f)*(_xlpm.d&lt;=_xlpm.t)*('Sales and count'!$G$3:$CZ$3="Total"),'Sales and count'!$G$4:$CZ$300)))</f>
        <v>107680.73999999998</v>
      </c>
      <c r="G131" s="53">
        <f t="shared" si="32"/>
        <v>1414242.26</v>
      </c>
      <c r="H131" s="55" cm="1">
        <f t="array" ref="H131">IF($A131="","",_xlfn.LET(_xlpm.k,SUMPRODUCT(--($D$115:$D$119&gt;0)),IF(_xlpm.k&lt;2,"",IFERROR((INDEX(B131:F131,_xlpm.k)/INDEX($D$115:$D$119,_xlpm.k))/(INDEX(B131:F131,_xlpm.k-1)/INDEX($D$115:$D$119,_xlpm.k-1))-1,""))))</f>
        <v>0.1282872126252339</v>
      </c>
      <c r="AA131" s="142">
        <f>--AND('Sales Dashboard'!AN131&lt;&gt;"",OR($B$3="All",'Sales Dashboard'!CF131=$B$3),IF(OR($B$4="All",$B$4="Multiple (ticked)"),IF(COUNTIF($B$6:$M$6,"✔")&gt;0,COUNTIFS($B$5:$M$5,'Sales Dashboard'!AN131,$B$6:$M$6,"✔")&gt;0,$B$4="All"),'Sales Dashboard'!AN131=$B$4))</f>
        <v>0</v>
      </c>
    </row>
    <row r="132" spans="1:27" ht="15" customHeight="1" x14ac:dyDescent="0.25">
      <c r="A132" s="45" t="str">
        <v>Mohammed Sanad</v>
      </c>
      <c r="B132" s="53" cm="1">
        <f t="array" ref="B132">IF($A132="","",_xlfn.LET(_xlpm.d,IFERROR(--'Sales and count'!$G$2:$CZ$2,0),_xlpm.f,INDEX($B$115:$B$119,MATCH(B$124,$A$115:$A$119,0)),_xlpm.t,INDEX($C$115:$C$119,MATCH(B$124,$A$115:$A$119,0)),SUMPRODUCT(('Sales Dashboard'!$AN$5:$AN$301=$A132)*($AA$5:$AA$301=1)*(_xlpm.d&gt;=_xlpm.f)*(_xlpm.d&lt;=_xlpm.t)*('Sales and count'!$G$3:$CZ$3="Total"),'Sales and count'!$G$4:$CZ$300)))</f>
        <v>355944.88000000006</v>
      </c>
      <c r="C132" s="53" cm="1">
        <f t="array" ref="C132">IF($A132="","",_xlfn.LET(_xlpm.d,IFERROR(--'Sales and count'!$G$2:$CZ$2,0),_xlpm.f,INDEX($B$115:$B$119,MATCH(C$124,$A$115:$A$119,0)),_xlpm.t,INDEX($C$115:$C$119,MATCH(C$124,$A$115:$A$119,0)),SUMPRODUCT(('Sales Dashboard'!$AN$5:$AN$301=$A132)*($AA$5:$AA$301=1)*(_xlpm.d&gt;=_xlpm.f)*(_xlpm.d&lt;=_xlpm.t)*('Sales and count'!$G$3:$CZ$3="Total"),'Sales and count'!$G$4:$CZ$300)))</f>
        <v>540631.64000000036</v>
      </c>
      <c r="D132" s="53" cm="1">
        <f t="array" ref="D132">IF($A132="","",_xlfn.LET(_xlpm.d,IFERROR(--'Sales and count'!$G$2:$CZ$2,0),_xlpm.f,INDEX($B$115:$B$119,MATCH(D$124,$A$115:$A$119,0)),_xlpm.t,INDEX($C$115:$C$119,MATCH(D$124,$A$115:$A$119,0)),SUMPRODUCT(('Sales Dashboard'!$AN$5:$AN$301=$A132)*($AA$5:$AA$301=1)*(_xlpm.d&gt;=_xlpm.f)*(_xlpm.d&lt;=_xlpm.t)*('Sales and count'!$G$3:$CZ$3="Total"),'Sales and count'!$G$4:$CZ$300)))</f>
        <v>426083.95000000019</v>
      </c>
      <c r="E132" s="53" cm="1">
        <f t="array" ref="E132">IF($A132="","",_xlfn.LET(_xlpm.d,IFERROR(--'Sales and count'!$G$2:$CZ$2,0),_xlpm.f,INDEX($B$115:$B$119,MATCH(E$124,$A$115:$A$119,0)),_xlpm.t,INDEX($C$115:$C$119,MATCH(E$124,$A$115:$A$119,0)),SUMPRODUCT(('Sales Dashboard'!$AN$5:$AN$301=$A132)*($AA$5:$AA$301=1)*(_xlpm.d&gt;=_xlpm.f)*(_xlpm.d&lt;=_xlpm.t)*('Sales and count'!$G$3:$CZ$3="Total"),'Sales and count'!$G$4:$CZ$300)))</f>
        <v>386094.02000000025</v>
      </c>
      <c r="F132" s="53" cm="1">
        <f t="array" ref="F132">IF($A132="","",_xlfn.LET(_xlpm.d,IFERROR(--'Sales and count'!$G$2:$CZ$2,0),_xlpm.f,INDEX($B$115:$B$119,MATCH(F$124,$A$115:$A$119,0)),_xlpm.t,INDEX($C$115:$C$119,MATCH(F$124,$A$115:$A$119,0)),SUMPRODUCT(('Sales Dashboard'!$AN$5:$AN$301=$A132)*($AA$5:$AA$301=1)*(_xlpm.d&gt;=_xlpm.f)*(_xlpm.d&lt;=_xlpm.t)*('Sales and count'!$G$3:$CZ$3="Total"),'Sales and count'!$G$4:$CZ$300)))</f>
        <v>106381.09000000004</v>
      </c>
      <c r="G132" s="53">
        <f t="shared" si="32"/>
        <v>1815135.580000001</v>
      </c>
      <c r="H132" s="55" cm="1">
        <f t="array" ref="H132">IF($A132="","",_xlfn.LET(_xlpm.k,SUMPRODUCT(--($D$115:$D$119&gt;0)),IF(_xlpm.k&lt;2,"",IFERROR((INDEX(B132:F132,_xlpm.k)/INDEX($D$115:$D$119,_xlpm.k))/(INDEX(B132:F132,_xlpm.k-1)/INDEX($D$115:$D$119,_xlpm.k-1))-1,""))))</f>
        <v>-3.5639518581510599E-2</v>
      </c>
      <c r="AA132" s="142">
        <f>--AND('Sales Dashboard'!AN132&lt;&gt;"",OR($B$3="All",'Sales Dashboard'!CF132=$B$3),IF(OR($B$4="All",$B$4="Multiple (ticked)"),IF(COUNTIF($B$6:$M$6,"✔")&gt;0,COUNTIFS($B$5:$M$5,'Sales Dashboard'!AN132,$B$6:$M$6,"✔")&gt;0,$B$4="All"),'Sales Dashboard'!AN132=$B$4))</f>
        <v>0</v>
      </c>
    </row>
    <row r="133" spans="1:27" ht="15" customHeight="1" x14ac:dyDescent="0.25">
      <c r="A133" s="45" t="str">
        <v>Saleh Bin Hoiel</v>
      </c>
      <c r="B133" s="53" cm="1">
        <f t="array" ref="B133">IF($A133="","",_xlfn.LET(_xlpm.d,IFERROR(--'Sales and count'!$G$2:$CZ$2,0),_xlpm.f,INDEX($B$115:$B$119,MATCH(B$124,$A$115:$A$119,0)),_xlpm.t,INDEX($C$115:$C$119,MATCH(B$124,$A$115:$A$119,0)),SUMPRODUCT(('Sales Dashboard'!$AN$5:$AN$301=$A133)*($AA$5:$AA$301=1)*(_xlpm.d&gt;=_xlpm.f)*(_xlpm.d&lt;=_xlpm.t)*('Sales and count'!$G$3:$CZ$3="Total"),'Sales and count'!$G$4:$CZ$300)))</f>
        <v>347343.26</v>
      </c>
      <c r="C133" s="53" cm="1">
        <f t="array" ref="C133">IF($A133="","",_xlfn.LET(_xlpm.d,IFERROR(--'Sales and count'!$G$2:$CZ$2,0),_xlpm.f,INDEX($B$115:$B$119,MATCH(C$124,$A$115:$A$119,0)),_xlpm.t,INDEX($C$115:$C$119,MATCH(C$124,$A$115:$A$119,0)),SUMPRODUCT(('Sales Dashboard'!$AN$5:$AN$301=$A133)*($AA$5:$AA$301=1)*(_xlpm.d&gt;=_xlpm.f)*(_xlpm.d&lt;=_xlpm.t)*('Sales and count'!$G$3:$CZ$3="Total"),'Sales and count'!$G$4:$CZ$300)))</f>
        <v>538454.98000000021</v>
      </c>
      <c r="D133" s="53" cm="1">
        <f t="array" ref="D133">IF($A133="","",_xlfn.LET(_xlpm.d,IFERROR(--'Sales and count'!$G$2:$CZ$2,0),_xlpm.f,INDEX($B$115:$B$119,MATCH(D$124,$A$115:$A$119,0)),_xlpm.t,INDEX($C$115:$C$119,MATCH(D$124,$A$115:$A$119,0)),SUMPRODUCT(('Sales Dashboard'!$AN$5:$AN$301=$A133)*($AA$5:$AA$301=1)*(_xlpm.d&gt;=_xlpm.f)*(_xlpm.d&lt;=_xlpm.t)*('Sales and count'!$G$3:$CZ$3="Total"),'Sales and count'!$G$4:$CZ$300)))</f>
        <v>402716.64</v>
      </c>
      <c r="E133" s="53" cm="1">
        <f t="array" ref="E133">IF($A133="","",_xlfn.LET(_xlpm.d,IFERROR(--'Sales and count'!$G$2:$CZ$2,0),_xlpm.f,INDEX($B$115:$B$119,MATCH(E$124,$A$115:$A$119,0)),_xlpm.t,INDEX($C$115:$C$119,MATCH(E$124,$A$115:$A$119,0)),SUMPRODUCT(('Sales Dashboard'!$AN$5:$AN$301=$A133)*($AA$5:$AA$301=1)*(_xlpm.d&gt;=_xlpm.f)*(_xlpm.d&lt;=_xlpm.t)*('Sales and count'!$G$3:$CZ$3="Total"),'Sales and count'!$G$4:$CZ$300)))</f>
        <v>372244.68000000005</v>
      </c>
      <c r="F133" s="53" cm="1">
        <f t="array" ref="F133">IF($A133="","",_xlfn.LET(_xlpm.d,IFERROR(--'Sales and count'!$G$2:$CZ$2,0),_xlpm.f,INDEX($B$115:$B$119,MATCH(F$124,$A$115:$A$119,0)),_xlpm.t,INDEX($C$115:$C$119,MATCH(F$124,$A$115:$A$119,0)),SUMPRODUCT(('Sales Dashboard'!$AN$5:$AN$301=$A133)*($AA$5:$AA$301=1)*(_xlpm.d&gt;=_xlpm.f)*(_xlpm.d&lt;=_xlpm.t)*('Sales and count'!$G$3:$CZ$3="Total"),'Sales and count'!$G$4:$CZ$300)))</f>
        <v>104139.68</v>
      </c>
      <c r="G133" s="53">
        <f t="shared" si="32"/>
        <v>1764899.2400000005</v>
      </c>
      <c r="H133" s="55" cm="1">
        <f t="array" ref="H133">IF($A133="","",_xlfn.LET(_xlpm.k,SUMPRODUCT(--($D$115:$D$119&gt;0)),IF(_xlpm.k&lt;2,"",IFERROR((INDEX(B133:F133,_xlpm.k)/INDEX($D$115:$D$119,_xlpm.k))/(INDEX(B133:F133,_xlpm.k-1)/INDEX($D$115:$D$119,_xlpm.k-1))-1,""))))</f>
        <v>-2.0835220532903431E-2</v>
      </c>
      <c r="AA133" s="142">
        <f>--AND('Sales Dashboard'!AN133&lt;&gt;"",OR($B$3="All",'Sales Dashboard'!CF133=$B$3),IF(OR($B$4="All",$B$4="Multiple (ticked)"),IF(COUNTIF($B$6:$M$6,"✔")&gt;0,COUNTIFS($B$5:$M$5,'Sales Dashboard'!AN133,$B$6:$M$6,"✔")&gt;0,$B$4="All"),'Sales Dashboard'!AN133=$B$4))</f>
        <v>0</v>
      </c>
    </row>
    <row r="134" spans="1:27" ht="15" customHeight="1" x14ac:dyDescent="0.25">
      <c r="A134" s="45"/>
      <c r="B134" s="53" t="str" cm="1">
        <f t="array" ref="B134">IF($A134="","",_xlfn.LET(_xlpm.d,IFERROR(--'Sales and count'!$G$2:$CZ$2,0),_xlpm.f,INDEX($B$115:$B$119,MATCH(B$124,$A$115:$A$119,0)),_xlpm.t,INDEX($C$115:$C$119,MATCH(B$124,$A$115:$A$119,0)),SUMPRODUCT(('Sales Dashboard'!$AN$5:$AN$301=$A134)*($AA$5:$AA$301=1)*(_xlpm.d&gt;=_xlpm.f)*(_xlpm.d&lt;=_xlpm.t)*('Sales and count'!$G$3:$CZ$3="Total"),'Sales and count'!$G$4:$CZ$300)))</f>
        <v/>
      </c>
      <c r="C134" s="53" t="str" cm="1">
        <f t="array" ref="C134">IF($A134="","",_xlfn.LET(_xlpm.d,IFERROR(--'Sales and count'!$G$2:$CZ$2,0),_xlpm.f,INDEX($B$115:$B$119,MATCH(C$124,$A$115:$A$119,0)),_xlpm.t,INDEX($C$115:$C$119,MATCH(C$124,$A$115:$A$119,0)),SUMPRODUCT(('Sales Dashboard'!$AN$5:$AN$301=$A134)*($AA$5:$AA$301=1)*(_xlpm.d&gt;=_xlpm.f)*(_xlpm.d&lt;=_xlpm.t)*('Sales and count'!$G$3:$CZ$3="Total"),'Sales and count'!$G$4:$CZ$300)))</f>
        <v/>
      </c>
      <c r="D134" s="53" t="str" cm="1">
        <f t="array" ref="D134">IF($A134="","",_xlfn.LET(_xlpm.d,IFERROR(--'Sales and count'!$G$2:$CZ$2,0),_xlpm.f,INDEX($B$115:$B$119,MATCH(D$124,$A$115:$A$119,0)),_xlpm.t,INDEX($C$115:$C$119,MATCH(D$124,$A$115:$A$119,0)),SUMPRODUCT(('Sales Dashboard'!$AN$5:$AN$301=$A134)*($AA$5:$AA$301=1)*(_xlpm.d&gt;=_xlpm.f)*(_xlpm.d&lt;=_xlpm.t)*('Sales and count'!$G$3:$CZ$3="Total"),'Sales and count'!$G$4:$CZ$300)))</f>
        <v/>
      </c>
      <c r="E134" s="53" t="str" cm="1">
        <f t="array" ref="E134">IF($A134="","",_xlfn.LET(_xlpm.d,IFERROR(--'Sales and count'!$G$2:$CZ$2,0),_xlpm.f,INDEX($B$115:$B$119,MATCH(E$124,$A$115:$A$119,0)),_xlpm.t,INDEX($C$115:$C$119,MATCH(E$124,$A$115:$A$119,0)),SUMPRODUCT(('Sales Dashboard'!$AN$5:$AN$301=$A134)*($AA$5:$AA$301=1)*(_xlpm.d&gt;=_xlpm.f)*(_xlpm.d&lt;=_xlpm.t)*('Sales and count'!$G$3:$CZ$3="Total"),'Sales and count'!$G$4:$CZ$300)))</f>
        <v/>
      </c>
      <c r="F134" s="53" t="str" cm="1">
        <f t="array" ref="F134">IF($A134="","",_xlfn.LET(_xlpm.d,IFERROR(--'Sales and count'!$G$2:$CZ$2,0),_xlpm.f,INDEX($B$115:$B$119,MATCH(F$124,$A$115:$A$119,0)),_xlpm.t,INDEX($C$115:$C$119,MATCH(F$124,$A$115:$A$119,0)),SUMPRODUCT(('Sales Dashboard'!$AN$5:$AN$301=$A134)*($AA$5:$AA$301=1)*(_xlpm.d&gt;=_xlpm.f)*(_xlpm.d&lt;=_xlpm.t)*('Sales and count'!$G$3:$CZ$3="Total"),'Sales and count'!$G$4:$CZ$300)))</f>
        <v/>
      </c>
      <c r="G134" s="53" t="str">
        <f t="shared" si="32"/>
        <v/>
      </c>
      <c r="H134" s="55" t="str" cm="1">
        <f t="array" ref="H134">IF($A134="","",_xlfn.LET(_xlpm.k,SUMPRODUCT(--($D$115:$D$119&gt;0)),IF(_xlpm.k&lt;2,"",IFERROR((INDEX(B134:F134,_xlpm.k)/INDEX($D$115:$D$119,_xlpm.k))/(INDEX(B134:F134,_xlpm.k-1)/INDEX($D$115:$D$119,_xlpm.k-1))-1,""))))</f>
        <v/>
      </c>
      <c r="AA134" s="142">
        <f>--AND('Sales Dashboard'!AN134&lt;&gt;"",OR($B$3="All",'Sales Dashboard'!CF134=$B$3),IF(OR($B$4="All",$B$4="Multiple (ticked)"),IF(COUNTIF($B$6:$M$6,"✔")&gt;0,COUNTIFS($B$5:$M$5,'Sales Dashboard'!AN134,$B$6:$M$6,"✔")&gt;0,$B$4="All"),'Sales Dashboard'!AN134=$B$4))</f>
        <v>0</v>
      </c>
    </row>
    <row r="135" spans="1:27" ht="15" customHeight="1" x14ac:dyDescent="0.25">
      <c r="A135" s="45"/>
      <c r="B135" s="53" t="str" cm="1">
        <f t="array" ref="B135">IF($A135="","",_xlfn.LET(_xlpm.d,IFERROR(--'Sales and count'!$G$2:$CZ$2,0),_xlpm.f,INDEX($B$115:$B$119,MATCH(B$124,$A$115:$A$119,0)),_xlpm.t,INDEX($C$115:$C$119,MATCH(B$124,$A$115:$A$119,0)),SUMPRODUCT(('Sales Dashboard'!$AN$5:$AN$301=$A135)*($AA$5:$AA$301=1)*(_xlpm.d&gt;=_xlpm.f)*(_xlpm.d&lt;=_xlpm.t)*('Sales and count'!$G$3:$CZ$3="Total"),'Sales and count'!$G$4:$CZ$300)))</f>
        <v/>
      </c>
      <c r="C135" s="53" t="str" cm="1">
        <f t="array" ref="C135">IF($A135="","",_xlfn.LET(_xlpm.d,IFERROR(--'Sales and count'!$G$2:$CZ$2,0),_xlpm.f,INDEX($B$115:$B$119,MATCH(C$124,$A$115:$A$119,0)),_xlpm.t,INDEX($C$115:$C$119,MATCH(C$124,$A$115:$A$119,0)),SUMPRODUCT(('Sales Dashboard'!$AN$5:$AN$301=$A135)*($AA$5:$AA$301=1)*(_xlpm.d&gt;=_xlpm.f)*(_xlpm.d&lt;=_xlpm.t)*('Sales and count'!$G$3:$CZ$3="Total"),'Sales and count'!$G$4:$CZ$300)))</f>
        <v/>
      </c>
      <c r="D135" s="53" t="str" cm="1">
        <f t="array" ref="D135">IF($A135="","",_xlfn.LET(_xlpm.d,IFERROR(--'Sales and count'!$G$2:$CZ$2,0),_xlpm.f,INDEX($B$115:$B$119,MATCH(D$124,$A$115:$A$119,0)),_xlpm.t,INDEX($C$115:$C$119,MATCH(D$124,$A$115:$A$119,0)),SUMPRODUCT(('Sales Dashboard'!$AN$5:$AN$301=$A135)*($AA$5:$AA$301=1)*(_xlpm.d&gt;=_xlpm.f)*(_xlpm.d&lt;=_xlpm.t)*('Sales and count'!$G$3:$CZ$3="Total"),'Sales and count'!$G$4:$CZ$300)))</f>
        <v/>
      </c>
      <c r="E135" s="53" t="str" cm="1">
        <f t="array" ref="E135">IF($A135="","",_xlfn.LET(_xlpm.d,IFERROR(--'Sales and count'!$G$2:$CZ$2,0),_xlpm.f,INDEX($B$115:$B$119,MATCH(E$124,$A$115:$A$119,0)),_xlpm.t,INDEX($C$115:$C$119,MATCH(E$124,$A$115:$A$119,0)),SUMPRODUCT(('Sales Dashboard'!$AN$5:$AN$301=$A135)*($AA$5:$AA$301=1)*(_xlpm.d&gt;=_xlpm.f)*(_xlpm.d&lt;=_xlpm.t)*('Sales and count'!$G$3:$CZ$3="Total"),'Sales and count'!$G$4:$CZ$300)))</f>
        <v/>
      </c>
      <c r="F135" s="53" t="str" cm="1">
        <f t="array" ref="F135">IF($A135="","",_xlfn.LET(_xlpm.d,IFERROR(--'Sales and count'!$G$2:$CZ$2,0),_xlpm.f,INDEX($B$115:$B$119,MATCH(F$124,$A$115:$A$119,0)),_xlpm.t,INDEX($C$115:$C$119,MATCH(F$124,$A$115:$A$119,0)),SUMPRODUCT(('Sales Dashboard'!$AN$5:$AN$301=$A135)*($AA$5:$AA$301=1)*(_xlpm.d&gt;=_xlpm.f)*(_xlpm.d&lt;=_xlpm.t)*('Sales and count'!$G$3:$CZ$3="Total"),'Sales and count'!$G$4:$CZ$300)))</f>
        <v/>
      </c>
      <c r="G135" s="53" t="str">
        <f t="shared" si="32"/>
        <v/>
      </c>
      <c r="H135" s="55" t="str" cm="1">
        <f t="array" ref="H135">IF($A135="","",_xlfn.LET(_xlpm.k,SUMPRODUCT(--($D$115:$D$119&gt;0)),IF(_xlpm.k&lt;2,"",IFERROR((INDEX(B135:F135,_xlpm.k)/INDEX($D$115:$D$119,_xlpm.k))/(INDEX(B135:F135,_xlpm.k-1)/INDEX($D$115:$D$119,_xlpm.k-1))-1,""))))</f>
        <v/>
      </c>
      <c r="AA135" s="142">
        <f>--AND('Sales Dashboard'!AN135&lt;&gt;"",OR($B$3="All",'Sales Dashboard'!CF135=$B$3),IF(OR($B$4="All",$B$4="Multiple (ticked)"),IF(COUNTIF($B$6:$M$6,"✔")&gt;0,COUNTIFS($B$5:$M$5,'Sales Dashboard'!AN135,$B$6:$M$6,"✔")&gt;0,$B$4="All"),'Sales Dashboard'!AN135=$B$4))</f>
        <v>0</v>
      </c>
    </row>
    <row r="136" spans="1:27" ht="15" customHeight="1" x14ac:dyDescent="0.25">
      <c r="A136" s="45"/>
      <c r="B136" s="53" t="str" cm="1">
        <f t="array" ref="B136">IF($A136="","",_xlfn.LET(_xlpm.d,IFERROR(--'Sales and count'!$G$2:$CZ$2,0),_xlpm.f,INDEX($B$115:$B$119,MATCH(B$124,$A$115:$A$119,0)),_xlpm.t,INDEX($C$115:$C$119,MATCH(B$124,$A$115:$A$119,0)),SUMPRODUCT(('Sales Dashboard'!$AN$5:$AN$301=$A136)*($AA$5:$AA$301=1)*(_xlpm.d&gt;=_xlpm.f)*(_xlpm.d&lt;=_xlpm.t)*('Sales and count'!$G$3:$CZ$3="Total"),'Sales and count'!$G$4:$CZ$300)))</f>
        <v/>
      </c>
      <c r="C136" s="53" t="str" cm="1">
        <f t="array" ref="C136">IF($A136="","",_xlfn.LET(_xlpm.d,IFERROR(--'Sales and count'!$G$2:$CZ$2,0),_xlpm.f,INDEX($B$115:$B$119,MATCH(C$124,$A$115:$A$119,0)),_xlpm.t,INDEX($C$115:$C$119,MATCH(C$124,$A$115:$A$119,0)),SUMPRODUCT(('Sales Dashboard'!$AN$5:$AN$301=$A136)*($AA$5:$AA$301=1)*(_xlpm.d&gt;=_xlpm.f)*(_xlpm.d&lt;=_xlpm.t)*('Sales and count'!$G$3:$CZ$3="Total"),'Sales and count'!$G$4:$CZ$300)))</f>
        <v/>
      </c>
      <c r="D136" s="53" t="str" cm="1">
        <f t="array" ref="D136">IF($A136="","",_xlfn.LET(_xlpm.d,IFERROR(--'Sales and count'!$G$2:$CZ$2,0),_xlpm.f,INDEX($B$115:$B$119,MATCH(D$124,$A$115:$A$119,0)),_xlpm.t,INDEX($C$115:$C$119,MATCH(D$124,$A$115:$A$119,0)),SUMPRODUCT(('Sales Dashboard'!$AN$5:$AN$301=$A136)*($AA$5:$AA$301=1)*(_xlpm.d&gt;=_xlpm.f)*(_xlpm.d&lt;=_xlpm.t)*('Sales and count'!$G$3:$CZ$3="Total"),'Sales and count'!$G$4:$CZ$300)))</f>
        <v/>
      </c>
      <c r="E136" s="53" t="str" cm="1">
        <f t="array" ref="E136">IF($A136="","",_xlfn.LET(_xlpm.d,IFERROR(--'Sales and count'!$G$2:$CZ$2,0),_xlpm.f,INDEX($B$115:$B$119,MATCH(E$124,$A$115:$A$119,0)),_xlpm.t,INDEX($C$115:$C$119,MATCH(E$124,$A$115:$A$119,0)),SUMPRODUCT(('Sales Dashboard'!$AN$5:$AN$301=$A136)*($AA$5:$AA$301=1)*(_xlpm.d&gt;=_xlpm.f)*(_xlpm.d&lt;=_xlpm.t)*('Sales and count'!$G$3:$CZ$3="Total"),'Sales and count'!$G$4:$CZ$300)))</f>
        <v/>
      </c>
      <c r="F136" s="53" t="str" cm="1">
        <f t="array" ref="F136">IF($A136="","",_xlfn.LET(_xlpm.d,IFERROR(--'Sales and count'!$G$2:$CZ$2,0),_xlpm.f,INDEX($B$115:$B$119,MATCH(F$124,$A$115:$A$119,0)),_xlpm.t,INDEX($C$115:$C$119,MATCH(F$124,$A$115:$A$119,0)),SUMPRODUCT(('Sales Dashboard'!$AN$5:$AN$301=$A136)*($AA$5:$AA$301=1)*(_xlpm.d&gt;=_xlpm.f)*(_xlpm.d&lt;=_xlpm.t)*('Sales and count'!$G$3:$CZ$3="Total"),'Sales and count'!$G$4:$CZ$300)))</f>
        <v/>
      </c>
      <c r="G136" s="53" t="str">
        <f t="shared" si="32"/>
        <v/>
      </c>
      <c r="H136" s="55" t="str" cm="1">
        <f t="array" ref="H136">IF($A136="","",_xlfn.LET(_xlpm.k,SUMPRODUCT(--($D$115:$D$119&gt;0)),IF(_xlpm.k&lt;2,"",IFERROR((INDEX(B136:F136,_xlpm.k)/INDEX($D$115:$D$119,_xlpm.k))/(INDEX(B136:F136,_xlpm.k-1)/INDEX($D$115:$D$119,_xlpm.k-1))-1,""))))</f>
        <v/>
      </c>
      <c r="AA136" s="142">
        <f>--AND('Sales Dashboard'!AN136&lt;&gt;"",OR($B$3="All",'Sales Dashboard'!CF136=$B$3),IF(OR($B$4="All",$B$4="Multiple (ticked)"),IF(COUNTIF($B$6:$M$6,"✔")&gt;0,COUNTIFS($B$5:$M$5,'Sales Dashboard'!AN136,$B$6:$M$6,"✔")&gt;0,$B$4="All"),'Sales Dashboard'!AN136=$B$4))</f>
        <v>0</v>
      </c>
    </row>
    <row r="137" spans="1:27" ht="15" customHeight="1" x14ac:dyDescent="0.25">
      <c r="A137" s="45"/>
      <c r="B137" s="53" t="str" cm="1">
        <f t="array" ref="B137">IF($A137="","",_xlfn.LET(_xlpm.d,IFERROR(--'Sales and count'!$G$2:$CZ$2,0),_xlpm.f,INDEX($B$115:$B$119,MATCH(B$124,$A$115:$A$119,0)),_xlpm.t,INDEX($C$115:$C$119,MATCH(B$124,$A$115:$A$119,0)),SUMPRODUCT(('Sales Dashboard'!$AN$5:$AN$301=$A137)*($AA$5:$AA$301=1)*(_xlpm.d&gt;=_xlpm.f)*(_xlpm.d&lt;=_xlpm.t)*('Sales and count'!$G$3:$CZ$3="Total"),'Sales and count'!$G$4:$CZ$300)))</f>
        <v/>
      </c>
      <c r="C137" s="53" t="str" cm="1">
        <f t="array" ref="C137">IF($A137="","",_xlfn.LET(_xlpm.d,IFERROR(--'Sales and count'!$G$2:$CZ$2,0),_xlpm.f,INDEX($B$115:$B$119,MATCH(C$124,$A$115:$A$119,0)),_xlpm.t,INDEX($C$115:$C$119,MATCH(C$124,$A$115:$A$119,0)),SUMPRODUCT(('Sales Dashboard'!$AN$5:$AN$301=$A137)*($AA$5:$AA$301=1)*(_xlpm.d&gt;=_xlpm.f)*(_xlpm.d&lt;=_xlpm.t)*('Sales and count'!$G$3:$CZ$3="Total"),'Sales and count'!$G$4:$CZ$300)))</f>
        <v/>
      </c>
      <c r="D137" s="53" t="str" cm="1">
        <f t="array" ref="D137">IF($A137="","",_xlfn.LET(_xlpm.d,IFERROR(--'Sales and count'!$G$2:$CZ$2,0),_xlpm.f,INDEX($B$115:$B$119,MATCH(D$124,$A$115:$A$119,0)),_xlpm.t,INDEX($C$115:$C$119,MATCH(D$124,$A$115:$A$119,0)),SUMPRODUCT(('Sales Dashboard'!$AN$5:$AN$301=$A137)*($AA$5:$AA$301=1)*(_xlpm.d&gt;=_xlpm.f)*(_xlpm.d&lt;=_xlpm.t)*('Sales and count'!$G$3:$CZ$3="Total"),'Sales and count'!$G$4:$CZ$300)))</f>
        <v/>
      </c>
      <c r="E137" s="53" t="str" cm="1">
        <f t="array" ref="E137">IF($A137="","",_xlfn.LET(_xlpm.d,IFERROR(--'Sales and count'!$G$2:$CZ$2,0),_xlpm.f,INDEX($B$115:$B$119,MATCH(E$124,$A$115:$A$119,0)),_xlpm.t,INDEX($C$115:$C$119,MATCH(E$124,$A$115:$A$119,0)),SUMPRODUCT(('Sales Dashboard'!$AN$5:$AN$301=$A137)*($AA$5:$AA$301=1)*(_xlpm.d&gt;=_xlpm.f)*(_xlpm.d&lt;=_xlpm.t)*('Sales and count'!$G$3:$CZ$3="Total"),'Sales and count'!$G$4:$CZ$300)))</f>
        <v/>
      </c>
      <c r="F137" s="53" t="str" cm="1">
        <f t="array" ref="F137">IF($A137="","",_xlfn.LET(_xlpm.d,IFERROR(--'Sales and count'!$G$2:$CZ$2,0),_xlpm.f,INDEX($B$115:$B$119,MATCH(F$124,$A$115:$A$119,0)),_xlpm.t,INDEX($C$115:$C$119,MATCH(F$124,$A$115:$A$119,0)),SUMPRODUCT(('Sales Dashboard'!$AN$5:$AN$301=$A137)*($AA$5:$AA$301=1)*(_xlpm.d&gt;=_xlpm.f)*(_xlpm.d&lt;=_xlpm.t)*('Sales and count'!$G$3:$CZ$3="Total"),'Sales and count'!$G$4:$CZ$300)))</f>
        <v/>
      </c>
      <c r="G137" s="53" t="str">
        <f t="shared" si="32"/>
        <v/>
      </c>
      <c r="H137" s="55" t="str" cm="1">
        <f t="array" ref="H137">IF($A137="","",_xlfn.LET(_xlpm.k,SUMPRODUCT(--($D$115:$D$119&gt;0)),IF(_xlpm.k&lt;2,"",IFERROR((INDEX(B137:F137,_xlpm.k)/INDEX($D$115:$D$119,_xlpm.k))/(INDEX(B137:F137,_xlpm.k-1)/INDEX($D$115:$D$119,_xlpm.k-1))-1,""))))</f>
        <v/>
      </c>
      <c r="AA137" s="142">
        <f>--AND('Sales Dashboard'!AN137&lt;&gt;"",OR($B$3="All",'Sales Dashboard'!CF137=$B$3),IF(OR($B$4="All",$B$4="Multiple (ticked)"),IF(COUNTIF($B$6:$M$6,"✔")&gt;0,COUNTIFS($B$5:$M$5,'Sales Dashboard'!AN137,$B$6:$M$6,"✔")&gt;0,$B$4="All"),'Sales Dashboard'!AN137=$B$4))</f>
        <v>0</v>
      </c>
    </row>
    <row r="138" spans="1:27" ht="15" customHeight="1" x14ac:dyDescent="0.25">
      <c r="AA138" s="142">
        <f>--AND('Sales Dashboard'!AN138&lt;&gt;"",OR($B$3="All",'Sales Dashboard'!CF138=$B$3),IF(OR($B$4="All",$B$4="Multiple (ticked)"),IF(COUNTIF($B$6:$M$6,"✔")&gt;0,COUNTIFS($B$5:$M$5,'Sales Dashboard'!AN138,$B$6:$M$6,"✔")&gt;0,$B$4="All"),'Sales Dashboard'!AN138=$B$4))</f>
        <v>0</v>
      </c>
    </row>
    <row r="139" spans="1:27" ht="15" customHeight="1" x14ac:dyDescent="0.25">
      <c r="AA139" s="142">
        <f>--AND('Sales Dashboard'!AN139&lt;&gt;"",OR($B$3="All",'Sales Dashboard'!CF139=$B$3),IF(OR($B$4="All",$B$4="Multiple (ticked)"),IF(COUNTIF($B$6:$M$6,"✔")&gt;0,COUNTIFS($B$5:$M$5,'Sales Dashboard'!AN139,$B$6:$M$6,"✔")&gt;0,$B$4="All"),'Sales Dashboard'!AN139=$B$4))</f>
        <v>0</v>
      </c>
    </row>
    <row r="140" spans="1:27" ht="15.75" customHeight="1" x14ac:dyDescent="0.3">
      <c r="A140" s="49" t="s">
        <v>223</v>
      </c>
      <c r="AA140" s="142">
        <f>--AND('Sales Dashboard'!AN140&lt;&gt;"",OR($B$3="All",'Sales Dashboard'!CF140=$B$3),IF(OR($B$4="All",$B$4="Multiple (ticked)"),IF(COUNTIF($B$6:$M$6,"✔")&gt;0,COUNTIFS($B$5:$M$5,'Sales Dashboard'!AN140,$B$6:$M$6,"✔")&gt;0,$B$4="All"),'Sales Dashboard'!AN140=$B$4))</f>
        <v>0</v>
      </c>
    </row>
    <row r="141" spans="1:27" ht="15" customHeight="1" x14ac:dyDescent="0.25">
      <c r="A141" s="50" t="s">
        <v>135</v>
      </c>
      <c r="B141" s="50" t="str" cm="1">
        <f t="array" ref="B141">INDEX($A$115:$A$119,COLUMN()-1)</f>
        <v>WK1</v>
      </c>
      <c r="C141" s="50" t="str" cm="1">
        <f t="array" ref="C141">INDEX($A$115:$A$119,COLUMN()-1)</f>
        <v>WK2</v>
      </c>
      <c r="D141" s="50" t="str" cm="1">
        <f t="array" ref="D141">INDEX($A$115:$A$119,COLUMN()-1)</f>
        <v>WK3</v>
      </c>
      <c r="E141" s="50" t="str" cm="1">
        <f t="array" ref="E141">INDEX($A$115:$A$119,COLUMN()-1)</f>
        <v>WK4</v>
      </c>
      <c r="F141" s="50" t="str" cm="1">
        <f t="array" ref="F141">INDEX($A$115:$A$119,COLUMN()-1)</f>
        <v>WK5</v>
      </c>
      <c r="G141" s="50" t="s">
        <v>0</v>
      </c>
      <c r="H141" s="50" t="s">
        <v>222</v>
      </c>
      <c r="AA141" s="142">
        <f>--AND('Sales Dashboard'!AN141&lt;&gt;"",OR($B$3="All",'Sales Dashboard'!CF141=$B$3),IF(OR($B$4="All",$B$4="Multiple (ticked)"),IF(COUNTIF($B$6:$M$6,"✔")&gt;0,COUNTIFS($B$5:$M$5,'Sales Dashboard'!AN141,$B$6:$M$6,"✔")&gt;0,$B$4="All"),'Sales Dashboard'!AN141=$B$4))</f>
        <v>0</v>
      </c>
    </row>
    <row r="142" spans="1:27" ht="15" customHeight="1" x14ac:dyDescent="0.25">
      <c r="A142" s="56" t="s">
        <v>0</v>
      </c>
      <c r="B142" s="58">
        <f t="shared" ref="B142:G142" si="33">SUM(B143:B177)</f>
        <v>2966157.2499999995</v>
      </c>
      <c r="C142" s="58">
        <f t="shared" si="33"/>
        <v>4534581.1899999995</v>
      </c>
      <c r="D142" s="58">
        <f t="shared" si="33"/>
        <v>3627161.1500000008</v>
      </c>
      <c r="E142" s="58">
        <f t="shared" si="33"/>
        <v>3300789.88</v>
      </c>
      <c r="F142" s="58">
        <f t="shared" si="33"/>
        <v>924279.00999999966</v>
      </c>
      <c r="G142" s="58">
        <f t="shared" si="33"/>
        <v>15352968.480000004</v>
      </c>
      <c r="H142" s="60" cm="1">
        <f t="array" ref="H142">_xlfn.LET(_xlpm.k,SUMPRODUCT(--($D$115:$D$119&gt;0)),IF(_xlpm.k&lt;2,"",IFERROR((INDEX(B142:F142,_xlpm.k)/INDEX($D$115:$D$119,_xlpm.k))/(INDEX(B142:F142,_xlpm.k-1)/INDEX($D$115:$D$119,_xlpm.k-1))-1,"")))</f>
        <v>-1.993866540817224E-2</v>
      </c>
      <c r="AA142" s="142">
        <f>--AND('Sales Dashboard'!AN142&lt;&gt;"",OR($B$3="All",'Sales Dashboard'!CF142=$B$3),IF(OR($B$4="All",$B$4="Multiple (ticked)"),IF(COUNTIF($B$6:$M$6,"✔")&gt;0,COUNTIFS($B$5:$M$5,'Sales Dashboard'!AN142,$B$6:$M$6,"✔")&gt;0,$B$4="All"),'Sales Dashboard'!AN142=$B$4))</f>
        <v>0</v>
      </c>
    </row>
    <row r="143" spans="1:27" ht="15" customHeight="1" x14ac:dyDescent="0.25">
      <c r="A143" s="45" t="str" cm="1">
        <f t="array" ref="A143:A171">_xlfn._xlws.SORT(_xlfn.UNIQUE(_xlfn._xlws.FILTER('Sales Dashboard'!$AO$5:$AO$301,('Sales Dashboard'!$AO$5:$AO$301&lt;&gt;"")*($AA$5:$AA$301=1))))</f>
        <v>Abha</v>
      </c>
      <c r="B143" s="53" cm="1">
        <f t="array" ref="B143">IF($A143="","",_xlfn.LET(_xlpm.d,IFERROR(--'Sales and count'!$G$2:$CZ$2,0),_xlpm.f,INDEX($B$115:$B$119,MATCH(B$141,$A$115:$A$119,0)),_xlpm.t,INDEX($C$115:$C$119,MATCH(B$141,$A$115:$A$119,0)),SUMPRODUCT(('Sales Dashboard'!$AO$5:$AO$301=$A143)*($AA$5:$AA$301=1)*(_xlpm.d&gt;=_xlpm.f)*(_xlpm.d&lt;=_xlpm.t)*('Sales and count'!$G$3:$CZ$3="Total"),'Sales and count'!$G$4:$CZ$300)))</f>
        <v>88710.650000000009</v>
      </c>
      <c r="C143" s="53" cm="1">
        <f t="array" ref="C143">IF($A143="","",_xlfn.LET(_xlpm.d,IFERROR(--'Sales and count'!$G$2:$CZ$2,0),_xlpm.f,INDEX($B$115:$B$119,MATCH(C$141,$A$115:$A$119,0)),_xlpm.t,INDEX($C$115:$C$119,MATCH(C$141,$A$115:$A$119,0)),SUMPRODUCT(('Sales Dashboard'!$AO$5:$AO$301=$A143)*($AA$5:$AA$301=1)*(_xlpm.d&gt;=_xlpm.f)*(_xlpm.d&lt;=_xlpm.t)*('Sales and count'!$G$3:$CZ$3="Total"),'Sales and count'!$G$4:$CZ$300)))</f>
        <v>123058.09</v>
      </c>
      <c r="D143" s="53" cm="1">
        <f t="array" ref="D143">IF($A143="","",_xlfn.LET(_xlpm.d,IFERROR(--'Sales and count'!$G$2:$CZ$2,0),_xlpm.f,INDEX($B$115:$B$119,MATCH(D$141,$A$115:$A$119,0)),_xlpm.t,INDEX($C$115:$C$119,MATCH(D$141,$A$115:$A$119,0)),SUMPRODUCT(('Sales Dashboard'!$AO$5:$AO$301=$A143)*($AA$5:$AA$301=1)*(_xlpm.d&gt;=_xlpm.f)*(_xlpm.d&lt;=_xlpm.t)*('Sales and count'!$G$3:$CZ$3="Total"),'Sales and count'!$G$4:$CZ$300)))</f>
        <v>98852.850000000035</v>
      </c>
      <c r="E143" s="53" cm="1">
        <f t="array" ref="E143">IF($A143="","",_xlfn.LET(_xlpm.d,IFERROR(--'Sales and count'!$G$2:$CZ$2,0),_xlpm.f,INDEX($B$115:$B$119,MATCH(E$141,$A$115:$A$119,0)),_xlpm.t,INDEX($C$115:$C$119,MATCH(E$141,$A$115:$A$119,0)),SUMPRODUCT(('Sales Dashboard'!$AO$5:$AO$301=$A143)*($AA$5:$AA$301=1)*(_xlpm.d&gt;=_xlpm.f)*(_xlpm.d&lt;=_xlpm.t)*('Sales and count'!$G$3:$CZ$3="Total"),'Sales and count'!$G$4:$CZ$300)))</f>
        <v>83339.680000000022</v>
      </c>
      <c r="F143" s="53" cm="1">
        <f t="array" ref="F143">IF($A143="","",_xlfn.LET(_xlpm.d,IFERROR(--'Sales and count'!$G$2:$CZ$2,0),_xlpm.f,INDEX($B$115:$B$119,MATCH(F$141,$A$115:$A$119,0)),_xlpm.t,INDEX($C$115:$C$119,MATCH(F$141,$A$115:$A$119,0)),SUMPRODUCT(('Sales Dashboard'!$AO$5:$AO$301=$A143)*($AA$5:$AA$301=1)*(_xlpm.d&gt;=_xlpm.f)*(_xlpm.d&lt;=_xlpm.t)*('Sales and count'!$G$3:$CZ$3="Total"),'Sales and count'!$G$4:$CZ$300)))</f>
        <v>23426.129999999997</v>
      </c>
      <c r="G143" s="53">
        <f t="shared" ref="G143:G177" si="34">IF($A143="","",SUM(B143:F143))</f>
        <v>417387.4</v>
      </c>
      <c r="H143" s="55" cm="1">
        <f t="array" ref="H143">IF($A143="","",_xlfn.LET(_xlpm.k,SUMPRODUCT(--($D$115:$D$119&gt;0)),IF(_xlpm.k&lt;2,"",IFERROR((INDEX(B143:F143,_xlpm.k)/INDEX($D$115:$D$119,_xlpm.k))/(INDEX(B143:F143,_xlpm.k-1)/INDEX($D$115:$D$119,_xlpm.k-1))-1,""))))</f>
        <v>-1.6177467924043287E-2</v>
      </c>
      <c r="AA143" s="142">
        <f>--AND('Sales Dashboard'!AN143&lt;&gt;"",OR($B$3="All",'Sales Dashboard'!CF143=$B$3),IF(OR($B$4="All",$B$4="Multiple (ticked)"),IF(COUNTIF($B$6:$M$6,"✔")&gt;0,COUNTIFS($B$5:$M$5,'Sales Dashboard'!AN143,$B$6:$M$6,"✔")&gt;0,$B$4="All"),'Sales Dashboard'!AN143=$B$4))</f>
        <v>0</v>
      </c>
    </row>
    <row r="144" spans="1:27" ht="15" customHeight="1" x14ac:dyDescent="0.25">
      <c r="A144" s="45" t="str">
        <v>Al Hasa</v>
      </c>
      <c r="B144" s="53" cm="1">
        <f t="array" ref="B144">IF($A144="","",_xlfn.LET(_xlpm.d,IFERROR(--'Sales and count'!$G$2:$CZ$2,0),_xlpm.f,INDEX($B$115:$B$119,MATCH(B$141,$A$115:$A$119,0)),_xlpm.t,INDEX($C$115:$C$119,MATCH(B$141,$A$115:$A$119,0)),SUMPRODUCT(('Sales Dashboard'!$AO$5:$AO$301=$A144)*($AA$5:$AA$301=1)*(_xlpm.d&gt;=_xlpm.f)*(_xlpm.d&lt;=_xlpm.t)*('Sales and count'!$G$3:$CZ$3="Total"),'Sales and count'!$G$4:$CZ$300)))</f>
        <v>137499.54999999999</v>
      </c>
      <c r="C144" s="53" cm="1">
        <f t="array" ref="C144">IF($A144="","",_xlfn.LET(_xlpm.d,IFERROR(--'Sales and count'!$G$2:$CZ$2,0),_xlpm.f,INDEX($B$115:$B$119,MATCH(C$141,$A$115:$A$119,0)),_xlpm.t,INDEX($C$115:$C$119,MATCH(C$141,$A$115:$A$119,0)),SUMPRODUCT(('Sales Dashboard'!$AO$5:$AO$301=$A144)*($AA$5:$AA$301=1)*(_xlpm.d&gt;=_xlpm.f)*(_xlpm.d&lt;=_xlpm.t)*('Sales and count'!$G$3:$CZ$3="Total"),'Sales and count'!$G$4:$CZ$300)))</f>
        <v>164725.29999999996</v>
      </c>
      <c r="D144" s="53" cm="1">
        <f t="array" ref="D144">IF($A144="","",_xlfn.LET(_xlpm.d,IFERROR(--'Sales and count'!$G$2:$CZ$2,0),_xlpm.f,INDEX($B$115:$B$119,MATCH(D$141,$A$115:$A$119,0)),_xlpm.t,INDEX($C$115:$C$119,MATCH(D$141,$A$115:$A$119,0)),SUMPRODUCT(('Sales Dashboard'!$AO$5:$AO$301=$A144)*($AA$5:$AA$301=1)*(_xlpm.d&gt;=_xlpm.f)*(_xlpm.d&lt;=_xlpm.t)*('Sales and count'!$G$3:$CZ$3="Total"),'Sales and count'!$G$4:$CZ$300)))</f>
        <v>124048.58000000002</v>
      </c>
      <c r="E144" s="53" cm="1">
        <f t="array" ref="E144">IF($A144="","",_xlfn.LET(_xlpm.d,IFERROR(--'Sales and count'!$G$2:$CZ$2,0),_xlpm.f,INDEX($B$115:$B$119,MATCH(E$141,$A$115:$A$119,0)),_xlpm.t,INDEX($C$115:$C$119,MATCH(E$141,$A$115:$A$119,0)),SUMPRODUCT(('Sales Dashboard'!$AO$5:$AO$301=$A144)*($AA$5:$AA$301=1)*(_xlpm.d&gt;=_xlpm.f)*(_xlpm.d&lt;=_xlpm.t)*('Sales and count'!$G$3:$CZ$3="Total"),'Sales and count'!$G$4:$CZ$300)))</f>
        <v>102400.14999999998</v>
      </c>
      <c r="F144" s="53" cm="1">
        <f t="array" ref="F144">IF($A144="","",_xlfn.LET(_xlpm.d,IFERROR(--'Sales and count'!$G$2:$CZ$2,0),_xlpm.f,INDEX($B$115:$B$119,MATCH(F$141,$A$115:$A$119,0)),_xlpm.t,INDEX($C$115:$C$119,MATCH(F$141,$A$115:$A$119,0)),SUMPRODUCT(('Sales Dashboard'!$AO$5:$AO$301=$A144)*($AA$5:$AA$301=1)*(_xlpm.d&gt;=_xlpm.f)*(_xlpm.d&lt;=_xlpm.t)*('Sales and count'!$G$3:$CZ$3="Total"),'Sales and count'!$G$4:$CZ$300)))</f>
        <v>34492.32</v>
      </c>
      <c r="G144" s="53">
        <f t="shared" si="34"/>
        <v>563165.89999999991</v>
      </c>
      <c r="H144" s="55" cm="1">
        <f t="array" ref="H144">IF($A144="","",_xlfn.LET(_xlpm.k,SUMPRODUCT(--($D$115:$D$119&gt;0)),IF(_xlpm.k&lt;2,"",IFERROR((INDEX(B144:F144,_xlpm.k)/INDEX($D$115:$D$119,_xlpm.k))/(INDEX(B144:F144,_xlpm.k-1)/INDEX($D$115:$D$119,_xlpm.k-1))-1,""))))</f>
        <v>0.17893499179444583</v>
      </c>
      <c r="AA144" s="142">
        <f>--AND('Sales Dashboard'!AN144&lt;&gt;"",OR($B$3="All",'Sales Dashboard'!CF144=$B$3),IF(OR($B$4="All",$B$4="Multiple (ticked)"),IF(COUNTIF($B$6:$M$6,"✔")&gt;0,COUNTIFS($B$5:$M$5,'Sales Dashboard'!AN144,$B$6:$M$6,"✔")&gt;0,$B$4="All"),'Sales Dashboard'!AN144=$B$4))</f>
        <v>0</v>
      </c>
    </row>
    <row r="145" spans="1:27" ht="15" customHeight="1" x14ac:dyDescent="0.25">
      <c r="A145" s="45" t="str">
        <v>Arar</v>
      </c>
      <c r="B145" s="53" cm="1">
        <f t="array" ref="B145">IF($A145="","",_xlfn.LET(_xlpm.d,IFERROR(--'Sales and count'!$G$2:$CZ$2,0),_xlpm.f,INDEX($B$115:$B$119,MATCH(B$141,$A$115:$A$119,0)),_xlpm.t,INDEX($C$115:$C$119,MATCH(B$141,$A$115:$A$119,0)),SUMPRODUCT(('Sales Dashboard'!$AO$5:$AO$301=$A145)*($AA$5:$AA$301=1)*(_xlpm.d&gt;=_xlpm.f)*(_xlpm.d&lt;=_xlpm.t)*('Sales and count'!$G$3:$CZ$3="Total"),'Sales and count'!$G$4:$CZ$300)))</f>
        <v>36793.659999999996</v>
      </c>
      <c r="C145" s="53" cm="1">
        <f t="array" ref="C145">IF($A145="","",_xlfn.LET(_xlpm.d,IFERROR(--'Sales and count'!$G$2:$CZ$2,0),_xlpm.f,INDEX($B$115:$B$119,MATCH(C$141,$A$115:$A$119,0)),_xlpm.t,INDEX($C$115:$C$119,MATCH(C$141,$A$115:$A$119,0)),SUMPRODUCT(('Sales Dashboard'!$AO$5:$AO$301=$A145)*($AA$5:$AA$301=1)*(_xlpm.d&gt;=_xlpm.f)*(_xlpm.d&lt;=_xlpm.t)*('Sales and count'!$G$3:$CZ$3="Total"),'Sales and count'!$G$4:$CZ$300)))</f>
        <v>29402.38</v>
      </c>
      <c r="D145" s="53" cm="1">
        <f t="array" ref="D145">IF($A145="","",_xlfn.LET(_xlpm.d,IFERROR(--'Sales and count'!$G$2:$CZ$2,0),_xlpm.f,INDEX($B$115:$B$119,MATCH(D$141,$A$115:$A$119,0)),_xlpm.t,INDEX($C$115:$C$119,MATCH(D$141,$A$115:$A$119,0)),SUMPRODUCT(('Sales Dashboard'!$AO$5:$AO$301=$A145)*($AA$5:$AA$301=1)*(_xlpm.d&gt;=_xlpm.f)*(_xlpm.d&lt;=_xlpm.t)*('Sales and count'!$G$3:$CZ$3="Total"),'Sales and count'!$G$4:$CZ$300)))</f>
        <v>27739.39</v>
      </c>
      <c r="E145" s="53" cm="1">
        <f t="array" ref="E145">IF($A145="","",_xlfn.LET(_xlpm.d,IFERROR(--'Sales and count'!$G$2:$CZ$2,0),_xlpm.f,INDEX($B$115:$B$119,MATCH(E$141,$A$115:$A$119,0)),_xlpm.t,INDEX($C$115:$C$119,MATCH(E$141,$A$115:$A$119,0)),SUMPRODUCT(('Sales Dashboard'!$AO$5:$AO$301=$A145)*($AA$5:$AA$301=1)*(_xlpm.d&gt;=_xlpm.f)*(_xlpm.d&lt;=_xlpm.t)*('Sales and count'!$G$3:$CZ$3="Total"),'Sales and count'!$G$4:$CZ$300)))</f>
        <v>19927.920000000002</v>
      </c>
      <c r="F145" s="53" cm="1">
        <f t="array" ref="F145">IF($A145="","",_xlfn.LET(_xlpm.d,IFERROR(--'Sales and count'!$G$2:$CZ$2,0),_xlpm.f,INDEX($B$115:$B$119,MATCH(F$141,$A$115:$A$119,0)),_xlpm.t,INDEX($C$115:$C$119,MATCH(F$141,$A$115:$A$119,0)),SUMPRODUCT(('Sales Dashboard'!$AO$5:$AO$301=$A145)*($AA$5:$AA$301=1)*(_xlpm.d&gt;=_xlpm.f)*(_xlpm.d&lt;=_xlpm.t)*('Sales and count'!$G$3:$CZ$3="Total"),'Sales and count'!$G$4:$CZ$300)))</f>
        <v>4321.07</v>
      </c>
      <c r="G145" s="53">
        <f t="shared" si="34"/>
        <v>118184.41999999998</v>
      </c>
      <c r="H145" s="55" cm="1">
        <f t="array" ref="H145">IF($A145="","",_xlfn.LET(_xlpm.k,SUMPRODUCT(--($D$115:$D$119&gt;0)),IF(_xlpm.k&lt;2,"",IFERROR((INDEX(B145:F145,_xlpm.k)/INDEX($D$115:$D$119,_xlpm.k))/(INDEX(B145:F145,_xlpm.k-1)/INDEX($D$115:$D$119,_xlpm.k-1))-1,""))))</f>
        <v>-0.24107759364750581</v>
      </c>
      <c r="AA145" s="142">
        <f>--AND('Sales Dashboard'!AN145&lt;&gt;"",OR($B$3="All",'Sales Dashboard'!CF145=$B$3),IF(OR($B$4="All",$B$4="Multiple (ticked)"),IF(COUNTIF($B$6:$M$6,"✔")&gt;0,COUNTIFS($B$5:$M$5,'Sales Dashboard'!AN145,$B$6:$M$6,"✔")&gt;0,$B$4="All"),'Sales Dashboard'!AN145=$B$4))</f>
        <v>0</v>
      </c>
    </row>
    <row r="146" spans="1:27" ht="15" customHeight="1" x14ac:dyDescent="0.25">
      <c r="A146" s="45" t="str">
        <v>Baha</v>
      </c>
      <c r="B146" s="53" cm="1">
        <f t="array" ref="B146">IF($A146="","",_xlfn.LET(_xlpm.d,IFERROR(--'Sales and count'!$G$2:$CZ$2,0),_xlpm.f,INDEX($B$115:$B$119,MATCH(B$141,$A$115:$A$119,0)),_xlpm.t,INDEX($C$115:$C$119,MATCH(B$141,$A$115:$A$119,0)),SUMPRODUCT(('Sales Dashboard'!$AO$5:$AO$301=$A146)*($AA$5:$AA$301=1)*(_xlpm.d&gt;=_xlpm.f)*(_xlpm.d&lt;=_xlpm.t)*('Sales and count'!$G$3:$CZ$3="Total"),'Sales and count'!$G$4:$CZ$300)))</f>
        <v>29961.530000000002</v>
      </c>
      <c r="C146" s="53" cm="1">
        <f t="array" ref="C146">IF($A146="","",_xlfn.LET(_xlpm.d,IFERROR(--'Sales and count'!$G$2:$CZ$2,0),_xlpm.f,INDEX($B$115:$B$119,MATCH(C$141,$A$115:$A$119,0)),_xlpm.t,INDEX($C$115:$C$119,MATCH(C$141,$A$115:$A$119,0)),SUMPRODUCT(('Sales Dashboard'!$AO$5:$AO$301=$A146)*($AA$5:$AA$301=1)*(_xlpm.d&gt;=_xlpm.f)*(_xlpm.d&lt;=_xlpm.t)*('Sales and count'!$G$3:$CZ$3="Total"),'Sales and count'!$G$4:$CZ$300)))</f>
        <v>34598.51</v>
      </c>
      <c r="D146" s="53" cm="1">
        <f t="array" ref="D146">IF($A146="","",_xlfn.LET(_xlpm.d,IFERROR(--'Sales and count'!$G$2:$CZ$2,0),_xlpm.f,INDEX($B$115:$B$119,MATCH(D$141,$A$115:$A$119,0)),_xlpm.t,INDEX($C$115:$C$119,MATCH(D$141,$A$115:$A$119,0)),SUMPRODUCT(('Sales Dashboard'!$AO$5:$AO$301=$A146)*($AA$5:$AA$301=1)*(_xlpm.d&gt;=_xlpm.f)*(_xlpm.d&lt;=_xlpm.t)*('Sales and count'!$G$3:$CZ$3="Total"),'Sales and count'!$G$4:$CZ$300)))</f>
        <v>31005.409999999996</v>
      </c>
      <c r="E146" s="53" cm="1">
        <f t="array" ref="E146">IF($A146="","",_xlfn.LET(_xlpm.d,IFERROR(--'Sales and count'!$G$2:$CZ$2,0),_xlpm.f,INDEX($B$115:$B$119,MATCH(E$141,$A$115:$A$119,0)),_xlpm.t,INDEX($C$115:$C$119,MATCH(E$141,$A$115:$A$119,0)),SUMPRODUCT(('Sales Dashboard'!$AO$5:$AO$301=$A146)*($AA$5:$AA$301=1)*(_xlpm.d&gt;=_xlpm.f)*(_xlpm.d&lt;=_xlpm.t)*('Sales and count'!$G$3:$CZ$3="Total"),'Sales and count'!$G$4:$CZ$300)))</f>
        <v>30800.66</v>
      </c>
      <c r="F146" s="53" cm="1">
        <f t="array" ref="F146">IF($A146="","",_xlfn.LET(_xlpm.d,IFERROR(--'Sales and count'!$G$2:$CZ$2,0),_xlpm.f,INDEX($B$115:$B$119,MATCH(F$141,$A$115:$A$119,0)),_xlpm.t,INDEX($C$115:$C$119,MATCH(F$141,$A$115:$A$119,0)),SUMPRODUCT(('Sales Dashboard'!$AO$5:$AO$301=$A146)*($AA$5:$AA$301=1)*(_xlpm.d&gt;=_xlpm.f)*(_xlpm.d&lt;=_xlpm.t)*('Sales and count'!$G$3:$CZ$3="Total"),'Sales and count'!$G$4:$CZ$300)))</f>
        <v>9425.86</v>
      </c>
      <c r="G146" s="53">
        <f t="shared" si="34"/>
        <v>135791.97000000003</v>
      </c>
      <c r="H146" s="55" cm="1">
        <f t="array" ref="H146">IF($A146="","",_xlfn.LET(_xlpm.k,SUMPRODUCT(--($D$115:$D$119&gt;0)),IF(_xlpm.k&lt;2,"",IFERROR((INDEX(B146:F146,_xlpm.k)/INDEX($D$115:$D$119,_xlpm.k))/(INDEX(B146:F146,_xlpm.k-1)/INDEX($D$115:$D$119,_xlpm.k-1))-1,""))))</f>
        <v>7.1097502456116235E-2</v>
      </c>
      <c r="AA146" s="142">
        <f>--AND('Sales Dashboard'!AN146&lt;&gt;"",OR($B$3="All",'Sales Dashboard'!CF146=$B$3),IF(OR($B$4="All",$B$4="Multiple (ticked)"),IF(COUNTIF($B$6:$M$6,"✔")&gt;0,COUNTIFS($B$5:$M$5,'Sales Dashboard'!AN146,$B$6:$M$6,"✔")&gt;0,$B$4="All"),'Sales Dashboard'!AN146=$B$4))</f>
        <v>0</v>
      </c>
    </row>
    <row r="147" spans="1:27" ht="15" customHeight="1" x14ac:dyDescent="0.25">
      <c r="A147" s="45" t="str">
        <v>Buraidah</v>
      </c>
      <c r="B147" s="53" cm="1">
        <f t="array" ref="B147">IF($A147="","",_xlfn.LET(_xlpm.d,IFERROR(--'Sales and count'!$G$2:$CZ$2,0),_xlpm.f,INDEX($B$115:$B$119,MATCH(B$141,$A$115:$A$119,0)),_xlpm.t,INDEX($C$115:$C$119,MATCH(B$141,$A$115:$A$119,0)),SUMPRODUCT(('Sales Dashboard'!$AO$5:$AO$301=$A147)*($AA$5:$AA$301=1)*(_xlpm.d&gt;=_xlpm.f)*(_xlpm.d&lt;=_xlpm.t)*('Sales and count'!$G$3:$CZ$3="Total"),'Sales and count'!$G$4:$CZ$300)))</f>
        <v>27030.32</v>
      </c>
      <c r="C147" s="53" cm="1">
        <f t="array" ref="C147">IF($A147="","",_xlfn.LET(_xlpm.d,IFERROR(--'Sales and count'!$G$2:$CZ$2,0),_xlpm.f,INDEX($B$115:$B$119,MATCH(C$141,$A$115:$A$119,0)),_xlpm.t,INDEX($C$115:$C$119,MATCH(C$141,$A$115:$A$119,0)),SUMPRODUCT(('Sales Dashboard'!$AO$5:$AO$301=$A147)*($AA$5:$AA$301=1)*(_xlpm.d&gt;=_xlpm.f)*(_xlpm.d&lt;=_xlpm.t)*('Sales and count'!$G$3:$CZ$3="Total"),'Sales and count'!$G$4:$CZ$300)))</f>
        <v>42945.609999999986</v>
      </c>
      <c r="D147" s="53" cm="1">
        <f t="array" ref="D147">IF($A147="","",_xlfn.LET(_xlpm.d,IFERROR(--'Sales and count'!$G$2:$CZ$2,0),_xlpm.f,INDEX($B$115:$B$119,MATCH(D$141,$A$115:$A$119,0)),_xlpm.t,INDEX($C$115:$C$119,MATCH(D$141,$A$115:$A$119,0)),SUMPRODUCT(('Sales Dashboard'!$AO$5:$AO$301=$A147)*($AA$5:$AA$301=1)*(_xlpm.d&gt;=_xlpm.f)*(_xlpm.d&lt;=_xlpm.t)*('Sales and count'!$G$3:$CZ$3="Total"),'Sales and count'!$G$4:$CZ$300)))</f>
        <v>39550.43</v>
      </c>
      <c r="E147" s="53" cm="1">
        <f t="array" ref="E147">IF($A147="","",_xlfn.LET(_xlpm.d,IFERROR(--'Sales and count'!$G$2:$CZ$2,0),_xlpm.f,INDEX($B$115:$B$119,MATCH(E$141,$A$115:$A$119,0)),_xlpm.t,INDEX($C$115:$C$119,MATCH(E$141,$A$115:$A$119,0)),SUMPRODUCT(('Sales Dashboard'!$AO$5:$AO$301=$A147)*($AA$5:$AA$301=1)*(_xlpm.d&gt;=_xlpm.f)*(_xlpm.d&lt;=_xlpm.t)*('Sales and count'!$G$3:$CZ$3="Total"),'Sales and count'!$G$4:$CZ$300)))</f>
        <v>33279.409999999996</v>
      </c>
      <c r="F147" s="53" cm="1">
        <f t="array" ref="F147">IF($A147="","",_xlfn.LET(_xlpm.d,IFERROR(--'Sales and count'!$G$2:$CZ$2,0),_xlpm.f,INDEX($B$115:$B$119,MATCH(F$141,$A$115:$A$119,0)),_xlpm.t,INDEX($C$115:$C$119,MATCH(F$141,$A$115:$A$119,0)),SUMPRODUCT(('Sales Dashboard'!$AO$5:$AO$301=$A147)*($AA$5:$AA$301=1)*(_xlpm.d&gt;=_xlpm.f)*(_xlpm.d&lt;=_xlpm.t)*('Sales and count'!$G$3:$CZ$3="Total"),'Sales and count'!$G$4:$CZ$300)))</f>
        <v>11836.060000000001</v>
      </c>
      <c r="G147" s="53">
        <f t="shared" si="34"/>
        <v>154641.82999999999</v>
      </c>
      <c r="H147" s="55" cm="1">
        <f t="array" ref="H147">IF($A147="","",_xlfn.LET(_xlpm.k,SUMPRODUCT(--($D$115:$D$119&gt;0)),IF(_xlpm.k&lt;2,"",IFERROR((INDEX(B147:F147,_xlpm.k)/INDEX($D$115:$D$119,_xlpm.k))/(INDEX(B147:F147,_xlpm.k-1)/INDEX($D$115:$D$119,_xlpm.k-1))-1,""))))</f>
        <v>0.24480001298099974</v>
      </c>
      <c r="AA147" s="142">
        <f>--AND('Sales Dashboard'!AN147&lt;&gt;"",OR($B$3="All",'Sales Dashboard'!CF147=$B$3),IF(OR($B$4="All",$B$4="Multiple (ticked)"),IF(COUNTIF($B$6:$M$6,"✔")&gt;0,COUNTIFS($B$5:$M$5,'Sales Dashboard'!AN147,$B$6:$M$6,"✔")&gt;0,$B$4="All"),'Sales Dashboard'!AN147=$B$4))</f>
        <v>0</v>
      </c>
    </row>
    <row r="148" spans="1:27" ht="15" customHeight="1" x14ac:dyDescent="0.25">
      <c r="A148" s="45" t="str">
        <v>Dammam</v>
      </c>
      <c r="B148" s="53" cm="1">
        <f t="array" ref="B148">IF($A148="","",_xlfn.LET(_xlpm.d,IFERROR(--'Sales and count'!$G$2:$CZ$2,0),_xlpm.f,INDEX($B$115:$B$119,MATCH(B$141,$A$115:$A$119,0)),_xlpm.t,INDEX($C$115:$C$119,MATCH(B$141,$A$115:$A$119,0)),SUMPRODUCT(('Sales Dashboard'!$AO$5:$AO$301=$A148)*($AA$5:$AA$301=1)*(_xlpm.d&gt;=_xlpm.f)*(_xlpm.d&lt;=_xlpm.t)*('Sales and count'!$G$3:$CZ$3="Total"),'Sales and count'!$G$4:$CZ$300)))</f>
        <v>118943.35999999999</v>
      </c>
      <c r="C148" s="53" cm="1">
        <f t="array" ref="C148">IF($A148="","",_xlfn.LET(_xlpm.d,IFERROR(--'Sales and count'!$G$2:$CZ$2,0),_xlpm.f,INDEX($B$115:$B$119,MATCH(C$141,$A$115:$A$119,0)),_xlpm.t,INDEX($C$115:$C$119,MATCH(C$141,$A$115:$A$119,0)),SUMPRODUCT(('Sales Dashboard'!$AO$5:$AO$301=$A148)*($AA$5:$AA$301=1)*(_xlpm.d&gt;=_xlpm.f)*(_xlpm.d&lt;=_xlpm.t)*('Sales and count'!$G$3:$CZ$3="Total"),'Sales and count'!$G$4:$CZ$300)))</f>
        <v>169606.63999999998</v>
      </c>
      <c r="D148" s="53" cm="1">
        <f t="array" ref="D148">IF($A148="","",_xlfn.LET(_xlpm.d,IFERROR(--'Sales and count'!$G$2:$CZ$2,0),_xlpm.f,INDEX($B$115:$B$119,MATCH(D$141,$A$115:$A$119,0)),_xlpm.t,INDEX($C$115:$C$119,MATCH(D$141,$A$115:$A$119,0)),SUMPRODUCT(('Sales Dashboard'!$AO$5:$AO$301=$A148)*($AA$5:$AA$301=1)*(_xlpm.d&gt;=_xlpm.f)*(_xlpm.d&lt;=_xlpm.t)*('Sales and count'!$G$3:$CZ$3="Total"),'Sales and count'!$G$4:$CZ$300)))</f>
        <v>123841.46</v>
      </c>
      <c r="E148" s="53" cm="1">
        <f t="array" ref="E148">IF($A148="","",_xlfn.LET(_xlpm.d,IFERROR(--'Sales and count'!$G$2:$CZ$2,0),_xlpm.f,INDEX($B$115:$B$119,MATCH(E$141,$A$115:$A$119,0)),_xlpm.t,INDEX($C$115:$C$119,MATCH(E$141,$A$115:$A$119,0)),SUMPRODUCT(('Sales Dashboard'!$AO$5:$AO$301=$A148)*($AA$5:$AA$301=1)*(_xlpm.d&gt;=_xlpm.f)*(_xlpm.d&lt;=_xlpm.t)*('Sales and count'!$G$3:$CZ$3="Total"),'Sales and count'!$G$4:$CZ$300)))</f>
        <v>123546.03</v>
      </c>
      <c r="F148" s="53" cm="1">
        <f t="array" ref="F148">IF($A148="","",_xlfn.LET(_xlpm.d,IFERROR(--'Sales and count'!$G$2:$CZ$2,0),_xlpm.f,INDEX($B$115:$B$119,MATCH(F$141,$A$115:$A$119,0)),_xlpm.t,INDEX($C$115:$C$119,MATCH(F$141,$A$115:$A$119,0)),SUMPRODUCT(('Sales Dashboard'!$AO$5:$AO$301=$A148)*($AA$5:$AA$301=1)*(_xlpm.d&gt;=_xlpm.f)*(_xlpm.d&lt;=_xlpm.t)*('Sales and count'!$G$3:$CZ$3="Total"),'Sales and count'!$G$4:$CZ$300)))</f>
        <v>33053.589999999997</v>
      </c>
      <c r="G148" s="53">
        <f t="shared" si="34"/>
        <v>568991.07999999996</v>
      </c>
      <c r="H148" s="55" cm="1">
        <f t="array" ref="H148">IF($A148="","",_xlfn.LET(_xlpm.k,SUMPRODUCT(--($D$115:$D$119&gt;0)),IF(_xlpm.k&lt;2,"",IFERROR((INDEX(B148:F148,_xlpm.k)/INDEX($D$115:$D$119,_xlpm.k))/(INDEX(B148:F148,_xlpm.k-1)/INDEX($D$115:$D$119,_xlpm.k-1))-1,""))))</f>
        <v>-6.3607588200122689E-2</v>
      </c>
      <c r="AA148" s="142">
        <f>--AND('Sales Dashboard'!AN148&lt;&gt;"",OR($B$3="All",'Sales Dashboard'!CF148=$B$3),IF(OR($B$4="All",$B$4="Multiple (ticked)"),IF(COUNTIF($B$6:$M$6,"✔")&gt;0,COUNTIFS($B$5:$M$5,'Sales Dashboard'!AN148,$B$6:$M$6,"✔")&gt;0,$B$4="All"),'Sales Dashboard'!AN148=$B$4))</f>
        <v>0</v>
      </c>
    </row>
    <row r="149" spans="1:27" ht="15" customHeight="1" x14ac:dyDescent="0.25">
      <c r="A149" s="45" t="str">
        <v>Dawadami</v>
      </c>
      <c r="B149" s="53" cm="1">
        <f t="array" ref="B149">IF($A149="","",_xlfn.LET(_xlpm.d,IFERROR(--'Sales and count'!$G$2:$CZ$2,0),_xlpm.f,INDEX($B$115:$B$119,MATCH(B$141,$A$115:$A$119,0)),_xlpm.t,INDEX($C$115:$C$119,MATCH(B$141,$A$115:$A$119,0)),SUMPRODUCT(('Sales Dashboard'!$AO$5:$AO$301=$A149)*($AA$5:$AA$301=1)*(_xlpm.d&gt;=_xlpm.f)*(_xlpm.d&lt;=_xlpm.t)*('Sales and count'!$G$3:$CZ$3="Total"),'Sales and count'!$G$4:$CZ$300)))</f>
        <v>14846.35</v>
      </c>
      <c r="C149" s="53" cm="1">
        <f t="array" ref="C149">IF($A149="","",_xlfn.LET(_xlpm.d,IFERROR(--'Sales and count'!$G$2:$CZ$2,0),_xlpm.f,INDEX($B$115:$B$119,MATCH(C$141,$A$115:$A$119,0)),_xlpm.t,INDEX($C$115:$C$119,MATCH(C$141,$A$115:$A$119,0)),SUMPRODUCT(('Sales Dashboard'!$AO$5:$AO$301=$A149)*($AA$5:$AA$301=1)*(_xlpm.d&gt;=_xlpm.f)*(_xlpm.d&lt;=_xlpm.t)*('Sales and count'!$G$3:$CZ$3="Total"),'Sales and count'!$G$4:$CZ$300)))</f>
        <v>19263.310000000005</v>
      </c>
      <c r="D149" s="53" cm="1">
        <f t="array" ref="D149">IF($A149="","",_xlfn.LET(_xlpm.d,IFERROR(--'Sales and count'!$G$2:$CZ$2,0),_xlpm.f,INDEX($B$115:$B$119,MATCH(D$141,$A$115:$A$119,0)),_xlpm.t,INDEX($C$115:$C$119,MATCH(D$141,$A$115:$A$119,0)),SUMPRODUCT(('Sales Dashboard'!$AO$5:$AO$301=$A149)*($AA$5:$AA$301=1)*(_xlpm.d&gt;=_xlpm.f)*(_xlpm.d&lt;=_xlpm.t)*('Sales and count'!$G$3:$CZ$3="Total"),'Sales and count'!$G$4:$CZ$300)))</f>
        <v>14828.070000000002</v>
      </c>
      <c r="E149" s="53" cm="1">
        <f t="array" ref="E149">IF($A149="","",_xlfn.LET(_xlpm.d,IFERROR(--'Sales and count'!$G$2:$CZ$2,0),_xlpm.f,INDEX($B$115:$B$119,MATCH(E$141,$A$115:$A$119,0)),_xlpm.t,INDEX($C$115:$C$119,MATCH(E$141,$A$115:$A$119,0)),SUMPRODUCT(('Sales Dashboard'!$AO$5:$AO$301=$A149)*($AA$5:$AA$301=1)*(_xlpm.d&gt;=_xlpm.f)*(_xlpm.d&lt;=_xlpm.t)*('Sales and count'!$G$3:$CZ$3="Total"),'Sales and count'!$G$4:$CZ$300)))</f>
        <v>18544.91</v>
      </c>
      <c r="F149" s="53" cm="1">
        <f t="array" ref="F149">IF($A149="","",_xlfn.LET(_xlpm.d,IFERROR(--'Sales and count'!$G$2:$CZ$2,0),_xlpm.f,INDEX($B$115:$B$119,MATCH(F$141,$A$115:$A$119,0)),_xlpm.t,INDEX($C$115:$C$119,MATCH(F$141,$A$115:$A$119,0)),SUMPRODUCT(('Sales Dashboard'!$AO$5:$AO$301=$A149)*($AA$5:$AA$301=1)*(_xlpm.d&gt;=_xlpm.f)*(_xlpm.d&lt;=_xlpm.t)*('Sales and count'!$G$3:$CZ$3="Total"),'Sales and count'!$G$4:$CZ$300)))</f>
        <v>5073.04</v>
      </c>
      <c r="G149" s="53">
        <f t="shared" si="34"/>
        <v>72555.679999999993</v>
      </c>
      <c r="H149" s="55" cm="1">
        <f t="array" ref="H149">IF($A149="","",_xlfn.LET(_xlpm.k,SUMPRODUCT(--($D$115:$D$119&gt;0)),IF(_xlpm.k&lt;2,"",IFERROR((INDEX(B149:F149,_xlpm.k)/INDEX($D$115:$D$119,_xlpm.k))/(INDEX(B149:F149,_xlpm.k-1)/INDEX($D$115:$D$119,_xlpm.k-1))-1,""))))</f>
        <v>-4.2559926146851002E-2</v>
      </c>
      <c r="AA149" s="142">
        <f>--AND('Sales Dashboard'!AN149&lt;&gt;"",OR($B$3="All",'Sales Dashboard'!CF149=$B$3),IF(OR($B$4="All",$B$4="Multiple (ticked)"),IF(COUNTIF($B$6:$M$6,"✔")&gt;0,COUNTIFS($B$5:$M$5,'Sales Dashboard'!AN149,$B$6:$M$6,"✔")&gt;0,$B$4="All"),'Sales Dashboard'!AN149=$B$4))</f>
        <v>0</v>
      </c>
    </row>
    <row r="150" spans="1:27" ht="15" customHeight="1" x14ac:dyDescent="0.25">
      <c r="A150" s="45" t="str">
        <v>Hafer Al Batin</v>
      </c>
      <c r="B150" s="53" cm="1">
        <f t="array" ref="B150">IF($A150="","",_xlfn.LET(_xlpm.d,IFERROR(--'Sales and count'!$G$2:$CZ$2,0),_xlpm.f,INDEX($B$115:$B$119,MATCH(B$141,$A$115:$A$119,0)),_xlpm.t,INDEX($C$115:$C$119,MATCH(B$141,$A$115:$A$119,0)),SUMPRODUCT(('Sales Dashboard'!$AO$5:$AO$301=$A150)*($AA$5:$AA$301=1)*(_xlpm.d&gt;=_xlpm.f)*(_xlpm.d&lt;=_xlpm.t)*('Sales and count'!$G$3:$CZ$3="Total"),'Sales and count'!$G$4:$CZ$300)))</f>
        <v>71761.540000000008</v>
      </c>
      <c r="C150" s="53" cm="1">
        <f t="array" ref="C150">IF($A150="","",_xlfn.LET(_xlpm.d,IFERROR(--'Sales and count'!$G$2:$CZ$2,0),_xlpm.f,INDEX($B$115:$B$119,MATCH(C$141,$A$115:$A$119,0)),_xlpm.t,INDEX($C$115:$C$119,MATCH(C$141,$A$115:$A$119,0)),SUMPRODUCT(('Sales Dashboard'!$AO$5:$AO$301=$A150)*($AA$5:$AA$301=1)*(_xlpm.d&gt;=_xlpm.f)*(_xlpm.d&lt;=_xlpm.t)*('Sales and count'!$G$3:$CZ$3="Total"),'Sales and count'!$G$4:$CZ$300)))</f>
        <v>87973.51</v>
      </c>
      <c r="D150" s="53" cm="1">
        <f t="array" ref="D150">IF($A150="","",_xlfn.LET(_xlpm.d,IFERROR(--'Sales and count'!$G$2:$CZ$2,0),_xlpm.f,INDEX($B$115:$B$119,MATCH(D$141,$A$115:$A$119,0)),_xlpm.t,INDEX($C$115:$C$119,MATCH(D$141,$A$115:$A$119,0)),SUMPRODUCT(('Sales Dashboard'!$AO$5:$AO$301=$A150)*($AA$5:$AA$301=1)*(_xlpm.d&gt;=_xlpm.f)*(_xlpm.d&lt;=_xlpm.t)*('Sales and count'!$G$3:$CZ$3="Total"),'Sales and count'!$G$4:$CZ$300)))</f>
        <v>76527.009999999995</v>
      </c>
      <c r="E150" s="53" cm="1">
        <f t="array" ref="E150">IF($A150="","",_xlfn.LET(_xlpm.d,IFERROR(--'Sales and count'!$G$2:$CZ$2,0),_xlpm.f,INDEX($B$115:$B$119,MATCH(E$141,$A$115:$A$119,0)),_xlpm.t,INDEX($C$115:$C$119,MATCH(E$141,$A$115:$A$119,0)),SUMPRODUCT(('Sales Dashboard'!$AO$5:$AO$301=$A150)*($AA$5:$AA$301=1)*(_xlpm.d&gt;=_xlpm.f)*(_xlpm.d&lt;=_xlpm.t)*('Sales and count'!$G$3:$CZ$3="Total"),'Sales and count'!$G$4:$CZ$300)))</f>
        <v>72791.650000000009</v>
      </c>
      <c r="F150" s="53" cm="1">
        <f t="array" ref="F150">IF($A150="","",_xlfn.LET(_xlpm.d,IFERROR(--'Sales and count'!$G$2:$CZ$2,0),_xlpm.f,INDEX($B$115:$B$119,MATCH(F$141,$A$115:$A$119,0)),_xlpm.t,INDEX($C$115:$C$119,MATCH(F$141,$A$115:$A$119,0)),SUMPRODUCT(('Sales Dashboard'!$AO$5:$AO$301=$A150)*($AA$5:$AA$301=1)*(_xlpm.d&gt;=_xlpm.f)*(_xlpm.d&lt;=_xlpm.t)*('Sales and count'!$G$3:$CZ$3="Total"),'Sales and count'!$G$4:$CZ$300)))</f>
        <v>18009.939999999999</v>
      </c>
      <c r="G150" s="53">
        <f t="shared" si="34"/>
        <v>327063.65000000002</v>
      </c>
      <c r="H150" s="55" cm="1">
        <f t="array" ref="H150">IF($A150="","",_xlfn.LET(_xlpm.k,SUMPRODUCT(--($D$115:$D$119&gt;0)),IF(_xlpm.k&lt;2,"",IFERROR((INDEX(B150:F150,_xlpm.k)/INDEX($D$115:$D$119,_xlpm.k))/(INDEX(B150:F150,_xlpm.k-1)/INDEX($D$115:$D$119,_xlpm.k-1))-1,""))))</f>
        <v>-0.13403817608200952</v>
      </c>
      <c r="AA150" s="142">
        <f>--AND('Sales Dashboard'!AN150&lt;&gt;"",OR($B$3="All",'Sales Dashboard'!CF150=$B$3),IF(OR($B$4="All",$B$4="Multiple (ticked)"),IF(COUNTIF($B$6:$M$6,"✔")&gt;0,COUNTIFS($B$5:$M$5,'Sales Dashboard'!AN150,$B$6:$M$6,"✔")&gt;0,$B$4="All"),'Sales Dashboard'!AN150=$B$4))</f>
        <v>0</v>
      </c>
    </row>
    <row r="151" spans="1:27" ht="15" customHeight="1" x14ac:dyDescent="0.25">
      <c r="A151" s="45" t="str">
        <v>Hail</v>
      </c>
      <c r="B151" s="53" cm="1">
        <f t="array" ref="B151">IF($A151="","",_xlfn.LET(_xlpm.d,IFERROR(--'Sales and count'!$G$2:$CZ$2,0),_xlpm.f,INDEX($B$115:$B$119,MATCH(B$141,$A$115:$A$119,0)),_xlpm.t,INDEX($C$115:$C$119,MATCH(B$141,$A$115:$A$119,0)),SUMPRODUCT(('Sales Dashboard'!$AO$5:$AO$301=$A151)*($AA$5:$AA$301=1)*(_xlpm.d&gt;=_xlpm.f)*(_xlpm.d&lt;=_xlpm.t)*('Sales and count'!$G$3:$CZ$3="Total"),'Sales and count'!$G$4:$CZ$300)))</f>
        <v>41449.649999999994</v>
      </c>
      <c r="C151" s="53" cm="1">
        <f t="array" ref="C151">IF($A151="","",_xlfn.LET(_xlpm.d,IFERROR(--'Sales and count'!$G$2:$CZ$2,0),_xlpm.f,INDEX($B$115:$B$119,MATCH(C$141,$A$115:$A$119,0)),_xlpm.t,INDEX($C$115:$C$119,MATCH(C$141,$A$115:$A$119,0)),SUMPRODUCT(('Sales Dashboard'!$AO$5:$AO$301=$A151)*($AA$5:$AA$301=1)*(_xlpm.d&gt;=_xlpm.f)*(_xlpm.d&lt;=_xlpm.t)*('Sales and count'!$G$3:$CZ$3="Total"),'Sales and count'!$G$4:$CZ$300)))</f>
        <v>57370.78</v>
      </c>
      <c r="D151" s="53" cm="1">
        <f t="array" ref="D151">IF($A151="","",_xlfn.LET(_xlpm.d,IFERROR(--'Sales and count'!$G$2:$CZ$2,0),_xlpm.f,INDEX($B$115:$B$119,MATCH(D$141,$A$115:$A$119,0)),_xlpm.t,INDEX($C$115:$C$119,MATCH(D$141,$A$115:$A$119,0)),SUMPRODUCT(('Sales Dashboard'!$AO$5:$AO$301=$A151)*($AA$5:$AA$301=1)*(_xlpm.d&gt;=_xlpm.f)*(_xlpm.d&lt;=_xlpm.t)*('Sales and count'!$G$3:$CZ$3="Total"),'Sales and count'!$G$4:$CZ$300)))</f>
        <v>50020.789999999994</v>
      </c>
      <c r="E151" s="53" cm="1">
        <f t="array" ref="E151">IF($A151="","",_xlfn.LET(_xlpm.d,IFERROR(--'Sales and count'!$G$2:$CZ$2,0),_xlpm.f,INDEX($B$115:$B$119,MATCH(E$141,$A$115:$A$119,0)),_xlpm.t,INDEX($C$115:$C$119,MATCH(E$141,$A$115:$A$119,0)),SUMPRODUCT(('Sales Dashboard'!$AO$5:$AO$301=$A151)*($AA$5:$AA$301=1)*(_xlpm.d&gt;=_xlpm.f)*(_xlpm.d&lt;=_xlpm.t)*('Sales and count'!$G$3:$CZ$3="Total"),'Sales and count'!$G$4:$CZ$300)))</f>
        <v>46313.16</v>
      </c>
      <c r="F151" s="53" cm="1">
        <f t="array" ref="F151">IF($A151="","",_xlfn.LET(_xlpm.d,IFERROR(--'Sales and count'!$G$2:$CZ$2,0),_xlpm.f,INDEX($B$115:$B$119,MATCH(F$141,$A$115:$A$119,0)),_xlpm.t,INDEX($C$115:$C$119,MATCH(F$141,$A$115:$A$119,0)),SUMPRODUCT(('Sales Dashboard'!$AO$5:$AO$301=$A151)*($AA$5:$AA$301=1)*(_xlpm.d&gt;=_xlpm.f)*(_xlpm.d&lt;=_xlpm.t)*('Sales and count'!$G$3:$CZ$3="Total"),'Sales and count'!$G$4:$CZ$300)))</f>
        <v>14243.130000000001</v>
      </c>
      <c r="G151" s="53">
        <f t="shared" si="34"/>
        <v>209397.50999999998</v>
      </c>
      <c r="H151" s="55" cm="1">
        <f t="array" ref="H151">IF($A151="","",_xlfn.LET(_xlpm.k,SUMPRODUCT(--($D$115:$D$119&gt;0)),IF(_xlpm.k&lt;2,"",IFERROR((INDEX(B151:F151,_xlpm.k)/INDEX($D$115:$D$119,_xlpm.k))/(INDEX(B151:F151,_xlpm.k-1)/INDEX($D$115:$D$119,_xlpm.k-1))-1,""))))</f>
        <v>7.6388547013419128E-2</v>
      </c>
      <c r="AA151" s="142">
        <f>--AND('Sales Dashboard'!AN151&lt;&gt;"",OR($B$3="All",'Sales Dashboard'!CF151=$B$3),IF(OR($B$4="All",$B$4="Multiple (ticked)"),IF(COUNTIF($B$6:$M$6,"✔")&gt;0,COUNTIFS($B$5:$M$5,'Sales Dashboard'!AN151,$B$6:$M$6,"✔")&gt;0,$B$4="All"),'Sales Dashboard'!AN151=$B$4))</f>
        <v>0</v>
      </c>
    </row>
    <row r="152" spans="1:27" ht="15" customHeight="1" x14ac:dyDescent="0.25">
      <c r="A152" s="45" t="str">
        <v>Jeddah</v>
      </c>
      <c r="B152" s="53" cm="1">
        <f t="array" ref="B152">IF($A152="","",_xlfn.LET(_xlpm.d,IFERROR(--'Sales and count'!$G$2:$CZ$2,0),_xlpm.f,INDEX($B$115:$B$119,MATCH(B$141,$A$115:$A$119,0)),_xlpm.t,INDEX($C$115:$C$119,MATCH(B$141,$A$115:$A$119,0)),SUMPRODUCT(('Sales Dashboard'!$AO$5:$AO$301=$A152)*($AA$5:$AA$301=1)*(_xlpm.d&gt;=_xlpm.f)*(_xlpm.d&lt;=_xlpm.t)*('Sales and count'!$G$3:$CZ$3="Total"),'Sales and count'!$G$4:$CZ$300)))</f>
        <v>518974.16</v>
      </c>
      <c r="C152" s="53" cm="1">
        <f t="array" ref="C152">IF($A152="","",_xlfn.LET(_xlpm.d,IFERROR(--'Sales and count'!$G$2:$CZ$2,0),_xlpm.f,INDEX($B$115:$B$119,MATCH(C$141,$A$115:$A$119,0)),_xlpm.t,INDEX($C$115:$C$119,MATCH(C$141,$A$115:$A$119,0)),SUMPRODUCT(('Sales Dashboard'!$AO$5:$AO$301=$A152)*($AA$5:$AA$301=1)*(_xlpm.d&gt;=_xlpm.f)*(_xlpm.d&lt;=_xlpm.t)*('Sales and count'!$G$3:$CZ$3="Total"),'Sales and count'!$G$4:$CZ$300)))</f>
        <v>857439.43999999983</v>
      </c>
      <c r="D152" s="53" cm="1">
        <f t="array" ref="D152">IF($A152="","",_xlfn.LET(_xlpm.d,IFERROR(--'Sales and count'!$G$2:$CZ$2,0),_xlpm.f,INDEX($B$115:$B$119,MATCH(D$141,$A$115:$A$119,0)),_xlpm.t,INDEX($C$115:$C$119,MATCH(D$141,$A$115:$A$119,0)),SUMPRODUCT(('Sales Dashboard'!$AO$5:$AO$301=$A152)*($AA$5:$AA$301=1)*(_xlpm.d&gt;=_xlpm.f)*(_xlpm.d&lt;=_xlpm.t)*('Sales and count'!$G$3:$CZ$3="Total"),'Sales and count'!$G$4:$CZ$300)))</f>
        <v>637408.38000000012</v>
      </c>
      <c r="E152" s="53" cm="1">
        <f t="array" ref="E152">IF($A152="","",_xlfn.LET(_xlpm.d,IFERROR(--'Sales and count'!$G$2:$CZ$2,0),_xlpm.f,INDEX($B$115:$B$119,MATCH(E$141,$A$115:$A$119,0)),_xlpm.t,INDEX($C$115:$C$119,MATCH(E$141,$A$115:$A$119,0)),SUMPRODUCT(('Sales Dashboard'!$AO$5:$AO$301=$A152)*($AA$5:$AA$301=1)*(_xlpm.d&gt;=_xlpm.f)*(_xlpm.d&lt;=_xlpm.t)*('Sales and count'!$G$3:$CZ$3="Total"),'Sales and count'!$G$4:$CZ$300)))</f>
        <v>610521.51000000013</v>
      </c>
      <c r="F152" s="53" cm="1">
        <f t="array" ref="F152">IF($A152="","",_xlfn.LET(_xlpm.d,IFERROR(--'Sales and count'!$G$2:$CZ$2,0),_xlpm.f,INDEX($B$115:$B$119,MATCH(F$141,$A$115:$A$119,0)),_xlpm.t,INDEX($C$115:$C$119,MATCH(F$141,$A$115:$A$119,0)),SUMPRODUCT(('Sales Dashboard'!$AO$5:$AO$301=$A152)*($AA$5:$AA$301=1)*(_xlpm.d&gt;=_xlpm.f)*(_xlpm.d&lt;=_xlpm.t)*('Sales and count'!$G$3:$CZ$3="Total"),'Sales and count'!$G$4:$CZ$300)))</f>
        <v>162489.85</v>
      </c>
      <c r="G152" s="53">
        <f t="shared" si="34"/>
        <v>2786833.3400000003</v>
      </c>
      <c r="H152" s="55" cm="1">
        <f t="array" ref="H152">IF($A152="","",_xlfn.LET(_xlpm.k,SUMPRODUCT(--($D$115:$D$119&gt;0)),IF(_xlpm.k&lt;2,"",IFERROR((INDEX(B152:F152,_xlpm.k)/INDEX($D$115:$D$119,_xlpm.k))/(INDEX(B152:F152,_xlpm.k-1)/INDEX($D$115:$D$119,_xlpm.k-1))-1,""))))</f>
        <v>-6.8477579111012932E-2</v>
      </c>
      <c r="AA152" s="142">
        <f>--AND('Sales Dashboard'!AN152&lt;&gt;"",OR($B$3="All",'Sales Dashboard'!CF152=$B$3),IF(OR($B$4="All",$B$4="Multiple (ticked)"),IF(COUNTIF($B$6:$M$6,"✔")&gt;0,COUNTIFS($B$5:$M$5,'Sales Dashboard'!AN152,$B$6:$M$6,"✔")&gt;0,$B$4="All"),'Sales Dashboard'!AN152=$B$4))</f>
        <v>0</v>
      </c>
    </row>
    <row r="153" spans="1:27" ht="15" customHeight="1" x14ac:dyDescent="0.25">
      <c r="A153" s="45" t="str">
        <v>Jizan</v>
      </c>
      <c r="B153" s="53" cm="1">
        <f t="array" ref="B153">IF($A153="","",_xlfn.LET(_xlpm.d,IFERROR(--'Sales and count'!$G$2:$CZ$2,0),_xlpm.f,INDEX($B$115:$B$119,MATCH(B$141,$A$115:$A$119,0)),_xlpm.t,INDEX($C$115:$C$119,MATCH(B$141,$A$115:$A$119,0)),SUMPRODUCT(('Sales Dashboard'!$AO$5:$AO$301=$A153)*($AA$5:$AA$301=1)*(_xlpm.d&gt;=_xlpm.f)*(_xlpm.d&lt;=_xlpm.t)*('Sales and count'!$G$3:$CZ$3="Total"),'Sales and count'!$G$4:$CZ$300)))</f>
        <v>93631.28</v>
      </c>
      <c r="C153" s="53" cm="1">
        <f t="array" ref="C153">IF($A153="","",_xlfn.LET(_xlpm.d,IFERROR(--'Sales and count'!$G$2:$CZ$2,0),_xlpm.f,INDEX($B$115:$B$119,MATCH(C$141,$A$115:$A$119,0)),_xlpm.t,INDEX($C$115:$C$119,MATCH(C$141,$A$115:$A$119,0)),SUMPRODUCT(('Sales Dashboard'!$AO$5:$AO$301=$A153)*($AA$5:$AA$301=1)*(_xlpm.d&gt;=_xlpm.f)*(_xlpm.d&lt;=_xlpm.t)*('Sales and count'!$G$3:$CZ$3="Total"),'Sales and count'!$G$4:$CZ$300)))</f>
        <v>109528.36999999998</v>
      </c>
      <c r="D153" s="53" cm="1">
        <f t="array" ref="D153">IF($A153="","",_xlfn.LET(_xlpm.d,IFERROR(--'Sales and count'!$G$2:$CZ$2,0),_xlpm.f,INDEX($B$115:$B$119,MATCH(D$141,$A$115:$A$119,0)),_xlpm.t,INDEX($C$115:$C$119,MATCH(D$141,$A$115:$A$119,0)),SUMPRODUCT(('Sales Dashboard'!$AO$5:$AO$301=$A153)*($AA$5:$AA$301=1)*(_xlpm.d&gt;=_xlpm.f)*(_xlpm.d&lt;=_xlpm.t)*('Sales and count'!$G$3:$CZ$3="Total"),'Sales and count'!$G$4:$CZ$300)))</f>
        <v>76374.319999999978</v>
      </c>
      <c r="E153" s="53" cm="1">
        <f t="array" ref="E153">IF($A153="","",_xlfn.LET(_xlpm.d,IFERROR(--'Sales and count'!$G$2:$CZ$2,0),_xlpm.f,INDEX($B$115:$B$119,MATCH(E$141,$A$115:$A$119,0)),_xlpm.t,INDEX($C$115:$C$119,MATCH(E$141,$A$115:$A$119,0)),SUMPRODUCT(('Sales Dashboard'!$AO$5:$AO$301=$A153)*($AA$5:$AA$301=1)*(_xlpm.d&gt;=_xlpm.f)*(_xlpm.d&lt;=_xlpm.t)*('Sales and count'!$G$3:$CZ$3="Total"),'Sales and count'!$G$4:$CZ$300)))</f>
        <v>68809.310000000012</v>
      </c>
      <c r="F153" s="53" cm="1">
        <f t="array" ref="F153">IF($A153="","",_xlfn.LET(_xlpm.d,IFERROR(--'Sales and count'!$G$2:$CZ$2,0),_xlpm.f,INDEX($B$115:$B$119,MATCH(F$141,$A$115:$A$119,0)),_xlpm.t,INDEX($C$115:$C$119,MATCH(F$141,$A$115:$A$119,0)),SUMPRODUCT(('Sales Dashboard'!$AO$5:$AO$301=$A153)*($AA$5:$AA$301=1)*(_xlpm.d&gt;=_xlpm.f)*(_xlpm.d&lt;=_xlpm.t)*('Sales and count'!$G$3:$CZ$3="Total"),'Sales and count'!$G$4:$CZ$300)))</f>
        <v>20249.300000000003</v>
      </c>
      <c r="G153" s="53">
        <f t="shared" si="34"/>
        <v>368592.57999999996</v>
      </c>
      <c r="H153" s="55" cm="1">
        <f t="array" ref="H153">IF($A153="","",_xlfn.LET(_xlpm.k,SUMPRODUCT(--($D$115:$D$119&gt;0)),IF(_xlpm.k&lt;2,"",IFERROR((INDEX(B153:F153,_xlpm.k)/INDEX($D$115:$D$119,_xlpm.k))/(INDEX(B153:F153,_xlpm.k-1)/INDEX($D$115:$D$119,_xlpm.k-1))-1,""))))</f>
        <v>2.9984895939226819E-2</v>
      </c>
      <c r="AA153" s="142">
        <f>--AND('Sales Dashboard'!AN153&lt;&gt;"",OR($B$3="All",'Sales Dashboard'!CF153=$B$3),IF(OR($B$4="All",$B$4="Multiple (ticked)"),IF(COUNTIF($B$6:$M$6,"✔")&gt;0,COUNTIFS($B$5:$M$5,'Sales Dashboard'!AN153,$B$6:$M$6,"✔")&gt;0,$B$4="All"),'Sales Dashboard'!AN153=$B$4))</f>
        <v>0</v>
      </c>
    </row>
    <row r="154" spans="1:27" ht="15" customHeight="1" x14ac:dyDescent="0.25">
      <c r="A154" s="45" t="str">
        <v>Jubail</v>
      </c>
      <c r="B154" s="53" cm="1">
        <f t="array" ref="B154">IF($A154="","",_xlfn.LET(_xlpm.d,IFERROR(--'Sales and count'!$G$2:$CZ$2,0),_xlpm.f,INDEX($B$115:$B$119,MATCH(B$141,$A$115:$A$119,0)),_xlpm.t,INDEX($C$115:$C$119,MATCH(B$141,$A$115:$A$119,0)),SUMPRODUCT(('Sales Dashboard'!$AO$5:$AO$301=$A154)*($AA$5:$AA$301=1)*(_xlpm.d&gt;=_xlpm.f)*(_xlpm.d&lt;=_xlpm.t)*('Sales and count'!$G$3:$CZ$3="Total"),'Sales and count'!$G$4:$CZ$300)))</f>
        <v>40132.800000000003</v>
      </c>
      <c r="C154" s="53" cm="1">
        <f t="array" ref="C154">IF($A154="","",_xlfn.LET(_xlpm.d,IFERROR(--'Sales and count'!$G$2:$CZ$2,0),_xlpm.f,INDEX($B$115:$B$119,MATCH(C$141,$A$115:$A$119,0)),_xlpm.t,INDEX($C$115:$C$119,MATCH(C$141,$A$115:$A$119,0)),SUMPRODUCT(('Sales Dashboard'!$AO$5:$AO$301=$A154)*($AA$5:$AA$301=1)*(_xlpm.d&gt;=_xlpm.f)*(_xlpm.d&lt;=_xlpm.t)*('Sales and count'!$G$3:$CZ$3="Total"),'Sales and count'!$G$4:$CZ$300)))</f>
        <v>74720.33</v>
      </c>
      <c r="D154" s="53" cm="1">
        <f t="array" ref="D154">IF($A154="","",_xlfn.LET(_xlpm.d,IFERROR(--'Sales and count'!$G$2:$CZ$2,0),_xlpm.f,INDEX($B$115:$B$119,MATCH(D$141,$A$115:$A$119,0)),_xlpm.t,INDEX($C$115:$C$119,MATCH(D$141,$A$115:$A$119,0)),SUMPRODUCT(('Sales Dashboard'!$AO$5:$AO$301=$A154)*($AA$5:$AA$301=1)*(_xlpm.d&gt;=_xlpm.f)*(_xlpm.d&lt;=_xlpm.t)*('Sales and count'!$G$3:$CZ$3="Total"),'Sales and count'!$G$4:$CZ$300)))</f>
        <v>56003.92</v>
      </c>
      <c r="E154" s="53" cm="1">
        <f t="array" ref="E154">IF($A154="","",_xlfn.LET(_xlpm.d,IFERROR(--'Sales and count'!$G$2:$CZ$2,0),_xlpm.f,INDEX($B$115:$B$119,MATCH(E$141,$A$115:$A$119,0)),_xlpm.t,INDEX($C$115:$C$119,MATCH(E$141,$A$115:$A$119,0)),SUMPRODUCT(('Sales Dashboard'!$AO$5:$AO$301=$A154)*($AA$5:$AA$301=1)*(_xlpm.d&gt;=_xlpm.f)*(_xlpm.d&lt;=_xlpm.t)*('Sales and count'!$G$3:$CZ$3="Total"),'Sales and count'!$G$4:$CZ$300)))</f>
        <v>55198.119999999995</v>
      </c>
      <c r="F154" s="53" cm="1">
        <f t="array" ref="F154">IF($A154="","",_xlfn.LET(_xlpm.d,IFERROR(--'Sales and count'!$G$2:$CZ$2,0),_xlpm.f,INDEX($B$115:$B$119,MATCH(F$141,$A$115:$A$119,0)),_xlpm.t,INDEX($C$115:$C$119,MATCH(F$141,$A$115:$A$119,0)),SUMPRODUCT(('Sales Dashboard'!$AO$5:$AO$301=$A154)*($AA$5:$AA$301=1)*(_xlpm.d&gt;=_xlpm.f)*(_xlpm.d&lt;=_xlpm.t)*('Sales and count'!$G$3:$CZ$3="Total"),'Sales and count'!$G$4:$CZ$300)))</f>
        <v>15704.23</v>
      </c>
      <c r="G154" s="53">
        <f t="shared" si="34"/>
        <v>241759.4</v>
      </c>
      <c r="H154" s="55" cm="1">
        <f t="array" ref="H154">IF($A154="","",_xlfn.LET(_xlpm.k,SUMPRODUCT(--($D$115:$D$119&gt;0)),IF(_xlpm.k&lt;2,"",IFERROR((INDEX(B154:F154,_xlpm.k)/INDEX($D$115:$D$119,_xlpm.k))/(INDEX(B154:F154,_xlpm.k-1)/INDEX($D$115:$D$119,_xlpm.k-1))-1,""))))</f>
        <v>-4.2268649729374497E-3</v>
      </c>
      <c r="AA154" s="142">
        <f>--AND('Sales Dashboard'!AN154&lt;&gt;"",OR($B$3="All",'Sales Dashboard'!CF154=$B$3),IF(OR($B$4="All",$B$4="Multiple (ticked)"),IF(COUNTIF($B$6:$M$6,"✔")&gt;0,COUNTIFS($B$5:$M$5,'Sales Dashboard'!AN154,$B$6:$M$6,"✔")&gt;0,$B$4="All"),'Sales Dashboard'!AN154=$B$4))</f>
        <v>0</v>
      </c>
    </row>
    <row r="155" spans="1:27" ht="15" customHeight="1" x14ac:dyDescent="0.25">
      <c r="A155" s="45" t="str">
        <v>Khamis meshaet</v>
      </c>
      <c r="B155" s="53" cm="1">
        <f t="array" ref="B155">IF($A155="","",_xlfn.LET(_xlpm.d,IFERROR(--'Sales and count'!$G$2:$CZ$2,0),_xlpm.f,INDEX($B$115:$B$119,MATCH(B$141,$A$115:$A$119,0)),_xlpm.t,INDEX($C$115:$C$119,MATCH(B$141,$A$115:$A$119,0)),SUMPRODUCT(('Sales Dashboard'!$AO$5:$AO$301=$A155)*($AA$5:$AA$301=1)*(_xlpm.d&gt;=_xlpm.f)*(_xlpm.d&lt;=_xlpm.t)*('Sales and count'!$G$3:$CZ$3="Total"),'Sales and count'!$G$4:$CZ$300)))</f>
        <v>55895.12999999999</v>
      </c>
      <c r="C155" s="53" cm="1">
        <f t="array" ref="C155">IF($A155="","",_xlfn.LET(_xlpm.d,IFERROR(--'Sales and count'!$G$2:$CZ$2,0),_xlpm.f,INDEX($B$115:$B$119,MATCH(C$141,$A$115:$A$119,0)),_xlpm.t,INDEX($C$115:$C$119,MATCH(C$141,$A$115:$A$119,0)),SUMPRODUCT(('Sales Dashboard'!$AO$5:$AO$301=$A155)*($AA$5:$AA$301=1)*(_xlpm.d&gt;=_xlpm.f)*(_xlpm.d&lt;=_xlpm.t)*('Sales and count'!$G$3:$CZ$3="Total"),'Sales and count'!$G$4:$CZ$300)))</f>
        <v>76826.259999999995</v>
      </c>
      <c r="D155" s="53" cm="1">
        <f t="array" ref="D155">IF($A155="","",_xlfn.LET(_xlpm.d,IFERROR(--'Sales and count'!$G$2:$CZ$2,0),_xlpm.f,INDEX($B$115:$B$119,MATCH(D$141,$A$115:$A$119,0)),_xlpm.t,INDEX($C$115:$C$119,MATCH(D$141,$A$115:$A$119,0)),SUMPRODUCT(('Sales Dashboard'!$AO$5:$AO$301=$A155)*($AA$5:$AA$301=1)*(_xlpm.d&gt;=_xlpm.f)*(_xlpm.d&lt;=_xlpm.t)*('Sales and count'!$G$3:$CZ$3="Total"),'Sales and count'!$G$4:$CZ$300)))</f>
        <v>61590.04</v>
      </c>
      <c r="E155" s="53" cm="1">
        <f t="array" ref="E155">IF($A155="","",_xlfn.LET(_xlpm.d,IFERROR(--'Sales and count'!$G$2:$CZ$2,0),_xlpm.f,INDEX($B$115:$B$119,MATCH(E$141,$A$115:$A$119,0)),_xlpm.t,INDEX($C$115:$C$119,MATCH(E$141,$A$115:$A$119,0)),SUMPRODUCT(('Sales Dashboard'!$AO$5:$AO$301=$A155)*($AA$5:$AA$301=1)*(_xlpm.d&gt;=_xlpm.f)*(_xlpm.d&lt;=_xlpm.t)*('Sales and count'!$G$3:$CZ$3="Total"),'Sales and count'!$G$4:$CZ$300)))</f>
        <v>47882.79</v>
      </c>
      <c r="F155" s="53" cm="1">
        <f t="array" ref="F155">IF($A155="","",_xlfn.LET(_xlpm.d,IFERROR(--'Sales and count'!$G$2:$CZ$2,0),_xlpm.f,INDEX($B$115:$B$119,MATCH(F$141,$A$115:$A$119,0)),_xlpm.t,INDEX($C$115:$C$119,MATCH(F$141,$A$115:$A$119,0)),SUMPRODUCT(('Sales Dashboard'!$AO$5:$AO$301=$A155)*($AA$5:$AA$301=1)*(_xlpm.d&gt;=_xlpm.f)*(_xlpm.d&lt;=_xlpm.t)*('Sales and count'!$G$3:$CZ$3="Total"),'Sales and count'!$G$4:$CZ$300)))</f>
        <v>14634.929999999998</v>
      </c>
      <c r="G155" s="53">
        <f t="shared" si="34"/>
        <v>256829.15</v>
      </c>
      <c r="H155" s="55" cm="1">
        <f t="array" ref="H155">IF($A155="","",_xlfn.LET(_xlpm.k,SUMPRODUCT(--($D$115:$D$119&gt;0)),IF(_xlpm.k&lt;2,"",IFERROR((INDEX(B155:F155,_xlpm.k)/INDEX($D$115:$D$119,_xlpm.k))/(INDEX(B155:F155,_xlpm.k-1)/INDEX($D$115:$D$119,_xlpm.k-1))-1,""))))</f>
        <v>6.9742489942628438E-2</v>
      </c>
      <c r="AA155" s="142">
        <f>--AND('Sales Dashboard'!AN155&lt;&gt;"",OR($B$3="All",'Sales Dashboard'!CF155=$B$3),IF(OR($B$4="All",$B$4="Multiple (ticked)"),IF(COUNTIF($B$6:$M$6,"✔")&gt;0,COUNTIFS($B$5:$M$5,'Sales Dashboard'!AN155,$B$6:$M$6,"✔")&gt;0,$B$4="All"),'Sales Dashboard'!AN155=$B$4))</f>
        <v>0</v>
      </c>
    </row>
    <row r="156" spans="1:27" ht="15" customHeight="1" x14ac:dyDescent="0.25">
      <c r="A156" s="45" t="str">
        <v>Khobar</v>
      </c>
      <c r="B156" s="53" cm="1">
        <f t="array" ref="B156">IF($A156="","",_xlfn.LET(_xlpm.d,IFERROR(--'Sales and count'!$G$2:$CZ$2,0),_xlpm.f,INDEX($B$115:$B$119,MATCH(B$141,$A$115:$A$119,0)),_xlpm.t,INDEX($C$115:$C$119,MATCH(B$141,$A$115:$A$119,0)),SUMPRODUCT(('Sales Dashboard'!$AO$5:$AO$301=$A156)*($AA$5:$AA$301=1)*(_xlpm.d&gt;=_xlpm.f)*(_xlpm.d&lt;=_xlpm.t)*('Sales and count'!$G$3:$CZ$3="Total"),'Sales and count'!$G$4:$CZ$300)))</f>
        <v>153145.91</v>
      </c>
      <c r="C156" s="53" cm="1">
        <f t="array" ref="C156">IF($A156="","",_xlfn.LET(_xlpm.d,IFERROR(--'Sales and count'!$G$2:$CZ$2,0),_xlpm.f,INDEX($B$115:$B$119,MATCH(C$141,$A$115:$A$119,0)),_xlpm.t,INDEX($C$115:$C$119,MATCH(C$141,$A$115:$A$119,0)),SUMPRODUCT(('Sales Dashboard'!$AO$5:$AO$301=$A156)*($AA$5:$AA$301=1)*(_xlpm.d&gt;=_xlpm.f)*(_xlpm.d&lt;=_xlpm.t)*('Sales and count'!$G$3:$CZ$3="Total"),'Sales and count'!$G$4:$CZ$300)))</f>
        <v>203746.31999999998</v>
      </c>
      <c r="D156" s="53" cm="1">
        <f t="array" ref="D156">IF($A156="","",_xlfn.LET(_xlpm.d,IFERROR(--'Sales and count'!$G$2:$CZ$2,0),_xlpm.f,INDEX($B$115:$B$119,MATCH(D$141,$A$115:$A$119,0)),_xlpm.t,INDEX($C$115:$C$119,MATCH(D$141,$A$115:$A$119,0)),SUMPRODUCT(('Sales Dashboard'!$AO$5:$AO$301=$A156)*($AA$5:$AA$301=1)*(_xlpm.d&gt;=_xlpm.f)*(_xlpm.d&lt;=_xlpm.t)*('Sales and count'!$G$3:$CZ$3="Total"),'Sales and count'!$G$4:$CZ$300)))</f>
        <v>170965</v>
      </c>
      <c r="E156" s="53" cm="1">
        <f t="array" ref="E156">IF($A156="","",_xlfn.LET(_xlpm.d,IFERROR(--'Sales and count'!$G$2:$CZ$2,0),_xlpm.f,INDEX($B$115:$B$119,MATCH(E$141,$A$115:$A$119,0)),_xlpm.t,INDEX($C$115:$C$119,MATCH(E$141,$A$115:$A$119,0)),SUMPRODUCT(('Sales Dashboard'!$AO$5:$AO$301=$A156)*($AA$5:$AA$301=1)*(_xlpm.d&gt;=_xlpm.f)*(_xlpm.d&lt;=_xlpm.t)*('Sales and count'!$G$3:$CZ$3="Total"),'Sales and count'!$G$4:$CZ$300)))</f>
        <v>159881.03000000003</v>
      </c>
      <c r="F156" s="53" cm="1">
        <f t="array" ref="F156">IF($A156="","",_xlfn.LET(_xlpm.d,IFERROR(--'Sales and count'!$G$2:$CZ$2,0),_xlpm.f,INDEX($B$115:$B$119,MATCH(F$141,$A$115:$A$119,0)),_xlpm.t,INDEX($C$115:$C$119,MATCH(F$141,$A$115:$A$119,0)),SUMPRODUCT(('Sales Dashboard'!$AO$5:$AO$301=$A156)*($AA$5:$AA$301=1)*(_xlpm.d&gt;=_xlpm.f)*(_xlpm.d&lt;=_xlpm.t)*('Sales and count'!$G$3:$CZ$3="Total"),'Sales and count'!$G$4:$CZ$300)))</f>
        <v>46506.740000000005</v>
      </c>
      <c r="G156" s="53">
        <f t="shared" si="34"/>
        <v>734245</v>
      </c>
      <c r="H156" s="55" cm="1">
        <f t="array" ref="H156">IF($A156="","",_xlfn.LET(_xlpm.k,SUMPRODUCT(--($D$115:$D$119&gt;0)),IF(_xlpm.k&lt;2,"",IFERROR((INDEX(B156:F156,_xlpm.k)/INDEX($D$115:$D$119,_xlpm.k))/(INDEX(B156:F156,_xlpm.k-1)/INDEX($D$115:$D$119,_xlpm.k-1))-1,""))))</f>
        <v>1.8091952497428787E-2</v>
      </c>
      <c r="AA156" s="142">
        <f>--AND('Sales Dashboard'!AN156&lt;&gt;"",OR($B$3="All",'Sales Dashboard'!CF156=$B$3),IF(OR($B$4="All",$B$4="Multiple (ticked)"),IF(COUNTIF($B$6:$M$6,"✔")&gt;0,COUNTIFS($B$5:$M$5,'Sales Dashboard'!AN156,$B$6:$M$6,"✔")&gt;0,$B$4="All"),'Sales Dashboard'!AN156=$B$4))</f>
        <v>0</v>
      </c>
    </row>
    <row r="157" spans="1:27" ht="15" customHeight="1" x14ac:dyDescent="0.25">
      <c r="A157" s="45" t="str">
        <v>Madinah</v>
      </c>
      <c r="B157" s="53" cm="1">
        <f t="array" ref="B157">IF($A157="","",_xlfn.LET(_xlpm.d,IFERROR(--'Sales and count'!$G$2:$CZ$2,0),_xlpm.f,INDEX($B$115:$B$119,MATCH(B$141,$A$115:$A$119,0)),_xlpm.t,INDEX($C$115:$C$119,MATCH(B$141,$A$115:$A$119,0)),SUMPRODUCT(('Sales Dashboard'!$AO$5:$AO$301=$A157)*($AA$5:$AA$301=1)*(_xlpm.d&gt;=_xlpm.f)*(_xlpm.d&lt;=_xlpm.t)*('Sales and count'!$G$3:$CZ$3="Total"),'Sales and count'!$G$4:$CZ$300)))</f>
        <v>186161.52000000002</v>
      </c>
      <c r="C157" s="53" cm="1">
        <f t="array" ref="C157">IF($A157="","",_xlfn.LET(_xlpm.d,IFERROR(--'Sales and count'!$G$2:$CZ$2,0),_xlpm.f,INDEX($B$115:$B$119,MATCH(C$141,$A$115:$A$119,0)),_xlpm.t,INDEX($C$115:$C$119,MATCH(C$141,$A$115:$A$119,0)),SUMPRODUCT(('Sales Dashboard'!$AO$5:$AO$301=$A157)*($AA$5:$AA$301=1)*(_xlpm.d&gt;=_xlpm.f)*(_xlpm.d&lt;=_xlpm.t)*('Sales and count'!$G$3:$CZ$3="Total"),'Sales and count'!$G$4:$CZ$300)))</f>
        <v>352037.03999999992</v>
      </c>
      <c r="D157" s="53" cm="1">
        <f t="array" ref="D157">IF($A157="","",_xlfn.LET(_xlpm.d,IFERROR(--'Sales and count'!$G$2:$CZ$2,0),_xlpm.f,INDEX($B$115:$B$119,MATCH(D$141,$A$115:$A$119,0)),_xlpm.t,INDEX($C$115:$C$119,MATCH(D$141,$A$115:$A$119,0)),SUMPRODUCT(('Sales Dashboard'!$AO$5:$AO$301=$A157)*($AA$5:$AA$301=1)*(_xlpm.d&gt;=_xlpm.f)*(_xlpm.d&lt;=_xlpm.t)*('Sales and count'!$G$3:$CZ$3="Total"),'Sales and count'!$G$4:$CZ$300)))</f>
        <v>315377.34000000008</v>
      </c>
      <c r="E157" s="53" cm="1">
        <f t="array" ref="E157">IF($A157="","",_xlfn.LET(_xlpm.d,IFERROR(--'Sales and count'!$G$2:$CZ$2,0),_xlpm.f,INDEX($B$115:$B$119,MATCH(E$141,$A$115:$A$119,0)),_xlpm.t,INDEX($C$115:$C$119,MATCH(E$141,$A$115:$A$119,0)),SUMPRODUCT(('Sales Dashboard'!$AO$5:$AO$301=$A157)*($AA$5:$AA$301=1)*(_xlpm.d&gt;=_xlpm.f)*(_xlpm.d&lt;=_xlpm.t)*('Sales and count'!$G$3:$CZ$3="Total"),'Sales and count'!$G$4:$CZ$300)))</f>
        <v>302200.00999999983</v>
      </c>
      <c r="F157" s="53" cm="1">
        <f t="array" ref="F157">IF($A157="","",_xlfn.LET(_xlpm.d,IFERROR(--'Sales and count'!$G$2:$CZ$2,0),_xlpm.f,INDEX($B$115:$B$119,MATCH(F$141,$A$115:$A$119,0)),_xlpm.t,INDEX($C$115:$C$119,MATCH(F$141,$A$115:$A$119,0)),SUMPRODUCT(('Sales Dashboard'!$AO$5:$AO$301=$A157)*($AA$5:$AA$301=1)*(_xlpm.d&gt;=_xlpm.f)*(_xlpm.d&lt;=_xlpm.t)*('Sales and count'!$G$3:$CZ$3="Total"),'Sales and count'!$G$4:$CZ$300)))</f>
        <v>99476.639999999985</v>
      </c>
      <c r="G157" s="53">
        <f t="shared" si="34"/>
        <v>1255252.5499999998</v>
      </c>
      <c r="H157" s="55" cm="1">
        <f t="array" ref="H157">IF($A157="","",_xlfn.LET(_xlpm.k,SUMPRODUCT(--($D$115:$D$119&gt;0)),IF(_xlpm.k&lt;2,"",IFERROR((INDEX(B157:F157,_xlpm.k)/INDEX($D$115:$D$119,_xlpm.k))/(INDEX(B157:F157,_xlpm.k-1)/INDEX($D$115:$D$119,_xlpm.k-1))-1,""))))</f>
        <v>0.15211194069781842</v>
      </c>
      <c r="AA157" s="142">
        <f>--AND('Sales Dashboard'!AN157&lt;&gt;"",OR($B$3="All",'Sales Dashboard'!CF157=$B$3),IF(OR($B$4="All",$B$4="Multiple (ticked)"),IF(COUNTIF($B$6:$M$6,"✔")&gt;0,COUNTIFS($B$5:$M$5,'Sales Dashboard'!AN157,$B$6:$M$6,"✔")&gt;0,$B$4="All"),'Sales Dashboard'!AN157=$B$4))</f>
        <v>0</v>
      </c>
    </row>
    <row r="158" spans="1:27" ht="15" customHeight="1" x14ac:dyDescent="0.25">
      <c r="A158" s="45" t="str">
        <v>Makkah</v>
      </c>
      <c r="B158" s="53" cm="1">
        <f t="array" ref="B158">IF($A158="","",_xlfn.LET(_xlpm.d,IFERROR(--'Sales and count'!$G$2:$CZ$2,0),_xlpm.f,INDEX($B$115:$B$119,MATCH(B$141,$A$115:$A$119,0)),_xlpm.t,INDEX($C$115:$C$119,MATCH(B$141,$A$115:$A$119,0)),SUMPRODUCT(('Sales Dashboard'!$AO$5:$AO$301=$A158)*($AA$5:$AA$301=1)*(_xlpm.d&gt;=_xlpm.f)*(_xlpm.d&lt;=_xlpm.t)*('Sales and count'!$G$3:$CZ$3="Total"),'Sales and count'!$G$4:$CZ$300)))</f>
        <v>450248.4200000001</v>
      </c>
      <c r="C158" s="53" cm="1">
        <f t="array" ref="C158">IF($A158="","",_xlfn.LET(_xlpm.d,IFERROR(--'Sales and count'!$G$2:$CZ$2,0),_xlpm.f,INDEX($B$115:$B$119,MATCH(C$141,$A$115:$A$119,0)),_xlpm.t,INDEX($C$115:$C$119,MATCH(C$141,$A$115:$A$119,0)),SUMPRODUCT(('Sales Dashboard'!$AO$5:$AO$301=$A158)*($AA$5:$AA$301=1)*(_xlpm.d&gt;=_xlpm.f)*(_xlpm.d&lt;=_xlpm.t)*('Sales and count'!$G$3:$CZ$3="Total"),'Sales and count'!$G$4:$CZ$300)))</f>
        <v>740287.96000000054</v>
      </c>
      <c r="D158" s="53" cm="1">
        <f t="array" ref="D158">IF($A158="","",_xlfn.LET(_xlpm.d,IFERROR(--'Sales and count'!$G$2:$CZ$2,0),_xlpm.f,INDEX($B$115:$B$119,MATCH(D$141,$A$115:$A$119,0)),_xlpm.t,INDEX($C$115:$C$119,MATCH(D$141,$A$115:$A$119,0)),SUMPRODUCT(('Sales Dashboard'!$AO$5:$AO$301=$A158)*($AA$5:$AA$301=1)*(_xlpm.d&gt;=_xlpm.f)*(_xlpm.d&lt;=_xlpm.t)*('Sales and count'!$G$3:$CZ$3="Total"),'Sales and count'!$G$4:$CZ$300)))</f>
        <v>637591.02000000014</v>
      </c>
      <c r="E158" s="53" cm="1">
        <f t="array" ref="E158">IF($A158="","",_xlfn.LET(_xlpm.d,IFERROR(--'Sales and count'!$G$2:$CZ$2,0),_xlpm.f,INDEX($B$115:$B$119,MATCH(E$141,$A$115:$A$119,0)),_xlpm.t,INDEX($C$115:$C$119,MATCH(E$141,$A$115:$A$119,0)),SUMPRODUCT(('Sales Dashboard'!$AO$5:$AO$301=$A158)*($AA$5:$AA$301=1)*(_xlpm.d&gt;=_xlpm.f)*(_xlpm.d&lt;=_xlpm.t)*('Sales and count'!$G$3:$CZ$3="Total"),'Sales and count'!$G$4:$CZ$300)))</f>
        <v>564071.7300000001</v>
      </c>
      <c r="F158" s="53" cm="1">
        <f t="array" ref="F158">IF($A158="","",_xlfn.LET(_xlpm.d,IFERROR(--'Sales and count'!$G$2:$CZ$2,0),_xlpm.f,INDEX($B$115:$B$119,MATCH(F$141,$A$115:$A$119,0)),_xlpm.t,INDEX($C$115:$C$119,MATCH(F$141,$A$115:$A$119,0)),SUMPRODUCT(('Sales Dashboard'!$AO$5:$AO$301=$A158)*($AA$5:$AA$301=1)*(_xlpm.d&gt;=_xlpm.f)*(_xlpm.d&lt;=_xlpm.t)*('Sales and count'!$G$3:$CZ$3="Total"),'Sales and count'!$G$4:$CZ$300)))</f>
        <v>145742.29999999999</v>
      </c>
      <c r="G158" s="53">
        <f t="shared" si="34"/>
        <v>2537941.4300000006</v>
      </c>
      <c r="H158" s="55" cm="1">
        <f t="array" ref="H158">IF($A158="","",_xlfn.LET(_xlpm.k,SUMPRODUCT(--($D$115:$D$119&gt;0)),IF(_xlpm.k&lt;2,"",IFERROR((INDEX(B158:F158,_xlpm.k)/INDEX($D$115:$D$119,_xlpm.k))/(INDEX(B158:F158,_xlpm.k-1)/INDEX($D$115:$D$119,_xlpm.k-1))-1,""))))</f>
        <v>-9.5685844777223861E-2</v>
      </c>
      <c r="AA158" s="142">
        <f>--AND('Sales Dashboard'!AN158&lt;&gt;"",OR($B$3="All",'Sales Dashboard'!CF158=$B$3),IF(OR($B$4="All",$B$4="Multiple (ticked)"),IF(COUNTIF($B$6:$M$6,"✔")&gt;0,COUNTIFS($B$5:$M$5,'Sales Dashboard'!AN158,$B$6:$M$6,"✔")&gt;0,$B$4="All"),'Sales Dashboard'!AN158=$B$4))</f>
        <v>0</v>
      </c>
    </row>
    <row r="159" spans="1:27" ht="15" customHeight="1" x14ac:dyDescent="0.25">
      <c r="A159" s="45" t="str">
        <v>Muthnab</v>
      </c>
      <c r="B159" s="53" cm="1">
        <f t="array" ref="B159">IF($A159="","",_xlfn.LET(_xlpm.d,IFERROR(--'Sales and count'!$G$2:$CZ$2,0),_xlpm.f,INDEX($B$115:$B$119,MATCH(B$141,$A$115:$A$119,0)),_xlpm.t,INDEX($C$115:$C$119,MATCH(B$141,$A$115:$A$119,0)),SUMPRODUCT(('Sales Dashboard'!$AO$5:$AO$301=$A159)*($AA$5:$AA$301=1)*(_xlpm.d&gt;=_xlpm.f)*(_xlpm.d&lt;=_xlpm.t)*('Sales and count'!$G$3:$CZ$3="Total"),'Sales and count'!$G$4:$CZ$300)))</f>
        <v>3706.04</v>
      </c>
      <c r="C159" s="53" cm="1">
        <f t="array" ref="C159">IF($A159="","",_xlfn.LET(_xlpm.d,IFERROR(--'Sales and count'!$G$2:$CZ$2,0),_xlpm.f,INDEX($B$115:$B$119,MATCH(C$141,$A$115:$A$119,0)),_xlpm.t,INDEX($C$115:$C$119,MATCH(C$141,$A$115:$A$119,0)),SUMPRODUCT(('Sales Dashboard'!$AO$5:$AO$301=$A159)*($AA$5:$AA$301=1)*(_xlpm.d&gt;=_xlpm.f)*(_xlpm.d&lt;=_xlpm.t)*('Sales and count'!$G$3:$CZ$3="Total"),'Sales and count'!$G$4:$CZ$300)))</f>
        <v>5753.08</v>
      </c>
      <c r="D159" s="53" cm="1">
        <f t="array" ref="D159">IF($A159="","",_xlfn.LET(_xlpm.d,IFERROR(--'Sales and count'!$G$2:$CZ$2,0),_xlpm.f,INDEX($B$115:$B$119,MATCH(D$141,$A$115:$A$119,0)),_xlpm.t,INDEX($C$115:$C$119,MATCH(D$141,$A$115:$A$119,0)),SUMPRODUCT(('Sales Dashboard'!$AO$5:$AO$301=$A159)*($AA$5:$AA$301=1)*(_xlpm.d&gt;=_xlpm.f)*(_xlpm.d&lt;=_xlpm.t)*('Sales and count'!$G$3:$CZ$3="Total"),'Sales and count'!$G$4:$CZ$300)))</f>
        <v>3494.0899999999997</v>
      </c>
      <c r="E159" s="53" cm="1">
        <f t="array" ref="E159">IF($A159="","",_xlfn.LET(_xlpm.d,IFERROR(--'Sales and count'!$G$2:$CZ$2,0),_xlpm.f,INDEX($B$115:$B$119,MATCH(E$141,$A$115:$A$119,0)),_xlpm.t,INDEX($C$115:$C$119,MATCH(E$141,$A$115:$A$119,0)),SUMPRODUCT(('Sales Dashboard'!$AO$5:$AO$301=$A159)*($AA$5:$AA$301=1)*(_xlpm.d&gt;=_xlpm.f)*(_xlpm.d&lt;=_xlpm.t)*('Sales and count'!$G$3:$CZ$3="Total"),'Sales and count'!$G$4:$CZ$300)))</f>
        <v>2794.0299999999997</v>
      </c>
      <c r="F159" s="53" cm="1">
        <f t="array" ref="F159">IF($A159="","",_xlfn.LET(_xlpm.d,IFERROR(--'Sales and count'!$G$2:$CZ$2,0),_xlpm.f,INDEX($B$115:$B$119,MATCH(F$141,$A$115:$A$119,0)),_xlpm.t,INDEX($C$115:$C$119,MATCH(F$141,$A$115:$A$119,0)),SUMPRODUCT(('Sales Dashboard'!$AO$5:$AO$301=$A159)*($AA$5:$AA$301=1)*(_xlpm.d&gt;=_xlpm.f)*(_xlpm.d&lt;=_xlpm.t)*('Sales and count'!$G$3:$CZ$3="Total"),'Sales and count'!$G$4:$CZ$300)))</f>
        <v>884</v>
      </c>
      <c r="G159" s="53">
        <f t="shared" si="34"/>
        <v>16631.239999999998</v>
      </c>
      <c r="H159" s="55" cm="1">
        <f t="array" ref="H159">IF($A159="","",_xlfn.LET(_xlpm.k,SUMPRODUCT(--($D$115:$D$119&gt;0)),IF(_xlpm.k&lt;2,"",IFERROR((INDEX(B159:F159,_xlpm.k)/INDEX($D$115:$D$119,_xlpm.k))/(INDEX(B159:F159,_xlpm.k-1)/INDEX($D$115:$D$119,_xlpm.k-1))-1,""))))</f>
        <v>0.10736105195720902</v>
      </c>
      <c r="AA159" s="142">
        <f>--AND('Sales Dashboard'!AN159&lt;&gt;"",OR($B$3="All",'Sales Dashboard'!CF159=$B$3),IF(OR($B$4="All",$B$4="Multiple (ticked)"),IF(COUNTIF($B$6:$M$6,"✔")&gt;0,COUNTIFS($B$5:$M$5,'Sales Dashboard'!AN159,$B$6:$M$6,"✔")&gt;0,$B$4="All"),'Sales Dashboard'!AN159=$B$4))</f>
        <v>0</v>
      </c>
    </row>
    <row r="160" spans="1:27" ht="15" customHeight="1" x14ac:dyDescent="0.25">
      <c r="A160" s="45" t="str">
        <v>Najran</v>
      </c>
      <c r="B160" s="53" cm="1">
        <f t="array" ref="B160">IF($A160="","",_xlfn.LET(_xlpm.d,IFERROR(--'Sales and count'!$G$2:$CZ$2,0),_xlpm.f,INDEX($B$115:$B$119,MATCH(B$141,$A$115:$A$119,0)),_xlpm.t,INDEX($C$115:$C$119,MATCH(B$141,$A$115:$A$119,0)),SUMPRODUCT(('Sales Dashboard'!$AO$5:$AO$301=$A160)*($AA$5:$AA$301=1)*(_xlpm.d&gt;=_xlpm.f)*(_xlpm.d&lt;=_xlpm.t)*('Sales and count'!$G$3:$CZ$3="Total"),'Sales and count'!$G$4:$CZ$300)))</f>
        <v>35949.050000000003</v>
      </c>
      <c r="C160" s="53" cm="1">
        <f t="array" ref="C160">IF($A160="","",_xlfn.LET(_xlpm.d,IFERROR(--'Sales and count'!$G$2:$CZ$2,0),_xlpm.f,INDEX($B$115:$B$119,MATCH(C$141,$A$115:$A$119,0)),_xlpm.t,INDEX($C$115:$C$119,MATCH(C$141,$A$115:$A$119,0)),SUMPRODUCT(('Sales Dashboard'!$AO$5:$AO$301=$A160)*($AA$5:$AA$301=1)*(_xlpm.d&gt;=_xlpm.f)*(_xlpm.d&lt;=_xlpm.t)*('Sales and count'!$G$3:$CZ$3="Total"),'Sales and count'!$G$4:$CZ$300)))</f>
        <v>51215.8</v>
      </c>
      <c r="D160" s="53" cm="1">
        <f t="array" ref="D160">IF($A160="","",_xlfn.LET(_xlpm.d,IFERROR(--'Sales and count'!$G$2:$CZ$2,0),_xlpm.f,INDEX($B$115:$B$119,MATCH(D$141,$A$115:$A$119,0)),_xlpm.t,INDEX($C$115:$C$119,MATCH(D$141,$A$115:$A$119,0)),SUMPRODUCT(('Sales Dashboard'!$AO$5:$AO$301=$A160)*($AA$5:$AA$301=1)*(_xlpm.d&gt;=_xlpm.f)*(_xlpm.d&lt;=_xlpm.t)*('Sales and count'!$G$3:$CZ$3="Total"),'Sales and count'!$G$4:$CZ$300)))</f>
        <v>38979.57</v>
      </c>
      <c r="E160" s="53" cm="1">
        <f t="array" ref="E160">IF($A160="","",_xlfn.LET(_xlpm.d,IFERROR(--'Sales and count'!$G$2:$CZ$2,0),_xlpm.f,INDEX($B$115:$B$119,MATCH(E$141,$A$115:$A$119,0)),_xlpm.t,INDEX($C$115:$C$119,MATCH(E$141,$A$115:$A$119,0)),SUMPRODUCT(('Sales Dashboard'!$AO$5:$AO$301=$A160)*($AA$5:$AA$301=1)*(_xlpm.d&gt;=_xlpm.f)*(_xlpm.d&lt;=_xlpm.t)*('Sales and count'!$G$3:$CZ$3="Total"),'Sales and count'!$G$4:$CZ$300)))</f>
        <v>38574.570000000007</v>
      </c>
      <c r="F160" s="53" cm="1">
        <f t="array" ref="F160">IF($A160="","",_xlfn.LET(_xlpm.d,IFERROR(--'Sales and count'!$G$2:$CZ$2,0),_xlpm.f,INDEX($B$115:$B$119,MATCH(F$141,$A$115:$A$119,0)),_xlpm.t,INDEX($C$115:$C$119,MATCH(F$141,$A$115:$A$119,0)),SUMPRODUCT(('Sales Dashboard'!$AO$5:$AO$301=$A160)*($AA$5:$AA$301=1)*(_xlpm.d&gt;=_xlpm.f)*(_xlpm.d&lt;=_xlpm.t)*('Sales and count'!$G$3:$CZ$3="Total"),'Sales and count'!$G$4:$CZ$300)))</f>
        <v>10904.150000000001</v>
      </c>
      <c r="G160" s="53">
        <f t="shared" si="34"/>
        <v>175623.14</v>
      </c>
      <c r="H160" s="55" cm="1">
        <f t="array" ref="H160">IF($A160="","",_xlfn.LET(_xlpm.k,SUMPRODUCT(--($D$115:$D$119&gt;0)),IF(_xlpm.k&lt;2,"",IFERROR((INDEX(B160:F160,_xlpm.k)/INDEX($D$115:$D$119,_xlpm.k))/(INDEX(B160:F160,_xlpm.k-1)/INDEX($D$115:$D$119,_xlpm.k-1))-1,""))))</f>
        <v>-1.0629930547508382E-2</v>
      </c>
      <c r="AA160" s="142">
        <f>--AND('Sales Dashboard'!AN160&lt;&gt;"",OR($B$3="All",'Sales Dashboard'!CF160=$B$3),IF(OR($B$4="All",$B$4="Multiple (ticked)"),IF(COUNTIF($B$6:$M$6,"✔")&gt;0,COUNTIFS($B$5:$M$5,'Sales Dashboard'!AN160,$B$6:$M$6,"✔")&gt;0,$B$4="All"),'Sales Dashboard'!AN160=$B$4))</f>
        <v>0</v>
      </c>
    </row>
    <row r="161" spans="1:27" ht="15" customHeight="1" x14ac:dyDescent="0.25">
      <c r="A161" s="45" t="str">
        <v>Onaizah</v>
      </c>
      <c r="B161" s="53" cm="1">
        <f t="array" ref="B161">IF($A161="","",_xlfn.LET(_xlpm.d,IFERROR(--'Sales and count'!$G$2:$CZ$2,0),_xlpm.f,INDEX($B$115:$B$119,MATCH(B$141,$A$115:$A$119,0)),_xlpm.t,INDEX($C$115:$C$119,MATCH(B$141,$A$115:$A$119,0)),SUMPRODUCT(('Sales Dashboard'!$AO$5:$AO$301=$A161)*($AA$5:$AA$301=1)*(_xlpm.d&gt;=_xlpm.f)*(_xlpm.d&lt;=_xlpm.t)*('Sales and count'!$G$3:$CZ$3="Total"),'Sales and count'!$G$4:$CZ$300)))</f>
        <v>12198.150000000001</v>
      </c>
      <c r="C161" s="53" cm="1">
        <f t="array" ref="C161">IF($A161="","",_xlfn.LET(_xlpm.d,IFERROR(--'Sales and count'!$G$2:$CZ$2,0),_xlpm.f,INDEX($B$115:$B$119,MATCH(C$141,$A$115:$A$119,0)),_xlpm.t,INDEX($C$115:$C$119,MATCH(C$141,$A$115:$A$119,0)),SUMPRODUCT(('Sales Dashboard'!$AO$5:$AO$301=$A161)*($AA$5:$AA$301=1)*(_xlpm.d&gt;=_xlpm.f)*(_xlpm.d&lt;=_xlpm.t)*('Sales and count'!$G$3:$CZ$3="Total"),'Sales and count'!$G$4:$CZ$300)))</f>
        <v>17113.21</v>
      </c>
      <c r="D161" s="53" cm="1">
        <f t="array" ref="D161">IF($A161="","",_xlfn.LET(_xlpm.d,IFERROR(--'Sales and count'!$G$2:$CZ$2,0),_xlpm.f,INDEX($B$115:$B$119,MATCH(D$141,$A$115:$A$119,0)),_xlpm.t,INDEX($C$115:$C$119,MATCH(D$141,$A$115:$A$119,0)),SUMPRODUCT(('Sales Dashboard'!$AO$5:$AO$301=$A161)*($AA$5:$AA$301=1)*(_xlpm.d&gt;=_xlpm.f)*(_xlpm.d&lt;=_xlpm.t)*('Sales and count'!$G$3:$CZ$3="Total"),'Sales and count'!$G$4:$CZ$300)))</f>
        <v>12624.210000000001</v>
      </c>
      <c r="E161" s="53" cm="1">
        <f t="array" ref="E161">IF($A161="","",_xlfn.LET(_xlpm.d,IFERROR(--'Sales and count'!$G$2:$CZ$2,0),_xlpm.f,INDEX($B$115:$B$119,MATCH(E$141,$A$115:$A$119,0)),_xlpm.t,INDEX($C$115:$C$119,MATCH(E$141,$A$115:$A$119,0)),SUMPRODUCT(('Sales Dashboard'!$AO$5:$AO$301=$A161)*($AA$5:$AA$301=1)*(_xlpm.d&gt;=_xlpm.f)*(_xlpm.d&lt;=_xlpm.t)*('Sales and count'!$G$3:$CZ$3="Total"),'Sales and count'!$G$4:$CZ$300)))</f>
        <v>12747.82</v>
      </c>
      <c r="F161" s="53" cm="1">
        <f t="array" ref="F161">IF($A161="","",_xlfn.LET(_xlpm.d,IFERROR(--'Sales and count'!$G$2:$CZ$2,0),_xlpm.f,INDEX($B$115:$B$119,MATCH(F$141,$A$115:$A$119,0)),_xlpm.t,INDEX($C$115:$C$119,MATCH(F$141,$A$115:$A$119,0)),SUMPRODUCT(('Sales Dashboard'!$AO$5:$AO$301=$A161)*($AA$5:$AA$301=1)*(_xlpm.d&gt;=_xlpm.f)*(_xlpm.d&lt;=_xlpm.t)*('Sales and count'!$G$3:$CZ$3="Total"),'Sales and count'!$G$4:$CZ$300)))</f>
        <v>2989.99</v>
      </c>
      <c r="G161" s="53">
        <f t="shared" si="34"/>
        <v>57673.38</v>
      </c>
      <c r="H161" s="55" cm="1">
        <f t="array" ref="H161">IF($A161="","",_xlfn.LET(_xlpm.k,SUMPRODUCT(--($D$115:$D$119&gt;0)),IF(_xlpm.k&lt;2,"",IFERROR((INDEX(B161:F161,_xlpm.k)/INDEX($D$115:$D$119,_xlpm.k))/(INDEX(B161:F161,_xlpm.k-1)/INDEX($D$115:$D$119,_xlpm.k-1))-1,""))))</f>
        <v>-0.17907806981899654</v>
      </c>
      <c r="AA161" s="142">
        <f>--AND('Sales Dashboard'!AN161&lt;&gt;"",OR($B$3="All",'Sales Dashboard'!CF161=$B$3),IF(OR($B$4="All",$B$4="Multiple (ticked)"),IF(COUNTIF($B$6:$M$6,"✔")&gt;0,COUNTIFS($B$5:$M$5,'Sales Dashboard'!AN161,$B$6:$M$6,"✔")&gt;0,$B$4="All"),'Sales Dashboard'!AN161=$B$4))</f>
        <v>0</v>
      </c>
    </row>
    <row r="162" spans="1:27" ht="15" customHeight="1" x14ac:dyDescent="0.25">
      <c r="A162" s="45" t="str">
        <v>Qatif</v>
      </c>
      <c r="B162" s="53" cm="1">
        <f t="array" ref="B162">IF($A162="","",_xlfn.LET(_xlpm.d,IFERROR(--'Sales and count'!$G$2:$CZ$2,0),_xlpm.f,INDEX($B$115:$B$119,MATCH(B$141,$A$115:$A$119,0)),_xlpm.t,INDEX($C$115:$C$119,MATCH(B$141,$A$115:$A$119,0)),SUMPRODUCT(('Sales Dashboard'!$AO$5:$AO$301=$A162)*($AA$5:$AA$301=1)*(_xlpm.d&gt;=_xlpm.f)*(_xlpm.d&lt;=_xlpm.t)*('Sales and count'!$G$3:$CZ$3="Total"),'Sales and count'!$G$4:$CZ$300)))</f>
        <v>39791.689999999995</v>
      </c>
      <c r="C162" s="53" cm="1">
        <f t="array" ref="C162">IF($A162="","",_xlfn.LET(_xlpm.d,IFERROR(--'Sales and count'!$G$2:$CZ$2,0),_xlpm.f,INDEX($B$115:$B$119,MATCH(C$141,$A$115:$A$119,0)),_xlpm.t,INDEX($C$115:$C$119,MATCH(C$141,$A$115:$A$119,0)),SUMPRODUCT(('Sales Dashboard'!$AO$5:$AO$301=$A162)*($AA$5:$AA$301=1)*(_xlpm.d&gt;=_xlpm.f)*(_xlpm.d&lt;=_xlpm.t)*('Sales and count'!$G$3:$CZ$3="Total"),'Sales and count'!$G$4:$CZ$300)))</f>
        <v>59825.409999999996</v>
      </c>
      <c r="D162" s="53" cm="1">
        <f t="array" ref="D162">IF($A162="","",_xlfn.LET(_xlpm.d,IFERROR(--'Sales and count'!$G$2:$CZ$2,0),_xlpm.f,INDEX($B$115:$B$119,MATCH(D$141,$A$115:$A$119,0)),_xlpm.t,INDEX($C$115:$C$119,MATCH(D$141,$A$115:$A$119,0)),SUMPRODUCT(('Sales Dashboard'!$AO$5:$AO$301=$A162)*($AA$5:$AA$301=1)*(_xlpm.d&gt;=_xlpm.f)*(_xlpm.d&lt;=_xlpm.t)*('Sales and count'!$G$3:$CZ$3="Total"),'Sales and count'!$G$4:$CZ$300)))</f>
        <v>51549.979999999996</v>
      </c>
      <c r="E162" s="53" cm="1">
        <f t="array" ref="E162">IF($A162="","",_xlfn.LET(_xlpm.d,IFERROR(--'Sales and count'!$G$2:$CZ$2,0),_xlpm.f,INDEX($B$115:$B$119,MATCH(E$141,$A$115:$A$119,0)),_xlpm.t,INDEX($C$115:$C$119,MATCH(E$141,$A$115:$A$119,0)),SUMPRODUCT(('Sales Dashboard'!$AO$5:$AO$301=$A162)*($AA$5:$AA$301=1)*(_xlpm.d&gt;=_xlpm.f)*(_xlpm.d&lt;=_xlpm.t)*('Sales and count'!$G$3:$CZ$3="Total"),'Sales and count'!$G$4:$CZ$300)))</f>
        <v>43120.28</v>
      </c>
      <c r="F162" s="53" cm="1">
        <f t="array" ref="F162">IF($A162="","",_xlfn.LET(_xlpm.d,IFERROR(--'Sales and count'!$G$2:$CZ$2,0),_xlpm.f,INDEX($B$115:$B$119,MATCH(F$141,$A$115:$A$119,0)),_xlpm.t,INDEX($C$115:$C$119,MATCH(F$141,$A$115:$A$119,0)),SUMPRODUCT(('Sales Dashboard'!$AO$5:$AO$301=$A162)*($AA$5:$AA$301=1)*(_xlpm.d&gt;=_xlpm.f)*(_xlpm.d&lt;=_xlpm.t)*('Sales and count'!$G$3:$CZ$3="Total"),'Sales and count'!$G$4:$CZ$300)))</f>
        <v>13736.309999999998</v>
      </c>
      <c r="G162" s="53">
        <f t="shared" si="34"/>
        <v>208023.66999999998</v>
      </c>
      <c r="H162" s="55" cm="1">
        <f t="array" ref="H162">IF($A162="","",_xlfn.LET(_xlpm.k,SUMPRODUCT(--($D$115:$D$119&gt;0)),IF(_xlpm.k&lt;2,"",IFERROR((INDEX(B162:F162,_xlpm.k)/INDEX($D$115:$D$119,_xlpm.k))/(INDEX(B162:F162,_xlpm.k-1)/INDEX($D$115:$D$119,_xlpm.k-1))-1,""))))</f>
        <v>0.11495298731826398</v>
      </c>
      <c r="AA162" s="142">
        <f>--AND('Sales Dashboard'!AN162&lt;&gt;"",OR($B$3="All",'Sales Dashboard'!CF162=$B$3),IF(OR($B$4="All",$B$4="Multiple (ticked)"),IF(COUNTIF($B$6:$M$6,"✔")&gt;0,COUNTIFS($B$5:$M$5,'Sales Dashboard'!AN162,$B$6:$M$6,"✔")&gt;0,$B$4="All"),'Sales Dashboard'!AN162=$B$4))</f>
        <v>0</v>
      </c>
    </row>
    <row r="163" spans="1:27" ht="15" customHeight="1" x14ac:dyDescent="0.25">
      <c r="A163" s="45" t="str">
        <v>Qunfudah</v>
      </c>
      <c r="B163" s="53" cm="1">
        <f t="array" ref="B163">IF($A163="","",_xlfn.LET(_xlpm.d,IFERROR(--'Sales and count'!$G$2:$CZ$2,0),_xlpm.f,INDEX($B$115:$B$119,MATCH(B$141,$A$115:$A$119,0)),_xlpm.t,INDEX($C$115:$C$119,MATCH(B$141,$A$115:$A$119,0)),SUMPRODUCT(('Sales Dashboard'!$AO$5:$AO$301=$A163)*($AA$5:$AA$301=1)*(_xlpm.d&gt;=_xlpm.f)*(_xlpm.d&lt;=_xlpm.t)*('Sales and count'!$G$3:$CZ$3="Total"),'Sales and count'!$G$4:$CZ$300)))</f>
        <v>20648.400000000001</v>
      </c>
      <c r="C163" s="53" cm="1">
        <f t="array" ref="C163">IF($A163="","",_xlfn.LET(_xlpm.d,IFERROR(--'Sales and count'!$G$2:$CZ$2,0),_xlpm.f,INDEX($B$115:$B$119,MATCH(C$141,$A$115:$A$119,0)),_xlpm.t,INDEX($C$115:$C$119,MATCH(C$141,$A$115:$A$119,0)),SUMPRODUCT(('Sales Dashboard'!$AO$5:$AO$301=$A163)*($AA$5:$AA$301=1)*(_xlpm.d&gt;=_xlpm.f)*(_xlpm.d&lt;=_xlpm.t)*('Sales and count'!$G$3:$CZ$3="Total"),'Sales and count'!$G$4:$CZ$300)))</f>
        <v>26181.32</v>
      </c>
      <c r="D163" s="53" cm="1">
        <f t="array" ref="D163">IF($A163="","",_xlfn.LET(_xlpm.d,IFERROR(--'Sales and count'!$G$2:$CZ$2,0),_xlpm.f,INDEX($B$115:$B$119,MATCH(D$141,$A$115:$A$119,0)),_xlpm.t,INDEX($C$115:$C$119,MATCH(D$141,$A$115:$A$119,0)),SUMPRODUCT(('Sales Dashboard'!$AO$5:$AO$301=$A163)*($AA$5:$AA$301=1)*(_xlpm.d&gt;=_xlpm.f)*(_xlpm.d&lt;=_xlpm.t)*('Sales and count'!$G$3:$CZ$3="Total"),'Sales and count'!$G$4:$CZ$300)))</f>
        <v>17080.060000000001</v>
      </c>
      <c r="E163" s="53" cm="1">
        <f t="array" ref="E163">IF($A163="","",_xlfn.LET(_xlpm.d,IFERROR(--'Sales and count'!$G$2:$CZ$2,0),_xlpm.f,INDEX($B$115:$B$119,MATCH(E$141,$A$115:$A$119,0)),_xlpm.t,INDEX($C$115:$C$119,MATCH(E$141,$A$115:$A$119,0)),SUMPRODUCT(('Sales Dashboard'!$AO$5:$AO$301=$A163)*($AA$5:$AA$301=1)*(_xlpm.d&gt;=_xlpm.f)*(_xlpm.d&lt;=_xlpm.t)*('Sales and count'!$G$3:$CZ$3="Total"),'Sales and count'!$G$4:$CZ$300)))</f>
        <v>15652.62</v>
      </c>
      <c r="F163" s="53" cm="1">
        <f t="array" ref="F163">IF($A163="","",_xlfn.LET(_xlpm.d,IFERROR(--'Sales and count'!$G$2:$CZ$2,0),_xlpm.f,INDEX($B$115:$B$119,MATCH(F$141,$A$115:$A$119,0)),_xlpm.t,INDEX($C$115:$C$119,MATCH(F$141,$A$115:$A$119,0)),SUMPRODUCT(('Sales Dashboard'!$AO$5:$AO$301=$A163)*($AA$5:$AA$301=1)*(_xlpm.d&gt;=_xlpm.f)*(_xlpm.d&lt;=_xlpm.t)*('Sales and count'!$G$3:$CZ$3="Total"),'Sales and count'!$G$4:$CZ$300)))</f>
        <v>3714.96</v>
      </c>
      <c r="G163" s="53">
        <f t="shared" si="34"/>
        <v>83277.36</v>
      </c>
      <c r="H163" s="55" cm="1">
        <f t="array" ref="H163">IF($A163="","",_xlfn.LET(_xlpm.k,SUMPRODUCT(--($D$115:$D$119&gt;0)),IF(_xlpm.k&lt;2,"",IFERROR((INDEX(B163:F163,_xlpm.k)/INDEX($D$115:$D$119,_xlpm.k))/(INDEX(B163:F163,_xlpm.k-1)/INDEX($D$115:$D$119,_xlpm.k-1))-1,""))))</f>
        <v>-0.16931734112244468</v>
      </c>
      <c r="AA163" s="142">
        <f>--AND('Sales Dashboard'!AN163&lt;&gt;"",OR($B$3="All",'Sales Dashboard'!CF163=$B$3),IF(OR($B$4="All",$B$4="Multiple (ticked)"),IF(COUNTIF($B$6:$M$6,"✔")&gt;0,COUNTIFS($B$5:$M$5,'Sales Dashboard'!AN163,$B$6:$M$6,"✔")&gt;0,$B$4="All"),'Sales Dashboard'!AN163=$B$4))</f>
        <v>0</v>
      </c>
    </row>
    <row r="164" spans="1:27" ht="15" customHeight="1" x14ac:dyDescent="0.25">
      <c r="A164" s="45" t="str">
        <v>Qurayat</v>
      </c>
      <c r="B164" s="53" cm="1">
        <f t="array" ref="B164">IF($A164="","",_xlfn.LET(_xlpm.d,IFERROR(--'Sales and count'!$G$2:$CZ$2,0),_xlpm.f,INDEX($B$115:$B$119,MATCH(B$141,$A$115:$A$119,0)),_xlpm.t,INDEX($C$115:$C$119,MATCH(B$141,$A$115:$A$119,0)),SUMPRODUCT(('Sales Dashboard'!$AO$5:$AO$301=$A164)*($AA$5:$AA$301=1)*(_xlpm.d&gt;=_xlpm.f)*(_xlpm.d&lt;=_xlpm.t)*('Sales and count'!$G$3:$CZ$3="Total"),'Sales and count'!$G$4:$CZ$300)))</f>
        <v>16087.36</v>
      </c>
      <c r="C164" s="53" cm="1">
        <f t="array" ref="C164">IF($A164="","",_xlfn.LET(_xlpm.d,IFERROR(--'Sales and count'!$G$2:$CZ$2,0),_xlpm.f,INDEX($B$115:$B$119,MATCH(C$141,$A$115:$A$119,0)),_xlpm.t,INDEX($C$115:$C$119,MATCH(C$141,$A$115:$A$119,0)),SUMPRODUCT(('Sales Dashboard'!$AO$5:$AO$301=$A164)*($AA$5:$AA$301=1)*(_xlpm.d&gt;=_xlpm.f)*(_xlpm.d&lt;=_xlpm.t)*('Sales and count'!$G$3:$CZ$3="Total"),'Sales and count'!$G$4:$CZ$300)))</f>
        <v>24175.309999999998</v>
      </c>
      <c r="D164" s="53" cm="1">
        <f t="array" ref="D164">IF($A164="","",_xlfn.LET(_xlpm.d,IFERROR(--'Sales and count'!$G$2:$CZ$2,0),_xlpm.f,INDEX($B$115:$B$119,MATCH(D$141,$A$115:$A$119,0)),_xlpm.t,INDEX($C$115:$C$119,MATCH(D$141,$A$115:$A$119,0)),SUMPRODUCT(('Sales Dashboard'!$AO$5:$AO$301=$A164)*($AA$5:$AA$301=1)*(_xlpm.d&gt;=_xlpm.f)*(_xlpm.d&lt;=_xlpm.t)*('Sales and count'!$G$3:$CZ$3="Total"),'Sales and count'!$G$4:$CZ$300)))</f>
        <v>26117.45</v>
      </c>
      <c r="E164" s="53" cm="1">
        <f t="array" ref="E164">IF($A164="","",_xlfn.LET(_xlpm.d,IFERROR(--'Sales and count'!$G$2:$CZ$2,0),_xlpm.f,INDEX($B$115:$B$119,MATCH(E$141,$A$115:$A$119,0)),_xlpm.t,INDEX($C$115:$C$119,MATCH(E$141,$A$115:$A$119,0)),SUMPRODUCT(('Sales Dashboard'!$AO$5:$AO$301=$A164)*($AA$5:$AA$301=1)*(_xlpm.d&gt;=_xlpm.f)*(_xlpm.d&lt;=_xlpm.t)*('Sales and count'!$G$3:$CZ$3="Total"),'Sales and count'!$G$4:$CZ$300)))</f>
        <v>19038.920000000002</v>
      </c>
      <c r="F164" s="53" cm="1">
        <f t="array" ref="F164">IF($A164="","",_xlfn.LET(_xlpm.d,IFERROR(--'Sales and count'!$G$2:$CZ$2,0),_xlpm.f,INDEX($B$115:$B$119,MATCH(F$141,$A$115:$A$119,0)),_xlpm.t,INDEX($C$115:$C$119,MATCH(F$141,$A$115:$A$119,0)),SUMPRODUCT(('Sales Dashboard'!$AO$5:$AO$301=$A164)*($AA$5:$AA$301=1)*(_xlpm.d&gt;=_xlpm.f)*(_xlpm.d&lt;=_xlpm.t)*('Sales and count'!$G$3:$CZ$3="Total"),'Sales and count'!$G$4:$CZ$300)))</f>
        <v>4983.08</v>
      </c>
      <c r="G164" s="53">
        <f t="shared" si="34"/>
        <v>90402.12</v>
      </c>
      <c r="H164" s="55" cm="1">
        <f t="array" ref="H164">IF($A164="","",_xlfn.LET(_xlpm.k,SUMPRODUCT(--($D$115:$D$119&gt;0)),IF(_xlpm.k&lt;2,"",IFERROR((INDEX(B164:F164,_xlpm.k)/INDEX($D$115:$D$119,_xlpm.k))/(INDEX(B164:F164,_xlpm.k-1)/INDEX($D$115:$D$119,_xlpm.k-1))-1,""))))</f>
        <v>-8.394068571116442E-2</v>
      </c>
      <c r="AA164" s="142">
        <f>--AND('Sales Dashboard'!AN164&lt;&gt;"",OR($B$3="All",'Sales Dashboard'!CF164=$B$3),IF(OR($B$4="All",$B$4="Multiple (ticked)"),IF(COUNTIF($B$6:$M$6,"✔")&gt;0,COUNTIFS($B$5:$M$5,'Sales Dashboard'!AN164,$B$6:$M$6,"✔")&gt;0,$B$4="All"),'Sales Dashboard'!AN164=$B$4))</f>
        <v>0</v>
      </c>
    </row>
    <row r="165" spans="1:27" ht="15" customHeight="1" x14ac:dyDescent="0.25">
      <c r="A165" s="45" t="str">
        <v>Riyadh</v>
      </c>
      <c r="B165" s="53" cm="1">
        <f t="array" ref="B165">IF($A165="","",_xlfn.LET(_xlpm.d,IFERROR(--'Sales and count'!$G$2:$CZ$2,0),_xlpm.f,INDEX($B$115:$B$119,MATCH(B$141,$A$115:$A$119,0)),_xlpm.t,INDEX($C$115:$C$119,MATCH(B$141,$A$115:$A$119,0)),SUMPRODUCT(('Sales Dashboard'!$AO$5:$AO$301=$A165)*($AA$5:$AA$301=1)*(_xlpm.d&gt;=_xlpm.f)*(_xlpm.d&lt;=_xlpm.t)*('Sales and count'!$G$3:$CZ$3="Total"),'Sales and count'!$G$4:$CZ$300)))</f>
        <v>546162.85000000021</v>
      </c>
      <c r="C165" s="53" cm="1">
        <f t="array" ref="C165">IF($A165="","",_xlfn.LET(_xlpm.d,IFERROR(--'Sales and count'!$G$2:$CZ$2,0),_xlpm.f,INDEX($B$115:$B$119,MATCH(C$141,$A$115:$A$119,0)),_xlpm.t,INDEX($C$115:$C$119,MATCH(C$141,$A$115:$A$119,0)),SUMPRODUCT(('Sales Dashboard'!$AO$5:$AO$301=$A165)*($AA$5:$AA$301=1)*(_xlpm.d&gt;=_xlpm.f)*(_xlpm.d&lt;=_xlpm.t)*('Sales and count'!$G$3:$CZ$3="Total"),'Sales and count'!$G$4:$CZ$300)))</f>
        <v>875774.27000000025</v>
      </c>
      <c r="D165" s="53" cm="1">
        <f t="array" ref="D165">IF($A165="","",_xlfn.LET(_xlpm.d,IFERROR(--'Sales and count'!$G$2:$CZ$2,0),_xlpm.f,INDEX($B$115:$B$119,MATCH(D$141,$A$115:$A$119,0)),_xlpm.t,INDEX($C$115:$C$119,MATCH(D$141,$A$115:$A$119,0)),SUMPRODUCT(('Sales Dashboard'!$AO$5:$AO$301=$A165)*($AA$5:$AA$301=1)*(_xlpm.d&gt;=_xlpm.f)*(_xlpm.d&lt;=_xlpm.t)*('Sales and count'!$G$3:$CZ$3="Total"),'Sales and count'!$G$4:$CZ$300)))</f>
        <v>666651.6100000008</v>
      </c>
      <c r="E165" s="53" cm="1">
        <f t="array" ref="E165">IF($A165="","",_xlfn.LET(_xlpm.d,IFERROR(--'Sales and count'!$G$2:$CZ$2,0),_xlpm.f,INDEX($B$115:$B$119,MATCH(E$141,$A$115:$A$119,0)),_xlpm.t,INDEX($C$115:$C$119,MATCH(E$141,$A$115:$A$119,0)),SUMPRODUCT(('Sales Dashboard'!$AO$5:$AO$301=$A165)*($AA$5:$AA$301=1)*(_xlpm.d&gt;=_xlpm.f)*(_xlpm.d&lt;=_xlpm.t)*('Sales and count'!$G$3:$CZ$3="Total"),'Sales and count'!$G$4:$CZ$300)))</f>
        <v>613083.0900000002</v>
      </c>
      <c r="F165" s="53" cm="1">
        <f t="array" ref="F165">IF($A165="","",_xlfn.LET(_xlpm.d,IFERROR(--'Sales and count'!$G$2:$CZ$2,0),_xlpm.f,INDEX($B$115:$B$119,MATCH(F$141,$A$115:$A$119,0)),_xlpm.t,INDEX($C$115:$C$119,MATCH(F$141,$A$115:$A$119,0)),SUMPRODUCT(('Sales Dashboard'!$AO$5:$AO$301=$A165)*($AA$5:$AA$301=1)*(_xlpm.d&gt;=_xlpm.f)*(_xlpm.d&lt;=_xlpm.t)*('Sales and count'!$G$3:$CZ$3="Total"),'Sales and count'!$G$4:$CZ$300)))</f>
        <v>169721.58</v>
      </c>
      <c r="G165" s="53">
        <f t="shared" si="34"/>
        <v>2871393.4000000018</v>
      </c>
      <c r="H165" s="55" cm="1">
        <f t="array" ref="H165">IF($A165="","",_xlfn.LET(_xlpm.k,SUMPRODUCT(--($D$115:$D$119&gt;0)),IF(_xlpm.k&lt;2,"",IFERROR((INDEX(B165:F165,_xlpm.k)/INDEX($D$115:$D$119,_xlpm.k))/(INDEX(B165:F165,_xlpm.k-1)/INDEX($D$115:$D$119,_xlpm.k-1))-1,""))))</f>
        <v>-3.1084791459507155E-2</v>
      </c>
      <c r="AA165" s="142">
        <f>--AND('Sales Dashboard'!AN165&lt;&gt;"",OR($B$3="All",'Sales Dashboard'!CF165=$B$3),IF(OR($B$4="All",$B$4="Multiple (ticked)"),IF(COUNTIF($B$6:$M$6,"✔")&gt;0,COUNTIFS($B$5:$M$5,'Sales Dashboard'!AN165,$B$6:$M$6,"✔")&gt;0,$B$4="All"),'Sales Dashboard'!AN165=$B$4))</f>
        <v>0</v>
      </c>
    </row>
    <row r="166" spans="1:27" ht="15" customHeight="1" x14ac:dyDescent="0.25">
      <c r="A166" s="45" t="str">
        <v>Sabya</v>
      </c>
      <c r="B166" s="53" cm="1">
        <f t="array" ref="B166">IF($A166="","",_xlfn.LET(_xlpm.d,IFERROR(--'Sales and count'!$G$2:$CZ$2,0),_xlpm.f,INDEX($B$115:$B$119,MATCH(B$141,$A$115:$A$119,0)),_xlpm.t,INDEX($C$115:$C$119,MATCH(B$141,$A$115:$A$119,0)),SUMPRODUCT(('Sales Dashboard'!$AO$5:$AO$301=$A166)*($AA$5:$AA$301=1)*(_xlpm.d&gt;=_xlpm.f)*(_xlpm.d&lt;=_xlpm.t)*('Sales and count'!$G$3:$CZ$3="Total"),'Sales and count'!$G$4:$CZ$300)))</f>
        <v>22460.5</v>
      </c>
      <c r="C166" s="53" cm="1">
        <f t="array" ref="C166">IF($A166="","",_xlfn.LET(_xlpm.d,IFERROR(--'Sales and count'!$G$2:$CZ$2,0),_xlpm.f,INDEX($B$115:$B$119,MATCH(C$141,$A$115:$A$119,0)),_xlpm.t,INDEX($C$115:$C$119,MATCH(C$141,$A$115:$A$119,0)),SUMPRODUCT(('Sales Dashboard'!$AO$5:$AO$301=$A166)*($AA$5:$AA$301=1)*(_xlpm.d&gt;=_xlpm.f)*(_xlpm.d&lt;=_xlpm.t)*('Sales and count'!$G$3:$CZ$3="Total"),'Sales and count'!$G$4:$CZ$300)))</f>
        <v>26430.58</v>
      </c>
      <c r="D166" s="53" cm="1">
        <f t="array" ref="D166">IF($A166="","",_xlfn.LET(_xlpm.d,IFERROR(--'Sales and count'!$G$2:$CZ$2,0),_xlpm.f,INDEX($B$115:$B$119,MATCH(D$141,$A$115:$A$119,0)),_xlpm.t,INDEX($C$115:$C$119,MATCH(D$141,$A$115:$A$119,0)),SUMPRODUCT(('Sales Dashboard'!$AO$5:$AO$301=$A166)*($AA$5:$AA$301=1)*(_xlpm.d&gt;=_xlpm.f)*(_xlpm.d&lt;=_xlpm.t)*('Sales and count'!$G$3:$CZ$3="Total"),'Sales and count'!$G$4:$CZ$300)))</f>
        <v>21632.44</v>
      </c>
      <c r="E166" s="53" cm="1">
        <f t="array" ref="E166">IF($A166="","",_xlfn.LET(_xlpm.d,IFERROR(--'Sales and count'!$G$2:$CZ$2,0),_xlpm.f,INDEX($B$115:$B$119,MATCH(E$141,$A$115:$A$119,0)),_xlpm.t,INDEX($C$115:$C$119,MATCH(E$141,$A$115:$A$119,0)),SUMPRODUCT(('Sales Dashboard'!$AO$5:$AO$301=$A166)*($AA$5:$AA$301=1)*(_xlpm.d&gt;=_xlpm.f)*(_xlpm.d&lt;=_xlpm.t)*('Sales and count'!$G$3:$CZ$3="Total"),'Sales and count'!$G$4:$CZ$300)))</f>
        <v>16778.710000000003</v>
      </c>
      <c r="F166" s="53" cm="1">
        <f t="array" ref="F166">IF($A166="","",_xlfn.LET(_xlpm.d,IFERROR(--'Sales and count'!$G$2:$CZ$2,0),_xlpm.f,INDEX($B$115:$B$119,MATCH(F$141,$A$115:$A$119,0)),_xlpm.t,INDEX($C$115:$C$119,MATCH(F$141,$A$115:$A$119,0)),SUMPRODUCT(('Sales Dashboard'!$AO$5:$AO$301=$A166)*($AA$5:$AA$301=1)*(_xlpm.d&gt;=_xlpm.f)*(_xlpm.d&lt;=_xlpm.t)*('Sales and count'!$G$3:$CZ$3="Total"),'Sales and count'!$G$4:$CZ$300)))</f>
        <v>4123.05</v>
      </c>
      <c r="G166" s="53">
        <f t="shared" si="34"/>
        <v>91425.280000000013</v>
      </c>
      <c r="H166" s="55" cm="1">
        <f t="array" ref="H166">IF($A166="","",_xlfn.LET(_xlpm.k,SUMPRODUCT(--($D$115:$D$119&gt;0)),IF(_xlpm.k&lt;2,"",IFERROR((INDEX(B166:F166,_xlpm.k)/INDEX($D$115:$D$119,_xlpm.k))/(INDEX(B166:F166,_xlpm.k-1)/INDEX($D$115:$D$119,_xlpm.k-1))-1,""))))</f>
        <v>-0.13994133041217127</v>
      </c>
      <c r="AA166" s="142">
        <f>--AND('Sales Dashboard'!AN166&lt;&gt;"",OR($B$3="All",'Sales Dashboard'!CF166=$B$3),IF(OR($B$4="All",$B$4="Multiple (ticked)"),IF(COUNTIF($B$6:$M$6,"✔")&gt;0,COUNTIFS($B$5:$M$5,'Sales Dashboard'!AN166,$B$6:$M$6,"✔")&gt;0,$B$4="All"),'Sales Dashboard'!AN166=$B$4))</f>
        <v>0</v>
      </c>
    </row>
    <row r="167" spans="1:27" ht="15" customHeight="1" x14ac:dyDescent="0.25">
      <c r="A167" s="45" t="str">
        <v>Samtah</v>
      </c>
      <c r="B167" s="53" cm="1">
        <f t="array" ref="B167">IF($A167="","",_xlfn.LET(_xlpm.d,IFERROR(--'Sales and count'!$G$2:$CZ$2,0),_xlpm.f,INDEX($B$115:$B$119,MATCH(B$141,$A$115:$A$119,0)),_xlpm.t,INDEX($C$115:$C$119,MATCH(B$141,$A$115:$A$119,0)),SUMPRODUCT(('Sales Dashboard'!$AO$5:$AO$301=$A167)*($AA$5:$AA$301=1)*(_xlpm.d&gt;=_xlpm.f)*(_xlpm.d&lt;=_xlpm.t)*('Sales and count'!$G$3:$CZ$3="Total"),'Sales and count'!$G$4:$CZ$300)))</f>
        <v>16446.43</v>
      </c>
      <c r="C167" s="53" cm="1">
        <f t="array" ref="C167">IF($A167="","",_xlfn.LET(_xlpm.d,IFERROR(--'Sales and count'!$G$2:$CZ$2,0),_xlpm.f,INDEX($B$115:$B$119,MATCH(C$141,$A$115:$A$119,0)),_xlpm.t,INDEX($C$115:$C$119,MATCH(C$141,$A$115:$A$119,0)),SUMPRODUCT(('Sales Dashboard'!$AO$5:$AO$301=$A167)*($AA$5:$AA$301=1)*(_xlpm.d&gt;=_xlpm.f)*(_xlpm.d&lt;=_xlpm.t)*('Sales and count'!$G$3:$CZ$3="Total"),'Sales and count'!$G$4:$CZ$300)))</f>
        <v>31319.8</v>
      </c>
      <c r="D167" s="53" cm="1">
        <f t="array" ref="D167">IF($A167="","",_xlfn.LET(_xlpm.d,IFERROR(--'Sales and count'!$G$2:$CZ$2,0),_xlpm.f,INDEX($B$115:$B$119,MATCH(D$141,$A$115:$A$119,0)),_xlpm.t,INDEX($C$115:$C$119,MATCH(D$141,$A$115:$A$119,0)),SUMPRODUCT(('Sales Dashboard'!$AO$5:$AO$301=$A167)*($AA$5:$AA$301=1)*(_xlpm.d&gt;=_xlpm.f)*(_xlpm.d&lt;=_xlpm.t)*('Sales and count'!$G$3:$CZ$3="Total"),'Sales and count'!$G$4:$CZ$300)))</f>
        <v>25860.530000000002</v>
      </c>
      <c r="E167" s="53" cm="1">
        <f t="array" ref="E167">IF($A167="","",_xlfn.LET(_xlpm.d,IFERROR(--'Sales and count'!$G$2:$CZ$2,0),_xlpm.f,INDEX($B$115:$B$119,MATCH(E$141,$A$115:$A$119,0)),_xlpm.t,INDEX($C$115:$C$119,MATCH(E$141,$A$115:$A$119,0)),SUMPRODUCT(('Sales Dashboard'!$AO$5:$AO$301=$A167)*($AA$5:$AA$301=1)*(_xlpm.d&gt;=_xlpm.f)*(_xlpm.d&lt;=_xlpm.t)*('Sales and count'!$G$3:$CZ$3="Total"),'Sales and count'!$G$4:$CZ$300)))</f>
        <v>13235.740000000002</v>
      </c>
      <c r="F167" s="53" cm="1">
        <f t="array" ref="F167">IF($A167="","",_xlfn.LET(_xlpm.d,IFERROR(--'Sales and count'!$G$2:$CZ$2,0),_xlpm.f,INDEX($B$115:$B$119,MATCH(F$141,$A$115:$A$119,0)),_xlpm.t,INDEX($C$115:$C$119,MATCH(F$141,$A$115:$A$119,0)),SUMPRODUCT(('Sales Dashboard'!$AO$5:$AO$301=$A167)*($AA$5:$AA$301=1)*(_xlpm.d&gt;=_xlpm.f)*(_xlpm.d&lt;=_xlpm.t)*('Sales and count'!$G$3:$CZ$3="Total"),'Sales and count'!$G$4:$CZ$300)))</f>
        <v>4610.09</v>
      </c>
      <c r="G167" s="53">
        <f t="shared" si="34"/>
        <v>91472.59</v>
      </c>
      <c r="H167" s="55" cm="1">
        <f t="array" ref="H167">IF($A167="","",_xlfn.LET(_xlpm.k,SUMPRODUCT(--($D$115:$D$119&gt;0)),IF(_xlpm.k&lt;2,"",IFERROR((INDEX(B167:F167,_xlpm.k)/INDEX($D$115:$D$119,_xlpm.k))/(INDEX(B167:F167,_xlpm.k-1)/INDEX($D$115:$D$119,_xlpm.k-1))-1,""))))</f>
        <v>0.21907161972054445</v>
      </c>
      <c r="AA167" s="142">
        <f>--AND('Sales Dashboard'!AN167&lt;&gt;"",OR($B$3="All",'Sales Dashboard'!CF167=$B$3),IF(OR($B$4="All",$B$4="Multiple (ticked)"),IF(COUNTIF($B$6:$M$6,"✔")&gt;0,COUNTIFS($B$5:$M$5,'Sales Dashboard'!AN167,$B$6:$M$6,"✔")&gt;0,$B$4="All"),'Sales Dashboard'!AN167=$B$4))</f>
        <v>0</v>
      </c>
    </row>
    <row r="168" spans="1:27" ht="15" customHeight="1" x14ac:dyDescent="0.25">
      <c r="A168" s="45" t="str">
        <v>Skaka</v>
      </c>
      <c r="B168" s="53" cm="1">
        <f t="array" ref="B168">IF($A168="","",_xlfn.LET(_xlpm.d,IFERROR(--'Sales and count'!$G$2:$CZ$2,0),_xlpm.f,INDEX($B$115:$B$119,MATCH(B$141,$A$115:$A$119,0)),_xlpm.t,INDEX($C$115:$C$119,MATCH(B$141,$A$115:$A$119,0)),SUMPRODUCT(('Sales Dashboard'!$AO$5:$AO$301=$A168)*($AA$5:$AA$301=1)*(_xlpm.d&gt;=_xlpm.f)*(_xlpm.d&lt;=_xlpm.t)*('Sales and count'!$G$3:$CZ$3="Total"),'Sales and count'!$G$4:$CZ$300)))</f>
        <v>18049.28</v>
      </c>
      <c r="C168" s="53" cm="1">
        <f t="array" ref="C168">IF($A168="","",_xlfn.LET(_xlpm.d,IFERROR(--'Sales and count'!$G$2:$CZ$2,0),_xlpm.f,INDEX($B$115:$B$119,MATCH(C$141,$A$115:$A$119,0)),_xlpm.t,INDEX($C$115:$C$119,MATCH(C$141,$A$115:$A$119,0)),SUMPRODUCT(('Sales Dashboard'!$AO$5:$AO$301=$A168)*($AA$5:$AA$301=1)*(_xlpm.d&gt;=_xlpm.f)*(_xlpm.d&lt;=_xlpm.t)*('Sales and count'!$G$3:$CZ$3="Total"),'Sales and count'!$G$4:$CZ$300)))</f>
        <v>41559.539999999994</v>
      </c>
      <c r="D168" s="53" cm="1">
        <f t="array" ref="D168">IF($A168="","",_xlfn.LET(_xlpm.d,IFERROR(--'Sales and count'!$G$2:$CZ$2,0),_xlpm.f,INDEX($B$115:$B$119,MATCH(D$141,$A$115:$A$119,0)),_xlpm.t,INDEX($C$115:$C$119,MATCH(D$141,$A$115:$A$119,0)),SUMPRODUCT(('Sales Dashboard'!$AO$5:$AO$301=$A168)*($AA$5:$AA$301=1)*(_xlpm.d&gt;=_xlpm.f)*(_xlpm.d&lt;=_xlpm.t)*('Sales and count'!$G$3:$CZ$3="Total"),'Sales and count'!$G$4:$CZ$300)))</f>
        <v>25357.33</v>
      </c>
      <c r="E168" s="53" cm="1">
        <f t="array" ref="E168">IF($A168="","",_xlfn.LET(_xlpm.d,IFERROR(--'Sales and count'!$G$2:$CZ$2,0),_xlpm.f,INDEX($B$115:$B$119,MATCH(E$141,$A$115:$A$119,0)),_xlpm.t,INDEX($C$115:$C$119,MATCH(E$141,$A$115:$A$119,0)),SUMPRODUCT(('Sales Dashboard'!$AO$5:$AO$301=$A168)*($AA$5:$AA$301=1)*(_xlpm.d&gt;=_xlpm.f)*(_xlpm.d&lt;=_xlpm.t)*('Sales and count'!$G$3:$CZ$3="Total"),'Sales and count'!$G$4:$CZ$300)))</f>
        <v>19806.8</v>
      </c>
      <c r="F168" s="53" cm="1">
        <f t="array" ref="F168">IF($A168="","",_xlfn.LET(_xlpm.d,IFERROR(--'Sales and count'!$G$2:$CZ$2,0),_xlpm.f,INDEX($B$115:$B$119,MATCH(F$141,$A$115:$A$119,0)),_xlpm.t,INDEX($C$115:$C$119,MATCH(F$141,$A$115:$A$119,0)),SUMPRODUCT(('Sales Dashboard'!$AO$5:$AO$301=$A168)*($AA$5:$AA$301=1)*(_xlpm.d&gt;=_xlpm.f)*(_xlpm.d&lt;=_xlpm.t)*('Sales and count'!$G$3:$CZ$3="Total"),'Sales and count'!$G$4:$CZ$300)))</f>
        <v>7510.1</v>
      </c>
      <c r="G168" s="53">
        <f t="shared" si="34"/>
        <v>112283.05</v>
      </c>
      <c r="H168" s="55" cm="1">
        <f t="array" ref="H168">IF($A168="","",_xlfn.LET(_xlpm.k,SUMPRODUCT(--($D$115:$D$119&gt;0)),IF(_xlpm.k&lt;2,"",IFERROR((INDEX(B168:F168,_xlpm.k)/INDEX($D$115:$D$119,_xlpm.k))/(INDEX(B168:F168,_xlpm.k-1)/INDEX($D$115:$D$119,_xlpm.k-1))-1,""))))</f>
        <v>0.32708716198477306</v>
      </c>
      <c r="AA168" s="142">
        <f>--AND('Sales Dashboard'!AN168&lt;&gt;"",OR($B$3="All",'Sales Dashboard'!CF168=$B$3),IF(OR($B$4="All",$B$4="Multiple (ticked)"),IF(COUNTIF($B$6:$M$6,"✔")&gt;0,COUNTIFS($B$5:$M$5,'Sales Dashboard'!AN168,$B$6:$M$6,"✔")&gt;0,$B$4="All"),'Sales Dashboard'!AN168=$B$4))</f>
        <v>0</v>
      </c>
    </row>
    <row r="169" spans="1:27" ht="15" customHeight="1" x14ac:dyDescent="0.25">
      <c r="A169" s="45" t="str">
        <v>Tabuk</v>
      </c>
      <c r="B169" s="53" cm="1">
        <f t="array" ref="B169">IF($A169="","",_xlfn.LET(_xlpm.d,IFERROR(--'Sales and count'!$G$2:$CZ$2,0),_xlpm.f,INDEX($B$115:$B$119,MATCH(B$141,$A$115:$A$119,0)),_xlpm.t,INDEX($C$115:$C$119,MATCH(B$141,$A$115:$A$119,0)),SUMPRODUCT(('Sales Dashboard'!$AO$5:$AO$301=$A169)*($AA$5:$AA$301=1)*(_xlpm.d&gt;=_xlpm.f)*(_xlpm.d&lt;=_xlpm.t)*('Sales and count'!$G$3:$CZ$3="Total"),'Sales and count'!$G$4:$CZ$300)))</f>
        <v>50075.689999999995</v>
      </c>
      <c r="C169" s="53" cm="1">
        <f t="array" ref="C169">IF($A169="","",_xlfn.LET(_xlpm.d,IFERROR(--'Sales and count'!$G$2:$CZ$2,0),_xlpm.f,INDEX($B$115:$B$119,MATCH(C$141,$A$115:$A$119,0)),_xlpm.t,INDEX($C$115:$C$119,MATCH(C$141,$A$115:$A$119,0)),SUMPRODUCT(('Sales Dashboard'!$AO$5:$AO$301=$A169)*($AA$5:$AA$301=1)*(_xlpm.d&gt;=_xlpm.f)*(_xlpm.d&lt;=_xlpm.t)*('Sales and count'!$G$3:$CZ$3="Total"),'Sales and count'!$G$4:$CZ$300)))</f>
        <v>76778.47</v>
      </c>
      <c r="D169" s="53" cm="1">
        <f t="array" ref="D169">IF($A169="","",_xlfn.LET(_xlpm.d,IFERROR(--'Sales and count'!$G$2:$CZ$2,0),_xlpm.f,INDEX($B$115:$B$119,MATCH(D$141,$A$115:$A$119,0)),_xlpm.t,INDEX($C$115:$C$119,MATCH(D$141,$A$115:$A$119,0)),SUMPRODUCT(('Sales Dashboard'!$AO$5:$AO$301=$A169)*($AA$5:$AA$301=1)*(_xlpm.d&gt;=_xlpm.f)*(_xlpm.d&lt;=_xlpm.t)*('Sales and count'!$G$3:$CZ$3="Total"),'Sales and count'!$G$4:$CZ$300)))</f>
        <v>67339</v>
      </c>
      <c r="E169" s="53" cm="1">
        <f t="array" ref="E169">IF($A169="","",_xlfn.LET(_xlpm.d,IFERROR(--'Sales and count'!$G$2:$CZ$2,0),_xlpm.f,INDEX($B$115:$B$119,MATCH(E$141,$A$115:$A$119,0)),_xlpm.t,INDEX($C$115:$C$119,MATCH(E$141,$A$115:$A$119,0)),SUMPRODUCT(('Sales Dashboard'!$AO$5:$AO$301=$A169)*($AA$5:$AA$301=1)*(_xlpm.d&gt;=_xlpm.f)*(_xlpm.d&lt;=_xlpm.t)*('Sales and count'!$G$3:$CZ$3="Total"),'Sales and count'!$G$4:$CZ$300)))</f>
        <v>59944.12</v>
      </c>
      <c r="F169" s="53" cm="1">
        <f t="array" ref="F169">IF($A169="","",_xlfn.LET(_xlpm.d,IFERROR(--'Sales and count'!$G$2:$CZ$2,0),_xlpm.f,INDEX($B$115:$B$119,MATCH(F$141,$A$115:$A$119,0)),_xlpm.t,INDEX($C$115:$C$119,MATCH(F$141,$A$115:$A$119,0)),SUMPRODUCT(('Sales Dashboard'!$AO$5:$AO$301=$A169)*($AA$5:$AA$301=1)*(_xlpm.d&gt;=_xlpm.f)*(_xlpm.d&lt;=_xlpm.t)*('Sales and count'!$G$3:$CZ$3="Total"),'Sales and count'!$G$4:$CZ$300)))</f>
        <v>12029.269999999999</v>
      </c>
      <c r="G169" s="53">
        <f t="shared" si="34"/>
        <v>266166.55</v>
      </c>
      <c r="H169" s="55" cm="1">
        <f t="array" ref="H169">IF($A169="","",_xlfn.LET(_xlpm.k,SUMPRODUCT(--($D$115:$D$119&gt;0)),IF(_xlpm.k&lt;2,"",IFERROR((INDEX(B169:F169,_xlpm.k)/INDEX($D$115:$D$119,_xlpm.k))/(INDEX(B169:F169,_xlpm.k-1)/INDEX($D$115:$D$119,_xlpm.k-1))-1,""))))</f>
        <v>-0.29763845061033523</v>
      </c>
      <c r="AA169" s="142">
        <f>--AND('Sales Dashboard'!AN169&lt;&gt;"",OR($B$3="All",'Sales Dashboard'!CF169=$B$3),IF(OR($B$4="All",$B$4="Multiple (ticked)"),IF(COUNTIF($B$6:$M$6,"✔")&gt;0,COUNTIFS($B$5:$M$5,'Sales Dashboard'!AN169,$B$6:$M$6,"✔")&gt;0,$B$4="All"),'Sales Dashboard'!AN169=$B$4))</f>
        <v>0</v>
      </c>
    </row>
    <row r="170" spans="1:27" ht="15" customHeight="1" x14ac:dyDescent="0.25">
      <c r="A170" s="45" t="str">
        <v>Taif</v>
      </c>
      <c r="B170" s="53" cm="1">
        <f t="array" ref="B170">IF($A170="","",_xlfn.LET(_xlpm.d,IFERROR(--'Sales and count'!$G$2:$CZ$2,0),_xlpm.f,INDEX($B$115:$B$119,MATCH(B$141,$A$115:$A$119,0)),_xlpm.t,INDEX($C$115:$C$119,MATCH(B$141,$A$115:$A$119,0)),SUMPRODUCT(('Sales Dashboard'!$AO$5:$AO$301=$A170)*($AA$5:$AA$301=1)*(_xlpm.d&gt;=_xlpm.f)*(_xlpm.d&lt;=_xlpm.t)*('Sales and count'!$G$3:$CZ$3="Total"),'Sales and count'!$G$4:$CZ$300)))</f>
        <v>85743.400000000009</v>
      </c>
      <c r="C170" s="53" cm="1">
        <f t="array" ref="C170">IF($A170="","",_xlfn.LET(_xlpm.d,IFERROR(--'Sales and count'!$G$2:$CZ$2,0),_xlpm.f,INDEX($B$115:$B$119,MATCH(C$141,$A$115:$A$119,0)),_xlpm.t,INDEX($C$115:$C$119,MATCH(C$141,$A$115:$A$119,0)),SUMPRODUCT(('Sales Dashboard'!$AO$5:$AO$301=$A170)*($AA$5:$AA$301=1)*(_xlpm.d&gt;=_xlpm.f)*(_xlpm.d&lt;=_xlpm.t)*('Sales and count'!$G$3:$CZ$3="Total"),'Sales and count'!$G$4:$CZ$300)))</f>
        <v>104960.85000000002</v>
      </c>
      <c r="D170" s="53" cm="1">
        <f t="array" ref="D170">IF($A170="","",_xlfn.LET(_xlpm.d,IFERROR(--'Sales and count'!$G$2:$CZ$2,0),_xlpm.f,INDEX($B$115:$B$119,MATCH(D$141,$A$115:$A$119,0)),_xlpm.t,INDEX($C$115:$C$119,MATCH(D$141,$A$115:$A$119,0)),SUMPRODUCT(('Sales Dashboard'!$AO$5:$AO$301=$A170)*($AA$5:$AA$301=1)*(_xlpm.d&gt;=_xlpm.f)*(_xlpm.d&lt;=_xlpm.t)*('Sales and count'!$G$3:$CZ$3="Total"),'Sales and count'!$G$4:$CZ$300)))</f>
        <v>93412.250000000015</v>
      </c>
      <c r="E170" s="53" cm="1">
        <f t="array" ref="E170">IF($A170="","",_xlfn.LET(_xlpm.d,IFERROR(--'Sales and count'!$G$2:$CZ$2,0),_xlpm.f,INDEX($B$115:$B$119,MATCH(E$141,$A$115:$A$119,0)),_xlpm.t,INDEX($C$115:$C$119,MATCH(E$141,$A$115:$A$119,0)),SUMPRODUCT(('Sales Dashboard'!$AO$5:$AO$301=$A170)*($AA$5:$AA$301=1)*(_xlpm.d&gt;=_xlpm.f)*(_xlpm.d&lt;=_xlpm.t)*('Sales and count'!$G$3:$CZ$3="Total"),'Sales and count'!$G$4:$CZ$300)))</f>
        <v>74674.400000000009</v>
      </c>
      <c r="F170" s="53" cm="1">
        <f t="array" ref="F170">IF($A170="","",_xlfn.LET(_xlpm.d,IFERROR(--'Sales and count'!$G$2:$CZ$2,0),_xlpm.f,INDEX($B$115:$B$119,MATCH(F$141,$A$115:$A$119,0)),_xlpm.t,INDEX($C$115:$C$119,MATCH(F$141,$A$115:$A$119,0)),SUMPRODUCT(('Sales Dashboard'!$AO$5:$AO$301=$A170)*($AA$5:$AA$301=1)*(_xlpm.d&gt;=_xlpm.f)*(_xlpm.d&lt;=_xlpm.t)*('Sales and count'!$G$3:$CZ$3="Total"),'Sales and count'!$G$4:$CZ$300)))</f>
        <v>22183.200000000001</v>
      </c>
      <c r="G170" s="53">
        <f t="shared" si="34"/>
        <v>380974.10000000009</v>
      </c>
      <c r="H170" s="55" cm="1">
        <f t="array" ref="H170">IF($A170="","",_xlfn.LET(_xlpm.k,SUMPRODUCT(--($D$115:$D$119&gt;0)),IF(_xlpm.k&lt;2,"",IFERROR((INDEX(B170:F170,_xlpm.k)/INDEX($D$115:$D$119,_xlpm.k))/(INDEX(B170:F170,_xlpm.k-1)/INDEX($D$115:$D$119,_xlpm.k-1))-1,""))))</f>
        <v>3.9729813697866989E-2</v>
      </c>
      <c r="AA170" s="142">
        <f>--AND('Sales Dashboard'!AN170&lt;&gt;"",OR($B$3="All",'Sales Dashboard'!CF170=$B$3),IF(OR($B$4="All",$B$4="Multiple (ticked)"),IF(COUNTIF($B$6:$M$6,"✔")&gt;0,COUNTIFS($B$5:$M$5,'Sales Dashboard'!AN170,$B$6:$M$6,"✔")&gt;0,$B$4="All"),'Sales Dashboard'!AN170=$B$4))</f>
        <v>0</v>
      </c>
    </row>
    <row r="171" spans="1:27" ht="15" customHeight="1" x14ac:dyDescent="0.25">
      <c r="A171" s="45" t="str">
        <v>Yanbu</v>
      </c>
      <c r="B171" s="53" cm="1">
        <f t="array" ref="B171">IF($A171="","",_xlfn.LET(_xlpm.d,IFERROR(--'Sales and count'!$G$2:$CZ$2,0),_xlpm.f,INDEX($B$115:$B$119,MATCH(B$141,$A$115:$A$119,0)),_xlpm.t,INDEX($C$115:$C$119,MATCH(B$141,$A$115:$A$119,0)),SUMPRODUCT(('Sales Dashboard'!$AO$5:$AO$301=$A171)*($AA$5:$AA$301=1)*(_xlpm.d&gt;=_xlpm.f)*(_xlpm.d&lt;=_xlpm.t)*('Sales and count'!$G$3:$CZ$3="Total"),'Sales and count'!$G$4:$CZ$300)))</f>
        <v>33652.58</v>
      </c>
      <c r="C171" s="53" cm="1">
        <f t="array" ref="C171">IF($A171="","",_xlfn.LET(_xlpm.d,IFERROR(--'Sales and count'!$G$2:$CZ$2,0),_xlpm.f,INDEX($B$115:$B$119,MATCH(C$141,$A$115:$A$119,0)),_xlpm.t,INDEX($C$115:$C$119,MATCH(C$141,$A$115:$A$119,0)),SUMPRODUCT(('Sales Dashboard'!$AO$5:$AO$301=$A171)*($AA$5:$AA$301=1)*(_xlpm.d&gt;=_xlpm.f)*(_xlpm.d&lt;=_xlpm.t)*('Sales and count'!$G$3:$CZ$3="Total"),'Sales and count'!$G$4:$CZ$300)))</f>
        <v>49963.7</v>
      </c>
      <c r="D171" s="53" cm="1">
        <f t="array" ref="D171">IF($A171="","",_xlfn.LET(_xlpm.d,IFERROR(--'Sales and count'!$G$2:$CZ$2,0),_xlpm.f,INDEX($B$115:$B$119,MATCH(D$141,$A$115:$A$119,0)),_xlpm.t,INDEX($C$115:$C$119,MATCH(D$141,$A$115:$A$119,0)),SUMPRODUCT(('Sales Dashboard'!$AO$5:$AO$301=$A171)*($AA$5:$AA$301=1)*(_xlpm.d&gt;=_xlpm.f)*(_xlpm.d&lt;=_xlpm.t)*('Sales and count'!$G$3:$CZ$3="Total"),'Sales and count'!$G$4:$CZ$300)))</f>
        <v>35338.620000000003</v>
      </c>
      <c r="E171" s="53" cm="1">
        <f t="array" ref="E171">IF($A171="","",_xlfn.LET(_xlpm.d,IFERROR(--'Sales and count'!$G$2:$CZ$2,0),_xlpm.f,INDEX($B$115:$B$119,MATCH(E$141,$A$115:$A$119,0)),_xlpm.t,INDEX($C$115:$C$119,MATCH(E$141,$A$115:$A$119,0)),SUMPRODUCT(('Sales Dashboard'!$AO$5:$AO$301=$A171)*($AA$5:$AA$301=1)*(_xlpm.d&gt;=_xlpm.f)*(_xlpm.d&lt;=_xlpm.t)*('Sales and count'!$G$3:$CZ$3="Total"),'Sales and count'!$G$4:$CZ$300)))</f>
        <v>31830.71</v>
      </c>
      <c r="F171" s="53" cm="1">
        <f t="array" ref="F171">IF($A171="","",_xlfn.LET(_xlpm.d,IFERROR(--'Sales and count'!$G$2:$CZ$2,0),_xlpm.f,INDEX($B$115:$B$119,MATCH(F$141,$A$115:$A$119,0)),_xlpm.t,INDEX($C$115:$C$119,MATCH(F$141,$A$115:$A$119,0)),SUMPRODUCT(('Sales Dashboard'!$AO$5:$AO$301=$A171)*($AA$5:$AA$301=1)*(_xlpm.d&gt;=_xlpm.f)*(_xlpm.d&lt;=_xlpm.t)*('Sales and count'!$G$3:$CZ$3="Total"),'Sales and count'!$G$4:$CZ$300)))</f>
        <v>8204.1</v>
      </c>
      <c r="G171" s="53">
        <f t="shared" si="34"/>
        <v>158989.71</v>
      </c>
      <c r="H171" s="55" cm="1">
        <f t="array" ref="H171">IF($A171="","",_xlfn.LET(_xlpm.k,SUMPRODUCT(--($D$115:$D$119&gt;0)),IF(_xlpm.k&lt;2,"",IFERROR((INDEX(B171:F171,_xlpm.k)/INDEX($D$115:$D$119,_xlpm.k))/(INDEX(B171:F171,_xlpm.k-1)/INDEX($D$115:$D$119,_xlpm.k-1))-1,""))))</f>
        <v>-9.7904193780157578E-2</v>
      </c>
      <c r="AA171" s="142">
        <f>--AND('Sales Dashboard'!AN171&lt;&gt;"",OR($B$3="All",'Sales Dashboard'!CF171=$B$3),IF(OR($B$4="All",$B$4="Multiple (ticked)"),IF(COUNTIF($B$6:$M$6,"✔")&gt;0,COUNTIFS($B$5:$M$5,'Sales Dashboard'!AN171,$B$6:$M$6,"✔")&gt;0,$B$4="All"),'Sales Dashboard'!AN171=$B$4))</f>
        <v>0</v>
      </c>
    </row>
    <row r="172" spans="1:27" ht="15" customHeight="1" x14ac:dyDescent="0.25">
      <c r="A172" s="45"/>
      <c r="B172" s="53" t="str" cm="1">
        <f t="array" ref="B172">IF($A172="","",_xlfn.LET(_xlpm.d,IFERROR(--'Sales and count'!$G$2:$CZ$2,0),_xlpm.f,INDEX($B$115:$B$119,MATCH(B$141,$A$115:$A$119,0)),_xlpm.t,INDEX($C$115:$C$119,MATCH(B$141,$A$115:$A$119,0)),SUMPRODUCT(('Sales Dashboard'!$AO$5:$AO$301=$A172)*($AA$5:$AA$301=1)*(_xlpm.d&gt;=_xlpm.f)*(_xlpm.d&lt;=_xlpm.t)*('Sales and count'!$G$3:$CZ$3="Total"),'Sales and count'!$G$4:$CZ$300)))</f>
        <v/>
      </c>
      <c r="C172" s="53" t="str" cm="1">
        <f t="array" ref="C172">IF($A172="","",_xlfn.LET(_xlpm.d,IFERROR(--'Sales and count'!$G$2:$CZ$2,0),_xlpm.f,INDEX($B$115:$B$119,MATCH(C$141,$A$115:$A$119,0)),_xlpm.t,INDEX($C$115:$C$119,MATCH(C$141,$A$115:$A$119,0)),SUMPRODUCT(('Sales Dashboard'!$AO$5:$AO$301=$A172)*($AA$5:$AA$301=1)*(_xlpm.d&gt;=_xlpm.f)*(_xlpm.d&lt;=_xlpm.t)*('Sales and count'!$G$3:$CZ$3="Total"),'Sales and count'!$G$4:$CZ$300)))</f>
        <v/>
      </c>
      <c r="D172" s="53" t="str" cm="1">
        <f t="array" ref="D172">IF($A172="","",_xlfn.LET(_xlpm.d,IFERROR(--'Sales and count'!$G$2:$CZ$2,0),_xlpm.f,INDEX($B$115:$B$119,MATCH(D$141,$A$115:$A$119,0)),_xlpm.t,INDEX($C$115:$C$119,MATCH(D$141,$A$115:$A$119,0)),SUMPRODUCT(('Sales Dashboard'!$AO$5:$AO$301=$A172)*($AA$5:$AA$301=1)*(_xlpm.d&gt;=_xlpm.f)*(_xlpm.d&lt;=_xlpm.t)*('Sales and count'!$G$3:$CZ$3="Total"),'Sales and count'!$G$4:$CZ$300)))</f>
        <v/>
      </c>
      <c r="E172" s="53" t="str" cm="1">
        <f t="array" ref="E172">IF($A172="","",_xlfn.LET(_xlpm.d,IFERROR(--'Sales and count'!$G$2:$CZ$2,0),_xlpm.f,INDEX($B$115:$B$119,MATCH(E$141,$A$115:$A$119,0)),_xlpm.t,INDEX($C$115:$C$119,MATCH(E$141,$A$115:$A$119,0)),SUMPRODUCT(('Sales Dashboard'!$AO$5:$AO$301=$A172)*($AA$5:$AA$301=1)*(_xlpm.d&gt;=_xlpm.f)*(_xlpm.d&lt;=_xlpm.t)*('Sales and count'!$G$3:$CZ$3="Total"),'Sales and count'!$G$4:$CZ$300)))</f>
        <v/>
      </c>
      <c r="F172" s="53" t="str" cm="1">
        <f t="array" ref="F172">IF($A172="","",_xlfn.LET(_xlpm.d,IFERROR(--'Sales and count'!$G$2:$CZ$2,0),_xlpm.f,INDEX($B$115:$B$119,MATCH(F$141,$A$115:$A$119,0)),_xlpm.t,INDEX($C$115:$C$119,MATCH(F$141,$A$115:$A$119,0)),SUMPRODUCT(('Sales Dashboard'!$AO$5:$AO$301=$A172)*($AA$5:$AA$301=1)*(_xlpm.d&gt;=_xlpm.f)*(_xlpm.d&lt;=_xlpm.t)*('Sales and count'!$G$3:$CZ$3="Total"),'Sales and count'!$G$4:$CZ$300)))</f>
        <v/>
      </c>
      <c r="G172" s="53" t="str">
        <f t="shared" si="34"/>
        <v/>
      </c>
      <c r="H172" s="55" t="str" cm="1">
        <f t="array" ref="H172">IF($A172="","",_xlfn.LET(_xlpm.k,SUMPRODUCT(--($D$115:$D$119&gt;0)),IF(_xlpm.k&lt;2,"",IFERROR((INDEX(B172:F172,_xlpm.k)/INDEX($D$115:$D$119,_xlpm.k))/(INDEX(B172:F172,_xlpm.k-1)/INDEX($D$115:$D$119,_xlpm.k-1))-1,""))))</f>
        <v/>
      </c>
      <c r="AA172" s="142">
        <f>--AND('Sales Dashboard'!AN172&lt;&gt;"",OR($B$3="All",'Sales Dashboard'!CF172=$B$3),IF(OR($B$4="All",$B$4="Multiple (ticked)"),IF(COUNTIF($B$6:$M$6,"✔")&gt;0,COUNTIFS($B$5:$M$5,'Sales Dashboard'!AN172,$B$6:$M$6,"✔")&gt;0,$B$4="All"),'Sales Dashboard'!AN172=$B$4))</f>
        <v>0</v>
      </c>
    </row>
    <row r="173" spans="1:27" ht="15" customHeight="1" x14ac:dyDescent="0.25">
      <c r="A173" s="45"/>
      <c r="B173" s="53" t="str" cm="1">
        <f t="array" ref="B173">IF($A173="","",_xlfn.LET(_xlpm.d,IFERROR(--'Sales and count'!$G$2:$CZ$2,0),_xlpm.f,INDEX($B$115:$B$119,MATCH(B$141,$A$115:$A$119,0)),_xlpm.t,INDEX($C$115:$C$119,MATCH(B$141,$A$115:$A$119,0)),SUMPRODUCT(('Sales Dashboard'!$AO$5:$AO$301=$A173)*($AA$5:$AA$301=1)*(_xlpm.d&gt;=_xlpm.f)*(_xlpm.d&lt;=_xlpm.t)*('Sales and count'!$G$3:$CZ$3="Total"),'Sales and count'!$G$4:$CZ$300)))</f>
        <v/>
      </c>
      <c r="C173" s="53" t="str" cm="1">
        <f t="array" ref="C173">IF($A173="","",_xlfn.LET(_xlpm.d,IFERROR(--'Sales and count'!$G$2:$CZ$2,0),_xlpm.f,INDEX($B$115:$B$119,MATCH(C$141,$A$115:$A$119,0)),_xlpm.t,INDEX($C$115:$C$119,MATCH(C$141,$A$115:$A$119,0)),SUMPRODUCT(('Sales Dashboard'!$AO$5:$AO$301=$A173)*($AA$5:$AA$301=1)*(_xlpm.d&gt;=_xlpm.f)*(_xlpm.d&lt;=_xlpm.t)*('Sales and count'!$G$3:$CZ$3="Total"),'Sales and count'!$G$4:$CZ$300)))</f>
        <v/>
      </c>
      <c r="D173" s="53" t="str" cm="1">
        <f t="array" ref="D173">IF($A173="","",_xlfn.LET(_xlpm.d,IFERROR(--'Sales and count'!$G$2:$CZ$2,0),_xlpm.f,INDEX($B$115:$B$119,MATCH(D$141,$A$115:$A$119,0)),_xlpm.t,INDEX($C$115:$C$119,MATCH(D$141,$A$115:$A$119,0)),SUMPRODUCT(('Sales Dashboard'!$AO$5:$AO$301=$A173)*($AA$5:$AA$301=1)*(_xlpm.d&gt;=_xlpm.f)*(_xlpm.d&lt;=_xlpm.t)*('Sales and count'!$G$3:$CZ$3="Total"),'Sales and count'!$G$4:$CZ$300)))</f>
        <v/>
      </c>
      <c r="E173" s="53" t="str" cm="1">
        <f t="array" ref="E173">IF($A173="","",_xlfn.LET(_xlpm.d,IFERROR(--'Sales and count'!$G$2:$CZ$2,0),_xlpm.f,INDEX($B$115:$B$119,MATCH(E$141,$A$115:$A$119,0)),_xlpm.t,INDEX($C$115:$C$119,MATCH(E$141,$A$115:$A$119,0)),SUMPRODUCT(('Sales Dashboard'!$AO$5:$AO$301=$A173)*($AA$5:$AA$301=1)*(_xlpm.d&gt;=_xlpm.f)*(_xlpm.d&lt;=_xlpm.t)*('Sales and count'!$G$3:$CZ$3="Total"),'Sales and count'!$G$4:$CZ$300)))</f>
        <v/>
      </c>
      <c r="F173" s="53" t="str" cm="1">
        <f t="array" ref="F173">IF($A173="","",_xlfn.LET(_xlpm.d,IFERROR(--'Sales and count'!$G$2:$CZ$2,0),_xlpm.f,INDEX($B$115:$B$119,MATCH(F$141,$A$115:$A$119,0)),_xlpm.t,INDEX($C$115:$C$119,MATCH(F$141,$A$115:$A$119,0)),SUMPRODUCT(('Sales Dashboard'!$AO$5:$AO$301=$A173)*($AA$5:$AA$301=1)*(_xlpm.d&gt;=_xlpm.f)*(_xlpm.d&lt;=_xlpm.t)*('Sales and count'!$G$3:$CZ$3="Total"),'Sales and count'!$G$4:$CZ$300)))</f>
        <v/>
      </c>
      <c r="G173" s="53" t="str">
        <f t="shared" si="34"/>
        <v/>
      </c>
      <c r="H173" s="55" t="str" cm="1">
        <f t="array" ref="H173">IF($A173="","",_xlfn.LET(_xlpm.k,SUMPRODUCT(--($D$115:$D$119&gt;0)),IF(_xlpm.k&lt;2,"",IFERROR((INDEX(B173:F173,_xlpm.k)/INDEX($D$115:$D$119,_xlpm.k))/(INDEX(B173:F173,_xlpm.k-1)/INDEX($D$115:$D$119,_xlpm.k-1))-1,""))))</f>
        <v/>
      </c>
      <c r="AA173" s="142">
        <f>--AND('Sales Dashboard'!AN173&lt;&gt;"",OR($B$3="All",'Sales Dashboard'!CF173=$B$3),IF(OR($B$4="All",$B$4="Multiple (ticked)"),IF(COUNTIF($B$6:$M$6,"✔")&gt;0,COUNTIFS($B$5:$M$5,'Sales Dashboard'!AN173,$B$6:$M$6,"✔")&gt;0,$B$4="All"),'Sales Dashboard'!AN173=$B$4))</f>
        <v>0</v>
      </c>
    </row>
    <row r="174" spans="1:27" ht="15" customHeight="1" x14ac:dyDescent="0.25">
      <c r="A174" s="45"/>
      <c r="B174" s="53" t="str" cm="1">
        <f t="array" ref="B174">IF($A174="","",_xlfn.LET(_xlpm.d,IFERROR(--'Sales and count'!$G$2:$CZ$2,0),_xlpm.f,INDEX($B$115:$B$119,MATCH(B$141,$A$115:$A$119,0)),_xlpm.t,INDEX($C$115:$C$119,MATCH(B$141,$A$115:$A$119,0)),SUMPRODUCT(('Sales Dashboard'!$AO$5:$AO$301=$A174)*($AA$5:$AA$301=1)*(_xlpm.d&gt;=_xlpm.f)*(_xlpm.d&lt;=_xlpm.t)*('Sales and count'!$G$3:$CZ$3="Total"),'Sales and count'!$G$4:$CZ$300)))</f>
        <v/>
      </c>
      <c r="C174" s="53" t="str" cm="1">
        <f t="array" ref="C174">IF($A174="","",_xlfn.LET(_xlpm.d,IFERROR(--'Sales and count'!$G$2:$CZ$2,0),_xlpm.f,INDEX($B$115:$B$119,MATCH(C$141,$A$115:$A$119,0)),_xlpm.t,INDEX($C$115:$C$119,MATCH(C$141,$A$115:$A$119,0)),SUMPRODUCT(('Sales Dashboard'!$AO$5:$AO$301=$A174)*($AA$5:$AA$301=1)*(_xlpm.d&gt;=_xlpm.f)*(_xlpm.d&lt;=_xlpm.t)*('Sales and count'!$G$3:$CZ$3="Total"),'Sales and count'!$G$4:$CZ$300)))</f>
        <v/>
      </c>
      <c r="D174" s="53" t="str" cm="1">
        <f t="array" ref="D174">IF($A174="","",_xlfn.LET(_xlpm.d,IFERROR(--'Sales and count'!$G$2:$CZ$2,0),_xlpm.f,INDEX($B$115:$B$119,MATCH(D$141,$A$115:$A$119,0)),_xlpm.t,INDEX($C$115:$C$119,MATCH(D$141,$A$115:$A$119,0)),SUMPRODUCT(('Sales Dashboard'!$AO$5:$AO$301=$A174)*($AA$5:$AA$301=1)*(_xlpm.d&gt;=_xlpm.f)*(_xlpm.d&lt;=_xlpm.t)*('Sales and count'!$G$3:$CZ$3="Total"),'Sales and count'!$G$4:$CZ$300)))</f>
        <v/>
      </c>
      <c r="E174" s="53" t="str" cm="1">
        <f t="array" ref="E174">IF($A174="","",_xlfn.LET(_xlpm.d,IFERROR(--'Sales and count'!$G$2:$CZ$2,0),_xlpm.f,INDEX($B$115:$B$119,MATCH(E$141,$A$115:$A$119,0)),_xlpm.t,INDEX($C$115:$C$119,MATCH(E$141,$A$115:$A$119,0)),SUMPRODUCT(('Sales Dashboard'!$AO$5:$AO$301=$A174)*($AA$5:$AA$301=1)*(_xlpm.d&gt;=_xlpm.f)*(_xlpm.d&lt;=_xlpm.t)*('Sales and count'!$G$3:$CZ$3="Total"),'Sales and count'!$G$4:$CZ$300)))</f>
        <v/>
      </c>
      <c r="F174" s="53" t="str" cm="1">
        <f t="array" ref="F174">IF($A174="","",_xlfn.LET(_xlpm.d,IFERROR(--'Sales and count'!$G$2:$CZ$2,0),_xlpm.f,INDEX($B$115:$B$119,MATCH(F$141,$A$115:$A$119,0)),_xlpm.t,INDEX($C$115:$C$119,MATCH(F$141,$A$115:$A$119,0)),SUMPRODUCT(('Sales Dashboard'!$AO$5:$AO$301=$A174)*($AA$5:$AA$301=1)*(_xlpm.d&gt;=_xlpm.f)*(_xlpm.d&lt;=_xlpm.t)*('Sales and count'!$G$3:$CZ$3="Total"),'Sales and count'!$G$4:$CZ$300)))</f>
        <v/>
      </c>
      <c r="G174" s="53" t="str">
        <f t="shared" si="34"/>
        <v/>
      </c>
      <c r="H174" s="55" t="str" cm="1">
        <f t="array" ref="H174">IF($A174="","",_xlfn.LET(_xlpm.k,SUMPRODUCT(--($D$115:$D$119&gt;0)),IF(_xlpm.k&lt;2,"",IFERROR((INDEX(B174:F174,_xlpm.k)/INDEX($D$115:$D$119,_xlpm.k))/(INDEX(B174:F174,_xlpm.k-1)/INDEX($D$115:$D$119,_xlpm.k-1))-1,""))))</f>
        <v/>
      </c>
      <c r="AA174" s="142">
        <f>--AND('Sales Dashboard'!AN174&lt;&gt;"",OR($B$3="All",'Sales Dashboard'!CF174=$B$3),IF(OR($B$4="All",$B$4="Multiple (ticked)"),IF(COUNTIF($B$6:$M$6,"✔")&gt;0,COUNTIFS($B$5:$M$5,'Sales Dashboard'!AN174,$B$6:$M$6,"✔")&gt;0,$B$4="All"),'Sales Dashboard'!AN174=$B$4))</f>
        <v>0</v>
      </c>
    </row>
    <row r="175" spans="1:27" ht="15" customHeight="1" x14ac:dyDescent="0.25">
      <c r="A175" s="45"/>
      <c r="B175" s="53" t="str" cm="1">
        <f t="array" ref="B175">IF($A175="","",_xlfn.LET(_xlpm.d,IFERROR(--'Sales and count'!$G$2:$CZ$2,0),_xlpm.f,INDEX($B$115:$B$119,MATCH(B$141,$A$115:$A$119,0)),_xlpm.t,INDEX($C$115:$C$119,MATCH(B$141,$A$115:$A$119,0)),SUMPRODUCT(('Sales Dashboard'!$AO$5:$AO$301=$A175)*($AA$5:$AA$301=1)*(_xlpm.d&gt;=_xlpm.f)*(_xlpm.d&lt;=_xlpm.t)*('Sales and count'!$G$3:$CZ$3="Total"),'Sales and count'!$G$4:$CZ$300)))</f>
        <v/>
      </c>
      <c r="C175" s="53" t="str" cm="1">
        <f t="array" ref="C175">IF($A175="","",_xlfn.LET(_xlpm.d,IFERROR(--'Sales and count'!$G$2:$CZ$2,0),_xlpm.f,INDEX($B$115:$B$119,MATCH(C$141,$A$115:$A$119,0)),_xlpm.t,INDEX($C$115:$C$119,MATCH(C$141,$A$115:$A$119,0)),SUMPRODUCT(('Sales Dashboard'!$AO$5:$AO$301=$A175)*($AA$5:$AA$301=1)*(_xlpm.d&gt;=_xlpm.f)*(_xlpm.d&lt;=_xlpm.t)*('Sales and count'!$G$3:$CZ$3="Total"),'Sales and count'!$G$4:$CZ$300)))</f>
        <v/>
      </c>
      <c r="D175" s="53" t="str" cm="1">
        <f t="array" ref="D175">IF($A175="","",_xlfn.LET(_xlpm.d,IFERROR(--'Sales and count'!$G$2:$CZ$2,0),_xlpm.f,INDEX($B$115:$B$119,MATCH(D$141,$A$115:$A$119,0)),_xlpm.t,INDEX($C$115:$C$119,MATCH(D$141,$A$115:$A$119,0)),SUMPRODUCT(('Sales Dashboard'!$AO$5:$AO$301=$A175)*($AA$5:$AA$301=1)*(_xlpm.d&gt;=_xlpm.f)*(_xlpm.d&lt;=_xlpm.t)*('Sales and count'!$G$3:$CZ$3="Total"),'Sales and count'!$G$4:$CZ$300)))</f>
        <v/>
      </c>
      <c r="E175" s="53" t="str" cm="1">
        <f t="array" ref="E175">IF($A175="","",_xlfn.LET(_xlpm.d,IFERROR(--'Sales and count'!$G$2:$CZ$2,0),_xlpm.f,INDEX($B$115:$B$119,MATCH(E$141,$A$115:$A$119,0)),_xlpm.t,INDEX($C$115:$C$119,MATCH(E$141,$A$115:$A$119,0)),SUMPRODUCT(('Sales Dashboard'!$AO$5:$AO$301=$A175)*($AA$5:$AA$301=1)*(_xlpm.d&gt;=_xlpm.f)*(_xlpm.d&lt;=_xlpm.t)*('Sales and count'!$G$3:$CZ$3="Total"),'Sales and count'!$G$4:$CZ$300)))</f>
        <v/>
      </c>
      <c r="F175" s="53" t="str" cm="1">
        <f t="array" ref="F175">IF($A175="","",_xlfn.LET(_xlpm.d,IFERROR(--'Sales and count'!$G$2:$CZ$2,0),_xlpm.f,INDEX($B$115:$B$119,MATCH(F$141,$A$115:$A$119,0)),_xlpm.t,INDEX($C$115:$C$119,MATCH(F$141,$A$115:$A$119,0)),SUMPRODUCT(('Sales Dashboard'!$AO$5:$AO$301=$A175)*($AA$5:$AA$301=1)*(_xlpm.d&gt;=_xlpm.f)*(_xlpm.d&lt;=_xlpm.t)*('Sales and count'!$G$3:$CZ$3="Total"),'Sales and count'!$G$4:$CZ$300)))</f>
        <v/>
      </c>
      <c r="G175" s="53" t="str">
        <f t="shared" si="34"/>
        <v/>
      </c>
      <c r="H175" s="55" t="str" cm="1">
        <f t="array" ref="H175">IF($A175="","",_xlfn.LET(_xlpm.k,SUMPRODUCT(--($D$115:$D$119&gt;0)),IF(_xlpm.k&lt;2,"",IFERROR((INDEX(B175:F175,_xlpm.k)/INDEX($D$115:$D$119,_xlpm.k))/(INDEX(B175:F175,_xlpm.k-1)/INDEX($D$115:$D$119,_xlpm.k-1))-1,""))))</f>
        <v/>
      </c>
      <c r="AA175" s="142">
        <f>--AND('Sales Dashboard'!AN175&lt;&gt;"",OR($B$3="All",'Sales Dashboard'!CF175=$B$3),IF(OR($B$4="All",$B$4="Multiple (ticked)"),IF(COUNTIF($B$6:$M$6,"✔")&gt;0,COUNTIFS($B$5:$M$5,'Sales Dashboard'!AN175,$B$6:$M$6,"✔")&gt;0,$B$4="All"),'Sales Dashboard'!AN175=$B$4))</f>
        <v>0</v>
      </c>
    </row>
    <row r="176" spans="1:27" ht="15" customHeight="1" x14ac:dyDescent="0.25">
      <c r="A176" s="45"/>
      <c r="B176" s="53" t="str" cm="1">
        <f t="array" ref="B176">IF($A176="","",_xlfn.LET(_xlpm.d,IFERROR(--'Sales and count'!$G$2:$CZ$2,0),_xlpm.f,INDEX($B$115:$B$119,MATCH(B$141,$A$115:$A$119,0)),_xlpm.t,INDEX($C$115:$C$119,MATCH(B$141,$A$115:$A$119,0)),SUMPRODUCT(('Sales Dashboard'!$AO$5:$AO$301=$A176)*($AA$5:$AA$301=1)*(_xlpm.d&gt;=_xlpm.f)*(_xlpm.d&lt;=_xlpm.t)*('Sales and count'!$G$3:$CZ$3="Total"),'Sales and count'!$G$4:$CZ$300)))</f>
        <v/>
      </c>
      <c r="C176" s="53" t="str" cm="1">
        <f t="array" ref="C176">IF($A176="","",_xlfn.LET(_xlpm.d,IFERROR(--'Sales and count'!$G$2:$CZ$2,0),_xlpm.f,INDEX($B$115:$B$119,MATCH(C$141,$A$115:$A$119,0)),_xlpm.t,INDEX($C$115:$C$119,MATCH(C$141,$A$115:$A$119,0)),SUMPRODUCT(('Sales Dashboard'!$AO$5:$AO$301=$A176)*($AA$5:$AA$301=1)*(_xlpm.d&gt;=_xlpm.f)*(_xlpm.d&lt;=_xlpm.t)*('Sales and count'!$G$3:$CZ$3="Total"),'Sales and count'!$G$4:$CZ$300)))</f>
        <v/>
      </c>
      <c r="D176" s="53" t="str" cm="1">
        <f t="array" ref="D176">IF($A176="","",_xlfn.LET(_xlpm.d,IFERROR(--'Sales and count'!$G$2:$CZ$2,0),_xlpm.f,INDEX($B$115:$B$119,MATCH(D$141,$A$115:$A$119,0)),_xlpm.t,INDEX($C$115:$C$119,MATCH(D$141,$A$115:$A$119,0)),SUMPRODUCT(('Sales Dashboard'!$AO$5:$AO$301=$A176)*($AA$5:$AA$301=1)*(_xlpm.d&gt;=_xlpm.f)*(_xlpm.d&lt;=_xlpm.t)*('Sales and count'!$G$3:$CZ$3="Total"),'Sales and count'!$G$4:$CZ$300)))</f>
        <v/>
      </c>
      <c r="E176" s="53" t="str" cm="1">
        <f t="array" ref="E176">IF($A176="","",_xlfn.LET(_xlpm.d,IFERROR(--'Sales and count'!$G$2:$CZ$2,0),_xlpm.f,INDEX($B$115:$B$119,MATCH(E$141,$A$115:$A$119,0)),_xlpm.t,INDEX($C$115:$C$119,MATCH(E$141,$A$115:$A$119,0)),SUMPRODUCT(('Sales Dashboard'!$AO$5:$AO$301=$A176)*($AA$5:$AA$301=1)*(_xlpm.d&gt;=_xlpm.f)*(_xlpm.d&lt;=_xlpm.t)*('Sales and count'!$G$3:$CZ$3="Total"),'Sales and count'!$G$4:$CZ$300)))</f>
        <v/>
      </c>
      <c r="F176" s="53" t="str" cm="1">
        <f t="array" ref="F176">IF($A176="","",_xlfn.LET(_xlpm.d,IFERROR(--'Sales and count'!$G$2:$CZ$2,0),_xlpm.f,INDEX($B$115:$B$119,MATCH(F$141,$A$115:$A$119,0)),_xlpm.t,INDEX($C$115:$C$119,MATCH(F$141,$A$115:$A$119,0)),SUMPRODUCT(('Sales Dashboard'!$AO$5:$AO$301=$A176)*($AA$5:$AA$301=1)*(_xlpm.d&gt;=_xlpm.f)*(_xlpm.d&lt;=_xlpm.t)*('Sales and count'!$G$3:$CZ$3="Total"),'Sales and count'!$G$4:$CZ$300)))</f>
        <v/>
      </c>
      <c r="G176" s="53" t="str">
        <f t="shared" si="34"/>
        <v/>
      </c>
      <c r="H176" s="55" t="str" cm="1">
        <f t="array" ref="H176">IF($A176="","",_xlfn.LET(_xlpm.k,SUMPRODUCT(--($D$115:$D$119&gt;0)),IF(_xlpm.k&lt;2,"",IFERROR((INDEX(B176:F176,_xlpm.k)/INDEX($D$115:$D$119,_xlpm.k))/(INDEX(B176:F176,_xlpm.k-1)/INDEX($D$115:$D$119,_xlpm.k-1))-1,""))))</f>
        <v/>
      </c>
      <c r="AA176" s="142">
        <f>--AND('Sales Dashboard'!AN176&lt;&gt;"",OR($B$3="All",'Sales Dashboard'!CF176=$B$3),IF(OR($B$4="All",$B$4="Multiple (ticked)"),IF(COUNTIF($B$6:$M$6,"✔")&gt;0,COUNTIFS($B$5:$M$5,'Sales Dashboard'!AN176,$B$6:$M$6,"✔")&gt;0,$B$4="All"),'Sales Dashboard'!AN176=$B$4))</f>
        <v>0</v>
      </c>
    </row>
    <row r="177" spans="1:27" ht="15" customHeight="1" x14ac:dyDescent="0.25">
      <c r="A177" s="45"/>
      <c r="B177" s="53" t="str" cm="1">
        <f t="array" ref="B177">IF($A177="","",_xlfn.LET(_xlpm.d,IFERROR(--'Sales and count'!$G$2:$CZ$2,0),_xlpm.f,INDEX($B$115:$B$119,MATCH(B$141,$A$115:$A$119,0)),_xlpm.t,INDEX($C$115:$C$119,MATCH(B$141,$A$115:$A$119,0)),SUMPRODUCT(('Sales Dashboard'!$AO$5:$AO$301=$A177)*($AA$5:$AA$301=1)*(_xlpm.d&gt;=_xlpm.f)*(_xlpm.d&lt;=_xlpm.t)*('Sales and count'!$G$3:$CZ$3="Total"),'Sales and count'!$G$4:$CZ$300)))</f>
        <v/>
      </c>
      <c r="C177" s="53" t="str" cm="1">
        <f t="array" ref="C177">IF($A177="","",_xlfn.LET(_xlpm.d,IFERROR(--'Sales and count'!$G$2:$CZ$2,0),_xlpm.f,INDEX($B$115:$B$119,MATCH(C$141,$A$115:$A$119,0)),_xlpm.t,INDEX($C$115:$C$119,MATCH(C$141,$A$115:$A$119,0)),SUMPRODUCT(('Sales Dashboard'!$AO$5:$AO$301=$A177)*($AA$5:$AA$301=1)*(_xlpm.d&gt;=_xlpm.f)*(_xlpm.d&lt;=_xlpm.t)*('Sales and count'!$G$3:$CZ$3="Total"),'Sales and count'!$G$4:$CZ$300)))</f>
        <v/>
      </c>
      <c r="D177" s="53" t="str" cm="1">
        <f t="array" ref="D177">IF($A177="","",_xlfn.LET(_xlpm.d,IFERROR(--'Sales and count'!$G$2:$CZ$2,0),_xlpm.f,INDEX($B$115:$B$119,MATCH(D$141,$A$115:$A$119,0)),_xlpm.t,INDEX($C$115:$C$119,MATCH(D$141,$A$115:$A$119,0)),SUMPRODUCT(('Sales Dashboard'!$AO$5:$AO$301=$A177)*($AA$5:$AA$301=1)*(_xlpm.d&gt;=_xlpm.f)*(_xlpm.d&lt;=_xlpm.t)*('Sales and count'!$G$3:$CZ$3="Total"),'Sales and count'!$G$4:$CZ$300)))</f>
        <v/>
      </c>
      <c r="E177" s="53" t="str" cm="1">
        <f t="array" ref="E177">IF($A177="","",_xlfn.LET(_xlpm.d,IFERROR(--'Sales and count'!$G$2:$CZ$2,0),_xlpm.f,INDEX($B$115:$B$119,MATCH(E$141,$A$115:$A$119,0)),_xlpm.t,INDEX($C$115:$C$119,MATCH(E$141,$A$115:$A$119,0)),SUMPRODUCT(('Sales Dashboard'!$AO$5:$AO$301=$A177)*($AA$5:$AA$301=1)*(_xlpm.d&gt;=_xlpm.f)*(_xlpm.d&lt;=_xlpm.t)*('Sales and count'!$G$3:$CZ$3="Total"),'Sales and count'!$G$4:$CZ$300)))</f>
        <v/>
      </c>
      <c r="F177" s="53" t="str" cm="1">
        <f t="array" ref="F177">IF($A177="","",_xlfn.LET(_xlpm.d,IFERROR(--'Sales and count'!$G$2:$CZ$2,0),_xlpm.f,INDEX($B$115:$B$119,MATCH(F$141,$A$115:$A$119,0)),_xlpm.t,INDEX($C$115:$C$119,MATCH(F$141,$A$115:$A$119,0)),SUMPRODUCT(('Sales Dashboard'!$AO$5:$AO$301=$A177)*($AA$5:$AA$301=1)*(_xlpm.d&gt;=_xlpm.f)*(_xlpm.d&lt;=_xlpm.t)*('Sales and count'!$G$3:$CZ$3="Total"),'Sales and count'!$G$4:$CZ$300)))</f>
        <v/>
      </c>
      <c r="G177" s="53" t="str">
        <f t="shared" si="34"/>
        <v/>
      </c>
      <c r="H177" s="55" t="str" cm="1">
        <f t="array" ref="H177">IF($A177="","",_xlfn.LET(_xlpm.k,SUMPRODUCT(--($D$115:$D$119&gt;0)),IF(_xlpm.k&lt;2,"",IFERROR((INDEX(B177:F177,_xlpm.k)/INDEX($D$115:$D$119,_xlpm.k))/(INDEX(B177:F177,_xlpm.k-1)/INDEX($D$115:$D$119,_xlpm.k-1))-1,""))))</f>
        <v/>
      </c>
      <c r="AA177" s="142">
        <f>--AND('Sales Dashboard'!AN177&lt;&gt;"",OR($B$3="All",'Sales Dashboard'!CF177=$B$3),IF(OR($B$4="All",$B$4="Multiple (ticked)"),IF(COUNTIF($B$6:$M$6,"✔")&gt;0,COUNTIFS($B$5:$M$5,'Sales Dashboard'!AN177,$B$6:$M$6,"✔")&gt;0,$B$4="All"),'Sales Dashboard'!AN177=$B$4))</f>
        <v>0</v>
      </c>
    </row>
    <row r="178" spans="1:27" ht="15" customHeight="1" x14ac:dyDescent="0.25">
      <c r="AA178" s="142">
        <f>--AND('Sales Dashboard'!AN178&lt;&gt;"",OR($B$3="All",'Sales Dashboard'!CF178=$B$3),IF(OR($B$4="All",$B$4="Multiple (ticked)"),IF(COUNTIF($B$6:$M$6,"✔")&gt;0,COUNTIFS($B$5:$M$5,'Sales Dashboard'!AN178,$B$6:$M$6,"✔")&gt;0,$B$4="All"),'Sales Dashboard'!AN178=$B$4))</f>
        <v>0</v>
      </c>
    </row>
    <row r="179" spans="1:27" ht="15" customHeight="1" x14ac:dyDescent="0.25">
      <c r="AA179" s="142">
        <f>--AND('Sales Dashboard'!AN179&lt;&gt;"",OR($B$3="All",'Sales Dashboard'!CF179=$B$3),IF(OR($B$4="All",$B$4="Multiple (ticked)"),IF(COUNTIF($B$6:$M$6,"✔")&gt;0,COUNTIFS($B$5:$M$5,'Sales Dashboard'!AN179,$B$6:$M$6,"✔")&gt;0,$B$4="All"),'Sales Dashboard'!AN179=$B$4))</f>
        <v>0</v>
      </c>
    </row>
    <row r="180" spans="1:27" ht="15" customHeight="1" x14ac:dyDescent="0.25">
      <c r="AA180" s="142">
        <f>--AND('Sales Dashboard'!AN180&lt;&gt;"",OR($B$3="All",'Sales Dashboard'!CF180=$B$3),IF(OR($B$4="All",$B$4="Multiple (ticked)"),IF(COUNTIF($B$6:$M$6,"✔")&gt;0,COUNTIFS($B$5:$M$5,'Sales Dashboard'!AN180,$B$6:$M$6,"✔")&gt;0,$B$4="All"),'Sales Dashboard'!AN180=$B$4))</f>
        <v>0</v>
      </c>
    </row>
    <row r="181" spans="1:27" ht="15" customHeight="1" x14ac:dyDescent="0.25">
      <c r="AA181" s="142">
        <f>--AND('Sales Dashboard'!AN181&lt;&gt;"",OR($B$3="All",'Sales Dashboard'!CF181=$B$3),IF(OR($B$4="All",$B$4="Multiple (ticked)"),IF(COUNTIF($B$6:$M$6,"✔")&gt;0,COUNTIFS($B$5:$M$5,'Sales Dashboard'!AN181,$B$6:$M$6,"✔")&gt;0,$B$4="All"),'Sales Dashboard'!AN181=$B$4))</f>
        <v>0</v>
      </c>
    </row>
    <row r="182" spans="1:27" ht="15" customHeight="1" x14ac:dyDescent="0.25">
      <c r="AA182" s="142">
        <f>--AND('Sales Dashboard'!AN182&lt;&gt;"",OR($B$3="All",'Sales Dashboard'!CF182=$B$3),IF(OR($B$4="All",$B$4="Multiple (ticked)"),IF(COUNTIF($B$6:$M$6,"✔")&gt;0,COUNTIFS($B$5:$M$5,'Sales Dashboard'!AN182,$B$6:$M$6,"✔")&gt;0,$B$4="All"),'Sales Dashboard'!AN182=$B$4))</f>
        <v>0</v>
      </c>
    </row>
    <row r="183" spans="1:27" ht="15" customHeight="1" x14ac:dyDescent="0.25">
      <c r="AA183" s="142">
        <f>--AND('Sales Dashboard'!AN183&lt;&gt;"",OR($B$3="All",'Sales Dashboard'!CF183=$B$3),IF(OR($B$4="All",$B$4="Multiple (ticked)"),IF(COUNTIF($B$6:$M$6,"✔")&gt;0,COUNTIFS($B$5:$M$5,'Sales Dashboard'!AN183,$B$6:$M$6,"✔")&gt;0,$B$4="All"),'Sales Dashboard'!AN183=$B$4))</f>
        <v>0</v>
      </c>
    </row>
    <row r="184" spans="1:27" ht="13.9" x14ac:dyDescent="0.25">
      <c r="AA184" s="142">
        <f>--AND('Sales Dashboard'!AN184&lt;&gt;"",OR($B$3="All",'Sales Dashboard'!CF184=$B$3),IF(OR($B$4="All",$B$4="Multiple (ticked)"),IF(COUNTIF($B$6:$M$6,"✔")&gt;0,COUNTIFS($B$5:$M$5,'Sales Dashboard'!AN184,$B$6:$M$6,"✔")&gt;0,$B$4="All"),'Sales Dashboard'!AN184=$B$4))</f>
        <v>0</v>
      </c>
    </row>
    <row r="185" spans="1:27" ht="13.9" x14ac:dyDescent="0.25">
      <c r="AA185" s="142">
        <f>--AND('Sales Dashboard'!AN185&lt;&gt;"",OR($B$3="All",'Sales Dashboard'!CF185=$B$3),IF(OR($B$4="All",$B$4="Multiple (ticked)"),IF(COUNTIF($B$6:$M$6,"✔")&gt;0,COUNTIFS($B$5:$M$5,'Sales Dashboard'!AN185,$B$6:$M$6,"✔")&gt;0,$B$4="All"),'Sales Dashboard'!AN185=$B$4))</f>
        <v>0</v>
      </c>
    </row>
    <row r="186" spans="1:27" ht="13.9" x14ac:dyDescent="0.25">
      <c r="AA186" s="142">
        <f>--AND('Sales Dashboard'!AN186&lt;&gt;"",OR($B$3="All",'Sales Dashboard'!CF186=$B$3),IF(OR($B$4="All",$B$4="Multiple (ticked)"),IF(COUNTIF($B$6:$M$6,"✔")&gt;0,COUNTIFS($B$5:$M$5,'Sales Dashboard'!AN186,$B$6:$M$6,"✔")&gt;0,$B$4="All"),'Sales Dashboard'!AN186=$B$4))</f>
        <v>0</v>
      </c>
    </row>
    <row r="187" spans="1:27" ht="13.9" x14ac:dyDescent="0.25">
      <c r="AA187" s="142">
        <f>--AND('Sales Dashboard'!AN187&lt;&gt;"",OR($B$3="All",'Sales Dashboard'!CF187=$B$3),IF(OR($B$4="All",$B$4="Multiple (ticked)"),IF(COUNTIF($B$6:$M$6,"✔")&gt;0,COUNTIFS($B$5:$M$5,'Sales Dashboard'!AN187,$B$6:$M$6,"✔")&gt;0,$B$4="All"),'Sales Dashboard'!AN187=$B$4))</f>
        <v>0</v>
      </c>
    </row>
    <row r="188" spans="1:27" ht="13.9" x14ac:dyDescent="0.25">
      <c r="AA188" s="142">
        <f>--AND('Sales Dashboard'!AN188&lt;&gt;"",OR($B$3="All",'Sales Dashboard'!CF188=$B$3),IF(OR($B$4="All",$B$4="Multiple (ticked)"),IF(COUNTIF($B$6:$M$6,"✔")&gt;0,COUNTIFS($B$5:$M$5,'Sales Dashboard'!AN188,$B$6:$M$6,"✔")&gt;0,$B$4="All"),'Sales Dashboard'!AN188=$B$4))</f>
        <v>0</v>
      </c>
    </row>
    <row r="189" spans="1:27" ht="13.9" x14ac:dyDescent="0.25">
      <c r="AA189" s="142">
        <f>--AND('Sales Dashboard'!AN189&lt;&gt;"",OR($B$3="All",'Sales Dashboard'!CF189=$B$3),IF(OR($B$4="All",$B$4="Multiple (ticked)"),IF(COUNTIF($B$6:$M$6,"✔")&gt;0,COUNTIFS($B$5:$M$5,'Sales Dashboard'!AN189,$B$6:$M$6,"✔")&gt;0,$B$4="All"),'Sales Dashboard'!AN189=$B$4))</f>
        <v>0</v>
      </c>
    </row>
    <row r="190" spans="1:27" ht="13.9" x14ac:dyDescent="0.25">
      <c r="AA190" s="142">
        <f>--AND('Sales Dashboard'!AN190&lt;&gt;"",OR($B$3="All",'Sales Dashboard'!CF190=$B$3),IF(OR($B$4="All",$B$4="Multiple (ticked)"),IF(COUNTIF($B$6:$M$6,"✔")&gt;0,COUNTIFS($B$5:$M$5,'Sales Dashboard'!AN190,$B$6:$M$6,"✔")&gt;0,$B$4="All"),'Sales Dashboard'!AN190=$B$4))</f>
        <v>0</v>
      </c>
    </row>
    <row r="191" spans="1:27" ht="13.9" x14ac:dyDescent="0.25">
      <c r="AA191" s="142">
        <f>--AND('Sales Dashboard'!AN191&lt;&gt;"",OR($B$3="All",'Sales Dashboard'!CF191=$B$3),IF(OR($B$4="All",$B$4="Multiple (ticked)"),IF(COUNTIF($B$6:$M$6,"✔")&gt;0,COUNTIFS($B$5:$M$5,'Sales Dashboard'!AN191,$B$6:$M$6,"✔")&gt;0,$B$4="All"),'Sales Dashboard'!AN191=$B$4))</f>
        <v>0</v>
      </c>
    </row>
    <row r="192" spans="1:27" ht="13.9" x14ac:dyDescent="0.25">
      <c r="AA192" s="142">
        <f>--AND('Sales Dashboard'!AN192&lt;&gt;"",OR($B$3="All",'Sales Dashboard'!CF192=$B$3),IF(OR($B$4="All",$B$4="Multiple (ticked)"),IF(COUNTIF($B$6:$M$6,"✔")&gt;0,COUNTIFS($B$5:$M$5,'Sales Dashboard'!AN192,$B$6:$M$6,"✔")&gt;0,$B$4="All"),'Sales Dashboard'!AN192=$B$4))</f>
        <v>0</v>
      </c>
    </row>
    <row r="193" spans="27:27" ht="13.9" x14ac:dyDescent="0.25">
      <c r="AA193" s="142">
        <f>--AND('Sales Dashboard'!AN193&lt;&gt;"",OR($B$3="All",'Sales Dashboard'!CF193=$B$3),IF(OR($B$4="All",$B$4="Multiple (ticked)"),IF(COUNTIF($B$6:$M$6,"✔")&gt;0,COUNTIFS($B$5:$M$5,'Sales Dashboard'!AN193,$B$6:$M$6,"✔")&gt;0,$B$4="All"),'Sales Dashboard'!AN193=$B$4))</f>
        <v>0</v>
      </c>
    </row>
    <row r="194" spans="27:27" ht="13.9" x14ac:dyDescent="0.25">
      <c r="AA194" s="142">
        <f>--AND('Sales Dashboard'!AN194&lt;&gt;"",OR($B$3="All",'Sales Dashboard'!CF194=$B$3),IF(OR($B$4="All",$B$4="Multiple (ticked)"),IF(COUNTIF($B$6:$M$6,"✔")&gt;0,COUNTIFS($B$5:$M$5,'Sales Dashboard'!AN194,$B$6:$M$6,"✔")&gt;0,$B$4="All"),'Sales Dashboard'!AN194=$B$4))</f>
        <v>0</v>
      </c>
    </row>
    <row r="195" spans="27:27" ht="13.9" x14ac:dyDescent="0.25">
      <c r="AA195" s="142">
        <f>--AND('Sales Dashboard'!AN195&lt;&gt;"",OR($B$3="All",'Sales Dashboard'!CF195=$B$3),IF(OR($B$4="All",$B$4="Multiple (ticked)"),IF(COUNTIF($B$6:$M$6,"✔")&gt;0,COUNTIFS($B$5:$M$5,'Sales Dashboard'!AN195,$B$6:$M$6,"✔")&gt;0,$B$4="All"),'Sales Dashboard'!AN195=$B$4))</f>
        <v>0</v>
      </c>
    </row>
    <row r="196" spans="27:27" ht="13.9" x14ac:dyDescent="0.25">
      <c r="AA196" s="142">
        <f>--AND('Sales Dashboard'!AN196&lt;&gt;"",OR($B$3="All",'Sales Dashboard'!CF196=$B$3),IF(OR($B$4="All",$B$4="Multiple (ticked)"),IF(COUNTIF($B$6:$M$6,"✔")&gt;0,COUNTIFS($B$5:$M$5,'Sales Dashboard'!AN196,$B$6:$M$6,"✔")&gt;0,$B$4="All"),'Sales Dashboard'!AN196=$B$4))</f>
        <v>0</v>
      </c>
    </row>
    <row r="197" spans="27:27" ht="13.9" x14ac:dyDescent="0.25">
      <c r="AA197" s="142">
        <f>--AND('Sales Dashboard'!AN197&lt;&gt;"",OR($B$3="All",'Sales Dashboard'!CF197=$B$3),IF(OR($B$4="All",$B$4="Multiple (ticked)"),IF(COUNTIF($B$6:$M$6,"✔")&gt;0,COUNTIFS($B$5:$M$5,'Sales Dashboard'!AN197,$B$6:$M$6,"✔")&gt;0,$B$4="All"),'Sales Dashboard'!AN197=$B$4))</f>
        <v>0</v>
      </c>
    </row>
    <row r="198" spans="27:27" ht="13.9" x14ac:dyDescent="0.25">
      <c r="AA198" s="142">
        <f>--AND('Sales Dashboard'!AN198&lt;&gt;"",OR($B$3="All",'Sales Dashboard'!CF198=$B$3),IF(OR($B$4="All",$B$4="Multiple (ticked)"),IF(COUNTIF($B$6:$M$6,"✔")&gt;0,COUNTIFS($B$5:$M$5,'Sales Dashboard'!AN198,$B$6:$M$6,"✔")&gt;0,$B$4="All"),'Sales Dashboard'!AN198=$B$4))</f>
        <v>0</v>
      </c>
    </row>
    <row r="199" spans="27:27" ht="13.9" x14ac:dyDescent="0.25">
      <c r="AA199" s="142">
        <f>--AND('Sales Dashboard'!AN199&lt;&gt;"",OR($B$3="All",'Sales Dashboard'!CF199=$B$3),IF(OR($B$4="All",$B$4="Multiple (ticked)"),IF(COUNTIF($B$6:$M$6,"✔")&gt;0,COUNTIFS($B$5:$M$5,'Sales Dashboard'!AN199,$B$6:$M$6,"✔")&gt;0,$B$4="All"),'Sales Dashboard'!AN199=$B$4))</f>
        <v>0</v>
      </c>
    </row>
    <row r="200" spans="27:27" ht="13.9" x14ac:dyDescent="0.25">
      <c r="AA200" s="142">
        <f>--AND('Sales Dashboard'!AN200&lt;&gt;"",OR($B$3="All",'Sales Dashboard'!CF200=$B$3),IF(OR($B$4="All",$B$4="Multiple (ticked)"),IF(COUNTIF($B$6:$M$6,"✔")&gt;0,COUNTIFS($B$5:$M$5,'Sales Dashboard'!AN200,$B$6:$M$6,"✔")&gt;0,$B$4="All"),'Sales Dashboard'!AN200=$B$4))</f>
        <v>0</v>
      </c>
    </row>
    <row r="201" spans="27:27" ht="13.9" x14ac:dyDescent="0.25">
      <c r="AA201" s="142">
        <f>--AND('Sales Dashboard'!AN201&lt;&gt;"",OR($B$3="All",'Sales Dashboard'!CF201=$B$3),IF(OR($B$4="All",$B$4="Multiple (ticked)"),IF(COUNTIF($B$6:$M$6,"✔")&gt;0,COUNTIFS($B$5:$M$5,'Sales Dashboard'!AN201,$B$6:$M$6,"✔")&gt;0,$B$4="All"),'Sales Dashboard'!AN201=$B$4))</f>
        <v>0</v>
      </c>
    </row>
    <row r="202" spans="27:27" ht="13.9" x14ac:dyDescent="0.25">
      <c r="AA202" s="142">
        <f>--AND('Sales Dashboard'!AN202&lt;&gt;"",OR($B$3="All",'Sales Dashboard'!CF202=$B$3),IF(OR($B$4="All",$B$4="Multiple (ticked)"),IF(COUNTIF($B$6:$M$6,"✔")&gt;0,COUNTIFS($B$5:$M$5,'Sales Dashboard'!AN202,$B$6:$M$6,"✔")&gt;0,$B$4="All"),'Sales Dashboard'!AN202=$B$4))</f>
        <v>0</v>
      </c>
    </row>
    <row r="203" spans="27:27" ht="13.9" x14ac:dyDescent="0.25">
      <c r="AA203" s="142">
        <f>--AND('Sales Dashboard'!AN203&lt;&gt;"",OR($B$3="All",'Sales Dashboard'!CF203=$B$3),IF(OR($B$4="All",$B$4="Multiple (ticked)"),IF(COUNTIF($B$6:$M$6,"✔")&gt;0,COUNTIFS($B$5:$M$5,'Sales Dashboard'!AN203,$B$6:$M$6,"✔")&gt;0,$B$4="All"),'Sales Dashboard'!AN203=$B$4))</f>
        <v>0</v>
      </c>
    </row>
    <row r="204" spans="27:27" ht="13.9" x14ac:dyDescent="0.25">
      <c r="AA204" s="142">
        <f>--AND('Sales Dashboard'!AN204&lt;&gt;"",OR($B$3="All",'Sales Dashboard'!CF204=$B$3),IF(OR($B$4="All",$B$4="Multiple (ticked)"),IF(COUNTIF($B$6:$M$6,"✔")&gt;0,COUNTIFS($B$5:$M$5,'Sales Dashboard'!AN204,$B$6:$M$6,"✔")&gt;0,$B$4="All"),'Sales Dashboard'!AN204=$B$4))</f>
        <v>0</v>
      </c>
    </row>
    <row r="205" spans="27:27" ht="13.9" x14ac:dyDescent="0.25">
      <c r="AA205" s="142">
        <f>--AND('Sales Dashboard'!AN205&lt;&gt;"",OR($B$3="All",'Sales Dashboard'!CF205=$B$3),IF(OR($B$4="All",$B$4="Multiple (ticked)"),IF(COUNTIF($B$6:$M$6,"✔")&gt;0,COUNTIFS($B$5:$M$5,'Sales Dashboard'!AN205,$B$6:$M$6,"✔")&gt;0,$B$4="All"),'Sales Dashboard'!AN205=$B$4))</f>
        <v>0</v>
      </c>
    </row>
    <row r="206" spans="27:27" ht="13.9" x14ac:dyDescent="0.25">
      <c r="AA206" s="142">
        <f>--AND('Sales Dashboard'!AN206&lt;&gt;"",OR($B$3="All",'Sales Dashboard'!CF206=$B$3),IF(OR($B$4="All",$B$4="Multiple (ticked)"),IF(COUNTIF($B$6:$M$6,"✔")&gt;0,COUNTIFS($B$5:$M$5,'Sales Dashboard'!AN206,$B$6:$M$6,"✔")&gt;0,$B$4="All"),'Sales Dashboard'!AN206=$B$4))</f>
        <v>0</v>
      </c>
    </row>
    <row r="207" spans="27:27" ht="13.9" x14ac:dyDescent="0.25">
      <c r="AA207" s="142">
        <f>--AND('Sales Dashboard'!AN207&lt;&gt;"",OR($B$3="All",'Sales Dashboard'!CF207=$B$3),IF(OR($B$4="All",$B$4="Multiple (ticked)"),IF(COUNTIF($B$6:$M$6,"✔")&gt;0,COUNTIFS($B$5:$M$5,'Sales Dashboard'!AN207,$B$6:$M$6,"✔")&gt;0,$B$4="All"),'Sales Dashboard'!AN207=$B$4))</f>
        <v>0</v>
      </c>
    </row>
    <row r="208" spans="27:27" ht="13.9" x14ac:dyDescent="0.25">
      <c r="AA208" s="142">
        <f>--AND('Sales Dashboard'!AN208&lt;&gt;"",OR($B$3="All",'Sales Dashboard'!CF208=$B$3),IF(OR($B$4="All",$B$4="Multiple (ticked)"),IF(COUNTIF($B$6:$M$6,"✔")&gt;0,COUNTIFS($B$5:$M$5,'Sales Dashboard'!AN208,$B$6:$M$6,"✔")&gt;0,$B$4="All"),'Sales Dashboard'!AN208=$B$4))</f>
        <v>0</v>
      </c>
    </row>
    <row r="209" spans="27:27" ht="13.9" x14ac:dyDescent="0.25">
      <c r="AA209" s="142">
        <f>--AND('Sales Dashboard'!AN209&lt;&gt;"",OR($B$3="All",'Sales Dashboard'!CF209=$B$3),IF(OR($B$4="All",$B$4="Multiple (ticked)"),IF(COUNTIF($B$6:$M$6,"✔")&gt;0,COUNTIFS($B$5:$M$5,'Sales Dashboard'!AN209,$B$6:$M$6,"✔")&gt;0,$B$4="All"),'Sales Dashboard'!AN209=$B$4))</f>
        <v>0</v>
      </c>
    </row>
    <row r="210" spans="27:27" ht="13.9" x14ac:dyDescent="0.25">
      <c r="AA210" s="142">
        <f>--AND('Sales Dashboard'!AN210&lt;&gt;"",OR($B$3="All",'Sales Dashboard'!CF210=$B$3),IF(OR($B$4="All",$B$4="Multiple (ticked)"),IF(COUNTIF($B$6:$M$6,"✔")&gt;0,COUNTIFS($B$5:$M$5,'Sales Dashboard'!AN210,$B$6:$M$6,"✔")&gt;0,$B$4="All"),'Sales Dashboard'!AN210=$B$4))</f>
        <v>0</v>
      </c>
    </row>
    <row r="211" spans="27:27" ht="13.9" x14ac:dyDescent="0.25">
      <c r="AA211" s="142">
        <f>--AND('Sales Dashboard'!AN211&lt;&gt;"",OR($B$3="All",'Sales Dashboard'!CF211=$B$3),IF(OR($B$4="All",$B$4="Multiple (ticked)"),IF(COUNTIF($B$6:$M$6,"✔")&gt;0,COUNTIFS($B$5:$M$5,'Sales Dashboard'!AN211,$B$6:$M$6,"✔")&gt;0,$B$4="All"),'Sales Dashboard'!AN211=$B$4))</f>
        <v>0</v>
      </c>
    </row>
    <row r="212" spans="27:27" ht="13.9" x14ac:dyDescent="0.25">
      <c r="AA212" s="142">
        <f>--AND('Sales Dashboard'!AN212&lt;&gt;"",OR($B$3="All",'Sales Dashboard'!CF212=$B$3),IF(OR($B$4="All",$B$4="Multiple (ticked)"),IF(COUNTIF($B$6:$M$6,"✔")&gt;0,COUNTIFS($B$5:$M$5,'Sales Dashboard'!AN212,$B$6:$M$6,"✔")&gt;0,$B$4="All"),'Sales Dashboard'!AN212=$B$4))</f>
        <v>0</v>
      </c>
    </row>
    <row r="213" spans="27:27" ht="13.9" x14ac:dyDescent="0.25">
      <c r="AA213" s="142">
        <f>--AND('Sales Dashboard'!AN213&lt;&gt;"",OR($B$3="All",'Sales Dashboard'!CF213=$B$3),IF(OR($B$4="All",$B$4="Multiple (ticked)"),IF(COUNTIF($B$6:$M$6,"✔")&gt;0,COUNTIFS($B$5:$M$5,'Sales Dashboard'!AN213,$B$6:$M$6,"✔")&gt;0,$B$4="All"),'Sales Dashboard'!AN213=$B$4))</f>
        <v>0</v>
      </c>
    </row>
    <row r="214" spans="27:27" ht="13.9" x14ac:dyDescent="0.25">
      <c r="AA214" s="142">
        <f>--AND('Sales Dashboard'!AN214&lt;&gt;"",OR($B$3="All",'Sales Dashboard'!CF214=$B$3),IF(OR($B$4="All",$B$4="Multiple (ticked)"),IF(COUNTIF($B$6:$M$6,"✔")&gt;0,COUNTIFS($B$5:$M$5,'Sales Dashboard'!AN214,$B$6:$M$6,"✔")&gt;0,$B$4="All"),'Sales Dashboard'!AN214=$B$4))</f>
        <v>0</v>
      </c>
    </row>
    <row r="215" spans="27:27" ht="13.9" x14ac:dyDescent="0.25">
      <c r="AA215" s="142">
        <f>--AND('Sales Dashboard'!AN215&lt;&gt;"",OR($B$3="All",'Sales Dashboard'!CF215=$B$3),IF(OR($B$4="All",$B$4="Multiple (ticked)"),IF(COUNTIF($B$6:$M$6,"✔")&gt;0,COUNTIFS($B$5:$M$5,'Sales Dashboard'!AN215,$B$6:$M$6,"✔")&gt;0,$B$4="All"),'Sales Dashboard'!AN215=$B$4))</f>
        <v>0</v>
      </c>
    </row>
    <row r="216" spans="27:27" ht="13.9" x14ac:dyDescent="0.25">
      <c r="AA216" s="142">
        <f>--AND('Sales Dashboard'!AN216&lt;&gt;"",OR($B$3="All",'Sales Dashboard'!CF216=$B$3),IF(OR($B$4="All",$B$4="Multiple (ticked)"),IF(COUNTIF($B$6:$M$6,"✔")&gt;0,COUNTIFS($B$5:$M$5,'Sales Dashboard'!AN216,$B$6:$M$6,"✔")&gt;0,$B$4="All"),'Sales Dashboard'!AN216=$B$4))</f>
        <v>0</v>
      </c>
    </row>
    <row r="217" spans="27:27" ht="13.9" x14ac:dyDescent="0.25">
      <c r="AA217" s="142">
        <f>--AND('Sales Dashboard'!AN217&lt;&gt;"",OR($B$3="All",'Sales Dashboard'!CF217=$B$3),IF(OR($B$4="All",$B$4="Multiple (ticked)"),IF(COUNTIF($B$6:$M$6,"✔")&gt;0,COUNTIFS($B$5:$M$5,'Sales Dashboard'!AN217,$B$6:$M$6,"✔")&gt;0,$B$4="All"),'Sales Dashboard'!AN217=$B$4))</f>
        <v>0</v>
      </c>
    </row>
    <row r="218" spans="27:27" ht="13.9" x14ac:dyDescent="0.25">
      <c r="AA218" s="142">
        <f>--AND('Sales Dashboard'!AN218&lt;&gt;"",OR($B$3="All",'Sales Dashboard'!CF218=$B$3),IF(OR($B$4="All",$B$4="Multiple (ticked)"),IF(COUNTIF($B$6:$M$6,"✔")&gt;0,COUNTIFS($B$5:$M$5,'Sales Dashboard'!AN218,$B$6:$M$6,"✔")&gt;0,$B$4="All"),'Sales Dashboard'!AN218=$B$4))</f>
        <v>0</v>
      </c>
    </row>
    <row r="219" spans="27:27" ht="13.9" x14ac:dyDescent="0.25">
      <c r="AA219" s="142">
        <f>--AND('Sales Dashboard'!AN219&lt;&gt;"",OR($B$3="All",'Sales Dashboard'!CF219=$B$3),IF(OR($B$4="All",$B$4="Multiple (ticked)"),IF(COUNTIF($B$6:$M$6,"✔")&gt;0,COUNTIFS($B$5:$M$5,'Sales Dashboard'!AN219,$B$6:$M$6,"✔")&gt;0,$B$4="All"),'Sales Dashboard'!AN219=$B$4))</f>
        <v>0</v>
      </c>
    </row>
    <row r="220" spans="27:27" ht="13.9" x14ac:dyDescent="0.25">
      <c r="AA220" s="142">
        <f>--AND('Sales Dashboard'!AN220&lt;&gt;"",OR($B$3="All",'Sales Dashboard'!CF220=$B$3),IF(OR($B$4="All",$B$4="Multiple (ticked)"),IF(COUNTIF($B$6:$M$6,"✔")&gt;0,COUNTIFS($B$5:$M$5,'Sales Dashboard'!AN220,$B$6:$M$6,"✔")&gt;0,$B$4="All"),'Sales Dashboard'!AN220=$B$4))</f>
        <v>0</v>
      </c>
    </row>
    <row r="221" spans="27:27" ht="13.9" x14ac:dyDescent="0.25">
      <c r="AA221" s="142">
        <f>--AND('Sales Dashboard'!AN221&lt;&gt;"",OR($B$3="All",'Sales Dashboard'!CF221=$B$3),IF(OR($B$4="All",$B$4="Multiple (ticked)"),IF(COUNTIF($B$6:$M$6,"✔")&gt;0,COUNTIFS($B$5:$M$5,'Sales Dashboard'!AN221,$B$6:$M$6,"✔")&gt;0,$B$4="All"),'Sales Dashboard'!AN221=$B$4))</f>
        <v>0</v>
      </c>
    </row>
    <row r="222" spans="27:27" ht="13.9" x14ac:dyDescent="0.25">
      <c r="AA222" s="142">
        <f>--AND('Sales Dashboard'!AN222&lt;&gt;"",OR($B$3="All",'Sales Dashboard'!CF222=$B$3),IF(OR($B$4="All",$B$4="Multiple (ticked)"),IF(COUNTIF($B$6:$M$6,"✔")&gt;0,COUNTIFS($B$5:$M$5,'Sales Dashboard'!AN222,$B$6:$M$6,"✔")&gt;0,$B$4="All"),'Sales Dashboard'!AN222=$B$4))</f>
        <v>0</v>
      </c>
    </row>
    <row r="223" spans="27:27" ht="13.9" x14ac:dyDescent="0.25">
      <c r="AA223" s="142">
        <f>--AND('Sales Dashboard'!AN223&lt;&gt;"",OR($B$3="All",'Sales Dashboard'!CF223=$B$3),IF(OR($B$4="All",$B$4="Multiple (ticked)"),IF(COUNTIF($B$6:$M$6,"✔")&gt;0,COUNTIFS($B$5:$M$5,'Sales Dashboard'!AN223,$B$6:$M$6,"✔")&gt;0,$B$4="All"),'Sales Dashboard'!AN223=$B$4))</f>
        <v>0</v>
      </c>
    </row>
    <row r="224" spans="27:27" ht="13.9" x14ac:dyDescent="0.25">
      <c r="AA224" s="142">
        <f>--AND('Sales Dashboard'!AN224&lt;&gt;"",OR($B$3="All",'Sales Dashboard'!CF224=$B$3),IF(OR($B$4="All",$B$4="Multiple (ticked)"),IF(COUNTIF($B$6:$M$6,"✔")&gt;0,COUNTIFS($B$5:$M$5,'Sales Dashboard'!AN224,$B$6:$M$6,"✔")&gt;0,$B$4="All"),'Sales Dashboard'!AN224=$B$4))</f>
        <v>0</v>
      </c>
    </row>
    <row r="225" spans="27:27" ht="13.9" x14ac:dyDescent="0.25">
      <c r="AA225" s="142">
        <f>--AND('Sales Dashboard'!AN225&lt;&gt;"",OR($B$3="All",'Sales Dashboard'!CF225=$B$3),IF(OR($B$4="All",$B$4="Multiple (ticked)"),IF(COUNTIF($B$6:$M$6,"✔")&gt;0,COUNTIFS($B$5:$M$5,'Sales Dashboard'!AN225,$B$6:$M$6,"✔")&gt;0,$B$4="All"),'Sales Dashboard'!AN225=$B$4))</f>
        <v>0</v>
      </c>
    </row>
    <row r="226" spans="27:27" ht="13.9" x14ac:dyDescent="0.25">
      <c r="AA226" s="142">
        <f>--AND('Sales Dashboard'!AN226&lt;&gt;"",OR($B$3="All",'Sales Dashboard'!CF226=$B$3),IF(OR($B$4="All",$B$4="Multiple (ticked)"),IF(COUNTIF($B$6:$M$6,"✔")&gt;0,COUNTIFS($B$5:$M$5,'Sales Dashboard'!AN226,$B$6:$M$6,"✔")&gt;0,$B$4="All"),'Sales Dashboard'!AN226=$B$4))</f>
        <v>0</v>
      </c>
    </row>
    <row r="227" spans="27:27" ht="13.9" x14ac:dyDescent="0.25">
      <c r="AA227" s="142">
        <f>--AND('Sales Dashboard'!AN227&lt;&gt;"",OR($B$3="All",'Sales Dashboard'!CF227=$B$3),IF(OR($B$4="All",$B$4="Multiple (ticked)"),IF(COUNTIF($B$6:$M$6,"✔")&gt;0,COUNTIFS($B$5:$M$5,'Sales Dashboard'!AN227,$B$6:$M$6,"✔")&gt;0,$B$4="All"),'Sales Dashboard'!AN227=$B$4))</f>
        <v>0</v>
      </c>
    </row>
    <row r="228" spans="27:27" ht="13.9" x14ac:dyDescent="0.25">
      <c r="AA228" s="142">
        <f>--AND('Sales Dashboard'!AN228&lt;&gt;"",OR($B$3="All",'Sales Dashboard'!CF228=$B$3),IF(OR($B$4="All",$B$4="Multiple (ticked)"),IF(COUNTIF($B$6:$M$6,"✔")&gt;0,COUNTIFS($B$5:$M$5,'Sales Dashboard'!AN228,$B$6:$M$6,"✔")&gt;0,$B$4="All"),'Sales Dashboard'!AN228=$B$4))</f>
        <v>0</v>
      </c>
    </row>
    <row r="229" spans="27:27" ht="13.9" x14ac:dyDescent="0.25">
      <c r="AA229" s="142">
        <f>--AND('Sales Dashboard'!AN229&lt;&gt;"",OR($B$3="All",'Sales Dashboard'!CF229=$B$3),IF(OR($B$4="All",$B$4="Multiple (ticked)"),IF(COUNTIF($B$6:$M$6,"✔")&gt;0,COUNTIFS($B$5:$M$5,'Sales Dashboard'!AN229,$B$6:$M$6,"✔")&gt;0,$B$4="All"),'Sales Dashboard'!AN229=$B$4))</f>
        <v>0</v>
      </c>
    </row>
    <row r="230" spans="27:27" ht="13.9" x14ac:dyDescent="0.25">
      <c r="AA230" s="142">
        <f>--AND('Sales Dashboard'!AN230&lt;&gt;"",OR($B$3="All",'Sales Dashboard'!CF230=$B$3),IF(OR($B$4="All",$B$4="Multiple (ticked)"),IF(COUNTIF($B$6:$M$6,"✔")&gt;0,COUNTIFS($B$5:$M$5,'Sales Dashboard'!AN230,$B$6:$M$6,"✔")&gt;0,$B$4="All"),'Sales Dashboard'!AN230=$B$4))</f>
        <v>0</v>
      </c>
    </row>
    <row r="231" spans="27:27" ht="13.9" x14ac:dyDescent="0.25">
      <c r="AA231" s="142">
        <f>--AND('Sales Dashboard'!AN231&lt;&gt;"",OR($B$3="All",'Sales Dashboard'!CF231=$B$3),IF(OR($B$4="All",$B$4="Multiple (ticked)"),IF(COUNTIF($B$6:$M$6,"✔")&gt;0,COUNTIFS($B$5:$M$5,'Sales Dashboard'!AN231,$B$6:$M$6,"✔")&gt;0,$B$4="All"),'Sales Dashboard'!AN231=$B$4))</f>
        <v>0</v>
      </c>
    </row>
    <row r="232" spans="27:27" ht="13.9" x14ac:dyDescent="0.25">
      <c r="AA232" s="142">
        <f>--AND('Sales Dashboard'!AN232&lt;&gt;"",OR($B$3="All",'Sales Dashboard'!CF232=$B$3),IF(OR($B$4="All",$B$4="Multiple (ticked)"),IF(COUNTIF($B$6:$M$6,"✔")&gt;0,COUNTIFS($B$5:$M$5,'Sales Dashboard'!AN232,$B$6:$M$6,"✔")&gt;0,$B$4="All"),'Sales Dashboard'!AN232=$B$4))</f>
        <v>0</v>
      </c>
    </row>
    <row r="233" spans="27:27" ht="13.9" x14ac:dyDescent="0.25">
      <c r="AA233" s="142">
        <f>--AND('Sales Dashboard'!AN233&lt;&gt;"",OR($B$3="All",'Sales Dashboard'!CF233=$B$3),IF(OR($B$4="All",$B$4="Multiple (ticked)"),IF(COUNTIF($B$6:$M$6,"✔")&gt;0,COUNTIFS($B$5:$M$5,'Sales Dashboard'!AN233,$B$6:$M$6,"✔")&gt;0,$B$4="All"),'Sales Dashboard'!AN233=$B$4))</f>
        <v>0</v>
      </c>
    </row>
    <row r="234" spans="27:27" ht="13.9" x14ac:dyDescent="0.25">
      <c r="AA234" s="142">
        <f>--AND('Sales Dashboard'!AN234&lt;&gt;"",OR($B$3="All",'Sales Dashboard'!CF234=$B$3),IF(OR($B$4="All",$B$4="Multiple (ticked)"),IF(COUNTIF($B$6:$M$6,"✔")&gt;0,COUNTIFS($B$5:$M$5,'Sales Dashboard'!AN234,$B$6:$M$6,"✔")&gt;0,$B$4="All"),'Sales Dashboard'!AN234=$B$4))</f>
        <v>0</v>
      </c>
    </row>
    <row r="235" spans="27:27" ht="13.9" x14ac:dyDescent="0.25">
      <c r="AA235" s="142">
        <f>--AND('Sales Dashboard'!AN235&lt;&gt;"",OR($B$3="All",'Sales Dashboard'!CF235=$B$3),IF(OR($B$4="All",$B$4="Multiple (ticked)"),IF(COUNTIF($B$6:$M$6,"✔")&gt;0,COUNTIFS($B$5:$M$5,'Sales Dashboard'!AN235,$B$6:$M$6,"✔")&gt;0,$B$4="All"),'Sales Dashboard'!AN235=$B$4))</f>
        <v>0</v>
      </c>
    </row>
    <row r="236" spans="27:27" ht="13.9" x14ac:dyDescent="0.25">
      <c r="AA236" s="142">
        <f>--AND('Sales Dashboard'!AN236&lt;&gt;"",OR($B$3="All",'Sales Dashboard'!CF236=$B$3),IF(OR($B$4="All",$B$4="Multiple (ticked)"),IF(COUNTIF($B$6:$M$6,"✔")&gt;0,COUNTIFS($B$5:$M$5,'Sales Dashboard'!AN236,$B$6:$M$6,"✔")&gt;0,$B$4="All"),'Sales Dashboard'!AN236=$B$4))</f>
        <v>0</v>
      </c>
    </row>
    <row r="237" spans="27:27" ht="13.9" x14ac:dyDescent="0.25">
      <c r="AA237" s="142">
        <f>--AND('Sales Dashboard'!AN237&lt;&gt;"",OR($B$3="All",'Sales Dashboard'!CF237=$B$3),IF(OR($B$4="All",$B$4="Multiple (ticked)"),IF(COUNTIF($B$6:$M$6,"✔")&gt;0,COUNTIFS($B$5:$M$5,'Sales Dashboard'!AN237,$B$6:$M$6,"✔")&gt;0,$B$4="All"),'Sales Dashboard'!AN237=$B$4))</f>
        <v>0</v>
      </c>
    </row>
    <row r="238" spans="27:27" ht="13.9" x14ac:dyDescent="0.25">
      <c r="AA238" s="142">
        <f>--AND('Sales Dashboard'!AN238&lt;&gt;"",OR($B$3="All",'Sales Dashboard'!CF238=$B$3),IF(OR($B$4="All",$B$4="Multiple (ticked)"),IF(COUNTIF($B$6:$M$6,"✔")&gt;0,COUNTIFS($B$5:$M$5,'Sales Dashboard'!AN238,$B$6:$M$6,"✔")&gt;0,$B$4="All"),'Sales Dashboard'!AN238=$B$4))</f>
        <v>0</v>
      </c>
    </row>
    <row r="239" spans="27:27" ht="13.9" x14ac:dyDescent="0.25">
      <c r="AA239" s="142">
        <f>--AND('Sales Dashboard'!AN239&lt;&gt;"",OR($B$3="All",'Sales Dashboard'!CF239=$B$3),IF(OR($B$4="All",$B$4="Multiple (ticked)"),IF(COUNTIF($B$6:$M$6,"✔")&gt;0,COUNTIFS($B$5:$M$5,'Sales Dashboard'!AN239,$B$6:$M$6,"✔")&gt;0,$B$4="All"),'Sales Dashboard'!AN239=$B$4))</f>
        <v>0</v>
      </c>
    </row>
    <row r="240" spans="27:27" ht="13.9" x14ac:dyDescent="0.25">
      <c r="AA240" s="142">
        <f>--AND('Sales Dashboard'!AN240&lt;&gt;"",OR($B$3="All",'Sales Dashboard'!CF240=$B$3),IF(OR($B$4="All",$B$4="Multiple (ticked)"),IF(COUNTIF($B$6:$M$6,"✔")&gt;0,COUNTIFS($B$5:$M$5,'Sales Dashboard'!AN240,$B$6:$M$6,"✔")&gt;0,$B$4="All"),'Sales Dashboard'!AN240=$B$4))</f>
        <v>0</v>
      </c>
    </row>
    <row r="241" spans="27:27" ht="13.9" x14ac:dyDescent="0.25">
      <c r="AA241" s="142">
        <f>--AND('Sales Dashboard'!AN241&lt;&gt;"",OR($B$3="All",'Sales Dashboard'!CF241=$B$3),IF(OR($B$4="All",$B$4="Multiple (ticked)"),IF(COUNTIF($B$6:$M$6,"✔")&gt;0,COUNTIFS($B$5:$M$5,'Sales Dashboard'!AN241,$B$6:$M$6,"✔")&gt;0,$B$4="All"),'Sales Dashboard'!AN241=$B$4))</f>
        <v>0</v>
      </c>
    </row>
    <row r="242" spans="27:27" ht="13.9" x14ac:dyDescent="0.25">
      <c r="AA242" s="142">
        <f>--AND('Sales Dashboard'!AN242&lt;&gt;"",OR($B$3="All",'Sales Dashboard'!CF242=$B$3),IF(OR($B$4="All",$B$4="Multiple (ticked)"),IF(COUNTIF($B$6:$M$6,"✔")&gt;0,COUNTIFS($B$5:$M$5,'Sales Dashboard'!AN242,$B$6:$M$6,"✔")&gt;0,$B$4="All"),'Sales Dashboard'!AN242=$B$4))</f>
        <v>0</v>
      </c>
    </row>
    <row r="243" spans="27:27" ht="13.9" x14ac:dyDescent="0.25">
      <c r="AA243" s="142">
        <f>--AND('Sales Dashboard'!AN243&lt;&gt;"",OR($B$3="All",'Sales Dashboard'!CF243=$B$3),IF(OR($B$4="All",$B$4="Multiple (ticked)"),IF(COUNTIF($B$6:$M$6,"✔")&gt;0,COUNTIFS($B$5:$M$5,'Sales Dashboard'!AN243,$B$6:$M$6,"✔")&gt;0,$B$4="All"),'Sales Dashboard'!AN243=$B$4))</f>
        <v>0</v>
      </c>
    </row>
    <row r="244" spans="27:27" ht="13.9" x14ac:dyDescent="0.25">
      <c r="AA244" s="142">
        <f>--AND('Sales Dashboard'!AN244&lt;&gt;"",OR($B$3="All",'Sales Dashboard'!CF244=$B$3),IF(OR($B$4="All",$B$4="Multiple (ticked)"),IF(COUNTIF($B$6:$M$6,"✔")&gt;0,COUNTIFS($B$5:$M$5,'Sales Dashboard'!AN244,$B$6:$M$6,"✔")&gt;0,$B$4="All"),'Sales Dashboard'!AN244=$B$4))</f>
        <v>0</v>
      </c>
    </row>
    <row r="245" spans="27:27" ht="13.9" x14ac:dyDescent="0.25">
      <c r="AA245" s="142">
        <f>--AND('Sales Dashboard'!AN245&lt;&gt;"",OR($B$3="All",'Sales Dashboard'!CF245=$B$3),IF(OR($B$4="All",$B$4="Multiple (ticked)"),IF(COUNTIF($B$6:$M$6,"✔")&gt;0,COUNTIFS($B$5:$M$5,'Sales Dashboard'!AN245,$B$6:$M$6,"✔")&gt;0,$B$4="All"),'Sales Dashboard'!AN245=$B$4))</f>
        <v>0</v>
      </c>
    </row>
    <row r="246" spans="27:27" ht="13.9" x14ac:dyDescent="0.25">
      <c r="AA246" s="142">
        <f>--AND('Sales Dashboard'!AN246&lt;&gt;"",OR($B$3="All",'Sales Dashboard'!CF246=$B$3),IF(OR($B$4="All",$B$4="Multiple (ticked)"),IF(COUNTIF($B$6:$M$6,"✔")&gt;0,COUNTIFS($B$5:$M$5,'Sales Dashboard'!AN246,$B$6:$M$6,"✔")&gt;0,$B$4="All"),'Sales Dashboard'!AN246=$B$4))</f>
        <v>0</v>
      </c>
    </row>
    <row r="247" spans="27:27" ht="13.9" x14ac:dyDescent="0.25">
      <c r="AA247" s="142">
        <f>--AND('Sales Dashboard'!AN247&lt;&gt;"",OR($B$3="All",'Sales Dashboard'!CF247=$B$3),IF(OR($B$4="All",$B$4="Multiple (ticked)"),IF(COUNTIF($B$6:$M$6,"✔")&gt;0,COUNTIFS($B$5:$M$5,'Sales Dashboard'!AN247,$B$6:$M$6,"✔")&gt;0,$B$4="All"),'Sales Dashboard'!AN247=$B$4))</f>
        <v>0</v>
      </c>
    </row>
    <row r="248" spans="27:27" ht="13.9" x14ac:dyDescent="0.25">
      <c r="AA248" s="142">
        <f>--AND('Sales Dashboard'!AN248&lt;&gt;"",OR($B$3="All",'Sales Dashboard'!CF248=$B$3),IF(OR($B$4="All",$B$4="Multiple (ticked)"),IF(COUNTIF($B$6:$M$6,"✔")&gt;0,COUNTIFS($B$5:$M$5,'Sales Dashboard'!AN248,$B$6:$M$6,"✔")&gt;0,$B$4="All"),'Sales Dashboard'!AN248=$B$4))</f>
        <v>0</v>
      </c>
    </row>
    <row r="249" spans="27:27" ht="13.9" x14ac:dyDescent="0.25">
      <c r="AA249" s="142">
        <f>--AND('Sales Dashboard'!AN249&lt;&gt;"",OR($B$3="All",'Sales Dashboard'!CF249=$B$3),IF(OR($B$4="All",$B$4="Multiple (ticked)"),IF(COUNTIF($B$6:$M$6,"✔")&gt;0,COUNTIFS($B$5:$M$5,'Sales Dashboard'!AN249,$B$6:$M$6,"✔")&gt;0,$B$4="All"),'Sales Dashboard'!AN249=$B$4))</f>
        <v>0</v>
      </c>
    </row>
    <row r="250" spans="27:27" ht="13.9" x14ac:dyDescent="0.25">
      <c r="AA250" s="142">
        <f>--AND('Sales Dashboard'!AN250&lt;&gt;"",OR($B$3="All",'Sales Dashboard'!CF250=$B$3),IF(OR($B$4="All",$B$4="Multiple (ticked)"),IF(COUNTIF($B$6:$M$6,"✔")&gt;0,COUNTIFS($B$5:$M$5,'Sales Dashboard'!AN250,$B$6:$M$6,"✔")&gt;0,$B$4="All"),'Sales Dashboard'!AN250=$B$4))</f>
        <v>0</v>
      </c>
    </row>
    <row r="251" spans="27:27" ht="13.9" x14ac:dyDescent="0.25">
      <c r="AA251" s="142">
        <f>--AND('Sales Dashboard'!AN251&lt;&gt;"",OR($B$3="All",'Sales Dashboard'!CF251=$B$3),IF(OR($B$4="All",$B$4="Multiple (ticked)"),IF(COUNTIF($B$6:$M$6,"✔")&gt;0,COUNTIFS($B$5:$M$5,'Sales Dashboard'!AN251,$B$6:$M$6,"✔")&gt;0,$B$4="All"),'Sales Dashboard'!AN251=$B$4))</f>
        <v>0</v>
      </c>
    </row>
    <row r="252" spans="27:27" ht="13.9" x14ac:dyDescent="0.25">
      <c r="AA252" s="142">
        <f>--AND('Sales Dashboard'!AN252&lt;&gt;"",OR($B$3="All",'Sales Dashboard'!CF252=$B$3),IF(OR($B$4="All",$B$4="Multiple (ticked)"),IF(COUNTIF($B$6:$M$6,"✔")&gt;0,COUNTIFS($B$5:$M$5,'Sales Dashboard'!AN252,$B$6:$M$6,"✔")&gt;0,$B$4="All"),'Sales Dashboard'!AN252=$B$4))</f>
        <v>0</v>
      </c>
    </row>
    <row r="253" spans="27:27" ht="13.9" x14ac:dyDescent="0.25">
      <c r="AA253" s="142">
        <f>--AND('Sales Dashboard'!AN253&lt;&gt;"",OR($B$3="All",'Sales Dashboard'!CF253=$B$3),IF(OR($B$4="All",$B$4="Multiple (ticked)"),IF(COUNTIF($B$6:$M$6,"✔")&gt;0,COUNTIFS($B$5:$M$5,'Sales Dashboard'!AN253,$B$6:$M$6,"✔")&gt;0,$B$4="All"),'Sales Dashboard'!AN253=$B$4))</f>
        <v>0</v>
      </c>
    </row>
    <row r="254" spans="27:27" ht="13.9" x14ac:dyDescent="0.25">
      <c r="AA254" s="142">
        <f>--AND('Sales Dashboard'!AN254&lt;&gt;"",OR($B$3="All",'Sales Dashboard'!CF254=$B$3),IF(OR($B$4="All",$B$4="Multiple (ticked)"),IF(COUNTIF($B$6:$M$6,"✔")&gt;0,COUNTIFS($B$5:$M$5,'Sales Dashboard'!AN254,$B$6:$M$6,"✔")&gt;0,$B$4="All"),'Sales Dashboard'!AN254=$B$4))</f>
        <v>0</v>
      </c>
    </row>
    <row r="255" spans="27:27" ht="13.9" x14ac:dyDescent="0.25">
      <c r="AA255" s="142">
        <f>--AND('Sales Dashboard'!AN255&lt;&gt;"",OR($B$3="All",'Sales Dashboard'!CF255=$B$3),IF(OR($B$4="All",$B$4="Multiple (ticked)"),IF(COUNTIF($B$6:$M$6,"✔")&gt;0,COUNTIFS($B$5:$M$5,'Sales Dashboard'!AN255,$B$6:$M$6,"✔")&gt;0,$B$4="All"),'Sales Dashboard'!AN255=$B$4))</f>
        <v>0</v>
      </c>
    </row>
    <row r="256" spans="27:27" ht="13.9" x14ac:dyDescent="0.25">
      <c r="AA256" s="142">
        <f>--AND('Sales Dashboard'!AN256&lt;&gt;"",OR($B$3="All",'Sales Dashboard'!CF256=$B$3),IF(OR($B$4="All",$B$4="Multiple (ticked)"),IF(COUNTIF($B$6:$M$6,"✔")&gt;0,COUNTIFS($B$5:$M$5,'Sales Dashboard'!AN256,$B$6:$M$6,"✔")&gt;0,$B$4="All"),'Sales Dashboard'!AN256=$B$4))</f>
        <v>0</v>
      </c>
    </row>
    <row r="257" spans="27:27" ht="13.9" x14ac:dyDescent="0.25">
      <c r="AA257" s="142">
        <f>--AND('Sales Dashboard'!AN257&lt;&gt;"",OR($B$3="All",'Sales Dashboard'!CF257=$B$3),IF(OR($B$4="All",$B$4="Multiple (ticked)"),IF(COUNTIF($B$6:$M$6,"✔")&gt;0,COUNTIFS($B$5:$M$5,'Sales Dashboard'!AN257,$B$6:$M$6,"✔")&gt;0,$B$4="All"),'Sales Dashboard'!AN257=$B$4))</f>
        <v>0</v>
      </c>
    </row>
    <row r="258" spans="27:27" ht="13.9" x14ac:dyDescent="0.25">
      <c r="AA258" s="142">
        <f>--AND('Sales Dashboard'!AN258&lt;&gt;"",OR($B$3="All",'Sales Dashboard'!CF258=$B$3),IF(OR($B$4="All",$B$4="Multiple (ticked)"),IF(COUNTIF($B$6:$M$6,"✔")&gt;0,COUNTIFS($B$5:$M$5,'Sales Dashboard'!AN258,$B$6:$M$6,"✔")&gt;0,$B$4="All"),'Sales Dashboard'!AN258=$B$4))</f>
        <v>0</v>
      </c>
    </row>
    <row r="259" spans="27:27" ht="13.9" x14ac:dyDescent="0.25">
      <c r="AA259" s="142">
        <f>--AND('Sales Dashboard'!AN259&lt;&gt;"",OR($B$3="All",'Sales Dashboard'!CF259=$B$3),IF(OR($B$4="All",$B$4="Multiple (ticked)"),IF(COUNTIF($B$6:$M$6,"✔")&gt;0,COUNTIFS($B$5:$M$5,'Sales Dashboard'!AN259,$B$6:$M$6,"✔")&gt;0,$B$4="All"),'Sales Dashboard'!AN259=$B$4))</f>
        <v>0</v>
      </c>
    </row>
    <row r="260" spans="27:27" ht="13.9" x14ac:dyDescent="0.25">
      <c r="AA260" s="142">
        <f>--AND('Sales Dashboard'!AN260&lt;&gt;"",OR($B$3="All",'Sales Dashboard'!CF260=$B$3),IF(OR($B$4="All",$B$4="Multiple (ticked)"),IF(COUNTIF($B$6:$M$6,"✔")&gt;0,COUNTIFS($B$5:$M$5,'Sales Dashboard'!AN260,$B$6:$M$6,"✔")&gt;0,$B$4="All"),'Sales Dashboard'!AN260=$B$4))</f>
        <v>0</v>
      </c>
    </row>
    <row r="261" spans="27:27" ht="13.9" x14ac:dyDescent="0.25">
      <c r="AA261" s="142">
        <f>--AND('Sales Dashboard'!AN261&lt;&gt;"",OR($B$3="All",'Sales Dashboard'!CF261=$B$3),IF(OR($B$4="All",$B$4="Multiple (ticked)"),IF(COUNTIF($B$6:$M$6,"✔")&gt;0,COUNTIFS($B$5:$M$5,'Sales Dashboard'!AN261,$B$6:$M$6,"✔")&gt;0,$B$4="All"),'Sales Dashboard'!AN261=$B$4))</f>
        <v>0</v>
      </c>
    </row>
    <row r="262" spans="27:27" ht="13.9" x14ac:dyDescent="0.25">
      <c r="AA262" s="142">
        <f>--AND('Sales Dashboard'!AN262&lt;&gt;"",OR($B$3="All",'Sales Dashboard'!CF262=$B$3),IF(OR($B$4="All",$B$4="Multiple (ticked)"),IF(COUNTIF($B$6:$M$6,"✔")&gt;0,COUNTIFS($B$5:$M$5,'Sales Dashboard'!AN262,$B$6:$M$6,"✔")&gt;0,$B$4="All"),'Sales Dashboard'!AN262=$B$4))</f>
        <v>0</v>
      </c>
    </row>
    <row r="263" spans="27:27" ht="13.9" x14ac:dyDescent="0.25">
      <c r="AA263" s="142">
        <f>--AND('Sales Dashboard'!AN263&lt;&gt;"",OR($B$3="All",'Sales Dashboard'!CF263=$B$3),IF(OR($B$4="All",$B$4="Multiple (ticked)"),IF(COUNTIF($B$6:$M$6,"✔")&gt;0,COUNTIFS($B$5:$M$5,'Sales Dashboard'!AN263,$B$6:$M$6,"✔")&gt;0,$B$4="All"),'Sales Dashboard'!AN263=$B$4))</f>
        <v>0</v>
      </c>
    </row>
    <row r="264" spans="27:27" ht="13.9" x14ac:dyDescent="0.25">
      <c r="AA264" s="142">
        <f>--AND('Sales Dashboard'!AN264&lt;&gt;"",OR($B$3="All",'Sales Dashboard'!CF264=$B$3),IF(OR($B$4="All",$B$4="Multiple (ticked)"),IF(COUNTIF($B$6:$M$6,"✔")&gt;0,COUNTIFS($B$5:$M$5,'Sales Dashboard'!AN264,$B$6:$M$6,"✔")&gt;0,$B$4="All"),'Sales Dashboard'!AN264=$B$4))</f>
        <v>0</v>
      </c>
    </row>
    <row r="265" spans="27:27" ht="13.9" x14ac:dyDescent="0.25">
      <c r="AA265" s="142">
        <f>--AND('Sales Dashboard'!AN265&lt;&gt;"",OR($B$3="All",'Sales Dashboard'!CF265=$B$3),IF(OR($B$4="All",$B$4="Multiple (ticked)"),IF(COUNTIF($B$6:$M$6,"✔")&gt;0,COUNTIFS($B$5:$M$5,'Sales Dashboard'!AN265,$B$6:$M$6,"✔")&gt;0,$B$4="All"),'Sales Dashboard'!AN265=$B$4))</f>
        <v>0</v>
      </c>
    </row>
    <row r="266" spans="27:27" ht="13.9" x14ac:dyDescent="0.25">
      <c r="AA266" s="142">
        <f>--AND('Sales Dashboard'!AN266&lt;&gt;"",OR($B$3="All",'Sales Dashboard'!CF266=$B$3),IF(OR($B$4="All",$B$4="Multiple (ticked)"),IF(COUNTIF($B$6:$M$6,"✔")&gt;0,COUNTIFS($B$5:$M$5,'Sales Dashboard'!AN266,$B$6:$M$6,"✔")&gt;0,$B$4="All"),'Sales Dashboard'!AN266=$B$4))</f>
        <v>0</v>
      </c>
    </row>
    <row r="267" spans="27:27" ht="13.9" x14ac:dyDescent="0.25">
      <c r="AA267" s="142">
        <f>--AND('Sales Dashboard'!AN267&lt;&gt;"",OR($B$3="All",'Sales Dashboard'!CF267=$B$3),IF(OR($B$4="All",$B$4="Multiple (ticked)"),IF(COUNTIF($B$6:$M$6,"✔")&gt;0,COUNTIFS($B$5:$M$5,'Sales Dashboard'!AN267,$B$6:$M$6,"✔")&gt;0,$B$4="All"),'Sales Dashboard'!AN267=$B$4))</f>
        <v>0</v>
      </c>
    </row>
    <row r="268" spans="27:27" ht="13.9" x14ac:dyDescent="0.25">
      <c r="AA268" s="142">
        <f>--AND('Sales Dashboard'!AN268&lt;&gt;"",OR($B$3="All",'Sales Dashboard'!CF268=$B$3),IF(OR($B$4="All",$B$4="Multiple (ticked)"),IF(COUNTIF($B$6:$M$6,"✔")&gt;0,COUNTIFS($B$5:$M$5,'Sales Dashboard'!AN268,$B$6:$M$6,"✔")&gt;0,$B$4="All"),'Sales Dashboard'!AN268=$B$4))</f>
        <v>0</v>
      </c>
    </row>
    <row r="269" spans="27:27" ht="13.9" x14ac:dyDescent="0.25">
      <c r="AA269" s="142">
        <f>--AND('Sales Dashboard'!AN269&lt;&gt;"",OR($B$3="All",'Sales Dashboard'!CF269=$B$3),IF(OR($B$4="All",$B$4="Multiple (ticked)"),IF(COUNTIF($B$6:$M$6,"✔")&gt;0,COUNTIFS($B$5:$M$5,'Sales Dashboard'!AN269,$B$6:$M$6,"✔")&gt;0,$B$4="All"),'Sales Dashboard'!AN269=$B$4))</f>
        <v>0</v>
      </c>
    </row>
    <row r="270" spans="27:27" ht="13.9" x14ac:dyDescent="0.25">
      <c r="AA270" s="142">
        <f>--AND('Sales Dashboard'!AN270&lt;&gt;"",OR($B$3="All",'Sales Dashboard'!CF270=$B$3),IF(OR($B$4="All",$B$4="Multiple (ticked)"),IF(COUNTIF($B$6:$M$6,"✔")&gt;0,COUNTIFS($B$5:$M$5,'Sales Dashboard'!AN270,$B$6:$M$6,"✔")&gt;0,$B$4="All"),'Sales Dashboard'!AN270=$B$4))</f>
        <v>0</v>
      </c>
    </row>
    <row r="271" spans="27:27" ht="13.9" x14ac:dyDescent="0.25">
      <c r="AA271" s="142">
        <f>--AND('Sales Dashboard'!AN271&lt;&gt;"",OR($B$3="All",'Sales Dashboard'!CF271=$B$3),IF(OR($B$4="All",$B$4="Multiple (ticked)"),IF(COUNTIF($B$6:$M$6,"✔")&gt;0,COUNTIFS($B$5:$M$5,'Sales Dashboard'!AN271,$B$6:$M$6,"✔")&gt;0,$B$4="All"),'Sales Dashboard'!AN271=$B$4))</f>
        <v>0</v>
      </c>
    </row>
    <row r="272" spans="27:27" ht="13.9" x14ac:dyDescent="0.25">
      <c r="AA272" s="142">
        <f>--AND('Sales Dashboard'!AN272&lt;&gt;"",OR($B$3="All",'Sales Dashboard'!CF272=$B$3),IF(OR($B$4="All",$B$4="Multiple (ticked)"),IF(COUNTIF($B$6:$M$6,"✔")&gt;0,COUNTIFS($B$5:$M$5,'Sales Dashboard'!AN272,$B$6:$M$6,"✔")&gt;0,$B$4="All"),'Sales Dashboard'!AN272=$B$4))</f>
        <v>0</v>
      </c>
    </row>
    <row r="273" spans="27:27" ht="13.9" x14ac:dyDescent="0.25">
      <c r="AA273" s="142">
        <f>--AND('Sales Dashboard'!AN273&lt;&gt;"",OR($B$3="All",'Sales Dashboard'!CF273=$B$3),IF(OR($B$4="All",$B$4="Multiple (ticked)"),IF(COUNTIF($B$6:$M$6,"✔")&gt;0,COUNTIFS($B$5:$M$5,'Sales Dashboard'!AN273,$B$6:$M$6,"✔")&gt;0,$B$4="All"),'Sales Dashboard'!AN273=$B$4))</f>
        <v>0</v>
      </c>
    </row>
    <row r="274" spans="27:27" ht="13.9" x14ac:dyDescent="0.25">
      <c r="AA274" s="142">
        <f>--AND('Sales Dashboard'!AN274&lt;&gt;"",OR($B$3="All",'Sales Dashboard'!CF274=$B$3),IF(OR($B$4="All",$B$4="Multiple (ticked)"),IF(COUNTIF($B$6:$M$6,"✔")&gt;0,COUNTIFS($B$5:$M$5,'Sales Dashboard'!AN274,$B$6:$M$6,"✔")&gt;0,$B$4="All"),'Sales Dashboard'!AN274=$B$4))</f>
        <v>0</v>
      </c>
    </row>
    <row r="275" spans="27:27" ht="13.9" x14ac:dyDescent="0.25">
      <c r="AA275" s="142">
        <f>--AND('Sales Dashboard'!AN275&lt;&gt;"",OR($B$3="All",'Sales Dashboard'!CF275=$B$3),IF(OR($B$4="All",$B$4="Multiple (ticked)"),IF(COUNTIF($B$6:$M$6,"✔")&gt;0,COUNTIFS($B$5:$M$5,'Sales Dashboard'!AN275,$B$6:$M$6,"✔")&gt;0,$B$4="All"),'Sales Dashboard'!AN275=$B$4))</f>
        <v>0</v>
      </c>
    </row>
    <row r="276" spans="27:27" ht="13.9" x14ac:dyDescent="0.25">
      <c r="AA276" s="142">
        <f>--AND('Sales Dashboard'!AN276&lt;&gt;"",OR($B$3="All",'Sales Dashboard'!CF276=$B$3),IF(OR($B$4="All",$B$4="Multiple (ticked)"),IF(COUNTIF($B$6:$M$6,"✔")&gt;0,COUNTIFS($B$5:$M$5,'Sales Dashboard'!AN276,$B$6:$M$6,"✔")&gt;0,$B$4="All"),'Sales Dashboard'!AN276=$B$4))</f>
        <v>0</v>
      </c>
    </row>
    <row r="277" spans="27:27" ht="13.9" x14ac:dyDescent="0.25">
      <c r="AA277" s="142">
        <f>--AND('Sales Dashboard'!AN277&lt;&gt;"",OR($B$3="All",'Sales Dashboard'!CF277=$B$3),IF(OR($B$4="All",$B$4="Multiple (ticked)"),IF(COUNTIF($B$6:$M$6,"✔")&gt;0,COUNTIFS($B$5:$M$5,'Sales Dashboard'!AN277,$B$6:$M$6,"✔")&gt;0,$B$4="All"),'Sales Dashboard'!AN277=$B$4))</f>
        <v>0</v>
      </c>
    </row>
    <row r="278" spans="27:27" ht="13.9" x14ac:dyDescent="0.25">
      <c r="AA278" s="142">
        <f>--AND('Sales Dashboard'!AN278&lt;&gt;"",OR($B$3="All",'Sales Dashboard'!CF278=$B$3),IF(OR($B$4="All",$B$4="Multiple (ticked)"),IF(COUNTIF($B$6:$M$6,"✔")&gt;0,COUNTIFS($B$5:$M$5,'Sales Dashboard'!AN278,$B$6:$M$6,"✔")&gt;0,$B$4="All"),'Sales Dashboard'!AN278=$B$4))</f>
        <v>0</v>
      </c>
    </row>
    <row r="279" spans="27:27" ht="13.9" x14ac:dyDescent="0.25">
      <c r="AA279" s="142">
        <f>--AND('Sales Dashboard'!AN279&lt;&gt;"",OR($B$3="All",'Sales Dashboard'!CF279=$B$3),IF(OR($B$4="All",$B$4="Multiple (ticked)"),IF(COUNTIF($B$6:$M$6,"✔")&gt;0,COUNTIFS($B$5:$M$5,'Sales Dashboard'!AN279,$B$6:$M$6,"✔")&gt;0,$B$4="All"),'Sales Dashboard'!AN279=$B$4))</f>
        <v>0</v>
      </c>
    </row>
    <row r="280" spans="27:27" ht="13.9" x14ac:dyDescent="0.25">
      <c r="AA280" s="142">
        <f>--AND('Sales Dashboard'!AN280&lt;&gt;"",OR($B$3="All",'Sales Dashboard'!CF280=$B$3),IF(OR($B$4="All",$B$4="Multiple (ticked)"),IF(COUNTIF($B$6:$M$6,"✔")&gt;0,COUNTIFS($B$5:$M$5,'Sales Dashboard'!AN280,$B$6:$M$6,"✔")&gt;0,$B$4="All"),'Sales Dashboard'!AN280=$B$4))</f>
        <v>0</v>
      </c>
    </row>
    <row r="281" spans="27:27" ht="13.9" x14ac:dyDescent="0.25">
      <c r="AA281" s="142">
        <f>--AND('Sales Dashboard'!AN281&lt;&gt;"",OR($B$3="All",'Sales Dashboard'!CF281=$B$3),IF(OR($B$4="All",$B$4="Multiple (ticked)"),IF(COUNTIF($B$6:$M$6,"✔")&gt;0,COUNTIFS($B$5:$M$5,'Sales Dashboard'!AN281,$B$6:$M$6,"✔")&gt;0,$B$4="All"),'Sales Dashboard'!AN281=$B$4))</f>
        <v>0</v>
      </c>
    </row>
    <row r="282" spans="27:27" ht="13.9" x14ac:dyDescent="0.25">
      <c r="AA282" s="142">
        <f>--AND('Sales Dashboard'!AN282&lt;&gt;"",OR($B$3="All",'Sales Dashboard'!CF282=$B$3),IF(OR($B$4="All",$B$4="Multiple (ticked)"),IF(COUNTIF($B$6:$M$6,"✔")&gt;0,COUNTIFS($B$5:$M$5,'Sales Dashboard'!AN282,$B$6:$M$6,"✔")&gt;0,$B$4="All"),'Sales Dashboard'!AN282=$B$4))</f>
        <v>0</v>
      </c>
    </row>
    <row r="283" spans="27:27" ht="13.9" x14ac:dyDescent="0.25">
      <c r="AA283" s="142">
        <f>--AND('Sales Dashboard'!AN283&lt;&gt;"",OR($B$3="All",'Sales Dashboard'!CF283=$B$3),IF(OR($B$4="All",$B$4="Multiple (ticked)"),IF(COUNTIF($B$6:$M$6,"✔")&gt;0,COUNTIFS($B$5:$M$5,'Sales Dashboard'!AN283,$B$6:$M$6,"✔")&gt;0,$B$4="All"),'Sales Dashboard'!AN283=$B$4))</f>
        <v>0</v>
      </c>
    </row>
    <row r="284" spans="27:27" ht="13.9" x14ac:dyDescent="0.25">
      <c r="AA284" s="142">
        <f>--AND('Sales Dashboard'!AN284&lt;&gt;"",OR($B$3="All",'Sales Dashboard'!CF284=$B$3),IF(OR($B$4="All",$B$4="Multiple (ticked)"),IF(COUNTIF($B$6:$M$6,"✔")&gt;0,COUNTIFS($B$5:$M$5,'Sales Dashboard'!AN284,$B$6:$M$6,"✔")&gt;0,$B$4="All"),'Sales Dashboard'!AN284=$B$4))</f>
        <v>0</v>
      </c>
    </row>
    <row r="285" spans="27:27" ht="13.9" x14ac:dyDescent="0.25">
      <c r="AA285" s="142">
        <f>--AND('Sales Dashboard'!AN285&lt;&gt;"",OR($B$3="All",'Sales Dashboard'!CF285=$B$3),IF(OR($B$4="All",$B$4="Multiple (ticked)"),IF(COUNTIF($B$6:$M$6,"✔")&gt;0,COUNTIFS($B$5:$M$5,'Sales Dashboard'!AN285,$B$6:$M$6,"✔")&gt;0,$B$4="All"),'Sales Dashboard'!AN285=$B$4))</f>
        <v>0</v>
      </c>
    </row>
    <row r="286" spans="27:27" ht="13.9" x14ac:dyDescent="0.25">
      <c r="AA286" s="142">
        <f>--AND('Sales Dashboard'!AN286&lt;&gt;"",OR($B$3="All",'Sales Dashboard'!CF286=$B$3),IF(OR($B$4="All",$B$4="Multiple (ticked)"),IF(COUNTIF($B$6:$M$6,"✔")&gt;0,COUNTIFS($B$5:$M$5,'Sales Dashboard'!AN286,$B$6:$M$6,"✔")&gt;0,$B$4="All"),'Sales Dashboard'!AN286=$B$4))</f>
        <v>0</v>
      </c>
    </row>
    <row r="287" spans="27:27" ht="13.9" x14ac:dyDescent="0.25">
      <c r="AA287" s="142">
        <f>--AND('Sales Dashboard'!AN287&lt;&gt;"",OR($B$3="All",'Sales Dashboard'!CF287=$B$3),IF(OR($B$4="All",$B$4="Multiple (ticked)"),IF(COUNTIF($B$6:$M$6,"✔")&gt;0,COUNTIFS($B$5:$M$5,'Sales Dashboard'!AN287,$B$6:$M$6,"✔")&gt;0,$B$4="All"),'Sales Dashboard'!AN287=$B$4))</f>
        <v>0</v>
      </c>
    </row>
    <row r="288" spans="27:27" ht="13.9" x14ac:dyDescent="0.25">
      <c r="AA288" s="142">
        <f>--AND('Sales Dashboard'!AN288&lt;&gt;"",OR($B$3="All",'Sales Dashboard'!CF288=$B$3),IF(OR($B$4="All",$B$4="Multiple (ticked)"),IF(COUNTIF($B$6:$M$6,"✔")&gt;0,COUNTIFS($B$5:$M$5,'Sales Dashboard'!AN288,$B$6:$M$6,"✔")&gt;0,$B$4="All"),'Sales Dashboard'!AN288=$B$4))</f>
        <v>0</v>
      </c>
    </row>
    <row r="289" spans="27:27" ht="13.9" x14ac:dyDescent="0.25">
      <c r="AA289" s="142">
        <f>--AND('Sales Dashboard'!AN289&lt;&gt;"",OR($B$3="All",'Sales Dashboard'!CF289=$B$3),IF(OR($B$4="All",$B$4="Multiple (ticked)"),IF(COUNTIF($B$6:$M$6,"✔")&gt;0,COUNTIFS($B$5:$M$5,'Sales Dashboard'!AN289,$B$6:$M$6,"✔")&gt;0,$B$4="All"),'Sales Dashboard'!AN289=$B$4))</f>
        <v>0</v>
      </c>
    </row>
    <row r="290" spans="27:27" ht="13.9" x14ac:dyDescent="0.25">
      <c r="AA290" s="142">
        <f>--AND('Sales Dashboard'!AN290&lt;&gt;"",OR($B$3="All",'Sales Dashboard'!CF290=$B$3),IF(OR($B$4="All",$B$4="Multiple (ticked)"),IF(COUNTIF($B$6:$M$6,"✔")&gt;0,COUNTIFS($B$5:$M$5,'Sales Dashboard'!AN290,$B$6:$M$6,"✔")&gt;0,$B$4="All"),'Sales Dashboard'!AN290=$B$4))</f>
        <v>0</v>
      </c>
    </row>
    <row r="291" spans="27:27" ht="13.9" x14ac:dyDescent="0.25">
      <c r="AA291" s="142">
        <f>--AND('Sales Dashboard'!AN291&lt;&gt;"",OR($B$3="All",'Sales Dashboard'!CF291=$B$3),IF(OR($B$4="All",$B$4="Multiple (ticked)"),IF(COUNTIF($B$6:$M$6,"✔")&gt;0,COUNTIFS($B$5:$M$5,'Sales Dashboard'!AN291,$B$6:$M$6,"✔")&gt;0,$B$4="All"),'Sales Dashboard'!AN291=$B$4))</f>
        <v>0</v>
      </c>
    </row>
    <row r="292" spans="27:27" ht="13.9" x14ac:dyDescent="0.25">
      <c r="AA292" s="142">
        <f>--AND('Sales Dashboard'!AN292&lt;&gt;"",OR($B$3="All",'Sales Dashboard'!CF292=$B$3),IF(OR($B$4="All",$B$4="Multiple (ticked)"),IF(COUNTIF($B$6:$M$6,"✔")&gt;0,COUNTIFS($B$5:$M$5,'Sales Dashboard'!AN292,$B$6:$M$6,"✔")&gt;0,$B$4="All"),'Sales Dashboard'!AN292=$B$4))</f>
        <v>0</v>
      </c>
    </row>
    <row r="293" spans="27:27" ht="13.9" x14ac:dyDescent="0.25">
      <c r="AA293" s="142">
        <f>--AND('Sales Dashboard'!AN293&lt;&gt;"",OR($B$3="All",'Sales Dashboard'!CF293=$B$3),IF(OR($B$4="All",$B$4="Multiple (ticked)"),IF(COUNTIF($B$6:$M$6,"✔")&gt;0,COUNTIFS($B$5:$M$5,'Sales Dashboard'!AN293,$B$6:$M$6,"✔")&gt;0,$B$4="All"),'Sales Dashboard'!AN293=$B$4))</f>
        <v>0</v>
      </c>
    </row>
    <row r="294" spans="27:27" ht="13.9" x14ac:dyDescent="0.25">
      <c r="AA294" s="142">
        <f>--AND('Sales Dashboard'!AN294&lt;&gt;"",OR($B$3="All",'Sales Dashboard'!CF294=$B$3),IF(OR($B$4="All",$B$4="Multiple (ticked)"),IF(COUNTIF($B$6:$M$6,"✔")&gt;0,COUNTIFS($B$5:$M$5,'Sales Dashboard'!AN294,$B$6:$M$6,"✔")&gt;0,$B$4="All"),'Sales Dashboard'!AN294=$B$4))</f>
        <v>0</v>
      </c>
    </row>
    <row r="295" spans="27:27" ht="13.9" x14ac:dyDescent="0.25">
      <c r="AA295" s="142">
        <f>--AND('Sales Dashboard'!AN295&lt;&gt;"",OR($B$3="All",'Sales Dashboard'!CF295=$B$3),IF(OR($B$4="All",$B$4="Multiple (ticked)"),IF(COUNTIF($B$6:$M$6,"✔")&gt;0,COUNTIFS($B$5:$M$5,'Sales Dashboard'!AN295,$B$6:$M$6,"✔")&gt;0,$B$4="All"),'Sales Dashboard'!AN295=$B$4))</f>
        <v>0</v>
      </c>
    </row>
    <row r="296" spans="27:27" ht="13.9" x14ac:dyDescent="0.25">
      <c r="AA296" s="142">
        <f>--AND('Sales Dashboard'!AN296&lt;&gt;"",OR($B$3="All",'Sales Dashboard'!CF296=$B$3),IF(OR($B$4="All",$B$4="Multiple (ticked)"),IF(COUNTIF($B$6:$M$6,"✔")&gt;0,COUNTIFS($B$5:$M$5,'Sales Dashboard'!AN296,$B$6:$M$6,"✔")&gt;0,$B$4="All"),'Sales Dashboard'!AN296=$B$4))</f>
        <v>0</v>
      </c>
    </row>
    <row r="297" spans="27:27" ht="13.9" x14ac:dyDescent="0.25">
      <c r="AA297" s="142">
        <f>--AND('Sales Dashboard'!AN297&lt;&gt;"",OR($B$3="All",'Sales Dashboard'!CF297=$B$3),IF(OR($B$4="All",$B$4="Multiple (ticked)"),IF(COUNTIF($B$6:$M$6,"✔")&gt;0,COUNTIFS($B$5:$M$5,'Sales Dashboard'!AN297,$B$6:$M$6,"✔")&gt;0,$B$4="All"),'Sales Dashboard'!AN297=$B$4))</f>
        <v>0</v>
      </c>
    </row>
    <row r="298" spans="27:27" ht="13.9" x14ac:dyDescent="0.25">
      <c r="AA298" s="142">
        <f>--AND('Sales Dashboard'!AN298&lt;&gt;"",OR($B$3="All",'Sales Dashboard'!CF298=$B$3),IF(OR($B$4="All",$B$4="Multiple (ticked)"),IF(COUNTIF($B$6:$M$6,"✔")&gt;0,COUNTIFS($B$5:$M$5,'Sales Dashboard'!AN298,$B$6:$M$6,"✔")&gt;0,$B$4="All"),'Sales Dashboard'!AN298=$B$4))</f>
        <v>0</v>
      </c>
    </row>
    <row r="299" spans="27:27" ht="13.9" x14ac:dyDescent="0.25">
      <c r="AA299" s="142">
        <f>--AND('Sales Dashboard'!AN299&lt;&gt;"",OR($B$3="All",'Sales Dashboard'!CF299=$B$3),IF(OR($B$4="All",$B$4="Multiple (ticked)"),IF(COUNTIF($B$6:$M$6,"✔")&gt;0,COUNTIFS($B$5:$M$5,'Sales Dashboard'!AN299,$B$6:$M$6,"✔")&gt;0,$B$4="All"),'Sales Dashboard'!AN299=$B$4))</f>
        <v>0</v>
      </c>
    </row>
    <row r="300" spans="27:27" ht="13.9" x14ac:dyDescent="0.25">
      <c r="AA300" s="142">
        <f>--AND('Sales Dashboard'!AN300&lt;&gt;"",OR($B$3="All",'Sales Dashboard'!CF300=$B$3),IF(OR($B$4="All",$B$4="Multiple (ticked)"),IF(COUNTIF($B$6:$M$6,"✔")&gt;0,COUNTIFS($B$5:$M$5,'Sales Dashboard'!AN300,$B$6:$M$6,"✔")&gt;0,$B$4="All"),'Sales Dashboard'!AN300=$B$4))</f>
        <v>0</v>
      </c>
    </row>
    <row r="301" spans="27:27" ht="13.9" x14ac:dyDescent="0.25">
      <c r="AA301" s="142">
        <f>--AND('Sales Dashboard'!AN301&lt;&gt;"",OR($B$3="All",'Sales Dashboard'!CF301=$B$3),IF(OR($B$4="All",$B$4="Multiple (ticked)"),IF(COUNTIF($B$6:$M$6,"✔")&gt;0,COUNTIFS($B$5:$M$5,'Sales Dashboard'!AN301,$B$6:$M$6,"✔")&gt;0,$B$4="All"),'Sales Dashboard'!AN301=$B$4))</f>
        <v>0</v>
      </c>
    </row>
  </sheetData>
  <conditionalFormatting sqref="B61:C72">
    <cfRule type="expression" dxfId="103" priority="29">
      <formula>AND(ISNUMBER(B61),B61&lt;&gt;0,B61&gt;=AVERAGEIFS(B$61:B$72,$A$61:$A$72,"&lt;&gt;"))</formula>
    </cfRule>
    <cfRule type="expression" dxfId="102" priority="30">
      <formula>AND(ISNUMBER(B61),B61&lt;&gt;0,B61&lt;AVERAGEIFS(B$61:B$72,$A$61:$A$72,"&lt;&gt;"))</formula>
    </cfRule>
  </conditionalFormatting>
  <conditionalFormatting sqref="B79:C112">
    <cfRule type="expression" dxfId="101" priority="54">
      <formula>AND(ISNUMBER(B79),B79&lt;&gt;0,B79&lt;AVERAGEIFS(B$79:B$112,$A$79:$A$112,"&lt;&gt;"))</formula>
    </cfRule>
    <cfRule type="expression" dxfId="100" priority="53">
      <formula>AND(ISNUMBER(B79),B79&lt;&gt;0,B79&gt;=AVERAGEIFS(B$79:B$112,$A$79:$A$112,"&lt;&gt;"))</formula>
    </cfRule>
  </conditionalFormatting>
  <conditionalFormatting sqref="B8:F8">
    <cfRule type="expression" dxfId="99" priority="148">
      <formula>B$8=$B$45</formula>
    </cfRule>
  </conditionalFormatting>
  <conditionalFormatting sqref="B8:F40">
    <cfRule type="expression" dxfId="98" priority="149">
      <formula>B$8=$B$45</formula>
    </cfRule>
  </conditionalFormatting>
  <conditionalFormatting sqref="B27:F27">
    <cfRule type="expression" dxfId="97" priority="8">
      <formula>AND(ISNUMBER(B27),B27&lt;&gt;0,B27&gt;=$G27)</formula>
    </cfRule>
    <cfRule type="expression" dxfId="96" priority="9">
      <formula>AND(ISNUMBER(B27),B27&lt;&gt;0,B27&lt;$G27)</formula>
    </cfRule>
  </conditionalFormatting>
  <conditionalFormatting sqref="B126:G137">
    <cfRule type="expression" dxfId="95" priority="77">
      <formula>AND(ISNUMBER(B126),B126&lt;&gt;0,B126&lt;AVERAGEIFS(B$126:B$137,$A$126:$A$137,"&lt;&gt;"))</formula>
    </cfRule>
    <cfRule type="expression" dxfId="94" priority="76">
      <formula>AND(ISNUMBER(B126),B126&lt;&gt;0,B126&gt;=AVERAGEIFS(B$126:B$137,$A$126:$A$137,"&lt;&gt;"))</formula>
    </cfRule>
  </conditionalFormatting>
  <conditionalFormatting sqref="B142:G177">
    <cfRule type="expression" dxfId="93" priority="91">
      <formula>AND(ISNUMBER(B142),B142&lt;&gt;0,B142&lt;AVERAGEIFS(B$142:B$177,$A$142:$A$177,"&lt;&gt;"))</formula>
    </cfRule>
    <cfRule type="expression" dxfId="92" priority="90">
      <formula>AND(ISNUMBER(B142),B142&lt;&gt;0,B142&gt;=AVERAGEIFS(B$142:B$177,$A$142:$A$177,"&lt;&gt;"))</formula>
    </cfRule>
  </conditionalFormatting>
  <conditionalFormatting sqref="B28:H28">
    <cfRule type="expression" dxfId="91" priority="4">
      <formula>AND(ISNUMBER(B28),B28&gt;=0.7,B28&lt;0.8)</formula>
    </cfRule>
    <cfRule type="expression" dxfId="90" priority="5">
      <formula>AND(ISNUMBER(B28),B28&lt;0.7)</formula>
    </cfRule>
    <cfRule type="expression" dxfId="89" priority="104">
      <formula>AND(ISNUMBER(B28),B28&gt;=0.8)</formula>
    </cfRule>
  </conditionalFormatting>
  <conditionalFormatting sqref="B31:H33 B37:H37">
    <cfRule type="expression" dxfId="88" priority="6">
      <formula>AND(ISNUMBER(B31),B31&lt;0)</formula>
    </cfRule>
    <cfRule type="expression" dxfId="87" priority="7">
      <formula>AND(ISNUMBER(B31),B31&gt;=0)</formula>
    </cfRule>
  </conditionalFormatting>
  <conditionalFormatting sqref="D61:D72">
    <cfRule type="expression" dxfId="86" priority="18">
      <formula>AND(ISNUMBER(D61),D61&lt;&gt;0,D61&lt;D$60)</formula>
    </cfRule>
    <cfRule type="expression" dxfId="85" priority="17">
      <formula>AND(ISNUMBER(D61),D61&lt;&gt;0,D61&gt;=D$60)</formula>
    </cfRule>
  </conditionalFormatting>
  <conditionalFormatting sqref="D79:D112">
    <cfRule type="expression" dxfId="84" priority="41">
      <formula>AND(ISNUMBER(D79),D79&lt;&gt;0,D79&gt;=D$78)</formula>
    </cfRule>
    <cfRule type="expression" dxfId="83" priority="42">
      <formula>AND(ISNUMBER(D79),D79&lt;&gt;0,D79&lt;D$78)</formula>
    </cfRule>
  </conditionalFormatting>
  <conditionalFormatting sqref="E61:F72">
    <cfRule type="expression" dxfId="82" priority="33">
      <formula>AND(ISNUMBER(E61),E61&lt;&gt;0,E61&gt;=AVERAGEIFS(E$61:E$72,$A$61:$A$72,"&lt;&gt;"))</formula>
    </cfRule>
    <cfRule type="expression" dxfId="81" priority="34">
      <formula>AND(ISNUMBER(E61),E61&lt;&gt;0,E61&lt;AVERAGEIFS(E$61:E$72,$A$61:$A$72,"&lt;&gt;"))</formula>
    </cfRule>
  </conditionalFormatting>
  <conditionalFormatting sqref="E79:F112">
    <cfRule type="expression" dxfId="80" priority="58">
      <formula>AND(ISNUMBER(E79),E79&lt;&gt;0,E79&lt;AVERAGEIFS(E$79:E$112,$A$79:$A$112,"&lt;&gt;"))</formula>
    </cfRule>
    <cfRule type="expression" dxfId="79" priority="57">
      <formula>AND(ISNUMBER(E79),E79&lt;&gt;0,E79&gt;=AVERAGEIFS(E$79:E$112,$A$79:$A$112,"&lt;&gt;"))</formula>
    </cfRule>
  </conditionalFormatting>
  <conditionalFormatting sqref="G115:G120">
    <cfRule type="expression" dxfId="78" priority="66">
      <formula>AND(ISNUMBER(G115),G115&gt;=0)</formula>
    </cfRule>
    <cfRule type="expression" dxfId="77" priority="65">
      <formula>AND(ISNUMBER(G115),G115&lt;0)</formula>
    </cfRule>
  </conditionalFormatting>
  <conditionalFormatting sqref="G61:J72">
    <cfRule type="expression" dxfId="76" priority="19">
      <formula>AND(ISNUMBER(G61),G61&lt;&gt;0,G61&gt;=G$60)</formula>
    </cfRule>
    <cfRule type="expression" dxfId="75" priority="20">
      <formula>AND(ISNUMBER(G61),G61&lt;&gt;0,G61&lt;G$60)</formula>
    </cfRule>
  </conditionalFormatting>
  <conditionalFormatting sqref="G79:J112">
    <cfRule type="expression" dxfId="74" priority="43">
      <formula>AND(ISNUMBER(G79),G79&lt;&gt;0,G79&gt;=G$78)</formula>
    </cfRule>
    <cfRule type="expression" dxfId="73" priority="44">
      <formula>AND(ISNUMBER(G79),G79&lt;&gt;0,G79&lt;G$78)</formula>
    </cfRule>
  </conditionalFormatting>
  <conditionalFormatting sqref="H126:H137">
    <cfRule type="expression" dxfId="72" priority="89">
      <formula>AND(ISNUMBER(H126),H126&lt;&gt;0,H126&lt;H$125)</formula>
    </cfRule>
    <cfRule type="expression" dxfId="71" priority="88">
      <formula>AND(ISNUMBER(H126),H126&lt;&gt;0,H126&gt;=H$125)</formula>
    </cfRule>
  </conditionalFormatting>
  <conditionalFormatting sqref="H142:H177">
    <cfRule type="expression" dxfId="70" priority="102">
      <formula>AND(ISNUMBER(H142),H142&lt;&gt;0,H142&gt;=H$141)</formula>
    </cfRule>
    <cfRule type="expression" dxfId="69" priority="103">
      <formula>AND(ISNUMBER(H142),H142&lt;&gt;0,H142&lt;H$141)</formula>
    </cfRule>
  </conditionalFormatting>
  <conditionalFormatting sqref="H50:I50">
    <cfRule type="expression" dxfId="68" priority="11">
      <formula>AND(ISNUMBER(H50),H50&gt;=0.7,H50&lt;0.8)</formula>
    </cfRule>
    <cfRule type="expression" dxfId="67" priority="12">
      <formula>AND(ISNUMBER(H50),H50&lt;0.7)</formula>
    </cfRule>
    <cfRule type="expression" dxfId="66" priority="10">
      <formula>AND(ISNUMBER(H50),H50&gt;=0.8)</formula>
    </cfRule>
  </conditionalFormatting>
  <conditionalFormatting sqref="H52:I52">
    <cfRule type="expression" dxfId="65" priority="14">
      <formula>AND(ISNUMBER(H52),H52&gt;=0)</formula>
    </cfRule>
    <cfRule type="expression" dxfId="64" priority="13">
      <formula>AND(ISNUMBER(H52),H52&lt;0)</formula>
    </cfRule>
  </conditionalFormatting>
  <conditionalFormatting sqref="H54:I54">
    <cfRule type="expression" dxfId="63" priority="16">
      <formula>AND(ISNUMBER(H54),H54&gt;=0)</formula>
    </cfRule>
    <cfRule type="expression" dxfId="62" priority="15">
      <formula>AND(ISNUMBER(H54),H54&lt;0)</formula>
    </cfRule>
  </conditionalFormatting>
  <conditionalFormatting sqref="J115:J120">
    <cfRule type="expression" dxfId="61" priority="67">
      <formula>AND(ISNUMBER(J115),J115&lt;0)</formula>
    </cfRule>
    <cfRule type="expression" dxfId="60" priority="68">
      <formula>AND(ISNUMBER(J115),J115&gt;=0)</formula>
    </cfRule>
  </conditionalFormatting>
  <conditionalFormatting sqref="K115:K119">
    <cfRule type="expression" dxfId="59" priority="74">
      <formula>AND(ISNUMBER(K115),K115&lt;&gt;0,K115&gt;=$K$120)</formula>
    </cfRule>
    <cfRule type="expression" dxfId="58" priority="75">
      <formula>AND(ISNUMBER(K115),K115&lt;&gt;0,K115&lt;$K$120)</formula>
    </cfRule>
  </conditionalFormatting>
  <conditionalFormatting sqref="K61:L72">
    <cfRule type="expression" dxfId="57" priority="38">
      <formula>AND(ISNUMBER(K61),K61&lt;&gt;0,K61&lt;AVERAGEIFS(K$61:K$72,$A$61:$A$72,"&lt;&gt;"))</formula>
    </cfRule>
    <cfRule type="expression" dxfId="56" priority="37">
      <formula>AND(ISNUMBER(K61),K61&lt;&gt;0,K61&gt;=AVERAGEIFS(K$61:K$72,$A$61:$A$72,"&lt;&gt;"))</formula>
    </cfRule>
  </conditionalFormatting>
  <conditionalFormatting sqref="K79:L112">
    <cfRule type="expression" dxfId="55" priority="61">
      <formula>AND(ISNUMBER(K79),K79&lt;&gt;0,K79&gt;=AVERAGEIFS(K$79:K$112,$A$79:$A$112,"&lt;&gt;"))</formula>
    </cfRule>
    <cfRule type="expression" dxfId="54" priority="62">
      <formula>AND(ISNUMBER(K79),K79&lt;&gt;0,K79&lt;AVERAGEIFS(K$79:K$112,$A$79:$A$112,"&lt;&gt;"))</formula>
    </cfRule>
  </conditionalFormatting>
  <conditionalFormatting sqref="M61:M72">
    <cfRule type="expression" dxfId="53" priority="28">
      <formula>AND(ISNUMBER(M61),M61&lt;&gt;0,M61&lt;M$60)</formula>
    </cfRule>
    <cfRule type="expression" dxfId="52" priority="27">
      <formula>AND(ISNUMBER(M61),M61&lt;&gt;0,M61&gt;=M$60)</formula>
    </cfRule>
  </conditionalFormatting>
  <conditionalFormatting sqref="M79:M112">
    <cfRule type="expression" dxfId="51" priority="51">
      <formula>AND(ISNUMBER(M79),M79&lt;&gt;0,M79&gt;=M$78)</formula>
    </cfRule>
    <cfRule type="expression" dxfId="50" priority="52">
      <formula>AND(ISNUMBER(M79),M79&lt;&gt;0,M79&lt;M$78)</formula>
    </cfRule>
  </conditionalFormatting>
  <conditionalFormatting sqref="M115:M120">
    <cfRule type="expression" dxfId="49" priority="69">
      <formula>AND(ISNUMBER(M115),M115&lt;0)</formula>
    </cfRule>
    <cfRule type="expression" dxfId="48" priority="70">
      <formula>AND(ISNUMBER(M115),M115&gt;=0)</formula>
    </cfRule>
  </conditionalFormatting>
  <conditionalFormatting sqref="O115:O120">
    <cfRule type="expression" dxfId="47" priority="71">
      <formula>AND(ISNUMBER(O115),O115&gt;=0.8)</formula>
    </cfRule>
    <cfRule type="expression" dxfId="46" priority="73">
      <formula>AND(ISNUMBER(O115),O115&lt;0.7)</formula>
    </cfRule>
    <cfRule type="expression" dxfId="45" priority="72">
      <formula>AND(ISNUMBER(O115),O115&gt;=0.7,O115&lt;0.8)</formula>
    </cfRule>
  </conditionalFormatting>
  <dataValidations count="3">
    <dataValidation type="list" allowBlank="1" showInputMessage="1" showErrorMessage="1" sqref="B45:B46" xr:uid="{391BDD56-2AF1-40B4-BC4B-E75F423B850D}">
      <formula1>$A$115:$A$119</formula1>
    </dataValidation>
    <dataValidation type="list" allowBlank="1" showInputMessage="1" showErrorMessage="1" sqref="B4" xr:uid="{F0090264-A9F1-44EA-AFF2-166B6C6815AE}">
      <formula1>$Z$4:$Z$21</formula1>
    </dataValidation>
    <dataValidation type="list" allowBlank="1" showInputMessage="1" showErrorMessage="1" sqref="B6:M6" xr:uid="{77657296-D4B7-42B1-AA5B-89542B38E3C6}">
      <formula1>"✔"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164007-81F8-4430-9A29-8D4CFB7DE1E0}">
          <x14:formula1>
            <xm:f>_xlfn.ANCHORARRAY('Sales Dashboard'!$CG$5)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E64B-47C4-4495-9A13-842356895A16}">
  <sheetPr>
    <tabColor rgb="FF1F3864"/>
  </sheetPr>
  <dimension ref="A1:W1603"/>
  <sheetViews>
    <sheetView showGridLines="0" zoomScaleNormal="100" workbookViewId="0">
      <pane xSplit="1" topLeftCell="B1" activePane="topRight" state="frozen"/>
      <selection pane="topRight"/>
    </sheetView>
  </sheetViews>
  <sheetFormatPr defaultRowHeight="15" x14ac:dyDescent="0.25"/>
  <cols>
    <col min="1" max="1" width="28.5703125" customWidth="1"/>
    <col min="2" max="2" width="16.42578125" customWidth="1"/>
    <col min="3" max="3" width="19" customWidth="1"/>
    <col min="4" max="4" width="16.42578125" customWidth="1"/>
    <col min="5" max="9" width="13.7109375" customWidth="1"/>
    <col min="10" max="10" width="18.28515625" customWidth="1"/>
    <col min="11" max="11" width="11.5703125" customWidth="1"/>
    <col min="12" max="12" width="12.140625" customWidth="1"/>
    <col min="13" max="18" width="13.7109375" customWidth="1"/>
    <col min="19" max="23" width="13.28515625" customWidth="1"/>
  </cols>
  <sheetData>
    <row r="1" spans="1:18" ht="18.75" x14ac:dyDescent="0.3">
      <c r="A1" s="216" t="str">
        <f>"STAFF PERFORMANCE DASHBOARD – "&amp;TEXT('Staff Calc'!$B$3,"dd mmm")&amp;" to "&amp;TEXT('Staff Calc'!$B$4,"dd mmm yyyy")</f>
        <v>STAFF PERFORMANCE DASHBOARD – 24 Oct to 24 Oct 2026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x14ac:dyDescent="0.25">
      <c r="A2" s="217" t="str">
        <f>"Period: "&amp;IF(OR(ISNUMBER($B$4),ISNUMBER($B$5)),"Custom dates",$B$3)&amp;" ("&amp;TEXT('Staff Calc'!$B$3,"dd mmm")&amp;" – "&amp;TEXT('Staff Calc'!$B$4,"dd mmm")&amp;", "&amp;('Staff Calc'!$B$4-'Staff Calc'!$B$3+1)&amp;" days)  |  Sales loaded through "&amp;TEXT('Staff Calc'!$B$5,"dd mmm yyyy")&amp;"  |  ATV = Sales ÷ Transactions  |  Store/Area/Business = sum of staff sales on 'Staff Daily sales'"</f>
        <v>Period: Custom dates (24 Oct – 24 Oct, 1 days)  |  Sales loaded through 26 Oct 2026  |  ATV = Sales ÷ Transactions  |  Store/Area/Business = sum of staff sales on 'Staff Daily sales'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 spans="1:18" x14ac:dyDescent="0.25">
      <c r="A3" s="218" t="s">
        <v>1212</v>
      </c>
      <c r="B3" s="219" t="s">
        <v>1325</v>
      </c>
      <c r="C3" s="215"/>
      <c r="D3" s="218" t="s">
        <v>1252</v>
      </c>
      <c r="E3" s="225">
        <f>'Staff Calc'!$B$13</f>
        <v>576048.26999999967</v>
      </c>
      <c r="F3" s="215"/>
      <c r="G3" s="218" t="s">
        <v>1253</v>
      </c>
      <c r="H3" s="225">
        <f>SUMIFS('Staff Calc'!$F$20:$F$1515,'Staff Calc'!$L$20:$L$1515,1)</f>
        <v>89423.479999999967</v>
      </c>
      <c r="I3" s="215"/>
      <c r="J3" s="218" t="s">
        <v>1254</v>
      </c>
      <c r="K3" s="227">
        <f>IFERROR(H3/E3,0)</f>
        <v>0.15523608811462974</v>
      </c>
      <c r="L3" s="215"/>
      <c r="M3" s="215"/>
      <c r="N3" s="215"/>
      <c r="O3" s="215"/>
      <c r="P3" s="215"/>
      <c r="Q3" s="215"/>
      <c r="R3" s="215"/>
    </row>
    <row r="4" spans="1:18" x14ac:dyDescent="0.25">
      <c r="A4" s="218" t="s">
        <v>1323</v>
      </c>
      <c r="B4" s="269">
        <v>46319</v>
      </c>
      <c r="D4" s="218" t="s">
        <v>1255</v>
      </c>
      <c r="E4" s="225">
        <f>'Staff Calc'!$B$14</f>
        <v>2996</v>
      </c>
      <c r="F4" s="215"/>
      <c r="G4" s="218" t="s">
        <v>1256</v>
      </c>
      <c r="H4" s="225">
        <f>SUMIFS('Staff Calc'!$G$20:$G$1515,'Staff Calc'!$L$20:$L$1515,1)</f>
        <v>413</v>
      </c>
      <c r="I4" s="215"/>
      <c r="J4" s="218" t="s">
        <v>1257</v>
      </c>
      <c r="K4" s="225" cm="1">
        <f t="array" ref="K4">SUMPRODUCT('Staff Calc'!$L$20:$L$1515*(('Staff Calc'!$F$20:$F$1515&lt;&gt;0)+('Staff Calc'!$G$20:$G$1515&lt;&gt;0)&gt;0))</f>
        <v>49</v>
      </c>
      <c r="L4" s="215"/>
      <c r="M4" s="215"/>
      <c r="N4" s="215"/>
      <c r="O4" s="215"/>
      <c r="P4" s="215"/>
      <c r="Q4" s="215"/>
      <c r="R4" s="215"/>
    </row>
    <row r="5" spans="1:18" x14ac:dyDescent="0.25">
      <c r="A5" s="218" t="s">
        <v>1324</v>
      </c>
      <c r="B5" s="269">
        <v>46319</v>
      </c>
      <c r="D5" s="218" t="s">
        <v>1258</v>
      </c>
      <c r="E5" s="226">
        <f>'Staff Calc'!$B$15</f>
        <v>192.27245327102793</v>
      </c>
      <c r="F5" s="215"/>
      <c r="G5" s="218" t="s">
        <v>1259</v>
      </c>
      <c r="H5" s="226">
        <f>IFERROR(H3/H4,0)</f>
        <v>216.52174334140429</v>
      </c>
      <c r="I5" s="215"/>
      <c r="J5" s="218" t="s">
        <v>1260</v>
      </c>
      <c r="K5" s="228">
        <f>IFERROR(H5/E5-1,0)</f>
        <v>0.12611941886544953</v>
      </c>
      <c r="L5" s="215"/>
      <c r="M5" s="215"/>
      <c r="N5" s="215"/>
      <c r="O5" s="215"/>
      <c r="P5" s="215"/>
      <c r="Q5" s="215"/>
      <c r="R5" s="215"/>
    </row>
    <row r="6" spans="1:18" x14ac:dyDescent="0.25">
      <c r="A6" s="218" t="s">
        <v>1329</v>
      </c>
      <c r="B6" s="219" t="s">
        <v>165</v>
      </c>
      <c r="C6" s="215"/>
      <c r="D6" s="215"/>
      <c r="E6" s="215"/>
      <c r="F6" s="215"/>
      <c r="G6" s="215"/>
      <c r="H6" s="215"/>
      <c r="I6" s="215"/>
      <c r="J6" s="218" t="s">
        <v>1295</v>
      </c>
      <c r="K6" s="227">
        <f>IFERROR(H3/E3,0)</f>
        <v>0.15523608811462974</v>
      </c>
      <c r="L6" s="215"/>
      <c r="M6" s="215"/>
      <c r="N6" s="215"/>
      <c r="O6" s="215"/>
      <c r="P6" s="215"/>
      <c r="Q6" s="215"/>
      <c r="R6" s="215"/>
    </row>
    <row r="7" spans="1:18" x14ac:dyDescent="0.25">
      <c r="A7" s="218" t="s">
        <v>134</v>
      </c>
      <c r="B7" s="219" t="s">
        <v>130</v>
      </c>
      <c r="C7" s="215"/>
      <c r="D7" s="215"/>
      <c r="E7" s="215"/>
      <c r="F7" s="215"/>
      <c r="G7" s="215"/>
      <c r="H7" s="215"/>
      <c r="I7" s="215"/>
      <c r="L7" s="215"/>
      <c r="M7" s="215"/>
      <c r="N7" s="215"/>
      <c r="O7" s="215"/>
      <c r="P7" s="215"/>
      <c r="Q7" s="215"/>
      <c r="R7" s="215"/>
    </row>
    <row r="8" spans="1:18" x14ac:dyDescent="0.25">
      <c r="A8" s="218" t="s">
        <v>125</v>
      </c>
      <c r="B8" s="220" t="s">
        <v>165</v>
      </c>
      <c r="C8" s="215"/>
      <c r="L8" s="215"/>
      <c r="M8" s="215"/>
      <c r="N8" s="215"/>
      <c r="O8" s="215"/>
      <c r="P8" s="215"/>
      <c r="Q8" s="215"/>
      <c r="R8" s="215"/>
    </row>
    <row r="9" spans="1:18" x14ac:dyDescent="0.25">
      <c r="A9" s="267" t="s">
        <v>1335</v>
      </c>
      <c r="B9" s="215"/>
      <c r="C9" s="215"/>
      <c r="L9" s="215"/>
      <c r="M9" s="215"/>
      <c r="N9" s="215"/>
      <c r="O9" s="215"/>
      <c r="P9" s="215"/>
      <c r="Q9" s="215"/>
      <c r="R9" s="215"/>
    </row>
    <row r="10" spans="1:18" ht="15.75" x14ac:dyDescent="0.25">
      <c r="A10" s="229" t="s">
        <v>1261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</row>
    <row r="11" spans="1:18" ht="30" customHeight="1" x14ac:dyDescent="0.25">
      <c r="A11" s="230" t="s">
        <v>134</v>
      </c>
      <c r="B11" s="230" t="s">
        <v>181</v>
      </c>
      <c r="C11" s="230" t="s">
        <v>1262</v>
      </c>
      <c r="D11" s="230" t="s">
        <v>213</v>
      </c>
      <c r="E11" s="230" t="s">
        <v>1235</v>
      </c>
      <c r="F11" s="230" t="s">
        <v>1263</v>
      </c>
      <c r="G11" s="230" t="s">
        <v>1264</v>
      </c>
      <c r="H11" s="230" t="s">
        <v>1265</v>
      </c>
      <c r="I11" s="230" t="s">
        <v>1266</v>
      </c>
      <c r="J11" s="230" t="s">
        <v>1296</v>
      </c>
      <c r="K11" s="215"/>
      <c r="L11" s="215"/>
      <c r="M11" s="215"/>
      <c r="N11" s="215"/>
      <c r="O11" s="215"/>
      <c r="P11" s="215"/>
      <c r="Q11" s="215"/>
      <c r="R11" s="215"/>
    </row>
    <row r="12" spans="1:18" x14ac:dyDescent="0.25">
      <c r="A12" s="231" t="s">
        <v>1267</v>
      </c>
      <c r="B12" s="232" cm="1">
        <f t="array" ref="B12">IFERROR(ROWS(_xlfn.UNIQUE(_xlfn._xlws.FILTER('Staff Calc'!$A$20:$A$1515,('Staff Calc'!$E$20:$E$1515=1)*(('Staff Calc'!$F$20:$F$1515&lt;&gt;0)+('Staff Calc'!$G$20:$G$1515&lt;&gt;0))))),0)</f>
        <v>112</v>
      </c>
      <c r="C12" s="232" cm="1">
        <f t="array" ref="C12">SUMPRODUCT(('Staff Calc'!$E$20:$E$1515=1)*(('Staff Calc'!$F$20:$F$1515&lt;&gt;0)+('Staff Calc'!$G$20:$G$1515&lt;&gt;0)&gt;0))</f>
        <v>394</v>
      </c>
      <c r="D12" s="232">
        <f>E3</f>
        <v>576048.26999999967</v>
      </c>
      <c r="E12" s="232">
        <f>E4</f>
        <v>2996</v>
      </c>
      <c r="F12" s="233">
        <f>IFERROR(D12/E12,0)</f>
        <v>192.27245327102793</v>
      </c>
      <c r="G12" s="234">
        <f>IFERROR(D12/$D$12,0)</f>
        <v>1</v>
      </c>
      <c r="H12" s="235">
        <f>0</f>
        <v>0</v>
      </c>
      <c r="I12" s="232">
        <f>IFERROR(D12/C12,0)</f>
        <v>1462.0514467005069</v>
      </c>
      <c r="J12" s="234">
        <f>IFERROR(E12/$E$12,0)</f>
        <v>1</v>
      </c>
      <c r="K12" s="215"/>
      <c r="L12" s="215"/>
      <c r="M12" s="215"/>
      <c r="N12" s="215"/>
      <c r="O12" s="215"/>
      <c r="P12" s="215"/>
      <c r="Q12" s="215"/>
      <c r="R12" s="215"/>
    </row>
    <row r="13" spans="1:18" x14ac:dyDescent="0.25">
      <c r="A13" s="215" t="str" cm="1">
        <f t="array" ref="A13:J20">_xlfn.LET(_xlpm.x_am,_xlfn.DROP(_xlfn.ANCHORARRAY('Staff Calc'!$AD$20),1),_xlpm.x_st,'Staff Calc'!$A$20:$A$1515,_xlpm.x_d,'Staff Calc'!$D$20:$D$1515,_xlpm.x_e,'Staff Calc'!$E$20:$E$1515,_xlpm.x_f,'Staff Calc'!$F$20:$F$1515,_xlpm.x_g,'Staff Calc'!$G$20:$G$1515,_xlpm.x_act,(_xlpm.x_e=1)*((_xlpm.x_f&lt;&gt;0)+(_xlpm.x_g&lt;&gt;0)&gt;0),_xlpm.x_ns,_xlfn.MAP(_xlpm.x_am,_xlfn.LAMBDA(_xlpm.x_k,IFERROR(ROWS(_xlfn.UNIQUE(_xlfn._xlws.FILTER(_xlpm.x_st,_xlpm.x_act*(_xlpm.x_d=_xlpm.x_k)))),0))),_xlpm.x_n,_xlfn.MAP(_xlpm.x_am,_xlfn.LAMBDA(_xlpm.x_k,SUMPRODUCT(_xlpm.x_act*(_xlpm.x_d=_xlpm.x_k)))),_xlpm.x_s,SUMIFS(_xlpm.x_f,_xlpm.x_d,_xlpm.x_am,_xlpm.x_e,1),_xlpm.x_t,SUMIFS(_xlpm.x_g,_xlpm.x_d,_xlpm.x_am,_xlpm.x_e,1),_xlpm.x_atv,IFERROR(_xlpm.x_s/_xlpm.x_t,0),_xlfn.HSTACK(_xlpm.x_am,_xlpm.x_ns,_xlpm.x_n,_xlpm.x_s,_xlpm.x_t,_xlpm.x_atv,IFERROR(_xlpm.x_s/$D$12,0),IFERROR(_xlpm.x_atv/$F$12-1,0),IFERROR(_xlpm.x_s/_xlpm.x_n,0),IFERROR(_xlpm.x_t/$E$12,0)))</f>
        <v>Ahlam Al Zahrani</v>
      </c>
      <c r="B13" s="221">
        <v>13</v>
      </c>
      <c r="C13" s="221">
        <v>45</v>
      </c>
      <c r="D13" s="221">
        <v>62016.170000000006</v>
      </c>
      <c r="E13" s="221">
        <v>398</v>
      </c>
      <c r="F13" s="222">
        <v>155.81952261306535</v>
      </c>
      <c r="G13" s="223">
        <v>0.10765793984590917</v>
      </c>
      <c r="H13" s="224">
        <v>-0.18958998045642239</v>
      </c>
      <c r="I13" s="221">
        <v>1378.1371111111112</v>
      </c>
      <c r="J13" s="223">
        <v>0.13284379172229641</v>
      </c>
      <c r="K13" s="215"/>
      <c r="L13" s="215"/>
      <c r="M13" s="215"/>
      <c r="N13" s="215"/>
      <c r="O13" s="215"/>
      <c r="P13" s="215"/>
      <c r="Q13" s="215"/>
      <c r="R13" s="215"/>
    </row>
    <row r="14" spans="1:18" x14ac:dyDescent="0.25">
      <c r="A14" s="215" t="str">
        <v>Ahmed Jaffari</v>
      </c>
      <c r="B14" s="221">
        <v>14</v>
      </c>
      <c r="C14" s="221">
        <v>56</v>
      </c>
      <c r="D14" s="221">
        <v>44058.899999999994</v>
      </c>
      <c r="E14" s="221">
        <v>244</v>
      </c>
      <c r="F14" s="222">
        <v>180.56926229508196</v>
      </c>
      <c r="G14" s="223">
        <v>7.6484736253092156E-2</v>
      </c>
      <c r="H14" s="224">
        <v>-6.0867746662851996E-2</v>
      </c>
      <c r="I14" s="221">
        <v>786.76607142857131</v>
      </c>
      <c r="J14" s="223">
        <v>8.1441922563417896E-2</v>
      </c>
      <c r="K14" s="215"/>
      <c r="L14" s="215"/>
      <c r="M14" s="215"/>
      <c r="N14" s="215"/>
      <c r="O14" s="215"/>
      <c r="P14" s="215"/>
      <c r="Q14" s="215"/>
      <c r="R14" s="215"/>
    </row>
    <row r="15" spans="1:18" x14ac:dyDescent="0.25">
      <c r="A15" s="215" t="str">
        <v>Hamzah Al Makhadam</v>
      </c>
      <c r="B15" s="221">
        <v>16</v>
      </c>
      <c r="C15" s="221">
        <v>66</v>
      </c>
      <c r="D15" s="221">
        <v>128104.23999999996</v>
      </c>
      <c r="E15" s="221">
        <v>596</v>
      </c>
      <c r="F15" s="222">
        <v>214.93999999999994</v>
      </c>
      <c r="G15" s="223">
        <v>0.22238455815516994</v>
      </c>
      <c r="H15" s="224">
        <v>0.11789284602833749</v>
      </c>
      <c r="I15" s="221">
        <v>1940.9733333333327</v>
      </c>
      <c r="J15" s="223">
        <v>0.19893190921228304</v>
      </c>
      <c r="K15" s="215"/>
      <c r="L15" s="215"/>
      <c r="M15" s="215"/>
      <c r="N15" s="215"/>
      <c r="O15" s="215"/>
      <c r="P15" s="215"/>
      <c r="Q15" s="215"/>
      <c r="R15" s="215"/>
    </row>
    <row r="16" spans="1:18" x14ac:dyDescent="0.25">
      <c r="A16" s="215" t="str">
        <v>Lina Al Ghathami</v>
      </c>
      <c r="B16" s="221">
        <v>15</v>
      </c>
      <c r="C16" s="221">
        <v>41</v>
      </c>
      <c r="D16" s="221">
        <v>62915.250000000007</v>
      </c>
      <c r="E16" s="221">
        <v>385</v>
      </c>
      <c r="F16" s="222">
        <v>163.41623376623377</v>
      </c>
      <c r="G16" s="223">
        <v>0.10921871182774326</v>
      </c>
      <c r="H16" s="224">
        <v>-0.15007984250410711</v>
      </c>
      <c r="I16" s="221">
        <v>1534.518292682927</v>
      </c>
      <c r="J16" s="223">
        <v>0.12850467289719625</v>
      </c>
      <c r="K16" s="215"/>
      <c r="L16" s="215"/>
      <c r="M16" s="215"/>
      <c r="N16" s="215"/>
      <c r="O16" s="215"/>
      <c r="P16" s="215"/>
      <c r="Q16" s="215"/>
      <c r="R16" s="215"/>
    </row>
    <row r="17" spans="1:23" x14ac:dyDescent="0.25">
      <c r="A17" s="215" t="str">
        <v>Maram Zamzami</v>
      </c>
      <c r="B17" s="221">
        <v>11</v>
      </c>
      <c r="C17" s="221">
        <v>49</v>
      </c>
      <c r="D17" s="221">
        <v>89423.479999999967</v>
      </c>
      <c r="E17" s="221">
        <v>413</v>
      </c>
      <c r="F17" s="222">
        <v>216.52174334140429</v>
      </c>
      <c r="G17" s="223">
        <v>0.15523608811462974</v>
      </c>
      <c r="H17" s="224">
        <v>0.12611941886544953</v>
      </c>
      <c r="I17" s="221">
        <v>1824.9689795918362</v>
      </c>
      <c r="J17" s="223">
        <v>0.13785046728971961</v>
      </c>
      <c r="K17" s="215"/>
      <c r="L17" s="215"/>
      <c r="M17" s="215"/>
      <c r="N17" s="215"/>
      <c r="O17" s="215"/>
      <c r="P17" s="215"/>
      <c r="Q17" s="215"/>
      <c r="R17" s="215"/>
    </row>
    <row r="18" spans="1:23" x14ac:dyDescent="0.25">
      <c r="A18" s="215" t="str">
        <v>Mohammed Haidar</v>
      </c>
      <c r="B18" s="221">
        <v>13</v>
      </c>
      <c r="C18" s="221">
        <v>43</v>
      </c>
      <c r="D18" s="221">
        <v>55209.230000000018</v>
      </c>
      <c r="E18" s="221">
        <v>272</v>
      </c>
      <c r="F18" s="222">
        <v>202.97511029411771</v>
      </c>
      <c r="G18" s="223">
        <v>9.58413259361061E-2</v>
      </c>
      <c r="H18" s="224">
        <v>5.5664016560933449E-2</v>
      </c>
      <c r="I18" s="221">
        <v>1283.9355813953493</v>
      </c>
      <c r="J18" s="223">
        <v>9.0787716955941261E-2</v>
      </c>
      <c r="K18" s="215"/>
      <c r="L18" s="215"/>
      <c r="M18" s="215"/>
      <c r="N18" s="215"/>
      <c r="O18" s="215"/>
      <c r="P18" s="215"/>
      <c r="Q18" s="215"/>
      <c r="R18" s="215"/>
    </row>
    <row r="19" spans="1:23" x14ac:dyDescent="0.25">
      <c r="A19" s="215" t="str">
        <v>Mohammed Sanad</v>
      </c>
      <c r="B19" s="221">
        <v>16</v>
      </c>
      <c r="C19" s="221">
        <v>45</v>
      </c>
      <c r="D19" s="221">
        <v>64682.640000000014</v>
      </c>
      <c r="E19" s="221">
        <v>326</v>
      </c>
      <c r="F19" s="222">
        <v>198.41300613496938</v>
      </c>
      <c r="G19" s="223">
        <v>0.11228684012886637</v>
      </c>
      <c r="H19" s="224">
        <v>3.1936727073876181E-2</v>
      </c>
      <c r="I19" s="221">
        <v>1437.3920000000003</v>
      </c>
      <c r="J19" s="223">
        <v>0.10881174899866489</v>
      </c>
      <c r="K19" s="215"/>
      <c r="L19" s="215"/>
      <c r="M19" s="215"/>
      <c r="N19" s="215"/>
      <c r="O19" s="215"/>
      <c r="P19" s="215"/>
      <c r="Q19" s="215"/>
      <c r="R19" s="215"/>
    </row>
    <row r="20" spans="1:23" x14ac:dyDescent="0.25">
      <c r="A20" s="215" t="str">
        <v>Saleh Bin Hoiel</v>
      </c>
      <c r="B20" s="221">
        <v>14</v>
      </c>
      <c r="C20" s="221">
        <v>49</v>
      </c>
      <c r="D20" s="221">
        <v>69638.36</v>
      </c>
      <c r="E20" s="221">
        <v>362</v>
      </c>
      <c r="F20" s="222">
        <v>192.37116022099448</v>
      </c>
      <c r="G20" s="223">
        <v>0.12088979973848379</v>
      </c>
      <c r="H20" s="224">
        <v>5.133702113189198E-4</v>
      </c>
      <c r="I20" s="221">
        <v>1421.1910204081632</v>
      </c>
      <c r="J20" s="223">
        <v>0.12082777036048065</v>
      </c>
      <c r="K20" s="215"/>
      <c r="L20" s="215"/>
      <c r="M20" s="215"/>
      <c r="N20" s="215"/>
      <c r="O20" s="215"/>
      <c r="P20" s="215"/>
      <c r="Q20" s="215"/>
      <c r="R20" s="215"/>
    </row>
    <row r="21" spans="1:23" x14ac:dyDescent="0.25">
      <c r="A21" s="215"/>
      <c r="B21" s="221"/>
      <c r="C21" s="221"/>
      <c r="D21" s="221"/>
      <c r="E21" s="221"/>
      <c r="F21" s="222"/>
      <c r="G21" s="223"/>
      <c r="H21" s="224"/>
      <c r="I21" s="221"/>
      <c r="J21" s="215"/>
      <c r="K21" s="215"/>
      <c r="L21" s="215"/>
      <c r="M21" s="215"/>
      <c r="N21" s="215"/>
      <c r="O21" s="215"/>
      <c r="P21" s="215"/>
      <c r="Q21" s="215"/>
      <c r="R21" s="215"/>
    </row>
    <row r="22" spans="1:23" x14ac:dyDescent="0.25">
      <c r="A22" s="215"/>
      <c r="B22" s="221"/>
      <c r="C22" s="221"/>
      <c r="D22" s="221"/>
      <c r="E22" s="221"/>
      <c r="F22" s="222"/>
      <c r="G22" s="223"/>
      <c r="H22" s="224"/>
      <c r="I22" s="221"/>
      <c r="J22" s="215"/>
      <c r="K22" s="215"/>
      <c r="L22" s="215"/>
      <c r="M22" s="215"/>
      <c r="N22" s="215"/>
      <c r="O22" s="215"/>
      <c r="P22" s="215"/>
      <c r="Q22" s="215"/>
      <c r="R22" s="215"/>
    </row>
    <row r="23" spans="1:23" x14ac:dyDescent="0.25">
      <c r="A23" s="215"/>
      <c r="B23" s="221"/>
      <c r="C23" s="221"/>
      <c r="D23" s="221"/>
      <c r="E23" s="221"/>
      <c r="F23" s="222"/>
      <c r="G23" s="223"/>
      <c r="H23" s="224"/>
      <c r="I23" s="221"/>
      <c r="J23" s="215"/>
      <c r="K23" s="215"/>
      <c r="L23" s="215"/>
      <c r="M23" s="215"/>
      <c r="N23" s="215"/>
      <c r="O23" s="215"/>
      <c r="P23" s="215"/>
      <c r="Q23" s="215"/>
      <c r="R23" s="215"/>
    </row>
    <row r="24" spans="1:23" x14ac:dyDescent="0.25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</row>
    <row r="25" spans="1:23" ht="15.75" x14ac:dyDescent="0.25">
      <c r="A25" s="229" t="s">
        <v>1275</v>
      </c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377" t="s">
        <v>1299</v>
      </c>
      <c r="T25" s="377"/>
      <c r="U25" s="377"/>
      <c r="V25" s="377"/>
      <c r="W25" s="377"/>
    </row>
    <row r="26" spans="1:23" ht="30" customHeight="1" x14ac:dyDescent="0.25">
      <c r="A26" s="230" t="s">
        <v>1233</v>
      </c>
      <c r="B26" s="230" t="s">
        <v>125</v>
      </c>
      <c r="C26" s="230" t="s">
        <v>135</v>
      </c>
      <c r="D26" s="230" t="s">
        <v>134</v>
      </c>
      <c r="E26" s="230" t="s">
        <v>213</v>
      </c>
      <c r="F26" s="230" t="s">
        <v>1235</v>
      </c>
      <c r="G26" s="230" t="s">
        <v>1263</v>
      </c>
      <c r="H26" s="230" t="s">
        <v>1236</v>
      </c>
      <c r="I26" s="230" t="s">
        <v>1268</v>
      </c>
      <c r="J26" s="230" t="s">
        <v>1251</v>
      </c>
      <c r="K26" s="230" t="s">
        <v>1269</v>
      </c>
      <c r="L26" s="230" t="s">
        <v>1264</v>
      </c>
      <c r="M26" s="230" t="s">
        <v>1270</v>
      </c>
      <c r="N26" s="230" t="s">
        <v>1271</v>
      </c>
      <c r="O26" s="230" t="s">
        <v>1272</v>
      </c>
      <c r="P26" s="230" t="s">
        <v>1273</v>
      </c>
      <c r="Q26" s="230" t="s">
        <v>1274</v>
      </c>
      <c r="R26" s="230" t="s">
        <v>1265</v>
      </c>
      <c r="S26" s="230" t="s">
        <v>1237</v>
      </c>
      <c r="T26" s="230" t="s">
        <v>1297</v>
      </c>
      <c r="U26" s="230" t="s">
        <v>1239</v>
      </c>
      <c r="V26" s="230" t="s">
        <v>1298</v>
      </c>
      <c r="W26" s="230" t="s">
        <v>1296</v>
      </c>
    </row>
    <row r="27" spans="1:23" x14ac:dyDescent="0.25">
      <c r="A27" s="215" t="str" cm="1">
        <f t="array" ref="A27:W75">_xlfn.LET(_xlpm.x_l,'Staff Calc'!$L$20:$L$1515,_xlpm.x_a,'Staff Calc'!$A$20:$A$1515,_xlpm.x_b,'Staff Calc'!$B$20:$B$1515,_xlpm.x_c,'Staff Calc'!$C$20:$C$1515,_xlpm.x_d,'Staff Calc'!$D$20:$D$1515,_xlpm.x_f,'Staff Calc'!$F$20:$F$1515,_xlpm.x_g,'Staff Calc'!$G$20:$G$1515,_xlpm.x_h,'Staff Calc'!$H$20:$H$1515,_xlpm.x_i,'Staff Calc'!$I$20:$I$1515,_xlpm.x_j,'Staff Calc'!$J$20:$J$1515,_xlpm.x_k,'Staff Calc'!$K$20:$K$1515,_xlpm.x_rk,'Staff Calc'!$AC$20:$AC$1515,_xlpm.x_bs,'Staff Calc'!$B$13,_xlpm.x_bt,'Staff Calc'!$B$14,_xlpm.x_ba,'Staff Calc'!$B$15,_xlpm.x_keep,(_xlpm.x_l=1)*((_xlpm.x_f&lt;&gt;0)+(_xlpm.x_g&lt;&gt;0)&gt;0),_xlpm.x_atv,IFERROR(_xlpm.x_f/_xlpm.x_g,0),_xlpm.x_sa,IFERROR(_xlpm.x_h/_xlpm.x_i,0),_xlpm.x_aa,IFERROR(_xlpm.x_j/_xlpm.x_k,0),_xlpm.x_data,_xlfn.HSTACK(_xlpm.x_b,_xlpm.x_a,_xlpm.x_c,_xlpm.x_d,_xlpm.x_f,_xlpm.x_g,_xlpm.x_atv,_xlpm.x_h,IFERROR(_xlpm.x_f/_xlpm.x_h,0),_xlpm.x_rk,IFERROR(_xlpm.x_f/_xlpm.x_j,0),IFERROR(_xlpm.x_f/_xlpm.x_bs,0),_xlpm.x_sa,IF((_xlpm.x_sa=0)+(_xlpm.x_atv=0),"",IFERROR(_xlpm.x_atv/_xlpm.x_sa-1,0)),_xlpm.x_aa,IF((_xlpm.x_aa=0)+(_xlpm.x_atv=0),"",IFERROR(_xlpm.x_atv/_xlpm.x_aa-1,0)),_xlpm.x_ba+0*_xlpm.x_f,IF((_xlpm.x_ba=0)+(_xlpm.x_atv=0),"",IFERROR(_xlpm.x_atv/_xlpm.x_ba-1,0)),_xlpm.x_i,IFERROR(_xlpm.x_g/_xlpm.x_i,0),_xlpm.x_k,IFERROR(_xlpm.x_g/_xlpm.x_k,0),IFERROR(_xlpm.x_g/_xlpm.x_bt,0)),_xlpm.x_out,_xlfn._xlws.FILTER(_xlpm.x_data,_xlpm.x_keep),IFERROR(_xlfn.SORTBY(_xlpm.x_out,INDEX(_xlpm.x_out,,4),1,INDEX(_xlpm.x_out,,2),1,INDEX(_xlpm.x_out,,5),-1),"No staff sales for this selection"))</f>
        <v>3658-NSulimani</v>
      </c>
      <c r="B27" s="215" t="str">
        <v>ALSHAWGIYAH</v>
      </c>
      <c r="C27" s="215" t="str">
        <v>Makkah</v>
      </c>
      <c r="D27" s="215" t="str">
        <v>Maram Zamzami</v>
      </c>
      <c r="E27" s="221">
        <v>3167.91</v>
      </c>
      <c r="F27" s="221">
        <v>16</v>
      </c>
      <c r="G27" s="222">
        <v>197.99437499999999</v>
      </c>
      <c r="H27" s="221">
        <v>7037.78</v>
      </c>
      <c r="I27" s="223">
        <v>0.45012916004762865</v>
      </c>
      <c r="J27" s="237">
        <v>1</v>
      </c>
      <c r="K27" s="223">
        <v>3.5425930639245991E-2</v>
      </c>
      <c r="L27" s="236">
        <v>5.4993828902567517E-3</v>
      </c>
      <c r="M27" s="222">
        <v>195.49388888888888</v>
      </c>
      <c r="N27" s="224">
        <v>1.2790610107164424E-2</v>
      </c>
      <c r="O27" s="222">
        <v>216.52174334140429</v>
      </c>
      <c r="P27" s="224">
        <v>-8.5568165374462879E-2</v>
      </c>
      <c r="Q27" s="222">
        <v>192.27245327102793</v>
      </c>
      <c r="R27" s="224">
        <v>2.97594462005768E-2</v>
      </c>
      <c r="S27" s="239">
        <v>36</v>
      </c>
      <c r="T27" s="224">
        <v>0.44444444444444442</v>
      </c>
      <c r="U27" s="239">
        <v>413</v>
      </c>
      <c r="V27" s="224">
        <v>3.8740920096852302E-2</v>
      </c>
      <c r="W27" s="261">
        <v>5.3404539385847796E-3</v>
      </c>
    </row>
    <row r="28" spans="1:23" x14ac:dyDescent="0.25">
      <c r="A28" s="215" t="str">
        <v>3645-FAlZahrani</v>
      </c>
      <c r="B28" s="215" t="str">
        <v>ALSHAWGIYAH</v>
      </c>
      <c r="C28" s="215" t="str">
        <v>Makkah</v>
      </c>
      <c r="D28" s="215" t="str">
        <v>Maram Zamzami</v>
      </c>
      <c r="E28" s="221">
        <v>3150.88</v>
      </c>
      <c r="F28" s="221">
        <v>15</v>
      </c>
      <c r="G28" s="222">
        <v>210.05866666666668</v>
      </c>
      <c r="H28" s="221">
        <v>7037.78</v>
      </c>
      <c r="I28" s="223">
        <v>0.44770936289568591</v>
      </c>
      <c r="J28" s="237">
        <v>2</v>
      </c>
      <c r="K28" s="223">
        <v>3.5235488486916426E-2</v>
      </c>
      <c r="L28" s="236">
        <v>5.4698193955169793E-3</v>
      </c>
      <c r="M28" s="222">
        <v>195.49388888888888</v>
      </c>
      <c r="N28" s="224">
        <v>7.4502470949646238E-2</v>
      </c>
      <c r="O28" s="222">
        <v>216.52174334140429</v>
      </c>
      <c r="P28" s="224">
        <v>-2.9849550326901064E-2</v>
      </c>
      <c r="Q28" s="222">
        <v>192.27245327102793</v>
      </c>
      <c r="R28" s="224">
        <v>9.2505260597924854E-2</v>
      </c>
      <c r="S28" s="239">
        <v>36</v>
      </c>
      <c r="T28" s="224">
        <v>0.41666666666666669</v>
      </c>
      <c r="U28" s="239">
        <v>413</v>
      </c>
      <c r="V28" s="224">
        <v>3.6319612590799029E-2</v>
      </c>
      <c r="W28" s="261">
        <v>5.0066755674232312E-3</v>
      </c>
    </row>
    <row r="29" spans="1:23" x14ac:dyDescent="0.25">
      <c r="A29" s="215" t="str">
        <v>3620-RAlmawlid</v>
      </c>
      <c r="B29" s="215" t="str">
        <v>ALSHAWGIYAH</v>
      </c>
      <c r="C29" s="215" t="str">
        <v>Makkah</v>
      </c>
      <c r="D29" s="215" t="str">
        <v>Maram Zamzami</v>
      </c>
      <c r="E29" s="221">
        <v>471.01</v>
      </c>
      <c r="F29" s="221">
        <v>3</v>
      </c>
      <c r="G29" s="222">
        <v>157.00333333333333</v>
      </c>
      <c r="H29" s="221">
        <v>7037.78</v>
      </c>
      <c r="I29" s="223">
        <v>6.6925934030333437E-2</v>
      </c>
      <c r="J29" s="237">
        <v>3</v>
      </c>
      <c r="K29" s="223">
        <v>5.2671848601731916E-3</v>
      </c>
      <c r="L29" s="236">
        <v>8.1765717306988921E-4</v>
      </c>
      <c r="M29" s="222">
        <v>195.49388888888888</v>
      </c>
      <c r="N29" s="224">
        <v>-0.19688879163599882</v>
      </c>
      <c r="O29" s="222">
        <v>216.52174334140429</v>
      </c>
      <c r="P29" s="224">
        <v>-0.274884217582824</v>
      </c>
      <c r="Q29" s="222">
        <v>192.27245327102793</v>
      </c>
      <c r="R29" s="224">
        <v>-0.18343303649420395</v>
      </c>
      <c r="S29" s="239">
        <v>36</v>
      </c>
      <c r="T29" s="224">
        <v>8.3333333333333329E-2</v>
      </c>
      <c r="U29" s="239">
        <v>413</v>
      </c>
      <c r="V29" s="224">
        <v>7.2639225181598066E-3</v>
      </c>
      <c r="W29" s="261">
        <v>1.0013351134846463E-3</v>
      </c>
    </row>
    <row r="30" spans="1:23" x14ac:dyDescent="0.25">
      <c r="A30" s="215" t="str">
        <v>3676-ATazi</v>
      </c>
      <c r="B30" s="215" t="str">
        <v>ALSHAWGIYAH</v>
      </c>
      <c r="C30" s="215" t="str">
        <v>Makkah</v>
      </c>
      <c r="D30" s="215" t="str">
        <v>Maram Zamzami</v>
      </c>
      <c r="E30" s="221">
        <v>247.98</v>
      </c>
      <c r="F30" s="221">
        <v>2</v>
      </c>
      <c r="G30" s="222">
        <v>123.99</v>
      </c>
      <c r="H30" s="221">
        <v>7037.78</v>
      </c>
      <c r="I30" s="223">
        <v>3.5235543026352061E-2</v>
      </c>
      <c r="J30" s="237">
        <v>4</v>
      </c>
      <c r="K30" s="223">
        <v>2.7730971776092819E-3</v>
      </c>
      <c r="L30" s="236">
        <v>4.3048475781378554E-4</v>
      </c>
      <c r="M30" s="222">
        <v>195.49388888888888</v>
      </c>
      <c r="N30" s="224">
        <v>-0.3657602255256629</v>
      </c>
      <c r="O30" s="222">
        <v>216.52174334140429</v>
      </c>
      <c r="P30" s="224">
        <v>-0.42735543282368327</v>
      </c>
      <c r="Q30" s="222">
        <v>192.27245327102793</v>
      </c>
      <c r="R30" s="224">
        <v>-0.35513383279494926</v>
      </c>
      <c r="S30" s="239">
        <v>36</v>
      </c>
      <c r="T30" s="224">
        <v>5.5555555555555552E-2</v>
      </c>
      <c r="U30" s="239">
        <v>413</v>
      </c>
      <c r="V30" s="224">
        <v>4.8426150121065378E-3</v>
      </c>
      <c r="W30" s="261">
        <v>6.6755674232309744E-4</v>
      </c>
    </row>
    <row r="31" spans="1:23" x14ac:dyDescent="0.25">
      <c r="A31" s="215" t="str">
        <v>4904-OAlzhrani</v>
      </c>
      <c r="B31" s="215" t="str">
        <v>HAABRAJ1</v>
      </c>
      <c r="C31" s="215" t="str">
        <v>Makkah</v>
      </c>
      <c r="D31" s="215" t="str">
        <v>Maram Zamzami</v>
      </c>
      <c r="E31" s="221">
        <v>6252.6</v>
      </c>
      <c r="F31" s="221">
        <v>25</v>
      </c>
      <c r="G31" s="222">
        <v>250.10400000000001</v>
      </c>
      <c r="H31" s="221">
        <v>23034.57</v>
      </c>
      <c r="I31" s="223">
        <v>0.27144418150631855</v>
      </c>
      <c r="J31" s="237">
        <v>1</v>
      </c>
      <c r="K31" s="223">
        <v>6.9921233215258477E-2</v>
      </c>
      <c r="L31" s="236">
        <v>1.0854298720487441E-2</v>
      </c>
      <c r="M31" s="222">
        <v>228.06504950495048</v>
      </c>
      <c r="N31" s="224">
        <v>9.6634493285526979E-2</v>
      </c>
      <c r="O31" s="222">
        <v>216.52174334140429</v>
      </c>
      <c r="P31" s="224">
        <v>0.15509877271606998</v>
      </c>
      <c r="Q31" s="222">
        <v>192.27245327102793</v>
      </c>
      <c r="R31" s="224">
        <v>0.30077915866321492</v>
      </c>
      <c r="S31" s="239">
        <v>101</v>
      </c>
      <c r="T31" s="224">
        <v>0.24752475247524752</v>
      </c>
      <c r="U31" s="239">
        <v>413</v>
      </c>
      <c r="V31" s="224">
        <v>6.0532687651331719E-2</v>
      </c>
      <c r="W31" s="261">
        <v>8.3444592790387177E-3</v>
      </c>
    </row>
    <row r="32" spans="1:23" x14ac:dyDescent="0.25">
      <c r="A32" s="215" t="str">
        <v>6819-MAlmushuli</v>
      </c>
      <c r="B32" s="215" t="str">
        <v>HAABRAJ1</v>
      </c>
      <c r="C32" s="215" t="str">
        <v>Makkah</v>
      </c>
      <c r="D32" s="215" t="str">
        <v>Maram Zamzami</v>
      </c>
      <c r="E32" s="221">
        <v>4580.75</v>
      </c>
      <c r="F32" s="221">
        <v>23</v>
      </c>
      <c r="G32" s="222">
        <v>199.16304347826087</v>
      </c>
      <c r="H32" s="221">
        <v>23034.57</v>
      </c>
      <c r="I32" s="223">
        <v>0.19886414202652797</v>
      </c>
      <c r="J32" s="237">
        <v>2</v>
      </c>
      <c r="K32" s="223">
        <v>5.1225360498160011E-2</v>
      </c>
      <c r="L32" s="236">
        <v>7.952024575996041E-3</v>
      </c>
      <c r="M32" s="222">
        <v>228.06504950495048</v>
      </c>
      <c r="N32" s="224">
        <v>-0.1267270284922033</v>
      </c>
      <c r="O32" s="222">
        <v>216.52174334140429</v>
      </c>
      <c r="P32" s="224">
        <v>-8.0170700619996316E-2</v>
      </c>
      <c r="Q32" s="222">
        <v>192.27245327102793</v>
      </c>
      <c r="R32" s="224">
        <v>3.5837636073223322E-2</v>
      </c>
      <c r="S32" s="239">
        <v>101</v>
      </c>
      <c r="T32" s="224">
        <v>0.22772277227722773</v>
      </c>
      <c r="U32" s="239">
        <v>413</v>
      </c>
      <c r="V32" s="224">
        <v>5.569007263922518E-2</v>
      </c>
      <c r="W32" s="261">
        <v>7.6769025367156209E-3</v>
      </c>
    </row>
    <row r="33" spans="1:23" x14ac:dyDescent="0.25">
      <c r="A33" s="215" t="str">
        <v>6925-HSindi</v>
      </c>
      <c r="B33" s="215" t="str">
        <v>HAABRAJ1</v>
      </c>
      <c r="C33" s="215" t="str">
        <v>Makkah</v>
      </c>
      <c r="D33" s="215" t="str">
        <v>Maram Zamzami</v>
      </c>
      <c r="E33" s="221">
        <v>3221.76</v>
      </c>
      <c r="F33" s="221">
        <v>12</v>
      </c>
      <c r="G33" s="222">
        <v>268.48</v>
      </c>
      <c r="H33" s="221">
        <v>23034.57</v>
      </c>
      <c r="I33" s="223">
        <v>0.13986629661417602</v>
      </c>
      <c r="J33" s="237">
        <v>3</v>
      </c>
      <c r="K33" s="223">
        <v>3.602812147324172E-2</v>
      </c>
      <c r="L33" s="236">
        <v>5.5928646396247355E-3</v>
      </c>
      <c r="M33" s="222">
        <v>228.06504950495048</v>
      </c>
      <c r="N33" s="224">
        <v>0.17720799650264807</v>
      </c>
      <c r="O33" s="222">
        <v>216.52174334140429</v>
      </c>
      <c r="P33" s="224">
        <v>0.23996784737073584</v>
      </c>
      <c r="Q33" s="222">
        <v>192.27245327102793</v>
      </c>
      <c r="R33" s="224">
        <v>0.39635187169297548</v>
      </c>
      <c r="S33" s="239">
        <v>101</v>
      </c>
      <c r="T33" s="224">
        <v>0.11881188118811881</v>
      </c>
      <c r="U33" s="239">
        <v>413</v>
      </c>
      <c r="V33" s="224">
        <v>2.9055690072639227E-2</v>
      </c>
      <c r="W33" s="261">
        <v>4.0053404539385851E-3</v>
      </c>
    </row>
    <row r="34" spans="1:23" x14ac:dyDescent="0.25">
      <c r="A34" s="215" t="str">
        <v>4563-AAlsaadi</v>
      </c>
      <c r="B34" s="215" t="str">
        <v>HAABRAJ1</v>
      </c>
      <c r="C34" s="215" t="str">
        <v>Makkah</v>
      </c>
      <c r="D34" s="215" t="str">
        <v>Maram Zamzami</v>
      </c>
      <c r="E34" s="221">
        <v>3185.82</v>
      </c>
      <c r="F34" s="221">
        <v>12</v>
      </c>
      <c r="G34" s="222">
        <v>265.48500000000001</v>
      </c>
      <c r="H34" s="221">
        <v>23034.57</v>
      </c>
      <c r="I34" s="223">
        <v>0.13830603306247957</v>
      </c>
      <c r="J34" s="237">
        <v>4</v>
      </c>
      <c r="K34" s="223">
        <v>3.5626213607432872E-2</v>
      </c>
      <c r="L34" s="236">
        <v>5.5304740347540699E-3</v>
      </c>
      <c r="M34" s="222">
        <v>228.06504950495048</v>
      </c>
      <c r="N34" s="224">
        <v>0.16407577827586994</v>
      </c>
      <c r="O34" s="222">
        <v>216.52174334140429</v>
      </c>
      <c r="P34" s="224">
        <v>0.22613551832248135</v>
      </c>
      <c r="Q34" s="222">
        <v>192.27245327102793</v>
      </c>
      <c r="R34" s="224">
        <v>0.38077501734359953</v>
      </c>
      <c r="S34" s="239">
        <v>101</v>
      </c>
      <c r="T34" s="224">
        <v>0.11881188118811881</v>
      </c>
      <c r="U34" s="239">
        <v>413</v>
      </c>
      <c r="V34" s="224">
        <v>2.9055690072639227E-2</v>
      </c>
      <c r="W34" s="261">
        <v>4.0053404539385851E-3</v>
      </c>
    </row>
    <row r="35" spans="1:23" x14ac:dyDescent="0.25">
      <c r="A35" s="215" t="str">
        <v>5403-TAlhudhali</v>
      </c>
      <c r="B35" s="215" t="str">
        <v>HAABRAJ1</v>
      </c>
      <c r="C35" s="215" t="str">
        <v>Makkah</v>
      </c>
      <c r="D35" s="215" t="str">
        <v>Maram Zamzami</v>
      </c>
      <c r="E35" s="221">
        <v>2971.85</v>
      </c>
      <c r="F35" s="221">
        <v>16</v>
      </c>
      <c r="G35" s="222">
        <v>185.74062499999999</v>
      </c>
      <c r="H35" s="221">
        <v>23034.57</v>
      </c>
      <c r="I35" s="223">
        <v>0.12901695147771372</v>
      </c>
      <c r="J35" s="237">
        <v>5</v>
      </c>
      <c r="K35" s="223">
        <v>3.3233441597218104E-2</v>
      </c>
      <c r="L35" s="236">
        <v>5.1590294681381505E-3</v>
      </c>
      <c r="M35" s="222">
        <v>228.06504950495048</v>
      </c>
      <c r="N35" s="224">
        <v>-0.1855804937969322</v>
      </c>
      <c r="O35" s="222">
        <v>216.52174334140429</v>
      </c>
      <c r="P35" s="224">
        <v>-0.14216178877180774</v>
      </c>
      <c r="Q35" s="222">
        <v>192.27245327102793</v>
      </c>
      <c r="R35" s="224">
        <v>-3.3971732091131357E-2</v>
      </c>
      <c r="S35" s="239">
        <v>101</v>
      </c>
      <c r="T35" s="224">
        <v>0.15841584158415842</v>
      </c>
      <c r="U35" s="239">
        <v>413</v>
      </c>
      <c r="V35" s="224">
        <v>3.8740920096852302E-2</v>
      </c>
      <c r="W35" s="261">
        <v>5.3404539385847796E-3</v>
      </c>
    </row>
    <row r="36" spans="1:23" x14ac:dyDescent="0.25">
      <c r="A36" s="215" t="str">
        <v>6907-KAlSharif</v>
      </c>
      <c r="B36" s="215" t="str">
        <v>HAABRAJ1</v>
      </c>
      <c r="C36" s="215" t="str">
        <v>Makkah</v>
      </c>
      <c r="D36" s="215" t="str">
        <v>Maram Zamzami</v>
      </c>
      <c r="E36" s="221">
        <v>2821.79</v>
      </c>
      <c r="F36" s="221">
        <v>13</v>
      </c>
      <c r="G36" s="222">
        <v>217.06076923076924</v>
      </c>
      <c r="H36" s="221">
        <v>23034.57</v>
      </c>
      <c r="I36" s="223">
        <v>0.12250239531278422</v>
      </c>
      <c r="J36" s="237">
        <v>6</v>
      </c>
      <c r="K36" s="223">
        <v>3.15553588386406E-2</v>
      </c>
      <c r="L36" s="236">
        <v>4.8985304651639723E-3</v>
      </c>
      <c r="M36" s="222">
        <v>228.06504950495048</v>
      </c>
      <c r="N36" s="224">
        <v>-4.8250621031445617E-2</v>
      </c>
      <c r="O36" s="222">
        <v>216.52174334140429</v>
      </c>
      <c r="P36" s="224">
        <v>2.489476950659153E-3</v>
      </c>
      <c r="Q36" s="222">
        <v>192.27245327102793</v>
      </c>
      <c r="R36" s="224">
        <v>0.12892286720240476</v>
      </c>
      <c r="S36" s="239">
        <v>101</v>
      </c>
      <c r="T36" s="224">
        <v>0.12871287128712872</v>
      </c>
      <c r="U36" s="239">
        <v>413</v>
      </c>
      <c r="V36" s="224">
        <v>3.1476997578692496E-2</v>
      </c>
      <c r="W36" s="261">
        <v>4.3391188251001335E-3</v>
      </c>
    </row>
    <row r="37" spans="1:23" x14ac:dyDescent="0.25">
      <c r="A37" s="215" t="str">
        <v>6629-FTazi</v>
      </c>
      <c r="B37" s="215" t="str">
        <v>HAABRAJ2</v>
      </c>
      <c r="C37" s="215" t="str">
        <v>Makkah</v>
      </c>
      <c r="D37" s="215" t="str">
        <v>Maram Zamzami</v>
      </c>
      <c r="E37" s="221">
        <v>1079.9000000000001</v>
      </c>
      <c r="F37" s="221">
        <v>5</v>
      </c>
      <c r="G37" s="222">
        <v>215.98000000000002</v>
      </c>
      <c r="H37" s="221">
        <v>2184.83</v>
      </c>
      <c r="I37" s="223">
        <v>0.49427186554560315</v>
      </c>
      <c r="J37" s="237">
        <v>1</v>
      </c>
      <c r="K37" s="223">
        <v>1.2076246641262457E-2</v>
      </c>
      <c r="L37" s="236">
        <v>1.8746692876970201E-3</v>
      </c>
      <c r="M37" s="222">
        <v>242.75888888888889</v>
      </c>
      <c r="N37" s="224">
        <v>-0.11031064201791441</v>
      </c>
      <c r="O37" s="222">
        <v>216.52174334140429</v>
      </c>
      <c r="P37" s="224">
        <v>-2.5020274317211211E-3</v>
      </c>
      <c r="Q37" s="222">
        <v>192.27245327102793</v>
      </c>
      <c r="R37" s="224">
        <v>0.12330183718805454</v>
      </c>
      <c r="S37" s="239">
        <v>9</v>
      </c>
      <c r="T37" s="224">
        <v>0.55555555555555558</v>
      </c>
      <c r="U37" s="239">
        <v>413</v>
      </c>
      <c r="V37" s="224">
        <v>1.2106537530266344E-2</v>
      </c>
      <c r="W37" s="261">
        <v>1.6688918558077437E-3</v>
      </c>
    </row>
    <row r="38" spans="1:23" x14ac:dyDescent="0.25">
      <c r="A38" s="215" t="str">
        <v>6928-RKanjari</v>
      </c>
      <c r="B38" s="215" t="str">
        <v>HAABRAJ2</v>
      </c>
      <c r="C38" s="215" t="str">
        <v>Makkah</v>
      </c>
      <c r="D38" s="215" t="str">
        <v>Maram Zamzami</v>
      </c>
      <c r="E38" s="221">
        <v>532.97</v>
      </c>
      <c r="F38" s="221">
        <v>2</v>
      </c>
      <c r="G38" s="222">
        <v>266.48500000000001</v>
      </c>
      <c r="H38" s="221">
        <v>2184.83</v>
      </c>
      <c r="I38" s="223">
        <v>0.24394117620135208</v>
      </c>
      <c r="J38" s="237">
        <v>2</v>
      </c>
      <c r="K38" s="223">
        <v>5.9600677584902778E-3</v>
      </c>
      <c r="L38" s="236">
        <v>9.2521760372616052E-4</v>
      </c>
      <c r="M38" s="222">
        <v>242.75888888888889</v>
      </c>
      <c r="N38" s="224">
        <v>9.7735292906084181E-2</v>
      </c>
      <c r="O38" s="222">
        <v>216.52174334140429</v>
      </c>
      <c r="P38" s="224">
        <v>0.23075399212824244</v>
      </c>
      <c r="Q38" s="222">
        <v>192.27245327102793</v>
      </c>
      <c r="R38" s="224">
        <v>0.38597597038178844</v>
      </c>
      <c r="S38" s="239">
        <v>9</v>
      </c>
      <c r="T38" s="224">
        <v>0.22222222222222221</v>
      </c>
      <c r="U38" s="239">
        <v>413</v>
      </c>
      <c r="V38" s="224">
        <v>4.8426150121065378E-3</v>
      </c>
      <c r="W38" s="261">
        <v>6.6755674232309744E-4</v>
      </c>
    </row>
    <row r="39" spans="1:23" x14ac:dyDescent="0.25">
      <c r="A39" s="215" t="str">
        <v>3675-MNassef</v>
      </c>
      <c r="B39" s="215" t="str">
        <v>HAABRAJ2</v>
      </c>
      <c r="C39" s="215" t="str">
        <v>Makkah</v>
      </c>
      <c r="D39" s="215" t="str">
        <v>Maram Zamzami</v>
      </c>
      <c r="E39" s="221">
        <v>421.96</v>
      </c>
      <c r="F39" s="221">
        <v>1</v>
      </c>
      <c r="G39" s="222">
        <v>421.96</v>
      </c>
      <c r="H39" s="221">
        <v>2184.83</v>
      </c>
      <c r="I39" s="223">
        <v>0.19313173107289811</v>
      </c>
      <c r="J39" s="237">
        <v>3</v>
      </c>
      <c r="K39" s="223">
        <v>4.7186712035809852E-3</v>
      </c>
      <c r="L39" s="236">
        <v>7.3250805874306368E-4</v>
      </c>
      <c r="M39" s="222">
        <v>242.75888888888889</v>
      </c>
      <c r="N39" s="224">
        <v>0.738185579656083</v>
      </c>
      <c r="O39" s="222">
        <v>216.52174334140429</v>
      </c>
      <c r="P39" s="224">
        <v>0.94881120707894673</v>
      </c>
      <c r="Q39" s="222">
        <v>192.27245327102793</v>
      </c>
      <c r="R39" s="224">
        <v>1.1945941439942187</v>
      </c>
      <c r="S39" s="239">
        <v>9</v>
      </c>
      <c r="T39" s="224">
        <v>0.1111111111111111</v>
      </c>
      <c r="U39" s="239">
        <v>413</v>
      </c>
      <c r="V39" s="224">
        <v>2.4213075060532689E-3</v>
      </c>
      <c r="W39" s="261">
        <v>3.3377837116154872E-4</v>
      </c>
    </row>
    <row r="40" spans="1:23" x14ac:dyDescent="0.25">
      <c r="A40" s="215" t="str">
        <v>6906-RNajae</v>
      </c>
      <c r="B40" s="215" t="str">
        <v>HAABRAJ2</v>
      </c>
      <c r="C40" s="215" t="str">
        <v>Makkah</v>
      </c>
      <c r="D40" s="215" t="str">
        <v>Maram Zamzami</v>
      </c>
      <c r="E40" s="221">
        <v>150</v>
      </c>
      <c r="F40" s="221">
        <v>1</v>
      </c>
      <c r="G40" s="222">
        <v>150</v>
      </c>
      <c r="H40" s="221">
        <v>2184.83</v>
      </c>
      <c r="I40" s="223">
        <v>6.8655227180146744E-2</v>
      </c>
      <c r="J40" s="237">
        <v>4</v>
      </c>
      <c r="K40" s="223">
        <v>1.6774117938599578E-3</v>
      </c>
      <c r="L40" s="236">
        <v>2.6039484503616355E-4</v>
      </c>
      <c r="M40" s="222">
        <v>242.75888888888889</v>
      </c>
      <c r="N40" s="224">
        <v>-0.38210295537867933</v>
      </c>
      <c r="O40" s="222">
        <v>216.52174334140429</v>
      </c>
      <c r="P40" s="224">
        <v>-0.30722892913583744</v>
      </c>
      <c r="Q40" s="222">
        <v>192.27245327102793</v>
      </c>
      <c r="R40" s="224">
        <v>-0.21985704427165409</v>
      </c>
      <c r="S40" s="239">
        <v>9</v>
      </c>
      <c r="T40" s="224">
        <v>0.1111111111111111</v>
      </c>
      <c r="U40" s="239">
        <v>413</v>
      </c>
      <c r="V40" s="224">
        <v>2.4213075060532689E-3</v>
      </c>
      <c r="W40" s="261">
        <v>3.3377837116154872E-4</v>
      </c>
    </row>
    <row r="41" spans="1:23" x14ac:dyDescent="0.25">
      <c r="A41" s="215" t="str">
        <v>5355-FTazy</v>
      </c>
      <c r="B41" s="215" t="str">
        <v>HADANAMAK</v>
      </c>
      <c r="C41" s="215" t="str">
        <v>Makkah</v>
      </c>
      <c r="D41" s="215" t="str">
        <v>Maram Zamzami</v>
      </c>
      <c r="E41" s="221">
        <v>2278.94</v>
      </c>
      <c r="F41" s="221">
        <v>6</v>
      </c>
      <c r="G41" s="222">
        <v>379.82333333333332</v>
      </c>
      <c r="H41" s="221">
        <v>3607.86</v>
      </c>
      <c r="I41" s="223">
        <v>0.63165976506848931</v>
      </c>
      <c r="J41" s="237">
        <v>1</v>
      </c>
      <c r="K41" s="223">
        <v>2.5484805556661414E-2</v>
      </c>
      <c r="L41" s="236">
        <v>3.9561615209780972E-3</v>
      </c>
      <c r="M41" s="222">
        <v>300.65500000000003</v>
      </c>
      <c r="N41" s="224">
        <v>0.26331953013697862</v>
      </c>
      <c r="O41" s="222">
        <v>216.52174334140429</v>
      </c>
      <c r="P41" s="224">
        <v>0.75420411581686064</v>
      </c>
      <c r="Q41" s="222">
        <v>192.27245327102793</v>
      </c>
      <c r="R41" s="224">
        <v>0.97544331947506291</v>
      </c>
      <c r="S41" s="239">
        <v>12</v>
      </c>
      <c r="T41" s="224">
        <v>0.5</v>
      </c>
      <c r="U41" s="239">
        <v>413</v>
      </c>
      <c r="V41" s="224">
        <v>1.4527845036319613E-2</v>
      </c>
      <c r="W41" s="261">
        <v>2.0026702269692926E-3</v>
      </c>
    </row>
    <row r="42" spans="1:23" x14ac:dyDescent="0.25">
      <c r="A42" s="215" t="str">
        <v>5979-AAlmarhabi</v>
      </c>
      <c r="B42" s="215" t="str">
        <v>HADANAMAK</v>
      </c>
      <c r="C42" s="215" t="str">
        <v>Makkah</v>
      </c>
      <c r="D42" s="215" t="str">
        <v>Maram Zamzami</v>
      </c>
      <c r="E42" s="221">
        <v>1178.92</v>
      </c>
      <c r="F42" s="221">
        <v>5</v>
      </c>
      <c r="G42" s="222">
        <v>235.78400000000002</v>
      </c>
      <c r="H42" s="221">
        <v>3607.86</v>
      </c>
      <c r="I42" s="223">
        <v>0.32676434229709578</v>
      </c>
      <c r="J42" s="237">
        <v>2</v>
      </c>
      <c r="K42" s="223">
        <v>1.3183562080115877E-2</v>
      </c>
      <c r="L42" s="236">
        <v>2.0465646047335595E-3</v>
      </c>
      <c r="M42" s="222">
        <v>300.65500000000003</v>
      </c>
      <c r="N42" s="224">
        <v>-0.21576557848697009</v>
      </c>
      <c r="O42" s="222">
        <v>216.52174334140429</v>
      </c>
      <c r="P42" s="224">
        <v>8.896222781757146E-2</v>
      </c>
      <c r="Q42" s="222">
        <v>192.27245327102793</v>
      </c>
      <c r="R42" s="224">
        <v>0.22630151115634889</v>
      </c>
      <c r="S42" s="239">
        <v>12</v>
      </c>
      <c r="T42" s="224">
        <v>0.41666666666666669</v>
      </c>
      <c r="U42" s="239">
        <v>413</v>
      </c>
      <c r="V42" s="224">
        <v>1.2106537530266344E-2</v>
      </c>
      <c r="W42" s="261">
        <v>1.6688918558077437E-3</v>
      </c>
    </row>
    <row r="43" spans="1:23" x14ac:dyDescent="0.25">
      <c r="A43" s="215" t="str">
        <v>3667-AAldeen</v>
      </c>
      <c r="B43" s="215" t="str">
        <v>HADANAMAK</v>
      </c>
      <c r="C43" s="215" t="str">
        <v>Makkah</v>
      </c>
      <c r="D43" s="215" t="str">
        <v>Maram Zamzami</v>
      </c>
      <c r="E43" s="221">
        <v>150</v>
      </c>
      <c r="F43" s="221">
        <v>1</v>
      </c>
      <c r="G43" s="222">
        <v>150</v>
      </c>
      <c r="H43" s="221">
        <v>3607.86</v>
      </c>
      <c r="I43" s="223">
        <v>4.1575892634414857E-2</v>
      </c>
      <c r="J43" s="237">
        <v>3</v>
      </c>
      <c r="K43" s="223">
        <v>1.6774117938599578E-3</v>
      </c>
      <c r="L43" s="236">
        <v>2.6039484503616355E-4</v>
      </c>
      <c r="M43" s="222">
        <v>300.65500000000003</v>
      </c>
      <c r="N43" s="224">
        <v>-0.50108928838702171</v>
      </c>
      <c r="O43" s="222">
        <v>216.52174334140429</v>
      </c>
      <c r="P43" s="224">
        <v>-0.30722892913583744</v>
      </c>
      <c r="Q43" s="222">
        <v>192.27245327102793</v>
      </c>
      <c r="R43" s="224">
        <v>-0.21985704427165409</v>
      </c>
      <c r="S43" s="239">
        <v>12</v>
      </c>
      <c r="T43" s="224">
        <v>8.3333333333333329E-2</v>
      </c>
      <c r="U43" s="239">
        <v>413</v>
      </c>
      <c r="V43" s="224">
        <v>2.4213075060532689E-3</v>
      </c>
      <c r="W43" s="261">
        <v>3.3377837116154872E-4</v>
      </c>
    </row>
    <row r="44" spans="1:23" x14ac:dyDescent="0.25">
      <c r="A44" s="215" t="str">
        <v>6929-AAlzahrani</v>
      </c>
      <c r="B44" s="215" t="str">
        <v>HADARTAW2</v>
      </c>
      <c r="C44" s="215" t="str">
        <v>Makkah</v>
      </c>
      <c r="D44" s="215" t="str">
        <v>Maram Zamzami</v>
      </c>
      <c r="E44" s="221">
        <v>4315.8100000000004</v>
      </c>
      <c r="F44" s="221">
        <v>15</v>
      </c>
      <c r="G44" s="222">
        <v>287.72066666666672</v>
      </c>
      <c r="H44" s="221">
        <v>25167</v>
      </c>
      <c r="I44" s="223">
        <v>0.17148686772360633</v>
      </c>
      <c r="J44" s="237">
        <v>1</v>
      </c>
      <c r="K44" s="223">
        <v>4.8262603960391635E-2</v>
      </c>
      <c r="L44" s="236">
        <v>7.4920978410368336E-3</v>
      </c>
      <c r="M44" s="222">
        <v>241.99038461538461</v>
      </c>
      <c r="N44" s="224">
        <v>0.18897561621700398</v>
      </c>
      <c r="O44" s="222">
        <v>216.52174334140429</v>
      </c>
      <c r="P44" s="224">
        <v>0.3288303623761164</v>
      </c>
      <c r="Q44" s="222">
        <v>192.27245327102793</v>
      </c>
      <c r="R44" s="224">
        <v>0.49642167544975702</v>
      </c>
      <c r="S44" s="239">
        <v>104</v>
      </c>
      <c r="T44" s="224">
        <v>0.14423076923076922</v>
      </c>
      <c r="U44" s="239">
        <v>413</v>
      </c>
      <c r="V44" s="224">
        <v>3.6319612590799029E-2</v>
      </c>
      <c r="W44" s="261">
        <v>5.0066755674232312E-3</v>
      </c>
    </row>
    <row r="45" spans="1:23" x14ac:dyDescent="0.25">
      <c r="A45" s="215" t="str">
        <v>5387-WHazazzi</v>
      </c>
      <c r="B45" s="215" t="str">
        <v>HADARTAW2</v>
      </c>
      <c r="C45" s="215" t="str">
        <v>Makkah</v>
      </c>
      <c r="D45" s="215" t="str">
        <v>Maram Zamzami</v>
      </c>
      <c r="E45" s="221">
        <v>4256.8</v>
      </c>
      <c r="F45" s="221">
        <v>18</v>
      </c>
      <c r="G45" s="222">
        <v>236.48888888888891</v>
      </c>
      <c r="H45" s="221">
        <v>25167</v>
      </c>
      <c r="I45" s="223">
        <v>0.16914213056780705</v>
      </c>
      <c r="J45" s="237">
        <v>2</v>
      </c>
      <c r="K45" s="223">
        <v>4.7602710160687123E-2</v>
      </c>
      <c r="L45" s="236">
        <v>7.3896585089996067E-3</v>
      </c>
      <c r="M45" s="222">
        <v>241.99038461538461</v>
      </c>
      <c r="N45" s="224">
        <v>-2.273435671933699E-2</v>
      </c>
      <c r="O45" s="222">
        <v>216.52174334140429</v>
      </c>
      <c r="P45" s="224">
        <v>9.2217738686876771E-2</v>
      </c>
      <c r="Q45" s="222">
        <v>192.27245327102793</v>
      </c>
      <c r="R45" s="224">
        <v>0.22996760516460113</v>
      </c>
      <c r="S45" s="239">
        <v>104</v>
      </c>
      <c r="T45" s="224">
        <v>0.17307692307692307</v>
      </c>
      <c r="U45" s="239">
        <v>413</v>
      </c>
      <c r="V45" s="224">
        <v>4.3583535108958835E-2</v>
      </c>
      <c r="W45" s="261">
        <v>6.0080106809078772E-3</v>
      </c>
    </row>
    <row r="46" spans="1:23" x14ac:dyDescent="0.25">
      <c r="A46" s="215" t="str">
        <v>7201-WAlhasani</v>
      </c>
      <c r="B46" s="215" t="str">
        <v>HADARTAW2</v>
      </c>
      <c r="C46" s="215" t="str">
        <v>Makkah</v>
      </c>
      <c r="D46" s="215" t="str">
        <v>Maram Zamzami</v>
      </c>
      <c r="E46" s="221">
        <v>4198.93</v>
      </c>
      <c r="F46" s="221">
        <v>18</v>
      </c>
      <c r="G46" s="222">
        <v>233.27388888888891</v>
      </c>
      <c r="H46" s="221">
        <v>25167</v>
      </c>
      <c r="I46" s="223">
        <v>0.1668426908252871</v>
      </c>
      <c r="J46" s="237">
        <v>3</v>
      </c>
      <c r="K46" s="223">
        <v>4.6955564690615952E-2</v>
      </c>
      <c r="L46" s="236">
        <v>7.2891981777846544E-3</v>
      </c>
      <c r="M46" s="222">
        <v>241.99038461538461</v>
      </c>
      <c r="N46" s="224">
        <v>-3.6020008565007866E-2</v>
      </c>
      <c r="O46" s="222">
        <v>216.52174334140429</v>
      </c>
      <c r="P46" s="224">
        <v>7.7369345401354872E-2</v>
      </c>
      <c r="Q46" s="222">
        <v>192.27245327102793</v>
      </c>
      <c r="R46" s="224">
        <v>0.21324654114682362</v>
      </c>
      <c r="S46" s="239">
        <v>104</v>
      </c>
      <c r="T46" s="224">
        <v>0.17307692307692307</v>
      </c>
      <c r="U46" s="239">
        <v>413</v>
      </c>
      <c r="V46" s="224">
        <v>4.3583535108958835E-2</v>
      </c>
      <c r="W46" s="261">
        <v>6.0080106809078772E-3</v>
      </c>
    </row>
    <row r="47" spans="1:23" x14ac:dyDescent="0.25">
      <c r="A47" s="215" t="str">
        <v>6627-LMikwar</v>
      </c>
      <c r="B47" s="215" t="str">
        <v>HADARTAW2</v>
      </c>
      <c r="C47" s="215" t="str">
        <v>Makkah</v>
      </c>
      <c r="D47" s="215" t="str">
        <v>Maram Zamzami</v>
      </c>
      <c r="E47" s="221">
        <v>4059.72</v>
      </c>
      <c r="F47" s="221">
        <v>17</v>
      </c>
      <c r="G47" s="222">
        <v>238.80705882352939</v>
      </c>
      <c r="H47" s="221">
        <v>25167</v>
      </c>
      <c r="I47" s="223">
        <v>0.16131124091071641</v>
      </c>
      <c r="J47" s="237">
        <v>4</v>
      </c>
      <c r="K47" s="223">
        <v>4.5398814718460981E-2</v>
      </c>
      <c r="L47" s="236">
        <v>7.0475344019347583E-3</v>
      </c>
      <c r="M47" s="222">
        <v>241.99038461538461</v>
      </c>
      <c r="N47" s="224">
        <v>-1.3154761487382038E-2</v>
      </c>
      <c r="O47" s="222">
        <v>216.52174334140429</v>
      </c>
      <c r="P47" s="224">
        <v>0.10292414580731668</v>
      </c>
      <c r="Q47" s="222">
        <v>192.27245327102793</v>
      </c>
      <c r="R47" s="224">
        <v>0.242024298129208</v>
      </c>
      <c r="S47" s="239">
        <v>104</v>
      </c>
      <c r="T47" s="224">
        <v>0.16346153846153846</v>
      </c>
      <c r="U47" s="239">
        <v>413</v>
      </c>
      <c r="V47" s="224">
        <v>4.1162227602905568E-2</v>
      </c>
      <c r="W47" s="261">
        <v>5.6742323097463288E-3</v>
      </c>
    </row>
    <row r="48" spans="1:23" x14ac:dyDescent="0.25">
      <c r="A48" s="215" t="str">
        <v>6492-EAlmuwallad</v>
      </c>
      <c r="B48" s="215" t="str">
        <v>HADARTAW2</v>
      </c>
      <c r="C48" s="215" t="str">
        <v>Makkah</v>
      </c>
      <c r="D48" s="215" t="str">
        <v>Maram Zamzami</v>
      </c>
      <c r="E48" s="221">
        <v>3177.92</v>
      </c>
      <c r="F48" s="221">
        <v>13</v>
      </c>
      <c r="G48" s="222">
        <v>244.45538461538462</v>
      </c>
      <c r="H48" s="221">
        <v>25167</v>
      </c>
      <c r="I48" s="223">
        <v>0.12627329439345175</v>
      </c>
      <c r="J48" s="237">
        <v>5</v>
      </c>
      <c r="K48" s="223">
        <v>3.5537869919622912E-2</v>
      </c>
      <c r="L48" s="236">
        <v>5.5167599062488325E-3</v>
      </c>
      <c r="M48" s="222">
        <v>241.99038461538461</v>
      </c>
      <c r="N48" s="224">
        <v>1.0186355147614012E-2</v>
      </c>
      <c r="O48" s="222">
        <v>216.52174334140429</v>
      </c>
      <c r="P48" s="224">
        <v>0.12901079052340481</v>
      </c>
      <c r="Q48" s="222">
        <v>192.27245327102793</v>
      </c>
      <c r="R48" s="224">
        <v>0.27140097531703855</v>
      </c>
      <c r="S48" s="239">
        <v>104</v>
      </c>
      <c r="T48" s="224">
        <v>0.125</v>
      </c>
      <c r="U48" s="239">
        <v>413</v>
      </c>
      <c r="V48" s="224">
        <v>3.1476997578692496E-2</v>
      </c>
      <c r="W48" s="261">
        <v>4.3391188251001335E-3</v>
      </c>
    </row>
    <row r="49" spans="1:23" x14ac:dyDescent="0.25">
      <c r="A49" s="215" t="str">
        <v>6494-AAlMuwallad</v>
      </c>
      <c r="B49" s="215" t="str">
        <v>HADARTAW2</v>
      </c>
      <c r="C49" s="215" t="str">
        <v>Makkah</v>
      </c>
      <c r="D49" s="215" t="str">
        <v>Maram Zamzami</v>
      </c>
      <c r="E49" s="221">
        <v>2396.96</v>
      </c>
      <c r="F49" s="221">
        <v>9</v>
      </c>
      <c r="G49" s="222">
        <v>266.32888888888891</v>
      </c>
      <c r="H49" s="221">
        <v>25167</v>
      </c>
      <c r="I49" s="223">
        <v>9.524218222275202E-2</v>
      </c>
      <c r="J49" s="237">
        <v>6</v>
      </c>
      <c r="K49" s="223">
        <v>2.6804593156070429E-2</v>
      </c>
      <c r="L49" s="236">
        <v>4.1610401850525501E-3</v>
      </c>
      <c r="M49" s="222">
        <v>241.99038461538461</v>
      </c>
      <c r="N49" s="224">
        <v>0.10057632790735682</v>
      </c>
      <c r="O49" s="222">
        <v>216.52174334140429</v>
      </c>
      <c r="P49" s="224">
        <v>0.2300329970507875</v>
      </c>
      <c r="Q49" s="222">
        <v>192.27245327102793</v>
      </c>
      <c r="R49" s="224">
        <v>0.38516404382416014</v>
      </c>
      <c r="S49" s="239">
        <v>104</v>
      </c>
      <c r="T49" s="224">
        <v>8.6538461538461536E-2</v>
      </c>
      <c r="U49" s="239">
        <v>413</v>
      </c>
      <c r="V49" s="224">
        <v>2.1791767554479417E-2</v>
      </c>
      <c r="W49" s="261">
        <v>3.0040053404539386E-3</v>
      </c>
    </row>
    <row r="50" spans="1:23" x14ac:dyDescent="0.25">
      <c r="A50" s="215" t="str">
        <v>7177-MIbrahim</v>
      </c>
      <c r="B50" s="215" t="str">
        <v>HADARTAW2</v>
      </c>
      <c r="C50" s="215" t="str">
        <v>Makkah</v>
      </c>
      <c r="D50" s="215" t="str">
        <v>Maram Zamzami</v>
      </c>
      <c r="E50" s="221">
        <v>2139.89</v>
      </c>
      <c r="F50" s="221">
        <v>11</v>
      </c>
      <c r="G50" s="222">
        <v>194.53545454545454</v>
      </c>
      <c r="H50" s="221">
        <v>25167</v>
      </c>
      <c r="I50" s="223">
        <v>8.502761552827115E-2</v>
      </c>
      <c r="J50" s="237">
        <v>7</v>
      </c>
      <c r="K50" s="223">
        <v>2.3929844823753231E-2</v>
      </c>
      <c r="L50" s="236">
        <v>3.714775499629573E-3</v>
      </c>
      <c r="M50" s="222">
        <v>241.99038461538461</v>
      </c>
      <c r="N50" s="224">
        <v>-0.19610254409634553</v>
      </c>
      <c r="O50" s="222">
        <v>216.52174334140429</v>
      </c>
      <c r="P50" s="224">
        <v>-0.10154309888999224</v>
      </c>
      <c r="Q50" s="222">
        <v>192.27245327102793</v>
      </c>
      <c r="R50" s="224">
        <v>1.176976335365465E-2</v>
      </c>
      <c r="S50" s="239">
        <v>104</v>
      </c>
      <c r="T50" s="224">
        <v>0.10576923076923077</v>
      </c>
      <c r="U50" s="239">
        <v>413</v>
      </c>
      <c r="V50" s="224">
        <v>2.6634382566585957E-2</v>
      </c>
      <c r="W50" s="261">
        <v>3.6715620827770358E-3</v>
      </c>
    </row>
    <row r="51" spans="1:23" x14ac:dyDescent="0.25">
      <c r="A51" s="215" t="str">
        <v>6926-MBaghdadi</v>
      </c>
      <c r="B51" s="215" t="str">
        <v>HADARTAW2</v>
      </c>
      <c r="C51" s="215" t="str">
        <v>Makkah</v>
      </c>
      <c r="D51" s="215" t="str">
        <v>Maram Zamzami</v>
      </c>
      <c r="E51" s="221">
        <v>409.99</v>
      </c>
      <c r="F51" s="221">
        <v>2</v>
      </c>
      <c r="G51" s="222">
        <v>204.995</v>
      </c>
      <c r="H51" s="221">
        <v>25167</v>
      </c>
      <c r="I51" s="223">
        <v>1.6290777605594629E-2</v>
      </c>
      <c r="J51" s="237">
        <v>8</v>
      </c>
      <c r="K51" s="223">
        <v>4.5848137424309605E-3</v>
      </c>
      <c r="L51" s="236">
        <v>7.1172855010917795E-4</v>
      </c>
      <c r="M51" s="222">
        <v>241.99038461538461</v>
      </c>
      <c r="N51" s="224">
        <v>-0.15287956450907936</v>
      </c>
      <c r="O51" s="222">
        <v>216.52174334140429</v>
      </c>
      <c r="P51" s="224">
        <v>-5.3235962188006636E-2</v>
      </c>
      <c r="Q51" s="222">
        <v>192.27245327102793</v>
      </c>
      <c r="R51" s="224">
        <v>6.616936806354845E-2</v>
      </c>
      <c r="S51" s="239">
        <v>104</v>
      </c>
      <c r="T51" s="224">
        <v>1.9230769230769232E-2</v>
      </c>
      <c r="U51" s="239">
        <v>413</v>
      </c>
      <c r="V51" s="224">
        <v>4.8426150121065378E-3</v>
      </c>
      <c r="W51" s="261">
        <v>6.6755674232309744E-4</v>
      </c>
    </row>
    <row r="52" spans="1:23" x14ac:dyDescent="0.25">
      <c r="A52" s="215" t="str">
        <v>4567-RKutbi</v>
      </c>
      <c r="B52" s="215" t="str">
        <v>HADARTAW2</v>
      </c>
      <c r="C52" s="215" t="str">
        <v>Makkah</v>
      </c>
      <c r="D52" s="215" t="str">
        <v>Maram Zamzami</v>
      </c>
      <c r="E52" s="221">
        <v>210.98</v>
      </c>
      <c r="F52" s="221">
        <v>1</v>
      </c>
      <c r="G52" s="222">
        <v>210.98</v>
      </c>
      <c r="H52" s="221">
        <v>25167</v>
      </c>
      <c r="I52" s="223">
        <v>8.3832002225136086E-3</v>
      </c>
      <c r="J52" s="237">
        <v>9</v>
      </c>
      <c r="K52" s="223">
        <v>2.3593356017904926E-3</v>
      </c>
      <c r="L52" s="236">
        <v>3.6625402937153184E-4</v>
      </c>
      <c r="M52" s="222">
        <v>241.99038461538461</v>
      </c>
      <c r="N52" s="224">
        <v>-0.12814717685858468</v>
      </c>
      <c r="O52" s="222">
        <v>216.52174334140429</v>
      </c>
      <c r="P52" s="224">
        <v>-2.5594396460526636E-2</v>
      </c>
      <c r="Q52" s="222">
        <v>192.27245327102793</v>
      </c>
      <c r="R52" s="224">
        <v>9.7297071997109352E-2</v>
      </c>
      <c r="S52" s="239">
        <v>104</v>
      </c>
      <c r="T52" s="224">
        <v>9.6153846153846159E-3</v>
      </c>
      <c r="U52" s="239">
        <v>413</v>
      </c>
      <c r="V52" s="224">
        <v>2.4213075060532689E-3</v>
      </c>
      <c r="W52" s="261">
        <v>3.3377837116154872E-4</v>
      </c>
    </row>
    <row r="53" spans="1:23" x14ac:dyDescent="0.25">
      <c r="A53" s="215" t="str">
        <v>3622-MAljezany</v>
      </c>
      <c r="B53" s="215" t="str">
        <v>HADIYAFAML</v>
      </c>
      <c r="C53" s="215" t="str">
        <v>Makkah</v>
      </c>
      <c r="D53" s="215" t="str">
        <v>Maram Zamzami</v>
      </c>
      <c r="E53" s="221">
        <v>1252.02</v>
      </c>
      <c r="F53" s="221">
        <v>7</v>
      </c>
      <c r="G53" s="222">
        <v>178.85999999999999</v>
      </c>
      <c r="H53" s="221">
        <v>1437.02</v>
      </c>
      <c r="I53" s="223">
        <v>0.87126136031509649</v>
      </c>
      <c r="J53" s="237">
        <v>1</v>
      </c>
      <c r="K53" s="223">
        <v>1.4001020760990295E-2</v>
      </c>
      <c r="L53" s="236">
        <v>2.1734636925478498E-3</v>
      </c>
      <c r="M53" s="222">
        <v>130.63818181818181</v>
      </c>
      <c r="N53" s="224">
        <v>0.36912499478086591</v>
      </c>
      <c r="O53" s="222">
        <v>216.52174334140429</v>
      </c>
      <c r="P53" s="224">
        <v>-0.17393977510157266</v>
      </c>
      <c r="Q53" s="222">
        <v>192.27245327102793</v>
      </c>
      <c r="R53" s="224">
        <v>-6.9757539589520356E-2</v>
      </c>
      <c r="S53" s="239">
        <v>11</v>
      </c>
      <c r="T53" s="224">
        <v>0.63636363636363635</v>
      </c>
      <c r="U53" s="239">
        <v>413</v>
      </c>
      <c r="V53" s="224">
        <v>1.6949152542372881E-2</v>
      </c>
      <c r="W53" s="261">
        <v>2.3364485981308409E-3</v>
      </c>
    </row>
    <row r="54" spans="1:23" x14ac:dyDescent="0.25">
      <c r="A54" s="215" t="str">
        <v>5388-NAloqbi</v>
      </c>
      <c r="B54" s="215" t="str">
        <v>HADIYAFAML</v>
      </c>
      <c r="C54" s="215" t="str">
        <v>Makkah</v>
      </c>
      <c r="D54" s="215" t="str">
        <v>Maram Zamzami</v>
      </c>
      <c r="E54" s="221">
        <v>110</v>
      </c>
      <c r="F54" s="221">
        <v>3</v>
      </c>
      <c r="G54" s="222">
        <v>36.666666666666664</v>
      </c>
      <c r="H54" s="221">
        <v>1437.02</v>
      </c>
      <c r="I54" s="223">
        <v>7.6547299272104768E-2</v>
      </c>
      <c r="J54" s="237">
        <v>2</v>
      </c>
      <c r="K54" s="223">
        <v>1.230101982163969E-3</v>
      </c>
      <c r="L54" s="236">
        <v>1.909562196931866E-4</v>
      </c>
      <c r="M54" s="222">
        <v>130.63818181818181</v>
      </c>
      <c r="N54" s="224">
        <v>-0.7193265693356159</v>
      </c>
      <c r="O54" s="222">
        <v>216.52174334140429</v>
      </c>
      <c r="P54" s="224">
        <v>-0.83065596045542689</v>
      </c>
      <c r="Q54" s="222">
        <v>192.27245327102793</v>
      </c>
      <c r="R54" s="224">
        <v>-0.80929838859973768</v>
      </c>
      <c r="S54" s="239">
        <v>11</v>
      </c>
      <c r="T54" s="224">
        <v>0.27272727272727271</v>
      </c>
      <c r="U54" s="239">
        <v>413</v>
      </c>
      <c r="V54" s="224">
        <v>7.2639225181598066E-3</v>
      </c>
      <c r="W54" s="261">
        <v>1.0013351134846463E-3</v>
      </c>
    </row>
    <row r="55" spans="1:23" x14ac:dyDescent="0.25">
      <c r="A55" s="215" t="str">
        <v>5493-BAlGhereiby</v>
      </c>
      <c r="B55" s="215" t="str">
        <v>HADIYAFAML</v>
      </c>
      <c r="C55" s="215" t="str">
        <v>Makkah</v>
      </c>
      <c r="D55" s="215" t="str">
        <v>Maram Zamzami</v>
      </c>
      <c r="E55" s="221">
        <v>75</v>
      </c>
      <c r="F55" s="221">
        <v>1</v>
      </c>
      <c r="G55" s="222">
        <v>75</v>
      </c>
      <c r="H55" s="221">
        <v>1437.02</v>
      </c>
      <c r="I55" s="223">
        <v>5.2191340412798708E-2</v>
      </c>
      <c r="J55" s="237">
        <v>3</v>
      </c>
      <c r="K55" s="223">
        <v>8.3870589692997888E-4</v>
      </c>
      <c r="L55" s="236">
        <v>1.3019742251808177E-4</v>
      </c>
      <c r="M55" s="222">
        <v>130.63818181818181</v>
      </c>
      <c r="N55" s="224">
        <v>-0.42589525545921414</v>
      </c>
      <c r="O55" s="222">
        <v>216.52174334140429</v>
      </c>
      <c r="P55" s="224">
        <v>-0.65361446456791872</v>
      </c>
      <c r="Q55" s="222">
        <v>192.27245327102793</v>
      </c>
      <c r="R55" s="224">
        <v>-0.60992852213582704</v>
      </c>
      <c r="S55" s="239">
        <v>11</v>
      </c>
      <c r="T55" s="224">
        <v>9.0909090909090912E-2</v>
      </c>
      <c r="U55" s="239">
        <v>413</v>
      </c>
      <c r="V55" s="224">
        <v>2.4213075060532689E-3</v>
      </c>
      <c r="W55" s="261">
        <v>3.3377837116154872E-4</v>
      </c>
    </row>
    <row r="56" spans="1:23" x14ac:dyDescent="0.25">
      <c r="A56" s="215" t="str">
        <v>5262-RAlmalki</v>
      </c>
      <c r="B56" s="215" t="str">
        <v>HAMAJAZCC</v>
      </c>
      <c r="C56" s="215" t="str">
        <v>Makkah</v>
      </c>
      <c r="D56" s="215" t="str">
        <v>Maram Zamzami</v>
      </c>
      <c r="E56" s="221">
        <v>718.96</v>
      </c>
      <c r="F56" s="221">
        <v>3</v>
      </c>
      <c r="G56" s="222">
        <v>239.65333333333334</v>
      </c>
      <c r="H56" s="221">
        <v>1842.92</v>
      </c>
      <c r="I56" s="223">
        <v>0.3901200269138107</v>
      </c>
      <c r="J56" s="237">
        <v>1</v>
      </c>
      <c r="K56" s="223">
        <v>8.0399465554237028E-3</v>
      </c>
      <c r="L56" s="236">
        <v>1.2480898519146677E-3</v>
      </c>
      <c r="M56" s="222">
        <v>167.53818181818181</v>
      </c>
      <c r="N56" s="224">
        <v>0.43044009868397271</v>
      </c>
      <c r="O56" s="222">
        <v>216.52174334140429</v>
      </c>
      <c r="P56" s="224">
        <v>0.10683264246332946</v>
      </c>
      <c r="Q56" s="222">
        <v>192.27245327102793</v>
      </c>
      <c r="R56" s="224">
        <v>0.2464257321121146</v>
      </c>
      <c r="S56" s="239">
        <v>11</v>
      </c>
      <c r="T56" s="224">
        <v>0.27272727272727271</v>
      </c>
      <c r="U56" s="239">
        <v>413</v>
      </c>
      <c r="V56" s="224">
        <v>7.2639225181598066E-3</v>
      </c>
      <c r="W56" s="261">
        <v>1.0013351134846463E-3</v>
      </c>
    </row>
    <row r="57" spans="1:23" x14ac:dyDescent="0.25">
      <c r="A57" s="215" t="str">
        <v>6820-HAlyami</v>
      </c>
      <c r="B57" s="215" t="str">
        <v>HAMAJAZCC</v>
      </c>
      <c r="C57" s="215" t="str">
        <v>Makkah</v>
      </c>
      <c r="D57" s="215" t="str">
        <v>Maram Zamzami</v>
      </c>
      <c r="E57" s="221">
        <v>685.98</v>
      </c>
      <c r="F57" s="221">
        <v>5</v>
      </c>
      <c r="G57" s="222">
        <v>137.196</v>
      </c>
      <c r="H57" s="221">
        <v>1842.92</v>
      </c>
      <c r="I57" s="223">
        <v>0.37222451327241551</v>
      </c>
      <c r="J57" s="237">
        <v>2</v>
      </c>
      <c r="K57" s="223">
        <v>7.6711396156803587E-3</v>
      </c>
      <c r="L57" s="236">
        <v>1.1908377053193831E-3</v>
      </c>
      <c r="M57" s="222">
        <v>167.53818181818181</v>
      </c>
      <c r="N57" s="224">
        <v>-0.18110607080068586</v>
      </c>
      <c r="O57" s="222">
        <v>216.52174334140429</v>
      </c>
      <c r="P57" s="224">
        <v>-0.36636386774480245</v>
      </c>
      <c r="Q57" s="222">
        <v>192.27245327102793</v>
      </c>
      <c r="R57" s="224">
        <v>-0.28645004697262566</v>
      </c>
      <c r="S57" s="239">
        <v>11</v>
      </c>
      <c r="T57" s="224">
        <v>0.45454545454545453</v>
      </c>
      <c r="U57" s="239">
        <v>413</v>
      </c>
      <c r="V57" s="224">
        <v>1.2106537530266344E-2</v>
      </c>
      <c r="W57" s="261">
        <v>1.6688918558077437E-3</v>
      </c>
    </row>
    <row r="58" spans="1:23" x14ac:dyDescent="0.25">
      <c r="A58" s="215" t="str">
        <v>3652-MMetwally</v>
      </c>
      <c r="B58" s="215" t="str">
        <v>HAMAJAZCC</v>
      </c>
      <c r="C58" s="215" t="str">
        <v>Makkah</v>
      </c>
      <c r="D58" s="215" t="str">
        <v>Maram Zamzami</v>
      </c>
      <c r="E58" s="221">
        <v>437.98</v>
      </c>
      <c r="F58" s="221">
        <v>3</v>
      </c>
      <c r="G58" s="222">
        <v>145.99333333333334</v>
      </c>
      <c r="H58" s="221">
        <v>1842.92</v>
      </c>
      <c r="I58" s="223">
        <v>0.23765545981377378</v>
      </c>
      <c r="J58" s="237">
        <v>3</v>
      </c>
      <c r="K58" s="223">
        <v>4.8978187831652288E-3</v>
      </c>
      <c r="L58" s="236">
        <v>7.6031822819292599E-4</v>
      </c>
      <c r="M58" s="222">
        <v>167.53818181818181</v>
      </c>
      <c r="N58" s="224">
        <v>-0.12859664734949605</v>
      </c>
      <c r="O58" s="222">
        <v>216.52174334140429</v>
      </c>
      <c r="P58" s="224">
        <v>-0.32573361418425351</v>
      </c>
      <c r="Q58" s="222">
        <v>192.27245327102793</v>
      </c>
      <c r="R58" s="224">
        <v>-0.24069552944466455</v>
      </c>
      <c r="S58" s="239">
        <v>11</v>
      </c>
      <c r="T58" s="224">
        <v>0.27272727272727271</v>
      </c>
      <c r="U58" s="239">
        <v>413</v>
      </c>
      <c r="V58" s="224">
        <v>7.2639225181598066E-3</v>
      </c>
      <c r="W58" s="261">
        <v>1.0013351134846463E-3</v>
      </c>
    </row>
    <row r="59" spans="1:23" x14ac:dyDescent="0.25">
      <c r="A59" s="215" t="str">
        <v>3642-UAlGhamdi</v>
      </c>
      <c r="B59" s="215" t="str">
        <v>HAMAKHLTON</v>
      </c>
      <c r="C59" s="215" t="str">
        <v>Makkah</v>
      </c>
      <c r="D59" s="215" t="str">
        <v>Maram Zamzami</v>
      </c>
      <c r="E59" s="221">
        <v>3353.73</v>
      </c>
      <c r="F59" s="221">
        <v>17</v>
      </c>
      <c r="G59" s="222">
        <v>197.27823529411765</v>
      </c>
      <c r="H59" s="221">
        <v>11650.3</v>
      </c>
      <c r="I59" s="223">
        <v>0.28786640687364273</v>
      </c>
      <c r="J59" s="237">
        <v>1</v>
      </c>
      <c r="K59" s="223">
        <v>3.7503908369479706E-2</v>
      </c>
      <c r="L59" s="236">
        <v>5.8219600242875513E-3</v>
      </c>
      <c r="M59" s="222">
        <v>194.17166666666665</v>
      </c>
      <c r="N59" s="224">
        <v>1.5999083083445109E-2</v>
      </c>
      <c r="O59" s="222">
        <v>216.52174334140429</v>
      </c>
      <c r="P59" s="224">
        <v>-8.8875637847345978E-2</v>
      </c>
      <c r="Q59" s="222">
        <v>192.27245327102793</v>
      </c>
      <c r="R59" s="224">
        <v>2.603483722150024E-2</v>
      </c>
      <c r="S59" s="239">
        <v>60</v>
      </c>
      <c r="T59" s="224">
        <v>0.28333333333333333</v>
      </c>
      <c r="U59" s="239">
        <v>413</v>
      </c>
      <c r="V59" s="224">
        <v>4.1162227602905568E-2</v>
      </c>
      <c r="W59" s="261">
        <v>5.6742323097463288E-3</v>
      </c>
    </row>
    <row r="60" spans="1:23" x14ac:dyDescent="0.25">
      <c r="A60" s="215" t="str">
        <v>6048-AAlawadi</v>
      </c>
      <c r="B60" s="215" t="str">
        <v>HAMAKHLTON</v>
      </c>
      <c r="C60" s="215" t="str">
        <v>Makkah</v>
      </c>
      <c r="D60" s="215" t="str">
        <v>Maram Zamzami</v>
      </c>
      <c r="E60" s="221">
        <v>2531.85</v>
      </c>
      <c r="F60" s="221">
        <v>11</v>
      </c>
      <c r="G60" s="222">
        <v>230.16818181818181</v>
      </c>
      <c r="H60" s="221">
        <v>11650.3</v>
      </c>
      <c r="I60" s="223">
        <v>0.21732058401929566</v>
      </c>
      <c r="J60" s="237">
        <v>2</v>
      </c>
      <c r="K60" s="223">
        <v>2.8313033668562228E-2</v>
      </c>
      <c r="L60" s="236">
        <v>4.3952045893654043E-3</v>
      </c>
      <c r="M60" s="222">
        <v>194.17166666666665</v>
      </c>
      <c r="N60" s="224">
        <v>0.18538500374161271</v>
      </c>
      <c r="O60" s="222">
        <v>216.52174334140429</v>
      </c>
      <c r="P60" s="224">
        <v>6.3025718646927187E-2</v>
      </c>
      <c r="Q60" s="222">
        <v>192.27245327102793</v>
      </c>
      <c r="R60" s="224">
        <v>0.19709390452170461</v>
      </c>
      <c r="S60" s="239">
        <v>60</v>
      </c>
      <c r="T60" s="224">
        <v>0.18333333333333332</v>
      </c>
      <c r="U60" s="239">
        <v>413</v>
      </c>
      <c r="V60" s="224">
        <v>2.6634382566585957E-2</v>
      </c>
      <c r="W60" s="261">
        <v>3.6715620827770358E-3</v>
      </c>
    </row>
    <row r="61" spans="1:23" x14ac:dyDescent="0.25">
      <c r="A61" s="215" t="str">
        <v>5696-AAlawed</v>
      </c>
      <c r="B61" s="215" t="str">
        <v>HAMAKHLTON</v>
      </c>
      <c r="C61" s="215" t="str">
        <v>Makkah</v>
      </c>
      <c r="D61" s="215" t="str">
        <v>Maram Zamzami</v>
      </c>
      <c r="E61" s="221">
        <v>2434.9499999999998</v>
      </c>
      <c r="F61" s="221">
        <v>12</v>
      </c>
      <c r="G61" s="222">
        <v>202.91249999999999</v>
      </c>
      <c r="H61" s="221">
        <v>11650.3</v>
      </c>
      <c r="I61" s="223">
        <v>0.20900320163429267</v>
      </c>
      <c r="J61" s="237">
        <v>3</v>
      </c>
      <c r="K61" s="223">
        <v>2.7229425649728693E-2</v>
      </c>
      <c r="L61" s="236">
        <v>4.2269895194720422E-3</v>
      </c>
      <c r="M61" s="222">
        <v>194.17166666666665</v>
      </c>
      <c r="N61" s="224">
        <v>4.5016008171463451E-2</v>
      </c>
      <c r="O61" s="222">
        <v>216.52174334140429</v>
      </c>
      <c r="P61" s="224">
        <v>-6.2853933888504132E-2</v>
      </c>
      <c r="Q61" s="222">
        <v>192.27245327102793</v>
      </c>
      <c r="R61" s="224">
        <v>5.5338383361519972E-2</v>
      </c>
      <c r="S61" s="239">
        <v>60</v>
      </c>
      <c r="T61" s="224">
        <v>0.2</v>
      </c>
      <c r="U61" s="239">
        <v>413</v>
      </c>
      <c r="V61" s="224">
        <v>2.9055690072639227E-2</v>
      </c>
      <c r="W61" s="261">
        <v>4.0053404539385851E-3</v>
      </c>
    </row>
    <row r="62" spans="1:23" x14ac:dyDescent="0.25">
      <c r="A62" s="215" t="str">
        <v>5082-FAteeq</v>
      </c>
      <c r="B62" s="215" t="str">
        <v>HAMAKHLTON</v>
      </c>
      <c r="C62" s="215" t="str">
        <v>Makkah</v>
      </c>
      <c r="D62" s="215" t="str">
        <v>Maram Zamzami</v>
      </c>
      <c r="E62" s="221">
        <v>1331.91</v>
      </c>
      <c r="F62" s="221">
        <v>11</v>
      </c>
      <c r="G62" s="222">
        <v>121.08272727272728</v>
      </c>
      <c r="H62" s="221">
        <v>11650.3</v>
      </c>
      <c r="I62" s="223">
        <v>0.11432409465850667</v>
      </c>
      <c r="J62" s="237">
        <v>4</v>
      </c>
      <c r="K62" s="223">
        <v>1.4894410282400111E-2</v>
      </c>
      <c r="L62" s="236">
        <v>2.3121499870141105E-3</v>
      </c>
      <c r="M62" s="222">
        <v>194.17166666666665</v>
      </c>
      <c r="N62" s="224">
        <v>-0.37641402913541822</v>
      </c>
      <c r="O62" s="222">
        <v>216.52174334140429</v>
      </c>
      <c r="P62" s="224">
        <v>-0.44078259576079593</v>
      </c>
      <c r="Q62" s="222">
        <v>192.27245327102793</v>
      </c>
      <c r="R62" s="224">
        <v>-0.37025442171870226</v>
      </c>
      <c r="S62" s="239">
        <v>60</v>
      </c>
      <c r="T62" s="224">
        <v>0.18333333333333332</v>
      </c>
      <c r="U62" s="239">
        <v>413</v>
      </c>
      <c r="V62" s="224">
        <v>2.6634382566585957E-2</v>
      </c>
      <c r="W62" s="261">
        <v>3.6715620827770358E-3</v>
      </c>
    </row>
    <row r="63" spans="1:23" x14ac:dyDescent="0.25">
      <c r="A63" s="215" t="str">
        <v>5380-FAlJabri</v>
      </c>
      <c r="B63" s="215" t="str">
        <v>HAMAKHLTON</v>
      </c>
      <c r="C63" s="215" t="str">
        <v>Makkah</v>
      </c>
      <c r="D63" s="215" t="str">
        <v>Maram Zamzami</v>
      </c>
      <c r="E63" s="221">
        <v>1015.92</v>
      </c>
      <c r="F63" s="221">
        <v>4</v>
      </c>
      <c r="G63" s="222">
        <v>253.98</v>
      </c>
      <c r="H63" s="221">
        <v>11650.3</v>
      </c>
      <c r="I63" s="223">
        <v>8.7201187952241577E-2</v>
      </c>
      <c r="J63" s="237">
        <v>5</v>
      </c>
      <c r="K63" s="223">
        <v>1.1360774597454722E-2</v>
      </c>
      <c r="L63" s="236">
        <v>1.7636022064609282E-3</v>
      </c>
      <c r="M63" s="222">
        <v>194.17166666666665</v>
      </c>
      <c r="N63" s="224">
        <v>0.3080178192836236</v>
      </c>
      <c r="O63" s="222">
        <v>216.52174334140429</v>
      </c>
      <c r="P63" s="224">
        <v>0.17299997718719995</v>
      </c>
      <c r="Q63" s="222">
        <v>192.27245327102793</v>
      </c>
      <c r="R63" s="224">
        <v>0.32093805263923536</v>
      </c>
      <c r="S63" s="239">
        <v>60</v>
      </c>
      <c r="T63" s="224">
        <v>6.6666666666666666E-2</v>
      </c>
      <c r="U63" s="239">
        <v>413</v>
      </c>
      <c r="V63" s="224">
        <v>9.6852300242130755E-3</v>
      </c>
      <c r="W63" s="261">
        <v>1.3351134846461949E-3</v>
      </c>
    </row>
    <row r="64" spans="1:23" x14ac:dyDescent="0.25">
      <c r="A64" s="215" t="str">
        <v>3659-AGharib</v>
      </c>
      <c r="B64" s="215" t="str">
        <v>HAMAKHLTON</v>
      </c>
      <c r="C64" s="215" t="str">
        <v>Makkah</v>
      </c>
      <c r="D64" s="215" t="str">
        <v>Maram Zamzami</v>
      </c>
      <c r="E64" s="221">
        <v>981.94</v>
      </c>
      <c r="F64" s="221">
        <v>5</v>
      </c>
      <c r="G64" s="222">
        <v>196.38800000000001</v>
      </c>
      <c r="H64" s="221">
        <v>11650.3</v>
      </c>
      <c r="I64" s="223">
        <v>8.4284524862020732E-2</v>
      </c>
      <c r="J64" s="237">
        <v>6</v>
      </c>
      <c r="K64" s="223">
        <v>1.0980784912418979E-2</v>
      </c>
      <c r="L64" s="236">
        <v>1.7046140942320695E-3</v>
      </c>
      <c r="M64" s="222">
        <v>194.17166666666665</v>
      </c>
      <c r="N64" s="224">
        <v>1.1414298344248675E-2</v>
      </c>
      <c r="O64" s="222">
        <v>216.52174334140429</v>
      </c>
      <c r="P64" s="224">
        <v>-9.2987166234192342E-2</v>
      </c>
      <c r="Q64" s="222">
        <v>192.27245327102793</v>
      </c>
      <c r="R64" s="224">
        <v>2.140476526385604E-2</v>
      </c>
      <c r="S64" s="239">
        <v>60</v>
      </c>
      <c r="T64" s="224">
        <v>8.3333333333333329E-2</v>
      </c>
      <c r="U64" s="239">
        <v>413</v>
      </c>
      <c r="V64" s="224">
        <v>1.2106537530266344E-2</v>
      </c>
      <c r="W64" s="261">
        <v>1.6688918558077437E-3</v>
      </c>
    </row>
    <row r="65" spans="1:23" x14ac:dyDescent="0.25">
      <c r="A65" s="215" t="str">
        <v>4565-SAldaadi</v>
      </c>
      <c r="B65" s="215" t="str">
        <v>HAMAKKMAL</v>
      </c>
      <c r="C65" s="215" t="str">
        <v>Makkah</v>
      </c>
      <c r="D65" s="215" t="str">
        <v>Maram Zamzami</v>
      </c>
      <c r="E65" s="221">
        <v>4240.7299999999996</v>
      </c>
      <c r="F65" s="221">
        <v>16</v>
      </c>
      <c r="G65" s="222">
        <v>265.04562499999997</v>
      </c>
      <c r="H65" s="221">
        <v>7126.61</v>
      </c>
      <c r="I65" s="223">
        <v>0.59505571372644217</v>
      </c>
      <c r="J65" s="237">
        <v>1</v>
      </c>
      <c r="K65" s="223">
        <v>4.7423003443838256E-2</v>
      </c>
      <c r="L65" s="236">
        <v>7.3617615412680639E-3</v>
      </c>
      <c r="M65" s="222">
        <v>209.60617647058822</v>
      </c>
      <c r="N65" s="224">
        <v>0.26449339166868957</v>
      </c>
      <c r="O65" s="222">
        <v>216.52174334140429</v>
      </c>
      <c r="P65" s="224">
        <v>0.22410627639407488</v>
      </c>
      <c r="Q65" s="222">
        <v>192.27245327102793</v>
      </c>
      <c r="R65" s="224">
        <v>0.37848984860244506</v>
      </c>
      <c r="S65" s="239">
        <v>34</v>
      </c>
      <c r="T65" s="224">
        <v>0.47058823529411764</v>
      </c>
      <c r="U65" s="239">
        <v>413</v>
      </c>
      <c r="V65" s="224">
        <v>3.8740920096852302E-2</v>
      </c>
      <c r="W65" s="261">
        <v>5.3404539385847796E-3</v>
      </c>
    </row>
    <row r="66" spans="1:23" x14ac:dyDescent="0.25">
      <c r="A66" s="215" t="str">
        <v>5357-NHilali</v>
      </c>
      <c r="B66" s="215" t="str">
        <v>HAMAKKMAL</v>
      </c>
      <c r="C66" s="215" t="str">
        <v>Makkah</v>
      </c>
      <c r="D66" s="215" t="str">
        <v>Maram Zamzami</v>
      </c>
      <c r="E66" s="221">
        <v>1320.95</v>
      </c>
      <c r="F66" s="221">
        <v>8</v>
      </c>
      <c r="G66" s="222">
        <v>165.11875000000001</v>
      </c>
      <c r="H66" s="221">
        <v>7126.61</v>
      </c>
      <c r="I66" s="223">
        <v>0.18535460759042519</v>
      </c>
      <c r="J66" s="237">
        <v>2</v>
      </c>
      <c r="K66" s="223">
        <v>1.4771847393995409E-2</v>
      </c>
      <c r="L66" s="236">
        <v>2.293123803670135E-3</v>
      </c>
      <c r="M66" s="222">
        <v>209.60617647058822</v>
      </c>
      <c r="N66" s="224">
        <v>-0.21224291774069293</v>
      </c>
      <c r="O66" s="222">
        <v>216.52174334140429</v>
      </c>
      <c r="P66" s="224">
        <v>-0.23740337828498703</v>
      </c>
      <c r="Q66" s="222">
        <v>192.27245327102793</v>
      </c>
      <c r="R66" s="224">
        <v>-0.14122513552553451</v>
      </c>
      <c r="S66" s="239">
        <v>34</v>
      </c>
      <c r="T66" s="224">
        <v>0.23529411764705882</v>
      </c>
      <c r="U66" s="239">
        <v>413</v>
      </c>
      <c r="V66" s="224">
        <v>1.9370460048426151E-2</v>
      </c>
      <c r="W66" s="261">
        <v>2.6702269692923898E-3</v>
      </c>
    </row>
    <row r="67" spans="1:23" x14ac:dyDescent="0.25">
      <c r="A67" s="215" t="str">
        <v>4584-MAlmjnoni</v>
      </c>
      <c r="B67" s="215" t="str">
        <v>HAMAKKMAL</v>
      </c>
      <c r="C67" s="215" t="str">
        <v>Makkah</v>
      </c>
      <c r="D67" s="215" t="str">
        <v>Maram Zamzami</v>
      </c>
      <c r="E67" s="221">
        <v>1317.93</v>
      </c>
      <c r="F67" s="221">
        <v>6</v>
      </c>
      <c r="G67" s="222">
        <v>219.655</v>
      </c>
      <c r="H67" s="221">
        <v>7126.61</v>
      </c>
      <c r="I67" s="223">
        <v>0.18493084369707338</v>
      </c>
      <c r="J67" s="237">
        <v>3</v>
      </c>
      <c r="K67" s="223">
        <v>1.4738075503212362E-2</v>
      </c>
      <c r="L67" s="236">
        <v>2.2878811874567401E-3</v>
      </c>
      <c r="M67" s="222">
        <v>209.60617647058822</v>
      </c>
      <c r="N67" s="224">
        <v>4.7941447616749011E-2</v>
      </c>
      <c r="O67" s="222">
        <v>216.52174334140429</v>
      </c>
      <c r="P67" s="224">
        <v>1.447086380445084E-2</v>
      </c>
      <c r="Q67" s="222">
        <v>192.27245327102793</v>
      </c>
      <c r="R67" s="224">
        <v>0.14241533960339892</v>
      </c>
      <c r="S67" s="239">
        <v>34</v>
      </c>
      <c r="T67" s="224">
        <v>0.17647058823529413</v>
      </c>
      <c r="U67" s="239">
        <v>413</v>
      </c>
      <c r="V67" s="224">
        <v>1.4527845036319613E-2</v>
      </c>
      <c r="W67" s="261">
        <v>2.0026702269692926E-3</v>
      </c>
    </row>
    <row r="68" spans="1:23" x14ac:dyDescent="0.25">
      <c r="A68" s="215" t="str">
        <v>5426-FNajjar</v>
      </c>
      <c r="B68" s="215" t="str">
        <v>HAMAKKMAL</v>
      </c>
      <c r="C68" s="215" t="str">
        <v>Makkah</v>
      </c>
      <c r="D68" s="215" t="str">
        <v>Maram Zamzami</v>
      </c>
      <c r="E68" s="221">
        <v>150</v>
      </c>
      <c r="F68" s="221">
        <v>2</v>
      </c>
      <c r="G68" s="222">
        <v>75</v>
      </c>
      <c r="H68" s="221">
        <v>7126.61</v>
      </c>
      <c r="I68" s="223">
        <v>2.1047875497606859E-2</v>
      </c>
      <c r="J68" s="237">
        <v>4</v>
      </c>
      <c r="K68" s="223">
        <v>1.6774117938599578E-3</v>
      </c>
      <c r="L68" s="236">
        <v>2.6039484503616355E-4</v>
      </c>
      <c r="M68" s="222">
        <v>209.60617647058822</v>
      </c>
      <c r="N68" s="224">
        <v>-0.64218611654068347</v>
      </c>
      <c r="O68" s="222">
        <v>216.52174334140429</v>
      </c>
      <c r="P68" s="224">
        <v>-0.65361446456791872</v>
      </c>
      <c r="Q68" s="222">
        <v>192.27245327102793</v>
      </c>
      <c r="R68" s="224">
        <v>-0.60992852213582704</v>
      </c>
      <c r="S68" s="239">
        <v>34</v>
      </c>
      <c r="T68" s="224">
        <v>5.8823529411764705E-2</v>
      </c>
      <c r="U68" s="239">
        <v>413</v>
      </c>
      <c r="V68" s="224">
        <v>4.8426150121065378E-3</v>
      </c>
      <c r="W68" s="261">
        <v>6.6755674232309744E-4</v>
      </c>
    </row>
    <row r="69" spans="1:23" x14ac:dyDescent="0.25">
      <c r="A69" s="215" t="str">
        <v>4568-YAlayani</v>
      </c>
      <c r="B69" s="215" t="str">
        <v>HAMAKKMAL</v>
      </c>
      <c r="C69" s="215" t="str">
        <v>Makkah</v>
      </c>
      <c r="D69" s="215" t="str">
        <v>Maram Zamzami</v>
      </c>
      <c r="E69" s="221">
        <v>97</v>
      </c>
      <c r="F69" s="221">
        <v>2</v>
      </c>
      <c r="G69" s="222">
        <v>48.5</v>
      </c>
      <c r="H69" s="221">
        <v>7126.61</v>
      </c>
      <c r="I69" s="223">
        <v>1.3610959488452435E-2</v>
      </c>
      <c r="J69" s="237">
        <v>5</v>
      </c>
      <c r="K69" s="223">
        <v>1.0847262933627727E-3</v>
      </c>
      <c r="L69" s="236">
        <v>1.6838866645671908E-4</v>
      </c>
      <c r="M69" s="222">
        <v>209.60617647058822</v>
      </c>
      <c r="N69" s="224">
        <v>-0.76861368869630864</v>
      </c>
      <c r="O69" s="222">
        <v>216.52174334140429</v>
      </c>
      <c r="P69" s="224">
        <v>-0.77600402042058747</v>
      </c>
      <c r="Q69" s="222">
        <v>192.27245327102793</v>
      </c>
      <c r="R69" s="224">
        <v>-0.74775377764783479</v>
      </c>
      <c r="S69" s="239">
        <v>34</v>
      </c>
      <c r="T69" s="224">
        <v>5.8823529411764705E-2</v>
      </c>
      <c r="U69" s="239">
        <v>413</v>
      </c>
      <c r="V69" s="224">
        <v>4.8426150121065378E-3</v>
      </c>
      <c r="W69" s="261">
        <v>6.6755674232309744E-4</v>
      </c>
    </row>
    <row r="70" spans="1:23" x14ac:dyDescent="0.25">
      <c r="A70" s="215" t="str">
        <v>3670-FAlMajnuni</v>
      </c>
      <c r="B70" s="215" t="str">
        <v>HAMYANYARD</v>
      </c>
      <c r="C70" s="215" t="str">
        <v>Makkah</v>
      </c>
      <c r="D70" s="215" t="str">
        <v>Maram Zamzami</v>
      </c>
      <c r="E70" s="221">
        <v>2142.84</v>
      </c>
      <c r="F70" s="221">
        <v>12</v>
      </c>
      <c r="G70" s="222">
        <v>178.57000000000002</v>
      </c>
      <c r="H70" s="221">
        <v>4396.7</v>
      </c>
      <c r="I70" s="223">
        <v>0.48737462187549757</v>
      </c>
      <c r="J70" s="237">
        <v>1</v>
      </c>
      <c r="K70" s="223">
        <v>2.3962833922365815E-2</v>
      </c>
      <c r="L70" s="236">
        <v>3.7198965982486181E-3</v>
      </c>
      <c r="M70" s="222">
        <v>175.86799999999999</v>
      </c>
      <c r="N70" s="224">
        <v>1.5363795573953398E-2</v>
      </c>
      <c r="O70" s="222">
        <v>216.52174334140429</v>
      </c>
      <c r="P70" s="224">
        <v>-0.17527913250524318</v>
      </c>
      <c r="Q70" s="222">
        <v>192.27245327102793</v>
      </c>
      <c r="R70" s="224">
        <v>-7.1265815970595003E-2</v>
      </c>
      <c r="S70" s="239">
        <v>25</v>
      </c>
      <c r="T70" s="224">
        <v>0.48</v>
      </c>
      <c r="U70" s="239">
        <v>413</v>
      </c>
      <c r="V70" s="224">
        <v>2.9055690072639227E-2</v>
      </c>
      <c r="W70" s="261">
        <v>4.0053404539385851E-3</v>
      </c>
    </row>
    <row r="71" spans="1:23" x14ac:dyDescent="0.25">
      <c r="A71" s="215" t="str">
        <v>3678-SAlMaliki</v>
      </c>
      <c r="B71" s="215" t="str">
        <v>HAMYANYARD</v>
      </c>
      <c r="C71" s="215" t="str">
        <v>Makkah</v>
      </c>
      <c r="D71" s="215" t="str">
        <v>Maram Zamzami</v>
      </c>
      <c r="E71" s="221">
        <v>951.96</v>
      </c>
      <c r="F71" s="221">
        <v>6</v>
      </c>
      <c r="G71" s="222">
        <v>158.66</v>
      </c>
      <c r="H71" s="221">
        <v>4396.7</v>
      </c>
      <c r="I71" s="223">
        <v>0.21651693315441128</v>
      </c>
      <c r="J71" s="237">
        <v>2</v>
      </c>
      <c r="K71" s="223">
        <v>1.0645526208552837E-2</v>
      </c>
      <c r="L71" s="236">
        <v>1.6525698445375083E-3</v>
      </c>
      <c r="M71" s="222">
        <v>175.86799999999999</v>
      </c>
      <c r="N71" s="224">
        <v>-9.7846111856619733E-2</v>
      </c>
      <c r="O71" s="222">
        <v>216.52174334140429</v>
      </c>
      <c r="P71" s="224">
        <v>-0.26723294597794656</v>
      </c>
      <c r="Q71" s="222">
        <v>192.27245327102793</v>
      </c>
      <c r="R71" s="224">
        <v>-0.17481679096093761</v>
      </c>
      <c r="S71" s="239">
        <v>25</v>
      </c>
      <c r="T71" s="224">
        <v>0.24</v>
      </c>
      <c r="U71" s="239">
        <v>413</v>
      </c>
      <c r="V71" s="224">
        <v>1.4527845036319613E-2</v>
      </c>
      <c r="W71" s="261">
        <v>2.0026702269692926E-3</v>
      </c>
    </row>
    <row r="72" spans="1:23" x14ac:dyDescent="0.25">
      <c r="A72" s="215" t="str">
        <v>4896-OKharashe</v>
      </c>
      <c r="B72" s="215" t="str">
        <v>HAMYANYARD</v>
      </c>
      <c r="C72" s="215" t="str">
        <v>Makkah</v>
      </c>
      <c r="D72" s="215" t="str">
        <v>Maram Zamzami</v>
      </c>
      <c r="E72" s="221">
        <v>940.92</v>
      </c>
      <c r="F72" s="221">
        <v>5</v>
      </c>
      <c r="G72" s="222">
        <v>188.184</v>
      </c>
      <c r="H72" s="221">
        <v>4396.7</v>
      </c>
      <c r="I72" s="223">
        <v>0.21400595901471559</v>
      </c>
      <c r="J72" s="237">
        <v>3</v>
      </c>
      <c r="K72" s="223">
        <v>1.0522068700524743E-2</v>
      </c>
      <c r="L72" s="236">
        <v>1.6334047839428466E-3</v>
      </c>
      <c r="M72" s="222">
        <v>175.86799999999999</v>
      </c>
      <c r="N72" s="224">
        <v>7.0029795073577983E-2</v>
      </c>
      <c r="O72" s="222">
        <v>216.52174334140429</v>
      </c>
      <c r="P72" s="224">
        <v>-0.1308771253366563</v>
      </c>
      <c r="Q72" s="222">
        <v>192.27245327102793</v>
      </c>
      <c r="R72" s="224">
        <v>-2.1263853461446325E-2</v>
      </c>
      <c r="S72" s="239">
        <v>25</v>
      </c>
      <c r="T72" s="224">
        <v>0.2</v>
      </c>
      <c r="U72" s="239">
        <v>413</v>
      </c>
      <c r="V72" s="224">
        <v>1.2106537530266344E-2</v>
      </c>
      <c r="W72" s="261">
        <v>1.6688918558077437E-3</v>
      </c>
    </row>
    <row r="73" spans="1:23" x14ac:dyDescent="0.25">
      <c r="A73" s="215" t="str">
        <v>3648-HJan</v>
      </c>
      <c r="B73" s="215" t="str">
        <v>HAMYANYARD</v>
      </c>
      <c r="C73" s="215" t="str">
        <v>Makkah</v>
      </c>
      <c r="D73" s="215" t="str">
        <v>Maram Zamzami</v>
      </c>
      <c r="E73" s="221">
        <v>360.98</v>
      </c>
      <c r="F73" s="221">
        <v>2</v>
      </c>
      <c r="G73" s="222">
        <v>180.49</v>
      </c>
      <c r="H73" s="221">
        <v>4396.7</v>
      </c>
      <c r="I73" s="223">
        <v>8.2102485955375629E-2</v>
      </c>
      <c r="J73" s="237">
        <v>4</v>
      </c>
      <c r="K73" s="223">
        <v>4.0367473956504502E-3</v>
      </c>
      <c r="L73" s="236">
        <v>6.2664887440769539E-4</v>
      </c>
      <c r="M73" s="222">
        <v>175.86799999999999</v>
      </c>
      <c r="N73" s="224">
        <v>2.6281074442195296E-2</v>
      </c>
      <c r="O73" s="222">
        <v>216.52174334140429</v>
      </c>
      <c r="P73" s="224">
        <v>-0.16641166279818198</v>
      </c>
      <c r="Q73" s="222">
        <v>192.27245327102793</v>
      </c>
      <c r="R73" s="224">
        <v>-6.1279986137272258E-2</v>
      </c>
      <c r="S73" s="239">
        <v>25</v>
      </c>
      <c r="T73" s="224">
        <v>0.08</v>
      </c>
      <c r="U73" s="239">
        <v>413</v>
      </c>
      <c r="V73" s="224">
        <v>4.8426150121065378E-3</v>
      </c>
      <c r="W73" s="261">
        <v>6.6755674232309744E-4</v>
      </c>
    </row>
    <row r="74" spans="1:23" x14ac:dyDescent="0.25">
      <c r="A74" s="215" t="str">
        <v>6050-AAlsalam</v>
      </c>
      <c r="B74" s="215" t="str">
        <v>HATASSPLZ</v>
      </c>
      <c r="C74" s="215" t="str">
        <v>Makkah</v>
      </c>
      <c r="D74" s="215" t="str">
        <v>Maram Zamzami</v>
      </c>
      <c r="E74" s="221">
        <v>1290.92</v>
      </c>
      <c r="F74" s="221">
        <v>7</v>
      </c>
      <c r="G74" s="222">
        <v>184.41714285714286</v>
      </c>
      <c r="H74" s="221">
        <v>1937.89</v>
      </c>
      <c r="I74" s="223">
        <v>0.66614720133753724</v>
      </c>
      <c r="J74" s="237">
        <v>1</v>
      </c>
      <c r="K74" s="223">
        <v>1.4436029552864646E-2</v>
      </c>
      <c r="L74" s="236">
        <v>2.2409927556938949E-3</v>
      </c>
      <c r="M74" s="222">
        <v>193.78900000000002</v>
      </c>
      <c r="N74" s="224">
        <v>-4.8361140946375447E-2</v>
      </c>
      <c r="O74" s="222">
        <v>216.52174334140429</v>
      </c>
      <c r="P74" s="224">
        <v>-0.14827425638098601</v>
      </c>
      <c r="Q74" s="222">
        <v>192.27245327102793</v>
      </c>
      <c r="R74" s="224">
        <v>-4.0855100563013003E-2</v>
      </c>
      <c r="S74" s="239">
        <v>10</v>
      </c>
      <c r="T74" s="224">
        <v>0.7</v>
      </c>
      <c r="U74" s="239">
        <v>413</v>
      </c>
      <c r="V74" s="224">
        <v>1.6949152542372881E-2</v>
      </c>
      <c r="W74" s="261">
        <v>2.3364485981308409E-3</v>
      </c>
    </row>
    <row r="75" spans="1:23" x14ac:dyDescent="0.25">
      <c r="A75" s="215" t="str">
        <v>5383-SAlsharif</v>
      </c>
      <c r="B75" s="215" t="str">
        <v>HATASSPLZ</v>
      </c>
      <c r="C75" s="215" t="str">
        <v>Makkah</v>
      </c>
      <c r="D75" s="215" t="str">
        <v>Maram Zamzami</v>
      </c>
      <c r="E75" s="221">
        <v>646.97</v>
      </c>
      <c r="F75" s="221">
        <v>3</v>
      </c>
      <c r="G75" s="222">
        <v>215.65666666666667</v>
      </c>
      <c r="H75" s="221">
        <v>1937.89</v>
      </c>
      <c r="I75" s="223">
        <v>0.33385279866246276</v>
      </c>
      <c r="J75" s="237">
        <v>2</v>
      </c>
      <c r="K75" s="223">
        <v>7.2349007218238462E-3</v>
      </c>
      <c r="L75" s="236">
        <v>1.1231176859536449E-3</v>
      </c>
      <c r="M75" s="222">
        <v>193.78900000000002</v>
      </c>
      <c r="N75" s="224">
        <v>0.11284266220820927</v>
      </c>
      <c r="O75" s="222">
        <v>216.52174334140429</v>
      </c>
      <c r="P75" s="224">
        <v>-3.9953339622506023E-3</v>
      </c>
      <c r="Q75" s="222">
        <v>192.27245327102793</v>
      </c>
      <c r="R75" s="224">
        <v>0.12162019570570659</v>
      </c>
      <c r="S75" s="239">
        <v>10</v>
      </c>
      <c r="T75" s="224">
        <v>0.3</v>
      </c>
      <c r="U75" s="239">
        <v>413</v>
      </c>
      <c r="V75" s="224">
        <v>7.2639225181598066E-3</v>
      </c>
      <c r="W75" s="261">
        <v>1.0013351134846463E-3</v>
      </c>
    </row>
    <row r="76" spans="1:23" x14ac:dyDescent="0.25">
      <c r="A76" s="215"/>
      <c r="B76" s="215"/>
      <c r="C76" s="215"/>
      <c r="D76" s="215"/>
      <c r="E76" s="221"/>
      <c r="F76" s="221"/>
      <c r="G76" s="222"/>
      <c r="H76" s="221"/>
      <c r="I76" s="223"/>
      <c r="J76" s="237"/>
      <c r="K76" s="223"/>
      <c r="L76" s="236"/>
      <c r="M76" s="222"/>
      <c r="N76" s="224"/>
      <c r="O76" s="222"/>
      <c r="P76" s="224"/>
      <c r="Q76" s="222"/>
      <c r="R76" s="224"/>
      <c r="S76" s="239"/>
      <c r="T76" s="224"/>
      <c r="U76" s="239"/>
      <c r="V76" s="224"/>
      <c r="W76" s="261"/>
    </row>
    <row r="77" spans="1:23" x14ac:dyDescent="0.25">
      <c r="A77" s="215"/>
      <c r="B77" s="215"/>
      <c r="C77" s="215"/>
      <c r="D77" s="215"/>
      <c r="E77" s="221"/>
      <c r="F77" s="221"/>
      <c r="G77" s="222"/>
      <c r="H77" s="221"/>
      <c r="I77" s="223"/>
      <c r="J77" s="237"/>
      <c r="K77" s="223"/>
      <c r="L77" s="236"/>
      <c r="M77" s="222"/>
      <c r="N77" s="224"/>
      <c r="O77" s="222"/>
      <c r="P77" s="224"/>
      <c r="Q77" s="222"/>
      <c r="R77" s="224"/>
      <c r="S77" s="239"/>
      <c r="T77" s="224"/>
      <c r="U77" s="239"/>
      <c r="V77" s="224"/>
      <c r="W77" s="261"/>
    </row>
    <row r="78" spans="1:23" x14ac:dyDescent="0.25">
      <c r="A78" s="215"/>
      <c r="B78" s="215"/>
      <c r="C78" s="215"/>
      <c r="D78" s="215"/>
      <c r="E78" s="221"/>
      <c r="F78" s="221"/>
      <c r="G78" s="222"/>
      <c r="H78" s="221"/>
      <c r="I78" s="223"/>
      <c r="J78" s="237"/>
      <c r="K78" s="223"/>
      <c r="L78" s="236"/>
      <c r="M78" s="222"/>
      <c r="N78" s="224"/>
      <c r="O78" s="222"/>
      <c r="P78" s="224"/>
      <c r="Q78" s="222"/>
      <c r="R78" s="224"/>
      <c r="S78" s="239"/>
      <c r="T78" s="224"/>
      <c r="U78" s="239"/>
      <c r="V78" s="224"/>
      <c r="W78" s="261"/>
    </row>
    <row r="79" spans="1:23" x14ac:dyDescent="0.25">
      <c r="A79" s="215"/>
      <c r="B79" s="215"/>
      <c r="C79" s="215"/>
      <c r="D79" s="215"/>
      <c r="E79" s="221"/>
      <c r="F79" s="221"/>
      <c r="G79" s="222"/>
      <c r="H79" s="221"/>
      <c r="I79" s="223"/>
      <c r="J79" s="237"/>
      <c r="K79" s="223"/>
      <c r="L79" s="236"/>
      <c r="M79" s="222"/>
      <c r="N79" s="224"/>
      <c r="O79" s="222"/>
      <c r="P79" s="224"/>
      <c r="Q79" s="222"/>
      <c r="R79" s="224"/>
      <c r="S79" s="239"/>
      <c r="T79" s="224"/>
      <c r="U79" s="239"/>
      <c r="V79" s="224"/>
      <c r="W79" s="261"/>
    </row>
    <row r="80" spans="1:23" x14ac:dyDescent="0.25">
      <c r="A80" s="215"/>
      <c r="B80" s="215"/>
      <c r="C80" s="215"/>
      <c r="D80" s="215"/>
      <c r="E80" s="221"/>
      <c r="F80" s="221"/>
      <c r="G80" s="222"/>
      <c r="H80" s="221"/>
      <c r="I80" s="223"/>
      <c r="J80" s="237"/>
      <c r="K80" s="223"/>
      <c r="L80" s="236"/>
      <c r="M80" s="222"/>
      <c r="N80" s="224"/>
      <c r="O80" s="222"/>
      <c r="P80" s="224"/>
      <c r="Q80" s="222"/>
      <c r="R80" s="224"/>
      <c r="S80" s="239"/>
      <c r="T80" s="224"/>
      <c r="U80" s="239"/>
      <c r="V80" s="224"/>
      <c r="W80" s="261"/>
    </row>
    <row r="81" spans="1:23" x14ac:dyDescent="0.25">
      <c r="A81" s="215"/>
      <c r="B81" s="215"/>
      <c r="C81" s="215"/>
      <c r="D81" s="215"/>
      <c r="E81" s="221"/>
      <c r="F81" s="221"/>
      <c r="G81" s="222"/>
      <c r="H81" s="221"/>
      <c r="I81" s="223"/>
      <c r="J81" s="237"/>
      <c r="K81" s="223"/>
      <c r="L81" s="236"/>
      <c r="M81" s="222"/>
      <c r="N81" s="224"/>
      <c r="O81" s="222"/>
      <c r="P81" s="224"/>
      <c r="Q81" s="222"/>
      <c r="R81" s="224"/>
      <c r="S81" s="239"/>
      <c r="T81" s="224"/>
      <c r="U81" s="239"/>
      <c r="V81" s="224"/>
      <c r="W81" s="261"/>
    </row>
    <row r="82" spans="1:23" x14ac:dyDescent="0.25">
      <c r="A82" s="215"/>
      <c r="B82" s="215"/>
      <c r="C82" s="215"/>
      <c r="D82" s="215"/>
      <c r="E82" s="221"/>
      <c r="F82" s="221"/>
      <c r="G82" s="222"/>
      <c r="H82" s="221"/>
      <c r="I82" s="223"/>
      <c r="J82" s="237"/>
      <c r="K82" s="223"/>
      <c r="L82" s="236"/>
      <c r="M82" s="222"/>
      <c r="N82" s="224"/>
      <c r="O82" s="222"/>
      <c r="P82" s="224"/>
      <c r="Q82" s="222"/>
      <c r="R82" s="224"/>
      <c r="S82" s="239"/>
      <c r="T82" s="224"/>
      <c r="U82" s="239"/>
      <c r="V82" s="224"/>
      <c r="W82" s="261"/>
    </row>
    <row r="83" spans="1:23" x14ac:dyDescent="0.25">
      <c r="A83" s="215"/>
      <c r="B83" s="215"/>
      <c r="C83" s="215"/>
      <c r="D83" s="215"/>
      <c r="E83" s="221"/>
      <c r="F83" s="221"/>
      <c r="G83" s="222"/>
      <c r="H83" s="221"/>
      <c r="I83" s="223"/>
      <c r="J83" s="237"/>
      <c r="K83" s="223"/>
      <c r="L83" s="236"/>
      <c r="M83" s="222"/>
      <c r="N83" s="224"/>
      <c r="O83" s="222"/>
      <c r="P83" s="224"/>
      <c r="Q83" s="222"/>
      <c r="R83" s="224"/>
      <c r="S83" s="239"/>
      <c r="T83" s="224"/>
      <c r="U83" s="239"/>
      <c r="V83" s="224"/>
      <c r="W83" s="261"/>
    </row>
    <row r="84" spans="1:23" x14ac:dyDescent="0.25">
      <c r="A84" s="215"/>
      <c r="B84" s="215"/>
      <c r="C84" s="215"/>
      <c r="D84" s="215"/>
      <c r="E84" s="221"/>
      <c r="F84" s="221"/>
      <c r="G84" s="222"/>
      <c r="H84" s="221"/>
      <c r="I84" s="223"/>
      <c r="J84" s="237"/>
      <c r="K84" s="223"/>
      <c r="L84" s="236"/>
      <c r="M84" s="222"/>
      <c r="N84" s="224"/>
      <c r="O84" s="222"/>
      <c r="P84" s="224"/>
      <c r="Q84" s="222"/>
      <c r="R84" s="224"/>
      <c r="S84" s="239"/>
      <c r="T84" s="224"/>
      <c r="U84" s="239"/>
      <c r="V84" s="224"/>
      <c r="W84" s="261"/>
    </row>
    <row r="85" spans="1:23" x14ac:dyDescent="0.25">
      <c r="A85" s="215"/>
      <c r="B85" s="215"/>
      <c r="C85" s="215"/>
      <c r="D85" s="215"/>
      <c r="E85" s="221"/>
      <c r="F85" s="221"/>
      <c r="G85" s="222"/>
      <c r="H85" s="221"/>
      <c r="I85" s="223"/>
      <c r="J85" s="237"/>
      <c r="K85" s="223"/>
      <c r="L85" s="236"/>
      <c r="M85" s="222"/>
      <c r="N85" s="224"/>
      <c r="O85" s="222"/>
      <c r="P85" s="224"/>
      <c r="Q85" s="222"/>
      <c r="R85" s="224"/>
      <c r="S85" s="239"/>
      <c r="T85" s="224"/>
      <c r="U85" s="239"/>
      <c r="V85" s="224"/>
      <c r="W85" s="261"/>
    </row>
    <row r="86" spans="1:23" x14ac:dyDescent="0.25">
      <c r="A86" s="215"/>
      <c r="B86" s="215"/>
      <c r="C86" s="215"/>
      <c r="D86" s="215"/>
      <c r="E86" s="221"/>
      <c r="F86" s="221"/>
      <c r="G86" s="222"/>
      <c r="H86" s="221"/>
      <c r="I86" s="223"/>
      <c r="J86" s="237"/>
      <c r="K86" s="223"/>
      <c r="L86" s="236"/>
      <c r="M86" s="222"/>
      <c r="N86" s="224"/>
      <c r="O86" s="222"/>
      <c r="P86" s="224"/>
      <c r="Q86" s="222"/>
      <c r="R86" s="224"/>
      <c r="S86" s="239"/>
      <c r="T86" s="224"/>
      <c r="U86" s="239"/>
      <c r="V86" s="224"/>
      <c r="W86" s="261"/>
    </row>
    <row r="87" spans="1:23" x14ac:dyDescent="0.25">
      <c r="A87" s="215"/>
      <c r="B87" s="215"/>
      <c r="C87" s="215"/>
      <c r="D87" s="215"/>
      <c r="E87" s="221"/>
      <c r="F87" s="221"/>
      <c r="G87" s="222"/>
      <c r="H87" s="221"/>
      <c r="I87" s="223"/>
      <c r="J87" s="237"/>
      <c r="K87" s="223"/>
      <c r="L87" s="236"/>
      <c r="M87" s="222"/>
      <c r="N87" s="224"/>
      <c r="O87" s="222"/>
      <c r="P87" s="224"/>
      <c r="Q87" s="222"/>
      <c r="R87" s="224"/>
      <c r="S87" s="239"/>
      <c r="T87" s="224"/>
      <c r="U87" s="239"/>
      <c r="V87" s="224"/>
      <c r="W87" s="261"/>
    </row>
    <row r="88" spans="1:23" x14ac:dyDescent="0.25">
      <c r="A88" s="215"/>
      <c r="B88" s="215"/>
      <c r="C88" s="215"/>
      <c r="D88" s="215"/>
      <c r="E88" s="221"/>
      <c r="F88" s="221"/>
      <c r="G88" s="222"/>
      <c r="H88" s="221"/>
      <c r="I88" s="223"/>
      <c r="J88" s="237"/>
      <c r="K88" s="223"/>
      <c r="L88" s="236"/>
      <c r="M88" s="222"/>
      <c r="N88" s="224"/>
      <c r="O88" s="222"/>
      <c r="P88" s="224"/>
      <c r="Q88" s="222"/>
      <c r="R88" s="224"/>
      <c r="S88" s="239"/>
      <c r="T88" s="224"/>
      <c r="U88" s="239"/>
      <c r="V88" s="224"/>
      <c r="W88" s="261"/>
    </row>
    <row r="89" spans="1:23" x14ac:dyDescent="0.25">
      <c r="A89" s="215"/>
      <c r="B89" s="215"/>
      <c r="C89" s="215"/>
      <c r="D89" s="215"/>
      <c r="E89" s="221"/>
      <c r="F89" s="221"/>
      <c r="G89" s="222"/>
      <c r="H89" s="221"/>
      <c r="I89" s="223"/>
      <c r="J89" s="237"/>
      <c r="K89" s="223"/>
      <c r="L89" s="236"/>
      <c r="M89" s="222"/>
      <c r="N89" s="224"/>
      <c r="O89" s="222"/>
      <c r="P89" s="224"/>
      <c r="Q89" s="222"/>
      <c r="R89" s="224"/>
      <c r="S89" s="239"/>
      <c r="T89" s="224"/>
      <c r="U89" s="239"/>
      <c r="V89" s="224"/>
      <c r="W89" s="261"/>
    </row>
    <row r="90" spans="1:23" x14ac:dyDescent="0.25">
      <c r="A90" s="215"/>
      <c r="B90" s="215"/>
      <c r="C90" s="215"/>
      <c r="D90" s="215"/>
      <c r="E90" s="221"/>
      <c r="F90" s="221"/>
      <c r="G90" s="222"/>
      <c r="H90" s="221"/>
      <c r="I90" s="223"/>
      <c r="J90" s="237"/>
      <c r="K90" s="223"/>
      <c r="L90" s="236"/>
      <c r="M90" s="222"/>
      <c r="N90" s="224"/>
      <c r="O90" s="222"/>
      <c r="P90" s="224"/>
      <c r="Q90" s="222"/>
      <c r="R90" s="224"/>
      <c r="S90" s="239"/>
      <c r="T90" s="224"/>
      <c r="U90" s="239"/>
      <c r="V90" s="224"/>
      <c r="W90" s="261"/>
    </row>
    <row r="91" spans="1:23" x14ac:dyDescent="0.25">
      <c r="A91" s="215"/>
      <c r="B91" s="215"/>
      <c r="C91" s="215"/>
      <c r="D91" s="215"/>
      <c r="E91" s="221"/>
      <c r="F91" s="221"/>
      <c r="G91" s="222"/>
      <c r="H91" s="221"/>
      <c r="I91" s="223"/>
      <c r="J91" s="237"/>
      <c r="K91" s="223"/>
      <c r="L91" s="236"/>
      <c r="M91" s="222"/>
      <c r="N91" s="224"/>
      <c r="O91" s="222"/>
      <c r="P91" s="224"/>
      <c r="Q91" s="222"/>
      <c r="R91" s="224"/>
      <c r="S91" s="239"/>
      <c r="T91" s="224"/>
      <c r="U91" s="239"/>
      <c r="V91" s="224"/>
      <c r="W91" s="261"/>
    </row>
    <row r="92" spans="1:23" x14ac:dyDescent="0.25">
      <c r="A92" s="215"/>
      <c r="B92" s="215"/>
      <c r="C92" s="215"/>
      <c r="D92" s="215"/>
      <c r="E92" s="221"/>
      <c r="F92" s="221"/>
      <c r="G92" s="222"/>
      <c r="H92" s="221"/>
      <c r="I92" s="223"/>
      <c r="J92" s="237"/>
      <c r="K92" s="223"/>
      <c r="L92" s="236"/>
      <c r="M92" s="222"/>
      <c r="N92" s="224"/>
      <c r="O92" s="222"/>
      <c r="P92" s="224"/>
      <c r="Q92" s="222"/>
      <c r="R92" s="224"/>
      <c r="S92" s="239"/>
      <c r="T92" s="224"/>
      <c r="U92" s="239"/>
      <c r="V92" s="224"/>
      <c r="W92" s="261"/>
    </row>
    <row r="93" spans="1:23" x14ac:dyDescent="0.25">
      <c r="A93" s="215"/>
      <c r="B93" s="215"/>
      <c r="C93" s="215"/>
      <c r="D93" s="215"/>
      <c r="E93" s="221"/>
      <c r="F93" s="221"/>
      <c r="G93" s="222"/>
      <c r="H93" s="221"/>
      <c r="I93" s="223"/>
      <c r="J93" s="237"/>
      <c r="K93" s="223"/>
      <c r="L93" s="236"/>
      <c r="M93" s="222"/>
      <c r="N93" s="224"/>
      <c r="O93" s="222"/>
      <c r="P93" s="224"/>
      <c r="Q93" s="222"/>
      <c r="R93" s="224"/>
      <c r="S93" s="239"/>
      <c r="T93" s="224"/>
      <c r="U93" s="239"/>
      <c r="V93" s="224"/>
      <c r="W93" s="261"/>
    </row>
    <row r="94" spans="1:23" x14ac:dyDescent="0.25">
      <c r="A94" s="215"/>
      <c r="B94" s="215"/>
      <c r="C94" s="215"/>
      <c r="D94" s="215"/>
      <c r="E94" s="221"/>
      <c r="F94" s="221"/>
      <c r="G94" s="222"/>
      <c r="H94" s="221"/>
      <c r="I94" s="223"/>
      <c r="J94" s="237"/>
      <c r="K94" s="223"/>
      <c r="L94" s="236"/>
      <c r="M94" s="222"/>
      <c r="N94" s="224"/>
      <c r="O94" s="222"/>
      <c r="P94" s="224"/>
      <c r="Q94" s="222"/>
      <c r="R94" s="224"/>
      <c r="S94" s="239"/>
      <c r="T94" s="224"/>
      <c r="U94" s="239"/>
      <c r="V94" s="224"/>
      <c r="W94" s="261"/>
    </row>
    <row r="95" spans="1:23" x14ac:dyDescent="0.25">
      <c r="A95" s="215"/>
      <c r="B95" s="215"/>
      <c r="C95" s="215"/>
      <c r="D95" s="215"/>
      <c r="E95" s="221"/>
      <c r="F95" s="221"/>
      <c r="G95" s="222"/>
      <c r="H95" s="221"/>
      <c r="I95" s="223"/>
      <c r="J95" s="237"/>
      <c r="K95" s="223"/>
      <c r="L95" s="236"/>
      <c r="M95" s="222"/>
      <c r="N95" s="224"/>
      <c r="O95" s="222"/>
      <c r="P95" s="224"/>
      <c r="Q95" s="222"/>
      <c r="R95" s="224"/>
      <c r="S95" s="239"/>
      <c r="T95" s="224"/>
      <c r="U95" s="239"/>
      <c r="V95" s="224"/>
      <c r="W95" s="261"/>
    </row>
    <row r="96" spans="1:23" x14ac:dyDescent="0.25">
      <c r="A96" s="215"/>
      <c r="B96" s="215"/>
      <c r="C96" s="215"/>
      <c r="D96" s="215"/>
      <c r="E96" s="221"/>
      <c r="F96" s="221"/>
      <c r="G96" s="222"/>
      <c r="H96" s="221"/>
      <c r="I96" s="223"/>
      <c r="J96" s="237"/>
      <c r="K96" s="223"/>
      <c r="L96" s="236"/>
      <c r="M96" s="222"/>
      <c r="N96" s="224"/>
      <c r="O96" s="222"/>
      <c r="P96" s="224"/>
      <c r="Q96" s="222"/>
      <c r="R96" s="224"/>
      <c r="S96" s="239"/>
      <c r="T96" s="224"/>
      <c r="U96" s="239"/>
      <c r="V96" s="224"/>
      <c r="W96" s="261"/>
    </row>
    <row r="97" spans="1:23" x14ac:dyDescent="0.25">
      <c r="A97" s="215"/>
      <c r="B97" s="215"/>
      <c r="C97" s="215"/>
      <c r="D97" s="215"/>
      <c r="E97" s="221"/>
      <c r="F97" s="221"/>
      <c r="G97" s="222"/>
      <c r="H97" s="221"/>
      <c r="I97" s="223"/>
      <c r="J97" s="237"/>
      <c r="K97" s="223"/>
      <c r="L97" s="236"/>
      <c r="M97" s="222"/>
      <c r="N97" s="224"/>
      <c r="O97" s="222"/>
      <c r="P97" s="224"/>
      <c r="Q97" s="222"/>
      <c r="R97" s="224"/>
      <c r="S97" s="239"/>
      <c r="T97" s="224"/>
      <c r="U97" s="239"/>
      <c r="V97" s="224"/>
      <c r="W97" s="261"/>
    </row>
    <row r="98" spans="1:23" x14ac:dyDescent="0.25">
      <c r="A98" s="215"/>
      <c r="B98" s="215"/>
      <c r="C98" s="215"/>
      <c r="D98" s="215"/>
      <c r="E98" s="221"/>
      <c r="F98" s="221"/>
      <c r="G98" s="222"/>
      <c r="H98" s="221"/>
      <c r="I98" s="223"/>
      <c r="J98" s="237"/>
      <c r="K98" s="223"/>
      <c r="L98" s="236"/>
      <c r="M98" s="222"/>
      <c r="N98" s="224"/>
      <c r="O98" s="222"/>
      <c r="P98" s="224"/>
      <c r="Q98" s="222"/>
      <c r="R98" s="224"/>
      <c r="S98" s="239"/>
      <c r="T98" s="224"/>
      <c r="U98" s="239"/>
      <c r="V98" s="224"/>
      <c r="W98" s="261"/>
    </row>
    <row r="99" spans="1:23" x14ac:dyDescent="0.25">
      <c r="A99" s="215"/>
      <c r="B99" s="215"/>
      <c r="C99" s="215"/>
      <c r="D99" s="215"/>
      <c r="E99" s="221"/>
      <c r="F99" s="221"/>
      <c r="G99" s="222"/>
      <c r="H99" s="221"/>
      <c r="I99" s="223"/>
      <c r="J99" s="237"/>
      <c r="K99" s="223"/>
      <c r="L99" s="236"/>
      <c r="M99" s="222"/>
      <c r="N99" s="224"/>
      <c r="O99" s="222"/>
      <c r="P99" s="224"/>
      <c r="Q99" s="222"/>
      <c r="R99" s="224"/>
      <c r="S99" s="239"/>
      <c r="T99" s="224"/>
      <c r="U99" s="239"/>
      <c r="V99" s="224"/>
      <c r="W99" s="261"/>
    </row>
    <row r="100" spans="1:23" x14ac:dyDescent="0.25">
      <c r="A100" s="215"/>
      <c r="B100" s="215"/>
      <c r="C100" s="215"/>
      <c r="D100" s="215"/>
      <c r="E100" s="221"/>
      <c r="F100" s="221"/>
      <c r="G100" s="222"/>
      <c r="H100" s="221"/>
      <c r="I100" s="223"/>
      <c r="J100" s="237"/>
      <c r="K100" s="223"/>
      <c r="L100" s="236"/>
      <c r="M100" s="222"/>
      <c r="N100" s="224"/>
      <c r="O100" s="222"/>
      <c r="P100" s="224"/>
      <c r="Q100" s="222"/>
      <c r="R100" s="224"/>
      <c r="S100" s="239"/>
      <c r="T100" s="224"/>
      <c r="U100" s="239"/>
      <c r="V100" s="224"/>
      <c r="W100" s="261"/>
    </row>
    <row r="101" spans="1:23" x14ac:dyDescent="0.25">
      <c r="A101" s="215"/>
      <c r="B101" s="215"/>
      <c r="C101" s="215"/>
      <c r="D101" s="215"/>
      <c r="E101" s="221"/>
      <c r="F101" s="221"/>
      <c r="G101" s="222"/>
      <c r="H101" s="221"/>
      <c r="I101" s="223"/>
      <c r="J101" s="237"/>
      <c r="K101" s="223"/>
      <c r="L101" s="236"/>
      <c r="M101" s="222"/>
      <c r="N101" s="224"/>
      <c r="O101" s="222"/>
      <c r="P101" s="224"/>
      <c r="Q101" s="222"/>
      <c r="R101" s="224"/>
      <c r="S101" s="239"/>
      <c r="T101" s="224"/>
      <c r="U101" s="239"/>
      <c r="V101" s="224"/>
      <c r="W101" s="261"/>
    </row>
    <row r="102" spans="1:23" x14ac:dyDescent="0.25">
      <c r="A102" s="215"/>
      <c r="B102" s="215"/>
      <c r="C102" s="215"/>
      <c r="D102" s="215"/>
      <c r="E102" s="221"/>
      <c r="F102" s="221"/>
      <c r="G102" s="222"/>
      <c r="H102" s="221"/>
      <c r="I102" s="223"/>
      <c r="J102" s="237"/>
      <c r="K102" s="223"/>
      <c r="L102" s="236"/>
      <c r="M102" s="222"/>
      <c r="N102" s="224"/>
      <c r="O102" s="222"/>
      <c r="P102" s="224"/>
      <c r="Q102" s="222"/>
      <c r="R102" s="224"/>
      <c r="S102" s="239"/>
      <c r="T102" s="224"/>
      <c r="U102" s="239"/>
      <c r="V102" s="224"/>
      <c r="W102" s="261"/>
    </row>
    <row r="103" spans="1:23" x14ac:dyDescent="0.25">
      <c r="A103" s="215"/>
      <c r="B103" s="215"/>
      <c r="C103" s="215"/>
      <c r="D103" s="215"/>
      <c r="E103" s="221"/>
      <c r="F103" s="221"/>
      <c r="G103" s="222"/>
      <c r="H103" s="221"/>
      <c r="I103" s="223"/>
      <c r="J103" s="237"/>
      <c r="K103" s="223"/>
      <c r="L103" s="236"/>
      <c r="M103" s="222"/>
      <c r="N103" s="224"/>
      <c r="O103" s="222"/>
      <c r="P103" s="224"/>
      <c r="Q103" s="222"/>
      <c r="R103" s="224"/>
      <c r="S103" s="239"/>
      <c r="T103" s="224"/>
      <c r="U103" s="239"/>
      <c r="V103" s="224"/>
      <c r="W103" s="261"/>
    </row>
    <row r="104" spans="1:23" x14ac:dyDescent="0.25">
      <c r="A104" s="215"/>
      <c r="B104" s="215"/>
      <c r="C104" s="215"/>
      <c r="D104" s="215"/>
      <c r="E104" s="221"/>
      <c r="F104" s="221"/>
      <c r="G104" s="222"/>
      <c r="H104" s="221"/>
      <c r="I104" s="223"/>
      <c r="J104" s="237"/>
      <c r="K104" s="223"/>
      <c r="L104" s="236"/>
      <c r="M104" s="222"/>
      <c r="N104" s="224"/>
      <c r="O104" s="222"/>
      <c r="P104" s="224"/>
      <c r="Q104" s="222"/>
      <c r="R104" s="224"/>
      <c r="S104" s="239"/>
      <c r="T104" s="224"/>
      <c r="U104" s="239"/>
      <c r="V104" s="224"/>
      <c r="W104" s="261"/>
    </row>
    <row r="105" spans="1:23" x14ac:dyDescent="0.25">
      <c r="A105" s="215"/>
      <c r="B105" s="215"/>
      <c r="C105" s="215"/>
      <c r="D105" s="215"/>
      <c r="E105" s="221"/>
      <c r="F105" s="221"/>
      <c r="G105" s="222"/>
      <c r="H105" s="221"/>
      <c r="I105" s="223"/>
      <c r="J105" s="237"/>
      <c r="K105" s="223"/>
      <c r="L105" s="236"/>
      <c r="M105" s="222"/>
      <c r="N105" s="224"/>
      <c r="O105" s="222"/>
      <c r="P105" s="224"/>
      <c r="Q105" s="222"/>
      <c r="R105" s="224"/>
      <c r="S105" s="239"/>
      <c r="T105" s="224"/>
      <c r="U105" s="239"/>
      <c r="V105" s="224"/>
      <c r="W105" s="261"/>
    </row>
    <row r="106" spans="1:23" x14ac:dyDescent="0.25">
      <c r="A106" s="215"/>
      <c r="B106" s="215"/>
      <c r="C106" s="215"/>
      <c r="D106" s="215"/>
      <c r="E106" s="221"/>
      <c r="F106" s="221"/>
      <c r="G106" s="222"/>
      <c r="H106" s="221"/>
      <c r="I106" s="223"/>
      <c r="J106" s="237"/>
      <c r="K106" s="223"/>
      <c r="L106" s="236"/>
      <c r="M106" s="222"/>
      <c r="N106" s="224"/>
      <c r="O106" s="222"/>
      <c r="P106" s="224"/>
      <c r="Q106" s="222"/>
      <c r="R106" s="224"/>
      <c r="S106" s="239"/>
      <c r="T106" s="224"/>
      <c r="U106" s="239"/>
      <c r="V106" s="224"/>
      <c r="W106" s="261"/>
    </row>
    <row r="107" spans="1:23" x14ac:dyDescent="0.25">
      <c r="A107" s="215"/>
      <c r="B107" s="215"/>
      <c r="C107" s="215"/>
      <c r="D107" s="215"/>
      <c r="E107" s="221"/>
      <c r="F107" s="221"/>
      <c r="G107" s="222"/>
      <c r="H107" s="221"/>
      <c r="I107" s="223"/>
      <c r="J107" s="237"/>
      <c r="K107" s="223"/>
      <c r="L107" s="236"/>
      <c r="M107" s="222"/>
      <c r="N107" s="224"/>
      <c r="O107" s="222"/>
      <c r="P107" s="224"/>
      <c r="Q107" s="222"/>
      <c r="R107" s="224"/>
      <c r="S107" s="239"/>
      <c r="T107" s="224"/>
      <c r="U107" s="239"/>
      <c r="V107" s="224"/>
      <c r="W107" s="261"/>
    </row>
    <row r="108" spans="1:23" x14ac:dyDescent="0.25">
      <c r="A108" s="215"/>
      <c r="B108" s="215"/>
      <c r="C108" s="215"/>
      <c r="D108" s="215"/>
      <c r="E108" s="221"/>
      <c r="F108" s="221"/>
      <c r="G108" s="222"/>
      <c r="H108" s="221"/>
      <c r="I108" s="223"/>
      <c r="J108" s="237"/>
      <c r="K108" s="223"/>
      <c r="L108" s="236"/>
      <c r="M108" s="222"/>
      <c r="N108" s="224"/>
      <c r="O108" s="222"/>
      <c r="P108" s="224"/>
      <c r="Q108" s="222"/>
      <c r="R108" s="224"/>
      <c r="S108" s="239"/>
      <c r="T108" s="224"/>
      <c r="U108" s="239"/>
      <c r="V108" s="224"/>
      <c r="W108" s="261"/>
    </row>
    <row r="109" spans="1:23" x14ac:dyDescent="0.25">
      <c r="A109" s="215"/>
      <c r="B109" s="215"/>
      <c r="C109" s="215"/>
      <c r="D109" s="215"/>
      <c r="E109" s="221"/>
      <c r="F109" s="221"/>
      <c r="G109" s="222"/>
      <c r="H109" s="221"/>
      <c r="I109" s="223"/>
      <c r="J109" s="237"/>
      <c r="K109" s="223"/>
      <c r="L109" s="236"/>
      <c r="M109" s="222"/>
      <c r="N109" s="224"/>
      <c r="O109" s="222"/>
      <c r="P109" s="224"/>
      <c r="Q109" s="222"/>
      <c r="R109" s="224"/>
      <c r="S109" s="239"/>
      <c r="T109" s="224"/>
      <c r="U109" s="239"/>
      <c r="V109" s="224"/>
      <c r="W109" s="261"/>
    </row>
    <row r="110" spans="1:23" x14ac:dyDescent="0.25">
      <c r="A110" s="215"/>
      <c r="B110" s="215"/>
      <c r="C110" s="215"/>
      <c r="D110" s="215"/>
      <c r="E110" s="221"/>
      <c r="F110" s="221"/>
      <c r="G110" s="222"/>
      <c r="H110" s="221"/>
      <c r="I110" s="223"/>
      <c r="J110" s="237"/>
      <c r="K110" s="223"/>
      <c r="L110" s="236"/>
      <c r="M110" s="222"/>
      <c r="N110" s="224"/>
      <c r="O110" s="222"/>
      <c r="P110" s="224"/>
      <c r="Q110" s="222"/>
      <c r="R110" s="224"/>
      <c r="S110" s="239"/>
      <c r="T110" s="224"/>
      <c r="U110" s="239"/>
      <c r="V110" s="224"/>
      <c r="W110" s="261"/>
    </row>
    <row r="111" spans="1:23" x14ac:dyDescent="0.25">
      <c r="A111" s="215"/>
      <c r="B111" s="215"/>
      <c r="C111" s="215"/>
      <c r="D111" s="215"/>
      <c r="E111" s="221"/>
      <c r="F111" s="221"/>
      <c r="G111" s="222"/>
      <c r="H111" s="221"/>
      <c r="I111" s="223"/>
      <c r="J111" s="237"/>
      <c r="K111" s="223"/>
      <c r="L111" s="236"/>
      <c r="M111" s="222"/>
      <c r="N111" s="224"/>
      <c r="O111" s="222"/>
      <c r="P111" s="224"/>
      <c r="Q111" s="222"/>
      <c r="R111" s="224"/>
      <c r="S111" s="239"/>
      <c r="T111" s="224"/>
      <c r="U111" s="239"/>
      <c r="V111" s="224"/>
      <c r="W111" s="261"/>
    </row>
    <row r="112" spans="1:23" x14ac:dyDescent="0.25">
      <c r="A112" s="215"/>
      <c r="B112" s="215"/>
      <c r="C112" s="215"/>
      <c r="D112" s="215"/>
      <c r="E112" s="221"/>
      <c r="F112" s="221"/>
      <c r="G112" s="222"/>
      <c r="H112" s="221"/>
      <c r="I112" s="223"/>
      <c r="J112" s="237"/>
      <c r="K112" s="223"/>
      <c r="L112" s="236"/>
      <c r="M112" s="222"/>
      <c r="N112" s="224"/>
      <c r="O112" s="222"/>
      <c r="P112" s="224"/>
      <c r="Q112" s="222"/>
      <c r="R112" s="224"/>
      <c r="S112" s="239"/>
      <c r="T112" s="224"/>
      <c r="U112" s="239"/>
      <c r="V112" s="224"/>
      <c r="W112" s="261"/>
    </row>
    <row r="113" spans="1:23" x14ac:dyDescent="0.25">
      <c r="A113" s="215"/>
      <c r="B113" s="215"/>
      <c r="C113" s="215"/>
      <c r="D113" s="215"/>
      <c r="E113" s="221"/>
      <c r="F113" s="221"/>
      <c r="G113" s="222"/>
      <c r="H113" s="221"/>
      <c r="I113" s="223"/>
      <c r="J113" s="237"/>
      <c r="K113" s="223"/>
      <c r="L113" s="236"/>
      <c r="M113" s="222"/>
      <c r="N113" s="224"/>
      <c r="O113" s="222"/>
      <c r="P113" s="224"/>
      <c r="Q113" s="222"/>
      <c r="R113" s="224"/>
      <c r="S113" s="239"/>
      <c r="T113" s="224"/>
      <c r="U113" s="239"/>
      <c r="V113" s="224"/>
      <c r="W113" s="261"/>
    </row>
    <row r="114" spans="1:23" x14ac:dyDescent="0.25">
      <c r="A114" s="215"/>
      <c r="B114" s="215"/>
      <c r="C114" s="215"/>
      <c r="D114" s="215"/>
      <c r="E114" s="221"/>
      <c r="F114" s="221"/>
      <c r="G114" s="222"/>
      <c r="H114" s="221"/>
      <c r="I114" s="223"/>
      <c r="J114" s="237"/>
      <c r="K114" s="223"/>
      <c r="L114" s="236"/>
      <c r="M114" s="222"/>
      <c r="N114" s="224"/>
      <c r="O114" s="222"/>
      <c r="P114" s="224"/>
      <c r="Q114" s="222"/>
      <c r="R114" s="224"/>
      <c r="S114" s="239"/>
      <c r="T114" s="224"/>
      <c r="U114" s="239"/>
      <c r="V114" s="224"/>
      <c r="W114" s="261"/>
    </row>
    <row r="115" spans="1:23" x14ac:dyDescent="0.25">
      <c r="A115" s="215"/>
      <c r="B115" s="215"/>
      <c r="C115" s="215"/>
      <c r="D115" s="215"/>
      <c r="E115" s="221"/>
      <c r="F115" s="221"/>
      <c r="G115" s="222"/>
      <c r="H115" s="221"/>
      <c r="I115" s="223"/>
      <c r="J115" s="237"/>
      <c r="K115" s="223"/>
      <c r="L115" s="236"/>
      <c r="M115" s="222"/>
      <c r="N115" s="224"/>
      <c r="O115" s="222"/>
      <c r="P115" s="224"/>
      <c r="Q115" s="222"/>
      <c r="R115" s="224"/>
      <c r="S115" s="239"/>
      <c r="T115" s="224"/>
      <c r="U115" s="239"/>
      <c r="V115" s="224"/>
      <c r="W115" s="261"/>
    </row>
    <row r="116" spans="1:23" x14ac:dyDescent="0.25">
      <c r="A116" s="215"/>
      <c r="B116" s="215"/>
      <c r="C116" s="215"/>
      <c r="D116" s="215"/>
      <c r="E116" s="221"/>
      <c r="F116" s="221"/>
      <c r="G116" s="222"/>
      <c r="H116" s="221"/>
      <c r="I116" s="223"/>
      <c r="J116" s="237"/>
      <c r="K116" s="223"/>
      <c r="L116" s="236"/>
      <c r="M116" s="222"/>
      <c r="N116" s="224"/>
      <c r="O116" s="222"/>
      <c r="P116" s="224"/>
      <c r="Q116" s="222"/>
      <c r="R116" s="224"/>
      <c r="S116" s="239"/>
      <c r="T116" s="224"/>
      <c r="U116" s="239"/>
      <c r="V116" s="224"/>
      <c r="W116" s="261"/>
    </row>
    <row r="117" spans="1:23" x14ac:dyDescent="0.25">
      <c r="A117" s="215"/>
      <c r="B117" s="215"/>
      <c r="C117" s="215"/>
      <c r="D117" s="215"/>
      <c r="E117" s="221"/>
      <c r="F117" s="221"/>
      <c r="G117" s="222"/>
      <c r="H117" s="221"/>
      <c r="I117" s="223"/>
      <c r="J117" s="237"/>
      <c r="K117" s="223"/>
      <c r="L117" s="236"/>
      <c r="M117" s="222"/>
      <c r="N117" s="224"/>
      <c r="O117" s="222"/>
      <c r="P117" s="224"/>
      <c r="Q117" s="222"/>
      <c r="R117" s="224"/>
      <c r="S117" s="239"/>
      <c r="T117" s="224"/>
      <c r="U117" s="239"/>
      <c r="V117" s="224"/>
      <c r="W117" s="261"/>
    </row>
    <row r="118" spans="1:23" x14ac:dyDescent="0.25">
      <c r="A118" s="215"/>
      <c r="B118" s="215"/>
      <c r="C118" s="215"/>
      <c r="D118" s="215"/>
      <c r="E118" s="221"/>
      <c r="F118" s="221"/>
      <c r="G118" s="222"/>
      <c r="H118" s="221"/>
      <c r="I118" s="223"/>
      <c r="J118" s="237"/>
      <c r="K118" s="223"/>
      <c r="L118" s="236"/>
      <c r="M118" s="222"/>
      <c r="N118" s="224"/>
      <c r="O118" s="222"/>
      <c r="P118" s="224"/>
      <c r="Q118" s="222"/>
      <c r="R118" s="224"/>
      <c r="S118" s="239"/>
      <c r="T118" s="224"/>
      <c r="U118" s="239"/>
      <c r="V118" s="224"/>
      <c r="W118" s="261"/>
    </row>
    <row r="119" spans="1:23" x14ac:dyDescent="0.25">
      <c r="A119" s="215"/>
      <c r="B119" s="215"/>
      <c r="C119" s="215"/>
      <c r="D119" s="215"/>
      <c r="E119" s="221"/>
      <c r="F119" s="221"/>
      <c r="G119" s="222"/>
      <c r="H119" s="221"/>
      <c r="I119" s="223"/>
      <c r="J119" s="237"/>
      <c r="K119" s="223"/>
      <c r="L119" s="236"/>
      <c r="M119" s="222"/>
      <c r="N119" s="224"/>
      <c r="O119" s="222"/>
      <c r="P119" s="224"/>
      <c r="Q119" s="222"/>
      <c r="R119" s="224"/>
      <c r="S119" s="239"/>
      <c r="T119" s="224"/>
      <c r="U119" s="239"/>
      <c r="V119" s="224"/>
      <c r="W119" s="261"/>
    </row>
    <row r="120" spans="1:23" x14ac:dyDescent="0.25">
      <c r="A120" s="215"/>
      <c r="B120" s="215"/>
      <c r="C120" s="215"/>
      <c r="D120" s="215"/>
      <c r="E120" s="221"/>
      <c r="F120" s="221"/>
      <c r="G120" s="222"/>
      <c r="H120" s="221"/>
      <c r="I120" s="223"/>
      <c r="J120" s="237"/>
      <c r="K120" s="223"/>
      <c r="L120" s="236"/>
      <c r="M120" s="222"/>
      <c r="N120" s="224"/>
      <c r="O120" s="222"/>
      <c r="P120" s="224"/>
      <c r="Q120" s="222"/>
      <c r="R120" s="224"/>
      <c r="S120" s="239"/>
      <c r="T120" s="224"/>
      <c r="U120" s="239"/>
      <c r="V120" s="224"/>
      <c r="W120" s="261"/>
    </row>
    <row r="121" spans="1:23" x14ac:dyDescent="0.25">
      <c r="A121" s="215"/>
      <c r="B121" s="215"/>
      <c r="C121" s="215"/>
      <c r="D121" s="215"/>
      <c r="E121" s="221"/>
      <c r="F121" s="221"/>
      <c r="G121" s="222"/>
      <c r="H121" s="221"/>
      <c r="I121" s="223"/>
      <c r="J121" s="237"/>
      <c r="K121" s="223"/>
      <c r="L121" s="236"/>
      <c r="M121" s="222"/>
      <c r="N121" s="224"/>
      <c r="O121" s="222"/>
      <c r="P121" s="224"/>
      <c r="Q121" s="222"/>
      <c r="R121" s="224"/>
      <c r="S121" s="239"/>
      <c r="T121" s="224"/>
      <c r="U121" s="239"/>
      <c r="V121" s="224"/>
      <c r="W121" s="261"/>
    </row>
    <row r="122" spans="1:23" x14ac:dyDescent="0.25">
      <c r="A122" s="215"/>
      <c r="B122" s="215"/>
      <c r="C122" s="215"/>
      <c r="D122" s="215"/>
      <c r="E122" s="221"/>
      <c r="F122" s="221"/>
      <c r="G122" s="222"/>
      <c r="H122" s="221"/>
      <c r="I122" s="223"/>
      <c r="J122" s="237"/>
      <c r="K122" s="223"/>
      <c r="L122" s="236"/>
      <c r="M122" s="222"/>
      <c r="N122" s="224"/>
      <c r="O122" s="222"/>
      <c r="P122" s="224"/>
      <c r="Q122" s="222"/>
      <c r="R122" s="224"/>
      <c r="S122" s="239"/>
      <c r="T122" s="224"/>
      <c r="U122" s="239"/>
      <c r="V122" s="224"/>
      <c r="W122" s="261"/>
    </row>
    <row r="123" spans="1:23" x14ac:dyDescent="0.25">
      <c r="A123" s="215"/>
      <c r="B123" s="215"/>
      <c r="C123" s="215"/>
      <c r="D123" s="215"/>
      <c r="E123" s="221"/>
      <c r="F123" s="221"/>
      <c r="G123" s="222"/>
      <c r="H123" s="221"/>
      <c r="I123" s="223"/>
      <c r="J123" s="237"/>
      <c r="K123" s="223"/>
      <c r="L123" s="236"/>
      <c r="M123" s="222"/>
      <c r="N123" s="224"/>
      <c r="O123" s="222"/>
      <c r="P123" s="224"/>
      <c r="Q123" s="222"/>
      <c r="R123" s="224"/>
      <c r="S123" s="239"/>
      <c r="T123" s="224"/>
      <c r="U123" s="239"/>
      <c r="V123" s="224"/>
      <c r="W123" s="261"/>
    </row>
    <row r="124" spans="1:23" x14ac:dyDescent="0.25">
      <c r="A124" s="215"/>
      <c r="B124" s="215"/>
      <c r="C124" s="215"/>
      <c r="D124" s="215"/>
      <c r="E124" s="221"/>
      <c r="F124" s="221"/>
      <c r="G124" s="222"/>
      <c r="H124" s="221"/>
      <c r="I124" s="223"/>
      <c r="J124" s="237"/>
      <c r="K124" s="223"/>
      <c r="L124" s="236"/>
      <c r="M124" s="222"/>
      <c r="N124" s="224"/>
      <c r="O124" s="222"/>
      <c r="P124" s="224"/>
      <c r="Q124" s="222"/>
      <c r="R124" s="224"/>
      <c r="S124" s="239"/>
      <c r="T124" s="224"/>
      <c r="U124" s="239"/>
      <c r="V124" s="224"/>
      <c r="W124" s="261"/>
    </row>
    <row r="125" spans="1:23" x14ac:dyDescent="0.25">
      <c r="A125" s="215"/>
      <c r="B125" s="215"/>
      <c r="C125" s="215"/>
      <c r="D125" s="215"/>
      <c r="E125" s="221"/>
      <c r="F125" s="221"/>
      <c r="G125" s="222"/>
      <c r="H125" s="221"/>
      <c r="I125" s="223"/>
      <c r="J125" s="237"/>
      <c r="K125" s="223"/>
      <c r="L125" s="236"/>
      <c r="M125" s="222"/>
      <c r="N125" s="224"/>
      <c r="O125" s="222"/>
      <c r="P125" s="224"/>
      <c r="Q125" s="222"/>
      <c r="R125" s="224"/>
      <c r="S125" s="239"/>
      <c r="T125" s="224"/>
      <c r="U125" s="239"/>
      <c r="V125" s="224"/>
      <c r="W125" s="261"/>
    </row>
    <row r="126" spans="1:23" x14ac:dyDescent="0.25">
      <c r="A126" s="215"/>
      <c r="B126" s="215"/>
      <c r="C126" s="215"/>
      <c r="D126" s="215"/>
      <c r="E126" s="221"/>
      <c r="F126" s="221"/>
      <c r="G126" s="222"/>
      <c r="H126" s="221"/>
      <c r="I126" s="223"/>
      <c r="J126" s="237"/>
      <c r="K126" s="223"/>
      <c r="L126" s="236"/>
      <c r="M126" s="222"/>
      <c r="N126" s="224"/>
      <c r="O126" s="222"/>
      <c r="P126" s="224"/>
      <c r="Q126" s="222"/>
      <c r="R126" s="224"/>
      <c r="S126" s="239"/>
      <c r="T126" s="224"/>
      <c r="U126" s="239"/>
      <c r="V126" s="224"/>
      <c r="W126" s="261"/>
    </row>
    <row r="127" spans="1:23" x14ac:dyDescent="0.25">
      <c r="A127" s="215"/>
      <c r="B127" s="215"/>
      <c r="C127" s="215"/>
      <c r="D127" s="215"/>
      <c r="E127" s="221"/>
      <c r="F127" s="221"/>
      <c r="G127" s="222"/>
      <c r="H127" s="221"/>
      <c r="I127" s="223"/>
      <c r="J127" s="237"/>
      <c r="K127" s="223"/>
      <c r="L127" s="236"/>
      <c r="M127" s="222"/>
      <c r="N127" s="224"/>
      <c r="O127" s="222"/>
      <c r="P127" s="224"/>
      <c r="Q127" s="222"/>
      <c r="R127" s="224"/>
      <c r="S127" s="239"/>
      <c r="T127" s="224"/>
      <c r="U127" s="239"/>
      <c r="V127" s="224"/>
      <c r="W127" s="261"/>
    </row>
    <row r="128" spans="1:23" x14ac:dyDescent="0.25">
      <c r="A128" s="215"/>
      <c r="B128" s="215"/>
      <c r="C128" s="215"/>
      <c r="D128" s="215"/>
      <c r="E128" s="221"/>
      <c r="F128" s="221"/>
      <c r="G128" s="222"/>
      <c r="H128" s="221"/>
      <c r="I128" s="223"/>
      <c r="J128" s="237"/>
      <c r="K128" s="223"/>
      <c r="L128" s="236"/>
      <c r="M128" s="222"/>
      <c r="N128" s="224"/>
      <c r="O128" s="222"/>
      <c r="P128" s="224"/>
      <c r="Q128" s="222"/>
      <c r="R128" s="224"/>
      <c r="S128" s="239"/>
      <c r="T128" s="224"/>
      <c r="U128" s="239"/>
      <c r="V128" s="224"/>
      <c r="W128" s="261"/>
    </row>
    <row r="129" spans="1:23" x14ac:dyDescent="0.25">
      <c r="A129" s="215"/>
      <c r="B129" s="215"/>
      <c r="C129" s="215"/>
      <c r="D129" s="215"/>
      <c r="E129" s="221"/>
      <c r="F129" s="221"/>
      <c r="G129" s="222"/>
      <c r="H129" s="221"/>
      <c r="I129" s="223"/>
      <c r="J129" s="237"/>
      <c r="K129" s="223"/>
      <c r="L129" s="236"/>
      <c r="M129" s="222"/>
      <c r="N129" s="224"/>
      <c r="O129" s="222"/>
      <c r="P129" s="224"/>
      <c r="Q129" s="222"/>
      <c r="R129" s="224"/>
      <c r="S129" s="239"/>
      <c r="T129" s="224"/>
      <c r="U129" s="239"/>
      <c r="V129" s="224"/>
      <c r="W129" s="261"/>
    </row>
    <row r="130" spans="1:23" x14ac:dyDescent="0.25">
      <c r="A130" s="215"/>
      <c r="B130" s="215"/>
      <c r="C130" s="215"/>
      <c r="D130" s="215"/>
      <c r="E130" s="221"/>
      <c r="F130" s="221"/>
      <c r="G130" s="222"/>
      <c r="H130" s="221"/>
      <c r="I130" s="223"/>
      <c r="J130" s="237"/>
      <c r="K130" s="223"/>
      <c r="L130" s="236"/>
      <c r="M130" s="222"/>
      <c r="N130" s="224"/>
      <c r="O130" s="222"/>
      <c r="P130" s="224"/>
      <c r="Q130" s="222"/>
      <c r="R130" s="224"/>
      <c r="S130" s="239"/>
      <c r="T130" s="224"/>
      <c r="U130" s="239"/>
      <c r="V130" s="224"/>
      <c r="W130" s="261"/>
    </row>
    <row r="131" spans="1:23" x14ac:dyDescent="0.25">
      <c r="A131" s="215"/>
      <c r="B131" s="215"/>
      <c r="C131" s="215"/>
      <c r="D131" s="215"/>
      <c r="E131" s="221"/>
      <c r="F131" s="221"/>
      <c r="G131" s="222"/>
      <c r="H131" s="221"/>
      <c r="I131" s="223"/>
      <c r="J131" s="237"/>
      <c r="K131" s="223"/>
      <c r="L131" s="236"/>
      <c r="M131" s="222"/>
      <c r="N131" s="224"/>
      <c r="O131" s="222"/>
      <c r="P131" s="224"/>
      <c r="Q131" s="222"/>
      <c r="R131" s="224"/>
      <c r="S131" s="239"/>
      <c r="T131" s="224"/>
      <c r="U131" s="239"/>
      <c r="V131" s="224"/>
      <c r="W131" s="261"/>
    </row>
    <row r="132" spans="1:23" x14ac:dyDescent="0.25">
      <c r="A132" s="215"/>
      <c r="B132" s="215"/>
      <c r="C132" s="215"/>
      <c r="D132" s="215"/>
      <c r="E132" s="221"/>
      <c r="F132" s="221"/>
      <c r="G132" s="222"/>
      <c r="H132" s="221"/>
      <c r="I132" s="223"/>
      <c r="J132" s="237"/>
      <c r="K132" s="223"/>
      <c r="L132" s="236"/>
      <c r="M132" s="222"/>
      <c r="N132" s="224"/>
      <c r="O132" s="222"/>
      <c r="P132" s="224"/>
      <c r="Q132" s="222"/>
      <c r="R132" s="224"/>
      <c r="S132" s="239"/>
      <c r="T132" s="224"/>
      <c r="U132" s="239"/>
      <c r="V132" s="224"/>
      <c r="W132" s="261"/>
    </row>
    <row r="133" spans="1:23" x14ac:dyDescent="0.25">
      <c r="A133" s="215"/>
      <c r="B133" s="215"/>
      <c r="C133" s="215"/>
      <c r="D133" s="215"/>
      <c r="E133" s="221"/>
      <c r="F133" s="221"/>
      <c r="G133" s="222"/>
      <c r="H133" s="221"/>
      <c r="I133" s="223"/>
      <c r="J133" s="237"/>
      <c r="K133" s="223"/>
      <c r="L133" s="236"/>
      <c r="M133" s="222"/>
      <c r="N133" s="224"/>
      <c r="O133" s="222"/>
      <c r="P133" s="224"/>
      <c r="Q133" s="222"/>
      <c r="R133" s="224"/>
      <c r="S133" s="239"/>
      <c r="T133" s="224"/>
      <c r="U133" s="239"/>
      <c r="V133" s="224"/>
      <c r="W133" s="261"/>
    </row>
    <row r="134" spans="1:23" x14ac:dyDescent="0.25">
      <c r="A134" s="215"/>
      <c r="B134" s="215"/>
      <c r="C134" s="215"/>
      <c r="D134" s="215"/>
      <c r="E134" s="221"/>
      <c r="F134" s="221"/>
      <c r="G134" s="222"/>
      <c r="H134" s="221"/>
      <c r="I134" s="223"/>
      <c r="J134" s="237"/>
      <c r="K134" s="223"/>
      <c r="L134" s="236"/>
      <c r="M134" s="222"/>
      <c r="N134" s="224"/>
      <c r="O134" s="222"/>
      <c r="P134" s="224"/>
      <c r="Q134" s="222"/>
      <c r="R134" s="224"/>
      <c r="S134" s="239"/>
      <c r="T134" s="224"/>
      <c r="U134" s="239"/>
      <c r="V134" s="224"/>
      <c r="W134" s="261"/>
    </row>
    <row r="135" spans="1:23" x14ac:dyDescent="0.25">
      <c r="A135" s="215"/>
      <c r="B135" s="215"/>
      <c r="C135" s="215"/>
      <c r="D135" s="215"/>
      <c r="E135" s="221"/>
      <c r="F135" s="221"/>
      <c r="G135" s="222"/>
      <c r="H135" s="221"/>
      <c r="I135" s="223"/>
      <c r="J135" s="237"/>
      <c r="K135" s="223"/>
      <c r="L135" s="236"/>
      <c r="M135" s="222"/>
      <c r="N135" s="224"/>
      <c r="O135" s="222"/>
      <c r="P135" s="224"/>
      <c r="Q135" s="222"/>
      <c r="R135" s="224"/>
      <c r="S135" s="239"/>
      <c r="T135" s="224"/>
      <c r="U135" s="239"/>
      <c r="V135" s="224"/>
      <c r="W135" s="261"/>
    </row>
    <row r="136" spans="1:23" x14ac:dyDescent="0.25">
      <c r="A136" s="215"/>
      <c r="B136" s="215"/>
      <c r="C136" s="215"/>
      <c r="D136" s="215"/>
      <c r="E136" s="221"/>
      <c r="F136" s="221"/>
      <c r="G136" s="222"/>
      <c r="H136" s="221"/>
      <c r="I136" s="223"/>
      <c r="J136" s="237"/>
      <c r="K136" s="223"/>
      <c r="L136" s="236"/>
      <c r="M136" s="222"/>
      <c r="N136" s="224"/>
      <c r="O136" s="222"/>
      <c r="P136" s="224"/>
      <c r="Q136" s="222"/>
      <c r="R136" s="224"/>
      <c r="S136" s="239"/>
      <c r="T136" s="224"/>
      <c r="U136" s="239"/>
      <c r="V136" s="224"/>
      <c r="W136" s="261"/>
    </row>
    <row r="137" spans="1:23" x14ac:dyDescent="0.25">
      <c r="A137" s="215"/>
      <c r="B137" s="215"/>
      <c r="C137" s="215"/>
      <c r="D137" s="215"/>
      <c r="E137" s="221"/>
      <c r="F137" s="221"/>
      <c r="G137" s="222"/>
      <c r="H137" s="221"/>
      <c r="I137" s="223"/>
      <c r="J137" s="237"/>
      <c r="K137" s="223"/>
      <c r="L137" s="236"/>
      <c r="M137" s="222"/>
      <c r="N137" s="224"/>
      <c r="O137" s="222"/>
      <c r="P137" s="224"/>
      <c r="Q137" s="222"/>
      <c r="R137" s="224"/>
      <c r="S137" s="239"/>
      <c r="T137" s="224"/>
      <c r="U137" s="239"/>
      <c r="V137" s="224"/>
      <c r="W137" s="261"/>
    </row>
    <row r="138" spans="1:23" x14ac:dyDescent="0.25">
      <c r="A138" s="215"/>
      <c r="B138" s="215"/>
      <c r="C138" s="215"/>
      <c r="D138" s="215"/>
      <c r="E138" s="221"/>
      <c r="F138" s="221"/>
      <c r="G138" s="222"/>
      <c r="H138" s="221"/>
      <c r="I138" s="223"/>
      <c r="J138" s="237"/>
      <c r="K138" s="223"/>
      <c r="L138" s="236"/>
      <c r="M138" s="222"/>
      <c r="N138" s="224"/>
      <c r="O138" s="222"/>
      <c r="P138" s="224"/>
      <c r="Q138" s="222"/>
      <c r="R138" s="224"/>
      <c r="S138" s="239"/>
      <c r="T138" s="224"/>
      <c r="U138" s="239"/>
      <c r="V138" s="224"/>
      <c r="W138" s="261"/>
    </row>
    <row r="139" spans="1:23" x14ac:dyDescent="0.25">
      <c r="A139" s="215"/>
      <c r="B139" s="215"/>
      <c r="C139" s="215"/>
      <c r="D139" s="215"/>
      <c r="E139" s="221"/>
      <c r="F139" s="221"/>
      <c r="G139" s="222"/>
      <c r="H139" s="221"/>
      <c r="I139" s="223"/>
      <c r="J139" s="237"/>
      <c r="K139" s="223"/>
      <c r="L139" s="236"/>
      <c r="M139" s="222"/>
      <c r="N139" s="224"/>
      <c r="O139" s="222"/>
      <c r="P139" s="224"/>
      <c r="Q139" s="222"/>
      <c r="R139" s="224"/>
      <c r="S139" s="239"/>
      <c r="T139" s="224"/>
      <c r="U139" s="239"/>
      <c r="V139" s="224"/>
      <c r="W139" s="261"/>
    </row>
    <row r="140" spans="1:23" x14ac:dyDescent="0.25">
      <c r="A140" s="215"/>
      <c r="B140" s="215"/>
      <c r="C140" s="215"/>
      <c r="D140" s="215"/>
      <c r="E140" s="221"/>
      <c r="F140" s="221"/>
      <c r="G140" s="222"/>
      <c r="H140" s="221"/>
      <c r="I140" s="223"/>
      <c r="J140" s="237"/>
      <c r="K140" s="223"/>
      <c r="L140" s="236"/>
      <c r="M140" s="222"/>
      <c r="N140" s="224"/>
      <c r="O140" s="222"/>
      <c r="P140" s="224"/>
      <c r="Q140" s="222"/>
      <c r="R140" s="224"/>
      <c r="S140" s="239"/>
      <c r="T140" s="224"/>
      <c r="U140" s="239"/>
      <c r="V140" s="224"/>
      <c r="W140" s="261"/>
    </row>
    <row r="141" spans="1:23" x14ac:dyDescent="0.25">
      <c r="A141" s="215"/>
      <c r="B141" s="215"/>
      <c r="C141" s="215"/>
      <c r="D141" s="215"/>
      <c r="E141" s="221"/>
      <c r="F141" s="221"/>
      <c r="G141" s="222"/>
      <c r="H141" s="221"/>
      <c r="I141" s="223"/>
      <c r="J141" s="237"/>
      <c r="K141" s="223"/>
      <c r="L141" s="236"/>
      <c r="M141" s="222"/>
      <c r="N141" s="224"/>
      <c r="O141" s="222"/>
      <c r="P141" s="224"/>
      <c r="Q141" s="222"/>
      <c r="R141" s="224"/>
      <c r="S141" s="239"/>
      <c r="T141" s="224"/>
      <c r="U141" s="239"/>
      <c r="V141" s="224"/>
      <c r="W141" s="261"/>
    </row>
    <row r="142" spans="1:23" x14ac:dyDescent="0.25">
      <c r="A142" s="215"/>
      <c r="B142" s="215"/>
      <c r="C142" s="215"/>
      <c r="D142" s="215"/>
      <c r="E142" s="221"/>
      <c r="F142" s="221"/>
      <c r="G142" s="222"/>
      <c r="H142" s="221"/>
      <c r="I142" s="223"/>
      <c r="J142" s="237"/>
      <c r="K142" s="223"/>
      <c r="L142" s="236"/>
      <c r="M142" s="222"/>
      <c r="N142" s="224"/>
      <c r="O142" s="222"/>
      <c r="P142" s="224"/>
      <c r="Q142" s="222"/>
      <c r="R142" s="224"/>
      <c r="S142" s="239"/>
      <c r="T142" s="224"/>
      <c r="U142" s="239"/>
      <c r="V142" s="224"/>
      <c r="W142" s="261"/>
    </row>
    <row r="143" spans="1:23" x14ac:dyDescent="0.25">
      <c r="A143" s="215"/>
      <c r="B143" s="215"/>
      <c r="C143" s="215"/>
      <c r="D143" s="215"/>
      <c r="E143" s="221"/>
      <c r="F143" s="221"/>
      <c r="G143" s="222"/>
      <c r="H143" s="221"/>
      <c r="I143" s="223"/>
      <c r="J143" s="237"/>
      <c r="K143" s="223"/>
      <c r="L143" s="236"/>
      <c r="M143" s="222"/>
      <c r="N143" s="224"/>
      <c r="O143" s="222"/>
      <c r="P143" s="224"/>
      <c r="Q143" s="222"/>
      <c r="R143" s="224"/>
      <c r="S143" s="239"/>
      <c r="T143" s="224"/>
      <c r="U143" s="239"/>
      <c r="V143" s="224"/>
      <c r="W143" s="261"/>
    </row>
    <row r="144" spans="1:23" x14ac:dyDescent="0.25">
      <c r="A144" s="215"/>
      <c r="B144" s="215"/>
      <c r="C144" s="215"/>
      <c r="D144" s="215"/>
      <c r="E144" s="221"/>
      <c r="F144" s="221"/>
      <c r="G144" s="222"/>
      <c r="H144" s="221"/>
      <c r="I144" s="223"/>
      <c r="J144" s="237"/>
      <c r="K144" s="223"/>
      <c r="L144" s="236"/>
      <c r="M144" s="222"/>
      <c r="N144" s="224"/>
      <c r="O144" s="222"/>
      <c r="P144" s="224"/>
      <c r="Q144" s="222"/>
      <c r="R144" s="224"/>
      <c r="S144" s="239"/>
      <c r="T144" s="224"/>
      <c r="U144" s="239"/>
      <c r="V144" s="224"/>
      <c r="W144" s="261"/>
    </row>
    <row r="145" spans="1:23" x14ac:dyDescent="0.25">
      <c r="A145" s="215"/>
      <c r="B145" s="215"/>
      <c r="C145" s="215"/>
      <c r="D145" s="215"/>
      <c r="E145" s="221"/>
      <c r="F145" s="221"/>
      <c r="G145" s="222"/>
      <c r="H145" s="221"/>
      <c r="I145" s="223"/>
      <c r="J145" s="237"/>
      <c r="K145" s="223"/>
      <c r="L145" s="236"/>
      <c r="M145" s="222"/>
      <c r="N145" s="224"/>
      <c r="O145" s="222"/>
      <c r="P145" s="224"/>
      <c r="Q145" s="222"/>
      <c r="R145" s="224"/>
      <c r="S145" s="239"/>
      <c r="T145" s="224"/>
      <c r="U145" s="239"/>
      <c r="V145" s="224"/>
      <c r="W145" s="261"/>
    </row>
    <row r="146" spans="1:23" x14ac:dyDescent="0.25">
      <c r="A146" s="215"/>
      <c r="B146" s="215"/>
      <c r="C146" s="215"/>
      <c r="D146" s="215"/>
      <c r="E146" s="221"/>
      <c r="F146" s="221"/>
      <c r="G146" s="222"/>
      <c r="H146" s="221"/>
      <c r="I146" s="223"/>
      <c r="J146" s="237"/>
      <c r="K146" s="223"/>
      <c r="L146" s="236"/>
      <c r="M146" s="222"/>
      <c r="N146" s="224"/>
      <c r="O146" s="222"/>
      <c r="P146" s="224"/>
      <c r="Q146" s="222"/>
      <c r="R146" s="224"/>
      <c r="S146" s="239"/>
      <c r="T146" s="224"/>
      <c r="U146" s="239"/>
      <c r="V146" s="224"/>
      <c r="W146" s="261"/>
    </row>
    <row r="147" spans="1:23" x14ac:dyDescent="0.25">
      <c r="A147" s="215"/>
      <c r="B147" s="215"/>
      <c r="C147" s="215"/>
      <c r="D147" s="215"/>
      <c r="E147" s="221"/>
      <c r="F147" s="221"/>
      <c r="G147" s="222"/>
      <c r="H147" s="221"/>
      <c r="I147" s="223"/>
      <c r="J147" s="237"/>
      <c r="K147" s="223"/>
      <c r="L147" s="236"/>
      <c r="M147" s="222"/>
      <c r="N147" s="224"/>
      <c r="O147" s="222"/>
      <c r="P147" s="224"/>
      <c r="Q147" s="222"/>
      <c r="R147" s="224"/>
      <c r="S147" s="239"/>
      <c r="T147" s="224"/>
      <c r="U147" s="239"/>
      <c r="V147" s="224"/>
      <c r="W147" s="261"/>
    </row>
    <row r="148" spans="1:23" x14ac:dyDescent="0.25">
      <c r="A148" s="215"/>
      <c r="B148" s="215"/>
      <c r="C148" s="215"/>
      <c r="D148" s="215"/>
      <c r="E148" s="221"/>
      <c r="F148" s="221"/>
      <c r="G148" s="222"/>
      <c r="H148" s="221"/>
      <c r="I148" s="223"/>
      <c r="J148" s="237"/>
      <c r="K148" s="223"/>
      <c r="L148" s="236"/>
      <c r="M148" s="222"/>
      <c r="N148" s="224"/>
      <c r="O148" s="222"/>
      <c r="P148" s="224"/>
      <c r="Q148" s="222"/>
      <c r="R148" s="224"/>
      <c r="S148" s="239"/>
      <c r="T148" s="224"/>
      <c r="U148" s="239"/>
      <c r="V148" s="224"/>
      <c r="W148" s="261"/>
    </row>
    <row r="149" spans="1:23" x14ac:dyDescent="0.25">
      <c r="A149" s="215"/>
      <c r="B149" s="215"/>
      <c r="C149" s="215"/>
      <c r="D149" s="215"/>
      <c r="E149" s="221"/>
      <c r="F149" s="221"/>
      <c r="G149" s="222"/>
      <c r="H149" s="221"/>
      <c r="I149" s="223"/>
      <c r="J149" s="237"/>
      <c r="K149" s="223"/>
      <c r="L149" s="236"/>
      <c r="M149" s="222"/>
      <c r="N149" s="224"/>
      <c r="O149" s="222"/>
      <c r="P149" s="224"/>
      <c r="Q149" s="222"/>
      <c r="R149" s="224"/>
      <c r="S149" s="239"/>
      <c r="T149" s="224"/>
      <c r="U149" s="239"/>
      <c r="V149" s="224"/>
      <c r="W149" s="261"/>
    </row>
    <row r="150" spans="1:23" x14ac:dyDescent="0.25">
      <c r="A150" s="215"/>
      <c r="B150" s="215"/>
      <c r="C150" s="215"/>
      <c r="D150" s="215"/>
      <c r="E150" s="221"/>
      <c r="F150" s="221"/>
      <c r="G150" s="222"/>
      <c r="H150" s="221"/>
      <c r="I150" s="223"/>
      <c r="J150" s="237"/>
      <c r="K150" s="223"/>
      <c r="L150" s="236"/>
      <c r="M150" s="222"/>
      <c r="N150" s="224"/>
      <c r="O150" s="222"/>
      <c r="P150" s="224"/>
      <c r="Q150" s="222"/>
      <c r="R150" s="224"/>
      <c r="S150" s="239"/>
      <c r="T150" s="224"/>
      <c r="U150" s="239"/>
      <c r="V150" s="224"/>
      <c r="W150" s="261"/>
    </row>
    <row r="151" spans="1:23" x14ac:dyDescent="0.25">
      <c r="A151" s="215"/>
      <c r="B151" s="215"/>
      <c r="C151" s="215"/>
      <c r="D151" s="215"/>
      <c r="E151" s="221"/>
      <c r="F151" s="221"/>
      <c r="G151" s="222"/>
      <c r="H151" s="221"/>
      <c r="I151" s="223"/>
      <c r="J151" s="237"/>
      <c r="K151" s="223"/>
      <c r="L151" s="236"/>
      <c r="M151" s="222"/>
      <c r="N151" s="224"/>
      <c r="O151" s="222"/>
      <c r="P151" s="224"/>
      <c r="Q151" s="222"/>
      <c r="R151" s="224"/>
      <c r="S151" s="239"/>
      <c r="T151" s="224"/>
      <c r="U151" s="239"/>
      <c r="V151" s="224"/>
      <c r="W151" s="261"/>
    </row>
    <row r="152" spans="1:23" x14ac:dyDescent="0.25">
      <c r="A152" s="215"/>
      <c r="B152" s="215"/>
      <c r="C152" s="215"/>
      <c r="D152" s="215"/>
      <c r="E152" s="221"/>
      <c r="F152" s="221"/>
      <c r="G152" s="222"/>
      <c r="H152" s="221"/>
      <c r="I152" s="223"/>
      <c r="J152" s="237"/>
      <c r="K152" s="223"/>
      <c r="L152" s="236"/>
      <c r="M152" s="222"/>
      <c r="N152" s="224"/>
      <c r="O152" s="222"/>
      <c r="P152" s="224"/>
      <c r="Q152" s="222"/>
      <c r="R152" s="224"/>
      <c r="S152" s="239"/>
      <c r="T152" s="224"/>
      <c r="U152" s="239"/>
      <c r="V152" s="224"/>
      <c r="W152" s="261"/>
    </row>
    <row r="153" spans="1:23" x14ac:dyDescent="0.25">
      <c r="A153" s="215"/>
      <c r="B153" s="215"/>
      <c r="C153" s="215"/>
      <c r="D153" s="215"/>
      <c r="E153" s="221"/>
      <c r="F153" s="221"/>
      <c r="G153" s="222"/>
      <c r="H153" s="221"/>
      <c r="I153" s="223"/>
      <c r="J153" s="237"/>
      <c r="K153" s="223"/>
      <c r="L153" s="236"/>
      <c r="M153" s="222"/>
      <c r="N153" s="224"/>
      <c r="O153" s="222"/>
      <c r="P153" s="224"/>
      <c r="Q153" s="222"/>
      <c r="R153" s="224"/>
      <c r="S153" s="239"/>
      <c r="T153" s="224"/>
      <c r="U153" s="239"/>
      <c r="V153" s="224"/>
      <c r="W153" s="261"/>
    </row>
    <row r="154" spans="1:23" x14ac:dyDescent="0.25">
      <c r="A154" s="215"/>
      <c r="B154" s="215"/>
      <c r="C154" s="215"/>
      <c r="D154" s="215"/>
      <c r="E154" s="221"/>
      <c r="F154" s="221"/>
      <c r="G154" s="222"/>
      <c r="H154" s="221"/>
      <c r="I154" s="223"/>
      <c r="J154" s="237"/>
      <c r="K154" s="223"/>
      <c r="L154" s="236"/>
      <c r="M154" s="222"/>
      <c r="N154" s="224"/>
      <c r="O154" s="222"/>
      <c r="P154" s="224"/>
      <c r="Q154" s="222"/>
      <c r="R154" s="224"/>
      <c r="S154" s="239"/>
      <c r="T154" s="224"/>
      <c r="U154" s="239"/>
      <c r="V154" s="224"/>
      <c r="W154" s="261"/>
    </row>
    <row r="155" spans="1:23" x14ac:dyDescent="0.25">
      <c r="A155" s="215"/>
      <c r="B155" s="215"/>
      <c r="C155" s="215"/>
      <c r="D155" s="215"/>
      <c r="E155" s="221"/>
      <c r="F155" s="221"/>
      <c r="G155" s="222"/>
      <c r="H155" s="221"/>
      <c r="I155" s="223"/>
      <c r="J155" s="237"/>
      <c r="K155" s="223"/>
      <c r="L155" s="236"/>
      <c r="M155" s="222"/>
      <c r="N155" s="224"/>
      <c r="O155" s="222"/>
      <c r="P155" s="224"/>
      <c r="Q155" s="222"/>
      <c r="R155" s="224"/>
      <c r="S155" s="239"/>
      <c r="T155" s="224"/>
      <c r="U155" s="239"/>
      <c r="V155" s="224"/>
      <c r="W155" s="261"/>
    </row>
    <row r="156" spans="1:23" x14ac:dyDescent="0.25">
      <c r="A156" s="215"/>
      <c r="B156" s="215"/>
      <c r="C156" s="215"/>
      <c r="D156" s="215"/>
      <c r="E156" s="221"/>
      <c r="F156" s="221"/>
      <c r="G156" s="222"/>
      <c r="H156" s="221"/>
      <c r="I156" s="223"/>
      <c r="J156" s="237"/>
      <c r="K156" s="223"/>
      <c r="L156" s="236"/>
      <c r="M156" s="222"/>
      <c r="N156" s="224"/>
      <c r="O156" s="222"/>
      <c r="P156" s="224"/>
      <c r="Q156" s="222"/>
      <c r="R156" s="224"/>
      <c r="S156" s="239"/>
      <c r="T156" s="224"/>
      <c r="U156" s="239"/>
      <c r="V156" s="224"/>
      <c r="W156" s="261"/>
    </row>
    <row r="157" spans="1:23" x14ac:dyDescent="0.25">
      <c r="A157" s="215"/>
      <c r="B157" s="215"/>
      <c r="C157" s="215"/>
      <c r="D157" s="215"/>
      <c r="E157" s="221"/>
      <c r="F157" s="221"/>
      <c r="G157" s="222"/>
      <c r="H157" s="221"/>
      <c r="I157" s="223"/>
      <c r="J157" s="237"/>
      <c r="K157" s="223"/>
      <c r="L157" s="236"/>
      <c r="M157" s="222"/>
      <c r="N157" s="224"/>
      <c r="O157" s="222"/>
      <c r="P157" s="224"/>
      <c r="Q157" s="222"/>
      <c r="R157" s="224"/>
      <c r="S157" s="239"/>
      <c r="T157" s="224"/>
      <c r="U157" s="239"/>
      <c r="V157" s="224"/>
      <c r="W157" s="261"/>
    </row>
    <row r="158" spans="1:23" x14ac:dyDescent="0.25">
      <c r="A158" s="215"/>
      <c r="B158" s="215"/>
      <c r="C158" s="215"/>
      <c r="D158" s="215"/>
      <c r="E158" s="221"/>
      <c r="F158" s="221"/>
      <c r="G158" s="222"/>
      <c r="H158" s="221"/>
      <c r="I158" s="223"/>
      <c r="J158" s="237"/>
      <c r="K158" s="223"/>
      <c r="L158" s="236"/>
      <c r="M158" s="222"/>
      <c r="N158" s="224"/>
      <c r="O158" s="222"/>
      <c r="P158" s="224"/>
      <c r="Q158" s="222"/>
      <c r="R158" s="224"/>
      <c r="S158" s="239"/>
      <c r="T158" s="224"/>
      <c r="U158" s="239"/>
      <c r="V158" s="224"/>
      <c r="W158" s="261"/>
    </row>
    <row r="159" spans="1:23" x14ac:dyDescent="0.25">
      <c r="A159" s="215"/>
      <c r="B159" s="215"/>
      <c r="C159" s="215"/>
      <c r="D159" s="215"/>
      <c r="E159" s="221"/>
      <c r="F159" s="221"/>
      <c r="G159" s="222"/>
      <c r="H159" s="221"/>
      <c r="I159" s="223"/>
      <c r="J159" s="237"/>
      <c r="K159" s="223"/>
      <c r="L159" s="236"/>
      <c r="M159" s="222"/>
      <c r="N159" s="224"/>
      <c r="O159" s="222"/>
      <c r="P159" s="224"/>
      <c r="Q159" s="222"/>
      <c r="R159" s="224"/>
      <c r="S159" s="239"/>
      <c r="T159" s="224"/>
      <c r="U159" s="239"/>
      <c r="V159" s="224"/>
      <c r="W159" s="261"/>
    </row>
    <row r="160" spans="1:23" x14ac:dyDescent="0.25">
      <c r="A160" s="215"/>
      <c r="B160" s="215"/>
      <c r="C160" s="215"/>
      <c r="D160" s="215"/>
      <c r="E160" s="221"/>
      <c r="F160" s="221"/>
      <c r="G160" s="222"/>
      <c r="H160" s="221"/>
      <c r="I160" s="223"/>
      <c r="J160" s="237"/>
      <c r="K160" s="223"/>
      <c r="L160" s="236"/>
      <c r="M160" s="222"/>
      <c r="N160" s="224"/>
      <c r="O160" s="222"/>
      <c r="P160" s="224"/>
      <c r="Q160" s="222"/>
      <c r="R160" s="224"/>
      <c r="S160" s="239"/>
      <c r="T160" s="224"/>
      <c r="U160" s="239"/>
      <c r="V160" s="224"/>
      <c r="W160" s="261"/>
    </row>
    <row r="161" spans="1:23" x14ac:dyDescent="0.25">
      <c r="A161" s="215"/>
      <c r="B161" s="215"/>
      <c r="C161" s="215"/>
      <c r="D161" s="215"/>
      <c r="E161" s="221"/>
      <c r="F161" s="221"/>
      <c r="G161" s="222"/>
      <c r="H161" s="221"/>
      <c r="I161" s="223"/>
      <c r="J161" s="237"/>
      <c r="K161" s="223"/>
      <c r="L161" s="236"/>
      <c r="M161" s="222"/>
      <c r="N161" s="224"/>
      <c r="O161" s="222"/>
      <c r="P161" s="224"/>
      <c r="Q161" s="222"/>
      <c r="R161" s="224"/>
      <c r="S161" s="239"/>
      <c r="T161" s="224"/>
      <c r="U161" s="239"/>
      <c r="V161" s="224"/>
      <c r="W161" s="261"/>
    </row>
    <row r="162" spans="1:23" x14ac:dyDescent="0.25">
      <c r="A162" s="215"/>
      <c r="B162" s="215"/>
      <c r="C162" s="215"/>
      <c r="D162" s="215"/>
      <c r="E162" s="221"/>
      <c r="F162" s="221"/>
      <c r="G162" s="222"/>
      <c r="H162" s="221"/>
      <c r="I162" s="223"/>
      <c r="J162" s="237"/>
      <c r="K162" s="223"/>
      <c r="L162" s="236"/>
      <c r="M162" s="222"/>
      <c r="N162" s="224"/>
      <c r="O162" s="222"/>
      <c r="P162" s="224"/>
      <c r="Q162" s="222"/>
      <c r="R162" s="224"/>
      <c r="S162" s="239"/>
      <c r="T162" s="224"/>
      <c r="U162" s="239"/>
      <c r="V162" s="224"/>
      <c r="W162" s="261"/>
    </row>
    <row r="163" spans="1:23" x14ac:dyDescent="0.25">
      <c r="A163" s="215"/>
      <c r="B163" s="215"/>
      <c r="C163" s="215"/>
      <c r="D163" s="215"/>
      <c r="E163" s="221"/>
      <c r="F163" s="221"/>
      <c r="G163" s="222"/>
      <c r="H163" s="221"/>
      <c r="I163" s="223"/>
      <c r="J163" s="237"/>
      <c r="K163" s="223"/>
      <c r="L163" s="236"/>
      <c r="M163" s="222"/>
      <c r="N163" s="224"/>
      <c r="O163" s="222"/>
      <c r="P163" s="224"/>
      <c r="Q163" s="222"/>
      <c r="R163" s="224"/>
      <c r="S163" s="239"/>
      <c r="T163" s="224"/>
      <c r="U163" s="239"/>
      <c r="V163" s="224"/>
      <c r="W163" s="261"/>
    </row>
    <row r="164" spans="1:23" x14ac:dyDescent="0.25">
      <c r="A164" s="215"/>
      <c r="B164" s="215"/>
      <c r="C164" s="215"/>
      <c r="D164" s="215"/>
      <c r="E164" s="221"/>
      <c r="F164" s="221"/>
      <c r="G164" s="222"/>
      <c r="H164" s="221"/>
      <c r="I164" s="223"/>
      <c r="J164" s="237"/>
      <c r="K164" s="223"/>
      <c r="L164" s="236"/>
      <c r="M164" s="222"/>
      <c r="N164" s="224"/>
      <c r="O164" s="222"/>
      <c r="P164" s="224"/>
      <c r="Q164" s="222"/>
      <c r="R164" s="224"/>
      <c r="S164" s="239"/>
      <c r="T164" s="224"/>
      <c r="U164" s="239"/>
      <c r="V164" s="224"/>
      <c r="W164" s="261"/>
    </row>
    <row r="165" spans="1:23" x14ac:dyDescent="0.25">
      <c r="A165" s="215"/>
      <c r="B165" s="215"/>
      <c r="C165" s="215"/>
      <c r="D165" s="215"/>
      <c r="E165" s="221"/>
      <c r="F165" s="221"/>
      <c r="G165" s="222"/>
      <c r="H165" s="221"/>
      <c r="I165" s="223"/>
      <c r="J165" s="237"/>
      <c r="K165" s="223"/>
      <c r="L165" s="236"/>
      <c r="M165" s="222"/>
      <c r="N165" s="224"/>
      <c r="O165" s="222"/>
      <c r="P165" s="224"/>
      <c r="Q165" s="222"/>
      <c r="R165" s="224"/>
      <c r="S165" s="239"/>
      <c r="T165" s="224"/>
      <c r="U165" s="239"/>
      <c r="V165" s="224"/>
      <c r="W165" s="261"/>
    </row>
    <row r="166" spans="1:23" x14ac:dyDescent="0.25">
      <c r="A166" s="215"/>
      <c r="B166" s="215"/>
      <c r="C166" s="215"/>
      <c r="D166" s="215"/>
      <c r="E166" s="221"/>
      <c r="F166" s="221"/>
      <c r="G166" s="222"/>
      <c r="H166" s="221"/>
      <c r="I166" s="223"/>
      <c r="J166" s="237"/>
      <c r="K166" s="223"/>
      <c r="L166" s="236"/>
      <c r="M166" s="222"/>
      <c r="N166" s="224"/>
      <c r="O166" s="222"/>
      <c r="P166" s="224"/>
      <c r="Q166" s="222"/>
      <c r="R166" s="224"/>
      <c r="S166" s="239"/>
      <c r="T166" s="224"/>
      <c r="U166" s="239"/>
      <c r="V166" s="224"/>
      <c r="W166" s="261"/>
    </row>
    <row r="167" spans="1:23" x14ac:dyDescent="0.25">
      <c r="A167" s="215"/>
      <c r="B167" s="215"/>
      <c r="C167" s="215"/>
      <c r="D167" s="215"/>
      <c r="E167" s="221"/>
      <c r="F167" s="221"/>
      <c r="G167" s="222"/>
      <c r="H167" s="221"/>
      <c r="I167" s="223"/>
      <c r="J167" s="237"/>
      <c r="K167" s="223"/>
      <c r="L167" s="236"/>
      <c r="M167" s="222"/>
      <c r="N167" s="224"/>
      <c r="O167" s="222"/>
      <c r="P167" s="224"/>
      <c r="Q167" s="222"/>
      <c r="R167" s="224"/>
      <c r="S167" s="239"/>
      <c r="T167" s="224"/>
      <c r="U167" s="239"/>
      <c r="V167" s="224"/>
      <c r="W167" s="261"/>
    </row>
    <row r="168" spans="1:23" x14ac:dyDescent="0.25">
      <c r="A168" s="215"/>
      <c r="B168" s="215"/>
      <c r="C168" s="215"/>
      <c r="D168" s="215"/>
      <c r="E168" s="221"/>
      <c r="F168" s="221"/>
      <c r="G168" s="222"/>
      <c r="H168" s="221"/>
      <c r="I168" s="223"/>
      <c r="J168" s="237"/>
      <c r="K168" s="223"/>
      <c r="L168" s="236"/>
      <c r="M168" s="222"/>
      <c r="N168" s="224"/>
      <c r="O168" s="222"/>
      <c r="P168" s="224"/>
      <c r="Q168" s="222"/>
      <c r="R168" s="224"/>
      <c r="S168" s="239"/>
      <c r="T168" s="224"/>
      <c r="U168" s="239"/>
      <c r="V168" s="224"/>
      <c r="W168" s="261"/>
    </row>
    <row r="169" spans="1:23" x14ac:dyDescent="0.25">
      <c r="A169" s="215"/>
      <c r="B169" s="215"/>
      <c r="C169" s="215"/>
      <c r="D169" s="215"/>
      <c r="E169" s="221"/>
      <c r="F169" s="221"/>
      <c r="G169" s="222"/>
      <c r="H169" s="221"/>
      <c r="I169" s="223"/>
      <c r="J169" s="237"/>
      <c r="K169" s="223"/>
      <c r="L169" s="236"/>
      <c r="M169" s="222"/>
      <c r="N169" s="224"/>
      <c r="O169" s="222"/>
      <c r="P169" s="224"/>
      <c r="Q169" s="222"/>
      <c r="R169" s="224"/>
      <c r="S169" s="239"/>
      <c r="T169" s="224"/>
      <c r="U169" s="239"/>
      <c r="V169" s="224"/>
      <c r="W169" s="261"/>
    </row>
    <row r="170" spans="1:23" x14ac:dyDescent="0.25">
      <c r="A170" s="215"/>
      <c r="B170" s="215"/>
      <c r="C170" s="215"/>
      <c r="D170" s="215"/>
      <c r="E170" s="221"/>
      <c r="F170" s="221"/>
      <c r="G170" s="222"/>
      <c r="H170" s="221"/>
      <c r="I170" s="223"/>
      <c r="J170" s="237"/>
      <c r="K170" s="223"/>
      <c r="L170" s="236"/>
      <c r="M170" s="222"/>
      <c r="N170" s="224"/>
      <c r="O170" s="222"/>
      <c r="P170" s="224"/>
      <c r="Q170" s="222"/>
      <c r="R170" s="224"/>
      <c r="S170" s="239"/>
      <c r="T170" s="224"/>
      <c r="U170" s="239"/>
      <c r="V170" s="224"/>
      <c r="W170" s="261"/>
    </row>
    <row r="171" spans="1:23" x14ac:dyDescent="0.25">
      <c r="A171" s="215"/>
      <c r="B171" s="215"/>
      <c r="C171" s="215"/>
      <c r="D171" s="215"/>
      <c r="E171" s="221"/>
      <c r="F171" s="221"/>
      <c r="G171" s="222"/>
      <c r="H171" s="221"/>
      <c r="I171" s="223"/>
      <c r="J171" s="237"/>
      <c r="K171" s="223"/>
      <c r="L171" s="236"/>
      <c r="M171" s="222"/>
      <c r="N171" s="224"/>
      <c r="O171" s="222"/>
      <c r="P171" s="224"/>
      <c r="Q171" s="222"/>
      <c r="R171" s="224"/>
      <c r="S171" s="239"/>
      <c r="T171" s="224"/>
      <c r="U171" s="239"/>
      <c r="V171" s="224"/>
      <c r="W171" s="261"/>
    </row>
    <row r="172" spans="1:23" x14ac:dyDescent="0.25">
      <c r="A172" s="215"/>
      <c r="B172" s="215"/>
      <c r="C172" s="215"/>
      <c r="D172" s="215"/>
      <c r="E172" s="221"/>
      <c r="F172" s="221"/>
      <c r="G172" s="222"/>
      <c r="H172" s="221"/>
      <c r="I172" s="223"/>
      <c r="J172" s="237"/>
      <c r="K172" s="223"/>
      <c r="L172" s="236"/>
      <c r="M172" s="222"/>
      <c r="N172" s="224"/>
      <c r="O172" s="222"/>
      <c r="P172" s="224"/>
      <c r="Q172" s="222"/>
      <c r="R172" s="224"/>
      <c r="S172" s="239"/>
      <c r="T172" s="224"/>
      <c r="U172" s="239"/>
      <c r="V172" s="224"/>
      <c r="W172" s="261"/>
    </row>
    <row r="173" spans="1:23" x14ac:dyDescent="0.25">
      <c r="A173" s="215"/>
      <c r="B173" s="215"/>
      <c r="C173" s="215"/>
      <c r="D173" s="215"/>
      <c r="E173" s="221"/>
      <c r="F173" s="221"/>
      <c r="G173" s="222"/>
      <c r="H173" s="221"/>
      <c r="I173" s="223"/>
      <c r="J173" s="237"/>
      <c r="K173" s="223"/>
      <c r="L173" s="236"/>
      <c r="M173" s="222"/>
      <c r="N173" s="224"/>
      <c r="O173" s="222"/>
      <c r="P173" s="224"/>
      <c r="Q173" s="222"/>
      <c r="R173" s="224"/>
      <c r="S173" s="239"/>
      <c r="T173" s="224"/>
      <c r="U173" s="239"/>
      <c r="V173" s="224"/>
      <c r="W173" s="261"/>
    </row>
    <row r="174" spans="1:23" x14ac:dyDescent="0.25">
      <c r="A174" s="215"/>
      <c r="B174" s="215"/>
      <c r="C174" s="215"/>
      <c r="D174" s="215"/>
      <c r="E174" s="221"/>
      <c r="F174" s="221"/>
      <c r="G174" s="222"/>
      <c r="H174" s="221"/>
      <c r="I174" s="223"/>
      <c r="J174" s="237"/>
      <c r="K174" s="223"/>
      <c r="L174" s="236"/>
      <c r="M174" s="222"/>
      <c r="N174" s="224"/>
      <c r="O174" s="222"/>
      <c r="P174" s="224"/>
      <c r="Q174" s="222"/>
      <c r="R174" s="224"/>
      <c r="S174" s="239"/>
      <c r="T174" s="224"/>
      <c r="U174" s="239"/>
      <c r="V174" s="224"/>
      <c r="W174" s="261"/>
    </row>
    <row r="175" spans="1:23" x14ac:dyDescent="0.25">
      <c r="A175" s="215"/>
      <c r="B175" s="215"/>
      <c r="C175" s="215"/>
      <c r="D175" s="215"/>
      <c r="E175" s="221"/>
      <c r="F175" s="221"/>
      <c r="G175" s="222"/>
      <c r="H175" s="221"/>
      <c r="I175" s="223"/>
      <c r="J175" s="237"/>
      <c r="K175" s="223"/>
      <c r="L175" s="236"/>
      <c r="M175" s="222"/>
      <c r="N175" s="224"/>
      <c r="O175" s="222"/>
      <c r="P175" s="224"/>
      <c r="Q175" s="222"/>
      <c r="R175" s="224"/>
      <c r="S175" s="239"/>
      <c r="T175" s="224"/>
      <c r="U175" s="239"/>
      <c r="V175" s="224"/>
      <c r="W175" s="261"/>
    </row>
    <row r="176" spans="1:23" x14ac:dyDescent="0.25">
      <c r="A176" s="215"/>
      <c r="B176" s="215"/>
      <c r="C176" s="215"/>
      <c r="D176" s="215"/>
      <c r="E176" s="221"/>
      <c r="F176" s="221"/>
      <c r="G176" s="222"/>
      <c r="H176" s="221"/>
      <c r="I176" s="223"/>
      <c r="J176" s="237"/>
      <c r="K176" s="223"/>
      <c r="L176" s="236"/>
      <c r="M176" s="222"/>
      <c r="N176" s="224"/>
      <c r="O176" s="222"/>
      <c r="P176" s="224"/>
      <c r="Q176" s="222"/>
      <c r="R176" s="224"/>
      <c r="S176" s="239"/>
      <c r="T176" s="224"/>
      <c r="U176" s="239"/>
      <c r="V176" s="224"/>
      <c r="W176" s="261"/>
    </row>
    <row r="177" spans="1:23" x14ac:dyDescent="0.25">
      <c r="A177" s="215"/>
      <c r="B177" s="215"/>
      <c r="C177" s="215"/>
      <c r="D177" s="215"/>
      <c r="E177" s="221"/>
      <c r="F177" s="221"/>
      <c r="G177" s="222"/>
      <c r="H177" s="221"/>
      <c r="I177" s="223"/>
      <c r="J177" s="237"/>
      <c r="K177" s="223"/>
      <c r="L177" s="236"/>
      <c r="M177" s="222"/>
      <c r="N177" s="224"/>
      <c r="O177" s="222"/>
      <c r="P177" s="224"/>
      <c r="Q177" s="222"/>
      <c r="R177" s="224"/>
      <c r="S177" s="239"/>
      <c r="T177" s="224"/>
      <c r="U177" s="239"/>
      <c r="V177" s="224"/>
      <c r="W177" s="261"/>
    </row>
    <row r="178" spans="1:23" x14ac:dyDescent="0.25">
      <c r="A178" s="215"/>
      <c r="B178" s="215"/>
      <c r="C178" s="215"/>
      <c r="D178" s="215"/>
      <c r="E178" s="221"/>
      <c r="F178" s="221"/>
      <c r="G178" s="222"/>
      <c r="H178" s="221"/>
      <c r="I178" s="223"/>
      <c r="J178" s="237"/>
      <c r="K178" s="223"/>
      <c r="L178" s="236"/>
      <c r="M178" s="222"/>
      <c r="N178" s="224"/>
      <c r="O178" s="222"/>
      <c r="P178" s="224"/>
      <c r="Q178" s="222"/>
      <c r="R178" s="224"/>
      <c r="S178" s="239"/>
      <c r="T178" s="224"/>
      <c r="U178" s="239"/>
      <c r="V178" s="224"/>
      <c r="W178" s="261"/>
    </row>
    <row r="179" spans="1:23" x14ac:dyDescent="0.25">
      <c r="A179" s="215"/>
      <c r="B179" s="215"/>
      <c r="C179" s="215"/>
      <c r="D179" s="215"/>
      <c r="E179" s="221"/>
      <c r="F179" s="221"/>
      <c r="G179" s="222"/>
      <c r="H179" s="221"/>
      <c r="I179" s="223"/>
      <c r="J179" s="237"/>
      <c r="K179" s="223"/>
      <c r="L179" s="236"/>
      <c r="M179" s="222"/>
      <c r="N179" s="224"/>
      <c r="O179" s="222"/>
      <c r="P179" s="224"/>
      <c r="Q179" s="222"/>
      <c r="R179" s="224"/>
      <c r="S179" s="239"/>
      <c r="T179" s="224"/>
      <c r="U179" s="239"/>
      <c r="V179" s="224"/>
      <c r="W179" s="261"/>
    </row>
    <row r="180" spans="1:23" x14ac:dyDescent="0.25">
      <c r="A180" s="215"/>
      <c r="B180" s="215"/>
      <c r="C180" s="215"/>
      <c r="D180" s="215"/>
      <c r="E180" s="221"/>
      <c r="F180" s="221"/>
      <c r="G180" s="222"/>
      <c r="H180" s="221"/>
      <c r="I180" s="223"/>
      <c r="J180" s="237"/>
      <c r="K180" s="223"/>
      <c r="L180" s="236"/>
      <c r="M180" s="222"/>
      <c r="N180" s="224"/>
      <c r="O180" s="222"/>
      <c r="P180" s="224"/>
      <c r="Q180" s="222"/>
      <c r="R180" s="224"/>
      <c r="S180" s="239"/>
      <c r="T180" s="224"/>
      <c r="U180" s="239"/>
      <c r="V180" s="224"/>
      <c r="W180" s="261"/>
    </row>
    <row r="181" spans="1:23" x14ac:dyDescent="0.25">
      <c r="A181" s="215"/>
      <c r="B181" s="215"/>
      <c r="C181" s="215"/>
      <c r="D181" s="215"/>
      <c r="E181" s="221"/>
      <c r="F181" s="221"/>
      <c r="G181" s="222"/>
      <c r="H181" s="221"/>
      <c r="I181" s="223"/>
      <c r="J181" s="237"/>
      <c r="K181" s="223"/>
      <c r="L181" s="236"/>
      <c r="M181" s="222"/>
      <c r="N181" s="224"/>
      <c r="O181" s="222"/>
      <c r="P181" s="224"/>
      <c r="Q181" s="222"/>
      <c r="R181" s="224"/>
      <c r="S181" s="239"/>
      <c r="T181" s="224"/>
      <c r="U181" s="239"/>
      <c r="V181" s="224"/>
      <c r="W181" s="261"/>
    </row>
    <row r="182" spans="1:23" x14ac:dyDescent="0.25">
      <c r="A182" s="215"/>
      <c r="B182" s="215"/>
      <c r="C182" s="215"/>
      <c r="D182" s="215"/>
      <c r="E182" s="221"/>
      <c r="F182" s="221"/>
      <c r="G182" s="222"/>
      <c r="H182" s="221"/>
      <c r="I182" s="223"/>
      <c r="J182" s="237"/>
      <c r="K182" s="223"/>
      <c r="L182" s="236"/>
      <c r="M182" s="222"/>
      <c r="N182" s="224"/>
      <c r="O182" s="222"/>
      <c r="P182" s="224"/>
      <c r="Q182" s="222"/>
      <c r="R182" s="224"/>
      <c r="S182" s="239"/>
      <c r="T182" s="224"/>
      <c r="U182" s="239"/>
      <c r="V182" s="224"/>
      <c r="W182" s="261"/>
    </row>
    <row r="183" spans="1:23" x14ac:dyDescent="0.25">
      <c r="A183" s="215"/>
      <c r="B183" s="215"/>
      <c r="C183" s="215"/>
      <c r="D183" s="215"/>
      <c r="E183" s="221"/>
      <c r="F183" s="221"/>
      <c r="G183" s="222"/>
      <c r="H183" s="221"/>
      <c r="I183" s="223"/>
      <c r="J183" s="237"/>
      <c r="K183" s="223"/>
      <c r="L183" s="236"/>
      <c r="M183" s="222"/>
      <c r="N183" s="224"/>
      <c r="O183" s="222"/>
      <c r="P183" s="224"/>
      <c r="Q183" s="222"/>
      <c r="R183" s="224"/>
      <c r="S183" s="239"/>
      <c r="T183" s="224"/>
      <c r="U183" s="239"/>
      <c r="V183" s="224"/>
      <c r="W183" s="261"/>
    </row>
    <row r="184" spans="1:23" x14ac:dyDescent="0.25">
      <c r="A184" s="215"/>
      <c r="B184" s="215"/>
      <c r="C184" s="215"/>
      <c r="D184" s="215"/>
      <c r="E184" s="221"/>
      <c r="F184" s="221"/>
      <c r="G184" s="222"/>
      <c r="H184" s="221"/>
      <c r="I184" s="223"/>
      <c r="J184" s="237"/>
      <c r="K184" s="223"/>
      <c r="L184" s="236"/>
      <c r="M184" s="222"/>
      <c r="N184" s="224"/>
      <c r="O184" s="222"/>
      <c r="P184" s="224"/>
      <c r="Q184" s="222"/>
      <c r="R184" s="224"/>
      <c r="S184" s="239"/>
      <c r="T184" s="224"/>
      <c r="U184" s="239"/>
      <c r="V184" s="224"/>
      <c r="W184" s="261"/>
    </row>
    <row r="185" spans="1:23" x14ac:dyDescent="0.25">
      <c r="A185" s="215"/>
      <c r="B185" s="215"/>
      <c r="C185" s="215"/>
      <c r="D185" s="215"/>
      <c r="E185" s="221"/>
      <c r="F185" s="221"/>
      <c r="G185" s="222"/>
      <c r="H185" s="221"/>
      <c r="I185" s="223"/>
      <c r="J185" s="237"/>
      <c r="K185" s="223"/>
      <c r="L185" s="236"/>
      <c r="M185" s="222"/>
      <c r="N185" s="224"/>
      <c r="O185" s="222"/>
      <c r="P185" s="224"/>
      <c r="Q185" s="222"/>
      <c r="R185" s="224"/>
      <c r="S185" s="239"/>
      <c r="T185" s="224"/>
      <c r="U185" s="239"/>
      <c r="V185" s="224"/>
      <c r="W185" s="261"/>
    </row>
    <row r="186" spans="1:23" x14ac:dyDescent="0.25">
      <c r="A186" s="215"/>
      <c r="B186" s="215"/>
      <c r="C186" s="215"/>
      <c r="D186" s="215"/>
      <c r="E186" s="221"/>
      <c r="F186" s="221"/>
      <c r="G186" s="222"/>
      <c r="H186" s="221"/>
      <c r="I186" s="223"/>
      <c r="J186" s="237"/>
      <c r="K186" s="223"/>
      <c r="L186" s="236"/>
      <c r="M186" s="222"/>
      <c r="N186" s="224"/>
      <c r="O186" s="222"/>
      <c r="P186" s="224"/>
      <c r="Q186" s="222"/>
      <c r="R186" s="224"/>
      <c r="S186" s="239"/>
      <c r="T186" s="224"/>
      <c r="U186" s="239"/>
      <c r="V186" s="224"/>
      <c r="W186" s="261"/>
    </row>
    <row r="187" spans="1:23" x14ac:dyDescent="0.25">
      <c r="A187" s="215"/>
      <c r="B187" s="215"/>
      <c r="C187" s="215"/>
      <c r="D187" s="215"/>
      <c r="E187" s="221"/>
      <c r="F187" s="221"/>
      <c r="G187" s="222"/>
      <c r="H187" s="221"/>
      <c r="I187" s="223"/>
      <c r="J187" s="237"/>
      <c r="K187" s="223"/>
      <c r="L187" s="236"/>
      <c r="M187" s="222"/>
      <c r="N187" s="224"/>
      <c r="O187" s="222"/>
      <c r="P187" s="224"/>
      <c r="Q187" s="222"/>
      <c r="R187" s="224"/>
      <c r="S187" s="239"/>
      <c r="T187" s="224"/>
      <c r="U187" s="239"/>
      <c r="V187" s="224"/>
      <c r="W187" s="261"/>
    </row>
    <row r="188" spans="1:23" x14ac:dyDescent="0.25">
      <c r="A188" s="215"/>
      <c r="B188" s="215"/>
      <c r="C188" s="215"/>
      <c r="D188" s="215"/>
      <c r="E188" s="221"/>
      <c r="F188" s="221"/>
      <c r="G188" s="222"/>
      <c r="H188" s="221"/>
      <c r="I188" s="223"/>
      <c r="J188" s="237"/>
      <c r="K188" s="223"/>
      <c r="L188" s="236"/>
      <c r="M188" s="222"/>
      <c r="N188" s="224"/>
      <c r="O188" s="222"/>
      <c r="P188" s="224"/>
      <c r="Q188" s="222"/>
      <c r="R188" s="224"/>
      <c r="S188" s="239"/>
      <c r="T188" s="224"/>
      <c r="U188" s="239"/>
      <c r="V188" s="224"/>
      <c r="W188" s="261"/>
    </row>
    <row r="189" spans="1:23" x14ac:dyDescent="0.25">
      <c r="A189" s="215"/>
      <c r="B189" s="215"/>
      <c r="C189" s="215"/>
      <c r="D189" s="215"/>
      <c r="E189" s="221"/>
      <c r="F189" s="221"/>
      <c r="G189" s="222"/>
      <c r="H189" s="221"/>
      <c r="I189" s="223"/>
      <c r="J189" s="237"/>
      <c r="K189" s="223"/>
      <c r="L189" s="236"/>
      <c r="M189" s="222"/>
      <c r="N189" s="224"/>
      <c r="O189" s="222"/>
      <c r="P189" s="224"/>
      <c r="Q189" s="222"/>
      <c r="R189" s="224"/>
      <c r="S189" s="239"/>
      <c r="T189" s="224"/>
      <c r="U189" s="239"/>
      <c r="V189" s="224"/>
      <c r="W189" s="261"/>
    </row>
    <row r="190" spans="1:23" x14ac:dyDescent="0.25">
      <c r="A190" s="215"/>
      <c r="B190" s="215"/>
      <c r="C190" s="215"/>
      <c r="D190" s="215"/>
      <c r="E190" s="221"/>
      <c r="F190" s="221"/>
      <c r="G190" s="222"/>
      <c r="H190" s="221"/>
      <c r="I190" s="223"/>
      <c r="J190" s="237"/>
      <c r="K190" s="223"/>
      <c r="L190" s="236"/>
      <c r="M190" s="222"/>
      <c r="N190" s="224"/>
      <c r="O190" s="222"/>
      <c r="P190" s="224"/>
      <c r="Q190" s="222"/>
      <c r="R190" s="224"/>
      <c r="S190" s="239"/>
      <c r="T190" s="224"/>
      <c r="U190" s="239"/>
      <c r="V190" s="224"/>
      <c r="W190" s="261"/>
    </row>
    <row r="191" spans="1:23" x14ac:dyDescent="0.25">
      <c r="A191" s="215"/>
      <c r="B191" s="215"/>
      <c r="C191" s="215"/>
      <c r="D191" s="215"/>
      <c r="E191" s="221"/>
      <c r="F191" s="221"/>
      <c r="G191" s="222"/>
      <c r="H191" s="221"/>
      <c r="I191" s="223"/>
      <c r="J191" s="237"/>
      <c r="K191" s="223"/>
      <c r="L191" s="236"/>
      <c r="M191" s="222"/>
      <c r="N191" s="224"/>
      <c r="O191" s="222"/>
      <c r="P191" s="224"/>
      <c r="Q191" s="222"/>
      <c r="R191" s="224"/>
      <c r="S191" s="239"/>
      <c r="T191" s="224"/>
      <c r="U191" s="239"/>
      <c r="V191" s="224"/>
      <c r="W191" s="261"/>
    </row>
    <row r="192" spans="1:23" x14ac:dyDescent="0.25">
      <c r="A192" s="215"/>
      <c r="B192" s="215"/>
      <c r="C192" s="215"/>
      <c r="D192" s="215"/>
      <c r="E192" s="221"/>
      <c r="F192" s="221"/>
      <c r="G192" s="222"/>
      <c r="H192" s="221"/>
      <c r="I192" s="223"/>
      <c r="J192" s="237"/>
      <c r="K192" s="223"/>
      <c r="L192" s="236"/>
      <c r="M192" s="222"/>
      <c r="N192" s="224"/>
      <c r="O192" s="222"/>
      <c r="P192" s="224"/>
      <c r="Q192" s="222"/>
      <c r="R192" s="224"/>
      <c r="S192" s="239"/>
      <c r="T192" s="224"/>
      <c r="U192" s="239"/>
      <c r="V192" s="224"/>
      <c r="W192" s="261"/>
    </row>
    <row r="193" spans="1:23" x14ac:dyDescent="0.25">
      <c r="A193" s="215"/>
      <c r="B193" s="215"/>
      <c r="C193" s="215"/>
      <c r="D193" s="215"/>
      <c r="E193" s="221"/>
      <c r="F193" s="221"/>
      <c r="G193" s="222"/>
      <c r="H193" s="221"/>
      <c r="I193" s="223"/>
      <c r="J193" s="237"/>
      <c r="K193" s="223"/>
      <c r="L193" s="236"/>
      <c r="M193" s="222"/>
      <c r="N193" s="224"/>
      <c r="O193" s="222"/>
      <c r="P193" s="224"/>
      <c r="Q193" s="222"/>
      <c r="R193" s="224"/>
      <c r="S193" s="239"/>
      <c r="T193" s="224"/>
      <c r="U193" s="239"/>
      <c r="V193" s="224"/>
      <c r="W193" s="261"/>
    </row>
    <row r="194" spans="1:23" x14ac:dyDescent="0.25">
      <c r="A194" s="215"/>
      <c r="B194" s="215"/>
      <c r="C194" s="215"/>
      <c r="D194" s="215"/>
      <c r="E194" s="221"/>
      <c r="F194" s="221"/>
      <c r="G194" s="222"/>
      <c r="H194" s="221"/>
      <c r="I194" s="223"/>
      <c r="J194" s="237"/>
      <c r="K194" s="223"/>
      <c r="L194" s="236"/>
      <c r="M194" s="222"/>
      <c r="N194" s="224"/>
      <c r="O194" s="222"/>
      <c r="P194" s="224"/>
      <c r="Q194" s="222"/>
      <c r="R194" s="224"/>
      <c r="S194" s="239"/>
      <c r="T194" s="224"/>
      <c r="U194" s="239"/>
      <c r="V194" s="224"/>
      <c r="W194" s="261"/>
    </row>
    <row r="195" spans="1:23" x14ac:dyDescent="0.25">
      <c r="A195" s="215"/>
      <c r="B195" s="215"/>
      <c r="C195" s="215"/>
      <c r="D195" s="215"/>
      <c r="E195" s="221"/>
      <c r="F195" s="221"/>
      <c r="G195" s="222"/>
      <c r="H195" s="221"/>
      <c r="I195" s="223"/>
      <c r="J195" s="237"/>
      <c r="K195" s="223"/>
      <c r="L195" s="236"/>
      <c r="M195" s="222"/>
      <c r="N195" s="224"/>
      <c r="O195" s="222"/>
      <c r="P195" s="224"/>
      <c r="Q195" s="222"/>
      <c r="R195" s="224"/>
      <c r="S195" s="239"/>
      <c r="T195" s="224"/>
      <c r="U195" s="239"/>
      <c r="V195" s="224"/>
      <c r="W195" s="261"/>
    </row>
    <row r="196" spans="1:23" x14ac:dyDescent="0.25">
      <c r="A196" s="215"/>
      <c r="B196" s="215"/>
      <c r="C196" s="215"/>
      <c r="D196" s="215"/>
      <c r="E196" s="221"/>
      <c r="F196" s="221"/>
      <c r="G196" s="222"/>
      <c r="H196" s="221"/>
      <c r="I196" s="223"/>
      <c r="J196" s="237"/>
      <c r="K196" s="223"/>
      <c r="L196" s="236"/>
      <c r="M196" s="222"/>
      <c r="N196" s="224"/>
      <c r="O196" s="222"/>
      <c r="P196" s="224"/>
      <c r="Q196" s="222"/>
      <c r="R196" s="224"/>
      <c r="S196" s="239"/>
      <c r="T196" s="224"/>
      <c r="U196" s="239"/>
      <c r="V196" s="224"/>
      <c r="W196" s="261"/>
    </row>
    <row r="197" spans="1:23" x14ac:dyDescent="0.25">
      <c r="A197" s="215"/>
      <c r="B197" s="215"/>
      <c r="C197" s="215"/>
      <c r="D197" s="215"/>
      <c r="E197" s="221"/>
      <c r="F197" s="221"/>
      <c r="G197" s="222"/>
      <c r="H197" s="221"/>
      <c r="I197" s="223"/>
      <c r="J197" s="237"/>
      <c r="K197" s="223"/>
      <c r="L197" s="236"/>
      <c r="M197" s="222"/>
      <c r="N197" s="224"/>
      <c r="O197" s="222"/>
      <c r="P197" s="224"/>
      <c r="Q197" s="222"/>
      <c r="R197" s="224"/>
      <c r="S197" s="239"/>
      <c r="T197" s="224"/>
      <c r="U197" s="239"/>
      <c r="V197" s="224"/>
      <c r="W197" s="261"/>
    </row>
    <row r="198" spans="1:23" x14ac:dyDescent="0.25">
      <c r="A198" s="215"/>
      <c r="B198" s="215"/>
      <c r="C198" s="215"/>
      <c r="D198" s="215"/>
      <c r="E198" s="221"/>
      <c r="F198" s="221"/>
      <c r="G198" s="222"/>
      <c r="H198" s="221"/>
      <c r="I198" s="223"/>
      <c r="J198" s="237"/>
      <c r="K198" s="223"/>
      <c r="L198" s="236"/>
      <c r="M198" s="222"/>
      <c r="N198" s="224"/>
      <c r="O198" s="222"/>
      <c r="P198" s="224"/>
      <c r="Q198" s="222"/>
      <c r="R198" s="224"/>
      <c r="S198" s="239"/>
      <c r="T198" s="224"/>
      <c r="U198" s="239"/>
      <c r="V198" s="224"/>
      <c r="W198" s="261"/>
    </row>
    <row r="199" spans="1:23" x14ac:dyDescent="0.25">
      <c r="A199" s="215"/>
      <c r="B199" s="215"/>
      <c r="C199" s="215"/>
      <c r="D199" s="215"/>
      <c r="E199" s="221"/>
      <c r="F199" s="221"/>
      <c r="G199" s="222"/>
      <c r="H199" s="221"/>
      <c r="I199" s="223"/>
      <c r="J199" s="237"/>
      <c r="K199" s="223"/>
      <c r="L199" s="236"/>
      <c r="M199" s="222"/>
      <c r="N199" s="224"/>
      <c r="O199" s="222"/>
      <c r="P199" s="224"/>
      <c r="Q199" s="222"/>
      <c r="R199" s="224"/>
      <c r="S199" s="239"/>
      <c r="T199" s="224"/>
      <c r="U199" s="239"/>
      <c r="V199" s="224"/>
      <c r="W199" s="261"/>
    </row>
    <row r="200" spans="1:23" x14ac:dyDescent="0.25">
      <c r="A200" s="215"/>
      <c r="B200" s="215"/>
      <c r="C200" s="215"/>
      <c r="D200" s="215"/>
      <c r="E200" s="221"/>
      <c r="F200" s="221"/>
      <c r="G200" s="222"/>
      <c r="H200" s="221"/>
      <c r="I200" s="223"/>
      <c r="J200" s="237"/>
      <c r="K200" s="223"/>
      <c r="L200" s="236"/>
      <c r="M200" s="222"/>
      <c r="N200" s="224"/>
      <c r="O200" s="222"/>
      <c r="P200" s="224"/>
      <c r="Q200" s="222"/>
      <c r="R200" s="224"/>
      <c r="S200" s="239"/>
      <c r="T200" s="224"/>
      <c r="U200" s="239"/>
      <c r="V200" s="224"/>
      <c r="W200" s="261"/>
    </row>
    <row r="201" spans="1:23" x14ac:dyDescent="0.25">
      <c r="A201" s="215"/>
      <c r="B201" s="215"/>
      <c r="C201" s="215"/>
      <c r="D201" s="215"/>
      <c r="E201" s="221"/>
      <c r="F201" s="221"/>
      <c r="G201" s="222"/>
      <c r="H201" s="221"/>
      <c r="I201" s="223"/>
      <c r="J201" s="237"/>
      <c r="K201" s="223"/>
      <c r="L201" s="236"/>
      <c r="M201" s="222"/>
      <c r="N201" s="224"/>
      <c r="O201" s="222"/>
      <c r="P201" s="224"/>
      <c r="Q201" s="222"/>
      <c r="R201" s="224"/>
      <c r="S201" s="239"/>
      <c r="T201" s="224"/>
      <c r="U201" s="239"/>
      <c r="V201" s="224"/>
      <c r="W201" s="261"/>
    </row>
    <row r="202" spans="1:23" x14ac:dyDescent="0.25">
      <c r="A202" s="215"/>
      <c r="B202" s="215"/>
      <c r="C202" s="215"/>
      <c r="D202" s="215"/>
      <c r="E202" s="221"/>
      <c r="F202" s="221"/>
      <c r="G202" s="222"/>
      <c r="H202" s="221"/>
      <c r="I202" s="223"/>
      <c r="J202" s="237"/>
      <c r="K202" s="223"/>
      <c r="L202" s="236"/>
      <c r="M202" s="222"/>
      <c r="N202" s="224"/>
      <c r="O202" s="222"/>
      <c r="P202" s="224"/>
      <c r="Q202" s="222"/>
      <c r="R202" s="224"/>
      <c r="S202" s="239"/>
      <c r="T202" s="224"/>
      <c r="U202" s="239"/>
      <c r="V202" s="224"/>
      <c r="W202" s="261"/>
    </row>
    <row r="203" spans="1:23" x14ac:dyDescent="0.25">
      <c r="A203" s="215"/>
      <c r="B203" s="215"/>
      <c r="C203" s="215"/>
      <c r="D203" s="215"/>
      <c r="E203" s="221"/>
      <c r="F203" s="221"/>
      <c r="G203" s="222"/>
      <c r="H203" s="221"/>
      <c r="I203" s="223"/>
      <c r="J203" s="237"/>
      <c r="K203" s="223"/>
      <c r="L203" s="236"/>
      <c r="M203" s="222"/>
      <c r="N203" s="224"/>
      <c r="O203" s="222"/>
      <c r="P203" s="224"/>
      <c r="Q203" s="222"/>
      <c r="R203" s="224"/>
      <c r="S203" s="239"/>
      <c r="T203" s="224"/>
      <c r="U203" s="239"/>
      <c r="V203" s="224"/>
      <c r="W203" s="261"/>
    </row>
    <row r="204" spans="1:23" x14ac:dyDescent="0.25">
      <c r="A204" s="215"/>
      <c r="B204" s="215"/>
      <c r="C204" s="215"/>
      <c r="D204" s="215"/>
      <c r="E204" s="221"/>
      <c r="F204" s="221"/>
      <c r="G204" s="222"/>
      <c r="H204" s="221"/>
      <c r="I204" s="223"/>
      <c r="J204" s="237"/>
      <c r="K204" s="223"/>
      <c r="L204" s="236"/>
      <c r="M204" s="222"/>
      <c r="N204" s="224"/>
      <c r="O204" s="222"/>
      <c r="P204" s="224"/>
      <c r="Q204" s="222"/>
      <c r="R204" s="224"/>
      <c r="S204" s="239"/>
      <c r="T204" s="224"/>
      <c r="U204" s="239"/>
      <c r="V204" s="224"/>
      <c r="W204" s="261"/>
    </row>
    <row r="205" spans="1:23" x14ac:dyDescent="0.25">
      <c r="A205" s="215"/>
      <c r="B205" s="215"/>
      <c r="C205" s="215"/>
      <c r="D205" s="215"/>
      <c r="E205" s="221"/>
      <c r="F205" s="221"/>
      <c r="G205" s="222"/>
      <c r="H205" s="221"/>
      <c r="I205" s="223"/>
      <c r="J205" s="237"/>
      <c r="K205" s="223"/>
      <c r="L205" s="236"/>
      <c r="M205" s="222"/>
      <c r="N205" s="224"/>
      <c r="O205" s="222"/>
      <c r="P205" s="224"/>
      <c r="Q205" s="222"/>
      <c r="R205" s="224"/>
      <c r="S205" s="239"/>
      <c r="T205" s="224"/>
      <c r="U205" s="239"/>
      <c r="V205" s="224"/>
      <c r="W205" s="261"/>
    </row>
    <row r="206" spans="1:23" x14ac:dyDescent="0.25">
      <c r="A206" s="215"/>
      <c r="B206" s="215"/>
      <c r="C206" s="215"/>
      <c r="D206" s="215"/>
      <c r="E206" s="221"/>
      <c r="F206" s="221"/>
      <c r="G206" s="222"/>
      <c r="H206" s="221"/>
      <c r="I206" s="223"/>
      <c r="J206" s="237"/>
      <c r="K206" s="223"/>
      <c r="L206" s="236"/>
      <c r="M206" s="222"/>
      <c r="N206" s="224"/>
      <c r="O206" s="222"/>
      <c r="P206" s="224"/>
      <c r="Q206" s="222"/>
      <c r="R206" s="224"/>
      <c r="S206" s="239"/>
      <c r="T206" s="224"/>
      <c r="U206" s="239"/>
      <c r="V206" s="224"/>
      <c r="W206" s="261"/>
    </row>
    <row r="207" spans="1:23" x14ac:dyDescent="0.25">
      <c r="A207" s="215"/>
      <c r="B207" s="215"/>
      <c r="C207" s="215"/>
      <c r="D207" s="215"/>
      <c r="E207" s="221"/>
      <c r="F207" s="221"/>
      <c r="G207" s="222"/>
      <c r="H207" s="221"/>
      <c r="I207" s="223"/>
      <c r="J207" s="237"/>
      <c r="K207" s="223"/>
      <c r="L207" s="236"/>
      <c r="M207" s="222"/>
      <c r="N207" s="224"/>
      <c r="O207" s="222"/>
      <c r="P207" s="224"/>
      <c r="Q207" s="222"/>
      <c r="R207" s="224"/>
      <c r="S207" s="239"/>
      <c r="T207" s="224"/>
      <c r="U207" s="239"/>
      <c r="V207" s="224"/>
      <c r="W207" s="261"/>
    </row>
    <row r="208" spans="1:23" x14ac:dyDescent="0.25">
      <c r="A208" s="215"/>
      <c r="B208" s="215"/>
      <c r="C208" s="215"/>
      <c r="D208" s="215"/>
      <c r="E208" s="221"/>
      <c r="F208" s="221"/>
      <c r="G208" s="222"/>
      <c r="H208" s="221"/>
      <c r="I208" s="223"/>
      <c r="J208" s="237"/>
      <c r="K208" s="223"/>
      <c r="L208" s="236"/>
      <c r="M208" s="222"/>
      <c r="N208" s="224"/>
      <c r="O208" s="222"/>
      <c r="P208" s="224"/>
      <c r="Q208" s="222"/>
      <c r="R208" s="224"/>
      <c r="S208" s="239"/>
      <c r="T208" s="224"/>
      <c r="U208" s="239"/>
      <c r="V208" s="224"/>
      <c r="W208" s="261"/>
    </row>
    <row r="209" spans="1:23" x14ac:dyDescent="0.25">
      <c r="A209" s="215"/>
      <c r="B209" s="215"/>
      <c r="C209" s="215"/>
      <c r="D209" s="215"/>
      <c r="E209" s="221"/>
      <c r="F209" s="221"/>
      <c r="G209" s="222"/>
      <c r="H209" s="221"/>
      <c r="I209" s="223"/>
      <c r="J209" s="237"/>
      <c r="K209" s="223"/>
      <c r="L209" s="236"/>
      <c r="M209" s="222"/>
      <c r="N209" s="224"/>
      <c r="O209" s="222"/>
      <c r="P209" s="224"/>
      <c r="Q209" s="222"/>
      <c r="R209" s="224"/>
      <c r="S209" s="239"/>
      <c r="T209" s="224"/>
      <c r="U209" s="239"/>
      <c r="V209" s="224"/>
      <c r="W209" s="261"/>
    </row>
    <row r="210" spans="1:23" x14ac:dyDescent="0.25">
      <c r="A210" s="215"/>
      <c r="B210" s="215"/>
      <c r="C210" s="215"/>
      <c r="D210" s="215"/>
      <c r="E210" s="221"/>
      <c r="F210" s="221"/>
      <c r="G210" s="222"/>
      <c r="H210" s="221"/>
      <c r="I210" s="223"/>
      <c r="J210" s="237"/>
      <c r="K210" s="223"/>
      <c r="L210" s="236"/>
      <c r="M210" s="222"/>
      <c r="N210" s="224"/>
      <c r="O210" s="222"/>
      <c r="P210" s="224"/>
      <c r="Q210" s="222"/>
      <c r="R210" s="224"/>
      <c r="S210" s="239"/>
      <c r="T210" s="224"/>
      <c r="U210" s="239"/>
      <c r="V210" s="224"/>
      <c r="W210" s="261"/>
    </row>
    <row r="211" spans="1:23" x14ac:dyDescent="0.25">
      <c r="A211" s="215"/>
      <c r="B211" s="215"/>
      <c r="C211" s="215"/>
      <c r="D211" s="215"/>
      <c r="E211" s="221"/>
      <c r="F211" s="221"/>
      <c r="G211" s="222"/>
      <c r="H211" s="221"/>
      <c r="I211" s="223"/>
      <c r="J211" s="237"/>
      <c r="K211" s="223"/>
      <c r="L211" s="236"/>
      <c r="M211" s="222"/>
      <c r="N211" s="224"/>
      <c r="O211" s="222"/>
      <c r="P211" s="224"/>
      <c r="Q211" s="222"/>
      <c r="R211" s="224"/>
      <c r="S211" s="239"/>
      <c r="T211" s="224"/>
      <c r="U211" s="239"/>
      <c r="V211" s="224"/>
      <c r="W211" s="261"/>
    </row>
    <row r="212" spans="1:23" x14ac:dyDescent="0.25">
      <c r="A212" s="215"/>
      <c r="B212" s="215"/>
      <c r="C212" s="215"/>
      <c r="D212" s="215"/>
      <c r="E212" s="221"/>
      <c r="F212" s="221"/>
      <c r="G212" s="222"/>
      <c r="H212" s="221"/>
      <c r="I212" s="223"/>
      <c r="J212" s="237"/>
      <c r="K212" s="223"/>
      <c r="L212" s="236"/>
      <c r="M212" s="222"/>
      <c r="N212" s="224"/>
      <c r="O212" s="222"/>
      <c r="P212" s="224"/>
      <c r="Q212" s="222"/>
      <c r="R212" s="224"/>
      <c r="S212" s="239"/>
      <c r="T212" s="224"/>
      <c r="U212" s="239"/>
      <c r="V212" s="224"/>
      <c r="W212" s="261"/>
    </row>
    <row r="213" spans="1:23" x14ac:dyDescent="0.25">
      <c r="A213" s="215"/>
      <c r="B213" s="215"/>
      <c r="C213" s="215"/>
      <c r="D213" s="215"/>
      <c r="E213" s="221"/>
      <c r="F213" s="221"/>
      <c r="G213" s="222"/>
      <c r="H213" s="221"/>
      <c r="I213" s="223"/>
      <c r="J213" s="237"/>
      <c r="K213" s="223"/>
      <c r="L213" s="236"/>
      <c r="M213" s="222"/>
      <c r="N213" s="224"/>
      <c r="O213" s="222"/>
      <c r="P213" s="224"/>
      <c r="Q213" s="222"/>
      <c r="R213" s="224"/>
      <c r="S213" s="239"/>
      <c r="T213" s="224"/>
      <c r="U213" s="239"/>
      <c r="V213" s="224"/>
      <c r="W213" s="261"/>
    </row>
    <row r="214" spans="1:23" x14ac:dyDescent="0.25">
      <c r="A214" s="215"/>
      <c r="B214" s="215"/>
      <c r="C214" s="215"/>
      <c r="D214" s="215"/>
      <c r="E214" s="221"/>
      <c r="F214" s="221"/>
      <c r="G214" s="222"/>
      <c r="H214" s="221"/>
      <c r="I214" s="223"/>
      <c r="J214" s="237"/>
      <c r="K214" s="223"/>
      <c r="L214" s="236"/>
      <c r="M214" s="222"/>
      <c r="N214" s="224"/>
      <c r="O214" s="222"/>
      <c r="P214" s="224"/>
      <c r="Q214" s="222"/>
      <c r="R214" s="224"/>
      <c r="S214" s="239"/>
      <c r="T214" s="224"/>
      <c r="U214" s="239"/>
      <c r="V214" s="224"/>
      <c r="W214" s="261"/>
    </row>
    <row r="215" spans="1:23" x14ac:dyDescent="0.25">
      <c r="A215" s="215"/>
      <c r="B215" s="215"/>
      <c r="C215" s="215"/>
      <c r="D215" s="215"/>
      <c r="E215" s="221"/>
      <c r="F215" s="221"/>
      <c r="G215" s="222"/>
      <c r="H215" s="221"/>
      <c r="I215" s="223"/>
      <c r="J215" s="237"/>
      <c r="K215" s="223"/>
      <c r="L215" s="236"/>
      <c r="M215" s="222"/>
      <c r="N215" s="224"/>
      <c r="O215" s="222"/>
      <c r="P215" s="224"/>
      <c r="Q215" s="222"/>
      <c r="R215" s="224"/>
      <c r="S215" s="239"/>
      <c r="T215" s="224"/>
      <c r="U215" s="239"/>
      <c r="V215" s="224"/>
      <c r="W215" s="261"/>
    </row>
    <row r="216" spans="1:23" x14ac:dyDescent="0.25">
      <c r="A216" s="215"/>
      <c r="B216" s="215"/>
      <c r="C216" s="215"/>
      <c r="D216" s="215"/>
      <c r="E216" s="221"/>
      <c r="F216" s="221"/>
      <c r="G216" s="222"/>
      <c r="H216" s="221"/>
      <c r="I216" s="223"/>
      <c r="J216" s="237"/>
      <c r="K216" s="223"/>
      <c r="L216" s="236"/>
      <c r="M216" s="222"/>
      <c r="N216" s="224"/>
      <c r="O216" s="222"/>
      <c r="P216" s="224"/>
      <c r="Q216" s="222"/>
      <c r="R216" s="224"/>
      <c r="S216" s="239"/>
      <c r="T216" s="224"/>
      <c r="U216" s="239"/>
      <c r="V216" s="224"/>
      <c r="W216" s="261"/>
    </row>
    <row r="217" spans="1:23" x14ac:dyDescent="0.25">
      <c r="A217" s="215"/>
      <c r="B217" s="215"/>
      <c r="C217" s="215"/>
      <c r="D217" s="215"/>
      <c r="E217" s="221"/>
      <c r="F217" s="221"/>
      <c r="G217" s="222"/>
      <c r="H217" s="221"/>
      <c r="I217" s="223"/>
      <c r="J217" s="237"/>
      <c r="K217" s="223"/>
      <c r="L217" s="236"/>
      <c r="M217" s="222"/>
      <c r="N217" s="224"/>
      <c r="O217" s="222"/>
      <c r="P217" s="224"/>
      <c r="Q217" s="222"/>
      <c r="R217" s="224"/>
      <c r="S217" s="239"/>
      <c r="T217" s="224"/>
      <c r="U217" s="239"/>
      <c r="V217" s="224"/>
      <c r="W217" s="261"/>
    </row>
    <row r="218" spans="1:23" x14ac:dyDescent="0.25">
      <c r="A218" s="215"/>
      <c r="B218" s="215"/>
      <c r="C218" s="215"/>
      <c r="D218" s="215"/>
      <c r="E218" s="221"/>
      <c r="F218" s="221"/>
      <c r="G218" s="222"/>
      <c r="H218" s="221"/>
      <c r="I218" s="223"/>
      <c r="J218" s="237"/>
      <c r="K218" s="223"/>
      <c r="L218" s="236"/>
      <c r="M218" s="222"/>
      <c r="N218" s="224"/>
      <c r="O218" s="222"/>
      <c r="P218" s="224"/>
      <c r="Q218" s="222"/>
      <c r="R218" s="224"/>
      <c r="S218" s="239"/>
      <c r="T218" s="224"/>
      <c r="U218" s="239"/>
      <c r="V218" s="224"/>
      <c r="W218" s="261"/>
    </row>
    <row r="219" spans="1:23" x14ac:dyDescent="0.25">
      <c r="A219" s="215"/>
      <c r="B219" s="215"/>
      <c r="C219" s="215"/>
      <c r="D219" s="215"/>
      <c r="E219" s="221"/>
      <c r="F219" s="221"/>
      <c r="G219" s="222"/>
      <c r="H219" s="221"/>
      <c r="I219" s="223"/>
      <c r="J219" s="237"/>
      <c r="K219" s="223"/>
      <c r="L219" s="236"/>
      <c r="M219" s="222"/>
      <c r="N219" s="224"/>
      <c r="O219" s="222"/>
      <c r="P219" s="224"/>
      <c r="Q219" s="222"/>
      <c r="R219" s="224"/>
      <c r="S219" s="239"/>
      <c r="T219" s="224"/>
      <c r="U219" s="239"/>
      <c r="V219" s="224"/>
      <c r="W219" s="261"/>
    </row>
    <row r="220" spans="1:23" x14ac:dyDescent="0.25">
      <c r="A220" s="215"/>
      <c r="B220" s="215"/>
      <c r="C220" s="215"/>
      <c r="D220" s="215"/>
      <c r="E220" s="221"/>
      <c r="F220" s="221"/>
      <c r="G220" s="222"/>
      <c r="H220" s="221"/>
      <c r="I220" s="223"/>
      <c r="J220" s="237"/>
      <c r="K220" s="223"/>
      <c r="L220" s="236"/>
      <c r="M220" s="222"/>
      <c r="N220" s="224"/>
      <c r="O220" s="222"/>
      <c r="P220" s="224"/>
      <c r="Q220" s="222"/>
      <c r="R220" s="224"/>
      <c r="S220" s="239"/>
      <c r="T220" s="224"/>
      <c r="U220" s="239"/>
      <c r="V220" s="224"/>
      <c r="W220" s="261"/>
    </row>
    <row r="221" spans="1:23" x14ac:dyDescent="0.25">
      <c r="A221" s="215"/>
      <c r="B221" s="215"/>
      <c r="C221" s="215"/>
      <c r="D221" s="215"/>
      <c r="E221" s="221"/>
      <c r="F221" s="221"/>
      <c r="G221" s="222"/>
      <c r="H221" s="221"/>
      <c r="I221" s="223"/>
      <c r="J221" s="237"/>
      <c r="K221" s="223"/>
      <c r="L221" s="236"/>
      <c r="M221" s="222"/>
      <c r="N221" s="224"/>
      <c r="O221" s="222"/>
      <c r="P221" s="224"/>
      <c r="Q221" s="222"/>
      <c r="R221" s="224"/>
      <c r="S221" s="239"/>
      <c r="T221" s="224"/>
      <c r="U221" s="239"/>
      <c r="V221" s="224"/>
      <c r="W221" s="261"/>
    </row>
    <row r="222" spans="1:23" x14ac:dyDescent="0.25">
      <c r="A222" s="215"/>
      <c r="B222" s="215"/>
      <c r="C222" s="215"/>
      <c r="D222" s="215"/>
      <c r="E222" s="221"/>
      <c r="F222" s="221"/>
      <c r="G222" s="222"/>
      <c r="H222" s="221"/>
      <c r="I222" s="223"/>
      <c r="J222" s="237"/>
      <c r="K222" s="223"/>
      <c r="L222" s="236"/>
      <c r="M222" s="222"/>
      <c r="N222" s="224"/>
      <c r="O222" s="222"/>
      <c r="P222" s="224"/>
      <c r="Q222" s="222"/>
      <c r="R222" s="224"/>
      <c r="S222" s="239"/>
      <c r="T222" s="224"/>
      <c r="U222" s="239"/>
      <c r="V222" s="224"/>
      <c r="W222" s="261"/>
    </row>
    <row r="223" spans="1:23" x14ac:dyDescent="0.25">
      <c r="A223" s="215"/>
      <c r="B223" s="215"/>
      <c r="C223" s="215"/>
      <c r="D223" s="215"/>
      <c r="E223" s="221"/>
      <c r="F223" s="221"/>
      <c r="G223" s="222"/>
      <c r="H223" s="221"/>
      <c r="I223" s="223"/>
      <c r="J223" s="237"/>
      <c r="K223" s="223"/>
      <c r="L223" s="236"/>
      <c r="M223" s="222"/>
      <c r="N223" s="224"/>
      <c r="O223" s="222"/>
      <c r="P223" s="224"/>
      <c r="Q223" s="222"/>
      <c r="R223" s="224"/>
      <c r="S223" s="239"/>
      <c r="T223" s="224"/>
      <c r="U223" s="239"/>
      <c r="V223" s="224"/>
      <c r="W223" s="261"/>
    </row>
    <row r="224" spans="1:23" x14ac:dyDescent="0.25">
      <c r="A224" s="215"/>
      <c r="B224" s="215"/>
      <c r="C224" s="215"/>
      <c r="D224" s="215"/>
      <c r="E224" s="221"/>
      <c r="F224" s="221"/>
      <c r="G224" s="222"/>
      <c r="H224" s="221"/>
      <c r="I224" s="223"/>
      <c r="J224" s="237"/>
      <c r="K224" s="223"/>
      <c r="L224" s="236"/>
      <c r="M224" s="222"/>
      <c r="N224" s="224"/>
      <c r="O224" s="222"/>
      <c r="P224" s="224"/>
      <c r="Q224" s="222"/>
      <c r="R224" s="224"/>
      <c r="S224" s="239"/>
      <c r="T224" s="224"/>
      <c r="U224" s="239"/>
      <c r="V224" s="224"/>
      <c r="W224" s="261"/>
    </row>
    <row r="225" spans="1:23" x14ac:dyDescent="0.25">
      <c r="A225" s="215"/>
      <c r="B225" s="215"/>
      <c r="C225" s="215"/>
      <c r="D225" s="215"/>
      <c r="E225" s="221"/>
      <c r="F225" s="221"/>
      <c r="G225" s="222"/>
      <c r="H225" s="221"/>
      <c r="I225" s="223"/>
      <c r="J225" s="237"/>
      <c r="K225" s="223"/>
      <c r="L225" s="236"/>
      <c r="M225" s="222"/>
      <c r="N225" s="224"/>
      <c r="O225" s="222"/>
      <c r="P225" s="224"/>
      <c r="Q225" s="222"/>
      <c r="R225" s="224"/>
      <c r="S225" s="239"/>
      <c r="T225" s="224"/>
      <c r="U225" s="239"/>
      <c r="V225" s="224"/>
      <c r="W225" s="261"/>
    </row>
    <row r="226" spans="1:23" x14ac:dyDescent="0.25">
      <c r="A226" s="215"/>
      <c r="B226" s="215"/>
      <c r="C226" s="215"/>
      <c r="D226" s="215"/>
      <c r="E226" s="221"/>
      <c r="F226" s="221"/>
      <c r="G226" s="222"/>
      <c r="H226" s="221"/>
      <c r="I226" s="223"/>
      <c r="J226" s="237"/>
      <c r="K226" s="223"/>
      <c r="L226" s="236"/>
      <c r="M226" s="222"/>
      <c r="N226" s="224"/>
      <c r="O226" s="222"/>
      <c r="P226" s="224"/>
      <c r="Q226" s="222"/>
      <c r="R226" s="224"/>
      <c r="S226" s="239"/>
      <c r="T226" s="224"/>
      <c r="U226" s="239"/>
      <c r="V226" s="224"/>
      <c r="W226" s="261"/>
    </row>
    <row r="227" spans="1:23" x14ac:dyDescent="0.25">
      <c r="A227" s="215"/>
      <c r="B227" s="215"/>
      <c r="C227" s="215"/>
      <c r="D227" s="215"/>
      <c r="E227" s="221"/>
      <c r="F227" s="221"/>
      <c r="G227" s="222"/>
      <c r="H227" s="221"/>
      <c r="I227" s="223"/>
      <c r="J227" s="237"/>
      <c r="K227" s="223"/>
      <c r="L227" s="236"/>
      <c r="M227" s="222"/>
      <c r="N227" s="224"/>
      <c r="O227" s="222"/>
      <c r="P227" s="224"/>
      <c r="Q227" s="222"/>
      <c r="R227" s="224"/>
      <c r="S227" s="239"/>
      <c r="T227" s="224"/>
      <c r="U227" s="239"/>
      <c r="V227" s="224"/>
      <c r="W227" s="261"/>
    </row>
    <row r="228" spans="1:23" x14ac:dyDescent="0.25">
      <c r="A228" s="215"/>
      <c r="B228" s="215"/>
      <c r="C228" s="215"/>
      <c r="D228" s="215"/>
      <c r="E228" s="221"/>
      <c r="F228" s="221"/>
      <c r="G228" s="222"/>
      <c r="H228" s="221"/>
      <c r="I228" s="223"/>
      <c r="J228" s="237"/>
      <c r="K228" s="223"/>
      <c r="L228" s="236"/>
      <c r="M228" s="222"/>
      <c r="N228" s="224"/>
      <c r="O228" s="222"/>
      <c r="P228" s="224"/>
      <c r="Q228" s="222"/>
      <c r="R228" s="224"/>
      <c r="S228" s="239"/>
      <c r="T228" s="224"/>
      <c r="U228" s="239"/>
      <c r="V228" s="224"/>
      <c r="W228" s="261"/>
    </row>
    <row r="229" spans="1:23" x14ac:dyDescent="0.25">
      <c r="A229" s="215"/>
      <c r="B229" s="215"/>
      <c r="C229" s="215"/>
      <c r="D229" s="215"/>
      <c r="E229" s="221"/>
      <c r="F229" s="221"/>
      <c r="G229" s="222"/>
      <c r="H229" s="221"/>
      <c r="I229" s="223"/>
      <c r="J229" s="237"/>
      <c r="K229" s="223"/>
      <c r="L229" s="236"/>
      <c r="M229" s="222"/>
      <c r="N229" s="224"/>
      <c r="O229" s="222"/>
      <c r="P229" s="224"/>
      <c r="Q229" s="222"/>
      <c r="R229" s="224"/>
      <c r="S229" s="239"/>
      <c r="T229" s="224"/>
      <c r="U229" s="239"/>
      <c r="V229" s="224"/>
      <c r="W229" s="261"/>
    </row>
    <row r="230" spans="1:23" x14ac:dyDescent="0.25">
      <c r="A230" s="215"/>
      <c r="B230" s="215"/>
      <c r="C230" s="215"/>
      <c r="D230" s="215"/>
      <c r="E230" s="221"/>
      <c r="F230" s="221"/>
      <c r="G230" s="222"/>
      <c r="H230" s="221"/>
      <c r="I230" s="223"/>
      <c r="J230" s="237"/>
      <c r="K230" s="223"/>
      <c r="L230" s="236"/>
      <c r="M230" s="222"/>
      <c r="N230" s="224"/>
      <c r="O230" s="222"/>
      <c r="P230" s="224"/>
      <c r="Q230" s="222"/>
      <c r="R230" s="224"/>
      <c r="S230" s="239"/>
      <c r="T230" s="224"/>
      <c r="U230" s="239"/>
      <c r="V230" s="224"/>
      <c r="W230" s="261"/>
    </row>
    <row r="231" spans="1:23" x14ac:dyDescent="0.25">
      <c r="A231" s="215"/>
      <c r="B231" s="215"/>
      <c r="C231" s="215"/>
      <c r="D231" s="215"/>
      <c r="E231" s="221"/>
      <c r="F231" s="221"/>
      <c r="G231" s="222"/>
      <c r="H231" s="221"/>
      <c r="I231" s="223"/>
      <c r="J231" s="237"/>
      <c r="K231" s="223"/>
      <c r="L231" s="236"/>
      <c r="M231" s="222"/>
      <c r="N231" s="224"/>
      <c r="O231" s="222"/>
      <c r="P231" s="224"/>
      <c r="Q231" s="222"/>
      <c r="R231" s="224"/>
      <c r="S231" s="239"/>
      <c r="T231" s="224"/>
      <c r="U231" s="239"/>
      <c r="V231" s="224"/>
      <c r="W231" s="261"/>
    </row>
    <row r="232" spans="1:23" x14ac:dyDescent="0.25">
      <c r="A232" s="215"/>
      <c r="B232" s="215"/>
      <c r="C232" s="215"/>
      <c r="D232" s="215"/>
      <c r="E232" s="221"/>
      <c r="F232" s="221"/>
      <c r="G232" s="222"/>
      <c r="H232" s="221"/>
      <c r="I232" s="223"/>
      <c r="J232" s="237"/>
      <c r="K232" s="223"/>
      <c r="L232" s="236"/>
      <c r="M232" s="222"/>
      <c r="N232" s="224"/>
      <c r="O232" s="222"/>
      <c r="P232" s="224"/>
      <c r="Q232" s="222"/>
      <c r="R232" s="224"/>
      <c r="S232" s="239"/>
      <c r="T232" s="224"/>
      <c r="U232" s="239"/>
      <c r="V232" s="224"/>
      <c r="W232" s="261"/>
    </row>
    <row r="233" spans="1:23" x14ac:dyDescent="0.25">
      <c r="A233" s="215"/>
      <c r="B233" s="215"/>
      <c r="C233" s="215"/>
      <c r="D233" s="215"/>
      <c r="E233" s="221"/>
      <c r="F233" s="221"/>
      <c r="G233" s="222"/>
      <c r="H233" s="221"/>
      <c r="I233" s="223"/>
      <c r="J233" s="237"/>
      <c r="K233" s="223"/>
      <c r="L233" s="236"/>
      <c r="M233" s="222"/>
      <c r="N233" s="224"/>
      <c r="O233" s="222"/>
      <c r="P233" s="224"/>
      <c r="Q233" s="222"/>
      <c r="R233" s="224"/>
      <c r="S233" s="239"/>
      <c r="T233" s="224"/>
      <c r="U233" s="239"/>
      <c r="V233" s="224"/>
      <c r="W233" s="261"/>
    </row>
    <row r="234" spans="1:23" x14ac:dyDescent="0.25">
      <c r="A234" s="215"/>
      <c r="B234" s="215"/>
      <c r="C234" s="215"/>
      <c r="D234" s="215"/>
      <c r="E234" s="221"/>
      <c r="F234" s="221"/>
      <c r="G234" s="222"/>
      <c r="H234" s="221"/>
      <c r="I234" s="223"/>
      <c r="J234" s="237"/>
      <c r="K234" s="223"/>
      <c r="L234" s="236"/>
      <c r="M234" s="222"/>
      <c r="N234" s="224"/>
      <c r="O234" s="222"/>
      <c r="P234" s="224"/>
      <c r="Q234" s="222"/>
      <c r="R234" s="224"/>
      <c r="S234" s="239"/>
      <c r="T234" s="224"/>
      <c r="U234" s="239"/>
      <c r="V234" s="224"/>
      <c r="W234" s="261"/>
    </row>
    <row r="235" spans="1:23" x14ac:dyDescent="0.25">
      <c r="A235" s="215"/>
      <c r="B235" s="215"/>
      <c r="C235" s="215"/>
      <c r="D235" s="215"/>
      <c r="E235" s="221"/>
      <c r="F235" s="221"/>
      <c r="G235" s="222"/>
      <c r="H235" s="221"/>
      <c r="I235" s="223"/>
      <c r="J235" s="237"/>
      <c r="K235" s="223"/>
      <c r="L235" s="236"/>
      <c r="M235" s="222"/>
      <c r="N235" s="224"/>
      <c r="O235" s="222"/>
      <c r="P235" s="224"/>
      <c r="Q235" s="222"/>
      <c r="R235" s="224"/>
      <c r="S235" s="239"/>
      <c r="T235" s="224"/>
      <c r="U235" s="239"/>
      <c r="V235" s="224"/>
      <c r="W235" s="261"/>
    </row>
    <row r="236" spans="1:23" x14ac:dyDescent="0.25">
      <c r="A236" s="215"/>
      <c r="B236" s="215"/>
      <c r="C236" s="215"/>
      <c r="D236" s="215"/>
      <c r="E236" s="221"/>
      <c r="F236" s="221"/>
      <c r="G236" s="222"/>
      <c r="H236" s="221"/>
      <c r="I236" s="223"/>
      <c r="J236" s="237"/>
      <c r="K236" s="223"/>
      <c r="L236" s="236"/>
      <c r="M236" s="222"/>
      <c r="N236" s="224"/>
      <c r="O236" s="222"/>
      <c r="P236" s="224"/>
      <c r="Q236" s="222"/>
      <c r="R236" s="224"/>
      <c r="S236" s="239"/>
      <c r="T236" s="224"/>
      <c r="U236" s="239"/>
      <c r="V236" s="224"/>
      <c r="W236" s="261"/>
    </row>
    <row r="237" spans="1:23" x14ac:dyDescent="0.25">
      <c r="A237" s="215"/>
      <c r="B237" s="215"/>
      <c r="C237" s="215"/>
      <c r="D237" s="215"/>
      <c r="E237" s="221"/>
      <c r="F237" s="221"/>
      <c r="G237" s="222"/>
      <c r="H237" s="221"/>
      <c r="I237" s="223"/>
      <c r="J237" s="237"/>
      <c r="K237" s="223"/>
      <c r="L237" s="236"/>
      <c r="M237" s="222"/>
      <c r="N237" s="224"/>
      <c r="O237" s="222"/>
      <c r="P237" s="224"/>
      <c r="Q237" s="222"/>
      <c r="R237" s="224"/>
      <c r="S237" s="239"/>
      <c r="T237" s="224"/>
      <c r="U237" s="239"/>
      <c r="V237" s="224"/>
      <c r="W237" s="261"/>
    </row>
    <row r="238" spans="1:23" x14ac:dyDescent="0.25">
      <c r="A238" s="215"/>
      <c r="B238" s="215"/>
      <c r="C238" s="215"/>
      <c r="D238" s="215"/>
      <c r="E238" s="221"/>
      <c r="F238" s="221"/>
      <c r="G238" s="222"/>
      <c r="H238" s="221"/>
      <c r="I238" s="223"/>
      <c r="J238" s="237"/>
      <c r="K238" s="223"/>
      <c r="L238" s="236"/>
      <c r="M238" s="222"/>
      <c r="N238" s="224"/>
      <c r="O238" s="222"/>
      <c r="P238" s="224"/>
      <c r="Q238" s="222"/>
      <c r="R238" s="224"/>
      <c r="S238" s="239"/>
      <c r="T238" s="224"/>
      <c r="U238" s="239"/>
      <c r="V238" s="224"/>
      <c r="W238" s="261"/>
    </row>
    <row r="239" spans="1:23" x14ac:dyDescent="0.25">
      <c r="A239" s="215"/>
      <c r="B239" s="215"/>
      <c r="C239" s="215"/>
      <c r="D239" s="215"/>
      <c r="E239" s="221"/>
      <c r="F239" s="221"/>
      <c r="G239" s="222"/>
      <c r="H239" s="221"/>
      <c r="I239" s="223"/>
      <c r="J239" s="237"/>
      <c r="K239" s="223"/>
      <c r="L239" s="236"/>
      <c r="M239" s="222"/>
      <c r="N239" s="224"/>
      <c r="O239" s="222"/>
      <c r="P239" s="224"/>
      <c r="Q239" s="222"/>
      <c r="R239" s="224"/>
      <c r="S239" s="239"/>
      <c r="T239" s="224"/>
      <c r="U239" s="239"/>
      <c r="V239" s="224"/>
      <c r="W239" s="261"/>
    </row>
    <row r="240" spans="1:23" x14ac:dyDescent="0.25">
      <c r="A240" s="215"/>
      <c r="B240" s="215"/>
      <c r="C240" s="215"/>
      <c r="D240" s="215"/>
      <c r="E240" s="221"/>
      <c r="F240" s="221"/>
      <c r="G240" s="222"/>
      <c r="H240" s="221"/>
      <c r="I240" s="223"/>
      <c r="J240" s="237"/>
      <c r="K240" s="223"/>
      <c r="L240" s="236"/>
      <c r="M240" s="222"/>
      <c r="N240" s="224"/>
      <c r="O240" s="222"/>
      <c r="P240" s="224"/>
      <c r="Q240" s="222"/>
      <c r="R240" s="224"/>
      <c r="S240" s="239"/>
      <c r="T240" s="224"/>
      <c r="U240" s="239"/>
      <c r="V240" s="224"/>
      <c r="W240" s="261"/>
    </row>
    <row r="241" spans="1:23" x14ac:dyDescent="0.25">
      <c r="A241" s="215"/>
      <c r="B241" s="215"/>
      <c r="C241" s="215"/>
      <c r="D241" s="215"/>
      <c r="E241" s="221"/>
      <c r="F241" s="221"/>
      <c r="G241" s="222"/>
      <c r="H241" s="221"/>
      <c r="I241" s="223"/>
      <c r="J241" s="237"/>
      <c r="K241" s="223"/>
      <c r="L241" s="236"/>
      <c r="M241" s="222"/>
      <c r="N241" s="224"/>
      <c r="O241" s="222"/>
      <c r="P241" s="224"/>
      <c r="Q241" s="222"/>
      <c r="R241" s="224"/>
      <c r="S241" s="239"/>
      <c r="T241" s="224"/>
      <c r="U241" s="239"/>
      <c r="V241" s="224"/>
      <c r="W241" s="261"/>
    </row>
    <row r="242" spans="1:23" x14ac:dyDescent="0.25">
      <c r="A242" s="215"/>
      <c r="B242" s="215"/>
      <c r="C242" s="215"/>
      <c r="D242" s="215"/>
      <c r="E242" s="221"/>
      <c r="F242" s="221"/>
      <c r="G242" s="222"/>
      <c r="H242" s="221"/>
      <c r="I242" s="223"/>
      <c r="J242" s="237"/>
      <c r="K242" s="223"/>
      <c r="L242" s="236"/>
      <c r="M242" s="222"/>
      <c r="N242" s="224"/>
      <c r="O242" s="222"/>
      <c r="P242" s="224"/>
      <c r="Q242" s="222"/>
      <c r="R242" s="224"/>
      <c r="S242" s="239"/>
      <c r="T242" s="224"/>
      <c r="U242" s="239"/>
      <c r="V242" s="224"/>
      <c r="W242" s="261"/>
    </row>
    <row r="243" spans="1:23" x14ac:dyDescent="0.25">
      <c r="A243" s="215"/>
      <c r="B243" s="215"/>
      <c r="C243" s="215"/>
      <c r="D243" s="215"/>
      <c r="E243" s="221"/>
      <c r="F243" s="221"/>
      <c r="G243" s="222"/>
      <c r="H243" s="221"/>
      <c r="I243" s="223"/>
      <c r="J243" s="237"/>
      <c r="K243" s="223"/>
      <c r="L243" s="236"/>
      <c r="M243" s="222"/>
      <c r="N243" s="224"/>
      <c r="O243" s="222"/>
      <c r="P243" s="224"/>
      <c r="Q243" s="222"/>
      <c r="R243" s="224"/>
      <c r="S243" s="239"/>
      <c r="T243" s="224"/>
      <c r="U243" s="239"/>
      <c r="V243" s="224"/>
      <c r="W243" s="261"/>
    </row>
    <row r="244" spans="1:23" x14ac:dyDescent="0.25">
      <c r="A244" s="215"/>
      <c r="B244" s="215"/>
      <c r="C244" s="215"/>
      <c r="D244" s="215"/>
      <c r="E244" s="221"/>
      <c r="F244" s="221"/>
      <c r="G244" s="222"/>
      <c r="H244" s="221"/>
      <c r="I244" s="223"/>
      <c r="J244" s="237"/>
      <c r="K244" s="223"/>
      <c r="L244" s="236"/>
      <c r="M244" s="222"/>
      <c r="N244" s="224"/>
      <c r="O244" s="222"/>
      <c r="P244" s="224"/>
      <c r="Q244" s="222"/>
      <c r="R244" s="224"/>
      <c r="S244" s="239"/>
      <c r="T244" s="224"/>
      <c r="U244" s="239"/>
      <c r="V244" s="224"/>
      <c r="W244" s="261"/>
    </row>
    <row r="245" spans="1:23" x14ac:dyDescent="0.25">
      <c r="A245" s="215"/>
      <c r="B245" s="215"/>
      <c r="C245" s="215"/>
      <c r="D245" s="215"/>
      <c r="E245" s="221"/>
      <c r="F245" s="221"/>
      <c r="G245" s="222"/>
      <c r="H245" s="221"/>
      <c r="I245" s="223"/>
      <c r="J245" s="237"/>
      <c r="K245" s="223"/>
      <c r="L245" s="236"/>
      <c r="M245" s="222"/>
      <c r="N245" s="224"/>
      <c r="O245" s="222"/>
      <c r="P245" s="224"/>
      <c r="Q245" s="222"/>
      <c r="R245" s="224"/>
      <c r="S245" s="239"/>
      <c r="T245" s="224"/>
      <c r="U245" s="239"/>
      <c r="V245" s="224"/>
      <c r="W245" s="261"/>
    </row>
    <row r="246" spans="1:23" x14ac:dyDescent="0.25">
      <c r="A246" s="215"/>
      <c r="B246" s="215"/>
      <c r="C246" s="215"/>
      <c r="D246" s="215"/>
      <c r="E246" s="221"/>
      <c r="F246" s="221"/>
      <c r="G246" s="222"/>
      <c r="H246" s="221"/>
      <c r="I246" s="223"/>
      <c r="J246" s="237"/>
      <c r="K246" s="223"/>
      <c r="L246" s="236"/>
      <c r="M246" s="222"/>
      <c r="N246" s="224"/>
      <c r="O246" s="222"/>
      <c r="P246" s="224"/>
      <c r="Q246" s="222"/>
      <c r="R246" s="224"/>
      <c r="S246" s="239"/>
      <c r="T246" s="224"/>
      <c r="U246" s="239"/>
      <c r="V246" s="224"/>
      <c r="W246" s="261"/>
    </row>
    <row r="247" spans="1:23" x14ac:dyDescent="0.25">
      <c r="A247" s="215"/>
      <c r="B247" s="215"/>
      <c r="C247" s="215"/>
      <c r="D247" s="215"/>
      <c r="E247" s="221"/>
      <c r="F247" s="221"/>
      <c r="G247" s="222"/>
      <c r="H247" s="221"/>
      <c r="I247" s="223"/>
      <c r="J247" s="237"/>
      <c r="K247" s="223"/>
      <c r="L247" s="236"/>
      <c r="M247" s="222"/>
      <c r="N247" s="224"/>
      <c r="O247" s="222"/>
      <c r="P247" s="224"/>
      <c r="Q247" s="222"/>
      <c r="R247" s="224"/>
      <c r="S247" s="239"/>
      <c r="T247" s="224"/>
      <c r="U247" s="239"/>
      <c r="V247" s="224"/>
      <c r="W247" s="261"/>
    </row>
    <row r="248" spans="1:23" x14ac:dyDescent="0.25">
      <c r="A248" s="215"/>
      <c r="B248" s="215"/>
      <c r="C248" s="215"/>
      <c r="D248" s="215"/>
      <c r="E248" s="221"/>
      <c r="F248" s="221"/>
      <c r="G248" s="222"/>
      <c r="H248" s="221"/>
      <c r="I248" s="223"/>
      <c r="J248" s="237"/>
      <c r="K248" s="223"/>
      <c r="L248" s="236"/>
      <c r="M248" s="222"/>
      <c r="N248" s="224"/>
      <c r="O248" s="222"/>
      <c r="P248" s="224"/>
      <c r="Q248" s="222"/>
      <c r="R248" s="224"/>
      <c r="S248" s="239"/>
      <c r="T248" s="224"/>
      <c r="U248" s="239"/>
      <c r="V248" s="224"/>
      <c r="W248" s="261"/>
    </row>
    <row r="249" spans="1:23" x14ac:dyDescent="0.25">
      <c r="A249" s="215"/>
      <c r="B249" s="215"/>
      <c r="C249" s="215"/>
      <c r="D249" s="215"/>
      <c r="E249" s="221"/>
      <c r="F249" s="221"/>
      <c r="G249" s="222"/>
      <c r="H249" s="221"/>
      <c r="I249" s="223"/>
      <c r="J249" s="237"/>
      <c r="K249" s="223"/>
      <c r="L249" s="236"/>
      <c r="M249" s="222"/>
      <c r="N249" s="224"/>
      <c r="O249" s="222"/>
      <c r="P249" s="224"/>
      <c r="Q249" s="222"/>
      <c r="R249" s="224"/>
      <c r="S249" s="239"/>
      <c r="T249" s="224"/>
      <c r="U249" s="239"/>
      <c r="V249" s="224"/>
      <c r="W249" s="261"/>
    </row>
    <row r="250" spans="1:23" x14ac:dyDescent="0.25">
      <c r="A250" s="215"/>
      <c r="B250" s="215"/>
      <c r="C250" s="215"/>
      <c r="D250" s="215"/>
      <c r="E250" s="221"/>
      <c r="F250" s="221"/>
      <c r="G250" s="222"/>
      <c r="H250" s="221"/>
      <c r="I250" s="223"/>
      <c r="J250" s="237"/>
      <c r="K250" s="223"/>
      <c r="L250" s="236"/>
      <c r="M250" s="222"/>
      <c r="N250" s="224"/>
      <c r="O250" s="222"/>
      <c r="P250" s="224"/>
      <c r="Q250" s="222"/>
      <c r="R250" s="224"/>
      <c r="S250" s="239"/>
      <c r="T250" s="224"/>
      <c r="U250" s="239"/>
      <c r="V250" s="224"/>
      <c r="W250" s="261"/>
    </row>
    <row r="251" spans="1:23" x14ac:dyDescent="0.25">
      <c r="A251" s="215"/>
      <c r="B251" s="215"/>
      <c r="C251" s="215"/>
      <c r="D251" s="215"/>
      <c r="E251" s="221"/>
      <c r="F251" s="221"/>
      <c r="G251" s="222"/>
      <c r="H251" s="221"/>
      <c r="I251" s="223"/>
      <c r="J251" s="237"/>
      <c r="K251" s="223"/>
      <c r="L251" s="236"/>
      <c r="M251" s="222"/>
      <c r="N251" s="224"/>
      <c r="O251" s="222"/>
      <c r="P251" s="224"/>
      <c r="Q251" s="222"/>
      <c r="R251" s="224"/>
      <c r="S251" s="239"/>
      <c r="T251" s="224"/>
      <c r="U251" s="239"/>
      <c r="V251" s="224"/>
      <c r="W251" s="261"/>
    </row>
    <row r="252" spans="1:23" x14ac:dyDescent="0.25">
      <c r="A252" s="215"/>
      <c r="B252" s="215"/>
      <c r="C252" s="215"/>
      <c r="D252" s="215"/>
      <c r="E252" s="221"/>
      <c r="F252" s="221"/>
      <c r="G252" s="222"/>
      <c r="H252" s="221"/>
      <c r="I252" s="223"/>
      <c r="J252" s="237"/>
      <c r="K252" s="223"/>
      <c r="L252" s="236"/>
      <c r="M252" s="222"/>
      <c r="N252" s="224"/>
      <c r="O252" s="222"/>
      <c r="P252" s="224"/>
      <c r="Q252" s="222"/>
      <c r="R252" s="224"/>
      <c r="S252" s="239"/>
      <c r="T252" s="224"/>
      <c r="U252" s="239"/>
      <c r="V252" s="224"/>
      <c r="W252" s="261"/>
    </row>
    <row r="253" spans="1:23" x14ac:dyDescent="0.25">
      <c r="A253" s="215"/>
      <c r="B253" s="215"/>
      <c r="C253" s="215"/>
      <c r="D253" s="215"/>
      <c r="E253" s="221"/>
      <c r="F253" s="221"/>
      <c r="G253" s="222"/>
      <c r="H253" s="221"/>
      <c r="I253" s="223"/>
      <c r="J253" s="237"/>
      <c r="K253" s="223"/>
      <c r="L253" s="236"/>
      <c r="M253" s="222"/>
      <c r="N253" s="224"/>
      <c r="O253" s="222"/>
      <c r="P253" s="224"/>
      <c r="Q253" s="222"/>
      <c r="R253" s="224"/>
      <c r="S253" s="239"/>
      <c r="T253" s="224"/>
      <c r="U253" s="239"/>
      <c r="V253" s="224"/>
      <c r="W253" s="261"/>
    </row>
    <row r="254" spans="1:23" x14ac:dyDescent="0.25">
      <c r="A254" s="215"/>
      <c r="B254" s="215"/>
      <c r="C254" s="215"/>
      <c r="D254" s="215"/>
      <c r="E254" s="221"/>
      <c r="F254" s="221"/>
      <c r="G254" s="222"/>
      <c r="H254" s="221"/>
      <c r="I254" s="223"/>
      <c r="J254" s="237"/>
      <c r="K254" s="223"/>
      <c r="L254" s="236"/>
      <c r="M254" s="222"/>
      <c r="N254" s="224"/>
      <c r="O254" s="222"/>
      <c r="P254" s="224"/>
      <c r="Q254" s="222"/>
      <c r="R254" s="224"/>
      <c r="S254" s="239"/>
      <c r="T254" s="224"/>
      <c r="U254" s="239"/>
      <c r="V254" s="224"/>
      <c r="W254" s="261"/>
    </row>
    <row r="255" spans="1:23" x14ac:dyDescent="0.25">
      <c r="A255" s="215"/>
      <c r="B255" s="215"/>
      <c r="C255" s="215"/>
      <c r="D255" s="215"/>
      <c r="E255" s="221"/>
      <c r="F255" s="221"/>
      <c r="G255" s="222"/>
      <c r="H255" s="221"/>
      <c r="I255" s="223"/>
      <c r="J255" s="237"/>
      <c r="K255" s="223"/>
      <c r="L255" s="236"/>
      <c r="M255" s="222"/>
      <c r="N255" s="224"/>
      <c r="O255" s="222"/>
      <c r="P255" s="224"/>
      <c r="Q255" s="222"/>
      <c r="R255" s="224"/>
      <c r="S255" s="239"/>
      <c r="T255" s="224"/>
      <c r="U255" s="239"/>
      <c r="V255" s="224"/>
      <c r="W255" s="261"/>
    </row>
    <row r="256" spans="1:23" x14ac:dyDescent="0.25">
      <c r="A256" s="215"/>
      <c r="B256" s="215"/>
      <c r="C256" s="215"/>
      <c r="D256" s="215"/>
      <c r="E256" s="221"/>
      <c r="F256" s="221"/>
      <c r="G256" s="222"/>
      <c r="H256" s="221"/>
      <c r="I256" s="223"/>
      <c r="J256" s="237"/>
      <c r="K256" s="223"/>
      <c r="L256" s="236"/>
      <c r="M256" s="222"/>
      <c r="N256" s="224"/>
      <c r="O256" s="222"/>
      <c r="P256" s="224"/>
      <c r="Q256" s="222"/>
      <c r="R256" s="224"/>
      <c r="S256" s="239"/>
      <c r="T256" s="224"/>
      <c r="U256" s="239"/>
      <c r="V256" s="224"/>
      <c r="W256" s="261"/>
    </row>
    <row r="257" spans="1:23" x14ac:dyDescent="0.25">
      <c r="A257" s="215"/>
      <c r="B257" s="215"/>
      <c r="C257" s="215"/>
      <c r="D257" s="215"/>
      <c r="E257" s="221"/>
      <c r="F257" s="221"/>
      <c r="G257" s="222"/>
      <c r="H257" s="221"/>
      <c r="I257" s="223"/>
      <c r="J257" s="237"/>
      <c r="K257" s="223"/>
      <c r="L257" s="236"/>
      <c r="M257" s="222"/>
      <c r="N257" s="224"/>
      <c r="O257" s="222"/>
      <c r="P257" s="224"/>
      <c r="Q257" s="222"/>
      <c r="R257" s="224"/>
      <c r="S257" s="239"/>
      <c r="T257" s="224"/>
      <c r="U257" s="239"/>
      <c r="V257" s="224"/>
      <c r="W257" s="261"/>
    </row>
    <row r="258" spans="1:23" x14ac:dyDescent="0.25">
      <c r="A258" s="215"/>
      <c r="B258" s="215"/>
      <c r="C258" s="215"/>
      <c r="D258" s="215"/>
      <c r="E258" s="221"/>
      <c r="F258" s="221"/>
      <c r="G258" s="222"/>
      <c r="H258" s="221"/>
      <c r="I258" s="223"/>
      <c r="J258" s="237"/>
      <c r="K258" s="223"/>
      <c r="L258" s="236"/>
      <c r="M258" s="222"/>
      <c r="N258" s="224"/>
      <c r="O258" s="222"/>
      <c r="P258" s="224"/>
      <c r="Q258" s="222"/>
      <c r="R258" s="224"/>
      <c r="S258" s="239"/>
      <c r="T258" s="224"/>
      <c r="U258" s="239"/>
      <c r="V258" s="224"/>
      <c r="W258" s="261"/>
    </row>
    <row r="259" spans="1:23" x14ac:dyDescent="0.25">
      <c r="A259" s="215"/>
      <c r="B259" s="215"/>
      <c r="C259" s="215"/>
      <c r="D259" s="215"/>
      <c r="E259" s="221"/>
      <c r="F259" s="221"/>
      <c r="G259" s="222"/>
      <c r="H259" s="221"/>
      <c r="I259" s="223"/>
      <c r="J259" s="237"/>
      <c r="K259" s="223"/>
      <c r="L259" s="236"/>
      <c r="M259" s="222"/>
      <c r="N259" s="224"/>
      <c r="O259" s="222"/>
      <c r="P259" s="224"/>
      <c r="Q259" s="222"/>
      <c r="R259" s="224"/>
      <c r="S259" s="239"/>
      <c r="T259" s="224"/>
      <c r="U259" s="239"/>
      <c r="V259" s="224"/>
      <c r="W259" s="261"/>
    </row>
    <row r="260" spans="1:23" x14ac:dyDescent="0.25">
      <c r="A260" s="215"/>
      <c r="B260" s="215"/>
      <c r="C260" s="215"/>
      <c r="D260" s="215"/>
      <c r="E260" s="221"/>
      <c r="F260" s="221"/>
      <c r="G260" s="222"/>
      <c r="H260" s="221"/>
      <c r="I260" s="223"/>
      <c r="J260" s="237"/>
      <c r="K260" s="223"/>
      <c r="L260" s="236"/>
      <c r="M260" s="222"/>
      <c r="N260" s="224"/>
      <c r="O260" s="222"/>
      <c r="P260" s="224"/>
      <c r="Q260" s="222"/>
      <c r="R260" s="224"/>
      <c r="S260" s="239"/>
      <c r="T260" s="224"/>
      <c r="U260" s="239"/>
      <c r="V260" s="224"/>
      <c r="W260" s="261"/>
    </row>
    <row r="261" spans="1:23" x14ac:dyDescent="0.25">
      <c r="A261" s="215"/>
      <c r="B261" s="215"/>
      <c r="C261" s="215"/>
      <c r="D261" s="215"/>
      <c r="E261" s="221"/>
      <c r="F261" s="221"/>
      <c r="G261" s="222"/>
      <c r="H261" s="221"/>
      <c r="I261" s="223"/>
      <c r="J261" s="237"/>
      <c r="K261" s="223"/>
      <c r="L261" s="236"/>
      <c r="M261" s="222"/>
      <c r="N261" s="224"/>
      <c r="O261" s="222"/>
      <c r="P261" s="224"/>
      <c r="Q261" s="222"/>
      <c r="R261" s="224"/>
      <c r="S261" s="239"/>
      <c r="T261" s="224"/>
      <c r="U261" s="239"/>
      <c r="V261" s="224"/>
      <c r="W261" s="261"/>
    </row>
    <row r="262" spans="1:23" x14ac:dyDescent="0.25">
      <c r="A262" s="215"/>
      <c r="B262" s="215"/>
      <c r="C262" s="215"/>
      <c r="D262" s="215"/>
      <c r="E262" s="221"/>
      <c r="F262" s="221"/>
      <c r="G262" s="222"/>
      <c r="H262" s="221"/>
      <c r="I262" s="223"/>
      <c r="J262" s="237"/>
      <c r="K262" s="223"/>
      <c r="L262" s="236"/>
      <c r="M262" s="222"/>
      <c r="N262" s="224"/>
      <c r="O262" s="222"/>
      <c r="P262" s="224"/>
      <c r="Q262" s="222"/>
      <c r="R262" s="224"/>
      <c r="S262" s="239"/>
      <c r="T262" s="224"/>
      <c r="U262" s="239"/>
      <c r="V262" s="224"/>
      <c r="W262" s="261"/>
    </row>
    <row r="263" spans="1:23" x14ac:dyDescent="0.25">
      <c r="A263" s="215"/>
      <c r="B263" s="215"/>
      <c r="C263" s="215"/>
      <c r="D263" s="215"/>
      <c r="E263" s="221"/>
      <c r="F263" s="221"/>
      <c r="G263" s="222"/>
      <c r="H263" s="221"/>
      <c r="I263" s="223"/>
      <c r="J263" s="237"/>
      <c r="K263" s="223"/>
      <c r="L263" s="236"/>
      <c r="M263" s="222"/>
      <c r="N263" s="224"/>
      <c r="O263" s="222"/>
      <c r="P263" s="224"/>
      <c r="Q263" s="222"/>
      <c r="R263" s="224"/>
      <c r="S263" s="239"/>
      <c r="T263" s="224"/>
      <c r="U263" s="239"/>
      <c r="V263" s="224"/>
      <c r="W263" s="261"/>
    </row>
    <row r="264" spans="1:23" x14ac:dyDescent="0.25">
      <c r="A264" s="215"/>
      <c r="B264" s="215"/>
      <c r="C264" s="215"/>
      <c r="D264" s="215"/>
      <c r="E264" s="221"/>
      <c r="F264" s="221"/>
      <c r="G264" s="222"/>
      <c r="H264" s="221"/>
      <c r="I264" s="223"/>
      <c r="J264" s="237"/>
      <c r="K264" s="223"/>
      <c r="L264" s="236"/>
      <c r="M264" s="222"/>
      <c r="N264" s="224"/>
      <c r="O264" s="222"/>
      <c r="P264" s="224"/>
      <c r="Q264" s="222"/>
      <c r="R264" s="224"/>
      <c r="S264" s="239"/>
      <c r="T264" s="224"/>
      <c r="U264" s="239"/>
      <c r="V264" s="224"/>
      <c r="W264" s="261"/>
    </row>
    <row r="265" spans="1:23" x14ac:dyDescent="0.25">
      <c r="A265" s="215"/>
      <c r="B265" s="215"/>
      <c r="C265" s="215"/>
      <c r="D265" s="215"/>
      <c r="E265" s="221"/>
      <c r="F265" s="221"/>
      <c r="G265" s="222"/>
      <c r="H265" s="221"/>
      <c r="I265" s="223"/>
      <c r="J265" s="237"/>
      <c r="K265" s="223"/>
      <c r="L265" s="236"/>
      <c r="M265" s="222"/>
      <c r="N265" s="224"/>
      <c r="O265" s="222"/>
      <c r="P265" s="224"/>
      <c r="Q265" s="222"/>
      <c r="R265" s="224"/>
      <c r="S265" s="239"/>
      <c r="T265" s="224"/>
      <c r="U265" s="239"/>
      <c r="V265" s="224"/>
      <c r="W265" s="261"/>
    </row>
    <row r="266" spans="1:23" x14ac:dyDescent="0.25">
      <c r="A266" s="215"/>
      <c r="B266" s="215"/>
      <c r="C266" s="215"/>
      <c r="D266" s="215"/>
      <c r="E266" s="221"/>
      <c r="F266" s="221"/>
      <c r="G266" s="222"/>
      <c r="H266" s="221"/>
      <c r="I266" s="223"/>
      <c r="J266" s="237"/>
      <c r="K266" s="223"/>
      <c r="L266" s="236"/>
      <c r="M266" s="222"/>
      <c r="N266" s="224"/>
      <c r="O266" s="222"/>
      <c r="P266" s="224"/>
      <c r="Q266" s="222"/>
      <c r="R266" s="224"/>
      <c r="S266" s="239"/>
      <c r="T266" s="224"/>
      <c r="U266" s="239"/>
      <c r="V266" s="224"/>
      <c r="W266" s="261"/>
    </row>
    <row r="267" spans="1:23" x14ac:dyDescent="0.25">
      <c r="A267" s="215"/>
      <c r="B267" s="215"/>
      <c r="C267" s="215"/>
      <c r="D267" s="215"/>
      <c r="E267" s="221"/>
      <c r="F267" s="221"/>
      <c r="G267" s="222"/>
      <c r="H267" s="221"/>
      <c r="I267" s="223"/>
      <c r="J267" s="237"/>
      <c r="K267" s="223"/>
      <c r="L267" s="236"/>
      <c r="M267" s="222"/>
      <c r="N267" s="224"/>
      <c r="O267" s="222"/>
      <c r="P267" s="224"/>
      <c r="Q267" s="222"/>
      <c r="R267" s="224"/>
      <c r="S267" s="239"/>
      <c r="T267" s="224"/>
      <c r="U267" s="239"/>
      <c r="V267" s="224"/>
      <c r="W267" s="261"/>
    </row>
    <row r="268" spans="1:23" x14ac:dyDescent="0.25">
      <c r="A268" s="215"/>
      <c r="B268" s="215"/>
      <c r="C268" s="215"/>
      <c r="D268" s="215"/>
      <c r="E268" s="221"/>
      <c r="F268" s="221"/>
      <c r="G268" s="222"/>
      <c r="H268" s="221"/>
      <c r="I268" s="223"/>
      <c r="J268" s="237"/>
      <c r="K268" s="223"/>
      <c r="L268" s="236"/>
      <c r="M268" s="222"/>
      <c r="N268" s="224"/>
      <c r="O268" s="222"/>
      <c r="P268" s="224"/>
      <c r="Q268" s="222"/>
      <c r="R268" s="224"/>
      <c r="S268" s="239"/>
      <c r="T268" s="224"/>
      <c r="U268" s="239"/>
      <c r="V268" s="224"/>
      <c r="W268" s="261"/>
    </row>
    <row r="269" spans="1:23" x14ac:dyDescent="0.25">
      <c r="A269" s="215"/>
      <c r="B269" s="215"/>
      <c r="C269" s="215"/>
      <c r="D269" s="215"/>
      <c r="E269" s="221"/>
      <c r="F269" s="221"/>
      <c r="G269" s="222"/>
      <c r="H269" s="221"/>
      <c r="I269" s="223"/>
      <c r="J269" s="237"/>
      <c r="K269" s="223"/>
      <c r="L269" s="236"/>
      <c r="M269" s="222"/>
      <c r="N269" s="224"/>
      <c r="O269" s="222"/>
      <c r="P269" s="224"/>
      <c r="Q269" s="222"/>
      <c r="R269" s="224"/>
      <c r="S269" s="239"/>
      <c r="T269" s="224"/>
      <c r="U269" s="239"/>
      <c r="V269" s="224"/>
      <c r="W269" s="261"/>
    </row>
    <row r="270" spans="1:23" x14ac:dyDescent="0.25">
      <c r="A270" s="215"/>
      <c r="B270" s="215"/>
      <c r="C270" s="215"/>
      <c r="D270" s="215"/>
      <c r="E270" s="221"/>
      <c r="F270" s="221"/>
      <c r="G270" s="222"/>
      <c r="H270" s="221"/>
      <c r="I270" s="223"/>
      <c r="J270" s="237"/>
      <c r="K270" s="223"/>
      <c r="L270" s="236"/>
      <c r="M270" s="222"/>
      <c r="N270" s="224"/>
      <c r="O270" s="222"/>
      <c r="P270" s="224"/>
      <c r="Q270" s="222"/>
      <c r="R270" s="224"/>
      <c r="S270" s="239"/>
      <c r="T270" s="224"/>
      <c r="U270" s="239"/>
      <c r="V270" s="224"/>
      <c r="W270" s="261"/>
    </row>
    <row r="271" spans="1:23" x14ac:dyDescent="0.25">
      <c r="A271" s="215"/>
      <c r="B271" s="215"/>
      <c r="C271" s="215"/>
      <c r="D271" s="215"/>
      <c r="E271" s="221"/>
      <c r="F271" s="221"/>
      <c r="G271" s="222"/>
      <c r="H271" s="221"/>
      <c r="I271" s="223"/>
      <c r="J271" s="237"/>
      <c r="K271" s="223"/>
      <c r="L271" s="236"/>
      <c r="M271" s="222"/>
      <c r="N271" s="224"/>
      <c r="O271" s="222"/>
      <c r="P271" s="224"/>
      <c r="Q271" s="222"/>
      <c r="R271" s="224"/>
      <c r="S271" s="239"/>
      <c r="T271" s="224"/>
      <c r="U271" s="239"/>
      <c r="V271" s="224"/>
      <c r="W271" s="261"/>
    </row>
    <row r="272" spans="1:23" x14ac:dyDescent="0.25">
      <c r="A272" s="215"/>
      <c r="B272" s="215"/>
      <c r="C272" s="215"/>
      <c r="D272" s="215"/>
      <c r="E272" s="221"/>
      <c r="F272" s="221"/>
      <c r="G272" s="222"/>
      <c r="H272" s="221"/>
      <c r="I272" s="223"/>
      <c r="J272" s="237"/>
      <c r="K272" s="223"/>
      <c r="L272" s="236"/>
      <c r="M272" s="222"/>
      <c r="N272" s="224"/>
      <c r="O272" s="222"/>
      <c r="P272" s="224"/>
      <c r="Q272" s="222"/>
      <c r="R272" s="224"/>
      <c r="S272" s="239"/>
      <c r="T272" s="224"/>
      <c r="U272" s="239"/>
      <c r="V272" s="224"/>
      <c r="W272" s="261"/>
    </row>
    <row r="273" spans="1:23" x14ac:dyDescent="0.25">
      <c r="A273" s="215"/>
      <c r="B273" s="215"/>
      <c r="C273" s="215"/>
      <c r="D273" s="215"/>
      <c r="E273" s="221"/>
      <c r="F273" s="221"/>
      <c r="G273" s="222"/>
      <c r="H273" s="221"/>
      <c r="I273" s="223"/>
      <c r="J273" s="237"/>
      <c r="K273" s="223"/>
      <c r="L273" s="236"/>
      <c r="M273" s="222"/>
      <c r="N273" s="224"/>
      <c r="O273" s="222"/>
      <c r="P273" s="224"/>
      <c r="Q273" s="222"/>
      <c r="R273" s="224"/>
      <c r="S273" s="239"/>
      <c r="T273" s="224"/>
      <c r="U273" s="239"/>
      <c r="V273" s="224"/>
      <c r="W273" s="261"/>
    </row>
    <row r="274" spans="1:23" x14ac:dyDescent="0.25">
      <c r="A274" s="215"/>
      <c r="B274" s="215"/>
      <c r="C274" s="215"/>
      <c r="D274" s="215"/>
      <c r="E274" s="221"/>
      <c r="F274" s="221"/>
      <c r="G274" s="222"/>
      <c r="H274" s="221"/>
      <c r="I274" s="223"/>
      <c r="J274" s="237"/>
      <c r="K274" s="223"/>
      <c r="L274" s="236"/>
      <c r="M274" s="222"/>
      <c r="N274" s="224"/>
      <c r="O274" s="222"/>
      <c r="P274" s="224"/>
      <c r="Q274" s="222"/>
      <c r="R274" s="224"/>
      <c r="S274" s="239"/>
      <c r="T274" s="224"/>
      <c r="U274" s="239"/>
      <c r="V274" s="224"/>
      <c r="W274" s="261"/>
    </row>
    <row r="275" spans="1:23" x14ac:dyDescent="0.25">
      <c r="A275" s="215"/>
      <c r="B275" s="215"/>
      <c r="C275" s="215"/>
      <c r="D275" s="215"/>
      <c r="E275" s="221"/>
      <c r="F275" s="221"/>
      <c r="G275" s="222"/>
      <c r="H275" s="221"/>
      <c r="I275" s="223"/>
      <c r="J275" s="237"/>
      <c r="K275" s="223"/>
      <c r="L275" s="236"/>
      <c r="M275" s="222"/>
      <c r="N275" s="224"/>
      <c r="O275" s="222"/>
      <c r="P275" s="224"/>
      <c r="Q275" s="222"/>
      <c r="R275" s="224"/>
      <c r="S275" s="239"/>
      <c r="T275" s="224"/>
      <c r="U275" s="239"/>
      <c r="V275" s="224"/>
      <c r="W275" s="261"/>
    </row>
    <row r="276" spans="1:23" x14ac:dyDescent="0.25">
      <c r="A276" s="215"/>
      <c r="B276" s="215"/>
      <c r="C276" s="215"/>
      <c r="D276" s="215"/>
      <c r="E276" s="221"/>
      <c r="F276" s="221"/>
      <c r="G276" s="222"/>
      <c r="H276" s="221"/>
      <c r="I276" s="223"/>
      <c r="J276" s="237"/>
      <c r="K276" s="223"/>
      <c r="L276" s="236"/>
      <c r="M276" s="222"/>
      <c r="N276" s="224"/>
      <c r="O276" s="222"/>
      <c r="P276" s="224"/>
      <c r="Q276" s="222"/>
      <c r="R276" s="224"/>
      <c r="S276" s="239"/>
      <c r="T276" s="224"/>
      <c r="U276" s="239"/>
      <c r="V276" s="224"/>
      <c r="W276" s="261"/>
    </row>
    <row r="277" spans="1:23" x14ac:dyDescent="0.25">
      <c r="A277" s="215"/>
      <c r="B277" s="215"/>
      <c r="C277" s="215"/>
      <c r="D277" s="215"/>
      <c r="E277" s="221"/>
      <c r="F277" s="221"/>
      <c r="G277" s="222"/>
      <c r="H277" s="221"/>
      <c r="I277" s="223"/>
      <c r="J277" s="237"/>
      <c r="K277" s="223"/>
      <c r="L277" s="236"/>
      <c r="M277" s="222"/>
      <c r="N277" s="224"/>
      <c r="O277" s="222"/>
      <c r="P277" s="224"/>
      <c r="Q277" s="222"/>
      <c r="R277" s="224"/>
      <c r="S277" s="239"/>
      <c r="T277" s="224"/>
      <c r="U277" s="239"/>
      <c r="V277" s="224"/>
      <c r="W277" s="261"/>
    </row>
    <row r="278" spans="1:23" x14ac:dyDescent="0.25">
      <c r="A278" s="215"/>
      <c r="B278" s="215"/>
      <c r="C278" s="215"/>
      <c r="D278" s="215"/>
      <c r="E278" s="221"/>
      <c r="F278" s="221"/>
      <c r="G278" s="222"/>
      <c r="H278" s="221"/>
      <c r="I278" s="223"/>
      <c r="J278" s="237"/>
      <c r="K278" s="223"/>
      <c r="L278" s="236"/>
      <c r="M278" s="222"/>
      <c r="N278" s="224"/>
      <c r="O278" s="222"/>
      <c r="P278" s="224"/>
      <c r="Q278" s="222"/>
      <c r="R278" s="224"/>
      <c r="S278" s="239"/>
      <c r="T278" s="224"/>
      <c r="U278" s="239"/>
      <c r="V278" s="224"/>
      <c r="W278" s="261"/>
    </row>
    <row r="279" spans="1:23" x14ac:dyDescent="0.25">
      <c r="A279" s="215"/>
      <c r="B279" s="215"/>
      <c r="C279" s="215"/>
      <c r="D279" s="215"/>
      <c r="E279" s="221"/>
      <c r="F279" s="221"/>
      <c r="G279" s="222"/>
      <c r="H279" s="221"/>
      <c r="I279" s="223"/>
      <c r="J279" s="237"/>
      <c r="K279" s="223"/>
      <c r="L279" s="236"/>
      <c r="M279" s="222"/>
      <c r="N279" s="224"/>
      <c r="O279" s="222"/>
      <c r="P279" s="224"/>
      <c r="Q279" s="222"/>
      <c r="R279" s="224"/>
      <c r="S279" s="239"/>
      <c r="T279" s="224"/>
      <c r="U279" s="239"/>
      <c r="V279" s="224"/>
      <c r="W279" s="261"/>
    </row>
    <row r="280" spans="1:23" x14ac:dyDescent="0.25">
      <c r="A280" s="215"/>
      <c r="B280" s="215"/>
      <c r="C280" s="215"/>
      <c r="D280" s="215"/>
      <c r="E280" s="221"/>
      <c r="F280" s="221"/>
      <c r="G280" s="222"/>
      <c r="H280" s="221"/>
      <c r="I280" s="223"/>
      <c r="J280" s="237"/>
      <c r="K280" s="223"/>
      <c r="L280" s="236"/>
      <c r="M280" s="222"/>
      <c r="N280" s="224"/>
      <c r="O280" s="222"/>
      <c r="P280" s="224"/>
      <c r="Q280" s="222"/>
      <c r="R280" s="224"/>
      <c r="S280" s="239"/>
      <c r="T280" s="224"/>
      <c r="U280" s="239"/>
      <c r="V280" s="224"/>
      <c r="W280" s="261"/>
    </row>
    <row r="281" spans="1:23" x14ac:dyDescent="0.25">
      <c r="A281" s="215"/>
      <c r="B281" s="215"/>
      <c r="C281" s="215"/>
      <c r="D281" s="215"/>
      <c r="E281" s="221"/>
      <c r="F281" s="221"/>
      <c r="G281" s="222"/>
      <c r="H281" s="221"/>
      <c r="I281" s="223"/>
      <c r="J281" s="237"/>
      <c r="K281" s="223"/>
      <c r="L281" s="236"/>
      <c r="M281" s="222"/>
      <c r="N281" s="224"/>
      <c r="O281" s="222"/>
      <c r="P281" s="224"/>
      <c r="Q281" s="222"/>
      <c r="R281" s="224"/>
      <c r="S281" s="239"/>
      <c r="T281" s="224"/>
      <c r="U281" s="239"/>
      <c r="V281" s="224"/>
      <c r="W281" s="261"/>
    </row>
    <row r="282" spans="1:23" x14ac:dyDescent="0.25">
      <c r="A282" s="215"/>
      <c r="B282" s="215"/>
      <c r="C282" s="215"/>
      <c r="D282" s="215"/>
      <c r="E282" s="221"/>
      <c r="F282" s="221"/>
      <c r="G282" s="222"/>
      <c r="H282" s="221"/>
      <c r="I282" s="223"/>
      <c r="J282" s="237"/>
      <c r="K282" s="223"/>
      <c r="L282" s="236"/>
      <c r="M282" s="222"/>
      <c r="N282" s="224"/>
      <c r="O282" s="222"/>
      <c r="P282" s="224"/>
      <c r="Q282" s="222"/>
      <c r="R282" s="224"/>
      <c r="S282" s="239"/>
      <c r="T282" s="224"/>
      <c r="U282" s="239"/>
      <c r="V282" s="224"/>
      <c r="W282" s="261"/>
    </row>
    <row r="283" spans="1:23" x14ac:dyDescent="0.25">
      <c r="A283" s="215"/>
      <c r="B283" s="215"/>
      <c r="C283" s="215"/>
      <c r="D283" s="215"/>
      <c r="E283" s="221"/>
      <c r="F283" s="221"/>
      <c r="G283" s="222"/>
      <c r="H283" s="221"/>
      <c r="I283" s="223"/>
      <c r="J283" s="237"/>
      <c r="K283" s="223"/>
      <c r="L283" s="236"/>
      <c r="M283" s="222"/>
      <c r="N283" s="224"/>
      <c r="O283" s="222"/>
      <c r="P283" s="224"/>
      <c r="Q283" s="222"/>
      <c r="R283" s="224"/>
      <c r="S283" s="239"/>
      <c r="T283" s="224"/>
      <c r="U283" s="239"/>
      <c r="V283" s="224"/>
      <c r="W283" s="261"/>
    </row>
    <row r="284" spans="1:23" x14ac:dyDescent="0.25">
      <c r="A284" s="215"/>
      <c r="B284" s="215"/>
      <c r="C284" s="215"/>
      <c r="D284" s="215"/>
      <c r="E284" s="221"/>
      <c r="F284" s="221"/>
      <c r="G284" s="222"/>
      <c r="H284" s="221"/>
      <c r="I284" s="223"/>
      <c r="J284" s="237"/>
      <c r="K284" s="223"/>
      <c r="L284" s="236"/>
      <c r="M284" s="222"/>
      <c r="N284" s="224"/>
      <c r="O284" s="222"/>
      <c r="P284" s="224"/>
      <c r="Q284" s="222"/>
      <c r="R284" s="224"/>
      <c r="S284" s="239"/>
      <c r="T284" s="224"/>
      <c r="U284" s="239"/>
      <c r="V284" s="224"/>
      <c r="W284" s="261"/>
    </row>
    <row r="285" spans="1:23" x14ac:dyDescent="0.25">
      <c r="A285" s="215"/>
      <c r="B285" s="215"/>
      <c r="C285" s="215"/>
      <c r="D285" s="215"/>
      <c r="E285" s="221"/>
      <c r="F285" s="221"/>
      <c r="G285" s="222"/>
      <c r="H285" s="221"/>
      <c r="I285" s="223"/>
      <c r="J285" s="237"/>
      <c r="K285" s="223"/>
      <c r="L285" s="236"/>
      <c r="M285" s="222"/>
      <c r="N285" s="224"/>
      <c r="O285" s="222"/>
      <c r="P285" s="224"/>
      <c r="Q285" s="222"/>
      <c r="R285" s="224"/>
      <c r="S285" s="239"/>
      <c r="T285" s="224"/>
      <c r="U285" s="239"/>
      <c r="V285" s="224"/>
      <c r="W285" s="261"/>
    </row>
    <row r="286" spans="1:23" x14ac:dyDescent="0.25">
      <c r="A286" s="215"/>
      <c r="B286" s="215"/>
      <c r="C286" s="215"/>
      <c r="D286" s="215"/>
      <c r="E286" s="221"/>
      <c r="F286" s="221"/>
      <c r="G286" s="222"/>
      <c r="H286" s="221"/>
      <c r="I286" s="223"/>
      <c r="J286" s="237"/>
      <c r="K286" s="223"/>
      <c r="L286" s="236"/>
      <c r="M286" s="222"/>
      <c r="N286" s="224"/>
      <c r="O286" s="222"/>
      <c r="P286" s="224"/>
      <c r="Q286" s="222"/>
      <c r="R286" s="224"/>
      <c r="S286" s="239"/>
      <c r="T286" s="224"/>
      <c r="U286" s="239"/>
      <c r="V286" s="224"/>
      <c r="W286" s="261"/>
    </row>
    <row r="287" spans="1:23" x14ac:dyDescent="0.25">
      <c r="A287" s="215"/>
      <c r="B287" s="215"/>
      <c r="C287" s="215"/>
      <c r="D287" s="215"/>
      <c r="E287" s="221"/>
      <c r="F287" s="221"/>
      <c r="G287" s="222"/>
      <c r="H287" s="221"/>
      <c r="I287" s="223"/>
      <c r="J287" s="237"/>
      <c r="K287" s="223"/>
      <c r="L287" s="236"/>
      <c r="M287" s="222"/>
      <c r="N287" s="224"/>
      <c r="O287" s="222"/>
      <c r="P287" s="224"/>
      <c r="Q287" s="222"/>
      <c r="R287" s="224"/>
      <c r="S287" s="239"/>
      <c r="T287" s="224"/>
      <c r="U287" s="239"/>
      <c r="V287" s="224"/>
      <c r="W287" s="261"/>
    </row>
    <row r="288" spans="1:23" x14ac:dyDescent="0.25">
      <c r="A288" s="215"/>
      <c r="B288" s="215"/>
      <c r="C288" s="215"/>
      <c r="D288" s="215"/>
      <c r="E288" s="221"/>
      <c r="F288" s="221"/>
      <c r="G288" s="222"/>
      <c r="H288" s="221"/>
      <c r="I288" s="223"/>
      <c r="J288" s="237"/>
      <c r="K288" s="223"/>
      <c r="L288" s="236"/>
      <c r="M288" s="222"/>
      <c r="N288" s="224"/>
      <c r="O288" s="222"/>
      <c r="P288" s="224"/>
      <c r="Q288" s="222"/>
      <c r="R288" s="224"/>
      <c r="S288" s="239"/>
      <c r="T288" s="224"/>
      <c r="U288" s="239"/>
      <c r="V288" s="224"/>
      <c r="W288" s="261"/>
    </row>
    <row r="289" spans="1:23" x14ac:dyDescent="0.25">
      <c r="A289" s="215"/>
      <c r="B289" s="215"/>
      <c r="C289" s="215"/>
      <c r="D289" s="215"/>
      <c r="E289" s="221"/>
      <c r="F289" s="221"/>
      <c r="G289" s="222"/>
      <c r="H289" s="221"/>
      <c r="I289" s="223"/>
      <c r="J289" s="237"/>
      <c r="K289" s="223"/>
      <c r="L289" s="236"/>
      <c r="M289" s="222"/>
      <c r="N289" s="224"/>
      <c r="O289" s="222"/>
      <c r="P289" s="224"/>
      <c r="Q289" s="222"/>
      <c r="R289" s="224"/>
      <c r="S289" s="239"/>
      <c r="T289" s="224"/>
      <c r="U289" s="239"/>
      <c r="V289" s="224"/>
      <c r="W289" s="261"/>
    </row>
    <row r="290" spans="1:23" x14ac:dyDescent="0.25">
      <c r="A290" s="215"/>
      <c r="B290" s="215"/>
      <c r="C290" s="215"/>
      <c r="D290" s="215"/>
      <c r="E290" s="221"/>
      <c r="F290" s="221"/>
      <c r="G290" s="222"/>
      <c r="H290" s="221"/>
      <c r="I290" s="223"/>
      <c r="J290" s="237"/>
      <c r="K290" s="223"/>
      <c r="L290" s="236"/>
      <c r="M290" s="222"/>
      <c r="N290" s="224"/>
      <c r="O290" s="222"/>
      <c r="P290" s="224"/>
      <c r="Q290" s="222"/>
      <c r="R290" s="224"/>
      <c r="S290" s="239"/>
      <c r="T290" s="224"/>
      <c r="U290" s="239"/>
      <c r="V290" s="224"/>
      <c r="W290" s="261"/>
    </row>
    <row r="291" spans="1:23" x14ac:dyDescent="0.25">
      <c r="A291" s="215"/>
      <c r="B291" s="215"/>
      <c r="C291" s="215"/>
      <c r="D291" s="215"/>
      <c r="E291" s="221"/>
      <c r="F291" s="221"/>
      <c r="G291" s="222"/>
      <c r="H291" s="221"/>
      <c r="I291" s="223"/>
      <c r="J291" s="237"/>
      <c r="K291" s="223"/>
      <c r="L291" s="236"/>
      <c r="M291" s="222"/>
      <c r="N291" s="224"/>
      <c r="O291" s="222"/>
      <c r="P291" s="224"/>
      <c r="Q291" s="222"/>
      <c r="R291" s="224"/>
      <c r="S291" s="239"/>
      <c r="T291" s="224"/>
      <c r="U291" s="239"/>
      <c r="V291" s="224"/>
      <c r="W291" s="261"/>
    </row>
    <row r="292" spans="1:23" x14ac:dyDescent="0.25">
      <c r="A292" s="215"/>
      <c r="B292" s="215"/>
      <c r="C292" s="215"/>
      <c r="D292" s="215"/>
      <c r="E292" s="221"/>
      <c r="F292" s="221"/>
      <c r="G292" s="222"/>
      <c r="H292" s="221"/>
      <c r="I292" s="223"/>
      <c r="J292" s="237"/>
      <c r="K292" s="223"/>
      <c r="L292" s="236"/>
      <c r="M292" s="222"/>
      <c r="N292" s="224"/>
      <c r="O292" s="222"/>
      <c r="P292" s="224"/>
      <c r="Q292" s="222"/>
      <c r="R292" s="224"/>
      <c r="S292" s="239"/>
      <c r="T292" s="224"/>
      <c r="U292" s="239"/>
      <c r="V292" s="224"/>
      <c r="W292" s="261"/>
    </row>
    <row r="293" spans="1:23" x14ac:dyDescent="0.25">
      <c r="A293" s="215"/>
      <c r="B293" s="215"/>
      <c r="C293" s="215"/>
      <c r="D293" s="215"/>
      <c r="E293" s="221"/>
      <c r="F293" s="221"/>
      <c r="G293" s="222"/>
      <c r="H293" s="221"/>
      <c r="I293" s="223"/>
      <c r="J293" s="237"/>
      <c r="K293" s="223"/>
      <c r="L293" s="236"/>
      <c r="M293" s="222"/>
      <c r="N293" s="224"/>
      <c r="O293" s="222"/>
      <c r="P293" s="224"/>
      <c r="Q293" s="222"/>
      <c r="R293" s="224"/>
      <c r="S293" s="239"/>
      <c r="T293" s="224"/>
      <c r="U293" s="239"/>
      <c r="V293" s="224"/>
      <c r="W293" s="261"/>
    </row>
    <row r="294" spans="1:23" x14ac:dyDescent="0.25">
      <c r="A294" s="215"/>
      <c r="B294" s="215"/>
      <c r="C294" s="215"/>
      <c r="D294" s="215"/>
      <c r="E294" s="221"/>
      <c r="F294" s="221"/>
      <c r="G294" s="222"/>
      <c r="H294" s="221"/>
      <c r="I294" s="223"/>
      <c r="J294" s="237"/>
      <c r="K294" s="223"/>
      <c r="L294" s="236"/>
      <c r="M294" s="222"/>
      <c r="N294" s="224"/>
      <c r="O294" s="222"/>
      <c r="P294" s="224"/>
      <c r="Q294" s="222"/>
      <c r="R294" s="224"/>
      <c r="S294" s="239"/>
      <c r="T294" s="224"/>
      <c r="U294" s="239"/>
      <c r="V294" s="224"/>
      <c r="W294" s="261"/>
    </row>
    <row r="295" spans="1:23" x14ac:dyDescent="0.25">
      <c r="A295" s="215"/>
      <c r="B295" s="215"/>
      <c r="C295" s="215"/>
      <c r="D295" s="215"/>
      <c r="E295" s="221"/>
      <c r="F295" s="221"/>
      <c r="G295" s="222"/>
      <c r="H295" s="221"/>
      <c r="I295" s="223"/>
      <c r="J295" s="237"/>
      <c r="K295" s="223"/>
      <c r="L295" s="236"/>
      <c r="M295" s="222"/>
      <c r="N295" s="224"/>
      <c r="O295" s="222"/>
      <c r="P295" s="224"/>
      <c r="Q295" s="222"/>
      <c r="R295" s="224"/>
      <c r="S295" s="239"/>
      <c r="T295" s="224"/>
      <c r="U295" s="239"/>
      <c r="V295" s="224"/>
      <c r="W295" s="261"/>
    </row>
    <row r="296" spans="1:23" x14ac:dyDescent="0.25">
      <c r="A296" s="215"/>
      <c r="B296" s="215"/>
      <c r="C296" s="215"/>
      <c r="D296" s="215"/>
      <c r="E296" s="221"/>
      <c r="F296" s="221"/>
      <c r="G296" s="222"/>
      <c r="H296" s="221"/>
      <c r="I296" s="223"/>
      <c r="J296" s="237"/>
      <c r="K296" s="223"/>
      <c r="L296" s="236"/>
      <c r="M296" s="222"/>
      <c r="N296" s="224"/>
      <c r="O296" s="222"/>
      <c r="P296" s="224"/>
      <c r="Q296" s="222"/>
      <c r="R296" s="224"/>
      <c r="S296" s="239"/>
      <c r="T296" s="224"/>
      <c r="U296" s="239"/>
      <c r="V296" s="224"/>
      <c r="W296" s="261"/>
    </row>
    <row r="297" spans="1:23" x14ac:dyDescent="0.25">
      <c r="A297" s="215"/>
      <c r="B297" s="215"/>
      <c r="C297" s="215"/>
      <c r="D297" s="215"/>
      <c r="E297" s="221"/>
      <c r="F297" s="221"/>
      <c r="G297" s="222"/>
      <c r="H297" s="221"/>
      <c r="I297" s="223"/>
      <c r="J297" s="237"/>
      <c r="K297" s="223"/>
      <c r="L297" s="236"/>
      <c r="M297" s="222"/>
      <c r="N297" s="224"/>
      <c r="O297" s="222"/>
      <c r="P297" s="224"/>
      <c r="Q297" s="222"/>
      <c r="R297" s="224"/>
      <c r="S297" s="239"/>
      <c r="T297" s="224"/>
      <c r="U297" s="239"/>
      <c r="V297" s="224"/>
      <c r="W297" s="261"/>
    </row>
    <row r="298" spans="1:23" x14ac:dyDescent="0.25">
      <c r="A298" s="215"/>
      <c r="B298" s="215"/>
      <c r="C298" s="215"/>
      <c r="D298" s="215"/>
      <c r="E298" s="221"/>
      <c r="F298" s="221"/>
      <c r="G298" s="222"/>
      <c r="H298" s="221"/>
      <c r="I298" s="223"/>
      <c r="J298" s="237"/>
      <c r="K298" s="223"/>
      <c r="L298" s="236"/>
      <c r="M298" s="222"/>
      <c r="N298" s="224"/>
      <c r="O298" s="222"/>
      <c r="P298" s="224"/>
      <c r="Q298" s="222"/>
      <c r="R298" s="224"/>
      <c r="S298" s="239"/>
      <c r="T298" s="224"/>
      <c r="U298" s="239"/>
      <c r="V298" s="224"/>
      <c r="W298" s="261"/>
    </row>
    <row r="299" spans="1:23" x14ac:dyDescent="0.25">
      <c r="A299" s="215"/>
      <c r="B299" s="215"/>
      <c r="C299" s="215"/>
      <c r="D299" s="215"/>
      <c r="E299" s="221"/>
      <c r="F299" s="221"/>
      <c r="G299" s="222"/>
      <c r="H299" s="221"/>
      <c r="I299" s="223"/>
      <c r="J299" s="237"/>
      <c r="K299" s="223"/>
      <c r="L299" s="236"/>
      <c r="M299" s="222"/>
      <c r="N299" s="224"/>
      <c r="O299" s="222"/>
      <c r="P299" s="224"/>
      <c r="Q299" s="222"/>
      <c r="R299" s="224"/>
      <c r="S299" s="239"/>
      <c r="T299" s="224"/>
      <c r="U299" s="239"/>
      <c r="V299" s="224"/>
      <c r="W299" s="261"/>
    </row>
    <row r="300" spans="1:23" x14ac:dyDescent="0.25">
      <c r="A300" s="215"/>
      <c r="B300" s="215"/>
      <c r="C300" s="215"/>
      <c r="D300" s="215"/>
      <c r="E300" s="221"/>
      <c r="F300" s="221"/>
      <c r="G300" s="222"/>
      <c r="H300" s="221"/>
      <c r="I300" s="223"/>
      <c r="J300" s="237"/>
      <c r="K300" s="223"/>
      <c r="L300" s="236"/>
      <c r="M300" s="222"/>
      <c r="N300" s="224"/>
      <c r="O300" s="222"/>
      <c r="P300" s="224"/>
      <c r="Q300" s="222"/>
      <c r="R300" s="224"/>
      <c r="S300" s="239"/>
      <c r="T300" s="224"/>
      <c r="U300" s="239"/>
      <c r="V300" s="224"/>
      <c r="W300" s="261"/>
    </row>
    <row r="301" spans="1:23" x14ac:dyDescent="0.25">
      <c r="A301" s="215"/>
      <c r="B301" s="215"/>
      <c r="C301" s="215"/>
      <c r="D301" s="215"/>
      <c r="E301" s="221"/>
      <c r="F301" s="221"/>
      <c r="G301" s="222"/>
      <c r="H301" s="221"/>
      <c r="I301" s="223"/>
      <c r="J301" s="237"/>
      <c r="K301" s="223"/>
      <c r="L301" s="236"/>
      <c r="M301" s="222"/>
      <c r="N301" s="224"/>
      <c r="O301" s="222"/>
      <c r="P301" s="224"/>
      <c r="Q301" s="222"/>
      <c r="R301" s="224"/>
      <c r="S301" s="239"/>
      <c r="T301" s="224"/>
      <c r="U301" s="239"/>
      <c r="V301" s="224"/>
      <c r="W301" s="261"/>
    </row>
    <row r="302" spans="1:23" x14ac:dyDescent="0.25">
      <c r="A302" s="215"/>
      <c r="B302" s="215"/>
      <c r="C302" s="215"/>
      <c r="D302" s="215"/>
      <c r="E302" s="221"/>
      <c r="F302" s="221"/>
      <c r="G302" s="222"/>
      <c r="H302" s="221"/>
      <c r="I302" s="223"/>
      <c r="J302" s="237"/>
      <c r="K302" s="223"/>
      <c r="L302" s="236"/>
      <c r="M302" s="222"/>
      <c r="N302" s="224"/>
      <c r="O302" s="222"/>
      <c r="P302" s="224"/>
      <c r="Q302" s="222"/>
      <c r="R302" s="224"/>
      <c r="S302" s="239"/>
      <c r="T302" s="224"/>
      <c r="U302" s="239"/>
      <c r="V302" s="224"/>
      <c r="W302" s="261"/>
    </row>
    <row r="303" spans="1:23" x14ac:dyDescent="0.25">
      <c r="A303" s="215"/>
      <c r="B303" s="215"/>
      <c r="C303" s="215"/>
      <c r="D303" s="215"/>
      <c r="E303" s="221"/>
      <c r="F303" s="221"/>
      <c r="G303" s="222"/>
      <c r="H303" s="221"/>
      <c r="I303" s="223"/>
      <c r="J303" s="237"/>
      <c r="K303" s="223"/>
      <c r="L303" s="236"/>
      <c r="M303" s="222"/>
      <c r="N303" s="224"/>
      <c r="O303" s="222"/>
      <c r="P303" s="224"/>
      <c r="Q303" s="222"/>
      <c r="R303" s="224"/>
      <c r="S303" s="239"/>
      <c r="T303" s="224"/>
      <c r="U303" s="239"/>
      <c r="V303" s="224"/>
      <c r="W303" s="261"/>
    </row>
    <row r="304" spans="1:23" x14ac:dyDescent="0.25">
      <c r="A304" s="215"/>
      <c r="B304" s="215"/>
      <c r="C304" s="215"/>
      <c r="D304" s="215"/>
      <c r="E304" s="221"/>
      <c r="F304" s="221"/>
      <c r="G304" s="222"/>
      <c r="H304" s="221"/>
      <c r="I304" s="223"/>
      <c r="J304" s="237"/>
      <c r="K304" s="223"/>
      <c r="L304" s="236"/>
      <c r="M304" s="222"/>
      <c r="N304" s="224"/>
      <c r="O304" s="222"/>
      <c r="P304" s="224"/>
      <c r="Q304" s="222"/>
      <c r="R304" s="224"/>
      <c r="S304" s="239"/>
      <c r="T304" s="224"/>
      <c r="U304" s="239"/>
      <c r="V304" s="224"/>
      <c r="W304" s="261"/>
    </row>
    <row r="305" spans="1:23" x14ac:dyDescent="0.25">
      <c r="A305" s="215"/>
      <c r="B305" s="215"/>
      <c r="C305" s="215"/>
      <c r="D305" s="215"/>
      <c r="E305" s="221"/>
      <c r="F305" s="221"/>
      <c r="G305" s="222"/>
      <c r="H305" s="221"/>
      <c r="I305" s="223"/>
      <c r="J305" s="237"/>
      <c r="K305" s="223"/>
      <c r="L305" s="236"/>
      <c r="M305" s="222"/>
      <c r="N305" s="224"/>
      <c r="O305" s="222"/>
      <c r="P305" s="224"/>
      <c r="Q305" s="222"/>
      <c r="R305" s="224"/>
      <c r="S305" s="239"/>
      <c r="T305" s="224"/>
      <c r="U305" s="239"/>
      <c r="V305" s="224"/>
      <c r="W305" s="261"/>
    </row>
    <row r="306" spans="1:23" x14ac:dyDescent="0.25">
      <c r="A306" s="215"/>
      <c r="B306" s="215"/>
      <c r="C306" s="215"/>
      <c r="D306" s="215"/>
      <c r="E306" s="221"/>
      <c r="F306" s="221"/>
      <c r="G306" s="222"/>
      <c r="H306" s="221"/>
      <c r="I306" s="223"/>
      <c r="J306" s="237"/>
      <c r="K306" s="223"/>
      <c r="L306" s="236"/>
      <c r="M306" s="222"/>
      <c r="N306" s="224"/>
      <c r="O306" s="222"/>
      <c r="P306" s="224"/>
      <c r="Q306" s="222"/>
      <c r="R306" s="224"/>
      <c r="S306" s="239"/>
      <c r="T306" s="224"/>
      <c r="U306" s="239"/>
      <c r="V306" s="224"/>
      <c r="W306" s="261"/>
    </row>
    <row r="307" spans="1:23" x14ac:dyDescent="0.25">
      <c r="A307" s="215"/>
      <c r="B307" s="215"/>
      <c r="C307" s="215"/>
      <c r="D307" s="215"/>
      <c r="E307" s="221"/>
      <c r="F307" s="221"/>
      <c r="G307" s="222"/>
      <c r="H307" s="221"/>
      <c r="I307" s="223"/>
      <c r="J307" s="237"/>
      <c r="K307" s="223"/>
      <c r="L307" s="236"/>
      <c r="M307" s="222"/>
      <c r="N307" s="224"/>
      <c r="O307" s="222"/>
      <c r="P307" s="224"/>
      <c r="Q307" s="222"/>
      <c r="R307" s="224"/>
      <c r="S307" s="239"/>
      <c r="T307" s="224"/>
      <c r="U307" s="239"/>
      <c r="V307" s="224"/>
      <c r="W307" s="261"/>
    </row>
    <row r="308" spans="1:23" x14ac:dyDescent="0.25">
      <c r="A308" s="215"/>
      <c r="B308" s="215"/>
      <c r="C308" s="215"/>
      <c r="D308" s="215"/>
      <c r="E308" s="221"/>
      <c r="F308" s="221"/>
      <c r="G308" s="222"/>
      <c r="H308" s="221"/>
      <c r="I308" s="223"/>
      <c r="J308" s="237"/>
      <c r="K308" s="223"/>
      <c r="L308" s="236"/>
      <c r="M308" s="222"/>
      <c r="N308" s="224"/>
      <c r="O308" s="222"/>
      <c r="P308" s="224"/>
      <c r="Q308" s="222"/>
      <c r="R308" s="224"/>
      <c r="S308" s="239"/>
      <c r="T308" s="224"/>
      <c r="U308" s="239"/>
      <c r="V308" s="224"/>
      <c r="W308" s="261"/>
    </row>
    <row r="309" spans="1:23" x14ac:dyDescent="0.25">
      <c r="A309" s="215"/>
      <c r="B309" s="215"/>
      <c r="C309" s="215"/>
      <c r="D309" s="215"/>
      <c r="E309" s="221"/>
      <c r="F309" s="221"/>
      <c r="G309" s="222"/>
      <c r="H309" s="221"/>
      <c r="I309" s="223"/>
      <c r="J309" s="237"/>
      <c r="K309" s="223"/>
      <c r="L309" s="236"/>
      <c r="M309" s="222"/>
      <c r="N309" s="224"/>
      <c r="O309" s="222"/>
      <c r="P309" s="224"/>
      <c r="Q309" s="222"/>
      <c r="R309" s="224"/>
      <c r="S309" s="239"/>
      <c r="T309" s="224"/>
      <c r="U309" s="239"/>
      <c r="V309" s="224"/>
      <c r="W309" s="261"/>
    </row>
    <row r="310" spans="1:23" x14ac:dyDescent="0.25">
      <c r="A310" s="215"/>
      <c r="B310" s="215"/>
      <c r="C310" s="215"/>
      <c r="D310" s="215"/>
      <c r="E310" s="221"/>
      <c r="F310" s="221"/>
      <c r="G310" s="222"/>
      <c r="H310" s="221"/>
      <c r="I310" s="223"/>
      <c r="J310" s="237"/>
      <c r="K310" s="223"/>
      <c r="L310" s="236"/>
      <c r="M310" s="222"/>
      <c r="N310" s="224"/>
      <c r="O310" s="222"/>
      <c r="P310" s="224"/>
      <c r="Q310" s="222"/>
      <c r="R310" s="224"/>
      <c r="S310" s="239"/>
      <c r="T310" s="224"/>
      <c r="U310" s="239"/>
      <c r="V310" s="224"/>
      <c r="W310" s="261"/>
    </row>
    <row r="311" spans="1:23" x14ac:dyDescent="0.25">
      <c r="A311" s="215"/>
      <c r="B311" s="215"/>
      <c r="C311" s="215"/>
      <c r="D311" s="215"/>
      <c r="E311" s="221"/>
      <c r="F311" s="221"/>
      <c r="G311" s="222"/>
      <c r="H311" s="221"/>
      <c r="I311" s="223"/>
      <c r="J311" s="237"/>
      <c r="K311" s="223"/>
      <c r="L311" s="236"/>
      <c r="M311" s="222"/>
      <c r="N311" s="224"/>
      <c r="O311" s="222"/>
      <c r="P311" s="224"/>
      <c r="Q311" s="222"/>
      <c r="R311" s="224"/>
      <c r="S311" s="239"/>
      <c r="T311" s="224"/>
      <c r="U311" s="239"/>
      <c r="V311" s="224"/>
      <c r="W311" s="261"/>
    </row>
    <row r="312" spans="1:23" x14ac:dyDescent="0.25">
      <c r="A312" s="215"/>
      <c r="B312" s="215"/>
      <c r="C312" s="215"/>
      <c r="D312" s="215"/>
      <c r="E312" s="221"/>
      <c r="F312" s="221"/>
      <c r="G312" s="222"/>
      <c r="H312" s="221"/>
      <c r="I312" s="223"/>
      <c r="J312" s="237"/>
      <c r="K312" s="223"/>
      <c r="L312" s="236"/>
      <c r="M312" s="222"/>
      <c r="N312" s="224"/>
      <c r="O312" s="222"/>
      <c r="P312" s="224"/>
      <c r="Q312" s="222"/>
      <c r="R312" s="224"/>
      <c r="S312" s="239"/>
      <c r="T312" s="224"/>
      <c r="U312" s="239"/>
      <c r="V312" s="224"/>
      <c r="W312" s="261"/>
    </row>
    <row r="313" spans="1:23" x14ac:dyDescent="0.25">
      <c r="A313" s="215"/>
      <c r="B313" s="215"/>
      <c r="C313" s="215"/>
      <c r="D313" s="215"/>
      <c r="E313" s="221"/>
      <c r="F313" s="221"/>
      <c r="G313" s="222"/>
      <c r="H313" s="221"/>
      <c r="I313" s="223"/>
      <c r="J313" s="237"/>
      <c r="K313" s="223"/>
      <c r="L313" s="236"/>
      <c r="M313" s="222"/>
      <c r="N313" s="224"/>
      <c r="O313" s="222"/>
      <c r="P313" s="224"/>
      <c r="Q313" s="222"/>
      <c r="R313" s="224"/>
      <c r="S313" s="239"/>
      <c r="T313" s="224"/>
      <c r="U313" s="239"/>
      <c r="V313" s="224"/>
      <c r="W313" s="261"/>
    </row>
    <row r="314" spans="1:23" x14ac:dyDescent="0.25">
      <c r="A314" s="215"/>
      <c r="B314" s="215"/>
      <c r="C314" s="215"/>
      <c r="D314" s="215"/>
      <c r="E314" s="221"/>
      <c r="F314" s="221"/>
      <c r="G314" s="222"/>
      <c r="H314" s="221"/>
      <c r="I314" s="223"/>
      <c r="J314" s="237"/>
      <c r="K314" s="223"/>
      <c r="L314" s="236"/>
      <c r="M314" s="222"/>
      <c r="N314" s="224"/>
      <c r="O314" s="222"/>
      <c r="P314" s="224"/>
      <c r="Q314" s="222"/>
      <c r="R314" s="224"/>
      <c r="S314" s="239"/>
      <c r="T314" s="224"/>
      <c r="U314" s="239"/>
      <c r="V314" s="224"/>
      <c r="W314" s="261"/>
    </row>
    <row r="315" spans="1:23" x14ac:dyDescent="0.25">
      <c r="A315" s="215"/>
      <c r="B315" s="215"/>
      <c r="C315" s="215"/>
      <c r="D315" s="215"/>
      <c r="E315" s="221"/>
      <c r="F315" s="221"/>
      <c r="G315" s="222"/>
      <c r="H315" s="221"/>
      <c r="I315" s="223"/>
      <c r="J315" s="237"/>
      <c r="K315" s="223"/>
      <c r="L315" s="236"/>
      <c r="M315" s="222"/>
      <c r="N315" s="224"/>
      <c r="O315" s="222"/>
      <c r="P315" s="224"/>
      <c r="Q315" s="222"/>
      <c r="R315" s="224"/>
      <c r="S315" s="239"/>
      <c r="T315" s="224"/>
      <c r="U315" s="239"/>
      <c r="V315" s="224"/>
      <c r="W315" s="261"/>
    </row>
    <row r="316" spans="1:23" x14ac:dyDescent="0.25">
      <c r="A316" s="215"/>
      <c r="B316" s="215"/>
      <c r="C316" s="215"/>
      <c r="D316" s="215"/>
      <c r="E316" s="221"/>
      <c r="F316" s="221"/>
      <c r="G316" s="222"/>
      <c r="H316" s="221"/>
      <c r="I316" s="223"/>
      <c r="J316" s="237"/>
      <c r="K316" s="223"/>
      <c r="L316" s="236"/>
      <c r="M316" s="222"/>
      <c r="N316" s="224"/>
      <c r="O316" s="222"/>
      <c r="P316" s="224"/>
      <c r="Q316" s="222"/>
      <c r="R316" s="224"/>
      <c r="S316" s="239"/>
      <c r="T316" s="224"/>
      <c r="U316" s="239"/>
      <c r="V316" s="224"/>
      <c r="W316" s="261"/>
    </row>
    <row r="317" spans="1:23" x14ac:dyDescent="0.25">
      <c r="A317" s="215"/>
      <c r="B317" s="215"/>
      <c r="C317" s="215"/>
      <c r="D317" s="215"/>
      <c r="E317" s="221"/>
      <c r="F317" s="221"/>
      <c r="G317" s="222"/>
      <c r="H317" s="221"/>
      <c r="I317" s="223"/>
      <c r="J317" s="237"/>
      <c r="K317" s="223"/>
      <c r="L317" s="236"/>
      <c r="M317" s="222"/>
      <c r="N317" s="224"/>
      <c r="O317" s="222"/>
      <c r="P317" s="224"/>
      <c r="Q317" s="222"/>
      <c r="R317" s="224"/>
      <c r="S317" s="239"/>
      <c r="T317" s="224"/>
      <c r="U317" s="239"/>
      <c r="V317" s="224"/>
      <c r="W317" s="261"/>
    </row>
    <row r="318" spans="1:23" x14ac:dyDescent="0.25">
      <c r="A318" s="215"/>
      <c r="B318" s="215"/>
      <c r="C318" s="215"/>
      <c r="D318" s="215"/>
      <c r="E318" s="221"/>
      <c r="F318" s="221"/>
      <c r="G318" s="222"/>
      <c r="H318" s="221"/>
      <c r="I318" s="223"/>
      <c r="J318" s="237"/>
      <c r="K318" s="223"/>
      <c r="L318" s="236"/>
      <c r="M318" s="222"/>
      <c r="N318" s="224"/>
      <c r="O318" s="222"/>
      <c r="P318" s="224"/>
      <c r="Q318" s="222"/>
      <c r="R318" s="224"/>
      <c r="S318" s="239"/>
      <c r="T318" s="224"/>
      <c r="U318" s="239"/>
      <c r="V318" s="224"/>
      <c r="W318" s="261"/>
    </row>
    <row r="319" spans="1:23" x14ac:dyDescent="0.25">
      <c r="A319" s="215"/>
      <c r="B319" s="215"/>
      <c r="C319" s="215"/>
      <c r="D319" s="215"/>
      <c r="E319" s="221"/>
      <c r="F319" s="221"/>
      <c r="G319" s="222"/>
      <c r="H319" s="221"/>
      <c r="I319" s="223"/>
      <c r="J319" s="237"/>
      <c r="K319" s="223"/>
      <c r="L319" s="236"/>
      <c r="M319" s="222"/>
      <c r="N319" s="224"/>
      <c r="O319" s="222"/>
      <c r="P319" s="224"/>
      <c r="Q319" s="222"/>
      <c r="R319" s="224"/>
      <c r="S319" s="239"/>
      <c r="T319" s="224"/>
      <c r="U319" s="239"/>
      <c r="V319" s="224"/>
      <c r="W319" s="261"/>
    </row>
    <row r="320" spans="1:23" x14ac:dyDescent="0.25">
      <c r="A320" s="215"/>
      <c r="B320" s="215"/>
      <c r="C320" s="215"/>
      <c r="D320" s="215"/>
      <c r="E320" s="221"/>
      <c r="F320" s="221"/>
      <c r="G320" s="222"/>
      <c r="H320" s="221"/>
      <c r="I320" s="223"/>
      <c r="J320" s="237"/>
      <c r="K320" s="223"/>
      <c r="L320" s="236"/>
      <c r="M320" s="222"/>
      <c r="N320" s="224"/>
      <c r="O320" s="222"/>
      <c r="P320" s="224"/>
      <c r="Q320" s="222"/>
      <c r="R320" s="224"/>
      <c r="S320" s="239"/>
      <c r="T320" s="224"/>
      <c r="U320" s="239"/>
      <c r="V320" s="224"/>
      <c r="W320" s="261"/>
    </row>
    <row r="321" spans="1:23" x14ac:dyDescent="0.25">
      <c r="A321" s="215"/>
      <c r="B321" s="215"/>
      <c r="C321" s="215"/>
      <c r="D321" s="215"/>
      <c r="E321" s="221"/>
      <c r="F321" s="221"/>
      <c r="G321" s="222"/>
      <c r="H321" s="221"/>
      <c r="I321" s="223"/>
      <c r="J321" s="237"/>
      <c r="K321" s="223"/>
      <c r="L321" s="236"/>
      <c r="M321" s="222"/>
      <c r="N321" s="224"/>
      <c r="O321" s="222"/>
      <c r="P321" s="224"/>
      <c r="Q321" s="222"/>
      <c r="R321" s="224"/>
      <c r="S321" s="239"/>
      <c r="T321" s="224"/>
      <c r="U321" s="239"/>
      <c r="V321" s="224"/>
      <c r="W321" s="261"/>
    </row>
    <row r="322" spans="1:23" x14ac:dyDescent="0.25">
      <c r="A322" s="215"/>
      <c r="B322" s="215"/>
      <c r="C322" s="215"/>
      <c r="D322" s="215"/>
      <c r="E322" s="221"/>
      <c r="F322" s="221"/>
      <c r="G322" s="222"/>
      <c r="H322" s="221"/>
      <c r="I322" s="223"/>
      <c r="J322" s="237"/>
      <c r="K322" s="223"/>
      <c r="L322" s="236"/>
      <c r="M322" s="222"/>
      <c r="N322" s="224"/>
      <c r="O322" s="222"/>
      <c r="P322" s="224"/>
      <c r="Q322" s="222"/>
      <c r="R322" s="224"/>
      <c r="S322" s="239"/>
      <c r="T322" s="224"/>
      <c r="U322" s="239"/>
      <c r="V322" s="224"/>
      <c r="W322" s="261"/>
    </row>
    <row r="323" spans="1:23" x14ac:dyDescent="0.25">
      <c r="A323" s="215"/>
      <c r="B323" s="215"/>
      <c r="C323" s="215"/>
      <c r="D323" s="215"/>
      <c r="E323" s="221"/>
      <c r="F323" s="221"/>
      <c r="G323" s="222"/>
      <c r="H323" s="221"/>
      <c r="I323" s="223"/>
      <c r="J323" s="237"/>
      <c r="K323" s="223"/>
      <c r="L323" s="236"/>
      <c r="M323" s="222"/>
      <c r="N323" s="224"/>
      <c r="O323" s="222"/>
      <c r="P323" s="224"/>
      <c r="Q323" s="222"/>
      <c r="R323" s="224"/>
      <c r="S323" s="239"/>
      <c r="T323" s="224"/>
      <c r="U323" s="239"/>
      <c r="V323" s="224"/>
      <c r="W323" s="261"/>
    </row>
    <row r="324" spans="1:23" x14ac:dyDescent="0.25">
      <c r="A324" s="215"/>
      <c r="B324" s="215"/>
      <c r="C324" s="215"/>
      <c r="D324" s="215"/>
      <c r="E324" s="221"/>
      <c r="F324" s="221"/>
      <c r="G324" s="222"/>
      <c r="H324" s="221"/>
      <c r="I324" s="223"/>
      <c r="J324" s="237"/>
      <c r="K324" s="223"/>
      <c r="L324" s="236"/>
      <c r="M324" s="222"/>
      <c r="N324" s="224"/>
      <c r="O324" s="222"/>
      <c r="P324" s="224"/>
      <c r="Q324" s="222"/>
      <c r="R324" s="224"/>
      <c r="S324" s="239"/>
      <c r="T324" s="224"/>
      <c r="U324" s="239"/>
      <c r="V324" s="224"/>
      <c r="W324" s="261"/>
    </row>
    <row r="325" spans="1:23" x14ac:dyDescent="0.25">
      <c r="A325" s="215"/>
      <c r="B325" s="215"/>
      <c r="C325" s="215"/>
      <c r="D325" s="215"/>
      <c r="E325" s="221"/>
      <c r="F325" s="221"/>
      <c r="G325" s="222"/>
      <c r="H325" s="221"/>
      <c r="I325" s="223"/>
      <c r="J325" s="237"/>
      <c r="K325" s="223"/>
      <c r="L325" s="236"/>
      <c r="M325" s="222"/>
      <c r="N325" s="224"/>
      <c r="O325" s="222"/>
      <c r="P325" s="224"/>
      <c r="Q325" s="222"/>
      <c r="R325" s="224"/>
      <c r="S325" s="239"/>
      <c r="T325" s="224"/>
      <c r="U325" s="239"/>
      <c r="V325" s="224"/>
      <c r="W325" s="261"/>
    </row>
    <row r="326" spans="1:23" x14ac:dyDescent="0.25">
      <c r="A326" s="215"/>
      <c r="B326" s="215"/>
      <c r="C326" s="215"/>
      <c r="D326" s="215"/>
      <c r="E326" s="221"/>
      <c r="F326" s="221"/>
      <c r="G326" s="222"/>
      <c r="H326" s="221"/>
      <c r="I326" s="223"/>
      <c r="J326" s="237"/>
      <c r="K326" s="223"/>
      <c r="L326" s="236"/>
      <c r="M326" s="222"/>
      <c r="N326" s="224"/>
      <c r="O326" s="222"/>
      <c r="P326" s="224"/>
      <c r="Q326" s="222"/>
      <c r="R326" s="224"/>
      <c r="S326" s="239"/>
      <c r="T326" s="224"/>
      <c r="U326" s="239"/>
      <c r="V326" s="224"/>
      <c r="W326" s="261"/>
    </row>
    <row r="327" spans="1:23" x14ac:dyDescent="0.25">
      <c r="A327" s="215"/>
      <c r="B327" s="215"/>
      <c r="C327" s="215"/>
      <c r="D327" s="215"/>
      <c r="E327" s="221"/>
      <c r="F327" s="221"/>
      <c r="G327" s="222"/>
      <c r="H327" s="221"/>
      <c r="I327" s="223"/>
      <c r="J327" s="237"/>
      <c r="K327" s="223"/>
      <c r="L327" s="236"/>
      <c r="M327" s="222"/>
      <c r="N327" s="224"/>
      <c r="O327" s="222"/>
      <c r="P327" s="224"/>
      <c r="Q327" s="222"/>
      <c r="R327" s="224"/>
      <c r="S327" s="239"/>
      <c r="T327" s="224"/>
      <c r="U327" s="239"/>
      <c r="V327" s="224"/>
      <c r="W327" s="261"/>
    </row>
    <row r="328" spans="1:23" x14ac:dyDescent="0.25">
      <c r="A328" s="215"/>
      <c r="B328" s="215"/>
      <c r="C328" s="215"/>
      <c r="D328" s="215"/>
      <c r="E328" s="221"/>
      <c r="F328" s="221"/>
      <c r="G328" s="222"/>
      <c r="H328" s="221"/>
      <c r="I328" s="223"/>
      <c r="J328" s="237"/>
      <c r="K328" s="223"/>
      <c r="L328" s="236"/>
      <c r="M328" s="222"/>
      <c r="N328" s="224"/>
      <c r="O328" s="222"/>
      <c r="P328" s="224"/>
      <c r="Q328" s="222"/>
      <c r="R328" s="224"/>
      <c r="S328" s="239"/>
      <c r="T328" s="224"/>
      <c r="U328" s="239"/>
      <c r="V328" s="224"/>
      <c r="W328" s="261"/>
    </row>
    <row r="329" spans="1:23" x14ac:dyDescent="0.25">
      <c r="A329" s="215"/>
      <c r="B329" s="215"/>
      <c r="C329" s="215"/>
      <c r="D329" s="215"/>
      <c r="E329" s="221"/>
      <c r="F329" s="221"/>
      <c r="G329" s="222"/>
      <c r="H329" s="221"/>
      <c r="I329" s="223"/>
      <c r="J329" s="237"/>
      <c r="K329" s="223"/>
      <c r="L329" s="236"/>
      <c r="M329" s="222"/>
      <c r="N329" s="224"/>
      <c r="O329" s="222"/>
      <c r="P329" s="224"/>
      <c r="Q329" s="222"/>
      <c r="R329" s="224"/>
      <c r="S329" s="239"/>
      <c r="T329" s="224"/>
      <c r="U329" s="239"/>
      <c r="V329" s="224"/>
      <c r="W329" s="261"/>
    </row>
    <row r="330" spans="1:23" x14ac:dyDescent="0.25">
      <c r="A330" s="215"/>
      <c r="B330" s="215"/>
      <c r="C330" s="215"/>
      <c r="D330" s="215"/>
      <c r="E330" s="221"/>
      <c r="F330" s="221"/>
      <c r="G330" s="222"/>
      <c r="H330" s="221"/>
      <c r="I330" s="223"/>
      <c r="J330" s="237"/>
      <c r="K330" s="223"/>
      <c r="L330" s="236"/>
      <c r="M330" s="222"/>
      <c r="N330" s="224"/>
      <c r="O330" s="222"/>
      <c r="P330" s="224"/>
      <c r="Q330" s="222"/>
      <c r="R330" s="224"/>
      <c r="S330" s="239"/>
      <c r="T330" s="224"/>
      <c r="U330" s="239"/>
      <c r="V330" s="224"/>
      <c r="W330" s="261"/>
    </row>
    <row r="331" spans="1:23" x14ac:dyDescent="0.25">
      <c r="A331" s="215"/>
      <c r="B331" s="215"/>
      <c r="C331" s="215"/>
      <c r="D331" s="215"/>
      <c r="E331" s="221"/>
      <c r="F331" s="221"/>
      <c r="G331" s="222"/>
      <c r="H331" s="221"/>
      <c r="I331" s="223"/>
      <c r="J331" s="237"/>
      <c r="K331" s="223"/>
      <c r="L331" s="236"/>
      <c r="M331" s="222"/>
      <c r="N331" s="224"/>
      <c r="O331" s="222"/>
      <c r="P331" s="224"/>
      <c r="Q331" s="222"/>
      <c r="R331" s="224"/>
      <c r="S331" s="239"/>
      <c r="T331" s="224"/>
      <c r="U331" s="239"/>
      <c r="V331" s="224"/>
      <c r="W331" s="261"/>
    </row>
    <row r="332" spans="1:23" x14ac:dyDescent="0.25">
      <c r="A332" s="215"/>
      <c r="B332" s="215"/>
      <c r="C332" s="215"/>
      <c r="D332" s="215"/>
      <c r="E332" s="221"/>
      <c r="F332" s="221"/>
      <c r="G332" s="222"/>
      <c r="H332" s="221"/>
      <c r="I332" s="223"/>
      <c r="J332" s="237"/>
      <c r="K332" s="223"/>
      <c r="L332" s="236"/>
      <c r="M332" s="222"/>
      <c r="N332" s="224"/>
      <c r="O332" s="222"/>
      <c r="P332" s="224"/>
      <c r="Q332" s="222"/>
      <c r="R332" s="224"/>
      <c r="S332" s="239"/>
      <c r="T332" s="224"/>
      <c r="U332" s="239"/>
      <c r="V332" s="224"/>
      <c r="W332" s="261"/>
    </row>
    <row r="333" spans="1:23" x14ac:dyDescent="0.25">
      <c r="A333" s="215"/>
      <c r="B333" s="215"/>
      <c r="C333" s="215"/>
      <c r="D333" s="215"/>
      <c r="E333" s="221"/>
      <c r="F333" s="221"/>
      <c r="G333" s="222"/>
      <c r="H333" s="221"/>
      <c r="I333" s="223"/>
      <c r="J333" s="237"/>
      <c r="K333" s="223"/>
      <c r="L333" s="236"/>
      <c r="M333" s="222"/>
      <c r="N333" s="224"/>
      <c r="O333" s="222"/>
      <c r="P333" s="224"/>
      <c r="Q333" s="222"/>
      <c r="R333" s="224"/>
      <c r="S333" s="239"/>
      <c r="T333" s="224"/>
      <c r="U333" s="239"/>
      <c r="V333" s="224"/>
      <c r="W333" s="261"/>
    </row>
    <row r="334" spans="1:23" x14ac:dyDescent="0.25">
      <c r="A334" s="215"/>
      <c r="B334" s="215"/>
      <c r="C334" s="215"/>
      <c r="D334" s="215"/>
      <c r="E334" s="221"/>
      <c r="F334" s="221"/>
      <c r="G334" s="222"/>
      <c r="H334" s="221"/>
      <c r="I334" s="223"/>
      <c r="J334" s="237"/>
      <c r="K334" s="223"/>
      <c r="L334" s="236"/>
      <c r="M334" s="222"/>
      <c r="N334" s="224"/>
      <c r="O334" s="222"/>
      <c r="P334" s="224"/>
      <c r="Q334" s="222"/>
      <c r="R334" s="224"/>
      <c r="S334" s="239"/>
      <c r="T334" s="224"/>
      <c r="U334" s="239"/>
      <c r="V334" s="224"/>
      <c r="W334" s="261"/>
    </row>
    <row r="335" spans="1:23" x14ac:dyDescent="0.25">
      <c r="A335" s="215"/>
      <c r="B335" s="215"/>
      <c r="C335" s="215"/>
      <c r="D335" s="215"/>
      <c r="E335" s="221"/>
      <c r="F335" s="221"/>
      <c r="G335" s="222"/>
      <c r="H335" s="221"/>
      <c r="I335" s="223"/>
      <c r="J335" s="237"/>
      <c r="K335" s="223"/>
      <c r="L335" s="236"/>
      <c r="M335" s="222"/>
      <c r="N335" s="224"/>
      <c r="O335" s="222"/>
      <c r="P335" s="224"/>
      <c r="Q335" s="222"/>
      <c r="R335" s="224"/>
      <c r="S335" s="239"/>
      <c r="T335" s="224"/>
      <c r="U335" s="239"/>
      <c r="V335" s="224"/>
      <c r="W335" s="261"/>
    </row>
    <row r="336" spans="1:23" x14ac:dyDescent="0.25">
      <c r="A336" s="215"/>
      <c r="B336" s="215"/>
      <c r="C336" s="215"/>
      <c r="D336" s="215"/>
      <c r="E336" s="221"/>
      <c r="F336" s="221"/>
      <c r="G336" s="222"/>
      <c r="H336" s="221"/>
      <c r="I336" s="223"/>
      <c r="J336" s="237"/>
      <c r="K336" s="223"/>
      <c r="L336" s="236"/>
      <c r="M336" s="222"/>
      <c r="N336" s="224"/>
      <c r="O336" s="222"/>
      <c r="P336" s="224"/>
      <c r="Q336" s="222"/>
      <c r="R336" s="224"/>
      <c r="S336" s="239"/>
      <c r="T336" s="224"/>
      <c r="U336" s="239"/>
      <c r="V336" s="224"/>
      <c r="W336" s="261"/>
    </row>
    <row r="337" spans="1:23" x14ac:dyDescent="0.25">
      <c r="A337" s="215"/>
      <c r="B337" s="215"/>
      <c r="C337" s="215"/>
      <c r="D337" s="215"/>
      <c r="E337" s="221"/>
      <c r="F337" s="221"/>
      <c r="G337" s="222"/>
      <c r="H337" s="221"/>
      <c r="I337" s="223"/>
      <c r="J337" s="237"/>
      <c r="K337" s="223"/>
      <c r="L337" s="236"/>
      <c r="M337" s="222"/>
      <c r="N337" s="224"/>
      <c r="O337" s="222"/>
      <c r="P337" s="224"/>
      <c r="Q337" s="222"/>
      <c r="R337" s="224"/>
      <c r="S337" s="239"/>
      <c r="T337" s="224"/>
      <c r="U337" s="239"/>
      <c r="V337" s="224"/>
      <c r="W337" s="261"/>
    </row>
    <row r="338" spans="1:23" x14ac:dyDescent="0.25">
      <c r="A338" s="215"/>
      <c r="B338" s="215"/>
      <c r="C338" s="215"/>
      <c r="D338" s="215"/>
      <c r="E338" s="221"/>
      <c r="F338" s="221"/>
      <c r="G338" s="222"/>
      <c r="H338" s="221"/>
      <c r="I338" s="223"/>
      <c r="J338" s="237"/>
      <c r="K338" s="223"/>
      <c r="L338" s="236"/>
      <c r="M338" s="222"/>
      <c r="N338" s="224"/>
      <c r="O338" s="222"/>
      <c r="P338" s="224"/>
      <c r="Q338" s="222"/>
      <c r="R338" s="224"/>
      <c r="S338" s="239"/>
      <c r="T338" s="224"/>
      <c r="U338" s="239"/>
      <c r="V338" s="224"/>
      <c r="W338" s="261"/>
    </row>
    <row r="339" spans="1:23" x14ac:dyDescent="0.25">
      <c r="A339" s="215"/>
      <c r="B339" s="215"/>
      <c r="C339" s="215"/>
      <c r="D339" s="215"/>
      <c r="E339" s="221"/>
      <c r="F339" s="221"/>
      <c r="G339" s="222"/>
      <c r="H339" s="221"/>
      <c r="I339" s="223"/>
      <c r="J339" s="237"/>
      <c r="K339" s="223"/>
      <c r="L339" s="236"/>
      <c r="M339" s="222"/>
      <c r="N339" s="224"/>
      <c r="O339" s="222"/>
      <c r="P339" s="224"/>
      <c r="Q339" s="222"/>
      <c r="R339" s="224"/>
      <c r="S339" s="239"/>
      <c r="T339" s="224"/>
      <c r="U339" s="239"/>
      <c r="V339" s="224"/>
      <c r="W339" s="261"/>
    </row>
    <row r="340" spans="1:23" x14ac:dyDescent="0.25">
      <c r="A340" s="215"/>
      <c r="B340" s="215"/>
      <c r="C340" s="215"/>
      <c r="D340" s="215"/>
      <c r="E340" s="221"/>
      <c r="F340" s="221"/>
      <c r="G340" s="222"/>
      <c r="H340" s="221"/>
      <c r="I340" s="223"/>
      <c r="J340" s="237"/>
      <c r="K340" s="223"/>
      <c r="L340" s="236"/>
      <c r="M340" s="222"/>
      <c r="N340" s="224"/>
      <c r="O340" s="222"/>
      <c r="P340" s="224"/>
      <c r="Q340" s="222"/>
      <c r="R340" s="224"/>
      <c r="S340" s="239"/>
      <c r="T340" s="224"/>
      <c r="U340" s="239"/>
      <c r="V340" s="224"/>
      <c r="W340" s="261"/>
    </row>
    <row r="341" spans="1:23" x14ac:dyDescent="0.25">
      <c r="A341" s="215"/>
      <c r="B341" s="215"/>
      <c r="C341" s="215"/>
      <c r="D341" s="215"/>
      <c r="E341" s="221"/>
      <c r="F341" s="221"/>
      <c r="G341" s="222"/>
      <c r="H341" s="221"/>
      <c r="I341" s="223"/>
      <c r="J341" s="237"/>
      <c r="K341" s="223"/>
      <c r="L341" s="236"/>
      <c r="M341" s="222"/>
      <c r="N341" s="224"/>
      <c r="O341" s="222"/>
      <c r="P341" s="224"/>
      <c r="Q341" s="222"/>
      <c r="R341" s="224"/>
      <c r="S341" s="239"/>
      <c r="T341" s="224"/>
      <c r="U341" s="239"/>
      <c r="V341" s="224"/>
      <c r="W341" s="261"/>
    </row>
    <row r="342" spans="1:23" x14ac:dyDescent="0.25">
      <c r="A342" s="215"/>
      <c r="B342" s="215"/>
      <c r="C342" s="215"/>
      <c r="D342" s="215"/>
      <c r="E342" s="221"/>
      <c r="F342" s="221"/>
      <c r="G342" s="222"/>
      <c r="H342" s="221"/>
      <c r="I342" s="223"/>
      <c r="J342" s="237"/>
      <c r="K342" s="223"/>
      <c r="L342" s="236"/>
      <c r="M342" s="222"/>
      <c r="N342" s="224"/>
      <c r="O342" s="222"/>
      <c r="P342" s="224"/>
      <c r="Q342" s="222"/>
      <c r="R342" s="224"/>
      <c r="S342" s="239"/>
      <c r="T342" s="224"/>
      <c r="U342" s="239"/>
      <c r="V342" s="224"/>
      <c r="W342" s="261"/>
    </row>
    <row r="343" spans="1:23" x14ac:dyDescent="0.25">
      <c r="A343" s="215"/>
      <c r="B343" s="215"/>
      <c r="C343" s="215"/>
      <c r="D343" s="215"/>
      <c r="E343" s="221"/>
      <c r="F343" s="221"/>
      <c r="G343" s="222"/>
      <c r="H343" s="221"/>
      <c r="I343" s="223"/>
      <c r="J343" s="237"/>
      <c r="K343" s="223"/>
      <c r="L343" s="236"/>
      <c r="M343" s="222"/>
      <c r="N343" s="224"/>
      <c r="O343" s="222"/>
      <c r="P343" s="224"/>
      <c r="Q343" s="222"/>
      <c r="R343" s="224"/>
      <c r="S343" s="239"/>
      <c r="T343" s="224"/>
      <c r="U343" s="239"/>
      <c r="V343" s="224"/>
      <c r="W343" s="261"/>
    </row>
    <row r="344" spans="1:23" x14ac:dyDescent="0.25">
      <c r="A344" s="215"/>
      <c r="B344" s="215"/>
      <c r="C344" s="215"/>
      <c r="D344" s="215"/>
      <c r="E344" s="221"/>
      <c r="F344" s="221"/>
      <c r="G344" s="222"/>
      <c r="H344" s="221"/>
      <c r="I344" s="223"/>
      <c r="J344" s="237"/>
      <c r="K344" s="223"/>
      <c r="L344" s="236"/>
      <c r="M344" s="222"/>
      <c r="N344" s="224"/>
      <c r="O344" s="222"/>
      <c r="P344" s="224"/>
      <c r="Q344" s="222"/>
      <c r="R344" s="224"/>
      <c r="S344" s="239"/>
      <c r="T344" s="224"/>
      <c r="U344" s="239"/>
      <c r="V344" s="224"/>
      <c r="W344" s="261"/>
    </row>
    <row r="345" spans="1:23" x14ac:dyDescent="0.25">
      <c r="A345" s="215"/>
      <c r="B345" s="215"/>
      <c r="C345" s="215"/>
      <c r="D345" s="215"/>
      <c r="E345" s="221"/>
      <c r="F345" s="221"/>
      <c r="G345" s="222"/>
      <c r="H345" s="221"/>
      <c r="I345" s="223"/>
      <c r="J345" s="237"/>
      <c r="K345" s="223"/>
      <c r="L345" s="236"/>
      <c r="M345" s="222"/>
      <c r="N345" s="224"/>
      <c r="O345" s="222"/>
      <c r="P345" s="224"/>
      <c r="Q345" s="222"/>
      <c r="R345" s="224"/>
      <c r="S345" s="239"/>
      <c r="T345" s="224"/>
      <c r="U345" s="239"/>
      <c r="V345" s="224"/>
      <c r="W345" s="261"/>
    </row>
    <row r="346" spans="1:23" x14ac:dyDescent="0.25">
      <c r="A346" s="215"/>
      <c r="B346" s="215"/>
      <c r="C346" s="215"/>
      <c r="D346" s="215"/>
      <c r="E346" s="221"/>
      <c r="F346" s="221"/>
      <c r="G346" s="222"/>
      <c r="H346" s="221"/>
      <c r="I346" s="223"/>
      <c r="J346" s="237"/>
      <c r="K346" s="223"/>
      <c r="L346" s="236"/>
      <c r="M346" s="222"/>
      <c r="N346" s="224"/>
      <c r="O346" s="222"/>
      <c r="P346" s="224"/>
      <c r="Q346" s="222"/>
      <c r="R346" s="224"/>
      <c r="S346" s="239"/>
      <c r="T346" s="224"/>
      <c r="U346" s="239"/>
      <c r="V346" s="224"/>
      <c r="W346" s="261"/>
    </row>
    <row r="347" spans="1:23" x14ac:dyDescent="0.25">
      <c r="A347" s="215"/>
      <c r="B347" s="215"/>
      <c r="C347" s="215"/>
      <c r="D347" s="215"/>
      <c r="E347" s="221"/>
      <c r="F347" s="221"/>
      <c r="G347" s="222"/>
      <c r="H347" s="221"/>
      <c r="I347" s="223"/>
      <c r="J347" s="237"/>
      <c r="K347" s="223"/>
      <c r="L347" s="236"/>
      <c r="M347" s="222"/>
      <c r="N347" s="224"/>
      <c r="O347" s="222"/>
      <c r="P347" s="224"/>
      <c r="Q347" s="222"/>
      <c r="R347" s="224"/>
      <c r="S347" s="239"/>
      <c r="T347" s="224"/>
      <c r="U347" s="239"/>
      <c r="V347" s="224"/>
      <c r="W347" s="261"/>
    </row>
    <row r="348" spans="1:23" x14ac:dyDescent="0.25">
      <c r="A348" s="215"/>
      <c r="B348" s="215"/>
      <c r="C348" s="215"/>
      <c r="D348" s="215"/>
      <c r="E348" s="221"/>
      <c r="F348" s="221"/>
      <c r="G348" s="222"/>
      <c r="H348" s="221"/>
      <c r="I348" s="223"/>
      <c r="J348" s="237"/>
      <c r="K348" s="223"/>
      <c r="L348" s="236"/>
      <c r="M348" s="222"/>
      <c r="N348" s="224"/>
      <c r="O348" s="222"/>
      <c r="P348" s="224"/>
      <c r="Q348" s="222"/>
      <c r="R348" s="224"/>
      <c r="S348" s="239"/>
      <c r="T348" s="224"/>
      <c r="U348" s="239"/>
      <c r="V348" s="224"/>
      <c r="W348" s="261"/>
    </row>
    <row r="349" spans="1:23" x14ac:dyDescent="0.25">
      <c r="A349" s="215"/>
      <c r="B349" s="215"/>
      <c r="C349" s="215"/>
      <c r="D349" s="215"/>
      <c r="E349" s="221"/>
      <c r="F349" s="221"/>
      <c r="G349" s="222"/>
      <c r="H349" s="221"/>
      <c r="I349" s="223"/>
      <c r="J349" s="237"/>
      <c r="K349" s="223"/>
      <c r="L349" s="236"/>
      <c r="M349" s="222"/>
      <c r="N349" s="224"/>
      <c r="O349" s="222"/>
      <c r="P349" s="224"/>
      <c r="Q349" s="222"/>
      <c r="R349" s="224"/>
      <c r="S349" s="239"/>
      <c r="T349" s="224"/>
      <c r="U349" s="239"/>
      <c r="V349" s="224"/>
      <c r="W349" s="261"/>
    </row>
    <row r="350" spans="1:23" x14ac:dyDescent="0.25">
      <c r="A350" s="215"/>
      <c r="B350" s="215"/>
      <c r="C350" s="215"/>
      <c r="D350" s="215"/>
      <c r="E350" s="221"/>
      <c r="F350" s="221"/>
      <c r="G350" s="222"/>
      <c r="H350" s="221"/>
      <c r="I350" s="223"/>
      <c r="J350" s="237"/>
      <c r="K350" s="223"/>
      <c r="L350" s="236"/>
      <c r="M350" s="222"/>
      <c r="N350" s="224"/>
      <c r="O350" s="222"/>
      <c r="P350" s="224"/>
      <c r="Q350" s="222"/>
      <c r="R350" s="224"/>
      <c r="S350" s="239"/>
      <c r="T350" s="224"/>
      <c r="U350" s="239"/>
      <c r="V350" s="224"/>
      <c r="W350" s="261"/>
    </row>
    <row r="351" spans="1:23" x14ac:dyDescent="0.25">
      <c r="A351" s="215"/>
      <c r="B351" s="215"/>
      <c r="C351" s="215"/>
      <c r="D351" s="215"/>
      <c r="E351" s="221"/>
      <c r="F351" s="221"/>
      <c r="G351" s="222"/>
      <c r="H351" s="221"/>
      <c r="I351" s="223"/>
      <c r="J351" s="237"/>
      <c r="K351" s="223"/>
      <c r="L351" s="236"/>
      <c r="M351" s="222"/>
      <c r="N351" s="224"/>
      <c r="O351" s="222"/>
      <c r="P351" s="224"/>
      <c r="Q351" s="222"/>
      <c r="R351" s="224"/>
      <c r="S351" s="239"/>
      <c r="T351" s="224"/>
      <c r="U351" s="239"/>
      <c r="V351" s="224"/>
      <c r="W351" s="261"/>
    </row>
    <row r="352" spans="1:23" x14ac:dyDescent="0.25">
      <c r="A352" s="215"/>
      <c r="B352" s="215"/>
      <c r="C352" s="215"/>
      <c r="D352" s="215"/>
      <c r="E352" s="221"/>
      <c r="F352" s="221"/>
      <c r="G352" s="222"/>
      <c r="H352" s="221"/>
      <c r="I352" s="223"/>
      <c r="J352" s="237"/>
      <c r="K352" s="223"/>
      <c r="L352" s="236"/>
      <c r="M352" s="222"/>
      <c r="N352" s="224"/>
      <c r="O352" s="222"/>
      <c r="P352" s="224"/>
      <c r="Q352" s="222"/>
      <c r="R352" s="224"/>
      <c r="S352" s="239"/>
      <c r="T352" s="224"/>
      <c r="U352" s="239"/>
      <c r="V352" s="224"/>
      <c r="W352" s="261"/>
    </row>
    <row r="353" spans="1:23" x14ac:dyDescent="0.25">
      <c r="A353" s="215"/>
      <c r="B353" s="215"/>
      <c r="C353" s="215"/>
      <c r="D353" s="215"/>
      <c r="E353" s="221"/>
      <c r="F353" s="221"/>
      <c r="G353" s="222"/>
      <c r="H353" s="221"/>
      <c r="I353" s="223"/>
      <c r="J353" s="237"/>
      <c r="K353" s="223"/>
      <c r="L353" s="236"/>
      <c r="M353" s="222"/>
      <c r="N353" s="224"/>
      <c r="O353" s="222"/>
      <c r="P353" s="224"/>
      <c r="Q353" s="222"/>
      <c r="R353" s="224"/>
      <c r="S353" s="239"/>
      <c r="T353" s="224"/>
      <c r="U353" s="239"/>
      <c r="V353" s="224"/>
      <c r="W353" s="261"/>
    </row>
    <row r="354" spans="1:23" x14ac:dyDescent="0.25">
      <c r="A354" s="215"/>
      <c r="B354" s="215"/>
      <c r="C354" s="215"/>
      <c r="D354" s="215"/>
      <c r="E354" s="221"/>
      <c r="F354" s="221"/>
      <c r="G354" s="222"/>
      <c r="H354" s="221"/>
      <c r="I354" s="223"/>
      <c r="J354" s="237"/>
      <c r="K354" s="223"/>
      <c r="L354" s="236"/>
      <c r="M354" s="222"/>
      <c r="N354" s="224"/>
      <c r="O354" s="222"/>
      <c r="P354" s="224"/>
      <c r="Q354" s="222"/>
      <c r="R354" s="224"/>
      <c r="S354" s="239"/>
      <c r="T354" s="224"/>
      <c r="U354" s="239"/>
      <c r="V354" s="224"/>
      <c r="W354" s="261"/>
    </row>
    <row r="355" spans="1:23" x14ac:dyDescent="0.25">
      <c r="A355" s="215"/>
      <c r="B355" s="215"/>
      <c r="C355" s="215"/>
      <c r="D355" s="215"/>
      <c r="E355" s="221"/>
      <c r="F355" s="221"/>
      <c r="G355" s="222"/>
      <c r="H355" s="221"/>
      <c r="I355" s="223"/>
      <c r="J355" s="237"/>
      <c r="K355" s="223"/>
      <c r="L355" s="236"/>
      <c r="M355" s="222"/>
      <c r="N355" s="224"/>
      <c r="O355" s="222"/>
      <c r="P355" s="224"/>
      <c r="Q355" s="222"/>
      <c r="R355" s="224"/>
      <c r="S355" s="239"/>
      <c r="T355" s="224"/>
      <c r="U355" s="239"/>
      <c r="V355" s="224"/>
      <c r="W355" s="261"/>
    </row>
    <row r="356" spans="1:23" x14ac:dyDescent="0.25">
      <c r="A356" s="215"/>
      <c r="B356" s="215"/>
      <c r="C356" s="215"/>
      <c r="D356" s="215"/>
      <c r="E356" s="221"/>
      <c r="F356" s="221"/>
      <c r="G356" s="222"/>
      <c r="H356" s="221"/>
      <c r="I356" s="223"/>
      <c r="J356" s="237"/>
      <c r="K356" s="223"/>
      <c r="L356" s="236"/>
      <c r="M356" s="222"/>
      <c r="N356" s="224"/>
      <c r="O356" s="222"/>
      <c r="P356" s="224"/>
      <c r="Q356" s="222"/>
      <c r="R356" s="224"/>
      <c r="S356" s="239"/>
      <c r="T356" s="224"/>
      <c r="U356" s="239"/>
      <c r="V356" s="224"/>
      <c r="W356" s="261"/>
    </row>
    <row r="357" spans="1:23" x14ac:dyDescent="0.25">
      <c r="A357" s="215"/>
      <c r="B357" s="215"/>
      <c r="C357" s="215"/>
      <c r="D357" s="215"/>
      <c r="E357" s="221"/>
      <c r="F357" s="221"/>
      <c r="G357" s="222"/>
      <c r="H357" s="221"/>
      <c r="I357" s="223"/>
      <c r="J357" s="237"/>
      <c r="K357" s="223"/>
      <c r="L357" s="236"/>
      <c r="M357" s="222"/>
      <c r="N357" s="224"/>
      <c r="O357" s="222"/>
      <c r="P357" s="224"/>
      <c r="Q357" s="222"/>
      <c r="R357" s="224"/>
      <c r="S357" s="239"/>
      <c r="T357" s="224"/>
      <c r="U357" s="239"/>
      <c r="V357" s="224"/>
      <c r="W357" s="261"/>
    </row>
    <row r="358" spans="1:23" x14ac:dyDescent="0.25">
      <c r="A358" s="215"/>
      <c r="B358" s="215"/>
      <c r="C358" s="215"/>
      <c r="D358" s="215"/>
      <c r="E358" s="221"/>
      <c r="F358" s="221"/>
      <c r="G358" s="222"/>
      <c r="H358" s="221"/>
      <c r="I358" s="223"/>
      <c r="J358" s="237"/>
      <c r="K358" s="223"/>
      <c r="L358" s="236"/>
      <c r="M358" s="222"/>
      <c r="N358" s="224"/>
      <c r="O358" s="222"/>
      <c r="P358" s="224"/>
      <c r="Q358" s="222"/>
      <c r="R358" s="224"/>
      <c r="S358" s="239"/>
      <c r="T358" s="224"/>
      <c r="U358" s="239"/>
      <c r="V358" s="224"/>
      <c r="W358" s="261"/>
    </row>
    <row r="359" spans="1:23" x14ac:dyDescent="0.25">
      <c r="A359" s="215"/>
      <c r="B359" s="215"/>
      <c r="C359" s="215"/>
      <c r="D359" s="215"/>
      <c r="E359" s="221"/>
      <c r="F359" s="221"/>
      <c r="G359" s="222"/>
      <c r="H359" s="221"/>
      <c r="I359" s="223"/>
      <c r="J359" s="237"/>
      <c r="K359" s="223"/>
      <c r="L359" s="236"/>
      <c r="M359" s="222"/>
      <c r="N359" s="224"/>
      <c r="O359" s="222"/>
      <c r="P359" s="224"/>
      <c r="Q359" s="222"/>
      <c r="R359" s="224"/>
      <c r="S359" s="239"/>
      <c r="T359" s="224"/>
      <c r="U359" s="239"/>
      <c r="V359" s="224"/>
      <c r="W359" s="261"/>
    </row>
    <row r="360" spans="1:23" x14ac:dyDescent="0.25">
      <c r="A360" s="215"/>
      <c r="B360" s="215"/>
      <c r="C360" s="215"/>
      <c r="D360" s="215"/>
      <c r="E360" s="221"/>
      <c r="F360" s="221"/>
      <c r="G360" s="222"/>
      <c r="H360" s="221"/>
      <c r="I360" s="223"/>
      <c r="J360" s="237"/>
      <c r="K360" s="223"/>
      <c r="L360" s="236"/>
      <c r="M360" s="222"/>
      <c r="N360" s="224"/>
      <c r="O360" s="222"/>
      <c r="P360" s="224"/>
      <c r="Q360" s="222"/>
      <c r="R360" s="224"/>
      <c r="S360" s="239"/>
      <c r="T360" s="224"/>
      <c r="U360" s="239"/>
      <c r="V360" s="224"/>
      <c r="W360" s="261"/>
    </row>
    <row r="361" spans="1:23" x14ac:dyDescent="0.25">
      <c r="A361" s="215"/>
      <c r="B361" s="215"/>
      <c r="C361" s="215"/>
      <c r="D361" s="215"/>
      <c r="E361" s="221"/>
      <c r="F361" s="221"/>
      <c r="G361" s="222"/>
      <c r="H361" s="221"/>
      <c r="I361" s="223"/>
      <c r="J361" s="237"/>
      <c r="K361" s="223"/>
      <c r="L361" s="236"/>
      <c r="M361" s="222"/>
      <c r="N361" s="224"/>
      <c r="O361" s="222"/>
      <c r="P361" s="224"/>
      <c r="Q361" s="222"/>
      <c r="R361" s="224"/>
      <c r="S361" s="239"/>
      <c r="T361" s="224"/>
      <c r="U361" s="239"/>
      <c r="V361" s="224"/>
      <c r="W361" s="261"/>
    </row>
    <row r="362" spans="1:23" x14ac:dyDescent="0.25">
      <c r="A362" s="215"/>
      <c r="B362" s="215"/>
      <c r="C362" s="215"/>
      <c r="D362" s="215"/>
      <c r="E362" s="221"/>
      <c r="F362" s="221"/>
      <c r="G362" s="222"/>
      <c r="H362" s="221"/>
      <c r="I362" s="223"/>
      <c r="J362" s="237"/>
      <c r="K362" s="223"/>
      <c r="L362" s="236"/>
      <c r="M362" s="222"/>
      <c r="N362" s="224"/>
      <c r="O362" s="222"/>
      <c r="P362" s="224"/>
      <c r="Q362" s="222"/>
      <c r="R362" s="224"/>
      <c r="S362" s="239"/>
      <c r="T362" s="224"/>
      <c r="U362" s="239"/>
      <c r="V362" s="224"/>
      <c r="W362" s="261"/>
    </row>
    <row r="363" spans="1:23" x14ac:dyDescent="0.25">
      <c r="A363" s="215"/>
      <c r="B363" s="215"/>
      <c r="C363" s="215"/>
      <c r="D363" s="215"/>
      <c r="E363" s="221"/>
      <c r="F363" s="221"/>
      <c r="G363" s="222"/>
      <c r="H363" s="221"/>
      <c r="I363" s="223"/>
      <c r="J363" s="237"/>
      <c r="K363" s="223"/>
      <c r="L363" s="236"/>
      <c r="M363" s="222"/>
      <c r="N363" s="224"/>
      <c r="O363" s="222"/>
      <c r="P363" s="224"/>
      <c r="Q363" s="222"/>
      <c r="R363" s="224"/>
      <c r="S363" s="239"/>
      <c r="T363" s="224"/>
      <c r="U363" s="239"/>
      <c r="V363" s="224"/>
      <c r="W363" s="261"/>
    </row>
    <row r="364" spans="1:23" x14ac:dyDescent="0.25">
      <c r="A364" s="215"/>
      <c r="B364" s="215"/>
      <c r="C364" s="215"/>
      <c r="D364" s="215"/>
      <c r="E364" s="221"/>
      <c r="F364" s="221"/>
      <c r="G364" s="222"/>
      <c r="H364" s="221"/>
      <c r="I364" s="223"/>
      <c r="J364" s="237"/>
      <c r="K364" s="223"/>
      <c r="L364" s="236"/>
      <c r="M364" s="222"/>
      <c r="N364" s="224"/>
      <c r="O364" s="222"/>
      <c r="P364" s="224"/>
      <c r="Q364" s="222"/>
      <c r="R364" s="224"/>
      <c r="S364" s="239"/>
      <c r="T364" s="224"/>
      <c r="U364" s="239"/>
      <c r="V364" s="224"/>
      <c r="W364" s="261"/>
    </row>
    <row r="365" spans="1:23" x14ac:dyDescent="0.25">
      <c r="A365" s="215"/>
      <c r="B365" s="215"/>
      <c r="C365" s="215"/>
      <c r="D365" s="215"/>
      <c r="E365" s="221"/>
      <c r="F365" s="221"/>
      <c r="G365" s="222"/>
      <c r="H365" s="221"/>
      <c r="I365" s="223"/>
      <c r="J365" s="237"/>
      <c r="K365" s="223"/>
      <c r="L365" s="236"/>
      <c r="M365" s="222"/>
      <c r="N365" s="224"/>
      <c r="O365" s="222"/>
      <c r="P365" s="224"/>
      <c r="Q365" s="222"/>
      <c r="R365" s="224"/>
      <c r="S365" s="239"/>
      <c r="T365" s="224"/>
      <c r="U365" s="239"/>
      <c r="V365" s="224"/>
      <c r="W365" s="261"/>
    </row>
    <row r="366" spans="1:23" x14ac:dyDescent="0.25">
      <c r="A366" s="215"/>
      <c r="B366" s="215"/>
      <c r="C366" s="215"/>
      <c r="D366" s="215"/>
      <c r="E366" s="221"/>
      <c r="F366" s="221"/>
      <c r="G366" s="222"/>
      <c r="H366" s="221"/>
      <c r="I366" s="223"/>
      <c r="J366" s="237"/>
      <c r="K366" s="223"/>
      <c r="L366" s="236"/>
      <c r="M366" s="222"/>
      <c r="N366" s="224"/>
      <c r="O366" s="222"/>
      <c r="P366" s="224"/>
      <c r="Q366" s="222"/>
      <c r="R366" s="224"/>
      <c r="S366" s="239"/>
      <c r="T366" s="224"/>
      <c r="U366" s="239"/>
      <c r="V366" s="224"/>
      <c r="W366" s="261"/>
    </row>
    <row r="367" spans="1:23" x14ac:dyDescent="0.25">
      <c r="A367" s="215"/>
      <c r="B367" s="215"/>
      <c r="C367" s="215"/>
      <c r="D367" s="215"/>
      <c r="E367" s="221"/>
      <c r="F367" s="221"/>
      <c r="G367" s="222"/>
      <c r="H367" s="221"/>
      <c r="I367" s="223"/>
      <c r="J367" s="237"/>
      <c r="K367" s="223"/>
      <c r="L367" s="236"/>
      <c r="M367" s="222"/>
      <c r="N367" s="224"/>
      <c r="O367" s="222"/>
      <c r="P367" s="224"/>
      <c r="Q367" s="222"/>
      <c r="R367" s="224"/>
      <c r="S367" s="239"/>
      <c r="T367" s="224"/>
      <c r="U367" s="239"/>
      <c r="V367" s="224"/>
      <c r="W367" s="261"/>
    </row>
    <row r="368" spans="1:23" x14ac:dyDescent="0.25">
      <c r="A368" s="215"/>
      <c r="B368" s="215"/>
      <c r="C368" s="215"/>
      <c r="D368" s="215"/>
      <c r="E368" s="221"/>
      <c r="F368" s="221"/>
      <c r="G368" s="222"/>
      <c r="H368" s="221"/>
      <c r="I368" s="223"/>
      <c r="J368" s="237"/>
      <c r="K368" s="223"/>
      <c r="L368" s="236"/>
      <c r="M368" s="222"/>
      <c r="N368" s="224"/>
      <c r="O368" s="222"/>
      <c r="P368" s="224"/>
      <c r="Q368" s="222"/>
      <c r="R368" s="224"/>
      <c r="S368" s="239"/>
      <c r="T368" s="224"/>
      <c r="U368" s="239"/>
      <c r="V368" s="224"/>
      <c r="W368" s="261"/>
    </row>
    <row r="369" spans="1:23" x14ac:dyDescent="0.25">
      <c r="A369" s="215"/>
      <c r="B369" s="215"/>
      <c r="C369" s="215"/>
      <c r="D369" s="215"/>
      <c r="E369" s="221"/>
      <c r="F369" s="221"/>
      <c r="G369" s="222"/>
      <c r="H369" s="221"/>
      <c r="I369" s="223"/>
      <c r="J369" s="237"/>
      <c r="K369" s="223"/>
      <c r="L369" s="236"/>
      <c r="M369" s="222"/>
      <c r="N369" s="224"/>
      <c r="O369" s="222"/>
      <c r="P369" s="224"/>
      <c r="Q369" s="222"/>
      <c r="R369" s="224"/>
      <c r="S369" s="239"/>
      <c r="T369" s="224"/>
      <c r="U369" s="239"/>
      <c r="V369" s="224"/>
      <c r="W369" s="261"/>
    </row>
    <row r="370" spans="1:23" x14ac:dyDescent="0.25">
      <c r="A370" s="215"/>
      <c r="B370" s="215"/>
      <c r="C370" s="215"/>
      <c r="D370" s="215"/>
      <c r="E370" s="221"/>
      <c r="F370" s="221"/>
      <c r="G370" s="222"/>
      <c r="H370" s="221"/>
      <c r="I370" s="223"/>
      <c r="J370" s="237"/>
      <c r="K370" s="223"/>
      <c r="L370" s="236"/>
      <c r="M370" s="222"/>
      <c r="N370" s="224"/>
      <c r="O370" s="222"/>
      <c r="P370" s="224"/>
      <c r="Q370" s="222"/>
      <c r="R370" s="224"/>
      <c r="S370" s="239"/>
      <c r="T370" s="224"/>
      <c r="U370" s="239"/>
      <c r="V370" s="224"/>
      <c r="W370" s="261"/>
    </row>
    <row r="371" spans="1:23" x14ac:dyDescent="0.25">
      <c r="A371" s="215"/>
      <c r="B371" s="215"/>
      <c r="C371" s="215"/>
      <c r="D371" s="215"/>
      <c r="E371" s="221"/>
      <c r="F371" s="221"/>
      <c r="G371" s="222"/>
      <c r="H371" s="221"/>
      <c r="I371" s="223"/>
      <c r="J371" s="237"/>
      <c r="K371" s="223"/>
      <c r="L371" s="236"/>
      <c r="M371" s="222"/>
      <c r="N371" s="224"/>
      <c r="O371" s="222"/>
      <c r="P371" s="224"/>
      <c r="Q371" s="222"/>
      <c r="R371" s="224"/>
      <c r="S371" s="239"/>
      <c r="T371" s="224"/>
      <c r="U371" s="239"/>
      <c r="V371" s="224"/>
      <c r="W371" s="261"/>
    </row>
    <row r="372" spans="1:23" x14ac:dyDescent="0.25">
      <c r="A372" s="215"/>
      <c r="B372" s="215"/>
      <c r="C372" s="215"/>
      <c r="D372" s="215"/>
      <c r="E372" s="221"/>
      <c r="F372" s="221"/>
      <c r="G372" s="222"/>
      <c r="H372" s="221"/>
      <c r="I372" s="223"/>
      <c r="J372" s="237"/>
      <c r="K372" s="223"/>
      <c r="L372" s="236"/>
      <c r="M372" s="222"/>
      <c r="N372" s="224"/>
      <c r="O372" s="222"/>
      <c r="P372" s="224"/>
      <c r="Q372" s="222"/>
      <c r="R372" s="224"/>
      <c r="S372" s="239"/>
      <c r="T372" s="224"/>
      <c r="U372" s="239"/>
      <c r="V372" s="224"/>
      <c r="W372" s="261"/>
    </row>
    <row r="373" spans="1:23" x14ac:dyDescent="0.25">
      <c r="A373" s="215"/>
      <c r="B373" s="215"/>
      <c r="C373" s="215"/>
      <c r="D373" s="215"/>
      <c r="E373" s="221"/>
      <c r="F373" s="221"/>
      <c r="G373" s="222"/>
      <c r="H373" s="221"/>
      <c r="I373" s="223"/>
      <c r="J373" s="237"/>
      <c r="K373" s="223"/>
      <c r="L373" s="236"/>
      <c r="M373" s="222"/>
      <c r="N373" s="224"/>
      <c r="O373" s="222"/>
      <c r="P373" s="224"/>
      <c r="Q373" s="222"/>
      <c r="R373" s="224"/>
      <c r="S373" s="239"/>
      <c r="T373" s="224"/>
      <c r="U373" s="239"/>
      <c r="V373" s="224"/>
      <c r="W373" s="261"/>
    </row>
    <row r="374" spans="1:23" x14ac:dyDescent="0.25">
      <c r="A374" s="215"/>
      <c r="B374" s="215"/>
      <c r="C374" s="215"/>
      <c r="D374" s="215"/>
      <c r="E374" s="221"/>
      <c r="F374" s="221"/>
      <c r="G374" s="222"/>
      <c r="H374" s="221"/>
      <c r="I374" s="223"/>
      <c r="J374" s="237"/>
      <c r="K374" s="223"/>
      <c r="L374" s="236"/>
      <c r="M374" s="222"/>
      <c r="N374" s="224"/>
      <c r="O374" s="222"/>
      <c r="P374" s="224"/>
      <c r="Q374" s="222"/>
      <c r="R374" s="224"/>
      <c r="S374" s="239"/>
      <c r="T374" s="224"/>
      <c r="U374" s="239"/>
      <c r="V374" s="224"/>
      <c r="W374" s="261"/>
    </row>
    <row r="375" spans="1:23" x14ac:dyDescent="0.25">
      <c r="A375" s="215"/>
      <c r="B375" s="215"/>
      <c r="C375" s="215"/>
      <c r="D375" s="215"/>
      <c r="E375" s="221"/>
      <c r="F375" s="221"/>
      <c r="G375" s="222"/>
      <c r="H375" s="221"/>
      <c r="I375" s="223"/>
      <c r="J375" s="237"/>
      <c r="K375" s="223"/>
      <c r="L375" s="236"/>
      <c r="M375" s="222"/>
      <c r="N375" s="224"/>
      <c r="O375" s="222"/>
      <c r="P375" s="224"/>
      <c r="Q375" s="222"/>
      <c r="R375" s="224"/>
      <c r="S375" s="239"/>
      <c r="T375" s="224"/>
      <c r="U375" s="239"/>
      <c r="V375" s="224"/>
      <c r="W375" s="261"/>
    </row>
    <row r="376" spans="1:23" x14ac:dyDescent="0.25">
      <c r="A376" s="215"/>
      <c r="B376" s="215"/>
      <c r="C376" s="215"/>
      <c r="D376" s="215"/>
      <c r="E376" s="221"/>
      <c r="F376" s="221"/>
      <c r="G376" s="222"/>
      <c r="H376" s="221"/>
      <c r="I376" s="223"/>
      <c r="J376" s="237"/>
      <c r="K376" s="223"/>
      <c r="L376" s="236"/>
      <c r="M376" s="222"/>
      <c r="N376" s="224"/>
      <c r="O376" s="222"/>
      <c r="P376" s="224"/>
      <c r="Q376" s="222"/>
      <c r="R376" s="224"/>
      <c r="S376" s="239"/>
      <c r="T376" s="224"/>
      <c r="U376" s="239"/>
      <c r="V376" s="224"/>
      <c r="W376" s="261"/>
    </row>
    <row r="377" spans="1:23" x14ac:dyDescent="0.25">
      <c r="A377" s="215"/>
      <c r="B377" s="215"/>
      <c r="C377" s="215"/>
      <c r="D377" s="215"/>
      <c r="E377" s="221"/>
      <c r="F377" s="221"/>
      <c r="G377" s="222"/>
      <c r="H377" s="221"/>
      <c r="I377" s="223"/>
      <c r="J377" s="237"/>
      <c r="K377" s="223"/>
      <c r="L377" s="236"/>
      <c r="M377" s="222"/>
      <c r="N377" s="224"/>
      <c r="O377" s="222"/>
      <c r="P377" s="224"/>
      <c r="Q377" s="222"/>
      <c r="R377" s="224"/>
      <c r="S377" s="239"/>
      <c r="T377" s="224"/>
      <c r="U377" s="239"/>
      <c r="V377" s="224"/>
      <c r="W377" s="261"/>
    </row>
    <row r="378" spans="1:23" x14ac:dyDescent="0.25">
      <c r="A378" s="215"/>
      <c r="B378" s="215"/>
      <c r="C378" s="215"/>
      <c r="D378" s="215"/>
      <c r="E378" s="221"/>
      <c r="F378" s="221"/>
      <c r="G378" s="222"/>
      <c r="H378" s="221"/>
      <c r="I378" s="223"/>
      <c r="J378" s="237"/>
      <c r="K378" s="223"/>
      <c r="L378" s="236"/>
      <c r="M378" s="222"/>
      <c r="N378" s="224"/>
      <c r="O378" s="222"/>
      <c r="P378" s="224"/>
      <c r="Q378" s="222"/>
      <c r="R378" s="224"/>
      <c r="S378" s="239"/>
      <c r="T378" s="224"/>
      <c r="U378" s="239"/>
      <c r="V378" s="224"/>
      <c r="W378" s="261"/>
    </row>
    <row r="379" spans="1:23" x14ac:dyDescent="0.25">
      <c r="A379" s="215"/>
      <c r="B379" s="215"/>
      <c r="C379" s="215"/>
      <c r="D379" s="215"/>
      <c r="E379" s="221"/>
      <c r="F379" s="221"/>
      <c r="G379" s="222"/>
      <c r="H379" s="221"/>
      <c r="I379" s="223"/>
      <c r="J379" s="237"/>
      <c r="K379" s="223"/>
      <c r="L379" s="236"/>
      <c r="M379" s="222"/>
      <c r="N379" s="224"/>
      <c r="O379" s="222"/>
      <c r="P379" s="224"/>
      <c r="Q379" s="222"/>
      <c r="R379" s="224"/>
      <c r="S379" s="239"/>
      <c r="T379" s="224"/>
      <c r="U379" s="239"/>
      <c r="V379" s="224"/>
      <c r="W379" s="261"/>
    </row>
    <row r="380" spans="1:23" x14ac:dyDescent="0.25">
      <c r="A380" s="215"/>
      <c r="B380" s="215"/>
      <c r="C380" s="215"/>
      <c r="D380" s="215"/>
      <c r="E380" s="221"/>
      <c r="F380" s="221"/>
      <c r="G380" s="222"/>
      <c r="H380" s="221"/>
      <c r="I380" s="223"/>
      <c r="J380" s="237"/>
      <c r="K380" s="223"/>
      <c r="L380" s="236"/>
      <c r="M380" s="222"/>
      <c r="N380" s="224"/>
      <c r="O380" s="222"/>
      <c r="P380" s="224"/>
      <c r="Q380" s="222"/>
      <c r="R380" s="224"/>
      <c r="S380" s="239"/>
      <c r="T380" s="224"/>
      <c r="U380" s="239"/>
      <c r="V380" s="224"/>
      <c r="W380" s="261"/>
    </row>
    <row r="381" spans="1:23" x14ac:dyDescent="0.25">
      <c r="A381" s="215"/>
      <c r="B381" s="215"/>
      <c r="C381" s="215"/>
      <c r="D381" s="215"/>
      <c r="E381" s="221"/>
      <c r="F381" s="221"/>
      <c r="G381" s="222"/>
      <c r="H381" s="221"/>
      <c r="I381" s="223"/>
      <c r="J381" s="237"/>
      <c r="K381" s="223"/>
      <c r="L381" s="236"/>
      <c r="M381" s="222"/>
      <c r="N381" s="224"/>
      <c r="O381" s="222"/>
      <c r="P381" s="224"/>
      <c r="Q381" s="222"/>
      <c r="R381" s="224"/>
      <c r="S381" s="239"/>
      <c r="T381" s="224"/>
      <c r="U381" s="239"/>
      <c r="V381" s="224"/>
      <c r="W381" s="261"/>
    </row>
    <row r="382" spans="1:23" x14ac:dyDescent="0.25">
      <c r="A382" s="215"/>
      <c r="B382" s="215"/>
      <c r="C382" s="215"/>
      <c r="D382" s="215"/>
      <c r="E382" s="221"/>
      <c r="F382" s="221"/>
      <c r="G382" s="222"/>
      <c r="H382" s="221"/>
      <c r="I382" s="223"/>
      <c r="J382" s="237"/>
      <c r="K382" s="223"/>
      <c r="L382" s="236"/>
      <c r="M382" s="222"/>
      <c r="N382" s="224"/>
      <c r="O382" s="222"/>
      <c r="P382" s="224"/>
      <c r="Q382" s="222"/>
      <c r="R382" s="224"/>
      <c r="S382" s="239"/>
      <c r="T382" s="224"/>
      <c r="U382" s="239"/>
      <c r="V382" s="224"/>
      <c r="W382" s="261"/>
    </row>
    <row r="383" spans="1:23" x14ac:dyDescent="0.25">
      <c r="A383" s="215"/>
      <c r="B383" s="215"/>
      <c r="C383" s="215"/>
      <c r="D383" s="215"/>
      <c r="E383" s="221"/>
      <c r="F383" s="221"/>
      <c r="G383" s="222"/>
      <c r="H383" s="221"/>
      <c r="I383" s="223"/>
      <c r="J383" s="237"/>
      <c r="K383" s="223"/>
      <c r="L383" s="236"/>
      <c r="M383" s="222"/>
      <c r="N383" s="224"/>
      <c r="O383" s="222"/>
      <c r="P383" s="224"/>
      <c r="Q383" s="222"/>
      <c r="R383" s="224"/>
      <c r="S383" s="239"/>
      <c r="T383" s="224"/>
      <c r="U383" s="239"/>
      <c r="V383" s="224"/>
      <c r="W383" s="261"/>
    </row>
    <row r="384" spans="1:23" x14ac:dyDescent="0.25">
      <c r="A384" s="215"/>
      <c r="B384" s="215"/>
      <c r="C384" s="215"/>
      <c r="D384" s="215"/>
      <c r="E384" s="221"/>
      <c r="F384" s="221"/>
      <c r="G384" s="222"/>
      <c r="H384" s="221"/>
      <c r="I384" s="223"/>
      <c r="J384" s="237"/>
      <c r="K384" s="223"/>
      <c r="L384" s="236"/>
      <c r="M384" s="222"/>
      <c r="N384" s="224"/>
      <c r="O384" s="222"/>
      <c r="P384" s="224"/>
      <c r="Q384" s="222"/>
      <c r="R384" s="224"/>
      <c r="S384" s="239"/>
      <c r="T384" s="224"/>
      <c r="U384" s="239"/>
      <c r="V384" s="224"/>
      <c r="W384" s="261"/>
    </row>
    <row r="385" spans="1:23" x14ac:dyDescent="0.25">
      <c r="A385" s="215"/>
      <c r="B385" s="215"/>
      <c r="C385" s="215"/>
      <c r="D385" s="215"/>
      <c r="E385" s="221"/>
      <c r="F385" s="221"/>
      <c r="G385" s="222"/>
      <c r="H385" s="221"/>
      <c r="I385" s="223"/>
      <c r="J385" s="237"/>
      <c r="K385" s="223"/>
      <c r="L385" s="236"/>
      <c r="M385" s="222"/>
      <c r="N385" s="224"/>
      <c r="O385" s="222"/>
      <c r="P385" s="224"/>
      <c r="Q385" s="222"/>
      <c r="R385" s="224"/>
      <c r="S385" s="239"/>
      <c r="T385" s="224"/>
      <c r="U385" s="239"/>
      <c r="V385" s="224"/>
      <c r="W385" s="261"/>
    </row>
    <row r="386" spans="1:23" x14ac:dyDescent="0.25">
      <c r="A386" s="215"/>
      <c r="B386" s="215"/>
      <c r="C386" s="215"/>
      <c r="D386" s="215"/>
      <c r="E386" s="221"/>
      <c r="F386" s="221"/>
      <c r="G386" s="222"/>
      <c r="H386" s="221"/>
      <c r="I386" s="223"/>
      <c r="J386" s="237"/>
      <c r="K386" s="223"/>
      <c r="L386" s="236"/>
      <c r="M386" s="222"/>
      <c r="N386" s="224"/>
      <c r="O386" s="222"/>
      <c r="P386" s="224"/>
      <c r="Q386" s="222"/>
      <c r="R386" s="224"/>
      <c r="S386" s="239"/>
      <c r="T386" s="224"/>
      <c r="U386" s="239"/>
      <c r="V386" s="224"/>
      <c r="W386" s="261"/>
    </row>
    <row r="387" spans="1:23" x14ac:dyDescent="0.25">
      <c r="A387" s="215"/>
      <c r="B387" s="215"/>
      <c r="C387" s="215"/>
      <c r="D387" s="215"/>
      <c r="E387" s="221"/>
      <c r="F387" s="221"/>
      <c r="G387" s="222"/>
      <c r="H387" s="221"/>
      <c r="I387" s="223"/>
      <c r="J387" s="237"/>
      <c r="K387" s="223"/>
      <c r="L387" s="236"/>
      <c r="M387" s="222"/>
      <c r="N387" s="224"/>
      <c r="O387" s="222"/>
      <c r="P387" s="224"/>
      <c r="Q387" s="222"/>
      <c r="R387" s="224"/>
      <c r="S387" s="239"/>
      <c r="T387" s="224"/>
      <c r="U387" s="239"/>
      <c r="V387" s="224"/>
      <c r="W387" s="261"/>
    </row>
    <row r="388" spans="1:23" x14ac:dyDescent="0.25">
      <c r="A388" s="215"/>
      <c r="B388" s="215"/>
      <c r="C388" s="215"/>
      <c r="D388" s="215"/>
      <c r="E388" s="221"/>
      <c r="F388" s="221"/>
      <c r="G388" s="222"/>
      <c r="H388" s="221"/>
      <c r="I388" s="223"/>
      <c r="J388" s="237"/>
      <c r="K388" s="223"/>
      <c r="L388" s="236"/>
      <c r="M388" s="222"/>
      <c r="N388" s="224"/>
      <c r="O388" s="222"/>
      <c r="P388" s="224"/>
      <c r="Q388" s="222"/>
      <c r="R388" s="224"/>
      <c r="S388" s="239"/>
      <c r="T388" s="224"/>
      <c r="U388" s="239"/>
      <c r="V388" s="224"/>
      <c r="W388" s="261"/>
    </row>
    <row r="389" spans="1:23" x14ac:dyDescent="0.25">
      <c r="A389" s="215"/>
      <c r="B389" s="215"/>
      <c r="C389" s="215"/>
      <c r="D389" s="215"/>
      <c r="E389" s="221"/>
      <c r="F389" s="221"/>
      <c r="G389" s="222"/>
      <c r="H389" s="221"/>
      <c r="I389" s="223"/>
      <c r="J389" s="237"/>
      <c r="K389" s="223"/>
      <c r="L389" s="236"/>
      <c r="M389" s="222"/>
      <c r="N389" s="224"/>
      <c r="O389" s="222"/>
      <c r="P389" s="224"/>
      <c r="Q389" s="222"/>
      <c r="R389" s="224"/>
      <c r="S389" s="239"/>
      <c r="T389" s="224"/>
      <c r="U389" s="239"/>
      <c r="V389" s="224"/>
      <c r="W389" s="261"/>
    </row>
    <row r="390" spans="1:23" x14ac:dyDescent="0.25">
      <c r="A390" s="215"/>
      <c r="B390" s="215"/>
      <c r="C390" s="215"/>
      <c r="D390" s="215"/>
      <c r="E390" s="221"/>
      <c r="F390" s="221"/>
      <c r="G390" s="222"/>
      <c r="H390" s="221"/>
      <c r="I390" s="223"/>
      <c r="J390" s="237"/>
      <c r="K390" s="223"/>
      <c r="L390" s="236"/>
      <c r="M390" s="222"/>
      <c r="N390" s="224"/>
      <c r="O390" s="222"/>
      <c r="P390" s="224"/>
      <c r="Q390" s="222"/>
      <c r="R390" s="224"/>
      <c r="S390" s="239"/>
      <c r="T390" s="224"/>
      <c r="U390" s="239"/>
      <c r="V390" s="224"/>
      <c r="W390" s="261"/>
    </row>
    <row r="391" spans="1:23" x14ac:dyDescent="0.25">
      <c r="A391" s="215"/>
      <c r="B391" s="215"/>
      <c r="C391" s="215"/>
      <c r="D391" s="215"/>
      <c r="E391" s="221"/>
      <c r="F391" s="221"/>
      <c r="G391" s="222"/>
      <c r="H391" s="221"/>
      <c r="I391" s="223"/>
      <c r="J391" s="237"/>
      <c r="K391" s="223"/>
      <c r="L391" s="236"/>
      <c r="M391" s="222"/>
      <c r="N391" s="224"/>
      <c r="O391" s="222"/>
      <c r="P391" s="224"/>
      <c r="Q391" s="222"/>
      <c r="R391" s="224"/>
      <c r="S391" s="239"/>
      <c r="T391" s="224"/>
      <c r="U391" s="239"/>
      <c r="V391" s="224"/>
      <c r="W391" s="261"/>
    </row>
    <row r="392" spans="1:23" x14ac:dyDescent="0.25">
      <c r="A392" s="215"/>
      <c r="B392" s="215"/>
      <c r="C392" s="215"/>
      <c r="D392" s="215"/>
      <c r="E392" s="221"/>
      <c r="F392" s="221"/>
      <c r="G392" s="222"/>
      <c r="H392" s="221"/>
      <c r="I392" s="223"/>
      <c r="J392" s="237"/>
      <c r="K392" s="223"/>
      <c r="L392" s="236"/>
      <c r="M392" s="222"/>
      <c r="N392" s="224"/>
      <c r="O392" s="222"/>
      <c r="P392" s="224"/>
      <c r="Q392" s="222"/>
      <c r="R392" s="224"/>
      <c r="S392" s="239"/>
      <c r="T392" s="224"/>
      <c r="U392" s="239"/>
      <c r="V392" s="224"/>
      <c r="W392" s="261"/>
    </row>
    <row r="393" spans="1:23" x14ac:dyDescent="0.25">
      <c r="A393" s="215"/>
      <c r="B393" s="215"/>
      <c r="C393" s="215"/>
      <c r="D393" s="215"/>
      <c r="E393" s="221"/>
      <c r="F393" s="221"/>
      <c r="G393" s="222"/>
      <c r="H393" s="221"/>
      <c r="I393" s="223"/>
      <c r="J393" s="237"/>
      <c r="K393" s="223"/>
      <c r="L393" s="236"/>
      <c r="M393" s="222"/>
      <c r="N393" s="224"/>
      <c r="O393" s="222"/>
      <c r="P393" s="224"/>
      <c r="Q393" s="222"/>
      <c r="R393" s="224"/>
      <c r="S393" s="239"/>
      <c r="T393" s="224"/>
      <c r="U393" s="239"/>
      <c r="V393" s="224"/>
      <c r="W393" s="261"/>
    </row>
    <row r="394" spans="1:23" x14ac:dyDescent="0.25">
      <c r="A394" s="215"/>
      <c r="B394" s="215"/>
      <c r="C394" s="215"/>
      <c r="D394" s="215"/>
      <c r="E394" s="221"/>
      <c r="F394" s="221"/>
      <c r="G394" s="222"/>
      <c r="H394" s="221"/>
      <c r="I394" s="223"/>
      <c r="J394" s="237"/>
      <c r="K394" s="223"/>
      <c r="L394" s="236"/>
      <c r="M394" s="222"/>
      <c r="N394" s="224"/>
      <c r="O394" s="222"/>
      <c r="P394" s="224"/>
      <c r="Q394" s="222"/>
      <c r="R394" s="224"/>
      <c r="S394" s="239"/>
      <c r="T394" s="224"/>
      <c r="U394" s="239"/>
      <c r="V394" s="224"/>
      <c r="W394" s="261"/>
    </row>
    <row r="395" spans="1:23" x14ac:dyDescent="0.25">
      <c r="A395" s="215"/>
      <c r="B395" s="215"/>
      <c r="C395" s="215"/>
      <c r="D395" s="215"/>
      <c r="E395" s="221"/>
      <c r="F395" s="221"/>
      <c r="G395" s="222"/>
      <c r="H395" s="221"/>
      <c r="I395" s="223"/>
      <c r="J395" s="237"/>
      <c r="K395" s="223"/>
      <c r="L395" s="236"/>
      <c r="M395" s="222"/>
      <c r="N395" s="224"/>
      <c r="O395" s="222"/>
      <c r="P395" s="224"/>
      <c r="Q395" s="222"/>
      <c r="R395" s="224"/>
      <c r="S395" s="239"/>
      <c r="T395" s="224"/>
      <c r="U395" s="239"/>
      <c r="V395" s="224"/>
      <c r="W395" s="261"/>
    </row>
    <row r="396" spans="1:23" x14ac:dyDescent="0.25">
      <c r="A396" s="215"/>
      <c r="B396" s="215"/>
      <c r="C396" s="215"/>
      <c r="D396" s="215"/>
      <c r="E396" s="221"/>
      <c r="F396" s="221"/>
      <c r="G396" s="222"/>
      <c r="H396" s="221"/>
      <c r="I396" s="223"/>
      <c r="J396" s="237"/>
      <c r="K396" s="223"/>
      <c r="L396" s="236"/>
      <c r="M396" s="222"/>
      <c r="N396" s="224"/>
      <c r="O396" s="222"/>
      <c r="P396" s="224"/>
      <c r="Q396" s="222"/>
      <c r="R396" s="224"/>
      <c r="S396" s="239"/>
      <c r="T396" s="224"/>
      <c r="U396" s="239"/>
      <c r="V396" s="224"/>
      <c r="W396" s="261"/>
    </row>
    <row r="397" spans="1:23" x14ac:dyDescent="0.25">
      <c r="A397" s="215"/>
      <c r="B397" s="215"/>
      <c r="C397" s="215"/>
      <c r="D397" s="215"/>
      <c r="E397" s="221"/>
      <c r="F397" s="221"/>
      <c r="G397" s="222"/>
      <c r="H397" s="221"/>
      <c r="I397" s="223"/>
      <c r="J397" s="237"/>
      <c r="K397" s="223"/>
      <c r="L397" s="236"/>
      <c r="M397" s="222"/>
      <c r="N397" s="224"/>
      <c r="O397" s="222"/>
      <c r="P397" s="224"/>
      <c r="Q397" s="222"/>
      <c r="R397" s="224"/>
      <c r="S397" s="239"/>
      <c r="T397" s="224"/>
      <c r="U397" s="239"/>
      <c r="V397" s="224"/>
      <c r="W397" s="261"/>
    </row>
    <row r="398" spans="1:23" x14ac:dyDescent="0.25">
      <c r="A398" s="215"/>
      <c r="B398" s="215"/>
      <c r="C398" s="215"/>
      <c r="D398" s="215"/>
      <c r="E398" s="221"/>
      <c r="F398" s="221"/>
      <c r="G398" s="222"/>
      <c r="H398" s="221"/>
      <c r="I398" s="223"/>
      <c r="J398" s="237"/>
      <c r="K398" s="223"/>
      <c r="L398" s="236"/>
      <c r="M398" s="222"/>
      <c r="N398" s="224"/>
      <c r="O398" s="222"/>
      <c r="P398" s="224"/>
      <c r="Q398" s="222"/>
      <c r="R398" s="224"/>
      <c r="S398" s="239"/>
      <c r="T398" s="224"/>
      <c r="U398" s="239"/>
      <c r="V398" s="224"/>
      <c r="W398" s="261"/>
    </row>
    <row r="399" spans="1:23" x14ac:dyDescent="0.25">
      <c r="A399" s="215"/>
      <c r="B399" s="215"/>
      <c r="C399" s="215"/>
      <c r="D399" s="215"/>
      <c r="E399" s="221"/>
      <c r="F399" s="221"/>
      <c r="G399" s="222"/>
      <c r="H399" s="221"/>
      <c r="I399" s="223"/>
      <c r="J399" s="237"/>
      <c r="K399" s="223"/>
      <c r="L399" s="236"/>
      <c r="M399" s="222"/>
      <c r="N399" s="224"/>
      <c r="O399" s="222"/>
      <c r="P399" s="224"/>
      <c r="Q399" s="222"/>
      <c r="R399" s="224"/>
      <c r="S399" s="239"/>
      <c r="T399" s="224"/>
      <c r="U399" s="239"/>
      <c r="V399" s="224"/>
      <c r="W399" s="261"/>
    </row>
    <row r="400" spans="1:23" x14ac:dyDescent="0.25">
      <c r="A400" s="215"/>
      <c r="B400" s="215"/>
      <c r="C400" s="215"/>
      <c r="D400" s="215"/>
      <c r="E400" s="221"/>
      <c r="F400" s="221"/>
      <c r="G400" s="222"/>
      <c r="H400" s="221"/>
      <c r="I400" s="223"/>
      <c r="J400" s="237"/>
      <c r="K400" s="223"/>
      <c r="L400" s="236"/>
      <c r="M400" s="222"/>
      <c r="N400" s="224"/>
      <c r="O400" s="222"/>
      <c r="P400" s="224"/>
      <c r="Q400" s="222"/>
      <c r="R400" s="224"/>
      <c r="S400" s="239"/>
      <c r="T400" s="224"/>
      <c r="U400" s="239"/>
      <c r="V400" s="224"/>
      <c r="W400" s="261"/>
    </row>
    <row r="401" spans="1:23" x14ac:dyDescent="0.25">
      <c r="A401" s="215"/>
      <c r="B401" s="215"/>
      <c r="C401" s="215"/>
      <c r="D401" s="215"/>
      <c r="E401" s="221"/>
      <c r="F401" s="221"/>
      <c r="G401" s="222"/>
      <c r="H401" s="221"/>
      <c r="I401" s="223"/>
      <c r="J401" s="237"/>
      <c r="K401" s="223"/>
      <c r="L401" s="236"/>
      <c r="M401" s="222"/>
      <c r="N401" s="224"/>
      <c r="O401" s="222"/>
      <c r="P401" s="224"/>
      <c r="Q401" s="222"/>
      <c r="R401" s="224"/>
      <c r="S401" s="239"/>
      <c r="T401" s="224"/>
      <c r="U401" s="239"/>
      <c r="V401" s="224"/>
      <c r="W401" s="261"/>
    </row>
    <row r="402" spans="1:23" x14ac:dyDescent="0.25">
      <c r="A402" s="215"/>
      <c r="B402" s="215"/>
      <c r="C402" s="215"/>
      <c r="D402" s="215"/>
      <c r="E402" s="221"/>
      <c r="F402" s="221"/>
      <c r="G402" s="222"/>
      <c r="H402" s="221"/>
      <c r="I402" s="223"/>
      <c r="J402" s="237"/>
      <c r="K402" s="223"/>
      <c r="L402" s="236"/>
      <c r="M402" s="222"/>
      <c r="N402" s="224"/>
      <c r="O402" s="222"/>
      <c r="P402" s="224"/>
      <c r="Q402" s="222"/>
      <c r="R402" s="224"/>
      <c r="S402" s="239"/>
      <c r="T402" s="224"/>
      <c r="U402" s="239"/>
      <c r="V402" s="224"/>
      <c r="W402" s="261"/>
    </row>
    <row r="403" spans="1:23" x14ac:dyDescent="0.25">
      <c r="A403" s="215"/>
      <c r="B403" s="215"/>
      <c r="C403" s="215"/>
      <c r="D403" s="215"/>
      <c r="E403" s="221"/>
      <c r="F403" s="221"/>
      <c r="G403" s="222"/>
      <c r="H403" s="221"/>
      <c r="I403" s="223"/>
      <c r="J403" s="237"/>
      <c r="K403" s="223"/>
      <c r="L403" s="236"/>
      <c r="M403" s="222"/>
      <c r="N403" s="224"/>
      <c r="O403" s="222"/>
      <c r="P403" s="224"/>
      <c r="Q403" s="222"/>
      <c r="R403" s="224"/>
      <c r="S403" s="239"/>
      <c r="T403" s="224"/>
      <c r="U403" s="239"/>
      <c r="V403" s="224"/>
      <c r="W403" s="261"/>
    </row>
    <row r="404" spans="1:23" x14ac:dyDescent="0.25">
      <c r="A404" s="215"/>
      <c r="B404" s="215"/>
      <c r="C404" s="215"/>
      <c r="D404" s="215"/>
      <c r="E404" s="221"/>
      <c r="F404" s="221"/>
      <c r="G404" s="222"/>
      <c r="H404" s="221"/>
      <c r="I404" s="223"/>
      <c r="J404" s="237"/>
      <c r="K404" s="223"/>
      <c r="L404" s="236"/>
      <c r="M404" s="222"/>
      <c r="N404" s="224"/>
      <c r="O404" s="222"/>
      <c r="P404" s="224"/>
      <c r="Q404" s="222"/>
      <c r="R404" s="224"/>
      <c r="S404" s="239"/>
      <c r="T404" s="224"/>
      <c r="U404" s="239"/>
      <c r="V404" s="224"/>
      <c r="W404" s="261"/>
    </row>
    <row r="405" spans="1:23" x14ac:dyDescent="0.25">
      <c r="A405" s="215"/>
      <c r="B405" s="215"/>
      <c r="C405" s="215"/>
      <c r="D405" s="215"/>
      <c r="E405" s="221"/>
      <c r="F405" s="221"/>
      <c r="G405" s="222"/>
      <c r="H405" s="221"/>
      <c r="I405" s="223"/>
      <c r="J405" s="237"/>
      <c r="K405" s="223"/>
      <c r="L405" s="236"/>
      <c r="M405" s="222"/>
      <c r="N405" s="224"/>
      <c r="O405" s="222"/>
      <c r="P405" s="224"/>
      <c r="Q405" s="222"/>
      <c r="R405" s="224"/>
      <c r="S405" s="239"/>
      <c r="T405" s="224"/>
      <c r="U405" s="239"/>
      <c r="V405" s="224"/>
      <c r="W405" s="261"/>
    </row>
    <row r="406" spans="1:23" x14ac:dyDescent="0.25">
      <c r="A406" s="215"/>
      <c r="B406" s="215"/>
      <c r="C406" s="215"/>
      <c r="D406" s="215"/>
      <c r="E406" s="221"/>
      <c r="F406" s="221"/>
      <c r="G406" s="222"/>
      <c r="H406" s="221"/>
      <c r="I406" s="223"/>
      <c r="J406" s="237"/>
      <c r="K406" s="223"/>
      <c r="L406" s="236"/>
      <c r="M406" s="222"/>
      <c r="N406" s="224"/>
      <c r="O406" s="222"/>
      <c r="P406" s="224"/>
      <c r="Q406" s="222"/>
      <c r="R406" s="224"/>
      <c r="S406" s="239"/>
      <c r="T406" s="224"/>
      <c r="U406" s="239"/>
      <c r="V406" s="224"/>
      <c r="W406" s="261"/>
    </row>
    <row r="407" spans="1:23" x14ac:dyDescent="0.25">
      <c r="A407" s="215"/>
      <c r="B407" s="215"/>
      <c r="C407" s="215"/>
      <c r="D407" s="215"/>
      <c r="E407" s="221"/>
      <c r="F407" s="221"/>
      <c r="G407" s="222"/>
      <c r="H407" s="221"/>
      <c r="I407" s="223"/>
      <c r="J407" s="237"/>
      <c r="K407" s="223"/>
      <c r="L407" s="236"/>
      <c r="M407" s="222"/>
      <c r="N407" s="224"/>
      <c r="O407" s="222"/>
      <c r="P407" s="224"/>
      <c r="Q407" s="222"/>
      <c r="R407" s="224"/>
      <c r="S407" s="239"/>
      <c r="T407" s="224"/>
      <c r="U407" s="239"/>
      <c r="V407" s="224"/>
      <c r="W407" s="261"/>
    </row>
    <row r="408" spans="1:23" x14ac:dyDescent="0.25">
      <c r="A408" s="215"/>
      <c r="B408" s="215"/>
      <c r="C408" s="215"/>
      <c r="D408" s="215"/>
      <c r="E408" s="221"/>
      <c r="F408" s="221"/>
      <c r="G408" s="222"/>
      <c r="H408" s="221"/>
      <c r="I408" s="223"/>
      <c r="J408" s="237"/>
      <c r="K408" s="223"/>
      <c r="L408" s="236"/>
      <c r="M408" s="222"/>
      <c r="N408" s="224"/>
      <c r="O408" s="222"/>
      <c r="P408" s="224"/>
      <c r="Q408" s="222"/>
      <c r="R408" s="224"/>
      <c r="S408" s="239"/>
      <c r="T408" s="224"/>
      <c r="U408" s="239"/>
      <c r="V408" s="224"/>
      <c r="W408" s="261"/>
    </row>
    <row r="409" spans="1:23" x14ac:dyDescent="0.25">
      <c r="A409" s="215"/>
      <c r="B409" s="215"/>
      <c r="C409" s="215"/>
      <c r="D409" s="215"/>
      <c r="E409" s="221"/>
      <c r="F409" s="221"/>
      <c r="G409" s="222"/>
      <c r="H409" s="221"/>
      <c r="I409" s="223"/>
      <c r="J409" s="237"/>
      <c r="K409" s="223"/>
      <c r="L409" s="236"/>
      <c r="M409" s="222"/>
      <c r="N409" s="224"/>
      <c r="O409" s="222"/>
      <c r="P409" s="224"/>
      <c r="Q409" s="222"/>
      <c r="R409" s="224"/>
      <c r="S409" s="239"/>
      <c r="T409" s="224"/>
      <c r="U409" s="239"/>
      <c r="V409" s="224"/>
      <c r="W409" s="261"/>
    </row>
    <row r="410" spans="1:23" x14ac:dyDescent="0.25">
      <c r="A410" s="215"/>
      <c r="B410" s="215"/>
      <c r="C410" s="215"/>
      <c r="D410" s="215"/>
      <c r="E410" s="221"/>
      <c r="F410" s="221"/>
      <c r="G410" s="222"/>
      <c r="H410" s="221"/>
      <c r="I410" s="223"/>
      <c r="J410" s="237"/>
      <c r="K410" s="223"/>
      <c r="L410" s="236"/>
      <c r="M410" s="222"/>
      <c r="N410" s="224"/>
      <c r="O410" s="222"/>
      <c r="P410" s="224"/>
      <c r="Q410" s="222"/>
      <c r="R410" s="224"/>
      <c r="S410" s="239"/>
      <c r="T410" s="224"/>
      <c r="U410" s="239"/>
      <c r="V410" s="224"/>
      <c r="W410" s="261"/>
    </row>
    <row r="411" spans="1:23" x14ac:dyDescent="0.25">
      <c r="A411" s="215"/>
      <c r="B411" s="215"/>
      <c r="C411" s="215"/>
      <c r="D411" s="215"/>
      <c r="E411" s="221"/>
      <c r="F411" s="221"/>
      <c r="G411" s="222"/>
      <c r="H411" s="221"/>
      <c r="I411" s="223"/>
      <c r="J411" s="237"/>
      <c r="K411" s="223"/>
      <c r="L411" s="236"/>
      <c r="M411" s="222"/>
      <c r="N411" s="224"/>
      <c r="O411" s="222"/>
      <c r="P411" s="224"/>
      <c r="Q411" s="222"/>
      <c r="R411" s="224"/>
      <c r="S411" s="239"/>
      <c r="T411" s="224"/>
      <c r="U411" s="239"/>
      <c r="V411" s="224"/>
      <c r="W411" s="261"/>
    </row>
    <row r="412" spans="1:23" x14ac:dyDescent="0.25">
      <c r="A412" s="215"/>
      <c r="B412" s="215"/>
      <c r="C412" s="215"/>
      <c r="D412" s="215"/>
      <c r="E412" s="221"/>
      <c r="F412" s="221"/>
      <c r="G412" s="222"/>
      <c r="H412" s="221"/>
      <c r="I412" s="223"/>
      <c r="J412" s="237"/>
      <c r="K412" s="223"/>
      <c r="L412" s="236"/>
      <c r="M412" s="222"/>
      <c r="N412" s="224"/>
      <c r="O412" s="222"/>
      <c r="P412" s="224"/>
      <c r="Q412" s="222"/>
      <c r="R412" s="224"/>
      <c r="S412" s="239"/>
      <c r="T412" s="224"/>
      <c r="U412" s="239"/>
      <c r="V412" s="224"/>
      <c r="W412" s="261"/>
    </row>
    <row r="413" spans="1:23" x14ac:dyDescent="0.25">
      <c r="A413" s="215"/>
      <c r="B413" s="215"/>
      <c r="C413" s="215"/>
      <c r="D413" s="215"/>
      <c r="E413" s="221"/>
      <c r="F413" s="221"/>
      <c r="G413" s="222"/>
      <c r="H413" s="221"/>
      <c r="I413" s="223"/>
      <c r="J413" s="237"/>
      <c r="K413" s="223"/>
      <c r="L413" s="236"/>
      <c r="M413" s="222"/>
      <c r="N413" s="224"/>
      <c r="O413" s="222"/>
      <c r="P413" s="224"/>
      <c r="Q413" s="222"/>
      <c r="R413" s="224"/>
      <c r="S413" s="239"/>
      <c r="T413" s="224"/>
      <c r="U413" s="239"/>
      <c r="V413" s="224"/>
      <c r="W413" s="261"/>
    </row>
    <row r="414" spans="1:23" x14ac:dyDescent="0.25">
      <c r="A414" s="215"/>
      <c r="B414" s="215"/>
      <c r="C414" s="215"/>
      <c r="D414" s="215"/>
      <c r="E414" s="221"/>
      <c r="F414" s="221"/>
      <c r="G414" s="222"/>
      <c r="H414" s="221"/>
      <c r="I414" s="223"/>
      <c r="J414" s="237"/>
      <c r="K414" s="223"/>
      <c r="L414" s="236"/>
      <c r="M414" s="222"/>
      <c r="N414" s="224"/>
      <c r="O414" s="222"/>
      <c r="P414" s="224"/>
      <c r="Q414" s="222"/>
      <c r="R414" s="224"/>
      <c r="S414" s="239"/>
      <c r="T414" s="224"/>
      <c r="U414" s="239"/>
      <c r="V414" s="224"/>
      <c r="W414" s="261"/>
    </row>
    <row r="415" spans="1:23" x14ac:dyDescent="0.25">
      <c r="A415" s="215"/>
      <c r="B415" s="215"/>
      <c r="C415" s="215"/>
      <c r="D415" s="215"/>
      <c r="E415" s="221"/>
      <c r="F415" s="221"/>
      <c r="G415" s="222"/>
      <c r="H415" s="221"/>
      <c r="I415" s="223"/>
      <c r="J415" s="237"/>
      <c r="K415" s="223"/>
      <c r="L415" s="236"/>
      <c r="M415" s="222"/>
      <c r="N415" s="224"/>
      <c r="O415" s="222"/>
      <c r="P415" s="224"/>
      <c r="Q415" s="222"/>
      <c r="R415" s="224"/>
      <c r="S415" s="239"/>
      <c r="T415" s="224"/>
      <c r="U415" s="239"/>
      <c r="V415" s="224"/>
      <c r="W415" s="261"/>
    </row>
    <row r="416" spans="1:23" x14ac:dyDescent="0.25">
      <c r="A416" s="215"/>
      <c r="B416" s="215"/>
      <c r="C416" s="215"/>
      <c r="D416" s="215"/>
      <c r="E416" s="221"/>
      <c r="F416" s="221"/>
      <c r="G416" s="222"/>
      <c r="H416" s="221"/>
      <c r="I416" s="223"/>
      <c r="J416" s="237"/>
      <c r="K416" s="223"/>
      <c r="L416" s="236"/>
      <c r="M416" s="222"/>
      <c r="N416" s="224"/>
      <c r="O416" s="222"/>
      <c r="P416" s="224"/>
      <c r="Q416" s="222"/>
      <c r="R416" s="224"/>
      <c r="S416" s="239"/>
      <c r="T416" s="224"/>
      <c r="U416" s="239"/>
      <c r="V416" s="224"/>
      <c r="W416" s="261"/>
    </row>
    <row r="417" spans="1:23" x14ac:dyDescent="0.25">
      <c r="A417" s="215"/>
      <c r="B417" s="215"/>
      <c r="C417" s="215"/>
      <c r="D417" s="215"/>
      <c r="E417" s="221"/>
      <c r="F417" s="221"/>
      <c r="G417" s="222"/>
      <c r="H417" s="221"/>
      <c r="I417" s="223"/>
      <c r="J417" s="237"/>
      <c r="K417" s="223"/>
      <c r="L417" s="236"/>
      <c r="M417" s="222"/>
      <c r="N417" s="224"/>
      <c r="O417" s="222"/>
      <c r="P417" s="224"/>
      <c r="Q417" s="222"/>
      <c r="R417" s="224"/>
      <c r="S417" s="239"/>
      <c r="T417" s="224"/>
      <c r="U417" s="239"/>
      <c r="V417" s="224"/>
      <c r="W417" s="261"/>
    </row>
    <row r="418" spans="1:23" x14ac:dyDescent="0.25">
      <c r="A418" s="215"/>
      <c r="B418" s="215"/>
      <c r="C418" s="215"/>
      <c r="D418" s="215"/>
      <c r="E418" s="221"/>
      <c r="F418" s="221"/>
      <c r="G418" s="222"/>
      <c r="H418" s="221"/>
      <c r="I418" s="223"/>
      <c r="J418" s="237"/>
      <c r="K418" s="223"/>
      <c r="L418" s="236"/>
      <c r="M418" s="222"/>
      <c r="N418" s="224"/>
      <c r="O418" s="222"/>
      <c r="P418" s="224"/>
      <c r="Q418" s="222"/>
      <c r="R418" s="224"/>
      <c r="S418" s="239"/>
      <c r="T418" s="224"/>
      <c r="U418" s="239"/>
      <c r="V418" s="224"/>
      <c r="W418" s="261"/>
    </row>
    <row r="419" spans="1:23" x14ac:dyDescent="0.25">
      <c r="A419" s="215"/>
      <c r="B419" s="215"/>
      <c r="C419" s="215"/>
      <c r="D419" s="215"/>
      <c r="E419" s="221"/>
      <c r="F419" s="221"/>
      <c r="G419" s="222"/>
      <c r="H419" s="221"/>
      <c r="I419" s="223"/>
      <c r="J419" s="237"/>
      <c r="K419" s="223"/>
      <c r="L419" s="236"/>
      <c r="M419" s="222"/>
      <c r="N419" s="224"/>
      <c r="O419" s="222"/>
      <c r="P419" s="224"/>
      <c r="Q419" s="222"/>
      <c r="R419" s="224"/>
      <c r="S419" s="239"/>
      <c r="T419" s="224"/>
      <c r="U419" s="239"/>
      <c r="V419" s="224"/>
      <c r="W419" s="261"/>
    </row>
    <row r="420" spans="1:23" x14ac:dyDescent="0.25">
      <c r="A420" s="215"/>
      <c r="B420" s="215"/>
      <c r="C420" s="215"/>
      <c r="D420" s="215"/>
      <c r="E420" s="221"/>
      <c r="F420" s="221"/>
      <c r="G420" s="222"/>
      <c r="H420" s="221"/>
      <c r="I420" s="223"/>
      <c r="J420" s="237"/>
      <c r="K420" s="223"/>
      <c r="L420" s="236"/>
      <c r="M420" s="222"/>
      <c r="N420" s="224"/>
      <c r="O420" s="222"/>
      <c r="P420" s="224"/>
      <c r="Q420" s="222"/>
      <c r="R420" s="224"/>
      <c r="S420" s="239"/>
      <c r="T420" s="224"/>
      <c r="U420" s="239"/>
      <c r="V420" s="224"/>
      <c r="W420" s="261"/>
    </row>
    <row r="421" spans="1:23" x14ac:dyDescent="0.25">
      <c r="A421" s="215"/>
      <c r="B421" s="215"/>
      <c r="C421" s="215"/>
      <c r="D421" s="215"/>
      <c r="E421" s="221"/>
      <c r="F421" s="221"/>
      <c r="G421" s="222"/>
      <c r="H421" s="221"/>
      <c r="I421" s="223"/>
      <c r="J421" s="237"/>
      <c r="K421" s="223"/>
      <c r="L421" s="236"/>
      <c r="M421" s="222"/>
      <c r="N421" s="224"/>
      <c r="O421" s="222"/>
      <c r="P421" s="224"/>
      <c r="Q421" s="222"/>
      <c r="R421" s="224"/>
      <c r="S421" s="239"/>
      <c r="T421" s="224"/>
      <c r="U421" s="239"/>
      <c r="V421" s="224"/>
      <c r="W421" s="261"/>
    </row>
    <row r="422" spans="1:23" x14ac:dyDescent="0.25">
      <c r="A422" s="215"/>
      <c r="B422" s="215"/>
      <c r="C422" s="215"/>
      <c r="D422" s="215"/>
      <c r="E422" s="221"/>
      <c r="F422" s="221"/>
      <c r="G422" s="222"/>
      <c r="H422" s="221"/>
      <c r="I422" s="223"/>
      <c r="J422" s="237"/>
      <c r="K422" s="223"/>
      <c r="L422" s="236"/>
      <c r="M422" s="222"/>
      <c r="N422" s="224"/>
      <c r="O422" s="222"/>
      <c r="P422" s="224"/>
      <c r="Q422" s="222"/>
      <c r="R422" s="224"/>
      <c r="S422" s="239"/>
      <c r="T422" s="224"/>
      <c r="U422" s="239"/>
      <c r="V422" s="224"/>
      <c r="W422" s="261"/>
    </row>
    <row r="423" spans="1:23" x14ac:dyDescent="0.25">
      <c r="A423" s="215"/>
      <c r="B423" s="215"/>
      <c r="C423" s="215"/>
      <c r="D423" s="215"/>
      <c r="E423" s="221"/>
      <c r="F423" s="221"/>
      <c r="G423" s="222"/>
      <c r="H423" s="221"/>
      <c r="I423" s="223"/>
      <c r="J423" s="237"/>
      <c r="K423" s="223"/>
      <c r="L423" s="236"/>
      <c r="M423" s="222"/>
      <c r="N423" s="224"/>
      <c r="O423" s="222"/>
      <c r="P423" s="224"/>
      <c r="Q423" s="222"/>
      <c r="R423" s="224"/>
      <c r="S423" s="239"/>
      <c r="T423" s="224"/>
      <c r="U423" s="239"/>
      <c r="V423" s="224"/>
      <c r="W423" s="261"/>
    </row>
    <row r="424" spans="1:23" x14ac:dyDescent="0.25">
      <c r="A424" s="215"/>
      <c r="B424" s="215"/>
      <c r="C424" s="215"/>
      <c r="D424" s="215"/>
      <c r="E424" s="221"/>
      <c r="F424" s="221"/>
      <c r="G424" s="222"/>
      <c r="H424" s="221"/>
      <c r="I424" s="223"/>
      <c r="J424" s="237"/>
      <c r="K424" s="223"/>
      <c r="L424" s="236"/>
      <c r="M424" s="222"/>
      <c r="N424" s="224"/>
      <c r="O424" s="222"/>
      <c r="P424" s="224"/>
      <c r="Q424" s="222"/>
      <c r="R424" s="224"/>
      <c r="S424" s="239"/>
      <c r="T424" s="224"/>
      <c r="U424" s="239"/>
      <c r="V424" s="224"/>
      <c r="W424" s="261"/>
    </row>
    <row r="425" spans="1:23" x14ac:dyDescent="0.25">
      <c r="A425" s="215"/>
      <c r="B425" s="215"/>
      <c r="C425" s="215"/>
      <c r="D425" s="215"/>
      <c r="E425" s="221"/>
      <c r="F425" s="221"/>
      <c r="G425" s="222"/>
      <c r="H425" s="221"/>
      <c r="I425" s="223"/>
      <c r="J425" s="237"/>
      <c r="K425" s="223"/>
      <c r="L425" s="236"/>
      <c r="M425" s="222"/>
      <c r="N425" s="224"/>
      <c r="O425" s="222"/>
      <c r="P425" s="224"/>
      <c r="Q425" s="222"/>
      <c r="R425" s="224"/>
      <c r="S425" s="239"/>
      <c r="T425" s="224"/>
      <c r="U425" s="239"/>
      <c r="V425" s="224"/>
      <c r="W425" s="261"/>
    </row>
    <row r="426" spans="1:23" x14ac:dyDescent="0.25">
      <c r="A426" s="215"/>
      <c r="B426" s="215"/>
      <c r="C426" s="215"/>
      <c r="D426" s="215"/>
      <c r="E426" s="221"/>
      <c r="F426" s="221"/>
      <c r="G426" s="222"/>
      <c r="H426" s="221"/>
      <c r="I426" s="223"/>
      <c r="J426" s="237"/>
      <c r="K426" s="223"/>
      <c r="L426" s="236"/>
      <c r="M426" s="222"/>
      <c r="N426" s="224"/>
      <c r="O426" s="222"/>
      <c r="P426" s="224"/>
      <c r="Q426" s="222"/>
      <c r="R426" s="224"/>
      <c r="S426" s="239"/>
      <c r="T426" s="224"/>
      <c r="U426" s="239"/>
      <c r="V426" s="224"/>
      <c r="W426" s="261"/>
    </row>
    <row r="427" spans="1:23" x14ac:dyDescent="0.25">
      <c r="A427" s="215"/>
      <c r="B427" s="215"/>
      <c r="C427" s="215"/>
      <c r="D427" s="215"/>
      <c r="E427" s="221"/>
      <c r="F427" s="221"/>
      <c r="G427" s="222"/>
      <c r="H427" s="221"/>
      <c r="I427" s="223"/>
      <c r="J427" s="237"/>
      <c r="K427" s="223"/>
      <c r="L427" s="236"/>
      <c r="M427" s="222"/>
      <c r="N427" s="224"/>
      <c r="O427" s="222"/>
      <c r="P427" s="224"/>
      <c r="Q427" s="222"/>
      <c r="R427" s="224"/>
      <c r="S427" s="239"/>
      <c r="T427" s="224"/>
      <c r="U427" s="239"/>
      <c r="V427" s="224"/>
      <c r="W427" s="261"/>
    </row>
    <row r="428" spans="1:23" x14ac:dyDescent="0.25">
      <c r="A428" s="215"/>
      <c r="B428" s="215"/>
      <c r="C428" s="215"/>
      <c r="D428" s="215"/>
      <c r="E428" s="221"/>
      <c r="F428" s="221"/>
      <c r="G428" s="222"/>
      <c r="H428" s="221"/>
      <c r="I428" s="223"/>
      <c r="J428" s="237"/>
      <c r="K428" s="223"/>
      <c r="L428" s="236"/>
      <c r="M428" s="222"/>
      <c r="N428" s="224"/>
      <c r="O428" s="222"/>
      <c r="P428" s="224"/>
      <c r="Q428" s="222"/>
      <c r="R428" s="224"/>
      <c r="S428" s="239"/>
      <c r="T428" s="224"/>
      <c r="U428" s="239"/>
      <c r="V428" s="224"/>
      <c r="W428" s="261"/>
    </row>
    <row r="429" spans="1:23" x14ac:dyDescent="0.25">
      <c r="A429" s="215"/>
      <c r="B429" s="215"/>
      <c r="C429" s="215"/>
      <c r="D429" s="215"/>
      <c r="E429" s="221"/>
      <c r="F429" s="221"/>
      <c r="G429" s="222"/>
      <c r="H429" s="221"/>
      <c r="I429" s="223"/>
      <c r="J429" s="237"/>
      <c r="K429" s="223"/>
      <c r="L429" s="236"/>
      <c r="M429" s="222"/>
      <c r="N429" s="224"/>
      <c r="O429" s="222"/>
      <c r="P429" s="224"/>
      <c r="Q429" s="222"/>
      <c r="R429" s="224"/>
      <c r="S429" s="239"/>
      <c r="T429" s="224"/>
      <c r="U429" s="239"/>
      <c r="V429" s="224"/>
      <c r="W429" s="261"/>
    </row>
    <row r="430" spans="1:23" x14ac:dyDescent="0.25">
      <c r="A430" s="215"/>
      <c r="B430" s="215"/>
      <c r="C430" s="215"/>
      <c r="D430" s="215"/>
      <c r="E430" s="221"/>
      <c r="F430" s="221"/>
      <c r="G430" s="222"/>
      <c r="H430" s="221"/>
      <c r="I430" s="223"/>
      <c r="J430" s="237"/>
      <c r="K430" s="223"/>
      <c r="L430" s="236"/>
      <c r="M430" s="222"/>
      <c r="N430" s="224"/>
      <c r="O430" s="222"/>
      <c r="P430" s="224"/>
      <c r="Q430" s="222"/>
      <c r="R430" s="224"/>
      <c r="S430" s="239"/>
      <c r="T430" s="224"/>
      <c r="U430" s="239"/>
      <c r="V430" s="224"/>
      <c r="W430" s="261"/>
    </row>
    <row r="431" spans="1:23" x14ac:dyDescent="0.25">
      <c r="A431" s="215"/>
      <c r="B431" s="215"/>
      <c r="C431" s="215"/>
      <c r="D431" s="215"/>
      <c r="E431" s="221"/>
      <c r="F431" s="221"/>
      <c r="G431" s="222"/>
      <c r="H431" s="221"/>
      <c r="I431" s="223"/>
      <c r="J431" s="237"/>
      <c r="K431" s="223"/>
      <c r="L431" s="236"/>
      <c r="M431" s="222"/>
      <c r="N431" s="224"/>
      <c r="O431" s="222"/>
      <c r="P431" s="224"/>
      <c r="Q431" s="222"/>
      <c r="R431" s="224"/>
      <c r="S431" s="239"/>
      <c r="T431" s="224"/>
      <c r="U431" s="239"/>
      <c r="V431" s="224"/>
      <c r="W431" s="261"/>
    </row>
    <row r="432" spans="1:23" x14ac:dyDescent="0.25">
      <c r="A432" s="215"/>
      <c r="B432" s="215"/>
      <c r="C432" s="215"/>
      <c r="D432" s="215"/>
      <c r="E432" s="221"/>
      <c r="F432" s="221"/>
      <c r="G432" s="222"/>
      <c r="H432" s="221"/>
      <c r="I432" s="223"/>
      <c r="J432" s="237"/>
      <c r="K432" s="223"/>
      <c r="L432" s="236"/>
      <c r="M432" s="222"/>
      <c r="N432" s="224"/>
      <c r="O432" s="222"/>
      <c r="P432" s="224"/>
      <c r="Q432" s="222"/>
      <c r="R432" s="224"/>
      <c r="S432" s="239"/>
      <c r="T432" s="224"/>
      <c r="U432" s="239"/>
      <c r="V432" s="224"/>
      <c r="W432" s="261"/>
    </row>
    <row r="433" spans="1:23" x14ac:dyDescent="0.25">
      <c r="A433" s="215"/>
      <c r="B433" s="215"/>
      <c r="C433" s="215"/>
      <c r="D433" s="215"/>
      <c r="E433" s="221"/>
      <c r="F433" s="221"/>
      <c r="G433" s="222"/>
      <c r="H433" s="221"/>
      <c r="I433" s="223"/>
      <c r="J433" s="237"/>
      <c r="K433" s="223"/>
      <c r="L433" s="236"/>
      <c r="M433" s="222"/>
      <c r="N433" s="224"/>
      <c r="O433" s="222"/>
      <c r="P433" s="224"/>
      <c r="Q433" s="222"/>
      <c r="R433" s="224"/>
      <c r="S433" s="239"/>
      <c r="T433" s="224"/>
      <c r="U433" s="239"/>
      <c r="V433" s="224"/>
      <c r="W433" s="261"/>
    </row>
    <row r="434" spans="1:23" x14ac:dyDescent="0.25">
      <c r="A434" s="215"/>
      <c r="B434" s="215"/>
      <c r="C434" s="215"/>
      <c r="D434" s="215"/>
      <c r="E434" s="221"/>
      <c r="F434" s="221"/>
      <c r="G434" s="222"/>
      <c r="H434" s="221"/>
      <c r="I434" s="223"/>
      <c r="J434" s="237"/>
      <c r="K434" s="223"/>
      <c r="L434" s="236"/>
      <c r="M434" s="222"/>
      <c r="N434" s="224"/>
      <c r="O434" s="222"/>
      <c r="P434" s="224"/>
      <c r="Q434" s="222"/>
      <c r="R434" s="224"/>
      <c r="S434" s="239"/>
      <c r="T434" s="224"/>
      <c r="U434" s="239"/>
      <c r="V434" s="224"/>
      <c r="W434" s="261"/>
    </row>
    <row r="435" spans="1:23" x14ac:dyDescent="0.25">
      <c r="A435" s="215"/>
      <c r="B435" s="215"/>
      <c r="C435" s="215"/>
      <c r="D435" s="215"/>
      <c r="E435" s="221"/>
      <c r="F435" s="221"/>
      <c r="G435" s="222"/>
      <c r="H435" s="221"/>
      <c r="I435" s="223"/>
      <c r="J435" s="237"/>
      <c r="K435" s="223"/>
      <c r="L435" s="236"/>
      <c r="M435" s="222"/>
      <c r="N435" s="224"/>
      <c r="O435" s="222"/>
      <c r="P435" s="224"/>
      <c r="Q435" s="222"/>
      <c r="R435" s="224"/>
      <c r="S435" s="239"/>
      <c r="T435" s="224"/>
      <c r="U435" s="239"/>
      <c r="V435" s="224"/>
      <c r="W435" s="261"/>
    </row>
    <row r="436" spans="1:23" x14ac:dyDescent="0.25">
      <c r="A436" s="215"/>
      <c r="B436" s="215"/>
      <c r="C436" s="215"/>
      <c r="D436" s="215"/>
      <c r="E436" s="221"/>
      <c r="F436" s="221"/>
      <c r="G436" s="222"/>
      <c r="H436" s="221"/>
      <c r="I436" s="223"/>
      <c r="J436" s="237"/>
      <c r="K436" s="223"/>
      <c r="L436" s="236"/>
      <c r="M436" s="222"/>
      <c r="N436" s="224"/>
      <c r="O436" s="222"/>
      <c r="P436" s="224"/>
      <c r="Q436" s="222"/>
      <c r="R436" s="224"/>
      <c r="S436" s="239"/>
      <c r="T436" s="224"/>
      <c r="U436" s="239"/>
      <c r="V436" s="224"/>
      <c r="W436" s="261"/>
    </row>
    <row r="437" spans="1:23" x14ac:dyDescent="0.25">
      <c r="A437" s="215"/>
      <c r="B437" s="215"/>
      <c r="C437" s="215"/>
      <c r="D437" s="215"/>
      <c r="E437" s="221"/>
      <c r="F437" s="221"/>
      <c r="G437" s="222"/>
      <c r="H437" s="221"/>
      <c r="I437" s="223"/>
      <c r="J437" s="237"/>
      <c r="K437" s="223"/>
      <c r="L437" s="236"/>
      <c r="M437" s="222"/>
      <c r="N437" s="224"/>
      <c r="O437" s="222"/>
      <c r="P437" s="224"/>
      <c r="Q437" s="222"/>
      <c r="R437" s="224"/>
      <c r="S437" s="239"/>
      <c r="T437" s="224"/>
      <c r="U437" s="239"/>
      <c r="V437" s="224"/>
      <c r="W437" s="261"/>
    </row>
    <row r="438" spans="1:23" x14ac:dyDescent="0.25">
      <c r="A438" s="215"/>
      <c r="B438" s="215"/>
      <c r="C438" s="215"/>
      <c r="D438" s="215"/>
      <c r="E438" s="221"/>
      <c r="F438" s="221"/>
      <c r="G438" s="222"/>
      <c r="H438" s="221"/>
      <c r="I438" s="223"/>
      <c r="J438" s="237"/>
      <c r="K438" s="223"/>
      <c r="L438" s="236"/>
      <c r="M438" s="222"/>
      <c r="N438" s="224"/>
      <c r="O438" s="222"/>
      <c r="P438" s="224"/>
      <c r="Q438" s="222"/>
      <c r="R438" s="224"/>
      <c r="S438" s="239"/>
      <c r="T438" s="224"/>
      <c r="U438" s="239"/>
      <c r="V438" s="224"/>
      <c r="W438" s="261"/>
    </row>
    <row r="439" spans="1:23" x14ac:dyDescent="0.25">
      <c r="A439" s="215"/>
      <c r="B439" s="215"/>
      <c r="C439" s="215"/>
      <c r="D439" s="215"/>
      <c r="E439" s="221"/>
      <c r="F439" s="221"/>
      <c r="G439" s="222"/>
      <c r="H439" s="221"/>
      <c r="I439" s="223"/>
      <c r="J439" s="237"/>
      <c r="K439" s="223"/>
      <c r="L439" s="236"/>
      <c r="M439" s="222"/>
      <c r="N439" s="224"/>
      <c r="O439" s="222"/>
      <c r="P439" s="224"/>
      <c r="Q439" s="222"/>
      <c r="R439" s="224"/>
      <c r="S439" s="239"/>
      <c r="T439" s="224"/>
      <c r="U439" s="239"/>
      <c r="V439" s="224"/>
      <c r="W439" s="261"/>
    </row>
    <row r="440" spans="1:23" x14ac:dyDescent="0.25">
      <c r="A440" s="215"/>
      <c r="B440" s="215"/>
      <c r="C440" s="215"/>
      <c r="D440" s="215"/>
      <c r="E440" s="221"/>
      <c r="F440" s="221"/>
      <c r="G440" s="222"/>
      <c r="H440" s="221"/>
      <c r="I440" s="223"/>
      <c r="J440" s="237"/>
      <c r="K440" s="223"/>
      <c r="L440" s="236"/>
      <c r="M440" s="222"/>
      <c r="N440" s="224"/>
      <c r="O440" s="222"/>
      <c r="P440" s="224"/>
      <c r="Q440" s="222"/>
      <c r="R440" s="224"/>
      <c r="S440" s="239"/>
      <c r="T440" s="224"/>
      <c r="U440" s="239"/>
      <c r="V440" s="224"/>
      <c r="W440" s="261"/>
    </row>
    <row r="441" spans="1:23" x14ac:dyDescent="0.25">
      <c r="A441" s="215"/>
      <c r="B441" s="215"/>
      <c r="C441" s="215"/>
      <c r="D441" s="215"/>
      <c r="E441" s="221"/>
      <c r="F441" s="221"/>
      <c r="G441" s="222"/>
      <c r="H441" s="221"/>
      <c r="I441" s="223"/>
      <c r="J441" s="237"/>
      <c r="K441" s="223"/>
      <c r="L441" s="236"/>
      <c r="M441" s="222"/>
      <c r="N441" s="224"/>
      <c r="O441" s="222"/>
      <c r="P441" s="224"/>
      <c r="Q441" s="222"/>
      <c r="R441" s="224"/>
      <c r="S441" s="239"/>
      <c r="T441" s="224"/>
      <c r="U441" s="239"/>
      <c r="V441" s="224"/>
      <c r="W441" s="261"/>
    </row>
    <row r="442" spans="1:23" x14ac:dyDescent="0.25">
      <c r="A442" s="215"/>
      <c r="B442" s="215"/>
      <c r="C442" s="215"/>
      <c r="D442" s="215"/>
      <c r="E442" s="221"/>
      <c r="F442" s="221"/>
      <c r="G442" s="222"/>
      <c r="H442" s="221"/>
      <c r="I442" s="223"/>
      <c r="J442" s="237"/>
      <c r="K442" s="223"/>
      <c r="L442" s="236"/>
      <c r="M442" s="222"/>
      <c r="N442" s="224"/>
      <c r="O442" s="222"/>
      <c r="P442" s="224"/>
      <c r="Q442" s="222"/>
      <c r="R442" s="224"/>
      <c r="S442" s="239"/>
      <c r="T442" s="224"/>
      <c r="U442" s="239"/>
      <c r="V442" s="224"/>
      <c r="W442" s="261"/>
    </row>
    <row r="443" spans="1:23" x14ac:dyDescent="0.25">
      <c r="A443" s="215"/>
      <c r="B443" s="215"/>
      <c r="C443" s="215"/>
      <c r="D443" s="215"/>
      <c r="E443" s="221"/>
      <c r="F443" s="221"/>
      <c r="G443" s="222"/>
      <c r="H443" s="221"/>
      <c r="I443" s="223"/>
      <c r="J443" s="237"/>
      <c r="K443" s="223"/>
      <c r="L443" s="236"/>
      <c r="M443" s="222"/>
      <c r="N443" s="224"/>
      <c r="O443" s="222"/>
      <c r="P443" s="224"/>
      <c r="Q443" s="222"/>
      <c r="R443" s="224"/>
      <c r="S443" s="239"/>
      <c r="T443" s="224"/>
      <c r="U443" s="239"/>
      <c r="V443" s="224"/>
      <c r="W443" s="261"/>
    </row>
    <row r="444" spans="1:23" x14ac:dyDescent="0.25">
      <c r="A444" s="215"/>
      <c r="B444" s="215"/>
      <c r="C444" s="215"/>
      <c r="D444" s="215"/>
      <c r="E444" s="221"/>
      <c r="F444" s="221"/>
      <c r="G444" s="222"/>
      <c r="H444" s="221"/>
      <c r="I444" s="223"/>
      <c r="J444" s="237"/>
      <c r="K444" s="223"/>
      <c r="L444" s="236"/>
      <c r="M444" s="222"/>
      <c r="N444" s="224"/>
      <c r="O444" s="222"/>
      <c r="P444" s="224"/>
      <c r="Q444" s="222"/>
      <c r="R444" s="224"/>
      <c r="S444" s="239"/>
      <c r="T444" s="224"/>
      <c r="U444" s="239"/>
      <c r="V444" s="224"/>
      <c r="W444" s="261"/>
    </row>
    <row r="445" spans="1:23" x14ac:dyDescent="0.25">
      <c r="A445" s="215"/>
      <c r="B445" s="215"/>
      <c r="C445" s="215"/>
      <c r="D445" s="215"/>
      <c r="E445" s="221"/>
      <c r="F445" s="221"/>
      <c r="G445" s="222"/>
      <c r="H445" s="221"/>
      <c r="I445" s="223"/>
      <c r="J445" s="237"/>
      <c r="K445" s="223"/>
      <c r="L445" s="236"/>
      <c r="M445" s="222"/>
      <c r="N445" s="224"/>
      <c r="O445" s="222"/>
      <c r="P445" s="224"/>
      <c r="Q445" s="222"/>
      <c r="R445" s="224"/>
      <c r="S445" s="239"/>
      <c r="T445" s="224"/>
      <c r="U445" s="239"/>
      <c r="V445" s="224"/>
      <c r="W445" s="261"/>
    </row>
    <row r="446" spans="1:23" x14ac:dyDescent="0.25">
      <c r="A446" s="215"/>
      <c r="B446" s="215"/>
      <c r="C446" s="215"/>
      <c r="D446" s="215"/>
      <c r="E446" s="221"/>
      <c r="F446" s="221"/>
      <c r="G446" s="222"/>
      <c r="H446" s="221"/>
      <c r="I446" s="223"/>
      <c r="J446" s="237"/>
      <c r="K446" s="223"/>
      <c r="L446" s="236"/>
      <c r="M446" s="222"/>
      <c r="N446" s="224"/>
      <c r="O446" s="222"/>
      <c r="P446" s="224"/>
      <c r="Q446" s="222"/>
      <c r="R446" s="224"/>
      <c r="S446" s="239"/>
      <c r="T446" s="224"/>
      <c r="U446" s="239"/>
      <c r="V446" s="224"/>
      <c r="W446" s="261"/>
    </row>
    <row r="447" spans="1:23" x14ac:dyDescent="0.25">
      <c r="A447" s="215"/>
      <c r="B447" s="215"/>
      <c r="C447" s="215"/>
      <c r="D447" s="215"/>
      <c r="E447" s="221"/>
      <c r="F447" s="221"/>
      <c r="G447" s="222"/>
      <c r="H447" s="221"/>
      <c r="I447" s="223"/>
      <c r="J447" s="237"/>
      <c r="K447" s="223"/>
      <c r="L447" s="236"/>
      <c r="M447" s="222"/>
      <c r="N447" s="224"/>
      <c r="O447" s="222"/>
      <c r="P447" s="224"/>
      <c r="Q447" s="222"/>
      <c r="R447" s="224"/>
      <c r="S447" s="239"/>
      <c r="T447" s="224"/>
      <c r="U447" s="239"/>
      <c r="V447" s="224"/>
      <c r="W447" s="261"/>
    </row>
    <row r="448" spans="1:23" x14ac:dyDescent="0.25">
      <c r="A448" s="215"/>
      <c r="B448" s="215"/>
      <c r="C448" s="215"/>
      <c r="D448" s="215"/>
      <c r="E448" s="221"/>
      <c r="F448" s="221"/>
      <c r="G448" s="222"/>
      <c r="H448" s="221"/>
      <c r="I448" s="223"/>
      <c r="J448" s="237"/>
      <c r="K448" s="223"/>
      <c r="L448" s="236"/>
      <c r="M448" s="222"/>
      <c r="N448" s="224"/>
      <c r="O448" s="222"/>
      <c r="P448" s="224"/>
      <c r="Q448" s="222"/>
      <c r="R448" s="224"/>
      <c r="S448" s="239"/>
      <c r="T448" s="224"/>
      <c r="U448" s="239"/>
      <c r="V448" s="224"/>
      <c r="W448" s="261"/>
    </row>
    <row r="449" spans="1:23" x14ac:dyDescent="0.25">
      <c r="A449" s="215"/>
      <c r="B449" s="215"/>
      <c r="C449" s="215"/>
      <c r="D449" s="215"/>
      <c r="E449" s="221"/>
      <c r="F449" s="221"/>
      <c r="G449" s="222"/>
      <c r="H449" s="221"/>
      <c r="I449" s="223"/>
      <c r="J449" s="237"/>
      <c r="K449" s="223"/>
      <c r="L449" s="236"/>
      <c r="M449" s="222"/>
      <c r="N449" s="224"/>
      <c r="O449" s="222"/>
      <c r="P449" s="224"/>
      <c r="Q449" s="222"/>
      <c r="R449" s="224"/>
      <c r="S449" s="239"/>
      <c r="T449" s="224"/>
      <c r="U449" s="239"/>
      <c r="V449" s="224"/>
      <c r="W449" s="261"/>
    </row>
    <row r="450" spans="1:23" x14ac:dyDescent="0.25">
      <c r="A450" s="215"/>
      <c r="B450" s="215"/>
      <c r="C450" s="215"/>
      <c r="D450" s="215"/>
      <c r="E450" s="221"/>
      <c r="F450" s="221"/>
      <c r="G450" s="222"/>
      <c r="H450" s="221"/>
      <c r="I450" s="223"/>
      <c r="J450" s="237"/>
      <c r="K450" s="223"/>
      <c r="L450" s="236"/>
      <c r="M450" s="222"/>
      <c r="N450" s="224"/>
      <c r="O450" s="222"/>
      <c r="P450" s="224"/>
      <c r="Q450" s="222"/>
      <c r="R450" s="224"/>
      <c r="S450" s="239"/>
      <c r="T450" s="224"/>
      <c r="U450" s="239"/>
      <c r="V450" s="224"/>
      <c r="W450" s="261"/>
    </row>
    <row r="451" spans="1:23" x14ac:dyDescent="0.25">
      <c r="A451" s="215"/>
      <c r="B451" s="215"/>
      <c r="C451" s="215"/>
      <c r="D451" s="215"/>
      <c r="E451" s="221"/>
      <c r="F451" s="221"/>
      <c r="G451" s="222"/>
      <c r="H451" s="221"/>
      <c r="I451" s="223"/>
      <c r="J451" s="237"/>
      <c r="K451" s="223"/>
      <c r="L451" s="236"/>
      <c r="M451" s="222"/>
      <c r="N451" s="224"/>
      <c r="O451" s="222"/>
      <c r="P451" s="224"/>
      <c r="Q451" s="222"/>
      <c r="R451" s="224"/>
      <c r="S451" s="239"/>
      <c r="T451" s="224"/>
      <c r="U451" s="239"/>
      <c r="V451" s="224"/>
      <c r="W451" s="261"/>
    </row>
    <row r="452" spans="1:23" x14ac:dyDescent="0.25">
      <c r="A452" s="215"/>
      <c r="B452" s="215"/>
      <c r="C452" s="215"/>
      <c r="D452" s="215"/>
      <c r="E452" s="221"/>
      <c r="F452" s="221"/>
      <c r="G452" s="222"/>
      <c r="H452" s="221"/>
      <c r="I452" s="223"/>
      <c r="J452" s="237"/>
      <c r="K452" s="223"/>
      <c r="L452" s="236"/>
      <c r="M452" s="222"/>
      <c r="N452" s="224"/>
      <c r="O452" s="222"/>
      <c r="P452" s="224"/>
      <c r="Q452" s="222"/>
      <c r="R452" s="224"/>
      <c r="S452" s="239"/>
      <c r="T452" s="224"/>
      <c r="U452" s="239"/>
      <c r="V452" s="224"/>
      <c r="W452" s="261"/>
    </row>
    <row r="453" spans="1:23" x14ac:dyDescent="0.25">
      <c r="A453" s="215"/>
      <c r="B453" s="215"/>
      <c r="C453" s="215"/>
      <c r="D453" s="215"/>
      <c r="E453" s="221"/>
      <c r="F453" s="221"/>
      <c r="G453" s="222"/>
      <c r="H453" s="221"/>
      <c r="I453" s="223"/>
      <c r="J453" s="237"/>
      <c r="K453" s="223"/>
      <c r="L453" s="236"/>
      <c r="M453" s="222"/>
      <c r="N453" s="224"/>
      <c r="O453" s="222"/>
      <c r="P453" s="224"/>
      <c r="Q453" s="222"/>
      <c r="R453" s="224"/>
      <c r="S453" s="239"/>
      <c r="T453" s="224"/>
      <c r="U453" s="239"/>
      <c r="V453" s="224"/>
      <c r="W453" s="261"/>
    </row>
    <row r="454" spans="1:23" x14ac:dyDescent="0.25">
      <c r="A454" s="215"/>
      <c r="B454" s="215"/>
      <c r="C454" s="215"/>
      <c r="D454" s="215"/>
      <c r="E454" s="221"/>
      <c r="F454" s="221"/>
      <c r="G454" s="222"/>
      <c r="H454" s="221"/>
      <c r="I454" s="223"/>
      <c r="J454" s="237"/>
      <c r="K454" s="223"/>
      <c r="L454" s="236"/>
      <c r="M454" s="222"/>
      <c r="N454" s="224"/>
      <c r="O454" s="222"/>
      <c r="P454" s="224"/>
      <c r="Q454" s="222"/>
      <c r="R454" s="224"/>
      <c r="S454" s="239"/>
      <c r="T454" s="224"/>
      <c r="U454" s="239"/>
      <c r="V454" s="224"/>
      <c r="W454" s="261"/>
    </row>
    <row r="455" spans="1:23" x14ac:dyDescent="0.25">
      <c r="A455" s="215"/>
      <c r="B455" s="215"/>
      <c r="C455" s="215"/>
      <c r="D455" s="215"/>
      <c r="E455" s="221"/>
      <c r="F455" s="221"/>
      <c r="G455" s="222"/>
      <c r="H455" s="221"/>
      <c r="I455" s="223"/>
      <c r="J455" s="237"/>
      <c r="K455" s="223"/>
      <c r="L455" s="236"/>
      <c r="M455" s="222"/>
      <c r="N455" s="224"/>
      <c r="O455" s="222"/>
      <c r="P455" s="224"/>
      <c r="Q455" s="222"/>
      <c r="R455" s="224"/>
      <c r="S455" s="239"/>
      <c r="T455" s="224"/>
      <c r="U455" s="239"/>
      <c r="V455" s="224"/>
      <c r="W455" s="261"/>
    </row>
    <row r="456" spans="1:23" x14ac:dyDescent="0.25">
      <c r="A456" s="215"/>
      <c r="B456" s="215"/>
      <c r="C456" s="215"/>
      <c r="D456" s="215"/>
      <c r="E456" s="221"/>
      <c r="F456" s="221"/>
      <c r="G456" s="222"/>
      <c r="H456" s="221"/>
      <c r="I456" s="223"/>
      <c r="J456" s="237"/>
      <c r="K456" s="223"/>
      <c r="L456" s="236"/>
      <c r="M456" s="222"/>
      <c r="N456" s="224"/>
      <c r="O456" s="222"/>
      <c r="P456" s="224"/>
      <c r="Q456" s="222"/>
      <c r="R456" s="224"/>
      <c r="S456" s="239"/>
      <c r="T456" s="224"/>
      <c r="U456" s="239"/>
      <c r="V456" s="224"/>
      <c r="W456" s="261"/>
    </row>
    <row r="457" spans="1:23" x14ac:dyDescent="0.25">
      <c r="A457" s="215"/>
      <c r="B457" s="215"/>
      <c r="C457" s="215"/>
      <c r="D457" s="215"/>
      <c r="E457" s="221"/>
      <c r="F457" s="221"/>
      <c r="G457" s="222"/>
      <c r="H457" s="221"/>
      <c r="I457" s="223"/>
      <c r="J457" s="237"/>
      <c r="K457" s="223"/>
      <c r="L457" s="236"/>
      <c r="M457" s="222"/>
      <c r="N457" s="224"/>
      <c r="O457" s="222"/>
      <c r="P457" s="224"/>
      <c r="Q457" s="222"/>
      <c r="R457" s="224"/>
      <c r="S457" s="239"/>
      <c r="T457" s="224"/>
      <c r="U457" s="239"/>
      <c r="V457" s="224"/>
      <c r="W457" s="261"/>
    </row>
    <row r="458" spans="1:23" x14ac:dyDescent="0.25">
      <c r="A458" s="215"/>
      <c r="B458" s="215"/>
      <c r="C458" s="215"/>
      <c r="D458" s="215"/>
      <c r="E458" s="221"/>
      <c r="F458" s="221"/>
      <c r="G458" s="222"/>
      <c r="H458" s="221"/>
      <c r="I458" s="223"/>
      <c r="J458" s="237"/>
      <c r="K458" s="223"/>
      <c r="L458" s="236"/>
      <c r="M458" s="222"/>
      <c r="N458" s="224"/>
      <c r="O458" s="222"/>
      <c r="P458" s="224"/>
      <c r="Q458" s="222"/>
      <c r="R458" s="224"/>
      <c r="S458" s="239"/>
      <c r="T458" s="224"/>
      <c r="U458" s="239"/>
      <c r="V458" s="224"/>
      <c r="W458" s="261"/>
    </row>
    <row r="459" spans="1:23" x14ac:dyDescent="0.25">
      <c r="A459" s="215"/>
      <c r="B459" s="215"/>
      <c r="C459" s="215"/>
      <c r="D459" s="215"/>
      <c r="E459" s="221"/>
      <c r="F459" s="221"/>
      <c r="G459" s="222"/>
      <c r="H459" s="221"/>
      <c r="I459" s="223"/>
      <c r="J459" s="237"/>
      <c r="K459" s="223"/>
      <c r="L459" s="236"/>
      <c r="M459" s="222"/>
      <c r="N459" s="224"/>
      <c r="O459" s="222"/>
      <c r="P459" s="224"/>
      <c r="Q459" s="222"/>
      <c r="R459" s="224"/>
      <c r="S459" s="239"/>
      <c r="T459" s="224"/>
      <c r="U459" s="239"/>
      <c r="V459" s="224"/>
      <c r="W459" s="261"/>
    </row>
    <row r="460" spans="1:23" x14ac:dyDescent="0.25">
      <c r="A460" s="215"/>
      <c r="B460" s="215"/>
      <c r="C460" s="215"/>
      <c r="D460" s="215"/>
      <c r="E460" s="221"/>
      <c r="F460" s="221"/>
      <c r="G460" s="222"/>
      <c r="H460" s="221"/>
      <c r="I460" s="223"/>
      <c r="J460" s="237"/>
      <c r="K460" s="223"/>
      <c r="L460" s="236"/>
      <c r="M460" s="222"/>
      <c r="N460" s="224"/>
      <c r="O460" s="222"/>
      <c r="P460" s="224"/>
      <c r="Q460" s="222"/>
      <c r="R460" s="224"/>
      <c r="S460" s="239"/>
      <c r="T460" s="224"/>
      <c r="U460" s="239"/>
      <c r="V460" s="224"/>
      <c r="W460" s="261"/>
    </row>
    <row r="461" spans="1:23" x14ac:dyDescent="0.25">
      <c r="A461" s="215"/>
      <c r="B461" s="215"/>
      <c r="C461" s="215"/>
      <c r="D461" s="215"/>
      <c r="E461" s="221"/>
      <c r="F461" s="221"/>
      <c r="G461" s="222"/>
      <c r="H461" s="221"/>
      <c r="I461" s="223"/>
      <c r="J461" s="237"/>
      <c r="K461" s="223"/>
      <c r="L461" s="236"/>
      <c r="M461" s="222"/>
      <c r="N461" s="224"/>
      <c r="O461" s="222"/>
      <c r="P461" s="224"/>
      <c r="Q461" s="222"/>
      <c r="R461" s="224"/>
      <c r="S461" s="239"/>
      <c r="T461" s="224"/>
      <c r="U461" s="239"/>
      <c r="V461" s="224"/>
      <c r="W461" s="261"/>
    </row>
    <row r="462" spans="1:23" x14ac:dyDescent="0.25">
      <c r="A462" s="215"/>
      <c r="B462" s="215"/>
      <c r="C462" s="215"/>
      <c r="D462" s="215"/>
      <c r="E462" s="221"/>
      <c r="F462" s="221"/>
      <c r="G462" s="222"/>
      <c r="H462" s="221"/>
      <c r="I462" s="223"/>
      <c r="J462" s="237"/>
      <c r="K462" s="223"/>
      <c r="L462" s="236"/>
      <c r="M462" s="222"/>
      <c r="N462" s="224"/>
      <c r="O462" s="222"/>
      <c r="P462" s="224"/>
      <c r="Q462" s="222"/>
      <c r="R462" s="224"/>
      <c r="S462" s="239"/>
      <c r="T462" s="224"/>
      <c r="U462" s="239"/>
      <c r="V462" s="224"/>
      <c r="W462" s="261"/>
    </row>
    <row r="463" spans="1:23" x14ac:dyDescent="0.25">
      <c r="A463" s="215"/>
      <c r="B463" s="215"/>
      <c r="C463" s="215"/>
      <c r="D463" s="215"/>
      <c r="E463" s="221"/>
      <c r="F463" s="221"/>
      <c r="G463" s="222"/>
      <c r="H463" s="221"/>
      <c r="I463" s="223"/>
      <c r="J463" s="237"/>
      <c r="K463" s="223"/>
      <c r="L463" s="236"/>
      <c r="M463" s="222"/>
      <c r="N463" s="224"/>
      <c r="O463" s="222"/>
      <c r="P463" s="224"/>
      <c r="Q463" s="222"/>
      <c r="R463" s="224"/>
      <c r="S463" s="239"/>
      <c r="T463" s="224"/>
      <c r="U463" s="239"/>
      <c r="V463" s="224"/>
      <c r="W463" s="261"/>
    </row>
    <row r="464" spans="1:23" x14ac:dyDescent="0.25">
      <c r="A464" s="215"/>
      <c r="B464" s="215"/>
      <c r="C464" s="215"/>
      <c r="D464" s="215"/>
      <c r="E464" s="221"/>
      <c r="F464" s="221"/>
      <c r="G464" s="222"/>
      <c r="H464" s="221"/>
      <c r="I464" s="223"/>
      <c r="J464" s="237"/>
      <c r="K464" s="223"/>
      <c r="L464" s="236"/>
      <c r="M464" s="222"/>
      <c r="N464" s="224"/>
      <c r="O464" s="222"/>
      <c r="P464" s="224"/>
      <c r="Q464" s="222"/>
      <c r="R464" s="224"/>
      <c r="S464" s="239"/>
      <c r="T464" s="224"/>
      <c r="U464" s="239"/>
      <c r="V464" s="224"/>
      <c r="W464" s="261"/>
    </row>
    <row r="465" spans="1:23" x14ac:dyDescent="0.25">
      <c r="A465" s="215"/>
      <c r="B465" s="215"/>
      <c r="C465" s="215"/>
      <c r="D465" s="215"/>
      <c r="E465" s="221"/>
      <c r="F465" s="221"/>
      <c r="G465" s="222"/>
      <c r="H465" s="221"/>
      <c r="I465" s="223"/>
      <c r="J465" s="237"/>
      <c r="K465" s="223"/>
      <c r="L465" s="236"/>
      <c r="M465" s="222"/>
      <c r="N465" s="224"/>
      <c r="O465" s="222"/>
      <c r="P465" s="224"/>
      <c r="Q465" s="222"/>
      <c r="R465" s="224"/>
      <c r="S465" s="239"/>
      <c r="T465" s="224"/>
      <c r="U465" s="239"/>
      <c r="V465" s="224"/>
      <c r="W465" s="261"/>
    </row>
    <row r="466" spans="1:23" x14ac:dyDescent="0.25">
      <c r="A466" s="215"/>
      <c r="B466" s="215"/>
      <c r="C466" s="215"/>
      <c r="D466" s="215"/>
      <c r="E466" s="221"/>
      <c r="F466" s="221"/>
      <c r="G466" s="222"/>
      <c r="H466" s="221"/>
      <c r="I466" s="223"/>
      <c r="J466" s="237"/>
      <c r="K466" s="223"/>
      <c r="L466" s="236"/>
      <c r="M466" s="222"/>
      <c r="N466" s="224"/>
      <c r="O466" s="222"/>
      <c r="P466" s="224"/>
      <c r="Q466" s="222"/>
      <c r="R466" s="224"/>
      <c r="S466" s="239"/>
      <c r="T466" s="224"/>
      <c r="U466" s="239"/>
      <c r="V466" s="224"/>
      <c r="W466" s="261"/>
    </row>
    <row r="467" spans="1:23" x14ac:dyDescent="0.25">
      <c r="A467" s="215"/>
      <c r="B467" s="215"/>
      <c r="C467" s="215"/>
      <c r="D467" s="215"/>
      <c r="E467" s="221"/>
      <c r="F467" s="221"/>
      <c r="G467" s="222"/>
      <c r="H467" s="221"/>
      <c r="I467" s="223"/>
      <c r="J467" s="237"/>
      <c r="K467" s="223"/>
      <c r="L467" s="236"/>
      <c r="M467" s="222"/>
      <c r="N467" s="224"/>
      <c r="O467" s="222"/>
      <c r="P467" s="224"/>
      <c r="Q467" s="222"/>
      <c r="R467" s="224"/>
      <c r="S467" s="239"/>
      <c r="T467" s="224"/>
      <c r="U467" s="239"/>
      <c r="V467" s="224"/>
      <c r="W467" s="261"/>
    </row>
    <row r="468" spans="1:23" x14ac:dyDescent="0.25">
      <c r="A468" s="215"/>
      <c r="B468" s="215"/>
      <c r="C468" s="215"/>
      <c r="D468" s="215"/>
      <c r="E468" s="221"/>
      <c r="F468" s="221"/>
      <c r="G468" s="222"/>
      <c r="H468" s="221"/>
      <c r="I468" s="223"/>
      <c r="J468" s="237"/>
      <c r="K468" s="223"/>
      <c r="L468" s="236"/>
      <c r="M468" s="222"/>
      <c r="N468" s="224"/>
      <c r="O468" s="222"/>
      <c r="P468" s="224"/>
      <c r="Q468" s="222"/>
      <c r="R468" s="224"/>
      <c r="S468" s="239"/>
      <c r="T468" s="224"/>
      <c r="U468" s="239"/>
      <c r="V468" s="224"/>
      <c r="W468" s="261"/>
    </row>
    <row r="469" spans="1:23" x14ac:dyDescent="0.25">
      <c r="A469" s="215"/>
      <c r="B469" s="215"/>
      <c r="C469" s="215"/>
      <c r="D469" s="215"/>
      <c r="E469" s="221"/>
      <c r="F469" s="221"/>
      <c r="G469" s="222"/>
      <c r="H469" s="221"/>
      <c r="I469" s="223"/>
      <c r="J469" s="237"/>
      <c r="K469" s="223"/>
      <c r="L469" s="236"/>
      <c r="M469" s="222"/>
      <c r="N469" s="224"/>
      <c r="O469" s="222"/>
      <c r="P469" s="224"/>
      <c r="Q469" s="222"/>
      <c r="R469" s="224"/>
      <c r="S469" s="239"/>
      <c r="T469" s="224"/>
      <c r="U469" s="239"/>
      <c r="V469" s="224"/>
      <c r="W469" s="261"/>
    </row>
    <row r="470" spans="1:23" x14ac:dyDescent="0.25">
      <c r="A470" s="215"/>
      <c r="B470" s="215"/>
      <c r="C470" s="215"/>
      <c r="D470" s="215"/>
      <c r="E470" s="221"/>
      <c r="F470" s="221"/>
      <c r="G470" s="222"/>
      <c r="H470" s="221"/>
      <c r="I470" s="223"/>
      <c r="J470" s="237"/>
      <c r="K470" s="223"/>
      <c r="L470" s="236"/>
      <c r="M470" s="222"/>
      <c r="N470" s="224"/>
      <c r="O470" s="222"/>
      <c r="P470" s="224"/>
      <c r="Q470" s="222"/>
      <c r="R470" s="224"/>
      <c r="S470" s="239"/>
      <c r="T470" s="224"/>
      <c r="U470" s="239"/>
      <c r="V470" s="224"/>
      <c r="W470" s="261"/>
    </row>
    <row r="471" spans="1:23" x14ac:dyDescent="0.25">
      <c r="A471" s="215"/>
      <c r="B471" s="215"/>
      <c r="C471" s="215"/>
      <c r="D471" s="215"/>
      <c r="E471" s="221"/>
      <c r="F471" s="221"/>
      <c r="G471" s="222"/>
      <c r="H471" s="221"/>
      <c r="I471" s="223"/>
      <c r="J471" s="237"/>
      <c r="K471" s="223"/>
      <c r="L471" s="236"/>
      <c r="M471" s="222"/>
      <c r="N471" s="224"/>
      <c r="O471" s="222"/>
      <c r="P471" s="224"/>
      <c r="Q471" s="222"/>
      <c r="R471" s="224"/>
      <c r="S471" s="239"/>
      <c r="T471" s="224"/>
      <c r="U471" s="239"/>
      <c r="V471" s="224"/>
      <c r="W471" s="261"/>
    </row>
    <row r="472" spans="1:23" x14ac:dyDescent="0.25">
      <c r="A472" s="215"/>
      <c r="B472" s="215"/>
      <c r="C472" s="215"/>
      <c r="D472" s="215"/>
      <c r="E472" s="221"/>
      <c r="F472" s="221"/>
      <c r="G472" s="222"/>
      <c r="H472" s="221"/>
      <c r="I472" s="223"/>
      <c r="J472" s="237"/>
      <c r="K472" s="223"/>
      <c r="L472" s="236"/>
      <c r="M472" s="222"/>
      <c r="N472" s="224"/>
      <c r="O472" s="222"/>
      <c r="P472" s="224"/>
      <c r="Q472" s="222"/>
      <c r="R472" s="224"/>
      <c r="S472" s="239"/>
      <c r="T472" s="224"/>
      <c r="U472" s="239"/>
      <c r="V472" s="224"/>
      <c r="W472" s="261"/>
    </row>
    <row r="473" spans="1:23" x14ac:dyDescent="0.25">
      <c r="A473" s="215"/>
      <c r="B473" s="215"/>
      <c r="C473" s="215"/>
      <c r="D473" s="215"/>
      <c r="E473" s="221"/>
      <c r="F473" s="221"/>
      <c r="G473" s="222"/>
      <c r="H473" s="221"/>
      <c r="I473" s="223"/>
      <c r="J473" s="237"/>
      <c r="K473" s="223"/>
      <c r="L473" s="236"/>
      <c r="M473" s="222"/>
      <c r="N473" s="224"/>
      <c r="O473" s="222"/>
      <c r="P473" s="224"/>
      <c r="Q473" s="222"/>
      <c r="R473" s="224"/>
      <c r="S473" s="239"/>
      <c r="T473" s="224"/>
      <c r="U473" s="239"/>
      <c r="V473" s="224"/>
      <c r="W473" s="261"/>
    </row>
    <row r="474" spans="1:23" x14ac:dyDescent="0.25">
      <c r="A474" s="215"/>
      <c r="B474" s="215"/>
      <c r="C474" s="215"/>
      <c r="D474" s="215"/>
      <c r="E474" s="221"/>
      <c r="F474" s="221"/>
      <c r="G474" s="222"/>
      <c r="H474" s="221"/>
      <c r="I474" s="223"/>
      <c r="J474" s="237"/>
      <c r="K474" s="223"/>
      <c r="L474" s="236"/>
      <c r="M474" s="222"/>
      <c r="N474" s="224"/>
      <c r="O474" s="222"/>
      <c r="P474" s="224"/>
      <c r="Q474" s="222"/>
      <c r="R474" s="224"/>
      <c r="S474" s="239"/>
      <c r="T474" s="224"/>
      <c r="U474" s="239"/>
      <c r="V474" s="224"/>
      <c r="W474" s="261"/>
    </row>
    <row r="475" spans="1:23" x14ac:dyDescent="0.25">
      <c r="A475" s="215"/>
      <c r="B475" s="215"/>
      <c r="C475" s="215"/>
      <c r="D475" s="215"/>
      <c r="E475" s="221"/>
      <c r="F475" s="221"/>
      <c r="G475" s="222"/>
      <c r="H475" s="221"/>
      <c r="I475" s="223"/>
      <c r="J475" s="237"/>
      <c r="K475" s="223"/>
      <c r="L475" s="236"/>
      <c r="M475" s="222"/>
      <c r="N475" s="224"/>
      <c r="O475" s="222"/>
      <c r="P475" s="224"/>
      <c r="Q475" s="222"/>
      <c r="R475" s="224"/>
      <c r="S475" s="239"/>
      <c r="T475" s="224"/>
      <c r="U475" s="239"/>
      <c r="V475" s="224"/>
      <c r="W475" s="261"/>
    </row>
    <row r="476" spans="1:23" x14ac:dyDescent="0.25">
      <c r="A476" s="215"/>
      <c r="B476" s="215"/>
      <c r="C476" s="215"/>
      <c r="D476" s="215"/>
      <c r="E476" s="221"/>
      <c r="F476" s="221"/>
      <c r="G476" s="222"/>
      <c r="H476" s="221"/>
      <c r="I476" s="223"/>
      <c r="J476" s="237"/>
      <c r="K476" s="223"/>
      <c r="L476" s="236"/>
      <c r="M476" s="222"/>
      <c r="N476" s="224"/>
      <c r="O476" s="222"/>
      <c r="P476" s="224"/>
      <c r="Q476" s="222"/>
      <c r="R476" s="224"/>
      <c r="S476" s="239"/>
      <c r="T476" s="224"/>
      <c r="U476" s="239"/>
      <c r="V476" s="224"/>
      <c r="W476" s="261"/>
    </row>
    <row r="477" spans="1:23" x14ac:dyDescent="0.25">
      <c r="A477" s="215"/>
      <c r="B477" s="215"/>
      <c r="C477" s="215"/>
      <c r="D477" s="215"/>
      <c r="E477" s="221"/>
      <c r="F477" s="221"/>
      <c r="G477" s="222"/>
      <c r="H477" s="221"/>
      <c r="I477" s="223"/>
      <c r="J477" s="237"/>
      <c r="K477" s="223"/>
      <c r="L477" s="236"/>
      <c r="M477" s="222"/>
      <c r="N477" s="224"/>
      <c r="O477" s="222"/>
      <c r="P477" s="224"/>
      <c r="Q477" s="222"/>
      <c r="R477" s="224"/>
      <c r="S477" s="239"/>
      <c r="T477" s="224"/>
      <c r="U477" s="239"/>
      <c r="V477" s="224"/>
      <c r="W477" s="261"/>
    </row>
    <row r="478" spans="1:23" x14ac:dyDescent="0.25">
      <c r="A478" s="215"/>
      <c r="B478" s="215"/>
      <c r="C478" s="215"/>
      <c r="D478" s="215"/>
      <c r="E478" s="221"/>
      <c r="F478" s="221"/>
      <c r="G478" s="222"/>
      <c r="H478" s="221"/>
      <c r="I478" s="223"/>
      <c r="J478" s="237"/>
      <c r="K478" s="223"/>
      <c r="L478" s="236"/>
      <c r="M478" s="222"/>
      <c r="N478" s="224"/>
      <c r="O478" s="222"/>
      <c r="P478" s="224"/>
      <c r="Q478" s="222"/>
      <c r="R478" s="224"/>
      <c r="S478" s="239"/>
      <c r="T478" s="224"/>
      <c r="U478" s="239"/>
      <c r="V478" s="224"/>
      <c r="W478" s="261"/>
    </row>
    <row r="479" spans="1:23" x14ac:dyDescent="0.25">
      <c r="A479" s="215"/>
      <c r="B479" s="215"/>
      <c r="C479" s="215"/>
      <c r="D479" s="215"/>
      <c r="E479" s="221"/>
      <c r="F479" s="221"/>
      <c r="G479" s="222"/>
      <c r="H479" s="221"/>
      <c r="I479" s="223"/>
      <c r="J479" s="237"/>
      <c r="K479" s="223"/>
      <c r="L479" s="236"/>
      <c r="M479" s="222"/>
      <c r="N479" s="224"/>
      <c r="O479" s="222"/>
      <c r="P479" s="224"/>
      <c r="Q479" s="222"/>
      <c r="R479" s="224"/>
      <c r="S479" s="239"/>
      <c r="T479" s="224"/>
      <c r="U479" s="239"/>
      <c r="V479" s="224"/>
      <c r="W479" s="261"/>
    </row>
    <row r="480" spans="1:23" x14ac:dyDescent="0.25">
      <c r="A480" s="215"/>
      <c r="B480" s="215"/>
      <c r="C480" s="215"/>
      <c r="D480" s="215"/>
      <c r="E480" s="221"/>
      <c r="F480" s="221"/>
      <c r="G480" s="222"/>
      <c r="H480" s="221"/>
      <c r="I480" s="223"/>
      <c r="J480" s="237"/>
      <c r="K480" s="223"/>
      <c r="L480" s="236"/>
      <c r="M480" s="222"/>
      <c r="N480" s="224"/>
      <c r="O480" s="222"/>
      <c r="P480" s="224"/>
      <c r="Q480" s="222"/>
      <c r="R480" s="224"/>
      <c r="S480" s="239"/>
      <c r="T480" s="224"/>
      <c r="U480" s="239"/>
      <c r="V480" s="224"/>
      <c r="W480" s="261"/>
    </row>
    <row r="481" spans="1:23" x14ac:dyDescent="0.25">
      <c r="A481" s="215"/>
      <c r="B481" s="215"/>
      <c r="C481" s="215"/>
      <c r="D481" s="215"/>
      <c r="E481" s="221"/>
      <c r="F481" s="221"/>
      <c r="G481" s="222"/>
      <c r="H481" s="221"/>
      <c r="I481" s="223"/>
      <c r="J481" s="237"/>
      <c r="K481" s="223"/>
      <c r="L481" s="236"/>
      <c r="M481" s="222"/>
      <c r="N481" s="224"/>
      <c r="O481" s="222"/>
      <c r="P481" s="224"/>
      <c r="Q481" s="222"/>
      <c r="R481" s="224"/>
      <c r="S481" s="239"/>
      <c r="T481" s="224"/>
      <c r="U481" s="239"/>
      <c r="V481" s="224"/>
      <c r="W481" s="261"/>
    </row>
    <row r="482" spans="1:23" x14ac:dyDescent="0.25">
      <c r="A482" s="215"/>
      <c r="B482" s="215"/>
      <c r="C482" s="215"/>
      <c r="D482" s="215"/>
      <c r="E482" s="221"/>
      <c r="F482" s="221"/>
      <c r="G482" s="222"/>
      <c r="H482" s="221"/>
      <c r="I482" s="223"/>
      <c r="J482" s="237"/>
      <c r="K482" s="223"/>
      <c r="L482" s="236"/>
      <c r="M482" s="222"/>
      <c r="N482" s="224"/>
      <c r="O482" s="222"/>
      <c r="P482" s="224"/>
      <c r="Q482" s="222"/>
      <c r="R482" s="224"/>
      <c r="S482" s="239"/>
      <c r="T482" s="224"/>
      <c r="U482" s="239"/>
      <c r="V482" s="224"/>
      <c r="W482" s="261"/>
    </row>
    <row r="483" spans="1:23" x14ac:dyDescent="0.25">
      <c r="A483" s="215"/>
      <c r="B483" s="215"/>
      <c r="C483" s="215"/>
      <c r="D483" s="215"/>
      <c r="E483" s="221"/>
      <c r="F483" s="221"/>
      <c r="G483" s="222"/>
      <c r="H483" s="221"/>
      <c r="I483" s="223"/>
      <c r="J483" s="237"/>
      <c r="K483" s="223"/>
      <c r="L483" s="236"/>
      <c r="M483" s="222"/>
      <c r="N483" s="224"/>
      <c r="O483" s="222"/>
      <c r="P483" s="224"/>
      <c r="Q483" s="222"/>
      <c r="R483" s="224"/>
      <c r="S483" s="239"/>
      <c r="T483" s="224"/>
      <c r="U483" s="239"/>
      <c r="V483" s="224"/>
      <c r="W483" s="261"/>
    </row>
    <row r="484" spans="1:23" x14ac:dyDescent="0.25">
      <c r="A484" s="215"/>
      <c r="B484" s="215"/>
      <c r="C484" s="215"/>
      <c r="D484" s="215"/>
      <c r="E484" s="221"/>
      <c r="F484" s="221"/>
      <c r="G484" s="222"/>
      <c r="H484" s="221"/>
      <c r="I484" s="223"/>
      <c r="J484" s="237"/>
      <c r="K484" s="223"/>
      <c r="L484" s="236"/>
      <c r="M484" s="222"/>
      <c r="N484" s="224"/>
      <c r="O484" s="222"/>
      <c r="P484" s="224"/>
      <c r="Q484" s="222"/>
      <c r="R484" s="224"/>
      <c r="S484" s="239"/>
      <c r="T484" s="224"/>
      <c r="U484" s="239"/>
      <c r="V484" s="224"/>
      <c r="W484" s="261"/>
    </row>
    <row r="485" spans="1:23" x14ac:dyDescent="0.25">
      <c r="A485" s="215"/>
      <c r="B485" s="215"/>
      <c r="C485" s="215"/>
      <c r="D485" s="215"/>
      <c r="E485" s="221"/>
      <c r="F485" s="221"/>
      <c r="G485" s="222"/>
      <c r="H485" s="221"/>
      <c r="I485" s="223"/>
      <c r="J485" s="237"/>
      <c r="K485" s="223"/>
      <c r="L485" s="236"/>
      <c r="M485" s="222"/>
      <c r="N485" s="224"/>
      <c r="O485" s="222"/>
      <c r="P485" s="224"/>
      <c r="Q485" s="222"/>
      <c r="R485" s="224"/>
      <c r="S485" s="239"/>
      <c r="T485" s="224"/>
      <c r="U485" s="239"/>
      <c r="V485" s="224"/>
      <c r="W485" s="261"/>
    </row>
    <row r="486" spans="1:23" x14ac:dyDescent="0.25">
      <c r="A486" s="215"/>
      <c r="B486" s="215"/>
      <c r="C486" s="215"/>
      <c r="D486" s="215"/>
      <c r="E486" s="221"/>
      <c r="F486" s="221"/>
      <c r="G486" s="222"/>
      <c r="H486" s="221"/>
      <c r="I486" s="223"/>
      <c r="J486" s="237"/>
      <c r="K486" s="223"/>
      <c r="L486" s="236"/>
      <c r="M486" s="222"/>
      <c r="N486" s="224"/>
      <c r="O486" s="222"/>
      <c r="P486" s="224"/>
      <c r="Q486" s="222"/>
      <c r="R486" s="224"/>
      <c r="S486" s="239"/>
      <c r="T486" s="224"/>
      <c r="U486" s="239"/>
      <c r="V486" s="224"/>
      <c r="W486" s="261"/>
    </row>
    <row r="487" spans="1:23" x14ac:dyDescent="0.25">
      <c r="A487" s="215"/>
      <c r="B487" s="215"/>
      <c r="C487" s="215"/>
      <c r="D487" s="215"/>
      <c r="E487" s="221"/>
      <c r="F487" s="221"/>
      <c r="G487" s="222"/>
      <c r="H487" s="221"/>
      <c r="I487" s="223"/>
      <c r="J487" s="237"/>
      <c r="K487" s="223"/>
      <c r="L487" s="236"/>
      <c r="M487" s="222"/>
      <c r="N487" s="224"/>
      <c r="O487" s="222"/>
      <c r="P487" s="224"/>
      <c r="Q487" s="222"/>
      <c r="R487" s="224"/>
      <c r="S487" s="239"/>
      <c r="T487" s="224"/>
      <c r="U487" s="239"/>
      <c r="V487" s="224"/>
      <c r="W487" s="261"/>
    </row>
    <row r="488" spans="1:23" x14ac:dyDescent="0.25">
      <c r="A488" s="215"/>
      <c r="B488" s="215"/>
      <c r="C488" s="215"/>
      <c r="D488" s="215"/>
      <c r="E488" s="221"/>
      <c r="F488" s="221"/>
      <c r="G488" s="222"/>
      <c r="H488" s="221"/>
      <c r="I488" s="223"/>
      <c r="J488" s="237"/>
      <c r="K488" s="223"/>
      <c r="L488" s="236"/>
      <c r="M488" s="222"/>
      <c r="N488" s="224"/>
      <c r="O488" s="222"/>
      <c r="P488" s="224"/>
      <c r="Q488" s="222"/>
      <c r="R488" s="224"/>
      <c r="S488" s="239"/>
      <c r="T488" s="224"/>
      <c r="U488" s="239"/>
      <c r="V488" s="224"/>
      <c r="W488" s="261"/>
    </row>
    <row r="489" spans="1:23" x14ac:dyDescent="0.25">
      <c r="A489" s="215"/>
      <c r="B489" s="215"/>
      <c r="C489" s="215"/>
      <c r="D489" s="215"/>
      <c r="E489" s="221"/>
      <c r="F489" s="221"/>
      <c r="G489" s="222"/>
      <c r="H489" s="221"/>
      <c r="I489" s="223"/>
      <c r="J489" s="237"/>
      <c r="K489" s="223"/>
      <c r="L489" s="236"/>
      <c r="M489" s="222"/>
      <c r="N489" s="224"/>
      <c r="O489" s="222"/>
      <c r="P489" s="224"/>
      <c r="Q489" s="222"/>
      <c r="R489" s="224"/>
      <c r="S489" s="239"/>
      <c r="T489" s="224"/>
      <c r="U489" s="239"/>
      <c r="V489" s="224"/>
      <c r="W489" s="261"/>
    </row>
    <row r="490" spans="1:23" x14ac:dyDescent="0.25">
      <c r="A490" s="215"/>
      <c r="B490" s="215"/>
      <c r="C490" s="215"/>
      <c r="D490" s="215"/>
      <c r="E490" s="221"/>
      <c r="F490" s="221"/>
      <c r="G490" s="222"/>
      <c r="H490" s="221"/>
      <c r="I490" s="223"/>
      <c r="J490" s="237"/>
      <c r="K490" s="223"/>
      <c r="L490" s="236"/>
      <c r="M490" s="222"/>
      <c r="N490" s="224"/>
      <c r="O490" s="222"/>
      <c r="P490" s="224"/>
      <c r="Q490" s="222"/>
      <c r="R490" s="224"/>
      <c r="S490" s="239"/>
      <c r="T490" s="224"/>
      <c r="U490" s="239"/>
      <c r="V490" s="224"/>
      <c r="W490" s="261"/>
    </row>
    <row r="491" spans="1:23" x14ac:dyDescent="0.25">
      <c r="A491" s="215"/>
      <c r="B491" s="215"/>
      <c r="C491" s="215"/>
      <c r="D491" s="215"/>
      <c r="E491" s="221"/>
      <c r="F491" s="221"/>
      <c r="G491" s="222"/>
      <c r="H491" s="221"/>
      <c r="I491" s="223"/>
      <c r="J491" s="237"/>
      <c r="K491" s="223"/>
      <c r="L491" s="236"/>
      <c r="M491" s="222"/>
      <c r="N491" s="224"/>
      <c r="O491" s="222"/>
      <c r="P491" s="224"/>
      <c r="Q491" s="222"/>
      <c r="R491" s="224"/>
      <c r="S491" s="239"/>
      <c r="T491" s="224"/>
      <c r="U491" s="239"/>
      <c r="V491" s="224"/>
      <c r="W491" s="261"/>
    </row>
    <row r="492" spans="1:23" x14ac:dyDescent="0.25">
      <c r="A492" s="215"/>
      <c r="B492" s="215"/>
      <c r="C492" s="215"/>
      <c r="D492" s="215"/>
      <c r="E492" s="221"/>
      <c r="F492" s="221"/>
      <c r="G492" s="222"/>
      <c r="H492" s="221"/>
      <c r="I492" s="223"/>
      <c r="J492" s="237"/>
      <c r="K492" s="223"/>
      <c r="L492" s="236"/>
      <c r="M492" s="222"/>
      <c r="N492" s="224"/>
      <c r="O492" s="222"/>
      <c r="P492" s="224"/>
      <c r="Q492" s="222"/>
      <c r="R492" s="224"/>
      <c r="S492" s="239"/>
      <c r="T492" s="224"/>
      <c r="U492" s="239"/>
      <c r="V492" s="224"/>
      <c r="W492" s="261"/>
    </row>
    <row r="493" spans="1:23" x14ac:dyDescent="0.25">
      <c r="A493" s="215"/>
      <c r="B493" s="215"/>
      <c r="C493" s="215"/>
      <c r="D493" s="215"/>
      <c r="E493" s="221"/>
      <c r="F493" s="221"/>
      <c r="G493" s="222"/>
      <c r="H493" s="221"/>
      <c r="I493" s="223"/>
      <c r="J493" s="237"/>
      <c r="K493" s="223"/>
      <c r="L493" s="236"/>
      <c r="M493" s="222"/>
      <c r="N493" s="224"/>
      <c r="O493" s="222"/>
      <c r="P493" s="224"/>
      <c r="Q493" s="222"/>
      <c r="R493" s="224"/>
      <c r="S493" s="239"/>
      <c r="T493" s="224"/>
      <c r="U493" s="239"/>
      <c r="V493" s="224"/>
      <c r="W493" s="261"/>
    </row>
    <row r="494" spans="1:23" x14ac:dyDescent="0.25">
      <c r="A494" s="215"/>
      <c r="B494" s="215"/>
      <c r="C494" s="215"/>
      <c r="D494" s="215"/>
      <c r="E494" s="221"/>
      <c r="F494" s="221"/>
      <c r="G494" s="222"/>
      <c r="H494" s="221"/>
      <c r="I494" s="223"/>
      <c r="J494" s="237"/>
      <c r="K494" s="223"/>
      <c r="L494" s="236"/>
      <c r="M494" s="222"/>
      <c r="N494" s="224"/>
      <c r="O494" s="222"/>
      <c r="P494" s="224"/>
      <c r="Q494" s="222"/>
      <c r="R494" s="224"/>
      <c r="S494" s="239"/>
      <c r="T494" s="224"/>
      <c r="U494" s="239"/>
      <c r="V494" s="224"/>
      <c r="W494" s="261"/>
    </row>
    <row r="495" spans="1:23" x14ac:dyDescent="0.25">
      <c r="A495" s="215"/>
      <c r="B495" s="215"/>
      <c r="C495" s="215"/>
      <c r="D495" s="215"/>
      <c r="E495" s="221"/>
      <c r="F495" s="221"/>
      <c r="G495" s="222"/>
      <c r="H495" s="221"/>
      <c r="I495" s="223"/>
      <c r="J495" s="237"/>
      <c r="K495" s="223"/>
      <c r="L495" s="236"/>
      <c r="M495" s="222"/>
      <c r="N495" s="224"/>
      <c r="O495" s="222"/>
      <c r="P495" s="224"/>
      <c r="Q495" s="222"/>
      <c r="R495" s="224"/>
      <c r="S495" s="239"/>
      <c r="T495" s="224"/>
      <c r="U495" s="239"/>
      <c r="V495" s="224"/>
      <c r="W495" s="261"/>
    </row>
    <row r="496" spans="1:23" x14ac:dyDescent="0.25">
      <c r="A496" s="215"/>
      <c r="B496" s="215"/>
      <c r="C496" s="215"/>
      <c r="D496" s="215"/>
      <c r="E496" s="221"/>
      <c r="F496" s="221"/>
      <c r="G496" s="222"/>
      <c r="H496" s="221"/>
      <c r="I496" s="223"/>
      <c r="J496" s="237"/>
      <c r="K496" s="223"/>
      <c r="L496" s="236"/>
      <c r="M496" s="222"/>
      <c r="N496" s="224"/>
      <c r="O496" s="222"/>
      <c r="P496" s="224"/>
      <c r="Q496" s="222"/>
      <c r="R496" s="224"/>
      <c r="S496" s="239"/>
      <c r="T496" s="224"/>
      <c r="U496" s="239"/>
      <c r="V496" s="224"/>
      <c r="W496" s="261"/>
    </row>
    <row r="497" spans="1:23" x14ac:dyDescent="0.25">
      <c r="A497" s="215"/>
      <c r="B497" s="215"/>
      <c r="C497" s="215"/>
      <c r="D497" s="215"/>
      <c r="E497" s="221"/>
      <c r="F497" s="221"/>
      <c r="G497" s="222"/>
      <c r="H497" s="221"/>
      <c r="I497" s="223"/>
      <c r="J497" s="237"/>
      <c r="K497" s="223"/>
      <c r="L497" s="236"/>
      <c r="M497" s="222"/>
      <c r="N497" s="224"/>
      <c r="O497" s="222"/>
      <c r="P497" s="224"/>
      <c r="Q497" s="222"/>
      <c r="R497" s="224"/>
      <c r="S497" s="239"/>
      <c r="T497" s="224"/>
      <c r="U497" s="239"/>
      <c r="V497" s="224"/>
      <c r="W497" s="261"/>
    </row>
    <row r="498" spans="1:23" x14ac:dyDescent="0.25">
      <c r="A498" s="215"/>
      <c r="B498" s="215"/>
      <c r="C498" s="215"/>
      <c r="D498" s="215"/>
      <c r="E498" s="221"/>
      <c r="F498" s="221"/>
      <c r="G498" s="222"/>
      <c r="H498" s="221"/>
      <c r="I498" s="223"/>
      <c r="J498" s="237"/>
      <c r="K498" s="223"/>
      <c r="L498" s="236"/>
      <c r="M498" s="222"/>
      <c r="N498" s="224"/>
      <c r="O498" s="222"/>
      <c r="P498" s="224"/>
      <c r="Q498" s="222"/>
      <c r="R498" s="224"/>
      <c r="S498" s="239"/>
      <c r="T498" s="224"/>
      <c r="U498" s="239"/>
      <c r="V498" s="224"/>
      <c r="W498" s="261"/>
    </row>
    <row r="499" spans="1:23" x14ac:dyDescent="0.25">
      <c r="A499" s="215"/>
      <c r="B499" s="215"/>
      <c r="C499" s="215"/>
      <c r="D499" s="215"/>
      <c r="E499" s="221"/>
      <c r="F499" s="221"/>
      <c r="G499" s="222"/>
      <c r="H499" s="221"/>
      <c r="I499" s="223"/>
      <c r="J499" s="237"/>
      <c r="K499" s="223"/>
      <c r="L499" s="236"/>
      <c r="M499" s="222"/>
      <c r="N499" s="224"/>
      <c r="O499" s="222"/>
      <c r="P499" s="224"/>
      <c r="Q499" s="222"/>
      <c r="R499" s="224"/>
      <c r="S499" s="239"/>
      <c r="T499" s="224"/>
      <c r="U499" s="239"/>
      <c r="V499" s="224"/>
      <c r="W499" s="261"/>
    </row>
    <row r="500" spans="1:23" x14ac:dyDescent="0.25">
      <c r="A500" s="215"/>
      <c r="B500" s="215"/>
      <c r="C500" s="215"/>
      <c r="D500" s="215"/>
      <c r="E500" s="221"/>
      <c r="F500" s="221"/>
      <c r="G500" s="222"/>
      <c r="H500" s="221"/>
      <c r="I500" s="223"/>
      <c r="J500" s="237"/>
      <c r="K500" s="223"/>
      <c r="L500" s="236"/>
      <c r="M500" s="222"/>
      <c r="N500" s="224"/>
      <c r="O500" s="222"/>
      <c r="P500" s="224"/>
      <c r="Q500" s="222"/>
      <c r="R500" s="224"/>
      <c r="S500" s="239"/>
      <c r="T500" s="224"/>
      <c r="U500" s="239"/>
      <c r="V500" s="224"/>
      <c r="W500" s="261"/>
    </row>
    <row r="501" spans="1:23" x14ac:dyDescent="0.25">
      <c r="A501" s="215"/>
      <c r="B501" s="215"/>
      <c r="C501" s="215"/>
      <c r="D501" s="215"/>
      <c r="E501" s="221"/>
      <c r="F501" s="221"/>
      <c r="G501" s="222"/>
      <c r="H501" s="221"/>
      <c r="I501" s="223"/>
      <c r="J501" s="237"/>
      <c r="K501" s="223"/>
      <c r="L501" s="236"/>
      <c r="M501" s="222"/>
      <c r="N501" s="224"/>
      <c r="O501" s="222"/>
      <c r="P501" s="224"/>
      <c r="Q501" s="222"/>
      <c r="R501" s="224"/>
      <c r="S501" s="239"/>
      <c r="T501" s="224"/>
      <c r="U501" s="239"/>
      <c r="V501" s="224"/>
      <c r="W501" s="261"/>
    </row>
    <row r="502" spans="1:23" x14ac:dyDescent="0.25">
      <c r="A502" s="215"/>
      <c r="B502" s="215"/>
      <c r="C502" s="215"/>
      <c r="D502" s="215"/>
      <c r="E502" s="221"/>
      <c r="F502" s="221"/>
      <c r="G502" s="222"/>
      <c r="H502" s="221"/>
      <c r="I502" s="223"/>
      <c r="J502" s="237"/>
      <c r="K502" s="223"/>
      <c r="L502" s="236"/>
      <c r="M502" s="222"/>
      <c r="N502" s="224"/>
      <c r="O502" s="222"/>
      <c r="P502" s="224"/>
      <c r="Q502" s="222"/>
      <c r="R502" s="224"/>
      <c r="S502" s="239"/>
      <c r="T502" s="224"/>
      <c r="U502" s="239"/>
      <c r="V502" s="224"/>
      <c r="W502" s="261"/>
    </row>
    <row r="503" spans="1:23" x14ac:dyDescent="0.25">
      <c r="A503" s="215"/>
      <c r="B503" s="215"/>
      <c r="C503" s="215"/>
      <c r="D503" s="215"/>
      <c r="E503" s="221"/>
      <c r="F503" s="221"/>
      <c r="G503" s="222"/>
      <c r="H503" s="221"/>
      <c r="I503" s="223"/>
      <c r="J503" s="237"/>
      <c r="K503" s="223"/>
      <c r="L503" s="236"/>
      <c r="M503" s="222"/>
      <c r="N503" s="224"/>
      <c r="O503" s="222"/>
      <c r="P503" s="224"/>
      <c r="Q503" s="222"/>
      <c r="R503" s="224"/>
      <c r="S503" s="239"/>
      <c r="T503" s="224"/>
      <c r="U503" s="239"/>
      <c r="V503" s="224"/>
      <c r="W503" s="261"/>
    </row>
    <row r="504" spans="1:23" x14ac:dyDescent="0.25">
      <c r="A504" s="215"/>
      <c r="B504" s="215"/>
      <c r="C504" s="215"/>
      <c r="D504" s="215"/>
      <c r="E504" s="221"/>
      <c r="F504" s="221"/>
      <c r="G504" s="222"/>
      <c r="H504" s="221"/>
      <c r="I504" s="223"/>
      <c r="J504" s="237"/>
      <c r="K504" s="223"/>
      <c r="L504" s="236"/>
      <c r="M504" s="222"/>
      <c r="N504" s="224"/>
      <c r="O504" s="222"/>
      <c r="P504" s="224"/>
      <c r="Q504" s="222"/>
      <c r="R504" s="224"/>
      <c r="S504" s="239"/>
      <c r="T504" s="224"/>
      <c r="U504" s="239"/>
      <c r="V504" s="224"/>
      <c r="W504" s="261"/>
    </row>
    <row r="505" spans="1:23" x14ac:dyDescent="0.25">
      <c r="A505" s="215"/>
      <c r="B505" s="215"/>
      <c r="C505" s="215"/>
      <c r="D505" s="215"/>
      <c r="E505" s="221"/>
      <c r="F505" s="221"/>
      <c r="G505" s="222"/>
      <c r="H505" s="221"/>
      <c r="I505" s="223"/>
      <c r="J505" s="237"/>
      <c r="K505" s="223"/>
      <c r="L505" s="236"/>
      <c r="M505" s="222"/>
      <c r="N505" s="224"/>
      <c r="O505" s="222"/>
      <c r="P505" s="224"/>
      <c r="Q505" s="222"/>
      <c r="R505" s="224"/>
      <c r="S505" s="239"/>
      <c r="T505" s="224"/>
      <c r="U505" s="239"/>
      <c r="V505" s="224"/>
      <c r="W505" s="261"/>
    </row>
    <row r="506" spans="1:23" x14ac:dyDescent="0.25">
      <c r="A506" s="215"/>
      <c r="B506" s="215"/>
      <c r="C506" s="215"/>
      <c r="D506" s="215"/>
      <c r="E506" s="221"/>
      <c r="F506" s="221"/>
      <c r="G506" s="222"/>
      <c r="H506" s="221"/>
      <c r="I506" s="223"/>
      <c r="J506" s="237"/>
      <c r="K506" s="223"/>
      <c r="L506" s="236"/>
      <c r="M506" s="222"/>
      <c r="N506" s="224"/>
      <c r="O506" s="222"/>
      <c r="P506" s="224"/>
      <c r="Q506" s="222"/>
      <c r="R506" s="224"/>
      <c r="S506" s="239"/>
      <c r="T506" s="224"/>
      <c r="U506" s="239"/>
      <c r="V506" s="224"/>
      <c r="W506" s="261"/>
    </row>
    <row r="507" spans="1:23" x14ac:dyDescent="0.25">
      <c r="A507" s="215"/>
      <c r="B507" s="215"/>
      <c r="C507" s="215"/>
      <c r="D507" s="215"/>
      <c r="E507" s="221"/>
      <c r="F507" s="221"/>
      <c r="G507" s="222"/>
      <c r="H507" s="221"/>
      <c r="I507" s="223"/>
      <c r="J507" s="237"/>
      <c r="K507" s="223"/>
      <c r="L507" s="236"/>
      <c r="M507" s="222"/>
      <c r="N507" s="224"/>
      <c r="O507" s="222"/>
      <c r="P507" s="224"/>
      <c r="Q507" s="222"/>
      <c r="R507" s="224"/>
      <c r="S507" s="239"/>
      <c r="T507" s="224"/>
      <c r="U507" s="239"/>
      <c r="V507" s="224"/>
      <c r="W507" s="261"/>
    </row>
    <row r="508" spans="1:23" x14ac:dyDescent="0.25">
      <c r="A508" s="215"/>
      <c r="B508" s="215"/>
      <c r="C508" s="215"/>
      <c r="D508" s="215"/>
      <c r="E508" s="221"/>
      <c r="F508" s="221"/>
      <c r="G508" s="222"/>
      <c r="H508" s="221"/>
      <c r="I508" s="223"/>
      <c r="J508" s="237"/>
      <c r="K508" s="223"/>
      <c r="L508" s="236"/>
      <c r="M508" s="222"/>
      <c r="N508" s="224"/>
      <c r="O508" s="222"/>
      <c r="P508" s="224"/>
      <c r="Q508" s="222"/>
      <c r="R508" s="224"/>
      <c r="S508" s="239"/>
      <c r="T508" s="224"/>
      <c r="U508" s="239"/>
      <c r="V508" s="224"/>
      <c r="W508" s="261"/>
    </row>
    <row r="509" spans="1:23" x14ac:dyDescent="0.25">
      <c r="A509" s="215"/>
      <c r="B509" s="215"/>
      <c r="C509" s="215"/>
      <c r="D509" s="215"/>
      <c r="E509" s="221"/>
      <c r="F509" s="221"/>
      <c r="G509" s="222"/>
      <c r="H509" s="221"/>
      <c r="I509" s="223"/>
      <c r="J509" s="237"/>
      <c r="K509" s="223"/>
      <c r="L509" s="236"/>
      <c r="M509" s="222"/>
      <c r="N509" s="224"/>
      <c r="O509" s="222"/>
      <c r="P509" s="224"/>
      <c r="Q509" s="222"/>
      <c r="R509" s="224"/>
      <c r="S509" s="239"/>
      <c r="T509" s="224"/>
      <c r="U509" s="239"/>
      <c r="V509" s="224"/>
      <c r="W509" s="261"/>
    </row>
    <row r="510" spans="1:23" x14ac:dyDescent="0.25">
      <c r="A510" s="215"/>
      <c r="B510" s="215"/>
      <c r="C510" s="215"/>
      <c r="D510" s="215"/>
      <c r="E510" s="221"/>
      <c r="F510" s="221"/>
      <c r="G510" s="222"/>
      <c r="H510" s="221"/>
      <c r="I510" s="223"/>
      <c r="J510" s="237"/>
      <c r="K510" s="223"/>
      <c r="L510" s="236"/>
      <c r="M510" s="222"/>
      <c r="N510" s="224"/>
      <c r="O510" s="222"/>
      <c r="P510" s="224"/>
      <c r="Q510" s="222"/>
      <c r="R510" s="224"/>
      <c r="S510" s="239"/>
      <c r="T510" s="224"/>
      <c r="U510" s="239"/>
      <c r="V510" s="224"/>
      <c r="W510" s="261"/>
    </row>
    <row r="511" spans="1:23" x14ac:dyDescent="0.25">
      <c r="A511" s="215"/>
      <c r="B511" s="215"/>
      <c r="C511" s="215"/>
      <c r="D511" s="215"/>
      <c r="E511" s="221"/>
      <c r="F511" s="221"/>
      <c r="G511" s="222"/>
      <c r="H511" s="221"/>
      <c r="I511" s="223"/>
      <c r="J511" s="237"/>
      <c r="K511" s="223"/>
      <c r="L511" s="236"/>
      <c r="M511" s="222"/>
      <c r="N511" s="224"/>
      <c r="O511" s="222"/>
      <c r="P511" s="224"/>
      <c r="Q511" s="222"/>
      <c r="R511" s="224"/>
      <c r="S511" s="239"/>
      <c r="T511" s="224"/>
      <c r="U511" s="239"/>
      <c r="V511" s="224"/>
      <c r="W511" s="261"/>
    </row>
    <row r="512" spans="1:23" x14ac:dyDescent="0.25">
      <c r="A512" s="215"/>
      <c r="B512" s="215"/>
      <c r="C512" s="215"/>
      <c r="D512" s="215"/>
      <c r="E512" s="221"/>
      <c r="F512" s="221"/>
      <c r="G512" s="222"/>
      <c r="H512" s="221"/>
      <c r="I512" s="223"/>
      <c r="J512" s="237"/>
      <c r="K512" s="223"/>
      <c r="L512" s="236"/>
      <c r="M512" s="222"/>
      <c r="N512" s="224"/>
      <c r="O512" s="222"/>
      <c r="P512" s="224"/>
      <c r="Q512" s="222"/>
      <c r="R512" s="224"/>
      <c r="S512" s="239"/>
      <c r="T512" s="224"/>
      <c r="U512" s="239"/>
      <c r="V512" s="224"/>
      <c r="W512" s="261"/>
    </row>
    <row r="513" spans="1:23" x14ac:dyDescent="0.25">
      <c r="A513" s="215"/>
      <c r="B513" s="215"/>
      <c r="C513" s="215"/>
      <c r="D513" s="215"/>
      <c r="E513" s="221"/>
      <c r="F513" s="221"/>
      <c r="G513" s="222"/>
      <c r="H513" s="221"/>
      <c r="I513" s="223"/>
      <c r="J513" s="237"/>
      <c r="K513" s="223"/>
      <c r="L513" s="236"/>
      <c r="M513" s="222"/>
      <c r="N513" s="224"/>
      <c r="O513" s="222"/>
      <c r="P513" s="224"/>
      <c r="Q513" s="222"/>
      <c r="R513" s="224"/>
      <c r="S513" s="239"/>
      <c r="T513" s="224"/>
      <c r="U513" s="239"/>
      <c r="V513" s="224"/>
      <c r="W513" s="261"/>
    </row>
    <row r="514" spans="1:23" x14ac:dyDescent="0.25">
      <c r="A514" s="215"/>
      <c r="B514" s="215"/>
      <c r="C514" s="215"/>
      <c r="D514" s="215"/>
      <c r="E514" s="221"/>
      <c r="F514" s="221"/>
      <c r="G514" s="222"/>
      <c r="H514" s="221"/>
      <c r="I514" s="223"/>
      <c r="J514" s="237"/>
      <c r="K514" s="223"/>
      <c r="L514" s="236"/>
      <c r="M514" s="222"/>
      <c r="N514" s="224"/>
      <c r="O514" s="222"/>
      <c r="P514" s="224"/>
      <c r="Q514" s="222"/>
      <c r="R514" s="224"/>
      <c r="S514" s="239"/>
      <c r="T514" s="224"/>
      <c r="U514" s="239"/>
      <c r="V514" s="224"/>
      <c r="W514" s="261"/>
    </row>
    <row r="515" spans="1:23" x14ac:dyDescent="0.25">
      <c r="A515" s="215"/>
      <c r="B515" s="215"/>
      <c r="C515" s="215"/>
      <c r="D515" s="215"/>
      <c r="E515" s="221"/>
      <c r="F515" s="221"/>
      <c r="G515" s="222"/>
      <c r="H515" s="221"/>
      <c r="I515" s="223"/>
      <c r="J515" s="237"/>
      <c r="K515" s="223"/>
      <c r="L515" s="236"/>
      <c r="M515" s="222"/>
      <c r="N515" s="224"/>
      <c r="O515" s="222"/>
      <c r="P515" s="224"/>
      <c r="Q515" s="222"/>
      <c r="R515" s="224"/>
      <c r="S515" s="239"/>
      <c r="T515" s="224"/>
      <c r="U515" s="239"/>
      <c r="V515" s="224"/>
      <c r="W515" s="261"/>
    </row>
    <row r="516" spans="1:23" x14ac:dyDescent="0.25">
      <c r="A516" s="215"/>
      <c r="B516" s="215"/>
      <c r="C516" s="215"/>
      <c r="D516" s="215"/>
      <c r="E516" s="221"/>
      <c r="F516" s="221"/>
      <c r="G516" s="222"/>
      <c r="H516" s="221"/>
      <c r="I516" s="223"/>
      <c r="J516" s="237"/>
      <c r="K516" s="223"/>
      <c r="L516" s="236"/>
      <c r="M516" s="222"/>
      <c r="N516" s="224"/>
      <c r="O516" s="222"/>
      <c r="P516" s="224"/>
      <c r="Q516" s="222"/>
      <c r="R516" s="224"/>
      <c r="S516" s="239"/>
      <c r="T516" s="224"/>
      <c r="U516" s="239"/>
      <c r="V516" s="224"/>
      <c r="W516" s="261"/>
    </row>
    <row r="517" spans="1:23" x14ac:dyDescent="0.25">
      <c r="A517" s="215"/>
      <c r="B517" s="215"/>
      <c r="C517" s="215"/>
      <c r="D517" s="215"/>
      <c r="E517" s="221"/>
      <c r="F517" s="221"/>
      <c r="G517" s="222"/>
      <c r="H517" s="221"/>
      <c r="I517" s="223"/>
      <c r="J517" s="237"/>
      <c r="K517" s="223"/>
      <c r="L517" s="236"/>
      <c r="M517" s="222"/>
      <c r="N517" s="224"/>
      <c r="O517" s="222"/>
      <c r="P517" s="224"/>
      <c r="Q517" s="222"/>
      <c r="R517" s="224"/>
      <c r="S517" s="239"/>
      <c r="T517" s="224"/>
      <c r="U517" s="239"/>
      <c r="V517" s="224"/>
      <c r="W517" s="261"/>
    </row>
    <row r="518" spans="1:23" x14ac:dyDescent="0.25">
      <c r="A518" s="215"/>
      <c r="B518" s="215"/>
      <c r="C518" s="215"/>
      <c r="D518" s="215"/>
      <c r="E518" s="221"/>
      <c r="F518" s="221"/>
      <c r="G518" s="222"/>
      <c r="H518" s="221"/>
      <c r="I518" s="223"/>
      <c r="J518" s="237"/>
      <c r="K518" s="223"/>
      <c r="L518" s="236"/>
      <c r="M518" s="222"/>
      <c r="N518" s="224"/>
      <c r="O518" s="222"/>
      <c r="P518" s="224"/>
      <c r="Q518" s="222"/>
      <c r="R518" s="224"/>
      <c r="S518" s="239"/>
      <c r="T518" s="224"/>
      <c r="U518" s="239"/>
      <c r="V518" s="224"/>
      <c r="W518" s="261"/>
    </row>
    <row r="519" spans="1:23" x14ac:dyDescent="0.25">
      <c r="A519" s="215"/>
      <c r="B519" s="215"/>
      <c r="C519" s="215"/>
      <c r="D519" s="215"/>
      <c r="E519" s="221"/>
      <c r="F519" s="221"/>
      <c r="G519" s="222"/>
      <c r="H519" s="221"/>
      <c r="I519" s="223"/>
      <c r="J519" s="237"/>
      <c r="K519" s="223"/>
      <c r="L519" s="236"/>
      <c r="M519" s="222"/>
      <c r="N519" s="224"/>
      <c r="O519" s="222"/>
      <c r="P519" s="224"/>
      <c r="Q519" s="222"/>
      <c r="R519" s="224"/>
      <c r="S519" s="239"/>
      <c r="T519" s="224"/>
      <c r="U519" s="239"/>
      <c r="V519" s="224"/>
      <c r="W519" s="261"/>
    </row>
    <row r="520" spans="1:23" x14ac:dyDescent="0.25">
      <c r="A520" s="215"/>
      <c r="B520" s="215"/>
      <c r="C520" s="215"/>
      <c r="D520" s="215"/>
      <c r="E520" s="221"/>
      <c r="F520" s="221"/>
      <c r="G520" s="222"/>
      <c r="H520" s="221"/>
      <c r="I520" s="223"/>
      <c r="J520" s="237"/>
      <c r="K520" s="223"/>
      <c r="L520" s="236"/>
      <c r="M520" s="222"/>
      <c r="N520" s="224"/>
      <c r="O520" s="222"/>
      <c r="P520" s="224"/>
      <c r="Q520" s="222"/>
      <c r="R520" s="224"/>
      <c r="S520" s="239"/>
      <c r="T520" s="224"/>
      <c r="U520" s="239"/>
      <c r="V520" s="224"/>
      <c r="W520" s="261"/>
    </row>
    <row r="521" spans="1:23" x14ac:dyDescent="0.25">
      <c r="A521" s="215"/>
      <c r="B521" s="215"/>
      <c r="C521" s="215"/>
      <c r="D521" s="215"/>
      <c r="E521" s="221"/>
      <c r="F521" s="221"/>
      <c r="G521" s="222"/>
      <c r="H521" s="221"/>
      <c r="I521" s="223"/>
      <c r="J521" s="237"/>
      <c r="K521" s="223"/>
      <c r="L521" s="236"/>
      <c r="M521" s="222"/>
      <c r="N521" s="224"/>
      <c r="O521" s="222"/>
      <c r="P521" s="224"/>
      <c r="Q521" s="222"/>
      <c r="R521" s="224"/>
      <c r="S521" s="239"/>
      <c r="T521" s="224"/>
      <c r="U521" s="239"/>
      <c r="V521" s="224"/>
      <c r="W521" s="261"/>
    </row>
    <row r="522" spans="1:23" x14ac:dyDescent="0.25">
      <c r="A522" s="215"/>
      <c r="B522" s="215"/>
      <c r="C522" s="215"/>
      <c r="D522" s="215"/>
      <c r="E522" s="221"/>
      <c r="F522" s="221"/>
      <c r="G522" s="222"/>
      <c r="H522" s="221"/>
      <c r="I522" s="223"/>
      <c r="J522" s="237"/>
      <c r="K522" s="223"/>
      <c r="L522" s="236"/>
      <c r="M522" s="222"/>
      <c r="N522" s="224"/>
      <c r="O522" s="222"/>
      <c r="P522" s="224"/>
      <c r="Q522" s="222"/>
      <c r="R522" s="224"/>
      <c r="S522" s="239"/>
      <c r="T522" s="224"/>
      <c r="U522" s="239"/>
      <c r="V522" s="224"/>
      <c r="W522" s="261"/>
    </row>
    <row r="523" spans="1:23" x14ac:dyDescent="0.25">
      <c r="A523" s="215"/>
      <c r="B523" s="215"/>
      <c r="C523" s="215"/>
      <c r="D523" s="215"/>
      <c r="E523" s="221"/>
      <c r="F523" s="221"/>
      <c r="G523" s="222"/>
      <c r="H523" s="221"/>
      <c r="I523" s="223"/>
      <c r="J523" s="237"/>
      <c r="K523" s="223"/>
      <c r="L523" s="236"/>
      <c r="M523" s="222"/>
      <c r="N523" s="224"/>
      <c r="O523" s="222"/>
      <c r="P523" s="224"/>
      <c r="Q523" s="222"/>
      <c r="R523" s="224"/>
      <c r="S523" s="239"/>
      <c r="T523" s="224"/>
      <c r="U523" s="239"/>
      <c r="V523" s="224"/>
      <c r="W523" s="261"/>
    </row>
    <row r="524" spans="1:23" x14ac:dyDescent="0.25">
      <c r="A524" s="215"/>
      <c r="B524" s="215"/>
      <c r="C524" s="215"/>
      <c r="D524" s="215"/>
      <c r="E524" s="221"/>
      <c r="F524" s="221"/>
      <c r="G524" s="222"/>
      <c r="H524" s="221"/>
      <c r="I524" s="223"/>
      <c r="J524" s="237"/>
      <c r="K524" s="223"/>
      <c r="L524" s="236"/>
      <c r="M524" s="222"/>
      <c r="N524" s="224"/>
      <c r="O524" s="222"/>
      <c r="P524" s="224"/>
      <c r="Q524" s="222"/>
      <c r="R524" s="224"/>
      <c r="S524" s="239"/>
      <c r="T524" s="224"/>
      <c r="U524" s="239"/>
      <c r="V524" s="224"/>
      <c r="W524" s="261"/>
    </row>
    <row r="525" spans="1:23" x14ac:dyDescent="0.25">
      <c r="A525" s="215"/>
      <c r="B525" s="215"/>
      <c r="C525" s="215"/>
      <c r="D525" s="215"/>
      <c r="E525" s="221"/>
      <c r="F525" s="221"/>
      <c r="G525" s="222"/>
      <c r="H525" s="221"/>
      <c r="I525" s="223"/>
      <c r="J525" s="237"/>
      <c r="K525" s="223"/>
      <c r="L525" s="236"/>
      <c r="M525" s="222"/>
      <c r="N525" s="224"/>
      <c r="O525" s="222"/>
      <c r="P525" s="224"/>
      <c r="Q525" s="222"/>
      <c r="R525" s="224"/>
      <c r="S525" s="239"/>
      <c r="T525" s="224"/>
      <c r="U525" s="239"/>
      <c r="V525" s="224"/>
      <c r="W525" s="261"/>
    </row>
    <row r="526" spans="1:23" x14ac:dyDescent="0.25">
      <c r="A526" s="215"/>
      <c r="B526" s="215"/>
      <c r="C526" s="215"/>
      <c r="D526" s="215"/>
      <c r="E526" s="221"/>
      <c r="F526" s="221"/>
      <c r="G526" s="222"/>
      <c r="H526" s="221"/>
      <c r="I526" s="223"/>
      <c r="J526" s="237"/>
      <c r="K526" s="223"/>
      <c r="L526" s="236"/>
      <c r="M526" s="222"/>
      <c r="N526" s="224"/>
      <c r="O526" s="222"/>
      <c r="P526" s="224"/>
      <c r="Q526" s="222"/>
      <c r="R526" s="224"/>
      <c r="S526" s="239"/>
      <c r="T526" s="224"/>
      <c r="U526" s="239"/>
      <c r="V526" s="224"/>
      <c r="W526" s="261"/>
    </row>
    <row r="527" spans="1:23" x14ac:dyDescent="0.25">
      <c r="A527" s="215"/>
      <c r="B527" s="215"/>
      <c r="C527" s="215"/>
      <c r="D527" s="215"/>
      <c r="E527" s="221"/>
      <c r="F527" s="221"/>
      <c r="G527" s="222"/>
      <c r="H527" s="221"/>
      <c r="I527" s="223"/>
      <c r="J527" s="237"/>
      <c r="K527" s="223"/>
      <c r="L527" s="236"/>
      <c r="M527" s="222"/>
      <c r="N527" s="224"/>
      <c r="O527" s="222"/>
      <c r="P527" s="224"/>
      <c r="Q527" s="222"/>
      <c r="R527" s="224"/>
      <c r="S527" s="239"/>
      <c r="T527" s="224"/>
      <c r="U527" s="239"/>
      <c r="V527" s="224"/>
      <c r="W527" s="261"/>
    </row>
    <row r="528" spans="1:23" x14ac:dyDescent="0.25">
      <c r="A528" s="215"/>
      <c r="B528" s="215"/>
      <c r="C528" s="215"/>
      <c r="D528" s="215"/>
      <c r="E528" s="221"/>
      <c r="F528" s="221"/>
      <c r="G528" s="222"/>
      <c r="H528" s="221"/>
      <c r="I528" s="223"/>
      <c r="J528" s="237"/>
      <c r="K528" s="223"/>
      <c r="L528" s="236"/>
      <c r="M528" s="222"/>
      <c r="N528" s="224"/>
      <c r="O528" s="222"/>
      <c r="P528" s="224"/>
      <c r="Q528" s="222"/>
      <c r="R528" s="224"/>
      <c r="S528" s="239"/>
      <c r="T528" s="224"/>
      <c r="U528" s="239"/>
      <c r="V528" s="224"/>
      <c r="W528" s="261"/>
    </row>
    <row r="529" spans="1:23" x14ac:dyDescent="0.25">
      <c r="A529" s="215"/>
      <c r="B529" s="215"/>
      <c r="C529" s="215"/>
      <c r="D529" s="215"/>
      <c r="E529" s="221"/>
      <c r="F529" s="221"/>
      <c r="G529" s="222"/>
      <c r="H529" s="221"/>
      <c r="I529" s="223"/>
      <c r="J529" s="237"/>
      <c r="K529" s="223"/>
      <c r="L529" s="236"/>
      <c r="M529" s="222"/>
      <c r="N529" s="224"/>
      <c r="O529" s="222"/>
      <c r="P529" s="224"/>
      <c r="Q529" s="222"/>
      <c r="R529" s="224"/>
      <c r="S529" s="239"/>
      <c r="T529" s="224"/>
      <c r="U529" s="239"/>
      <c r="V529" s="224"/>
      <c r="W529" s="261"/>
    </row>
    <row r="530" spans="1:23" x14ac:dyDescent="0.25">
      <c r="A530" s="215"/>
      <c r="B530" s="215"/>
      <c r="C530" s="215"/>
      <c r="D530" s="215"/>
      <c r="E530" s="221"/>
      <c r="F530" s="221"/>
      <c r="G530" s="222"/>
      <c r="H530" s="221"/>
      <c r="I530" s="223"/>
      <c r="J530" s="237"/>
      <c r="K530" s="223"/>
      <c r="L530" s="236"/>
      <c r="M530" s="222"/>
      <c r="N530" s="224"/>
      <c r="O530" s="222"/>
      <c r="P530" s="224"/>
      <c r="Q530" s="222"/>
      <c r="R530" s="224"/>
      <c r="S530" s="239"/>
      <c r="T530" s="224"/>
      <c r="U530" s="239"/>
      <c r="V530" s="224"/>
      <c r="W530" s="261"/>
    </row>
    <row r="531" spans="1:23" x14ac:dyDescent="0.25">
      <c r="A531" s="215"/>
      <c r="B531" s="215"/>
      <c r="C531" s="215"/>
      <c r="D531" s="215"/>
      <c r="E531" s="221"/>
      <c r="F531" s="221"/>
      <c r="G531" s="222"/>
      <c r="H531" s="221"/>
      <c r="I531" s="223"/>
      <c r="J531" s="237"/>
      <c r="K531" s="223"/>
      <c r="L531" s="236"/>
      <c r="M531" s="222"/>
      <c r="N531" s="224"/>
      <c r="O531" s="222"/>
      <c r="P531" s="224"/>
      <c r="Q531" s="222"/>
      <c r="R531" s="224"/>
      <c r="S531" s="239"/>
      <c r="T531" s="224"/>
      <c r="U531" s="239"/>
      <c r="V531" s="224"/>
      <c r="W531" s="261"/>
    </row>
    <row r="532" spans="1:23" x14ac:dyDescent="0.25">
      <c r="A532" s="215"/>
      <c r="B532" s="215"/>
      <c r="C532" s="215"/>
      <c r="D532" s="215"/>
      <c r="E532" s="221"/>
      <c r="F532" s="221"/>
      <c r="G532" s="222"/>
      <c r="H532" s="221"/>
      <c r="I532" s="223"/>
      <c r="J532" s="237"/>
      <c r="K532" s="223"/>
      <c r="L532" s="236"/>
      <c r="M532" s="222"/>
      <c r="N532" s="224"/>
      <c r="O532" s="222"/>
      <c r="P532" s="224"/>
      <c r="Q532" s="222"/>
      <c r="R532" s="224"/>
      <c r="S532" s="239"/>
      <c r="T532" s="224"/>
      <c r="U532" s="239"/>
      <c r="V532" s="224"/>
      <c r="W532" s="261"/>
    </row>
    <row r="533" spans="1:23" x14ac:dyDescent="0.25">
      <c r="A533" s="215"/>
      <c r="B533" s="215"/>
      <c r="C533" s="215"/>
      <c r="D533" s="215"/>
      <c r="E533" s="221"/>
      <c r="F533" s="221"/>
      <c r="G533" s="222"/>
      <c r="H533" s="221"/>
      <c r="I533" s="223"/>
      <c r="J533" s="237"/>
      <c r="K533" s="223"/>
      <c r="L533" s="236"/>
      <c r="M533" s="222"/>
      <c r="N533" s="224"/>
      <c r="O533" s="222"/>
      <c r="P533" s="224"/>
      <c r="Q533" s="222"/>
      <c r="R533" s="224"/>
      <c r="S533" s="239"/>
      <c r="T533" s="224"/>
      <c r="U533" s="239"/>
      <c r="V533" s="224"/>
      <c r="W533" s="261"/>
    </row>
    <row r="534" spans="1:23" x14ac:dyDescent="0.25">
      <c r="A534" s="215"/>
      <c r="B534" s="215"/>
      <c r="C534" s="215"/>
      <c r="D534" s="215"/>
      <c r="E534" s="221"/>
      <c r="F534" s="221"/>
      <c r="G534" s="222"/>
      <c r="H534" s="221"/>
      <c r="I534" s="223"/>
      <c r="J534" s="237"/>
      <c r="K534" s="223"/>
      <c r="L534" s="236"/>
      <c r="M534" s="222"/>
      <c r="N534" s="224"/>
      <c r="O534" s="222"/>
      <c r="P534" s="224"/>
      <c r="Q534" s="222"/>
      <c r="R534" s="224"/>
      <c r="S534" s="239"/>
      <c r="T534" s="224"/>
      <c r="U534" s="239"/>
      <c r="V534" s="224"/>
      <c r="W534" s="261"/>
    </row>
    <row r="535" spans="1:23" x14ac:dyDescent="0.25">
      <c r="A535" s="215"/>
      <c r="B535" s="215"/>
      <c r="C535" s="215"/>
      <c r="D535" s="215"/>
      <c r="E535" s="221"/>
      <c r="F535" s="221"/>
      <c r="G535" s="222"/>
      <c r="H535" s="221"/>
      <c r="I535" s="223"/>
      <c r="J535" s="237"/>
      <c r="K535" s="223"/>
      <c r="L535" s="236"/>
      <c r="M535" s="222"/>
      <c r="N535" s="224"/>
      <c r="O535" s="222"/>
      <c r="P535" s="224"/>
      <c r="Q535" s="222"/>
      <c r="R535" s="224"/>
      <c r="S535" s="239"/>
      <c r="T535" s="224"/>
      <c r="U535" s="239"/>
      <c r="V535" s="224"/>
      <c r="W535" s="261"/>
    </row>
    <row r="536" spans="1:23" x14ac:dyDescent="0.25">
      <c r="A536" s="215"/>
      <c r="B536" s="215"/>
      <c r="C536" s="215"/>
      <c r="D536" s="215"/>
      <c r="E536" s="221"/>
      <c r="F536" s="221"/>
      <c r="G536" s="222"/>
      <c r="H536" s="221"/>
      <c r="I536" s="223"/>
      <c r="J536" s="237"/>
      <c r="K536" s="223"/>
      <c r="L536" s="236"/>
      <c r="M536" s="222"/>
      <c r="N536" s="224"/>
      <c r="O536" s="222"/>
      <c r="P536" s="224"/>
      <c r="Q536" s="222"/>
      <c r="R536" s="224"/>
      <c r="S536" s="239"/>
      <c r="T536" s="224"/>
      <c r="U536" s="239"/>
      <c r="V536" s="224"/>
      <c r="W536" s="261"/>
    </row>
    <row r="537" spans="1:23" x14ac:dyDescent="0.25">
      <c r="A537" s="215"/>
      <c r="B537" s="215"/>
      <c r="C537" s="215"/>
      <c r="D537" s="215"/>
      <c r="E537" s="221"/>
      <c r="F537" s="221"/>
      <c r="G537" s="222"/>
      <c r="H537" s="221"/>
      <c r="I537" s="223"/>
      <c r="J537" s="237"/>
      <c r="K537" s="223"/>
      <c r="L537" s="236"/>
      <c r="M537" s="222"/>
      <c r="N537" s="224"/>
      <c r="O537" s="222"/>
      <c r="P537" s="224"/>
      <c r="Q537" s="222"/>
      <c r="R537" s="224"/>
      <c r="S537" s="239"/>
      <c r="T537" s="224"/>
      <c r="U537" s="239"/>
      <c r="V537" s="224"/>
      <c r="W537" s="261"/>
    </row>
    <row r="538" spans="1:23" x14ac:dyDescent="0.25">
      <c r="A538" s="215"/>
      <c r="B538" s="215"/>
      <c r="C538" s="215"/>
      <c r="D538" s="215"/>
      <c r="E538" s="221"/>
      <c r="F538" s="221"/>
      <c r="G538" s="222"/>
      <c r="H538" s="221"/>
      <c r="I538" s="223"/>
      <c r="J538" s="237"/>
      <c r="K538" s="223"/>
      <c r="L538" s="236"/>
      <c r="M538" s="222"/>
      <c r="N538" s="224"/>
      <c r="O538" s="222"/>
      <c r="P538" s="224"/>
      <c r="Q538" s="222"/>
      <c r="R538" s="224"/>
      <c r="S538" s="239"/>
      <c r="T538" s="224"/>
      <c r="U538" s="239"/>
      <c r="V538" s="224"/>
      <c r="W538" s="261"/>
    </row>
    <row r="539" spans="1:23" x14ac:dyDescent="0.25">
      <c r="A539" s="215"/>
      <c r="B539" s="215"/>
      <c r="C539" s="215"/>
      <c r="D539" s="215"/>
      <c r="E539" s="221"/>
      <c r="F539" s="221"/>
      <c r="G539" s="222"/>
      <c r="H539" s="221"/>
      <c r="I539" s="223"/>
      <c r="J539" s="237"/>
      <c r="K539" s="223"/>
      <c r="L539" s="236"/>
      <c r="M539" s="222"/>
      <c r="N539" s="224"/>
      <c r="O539" s="222"/>
      <c r="P539" s="224"/>
      <c r="Q539" s="222"/>
      <c r="R539" s="224"/>
      <c r="S539" s="239"/>
      <c r="T539" s="224"/>
      <c r="U539" s="239"/>
      <c r="V539" s="224"/>
      <c r="W539" s="261"/>
    </row>
    <row r="540" spans="1:23" x14ac:dyDescent="0.25">
      <c r="A540" s="215"/>
      <c r="B540" s="215"/>
      <c r="C540" s="215"/>
      <c r="D540" s="215"/>
      <c r="E540" s="221"/>
      <c r="F540" s="221"/>
      <c r="G540" s="222"/>
      <c r="H540" s="221"/>
      <c r="I540" s="223"/>
      <c r="J540" s="237"/>
      <c r="K540" s="223"/>
      <c r="L540" s="236"/>
      <c r="M540" s="222"/>
      <c r="N540" s="224"/>
      <c r="O540" s="222"/>
      <c r="P540" s="224"/>
      <c r="Q540" s="222"/>
      <c r="R540" s="224"/>
      <c r="S540" s="239"/>
      <c r="T540" s="224"/>
      <c r="U540" s="239"/>
      <c r="V540" s="224"/>
      <c r="W540" s="261"/>
    </row>
    <row r="541" spans="1:23" x14ac:dyDescent="0.25">
      <c r="A541" s="215"/>
      <c r="B541" s="215"/>
      <c r="C541" s="215"/>
      <c r="D541" s="215"/>
      <c r="E541" s="221"/>
      <c r="F541" s="221"/>
      <c r="G541" s="222"/>
      <c r="H541" s="221"/>
      <c r="I541" s="223"/>
      <c r="J541" s="237"/>
      <c r="K541" s="223"/>
      <c r="L541" s="236"/>
      <c r="M541" s="222"/>
      <c r="N541" s="224"/>
      <c r="O541" s="222"/>
      <c r="P541" s="224"/>
      <c r="Q541" s="222"/>
      <c r="R541" s="224"/>
      <c r="S541" s="239"/>
      <c r="T541" s="224"/>
      <c r="U541" s="239"/>
      <c r="V541" s="224"/>
      <c r="W541" s="261"/>
    </row>
    <row r="542" spans="1:23" x14ac:dyDescent="0.25">
      <c r="A542" s="215"/>
      <c r="B542" s="215"/>
      <c r="C542" s="215"/>
      <c r="D542" s="215"/>
      <c r="E542" s="221"/>
      <c r="F542" s="221"/>
      <c r="G542" s="222"/>
      <c r="H542" s="221"/>
      <c r="I542" s="223"/>
      <c r="J542" s="237"/>
      <c r="K542" s="223"/>
      <c r="L542" s="236"/>
      <c r="M542" s="222"/>
      <c r="N542" s="224"/>
      <c r="O542" s="222"/>
      <c r="P542" s="224"/>
      <c r="Q542" s="222"/>
      <c r="R542" s="224"/>
      <c r="S542" s="239"/>
      <c r="T542" s="224"/>
      <c r="U542" s="239"/>
      <c r="V542" s="224"/>
      <c r="W542" s="261"/>
    </row>
    <row r="543" spans="1:23" x14ac:dyDescent="0.25">
      <c r="A543" s="215"/>
      <c r="B543" s="215"/>
      <c r="C543" s="215"/>
      <c r="D543" s="215"/>
      <c r="E543" s="221"/>
      <c r="F543" s="221"/>
      <c r="G543" s="222"/>
      <c r="H543" s="221"/>
      <c r="I543" s="223"/>
      <c r="J543" s="237"/>
      <c r="K543" s="223"/>
      <c r="L543" s="236"/>
      <c r="M543" s="222"/>
      <c r="N543" s="224"/>
      <c r="O543" s="222"/>
      <c r="P543" s="224"/>
      <c r="Q543" s="222"/>
      <c r="R543" s="224"/>
      <c r="S543" s="239"/>
      <c r="T543" s="224"/>
      <c r="U543" s="239"/>
      <c r="V543" s="224"/>
      <c r="W543" s="261"/>
    </row>
    <row r="544" spans="1:23" x14ac:dyDescent="0.25">
      <c r="A544" s="215"/>
      <c r="B544" s="215"/>
      <c r="C544" s="215"/>
      <c r="D544" s="215"/>
      <c r="E544" s="221"/>
      <c r="F544" s="221"/>
      <c r="G544" s="222"/>
      <c r="H544" s="221"/>
      <c r="I544" s="223"/>
      <c r="J544" s="237"/>
      <c r="K544" s="223"/>
      <c r="L544" s="236"/>
      <c r="M544" s="222"/>
      <c r="N544" s="224"/>
      <c r="O544" s="222"/>
      <c r="P544" s="224"/>
      <c r="Q544" s="222"/>
      <c r="R544" s="224"/>
      <c r="S544" s="239"/>
      <c r="T544" s="224"/>
      <c r="U544" s="239"/>
      <c r="V544" s="224"/>
      <c r="W544" s="261"/>
    </row>
    <row r="545" spans="1:23" x14ac:dyDescent="0.25">
      <c r="A545" s="215"/>
      <c r="B545" s="215"/>
      <c r="C545" s="215"/>
      <c r="D545" s="215"/>
      <c r="E545" s="221"/>
      <c r="F545" s="221"/>
      <c r="G545" s="222"/>
      <c r="H545" s="221"/>
      <c r="I545" s="223"/>
      <c r="J545" s="237"/>
      <c r="K545" s="223"/>
      <c r="L545" s="236"/>
      <c r="M545" s="222"/>
      <c r="N545" s="224"/>
      <c r="O545" s="222"/>
      <c r="P545" s="224"/>
      <c r="Q545" s="222"/>
      <c r="R545" s="224"/>
      <c r="S545" s="239"/>
      <c r="T545" s="224"/>
      <c r="U545" s="239"/>
      <c r="V545" s="224"/>
      <c r="W545" s="261"/>
    </row>
    <row r="546" spans="1:23" x14ac:dyDescent="0.25">
      <c r="A546" s="215"/>
      <c r="B546" s="215"/>
      <c r="C546" s="215"/>
      <c r="D546" s="215"/>
      <c r="E546" s="221"/>
      <c r="F546" s="221"/>
      <c r="G546" s="222"/>
      <c r="H546" s="221"/>
      <c r="I546" s="223"/>
      <c r="J546" s="237"/>
      <c r="K546" s="223"/>
      <c r="L546" s="236"/>
      <c r="M546" s="222"/>
      <c r="N546" s="224"/>
      <c r="O546" s="222"/>
      <c r="P546" s="224"/>
      <c r="Q546" s="222"/>
      <c r="R546" s="224"/>
      <c r="S546" s="239"/>
      <c r="T546" s="224"/>
      <c r="U546" s="239"/>
      <c r="V546" s="224"/>
      <c r="W546" s="261"/>
    </row>
    <row r="547" spans="1:23" x14ac:dyDescent="0.25">
      <c r="A547" s="215"/>
      <c r="B547" s="215"/>
      <c r="C547" s="215"/>
      <c r="D547" s="215"/>
      <c r="E547" s="221"/>
      <c r="F547" s="221"/>
      <c r="G547" s="222"/>
      <c r="H547" s="221"/>
      <c r="I547" s="223"/>
      <c r="J547" s="237"/>
      <c r="K547" s="223"/>
      <c r="L547" s="236"/>
      <c r="M547" s="222"/>
      <c r="N547" s="224"/>
      <c r="O547" s="222"/>
      <c r="P547" s="224"/>
      <c r="Q547" s="222"/>
      <c r="R547" s="224"/>
      <c r="S547" s="239"/>
      <c r="T547" s="224"/>
      <c r="U547" s="239"/>
      <c r="V547" s="224"/>
      <c r="W547" s="261"/>
    </row>
    <row r="548" spans="1:23" x14ac:dyDescent="0.25">
      <c r="A548" s="215"/>
      <c r="B548" s="215"/>
      <c r="C548" s="215"/>
      <c r="D548" s="215"/>
      <c r="E548" s="221"/>
      <c r="F548" s="221"/>
      <c r="G548" s="222"/>
      <c r="H548" s="221"/>
      <c r="I548" s="223"/>
      <c r="J548" s="237"/>
      <c r="K548" s="223"/>
      <c r="L548" s="236"/>
      <c r="M548" s="222"/>
      <c r="N548" s="224"/>
      <c r="O548" s="222"/>
      <c r="P548" s="224"/>
      <c r="Q548" s="222"/>
      <c r="R548" s="224"/>
      <c r="S548" s="239"/>
      <c r="T548" s="224"/>
      <c r="U548" s="239"/>
      <c r="V548" s="224"/>
      <c r="W548" s="261"/>
    </row>
    <row r="549" spans="1:23" x14ac:dyDescent="0.25">
      <c r="A549" s="215"/>
      <c r="B549" s="215"/>
      <c r="C549" s="215"/>
      <c r="D549" s="215"/>
      <c r="E549" s="221"/>
      <c r="F549" s="221"/>
      <c r="G549" s="222"/>
      <c r="H549" s="221"/>
      <c r="I549" s="223"/>
      <c r="J549" s="237"/>
      <c r="K549" s="223"/>
      <c r="L549" s="236"/>
      <c r="M549" s="222"/>
      <c r="N549" s="224"/>
      <c r="O549" s="222"/>
      <c r="P549" s="224"/>
      <c r="Q549" s="222"/>
      <c r="R549" s="224"/>
      <c r="S549" s="239"/>
      <c r="T549" s="224"/>
      <c r="U549" s="239"/>
      <c r="V549" s="224"/>
      <c r="W549" s="261"/>
    </row>
    <row r="550" spans="1:23" x14ac:dyDescent="0.25">
      <c r="A550" s="215"/>
      <c r="B550" s="215"/>
      <c r="C550" s="215"/>
      <c r="D550" s="215"/>
      <c r="E550" s="221"/>
      <c r="F550" s="221"/>
      <c r="G550" s="222"/>
      <c r="H550" s="221"/>
      <c r="I550" s="223"/>
      <c r="J550" s="237"/>
      <c r="K550" s="223"/>
      <c r="L550" s="236"/>
      <c r="M550" s="222"/>
      <c r="N550" s="224"/>
      <c r="O550" s="222"/>
      <c r="P550" s="224"/>
      <c r="Q550" s="222"/>
      <c r="R550" s="224"/>
      <c r="S550" s="239"/>
      <c r="T550" s="224"/>
      <c r="U550" s="239"/>
      <c r="V550" s="224"/>
      <c r="W550" s="261"/>
    </row>
    <row r="551" spans="1:23" x14ac:dyDescent="0.25">
      <c r="A551" s="215"/>
      <c r="B551" s="215"/>
      <c r="C551" s="215"/>
      <c r="D551" s="215"/>
      <c r="E551" s="221"/>
      <c r="F551" s="221"/>
      <c r="G551" s="222"/>
      <c r="H551" s="221"/>
      <c r="I551" s="223"/>
      <c r="J551" s="237"/>
      <c r="K551" s="223"/>
      <c r="L551" s="236"/>
      <c r="M551" s="222"/>
      <c r="N551" s="224"/>
      <c r="O551" s="222"/>
      <c r="P551" s="224"/>
      <c r="Q551" s="222"/>
      <c r="R551" s="224"/>
      <c r="S551" s="239"/>
      <c r="T551" s="224"/>
      <c r="U551" s="239"/>
      <c r="V551" s="224"/>
      <c r="W551" s="261"/>
    </row>
    <row r="552" spans="1:23" x14ac:dyDescent="0.25">
      <c r="A552" s="215"/>
      <c r="B552" s="215"/>
      <c r="C552" s="215"/>
      <c r="D552" s="215"/>
      <c r="E552" s="221"/>
      <c r="F552" s="221"/>
      <c r="G552" s="222"/>
      <c r="H552" s="221"/>
      <c r="I552" s="223"/>
      <c r="J552" s="237"/>
      <c r="K552" s="223"/>
      <c r="L552" s="236"/>
      <c r="M552" s="222"/>
      <c r="N552" s="224"/>
      <c r="O552" s="222"/>
      <c r="P552" s="224"/>
      <c r="Q552" s="222"/>
      <c r="R552" s="224"/>
      <c r="S552" s="239"/>
      <c r="T552" s="224"/>
      <c r="U552" s="239"/>
      <c r="V552" s="224"/>
      <c r="W552" s="261"/>
    </row>
    <row r="553" spans="1:23" x14ac:dyDescent="0.25">
      <c r="A553" s="215"/>
      <c r="B553" s="215"/>
      <c r="C553" s="215"/>
      <c r="D553" s="215"/>
      <c r="E553" s="221"/>
      <c r="F553" s="221"/>
      <c r="G553" s="222"/>
      <c r="H553" s="221"/>
      <c r="I553" s="223"/>
      <c r="J553" s="237"/>
      <c r="K553" s="223"/>
      <c r="L553" s="236"/>
      <c r="M553" s="222"/>
      <c r="N553" s="224"/>
      <c r="O553" s="222"/>
      <c r="P553" s="224"/>
      <c r="Q553" s="222"/>
      <c r="R553" s="224"/>
      <c r="S553" s="239"/>
      <c r="T553" s="224"/>
      <c r="U553" s="239"/>
      <c r="V553" s="224"/>
      <c r="W553" s="261"/>
    </row>
    <row r="554" spans="1:23" x14ac:dyDescent="0.25">
      <c r="A554" s="215"/>
      <c r="B554" s="215"/>
      <c r="C554" s="215"/>
      <c r="D554" s="215"/>
      <c r="E554" s="221"/>
      <c r="F554" s="221"/>
      <c r="G554" s="222"/>
      <c r="H554" s="221"/>
      <c r="I554" s="223"/>
      <c r="J554" s="237"/>
      <c r="K554" s="223"/>
      <c r="L554" s="236"/>
      <c r="M554" s="222"/>
      <c r="N554" s="224"/>
      <c r="O554" s="222"/>
      <c r="P554" s="224"/>
      <c r="Q554" s="222"/>
      <c r="R554" s="224"/>
      <c r="S554" s="239"/>
      <c r="T554" s="224"/>
      <c r="U554" s="239"/>
      <c r="V554" s="224"/>
      <c r="W554" s="261"/>
    </row>
    <row r="555" spans="1:23" x14ac:dyDescent="0.25">
      <c r="A555" s="215"/>
      <c r="B555" s="215"/>
      <c r="C555" s="215"/>
      <c r="D555" s="215"/>
      <c r="E555" s="221"/>
      <c r="F555" s="221"/>
      <c r="G555" s="222"/>
      <c r="H555" s="221"/>
      <c r="I555" s="223"/>
      <c r="J555" s="237"/>
      <c r="K555" s="223"/>
      <c r="L555" s="236"/>
      <c r="M555" s="222"/>
      <c r="N555" s="224"/>
      <c r="O555" s="222"/>
      <c r="P555" s="224"/>
      <c r="Q555" s="222"/>
      <c r="R555" s="224"/>
      <c r="S555" s="239"/>
      <c r="T555" s="224"/>
      <c r="U555" s="239"/>
      <c r="V555" s="224"/>
      <c r="W555" s="261"/>
    </row>
    <row r="556" spans="1:23" x14ac:dyDescent="0.25">
      <c r="A556" s="215"/>
      <c r="B556" s="215"/>
      <c r="C556" s="215"/>
      <c r="D556" s="215"/>
      <c r="E556" s="221"/>
      <c r="F556" s="221"/>
      <c r="G556" s="222"/>
      <c r="H556" s="221"/>
      <c r="I556" s="223"/>
      <c r="J556" s="237"/>
      <c r="K556" s="223"/>
      <c r="L556" s="236"/>
      <c r="M556" s="222"/>
      <c r="N556" s="224"/>
      <c r="O556" s="222"/>
      <c r="P556" s="224"/>
      <c r="Q556" s="222"/>
      <c r="R556" s="224"/>
      <c r="S556" s="239"/>
      <c r="T556" s="224"/>
      <c r="U556" s="239"/>
      <c r="V556" s="224"/>
      <c r="W556" s="261"/>
    </row>
    <row r="557" spans="1:23" x14ac:dyDescent="0.25">
      <c r="A557" s="215"/>
      <c r="B557" s="215"/>
      <c r="C557" s="215"/>
      <c r="D557" s="215"/>
      <c r="E557" s="221"/>
      <c r="F557" s="221"/>
      <c r="G557" s="222"/>
      <c r="H557" s="221"/>
      <c r="I557" s="223"/>
      <c r="J557" s="237"/>
      <c r="K557" s="223"/>
      <c r="L557" s="236"/>
      <c r="M557" s="222"/>
      <c r="N557" s="224"/>
      <c r="O557" s="222"/>
      <c r="P557" s="224"/>
      <c r="Q557" s="222"/>
      <c r="R557" s="224"/>
      <c r="S557" s="239"/>
      <c r="T557" s="224"/>
      <c r="U557" s="239"/>
      <c r="V557" s="224"/>
      <c r="W557" s="261"/>
    </row>
    <row r="558" spans="1:23" x14ac:dyDescent="0.25">
      <c r="A558" s="215"/>
      <c r="B558" s="215"/>
      <c r="C558" s="215"/>
      <c r="D558" s="215"/>
      <c r="E558" s="221"/>
      <c r="F558" s="221"/>
      <c r="G558" s="222"/>
      <c r="H558" s="221"/>
      <c r="I558" s="223"/>
      <c r="J558" s="237"/>
      <c r="K558" s="223"/>
      <c r="L558" s="236"/>
      <c r="M558" s="222"/>
      <c r="N558" s="224"/>
      <c r="O558" s="222"/>
      <c r="P558" s="224"/>
      <c r="Q558" s="222"/>
      <c r="R558" s="224"/>
      <c r="S558" s="239"/>
      <c r="T558" s="224"/>
      <c r="U558" s="239"/>
      <c r="V558" s="224"/>
      <c r="W558" s="261"/>
    </row>
    <row r="559" spans="1:23" x14ac:dyDescent="0.25">
      <c r="A559" s="215"/>
      <c r="B559" s="215"/>
      <c r="C559" s="215"/>
      <c r="D559" s="215"/>
      <c r="E559" s="221"/>
      <c r="F559" s="221"/>
      <c r="G559" s="222"/>
      <c r="H559" s="221"/>
      <c r="I559" s="223"/>
      <c r="J559" s="237"/>
      <c r="K559" s="223"/>
      <c r="L559" s="236"/>
      <c r="M559" s="222"/>
      <c r="N559" s="224"/>
      <c r="O559" s="222"/>
      <c r="P559" s="224"/>
      <c r="Q559" s="222"/>
      <c r="R559" s="224"/>
      <c r="S559" s="239"/>
      <c r="T559" s="224"/>
      <c r="U559" s="239"/>
      <c r="V559" s="224"/>
      <c r="W559" s="261"/>
    </row>
    <row r="560" spans="1:23" x14ac:dyDescent="0.25">
      <c r="A560" s="215"/>
      <c r="B560" s="215"/>
      <c r="C560" s="215"/>
      <c r="D560" s="215"/>
      <c r="E560" s="221"/>
      <c r="F560" s="221"/>
      <c r="G560" s="222"/>
      <c r="H560" s="221"/>
      <c r="I560" s="223"/>
      <c r="J560" s="237"/>
      <c r="K560" s="223"/>
      <c r="L560" s="236"/>
      <c r="M560" s="222"/>
      <c r="N560" s="224"/>
      <c r="O560" s="222"/>
      <c r="P560" s="224"/>
      <c r="Q560" s="222"/>
      <c r="R560" s="224"/>
      <c r="S560" s="239"/>
      <c r="T560" s="224"/>
      <c r="U560" s="239"/>
      <c r="V560" s="224"/>
      <c r="W560" s="261"/>
    </row>
    <row r="561" spans="1:23" x14ac:dyDescent="0.25">
      <c r="A561" s="215"/>
      <c r="B561" s="215"/>
      <c r="C561" s="215"/>
      <c r="D561" s="215"/>
      <c r="E561" s="221"/>
      <c r="F561" s="221"/>
      <c r="G561" s="222"/>
      <c r="H561" s="221"/>
      <c r="I561" s="223"/>
      <c r="J561" s="237"/>
      <c r="K561" s="223"/>
      <c r="L561" s="236"/>
      <c r="M561" s="222"/>
      <c r="N561" s="224"/>
      <c r="O561" s="222"/>
      <c r="P561" s="224"/>
      <c r="Q561" s="222"/>
      <c r="R561" s="224"/>
      <c r="S561" s="239"/>
      <c r="T561" s="224"/>
      <c r="U561" s="239"/>
      <c r="V561" s="224"/>
      <c r="W561" s="261"/>
    </row>
    <row r="562" spans="1:23" x14ac:dyDescent="0.25">
      <c r="A562" s="215"/>
      <c r="B562" s="215"/>
      <c r="C562" s="215"/>
      <c r="D562" s="215"/>
      <c r="E562" s="221"/>
      <c r="F562" s="221"/>
      <c r="G562" s="222"/>
      <c r="H562" s="221"/>
      <c r="I562" s="223"/>
      <c r="J562" s="237"/>
      <c r="K562" s="223"/>
      <c r="L562" s="236"/>
      <c r="M562" s="222"/>
      <c r="N562" s="224"/>
      <c r="O562" s="222"/>
      <c r="P562" s="224"/>
      <c r="Q562" s="222"/>
      <c r="R562" s="224"/>
      <c r="S562" s="239"/>
      <c r="T562" s="224"/>
      <c r="U562" s="239"/>
      <c r="V562" s="224"/>
      <c r="W562" s="261"/>
    </row>
    <row r="563" spans="1:23" x14ac:dyDescent="0.25">
      <c r="A563" s="215"/>
      <c r="B563" s="215"/>
      <c r="C563" s="215"/>
      <c r="D563" s="215"/>
      <c r="E563" s="221"/>
      <c r="F563" s="221"/>
      <c r="G563" s="222"/>
      <c r="H563" s="221"/>
      <c r="I563" s="223"/>
      <c r="J563" s="237"/>
      <c r="K563" s="223"/>
      <c r="L563" s="236"/>
      <c r="M563" s="222"/>
      <c r="N563" s="224"/>
      <c r="O563" s="222"/>
      <c r="P563" s="224"/>
      <c r="Q563" s="222"/>
      <c r="R563" s="224"/>
      <c r="S563" s="239"/>
      <c r="T563" s="224"/>
      <c r="U563" s="239"/>
      <c r="V563" s="224"/>
      <c r="W563" s="261"/>
    </row>
    <row r="564" spans="1:23" x14ac:dyDescent="0.25">
      <c r="A564" s="215"/>
      <c r="B564" s="215"/>
      <c r="C564" s="215"/>
      <c r="D564" s="215"/>
      <c r="E564" s="221"/>
      <c r="F564" s="221"/>
      <c r="G564" s="222"/>
      <c r="H564" s="221"/>
      <c r="I564" s="223"/>
      <c r="J564" s="237"/>
      <c r="K564" s="223"/>
      <c r="L564" s="236"/>
      <c r="M564" s="222"/>
      <c r="N564" s="224"/>
      <c r="O564" s="222"/>
      <c r="P564" s="224"/>
      <c r="Q564" s="222"/>
      <c r="R564" s="224"/>
      <c r="S564" s="239"/>
      <c r="T564" s="224"/>
      <c r="U564" s="239"/>
      <c r="V564" s="224"/>
      <c r="W564" s="261"/>
    </row>
    <row r="565" spans="1:23" x14ac:dyDescent="0.25">
      <c r="A565" s="215"/>
      <c r="B565" s="215"/>
      <c r="C565" s="215"/>
      <c r="D565" s="215"/>
      <c r="E565" s="221"/>
      <c r="F565" s="221"/>
      <c r="G565" s="222"/>
      <c r="H565" s="221"/>
      <c r="I565" s="223"/>
      <c r="J565" s="237"/>
      <c r="K565" s="223"/>
      <c r="L565" s="236"/>
      <c r="M565" s="222"/>
      <c r="N565" s="224"/>
      <c r="O565" s="222"/>
      <c r="P565" s="224"/>
      <c r="Q565" s="222"/>
      <c r="R565" s="224"/>
      <c r="S565" s="239"/>
      <c r="T565" s="224"/>
      <c r="U565" s="239"/>
      <c r="V565" s="224"/>
      <c r="W565" s="261"/>
    </row>
    <row r="566" spans="1:23" x14ac:dyDescent="0.25">
      <c r="A566" s="215"/>
      <c r="B566" s="215"/>
      <c r="C566" s="215"/>
      <c r="D566" s="215"/>
      <c r="E566" s="221"/>
      <c r="F566" s="221"/>
      <c r="G566" s="222"/>
      <c r="H566" s="221"/>
      <c r="I566" s="223"/>
      <c r="J566" s="237"/>
      <c r="K566" s="223"/>
      <c r="L566" s="236"/>
      <c r="M566" s="222"/>
      <c r="N566" s="224"/>
      <c r="O566" s="222"/>
      <c r="P566" s="224"/>
      <c r="Q566" s="222"/>
      <c r="R566" s="224"/>
      <c r="S566" s="239"/>
      <c r="T566" s="224"/>
      <c r="U566" s="239"/>
      <c r="V566" s="224"/>
      <c r="W566" s="261"/>
    </row>
    <row r="567" spans="1:23" x14ac:dyDescent="0.25">
      <c r="A567" s="215"/>
      <c r="B567" s="215"/>
      <c r="C567" s="215"/>
      <c r="D567" s="215"/>
      <c r="E567" s="221"/>
      <c r="F567" s="221"/>
      <c r="G567" s="222"/>
      <c r="H567" s="221"/>
      <c r="I567" s="223"/>
      <c r="J567" s="237"/>
      <c r="K567" s="223"/>
      <c r="L567" s="236"/>
      <c r="M567" s="222"/>
      <c r="N567" s="224"/>
      <c r="O567" s="222"/>
      <c r="P567" s="224"/>
      <c r="Q567" s="222"/>
      <c r="R567" s="224"/>
      <c r="S567" s="239"/>
      <c r="T567" s="224"/>
      <c r="U567" s="239"/>
      <c r="V567" s="224"/>
      <c r="W567" s="261"/>
    </row>
    <row r="568" spans="1:23" x14ac:dyDescent="0.25">
      <c r="A568" s="215"/>
      <c r="B568" s="215"/>
      <c r="C568" s="215"/>
      <c r="D568" s="215"/>
      <c r="E568" s="221"/>
      <c r="F568" s="221"/>
      <c r="G568" s="222"/>
      <c r="H568" s="221"/>
      <c r="I568" s="223"/>
      <c r="J568" s="237"/>
      <c r="K568" s="223"/>
      <c r="L568" s="236"/>
      <c r="M568" s="222"/>
      <c r="N568" s="224"/>
      <c r="O568" s="222"/>
      <c r="P568" s="224"/>
      <c r="Q568" s="222"/>
      <c r="R568" s="224"/>
      <c r="S568" s="239"/>
      <c r="T568" s="224"/>
      <c r="U568" s="239"/>
      <c r="V568" s="224"/>
      <c r="W568" s="261"/>
    </row>
    <row r="569" spans="1:23" x14ac:dyDescent="0.25">
      <c r="A569" s="215"/>
      <c r="B569" s="215"/>
      <c r="C569" s="215"/>
      <c r="D569" s="215"/>
      <c r="E569" s="221"/>
      <c r="F569" s="221"/>
      <c r="G569" s="222"/>
      <c r="H569" s="221"/>
      <c r="I569" s="223"/>
      <c r="J569" s="237"/>
      <c r="K569" s="223"/>
      <c r="L569" s="236"/>
      <c r="M569" s="222"/>
      <c r="N569" s="224"/>
      <c r="O569" s="222"/>
      <c r="P569" s="224"/>
      <c r="Q569" s="222"/>
      <c r="R569" s="224"/>
      <c r="S569" s="239"/>
      <c r="T569" s="224"/>
      <c r="U569" s="239"/>
      <c r="V569" s="224"/>
      <c r="W569" s="261"/>
    </row>
    <row r="570" spans="1:23" x14ac:dyDescent="0.25">
      <c r="A570" s="215"/>
      <c r="B570" s="215"/>
      <c r="C570" s="215"/>
      <c r="D570" s="215"/>
      <c r="E570" s="221"/>
      <c r="F570" s="221"/>
      <c r="G570" s="222"/>
      <c r="H570" s="221"/>
      <c r="I570" s="223"/>
      <c r="J570" s="237"/>
      <c r="K570" s="223"/>
      <c r="L570" s="236"/>
      <c r="M570" s="222"/>
      <c r="N570" s="224"/>
      <c r="O570" s="222"/>
      <c r="P570" s="224"/>
      <c r="Q570" s="222"/>
      <c r="R570" s="224"/>
      <c r="S570" s="239"/>
      <c r="T570" s="224"/>
      <c r="U570" s="239"/>
      <c r="V570" s="224"/>
      <c r="W570" s="261"/>
    </row>
    <row r="571" spans="1:23" x14ac:dyDescent="0.25">
      <c r="A571" s="215"/>
      <c r="B571" s="215"/>
      <c r="C571" s="215"/>
      <c r="D571" s="215"/>
      <c r="E571" s="221"/>
      <c r="F571" s="221"/>
      <c r="G571" s="222"/>
      <c r="H571" s="221"/>
      <c r="I571" s="223"/>
      <c r="J571" s="237"/>
      <c r="K571" s="223"/>
      <c r="L571" s="236"/>
      <c r="M571" s="222"/>
      <c r="N571" s="224"/>
      <c r="O571" s="222"/>
      <c r="P571" s="224"/>
      <c r="Q571" s="222"/>
      <c r="R571" s="224"/>
      <c r="S571" s="239"/>
      <c r="T571" s="224"/>
      <c r="U571" s="239"/>
      <c r="V571" s="224"/>
      <c r="W571" s="261"/>
    </row>
    <row r="572" spans="1:23" x14ac:dyDescent="0.25">
      <c r="A572" s="215"/>
      <c r="B572" s="215"/>
      <c r="C572" s="215"/>
      <c r="D572" s="215"/>
      <c r="E572" s="221"/>
      <c r="F572" s="221"/>
      <c r="G572" s="222"/>
      <c r="H572" s="221"/>
      <c r="I572" s="223"/>
      <c r="J572" s="237"/>
      <c r="K572" s="223"/>
      <c r="L572" s="236"/>
      <c r="M572" s="222"/>
      <c r="N572" s="224"/>
      <c r="O572" s="222"/>
      <c r="P572" s="224"/>
      <c r="Q572" s="222"/>
      <c r="R572" s="224"/>
      <c r="S572" s="239"/>
      <c r="T572" s="224"/>
      <c r="U572" s="239"/>
      <c r="V572" s="224"/>
      <c r="W572" s="261"/>
    </row>
    <row r="573" spans="1:23" x14ac:dyDescent="0.25">
      <c r="A573" s="215"/>
      <c r="B573" s="215"/>
      <c r="C573" s="215"/>
      <c r="D573" s="215"/>
      <c r="E573" s="221"/>
      <c r="F573" s="221"/>
      <c r="G573" s="222"/>
      <c r="H573" s="221"/>
      <c r="I573" s="223"/>
      <c r="J573" s="237"/>
      <c r="K573" s="223"/>
      <c r="L573" s="236"/>
      <c r="M573" s="222"/>
      <c r="N573" s="224"/>
      <c r="O573" s="222"/>
      <c r="P573" s="224"/>
      <c r="Q573" s="222"/>
      <c r="R573" s="224"/>
      <c r="S573" s="239"/>
      <c r="T573" s="224"/>
      <c r="U573" s="239"/>
      <c r="V573" s="224"/>
      <c r="W573" s="261"/>
    </row>
    <row r="574" spans="1:23" x14ac:dyDescent="0.25">
      <c r="A574" s="215"/>
      <c r="B574" s="215"/>
      <c r="C574" s="215"/>
      <c r="D574" s="215"/>
      <c r="E574" s="221"/>
      <c r="F574" s="221"/>
      <c r="G574" s="222"/>
      <c r="H574" s="221"/>
      <c r="I574" s="223"/>
      <c r="J574" s="237"/>
      <c r="K574" s="223"/>
      <c r="L574" s="236"/>
      <c r="M574" s="222"/>
      <c r="N574" s="224"/>
      <c r="O574" s="222"/>
      <c r="P574" s="224"/>
      <c r="Q574" s="222"/>
      <c r="R574" s="224"/>
      <c r="S574" s="239"/>
      <c r="T574" s="224"/>
      <c r="U574" s="239"/>
      <c r="V574" s="224"/>
      <c r="W574" s="261"/>
    </row>
    <row r="575" spans="1:23" x14ac:dyDescent="0.25">
      <c r="A575" s="215"/>
      <c r="B575" s="215"/>
      <c r="C575" s="215"/>
      <c r="D575" s="215"/>
      <c r="E575" s="221"/>
      <c r="F575" s="221"/>
      <c r="G575" s="222"/>
      <c r="H575" s="221"/>
      <c r="I575" s="223"/>
      <c r="J575" s="237"/>
      <c r="K575" s="223"/>
      <c r="L575" s="236"/>
      <c r="M575" s="222"/>
      <c r="N575" s="224"/>
      <c r="O575" s="222"/>
      <c r="P575" s="224"/>
      <c r="Q575" s="222"/>
      <c r="R575" s="224"/>
      <c r="S575" s="239"/>
      <c r="T575" s="224"/>
      <c r="U575" s="239"/>
      <c r="V575" s="224"/>
      <c r="W575" s="261"/>
    </row>
    <row r="576" spans="1:23" x14ac:dyDescent="0.25">
      <c r="A576" s="215"/>
      <c r="B576" s="215"/>
      <c r="C576" s="215"/>
      <c r="D576" s="215"/>
      <c r="E576" s="221"/>
      <c r="F576" s="221"/>
      <c r="G576" s="222"/>
      <c r="H576" s="221"/>
      <c r="I576" s="223"/>
      <c r="J576" s="237"/>
      <c r="K576" s="223"/>
      <c r="L576" s="236"/>
      <c r="M576" s="222"/>
      <c r="N576" s="224"/>
      <c r="O576" s="222"/>
      <c r="P576" s="224"/>
      <c r="Q576" s="222"/>
      <c r="R576" s="224"/>
      <c r="S576" s="239"/>
      <c r="T576" s="224"/>
      <c r="U576" s="239"/>
      <c r="V576" s="224"/>
      <c r="W576" s="261"/>
    </row>
    <row r="577" spans="1:23" x14ac:dyDescent="0.25">
      <c r="A577" s="215"/>
      <c r="B577" s="215"/>
      <c r="C577" s="215"/>
      <c r="D577" s="215"/>
      <c r="E577" s="221"/>
      <c r="F577" s="221"/>
      <c r="G577" s="222"/>
      <c r="H577" s="221"/>
      <c r="I577" s="223"/>
      <c r="J577" s="237"/>
      <c r="K577" s="223"/>
      <c r="L577" s="236"/>
      <c r="M577" s="222"/>
      <c r="N577" s="224"/>
      <c r="O577" s="222"/>
      <c r="P577" s="224"/>
      <c r="Q577" s="222"/>
      <c r="R577" s="224"/>
      <c r="S577" s="239"/>
      <c r="T577" s="224"/>
      <c r="U577" s="239"/>
      <c r="V577" s="224"/>
      <c r="W577" s="261"/>
    </row>
    <row r="578" spans="1:23" x14ac:dyDescent="0.25">
      <c r="A578" s="215"/>
      <c r="B578" s="215"/>
      <c r="C578" s="215"/>
      <c r="D578" s="215"/>
      <c r="E578" s="221"/>
      <c r="F578" s="221"/>
      <c r="G578" s="222"/>
      <c r="H578" s="221"/>
      <c r="I578" s="223"/>
      <c r="J578" s="237"/>
      <c r="K578" s="223"/>
      <c r="L578" s="236"/>
      <c r="M578" s="222"/>
      <c r="N578" s="224"/>
      <c r="O578" s="222"/>
      <c r="P578" s="224"/>
      <c r="Q578" s="222"/>
      <c r="R578" s="224"/>
      <c r="S578" s="239"/>
      <c r="T578" s="224"/>
      <c r="U578" s="239"/>
      <c r="V578" s="224"/>
      <c r="W578" s="261"/>
    </row>
    <row r="579" spans="1:23" x14ac:dyDescent="0.25">
      <c r="A579" s="215"/>
      <c r="B579" s="215"/>
      <c r="C579" s="215"/>
      <c r="D579" s="215"/>
      <c r="E579" s="221"/>
      <c r="F579" s="221"/>
      <c r="G579" s="222"/>
      <c r="H579" s="221"/>
      <c r="I579" s="223"/>
      <c r="J579" s="237"/>
      <c r="K579" s="223"/>
      <c r="L579" s="236"/>
      <c r="M579" s="222"/>
      <c r="N579" s="224"/>
      <c r="O579" s="222"/>
      <c r="P579" s="224"/>
      <c r="Q579" s="222"/>
      <c r="R579" s="224"/>
      <c r="S579" s="239"/>
      <c r="T579" s="224"/>
      <c r="U579" s="239"/>
      <c r="V579" s="224"/>
      <c r="W579" s="261"/>
    </row>
    <row r="580" spans="1:23" x14ac:dyDescent="0.25">
      <c r="A580" s="215"/>
      <c r="B580" s="215"/>
      <c r="C580" s="215"/>
      <c r="D580" s="215"/>
      <c r="E580" s="221"/>
      <c r="F580" s="221"/>
      <c r="G580" s="222"/>
      <c r="H580" s="221"/>
      <c r="I580" s="223"/>
      <c r="J580" s="237"/>
      <c r="K580" s="223"/>
      <c r="L580" s="236"/>
      <c r="M580" s="222"/>
      <c r="N580" s="224"/>
      <c r="O580" s="222"/>
      <c r="P580" s="224"/>
      <c r="Q580" s="222"/>
      <c r="R580" s="224"/>
      <c r="S580" s="239"/>
      <c r="T580" s="224"/>
      <c r="U580" s="239"/>
      <c r="V580" s="224"/>
      <c r="W580" s="261"/>
    </row>
    <row r="581" spans="1:23" x14ac:dyDescent="0.25">
      <c r="A581" s="215"/>
      <c r="B581" s="215"/>
      <c r="C581" s="215"/>
      <c r="D581" s="215"/>
      <c r="E581" s="221"/>
      <c r="F581" s="221"/>
      <c r="G581" s="222"/>
      <c r="H581" s="221"/>
      <c r="I581" s="223"/>
      <c r="J581" s="237"/>
      <c r="K581" s="223"/>
      <c r="L581" s="236"/>
      <c r="M581" s="222"/>
      <c r="N581" s="224"/>
      <c r="O581" s="222"/>
      <c r="P581" s="224"/>
      <c r="Q581" s="222"/>
      <c r="R581" s="224"/>
      <c r="S581" s="239"/>
      <c r="T581" s="224"/>
      <c r="U581" s="239"/>
      <c r="V581" s="224"/>
      <c r="W581" s="261"/>
    </row>
    <row r="582" spans="1:23" x14ac:dyDescent="0.25">
      <c r="A582" s="215"/>
      <c r="B582" s="215"/>
      <c r="C582" s="215"/>
      <c r="D582" s="215"/>
      <c r="E582" s="221"/>
      <c r="F582" s="221"/>
      <c r="G582" s="222"/>
      <c r="H582" s="221"/>
      <c r="I582" s="223"/>
      <c r="J582" s="237"/>
      <c r="K582" s="223"/>
      <c r="L582" s="236"/>
      <c r="M582" s="222"/>
      <c r="N582" s="224"/>
      <c r="O582" s="222"/>
      <c r="P582" s="224"/>
      <c r="Q582" s="222"/>
      <c r="R582" s="224"/>
      <c r="S582" s="239"/>
      <c r="T582" s="224"/>
      <c r="U582" s="239"/>
      <c r="V582" s="224"/>
      <c r="W582" s="261"/>
    </row>
    <row r="583" spans="1:23" x14ac:dyDescent="0.25">
      <c r="A583" s="215"/>
      <c r="B583" s="215"/>
      <c r="C583" s="215"/>
      <c r="D583" s="215"/>
      <c r="E583" s="221"/>
      <c r="F583" s="221"/>
      <c r="G583" s="222"/>
      <c r="H583" s="221"/>
      <c r="I583" s="223"/>
      <c r="J583" s="237"/>
      <c r="K583" s="223"/>
      <c r="L583" s="236"/>
      <c r="M583" s="222"/>
      <c r="N583" s="224"/>
      <c r="O583" s="222"/>
      <c r="P583" s="224"/>
      <c r="Q583" s="222"/>
      <c r="R583" s="224"/>
      <c r="S583" s="239"/>
      <c r="T583" s="224"/>
      <c r="U583" s="239"/>
      <c r="V583" s="224"/>
      <c r="W583" s="261"/>
    </row>
    <row r="584" spans="1:23" x14ac:dyDescent="0.25">
      <c r="A584" s="215"/>
      <c r="B584" s="215"/>
      <c r="C584" s="215"/>
      <c r="D584" s="215"/>
      <c r="E584" s="221"/>
      <c r="F584" s="221"/>
      <c r="G584" s="222"/>
      <c r="H584" s="221"/>
      <c r="I584" s="223"/>
      <c r="J584" s="237"/>
      <c r="K584" s="223"/>
      <c r="L584" s="236"/>
      <c r="M584" s="222"/>
      <c r="N584" s="224"/>
      <c r="O584" s="222"/>
      <c r="P584" s="224"/>
      <c r="Q584" s="222"/>
      <c r="R584" s="224"/>
      <c r="S584" s="239"/>
      <c r="T584" s="224"/>
      <c r="U584" s="239"/>
      <c r="V584" s="224"/>
      <c r="W584" s="261"/>
    </row>
    <row r="585" spans="1:23" x14ac:dyDescent="0.25">
      <c r="A585" s="215"/>
      <c r="B585" s="215"/>
      <c r="C585" s="215"/>
      <c r="D585" s="215"/>
      <c r="E585" s="221"/>
      <c r="F585" s="221"/>
      <c r="G585" s="222"/>
      <c r="H585" s="221"/>
      <c r="I585" s="223"/>
      <c r="J585" s="237"/>
      <c r="K585" s="223"/>
      <c r="L585" s="236"/>
      <c r="M585" s="222"/>
      <c r="N585" s="224"/>
      <c r="O585" s="222"/>
      <c r="P585" s="224"/>
      <c r="Q585" s="222"/>
      <c r="R585" s="224"/>
      <c r="S585" s="239"/>
      <c r="T585" s="224"/>
      <c r="U585" s="239"/>
      <c r="V585" s="224"/>
      <c r="W585" s="261"/>
    </row>
    <row r="586" spans="1:23" x14ac:dyDescent="0.25">
      <c r="A586" s="215"/>
      <c r="B586" s="215"/>
      <c r="C586" s="215"/>
      <c r="D586" s="215"/>
      <c r="E586" s="221"/>
      <c r="F586" s="221"/>
      <c r="G586" s="222"/>
      <c r="H586" s="221"/>
      <c r="I586" s="223"/>
      <c r="J586" s="237"/>
      <c r="K586" s="223"/>
      <c r="L586" s="236"/>
      <c r="M586" s="222"/>
      <c r="N586" s="224"/>
      <c r="O586" s="222"/>
      <c r="P586" s="224"/>
      <c r="Q586" s="222"/>
      <c r="R586" s="224"/>
      <c r="S586" s="239"/>
      <c r="T586" s="224"/>
      <c r="U586" s="239"/>
      <c r="V586" s="224"/>
      <c r="W586" s="261"/>
    </row>
    <row r="587" spans="1:23" x14ac:dyDescent="0.25">
      <c r="A587" s="215"/>
      <c r="B587" s="215"/>
      <c r="C587" s="215"/>
      <c r="D587" s="215"/>
      <c r="E587" s="221"/>
      <c r="F587" s="221"/>
      <c r="G587" s="222"/>
      <c r="H587" s="221"/>
      <c r="I587" s="223"/>
      <c r="J587" s="237"/>
      <c r="K587" s="223"/>
      <c r="L587" s="236"/>
      <c r="M587" s="222"/>
      <c r="N587" s="224"/>
      <c r="O587" s="222"/>
      <c r="P587" s="224"/>
      <c r="Q587" s="222"/>
      <c r="R587" s="224"/>
      <c r="S587" s="239"/>
      <c r="T587" s="224"/>
      <c r="U587" s="239"/>
      <c r="V587" s="224"/>
      <c r="W587" s="261"/>
    </row>
    <row r="588" spans="1:23" x14ac:dyDescent="0.25">
      <c r="A588" s="215"/>
      <c r="B588" s="215"/>
      <c r="C588" s="215"/>
      <c r="D588" s="215"/>
      <c r="E588" s="221"/>
      <c r="F588" s="221"/>
      <c r="G588" s="222"/>
      <c r="H588" s="221"/>
      <c r="I588" s="223"/>
      <c r="J588" s="237"/>
      <c r="K588" s="223"/>
      <c r="L588" s="236"/>
      <c r="M588" s="222"/>
      <c r="N588" s="224"/>
      <c r="O588" s="222"/>
      <c r="P588" s="224"/>
      <c r="Q588" s="222"/>
      <c r="R588" s="224"/>
      <c r="S588" s="239"/>
      <c r="T588" s="224"/>
      <c r="U588" s="239"/>
      <c r="V588" s="224"/>
      <c r="W588" s="261"/>
    </row>
    <row r="589" spans="1:23" x14ac:dyDescent="0.25">
      <c r="A589" s="215"/>
      <c r="B589" s="215"/>
      <c r="C589" s="215"/>
      <c r="D589" s="215"/>
      <c r="E589" s="221"/>
      <c r="F589" s="221"/>
      <c r="G589" s="222"/>
      <c r="H589" s="221"/>
      <c r="I589" s="223"/>
      <c r="J589" s="237"/>
      <c r="K589" s="223"/>
      <c r="L589" s="236"/>
      <c r="M589" s="222"/>
      <c r="N589" s="224"/>
      <c r="O589" s="222"/>
      <c r="P589" s="224"/>
      <c r="Q589" s="222"/>
      <c r="R589" s="224"/>
      <c r="S589" s="239"/>
      <c r="T589" s="224"/>
      <c r="U589" s="239"/>
      <c r="V589" s="224"/>
      <c r="W589" s="261"/>
    </row>
    <row r="590" spans="1:23" x14ac:dyDescent="0.25">
      <c r="A590" s="215"/>
      <c r="B590" s="215"/>
      <c r="C590" s="215"/>
      <c r="D590" s="215"/>
      <c r="E590" s="221"/>
      <c r="F590" s="221"/>
      <c r="G590" s="222"/>
      <c r="H590" s="221"/>
      <c r="I590" s="223"/>
      <c r="J590" s="237"/>
      <c r="K590" s="223"/>
      <c r="L590" s="236"/>
      <c r="M590" s="222"/>
      <c r="N590" s="224"/>
      <c r="O590" s="222"/>
      <c r="P590" s="224"/>
      <c r="Q590" s="222"/>
      <c r="R590" s="224"/>
      <c r="S590" s="239"/>
      <c r="T590" s="224"/>
      <c r="U590" s="239"/>
      <c r="V590" s="224"/>
      <c r="W590" s="261"/>
    </row>
    <row r="591" spans="1:23" x14ac:dyDescent="0.25">
      <c r="A591" s="215"/>
      <c r="B591" s="215"/>
      <c r="C591" s="215"/>
      <c r="D591" s="215"/>
      <c r="E591" s="221"/>
      <c r="F591" s="221"/>
      <c r="G591" s="222"/>
      <c r="H591" s="221"/>
      <c r="I591" s="223"/>
      <c r="J591" s="237"/>
      <c r="K591" s="223"/>
      <c r="L591" s="236"/>
      <c r="M591" s="222"/>
      <c r="N591" s="224"/>
      <c r="O591" s="222"/>
      <c r="P591" s="224"/>
      <c r="Q591" s="222"/>
      <c r="R591" s="224"/>
      <c r="S591" s="239"/>
      <c r="T591" s="224"/>
      <c r="U591" s="239"/>
      <c r="V591" s="224"/>
      <c r="W591" s="261"/>
    </row>
    <row r="592" spans="1:23" x14ac:dyDescent="0.25">
      <c r="A592" s="215"/>
      <c r="B592" s="215"/>
      <c r="C592" s="215"/>
      <c r="D592" s="215"/>
      <c r="E592" s="221"/>
      <c r="F592" s="221"/>
      <c r="G592" s="222"/>
      <c r="H592" s="221"/>
      <c r="I592" s="223"/>
      <c r="J592" s="237"/>
      <c r="K592" s="223"/>
      <c r="L592" s="236"/>
      <c r="M592" s="222"/>
      <c r="N592" s="224"/>
      <c r="O592" s="222"/>
      <c r="P592" s="224"/>
      <c r="Q592" s="222"/>
      <c r="R592" s="224"/>
      <c r="S592" s="239"/>
      <c r="T592" s="224"/>
      <c r="U592" s="239"/>
      <c r="V592" s="224"/>
      <c r="W592" s="261"/>
    </row>
    <row r="593" spans="1:23" x14ac:dyDescent="0.25">
      <c r="A593" s="215"/>
      <c r="B593" s="215"/>
      <c r="C593" s="215"/>
      <c r="D593" s="215"/>
      <c r="E593" s="221"/>
      <c r="F593" s="221"/>
      <c r="G593" s="222"/>
      <c r="H593" s="221"/>
      <c r="I593" s="223"/>
      <c r="J593" s="237"/>
      <c r="K593" s="223"/>
      <c r="L593" s="236"/>
      <c r="M593" s="222"/>
      <c r="N593" s="224"/>
      <c r="O593" s="222"/>
      <c r="P593" s="224"/>
      <c r="Q593" s="222"/>
      <c r="R593" s="224"/>
      <c r="S593" s="239"/>
      <c r="T593" s="224"/>
      <c r="U593" s="239"/>
      <c r="V593" s="224"/>
      <c r="W593" s="261"/>
    </row>
    <row r="594" spans="1:23" x14ac:dyDescent="0.25">
      <c r="A594" s="215"/>
      <c r="B594" s="215"/>
      <c r="C594" s="215"/>
      <c r="D594" s="215"/>
      <c r="E594" s="221"/>
      <c r="F594" s="221"/>
      <c r="G594" s="222"/>
      <c r="H594" s="221"/>
      <c r="I594" s="223"/>
      <c r="J594" s="237"/>
      <c r="K594" s="223"/>
      <c r="L594" s="236"/>
      <c r="M594" s="222"/>
      <c r="N594" s="224"/>
      <c r="O594" s="222"/>
      <c r="P594" s="224"/>
      <c r="Q594" s="222"/>
      <c r="R594" s="224"/>
      <c r="S594" s="239"/>
      <c r="T594" s="224"/>
      <c r="U594" s="239"/>
      <c r="V594" s="224"/>
      <c r="W594" s="261"/>
    </row>
    <row r="595" spans="1:23" x14ac:dyDescent="0.25">
      <c r="A595" s="215"/>
      <c r="B595" s="215"/>
      <c r="C595" s="215"/>
      <c r="D595" s="215"/>
      <c r="E595" s="221"/>
      <c r="F595" s="221"/>
      <c r="G595" s="222"/>
      <c r="H595" s="221"/>
      <c r="I595" s="223"/>
      <c r="J595" s="237"/>
      <c r="K595" s="223"/>
      <c r="L595" s="236"/>
      <c r="M595" s="222"/>
      <c r="N595" s="224"/>
      <c r="O595" s="222"/>
      <c r="P595" s="224"/>
      <c r="Q595" s="222"/>
      <c r="R595" s="224"/>
      <c r="S595" s="239"/>
      <c r="T595" s="224"/>
      <c r="U595" s="239"/>
      <c r="V595" s="224"/>
      <c r="W595" s="261"/>
    </row>
    <row r="596" spans="1:23" x14ac:dyDescent="0.25">
      <c r="A596" s="215"/>
      <c r="B596" s="215"/>
      <c r="C596" s="215"/>
      <c r="D596" s="215"/>
      <c r="E596" s="221"/>
      <c r="F596" s="221"/>
      <c r="G596" s="222"/>
      <c r="H596" s="221"/>
      <c r="I596" s="223"/>
      <c r="J596" s="237"/>
      <c r="K596" s="223"/>
      <c r="L596" s="236"/>
      <c r="M596" s="222"/>
      <c r="N596" s="224"/>
      <c r="O596" s="222"/>
      <c r="P596" s="224"/>
      <c r="Q596" s="222"/>
      <c r="R596" s="224"/>
      <c r="S596" s="239"/>
      <c r="T596" s="224"/>
      <c r="U596" s="239"/>
      <c r="V596" s="224"/>
      <c r="W596" s="261"/>
    </row>
    <row r="597" spans="1:23" x14ac:dyDescent="0.25">
      <c r="A597" s="215"/>
      <c r="B597" s="215"/>
      <c r="C597" s="215"/>
      <c r="D597" s="215"/>
      <c r="E597" s="221"/>
      <c r="F597" s="221"/>
      <c r="G597" s="222"/>
      <c r="H597" s="221"/>
      <c r="I597" s="223"/>
      <c r="J597" s="237"/>
      <c r="K597" s="223"/>
      <c r="L597" s="236"/>
      <c r="M597" s="222"/>
      <c r="N597" s="224"/>
      <c r="O597" s="222"/>
      <c r="P597" s="224"/>
      <c r="Q597" s="222"/>
      <c r="R597" s="224"/>
      <c r="S597" s="239"/>
      <c r="T597" s="224"/>
      <c r="U597" s="239"/>
      <c r="V597" s="224"/>
      <c r="W597" s="261"/>
    </row>
    <row r="598" spans="1:23" x14ac:dyDescent="0.25">
      <c r="A598" s="215"/>
      <c r="B598" s="215"/>
      <c r="C598" s="215"/>
      <c r="D598" s="215"/>
      <c r="E598" s="221"/>
      <c r="F598" s="221"/>
      <c r="G598" s="222"/>
      <c r="H598" s="221"/>
      <c r="I598" s="223"/>
      <c r="J598" s="237"/>
      <c r="K598" s="223"/>
      <c r="L598" s="236"/>
      <c r="M598" s="222"/>
      <c r="N598" s="224"/>
      <c r="O598" s="222"/>
      <c r="P598" s="224"/>
      <c r="Q598" s="222"/>
      <c r="R598" s="224"/>
      <c r="S598" s="239"/>
      <c r="T598" s="224"/>
      <c r="U598" s="239"/>
      <c r="V598" s="224"/>
      <c r="W598" s="261"/>
    </row>
    <row r="599" spans="1:23" x14ac:dyDescent="0.25">
      <c r="A599" s="215"/>
      <c r="B599" s="215"/>
      <c r="C599" s="215"/>
      <c r="D599" s="215"/>
      <c r="E599" s="221"/>
      <c r="F599" s="221"/>
      <c r="G599" s="222"/>
      <c r="H599" s="221"/>
      <c r="I599" s="223"/>
      <c r="J599" s="237"/>
      <c r="K599" s="223"/>
      <c r="L599" s="236"/>
      <c r="M599" s="222"/>
      <c r="N599" s="224"/>
      <c r="O599" s="222"/>
      <c r="P599" s="224"/>
      <c r="Q599" s="222"/>
      <c r="R599" s="224"/>
      <c r="S599" s="239"/>
      <c r="T599" s="224"/>
      <c r="U599" s="239"/>
      <c r="V599" s="224"/>
      <c r="W599" s="261"/>
    </row>
    <row r="600" spans="1:23" x14ac:dyDescent="0.25">
      <c r="A600" s="215"/>
      <c r="B600" s="215"/>
      <c r="C600" s="215"/>
      <c r="D600" s="215"/>
      <c r="E600" s="221"/>
      <c r="F600" s="221"/>
      <c r="G600" s="222"/>
      <c r="H600" s="221"/>
      <c r="I600" s="223"/>
      <c r="J600" s="237"/>
      <c r="K600" s="223"/>
      <c r="L600" s="236"/>
      <c r="M600" s="222"/>
      <c r="N600" s="224"/>
      <c r="O600" s="222"/>
      <c r="P600" s="224"/>
      <c r="Q600" s="222"/>
      <c r="R600" s="224"/>
      <c r="S600" s="239"/>
      <c r="T600" s="224"/>
      <c r="U600" s="239"/>
      <c r="V600" s="224"/>
      <c r="W600" s="261"/>
    </row>
    <row r="601" spans="1:23" x14ac:dyDescent="0.25">
      <c r="A601" s="215"/>
      <c r="B601" s="215"/>
      <c r="C601" s="215"/>
      <c r="D601" s="215"/>
      <c r="E601" s="221"/>
      <c r="F601" s="221"/>
      <c r="G601" s="222"/>
      <c r="H601" s="221"/>
      <c r="I601" s="223"/>
      <c r="J601" s="237"/>
      <c r="K601" s="223"/>
      <c r="L601" s="236"/>
      <c r="M601" s="222"/>
      <c r="N601" s="224"/>
      <c r="O601" s="222"/>
      <c r="P601" s="224"/>
      <c r="Q601" s="222"/>
      <c r="R601" s="224"/>
      <c r="S601" s="239"/>
      <c r="T601" s="224"/>
      <c r="U601" s="239"/>
      <c r="V601" s="224"/>
      <c r="W601" s="261"/>
    </row>
    <row r="602" spans="1:23" x14ac:dyDescent="0.25">
      <c r="A602" s="215"/>
      <c r="B602" s="215"/>
      <c r="C602" s="215"/>
      <c r="D602" s="215"/>
      <c r="E602" s="221"/>
      <c r="F602" s="221"/>
      <c r="G602" s="222"/>
      <c r="H602" s="221"/>
      <c r="I602" s="223"/>
      <c r="J602" s="237"/>
      <c r="K602" s="223"/>
      <c r="L602" s="236"/>
      <c r="M602" s="222"/>
      <c r="N602" s="224"/>
      <c r="O602" s="222"/>
      <c r="P602" s="224"/>
      <c r="Q602" s="222"/>
      <c r="R602" s="224"/>
      <c r="S602" s="239"/>
      <c r="T602" s="224"/>
      <c r="U602" s="239"/>
      <c r="V602" s="224"/>
      <c r="W602" s="261"/>
    </row>
    <row r="603" spans="1:23" x14ac:dyDescent="0.25">
      <c r="A603" s="215"/>
      <c r="B603" s="215"/>
      <c r="C603" s="215"/>
      <c r="D603" s="215"/>
      <c r="E603" s="221"/>
      <c r="F603" s="221"/>
      <c r="G603" s="222"/>
      <c r="H603" s="221"/>
      <c r="I603" s="223"/>
      <c r="J603" s="237"/>
      <c r="K603" s="223"/>
      <c r="L603" s="236"/>
      <c r="M603" s="222"/>
      <c r="N603" s="224"/>
      <c r="O603" s="222"/>
      <c r="P603" s="224"/>
      <c r="Q603" s="222"/>
      <c r="R603" s="224"/>
      <c r="S603" s="239"/>
      <c r="T603" s="224"/>
      <c r="U603" s="239"/>
      <c r="V603" s="224"/>
      <c r="W603" s="261"/>
    </row>
    <row r="604" spans="1:23" x14ac:dyDescent="0.25">
      <c r="A604" s="215"/>
      <c r="B604" s="215"/>
      <c r="C604" s="215"/>
      <c r="D604" s="215"/>
      <c r="E604" s="221"/>
      <c r="F604" s="221"/>
      <c r="G604" s="222"/>
      <c r="H604" s="221"/>
      <c r="I604" s="223"/>
      <c r="J604" s="237"/>
      <c r="K604" s="223"/>
      <c r="L604" s="236"/>
      <c r="M604" s="222"/>
      <c r="N604" s="224"/>
      <c r="O604" s="222"/>
      <c r="P604" s="224"/>
      <c r="Q604" s="222"/>
      <c r="R604" s="224"/>
      <c r="S604" s="239"/>
      <c r="T604" s="224"/>
      <c r="U604" s="239"/>
      <c r="V604" s="224"/>
      <c r="W604" s="261"/>
    </row>
    <row r="605" spans="1:23" x14ac:dyDescent="0.25">
      <c r="A605" s="215"/>
      <c r="B605" s="215"/>
      <c r="C605" s="215"/>
      <c r="D605" s="215"/>
      <c r="E605" s="221"/>
      <c r="F605" s="221"/>
      <c r="G605" s="222"/>
      <c r="H605" s="221"/>
      <c r="I605" s="223"/>
      <c r="J605" s="237"/>
      <c r="K605" s="223"/>
      <c r="L605" s="236"/>
      <c r="M605" s="222"/>
      <c r="N605" s="224"/>
      <c r="O605" s="222"/>
      <c r="P605" s="224"/>
      <c r="Q605" s="222"/>
      <c r="R605" s="224"/>
      <c r="S605" s="239"/>
      <c r="T605" s="224"/>
      <c r="U605" s="239"/>
      <c r="V605" s="224"/>
      <c r="W605" s="261"/>
    </row>
    <row r="606" spans="1:23" x14ac:dyDescent="0.25">
      <c r="A606" s="215"/>
      <c r="B606" s="215"/>
      <c r="C606" s="215"/>
      <c r="D606" s="215"/>
      <c r="E606" s="221"/>
      <c r="F606" s="221"/>
      <c r="G606" s="222"/>
      <c r="H606" s="221"/>
      <c r="I606" s="223"/>
      <c r="J606" s="237"/>
      <c r="K606" s="223"/>
      <c r="L606" s="236"/>
      <c r="M606" s="222"/>
      <c r="N606" s="224"/>
      <c r="O606" s="222"/>
      <c r="P606" s="224"/>
      <c r="Q606" s="222"/>
      <c r="R606" s="224"/>
      <c r="S606" s="239"/>
      <c r="T606" s="224"/>
      <c r="U606" s="239"/>
      <c r="V606" s="224"/>
      <c r="W606" s="261"/>
    </row>
    <row r="607" spans="1:23" x14ac:dyDescent="0.25">
      <c r="A607" s="215"/>
      <c r="B607" s="215"/>
      <c r="C607" s="215"/>
      <c r="D607" s="215"/>
      <c r="E607" s="221"/>
      <c r="F607" s="221"/>
      <c r="G607" s="222"/>
      <c r="H607" s="221"/>
      <c r="I607" s="223"/>
      <c r="J607" s="237"/>
      <c r="K607" s="223"/>
      <c r="L607" s="236"/>
      <c r="M607" s="222"/>
      <c r="N607" s="224"/>
      <c r="O607" s="222"/>
      <c r="P607" s="224"/>
      <c r="Q607" s="222"/>
      <c r="R607" s="224"/>
      <c r="S607" s="239"/>
      <c r="T607" s="224"/>
      <c r="U607" s="239"/>
      <c r="V607" s="224"/>
      <c r="W607" s="261"/>
    </row>
    <row r="608" spans="1:23" x14ac:dyDescent="0.25">
      <c r="A608" s="215"/>
      <c r="B608" s="215"/>
      <c r="C608" s="215"/>
      <c r="D608" s="215"/>
      <c r="E608" s="221"/>
      <c r="F608" s="221"/>
      <c r="G608" s="222"/>
      <c r="H608" s="221"/>
      <c r="I608" s="223"/>
      <c r="J608" s="237"/>
      <c r="K608" s="223"/>
      <c r="L608" s="236"/>
      <c r="M608" s="222"/>
      <c r="N608" s="224"/>
      <c r="O608" s="222"/>
      <c r="P608" s="224"/>
      <c r="Q608" s="222"/>
      <c r="R608" s="224"/>
      <c r="S608" s="239"/>
      <c r="T608" s="224"/>
      <c r="U608" s="239"/>
      <c r="V608" s="224"/>
      <c r="W608" s="261"/>
    </row>
    <row r="609" spans="1:23" x14ac:dyDescent="0.25">
      <c r="A609" s="215"/>
      <c r="B609" s="215"/>
      <c r="C609" s="215"/>
      <c r="D609" s="215"/>
      <c r="E609" s="221"/>
      <c r="F609" s="221"/>
      <c r="G609" s="222"/>
      <c r="H609" s="221"/>
      <c r="I609" s="223"/>
      <c r="J609" s="237"/>
      <c r="K609" s="223"/>
      <c r="L609" s="236"/>
      <c r="M609" s="222"/>
      <c r="N609" s="224"/>
      <c r="O609" s="222"/>
      <c r="P609" s="224"/>
      <c r="Q609" s="222"/>
      <c r="R609" s="224"/>
      <c r="S609" s="239"/>
      <c r="T609" s="224"/>
      <c r="U609" s="239"/>
      <c r="V609" s="224"/>
      <c r="W609" s="261"/>
    </row>
    <row r="610" spans="1:23" x14ac:dyDescent="0.25">
      <c r="A610" s="215"/>
      <c r="B610" s="215"/>
      <c r="C610" s="215"/>
      <c r="D610" s="215"/>
      <c r="E610" s="221"/>
      <c r="F610" s="221"/>
      <c r="G610" s="222"/>
      <c r="H610" s="221"/>
      <c r="I610" s="223"/>
      <c r="J610" s="237"/>
      <c r="K610" s="223"/>
      <c r="L610" s="236"/>
      <c r="M610" s="222"/>
      <c r="N610" s="224"/>
      <c r="O610" s="222"/>
      <c r="P610" s="224"/>
      <c r="Q610" s="222"/>
      <c r="R610" s="224"/>
      <c r="S610" s="239"/>
      <c r="T610" s="224"/>
      <c r="U610" s="239"/>
      <c r="V610" s="224"/>
      <c r="W610" s="261"/>
    </row>
    <row r="611" spans="1:23" x14ac:dyDescent="0.25">
      <c r="A611" s="215"/>
      <c r="B611" s="215"/>
      <c r="C611" s="215"/>
      <c r="D611" s="215"/>
      <c r="E611" s="221"/>
      <c r="F611" s="221"/>
      <c r="G611" s="222"/>
      <c r="H611" s="221"/>
      <c r="I611" s="223"/>
      <c r="J611" s="237"/>
      <c r="K611" s="223"/>
      <c r="L611" s="236"/>
      <c r="M611" s="222"/>
      <c r="N611" s="224"/>
      <c r="O611" s="222"/>
      <c r="P611" s="224"/>
      <c r="Q611" s="222"/>
      <c r="R611" s="224"/>
      <c r="S611" s="239"/>
      <c r="T611" s="224"/>
      <c r="U611" s="239"/>
      <c r="V611" s="224"/>
      <c r="W611" s="261"/>
    </row>
    <row r="612" spans="1:23" x14ac:dyDescent="0.25">
      <c r="A612" s="215"/>
      <c r="B612" s="215"/>
      <c r="C612" s="215"/>
      <c r="D612" s="215"/>
      <c r="E612" s="221"/>
      <c r="F612" s="221"/>
      <c r="G612" s="222"/>
      <c r="H612" s="221"/>
      <c r="I612" s="223"/>
      <c r="J612" s="237"/>
      <c r="K612" s="223"/>
      <c r="L612" s="236"/>
      <c r="M612" s="222"/>
      <c r="N612" s="224"/>
      <c r="O612" s="222"/>
      <c r="P612" s="224"/>
      <c r="Q612" s="222"/>
      <c r="R612" s="224"/>
      <c r="S612" s="239"/>
      <c r="T612" s="224"/>
      <c r="U612" s="239"/>
      <c r="V612" s="224"/>
      <c r="W612" s="261"/>
    </row>
    <row r="613" spans="1:23" x14ac:dyDescent="0.25">
      <c r="A613" s="215"/>
      <c r="B613" s="215"/>
      <c r="C613" s="215"/>
      <c r="D613" s="215"/>
      <c r="E613" s="221"/>
      <c r="F613" s="221"/>
      <c r="G613" s="222"/>
      <c r="H613" s="221"/>
      <c r="I613" s="223"/>
      <c r="J613" s="237"/>
      <c r="K613" s="223"/>
      <c r="L613" s="236"/>
      <c r="M613" s="222"/>
      <c r="N613" s="224"/>
      <c r="O613" s="222"/>
      <c r="P613" s="224"/>
      <c r="Q613" s="222"/>
      <c r="R613" s="224"/>
      <c r="S613" s="239"/>
      <c r="T613" s="224"/>
      <c r="U613" s="239"/>
      <c r="V613" s="224"/>
      <c r="W613" s="261"/>
    </row>
    <row r="614" spans="1:23" x14ac:dyDescent="0.25">
      <c r="A614" s="215"/>
      <c r="B614" s="215"/>
      <c r="C614" s="215"/>
      <c r="D614" s="215"/>
      <c r="E614" s="221"/>
      <c r="F614" s="221"/>
      <c r="G614" s="222"/>
      <c r="H614" s="221"/>
      <c r="I614" s="223"/>
      <c r="J614" s="237"/>
      <c r="K614" s="223"/>
      <c r="L614" s="236"/>
      <c r="M614" s="222"/>
      <c r="N614" s="224"/>
      <c r="O614" s="222"/>
      <c r="P614" s="224"/>
      <c r="Q614" s="222"/>
      <c r="R614" s="224"/>
      <c r="S614" s="239"/>
      <c r="T614" s="224"/>
      <c r="U614" s="239"/>
      <c r="V614" s="224"/>
      <c r="W614" s="261"/>
    </row>
    <row r="615" spans="1:23" x14ac:dyDescent="0.25">
      <c r="A615" s="215"/>
      <c r="B615" s="215"/>
      <c r="C615" s="215"/>
      <c r="D615" s="215"/>
      <c r="E615" s="221"/>
      <c r="F615" s="221"/>
      <c r="G615" s="222"/>
      <c r="H615" s="221"/>
      <c r="I615" s="223"/>
      <c r="J615" s="237"/>
      <c r="K615" s="223"/>
      <c r="L615" s="236"/>
      <c r="M615" s="222"/>
      <c r="N615" s="224"/>
      <c r="O615" s="222"/>
      <c r="P615" s="224"/>
      <c r="Q615" s="222"/>
      <c r="R615" s="224"/>
      <c r="S615" s="239"/>
      <c r="T615" s="224"/>
      <c r="U615" s="239"/>
      <c r="V615" s="224"/>
      <c r="W615" s="261"/>
    </row>
    <row r="616" spans="1:23" x14ac:dyDescent="0.25">
      <c r="A616" s="215"/>
      <c r="B616" s="215"/>
      <c r="C616" s="215"/>
      <c r="D616" s="215"/>
      <c r="E616" s="221"/>
      <c r="F616" s="221"/>
      <c r="G616" s="222"/>
      <c r="H616" s="221"/>
      <c r="I616" s="223"/>
      <c r="J616" s="237"/>
      <c r="K616" s="223"/>
      <c r="L616" s="236"/>
      <c r="M616" s="222"/>
      <c r="N616" s="224"/>
      <c r="O616" s="222"/>
      <c r="P616" s="224"/>
      <c r="Q616" s="222"/>
      <c r="R616" s="224"/>
      <c r="S616" s="239"/>
      <c r="T616" s="224"/>
      <c r="U616" s="239"/>
      <c r="V616" s="224"/>
      <c r="W616" s="261"/>
    </row>
    <row r="617" spans="1:23" x14ac:dyDescent="0.25">
      <c r="A617" s="215"/>
      <c r="B617" s="215"/>
      <c r="C617" s="215"/>
      <c r="D617" s="215"/>
      <c r="E617" s="221"/>
      <c r="F617" s="221"/>
      <c r="G617" s="222"/>
      <c r="H617" s="221"/>
      <c r="I617" s="223"/>
      <c r="J617" s="237"/>
      <c r="K617" s="223"/>
      <c r="L617" s="236"/>
      <c r="M617" s="222"/>
      <c r="N617" s="224"/>
      <c r="O617" s="222"/>
      <c r="P617" s="224"/>
      <c r="Q617" s="222"/>
      <c r="R617" s="224"/>
      <c r="S617" s="239"/>
      <c r="T617" s="224"/>
      <c r="U617" s="239"/>
      <c r="V617" s="224"/>
      <c r="W617" s="261"/>
    </row>
    <row r="618" spans="1:23" x14ac:dyDescent="0.25">
      <c r="A618" s="215"/>
      <c r="B618" s="215"/>
      <c r="C618" s="215"/>
      <c r="D618" s="215"/>
      <c r="E618" s="221"/>
      <c r="F618" s="221"/>
      <c r="G618" s="222"/>
      <c r="H618" s="221"/>
      <c r="I618" s="223"/>
      <c r="J618" s="237"/>
      <c r="K618" s="223"/>
      <c r="L618" s="236"/>
      <c r="M618" s="222"/>
      <c r="N618" s="224"/>
      <c r="O618" s="222"/>
      <c r="P618" s="224"/>
      <c r="Q618" s="222"/>
      <c r="R618" s="224"/>
      <c r="S618" s="239"/>
      <c r="T618" s="224"/>
      <c r="U618" s="239"/>
      <c r="V618" s="224"/>
      <c r="W618" s="261"/>
    </row>
    <row r="619" spans="1:23" x14ac:dyDescent="0.25">
      <c r="A619" s="215"/>
      <c r="B619" s="215"/>
      <c r="C619" s="215"/>
      <c r="D619" s="215"/>
      <c r="E619" s="221"/>
      <c r="F619" s="221"/>
      <c r="G619" s="222"/>
      <c r="H619" s="221"/>
      <c r="I619" s="223"/>
      <c r="J619" s="237"/>
      <c r="K619" s="223"/>
      <c r="L619" s="236"/>
      <c r="M619" s="222"/>
      <c r="N619" s="224"/>
      <c r="O619" s="222"/>
      <c r="P619" s="224"/>
      <c r="Q619" s="222"/>
      <c r="R619" s="224"/>
      <c r="S619" s="239"/>
      <c r="T619" s="224"/>
      <c r="U619" s="239"/>
      <c r="V619" s="224"/>
      <c r="W619" s="261"/>
    </row>
    <row r="620" spans="1:23" x14ac:dyDescent="0.25">
      <c r="A620" s="215"/>
      <c r="B620" s="215"/>
      <c r="C620" s="215"/>
      <c r="D620" s="215"/>
      <c r="E620" s="221"/>
      <c r="F620" s="221"/>
      <c r="G620" s="222"/>
      <c r="H620" s="221"/>
      <c r="I620" s="223"/>
      <c r="J620" s="237"/>
      <c r="K620" s="223"/>
      <c r="L620" s="236"/>
      <c r="M620" s="222"/>
      <c r="N620" s="224"/>
      <c r="O620" s="222"/>
      <c r="P620" s="224"/>
      <c r="Q620" s="222"/>
      <c r="R620" s="224"/>
      <c r="S620" s="239"/>
      <c r="T620" s="224"/>
      <c r="U620" s="239"/>
      <c r="V620" s="224"/>
      <c r="W620" s="261"/>
    </row>
    <row r="621" spans="1:23" x14ac:dyDescent="0.25">
      <c r="A621" s="215"/>
      <c r="B621" s="215"/>
      <c r="C621" s="215"/>
      <c r="D621" s="215"/>
      <c r="E621" s="221"/>
      <c r="F621" s="221"/>
      <c r="G621" s="222"/>
      <c r="H621" s="221"/>
      <c r="I621" s="223"/>
      <c r="J621" s="237"/>
      <c r="K621" s="223"/>
      <c r="L621" s="236"/>
      <c r="M621" s="222"/>
      <c r="N621" s="224"/>
      <c r="O621" s="222"/>
      <c r="P621" s="224"/>
      <c r="Q621" s="222"/>
      <c r="R621" s="224"/>
      <c r="S621" s="239"/>
      <c r="T621" s="224"/>
      <c r="U621" s="239"/>
      <c r="V621" s="224"/>
      <c r="W621" s="261"/>
    </row>
    <row r="622" spans="1:23" x14ac:dyDescent="0.25">
      <c r="A622" s="215"/>
      <c r="B622" s="215"/>
      <c r="C622" s="215"/>
      <c r="D622" s="215"/>
      <c r="E622" s="221"/>
      <c r="F622" s="221"/>
      <c r="G622" s="222"/>
      <c r="H622" s="221"/>
      <c r="I622" s="223"/>
      <c r="J622" s="237"/>
      <c r="K622" s="223"/>
      <c r="L622" s="236"/>
      <c r="M622" s="222"/>
      <c r="N622" s="224"/>
      <c r="O622" s="222"/>
      <c r="P622" s="224"/>
      <c r="Q622" s="222"/>
      <c r="R622" s="224"/>
      <c r="S622" s="239"/>
      <c r="T622" s="224"/>
      <c r="U622" s="239"/>
      <c r="V622" s="224"/>
      <c r="W622" s="261"/>
    </row>
    <row r="623" spans="1:23" x14ac:dyDescent="0.25">
      <c r="A623" s="215"/>
      <c r="B623" s="215"/>
      <c r="C623" s="215"/>
      <c r="D623" s="215"/>
      <c r="E623" s="221"/>
      <c r="F623" s="221"/>
      <c r="G623" s="222"/>
      <c r="H623" s="221"/>
      <c r="I623" s="223"/>
      <c r="J623" s="237"/>
      <c r="K623" s="223"/>
      <c r="L623" s="236"/>
      <c r="M623" s="222"/>
      <c r="N623" s="224"/>
      <c r="O623" s="222"/>
      <c r="P623" s="224"/>
      <c r="Q623" s="222"/>
      <c r="R623" s="224"/>
      <c r="S623" s="239"/>
      <c r="T623" s="224"/>
      <c r="U623" s="239"/>
      <c r="V623" s="224"/>
      <c r="W623" s="261"/>
    </row>
    <row r="624" spans="1:23" x14ac:dyDescent="0.25">
      <c r="A624" s="215"/>
      <c r="B624" s="215"/>
      <c r="C624" s="215"/>
      <c r="D624" s="215"/>
      <c r="E624" s="221"/>
      <c r="F624" s="221"/>
      <c r="G624" s="222"/>
      <c r="H624" s="221"/>
      <c r="I624" s="223"/>
      <c r="J624" s="237"/>
      <c r="K624" s="223"/>
      <c r="L624" s="236"/>
      <c r="M624" s="222"/>
      <c r="N624" s="224"/>
      <c r="O624" s="222"/>
      <c r="P624" s="224"/>
      <c r="Q624" s="222"/>
      <c r="R624" s="224"/>
      <c r="S624" s="239"/>
      <c r="T624" s="224"/>
      <c r="U624" s="239"/>
      <c r="V624" s="224"/>
      <c r="W624" s="261"/>
    </row>
    <row r="625" spans="1:23" x14ac:dyDescent="0.25">
      <c r="A625" s="215"/>
      <c r="B625" s="215"/>
      <c r="C625" s="215"/>
      <c r="D625" s="215"/>
      <c r="E625" s="221"/>
      <c r="F625" s="221"/>
      <c r="G625" s="222"/>
      <c r="H625" s="221"/>
      <c r="I625" s="223"/>
      <c r="J625" s="237"/>
      <c r="K625" s="223"/>
      <c r="L625" s="236"/>
      <c r="M625" s="222"/>
      <c r="N625" s="224"/>
      <c r="O625" s="222"/>
      <c r="P625" s="224"/>
      <c r="Q625" s="222"/>
      <c r="R625" s="224"/>
      <c r="S625" s="239"/>
      <c r="T625" s="224"/>
      <c r="U625" s="239"/>
      <c r="V625" s="224"/>
      <c r="W625" s="261"/>
    </row>
    <row r="626" spans="1:23" x14ac:dyDescent="0.25">
      <c r="A626" s="215"/>
      <c r="B626" s="215"/>
      <c r="C626" s="215"/>
      <c r="D626" s="215"/>
      <c r="E626" s="221"/>
      <c r="F626" s="221"/>
      <c r="G626" s="222"/>
      <c r="H626" s="221"/>
      <c r="I626" s="223"/>
      <c r="J626" s="237"/>
      <c r="K626" s="223"/>
      <c r="L626" s="236"/>
      <c r="M626" s="222"/>
      <c r="N626" s="224"/>
      <c r="O626" s="222"/>
      <c r="P626" s="224"/>
      <c r="Q626" s="222"/>
      <c r="R626" s="224"/>
      <c r="S626" s="239"/>
      <c r="T626" s="224"/>
      <c r="U626" s="239"/>
      <c r="V626" s="224"/>
      <c r="W626" s="261"/>
    </row>
    <row r="627" spans="1:23" x14ac:dyDescent="0.25">
      <c r="A627" s="215"/>
      <c r="B627" s="215"/>
      <c r="C627" s="215"/>
      <c r="D627" s="215"/>
      <c r="E627" s="221"/>
      <c r="F627" s="221"/>
      <c r="G627" s="222"/>
      <c r="H627" s="221"/>
      <c r="I627" s="223"/>
      <c r="J627" s="237"/>
      <c r="K627" s="223"/>
      <c r="L627" s="236"/>
      <c r="M627" s="222"/>
      <c r="N627" s="224"/>
      <c r="O627" s="222"/>
      <c r="P627" s="224"/>
      <c r="Q627" s="222"/>
      <c r="R627" s="224"/>
      <c r="S627" s="239"/>
      <c r="T627" s="224"/>
      <c r="U627" s="239"/>
      <c r="V627" s="224"/>
      <c r="W627" s="261"/>
    </row>
    <row r="628" spans="1:23" x14ac:dyDescent="0.25">
      <c r="A628" s="215"/>
      <c r="B628" s="215"/>
      <c r="C628" s="215"/>
      <c r="D628" s="215"/>
      <c r="E628" s="221"/>
      <c r="F628" s="221"/>
      <c r="G628" s="222"/>
      <c r="H628" s="221"/>
      <c r="I628" s="223"/>
      <c r="J628" s="237"/>
      <c r="K628" s="223"/>
      <c r="L628" s="236"/>
      <c r="M628" s="222"/>
      <c r="N628" s="224"/>
      <c r="O628" s="222"/>
      <c r="P628" s="224"/>
      <c r="Q628" s="222"/>
      <c r="R628" s="224"/>
      <c r="S628" s="239"/>
      <c r="T628" s="224"/>
      <c r="U628" s="239"/>
      <c r="V628" s="224"/>
      <c r="W628" s="261"/>
    </row>
    <row r="629" spans="1:23" x14ac:dyDescent="0.25">
      <c r="A629" s="215"/>
      <c r="B629" s="215"/>
      <c r="C629" s="215"/>
      <c r="D629" s="215"/>
      <c r="E629" s="221"/>
      <c r="F629" s="221"/>
      <c r="G629" s="222"/>
      <c r="H629" s="221"/>
      <c r="I629" s="223"/>
      <c r="J629" s="237"/>
      <c r="K629" s="223"/>
      <c r="L629" s="236"/>
      <c r="M629" s="222"/>
      <c r="N629" s="224"/>
      <c r="O629" s="222"/>
      <c r="P629" s="224"/>
      <c r="Q629" s="222"/>
      <c r="R629" s="224"/>
      <c r="S629" s="239"/>
      <c r="T629" s="224"/>
      <c r="U629" s="239"/>
      <c r="V629" s="224"/>
      <c r="W629" s="261"/>
    </row>
    <row r="630" spans="1:23" x14ac:dyDescent="0.25">
      <c r="A630" s="215"/>
      <c r="B630" s="215"/>
      <c r="C630" s="215"/>
      <c r="D630" s="215"/>
      <c r="E630" s="221"/>
      <c r="F630" s="221"/>
      <c r="G630" s="222"/>
      <c r="H630" s="221"/>
      <c r="I630" s="223"/>
      <c r="J630" s="237"/>
      <c r="K630" s="223"/>
      <c r="L630" s="236"/>
      <c r="M630" s="222"/>
      <c r="N630" s="224"/>
      <c r="O630" s="222"/>
      <c r="P630" s="224"/>
      <c r="Q630" s="222"/>
      <c r="R630" s="224"/>
      <c r="S630" s="239"/>
      <c r="T630" s="224"/>
      <c r="U630" s="239"/>
      <c r="V630" s="224"/>
      <c r="W630" s="261"/>
    </row>
    <row r="631" spans="1:23" x14ac:dyDescent="0.25">
      <c r="A631" s="215"/>
      <c r="B631" s="215"/>
      <c r="C631" s="215"/>
      <c r="D631" s="215"/>
      <c r="E631" s="221"/>
      <c r="F631" s="221"/>
      <c r="G631" s="222"/>
      <c r="H631" s="221"/>
      <c r="I631" s="223"/>
      <c r="J631" s="237"/>
      <c r="K631" s="223"/>
      <c r="L631" s="236"/>
      <c r="M631" s="222"/>
      <c r="N631" s="224"/>
      <c r="O631" s="222"/>
      <c r="P631" s="224"/>
      <c r="Q631" s="222"/>
      <c r="R631" s="224"/>
      <c r="S631" s="239"/>
      <c r="T631" s="224"/>
      <c r="U631" s="239"/>
      <c r="V631" s="224"/>
      <c r="W631" s="261"/>
    </row>
    <row r="632" spans="1:23" x14ac:dyDescent="0.25">
      <c r="A632" s="215"/>
      <c r="B632" s="215"/>
      <c r="C632" s="215"/>
      <c r="D632" s="215"/>
      <c r="E632" s="221"/>
      <c r="F632" s="221"/>
      <c r="G632" s="222"/>
      <c r="H632" s="221"/>
      <c r="I632" s="223"/>
      <c r="J632" s="237"/>
      <c r="K632" s="223"/>
      <c r="L632" s="236"/>
      <c r="M632" s="222"/>
      <c r="N632" s="224"/>
      <c r="O632" s="222"/>
      <c r="P632" s="224"/>
      <c r="Q632" s="222"/>
      <c r="R632" s="224"/>
      <c r="S632" s="239"/>
      <c r="T632" s="224"/>
      <c r="U632" s="239"/>
      <c r="V632" s="224"/>
      <c r="W632" s="261"/>
    </row>
    <row r="633" spans="1:23" x14ac:dyDescent="0.25">
      <c r="A633" s="215"/>
      <c r="B633" s="215"/>
      <c r="C633" s="215"/>
      <c r="D633" s="215"/>
      <c r="E633" s="221"/>
      <c r="F633" s="221"/>
      <c r="G633" s="222"/>
      <c r="H633" s="221"/>
      <c r="I633" s="223"/>
      <c r="J633" s="237"/>
      <c r="K633" s="223"/>
      <c r="L633" s="236"/>
      <c r="M633" s="222"/>
      <c r="N633" s="224"/>
      <c r="O633" s="222"/>
      <c r="P633" s="224"/>
      <c r="Q633" s="222"/>
      <c r="R633" s="224"/>
      <c r="S633" s="239"/>
      <c r="T633" s="224"/>
      <c r="U633" s="239"/>
      <c r="V633" s="224"/>
      <c r="W633" s="261"/>
    </row>
    <row r="634" spans="1:23" x14ac:dyDescent="0.25">
      <c r="A634" s="215"/>
      <c r="B634" s="215"/>
      <c r="C634" s="215"/>
      <c r="D634" s="215"/>
      <c r="E634" s="221"/>
      <c r="F634" s="221"/>
      <c r="G634" s="222"/>
      <c r="H634" s="221"/>
      <c r="I634" s="223"/>
      <c r="J634" s="237"/>
      <c r="K634" s="223"/>
      <c r="L634" s="236"/>
      <c r="M634" s="222"/>
      <c r="N634" s="224"/>
      <c r="O634" s="222"/>
      <c r="P634" s="224"/>
      <c r="Q634" s="222"/>
      <c r="R634" s="224"/>
      <c r="S634" s="239"/>
      <c r="T634" s="224"/>
      <c r="U634" s="239"/>
      <c r="V634" s="224"/>
      <c r="W634" s="261"/>
    </row>
    <row r="635" spans="1:23" x14ac:dyDescent="0.25">
      <c r="A635" s="215"/>
      <c r="B635" s="215"/>
      <c r="C635" s="215"/>
      <c r="D635" s="215"/>
      <c r="E635" s="221"/>
      <c r="F635" s="221"/>
      <c r="G635" s="222"/>
      <c r="H635" s="221"/>
      <c r="I635" s="223"/>
      <c r="J635" s="237"/>
      <c r="K635" s="223"/>
      <c r="L635" s="236"/>
      <c r="M635" s="222"/>
      <c r="N635" s="224"/>
      <c r="O635" s="222"/>
      <c r="P635" s="224"/>
      <c r="Q635" s="222"/>
      <c r="R635" s="224"/>
      <c r="S635" s="239"/>
      <c r="T635" s="224"/>
      <c r="U635" s="239"/>
      <c r="V635" s="224"/>
      <c r="W635" s="261"/>
    </row>
    <row r="636" spans="1:23" x14ac:dyDescent="0.25">
      <c r="A636" s="215"/>
      <c r="B636" s="215"/>
      <c r="C636" s="215"/>
      <c r="D636" s="215"/>
      <c r="E636" s="221"/>
      <c r="F636" s="221"/>
      <c r="G636" s="222"/>
      <c r="H636" s="221"/>
      <c r="I636" s="223"/>
      <c r="J636" s="237"/>
      <c r="K636" s="223"/>
      <c r="L636" s="236"/>
      <c r="M636" s="222"/>
      <c r="N636" s="224"/>
      <c r="O636" s="222"/>
      <c r="P636" s="224"/>
      <c r="Q636" s="222"/>
      <c r="R636" s="224"/>
      <c r="S636" s="239"/>
      <c r="T636" s="224"/>
      <c r="U636" s="239"/>
      <c r="V636" s="224"/>
      <c r="W636" s="261"/>
    </row>
    <row r="637" spans="1:23" x14ac:dyDescent="0.25">
      <c r="A637" s="215"/>
      <c r="B637" s="215"/>
      <c r="C637" s="215"/>
      <c r="D637" s="215"/>
      <c r="E637" s="221"/>
      <c r="F637" s="221"/>
      <c r="G637" s="222"/>
      <c r="H637" s="221"/>
      <c r="I637" s="223"/>
      <c r="J637" s="237"/>
      <c r="K637" s="223"/>
      <c r="L637" s="236"/>
      <c r="M637" s="222"/>
      <c r="N637" s="224"/>
      <c r="O637" s="222"/>
      <c r="P637" s="224"/>
      <c r="Q637" s="222"/>
      <c r="R637" s="224"/>
      <c r="S637" s="239"/>
      <c r="T637" s="224"/>
      <c r="U637" s="239"/>
      <c r="V637" s="224"/>
      <c r="W637" s="261"/>
    </row>
    <row r="638" spans="1:23" x14ac:dyDescent="0.25">
      <c r="A638" s="215"/>
      <c r="B638" s="215"/>
      <c r="C638" s="215"/>
      <c r="D638" s="215"/>
      <c r="E638" s="221"/>
      <c r="F638" s="221"/>
      <c r="G638" s="222"/>
      <c r="H638" s="221"/>
      <c r="I638" s="223"/>
      <c r="J638" s="237"/>
      <c r="K638" s="223"/>
      <c r="L638" s="236"/>
      <c r="M638" s="222"/>
      <c r="N638" s="224"/>
      <c r="O638" s="222"/>
      <c r="P638" s="224"/>
      <c r="Q638" s="222"/>
      <c r="R638" s="224"/>
      <c r="S638" s="239"/>
      <c r="T638" s="224"/>
      <c r="U638" s="239"/>
      <c r="V638" s="224"/>
      <c r="W638" s="261"/>
    </row>
    <row r="639" spans="1:23" x14ac:dyDescent="0.25">
      <c r="A639" s="215"/>
      <c r="B639" s="215"/>
      <c r="C639" s="215"/>
      <c r="D639" s="215"/>
      <c r="E639" s="221"/>
      <c r="F639" s="221"/>
      <c r="G639" s="222"/>
      <c r="H639" s="221"/>
      <c r="I639" s="223"/>
      <c r="J639" s="237"/>
      <c r="K639" s="223"/>
      <c r="L639" s="236"/>
      <c r="M639" s="222"/>
      <c r="N639" s="224"/>
      <c r="O639" s="222"/>
      <c r="P639" s="224"/>
      <c r="Q639" s="222"/>
      <c r="R639" s="224"/>
      <c r="S639" s="239"/>
      <c r="T639" s="224"/>
      <c r="U639" s="239"/>
      <c r="V639" s="224"/>
      <c r="W639" s="261"/>
    </row>
    <row r="640" spans="1:23" x14ac:dyDescent="0.25">
      <c r="A640" s="215"/>
      <c r="B640" s="215"/>
      <c r="C640" s="215"/>
      <c r="D640" s="215"/>
      <c r="E640" s="221"/>
      <c r="F640" s="221"/>
      <c r="G640" s="222"/>
      <c r="H640" s="221"/>
      <c r="I640" s="223"/>
      <c r="J640" s="237"/>
      <c r="K640" s="223"/>
      <c r="L640" s="236"/>
      <c r="M640" s="222"/>
      <c r="N640" s="224"/>
      <c r="O640" s="222"/>
      <c r="P640" s="224"/>
      <c r="Q640" s="222"/>
      <c r="R640" s="224"/>
      <c r="S640" s="239"/>
      <c r="T640" s="224"/>
      <c r="U640" s="239"/>
      <c r="V640" s="224"/>
      <c r="W640" s="261"/>
    </row>
    <row r="641" spans="1:23" x14ac:dyDescent="0.25">
      <c r="A641" s="215"/>
      <c r="B641" s="215"/>
      <c r="C641" s="215"/>
      <c r="D641" s="215"/>
      <c r="E641" s="221"/>
      <c r="F641" s="221"/>
      <c r="G641" s="222"/>
      <c r="H641" s="221"/>
      <c r="I641" s="223"/>
      <c r="J641" s="237"/>
      <c r="K641" s="223"/>
      <c r="L641" s="236"/>
      <c r="M641" s="222"/>
      <c r="N641" s="224"/>
      <c r="O641" s="222"/>
      <c r="P641" s="224"/>
      <c r="Q641" s="222"/>
      <c r="R641" s="224"/>
      <c r="S641" s="239"/>
      <c r="T641" s="224"/>
      <c r="U641" s="239"/>
      <c r="V641" s="224"/>
      <c r="W641" s="261"/>
    </row>
    <row r="642" spans="1:23" x14ac:dyDescent="0.25">
      <c r="A642" s="215"/>
      <c r="B642" s="215"/>
      <c r="C642" s="215"/>
      <c r="D642" s="215"/>
      <c r="E642" s="221"/>
      <c r="F642" s="221"/>
      <c r="G642" s="222"/>
      <c r="H642" s="221"/>
      <c r="I642" s="223"/>
      <c r="J642" s="237"/>
      <c r="K642" s="223"/>
      <c r="L642" s="236"/>
      <c r="M642" s="222"/>
      <c r="N642" s="224"/>
      <c r="O642" s="222"/>
      <c r="P642" s="224"/>
      <c r="Q642" s="222"/>
      <c r="R642" s="224"/>
      <c r="S642" s="239"/>
      <c r="T642" s="224"/>
      <c r="U642" s="239"/>
      <c r="V642" s="224"/>
      <c r="W642" s="261"/>
    </row>
    <row r="643" spans="1:23" x14ac:dyDescent="0.25">
      <c r="A643" s="215"/>
      <c r="B643" s="215"/>
      <c r="C643" s="215"/>
      <c r="D643" s="215"/>
      <c r="E643" s="221"/>
      <c r="F643" s="221"/>
      <c r="G643" s="222"/>
      <c r="H643" s="221"/>
      <c r="I643" s="223"/>
      <c r="J643" s="237"/>
      <c r="K643" s="223"/>
      <c r="L643" s="236"/>
      <c r="M643" s="222"/>
      <c r="N643" s="224"/>
      <c r="O643" s="222"/>
      <c r="P643" s="224"/>
      <c r="Q643" s="222"/>
      <c r="R643" s="224"/>
      <c r="S643" s="239"/>
      <c r="T643" s="224"/>
      <c r="U643" s="239"/>
      <c r="V643" s="224"/>
      <c r="W643" s="261"/>
    </row>
    <row r="644" spans="1:23" x14ac:dyDescent="0.25">
      <c r="A644" s="215"/>
      <c r="B644" s="215"/>
      <c r="C644" s="215"/>
      <c r="D644" s="215"/>
      <c r="E644" s="221"/>
      <c r="F644" s="221"/>
      <c r="G644" s="222"/>
      <c r="H644" s="221"/>
      <c r="I644" s="223"/>
      <c r="J644" s="237"/>
      <c r="K644" s="223"/>
      <c r="L644" s="236"/>
      <c r="M644" s="222"/>
      <c r="N644" s="224"/>
      <c r="O644" s="222"/>
      <c r="P644" s="224"/>
      <c r="Q644" s="222"/>
      <c r="R644" s="224"/>
      <c r="S644" s="239"/>
      <c r="T644" s="224"/>
      <c r="U644" s="239"/>
      <c r="V644" s="224"/>
      <c r="W644" s="261"/>
    </row>
    <row r="645" spans="1:23" x14ac:dyDescent="0.25">
      <c r="A645" s="215"/>
      <c r="B645" s="215"/>
      <c r="C645" s="215"/>
      <c r="D645" s="215"/>
      <c r="E645" s="221"/>
      <c r="F645" s="221"/>
      <c r="G645" s="222"/>
      <c r="H645" s="221"/>
      <c r="I645" s="223"/>
      <c r="J645" s="237"/>
      <c r="K645" s="223"/>
      <c r="L645" s="236"/>
      <c r="M645" s="222"/>
      <c r="N645" s="224"/>
      <c r="O645" s="222"/>
      <c r="P645" s="224"/>
      <c r="Q645" s="222"/>
      <c r="R645" s="224"/>
      <c r="S645" s="239"/>
      <c r="T645" s="224"/>
      <c r="U645" s="239"/>
      <c r="V645" s="224"/>
      <c r="W645" s="261"/>
    </row>
    <row r="646" spans="1:23" x14ac:dyDescent="0.25">
      <c r="A646" s="215"/>
      <c r="B646" s="215"/>
      <c r="C646" s="215"/>
      <c r="D646" s="215"/>
      <c r="E646" s="221"/>
      <c r="F646" s="221"/>
      <c r="G646" s="222"/>
      <c r="H646" s="221"/>
      <c r="I646" s="223"/>
      <c r="J646" s="237"/>
      <c r="K646" s="223"/>
      <c r="L646" s="236"/>
      <c r="M646" s="222"/>
      <c r="N646" s="224"/>
      <c r="O646" s="222"/>
      <c r="P646" s="224"/>
      <c r="Q646" s="222"/>
      <c r="R646" s="224"/>
      <c r="S646" s="239"/>
      <c r="T646" s="224"/>
      <c r="U646" s="239"/>
      <c r="V646" s="224"/>
      <c r="W646" s="261"/>
    </row>
    <row r="647" spans="1:23" x14ac:dyDescent="0.25">
      <c r="A647" s="215"/>
      <c r="B647" s="215"/>
      <c r="C647" s="215"/>
      <c r="D647" s="215"/>
      <c r="E647" s="221"/>
      <c r="F647" s="221"/>
      <c r="G647" s="222"/>
      <c r="H647" s="221"/>
      <c r="I647" s="223"/>
      <c r="J647" s="237"/>
      <c r="K647" s="223"/>
      <c r="L647" s="236"/>
      <c r="M647" s="222"/>
      <c r="N647" s="224"/>
      <c r="O647" s="222"/>
      <c r="P647" s="224"/>
      <c r="Q647" s="222"/>
      <c r="R647" s="224"/>
      <c r="S647" s="239"/>
      <c r="T647" s="224"/>
      <c r="U647" s="239"/>
      <c r="V647" s="224"/>
      <c r="W647" s="261"/>
    </row>
    <row r="648" spans="1:23" x14ac:dyDescent="0.25">
      <c r="A648" s="215"/>
      <c r="B648" s="215"/>
      <c r="C648" s="215"/>
      <c r="D648" s="215"/>
      <c r="E648" s="221"/>
      <c r="F648" s="221"/>
      <c r="G648" s="222"/>
      <c r="H648" s="221"/>
      <c r="I648" s="223"/>
      <c r="J648" s="237"/>
      <c r="K648" s="223"/>
      <c r="L648" s="236"/>
      <c r="M648" s="222"/>
      <c r="N648" s="224"/>
      <c r="O648" s="222"/>
      <c r="P648" s="224"/>
      <c r="Q648" s="222"/>
      <c r="R648" s="224"/>
      <c r="S648" s="239"/>
      <c r="T648" s="224"/>
      <c r="U648" s="239"/>
      <c r="V648" s="224"/>
      <c r="W648" s="261"/>
    </row>
    <row r="649" spans="1:23" x14ac:dyDescent="0.25">
      <c r="A649" s="215"/>
      <c r="B649" s="215"/>
      <c r="C649" s="215"/>
      <c r="D649" s="215"/>
      <c r="E649" s="221"/>
      <c r="F649" s="221"/>
      <c r="G649" s="222"/>
      <c r="H649" s="221"/>
      <c r="I649" s="223"/>
      <c r="J649" s="237"/>
      <c r="K649" s="223"/>
      <c r="L649" s="236"/>
      <c r="M649" s="222"/>
      <c r="N649" s="224"/>
      <c r="O649" s="222"/>
      <c r="P649" s="224"/>
      <c r="Q649" s="222"/>
      <c r="R649" s="224"/>
      <c r="S649" s="239"/>
      <c r="T649" s="224"/>
      <c r="U649" s="239"/>
      <c r="V649" s="224"/>
      <c r="W649" s="261"/>
    </row>
    <row r="650" spans="1:23" x14ac:dyDescent="0.25">
      <c r="A650" s="215"/>
      <c r="B650" s="215"/>
      <c r="C650" s="215"/>
      <c r="D650" s="215"/>
      <c r="E650" s="221"/>
      <c r="F650" s="221"/>
      <c r="G650" s="222"/>
      <c r="H650" s="221"/>
      <c r="I650" s="223"/>
      <c r="J650" s="237"/>
      <c r="K650" s="223"/>
      <c r="L650" s="236"/>
      <c r="M650" s="222"/>
      <c r="N650" s="224"/>
      <c r="O650" s="222"/>
      <c r="P650" s="224"/>
      <c r="Q650" s="222"/>
      <c r="R650" s="224"/>
      <c r="S650" s="239"/>
      <c r="T650" s="224"/>
      <c r="U650" s="239"/>
      <c r="V650" s="224"/>
      <c r="W650" s="261"/>
    </row>
    <row r="651" spans="1:23" x14ac:dyDescent="0.25">
      <c r="A651" s="215"/>
      <c r="B651" s="215"/>
      <c r="C651" s="215"/>
      <c r="D651" s="215"/>
      <c r="E651" s="221"/>
      <c r="F651" s="221"/>
      <c r="G651" s="222"/>
      <c r="H651" s="221"/>
      <c r="I651" s="223"/>
      <c r="J651" s="237"/>
      <c r="K651" s="223"/>
      <c r="L651" s="236"/>
      <c r="M651" s="222"/>
      <c r="N651" s="224"/>
      <c r="O651" s="222"/>
      <c r="P651" s="224"/>
      <c r="Q651" s="222"/>
      <c r="R651" s="224"/>
      <c r="S651" s="239"/>
      <c r="T651" s="224"/>
      <c r="U651" s="239"/>
      <c r="V651" s="224"/>
      <c r="W651" s="261"/>
    </row>
    <row r="652" spans="1:23" x14ac:dyDescent="0.25">
      <c r="A652" s="215"/>
      <c r="B652" s="215"/>
      <c r="C652" s="215"/>
      <c r="D652" s="215"/>
      <c r="E652" s="221"/>
      <c r="F652" s="221"/>
      <c r="G652" s="222"/>
      <c r="H652" s="221"/>
      <c r="I652" s="223"/>
      <c r="J652" s="237"/>
      <c r="K652" s="223"/>
      <c r="L652" s="236"/>
      <c r="M652" s="222"/>
      <c r="N652" s="224"/>
      <c r="O652" s="222"/>
      <c r="P652" s="224"/>
      <c r="Q652" s="222"/>
      <c r="R652" s="224"/>
      <c r="S652" s="239"/>
      <c r="T652" s="224"/>
      <c r="U652" s="239"/>
      <c r="V652" s="224"/>
      <c r="W652" s="261"/>
    </row>
    <row r="653" spans="1:23" x14ac:dyDescent="0.25">
      <c r="A653" s="215"/>
      <c r="B653" s="215"/>
      <c r="C653" s="215"/>
      <c r="D653" s="215"/>
      <c r="E653" s="221"/>
      <c r="F653" s="221"/>
      <c r="G653" s="222"/>
      <c r="H653" s="221"/>
      <c r="I653" s="223"/>
      <c r="J653" s="237"/>
      <c r="K653" s="223"/>
      <c r="L653" s="236"/>
      <c r="M653" s="222"/>
      <c r="N653" s="224"/>
      <c r="O653" s="222"/>
      <c r="P653" s="224"/>
      <c r="Q653" s="222"/>
      <c r="R653" s="224"/>
      <c r="S653" s="239"/>
      <c r="T653" s="224"/>
      <c r="U653" s="239"/>
      <c r="V653" s="224"/>
      <c r="W653" s="261"/>
    </row>
    <row r="654" spans="1:23" x14ac:dyDescent="0.25">
      <c r="A654" s="215"/>
      <c r="B654" s="215"/>
      <c r="C654" s="215"/>
      <c r="D654" s="215"/>
      <c r="E654" s="221"/>
      <c r="F654" s="221"/>
      <c r="G654" s="222"/>
      <c r="H654" s="221"/>
      <c r="I654" s="223"/>
      <c r="J654" s="237"/>
      <c r="K654" s="223"/>
      <c r="L654" s="236"/>
      <c r="M654" s="222"/>
      <c r="N654" s="224"/>
      <c r="O654" s="222"/>
      <c r="P654" s="224"/>
      <c r="Q654" s="222"/>
      <c r="R654" s="224"/>
      <c r="S654" s="239"/>
      <c r="T654" s="224"/>
      <c r="U654" s="239"/>
      <c r="V654" s="224"/>
      <c r="W654" s="261"/>
    </row>
    <row r="655" spans="1:23" x14ac:dyDescent="0.25">
      <c r="A655" s="215"/>
      <c r="B655" s="215"/>
      <c r="C655" s="215"/>
      <c r="D655" s="215"/>
      <c r="E655" s="221"/>
      <c r="F655" s="221"/>
      <c r="G655" s="222"/>
      <c r="H655" s="221"/>
      <c r="I655" s="223"/>
      <c r="J655" s="237"/>
      <c r="K655" s="223"/>
      <c r="L655" s="236"/>
      <c r="M655" s="222"/>
      <c r="N655" s="224"/>
      <c r="O655" s="222"/>
      <c r="P655" s="224"/>
      <c r="Q655" s="222"/>
      <c r="R655" s="224"/>
      <c r="S655" s="239"/>
      <c r="T655" s="224"/>
      <c r="U655" s="239"/>
      <c r="V655" s="224"/>
      <c r="W655" s="261"/>
    </row>
    <row r="656" spans="1:23" x14ac:dyDescent="0.25">
      <c r="A656" s="215"/>
      <c r="B656" s="215"/>
      <c r="C656" s="215"/>
      <c r="D656" s="215"/>
      <c r="E656" s="221"/>
      <c r="F656" s="221"/>
      <c r="G656" s="222"/>
      <c r="H656" s="221"/>
      <c r="I656" s="223"/>
      <c r="J656" s="237"/>
      <c r="K656" s="223"/>
      <c r="L656" s="236"/>
      <c r="M656" s="222"/>
      <c r="N656" s="224"/>
      <c r="O656" s="222"/>
      <c r="P656" s="224"/>
      <c r="Q656" s="222"/>
      <c r="R656" s="224"/>
      <c r="S656" s="239"/>
      <c r="T656" s="224"/>
      <c r="U656" s="239"/>
      <c r="V656" s="224"/>
      <c r="W656" s="261"/>
    </row>
    <row r="657" spans="1:23" x14ac:dyDescent="0.25">
      <c r="A657" s="215"/>
      <c r="B657" s="215"/>
      <c r="C657" s="215"/>
      <c r="D657" s="215"/>
      <c r="E657" s="221"/>
      <c r="F657" s="221"/>
      <c r="G657" s="222"/>
      <c r="H657" s="221"/>
      <c r="I657" s="223"/>
      <c r="J657" s="237"/>
      <c r="K657" s="223"/>
      <c r="L657" s="236"/>
      <c r="M657" s="222"/>
      <c r="N657" s="224"/>
      <c r="O657" s="222"/>
      <c r="P657" s="224"/>
      <c r="Q657" s="222"/>
      <c r="R657" s="224"/>
      <c r="S657" s="239"/>
      <c r="T657" s="224"/>
      <c r="U657" s="239"/>
      <c r="V657" s="224"/>
      <c r="W657" s="261"/>
    </row>
    <row r="658" spans="1:23" x14ac:dyDescent="0.25">
      <c r="A658" s="215"/>
      <c r="B658" s="215"/>
      <c r="C658" s="215"/>
      <c r="D658" s="215"/>
      <c r="E658" s="221"/>
      <c r="F658" s="221"/>
      <c r="G658" s="222"/>
      <c r="H658" s="221"/>
      <c r="I658" s="223"/>
      <c r="J658" s="237"/>
      <c r="K658" s="223"/>
      <c r="L658" s="236"/>
      <c r="M658" s="222"/>
      <c r="N658" s="224"/>
      <c r="O658" s="222"/>
      <c r="P658" s="224"/>
      <c r="Q658" s="222"/>
      <c r="R658" s="224"/>
      <c r="S658" s="239"/>
      <c r="T658" s="224"/>
      <c r="U658" s="239"/>
      <c r="V658" s="224"/>
      <c r="W658" s="261"/>
    </row>
    <row r="659" spans="1:23" x14ac:dyDescent="0.25">
      <c r="A659" s="215"/>
      <c r="B659" s="215"/>
      <c r="C659" s="215"/>
      <c r="D659" s="215"/>
      <c r="E659" s="221"/>
      <c r="F659" s="221"/>
      <c r="G659" s="222"/>
      <c r="H659" s="221"/>
      <c r="I659" s="223"/>
      <c r="J659" s="237"/>
      <c r="K659" s="223"/>
      <c r="L659" s="236"/>
      <c r="M659" s="222"/>
      <c r="N659" s="224"/>
      <c r="O659" s="222"/>
      <c r="P659" s="224"/>
      <c r="Q659" s="222"/>
      <c r="R659" s="224"/>
      <c r="S659" s="239"/>
      <c r="T659" s="224"/>
      <c r="U659" s="239"/>
      <c r="V659" s="224"/>
      <c r="W659" s="261"/>
    </row>
    <row r="660" spans="1:23" x14ac:dyDescent="0.25">
      <c r="A660" s="215"/>
      <c r="B660" s="215"/>
      <c r="C660" s="215"/>
      <c r="D660" s="215"/>
      <c r="E660" s="221"/>
      <c r="F660" s="221"/>
      <c r="G660" s="222"/>
      <c r="H660" s="221"/>
      <c r="I660" s="223"/>
      <c r="J660" s="237"/>
      <c r="K660" s="223"/>
      <c r="L660" s="236"/>
      <c r="M660" s="222"/>
      <c r="N660" s="224"/>
      <c r="O660" s="222"/>
      <c r="P660" s="224"/>
      <c r="Q660" s="222"/>
      <c r="R660" s="224"/>
      <c r="S660" s="239"/>
      <c r="T660" s="224"/>
      <c r="U660" s="239"/>
      <c r="V660" s="224"/>
      <c r="W660" s="261"/>
    </row>
    <row r="661" spans="1:23" x14ac:dyDescent="0.25">
      <c r="A661" s="215"/>
      <c r="B661" s="215"/>
      <c r="C661" s="215"/>
      <c r="D661" s="215"/>
      <c r="E661" s="221"/>
      <c r="F661" s="221"/>
      <c r="G661" s="222"/>
      <c r="H661" s="221"/>
      <c r="I661" s="223"/>
      <c r="J661" s="237"/>
      <c r="K661" s="223"/>
      <c r="L661" s="236"/>
      <c r="M661" s="222"/>
      <c r="N661" s="224"/>
      <c r="O661" s="222"/>
      <c r="P661" s="224"/>
      <c r="Q661" s="222"/>
      <c r="R661" s="224"/>
      <c r="S661" s="239"/>
      <c r="T661" s="224"/>
      <c r="U661" s="239"/>
      <c r="V661" s="224"/>
      <c r="W661" s="261"/>
    </row>
    <row r="662" spans="1:23" x14ac:dyDescent="0.25">
      <c r="A662" s="215"/>
      <c r="B662" s="215"/>
      <c r="C662" s="215"/>
      <c r="D662" s="215"/>
      <c r="E662" s="221"/>
      <c r="F662" s="221"/>
      <c r="G662" s="222"/>
      <c r="H662" s="221"/>
      <c r="I662" s="223"/>
      <c r="J662" s="237"/>
      <c r="K662" s="223"/>
      <c r="L662" s="236"/>
      <c r="M662" s="222"/>
      <c r="N662" s="224"/>
      <c r="O662" s="222"/>
      <c r="P662" s="224"/>
      <c r="Q662" s="222"/>
      <c r="R662" s="224"/>
      <c r="S662" s="239"/>
      <c r="T662" s="224"/>
      <c r="U662" s="239"/>
      <c r="V662" s="224"/>
      <c r="W662" s="261"/>
    </row>
    <row r="663" spans="1:23" x14ac:dyDescent="0.25">
      <c r="A663" s="215"/>
      <c r="B663" s="215"/>
      <c r="C663" s="215"/>
      <c r="D663" s="215"/>
      <c r="E663" s="221"/>
      <c r="F663" s="221"/>
      <c r="G663" s="222"/>
      <c r="H663" s="221"/>
      <c r="I663" s="223"/>
      <c r="J663" s="237"/>
      <c r="K663" s="223"/>
      <c r="L663" s="236"/>
      <c r="M663" s="222"/>
      <c r="N663" s="224"/>
      <c r="O663" s="222"/>
      <c r="P663" s="224"/>
      <c r="Q663" s="222"/>
      <c r="R663" s="224"/>
      <c r="S663" s="239"/>
      <c r="T663" s="224"/>
      <c r="U663" s="239"/>
      <c r="V663" s="224"/>
      <c r="W663" s="261"/>
    </row>
    <row r="664" spans="1:23" x14ac:dyDescent="0.25">
      <c r="A664" s="215"/>
      <c r="B664" s="215"/>
      <c r="C664" s="215"/>
      <c r="D664" s="215"/>
      <c r="E664" s="221"/>
      <c r="F664" s="221"/>
      <c r="G664" s="222"/>
      <c r="H664" s="221"/>
      <c r="I664" s="223"/>
      <c r="J664" s="237"/>
      <c r="K664" s="223"/>
      <c r="L664" s="236"/>
      <c r="M664" s="222"/>
      <c r="N664" s="224"/>
      <c r="O664" s="222"/>
      <c r="P664" s="224"/>
      <c r="Q664" s="222"/>
      <c r="R664" s="224"/>
      <c r="S664" s="239"/>
      <c r="T664" s="224"/>
      <c r="U664" s="239"/>
      <c r="V664" s="224"/>
      <c r="W664" s="261"/>
    </row>
    <row r="665" spans="1:23" x14ac:dyDescent="0.25">
      <c r="A665" s="215"/>
      <c r="B665" s="215"/>
      <c r="C665" s="215"/>
      <c r="D665" s="215"/>
      <c r="E665" s="221"/>
      <c r="F665" s="221"/>
      <c r="G665" s="222"/>
      <c r="H665" s="221"/>
      <c r="I665" s="223"/>
      <c r="J665" s="237"/>
      <c r="K665" s="223"/>
      <c r="L665" s="236"/>
      <c r="M665" s="222"/>
      <c r="N665" s="224"/>
      <c r="O665" s="222"/>
      <c r="P665" s="224"/>
      <c r="Q665" s="222"/>
      <c r="R665" s="224"/>
      <c r="S665" s="239"/>
      <c r="T665" s="224"/>
      <c r="U665" s="239"/>
      <c r="V665" s="224"/>
      <c r="W665" s="261"/>
    </row>
    <row r="666" spans="1:23" x14ac:dyDescent="0.25">
      <c r="A666" s="215"/>
      <c r="B666" s="215"/>
      <c r="C666" s="215"/>
      <c r="D666" s="215"/>
      <c r="E666" s="221"/>
      <c r="F666" s="221"/>
      <c r="G666" s="222"/>
      <c r="H666" s="221"/>
      <c r="I666" s="223"/>
      <c r="J666" s="237"/>
      <c r="K666" s="223"/>
      <c r="L666" s="236"/>
      <c r="M666" s="222"/>
      <c r="N666" s="224"/>
      <c r="O666" s="222"/>
      <c r="P666" s="224"/>
      <c r="Q666" s="222"/>
      <c r="R666" s="224"/>
      <c r="S666" s="239"/>
      <c r="T666" s="224"/>
      <c r="U666" s="239"/>
      <c r="V666" s="224"/>
      <c r="W666" s="261"/>
    </row>
    <row r="667" spans="1:23" x14ac:dyDescent="0.25">
      <c r="A667" s="215"/>
      <c r="B667" s="215"/>
      <c r="C667" s="215"/>
      <c r="D667" s="215"/>
      <c r="E667" s="221"/>
      <c r="F667" s="221"/>
      <c r="G667" s="222"/>
      <c r="H667" s="221"/>
      <c r="I667" s="223"/>
      <c r="J667" s="237"/>
      <c r="K667" s="223"/>
      <c r="L667" s="236"/>
      <c r="M667" s="222"/>
      <c r="N667" s="224"/>
      <c r="O667" s="222"/>
      <c r="P667" s="224"/>
      <c r="Q667" s="222"/>
      <c r="R667" s="224"/>
      <c r="S667" s="239"/>
      <c r="T667" s="224"/>
      <c r="U667" s="239"/>
      <c r="V667" s="224"/>
      <c r="W667" s="261"/>
    </row>
    <row r="668" spans="1:23" x14ac:dyDescent="0.25">
      <c r="A668" s="215"/>
      <c r="B668" s="215"/>
      <c r="C668" s="215"/>
      <c r="D668" s="215"/>
      <c r="E668" s="221"/>
      <c r="F668" s="221"/>
      <c r="G668" s="222"/>
      <c r="H668" s="221"/>
      <c r="I668" s="223"/>
      <c r="J668" s="237"/>
      <c r="K668" s="223"/>
      <c r="L668" s="236"/>
      <c r="M668" s="222"/>
      <c r="N668" s="224"/>
      <c r="O668" s="222"/>
      <c r="P668" s="224"/>
      <c r="Q668" s="222"/>
      <c r="R668" s="224"/>
      <c r="S668" s="239"/>
      <c r="T668" s="224"/>
      <c r="U668" s="239"/>
      <c r="V668" s="224"/>
      <c r="W668" s="261"/>
    </row>
    <row r="669" spans="1:23" x14ac:dyDescent="0.25">
      <c r="A669" s="215"/>
      <c r="B669" s="215"/>
      <c r="C669" s="215"/>
      <c r="D669" s="215"/>
      <c r="E669" s="221"/>
      <c r="F669" s="221"/>
      <c r="G669" s="222"/>
      <c r="H669" s="221"/>
      <c r="I669" s="223"/>
      <c r="J669" s="237"/>
      <c r="K669" s="223"/>
      <c r="L669" s="236"/>
      <c r="M669" s="222"/>
      <c r="N669" s="224"/>
      <c r="O669" s="222"/>
      <c r="P669" s="224"/>
      <c r="Q669" s="222"/>
      <c r="R669" s="224"/>
      <c r="S669" s="239"/>
      <c r="T669" s="224"/>
      <c r="U669" s="239"/>
      <c r="V669" s="224"/>
      <c r="W669" s="261"/>
    </row>
    <row r="670" spans="1:23" x14ac:dyDescent="0.25">
      <c r="A670" s="215"/>
      <c r="B670" s="215"/>
      <c r="C670" s="215"/>
      <c r="D670" s="215"/>
      <c r="E670" s="221"/>
      <c r="F670" s="221"/>
      <c r="G670" s="222"/>
      <c r="H670" s="221"/>
      <c r="I670" s="223"/>
      <c r="J670" s="237"/>
      <c r="K670" s="223"/>
      <c r="L670" s="236"/>
      <c r="M670" s="222"/>
      <c r="N670" s="224"/>
      <c r="O670" s="222"/>
      <c r="P670" s="224"/>
      <c r="Q670" s="222"/>
      <c r="R670" s="224"/>
      <c r="S670" s="239"/>
      <c r="T670" s="224"/>
      <c r="U670" s="239"/>
      <c r="V670" s="224"/>
      <c r="W670" s="261"/>
    </row>
    <row r="671" spans="1:23" x14ac:dyDescent="0.25">
      <c r="A671" s="215"/>
      <c r="B671" s="215"/>
      <c r="C671" s="215"/>
      <c r="D671" s="215"/>
      <c r="E671" s="221"/>
      <c r="F671" s="221"/>
      <c r="G671" s="222"/>
      <c r="H671" s="221"/>
      <c r="I671" s="223"/>
      <c r="J671" s="237"/>
      <c r="K671" s="223"/>
      <c r="L671" s="236"/>
      <c r="M671" s="222"/>
      <c r="N671" s="224"/>
      <c r="O671" s="222"/>
      <c r="P671" s="224"/>
      <c r="Q671" s="222"/>
      <c r="R671" s="224"/>
      <c r="S671" s="239"/>
      <c r="T671" s="224"/>
      <c r="U671" s="239"/>
      <c r="V671" s="224"/>
      <c r="W671" s="261"/>
    </row>
    <row r="672" spans="1:23" x14ac:dyDescent="0.25">
      <c r="A672" s="215"/>
      <c r="B672" s="215"/>
      <c r="C672" s="215"/>
      <c r="D672" s="215"/>
      <c r="E672" s="221"/>
      <c r="F672" s="221"/>
      <c r="G672" s="222"/>
      <c r="H672" s="221"/>
      <c r="I672" s="223"/>
      <c r="J672" s="237"/>
      <c r="K672" s="223"/>
      <c r="L672" s="236"/>
      <c r="M672" s="222"/>
      <c r="N672" s="224"/>
      <c r="O672" s="222"/>
      <c r="P672" s="224"/>
      <c r="Q672" s="222"/>
      <c r="R672" s="224"/>
      <c r="S672" s="239"/>
      <c r="T672" s="224"/>
      <c r="U672" s="239"/>
      <c r="V672" s="224"/>
      <c r="W672" s="261"/>
    </row>
    <row r="673" spans="1:23" x14ac:dyDescent="0.25">
      <c r="A673" s="215"/>
      <c r="B673" s="215"/>
      <c r="C673" s="215"/>
      <c r="D673" s="215"/>
      <c r="E673" s="221"/>
      <c r="F673" s="221"/>
      <c r="G673" s="222"/>
      <c r="H673" s="221"/>
      <c r="I673" s="223"/>
      <c r="J673" s="237"/>
      <c r="K673" s="223"/>
      <c r="L673" s="236"/>
      <c r="M673" s="222"/>
      <c r="N673" s="224"/>
      <c r="O673" s="222"/>
      <c r="P673" s="224"/>
      <c r="Q673" s="222"/>
      <c r="R673" s="224"/>
      <c r="S673" s="239"/>
      <c r="T673" s="224"/>
      <c r="U673" s="239"/>
      <c r="V673" s="224"/>
      <c r="W673" s="261"/>
    </row>
    <row r="674" spans="1:23" x14ac:dyDescent="0.25">
      <c r="A674" s="215"/>
      <c r="B674" s="215"/>
      <c r="C674" s="215"/>
      <c r="D674" s="215"/>
      <c r="E674" s="221"/>
      <c r="F674" s="221"/>
      <c r="G674" s="222"/>
      <c r="H674" s="221"/>
      <c r="I674" s="223"/>
      <c r="J674" s="237"/>
      <c r="K674" s="223"/>
      <c r="L674" s="236"/>
      <c r="M674" s="222"/>
      <c r="N674" s="224"/>
      <c r="O674" s="222"/>
      <c r="P674" s="224"/>
      <c r="Q674" s="222"/>
      <c r="R674" s="224"/>
      <c r="S674" s="239"/>
      <c r="T674" s="224"/>
      <c r="U674" s="239"/>
      <c r="V674" s="224"/>
      <c r="W674" s="261"/>
    </row>
    <row r="675" spans="1:23" x14ac:dyDescent="0.25">
      <c r="A675" s="215"/>
      <c r="B675" s="215"/>
      <c r="C675" s="215"/>
      <c r="D675" s="215"/>
      <c r="E675" s="221"/>
      <c r="F675" s="221"/>
      <c r="G675" s="222"/>
      <c r="H675" s="221"/>
      <c r="I675" s="223"/>
      <c r="J675" s="237"/>
      <c r="K675" s="223"/>
      <c r="L675" s="236"/>
      <c r="M675" s="222"/>
      <c r="N675" s="224"/>
      <c r="O675" s="222"/>
      <c r="P675" s="224"/>
      <c r="Q675" s="222"/>
      <c r="R675" s="224"/>
      <c r="S675" s="239"/>
      <c r="T675" s="224"/>
      <c r="U675" s="239"/>
      <c r="V675" s="224"/>
      <c r="W675" s="261"/>
    </row>
    <row r="676" spans="1:23" x14ac:dyDescent="0.25">
      <c r="A676" s="215"/>
      <c r="B676" s="215"/>
      <c r="C676" s="215"/>
      <c r="D676" s="215"/>
      <c r="E676" s="221"/>
      <c r="F676" s="221"/>
      <c r="G676" s="222"/>
      <c r="H676" s="221"/>
      <c r="I676" s="223"/>
      <c r="J676" s="237"/>
      <c r="K676" s="223"/>
      <c r="L676" s="236"/>
      <c r="M676" s="222"/>
      <c r="N676" s="224"/>
      <c r="O676" s="222"/>
      <c r="P676" s="224"/>
      <c r="Q676" s="222"/>
      <c r="R676" s="224"/>
      <c r="S676" s="239"/>
      <c r="T676" s="224"/>
      <c r="U676" s="239"/>
      <c r="V676" s="224"/>
      <c r="W676" s="261"/>
    </row>
    <row r="677" spans="1:23" x14ac:dyDescent="0.25">
      <c r="A677" s="215"/>
      <c r="B677" s="215"/>
      <c r="C677" s="215"/>
      <c r="D677" s="215"/>
      <c r="E677" s="221"/>
      <c r="F677" s="221"/>
      <c r="G677" s="222"/>
      <c r="H677" s="221"/>
      <c r="I677" s="223"/>
      <c r="J677" s="237"/>
      <c r="K677" s="223"/>
      <c r="L677" s="236"/>
      <c r="M677" s="222"/>
      <c r="N677" s="224"/>
      <c r="O677" s="222"/>
      <c r="P677" s="224"/>
      <c r="Q677" s="222"/>
      <c r="R677" s="224"/>
      <c r="S677" s="239"/>
      <c r="T677" s="224"/>
      <c r="U677" s="239"/>
      <c r="V677" s="224"/>
      <c r="W677" s="261"/>
    </row>
    <row r="678" spans="1:23" x14ac:dyDescent="0.25">
      <c r="A678" s="215"/>
      <c r="B678" s="215"/>
      <c r="C678" s="215"/>
      <c r="D678" s="215"/>
      <c r="E678" s="221"/>
      <c r="F678" s="221"/>
      <c r="G678" s="222"/>
      <c r="H678" s="221"/>
      <c r="I678" s="223"/>
      <c r="J678" s="237"/>
      <c r="K678" s="223"/>
      <c r="L678" s="236"/>
      <c r="M678" s="222"/>
      <c r="N678" s="224"/>
      <c r="O678" s="222"/>
      <c r="P678" s="224"/>
      <c r="Q678" s="222"/>
      <c r="R678" s="224"/>
      <c r="S678" s="239"/>
      <c r="T678" s="224"/>
      <c r="U678" s="239"/>
      <c r="V678" s="224"/>
      <c r="W678" s="261"/>
    </row>
    <row r="679" spans="1:23" x14ac:dyDescent="0.25">
      <c r="A679" s="215"/>
      <c r="B679" s="215"/>
      <c r="C679" s="215"/>
      <c r="D679" s="215"/>
      <c r="E679" s="221"/>
      <c r="F679" s="221"/>
      <c r="G679" s="222"/>
      <c r="H679" s="221"/>
      <c r="I679" s="223"/>
      <c r="J679" s="237"/>
      <c r="K679" s="223"/>
      <c r="L679" s="236"/>
      <c r="M679" s="222"/>
      <c r="N679" s="224"/>
      <c r="O679" s="222"/>
      <c r="P679" s="224"/>
      <c r="Q679" s="222"/>
      <c r="R679" s="224"/>
      <c r="S679" s="239"/>
      <c r="T679" s="224"/>
      <c r="U679" s="239"/>
      <c r="V679" s="224"/>
      <c r="W679" s="261"/>
    </row>
    <row r="680" spans="1:23" x14ac:dyDescent="0.25">
      <c r="A680" s="215"/>
      <c r="B680" s="215"/>
      <c r="C680" s="215"/>
      <c r="D680" s="215"/>
      <c r="E680" s="221"/>
      <c r="F680" s="221"/>
      <c r="G680" s="222"/>
      <c r="H680" s="221"/>
      <c r="I680" s="223"/>
      <c r="J680" s="237"/>
      <c r="K680" s="223"/>
      <c r="L680" s="236"/>
      <c r="M680" s="222"/>
      <c r="N680" s="224"/>
      <c r="O680" s="222"/>
      <c r="P680" s="224"/>
      <c r="Q680" s="222"/>
      <c r="R680" s="224"/>
      <c r="S680" s="239"/>
      <c r="T680" s="224"/>
      <c r="U680" s="239"/>
      <c r="V680" s="224"/>
      <c r="W680" s="261"/>
    </row>
    <row r="681" spans="1:23" x14ac:dyDescent="0.25">
      <c r="A681" s="215"/>
      <c r="B681" s="215"/>
      <c r="C681" s="215"/>
      <c r="D681" s="215"/>
      <c r="E681" s="221"/>
      <c r="F681" s="221"/>
      <c r="G681" s="222"/>
      <c r="H681" s="221"/>
      <c r="I681" s="223"/>
      <c r="J681" s="237"/>
      <c r="K681" s="223"/>
      <c r="L681" s="236"/>
      <c r="M681" s="222"/>
      <c r="N681" s="224"/>
      <c r="O681" s="222"/>
      <c r="P681" s="224"/>
      <c r="Q681" s="222"/>
      <c r="R681" s="224"/>
      <c r="S681" s="239"/>
      <c r="T681" s="224"/>
      <c r="U681" s="239"/>
      <c r="V681" s="224"/>
      <c r="W681" s="261"/>
    </row>
    <row r="682" spans="1:23" x14ac:dyDescent="0.25">
      <c r="A682" s="215"/>
      <c r="B682" s="215"/>
      <c r="C682" s="215"/>
      <c r="D682" s="215"/>
      <c r="E682" s="221"/>
      <c r="F682" s="221"/>
      <c r="G682" s="222"/>
      <c r="H682" s="221"/>
      <c r="I682" s="223"/>
      <c r="J682" s="237"/>
      <c r="K682" s="223"/>
      <c r="L682" s="236"/>
      <c r="M682" s="222"/>
      <c r="N682" s="224"/>
      <c r="O682" s="222"/>
      <c r="P682" s="224"/>
      <c r="Q682" s="222"/>
      <c r="R682" s="224"/>
      <c r="S682" s="239"/>
      <c r="T682" s="224"/>
      <c r="U682" s="239"/>
      <c r="V682" s="224"/>
      <c r="W682" s="261"/>
    </row>
    <row r="683" spans="1:23" x14ac:dyDescent="0.25">
      <c r="A683" s="215"/>
      <c r="B683" s="215"/>
      <c r="C683" s="215"/>
      <c r="D683" s="215"/>
      <c r="E683" s="221"/>
      <c r="F683" s="221"/>
      <c r="G683" s="222"/>
      <c r="H683" s="221"/>
      <c r="I683" s="223"/>
      <c r="J683" s="237"/>
      <c r="K683" s="223"/>
      <c r="L683" s="236"/>
      <c r="M683" s="222"/>
      <c r="N683" s="224"/>
      <c r="O683" s="222"/>
      <c r="P683" s="224"/>
      <c r="Q683" s="222"/>
      <c r="R683" s="224"/>
      <c r="S683" s="239"/>
      <c r="T683" s="224"/>
      <c r="U683" s="239"/>
      <c r="V683" s="224"/>
      <c r="W683" s="261"/>
    </row>
    <row r="684" spans="1:23" x14ac:dyDescent="0.25">
      <c r="A684" s="215"/>
      <c r="B684" s="215"/>
      <c r="C684" s="215"/>
      <c r="D684" s="215"/>
      <c r="E684" s="221"/>
      <c r="F684" s="221"/>
      <c r="G684" s="222"/>
      <c r="H684" s="221"/>
      <c r="I684" s="223"/>
      <c r="J684" s="237"/>
      <c r="K684" s="223"/>
      <c r="L684" s="236"/>
      <c r="M684" s="222"/>
      <c r="N684" s="224"/>
      <c r="O684" s="222"/>
      <c r="P684" s="224"/>
      <c r="Q684" s="222"/>
      <c r="R684" s="224"/>
      <c r="S684" s="239"/>
      <c r="T684" s="224"/>
      <c r="U684" s="239"/>
      <c r="V684" s="224"/>
      <c r="W684" s="261"/>
    </row>
    <row r="685" spans="1:23" x14ac:dyDescent="0.25">
      <c r="A685" s="215"/>
      <c r="B685" s="215"/>
      <c r="C685" s="215"/>
      <c r="D685" s="215"/>
      <c r="E685" s="221"/>
      <c r="F685" s="221"/>
      <c r="G685" s="222"/>
      <c r="H685" s="221"/>
      <c r="I685" s="223"/>
      <c r="J685" s="237"/>
      <c r="K685" s="223"/>
      <c r="L685" s="236"/>
      <c r="M685" s="222"/>
      <c r="N685" s="224"/>
      <c r="O685" s="222"/>
      <c r="P685" s="224"/>
      <c r="Q685" s="222"/>
      <c r="R685" s="224"/>
      <c r="S685" s="239"/>
      <c r="T685" s="224"/>
      <c r="U685" s="239"/>
      <c r="V685" s="224"/>
      <c r="W685" s="261"/>
    </row>
    <row r="686" spans="1:23" x14ac:dyDescent="0.25">
      <c r="A686" s="215"/>
      <c r="B686" s="215"/>
      <c r="C686" s="215"/>
      <c r="D686" s="215"/>
      <c r="E686" s="221"/>
      <c r="F686" s="221"/>
      <c r="G686" s="222"/>
      <c r="H686" s="221"/>
      <c r="I686" s="223"/>
      <c r="J686" s="237"/>
      <c r="K686" s="223"/>
      <c r="L686" s="236"/>
      <c r="M686" s="222"/>
      <c r="N686" s="224"/>
      <c r="O686" s="222"/>
      <c r="P686" s="224"/>
      <c r="Q686" s="222"/>
      <c r="R686" s="224"/>
      <c r="S686" s="239"/>
      <c r="T686" s="224"/>
      <c r="U686" s="239"/>
      <c r="V686" s="224"/>
      <c r="W686" s="261"/>
    </row>
    <row r="687" spans="1:23" x14ac:dyDescent="0.25">
      <c r="A687" s="215"/>
      <c r="B687" s="215"/>
      <c r="C687" s="215"/>
      <c r="D687" s="215"/>
      <c r="E687" s="221"/>
      <c r="F687" s="221"/>
      <c r="G687" s="222"/>
      <c r="H687" s="221"/>
      <c r="I687" s="223"/>
      <c r="J687" s="237"/>
      <c r="K687" s="223"/>
      <c r="L687" s="236"/>
      <c r="M687" s="222"/>
      <c r="N687" s="224"/>
      <c r="O687" s="222"/>
      <c r="P687" s="224"/>
      <c r="Q687" s="222"/>
      <c r="R687" s="224"/>
      <c r="S687" s="239"/>
      <c r="T687" s="224"/>
      <c r="U687" s="239"/>
      <c r="V687" s="224"/>
      <c r="W687" s="261"/>
    </row>
    <row r="688" spans="1:23" x14ac:dyDescent="0.25">
      <c r="A688" s="215"/>
      <c r="B688" s="215"/>
      <c r="C688" s="215"/>
      <c r="D688" s="215"/>
      <c r="E688" s="221"/>
      <c r="F688" s="221"/>
      <c r="G688" s="222"/>
      <c r="H688" s="221"/>
      <c r="I688" s="223"/>
      <c r="J688" s="237"/>
      <c r="K688" s="223"/>
      <c r="L688" s="236"/>
      <c r="M688" s="222"/>
      <c r="N688" s="224"/>
      <c r="O688" s="222"/>
      <c r="P688" s="224"/>
      <c r="Q688" s="222"/>
      <c r="R688" s="224"/>
      <c r="S688" s="239"/>
      <c r="T688" s="224"/>
      <c r="U688" s="239"/>
      <c r="V688" s="224"/>
      <c r="W688" s="261"/>
    </row>
    <row r="689" spans="1:23" x14ac:dyDescent="0.25">
      <c r="A689" s="215"/>
      <c r="B689" s="215"/>
      <c r="C689" s="215"/>
      <c r="D689" s="215"/>
      <c r="E689" s="221"/>
      <c r="F689" s="221"/>
      <c r="G689" s="222"/>
      <c r="H689" s="221"/>
      <c r="I689" s="223"/>
      <c r="J689" s="237"/>
      <c r="K689" s="223"/>
      <c r="L689" s="236"/>
      <c r="M689" s="222"/>
      <c r="N689" s="224"/>
      <c r="O689" s="222"/>
      <c r="P689" s="224"/>
      <c r="Q689" s="222"/>
      <c r="R689" s="224"/>
      <c r="S689" s="239"/>
      <c r="T689" s="224"/>
      <c r="U689" s="239"/>
      <c r="V689" s="224"/>
      <c r="W689" s="261"/>
    </row>
    <row r="690" spans="1:23" x14ac:dyDescent="0.25">
      <c r="A690" s="215"/>
      <c r="B690" s="215"/>
      <c r="C690" s="215"/>
      <c r="D690" s="215"/>
      <c r="E690" s="221"/>
      <c r="F690" s="221"/>
      <c r="G690" s="222"/>
      <c r="H690" s="221"/>
      <c r="I690" s="223"/>
      <c r="J690" s="237"/>
      <c r="K690" s="223"/>
      <c r="L690" s="236"/>
      <c r="M690" s="222"/>
      <c r="N690" s="224"/>
      <c r="O690" s="222"/>
      <c r="P690" s="224"/>
      <c r="Q690" s="222"/>
      <c r="R690" s="224"/>
      <c r="S690" s="239"/>
      <c r="T690" s="224"/>
      <c r="U690" s="239"/>
      <c r="V690" s="224"/>
      <c r="W690" s="261"/>
    </row>
    <row r="691" spans="1:23" x14ac:dyDescent="0.25">
      <c r="A691" s="215"/>
      <c r="B691" s="215"/>
      <c r="C691" s="215"/>
      <c r="D691" s="215"/>
      <c r="E691" s="221"/>
      <c r="F691" s="221"/>
      <c r="G691" s="222"/>
      <c r="H691" s="221"/>
      <c r="I691" s="223"/>
      <c r="J691" s="237"/>
      <c r="K691" s="223"/>
      <c r="L691" s="236"/>
      <c r="M691" s="222"/>
      <c r="N691" s="224"/>
      <c r="O691" s="222"/>
      <c r="P691" s="224"/>
      <c r="Q691" s="222"/>
      <c r="R691" s="224"/>
      <c r="S691" s="239"/>
      <c r="T691" s="224"/>
      <c r="U691" s="239"/>
      <c r="V691" s="224"/>
      <c r="W691" s="261"/>
    </row>
    <row r="692" spans="1:23" x14ac:dyDescent="0.25">
      <c r="A692" s="215"/>
      <c r="B692" s="215"/>
      <c r="C692" s="215"/>
      <c r="D692" s="215"/>
      <c r="E692" s="221"/>
      <c r="F692" s="221"/>
      <c r="G692" s="222"/>
      <c r="H692" s="221"/>
      <c r="I692" s="223"/>
      <c r="J692" s="237"/>
      <c r="K692" s="223"/>
      <c r="L692" s="236"/>
      <c r="M692" s="222"/>
      <c r="N692" s="224"/>
      <c r="O692" s="222"/>
      <c r="P692" s="224"/>
      <c r="Q692" s="222"/>
      <c r="R692" s="224"/>
      <c r="S692" s="239"/>
      <c r="T692" s="224"/>
      <c r="U692" s="239"/>
      <c r="V692" s="224"/>
      <c r="W692" s="261"/>
    </row>
    <row r="693" spans="1:23" x14ac:dyDescent="0.25">
      <c r="A693" s="215"/>
      <c r="B693" s="215"/>
      <c r="C693" s="215"/>
      <c r="D693" s="215"/>
      <c r="E693" s="221"/>
      <c r="F693" s="221"/>
      <c r="G693" s="222"/>
      <c r="H693" s="221"/>
      <c r="I693" s="223"/>
      <c r="J693" s="237"/>
      <c r="K693" s="223"/>
      <c r="L693" s="236"/>
      <c r="M693" s="222"/>
      <c r="N693" s="224"/>
      <c r="O693" s="222"/>
      <c r="P693" s="224"/>
      <c r="Q693" s="222"/>
      <c r="R693" s="224"/>
      <c r="S693" s="239"/>
      <c r="T693" s="224"/>
      <c r="U693" s="239"/>
      <c r="V693" s="224"/>
      <c r="W693" s="261"/>
    </row>
    <row r="694" spans="1:23" x14ac:dyDescent="0.25">
      <c r="A694" s="215"/>
      <c r="B694" s="215"/>
      <c r="C694" s="215"/>
      <c r="D694" s="215"/>
      <c r="E694" s="221"/>
      <c r="F694" s="221"/>
      <c r="G694" s="222"/>
      <c r="H694" s="221"/>
      <c r="I694" s="223"/>
      <c r="J694" s="237"/>
      <c r="K694" s="223"/>
      <c r="L694" s="236"/>
      <c r="M694" s="222"/>
      <c r="N694" s="224"/>
      <c r="O694" s="222"/>
      <c r="P694" s="224"/>
      <c r="Q694" s="222"/>
      <c r="R694" s="224"/>
      <c r="S694" s="239"/>
      <c r="T694" s="224"/>
      <c r="U694" s="239"/>
      <c r="V694" s="224"/>
      <c r="W694" s="261"/>
    </row>
    <row r="695" spans="1:23" x14ac:dyDescent="0.25">
      <c r="A695" s="215"/>
      <c r="B695" s="215"/>
      <c r="C695" s="215"/>
      <c r="D695" s="215"/>
      <c r="E695" s="221"/>
      <c r="F695" s="221"/>
      <c r="G695" s="222"/>
      <c r="H695" s="221"/>
      <c r="I695" s="223"/>
      <c r="J695" s="237"/>
      <c r="K695" s="223"/>
      <c r="L695" s="236"/>
      <c r="M695" s="222"/>
      <c r="N695" s="224"/>
      <c r="O695" s="222"/>
      <c r="P695" s="224"/>
      <c r="Q695" s="222"/>
      <c r="R695" s="224"/>
      <c r="S695" s="239"/>
      <c r="T695" s="224"/>
      <c r="U695" s="239"/>
      <c r="V695" s="224"/>
      <c r="W695" s="261"/>
    </row>
    <row r="696" spans="1:23" x14ac:dyDescent="0.25">
      <c r="A696" s="215"/>
      <c r="B696" s="215"/>
      <c r="C696" s="215"/>
      <c r="D696" s="215"/>
      <c r="E696" s="221"/>
      <c r="F696" s="221"/>
      <c r="G696" s="222"/>
      <c r="H696" s="221"/>
      <c r="I696" s="223"/>
      <c r="J696" s="237"/>
      <c r="K696" s="223"/>
      <c r="L696" s="236"/>
      <c r="M696" s="222"/>
      <c r="N696" s="224"/>
      <c r="O696" s="222"/>
      <c r="P696" s="224"/>
      <c r="Q696" s="222"/>
      <c r="R696" s="224"/>
      <c r="S696" s="239"/>
      <c r="T696" s="224"/>
      <c r="U696" s="239"/>
      <c r="V696" s="224"/>
      <c r="W696" s="261"/>
    </row>
    <row r="697" spans="1:23" x14ac:dyDescent="0.25">
      <c r="A697" s="215"/>
      <c r="B697" s="215"/>
      <c r="C697" s="215"/>
      <c r="D697" s="215"/>
      <c r="E697" s="221"/>
      <c r="F697" s="221"/>
      <c r="G697" s="222"/>
      <c r="H697" s="221"/>
      <c r="I697" s="223"/>
      <c r="J697" s="237"/>
      <c r="K697" s="223"/>
      <c r="L697" s="236"/>
      <c r="M697" s="222"/>
      <c r="N697" s="224"/>
      <c r="O697" s="222"/>
      <c r="P697" s="224"/>
      <c r="Q697" s="222"/>
      <c r="R697" s="224"/>
      <c r="S697" s="239"/>
      <c r="T697" s="224"/>
      <c r="U697" s="239"/>
      <c r="V697" s="224"/>
      <c r="W697" s="261"/>
    </row>
    <row r="698" spans="1:23" x14ac:dyDescent="0.25">
      <c r="A698" s="215"/>
      <c r="B698" s="215"/>
      <c r="C698" s="215"/>
      <c r="D698" s="215"/>
      <c r="E698" s="221"/>
      <c r="F698" s="221"/>
      <c r="G698" s="222"/>
      <c r="H698" s="221"/>
      <c r="I698" s="223"/>
      <c r="J698" s="237"/>
      <c r="K698" s="223"/>
      <c r="L698" s="236"/>
      <c r="M698" s="222"/>
      <c r="N698" s="224"/>
      <c r="O698" s="222"/>
      <c r="P698" s="224"/>
      <c r="Q698" s="222"/>
      <c r="R698" s="224"/>
      <c r="S698" s="239"/>
      <c r="T698" s="224"/>
      <c r="U698" s="239"/>
      <c r="V698" s="224"/>
      <c r="W698" s="261"/>
    </row>
    <row r="699" spans="1:23" x14ac:dyDescent="0.25">
      <c r="A699" s="215"/>
      <c r="B699" s="215"/>
      <c r="C699" s="215"/>
      <c r="D699" s="215"/>
      <c r="E699" s="221"/>
      <c r="F699" s="221"/>
      <c r="G699" s="222"/>
      <c r="H699" s="221"/>
      <c r="I699" s="223"/>
      <c r="J699" s="237"/>
      <c r="K699" s="223"/>
      <c r="L699" s="236"/>
      <c r="M699" s="222"/>
      <c r="N699" s="224"/>
      <c r="O699" s="222"/>
      <c r="P699" s="224"/>
      <c r="Q699" s="222"/>
      <c r="R699" s="224"/>
      <c r="S699" s="239"/>
      <c r="T699" s="224"/>
      <c r="U699" s="239"/>
      <c r="V699" s="224"/>
      <c r="W699" s="261"/>
    </row>
    <row r="700" spans="1:23" x14ac:dyDescent="0.25">
      <c r="A700" s="215"/>
      <c r="B700" s="215"/>
      <c r="C700" s="215"/>
      <c r="D700" s="215"/>
      <c r="E700" s="221"/>
      <c r="F700" s="221"/>
      <c r="G700" s="222"/>
      <c r="H700" s="221"/>
      <c r="I700" s="223"/>
      <c r="J700" s="237"/>
      <c r="K700" s="223"/>
      <c r="L700" s="236"/>
      <c r="M700" s="222"/>
      <c r="N700" s="224"/>
      <c r="O700" s="222"/>
      <c r="P700" s="224"/>
      <c r="Q700" s="222"/>
      <c r="R700" s="224"/>
      <c r="S700" s="239"/>
      <c r="T700" s="224"/>
      <c r="U700" s="239"/>
      <c r="V700" s="224"/>
      <c r="W700" s="261"/>
    </row>
    <row r="701" spans="1:23" x14ac:dyDescent="0.25">
      <c r="A701" s="215"/>
      <c r="B701" s="215"/>
      <c r="C701" s="215"/>
      <c r="D701" s="215"/>
      <c r="E701" s="221"/>
      <c r="F701" s="221"/>
      <c r="G701" s="222"/>
      <c r="H701" s="221"/>
      <c r="I701" s="223"/>
      <c r="J701" s="237"/>
      <c r="K701" s="223"/>
      <c r="L701" s="236"/>
      <c r="M701" s="222"/>
      <c r="N701" s="224"/>
      <c r="O701" s="222"/>
      <c r="P701" s="224"/>
      <c r="Q701" s="222"/>
      <c r="R701" s="224"/>
      <c r="S701" s="239"/>
      <c r="T701" s="224"/>
      <c r="U701" s="239"/>
      <c r="V701" s="224"/>
      <c r="W701" s="261"/>
    </row>
    <row r="702" spans="1:23" x14ac:dyDescent="0.25">
      <c r="A702" s="215"/>
      <c r="B702" s="215"/>
      <c r="C702" s="215"/>
      <c r="D702" s="215"/>
      <c r="E702" s="221"/>
      <c r="F702" s="221"/>
      <c r="G702" s="222"/>
      <c r="H702" s="221"/>
      <c r="I702" s="223"/>
      <c r="J702" s="237"/>
      <c r="K702" s="223"/>
      <c r="L702" s="236"/>
      <c r="M702" s="222"/>
      <c r="N702" s="224"/>
      <c r="O702" s="222"/>
      <c r="P702" s="224"/>
      <c r="Q702" s="222"/>
      <c r="R702" s="224"/>
      <c r="S702" s="239"/>
      <c r="T702" s="224"/>
      <c r="U702" s="239"/>
      <c r="V702" s="224"/>
      <c r="W702" s="261"/>
    </row>
    <row r="703" spans="1:23" x14ac:dyDescent="0.25">
      <c r="A703" s="215"/>
      <c r="B703" s="215"/>
      <c r="C703" s="215"/>
      <c r="D703" s="215"/>
      <c r="E703" s="221"/>
      <c r="F703" s="221"/>
      <c r="G703" s="222"/>
      <c r="H703" s="221"/>
      <c r="I703" s="223"/>
      <c r="J703" s="237"/>
      <c r="K703" s="223"/>
      <c r="L703" s="236"/>
      <c r="M703" s="222"/>
      <c r="N703" s="224"/>
      <c r="O703" s="222"/>
      <c r="P703" s="224"/>
      <c r="Q703" s="222"/>
      <c r="R703" s="224"/>
      <c r="S703" s="239"/>
      <c r="T703" s="224"/>
      <c r="U703" s="239"/>
      <c r="V703" s="224"/>
      <c r="W703" s="261"/>
    </row>
    <row r="704" spans="1:23" x14ac:dyDescent="0.25">
      <c r="A704" s="215"/>
      <c r="B704" s="215"/>
      <c r="C704" s="215"/>
      <c r="D704" s="215"/>
      <c r="E704" s="221"/>
      <c r="F704" s="221"/>
      <c r="G704" s="222"/>
      <c r="H704" s="221"/>
      <c r="I704" s="223"/>
      <c r="J704" s="237"/>
      <c r="K704" s="223"/>
      <c r="L704" s="236"/>
      <c r="M704" s="222"/>
      <c r="N704" s="224"/>
      <c r="O704" s="222"/>
      <c r="P704" s="224"/>
      <c r="Q704" s="222"/>
      <c r="R704" s="224"/>
      <c r="S704" s="239"/>
      <c r="T704" s="224"/>
      <c r="U704" s="239"/>
      <c r="V704" s="224"/>
      <c r="W704" s="261"/>
    </row>
    <row r="705" spans="1:23" x14ac:dyDescent="0.25">
      <c r="A705" s="215"/>
      <c r="B705" s="215"/>
      <c r="C705" s="215"/>
      <c r="D705" s="215"/>
      <c r="E705" s="221"/>
      <c r="F705" s="221"/>
      <c r="G705" s="222"/>
      <c r="H705" s="221"/>
      <c r="I705" s="223"/>
      <c r="J705" s="237"/>
      <c r="K705" s="223"/>
      <c r="L705" s="236"/>
      <c r="M705" s="222"/>
      <c r="N705" s="224"/>
      <c r="O705" s="222"/>
      <c r="P705" s="224"/>
      <c r="Q705" s="222"/>
      <c r="R705" s="224"/>
      <c r="S705" s="239"/>
      <c r="T705" s="224"/>
      <c r="U705" s="239"/>
      <c r="V705" s="224"/>
      <c r="W705" s="261"/>
    </row>
    <row r="706" spans="1:23" x14ac:dyDescent="0.25">
      <c r="A706" s="215"/>
      <c r="B706" s="215"/>
      <c r="C706" s="215"/>
      <c r="D706" s="215"/>
      <c r="E706" s="221"/>
      <c r="F706" s="221"/>
      <c r="G706" s="222"/>
      <c r="H706" s="221"/>
      <c r="I706" s="223"/>
      <c r="J706" s="237"/>
      <c r="K706" s="223"/>
      <c r="L706" s="236"/>
      <c r="M706" s="222"/>
      <c r="N706" s="224"/>
      <c r="O706" s="222"/>
      <c r="P706" s="224"/>
      <c r="Q706" s="222"/>
      <c r="R706" s="224"/>
      <c r="S706" s="239"/>
      <c r="T706" s="224"/>
      <c r="U706" s="239"/>
      <c r="V706" s="224"/>
      <c r="W706" s="261"/>
    </row>
    <row r="707" spans="1:23" x14ac:dyDescent="0.25">
      <c r="A707" s="215"/>
      <c r="B707" s="215"/>
      <c r="C707" s="215"/>
      <c r="D707" s="215"/>
      <c r="E707" s="221"/>
      <c r="F707" s="221"/>
      <c r="G707" s="222"/>
      <c r="H707" s="221"/>
      <c r="I707" s="223"/>
      <c r="J707" s="237"/>
      <c r="K707" s="223"/>
      <c r="L707" s="236"/>
      <c r="M707" s="222"/>
      <c r="N707" s="224"/>
      <c r="O707" s="222"/>
      <c r="P707" s="224"/>
      <c r="Q707" s="222"/>
      <c r="R707" s="224"/>
      <c r="S707" s="239"/>
      <c r="T707" s="224"/>
      <c r="U707" s="239"/>
      <c r="V707" s="224"/>
      <c r="W707" s="261"/>
    </row>
    <row r="708" spans="1:23" x14ac:dyDescent="0.25">
      <c r="A708" s="215"/>
      <c r="B708" s="215"/>
      <c r="C708" s="215"/>
      <c r="D708" s="215"/>
      <c r="E708" s="221"/>
      <c r="F708" s="221"/>
      <c r="G708" s="222"/>
      <c r="H708" s="221"/>
      <c r="I708" s="223"/>
      <c r="J708" s="237"/>
      <c r="K708" s="223"/>
      <c r="L708" s="236"/>
      <c r="M708" s="222"/>
      <c r="N708" s="224"/>
      <c r="O708" s="222"/>
      <c r="P708" s="224"/>
      <c r="Q708" s="222"/>
      <c r="R708" s="224"/>
      <c r="S708" s="239"/>
      <c r="T708" s="224"/>
      <c r="U708" s="239"/>
      <c r="V708" s="224"/>
      <c r="W708" s="261"/>
    </row>
    <row r="709" spans="1:23" x14ac:dyDescent="0.25">
      <c r="A709" s="215"/>
      <c r="B709" s="215"/>
      <c r="C709" s="215"/>
      <c r="D709" s="215"/>
      <c r="E709" s="221"/>
      <c r="F709" s="221"/>
      <c r="G709" s="222"/>
      <c r="H709" s="221"/>
      <c r="I709" s="223"/>
      <c r="J709" s="237"/>
      <c r="K709" s="223"/>
      <c r="L709" s="236"/>
      <c r="M709" s="222"/>
      <c r="N709" s="224"/>
      <c r="O709" s="222"/>
      <c r="P709" s="224"/>
      <c r="Q709" s="222"/>
      <c r="R709" s="224"/>
      <c r="S709" s="239"/>
      <c r="T709" s="224"/>
      <c r="U709" s="239"/>
      <c r="V709" s="224"/>
      <c r="W709" s="261"/>
    </row>
    <row r="710" spans="1:23" x14ac:dyDescent="0.25">
      <c r="A710" s="215"/>
      <c r="B710" s="215"/>
      <c r="C710" s="215"/>
      <c r="D710" s="215"/>
      <c r="E710" s="221"/>
      <c r="F710" s="221"/>
      <c r="G710" s="222"/>
      <c r="H710" s="221"/>
      <c r="I710" s="223"/>
      <c r="J710" s="237"/>
      <c r="K710" s="223"/>
      <c r="L710" s="236"/>
      <c r="M710" s="222"/>
      <c r="N710" s="224"/>
      <c r="O710" s="222"/>
      <c r="P710" s="224"/>
      <c r="Q710" s="222"/>
      <c r="R710" s="224"/>
      <c r="S710" s="239"/>
      <c r="T710" s="224"/>
      <c r="U710" s="239"/>
      <c r="V710" s="224"/>
      <c r="W710" s="261"/>
    </row>
    <row r="711" spans="1:23" x14ac:dyDescent="0.25">
      <c r="A711" s="215"/>
      <c r="B711" s="215"/>
      <c r="C711" s="215"/>
      <c r="D711" s="215"/>
      <c r="E711" s="221"/>
      <c r="F711" s="221"/>
      <c r="G711" s="222"/>
      <c r="H711" s="221"/>
      <c r="I711" s="223"/>
      <c r="J711" s="237"/>
      <c r="K711" s="223"/>
      <c r="L711" s="236"/>
      <c r="M711" s="222"/>
      <c r="N711" s="224"/>
      <c r="O711" s="222"/>
      <c r="P711" s="224"/>
      <c r="Q711" s="222"/>
      <c r="R711" s="224"/>
      <c r="S711" s="239"/>
      <c r="T711" s="224"/>
      <c r="U711" s="239"/>
      <c r="V711" s="224"/>
      <c r="W711" s="261"/>
    </row>
    <row r="712" spans="1:23" x14ac:dyDescent="0.25">
      <c r="A712" s="215"/>
      <c r="B712" s="215"/>
      <c r="C712" s="215"/>
      <c r="D712" s="215"/>
      <c r="E712" s="221"/>
      <c r="F712" s="221"/>
      <c r="G712" s="222"/>
      <c r="H712" s="221"/>
      <c r="I712" s="223"/>
      <c r="J712" s="237"/>
      <c r="K712" s="223"/>
      <c r="L712" s="236"/>
      <c r="M712" s="222"/>
      <c r="N712" s="224"/>
      <c r="O712" s="222"/>
      <c r="P712" s="224"/>
      <c r="Q712" s="222"/>
      <c r="R712" s="224"/>
      <c r="S712" s="239"/>
      <c r="T712" s="224"/>
      <c r="U712" s="239"/>
      <c r="V712" s="224"/>
      <c r="W712" s="261"/>
    </row>
    <row r="713" spans="1:23" x14ac:dyDescent="0.25">
      <c r="A713" s="215"/>
      <c r="B713" s="215"/>
      <c r="C713" s="215"/>
      <c r="D713" s="215"/>
      <c r="E713" s="221"/>
      <c r="F713" s="221"/>
      <c r="G713" s="222"/>
      <c r="H713" s="221"/>
      <c r="I713" s="223"/>
      <c r="J713" s="237"/>
      <c r="K713" s="223"/>
      <c r="L713" s="236"/>
      <c r="M713" s="222"/>
      <c r="N713" s="224"/>
      <c r="O713" s="222"/>
      <c r="P713" s="224"/>
      <c r="Q713" s="222"/>
      <c r="R713" s="224"/>
      <c r="S713" s="239"/>
      <c r="T713" s="224"/>
      <c r="U713" s="239"/>
      <c r="V713" s="224"/>
      <c r="W713" s="261"/>
    </row>
    <row r="714" spans="1:23" x14ac:dyDescent="0.25">
      <c r="A714" s="215"/>
      <c r="B714" s="215"/>
      <c r="C714" s="215"/>
      <c r="D714" s="215"/>
      <c r="E714" s="221"/>
      <c r="F714" s="221"/>
      <c r="G714" s="222"/>
      <c r="H714" s="221"/>
      <c r="I714" s="223"/>
      <c r="J714" s="237"/>
      <c r="K714" s="223"/>
      <c r="L714" s="236"/>
      <c r="M714" s="222"/>
      <c r="N714" s="224"/>
      <c r="O714" s="222"/>
      <c r="P714" s="224"/>
      <c r="Q714" s="222"/>
      <c r="R714" s="224"/>
      <c r="S714" s="239"/>
      <c r="T714" s="224"/>
      <c r="U714" s="239"/>
      <c r="V714" s="224"/>
      <c r="W714" s="261"/>
    </row>
    <row r="715" spans="1:23" x14ac:dyDescent="0.25">
      <c r="A715" s="215"/>
      <c r="B715" s="215"/>
      <c r="C715" s="215"/>
      <c r="D715" s="215"/>
      <c r="E715" s="221"/>
      <c r="F715" s="221"/>
      <c r="G715" s="222"/>
      <c r="H715" s="221"/>
      <c r="I715" s="223"/>
      <c r="J715" s="237"/>
      <c r="K715" s="223"/>
      <c r="L715" s="236"/>
      <c r="M715" s="222"/>
      <c r="N715" s="224"/>
      <c r="O715" s="222"/>
      <c r="P715" s="224"/>
      <c r="Q715" s="222"/>
      <c r="R715" s="224"/>
      <c r="S715" s="239"/>
      <c r="T715" s="224"/>
      <c r="U715" s="239"/>
      <c r="V715" s="224"/>
      <c r="W715" s="261"/>
    </row>
    <row r="716" spans="1:23" x14ac:dyDescent="0.25">
      <c r="A716" s="215"/>
      <c r="B716" s="215"/>
      <c r="C716" s="215"/>
      <c r="D716" s="215"/>
      <c r="E716" s="221"/>
      <c r="F716" s="221"/>
      <c r="G716" s="222"/>
      <c r="H716" s="221"/>
      <c r="I716" s="223"/>
      <c r="J716" s="237"/>
      <c r="K716" s="223"/>
      <c r="L716" s="236"/>
      <c r="M716" s="222"/>
      <c r="N716" s="224"/>
      <c r="O716" s="222"/>
      <c r="P716" s="224"/>
      <c r="Q716" s="222"/>
      <c r="R716" s="224"/>
      <c r="S716" s="239"/>
      <c r="T716" s="224"/>
      <c r="U716" s="239"/>
      <c r="V716" s="224"/>
      <c r="W716" s="261"/>
    </row>
    <row r="717" spans="1:23" x14ac:dyDescent="0.25">
      <c r="A717" s="215"/>
      <c r="B717" s="215"/>
      <c r="C717" s="215"/>
      <c r="D717" s="215"/>
      <c r="E717" s="221"/>
      <c r="F717" s="221"/>
      <c r="G717" s="222"/>
      <c r="H717" s="221"/>
      <c r="I717" s="223"/>
      <c r="J717" s="237"/>
      <c r="K717" s="223"/>
      <c r="L717" s="236"/>
      <c r="M717" s="222"/>
      <c r="N717" s="224"/>
      <c r="O717" s="222"/>
      <c r="P717" s="224"/>
      <c r="Q717" s="222"/>
      <c r="R717" s="224"/>
      <c r="S717" s="239"/>
      <c r="T717" s="224"/>
      <c r="U717" s="239"/>
      <c r="V717" s="224"/>
      <c r="W717" s="261"/>
    </row>
    <row r="718" spans="1:23" x14ac:dyDescent="0.25">
      <c r="A718" s="215"/>
      <c r="B718" s="215"/>
      <c r="C718" s="215"/>
      <c r="D718" s="215"/>
      <c r="E718" s="221"/>
      <c r="F718" s="221"/>
      <c r="G718" s="222"/>
      <c r="H718" s="221"/>
      <c r="I718" s="223"/>
      <c r="J718" s="237"/>
      <c r="K718" s="223"/>
      <c r="L718" s="236"/>
      <c r="M718" s="222"/>
      <c r="N718" s="224"/>
      <c r="O718" s="222"/>
      <c r="P718" s="224"/>
      <c r="Q718" s="222"/>
      <c r="R718" s="224"/>
      <c r="S718" s="239"/>
      <c r="T718" s="224"/>
      <c r="U718" s="239"/>
      <c r="V718" s="224"/>
      <c r="W718" s="261"/>
    </row>
    <row r="719" spans="1:23" x14ac:dyDescent="0.25">
      <c r="A719" s="215"/>
      <c r="B719" s="215"/>
      <c r="C719" s="215"/>
      <c r="D719" s="215"/>
      <c r="E719" s="221"/>
      <c r="F719" s="221"/>
      <c r="G719" s="222"/>
      <c r="H719" s="221"/>
      <c r="I719" s="223"/>
      <c r="J719" s="237"/>
      <c r="K719" s="223"/>
      <c r="L719" s="236"/>
      <c r="M719" s="222"/>
      <c r="N719" s="224"/>
      <c r="O719" s="222"/>
      <c r="P719" s="224"/>
      <c r="Q719" s="222"/>
      <c r="R719" s="224"/>
      <c r="S719" s="239"/>
      <c r="T719" s="224"/>
      <c r="U719" s="239"/>
      <c r="V719" s="224"/>
      <c r="W719" s="261"/>
    </row>
    <row r="720" spans="1:23" x14ac:dyDescent="0.25">
      <c r="A720" s="215"/>
      <c r="B720" s="215"/>
      <c r="C720" s="215"/>
      <c r="D720" s="215"/>
      <c r="E720" s="221"/>
      <c r="F720" s="221"/>
      <c r="G720" s="222"/>
      <c r="H720" s="221"/>
      <c r="I720" s="223"/>
      <c r="J720" s="237"/>
      <c r="K720" s="223"/>
      <c r="L720" s="236"/>
      <c r="M720" s="222"/>
      <c r="N720" s="224"/>
      <c r="O720" s="222"/>
      <c r="P720" s="224"/>
      <c r="Q720" s="222"/>
      <c r="R720" s="224"/>
      <c r="S720" s="239"/>
      <c r="T720" s="224"/>
      <c r="U720" s="239"/>
      <c r="V720" s="224"/>
      <c r="W720" s="261"/>
    </row>
    <row r="721" spans="1:23" x14ac:dyDescent="0.25">
      <c r="A721" s="215"/>
      <c r="B721" s="215"/>
      <c r="C721" s="215"/>
      <c r="D721" s="215"/>
      <c r="E721" s="221"/>
      <c r="F721" s="221"/>
      <c r="G721" s="222"/>
      <c r="H721" s="221"/>
      <c r="I721" s="223"/>
      <c r="J721" s="237"/>
      <c r="K721" s="223"/>
      <c r="L721" s="236"/>
      <c r="M721" s="222"/>
      <c r="N721" s="224"/>
      <c r="O721" s="222"/>
      <c r="P721" s="224"/>
      <c r="Q721" s="222"/>
      <c r="R721" s="224"/>
      <c r="S721" s="239"/>
      <c r="T721" s="224"/>
      <c r="U721" s="239"/>
      <c r="V721" s="224"/>
      <c r="W721" s="261"/>
    </row>
    <row r="722" spans="1:23" x14ac:dyDescent="0.25">
      <c r="A722" s="215"/>
      <c r="B722" s="215"/>
      <c r="C722" s="215"/>
      <c r="D722" s="215"/>
      <c r="E722" s="221"/>
      <c r="F722" s="221"/>
      <c r="G722" s="222"/>
      <c r="H722" s="221"/>
      <c r="I722" s="223"/>
      <c r="J722" s="237"/>
      <c r="K722" s="223"/>
      <c r="L722" s="236"/>
      <c r="M722" s="222"/>
      <c r="N722" s="224"/>
      <c r="O722" s="222"/>
      <c r="P722" s="224"/>
      <c r="Q722" s="222"/>
      <c r="R722" s="224"/>
      <c r="S722" s="239"/>
      <c r="T722" s="224"/>
      <c r="U722" s="239"/>
      <c r="V722" s="224"/>
      <c r="W722" s="261"/>
    </row>
    <row r="723" spans="1:23" x14ac:dyDescent="0.25">
      <c r="A723" s="215"/>
      <c r="B723" s="215"/>
      <c r="C723" s="215"/>
      <c r="D723" s="215"/>
      <c r="E723" s="221"/>
      <c r="F723" s="221"/>
      <c r="G723" s="222"/>
      <c r="H723" s="221"/>
      <c r="I723" s="223"/>
      <c r="J723" s="237"/>
      <c r="K723" s="223"/>
      <c r="L723" s="236"/>
      <c r="M723" s="222"/>
      <c r="N723" s="224"/>
      <c r="O723" s="222"/>
      <c r="P723" s="224"/>
      <c r="Q723" s="222"/>
      <c r="R723" s="224"/>
      <c r="S723" s="239"/>
      <c r="T723" s="224"/>
      <c r="U723" s="239"/>
      <c r="V723" s="224"/>
      <c r="W723" s="261"/>
    </row>
    <row r="724" spans="1:23" x14ac:dyDescent="0.25">
      <c r="A724" s="215"/>
      <c r="B724" s="215"/>
      <c r="C724" s="215"/>
      <c r="D724" s="215"/>
      <c r="E724" s="221"/>
      <c r="F724" s="221"/>
      <c r="G724" s="222"/>
      <c r="H724" s="221"/>
      <c r="I724" s="223"/>
      <c r="J724" s="237"/>
      <c r="K724" s="223"/>
      <c r="L724" s="236"/>
      <c r="M724" s="222"/>
      <c r="N724" s="224"/>
      <c r="O724" s="222"/>
      <c r="P724" s="224"/>
      <c r="Q724" s="222"/>
      <c r="R724" s="224"/>
      <c r="S724" s="239"/>
      <c r="T724" s="224"/>
      <c r="U724" s="239"/>
      <c r="V724" s="224"/>
      <c r="W724" s="261"/>
    </row>
    <row r="725" spans="1:23" x14ac:dyDescent="0.25">
      <c r="A725" s="215"/>
      <c r="B725" s="215"/>
      <c r="C725" s="215"/>
      <c r="D725" s="215"/>
      <c r="E725" s="221"/>
      <c r="F725" s="221"/>
      <c r="G725" s="222"/>
      <c r="H725" s="221"/>
      <c r="I725" s="223"/>
      <c r="J725" s="237"/>
      <c r="K725" s="223"/>
      <c r="L725" s="236"/>
      <c r="M725" s="222"/>
      <c r="N725" s="224"/>
      <c r="O725" s="222"/>
      <c r="P725" s="224"/>
      <c r="Q725" s="222"/>
      <c r="R725" s="224"/>
      <c r="S725" s="239"/>
      <c r="T725" s="224"/>
      <c r="U725" s="239"/>
      <c r="V725" s="224"/>
      <c r="W725" s="261"/>
    </row>
    <row r="726" spans="1:23" x14ac:dyDescent="0.25">
      <c r="A726" s="215"/>
      <c r="B726" s="215"/>
      <c r="C726" s="215"/>
      <c r="D726" s="215"/>
      <c r="E726" s="221"/>
      <c r="F726" s="221"/>
      <c r="G726" s="222"/>
      <c r="H726" s="221"/>
      <c r="I726" s="223"/>
      <c r="J726" s="237"/>
      <c r="K726" s="223"/>
      <c r="L726" s="236"/>
      <c r="M726" s="222"/>
      <c r="N726" s="224"/>
      <c r="O726" s="222"/>
      <c r="P726" s="224"/>
      <c r="Q726" s="222"/>
      <c r="R726" s="224"/>
      <c r="S726" s="239"/>
      <c r="T726" s="224"/>
      <c r="U726" s="239"/>
      <c r="V726" s="224"/>
      <c r="W726" s="261"/>
    </row>
    <row r="727" spans="1:23" x14ac:dyDescent="0.25">
      <c r="A727" s="215"/>
      <c r="B727" s="215"/>
      <c r="C727" s="215"/>
      <c r="D727" s="215"/>
      <c r="E727" s="221"/>
      <c r="F727" s="221"/>
      <c r="G727" s="222"/>
      <c r="H727" s="221"/>
      <c r="I727" s="223"/>
      <c r="J727" s="237"/>
      <c r="K727" s="223"/>
      <c r="L727" s="236"/>
      <c r="M727" s="222"/>
      <c r="N727" s="224"/>
      <c r="O727" s="222"/>
      <c r="P727" s="224"/>
      <c r="Q727" s="222"/>
      <c r="R727" s="224"/>
      <c r="S727" s="239"/>
      <c r="T727" s="224"/>
      <c r="U727" s="239"/>
      <c r="V727" s="224"/>
      <c r="W727" s="261"/>
    </row>
    <row r="728" spans="1:23" x14ac:dyDescent="0.25">
      <c r="A728" s="215"/>
      <c r="B728" s="215"/>
      <c r="C728" s="215"/>
      <c r="D728" s="215"/>
      <c r="E728" s="221"/>
      <c r="F728" s="221"/>
      <c r="G728" s="222"/>
      <c r="H728" s="221"/>
      <c r="I728" s="223"/>
      <c r="J728" s="237"/>
      <c r="K728" s="223"/>
      <c r="L728" s="236"/>
      <c r="M728" s="222"/>
      <c r="N728" s="224"/>
      <c r="O728" s="222"/>
      <c r="P728" s="224"/>
      <c r="Q728" s="222"/>
      <c r="R728" s="224"/>
      <c r="S728" s="239"/>
      <c r="T728" s="224"/>
      <c r="U728" s="239"/>
      <c r="V728" s="224"/>
      <c r="W728" s="261"/>
    </row>
    <row r="729" spans="1:23" x14ac:dyDescent="0.25">
      <c r="A729" s="215"/>
      <c r="B729" s="215"/>
      <c r="C729" s="215"/>
      <c r="D729" s="215"/>
      <c r="E729" s="221"/>
      <c r="F729" s="221"/>
      <c r="G729" s="222"/>
      <c r="H729" s="221"/>
      <c r="I729" s="223"/>
      <c r="J729" s="237"/>
      <c r="K729" s="223"/>
      <c r="L729" s="236"/>
      <c r="M729" s="222"/>
      <c r="N729" s="224"/>
      <c r="O729" s="222"/>
      <c r="P729" s="224"/>
      <c r="Q729" s="222"/>
      <c r="R729" s="224"/>
      <c r="S729" s="239"/>
      <c r="T729" s="224"/>
      <c r="U729" s="239"/>
      <c r="V729" s="224"/>
      <c r="W729" s="261"/>
    </row>
    <row r="730" spans="1:23" x14ac:dyDescent="0.25">
      <c r="A730" s="215"/>
      <c r="B730" s="215"/>
      <c r="C730" s="215"/>
      <c r="D730" s="215"/>
      <c r="E730" s="221"/>
      <c r="F730" s="221"/>
      <c r="G730" s="222"/>
      <c r="H730" s="221"/>
      <c r="I730" s="223"/>
      <c r="J730" s="237"/>
      <c r="K730" s="223"/>
      <c r="L730" s="236"/>
      <c r="M730" s="222"/>
      <c r="N730" s="224"/>
      <c r="O730" s="222"/>
      <c r="P730" s="224"/>
      <c r="Q730" s="222"/>
      <c r="R730" s="224"/>
      <c r="S730" s="239"/>
      <c r="T730" s="224"/>
      <c r="U730" s="239"/>
      <c r="V730" s="224"/>
      <c r="W730" s="261"/>
    </row>
    <row r="731" spans="1:23" x14ac:dyDescent="0.25">
      <c r="A731" s="215"/>
      <c r="B731" s="215"/>
      <c r="C731" s="215"/>
      <c r="D731" s="215"/>
      <c r="E731" s="221"/>
      <c r="F731" s="221"/>
      <c r="G731" s="222"/>
      <c r="H731" s="221"/>
      <c r="I731" s="223"/>
      <c r="J731" s="237"/>
      <c r="K731" s="223"/>
      <c r="L731" s="236"/>
      <c r="M731" s="222"/>
      <c r="N731" s="224"/>
      <c r="O731" s="222"/>
      <c r="P731" s="224"/>
      <c r="Q731" s="222"/>
      <c r="R731" s="224"/>
      <c r="S731" s="239"/>
      <c r="T731" s="224"/>
      <c r="U731" s="239"/>
      <c r="V731" s="224"/>
      <c r="W731" s="261"/>
    </row>
    <row r="732" spans="1:23" x14ac:dyDescent="0.25">
      <c r="A732" s="215"/>
      <c r="B732" s="215"/>
      <c r="C732" s="215"/>
      <c r="D732" s="215"/>
      <c r="E732" s="221"/>
      <c r="F732" s="221"/>
      <c r="G732" s="222"/>
      <c r="H732" s="221"/>
      <c r="I732" s="223"/>
      <c r="J732" s="237"/>
      <c r="K732" s="223"/>
      <c r="L732" s="236"/>
      <c r="M732" s="222"/>
      <c r="N732" s="224"/>
      <c r="O732" s="222"/>
      <c r="P732" s="224"/>
      <c r="Q732" s="222"/>
      <c r="R732" s="224"/>
      <c r="S732" s="239"/>
      <c r="T732" s="224"/>
      <c r="U732" s="239"/>
      <c r="V732" s="224"/>
      <c r="W732" s="261"/>
    </row>
    <row r="733" spans="1:23" x14ac:dyDescent="0.25">
      <c r="A733" s="215"/>
      <c r="B733" s="215"/>
      <c r="C733" s="215"/>
      <c r="D733" s="215"/>
      <c r="E733" s="221"/>
      <c r="F733" s="221"/>
      <c r="G733" s="222"/>
      <c r="H733" s="221"/>
      <c r="I733" s="223"/>
      <c r="J733" s="237"/>
      <c r="K733" s="223"/>
      <c r="L733" s="236"/>
      <c r="M733" s="222"/>
      <c r="N733" s="224"/>
      <c r="O733" s="222"/>
      <c r="P733" s="224"/>
      <c r="Q733" s="222"/>
      <c r="R733" s="224"/>
      <c r="S733" s="239"/>
      <c r="T733" s="224"/>
      <c r="U733" s="239"/>
      <c r="V733" s="224"/>
      <c r="W733" s="261"/>
    </row>
    <row r="734" spans="1:23" x14ac:dyDescent="0.25">
      <c r="A734" s="215"/>
      <c r="B734" s="215"/>
      <c r="C734" s="215"/>
      <c r="D734" s="215"/>
      <c r="E734" s="221"/>
      <c r="F734" s="221"/>
      <c r="G734" s="222"/>
      <c r="H734" s="221"/>
      <c r="I734" s="223"/>
      <c r="J734" s="237"/>
      <c r="K734" s="223"/>
      <c r="L734" s="236"/>
      <c r="M734" s="222"/>
      <c r="N734" s="224"/>
      <c r="O734" s="222"/>
      <c r="P734" s="224"/>
      <c r="Q734" s="222"/>
      <c r="R734" s="224"/>
      <c r="S734" s="239"/>
      <c r="T734" s="224"/>
      <c r="U734" s="239"/>
      <c r="V734" s="224"/>
      <c r="W734" s="261"/>
    </row>
    <row r="735" spans="1:23" x14ac:dyDescent="0.25">
      <c r="A735" s="215"/>
      <c r="B735" s="215"/>
      <c r="C735" s="215"/>
      <c r="D735" s="215"/>
      <c r="E735" s="221"/>
      <c r="F735" s="221"/>
      <c r="G735" s="222"/>
      <c r="H735" s="221"/>
      <c r="I735" s="223"/>
      <c r="J735" s="237"/>
      <c r="K735" s="223"/>
      <c r="L735" s="236"/>
      <c r="M735" s="222"/>
      <c r="N735" s="224"/>
      <c r="O735" s="222"/>
      <c r="P735" s="224"/>
      <c r="Q735" s="222"/>
      <c r="R735" s="224"/>
      <c r="S735" s="239"/>
      <c r="T735" s="224"/>
      <c r="U735" s="239"/>
      <c r="V735" s="224"/>
      <c r="W735" s="261"/>
    </row>
    <row r="736" spans="1:23" x14ac:dyDescent="0.25">
      <c r="A736" s="215"/>
      <c r="B736" s="215"/>
      <c r="C736" s="215"/>
      <c r="D736" s="215"/>
      <c r="E736" s="221"/>
      <c r="F736" s="221"/>
      <c r="G736" s="222"/>
      <c r="H736" s="221"/>
      <c r="I736" s="223"/>
      <c r="J736" s="237"/>
      <c r="K736" s="223"/>
      <c r="L736" s="236"/>
      <c r="M736" s="222"/>
      <c r="N736" s="224"/>
      <c r="O736" s="222"/>
      <c r="P736" s="224"/>
      <c r="Q736" s="222"/>
      <c r="R736" s="224"/>
      <c r="S736" s="239"/>
      <c r="T736" s="224"/>
      <c r="U736" s="239"/>
      <c r="V736" s="224"/>
      <c r="W736" s="261"/>
    </row>
    <row r="737" spans="1:23" x14ac:dyDescent="0.25">
      <c r="A737" s="215"/>
      <c r="B737" s="215"/>
      <c r="C737" s="215"/>
      <c r="D737" s="215"/>
      <c r="E737" s="221"/>
      <c r="F737" s="221"/>
      <c r="G737" s="222"/>
      <c r="H737" s="221"/>
      <c r="I737" s="223"/>
      <c r="J737" s="237"/>
      <c r="K737" s="223"/>
      <c r="L737" s="236"/>
      <c r="M737" s="222"/>
      <c r="N737" s="224"/>
      <c r="O737" s="222"/>
      <c r="P737" s="224"/>
      <c r="Q737" s="222"/>
      <c r="R737" s="224"/>
      <c r="S737" s="239"/>
      <c r="T737" s="224"/>
      <c r="U737" s="239"/>
      <c r="V737" s="224"/>
      <c r="W737" s="261"/>
    </row>
    <row r="738" spans="1:23" x14ac:dyDescent="0.25">
      <c r="A738" s="215"/>
      <c r="B738" s="215"/>
      <c r="C738" s="215"/>
      <c r="D738" s="215"/>
      <c r="E738" s="221"/>
      <c r="F738" s="221"/>
      <c r="G738" s="222"/>
      <c r="H738" s="221"/>
      <c r="I738" s="223"/>
      <c r="J738" s="237"/>
      <c r="K738" s="223"/>
      <c r="L738" s="236"/>
      <c r="M738" s="222"/>
      <c r="N738" s="224"/>
      <c r="O738" s="222"/>
      <c r="P738" s="224"/>
      <c r="Q738" s="222"/>
      <c r="R738" s="224"/>
      <c r="S738" s="239"/>
      <c r="T738" s="224"/>
      <c r="U738" s="239"/>
      <c r="V738" s="224"/>
      <c r="W738" s="261"/>
    </row>
    <row r="739" spans="1:23" x14ac:dyDescent="0.25">
      <c r="A739" s="215"/>
      <c r="B739" s="215"/>
      <c r="C739" s="215"/>
      <c r="D739" s="215"/>
      <c r="E739" s="221"/>
      <c r="F739" s="221"/>
      <c r="G739" s="222"/>
      <c r="H739" s="221"/>
      <c r="I739" s="223"/>
      <c r="J739" s="237"/>
      <c r="K739" s="223"/>
      <c r="L739" s="236"/>
      <c r="M739" s="222"/>
      <c r="N739" s="224"/>
      <c r="O739" s="222"/>
      <c r="P739" s="224"/>
      <c r="Q739" s="222"/>
      <c r="R739" s="224"/>
      <c r="S739" s="239"/>
      <c r="T739" s="224"/>
      <c r="U739" s="239"/>
      <c r="V739" s="224"/>
      <c r="W739" s="261"/>
    </row>
    <row r="740" spans="1:23" x14ac:dyDescent="0.25">
      <c r="A740" s="215"/>
      <c r="B740" s="215"/>
      <c r="C740" s="215"/>
      <c r="D740" s="215"/>
      <c r="E740" s="221"/>
      <c r="F740" s="221"/>
      <c r="G740" s="222"/>
      <c r="H740" s="221"/>
      <c r="I740" s="223"/>
      <c r="J740" s="237"/>
      <c r="K740" s="223"/>
      <c r="L740" s="236"/>
      <c r="M740" s="222"/>
      <c r="N740" s="224"/>
      <c r="O740" s="222"/>
      <c r="P740" s="224"/>
      <c r="Q740" s="222"/>
      <c r="R740" s="224"/>
      <c r="S740" s="239"/>
      <c r="T740" s="224"/>
      <c r="U740" s="239"/>
      <c r="V740" s="224"/>
      <c r="W740" s="261"/>
    </row>
    <row r="741" spans="1:23" x14ac:dyDescent="0.25">
      <c r="A741" s="215"/>
      <c r="B741" s="215"/>
      <c r="C741" s="215"/>
      <c r="D741" s="215"/>
      <c r="E741" s="221"/>
      <c r="F741" s="221"/>
      <c r="G741" s="222"/>
      <c r="H741" s="221"/>
      <c r="I741" s="223"/>
      <c r="J741" s="237"/>
      <c r="K741" s="223"/>
      <c r="L741" s="236"/>
      <c r="M741" s="222"/>
      <c r="N741" s="224"/>
      <c r="O741" s="222"/>
      <c r="P741" s="224"/>
      <c r="Q741" s="222"/>
      <c r="R741" s="224"/>
      <c r="S741" s="239"/>
      <c r="T741" s="224"/>
      <c r="U741" s="239"/>
      <c r="V741" s="224"/>
      <c r="W741" s="261"/>
    </row>
    <row r="742" spans="1:23" x14ac:dyDescent="0.25">
      <c r="A742" s="215"/>
      <c r="B742" s="215"/>
      <c r="C742" s="215"/>
      <c r="D742" s="215"/>
      <c r="E742" s="221"/>
      <c r="F742" s="221"/>
      <c r="G742" s="222"/>
      <c r="H742" s="221"/>
      <c r="I742" s="223"/>
      <c r="J742" s="237"/>
      <c r="K742" s="223"/>
      <c r="L742" s="236"/>
      <c r="M742" s="222"/>
      <c r="N742" s="224"/>
      <c r="O742" s="222"/>
      <c r="P742" s="224"/>
      <c r="Q742" s="222"/>
      <c r="R742" s="224"/>
      <c r="S742" s="239"/>
      <c r="T742" s="224"/>
      <c r="U742" s="239"/>
      <c r="V742" s="224"/>
      <c r="W742" s="261"/>
    </row>
    <row r="743" spans="1:23" x14ac:dyDescent="0.25">
      <c r="A743" s="215"/>
      <c r="B743" s="215"/>
      <c r="C743" s="215"/>
      <c r="D743" s="215"/>
      <c r="E743" s="221"/>
      <c r="F743" s="221"/>
      <c r="G743" s="222"/>
      <c r="H743" s="221"/>
      <c r="I743" s="223"/>
      <c r="J743" s="237"/>
      <c r="K743" s="223"/>
      <c r="L743" s="236"/>
      <c r="M743" s="222"/>
      <c r="N743" s="224"/>
      <c r="O743" s="222"/>
      <c r="P743" s="224"/>
      <c r="Q743" s="222"/>
      <c r="R743" s="224"/>
      <c r="S743" s="239"/>
      <c r="T743" s="224"/>
      <c r="U743" s="239"/>
      <c r="V743" s="224"/>
      <c r="W743" s="261"/>
    </row>
    <row r="744" spans="1:23" x14ac:dyDescent="0.25">
      <c r="A744" s="215"/>
      <c r="B744" s="215"/>
      <c r="C744" s="215"/>
      <c r="D744" s="215"/>
      <c r="E744" s="221"/>
      <c r="F744" s="221"/>
      <c r="G744" s="222"/>
      <c r="H744" s="221"/>
      <c r="I744" s="223"/>
      <c r="J744" s="237"/>
      <c r="K744" s="223"/>
      <c r="L744" s="236"/>
      <c r="M744" s="222"/>
      <c r="N744" s="224"/>
      <c r="O744" s="222"/>
      <c r="P744" s="224"/>
      <c r="Q744" s="222"/>
      <c r="R744" s="224"/>
      <c r="S744" s="239"/>
      <c r="T744" s="224"/>
      <c r="U744" s="239"/>
      <c r="V744" s="224"/>
      <c r="W744" s="261"/>
    </row>
    <row r="745" spans="1:23" x14ac:dyDescent="0.25">
      <c r="A745" s="215"/>
      <c r="B745" s="215"/>
      <c r="C745" s="215"/>
      <c r="D745" s="215"/>
      <c r="E745" s="221"/>
      <c r="F745" s="221"/>
      <c r="G745" s="222"/>
      <c r="H745" s="221"/>
      <c r="I745" s="223"/>
      <c r="J745" s="237"/>
      <c r="K745" s="223"/>
      <c r="L745" s="236"/>
      <c r="M745" s="222"/>
      <c r="N745" s="224"/>
      <c r="O745" s="222"/>
      <c r="P745" s="224"/>
      <c r="Q745" s="222"/>
      <c r="R745" s="224"/>
      <c r="S745" s="239"/>
      <c r="T745" s="224"/>
      <c r="U745" s="239"/>
      <c r="V745" s="224"/>
      <c r="W745" s="261"/>
    </row>
    <row r="746" spans="1:23" x14ac:dyDescent="0.25">
      <c r="A746" s="215"/>
      <c r="B746" s="215"/>
      <c r="C746" s="215"/>
      <c r="D746" s="215"/>
      <c r="E746" s="221"/>
      <c r="F746" s="221"/>
      <c r="G746" s="222"/>
      <c r="H746" s="221"/>
      <c r="I746" s="223"/>
      <c r="J746" s="237"/>
      <c r="K746" s="223"/>
      <c r="L746" s="236"/>
      <c r="M746" s="222"/>
      <c r="N746" s="224"/>
      <c r="O746" s="222"/>
      <c r="P746" s="224"/>
      <c r="Q746" s="222"/>
      <c r="R746" s="224"/>
      <c r="S746" s="239"/>
      <c r="T746" s="224"/>
      <c r="U746" s="239"/>
      <c r="V746" s="224"/>
      <c r="W746" s="261"/>
    </row>
    <row r="747" spans="1:23" x14ac:dyDescent="0.25">
      <c r="A747" s="215"/>
      <c r="B747" s="215"/>
      <c r="C747" s="215"/>
      <c r="D747" s="215"/>
      <c r="E747" s="221"/>
      <c r="F747" s="221"/>
      <c r="G747" s="222"/>
      <c r="H747" s="221"/>
      <c r="I747" s="223"/>
      <c r="J747" s="237"/>
      <c r="K747" s="223"/>
      <c r="L747" s="236"/>
      <c r="M747" s="222"/>
      <c r="N747" s="224"/>
      <c r="O747" s="222"/>
      <c r="P747" s="224"/>
      <c r="Q747" s="222"/>
      <c r="R747" s="224"/>
      <c r="S747" s="239"/>
      <c r="T747" s="224"/>
      <c r="U747" s="239"/>
      <c r="V747" s="224"/>
      <c r="W747" s="261"/>
    </row>
    <row r="748" spans="1:23" x14ac:dyDescent="0.25">
      <c r="A748" s="215"/>
      <c r="B748" s="215"/>
      <c r="C748" s="215"/>
      <c r="D748" s="215"/>
      <c r="E748" s="221"/>
      <c r="F748" s="221"/>
      <c r="G748" s="222"/>
      <c r="H748" s="221"/>
      <c r="I748" s="223"/>
      <c r="J748" s="237"/>
      <c r="K748" s="223"/>
      <c r="L748" s="236"/>
      <c r="M748" s="222"/>
      <c r="N748" s="224"/>
      <c r="O748" s="222"/>
      <c r="P748" s="224"/>
      <c r="Q748" s="222"/>
      <c r="R748" s="224"/>
      <c r="S748" s="239"/>
      <c r="T748" s="224"/>
      <c r="U748" s="239"/>
      <c r="V748" s="224"/>
      <c r="W748" s="261"/>
    </row>
    <row r="749" spans="1:23" x14ac:dyDescent="0.25">
      <c r="A749" s="215"/>
      <c r="B749" s="215"/>
      <c r="C749" s="215"/>
      <c r="D749" s="215"/>
      <c r="E749" s="221"/>
      <c r="F749" s="221"/>
      <c r="G749" s="222"/>
      <c r="H749" s="221"/>
      <c r="I749" s="223"/>
      <c r="J749" s="237"/>
      <c r="K749" s="223"/>
      <c r="L749" s="236"/>
      <c r="M749" s="222"/>
      <c r="N749" s="224"/>
      <c r="O749" s="222"/>
      <c r="P749" s="224"/>
      <c r="Q749" s="222"/>
      <c r="R749" s="224"/>
      <c r="S749" s="239"/>
      <c r="T749" s="224"/>
      <c r="U749" s="239"/>
      <c r="V749" s="224"/>
      <c r="W749" s="261"/>
    </row>
    <row r="750" spans="1:23" x14ac:dyDescent="0.25">
      <c r="A750" s="215"/>
      <c r="B750" s="215"/>
      <c r="C750" s="215"/>
      <c r="D750" s="215"/>
      <c r="E750" s="221"/>
      <c r="F750" s="221"/>
      <c r="G750" s="222"/>
      <c r="H750" s="221"/>
      <c r="I750" s="223"/>
      <c r="J750" s="237"/>
      <c r="K750" s="223"/>
      <c r="L750" s="236"/>
      <c r="M750" s="222"/>
      <c r="N750" s="224"/>
      <c r="O750" s="222"/>
      <c r="P750" s="224"/>
      <c r="Q750" s="222"/>
      <c r="R750" s="224"/>
      <c r="S750" s="239"/>
      <c r="T750" s="224"/>
      <c r="U750" s="239"/>
      <c r="V750" s="224"/>
      <c r="W750" s="261"/>
    </row>
    <row r="751" spans="1:23" x14ac:dyDescent="0.25">
      <c r="A751" s="215"/>
      <c r="B751" s="215"/>
      <c r="C751" s="215"/>
      <c r="D751" s="215"/>
      <c r="E751" s="221"/>
      <c r="F751" s="221"/>
      <c r="G751" s="222"/>
      <c r="H751" s="221"/>
      <c r="I751" s="223"/>
      <c r="J751" s="237"/>
      <c r="K751" s="223"/>
      <c r="L751" s="236"/>
      <c r="M751" s="222"/>
      <c r="N751" s="224"/>
      <c r="O751" s="222"/>
      <c r="P751" s="224"/>
      <c r="Q751" s="222"/>
      <c r="R751" s="224"/>
      <c r="S751" s="239"/>
      <c r="T751" s="224"/>
      <c r="U751" s="239"/>
      <c r="V751" s="224"/>
      <c r="W751" s="261"/>
    </row>
    <row r="752" spans="1:23" x14ac:dyDescent="0.25">
      <c r="A752" s="215"/>
      <c r="B752" s="215"/>
      <c r="C752" s="215"/>
      <c r="D752" s="215"/>
      <c r="E752" s="221"/>
      <c r="F752" s="221"/>
      <c r="G752" s="222"/>
      <c r="H752" s="221"/>
      <c r="I752" s="223"/>
      <c r="J752" s="237"/>
      <c r="K752" s="223"/>
      <c r="L752" s="236"/>
      <c r="M752" s="222"/>
      <c r="N752" s="224"/>
      <c r="O752" s="222"/>
      <c r="P752" s="224"/>
      <c r="Q752" s="222"/>
      <c r="R752" s="224"/>
      <c r="S752" s="239"/>
      <c r="T752" s="224"/>
      <c r="U752" s="239"/>
      <c r="V752" s="224"/>
      <c r="W752" s="261"/>
    </row>
    <row r="753" spans="1:23" x14ac:dyDescent="0.25">
      <c r="A753" s="215"/>
      <c r="B753" s="215"/>
      <c r="C753" s="215"/>
      <c r="D753" s="215"/>
      <c r="E753" s="221"/>
      <c r="F753" s="221"/>
      <c r="G753" s="222"/>
      <c r="H753" s="221"/>
      <c r="I753" s="223"/>
      <c r="J753" s="237"/>
      <c r="K753" s="223"/>
      <c r="L753" s="236"/>
      <c r="M753" s="222"/>
      <c r="N753" s="224"/>
      <c r="O753" s="222"/>
      <c r="P753" s="224"/>
      <c r="Q753" s="222"/>
      <c r="R753" s="224"/>
      <c r="S753" s="239"/>
      <c r="T753" s="224"/>
      <c r="U753" s="239"/>
      <c r="V753" s="224"/>
      <c r="W753" s="261"/>
    </row>
    <row r="754" spans="1:23" x14ac:dyDescent="0.25">
      <c r="A754" s="215"/>
      <c r="B754" s="215"/>
      <c r="C754" s="215"/>
      <c r="D754" s="215"/>
      <c r="E754" s="221"/>
      <c r="F754" s="221"/>
      <c r="G754" s="222"/>
      <c r="H754" s="221"/>
      <c r="I754" s="223"/>
      <c r="J754" s="237"/>
      <c r="K754" s="223"/>
      <c r="L754" s="236"/>
      <c r="M754" s="222"/>
      <c r="N754" s="224"/>
      <c r="O754" s="222"/>
      <c r="P754" s="224"/>
      <c r="Q754" s="222"/>
      <c r="R754" s="224"/>
      <c r="S754" s="239"/>
      <c r="T754" s="224"/>
      <c r="U754" s="239"/>
      <c r="V754" s="224"/>
      <c r="W754" s="261"/>
    </row>
    <row r="755" spans="1:23" x14ac:dyDescent="0.25">
      <c r="A755" s="215"/>
      <c r="B755" s="215"/>
      <c r="C755" s="215"/>
      <c r="D755" s="215"/>
      <c r="E755" s="221"/>
      <c r="F755" s="221"/>
      <c r="G755" s="222"/>
      <c r="H755" s="221"/>
      <c r="I755" s="223"/>
      <c r="J755" s="237"/>
      <c r="K755" s="223"/>
      <c r="L755" s="236"/>
      <c r="M755" s="222"/>
      <c r="N755" s="224"/>
      <c r="O755" s="222"/>
      <c r="P755" s="224"/>
      <c r="Q755" s="222"/>
      <c r="R755" s="224"/>
      <c r="S755" s="239"/>
      <c r="T755" s="224"/>
      <c r="U755" s="239"/>
      <c r="V755" s="224"/>
      <c r="W755" s="261"/>
    </row>
    <row r="756" spans="1:23" x14ac:dyDescent="0.25">
      <c r="A756" s="215"/>
      <c r="B756" s="215"/>
      <c r="C756" s="215"/>
      <c r="D756" s="215"/>
      <c r="E756" s="221"/>
      <c r="F756" s="221"/>
      <c r="G756" s="222"/>
      <c r="H756" s="221"/>
      <c r="I756" s="223"/>
      <c r="J756" s="237"/>
      <c r="K756" s="223"/>
      <c r="L756" s="236"/>
      <c r="M756" s="222"/>
      <c r="N756" s="224"/>
      <c r="O756" s="222"/>
      <c r="P756" s="224"/>
      <c r="Q756" s="222"/>
      <c r="R756" s="224"/>
      <c r="S756" s="239"/>
      <c r="T756" s="224"/>
      <c r="U756" s="239"/>
      <c r="V756" s="224"/>
      <c r="W756" s="261"/>
    </row>
    <row r="757" spans="1:23" x14ac:dyDescent="0.25">
      <c r="A757" s="215"/>
      <c r="B757" s="215"/>
      <c r="C757" s="215"/>
      <c r="D757" s="215"/>
      <c r="E757" s="221"/>
      <c r="F757" s="221"/>
      <c r="G757" s="222"/>
      <c r="H757" s="221"/>
      <c r="I757" s="223"/>
      <c r="J757" s="237"/>
      <c r="K757" s="223"/>
      <c r="L757" s="236"/>
      <c r="M757" s="222"/>
      <c r="N757" s="224"/>
      <c r="O757" s="222"/>
      <c r="P757" s="224"/>
      <c r="Q757" s="222"/>
      <c r="R757" s="224"/>
      <c r="S757" s="239"/>
      <c r="T757" s="224"/>
      <c r="U757" s="239"/>
      <c r="V757" s="224"/>
      <c r="W757" s="261"/>
    </row>
    <row r="758" spans="1:23" x14ac:dyDescent="0.25">
      <c r="A758" s="215"/>
      <c r="B758" s="215"/>
      <c r="C758" s="215"/>
      <c r="D758" s="215"/>
      <c r="E758" s="221"/>
      <c r="F758" s="221"/>
      <c r="G758" s="222"/>
      <c r="H758" s="221"/>
      <c r="I758" s="223"/>
      <c r="J758" s="237"/>
      <c r="K758" s="223"/>
      <c r="L758" s="236"/>
      <c r="M758" s="222"/>
      <c r="N758" s="224"/>
      <c r="O758" s="222"/>
      <c r="P758" s="224"/>
      <c r="Q758" s="222"/>
      <c r="R758" s="224"/>
      <c r="S758" s="239"/>
      <c r="T758" s="224"/>
      <c r="U758" s="239"/>
      <c r="V758" s="224"/>
      <c r="W758" s="261"/>
    </row>
    <row r="759" spans="1:23" x14ac:dyDescent="0.25">
      <c r="A759" s="215"/>
      <c r="B759" s="215"/>
      <c r="C759" s="215"/>
      <c r="D759" s="215"/>
      <c r="E759" s="221"/>
      <c r="F759" s="221"/>
      <c r="G759" s="222"/>
      <c r="H759" s="221"/>
      <c r="I759" s="223"/>
      <c r="J759" s="237"/>
      <c r="K759" s="223"/>
      <c r="L759" s="236"/>
      <c r="M759" s="222"/>
      <c r="N759" s="224"/>
      <c r="O759" s="222"/>
      <c r="P759" s="224"/>
      <c r="Q759" s="222"/>
      <c r="R759" s="224"/>
      <c r="S759" s="239"/>
      <c r="T759" s="224"/>
      <c r="U759" s="239"/>
      <c r="V759" s="224"/>
      <c r="W759" s="261"/>
    </row>
    <row r="760" spans="1:23" x14ac:dyDescent="0.25">
      <c r="A760" s="215"/>
      <c r="B760" s="215"/>
      <c r="C760" s="215"/>
      <c r="D760" s="215"/>
      <c r="E760" s="221"/>
      <c r="F760" s="221"/>
      <c r="G760" s="222"/>
      <c r="H760" s="221"/>
      <c r="I760" s="223"/>
      <c r="J760" s="237"/>
      <c r="K760" s="223"/>
      <c r="L760" s="236"/>
      <c r="M760" s="222"/>
      <c r="N760" s="224"/>
      <c r="O760" s="222"/>
      <c r="P760" s="224"/>
      <c r="Q760" s="222"/>
      <c r="R760" s="224"/>
      <c r="S760" s="239"/>
      <c r="T760" s="224"/>
      <c r="U760" s="239"/>
      <c r="V760" s="224"/>
      <c r="W760" s="261"/>
    </row>
    <row r="761" spans="1:23" x14ac:dyDescent="0.25">
      <c r="A761" s="215"/>
      <c r="B761" s="215"/>
      <c r="C761" s="215"/>
      <c r="D761" s="215"/>
      <c r="E761" s="221"/>
      <c r="F761" s="221"/>
      <c r="G761" s="222"/>
      <c r="H761" s="221"/>
      <c r="I761" s="223"/>
      <c r="J761" s="237"/>
      <c r="K761" s="223"/>
      <c r="L761" s="236"/>
      <c r="M761" s="222"/>
      <c r="N761" s="224"/>
      <c r="O761" s="222"/>
      <c r="P761" s="224"/>
      <c r="Q761" s="222"/>
      <c r="R761" s="224"/>
      <c r="S761" s="239"/>
      <c r="T761" s="224"/>
      <c r="U761" s="239"/>
      <c r="V761" s="224"/>
      <c r="W761" s="261"/>
    </row>
    <row r="762" spans="1:23" x14ac:dyDescent="0.25">
      <c r="A762" s="215"/>
      <c r="B762" s="215"/>
      <c r="C762" s="215"/>
      <c r="D762" s="215"/>
      <c r="E762" s="221"/>
      <c r="F762" s="221"/>
      <c r="G762" s="222"/>
      <c r="H762" s="221"/>
      <c r="I762" s="223"/>
      <c r="J762" s="237"/>
      <c r="K762" s="223"/>
      <c r="L762" s="236"/>
      <c r="M762" s="222"/>
      <c r="N762" s="224"/>
      <c r="O762" s="222"/>
      <c r="P762" s="224"/>
      <c r="Q762" s="222"/>
      <c r="R762" s="224"/>
      <c r="S762" s="239"/>
      <c r="T762" s="224"/>
      <c r="U762" s="239"/>
      <c r="V762" s="224"/>
      <c r="W762" s="261"/>
    </row>
    <row r="763" spans="1:23" x14ac:dyDescent="0.25">
      <c r="A763" s="215"/>
      <c r="B763" s="215"/>
      <c r="C763" s="215"/>
      <c r="D763" s="215"/>
      <c r="E763" s="221"/>
      <c r="F763" s="221"/>
      <c r="G763" s="222"/>
      <c r="H763" s="221"/>
      <c r="I763" s="223"/>
      <c r="J763" s="237"/>
      <c r="K763" s="223"/>
      <c r="L763" s="236"/>
      <c r="M763" s="222"/>
      <c r="N763" s="224"/>
      <c r="O763" s="222"/>
      <c r="P763" s="224"/>
      <c r="Q763" s="222"/>
      <c r="R763" s="224"/>
      <c r="S763" s="239"/>
      <c r="T763" s="224"/>
      <c r="U763" s="239"/>
      <c r="V763" s="224"/>
      <c r="W763" s="261"/>
    </row>
    <row r="764" spans="1:23" x14ac:dyDescent="0.25">
      <c r="A764" s="215"/>
      <c r="B764" s="215"/>
      <c r="C764" s="215"/>
      <c r="D764" s="215"/>
      <c r="E764" s="221"/>
      <c r="F764" s="221"/>
      <c r="G764" s="222"/>
      <c r="H764" s="221"/>
      <c r="I764" s="223"/>
      <c r="J764" s="237"/>
      <c r="K764" s="223"/>
      <c r="L764" s="236"/>
      <c r="M764" s="222"/>
      <c r="N764" s="224"/>
      <c r="O764" s="222"/>
      <c r="P764" s="224"/>
      <c r="Q764" s="222"/>
      <c r="R764" s="224"/>
      <c r="S764" s="239"/>
      <c r="T764" s="224"/>
      <c r="U764" s="239"/>
      <c r="V764" s="224"/>
      <c r="W764" s="261"/>
    </row>
    <row r="765" spans="1:23" x14ac:dyDescent="0.25">
      <c r="A765" s="215"/>
      <c r="B765" s="215"/>
      <c r="C765" s="215"/>
      <c r="D765" s="215"/>
      <c r="E765" s="221"/>
      <c r="F765" s="221"/>
      <c r="G765" s="222"/>
      <c r="H765" s="221"/>
      <c r="I765" s="223"/>
      <c r="J765" s="237"/>
      <c r="K765" s="223"/>
      <c r="L765" s="236"/>
      <c r="M765" s="222"/>
      <c r="N765" s="224"/>
      <c r="O765" s="222"/>
      <c r="P765" s="224"/>
      <c r="Q765" s="222"/>
      <c r="R765" s="224"/>
      <c r="S765" s="239"/>
      <c r="T765" s="224"/>
      <c r="U765" s="239"/>
      <c r="V765" s="224"/>
      <c r="W765" s="261"/>
    </row>
    <row r="766" spans="1:23" x14ac:dyDescent="0.25">
      <c r="A766" s="215"/>
      <c r="B766" s="215"/>
      <c r="C766" s="215"/>
      <c r="D766" s="215"/>
      <c r="E766" s="221"/>
      <c r="F766" s="221"/>
      <c r="G766" s="222"/>
      <c r="H766" s="221"/>
      <c r="I766" s="223"/>
      <c r="J766" s="237"/>
      <c r="K766" s="223"/>
      <c r="L766" s="236"/>
      <c r="M766" s="222"/>
      <c r="N766" s="224"/>
      <c r="O766" s="222"/>
      <c r="P766" s="224"/>
      <c r="Q766" s="222"/>
      <c r="R766" s="224"/>
      <c r="S766" s="239"/>
      <c r="T766" s="224"/>
      <c r="U766" s="239"/>
      <c r="V766" s="224"/>
      <c r="W766" s="261"/>
    </row>
    <row r="767" spans="1:23" x14ac:dyDescent="0.25">
      <c r="A767" s="215"/>
      <c r="B767" s="215"/>
      <c r="C767" s="215"/>
      <c r="D767" s="215"/>
      <c r="E767" s="221"/>
      <c r="F767" s="221"/>
      <c r="G767" s="222"/>
      <c r="H767" s="221"/>
      <c r="I767" s="223"/>
      <c r="J767" s="237"/>
      <c r="K767" s="223"/>
      <c r="L767" s="236"/>
      <c r="M767" s="222"/>
      <c r="N767" s="224"/>
      <c r="O767" s="222"/>
      <c r="P767" s="224"/>
      <c r="Q767" s="222"/>
      <c r="R767" s="224"/>
      <c r="S767" s="239"/>
      <c r="T767" s="224"/>
      <c r="U767" s="239"/>
      <c r="V767" s="224"/>
      <c r="W767" s="261"/>
    </row>
    <row r="768" spans="1:23" x14ac:dyDescent="0.25">
      <c r="A768" s="215"/>
      <c r="B768" s="215"/>
      <c r="C768" s="215"/>
      <c r="D768" s="215"/>
      <c r="E768" s="221"/>
      <c r="F768" s="221"/>
      <c r="G768" s="222"/>
      <c r="H768" s="221"/>
      <c r="I768" s="223"/>
      <c r="J768" s="237"/>
      <c r="K768" s="223"/>
      <c r="L768" s="236"/>
      <c r="M768" s="222"/>
      <c r="N768" s="224"/>
      <c r="O768" s="222"/>
      <c r="P768" s="224"/>
      <c r="Q768" s="222"/>
      <c r="R768" s="224"/>
      <c r="S768" s="239"/>
      <c r="T768" s="224"/>
      <c r="U768" s="239"/>
      <c r="V768" s="224"/>
      <c r="W768" s="261"/>
    </row>
    <row r="769" spans="1:23" x14ac:dyDescent="0.25">
      <c r="A769" s="215"/>
      <c r="B769" s="215"/>
      <c r="C769" s="215"/>
      <c r="D769" s="215"/>
      <c r="E769" s="221"/>
      <c r="F769" s="221"/>
      <c r="G769" s="222"/>
      <c r="H769" s="221"/>
      <c r="I769" s="223"/>
      <c r="J769" s="237"/>
      <c r="K769" s="223"/>
      <c r="L769" s="236"/>
      <c r="M769" s="222"/>
      <c r="N769" s="224"/>
      <c r="O769" s="222"/>
      <c r="P769" s="224"/>
      <c r="Q769" s="222"/>
      <c r="R769" s="224"/>
      <c r="S769" s="239"/>
      <c r="T769" s="224"/>
      <c r="U769" s="239"/>
      <c r="V769" s="224"/>
      <c r="W769" s="261"/>
    </row>
    <row r="770" spans="1:23" x14ac:dyDescent="0.25">
      <c r="A770" s="215"/>
      <c r="B770" s="215"/>
      <c r="C770" s="215"/>
      <c r="D770" s="215"/>
      <c r="E770" s="221"/>
      <c r="F770" s="221"/>
      <c r="G770" s="222"/>
      <c r="H770" s="221"/>
      <c r="I770" s="223"/>
      <c r="J770" s="237"/>
      <c r="K770" s="223"/>
      <c r="L770" s="236"/>
      <c r="M770" s="222"/>
      <c r="N770" s="224"/>
      <c r="O770" s="222"/>
      <c r="P770" s="224"/>
      <c r="Q770" s="222"/>
      <c r="R770" s="224"/>
      <c r="S770" s="239"/>
      <c r="T770" s="224"/>
      <c r="U770" s="239"/>
      <c r="V770" s="224"/>
      <c r="W770" s="261"/>
    </row>
    <row r="771" spans="1:23" x14ac:dyDescent="0.25">
      <c r="A771" s="215"/>
      <c r="B771" s="215"/>
      <c r="C771" s="215"/>
      <c r="D771" s="215"/>
      <c r="E771" s="221"/>
      <c r="F771" s="221"/>
      <c r="G771" s="222"/>
      <c r="H771" s="221"/>
      <c r="I771" s="223"/>
      <c r="J771" s="237"/>
      <c r="K771" s="223"/>
      <c r="L771" s="236"/>
      <c r="M771" s="222"/>
      <c r="N771" s="224"/>
      <c r="O771" s="222"/>
      <c r="P771" s="224"/>
      <c r="Q771" s="222"/>
      <c r="R771" s="224"/>
      <c r="S771" s="239"/>
      <c r="T771" s="224"/>
      <c r="U771" s="239"/>
      <c r="V771" s="224"/>
      <c r="W771" s="261"/>
    </row>
    <row r="772" spans="1:23" x14ac:dyDescent="0.25">
      <c r="A772" s="215"/>
      <c r="B772" s="215"/>
      <c r="C772" s="215"/>
      <c r="D772" s="215"/>
      <c r="E772" s="221"/>
      <c r="F772" s="221"/>
      <c r="G772" s="222"/>
      <c r="H772" s="221"/>
      <c r="I772" s="223"/>
      <c r="J772" s="237"/>
      <c r="K772" s="223"/>
      <c r="L772" s="236"/>
      <c r="M772" s="222"/>
      <c r="N772" s="224"/>
      <c r="O772" s="222"/>
      <c r="P772" s="224"/>
      <c r="Q772" s="222"/>
      <c r="R772" s="224"/>
      <c r="S772" s="239"/>
      <c r="T772" s="224"/>
      <c r="U772" s="239"/>
      <c r="V772" s="224"/>
      <c r="W772" s="261"/>
    </row>
    <row r="773" spans="1:23" x14ac:dyDescent="0.25">
      <c r="A773" s="215"/>
      <c r="B773" s="215"/>
      <c r="C773" s="215"/>
      <c r="D773" s="215"/>
      <c r="E773" s="221"/>
      <c r="F773" s="221"/>
      <c r="G773" s="222"/>
      <c r="H773" s="221"/>
      <c r="I773" s="223"/>
      <c r="J773" s="237"/>
      <c r="K773" s="223"/>
      <c r="L773" s="236"/>
      <c r="M773" s="222"/>
      <c r="N773" s="224"/>
      <c r="O773" s="222"/>
      <c r="P773" s="224"/>
      <c r="Q773" s="222"/>
      <c r="R773" s="224"/>
      <c r="S773" s="239"/>
      <c r="T773" s="224"/>
      <c r="U773" s="239"/>
      <c r="V773" s="224"/>
      <c r="W773" s="261"/>
    </row>
    <row r="774" spans="1:23" x14ac:dyDescent="0.25">
      <c r="A774" s="215"/>
      <c r="B774" s="215"/>
      <c r="C774" s="215"/>
      <c r="D774" s="215"/>
      <c r="E774" s="221"/>
      <c r="F774" s="221"/>
      <c r="G774" s="222"/>
      <c r="H774" s="221"/>
      <c r="I774" s="223"/>
      <c r="J774" s="237"/>
      <c r="K774" s="223"/>
      <c r="L774" s="236"/>
      <c r="M774" s="222"/>
      <c r="N774" s="224"/>
      <c r="O774" s="222"/>
      <c r="P774" s="224"/>
      <c r="Q774" s="222"/>
      <c r="R774" s="224"/>
      <c r="S774" s="239"/>
      <c r="T774" s="224"/>
      <c r="U774" s="239"/>
      <c r="V774" s="224"/>
      <c r="W774" s="261"/>
    </row>
    <row r="775" spans="1:23" x14ac:dyDescent="0.25">
      <c r="A775" s="215"/>
      <c r="B775" s="215"/>
      <c r="C775" s="215"/>
      <c r="D775" s="215"/>
      <c r="E775" s="221"/>
      <c r="F775" s="221"/>
      <c r="G775" s="222"/>
      <c r="H775" s="221"/>
      <c r="I775" s="223"/>
      <c r="J775" s="237"/>
      <c r="K775" s="223"/>
      <c r="L775" s="236"/>
      <c r="M775" s="222"/>
      <c r="N775" s="224"/>
      <c r="O775" s="222"/>
      <c r="P775" s="224"/>
      <c r="Q775" s="222"/>
      <c r="R775" s="224"/>
      <c r="S775" s="239"/>
      <c r="T775" s="224"/>
      <c r="U775" s="239"/>
      <c r="V775" s="224"/>
      <c r="W775" s="261"/>
    </row>
    <row r="776" spans="1:23" x14ac:dyDescent="0.25">
      <c r="A776" s="215"/>
      <c r="B776" s="215"/>
      <c r="C776" s="215"/>
      <c r="D776" s="215"/>
      <c r="E776" s="221"/>
      <c r="F776" s="221"/>
      <c r="G776" s="222"/>
      <c r="H776" s="221"/>
      <c r="I776" s="223"/>
      <c r="J776" s="237"/>
      <c r="K776" s="223"/>
      <c r="L776" s="236"/>
      <c r="M776" s="222"/>
      <c r="N776" s="224"/>
      <c r="O776" s="222"/>
      <c r="P776" s="224"/>
      <c r="Q776" s="222"/>
      <c r="R776" s="224"/>
      <c r="S776" s="239"/>
      <c r="T776" s="224"/>
      <c r="U776" s="239"/>
      <c r="V776" s="224"/>
      <c r="W776" s="261"/>
    </row>
    <row r="777" spans="1:23" x14ac:dyDescent="0.25">
      <c r="A777" s="215"/>
      <c r="B777" s="215"/>
      <c r="C777" s="215"/>
      <c r="D777" s="215"/>
      <c r="E777" s="221"/>
      <c r="F777" s="221"/>
      <c r="G777" s="222"/>
      <c r="H777" s="221"/>
      <c r="I777" s="223"/>
      <c r="J777" s="237"/>
      <c r="K777" s="223"/>
      <c r="L777" s="236"/>
      <c r="M777" s="222"/>
      <c r="N777" s="224"/>
      <c r="O777" s="222"/>
      <c r="P777" s="224"/>
      <c r="Q777" s="222"/>
      <c r="R777" s="224"/>
      <c r="S777" s="239"/>
      <c r="T777" s="224"/>
      <c r="U777" s="239"/>
      <c r="V777" s="224"/>
      <c r="W777" s="261"/>
    </row>
    <row r="778" spans="1:23" x14ac:dyDescent="0.25">
      <c r="A778" s="215"/>
      <c r="B778" s="215"/>
      <c r="C778" s="215"/>
      <c r="D778" s="215"/>
      <c r="E778" s="221"/>
      <c r="F778" s="221"/>
      <c r="G778" s="222"/>
      <c r="H778" s="221"/>
      <c r="I778" s="223"/>
      <c r="J778" s="237"/>
      <c r="K778" s="223"/>
      <c r="L778" s="236"/>
      <c r="M778" s="222"/>
      <c r="N778" s="224"/>
      <c r="O778" s="222"/>
      <c r="P778" s="224"/>
      <c r="Q778" s="222"/>
      <c r="R778" s="224"/>
      <c r="S778" s="239"/>
      <c r="T778" s="224"/>
      <c r="U778" s="239"/>
      <c r="V778" s="224"/>
      <c r="W778" s="261"/>
    </row>
    <row r="779" spans="1:23" x14ac:dyDescent="0.25">
      <c r="A779" s="215"/>
      <c r="B779" s="215"/>
      <c r="C779" s="215"/>
      <c r="D779" s="215"/>
      <c r="E779" s="221"/>
      <c r="F779" s="221"/>
      <c r="G779" s="222"/>
      <c r="H779" s="221"/>
      <c r="I779" s="223"/>
      <c r="J779" s="237"/>
      <c r="K779" s="223"/>
      <c r="L779" s="236"/>
      <c r="M779" s="222"/>
      <c r="N779" s="224"/>
      <c r="O779" s="222"/>
      <c r="P779" s="224"/>
      <c r="Q779" s="222"/>
      <c r="R779" s="224"/>
      <c r="S779" s="239"/>
      <c r="T779" s="224"/>
      <c r="U779" s="239"/>
      <c r="V779" s="224"/>
      <c r="W779" s="261"/>
    </row>
    <row r="780" spans="1:23" x14ac:dyDescent="0.25">
      <c r="A780" s="215"/>
      <c r="B780" s="215"/>
      <c r="C780" s="215"/>
      <c r="D780" s="215"/>
      <c r="E780" s="221"/>
      <c r="F780" s="221"/>
      <c r="G780" s="222"/>
      <c r="H780" s="221"/>
      <c r="I780" s="223"/>
      <c r="J780" s="237"/>
      <c r="K780" s="223"/>
      <c r="L780" s="236"/>
      <c r="M780" s="222"/>
      <c r="N780" s="224"/>
      <c r="O780" s="222"/>
      <c r="P780" s="224"/>
      <c r="Q780" s="222"/>
      <c r="R780" s="224"/>
      <c r="S780" s="239"/>
      <c r="T780" s="224"/>
      <c r="U780" s="239"/>
      <c r="V780" s="224"/>
      <c r="W780" s="261"/>
    </row>
    <row r="781" spans="1:23" x14ac:dyDescent="0.25">
      <c r="A781" s="215"/>
      <c r="B781" s="215"/>
      <c r="C781" s="215"/>
      <c r="D781" s="215"/>
      <c r="E781" s="221"/>
      <c r="F781" s="221"/>
      <c r="G781" s="222"/>
      <c r="H781" s="221"/>
      <c r="I781" s="223"/>
      <c r="J781" s="237"/>
      <c r="K781" s="223"/>
      <c r="L781" s="236"/>
      <c r="M781" s="222"/>
      <c r="N781" s="224"/>
      <c r="O781" s="222"/>
      <c r="P781" s="224"/>
      <c r="Q781" s="222"/>
      <c r="R781" s="224"/>
      <c r="S781" s="239"/>
      <c r="T781" s="224"/>
      <c r="U781" s="239"/>
      <c r="V781" s="224"/>
      <c r="W781" s="261"/>
    </row>
    <row r="782" spans="1:23" x14ac:dyDescent="0.25">
      <c r="A782" s="215"/>
      <c r="B782" s="215"/>
      <c r="C782" s="215"/>
      <c r="D782" s="215"/>
      <c r="E782" s="221"/>
      <c r="F782" s="221"/>
      <c r="G782" s="222"/>
      <c r="H782" s="221"/>
      <c r="I782" s="223"/>
      <c r="J782" s="237"/>
      <c r="K782" s="223"/>
      <c r="L782" s="236"/>
      <c r="M782" s="222"/>
      <c r="N782" s="224"/>
      <c r="O782" s="222"/>
      <c r="P782" s="224"/>
      <c r="Q782" s="222"/>
      <c r="R782" s="224"/>
      <c r="S782" s="239"/>
      <c r="T782" s="224"/>
      <c r="U782" s="239"/>
      <c r="V782" s="224"/>
      <c r="W782" s="261"/>
    </row>
    <row r="783" spans="1:23" x14ac:dyDescent="0.25">
      <c r="A783" s="215"/>
      <c r="B783" s="215"/>
      <c r="C783" s="215"/>
      <c r="D783" s="215"/>
      <c r="E783" s="221"/>
      <c r="F783" s="221"/>
      <c r="G783" s="222"/>
      <c r="H783" s="221"/>
      <c r="I783" s="223"/>
      <c r="J783" s="237"/>
      <c r="K783" s="223"/>
      <c r="L783" s="236"/>
      <c r="M783" s="222"/>
      <c r="N783" s="224"/>
      <c r="O783" s="222"/>
      <c r="P783" s="224"/>
      <c r="Q783" s="222"/>
      <c r="R783" s="224"/>
      <c r="S783" s="239"/>
      <c r="T783" s="224"/>
      <c r="U783" s="239"/>
      <c r="V783" s="224"/>
      <c r="W783" s="261"/>
    </row>
    <row r="784" spans="1:23" x14ac:dyDescent="0.25">
      <c r="A784" s="215"/>
      <c r="B784" s="215"/>
      <c r="C784" s="215"/>
      <c r="D784" s="215"/>
      <c r="E784" s="221"/>
      <c r="F784" s="221"/>
      <c r="G784" s="222"/>
      <c r="H784" s="221"/>
      <c r="I784" s="223"/>
      <c r="J784" s="237"/>
      <c r="K784" s="223"/>
      <c r="L784" s="236"/>
      <c r="M784" s="222"/>
      <c r="N784" s="224"/>
      <c r="O784" s="222"/>
      <c r="P784" s="224"/>
      <c r="Q784" s="222"/>
      <c r="R784" s="224"/>
      <c r="S784" s="239"/>
      <c r="T784" s="224"/>
      <c r="U784" s="239"/>
      <c r="V784" s="224"/>
      <c r="W784" s="261"/>
    </row>
    <row r="785" spans="1:23" x14ac:dyDescent="0.25">
      <c r="A785" s="215"/>
      <c r="B785" s="215"/>
      <c r="C785" s="215"/>
      <c r="D785" s="215"/>
      <c r="E785" s="221"/>
      <c r="F785" s="221"/>
      <c r="G785" s="222"/>
      <c r="H785" s="221"/>
      <c r="I785" s="223"/>
      <c r="J785" s="237"/>
      <c r="K785" s="223"/>
      <c r="L785" s="236"/>
      <c r="M785" s="222"/>
      <c r="N785" s="224"/>
      <c r="O785" s="222"/>
      <c r="P785" s="224"/>
      <c r="Q785" s="222"/>
      <c r="R785" s="224"/>
      <c r="S785" s="239"/>
      <c r="T785" s="224"/>
      <c r="U785" s="239"/>
      <c r="V785" s="224"/>
      <c r="W785" s="261"/>
    </row>
    <row r="786" spans="1:23" x14ac:dyDescent="0.25">
      <c r="A786" s="215"/>
      <c r="B786" s="215"/>
      <c r="C786" s="215"/>
      <c r="D786" s="215"/>
      <c r="E786" s="221"/>
      <c r="F786" s="221"/>
      <c r="G786" s="222"/>
      <c r="H786" s="221"/>
      <c r="I786" s="223"/>
      <c r="J786" s="237"/>
      <c r="K786" s="223"/>
      <c r="L786" s="236"/>
      <c r="M786" s="222"/>
      <c r="N786" s="224"/>
      <c r="O786" s="222"/>
      <c r="P786" s="224"/>
      <c r="Q786" s="222"/>
      <c r="R786" s="224"/>
      <c r="S786" s="239"/>
      <c r="T786" s="224"/>
      <c r="U786" s="239"/>
      <c r="V786" s="224"/>
      <c r="W786" s="261"/>
    </row>
    <row r="787" spans="1:23" x14ac:dyDescent="0.25">
      <c r="A787" s="215"/>
      <c r="B787" s="215"/>
      <c r="C787" s="215"/>
      <c r="D787" s="215"/>
      <c r="E787" s="221"/>
      <c r="F787" s="221"/>
      <c r="G787" s="222"/>
      <c r="H787" s="221"/>
      <c r="I787" s="223"/>
      <c r="J787" s="237"/>
      <c r="K787" s="223"/>
      <c r="L787" s="236"/>
      <c r="M787" s="222"/>
      <c r="N787" s="224"/>
      <c r="O787" s="222"/>
      <c r="P787" s="224"/>
      <c r="Q787" s="222"/>
      <c r="R787" s="224"/>
      <c r="S787" s="239"/>
      <c r="T787" s="224"/>
      <c r="U787" s="239"/>
      <c r="V787" s="224"/>
      <c r="W787" s="261"/>
    </row>
    <row r="788" spans="1:23" x14ac:dyDescent="0.25">
      <c r="A788" s="215"/>
      <c r="B788" s="215"/>
      <c r="C788" s="215"/>
      <c r="D788" s="215"/>
      <c r="E788" s="221"/>
      <c r="F788" s="221"/>
      <c r="G788" s="222"/>
      <c r="H788" s="221"/>
      <c r="I788" s="223"/>
      <c r="J788" s="237"/>
      <c r="K788" s="223"/>
      <c r="L788" s="236"/>
      <c r="M788" s="222"/>
      <c r="N788" s="224"/>
      <c r="O788" s="222"/>
      <c r="P788" s="224"/>
      <c r="Q788" s="222"/>
      <c r="R788" s="224"/>
      <c r="S788" s="239"/>
      <c r="T788" s="224"/>
      <c r="U788" s="239"/>
      <c r="V788" s="224"/>
      <c r="W788" s="261"/>
    </row>
    <row r="789" spans="1:23" x14ac:dyDescent="0.25">
      <c r="A789" s="215"/>
      <c r="B789" s="215"/>
      <c r="C789" s="215"/>
      <c r="D789" s="215"/>
      <c r="E789" s="221"/>
      <c r="F789" s="221"/>
      <c r="G789" s="222"/>
      <c r="H789" s="221"/>
      <c r="I789" s="223"/>
      <c r="J789" s="237"/>
      <c r="K789" s="223"/>
      <c r="L789" s="236"/>
      <c r="M789" s="222"/>
      <c r="N789" s="224"/>
      <c r="O789" s="222"/>
      <c r="P789" s="224"/>
      <c r="Q789" s="222"/>
      <c r="R789" s="224"/>
      <c r="S789" s="239"/>
      <c r="T789" s="224"/>
      <c r="U789" s="239"/>
      <c r="V789" s="224"/>
      <c r="W789" s="261"/>
    </row>
    <row r="790" spans="1:23" x14ac:dyDescent="0.25">
      <c r="A790" s="215"/>
      <c r="B790" s="215"/>
      <c r="C790" s="215"/>
      <c r="D790" s="215"/>
      <c r="E790" s="221"/>
      <c r="F790" s="221"/>
      <c r="G790" s="222"/>
      <c r="H790" s="221"/>
      <c r="I790" s="223"/>
      <c r="J790" s="237"/>
      <c r="K790" s="223"/>
      <c r="L790" s="236"/>
      <c r="M790" s="222"/>
      <c r="N790" s="224"/>
      <c r="O790" s="222"/>
      <c r="P790" s="224"/>
      <c r="Q790" s="222"/>
      <c r="R790" s="224"/>
      <c r="S790" s="239"/>
      <c r="T790" s="224"/>
      <c r="U790" s="239"/>
      <c r="V790" s="224"/>
      <c r="W790" s="261"/>
    </row>
    <row r="791" spans="1:23" x14ac:dyDescent="0.25">
      <c r="A791" s="215"/>
      <c r="B791" s="215"/>
      <c r="C791" s="215"/>
      <c r="D791" s="215"/>
      <c r="E791" s="221"/>
      <c r="F791" s="221"/>
      <c r="G791" s="222"/>
      <c r="H791" s="221"/>
      <c r="I791" s="223"/>
      <c r="J791" s="237"/>
      <c r="K791" s="223"/>
      <c r="L791" s="236"/>
      <c r="M791" s="222"/>
      <c r="N791" s="224"/>
      <c r="O791" s="222"/>
      <c r="P791" s="224"/>
      <c r="Q791" s="222"/>
      <c r="R791" s="224"/>
      <c r="S791" s="239"/>
      <c r="T791" s="224"/>
      <c r="U791" s="239"/>
      <c r="V791" s="224"/>
      <c r="W791" s="261"/>
    </row>
    <row r="792" spans="1:23" x14ac:dyDescent="0.25">
      <c r="A792" s="215"/>
      <c r="B792" s="215"/>
      <c r="C792" s="215"/>
      <c r="D792" s="215"/>
      <c r="E792" s="221"/>
      <c r="F792" s="221"/>
      <c r="G792" s="222"/>
      <c r="H792" s="221"/>
      <c r="I792" s="223"/>
      <c r="J792" s="237"/>
      <c r="K792" s="223"/>
      <c r="L792" s="236"/>
      <c r="M792" s="222"/>
      <c r="N792" s="224"/>
      <c r="O792" s="222"/>
      <c r="P792" s="224"/>
      <c r="Q792" s="222"/>
      <c r="R792" s="224"/>
      <c r="S792" s="239"/>
      <c r="T792" s="224"/>
      <c r="U792" s="239"/>
      <c r="V792" s="224"/>
      <c r="W792" s="261"/>
    </row>
    <row r="793" spans="1:23" x14ac:dyDescent="0.25">
      <c r="A793" s="215"/>
      <c r="B793" s="215"/>
      <c r="C793" s="215"/>
      <c r="D793" s="215"/>
      <c r="E793" s="221"/>
      <c r="F793" s="221"/>
      <c r="G793" s="222"/>
      <c r="H793" s="221"/>
      <c r="I793" s="223"/>
      <c r="J793" s="237"/>
      <c r="K793" s="223"/>
      <c r="L793" s="236"/>
      <c r="M793" s="222"/>
      <c r="N793" s="224"/>
      <c r="O793" s="222"/>
      <c r="P793" s="224"/>
      <c r="Q793" s="222"/>
      <c r="R793" s="224"/>
      <c r="S793" s="239"/>
      <c r="T793" s="224"/>
      <c r="U793" s="239"/>
      <c r="V793" s="224"/>
      <c r="W793" s="261"/>
    </row>
    <row r="794" spans="1:23" x14ac:dyDescent="0.25">
      <c r="A794" s="215"/>
      <c r="B794" s="215"/>
      <c r="C794" s="215"/>
      <c r="D794" s="215"/>
      <c r="E794" s="221"/>
      <c r="F794" s="221"/>
      <c r="G794" s="222"/>
      <c r="H794" s="221"/>
      <c r="I794" s="223"/>
      <c r="J794" s="237"/>
      <c r="K794" s="223"/>
      <c r="L794" s="236"/>
      <c r="M794" s="222"/>
      <c r="N794" s="224"/>
      <c r="O794" s="222"/>
      <c r="P794" s="224"/>
      <c r="Q794" s="222"/>
      <c r="R794" s="224"/>
      <c r="S794" s="239"/>
      <c r="T794" s="224"/>
      <c r="U794" s="239"/>
      <c r="V794" s="224"/>
      <c r="W794" s="261"/>
    </row>
    <row r="795" spans="1:23" x14ac:dyDescent="0.25">
      <c r="A795" s="215"/>
      <c r="B795" s="215"/>
      <c r="C795" s="215"/>
      <c r="D795" s="215"/>
      <c r="E795" s="221"/>
      <c r="F795" s="221"/>
      <c r="G795" s="222"/>
      <c r="H795" s="221"/>
      <c r="I795" s="223"/>
      <c r="J795" s="237"/>
      <c r="K795" s="223"/>
      <c r="L795" s="236"/>
      <c r="M795" s="222"/>
      <c r="N795" s="224"/>
      <c r="O795" s="222"/>
      <c r="P795" s="224"/>
      <c r="Q795" s="222"/>
      <c r="R795" s="224"/>
      <c r="S795" s="239"/>
      <c r="T795" s="224"/>
      <c r="U795" s="239"/>
      <c r="V795" s="224"/>
      <c r="W795" s="261"/>
    </row>
    <row r="796" spans="1:23" x14ac:dyDescent="0.25">
      <c r="A796" s="215"/>
      <c r="B796" s="215"/>
      <c r="C796" s="215"/>
      <c r="D796" s="215"/>
      <c r="E796" s="221"/>
      <c r="F796" s="221"/>
      <c r="G796" s="222"/>
      <c r="H796" s="221"/>
      <c r="I796" s="223"/>
      <c r="J796" s="237"/>
      <c r="K796" s="223"/>
      <c r="L796" s="236"/>
      <c r="M796" s="222"/>
      <c r="N796" s="224"/>
      <c r="O796" s="222"/>
      <c r="P796" s="224"/>
      <c r="Q796" s="222"/>
      <c r="R796" s="224"/>
      <c r="S796" s="239"/>
      <c r="T796" s="224"/>
      <c r="U796" s="239"/>
      <c r="V796" s="224"/>
      <c r="W796" s="261"/>
    </row>
    <row r="797" spans="1:23" x14ac:dyDescent="0.25">
      <c r="A797" s="215"/>
      <c r="B797" s="215"/>
      <c r="C797" s="215"/>
      <c r="D797" s="215"/>
      <c r="E797" s="221"/>
      <c r="F797" s="221"/>
      <c r="G797" s="222"/>
      <c r="H797" s="221"/>
      <c r="I797" s="223"/>
      <c r="J797" s="237"/>
      <c r="K797" s="223"/>
      <c r="L797" s="236"/>
      <c r="M797" s="222"/>
      <c r="N797" s="224"/>
      <c r="O797" s="222"/>
      <c r="P797" s="224"/>
      <c r="Q797" s="222"/>
      <c r="R797" s="224"/>
      <c r="S797" s="239"/>
      <c r="T797" s="224"/>
      <c r="U797" s="239"/>
      <c r="V797" s="224"/>
      <c r="W797" s="261"/>
    </row>
    <row r="798" spans="1:23" x14ac:dyDescent="0.25">
      <c r="A798" s="215"/>
      <c r="B798" s="215"/>
      <c r="C798" s="215"/>
      <c r="D798" s="215"/>
      <c r="E798" s="221"/>
      <c r="F798" s="221"/>
      <c r="G798" s="222"/>
      <c r="H798" s="221"/>
      <c r="I798" s="223"/>
      <c r="J798" s="237"/>
      <c r="K798" s="223"/>
      <c r="L798" s="236"/>
      <c r="M798" s="222"/>
      <c r="N798" s="224"/>
      <c r="O798" s="222"/>
      <c r="P798" s="224"/>
      <c r="Q798" s="222"/>
      <c r="R798" s="224"/>
      <c r="S798" s="239"/>
      <c r="T798" s="224"/>
      <c r="U798" s="239"/>
      <c r="V798" s="224"/>
      <c r="W798" s="261"/>
    </row>
    <row r="799" spans="1:23" x14ac:dyDescent="0.25">
      <c r="A799" s="215"/>
      <c r="B799" s="215"/>
      <c r="C799" s="215"/>
      <c r="D799" s="215"/>
      <c r="E799" s="221"/>
      <c r="F799" s="221"/>
      <c r="G799" s="222"/>
      <c r="H799" s="221"/>
      <c r="I799" s="223"/>
      <c r="J799" s="237"/>
      <c r="K799" s="223"/>
      <c r="L799" s="236"/>
      <c r="M799" s="222"/>
      <c r="N799" s="224"/>
      <c r="O799" s="222"/>
      <c r="P799" s="224"/>
      <c r="Q799" s="222"/>
      <c r="R799" s="224"/>
      <c r="S799" s="239"/>
      <c r="T799" s="224"/>
      <c r="U799" s="239"/>
      <c r="V799" s="224"/>
      <c r="W799" s="261"/>
    </row>
    <row r="800" spans="1:23" x14ac:dyDescent="0.25">
      <c r="A800" s="215"/>
      <c r="B800" s="215"/>
      <c r="C800" s="215"/>
      <c r="D800" s="215"/>
      <c r="E800" s="221"/>
      <c r="F800" s="221"/>
      <c r="G800" s="222"/>
      <c r="H800" s="221"/>
      <c r="I800" s="223"/>
      <c r="J800" s="237"/>
      <c r="K800" s="223"/>
      <c r="L800" s="236"/>
      <c r="M800" s="222"/>
      <c r="N800" s="224"/>
      <c r="O800" s="222"/>
      <c r="P800" s="224"/>
      <c r="Q800" s="222"/>
      <c r="R800" s="224"/>
      <c r="S800" s="239"/>
      <c r="T800" s="224"/>
      <c r="U800" s="239"/>
      <c r="V800" s="224"/>
      <c r="W800" s="261"/>
    </row>
    <row r="801" spans="1:23" x14ac:dyDescent="0.25">
      <c r="A801" s="215"/>
      <c r="B801" s="215"/>
      <c r="C801" s="215"/>
      <c r="D801" s="215"/>
      <c r="E801" s="221"/>
      <c r="F801" s="221"/>
      <c r="G801" s="222"/>
      <c r="H801" s="221"/>
      <c r="I801" s="223"/>
      <c r="J801" s="237"/>
      <c r="K801" s="223"/>
      <c r="L801" s="236"/>
      <c r="M801" s="222"/>
      <c r="N801" s="224"/>
      <c r="O801" s="222"/>
      <c r="P801" s="224"/>
      <c r="Q801" s="222"/>
      <c r="R801" s="224"/>
      <c r="S801" s="239"/>
      <c r="T801" s="224"/>
      <c r="U801" s="239"/>
      <c r="V801" s="224"/>
      <c r="W801" s="261"/>
    </row>
    <row r="802" spans="1:23" x14ac:dyDescent="0.25">
      <c r="A802" s="215"/>
      <c r="B802" s="215"/>
      <c r="C802" s="215"/>
      <c r="D802" s="215"/>
      <c r="E802" s="221"/>
      <c r="F802" s="221"/>
      <c r="G802" s="222"/>
      <c r="H802" s="221"/>
      <c r="I802" s="223"/>
      <c r="J802" s="237"/>
      <c r="K802" s="223"/>
      <c r="L802" s="236"/>
      <c r="M802" s="222"/>
      <c r="N802" s="224"/>
      <c r="O802" s="222"/>
      <c r="P802" s="224"/>
      <c r="Q802" s="222"/>
      <c r="R802" s="224"/>
      <c r="S802" s="239"/>
      <c r="T802" s="224"/>
      <c r="U802" s="239"/>
      <c r="V802" s="224"/>
      <c r="W802" s="261"/>
    </row>
    <row r="803" spans="1:23" x14ac:dyDescent="0.25">
      <c r="A803" s="215"/>
      <c r="B803" s="215"/>
      <c r="C803" s="215"/>
      <c r="D803" s="215"/>
      <c r="E803" s="221"/>
      <c r="F803" s="221"/>
      <c r="G803" s="222"/>
      <c r="H803" s="221"/>
      <c r="I803" s="223"/>
      <c r="J803" s="237"/>
      <c r="K803" s="223"/>
      <c r="L803" s="236"/>
      <c r="M803" s="222"/>
      <c r="N803" s="224"/>
      <c r="O803" s="222"/>
      <c r="P803" s="224"/>
      <c r="Q803" s="222"/>
      <c r="R803" s="224"/>
      <c r="S803" s="239"/>
      <c r="T803" s="224"/>
      <c r="U803" s="239"/>
      <c r="V803" s="224"/>
      <c r="W803" s="261"/>
    </row>
    <row r="804" spans="1:23" x14ac:dyDescent="0.25">
      <c r="A804" s="215"/>
      <c r="B804" s="215"/>
      <c r="C804" s="215"/>
      <c r="D804" s="215"/>
      <c r="E804" s="221"/>
      <c r="F804" s="221"/>
      <c r="G804" s="222"/>
      <c r="H804" s="221"/>
      <c r="I804" s="223"/>
      <c r="J804" s="237"/>
      <c r="K804" s="223"/>
      <c r="L804" s="236"/>
      <c r="M804" s="222"/>
      <c r="N804" s="224"/>
      <c r="O804" s="222"/>
      <c r="P804" s="224"/>
      <c r="Q804" s="222"/>
      <c r="R804" s="224"/>
      <c r="S804" s="239"/>
      <c r="T804" s="224"/>
      <c r="U804" s="239"/>
      <c r="V804" s="224"/>
      <c r="W804" s="261"/>
    </row>
    <row r="805" spans="1:23" x14ac:dyDescent="0.25">
      <c r="A805" s="215"/>
      <c r="B805" s="215"/>
      <c r="C805" s="215"/>
      <c r="D805" s="215"/>
      <c r="E805" s="221"/>
      <c r="F805" s="221"/>
      <c r="G805" s="222"/>
      <c r="H805" s="221"/>
      <c r="I805" s="223"/>
      <c r="J805" s="237"/>
      <c r="K805" s="223"/>
      <c r="L805" s="236"/>
      <c r="M805" s="222"/>
      <c r="N805" s="224"/>
      <c r="O805" s="222"/>
      <c r="P805" s="224"/>
      <c r="Q805" s="222"/>
      <c r="R805" s="224"/>
      <c r="S805" s="239"/>
      <c r="T805" s="224"/>
      <c r="U805" s="239"/>
      <c r="V805" s="224"/>
      <c r="W805" s="261"/>
    </row>
    <row r="806" spans="1:23" x14ac:dyDescent="0.25">
      <c r="A806" s="215"/>
      <c r="B806" s="215"/>
      <c r="C806" s="215"/>
      <c r="D806" s="215"/>
      <c r="E806" s="221"/>
      <c r="F806" s="221"/>
      <c r="G806" s="222"/>
      <c r="H806" s="221"/>
      <c r="I806" s="223"/>
      <c r="J806" s="237"/>
      <c r="K806" s="223"/>
      <c r="L806" s="236"/>
      <c r="M806" s="222"/>
      <c r="N806" s="224"/>
      <c r="O806" s="222"/>
      <c r="P806" s="224"/>
      <c r="Q806" s="222"/>
      <c r="R806" s="224"/>
      <c r="S806" s="239"/>
      <c r="T806" s="224"/>
      <c r="U806" s="239"/>
      <c r="V806" s="224"/>
      <c r="W806" s="261"/>
    </row>
    <row r="807" spans="1:23" x14ac:dyDescent="0.25">
      <c r="A807" s="215"/>
      <c r="B807" s="215"/>
      <c r="C807" s="215"/>
      <c r="D807" s="215"/>
      <c r="E807" s="221"/>
      <c r="F807" s="221"/>
      <c r="G807" s="222"/>
      <c r="H807" s="221"/>
      <c r="I807" s="223"/>
      <c r="J807" s="237"/>
      <c r="K807" s="223"/>
      <c r="L807" s="236"/>
      <c r="M807" s="222"/>
      <c r="N807" s="224"/>
      <c r="O807" s="222"/>
      <c r="P807" s="224"/>
      <c r="Q807" s="222"/>
      <c r="R807" s="224"/>
      <c r="S807" s="239"/>
      <c r="T807" s="224"/>
      <c r="U807" s="239"/>
      <c r="V807" s="224"/>
      <c r="W807" s="261"/>
    </row>
    <row r="808" spans="1:23" x14ac:dyDescent="0.25">
      <c r="A808" s="215"/>
      <c r="B808" s="215"/>
      <c r="C808" s="215"/>
      <c r="D808" s="215"/>
      <c r="E808" s="221"/>
      <c r="F808" s="221"/>
      <c r="G808" s="222"/>
      <c r="H808" s="221"/>
      <c r="I808" s="223"/>
      <c r="J808" s="237"/>
      <c r="K808" s="223"/>
      <c r="L808" s="236"/>
      <c r="M808" s="222"/>
      <c r="N808" s="224"/>
      <c r="O808" s="222"/>
      <c r="P808" s="224"/>
      <c r="Q808" s="222"/>
      <c r="R808" s="224"/>
      <c r="S808" s="239"/>
      <c r="T808" s="224"/>
      <c r="U808" s="239"/>
      <c r="V808" s="224"/>
      <c r="W808" s="261"/>
    </row>
    <row r="809" spans="1:23" x14ac:dyDescent="0.25">
      <c r="A809" s="215"/>
      <c r="B809" s="215"/>
      <c r="C809" s="215"/>
      <c r="D809" s="215"/>
      <c r="E809" s="221"/>
      <c r="F809" s="221"/>
      <c r="G809" s="222"/>
      <c r="H809" s="221"/>
      <c r="I809" s="223"/>
      <c r="J809" s="237"/>
      <c r="K809" s="223"/>
      <c r="L809" s="236"/>
      <c r="M809" s="222"/>
      <c r="N809" s="224"/>
      <c r="O809" s="222"/>
      <c r="P809" s="224"/>
      <c r="Q809" s="222"/>
      <c r="R809" s="224"/>
      <c r="S809" s="239"/>
      <c r="T809" s="224"/>
      <c r="U809" s="239"/>
      <c r="V809" s="224"/>
      <c r="W809" s="261"/>
    </row>
    <row r="810" spans="1:23" x14ac:dyDescent="0.25">
      <c r="A810" s="215"/>
      <c r="B810" s="215"/>
      <c r="C810" s="215"/>
      <c r="D810" s="215"/>
      <c r="E810" s="221"/>
      <c r="F810" s="221"/>
      <c r="G810" s="222"/>
      <c r="H810" s="221"/>
      <c r="I810" s="223"/>
      <c r="J810" s="237"/>
      <c r="K810" s="223"/>
      <c r="L810" s="236"/>
      <c r="M810" s="222"/>
      <c r="N810" s="224"/>
      <c r="O810" s="222"/>
      <c r="P810" s="224"/>
      <c r="Q810" s="222"/>
      <c r="R810" s="224"/>
      <c r="S810" s="239"/>
      <c r="T810" s="224"/>
      <c r="U810" s="239"/>
      <c r="V810" s="224"/>
      <c r="W810" s="261"/>
    </row>
    <row r="811" spans="1:23" x14ac:dyDescent="0.25">
      <c r="A811" s="215"/>
      <c r="B811" s="215"/>
      <c r="C811" s="215"/>
      <c r="D811" s="215"/>
      <c r="E811" s="221"/>
      <c r="F811" s="221"/>
      <c r="G811" s="222"/>
      <c r="H811" s="221"/>
      <c r="I811" s="223"/>
      <c r="J811" s="237"/>
      <c r="K811" s="223"/>
      <c r="L811" s="236"/>
      <c r="M811" s="222"/>
      <c r="N811" s="224"/>
      <c r="O811" s="222"/>
      <c r="P811" s="224"/>
      <c r="Q811" s="222"/>
      <c r="R811" s="224"/>
      <c r="S811" s="239"/>
      <c r="T811" s="224"/>
      <c r="U811" s="239"/>
      <c r="V811" s="224"/>
      <c r="W811" s="261"/>
    </row>
    <row r="812" spans="1:23" x14ac:dyDescent="0.25">
      <c r="A812" s="215"/>
      <c r="B812" s="215"/>
      <c r="C812" s="215"/>
      <c r="D812" s="215"/>
      <c r="E812" s="221"/>
      <c r="F812" s="221"/>
      <c r="G812" s="222"/>
      <c r="H812" s="221"/>
      <c r="I812" s="223"/>
      <c r="J812" s="237"/>
      <c r="K812" s="223"/>
      <c r="L812" s="236"/>
      <c r="M812" s="222"/>
      <c r="N812" s="224"/>
      <c r="O812" s="222"/>
      <c r="P812" s="224"/>
      <c r="Q812" s="222"/>
      <c r="R812" s="224"/>
      <c r="S812" s="239"/>
      <c r="T812" s="224"/>
      <c r="U812" s="239"/>
      <c r="V812" s="224"/>
      <c r="W812" s="261"/>
    </row>
    <row r="813" spans="1:23" x14ac:dyDescent="0.25">
      <c r="A813" s="215"/>
      <c r="B813" s="215"/>
      <c r="C813" s="215"/>
      <c r="D813" s="215"/>
      <c r="E813" s="221"/>
      <c r="F813" s="221"/>
      <c r="G813" s="222"/>
      <c r="H813" s="221"/>
      <c r="I813" s="223"/>
      <c r="J813" s="237"/>
      <c r="K813" s="223"/>
      <c r="L813" s="236"/>
      <c r="M813" s="222"/>
      <c r="N813" s="224"/>
      <c r="O813" s="222"/>
      <c r="P813" s="224"/>
      <c r="Q813" s="222"/>
      <c r="R813" s="224"/>
      <c r="S813" s="239"/>
      <c r="T813" s="224"/>
      <c r="U813" s="239"/>
      <c r="V813" s="224"/>
      <c r="W813" s="261"/>
    </row>
    <row r="814" spans="1:23" x14ac:dyDescent="0.25">
      <c r="A814" s="215"/>
      <c r="B814" s="215"/>
      <c r="C814" s="215"/>
      <c r="D814" s="215"/>
      <c r="E814" s="221"/>
      <c r="F814" s="221"/>
      <c r="G814" s="222"/>
      <c r="H814" s="221"/>
      <c r="I814" s="223"/>
      <c r="J814" s="237"/>
      <c r="K814" s="223"/>
      <c r="L814" s="236"/>
      <c r="M814" s="222"/>
      <c r="N814" s="224"/>
      <c r="O814" s="222"/>
      <c r="P814" s="224"/>
      <c r="Q814" s="222"/>
      <c r="R814" s="224"/>
      <c r="S814" s="239"/>
      <c r="T814" s="224"/>
      <c r="U814" s="239"/>
      <c r="V814" s="224"/>
      <c r="W814" s="261"/>
    </row>
    <row r="815" spans="1:23" x14ac:dyDescent="0.25">
      <c r="A815" s="215"/>
      <c r="B815" s="215"/>
      <c r="C815" s="215"/>
      <c r="D815" s="215"/>
      <c r="E815" s="221"/>
      <c r="F815" s="221"/>
      <c r="G815" s="222"/>
      <c r="H815" s="221"/>
      <c r="I815" s="223"/>
      <c r="J815" s="237"/>
      <c r="K815" s="223"/>
      <c r="L815" s="236"/>
      <c r="M815" s="222"/>
      <c r="N815" s="224"/>
      <c r="O815" s="222"/>
      <c r="P815" s="224"/>
      <c r="Q815" s="222"/>
      <c r="R815" s="224"/>
      <c r="S815" s="239"/>
      <c r="T815" s="224"/>
      <c r="U815" s="239"/>
      <c r="V815" s="224"/>
      <c r="W815" s="261"/>
    </row>
    <row r="816" spans="1:23" x14ac:dyDescent="0.25">
      <c r="A816" s="215"/>
      <c r="B816" s="215"/>
      <c r="C816" s="215"/>
      <c r="D816" s="215"/>
      <c r="E816" s="221"/>
      <c r="F816" s="221"/>
      <c r="G816" s="222"/>
      <c r="H816" s="221"/>
      <c r="I816" s="223"/>
      <c r="J816" s="237"/>
      <c r="K816" s="223"/>
      <c r="L816" s="236"/>
      <c r="M816" s="222"/>
      <c r="N816" s="224"/>
      <c r="O816" s="222"/>
      <c r="P816" s="224"/>
      <c r="Q816" s="222"/>
      <c r="R816" s="224"/>
      <c r="S816" s="239"/>
      <c r="T816" s="224"/>
      <c r="U816" s="239"/>
      <c r="V816" s="224"/>
      <c r="W816" s="261"/>
    </row>
    <row r="817" spans="1:23" x14ac:dyDescent="0.25">
      <c r="A817" s="215"/>
      <c r="B817" s="215"/>
      <c r="C817" s="215"/>
      <c r="D817" s="215"/>
      <c r="E817" s="221"/>
      <c r="F817" s="221"/>
      <c r="G817" s="222"/>
      <c r="H817" s="221"/>
      <c r="I817" s="223"/>
      <c r="J817" s="237"/>
      <c r="K817" s="223"/>
      <c r="L817" s="236"/>
      <c r="M817" s="222"/>
      <c r="N817" s="224"/>
      <c r="O817" s="222"/>
      <c r="P817" s="224"/>
      <c r="Q817" s="222"/>
      <c r="R817" s="224"/>
      <c r="S817" s="239"/>
      <c r="T817" s="224"/>
      <c r="U817" s="239"/>
      <c r="V817" s="224"/>
      <c r="W817" s="261"/>
    </row>
    <row r="818" spans="1:23" x14ac:dyDescent="0.25">
      <c r="A818" s="215"/>
      <c r="B818" s="215"/>
      <c r="C818" s="215"/>
      <c r="D818" s="215"/>
      <c r="E818" s="221"/>
      <c r="F818" s="221"/>
      <c r="G818" s="222"/>
      <c r="H818" s="221"/>
      <c r="I818" s="223"/>
      <c r="J818" s="237"/>
      <c r="K818" s="223"/>
      <c r="L818" s="236"/>
      <c r="M818" s="222"/>
      <c r="N818" s="224"/>
      <c r="O818" s="222"/>
      <c r="P818" s="224"/>
      <c r="Q818" s="222"/>
      <c r="R818" s="224"/>
      <c r="S818" s="239"/>
      <c r="T818" s="224"/>
      <c r="U818" s="239"/>
      <c r="V818" s="224"/>
      <c r="W818" s="261"/>
    </row>
    <row r="819" spans="1:23" x14ac:dyDescent="0.25">
      <c r="A819" s="215"/>
      <c r="B819" s="215"/>
      <c r="C819" s="215"/>
      <c r="D819" s="215"/>
      <c r="E819" s="221"/>
      <c r="F819" s="221"/>
      <c r="G819" s="222"/>
      <c r="H819" s="221"/>
      <c r="I819" s="223"/>
      <c r="J819" s="237"/>
      <c r="K819" s="223"/>
      <c r="L819" s="236"/>
      <c r="M819" s="222"/>
      <c r="N819" s="224"/>
      <c r="O819" s="222"/>
      <c r="P819" s="224"/>
      <c r="Q819" s="222"/>
      <c r="R819" s="224"/>
      <c r="S819" s="239"/>
      <c r="T819" s="224"/>
      <c r="U819" s="239"/>
      <c r="V819" s="224"/>
      <c r="W819" s="261"/>
    </row>
    <row r="820" spans="1:23" x14ac:dyDescent="0.25">
      <c r="A820" s="215"/>
      <c r="B820" s="215"/>
      <c r="C820" s="215"/>
      <c r="D820" s="215"/>
      <c r="E820" s="221"/>
      <c r="F820" s="221"/>
      <c r="G820" s="222"/>
      <c r="H820" s="221"/>
      <c r="I820" s="223"/>
      <c r="J820" s="237"/>
      <c r="K820" s="223"/>
      <c r="L820" s="236"/>
      <c r="M820" s="222"/>
      <c r="N820" s="224"/>
      <c r="O820" s="222"/>
      <c r="P820" s="224"/>
      <c r="Q820" s="222"/>
      <c r="R820" s="224"/>
      <c r="S820" s="239"/>
      <c r="T820" s="224"/>
      <c r="U820" s="239"/>
      <c r="V820" s="224"/>
      <c r="W820" s="261"/>
    </row>
    <row r="821" spans="1:23" x14ac:dyDescent="0.25">
      <c r="A821" s="215"/>
      <c r="B821" s="215"/>
      <c r="C821" s="215"/>
      <c r="D821" s="215"/>
      <c r="E821" s="221"/>
      <c r="F821" s="221"/>
      <c r="G821" s="222"/>
      <c r="H821" s="221"/>
      <c r="I821" s="223"/>
      <c r="J821" s="237"/>
      <c r="K821" s="223"/>
      <c r="L821" s="236"/>
      <c r="M821" s="222"/>
      <c r="N821" s="224"/>
      <c r="O821" s="222"/>
      <c r="P821" s="224"/>
      <c r="Q821" s="222"/>
      <c r="R821" s="224"/>
      <c r="S821" s="239"/>
      <c r="T821" s="224"/>
      <c r="U821" s="239"/>
      <c r="V821" s="224"/>
      <c r="W821" s="261"/>
    </row>
    <row r="822" spans="1:23" x14ac:dyDescent="0.25">
      <c r="A822" s="215"/>
      <c r="B822" s="215"/>
      <c r="C822" s="215"/>
      <c r="D822" s="215"/>
      <c r="E822" s="221"/>
      <c r="F822" s="221"/>
      <c r="G822" s="222"/>
      <c r="H822" s="221"/>
      <c r="I822" s="223"/>
      <c r="J822" s="237"/>
      <c r="K822" s="223"/>
      <c r="L822" s="236"/>
      <c r="M822" s="222"/>
      <c r="N822" s="224"/>
      <c r="O822" s="222"/>
      <c r="P822" s="224"/>
      <c r="Q822" s="222"/>
      <c r="R822" s="224"/>
      <c r="S822" s="239"/>
      <c r="T822" s="224"/>
      <c r="U822" s="239"/>
      <c r="V822" s="224"/>
      <c r="W822" s="261"/>
    </row>
    <row r="823" spans="1:23" x14ac:dyDescent="0.25">
      <c r="A823" s="215"/>
      <c r="B823" s="215"/>
      <c r="C823" s="215"/>
      <c r="D823" s="215"/>
      <c r="E823" s="221"/>
      <c r="F823" s="221"/>
      <c r="G823" s="222"/>
      <c r="H823" s="221"/>
      <c r="I823" s="223"/>
      <c r="J823" s="237"/>
      <c r="K823" s="223"/>
      <c r="L823" s="236"/>
      <c r="M823" s="222"/>
      <c r="N823" s="224"/>
      <c r="O823" s="222"/>
      <c r="P823" s="224"/>
      <c r="Q823" s="222"/>
      <c r="R823" s="224"/>
      <c r="S823" s="239"/>
      <c r="T823" s="224"/>
      <c r="U823" s="239"/>
      <c r="V823" s="224"/>
      <c r="W823" s="261"/>
    </row>
    <row r="824" spans="1:23" x14ac:dyDescent="0.25">
      <c r="A824" s="215"/>
      <c r="B824" s="215"/>
      <c r="C824" s="215"/>
      <c r="D824" s="215"/>
      <c r="E824" s="221"/>
      <c r="F824" s="221"/>
      <c r="G824" s="222"/>
      <c r="H824" s="221"/>
      <c r="I824" s="223"/>
      <c r="J824" s="237"/>
      <c r="K824" s="223"/>
      <c r="L824" s="236"/>
      <c r="M824" s="222"/>
      <c r="N824" s="224"/>
      <c r="O824" s="222"/>
      <c r="P824" s="224"/>
      <c r="Q824" s="222"/>
      <c r="R824" s="224"/>
      <c r="S824" s="239"/>
      <c r="T824" s="224"/>
      <c r="U824" s="239"/>
      <c r="V824" s="224"/>
      <c r="W824" s="261"/>
    </row>
    <row r="825" spans="1:23" x14ac:dyDescent="0.25">
      <c r="A825" s="215"/>
      <c r="B825" s="215"/>
      <c r="C825" s="215"/>
      <c r="D825" s="215"/>
      <c r="E825" s="221"/>
      <c r="F825" s="221"/>
      <c r="G825" s="222"/>
      <c r="H825" s="221"/>
      <c r="I825" s="223"/>
      <c r="J825" s="237"/>
      <c r="K825" s="223"/>
      <c r="L825" s="236"/>
      <c r="M825" s="222"/>
      <c r="N825" s="224"/>
      <c r="O825" s="222"/>
      <c r="P825" s="224"/>
      <c r="Q825" s="222"/>
      <c r="R825" s="224"/>
      <c r="S825" s="239"/>
      <c r="T825" s="224"/>
      <c r="U825" s="239"/>
      <c r="V825" s="224"/>
      <c r="W825" s="261"/>
    </row>
    <row r="826" spans="1:23" x14ac:dyDescent="0.25">
      <c r="A826" s="215"/>
      <c r="B826" s="215"/>
      <c r="C826" s="215"/>
      <c r="D826" s="215"/>
      <c r="E826" s="221"/>
      <c r="F826" s="221"/>
      <c r="G826" s="222"/>
      <c r="H826" s="221"/>
      <c r="I826" s="223"/>
      <c r="J826" s="237"/>
      <c r="K826" s="223"/>
      <c r="L826" s="236"/>
      <c r="M826" s="222"/>
      <c r="N826" s="224"/>
      <c r="O826" s="222"/>
      <c r="P826" s="224"/>
      <c r="Q826" s="222"/>
      <c r="R826" s="224"/>
      <c r="S826" s="239"/>
      <c r="T826" s="224"/>
      <c r="U826" s="239"/>
      <c r="V826" s="224"/>
      <c r="W826" s="261"/>
    </row>
    <row r="827" spans="1:23" x14ac:dyDescent="0.25">
      <c r="A827" s="215"/>
      <c r="B827" s="215"/>
      <c r="C827" s="215"/>
      <c r="D827" s="215"/>
      <c r="E827" s="221"/>
      <c r="F827" s="221"/>
      <c r="G827" s="222"/>
      <c r="H827" s="221"/>
      <c r="I827" s="223"/>
      <c r="J827" s="237"/>
      <c r="K827" s="223"/>
      <c r="L827" s="236"/>
      <c r="M827" s="222"/>
      <c r="N827" s="224"/>
      <c r="O827" s="222"/>
      <c r="P827" s="224"/>
      <c r="Q827" s="222"/>
      <c r="R827" s="224"/>
      <c r="S827" s="239"/>
      <c r="T827" s="224"/>
      <c r="U827" s="239"/>
      <c r="V827" s="224"/>
      <c r="W827" s="261"/>
    </row>
    <row r="828" spans="1:23" x14ac:dyDescent="0.25">
      <c r="A828" s="215"/>
      <c r="B828" s="215"/>
      <c r="C828" s="215"/>
      <c r="D828" s="215"/>
      <c r="E828" s="221"/>
      <c r="F828" s="221"/>
      <c r="G828" s="222"/>
      <c r="H828" s="221"/>
      <c r="I828" s="223"/>
      <c r="J828" s="237"/>
      <c r="K828" s="223"/>
      <c r="L828" s="236"/>
      <c r="M828" s="222"/>
      <c r="N828" s="224"/>
      <c r="O828" s="222"/>
      <c r="P828" s="224"/>
      <c r="Q828" s="222"/>
      <c r="R828" s="224"/>
      <c r="S828" s="239"/>
      <c r="T828" s="224"/>
      <c r="U828" s="239"/>
      <c r="V828" s="224"/>
      <c r="W828" s="261"/>
    </row>
    <row r="829" spans="1:23" x14ac:dyDescent="0.25">
      <c r="A829" s="215"/>
      <c r="B829" s="215"/>
      <c r="C829" s="215"/>
      <c r="D829" s="215"/>
      <c r="E829" s="221"/>
      <c r="F829" s="221"/>
      <c r="G829" s="222"/>
      <c r="H829" s="221"/>
      <c r="I829" s="223"/>
      <c r="J829" s="237"/>
      <c r="K829" s="223"/>
      <c r="L829" s="236"/>
      <c r="M829" s="222"/>
      <c r="N829" s="224"/>
      <c r="O829" s="222"/>
      <c r="P829" s="224"/>
      <c r="Q829" s="222"/>
      <c r="R829" s="224"/>
      <c r="S829" s="239"/>
      <c r="T829" s="224"/>
      <c r="U829" s="239"/>
      <c r="V829" s="224"/>
      <c r="W829" s="261"/>
    </row>
    <row r="830" spans="1:23" x14ac:dyDescent="0.25">
      <c r="A830" s="215"/>
      <c r="B830" s="215"/>
      <c r="C830" s="215"/>
      <c r="D830" s="215"/>
      <c r="E830" s="221"/>
      <c r="F830" s="221"/>
      <c r="G830" s="222"/>
      <c r="H830" s="221"/>
      <c r="I830" s="223"/>
      <c r="J830" s="237"/>
      <c r="K830" s="223"/>
      <c r="L830" s="236"/>
      <c r="M830" s="222"/>
      <c r="N830" s="224"/>
      <c r="O830" s="222"/>
      <c r="P830" s="224"/>
      <c r="Q830" s="222"/>
      <c r="R830" s="224"/>
      <c r="S830" s="239"/>
      <c r="T830" s="224"/>
      <c r="U830" s="239"/>
      <c r="V830" s="224"/>
      <c r="W830" s="261"/>
    </row>
    <row r="831" spans="1:23" x14ac:dyDescent="0.25">
      <c r="A831" s="215"/>
      <c r="B831" s="215"/>
      <c r="C831" s="215"/>
      <c r="D831" s="215"/>
      <c r="E831" s="221"/>
      <c r="F831" s="221"/>
      <c r="G831" s="222"/>
      <c r="H831" s="221"/>
      <c r="I831" s="223"/>
      <c r="J831" s="237"/>
      <c r="K831" s="223"/>
      <c r="L831" s="236"/>
      <c r="M831" s="222"/>
      <c r="N831" s="224"/>
      <c r="O831" s="222"/>
      <c r="P831" s="224"/>
      <c r="Q831" s="222"/>
      <c r="R831" s="224"/>
      <c r="S831" s="239"/>
      <c r="T831" s="224"/>
      <c r="U831" s="239"/>
      <c r="V831" s="224"/>
      <c r="W831" s="261"/>
    </row>
    <row r="832" spans="1:23" x14ac:dyDescent="0.25">
      <c r="A832" s="215"/>
      <c r="B832" s="215"/>
      <c r="C832" s="215"/>
      <c r="D832" s="215"/>
      <c r="E832" s="221"/>
      <c r="F832" s="221"/>
      <c r="G832" s="222"/>
      <c r="H832" s="221"/>
      <c r="I832" s="223"/>
      <c r="J832" s="237"/>
      <c r="K832" s="223"/>
      <c r="L832" s="236"/>
      <c r="M832" s="222"/>
      <c r="N832" s="224"/>
      <c r="O832" s="222"/>
      <c r="P832" s="224"/>
      <c r="Q832" s="222"/>
      <c r="R832" s="224"/>
      <c r="S832" s="239"/>
      <c r="T832" s="224"/>
      <c r="U832" s="239"/>
      <c r="V832" s="224"/>
      <c r="W832" s="261"/>
    </row>
    <row r="833" spans="1:23" x14ac:dyDescent="0.25">
      <c r="A833" s="215"/>
      <c r="B833" s="215"/>
      <c r="C833" s="215"/>
      <c r="D833" s="215"/>
      <c r="E833" s="221"/>
      <c r="F833" s="221"/>
      <c r="G833" s="222"/>
      <c r="H833" s="221"/>
      <c r="I833" s="223"/>
      <c r="J833" s="237"/>
      <c r="K833" s="223"/>
      <c r="L833" s="236"/>
      <c r="M833" s="222"/>
      <c r="N833" s="224"/>
      <c r="O833" s="222"/>
      <c r="P833" s="224"/>
      <c r="Q833" s="222"/>
      <c r="R833" s="224"/>
      <c r="S833" s="239"/>
      <c r="T833" s="224"/>
      <c r="U833" s="239"/>
      <c r="V833" s="224"/>
      <c r="W833" s="261"/>
    </row>
    <row r="834" spans="1:23" x14ac:dyDescent="0.25">
      <c r="A834" s="215"/>
      <c r="B834" s="215"/>
      <c r="C834" s="215"/>
      <c r="D834" s="215"/>
      <c r="E834" s="221"/>
      <c r="F834" s="221"/>
      <c r="G834" s="222"/>
      <c r="H834" s="221"/>
      <c r="I834" s="223"/>
      <c r="J834" s="237"/>
      <c r="K834" s="223"/>
      <c r="L834" s="236"/>
      <c r="M834" s="222"/>
      <c r="N834" s="224"/>
      <c r="O834" s="222"/>
      <c r="P834" s="224"/>
      <c r="Q834" s="222"/>
      <c r="R834" s="224"/>
      <c r="S834" s="239"/>
      <c r="T834" s="224"/>
      <c r="U834" s="239"/>
      <c r="V834" s="224"/>
      <c r="W834" s="261"/>
    </row>
    <row r="835" spans="1:23" x14ac:dyDescent="0.25">
      <c r="A835" s="215"/>
      <c r="B835" s="215"/>
      <c r="C835" s="215"/>
      <c r="D835" s="215"/>
      <c r="E835" s="221"/>
      <c r="F835" s="221"/>
      <c r="G835" s="222"/>
      <c r="H835" s="221"/>
      <c r="I835" s="223"/>
      <c r="J835" s="237"/>
      <c r="K835" s="223"/>
      <c r="L835" s="236"/>
      <c r="M835" s="222"/>
      <c r="N835" s="224"/>
      <c r="O835" s="222"/>
      <c r="P835" s="224"/>
      <c r="Q835" s="222"/>
      <c r="R835" s="224"/>
      <c r="S835" s="239"/>
      <c r="T835" s="224"/>
      <c r="U835" s="239"/>
      <c r="V835" s="224"/>
      <c r="W835" s="261"/>
    </row>
    <row r="836" spans="1:23" x14ac:dyDescent="0.25">
      <c r="A836" s="215"/>
      <c r="B836" s="215"/>
      <c r="C836" s="215"/>
      <c r="D836" s="215"/>
      <c r="E836" s="221"/>
      <c r="F836" s="221"/>
      <c r="G836" s="222"/>
      <c r="H836" s="221"/>
      <c r="I836" s="223"/>
      <c r="J836" s="237"/>
      <c r="K836" s="223"/>
      <c r="L836" s="236"/>
      <c r="M836" s="222"/>
      <c r="N836" s="224"/>
      <c r="O836" s="222"/>
      <c r="P836" s="224"/>
      <c r="Q836" s="222"/>
      <c r="R836" s="224"/>
      <c r="S836" s="239"/>
      <c r="T836" s="224"/>
      <c r="U836" s="239"/>
      <c r="V836" s="224"/>
      <c r="W836" s="261"/>
    </row>
    <row r="837" spans="1:23" x14ac:dyDescent="0.25">
      <c r="A837" s="215"/>
      <c r="B837" s="215"/>
      <c r="C837" s="215"/>
      <c r="D837" s="215"/>
      <c r="E837" s="221"/>
      <c r="F837" s="221"/>
      <c r="G837" s="222"/>
      <c r="H837" s="221"/>
      <c r="I837" s="223"/>
      <c r="J837" s="237"/>
      <c r="K837" s="223"/>
      <c r="L837" s="236"/>
      <c r="M837" s="222"/>
      <c r="N837" s="224"/>
      <c r="O837" s="222"/>
      <c r="P837" s="224"/>
      <c r="Q837" s="222"/>
      <c r="R837" s="224"/>
      <c r="S837" s="239"/>
      <c r="T837" s="224"/>
      <c r="U837" s="239"/>
      <c r="V837" s="224"/>
      <c r="W837" s="261"/>
    </row>
    <row r="838" spans="1:23" x14ac:dyDescent="0.25">
      <c r="A838" s="215"/>
      <c r="B838" s="215"/>
      <c r="C838" s="215"/>
      <c r="D838" s="215"/>
      <c r="E838" s="221"/>
      <c r="F838" s="221"/>
      <c r="G838" s="222"/>
      <c r="H838" s="221"/>
      <c r="I838" s="223"/>
      <c r="J838" s="237"/>
      <c r="K838" s="223"/>
      <c r="L838" s="236"/>
      <c r="M838" s="222"/>
      <c r="N838" s="224"/>
      <c r="O838" s="222"/>
      <c r="P838" s="224"/>
      <c r="Q838" s="222"/>
      <c r="R838" s="224"/>
      <c r="S838" s="239"/>
      <c r="T838" s="224"/>
      <c r="U838" s="239"/>
      <c r="V838" s="224"/>
      <c r="W838" s="261"/>
    </row>
    <row r="839" spans="1:23" x14ac:dyDescent="0.25">
      <c r="A839" s="215"/>
      <c r="B839" s="215"/>
      <c r="C839" s="215"/>
      <c r="D839" s="215"/>
      <c r="E839" s="221"/>
      <c r="F839" s="221"/>
      <c r="G839" s="222"/>
      <c r="H839" s="221"/>
      <c r="I839" s="223"/>
      <c r="J839" s="237"/>
      <c r="K839" s="223"/>
      <c r="L839" s="236"/>
      <c r="M839" s="222"/>
      <c r="N839" s="224"/>
      <c r="O839" s="222"/>
      <c r="P839" s="224"/>
      <c r="Q839" s="222"/>
      <c r="R839" s="224"/>
      <c r="S839" s="239"/>
      <c r="T839" s="224"/>
      <c r="U839" s="239"/>
      <c r="V839" s="224"/>
      <c r="W839" s="261"/>
    </row>
    <row r="840" spans="1:23" x14ac:dyDescent="0.25">
      <c r="A840" s="215"/>
      <c r="B840" s="215"/>
      <c r="C840" s="215"/>
      <c r="D840" s="215"/>
      <c r="E840" s="221"/>
      <c r="F840" s="221"/>
      <c r="G840" s="222"/>
      <c r="H840" s="221"/>
      <c r="I840" s="223"/>
      <c r="J840" s="237"/>
      <c r="K840" s="223"/>
      <c r="L840" s="236"/>
      <c r="M840" s="222"/>
      <c r="N840" s="224"/>
      <c r="O840" s="222"/>
      <c r="P840" s="224"/>
      <c r="Q840" s="222"/>
      <c r="R840" s="224"/>
      <c r="S840" s="239"/>
      <c r="T840" s="224"/>
      <c r="U840" s="239"/>
      <c r="V840" s="224"/>
      <c r="W840" s="261"/>
    </row>
    <row r="841" spans="1:23" x14ac:dyDescent="0.25">
      <c r="A841" s="215"/>
      <c r="B841" s="215"/>
      <c r="C841" s="215"/>
      <c r="D841" s="215"/>
      <c r="E841" s="221"/>
      <c r="F841" s="221"/>
      <c r="G841" s="222"/>
      <c r="H841" s="221"/>
      <c r="I841" s="223"/>
      <c r="J841" s="237"/>
      <c r="K841" s="223"/>
      <c r="L841" s="236"/>
      <c r="M841" s="222"/>
      <c r="N841" s="224"/>
      <c r="O841" s="222"/>
      <c r="P841" s="224"/>
      <c r="Q841" s="222"/>
      <c r="R841" s="224"/>
      <c r="S841" s="239"/>
      <c r="T841" s="224"/>
      <c r="U841" s="239"/>
      <c r="V841" s="224"/>
      <c r="W841" s="261"/>
    </row>
    <row r="842" spans="1:23" x14ac:dyDescent="0.25">
      <c r="A842" s="215"/>
      <c r="B842" s="215"/>
      <c r="C842" s="215"/>
      <c r="D842" s="215"/>
      <c r="E842" s="221"/>
      <c r="F842" s="221"/>
      <c r="G842" s="222"/>
      <c r="H842" s="221"/>
      <c r="I842" s="223"/>
      <c r="J842" s="237"/>
      <c r="K842" s="223"/>
      <c r="L842" s="236"/>
      <c r="M842" s="222"/>
      <c r="N842" s="224"/>
      <c r="O842" s="222"/>
      <c r="P842" s="224"/>
      <c r="Q842" s="222"/>
      <c r="R842" s="224"/>
      <c r="S842" s="239"/>
      <c r="T842" s="224"/>
      <c r="U842" s="239"/>
      <c r="V842" s="224"/>
      <c r="W842" s="261"/>
    </row>
    <row r="843" spans="1:23" x14ac:dyDescent="0.25">
      <c r="A843" s="215"/>
      <c r="B843" s="215"/>
      <c r="C843" s="215"/>
      <c r="D843" s="215"/>
      <c r="E843" s="221"/>
      <c r="F843" s="221"/>
      <c r="G843" s="222"/>
      <c r="H843" s="221"/>
      <c r="I843" s="223"/>
      <c r="J843" s="237"/>
      <c r="K843" s="223"/>
      <c r="L843" s="236"/>
      <c r="M843" s="222"/>
      <c r="N843" s="224"/>
      <c r="O843" s="222"/>
      <c r="P843" s="224"/>
      <c r="Q843" s="222"/>
      <c r="R843" s="224"/>
      <c r="S843" s="239"/>
      <c r="T843" s="224"/>
      <c r="U843" s="239"/>
      <c r="V843" s="224"/>
      <c r="W843" s="261"/>
    </row>
    <row r="844" spans="1:23" x14ac:dyDescent="0.25">
      <c r="A844" s="215"/>
      <c r="B844" s="215"/>
      <c r="C844" s="215"/>
      <c r="D844" s="215"/>
      <c r="E844" s="221"/>
      <c r="F844" s="221"/>
      <c r="G844" s="222"/>
      <c r="H844" s="221"/>
      <c r="I844" s="223"/>
      <c r="J844" s="237"/>
      <c r="K844" s="223"/>
      <c r="L844" s="236"/>
      <c r="M844" s="222"/>
      <c r="N844" s="224"/>
      <c r="O844" s="222"/>
      <c r="P844" s="224"/>
      <c r="Q844" s="222"/>
      <c r="R844" s="224"/>
      <c r="S844" s="239"/>
      <c r="T844" s="224"/>
      <c r="U844" s="239"/>
      <c r="V844" s="224"/>
      <c r="W844" s="261"/>
    </row>
    <row r="845" spans="1:23" x14ac:dyDescent="0.25">
      <c r="A845" s="215"/>
      <c r="B845" s="215"/>
      <c r="C845" s="215"/>
      <c r="D845" s="215"/>
      <c r="E845" s="221"/>
      <c r="F845" s="221"/>
      <c r="G845" s="222"/>
      <c r="H845" s="221"/>
      <c r="I845" s="223"/>
      <c r="J845" s="237"/>
      <c r="K845" s="223"/>
      <c r="L845" s="236"/>
      <c r="M845" s="222"/>
      <c r="N845" s="224"/>
      <c r="O845" s="222"/>
      <c r="P845" s="224"/>
      <c r="Q845" s="222"/>
      <c r="R845" s="224"/>
      <c r="S845" s="239"/>
      <c r="T845" s="224"/>
      <c r="U845" s="239"/>
      <c r="V845" s="224"/>
      <c r="W845" s="261"/>
    </row>
    <row r="846" spans="1:23" x14ac:dyDescent="0.25">
      <c r="A846" s="215"/>
      <c r="B846" s="215"/>
      <c r="C846" s="215"/>
      <c r="D846" s="215"/>
      <c r="E846" s="221"/>
      <c r="F846" s="221"/>
      <c r="G846" s="222"/>
      <c r="H846" s="221"/>
      <c r="I846" s="223"/>
      <c r="J846" s="237"/>
      <c r="K846" s="223"/>
      <c r="L846" s="236"/>
      <c r="M846" s="222"/>
      <c r="N846" s="224"/>
      <c r="O846" s="222"/>
      <c r="P846" s="224"/>
      <c r="Q846" s="222"/>
      <c r="R846" s="224"/>
      <c r="S846" s="239"/>
      <c r="T846" s="224"/>
      <c r="U846" s="239"/>
      <c r="V846" s="224"/>
      <c r="W846" s="261"/>
    </row>
    <row r="847" spans="1:23" x14ac:dyDescent="0.25">
      <c r="A847" s="215"/>
      <c r="B847" s="215"/>
      <c r="C847" s="215"/>
      <c r="D847" s="215"/>
      <c r="E847" s="221"/>
      <c r="F847" s="221"/>
      <c r="G847" s="222"/>
      <c r="H847" s="221"/>
      <c r="I847" s="223"/>
      <c r="J847" s="237"/>
      <c r="K847" s="223"/>
      <c r="L847" s="236"/>
      <c r="M847" s="222"/>
      <c r="N847" s="224"/>
      <c r="O847" s="222"/>
      <c r="P847" s="224"/>
      <c r="Q847" s="222"/>
      <c r="R847" s="224"/>
      <c r="S847" s="239"/>
      <c r="T847" s="224"/>
      <c r="U847" s="239"/>
      <c r="V847" s="224"/>
      <c r="W847" s="261"/>
    </row>
    <row r="848" spans="1:23" x14ac:dyDescent="0.25">
      <c r="A848" s="215"/>
      <c r="B848" s="215"/>
      <c r="C848" s="215"/>
      <c r="D848" s="215"/>
      <c r="E848" s="221"/>
      <c r="F848" s="221"/>
      <c r="G848" s="222"/>
      <c r="H848" s="221"/>
      <c r="I848" s="223"/>
      <c r="J848" s="237"/>
      <c r="K848" s="223"/>
      <c r="L848" s="236"/>
      <c r="M848" s="222"/>
      <c r="N848" s="224"/>
      <c r="O848" s="222"/>
      <c r="P848" s="224"/>
      <c r="Q848" s="222"/>
      <c r="R848" s="224"/>
      <c r="S848" s="239"/>
      <c r="T848" s="224"/>
      <c r="U848" s="239"/>
      <c r="V848" s="224"/>
      <c r="W848" s="261"/>
    </row>
    <row r="849" spans="1:23" x14ac:dyDescent="0.25">
      <c r="A849" s="215"/>
      <c r="B849" s="215"/>
      <c r="C849" s="215"/>
      <c r="D849" s="215"/>
      <c r="E849" s="221"/>
      <c r="F849" s="221"/>
      <c r="G849" s="222"/>
      <c r="H849" s="221"/>
      <c r="I849" s="223"/>
      <c r="J849" s="237"/>
      <c r="K849" s="223"/>
      <c r="L849" s="236"/>
      <c r="M849" s="222"/>
      <c r="N849" s="224"/>
      <c r="O849" s="222"/>
      <c r="P849" s="224"/>
      <c r="Q849" s="222"/>
      <c r="R849" s="224"/>
      <c r="S849" s="239"/>
      <c r="T849" s="224"/>
      <c r="U849" s="239"/>
      <c r="V849" s="224"/>
      <c r="W849" s="261"/>
    </row>
    <row r="850" spans="1:23" x14ac:dyDescent="0.25">
      <c r="A850" s="215"/>
      <c r="B850" s="215"/>
      <c r="C850" s="215"/>
      <c r="D850" s="215"/>
      <c r="E850" s="221"/>
      <c r="F850" s="221"/>
      <c r="G850" s="222"/>
      <c r="H850" s="221"/>
      <c r="I850" s="223"/>
      <c r="J850" s="237"/>
      <c r="K850" s="223"/>
      <c r="L850" s="236"/>
      <c r="M850" s="222"/>
      <c r="N850" s="224"/>
      <c r="O850" s="222"/>
      <c r="P850" s="224"/>
      <c r="Q850" s="222"/>
      <c r="R850" s="224"/>
      <c r="S850" s="239"/>
      <c r="T850" s="224"/>
      <c r="U850" s="239"/>
      <c r="V850" s="224"/>
      <c r="W850" s="261"/>
    </row>
    <row r="851" spans="1:23" x14ac:dyDescent="0.25">
      <c r="A851" s="215"/>
      <c r="B851" s="215"/>
      <c r="C851" s="215"/>
      <c r="D851" s="215"/>
      <c r="E851" s="221"/>
      <c r="F851" s="221"/>
      <c r="G851" s="222"/>
      <c r="H851" s="221"/>
      <c r="I851" s="223"/>
      <c r="J851" s="237"/>
      <c r="K851" s="223"/>
      <c r="L851" s="236"/>
      <c r="M851" s="222"/>
      <c r="N851" s="224"/>
      <c r="O851" s="222"/>
      <c r="P851" s="224"/>
      <c r="Q851" s="222"/>
      <c r="R851" s="224"/>
      <c r="S851" s="239"/>
      <c r="T851" s="224"/>
      <c r="U851" s="239"/>
      <c r="V851" s="224"/>
      <c r="W851" s="261"/>
    </row>
    <row r="852" spans="1:23" x14ac:dyDescent="0.25">
      <c r="A852" s="215"/>
      <c r="B852" s="215"/>
      <c r="C852" s="215"/>
      <c r="D852" s="215"/>
      <c r="E852" s="221"/>
      <c r="F852" s="221"/>
      <c r="G852" s="222"/>
      <c r="H852" s="221"/>
      <c r="I852" s="223"/>
      <c r="J852" s="237"/>
      <c r="K852" s="223"/>
      <c r="L852" s="236"/>
      <c r="M852" s="222"/>
      <c r="N852" s="224"/>
      <c r="O852" s="222"/>
      <c r="P852" s="224"/>
      <c r="Q852" s="222"/>
      <c r="R852" s="224"/>
      <c r="S852" s="239"/>
      <c r="T852" s="224"/>
      <c r="U852" s="239"/>
      <c r="V852" s="224"/>
      <c r="W852" s="261"/>
    </row>
    <row r="853" spans="1:23" x14ac:dyDescent="0.25">
      <c r="A853" s="215"/>
      <c r="B853" s="215"/>
      <c r="C853" s="215"/>
      <c r="D853" s="215"/>
      <c r="E853" s="221"/>
      <c r="F853" s="221"/>
      <c r="G853" s="222"/>
      <c r="H853" s="221"/>
      <c r="I853" s="223"/>
      <c r="J853" s="237"/>
      <c r="K853" s="223"/>
      <c r="L853" s="236"/>
      <c r="M853" s="222"/>
      <c r="N853" s="224"/>
      <c r="O853" s="222"/>
      <c r="P853" s="224"/>
      <c r="Q853" s="222"/>
      <c r="R853" s="224"/>
      <c r="S853" s="239"/>
      <c r="T853" s="224"/>
      <c r="U853" s="239"/>
      <c r="V853" s="224"/>
      <c r="W853" s="261"/>
    </row>
    <row r="854" spans="1:23" x14ac:dyDescent="0.25">
      <c r="A854" s="215"/>
      <c r="B854" s="215"/>
      <c r="C854" s="215"/>
      <c r="D854" s="215"/>
      <c r="E854" s="221"/>
      <c r="F854" s="221"/>
      <c r="G854" s="222"/>
      <c r="H854" s="221"/>
      <c r="I854" s="223"/>
      <c r="J854" s="237"/>
      <c r="K854" s="223"/>
      <c r="L854" s="236"/>
      <c r="M854" s="222"/>
      <c r="N854" s="224"/>
      <c r="O854" s="222"/>
      <c r="P854" s="224"/>
      <c r="Q854" s="222"/>
      <c r="R854" s="224"/>
      <c r="S854" s="239"/>
      <c r="T854" s="224"/>
      <c r="U854" s="239"/>
      <c r="V854" s="224"/>
      <c r="W854" s="261"/>
    </row>
    <row r="855" spans="1:23" x14ac:dyDescent="0.25">
      <c r="A855" s="215"/>
      <c r="B855" s="215"/>
      <c r="C855" s="215"/>
      <c r="D855" s="215"/>
      <c r="E855" s="221"/>
      <c r="F855" s="221"/>
      <c r="G855" s="222"/>
      <c r="H855" s="221"/>
      <c r="I855" s="223"/>
      <c r="J855" s="237"/>
      <c r="K855" s="223"/>
      <c r="L855" s="236"/>
      <c r="M855" s="222"/>
      <c r="N855" s="224"/>
      <c r="O855" s="222"/>
      <c r="P855" s="224"/>
      <c r="Q855" s="222"/>
      <c r="R855" s="224"/>
      <c r="S855" s="239"/>
      <c r="T855" s="224"/>
      <c r="U855" s="239"/>
      <c r="V855" s="224"/>
      <c r="W855" s="261"/>
    </row>
    <row r="856" spans="1:23" x14ac:dyDescent="0.25">
      <c r="A856" s="215"/>
      <c r="B856" s="215"/>
      <c r="C856" s="215"/>
      <c r="D856" s="215"/>
      <c r="E856" s="221"/>
      <c r="F856" s="221"/>
      <c r="G856" s="222"/>
      <c r="H856" s="221"/>
      <c r="I856" s="223"/>
      <c r="J856" s="237"/>
      <c r="K856" s="223"/>
      <c r="L856" s="236"/>
      <c r="M856" s="222"/>
      <c r="N856" s="224"/>
      <c r="O856" s="222"/>
      <c r="P856" s="224"/>
      <c r="Q856" s="222"/>
      <c r="R856" s="224"/>
      <c r="S856" s="239"/>
      <c r="T856" s="224"/>
      <c r="U856" s="239"/>
      <c r="V856" s="224"/>
      <c r="W856" s="261"/>
    </row>
    <row r="857" spans="1:23" x14ac:dyDescent="0.25">
      <c r="A857" s="215"/>
      <c r="B857" s="215"/>
      <c r="C857" s="215"/>
      <c r="D857" s="215"/>
      <c r="E857" s="221"/>
      <c r="F857" s="221"/>
      <c r="G857" s="222"/>
      <c r="H857" s="221"/>
      <c r="I857" s="223"/>
      <c r="J857" s="237"/>
      <c r="K857" s="223"/>
      <c r="L857" s="236"/>
      <c r="M857" s="222"/>
      <c r="N857" s="224"/>
      <c r="O857" s="222"/>
      <c r="P857" s="224"/>
      <c r="Q857" s="222"/>
      <c r="R857" s="224"/>
      <c r="S857" s="239"/>
      <c r="T857" s="224"/>
      <c r="U857" s="239"/>
      <c r="V857" s="224"/>
      <c r="W857" s="261"/>
    </row>
    <row r="858" spans="1:23" x14ac:dyDescent="0.25">
      <c r="A858" s="215"/>
      <c r="B858" s="215"/>
      <c r="C858" s="215"/>
      <c r="D858" s="215"/>
      <c r="E858" s="221"/>
      <c r="F858" s="221"/>
      <c r="G858" s="222"/>
      <c r="H858" s="221"/>
      <c r="I858" s="223"/>
      <c r="J858" s="237"/>
      <c r="K858" s="223"/>
      <c r="L858" s="236"/>
      <c r="M858" s="222"/>
      <c r="N858" s="224"/>
      <c r="O858" s="222"/>
      <c r="P858" s="224"/>
      <c r="Q858" s="222"/>
      <c r="R858" s="224"/>
      <c r="S858" s="239"/>
      <c r="T858" s="224"/>
      <c r="U858" s="239"/>
      <c r="V858" s="224"/>
      <c r="W858" s="261"/>
    </row>
    <row r="859" spans="1:23" x14ac:dyDescent="0.25">
      <c r="A859" s="215"/>
      <c r="B859" s="215"/>
      <c r="C859" s="215"/>
      <c r="D859" s="215"/>
      <c r="E859" s="221"/>
      <c r="F859" s="221"/>
      <c r="G859" s="222"/>
      <c r="H859" s="221"/>
      <c r="I859" s="223"/>
      <c r="J859" s="237"/>
      <c r="K859" s="223"/>
      <c r="L859" s="236"/>
      <c r="M859" s="222"/>
      <c r="N859" s="224"/>
      <c r="O859" s="222"/>
      <c r="P859" s="224"/>
      <c r="Q859" s="222"/>
      <c r="R859" s="224"/>
      <c r="S859" s="239"/>
      <c r="T859" s="224"/>
      <c r="U859" s="239"/>
      <c r="V859" s="224"/>
      <c r="W859" s="261"/>
    </row>
    <row r="860" spans="1:23" x14ac:dyDescent="0.25">
      <c r="A860" s="215"/>
      <c r="B860" s="215"/>
      <c r="C860" s="215"/>
      <c r="D860" s="215"/>
      <c r="E860" s="221"/>
      <c r="F860" s="221"/>
      <c r="G860" s="222"/>
      <c r="H860" s="221"/>
      <c r="I860" s="223"/>
      <c r="J860" s="237"/>
      <c r="K860" s="223"/>
      <c r="L860" s="236"/>
      <c r="M860" s="222"/>
      <c r="N860" s="224"/>
      <c r="O860" s="222"/>
      <c r="P860" s="224"/>
      <c r="Q860" s="222"/>
      <c r="R860" s="224"/>
      <c r="S860" s="239"/>
      <c r="T860" s="224"/>
      <c r="U860" s="239"/>
      <c r="V860" s="224"/>
      <c r="W860" s="261"/>
    </row>
    <row r="861" spans="1:23" x14ac:dyDescent="0.25">
      <c r="A861" s="215"/>
      <c r="B861" s="215"/>
      <c r="C861" s="215"/>
      <c r="D861" s="215"/>
      <c r="E861" s="221"/>
      <c r="F861" s="221"/>
      <c r="G861" s="222"/>
      <c r="H861" s="221"/>
      <c r="I861" s="223"/>
      <c r="J861" s="237"/>
      <c r="K861" s="223"/>
      <c r="L861" s="236"/>
      <c r="M861" s="222"/>
      <c r="N861" s="224"/>
      <c r="O861" s="222"/>
      <c r="P861" s="224"/>
      <c r="Q861" s="222"/>
      <c r="R861" s="224"/>
      <c r="S861" s="239"/>
      <c r="T861" s="224"/>
      <c r="U861" s="239"/>
      <c r="V861" s="224"/>
      <c r="W861" s="261"/>
    </row>
    <row r="862" spans="1:23" x14ac:dyDescent="0.25">
      <c r="A862" s="215"/>
      <c r="B862" s="215"/>
      <c r="C862" s="215"/>
      <c r="D862" s="215"/>
      <c r="E862" s="221"/>
      <c r="F862" s="221"/>
      <c r="G862" s="222"/>
      <c r="H862" s="221"/>
      <c r="I862" s="223"/>
      <c r="J862" s="237"/>
      <c r="K862" s="223"/>
      <c r="L862" s="236"/>
      <c r="M862" s="222"/>
      <c r="N862" s="224"/>
      <c r="O862" s="222"/>
      <c r="P862" s="224"/>
      <c r="Q862" s="222"/>
      <c r="R862" s="224"/>
      <c r="S862" s="239"/>
      <c r="T862" s="224"/>
      <c r="U862" s="239"/>
      <c r="V862" s="224"/>
      <c r="W862" s="261"/>
    </row>
    <row r="863" spans="1:23" x14ac:dyDescent="0.25">
      <c r="A863" s="215"/>
      <c r="B863" s="215"/>
      <c r="C863" s="215"/>
      <c r="D863" s="215"/>
      <c r="E863" s="221"/>
      <c r="F863" s="221"/>
      <c r="G863" s="222"/>
      <c r="H863" s="221"/>
      <c r="I863" s="223"/>
      <c r="J863" s="237"/>
      <c r="K863" s="223"/>
      <c r="L863" s="236"/>
      <c r="M863" s="222"/>
      <c r="N863" s="224"/>
      <c r="O863" s="222"/>
      <c r="P863" s="224"/>
      <c r="Q863" s="222"/>
      <c r="R863" s="224"/>
      <c r="S863" s="239"/>
      <c r="T863" s="224"/>
      <c r="U863" s="239"/>
      <c r="V863" s="224"/>
      <c r="W863" s="261"/>
    </row>
    <row r="864" spans="1:23" x14ac:dyDescent="0.25">
      <c r="A864" s="215"/>
      <c r="B864" s="215"/>
      <c r="C864" s="215"/>
      <c r="D864" s="215"/>
      <c r="E864" s="221"/>
      <c r="F864" s="221"/>
      <c r="G864" s="222"/>
      <c r="H864" s="221"/>
      <c r="I864" s="223"/>
      <c r="J864" s="237"/>
      <c r="K864" s="223"/>
      <c r="L864" s="236"/>
      <c r="M864" s="222"/>
      <c r="N864" s="224"/>
      <c r="O864" s="222"/>
      <c r="P864" s="224"/>
      <c r="Q864" s="222"/>
      <c r="R864" s="224"/>
      <c r="S864" s="239"/>
      <c r="T864" s="224"/>
      <c r="U864" s="239"/>
      <c r="V864" s="224"/>
      <c r="W864" s="261"/>
    </row>
    <row r="865" spans="1:23" x14ac:dyDescent="0.25">
      <c r="A865" s="215"/>
      <c r="B865" s="215"/>
      <c r="C865" s="215"/>
      <c r="D865" s="215"/>
      <c r="E865" s="221"/>
      <c r="F865" s="221"/>
      <c r="G865" s="222"/>
      <c r="H865" s="221"/>
      <c r="I865" s="223"/>
      <c r="J865" s="237"/>
      <c r="K865" s="223"/>
      <c r="L865" s="236"/>
      <c r="M865" s="222"/>
      <c r="N865" s="224"/>
      <c r="O865" s="222"/>
      <c r="P865" s="224"/>
      <c r="Q865" s="222"/>
      <c r="R865" s="224"/>
      <c r="S865" s="239"/>
      <c r="T865" s="224"/>
      <c r="U865" s="239"/>
      <c r="V865" s="224"/>
      <c r="W865" s="261"/>
    </row>
    <row r="866" spans="1:23" x14ac:dyDescent="0.25">
      <c r="A866" s="215"/>
      <c r="B866" s="215"/>
      <c r="C866" s="215"/>
      <c r="D866" s="215"/>
      <c r="E866" s="221"/>
      <c r="F866" s="221"/>
      <c r="G866" s="222"/>
      <c r="H866" s="221"/>
      <c r="I866" s="223"/>
      <c r="J866" s="237"/>
      <c r="K866" s="223"/>
      <c r="L866" s="236"/>
      <c r="M866" s="222"/>
      <c r="N866" s="224"/>
      <c r="O866" s="222"/>
      <c r="P866" s="224"/>
      <c r="Q866" s="222"/>
      <c r="R866" s="224"/>
      <c r="S866" s="239"/>
      <c r="T866" s="224"/>
      <c r="U866" s="239"/>
      <c r="V866" s="224"/>
      <c r="W866" s="261"/>
    </row>
    <row r="867" spans="1:23" x14ac:dyDescent="0.25">
      <c r="A867" s="215"/>
      <c r="B867" s="215"/>
      <c r="C867" s="215"/>
      <c r="D867" s="215"/>
      <c r="E867" s="221"/>
      <c r="F867" s="221"/>
      <c r="G867" s="222"/>
      <c r="H867" s="221"/>
      <c r="I867" s="223"/>
      <c r="J867" s="237"/>
      <c r="K867" s="223"/>
      <c r="L867" s="236"/>
      <c r="M867" s="222"/>
      <c r="N867" s="224"/>
      <c r="O867" s="222"/>
      <c r="P867" s="224"/>
      <c r="Q867" s="222"/>
      <c r="R867" s="224"/>
      <c r="S867" s="239"/>
      <c r="T867" s="224"/>
      <c r="U867" s="239"/>
      <c r="V867" s="224"/>
      <c r="W867" s="261"/>
    </row>
    <row r="868" spans="1:23" x14ac:dyDescent="0.25">
      <c r="A868" s="215"/>
      <c r="B868" s="215"/>
      <c r="C868" s="215"/>
      <c r="D868" s="215"/>
      <c r="E868" s="221"/>
      <c r="F868" s="221"/>
      <c r="G868" s="222"/>
      <c r="H868" s="221"/>
      <c r="I868" s="223"/>
      <c r="J868" s="237"/>
      <c r="K868" s="223"/>
      <c r="L868" s="236"/>
      <c r="M868" s="222"/>
      <c r="N868" s="224"/>
      <c r="O868" s="222"/>
      <c r="P868" s="224"/>
      <c r="Q868" s="222"/>
      <c r="R868" s="224"/>
      <c r="S868" s="239"/>
      <c r="T868" s="224"/>
      <c r="U868" s="239"/>
      <c r="V868" s="224"/>
      <c r="W868" s="261"/>
    </row>
    <row r="869" spans="1:23" x14ac:dyDescent="0.25">
      <c r="A869" s="215"/>
      <c r="B869" s="215"/>
      <c r="C869" s="215"/>
      <c r="D869" s="215"/>
      <c r="E869" s="221"/>
      <c r="F869" s="221"/>
      <c r="G869" s="222"/>
      <c r="H869" s="221"/>
      <c r="I869" s="223"/>
      <c r="J869" s="237"/>
      <c r="K869" s="223"/>
      <c r="L869" s="236"/>
      <c r="M869" s="222"/>
      <c r="N869" s="224"/>
      <c r="O869" s="222"/>
      <c r="P869" s="224"/>
      <c r="Q869" s="222"/>
      <c r="R869" s="224"/>
      <c r="S869" s="239"/>
      <c r="T869" s="224"/>
      <c r="U869" s="239"/>
      <c r="V869" s="224"/>
      <c r="W869" s="261"/>
    </row>
    <row r="870" spans="1:23" x14ac:dyDescent="0.25">
      <c r="A870" s="215"/>
      <c r="B870" s="215"/>
      <c r="C870" s="215"/>
      <c r="D870" s="215"/>
      <c r="E870" s="221"/>
      <c r="F870" s="221"/>
      <c r="G870" s="222"/>
      <c r="H870" s="221"/>
      <c r="I870" s="223"/>
      <c r="J870" s="237"/>
      <c r="K870" s="223"/>
      <c r="L870" s="236"/>
      <c r="M870" s="222"/>
      <c r="N870" s="224"/>
      <c r="O870" s="222"/>
      <c r="P870" s="224"/>
      <c r="Q870" s="222"/>
      <c r="R870" s="224"/>
      <c r="S870" s="239"/>
      <c r="T870" s="224"/>
      <c r="U870" s="239"/>
      <c r="V870" s="224"/>
      <c r="W870" s="261"/>
    </row>
    <row r="871" spans="1:23" x14ac:dyDescent="0.25">
      <c r="A871" s="215"/>
      <c r="B871" s="215"/>
      <c r="C871" s="215"/>
      <c r="D871" s="215"/>
      <c r="E871" s="221"/>
      <c r="F871" s="221"/>
      <c r="G871" s="222"/>
      <c r="H871" s="221"/>
      <c r="I871" s="223"/>
      <c r="J871" s="237"/>
      <c r="K871" s="223"/>
      <c r="L871" s="236"/>
      <c r="M871" s="222"/>
      <c r="N871" s="224"/>
      <c r="O871" s="222"/>
      <c r="P871" s="224"/>
      <c r="Q871" s="222"/>
      <c r="R871" s="224"/>
      <c r="S871" s="239"/>
      <c r="T871" s="224"/>
      <c r="U871" s="239"/>
      <c r="V871" s="224"/>
      <c r="W871" s="261"/>
    </row>
    <row r="872" spans="1:23" x14ac:dyDescent="0.25">
      <c r="A872" s="215"/>
      <c r="B872" s="215"/>
      <c r="C872" s="215"/>
      <c r="D872" s="215"/>
      <c r="E872" s="221"/>
      <c r="F872" s="221"/>
      <c r="G872" s="222"/>
      <c r="H872" s="221"/>
      <c r="I872" s="223"/>
      <c r="J872" s="237"/>
      <c r="K872" s="223"/>
      <c r="L872" s="236"/>
      <c r="M872" s="222"/>
      <c r="N872" s="224"/>
      <c r="O872" s="222"/>
      <c r="P872" s="224"/>
      <c r="Q872" s="222"/>
      <c r="R872" s="224"/>
      <c r="S872" s="239"/>
      <c r="T872" s="224"/>
      <c r="U872" s="239"/>
      <c r="V872" s="224"/>
      <c r="W872" s="261"/>
    </row>
    <row r="873" spans="1:23" x14ac:dyDescent="0.25">
      <c r="A873" s="215"/>
      <c r="B873" s="215"/>
      <c r="C873" s="215"/>
      <c r="D873" s="215"/>
      <c r="E873" s="221"/>
      <c r="F873" s="221"/>
      <c r="G873" s="222"/>
      <c r="H873" s="221"/>
      <c r="I873" s="223"/>
      <c r="J873" s="237"/>
      <c r="K873" s="223"/>
      <c r="L873" s="236"/>
      <c r="M873" s="222"/>
      <c r="N873" s="224"/>
      <c r="O873" s="222"/>
      <c r="P873" s="224"/>
      <c r="Q873" s="222"/>
      <c r="R873" s="224"/>
      <c r="S873" s="239"/>
      <c r="T873" s="224"/>
      <c r="U873" s="239"/>
      <c r="V873" s="224"/>
      <c r="W873" s="261"/>
    </row>
    <row r="874" spans="1:23" x14ac:dyDescent="0.25">
      <c r="A874" s="215"/>
      <c r="B874" s="215"/>
      <c r="C874" s="215"/>
      <c r="D874" s="215"/>
      <c r="E874" s="221"/>
      <c r="F874" s="221"/>
      <c r="G874" s="222"/>
      <c r="H874" s="221"/>
      <c r="I874" s="223"/>
      <c r="J874" s="237"/>
      <c r="K874" s="223"/>
      <c r="L874" s="236"/>
      <c r="M874" s="222"/>
      <c r="N874" s="224"/>
      <c r="O874" s="222"/>
      <c r="P874" s="224"/>
      <c r="Q874" s="222"/>
      <c r="R874" s="224"/>
      <c r="S874" s="239"/>
      <c r="T874" s="224"/>
      <c r="U874" s="239"/>
      <c r="V874" s="224"/>
      <c r="W874" s="261"/>
    </row>
    <row r="875" spans="1:23" x14ac:dyDescent="0.25">
      <c r="A875" s="215"/>
      <c r="B875" s="215"/>
      <c r="C875" s="215"/>
      <c r="D875" s="215"/>
      <c r="E875" s="221"/>
      <c r="F875" s="221"/>
      <c r="G875" s="222"/>
      <c r="H875" s="221"/>
      <c r="I875" s="223"/>
      <c r="J875" s="237"/>
      <c r="K875" s="223"/>
      <c r="L875" s="236"/>
      <c r="M875" s="222"/>
      <c r="N875" s="224"/>
      <c r="O875" s="222"/>
      <c r="P875" s="224"/>
      <c r="Q875" s="222"/>
      <c r="R875" s="224"/>
      <c r="S875" s="239"/>
      <c r="T875" s="224"/>
      <c r="U875" s="239"/>
      <c r="V875" s="224"/>
      <c r="W875" s="261"/>
    </row>
    <row r="876" spans="1:23" x14ac:dyDescent="0.25">
      <c r="A876" s="215"/>
      <c r="B876" s="215"/>
      <c r="C876" s="215"/>
      <c r="D876" s="215"/>
      <c r="E876" s="221"/>
      <c r="F876" s="221"/>
      <c r="G876" s="222"/>
      <c r="H876" s="221"/>
      <c r="I876" s="223"/>
      <c r="J876" s="237"/>
      <c r="K876" s="223"/>
      <c r="L876" s="236"/>
      <c r="M876" s="222"/>
      <c r="N876" s="224"/>
      <c r="O876" s="222"/>
      <c r="P876" s="224"/>
      <c r="Q876" s="222"/>
      <c r="R876" s="224"/>
      <c r="S876" s="239"/>
      <c r="T876" s="224"/>
      <c r="U876" s="239"/>
      <c r="V876" s="224"/>
      <c r="W876" s="261"/>
    </row>
    <row r="877" spans="1:23" x14ac:dyDescent="0.25">
      <c r="A877" s="215"/>
      <c r="B877" s="215"/>
      <c r="C877" s="215"/>
      <c r="D877" s="215"/>
      <c r="E877" s="221"/>
      <c r="F877" s="221"/>
      <c r="G877" s="222"/>
      <c r="H877" s="221"/>
      <c r="I877" s="223"/>
      <c r="J877" s="237"/>
      <c r="K877" s="223"/>
      <c r="L877" s="236"/>
      <c r="M877" s="222"/>
      <c r="N877" s="224"/>
      <c r="O877" s="222"/>
      <c r="P877" s="224"/>
      <c r="Q877" s="222"/>
      <c r="R877" s="224"/>
      <c r="S877" s="239"/>
      <c r="T877" s="224"/>
      <c r="U877" s="239"/>
      <c r="V877" s="224"/>
      <c r="W877" s="261"/>
    </row>
    <row r="878" spans="1:23" x14ac:dyDescent="0.25">
      <c r="A878" s="215"/>
      <c r="B878" s="215"/>
      <c r="C878" s="215"/>
      <c r="D878" s="215"/>
      <c r="E878" s="221"/>
      <c r="F878" s="221"/>
      <c r="G878" s="222"/>
      <c r="H878" s="221"/>
      <c r="I878" s="223"/>
      <c r="J878" s="237"/>
      <c r="K878" s="223"/>
      <c r="L878" s="236"/>
      <c r="M878" s="222"/>
      <c r="N878" s="224"/>
      <c r="O878" s="222"/>
      <c r="P878" s="224"/>
      <c r="Q878" s="222"/>
      <c r="R878" s="224"/>
      <c r="S878" s="239"/>
      <c r="T878" s="224"/>
      <c r="U878" s="239"/>
      <c r="V878" s="224"/>
      <c r="W878" s="261"/>
    </row>
    <row r="879" spans="1:23" x14ac:dyDescent="0.25">
      <c r="A879" s="215"/>
      <c r="B879" s="215"/>
      <c r="C879" s="215"/>
      <c r="D879" s="215"/>
      <c r="E879" s="221"/>
      <c r="F879" s="221"/>
      <c r="G879" s="222"/>
      <c r="H879" s="221"/>
      <c r="I879" s="223"/>
      <c r="J879" s="237"/>
      <c r="K879" s="223"/>
      <c r="L879" s="236"/>
      <c r="M879" s="222"/>
      <c r="N879" s="224"/>
      <c r="O879" s="222"/>
      <c r="P879" s="224"/>
      <c r="Q879" s="222"/>
      <c r="R879" s="224"/>
      <c r="S879" s="239"/>
      <c r="T879" s="224"/>
      <c r="U879" s="239"/>
      <c r="V879" s="224"/>
      <c r="W879" s="261"/>
    </row>
    <row r="880" spans="1:23" x14ac:dyDescent="0.25">
      <c r="A880" s="215"/>
      <c r="B880" s="215"/>
      <c r="C880" s="215"/>
      <c r="D880" s="215"/>
      <c r="E880" s="221"/>
      <c r="F880" s="221"/>
      <c r="G880" s="222"/>
      <c r="H880" s="221"/>
      <c r="I880" s="223"/>
      <c r="J880" s="237"/>
      <c r="K880" s="223"/>
      <c r="L880" s="236"/>
      <c r="M880" s="222"/>
      <c r="N880" s="224"/>
      <c r="O880" s="222"/>
      <c r="P880" s="224"/>
      <c r="Q880" s="222"/>
      <c r="R880" s="224"/>
      <c r="S880" s="239"/>
      <c r="T880" s="224"/>
      <c r="U880" s="239"/>
      <c r="V880" s="224"/>
      <c r="W880" s="261"/>
    </row>
    <row r="881" spans="1:23" x14ac:dyDescent="0.25">
      <c r="A881" s="215"/>
      <c r="B881" s="215"/>
      <c r="C881" s="215"/>
      <c r="D881" s="215"/>
      <c r="E881" s="221"/>
      <c r="F881" s="221"/>
      <c r="G881" s="222"/>
      <c r="H881" s="221"/>
      <c r="I881" s="223"/>
      <c r="J881" s="237"/>
      <c r="K881" s="223"/>
      <c r="L881" s="236"/>
      <c r="M881" s="222"/>
      <c r="N881" s="224"/>
      <c r="O881" s="222"/>
      <c r="P881" s="224"/>
      <c r="Q881" s="222"/>
      <c r="R881" s="224"/>
      <c r="S881" s="239"/>
      <c r="T881" s="224"/>
      <c r="U881" s="239"/>
      <c r="V881" s="224"/>
      <c r="W881" s="261"/>
    </row>
    <row r="882" spans="1:23" x14ac:dyDescent="0.25">
      <c r="A882" s="215"/>
      <c r="B882" s="215"/>
      <c r="C882" s="215"/>
      <c r="D882" s="215"/>
      <c r="E882" s="221"/>
      <c r="F882" s="221"/>
      <c r="G882" s="222"/>
      <c r="H882" s="221"/>
      <c r="I882" s="223"/>
      <c r="J882" s="237"/>
      <c r="K882" s="223"/>
      <c r="L882" s="236"/>
      <c r="M882" s="222"/>
      <c r="N882" s="224"/>
      <c r="O882" s="222"/>
      <c r="P882" s="224"/>
      <c r="Q882" s="222"/>
      <c r="R882" s="224"/>
      <c r="S882" s="239"/>
      <c r="T882" s="224"/>
      <c r="U882" s="239"/>
      <c r="V882" s="224"/>
      <c r="W882" s="261"/>
    </row>
    <row r="883" spans="1:23" x14ac:dyDescent="0.25">
      <c r="A883" s="215"/>
      <c r="B883" s="215"/>
      <c r="C883" s="215"/>
      <c r="D883" s="215"/>
      <c r="E883" s="221"/>
      <c r="F883" s="221"/>
      <c r="G883" s="222"/>
      <c r="H883" s="221"/>
      <c r="I883" s="223"/>
      <c r="J883" s="237"/>
      <c r="K883" s="223"/>
      <c r="L883" s="236"/>
      <c r="M883" s="222"/>
      <c r="N883" s="224"/>
      <c r="O883" s="222"/>
      <c r="P883" s="224"/>
      <c r="Q883" s="222"/>
      <c r="R883" s="224"/>
      <c r="S883" s="239"/>
      <c r="T883" s="224"/>
      <c r="U883" s="239"/>
      <c r="V883" s="224"/>
      <c r="W883" s="261"/>
    </row>
    <row r="884" spans="1:23" x14ac:dyDescent="0.25">
      <c r="A884" s="215"/>
      <c r="B884" s="215"/>
      <c r="C884" s="215"/>
      <c r="D884" s="215"/>
      <c r="E884" s="221"/>
      <c r="F884" s="221"/>
      <c r="G884" s="222"/>
      <c r="H884" s="221"/>
      <c r="I884" s="223"/>
      <c r="J884" s="237"/>
      <c r="K884" s="223"/>
      <c r="L884" s="236"/>
      <c r="M884" s="222"/>
      <c r="N884" s="224"/>
      <c r="O884" s="222"/>
      <c r="P884" s="224"/>
      <c r="Q884" s="222"/>
      <c r="R884" s="224"/>
      <c r="S884" s="239"/>
      <c r="T884" s="224"/>
      <c r="U884" s="239"/>
      <c r="V884" s="224"/>
      <c r="W884" s="261"/>
    </row>
    <row r="885" spans="1:23" x14ac:dyDescent="0.25">
      <c r="A885" s="215"/>
      <c r="B885" s="215"/>
      <c r="C885" s="215"/>
      <c r="D885" s="215"/>
      <c r="E885" s="221"/>
      <c r="F885" s="221"/>
      <c r="G885" s="222"/>
      <c r="H885" s="221"/>
      <c r="I885" s="223"/>
      <c r="J885" s="237"/>
      <c r="K885" s="223"/>
      <c r="L885" s="236"/>
      <c r="M885" s="222"/>
      <c r="N885" s="224"/>
      <c r="O885" s="222"/>
      <c r="P885" s="224"/>
      <c r="Q885" s="222"/>
      <c r="R885" s="224"/>
      <c r="S885" s="239"/>
      <c r="T885" s="224"/>
      <c r="U885" s="239"/>
      <c r="V885" s="224"/>
      <c r="W885" s="261"/>
    </row>
    <row r="886" spans="1:23" x14ac:dyDescent="0.25">
      <c r="A886" s="215"/>
      <c r="B886" s="215"/>
      <c r="C886" s="215"/>
      <c r="D886" s="215"/>
      <c r="E886" s="221"/>
      <c r="F886" s="221"/>
      <c r="G886" s="222"/>
      <c r="H886" s="221"/>
      <c r="I886" s="223"/>
      <c r="J886" s="237"/>
      <c r="K886" s="223"/>
      <c r="L886" s="236"/>
      <c r="M886" s="222"/>
      <c r="N886" s="224"/>
      <c r="O886" s="222"/>
      <c r="P886" s="224"/>
      <c r="Q886" s="222"/>
      <c r="R886" s="224"/>
      <c r="S886" s="239"/>
      <c r="T886" s="224"/>
      <c r="U886" s="239"/>
      <c r="V886" s="224"/>
      <c r="W886" s="261"/>
    </row>
    <row r="887" spans="1:23" x14ac:dyDescent="0.25">
      <c r="A887" s="215"/>
      <c r="B887" s="215"/>
      <c r="C887" s="215"/>
      <c r="D887" s="215"/>
      <c r="E887" s="221"/>
      <c r="F887" s="221"/>
      <c r="G887" s="222"/>
      <c r="H887" s="221"/>
      <c r="I887" s="223"/>
      <c r="J887" s="237"/>
      <c r="K887" s="223"/>
      <c r="L887" s="236"/>
      <c r="M887" s="222"/>
      <c r="N887" s="224"/>
      <c r="O887" s="222"/>
      <c r="P887" s="224"/>
      <c r="Q887" s="222"/>
      <c r="R887" s="224"/>
      <c r="S887" s="239"/>
      <c r="T887" s="224"/>
      <c r="U887" s="239"/>
      <c r="V887" s="224"/>
      <c r="W887" s="261"/>
    </row>
    <row r="888" spans="1:23" x14ac:dyDescent="0.25">
      <c r="A888" s="215"/>
      <c r="B888" s="215"/>
      <c r="C888" s="215"/>
      <c r="D888" s="215"/>
      <c r="E888" s="221"/>
      <c r="F888" s="221"/>
      <c r="G888" s="222"/>
      <c r="H888" s="221"/>
      <c r="I888" s="223"/>
      <c r="J888" s="237"/>
      <c r="K888" s="223"/>
      <c r="L888" s="236"/>
      <c r="M888" s="222"/>
      <c r="N888" s="224"/>
      <c r="O888" s="222"/>
      <c r="P888" s="224"/>
      <c r="Q888" s="222"/>
      <c r="R888" s="224"/>
      <c r="S888" s="239"/>
      <c r="T888" s="224"/>
      <c r="U888" s="239"/>
      <c r="V888" s="224"/>
      <c r="W888" s="261"/>
    </row>
    <row r="889" spans="1:23" x14ac:dyDescent="0.25">
      <c r="A889" s="215"/>
      <c r="B889" s="215"/>
      <c r="C889" s="215"/>
      <c r="D889" s="215"/>
      <c r="E889" s="221"/>
      <c r="F889" s="221"/>
      <c r="G889" s="222"/>
      <c r="H889" s="221"/>
      <c r="I889" s="223"/>
      <c r="J889" s="237"/>
      <c r="K889" s="223"/>
      <c r="L889" s="236"/>
      <c r="M889" s="222"/>
      <c r="N889" s="224"/>
      <c r="O889" s="222"/>
      <c r="P889" s="224"/>
      <c r="Q889" s="222"/>
      <c r="R889" s="224"/>
      <c r="S889" s="239"/>
      <c r="T889" s="224"/>
      <c r="U889" s="239"/>
      <c r="V889" s="224"/>
      <c r="W889" s="261"/>
    </row>
    <row r="890" spans="1:23" x14ac:dyDescent="0.25">
      <c r="A890" s="215"/>
      <c r="B890" s="215"/>
      <c r="C890" s="215"/>
      <c r="D890" s="215"/>
      <c r="E890" s="221"/>
      <c r="F890" s="221"/>
      <c r="G890" s="222"/>
      <c r="H890" s="221"/>
      <c r="I890" s="223"/>
      <c r="J890" s="237"/>
      <c r="K890" s="223"/>
      <c r="L890" s="236"/>
      <c r="M890" s="222"/>
      <c r="N890" s="224"/>
      <c r="O890" s="222"/>
      <c r="P890" s="224"/>
      <c r="Q890" s="222"/>
      <c r="R890" s="224"/>
      <c r="S890" s="239"/>
      <c r="T890" s="224"/>
      <c r="U890" s="239"/>
      <c r="V890" s="224"/>
      <c r="W890" s="261"/>
    </row>
    <row r="891" spans="1:23" x14ac:dyDescent="0.25">
      <c r="A891" s="215"/>
      <c r="B891" s="215"/>
      <c r="C891" s="215"/>
      <c r="D891" s="215"/>
      <c r="E891" s="221"/>
      <c r="F891" s="221"/>
      <c r="G891" s="222"/>
      <c r="H891" s="221"/>
      <c r="I891" s="223"/>
      <c r="J891" s="237"/>
      <c r="K891" s="223"/>
      <c r="L891" s="236"/>
      <c r="M891" s="222"/>
      <c r="N891" s="224"/>
      <c r="O891" s="222"/>
      <c r="P891" s="224"/>
      <c r="Q891" s="222"/>
      <c r="R891" s="224"/>
      <c r="S891" s="239"/>
      <c r="T891" s="224"/>
      <c r="U891" s="239"/>
      <c r="V891" s="224"/>
      <c r="W891" s="261"/>
    </row>
    <row r="892" spans="1:23" x14ac:dyDescent="0.25">
      <c r="A892" s="215"/>
      <c r="B892" s="215"/>
      <c r="C892" s="215"/>
      <c r="D892" s="215"/>
      <c r="E892" s="221"/>
      <c r="F892" s="221"/>
      <c r="G892" s="222"/>
      <c r="H892" s="221"/>
      <c r="I892" s="223"/>
      <c r="J892" s="237"/>
      <c r="K892" s="223"/>
      <c r="L892" s="236"/>
      <c r="M892" s="222"/>
      <c r="N892" s="224"/>
      <c r="O892" s="222"/>
      <c r="P892" s="224"/>
      <c r="Q892" s="222"/>
      <c r="R892" s="224"/>
      <c r="S892" s="239"/>
      <c r="T892" s="224"/>
      <c r="U892" s="239"/>
      <c r="V892" s="224"/>
      <c r="W892" s="261"/>
    </row>
    <row r="893" spans="1:23" x14ac:dyDescent="0.25">
      <c r="A893" s="215"/>
      <c r="B893" s="215"/>
      <c r="C893" s="215"/>
      <c r="D893" s="215"/>
      <c r="E893" s="221"/>
      <c r="F893" s="221"/>
      <c r="G893" s="222"/>
      <c r="H893" s="221"/>
      <c r="I893" s="223"/>
      <c r="J893" s="237"/>
      <c r="K893" s="223"/>
      <c r="L893" s="236"/>
      <c r="M893" s="222"/>
      <c r="N893" s="224"/>
      <c r="O893" s="222"/>
      <c r="P893" s="224"/>
      <c r="Q893" s="222"/>
      <c r="R893" s="224"/>
      <c r="S893" s="239"/>
      <c r="T893" s="224"/>
      <c r="U893" s="239"/>
      <c r="V893" s="224"/>
      <c r="W893" s="261"/>
    </row>
    <row r="894" spans="1:23" x14ac:dyDescent="0.25">
      <c r="A894" s="215"/>
      <c r="B894" s="215"/>
      <c r="C894" s="215"/>
      <c r="D894" s="215"/>
      <c r="E894" s="221"/>
      <c r="F894" s="221"/>
      <c r="G894" s="222"/>
      <c r="H894" s="221"/>
      <c r="I894" s="223"/>
      <c r="J894" s="237"/>
      <c r="K894" s="223"/>
      <c r="L894" s="236"/>
      <c r="M894" s="222"/>
      <c r="N894" s="224"/>
      <c r="O894" s="222"/>
      <c r="P894" s="224"/>
      <c r="Q894" s="222"/>
      <c r="R894" s="224"/>
      <c r="S894" s="239"/>
      <c r="T894" s="224"/>
      <c r="U894" s="239"/>
      <c r="V894" s="224"/>
      <c r="W894" s="261"/>
    </row>
    <row r="895" spans="1:23" x14ac:dyDescent="0.25">
      <c r="A895" s="215"/>
      <c r="B895" s="215"/>
      <c r="C895" s="215"/>
      <c r="D895" s="215"/>
      <c r="E895" s="221"/>
      <c r="F895" s="221"/>
      <c r="G895" s="222"/>
      <c r="H895" s="221"/>
      <c r="I895" s="223"/>
      <c r="J895" s="237"/>
      <c r="K895" s="223"/>
      <c r="L895" s="236"/>
      <c r="M895" s="222"/>
      <c r="N895" s="224"/>
      <c r="O895" s="222"/>
      <c r="P895" s="224"/>
      <c r="Q895" s="222"/>
      <c r="R895" s="224"/>
      <c r="S895" s="239"/>
      <c r="T895" s="224"/>
      <c r="U895" s="239"/>
      <c r="V895" s="224"/>
      <c r="W895" s="261"/>
    </row>
    <row r="896" spans="1:23" x14ac:dyDescent="0.25">
      <c r="A896" s="215"/>
      <c r="B896" s="215"/>
      <c r="C896" s="215"/>
      <c r="D896" s="215"/>
      <c r="E896" s="221"/>
      <c r="F896" s="221"/>
      <c r="G896" s="222"/>
      <c r="H896" s="221"/>
      <c r="I896" s="223"/>
      <c r="J896" s="237"/>
      <c r="K896" s="223"/>
      <c r="L896" s="236"/>
      <c r="M896" s="222"/>
      <c r="N896" s="224"/>
      <c r="O896" s="222"/>
      <c r="P896" s="224"/>
      <c r="Q896" s="222"/>
      <c r="R896" s="224"/>
      <c r="S896" s="239"/>
      <c r="T896" s="224"/>
      <c r="U896" s="239"/>
      <c r="V896" s="224"/>
      <c r="W896" s="261"/>
    </row>
    <row r="897" spans="1:23" x14ac:dyDescent="0.25">
      <c r="A897" s="215"/>
      <c r="B897" s="215"/>
      <c r="C897" s="215"/>
      <c r="D897" s="215"/>
      <c r="E897" s="221"/>
      <c r="F897" s="221"/>
      <c r="G897" s="222"/>
      <c r="H897" s="221"/>
      <c r="I897" s="223"/>
      <c r="J897" s="237"/>
      <c r="K897" s="223"/>
      <c r="L897" s="236"/>
      <c r="M897" s="222"/>
      <c r="N897" s="224"/>
      <c r="O897" s="222"/>
      <c r="P897" s="224"/>
      <c r="Q897" s="222"/>
      <c r="R897" s="224"/>
      <c r="S897" s="239"/>
      <c r="T897" s="224"/>
      <c r="U897" s="239"/>
      <c r="V897" s="224"/>
      <c r="W897" s="261"/>
    </row>
    <row r="898" spans="1:23" x14ac:dyDescent="0.25">
      <c r="A898" s="215"/>
      <c r="B898" s="215"/>
      <c r="C898" s="215"/>
      <c r="D898" s="215"/>
      <c r="E898" s="221"/>
      <c r="F898" s="221"/>
      <c r="G898" s="222"/>
      <c r="H898" s="221"/>
      <c r="I898" s="223"/>
      <c r="J898" s="237"/>
      <c r="K898" s="223"/>
      <c r="L898" s="236"/>
      <c r="M898" s="222"/>
      <c r="N898" s="224"/>
      <c r="O898" s="222"/>
      <c r="P898" s="224"/>
      <c r="Q898" s="222"/>
      <c r="R898" s="224"/>
      <c r="S898" s="239"/>
      <c r="T898" s="224"/>
      <c r="U898" s="239"/>
      <c r="V898" s="224"/>
      <c r="W898" s="261"/>
    </row>
    <row r="899" spans="1:23" x14ac:dyDescent="0.25">
      <c r="A899" s="215"/>
      <c r="B899" s="215"/>
      <c r="C899" s="215"/>
      <c r="D899" s="215"/>
      <c r="E899" s="221"/>
      <c r="F899" s="221"/>
      <c r="G899" s="222"/>
      <c r="H899" s="221"/>
      <c r="I899" s="223"/>
      <c r="J899" s="237"/>
      <c r="K899" s="223"/>
      <c r="L899" s="236"/>
      <c r="M899" s="222"/>
      <c r="N899" s="224"/>
      <c r="O899" s="222"/>
      <c r="P899" s="224"/>
      <c r="Q899" s="222"/>
      <c r="R899" s="224"/>
      <c r="S899" s="239"/>
      <c r="T899" s="224"/>
      <c r="U899" s="239"/>
      <c r="V899" s="224"/>
      <c r="W899" s="261"/>
    </row>
    <row r="900" spans="1:23" x14ac:dyDescent="0.25">
      <c r="A900" s="215"/>
      <c r="B900" s="215"/>
      <c r="C900" s="215"/>
      <c r="D900" s="215"/>
      <c r="E900" s="221"/>
      <c r="F900" s="221"/>
      <c r="G900" s="222"/>
      <c r="H900" s="221"/>
      <c r="I900" s="223"/>
      <c r="J900" s="237"/>
      <c r="K900" s="223"/>
      <c r="L900" s="236"/>
      <c r="M900" s="222"/>
      <c r="N900" s="224"/>
      <c r="O900" s="222"/>
      <c r="P900" s="224"/>
      <c r="Q900" s="222"/>
      <c r="R900" s="224"/>
      <c r="S900" s="239"/>
      <c r="T900" s="224"/>
      <c r="U900" s="239"/>
      <c r="V900" s="224"/>
      <c r="W900" s="261"/>
    </row>
    <row r="901" spans="1:23" x14ac:dyDescent="0.25">
      <c r="A901" s="215"/>
      <c r="B901" s="215"/>
      <c r="C901" s="215"/>
      <c r="D901" s="215"/>
      <c r="E901" s="221"/>
      <c r="F901" s="221"/>
      <c r="G901" s="222"/>
      <c r="H901" s="221"/>
      <c r="I901" s="223"/>
      <c r="J901" s="237"/>
      <c r="K901" s="223"/>
      <c r="L901" s="236"/>
      <c r="M901" s="222"/>
      <c r="N901" s="224"/>
      <c r="O901" s="222"/>
      <c r="P901" s="224"/>
      <c r="Q901" s="222"/>
      <c r="R901" s="224"/>
      <c r="S901" s="239"/>
      <c r="T901" s="224"/>
      <c r="U901" s="239"/>
      <c r="V901" s="224"/>
      <c r="W901" s="261"/>
    </row>
    <row r="902" spans="1:23" x14ac:dyDescent="0.25">
      <c r="A902" s="215"/>
      <c r="B902" s="215"/>
      <c r="C902" s="215"/>
      <c r="D902" s="215"/>
      <c r="E902" s="221"/>
      <c r="F902" s="221"/>
      <c r="G902" s="222"/>
      <c r="H902" s="221"/>
      <c r="I902" s="223"/>
      <c r="J902" s="237"/>
      <c r="K902" s="223"/>
      <c r="L902" s="236"/>
      <c r="M902" s="222"/>
      <c r="N902" s="224"/>
      <c r="O902" s="222"/>
      <c r="P902" s="224"/>
      <c r="Q902" s="222"/>
      <c r="R902" s="224"/>
      <c r="S902" s="239"/>
      <c r="T902" s="224"/>
      <c r="U902" s="239"/>
      <c r="V902" s="224"/>
      <c r="W902" s="261"/>
    </row>
    <row r="903" spans="1:23" x14ac:dyDescent="0.25">
      <c r="A903" s="215"/>
      <c r="B903" s="215"/>
      <c r="C903" s="215"/>
      <c r="D903" s="215"/>
      <c r="E903" s="221"/>
      <c r="F903" s="221"/>
      <c r="G903" s="222"/>
      <c r="H903" s="221"/>
      <c r="I903" s="223"/>
      <c r="J903" s="237"/>
      <c r="K903" s="223"/>
      <c r="L903" s="236"/>
      <c r="M903" s="222"/>
      <c r="N903" s="224"/>
      <c r="O903" s="222"/>
      <c r="P903" s="224"/>
      <c r="Q903" s="222"/>
      <c r="R903" s="224"/>
      <c r="S903" s="239"/>
      <c r="T903" s="224"/>
      <c r="U903" s="239"/>
      <c r="V903" s="224"/>
      <c r="W903" s="261"/>
    </row>
    <row r="904" spans="1:23" x14ac:dyDescent="0.25">
      <c r="A904" s="215"/>
      <c r="B904" s="215"/>
      <c r="C904" s="215"/>
      <c r="D904" s="215"/>
      <c r="E904" s="221"/>
      <c r="F904" s="221"/>
      <c r="G904" s="222"/>
      <c r="H904" s="221"/>
      <c r="I904" s="223"/>
      <c r="J904" s="237"/>
      <c r="K904" s="223"/>
      <c r="L904" s="236"/>
      <c r="M904" s="222"/>
      <c r="N904" s="224"/>
      <c r="O904" s="222"/>
      <c r="P904" s="224"/>
      <c r="Q904" s="222"/>
      <c r="R904" s="224"/>
      <c r="S904" s="239"/>
      <c r="T904" s="224"/>
      <c r="U904" s="239"/>
      <c r="V904" s="224"/>
      <c r="W904" s="261"/>
    </row>
    <row r="905" spans="1:23" x14ac:dyDescent="0.25">
      <c r="A905" s="215"/>
      <c r="B905" s="215"/>
      <c r="C905" s="215"/>
      <c r="D905" s="215"/>
      <c r="E905" s="221"/>
      <c r="F905" s="221"/>
      <c r="G905" s="222"/>
      <c r="H905" s="221"/>
      <c r="I905" s="223"/>
      <c r="J905" s="237"/>
      <c r="K905" s="223"/>
      <c r="L905" s="236"/>
      <c r="M905" s="222"/>
      <c r="N905" s="224"/>
      <c r="O905" s="222"/>
      <c r="P905" s="224"/>
      <c r="Q905" s="222"/>
      <c r="R905" s="224"/>
      <c r="S905" s="239"/>
      <c r="T905" s="224"/>
      <c r="U905" s="239"/>
      <c r="V905" s="224"/>
      <c r="W905" s="261"/>
    </row>
    <row r="906" spans="1:23" x14ac:dyDescent="0.25">
      <c r="A906" s="215"/>
      <c r="B906" s="215"/>
      <c r="C906" s="215"/>
      <c r="D906" s="215"/>
      <c r="E906" s="221"/>
      <c r="F906" s="221"/>
      <c r="G906" s="222"/>
      <c r="H906" s="221"/>
      <c r="I906" s="223"/>
      <c r="J906" s="237"/>
      <c r="K906" s="223"/>
      <c r="L906" s="236"/>
      <c r="M906" s="222"/>
      <c r="N906" s="224"/>
      <c r="O906" s="222"/>
      <c r="P906" s="224"/>
      <c r="Q906" s="222"/>
      <c r="R906" s="224"/>
      <c r="S906" s="239"/>
      <c r="T906" s="224"/>
      <c r="U906" s="239"/>
      <c r="V906" s="224"/>
      <c r="W906" s="261"/>
    </row>
    <row r="907" spans="1:23" x14ac:dyDescent="0.25">
      <c r="A907" s="215"/>
      <c r="B907" s="215"/>
      <c r="C907" s="215"/>
      <c r="D907" s="215"/>
      <c r="E907" s="221"/>
      <c r="F907" s="221"/>
      <c r="G907" s="222"/>
      <c r="H907" s="221"/>
      <c r="I907" s="223"/>
      <c r="J907" s="237"/>
      <c r="K907" s="223"/>
      <c r="L907" s="236"/>
      <c r="M907" s="222"/>
      <c r="N907" s="224"/>
      <c r="O907" s="222"/>
      <c r="P907" s="224"/>
      <c r="Q907" s="222"/>
      <c r="R907" s="224"/>
      <c r="S907" s="239"/>
      <c r="T907" s="224"/>
      <c r="U907" s="239"/>
      <c r="V907" s="224"/>
      <c r="W907" s="261"/>
    </row>
    <row r="908" spans="1:23" x14ac:dyDescent="0.25">
      <c r="A908" s="215"/>
      <c r="B908" s="215"/>
      <c r="C908" s="215"/>
      <c r="D908" s="215"/>
      <c r="E908" s="221"/>
      <c r="F908" s="221"/>
      <c r="G908" s="222"/>
      <c r="H908" s="221"/>
      <c r="I908" s="223"/>
      <c r="J908" s="237"/>
      <c r="K908" s="223"/>
      <c r="L908" s="236"/>
      <c r="M908" s="222"/>
      <c r="N908" s="224"/>
      <c r="O908" s="222"/>
      <c r="P908" s="224"/>
      <c r="Q908" s="222"/>
      <c r="R908" s="224"/>
      <c r="S908" s="239"/>
      <c r="T908" s="224"/>
      <c r="U908" s="239"/>
      <c r="V908" s="224"/>
      <c r="W908" s="261"/>
    </row>
    <row r="909" spans="1:23" x14ac:dyDescent="0.25">
      <c r="A909" s="215"/>
      <c r="B909" s="215"/>
      <c r="C909" s="215"/>
      <c r="D909" s="215"/>
      <c r="E909" s="221"/>
      <c r="F909" s="221"/>
      <c r="G909" s="222"/>
      <c r="H909" s="221"/>
      <c r="I909" s="223"/>
      <c r="J909" s="237"/>
      <c r="K909" s="223"/>
      <c r="L909" s="236"/>
      <c r="M909" s="222"/>
      <c r="N909" s="224"/>
      <c r="O909" s="222"/>
      <c r="P909" s="224"/>
      <c r="Q909" s="222"/>
      <c r="R909" s="224"/>
      <c r="S909" s="239"/>
      <c r="T909" s="224"/>
      <c r="U909" s="239"/>
      <c r="V909" s="224"/>
      <c r="W909" s="261"/>
    </row>
    <row r="910" spans="1:23" x14ac:dyDescent="0.25">
      <c r="A910" s="215"/>
      <c r="B910" s="215"/>
      <c r="C910" s="215"/>
      <c r="D910" s="215"/>
      <c r="E910" s="221"/>
      <c r="F910" s="221"/>
      <c r="G910" s="222"/>
      <c r="H910" s="221"/>
      <c r="I910" s="223"/>
      <c r="J910" s="237"/>
      <c r="K910" s="223"/>
      <c r="L910" s="236"/>
      <c r="M910" s="222"/>
      <c r="N910" s="224"/>
      <c r="O910" s="222"/>
      <c r="P910" s="224"/>
      <c r="Q910" s="222"/>
      <c r="R910" s="224"/>
      <c r="S910" s="239"/>
      <c r="T910" s="224"/>
      <c r="U910" s="239"/>
      <c r="V910" s="224"/>
      <c r="W910" s="261"/>
    </row>
    <row r="911" spans="1:23" x14ac:dyDescent="0.25">
      <c r="A911" s="215"/>
      <c r="B911" s="215"/>
      <c r="C911" s="215"/>
      <c r="D911" s="215"/>
      <c r="E911" s="221"/>
      <c r="F911" s="221"/>
      <c r="G911" s="222"/>
      <c r="H911" s="221"/>
      <c r="I911" s="223"/>
      <c r="J911" s="237"/>
      <c r="K911" s="223"/>
      <c r="L911" s="236"/>
      <c r="M911" s="222"/>
      <c r="N911" s="224"/>
      <c r="O911" s="222"/>
      <c r="P911" s="224"/>
      <c r="Q911" s="222"/>
      <c r="R911" s="224"/>
      <c r="S911" s="239"/>
      <c r="T911" s="224"/>
      <c r="U911" s="239"/>
      <c r="V911" s="224"/>
      <c r="W911" s="261"/>
    </row>
    <row r="912" spans="1:23" x14ac:dyDescent="0.25">
      <c r="A912" s="215"/>
      <c r="B912" s="215"/>
      <c r="C912" s="215"/>
      <c r="D912" s="215"/>
      <c r="E912" s="221"/>
      <c r="F912" s="221"/>
      <c r="G912" s="222"/>
      <c r="H912" s="221"/>
      <c r="I912" s="223"/>
      <c r="J912" s="237"/>
      <c r="K912" s="223"/>
      <c r="L912" s="236"/>
      <c r="M912" s="222"/>
      <c r="N912" s="224"/>
      <c r="O912" s="222"/>
      <c r="P912" s="224"/>
      <c r="Q912" s="222"/>
      <c r="R912" s="224"/>
      <c r="S912" s="239"/>
      <c r="T912" s="224"/>
      <c r="U912" s="239"/>
      <c r="V912" s="224"/>
      <c r="W912" s="261"/>
    </row>
    <row r="913" spans="1:23" x14ac:dyDescent="0.25">
      <c r="A913" s="215"/>
      <c r="B913" s="215"/>
      <c r="C913" s="215"/>
      <c r="D913" s="215"/>
      <c r="E913" s="221"/>
      <c r="F913" s="221"/>
      <c r="G913" s="222"/>
      <c r="H913" s="221"/>
      <c r="I913" s="223"/>
      <c r="J913" s="237"/>
      <c r="K913" s="223"/>
      <c r="L913" s="236"/>
      <c r="M913" s="222"/>
      <c r="N913" s="224"/>
      <c r="O913" s="222"/>
      <c r="P913" s="224"/>
      <c r="Q913" s="222"/>
      <c r="R913" s="224"/>
      <c r="S913" s="239"/>
      <c r="T913" s="224"/>
      <c r="U913" s="239"/>
      <c r="V913" s="224"/>
      <c r="W913" s="261"/>
    </row>
    <row r="914" spans="1:23" x14ac:dyDescent="0.25">
      <c r="A914" s="215"/>
      <c r="B914" s="215"/>
      <c r="C914" s="215"/>
      <c r="D914" s="215"/>
      <c r="E914" s="221"/>
      <c r="F914" s="221"/>
      <c r="G914" s="222"/>
      <c r="H914" s="221"/>
      <c r="I914" s="223"/>
      <c r="J914" s="237"/>
      <c r="K914" s="223"/>
      <c r="L914" s="236"/>
      <c r="M914" s="222"/>
      <c r="N914" s="224"/>
      <c r="O914" s="222"/>
      <c r="P914" s="224"/>
      <c r="Q914" s="222"/>
      <c r="R914" s="224"/>
      <c r="S914" s="239"/>
      <c r="T914" s="224"/>
      <c r="U914" s="239"/>
      <c r="V914" s="224"/>
      <c r="W914" s="261"/>
    </row>
    <row r="915" spans="1:23" x14ac:dyDescent="0.25">
      <c r="A915" s="215"/>
      <c r="B915" s="215"/>
      <c r="C915" s="215"/>
      <c r="D915" s="215"/>
      <c r="E915" s="221"/>
      <c r="F915" s="221"/>
      <c r="G915" s="222"/>
      <c r="H915" s="221"/>
      <c r="I915" s="223"/>
      <c r="J915" s="237"/>
      <c r="K915" s="223"/>
      <c r="L915" s="236"/>
      <c r="M915" s="222"/>
      <c r="N915" s="224"/>
      <c r="O915" s="222"/>
      <c r="P915" s="224"/>
      <c r="Q915" s="222"/>
      <c r="R915" s="224"/>
      <c r="S915" s="239"/>
      <c r="T915" s="224"/>
      <c r="U915" s="239"/>
      <c r="V915" s="224"/>
      <c r="W915" s="261"/>
    </row>
    <row r="916" spans="1:23" x14ac:dyDescent="0.25">
      <c r="A916" s="215"/>
      <c r="B916" s="215"/>
      <c r="C916" s="215"/>
      <c r="D916" s="215"/>
      <c r="E916" s="221"/>
      <c r="F916" s="221"/>
      <c r="G916" s="222"/>
      <c r="H916" s="221"/>
      <c r="I916" s="223"/>
      <c r="J916" s="237"/>
      <c r="K916" s="223"/>
      <c r="L916" s="236"/>
      <c r="M916" s="222"/>
      <c r="N916" s="224"/>
      <c r="O916" s="222"/>
      <c r="P916" s="224"/>
      <c r="Q916" s="222"/>
      <c r="R916" s="224"/>
      <c r="S916" s="239"/>
      <c r="T916" s="224"/>
      <c r="U916" s="239"/>
      <c r="V916" s="224"/>
      <c r="W916" s="261"/>
    </row>
    <row r="917" spans="1:23" x14ac:dyDescent="0.25">
      <c r="A917" s="215"/>
      <c r="B917" s="215"/>
      <c r="C917" s="215"/>
      <c r="D917" s="215"/>
      <c r="E917" s="221"/>
      <c r="F917" s="221"/>
      <c r="G917" s="222"/>
      <c r="H917" s="221"/>
      <c r="I917" s="223"/>
      <c r="J917" s="237"/>
      <c r="K917" s="223"/>
      <c r="L917" s="236"/>
      <c r="M917" s="222"/>
      <c r="N917" s="224"/>
      <c r="O917" s="222"/>
      <c r="P917" s="224"/>
      <c r="Q917" s="222"/>
      <c r="R917" s="224"/>
      <c r="S917" s="239"/>
      <c r="T917" s="224"/>
      <c r="U917" s="239"/>
      <c r="V917" s="224"/>
      <c r="W917" s="261"/>
    </row>
    <row r="918" spans="1:23" x14ac:dyDescent="0.25">
      <c r="A918" s="215"/>
      <c r="B918" s="215"/>
      <c r="C918" s="215"/>
      <c r="D918" s="215"/>
      <c r="E918" s="221"/>
      <c r="F918" s="221"/>
      <c r="G918" s="222"/>
      <c r="H918" s="221"/>
      <c r="I918" s="223"/>
      <c r="J918" s="237"/>
      <c r="K918" s="223"/>
      <c r="L918" s="236"/>
      <c r="M918" s="222"/>
      <c r="N918" s="224"/>
      <c r="O918" s="222"/>
      <c r="P918" s="224"/>
      <c r="Q918" s="222"/>
      <c r="R918" s="224"/>
      <c r="S918" s="239"/>
      <c r="T918" s="224"/>
      <c r="U918" s="239"/>
      <c r="V918" s="224"/>
      <c r="W918" s="261"/>
    </row>
    <row r="919" spans="1:23" x14ac:dyDescent="0.25">
      <c r="A919" s="215"/>
      <c r="B919" s="215"/>
      <c r="C919" s="215"/>
      <c r="D919" s="215"/>
      <c r="E919" s="221"/>
      <c r="F919" s="221"/>
      <c r="G919" s="222"/>
      <c r="H919" s="221"/>
      <c r="I919" s="223"/>
      <c r="J919" s="237"/>
      <c r="K919" s="223"/>
      <c r="L919" s="236"/>
      <c r="M919" s="222"/>
      <c r="N919" s="224"/>
      <c r="O919" s="222"/>
      <c r="P919" s="224"/>
      <c r="Q919" s="222"/>
      <c r="R919" s="224"/>
      <c r="S919" s="239"/>
      <c r="T919" s="224"/>
      <c r="U919" s="239"/>
      <c r="V919" s="224"/>
      <c r="W919" s="261"/>
    </row>
    <row r="920" spans="1:23" x14ac:dyDescent="0.25">
      <c r="A920" s="215"/>
      <c r="B920" s="215"/>
      <c r="C920" s="215"/>
      <c r="D920" s="215"/>
      <c r="E920" s="221"/>
      <c r="F920" s="221"/>
      <c r="G920" s="222"/>
      <c r="H920" s="221"/>
      <c r="I920" s="223"/>
      <c r="J920" s="237"/>
      <c r="K920" s="223"/>
      <c r="L920" s="236"/>
      <c r="M920" s="222"/>
      <c r="N920" s="224"/>
      <c r="O920" s="222"/>
      <c r="P920" s="224"/>
      <c r="Q920" s="222"/>
      <c r="R920" s="224"/>
      <c r="S920" s="239"/>
      <c r="T920" s="224"/>
      <c r="U920" s="239"/>
      <c r="V920" s="224"/>
      <c r="W920" s="261"/>
    </row>
    <row r="921" spans="1:23" x14ac:dyDescent="0.25">
      <c r="A921" s="215"/>
      <c r="B921" s="215"/>
      <c r="C921" s="215"/>
      <c r="D921" s="215"/>
      <c r="E921" s="221"/>
      <c r="F921" s="221"/>
      <c r="G921" s="222"/>
      <c r="H921" s="221"/>
      <c r="I921" s="223"/>
      <c r="J921" s="237"/>
      <c r="K921" s="223"/>
      <c r="L921" s="236"/>
      <c r="M921" s="222"/>
      <c r="N921" s="224"/>
      <c r="O921" s="222"/>
      <c r="P921" s="224"/>
      <c r="Q921" s="222"/>
      <c r="R921" s="224"/>
      <c r="S921" s="239"/>
      <c r="T921" s="224"/>
      <c r="U921" s="239"/>
      <c r="V921" s="224"/>
      <c r="W921" s="261"/>
    </row>
    <row r="922" spans="1:23" x14ac:dyDescent="0.25">
      <c r="A922" s="215"/>
      <c r="B922" s="215"/>
      <c r="C922" s="215"/>
      <c r="D922" s="215"/>
      <c r="E922" s="221"/>
      <c r="F922" s="221"/>
      <c r="G922" s="222"/>
      <c r="H922" s="221"/>
      <c r="I922" s="223"/>
      <c r="J922" s="237"/>
      <c r="K922" s="223"/>
      <c r="L922" s="236"/>
      <c r="M922" s="222"/>
      <c r="N922" s="224"/>
      <c r="O922" s="222"/>
      <c r="P922" s="224"/>
      <c r="Q922" s="222"/>
      <c r="R922" s="224"/>
      <c r="S922" s="239"/>
      <c r="T922" s="224"/>
      <c r="U922" s="239"/>
      <c r="V922" s="224"/>
      <c r="W922" s="261"/>
    </row>
    <row r="923" spans="1:23" x14ac:dyDescent="0.25">
      <c r="A923" s="215"/>
      <c r="B923" s="215"/>
      <c r="C923" s="215"/>
      <c r="D923" s="215"/>
      <c r="E923" s="221"/>
      <c r="F923" s="221"/>
      <c r="G923" s="222"/>
      <c r="H923" s="221"/>
      <c r="I923" s="223"/>
      <c r="J923" s="237"/>
      <c r="K923" s="223"/>
      <c r="L923" s="236"/>
      <c r="M923" s="222"/>
      <c r="N923" s="224"/>
      <c r="O923" s="222"/>
      <c r="P923" s="224"/>
      <c r="Q923" s="222"/>
      <c r="R923" s="224"/>
      <c r="S923" s="239"/>
      <c r="T923" s="224"/>
      <c r="U923" s="239"/>
      <c r="V923" s="224"/>
      <c r="W923" s="261"/>
    </row>
    <row r="924" spans="1:23" x14ac:dyDescent="0.25">
      <c r="A924" s="215"/>
      <c r="B924" s="215"/>
      <c r="C924" s="215"/>
      <c r="D924" s="215"/>
      <c r="E924" s="221"/>
      <c r="F924" s="221"/>
      <c r="G924" s="222"/>
      <c r="H924" s="221"/>
      <c r="I924" s="223"/>
      <c r="J924" s="237"/>
      <c r="K924" s="223"/>
      <c r="L924" s="236"/>
      <c r="M924" s="222"/>
      <c r="N924" s="224"/>
      <c r="O924" s="222"/>
      <c r="P924" s="224"/>
      <c r="Q924" s="222"/>
      <c r="R924" s="224"/>
      <c r="S924" s="239"/>
      <c r="T924" s="224"/>
      <c r="U924" s="239"/>
      <c r="V924" s="224"/>
      <c r="W924" s="261"/>
    </row>
    <row r="925" spans="1:23" x14ac:dyDescent="0.25">
      <c r="A925" s="215"/>
      <c r="B925" s="215"/>
      <c r="C925" s="215"/>
      <c r="D925" s="215"/>
      <c r="E925" s="221"/>
      <c r="F925" s="221"/>
      <c r="G925" s="222"/>
      <c r="H925" s="221"/>
      <c r="I925" s="223"/>
      <c r="J925" s="237"/>
      <c r="K925" s="223"/>
      <c r="L925" s="236"/>
      <c r="M925" s="222"/>
      <c r="N925" s="224"/>
      <c r="O925" s="222"/>
      <c r="P925" s="224"/>
      <c r="Q925" s="222"/>
      <c r="R925" s="224"/>
      <c r="S925" s="239"/>
      <c r="T925" s="224"/>
      <c r="U925" s="239"/>
      <c r="V925" s="224"/>
      <c r="W925" s="261"/>
    </row>
    <row r="926" spans="1:23" x14ac:dyDescent="0.25">
      <c r="A926" s="215"/>
      <c r="B926" s="215"/>
      <c r="C926" s="215"/>
      <c r="D926" s="215"/>
      <c r="E926" s="221"/>
      <c r="F926" s="221"/>
      <c r="G926" s="222"/>
      <c r="H926" s="221"/>
      <c r="I926" s="223"/>
      <c r="J926" s="237"/>
      <c r="K926" s="223"/>
      <c r="L926" s="236"/>
      <c r="M926" s="222"/>
      <c r="N926" s="224"/>
      <c r="O926" s="222"/>
      <c r="P926" s="224"/>
      <c r="Q926" s="222"/>
      <c r="R926" s="224"/>
      <c r="S926" s="239"/>
      <c r="T926" s="224"/>
      <c r="U926" s="239"/>
      <c r="V926" s="224"/>
      <c r="W926" s="261"/>
    </row>
    <row r="927" spans="1:23" x14ac:dyDescent="0.25">
      <c r="A927" s="215"/>
      <c r="B927" s="215"/>
      <c r="C927" s="215"/>
      <c r="D927" s="215"/>
      <c r="E927" s="221"/>
      <c r="F927" s="221"/>
      <c r="G927" s="222"/>
      <c r="H927" s="221"/>
      <c r="I927" s="223"/>
      <c r="J927" s="237"/>
      <c r="K927" s="223"/>
      <c r="L927" s="236"/>
      <c r="M927" s="222"/>
      <c r="N927" s="224"/>
      <c r="O927" s="222"/>
      <c r="P927" s="224"/>
      <c r="Q927" s="222"/>
      <c r="R927" s="224"/>
      <c r="S927" s="239"/>
      <c r="T927" s="224"/>
      <c r="U927" s="239"/>
      <c r="V927" s="224"/>
      <c r="W927" s="261"/>
    </row>
    <row r="928" spans="1:23" x14ac:dyDescent="0.25">
      <c r="A928" s="215"/>
      <c r="B928" s="215"/>
      <c r="C928" s="215"/>
      <c r="D928" s="215"/>
      <c r="E928" s="221"/>
      <c r="F928" s="221"/>
      <c r="G928" s="222"/>
      <c r="H928" s="221"/>
      <c r="I928" s="223"/>
      <c r="J928" s="237"/>
      <c r="K928" s="223"/>
      <c r="L928" s="236"/>
      <c r="M928" s="222"/>
      <c r="N928" s="224"/>
      <c r="O928" s="222"/>
      <c r="P928" s="224"/>
      <c r="Q928" s="222"/>
      <c r="R928" s="224"/>
      <c r="S928" s="239"/>
      <c r="T928" s="224"/>
      <c r="U928" s="239"/>
      <c r="V928" s="224"/>
      <c r="W928" s="261"/>
    </row>
    <row r="929" spans="1:23" x14ac:dyDescent="0.25">
      <c r="A929" s="215"/>
      <c r="B929" s="215"/>
      <c r="C929" s="215"/>
      <c r="D929" s="215"/>
      <c r="E929" s="221"/>
      <c r="F929" s="221"/>
      <c r="G929" s="222"/>
      <c r="H929" s="221"/>
      <c r="I929" s="223"/>
      <c r="J929" s="237"/>
      <c r="K929" s="223"/>
      <c r="L929" s="236"/>
      <c r="M929" s="222"/>
      <c r="N929" s="224"/>
      <c r="O929" s="222"/>
      <c r="P929" s="224"/>
      <c r="Q929" s="222"/>
      <c r="R929" s="224"/>
      <c r="S929" s="239"/>
      <c r="T929" s="224"/>
      <c r="U929" s="239"/>
      <c r="V929" s="224"/>
      <c r="W929" s="261"/>
    </row>
    <row r="930" spans="1:23" x14ac:dyDescent="0.25">
      <c r="A930" s="215"/>
      <c r="B930" s="215"/>
      <c r="C930" s="215"/>
      <c r="D930" s="215"/>
      <c r="E930" s="221"/>
      <c r="F930" s="221"/>
      <c r="G930" s="222"/>
      <c r="H930" s="221"/>
      <c r="I930" s="223"/>
      <c r="J930" s="237"/>
      <c r="K930" s="223"/>
      <c r="L930" s="236"/>
      <c r="M930" s="222"/>
      <c r="N930" s="224"/>
      <c r="O930" s="222"/>
      <c r="P930" s="224"/>
      <c r="Q930" s="222"/>
      <c r="R930" s="224"/>
      <c r="S930" s="239"/>
      <c r="T930" s="224"/>
      <c r="U930" s="239"/>
      <c r="V930" s="224"/>
      <c r="W930" s="261"/>
    </row>
    <row r="931" spans="1:23" x14ac:dyDescent="0.25">
      <c r="A931" s="215"/>
      <c r="B931" s="215"/>
      <c r="C931" s="215"/>
      <c r="D931" s="215"/>
      <c r="E931" s="221"/>
      <c r="F931" s="221"/>
      <c r="G931" s="222"/>
      <c r="H931" s="221"/>
      <c r="I931" s="223"/>
      <c r="J931" s="237"/>
      <c r="K931" s="223"/>
      <c r="L931" s="236"/>
      <c r="M931" s="222"/>
      <c r="N931" s="224"/>
      <c r="O931" s="222"/>
      <c r="P931" s="224"/>
      <c r="Q931" s="222"/>
      <c r="R931" s="224"/>
      <c r="S931" s="239"/>
      <c r="T931" s="224"/>
      <c r="U931" s="239"/>
      <c r="V931" s="224"/>
      <c r="W931" s="261"/>
    </row>
    <row r="932" spans="1:23" x14ac:dyDescent="0.25">
      <c r="A932" s="215"/>
      <c r="B932" s="215"/>
      <c r="C932" s="215"/>
      <c r="D932" s="215"/>
      <c r="E932" s="221"/>
      <c r="F932" s="221"/>
      <c r="G932" s="222"/>
      <c r="H932" s="221"/>
      <c r="I932" s="223"/>
      <c r="J932" s="237"/>
      <c r="K932" s="223"/>
      <c r="L932" s="236"/>
      <c r="M932" s="222"/>
      <c r="N932" s="224"/>
      <c r="O932" s="222"/>
      <c r="P932" s="224"/>
      <c r="Q932" s="222"/>
      <c r="R932" s="224"/>
      <c r="S932" s="239"/>
      <c r="T932" s="224"/>
      <c r="U932" s="239"/>
      <c r="V932" s="224"/>
      <c r="W932" s="261"/>
    </row>
    <row r="933" spans="1:23" x14ac:dyDescent="0.25">
      <c r="A933" s="215"/>
      <c r="B933" s="215"/>
      <c r="C933" s="215"/>
      <c r="D933" s="215"/>
      <c r="E933" s="221"/>
      <c r="F933" s="221"/>
      <c r="G933" s="222"/>
      <c r="H933" s="221"/>
      <c r="I933" s="223"/>
      <c r="J933" s="237"/>
      <c r="K933" s="223"/>
      <c r="L933" s="236"/>
      <c r="M933" s="222"/>
      <c r="N933" s="224"/>
      <c r="O933" s="222"/>
      <c r="P933" s="224"/>
      <c r="Q933" s="222"/>
      <c r="R933" s="224"/>
      <c r="S933" s="239"/>
      <c r="T933" s="224"/>
      <c r="U933" s="239"/>
      <c r="V933" s="224"/>
      <c r="W933" s="261"/>
    </row>
    <row r="934" spans="1:23" x14ac:dyDescent="0.25">
      <c r="A934" s="215"/>
      <c r="B934" s="215"/>
      <c r="C934" s="215"/>
      <c r="D934" s="215"/>
      <c r="E934" s="221"/>
      <c r="F934" s="221"/>
      <c r="G934" s="222"/>
      <c r="H934" s="221"/>
      <c r="I934" s="223"/>
      <c r="J934" s="237"/>
      <c r="K934" s="223"/>
      <c r="L934" s="236"/>
      <c r="M934" s="222"/>
      <c r="N934" s="224"/>
      <c r="O934" s="222"/>
      <c r="P934" s="224"/>
      <c r="Q934" s="222"/>
      <c r="R934" s="224"/>
      <c r="S934" s="239"/>
      <c r="T934" s="224"/>
      <c r="U934" s="239"/>
      <c r="V934" s="224"/>
      <c r="W934" s="261"/>
    </row>
    <row r="935" spans="1:23" x14ac:dyDescent="0.25">
      <c r="A935" s="215"/>
      <c r="B935" s="215"/>
      <c r="C935" s="215"/>
      <c r="D935" s="215"/>
      <c r="E935" s="221"/>
      <c r="F935" s="221"/>
      <c r="G935" s="222"/>
      <c r="H935" s="221"/>
      <c r="I935" s="223"/>
      <c r="J935" s="237"/>
      <c r="K935" s="223"/>
      <c r="L935" s="236"/>
      <c r="M935" s="222"/>
      <c r="N935" s="224"/>
      <c r="O935" s="222"/>
      <c r="P935" s="224"/>
      <c r="Q935" s="222"/>
      <c r="R935" s="224"/>
      <c r="S935" s="239"/>
      <c r="T935" s="224"/>
      <c r="U935" s="239"/>
      <c r="V935" s="224"/>
      <c r="W935" s="261"/>
    </row>
    <row r="936" spans="1:23" x14ac:dyDescent="0.25">
      <c r="A936" s="215"/>
      <c r="B936" s="215"/>
      <c r="C936" s="215"/>
      <c r="D936" s="215"/>
      <c r="E936" s="221"/>
      <c r="F936" s="221"/>
      <c r="G936" s="222"/>
      <c r="H936" s="221"/>
      <c r="I936" s="223"/>
      <c r="J936" s="237"/>
      <c r="K936" s="223"/>
      <c r="L936" s="236"/>
      <c r="M936" s="222"/>
      <c r="N936" s="224"/>
      <c r="O936" s="222"/>
      <c r="P936" s="224"/>
      <c r="Q936" s="222"/>
      <c r="R936" s="224"/>
      <c r="S936" s="239"/>
      <c r="T936" s="224"/>
      <c r="U936" s="239"/>
      <c r="V936" s="224"/>
      <c r="W936" s="261"/>
    </row>
    <row r="937" spans="1:23" x14ac:dyDescent="0.25">
      <c r="A937" s="215"/>
      <c r="B937" s="215"/>
      <c r="C937" s="215"/>
      <c r="D937" s="215"/>
      <c r="E937" s="221"/>
      <c r="F937" s="221"/>
      <c r="G937" s="222"/>
      <c r="H937" s="221"/>
      <c r="I937" s="223"/>
      <c r="J937" s="237"/>
      <c r="K937" s="223"/>
      <c r="L937" s="236"/>
      <c r="M937" s="222"/>
      <c r="N937" s="224"/>
      <c r="O937" s="222"/>
      <c r="P937" s="224"/>
      <c r="Q937" s="222"/>
      <c r="R937" s="224"/>
      <c r="S937" s="239"/>
      <c r="T937" s="224"/>
      <c r="U937" s="239"/>
      <c r="V937" s="224"/>
      <c r="W937" s="261"/>
    </row>
    <row r="938" spans="1:23" x14ac:dyDescent="0.25">
      <c r="A938" s="215"/>
      <c r="B938" s="215"/>
      <c r="C938" s="215"/>
      <c r="D938" s="215"/>
      <c r="E938" s="221"/>
      <c r="F938" s="221"/>
      <c r="G938" s="222"/>
      <c r="H938" s="221"/>
      <c r="I938" s="223"/>
      <c r="J938" s="237"/>
      <c r="K938" s="223"/>
      <c r="L938" s="236"/>
      <c r="M938" s="222"/>
      <c r="N938" s="224"/>
      <c r="O938" s="222"/>
      <c r="P938" s="224"/>
      <c r="Q938" s="222"/>
      <c r="R938" s="224"/>
      <c r="S938" s="239"/>
      <c r="T938" s="224"/>
      <c r="U938" s="239"/>
      <c r="V938" s="224"/>
      <c r="W938" s="261"/>
    </row>
    <row r="939" spans="1:23" x14ac:dyDescent="0.25">
      <c r="A939" s="215"/>
      <c r="B939" s="215"/>
      <c r="C939" s="215"/>
      <c r="D939" s="215"/>
      <c r="E939" s="221"/>
      <c r="F939" s="221"/>
      <c r="G939" s="222"/>
      <c r="H939" s="221"/>
      <c r="I939" s="223"/>
      <c r="J939" s="237"/>
      <c r="K939" s="223"/>
      <c r="L939" s="236"/>
      <c r="M939" s="222"/>
      <c r="N939" s="224"/>
      <c r="O939" s="222"/>
      <c r="P939" s="224"/>
      <c r="Q939" s="222"/>
      <c r="R939" s="224"/>
      <c r="S939" s="239"/>
      <c r="T939" s="224"/>
      <c r="U939" s="239"/>
      <c r="V939" s="224"/>
      <c r="W939" s="261"/>
    </row>
    <row r="940" spans="1:23" x14ac:dyDescent="0.25">
      <c r="A940" s="215"/>
      <c r="B940" s="215"/>
      <c r="C940" s="215"/>
      <c r="D940" s="215"/>
      <c r="E940" s="221"/>
      <c r="F940" s="221"/>
      <c r="G940" s="222"/>
      <c r="H940" s="221"/>
      <c r="I940" s="223"/>
      <c r="J940" s="237"/>
      <c r="K940" s="223"/>
      <c r="L940" s="236"/>
      <c r="M940" s="222"/>
      <c r="N940" s="224"/>
      <c r="O940" s="222"/>
      <c r="P940" s="224"/>
      <c r="Q940" s="222"/>
      <c r="R940" s="224"/>
      <c r="S940" s="239"/>
      <c r="T940" s="224"/>
      <c r="U940" s="239"/>
      <c r="V940" s="224"/>
      <c r="W940" s="261"/>
    </row>
    <row r="941" spans="1:23" x14ac:dyDescent="0.25">
      <c r="A941" s="215"/>
      <c r="B941" s="215"/>
      <c r="C941" s="215"/>
      <c r="D941" s="215"/>
      <c r="E941" s="221"/>
      <c r="F941" s="221"/>
      <c r="G941" s="222"/>
      <c r="H941" s="221"/>
      <c r="I941" s="223"/>
      <c r="J941" s="237"/>
      <c r="K941" s="223"/>
      <c r="L941" s="236"/>
      <c r="M941" s="222"/>
      <c r="N941" s="224"/>
      <c r="O941" s="222"/>
      <c r="P941" s="224"/>
      <c r="Q941" s="222"/>
      <c r="R941" s="224"/>
      <c r="S941" s="239"/>
      <c r="T941" s="224"/>
      <c r="U941" s="239"/>
      <c r="V941" s="224"/>
      <c r="W941" s="261"/>
    </row>
    <row r="942" spans="1:23" x14ac:dyDescent="0.25">
      <c r="A942" s="215"/>
      <c r="B942" s="215"/>
      <c r="C942" s="215"/>
      <c r="D942" s="215"/>
      <c r="E942" s="221"/>
      <c r="F942" s="221"/>
      <c r="G942" s="222"/>
      <c r="H942" s="221"/>
      <c r="I942" s="223"/>
      <c r="J942" s="237"/>
      <c r="K942" s="223"/>
      <c r="L942" s="236"/>
      <c r="M942" s="222"/>
      <c r="N942" s="224"/>
      <c r="O942" s="222"/>
      <c r="P942" s="224"/>
      <c r="Q942" s="222"/>
      <c r="R942" s="224"/>
      <c r="S942" s="239"/>
      <c r="T942" s="224"/>
      <c r="U942" s="239"/>
      <c r="V942" s="224"/>
      <c r="W942" s="261"/>
    </row>
    <row r="943" spans="1:23" x14ac:dyDescent="0.25">
      <c r="A943" s="215"/>
      <c r="B943" s="215"/>
      <c r="C943" s="215"/>
      <c r="D943" s="215"/>
      <c r="E943" s="221"/>
      <c r="F943" s="221"/>
      <c r="G943" s="222"/>
      <c r="H943" s="221"/>
      <c r="I943" s="223"/>
      <c r="J943" s="237"/>
      <c r="K943" s="223"/>
      <c r="L943" s="236"/>
      <c r="M943" s="222"/>
      <c r="N943" s="224"/>
      <c r="O943" s="222"/>
      <c r="P943" s="224"/>
      <c r="Q943" s="222"/>
      <c r="R943" s="224"/>
      <c r="S943" s="239"/>
      <c r="T943" s="224"/>
      <c r="U943" s="239"/>
      <c r="V943" s="224"/>
      <c r="W943" s="261"/>
    </row>
    <row r="944" spans="1:23" x14ac:dyDescent="0.25">
      <c r="A944" s="215"/>
      <c r="B944" s="215"/>
      <c r="C944" s="215"/>
      <c r="D944" s="215"/>
      <c r="E944" s="221"/>
      <c r="F944" s="221"/>
      <c r="G944" s="222"/>
      <c r="H944" s="221"/>
      <c r="I944" s="223"/>
      <c r="J944" s="237"/>
      <c r="K944" s="223"/>
      <c r="L944" s="236"/>
      <c r="M944" s="222"/>
      <c r="N944" s="224"/>
      <c r="O944" s="222"/>
      <c r="P944" s="224"/>
      <c r="Q944" s="222"/>
      <c r="R944" s="224"/>
      <c r="S944" s="239"/>
      <c r="T944" s="224"/>
      <c r="U944" s="239"/>
      <c r="V944" s="224"/>
      <c r="W944" s="261"/>
    </row>
    <row r="945" spans="1:23" x14ac:dyDescent="0.25">
      <c r="A945" s="215"/>
      <c r="B945" s="215"/>
      <c r="C945" s="215"/>
      <c r="D945" s="215"/>
      <c r="E945" s="221"/>
      <c r="F945" s="221"/>
      <c r="G945" s="222"/>
      <c r="H945" s="221"/>
      <c r="I945" s="223"/>
      <c r="J945" s="237"/>
      <c r="K945" s="223"/>
      <c r="L945" s="236"/>
      <c r="M945" s="222"/>
      <c r="N945" s="224"/>
      <c r="O945" s="222"/>
      <c r="P945" s="224"/>
      <c r="Q945" s="222"/>
      <c r="R945" s="224"/>
      <c r="S945" s="239"/>
      <c r="T945" s="224"/>
      <c r="U945" s="239"/>
      <c r="V945" s="224"/>
      <c r="W945" s="261"/>
    </row>
    <row r="946" spans="1:23" x14ac:dyDescent="0.25">
      <c r="A946" s="215"/>
      <c r="B946" s="215"/>
      <c r="C946" s="215"/>
      <c r="D946" s="215"/>
      <c r="E946" s="221"/>
      <c r="F946" s="221"/>
      <c r="G946" s="222"/>
      <c r="H946" s="221"/>
      <c r="I946" s="223"/>
      <c r="J946" s="237"/>
      <c r="K946" s="223"/>
      <c r="L946" s="236"/>
      <c r="M946" s="222"/>
      <c r="N946" s="224"/>
      <c r="O946" s="222"/>
      <c r="P946" s="224"/>
      <c r="Q946" s="222"/>
      <c r="R946" s="224"/>
      <c r="S946" s="239"/>
      <c r="T946" s="224"/>
      <c r="U946" s="239"/>
      <c r="V946" s="224"/>
      <c r="W946" s="261"/>
    </row>
    <row r="947" spans="1:23" x14ac:dyDescent="0.25">
      <c r="A947" s="215"/>
      <c r="B947" s="215"/>
      <c r="C947" s="215"/>
      <c r="D947" s="215"/>
      <c r="E947" s="221"/>
      <c r="F947" s="221"/>
      <c r="G947" s="222"/>
      <c r="H947" s="221"/>
      <c r="I947" s="223"/>
      <c r="J947" s="237"/>
      <c r="K947" s="223"/>
      <c r="L947" s="236"/>
      <c r="M947" s="222"/>
      <c r="N947" s="224"/>
      <c r="O947" s="222"/>
      <c r="P947" s="224"/>
      <c r="Q947" s="222"/>
      <c r="R947" s="224"/>
      <c r="S947" s="239"/>
      <c r="T947" s="224"/>
      <c r="U947" s="239"/>
      <c r="V947" s="224"/>
      <c r="W947" s="261"/>
    </row>
    <row r="948" spans="1:23" x14ac:dyDescent="0.25">
      <c r="A948" s="215"/>
      <c r="B948" s="215"/>
      <c r="C948" s="215"/>
      <c r="D948" s="215"/>
      <c r="E948" s="221"/>
      <c r="F948" s="221"/>
      <c r="G948" s="222"/>
      <c r="H948" s="221"/>
      <c r="I948" s="223"/>
      <c r="J948" s="237"/>
      <c r="K948" s="223"/>
      <c r="L948" s="236"/>
      <c r="M948" s="222"/>
      <c r="N948" s="224"/>
      <c r="O948" s="222"/>
      <c r="P948" s="224"/>
      <c r="Q948" s="222"/>
      <c r="R948" s="224"/>
      <c r="S948" s="239"/>
      <c r="T948" s="224"/>
      <c r="U948" s="239"/>
      <c r="V948" s="224"/>
      <c r="W948" s="261"/>
    </row>
    <row r="949" spans="1:23" x14ac:dyDescent="0.25">
      <c r="A949" s="215"/>
      <c r="B949" s="215"/>
      <c r="C949" s="215"/>
      <c r="D949" s="215"/>
      <c r="E949" s="221"/>
      <c r="F949" s="221"/>
      <c r="G949" s="222"/>
      <c r="H949" s="221"/>
      <c r="I949" s="223"/>
      <c r="J949" s="237"/>
      <c r="K949" s="223"/>
      <c r="L949" s="236"/>
      <c r="M949" s="222"/>
      <c r="N949" s="224"/>
      <c r="O949" s="222"/>
      <c r="P949" s="224"/>
      <c r="Q949" s="222"/>
      <c r="R949" s="224"/>
      <c r="S949" s="239"/>
      <c r="T949" s="224"/>
      <c r="U949" s="239"/>
      <c r="V949" s="224"/>
      <c r="W949" s="261"/>
    </row>
    <row r="950" spans="1:23" x14ac:dyDescent="0.25">
      <c r="A950" s="215"/>
      <c r="B950" s="215"/>
      <c r="C950" s="215"/>
      <c r="D950" s="215"/>
      <c r="E950" s="221"/>
      <c r="F950" s="221"/>
      <c r="G950" s="222"/>
      <c r="H950" s="221"/>
      <c r="I950" s="223"/>
      <c r="J950" s="237"/>
      <c r="K950" s="223"/>
      <c r="L950" s="236"/>
      <c r="M950" s="222"/>
      <c r="N950" s="224"/>
      <c r="O950" s="222"/>
      <c r="P950" s="224"/>
      <c r="Q950" s="222"/>
      <c r="R950" s="224"/>
      <c r="S950" s="239"/>
      <c r="T950" s="224"/>
      <c r="U950" s="239"/>
      <c r="V950" s="224"/>
      <c r="W950" s="261"/>
    </row>
    <row r="951" spans="1:23" x14ac:dyDescent="0.25">
      <c r="A951" s="215"/>
      <c r="B951" s="215"/>
      <c r="C951" s="215"/>
      <c r="D951" s="215"/>
      <c r="E951" s="221"/>
      <c r="F951" s="221"/>
      <c r="G951" s="222"/>
      <c r="H951" s="221"/>
      <c r="I951" s="223"/>
      <c r="J951" s="237"/>
      <c r="K951" s="223"/>
      <c r="L951" s="236"/>
      <c r="M951" s="222"/>
      <c r="N951" s="224"/>
      <c r="O951" s="222"/>
      <c r="P951" s="224"/>
      <c r="Q951" s="222"/>
      <c r="R951" s="224"/>
      <c r="S951" s="239"/>
      <c r="T951" s="224"/>
      <c r="U951" s="239"/>
      <c r="V951" s="224"/>
      <c r="W951" s="261"/>
    </row>
    <row r="952" spans="1:23" x14ac:dyDescent="0.25">
      <c r="A952" s="215"/>
      <c r="B952" s="215"/>
      <c r="C952" s="215"/>
      <c r="D952" s="215"/>
      <c r="E952" s="221"/>
      <c r="F952" s="221"/>
      <c r="G952" s="222"/>
      <c r="H952" s="221"/>
      <c r="I952" s="223"/>
      <c r="J952" s="237"/>
      <c r="K952" s="223"/>
      <c r="L952" s="236"/>
      <c r="M952" s="222"/>
      <c r="N952" s="224"/>
      <c r="O952" s="222"/>
      <c r="P952" s="224"/>
      <c r="Q952" s="222"/>
      <c r="R952" s="224"/>
      <c r="S952" s="239"/>
      <c r="T952" s="224"/>
      <c r="U952" s="239"/>
      <c r="V952" s="224"/>
      <c r="W952" s="261"/>
    </row>
    <row r="953" spans="1:23" x14ac:dyDescent="0.25">
      <c r="A953" s="215"/>
      <c r="B953" s="215"/>
      <c r="C953" s="215"/>
      <c r="D953" s="215"/>
      <c r="E953" s="221"/>
      <c r="F953" s="221"/>
      <c r="G953" s="222"/>
      <c r="H953" s="221"/>
      <c r="I953" s="223"/>
      <c r="J953" s="237"/>
      <c r="K953" s="223"/>
      <c r="L953" s="236"/>
      <c r="M953" s="222"/>
      <c r="N953" s="224"/>
      <c r="O953" s="222"/>
      <c r="P953" s="224"/>
      <c r="Q953" s="222"/>
      <c r="R953" s="224"/>
      <c r="S953" s="239"/>
      <c r="T953" s="224"/>
      <c r="U953" s="239"/>
      <c r="V953" s="224"/>
      <c r="W953" s="261"/>
    </row>
    <row r="954" spans="1:23" x14ac:dyDescent="0.25">
      <c r="A954" s="215"/>
      <c r="B954" s="215"/>
      <c r="C954" s="215"/>
      <c r="D954" s="215"/>
      <c r="E954" s="221"/>
      <c r="F954" s="221"/>
      <c r="G954" s="222"/>
      <c r="H954" s="221"/>
      <c r="I954" s="223"/>
      <c r="J954" s="237"/>
      <c r="K954" s="223"/>
      <c r="L954" s="236"/>
      <c r="M954" s="222"/>
      <c r="N954" s="224"/>
      <c r="O954" s="222"/>
      <c r="P954" s="224"/>
      <c r="Q954" s="222"/>
      <c r="R954" s="224"/>
      <c r="S954" s="239"/>
      <c r="T954" s="224"/>
      <c r="U954" s="239"/>
      <c r="V954" s="224"/>
      <c r="W954" s="261"/>
    </row>
    <row r="955" spans="1:23" x14ac:dyDescent="0.25">
      <c r="A955" s="215"/>
      <c r="B955" s="215"/>
      <c r="C955" s="215"/>
      <c r="D955" s="215"/>
      <c r="E955" s="221"/>
      <c r="F955" s="221"/>
      <c r="G955" s="222"/>
      <c r="H955" s="221"/>
      <c r="I955" s="223"/>
      <c r="J955" s="237"/>
      <c r="K955" s="223"/>
      <c r="L955" s="236"/>
      <c r="M955" s="222"/>
      <c r="N955" s="224"/>
      <c r="O955" s="222"/>
      <c r="P955" s="224"/>
      <c r="Q955" s="222"/>
      <c r="R955" s="224"/>
      <c r="S955" s="239"/>
      <c r="T955" s="224"/>
      <c r="U955" s="239"/>
      <c r="V955" s="224"/>
      <c r="W955" s="261"/>
    </row>
    <row r="956" spans="1:23" x14ac:dyDescent="0.25">
      <c r="A956" s="215"/>
      <c r="B956" s="215"/>
      <c r="C956" s="215"/>
      <c r="D956" s="215"/>
      <c r="E956" s="221"/>
      <c r="F956" s="221"/>
      <c r="G956" s="222"/>
      <c r="H956" s="221"/>
      <c r="I956" s="223"/>
      <c r="J956" s="237"/>
      <c r="K956" s="223"/>
      <c r="L956" s="236"/>
      <c r="M956" s="222"/>
      <c r="N956" s="224"/>
      <c r="O956" s="222"/>
      <c r="P956" s="224"/>
      <c r="Q956" s="222"/>
      <c r="R956" s="224"/>
      <c r="S956" s="239"/>
      <c r="T956" s="224"/>
      <c r="U956" s="239"/>
      <c r="V956" s="224"/>
      <c r="W956" s="261"/>
    </row>
    <row r="957" spans="1:23" x14ac:dyDescent="0.25">
      <c r="A957" s="215"/>
      <c r="B957" s="215"/>
      <c r="C957" s="215"/>
      <c r="D957" s="215"/>
      <c r="E957" s="221"/>
      <c r="F957" s="221"/>
      <c r="G957" s="222"/>
      <c r="H957" s="221"/>
      <c r="I957" s="223"/>
      <c r="J957" s="237"/>
      <c r="K957" s="223"/>
      <c r="L957" s="236"/>
      <c r="M957" s="222"/>
      <c r="N957" s="224"/>
      <c r="O957" s="222"/>
      <c r="P957" s="224"/>
      <c r="Q957" s="222"/>
      <c r="R957" s="224"/>
      <c r="S957" s="239"/>
      <c r="T957" s="224"/>
      <c r="U957" s="239"/>
      <c r="V957" s="224"/>
      <c r="W957" s="261"/>
    </row>
    <row r="958" spans="1:23" x14ac:dyDescent="0.25">
      <c r="A958" s="215"/>
      <c r="B958" s="215"/>
      <c r="C958" s="215"/>
      <c r="D958" s="215"/>
      <c r="E958" s="221"/>
      <c r="F958" s="221"/>
      <c r="G958" s="222"/>
      <c r="H958" s="221"/>
      <c r="I958" s="223"/>
      <c r="J958" s="237"/>
      <c r="K958" s="223"/>
      <c r="L958" s="236"/>
      <c r="M958" s="222"/>
      <c r="N958" s="224"/>
      <c r="O958" s="222"/>
      <c r="P958" s="224"/>
      <c r="Q958" s="222"/>
      <c r="R958" s="224"/>
      <c r="S958" s="239"/>
      <c r="T958" s="224"/>
      <c r="U958" s="239"/>
      <c r="V958" s="224"/>
      <c r="W958" s="261"/>
    </row>
    <row r="959" spans="1:23" x14ac:dyDescent="0.25">
      <c r="A959" s="215"/>
      <c r="B959" s="215"/>
      <c r="C959" s="215"/>
      <c r="D959" s="215"/>
      <c r="E959" s="221"/>
      <c r="F959" s="221"/>
      <c r="G959" s="222"/>
      <c r="H959" s="221"/>
      <c r="I959" s="223"/>
      <c r="J959" s="237"/>
      <c r="K959" s="223"/>
      <c r="L959" s="236"/>
      <c r="M959" s="222"/>
      <c r="N959" s="224"/>
      <c r="O959" s="222"/>
      <c r="P959" s="224"/>
      <c r="Q959" s="222"/>
      <c r="R959" s="224"/>
      <c r="S959" s="239"/>
      <c r="T959" s="224"/>
      <c r="U959" s="239"/>
      <c r="V959" s="224"/>
      <c r="W959" s="261"/>
    </row>
    <row r="960" spans="1:23" x14ac:dyDescent="0.25">
      <c r="A960" s="215"/>
      <c r="B960" s="215"/>
      <c r="C960" s="215"/>
      <c r="D960" s="215"/>
      <c r="E960" s="221"/>
      <c r="F960" s="221"/>
      <c r="G960" s="222"/>
      <c r="H960" s="221"/>
      <c r="I960" s="223"/>
      <c r="J960" s="237"/>
      <c r="K960" s="223"/>
      <c r="L960" s="236"/>
      <c r="M960" s="222"/>
      <c r="N960" s="224"/>
      <c r="O960" s="222"/>
      <c r="P960" s="224"/>
      <c r="Q960" s="222"/>
      <c r="R960" s="224"/>
      <c r="S960" s="239"/>
      <c r="T960" s="224"/>
      <c r="U960" s="239"/>
      <c r="V960" s="224"/>
      <c r="W960" s="261"/>
    </row>
    <row r="961" spans="1:23" x14ac:dyDescent="0.25">
      <c r="A961" s="215"/>
      <c r="B961" s="215"/>
      <c r="C961" s="215"/>
      <c r="D961" s="215"/>
      <c r="E961" s="221"/>
      <c r="F961" s="221"/>
      <c r="G961" s="222"/>
      <c r="H961" s="221"/>
      <c r="I961" s="223"/>
      <c r="J961" s="237"/>
      <c r="K961" s="223"/>
      <c r="L961" s="236"/>
      <c r="M961" s="222"/>
      <c r="N961" s="224"/>
      <c r="O961" s="222"/>
      <c r="P961" s="224"/>
      <c r="Q961" s="222"/>
      <c r="R961" s="224"/>
      <c r="S961" s="239"/>
      <c r="T961" s="224"/>
      <c r="U961" s="239"/>
      <c r="V961" s="224"/>
      <c r="W961" s="261"/>
    </row>
    <row r="962" spans="1:23" x14ac:dyDescent="0.25">
      <c r="A962" s="215"/>
      <c r="B962" s="215"/>
      <c r="C962" s="215"/>
      <c r="D962" s="215"/>
      <c r="E962" s="221"/>
      <c r="F962" s="221"/>
      <c r="G962" s="222"/>
      <c r="H962" s="221"/>
      <c r="I962" s="223"/>
      <c r="J962" s="237"/>
      <c r="K962" s="223"/>
      <c r="L962" s="236"/>
      <c r="M962" s="222"/>
      <c r="N962" s="224"/>
      <c r="O962" s="222"/>
      <c r="P962" s="224"/>
      <c r="Q962" s="222"/>
      <c r="R962" s="224"/>
      <c r="S962" s="239"/>
      <c r="T962" s="224"/>
      <c r="U962" s="239"/>
      <c r="V962" s="224"/>
      <c r="W962" s="261"/>
    </row>
    <row r="963" spans="1:23" x14ac:dyDescent="0.25">
      <c r="A963" s="215"/>
      <c r="B963" s="215"/>
      <c r="C963" s="215"/>
      <c r="D963" s="215"/>
      <c r="E963" s="221"/>
      <c r="F963" s="221"/>
      <c r="G963" s="222"/>
      <c r="H963" s="221"/>
      <c r="I963" s="223"/>
      <c r="J963" s="237"/>
      <c r="K963" s="223"/>
      <c r="L963" s="236"/>
      <c r="M963" s="222"/>
      <c r="N963" s="224"/>
      <c r="O963" s="222"/>
      <c r="P963" s="224"/>
      <c r="Q963" s="222"/>
      <c r="R963" s="224"/>
      <c r="S963" s="239"/>
      <c r="T963" s="224"/>
      <c r="U963" s="239"/>
      <c r="V963" s="224"/>
      <c r="W963" s="261"/>
    </row>
    <row r="964" spans="1:23" x14ac:dyDescent="0.25">
      <c r="A964" s="215"/>
      <c r="B964" s="215"/>
      <c r="C964" s="215"/>
      <c r="D964" s="215"/>
      <c r="E964" s="221"/>
      <c r="F964" s="221"/>
      <c r="G964" s="222"/>
      <c r="H964" s="221"/>
      <c r="I964" s="223"/>
      <c r="J964" s="237"/>
      <c r="K964" s="223"/>
      <c r="L964" s="236"/>
      <c r="M964" s="222"/>
      <c r="N964" s="224"/>
      <c r="O964" s="222"/>
      <c r="P964" s="224"/>
      <c r="Q964" s="222"/>
      <c r="R964" s="224"/>
      <c r="S964" s="239"/>
      <c r="T964" s="224"/>
      <c r="U964" s="239"/>
      <c r="V964" s="224"/>
      <c r="W964" s="261"/>
    </row>
    <row r="965" spans="1:23" x14ac:dyDescent="0.25">
      <c r="A965" s="215"/>
      <c r="B965" s="215"/>
      <c r="C965" s="215"/>
      <c r="D965" s="215"/>
      <c r="E965" s="221"/>
      <c r="F965" s="221"/>
      <c r="G965" s="222"/>
      <c r="H965" s="221"/>
      <c r="I965" s="223"/>
      <c r="J965" s="237"/>
      <c r="K965" s="223"/>
      <c r="L965" s="236"/>
      <c r="M965" s="222"/>
      <c r="N965" s="224"/>
      <c r="O965" s="222"/>
      <c r="P965" s="224"/>
      <c r="Q965" s="222"/>
      <c r="R965" s="224"/>
      <c r="S965" s="239"/>
      <c r="T965" s="224"/>
      <c r="U965" s="239"/>
      <c r="V965" s="224"/>
      <c r="W965" s="261"/>
    </row>
    <row r="966" spans="1:23" x14ac:dyDescent="0.25">
      <c r="A966" s="215"/>
      <c r="B966" s="215"/>
      <c r="C966" s="215"/>
      <c r="D966" s="215"/>
      <c r="E966" s="221"/>
      <c r="F966" s="221"/>
      <c r="G966" s="222"/>
      <c r="H966" s="221"/>
      <c r="I966" s="223"/>
      <c r="J966" s="237"/>
      <c r="K966" s="223"/>
      <c r="L966" s="236"/>
      <c r="M966" s="222"/>
      <c r="N966" s="224"/>
      <c r="O966" s="222"/>
      <c r="P966" s="224"/>
      <c r="Q966" s="222"/>
      <c r="R966" s="224"/>
      <c r="S966" s="239"/>
      <c r="T966" s="224"/>
      <c r="U966" s="239"/>
      <c r="V966" s="224"/>
      <c r="W966" s="261"/>
    </row>
    <row r="967" spans="1:23" x14ac:dyDescent="0.25">
      <c r="A967" s="215"/>
      <c r="B967" s="215"/>
      <c r="C967" s="215"/>
      <c r="D967" s="215"/>
      <c r="E967" s="221"/>
      <c r="F967" s="221"/>
      <c r="G967" s="222"/>
      <c r="H967" s="221"/>
      <c r="I967" s="223"/>
      <c r="J967" s="237"/>
      <c r="K967" s="223"/>
      <c r="L967" s="236"/>
      <c r="M967" s="222"/>
      <c r="N967" s="224"/>
      <c r="O967" s="222"/>
      <c r="P967" s="224"/>
      <c r="Q967" s="222"/>
      <c r="R967" s="224"/>
      <c r="S967" s="239"/>
      <c r="T967" s="224"/>
      <c r="U967" s="239"/>
      <c r="V967" s="224"/>
      <c r="W967" s="261"/>
    </row>
    <row r="968" spans="1:23" x14ac:dyDescent="0.25">
      <c r="A968" s="215"/>
      <c r="B968" s="215"/>
      <c r="C968" s="215"/>
      <c r="D968" s="215"/>
      <c r="E968" s="221"/>
      <c r="F968" s="221"/>
      <c r="G968" s="222"/>
      <c r="H968" s="221"/>
      <c r="I968" s="223"/>
      <c r="J968" s="237"/>
      <c r="K968" s="223"/>
      <c r="L968" s="236"/>
      <c r="M968" s="222"/>
      <c r="N968" s="224"/>
      <c r="O968" s="222"/>
      <c r="P968" s="224"/>
      <c r="Q968" s="222"/>
      <c r="R968" s="224"/>
      <c r="S968" s="239"/>
      <c r="T968" s="224"/>
      <c r="U968" s="239"/>
      <c r="V968" s="224"/>
      <c r="W968" s="261"/>
    </row>
    <row r="969" spans="1:23" x14ac:dyDescent="0.25">
      <c r="A969" s="215"/>
      <c r="B969" s="215"/>
      <c r="C969" s="215"/>
      <c r="D969" s="215"/>
      <c r="E969" s="221"/>
      <c r="F969" s="221"/>
      <c r="G969" s="222"/>
      <c r="H969" s="221"/>
      <c r="I969" s="223"/>
      <c r="J969" s="237"/>
      <c r="K969" s="223"/>
      <c r="L969" s="236"/>
      <c r="M969" s="222"/>
      <c r="N969" s="224"/>
      <c r="O969" s="222"/>
      <c r="P969" s="224"/>
      <c r="Q969" s="222"/>
      <c r="R969" s="224"/>
      <c r="S969" s="239"/>
      <c r="T969" s="224"/>
      <c r="U969" s="239"/>
      <c r="V969" s="224"/>
      <c r="W969" s="261"/>
    </row>
    <row r="970" spans="1:23" x14ac:dyDescent="0.25">
      <c r="A970" s="215"/>
      <c r="B970" s="215"/>
      <c r="C970" s="215"/>
      <c r="D970" s="215"/>
      <c r="E970" s="221"/>
      <c r="F970" s="221"/>
      <c r="G970" s="222"/>
      <c r="H970" s="221"/>
      <c r="I970" s="223"/>
      <c r="J970" s="237"/>
      <c r="K970" s="223"/>
      <c r="L970" s="236"/>
      <c r="M970" s="222"/>
      <c r="N970" s="224"/>
      <c r="O970" s="222"/>
      <c r="P970" s="224"/>
      <c r="Q970" s="222"/>
      <c r="R970" s="224"/>
      <c r="S970" s="239"/>
      <c r="T970" s="224"/>
      <c r="U970" s="239"/>
      <c r="V970" s="224"/>
      <c r="W970" s="261"/>
    </row>
    <row r="971" spans="1:23" x14ac:dyDescent="0.25">
      <c r="A971" s="215"/>
      <c r="B971" s="215"/>
      <c r="C971" s="215"/>
      <c r="D971" s="215"/>
      <c r="E971" s="221"/>
      <c r="F971" s="221"/>
      <c r="G971" s="222"/>
      <c r="H971" s="221"/>
      <c r="I971" s="223"/>
      <c r="J971" s="237"/>
      <c r="K971" s="223"/>
      <c r="L971" s="236"/>
      <c r="M971" s="222"/>
      <c r="N971" s="224"/>
      <c r="O971" s="222"/>
      <c r="P971" s="224"/>
      <c r="Q971" s="222"/>
      <c r="R971" s="224"/>
      <c r="S971" s="239"/>
      <c r="T971" s="224"/>
      <c r="U971" s="239"/>
      <c r="V971" s="224"/>
      <c r="W971" s="261"/>
    </row>
    <row r="972" spans="1:23" x14ac:dyDescent="0.25">
      <c r="A972" s="215"/>
      <c r="B972" s="215"/>
      <c r="C972" s="215"/>
      <c r="D972" s="215"/>
      <c r="E972" s="221"/>
      <c r="F972" s="221"/>
      <c r="G972" s="222"/>
      <c r="H972" s="221"/>
      <c r="I972" s="223"/>
      <c r="J972" s="237"/>
      <c r="K972" s="223"/>
      <c r="L972" s="236"/>
      <c r="M972" s="222"/>
      <c r="N972" s="224"/>
      <c r="O972" s="222"/>
      <c r="P972" s="224"/>
      <c r="Q972" s="222"/>
      <c r="R972" s="224"/>
      <c r="S972" s="239"/>
      <c r="T972" s="224"/>
      <c r="U972" s="239"/>
      <c r="V972" s="224"/>
      <c r="W972" s="261"/>
    </row>
    <row r="973" spans="1:23" x14ac:dyDescent="0.25">
      <c r="A973" s="215"/>
      <c r="B973" s="215"/>
      <c r="C973" s="215"/>
      <c r="D973" s="215"/>
      <c r="E973" s="221"/>
      <c r="F973" s="221"/>
      <c r="G973" s="222"/>
      <c r="H973" s="221"/>
      <c r="I973" s="223"/>
      <c r="J973" s="237"/>
      <c r="K973" s="223"/>
      <c r="L973" s="236"/>
      <c r="M973" s="222"/>
      <c r="N973" s="224"/>
      <c r="O973" s="222"/>
      <c r="P973" s="224"/>
      <c r="Q973" s="222"/>
      <c r="R973" s="224"/>
      <c r="S973" s="239"/>
      <c r="T973" s="224"/>
      <c r="U973" s="239"/>
      <c r="V973" s="224"/>
      <c r="W973" s="261"/>
    </row>
    <row r="974" spans="1:23" x14ac:dyDescent="0.25">
      <c r="A974" s="215"/>
      <c r="B974" s="215"/>
      <c r="C974" s="215"/>
      <c r="D974" s="215"/>
      <c r="E974" s="221"/>
      <c r="F974" s="221"/>
      <c r="G974" s="222"/>
      <c r="H974" s="221"/>
      <c r="I974" s="223"/>
      <c r="J974" s="237"/>
      <c r="K974" s="223"/>
      <c r="L974" s="236"/>
      <c r="M974" s="222"/>
      <c r="N974" s="224"/>
      <c r="O974" s="222"/>
      <c r="P974" s="224"/>
      <c r="Q974" s="222"/>
      <c r="R974" s="224"/>
      <c r="S974" s="239"/>
      <c r="T974" s="224"/>
      <c r="U974" s="239"/>
      <c r="V974" s="224"/>
      <c r="W974" s="261"/>
    </row>
    <row r="975" spans="1:23" x14ac:dyDescent="0.25">
      <c r="A975" s="215"/>
      <c r="B975" s="215"/>
      <c r="C975" s="215"/>
      <c r="D975" s="215"/>
      <c r="E975" s="221"/>
      <c r="F975" s="221"/>
      <c r="G975" s="222"/>
      <c r="H975" s="221"/>
      <c r="I975" s="223"/>
      <c r="J975" s="237"/>
      <c r="K975" s="223"/>
      <c r="L975" s="236"/>
      <c r="M975" s="222"/>
      <c r="N975" s="224"/>
      <c r="O975" s="222"/>
      <c r="P975" s="224"/>
      <c r="Q975" s="222"/>
      <c r="R975" s="224"/>
      <c r="S975" s="239"/>
      <c r="T975" s="224"/>
      <c r="U975" s="239"/>
      <c r="V975" s="224"/>
      <c r="W975" s="261"/>
    </row>
    <row r="976" spans="1:23" x14ac:dyDescent="0.25">
      <c r="A976" s="215"/>
      <c r="B976" s="215"/>
      <c r="C976" s="215"/>
      <c r="D976" s="215"/>
      <c r="E976" s="221"/>
      <c r="F976" s="221"/>
      <c r="G976" s="222"/>
      <c r="H976" s="221"/>
      <c r="I976" s="223"/>
      <c r="J976" s="237"/>
      <c r="K976" s="223"/>
      <c r="L976" s="236"/>
      <c r="M976" s="222"/>
      <c r="N976" s="224"/>
      <c r="O976" s="222"/>
      <c r="P976" s="224"/>
      <c r="Q976" s="222"/>
      <c r="R976" s="224"/>
      <c r="S976" s="239"/>
      <c r="T976" s="224"/>
      <c r="U976" s="239"/>
      <c r="V976" s="224"/>
      <c r="W976" s="261"/>
    </row>
    <row r="977" spans="1:23" x14ac:dyDescent="0.25">
      <c r="A977" s="215"/>
      <c r="B977" s="215"/>
      <c r="C977" s="215"/>
      <c r="D977" s="215"/>
      <c r="E977" s="221"/>
      <c r="F977" s="221"/>
      <c r="G977" s="222"/>
      <c r="H977" s="221"/>
      <c r="I977" s="223"/>
      <c r="J977" s="237"/>
      <c r="K977" s="223"/>
      <c r="L977" s="236"/>
      <c r="M977" s="222"/>
      <c r="N977" s="224"/>
      <c r="O977" s="222"/>
      <c r="P977" s="224"/>
      <c r="Q977" s="222"/>
      <c r="R977" s="224"/>
      <c r="S977" s="239"/>
      <c r="T977" s="224"/>
      <c r="U977" s="239"/>
      <c r="V977" s="224"/>
      <c r="W977" s="261"/>
    </row>
    <row r="978" spans="1:23" x14ac:dyDescent="0.25">
      <c r="A978" s="215"/>
      <c r="B978" s="215"/>
      <c r="C978" s="215"/>
      <c r="D978" s="215"/>
      <c r="E978" s="221"/>
      <c r="F978" s="221"/>
      <c r="G978" s="222"/>
      <c r="H978" s="221"/>
      <c r="I978" s="223"/>
      <c r="J978" s="237"/>
      <c r="K978" s="223"/>
      <c r="L978" s="236"/>
      <c r="M978" s="222"/>
      <c r="N978" s="224"/>
      <c r="O978" s="222"/>
      <c r="P978" s="224"/>
      <c r="Q978" s="222"/>
      <c r="R978" s="224"/>
      <c r="S978" s="239"/>
      <c r="T978" s="224"/>
      <c r="U978" s="239"/>
      <c r="V978" s="224"/>
      <c r="W978" s="261"/>
    </row>
    <row r="979" spans="1:23" x14ac:dyDescent="0.25">
      <c r="A979" s="215"/>
      <c r="B979" s="215"/>
      <c r="C979" s="215"/>
      <c r="D979" s="215"/>
      <c r="E979" s="221"/>
      <c r="F979" s="221"/>
      <c r="G979" s="222"/>
      <c r="H979" s="221"/>
      <c r="I979" s="223"/>
      <c r="J979" s="237"/>
      <c r="K979" s="223"/>
      <c r="L979" s="236"/>
      <c r="M979" s="222"/>
      <c r="N979" s="224"/>
      <c r="O979" s="222"/>
      <c r="P979" s="224"/>
      <c r="Q979" s="222"/>
      <c r="R979" s="224"/>
      <c r="S979" s="239"/>
      <c r="T979" s="224"/>
      <c r="U979" s="239"/>
      <c r="V979" s="224"/>
      <c r="W979" s="261"/>
    </row>
    <row r="980" spans="1:23" x14ac:dyDescent="0.25">
      <c r="A980" s="215"/>
      <c r="B980" s="215"/>
      <c r="C980" s="215"/>
      <c r="D980" s="215"/>
      <c r="E980" s="221"/>
      <c r="F980" s="221"/>
      <c r="G980" s="222"/>
      <c r="H980" s="221"/>
      <c r="I980" s="223"/>
      <c r="J980" s="237"/>
      <c r="K980" s="223"/>
      <c r="L980" s="236"/>
      <c r="M980" s="222"/>
      <c r="N980" s="224"/>
      <c r="O980" s="222"/>
      <c r="P980" s="224"/>
      <c r="Q980" s="222"/>
      <c r="R980" s="224"/>
      <c r="S980" s="239"/>
      <c r="T980" s="224"/>
      <c r="U980" s="239"/>
      <c r="V980" s="224"/>
      <c r="W980" s="261"/>
    </row>
    <row r="981" spans="1:23" x14ac:dyDescent="0.25">
      <c r="A981" s="215"/>
      <c r="B981" s="215"/>
      <c r="C981" s="215"/>
      <c r="D981" s="215"/>
      <c r="E981" s="221"/>
      <c r="F981" s="221"/>
      <c r="G981" s="222"/>
      <c r="H981" s="221"/>
      <c r="I981" s="223"/>
      <c r="J981" s="237"/>
      <c r="K981" s="223"/>
      <c r="L981" s="236"/>
      <c r="M981" s="222"/>
      <c r="N981" s="224"/>
      <c r="O981" s="222"/>
      <c r="P981" s="224"/>
      <c r="Q981" s="222"/>
      <c r="R981" s="224"/>
      <c r="S981" s="239"/>
      <c r="T981" s="224"/>
      <c r="U981" s="239"/>
      <c r="V981" s="224"/>
      <c r="W981" s="261"/>
    </row>
    <row r="982" spans="1:23" x14ac:dyDescent="0.25">
      <c r="A982" s="215"/>
      <c r="B982" s="215"/>
      <c r="C982" s="215"/>
      <c r="D982" s="215"/>
      <c r="E982" s="221"/>
      <c r="F982" s="221"/>
      <c r="G982" s="222"/>
      <c r="H982" s="221"/>
      <c r="I982" s="223"/>
      <c r="J982" s="237"/>
      <c r="K982" s="223"/>
      <c r="L982" s="236"/>
      <c r="M982" s="222"/>
      <c r="N982" s="224"/>
      <c r="O982" s="222"/>
      <c r="P982" s="224"/>
      <c r="Q982" s="222"/>
      <c r="R982" s="224"/>
      <c r="S982" s="239"/>
      <c r="T982" s="224"/>
      <c r="U982" s="239"/>
      <c r="V982" s="224"/>
      <c r="W982" s="261"/>
    </row>
    <row r="983" spans="1:23" x14ac:dyDescent="0.25">
      <c r="A983" s="215"/>
      <c r="B983" s="215"/>
      <c r="C983" s="215"/>
      <c r="D983" s="215"/>
      <c r="E983" s="221"/>
      <c r="F983" s="221"/>
      <c r="G983" s="222"/>
      <c r="H983" s="221"/>
      <c r="I983" s="223"/>
      <c r="J983" s="237"/>
      <c r="K983" s="223"/>
      <c r="L983" s="236"/>
      <c r="M983" s="222"/>
      <c r="N983" s="224"/>
      <c r="O983" s="222"/>
      <c r="P983" s="224"/>
      <c r="Q983" s="222"/>
      <c r="R983" s="224"/>
      <c r="S983" s="239"/>
      <c r="T983" s="224"/>
      <c r="U983" s="239"/>
      <c r="V983" s="224"/>
      <c r="W983" s="261"/>
    </row>
    <row r="984" spans="1:23" x14ac:dyDescent="0.25">
      <c r="A984" s="215"/>
      <c r="B984" s="215"/>
      <c r="C984" s="215"/>
      <c r="D984" s="215"/>
      <c r="E984" s="221"/>
      <c r="F984" s="221"/>
      <c r="G984" s="222"/>
      <c r="H984" s="221"/>
      <c r="I984" s="223"/>
      <c r="J984" s="237"/>
      <c r="K984" s="223"/>
      <c r="L984" s="236"/>
      <c r="M984" s="222"/>
      <c r="N984" s="224"/>
      <c r="O984" s="222"/>
      <c r="P984" s="224"/>
      <c r="Q984" s="222"/>
      <c r="R984" s="224"/>
      <c r="S984" s="239"/>
      <c r="T984" s="224"/>
      <c r="U984" s="239"/>
      <c r="V984" s="224"/>
      <c r="W984" s="261"/>
    </row>
    <row r="985" spans="1:23" x14ac:dyDescent="0.25">
      <c r="A985" s="215"/>
      <c r="B985" s="215"/>
      <c r="C985" s="215"/>
      <c r="D985" s="215"/>
      <c r="E985" s="221"/>
      <c r="F985" s="221"/>
      <c r="G985" s="222"/>
      <c r="H985" s="221"/>
      <c r="I985" s="223"/>
      <c r="J985" s="237"/>
      <c r="K985" s="223"/>
      <c r="L985" s="236"/>
      <c r="M985" s="222"/>
      <c r="N985" s="224"/>
      <c r="O985" s="222"/>
      <c r="P985" s="224"/>
      <c r="Q985" s="222"/>
      <c r="R985" s="224"/>
      <c r="S985" s="239"/>
      <c r="T985" s="224"/>
      <c r="U985" s="239"/>
      <c r="V985" s="224"/>
      <c r="W985" s="261"/>
    </row>
    <row r="986" spans="1:23" x14ac:dyDescent="0.25">
      <c r="A986" s="215"/>
      <c r="B986" s="215"/>
      <c r="C986" s="215"/>
      <c r="D986" s="215"/>
      <c r="E986" s="221"/>
      <c r="F986" s="221"/>
      <c r="G986" s="222"/>
      <c r="H986" s="221"/>
      <c r="I986" s="223"/>
      <c r="J986" s="237"/>
      <c r="K986" s="223"/>
      <c r="L986" s="236"/>
      <c r="M986" s="222"/>
      <c r="N986" s="224"/>
      <c r="O986" s="222"/>
      <c r="P986" s="224"/>
      <c r="Q986" s="222"/>
      <c r="R986" s="224"/>
      <c r="S986" s="239"/>
      <c r="T986" s="224"/>
      <c r="U986" s="239"/>
      <c r="V986" s="224"/>
      <c r="W986" s="261"/>
    </row>
    <row r="987" spans="1:23" x14ac:dyDescent="0.25">
      <c r="A987" s="215"/>
      <c r="B987" s="215"/>
      <c r="C987" s="215"/>
      <c r="D987" s="215"/>
      <c r="E987" s="221"/>
      <c r="F987" s="221"/>
      <c r="G987" s="222"/>
      <c r="H987" s="221"/>
      <c r="I987" s="223"/>
      <c r="J987" s="237"/>
      <c r="K987" s="223"/>
      <c r="L987" s="236"/>
      <c r="M987" s="222"/>
      <c r="N987" s="224"/>
      <c r="O987" s="222"/>
      <c r="P987" s="224"/>
      <c r="Q987" s="222"/>
      <c r="R987" s="224"/>
      <c r="S987" s="239"/>
      <c r="T987" s="224"/>
      <c r="U987" s="239"/>
      <c r="V987" s="224"/>
      <c r="W987" s="261"/>
    </row>
    <row r="988" spans="1:23" x14ac:dyDescent="0.25">
      <c r="A988" s="215"/>
      <c r="B988" s="215"/>
      <c r="C988" s="215"/>
      <c r="D988" s="215"/>
      <c r="E988" s="221"/>
      <c r="F988" s="221"/>
      <c r="G988" s="222"/>
      <c r="H988" s="221"/>
      <c r="I988" s="223"/>
      <c r="J988" s="237"/>
      <c r="K988" s="223"/>
      <c r="L988" s="236"/>
      <c r="M988" s="222"/>
      <c r="N988" s="224"/>
      <c r="O988" s="222"/>
      <c r="P988" s="224"/>
      <c r="Q988" s="222"/>
      <c r="R988" s="224"/>
      <c r="S988" s="239"/>
      <c r="T988" s="224"/>
      <c r="U988" s="239"/>
      <c r="V988" s="224"/>
      <c r="W988" s="261"/>
    </row>
    <row r="989" spans="1:23" x14ac:dyDescent="0.25">
      <c r="A989" s="215"/>
      <c r="B989" s="215"/>
      <c r="C989" s="215"/>
      <c r="D989" s="215"/>
      <c r="E989" s="221"/>
      <c r="F989" s="221"/>
      <c r="G989" s="222"/>
      <c r="H989" s="221"/>
      <c r="I989" s="223"/>
      <c r="J989" s="237"/>
      <c r="K989" s="223"/>
      <c r="L989" s="236"/>
      <c r="M989" s="222"/>
      <c r="N989" s="224"/>
      <c r="O989" s="222"/>
      <c r="P989" s="224"/>
      <c r="Q989" s="222"/>
      <c r="R989" s="224"/>
      <c r="S989" s="239"/>
      <c r="T989" s="224"/>
      <c r="U989" s="239"/>
      <c r="V989" s="224"/>
      <c r="W989" s="261"/>
    </row>
    <row r="990" spans="1:23" x14ac:dyDescent="0.25">
      <c r="A990" s="215"/>
      <c r="B990" s="215"/>
      <c r="C990" s="215"/>
      <c r="D990" s="215"/>
      <c r="E990" s="221"/>
      <c r="F990" s="221"/>
      <c r="G990" s="222"/>
      <c r="H990" s="221"/>
      <c r="I990" s="223"/>
      <c r="J990" s="237"/>
      <c r="K990" s="223"/>
      <c r="L990" s="236"/>
      <c r="M990" s="222"/>
      <c r="N990" s="224"/>
      <c r="O990" s="222"/>
      <c r="P990" s="224"/>
      <c r="Q990" s="222"/>
      <c r="R990" s="224"/>
      <c r="S990" s="239"/>
      <c r="T990" s="224"/>
      <c r="U990" s="239"/>
      <c r="V990" s="224"/>
      <c r="W990" s="261"/>
    </row>
    <row r="991" spans="1:23" x14ac:dyDescent="0.25">
      <c r="A991" s="215"/>
      <c r="B991" s="215"/>
      <c r="C991" s="215"/>
      <c r="D991" s="215"/>
      <c r="E991" s="221"/>
      <c r="F991" s="221"/>
      <c r="G991" s="222"/>
      <c r="H991" s="221"/>
      <c r="I991" s="223"/>
      <c r="J991" s="237"/>
      <c r="K991" s="223"/>
      <c r="L991" s="236"/>
      <c r="M991" s="222"/>
      <c r="N991" s="224"/>
      <c r="O991" s="222"/>
      <c r="P991" s="224"/>
      <c r="Q991" s="222"/>
      <c r="R991" s="224"/>
      <c r="S991" s="239"/>
      <c r="T991" s="224"/>
      <c r="U991" s="239"/>
      <c r="V991" s="224"/>
      <c r="W991" s="261"/>
    </row>
    <row r="992" spans="1:23" x14ac:dyDescent="0.25">
      <c r="A992" s="215"/>
      <c r="B992" s="215"/>
      <c r="C992" s="215"/>
      <c r="D992" s="215"/>
      <c r="E992" s="221"/>
      <c r="F992" s="221"/>
      <c r="G992" s="222"/>
      <c r="H992" s="221"/>
      <c r="I992" s="223"/>
      <c r="J992" s="237"/>
      <c r="K992" s="223"/>
      <c r="L992" s="236"/>
      <c r="M992" s="222"/>
      <c r="N992" s="224"/>
      <c r="O992" s="222"/>
      <c r="P992" s="224"/>
      <c r="Q992" s="222"/>
      <c r="R992" s="224"/>
      <c r="S992" s="239"/>
      <c r="T992" s="224"/>
      <c r="U992" s="239"/>
      <c r="V992" s="224"/>
      <c r="W992" s="261"/>
    </row>
    <row r="993" spans="1:23" x14ac:dyDescent="0.25">
      <c r="A993" s="215"/>
      <c r="B993" s="215"/>
      <c r="C993" s="215"/>
      <c r="D993" s="215"/>
      <c r="E993" s="221"/>
      <c r="F993" s="221"/>
      <c r="G993" s="222"/>
      <c r="H993" s="221"/>
      <c r="I993" s="223"/>
      <c r="J993" s="237"/>
      <c r="K993" s="223"/>
      <c r="L993" s="236"/>
      <c r="M993" s="222"/>
      <c r="N993" s="224"/>
      <c r="O993" s="222"/>
      <c r="P993" s="224"/>
      <c r="Q993" s="222"/>
      <c r="R993" s="224"/>
      <c r="S993" s="239"/>
      <c r="T993" s="224"/>
      <c r="U993" s="239"/>
      <c r="V993" s="224"/>
      <c r="W993" s="261"/>
    </row>
    <row r="994" spans="1:23" x14ac:dyDescent="0.25">
      <c r="A994" s="215"/>
      <c r="B994" s="215"/>
      <c r="C994" s="215"/>
      <c r="D994" s="215"/>
      <c r="E994" s="221"/>
      <c r="F994" s="221"/>
      <c r="G994" s="222"/>
      <c r="H994" s="221"/>
      <c r="I994" s="223"/>
      <c r="J994" s="237"/>
      <c r="K994" s="223"/>
      <c r="L994" s="236"/>
      <c r="M994" s="222"/>
      <c r="N994" s="224"/>
      <c r="O994" s="222"/>
      <c r="P994" s="224"/>
      <c r="Q994" s="222"/>
      <c r="R994" s="224"/>
      <c r="S994" s="239"/>
      <c r="T994" s="224"/>
      <c r="U994" s="239"/>
      <c r="V994" s="224"/>
      <c r="W994" s="261"/>
    </row>
    <row r="995" spans="1:23" x14ac:dyDescent="0.25">
      <c r="A995" s="215"/>
      <c r="B995" s="215"/>
      <c r="C995" s="215"/>
      <c r="D995" s="215"/>
      <c r="E995" s="221"/>
      <c r="F995" s="221"/>
      <c r="G995" s="222"/>
      <c r="H995" s="221"/>
      <c r="I995" s="223"/>
      <c r="J995" s="237"/>
      <c r="K995" s="223"/>
      <c r="L995" s="236"/>
      <c r="M995" s="222"/>
      <c r="N995" s="224"/>
      <c r="O995" s="222"/>
      <c r="P995" s="224"/>
      <c r="Q995" s="222"/>
      <c r="R995" s="224"/>
      <c r="S995" s="239"/>
      <c r="T995" s="224"/>
      <c r="U995" s="239"/>
      <c r="V995" s="224"/>
      <c r="W995" s="261"/>
    </row>
    <row r="996" spans="1:23" x14ac:dyDescent="0.25">
      <c r="A996" s="215"/>
      <c r="B996" s="215"/>
      <c r="C996" s="215"/>
      <c r="D996" s="215"/>
      <c r="E996" s="221"/>
      <c r="F996" s="221"/>
      <c r="G996" s="222"/>
      <c r="H996" s="221"/>
      <c r="I996" s="223"/>
      <c r="J996" s="237"/>
      <c r="K996" s="223"/>
      <c r="L996" s="236"/>
      <c r="M996" s="222"/>
      <c r="N996" s="224"/>
      <c r="O996" s="222"/>
      <c r="P996" s="224"/>
      <c r="Q996" s="222"/>
      <c r="R996" s="224"/>
      <c r="S996" s="239"/>
      <c r="T996" s="224"/>
      <c r="U996" s="239"/>
      <c r="V996" s="224"/>
      <c r="W996" s="261"/>
    </row>
    <row r="997" spans="1:23" x14ac:dyDescent="0.25">
      <c r="A997" s="215"/>
      <c r="B997" s="215"/>
      <c r="C997" s="215"/>
      <c r="D997" s="215"/>
      <c r="E997" s="221"/>
      <c r="F997" s="221"/>
      <c r="G997" s="222"/>
      <c r="H997" s="221"/>
      <c r="I997" s="223"/>
      <c r="J997" s="237"/>
      <c r="K997" s="223"/>
      <c r="L997" s="236"/>
      <c r="M997" s="222"/>
      <c r="N997" s="224"/>
      <c r="O997" s="222"/>
      <c r="P997" s="224"/>
      <c r="Q997" s="222"/>
      <c r="R997" s="224"/>
      <c r="S997" s="239"/>
      <c r="T997" s="224"/>
      <c r="U997" s="239"/>
      <c r="V997" s="224"/>
      <c r="W997" s="261"/>
    </row>
    <row r="998" spans="1:23" x14ac:dyDescent="0.25">
      <c r="A998" s="215"/>
      <c r="B998" s="215"/>
      <c r="C998" s="215"/>
      <c r="D998" s="215"/>
      <c r="E998" s="221"/>
      <c r="F998" s="221"/>
      <c r="G998" s="222"/>
      <c r="H998" s="221"/>
      <c r="I998" s="223"/>
      <c r="J998" s="237"/>
      <c r="K998" s="223"/>
      <c r="L998" s="236"/>
      <c r="M998" s="222"/>
      <c r="N998" s="224"/>
      <c r="O998" s="222"/>
      <c r="P998" s="224"/>
      <c r="Q998" s="222"/>
      <c r="R998" s="224"/>
      <c r="S998" s="239"/>
      <c r="T998" s="224"/>
      <c r="U998" s="239"/>
      <c r="V998" s="224"/>
      <c r="W998" s="261"/>
    </row>
    <row r="999" spans="1:23" x14ac:dyDescent="0.25">
      <c r="A999" s="215"/>
      <c r="B999" s="215"/>
      <c r="C999" s="215"/>
      <c r="D999" s="215"/>
      <c r="E999" s="221"/>
      <c r="F999" s="221"/>
      <c r="G999" s="222"/>
      <c r="H999" s="221"/>
      <c r="I999" s="223"/>
      <c r="J999" s="237"/>
      <c r="K999" s="223"/>
      <c r="L999" s="236"/>
      <c r="M999" s="222"/>
      <c r="N999" s="224"/>
      <c r="O999" s="222"/>
      <c r="P999" s="224"/>
      <c r="Q999" s="222"/>
      <c r="R999" s="224"/>
      <c r="S999" s="239"/>
      <c r="T999" s="224"/>
      <c r="U999" s="239"/>
      <c r="V999" s="224"/>
      <c r="W999" s="261"/>
    </row>
    <row r="1000" spans="1:23" x14ac:dyDescent="0.25">
      <c r="A1000" s="215"/>
      <c r="B1000" s="215"/>
      <c r="C1000" s="215"/>
      <c r="D1000" s="215"/>
      <c r="E1000" s="221"/>
      <c r="F1000" s="221"/>
      <c r="G1000" s="222"/>
      <c r="H1000" s="221"/>
      <c r="I1000" s="223"/>
      <c r="J1000" s="237"/>
      <c r="K1000" s="223"/>
      <c r="L1000" s="236"/>
      <c r="M1000" s="222"/>
      <c r="N1000" s="224"/>
      <c r="O1000" s="222"/>
      <c r="P1000" s="224"/>
      <c r="Q1000" s="222"/>
      <c r="R1000" s="224"/>
      <c r="S1000" s="239"/>
      <c r="T1000" s="224"/>
      <c r="U1000" s="239"/>
      <c r="V1000" s="224"/>
      <c r="W1000" s="261"/>
    </row>
    <row r="1001" spans="1:23" x14ac:dyDescent="0.25">
      <c r="A1001" s="215"/>
      <c r="B1001" s="215"/>
      <c r="C1001" s="215"/>
      <c r="D1001" s="215"/>
      <c r="E1001" s="221"/>
      <c r="F1001" s="221"/>
      <c r="G1001" s="222"/>
      <c r="H1001" s="221"/>
      <c r="I1001" s="223"/>
      <c r="J1001" s="237"/>
      <c r="K1001" s="223"/>
      <c r="L1001" s="236"/>
      <c r="M1001" s="222"/>
      <c r="N1001" s="224"/>
      <c r="O1001" s="222"/>
      <c r="P1001" s="224"/>
      <c r="Q1001" s="222"/>
      <c r="R1001" s="224"/>
      <c r="S1001" s="239"/>
      <c r="T1001" s="224"/>
      <c r="U1001" s="239"/>
      <c r="V1001" s="224"/>
      <c r="W1001" s="261"/>
    </row>
    <row r="1002" spans="1:23" x14ac:dyDescent="0.25">
      <c r="A1002" s="215"/>
      <c r="B1002" s="215"/>
      <c r="C1002" s="215"/>
      <c r="D1002" s="215"/>
      <c r="E1002" s="221"/>
      <c r="F1002" s="221"/>
      <c r="G1002" s="222"/>
      <c r="H1002" s="221"/>
      <c r="I1002" s="223"/>
      <c r="J1002" s="237"/>
      <c r="K1002" s="223"/>
      <c r="L1002" s="236"/>
      <c r="M1002" s="222"/>
      <c r="N1002" s="224"/>
      <c r="O1002" s="222"/>
      <c r="P1002" s="224"/>
      <c r="Q1002" s="222"/>
      <c r="R1002" s="224"/>
      <c r="S1002" s="239"/>
      <c r="T1002" s="224"/>
      <c r="U1002" s="239"/>
      <c r="V1002" s="224"/>
      <c r="W1002" s="261"/>
    </row>
    <row r="1003" spans="1:23" x14ac:dyDescent="0.25">
      <c r="A1003" s="215"/>
      <c r="B1003" s="215"/>
      <c r="C1003" s="215"/>
      <c r="D1003" s="215"/>
      <c r="E1003" s="221"/>
      <c r="F1003" s="221"/>
      <c r="G1003" s="222"/>
      <c r="H1003" s="221"/>
      <c r="I1003" s="223"/>
      <c r="J1003" s="237"/>
      <c r="K1003" s="223"/>
      <c r="L1003" s="236"/>
      <c r="M1003" s="222"/>
      <c r="N1003" s="224"/>
      <c r="O1003" s="222"/>
      <c r="P1003" s="224"/>
      <c r="Q1003" s="222"/>
      <c r="R1003" s="224"/>
      <c r="S1003" s="239"/>
      <c r="T1003" s="224"/>
      <c r="U1003" s="239"/>
      <c r="V1003" s="224"/>
      <c r="W1003" s="261"/>
    </row>
    <row r="1004" spans="1:23" x14ac:dyDescent="0.25">
      <c r="A1004" s="215"/>
      <c r="B1004" s="215"/>
      <c r="C1004" s="215"/>
      <c r="D1004" s="215"/>
      <c r="E1004" s="221"/>
      <c r="F1004" s="221"/>
      <c r="G1004" s="222"/>
      <c r="H1004" s="221"/>
      <c r="I1004" s="223"/>
      <c r="J1004" s="237"/>
      <c r="K1004" s="223"/>
      <c r="L1004" s="236"/>
      <c r="M1004" s="222"/>
      <c r="N1004" s="224"/>
      <c r="O1004" s="222"/>
      <c r="P1004" s="224"/>
      <c r="Q1004" s="222"/>
      <c r="R1004" s="224"/>
      <c r="S1004" s="239"/>
      <c r="T1004" s="224"/>
      <c r="U1004" s="239"/>
      <c r="V1004" s="224"/>
      <c r="W1004" s="261"/>
    </row>
    <row r="1005" spans="1:23" x14ac:dyDescent="0.25">
      <c r="A1005" s="215"/>
      <c r="B1005" s="215"/>
      <c r="C1005" s="215"/>
      <c r="D1005" s="215"/>
      <c r="E1005" s="221"/>
      <c r="F1005" s="221"/>
      <c r="G1005" s="222"/>
      <c r="H1005" s="221"/>
      <c r="I1005" s="223"/>
      <c r="J1005" s="237"/>
      <c r="K1005" s="223"/>
      <c r="L1005" s="236"/>
      <c r="M1005" s="222"/>
      <c r="N1005" s="224"/>
      <c r="O1005" s="222"/>
      <c r="P1005" s="224"/>
      <c r="Q1005" s="222"/>
      <c r="R1005" s="224"/>
      <c r="S1005" s="239"/>
      <c r="T1005" s="224"/>
      <c r="U1005" s="239"/>
      <c r="V1005" s="224"/>
      <c r="W1005" s="261"/>
    </row>
    <row r="1006" spans="1:23" x14ac:dyDescent="0.25">
      <c r="A1006" s="215"/>
      <c r="B1006" s="215"/>
      <c r="C1006" s="215"/>
      <c r="D1006" s="215"/>
      <c r="E1006" s="221"/>
      <c r="F1006" s="221"/>
      <c r="G1006" s="222"/>
      <c r="H1006" s="221"/>
      <c r="I1006" s="223"/>
      <c r="J1006" s="237"/>
      <c r="K1006" s="223"/>
      <c r="L1006" s="236"/>
      <c r="M1006" s="222"/>
      <c r="N1006" s="224"/>
      <c r="O1006" s="222"/>
      <c r="P1006" s="224"/>
      <c r="Q1006" s="222"/>
      <c r="R1006" s="224"/>
      <c r="S1006" s="239"/>
      <c r="T1006" s="224"/>
      <c r="U1006" s="239"/>
      <c r="V1006" s="224"/>
      <c r="W1006" s="261"/>
    </row>
    <row r="1007" spans="1:23" x14ac:dyDescent="0.25">
      <c r="A1007" s="215"/>
      <c r="B1007" s="215"/>
      <c r="C1007" s="215"/>
      <c r="D1007" s="215"/>
      <c r="E1007" s="221"/>
      <c r="F1007" s="221"/>
      <c r="G1007" s="222"/>
      <c r="H1007" s="221"/>
      <c r="I1007" s="223"/>
      <c r="J1007" s="237"/>
      <c r="K1007" s="223"/>
      <c r="L1007" s="236"/>
      <c r="M1007" s="222"/>
      <c r="N1007" s="224"/>
      <c r="O1007" s="222"/>
      <c r="P1007" s="224"/>
      <c r="Q1007" s="222"/>
      <c r="R1007" s="224"/>
      <c r="S1007" s="239"/>
      <c r="T1007" s="224"/>
      <c r="U1007" s="239"/>
      <c r="V1007" s="224"/>
      <c r="W1007" s="261"/>
    </row>
    <row r="1008" spans="1:23" x14ac:dyDescent="0.25">
      <c r="A1008" s="215"/>
      <c r="B1008" s="215"/>
      <c r="C1008" s="215"/>
      <c r="D1008" s="215"/>
      <c r="E1008" s="221"/>
      <c r="F1008" s="221"/>
      <c r="G1008" s="222"/>
      <c r="H1008" s="221"/>
      <c r="I1008" s="223"/>
      <c r="J1008" s="237"/>
      <c r="K1008" s="223"/>
      <c r="L1008" s="236"/>
      <c r="M1008" s="222"/>
      <c r="N1008" s="224"/>
      <c r="O1008" s="222"/>
      <c r="P1008" s="224"/>
      <c r="Q1008" s="222"/>
      <c r="R1008" s="224"/>
      <c r="S1008" s="239"/>
      <c r="T1008" s="224"/>
      <c r="U1008" s="239"/>
      <c r="V1008" s="224"/>
      <c r="W1008" s="261"/>
    </row>
    <row r="1009" spans="1:23" x14ac:dyDescent="0.25">
      <c r="A1009" s="215"/>
      <c r="B1009" s="215"/>
      <c r="C1009" s="215"/>
      <c r="D1009" s="215"/>
      <c r="E1009" s="221"/>
      <c r="F1009" s="221"/>
      <c r="G1009" s="222"/>
      <c r="H1009" s="221"/>
      <c r="I1009" s="223"/>
      <c r="J1009" s="237"/>
      <c r="K1009" s="223"/>
      <c r="L1009" s="236"/>
      <c r="M1009" s="222"/>
      <c r="N1009" s="224"/>
      <c r="O1009" s="222"/>
      <c r="P1009" s="224"/>
      <c r="Q1009" s="222"/>
      <c r="R1009" s="224"/>
      <c r="S1009" s="239"/>
      <c r="T1009" s="224"/>
      <c r="U1009" s="239"/>
      <c r="V1009" s="224"/>
      <c r="W1009" s="261"/>
    </row>
    <row r="1010" spans="1:23" x14ac:dyDescent="0.25">
      <c r="A1010" s="215"/>
      <c r="B1010" s="215"/>
      <c r="C1010" s="215"/>
      <c r="D1010" s="215"/>
      <c r="E1010" s="221"/>
      <c r="F1010" s="221"/>
      <c r="G1010" s="222"/>
      <c r="H1010" s="221"/>
      <c r="I1010" s="223"/>
      <c r="J1010" s="237"/>
      <c r="K1010" s="223"/>
      <c r="L1010" s="236"/>
      <c r="M1010" s="222"/>
      <c r="N1010" s="224"/>
      <c r="O1010" s="222"/>
      <c r="P1010" s="224"/>
      <c r="Q1010" s="222"/>
      <c r="R1010" s="224"/>
      <c r="S1010" s="239"/>
      <c r="T1010" s="224"/>
      <c r="U1010" s="239"/>
      <c r="V1010" s="224"/>
      <c r="W1010" s="261"/>
    </row>
    <row r="1011" spans="1:23" x14ac:dyDescent="0.25">
      <c r="A1011" s="215"/>
      <c r="B1011" s="215"/>
      <c r="C1011" s="215"/>
      <c r="D1011" s="215"/>
      <c r="E1011" s="221"/>
      <c r="F1011" s="221"/>
      <c r="G1011" s="222"/>
      <c r="H1011" s="221"/>
      <c r="I1011" s="223"/>
      <c r="J1011" s="237"/>
      <c r="K1011" s="223"/>
      <c r="L1011" s="236"/>
      <c r="M1011" s="222"/>
      <c r="N1011" s="224"/>
      <c r="O1011" s="222"/>
      <c r="P1011" s="224"/>
      <c r="Q1011" s="222"/>
      <c r="R1011" s="224"/>
      <c r="S1011" s="239"/>
      <c r="T1011" s="224"/>
      <c r="U1011" s="239"/>
      <c r="V1011" s="224"/>
      <c r="W1011" s="261"/>
    </row>
    <row r="1012" spans="1:23" x14ac:dyDescent="0.25">
      <c r="A1012" s="215"/>
      <c r="B1012" s="215"/>
      <c r="C1012" s="215"/>
      <c r="D1012" s="215"/>
      <c r="E1012" s="221"/>
      <c r="F1012" s="221"/>
      <c r="G1012" s="222"/>
      <c r="H1012" s="221"/>
      <c r="I1012" s="223"/>
      <c r="J1012" s="237"/>
      <c r="K1012" s="223"/>
      <c r="L1012" s="236"/>
      <c r="M1012" s="222"/>
      <c r="N1012" s="224"/>
      <c r="O1012" s="222"/>
      <c r="P1012" s="224"/>
      <c r="Q1012" s="222"/>
      <c r="R1012" s="224"/>
      <c r="S1012" s="239"/>
      <c r="T1012" s="224"/>
      <c r="U1012" s="239"/>
      <c r="V1012" s="224"/>
      <c r="W1012" s="261"/>
    </row>
    <row r="1013" spans="1:23" x14ac:dyDescent="0.25">
      <c r="A1013" s="215"/>
      <c r="B1013" s="215"/>
      <c r="C1013" s="215"/>
      <c r="D1013" s="215"/>
      <c r="E1013" s="221"/>
      <c r="F1013" s="221"/>
      <c r="G1013" s="222"/>
      <c r="H1013" s="221"/>
      <c r="I1013" s="223"/>
      <c r="J1013" s="237"/>
      <c r="K1013" s="223"/>
      <c r="L1013" s="236"/>
      <c r="M1013" s="222"/>
      <c r="N1013" s="224"/>
      <c r="O1013" s="222"/>
      <c r="P1013" s="224"/>
      <c r="Q1013" s="222"/>
      <c r="R1013" s="224"/>
      <c r="S1013" s="239"/>
      <c r="T1013" s="224"/>
      <c r="U1013" s="239"/>
      <c r="V1013" s="224"/>
      <c r="W1013" s="261"/>
    </row>
    <row r="1014" spans="1:23" x14ac:dyDescent="0.25">
      <c r="A1014" s="215"/>
      <c r="B1014" s="215"/>
      <c r="C1014" s="215"/>
      <c r="D1014" s="215"/>
      <c r="E1014" s="221"/>
      <c r="F1014" s="221"/>
      <c r="G1014" s="222"/>
      <c r="H1014" s="221"/>
      <c r="I1014" s="223"/>
      <c r="J1014" s="237"/>
      <c r="K1014" s="223"/>
      <c r="L1014" s="236"/>
      <c r="M1014" s="222"/>
      <c r="N1014" s="224"/>
      <c r="O1014" s="222"/>
      <c r="P1014" s="224"/>
      <c r="Q1014" s="222"/>
      <c r="R1014" s="224"/>
      <c r="S1014" s="239"/>
      <c r="T1014" s="224"/>
      <c r="U1014" s="239"/>
      <c r="V1014" s="224"/>
      <c r="W1014" s="261"/>
    </row>
    <row r="1015" spans="1:23" x14ac:dyDescent="0.25">
      <c r="A1015" s="215"/>
      <c r="B1015" s="215"/>
      <c r="C1015" s="215"/>
      <c r="D1015" s="215"/>
      <c r="E1015" s="221"/>
      <c r="F1015" s="221"/>
      <c r="G1015" s="222"/>
      <c r="H1015" s="221"/>
      <c r="I1015" s="223"/>
      <c r="J1015" s="237"/>
      <c r="K1015" s="223"/>
      <c r="L1015" s="236"/>
      <c r="M1015" s="222"/>
      <c r="N1015" s="224"/>
      <c r="O1015" s="222"/>
      <c r="P1015" s="224"/>
      <c r="Q1015" s="222"/>
      <c r="R1015" s="224"/>
      <c r="S1015" s="239"/>
      <c r="T1015" s="224"/>
      <c r="U1015" s="239"/>
      <c r="V1015" s="224"/>
      <c r="W1015" s="261"/>
    </row>
    <row r="1016" spans="1:23" x14ac:dyDescent="0.25">
      <c r="A1016" s="215"/>
      <c r="B1016" s="215"/>
      <c r="C1016" s="215"/>
      <c r="D1016" s="215"/>
      <c r="E1016" s="221"/>
      <c r="F1016" s="221"/>
      <c r="G1016" s="222"/>
      <c r="H1016" s="221"/>
      <c r="I1016" s="223"/>
      <c r="J1016" s="237"/>
      <c r="K1016" s="223"/>
      <c r="L1016" s="236"/>
      <c r="M1016" s="222"/>
      <c r="N1016" s="224"/>
      <c r="O1016" s="222"/>
      <c r="P1016" s="224"/>
      <c r="Q1016" s="222"/>
      <c r="R1016" s="224"/>
      <c r="S1016" s="239"/>
      <c r="T1016" s="224"/>
      <c r="U1016" s="239"/>
      <c r="V1016" s="224"/>
      <c r="W1016" s="261"/>
    </row>
    <row r="1017" spans="1:23" x14ac:dyDescent="0.25">
      <c r="A1017" s="215"/>
      <c r="B1017" s="215"/>
      <c r="C1017" s="215"/>
      <c r="D1017" s="215"/>
      <c r="E1017" s="221"/>
      <c r="F1017" s="221"/>
      <c r="G1017" s="222"/>
      <c r="H1017" s="221"/>
      <c r="I1017" s="223"/>
      <c r="J1017" s="237"/>
      <c r="K1017" s="223"/>
      <c r="L1017" s="236"/>
      <c r="M1017" s="222"/>
      <c r="N1017" s="224"/>
      <c r="O1017" s="222"/>
      <c r="P1017" s="224"/>
      <c r="Q1017" s="222"/>
      <c r="R1017" s="224"/>
      <c r="S1017" s="239"/>
      <c r="T1017" s="224"/>
      <c r="U1017" s="239"/>
      <c r="V1017" s="224"/>
      <c r="W1017" s="261"/>
    </row>
    <row r="1018" spans="1:23" x14ac:dyDescent="0.25">
      <c r="A1018" s="215"/>
      <c r="B1018" s="215"/>
      <c r="C1018" s="215"/>
      <c r="D1018" s="215"/>
      <c r="E1018" s="221"/>
      <c r="F1018" s="221"/>
      <c r="G1018" s="222"/>
      <c r="H1018" s="221"/>
      <c r="I1018" s="223"/>
      <c r="J1018" s="237"/>
      <c r="K1018" s="223"/>
      <c r="L1018" s="236"/>
      <c r="M1018" s="222"/>
      <c r="N1018" s="224"/>
      <c r="O1018" s="222"/>
      <c r="P1018" s="224"/>
      <c r="Q1018" s="222"/>
      <c r="R1018" s="224"/>
      <c r="S1018" s="239"/>
      <c r="T1018" s="224"/>
      <c r="U1018" s="239"/>
      <c r="V1018" s="224"/>
      <c r="W1018" s="261"/>
    </row>
    <row r="1019" spans="1:23" x14ac:dyDescent="0.25">
      <c r="A1019" s="215"/>
      <c r="B1019" s="215"/>
      <c r="C1019" s="215"/>
      <c r="D1019" s="215"/>
      <c r="E1019" s="221"/>
      <c r="F1019" s="221"/>
      <c r="G1019" s="222"/>
      <c r="H1019" s="221"/>
      <c r="I1019" s="223"/>
      <c r="J1019" s="237"/>
      <c r="K1019" s="223"/>
      <c r="L1019" s="236"/>
      <c r="M1019" s="222"/>
      <c r="N1019" s="224"/>
      <c r="O1019" s="222"/>
      <c r="P1019" s="224"/>
      <c r="Q1019" s="222"/>
      <c r="R1019" s="224"/>
      <c r="S1019" s="239"/>
      <c r="T1019" s="224"/>
      <c r="U1019" s="239"/>
      <c r="V1019" s="224"/>
      <c r="W1019" s="261"/>
    </row>
    <row r="1020" spans="1:23" x14ac:dyDescent="0.25">
      <c r="A1020" s="215"/>
      <c r="B1020" s="215"/>
      <c r="C1020" s="215"/>
      <c r="D1020" s="215"/>
      <c r="E1020" s="221"/>
      <c r="F1020" s="221"/>
      <c r="G1020" s="222"/>
      <c r="H1020" s="221"/>
      <c r="I1020" s="223"/>
      <c r="J1020" s="237"/>
      <c r="K1020" s="223"/>
      <c r="L1020" s="236"/>
      <c r="M1020" s="222"/>
      <c r="N1020" s="224"/>
      <c r="O1020" s="222"/>
      <c r="P1020" s="224"/>
      <c r="Q1020" s="222"/>
      <c r="R1020" s="224"/>
      <c r="S1020" s="239"/>
      <c r="T1020" s="224"/>
      <c r="U1020" s="239"/>
      <c r="V1020" s="224"/>
      <c r="W1020" s="261"/>
    </row>
    <row r="1021" spans="1:23" x14ac:dyDescent="0.25">
      <c r="A1021" s="215"/>
      <c r="B1021" s="215"/>
      <c r="C1021" s="215"/>
      <c r="D1021" s="215"/>
      <c r="E1021" s="221"/>
      <c r="F1021" s="221"/>
      <c r="G1021" s="222"/>
      <c r="H1021" s="221"/>
      <c r="I1021" s="223"/>
      <c r="J1021" s="237"/>
      <c r="K1021" s="223"/>
      <c r="L1021" s="236"/>
      <c r="M1021" s="222"/>
      <c r="N1021" s="224"/>
      <c r="O1021" s="222"/>
      <c r="P1021" s="224"/>
      <c r="Q1021" s="222"/>
      <c r="R1021" s="224"/>
      <c r="S1021" s="239"/>
      <c r="T1021" s="224"/>
      <c r="U1021" s="239"/>
      <c r="V1021" s="224"/>
      <c r="W1021" s="261"/>
    </row>
    <row r="1022" spans="1:23" x14ac:dyDescent="0.25">
      <c r="A1022" s="215"/>
      <c r="B1022" s="215"/>
      <c r="C1022" s="215"/>
      <c r="D1022" s="215"/>
      <c r="E1022" s="221"/>
      <c r="F1022" s="221"/>
      <c r="G1022" s="222"/>
      <c r="H1022" s="221"/>
      <c r="I1022" s="223"/>
      <c r="J1022" s="237"/>
      <c r="K1022" s="223"/>
      <c r="L1022" s="236"/>
      <c r="M1022" s="222"/>
      <c r="N1022" s="224"/>
      <c r="O1022" s="222"/>
      <c r="P1022" s="224"/>
      <c r="Q1022" s="222"/>
      <c r="R1022" s="224"/>
      <c r="S1022" s="239"/>
      <c r="T1022" s="224"/>
      <c r="U1022" s="239"/>
      <c r="V1022" s="224"/>
      <c r="W1022" s="261"/>
    </row>
    <row r="1023" spans="1:23" x14ac:dyDescent="0.25">
      <c r="A1023" s="215"/>
      <c r="B1023" s="215"/>
      <c r="C1023" s="215"/>
      <c r="D1023" s="215"/>
      <c r="E1023" s="221"/>
      <c r="F1023" s="221"/>
      <c r="G1023" s="222"/>
      <c r="H1023" s="221"/>
      <c r="I1023" s="223"/>
      <c r="J1023" s="237"/>
      <c r="K1023" s="223"/>
      <c r="L1023" s="236"/>
      <c r="M1023" s="222"/>
      <c r="N1023" s="224"/>
      <c r="O1023" s="222"/>
      <c r="P1023" s="224"/>
      <c r="Q1023" s="222"/>
      <c r="R1023" s="224"/>
      <c r="S1023" s="239"/>
      <c r="T1023" s="224"/>
      <c r="U1023" s="239"/>
      <c r="V1023" s="224"/>
      <c r="W1023" s="261"/>
    </row>
    <row r="1024" spans="1:23" x14ac:dyDescent="0.25">
      <c r="A1024" s="215"/>
      <c r="B1024" s="215"/>
      <c r="C1024" s="215"/>
      <c r="D1024" s="215"/>
      <c r="E1024" s="221"/>
      <c r="F1024" s="221"/>
      <c r="G1024" s="222"/>
      <c r="H1024" s="221"/>
      <c r="I1024" s="223"/>
      <c r="J1024" s="237"/>
      <c r="K1024" s="223"/>
      <c r="L1024" s="236"/>
      <c r="M1024" s="222"/>
      <c r="N1024" s="224"/>
      <c r="O1024" s="222"/>
      <c r="P1024" s="224"/>
      <c r="Q1024" s="222"/>
      <c r="R1024" s="224"/>
      <c r="S1024" s="239"/>
      <c r="T1024" s="224"/>
      <c r="U1024" s="239"/>
      <c r="V1024" s="224"/>
      <c r="W1024" s="261"/>
    </row>
    <row r="1025" spans="1:23" x14ac:dyDescent="0.25">
      <c r="A1025" s="215"/>
      <c r="B1025" s="215"/>
      <c r="C1025" s="215"/>
      <c r="D1025" s="215"/>
      <c r="E1025" s="221"/>
      <c r="F1025" s="221"/>
      <c r="G1025" s="222"/>
      <c r="H1025" s="221"/>
      <c r="I1025" s="223"/>
      <c r="J1025" s="237"/>
      <c r="K1025" s="223"/>
      <c r="L1025" s="236"/>
      <c r="M1025" s="222"/>
      <c r="N1025" s="224"/>
      <c r="O1025" s="222"/>
      <c r="P1025" s="224"/>
      <c r="Q1025" s="222"/>
      <c r="R1025" s="224"/>
      <c r="S1025" s="239"/>
      <c r="T1025" s="224"/>
      <c r="U1025" s="239"/>
      <c r="V1025" s="224"/>
      <c r="W1025" s="261"/>
    </row>
    <row r="1026" spans="1:23" x14ac:dyDescent="0.25">
      <c r="A1026" s="215"/>
      <c r="B1026" s="215"/>
      <c r="C1026" s="215"/>
      <c r="D1026" s="215"/>
      <c r="E1026" s="221"/>
      <c r="F1026" s="221"/>
      <c r="G1026" s="222"/>
      <c r="H1026" s="221"/>
      <c r="I1026" s="223"/>
      <c r="J1026" s="237"/>
      <c r="K1026" s="223"/>
      <c r="L1026" s="236"/>
      <c r="M1026" s="222"/>
      <c r="N1026" s="224"/>
      <c r="O1026" s="222"/>
      <c r="P1026" s="224"/>
      <c r="Q1026" s="222"/>
      <c r="R1026" s="224"/>
      <c r="S1026" s="239"/>
      <c r="T1026" s="224"/>
      <c r="U1026" s="239"/>
      <c r="V1026" s="224"/>
      <c r="W1026" s="261"/>
    </row>
    <row r="1027" spans="1:23" x14ac:dyDescent="0.25">
      <c r="A1027" s="215"/>
      <c r="B1027" s="215"/>
      <c r="C1027" s="215"/>
      <c r="D1027" s="215"/>
      <c r="E1027" s="221"/>
      <c r="F1027" s="221"/>
      <c r="G1027" s="222"/>
      <c r="H1027" s="221"/>
      <c r="I1027" s="223"/>
      <c r="J1027" s="237"/>
      <c r="K1027" s="223"/>
      <c r="L1027" s="236"/>
      <c r="M1027" s="222"/>
      <c r="N1027" s="224"/>
      <c r="O1027" s="222"/>
      <c r="P1027" s="224"/>
      <c r="Q1027" s="222"/>
      <c r="R1027" s="224"/>
      <c r="S1027" s="239"/>
      <c r="T1027" s="224"/>
      <c r="U1027" s="239"/>
      <c r="V1027" s="224"/>
      <c r="W1027" s="261"/>
    </row>
    <row r="1028" spans="1:23" x14ac:dyDescent="0.25">
      <c r="A1028" s="215"/>
      <c r="B1028" s="215"/>
      <c r="C1028" s="215"/>
      <c r="D1028" s="215"/>
      <c r="E1028" s="221"/>
      <c r="F1028" s="221"/>
      <c r="G1028" s="222"/>
      <c r="H1028" s="221"/>
      <c r="I1028" s="223"/>
      <c r="J1028" s="237"/>
      <c r="K1028" s="223"/>
      <c r="L1028" s="236"/>
      <c r="M1028" s="222"/>
      <c r="N1028" s="224"/>
      <c r="O1028" s="222"/>
      <c r="P1028" s="224"/>
      <c r="Q1028" s="222"/>
      <c r="R1028" s="224"/>
      <c r="S1028" s="239"/>
      <c r="T1028" s="224"/>
      <c r="U1028" s="239"/>
      <c r="V1028" s="224"/>
      <c r="W1028" s="261"/>
    </row>
    <row r="1029" spans="1:23" x14ac:dyDescent="0.25">
      <c r="A1029" s="215"/>
      <c r="B1029" s="215"/>
      <c r="C1029" s="215"/>
      <c r="D1029" s="215"/>
      <c r="E1029" s="221"/>
      <c r="F1029" s="221"/>
      <c r="G1029" s="222"/>
      <c r="H1029" s="221"/>
      <c r="I1029" s="223"/>
      <c r="J1029" s="237"/>
      <c r="K1029" s="223"/>
      <c r="L1029" s="236"/>
      <c r="M1029" s="222"/>
      <c r="N1029" s="224"/>
      <c r="O1029" s="222"/>
      <c r="P1029" s="224"/>
      <c r="Q1029" s="222"/>
      <c r="R1029" s="224"/>
      <c r="S1029" s="239"/>
      <c r="T1029" s="224"/>
      <c r="U1029" s="239"/>
      <c r="V1029" s="224"/>
      <c r="W1029" s="261"/>
    </row>
    <row r="1030" spans="1:23" x14ac:dyDescent="0.25">
      <c r="A1030" s="215"/>
      <c r="B1030" s="215"/>
      <c r="C1030" s="215"/>
      <c r="D1030" s="215"/>
      <c r="E1030" s="221"/>
      <c r="F1030" s="221"/>
      <c r="G1030" s="222"/>
      <c r="H1030" s="221"/>
      <c r="I1030" s="223"/>
      <c r="J1030" s="237"/>
      <c r="K1030" s="223"/>
      <c r="L1030" s="236"/>
      <c r="M1030" s="222"/>
      <c r="N1030" s="224"/>
      <c r="O1030" s="222"/>
      <c r="P1030" s="224"/>
      <c r="Q1030" s="222"/>
      <c r="R1030" s="224"/>
      <c r="S1030" s="239"/>
      <c r="T1030" s="224"/>
      <c r="U1030" s="239"/>
      <c r="V1030" s="224"/>
      <c r="W1030" s="261"/>
    </row>
    <row r="1031" spans="1:23" x14ac:dyDescent="0.25">
      <c r="A1031" s="215"/>
      <c r="B1031" s="215"/>
      <c r="C1031" s="215"/>
      <c r="D1031" s="215"/>
      <c r="E1031" s="221"/>
      <c r="F1031" s="221"/>
      <c r="G1031" s="222"/>
      <c r="H1031" s="221"/>
      <c r="I1031" s="223"/>
      <c r="J1031" s="237"/>
      <c r="K1031" s="223"/>
      <c r="L1031" s="236"/>
      <c r="M1031" s="222"/>
      <c r="N1031" s="224"/>
      <c r="O1031" s="222"/>
      <c r="P1031" s="224"/>
      <c r="Q1031" s="222"/>
      <c r="R1031" s="224"/>
      <c r="S1031" s="239"/>
      <c r="T1031" s="224"/>
      <c r="U1031" s="239"/>
      <c r="V1031" s="224"/>
      <c r="W1031" s="261"/>
    </row>
    <row r="1032" spans="1:23" x14ac:dyDescent="0.25">
      <c r="A1032" s="215"/>
      <c r="B1032" s="215"/>
      <c r="C1032" s="215"/>
      <c r="D1032" s="215"/>
      <c r="E1032" s="221"/>
      <c r="F1032" s="221"/>
      <c r="G1032" s="222"/>
      <c r="H1032" s="221"/>
      <c r="I1032" s="223"/>
      <c r="J1032" s="237"/>
      <c r="K1032" s="223"/>
      <c r="L1032" s="236"/>
      <c r="M1032" s="222"/>
      <c r="N1032" s="224"/>
      <c r="O1032" s="222"/>
      <c r="P1032" s="224"/>
      <c r="Q1032" s="222"/>
      <c r="R1032" s="224"/>
      <c r="S1032" s="239"/>
      <c r="T1032" s="224"/>
      <c r="U1032" s="239"/>
      <c r="V1032" s="224"/>
      <c r="W1032" s="261"/>
    </row>
    <row r="1033" spans="1:23" x14ac:dyDescent="0.25">
      <c r="A1033" s="215"/>
      <c r="B1033" s="215"/>
      <c r="C1033" s="215"/>
      <c r="D1033" s="215"/>
      <c r="E1033" s="221"/>
      <c r="F1033" s="221"/>
      <c r="G1033" s="222"/>
      <c r="H1033" s="221"/>
      <c r="I1033" s="223"/>
      <c r="J1033" s="237"/>
      <c r="K1033" s="223"/>
      <c r="L1033" s="236"/>
      <c r="M1033" s="222"/>
      <c r="N1033" s="224"/>
      <c r="O1033" s="222"/>
      <c r="P1033" s="224"/>
      <c r="Q1033" s="222"/>
      <c r="R1033" s="224"/>
      <c r="S1033" s="239"/>
      <c r="T1033" s="224"/>
      <c r="U1033" s="239"/>
      <c r="V1033" s="224"/>
      <c r="W1033" s="261"/>
    </row>
    <row r="1034" spans="1:23" x14ac:dyDescent="0.25">
      <c r="A1034" s="215"/>
      <c r="B1034" s="215"/>
      <c r="C1034" s="215"/>
      <c r="D1034" s="215"/>
      <c r="E1034" s="221"/>
      <c r="F1034" s="221"/>
      <c r="G1034" s="222"/>
      <c r="H1034" s="221"/>
      <c r="I1034" s="223"/>
      <c r="J1034" s="237"/>
      <c r="K1034" s="223"/>
      <c r="L1034" s="236"/>
      <c r="M1034" s="222"/>
      <c r="N1034" s="224"/>
      <c r="O1034" s="222"/>
      <c r="P1034" s="224"/>
      <c r="Q1034" s="222"/>
      <c r="R1034" s="224"/>
      <c r="S1034" s="239"/>
      <c r="T1034" s="224"/>
      <c r="U1034" s="239"/>
      <c r="V1034" s="224"/>
      <c r="W1034" s="261"/>
    </row>
    <row r="1035" spans="1:23" x14ac:dyDescent="0.25">
      <c r="A1035" s="215"/>
      <c r="B1035" s="215"/>
      <c r="C1035" s="215"/>
      <c r="D1035" s="215"/>
      <c r="E1035" s="221"/>
      <c r="F1035" s="221"/>
      <c r="G1035" s="222"/>
      <c r="H1035" s="221"/>
      <c r="I1035" s="223"/>
      <c r="J1035" s="237"/>
      <c r="K1035" s="223"/>
      <c r="L1035" s="236"/>
      <c r="M1035" s="222"/>
      <c r="N1035" s="224"/>
      <c r="O1035" s="222"/>
      <c r="P1035" s="224"/>
      <c r="Q1035" s="222"/>
      <c r="R1035" s="224"/>
      <c r="S1035" s="239"/>
      <c r="T1035" s="224"/>
      <c r="U1035" s="239"/>
      <c r="V1035" s="224"/>
      <c r="W1035" s="261"/>
    </row>
    <row r="1036" spans="1:23" x14ac:dyDescent="0.25">
      <c r="A1036" s="215"/>
      <c r="B1036" s="215"/>
      <c r="C1036" s="215"/>
      <c r="D1036" s="215"/>
      <c r="E1036" s="221"/>
      <c r="F1036" s="221"/>
      <c r="G1036" s="222"/>
      <c r="H1036" s="221"/>
      <c r="I1036" s="223"/>
      <c r="J1036" s="237"/>
      <c r="K1036" s="223"/>
      <c r="L1036" s="236"/>
      <c r="M1036" s="222"/>
      <c r="N1036" s="224"/>
      <c r="O1036" s="222"/>
      <c r="P1036" s="224"/>
      <c r="Q1036" s="222"/>
      <c r="R1036" s="224"/>
      <c r="S1036" s="239"/>
      <c r="T1036" s="224"/>
      <c r="U1036" s="239"/>
      <c r="V1036" s="224"/>
      <c r="W1036" s="261"/>
    </row>
    <row r="1037" spans="1:23" x14ac:dyDescent="0.25">
      <c r="A1037" s="215"/>
      <c r="B1037" s="215"/>
      <c r="C1037" s="215"/>
      <c r="D1037" s="215"/>
      <c r="E1037" s="221"/>
      <c r="F1037" s="221"/>
      <c r="G1037" s="222"/>
      <c r="H1037" s="221"/>
      <c r="I1037" s="223"/>
      <c r="J1037" s="237"/>
      <c r="K1037" s="223"/>
      <c r="L1037" s="236"/>
      <c r="M1037" s="222"/>
      <c r="N1037" s="224"/>
      <c r="O1037" s="222"/>
      <c r="P1037" s="224"/>
      <c r="Q1037" s="222"/>
      <c r="R1037" s="224"/>
      <c r="S1037" s="239"/>
      <c r="T1037" s="224"/>
      <c r="U1037" s="239"/>
      <c r="V1037" s="224"/>
      <c r="W1037" s="261"/>
    </row>
    <row r="1038" spans="1:23" x14ac:dyDescent="0.25">
      <c r="A1038" s="215"/>
      <c r="B1038" s="215"/>
      <c r="C1038" s="215"/>
      <c r="D1038" s="215"/>
      <c r="E1038" s="221"/>
      <c r="F1038" s="221"/>
      <c r="G1038" s="222"/>
      <c r="H1038" s="221"/>
      <c r="I1038" s="223"/>
      <c r="J1038" s="237"/>
      <c r="K1038" s="223"/>
      <c r="L1038" s="236"/>
      <c r="M1038" s="222"/>
      <c r="N1038" s="224"/>
      <c r="O1038" s="222"/>
      <c r="P1038" s="224"/>
      <c r="Q1038" s="222"/>
      <c r="R1038" s="224"/>
      <c r="S1038" s="239"/>
      <c r="T1038" s="224"/>
      <c r="U1038" s="239"/>
      <c r="V1038" s="224"/>
      <c r="W1038" s="261"/>
    </row>
    <row r="1039" spans="1:23" x14ac:dyDescent="0.25">
      <c r="A1039" s="215"/>
      <c r="B1039" s="215"/>
      <c r="C1039" s="215"/>
      <c r="D1039" s="215"/>
      <c r="E1039" s="221"/>
      <c r="F1039" s="221"/>
      <c r="G1039" s="222"/>
      <c r="H1039" s="221"/>
      <c r="I1039" s="223"/>
      <c r="J1039" s="237"/>
      <c r="K1039" s="223"/>
      <c r="L1039" s="236"/>
      <c r="M1039" s="222"/>
      <c r="N1039" s="224"/>
      <c r="O1039" s="222"/>
      <c r="P1039" s="224"/>
      <c r="Q1039" s="222"/>
      <c r="R1039" s="224"/>
      <c r="S1039" s="239"/>
      <c r="T1039" s="224"/>
      <c r="U1039" s="239"/>
      <c r="V1039" s="224"/>
      <c r="W1039" s="261"/>
    </row>
    <row r="1040" spans="1:23" x14ac:dyDescent="0.25">
      <c r="A1040" s="215"/>
      <c r="B1040" s="215"/>
      <c r="C1040" s="215"/>
      <c r="D1040" s="215"/>
      <c r="E1040" s="221"/>
      <c r="F1040" s="221"/>
      <c r="G1040" s="222"/>
      <c r="H1040" s="221"/>
      <c r="I1040" s="223"/>
      <c r="J1040" s="237"/>
      <c r="K1040" s="223"/>
      <c r="L1040" s="236"/>
      <c r="M1040" s="222"/>
      <c r="N1040" s="224"/>
      <c r="O1040" s="222"/>
      <c r="P1040" s="224"/>
      <c r="Q1040" s="222"/>
      <c r="R1040" s="224"/>
      <c r="S1040" s="239"/>
      <c r="T1040" s="224"/>
      <c r="U1040" s="239"/>
      <c r="V1040" s="224"/>
      <c r="W1040" s="261"/>
    </row>
    <row r="1041" spans="1:23" x14ac:dyDescent="0.25">
      <c r="A1041" s="215"/>
      <c r="B1041" s="215"/>
      <c r="C1041" s="215"/>
      <c r="D1041" s="215"/>
      <c r="E1041" s="221"/>
      <c r="F1041" s="221"/>
      <c r="G1041" s="222"/>
      <c r="H1041" s="221"/>
      <c r="I1041" s="223"/>
      <c r="J1041" s="237"/>
      <c r="K1041" s="223"/>
      <c r="L1041" s="236"/>
      <c r="M1041" s="222"/>
      <c r="N1041" s="224"/>
      <c r="O1041" s="222"/>
      <c r="P1041" s="224"/>
      <c r="Q1041" s="222"/>
      <c r="R1041" s="224"/>
      <c r="S1041" s="239"/>
      <c r="T1041" s="224"/>
      <c r="U1041" s="239"/>
      <c r="V1041" s="224"/>
      <c r="W1041" s="261"/>
    </row>
    <row r="1042" spans="1:23" x14ac:dyDescent="0.25">
      <c r="A1042" s="215"/>
      <c r="B1042" s="215"/>
      <c r="C1042" s="215"/>
      <c r="D1042" s="215"/>
      <c r="E1042" s="221"/>
      <c r="F1042" s="221"/>
      <c r="G1042" s="222"/>
      <c r="H1042" s="221"/>
      <c r="I1042" s="223"/>
      <c r="J1042" s="237"/>
      <c r="K1042" s="223"/>
      <c r="L1042" s="236"/>
      <c r="M1042" s="222"/>
      <c r="N1042" s="224"/>
      <c r="O1042" s="222"/>
      <c r="P1042" s="224"/>
      <c r="Q1042" s="222"/>
      <c r="R1042" s="224"/>
      <c r="S1042" s="239"/>
      <c r="T1042" s="224"/>
      <c r="U1042" s="239"/>
      <c r="V1042" s="224"/>
      <c r="W1042" s="261"/>
    </row>
    <row r="1043" spans="1:23" x14ac:dyDescent="0.25">
      <c r="A1043" s="215"/>
      <c r="B1043" s="215"/>
      <c r="C1043" s="215"/>
      <c r="D1043" s="215"/>
      <c r="E1043" s="221"/>
      <c r="F1043" s="221"/>
      <c r="G1043" s="222"/>
      <c r="H1043" s="221"/>
      <c r="I1043" s="223"/>
      <c r="J1043" s="237"/>
      <c r="K1043" s="223"/>
      <c r="L1043" s="236"/>
      <c r="M1043" s="222"/>
      <c r="N1043" s="224"/>
      <c r="O1043" s="222"/>
      <c r="P1043" s="224"/>
      <c r="Q1043" s="222"/>
      <c r="R1043" s="224"/>
      <c r="S1043" s="239"/>
      <c r="T1043" s="224"/>
      <c r="U1043" s="239"/>
      <c r="V1043" s="224"/>
      <c r="W1043" s="261"/>
    </row>
    <row r="1044" spans="1:23" x14ac:dyDescent="0.25">
      <c r="A1044" s="215"/>
      <c r="B1044" s="215"/>
      <c r="C1044" s="215"/>
      <c r="D1044" s="215"/>
      <c r="E1044" s="221"/>
      <c r="F1044" s="221"/>
      <c r="G1044" s="222"/>
      <c r="H1044" s="221"/>
      <c r="I1044" s="223"/>
      <c r="J1044" s="237"/>
      <c r="K1044" s="223"/>
      <c r="L1044" s="236"/>
      <c r="M1044" s="222"/>
      <c r="N1044" s="224"/>
      <c r="O1044" s="222"/>
      <c r="P1044" s="224"/>
      <c r="Q1044" s="222"/>
      <c r="R1044" s="224"/>
      <c r="S1044" s="239"/>
      <c r="T1044" s="224"/>
      <c r="U1044" s="239"/>
      <c r="V1044" s="224"/>
      <c r="W1044" s="261"/>
    </row>
    <row r="1045" spans="1:23" x14ac:dyDescent="0.25">
      <c r="A1045" s="215"/>
      <c r="B1045" s="215"/>
      <c r="C1045" s="215"/>
      <c r="D1045" s="215"/>
      <c r="E1045" s="221"/>
      <c r="F1045" s="221"/>
      <c r="G1045" s="222"/>
      <c r="H1045" s="221"/>
      <c r="I1045" s="223"/>
      <c r="J1045" s="237"/>
      <c r="K1045" s="223"/>
      <c r="L1045" s="236"/>
      <c r="M1045" s="222"/>
      <c r="N1045" s="224"/>
      <c r="O1045" s="222"/>
      <c r="P1045" s="224"/>
      <c r="Q1045" s="222"/>
      <c r="R1045" s="224"/>
      <c r="S1045" s="239"/>
      <c r="T1045" s="224"/>
      <c r="U1045" s="239"/>
      <c r="V1045" s="224"/>
      <c r="W1045" s="261"/>
    </row>
    <row r="1046" spans="1:23" x14ac:dyDescent="0.25">
      <c r="A1046" s="215"/>
      <c r="B1046" s="215"/>
      <c r="C1046" s="215"/>
      <c r="D1046" s="215"/>
      <c r="E1046" s="221"/>
      <c r="F1046" s="221"/>
      <c r="G1046" s="222"/>
      <c r="H1046" s="221"/>
      <c r="I1046" s="223"/>
      <c r="J1046" s="237"/>
      <c r="K1046" s="223"/>
      <c r="L1046" s="236"/>
      <c r="M1046" s="222"/>
      <c r="N1046" s="224"/>
      <c r="O1046" s="222"/>
      <c r="P1046" s="224"/>
      <c r="Q1046" s="222"/>
      <c r="R1046" s="224"/>
      <c r="S1046" s="239"/>
      <c r="T1046" s="224"/>
      <c r="U1046" s="239"/>
      <c r="V1046" s="224"/>
      <c r="W1046" s="261"/>
    </row>
    <row r="1047" spans="1:23" x14ac:dyDescent="0.25">
      <c r="A1047" s="215"/>
      <c r="B1047" s="215"/>
      <c r="C1047" s="215"/>
      <c r="D1047" s="215"/>
      <c r="E1047" s="221"/>
      <c r="F1047" s="221"/>
      <c r="G1047" s="222"/>
      <c r="H1047" s="221"/>
      <c r="I1047" s="223"/>
      <c r="J1047" s="237"/>
      <c r="K1047" s="223"/>
      <c r="L1047" s="236"/>
      <c r="M1047" s="222"/>
      <c r="N1047" s="224"/>
      <c r="O1047" s="222"/>
      <c r="P1047" s="224"/>
      <c r="Q1047" s="222"/>
      <c r="R1047" s="224"/>
      <c r="S1047" s="239"/>
      <c r="T1047" s="224"/>
      <c r="U1047" s="239"/>
      <c r="V1047" s="224"/>
      <c r="W1047" s="261"/>
    </row>
    <row r="1048" spans="1:23" x14ac:dyDescent="0.25">
      <c r="A1048" s="215"/>
      <c r="B1048" s="215"/>
      <c r="C1048" s="215"/>
      <c r="D1048" s="215"/>
      <c r="E1048" s="221"/>
      <c r="F1048" s="221"/>
      <c r="G1048" s="222"/>
      <c r="H1048" s="221"/>
      <c r="I1048" s="223"/>
      <c r="J1048" s="237"/>
      <c r="K1048" s="223"/>
      <c r="L1048" s="236"/>
      <c r="M1048" s="222"/>
      <c r="N1048" s="224"/>
      <c r="O1048" s="222"/>
      <c r="P1048" s="224"/>
      <c r="Q1048" s="222"/>
      <c r="R1048" s="224"/>
      <c r="S1048" s="239"/>
      <c r="T1048" s="224"/>
      <c r="U1048" s="239"/>
      <c r="V1048" s="224"/>
      <c r="W1048" s="261"/>
    </row>
    <row r="1049" spans="1:23" x14ac:dyDescent="0.25">
      <c r="A1049" s="215"/>
      <c r="B1049" s="215"/>
      <c r="C1049" s="215"/>
      <c r="D1049" s="215"/>
      <c r="E1049" s="221"/>
      <c r="F1049" s="221"/>
      <c r="G1049" s="222"/>
      <c r="H1049" s="221"/>
      <c r="I1049" s="223"/>
      <c r="J1049" s="237"/>
      <c r="K1049" s="223"/>
      <c r="L1049" s="236"/>
      <c r="M1049" s="222"/>
      <c r="N1049" s="224"/>
      <c r="O1049" s="222"/>
      <c r="P1049" s="224"/>
      <c r="Q1049" s="222"/>
      <c r="R1049" s="224"/>
      <c r="S1049" s="239"/>
      <c r="T1049" s="224"/>
      <c r="U1049" s="239"/>
      <c r="V1049" s="224"/>
      <c r="W1049" s="261"/>
    </row>
    <row r="1050" spans="1:23" x14ac:dyDescent="0.25">
      <c r="A1050" s="215"/>
      <c r="B1050" s="215"/>
      <c r="C1050" s="215"/>
      <c r="D1050" s="215"/>
      <c r="E1050" s="221"/>
      <c r="F1050" s="221"/>
      <c r="G1050" s="222"/>
      <c r="H1050" s="221"/>
      <c r="I1050" s="223"/>
      <c r="J1050" s="237"/>
      <c r="K1050" s="223"/>
      <c r="L1050" s="236"/>
      <c r="M1050" s="222"/>
      <c r="N1050" s="224"/>
      <c r="O1050" s="222"/>
      <c r="P1050" s="224"/>
      <c r="Q1050" s="222"/>
      <c r="R1050" s="224"/>
      <c r="S1050" s="239"/>
      <c r="T1050" s="224"/>
      <c r="U1050" s="239"/>
      <c r="V1050" s="224"/>
      <c r="W1050" s="261"/>
    </row>
    <row r="1051" spans="1:23" x14ac:dyDescent="0.25">
      <c r="A1051" s="215"/>
      <c r="B1051" s="215"/>
      <c r="C1051" s="215"/>
      <c r="D1051" s="215"/>
      <c r="E1051" s="221"/>
      <c r="F1051" s="221"/>
      <c r="G1051" s="222"/>
      <c r="H1051" s="221"/>
      <c r="I1051" s="223"/>
      <c r="J1051" s="237"/>
      <c r="K1051" s="223"/>
      <c r="L1051" s="236"/>
      <c r="M1051" s="222"/>
      <c r="N1051" s="224"/>
      <c r="O1051" s="222"/>
      <c r="P1051" s="224"/>
      <c r="Q1051" s="222"/>
      <c r="R1051" s="224"/>
      <c r="S1051" s="239"/>
      <c r="T1051" s="224"/>
      <c r="U1051" s="239"/>
      <c r="V1051" s="224"/>
      <c r="W1051" s="261"/>
    </row>
    <row r="1052" spans="1:23" x14ac:dyDescent="0.25">
      <c r="A1052" s="215"/>
      <c r="B1052" s="215"/>
      <c r="C1052" s="215"/>
      <c r="D1052" s="215"/>
      <c r="E1052" s="221"/>
      <c r="F1052" s="221"/>
      <c r="G1052" s="222"/>
      <c r="H1052" s="221"/>
      <c r="I1052" s="223"/>
      <c r="J1052" s="237"/>
      <c r="K1052" s="223"/>
      <c r="L1052" s="236"/>
      <c r="M1052" s="222"/>
      <c r="N1052" s="224"/>
      <c r="O1052" s="222"/>
      <c r="P1052" s="224"/>
      <c r="Q1052" s="222"/>
      <c r="R1052" s="224"/>
      <c r="S1052" s="239"/>
      <c r="T1052" s="224"/>
      <c r="U1052" s="239"/>
      <c r="V1052" s="224"/>
      <c r="W1052" s="261"/>
    </row>
    <row r="1053" spans="1:23" x14ac:dyDescent="0.25">
      <c r="A1053" s="215"/>
      <c r="B1053" s="215"/>
      <c r="C1053" s="215"/>
      <c r="D1053" s="215"/>
      <c r="E1053" s="221"/>
      <c r="F1053" s="221"/>
      <c r="G1053" s="222"/>
      <c r="H1053" s="221"/>
      <c r="I1053" s="223"/>
      <c r="J1053" s="237"/>
      <c r="K1053" s="223"/>
      <c r="L1053" s="236"/>
      <c r="M1053" s="222"/>
      <c r="N1053" s="224"/>
      <c r="O1053" s="222"/>
      <c r="P1053" s="224"/>
      <c r="Q1053" s="222"/>
      <c r="R1053" s="224"/>
      <c r="S1053" s="239"/>
      <c r="T1053" s="224"/>
      <c r="U1053" s="239"/>
      <c r="V1053" s="224"/>
      <c r="W1053" s="261"/>
    </row>
    <row r="1054" spans="1:23" x14ac:dyDescent="0.25">
      <c r="A1054" s="215"/>
      <c r="B1054" s="215"/>
      <c r="C1054" s="215"/>
      <c r="D1054" s="215"/>
      <c r="E1054" s="221"/>
      <c r="F1054" s="221"/>
      <c r="G1054" s="222"/>
      <c r="H1054" s="221"/>
      <c r="I1054" s="223"/>
      <c r="J1054" s="237"/>
      <c r="K1054" s="223"/>
      <c r="L1054" s="236"/>
      <c r="M1054" s="222"/>
      <c r="N1054" s="224"/>
      <c r="O1054" s="222"/>
      <c r="P1054" s="224"/>
      <c r="Q1054" s="222"/>
      <c r="R1054" s="224"/>
      <c r="S1054" s="239"/>
      <c r="T1054" s="224"/>
      <c r="U1054" s="239"/>
      <c r="V1054" s="224"/>
      <c r="W1054" s="261"/>
    </row>
    <row r="1055" spans="1:23" x14ac:dyDescent="0.25">
      <c r="A1055" s="215"/>
      <c r="B1055" s="215"/>
      <c r="C1055" s="215"/>
      <c r="D1055" s="215"/>
      <c r="E1055" s="221"/>
      <c r="F1055" s="221"/>
      <c r="G1055" s="222"/>
      <c r="H1055" s="221"/>
      <c r="I1055" s="223"/>
      <c r="J1055" s="237"/>
      <c r="K1055" s="223"/>
      <c r="L1055" s="236"/>
      <c r="M1055" s="222"/>
      <c r="N1055" s="224"/>
      <c r="O1055" s="222"/>
      <c r="P1055" s="224"/>
      <c r="Q1055" s="222"/>
      <c r="R1055" s="224"/>
      <c r="S1055" s="239"/>
      <c r="T1055" s="224"/>
      <c r="U1055" s="239"/>
      <c r="V1055" s="224"/>
      <c r="W1055" s="261"/>
    </row>
    <row r="1056" spans="1:23" x14ac:dyDescent="0.25">
      <c r="A1056" s="215"/>
      <c r="B1056" s="215"/>
      <c r="C1056" s="215"/>
      <c r="D1056" s="215"/>
      <c r="E1056" s="221"/>
      <c r="F1056" s="221"/>
      <c r="G1056" s="222"/>
      <c r="H1056" s="221"/>
      <c r="I1056" s="223"/>
      <c r="J1056" s="237"/>
      <c r="K1056" s="223"/>
      <c r="L1056" s="236"/>
      <c r="M1056" s="222"/>
      <c r="N1056" s="224"/>
      <c r="O1056" s="222"/>
      <c r="P1056" s="224"/>
      <c r="Q1056" s="222"/>
      <c r="R1056" s="224"/>
      <c r="S1056" s="239"/>
      <c r="T1056" s="224"/>
      <c r="U1056" s="239"/>
      <c r="V1056" s="224"/>
      <c r="W1056" s="261"/>
    </row>
    <row r="1057" spans="1:23" x14ac:dyDescent="0.25">
      <c r="A1057" s="215"/>
      <c r="B1057" s="215"/>
      <c r="C1057" s="215"/>
      <c r="D1057" s="215"/>
      <c r="E1057" s="221"/>
      <c r="F1057" s="221"/>
      <c r="G1057" s="222"/>
      <c r="H1057" s="221"/>
      <c r="I1057" s="223"/>
      <c r="J1057" s="237"/>
      <c r="K1057" s="223"/>
      <c r="L1057" s="236"/>
      <c r="M1057" s="222"/>
      <c r="N1057" s="224"/>
      <c r="O1057" s="222"/>
      <c r="P1057" s="224"/>
      <c r="Q1057" s="222"/>
      <c r="R1057" s="224"/>
      <c r="S1057" s="239"/>
      <c r="T1057" s="224"/>
      <c r="U1057" s="239"/>
      <c r="V1057" s="224"/>
      <c r="W1057" s="261"/>
    </row>
    <row r="1058" spans="1:23" x14ac:dyDescent="0.25">
      <c r="A1058" s="215"/>
      <c r="B1058" s="215"/>
      <c r="C1058" s="215"/>
      <c r="D1058" s="215"/>
      <c r="E1058" s="221"/>
      <c r="F1058" s="221"/>
      <c r="G1058" s="222"/>
      <c r="H1058" s="221"/>
      <c r="I1058" s="223"/>
      <c r="J1058" s="237"/>
      <c r="K1058" s="223"/>
      <c r="L1058" s="236"/>
      <c r="M1058" s="222"/>
      <c r="N1058" s="224"/>
      <c r="O1058" s="222"/>
      <c r="P1058" s="224"/>
      <c r="Q1058" s="222"/>
      <c r="R1058" s="224"/>
      <c r="S1058" s="239"/>
      <c r="T1058" s="224"/>
      <c r="U1058" s="239"/>
      <c r="V1058" s="224"/>
      <c r="W1058" s="261"/>
    </row>
    <row r="1059" spans="1:23" x14ac:dyDescent="0.25">
      <c r="A1059" s="215"/>
      <c r="B1059" s="215"/>
      <c r="C1059" s="215"/>
      <c r="D1059" s="215"/>
      <c r="E1059" s="221"/>
      <c r="F1059" s="221"/>
      <c r="G1059" s="222"/>
      <c r="H1059" s="221"/>
      <c r="I1059" s="223"/>
      <c r="J1059" s="237"/>
      <c r="K1059" s="223"/>
      <c r="L1059" s="236"/>
      <c r="M1059" s="222"/>
      <c r="N1059" s="224"/>
      <c r="O1059" s="222"/>
      <c r="P1059" s="224"/>
      <c r="Q1059" s="222"/>
      <c r="R1059" s="224"/>
      <c r="S1059" s="239"/>
      <c r="T1059" s="224"/>
      <c r="U1059" s="239"/>
      <c r="V1059" s="224"/>
      <c r="W1059" s="261"/>
    </row>
    <row r="1060" spans="1:23" x14ac:dyDescent="0.25">
      <c r="A1060" s="215"/>
      <c r="B1060" s="215"/>
      <c r="C1060" s="215"/>
      <c r="D1060" s="215"/>
      <c r="E1060" s="221"/>
      <c r="F1060" s="221"/>
      <c r="G1060" s="222"/>
      <c r="H1060" s="221"/>
      <c r="I1060" s="223"/>
      <c r="J1060" s="237"/>
      <c r="K1060" s="223"/>
      <c r="L1060" s="236"/>
      <c r="M1060" s="222"/>
      <c r="N1060" s="224"/>
      <c r="O1060" s="222"/>
      <c r="P1060" s="224"/>
      <c r="Q1060" s="222"/>
      <c r="R1060" s="224"/>
      <c r="S1060" s="239"/>
      <c r="T1060" s="224"/>
      <c r="U1060" s="239"/>
      <c r="V1060" s="224"/>
      <c r="W1060" s="261"/>
    </row>
    <row r="1061" spans="1:23" x14ac:dyDescent="0.25">
      <c r="A1061" s="215"/>
      <c r="B1061" s="215"/>
      <c r="C1061" s="215"/>
      <c r="D1061" s="215"/>
      <c r="E1061" s="221"/>
      <c r="F1061" s="221"/>
      <c r="G1061" s="222"/>
      <c r="H1061" s="221"/>
      <c r="I1061" s="223"/>
      <c r="J1061" s="237"/>
      <c r="K1061" s="223"/>
      <c r="L1061" s="236"/>
      <c r="M1061" s="222"/>
      <c r="N1061" s="224"/>
      <c r="O1061" s="222"/>
      <c r="P1061" s="224"/>
      <c r="Q1061" s="222"/>
      <c r="R1061" s="224"/>
      <c r="S1061" s="239"/>
      <c r="T1061" s="224"/>
      <c r="U1061" s="239"/>
      <c r="V1061" s="224"/>
      <c r="W1061" s="261"/>
    </row>
    <row r="1062" spans="1:23" x14ac:dyDescent="0.25">
      <c r="A1062" s="215"/>
      <c r="B1062" s="215"/>
      <c r="C1062" s="215"/>
      <c r="D1062" s="215"/>
      <c r="E1062" s="221"/>
      <c r="F1062" s="221"/>
      <c r="G1062" s="222"/>
      <c r="H1062" s="221"/>
      <c r="I1062" s="223"/>
      <c r="J1062" s="237"/>
      <c r="K1062" s="223"/>
      <c r="L1062" s="236"/>
      <c r="M1062" s="222"/>
      <c r="N1062" s="224"/>
      <c r="O1062" s="222"/>
      <c r="P1062" s="224"/>
      <c r="Q1062" s="222"/>
      <c r="R1062" s="224"/>
      <c r="S1062" s="239"/>
      <c r="T1062" s="224"/>
      <c r="U1062" s="239"/>
      <c r="V1062" s="224"/>
      <c r="W1062" s="261"/>
    </row>
    <row r="1063" spans="1:23" x14ac:dyDescent="0.25">
      <c r="A1063" s="215"/>
      <c r="B1063" s="215"/>
      <c r="C1063" s="215"/>
      <c r="D1063" s="215"/>
      <c r="E1063" s="221"/>
      <c r="F1063" s="221"/>
      <c r="G1063" s="222"/>
      <c r="H1063" s="221"/>
      <c r="I1063" s="223"/>
      <c r="J1063" s="237"/>
      <c r="K1063" s="223"/>
      <c r="L1063" s="236"/>
      <c r="M1063" s="222"/>
      <c r="N1063" s="224"/>
      <c r="O1063" s="222"/>
      <c r="P1063" s="224"/>
      <c r="Q1063" s="222"/>
      <c r="R1063" s="224"/>
      <c r="S1063" s="239"/>
      <c r="T1063" s="224"/>
      <c r="U1063" s="239"/>
      <c r="V1063" s="224"/>
      <c r="W1063" s="261"/>
    </row>
    <row r="1064" spans="1:23" x14ac:dyDescent="0.25">
      <c r="A1064" s="215"/>
      <c r="B1064" s="215"/>
      <c r="C1064" s="215"/>
      <c r="D1064" s="215"/>
      <c r="E1064" s="221"/>
      <c r="F1064" s="221"/>
      <c r="G1064" s="222"/>
      <c r="H1064" s="221"/>
      <c r="I1064" s="223"/>
      <c r="J1064" s="237"/>
      <c r="K1064" s="223"/>
      <c r="L1064" s="236"/>
      <c r="M1064" s="222"/>
      <c r="N1064" s="224"/>
      <c r="O1064" s="222"/>
      <c r="P1064" s="224"/>
      <c r="Q1064" s="222"/>
      <c r="R1064" s="224"/>
      <c r="S1064" s="239"/>
      <c r="T1064" s="224"/>
      <c r="U1064" s="239"/>
      <c r="V1064" s="224"/>
      <c r="W1064" s="261"/>
    </row>
    <row r="1065" spans="1:23" x14ac:dyDescent="0.25">
      <c r="A1065" s="215"/>
      <c r="B1065" s="215"/>
      <c r="C1065" s="215"/>
      <c r="D1065" s="215"/>
      <c r="E1065" s="221"/>
      <c r="F1065" s="221"/>
      <c r="G1065" s="222"/>
      <c r="H1065" s="221"/>
      <c r="I1065" s="223"/>
      <c r="J1065" s="237"/>
      <c r="K1065" s="223"/>
      <c r="L1065" s="236"/>
      <c r="M1065" s="222"/>
      <c r="N1065" s="224"/>
      <c r="O1065" s="222"/>
      <c r="P1065" s="224"/>
      <c r="Q1065" s="222"/>
      <c r="R1065" s="224"/>
      <c r="S1065" s="239"/>
      <c r="T1065" s="224"/>
      <c r="U1065" s="239"/>
      <c r="V1065" s="224"/>
      <c r="W1065" s="261"/>
    </row>
    <row r="1066" spans="1:23" x14ac:dyDescent="0.25">
      <c r="A1066" s="215"/>
      <c r="B1066" s="215"/>
      <c r="C1066" s="215"/>
      <c r="D1066" s="215"/>
      <c r="E1066" s="221"/>
      <c r="F1066" s="221"/>
      <c r="G1066" s="222"/>
      <c r="H1066" s="221"/>
      <c r="I1066" s="223"/>
      <c r="J1066" s="237"/>
      <c r="K1066" s="223"/>
      <c r="L1066" s="236"/>
      <c r="M1066" s="222"/>
      <c r="N1066" s="224"/>
      <c r="O1066" s="222"/>
      <c r="P1066" s="224"/>
      <c r="Q1066" s="222"/>
      <c r="R1066" s="224"/>
      <c r="S1066" s="239"/>
      <c r="T1066" s="224"/>
      <c r="U1066" s="239"/>
      <c r="V1066" s="224"/>
      <c r="W1066" s="261"/>
    </row>
    <row r="1067" spans="1:23" x14ac:dyDescent="0.25">
      <c r="A1067" s="215"/>
      <c r="B1067" s="215"/>
      <c r="C1067" s="215"/>
      <c r="D1067" s="215"/>
      <c r="E1067" s="221"/>
      <c r="F1067" s="221"/>
      <c r="G1067" s="222"/>
      <c r="H1067" s="221"/>
      <c r="I1067" s="223"/>
      <c r="J1067" s="237"/>
      <c r="K1067" s="223"/>
      <c r="L1067" s="236"/>
      <c r="M1067" s="222"/>
      <c r="N1067" s="224"/>
      <c r="O1067" s="222"/>
      <c r="P1067" s="224"/>
      <c r="Q1067" s="222"/>
      <c r="R1067" s="224"/>
      <c r="S1067" s="239"/>
      <c r="T1067" s="224"/>
      <c r="U1067" s="239"/>
      <c r="V1067" s="224"/>
      <c r="W1067" s="261"/>
    </row>
    <row r="1068" spans="1:23" x14ac:dyDescent="0.25">
      <c r="A1068" s="215"/>
      <c r="B1068" s="215"/>
      <c r="C1068" s="215"/>
      <c r="D1068" s="215"/>
      <c r="E1068" s="221"/>
      <c r="F1068" s="221"/>
      <c r="G1068" s="222"/>
      <c r="H1068" s="221"/>
      <c r="I1068" s="223"/>
      <c r="J1068" s="237"/>
      <c r="K1068" s="223"/>
      <c r="L1068" s="236"/>
      <c r="M1068" s="222"/>
      <c r="N1068" s="224"/>
      <c r="O1068" s="222"/>
      <c r="P1068" s="224"/>
      <c r="Q1068" s="222"/>
      <c r="R1068" s="224"/>
      <c r="S1068" s="239"/>
      <c r="T1068" s="224"/>
      <c r="U1068" s="239"/>
      <c r="V1068" s="224"/>
      <c r="W1068" s="261"/>
    </row>
    <row r="1069" spans="1:23" x14ac:dyDescent="0.25">
      <c r="A1069" s="215"/>
      <c r="B1069" s="215"/>
      <c r="C1069" s="215"/>
      <c r="D1069" s="215"/>
      <c r="E1069" s="221"/>
      <c r="F1069" s="221"/>
      <c r="G1069" s="222"/>
      <c r="H1069" s="221"/>
      <c r="I1069" s="223"/>
      <c r="J1069" s="237"/>
      <c r="K1069" s="223"/>
      <c r="L1069" s="236"/>
      <c r="M1069" s="222"/>
      <c r="N1069" s="224"/>
      <c r="O1069" s="222"/>
      <c r="P1069" s="224"/>
      <c r="Q1069" s="222"/>
      <c r="R1069" s="224"/>
      <c r="S1069" s="239"/>
      <c r="T1069" s="224"/>
      <c r="U1069" s="239"/>
      <c r="V1069" s="224"/>
      <c r="W1069" s="261"/>
    </row>
    <row r="1070" spans="1:23" x14ac:dyDescent="0.25">
      <c r="A1070" s="215"/>
      <c r="B1070" s="215"/>
      <c r="C1070" s="215"/>
      <c r="D1070" s="215"/>
      <c r="E1070" s="221"/>
      <c r="F1070" s="221"/>
      <c r="G1070" s="222"/>
      <c r="H1070" s="221"/>
      <c r="I1070" s="223"/>
      <c r="J1070" s="237"/>
      <c r="K1070" s="223"/>
      <c r="L1070" s="236"/>
      <c r="M1070" s="222"/>
      <c r="N1070" s="224"/>
      <c r="O1070" s="222"/>
      <c r="P1070" s="224"/>
      <c r="Q1070" s="222"/>
      <c r="R1070" s="224"/>
      <c r="S1070" s="239"/>
      <c r="T1070" s="224"/>
      <c r="U1070" s="239"/>
      <c r="V1070" s="224"/>
      <c r="W1070" s="261"/>
    </row>
    <row r="1071" spans="1:23" x14ac:dyDescent="0.25">
      <c r="A1071" s="215"/>
      <c r="B1071" s="215"/>
      <c r="C1071" s="215"/>
      <c r="D1071" s="215"/>
      <c r="E1071" s="221"/>
      <c r="F1071" s="221"/>
      <c r="G1071" s="222"/>
      <c r="H1071" s="221"/>
      <c r="I1071" s="223"/>
      <c r="J1071" s="237"/>
      <c r="K1071" s="223"/>
      <c r="L1071" s="236"/>
      <c r="M1071" s="222"/>
      <c r="N1071" s="224"/>
      <c r="O1071" s="222"/>
      <c r="P1071" s="224"/>
      <c r="Q1071" s="222"/>
      <c r="R1071" s="224"/>
      <c r="S1071" s="239"/>
      <c r="T1071" s="224"/>
      <c r="U1071" s="239"/>
      <c r="V1071" s="224"/>
      <c r="W1071" s="261"/>
    </row>
    <row r="1072" spans="1:23" x14ac:dyDescent="0.25">
      <c r="A1072" s="215"/>
      <c r="B1072" s="215"/>
      <c r="C1072" s="215"/>
      <c r="D1072" s="215"/>
      <c r="E1072" s="221"/>
      <c r="F1072" s="221"/>
      <c r="G1072" s="222"/>
      <c r="H1072" s="221"/>
      <c r="I1072" s="223"/>
      <c r="J1072" s="237"/>
      <c r="K1072" s="223"/>
      <c r="L1072" s="236"/>
      <c r="M1072" s="222"/>
      <c r="N1072" s="224"/>
      <c r="O1072" s="222"/>
      <c r="P1072" s="224"/>
      <c r="Q1072" s="222"/>
      <c r="R1072" s="224"/>
      <c r="S1072" s="239"/>
      <c r="T1072" s="224"/>
      <c r="U1072" s="239"/>
      <c r="V1072" s="224"/>
      <c r="W1072" s="261"/>
    </row>
    <row r="1073" spans="1:23" x14ac:dyDescent="0.25">
      <c r="A1073" s="215"/>
      <c r="B1073" s="215"/>
      <c r="C1073" s="215"/>
      <c r="D1073" s="215"/>
      <c r="E1073" s="221"/>
      <c r="F1073" s="221"/>
      <c r="G1073" s="222"/>
      <c r="H1073" s="221"/>
      <c r="I1073" s="223"/>
      <c r="J1073" s="237"/>
      <c r="K1073" s="223"/>
      <c r="L1073" s="236"/>
      <c r="M1073" s="222"/>
      <c r="N1073" s="224"/>
      <c r="O1073" s="222"/>
      <c r="P1073" s="224"/>
      <c r="Q1073" s="222"/>
      <c r="R1073" s="224"/>
      <c r="S1073" s="239"/>
      <c r="T1073" s="224"/>
      <c r="U1073" s="239"/>
      <c r="V1073" s="224"/>
      <c r="W1073" s="261"/>
    </row>
    <row r="1074" spans="1:23" x14ac:dyDescent="0.25">
      <c r="A1074" s="215"/>
      <c r="B1074" s="215"/>
      <c r="C1074" s="215"/>
      <c r="D1074" s="215"/>
      <c r="E1074" s="221"/>
      <c r="F1074" s="221"/>
      <c r="G1074" s="222"/>
      <c r="H1074" s="221"/>
      <c r="I1074" s="223"/>
      <c r="J1074" s="237"/>
      <c r="K1074" s="223"/>
      <c r="L1074" s="236"/>
      <c r="M1074" s="222"/>
      <c r="N1074" s="224"/>
      <c r="O1074" s="222"/>
      <c r="P1074" s="224"/>
      <c r="Q1074" s="222"/>
      <c r="R1074" s="224"/>
      <c r="S1074" s="239"/>
      <c r="T1074" s="224"/>
      <c r="U1074" s="239"/>
      <c r="V1074" s="224"/>
      <c r="W1074" s="261"/>
    </row>
    <row r="1075" spans="1:23" x14ac:dyDescent="0.25">
      <c r="A1075" s="215"/>
      <c r="B1075" s="215"/>
      <c r="C1075" s="215"/>
      <c r="D1075" s="215"/>
      <c r="E1075" s="221"/>
      <c r="F1075" s="221"/>
      <c r="G1075" s="222"/>
      <c r="H1075" s="221"/>
      <c r="I1075" s="223"/>
      <c r="J1075" s="237"/>
      <c r="K1075" s="223"/>
      <c r="L1075" s="236"/>
      <c r="M1075" s="222"/>
      <c r="N1075" s="224"/>
      <c r="O1075" s="222"/>
      <c r="P1075" s="224"/>
      <c r="Q1075" s="222"/>
      <c r="R1075" s="224"/>
      <c r="S1075" s="239"/>
      <c r="T1075" s="224"/>
      <c r="U1075" s="239"/>
      <c r="V1075" s="224"/>
      <c r="W1075" s="261"/>
    </row>
    <row r="1076" spans="1:23" x14ac:dyDescent="0.25">
      <c r="A1076" s="215"/>
      <c r="B1076" s="215"/>
      <c r="C1076" s="215"/>
      <c r="D1076" s="215"/>
      <c r="E1076" s="221"/>
      <c r="F1076" s="221"/>
      <c r="G1076" s="222"/>
      <c r="H1076" s="221"/>
      <c r="I1076" s="223"/>
      <c r="J1076" s="237"/>
      <c r="K1076" s="223"/>
      <c r="L1076" s="236"/>
      <c r="M1076" s="222"/>
      <c r="N1076" s="224"/>
      <c r="O1076" s="222"/>
      <c r="P1076" s="224"/>
      <c r="Q1076" s="222"/>
      <c r="R1076" s="224"/>
      <c r="S1076" s="239"/>
      <c r="T1076" s="224"/>
      <c r="U1076" s="239"/>
      <c r="V1076" s="224"/>
      <c r="W1076" s="261"/>
    </row>
    <row r="1077" spans="1:23" x14ac:dyDescent="0.25">
      <c r="A1077" s="215"/>
      <c r="B1077" s="215"/>
      <c r="C1077" s="215"/>
      <c r="D1077" s="215"/>
      <c r="E1077" s="221"/>
      <c r="F1077" s="221"/>
      <c r="G1077" s="222"/>
      <c r="H1077" s="221"/>
      <c r="I1077" s="223"/>
      <c r="J1077" s="237"/>
      <c r="K1077" s="223"/>
      <c r="L1077" s="236"/>
      <c r="M1077" s="222"/>
      <c r="N1077" s="224"/>
      <c r="O1077" s="222"/>
      <c r="P1077" s="224"/>
      <c r="Q1077" s="222"/>
      <c r="R1077" s="224"/>
      <c r="S1077" s="239"/>
      <c r="T1077" s="224"/>
      <c r="U1077" s="239"/>
      <c r="V1077" s="224"/>
      <c r="W1077" s="261"/>
    </row>
    <row r="1078" spans="1:23" x14ac:dyDescent="0.25">
      <c r="A1078" s="215"/>
      <c r="B1078" s="215"/>
      <c r="C1078" s="215"/>
      <c r="D1078" s="215"/>
      <c r="E1078" s="221"/>
      <c r="F1078" s="221"/>
      <c r="G1078" s="222"/>
      <c r="H1078" s="221"/>
      <c r="I1078" s="223"/>
      <c r="J1078" s="237"/>
      <c r="K1078" s="223"/>
      <c r="L1078" s="236"/>
      <c r="M1078" s="222"/>
      <c r="N1078" s="224"/>
      <c r="O1078" s="222"/>
      <c r="P1078" s="224"/>
      <c r="Q1078" s="222"/>
      <c r="R1078" s="224"/>
      <c r="S1078" s="239"/>
      <c r="T1078" s="224"/>
      <c r="U1078" s="239"/>
      <c r="V1078" s="224"/>
      <c r="W1078" s="261"/>
    </row>
    <row r="1079" spans="1:23" x14ac:dyDescent="0.25">
      <c r="A1079" s="215"/>
      <c r="B1079" s="215"/>
      <c r="C1079" s="215"/>
      <c r="D1079" s="215"/>
      <c r="E1079" s="221"/>
      <c r="F1079" s="221"/>
      <c r="G1079" s="222"/>
      <c r="H1079" s="221"/>
      <c r="I1079" s="223"/>
      <c r="J1079" s="237"/>
      <c r="K1079" s="223"/>
      <c r="L1079" s="236"/>
      <c r="M1079" s="222"/>
      <c r="N1079" s="224"/>
      <c r="O1079" s="222"/>
      <c r="P1079" s="224"/>
      <c r="Q1079" s="222"/>
      <c r="R1079" s="224"/>
      <c r="S1079" s="239"/>
      <c r="T1079" s="224"/>
      <c r="U1079" s="239"/>
      <c r="V1079" s="224"/>
      <c r="W1079" s="261"/>
    </row>
    <row r="1080" spans="1:23" x14ac:dyDescent="0.25">
      <c r="A1080" s="215"/>
      <c r="B1080" s="215"/>
      <c r="C1080" s="215"/>
      <c r="D1080" s="215"/>
      <c r="E1080" s="221"/>
      <c r="F1080" s="221"/>
      <c r="G1080" s="222"/>
      <c r="H1080" s="221"/>
      <c r="I1080" s="223"/>
      <c r="J1080" s="237"/>
      <c r="K1080" s="223"/>
      <c r="L1080" s="236"/>
      <c r="M1080" s="222"/>
      <c r="N1080" s="224"/>
      <c r="O1080" s="222"/>
      <c r="P1080" s="224"/>
      <c r="Q1080" s="222"/>
      <c r="R1080" s="224"/>
      <c r="S1080" s="239"/>
      <c r="T1080" s="224"/>
      <c r="U1080" s="239"/>
      <c r="V1080" s="224"/>
      <c r="W1080" s="261"/>
    </row>
    <row r="1081" spans="1:23" x14ac:dyDescent="0.25">
      <c r="A1081" s="215"/>
      <c r="B1081" s="215"/>
      <c r="C1081" s="215"/>
      <c r="D1081" s="215"/>
      <c r="E1081" s="221"/>
      <c r="F1081" s="221"/>
      <c r="G1081" s="222"/>
      <c r="H1081" s="221"/>
      <c r="I1081" s="223"/>
      <c r="J1081" s="237"/>
      <c r="K1081" s="223"/>
      <c r="L1081" s="236"/>
      <c r="M1081" s="222"/>
      <c r="N1081" s="224"/>
      <c r="O1081" s="222"/>
      <c r="P1081" s="224"/>
      <c r="Q1081" s="222"/>
      <c r="R1081" s="224"/>
      <c r="S1081" s="239"/>
      <c r="T1081" s="224"/>
      <c r="U1081" s="239"/>
      <c r="V1081" s="224"/>
      <c r="W1081" s="261"/>
    </row>
    <row r="1082" spans="1:23" x14ac:dyDescent="0.25">
      <c r="A1082" s="215"/>
      <c r="B1082" s="215"/>
      <c r="C1082" s="215"/>
      <c r="D1082" s="215"/>
      <c r="E1082" s="221"/>
      <c r="F1082" s="221"/>
      <c r="G1082" s="222"/>
      <c r="H1082" s="221"/>
      <c r="I1082" s="223"/>
      <c r="J1082" s="237"/>
      <c r="K1082" s="223"/>
      <c r="L1082" s="236"/>
      <c r="M1082" s="222"/>
      <c r="N1082" s="224"/>
      <c r="O1082" s="222"/>
      <c r="P1082" s="224"/>
      <c r="Q1082" s="222"/>
      <c r="R1082" s="224"/>
      <c r="S1082" s="239"/>
      <c r="T1082" s="224"/>
      <c r="U1082" s="239"/>
      <c r="V1082" s="224"/>
      <c r="W1082" s="261"/>
    </row>
    <row r="1083" spans="1:23" x14ac:dyDescent="0.25">
      <c r="A1083" s="215"/>
      <c r="B1083" s="215"/>
      <c r="C1083" s="215"/>
      <c r="D1083" s="215"/>
      <c r="E1083" s="221"/>
      <c r="F1083" s="221"/>
      <c r="G1083" s="222"/>
      <c r="H1083" s="221"/>
      <c r="I1083" s="223"/>
      <c r="J1083" s="237"/>
      <c r="K1083" s="223"/>
      <c r="L1083" s="236"/>
      <c r="M1083" s="222"/>
      <c r="N1083" s="224"/>
      <c r="O1083" s="222"/>
      <c r="P1083" s="224"/>
      <c r="Q1083" s="222"/>
      <c r="R1083" s="224"/>
      <c r="S1083" s="239"/>
      <c r="T1083" s="224"/>
      <c r="U1083" s="239"/>
      <c r="V1083" s="224"/>
      <c r="W1083" s="261"/>
    </row>
    <row r="1084" spans="1:23" x14ac:dyDescent="0.25">
      <c r="A1084" s="215"/>
      <c r="B1084" s="215"/>
      <c r="C1084" s="215"/>
      <c r="D1084" s="215"/>
      <c r="E1084" s="221"/>
      <c r="F1084" s="221"/>
      <c r="G1084" s="222"/>
      <c r="H1084" s="221"/>
      <c r="I1084" s="223"/>
      <c r="J1084" s="237"/>
      <c r="K1084" s="223"/>
      <c r="L1084" s="236"/>
      <c r="M1084" s="222"/>
      <c r="N1084" s="224"/>
      <c r="O1084" s="222"/>
      <c r="P1084" s="224"/>
      <c r="Q1084" s="222"/>
      <c r="R1084" s="224"/>
      <c r="S1084" s="239"/>
      <c r="T1084" s="224"/>
      <c r="U1084" s="239"/>
      <c r="V1084" s="224"/>
      <c r="W1084" s="261"/>
    </row>
    <row r="1085" spans="1:23" x14ac:dyDescent="0.25">
      <c r="A1085" s="215"/>
      <c r="B1085" s="215"/>
      <c r="C1085" s="215"/>
      <c r="D1085" s="215"/>
      <c r="E1085" s="221"/>
      <c r="F1085" s="221"/>
      <c r="G1085" s="222"/>
      <c r="H1085" s="221"/>
      <c r="I1085" s="223"/>
      <c r="J1085" s="237"/>
      <c r="K1085" s="223"/>
      <c r="L1085" s="236"/>
      <c r="M1085" s="222"/>
      <c r="N1085" s="224"/>
      <c r="O1085" s="222"/>
      <c r="P1085" s="224"/>
      <c r="Q1085" s="222"/>
      <c r="R1085" s="224"/>
      <c r="S1085" s="239"/>
      <c r="T1085" s="224"/>
      <c r="U1085" s="239"/>
      <c r="V1085" s="224"/>
      <c r="W1085" s="261"/>
    </row>
    <row r="1086" spans="1:23" x14ac:dyDescent="0.25">
      <c r="A1086" s="215"/>
      <c r="B1086" s="215"/>
      <c r="C1086" s="215"/>
      <c r="D1086" s="215"/>
      <c r="E1086" s="221"/>
      <c r="F1086" s="221"/>
      <c r="G1086" s="222"/>
      <c r="H1086" s="221"/>
      <c r="I1086" s="223"/>
      <c r="J1086" s="237"/>
      <c r="K1086" s="223"/>
      <c r="L1086" s="236"/>
      <c r="M1086" s="222"/>
      <c r="N1086" s="224"/>
      <c r="O1086" s="222"/>
      <c r="P1086" s="224"/>
      <c r="Q1086" s="222"/>
      <c r="R1086" s="224"/>
      <c r="S1086" s="239"/>
      <c r="T1086" s="224"/>
      <c r="U1086" s="239"/>
      <c r="V1086" s="224"/>
      <c r="W1086" s="261"/>
    </row>
    <row r="1087" spans="1:23" x14ac:dyDescent="0.25">
      <c r="A1087" s="215"/>
      <c r="B1087" s="215"/>
      <c r="C1087" s="215"/>
      <c r="D1087" s="215"/>
      <c r="E1087" s="221"/>
      <c r="F1087" s="221"/>
      <c r="G1087" s="222"/>
      <c r="H1087" s="221"/>
      <c r="I1087" s="223"/>
      <c r="J1087" s="237"/>
      <c r="K1087" s="223"/>
      <c r="L1087" s="236"/>
      <c r="M1087" s="222"/>
      <c r="N1087" s="224"/>
      <c r="O1087" s="222"/>
      <c r="P1087" s="224"/>
      <c r="Q1087" s="222"/>
      <c r="R1087" s="224"/>
      <c r="S1087" s="239"/>
      <c r="T1087" s="224"/>
      <c r="U1087" s="239"/>
      <c r="V1087" s="224"/>
      <c r="W1087" s="261"/>
    </row>
    <row r="1088" spans="1:23" x14ac:dyDescent="0.25">
      <c r="A1088" s="215"/>
      <c r="B1088" s="215"/>
      <c r="C1088" s="215"/>
      <c r="D1088" s="215"/>
      <c r="E1088" s="221"/>
      <c r="F1088" s="221"/>
      <c r="G1088" s="222"/>
      <c r="H1088" s="221"/>
      <c r="I1088" s="223"/>
      <c r="J1088" s="237"/>
      <c r="K1088" s="223"/>
      <c r="L1088" s="236"/>
      <c r="M1088" s="222"/>
      <c r="N1088" s="224"/>
      <c r="O1088" s="222"/>
      <c r="P1088" s="224"/>
      <c r="Q1088" s="222"/>
      <c r="R1088" s="224"/>
      <c r="S1088" s="239"/>
      <c r="T1088" s="224"/>
      <c r="U1088" s="239"/>
      <c r="V1088" s="224"/>
      <c r="W1088" s="261"/>
    </row>
    <row r="1089" spans="1:23" x14ac:dyDescent="0.25">
      <c r="A1089" s="215"/>
      <c r="B1089" s="215"/>
      <c r="C1089" s="215"/>
      <c r="D1089" s="215"/>
      <c r="E1089" s="221"/>
      <c r="F1089" s="221"/>
      <c r="G1089" s="222"/>
      <c r="H1089" s="221"/>
      <c r="I1089" s="223"/>
      <c r="J1089" s="237"/>
      <c r="K1089" s="223"/>
      <c r="L1089" s="236"/>
      <c r="M1089" s="222"/>
      <c r="N1089" s="224"/>
      <c r="O1089" s="222"/>
      <c r="P1089" s="224"/>
      <c r="Q1089" s="222"/>
      <c r="R1089" s="224"/>
      <c r="S1089" s="239"/>
      <c r="T1089" s="224"/>
      <c r="U1089" s="239"/>
      <c r="V1089" s="224"/>
      <c r="W1089" s="261"/>
    </row>
    <row r="1090" spans="1:23" x14ac:dyDescent="0.25">
      <c r="A1090" s="215"/>
      <c r="B1090" s="215"/>
      <c r="C1090" s="215"/>
      <c r="D1090" s="215"/>
      <c r="E1090" s="221"/>
      <c r="F1090" s="221"/>
      <c r="G1090" s="222"/>
      <c r="H1090" s="221"/>
      <c r="I1090" s="223"/>
      <c r="J1090" s="237"/>
      <c r="K1090" s="223"/>
      <c r="L1090" s="236"/>
      <c r="M1090" s="222"/>
      <c r="N1090" s="224"/>
      <c r="O1090" s="222"/>
      <c r="P1090" s="224"/>
      <c r="Q1090" s="222"/>
      <c r="R1090" s="224"/>
      <c r="S1090" s="239"/>
      <c r="T1090" s="224"/>
      <c r="U1090" s="239"/>
      <c r="V1090" s="224"/>
      <c r="W1090" s="261"/>
    </row>
    <row r="1091" spans="1:23" x14ac:dyDescent="0.25">
      <c r="A1091" s="215"/>
      <c r="B1091" s="215"/>
      <c r="C1091" s="215"/>
      <c r="D1091" s="215"/>
      <c r="E1091" s="221"/>
      <c r="F1091" s="221"/>
      <c r="G1091" s="222"/>
      <c r="H1091" s="221"/>
      <c r="I1091" s="223"/>
      <c r="J1091" s="237"/>
      <c r="K1091" s="223"/>
      <c r="L1091" s="236"/>
      <c r="M1091" s="222"/>
      <c r="N1091" s="224"/>
      <c r="O1091" s="222"/>
      <c r="P1091" s="224"/>
      <c r="Q1091" s="222"/>
      <c r="R1091" s="224"/>
      <c r="S1091" s="239"/>
      <c r="T1091" s="224"/>
      <c r="U1091" s="239"/>
      <c r="V1091" s="224"/>
      <c r="W1091" s="261"/>
    </row>
    <row r="1092" spans="1:23" x14ac:dyDescent="0.25">
      <c r="A1092" s="215"/>
      <c r="B1092" s="215"/>
      <c r="C1092" s="215"/>
      <c r="D1092" s="215"/>
      <c r="E1092" s="221"/>
      <c r="F1092" s="221"/>
      <c r="G1092" s="222"/>
      <c r="H1092" s="221"/>
      <c r="I1092" s="223"/>
      <c r="J1092" s="237"/>
      <c r="K1092" s="223"/>
      <c r="L1092" s="236"/>
      <c r="M1092" s="222"/>
      <c r="N1092" s="224"/>
      <c r="O1092" s="222"/>
      <c r="P1092" s="224"/>
      <c r="Q1092" s="222"/>
      <c r="R1092" s="224"/>
      <c r="S1092" s="239"/>
      <c r="T1092" s="224"/>
      <c r="U1092" s="239"/>
      <c r="V1092" s="224"/>
      <c r="W1092" s="261"/>
    </row>
    <row r="1093" spans="1:23" x14ac:dyDescent="0.25">
      <c r="A1093" s="215"/>
      <c r="B1093" s="215"/>
      <c r="C1093" s="215"/>
      <c r="D1093" s="215"/>
      <c r="E1093" s="221"/>
      <c r="F1093" s="221"/>
      <c r="G1093" s="222"/>
      <c r="H1093" s="221"/>
      <c r="I1093" s="223"/>
      <c r="J1093" s="237"/>
      <c r="K1093" s="223"/>
      <c r="L1093" s="236"/>
      <c r="M1093" s="222"/>
      <c r="N1093" s="224"/>
      <c r="O1093" s="222"/>
      <c r="P1093" s="224"/>
      <c r="Q1093" s="222"/>
      <c r="R1093" s="224"/>
      <c r="S1093" s="239"/>
      <c r="T1093" s="224"/>
      <c r="U1093" s="239"/>
      <c r="V1093" s="224"/>
      <c r="W1093" s="261"/>
    </row>
    <row r="1094" spans="1:23" x14ac:dyDescent="0.25">
      <c r="A1094" s="215"/>
      <c r="B1094" s="215"/>
      <c r="C1094" s="215"/>
      <c r="D1094" s="215"/>
      <c r="E1094" s="221"/>
      <c r="F1094" s="221"/>
      <c r="G1094" s="222"/>
      <c r="H1094" s="221"/>
      <c r="I1094" s="223"/>
      <c r="J1094" s="237"/>
      <c r="K1094" s="223"/>
      <c r="L1094" s="236"/>
      <c r="M1094" s="222"/>
      <c r="N1094" s="224"/>
      <c r="O1094" s="222"/>
      <c r="P1094" s="224"/>
      <c r="Q1094" s="222"/>
      <c r="R1094" s="224"/>
      <c r="S1094" s="239"/>
      <c r="T1094" s="224"/>
      <c r="U1094" s="239"/>
      <c r="V1094" s="224"/>
      <c r="W1094" s="261"/>
    </row>
    <row r="1095" spans="1:23" x14ac:dyDescent="0.25">
      <c r="A1095" s="215"/>
      <c r="B1095" s="215"/>
      <c r="C1095" s="215"/>
      <c r="D1095" s="215"/>
      <c r="E1095" s="221"/>
      <c r="F1095" s="221"/>
      <c r="G1095" s="222"/>
      <c r="H1095" s="221"/>
      <c r="I1095" s="223"/>
      <c r="J1095" s="237"/>
      <c r="K1095" s="223"/>
      <c r="L1095" s="236"/>
      <c r="M1095" s="222"/>
      <c r="N1095" s="224"/>
      <c r="O1095" s="222"/>
      <c r="P1095" s="224"/>
      <c r="Q1095" s="222"/>
      <c r="R1095" s="224"/>
      <c r="S1095" s="239"/>
      <c r="T1095" s="224"/>
      <c r="U1095" s="239"/>
      <c r="V1095" s="224"/>
      <c r="W1095" s="261"/>
    </row>
    <row r="1096" spans="1:23" x14ac:dyDescent="0.25">
      <c r="A1096" s="215"/>
      <c r="B1096" s="215"/>
      <c r="C1096" s="215"/>
      <c r="D1096" s="215"/>
      <c r="E1096" s="221"/>
      <c r="F1096" s="221"/>
      <c r="G1096" s="222"/>
      <c r="H1096" s="221"/>
      <c r="I1096" s="223"/>
      <c r="J1096" s="237"/>
      <c r="K1096" s="223"/>
      <c r="L1096" s="236"/>
      <c r="M1096" s="222"/>
      <c r="N1096" s="224"/>
      <c r="O1096" s="222"/>
      <c r="P1096" s="224"/>
      <c r="Q1096" s="222"/>
      <c r="R1096" s="224"/>
      <c r="S1096" s="239"/>
      <c r="T1096" s="224"/>
      <c r="U1096" s="239"/>
      <c r="V1096" s="224"/>
      <c r="W1096" s="261"/>
    </row>
    <row r="1097" spans="1:23" x14ac:dyDescent="0.25">
      <c r="A1097" s="215"/>
      <c r="B1097" s="215"/>
      <c r="C1097" s="215"/>
      <c r="D1097" s="215"/>
      <c r="E1097" s="221"/>
      <c r="F1097" s="221"/>
      <c r="G1097" s="222"/>
      <c r="H1097" s="221"/>
      <c r="I1097" s="223"/>
      <c r="J1097" s="237"/>
      <c r="K1097" s="223"/>
      <c r="L1097" s="236"/>
      <c r="M1097" s="222"/>
      <c r="N1097" s="224"/>
      <c r="O1097" s="222"/>
      <c r="P1097" s="224"/>
      <c r="Q1097" s="222"/>
      <c r="R1097" s="224"/>
      <c r="S1097" s="239"/>
      <c r="T1097" s="224"/>
      <c r="U1097" s="239"/>
      <c r="V1097" s="224"/>
      <c r="W1097" s="261"/>
    </row>
    <row r="1098" spans="1:23" x14ac:dyDescent="0.25">
      <c r="A1098" s="215"/>
      <c r="B1098" s="215"/>
      <c r="C1098" s="215"/>
      <c r="D1098" s="215"/>
      <c r="E1098" s="221"/>
      <c r="F1098" s="221"/>
      <c r="G1098" s="222"/>
      <c r="H1098" s="221"/>
      <c r="I1098" s="223"/>
      <c r="J1098" s="237"/>
      <c r="K1098" s="223"/>
      <c r="L1098" s="236"/>
      <c r="M1098" s="222"/>
      <c r="N1098" s="224"/>
      <c r="O1098" s="222"/>
      <c r="P1098" s="224"/>
      <c r="Q1098" s="222"/>
      <c r="R1098" s="224"/>
      <c r="S1098" s="239"/>
      <c r="T1098" s="224"/>
      <c r="U1098" s="239"/>
      <c r="V1098" s="224"/>
      <c r="W1098" s="261"/>
    </row>
    <row r="1099" spans="1:23" x14ac:dyDescent="0.25">
      <c r="A1099" s="215"/>
      <c r="B1099" s="215"/>
      <c r="C1099" s="215"/>
      <c r="D1099" s="215"/>
      <c r="E1099" s="221"/>
      <c r="F1099" s="221"/>
      <c r="G1099" s="222"/>
      <c r="H1099" s="221"/>
      <c r="I1099" s="223"/>
      <c r="J1099" s="237"/>
      <c r="K1099" s="223"/>
      <c r="L1099" s="236"/>
      <c r="M1099" s="222"/>
      <c r="N1099" s="224"/>
      <c r="O1099" s="222"/>
      <c r="P1099" s="224"/>
      <c r="Q1099" s="222"/>
      <c r="R1099" s="224"/>
      <c r="S1099" s="239"/>
      <c r="T1099" s="224"/>
      <c r="U1099" s="239"/>
      <c r="V1099" s="224"/>
      <c r="W1099" s="261"/>
    </row>
    <row r="1100" spans="1:23" x14ac:dyDescent="0.25">
      <c r="A1100" s="215"/>
      <c r="B1100" s="215"/>
      <c r="C1100" s="215"/>
      <c r="D1100" s="215"/>
      <c r="E1100" s="221"/>
      <c r="F1100" s="221"/>
      <c r="G1100" s="222"/>
      <c r="H1100" s="221"/>
      <c r="I1100" s="223"/>
      <c r="J1100" s="237"/>
      <c r="K1100" s="223"/>
      <c r="L1100" s="236"/>
      <c r="M1100" s="222"/>
      <c r="N1100" s="224"/>
      <c r="O1100" s="222"/>
      <c r="P1100" s="224"/>
      <c r="Q1100" s="222"/>
      <c r="R1100" s="224"/>
      <c r="S1100" s="239"/>
      <c r="T1100" s="224"/>
      <c r="U1100" s="239"/>
      <c r="V1100" s="224"/>
      <c r="W1100" s="261"/>
    </row>
    <row r="1101" spans="1:23" x14ac:dyDescent="0.25">
      <c r="A1101" s="215"/>
      <c r="B1101" s="215"/>
      <c r="C1101" s="215"/>
      <c r="D1101" s="215"/>
      <c r="E1101" s="221"/>
      <c r="F1101" s="221"/>
      <c r="G1101" s="222"/>
      <c r="H1101" s="221"/>
      <c r="I1101" s="223"/>
      <c r="J1101" s="237"/>
      <c r="K1101" s="223"/>
      <c r="L1101" s="236"/>
      <c r="M1101" s="222"/>
      <c r="N1101" s="224"/>
      <c r="O1101" s="222"/>
      <c r="P1101" s="224"/>
      <c r="Q1101" s="222"/>
      <c r="R1101" s="224"/>
      <c r="S1101" s="239"/>
      <c r="T1101" s="224"/>
      <c r="U1101" s="239"/>
      <c r="V1101" s="224"/>
      <c r="W1101" s="261"/>
    </row>
    <row r="1102" spans="1:23" x14ac:dyDescent="0.25">
      <c r="A1102" s="215"/>
      <c r="B1102" s="215"/>
      <c r="C1102" s="215"/>
      <c r="D1102" s="215"/>
      <c r="E1102" s="221"/>
      <c r="F1102" s="221"/>
      <c r="G1102" s="222"/>
      <c r="H1102" s="221"/>
      <c r="I1102" s="223"/>
      <c r="J1102" s="237"/>
      <c r="K1102" s="223"/>
      <c r="L1102" s="236"/>
      <c r="M1102" s="222"/>
      <c r="N1102" s="224"/>
      <c r="O1102" s="222"/>
      <c r="P1102" s="224"/>
      <c r="Q1102" s="222"/>
      <c r="R1102" s="224"/>
      <c r="S1102" s="239"/>
      <c r="T1102" s="224"/>
      <c r="U1102" s="239"/>
      <c r="V1102" s="224"/>
      <c r="W1102" s="261"/>
    </row>
    <row r="1103" spans="1:23" x14ac:dyDescent="0.25">
      <c r="A1103" s="215"/>
      <c r="B1103" s="215"/>
      <c r="C1103" s="215"/>
      <c r="D1103" s="215"/>
      <c r="E1103" s="221"/>
      <c r="F1103" s="221"/>
      <c r="G1103" s="222"/>
      <c r="H1103" s="221"/>
      <c r="I1103" s="223"/>
      <c r="J1103" s="237"/>
      <c r="K1103" s="223"/>
      <c r="L1103" s="236"/>
      <c r="M1103" s="222"/>
      <c r="N1103" s="224"/>
      <c r="O1103" s="222"/>
      <c r="P1103" s="224"/>
      <c r="Q1103" s="222"/>
      <c r="R1103" s="224"/>
      <c r="S1103" s="239"/>
      <c r="T1103" s="224"/>
      <c r="U1103" s="239"/>
      <c r="V1103" s="224"/>
      <c r="W1103" s="261"/>
    </row>
    <row r="1104" spans="1:23" x14ac:dyDescent="0.25">
      <c r="A1104" s="215"/>
      <c r="B1104" s="215"/>
      <c r="C1104" s="215"/>
      <c r="D1104" s="215"/>
      <c r="E1104" s="221"/>
      <c r="F1104" s="221"/>
      <c r="G1104" s="222"/>
      <c r="H1104" s="221"/>
      <c r="I1104" s="223"/>
      <c r="J1104" s="237"/>
      <c r="K1104" s="223"/>
      <c r="L1104" s="236"/>
      <c r="M1104" s="222"/>
      <c r="N1104" s="224"/>
      <c r="O1104" s="222"/>
      <c r="P1104" s="224"/>
      <c r="Q1104" s="222"/>
      <c r="R1104" s="224"/>
      <c r="S1104" s="239"/>
      <c r="T1104" s="224"/>
      <c r="U1104" s="239"/>
      <c r="V1104" s="224"/>
      <c r="W1104" s="261"/>
    </row>
    <row r="1105" spans="1:23" x14ac:dyDescent="0.25">
      <c r="A1105" s="215"/>
      <c r="B1105" s="215"/>
      <c r="C1105" s="215"/>
      <c r="D1105" s="215"/>
      <c r="E1105" s="221"/>
      <c r="F1105" s="221"/>
      <c r="G1105" s="222"/>
      <c r="H1105" s="221"/>
      <c r="I1105" s="223"/>
      <c r="J1105" s="237"/>
      <c r="K1105" s="223"/>
      <c r="L1105" s="236"/>
      <c r="M1105" s="222"/>
      <c r="N1105" s="224"/>
      <c r="O1105" s="222"/>
      <c r="P1105" s="224"/>
      <c r="Q1105" s="222"/>
      <c r="R1105" s="224"/>
      <c r="S1105" s="239"/>
      <c r="T1105" s="224"/>
      <c r="U1105" s="239"/>
      <c r="V1105" s="224"/>
      <c r="W1105" s="261"/>
    </row>
    <row r="1106" spans="1:23" x14ac:dyDescent="0.25">
      <c r="A1106" s="215"/>
      <c r="B1106" s="215"/>
      <c r="C1106" s="215"/>
      <c r="D1106" s="215"/>
      <c r="E1106" s="221"/>
      <c r="F1106" s="221"/>
      <c r="G1106" s="222"/>
      <c r="H1106" s="221"/>
      <c r="I1106" s="223"/>
      <c r="J1106" s="237"/>
      <c r="K1106" s="223"/>
      <c r="L1106" s="236"/>
      <c r="M1106" s="222"/>
      <c r="N1106" s="224"/>
      <c r="O1106" s="222"/>
      <c r="P1106" s="224"/>
      <c r="Q1106" s="222"/>
      <c r="R1106" s="224"/>
      <c r="S1106" s="239"/>
      <c r="T1106" s="224"/>
      <c r="U1106" s="239"/>
      <c r="V1106" s="224"/>
      <c r="W1106" s="261"/>
    </row>
    <row r="1107" spans="1:23" x14ac:dyDescent="0.25">
      <c r="A1107" s="215"/>
      <c r="B1107" s="215"/>
      <c r="C1107" s="215"/>
      <c r="D1107" s="215"/>
      <c r="E1107" s="221"/>
      <c r="F1107" s="221"/>
      <c r="G1107" s="222"/>
      <c r="H1107" s="221"/>
      <c r="I1107" s="223"/>
      <c r="J1107" s="237"/>
      <c r="K1107" s="223"/>
      <c r="L1107" s="236"/>
      <c r="M1107" s="222"/>
      <c r="N1107" s="224"/>
      <c r="O1107" s="222"/>
      <c r="P1107" s="224"/>
      <c r="Q1107" s="222"/>
      <c r="R1107" s="224"/>
      <c r="S1107" s="239"/>
      <c r="T1107" s="224"/>
      <c r="U1107" s="239"/>
      <c r="V1107" s="224"/>
      <c r="W1107" s="261"/>
    </row>
    <row r="1108" spans="1:23" x14ac:dyDescent="0.25">
      <c r="A1108" s="215"/>
      <c r="B1108" s="215"/>
      <c r="C1108" s="215"/>
      <c r="D1108" s="215"/>
      <c r="E1108" s="221"/>
      <c r="F1108" s="221"/>
      <c r="G1108" s="222"/>
      <c r="H1108" s="221"/>
      <c r="I1108" s="223"/>
      <c r="J1108" s="237"/>
      <c r="K1108" s="223"/>
      <c r="L1108" s="236"/>
      <c r="M1108" s="222"/>
      <c r="N1108" s="224"/>
      <c r="O1108" s="222"/>
      <c r="P1108" s="224"/>
      <c r="Q1108" s="222"/>
      <c r="R1108" s="224"/>
      <c r="S1108" s="239"/>
      <c r="T1108" s="224"/>
      <c r="U1108" s="239"/>
      <c r="V1108" s="224"/>
      <c r="W1108" s="261"/>
    </row>
    <row r="1109" spans="1:23" x14ac:dyDescent="0.25">
      <c r="A1109" s="215"/>
      <c r="B1109" s="215"/>
      <c r="C1109" s="215"/>
      <c r="D1109" s="215"/>
      <c r="E1109" s="221"/>
      <c r="F1109" s="221"/>
      <c r="G1109" s="222"/>
      <c r="H1109" s="221"/>
      <c r="I1109" s="223"/>
      <c r="J1109" s="237"/>
      <c r="K1109" s="223"/>
      <c r="L1109" s="236"/>
      <c r="M1109" s="222"/>
      <c r="N1109" s="224"/>
      <c r="O1109" s="222"/>
      <c r="P1109" s="224"/>
      <c r="Q1109" s="222"/>
      <c r="R1109" s="224"/>
      <c r="S1109" s="239"/>
      <c r="T1109" s="224"/>
      <c r="U1109" s="239"/>
      <c r="V1109" s="224"/>
      <c r="W1109" s="261"/>
    </row>
    <row r="1110" spans="1:23" x14ac:dyDescent="0.25">
      <c r="A1110" s="215"/>
      <c r="B1110" s="215"/>
      <c r="C1110" s="215"/>
      <c r="D1110" s="215"/>
      <c r="E1110" s="221"/>
      <c r="F1110" s="221"/>
      <c r="G1110" s="222"/>
      <c r="H1110" s="221"/>
      <c r="I1110" s="223"/>
      <c r="J1110" s="237"/>
      <c r="K1110" s="223"/>
      <c r="L1110" s="236"/>
      <c r="M1110" s="222"/>
      <c r="N1110" s="224"/>
      <c r="O1110" s="222"/>
      <c r="P1110" s="224"/>
      <c r="Q1110" s="222"/>
      <c r="R1110" s="224"/>
      <c r="S1110" s="239"/>
      <c r="T1110" s="224"/>
      <c r="U1110" s="239"/>
      <c r="V1110" s="224"/>
      <c r="W1110" s="261"/>
    </row>
    <row r="1111" spans="1:23" x14ac:dyDescent="0.25">
      <c r="A1111" s="215"/>
      <c r="B1111" s="215"/>
      <c r="C1111" s="215"/>
      <c r="D1111" s="215"/>
      <c r="E1111" s="221"/>
      <c r="F1111" s="221"/>
      <c r="G1111" s="222"/>
      <c r="H1111" s="221"/>
      <c r="I1111" s="223"/>
      <c r="J1111" s="237"/>
      <c r="K1111" s="223"/>
      <c r="L1111" s="236"/>
      <c r="M1111" s="222"/>
      <c r="N1111" s="224"/>
      <c r="O1111" s="222"/>
      <c r="P1111" s="224"/>
      <c r="Q1111" s="222"/>
      <c r="R1111" s="224"/>
      <c r="S1111" s="239"/>
      <c r="T1111" s="224"/>
      <c r="U1111" s="239"/>
      <c r="V1111" s="224"/>
      <c r="W1111" s="261"/>
    </row>
    <row r="1112" spans="1:23" x14ac:dyDescent="0.25">
      <c r="A1112" s="215"/>
      <c r="B1112" s="215"/>
      <c r="C1112" s="215"/>
      <c r="D1112" s="215"/>
      <c r="E1112" s="221"/>
      <c r="F1112" s="221"/>
      <c r="G1112" s="222"/>
      <c r="H1112" s="221"/>
      <c r="I1112" s="223"/>
      <c r="J1112" s="237"/>
      <c r="K1112" s="223"/>
      <c r="L1112" s="236"/>
      <c r="M1112" s="222"/>
      <c r="N1112" s="224"/>
      <c r="O1112" s="222"/>
      <c r="P1112" s="224"/>
      <c r="Q1112" s="222"/>
      <c r="R1112" s="224"/>
      <c r="S1112" s="239"/>
      <c r="T1112" s="224"/>
      <c r="U1112" s="239"/>
      <c r="V1112" s="224"/>
      <c r="W1112" s="261"/>
    </row>
    <row r="1113" spans="1:23" x14ac:dyDescent="0.25">
      <c r="A1113" s="215"/>
      <c r="B1113" s="215"/>
      <c r="C1113" s="215"/>
      <c r="D1113" s="215"/>
      <c r="E1113" s="221"/>
      <c r="F1113" s="221"/>
      <c r="G1113" s="222"/>
      <c r="H1113" s="221"/>
      <c r="I1113" s="223"/>
      <c r="J1113" s="237"/>
      <c r="K1113" s="223"/>
      <c r="L1113" s="236"/>
      <c r="M1113" s="222"/>
      <c r="N1113" s="224"/>
      <c r="O1113" s="222"/>
      <c r="P1113" s="224"/>
      <c r="Q1113" s="222"/>
      <c r="R1113" s="224"/>
      <c r="S1113" s="239"/>
      <c r="T1113" s="224"/>
      <c r="U1113" s="239"/>
      <c r="V1113" s="224"/>
      <c r="W1113" s="261"/>
    </row>
    <row r="1114" spans="1:23" x14ac:dyDescent="0.25">
      <c r="A1114" s="215"/>
      <c r="B1114" s="215"/>
      <c r="C1114" s="215"/>
      <c r="D1114" s="215"/>
      <c r="E1114" s="221"/>
      <c r="F1114" s="221"/>
      <c r="G1114" s="222"/>
      <c r="H1114" s="221"/>
      <c r="I1114" s="223"/>
      <c r="J1114" s="237"/>
      <c r="K1114" s="223"/>
      <c r="L1114" s="236"/>
      <c r="M1114" s="222"/>
      <c r="N1114" s="224"/>
      <c r="O1114" s="222"/>
      <c r="P1114" s="224"/>
      <c r="Q1114" s="222"/>
      <c r="R1114" s="224"/>
      <c r="S1114" s="239"/>
      <c r="T1114" s="224"/>
      <c r="U1114" s="239"/>
      <c r="V1114" s="224"/>
      <c r="W1114" s="261"/>
    </row>
    <row r="1115" spans="1:23" x14ac:dyDescent="0.25">
      <c r="A1115" s="215"/>
      <c r="B1115" s="215"/>
      <c r="C1115" s="215"/>
      <c r="D1115" s="215"/>
      <c r="E1115" s="221"/>
      <c r="F1115" s="221"/>
      <c r="G1115" s="222"/>
      <c r="H1115" s="221"/>
      <c r="I1115" s="223"/>
      <c r="J1115" s="237"/>
      <c r="K1115" s="223"/>
      <c r="L1115" s="236"/>
      <c r="M1115" s="222"/>
      <c r="N1115" s="224"/>
      <c r="O1115" s="222"/>
      <c r="P1115" s="224"/>
      <c r="Q1115" s="222"/>
      <c r="R1115" s="224"/>
      <c r="S1115" s="239"/>
      <c r="T1115" s="224"/>
      <c r="U1115" s="239"/>
      <c r="V1115" s="224"/>
      <c r="W1115" s="261"/>
    </row>
    <row r="1116" spans="1:23" x14ac:dyDescent="0.25">
      <c r="A1116" s="215"/>
      <c r="B1116" s="215"/>
      <c r="C1116" s="215"/>
      <c r="D1116" s="215"/>
      <c r="E1116" s="221"/>
      <c r="F1116" s="221"/>
      <c r="G1116" s="222"/>
      <c r="H1116" s="221"/>
      <c r="I1116" s="223"/>
      <c r="J1116" s="237"/>
      <c r="K1116" s="223"/>
      <c r="L1116" s="236"/>
      <c r="M1116" s="222"/>
      <c r="N1116" s="224"/>
      <c r="O1116" s="222"/>
      <c r="P1116" s="224"/>
      <c r="Q1116" s="222"/>
      <c r="R1116" s="224"/>
      <c r="S1116" s="239"/>
      <c r="T1116" s="224"/>
      <c r="U1116" s="239"/>
      <c r="V1116" s="224"/>
      <c r="W1116" s="261"/>
    </row>
    <row r="1117" spans="1:23" x14ac:dyDescent="0.25">
      <c r="A1117" s="215"/>
      <c r="B1117" s="215"/>
      <c r="C1117" s="215"/>
      <c r="D1117" s="215"/>
      <c r="E1117" s="221"/>
      <c r="F1117" s="221"/>
      <c r="G1117" s="222"/>
      <c r="H1117" s="221"/>
      <c r="I1117" s="223"/>
      <c r="J1117" s="237"/>
      <c r="K1117" s="223"/>
      <c r="L1117" s="236"/>
      <c r="M1117" s="222"/>
      <c r="N1117" s="224"/>
      <c r="O1117" s="222"/>
      <c r="P1117" s="224"/>
      <c r="Q1117" s="222"/>
      <c r="R1117" s="224"/>
      <c r="S1117" s="239"/>
      <c r="T1117" s="224"/>
      <c r="U1117" s="239"/>
      <c r="V1117" s="224"/>
      <c r="W1117" s="261"/>
    </row>
    <row r="1118" spans="1:23" x14ac:dyDescent="0.25">
      <c r="A1118" s="215"/>
      <c r="B1118" s="215"/>
      <c r="C1118" s="215"/>
      <c r="D1118" s="215"/>
      <c r="E1118" s="221"/>
      <c r="F1118" s="221"/>
      <c r="G1118" s="222"/>
      <c r="H1118" s="221"/>
      <c r="I1118" s="223"/>
      <c r="J1118" s="237"/>
      <c r="K1118" s="223"/>
      <c r="L1118" s="236"/>
      <c r="M1118" s="222"/>
      <c r="N1118" s="224"/>
      <c r="O1118" s="222"/>
      <c r="P1118" s="224"/>
      <c r="Q1118" s="222"/>
      <c r="R1118" s="224"/>
      <c r="S1118" s="239"/>
      <c r="T1118" s="224"/>
      <c r="U1118" s="239"/>
      <c r="V1118" s="224"/>
      <c r="W1118" s="261"/>
    </row>
    <row r="1119" spans="1:23" x14ac:dyDescent="0.25">
      <c r="A1119" s="215"/>
      <c r="B1119" s="215"/>
      <c r="C1119" s="215"/>
      <c r="D1119" s="215"/>
      <c r="E1119" s="221"/>
      <c r="F1119" s="221"/>
      <c r="G1119" s="222"/>
      <c r="H1119" s="221"/>
      <c r="I1119" s="223"/>
      <c r="J1119" s="237"/>
      <c r="K1119" s="223"/>
      <c r="L1119" s="236"/>
      <c r="M1119" s="222"/>
      <c r="N1119" s="224"/>
      <c r="O1119" s="222"/>
      <c r="P1119" s="224"/>
      <c r="Q1119" s="222"/>
      <c r="R1119" s="224"/>
      <c r="S1119" s="239"/>
      <c r="T1119" s="224"/>
      <c r="U1119" s="239"/>
      <c r="V1119" s="224"/>
      <c r="W1119" s="261"/>
    </row>
    <row r="1120" spans="1:23" x14ac:dyDescent="0.25">
      <c r="A1120" s="215"/>
      <c r="B1120" s="215"/>
      <c r="C1120" s="215"/>
      <c r="D1120" s="215"/>
      <c r="E1120" s="221"/>
      <c r="F1120" s="221"/>
      <c r="G1120" s="222"/>
      <c r="H1120" s="221"/>
      <c r="I1120" s="223"/>
      <c r="J1120" s="237"/>
      <c r="K1120" s="223"/>
      <c r="L1120" s="236"/>
      <c r="M1120" s="222"/>
      <c r="N1120" s="224"/>
      <c r="O1120" s="222"/>
      <c r="P1120" s="224"/>
      <c r="Q1120" s="222"/>
      <c r="R1120" s="224"/>
      <c r="S1120" s="239"/>
      <c r="T1120" s="224"/>
      <c r="U1120" s="239"/>
      <c r="V1120" s="224"/>
      <c r="W1120" s="261"/>
    </row>
    <row r="1121" spans="1:23" x14ac:dyDescent="0.25">
      <c r="A1121" s="215"/>
      <c r="B1121" s="215"/>
      <c r="C1121" s="215"/>
      <c r="D1121" s="215"/>
      <c r="E1121" s="221"/>
      <c r="F1121" s="221"/>
      <c r="G1121" s="222"/>
      <c r="H1121" s="221"/>
      <c r="I1121" s="223"/>
      <c r="J1121" s="237"/>
      <c r="K1121" s="223"/>
      <c r="L1121" s="236"/>
      <c r="M1121" s="222"/>
      <c r="N1121" s="224"/>
      <c r="O1121" s="222"/>
      <c r="P1121" s="224"/>
      <c r="Q1121" s="222"/>
      <c r="R1121" s="224"/>
      <c r="S1121" s="239"/>
      <c r="T1121" s="224"/>
      <c r="U1121" s="239"/>
      <c r="V1121" s="224"/>
      <c r="W1121" s="261"/>
    </row>
    <row r="1122" spans="1:23" x14ac:dyDescent="0.25">
      <c r="A1122" s="215"/>
      <c r="B1122" s="215"/>
      <c r="C1122" s="215"/>
      <c r="D1122" s="215"/>
      <c r="E1122" s="221"/>
      <c r="F1122" s="221"/>
      <c r="G1122" s="222"/>
      <c r="H1122" s="221"/>
      <c r="I1122" s="223"/>
      <c r="J1122" s="237"/>
      <c r="K1122" s="223"/>
      <c r="L1122" s="236"/>
      <c r="M1122" s="222"/>
      <c r="N1122" s="224"/>
      <c r="O1122" s="222"/>
      <c r="P1122" s="224"/>
      <c r="Q1122" s="222"/>
      <c r="R1122" s="224"/>
      <c r="S1122" s="239"/>
      <c r="T1122" s="224"/>
      <c r="U1122" s="239"/>
      <c r="V1122" s="224"/>
      <c r="W1122" s="261"/>
    </row>
    <row r="1123" spans="1:23" x14ac:dyDescent="0.25">
      <c r="A1123" s="215"/>
      <c r="B1123" s="215"/>
      <c r="C1123" s="215"/>
      <c r="D1123" s="215"/>
      <c r="E1123" s="221"/>
      <c r="F1123" s="221"/>
      <c r="G1123" s="222"/>
      <c r="H1123" s="221"/>
      <c r="I1123" s="223"/>
      <c r="J1123" s="237"/>
      <c r="K1123" s="223"/>
      <c r="L1123" s="236"/>
      <c r="M1123" s="222"/>
      <c r="N1123" s="224"/>
      <c r="O1123" s="222"/>
      <c r="P1123" s="224"/>
      <c r="Q1123" s="222"/>
      <c r="R1123" s="224"/>
      <c r="S1123" s="239"/>
      <c r="T1123" s="224"/>
      <c r="U1123" s="239"/>
      <c r="V1123" s="224"/>
      <c r="W1123" s="261"/>
    </row>
    <row r="1124" spans="1:23" x14ac:dyDescent="0.25">
      <c r="A1124" s="215"/>
      <c r="B1124" s="215"/>
      <c r="C1124" s="215"/>
      <c r="D1124" s="215"/>
      <c r="E1124" s="221"/>
      <c r="F1124" s="221"/>
      <c r="G1124" s="222"/>
      <c r="H1124" s="221"/>
      <c r="I1124" s="223"/>
      <c r="J1124" s="237"/>
      <c r="K1124" s="223"/>
      <c r="L1124" s="236"/>
      <c r="M1124" s="222"/>
      <c r="N1124" s="224"/>
      <c r="O1124" s="222"/>
      <c r="P1124" s="224"/>
      <c r="Q1124" s="222"/>
      <c r="R1124" s="224"/>
      <c r="S1124" s="239"/>
      <c r="T1124" s="224"/>
      <c r="U1124" s="239"/>
      <c r="V1124" s="224"/>
      <c r="W1124" s="261"/>
    </row>
    <row r="1125" spans="1:23" x14ac:dyDescent="0.25">
      <c r="A1125" s="215"/>
      <c r="B1125" s="215"/>
      <c r="C1125" s="215"/>
      <c r="D1125" s="215"/>
      <c r="E1125" s="221"/>
      <c r="F1125" s="221"/>
      <c r="G1125" s="222"/>
      <c r="H1125" s="221"/>
      <c r="I1125" s="223"/>
      <c r="J1125" s="237"/>
      <c r="K1125" s="223"/>
      <c r="L1125" s="236"/>
      <c r="M1125" s="222"/>
      <c r="N1125" s="224"/>
      <c r="O1125" s="222"/>
      <c r="P1125" s="224"/>
      <c r="Q1125" s="222"/>
      <c r="R1125" s="224"/>
      <c r="S1125" s="239"/>
      <c r="T1125" s="224"/>
      <c r="U1125" s="239"/>
      <c r="V1125" s="224"/>
      <c r="W1125" s="261"/>
    </row>
    <row r="1126" spans="1:23" x14ac:dyDescent="0.25">
      <c r="A1126" s="215"/>
      <c r="B1126" s="215"/>
      <c r="C1126" s="215"/>
      <c r="D1126" s="215"/>
      <c r="E1126" s="221"/>
      <c r="F1126" s="221"/>
      <c r="G1126" s="222"/>
      <c r="H1126" s="221"/>
      <c r="I1126" s="223"/>
      <c r="J1126" s="237"/>
      <c r="K1126" s="223"/>
      <c r="L1126" s="236"/>
      <c r="M1126" s="222"/>
      <c r="N1126" s="224"/>
      <c r="O1126" s="222"/>
      <c r="P1126" s="224"/>
      <c r="Q1126" s="222"/>
      <c r="R1126" s="224"/>
      <c r="S1126" s="239"/>
      <c r="T1126" s="224"/>
      <c r="U1126" s="239"/>
      <c r="V1126" s="224"/>
      <c r="W1126" s="261"/>
    </row>
    <row r="1127" spans="1:23" x14ac:dyDescent="0.25">
      <c r="A1127" s="215"/>
      <c r="B1127" s="215"/>
      <c r="C1127" s="215"/>
      <c r="D1127" s="215"/>
      <c r="E1127" s="221"/>
      <c r="F1127" s="221"/>
      <c r="G1127" s="222"/>
      <c r="H1127" s="221"/>
      <c r="I1127" s="223"/>
      <c r="J1127" s="237"/>
      <c r="K1127" s="223"/>
      <c r="L1127" s="236"/>
      <c r="M1127" s="222"/>
      <c r="N1127" s="224"/>
      <c r="O1127" s="222"/>
      <c r="P1127" s="224"/>
      <c r="Q1127" s="222"/>
      <c r="R1127" s="224"/>
      <c r="S1127" s="239"/>
      <c r="T1127" s="224"/>
      <c r="U1127" s="239"/>
      <c r="V1127" s="224"/>
      <c r="W1127" s="261"/>
    </row>
    <row r="1128" spans="1:23" x14ac:dyDescent="0.25">
      <c r="A1128" s="215"/>
      <c r="B1128" s="215"/>
      <c r="C1128" s="215"/>
      <c r="D1128" s="215"/>
      <c r="E1128" s="221"/>
      <c r="F1128" s="221"/>
      <c r="G1128" s="222"/>
      <c r="H1128" s="221"/>
      <c r="I1128" s="223"/>
      <c r="J1128" s="237"/>
      <c r="K1128" s="223"/>
      <c r="L1128" s="236"/>
      <c r="M1128" s="222"/>
      <c r="N1128" s="224"/>
      <c r="O1128" s="222"/>
      <c r="P1128" s="224"/>
      <c r="Q1128" s="222"/>
      <c r="R1128" s="224"/>
      <c r="S1128" s="239"/>
      <c r="T1128" s="224"/>
      <c r="U1128" s="239"/>
      <c r="V1128" s="224"/>
      <c r="W1128" s="261"/>
    </row>
    <row r="1129" spans="1:23" x14ac:dyDescent="0.25">
      <c r="A1129" s="215"/>
      <c r="B1129" s="215"/>
      <c r="C1129" s="215"/>
      <c r="D1129" s="215"/>
      <c r="E1129" s="221"/>
      <c r="F1129" s="221"/>
      <c r="G1129" s="222"/>
      <c r="H1129" s="221"/>
      <c r="I1129" s="223"/>
      <c r="J1129" s="237"/>
      <c r="K1129" s="223"/>
      <c r="L1129" s="236"/>
      <c r="M1129" s="222"/>
      <c r="N1129" s="224"/>
      <c r="O1129" s="222"/>
      <c r="P1129" s="224"/>
      <c r="Q1129" s="222"/>
      <c r="R1129" s="224"/>
      <c r="S1129" s="239"/>
      <c r="T1129" s="224"/>
      <c r="U1129" s="239"/>
      <c r="V1129" s="224"/>
      <c r="W1129" s="261"/>
    </row>
    <row r="1130" spans="1:23" x14ac:dyDescent="0.25">
      <c r="A1130" s="215"/>
      <c r="B1130" s="215"/>
      <c r="C1130" s="215"/>
      <c r="D1130" s="215"/>
      <c r="E1130" s="221"/>
      <c r="F1130" s="221"/>
      <c r="G1130" s="222"/>
      <c r="H1130" s="221"/>
      <c r="I1130" s="223"/>
      <c r="J1130" s="237"/>
      <c r="K1130" s="223"/>
      <c r="L1130" s="236"/>
      <c r="M1130" s="222"/>
      <c r="N1130" s="224"/>
      <c r="O1130" s="222"/>
      <c r="P1130" s="224"/>
      <c r="Q1130" s="222"/>
      <c r="R1130" s="224"/>
      <c r="S1130" s="239"/>
      <c r="T1130" s="224"/>
      <c r="U1130" s="239"/>
      <c r="V1130" s="224"/>
      <c r="W1130" s="261"/>
    </row>
    <row r="1131" spans="1:23" x14ac:dyDescent="0.25">
      <c r="A1131" s="215"/>
      <c r="B1131" s="215"/>
      <c r="C1131" s="215"/>
      <c r="D1131" s="215"/>
      <c r="E1131" s="221"/>
      <c r="F1131" s="221"/>
      <c r="G1131" s="222"/>
      <c r="H1131" s="221"/>
      <c r="I1131" s="223"/>
      <c r="J1131" s="237"/>
      <c r="K1131" s="223"/>
      <c r="L1131" s="236"/>
      <c r="M1131" s="222"/>
      <c r="N1131" s="224"/>
      <c r="O1131" s="222"/>
      <c r="P1131" s="224"/>
      <c r="Q1131" s="222"/>
      <c r="R1131" s="224"/>
      <c r="S1131" s="239"/>
      <c r="T1131" s="224"/>
      <c r="U1131" s="239"/>
      <c r="V1131" s="224"/>
      <c r="W1131" s="261"/>
    </row>
    <row r="1132" spans="1:23" x14ac:dyDescent="0.25">
      <c r="A1132" s="215"/>
      <c r="B1132" s="215"/>
      <c r="C1132" s="215"/>
      <c r="D1132" s="215"/>
      <c r="E1132" s="221"/>
      <c r="F1132" s="221"/>
      <c r="G1132" s="222"/>
      <c r="H1132" s="221"/>
      <c r="I1132" s="223"/>
      <c r="J1132" s="237"/>
      <c r="K1132" s="223"/>
      <c r="L1132" s="236"/>
      <c r="M1132" s="222"/>
      <c r="N1132" s="224"/>
      <c r="O1132" s="222"/>
      <c r="P1132" s="224"/>
      <c r="Q1132" s="222"/>
      <c r="R1132" s="224"/>
      <c r="S1132" s="239"/>
      <c r="T1132" s="224"/>
      <c r="U1132" s="239"/>
      <c r="V1132" s="224"/>
      <c r="W1132" s="261"/>
    </row>
    <row r="1133" spans="1:23" x14ac:dyDescent="0.25">
      <c r="A1133" s="215"/>
      <c r="B1133" s="215"/>
      <c r="C1133" s="215"/>
      <c r="D1133" s="215"/>
      <c r="E1133" s="221"/>
      <c r="F1133" s="221"/>
      <c r="G1133" s="222"/>
      <c r="H1133" s="221"/>
      <c r="I1133" s="223"/>
      <c r="J1133" s="237"/>
      <c r="K1133" s="223"/>
      <c r="L1133" s="236"/>
      <c r="M1133" s="222"/>
      <c r="N1133" s="224"/>
      <c r="O1133" s="222"/>
      <c r="P1133" s="224"/>
      <c r="Q1133" s="222"/>
      <c r="R1133" s="224"/>
      <c r="S1133" s="239"/>
      <c r="T1133" s="224"/>
      <c r="U1133" s="239"/>
      <c r="V1133" s="224"/>
      <c r="W1133" s="261"/>
    </row>
    <row r="1134" spans="1:23" x14ac:dyDescent="0.25">
      <c r="A1134" s="215"/>
      <c r="B1134" s="215"/>
      <c r="C1134" s="215"/>
      <c r="D1134" s="215"/>
      <c r="E1134" s="221"/>
      <c r="F1134" s="221"/>
      <c r="G1134" s="222"/>
      <c r="H1134" s="221"/>
      <c r="I1134" s="223"/>
      <c r="J1134" s="237"/>
      <c r="K1134" s="223"/>
      <c r="L1134" s="236"/>
      <c r="M1134" s="222"/>
      <c r="N1134" s="224"/>
      <c r="O1134" s="222"/>
      <c r="P1134" s="224"/>
      <c r="Q1134" s="222"/>
      <c r="R1134" s="224"/>
      <c r="S1134" s="239"/>
      <c r="T1134" s="224"/>
      <c r="U1134" s="239"/>
      <c r="V1134" s="224"/>
      <c r="W1134" s="261"/>
    </row>
    <row r="1135" spans="1:23" x14ac:dyDescent="0.25">
      <c r="A1135" s="215"/>
      <c r="B1135" s="215"/>
      <c r="C1135" s="215"/>
      <c r="D1135" s="215"/>
      <c r="E1135" s="221"/>
      <c r="F1135" s="221"/>
      <c r="G1135" s="222"/>
      <c r="H1135" s="221"/>
      <c r="I1135" s="223"/>
      <c r="J1135" s="237"/>
      <c r="K1135" s="223"/>
      <c r="L1135" s="236"/>
      <c r="M1135" s="222"/>
      <c r="N1135" s="224"/>
      <c r="O1135" s="222"/>
      <c r="P1135" s="224"/>
      <c r="Q1135" s="222"/>
      <c r="R1135" s="224"/>
      <c r="S1135" s="239"/>
      <c r="T1135" s="224"/>
      <c r="U1135" s="239"/>
      <c r="V1135" s="224"/>
      <c r="W1135" s="261"/>
    </row>
    <row r="1136" spans="1:23" x14ac:dyDescent="0.25">
      <c r="A1136" s="215"/>
      <c r="B1136" s="215"/>
      <c r="C1136" s="215"/>
      <c r="D1136" s="215"/>
      <c r="E1136" s="221"/>
      <c r="F1136" s="221"/>
      <c r="G1136" s="222"/>
      <c r="H1136" s="221"/>
      <c r="I1136" s="223"/>
      <c r="J1136" s="237"/>
      <c r="K1136" s="223"/>
      <c r="L1136" s="236"/>
      <c r="M1136" s="222"/>
      <c r="N1136" s="224"/>
      <c r="O1136" s="222"/>
      <c r="P1136" s="224"/>
      <c r="Q1136" s="222"/>
      <c r="R1136" s="224"/>
      <c r="S1136" s="239"/>
      <c r="T1136" s="224"/>
      <c r="U1136" s="239"/>
      <c r="V1136" s="224"/>
      <c r="W1136" s="261"/>
    </row>
    <row r="1137" spans="1:23" x14ac:dyDescent="0.25">
      <c r="A1137" s="215"/>
      <c r="B1137" s="215"/>
      <c r="C1137" s="215"/>
      <c r="D1137" s="215"/>
      <c r="E1137" s="221"/>
      <c r="F1137" s="221"/>
      <c r="G1137" s="222"/>
      <c r="H1137" s="221"/>
      <c r="I1137" s="223"/>
      <c r="J1137" s="237"/>
      <c r="K1137" s="223"/>
      <c r="L1137" s="236"/>
      <c r="M1137" s="222"/>
      <c r="N1137" s="224"/>
      <c r="O1137" s="222"/>
      <c r="P1137" s="224"/>
      <c r="Q1137" s="222"/>
      <c r="R1137" s="224"/>
      <c r="S1137" s="239"/>
      <c r="T1137" s="224"/>
      <c r="U1137" s="239"/>
      <c r="V1137" s="224"/>
      <c r="W1137" s="261"/>
    </row>
    <row r="1138" spans="1:23" x14ac:dyDescent="0.25">
      <c r="A1138" s="215"/>
      <c r="B1138" s="215"/>
      <c r="C1138" s="215"/>
      <c r="D1138" s="215"/>
      <c r="E1138" s="221"/>
      <c r="F1138" s="221"/>
      <c r="G1138" s="222"/>
      <c r="H1138" s="221"/>
      <c r="I1138" s="223"/>
      <c r="J1138" s="237"/>
      <c r="K1138" s="223"/>
      <c r="L1138" s="236"/>
      <c r="M1138" s="222"/>
      <c r="N1138" s="224"/>
      <c r="O1138" s="222"/>
      <c r="P1138" s="224"/>
      <c r="Q1138" s="222"/>
      <c r="R1138" s="224"/>
      <c r="S1138" s="239"/>
      <c r="T1138" s="224"/>
      <c r="U1138" s="239"/>
      <c r="V1138" s="224"/>
      <c r="W1138" s="261"/>
    </row>
    <row r="1139" spans="1:23" x14ac:dyDescent="0.25">
      <c r="A1139" s="215"/>
      <c r="B1139" s="215"/>
      <c r="C1139" s="215"/>
      <c r="D1139" s="215"/>
      <c r="E1139" s="221"/>
      <c r="F1139" s="221"/>
      <c r="G1139" s="222"/>
      <c r="H1139" s="221"/>
      <c r="I1139" s="223"/>
      <c r="J1139" s="237"/>
      <c r="K1139" s="223"/>
      <c r="L1139" s="236"/>
      <c r="M1139" s="222"/>
      <c r="N1139" s="224"/>
      <c r="O1139" s="222"/>
      <c r="P1139" s="224"/>
      <c r="Q1139" s="222"/>
      <c r="R1139" s="224"/>
      <c r="S1139" s="239"/>
      <c r="T1139" s="224"/>
      <c r="U1139" s="239"/>
      <c r="V1139" s="224"/>
      <c r="W1139" s="261"/>
    </row>
    <row r="1140" spans="1:23" x14ac:dyDescent="0.25">
      <c r="A1140" s="215"/>
      <c r="B1140" s="215"/>
      <c r="C1140" s="215"/>
      <c r="D1140" s="215"/>
      <c r="E1140" s="221"/>
      <c r="F1140" s="221"/>
      <c r="G1140" s="222"/>
      <c r="H1140" s="221"/>
      <c r="I1140" s="223"/>
      <c r="J1140" s="237"/>
      <c r="K1140" s="223"/>
      <c r="L1140" s="236"/>
      <c r="M1140" s="222"/>
      <c r="N1140" s="224"/>
      <c r="O1140" s="222"/>
      <c r="P1140" s="224"/>
      <c r="Q1140" s="222"/>
      <c r="R1140" s="224"/>
      <c r="S1140" s="239"/>
      <c r="T1140" s="224"/>
      <c r="U1140" s="239"/>
      <c r="V1140" s="224"/>
      <c r="W1140" s="261"/>
    </row>
    <row r="1141" spans="1:23" x14ac:dyDescent="0.25">
      <c r="A1141" s="215"/>
      <c r="B1141" s="215"/>
      <c r="C1141" s="215"/>
      <c r="D1141" s="215"/>
      <c r="E1141" s="221"/>
      <c r="F1141" s="221"/>
      <c r="G1141" s="222"/>
      <c r="H1141" s="221"/>
      <c r="I1141" s="223"/>
      <c r="J1141" s="237"/>
      <c r="K1141" s="223"/>
      <c r="L1141" s="236"/>
      <c r="M1141" s="222"/>
      <c r="N1141" s="224"/>
      <c r="O1141" s="222"/>
      <c r="P1141" s="224"/>
      <c r="Q1141" s="222"/>
      <c r="R1141" s="224"/>
      <c r="S1141" s="239"/>
      <c r="T1141" s="224"/>
      <c r="U1141" s="239"/>
      <c r="V1141" s="224"/>
      <c r="W1141" s="261"/>
    </row>
    <row r="1142" spans="1:23" x14ac:dyDescent="0.25">
      <c r="A1142" s="215"/>
      <c r="B1142" s="215"/>
      <c r="C1142" s="215"/>
      <c r="D1142" s="215"/>
      <c r="E1142" s="221"/>
      <c r="F1142" s="221"/>
      <c r="G1142" s="222"/>
      <c r="H1142" s="221"/>
      <c r="I1142" s="223"/>
      <c r="J1142" s="237"/>
      <c r="K1142" s="223"/>
      <c r="L1142" s="236"/>
      <c r="M1142" s="222"/>
      <c r="N1142" s="224"/>
      <c r="O1142" s="222"/>
      <c r="P1142" s="224"/>
      <c r="Q1142" s="222"/>
      <c r="R1142" s="224"/>
      <c r="S1142" s="239"/>
      <c r="T1142" s="224"/>
      <c r="U1142" s="239"/>
      <c r="V1142" s="224"/>
      <c r="W1142" s="261"/>
    </row>
    <row r="1143" spans="1:23" x14ac:dyDescent="0.25">
      <c r="A1143" s="215"/>
      <c r="B1143" s="215"/>
      <c r="C1143" s="215"/>
      <c r="D1143" s="215"/>
      <c r="E1143" s="221"/>
      <c r="F1143" s="221"/>
      <c r="G1143" s="222"/>
      <c r="H1143" s="221"/>
      <c r="I1143" s="223"/>
      <c r="J1143" s="237"/>
      <c r="K1143" s="223"/>
      <c r="L1143" s="236"/>
      <c r="M1143" s="222"/>
      <c r="N1143" s="224"/>
      <c r="O1143" s="222"/>
      <c r="P1143" s="224"/>
      <c r="Q1143" s="222"/>
      <c r="R1143" s="224"/>
      <c r="S1143" s="239"/>
      <c r="T1143" s="224"/>
      <c r="U1143" s="239"/>
      <c r="V1143" s="224"/>
      <c r="W1143" s="261"/>
    </row>
    <row r="1144" spans="1:23" x14ac:dyDescent="0.25">
      <c r="A1144" s="215"/>
      <c r="B1144" s="215"/>
      <c r="C1144" s="215"/>
      <c r="D1144" s="215"/>
      <c r="E1144" s="221"/>
      <c r="F1144" s="221"/>
      <c r="G1144" s="222"/>
      <c r="H1144" s="221"/>
      <c r="I1144" s="223"/>
      <c r="J1144" s="237"/>
      <c r="K1144" s="223"/>
      <c r="L1144" s="236"/>
      <c r="M1144" s="222"/>
      <c r="N1144" s="224"/>
      <c r="O1144" s="222"/>
      <c r="P1144" s="224"/>
      <c r="Q1144" s="222"/>
      <c r="R1144" s="224"/>
      <c r="S1144" s="239"/>
      <c r="T1144" s="224"/>
      <c r="U1144" s="239"/>
      <c r="V1144" s="224"/>
      <c r="W1144" s="261"/>
    </row>
    <row r="1145" spans="1:23" x14ac:dyDescent="0.25">
      <c r="A1145" s="215"/>
      <c r="B1145" s="215"/>
      <c r="C1145" s="215"/>
      <c r="D1145" s="215"/>
      <c r="E1145" s="221"/>
      <c r="F1145" s="221"/>
      <c r="G1145" s="222"/>
      <c r="H1145" s="221"/>
      <c r="I1145" s="223"/>
      <c r="J1145" s="237"/>
      <c r="K1145" s="223"/>
      <c r="L1145" s="236"/>
      <c r="M1145" s="222"/>
      <c r="N1145" s="224"/>
      <c r="O1145" s="222"/>
      <c r="P1145" s="224"/>
      <c r="Q1145" s="222"/>
      <c r="R1145" s="224"/>
      <c r="S1145" s="239"/>
      <c r="T1145" s="224"/>
      <c r="U1145" s="239"/>
      <c r="V1145" s="224"/>
      <c r="W1145" s="261"/>
    </row>
    <row r="1146" spans="1:23" x14ac:dyDescent="0.25">
      <c r="A1146" s="215"/>
      <c r="B1146" s="215"/>
      <c r="C1146" s="215"/>
      <c r="D1146" s="215"/>
      <c r="E1146" s="221"/>
      <c r="F1146" s="221"/>
      <c r="G1146" s="222"/>
      <c r="H1146" s="221"/>
      <c r="I1146" s="223"/>
      <c r="J1146" s="237"/>
      <c r="K1146" s="223"/>
      <c r="L1146" s="236"/>
      <c r="M1146" s="222"/>
      <c r="N1146" s="224"/>
      <c r="O1146" s="222"/>
      <c r="P1146" s="224"/>
      <c r="Q1146" s="222"/>
      <c r="R1146" s="224"/>
      <c r="S1146" s="239"/>
      <c r="T1146" s="224"/>
      <c r="U1146" s="239"/>
      <c r="V1146" s="224"/>
      <c r="W1146" s="261"/>
    </row>
    <row r="1147" spans="1:23" x14ac:dyDescent="0.25">
      <c r="A1147" s="215"/>
      <c r="B1147" s="215"/>
      <c r="C1147" s="215"/>
      <c r="D1147" s="215"/>
      <c r="E1147" s="221"/>
      <c r="F1147" s="221"/>
      <c r="G1147" s="222"/>
      <c r="H1147" s="221"/>
      <c r="I1147" s="223"/>
      <c r="J1147" s="237"/>
      <c r="K1147" s="223"/>
      <c r="L1147" s="236"/>
      <c r="M1147" s="222"/>
      <c r="N1147" s="224"/>
      <c r="O1147" s="222"/>
      <c r="P1147" s="224"/>
      <c r="Q1147" s="222"/>
      <c r="R1147" s="224"/>
      <c r="S1147" s="239"/>
      <c r="T1147" s="224"/>
      <c r="U1147" s="239"/>
      <c r="V1147" s="224"/>
      <c r="W1147" s="261"/>
    </row>
    <row r="1148" spans="1:23" x14ac:dyDescent="0.25">
      <c r="A1148" s="215"/>
      <c r="B1148" s="215"/>
      <c r="C1148" s="215"/>
      <c r="D1148" s="215"/>
      <c r="E1148" s="221"/>
      <c r="F1148" s="221"/>
      <c r="G1148" s="222"/>
      <c r="H1148" s="221"/>
      <c r="I1148" s="223"/>
      <c r="J1148" s="237"/>
      <c r="K1148" s="223"/>
      <c r="L1148" s="236"/>
      <c r="M1148" s="222"/>
      <c r="N1148" s="224"/>
      <c r="O1148" s="222"/>
      <c r="P1148" s="224"/>
      <c r="Q1148" s="222"/>
      <c r="R1148" s="224"/>
      <c r="S1148" s="239"/>
      <c r="T1148" s="224"/>
      <c r="U1148" s="239"/>
      <c r="V1148" s="224"/>
      <c r="W1148" s="261"/>
    </row>
    <row r="1149" spans="1:23" x14ac:dyDescent="0.25">
      <c r="A1149" s="215"/>
      <c r="B1149" s="215"/>
      <c r="C1149" s="215"/>
      <c r="D1149" s="215"/>
      <c r="E1149" s="221"/>
      <c r="F1149" s="221"/>
      <c r="G1149" s="222"/>
      <c r="H1149" s="221"/>
      <c r="I1149" s="223"/>
      <c r="J1149" s="237"/>
      <c r="K1149" s="223"/>
      <c r="L1149" s="236"/>
      <c r="M1149" s="222"/>
      <c r="N1149" s="224"/>
      <c r="O1149" s="222"/>
      <c r="P1149" s="224"/>
      <c r="Q1149" s="222"/>
      <c r="R1149" s="224"/>
      <c r="S1149" s="239"/>
      <c r="T1149" s="224"/>
      <c r="U1149" s="239"/>
      <c r="V1149" s="224"/>
      <c r="W1149" s="261"/>
    </row>
    <row r="1150" spans="1:23" x14ac:dyDescent="0.25">
      <c r="A1150" s="215"/>
      <c r="B1150" s="215"/>
      <c r="C1150" s="215"/>
      <c r="D1150" s="215"/>
      <c r="E1150" s="221"/>
      <c r="F1150" s="221"/>
      <c r="G1150" s="222"/>
      <c r="H1150" s="221"/>
      <c r="I1150" s="223"/>
      <c r="J1150" s="237"/>
      <c r="K1150" s="223"/>
      <c r="L1150" s="236"/>
      <c r="M1150" s="222"/>
      <c r="N1150" s="224"/>
      <c r="O1150" s="222"/>
      <c r="P1150" s="224"/>
      <c r="Q1150" s="222"/>
      <c r="R1150" s="224"/>
      <c r="S1150" s="239"/>
      <c r="T1150" s="224"/>
      <c r="U1150" s="239"/>
      <c r="V1150" s="224"/>
      <c r="W1150" s="261"/>
    </row>
    <row r="1151" spans="1:23" x14ac:dyDescent="0.25">
      <c r="A1151" s="215"/>
      <c r="B1151" s="215"/>
      <c r="C1151" s="215"/>
      <c r="D1151" s="215"/>
      <c r="E1151" s="221"/>
      <c r="F1151" s="221"/>
      <c r="G1151" s="222"/>
      <c r="H1151" s="221"/>
      <c r="I1151" s="223"/>
      <c r="J1151" s="237"/>
      <c r="K1151" s="223"/>
      <c r="L1151" s="236"/>
      <c r="M1151" s="222"/>
      <c r="N1151" s="224"/>
      <c r="O1151" s="222"/>
      <c r="P1151" s="224"/>
      <c r="Q1151" s="222"/>
      <c r="R1151" s="224"/>
      <c r="S1151" s="239"/>
      <c r="T1151" s="224"/>
      <c r="U1151" s="239"/>
      <c r="V1151" s="224"/>
      <c r="W1151" s="261"/>
    </row>
    <row r="1152" spans="1:23" x14ac:dyDescent="0.25">
      <c r="A1152" s="215"/>
      <c r="B1152" s="215"/>
      <c r="C1152" s="215"/>
      <c r="D1152" s="215"/>
      <c r="E1152" s="221"/>
      <c r="F1152" s="221"/>
      <c r="G1152" s="222"/>
      <c r="H1152" s="221"/>
      <c r="I1152" s="223"/>
      <c r="J1152" s="237"/>
      <c r="K1152" s="223"/>
      <c r="L1152" s="236"/>
      <c r="M1152" s="222"/>
      <c r="N1152" s="224"/>
      <c r="O1152" s="222"/>
      <c r="P1152" s="224"/>
      <c r="Q1152" s="222"/>
      <c r="R1152" s="224"/>
      <c r="S1152" s="239"/>
      <c r="T1152" s="224"/>
      <c r="U1152" s="239"/>
      <c r="V1152" s="224"/>
      <c r="W1152" s="261"/>
    </row>
    <row r="1153" spans="1:23" x14ac:dyDescent="0.25">
      <c r="A1153" s="215"/>
      <c r="B1153" s="215"/>
      <c r="C1153" s="215"/>
      <c r="D1153" s="215"/>
      <c r="E1153" s="221"/>
      <c r="F1153" s="221"/>
      <c r="G1153" s="222"/>
      <c r="H1153" s="221"/>
      <c r="I1153" s="223"/>
      <c r="J1153" s="237"/>
      <c r="K1153" s="223"/>
      <c r="L1153" s="236"/>
      <c r="M1153" s="222"/>
      <c r="N1153" s="224"/>
      <c r="O1153" s="222"/>
      <c r="P1153" s="224"/>
      <c r="Q1153" s="222"/>
      <c r="R1153" s="224"/>
      <c r="S1153" s="239"/>
      <c r="T1153" s="224"/>
      <c r="U1153" s="239"/>
      <c r="V1153" s="224"/>
      <c r="W1153" s="261"/>
    </row>
    <row r="1154" spans="1:23" x14ac:dyDescent="0.25">
      <c r="A1154" s="215"/>
      <c r="B1154" s="215"/>
      <c r="C1154" s="215"/>
      <c r="D1154" s="215"/>
      <c r="E1154" s="221"/>
      <c r="F1154" s="221"/>
      <c r="G1154" s="222"/>
      <c r="H1154" s="221"/>
      <c r="I1154" s="223"/>
      <c r="J1154" s="237"/>
      <c r="K1154" s="223"/>
      <c r="L1154" s="236"/>
      <c r="M1154" s="222"/>
      <c r="N1154" s="224"/>
      <c r="O1154" s="222"/>
      <c r="P1154" s="224"/>
      <c r="Q1154" s="222"/>
      <c r="R1154" s="224"/>
      <c r="S1154" s="239"/>
      <c r="T1154" s="224"/>
      <c r="U1154" s="239"/>
      <c r="V1154" s="224"/>
      <c r="W1154" s="261"/>
    </row>
    <row r="1155" spans="1:23" x14ac:dyDescent="0.25">
      <c r="A1155" s="215"/>
      <c r="B1155" s="215"/>
      <c r="C1155" s="215"/>
      <c r="D1155" s="215"/>
      <c r="E1155" s="221"/>
      <c r="F1155" s="221"/>
      <c r="G1155" s="222"/>
      <c r="H1155" s="221"/>
      <c r="I1155" s="223"/>
      <c r="J1155" s="237"/>
      <c r="K1155" s="223"/>
      <c r="L1155" s="236"/>
      <c r="M1155" s="222"/>
      <c r="N1155" s="224"/>
      <c r="O1155" s="222"/>
      <c r="P1155" s="224"/>
      <c r="Q1155" s="222"/>
      <c r="R1155" s="224"/>
      <c r="S1155" s="239"/>
      <c r="T1155" s="224"/>
      <c r="U1155" s="239"/>
      <c r="V1155" s="224"/>
      <c r="W1155" s="261"/>
    </row>
    <row r="1156" spans="1:23" x14ac:dyDescent="0.25">
      <c r="A1156" s="215"/>
      <c r="B1156" s="215"/>
      <c r="C1156" s="215"/>
      <c r="D1156" s="215"/>
      <c r="E1156" s="221"/>
      <c r="F1156" s="221"/>
      <c r="G1156" s="222"/>
      <c r="H1156" s="221"/>
      <c r="I1156" s="223"/>
      <c r="J1156" s="237"/>
      <c r="K1156" s="223"/>
      <c r="L1156" s="236"/>
      <c r="M1156" s="222"/>
      <c r="N1156" s="224"/>
      <c r="O1156" s="222"/>
      <c r="P1156" s="224"/>
      <c r="Q1156" s="222"/>
      <c r="R1156" s="224"/>
      <c r="S1156" s="239"/>
      <c r="T1156" s="224"/>
      <c r="U1156" s="239"/>
      <c r="V1156" s="224"/>
      <c r="W1156" s="261"/>
    </row>
    <row r="1157" spans="1:23" x14ac:dyDescent="0.25">
      <c r="A1157" s="215"/>
      <c r="B1157" s="215"/>
      <c r="C1157" s="215"/>
      <c r="D1157" s="215"/>
      <c r="E1157" s="221"/>
      <c r="F1157" s="221"/>
      <c r="G1157" s="222"/>
      <c r="H1157" s="221"/>
      <c r="I1157" s="223"/>
      <c r="J1157" s="237"/>
      <c r="K1157" s="223"/>
      <c r="L1157" s="236"/>
      <c r="M1157" s="222"/>
      <c r="N1157" s="224"/>
      <c r="O1157" s="222"/>
      <c r="P1157" s="224"/>
      <c r="Q1157" s="222"/>
      <c r="R1157" s="224"/>
      <c r="S1157" s="239"/>
      <c r="T1157" s="224"/>
      <c r="U1157" s="239"/>
      <c r="V1157" s="224"/>
      <c r="W1157" s="261"/>
    </row>
    <row r="1158" spans="1:23" x14ac:dyDescent="0.25">
      <c r="A1158" s="215"/>
      <c r="B1158" s="215"/>
      <c r="C1158" s="215"/>
      <c r="D1158" s="215"/>
      <c r="E1158" s="221"/>
      <c r="F1158" s="221"/>
      <c r="G1158" s="222"/>
      <c r="H1158" s="221"/>
      <c r="I1158" s="223"/>
      <c r="J1158" s="237"/>
      <c r="K1158" s="223"/>
      <c r="L1158" s="236"/>
      <c r="M1158" s="222"/>
      <c r="N1158" s="224"/>
      <c r="O1158" s="222"/>
      <c r="P1158" s="224"/>
      <c r="Q1158" s="222"/>
      <c r="R1158" s="224"/>
      <c r="S1158" s="239"/>
      <c r="T1158" s="224"/>
      <c r="U1158" s="239"/>
      <c r="V1158" s="224"/>
      <c r="W1158" s="261"/>
    </row>
    <row r="1159" spans="1:23" x14ac:dyDescent="0.25">
      <c r="A1159" s="215"/>
      <c r="B1159" s="215"/>
      <c r="C1159" s="215"/>
      <c r="D1159" s="215"/>
      <c r="E1159" s="221"/>
      <c r="F1159" s="221"/>
      <c r="G1159" s="222"/>
      <c r="H1159" s="221"/>
      <c r="I1159" s="223"/>
      <c r="J1159" s="237"/>
      <c r="K1159" s="223"/>
      <c r="L1159" s="236"/>
      <c r="M1159" s="222"/>
      <c r="N1159" s="224"/>
      <c r="O1159" s="222"/>
      <c r="P1159" s="224"/>
      <c r="Q1159" s="222"/>
      <c r="R1159" s="224"/>
      <c r="S1159" s="239"/>
      <c r="T1159" s="224"/>
      <c r="U1159" s="239"/>
      <c r="V1159" s="224"/>
      <c r="W1159" s="261"/>
    </row>
    <row r="1160" spans="1:23" x14ac:dyDescent="0.25">
      <c r="A1160" s="215"/>
      <c r="B1160" s="215"/>
      <c r="C1160" s="215"/>
      <c r="D1160" s="215"/>
      <c r="E1160" s="221"/>
      <c r="F1160" s="221"/>
      <c r="G1160" s="222"/>
      <c r="H1160" s="221"/>
      <c r="I1160" s="223"/>
      <c r="J1160" s="237"/>
      <c r="K1160" s="223"/>
      <c r="L1160" s="236"/>
      <c r="M1160" s="222"/>
      <c r="N1160" s="224"/>
      <c r="O1160" s="222"/>
      <c r="P1160" s="224"/>
      <c r="Q1160" s="222"/>
      <c r="R1160" s="224"/>
      <c r="S1160" s="239"/>
      <c r="T1160" s="224"/>
      <c r="U1160" s="239"/>
      <c r="V1160" s="224"/>
      <c r="W1160" s="261"/>
    </row>
    <row r="1161" spans="1:23" x14ac:dyDescent="0.25">
      <c r="A1161" s="215"/>
      <c r="B1161" s="215"/>
      <c r="C1161" s="215"/>
      <c r="D1161" s="215"/>
      <c r="E1161" s="221"/>
      <c r="F1161" s="221"/>
      <c r="G1161" s="222"/>
      <c r="H1161" s="221"/>
      <c r="I1161" s="223"/>
      <c r="J1161" s="237"/>
      <c r="K1161" s="223"/>
      <c r="L1161" s="236"/>
      <c r="M1161" s="222"/>
      <c r="N1161" s="224"/>
      <c r="O1161" s="222"/>
      <c r="P1161" s="224"/>
      <c r="Q1161" s="222"/>
      <c r="R1161" s="224"/>
      <c r="S1161" s="239"/>
      <c r="T1161" s="224"/>
      <c r="U1161" s="239"/>
      <c r="V1161" s="224"/>
      <c r="W1161" s="261"/>
    </row>
    <row r="1162" spans="1:23" x14ac:dyDescent="0.25">
      <c r="A1162" s="215"/>
      <c r="B1162" s="215"/>
      <c r="C1162" s="215"/>
      <c r="D1162" s="215"/>
      <c r="E1162" s="221"/>
      <c r="F1162" s="221"/>
      <c r="G1162" s="222"/>
      <c r="H1162" s="221"/>
      <c r="I1162" s="223"/>
      <c r="J1162" s="237"/>
      <c r="K1162" s="223"/>
      <c r="L1162" s="236"/>
      <c r="M1162" s="222"/>
      <c r="N1162" s="224"/>
      <c r="O1162" s="222"/>
      <c r="P1162" s="224"/>
      <c r="Q1162" s="222"/>
      <c r="R1162" s="224"/>
      <c r="S1162" s="239"/>
      <c r="T1162" s="224"/>
      <c r="U1162" s="239"/>
      <c r="V1162" s="224"/>
      <c r="W1162" s="261"/>
    </row>
    <row r="1163" spans="1:23" x14ac:dyDescent="0.25">
      <c r="A1163" s="215"/>
      <c r="B1163" s="215"/>
      <c r="C1163" s="215"/>
      <c r="D1163" s="215"/>
      <c r="E1163" s="221"/>
      <c r="F1163" s="221"/>
      <c r="G1163" s="222"/>
      <c r="H1163" s="221"/>
      <c r="I1163" s="223"/>
      <c r="J1163" s="237"/>
      <c r="K1163" s="223"/>
      <c r="L1163" s="236"/>
      <c r="M1163" s="222"/>
      <c r="N1163" s="224"/>
      <c r="O1163" s="222"/>
      <c r="P1163" s="224"/>
      <c r="Q1163" s="222"/>
      <c r="R1163" s="224"/>
      <c r="S1163" s="239"/>
      <c r="T1163" s="224"/>
      <c r="U1163" s="239"/>
      <c r="V1163" s="224"/>
      <c r="W1163" s="261"/>
    </row>
    <row r="1164" spans="1:23" x14ac:dyDescent="0.25">
      <c r="A1164" s="215"/>
      <c r="B1164" s="215"/>
      <c r="C1164" s="215"/>
      <c r="D1164" s="215"/>
      <c r="E1164" s="221"/>
      <c r="F1164" s="221"/>
      <c r="G1164" s="222"/>
      <c r="H1164" s="221"/>
      <c r="I1164" s="223"/>
      <c r="J1164" s="237"/>
      <c r="K1164" s="223"/>
      <c r="L1164" s="236"/>
      <c r="M1164" s="222"/>
      <c r="N1164" s="224"/>
      <c r="O1164" s="222"/>
      <c r="P1164" s="224"/>
      <c r="Q1164" s="222"/>
      <c r="R1164" s="224"/>
      <c r="S1164" s="239"/>
      <c r="T1164" s="224"/>
      <c r="U1164" s="239"/>
      <c r="V1164" s="224"/>
      <c r="W1164" s="261"/>
    </row>
    <row r="1165" spans="1:23" x14ac:dyDescent="0.25">
      <c r="A1165" s="215"/>
      <c r="B1165" s="215"/>
      <c r="C1165" s="215"/>
      <c r="D1165" s="215"/>
      <c r="E1165" s="221"/>
      <c r="F1165" s="221"/>
      <c r="G1165" s="222"/>
      <c r="H1165" s="221"/>
      <c r="I1165" s="223"/>
      <c r="J1165" s="237"/>
      <c r="K1165" s="223"/>
      <c r="L1165" s="236"/>
      <c r="M1165" s="222"/>
      <c r="N1165" s="224"/>
      <c r="O1165" s="222"/>
      <c r="P1165" s="224"/>
      <c r="Q1165" s="222"/>
      <c r="R1165" s="224"/>
      <c r="S1165" s="239"/>
      <c r="T1165" s="224"/>
      <c r="U1165" s="239"/>
      <c r="V1165" s="224"/>
      <c r="W1165" s="261"/>
    </row>
    <row r="1166" spans="1:23" x14ac:dyDescent="0.25">
      <c r="A1166" s="215"/>
      <c r="B1166" s="215"/>
      <c r="C1166" s="215"/>
      <c r="D1166" s="215"/>
      <c r="E1166" s="221"/>
      <c r="F1166" s="221"/>
      <c r="G1166" s="222"/>
      <c r="H1166" s="221"/>
      <c r="I1166" s="223"/>
      <c r="J1166" s="237"/>
      <c r="K1166" s="223"/>
      <c r="L1166" s="236"/>
      <c r="M1166" s="222"/>
      <c r="N1166" s="224"/>
      <c r="O1166" s="222"/>
      <c r="P1166" s="224"/>
      <c r="Q1166" s="222"/>
      <c r="R1166" s="224"/>
      <c r="S1166" s="239"/>
      <c r="T1166" s="224"/>
      <c r="U1166" s="239"/>
      <c r="V1166" s="224"/>
      <c r="W1166" s="261"/>
    </row>
    <row r="1167" spans="1:23" x14ac:dyDescent="0.25">
      <c r="A1167" s="215"/>
      <c r="B1167" s="215"/>
      <c r="C1167" s="215"/>
      <c r="D1167" s="215"/>
      <c r="E1167" s="221"/>
      <c r="F1167" s="221"/>
      <c r="G1167" s="222"/>
      <c r="H1167" s="221"/>
      <c r="I1167" s="223"/>
      <c r="J1167" s="237"/>
      <c r="K1167" s="223"/>
      <c r="L1167" s="236"/>
      <c r="M1167" s="222"/>
      <c r="N1167" s="224"/>
      <c r="O1167" s="222"/>
      <c r="P1167" s="224"/>
      <c r="Q1167" s="222"/>
      <c r="R1167" s="224"/>
      <c r="S1167" s="239"/>
      <c r="T1167" s="224"/>
      <c r="U1167" s="239"/>
      <c r="V1167" s="224"/>
      <c r="W1167" s="261"/>
    </row>
    <row r="1168" spans="1:23" x14ac:dyDescent="0.25">
      <c r="A1168" s="215"/>
      <c r="B1168" s="215"/>
      <c r="C1168" s="215"/>
      <c r="D1168" s="215"/>
      <c r="E1168" s="221"/>
      <c r="F1168" s="221"/>
      <c r="G1168" s="222"/>
      <c r="H1168" s="221"/>
      <c r="I1168" s="223"/>
      <c r="J1168" s="237"/>
      <c r="K1168" s="223"/>
      <c r="L1168" s="236"/>
      <c r="M1168" s="222"/>
      <c r="N1168" s="224"/>
      <c r="O1168" s="222"/>
      <c r="P1168" s="224"/>
      <c r="Q1168" s="222"/>
      <c r="R1168" s="224"/>
      <c r="S1168" s="239"/>
      <c r="T1168" s="224"/>
      <c r="U1168" s="239"/>
      <c r="V1168" s="224"/>
      <c r="W1168" s="261"/>
    </row>
    <row r="1169" spans="1:23" x14ac:dyDescent="0.25">
      <c r="A1169" s="215"/>
      <c r="B1169" s="215"/>
      <c r="C1169" s="215"/>
      <c r="D1169" s="215"/>
      <c r="E1169" s="221"/>
      <c r="F1169" s="221"/>
      <c r="G1169" s="222"/>
      <c r="H1169" s="221"/>
      <c r="I1169" s="223"/>
      <c r="J1169" s="237"/>
      <c r="K1169" s="223"/>
      <c r="L1169" s="236"/>
      <c r="M1169" s="222"/>
      <c r="N1169" s="224"/>
      <c r="O1169" s="222"/>
      <c r="P1169" s="224"/>
      <c r="Q1169" s="222"/>
      <c r="R1169" s="224"/>
      <c r="S1169" s="239"/>
      <c r="T1169" s="224"/>
      <c r="U1169" s="239"/>
      <c r="V1169" s="224"/>
      <c r="W1169" s="261"/>
    </row>
    <row r="1170" spans="1:23" x14ac:dyDescent="0.25">
      <c r="A1170" s="215"/>
      <c r="B1170" s="215"/>
      <c r="C1170" s="215"/>
      <c r="D1170" s="215"/>
      <c r="E1170" s="221"/>
      <c r="F1170" s="221"/>
      <c r="G1170" s="222"/>
      <c r="H1170" s="221"/>
      <c r="I1170" s="223"/>
      <c r="J1170" s="237"/>
      <c r="K1170" s="223"/>
      <c r="L1170" s="236"/>
      <c r="M1170" s="222"/>
      <c r="N1170" s="224"/>
      <c r="O1170" s="222"/>
      <c r="P1170" s="224"/>
      <c r="Q1170" s="222"/>
      <c r="R1170" s="224"/>
      <c r="S1170" s="239"/>
      <c r="T1170" s="224"/>
      <c r="U1170" s="239"/>
      <c r="V1170" s="224"/>
      <c r="W1170" s="261"/>
    </row>
    <row r="1171" spans="1:23" x14ac:dyDescent="0.25">
      <c r="A1171" s="215"/>
      <c r="B1171" s="215"/>
      <c r="C1171" s="215"/>
      <c r="D1171" s="215"/>
      <c r="E1171" s="221"/>
      <c r="F1171" s="221"/>
      <c r="G1171" s="222"/>
      <c r="H1171" s="221"/>
      <c r="I1171" s="223"/>
      <c r="J1171" s="237"/>
      <c r="K1171" s="223"/>
      <c r="L1171" s="236"/>
      <c r="M1171" s="222"/>
      <c r="N1171" s="224"/>
      <c r="O1171" s="222"/>
      <c r="P1171" s="224"/>
      <c r="Q1171" s="222"/>
      <c r="R1171" s="224"/>
      <c r="S1171" s="239"/>
      <c r="T1171" s="224"/>
      <c r="U1171" s="239"/>
      <c r="V1171" s="224"/>
      <c r="W1171" s="261"/>
    </row>
    <row r="1172" spans="1:23" x14ac:dyDescent="0.25">
      <c r="A1172" s="215"/>
      <c r="B1172" s="215"/>
      <c r="C1172" s="215"/>
      <c r="D1172" s="215"/>
      <c r="E1172" s="221"/>
      <c r="F1172" s="221"/>
      <c r="G1172" s="222"/>
      <c r="H1172" s="221"/>
      <c r="I1172" s="223"/>
      <c r="J1172" s="237"/>
      <c r="K1172" s="223"/>
      <c r="L1172" s="236"/>
      <c r="M1172" s="222"/>
      <c r="N1172" s="224"/>
      <c r="O1172" s="222"/>
      <c r="P1172" s="224"/>
      <c r="Q1172" s="222"/>
      <c r="R1172" s="224"/>
      <c r="S1172" s="239"/>
      <c r="T1172" s="224"/>
      <c r="U1172" s="239"/>
      <c r="V1172" s="224"/>
      <c r="W1172" s="261"/>
    </row>
    <row r="1173" spans="1:23" x14ac:dyDescent="0.25">
      <c r="A1173" s="215"/>
      <c r="B1173" s="215"/>
      <c r="C1173" s="215"/>
      <c r="D1173" s="215"/>
      <c r="E1173" s="221"/>
      <c r="F1173" s="221"/>
      <c r="G1173" s="222"/>
      <c r="H1173" s="221"/>
      <c r="I1173" s="223"/>
      <c r="J1173" s="237"/>
      <c r="K1173" s="223"/>
      <c r="L1173" s="236"/>
      <c r="M1173" s="222"/>
      <c r="N1173" s="224"/>
      <c r="O1173" s="222"/>
      <c r="P1173" s="224"/>
      <c r="Q1173" s="222"/>
      <c r="R1173" s="224"/>
      <c r="S1173" s="239"/>
      <c r="T1173" s="224"/>
      <c r="U1173" s="239"/>
      <c r="V1173" s="224"/>
      <c r="W1173" s="261"/>
    </row>
    <row r="1174" spans="1:23" x14ac:dyDescent="0.25">
      <c r="A1174" s="215"/>
      <c r="B1174" s="215"/>
      <c r="C1174" s="215"/>
      <c r="D1174" s="215"/>
      <c r="E1174" s="221"/>
      <c r="F1174" s="221"/>
      <c r="G1174" s="222"/>
      <c r="H1174" s="221"/>
      <c r="I1174" s="223"/>
      <c r="J1174" s="237"/>
      <c r="K1174" s="223"/>
      <c r="L1174" s="236"/>
      <c r="M1174" s="222"/>
      <c r="N1174" s="224"/>
      <c r="O1174" s="222"/>
      <c r="P1174" s="224"/>
      <c r="Q1174" s="222"/>
      <c r="R1174" s="224"/>
      <c r="S1174" s="239"/>
      <c r="T1174" s="224"/>
      <c r="U1174" s="239"/>
      <c r="V1174" s="224"/>
      <c r="W1174" s="261"/>
    </row>
    <row r="1175" spans="1:23" x14ac:dyDescent="0.25">
      <c r="A1175" s="215"/>
      <c r="B1175" s="215"/>
      <c r="C1175" s="215"/>
      <c r="D1175" s="215"/>
      <c r="E1175" s="221"/>
      <c r="F1175" s="221"/>
      <c r="G1175" s="222"/>
      <c r="H1175" s="221"/>
      <c r="I1175" s="223"/>
      <c r="J1175" s="237"/>
      <c r="K1175" s="223"/>
      <c r="L1175" s="236"/>
      <c r="M1175" s="222"/>
      <c r="N1175" s="224"/>
      <c r="O1175" s="222"/>
      <c r="P1175" s="224"/>
      <c r="Q1175" s="222"/>
      <c r="R1175" s="224"/>
      <c r="S1175" s="239"/>
      <c r="T1175" s="224"/>
      <c r="U1175" s="239"/>
      <c r="V1175" s="224"/>
      <c r="W1175" s="261"/>
    </row>
    <row r="1176" spans="1:23" x14ac:dyDescent="0.25">
      <c r="A1176" s="215"/>
      <c r="B1176" s="215"/>
      <c r="C1176" s="215"/>
      <c r="D1176" s="215"/>
      <c r="E1176" s="221"/>
      <c r="F1176" s="221"/>
      <c r="G1176" s="222"/>
      <c r="H1176" s="221"/>
      <c r="I1176" s="223"/>
      <c r="J1176" s="237"/>
      <c r="K1176" s="223"/>
      <c r="L1176" s="236"/>
      <c r="M1176" s="222"/>
      <c r="N1176" s="224"/>
      <c r="O1176" s="222"/>
      <c r="P1176" s="224"/>
      <c r="Q1176" s="222"/>
      <c r="R1176" s="224"/>
      <c r="S1176" s="239"/>
      <c r="T1176" s="224"/>
      <c r="U1176" s="239"/>
      <c r="V1176" s="224"/>
      <c r="W1176" s="261"/>
    </row>
    <row r="1177" spans="1:23" x14ac:dyDescent="0.25">
      <c r="A1177" s="215"/>
      <c r="B1177" s="215"/>
      <c r="C1177" s="215"/>
      <c r="D1177" s="215"/>
      <c r="E1177" s="221"/>
      <c r="F1177" s="221"/>
      <c r="G1177" s="222"/>
      <c r="H1177" s="221"/>
      <c r="I1177" s="223"/>
      <c r="J1177" s="237"/>
      <c r="K1177" s="223"/>
      <c r="L1177" s="236"/>
      <c r="M1177" s="222"/>
      <c r="N1177" s="224"/>
      <c r="O1177" s="222"/>
      <c r="P1177" s="224"/>
      <c r="Q1177" s="222"/>
      <c r="R1177" s="224"/>
      <c r="S1177" s="239"/>
      <c r="T1177" s="224"/>
      <c r="U1177" s="239"/>
      <c r="V1177" s="224"/>
      <c r="W1177" s="261"/>
    </row>
    <row r="1178" spans="1:23" x14ac:dyDescent="0.25">
      <c r="A1178" s="215"/>
      <c r="B1178" s="215"/>
      <c r="C1178" s="215"/>
      <c r="D1178" s="215"/>
      <c r="E1178" s="221"/>
      <c r="F1178" s="221"/>
      <c r="G1178" s="222"/>
      <c r="H1178" s="221"/>
      <c r="I1178" s="223"/>
      <c r="J1178" s="237"/>
      <c r="K1178" s="223"/>
      <c r="L1178" s="236"/>
      <c r="M1178" s="222"/>
      <c r="N1178" s="224"/>
      <c r="O1178" s="222"/>
      <c r="P1178" s="224"/>
      <c r="Q1178" s="222"/>
      <c r="R1178" s="224"/>
      <c r="S1178" s="239"/>
      <c r="T1178" s="224"/>
      <c r="U1178" s="239"/>
      <c r="V1178" s="224"/>
      <c r="W1178" s="261"/>
    </row>
    <row r="1179" spans="1:23" x14ac:dyDescent="0.25">
      <c r="A1179" s="215"/>
      <c r="B1179" s="215"/>
      <c r="C1179" s="215"/>
      <c r="D1179" s="215"/>
      <c r="E1179" s="221"/>
      <c r="F1179" s="221"/>
      <c r="G1179" s="222"/>
      <c r="H1179" s="221"/>
      <c r="I1179" s="223"/>
      <c r="J1179" s="237"/>
      <c r="K1179" s="223"/>
      <c r="L1179" s="236"/>
      <c r="M1179" s="222"/>
      <c r="N1179" s="224"/>
      <c r="O1179" s="222"/>
      <c r="P1179" s="224"/>
      <c r="Q1179" s="222"/>
      <c r="R1179" s="224"/>
      <c r="S1179" s="239"/>
      <c r="T1179" s="224"/>
      <c r="U1179" s="239"/>
      <c r="V1179" s="224"/>
      <c r="W1179" s="261"/>
    </row>
    <row r="1180" spans="1:23" x14ac:dyDescent="0.25">
      <c r="A1180" s="215"/>
      <c r="B1180" s="215"/>
      <c r="C1180" s="215"/>
      <c r="D1180" s="215"/>
      <c r="E1180" s="221"/>
      <c r="F1180" s="221"/>
      <c r="G1180" s="222"/>
      <c r="H1180" s="221"/>
      <c r="I1180" s="223"/>
      <c r="J1180" s="237"/>
      <c r="K1180" s="223"/>
      <c r="L1180" s="236"/>
      <c r="M1180" s="222"/>
      <c r="N1180" s="224"/>
      <c r="O1180" s="222"/>
      <c r="P1180" s="224"/>
      <c r="Q1180" s="222"/>
      <c r="R1180" s="224"/>
      <c r="S1180" s="239"/>
      <c r="T1180" s="224"/>
      <c r="U1180" s="239"/>
      <c r="V1180" s="224"/>
      <c r="W1180" s="261"/>
    </row>
    <row r="1181" spans="1:23" x14ac:dyDescent="0.25">
      <c r="A1181" s="215"/>
      <c r="B1181" s="215"/>
      <c r="C1181" s="215"/>
      <c r="D1181" s="215"/>
      <c r="E1181" s="221"/>
      <c r="F1181" s="221"/>
      <c r="G1181" s="222"/>
      <c r="H1181" s="221"/>
      <c r="I1181" s="223"/>
      <c r="J1181" s="237"/>
      <c r="K1181" s="223"/>
      <c r="L1181" s="236"/>
      <c r="M1181" s="222"/>
      <c r="N1181" s="224"/>
      <c r="O1181" s="222"/>
      <c r="P1181" s="224"/>
      <c r="Q1181" s="222"/>
      <c r="R1181" s="224"/>
      <c r="S1181" s="239"/>
      <c r="T1181" s="224"/>
      <c r="U1181" s="239"/>
      <c r="V1181" s="224"/>
      <c r="W1181" s="261"/>
    </row>
    <row r="1182" spans="1:23" x14ac:dyDescent="0.25">
      <c r="A1182" s="215"/>
      <c r="B1182" s="215"/>
      <c r="C1182" s="215"/>
      <c r="D1182" s="215"/>
      <c r="E1182" s="221"/>
      <c r="F1182" s="221"/>
      <c r="G1182" s="222"/>
      <c r="H1182" s="221"/>
      <c r="I1182" s="223"/>
      <c r="J1182" s="237"/>
      <c r="K1182" s="223"/>
      <c r="L1182" s="236"/>
      <c r="M1182" s="222"/>
      <c r="N1182" s="224"/>
      <c r="O1182" s="222"/>
      <c r="P1182" s="224"/>
      <c r="Q1182" s="222"/>
      <c r="R1182" s="224"/>
      <c r="S1182" s="239"/>
      <c r="T1182" s="224"/>
      <c r="U1182" s="239"/>
      <c r="V1182" s="224"/>
      <c r="W1182" s="261"/>
    </row>
    <row r="1183" spans="1:23" x14ac:dyDescent="0.25">
      <c r="A1183" s="215"/>
      <c r="B1183" s="215"/>
      <c r="C1183" s="215"/>
      <c r="D1183" s="215"/>
      <c r="E1183" s="221"/>
      <c r="F1183" s="221"/>
      <c r="G1183" s="222"/>
      <c r="H1183" s="221"/>
      <c r="I1183" s="223"/>
      <c r="J1183" s="237"/>
      <c r="K1183" s="223"/>
      <c r="L1183" s="236"/>
      <c r="M1183" s="222"/>
      <c r="N1183" s="224"/>
      <c r="O1183" s="222"/>
      <c r="P1183" s="224"/>
      <c r="Q1183" s="222"/>
      <c r="R1183" s="224"/>
      <c r="S1183" s="239"/>
      <c r="T1183" s="224"/>
      <c r="U1183" s="239"/>
      <c r="V1183" s="224"/>
      <c r="W1183" s="261"/>
    </row>
    <row r="1184" spans="1:23" x14ac:dyDescent="0.25">
      <c r="A1184" s="215"/>
      <c r="B1184" s="215"/>
      <c r="C1184" s="215"/>
      <c r="D1184" s="215"/>
      <c r="E1184" s="221"/>
      <c r="F1184" s="221"/>
      <c r="G1184" s="222"/>
      <c r="H1184" s="221"/>
      <c r="I1184" s="223"/>
      <c r="J1184" s="237"/>
      <c r="K1184" s="223"/>
      <c r="L1184" s="236"/>
      <c r="M1184" s="222"/>
      <c r="N1184" s="224"/>
      <c r="O1184" s="222"/>
      <c r="P1184" s="224"/>
      <c r="Q1184" s="222"/>
      <c r="R1184" s="224"/>
      <c r="S1184" s="239"/>
      <c r="T1184" s="224"/>
      <c r="U1184" s="239"/>
      <c r="V1184" s="224"/>
      <c r="W1184" s="261"/>
    </row>
    <row r="1185" spans="1:23" x14ac:dyDescent="0.25">
      <c r="A1185" s="215"/>
      <c r="B1185" s="215"/>
      <c r="C1185" s="215"/>
      <c r="D1185" s="215"/>
      <c r="E1185" s="221"/>
      <c r="F1185" s="221"/>
      <c r="G1185" s="222"/>
      <c r="H1185" s="221"/>
      <c r="I1185" s="223"/>
      <c r="J1185" s="237"/>
      <c r="K1185" s="223"/>
      <c r="L1185" s="236"/>
      <c r="M1185" s="222"/>
      <c r="N1185" s="224"/>
      <c r="O1185" s="222"/>
      <c r="P1185" s="224"/>
      <c r="Q1185" s="222"/>
      <c r="R1185" s="224"/>
      <c r="S1185" s="239"/>
      <c r="T1185" s="224"/>
      <c r="U1185" s="239"/>
      <c r="V1185" s="224"/>
      <c r="W1185" s="261"/>
    </row>
    <row r="1186" spans="1:23" x14ac:dyDescent="0.25">
      <c r="A1186" s="215"/>
      <c r="B1186" s="215"/>
      <c r="C1186" s="215"/>
      <c r="D1186" s="215"/>
      <c r="E1186" s="221"/>
      <c r="F1186" s="221"/>
      <c r="G1186" s="222"/>
      <c r="H1186" s="221"/>
      <c r="I1186" s="223"/>
      <c r="J1186" s="237"/>
      <c r="K1186" s="223"/>
      <c r="L1186" s="236"/>
      <c r="M1186" s="222"/>
      <c r="N1186" s="224"/>
      <c r="O1186" s="222"/>
      <c r="P1186" s="224"/>
      <c r="Q1186" s="222"/>
      <c r="R1186" s="224"/>
      <c r="S1186" s="239"/>
      <c r="T1186" s="224"/>
      <c r="U1186" s="239"/>
      <c r="V1186" s="224"/>
      <c r="W1186" s="261"/>
    </row>
    <row r="1187" spans="1:23" x14ac:dyDescent="0.25">
      <c r="A1187" s="215"/>
      <c r="B1187" s="215"/>
      <c r="C1187" s="215"/>
      <c r="D1187" s="215"/>
      <c r="E1187" s="221"/>
      <c r="F1187" s="221"/>
      <c r="G1187" s="222"/>
      <c r="H1187" s="221"/>
      <c r="I1187" s="223"/>
      <c r="J1187" s="237"/>
      <c r="K1187" s="223"/>
      <c r="L1187" s="236"/>
      <c r="M1187" s="222"/>
      <c r="N1187" s="224"/>
      <c r="O1187" s="222"/>
      <c r="P1187" s="224"/>
      <c r="Q1187" s="222"/>
      <c r="R1187" s="224"/>
      <c r="S1187" s="239"/>
      <c r="T1187" s="224"/>
      <c r="U1187" s="239"/>
      <c r="V1187" s="224"/>
      <c r="W1187" s="261"/>
    </row>
    <row r="1188" spans="1:23" x14ac:dyDescent="0.25">
      <c r="A1188" s="215"/>
      <c r="B1188" s="215"/>
      <c r="C1188" s="215"/>
      <c r="D1188" s="215"/>
      <c r="E1188" s="221"/>
      <c r="F1188" s="221"/>
      <c r="G1188" s="222"/>
      <c r="H1188" s="221"/>
      <c r="I1188" s="223"/>
      <c r="J1188" s="237"/>
      <c r="K1188" s="223"/>
      <c r="L1188" s="236"/>
      <c r="M1188" s="222"/>
      <c r="N1188" s="224"/>
      <c r="O1188" s="222"/>
      <c r="P1188" s="224"/>
      <c r="Q1188" s="222"/>
      <c r="R1188" s="224"/>
      <c r="S1188" s="239"/>
      <c r="T1188" s="224"/>
      <c r="U1188" s="239"/>
      <c r="V1188" s="224"/>
      <c r="W1188" s="261"/>
    </row>
    <row r="1189" spans="1:23" x14ac:dyDescent="0.25">
      <c r="A1189" s="215"/>
      <c r="B1189" s="215"/>
      <c r="C1189" s="215"/>
      <c r="D1189" s="215"/>
      <c r="E1189" s="221"/>
      <c r="F1189" s="221"/>
      <c r="G1189" s="222"/>
      <c r="H1189" s="221"/>
      <c r="I1189" s="223"/>
      <c r="J1189" s="237"/>
      <c r="K1189" s="223"/>
      <c r="L1189" s="236"/>
      <c r="M1189" s="222"/>
      <c r="N1189" s="224"/>
      <c r="O1189" s="222"/>
      <c r="P1189" s="224"/>
      <c r="Q1189" s="222"/>
      <c r="R1189" s="224"/>
      <c r="S1189" s="239"/>
      <c r="T1189" s="224"/>
      <c r="U1189" s="239"/>
      <c r="V1189" s="224"/>
      <c r="W1189" s="261"/>
    </row>
    <row r="1190" spans="1:23" x14ac:dyDescent="0.25">
      <c r="A1190" s="215"/>
      <c r="B1190" s="215"/>
      <c r="C1190" s="215"/>
      <c r="D1190" s="215"/>
      <c r="E1190" s="221"/>
      <c r="F1190" s="221"/>
      <c r="G1190" s="222"/>
      <c r="H1190" s="221"/>
      <c r="I1190" s="223"/>
      <c r="J1190" s="237"/>
      <c r="K1190" s="223"/>
      <c r="L1190" s="236"/>
      <c r="M1190" s="222"/>
      <c r="N1190" s="224"/>
      <c r="O1190" s="222"/>
      <c r="P1190" s="224"/>
      <c r="Q1190" s="222"/>
      <c r="R1190" s="224"/>
      <c r="S1190" s="239"/>
      <c r="T1190" s="224"/>
      <c r="U1190" s="239"/>
      <c r="V1190" s="224"/>
      <c r="W1190" s="261"/>
    </row>
    <row r="1191" spans="1:23" x14ac:dyDescent="0.25">
      <c r="A1191" s="215"/>
      <c r="B1191" s="215"/>
      <c r="C1191" s="215"/>
      <c r="D1191" s="215"/>
      <c r="E1191" s="221"/>
      <c r="F1191" s="221"/>
      <c r="G1191" s="222"/>
      <c r="H1191" s="221"/>
      <c r="I1191" s="223"/>
      <c r="J1191" s="237"/>
      <c r="K1191" s="223"/>
      <c r="L1191" s="236"/>
      <c r="M1191" s="222"/>
      <c r="N1191" s="224"/>
      <c r="O1191" s="222"/>
      <c r="P1191" s="224"/>
      <c r="Q1191" s="222"/>
      <c r="R1191" s="224"/>
      <c r="S1191" s="239"/>
      <c r="T1191" s="224"/>
      <c r="U1191" s="239"/>
      <c r="V1191" s="224"/>
      <c r="W1191" s="261"/>
    </row>
    <row r="1192" spans="1:23" x14ac:dyDescent="0.25">
      <c r="A1192" s="215"/>
      <c r="B1192" s="215"/>
      <c r="C1192" s="215"/>
      <c r="D1192" s="215"/>
      <c r="E1192" s="221"/>
      <c r="F1192" s="221"/>
      <c r="G1192" s="222"/>
      <c r="H1192" s="221"/>
      <c r="I1192" s="223"/>
      <c r="J1192" s="237"/>
      <c r="K1192" s="223"/>
      <c r="L1192" s="236"/>
      <c r="M1192" s="222"/>
      <c r="N1192" s="224"/>
      <c r="O1192" s="222"/>
      <c r="P1192" s="224"/>
      <c r="Q1192" s="222"/>
      <c r="R1192" s="224"/>
      <c r="S1192" s="239"/>
      <c r="T1192" s="224"/>
      <c r="U1192" s="239"/>
      <c r="V1192" s="224"/>
      <c r="W1192" s="261"/>
    </row>
    <row r="1193" spans="1:23" x14ac:dyDescent="0.25">
      <c r="A1193" s="215"/>
      <c r="B1193" s="215"/>
      <c r="C1193" s="215"/>
      <c r="D1193" s="215"/>
      <c r="E1193" s="221"/>
      <c r="F1193" s="221"/>
      <c r="G1193" s="222"/>
      <c r="H1193" s="221"/>
      <c r="I1193" s="223"/>
      <c r="J1193" s="237"/>
      <c r="K1193" s="223"/>
      <c r="L1193" s="236"/>
      <c r="M1193" s="222"/>
      <c r="N1193" s="224"/>
      <c r="O1193" s="222"/>
      <c r="P1193" s="224"/>
      <c r="Q1193" s="222"/>
      <c r="R1193" s="224"/>
      <c r="S1193" s="239"/>
      <c r="T1193" s="224"/>
      <c r="U1193" s="239"/>
      <c r="V1193" s="224"/>
      <c r="W1193" s="261"/>
    </row>
    <row r="1194" spans="1:23" x14ac:dyDescent="0.25">
      <c r="A1194" s="215"/>
      <c r="B1194" s="215"/>
      <c r="C1194" s="215"/>
      <c r="D1194" s="215"/>
      <c r="E1194" s="221"/>
      <c r="F1194" s="221"/>
      <c r="G1194" s="222"/>
      <c r="H1194" s="221"/>
      <c r="I1194" s="223"/>
      <c r="J1194" s="237"/>
      <c r="K1194" s="223"/>
      <c r="L1194" s="236"/>
      <c r="M1194" s="222"/>
      <c r="N1194" s="224"/>
      <c r="O1194" s="222"/>
      <c r="P1194" s="224"/>
      <c r="Q1194" s="222"/>
      <c r="R1194" s="224"/>
      <c r="S1194" s="239"/>
      <c r="T1194" s="224"/>
      <c r="U1194" s="239"/>
      <c r="V1194" s="224"/>
      <c r="W1194" s="261"/>
    </row>
    <row r="1195" spans="1:23" x14ac:dyDescent="0.25">
      <c r="A1195" s="215"/>
      <c r="B1195" s="215"/>
      <c r="C1195" s="215"/>
      <c r="D1195" s="215"/>
      <c r="E1195" s="221"/>
      <c r="F1195" s="221"/>
      <c r="G1195" s="222"/>
      <c r="H1195" s="221"/>
      <c r="I1195" s="223"/>
      <c r="J1195" s="237"/>
      <c r="K1195" s="223"/>
      <c r="L1195" s="236"/>
      <c r="M1195" s="222"/>
      <c r="N1195" s="224"/>
      <c r="O1195" s="222"/>
      <c r="P1195" s="224"/>
      <c r="Q1195" s="222"/>
      <c r="R1195" s="224"/>
      <c r="S1195" s="239"/>
      <c r="T1195" s="224"/>
      <c r="U1195" s="239"/>
      <c r="V1195" s="224"/>
      <c r="W1195" s="261"/>
    </row>
    <row r="1196" spans="1:23" x14ac:dyDescent="0.25">
      <c r="A1196" s="215"/>
      <c r="B1196" s="215"/>
      <c r="C1196" s="215"/>
      <c r="D1196" s="215"/>
      <c r="E1196" s="221"/>
      <c r="F1196" s="221"/>
      <c r="G1196" s="222"/>
      <c r="H1196" s="221"/>
      <c r="I1196" s="223"/>
      <c r="J1196" s="237"/>
      <c r="K1196" s="223"/>
      <c r="L1196" s="236"/>
      <c r="M1196" s="222"/>
      <c r="N1196" s="224"/>
      <c r="O1196" s="222"/>
      <c r="P1196" s="224"/>
      <c r="Q1196" s="222"/>
      <c r="R1196" s="224"/>
      <c r="S1196" s="239"/>
      <c r="T1196" s="224"/>
      <c r="U1196" s="239"/>
      <c r="V1196" s="224"/>
      <c r="W1196" s="261"/>
    </row>
    <row r="1197" spans="1:23" x14ac:dyDescent="0.25">
      <c r="A1197" s="215"/>
      <c r="B1197" s="215"/>
      <c r="C1197" s="215"/>
      <c r="D1197" s="215"/>
      <c r="E1197" s="221"/>
      <c r="F1197" s="221"/>
      <c r="G1197" s="222"/>
      <c r="H1197" s="221"/>
      <c r="I1197" s="223"/>
      <c r="J1197" s="237"/>
      <c r="K1197" s="223"/>
      <c r="L1197" s="236"/>
      <c r="M1197" s="222"/>
      <c r="N1197" s="224"/>
      <c r="O1197" s="222"/>
      <c r="P1197" s="224"/>
      <c r="Q1197" s="222"/>
      <c r="R1197" s="224"/>
      <c r="S1197" s="239"/>
      <c r="T1197" s="224"/>
      <c r="U1197" s="239"/>
      <c r="V1197" s="224"/>
      <c r="W1197" s="261"/>
    </row>
    <row r="1198" spans="1:23" x14ac:dyDescent="0.25">
      <c r="A1198" s="215"/>
      <c r="B1198" s="215"/>
      <c r="C1198" s="215"/>
      <c r="D1198" s="215"/>
      <c r="E1198" s="221"/>
      <c r="F1198" s="221"/>
      <c r="G1198" s="222"/>
      <c r="H1198" s="221"/>
      <c r="I1198" s="223"/>
      <c r="J1198" s="237"/>
      <c r="K1198" s="223"/>
      <c r="L1198" s="236"/>
      <c r="M1198" s="222"/>
      <c r="N1198" s="224"/>
      <c r="O1198" s="222"/>
      <c r="P1198" s="224"/>
      <c r="Q1198" s="222"/>
      <c r="R1198" s="224"/>
      <c r="S1198" s="239"/>
      <c r="T1198" s="224"/>
      <c r="U1198" s="239"/>
      <c r="V1198" s="224"/>
      <c r="W1198" s="261"/>
    </row>
    <row r="1199" spans="1:23" x14ac:dyDescent="0.25">
      <c r="A1199" s="215"/>
      <c r="B1199" s="215"/>
      <c r="C1199" s="215"/>
      <c r="D1199" s="215"/>
      <c r="E1199" s="221"/>
      <c r="F1199" s="221"/>
      <c r="G1199" s="222"/>
      <c r="H1199" s="221"/>
      <c r="I1199" s="223"/>
      <c r="J1199" s="237"/>
      <c r="K1199" s="223"/>
      <c r="L1199" s="236"/>
      <c r="M1199" s="222"/>
      <c r="N1199" s="224"/>
      <c r="O1199" s="222"/>
      <c r="P1199" s="224"/>
      <c r="Q1199" s="222"/>
      <c r="R1199" s="224"/>
      <c r="S1199" s="239"/>
      <c r="T1199" s="224"/>
      <c r="U1199" s="239"/>
      <c r="V1199" s="224"/>
      <c r="W1199" s="261"/>
    </row>
    <row r="1200" spans="1:23" x14ac:dyDescent="0.25">
      <c r="A1200" s="215"/>
      <c r="B1200" s="215"/>
      <c r="C1200" s="215"/>
      <c r="D1200" s="215"/>
      <c r="E1200" s="221"/>
      <c r="F1200" s="221"/>
      <c r="G1200" s="222"/>
      <c r="H1200" s="221"/>
      <c r="I1200" s="223"/>
      <c r="J1200" s="237"/>
      <c r="K1200" s="223"/>
      <c r="L1200" s="236"/>
      <c r="M1200" s="222"/>
      <c r="N1200" s="224"/>
      <c r="O1200" s="222"/>
      <c r="P1200" s="224"/>
      <c r="Q1200" s="222"/>
      <c r="R1200" s="224"/>
      <c r="S1200" s="239"/>
      <c r="T1200" s="224"/>
      <c r="U1200" s="239"/>
      <c r="V1200" s="224"/>
      <c r="W1200" s="261"/>
    </row>
    <row r="1201" spans="1:23" x14ac:dyDescent="0.25">
      <c r="A1201" s="215"/>
      <c r="B1201" s="215"/>
      <c r="C1201" s="215"/>
      <c r="D1201" s="215"/>
      <c r="E1201" s="221"/>
      <c r="F1201" s="221"/>
      <c r="G1201" s="222"/>
      <c r="H1201" s="221"/>
      <c r="I1201" s="223"/>
      <c r="J1201" s="237"/>
      <c r="K1201" s="223"/>
      <c r="L1201" s="236"/>
      <c r="M1201" s="222"/>
      <c r="N1201" s="224"/>
      <c r="O1201" s="222"/>
      <c r="P1201" s="224"/>
      <c r="Q1201" s="222"/>
      <c r="R1201" s="224"/>
      <c r="S1201" s="239"/>
      <c r="T1201" s="224"/>
      <c r="U1201" s="239"/>
      <c r="V1201" s="224"/>
      <c r="W1201" s="261"/>
    </row>
    <row r="1202" spans="1:23" x14ac:dyDescent="0.25">
      <c r="A1202" s="215"/>
      <c r="B1202" s="215"/>
      <c r="C1202" s="215"/>
      <c r="D1202" s="215"/>
      <c r="E1202" s="221"/>
      <c r="F1202" s="221"/>
      <c r="G1202" s="222"/>
      <c r="H1202" s="221"/>
      <c r="I1202" s="223"/>
      <c r="J1202" s="237"/>
      <c r="K1202" s="223"/>
      <c r="L1202" s="236"/>
      <c r="M1202" s="222"/>
      <c r="N1202" s="224"/>
      <c r="O1202" s="222"/>
      <c r="P1202" s="224"/>
      <c r="Q1202" s="222"/>
      <c r="R1202" s="224"/>
      <c r="S1202" s="239"/>
      <c r="T1202" s="224"/>
      <c r="U1202" s="239"/>
      <c r="V1202" s="224"/>
      <c r="W1202" s="261"/>
    </row>
    <row r="1203" spans="1:23" x14ac:dyDescent="0.25">
      <c r="A1203" s="215"/>
      <c r="B1203" s="215"/>
      <c r="C1203" s="215"/>
      <c r="D1203" s="215"/>
      <c r="E1203" s="221"/>
      <c r="F1203" s="221"/>
      <c r="G1203" s="222"/>
      <c r="H1203" s="221"/>
      <c r="I1203" s="223"/>
      <c r="J1203" s="237"/>
      <c r="K1203" s="223"/>
      <c r="L1203" s="236"/>
      <c r="M1203" s="222"/>
      <c r="N1203" s="224"/>
      <c r="O1203" s="222"/>
      <c r="P1203" s="224"/>
      <c r="Q1203" s="222"/>
      <c r="R1203" s="224"/>
      <c r="S1203" s="239"/>
      <c r="T1203" s="224"/>
      <c r="U1203" s="239"/>
      <c r="V1203" s="224"/>
      <c r="W1203" s="261"/>
    </row>
    <row r="1204" spans="1:23" x14ac:dyDescent="0.25">
      <c r="A1204" s="215"/>
      <c r="B1204" s="215"/>
      <c r="C1204" s="215"/>
      <c r="D1204" s="215"/>
      <c r="E1204" s="221"/>
      <c r="F1204" s="221"/>
      <c r="G1204" s="222"/>
      <c r="H1204" s="221"/>
      <c r="I1204" s="223"/>
      <c r="J1204" s="237"/>
      <c r="K1204" s="223"/>
      <c r="L1204" s="236"/>
      <c r="M1204" s="222"/>
      <c r="N1204" s="224"/>
      <c r="O1204" s="222"/>
      <c r="P1204" s="224"/>
      <c r="Q1204" s="222"/>
      <c r="R1204" s="224"/>
      <c r="S1204" s="239"/>
      <c r="T1204" s="224"/>
      <c r="U1204" s="239"/>
      <c r="V1204" s="224"/>
      <c r="W1204" s="261"/>
    </row>
    <row r="1205" spans="1:23" x14ac:dyDescent="0.25">
      <c r="A1205" s="215"/>
      <c r="B1205" s="215"/>
      <c r="C1205" s="215"/>
      <c r="D1205" s="215"/>
      <c r="E1205" s="221"/>
      <c r="F1205" s="221"/>
      <c r="G1205" s="222"/>
      <c r="H1205" s="221"/>
      <c r="I1205" s="223"/>
      <c r="J1205" s="237"/>
      <c r="K1205" s="223"/>
      <c r="L1205" s="236"/>
      <c r="M1205" s="222"/>
      <c r="N1205" s="224"/>
      <c r="O1205" s="222"/>
      <c r="P1205" s="224"/>
      <c r="Q1205" s="222"/>
      <c r="R1205" s="224"/>
      <c r="S1205" s="239"/>
      <c r="T1205" s="224"/>
      <c r="U1205" s="239"/>
      <c r="V1205" s="224"/>
      <c r="W1205" s="261"/>
    </row>
    <row r="1206" spans="1:23" x14ac:dyDescent="0.25">
      <c r="A1206" s="215"/>
      <c r="B1206" s="215"/>
      <c r="C1206" s="215"/>
      <c r="D1206" s="215"/>
      <c r="E1206" s="221"/>
      <c r="F1206" s="221"/>
      <c r="G1206" s="222"/>
      <c r="H1206" s="221"/>
      <c r="I1206" s="223"/>
      <c r="J1206" s="237"/>
      <c r="K1206" s="223"/>
      <c r="L1206" s="236"/>
      <c r="M1206" s="222"/>
      <c r="N1206" s="224"/>
      <c r="O1206" s="222"/>
      <c r="P1206" s="224"/>
      <c r="Q1206" s="222"/>
      <c r="R1206" s="224"/>
      <c r="S1206" s="239"/>
      <c r="T1206" s="224"/>
      <c r="U1206" s="239"/>
      <c r="V1206" s="224"/>
      <c r="W1206" s="261"/>
    </row>
    <row r="1207" spans="1:23" x14ac:dyDescent="0.25">
      <c r="A1207" s="215"/>
      <c r="B1207" s="215"/>
      <c r="C1207" s="215"/>
      <c r="D1207" s="215"/>
      <c r="E1207" s="221"/>
      <c r="F1207" s="221"/>
      <c r="G1207" s="222"/>
      <c r="H1207" s="221"/>
      <c r="I1207" s="223"/>
      <c r="J1207" s="237"/>
      <c r="K1207" s="223"/>
      <c r="L1207" s="236"/>
      <c r="M1207" s="222"/>
      <c r="N1207" s="224"/>
      <c r="O1207" s="222"/>
      <c r="P1207" s="224"/>
      <c r="Q1207" s="222"/>
      <c r="R1207" s="224"/>
      <c r="S1207" s="239"/>
      <c r="T1207" s="224"/>
      <c r="U1207" s="239"/>
      <c r="V1207" s="224"/>
      <c r="W1207" s="261"/>
    </row>
    <row r="1208" spans="1:23" x14ac:dyDescent="0.25">
      <c r="A1208" s="215"/>
      <c r="B1208" s="215"/>
      <c r="C1208" s="215"/>
      <c r="D1208" s="215"/>
      <c r="E1208" s="221"/>
      <c r="F1208" s="221"/>
      <c r="G1208" s="222"/>
      <c r="H1208" s="221"/>
      <c r="I1208" s="223"/>
      <c r="J1208" s="237"/>
      <c r="K1208" s="223"/>
      <c r="L1208" s="236"/>
      <c r="M1208" s="222"/>
      <c r="N1208" s="224"/>
      <c r="O1208" s="222"/>
      <c r="P1208" s="224"/>
      <c r="Q1208" s="222"/>
      <c r="R1208" s="224"/>
      <c r="S1208" s="239"/>
      <c r="T1208" s="224"/>
      <c r="U1208" s="239"/>
      <c r="V1208" s="224"/>
      <c r="W1208" s="261"/>
    </row>
    <row r="1209" spans="1:23" x14ac:dyDescent="0.25">
      <c r="A1209" s="215"/>
      <c r="B1209" s="215"/>
      <c r="C1209" s="215"/>
      <c r="D1209" s="215"/>
      <c r="E1209" s="221"/>
      <c r="F1209" s="221"/>
      <c r="G1209" s="222"/>
      <c r="H1209" s="221"/>
      <c r="I1209" s="223"/>
      <c r="J1209" s="237"/>
      <c r="K1209" s="223"/>
      <c r="L1209" s="236"/>
      <c r="M1209" s="222"/>
      <c r="N1209" s="224"/>
      <c r="O1209" s="222"/>
      <c r="P1209" s="224"/>
      <c r="Q1209" s="222"/>
      <c r="R1209" s="224"/>
      <c r="S1209" s="239"/>
      <c r="T1209" s="224"/>
      <c r="U1209" s="239"/>
      <c r="V1209" s="224"/>
      <c r="W1209" s="261"/>
    </row>
    <row r="1210" spans="1:23" x14ac:dyDescent="0.25">
      <c r="A1210" s="215"/>
      <c r="B1210" s="215"/>
      <c r="C1210" s="215"/>
      <c r="D1210" s="215"/>
      <c r="E1210" s="221"/>
      <c r="F1210" s="221"/>
      <c r="G1210" s="222"/>
      <c r="H1210" s="221"/>
      <c r="I1210" s="223"/>
      <c r="J1210" s="237"/>
      <c r="K1210" s="223"/>
      <c r="L1210" s="236"/>
      <c r="M1210" s="222"/>
      <c r="N1210" s="224"/>
      <c r="O1210" s="222"/>
      <c r="P1210" s="224"/>
      <c r="Q1210" s="222"/>
      <c r="R1210" s="224"/>
      <c r="S1210" s="239"/>
      <c r="T1210" s="224"/>
      <c r="U1210" s="239"/>
      <c r="V1210" s="224"/>
      <c r="W1210" s="261"/>
    </row>
    <row r="1211" spans="1:23" x14ac:dyDescent="0.25">
      <c r="A1211" s="215"/>
      <c r="B1211" s="215"/>
      <c r="C1211" s="215"/>
      <c r="D1211" s="215"/>
      <c r="E1211" s="221"/>
      <c r="F1211" s="221"/>
      <c r="G1211" s="222"/>
      <c r="H1211" s="221"/>
      <c r="I1211" s="223"/>
      <c r="J1211" s="237"/>
      <c r="K1211" s="223"/>
      <c r="L1211" s="236"/>
      <c r="M1211" s="222"/>
      <c r="N1211" s="224"/>
      <c r="O1211" s="222"/>
      <c r="P1211" s="224"/>
      <c r="Q1211" s="222"/>
      <c r="R1211" s="224"/>
      <c r="S1211" s="239"/>
      <c r="T1211" s="224"/>
      <c r="U1211" s="239"/>
      <c r="V1211" s="224"/>
      <c r="W1211" s="261"/>
    </row>
    <row r="1212" spans="1:23" x14ac:dyDescent="0.25">
      <c r="A1212" s="215"/>
      <c r="B1212" s="215"/>
      <c r="C1212" s="215"/>
      <c r="D1212" s="215"/>
      <c r="E1212" s="221"/>
      <c r="F1212" s="221"/>
      <c r="G1212" s="222"/>
      <c r="H1212" s="221"/>
      <c r="I1212" s="223"/>
      <c r="J1212" s="237"/>
      <c r="K1212" s="223"/>
      <c r="L1212" s="236"/>
      <c r="M1212" s="222"/>
      <c r="N1212" s="224"/>
      <c r="O1212" s="222"/>
      <c r="P1212" s="224"/>
      <c r="Q1212" s="222"/>
      <c r="R1212" s="224"/>
      <c r="S1212" s="239"/>
      <c r="T1212" s="224"/>
      <c r="U1212" s="239"/>
      <c r="V1212" s="224"/>
      <c r="W1212" s="261"/>
    </row>
    <row r="1213" spans="1:23" x14ac:dyDescent="0.25">
      <c r="A1213" s="215"/>
      <c r="B1213" s="215"/>
      <c r="C1213" s="215"/>
      <c r="D1213" s="215"/>
      <c r="E1213" s="221"/>
      <c r="F1213" s="221"/>
      <c r="G1213" s="222"/>
      <c r="H1213" s="221"/>
      <c r="I1213" s="223"/>
      <c r="J1213" s="237"/>
      <c r="K1213" s="223"/>
      <c r="L1213" s="236"/>
      <c r="M1213" s="222"/>
      <c r="N1213" s="224"/>
      <c r="O1213" s="222"/>
      <c r="P1213" s="224"/>
      <c r="Q1213" s="222"/>
      <c r="R1213" s="224"/>
      <c r="S1213" s="239"/>
      <c r="T1213" s="224"/>
      <c r="U1213" s="239"/>
      <c r="V1213" s="224"/>
      <c r="W1213" s="261"/>
    </row>
    <row r="1214" spans="1:23" x14ac:dyDescent="0.25">
      <c r="A1214" s="215"/>
      <c r="B1214" s="215"/>
      <c r="C1214" s="215"/>
      <c r="D1214" s="215"/>
      <c r="E1214" s="221"/>
      <c r="F1214" s="221"/>
      <c r="G1214" s="222"/>
      <c r="H1214" s="221"/>
      <c r="I1214" s="223"/>
      <c r="J1214" s="237"/>
      <c r="K1214" s="223"/>
      <c r="L1214" s="236"/>
      <c r="M1214" s="222"/>
      <c r="N1214" s="224"/>
      <c r="O1214" s="222"/>
      <c r="P1214" s="224"/>
      <c r="Q1214" s="222"/>
      <c r="R1214" s="224"/>
      <c r="S1214" s="239"/>
      <c r="T1214" s="224"/>
      <c r="U1214" s="239"/>
      <c r="V1214" s="224"/>
      <c r="W1214" s="261"/>
    </row>
    <row r="1215" spans="1:23" x14ac:dyDescent="0.25">
      <c r="A1215" s="215"/>
      <c r="B1215" s="215"/>
      <c r="C1215" s="215"/>
      <c r="D1215" s="215"/>
      <c r="E1215" s="221"/>
      <c r="F1215" s="221"/>
      <c r="G1215" s="222"/>
      <c r="H1215" s="221"/>
      <c r="I1215" s="223"/>
      <c r="J1215" s="237"/>
      <c r="K1215" s="223"/>
      <c r="L1215" s="236"/>
      <c r="M1215" s="222"/>
      <c r="N1215" s="224"/>
      <c r="O1215" s="222"/>
      <c r="P1215" s="224"/>
      <c r="Q1215" s="222"/>
      <c r="R1215" s="224"/>
      <c r="S1215" s="239"/>
      <c r="T1215" s="224"/>
      <c r="U1215" s="239"/>
      <c r="V1215" s="224"/>
      <c r="W1215" s="261"/>
    </row>
    <row r="1216" spans="1:23" x14ac:dyDescent="0.25">
      <c r="A1216" s="215"/>
      <c r="B1216" s="215"/>
      <c r="C1216" s="215"/>
      <c r="D1216" s="215"/>
      <c r="E1216" s="221"/>
      <c r="F1216" s="221"/>
      <c r="G1216" s="222"/>
      <c r="H1216" s="221"/>
      <c r="I1216" s="223"/>
      <c r="J1216" s="237"/>
      <c r="K1216" s="223"/>
      <c r="L1216" s="236"/>
      <c r="M1216" s="222"/>
      <c r="N1216" s="224"/>
      <c r="O1216" s="222"/>
      <c r="P1216" s="224"/>
      <c r="Q1216" s="222"/>
      <c r="R1216" s="224"/>
      <c r="S1216" s="239"/>
      <c r="T1216" s="224"/>
      <c r="U1216" s="239"/>
      <c r="V1216" s="224"/>
      <c r="W1216" s="261"/>
    </row>
    <row r="1217" spans="1:23" x14ac:dyDescent="0.25">
      <c r="A1217" s="215"/>
      <c r="B1217" s="215"/>
      <c r="C1217" s="215"/>
      <c r="D1217" s="215"/>
      <c r="E1217" s="221"/>
      <c r="F1217" s="221"/>
      <c r="G1217" s="222"/>
      <c r="H1217" s="221"/>
      <c r="I1217" s="223"/>
      <c r="J1217" s="237"/>
      <c r="K1217" s="223"/>
      <c r="L1217" s="236"/>
      <c r="M1217" s="222"/>
      <c r="N1217" s="224"/>
      <c r="O1217" s="222"/>
      <c r="P1217" s="224"/>
      <c r="Q1217" s="222"/>
      <c r="R1217" s="224"/>
      <c r="S1217" s="239"/>
      <c r="T1217" s="224"/>
      <c r="U1217" s="239"/>
      <c r="V1217" s="224"/>
      <c r="W1217" s="261"/>
    </row>
    <row r="1218" spans="1:23" x14ac:dyDescent="0.25">
      <c r="A1218" s="215"/>
      <c r="B1218" s="215"/>
      <c r="C1218" s="215"/>
      <c r="D1218" s="215"/>
      <c r="E1218" s="221"/>
      <c r="F1218" s="221"/>
      <c r="G1218" s="222"/>
      <c r="H1218" s="221"/>
      <c r="I1218" s="223"/>
      <c r="J1218" s="237"/>
      <c r="K1218" s="223"/>
      <c r="L1218" s="236"/>
      <c r="M1218" s="222"/>
      <c r="N1218" s="224"/>
      <c r="O1218" s="222"/>
      <c r="P1218" s="224"/>
      <c r="Q1218" s="222"/>
      <c r="R1218" s="224"/>
      <c r="S1218" s="239"/>
      <c r="T1218" s="224"/>
      <c r="U1218" s="239"/>
      <c r="V1218" s="224"/>
      <c r="W1218" s="261"/>
    </row>
    <row r="1219" spans="1:23" x14ac:dyDescent="0.25">
      <c r="A1219" s="215"/>
      <c r="B1219" s="215"/>
      <c r="C1219" s="215"/>
      <c r="D1219" s="215"/>
      <c r="E1219" s="221"/>
      <c r="F1219" s="221"/>
      <c r="G1219" s="222"/>
      <c r="H1219" s="221"/>
      <c r="I1219" s="223"/>
      <c r="J1219" s="237"/>
      <c r="K1219" s="223"/>
      <c r="L1219" s="236"/>
      <c r="M1219" s="222"/>
      <c r="N1219" s="224"/>
      <c r="O1219" s="222"/>
      <c r="P1219" s="224"/>
      <c r="Q1219" s="222"/>
      <c r="R1219" s="224"/>
      <c r="S1219" s="239"/>
      <c r="T1219" s="224"/>
      <c r="U1219" s="239"/>
      <c r="V1219" s="224"/>
      <c r="W1219" s="261"/>
    </row>
    <row r="1220" spans="1:23" x14ac:dyDescent="0.25">
      <c r="A1220" s="215"/>
      <c r="B1220" s="215"/>
      <c r="C1220" s="215"/>
      <c r="D1220" s="215"/>
      <c r="E1220" s="221"/>
      <c r="F1220" s="221"/>
      <c r="G1220" s="222"/>
      <c r="H1220" s="221"/>
      <c r="I1220" s="223"/>
      <c r="J1220" s="237"/>
      <c r="K1220" s="223"/>
      <c r="L1220" s="236"/>
      <c r="M1220" s="222"/>
      <c r="N1220" s="224"/>
      <c r="O1220" s="222"/>
      <c r="P1220" s="224"/>
      <c r="Q1220" s="222"/>
      <c r="R1220" s="224"/>
      <c r="S1220" s="239"/>
      <c r="T1220" s="224"/>
      <c r="U1220" s="239"/>
      <c r="V1220" s="224"/>
      <c r="W1220" s="261"/>
    </row>
    <row r="1221" spans="1:23" x14ac:dyDescent="0.25">
      <c r="A1221" s="215"/>
      <c r="B1221" s="215"/>
      <c r="C1221" s="215"/>
      <c r="D1221" s="215"/>
      <c r="E1221" s="221"/>
      <c r="F1221" s="221"/>
      <c r="G1221" s="222"/>
      <c r="H1221" s="221"/>
      <c r="I1221" s="223"/>
      <c r="J1221" s="237"/>
      <c r="K1221" s="223"/>
      <c r="L1221" s="236"/>
      <c r="M1221" s="222"/>
      <c r="N1221" s="224"/>
      <c r="O1221" s="222"/>
      <c r="P1221" s="224"/>
      <c r="Q1221" s="222"/>
      <c r="R1221" s="224"/>
      <c r="S1221" s="239"/>
      <c r="T1221" s="224"/>
      <c r="U1221" s="239"/>
      <c r="V1221" s="224"/>
      <c r="W1221" s="261"/>
    </row>
    <row r="1222" spans="1:23" x14ac:dyDescent="0.25">
      <c r="A1222" s="215"/>
      <c r="B1222" s="215"/>
      <c r="C1222" s="215"/>
      <c r="D1222" s="215"/>
      <c r="E1222" s="221"/>
      <c r="F1222" s="221"/>
      <c r="G1222" s="222"/>
      <c r="H1222" s="221"/>
      <c r="I1222" s="223"/>
      <c r="J1222" s="237"/>
      <c r="K1222" s="223"/>
      <c r="L1222" s="236"/>
      <c r="M1222" s="222"/>
      <c r="N1222" s="224"/>
      <c r="O1222" s="222"/>
      <c r="P1222" s="224"/>
      <c r="Q1222" s="222"/>
      <c r="R1222" s="224"/>
      <c r="S1222" s="239"/>
      <c r="T1222" s="224"/>
      <c r="U1222" s="239"/>
      <c r="V1222" s="224"/>
      <c r="W1222" s="261"/>
    </row>
    <row r="1223" spans="1:23" x14ac:dyDescent="0.25">
      <c r="A1223" s="215"/>
      <c r="B1223" s="215"/>
      <c r="C1223" s="215"/>
      <c r="D1223" s="215"/>
      <c r="E1223" s="221"/>
      <c r="F1223" s="221"/>
      <c r="G1223" s="222"/>
      <c r="H1223" s="221"/>
      <c r="I1223" s="223"/>
      <c r="J1223" s="237"/>
      <c r="K1223" s="223"/>
      <c r="L1223" s="236"/>
      <c r="M1223" s="222"/>
      <c r="N1223" s="224"/>
      <c r="O1223" s="222"/>
      <c r="P1223" s="224"/>
      <c r="Q1223" s="222"/>
      <c r="R1223" s="224"/>
      <c r="S1223" s="239"/>
      <c r="T1223" s="224"/>
      <c r="U1223" s="239"/>
      <c r="V1223" s="224"/>
      <c r="W1223" s="261"/>
    </row>
    <row r="1224" spans="1:23" x14ac:dyDescent="0.25">
      <c r="A1224" s="215"/>
      <c r="B1224" s="215"/>
      <c r="C1224" s="215"/>
      <c r="D1224" s="215"/>
      <c r="E1224" s="221"/>
      <c r="F1224" s="221"/>
      <c r="G1224" s="222"/>
      <c r="H1224" s="221"/>
      <c r="I1224" s="223"/>
      <c r="J1224" s="237"/>
      <c r="K1224" s="223"/>
      <c r="L1224" s="236"/>
      <c r="M1224" s="222"/>
      <c r="N1224" s="224"/>
      <c r="O1224" s="222"/>
      <c r="P1224" s="224"/>
      <c r="Q1224" s="222"/>
      <c r="R1224" s="224"/>
      <c r="S1224" s="239"/>
      <c r="T1224" s="224"/>
      <c r="U1224" s="239"/>
      <c r="V1224" s="224"/>
      <c r="W1224" s="261"/>
    </row>
    <row r="1225" spans="1:23" x14ac:dyDescent="0.25">
      <c r="A1225" s="215"/>
      <c r="B1225" s="215"/>
      <c r="C1225" s="215"/>
      <c r="D1225" s="215"/>
      <c r="E1225" s="221"/>
      <c r="F1225" s="221"/>
      <c r="G1225" s="222"/>
      <c r="H1225" s="221"/>
      <c r="I1225" s="223"/>
      <c r="J1225" s="237"/>
      <c r="K1225" s="223"/>
      <c r="L1225" s="236"/>
      <c r="M1225" s="222"/>
      <c r="N1225" s="224"/>
      <c r="O1225" s="222"/>
      <c r="P1225" s="224"/>
      <c r="Q1225" s="222"/>
      <c r="R1225" s="224"/>
      <c r="S1225" s="239"/>
      <c r="T1225" s="224"/>
      <c r="U1225" s="239"/>
      <c r="V1225" s="224"/>
      <c r="W1225" s="261"/>
    </row>
    <row r="1226" spans="1:23" x14ac:dyDescent="0.25">
      <c r="A1226" s="215"/>
      <c r="B1226" s="215"/>
      <c r="C1226" s="215"/>
      <c r="D1226" s="215"/>
      <c r="E1226" s="221"/>
      <c r="F1226" s="221"/>
      <c r="G1226" s="222"/>
      <c r="H1226" s="221"/>
      <c r="I1226" s="223"/>
      <c r="J1226" s="237"/>
      <c r="K1226" s="223"/>
      <c r="L1226" s="236"/>
      <c r="M1226" s="222"/>
      <c r="N1226" s="224"/>
      <c r="O1226" s="222"/>
      <c r="P1226" s="224"/>
      <c r="Q1226" s="222"/>
      <c r="R1226" s="224"/>
      <c r="S1226" s="239"/>
      <c r="T1226" s="224"/>
      <c r="U1226" s="239"/>
      <c r="V1226" s="224"/>
      <c r="W1226" s="261"/>
    </row>
    <row r="1227" spans="1:23" x14ac:dyDescent="0.25">
      <c r="A1227" s="215"/>
      <c r="B1227" s="215"/>
      <c r="C1227" s="215"/>
      <c r="D1227" s="215"/>
      <c r="E1227" s="221"/>
      <c r="F1227" s="221"/>
      <c r="G1227" s="222"/>
      <c r="H1227" s="221"/>
      <c r="I1227" s="223"/>
      <c r="J1227" s="237"/>
      <c r="K1227" s="223"/>
      <c r="L1227" s="236"/>
      <c r="M1227" s="222"/>
      <c r="N1227" s="224"/>
      <c r="O1227" s="222"/>
      <c r="P1227" s="224"/>
      <c r="Q1227" s="222"/>
      <c r="R1227" s="224"/>
      <c r="S1227" s="239"/>
      <c r="T1227" s="224"/>
      <c r="U1227" s="239"/>
      <c r="V1227" s="224"/>
      <c r="W1227" s="261"/>
    </row>
    <row r="1228" spans="1:23" x14ac:dyDescent="0.25">
      <c r="A1228" s="215"/>
      <c r="B1228" s="215"/>
      <c r="C1228" s="215"/>
      <c r="D1228" s="215"/>
      <c r="E1228" s="221"/>
      <c r="F1228" s="221"/>
      <c r="G1228" s="222"/>
      <c r="H1228" s="221"/>
      <c r="I1228" s="223"/>
      <c r="J1228" s="237"/>
      <c r="K1228" s="223"/>
      <c r="L1228" s="236"/>
      <c r="M1228" s="222"/>
      <c r="N1228" s="224"/>
      <c r="O1228" s="222"/>
      <c r="P1228" s="224"/>
      <c r="Q1228" s="222"/>
      <c r="R1228" s="224"/>
      <c r="S1228" s="239"/>
      <c r="T1228" s="224"/>
      <c r="U1228" s="239"/>
      <c r="V1228" s="224"/>
      <c r="W1228" s="261"/>
    </row>
    <row r="1229" spans="1:23" x14ac:dyDescent="0.25">
      <c r="A1229" s="215"/>
      <c r="B1229" s="215"/>
      <c r="C1229" s="215"/>
      <c r="D1229" s="215"/>
      <c r="E1229" s="221"/>
      <c r="F1229" s="221"/>
      <c r="G1229" s="222"/>
      <c r="H1229" s="221"/>
      <c r="I1229" s="223"/>
      <c r="J1229" s="237"/>
      <c r="K1229" s="223"/>
      <c r="L1229" s="236"/>
      <c r="M1229" s="222"/>
      <c r="N1229" s="224"/>
      <c r="O1229" s="222"/>
      <c r="P1229" s="224"/>
      <c r="Q1229" s="222"/>
      <c r="R1229" s="224"/>
      <c r="S1229" s="239"/>
      <c r="T1229" s="224"/>
      <c r="U1229" s="239"/>
      <c r="V1229" s="224"/>
      <c r="W1229" s="261"/>
    </row>
    <row r="1230" spans="1:23" x14ac:dyDescent="0.25">
      <c r="A1230" s="215"/>
      <c r="B1230" s="215"/>
      <c r="C1230" s="215"/>
      <c r="D1230" s="215"/>
      <c r="E1230" s="221"/>
      <c r="F1230" s="221"/>
      <c r="G1230" s="222"/>
      <c r="H1230" s="221"/>
      <c r="I1230" s="223"/>
      <c r="J1230" s="237"/>
      <c r="K1230" s="223"/>
      <c r="L1230" s="236"/>
      <c r="M1230" s="222"/>
      <c r="N1230" s="224"/>
      <c r="O1230" s="222"/>
      <c r="P1230" s="224"/>
      <c r="Q1230" s="222"/>
      <c r="R1230" s="224"/>
      <c r="S1230" s="239"/>
      <c r="T1230" s="224"/>
      <c r="U1230" s="239"/>
      <c r="V1230" s="224"/>
      <c r="W1230" s="261"/>
    </row>
    <row r="1231" spans="1:23" x14ac:dyDescent="0.25">
      <c r="A1231" s="215"/>
      <c r="B1231" s="215"/>
      <c r="C1231" s="215"/>
      <c r="D1231" s="215"/>
      <c r="E1231" s="221"/>
      <c r="F1231" s="221"/>
      <c r="G1231" s="222"/>
      <c r="H1231" s="221"/>
      <c r="I1231" s="223"/>
      <c r="J1231" s="237"/>
      <c r="K1231" s="223"/>
      <c r="L1231" s="236"/>
      <c r="M1231" s="222"/>
      <c r="N1231" s="224"/>
      <c r="O1231" s="222"/>
      <c r="P1231" s="224"/>
      <c r="Q1231" s="222"/>
      <c r="R1231" s="224"/>
      <c r="S1231" s="239"/>
      <c r="T1231" s="224"/>
      <c r="U1231" s="239"/>
      <c r="V1231" s="224"/>
      <c r="W1231" s="261"/>
    </row>
    <row r="1232" spans="1:23" x14ac:dyDescent="0.25">
      <c r="A1232" s="215"/>
      <c r="B1232" s="215"/>
      <c r="C1232" s="215"/>
      <c r="D1232" s="215"/>
      <c r="E1232" s="221"/>
      <c r="F1232" s="221"/>
      <c r="G1232" s="222"/>
      <c r="H1232" s="221"/>
      <c r="I1232" s="223"/>
      <c r="J1232" s="237"/>
      <c r="K1232" s="223"/>
      <c r="L1232" s="236"/>
      <c r="M1232" s="222"/>
      <c r="N1232" s="224"/>
      <c r="O1232" s="222"/>
      <c r="P1232" s="224"/>
      <c r="Q1232" s="222"/>
      <c r="R1232" s="224"/>
      <c r="S1232" s="239"/>
      <c r="T1232" s="224"/>
      <c r="U1232" s="239"/>
      <c r="V1232" s="224"/>
      <c r="W1232" s="261"/>
    </row>
    <row r="1233" spans="1:23" x14ac:dyDescent="0.25">
      <c r="A1233" s="215"/>
      <c r="B1233" s="215"/>
      <c r="C1233" s="215"/>
      <c r="D1233" s="215"/>
      <c r="E1233" s="221"/>
      <c r="F1233" s="221"/>
      <c r="G1233" s="222"/>
      <c r="H1233" s="221"/>
      <c r="I1233" s="223"/>
      <c r="J1233" s="237"/>
      <c r="K1233" s="223"/>
      <c r="L1233" s="236"/>
      <c r="M1233" s="222"/>
      <c r="N1233" s="224"/>
      <c r="O1233" s="222"/>
      <c r="P1233" s="224"/>
      <c r="Q1233" s="222"/>
      <c r="R1233" s="224"/>
      <c r="S1233" s="239"/>
      <c r="T1233" s="224"/>
      <c r="U1233" s="239"/>
      <c r="V1233" s="224"/>
      <c r="W1233" s="261"/>
    </row>
    <row r="1234" spans="1:23" x14ac:dyDescent="0.25">
      <c r="A1234" s="215"/>
      <c r="B1234" s="215"/>
      <c r="C1234" s="215"/>
      <c r="D1234" s="215"/>
      <c r="E1234" s="221"/>
      <c r="F1234" s="221"/>
      <c r="G1234" s="222"/>
      <c r="H1234" s="221"/>
      <c r="I1234" s="223"/>
      <c r="J1234" s="237"/>
      <c r="K1234" s="223"/>
      <c r="L1234" s="236"/>
      <c r="M1234" s="222"/>
      <c r="N1234" s="224"/>
      <c r="O1234" s="222"/>
      <c r="P1234" s="224"/>
      <c r="Q1234" s="222"/>
      <c r="R1234" s="224"/>
      <c r="S1234" s="239"/>
      <c r="T1234" s="224"/>
      <c r="U1234" s="239"/>
      <c r="V1234" s="224"/>
      <c r="W1234" s="261"/>
    </row>
    <row r="1235" spans="1:23" x14ac:dyDescent="0.25">
      <c r="A1235" s="215"/>
      <c r="B1235" s="215"/>
      <c r="C1235" s="215"/>
      <c r="D1235" s="215"/>
      <c r="E1235" s="221"/>
      <c r="F1235" s="221"/>
      <c r="G1235" s="222"/>
      <c r="H1235" s="221"/>
      <c r="I1235" s="223"/>
      <c r="J1235" s="237"/>
      <c r="K1235" s="223"/>
      <c r="L1235" s="236"/>
      <c r="M1235" s="222"/>
      <c r="N1235" s="224"/>
      <c r="O1235" s="222"/>
      <c r="P1235" s="224"/>
      <c r="Q1235" s="222"/>
      <c r="R1235" s="224"/>
      <c r="S1235" s="239"/>
      <c r="T1235" s="224"/>
      <c r="U1235" s="239"/>
      <c r="V1235" s="224"/>
      <c r="W1235" s="261"/>
    </row>
    <row r="1236" spans="1:23" x14ac:dyDescent="0.25">
      <c r="A1236" s="215"/>
      <c r="B1236" s="215"/>
      <c r="C1236" s="215"/>
      <c r="D1236" s="215"/>
      <c r="E1236" s="221"/>
      <c r="F1236" s="221"/>
      <c r="G1236" s="222"/>
      <c r="H1236" s="221"/>
      <c r="I1236" s="223"/>
      <c r="J1236" s="237"/>
      <c r="K1236" s="223"/>
      <c r="L1236" s="236"/>
      <c r="M1236" s="222"/>
      <c r="N1236" s="224"/>
      <c r="O1236" s="222"/>
      <c r="P1236" s="224"/>
      <c r="Q1236" s="222"/>
      <c r="R1236" s="224"/>
      <c r="S1236" s="239"/>
      <c r="T1236" s="224"/>
      <c r="U1236" s="239"/>
      <c r="V1236" s="224"/>
      <c r="W1236" s="261"/>
    </row>
    <row r="1237" spans="1:23" x14ac:dyDescent="0.25">
      <c r="A1237" s="215"/>
      <c r="B1237" s="215"/>
      <c r="C1237" s="215"/>
      <c r="D1237" s="215"/>
      <c r="E1237" s="221"/>
      <c r="F1237" s="221"/>
      <c r="G1237" s="222"/>
      <c r="H1237" s="221"/>
      <c r="I1237" s="223"/>
      <c r="J1237" s="237"/>
      <c r="K1237" s="223"/>
      <c r="L1237" s="236"/>
      <c r="M1237" s="222"/>
      <c r="N1237" s="224"/>
      <c r="O1237" s="222"/>
      <c r="P1237" s="224"/>
      <c r="Q1237" s="222"/>
      <c r="R1237" s="224"/>
      <c r="S1237" s="239"/>
      <c r="T1237" s="224"/>
      <c r="U1237" s="239"/>
      <c r="V1237" s="224"/>
      <c r="W1237" s="261"/>
    </row>
    <row r="1238" spans="1:23" x14ac:dyDescent="0.25">
      <c r="A1238" s="215"/>
      <c r="B1238" s="215"/>
      <c r="C1238" s="215"/>
      <c r="D1238" s="215"/>
      <c r="E1238" s="221"/>
      <c r="F1238" s="221"/>
      <c r="G1238" s="222"/>
      <c r="H1238" s="221"/>
      <c r="I1238" s="223"/>
      <c r="J1238" s="237"/>
      <c r="K1238" s="223"/>
      <c r="L1238" s="236"/>
      <c r="M1238" s="222"/>
      <c r="N1238" s="224"/>
      <c r="O1238" s="222"/>
      <c r="P1238" s="224"/>
      <c r="Q1238" s="222"/>
      <c r="R1238" s="224"/>
      <c r="S1238" s="239"/>
      <c r="T1238" s="224"/>
      <c r="U1238" s="239"/>
      <c r="V1238" s="224"/>
      <c r="W1238" s="261"/>
    </row>
    <row r="1239" spans="1:23" x14ac:dyDescent="0.25">
      <c r="A1239" s="215"/>
      <c r="B1239" s="215"/>
      <c r="C1239" s="215"/>
      <c r="D1239" s="215"/>
      <c r="E1239" s="221"/>
      <c r="F1239" s="221"/>
      <c r="G1239" s="222"/>
      <c r="H1239" s="221"/>
      <c r="I1239" s="223"/>
      <c r="J1239" s="237"/>
      <c r="K1239" s="223"/>
      <c r="L1239" s="236"/>
      <c r="M1239" s="222"/>
      <c r="N1239" s="224"/>
      <c r="O1239" s="222"/>
      <c r="P1239" s="224"/>
      <c r="Q1239" s="222"/>
      <c r="R1239" s="224"/>
      <c r="S1239" s="239"/>
      <c r="T1239" s="224"/>
      <c r="U1239" s="239"/>
      <c r="V1239" s="224"/>
      <c r="W1239" s="261"/>
    </row>
    <row r="1240" spans="1:23" x14ac:dyDescent="0.25">
      <c r="A1240" s="215"/>
      <c r="B1240" s="215"/>
      <c r="C1240" s="215"/>
      <c r="D1240" s="215"/>
      <c r="E1240" s="221"/>
      <c r="F1240" s="221"/>
      <c r="G1240" s="222"/>
      <c r="H1240" s="221"/>
      <c r="I1240" s="223"/>
      <c r="J1240" s="237"/>
      <c r="K1240" s="223"/>
      <c r="L1240" s="236"/>
      <c r="M1240" s="222"/>
      <c r="N1240" s="224"/>
      <c r="O1240" s="222"/>
      <c r="P1240" s="224"/>
      <c r="Q1240" s="222"/>
      <c r="R1240" s="224"/>
      <c r="S1240" s="239"/>
      <c r="T1240" s="224"/>
      <c r="U1240" s="239"/>
      <c r="V1240" s="224"/>
      <c r="W1240" s="261"/>
    </row>
    <row r="1241" spans="1:23" x14ac:dyDescent="0.25">
      <c r="A1241" s="215"/>
      <c r="B1241" s="215"/>
      <c r="C1241" s="215"/>
      <c r="D1241" s="215"/>
      <c r="E1241" s="221"/>
      <c r="F1241" s="221"/>
      <c r="G1241" s="222"/>
      <c r="H1241" s="221"/>
      <c r="I1241" s="223"/>
      <c r="J1241" s="237"/>
      <c r="K1241" s="223"/>
      <c r="L1241" s="236"/>
      <c r="M1241" s="222"/>
      <c r="N1241" s="224"/>
      <c r="O1241" s="222"/>
      <c r="P1241" s="224"/>
      <c r="Q1241" s="222"/>
      <c r="R1241" s="224"/>
      <c r="S1241" s="239"/>
      <c r="T1241" s="224"/>
      <c r="U1241" s="239"/>
      <c r="V1241" s="224"/>
      <c r="W1241" s="261"/>
    </row>
    <row r="1242" spans="1:23" x14ac:dyDescent="0.25">
      <c r="A1242" s="215"/>
      <c r="B1242" s="215"/>
      <c r="C1242" s="215"/>
      <c r="D1242" s="215"/>
      <c r="E1242" s="221"/>
      <c r="F1242" s="221"/>
      <c r="G1242" s="222"/>
      <c r="H1242" s="221"/>
      <c r="I1242" s="223"/>
      <c r="J1242" s="237"/>
      <c r="K1242" s="223"/>
      <c r="L1242" s="236"/>
      <c r="M1242" s="222"/>
      <c r="N1242" s="224"/>
      <c r="O1242" s="222"/>
      <c r="P1242" s="224"/>
      <c r="Q1242" s="222"/>
      <c r="R1242" s="224"/>
      <c r="S1242" s="239"/>
      <c r="T1242" s="224"/>
      <c r="U1242" s="239"/>
      <c r="V1242" s="224"/>
      <c r="W1242" s="261"/>
    </row>
    <row r="1243" spans="1:23" x14ac:dyDescent="0.25">
      <c r="A1243" s="215"/>
      <c r="B1243" s="215"/>
      <c r="C1243" s="215"/>
      <c r="D1243" s="215"/>
      <c r="E1243" s="221"/>
      <c r="F1243" s="221"/>
      <c r="G1243" s="222"/>
      <c r="H1243" s="221"/>
      <c r="I1243" s="223"/>
      <c r="J1243" s="237"/>
      <c r="K1243" s="223"/>
      <c r="L1243" s="236"/>
      <c r="M1243" s="222"/>
      <c r="N1243" s="224"/>
      <c r="O1243" s="222"/>
      <c r="P1243" s="224"/>
      <c r="Q1243" s="222"/>
      <c r="R1243" s="224"/>
      <c r="S1243" s="239"/>
      <c r="T1243" s="224"/>
      <c r="U1243" s="239"/>
      <c r="V1243" s="224"/>
      <c r="W1243" s="261"/>
    </row>
    <row r="1244" spans="1:23" x14ac:dyDescent="0.25">
      <c r="A1244" s="215"/>
      <c r="B1244" s="215"/>
      <c r="C1244" s="215"/>
      <c r="D1244" s="215"/>
      <c r="E1244" s="221"/>
      <c r="F1244" s="221"/>
      <c r="G1244" s="222"/>
      <c r="H1244" s="221"/>
      <c r="I1244" s="223"/>
      <c r="J1244" s="237"/>
      <c r="K1244" s="223"/>
      <c r="L1244" s="236"/>
      <c r="M1244" s="222"/>
      <c r="N1244" s="224"/>
      <c r="O1244" s="222"/>
      <c r="P1244" s="224"/>
      <c r="Q1244" s="222"/>
      <c r="R1244" s="224"/>
      <c r="S1244" s="239"/>
      <c r="T1244" s="224"/>
      <c r="U1244" s="239"/>
      <c r="V1244" s="224"/>
      <c r="W1244" s="261"/>
    </row>
    <row r="1245" spans="1:23" x14ac:dyDescent="0.25">
      <c r="A1245" s="215"/>
      <c r="B1245" s="215"/>
      <c r="C1245" s="215"/>
      <c r="D1245" s="215"/>
      <c r="E1245" s="221"/>
      <c r="F1245" s="221"/>
      <c r="G1245" s="222"/>
      <c r="H1245" s="221"/>
      <c r="I1245" s="223"/>
      <c r="J1245" s="237"/>
      <c r="K1245" s="223"/>
      <c r="L1245" s="236"/>
      <c r="M1245" s="222"/>
      <c r="N1245" s="224"/>
      <c r="O1245" s="222"/>
      <c r="P1245" s="224"/>
      <c r="Q1245" s="222"/>
      <c r="R1245" s="224"/>
      <c r="S1245" s="239"/>
      <c r="T1245" s="224"/>
      <c r="U1245" s="239"/>
      <c r="V1245" s="224"/>
      <c r="W1245" s="261"/>
    </row>
    <row r="1246" spans="1:23" x14ac:dyDescent="0.25">
      <c r="A1246" s="215"/>
      <c r="B1246" s="215"/>
      <c r="C1246" s="215"/>
      <c r="D1246" s="215"/>
      <c r="E1246" s="221"/>
      <c r="F1246" s="221"/>
      <c r="G1246" s="222"/>
      <c r="H1246" s="221"/>
      <c r="I1246" s="223"/>
      <c r="J1246" s="237"/>
      <c r="K1246" s="223"/>
      <c r="L1246" s="236"/>
      <c r="M1246" s="222"/>
      <c r="N1246" s="224"/>
      <c r="O1246" s="222"/>
      <c r="P1246" s="224"/>
      <c r="Q1246" s="222"/>
      <c r="R1246" s="224"/>
      <c r="S1246" s="239"/>
      <c r="T1246" s="224"/>
      <c r="U1246" s="239"/>
      <c r="V1246" s="224"/>
      <c r="W1246" s="261"/>
    </row>
    <row r="1247" spans="1:23" x14ac:dyDescent="0.25">
      <c r="A1247" s="215"/>
      <c r="B1247" s="215"/>
      <c r="C1247" s="215"/>
      <c r="D1247" s="215"/>
      <c r="E1247" s="221"/>
      <c r="F1247" s="221"/>
      <c r="G1247" s="222"/>
      <c r="H1247" s="221"/>
      <c r="I1247" s="223"/>
      <c r="J1247" s="237"/>
      <c r="K1247" s="223"/>
      <c r="L1247" s="236"/>
      <c r="M1247" s="222"/>
      <c r="N1247" s="224"/>
      <c r="O1247" s="222"/>
      <c r="P1247" s="224"/>
      <c r="Q1247" s="222"/>
      <c r="R1247" s="224"/>
      <c r="S1247" s="239"/>
      <c r="T1247" s="224"/>
      <c r="U1247" s="239"/>
      <c r="V1247" s="224"/>
      <c r="W1247" s="261"/>
    </row>
    <row r="1248" spans="1:23" x14ac:dyDescent="0.25">
      <c r="A1248" s="215"/>
      <c r="B1248" s="215"/>
      <c r="C1248" s="215"/>
      <c r="D1248" s="215"/>
      <c r="E1248" s="221"/>
      <c r="F1248" s="221"/>
      <c r="G1248" s="222"/>
      <c r="H1248" s="221"/>
      <c r="I1248" s="223"/>
      <c r="J1248" s="237"/>
      <c r="K1248" s="223"/>
      <c r="L1248" s="236"/>
      <c r="M1248" s="222"/>
      <c r="N1248" s="224"/>
      <c r="O1248" s="222"/>
      <c r="P1248" s="224"/>
      <c r="Q1248" s="222"/>
      <c r="R1248" s="224"/>
      <c r="S1248" s="239"/>
      <c r="T1248" s="224"/>
      <c r="U1248" s="239"/>
      <c r="V1248" s="224"/>
      <c r="W1248" s="261"/>
    </row>
    <row r="1249" spans="1:23" x14ac:dyDescent="0.25">
      <c r="A1249" s="215"/>
      <c r="B1249" s="215"/>
      <c r="C1249" s="215"/>
      <c r="D1249" s="215"/>
      <c r="E1249" s="221"/>
      <c r="F1249" s="221"/>
      <c r="G1249" s="222"/>
      <c r="H1249" s="221"/>
      <c r="I1249" s="223"/>
      <c r="J1249" s="237"/>
      <c r="K1249" s="223"/>
      <c r="L1249" s="236"/>
      <c r="M1249" s="222"/>
      <c r="N1249" s="224"/>
      <c r="O1249" s="222"/>
      <c r="P1249" s="224"/>
      <c r="Q1249" s="222"/>
      <c r="R1249" s="224"/>
      <c r="S1249" s="239"/>
      <c r="T1249" s="224"/>
      <c r="U1249" s="239"/>
      <c r="V1249" s="224"/>
      <c r="W1249" s="261"/>
    </row>
    <row r="1250" spans="1:23" x14ac:dyDescent="0.25">
      <c r="A1250" s="215"/>
      <c r="B1250" s="215"/>
      <c r="C1250" s="215"/>
      <c r="D1250" s="215"/>
      <c r="E1250" s="221"/>
      <c r="F1250" s="221"/>
      <c r="G1250" s="222"/>
      <c r="H1250" s="221"/>
      <c r="I1250" s="223"/>
      <c r="J1250" s="237"/>
      <c r="K1250" s="223"/>
      <c r="L1250" s="236"/>
      <c r="M1250" s="222"/>
      <c r="N1250" s="224"/>
      <c r="O1250" s="222"/>
      <c r="P1250" s="224"/>
      <c r="Q1250" s="222"/>
      <c r="R1250" s="224"/>
      <c r="S1250" s="239"/>
      <c r="T1250" s="224"/>
      <c r="U1250" s="239"/>
      <c r="V1250" s="224"/>
      <c r="W1250" s="261"/>
    </row>
    <row r="1251" spans="1:23" x14ac:dyDescent="0.25">
      <c r="A1251" s="215"/>
      <c r="B1251" s="215"/>
      <c r="C1251" s="215"/>
      <c r="D1251" s="215"/>
      <c r="E1251" s="221"/>
      <c r="F1251" s="221"/>
      <c r="G1251" s="222"/>
      <c r="H1251" s="221"/>
      <c r="I1251" s="223"/>
      <c r="J1251" s="237"/>
      <c r="K1251" s="223"/>
      <c r="L1251" s="236"/>
      <c r="M1251" s="222"/>
      <c r="N1251" s="224"/>
      <c r="O1251" s="222"/>
      <c r="P1251" s="224"/>
      <c r="Q1251" s="222"/>
      <c r="R1251" s="224"/>
      <c r="S1251" s="239"/>
      <c r="T1251" s="224"/>
      <c r="U1251" s="239"/>
      <c r="V1251" s="224"/>
      <c r="W1251" s="261"/>
    </row>
    <row r="1252" spans="1:23" x14ac:dyDescent="0.25">
      <c r="A1252" s="215"/>
      <c r="B1252" s="215"/>
      <c r="C1252" s="215"/>
      <c r="D1252" s="215"/>
      <c r="E1252" s="221"/>
      <c r="F1252" s="221"/>
      <c r="G1252" s="222"/>
      <c r="H1252" s="221"/>
      <c r="I1252" s="223"/>
      <c r="J1252" s="237"/>
      <c r="K1252" s="223"/>
      <c r="L1252" s="236"/>
      <c r="M1252" s="222"/>
      <c r="N1252" s="224"/>
      <c r="O1252" s="222"/>
      <c r="P1252" s="224"/>
      <c r="Q1252" s="222"/>
      <c r="R1252" s="224"/>
      <c r="S1252" s="239"/>
      <c r="T1252" s="224"/>
      <c r="U1252" s="239"/>
      <c r="V1252" s="224"/>
      <c r="W1252" s="261"/>
    </row>
    <row r="1253" spans="1:23" x14ac:dyDescent="0.25">
      <c r="A1253" s="215"/>
      <c r="B1253" s="215"/>
      <c r="C1253" s="215"/>
      <c r="D1253" s="215"/>
      <c r="E1253" s="221"/>
      <c r="F1253" s="221"/>
      <c r="G1253" s="222"/>
      <c r="H1253" s="221"/>
      <c r="I1253" s="223"/>
      <c r="J1253" s="237"/>
      <c r="K1253" s="223"/>
      <c r="L1253" s="236"/>
      <c r="M1253" s="222"/>
      <c r="N1253" s="224"/>
      <c r="O1253" s="222"/>
      <c r="P1253" s="224"/>
      <c r="Q1253" s="222"/>
      <c r="R1253" s="224"/>
      <c r="S1253" s="239"/>
      <c r="T1253" s="224"/>
      <c r="U1253" s="239"/>
      <c r="V1253" s="224"/>
      <c r="W1253" s="261"/>
    </row>
    <row r="1254" spans="1:23" x14ac:dyDescent="0.25">
      <c r="A1254" s="215"/>
      <c r="B1254" s="215"/>
      <c r="C1254" s="215"/>
      <c r="D1254" s="215"/>
      <c r="E1254" s="221"/>
      <c r="F1254" s="221"/>
      <c r="G1254" s="222"/>
      <c r="H1254" s="221"/>
      <c r="I1254" s="223"/>
      <c r="J1254" s="237"/>
      <c r="K1254" s="223"/>
      <c r="L1254" s="236"/>
      <c r="M1254" s="222"/>
      <c r="N1254" s="224"/>
      <c r="O1254" s="222"/>
      <c r="P1254" s="224"/>
      <c r="Q1254" s="222"/>
      <c r="R1254" s="224"/>
      <c r="S1254" s="239"/>
      <c r="T1254" s="224"/>
      <c r="U1254" s="239"/>
      <c r="V1254" s="224"/>
      <c r="W1254" s="261"/>
    </row>
    <row r="1255" spans="1:23" x14ac:dyDescent="0.25">
      <c r="A1255" s="215"/>
      <c r="B1255" s="215"/>
      <c r="C1255" s="215"/>
      <c r="D1255" s="215"/>
      <c r="E1255" s="221"/>
      <c r="F1255" s="221"/>
      <c r="G1255" s="222"/>
      <c r="H1255" s="221"/>
      <c r="I1255" s="223"/>
      <c r="J1255" s="237"/>
      <c r="K1255" s="223"/>
      <c r="L1255" s="236"/>
      <c r="M1255" s="222"/>
      <c r="N1255" s="224"/>
      <c r="O1255" s="222"/>
      <c r="P1255" s="224"/>
      <c r="Q1255" s="222"/>
      <c r="R1255" s="224"/>
      <c r="S1255" s="239"/>
      <c r="T1255" s="224"/>
      <c r="U1255" s="239"/>
      <c r="V1255" s="224"/>
      <c r="W1255" s="261"/>
    </row>
    <row r="1256" spans="1:23" x14ac:dyDescent="0.25">
      <c r="A1256" s="215"/>
      <c r="B1256" s="215"/>
      <c r="C1256" s="215"/>
      <c r="D1256" s="215"/>
      <c r="E1256" s="221"/>
      <c r="F1256" s="221"/>
      <c r="G1256" s="222"/>
      <c r="H1256" s="221"/>
      <c r="I1256" s="223"/>
      <c r="J1256" s="237"/>
      <c r="K1256" s="223"/>
      <c r="L1256" s="236"/>
      <c r="M1256" s="222"/>
      <c r="N1256" s="224"/>
      <c r="O1256" s="222"/>
      <c r="P1256" s="224"/>
      <c r="Q1256" s="222"/>
      <c r="R1256" s="224"/>
      <c r="S1256" s="239"/>
      <c r="T1256" s="224"/>
      <c r="U1256" s="239"/>
      <c r="V1256" s="224"/>
      <c r="W1256" s="261"/>
    </row>
    <row r="1257" spans="1:23" x14ac:dyDescent="0.25">
      <c r="A1257" s="215"/>
      <c r="B1257" s="215"/>
      <c r="C1257" s="215"/>
      <c r="D1257" s="215"/>
      <c r="E1257" s="221"/>
      <c r="F1257" s="221"/>
      <c r="G1257" s="222"/>
      <c r="H1257" s="221"/>
      <c r="I1257" s="223"/>
      <c r="J1257" s="237"/>
      <c r="K1257" s="223"/>
      <c r="L1257" s="236"/>
      <c r="M1257" s="222"/>
      <c r="N1257" s="224"/>
      <c r="O1257" s="222"/>
      <c r="P1257" s="224"/>
      <c r="Q1257" s="222"/>
      <c r="R1257" s="224"/>
      <c r="S1257" s="239"/>
      <c r="T1257" s="224"/>
      <c r="U1257" s="239"/>
      <c r="V1257" s="224"/>
      <c r="W1257" s="261"/>
    </row>
    <row r="1258" spans="1:23" x14ac:dyDescent="0.25">
      <c r="A1258" s="215"/>
      <c r="B1258" s="215"/>
      <c r="C1258" s="215"/>
      <c r="D1258" s="215"/>
      <c r="E1258" s="221"/>
      <c r="F1258" s="221"/>
      <c r="G1258" s="222"/>
      <c r="H1258" s="221"/>
      <c r="I1258" s="223"/>
      <c r="J1258" s="237"/>
      <c r="K1258" s="223"/>
      <c r="L1258" s="236"/>
      <c r="M1258" s="222"/>
      <c r="N1258" s="224"/>
      <c r="O1258" s="222"/>
      <c r="P1258" s="224"/>
      <c r="Q1258" s="222"/>
      <c r="R1258" s="224"/>
      <c r="S1258" s="239"/>
      <c r="T1258" s="224"/>
      <c r="U1258" s="239"/>
      <c r="V1258" s="224"/>
      <c r="W1258" s="261"/>
    </row>
    <row r="1259" spans="1:23" x14ac:dyDescent="0.25">
      <c r="A1259" s="215"/>
      <c r="B1259" s="215"/>
      <c r="C1259" s="215"/>
      <c r="D1259" s="215"/>
      <c r="E1259" s="221"/>
      <c r="F1259" s="221"/>
      <c r="G1259" s="222"/>
      <c r="H1259" s="221"/>
      <c r="I1259" s="223"/>
      <c r="J1259" s="237"/>
      <c r="K1259" s="223"/>
      <c r="L1259" s="236"/>
      <c r="M1259" s="222"/>
      <c r="N1259" s="224"/>
      <c r="O1259" s="222"/>
      <c r="P1259" s="224"/>
      <c r="Q1259" s="222"/>
      <c r="R1259" s="224"/>
      <c r="S1259" s="239"/>
      <c r="T1259" s="224"/>
      <c r="U1259" s="239"/>
      <c r="V1259" s="224"/>
      <c r="W1259" s="261"/>
    </row>
    <row r="1260" spans="1:23" x14ac:dyDescent="0.25">
      <c r="A1260" s="215"/>
      <c r="B1260" s="215"/>
      <c r="C1260" s="215"/>
      <c r="D1260" s="215"/>
      <c r="E1260" s="221"/>
      <c r="F1260" s="221"/>
      <c r="G1260" s="222"/>
      <c r="H1260" s="221"/>
      <c r="I1260" s="223"/>
      <c r="J1260" s="237"/>
      <c r="K1260" s="223"/>
      <c r="L1260" s="236"/>
      <c r="M1260" s="222"/>
      <c r="N1260" s="224"/>
      <c r="O1260" s="222"/>
      <c r="P1260" s="224"/>
      <c r="Q1260" s="222"/>
      <c r="R1260" s="224"/>
      <c r="S1260" s="239"/>
      <c r="T1260" s="224"/>
      <c r="U1260" s="239"/>
      <c r="V1260" s="224"/>
      <c r="W1260" s="261"/>
    </row>
    <row r="1261" spans="1:23" x14ac:dyDescent="0.25">
      <c r="A1261" s="215"/>
      <c r="B1261" s="215"/>
      <c r="C1261" s="215"/>
      <c r="D1261" s="215"/>
      <c r="E1261" s="221"/>
      <c r="F1261" s="221"/>
      <c r="G1261" s="222"/>
      <c r="H1261" s="221"/>
      <c r="I1261" s="223"/>
      <c r="J1261" s="237"/>
      <c r="K1261" s="223"/>
      <c r="L1261" s="236"/>
      <c r="M1261" s="222"/>
      <c r="N1261" s="224"/>
      <c r="O1261" s="222"/>
      <c r="P1261" s="224"/>
      <c r="Q1261" s="222"/>
      <c r="R1261" s="224"/>
      <c r="S1261" s="239"/>
      <c r="T1261" s="224"/>
      <c r="U1261" s="239"/>
      <c r="V1261" s="224"/>
      <c r="W1261" s="261"/>
    </row>
    <row r="1262" spans="1:23" x14ac:dyDescent="0.25">
      <c r="A1262" s="215"/>
      <c r="B1262" s="215"/>
      <c r="C1262" s="215"/>
      <c r="D1262" s="215"/>
      <c r="E1262" s="221"/>
      <c r="F1262" s="221"/>
      <c r="G1262" s="222"/>
      <c r="H1262" s="221"/>
      <c r="I1262" s="223"/>
      <c r="J1262" s="237"/>
      <c r="K1262" s="223"/>
      <c r="L1262" s="236"/>
      <c r="M1262" s="222"/>
      <c r="N1262" s="224"/>
      <c r="O1262" s="222"/>
      <c r="P1262" s="224"/>
      <c r="Q1262" s="222"/>
      <c r="R1262" s="224"/>
      <c r="S1262" s="239"/>
      <c r="T1262" s="224"/>
      <c r="U1262" s="239"/>
      <c r="V1262" s="224"/>
      <c r="W1262" s="261"/>
    </row>
    <row r="1263" spans="1:23" x14ac:dyDescent="0.25">
      <c r="A1263" s="215"/>
      <c r="B1263" s="215"/>
      <c r="C1263" s="215"/>
      <c r="D1263" s="215"/>
      <c r="E1263" s="221"/>
      <c r="F1263" s="221"/>
      <c r="G1263" s="222"/>
      <c r="H1263" s="221"/>
      <c r="I1263" s="223"/>
      <c r="J1263" s="237"/>
      <c r="K1263" s="223"/>
      <c r="L1263" s="236"/>
      <c r="M1263" s="222"/>
      <c r="N1263" s="224"/>
      <c r="O1263" s="222"/>
      <c r="P1263" s="224"/>
      <c r="Q1263" s="222"/>
      <c r="R1263" s="224"/>
      <c r="S1263" s="239"/>
      <c r="T1263" s="224"/>
      <c r="U1263" s="239"/>
      <c r="V1263" s="224"/>
      <c r="W1263" s="261"/>
    </row>
    <row r="1264" spans="1:23" x14ac:dyDescent="0.25">
      <c r="A1264" s="215"/>
      <c r="B1264" s="215"/>
      <c r="C1264" s="215"/>
      <c r="D1264" s="215"/>
      <c r="E1264" s="221"/>
      <c r="F1264" s="221"/>
      <c r="G1264" s="222"/>
      <c r="H1264" s="221"/>
      <c r="I1264" s="223"/>
      <c r="J1264" s="237"/>
      <c r="K1264" s="223"/>
      <c r="L1264" s="236"/>
      <c r="M1264" s="222"/>
      <c r="N1264" s="224"/>
      <c r="O1264" s="222"/>
      <c r="P1264" s="224"/>
      <c r="Q1264" s="222"/>
      <c r="R1264" s="224"/>
      <c r="S1264" s="239"/>
      <c r="T1264" s="224"/>
      <c r="U1264" s="239"/>
      <c r="V1264" s="224"/>
      <c r="W1264" s="261"/>
    </row>
    <row r="1265" spans="1:23" x14ac:dyDescent="0.25">
      <c r="A1265" s="215"/>
      <c r="B1265" s="215"/>
      <c r="C1265" s="215"/>
      <c r="D1265" s="215"/>
      <c r="E1265" s="221"/>
      <c r="F1265" s="221"/>
      <c r="G1265" s="222"/>
      <c r="H1265" s="221"/>
      <c r="I1265" s="223"/>
      <c r="J1265" s="237"/>
      <c r="K1265" s="223"/>
      <c r="L1265" s="236"/>
      <c r="M1265" s="222"/>
      <c r="N1265" s="224"/>
      <c r="O1265" s="222"/>
      <c r="P1265" s="224"/>
      <c r="Q1265" s="222"/>
      <c r="R1265" s="224"/>
      <c r="S1265" s="239"/>
      <c r="T1265" s="224"/>
      <c r="U1265" s="239"/>
      <c r="V1265" s="224"/>
      <c r="W1265" s="261"/>
    </row>
    <row r="1266" spans="1:23" x14ac:dyDescent="0.25">
      <c r="A1266" s="215"/>
      <c r="B1266" s="215"/>
      <c r="C1266" s="215"/>
      <c r="D1266" s="215"/>
      <c r="E1266" s="221"/>
      <c r="F1266" s="221"/>
      <c r="G1266" s="222"/>
      <c r="H1266" s="221"/>
      <c r="I1266" s="223"/>
      <c r="J1266" s="237"/>
      <c r="K1266" s="223"/>
      <c r="L1266" s="236"/>
      <c r="M1266" s="222"/>
      <c r="N1266" s="224"/>
      <c r="O1266" s="222"/>
      <c r="P1266" s="224"/>
      <c r="Q1266" s="222"/>
      <c r="R1266" s="224"/>
      <c r="S1266" s="239"/>
      <c r="T1266" s="224"/>
      <c r="U1266" s="239"/>
      <c r="V1266" s="224"/>
      <c r="W1266" s="261"/>
    </row>
    <row r="1267" spans="1:23" x14ac:dyDescent="0.25">
      <c r="A1267" s="215"/>
      <c r="B1267" s="215"/>
      <c r="C1267" s="215"/>
      <c r="D1267" s="215"/>
      <c r="E1267" s="221"/>
      <c r="F1267" s="221"/>
      <c r="G1267" s="222"/>
      <c r="H1267" s="221"/>
      <c r="I1267" s="223"/>
      <c r="J1267" s="237"/>
      <c r="K1267" s="223"/>
      <c r="L1267" s="236"/>
      <c r="M1267" s="222"/>
      <c r="N1267" s="224"/>
      <c r="O1267" s="222"/>
      <c r="P1267" s="224"/>
      <c r="Q1267" s="222"/>
      <c r="R1267" s="224"/>
      <c r="S1267" s="239"/>
      <c r="T1267" s="224"/>
      <c r="U1267" s="239"/>
      <c r="V1267" s="224"/>
      <c r="W1267" s="261"/>
    </row>
    <row r="1268" spans="1:23" x14ac:dyDescent="0.25">
      <c r="A1268" s="215"/>
      <c r="B1268" s="215"/>
      <c r="C1268" s="215"/>
      <c r="D1268" s="215"/>
      <c r="E1268" s="221"/>
      <c r="F1268" s="221"/>
      <c r="G1268" s="222"/>
      <c r="H1268" s="221"/>
      <c r="I1268" s="223"/>
      <c r="J1268" s="237"/>
      <c r="K1268" s="223"/>
      <c r="L1268" s="236"/>
      <c r="M1268" s="222"/>
      <c r="N1268" s="224"/>
      <c r="O1268" s="222"/>
      <c r="P1268" s="224"/>
      <c r="Q1268" s="222"/>
      <c r="R1268" s="224"/>
      <c r="S1268" s="239"/>
      <c r="T1268" s="224"/>
      <c r="U1268" s="239"/>
      <c r="V1268" s="224"/>
      <c r="W1268" s="261"/>
    </row>
    <row r="1269" spans="1:23" x14ac:dyDescent="0.25">
      <c r="A1269" s="215"/>
      <c r="B1269" s="215"/>
      <c r="C1269" s="215"/>
      <c r="D1269" s="215"/>
      <c r="E1269" s="221"/>
      <c r="F1269" s="221"/>
      <c r="G1269" s="222"/>
      <c r="H1269" s="221"/>
      <c r="I1269" s="223"/>
      <c r="J1269" s="237"/>
      <c r="K1269" s="223"/>
      <c r="L1269" s="236"/>
      <c r="M1269" s="222"/>
      <c r="N1269" s="224"/>
      <c r="O1269" s="222"/>
      <c r="P1269" s="224"/>
      <c r="Q1269" s="222"/>
      <c r="R1269" s="224"/>
      <c r="S1269" s="239"/>
      <c r="T1269" s="224"/>
      <c r="U1269" s="239"/>
      <c r="V1269" s="224"/>
      <c r="W1269" s="261"/>
    </row>
    <row r="1270" spans="1:23" x14ac:dyDescent="0.25">
      <c r="A1270" s="215"/>
      <c r="B1270" s="215"/>
      <c r="C1270" s="215"/>
      <c r="D1270" s="215"/>
      <c r="E1270" s="221"/>
      <c r="F1270" s="221"/>
      <c r="G1270" s="222"/>
      <c r="H1270" s="221"/>
      <c r="I1270" s="223"/>
      <c r="J1270" s="237"/>
      <c r="K1270" s="223"/>
      <c r="L1270" s="236"/>
      <c r="M1270" s="222"/>
      <c r="N1270" s="224"/>
      <c r="O1270" s="222"/>
      <c r="P1270" s="224"/>
      <c r="Q1270" s="222"/>
      <c r="R1270" s="224"/>
      <c r="S1270" s="239"/>
      <c r="T1270" s="224"/>
      <c r="U1270" s="239"/>
      <c r="V1270" s="224"/>
      <c r="W1270" s="261"/>
    </row>
    <row r="1271" spans="1:23" x14ac:dyDescent="0.25">
      <c r="A1271" s="215"/>
      <c r="B1271" s="215"/>
      <c r="C1271" s="215"/>
      <c r="D1271" s="215"/>
      <c r="E1271" s="221"/>
      <c r="F1271" s="221"/>
      <c r="G1271" s="222"/>
      <c r="H1271" s="221"/>
      <c r="I1271" s="223"/>
      <c r="J1271" s="237"/>
      <c r="K1271" s="223"/>
      <c r="L1271" s="236"/>
      <c r="M1271" s="222"/>
      <c r="N1271" s="224"/>
      <c r="O1271" s="222"/>
      <c r="P1271" s="224"/>
      <c r="Q1271" s="222"/>
      <c r="R1271" s="224"/>
      <c r="S1271" s="239"/>
      <c r="T1271" s="224"/>
      <c r="U1271" s="239"/>
      <c r="V1271" s="224"/>
      <c r="W1271" s="261"/>
    </row>
    <row r="1272" spans="1:23" x14ac:dyDescent="0.25">
      <c r="A1272" s="215"/>
      <c r="B1272" s="215"/>
      <c r="C1272" s="215"/>
      <c r="D1272" s="215"/>
      <c r="E1272" s="221"/>
      <c r="F1272" s="221"/>
      <c r="G1272" s="222"/>
      <c r="H1272" s="221"/>
      <c r="I1272" s="223"/>
      <c r="J1272" s="237"/>
      <c r="K1272" s="223"/>
      <c r="L1272" s="236"/>
      <c r="M1272" s="222"/>
      <c r="N1272" s="224"/>
      <c r="O1272" s="222"/>
      <c r="P1272" s="224"/>
      <c r="Q1272" s="222"/>
      <c r="R1272" s="224"/>
      <c r="S1272" s="239"/>
      <c r="T1272" s="224"/>
      <c r="U1272" s="239"/>
      <c r="V1272" s="224"/>
      <c r="W1272" s="261"/>
    </row>
    <row r="1273" spans="1:23" x14ac:dyDescent="0.25">
      <c r="A1273" s="215"/>
      <c r="B1273" s="215"/>
      <c r="C1273" s="215"/>
      <c r="D1273" s="215"/>
      <c r="E1273" s="221"/>
      <c r="F1273" s="221"/>
      <c r="G1273" s="222"/>
      <c r="H1273" s="221"/>
      <c r="I1273" s="223"/>
      <c r="J1273" s="237"/>
      <c r="K1273" s="223"/>
      <c r="L1273" s="236"/>
      <c r="M1273" s="222"/>
      <c r="N1273" s="224"/>
      <c r="O1273" s="222"/>
      <c r="P1273" s="224"/>
      <c r="Q1273" s="222"/>
      <c r="R1273" s="224"/>
      <c r="S1273" s="239"/>
      <c r="T1273" s="224"/>
      <c r="U1273" s="239"/>
      <c r="V1273" s="224"/>
      <c r="W1273" s="261"/>
    </row>
    <row r="1274" spans="1:23" x14ac:dyDescent="0.25">
      <c r="A1274" s="215"/>
      <c r="B1274" s="215"/>
      <c r="C1274" s="215"/>
      <c r="D1274" s="215"/>
      <c r="E1274" s="221"/>
      <c r="F1274" s="221"/>
      <c r="G1274" s="222"/>
      <c r="H1274" s="221"/>
      <c r="I1274" s="223"/>
      <c r="J1274" s="237"/>
      <c r="K1274" s="223"/>
      <c r="L1274" s="236"/>
      <c r="M1274" s="222"/>
      <c r="N1274" s="224"/>
      <c r="O1274" s="222"/>
      <c r="P1274" s="224"/>
      <c r="Q1274" s="222"/>
      <c r="R1274" s="224"/>
      <c r="S1274" s="239"/>
      <c r="T1274" s="224"/>
      <c r="U1274" s="239"/>
      <c r="V1274" s="224"/>
      <c r="W1274" s="261"/>
    </row>
    <row r="1275" spans="1:23" x14ac:dyDescent="0.25">
      <c r="A1275" s="215"/>
      <c r="B1275" s="215"/>
      <c r="C1275" s="215"/>
      <c r="D1275" s="215"/>
      <c r="E1275" s="221"/>
      <c r="F1275" s="221"/>
      <c r="G1275" s="222"/>
      <c r="H1275" s="221"/>
      <c r="I1275" s="223"/>
      <c r="J1275" s="237"/>
      <c r="K1275" s="223"/>
      <c r="L1275" s="236"/>
      <c r="M1275" s="222"/>
      <c r="N1275" s="224"/>
      <c r="O1275" s="222"/>
      <c r="P1275" s="224"/>
      <c r="Q1275" s="222"/>
      <c r="R1275" s="224"/>
      <c r="S1275" s="239"/>
      <c r="T1275" s="224"/>
      <c r="U1275" s="239"/>
      <c r="V1275" s="224"/>
      <c r="W1275" s="261"/>
    </row>
    <row r="1276" spans="1:23" x14ac:dyDescent="0.25">
      <c r="A1276" s="215"/>
      <c r="B1276" s="215"/>
      <c r="C1276" s="215"/>
      <c r="D1276" s="215"/>
      <c r="E1276" s="221"/>
      <c r="F1276" s="221"/>
      <c r="G1276" s="222"/>
      <c r="H1276" s="221"/>
      <c r="I1276" s="223"/>
      <c r="J1276" s="237"/>
      <c r="K1276" s="223"/>
      <c r="L1276" s="236"/>
      <c r="M1276" s="222"/>
      <c r="N1276" s="224"/>
      <c r="O1276" s="222"/>
      <c r="P1276" s="224"/>
      <c r="Q1276" s="222"/>
      <c r="R1276" s="224"/>
      <c r="S1276" s="239"/>
      <c r="T1276" s="224"/>
      <c r="U1276" s="239"/>
      <c r="V1276" s="224"/>
      <c r="W1276" s="261"/>
    </row>
    <row r="1277" spans="1:23" x14ac:dyDescent="0.25">
      <c r="A1277" s="215"/>
      <c r="B1277" s="215"/>
      <c r="C1277" s="215"/>
      <c r="D1277" s="215"/>
      <c r="E1277" s="221"/>
      <c r="F1277" s="221"/>
      <c r="G1277" s="222"/>
      <c r="H1277" s="221"/>
      <c r="I1277" s="223"/>
      <c r="J1277" s="237"/>
      <c r="K1277" s="223"/>
      <c r="L1277" s="236"/>
      <c r="M1277" s="222"/>
      <c r="N1277" s="224"/>
      <c r="O1277" s="222"/>
      <c r="P1277" s="224"/>
      <c r="Q1277" s="222"/>
      <c r="R1277" s="224"/>
      <c r="S1277" s="239"/>
      <c r="T1277" s="224"/>
      <c r="U1277" s="239"/>
      <c r="V1277" s="224"/>
      <c r="W1277" s="261"/>
    </row>
    <row r="1278" spans="1:23" x14ac:dyDescent="0.25">
      <c r="A1278" s="215"/>
      <c r="B1278" s="215"/>
      <c r="C1278" s="215"/>
      <c r="D1278" s="215"/>
      <c r="E1278" s="221"/>
      <c r="F1278" s="221"/>
      <c r="G1278" s="222"/>
      <c r="H1278" s="221"/>
      <c r="I1278" s="223"/>
      <c r="J1278" s="237"/>
      <c r="K1278" s="223"/>
      <c r="L1278" s="236"/>
      <c r="M1278" s="222"/>
      <c r="N1278" s="224"/>
      <c r="O1278" s="222"/>
      <c r="P1278" s="224"/>
      <c r="Q1278" s="222"/>
      <c r="R1278" s="224"/>
      <c r="S1278" s="239"/>
      <c r="T1278" s="224"/>
      <c r="U1278" s="239"/>
      <c r="V1278" s="224"/>
      <c r="W1278" s="261"/>
    </row>
    <row r="1279" spans="1:23" x14ac:dyDescent="0.25">
      <c r="A1279" s="215"/>
      <c r="B1279" s="215"/>
      <c r="C1279" s="215"/>
      <c r="D1279" s="215"/>
      <c r="E1279" s="221"/>
      <c r="F1279" s="221"/>
      <c r="G1279" s="222"/>
      <c r="H1279" s="221"/>
      <c r="I1279" s="223"/>
      <c r="J1279" s="237"/>
      <c r="K1279" s="223"/>
      <c r="L1279" s="236"/>
      <c r="M1279" s="222"/>
      <c r="N1279" s="224"/>
      <c r="O1279" s="222"/>
      <c r="P1279" s="224"/>
      <c r="Q1279" s="222"/>
      <c r="R1279" s="224"/>
      <c r="S1279" s="239"/>
      <c r="T1279" s="224"/>
      <c r="U1279" s="239"/>
      <c r="V1279" s="224"/>
      <c r="W1279" s="261"/>
    </row>
    <row r="1280" spans="1:23" x14ac:dyDescent="0.25">
      <c r="A1280" s="215"/>
      <c r="B1280" s="215"/>
      <c r="C1280" s="215"/>
      <c r="D1280" s="215"/>
      <c r="E1280" s="221"/>
      <c r="F1280" s="221"/>
      <c r="G1280" s="222"/>
      <c r="H1280" s="221"/>
      <c r="I1280" s="223"/>
      <c r="J1280" s="237"/>
      <c r="K1280" s="223"/>
      <c r="L1280" s="236"/>
      <c r="M1280" s="222"/>
      <c r="N1280" s="224"/>
      <c r="O1280" s="222"/>
      <c r="P1280" s="224"/>
      <c r="Q1280" s="222"/>
      <c r="R1280" s="224"/>
      <c r="S1280" s="239"/>
      <c r="T1280" s="224"/>
      <c r="U1280" s="239"/>
      <c r="V1280" s="224"/>
      <c r="W1280" s="261"/>
    </row>
    <row r="1281" spans="1:23" x14ac:dyDescent="0.25">
      <c r="A1281" s="215"/>
      <c r="B1281" s="215"/>
      <c r="C1281" s="215"/>
      <c r="D1281" s="215"/>
      <c r="E1281" s="221"/>
      <c r="F1281" s="221"/>
      <c r="G1281" s="222"/>
      <c r="H1281" s="221"/>
      <c r="I1281" s="223"/>
      <c r="J1281" s="237"/>
      <c r="K1281" s="223"/>
      <c r="L1281" s="236"/>
      <c r="M1281" s="222"/>
      <c r="N1281" s="224"/>
      <c r="O1281" s="222"/>
      <c r="P1281" s="224"/>
      <c r="Q1281" s="222"/>
      <c r="R1281" s="224"/>
      <c r="S1281" s="239"/>
      <c r="T1281" s="224"/>
      <c r="U1281" s="239"/>
      <c r="V1281" s="224"/>
      <c r="W1281" s="261"/>
    </row>
    <row r="1282" spans="1:23" x14ac:dyDescent="0.25">
      <c r="A1282" s="215"/>
      <c r="B1282" s="215"/>
      <c r="C1282" s="215"/>
      <c r="D1282" s="215"/>
      <c r="E1282" s="221"/>
      <c r="F1282" s="221"/>
      <c r="G1282" s="222"/>
      <c r="H1282" s="221"/>
      <c r="I1282" s="223"/>
      <c r="J1282" s="237"/>
      <c r="K1282" s="223"/>
      <c r="L1282" s="236"/>
      <c r="M1282" s="222"/>
      <c r="N1282" s="224"/>
      <c r="O1282" s="222"/>
      <c r="P1282" s="224"/>
      <c r="Q1282" s="222"/>
      <c r="R1282" s="224"/>
      <c r="S1282" s="239"/>
      <c r="T1282" s="224"/>
      <c r="U1282" s="239"/>
      <c r="V1282" s="224"/>
      <c r="W1282" s="261"/>
    </row>
    <row r="1283" spans="1:23" x14ac:dyDescent="0.25">
      <c r="A1283" s="215"/>
      <c r="B1283" s="215"/>
      <c r="C1283" s="215"/>
      <c r="D1283" s="215"/>
      <c r="E1283" s="221"/>
      <c r="F1283" s="221"/>
      <c r="G1283" s="222"/>
      <c r="H1283" s="221"/>
      <c r="I1283" s="223"/>
      <c r="J1283" s="237"/>
      <c r="K1283" s="223"/>
      <c r="L1283" s="236"/>
      <c r="M1283" s="222"/>
      <c r="N1283" s="224"/>
      <c r="O1283" s="222"/>
      <c r="P1283" s="224"/>
      <c r="Q1283" s="222"/>
      <c r="R1283" s="224"/>
      <c r="S1283" s="239"/>
      <c r="T1283" s="224"/>
      <c r="U1283" s="239"/>
      <c r="V1283" s="224"/>
      <c r="W1283" s="261"/>
    </row>
    <row r="1284" spans="1:23" x14ac:dyDescent="0.25">
      <c r="A1284" s="215"/>
      <c r="B1284" s="215"/>
      <c r="C1284" s="215"/>
      <c r="D1284" s="215"/>
      <c r="E1284" s="221"/>
      <c r="F1284" s="221"/>
      <c r="G1284" s="222"/>
      <c r="H1284" s="221"/>
      <c r="I1284" s="223"/>
      <c r="J1284" s="237"/>
      <c r="K1284" s="223"/>
      <c r="L1284" s="236"/>
      <c r="M1284" s="222"/>
      <c r="N1284" s="224"/>
      <c r="O1284" s="222"/>
      <c r="P1284" s="224"/>
      <c r="Q1284" s="222"/>
      <c r="R1284" s="224"/>
      <c r="S1284" s="239"/>
      <c r="T1284" s="224"/>
      <c r="U1284" s="239"/>
      <c r="V1284" s="224"/>
      <c r="W1284" s="261"/>
    </row>
    <row r="1285" spans="1:23" x14ac:dyDescent="0.25">
      <c r="A1285" s="215"/>
      <c r="B1285" s="215"/>
      <c r="C1285" s="215"/>
      <c r="D1285" s="215"/>
      <c r="E1285" s="221"/>
      <c r="F1285" s="221"/>
      <c r="G1285" s="222"/>
      <c r="H1285" s="221"/>
      <c r="I1285" s="223"/>
      <c r="J1285" s="237"/>
      <c r="K1285" s="223"/>
      <c r="L1285" s="236"/>
      <c r="M1285" s="222"/>
      <c r="N1285" s="224"/>
      <c r="O1285" s="222"/>
      <c r="P1285" s="224"/>
      <c r="Q1285" s="222"/>
      <c r="R1285" s="224"/>
      <c r="S1285" s="239"/>
      <c r="T1285" s="224"/>
      <c r="U1285" s="239"/>
      <c r="V1285" s="224"/>
      <c r="W1285" s="261"/>
    </row>
    <row r="1286" spans="1:23" x14ac:dyDescent="0.25">
      <c r="A1286" s="215"/>
      <c r="B1286" s="215"/>
      <c r="C1286" s="215"/>
      <c r="D1286" s="215"/>
      <c r="E1286" s="221"/>
      <c r="F1286" s="221"/>
      <c r="G1286" s="222"/>
      <c r="H1286" s="221"/>
      <c r="I1286" s="223"/>
      <c r="J1286" s="237"/>
      <c r="K1286" s="223"/>
      <c r="L1286" s="236"/>
      <c r="M1286" s="222"/>
      <c r="N1286" s="224"/>
      <c r="O1286" s="222"/>
      <c r="P1286" s="224"/>
      <c r="Q1286" s="222"/>
      <c r="R1286" s="224"/>
      <c r="S1286" s="239"/>
      <c r="T1286" s="224"/>
      <c r="U1286" s="239"/>
      <c r="V1286" s="224"/>
      <c r="W1286" s="261"/>
    </row>
    <row r="1287" spans="1:23" x14ac:dyDescent="0.25">
      <c r="A1287" s="215"/>
      <c r="B1287" s="215"/>
      <c r="C1287" s="215"/>
      <c r="D1287" s="215"/>
      <c r="E1287" s="221"/>
      <c r="F1287" s="221"/>
      <c r="G1287" s="222"/>
      <c r="H1287" s="221"/>
      <c r="I1287" s="223"/>
      <c r="J1287" s="237"/>
      <c r="K1287" s="223"/>
      <c r="L1287" s="236"/>
      <c r="M1287" s="222"/>
      <c r="N1287" s="224"/>
      <c r="O1287" s="222"/>
      <c r="P1287" s="224"/>
      <c r="Q1287" s="222"/>
      <c r="R1287" s="224"/>
      <c r="S1287" s="239"/>
      <c r="T1287" s="224"/>
      <c r="U1287" s="239"/>
      <c r="V1287" s="224"/>
      <c r="W1287" s="261"/>
    </row>
    <row r="1288" spans="1:23" x14ac:dyDescent="0.25">
      <c r="A1288" s="215"/>
      <c r="B1288" s="215"/>
      <c r="C1288" s="215"/>
      <c r="D1288" s="215"/>
      <c r="E1288" s="221"/>
      <c r="F1288" s="221"/>
      <c r="G1288" s="222"/>
      <c r="H1288" s="221"/>
      <c r="I1288" s="223"/>
      <c r="J1288" s="237"/>
      <c r="K1288" s="223"/>
      <c r="L1288" s="236"/>
      <c r="M1288" s="222"/>
      <c r="N1288" s="224"/>
      <c r="O1288" s="222"/>
      <c r="P1288" s="224"/>
      <c r="Q1288" s="222"/>
      <c r="R1288" s="224"/>
      <c r="S1288" s="239"/>
      <c r="T1288" s="224"/>
      <c r="U1288" s="239"/>
      <c r="V1288" s="224"/>
      <c r="W1288" s="261"/>
    </row>
    <row r="1289" spans="1:23" x14ac:dyDescent="0.25">
      <c r="A1289" s="215"/>
      <c r="B1289" s="215"/>
      <c r="C1289" s="215"/>
      <c r="D1289" s="215"/>
      <c r="E1289" s="221"/>
      <c r="F1289" s="221"/>
      <c r="G1289" s="222"/>
      <c r="H1289" s="221"/>
      <c r="I1289" s="223"/>
      <c r="J1289" s="237"/>
      <c r="K1289" s="223"/>
      <c r="L1289" s="236"/>
      <c r="M1289" s="222"/>
      <c r="N1289" s="224"/>
      <c r="O1289" s="222"/>
      <c r="P1289" s="224"/>
      <c r="Q1289" s="222"/>
      <c r="R1289" s="224"/>
      <c r="S1289" s="239"/>
      <c r="T1289" s="224"/>
      <c r="U1289" s="239"/>
      <c r="V1289" s="224"/>
      <c r="W1289" s="261"/>
    </row>
    <row r="1290" spans="1:23" x14ac:dyDescent="0.25">
      <c r="A1290" s="215"/>
      <c r="B1290" s="215"/>
      <c r="C1290" s="215"/>
      <c r="D1290" s="215"/>
      <c r="E1290" s="221"/>
      <c r="F1290" s="221"/>
      <c r="G1290" s="222"/>
      <c r="H1290" s="221"/>
      <c r="I1290" s="223"/>
      <c r="J1290" s="237"/>
      <c r="K1290" s="223"/>
      <c r="L1290" s="236"/>
      <c r="M1290" s="222"/>
      <c r="N1290" s="224"/>
      <c r="O1290" s="222"/>
      <c r="P1290" s="224"/>
      <c r="Q1290" s="222"/>
      <c r="R1290" s="224"/>
      <c r="S1290" s="239"/>
      <c r="T1290" s="224"/>
      <c r="U1290" s="239"/>
      <c r="V1290" s="224"/>
      <c r="W1290" s="261"/>
    </row>
    <row r="1291" spans="1:23" x14ac:dyDescent="0.25">
      <c r="A1291" s="215"/>
      <c r="B1291" s="215"/>
      <c r="C1291" s="215"/>
      <c r="D1291" s="215"/>
      <c r="E1291" s="221"/>
      <c r="F1291" s="221"/>
      <c r="G1291" s="222"/>
      <c r="H1291" s="221"/>
      <c r="I1291" s="223"/>
      <c r="J1291" s="237"/>
      <c r="K1291" s="223"/>
      <c r="L1291" s="236"/>
      <c r="M1291" s="222"/>
      <c r="N1291" s="224"/>
      <c r="O1291" s="222"/>
      <c r="P1291" s="224"/>
      <c r="Q1291" s="222"/>
      <c r="R1291" s="224"/>
      <c r="S1291" s="239"/>
      <c r="T1291" s="224"/>
      <c r="U1291" s="239"/>
      <c r="V1291" s="224"/>
      <c r="W1291" s="261"/>
    </row>
    <row r="1292" spans="1:23" x14ac:dyDescent="0.25">
      <c r="A1292" s="215"/>
      <c r="B1292" s="215"/>
      <c r="C1292" s="215"/>
      <c r="D1292" s="215"/>
      <c r="E1292" s="221"/>
      <c r="F1292" s="221"/>
      <c r="G1292" s="222"/>
      <c r="H1292" s="221"/>
      <c r="I1292" s="223"/>
      <c r="J1292" s="237"/>
      <c r="K1292" s="223"/>
      <c r="L1292" s="236"/>
      <c r="M1292" s="222"/>
      <c r="N1292" s="224"/>
      <c r="O1292" s="222"/>
      <c r="P1292" s="224"/>
      <c r="Q1292" s="222"/>
      <c r="R1292" s="224"/>
      <c r="S1292" s="239"/>
      <c r="T1292" s="224"/>
      <c r="U1292" s="239"/>
      <c r="V1292" s="224"/>
      <c r="W1292" s="261"/>
    </row>
    <row r="1293" spans="1:23" x14ac:dyDescent="0.25">
      <c r="A1293" s="215"/>
      <c r="B1293" s="215"/>
      <c r="C1293" s="215"/>
      <c r="D1293" s="215"/>
      <c r="E1293" s="221"/>
      <c r="F1293" s="221"/>
      <c r="G1293" s="222"/>
      <c r="H1293" s="221"/>
      <c r="I1293" s="223"/>
      <c r="J1293" s="237"/>
      <c r="K1293" s="223"/>
      <c r="L1293" s="236"/>
      <c r="M1293" s="222"/>
      <c r="N1293" s="224"/>
      <c r="O1293" s="222"/>
      <c r="P1293" s="224"/>
      <c r="Q1293" s="222"/>
      <c r="R1293" s="224"/>
      <c r="S1293" s="239"/>
      <c r="T1293" s="224"/>
      <c r="U1293" s="239"/>
      <c r="V1293" s="224"/>
      <c r="W1293" s="261"/>
    </row>
    <row r="1294" spans="1:23" x14ac:dyDescent="0.25">
      <c r="A1294" s="215"/>
      <c r="B1294" s="215"/>
      <c r="C1294" s="215"/>
      <c r="D1294" s="215"/>
      <c r="E1294" s="221"/>
      <c r="F1294" s="221"/>
      <c r="G1294" s="222"/>
      <c r="H1294" s="221"/>
      <c r="I1294" s="223"/>
      <c r="J1294" s="237"/>
      <c r="K1294" s="223"/>
      <c r="L1294" s="236"/>
      <c r="M1294" s="222"/>
      <c r="N1294" s="224"/>
      <c r="O1294" s="222"/>
      <c r="P1294" s="224"/>
      <c r="Q1294" s="222"/>
      <c r="R1294" s="224"/>
      <c r="S1294" s="239"/>
      <c r="T1294" s="224"/>
      <c r="U1294" s="239"/>
      <c r="V1294" s="224"/>
      <c r="W1294" s="261"/>
    </row>
    <row r="1295" spans="1:23" x14ac:dyDescent="0.25">
      <c r="A1295" s="215"/>
      <c r="B1295" s="215"/>
      <c r="C1295" s="215"/>
      <c r="D1295" s="215"/>
      <c r="E1295" s="221"/>
      <c r="F1295" s="221"/>
      <c r="G1295" s="222"/>
      <c r="H1295" s="221"/>
      <c r="I1295" s="223"/>
      <c r="J1295" s="237"/>
      <c r="K1295" s="223"/>
      <c r="L1295" s="236"/>
      <c r="M1295" s="222"/>
      <c r="N1295" s="224"/>
      <c r="O1295" s="222"/>
      <c r="P1295" s="224"/>
      <c r="Q1295" s="222"/>
      <c r="R1295" s="224"/>
      <c r="S1295" s="239"/>
      <c r="T1295" s="224"/>
      <c r="U1295" s="239"/>
      <c r="V1295" s="224"/>
      <c r="W1295" s="261"/>
    </row>
    <row r="1296" spans="1:23" x14ac:dyDescent="0.25">
      <c r="A1296" s="215"/>
      <c r="B1296" s="215"/>
      <c r="C1296" s="215"/>
      <c r="D1296" s="215"/>
      <c r="E1296" s="221"/>
      <c r="F1296" s="221"/>
      <c r="G1296" s="222"/>
      <c r="H1296" s="221"/>
      <c r="I1296" s="223"/>
      <c r="J1296" s="237"/>
      <c r="K1296" s="223"/>
      <c r="L1296" s="236"/>
      <c r="M1296" s="222"/>
      <c r="N1296" s="224"/>
      <c r="O1296" s="222"/>
      <c r="P1296" s="224"/>
      <c r="Q1296" s="222"/>
      <c r="R1296" s="224"/>
      <c r="S1296" s="239"/>
      <c r="T1296" s="224"/>
      <c r="U1296" s="239"/>
      <c r="V1296" s="224"/>
      <c r="W1296" s="261"/>
    </row>
    <row r="1297" spans="1:23" x14ac:dyDescent="0.25">
      <c r="A1297" s="215"/>
      <c r="B1297" s="215"/>
      <c r="C1297" s="215"/>
      <c r="D1297" s="215"/>
      <c r="E1297" s="221"/>
      <c r="F1297" s="221"/>
      <c r="G1297" s="222"/>
      <c r="H1297" s="221"/>
      <c r="I1297" s="223"/>
      <c r="J1297" s="237"/>
      <c r="K1297" s="223"/>
      <c r="L1297" s="236"/>
      <c r="M1297" s="222"/>
      <c r="N1297" s="224"/>
      <c r="O1297" s="222"/>
      <c r="P1297" s="224"/>
      <c r="Q1297" s="222"/>
      <c r="R1297" s="224"/>
      <c r="S1297" s="239"/>
      <c r="T1297" s="224"/>
      <c r="U1297" s="239"/>
      <c r="V1297" s="224"/>
      <c r="W1297" s="261"/>
    </row>
    <row r="1298" spans="1:23" x14ac:dyDescent="0.25">
      <c r="A1298" s="215"/>
      <c r="B1298" s="215"/>
      <c r="C1298" s="215"/>
      <c r="D1298" s="215"/>
      <c r="E1298" s="221"/>
      <c r="F1298" s="221"/>
      <c r="G1298" s="222"/>
      <c r="H1298" s="221"/>
      <c r="I1298" s="223"/>
      <c r="J1298" s="237"/>
      <c r="K1298" s="223"/>
      <c r="L1298" s="236"/>
      <c r="M1298" s="222"/>
      <c r="N1298" s="224"/>
      <c r="O1298" s="222"/>
      <c r="P1298" s="224"/>
      <c r="Q1298" s="222"/>
      <c r="R1298" s="224"/>
      <c r="S1298" s="239"/>
      <c r="T1298" s="224"/>
      <c r="U1298" s="239"/>
      <c r="V1298" s="224"/>
      <c r="W1298" s="261"/>
    </row>
    <row r="1299" spans="1:23" x14ac:dyDescent="0.25">
      <c r="A1299" s="215"/>
      <c r="B1299" s="215"/>
      <c r="C1299" s="215"/>
      <c r="D1299" s="215"/>
      <c r="E1299" s="221"/>
      <c r="F1299" s="221"/>
      <c r="G1299" s="222"/>
      <c r="H1299" s="221"/>
      <c r="I1299" s="223"/>
      <c r="J1299" s="237"/>
      <c r="K1299" s="223"/>
      <c r="L1299" s="236"/>
      <c r="M1299" s="222"/>
      <c r="N1299" s="224"/>
      <c r="O1299" s="222"/>
      <c r="P1299" s="224"/>
      <c r="Q1299" s="222"/>
      <c r="R1299" s="224"/>
      <c r="S1299" s="239"/>
      <c r="T1299" s="224"/>
      <c r="U1299" s="239"/>
      <c r="V1299" s="224"/>
      <c r="W1299" s="261"/>
    </row>
    <row r="1300" spans="1:23" x14ac:dyDescent="0.25">
      <c r="A1300" s="215"/>
      <c r="B1300" s="215"/>
      <c r="C1300" s="215"/>
      <c r="D1300" s="215"/>
      <c r="E1300" s="221"/>
      <c r="F1300" s="221"/>
      <c r="G1300" s="222"/>
      <c r="H1300" s="221"/>
      <c r="I1300" s="223"/>
      <c r="J1300" s="237"/>
      <c r="K1300" s="223"/>
      <c r="L1300" s="236"/>
      <c r="M1300" s="222"/>
      <c r="N1300" s="224"/>
      <c r="O1300" s="222"/>
      <c r="P1300" s="224"/>
      <c r="Q1300" s="222"/>
      <c r="R1300" s="224"/>
      <c r="S1300" s="239"/>
      <c r="T1300" s="224"/>
      <c r="U1300" s="239"/>
      <c r="V1300" s="224"/>
      <c r="W1300" s="261"/>
    </row>
    <row r="1301" spans="1:23" x14ac:dyDescent="0.25">
      <c r="A1301" s="215"/>
      <c r="B1301" s="215"/>
      <c r="C1301" s="215"/>
      <c r="D1301" s="215"/>
      <c r="E1301" s="221"/>
      <c r="F1301" s="221"/>
      <c r="G1301" s="222"/>
      <c r="H1301" s="221"/>
      <c r="I1301" s="223"/>
      <c r="J1301" s="237"/>
      <c r="K1301" s="223"/>
      <c r="L1301" s="236"/>
      <c r="M1301" s="222"/>
      <c r="N1301" s="224"/>
      <c r="O1301" s="222"/>
      <c r="P1301" s="224"/>
      <c r="Q1301" s="222"/>
      <c r="R1301" s="224"/>
      <c r="S1301" s="239"/>
      <c r="T1301" s="224"/>
      <c r="U1301" s="239"/>
      <c r="V1301" s="224"/>
      <c r="W1301" s="261"/>
    </row>
    <row r="1302" spans="1:23" x14ac:dyDescent="0.25">
      <c r="A1302" s="215"/>
      <c r="B1302" s="215"/>
      <c r="C1302" s="215"/>
      <c r="D1302" s="215"/>
      <c r="E1302" s="221"/>
      <c r="F1302" s="221"/>
      <c r="G1302" s="222"/>
      <c r="H1302" s="221"/>
      <c r="I1302" s="223"/>
      <c r="J1302" s="237"/>
      <c r="K1302" s="223"/>
      <c r="L1302" s="236"/>
      <c r="M1302" s="222"/>
      <c r="N1302" s="224"/>
      <c r="O1302" s="222"/>
      <c r="P1302" s="224"/>
      <c r="Q1302" s="222"/>
      <c r="R1302" s="224"/>
      <c r="S1302" s="239"/>
      <c r="T1302" s="224"/>
      <c r="U1302" s="239"/>
      <c r="V1302" s="224"/>
      <c r="W1302" s="261"/>
    </row>
    <row r="1303" spans="1:23" x14ac:dyDescent="0.25">
      <c r="A1303" s="215"/>
      <c r="B1303" s="215"/>
      <c r="C1303" s="215"/>
      <c r="D1303" s="215"/>
      <c r="E1303" s="221"/>
      <c r="F1303" s="221"/>
      <c r="G1303" s="222"/>
      <c r="H1303" s="221"/>
      <c r="I1303" s="223"/>
      <c r="J1303" s="237"/>
      <c r="K1303" s="223"/>
      <c r="L1303" s="236"/>
      <c r="M1303" s="222"/>
      <c r="N1303" s="224"/>
      <c r="O1303" s="222"/>
      <c r="P1303" s="224"/>
      <c r="Q1303" s="222"/>
      <c r="R1303" s="224"/>
      <c r="S1303" s="239"/>
      <c r="T1303" s="224"/>
      <c r="U1303" s="239"/>
      <c r="V1303" s="224"/>
      <c r="W1303" s="261"/>
    </row>
    <row r="1304" spans="1:23" x14ac:dyDescent="0.25">
      <c r="A1304" s="215"/>
      <c r="B1304" s="215"/>
      <c r="C1304" s="215"/>
      <c r="D1304" s="215"/>
      <c r="E1304" s="221"/>
      <c r="F1304" s="221"/>
      <c r="G1304" s="222"/>
      <c r="H1304" s="221"/>
      <c r="I1304" s="223"/>
      <c r="J1304" s="237"/>
      <c r="K1304" s="223"/>
      <c r="L1304" s="236"/>
      <c r="M1304" s="222"/>
      <c r="N1304" s="224"/>
      <c r="O1304" s="222"/>
      <c r="P1304" s="224"/>
      <c r="Q1304" s="222"/>
      <c r="R1304" s="224"/>
      <c r="S1304" s="239"/>
      <c r="T1304" s="224"/>
      <c r="U1304" s="239"/>
      <c r="V1304" s="224"/>
      <c r="W1304" s="261"/>
    </row>
    <row r="1305" spans="1:23" x14ac:dyDescent="0.25">
      <c r="A1305" s="215"/>
      <c r="B1305" s="215"/>
      <c r="C1305" s="215"/>
      <c r="D1305" s="215"/>
      <c r="E1305" s="221"/>
      <c r="F1305" s="221"/>
      <c r="G1305" s="222"/>
      <c r="H1305" s="221"/>
      <c r="I1305" s="223"/>
      <c r="J1305" s="237"/>
      <c r="K1305" s="223"/>
      <c r="L1305" s="236"/>
      <c r="M1305" s="222"/>
      <c r="N1305" s="224"/>
      <c r="O1305" s="222"/>
      <c r="P1305" s="224"/>
      <c r="Q1305" s="222"/>
      <c r="R1305" s="224"/>
      <c r="S1305" s="239"/>
      <c r="T1305" s="224"/>
      <c r="U1305" s="239"/>
      <c r="V1305" s="224"/>
      <c r="W1305" s="261"/>
    </row>
    <row r="1306" spans="1:23" x14ac:dyDescent="0.25">
      <c r="A1306" s="215"/>
      <c r="B1306" s="215"/>
      <c r="C1306" s="215"/>
      <c r="D1306" s="215"/>
      <c r="E1306" s="221"/>
      <c r="F1306" s="221"/>
      <c r="G1306" s="222"/>
      <c r="H1306" s="221"/>
      <c r="I1306" s="223"/>
      <c r="J1306" s="237"/>
      <c r="K1306" s="223"/>
      <c r="L1306" s="236"/>
      <c r="M1306" s="222"/>
      <c r="N1306" s="224"/>
      <c r="O1306" s="222"/>
      <c r="P1306" s="224"/>
      <c r="Q1306" s="222"/>
      <c r="R1306" s="224"/>
      <c r="S1306" s="239"/>
      <c r="T1306" s="224"/>
      <c r="U1306" s="239"/>
      <c r="V1306" s="224"/>
      <c r="W1306" s="261"/>
    </row>
    <row r="1307" spans="1:23" x14ac:dyDescent="0.25">
      <c r="A1307" s="215"/>
      <c r="B1307" s="215"/>
      <c r="C1307" s="215"/>
      <c r="D1307" s="215"/>
      <c r="E1307" s="221"/>
      <c r="F1307" s="221"/>
      <c r="G1307" s="222"/>
      <c r="H1307" s="221"/>
      <c r="I1307" s="223"/>
      <c r="J1307" s="237"/>
      <c r="K1307" s="223"/>
      <c r="L1307" s="236"/>
      <c r="M1307" s="222"/>
      <c r="N1307" s="224"/>
      <c r="O1307" s="222"/>
      <c r="P1307" s="224"/>
      <c r="Q1307" s="222"/>
      <c r="R1307" s="224"/>
      <c r="S1307" s="239"/>
      <c r="T1307" s="224"/>
      <c r="U1307" s="239"/>
      <c r="V1307" s="224"/>
      <c r="W1307" s="261"/>
    </row>
    <row r="1308" spans="1:23" x14ac:dyDescent="0.25">
      <c r="A1308" s="215"/>
      <c r="B1308" s="215"/>
      <c r="C1308" s="215"/>
      <c r="D1308" s="215"/>
      <c r="E1308" s="221"/>
      <c r="F1308" s="221"/>
      <c r="G1308" s="222"/>
      <c r="H1308" s="221"/>
      <c r="I1308" s="223"/>
      <c r="J1308" s="237"/>
      <c r="K1308" s="223"/>
      <c r="L1308" s="236"/>
      <c r="M1308" s="222"/>
      <c r="N1308" s="224"/>
      <c r="O1308" s="222"/>
      <c r="P1308" s="224"/>
      <c r="Q1308" s="222"/>
      <c r="R1308" s="224"/>
      <c r="S1308" s="239"/>
      <c r="T1308" s="224"/>
      <c r="U1308" s="239"/>
      <c r="V1308" s="224"/>
      <c r="W1308" s="261"/>
    </row>
    <row r="1309" spans="1:23" x14ac:dyDescent="0.25">
      <c r="A1309" s="215"/>
      <c r="B1309" s="215"/>
      <c r="C1309" s="215"/>
      <c r="D1309" s="215"/>
      <c r="E1309" s="221"/>
      <c r="F1309" s="221"/>
      <c r="G1309" s="222"/>
      <c r="H1309" s="221"/>
      <c r="I1309" s="223"/>
      <c r="J1309" s="237"/>
      <c r="K1309" s="223"/>
      <c r="L1309" s="236"/>
      <c r="M1309" s="222"/>
      <c r="N1309" s="224"/>
      <c r="O1309" s="222"/>
      <c r="P1309" s="224"/>
      <c r="Q1309" s="222"/>
      <c r="R1309" s="224"/>
      <c r="S1309" s="239"/>
      <c r="T1309" s="224"/>
      <c r="U1309" s="239"/>
      <c r="V1309" s="224"/>
      <c r="W1309" s="261"/>
    </row>
    <row r="1310" spans="1:23" x14ac:dyDescent="0.25">
      <c r="A1310" s="215"/>
      <c r="B1310" s="215"/>
      <c r="C1310" s="215"/>
      <c r="D1310" s="215"/>
      <c r="E1310" s="221"/>
      <c r="F1310" s="221"/>
      <c r="G1310" s="222"/>
      <c r="H1310" s="221"/>
      <c r="I1310" s="223"/>
      <c r="J1310" s="237"/>
      <c r="K1310" s="223"/>
      <c r="L1310" s="236"/>
      <c r="M1310" s="222"/>
      <c r="N1310" s="224"/>
      <c r="O1310" s="222"/>
      <c r="P1310" s="224"/>
      <c r="Q1310" s="222"/>
      <c r="R1310" s="224"/>
      <c r="S1310" s="239"/>
      <c r="T1310" s="224"/>
      <c r="U1310" s="239"/>
      <c r="V1310" s="224"/>
      <c r="W1310" s="261"/>
    </row>
    <row r="1311" spans="1:23" x14ac:dyDescent="0.25">
      <c r="A1311" s="215"/>
      <c r="B1311" s="215"/>
      <c r="C1311" s="215"/>
      <c r="D1311" s="215"/>
      <c r="E1311" s="221"/>
      <c r="F1311" s="221"/>
      <c r="G1311" s="222"/>
      <c r="H1311" s="221"/>
      <c r="I1311" s="223"/>
      <c r="J1311" s="237"/>
      <c r="K1311" s="223"/>
      <c r="L1311" s="236"/>
      <c r="M1311" s="222"/>
      <c r="N1311" s="224"/>
      <c r="O1311" s="222"/>
      <c r="P1311" s="224"/>
      <c r="Q1311" s="222"/>
      <c r="R1311" s="224"/>
      <c r="S1311" s="239"/>
      <c r="T1311" s="224"/>
      <c r="U1311" s="239"/>
      <c r="V1311" s="224"/>
      <c r="W1311" s="261"/>
    </row>
    <row r="1312" spans="1:23" x14ac:dyDescent="0.25">
      <c r="A1312" s="215"/>
      <c r="B1312" s="215"/>
      <c r="C1312" s="215"/>
      <c r="D1312" s="215"/>
      <c r="E1312" s="221"/>
      <c r="F1312" s="221"/>
      <c r="G1312" s="222"/>
      <c r="H1312" s="221"/>
      <c r="I1312" s="223"/>
      <c r="J1312" s="237"/>
      <c r="K1312" s="223"/>
      <c r="L1312" s="236"/>
      <c r="M1312" s="222"/>
      <c r="N1312" s="224"/>
      <c r="O1312" s="222"/>
      <c r="P1312" s="224"/>
      <c r="Q1312" s="222"/>
      <c r="R1312" s="224"/>
      <c r="S1312" s="239"/>
      <c r="T1312" s="224"/>
      <c r="U1312" s="239"/>
      <c r="V1312" s="224"/>
      <c r="W1312" s="261"/>
    </row>
    <row r="1313" spans="1:23" x14ac:dyDescent="0.25">
      <c r="A1313" s="215"/>
      <c r="B1313" s="215"/>
      <c r="C1313" s="215"/>
      <c r="D1313" s="215"/>
      <c r="E1313" s="221"/>
      <c r="F1313" s="221"/>
      <c r="G1313" s="222"/>
      <c r="H1313" s="221"/>
      <c r="I1313" s="223"/>
      <c r="J1313" s="237"/>
      <c r="K1313" s="223"/>
      <c r="L1313" s="236"/>
      <c r="M1313" s="222"/>
      <c r="N1313" s="224"/>
      <c r="O1313" s="222"/>
      <c r="P1313" s="224"/>
      <c r="Q1313" s="222"/>
      <c r="R1313" s="224"/>
      <c r="S1313" s="239"/>
      <c r="T1313" s="224"/>
      <c r="U1313" s="239"/>
      <c r="V1313" s="224"/>
      <c r="W1313" s="261"/>
    </row>
    <row r="1314" spans="1:23" x14ac:dyDescent="0.25">
      <c r="A1314" s="215"/>
      <c r="B1314" s="215"/>
      <c r="C1314" s="215"/>
      <c r="D1314" s="215"/>
      <c r="E1314" s="221"/>
      <c r="F1314" s="221"/>
      <c r="G1314" s="222"/>
      <c r="H1314" s="221"/>
      <c r="I1314" s="223"/>
      <c r="J1314" s="237"/>
      <c r="K1314" s="223"/>
      <c r="L1314" s="236"/>
      <c r="M1314" s="222"/>
      <c r="N1314" s="224"/>
      <c r="O1314" s="222"/>
      <c r="P1314" s="224"/>
      <c r="Q1314" s="222"/>
      <c r="R1314" s="224"/>
      <c r="S1314" s="239"/>
      <c r="T1314" s="224"/>
      <c r="U1314" s="239"/>
      <c r="V1314" s="224"/>
      <c r="W1314" s="261"/>
    </row>
    <row r="1315" spans="1:23" x14ac:dyDescent="0.25">
      <c r="A1315" s="215"/>
      <c r="B1315" s="215"/>
      <c r="C1315" s="215"/>
      <c r="D1315" s="215"/>
      <c r="E1315" s="221"/>
      <c r="F1315" s="221"/>
      <c r="G1315" s="222"/>
      <c r="H1315" s="221"/>
      <c r="I1315" s="223"/>
      <c r="J1315" s="237"/>
      <c r="K1315" s="223"/>
      <c r="L1315" s="236"/>
      <c r="M1315" s="222"/>
      <c r="N1315" s="224"/>
      <c r="O1315" s="222"/>
      <c r="P1315" s="224"/>
      <c r="Q1315" s="222"/>
      <c r="R1315" s="224"/>
      <c r="S1315" s="239"/>
      <c r="T1315" s="224"/>
      <c r="U1315" s="239"/>
      <c r="V1315" s="224"/>
      <c r="W1315" s="261"/>
    </row>
    <row r="1316" spans="1:23" x14ac:dyDescent="0.25">
      <c r="A1316" s="215"/>
      <c r="B1316" s="215"/>
      <c r="C1316" s="215"/>
      <c r="D1316" s="215"/>
      <c r="E1316" s="221"/>
      <c r="F1316" s="221"/>
      <c r="G1316" s="222"/>
      <c r="H1316" s="221"/>
      <c r="I1316" s="223"/>
      <c r="J1316" s="237"/>
      <c r="K1316" s="223"/>
      <c r="L1316" s="236"/>
      <c r="M1316" s="222"/>
      <c r="N1316" s="224"/>
      <c r="O1316" s="222"/>
      <c r="P1316" s="224"/>
      <c r="Q1316" s="222"/>
      <c r="R1316" s="224"/>
      <c r="S1316" s="239"/>
      <c r="T1316" s="224"/>
      <c r="U1316" s="239"/>
      <c r="V1316" s="224"/>
      <c r="W1316" s="261"/>
    </row>
    <row r="1317" spans="1:23" x14ac:dyDescent="0.25">
      <c r="A1317" s="215"/>
      <c r="B1317" s="215"/>
      <c r="C1317" s="215"/>
      <c r="D1317" s="215"/>
      <c r="E1317" s="221"/>
      <c r="F1317" s="221"/>
      <c r="G1317" s="222"/>
      <c r="H1317" s="221"/>
      <c r="I1317" s="223"/>
      <c r="J1317" s="237"/>
      <c r="K1317" s="223"/>
      <c r="L1317" s="236"/>
      <c r="M1317" s="222"/>
      <c r="N1317" s="224"/>
      <c r="O1317" s="222"/>
      <c r="P1317" s="224"/>
      <c r="Q1317" s="222"/>
      <c r="R1317" s="224"/>
      <c r="S1317" s="239"/>
      <c r="T1317" s="224"/>
      <c r="U1317" s="239"/>
      <c r="V1317" s="224"/>
      <c r="W1317" s="261"/>
    </row>
    <row r="1318" spans="1:23" x14ac:dyDescent="0.25">
      <c r="A1318" s="215"/>
      <c r="B1318" s="215"/>
      <c r="C1318" s="215"/>
      <c r="D1318" s="215"/>
      <c r="E1318" s="221"/>
      <c r="F1318" s="221"/>
      <c r="G1318" s="222"/>
      <c r="H1318" s="221"/>
      <c r="I1318" s="223"/>
      <c r="J1318" s="237"/>
      <c r="K1318" s="223"/>
      <c r="L1318" s="236"/>
      <c r="M1318" s="222"/>
      <c r="N1318" s="224"/>
      <c r="O1318" s="222"/>
      <c r="P1318" s="224"/>
      <c r="Q1318" s="222"/>
      <c r="R1318" s="224"/>
      <c r="S1318" s="239"/>
      <c r="T1318" s="224"/>
      <c r="U1318" s="239"/>
      <c r="V1318" s="224"/>
      <c r="W1318" s="261"/>
    </row>
    <row r="1319" spans="1:23" x14ac:dyDescent="0.25">
      <c r="A1319" s="215"/>
      <c r="B1319" s="215"/>
      <c r="C1319" s="215"/>
      <c r="D1319" s="215"/>
      <c r="E1319" s="221"/>
      <c r="F1319" s="221"/>
      <c r="G1319" s="222"/>
      <c r="H1319" s="221"/>
      <c r="I1319" s="223"/>
      <c r="J1319" s="237"/>
      <c r="K1319" s="223"/>
      <c r="L1319" s="236"/>
      <c r="M1319" s="222"/>
      <c r="N1319" s="224"/>
      <c r="O1319" s="222"/>
      <c r="P1319" s="224"/>
      <c r="Q1319" s="222"/>
      <c r="R1319" s="224"/>
      <c r="S1319" s="239"/>
      <c r="T1319" s="224"/>
      <c r="U1319" s="239"/>
      <c r="V1319" s="224"/>
      <c r="W1319" s="261"/>
    </row>
    <row r="1320" spans="1:23" x14ac:dyDescent="0.25">
      <c r="A1320" s="215"/>
      <c r="B1320" s="215"/>
      <c r="C1320" s="215"/>
      <c r="D1320" s="215"/>
      <c r="E1320" s="221"/>
      <c r="F1320" s="221"/>
      <c r="G1320" s="222"/>
      <c r="H1320" s="221"/>
      <c r="I1320" s="223"/>
      <c r="J1320" s="237"/>
      <c r="K1320" s="223"/>
      <c r="L1320" s="236"/>
      <c r="M1320" s="222"/>
      <c r="N1320" s="224"/>
      <c r="O1320" s="222"/>
      <c r="P1320" s="224"/>
      <c r="Q1320" s="222"/>
      <c r="R1320" s="224"/>
      <c r="S1320" s="239"/>
      <c r="T1320" s="224"/>
      <c r="U1320" s="239"/>
      <c r="V1320" s="224"/>
      <c r="W1320" s="261"/>
    </row>
    <row r="1321" spans="1:23" x14ac:dyDescent="0.25">
      <c r="A1321" s="215"/>
      <c r="B1321" s="215"/>
      <c r="C1321" s="215"/>
      <c r="D1321" s="215"/>
      <c r="E1321" s="221"/>
      <c r="F1321" s="221"/>
      <c r="G1321" s="222"/>
      <c r="H1321" s="221"/>
      <c r="I1321" s="223"/>
      <c r="J1321" s="237"/>
      <c r="K1321" s="223"/>
      <c r="L1321" s="236"/>
      <c r="M1321" s="222"/>
      <c r="N1321" s="224"/>
      <c r="O1321" s="222"/>
      <c r="P1321" s="224"/>
      <c r="Q1321" s="222"/>
      <c r="R1321" s="224"/>
      <c r="S1321" s="239"/>
      <c r="T1321" s="224"/>
      <c r="U1321" s="239"/>
      <c r="V1321" s="224"/>
      <c r="W1321" s="261"/>
    </row>
    <row r="1322" spans="1:23" x14ac:dyDescent="0.25">
      <c r="A1322" s="215"/>
      <c r="B1322" s="215"/>
      <c r="C1322" s="215"/>
      <c r="D1322" s="215"/>
      <c r="E1322" s="221"/>
      <c r="F1322" s="221"/>
      <c r="G1322" s="222"/>
      <c r="H1322" s="221"/>
      <c r="I1322" s="223"/>
      <c r="J1322" s="237"/>
      <c r="K1322" s="223"/>
      <c r="L1322" s="236"/>
      <c r="M1322" s="222"/>
      <c r="N1322" s="224"/>
      <c r="O1322" s="222"/>
      <c r="P1322" s="224"/>
      <c r="Q1322" s="222"/>
      <c r="R1322" s="224"/>
      <c r="S1322" s="239"/>
      <c r="T1322" s="224"/>
      <c r="U1322" s="239"/>
      <c r="V1322" s="224"/>
      <c r="W1322" s="261"/>
    </row>
    <row r="1323" spans="1:23" x14ac:dyDescent="0.25">
      <c r="A1323" s="215"/>
      <c r="B1323" s="215"/>
      <c r="C1323" s="215"/>
      <c r="D1323" s="215"/>
      <c r="E1323" s="221"/>
      <c r="F1323" s="221"/>
      <c r="G1323" s="222"/>
      <c r="H1323" s="221"/>
      <c r="I1323" s="223"/>
      <c r="J1323" s="237"/>
      <c r="K1323" s="223"/>
      <c r="L1323" s="236"/>
      <c r="M1323" s="222"/>
      <c r="N1323" s="224"/>
      <c r="O1323" s="222"/>
      <c r="P1323" s="224"/>
      <c r="Q1323" s="222"/>
      <c r="R1323" s="224"/>
      <c r="S1323" s="239"/>
      <c r="T1323" s="224"/>
      <c r="U1323" s="239"/>
      <c r="V1323" s="224"/>
      <c r="W1323" s="261"/>
    </row>
    <row r="1324" spans="1:23" x14ac:dyDescent="0.25">
      <c r="A1324" s="215"/>
      <c r="B1324" s="215"/>
      <c r="C1324" s="215"/>
      <c r="D1324" s="215"/>
      <c r="E1324" s="221"/>
      <c r="F1324" s="221"/>
      <c r="G1324" s="222"/>
      <c r="H1324" s="221"/>
      <c r="I1324" s="223"/>
      <c r="J1324" s="237"/>
      <c r="K1324" s="223"/>
      <c r="L1324" s="236"/>
      <c r="M1324" s="222"/>
      <c r="N1324" s="224"/>
      <c r="O1324" s="222"/>
      <c r="P1324" s="224"/>
      <c r="Q1324" s="222"/>
      <c r="R1324" s="224"/>
      <c r="S1324" s="239"/>
      <c r="T1324" s="224"/>
      <c r="U1324" s="239"/>
      <c r="V1324" s="224"/>
      <c r="W1324" s="261"/>
    </row>
    <row r="1325" spans="1:23" x14ac:dyDescent="0.25">
      <c r="A1325" s="215"/>
      <c r="B1325" s="215"/>
      <c r="C1325" s="215"/>
      <c r="D1325" s="215"/>
      <c r="E1325" s="221"/>
      <c r="F1325" s="221"/>
      <c r="G1325" s="222"/>
      <c r="H1325" s="221"/>
      <c r="I1325" s="223"/>
      <c r="J1325" s="237"/>
      <c r="K1325" s="223"/>
      <c r="L1325" s="236"/>
      <c r="M1325" s="222"/>
      <c r="N1325" s="224"/>
      <c r="O1325" s="222"/>
      <c r="P1325" s="224"/>
      <c r="Q1325" s="222"/>
      <c r="R1325" s="224"/>
      <c r="S1325" s="239"/>
      <c r="T1325" s="224"/>
      <c r="U1325" s="239"/>
      <c r="V1325" s="224"/>
      <c r="W1325" s="261"/>
    </row>
    <row r="1326" spans="1:23" x14ac:dyDescent="0.25">
      <c r="A1326" s="215"/>
      <c r="B1326" s="215"/>
      <c r="C1326" s="215"/>
      <c r="D1326" s="215"/>
      <c r="E1326" s="221"/>
      <c r="F1326" s="221"/>
      <c r="G1326" s="222"/>
      <c r="H1326" s="221"/>
      <c r="I1326" s="223"/>
      <c r="J1326" s="237"/>
      <c r="K1326" s="223"/>
      <c r="L1326" s="236"/>
      <c r="M1326" s="222"/>
      <c r="N1326" s="224"/>
      <c r="O1326" s="222"/>
      <c r="P1326" s="224"/>
      <c r="Q1326" s="222"/>
      <c r="R1326" s="224"/>
      <c r="S1326" s="239"/>
      <c r="T1326" s="224"/>
      <c r="U1326" s="239"/>
      <c r="V1326" s="224"/>
      <c r="W1326" s="261"/>
    </row>
    <row r="1327" spans="1:23" x14ac:dyDescent="0.25">
      <c r="A1327" s="215"/>
      <c r="B1327" s="215"/>
      <c r="C1327" s="215"/>
      <c r="D1327" s="215"/>
      <c r="E1327" s="221"/>
      <c r="F1327" s="221"/>
      <c r="G1327" s="222"/>
      <c r="H1327" s="221"/>
      <c r="I1327" s="223"/>
      <c r="J1327" s="237"/>
      <c r="K1327" s="223"/>
      <c r="L1327" s="236"/>
      <c r="M1327" s="222"/>
      <c r="N1327" s="224"/>
      <c r="O1327" s="222"/>
      <c r="P1327" s="224"/>
      <c r="Q1327" s="222"/>
      <c r="R1327" s="224"/>
      <c r="S1327" s="239"/>
      <c r="T1327" s="224"/>
      <c r="U1327" s="239"/>
      <c r="V1327" s="224"/>
      <c r="W1327" s="261"/>
    </row>
    <row r="1328" spans="1:23" x14ac:dyDescent="0.25">
      <c r="A1328" s="215"/>
      <c r="B1328" s="215"/>
      <c r="C1328" s="215"/>
      <c r="D1328" s="215"/>
      <c r="E1328" s="221"/>
      <c r="F1328" s="221"/>
      <c r="G1328" s="222"/>
      <c r="H1328" s="221"/>
      <c r="I1328" s="223"/>
      <c r="J1328" s="237"/>
      <c r="K1328" s="223"/>
      <c r="L1328" s="236"/>
      <c r="M1328" s="222"/>
      <c r="N1328" s="224"/>
      <c r="O1328" s="222"/>
      <c r="P1328" s="224"/>
      <c r="Q1328" s="222"/>
      <c r="R1328" s="224"/>
      <c r="S1328" s="239"/>
      <c r="T1328" s="224"/>
      <c r="U1328" s="239"/>
      <c r="V1328" s="224"/>
      <c r="W1328" s="261"/>
    </row>
    <row r="1329" spans="1:23" x14ac:dyDescent="0.25">
      <c r="A1329" s="215"/>
      <c r="B1329" s="215"/>
      <c r="C1329" s="215"/>
      <c r="D1329" s="215"/>
      <c r="E1329" s="221"/>
      <c r="F1329" s="221"/>
      <c r="G1329" s="222"/>
      <c r="H1329" s="221"/>
      <c r="I1329" s="223"/>
      <c r="J1329" s="237"/>
      <c r="K1329" s="223"/>
      <c r="L1329" s="236"/>
      <c r="M1329" s="222"/>
      <c r="N1329" s="224"/>
      <c r="O1329" s="222"/>
      <c r="P1329" s="224"/>
      <c r="Q1329" s="222"/>
      <c r="R1329" s="224"/>
      <c r="S1329" s="239"/>
      <c r="T1329" s="224"/>
      <c r="U1329" s="239"/>
      <c r="V1329" s="224"/>
      <c r="W1329" s="261"/>
    </row>
    <row r="1330" spans="1:23" x14ac:dyDescent="0.25">
      <c r="A1330" s="215"/>
      <c r="B1330" s="215"/>
      <c r="C1330" s="215"/>
      <c r="D1330" s="215"/>
      <c r="E1330" s="221"/>
      <c r="F1330" s="221"/>
      <c r="G1330" s="222"/>
      <c r="H1330" s="221"/>
      <c r="I1330" s="223"/>
      <c r="J1330" s="237"/>
      <c r="K1330" s="223"/>
      <c r="L1330" s="236"/>
      <c r="M1330" s="222"/>
      <c r="N1330" s="224"/>
      <c r="O1330" s="222"/>
      <c r="P1330" s="224"/>
      <c r="Q1330" s="222"/>
      <c r="R1330" s="224"/>
      <c r="S1330" s="239"/>
      <c r="T1330" s="224"/>
      <c r="U1330" s="239"/>
      <c r="V1330" s="224"/>
      <c r="W1330" s="261"/>
    </row>
    <row r="1331" spans="1:23" x14ac:dyDescent="0.25">
      <c r="A1331" s="215"/>
      <c r="B1331" s="215"/>
      <c r="C1331" s="215"/>
      <c r="D1331" s="215"/>
      <c r="E1331" s="221"/>
      <c r="F1331" s="221"/>
      <c r="G1331" s="222"/>
      <c r="H1331" s="221"/>
      <c r="I1331" s="223"/>
      <c r="J1331" s="237"/>
      <c r="K1331" s="223"/>
      <c r="L1331" s="236"/>
      <c r="M1331" s="222"/>
      <c r="N1331" s="224"/>
      <c r="O1331" s="222"/>
      <c r="P1331" s="224"/>
      <c r="Q1331" s="222"/>
      <c r="R1331" s="224"/>
      <c r="S1331" s="239"/>
      <c r="T1331" s="224"/>
      <c r="U1331" s="239"/>
      <c r="V1331" s="224"/>
      <c r="W1331" s="261"/>
    </row>
    <row r="1332" spans="1:23" x14ac:dyDescent="0.25">
      <c r="A1332" s="215"/>
      <c r="B1332" s="215"/>
      <c r="C1332" s="215"/>
      <c r="D1332" s="215"/>
      <c r="E1332" s="221"/>
      <c r="F1332" s="221"/>
      <c r="G1332" s="222"/>
      <c r="H1332" s="221"/>
      <c r="I1332" s="223"/>
      <c r="J1332" s="237"/>
      <c r="K1332" s="223"/>
      <c r="L1332" s="236"/>
      <c r="M1332" s="222"/>
      <c r="N1332" s="224"/>
      <c r="O1332" s="222"/>
      <c r="P1332" s="224"/>
      <c r="Q1332" s="222"/>
      <c r="R1332" s="224"/>
      <c r="S1332" s="239"/>
      <c r="T1332" s="224"/>
      <c r="U1332" s="239"/>
      <c r="V1332" s="224"/>
      <c r="W1332" s="261"/>
    </row>
    <row r="1333" spans="1:23" x14ac:dyDescent="0.25">
      <c r="A1333" s="215"/>
      <c r="B1333" s="215"/>
      <c r="C1333" s="215"/>
      <c r="D1333" s="215"/>
      <c r="E1333" s="221"/>
      <c r="F1333" s="221"/>
      <c r="G1333" s="222"/>
      <c r="H1333" s="221"/>
      <c r="I1333" s="223"/>
      <c r="J1333" s="237"/>
      <c r="K1333" s="223"/>
      <c r="L1333" s="236"/>
      <c r="M1333" s="222"/>
      <c r="N1333" s="224"/>
      <c r="O1333" s="222"/>
      <c r="P1333" s="224"/>
      <c r="Q1333" s="222"/>
      <c r="R1333" s="224"/>
      <c r="S1333" s="239"/>
      <c r="T1333" s="224"/>
      <c r="U1333" s="239"/>
      <c r="V1333" s="224"/>
      <c r="W1333" s="261"/>
    </row>
    <row r="1334" spans="1:23" x14ac:dyDescent="0.25">
      <c r="A1334" s="215"/>
      <c r="B1334" s="215"/>
      <c r="C1334" s="215"/>
      <c r="D1334" s="215"/>
      <c r="E1334" s="221"/>
      <c r="F1334" s="221"/>
      <c r="G1334" s="222"/>
      <c r="H1334" s="221"/>
      <c r="I1334" s="223"/>
      <c r="J1334" s="237"/>
      <c r="K1334" s="223"/>
      <c r="L1334" s="236"/>
      <c r="M1334" s="222"/>
      <c r="N1334" s="224"/>
      <c r="O1334" s="222"/>
      <c r="P1334" s="224"/>
      <c r="Q1334" s="222"/>
      <c r="R1334" s="224"/>
      <c r="S1334" s="239"/>
      <c r="T1334" s="224"/>
      <c r="U1334" s="239"/>
      <c r="V1334" s="224"/>
      <c r="W1334" s="261"/>
    </row>
    <row r="1335" spans="1:23" x14ac:dyDescent="0.25">
      <c r="A1335" s="215"/>
      <c r="B1335" s="215"/>
      <c r="C1335" s="215"/>
      <c r="D1335" s="215"/>
      <c r="E1335" s="221"/>
      <c r="F1335" s="221"/>
      <c r="G1335" s="222"/>
      <c r="H1335" s="221"/>
      <c r="I1335" s="223"/>
      <c r="J1335" s="237"/>
      <c r="K1335" s="223"/>
      <c r="L1335" s="236"/>
      <c r="M1335" s="222"/>
      <c r="N1335" s="224"/>
      <c r="O1335" s="222"/>
      <c r="P1335" s="224"/>
      <c r="Q1335" s="222"/>
      <c r="R1335" s="224"/>
      <c r="S1335" s="239"/>
      <c r="T1335" s="224"/>
      <c r="U1335" s="239"/>
      <c r="V1335" s="224"/>
      <c r="W1335" s="261"/>
    </row>
    <row r="1336" spans="1:23" x14ac:dyDescent="0.25">
      <c r="A1336" s="215"/>
      <c r="B1336" s="215"/>
      <c r="C1336" s="215"/>
      <c r="D1336" s="215"/>
      <c r="E1336" s="221"/>
      <c r="F1336" s="221"/>
      <c r="G1336" s="222"/>
      <c r="H1336" s="221"/>
      <c r="I1336" s="223"/>
      <c r="J1336" s="237"/>
      <c r="K1336" s="223"/>
      <c r="L1336" s="236"/>
      <c r="M1336" s="222"/>
      <c r="N1336" s="224"/>
      <c r="O1336" s="222"/>
      <c r="P1336" s="224"/>
      <c r="Q1336" s="222"/>
      <c r="R1336" s="224"/>
      <c r="S1336" s="239"/>
      <c r="T1336" s="224"/>
      <c r="U1336" s="239"/>
      <c r="V1336" s="224"/>
      <c r="W1336" s="261"/>
    </row>
    <row r="1337" spans="1:23" x14ac:dyDescent="0.25">
      <c r="A1337" s="215"/>
      <c r="B1337" s="215"/>
      <c r="C1337" s="215"/>
      <c r="D1337" s="215"/>
      <c r="E1337" s="221"/>
      <c r="F1337" s="221"/>
      <c r="G1337" s="222"/>
      <c r="H1337" s="221"/>
      <c r="I1337" s="223"/>
      <c r="J1337" s="237"/>
      <c r="K1337" s="223"/>
      <c r="L1337" s="236"/>
      <c r="M1337" s="222"/>
      <c r="N1337" s="224"/>
      <c r="O1337" s="222"/>
      <c r="P1337" s="224"/>
      <c r="Q1337" s="222"/>
      <c r="R1337" s="224"/>
      <c r="S1337" s="239"/>
      <c r="T1337" s="224"/>
      <c r="U1337" s="239"/>
      <c r="V1337" s="224"/>
      <c r="W1337" s="261"/>
    </row>
    <row r="1338" spans="1:23" x14ac:dyDescent="0.25">
      <c r="A1338" s="215"/>
      <c r="B1338" s="215"/>
      <c r="C1338" s="215"/>
      <c r="D1338" s="215"/>
      <c r="E1338" s="221"/>
      <c r="F1338" s="221"/>
      <c r="G1338" s="222"/>
      <c r="H1338" s="221"/>
      <c r="I1338" s="223"/>
      <c r="J1338" s="237"/>
      <c r="K1338" s="223"/>
      <c r="L1338" s="236"/>
      <c r="M1338" s="222"/>
      <c r="N1338" s="224"/>
      <c r="O1338" s="222"/>
      <c r="P1338" s="224"/>
      <c r="Q1338" s="222"/>
      <c r="R1338" s="224"/>
      <c r="S1338" s="239"/>
      <c r="T1338" s="224"/>
      <c r="U1338" s="239"/>
      <c r="V1338" s="224"/>
      <c r="W1338" s="261"/>
    </row>
    <row r="1339" spans="1:23" x14ac:dyDescent="0.25">
      <c r="A1339" s="215"/>
      <c r="B1339" s="215"/>
      <c r="C1339" s="215"/>
      <c r="D1339" s="215"/>
      <c r="E1339" s="221"/>
      <c r="F1339" s="221"/>
      <c r="G1339" s="222"/>
      <c r="H1339" s="221"/>
      <c r="I1339" s="223"/>
      <c r="J1339" s="237"/>
      <c r="K1339" s="223"/>
      <c r="L1339" s="236"/>
      <c r="M1339" s="222"/>
      <c r="N1339" s="224"/>
      <c r="O1339" s="222"/>
      <c r="P1339" s="224"/>
      <c r="Q1339" s="222"/>
      <c r="R1339" s="224"/>
      <c r="S1339" s="239"/>
      <c r="T1339" s="224"/>
      <c r="U1339" s="239"/>
      <c r="V1339" s="224"/>
      <c r="W1339" s="261"/>
    </row>
    <row r="1340" spans="1:23" x14ac:dyDescent="0.25">
      <c r="A1340" s="215"/>
      <c r="B1340" s="215"/>
      <c r="C1340" s="215"/>
      <c r="D1340" s="215"/>
      <c r="E1340" s="221"/>
      <c r="F1340" s="221"/>
      <c r="G1340" s="222"/>
      <c r="H1340" s="221"/>
      <c r="I1340" s="223"/>
      <c r="J1340" s="237"/>
      <c r="K1340" s="223"/>
      <c r="L1340" s="236"/>
      <c r="M1340" s="222"/>
      <c r="N1340" s="224"/>
      <c r="O1340" s="222"/>
      <c r="P1340" s="224"/>
      <c r="Q1340" s="222"/>
      <c r="R1340" s="224"/>
      <c r="S1340" s="239"/>
      <c r="T1340" s="224"/>
      <c r="U1340" s="239"/>
      <c r="V1340" s="224"/>
      <c r="W1340" s="261"/>
    </row>
    <row r="1341" spans="1:23" x14ac:dyDescent="0.25">
      <c r="A1341" s="215"/>
      <c r="B1341" s="215"/>
      <c r="C1341" s="215"/>
      <c r="D1341" s="215"/>
      <c r="E1341" s="221"/>
      <c r="F1341" s="221"/>
      <c r="G1341" s="222"/>
      <c r="H1341" s="221"/>
      <c r="I1341" s="223"/>
      <c r="J1341" s="237"/>
      <c r="K1341" s="223"/>
      <c r="L1341" s="236"/>
      <c r="M1341" s="222"/>
      <c r="N1341" s="224"/>
      <c r="O1341" s="222"/>
      <c r="P1341" s="224"/>
      <c r="Q1341" s="222"/>
      <c r="R1341" s="224"/>
      <c r="S1341" s="239"/>
      <c r="T1341" s="224"/>
      <c r="U1341" s="239"/>
      <c r="V1341" s="224"/>
      <c r="W1341" s="261"/>
    </row>
    <row r="1342" spans="1:23" x14ac:dyDescent="0.25">
      <c r="A1342" s="215"/>
      <c r="B1342" s="215"/>
      <c r="C1342" s="215"/>
      <c r="D1342" s="215"/>
      <c r="E1342" s="221"/>
      <c r="F1342" s="221"/>
      <c r="G1342" s="222"/>
      <c r="H1342" s="221"/>
      <c r="I1342" s="223"/>
      <c r="J1342" s="237"/>
      <c r="K1342" s="223"/>
      <c r="L1342" s="236"/>
      <c r="M1342" s="222"/>
      <c r="N1342" s="224"/>
      <c r="O1342" s="222"/>
      <c r="P1342" s="224"/>
      <c r="Q1342" s="222"/>
      <c r="R1342" s="224"/>
      <c r="S1342" s="239"/>
      <c r="T1342" s="224"/>
      <c r="U1342" s="239"/>
      <c r="V1342" s="224"/>
      <c r="W1342" s="261"/>
    </row>
    <row r="1343" spans="1:23" x14ac:dyDescent="0.25">
      <c r="A1343" s="215"/>
      <c r="B1343" s="215"/>
      <c r="C1343" s="215"/>
      <c r="D1343" s="215"/>
      <c r="E1343" s="221"/>
      <c r="F1343" s="221"/>
      <c r="G1343" s="222"/>
      <c r="H1343" s="221"/>
      <c r="I1343" s="223"/>
      <c r="J1343" s="237"/>
      <c r="K1343" s="223"/>
      <c r="L1343" s="236"/>
      <c r="M1343" s="222"/>
      <c r="N1343" s="224"/>
      <c r="O1343" s="222"/>
      <c r="P1343" s="224"/>
      <c r="Q1343" s="222"/>
      <c r="R1343" s="224"/>
      <c r="S1343" s="239"/>
      <c r="T1343" s="224"/>
      <c r="U1343" s="239"/>
      <c r="V1343" s="224"/>
      <c r="W1343" s="261"/>
    </row>
    <row r="1344" spans="1:23" x14ac:dyDescent="0.25">
      <c r="A1344" s="215"/>
      <c r="B1344" s="215"/>
      <c r="C1344" s="215"/>
      <c r="D1344" s="215"/>
      <c r="E1344" s="221"/>
      <c r="F1344" s="221"/>
      <c r="G1344" s="222"/>
      <c r="H1344" s="221"/>
      <c r="I1344" s="223"/>
      <c r="J1344" s="237"/>
      <c r="K1344" s="223"/>
      <c r="L1344" s="236"/>
      <c r="M1344" s="222"/>
      <c r="N1344" s="224"/>
      <c r="O1344" s="222"/>
      <c r="P1344" s="224"/>
      <c r="Q1344" s="222"/>
      <c r="R1344" s="224"/>
      <c r="S1344" s="239"/>
      <c r="T1344" s="224"/>
      <c r="U1344" s="239"/>
      <c r="V1344" s="224"/>
      <c r="W1344" s="261"/>
    </row>
    <row r="1345" spans="1:23" x14ac:dyDescent="0.25">
      <c r="A1345" s="215"/>
      <c r="B1345" s="215"/>
      <c r="C1345" s="215"/>
      <c r="D1345" s="215"/>
      <c r="E1345" s="221"/>
      <c r="F1345" s="221"/>
      <c r="G1345" s="222"/>
      <c r="H1345" s="221"/>
      <c r="I1345" s="223"/>
      <c r="J1345" s="237"/>
      <c r="K1345" s="223"/>
      <c r="L1345" s="236"/>
      <c r="M1345" s="222"/>
      <c r="N1345" s="224"/>
      <c r="O1345" s="222"/>
      <c r="P1345" s="224"/>
      <c r="Q1345" s="222"/>
      <c r="R1345" s="224"/>
      <c r="S1345" s="239"/>
      <c r="T1345" s="224"/>
      <c r="U1345" s="239"/>
      <c r="V1345" s="224"/>
      <c r="W1345" s="261"/>
    </row>
    <row r="1346" spans="1:23" x14ac:dyDescent="0.25">
      <c r="A1346" s="215"/>
      <c r="B1346" s="215"/>
      <c r="C1346" s="215"/>
      <c r="D1346" s="215"/>
      <c r="E1346" s="221"/>
      <c r="F1346" s="221"/>
      <c r="G1346" s="222"/>
      <c r="H1346" s="221"/>
      <c r="I1346" s="223"/>
      <c r="J1346" s="237"/>
      <c r="K1346" s="223"/>
      <c r="L1346" s="236"/>
      <c r="M1346" s="222"/>
      <c r="N1346" s="224"/>
      <c r="O1346" s="222"/>
      <c r="P1346" s="224"/>
      <c r="Q1346" s="222"/>
      <c r="R1346" s="224"/>
      <c r="S1346" s="239"/>
      <c r="T1346" s="224"/>
      <c r="U1346" s="239"/>
      <c r="V1346" s="224"/>
      <c r="W1346" s="261"/>
    </row>
    <row r="1347" spans="1:23" x14ac:dyDescent="0.25">
      <c r="A1347" s="215"/>
      <c r="B1347" s="215"/>
      <c r="C1347" s="215"/>
      <c r="D1347" s="215"/>
      <c r="E1347" s="221"/>
      <c r="F1347" s="221"/>
      <c r="G1347" s="222"/>
      <c r="H1347" s="221"/>
      <c r="I1347" s="223"/>
      <c r="J1347" s="237"/>
      <c r="K1347" s="223"/>
      <c r="L1347" s="236"/>
      <c r="M1347" s="222"/>
      <c r="N1347" s="224"/>
      <c r="O1347" s="222"/>
      <c r="P1347" s="224"/>
      <c r="Q1347" s="222"/>
      <c r="R1347" s="224"/>
      <c r="S1347" s="239"/>
      <c r="T1347" s="224"/>
      <c r="U1347" s="239"/>
      <c r="V1347" s="224"/>
      <c r="W1347" s="261"/>
    </row>
    <row r="1348" spans="1:23" x14ac:dyDescent="0.25">
      <c r="A1348" s="215"/>
      <c r="B1348" s="215"/>
      <c r="C1348" s="215"/>
      <c r="D1348" s="215"/>
      <c r="E1348" s="221"/>
      <c r="F1348" s="221"/>
      <c r="G1348" s="222"/>
      <c r="H1348" s="221"/>
      <c r="I1348" s="223"/>
      <c r="J1348" s="237"/>
      <c r="K1348" s="223"/>
      <c r="L1348" s="236"/>
      <c r="M1348" s="222"/>
      <c r="N1348" s="224"/>
      <c r="O1348" s="222"/>
      <c r="P1348" s="224"/>
      <c r="Q1348" s="222"/>
      <c r="R1348" s="224"/>
      <c r="S1348" s="239"/>
      <c r="T1348" s="224"/>
      <c r="U1348" s="239"/>
      <c r="V1348" s="224"/>
      <c r="W1348" s="261"/>
    </row>
    <row r="1349" spans="1:23" x14ac:dyDescent="0.25">
      <c r="A1349" s="215"/>
      <c r="B1349" s="215"/>
      <c r="C1349" s="215"/>
      <c r="D1349" s="215"/>
      <c r="E1349" s="221"/>
      <c r="F1349" s="221"/>
      <c r="G1349" s="222"/>
      <c r="H1349" s="221"/>
      <c r="I1349" s="223"/>
      <c r="J1349" s="237"/>
      <c r="K1349" s="223"/>
      <c r="L1349" s="236"/>
      <c r="M1349" s="222"/>
      <c r="N1349" s="224"/>
      <c r="O1349" s="222"/>
      <c r="P1349" s="224"/>
      <c r="Q1349" s="222"/>
      <c r="R1349" s="224"/>
      <c r="S1349" s="239"/>
      <c r="T1349" s="224"/>
      <c r="U1349" s="239"/>
      <c r="V1349" s="224"/>
      <c r="W1349" s="261"/>
    </row>
    <row r="1350" spans="1:23" x14ac:dyDescent="0.25">
      <c r="A1350" s="215"/>
      <c r="B1350" s="215"/>
      <c r="C1350" s="215"/>
      <c r="D1350" s="215"/>
      <c r="E1350" s="221"/>
      <c r="F1350" s="221"/>
      <c r="G1350" s="222"/>
      <c r="H1350" s="221"/>
      <c r="I1350" s="223"/>
      <c r="J1350" s="237"/>
      <c r="K1350" s="223"/>
      <c r="L1350" s="236"/>
      <c r="M1350" s="222"/>
      <c r="N1350" s="224"/>
      <c r="O1350" s="222"/>
      <c r="P1350" s="224"/>
      <c r="Q1350" s="222"/>
      <c r="R1350" s="224"/>
      <c r="S1350" s="239"/>
      <c r="T1350" s="224"/>
      <c r="U1350" s="239"/>
      <c r="V1350" s="224"/>
      <c r="W1350" s="261"/>
    </row>
    <row r="1351" spans="1:23" x14ac:dyDescent="0.25">
      <c r="A1351" s="215"/>
      <c r="B1351" s="215"/>
      <c r="C1351" s="215"/>
      <c r="D1351" s="215"/>
      <c r="E1351" s="221"/>
      <c r="F1351" s="221"/>
      <c r="G1351" s="222"/>
      <c r="H1351" s="221"/>
      <c r="I1351" s="223"/>
      <c r="J1351" s="237"/>
      <c r="K1351" s="223"/>
      <c r="L1351" s="236"/>
      <c r="M1351" s="222"/>
      <c r="N1351" s="224"/>
      <c r="O1351" s="222"/>
      <c r="P1351" s="224"/>
      <c r="Q1351" s="222"/>
      <c r="R1351" s="224"/>
      <c r="S1351" s="239"/>
      <c r="T1351" s="224"/>
      <c r="U1351" s="239"/>
      <c r="V1351" s="224"/>
      <c r="W1351" s="261"/>
    </row>
    <row r="1352" spans="1:23" x14ac:dyDescent="0.25">
      <c r="A1352" s="215"/>
      <c r="B1352" s="215"/>
      <c r="C1352" s="215"/>
      <c r="D1352" s="215"/>
      <c r="E1352" s="221"/>
      <c r="F1352" s="221"/>
      <c r="G1352" s="222"/>
      <c r="H1352" s="221"/>
      <c r="I1352" s="223"/>
      <c r="J1352" s="237"/>
      <c r="K1352" s="223"/>
      <c r="L1352" s="236"/>
      <c r="M1352" s="222"/>
      <c r="N1352" s="224"/>
      <c r="O1352" s="222"/>
      <c r="P1352" s="224"/>
      <c r="Q1352" s="222"/>
      <c r="R1352" s="224"/>
      <c r="S1352" s="239"/>
      <c r="T1352" s="224"/>
      <c r="U1352" s="239"/>
      <c r="V1352" s="224"/>
      <c r="W1352" s="261"/>
    </row>
    <row r="1353" spans="1:23" x14ac:dyDescent="0.25">
      <c r="A1353" s="215"/>
      <c r="B1353" s="215"/>
      <c r="C1353" s="215"/>
      <c r="D1353" s="215"/>
      <c r="E1353" s="221"/>
      <c r="F1353" s="221"/>
      <c r="G1353" s="222"/>
      <c r="H1353" s="221"/>
      <c r="I1353" s="223"/>
      <c r="J1353" s="237"/>
      <c r="K1353" s="223"/>
      <c r="L1353" s="236"/>
      <c r="M1353" s="222"/>
      <c r="N1353" s="224"/>
      <c r="O1353" s="222"/>
      <c r="P1353" s="224"/>
      <c r="Q1353" s="222"/>
      <c r="R1353" s="224"/>
      <c r="S1353" s="239"/>
      <c r="T1353" s="224"/>
      <c r="U1353" s="239"/>
      <c r="V1353" s="224"/>
      <c r="W1353" s="261"/>
    </row>
    <row r="1354" spans="1:23" x14ac:dyDescent="0.25">
      <c r="A1354" s="215"/>
      <c r="B1354" s="215"/>
      <c r="C1354" s="215"/>
      <c r="D1354" s="215"/>
      <c r="E1354" s="221"/>
      <c r="F1354" s="221"/>
      <c r="G1354" s="222"/>
      <c r="H1354" s="221"/>
      <c r="I1354" s="223"/>
      <c r="J1354" s="237"/>
      <c r="K1354" s="223"/>
      <c r="L1354" s="236"/>
      <c r="M1354" s="222"/>
      <c r="N1354" s="224"/>
      <c r="O1354" s="222"/>
      <c r="P1354" s="224"/>
      <c r="Q1354" s="222"/>
      <c r="R1354" s="224"/>
      <c r="S1354" s="239"/>
      <c r="T1354" s="224"/>
      <c r="U1354" s="239"/>
      <c r="V1354" s="224"/>
      <c r="W1354" s="261"/>
    </row>
    <row r="1355" spans="1:23" x14ac:dyDescent="0.25">
      <c r="A1355" s="215"/>
      <c r="B1355" s="215"/>
      <c r="C1355" s="215"/>
      <c r="D1355" s="215"/>
      <c r="E1355" s="221"/>
      <c r="F1355" s="221"/>
      <c r="G1355" s="222"/>
      <c r="H1355" s="221"/>
      <c r="I1355" s="223"/>
      <c r="J1355" s="237"/>
      <c r="K1355" s="223"/>
      <c r="L1355" s="236"/>
      <c r="M1355" s="222"/>
      <c r="N1355" s="224"/>
      <c r="O1355" s="222"/>
      <c r="P1355" s="224"/>
      <c r="Q1355" s="222"/>
      <c r="R1355" s="224"/>
      <c r="S1355" s="239"/>
      <c r="T1355" s="224"/>
      <c r="U1355" s="239"/>
      <c r="V1355" s="224"/>
      <c r="W1355" s="261"/>
    </row>
    <row r="1356" spans="1:23" x14ac:dyDescent="0.25">
      <c r="A1356" s="215"/>
      <c r="B1356" s="215"/>
      <c r="C1356" s="215"/>
      <c r="D1356" s="215"/>
      <c r="E1356" s="221"/>
      <c r="F1356" s="221"/>
      <c r="G1356" s="222"/>
      <c r="H1356" s="221"/>
      <c r="I1356" s="223"/>
      <c r="J1356" s="237"/>
      <c r="K1356" s="223"/>
      <c r="L1356" s="236"/>
      <c r="M1356" s="222"/>
      <c r="N1356" s="224"/>
      <c r="O1356" s="222"/>
      <c r="P1356" s="224"/>
      <c r="Q1356" s="222"/>
      <c r="R1356" s="224"/>
      <c r="S1356" s="239"/>
      <c r="T1356" s="224"/>
      <c r="U1356" s="239"/>
      <c r="V1356" s="224"/>
      <c r="W1356" s="261"/>
    </row>
    <row r="1357" spans="1:23" x14ac:dyDescent="0.25">
      <c r="A1357" s="215"/>
      <c r="B1357" s="215"/>
      <c r="C1357" s="215"/>
      <c r="D1357" s="215"/>
      <c r="E1357" s="221"/>
      <c r="F1357" s="221"/>
      <c r="G1357" s="222"/>
      <c r="H1357" s="221"/>
      <c r="I1357" s="223"/>
      <c r="J1357" s="237"/>
      <c r="K1357" s="223"/>
      <c r="L1357" s="236"/>
      <c r="M1357" s="222"/>
      <c r="N1357" s="224"/>
      <c r="O1357" s="222"/>
      <c r="P1357" s="224"/>
      <c r="Q1357" s="222"/>
      <c r="R1357" s="224"/>
      <c r="S1357" s="239"/>
      <c r="T1357" s="224"/>
      <c r="U1357" s="239"/>
      <c r="V1357" s="224"/>
      <c r="W1357" s="261"/>
    </row>
    <row r="1358" spans="1:23" x14ac:dyDescent="0.25">
      <c r="A1358" s="215"/>
      <c r="B1358" s="215"/>
      <c r="C1358" s="215"/>
      <c r="D1358" s="215"/>
      <c r="E1358" s="221"/>
      <c r="F1358" s="221"/>
      <c r="G1358" s="222"/>
      <c r="H1358" s="221"/>
      <c r="I1358" s="223"/>
      <c r="J1358" s="237"/>
      <c r="K1358" s="223"/>
      <c r="L1358" s="236"/>
      <c r="M1358" s="222"/>
      <c r="N1358" s="224"/>
      <c r="O1358" s="222"/>
      <c r="P1358" s="224"/>
      <c r="Q1358" s="222"/>
      <c r="R1358" s="224"/>
      <c r="S1358" s="239"/>
      <c r="T1358" s="224"/>
      <c r="U1358" s="239"/>
      <c r="V1358" s="224"/>
      <c r="W1358" s="261"/>
    </row>
    <row r="1359" spans="1:23" x14ac:dyDescent="0.25">
      <c r="A1359" s="215"/>
      <c r="B1359" s="215"/>
      <c r="C1359" s="215"/>
      <c r="D1359" s="215"/>
      <c r="E1359" s="221"/>
      <c r="F1359" s="221"/>
      <c r="G1359" s="222"/>
      <c r="H1359" s="221"/>
      <c r="I1359" s="223"/>
      <c r="J1359" s="237"/>
      <c r="K1359" s="223"/>
      <c r="L1359" s="236"/>
      <c r="M1359" s="222"/>
      <c r="N1359" s="224"/>
      <c r="O1359" s="222"/>
      <c r="P1359" s="224"/>
      <c r="Q1359" s="222"/>
      <c r="R1359" s="224"/>
      <c r="S1359" s="239"/>
      <c r="T1359" s="224"/>
      <c r="U1359" s="239"/>
      <c r="V1359" s="224"/>
      <c r="W1359" s="261"/>
    </row>
    <row r="1360" spans="1:23" x14ac:dyDescent="0.25">
      <c r="A1360" s="215"/>
      <c r="B1360" s="215"/>
      <c r="C1360" s="215"/>
      <c r="D1360" s="215"/>
      <c r="E1360" s="221"/>
      <c r="F1360" s="221"/>
      <c r="G1360" s="222"/>
      <c r="H1360" s="221"/>
      <c r="I1360" s="223"/>
      <c r="J1360" s="237"/>
      <c r="K1360" s="223"/>
      <c r="L1360" s="236"/>
      <c r="M1360" s="222"/>
      <c r="N1360" s="224"/>
      <c r="O1360" s="222"/>
      <c r="P1360" s="224"/>
      <c r="Q1360" s="222"/>
      <c r="R1360" s="224"/>
      <c r="S1360" s="239"/>
      <c r="T1360" s="224"/>
      <c r="U1360" s="239"/>
      <c r="V1360" s="224"/>
      <c r="W1360" s="261"/>
    </row>
    <row r="1361" spans="1:23" x14ac:dyDescent="0.25">
      <c r="A1361" s="215"/>
      <c r="B1361" s="215"/>
      <c r="C1361" s="215"/>
      <c r="D1361" s="215"/>
      <c r="E1361" s="221"/>
      <c r="F1361" s="221"/>
      <c r="G1361" s="222"/>
      <c r="H1361" s="221"/>
      <c r="I1361" s="223"/>
      <c r="J1361" s="237"/>
      <c r="K1361" s="223"/>
      <c r="L1361" s="236"/>
      <c r="M1361" s="222"/>
      <c r="N1361" s="224"/>
      <c r="O1361" s="222"/>
      <c r="P1361" s="224"/>
      <c r="Q1361" s="222"/>
      <c r="R1361" s="224"/>
      <c r="S1361" s="239"/>
      <c r="T1361" s="224"/>
      <c r="U1361" s="239"/>
      <c r="V1361" s="224"/>
      <c r="W1361" s="261"/>
    </row>
    <row r="1362" spans="1:23" x14ac:dyDescent="0.25">
      <c r="A1362" s="215"/>
      <c r="B1362" s="215"/>
      <c r="C1362" s="215"/>
      <c r="D1362" s="215"/>
      <c r="E1362" s="221"/>
      <c r="F1362" s="221"/>
      <c r="G1362" s="222"/>
      <c r="H1362" s="221"/>
      <c r="I1362" s="223"/>
      <c r="J1362" s="237"/>
      <c r="K1362" s="223"/>
      <c r="L1362" s="236"/>
      <c r="M1362" s="222"/>
      <c r="N1362" s="224"/>
      <c r="O1362" s="222"/>
      <c r="P1362" s="224"/>
      <c r="Q1362" s="222"/>
      <c r="R1362" s="224"/>
      <c r="S1362" s="239"/>
      <c r="T1362" s="224"/>
      <c r="U1362" s="239"/>
      <c r="V1362" s="224"/>
      <c r="W1362" s="261"/>
    </row>
    <row r="1363" spans="1:23" x14ac:dyDescent="0.25">
      <c r="A1363" s="215"/>
      <c r="B1363" s="215"/>
      <c r="C1363" s="215"/>
      <c r="D1363" s="215"/>
      <c r="E1363" s="221"/>
      <c r="F1363" s="221"/>
      <c r="G1363" s="222"/>
      <c r="H1363" s="221"/>
      <c r="I1363" s="223"/>
      <c r="J1363" s="237"/>
      <c r="K1363" s="223"/>
      <c r="L1363" s="236"/>
      <c r="M1363" s="222"/>
      <c r="N1363" s="224"/>
      <c r="O1363" s="222"/>
      <c r="P1363" s="224"/>
      <c r="Q1363" s="222"/>
      <c r="R1363" s="224"/>
      <c r="S1363" s="239"/>
      <c r="T1363" s="224"/>
      <c r="U1363" s="239"/>
      <c r="V1363" s="224"/>
      <c r="W1363" s="261"/>
    </row>
    <row r="1364" spans="1:23" x14ac:dyDescent="0.25">
      <c r="A1364" s="215"/>
      <c r="B1364" s="215"/>
      <c r="C1364" s="215"/>
      <c r="D1364" s="215"/>
      <c r="E1364" s="221"/>
      <c r="F1364" s="221"/>
      <c r="G1364" s="222"/>
      <c r="H1364" s="221"/>
      <c r="I1364" s="223"/>
      <c r="J1364" s="237"/>
      <c r="K1364" s="223"/>
      <c r="L1364" s="236"/>
      <c r="M1364" s="222"/>
      <c r="N1364" s="224"/>
      <c r="O1364" s="222"/>
      <c r="P1364" s="224"/>
      <c r="Q1364" s="222"/>
      <c r="R1364" s="224"/>
      <c r="S1364" s="239"/>
      <c r="T1364" s="224"/>
      <c r="U1364" s="239"/>
      <c r="V1364" s="224"/>
      <c r="W1364" s="261"/>
    </row>
    <row r="1365" spans="1:23" x14ac:dyDescent="0.25">
      <c r="A1365" s="215"/>
      <c r="B1365" s="215"/>
      <c r="C1365" s="215"/>
      <c r="D1365" s="215"/>
      <c r="E1365" s="221"/>
      <c r="F1365" s="221"/>
      <c r="G1365" s="222"/>
      <c r="H1365" s="221"/>
      <c r="I1365" s="223"/>
      <c r="J1365" s="237"/>
      <c r="K1365" s="223"/>
      <c r="L1365" s="236"/>
      <c r="M1365" s="222"/>
      <c r="N1365" s="224"/>
      <c r="O1365" s="222"/>
      <c r="P1365" s="224"/>
      <c r="Q1365" s="222"/>
      <c r="R1365" s="224"/>
      <c r="S1365" s="239"/>
      <c r="T1365" s="224"/>
      <c r="U1365" s="239"/>
      <c r="V1365" s="224"/>
      <c r="W1365" s="261"/>
    </row>
    <row r="1366" spans="1:23" x14ac:dyDescent="0.25">
      <c r="A1366" s="215"/>
      <c r="B1366" s="215"/>
      <c r="C1366" s="215"/>
      <c r="D1366" s="215"/>
      <c r="E1366" s="221"/>
      <c r="F1366" s="221"/>
      <c r="G1366" s="222"/>
      <c r="H1366" s="221"/>
      <c r="I1366" s="223"/>
      <c r="J1366" s="237"/>
      <c r="K1366" s="223"/>
      <c r="L1366" s="236"/>
      <c r="M1366" s="222"/>
      <c r="N1366" s="224"/>
      <c r="O1366" s="222"/>
      <c r="P1366" s="224"/>
      <c r="Q1366" s="222"/>
      <c r="R1366" s="224"/>
      <c r="S1366" s="239"/>
      <c r="T1366" s="224"/>
      <c r="U1366" s="239"/>
      <c r="V1366" s="224"/>
      <c r="W1366" s="261"/>
    </row>
    <row r="1367" spans="1:23" x14ac:dyDescent="0.25">
      <c r="A1367" s="215"/>
      <c r="B1367" s="215"/>
      <c r="C1367" s="215"/>
      <c r="D1367" s="215"/>
      <c r="E1367" s="221"/>
      <c r="F1367" s="221"/>
      <c r="G1367" s="222"/>
      <c r="H1367" s="221"/>
      <c r="I1367" s="223"/>
      <c r="J1367" s="237"/>
      <c r="K1367" s="223"/>
      <c r="L1367" s="236"/>
      <c r="M1367" s="222"/>
      <c r="N1367" s="224"/>
      <c r="O1367" s="222"/>
      <c r="P1367" s="224"/>
      <c r="Q1367" s="222"/>
      <c r="R1367" s="224"/>
      <c r="S1367" s="239"/>
      <c r="T1367" s="224"/>
      <c r="U1367" s="239"/>
      <c r="V1367" s="224"/>
      <c r="W1367" s="261"/>
    </row>
    <row r="1368" spans="1:23" x14ac:dyDescent="0.25">
      <c r="A1368" s="215"/>
      <c r="B1368" s="215"/>
      <c r="C1368" s="215"/>
      <c r="D1368" s="215"/>
      <c r="E1368" s="221"/>
      <c r="F1368" s="221"/>
      <c r="G1368" s="222"/>
      <c r="H1368" s="221"/>
      <c r="I1368" s="223"/>
      <c r="J1368" s="237"/>
      <c r="K1368" s="223"/>
      <c r="L1368" s="236"/>
      <c r="M1368" s="222"/>
      <c r="N1368" s="224"/>
      <c r="O1368" s="222"/>
      <c r="P1368" s="224"/>
      <c r="Q1368" s="222"/>
      <c r="R1368" s="224"/>
      <c r="S1368" s="239"/>
      <c r="T1368" s="224"/>
      <c r="U1368" s="239"/>
      <c r="V1368" s="224"/>
      <c r="W1368" s="261"/>
    </row>
    <row r="1369" spans="1:23" x14ac:dyDescent="0.25">
      <c r="A1369" s="215"/>
      <c r="B1369" s="215"/>
      <c r="C1369" s="215"/>
      <c r="D1369" s="215"/>
      <c r="E1369" s="221"/>
      <c r="F1369" s="221"/>
      <c r="G1369" s="222"/>
      <c r="H1369" s="221"/>
      <c r="I1369" s="223"/>
      <c r="J1369" s="237"/>
      <c r="K1369" s="223"/>
      <c r="L1369" s="236"/>
      <c r="M1369" s="222"/>
      <c r="N1369" s="224"/>
      <c r="O1369" s="222"/>
      <c r="P1369" s="224"/>
      <c r="Q1369" s="222"/>
      <c r="R1369" s="224"/>
      <c r="S1369" s="239"/>
      <c r="T1369" s="224"/>
      <c r="U1369" s="239"/>
      <c r="V1369" s="224"/>
      <c r="W1369" s="261"/>
    </row>
    <row r="1370" spans="1:23" x14ac:dyDescent="0.25">
      <c r="A1370" s="215"/>
      <c r="B1370" s="215"/>
      <c r="C1370" s="215"/>
      <c r="D1370" s="215"/>
      <c r="E1370" s="221"/>
      <c r="F1370" s="221"/>
      <c r="G1370" s="222"/>
      <c r="H1370" s="221"/>
      <c r="I1370" s="223"/>
      <c r="J1370" s="237"/>
      <c r="K1370" s="223"/>
      <c r="L1370" s="236"/>
      <c r="M1370" s="222"/>
      <c r="N1370" s="224"/>
      <c r="O1370" s="222"/>
      <c r="P1370" s="224"/>
      <c r="Q1370" s="222"/>
      <c r="R1370" s="224"/>
      <c r="S1370" s="239"/>
      <c r="T1370" s="224"/>
      <c r="U1370" s="239"/>
      <c r="V1370" s="224"/>
      <c r="W1370" s="261"/>
    </row>
    <row r="1371" spans="1:23" x14ac:dyDescent="0.25">
      <c r="A1371" s="215"/>
      <c r="B1371" s="215"/>
      <c r="C1371" s="215"/>
      <c r="D1371" s="215"/>
      <c r="E1371" s="221"/>
      <c r="F1371" s="221"/>
      <c r="G1371" s="222"/>
      <c r="H1371" s="221"/>
      <c r="I1371" s="223"/>
      <c r="J1371" s="237"/>
      <c r="K1371" s="223"/>
      <c r="L1371" s="236"/>
      <c r="M1371" s="222"/>
      <c r="N1371" s="224"/>
      <c r="O1371" s="222"/>
      <c r="P1371" s="224"/>
      <c r="Q1371" s="222"/>
      <c r="R1371" s="224"/>
      <c r="S1371" s="239"/>
      <c r="T1371" s="224"/>
      <c r="U1371" s="239"/>
      <c r="V1371" s="224"/>
      <c r="W1371" s="261"/>
    </row>
    <row r="1372" spans="1:23" x14ac:dyDescent="0.25">
      <c r="A1372" s="215"/>
      <c r="B1372" s="215"/>
      <c r="C1372" s="215"/>
      <c r="D1372" s="215"/>
      <c r="E1372" s="221"/>
      <c r="F1372" s="221"/>
      <c r="G1372" s="222"/>
      <c r="H1372" s="221"/>
      <c r="I1372" s="223"/>
      <c r="J1372" s="237"/>
      <c r="K1372" s="223"/>
      <c r="L1372" s="236"/>
      <c r="M1372" s="222"/>
      <c r="N1372" s="224"/>
      <c r="O1372" s="222"/>
      <c r="P1372" s="224"/>
      <c r="Q1372" s="222"/>
      <c r="R1372" s="224"/>
      <c r="S1372" s="239"/>
      <c r="T1372" s="224"/>
      <c r="U1372" s="239"/>
      <c r="V1372" s="224"/>
      <c r="W1372" s="261"/>
    </row>
    <row r="1373" spans="1:23" x14ac:dyDescent="0.25">
      <c r="A1373" s="215"/>
      <c r="B1373" s="215"/>
      <c r="C1373" s="215"/>
      <c r="D1373" s="215"/>
      <c r="E1373" s="221"/>
      <c r="F1373" s="221"/>
      <c r="G1373" s="222"/>
      <c r="H1373" s="221"/>
      <c r="I1373" s="223"/>
      <c r="J1373" s="237"/>
      <c r="K1373" s="223"/>
      <c r="L1373" s="236"/>
      <c r="M1373" s="222"/>
      <c r="N1373" s="224"/>
      <c r="O1373" s="222"/>
      <c r="P1373" s="224"/>
      <c r="Q1373" s="222"/>
      <c r="R1373" s="224"/>
      <c r="S1373" s="239"/>
      <c r="T1373" s="224"/>
      <c r="U1373" s="239"/>
      <c r="V1373" s="224"/>
      <c r="W1373" s="261"/>
    </row>
    <row r="1374" spans="1:23" x14ac:dyDescent="0.25">
      <c r="A1374" s="215"/>
      <c r="B1374" s="215"/>
      <c r="C1374" s="215"/>
      <c r="D1374" s="215"/>
      <c r="E1374" s="221"/>
      <c r="F1374" s="221"/>
      <c r="G1374" s="222"/>
      <c r="H1374" s="221"/>
      <c r="I1374" s="223"/>
      <c r="J1374" s="237"/>
      <c r="K1374" s="223"/>
      <c r="L1374" s="236"/>
      <c r="M1374" s="222"/>
      <c r="N1374" s="224"/>
      <c r="O1374" s="222"/>
      <c r="P1374" s="224"/>
      <c r="Q1374" s="222"/>
      <c r="R1374" s="224"/>
      <c r="S1374" s="239"/>
      <c r="T1374" s="224"/>
      <c r="U1374" s="239"/>
      <c r="V1374" s="224"/>
      <c r="W1374" s="261"/>
    </row>
    <row r="1375" spans="1:23" x14ac:dyDescent="0.25">
      <c r="A1375" s="215"/>
      <c r="B1375" s="215"/>
      <c r="C1375" s="215"/>
      <c r="D1375" s="215"/>
      <c r="E1375" s="221"/>
      <c r="F1375" s="221"/>
      <c r="G1375" s="222"/>
      <c r="H1375" s="221"/>
      <c r="I1375" s="223"/>
      <c r="J1375" s="237"/>
      <c r="K1375" s="223"/>
      <c r="L1375" s="236"/>
      <c r="M1375" s="222"/>
      <c r="N1375" s="224"/>
      <c r="O1375" s="222"/>
      <c r="P1375" s="224"/>
      <c r="Q1375" s="222"/>
      <c r="R1375" s="224"/>
      <c r="S1375" s="239"/>
      <c r="T1375" s="224"/>
      <c r="U1375" s="239"/>
      <c r="V1375" s="224"/>
      <c r="W1375" s="261"/>
    </row>
    <row r="1376" spans="1:23" x14ac:dyDescent="0.25">
      <c r="A1376" s="215"/>
      <c r="B1376" s="215"/>
      <c r="C1376" s="215"/>
      <c r="D1376" s="215"/>
      <c r="E1376" s="221"/>
      <c r="F1376" s="221"/>
      <c r="G1376" s="222"/>
      <c r="H1376" s="221"/>
      <c r="I1376" s="223"/>
      <c r="J1376" s="237"/>
      <c r="K1376" s="223"/>
      <c r="L1376" s="236"/>
      <c r="M1376" s="222"/>
      <c r="N1376" s="224"/>
      <c r="O1376" s="222"/>
      <c r="P1376" s="224"/>
      <c r="Q1376" s="222"/>
      <c r="R1376" s="224"/>
      <c r="S1376" s="239"/>
      <c r="T1376" s="224"/>
      <c r="U1376" s="239"/>
      <c r="V1376" s="224"/>
      <c r="W1376" s="261"/>
    </row>
    <row r="1377" spans="1:23" x14ac:dyDescent="0.25">
      <c r="A1377" s="215"/>
      <c r="B1377" s="215"/>
      <c r="C1377" s="215"/>
      <c r="D1377" s="215"/>
      <c r="E1377" s="221"/>
      <c r="F1377" s="221"/>
      <c r="G1377" s="222"/>
      <c r="H1377" s="221"/>
      <c r="I1377" s="223"/>
      <c r="J1377" s="237"/>
      <c r="K1377" s="223"/>
      <c r="L1377" s="236"/>
      <c r="M1377" s="222"/>
      <c r="N1377" s="224"/>
      <c r="O1377" s="222"/>
      <c r="P1377" s="224"/>
      <c r="Q1377" s="222"/>
      <c r="R1377" s="224"/>
      <c r="S1377" s="239"/>
      <c r="T1377" s="224"/>
      <c r="U1377" s="239"/>
      <c r="V1377" s="224"/>
      <c r="W1377" s="261"/>
    </row>
    <row r="1378" spans="1:23" x14ac:dyDescent="0.25">
      <c r="A1378" s="215"/>
      <c r="B1378" s="215"/>
      <c r="C1378" s="215"/>
      <c r="D1378" s="215"/>
      <c r="E1378" s="221"/>
      <c r="F1378" s="221"/>
      <c r="G1378" s="222"/>
      <c r="H1378" s="221"/>
      <c r="I1378" s="223"/>
      <c r="J1378" s="237"/>
      <c r="K1378" s="223"/>
      <c r="L1378" s="236"/>
      <c r="M1378" s="222"/>
      <c r="N1378" s="224"/>
      <c r="O1378" s="222"/>
      <c r="P1378" s="224"/>
      <c r="Q1378" s="222"/>
      <c r="R1378" s="224"/>
      <c r="S1378" s="239"/>
      <c r="T1378" s="224"/>
      <c r="U1378" s="239"/>
      <c r="V1378" s="224"/>
      <c r="W1378" s="261"/>
    </row>
    <row r="1379" spans="1:23" x14ac:dyDescent="0.25">
      <c r="A1379" s="215"/>
      <c r="B1379" s="215"/>
      <c r="C1379" s="215"/>
      <c r="D1379" s="215"/>
      <c r="E1379" s="221"/>
      <c r="F1379" s="221"/>
      <c r="G1379" s="222"/>
      <c r="H1379" s="221"/>
      <c r="I1379" s="223"/>
      <c r="J1379" s="237"/>
      <c r="K1379" s="223"/>
      <c r="L1379" s="236"/>
      <c r="M1379" s="222"/>
      <c r="N1379" s="224"/>
      <c r="O1379" s="222"/>
      <c r="P1379" s="224"/>
      <c r="Q1379" s="222"/>
      <c r="R1379" s="224"/>
      <c r="S1379" s="239"/>
      <c r="T1379" s="224"/>
      <c r="U1379" s="239"/>
      <c r="V1379" s="224"/>
      <c r="W1379" s="261"/>
    </row>
    <row r="1380" spans="1:23" x14ac:dyDescent="0.25">
      <c r="A1380" s="215"/>
      <c r="B1380" s="215"/>
      <c r="C1380" s="215"/>
      <c r="D1380" s="215"/>
      <c r="E1380" s="221"/>
      <c r="F1380" s="221"/>
      <c r="G1380" s="222"/>
      <c r="H1380" s="221"/>
      <c r="I1380" s="223"/>
      <c r="J1380" s="237"/>
      <c r="K1380" s="223"/>
      <c r="L1380" s="236"/>
      <c r="M1380" s="222"/>
      <c r="N1380" s="224"/>
      <c r="O1380" s="222"/>
      <c r="P1380" s="224"/>
      <c r="Q1380" s="222"/>
      <c r="R1380" s="224"/>
      <c r="S1380" s="239"/>
      <c r="T1380" s="224"/>
      <c r="U1380" s="239"/>
      <c r="V1380" s="224"/>
      <c r="W1380" s="261"/>
    </row>
    <row r="1381" spans="1:23" x14ac:dyDescent="0.25">
      <c r="A1381" s="215"/>
      <c r="B1381" s="215"/>
      <c r="C1381" s="215"/>
      <c r="D1381" s="215"/>
      <c r="E1381" s="221"/>
      <c r="F1381" s="221"/>
      <c r="G1381" s="222"/>
      <c r="H1381" s="221"/>
      <c r="I1381" s="223"/>
      <c r="J1381" s="237"/>
      <c r="K1381" s="223"/>
      <c r="L1381" s="236"/>
      <c r="M1381" s="222"/>
      <c r="N1381" s="224"/>
      <c r="O1381" s="222"/>
      <c r="P1381" s="224"/>
      <c r="Q1381" s="222"/>
      <c r="R1381" s="224"/>
      <c r="S1381" s="239"/>
      <c r="T1381" s="224"/>
      <c r="U1381" s="239"/>
      <c r="V1381" s="224"/>
      <c r="W1381" s="261"/>
    </row>
    <row r="1382" spans="1:23" x14ac:dyDescent="0.25">
      <c r="A1382" s="215"/>
      <c r="B1382" s="215"/>
      <c r="C1382" s="215"/>
      <c r="D1382" s="215"/>
      <c r="E1382" s="221"/>
      <c r="F1382" s="221"/>
      <c r="G1382" s="222"/>
      <c r="H1382" s="221"/>
      <c r="I1382" s="223"/>
      <c r="J1382" s="237"/>
      <c r="K1382" s="223"/>
      <c r="L1382" s="236"/>
      <c r="M1382" s="222"/>
      <c r="N1382" s="224"/>
      <c r="O1382" s="222"/>
      <c r="P1382" s="224"/>
      <c r="Q1382" s="222"/>
      <c r="R1382" s="224"/>
      <c r="S1382" s="239"/>
      <c r="T1382" s="224"/>
      <c r="U1382" s="239"/>
      <c r="V1382" s="224"/>
      <c r="W1382" s="261"/>
    </row>
    <row r="1383" spans="1:23" x14ac:dyDescent="0.25">
      <c r="A1383" s="215"/>
      <c r="B1383" s="215"/>
      <c r="C1383" s="215"/>
      <c r="D1383" s="215"/>
      <c r="E1383" s="221"/>
      <c r="F1383" s="221"/>
      <c r="G1383" s="222"/>
      <c r="H1383" s="221"/>
      <c r="I1383" s="223"/>
      <c r="J1383" s="237"/>
      <c r="K1383" s="223"/>
      <c r="L1383" s="236"/>
      <c r="M1383" s="222"/>
      <c r="N1383" s="224"/>
      <c r="O1383" s="222"/>
      <c r="P1383" s="224"/>
      <c r="Q1383" s="222"/>
      <c r="R1383" s="224"/>
      <c r="S1383" s="239"/>
      <c r="T1383" s="224"/>
      <c r="U1383" s="239"/>
      <c r="V1383" s="224"/>
      <c r="W1383" s="261"/>
    </row>
    <row r="1384" spans="1:23" x14ac:dyDescent="0.25">
      <c r="A1384" s="215"/>
      <c r="B1384" s="215"/>
      <c r="C1384" s="215"/>
      <c r="D1384" s="215"/>
      <c r="E1384" s="221"/>
      <c r="F1384" s="221"/>
      <c r="G1384" s="222"/>
      <c r="H1384" s="221"/>
      <c r="I1384" s="223"/>
      <c r="J1384" s="237"/>
      <c r="K1384" s="223"/>
      <c r="L1384" s="236"/>
      <c r="M1384" s="222"/>
      <c r="N1384" s="224"/>
      <c r="O1384" s="222"/>
      <c r="P1384" s="224"/>
      <c r="Q1384" s="222"/>
      <c r="R1384" s="224"/>
      <c r="S1384" s="239"/>
      <c r="T1384" s="224"/>
      <c r="U1384" s="239"/>
      <c r="V1384" s="224"/>
      <c r="W1384" s="261"/>
    </row>
    <row r="1385" spans="1:23" x14ac:dyDescent="0.25">
      <c r="A1385" s="215"/>
      <c r="B1385" s="215"/>
      <c r="C1385" s="215"/>
      <c r="D1385" s="215"/>
      <c r="E1385" s="221"/>
      <c r="F1385" s="221"/>
      <c r="G1385" s="222"/>
      <c r="H1385" s="221"/>
      <c r="I1385" s="223"/>
      <c r="J1385" s="237"/>
      <c r="K1385" s="223"/>
      <c r="L1385" s="236"/>
      <c r="M1385" s="222"/>
      <c r="N1385" s="224"/>
      <c r="O1385" s="222"/>
      <c r="P1385" s="224"/>
      <c r="Q1385" s="222"/>
      <c r="R1385" s="224"/>
      <c r="S1385" s="239"/>
      <c r="T1385" s="224"/>
      <c r="U1385" s="239"/>
      <c r="V1385" s="224"/>
      <c r="W1385" s="261"/>
    </row>
    <row r="1386" spans="1:23" x14ac:dyDescent="0.25">
      <c r="A1386" s="215"/>
      <c r="B1386" s="215"/>
      <c r="C1386" s="215"/>
      <c r="D1386" s="215"/>
      <c r="E1386" s="221"/>
      <c r="F1386" s="221"/>
      <c r="G1386" s="222"/>
      <c r="H1386" s="221"/>
      <c r="I1386" s="223"/>
      <c r="J1386" s="237"/>
      <c r="K1386" s="223"/>
      <c r="L1386" s="236"/>
      <c r="M1386" s="222"/>
      <c r="N1386" s="224"/>
      <c r="O1386" s="222"/>
      <c r="P1386" s="224"/>
      <c r="Q1386" s="222"/>
      <c r="R1386" s="224"/>
      <c r="S1386" s="239"/>
      <c r="T1386" s="224"/>
      <c r="U1386" s="239"/>
      <c r="V1386" s="224"/>
      <c r="W1386" s="261"/>
    </row>
    <row r="1387" spans="1:23" x14ac:dyDescent="0.25">
      <c r="A1387" s="215"/>
      <c r="B1387" s="215"/>
      <c r="C1387" s="215"/>
      <c r="D1387" s="215"/>
      <c r="E1387" s="221"/>
      <c r="F1387" s="221"/>
      <c r="G1387" s="222"/>
      <c r="H1387" s="221"/>
      <c r="I1387" s="223"/>
      <c r="J1387" s="237"/>
      <c r="K1387" s="223"/>
      <c r="L1387" s="236"/>
      <c r="M1387" s="222"/>
      <c r="N1387" s="224"/>
      <c r="O1387" s="222"/>
      <c r="P1387" s="224"/>
      <c r="Q1387" s="222"/>
      <c r="R1387" s="224"/>
      <c r="S1387" s="239"/>
      <c r="T1387" s="224"/>
      <c r="U1387" s="239"/>
      <c r="V1387" s="224"/>
      <c r="W1387" s="261"/>
    </row>
    <row r="1388" spans="1:23" x14ac:dyDescent="0.25">
      <c r="A1388" s="215"/>
      <c r="B1388" s="215"/>
      <c r="C1388" s="215"/>
      <c r="D1388" s="215"/>
      <c r="E1388" s="221"/>
      <c r="F1388" s="221"/>
      <c r="G1388" s="222"/>
      <c r="H1388" s="221"/>
      <c r="I1388" s="223"/>
      <c r="J1388" s="237"/>
      <c r="K1388" s="223"/>
      <c r="L1388" s="236"/>
      <c r="M1388" s="222"/>
      <c r="N1388" s="224"/>
      <c r="O1388" s="222"/>
      <c r="P1388" s="224"/>
      <c r="Q1388" s="222"/>
      <c r="R1388" s="224"/>
      <c r="S1388" s="239"/>
      <c r="T1388" s="224"/>
      <c r="U1388" s="239"/>
      <c r="V1388" s="224"/>
      <c r="W1388" s="261"/>
    </row>
    <row r="1389" spans="1:23" x14ac:dyDescent="0.25">
      <c r="A1389" s="215"/>
      <c r="B1389" s="215"/>
      <c r="C1389" s="215"/>
      <c r="D1389" s="215"/>
      <c r="E1389" s="221"/>
      <c r="F1389" s="221"/>
      <c r="G1389" s="222"/>
      <c r="H1389" s="221"/>
      <c r="I1389" s="223"/>
      <c r="J1389" s="237"/>
      <c r="K1389" s="223"/>
      <c r="L1389" s="236"/>
      <c r="M1389" s="222"/>
      <c r="N1389" s="224"/>
      <c r="O1389" s="222"/>
      <c r="P1389" s="224"/>
      <c r="Q1389" s="222"/>
      <c r="R1389" s="224"/>
      <c r="S1389" s="239"/>
      <c r="T1389" s="224"/>
      <c r="U1389" s="239"/>
      <c r="V1389" s="224"/>
      <c r="W1389" s="261"/>
    </row>
    <row r="1390" spans="1:23" x14ac:dyDescent="0.25">
      <c r="A1390" s="215"/>
      <c r="B1390" s="215"/>
      <c r="C1390" s="215"/>
      <c r="D1390" s="215"/>
      <c r="E1390" s="221"/>
      <c r="F1390" s="221"/>
      <c r="G1390" s="222"/>
      <c r="H1390" s="221"/>
      <c r="I1390" s="223"/>
      <c r="J1390" s="237"/>
      <c r="K1390" s="223"/>
      <c r="L1390" s="236"/>
      <c r="M1390" s="222"/>
      <c r="N1390" s="224"/>
      <c r="O1390" s="222"/>
      <c r="P1390" s="224"/>
      <c r="Q1390" s="222"/>
      <c r="R1390" s="224"/>
      <c r="S1390" s="239"/>
      <c r="T1390" s="224"/>
      <c r="U1390" s="239"/>
      <c r="V1390" s="224"/>
      <c r="W1390" s="261"/>
    </row>
    <row r="1391" spans="1:23" x14ac:dyDescent="0.25">
      <c r="A1391" s="215"/>
      <c r="B1391" s="215"/>
      <c r="C1391" s="215"/>
      <c r="D1391" s="215"/>
      <c r="E1391" s="221"/>
      <c r="F1391" s="221"/>
      <c r="G1391" s="222"/>
      <c r="H1391" s="221"/>
      <c r="I1391" s="223"/>
      <c r="J1391" s="237"/>
      <c r="K1391" s="223"/>
      <c r="L1391" s="236"/>
      <c r="M1391" s="222"/>
      <c r="N1391" s="224"/>
      <c r="O1391" s="222"/>
      <c r="P1391" s="224"/>
      <c r="Q1391" s="222"/>
      <c r="R1391" s="224"/>
      <c r="S1391" s="239"/>
      <c r="T1391" s="224"/>
      <c r="U1391" s="239"/>
      <c r="V1391" s="224"/>
      <c r="W1391" s="261"/>
    </row>
    <row r="1392" spans="1:23" x14ac:dyDescent="0.25">
      <c r="A1392" s="215"/>
      <c r="B1392" s="215"/>
      <c r="C1392" s="215"/>
      <c r="D1392" s="215"/>
      <c r="E1392" s="221"/>
      <c r="F1392" s="221"/>
      <c r="G1392" s="222"/>
      <c r="H1392" s="221"/>
      <c r="I1392" s="223"/>
      <c r="J1392" s="237"/>
      <c r="K1392" s="223"/>
      <c r="L1392" s="236"/>
      <c r="M1392" s="222"/>
      <c r="N1392" s="224"/>
      <c r="O1392" s="222"/>
      <c r="P1392" s="224"/>
      <c r="Q1392" s="222"/>
      <c r="R1392" s="224"/>
      <c r="S1392" s="239"/>
      <c r="T1392" s="224"/>
      <c r="U1392" s="239"/>
      <c r="V1392" s="224"/>
      <c r="W1392" s="261"/>
    </row>
    <row r="1393" spans="1:23" x14ac:dyDescent="0.25">
      <c r="A1393" s="215"/>
      <c r="B1393" s="215"/>
      <c r="C1393" s="215"/>
      <c r="D1393" s="215"/>
      <c r="E1393" s="221"/>
      <c r="F1393" s="221"/>
      <c r="G1393" s="222"/>
      <c r="H1393" s="221"/>
      <c r="I1393" s="223"/>
      <c r="J1393" s="237"/>
      <c r="K1393" s="223"/>
      <c r="L1393" s="236"/>
      <c r="M1393" s="222"/>
      <c r="N1393" s="224"/>
      <c r="O1393" s="222"/>
      <c r="P1393" s="224"/>
      <c r="Q1393" s="222"/>
      <c r="R1393" s="224"/>
      <c r="S1393" s="239"/>
      <c r="T1393" s="224"/>
      <c r="U1393" s="239"/>
      <c r="V1393" s="224"/>
      <c r="W1393" s="261"/>
    </row>
    <row r="1394" spans="1:23" x14ac:dyDescent="0.25">
      <c r="A1394" s="215"/>
      <c r="B1394" s="215"/>
      <c r="C1394" s="215"/>
      <c r="D1394" s="215"/>
      <c r="E1394" s="221"/>
      <c r="F1394" s="221"/>
      <c r="G1394" s="222"/>
      <c r="H1394" s="221"/>
      <c r="I1394" s="223"/>
      <c r="J1394" s="237"/>
      <c r="K1394" s="223"/>
      <c r="L1394" s="236"/>
      <c r="M1394" s="222"/>
      <c r="N1394" s="224"/>
      <c r="O1394" s="222"/>
      <c r="P1394" s="224"/>
      <c r="Q1394" s="222"/>
      <c r="R1394" s="224"/>
      <c r="S1394" s="239"/>
      <c r="T1394" s="224"/>
      <c r="U1394" s="239"/>
      <c r="V1394" s="224"/>
      <c r="W1394" s="261"/>
    </row>
    <row r="1395" spans="1:23" x14ac:dyDescent="0.25">
      <c r="A1395" s="215"/>
      <c r="B1395" s="215"/>
      <c r="C1395" s="215"/>
      <c r="D1395" s="215"/>
      <c r="E1395" s="221"/>
      <c r="F1395" s="221"/>
      <c r="G1395" s="222"/>
      <c r="H1395" s="221"/>
      <c r="I1395" s="223"/>
      <c r="J1395" s="237"/>
      <c r="K1395" s="223"/>
      <c r="L1395" s="236"/>
      <c r="M1395" s="222"/>
      <c r="N1395" s="224"/>
      <c r="O1395" s="222"/>
      <c r="P1395" s="224"/>
      <c r="Q1395" s="222"/>
      <c r="R1395" s="224"/>
      <c r="S1395" s="239"/>
      <c r="T1395" s="224"/>
      <c r="U1395" s="239"/>
      <c r="V1395" s="224"/>
      <c r="W1395" s="261"/>
    </row>
    <row r="1396" spans="1:23" x14ac:dyDescent="0.25">
      <c r="A1396" s="215"/>
      <c r="B1396" s="215"/>
      <c r="C1396" s="215"/>
      <c r="D1396" s="215"/>
      <c r="E1396" s="221"/>
      <c r="F1396" s="221"/>
      <c r="G1396" s="222"/>
      <c r="H1396" s="221"/>
      <c r="I1396" s="223"/>
      <c r="J1396" s="237"/>
      <c r="K1396" s="223"/>
      <c r="L1396" s="236"/>
      <c r="M1396" s="222"/>
      <c r="N1396" s="224"/>
      <c r="O1396" s="222"/>
      <c r="P1396" s="224"/>
      <c r="Q1396" s="222"/>
      <c r="R1396" s="224"/>
      <c r="S1396" s="239"/>
      <c r="T1396" s="224"/>
      <c r="U1396" s="239"/>
      <c r="V1396" s="224"/>
      <c r="W1396" s="261"/>
    </row>
    <row r="1397" spans="1:23" x14ac:dyDescent="0.25">
      <c r="A1397" s="215"/>
      <c r="B1397" s="215"/>
      <c r="C1397" s="215"/>
      <c r="D1397" s="215"/>
      <c r="E1397" s="221"/>
      <c r="F1397" s="221"/>
      <c r="G1397" s="222"/>
      <c r="H1397" s="221"/>
      <c r="I1397" s="223"/>
      <c r="J1397" s="237"/>
      <c r="K1397" s="223"/>
      <c r="L1397" s="236"/>
      <c r="M1397" s="222"/>
      <c r="N1397" s="224"/>
      <c r="O1397" s="222"/>
      <c r="P1397" s="224"/>
      <c r="Q1397" s="222"/>
      <c r="R1397" s="224"/>
      <c r="S1397" s="239"/>
      <c r="T1397" s="224"/>
      <c r="U1397" s="239"/>
      <c r="V1397" s="224"/>
      <c r="W1397" s="261"/>
    </row>
    <row r="1398" spans="1:23" x14ac:dyDescent="0.25">
      <c r="A1398" s="215"/>
      <c r="B1398" s="215"/>
      <c r="C1398" s="215"/>
      <c r="D1398" s="215"/>
      <c r="E1398" s="221"/>
      <c r="F1398" s="221"/>
      <c r="G1398" s="222"/>
      <c r="H1398" s="221"/>
      <c r="I1398" s="223"/>
      <c r="J1398" s="237"/>
      <c r="K1398" s="223"/>
      <c r="L1398" s="236"/>
      <c r="M1398" s="222"/>
      <c r="N1398" s="224"/>
      <c r="O1398" s="222"/>
      <c r="P1398" s="224"/>
      <c r="Q1398" s="222"/>
      <c r="R1398" s="224"/>
      <c r="S1398" s="239"/>
      <c r="T1398" s="224"/>
      <c r="U1398" s="239"/>
      <c r="V1398" s="224"/>
      <c r="W1398" s="261"/>
    </row>
    <row r="1399" spans="1:23" x14ac:dyDescent="0.25">
      <c r="A1399" s="215"/>
      <c r="B1399" s="215"/>
      <c r="C1399" s="215"/>
      <c r="D1399" s="215"/>
      <c r="E1399" s="221"/>
      <c r="F1399" s="221"/>
      <c r="G1399" s="222"/>
      <c r="H1399" s="221"/>
      <c r="I1399" s="223"/>
      <c r="J1399" s="237"/>
      <c r="K1399" s="223"/>
      <c r="L1399" s="236"/>
      <c r="M1399" s="222"/>
      <c r="N1399" s="224"/>
      <c r="O1399" s="222"/>
      <c r="P1399" s="224"/>
      <c r="Q1399" s="222"/>
      <c r="R1399" s="224"/>
      <c r="S1399" s="239"/>
      <c r="T1399" s="224"/>
      <c r="U1399" s="239"/>
      <c r="V1399" s="224"/>
      <c r="W1399" s="261"/>
    </row>
    <row r="1400" spans="1:23" x14ac:dyDescent="0.25">
      <c r="A1400" s="215"/>
      <c r="B1400" s="215"/>
      <c r="C1400" s="215"/>
      <c r="D1400" s="215"/>
      <c r="E1400" s="221"/>
      <c r="F1400" s="221"/>
      <c r="G1400" s="222"/>
      <c r="H1400" s="221"/>
      <c r="I1400" s="223"/>
      <c r="J1400" s="237"/>
      <c r="K1400" s="223"/>
      <c r="L1400" s="236"/>
      <c r="M1400" s="222"/>
      <c r="N1400" s="224"/>
      <c r="O1400" s="222"/>
      <c r="P1400" s="224"/>
      <c r="Q1400" s="222"/>
      <c r="R1400" s="224"/>
      <c r="S1400" s="239"/>
      <c r="T1400" s="224"/>
      <c r="U1400" s="239"/>
      <c r="V1400" s="224"/>
      <c r="W1400" s="261"/>
    </row>
    <row r="1401" spans="1:23" x14ac:dyDescent="0.25">
      <c r="A1401" s="215"/>
      <c r="B1401" s="215"/>
      <c r="C1401" s="215"/>
      <c r="D1401" s="215"/>
      <c r="E1401" s="221"/>
      <c r="F1401" s="221"/>
      <c r="G1401" s="222"/>
      <c r="H1401" s="221"/>
      <c r="I1401" s="223"/>
      <c r="J1401" s="237"/>
      <c r="K1401" s="223"/>
      <c r="L1401" s="236"/>
      <c r="M1401" s="222"/>
      <c r="N1401" s="224"/>
      <c r="O1401" s="222"/>
      <c r="P1401" s="224"/>
      <c r="Q1401" s="222"/>
      <c r="R1401" s="224"/>
      <c r="S1401" s="239"/>
      <c r="T1401" s="224"/>
      <c r="U1401" s="239"/>
      <c r="V1401" s="224"/>
      <c r="W1401" s="261"/>
    </row>
    <row r="1402" spans="1:23" x14ac:dyDescent="0.25">
      <c r="A1402" s="215"/>
      <c r="B1402" s="215"/>
      <c r="C1402" s="215"/>
      <c r="D1402" s="215"/>
      <c r="E1402" s="221"/>
      <c r="F1402" s="221"/>
      <c r="G1402" s="222"/>
      <c r="H1402" s="221"/>
      <c r="I1402" s="223"/>
      <c r="J1402" s="237"/>
      <c r="K1402" s="223"/>
      <c r="L1402" s="236"/>
      <c r="M1402" s="222"/>
      <c r="N1402" s="224"/>
      <c r="O1402" s="222"/>
      <c r="P1402" s="224"/>
      <c r="Q1402" s="222"/>
      <c r="R1402" s="224"/>
      <c r="S1402" s="239"/>
      <c r="T1402" s="224"/>
      <c r="U1402" s="239"/>
      <c r="V1402" s="224"/>
      <c r="W1402" s="261"/>
    </row>
    <row r="1403" spans="1:23" x14ac:dyDescent="0.25">
      <c r="A1403" s="215"/>
      <c r="B1403" s="215"/>
      <c r="C1403" s="215"/>
      <c r="D1403" s="215"/>
      <c r="E1403" s="221"/>
      <c r="F1403" s="221"/>
      <c r="G1403" s="222"/>
      <c r="H1403" s="221"/>
      <c r="I1403" s="223"/>
      <c r="J1403" s="237"/>
      <c r="K1403" s="223"/>
      <c r="L1403" s="236"/>
      <c r="M1403" s="222"/>
      <c r="N1403" s="224"/>
      <c r="O1403" s="222"/>
      <c r="P1403" s="224"/>
      <c r="Q1403" s="222"/>
      <c r="R1403" s="224"/>
      <c r="S1403" s="239"/>
      <c r="T1403" s="224"/>
      <c r="U1403" s="239"/>
      <c r="V1403" s="224"/>
      <c r="W1403" s="261"/>
    </row>
    <row r="1404" spans="1:23" x14ac:dyDescent="0.25">
      <c r="A1404" s="215"/>
      <c r="B1404" s="215"/>
      <c r="C1404" s="215"/>
      <c r="D1404" s="215"/>
      <c r="E1404" s="221"/>
      <c r="F1404" s="221"/>
      <c r="G1404" s="222"/>
      <c r="H1404" s="221"/>
      <c r="I1404" s="223"/>
      <c r="J1404" s="237"/>
      <c r="K1404" s="223"/>
      <c r="L1404" s="236"/>
      <c r="M1404" s="222"/>
      <c r="N1404" s="224"/>
      <c r="O1404" s="222"/>
      <c r="P1404" s="224"/>
      <c r="Q1404" s="222"/>
      <c r="R1404" s="224"/>
      <c r="S1404" s="239"/>
      <c r="T1404" s="224"/>
      <c r="U1404" s="239"/>
      <c r="V1404" s="224"/>
      <c r="W1404" s="261"/>
    </row>
    <row r="1405" spans="1:23" x14ac:dyDescent="0.25">
      <c r="A1405" s="215"/>
      <c r="B1405" s="215"/>
      <c r="C1405" s="215"/>
      <c r="D1405" s="215"/>
      <c r="E1405" s="221"/>
      <c r="F1405" s="221"/>
      <c r="G1405" s="222"/>
      <c r="H1405" s="221"/>
      <c r="I1405" s="223"/>
      <c r="J1405" s="237"/>
      <c r="K1405" s="223"/>
      <c r="L1405" s="236"/>
      <c r="M1405" s="222"/>
      <c r="N1405" s="224"/>
      <c r="O1405" s="222"/>
      <c r="P1405" s="224"/>
      <c r="Q1405" s="222"/>
      <c r="R1405" s="224"/>
      <c r="S1405" s="239"/>
      <c r="T1405" s="224"/>
      <c r="U1405" s="239"/>
      <c r="V1405" s="224"/>
      <c r="W1405" s="261"/>
    </row>
    <row r="1406" spans="1:23" x14ac:dyDescent="0.25">
      <c r="A1406" s="215"/>
      <c r="B1406" s="215"/>
      <c r="C1406" s="215"/>
      <c r="D1406" s="215"/>
      <c r="E1406" s="221"/>
      <c r="F1406" s="221"/>
      <c r="G1406" s="222"/>
      <c r="H1406" s="221"/>
      <c r="I1406" s="223"/>
      <c r="J1406" s="237"/>
      <c r="K1406" s="223"/>
      <c r="L1406" s="236"/>
      <c r="M1406" s="222"/>
      <c r="N1406" s="224"/>
      <c r="O1406" s="222"/>
      <c r="P1406" s="224"/>
      <c r="Q1406" s="222"/>
      <c r="R1406" s="224"/>
      <c r="S1406" s="239"/>
      <c r="T1406" s="224"/>
      <c r="U1406" s="239"/>
      <c r="V1406" s="224"/>
      <c r="W1406" s="261"/>
    </row>
    <row r="1407" spans="1:23" x14ac:dyDescent="0.25">
      <c r="A1407" s="215"/>
      <c r="B1407" s="215"/>
      <c r="C1407" s="215"/>
      <c r="D1407" s="215"/>
      <c r="E1407" s="221"/>
      <c r="F1407" s="221"/>
      <c r="G1407" s="222"/>
      <c r="H1407" s="221"/>
      <c r="I1407" s="223"/>
      <c r="J1407" s="237"/>
      <c r="K1407" s="223"/>
      <c r="L1407" s="236"/>
      <c r="M1407" s="222"/>
      <c r="N1407" s="224"/>
      <c r="O1407" s="222"/>
      <c r="P1407" s="224"/>
      <c r="Q1407" s="222"/>
      <c r="R1407" s="224"/>
      <c r="S1407" s="239"/>
      <c r="T1407" s="224"/>
      <c r="U1407" s="239"/>
      <c r="V1407" s="224"/>
      <c r="W1407" s="261"/>
    </row>
    <row r="1408" spans="1:23" x14ac:dyDescent="0.25">
      <c r="A1408" s="215"/>
      <c r="B1408" s="215"/>
      <c r="C1408" s="215"/>
      <c r="D1408" s="215"/>
      <c r="E1408" s="221"/>
      <c r="F1408" s="221"/>
      <c r="G1408" s="222"/>
      <c r="H1408" s="221"/>
      <c r="I1408" s="223"/>
      <c r="J1408" s="237"/>
      <c r="K1408" s="223"/>
      <c r="L1408" s="236"/>
      <c r="M1408" s="222"/>
      <c r="N1408" s="224"/>
      <c r="O1408" s="222"/>
      <c r="P1408" s="224"/>
      <c r="Q1408" s="222"/>
      <c r="R1408" s="224"/>
      <c r="S1408" s="239"/>
      <c r="T1408" s="224"/>
      <c r="U1408" s="239"/>
      <c r="V1408" s="224"/>
      <c r="W1408" s="261"/>
    </row>
    <row r="1409" spans="1:23" x14ac:dyDescent="0.25">
      <c r="A1409" s="215"/>
      <c r="B1409" s="215"/>
      <c r="C1409" s="215"/>
      <c r="D1409" s="215"/>
      <c r="E1409" s="221"/>
      <c r="F1409" s="221"/>
      <c r="G1409" s="222"/>
      <c r="H1409" s="221"/>
      <c r="I1409" s="223"/>
      <c r="J1409" s="237"/>
      <c r="K1409" s="223"/>
      <c r="L1409" s="236"/>
      <c r="M1409" s="222"/>
      <c r="N1409" s="224"/>
      <c r="O1409" s="222"/>
      <c r="P1409" s="224"/>
      <c r="Q1409" s="222"/>
      <c r="R1409" s="224"/>
      <c r="S1409" s="239"/>
      <c r="T1409" s="224"/>
      <c r="U1409" s="239"/>
      <c r="V1409" s="224"/>
      <c r="W1409" s="261"/>
    </row>
    <row r="1410" spans="1:23" x14ac:dyDescent="0.25">
      <c r="A1410" s="215"/>
      <c r="B1410" s="215"/>
      <c r="C1410" s="215"/>
      <c r="D1410" s="215"/>
      <c r="E1410" s="221"/>
      <c r="F1410" s="221"/>
      <c r="G1410" s="222"/>
      <c r="H1410" s="221"/>
      <c r="I1410" s="223"/>
      <c r="J1410" s="237"/>
      <c r="K1410" s="223"/>
      <c r="L1410" s="236"/>
      <c r="M1410" s="222"/>
      <c r="N1410" s="224"/>
      <c r="O1410" s="222"/>
      <c r="P1410" s="224"/>
      <c r="Q1410" s="222"/>
      <c r="R1410" s="224"/>
      <c r="S1410" s="239"/>
      <c r="T1410" s="224"/>
      <c r="U1410" s="239"/>
      <c r="V1410" s="224"/>
      <c r="W1410" s="261"/>
    </row>
    <row r="1411" spans="1:23" x14ac:dyDescent="0.25">
      <c r="A1411" s="215"/>
      <c r="B1411" s="215"/>
      <c r="C1411" s="215"/>
      <c r="D1411" s="215"/>
      <c r="E1411" s="221"/>
      <c r="F1411" s="221"/>
      <c r="G1411" s="222"/>
      <c r="H1411" s="221"/>
      <c r="I1411" s="223"/>
      <c r="J1411" s="237"/>
      <c r="K1411" s="223"/>
      <c r="L1411" s="236"/>
      <c r="M1411" s="222"/>
      <c r="N1411" s="224"/>
      <c r="O1411" s="222"/>
      <c r="P1411" s="224"/>
      <c r="Q1411" s="222"/>
      <c r="R1411" s="224"/>
      <c r="S1411" s="239"/>
      <c r="T1411" s="224"/>
      <c r="U1411" s="239"/>
      <c r="V1411" s="224"/>
      <c r="W1411" s="261"/>
    </row>
    <row r="1412" spans="1:23" x14ac:dyDescent="0.25">
      <c r="A1412" s="215"/>
      <c r="B1412" s="215"/>
      <c r="C1412" s="215"/>
      <c r="D1412" s="215"/>
      <c r="E1412" s="221"/>
      <c r="F1412" s="221"/>
      <c r="G1412" s="222"/>
      <c r="H1412" s="221"/>
      <c r="I1412" s="223"/>
      <c r="J1412" s="237"/>
      <c r="K1412" s="223"/>
      <c r="L1412" s="236"/>
      <c r="M1412" s="222"/>
      <c r="N1412" s="224"/>
      <c r="O1412" s="222"/>
      <c r="P1412" s="224"/>
      <c r="Q1412" s="222"/>
      <c r="R1412" s="224"/>
      <c r="S1412" s="239"/>
      <c r="T1412" s="224"/>
      <c r="U1412" s="239"/>
      <c r="V1412" s="224"/>
      <c r="W1412" s="261"/>
    </row>
    <row r="1413" spans="1:23" x14ac:dyDescent="0.25">
      <c r="A1413" s="215"/>
      <c r="B1413" s="215"/>
      <c r="C1413" s="215"/>
      <c r="D1413" s="215"/>
      <c r="E1413" s="221"/>
      <c r="F1413" s="221"/>
      <c r="G1413" s="222"/>
      <c r="H1413" s="221"/>
      <c r="I1413" s="223"/>
      <c r="J1413" s="237"/>
      <c r="K1413" s="223"/>
      <c r="L1413" s="236"/>
      <c r="M1413" s="222"/>
      <c r="N1413" s="224"/>
      <c r="O1413" s="222"/>
      <c r="P1413" s="224"/>
      <c r="Q1413" s="222"/>
      <c r="R1413" s="224"/>
      <c r="S1413" s="239"/>
      <c r="T1413" s="224"/>
      <c r="U1413" s="239"/>
      <c r="V1413" s="224"/>
      <c r="W1413" s="261"/>
    </row>
    <row r="1414" spans="1:23" x14ac:dyDescent="0.25">
      <c r="A1414" s="215"/>
      <c r="B1414" s="215"/>
      <c r="C1414" s="215"/>
      <c r="D1414" s="215"/>
      <c r="E1414" s="221"/>
      <c r="F1414" s="221"/>
      <c r="G1414" s="222"/>
      <c r="H1414" s="221"/>
      <c r="I1414" s="223"/>
      <c r="J1414" s="237"/>
      <c r="K1414" s="223"/>
      <c r="L1414" s="236"/>
      <c r="M1414" s="222"/>
      <c r="N1414" s="224"/>
      <c r="O1414" s="222"/>
      <c r="P1414" s="224"/>
      <c r="Q1414" s="222"/>
      <c r="R1414" s="224"/>
      <c r="S1414" s="239"/>
      <c r="T1414" s="224"/>
      <c r="U1414" s="239"/>
      <c r="V1414" s="224"/>
      <c r="W1414" s="261"/>
    </row>
    <row r="1415" spans="1:23" x14ac:dyDescent="0.25">
      <c r="A1415" s="215"/>
      <c r="B1415" s="215"/>
      <c r="C1415" s="215"/>
      <c r="D1415" s="215"/>
      <c r="E1415" s="221"/>
      <c r="F1415" s="221"/>
      <c r="G1415" s="222"/>
      <c r="H1415" s="221"/>
      <c r="I1415" s="223"/>
      <c r="J1415" s="237"/>
      <c r="K1415" s="223"/>
      <c r="L1415" s="236"/>
      <c r="M1415" s="222"/>
      <c r="N1415" s="224"/>
      <c r="O1415" s="222"/>
      <c r="P1415" s="224"/>
      <c r="Q1415" s="222"/>
      <c r="R1415" s="224"/>
      <c r="S1415" s="239"/>
      <c r="T1415" s="224"/>
      <c r="U1415" s="239"/>
      <c r="V1415" s="224"/>
      <c r="W1415" s="261"/>
    </row>
    <row r="1416" spans="1:23" x14ac:dyDescent="0.25">
      <c r="A1416" s="215"/>
      <c r="B1416" s="215"/>
      <c r="C1416" s="215"/>
      <c r="D1416" s="215"/>
      <c r="E1416" s="221"/>
      <c r="F1416" s="221"/>
      <c r="G1416" s="222"/>
      <c r="H1416" s="221"/>
      <c r="I1416" s="223"/>
      <c r="J1416" s="237"/>
      <c r="K1416" s="223"/>
      <c r="L1416" s="236"/>
      <c r="M1416" s="222"/>
      <c r="N1416" s="224"/>
      <c r="O1416" s="222"/>
      <c r="P1416" s="224"/>
      <c r="Q1416" s="222"/>
      <c r="R1416" s="224"/>
      <c r="S1416" s="239"/>
      <c r="T1416" s="224"/>
      <c r="U1416" s="239"/>
      <c r="V1416" s="224"/>
      <c r="W1416" s="261"/>
    </row>
    <row r="1417" spans="1:23" x14ac:dyDescent="0.25">
      <c r="A1417" s="215"/>
      <c r="B1417" s="215"/>
      <c r="C1417" s="215"/>
      <c r="D1417" s="215"/>
      <c r="E1417" s="221"/>
      <c r="F1417" s="221"/>
      <c r="G1417" s="222"/>
      <c r="H1417" s="221"/>
      <c r="I1417" s="223"/>
      <c r="J1417" s="237"/>
      <c r="K1417" s="223"/>
      <c r="L1417" s="236"/>
      <c r="M1417" s="222"/>
      <c r="N1417" s="224"/>
      <c r="O1417" s="222"/>
      <c r="P1417" s="224"/>
      <c r="Q1417" s="222"/>
      <c r="R1417" s="224"/>
      <c r="S1417" s="239"/>
      <c r="T1417" s="224"/>
      <c r="U1417" s="239"/>
      <c r="V1417" s="224"/>
      <c r="W1417" s="261"/>
    </row>
    <row r="1418" spans="1:23" x14ac:dyDescent="0.25">
      <c r="A1418" s="215"/>
      <c r="B1418" s="215"/>
      <c r="C1418" s="215"/>
      <c r="D1418" s="215"/>
      <c r="E1418" s="221"/>
      <c r="F1418" s="221"/>
      <c r="G1418" s="222"/>
      <c r="H1418" s="221"/>
      <c r="I1418" s="223"/>
      <c r="J1418" s="237"/>
      <c r="K1418" s="223"/>
      <c r="L1418" s="236"/>
      <c r="M1418" s="222"/>
      <c r="N1418" s="224"/>
      <c r="O1418" s="222"/>
      <c r="P1418" s="224"/>
      <c r="Q1418" s="222"/>
      <c r="R1418" s="224"/>
      <c r="S1418" s="239"/>
      <c r="T1418" s="224"/>
      <c r="U1418" s="239"/>
      <c r="V1418" s="224"/>
      <c r="W1418" s="261"/>
    </row>
    <row r="1419" spans="1:23" x14ac:dyDescent="0.25">
      <c r="A1419" s="215"/>
      <c r="B1419" s="215"/>
      <c r="C1419" s="215"/>
      <c r="D1419" s="215"/>
      <c r="E1419" s="221"/>
      <c r="F1419" s="221"/>
      <c r="G1419" s="222"/>
      <c r="H1419" s="221"/>
      <c r="I1419" s="223"/>
      <c r="J1419" s="237"/>
      <c r="K1419" s="223"/>
      <c r="L1419" s="236"/>
      <c r="M1419" s="222"/>
      <c r="N1419" s="224"/>
      <c r="O1419" s="222"/>
      <c r="P1419" s="224"/>
      <c r="Q1419" s="222"/>
      <c r="R1419" s="224"/>
      <c r="S1419" s="239"/>
      <c r="T1419" s="224"/>
      <c r="U1419" s="239"/>
      <c r="V1419" s="224"/>
      <c r="W1419" s="261"/>
    </row>
    <row r="1420" spans="1:23" x14ac:dyDescent="0.25">
      <c r="A1420" s="215"/>
      <c r="B1420" s="215"/>
      <c r="C1420" s="215"/>
      <c r="D1420" s="215"/>
      <c r="E1420" s="221"/>
      <c r="F1420" s="221"/>
      <c r="G1420" s="222"/>
      <c r="H1420" s="221"/>
      <c r="I1420" s="223"/>
      <c r="J1420" s="237"/>
      <c r="K1420" s="223"/>
      <c r="L1420" s="236"/>
      <c r="M1420" s="222"/>
      <c r="N1420" s="224"/>
      <c r="O1420" s="222"/>
      <c r="P1420" s="224"/>
      <c r="Q1420" s="222"/>
      <c r="R1420" s="224"/>
      <c r="S1420" s="239"/>
      <c r="T1420" s="224"/>
      <c r="U1420" s="239"/>
      <c r="V1420" s="224"/>
      <c r="W1420" s="261"/>
    </row>
    <row r="1421" spans="1:23" x14ac:dyDescent="0.25">
      <c r="A1421" s="215"/>
      <c r="B1421" s="215"/>
      <c r="C1421" s="215"/>
      <c r="D1421" s="215"/>
      <c r="E1421" s="221"/>
      <c r="F1421" s="221"/>
      <c r="G1421" s="222"/>
      <c r="H1421" s="221"/>
      <c r="I1421" s="223"/>
      <c r="J1421" s="237"/>
      <c r="K1421" s="223"/>
      <c r="L1421" s="236"/>
      <c r="M1421" s="222"/>
      <c r="N1421" s="224"/>
      <c r="O1421" s="222"/>
      <c r="P1421" s="224"/>
      <c r="Q1421" s="222"/>
      <c r="R1421" s="224"/>
      <c r="S1421" s="239"/>
      <c r="T1421" s="224"/>
      <c r="U1421" s="239"/>
      <c r="V1421" s="224"/>
      <c r="W1421" s="261"/>
    </row>
    <row r="1422" spans="1:23" x14ac:dyDescent="0.25">
      <c r="A1422" s="215"/>
      <c r="B1422" s="215"/>
      <c r="C1422" s="215"/>
      <c r="D1422" s="215"/>
      <c r="E1422" s="221"/>
      <c r="F1422" s="221"/>
      <c r="G1422" s="222"/>
      <c r="H1422" s="221"/>
      <c r="I1422" s="223"/>
      <c r="J1422" s="237"/>
      <c r="K1422" s="223"/>
      <c r="L1422" s="236"/>
      <c r="M1422" s="222"/>
      <c r="N1422" s="224"/>
      <c r="O1422" s="222"/>
      <c r="P1422" s="224"/>
      <c r="Q1422" s="222"/>
      <c r="R1422" s="224"/>
      <c r="S1422" s="239"/>
      <c r="T1422" s="224"/>
      <c r="U1422" s="239"/>
      <c r="V1422" s="224"/>
      <c r="W1422" s="261"/>
    </row>
    <row r="1423" spans="1:23" x14ac:dyDescent="0.25">
      <c r="A1423" s="215"/>
      <c r="B1423" s="215"/>
      <c r="C1423" s="215"/>
      <c r="D1423" s="215"/>
      <c r="E1423" s="221"/>
      <c r="F1423" s="221"/>
      <c r="G1423" s="222"/>
      <c r="H1423" s="221"/>
      <c r="I1423" s="223"/>
      <c r="J1423" s="237"/>
      <c r="K1423" s="223"/>
      <c r="L1423" s="236"/>
      <c r="M1423" s="222"/>
      <c r="N1423" s="224"/>
      <c r="O1423" s="222"/>
      <c r="P1423" s="224"/>
      <c r="Q1423" s="222"/>
      <c r="R1423" s="224"/>
      <c r="S1423" s="239"/>
      <c r="T1423" s="224"/>
      <c r="U1423" s="239"/>
      <c r="V1423" s="224"/>
      <c r="W1423" s="261"/>
    </row>
    <row r="1424" spans="1:23" x14ac:dyDescent="0.25">
      <c r="A1424" s="215"/>
      <c r="B1424" s="215"/>
      <c r="C1424" s="215"/>
      <c r="D1424" s="215"/>
      <c r="E1424" s="221"/>
      <c r="F1424" s="221"/>
      <c r="G1424" s="222"/>
      <c r="H1424" s="221"/>
      <c r="I1424" s="223"/>
      <c r="J1424" s="237"/>
      <c r="K1424" s="223"/>
      <c r="L1424" s="236"/>
      <c r="M1424" s="222"/>
      <c r="N1424" s="224"/>
      <c r="O1424" s="222"/>
      <c r="P1424" s="224"/>
      <c r="Q1424" s="222"/>
      <c r="R1424" s="224"/>
      <c r="S1424" s="239"/>
      <c r="T1424" s="224"/>
      <c r="U1424" s="239"/>
      <c r="V1424" s="224"/>
      <c r="W1424" s="261"/>
    </row>
    <row r="1425" spans="1:23" x14ac:dyDescent="0.25">
      <c r="A1425" s="215"/>
      <c r="B1425" s="215"/>
      <c r="C1425" s="215"/>
      <c r="D1425" s="215"/>
      <c r="E1425" s="221"/>
      <c r="F1425" s="221"/>
      <c r="G1425" s="222"/>
      <c r="H1425" s="221"/>
      <c r="I1425" s="223"/>
      <c r="J1425" s="237"/>
      <c r="K1425" s="223"/>
      <c r="L1425" s="236"/>
      <c r="M1425" s="222"/>
      <c r="N1425" s="224"/>
      <c r="O1425" s="222"/>
      <c r="P1425" s="224"/>
      <c r="Q1425" s="222"/>
      <c r="R1425" s="224"/>
      <c r="S1425" s="239"/>
      <c r="T1425" s="224"/>
      <c r="U1425" s="239"/>
      <c r="V1425" s="224"/>
      <c r="W1425" s="261"/>
    </row>
    <row r="1426" spans="1:23" x14ac:dyDescent="0.25">
      <c r="A1426" s="215"/>
      <c r="B1426" s="215"/>
      <c r="C1426" s="215"/>
      <c r="D1426" s="215"/>
      <c r="E1426" s="221"/>
      <c r="F1426" s="221"/>
      <c r="G1426" s="222"/>
      <c r="H1426" s="221"/>
      <c r="I1426" s="223"/>
      <c r="J1426" s="237"/>
      <c r="K1426" s="223"/>
      <c r="L1426" s="236"/>
      <c r="M1426" s="222"/>
      <c r="N1426" s="224"/>
      <c r="O1426" s="222"/>
      <c r="P1426" s="224"/>
      <c r="Q1426" s="222"/>
      <c r="R1426" s="224"/>
      <c r="S1426" s="239"/>
      <c r="T1426" s="224"/>
      <c r="U1426" s="239"/>
      <c r="V1426" s="224"/>
      <c r="W1426" s="261"/>
    </row>
    <row r="1427" spans="1:23" x14ac:dyDescent="0.25">
      <c r="A1427" s="215"/>
      <c r="B1427" s="215"/>
      <c r="C1427" s="215"/>
      <c r="D1427" s="215"/>
      <c r="E1427" s="221"/>
      <c r="F1427" s="221"/>
      <c r="G1427" s="222"/>
      <c r="H1427" s="221"/>
      <c r="I1427" s="223"/>
      <c r="J1427" s="237"/>
      <c r="K1427" s="223"/>
      <c r="L1427" s="236"/>
      <c r="M1427" s="222"/>
      <c r="N1427" s="224"/>
      <c r="O1427" s="222"/>
      <c r="P1427" s="224"/>
      <c r="Q1427" s="222"/>
      <c r="R1427" s="224"/>
      <c r="S1427" s="239"/>
      <c r="T1427" s="224"/>
      <c r="U1427" s="239"/>
      <c r="V1427" s="224"/>
      <c r="W1427" s="261"/>
    </row>
    <row r="1428" spans="1:23" x14ac:dyDescent="0.25">
      <c r="A1428" s="215"/>
      <c r="B1428" s="215"/>
      <c r="C1428" s="215"/>
      <c r="D1428" s="215"/>
      <c r="E1428" s="221"/>
      <c r="F1428" s="221"/>
      <c r="G1428" s="222"/>
      <c r="H1428" s="221"/>
      <c r="I1428" s="223"/>
      <c r="J1428" s="237"/>
      <c r="K1428" s="223"/>
      <c r="L1428" s="236"/>
      <c r="M1428" s="222"/>
      <c r="N1428" s="224"/>
      <c r="O1428" s="222"/>
      <c r="P1428" s="224"/>
      <c r="Q1428" s="222"/>
      <c r="R1428" s="224"/>
      <c r="S1428" s="239"/>
      <c r="T1428" s="224"/>
      <c r="U1428" s="239"/>
      <c r="V1428" s="224"/>
      <c r="W1428" s="261"/>
    </row>
    <row r="1429" spans="1:23" x14ac:dyDescent="0.25">
      <c r="A1429" s="215"/>
      <c r="B1429" s="215"/>
      <c r="C1429" s="215"/>
      <c r="D1429" s="215"/>
      <c r="E1429" s="221"/>
      <c r="F1429" s="221"/>
      <c r="G1429" s="222"/>
      <c r="H1429" s="221"/>
      <c r="I1429" s="223"/>
      <c r="J1429" s="237"/>
      <c r="K1429" s="223"/>
      <c r="L1429" s="236"/>
      <c r="M1429" s="222"/>
      <c r="N1429" s="224"/>
      <c r="O1429" s="222"/>
      <c r="P1429" s="224"/>
      <c r="Q1429" s="222"/>
      <c r="R1429" s="224"/>
      <c r="S1429" s="239"/>
      <c r="T1429" s="224"/>
      <c r="U1429" s="239"/>
      <c r="V1429" s="224"/>
      <c r="W1429" s="261"/>
    </row>
    <row r="1430" spans="1:23" x14ac:dyDescent="0.25">
      <c r="A1430" s="215"/>
      <c r="B1430" s="215"/>
      <c r="C1430" s="215"/>
      <c r="D1430" s="215"/>
      <c r="E1430" s="221"/>
      <c r="F1430" s="221"/>
      <c r="G1430" s="222"/>
      <c r="H1430" s="221"/>
      <c r="I1430" s="223"/>
      <c r="J1430" s="237"/>
      <c r="K1430" s="223"/>
      <c r="L1430" s="236"/>
      <c r="M1430" s="222"/>
      <c r="N1430" s="224"/>
      <c r="O1430" s="222"/>
      <c r="P1430" s="224"/>
      <c r="Q1430" s="222"/>
      <c r="R1430" s="224"/>
      <c r="S1430" s="239"/>
      <c r="T1430" s="224"/>
      <c r="U1430" s="239"/>
      <c r="V1430" s="224"/>
      <c r="W1430" s="261"/>
    </row>
    <row r="1431" spans="1:23" x14ac:dyDescent="0.25">
      <c r="A1431" s="215"/>
      <c r="B1431" s="215"/>
      <c r="C1431" s="215"/>
      <c r="D1431" s="215"/>
      <c r="E1431" s="221"/>
      <c r="F1431" s="221"/>
      <c r="G1431" s="222"/>
      <c r="H1431" s="221"/>
      <c r="I1431" s="223"/>
      <c r="J1431" s="237"/>
      <c r="K1431" s="223"/>
      <c r="L1431" s="236"/>
      <c r="M1431" s="222"/>
      <c r="N1431" s="224"/>
      <c r="O1431" s="222"/>
      <c r="P1431" s="224"/>
      <c r="Q1431" s="222"/>
      <c r="R1431" s="224"/>
      <c r="S1431" s="239"/>
      <c r="T1431" s="224"/>
      <c r="U1431" s="239"/>
      <c r="V1431" s="224"/>
      <c r="W1431" s="261"/>
    </row>
    <row r="1432" spans="1:23" x14ac:dyDescent="0.25">
      <c r="A1432" s="215"/>
      <c r="B1432" s="215"/>
      <c r="C1432" s="215"/>
      <c r="D1432" s="215"/>
      <c r="E1432" s="221"/>
      <c r="F1432" s="221"/>
      <c r="G1432" s="222"/>
      <c r="H1432" s="221"/>
      <c r="I1432" s="223"/>
      <c r="J1432" s="237"/>
      <c r="K1432" s="223"/>
      <c r="L1432" s="236"/>
      <c r="M1432" s="222"/>
      <c r="N1432" s="224"/>
      <c r="O1432" s="222"/>
      <c r="P1432" s="224"/>
      <c r="Q1432" s="222"/>
      <c r="R1432" s="224"/>
      <c r="S1432" s="239"/>
      <c r="T1432" s="224"/>
      <c r="U1432" s="239"/>
      <c r="V1432" s="224"/>
      <c r="W1432" s="261"/>
    </row>
    <row r="1433" spans="1:23" x14ac:dyDescent="0.25">
      <c r="A1433" s="215"/>
      <c r="B1433" s="215"/>
      <c r="C1433" s="215"/>
      <c r="D1433" s="215"/>
      <c r="E1433" s="221"/>
      <c r="F1433" s="221"/>
      <c r="G1433" s="222"/>
      <c r="H1433" s="221"/>
      <c r="I1433" s="223"/>
      <c r="J1433" s="237"/>
      <c r="K1433" s="223"/>
      <c r="L1433" s="236"/>
      <c r="M1433" s="222"/>
      <c r="N1433" s="224"/>
      <c r="O1433" s="222"/>
      <c r="P1433" s="224"/>
      <c r="Q1433" s="222"/>
      <c r="R1433" s="224"/>
      <c r="S1433" s="239"/>
      <c r="T1433" s="224"/>
      <c r="U1433" s="239"/>
      <c r="V1433" s="224"/>
      <c r="W1433" s="261"/>
    </row>
    <row r="1434" spans="1:23" x14ac:dyDescent="0.25">
      <c r="A1434" s="215"/>
      <c r="B1434" s="215"/>
      <c r="C1434" s="215"/>
      <c r="D1434" s="215"/>
      <c r="E1434" s="221"/>
      <c r="F1434" s="221"/>
      <c r="G1434" s="222"/>
      <c r="H1434" s="221"/>
      <c r="I1434" s="223"/>
      <c r="J1434" s="237"/>
      <c r="K1434" s="223"/>
      <c r="L1434" s="236"/>
      <c r="M1434" s="222"/>
      <c r="N1434" s="224"/>
      <c r="O1434" s="222"/>
      <c r="P1434" s="224"/>
      <c r="Q1434" s="222"/>
      <c r="R1434" s="224"/>
      <c r="S1434" s="239"/>
      <c r="T1434" s="224"/>
      <c r="U1434" s="239"/>
      <c r="V1434" s="224"/>
      <c r="W1434" s="261"/>
    </row>
    <row r="1435" spans="1:23" x14ac:dyDescent="0.25">
      <c r="A1435" s="215"/>
      <c r="B1435" s="215"/>
      <c r="C1435" s="215"/>
      <c r="D1435" s="215"/>
      <c r="E1435" s="221"/>
      <c r="F1435" s="221"/>
      <c r="G1435" s="222"/>
      <c r="H1435" s="221"/>
      <c r="I1435" s="223"/>
      <c r="J1435" s="237"/>
      <c r="K1435" s="223"/>
      <c r="L1435" s="236"/>
      <c r="M1435" s="222"/>
      <c r="N1435" s="224"/>
      <c r="O1435" s="222"/>
      <c r="P1435" s="224"/>
      <c r="Q1435" s="222"/>
      <c r="R1435" s="224"/>
      <c r="S1435" s="239"/>
      <c r="T1435" s="224"/>
      <c r="U1435" s="239"/>
      <c r="V1435" s="224"/>
      <c r="W1435" s="261"/>
    </row>
    <row r="1436" spans="1:23" x14ac:dyDescent="0.25">
      <c r="A1436" s="215"/>
      <c r="B1436" s="215"/>
      <c r="C1436" s="215"/>
      <c r="D1436" s="215"/>
      <c r="E1436" s="221"/>
      <c r="F1436" s="221"/>
      <c r="G1436" s="222"/>
      <c r="H1436" s="221"/>
      <c r="I1436" s="223"/>
      <c r="J1436" s="237"/>
      <c r="K1436" s="223"/>
      <c r="L1436" s="236"/>
      <c r="M1436" s="222"/>
      <c r="N1436" s="224"/>
      <c r="O1436" s="222"/>
      <c r="P1436" s="224"/>
      <c r="Q1436" s="222"/>
      <c r="R1436" s="224"/>
      <c r="S1436" s="239"/>
      <c r="T1436" s="224"/>
      <c r="U1436" s="239"/>
      <c r="V1436" s="224"/>
      <c r="W1436" s="261"/>
    </row>
    <row r="1437" spans="1:23" x14ac:dyDescent="0.25">
      <c r="A1437" s="215"/>
      <c r="B1437" s="215"/>
      <c r="C1437" s="215"/>
      <c r="D1437" s="215"/>
      <c r="E1437" s="221"/>
      <c r="F1437" s="221"/>
      <c r="G1437" s="222"/>
      <c r="H1437" s="221"/>
      <c r="I1437" s="223"/>
      <c r="J1437" s="237"/>
      <c r="K1437" s="223"/>
      <c r="L1437" s="236"/>
      <c r="M1437" s="222"/>
      <c r="N1437" s="224"/>
      <c r="O1437" s="222"/>
      <c r="P1437" s="224"/>
      <c r="Q1437" s="222"/>
      <c r="R1437" s="224"/>
      <c r="S1437" s="239"/>
      <c r="T1437" s="224"/>
      <c r="U1437" s="239"/>
      <c r="V1437" s="224"/>
      <c r="W1437" s="261"/>
    </row>
    <row r="1438" spans="1:23" x14ac:dyDescent="0.25">
      <c r="A1438" s="215"/>
      <c r="B1438" s="215"/>
      <c r="C1438" s="215"/>
      <c r="D1438" s="215"/>
      <c r="E1438" s="221"/>
      <c r="F1438" s="221"/>
      <c r="G1438" s="222"/>
      <c r="H1438" s="221"/>
      <c r="I1438" s="223"/>
      <c r="J1438" s="237"/>
      <c r="K1438" s="223"/>
      <c r="L1438" s="236"/>
      <c r="M1438" s="222"/>
      <c r="N1438" s="224"/>
      <c r="O1438" s="222"/>
      <c r="P1438" s="224"/>
      <c r="Q1438" s="222"/>
      <c r="R1438" s="224"/>
      <c r="S1438" s="239"/>
      <c r="T1438" s="224"/>
      <c r="U1438" s="239"/>
      <c r="V1438" s="224"/>
      <c r="W1438" s="261"/>
    </row>
    <row r="1439" spans="1:23" x14ac:dyDescent="0.25">
      <c r="A1439" s="215"/>
      <c r="B1439" s="215"/>
      <c r="C1439" s="215"/>
      <c r="D1439" s="215"/>
      <c r="E1439" s="221"/>
      <c r="F1439" s="221"/>
      <c r="G1439" s="222"/>
      <c r="H1439" s="221"/>
      <c r="I1439" s="223"/>
      <c r="J1439" s="237"/>
      <c r="K1439" s="223"/>
      <c r="L1439" s="236"/>
      <c r="M1439" s="222"/>
      <c r="N1439" s="224"/>
      <c r="O1439" s="222"/>
      <c r="P1439" s="224"/>
      <c r="Q1439" s="222"/>
      <c r="R1439" s="224"/>
      <c r="S1439" s="239"/>
      <c r="T1439" s="224"/>
      <c r="U1439" s="239"/>
      <c r="V1439" s="224"/>
      <c r="W1439" s="261"/>
    </row>
    <row r="1440" spans="1:23" x14ac:dyDescent="0.25">
      <c r="A1440" s="215"/>
      <c r="B1440" s="215"/>
      <c r="C1440" s="215"/>
      <c r="D1440" s="215"/>
      <c r="E1440" s="221"/>
      <c r="F1440" s="221"/>
      <c r="G1440" s="222"/>
      <c r="H1440" s="221"/>
      <c r="I1440" s="223"/>
      <c r="J1440" s="237"/>
      <c r="K1440" s="223"/>
      <c r="L1440" s="236"/>
      <c r="M1440" s="222"/>
      <c r="N1440" s="224"/>
      <c r="O1440" s="222"/>
      <c r="P1440" s="224"/>
      <c r="Q1440" s="222"/>
      <c r="R1440" s="224"/>
      <c r="S1440" s="239"/>
      <c r="T1440" s="224"/>
      <c r="U1440" s="239"/>
      <c r="V1440" s="224"/>
      <c r="W1440" s="261"/>
    </row>
    <row r="1441" spans="1:23" x14ac:dyDescent="0.25">
      <c r="A1441" s="215"/>
      <c r="B1441" s="215"/>
      <c r="C1441" s="215"/>
      <c r="D1441" s="215"/>
      <c r="E1441" s="221"/>
      <c r="F1441" s="221"/>
      <c r="G1441" s="222"/>
      <c r="H1441" s="221"/>
      <c r="I1441" s="223"/>
      <c r="J1441" s="237"/>
      <c r="K1441" s="223"/>
      <c r="L1441" s="236"/>
      <c r="M1441" s="222"/>
      <c r="N1441" s="224"/>
      <c r="O1441" s="222"/>
      <c r="P1441" s="224"/>
      <c r="Q1441" s="222"/>
      <c r="R1441" s="224"/>
      <c r="S1441" s="239"/>
      <c r="T1441" s="224"/>
      <c r="U1441" s="239"/>
      <c r="V1441" s="224"/>
      <c r="W1441" s="261"/>
    </row>
    <row r="1442" spans="1:23" x14ac:dyDescent="0.25">
      <c r="A1442" s="215"/>
      <c r="B1442" s="215"/>
      <c r="C1442" s="215"/>
      <c r="D1442" s="215"/>
      <c r="E1442" s="221"/>
      <c r="F1442" s="221"/>
      <c r="G1442" s="222"/>
      <c r="H1442" s="221"/>
      <c r="I1442" s="223"/>
      <c r="J1442" s="237"/>
      <c r="K1442" s="223"/>
      <c r="L1442" s="236"/>
      <c r="M1442" s="222"/>
      <c r="N1442" s="224"/>
      <c r="O1442" s="222"/>
      <c r="P1442" s="224"/>
      <c r="Q1442" s="222"/>
      <c r="R1442" s="224"/>
      <c r="S1442" s="239"/>
      <c r="T1442" s="224"/>
      <c r="U1442" s="239"/>
      <c r="V1442" s="224"/>
      <c r="W1442" s="261"/>
    </row>
    <row r="1443" spans="1:23" x14ac:dyDescent="0.25">
      <c r="A1443" s="215"/>
      <c r="B1443" s="215"/>
      <c r="C1443" s="215"/>
      <c r="D1443" s="215"/>
      <c r="E1443" s="221"/>
      <c r="F1443" s="221"/>
      <c r="G1443" s="222"/>
      <c r="H1443" s="221"/>
      <c r="I1443" s="223"/>
      <c r="J1443" s="237"/>
      <c r="K1443" s="223"/>
      <c r="L1443" s="236"/>
      <c r="M1443" s="222"/>
      <c r="N1443" s="224"/>
      <c r="O1443" s="222"/>
      <c r="P1443" s="224"/>
      <c r="Q1443" s="222"/>
      <c r="R1443" s="224"/>
      <c r="S1443" s="239"/>
      <c r="T1443" s="224"/>
      <c r="U1443" s="239"/>
      <c r="V1443" s="224"/>
      <c r="W1443" s="261"/>
    </row>
    <row r="1444" spans="1:23" x14ac:dyDescent="0.25">
      <c r="A1444" s="215"/>
      <c r="B1444" s="215"/>
      <c r="C1444" s="215"/>
      <c r="D1444" s="215"/>
      <c r="E1444" s="221"/>
      <c r="F1444" s="221"/>
      <c r="G1444" s="222"/>
      <c r="H1444" s="221"/>
      <c r="I1444" s="223"/>
      <c r="J1444" s="237"/>
      <c r="K1444" s="223"/>
      <c r="L1444" s="236"/>
      <c r="M1444" s="222"/>
      <c r="N1444" s="224"/>
      <c r="O1444" s="222"/>
      <c r="P1444" s="224"/>
      <c r="Q1444" s="222"/>
      <c r="R1444" s="224"/>
      <c r="S1444" s="239"/>
      <c r="T1444" s="224"/>
      <c r="U1444" s="239"/>
      <c r="V1444" s="224"/>
      <c r="W1444" s="261"/>
    </row>
    <row r="1445" spans="1:23" x14ac:dyDescent="0.25">
      <c r="A1445" s="215"/>
      <c r="B1445" s="215"/>
      <c r="C1445" s="215"/>
      <c r="D1445" s="215"/>
      <c r="E1445" s="221"/>
      <c r="F1445" s="221"/>
      <c r="G1445" s="222"/>
      <c r="H1445" s="221"/>
      <c r="I1445" s="223"/>
      <c r="J1445" s="237"/>
      <c r="K1445" s="223"/>
      <c r="L1445" s="236"/>
      <c r="M1445" s="222"/>
      <c r="N1445" s="224"/>
      <c r="O1445" s="222"/>
      <c r="P1445" s="224"/>
      <c r="Q1445" s="222"/>
      <c r="R1445" s="224"/>
      <c r="S1445" s="239"/>
      <c r="T1445" s="224"/>
      <c r="U1445" s="239"/>
      <c r="V1445" s="224"/>
      <c r="W1445" s="261"/>
    </row>
    <row r="1446" spans="1:23" x14ac:dyDescent="0.25">
      <c r="A1446" s="215"/>
      <c r="B1446" s="215"/>
      <c r="C1446" s="215"/>
      <c r="D1446" s="215"/>
      <c r="E1446" s="221"/>
      <c r="F1446" s="221"/>
      <c r="G1446" s="222"/>
      <c r="H1446" s="221"/>
      <c r="I1446" s="223"/>
      <c r="J1446" s="237"/>
      <c r="K1446" s="223"/>
      <c r="L1446" s="236"/>
      <c r="M1446" s="222"/>
      <c r="N1446" s="224"/>
      <c r="O1446" s="222"/>
      <c r="P1446" s="224"/>
      <c r="Q1446" s="222"/>
      <c r="R1446" s="224"/>
      <c r="S1446" s="239"/>
      <c r="T1446" s="224"/>
      <c r="U1446" s="239"/>
      <c r="V1446" s="224"/>
      <c r="W1446" s="261"/>
    </row>
    <row r="1447" spans="1:23" x14ac:dyDescent="0.25">
      <c r="A1447" s="215"/>
      <c r="B1447" s="215"/>
      <c r="C1447" s="215"/>
      <c r="D1447" s="215"/>
      <c r="E1447" s="221"/>
      <c r="F1447" s="221"/>
      <c r="G1447" s="222"/>
      <c r="H1447" s="221"/>
      <c r="I1447" s="223"/>
      <c r="J1447" s="237"/>
      <c r="K1447" s="223"/>
      <c r="L1447" s="236"/>
      <c r="M1447" s="222"/>
      <c r="N1447" s="224"/>
      <c r="O1447" s="222"/>
      <c r="P1447" s="224"/>
      <c r="Q1447" s="222"/>
      <c r="R1447" s="224"/>
      <c r="S1447" s="239"/>
      <c r="T1447" s="224"/>
      <c r="U1447" s="239"/>
      <c r="V1447" s="224"/>
      <c r="W1447" s="261"/>
    </row>
    <row r="1448" spans="1:23" x14ac:dyDescent="0.25">
      <c r="A1448" s="215"/>
      <c r="B1448" s="215"/>
      <c r="C1448" s="215"/>
      <c r="D1448" s="215"/>
      <c r="E1448" s="221"/>
      <c r="F1448" s="221"/>
      <c r="G1448" s="222"/>
      <c r="H1448" s="221"/>
      <c r="I1448" s="223"/>
      <c r="J1448" s="237"/>
      <c r="K1448" s="223"/>
      <c r="L1448" s="236"/>
      <c r="M1448" s="222"/>
      <c r="N1448" s="224"/>
      <c r="O1448" s="222"/>
      <c r="P1448" s="224"/>
      <c r="Q1448" s="222"/>
      <c r="R1448" s="224"/>
      <c r="S1448" s="239"/>
      <c r="T1448" s="224"/>
      <c r="U1448" s="239"/>
      <c r="V1448" s="224"/>
      <c r="W1448" s="261"/>
    </row>
    <row r="1449" spans="1:23" x14ac:dyDescent="0.25">
      <c r="A1449" s="215"/>
      <c r="B1449" s="215"/>
      <c r="C1449" s="215"/>
      <c r="D1449" s="215"/>
      <c r="E1449" s="221"/>
      <c r="F1449" s="221"/>
      <c r="G1449" s="222"/>
      <c r="H1449" s="221"/>
      <c r="I1449" s="223"/>
      <c r="J1449" s="237"/>
      <c r="K1449" s="223"/>
      <c r="L1449" s="236"/>
      <c r="M1449" s="222"/>
      <c r="N1449" s="224"/>
      <c r="O1449" s="222"/>
      <c r="P1449" s="224"/>
      <c r="Q1449" s="222"/>
      <c r="R1449" s="224"/>
      <c r="S1449" s="239"/>
      <c r="T1449" s="224"/>
      <c r="U1449" s="239"/>
      <c r="V1449" s="224"/>
      <c r="W1449" s="261"/>
    </row>
    <row r="1450" spans="1:23" x14ac:dyDescent="0.25">
      <c r="A1450" s="215"/>
      <c r="B1450" s="215"/>
      <c r="C1450" s="215"/>
      <c r="D1450" s="215"/>
      <c r="E1450" s="221"/>
      <c r="F1450" s="221"/>
      <c r="G1450" s="222"/>
      <c r="H1450" s="221"/>
      <c r="I1450" s="223"/>
      <c r="J1450" s="237"/>
      <c r="K1450" s="223"/>
      <c r="L1450" s="236"/>
      <c r="M1450" s="222"/>
      <c r="N1450" s="224"/>
      <c r="O1450" s="222"/>
      <c r="P1450" s="224"/>
      <c r="Q1450" s="222"/>
      <c r="R1450" s="224"/>
      <c r="S1450" s="239"/>
      <c r="T1450" s="224"/>
      <c r="U1450" s="239"/>
      <c r="V1450" s="224"/>
      <c r="W1450" s="261"/>
    </row>
    <row r="1451" spans="1:23" x14ac:dyDescent="0.25">
      <c r="A1451" s="215"/>
      <c r="B1451" s="215"/>
      <c r="C1451" s="215"/>
      <c r="D1451" s="215"/>
      <c r="E1451" s="221"/>
      <c r="F1451" s="221"/>
      <c r="G1451" s="222"/>
      <c r="H1451" s="221"/>
      <c r="I1451" s="223"/>
      <c r="J1451" s="237"/>
      <c r="K1451" s="223"/>
      <c r="L1451" s="236"/>
      <c r="M1451" s="222"/>
      <c r="N1451" s="224"/>
      <c r="O1451" s="222"/>
      <c r="P1451" s="224"/>
      <c r="Q1451" s="222"/>
      <c r="R1451" s="224"/>
      <c r="S1451" s="239"/>
      <c r="T1451" s="224"/>
      <c r="U1451" s="239"/>
      <c r="V1451" s="224"/>
      <c r="W1451" s="261"/>
    </row>
    <row r="1452" spans="1:23" x14ac:dyDescent="0.25">
      <c r="A1452" s="215"/>
      <c r="B1452" s="215"/>
      <c r="C1452" s="215"/>
      <c r="D1452" s="215"/>
      <c r="E1452" s="221"/>
      <c r="F1452" s="221"/>
      <c r="G1452" s="222"/>
      <c r="H1452" s="221"/>
      <c r="I1452" s="223"/>
      <c r="J1452" s="237"/>
      <c r="K1452" s="223"/>
      <c r="L1452" s="236"/>
      <c r="M1452" s="222"/>
      <c r="N1452" s="224"/>
      <c r="O1452" s="222"/>
      <c r="P1452" s="224"/>
      <c r="Q1452" s="222"/>
      <c r="R1452" s="224"/>
      <c r="S1452" s="239"/>
      <c r="T1452" s="224"/>
      <c r="U1452" s="239"/>
      <c r="V1452" s="224"/>
      <c r="W1452" s="261"/>
    </row>
    <row r="1453" spans="1:23" x14ac:dyDescent="0.25">
      <c r="A1453" s="215"/>
      <c r="B1453" s="215"/>
      <c r="C1453" s="215"/>
      <c r="D1453" s="215"/>
      <c r="E1453" s="221"/>
      <c r="F1453" s="221"/>
      <c r="G1453" s="222"/>
      <c r="H1453" s="221"/>
      <c r="I1453" s="223"/>
      <c r="J1453" s="237"/>
      <c r="K1453" s="223"/>
      <c r="L1453" s="236"/>
      <c r="M1453" s="222"/>
      <c r="N1453" s="224"/>
      <c r="O1453" s="222"/>
      <c r="P1453" s="224"/>
      <c r="Q1453" s="222"/>
      <c r="R1453" s="224"/>
      <c r="S1453" s="239"/>
      <c r="T1453" s="224"/>
      <c r="U1453" s="239"/>
      <c r="V1453" s="224"/>
      <c r="W1453" s="261"/>
    </row>
    <row r="1454" spans="1:23" x14ac:dyDescent="0.25">
      <c r="A1454" s="215"/>
      <c r="B1454" s="215"/>
      <c r="C1454" s="215"/>
      <c r="D1454" s="215"/>
      <c r="E1454" s="221"/>
      <c r="F1454" s="221"/>
      <c r="G1454" s="222"/>
      <c r="H1454" s="221"/>
      <c r="I1454" s="223"/>
      <c r="J1454" s="237"/>
      <c r="K1454" s="223"/>
      <c r="L1454" s="236"/>
      <c r="M1454" s="222"/>
      <c r="N1454" s="224"/>
      <c r="O1454" s="222"/>
      <c r="P1454" s="224"/>
      <c r="Q1454" s="222"/>
      <c r="R1454" s="224"/>
      <c r="S1454" s="239"/>
      <c r="T1454" s="224"/>
      <c r="U1454" s="239"/>
      <c r="V1454" s="224"/>
      <c r="W1454" s="261"/>
    </row>
    <row r="1455" spans="1:23" x14ac:dyDescent="0.25">
      <c r="A1455" s="215"/>
      <c r="B1455" s="215"/>
      <c r="C1455" s="215"/>
      <c r="D1455" s="215"/>
      <c r="E1455" s="221"/>
      <c r="F1455" s="221"/>
      <c r="G1455" s="222"/>
      <c r="H1455" s="221"/>
      <c r="I1455" s="223"/>
      <c r="J1455" s="237"/>
      <c r="K1455" s="223"/>
      <c r="L1455" s="236"/>
      <c r="M1455" s="222"/>
      <c r="N1455" s="224"/>
      <c r="O1455" s="222"/>
      <c r="P1455" s="224"/>
      <c r="Q1455" s="222"/>
      <c r="R1455" s="224"/>
      <c r="S1455" s="239"/>
      <c r="T1455" s="224"/>
      <c r="U1455" s="239"/>
      <c r="V1455" s="224"/>
      <c r="W1455" s="261"/>
    </row>
    <row r="1456" spans="1:23" x14ac:dyDescent="0.25">
      <c r="A1456" s="215"/>
      <c r="B1456" s="215"/>
      <c r="C1456" s="215"/>
      <c r="D1456" s="215"/>
      <c r="E1456" s="221"/>
      <c r="F1456" s="221"/>
      <c r="G1456" s="222"/>
      <c r="H1456" s="221"/>
      <c r="I1456" s="223"/>
      <c r="J1456" s="237"/>
      <c r="K1456" s="223"/>
      <c r="L1456" s="236"/>
      <c r="M1456" s="222"/>
      <c r="N1456" s="224"/>
      <c r="O1456" s="222"/>
      <c r="P1456" s="224"/>
      <c r="Q1456" s="222"/>
      <c r="R1456" s="224"/>
      <c r="S1456" s="239"/>
      <c r="T1456" s="224"/>
      <c r="U1456" s="239"/>
      <c r="V1456" s="224"/>
      <c r="W1456" s="261"/>
    </row>
    <row r="1457" spans="1:23" x14ac:dyDescent="0.25">
      <c r="A1457" s="215"/>
      <c r="B1457" s="215"/>
      <c r="C1457" s="215"/>
      <c r="D1457" s="215"/>
      <c r="E1457" s="221"/>
      <c r="F1457" s="221"/>
      <c r="G1457" s="222"/>
      <c r="H1457" s="221"/>
      <c r="I1457" s="223"/>
      <c r="J1457" s="237"/>
      <c r="K1457" s="223"/>
      <c r="L1457" s="236"/>
      <c r="M1457" s="222"/>
      <c r="N1457" s="224"/>
      <c r="O1457" s="222"/>
      <c r="P1457" s="224"/>
      <c r="Q1457" s="222"/>
      <c r="R1457" s="224"/>
      <c r="S1457" s="239"/>
      <c r="T1457" s="224"/>
      <c r="U1457" s="239"/>
      <c r="V1457" s="224"/>
      <c r="W1457" s="261"/>
    </row>
    <row r="1458" spans="1:23" x14ac:dyDescent="0.25">
      <c r="A1458" s="215"/>
      <c r="B1458" s="215"/>
      <c r="C1458" s="215"/>
      <c r="D1458" s="215"/>
      <c r="E1458" s="221"/>
      <c r="F1458" s="221"/>
      <c r="G1458" s="222"/>
      <c r="H1458" s="221"/>
      <c r="I1458" s="223"/>
      <c r="J1458" s="237"/>
      <c r="K1458" s="223"/>
      <c r="L1458" s="236"/>
      <c r="M1458" s="222"/>
      <c r="N1458" s="224"/>
      <c r="O1458" s="222"/>
      <c r="P1458" s="224"/>
      <c r="Q1458" s="222"/>
      <c r="R1458" s="224"/>
      <c r="S1458" s="239"/>
      <c r="T1458" s="224"/>
      <c r="U1458" s="239"/>
      <c r="V1458" s="224"/>
      <c r="W1458" s="261"/>
    </row>
    <row r="1459" spans="1:23" x14ac:dyDescent="0.25">
      <c r="A1459" s="215"/>
      <c r="B1459" s="215"/>
      <c r="C1459" s="215"/>
      <c r="D1459" s="215"/>
      <c r="E1459" s="221"/>
      <c r="F1459" s="221"/>
      <c r="G1459" s="222"/>
      <c r="H1459" s="221"/>
      <c r="I1459" s="223"/>
      <c r="J1459" s="237"/>
      <c r="K1459" s="223"/>
      <c r="L1459" s="236"/>
      <c r="M1459" s="222"/>
      <c r="N1459" s="224"/>
      <c r="O1459" s="222"/>
      <c r="P1459" s="224"/>
      <c r="Q1459" s="222"/>
      <c r="R1459" s="224"/>
      <c r="S1459" s="239"/>
      <c r="T1459" s="224"/>
      <c r="U1459" s="239"/>
      <c r="V1459" s="224"/>
      <c r="W1459" s="261"/>
    </row>
    <row r="1460" spans="1:23" x14ac:dyDescent="0.25">
      <c r="A1460" s="215"/>
      <c r="B1460" s="215"/>
      <c r="C1460" s="215"/>
      <c r="D1460" s="215"/>
      <c r="E1460" s="221"/>
      <c r="F1460" s="221"/>
      <c r="G1460" s="222"/>
      <c r="H1460" s="221"/>
      <c r="I1460" s="223"/>
      <c r="J1460" s="237"/>
      <c r="K1460" s="223"/>
      <c r="L1460" s="236"/>
      <c r="M1460" s="222"/>
      <c r="N1460" s="224"/>
      <c r="O1460" s="222"/>
      <c r="P1460" s="224"/>
      <c r="Q1460" s="222"/>
      <c r="R1460" s="224"/>
      <c r="S1460" s="239"/>
      <c r="T1460" s="224"/>
      <c r="U1460" s="239"/>
      <c r="V1460" s="224"/>
      <c r="W1460" s="261"/>
    </row>
    <row r="1461" spans="1:23" x14ac:dyDescent="0.25">
      <c r="A1461" s="215"/>
      <c r="B1461" s="215"/>
      <c r="C1461" s="215"/>
      <c r="D1461" s="215"/>
      <c r="E1461" s="221"/>
      <c r="F1461" s="221"/>
      <c r="G1461" s="222"/>
      <c r="H1461" s="221"/>
      <c r="I1461" s="223"/>
      <c r="J1461" s="237"/>
      <c r="K1461" s="223"/>
      <c r="L1461" s="236"/>
      <c r="M1461" s="222"/>
      <c r="N1461" s="224"/>
      <c r="O1461" s="222"/>
      <c r="P1461" s="224"/>
      <c r="Q1461" s="222"/>
      <c r="R1461" s="224"/>
      <c r="S1461" s="239"/>
      <c r="T1461" s="224"/>
      <c r="U1461" s="239"/>
      <c r="V1461" s="224"/>
      <c r="W1461" s="261"/>
    </row>
    <row r="1462" spans="1:23" x14ac:dyDescent="0.25">
      <c r="A1462" s="215"/>
      <c r="B1462" s="215"/>
      <c r="C1462" s="215"/>
      <c r="D1462" s="215"/>
      <c r="E1462" s="221"/>
      <c r="F1462" s="221"/>
      <c r="G1462" s="222"/>
      <c r="H1462" s="221"/>
      <c r="I1462" s="223"/>
      <c r="J1462" s="237"/>
      <c r="K1462" s="223"/>
      <c r="L1462" s="236"/>
      <c r="M1462" s="222"/>
      <c r="N1462" s="224"/>
      <c r="O1462" s="222"/>
      <c r="P1462" s="224"/>
      <c r="Q1462" s="222"/>
      <c r="R1462" s="224"/>
      <c r="S1462" s="239"/>
      <c r="T1462" s="224"/>
      <c r="U1462" s="239"/>
      <c r="V1462" s="224"/>
      <c r="W1462" s="261"/>
    </row>
    <row r="1463" spans="1:23" x14ac:dyDescent="0.25">
      <c r="A1463" s="215"/>
      <c r="B1463" s="215"/>
      <c r="C1463" s="215"/>
      <c r="D1463" s="215"/>
      <c r="E1463" s="221"/>
      <c r="F1463" s="221"/>
      <c r="G1463" s="222"/>
      <c r="H1463" s="221"/>
      <c r="I1463" s="223"/>
      <c r="J1463" s="237"/>
      <c r="K1463" s="223"/>
      <c r="L1463" s="236"/>
      <c r="M1463" s="222"/>
      <c r="N1463" s="224"/>
      <c r="O1463" s="222"/>
      <c r="P1463" s="224"/>
      <c r="Q1463" s="222"/>
      <c r="R1463" s="224"/>
      <c r="S1463" s="239"/>
      <c r="T1463" s="224"/>
      <c r="U1463" s="239"/>
      <c r="V1463" s="224"/>
      <c r="W1463" s="261"/>
    </row>
    <row r="1464" spans="1:23" x14ac:dyDescent="0.25">
      <c r="A1464" s="215"/>
      <c r="B1464" s="215"/>
      <c r="C1464" s="215"/>
      <c r="D1464" s="215"/>
      <c r="E1464" s="221"/>
      <c r="F1464" s="221"/>
      <c r="G1464" s="222"/>
      <c r="H1464" s="221"/>
      <c r="I1464" s="223"/>
      <c r="J1464" s="237"/>
      <c r="K1464" s="223"/>
      <c r="L1464" s="236"/>
      <c r="M1464" s="222"/>
      <c r="N1464" s="224"/>
      <c r="O1464" s="222"/>
      <c r="P1464" s="224"/>
      <c r="Q1464" s="222"/>
      <c r="R1464" s="224"/>
      <c r="S1464" s="239"/>
      <c r="T1464" s="224"/>
      <c r="U1464" s="239"/>
      <c r="V1464" s="224"/>
      <c r="W1464" s="261"/>
    </row>
    <row r="1465" spans="1:23" x14ac:dyDescent="0.25">
      <c r="A1465" s="215"/>
      <c r="B1465" s="215"/>
      <c r="C1465" s="215"/>
      <c r="D1465" s="215"/>
      <c r="E1465" s="221"/>
      <c r="F1465" s="221"/>
      <c r="G1465" s="222"/>
      <c r="H1465" s="221"/>
      <c r="I1465" s="223"/>
      <c r="J1465" s="237"/>
      <c r="K1465" s="223"/>
      <c r="L1465" s="236"/>
      <c r="M1465" s="222"/>
      <c r="N1465" s="224"/>
      <c r="O1465" s="222"/>
      <c r="P1465" s="224"/>
      <c r="Q1465" s="222"/>
      <c r="R1465" s="224"/>
      <c r="S1465" s="239"/>
      <c r="T1465" s="224"/>
      <c r="U1465" s="239"/>
      <c r="V1465" s="224"/>
      <c r="W1465" s="261"/>
    </row>
    <row r="1466" spans="1:23" x14ac:dyDescent="0.25">
      <c r="A1466" s="215"/>
      <c r="B1466" s="215"/>
      <c r="C1466" s="215"/>
      <c r="D1466" s="215"/>
      <c r="E1466" s="221"/>
      <c r="F1466" s="221"/>
      <c r="G1466" s="222"/>
      <c r="H1466" s="221"/>
      <c r="I1466" s="223"/>
      <c r="J1466" s="237"/>
      <c r="K1466" s="223"/>
      <c r="L1466" s="236"/>
      <c r="M1466" s="222"/>
      <c r="N1466" s="224"/>
      <c r="O1466" s="222"/>
      <c r="P1466" s="224"/>
      <c r="Q1466" s="222"/>
      <c r="R1466" s="224"/>
      <c r="S1466" s="239"/>
      <c r="T1466" s="224"/>
      <c r="U1466" s="239"/>
      <c r="V1466" s="224"/>
      <c r="W1466" s="261"/>
    </row>
    <row r="1467" spans="1:23" x14ac:dyDescent="0.25">
      <c r="A1467" s="215"/>
      <c r="B1467" s="215"/>
      <c r="C1467" s="215"/>
      <c r="D1467" s="215"/>
      <c r="E1467" s="221"/>
      <c r="F1467" s="221"/>
      <c r="G1467" s="222"/>
      <c r="H1467" s="221"/>
      <c r="I1467" s="223"/>
      <c r="J1467" s="237"/>
      <c r="K1467" s="223"/>
      <c r="L1467" s="236"/>
      <c r="M1467" s="222"/>
      <c r="N1467" s="224"/>
      <c r="O1467" s="222"/>
      <c r="P1467" s="224"/>
      <c r="Q1467" s="222"/>
      <c r="R1467" s="224"/>
      <c r="S1467" s="239"/>
      <c r="T1467" s="224"/>
      <c r="U1467" s="239"/>
      <c r="V1467" s="224"/>
      <c r="W1467" s="261"/>
    </row>
    <row r="1468" spans="1:23" x14ac:dyDescent="0.25">
      <c r="A1468" s="215"/>
      <c r="B1468" s="215"/>
      <c r="C1468" s="215"/>
      <c r="D1468" s="215"/>
      <c r="E1468" s="221"/>
      <c r="F1468" s="221"/>
      <c r="G1468" s="222"/>
      <c r="H1468" s="221"/>
      <c r="I1468" s="223"/>
      <c r="J1468" s="237"/>
      <c r="K1468" s="223"/>
      <c r="L1468" s="236"/>
      <c r="M1468" s="222"/>
      <c r="N1468" s="224"/>
      <c r="O1468" s="222"/>
      <c r="P1468" s="224"/>
      <c r="Q1468" s="222"/>
      <c r="R1468" s="224"/>
      <c r="S1468" s="239"/>
      <c r="T1468" s="224"/>
      <c r="U1468" s="239"/>
      <c r="V1468" s="224"/>
      <c r="W1468" s="261"/>
    </row>
    <row r="1469" spans="1:23" x14ac:dyDescent="0.25">
      <c r="A1469" s="215"/>
      <c r="B1469" s="215"/>
      <c r="C1469" s="215"/>
      <c r="D1469" s="215"/>
      <c r="E1469" s="221"/>
      <c r="F1469" s="221"/>
      <c r="G1469" s="222"/>
      <c r="H1469" s="221"/>
      <c r="I1469" s="223"/>
      <c r="J1469" s="237"/>
      <c r="K1469" s="223"/>
      <c r="L1469" s="236"/>
      <c r="M1469" s="222"/>
      <c r="N1469" s="224"/>
      <c r="O1469" s="222"/>
      <c r="P1469" s="224"/>
      <c r="Q1469" s="222"/>
      <c r="R1469" s="224"/>
      <c r="S1469" s="239"/>
      <c r="T1469" s="224"/>
      <c r="U1469" s="239"/>
      <c r="V1469" s="224"/>
      <c r="W1469" s="261"/>
    </row>
    <row r="1470" spans="1:23" x14ac:dyDescent="0.25">
      <c r="A1470" s="215"/>
      <c r="B1470" s="215"/>
      <c r="C1470" s="215"/>
      <c r="D1470" s="215"/>
      <c r="E1470" s="221"/>
      <c r="F1470" s="221"/>
      <c r="G1470" s="222"/>
      <c r="H1470" s="221"/>
      <c r="I1470" s="223"/>
      <c r="J1470" s="237"/>
      <c r="K1470" s="223"/>
      <c r="L1470" s="236"/>
      <c r="M1470" s="222"/>
      <c r="N1470" s="224"/>
      <c r="O1470" s="222"/>
      <c r="P1470" s="224"/>
      <c r="Q1470" s="222"/>
      <c r="R1470" s="224"/>
      <c r="S1470" s="239"/>
      <c r="T1470" s="224"/>
      <c r="U1470" s="239"/>
      <c r="V1470" s="224"/>
      <c r="W1470" s="261"/>
    </row>
    <row r="1471" spans="1:23" x14ac:dyDescent="0.25">
      <c r="A1471" s="215"/>
      <c r="B1471" s="215"/>
      <c r="C1471" s="215"/>
      <c r="D1471" s="215"/>
      <c r="E1471" s="221"/>
      <c r="F1471" s="221"/>
      <c r="G1471" s="222"/>
      <c r="H1471" s="221"/>
      <c r="I1471" s="223"/>
      <c r="J1471" s="237"/>
      <c r="K1471" s="223"/>
      <c r="L1471" s="236"/>
      <c r="M1471" s="222"/>
      <c r="N1471" s="224"/>
      <c r="O1471" s="222"/>
      <c r="P1471" s="224"/>
      <c r="Q1471" s="222"/>
      <c r="R1471" s="224"/>
      <c r="S1471" s="239"/>
      <c r="T1471" s="224"/>
      <c r="U1471" s="239"/>
      <c r="V1471" s="224"/>
      <c r="W1471" s="261"/>
    </row>
    <row r="1472" spans="1:23" x14ac:dyDescent="0.25">
      <c r="A1472" s="215"/>
      <c r="B1472" s="215"/>
      <c r="C1472" s="215"/>
      <c r="D1472" s="215"/>
      <c r="E1472" s="221"/>
      <c r="F1472" s="221"/>
      <c r="G1472" s="222"/>
      <c r="H1472" s="221"/>
      <c r="I1472" s="223"/>
      <c r="J1472" s="237"/>
      <c r="K1472" s="223"/>
      <c r="L1472" s="236"/>
      <c r="M1472" s="222"/>
      <c r="N1472" s="224"/>
      <c r="O1472" s="222"/>
      <c r="P1472" s="224"/>
      <c r="Q1472" s="222"/>
      <c r="R1472" s="224"/>
      <c r="S1472" s="239"/>
      <c r="T1472" s="224"/>
      <c r="U1472" s="239"/>
      <c r="V1472" s="224"/>
      <c r="W1472" s="261"/>
    </row>
    <row r="1473" spans="1:23" x14ac:dyDescent="0.25">
      <c r="A1473" s="215"/>
      <c r="B1473" s="215"/>
      <c r="C1473" s="215"/>
      <c r="D1473" s="215"/>
      <c r="E1473" s="221"/>
      <c r="F1473" s="221"/>
      <c r="G1473" s="222"/>
      <c r="H1473" s="221"/>
      <c r="I1473" s="223"/>
      <c r="J1473" s="237"/>
      <c r="K1473" s="223"/>
      <c r="L1473" s="236"/>
      <c r="M1473" s="222"/>
      <c r="N1473" s="224"/>
      <c r="O1473" s="222"/>
      <c r="P1473" s="224"/>
      <c r="Q1473" s="222"/>
      <c r="R1473" s="224"/>
      <c r="S1473" s="239"/>
      <c r="T1473" s="224"/>
      <c r="U1473" s="239"/>
      <c r="V1473" s="224"/>
      <c r="W1473" s="261"/>
    </row>
    <row r="1474" spans="1:23" x14ac:dyDescent="0.25">
      <c r="A1474" s="215"/>
      <c r="B1474" s="215"/>
      <c r="C1474" s="215"/>
      <c r="D1474" s="215"/>
      <c r="E1474" s="221"/>
      <c r="F1474" s="221"/>
      <c r="G1474" s="222"/>
      <c r="H1474" s="221"/>
      <c r="I1474" s="223"/>
      <c r="J1474" s="237"/>
      <c r="K1474" s="223"/>
      <c r="L1474" s="236"/>
      <c r="M1474" s="222"/>
      <c r="N1474" s="224"/>
      <c r="O1474" s="222"/>
      <c r="P1474" s="224"/>
      <c r="Q1474" s="222"/>
      <c r="R1474" s="224"/>
      <c r="S1474" s="239"/>
      <c r="T1474" s="224"/>
      <c r="U1474" s="239"/>
      <c r="V1474" s="224"/>
      <c r="W1474" s="261"/>
    </row>
    <row r="1475" spans="1:23" x14ac:dyDescent="0.25">
      <c r="A1475" s="215"/>
      <c r="B1475" s="215"/>
      <c r="C1475" s="215"/>
      <c r="D1475" s="215"/>
      <c r="E1475" s="221"/>
      <c r="F1475" s="221"/>
      <c r="G1475" s="222"/>
      <c r="H1475" s="221"/>
      <c r="I1475" s="223"/>
      <c r="J1475" s="237"/>
      <c r="K1475" s="223"/>
      <c r="L1475" s="236"/>
      <c r="M1475" s="222"/>
      <c r="N1475" s="224"/>
      <c r="O1475" s="222"/>
      <c r="P1475" s="224"/>
      <c r="Q1475" s="222"/>
      <c r="R1475" s="224"/>
      <c r="S1475" s="239"/>
      <c r="T1475" s="224"/>
      <c r="U1475" s="239"/>
      <c r="V1475" s="224"/>
      <c r="W1475" s="261"/>
    </row>
    <row r="1476" spans="1:23" x14ac:dyDescent="0.25">
      <c r="A1476" s="215"/>
      <c r="B1476" s="215"/>
      <c r="C1476" s="215"/>
      <c r="D1476" s="215"/>
      <c r="E1476" s="221"/>
      <c r="F1476" s="221"/>
      <c r="G1476" s="222"/>
      <c r="H1476" s="221"/>
      <c r="I1476" s="223"/>
      <c r="J1476" s="237"/>
      <c r="K1476" s="223"/>
      <c r="L1476" s="236"/>
      <c r="M1476" s="222"/>
      <c r="N1476" s="224"/>
      <c r="O1476" s="222"/>
      <c r="P1476" s="224"/>
      <c r="Q1476" s="222"/>
      <c r="R1476" s="224"/>
      <c r="S1476" s="239"/>
      <c r="T1476" s="224"/>
      <c r="U1476" s="239"/>
      <c r="V1476" s="224"/>
      <c r="W1476" s="261"/>
    </row>
    <row r="1477" spans="1:23" x14ac:dyDescent="0.25">
      <c r="A1477" s="215"/>
      <c r="B1477" s="215"/>
      <c r="C1477" s="215"/>
      <c r="D1477" s="215"/>
      <c r="E1477" s="221"/>
      <c r="F1477" s="221"/>
      <c r="G1477" s="222"/>
      <c r="H1477" s="221"/>
      <c r="I1477" s="223"/>
      <c r="J1477" s="237"/>
      <c r="K1477" s="223"/>
      <c r="L1477" s="236"/>
      <c r="M1477" s="222"/>
      <c r="N1477" s="224"/>
      <c r="O1477" s="222"/>
      <c r="P1477" s="224"/>
      <c r="Q1477" s="222"/>
      <c r="R1477" s="224"/>
      <c r="S1477" s="239"/>
      <c r="T1477" s="224"/>
      <c r="U1477" s="239"/>
      <c r="V1477" s="224"/>
      <c r="W1477" s="261"/>
    </row>
    <row r="1478" spans="1:23" x14ac:dyDescent="0.25">
      <c r="A1478" s="215"/>
      <c r="B1478" s="215"/>
      <c r="C1478" s="215"/>
      <c r="D1478" s="215"/>
      <c r="E1478" s="221"/>
      <c r="F1478" s="221"/>
      <c r="G1478" s="222"/>
      <c r="H1478" s="221"/>
      <c r="I1478" s="223"/>
      <c r="J1478" s="237"/>
      <c r="K1478" s="223"/>
      <c r="L1478" s="236"/>
      <c r="M1478" s="222"/>
      <c r="N1478" s="224"/>
      <c r="O1478" s="222"/>
      <c r="P1478" s="224"/>
      <c r="Q1478" s="222"/>
      <c r="R1478" s="224"/>
      <c r="S1478" s="239"/>
      <c r="T1478" s="224"/>
      <c r="U1478" s="239"/>
      <c r="V1478" s="224"/>
      <c r="W1478" s="261"/>
    </row>
    <row r="1479" spans="1:23" x14ac:dyDescent="0.25">
      <c r="A1479" s="215"/>
      <c r="B1479" s="215"/>
      <c r="C1479" s="215"/>
      <c r="D1479" s="215"/>
      <c r="E1479" s="221"/>
      <c r="F1479" s="221"/>
      <c r="G1479" s="222"/>
      <c r="H1479" s="221"/>
      <c r="I1479" s="223"/>
      <c r="J1479" s="237"/>
      <c r="K1479" s="223"/>
      <c r="L1479" s="236"/>
      <c r="M1479" s="222"/>
      <c r="N1479" s="224"/>
      <c r="O1479" s="222"/>
      <c r="P1479" s="224"/>
      <c r="Q1479" s="222"/>
      <c r="R1479" s="224"/>
      <c r="S1479" s="239"/>
      <c r="T1479" s="224"/>
      <c r="U1479" s="239"/>
      <c r="V1479" s="224"/>
      <c r="W1479" s="261"/>
    </row>
    <row r="1480" spans="1:23" x14ac:dyDescent="0.25">
      <c r="A1480" s="215"/>
      <c r="B1480" s="215"/>
      <c r="C1480" s="215"/>
      <c r="D1480" s="215"/>
      <c r="E1480" s="221"/>
      <c r="F1480" s="221"/>
      <c r="G1480" s="222"/>
      <c r="H1480" s="221"/>
      <c r="I1480" s="223"/>
      <c r="J1480" s="237"/>
      <c r="K1480" s="223"/>
      <c r="L1480" s="236"/>
      <c r="M1480" s="222"/>
      <c r="N1480" s="224"/>
      <c r="O1480" s="222"/>
      <c r="P1480" s="224"/>
      <c r="Q1480" s="222"/>
      <c r="R1480" s="224"/>
      <c r="S1480" s="239"/>
      <c r="T1480" s="224"/>
      <c r="U1480" s="239"/>
      <c r="V1480" s="224"/>
      <c r="W1480" s="261"/>
    </row>
    <row r="1481" spans="1:23" x14ac:dyDescent="0.25">
      <c r="A1481" s="215"/>
      <c r="B1481" s="215"/>
      <c r="C1481" s="215"/>
      <c r="D1481" s="215"/>
      <c r="E1481" s="221"/>
      <c r="F1481" s="221"/>
      <c r="G1481" s="222"/>
      <c r="H1481" s="221"/>
      <c r="I1481" s="223"/>
      <c r="J1481" s="237"/>
      <c r="K1481" s="223"/>
      <c r="L1481" s="236"/>
      <c r="M1481" s="222"/>
      <c r="N1481" s="224"/>
      <c r="O1481" s="222"/>
      <c r="P1481" s="224"/>
      <c r="Q1481" s="222"/>
      <c r="R1481" s="224"/>
      <c r="S1481" s="239"/>
      <c r="T1481" s="224"/>
      <c r="U1481" s="239"/>
      <c r="V1481" s="224"/>
      <c r="W1481" s="261"/>
    </row>
    <row r="1482" spans="1:23" x14ac:dyDescent="0.25">
      <c r="A1482" s="215"/>
      <c r="B1482" s="215"/>
      <c r="C1482" s="215"/>
      <c r="D1482" s="215"/>
      <c r="E1482" s="221"/>
      <c r="F1482" s="221"/>
      <c r="G1482" s="222"/>
      <c r="H1482" s="221"/>
      <c r="I1482" s="223"/>
      <c r="J1482" s="237"/>
      <c r="K1482" s="223"/>
      <c r="L1482" s="236"/>
      <c r="M1482" s="222"/>
      <c r="N1482" s="224"/>
      <c r="O1482" s="222"/>
      <c r="P1482" s="224"/>
      <c r="Q1482" s="222"/>
      <c r="R1482" s="224"/>
      <c r="S1482" s="239"/>
      <c r="T1482" s="224"/>
      <c r="U1482" s="239"/>
      <c r="V1482" s="224"/>
      <c r="W1482" s="261"/>
    </row>
    <row r="1483" spans="1:23" x14ac:dyDescent="0.25">
      <c r="A1483" s="215"/>
      <c r="B1483" s="215"/>
      <c r="C1483" s="215"/>
      <c r="D1483" s="215"/>
      <c r="E1483" s="221"/>
      <c r="F1483" s="221"/>
      <c r="G1483" s="222"/>
      <c r="H1483" s="221"/>
      <c r="I1483" s="223"/>
      <c r="J1483" s="237"/>
      <c r="K1483" s="223"/>
      <c r="L1483" s="236"/>
      <c r="M1483" s="222"/>
      <c r="N1483" s="224"/>
      <c r="O1483" s="222"/>
      <c r="P1483" s="224"/>
      <c r="Q1483" s="222"/>
      <c r="R1483" s="224"/>
      <c r="S1483" s="239"/>
      <c r="T1483" s="224"/>
      <c r="U1483" s="239"/>
      <c r="V1483" s="224"/>
      <c r="W1483" s="261"/>
    </row>
    <row r="1484" spans="1:23" x14ac:dyDescent="0.25">
      <c r="A1484" s="215"/>
      <c r="B1484" s="215"/>
      <c r="C1484" s="215"/>
      <c r="D1484" s="215"/>
      <c r="E1484" s="221"/>
      <c r="F1484" s="221"/>
      <c r="G1484" s="222"/>
      <c r="H1484" s="221"/>
      <c r="I1484" s="223"/>
      <c r="J1484" s="237"/>
      <c r="K1484" s="223"/>
      <c r="L1484" s="236"/>
      <c r="M1484" s="222"/>
      <c r="N1484" s="224"/>
      <c r="O1484" s="222"/>
      <c r="P1484" s="224"/>
      <c r="Q1484" s="222"/>
      <c r="R1484" s="224"/>
      <c r="S1484" s="239"/>
      <c r="T1484" s="224"/>
      <c r="U1484" s="239"/>
      <c r="V1484" s="224"/>
      <c r="W1484" s="261"/>
    </row>
    <row r="1485" spans="1:23" x14ac:dyDescent="0.25">
      <c r="A1485" s="215"/>
      <c r="B1485" s="215"/>
      <c r="C1485" s="215"/>
      <c r="D1485" s="215"/>
      <c r="E1485" s="221"/>
      <c r="F1485" s="221"/>
      <c r="G1485" s="222"/>
      <c r="H1485" s="221"/>
      <c r="I1485" s="223"/>
      <c r="J1485" s="237"/>
      <c r="K1485" s="223"/>
      <c r="L1485" s="236"/>
      <c r="M1485" s="222"/>
      <c r="N1485" s="224"/>
      <c r="O1485" s="222"/>
      <c r="P1485" s="224"/>
      <c r="Q1485" s="222"/>
      <c r="R1485" s="224"/>
      <c r="S1485" s="239"/>
      <c r="T1485" s="224"/>
      <c r="U1485" s="239"/>
      <c r="V1485" s="224"/>
      <c r="W1485" s="261"/>
    </row>
    <row r="1486" spans="1:23" x14ac:dyDescent="0.25">
      <c r="A1486" s="215"/>
      <c r="B1486" s="215"/>
      <c r="C1486" s="215"/>
      <c r="D1486" s="215"/>
      <c r="E1486" s="221"/>
      <c r="F1486" s="221"/>
      <c r="G1486" s="222"/>
      <c r="H1486" s="221"/>
      <c r="I1486" s="223"/>
      <c r="J1486" s="237"/>
      <c r="K1486" s="223"/>
      <c r="L1486" s="236"/>
      <c r="M1486" s="222"/>
      <c r="N1486" s="224"/>
      <c r="O1486" s="222"/>
      <c r="P1486" s="224"/>
      <c r="Q1486" s="222"/>
      <c r="R1486" s="224"/>
      <c r="S1486" s="239"/>
      <c r="T1486" s="224"/>
      <c r="U1486" s="239"/>
      <c r="V1486" s="224"/>
      <c r="W1486" s="261"/>
    </row>
    <row r="1487" spans="1:23" x14ac:dyDescent="0.25">
      <c r="A1487" s="215"/>
      <c r="B1487" s="215"/>
      <c r="C1487" s="215"/>
      <c r="D1487" s="215"/>
      <c r="E1487" s="221"/>
      <c r="F1487" s="221"/>
      <c r="G1487" s="222"/>
      <c r="H1487" s="221"/>
      <c r="I1487" s="223"/>
      <c r="J1487" s="237"/>
      <c r="K1487" s="223"/>
      <c r="L1487" s="236"/>
      <c r="M1487" s="222"/>
      <c r="N1487" s="224"/>
      <c r="O1487" s="222"/>
      <c r="P1487" s="224"/>
      <c r="Q1487" s="222"/>
      <c r="R1487" s="224"/>
      <c r="S1487" s="239"/>
      <c r="T1487" s="224"/>
      <c r="U1487" s="239"/>
      <c r="V1487" s="224"/>
      <c r="W1487" s="261"/>
    </row>
    <row r="1488" spans="1:23" x14ac:dyDescent="0.25">
      <c r="A1488" s="215"/>
      <c r="B1488" s="215"/>
      <c r="C1488" s="215"/>
      <c r="D1488" s="215"/>
      <c r="E1488" s="221"/>
      <c r="F1488" s="221"/>
      <c r="G1488" s="222"/>
      <c r="H1488" s="221"/>
      <c r="I1488" s="223"/>
      <c r="J1488" s="237"/>
      <c r="K1488" s="223"/>
      <c r="L1488" s="236"/>
      <c r="M1488" s="222"/>
      <c r="N1488" s="224"/>
      <c r="O1488" s="222"/>
      <c r="P1488" s="224"/>
      <c r="Q1488" s="222"/>
      <c r="R1488" s="224"/>
      <c r="S1488" s="239"/>
      <c r="T1488" s="224"/>
      <c r="U1488" s="239"/>
      <c r="V1488" s="224"/>
      <c r="W1488" s="261"/>
    </row>
    <row r="1489" spans="1:23" x14ac:dyDescent="0.25">
      <c r="A1489" s="215"/>
      <c r="B1489" s="215"/>
      <c r="C1489" s="215"/>
      <c r="D1489" s="215"/>
      <c r="E1489" s="221"/>
      <c r="F1489" s="221"/>
      <c r="G1489" s="222"/>
      <c r="H1489" s="221"/>
      <c r="I1489" s="223"/>
      <c r="J1489" s="237"/>
      <c r="K1489" s="223"/>
      <c r="L1489" s="236"/>
      <c r="M1489" s="222"/>
      <c r="N1489" s="224"/>
      <c r="O1489" s="222"/>
      <c r="P1489" s="224"/>
      <c r="Q1489" s="222"/>
      <c r="R1489" s="224"/>
      <c r="S1489" s="239"/>
      <c r="T1489" s="224"/>
      <c r="U1489" s="239"/>
      <c r="V1489" s="224"/>
      <c r="W1489" s="261"/>
    </row>
    <row r="1490" spans="1:23" x14ac:dyDescent="0.25">
      <c r="A1490" s="215"/>
      <c r="B1490" s="215"/>
      <c r="C1490" s="215"/>
      <c r="D1490" s="215"/>
      <c r="E1490" s="221"/>
      <c r="F1490" s="221"/>
      <c r="G1490" s="222"/>
      <c r="H1490" s="221"/>
      <c r="I1490" s="223"/>
      <c r="J1490" s="237"/>
      <c r="K1490" s="223"/>
      <c r="L1490" s="236"/>
      <c r="M1490" s="222"/>
      <c r="N1490" s="224"/>
      <c r="O1490" s="222"/>
      <c r="P1490" s="224"/>
      <c r="Q1490" s="222"/>
      <c r="R1490" s="224"/>
      <c r="S1490" s="239"/>
      <c r="T1490" s="224"/>
      <c r="U1490" s="239"/>
      <c r="V1490" s="224"/>
      <c r="W1490" s="261"/>
    </row>
    <row r="1491" spans="1:23" x14ac:dyDescent="0.25">
      <c r="A1491" s="215"/>
      <c r="B1491" s="215"/>
      <c r="C1491" s="215"/>
      <c r="D1491" s="215"/>
      <c r="E1491" s="221"/>
      <c r="F1491" s="221"/>
      <c r="G1491" s="222"/>
      <c r="H1491" s="221"/>
      <c r="I1491" s="223"/>
      <c r="J1491" s="237"/>
      <c r="K1491" s="223"/>
      <c r="L1491" s="236"/>
      <c r="M1491" s="222"/>
      <c r="N1491" s="224"/>
      <c r="O1491" s="222"/>
      <c r="P1491" s="224"/>
      <c r="Q1491" s="222"/>
      <c r="R1491" s="224"/>
      <c r="S1491" s="239"/>
      <c r="T1491" s="224"/>
      <c r="U1491" s="239"/>
      <c r="V1491" s="224"/>
      <c r="W1491" s="261"/>
    </row>
    <row r="1492" spans="1:23" x14ac:dyDescent="0.25">
      <c r="A1492" s="215"/>
      <c r="B1492" s="215"/>
      <c r="C1492" s="215"/>
      <c r="D1492" s="215"/>
      <c r="E1492" s="221"/>
      <c r="F1492" s="221"/>
      <c r="G1492" s="222"/>
      <c r="H1492" s="221"/>
      <c r="I1492" s="223"/>
      <c r="J1492" s="237"/>
      <c r="K1492" s="223"/>
      <c r="L1492" s="236"/>
      <c r="M1492" s="222"/>
      <c r="N1492" s="224"/>
      <c r="O1492" s="222"/>
      <c r="P1492" s="224"/>
      <c r="Q1492" s="222"/>
      <c r="R1492" s="224"/>
      <c r="S1492" s="239"/>
      <c r="T1492" s="224"/>
      <c r="U1492" s="239"/>
      <c r="V1492" s="224"/>
      <c r="W1492" s="261"/>
    </row>
    <row r="1493" spans="1:23" x14ac:dyDescent="0.25">
      <c r="A1493" s="215"/>
      <c r="B1493" s="215"/>
      <c r="C1493" s="215"/>
      <c r="D1493" s="215"/>
      <c r="E1493" s="221"/>
      <c r="F1493" s="221"/>
      <c r="G1493" s="222"/>
      <c r="H1493" s="221"/>
      <c r="I1493" s="223"/>
      <c r="J1493" s="237"/>
      <c r="K1493" s="223"/>
      <c r="L1493" s="236"/>
      <c r="M1493" s="222"/>
      <c r="N1493" s="224"/>
      <c r="O1493" s="222"/>
      <c r="P1493" s="224"/>
      <c r="Q1493" s="222"/>
      <c r="R1493" s="224"/>
      <c r="S1493" s="239"/>
      <c r="T1493" s="224"/>
      <c r="U1493" s="239"/>
      <c r="V1493" s="224"/>
      <c r="W1493" s="261"/>
    </row>
    <row r="1494" spans="1:23" x14ac:dyDescent="0.25">
      <c r="A1494" s="215"/>
      <c r="B1494" s="215"/>
      <c r="C1494" s="215"/>
      <c r="D1494" s="215"/>
      <c r="E1494" s="221"/>
      <c r="F1494" s="221"/>
      <c r="G1494" s="222"/>
      <c r="H1494" s="221"/>
      <c r="I1494" s="223"/>
      <c r="J1494" s="237"/>
      <c r="K1494" s="223"/>
      <c r="L1494" s="236"/>
      <c r="M1494" s="222"/>
      <c r="N1494" s="224"/>
      <c r="O1494" s="222"/>
      <c r="P1494" s="224"/>
      <c r="Q1494" s="222"/>
      <c r="R1494" s="224"/>
      <c r="S1494" s="239"/>
      <c r="T1494" s="224"/>
      <c r="U1494" s="239"/>
      <c r="V1494" s="224"/>
      <c r="W1494" s="261"/>
    </row>
    <row r="1495" spans="1:23" x14ac:dyDescent="0.25">
      <c r="A1495" s="215"/>
      <c r="B1495" s="215"/>
      <c r="C1495" s="215"/>
      <c r="D1495" s="215"/>
      <c r="E1495" s="221"/>
      <c r="F1495" s="221"/>
      <c r="G1495" s="222"/>
      <c r="H1495" s="221"/>
      <c r="I1495" s="223"/>
      <c r="J1495" s="237"/>
      <c r="K1495" s="223"/>
      <c r="L1495" s="236"/>
      <c r="M1495" s="222"/>
      <c r="N1495" s="224"/>
      <c r="O1495" s="222"/>
      <c r="P1495" s="224"/>
      <c r="Q1495" s="222"/>
      <c r="R1495" s="224"/>
      <c r="S1495" s="239"/>
      <c r="T1495" s="224"/>
      <c r="U1495" s="239"/>
      <c r="V1495" s="224"/>
      <c r="W1495" s="261"/>
    </row>
    <row r="1496" spans="1:23" x14ac:dyDescent="0.25">
      <c r="A1496" s="215"/>
      <c r="B1496" s="215"/>
      <c r="C1496" s="215"/>
      <c r="D1496" s="215"/>
      <c r="E1496" s="221"/>
      <c r="F1496" s="221"/>
      <c r="G1496" s="222"/>
      <c r="H1496" s="221"/>
      <c r="I1496" s="223"/>
      <c r="J1496" s="237"/>
      <c r="K1496" s="223"/>
      <c r="L1496" s="236"/>
      <c r="M1496" s="222"/>
      <c r="N1496" s="224"/>
      <c r="O1496" s="222"/>
      <c r="P1496" s="224"/>
      <c r="Q1496" s="222"/>
      <c r="R1496" s="224"/>
      <c r="S1496" s="239"/>
      <c r="T1496" s="224"/>
      <c r="U1496" s="239"/>
      <c r="V1496" s="224"/>
      <c r="W1496" s="261"/>
    </row>
    <row r="1497" spans="1:23" x14ac:dyDescent="0.25">
      <c r="A1497" s="215"/>
      <c r="B1497" s="215"/>
      <c r="C1497" s="215"/>
      <c r="D1497" s="215"/>
      <c r="E1497" s="221"/>
      <c r="F1497" s="221"/>
      <c r="G1497" s="222"/>
      <c r="H1497" s="221"/>
      <c r="I1497" s="223"/>
      <c r="J1497" s="237"/>
      <c r="K1497" s="223"/>
      <c r="L1497" s="236"/>
      <c r="M1497" s="222"/>
      <c r="N1497" s="224"/>
      <c r="O1497" s="222"/>
      <c r="P1497" s="224"/>
      <c r="Q1497" s="222"/>
      <c r="R1497" s="224"/>
      <c r="S1497" s="239"/>
      <c r="T1497" s="224"/>
      <c r="U1497" s="239"/>
      <c r="V1497" s="224"/>
      <c r="W1497" s="261"/>
    </row>
    <row r="1498" spans="1:23" x14ac:dyDescent="0.25">
      <c r="A1498" s="215"/>
      <c r="B1498" s="215"/>
      <c r="C1498" s="215"/>
      <c r="D1498" s="215"/>
      <c r="E1498" s="221"/>
      <c r="F1498" s="221"/>
      <c r="G1498" s="222"/>
      <c r="H1498" s="221"/>
      <c r="I1498" s="223"/>
      <c r="J1498" s="237"/>
      <c r="K1498" s="223"/>
      <c r="L1498" s="236"/>
      <c r="M1498" s="222"/>
      <c r="N1498" s="224"/>
      <c r="O1498" s="222"/>
      <c r="P1498" s="224"/>
      <c r="Q1498" s="222"/>
      <c r="R1498" s="224"/>
      <c r="S1498" s="239"/>
      <c r="T1498" s="224"/>
      <c r="U1498" s="239"/>
      <c r="V1498" s="224"/>
      <c r="W1498" s="261"/>
    </row>
    <row r="1499" spans="1:23" x14ac:dyDescent="0.25">
      <c r="A1499" s="215"/>
      <c r="B1499" s="215"/>
      <c r="C1499" s="215"/>
      <c r="D1499" s="215"/>
      <c r="E1499" s="221"/>
      <c r="F1499" s="221"/>
      <c r="G1499" s="222"/>
      <c r="H1499" s="221"/>
      <c r="I1499" s="223"/>
      <c r="J1499" s="237"/>
      <c r="K1499" s="223"/>
      <c r="L1499" s="236"/>
      <c r="M1499" s="222"/>
      <c r="N1499" s="224"/>
      <c r="O1499" s="222"/>
      <c r="P1499" s="224"/>
      <c r="Q1499" s="222"/>
      <c r="R1499" s="224"/>
      <c r="S1499" s="239"/>
      <c r="T1499" s="224"/>
      <c r="U1499" s="239"/>
      <c r="V1499" s="224"/>
      <c r="W1499" s="261"/>
    </row>
    <row r="1500" spans="1:23" x14ac:dyDescent="0.25">
      <c r="A1500" s="215"/>
      <c r="B1500" s="215"/>
      <c r="C1500" s="215"/>
      <c r="D1500" s="215"/>
      <c r="E1500" s="221"/>
      <c r="F1500" s="221"/>
      <c r="G1500" s="222"/>
      <c r="H1500" s="221"/>
      <c r="I1500" s="223"/>
      <c r="J1500" s="237"/>
      <c r="K1500" s="223"/>
      <c r="L1500" s="236"/>
      <c r="M1500" s="222"/>
      <c r="N1500" s="224"/>
      <c r="O1500" s="222"/>
      <c r="P1500" s="224"/>
      <c r="Q1500" s="222"/>
      <c r="R1500" s="224"/>
      <c r="S1500" s="239"/>
      <c r="T1500" s="224"/>
      <c r="U1500" s="239"/>
      <c r="V1500" s="224"/>
      <c r="W1500" s="261"/>
    </row>
    <row r="1501" spans="1:23" x14ac:dyDescent="0.25">
      <c r="A1501" s="215"/>
      <c r="B1501" s="215"/>
      <c r="C1501" s="215"/>
      <c r="D1501" s="215"/>
      <c r="E1501" s="221"/>
      <c r="F1501" s="221"/>
      <c r="G1501" s="222"/>
      <c r="H1501" s="221"/>
      <c r="I1501" s="223"/>
      <c r="J1501" s="237"/>
      <c r="K1501" s="223"/>
      <c r="L1501" s="236"/>
      <c r="M1501" s="222"/>
      <c r="N1501" s="224"/>
      <c r="O1501" s="222"/>
      <c r="P1501" s="224"/>
      <c r="Q1501" s="222"/>
      <c r="R1501" s="224"/>
      <c r="S1501" s="239"/>
      <c r="T1501" s="224"/>
      <c r="U1501" s="239"/>
      <c r="V1501" s="224"/>
      <c r="W1501" s="261"/>
    </row>
    <row r="1502" spans="1:23" x14ac:dyDescent="0.25">
      <c r="A1502" s="215"/>
      <c r="B1502" s="215"/>
      <c r="C1502" s="215"/>
      <c r="D1502" s="215"/>
      <c r="E1502" s="221"/>
      <c r="F1502" s="221"/>
      <c r="G1502" s="222"/>
      <c r="H1502" s="221"/>
      <c r="I1502" s="223"/>
      <c r="J1502" s="237"/>
      <c r="K1502" s="223"/>
      <c r="L1502" s="236"/>
      <c r="M1502" s="222"/>
      <c r="N1502" s="224"/>
      <c r="O1502" s="222"/>
      <c r="P1502" s="224"/>
      <c r="Q1502" s="222"/>
      <c r="R1502" s="224"/>
      <c r="S1502" s="239"/>
      <c r="T1502" s="224"/>
      <c r="U1502" s="239"/>
      <c r="V1502" s="224"/>
      <c r="W1502" s="261"/>
    </row>
    <row r="1503" spans="1:23" x14ac:dyDescent="0.25">
      <c r="A1503" s="215"/>
      <c r="B1503" s="215"/>
      <c r="C1503" s="215"/>
      <c r="D1503" s="215"/>
      <c r="E1503" s="221"/>
      <c r="F1503" s="221"/>
      <c r="G1503" s="222"/>
      <c r="H1503" s="221"/>
      <c r="I1503" s="223"/>
      <c r="J1503" s="237"/>
      <c r="K1503" s="223"/>
      <c r="L1503" s="236"/>
      <c r="M1503" s="222"/>
      <c r="N1503" s="224"/>
      <c r="O1503" s="222"/>
      <c r="P1503" s="224"/>
      <c r="Q1503" s="222"/>
      <c r="R1503" s="224"/>
      <c r="S1503" s="239"/>
      <c r="T1503" s="224"/>
      <c r="U1503" s="239"/>
      <c r="V1503" s="224"/>
      <c r="W1503" s="261"/>
    </row>
    <row r="1504" spans="1:23" x14ac:dyDescent="0.25">
      <c r="A1504" s="215"/>
      <c r="B1504" s="215"/>
      <c r="C1504" s="215"/>
      <c r="D1504" s="215"/>
      <c r="E1504" s="221"/>
      <c r="F1504" s="221"/>
      <c r="G1504" s="222"/>
      <c r="H1504" s="221"/>
      <c r="I1504" s="223"/>
      <c r="J1504" s="237"/>
      <c r="K1504" s="223"/>
      <c r="L1504" s="236"/>
      <c r="M1504" s="222"/>
      <c r="N1504" s="224"/>
      <c r="O1504" s="222"/>
      <c r="P1504" s="224"/>
      <c r="Q1504" s="222"/>
      <c r="R1504" s="224"/>
      <c r="S1504" s="239"/>
      <c r="T1504" s="224"/>
      <c r="U1504" s="239"/>
      <c r="V1504" s="224"/>
      <c r="W1504" s="261"/>
    </row>
    <row r="1505" spans="1:23" x14ac:dyDescent="0.25">
      <c r="A1505" s="215"/>
      <c r="B1505" s="215"/>
      <c r="C1505" s="215"/>
      <c r="D1505" s="215"/>
      <c r="E1505" s="221"/>
      <c r="F1505" s="221"/>
      <c r="G1505" s="222"/>
      <c r="H1505" s="221"/>
      <c r="I1505" s="223"/>
      <c r="J1505" s="237"/>
      <c r="K1505" s="223"/>
      <c r="L1505" s="236"/>
      <c r="M1505" s="222"/>
      <c r="N1505" s="224"/>
      <c r="O1505" s="222"/>
      <c r="P1505" s="224"/>
      <c r="Q1505" s="222"/>
      <c r="R1505" s="224"/>
      <c r="S1505" s="239"/>
      <c r="T1505" s="224"/>
      <c r="U1505" s="239"/>
      <c r="V1505" s="224"/>
      <c r="W1505" s="261"/>
    </row>
    <row r="1506" spans="1:23" x14ac:dyDescent="0.25">
      <c r="A1506" s="215"/>
      <c r="B1506" s="215"/>
      <c r="C1506" s="215"/>
      <c r="D1506" s="215"/>
      <c r="E1506" s="221"/>
      <c r="F1506" s="221"/>
      <c r="G1506" s="222"/>
      <c r="H1506" s="221"/>
      <c r="I1506" s="223"/>
      <c r="J1506" s="237"/>
      <c r="K1506" s="223"/>
      <c r="L1506" s="236"/>
      <c r="M1506" s="222"/>
      <c r="N1506" s="224"/>
      <c r="O1506" s="222"/>
      <c r="P1506" s="224"/>
      <c r="Q1506" s="222"/>
      <c r="R1506" s="224"/>
      <c r="S1506" s="239"/>
      <c r="T1506" s="224"/>
      <c r="U1506" s="239"/>
      <c r="V1506" s="224"/>
      <c r="W1506" s="261"/>
    </row>
    <row r="1507" spans="1:23" x14ac:dyDescent="0.25">
      <c r="A1507" s="215"/>
      <c r="B1507" s="215"/>
      <c r="C1507" s="215"/>
      <c r="D1507" s="215"/>
      <c r="E1507" s="221"/>
      <c r="F1507" s="221"/>
      <c r="G1507" s="222"/>
      <c r="H1507" s="221"/>
      <c r="I1507" s="223"/>
      <c r="J1507" s="237"/>
      <c r="K1507" s="223"/>
      <c r="L1507" s="236"/>
      <c r="M1507" s="222"/>
      <c r="N1507" s="224"/>
      <c r="O1507" s="222"/>
      <c r="P1507" s="224"/>
      <c r="Q1507" s="222"/>
      <c r="R1507" s="224"/>
      <c r="S1507" s="239"/>
      <c r="T1507" s="224"/>
      <c r="U1507" s="239"/>
      <c r="V1507" s="224"/>
      <c r="W1507" s="261"/>
    </row>
    <row r="1508" spans="1:23" x14ac:dyDescent="0.25">
      <c r="A1508" s="215"/>
      <c r="B1508" s="215"/>
      <c r="C1508" s="215"/>
      <c r="D1508" s="215"/>
      <c r="E1508" s="221"/>
      <c r="F1508" s="221"/>
      <c r="G1508" s="222"/>
      <c r="H1508" s="221"/>
      <c r="I1508" s="223"/>
      <c r="J1508" s="237"/>
      <c r="K1508" s="223"/>
      <c r="L1508" s="236"/>
      <c r="M1508" s="222"/>
      <c r="N1508" s="224"/>
      <c r="O1508" s="222"/>
      <c r="P1508" s="224"/>
      <c r="Q1508" s="222"/>
      <c r="R1508" s="224"/>
      <c r="S1508" s="239"/>
      <c r="T1508" s="224"/>
      <c r="U1508" s="239"/>
      <c r="V1508" s="224"/>
      <c r="W1508" s="261"/>
    </row>
    <row r="1509" spans="1:23" x14ac:dyDescent="0.25">
      <c r="A1509" s="215"/>
      <c r="B1509" s="215"/>
      <c r="C1509" s="215"/>
      <c r="D1509" s="215"/>
      <c r="E1509" s="221"/>
      <c r="F1509" s="221"/>
      <c r="G1509" s="222"/>
      <c r="H1509" s="221"/>
      <c r="I1509" s="223"/>
      <c r="J1509" s="237"/>
      <c r="K1509" s="223"/>
      <c r="L1509" s="236"/>
      <c r="M1509" s="222"/>
      <c r="N1509" s="224"/>
      <c r="O1509" s="222"/>
      <c r="P1509" s="224"/>
      <c r="Q1509" s="222"/>
      <c r="R1509" s="224"/>
      <c r="S1509" s="239"/>
      <c r="T1509" s="224"/>
      <c r="U1509" s="239"/>
      <c r="V1509" s="224"/>
      <c r="W1509" s="261"/>
    </row>
    <row r="1510" spans="1:23" x14ac:dyDescent="0.25">
      <c r="A1510" s="215"/>
      <c r="B1510" s="215"/>
      <c r="C1510" s="215"/>
      <c r="D1510" s="215"/>
      <c r="E1510" s="221"/>
      <c r="F1510" s="221"/>
      <c r="G1510" s="222"/>
      <c r="H1510" s="221"/>
      <c r="I1510" s="223"/>
      <c r="J1510" s="237"/>
      <c r="K1510" s="223"/>
      <c r="L1510" s="236"/>
      <c r="M1510" s="222"/>
      <c r="N1510" s="224"/>
      <c r="O1510" s="222"/>
      <c r="P1510" s="224"/>
      <c r="Q1510" s="222"/>
      <c r="R1510" s="224"/>
      <c r="S1510" s="239"/>
      <c r="T1510" s="224"/>
      <c r="U1510" s="239"/>
      <c r="V1510" s="224"/>
      <c r="W1510" s="261"/>
    </row>
    <row r="1511" spans="1:23" x14ac:dyDescent="0.25">
      <c r="A1511" s="215"/>
      <c r="B1511" s="215"/>
      <c r="C1511" s="215"/>
      <c r="D1511" s="215"/>
      <c r="E1511" s="221"/>
      <c r="F1511" s="221"/>
      <c r="G1511" s="222"/>
      <c r="H1511" s="221"/>
      <c r="I1511" s="223"/>
      <c r="J1511" s="237"/>
      <c r="K1511" s="223"/>
      <c r="L1511" s="236"/>
      <c r="M1511" s="222"/>
      <c r="N1511" s="224"/>
      <c r="O1511" s="222"/>
      <c r="P1511" s="224"/>
      <c r="Q1511" s="222"/>
      <c r="R1511" s="224"/>
      <c r="S1511" s="239"/>
      <c r="T1511" s="224"/>
      <c r="U1511" s="239"/>
      <c r="V1511" s="224"/>
      <c r="W1511" s="261"/>
    </row>
    <row r="1512" spans="1:23" x14ac:dyDescent="0.25">
      <c r="A1512" s="215"/>
      <c r="B1512" s="215"/>
      <c r="C1512" s="215"/>
      <c r="D1512" s="215"/>
      <c r="E1512" s="221"/>
      <c r="F1512" s="221"/>
      <c r="G1512" s="222"/>
      <c r="H1512" s="221"/>
      <c r="I1512" s="223"/>
      <c r="J1512" s="237"/>
      <c r="K1512" s="223"/>
      <c r="L1512" s="236"/>
      <c r="M1512" s="222"/>
      <c r="N1512" s="224"/>
      <c r="O1512" s="222"/>
      <c r="P1512" s="224"/>
      <c r="Q1512" s="222"/>
      <c r="R1512" s="224"/>
      <c r="S1512" s="239"/>
      <c r="T1512" s="224"/>
      <c r="U1512" s="239"/>
      <c r="V1512" s="224"/>
      <c r="W1512" s="261"/>
    </row>
    <row r="1513" spans="1:23" x14ac:dyDescent="0.25">
      <c r="A1513" s="215"/>
      <c r="B1513" s="215"/>
      <c r="C1513" s="215"/>
      <c r="D1513" s="215"/>
      <c r="E1513" s="221"/>
      <c r="F1513" s="221"/>
      <c r="G1513" s="222"/>
      <c r="H1513" s="221"/>
      <c r="I1513" s="223"/>
      <c r="J1513" s="237"/>
      <c r="K1513" s="223"/>
      <c r="L1513" s="236"/>
      <c r="M1513" s="222"/>
      <c r="N1513" s="224"/>
      <c r="O1513" s="222"/>
      <c r="P1513" s="224"/>
      <c r="Q1513" s="222"/>
      <c r="R1513" s="224"/>
      <c r="S1513" s="239"/>
      <c r="T1513" s="224"/>
      <c r="U1513" s="239"/>
      <c r="V1513" s="224"/>
      <c r="W1513" s="261"/>
    </row>
    <row r="1514" spans="1:23" x14ac:dyDescent="0.25">
      <c r="A1514" s="215"/>
      <c r="B1514" s="215"/>
      <c r="C1514" s="215"/>
      <c r="D1514" s="215"/>
      <c r="E1514" s="221"/>
      <c r="F1514" s="221"/>
      <c r="G1514" s="222"/>
      <c r="H1514" s="221"/>
      <c r="I1514" s="223"/>
      <c r="J1514" s="237"/>
      <c r="K1514" s="223"/>
      <c r="L1514" s="236"/>
      <c r="M1514" s="222"/>
      <c r="N1514" s="224"/>
      <c r="O1514" s="222"/>
      <c r="P1514" s="224"/>
      <c r="Q1514" s="222"/>
      <c r="R1514" s="224"/>
      <c r="S1514" s="239"/>
      <c r="T1514" s="224"/>
      <c r="U1514" s="239"/>
      <c r="V1514" s="224"/>
      <c r="W1514" s="261"/>
    </row>
    <row r="1515" spans="1:23" x14ac:dyDescent="0.25">
      <c r="A1515" s="215"/>
      <c r="B1515" s="215"/>
      <c r="C1515" s="215"/>
      <c r="D1515" s="215"/>
      <c r="E1515" s="221"/>
      <c r="F1515" s="221"/>
      <c r="G1515" s="222"/>
      <c r="H1515" s="221"/>
      <c r="I1515" s="223"/>
      <c r="J1515" s="237"/>
      <c r="K1515" s="223"/>
      <c r="L1515" s="236"/>
      <c r="M1515" s="222"/>
      <c r="N1515" s="224"/>
      <c r="O1515" s="222"/>
      <c r="P1515" s="224"/>
      <c r="Q1515" s="222"/>
      <c r="R1515" s="224"/>
      <c r="S1515" s="239"/>
      <c r="T1515" s="224"/>
      <c r="U1515" s="239"/>
      <c r="V1515" s="224"/>
      <c r="W1515" s="261"/>
    </row>
    <row r="1516" spans="1:23" x14ac:dyDescent="0.25">
      <c r="A1516" s="215"/>
      <c r="B1516" s="215"/>
      <c r="C1516" s="215"/>
      <c r="D1516" s="215"/>
      <c r="E1516" s="221"/>
      <c r="F1516" s="221"/>
      <c r="G1516" s="222"/>
      <c r="H1516" s="221"/>
      <c r="I1516" s="223"/>
      <c r="J1516" s="237"/>
      <c r="K1516" s="223"/>
      <c r="L1516" s="236"/>
      <c r="M1516" s="222"/>
      <c r="N1516" s="224"/>
      <c r="O1516" s="222"/>
      <c r="P1516" s="224"/>
      <c r="Q1516" s="222"/>
      <c r="R1516" s="224"/>
      <c r="S1516" s="239"/>
      <c r="T1516" s="224"/>
      <c r="U1516" s="239"/>
      <c r="V1516" s="224"/>
      <c r="W1516" s="261"/>
    </row>
    <row r="1517" spans="1:23" x14ac:dyDescent="0.25">
      <c r="A1517" s="215"/>
      <c r="B1517" s="215"/>
      <c r="C1517" s="215"/>
      <c r="D1517" s="215"/>
      <c r="E1517" s="221"/>
      <c r="F1517" s="221"/>
      <c r="G1517" s="222"/>
      <c r="H1517" s="221"/>
      <c r="I1517" s="223"/>
      <c r="J1517" s="237"/>
      <c r="K1517" s="223"/>
      <c r="L1517" s="236"/>
      <c r="M1517" s="222"/>
      <c r="N1517" s="224"/>
      <c r="O1517" s="222"/>
      <c r="P1517" s="224"/>
      <c r="Q1517" s="222"/>
      <c r="R1517" s="224"/>
      <c r="S1517" s="239"/>
      <c r="T1517" s="224"/>
      <c r="U1517" s="239"/>
      <c r="V1517" s="224"/>
      <c r="W1517" s="261"/>
    </row>
    <row r="1518" spans="1:23" x14ac:dyDescent="0.25">
      <c r="A1518" s="215"/>
      <c r="B1518" s="215"/>
      <c r="C1518" s="215"/>
      <c r="D1518" s="215"/>
      <c r="E1518" s="221"/>
      <c r="F1518" s="221"/>
      <c r="G1518" s="222"/>
      <c r="H1518" s="221"/>
      <c r="I1518" s="223"/>
      <c r="J1518" s="237"/>
      <c r="K1518" s="223"/>
      <c r="L1518" s="236"/>
      <c r="M1518" s="222"/>
      <c r="N1518" s="224"/>
      <c r="O1518" s="222"/>
      <c r="P1518" s="224"/>
      <c r="Q1518" s="222"/>
      <c r="R1518" s="224"/>
      <c r="S1518" s="239"/>
      <c r="T1518" s="224"/>
      <c r="U1518" s="239"/>
      <c r="V1518" s="224"/>
      <c r="W1518" s="261"/>
    </row>
    <row r="1519" spans="1:23" x14ac:dyDescent="0.25">
      <c r="A1519" s="215"/>
      <c r="B1519" s="215"/>
      <c r="C1519" s="215"/>
      <c r="D1519" s="215"/>
      <c r="E1519" s="221"/>
      <c r="F1519" s="221"/>
      <c r="G1519" s="222"/>
      <c r="H1519" s="221"/>
      <c r="I1519" s="223"/>
      <c r="J1519" s="237"/>
      <c r="K1519" s="223"/>
      <c r="L1519" s="236"/>
      <c r="M1519" s="222"/>
      <c r="N1519" s="224"/>
      <c r="O1519" s="222"/>
      <c r="P1519" s="224"/>
      <c r="Q1519" s="222"/>
      <c r="R1519" s="224"/>
      <c r="S1519" s="239"/>
      <c r="T1519" s="224"/>
      <c r="U1519" s="239"/>
      <c r="V1519" s="224"/>
      <c r="W1519" s="261"/>
    </row>
    <row r="1520" spans="1:23" x14ac:dyDescent="0.25">
      <c r="A1520" s="215"/>
      <c r="B1520" s="215"/>
      <c r="C1520" s="215"/>
      <c r="D1520" s="215"/>
      <c r="E1520" s="221"/>
      <c r="F1520" s="221"/>
      <c r="G1520" s="222"/>
      <c r="H1520" s="221"/>
      <c r="I1520" s="223"/>
      <c r="J1520" s="237"/>
      <c r="K1520" s="223"/>
      <c r="L1520" s="236"/>
      <c r="M1520" s="222"/>
      <c r="N1520" s="224"/>
      <c r="O1520" s="222"/>
      <c r="P1520" s="224"/>
      <c r="Q1520" s="222"/>
      <c r="R1520" s="224"/>
      <c r="S1520" s="239"/>
      <c r="T1520" s="224"/>
      <c r="U1520" s="239"/>
      <c r="V1520" s="224"/>
      <c r="W1520" s="261"/>
    </row>
    <row r="1521" spans="1:23" x14ac:dyDescent="0.25">
      <c r="A1521" s="215"/>
      <c r="B1521" s="215"/>
      <c r="C1521" s="215"/>
      <c r="D1521" s="215"/>
      <c r="E1521" s="221"/>
      <c r="F1521" s="221"/>
      <c r="G1521" s="222"/>
      <c r="H1521" s="221"/>
      <c r="I1521" s="223"/>
      <c r="J1521" s="237"/>
      <c r="K1521" s="223"/>
      <c r="L1521" s="236"/>
      <c r="M1521" s="222"/>
      <c r="N1521" s="224"/>
      <c r="O1521" s="222"/>
      <c r="P1521" s="224"/>
      <c r="Q1521" s="222"/>
      <c r="R1521" s="224"/>
      <c r="S1521" s="239"/>
      <c r="T1521" s="224"/>
      <c r="U1521" s="239"/>
      <c r="V1521" s="224"/>
      <c r="W1521" s="261"/>
    </row>
    <row r="1522" spans="1:23" x14ac:dyDescent="0.25">
      <c r="A1522" s="215"/>
      <c r="B1522" s="215"/>
      <c r="C1522" s="215"/>
      <c r="D1522" s="215"/>
      <c r="E1522" s="221"/>
      <c r="F1522" s="221"/>
      <c r="G1522" s="222"/>
      <c r="H1522" s="221"/>
      <c r="I1522" s="223"/>
      <c r="J1522" s="237"/>
      <c r="K1522" s="223"/>
      <c r="L1522" s="236"/>
      <c r="M1522" s="222"/>
      <c r="N1522" s="224"/>
      <c r="O1522" s="222"/>
      <c r="P1522" s="224"/>
      <c r="Q1522" s="222"/>
      <c r="R1522" s="224"/>
      <c r="S1522" s="239"/>
      <c r="T1522" s="224"/>
      <c r="U1522" s="239"/>
      <c r="V1522" s="224"/>
      <c r="W1522" s="261"/>
    </row>
    <row r="1523" spans="1:23" x14ac:dyDescent="0.25">
      <c r="A1523" s="215"/>
      <c r="B1523" s="215"/>
      <c r="C1523" s="215"/>
      <c r="D1523" s="215"/>
      <c r="E1523" s="221"/>
      <c r="F1523" s="221"/>
      <c r="G1523" s="222"/>
      <c r="H1523" s="221"/>
      <c r="I1523" s="223"/>
      <c r="J1523" s="237"/>
      <c r="K1523" s="223"/>
      <c r="L1523" s="236"/>
      <c r="M1523" s="222"/>
      <c r="N1523" s="224"/>
      <c r="O1523" s="222"/>
      <c r="P1523" s="224"/>
      <c r="Q1523" s="222"/>
      <c r="R1523" s="224"/>
      <c r="S1523" s="239"/>
      <c r="T1523" s="224"/>
      <c r="U1523" s="239"/>
      <c r="V1523" s="224"/>
      <c r="W1523" s="261"/>
    </row>
    <row r="1524" spans="1:23" x14ac:dyDescent="0.25">
      <c r="A1524" s="215"/>
      <c r="B1524" s="215"/>
      <c r="C1524" s="215"/>
      <c r="D1524" s="215"/>
      <c r="E1524" s="221"/>
      <c r="F1524" s="221"/>
      <c r="G1524" s="222"/>
      <c r="H1524" s="221"/>
      <c r="I1524" s="223"/>
      <c r="J1524" s="237"/>
      <c r="K1524" s="223"/>
      <c r="L1524" s="236"/>
      <c r="M1524" s="222"/>
      <c r="N1524" s="224"/>
      <c r="O1524" s="222"/>
      <c r="P1524" s="224"/>
      <c r="Q1524" s="222"/>
      <c r="R1524" s="224"/>
      <c r="S1524" s="239"/>
      <c r="T1524" s="224"/>
      <c r="U1524" s="239"/>
      <c r="V1524" s="224"/>
      <c r="W1524" s="261"/>
    </row>
    <row r="1525" spans="1:23" x14ac:dyDescent="0.25">
      <c r="A1525" s="215"/>
      <c r="B1525" s="215"/>
      <c r="C1525" s="215"/>
      <c r="D1525" s="215"/>
      <c r="E1525" s="221"/>
      <c r="F1525" s="221"/>
      <c r="G1525" s="222"/>
      <c r="H1525" s="221"/>
      <c r="I1525" s="223"/>
      <c r="J1525" s="237"/>
      <c r="K1525" s="223"/>
      <c r="L1525" s="236"/>
      <c r="M1525" s="222"/>
      <c r="N1525" s="224"/>
      <c r="O1525" s="222"/>
      <c r="P1525" s="224"/>
      <c r="Q1525" s="222"/>
      <c r="R1525" s="224"/>
      <c r="S1525" s="239"/>
      <c r="T1525" s="224"/>
      <c r="U1525" s="239"/>
      <c r="V1525" s="224"/>
      <c r="W1525" s="261"/>
    </row>
    <row r="1526" spans="1:23" x14ac:dyDescent="0.25">
      <c r="A1526" s="215"/>
      <c r="B1526" s="215"/>
      <c r="C1526" s="215"/>
      <c r="D1526" s="215"/>
      <c r="E1526" s="221"/>
      <c r="F1526" s="221"/>
      <c r="G1526" s="222"/>
      <c r="H1526" s="221"/>
      <c r="I1526" s="223"/>
      <c r="J1526" s="237"/>
      <c r="K1526" s="223"/>
      <c r="L1526" s="236"/>
      <c r="M1526" s="222"/>
      <c r="N1526" s="224"/>
      <c r="O1526" s="222"/>
      <c r="P1526" s="224"/>
      <c r="Q1526" s="222"/>
      <c r="R1526" s="224"/>
      <c r="S1526" s="239"/>
      <c r="T1526" s="224"/>
      <c r="U1526" s="239"/>
      <c r="V1526" s="224"/>
      <c r="W1526" s="261"/>
    </row>
    <row r="1527" spans="1:23" x14ac:dyDescent="0.25">
      <c r="A1527" s="215"/>
      <c r="B1527" s="215"/>
      <c r="C1527" s="215"/>
      <c r="D1527" s="215"/>
      <c r="E1527" s="221"/>
      <c r="F1527" s="221"/>
      <c r="G1527" s="222"/>
      <c r="H1527" s="221"/>
      <c r="I1527" s="223"/>
      <c r="J1527" s="237"/>
      <c r="K1527" s="223"/>
      <c r="L1527" s="236"/>
      <c r="M1527" s="222"/>
      <c r="N1527" s="224"/>
      <c r="O1527" s="222"/>
      <c r="P1527" s="224"/>
      <c r="Q1527" s="222"/>
      <c r="R1527" s="224"/>
      <c r="S1527" s="239"/>
      <c r="T1527" s="224"/>
      <c r="U1527" s="239"/>
      <c r="V1527" s="224"/>
      <c r="W1527" s="261"/>
    </row>
    <row r="1528" spans="1:23" x14ac:dyDescent="0.25">
      <c r="A1528" s="215"/>
      <c r="B1528" s="215"/>
      <c r="C1528" s="215"/>
      <c r="D1528" s="215"/>
      <c r="E1528" s="221"/>
      <c r="F1528" s="221"/>
      <c r="G1528" s="222"/>
      <c r="H1528" s="221"/>
      <c r="I1528" s="223"/>
      <c r="J1528" s="237"/>
      <c r="K1528" s="223"/>
      <c r="L1528" s="236"/>
      <c r="M1528" s="222"/>
      <c r="N1528" s="224"/>
      <c r="O1528" s="222"/>
      <c r="P1528" s="224"/>
      <c r="Q1528" s="222"/>
      <c r="R1528" s="224"/>
      <c r="S1528" s="239"/>
      <c r="T1528" s="224"/>
      <c r="U1528" s="239"/>
      <c r="V1528" s="224"/>
      <c r="W1528" s="261"/>
    </row>
    <row r="1529" spans="1:23" x14ac:dyDescent="0.25">
      <c r="A1529" s="215"/>
      <c r="B1529" s="215"/>
      <c r="C1529" s="215"/>
      <c r="D1529" s="215"/>
      <c r="E1529" s="221"/>
      <c r="F1529" s="221"/>
      <c r="G1529" s="222"/>
      <c r="H1529" s="221"/>
      <c r="I1529" s="223"/>
      <c r="J1529" s="237"/>
      <c r="K1529" s="223"/>
      <c r="L1529" s="236"/>
      <c r="M1529" s="222"/>
      <c r="N1529" s="224"/>
      <c r="O1529" s="222"/>
      <c r="P1529" s="224"/>
      <c r="Q1529" s="222"/>
      <c r="R1529" s="224"/>
      <c r="S1529" s="239"/>
      <c r="T1529" s="224"/>
      <c r="U1529" s="239"/>
      <c r="V1529" s="224"/>
      <c r="W1529" s="261"/>
    </row>
    <row r="1530" spans="1:23" x14ac:dyDescent="0.25">
      <c r="A1530" s="215"/>
      <c r="B1530" s="215"/>
      <c r="C1530" s="215"/>
      <c r="D1530" s="215"/>
      <c r="E1530" s="221"/>
      <c r="F1530" s="221"/>
      <c r="G1530" s="222"/>
      <c r="H1530" s="221"/>
      <c r="I1530" s="223"/>
      <c r="J1530" s="237"/>
      <c r="K1530" s="223"/>
      <c r="L1530" s="236"/>
      <c r="M1530" s="222"/>
      <c r="N1530" s="224"/>
      <c r="O1530" s="222"/>
      <c r="P1530" s="224"/>
      <c r="Q1530" s="222"/>
      <c r="R1530" s="224"/>
      <c r="S1530" s="239"/>
      <c r="T1530" s="224"/>
      <c r="U1530" s="239"/>
      <c r="V1530" s="224"/>
      <c r="W1530" s="261"/>
    </row>
    <row r="1531" spans="1:23" x14ac:dyDescent="0.25">
      <c r="A1531" s="215"/>
      <c r="B1531" s="215"/>
      <c r="C1531" s="215"/>
      <c r="D1531" s="215"/>
      <c r="E1531" s="221"/>
      <c r="F1531" s="221"/>
      <c r="G1531" s="222"/>
      <c r="H1531" s="221"/>
      <c r="I1531" s="223"/>
      <c r="J1531" s="237"/>
      <c r="K1531" s="223"/>
      <c r="L1531" s="236"/>
      <c r="M1531" s="222"/>
      <c r="N1531" s="224"/>
      <c r="O1531" s="222"/>
      <c r="P1531" s="224"/>
      <c r="Q1531" s="222"/>
      <c r="R1531" s="224"/>
      <c r="S1531" s="239"/>
      <c r="T1531" s="224"/>
      <c r="U1531" s="239"/>
      <c r="V1531" s="224"/>
      <c r="W1531" s="261"/>
    </row>
    <row r="1532" spans="1:23" x14ac:dyDescent="0.25">
      <c r="A1532" s="215"/>
      <c r="B1532" s="215"/>
      <c r="C1532" s="215"/>
      <c r="D1532" s="215"/>
      <c r="E1532" s="221"/>
      <c r="F1532" s="221"/>
      <c r="G1532" s="222"/>
      <c r="H1532" s="221"/>
      <c r="I1532" s="223"/>
      <c r="J1532" s="237"/>
      <c r="K1532" s="223"/>
      <c r="L1532" s="236"/>
      <c r="M1532" s="222"/>
      <c r="N1532" s="224"/>
      <c r="O1532" s="222"/>
      <c r="P1532" s="224"/>
      <c r="Q1532" s="222"/>
      <c r="R1532" s="224"/>
      <c r="S1532" s="239"/>
      <c r="T1532" s="224"/>
      <c r="U1532" s="239"/>
      <c r="V1532" s="224"/>
      <c r="W1532" s="261"/>
    </row>
    <row r="1533" spans="1:23" x14ac:dyDescent="0.25">
      <c r="A1533" s="215"/>
      <c r="B1533" s="215"/>
      <c r="C1533" s="215"/>
      <c r="D1533" s="215"/>
      <c r="E1533" s="221"/>
      <c r="F1533" s="221"/>
      <c r="G1533" s="222"/>
      <c r="H1533" s="221"/>
      <c r="I1533" s="223"/>
      <c r="J1533" s="237"/>
      <c r="K1533" s="223"/>
      <c r="L1533" s="236"/>
      <c r="M1533" s="222"/>
      <c r="N1533" s="224"/>
      <c r="O1533" s="222"/>
      <c r="P1533" s="224"/>
      <c r="Q1533" s="222"/>
      <c r="R1533" s="224"/>
      <c r="S1533" s="239"/>
      <c r="T1533" s="224"/>
      <c r="U1533" s="239"/>
      <c r="V1533" s="224"/>
      <c r="W1533" s="261"/>
    </row>
    <row r="1534" spans="1:23" x14ac:dyDescent="0.25">
      <c r="A1534" s="215"/>
      <c r="B1534" s="215"/>
      <c r="C1534" s="215"/>
      <c r="D1534" s="215"/>
      <c r="E1534" s="221"/>
      <c r="F1534" s="221"/>
      <c r="G1534" s="222"/>
      <c r="H1534" s="221"/>
      <c r="I1534" s="223"/>
      <c r="J1534" s="237"/>
      <c r="K1534" s="223"/>
      <c r="L1534" s="236"/>
      <c r="M1534" s="222"/>
      <c r="N1534" s="224"/>
      <c r="O1534" s="222"/>
      <c r="P1534" s="224"/>
      <c r="Q1534" s="222"/>
      <c r="R1534" s="224"/>
      <c r="S1534" s="239"/>
      <c r="T1534" s="224"/>
      <c r="U1534" s="239"/>
      <c r="V1534" s="224"/>
      <c r="W1534" s="261"/>
    </row>
    <row r="1535" spans="1:23" x14ac:dyDescent="0.25">
      <c r="A1535" s="215"/>
      <c r="B1535" s="215"/>
      <c r="C1535" s="215"/>
      <c r="D1535" s="215"/>
      <c r="E1535" s="221"/>
      <c r="F1535" s="221"/>
      <c r="G1535" s="222"/>
      <c r="H1535" s="221"/>
      <c r="I1535" s="223"/>
      <c r="J1535" s="237"/>
      <c r="K1535" s="223"/>
      <c r="L1535" s="236"/>
      <c r="M1535" s="222"/>
      <c r="N1535" s="224"/>
      <c r="O1535" s="222"/>
      <c r="P1535" s="224"/>
      <c r="Q1535" s="222"/>
      <c r="R1535" s="224"/>
      <c r="S1535" s="239"/>
      <c r="T1535" s="224"/>
      <c r="U1535" s="239"/>
      <c r="V1535" s="224"/>
      <c r="W1535" s="261"/>
    </row>
    <row r="1536" spans="1:23" x14ac:dyDescent="0.25">
      <c r="A1536" s="215"/>
      <c r="B1536" s="215"/>
      <c r="C1536" s="215"/>
      <c r="D1536" s="215"/>
      <c r="E1536" s="221"/>
      <c r="F1536" s="221"/>
      <c r="G1536" s="222"/>
      <c r="H1536" s="221"/>
      <c r="I1536" s="223"/>
      <c r="J1536" s="237"/>
      <c r="K1536" s="223"/>
      <c r="L1536" s="236"/>
      <c r="M1536" s="222"/>
      <c r="N1536" s="224"/>
      <c r="O1536" s="222"/>
      <c r="P1536" s="224"/>
      <c r="Q1536" s="222"/>
      <c r="R1536" s="224"/>
      <c r="S1536" s="239"/>
      <c r="T1536" s="224"/>
      <c r="U1536" s="239"/>
      <c r="V1536" s="224"/>
      <c r="W1536" s="261"/>
    </row>
    <row r="1537" spans="1:23" x14ac:dyDescent="0.25">
      <c r="A1537" s="215"/>
      <c r="B1537" s="215"/>
      <c r="C1537" s="215"/>
      <c r="D1537" s="215"/>
      <c r="E1537" s="221"/>
      <c r="F1537" s="221"/>
      <c r="G1537" s="222"/>
      <c r="H1537" s="221"/>
      <c r="I1537" s="223"/>
      <c r="J1537" s="237"/>
      <c r="K1537" s="223"/>
      <c r="L1537" s="236"/>
      <c r="M1537" s="222"/>
      <c r="N1537" s="224"/>
      <c r="O1537" s="222"/>
      <c r="P1537" s="224"/>
      <c r="Q1537" s="222"/>
      <c r="R1537" s="224"/>
      <c r="S1537" s="239"/>
      <c r="T1537" s="224"/>
      <c r="U1537" s="239"/>
      <c r="V1537" s="224"/>
      <c r="W1537" s="261"/>
    </row>
    <row r="1538" spans="1:23" x14ac:dyDescent="0.25">
      <c r="A1538" s="215"/>
      <c r="B1538" s="215"/>
      <c r="C1538" s="215"/>
      <c r="D1538" s="215"/>
      <c r="E1538" s="221"/>
      <c r="F1538" s="221"/>
      <c r="G1538" s="222"/>
      <c r="H1538" s="221"/>
      <c r="I1538" s="223"/>
      <c r="J1538" s="237"/>
      <c r="K1538" s="223"/>
      <c r="L1538" s="236"/>
      <c r="M1538" s="222"/>
      <c r="N1538" s="224"/>
      <c r="O1538" s="222"/>
      <c r="P1538" s="224"/>
      <c r="Q1538" s="222"/>
      <c r="R1538" s="224"/>
      <c r="S1538" s="239"/>
      <c r="T1538" s="224"/>
      <c r="U1538" s="239"/>
      <c r="V1538" s="224"/>
      <c r="W1538" s="261"/>
    </row>
    <row r="1539" spans="1:23" x14ac:dyDescent="0.25">
      <c r="A1539" s="215"/>
      <c r="B1539" s="215"/>
      <c r="C1539" s="215"/>
      <c r="D1539" s="215"/>
      <c r="E1539" s="221"/>
      <c r="F1539" s="221"/>
      <c r="G1539" s="222"/>
      <c r="H1539" s="221"/>
      <c r="I1539" s="223"/>
      <c r="J1539" s="237"/>
      <c r="K1539" s="223"/>
      <c r="L1539" s="236"/>
      <c r="M1539" s="222"/>
      <c r="N1539" s="224"/>
      <c r="O1539" s="222"/>
      <c r="P1539" s="224"/>
      <c r="Q1539" s="222"/>
      <c r="R1539" s="224"/>
      <c r="S1539" s="239"/>
      <c r="T1539" s="224"/>
      <c r="U1539" s="239"/>
      <c r="V1539" s="224"/>
      <c r="W1539" s="261"/>
    </row>
    <row r="1540" spans="1:23" x14ac:dyDescent="0.25">
      <c r="A1540" s="215"/>
      <c r="B1540" s="215"/>
      <c r="C1540" s="215"/>
      <c r="D1540" s="215"/>
      <c r="E1540" s="221"/>
      <c r="F1540" s="221"/>
      <c r="G1540" s="222"/>
      <c r="H1540" s="221"/>
      <c r="I1540" s="223"/>
      <c r="J1540" s="237"/>
      <c r="K1540" s="223"/>
      <c r="L1540" s="236"/>
      <c r="M1540" s="222"/>
      <c r="N1540" s="224"/>
      <c r="O1540" s="222"/>
      <c r="P1540" s="224"/>
      <c r="Q1540" s="222"/>
      <c r="R1540" s="224"/>
      <c r="S1540" s="239"/>
      <c r="T1540" s="224"/>
      <c r="U1540" s="239"/>
      <c r="V1540" s="224"/>
      <c r="W1540" s="261"/>
    </row>
    <row r="1541" spans="1:23" x14ac:dyDescent="0.25">
      <c r="A1541" s="215"/>
      <c r="B1541" s="215"/>
      <c r="C1541" s="215"/>
      <c r="D1541" s="215"/>
      <c r="E1541" s="221"/>
      <c r="F1541" s="221"/>
      <c r="G1541" s="222"/>
      <c r="H1541" s="221"/>
      <c r="I1541" s="223"/>
      <c r="J1541" s="237"/>
      <c r="K1541" s="223"/>
      <c r="L1541" s="236"/>
      <c r="M1541" s="222"/>
      <c r="N1541" s="224"/>
      <c r="O1541" s="222"/>
      <c r="P1541" s="224"/>
      <c r="Q1541" s="222"/>
      <c r="R1541" s="224"/>
      <c r="S1541" s="239"/>
      <c r="T1541" s="224"/>
      <c r="U1541" s="239"/>
      <c r="V1541" s="224"/>
      <c r="W1541" s="261"/>
    </row>
    <row r="1542" spans="1:23" x14ac:dyDescent="0.25">
      <c r="A1542" s="215"/>
      <c r="B1542" s="215"/>
      <c r="C1542" s="215"/>
      <c r="D1542" s="215"/>
      <c r="E1542" s="221"/>
      <c r="F1542" s="221"/>
      <c r="G1542" s="222"/>
      <c r="H1542" s="221"/>
      <c r="I1542" s="223"/>
      <c r="J1542" s="237"/>
      <c r="K1542" s="223"/>
      <c r="L1542" s="236"/>
      <c r="M1542" s="222"/>
      <c r="N1542" s="224"/>
      <c r="O1542" s="222"/>
      <c r="P1542" s="224"/>
      <c r="Q1542" s="222"/>
      <c r="R1542" s="224"/>
      <c r="S1542" s="239"/>
      <c r="T1542" s="224"/>
      <c r="U1542" s="239"/>
      <c r="V1542" s="224"/>
      <c r="W1542" s="261"/>
    </row>
    <row r="1543" spans="1:23" x14ac:dyDescent="0.25">
      <c r="A1543" s="215"/>
      <c r="B1543" s="215"/>
      <c r="C1543" s="215"/>
      <c r="D1543" s="215"/>
      <c r="E1543" s="221"/>
      <c r="F1543" s="221"/>
      <c r="G1543" s="222"/>
      <c r="H1543" s="221"/>
      <c r="I1543" s="223"/>
      <c r="J1543" s="237"/>
      <c r="K1543" s="223"/>
      <c r="L1543" s="236"/>
      <c r="M1543" s="222"/>
      <c r="N1543" s="224"/>
      <c r="O1543" s="222"/>
      <c r="P1543" s="224"/>
      <c r="Q1543" s="222"/>
      <c r="R1543" s="224"/>
      <c r="S1543" s="239"/>
      <c r="T1543" s="224"/>
      <c r="U1543" s="239"/>
      <c r="V1543" s="224"/>
      <c r="W1543" s="261"/>
    </row>
    <row r="1544" spans="1:23" x14ac:dyDescent="0.25">
      <c r="A1544" s="215"/>
      <c r="B1544" s="215"/>
      <c r="C1544" s="215"/>
      <c r="D1544" s="215"/>
      <c r="E1544" s="221"/>
      <c r="F1544" s="221"/>
      <c r="G1544" s="222"/>
      <c r="H1544" s="221"/>
      <c r="I1544" s="223"/>
      <c r="J1544" s="237"/>
      <c r="K1544" s="223"/>
      <c r="L1544" s="236"/>
      <c r="M1544" s="222"/>
      <c r="N1544" s="224"/>
      <c r="O1544" s="222"/>
      <c r="P1544" s="224"/>
      <c r="Q1544" s="222"/>
      <c r="R1544" s="224"/>
      <c r="S1544" s="239"/>
      <c r="T1544" s="224"/>
      <c r="U1544" s="239"/>
      <c r="V1544" s="224"/>
      <c r="W1544" s="261"/>
    </row>
    <row r="1545" spans="1:23" x14ac:dyDescent="0.25">
      <c r="A1545" s="215"/>
      <c r="B1545" s="215"/>
      <c r="C1545" s="215"/>
      <c r="D1545" s="215"/>
      <c r="E1545" s="221"/>
      <c r="F1545" s="221"/>
      <c r="G1545" s="222"/>
      <c r="H1545" s="221"/>
      <c r="I1545" s="223"/>
      <c r="J1545" s="237"/>
      <c r="K1545" s="223"/>
      <c r="L1545" s="236"/>
      <c r="M1545" s="222"/>
      <c r="N1545" s="224"/>
      <c r="O1545" s="222"/>
      <c r="P1545" s="224"/>
      <c r="Q1545" s="222"/>
      <c r="R1545" s="224"/>
      <c r="S1545" s="239"/>
      <c r="T1545" s="224"/>
      <c r="U1545" s="239"/>
      <c r="V1545" s="224"/>
      <c r="W1545" s="261"/>
    </row>
    <row r="1546" spans="1:23" x14ac:dyDescent="0.25">
      <c r="A1546" s="215"/>
      <c r="B1546" s="215"/>
      <c r="C1546" s="215"/>
      <c r="D1546" s="215"/>
      <c r="E1546" s="221"/>
      <c r="F1546" s="221"/>
      <c r="G1546" s="222"/>
      <c r="H1546" s="221"/>
      <c r="I1546" s="223"/>
      <c r="J1546" s="237"/>
      <c r="K1546" s="223"/>
      <c r="L1546" s="236"/>
      <c r="M1546" s="222"/>
      <c r="N1546" s="224"/>
      <c r="O1546" s="222"/>
      <c r="P1546" s="224"/>
      <c r="Q1546" s="222"/>
      <c r="R1546" s="224"/>
      <c r="S1546" s="239"/>
      <c r="T1546" s="224"/>
      <c r="U1546" s="239"/>
      <c r="V1546" s="224"/>
      <c r="W1546" s="261"/>
    </row>
    <row r="1547" spans="1:23" x14ac:dyDescent="0.25">
      <c r="A1547" s="215"/>
      <c r="B1547" s="215"/>
      <c r="C1547" s="215"/>
      <c r="D1547" s="215"/>
      <c r="E1547" s="221"/>
      <c r="F1547" s="221"/>
      <c r="G1547" s="222"/>
      <c r="H1547" s="221"/>
      <c r="I1547" s="223"/>
      <c r="J1547" s="237"/>
      <c r="K1547" s="223"/>
      <c r="L1547" s="236"/>
      <c r="M1547" s="222"/>
      <c r="N1547" s="224"/>
      <c r="O1547" s="222"/>
      <c r="P1547" s="224"/>
      <c r="Q1547" s="222"/>
      <c r="R1547" s="224"/>
      <c r="S1547" s="239"/>
      <c r="T1547" s="224"/>
      <c r="U1547" s="239"/>
      <c r="V1547" s="224"/>
      <c r="W1547" s="261"/>
    </row>
    <row r="1548" spans="1:23" x14ac:dyDescent="0.25">
      <c r="A1548" s="215"/>
      <c r="B1548" s="215"/>
      <c r="C1548" s="215"/>
      <c r="D1548" s="215"/>
      <c r="E1548" s="221"/>
      <c r="F1548" s="221"/>
      <c r="G1548" s="222"/>
      <c r="H1548" s="221"/>
      <c r="I1548" s="223"/>
      <c r="J1548" s="237"/>
      <c r="K1548" s="223"/>
      <c r="L1548" s="236"/>
      <c r="M1548" s="222"/>
      <c r="N1548" s="224"/>
      <c r="O1548" s="222"/>
      <c r="P1548" s="224"/>
      <c r="Q1548" s="222"/>
      <c r="R1548" s="224"/>
      <c r="S1548" s="239"/>
      <c r="T1548" s="224"/>
      <c r="U1548" s="239"/>
      <c r="V1548" s="224"/>
      <c r="W1548" s="261"/>
    </row>
    <row r="1549" spans="1:23" x14ac:dyDescent="0.25">
      <c r="A1549" s="215"/>
      <c r="B1549" s="215"/>
      <c r="C1549" s="215"/>
      <c r="D1549" s="215"/>
      <c r="E1549" s="221"/>
      <c r="F1549" s="221"/>
      <c r="G1549" s="222"/>
      <c r="H1549" s="221"/>
      <c r="I1549" s="223"/>
      <c r="J1549" s="237"/>
      <c r="K1549" s="223"/>
      <c r="L1549" s="236"/>
      <c r="M1549" s="222"/>
      <c r="N1549" s="224"/>
      <c r="O1549" s="222"/>
      <c r="P1549" s="224"/>
      <c r="Q1549" s="222"/>
      <c r="R1549" s="224"/>
      <c r="S1549" s="239"/>
      <c r="T1549" s="224"/>
      <c r="U1549" s="239"/>
      <c r="V1549" s="224"/>
      <c r="W1549" s="261"/>
    </row>
    <row r="1550" spans="1:23" x14ac:dyDescent="0.25">
      <c r="A1550" s="215"/>
      <c r="B1550" s="215"/>
      <c r="C1550" s="215"/>
      <c r="D1550" s="215"/>
      <c r="E1550" s="221"/>
      <c r="F1550" s="221"/>
      <c r="G1550" s="222"/>
      <c r="H1550" s="221"/>
      <c r="I1550" s="223"/>
      <c r="J1550" s="237"/>
      <c r="K1550" s="223"/>
      <c r="L1550" s="236"/>
      <c r="M1550" s="222"/>
      <c r="N1550" s="224"/>
      <c r="O1550" s="222"/>
      <c r="P1550" s="224"/>
      <c r="Q1550" s="222"/>
      <c r="R1550" s="224"/>
      <c r="S1550" s="239"/>
      <c r="T1550" s="224"/>
      <c r="U1550" s="239"/>
      <c r="V1550" s="224"/>
      <c r="W1550" s="261"/>
    </row>
    <row r="1551" spans="1:23" x14ac:dyDescent="0.25">
      <c r="A1551" s="215"/>
      <c r="B1551" s="215"/>
      <c r="C1551" s="215"/>
      <c r="D1551" s="215"/>
      <c r="E1551" s="221"/>
      <c r="F1551" s="221"/>
      <c r="G1551" s="222"/>
      <c r="H1551" s="221"/>
      <c r="I1551" s="223"/>
      <c r="J1551" s="237"/>
      <c r="K1551" s="223"/>
      <c r="L1551" s="236"/>
      <c r="M1551" s="222"/>
      <c r="N1551" s="224"/>
      <c r="O1551" s="222"/>
      <c r="P1551" s="224"/>
      <c r="Q1551" s="222"/>
      <c r="R1551" s="224"/>
      <c r="S1551" s="239"/>
      <c r="T1551" s="224"/>
      <c r="U1551" s="239"/>
      <c r="V1551" s="224"/>
      <c r="W1551" s="261"/>
    </row>
    <row r="1552" spans="1:23" x14ac:dyDescent="0.25">
      <c r="A1552" s="215"/>
      <c r="B1552" s="215"/>
      <c r="C1552" s="215"/>
      <c r="D1552" s="215"/>
      <c r="E1552" s="221"/>
      <c r="F1552" s="221"/>
      <c r="G1552" s="222"/>
      <c r="H1552" s="221"/>
      <c r="I1552" s="223"/>
      <c r="J1552" s="237"/>
      <c r="K1552" s="223"/>
      <c r="L1552" s="236"/>
      <c r="M1552" s="222"/>
      <c r="N1552" s="224"/>
      <c r="O1552" s="222"/>
      <c r="P1552" s="224"/>
      <c r="Q1552" s="222"/>
      <c r="R1552" s="224"/>
      <c r="S1552" s="239"/>
      <c r="T1552" s="224"/>
      <c r="U1552" s="239"/>
      <c r="V1552" s="224"/>
      <c r="W1552" s="261"/>
    </row>
    <row r="1553" spans="1:23" x14ac:dyDescent="0.25">
      <c r="A1553" s="215"/>
      <c r="B1553" s="215"/>
      <c r="C1553" s="215"/>
      <c r="D1553" s="215"/>
      <c r="E1553" s="221"/>
      <c r="F1553" s="221"/>
      <c r="G1553" s="222"/>
      <c r="H1553" s="221"/>
      <c r="I1553" s="223"/>
      <c r="J1553" s="237"/>
      <c r="K1553" s="223"/>
      <c r="L1553" s="236"/>
      <c r="M1553" s="222"/>
      <c r="N1553" s="224"/>
      <c r="O1553" s="222"/>
      <c r="P1553" s="224"/>
      <c r="Q1553" s="222"/>
      <c r="R1553" s="224"/>
      <c r="S1553" s="239"/>
      <c r="T1553" s="224"/>
      <c r="U1553" s="239"/>
      <c r="V1553" s="224"/>
      <c r="W1553" s="261"/>
    </row>
    <row r="1554" spans="1:23" x14ac:dyDescent="0.25">
      <c r="A1554" s="215"/>
      <c r="B1554" s="215"/>
      <c r="C1554" s="215"/>
      <c r="D1554" s="215"/>
      <c r="E1554" s="221"/>
      <c r="F1554" s="221"/>
      <c r="G1554" s="222"/>
      <c r="H1554" s="221"/>
      <c r="I1554" s="223"/>
      <c r="J1554" s="237"/>
      <c r="K1554" s="223"/>
      <c r="L1554" s="236"/>
      <c r="M1554" s="222"/>
      <c r="N1554" s="224"/>
      <c r="O1554" s="222"/>
      <c r="P1554" s="224"/>
      <c r="Q1554" s="222"/>
      <c r="R1554" s="224"/>
      <c r="S1554" s="239"/>
      <c r="T1554" s="224"/>
      <c r="U1554" s="239"/>
      <c r="V1554" s="224"/>
      <c r="W1554" s="261"/>
    </row>
    <row r="1555" spans="1:23" x14ac:dyDescent="0.25">
      <c r="A1555" s="215"/>
      <c r="B1555" s="215"/>
      <c r="C1555" s="215"/>
      <c r="D1555" s="215"/>
      <c r="E1555" s="221"/>
      <c r="F1555" s="221"/>
      <c r="G1555" s="222"/>
      <c r="H1555" s="221"/>
      <c r="I1555" s="223"/>
      <c r="J1555" s="237"/>
      <c r="K1555" s="223"/>
      <c r="L1555" s="236"/>
      <c r="M1555" s="222"/>
      <c r="N1555" s="224"/>
      <c r="O1555" s="222"/>
      <c r="P1555" s="224"/>
      <c r="Q1555" s="222"/>
      <c r="R1555" s="224"/>
      <c r="S1555" s="239"/>
      <c r="T1555" s="224"/>
      <c r="U1555" s="239"/>
      <c r="V1555" s="224"/>
      <c r="W1555" s="261"/>
    </row>
    <row r="1556" spans="1:23" x14ac:dyDescent="0.25">
      <c r="A1556" s="215"/>
      <c r="B1556" s="215"/>
      <c r="C1556" s="215"/>
      <c r="D1556" s="215"/>
      <c r="E1556" s="221"/>
      <c r="F1556" s="221"/>
      <c r="G1556" s="222"/>
      <c r="H1556" s="221"/>
      <c r="I1556" s="223"/>
      <c r="J1556" s="237"/>
      <c r="K1556" s="223"/>
      <c r="L1556" s="236"/>
      <c r="M1556" s="222"/>
      <c r="N1556" s="224"/>
      <c r="O1556" s="222"/>
      <c r="P1556" s="224"/>
      <c r="Q1556" s="222"/>
      <c r="R1556" s="224"/>
      <c r="S1556" s="239"/>
      <c r="T1556" s="224"/>
      <c r="U1556" s="239"/>
      <c r="V1556" s="224"/>
      <c r="W1556" s="261"/>
    </row>
    <row r="1557" spans="1:23" x14ac:dyDescent="0.25">
      <c r="A1557" s="215"/>
      <c r="B1557" s="215"/>
      <c r="C1557" s="215"/>
      <c r="D1557" s="215"/>
      <c r="E1557" s="221"/>
      <c r="F1557" s="221"/>
      <c r="G1557" s="222"/>
      <c r="H1557" s="221"/>
      <c r="I1557" s="223"/>
      <c r="J1557" s="237"/>
      <c r="K1557" s="223"/>
      <c r="L1557" s="236"/>
      <c r="M1557" s="222"/>
      <c r="N1557" s="224"/>
      <c r="O1557" s="222"/>
      <c r="P1557" s="224"/>
      <c r="Q1557" s="222"/>
      <c r="R1557" s="224"/>
      <c r="S1557" s="239"/>
      <c r="T1557" s="224"/>
      <c r="U1557" s="239"/>
      <c r="V1557" s="224"/>
      <c r="W1557" s="261"/>
    </row>
    <row r="1558" spans="1:23" x14ac:dyDescent="0.25">
      <c r="A1558" s="215"/>
      <c r="B1558" s="215"/>
      <c r="C1558" s="215"/>
      <c r="D1558" s="215"/>
      <c r="E1558" s="221"/>
      <c r="F1558" s="221"/>
      <c r="G1558" s="222"/>
      <c r="H1558" s="221"/>
      <c r="I1558" s="223"/>
      <c r="J1558" s="237"/>
      <c r="K1558" s="223"/>
      <c r="L1558" s="236"/>
      <c r="M1558" s="222"/>
      <c r="N1558" s="224"/>
      <c r="O1558" s="222"/>
      <c r="P1558" s="224"/>
      <c r="Q1558" s="222"/>
      <c r="R1558" s="224"/>
      <c r="S1558" s="239"/>
      <c r="T1558" s="224"/>
      <c r="U1558" s="239"/>
      <c r="V1558" s="224"/>
      <c r="W1558" s="261"/>
    </row>
    <row r="1559" spans="1:23" x14ac:dyDescent="0.25">
      <c r="A1559" s="215"/>
      <c r="B1559" s="215"/>
      <c r="C1559" s="215"/>
      <c r="D1559" s="215"/>
      <c r="E1559" s="221"/>
      <c r="F1559" s="221"/>
      <c r="G1559" s="222"/>
      <c r="H1559" s="221"/>
      <c r="I1559" s="223"/>
      <c r="J1559" s="237"/>
      <c r="K1559" s="223"/>
      <c r="L1559" s="236"/>
      <c r="M1559" s="222"/>
      <c r="N1559" s="224"/>
      <c r="O1559" s="222"/>
      <c r="P1559" s="224"/>
      <c r="Q1559" s="222"/>
      <c r="R1559" s="224"/>
      <c r="S1559" s="239"/>
      <c r="T1559" s="224"/>
      <c r="U1559" s="239"/>
      <c r="V1559" s="224"/>
      <c r="W1559" s="261"/>
    </row>
    <row r="1560" spans="1:23" x14ac:dyDescent="0.25">
      <c r="A1560" s="215"/>
      <c r="B1560" s="215"/>
      <c r="C1560" s="215"/>
      <c r="D1560" s="215"/>
      <c r="E1560" s="221"/>
      <c r="F1560" s="221"/>
      <c r="G1560" s="222"/>
      <c r="H1560" s="221"/>
      <c r="I1560" s="223"/>
      <c r="J1560" s="237"/>
      <c r="K1560" s="223"/>
      <c r="L1560" s="236"/>
      <c r="M1560" s="222"/>
      <c r="N1560" s="224"/>
      <c r="O1560" s="222"/>
      <c r="P1560" s="224"/>
      <c r="Q1560" s="222"/>
      <c r="R1560" s="224"/>
      <c r="S1560" s="239"/>
      <c r="T1560" s="224"/>
      <c r="U1560" s="239"/>
      <c r="V1560" s="224"/>
      <c r="W1560" s="261"/>
    </row>
    <row r="1561" spans="1:23" x14ac:dyDescent="0.25">
      <c r="A1561" s="215"/>
      <c r="B1561" s="215"/>
      <c r="C1561" s="215"/>
      <c r="D1561" s="215"/>
      <c r="E1561" s="221"/>
      <c r="F1561" s="221"/>
      <c r="G1561" s="222"/>
      <c r="H1561" s="221"/>
      <c r="I1561" s="223"/>
      <c r="J1561" s="237"/>
      <c r="K1561" s="223"/>
      <c r="L1561" s="236"/>
      <c r="M1561" s="222"/>
      <c r="N1561" s="224"/>
      <c r="O1561" s="222"/>
      <c r="P1561" s="224"/>
      <c r="Q1561" s="222"/>
      <c r="R1561" s="224"/>
      <c r="S1561" s="239"/>
      <c r="T1561" s="224"/>
      <c r="U1561" s="239"/>
      <c r="V1561" s="224"/>
      <c r="W1561" s="261"/>
    </row>
    <row r="1562" spans="1:23" x14ac:dyDescent="0.25">
      <c r="A1562" s="215"/>
      <c r="B1562" s="215"/>
      <c r="C1562" s="215"/>
      <c r="D1562" s="215"/>
      <c r="E1562" s="221"/>
      <c r="F1562" s="221"/>
      <c r="G1562" s="222"/>
      <c r="H1562" s="221"/>
      <c r="I1562" s="223"/>
      <c r="J1562" s="237"/>
      <c r="K1562" s="223"/>
      <c r="L1562" s="236"/>
      <c r="M1562" s="222"/>
      <c r="N1562" s="224"/>
      <c r="O1562" s="222"/>
      <c r="P1562" s="224"/>
      <c r="Q1562" s="222"/>
      <c r="R1562" s="224"/>
      <c r="S1562" s="239"/>
      <c r="T1562" s="224"/>
      <c r="U1562" s="239"/>
      <c r="V1562" s="224"/>
      <c r="W1562" s="261"/>
    </row>
    <row r="1563" spans="1:23" x14ac:dyDescent="0.25">
      <c r="A1563" s="215"/>
      <c r="B1563" s="215"/>
      <c r="C1563" s="215"/>
      <c r="D1563" s="215"/>
      <c r="E1563" s="221"/>
      <c r="F1563" s="221"/>
      <c r="G1563" s="222"/>
      <c r="H1563" s="221"/>
      <c r="I1563" s="223"/>
      <c r="J1563" s="237"/>
      <c r="K1563" s="223"/>
      <c r="L1563" s="236"/>
      <c r="M1563" s="222"/>
      <c r="N1563" s="224"/>
      <c r="O1563" s="222"/>
      <c r="P1563" s="224"/>
      <c r="Q1563" s="222"/>
      <c r="R1563" s="224"/>
      <c r="S1563" s="239"/>
      <c r="T1563" s="224"/>
      <c r="U1563" s="239"/>
      <c r="V1563" s="224"/>
      <c r="W1563" s="261"/>
    </row>
    <row r="1564" spans="1:23" x14ac:dyDescent="0.25">
      <c r="A1564" s="215"/>
      <c r="B1564" s="215"/>
      <c r="C1564" s="215"/>
      <c r="D1564" s="215"/>
      <c r="E1564" s="221"/>
      <c r="F1564" s="221"/>
      <c r="G1564" s="222"/>
      <c r="H1564" s="221"/>
      <c r="I1564" s="223"/>
      <c r="J1564" s="237"/>
      <c r="K1564" s="223"/>
      <c r="L1564" s="236"/>
      <c r="M1564" s="222"/>
      <c r="N1564" s="224"/>
      <c r="O1564" s="222"/>
      <c r="P1564" s="224"/>
      <c r="Q1564" s="222"/>
      <c r="R1564" s="224"/>
      <c r="S1564" s="239"/>
      <c r="T1564" s="224"/>
      <c r="U1564" s="239"/>
      <c r="V1564" s="224"/>
      <c r="W1564" s="261"/>
    </row>
    <row r="1565" spans="1:23" x14ac:dyDescent="0.25">
      <c r="A1565" s="215"/>
      <c r="B1565" s="215"/>
      <c r="C1565" s="215"/>
      <c r="D1565" s="215"/>
      <c r="E1565" s="221"/>
      <c r="F1565" s="221"/>
      <c r="G1565" s="222"/>
      <c r="H1565" s="221"/>
      <c r="I1565" s="223"/>
      <c r="J1565" s="237"/>
      <c r="K1565" s="223"/>
      <c r="L1565" s="236"/>
      <c r="M1565" s="222"/>
      <c r="N1565" s="224"/>
      <c r="O1565" s="222"/>
      <c r="P1565" s="224"/>
      <c r="Q1565" s="222"/>
      <c r="R1565" s="224"/>
      <c r="S1565" s="239"/>
      <c r="T1565" s="224"/>
      <c r="U1565" s="239"/>
      <c r="V1565" s="224"/>
      <c r="W1565" s="261"/>
    </row>
    <row r="1566" spans="1:23" x14ac:dyDescent="0.25">
      <c r="A1566" s="215"/>
      <c r="B1566" s="215"/>
      <c r="C1566" s="215"/>
      <c r="D1566" s="215"/>
      <c r="E1566" s="221"/>
      <c r="F1566" s="221"/>
      <c r="G1566" s="222"/>
      <c r="H1566" s="221"/>
      <c r="I1566" s="223"/>
      <c r="J1566" s="237"/>
      <c r="K1566" s="223"/>
      <c r="L1566" s="236"/>
      <c r="M1566" s="222"/>
      <c r="N1566" s="224"/>
      <c r="O1566" s="222"/>
      <c r="P1566" s="224"/>
      <c r="Q1566" s="222"/>
      <c r="R1566" s="224"/>
      <c r="S1566" s="239"/>
      <c r="T1566" s="224"/>
      <c r="U1566" s="239"/>
      <c r="V1566" s="224"/>
      <c r="W1566" s="261"/>
    </row>
    <row r="1567" spans="1:23" x14ac:dyDescent="0.25">
      <c r="A1567" s="215"/>
      <c r="B1567" s="215"/>
      <c r="C1567" s="215"/>
      <c r="D1567" s="215"/>
      <c r="E1567" s="221"/>
      <c r="F1567" s="221"/>
      <c r="G1567" s="222"/>
      <c r="H1567" s="221"/>
      <c r="I1567" s="223"/>
      <c r="J1567" s="237"/>
      <c r="K1567" s="223"/>
      <c r="L1567" s="236"/>
      <c r="M1567" s="222"/>
      <c r="N1567" s="224"/>
      <c r="O1567" s="222"/>
      <c r="P1567" s="224"/>
      <c r="Q1567" s="222"/>
      <c r="R1567" s="224"/>
      <c r="S1567" s="239"/>
      <c r="T1567" s="224"/>
      <c r="U1567" s="239"/>
      <c r="V1567" s="224"/>
      <c r="W1567" s="261"/>
    </row>
    <row r="1568" spans="1:23" x14ac:dyDescent="0.25">
      <c r="A1568" s="215"/>
      <c r="B1568" s="215"/>
      <c r="C1568" s="215"/>
      <c r="D1568" s="215"/>
      <c r="E1568" s="221"/>
      <c r="F1568" s="221"/>
      <c r="G1568" s="222"/>
      <c r="H1568" s="221"/>
      <c r="I1568" s="223"/>
      <c r="J1568" s="237"/>
      <c r="K1568" s="223"/>
      <c r="L1568" s="236"/>
      <c r="M1568" s="222"/>
      <c r="N1568" s="224"/>
      <c r="O1568" s="222"/>
      <c r="P1568" s="224"/>
      <c r="Q1568" s="222"/>
      <c r="R1568" s="224"/>
      <c r="S1568" s="239"/>
      <c r="T1568" s="224"/>
      <c r="U1568" s="239"/>
      <c r="V1568" s="224"/>
      <c r="W1568" s="261"/>
    </row>
    <row r="1569" spans="1:23" x14ac:dyDescent="0.25">
      <c r="A1569" s="215"/>
      <c r="B1569" s="215"/>
      <c r="C1569" s="215"/>
      <c r="D1569" s="215"/>
      <c r="E1569" s="221"/>
      <c r="F1569" s="221"/>
      <c r="G1569" s="222"/>
      <c r="H1569" s="221"/>
      <c r="I1569" s="223"/>
      <c r="J1569" s="237"/>
      <c r="K1569" s="223"/>
      <c r="L1569" s="236"/>
      <c r="M1569" s="222"/>
      <c r="N1569" s="224"/>
      <c r="O1569" s="222"/>
      <c r="P1569" s="224"/>
      <c r="Q1569" s="222"/>
      <c r="R1569" s="224"/>
      <c r="S1569" s="239"/>
      <c r="T1569" s="224"/>
      <c r="U1569" s="239"/>
      <c r="V1569" s="224"/>
      <c r="W1569" s="261"/>
    </row>
    <row r="1570" spans="1:23" x14ac:dyDescent="0.25">
      <c r="A1570" s="215"/>
      <c r="B1570" s="215"/>
      <c r="C1570" s="215"/>
      <c r="D1570" s="215"/>
      <c r="E1570" s="221"/>
      <c r="F1570" s="221"/>
      <c r="G1570" s="222"/>
      <c r="H1570" s="221"/>
      <c r="I1570" s="223"/>
      <c r="J1570" s="237"/>
      <c r="K1570" s="223"/>
      <c r="L1570" s="236"/>
      <c r="M1570" s="222"/>
      <c r="N1570" s="224"/>
      <c r="O1570" s="222"/>
      <c r="P1570" s="224"/>
      <c r="Q1570" s="222"/>
      <c r="R1570" s="224"/>
      <c r="S1570" s="239"/>
      <c r="T1570" s="224"/>
      <c r="U1570" s="239"/>
      <c r="V1570" s="224"/>
      <c r="W1570" s="261"/>
    </row>
    <row r="1571" spans="1:23" x14ac:dyDescent="0.25">
      <c r="A1571" s="215"/>
      <c r="B1571" s="215"/>
      <c r="C1571" s="215"/>
      <c r="D1571" s="215"/>
      <c r="E1571" s="221"/>
      <c r="F1571" s="221"/>
      <c r="G1571" s="222"/>
      <c r="H1571" s="221"/>
      <c r="I1571" s="223"/>
      <c r="J1571" s="237"/>
      <c r="K1571" s="223"/>
      <c r="L1571" s="236"/>
      <c r="M1571" s="222"/>
      <c r="N1571" s="224"/>
      <c r="O1571" s="222"/>
      <c r="P1571" s="224"/>
      <c r="Q1571" s="222"/>
      <c r="R1571" s="224"/>
      <c r="S1571" s="239"/>
      <c r="T1571" s="224"/>
      <c r="U1571" s="239"/>
      <c r="V1571" s="224"/>
      <c r="W1571" s="261"/>
    </row>
    <row r="1572" spans="1:23" x14ac:dyDescent="0.25">
      <c r="A1572" s="215"/>
      <c r="B1572" s="215"/>
      <c r="C1572" s="215"/>
      <c r="D1572" s="215"/>
      <c r="E1572" s="221"/>
      <c r="F1572" s="221"/>
      <c r="G1572" s="222"/>
      <c r="H1572" s="221"/>
      <c r="I1572" s="223"/>
      <c r="J1572" s="237"/>
      <c r="K1572" s="223"/>
      <c r="L1572" s="236"/>
      <c r="M1572" s="222"/>
      <c r="N1572" s="224"/>
      <c r="O1572" s="222"/>
      <c r="P1572" s="224"/>
      <c r="Q1572" s="222"/>
      <c r="R1572" s="224"/>
      <c r="S1572" s="239"/>
      <c r="T1572" s="224"/>
      <c r="U1572" s="239"/>
      <c r="V1572" s="224"/>
      <c r="W1572" s="261"/>
    </row>
    <row r="1573" spans="1:23" x14ac:dyDescent="0.25">
      <c r="A1573" s="215"/>
      <c r="B1573" s="215"/>
      <c r="C1573" s="215"/>
      <c r="D1573" s="215"/>
      <c r="E1573" s="221"/>
      <c r="F1573" s="221"/>
      <c r="G1573" s="222"/>
      <c r="H1573" s="221"/>
      <c r="I1573" s="223"/>
      <c r="J1573" s="237"/>
      <c r="K1573" s="223"/>
      <c r="L1573" s="236"/>
      <c r="M1573" s="222"/>
      <c r="N1573" s="224"/>
      <c r="O1573" s="222"/>
      <c r="P1573" s="224"/>
      <c r="Q1573" s="222"/>
      <c r="R1573" s="224"/>
      <c r="S1573" s="239"/>
      <c r="T1573" s="224"/>
      <c r="U1573" s="239"/>
      <c r="V1573" s="224"/>
      <c r="W1573" s="261"/>
    </row>
    <row r="1574" spans="1:23" x14ac:dyDescent="0.25">
      <c r="A1574" s="215"/>
      <c r="B1574" s="215"/>
      <c r="C1574" s="215"/>
      <c r="D1574" s="215"/>
      <c r="E1574" s="221"/>
      <c r="F1574" s="221"/>
      <c r="G1574" s="222"/>
      <c r="H1574" s="221"/>
      <c r="I1574" s="223"/>
      <c r="J1574" s="237"/>
      <c r="K1574" s="223"/>
      <c r="L1574" s="236"/>
      <c r="M1574" s="222"/>
      <c r="N1574" s="224"/>
      <c r="O1574" s="222"/>
      <c r="P1574" s="224"/>
      <c r="Q1574" s="222"/>
      <c r="R1574" s="224"/>
      <c r="S1574" s="239"/>
      <c r="T1574" s="224"/>
      <c r="U1574" s="239"/>
      <c r="V1574" s="224"/>
      <c r="W1574" s="261"/>
    </row>
    <row r="1575" spans="1:23" x14ac:dyDescent="0.25">
      <c r="A1575" s="215"/>
      <c r="B1575" s="215"/>
      <c r="C1575" s="215"/>
      <c r="D1575" s="215"/>
      <c r="E1575" s="221"/>
      <c r="F1575" s="221"/>
      <c r="G1575" s="222"/>
      <c r="H1575" s="221"/>
      <c r="I1575" s="223"/>
      <c r="J1575" s="237"/>
      <c r="K1575" s="223"/>
      <c r="L1575" s="236"/>
      <c r="M1575" s="222"/>
      <c r="N1575" s="224"/>
      <c r="O1575" s="222"/>
      <c r="P1575" s="224"/>
      <c r="Q1575" s="222"/>
      <c r="R1575" s="224"/>
      <c r="S1575" s="239"/>
      <c r="T1575" s="224"/>
      <c r="U1575" s="239"/>
      <c r="V1575" s="224"/>
      <c r="W1575" s="261"/>
    </row>
    <row r="1576" spans="1:23" x14ac:dyDescent="0.25">
      <c r="A1576" s="215"/>
      <c r="B1576" s="215"/>
      <c r="C1576" s="215"/>
      <c r="D1576" s="215"/>
      <c r="E1576" s="221"/>
      <c r="F1576" s="221"/>
      <c r="G1576" s="222"/>
      <c r="H1576" s="221"/>
      <c r="I1576" s="223"/>
      <c r="J1576" s="237"/>
      <c r="K1576" s="223"/>
      <c r="L1576" s="236"/>
      <c r="M1576" s="222"/>
      <c r="N1576" s="224"/>
      <c r="O1576" s="222"/>
      <c r="P1576" s="224"/>
      <c r="Q1576" s="222"/>
      <c r="R1576" s="224"/>
      <c r="S1576" s="239"/>
      <c r="T1576" s="224"/>
      <c r="U1576" s="239"/>
      <c r="V1576" s="224"/>
      <c r="W1576" s="261"/>
    </row>
    <row r="1577" spans="1:23" x14ac:dyDescent="0.25">
      <c r="A1577" s="215"/>
      <c r="B1577" s="215"/>
      <c r="C1577" s="215"/>
      <c r="D1577" s="215"/>
      <c r="E1577" s="221"/>
      <c r="F1577" s="221"/>
      <c r="G1577" s="222"/>
      <c r="H1577" s="221"/>
      <c r="I1577" s="223"/>
      <c r="J1577" s="237"/>
      <c r="K1577" s="223"/>
      <c r="L1577" s="236"/>
      <c r="M1577" s="222"/>
      <c r="N1577" s="224"/>
      <c r="O1577" s="222"/>
      <c r="P1577" s="224"/>
      <c r="Q1577" s="222"/>
      <c r="R1577" s="224"/>
      <c r="S1577" s="239"/>
      <c r="T1577" s="224"/>
      <c r="U1577" s="239"/>
      <c r="V1577" s="224"/>
      <c r="W1577" s="261"/>
    </row>
    <row r="1578" spans="1:23" x14ac:dyDescent="0.25">
      <c r="A1578" s="215"/>
      <c r="B1578" s="215"/>
      <c r="C1578" s="215"/>
      <c r="D1578" s="215"/>
      <c r="E1578" s="221"/>
      <c r="F1578" s="221"/>
      <c r="G1578" s="222"/>
      <c r="H1578" s="221"/>
      <c r="I1578" s="223"/>
      <c r="J1578" s="237"/>
      <c r="K1578" s="223"/>
      <c r="L1578" s="236"/>
      <c r="M1578" s="222"/>
      <c r="N1578" s="224"/>
      <c r="O1578" s="222"/>
      <c r="P1578" s="224"/>
      <c r="Q1578" s="222"/>
      <c r="R1578" s="224"/>
      <c r="S1578" s="239"/>
      <c r="T1578" s="224"/>
      <c r="U1578" s="239"/>
      <c r="V1578" s="224"/>
      <c r="W1578" s="261"/>
    </row>
    <row r="1579" spans="1:23" x14ac:dyDescent="0.25">
      <c r="A1579" s="215"/>
      <c r="B1579" s="215"/>
      <c r="C1579" s="215"/>
      <c r="D1579" s="215"/>
      <c r="E1579" s="221"/>
      <c r="F1579" s="221"/>
      <c r="G1579" s="222"/>
      <c r="H1579" s="221"/>
      <c r="I1579" s="223"/>
      <c r="J1579" s="237"/>
      <c r="K1579" s="223"/>
      <c r="L1579" s="236"/>
      <c r="M1579" s="222"/>
      <c r="N1579" s="224"/>
      <c r="O1579" s="222"/>
      <c r="P1579" s="224"/>
      <c r="Q1579" s="222"/>
      <c r="R1579" s="224"/>
      <c r="S1579" s="239"/>
      <c r="T1579" s="224"/>
      <c r="U1579" s="239"/>
      <c r="V1579" s="224"/>
      <c r="W1579" s="261"/>
    </row>
    <row r="1580" spans="1:23" x14ac:dyDescent="0.25">
      <c r="A1580" s="215"/>
      <c r="B1580" s="215"/>
      <c r="C1580" s="215"/>
      <c r="D1580" s="215"/>
      <c r="E1580" s="221"/>
      <c r="F1580" s="221"/>
      <c r="G1580" s="222"/>
      <c r="H1580" s="221"/>
      <c r="I1580" s="223"/>
      <c r="J1580" s="237"/>
      <c r="K1580" s="223"/>
      <c r="L1580" s="236"/>
      <c r="M1580" s="222"/>
      <c r="N1580" s="224"/>
      <c r="O1580" s="222"/>
      <c r="P1580" s="224"/>
      <c r="Q1580" s="222"/>
      <c r="R1580" s="224"/>
      <c r="S1580" s="239"/>
      <c r="T1580" s="224"/>
      <c r="U1580" s="239"/>
      <c r="V1580" s="224"/>
      <c r="W1580" s="261"/>
    </row>
    <row r="1581" spans="1:23" x14ac:dyDescent="0.25">
      <c r="A1581" s="215"/>
      <c r="B1581" s="215"/>
      <c r="C1581" s="215"/>
      <c r="D1581" s="215"/>
      <c r="E1581" s="221"/>
      <c r="F1581" s="221"/>
      <c r="G1581" s="222"/>
      <c r="H1581" s="221"/>
      <c r="I1581" s="223"/>
      <c r="J1581" s="237"/>
      <c r="K1581" s="223"/>
      <c r="L1581" s="236"/>
      <c r="M1581" s="222"/>
      <c r="N1581" s="224"/>
      <c r="O1581" s="222"/>
      <c r="P1581" s="224"/>
      <c r="Q1581" s="222"/>
      <c r="R1581" s="224"/>
      <c r="S1581" s="239"/>
      <c r="T1581" s="224"/>
      <c r="U1581" s="239"/>
      <c r="V1581" s="224"/>
      <c r="W1581" s="261"/>
    </row>
    <row r="1582" spans="1:23" x14ac:dyDescent="0.25">
      <c r="A1582" s="215"/>
      <c r="B1582" s="215"/>
      <c r="C1582" s="215"/>
      <c r="D1582" s="215"/>
      <c r="E1582" s="221"/>
      <c r="F1582" s="221"/>
      <c r="G1582" s="222"/>
      <c r="H1582" s="221"/>
      <c r="I1582" s="223"/>
      <c r="J1582" s="237"/>
      <c r="K1582" s="223"/>
      <c r="L1582" s="236"/>
      <c r="M1582" s="222"/>
      <c r="N1582" s="224"/>
      <c r="O1582" s="222"/>
      <c r="P1582" s="224"/>
      <c r="Q1582" s="222"/>
      <c r="R1582" s="224"/>
      <c r="S1582" s="239"/>
      <c r="T1582" s="224"/>
      <c r="U1582" s="239"/>
      <c r="V1582" s="224"/>
      <c r="W1582" s="261"/>
    </row>
    <row r="1583" spans="1:23" x14ac:dyDescent="0.25">
      <c r="A1583" s="215"/>
      <c r="B1583" s="215"/>
      <c r="C1583" s="215"/>
      <c r="D1583" s="215"/>
      <c r="E1583" s="221"/>
      <c r="F1583" s="221"/>
      <c r="G1583" s="222"/>
      <c r="H1583" s="221"/>
      <c r="I1583" s="223"/>
      <c r="J1583" s="237"/>
      <c r="K1583" s="223"/>
      <c r="L1583" s="236"/>
      <c r="M1583" s="222"/>
      <c r="N1583" s="224"/>
      <c r="O1583" s="222"/>
      <c r="P1583" s="224"/>
      <c r="Q1583" s="222"/>
      <c r="R1583" s="224"/>
      <c r="S1583" s="239"/>
      <c r="T1583" s="224"/>
      <c r="U1583" s="239"/>
      <c r="V1583" s="224"/>
      <c r="W1583" s="261"/>
    </row>
    <row r="1584" spans="1:23" x14ac:dyDescent="0.25">
      <c r="A1584" s="215"/>
      <c r="B1584" s="215"/>
      <c r="C1584" s="215"/>
      <c r="D1584" s="215"/>
      <c r="E1584" s="221"/>
      <c r="F1584" s="221"/>
      <c r="G1584" s="222"/>
      <c r="H1584" s="221"/>
      <c r="I1584" s="223"/>
      <c r="J1584" s="237"/>
      <c r="K1584" s="223"/>
      <c r="L1584" s="236"/>
      <c r="M1584" s="222"/>
      <c r="N1584" s="224"/>
      <c r="O1584" s="222"/>
      <c r="P1584" s="224"/>
      <c r="Q1584" s="222"/>
      <c r="R1584" s="224"/>
      <c r="S1584" s="239"/>
      <c r="T1584" s="224"/>
      <c r="U1584" s="239"/>
      <c r="V1584" s="224"/>
      <c r="W1584" s="261"/>
    </row>
    <row r="1585" spans="1:23" x14ac:dyDescent="0.25">
      <c r="A1585" s="215"/>
      <c r="B1585" s="215"/>
      <c r="C1585" s="215"/>
      <c r="D1585" s="215"/>
      <c r="E1585" s="221"/>
      <c r="F1585" s="221"/>
      <c r="G1585" s="222"/>
      <c r="H1585" s="221"/>
      <c r="I1585" s="223"/>
      <c r="J1585" s="237"/>
      <c r="K1585" s="223"/>
      <c r="L1585" s="236"/>
      <c r="M1585" s="222"/>
      <c r="N1585" s="224"/>
      <c r="O1585" s="222"/>
      <c r="P1585" s="224"/>
      <c r="Q1585" s="222"/>
      <c r="R1585" s="224"/>
      <c r="S1585" s="239"/>
      <c r="T1585" s="224"/>
      <c r="U1585" s="239"/>
      <c r="V1585" s="224"/>
      <c r="W1585" s="261"/>
    </row>
    <row r="1586" spans="1:23" x14ac:dyDescent="0.25">
      <c r="A1586" s="215"/>
      <c r="B1586" s="215"/>
      <c r="C1586" s="215"/>
      <c r="D1586" s="215"/>
      <c r="E1586" s="221"/>
      <c r="F1586" s="221"/>
      <c r="G1586" s="222"/>
      <c r="H1586" s="221"/>
      <c r="I1586" s="223"/>
      <c r="J1586" s="237"/>
      <c r="K1586" s="223"/>
      <c r="L1586" s="236"/>
      <c r="M1586" s="222"/>
      <c r="N1586" s="224"/>
      <c r="O1586" s="222"/>
      <c r="P1586" s="224"/>
      <c r="Q1586" s="222"/>
      <c r="R1586" s="224"/>
      <c r="S1586" s="239"/>
      <c r="T1586" s="224"/>
      <c r="U1586" s="239"/>
      <c r="V1586" s="224"/>
      <c r="W1586" s="261"/>
    </row>
    <row r="1587" spans="1:23" x14ac:dyDescent="0.25">
      <c r="A1587" s="215"/>
      <c r="B1587" s="215"/>
      <c r="C1587" s="215"/>
      <c r="D1587" s="215"/>
      <c r="E1587" s="221"/>
      <c r="F1587" s="221"/>
      <c r="G1587" s="222"/>
      <c r="H1587" s="221"/>
      <c r="I1587" s="223"/>
      <c r="J1587" s="237"/>
      <c r="K1587" s="223"/>
      <c r="L1587" s="236"/>
      <c r="M1587" s="222"/>
      <c r="N1587" s="224"/>
      <c r="O1587" s="222"/>
      <c r="P1587" s="224"/>
      <c r="Q1587" s="222"/>
      <c r="R1587" s="224"/>
      <c r="S1587" s="239"/>
      <c r="T1587" s="224"/>
      <c r="U1587" s="239"/>
      <c r="V1587" s="224"/>
      <c r="W1587" s="261"/>
    </row>
    <row r="1588" spans="1:23" x14ac:dyDescent="0.25">
      <c r="A1588" s="215"/>
      <c r="B1588" s="215"/>
      <c r="C1588" s="215"/>
      <c r="D1588" s="215"/>
      <c r="E1588" s="221"/>
      <c r="F1588" s="221"/>
      <c r="G1588" s="222"/>
      <c r="H1588" s="221"/>
      <c r="I1588" s="223"/>
      <c r="J1588" s="237"/>
      <c r="K1588" s="223"/>
      <c r="L1588" s="236"/>
      <c r="M1588" s="222"/>
      <c r="N1588" s="224"/>
      <c r="O1588" s="222"/>
      <c r="P1588" s="224"/>
      <c r="Q1588" s="222"/>
      <c r="R1588" s="224"/>
      <c r="S1588" s="239"/>
      <c r="T1588" s="224"/>
      <c r="U1588" s="239"/>
      <c r="V1588" s="224"/>
      <c r="W1588" s="261"/>
    </row>
    <row r="1589" spans="1:23" x14ac:dyDescent="0.25">
      <c r="A1589" s="215"/>
      <c r="B1589" s="215"/>
      <c r="C1589" s="215"/>
      <c r="D1589" s="215"/>
      <c r="E1589" s="221"/>
      <c r="F1589" s="221"/>
      <c r="G1589" s="222"/>
      <c r="H1589" s="221"/>
      <c r="I1589" s="223"/>
      <c r="J1589" s="237"/>
      <c r="K1589" s="223"/>
      <c r="L1589" s="236"/>
      <c r="M1589" s="222"/>
      <c r="N1589" s="224"/>
      <c r="O1589" s="222"/>
      <c r="P1589" s="224"/>
      <c r="Q1589" s="222"/>
      <c r="R1589" s="224"/>
      <c r="S1589" s="239"/>
      <c r="T1589" s="224"/>
      <c r="U1589" s="239"/>
      <c r="V1589" s="224"/>
      <c r="W1589" s="261"/>
    </row>
    <row r="1590" spans="1:23" x14ac:dyDescent="0.25">
      <c r="A1590" s="215"/>
      <c r="B1590" s="215"/>
      <c r="C1590" s="215"/>
      <c r="D1590" s="215"/>
      <c r="E1590" s="221"/>
      <c r="F1590" s="221"/>
      <c r="G1590" s="222"/>
      <c r="H1590" s="221"/>
      <c r="I1590" s="223"/>
      <c r="J1590" s="237"/>
      <c r="K1590" s="223"/>
      <c r="L1590" s="236"/>
      <c r="M1590" s="222"/>
      <c r="N1590" s="224"/>
      <c r="O1590" s="222"/>
      <c r="P1590" s="224"/>
      <c r="Q1590" s="222"/>
      <c r="R1590" s="224"/>
      <c r="S1590" s="239"/>
      <c r="T1590" s="224"/>
      <c r="U1590" s="239"/>
      <c r="V1590" s="224"/>
      <c r="W1590" s="261"/>
    </row>
    <row r="1591" spans="1:23" x14ac:dyDescent="0.25">
      <c r="A1591" s="215"/>
      <c r="B1591" s="215"/>
      <c r="C1591" s="215"/>
      <c r="D1591" s="215"/>
      <c r="E1591" s="221"/>
      <c r="F1591" s="221"/>
      <c r="G1591" s="222"/>
      <c r="H1591" s="221"/>
      <c r="I1591" s="223"/>
      <c r="J1591" s="237"/>
      <c r="K1591" s="223"/>
      <c r="L1591" s="236"/>
      <c r="M1591" s="222"/>
      <c r="N1591" s="224"/>
      <c r="O1591" s="222"/>
      <c r="P1591" s="224"/>
      <c r="Q1591" s="222"/>
      <c r="R1591" s="224"/>
      <c r="S1591" s="239"/>
      <c r="T1591" s="224"/>
      <c r="U1591" s="239"/>
      <c r="V1591" s="224"/>
      <c r="W1591" s="261"/>
    </row>
    <row r="1592" spans="1:23" x14ac:dyDescent="0.25">
      <c r="A1592" s="215"/>
      <c r="B1592" s="215"/>
      <c r="C1592" s="215"/>
      <c r="D1592" s="215"/>
      <c r="E1592" s="221"/>
      <c r="F1592" s="221"/>
      <c r="G1592" s="222"/>
      <c r="H1592" s="221"/>
      <c r="I1592" s="223"/>
      <c r="J1592" s="237"/>
      <c r="K1592" s="223"/>
      <c r="L1592" s="236"/>
      <c r="M1592" s="222"/>
      <c r="N1592" s="224"/>
      <c r="O1592" s="222"/>
      <c r="P1592" s="224"/>
      <c r="Q1592" s="222"/>
      <c r="R1592" s="224"/>
      <c r="S1592" s="239"/>
      <c r="T1592" s="224"/>
      <c r="U1592" s="239"/>
      <c r="V1592" s="224"/>
      <c r="W1592" s="261"/>
    </row>
    <row r="1593" spans="1:23" x14ac:dyDescent="0.25">
      <c r="A1593" s="215"/>
      <c r="B1593" s="215"/>
      <c r="C1593" s="215"/>
      <c r="D1593" s="215"/>
      <c r="E1593" s="221"/>
      <c r="F1593" s="221"/>
      <c r="G1593" s="222"/>
      <c r="H1593" s="221"/>
      <c r="I1593" s="223"/>
      <c r="J1593" s="237"/>
      <c r="K1593" s="223"/>
      <c r="L1593" s="236"/>
      <c r="M1593" s="222"/>
      <c r="N1593" s="224"/>
      <c r="O1593" s="222"/>
      <c r="P1593" s="224"/>
      <c r="Q1593" s="222"/>
      <c r="R1593" s="224"/>
      <c r="S1593" s="239"/>
      <c r="T1593" s="224"/>
      <c r="U1593" s="239"/>
      <c r="V1593" s="224"/>
      <c r="W1593" s="261"/>
    </row>
    <row r="1594" spans="1:23" x14ac:dyDescent="0.25">
      <c r="A1594" s="215"/>
      <c r="B1594" s="215"/>
      <c r="C1594" s="215"/>
      <c r="D1594" s="215"/>
      <c r="E1594" s="221"/>
      <c r="F1594" s="221"/>
      <c r="G1594" s="222"/>
      <c r="H1594" s="221"/>
      <c r="I1594" s="223"/>
      <c r="J1594" s="237"/>
      <c r="K1594" s="223"/>
      <c r="L1594" s="236"/>
      <c r="M1594" s="222"/>
      <c r="N1594" s="224"/>
      <c r="O1594" s="222"/>
      <c r="P1594" s="224"/>
      <c r="Q1594" s="222"/>
      <c r="R1594" s="224"/>
      <c r="S1594" s="239"/>
      <c r="T1594" s="224"/>
      <c r="U1594" s="239"/>
      <c r="V1594" s="224"/>
      <c r="W1594" s="261"/>
    </row>
    <row r="1595" spans="1:23" x14ac:dyDescent="0.25">
      <c r="A1595" s="215"/>
      <c r="B1595" s="215"/>
      <c r="C1595" s="215"/>
      <c r="D1595" s="215"/>
      <c r="E1595" s="221"/>
      <c r="F1595" s="221"/>
      <c r="G1595" s="222"/>
      <c r="H1595" s="221"/>
      <c r="I1595" s="223"/>
      <c r="J1595" s="237"/>
      <c r="K1595" s="223"/>
      <c r="L1595" s="236"/>
      <c r="M1595" s="222"/>
      <c r="N1595" s="224"/>
      <c r="O1595" s="222"/>
      <c r="P1595" s="224"/>
      <c r="Q1595" s="222"/>
      <c r="R1595" s="224"/>
      <c r="S1595" s="239"/>
      <c r="T1595" s="224"/>
      <c r="U1595" s="239"/>
      <c r="V1595" s="224"/>
      <c r="W1595" s="261"/>
    </row>
    <row r="1596" spans="1:23" x14ac:dyDescent="0.25">
      <c r="A1596" s="215"/>
      <c r="B1596" s="215"/>
      <c r="C1596" s="215"/>
      <c r="D1596" s="215"/>
      <c r="E1596" s="221"/>
      <c r="F1596" s="221"/>
      <c r="G1596" s="222"/>
      <c r="H1596" s="221"/>
      <c r="I1596" s="223"/>
      <c r="J1596" s="237"/>
      <c r="K1596" s="223"/>
      <c r="L1596" s="236"/>
      <c r="M1596" s="222"/>
      <c r="N1596" s="224"/>
      <c r="O1596" s="222"/>
      <c r="P1596" s="224"/>
      <c r="Q1596" s="222"/>
      <c r="R1596" s="224"/>
      <c r="S1596" s="239"/>
      <c r="T1596" s="224"/>
      <c r="U1596" s="239"/>
      <c r="V1596" s="224"/>
      <c r="W1596" s="261"/>
    </row>
    <row r="1597" spans="1:23" x14ac:dyDescent="0.25">
      <c r="A1597" s="215"/>
      <c r="B1597" s="215"/>
      <c r="C1597" s="215"/>
      <c r="D1597" s="215"/>
      <c r="E1597" s="221"/>
      <c r="F1597" s="221"/>
      <c r="G1597" s="222"/>
      <c r="H1597" s="221"/>
      <c r="I1597" s="223"/>
      <c r="J1597" s="237"/>
      <c r="K1597" s="223"/>
      <c r="L1597" s="236"/>
      <c r="M1597" s="222"/>
      <c r="N1597" s="224"/>
      <c r="O1597" s="222"/>
      <c r="P1597" s="224"/>
      <c r="Q1597" s="222"/>
      <c r="R1597" s="224"/>
      <c r="S1597" s="239"/>
      <c r="T1597" s="224"/>
      <c r="U1597" s="239"/>
      <c r="V1597" s="224"/>
      <c r="W1597" s="261"/>
    </row>
    <row r="1598" spans="1:23" x14ac:dyDescent="0.25">
      <c r="A1598" s="215"/>
      <c r="B1598" s="215"/>
      <c r="C1598" s="215"/>
      <c r="D1598" s="215"/>
      <c r="E1598" s="221"/>
      <c r="F1598" s="221"/>
      <c r="G1598" s="222"/>
      <c r="H1598" s="221"/>
      <c r="I1598" s="223"/>
      <c r="J1598" s="237"/>
      <c r="K1598" s="223"/>
      <c r="L1598" s="236"/>
      <c r="M1598" s="222"/>
      <c r="N1598" s="224"/>
      <c r="O1598" s="222"/>
      <c r="P1598" s="224"/>
      <c r="Q1598" s="222"/>
      <c r="R1598" s="224"/>
      <c r="S1598" s="239"/>
      <c r="T1598" s="224"/>
      <c r="U1598" s="239"/>
      <c r="V1598" s="224"/>
      <c r="W1598" s="261"/>
    </row>
    <row r="1599" spans="1:23" x14ac:dyDescent="0.25">
      <c r="A1599" s="215"/>
      <c r="B1599" s="215"/>
      <c r="C1599" s="215"/>
      <c r="D1599" s="215"/>
      <c r="E1599" s="221"/>
      <c r="F1599" s="221"/>
      <c r="G1599" s="222"/>
      <c r="H1599" s="221"/>
      <c r="I1599" s="223"/>
      <c r="J1599" s="237"/>
      <c r="K1599" s="223"/>
      <c r="L1599" s="236"/>
      <c r="M1599" s="222"/>
      <c r="N1599" s="224"/>
      <c r="O1599" s="222"/>
      <c r="P1599" s="224"/>
      <c r="Q1599" s="222"/>
      <c r="R1599" s="224"/>
      <c r="S1599" s="239"/>
      <c r="T1599" s="224"/>
      <c r="U1599" s="239"/>
      <c r="V1599" s="224"/>
      <c r="W1599" s="261"/>
    </row>
    <row r="1600" spans="1:23" x14ac:dyDescent="0.25">
      <c r="A1600" s="215"/>
      <c r="B1600" s="215"/>
      <c r="C1600" s="215"/>
      <c r="D1600" s="215"/>
      <c r="E1600" s="221"/>
      <c r="F1600" s="221"/>
      <c r="G1600" s="222"/>
      <c r="H1600" s="221"/>
      <c r="I1600" s="223"/>
      <c r="J1600" s="237"/>
      <c r="K1600" s="223"/>
      <c r="L1600" s="236"/>
      <c r="M1600" s="222"/>
      <c r="N1600" s="224"/>
      <c r="O1600" s="222"/>
      <c r="P1600" s="224"/>
      <c r="Q1600" s="222"/>
      <c r="R1600" s="224"/>
      <c r="S1600" s="239"/>
      <c r="T1600" s="224"/>
      <c r="U1600" s="239"/>
      <c r="V1600" s="224"/>
      <c r="W1600" s="261"/>
    </row>
    <row r="1601" spans="1:23" x14ac:dyDescent="0.25">
      <c r="A1601" s="215"/>
      <c r="B1601" s="215"/>
      <c r="C1601" s="215"/>
      <c r="D1601" s="215"/>
      <c r="E1601" s="221"/>
      <c r="F1601" s="221"/>
      <c r="G1601" s="222"/>
      <c r="H1601" s="221"/>
      <c r="I1601" s="223"/>
      <c r="J1601" s="237"/>
      <c r="K1601" s="223"/>
      <c r="L1601" s="236"/>
      <c r="M1601" s="222"/>
      <c r="N1601" s="224"/>
      <c r="O1601" s="222"/>
      <c r="P1601" s="224"/>
      <c r="Q1601" s="222"/>
      <c r="R1601" s="224"/>
      <c r="S1601" s="239"/>
      <c r="T1601" s="224"/>
      <c r="U1601" s="239"/>
      <c r="V1601" s="224"/>
      <c r="W1601" s="261"/>
    </row>
    <row r="1602" spans="1:23" x14ac:dyDescent="0.25">
      <c r="A1602" s="215"/>
      <c r="B1602" s="215"/>
      <c r="C1602" s="215"/>
      <c r="D1602" s="215"/>
      <c r="E1602" s="221"/>
      <c r="F1602" s="221"/>
      <c r="G1602" s="222"/>
      <c r="H1602" s="221"/>
      <c r="I1602" s="223"/>
      <c r="J1602" s="237"/>
      <c r="K1602" s="223"/>
      <c r="L1602" s="236"/>
      <c r="M1602" s="222"/>
      <c r="N1602" s="224"/>
      <c r="O1602" s="222"/>
      <c r="P1602" s="224"/>
      <c r="Q1602" s="222"/>
      <c r="R1602" s="224"/>
      <c r="S1602" s="239"/>
      <c r="T1602" s="224"/>
      <c r="U1602" s="239"/>
      <c r="V1602" s="224"/>
      <c r="W1602" s="261"/>
    </row>
    <row r="1603" spans="1:23" x14ac:dyDescent="0.25">
      <c r="A1603" s="215"/>
      <c r="B1603" s="215"/>
      <c r="C1603" s="215"/>
      <c r="D1603" s="215"/>
      <c r="E1603" s="221"/>
      <c r="F1603" s="221"/>
      <c r="G1603" s="222"/>
      <c r="H1603" s="221"/>
      <c r="I1603" s="223"/>
      <c r="J1603" s="237"/>
      <c r="K1603" s="223"/>
      <c r="L1603" s="236"/>
      <c r="M1603" s="222"/>
      <c r="N1603" s="224"/>
      <c r="O1603" s="222"/>
      <c r="P1603" s="224"/>
      <c r="Q1603" s="222"/>
      <c r="R1603" s="224"/>
      <c r="S1603" s="239"/>
      <c r="T1603" s="224"/>
      <c r="U1603" s="239"/>
      <c r="V1603" s="224"/>
      <c r="W1603" s="261"/>
    </row>
  </sheetData>
  <mergeCells count="1">
    <mergeCell ref="S25:W25"/>
  </mergeCells>
  <conditionalFormatting sqref="A13:I23">
    <cfRule type="expression" dxfId="44" priority="3">
      <formula>$A13&lt;&gt;""</formula>
    </cfRule>
    <cfRule type="expression" dxfId="43" priority="17">
      <formula>AND($A13&lt;&gt;"",$A13=$B$7)</formula>
    </cfRule>
  </conditionalFormatting>
  <conditionalFormatting sqref="A27:R1603">
    <cfRule type="expression" dxfId="42" priority="16">
      <formula>$J27=1</formula>
    </cfRule>
  </conditionalFormatting>
  <conditionalFormatting sqref="A27:W1603">
    <cfRule type="expression" dxfId="41" priority="4">
      <formula>$A27&lt;&gt;""</formula>
    </cfRule>
  </conditionalFormatting>
  <conditionalFormatting sqref="B4:B5">
    <cfRule type="expression" dxfId="40" priority="20">
      <formula>$B$3&lt;&gt;"Custom dates"</formula>
    </cfRule>
  </conditionalFormatting>
  <conditionalFormatting sqref="H13:H23">
    <cfRule type="expression" dxfId="39" priority="11">
      <formula>AND(ISNUMBER(H13),H13&gt;0)</formula>
    </cfRule>
    <cfRule type="expression" dxfId="38" priority="12">
      <formula>AND(ISNUMBER(H13),H13&lt;0)</formula>
    </cfRule>
  </conditionalFormatting>
  <conditionalFormatting sqref="I27:I1603">
    <cfRule type="dataBar" priority="15">
      <dataBar>
        <cfvo type="min"/>
        <cfvo type="max"/>
        <color rgb="FF9BC2E6"/>
      </dataBar>
      <extLst>
        <ext xmlns:x14="http://schemas.microsoft.com/office/spreadsheetml/2009/9/main" uri="{B025F937-C7B1-47D3-B67F-A62EFF666E3E}">
          <x14:id>{A0F97610-0DF8-489C-911B-674F6930B73C}</x14:id>
        </ext>
      </extLst>
    </cfRule>
  </conditionalFormatting>
  <conditionalFormatting sqref="J13:J20">
    <cfRule type="expression" dxfId="37" priority="1">
      <formula>$A13&lt;&gt;""</formula>
    </cfRule>
    <cfRule type="expression" dxfId="36" priority="2">
      <formula>AND($A13&lt;&gt;"",$A13=$B$7)</formula>
    </cfRule>
  </conditionalFormatting>
  <conditionalFormatting sqref="N27:N1603">
    <cfRule type="expression" dxfId="35" priority="5">
      <formula>AND(ISNUMBER(N27),N27&gt;0)</formula>
    </cfRule>
    <cfRule type="expression" dxfId="34" priority="6">
      <formula>AND(ISNUMBER(N27),N27&lt;0)</formula>
    </cfRule>
  </conditionalFormatting>
  <conditionalFormatting sqref="P27:P1603">
    <cfRule type="expression" dxfId="33" priority="7">
      <formula>AND(ISNUMBER(P27),P27&gt;0)</formula>
    </cfRule>
    <cfRule type="expression" dxfId="32" priority="8">
      <formula>AND(ISNUMBER(P27),P27&lt;0)</formula>
    </cfRule>
  </conditionalFormatting>
  <conditionalFormatting sqref="R27:R1603">
    <cfRule type="expression" dxfId="31" priority="9">
      <formula>AND(ISNUMBER(R27),R27&gt;0)</formula>
    </cfRule>
    <cfRule type="expression" dxfId="30" priority="10">
      <formula>AND(ISNUMBER(R27),R27&lt;0)</formula>
    </cfRule>
  </conditionalFormatting>
  <conditionalFormatting sqref="T27:T1603">
    <cfRule type="dataBar" priority="19">
      <dataBar>
        <cfvo type="min"/>
        <cfvo type="max"/>
        <color rgb="FF9BC2E6"/>
      </dataBar>
      <extLst>
        <ext xmlns:x14="http://schemas.microsoft.com/office/spreadsheetml/2009/9/main" uri="{B025F937-C7B1-47D3-B67F-A62EFF666E3E}">
          <x14:id>{C0DA700F-0EE5-4B5F-B47A-7FBFCE90ED0B}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F97610-0DF8-489C-911B-674F6930B73C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I27:I1603</xm:sqref>
        </x14:conditionalFormatting>
        <x14:conditionalFormatting xmlns:xm="http://schemas.microsoft.com/office/excel/2006/main">
          <x14:cfRule type="dataBar" id="{C0DA700F-0EE5-4B5F-B47A-7FBFCE90ED0B}">
            <x14:dataBar minLength="0" maxLength="100" gradient="0" negativeBarColorSameAsPositive="1" axisPosition="none">
              <x14:cfvo type="min"/>
              <x14:cfvo type="max"/>
            </x14:dataBar>
          </x14:cfRule>
          <xm:sqref>T27:T1603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9753540-16AE-44E1-A165-C1F3925BA21E}">
          <x14:formula1>
            <xm:f>_xlfn.ANCHORARRAY('Staff Calc'!$AF$20)</xm:f>
          </x14:formula1>
          <xm:sqref>B3</xm:sqref>
        </x14:dataValidation>
        <x14:dataValidation type="list" allowBlank="1" showInputMessage="1" showErrorMessage="1" xr:uid="{CB0D65FD-287E-45FC-855A-3ED6DEA23839}">
          <x14:formula1>
            <xm:f>_xlfn.ANCHORARRAY('Staff Calc'!$AE$20)</xm:f>
          </x14:formula1>
          <xm:sqref>B8</xm:sqref>
        </x14:dataValidation>
        <x14:dataValidation type="list" allowBlank="1" showInputMessage="1" showErrorMessage="1" xr:uid="{6839084B-BC0F-4FBE-BA14-E8D1901B1B50}">
          <x14:formula1>
            <xm:f>_xlfn.ANCHORARRAY('Staff Calc'!$AN$20)</xm:f>
          </x14:formula1>
          <xm:sqref>B4:B5</xm:sqref>
        </x14:dataValidation>
        <x14:dataValidation type="list" allowBlank="1" showInputMessage="1" showErrorMessage="1" xr:uid="{D0F05E8F-A099-4BEC-9140-65BC5E5EC69E}">
          <x14:formula1>
            <xm:f>_xlfn.ANCHORARRAY('Staff Calc'!$DI$20)</xm:f>
          </x14:formula1>
          <xm:sqref>B6</xm:sqref>
        </x14:dataValidation>
        <x14:dataValidation type="list" allowBlank="1" showInputMessage="1" showErrorMessage="1" xr:uid="{EC9118C5-7957-42E7-BB61-54459FE2BE66}">
          <x14:formula1>
            <xm:f>_xlfn.ANCHORARRAY('Staff Calc'!$DJ$20)</xm:f>
          </x14:formula1>
          <xm:sqref>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04C9-5A10-4380-9883-D31B090469FF}">
  <sheetPr>
    <tabColor rgb="FF1F3864"/>
  </sheetPr>
  <dimension ref="A1:AM1612"/>
  <sheetViews>
    <sheetView showGridLines="0" zoomScale="88" zoomScaleNormal="100" workbookViewId="0">
      <selection activeCell="H10" sqref="H10"/>
    </sheetView>
  </sheetViews>
  <sheetFormatPr defaultRowHeight="15" x14ac:dyDescent="0.25"/>
  <cols>
    <col min="1" max="1" width="28.5703125" customWidth="1"/>
    <col min="2" max="7" width="15.28515625" customWidth="1"/>
    <col min="8" max="8" width="49.42578125" customWidth="1"/>
    <col min="9" max="39" width="11.85546875" customWidth="1"/>
  </cols>
  <sheetData>
    <row r="1" spans="1:21" ht="18.75" x14ac:dyDescent="0.3">
      <c r="A1" s="216" t="s">
        <v>1276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</row>
    <row r="2" spans="1:21" x14ac:dyDescent="0.25">
      <c r="A2" s="217" t="str">
        <f>"Sales loaded through "&amp;TEXT('Staff Calc'!$B$5,"dd mmm yyyy")&amp;"  |  Weeks as per 'Weekly Trend' sheet  |  ATV = Sales ÷ Transactions  |  % of Store = staff sales ÷ store's total staff sales for that week"</f>
        <v>Sales loaded through 26 Oct 2026  |  Weeks as per 'Weekly Trend' sheet  |  ATV = Sales ÷ Transactions  |  % of Store = staff sales ÷ store's total staff sales for that week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</row>
    <row r="3" spans="1:21" x14ac:dyDescent="0.25">
      <c r="A3" s="218" t="s">
        <v>1329</v>
      </c>
      <c r="B3" s="219" t="s">
        <v>165</v>
      </c>
      <c r="C3" s="215"/>
      <c r="D3" s="218"/>
      <c r="E3" s="266"/>
      <c r="F3" s="267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</row>
    <row r="4" spans="1:21" x14ac:dyDescent="0.25">
      <c r="A4" s="218" t="s">
        <v>134</v>
      </c>
      <c r="B4" s="219" t="s">
        <v>165</v>
      </c>
      <c r="C4" s="215"/>
      <c r="D4" s="218" t="s">
        <v>1317</v>
      </c>
      <c r="E4" s="266">
        <v>46296</v>
      </c>
      <c r="F4" s="267" t="str">
        <f>"Showing "&amp;TEXT('Staff Calc'!$E$3,"dd mmm")&amp;" – "&amp;TEXT('Staff Calc'!$E$4,"dd mmm yyyy")&amp;"  (pick the same date in both for a single day; leave blank for month to date)"</f>
        <v>Showing 01 Oct – 26 Oct 2026  (pick the same date in both for a single day; leave blank for month to date)</v>
      </c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</row>
    <row r="5" spans="1:21" x14ac:dyDescent="0.25">
      <c r="A5" s="218" t="s">
        <v>125</v>
      </c>
      <c r="B5" s="219" t="s">
        <v>165</v>
      </c>
      <c r="C5" s="215"/>
      <c r="D5" s="218" t="s">
        <v>1318</v>
      </c>
      <c r="E5" s="266">
        <v>46321</v>
      </c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</row>
    <row r="6" spans="1:21" x14ac:dyDescent="0.25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</row>
    <row r="7" spans="1:21" ht="15.75" x14ac:dyDescent="0.25">
      <c r="A7" s="229" t="s">
        <v>1277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</row>
    <row r="8" spans="1:21" x14ac:dyDescent="0.25">
      <c r="A8" s="238" t="s">
        <v>227</v>
      </c>
      <c r="B8" s="238" t="str">
        <f>'Staff Calc'!$A$7</f>
        <v>WK1</v>
      </c>
      <c r="C8" s="238" t="str">
        <f>'Staff Calc'!$A$8</f>
        <v>WK2</v>
      </c>
      <c r="D8" s="238" t="str">
        <f>'Staff Calc'!$A$9</f>
        <v>WK3</v>
      </c>
      <c r="E8" s="238" t="str">
        <f>'Staff Calc'!$A$10</f>
        <v>WK4</v>
      </c>
      <c r="F8" s="238" t="str">
        <f>'Staff Calc'!$A$11</f>
        <v>WK5</v>
      </c>
      <c r="G8" s="238" t="s">
        <v>1319</v>
      </c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</row>
    <row r="9" spans="1:21" x14ac:dyDescent="0.25">
      <c r="A9" s="241" t="s">
        <v>210</v>
      </c>
      <c r="B9" s="242">
        <f>_xlfn.LET(_xlpm.k,MATCH(B$8,'Staff Calc'!$A$7:$A$11,0),_xlpm.a,INDEX('Staff Calc'!$D$7:$D$11,_xlpm.k),_xlpm.b,INDEX('Staff Calc'!$E$7:$E$11,_xlpm.k),IF(_xlpm.a&gt;_xlpm.b,"",_xlpm.a))</f>
        <v>46296</v>
      </c>
      <c r="C9" s="242">
        <f>_xlfn.LET(_xlpm.k,MATCH(C$8,'Staff Calc'!$A$7:$A$11,0),_xlpm.a,INDEX('Staff Calc'!$D$7:$D$11,_xlpm.k),_xlpm.b,INDEX('Staff Calc'!$E$7:$E$11,_xlpm.k),IF(_xlpm.a&gt;_xlpm.b,"",_xlpm.a))</f>
        <v>46299</v>
      </c>
      <c r="D9" s="242">
        <f>_xlfn.LET(_xlpm.k,MATCH(D$8,'Staff Calc'!$A$7:$A$11,0),_xlpm.a,INDEX('Staff Calc'!$D$7:$D$11,_xlpm.k),_xlpm.b,INDEX('Staff Calc'!$E$7:$E$11,_xlpm.k),IF(_xlpm.a&gt;_xlpm.b,"",_xlpm.a))</f>
        <v>46306</v>
      </c>
      <c r="E9" s="242">
        <f>_xlfn.LET(_xlpm.k,MATCH(E$8,'Staff Calc'!$A$7:$A$11,0),_xlpm.a,INDEX('Staff Calc'!$D$7:$D$11,_xlpm.k),_xlpm.b,INDEX('Staff Calc'!$E$7:$E$11,_xlpm.k),IF(_xlpm.a&gt;_xlpm.b,"",_xlpm.a))</f>
        <v>46313</v>
      </c>
      <c r="F9" s="242">
        <f>_xlfn.LET(_xlpm.k,MATCH(F$8,'Staff Calc'!$A$7:$A$11,0),_xlpm.a,INDEX('Staff Calc'!$D$7:$D$11,_xlpm.k),_xlpm.b,INDEX('Staff Calc'!$E$7:$E$11,_xlpm.k),IF(_xlpm.a&gt;_xlpm.b,"",_xlpm.a))</f>
        <v>46320</v>
      </c>
      <c r="G9" s="243">
        <f>MIN(B9:F9)</f>
        <v>46296</v>
      </c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</row>
    <row r="10" spans="1:21" x14ac:dyDescent="0.25">
      <c r="A10" s="244" t="s">
        <v>211</v>
      </c>
      <c r="B10" s="245">
        <f>_xlfn.LET(_xlpm.k,MATCH(B$8,'Staff Calc'!$A$7:$A$11,0),_xlpm.a,INDEX('Staff Calc'!$D$7:$D$11,_xlpm.k),_xlpm.b,INDEX('Staff Calc'!$E$7:$E$11,_xlpm.k),IF(_xlpm.a&gt;_xlpm.b,"",_xlpm.b))</f>
        <v>46298</v>
      </c>
      <c r="C10" s="245">
        <f>_xlfn.LET(_xlpm.k,MATCH(C$8,'Staff Calc'!$A$7:$A$11,0),_xlpm.a,INDEX('Staff Calc'!$D$7:$D$11,_xlpm.k),_xlpm.b,INDEX('Staff Calc'!$E$7:$E$11,_xlpm.k),IF(_xlpm.a&gt;_xlpm.b,"",_xlpm.b))</f>
        <v>46305</v>
      </c>
      <c r="D10" s="245">
        <f>_xlfn.LET(_xlpm.k,MATCH(D$8,'Staff Calc'!$A$7:$A$11,0),_xlpm.a,INDEX('Staff Calc'!$D$7:$D$11,_xlpm.k),_xlpm.b,INDEX('Staff Calc'!$E$7:$E$11,_xlpm.k),IF(_xlpm.a&gt;_xlpm.b,"",_xlpm.b))</f>
        <v>46312</v>
      </c>
      <c r="E10" s="245">
        <f>_xlfn.LET(_xlpm.k,MATCH(E$8,'Staff Calc'!$A$7:$A$11,0),_xlpm.a,INDEX('Staff Calc'!$D$7:$D$11,_xlpm.k),_xlpm.b,INDEX('Staff Calc'!$E$7:$E$11,_xlpm.k),IF(_xlpm.a&gt;_xlpm.b,"",_xlpm.b))</f>
        <v>46319</v>
      </c>
      <c r="F10" s="245">
        <f>_xlfn.LET(_xlpm.k,MATCH(F$8,'Staff Calc'!$A$7:$A$11,0),_xlpm.a,INDEX('Staff Calc'!$D$7:$D$11,_xlpm.k),_xlpm.b,INDEX('Staff Calc'!$E$7:$E$11,_xlpm.k),IF(_xlpm.a&gt;_xlpm.b,"",_xlpm.b))</f>
        <v>46321</v>
      </c>
      <c r="G10" s="246">
        <f>MAX(B10:F10)</f>
        <v>46321</v>
      </c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</row>
    <row r="11" spans="1:21" x14ac:dyDescent="0.25">
      <c r="A11" s="255" t="s">
        <v>1278</v>
      </c>
      <c r="B11" s="247">
        <f>SUMIFS(INDEX('Staff Calc'!$M$20:$V$1515,0,2*MATCH(B$8,'Staff Calc'!$A$7:$A$11,0)-1+0),'Staff Calc'!$E$20:$E$1515,1)</f>
        <v>2927322.3799999976</v>
      </c>
      <c r="C11" s="247">
        <f>SUMIFS(INDEX('Staff Calc'!$M$20:$V$1515,0,2*MATCH(C$8,'Staff Calc'!$A$7:$A$11,0)-1+0),'Staff Calc'!$E$20:$E$1515,1)</f>
        <v>4518898.0299999947</v>
      </c>
      <c r="D11" s="247">
        <f>SUMIFS(INDEX('Staff Calc'!$M$20:$V$1515,0,2*MATCH(D$8,'Staff Calc'!$A$7:$A$11,0)-1+0),'Staff Calc'!$E$20:$E$1515,1)</f>
        <v>3607994.8599999943</v>
      </c>
      <c r="E11" s="247">
        <f>SUMIFS(INDEX('Staff Calc'!$M$20:$V$1515,0,2*MATCH(E$8,'Staff Calc'!$A$7:$A$11,0)-1+0),'Staff Calc'!$E$20:$E$1515,1)</f>
        <v>3292195.7500000005</v>
      </c>
      <c r="F11" s="247">
        <f>SUMIFS(INDEX('Staff Calc'!$M$20:$V$1515,0,2*MATCH(F$8,'Staff Calc'!$A$7:$A$11,0)-1+0),'Staff Calc'!$E$20:$E$1515,1)</f>
        <v>918691.49</v>
      </c>
      <c r="G11" s="248">
        <f>SUM(B11:F11)</f>
        <v>15265102.509999987</v>
      </c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</row>
    <row r="12" spans="1:21" x14ac:dyDescent="0.25">
      <c r="A12" s="255" t="s">
        <v>1279</v>
      </c>
      <c r="B12" s="247">
        <f>SUMIFS(INDEX('Staff Calc'!$M$20:$V$1515,0,2*MATCH(B$8,'Staff Calc'!$A$7:$A$11,0)-1+1),'Staff Calc'!$E$20:$E$1515,1)</f>
        <v>19227</v>
      </c>
      <c r="C12" s="247">
        <f>SUMIFS(INDEX('Staff Calc'!$M$20:$V$1515,0,2*MATCH(C$8,'Staff Calc'!$A$7:$A$11,0)-1+1),'Staff Calc'!$E$20:$E$1515,1)</f>
        <v>26980</v>
      </c>
      <c r="D12" s="247">
        <f>SUMIFS(INDEX('Staff Calc'!$M$20:$V$1515,0,2*MATCH(D$8,'Staff Calc'!$A$7:$A$11,0)-1+1),'Staff Calc'!$E$20:$E$1515,1)</f>
        <v>21541</v>
      </c>
      <c r="E12" s="247">
        <f>SUMIFS(INDEX('Staff Calc'!$M$20:$V$1515,0,2*MATCH(E$8,'Staff Calc'!$A$7:$A$11,0)-1+1),'Staff Calc'!$E$20:$E$1515,1)</f>
        <v>18601</v>
      </c>
      <c r="F12" s="247">
        <f>SUMIFS(INDEX('Staff Calc'!$M$20:$V$1515,0,2*MATCH(F$8,'Staff Calc'!$A$7:$A$11,0)-1+1),'Staff Calc'!$E$20:$E$1515,1)</f>
        <v>4795</v>
      </c>
      <c r="G12" s="248">
        <f>SUM(B12:F12)</f>
        <v>91144</v>
      </c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</row>
    <row r="13" spans="1:21" x14ac:dyDescent="0.25">
      <c r="A13" s="255" t="s">
        <v>1274</v>
      </c>
      <c r="B13" s="249">
        <f>IF(B12=0,NA(),B11/B12)</f>
        <v>152.25060487855606</v>
      </c>
      <c r="C13" s="249">
        <f t="shared" ref="C13:F13" si="0">IF(C12=0,NA(),C11/C12)</f>
        <v>167.49066085989602</v>
      </c>
      <c r="D13" s="249">
        <f t="shared" si="0"/>
        <v>167.49430667099924</v>
      </c>
      <c r="E13" s="249">
        <f t="shared" si="0"/>
        <v>176.99025590022043</v>
      </c>
      <c r="F13" s="249">
        <f t="shared" si="0"/>
        <v>191.59363712200209</v>
      </c>
      <c r="G13" s="250">
        <f>IFERROR(G11/G12,0)</f>
        <v>167.48335063196686</v>
      </c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</row>
    <row r="14" spans="1:21" x14ac:dyDescent="0.25">
      <c r="A14" s="255" t="s">
        <v>1280</v>
      </c>
      <c r="B14" s="247">
        <f>SUMIFS(INDEX('Staff Calc'!$M$20:$V$1515,0,2*MATCH(B$8,'Staff Calc'!$A$7:$A$11,0)-1+0),'Staff Calc'!$AB$20:$AB$1515,1)</f>
        <v>2927322.3799999976</v>
      </c>
      <c r="C14" s="247">
        <f>SUMIFS(INDEX('Staff Calc'!$M$20:$V$1515,0,2*MATCH(C$8,'Staff Calc'!$A$7:$A$11,0)-1+0),'Staff Calc'!$AB$20:$AB$1515,1)</f>
        <v>4518898.0299999947</v>
      </c>
      <c r="D14" s="247">
        <f>SUMIFS(INDEX('Staff Calc'!$M$20:$V$1515,0,2*MATCH(D$8,'Staff Calc'!$A$7:$A$11,0)-1+0),'Staff Calc'!$AB$20:$AB$1515,1)</f>
        <v>3607994.8599999943</v>
      </c>
      <c r="E14" s="247">
        <f>SUMIFS(INDEX('Staff Calc'!$M$20:$V$1515,0,2*MATCH(E$8,'Staff Calc'!$A$7:$A$11,0)-1+0),'Staff Calc'!$AB$20:$AB$1515,1)</f>
        <v>3292195.7500000005</v>
      </c>
      <c r="F14" s="247">
        <f>SUMIFS(INDEX('Staff Calc'!$M$20:$V$1515,0,2*MATCH(F$8,'Staff Calc'!$A$7:$A$11,0)-1+0),'Staff Calc'!$AB$20:$AB$1515,1)</f>
        <v>918691.49</v>
      </c>
      <c r="G14" s="248">
        <f>SUM(B14:F14)</f>
        <v>15265102.509999987</v>
      </c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</row>
    <row r="15" spans="1:21" x14ac:dyDescent="0.25">
      <c r="A15" s="255" t="s">
        <v>1281</v>
      </c>
      <c r="B15" s="247">
        <f>SUMIFS(INDEX('Staff Calc'!$M$20:$V$1515,0,2*MATCH(B$8,'Staff Calc'!$A$7:$A$11,0)-1+1),'Staff Calc'!$AB$20:$AB$1515,1)</f>
        <v>19227</v>
      </c>
      <c r="C15" s="247">
        <f>SUMIFS(INDEX('Staff Calc'!$M$20:$V$1515,0,2*MATCH(C$8,'Staff Calc'!$A$7:$A$11,0)-1+1),'Staff Calc'!$AB$20:$AB$1515,1)</f>
        <v>26980</v>
      </c>
      <c r="D15" s="247">
        <f>SUMIFS(INDEX('Staff Calc'!$M$20:$V$1515,0,2*MATCH(D$8,'Staff Calc'!$A$7:$A$11,0)-1+1),'Staff Calc'!$AB$20:$AB$1515,1)</f>
        <v>21541</v>
      </c>
      <c r="E15" s="247">
        <f>SUMIFS(INDEX('Staff Calc'!$M$20:$V$1515,0,2*MATCH(E$8,'Staff Calc'!$A$7:$A$11,0)-1+1),'Staff Calc'!$AB$20:$AB$1515,1)</f>
        <v>18601</v>
      </c>
      <c r="F15" s="247">
        <f>SUMIFS(INDEX('Staff Calc'!$M$20:$V$1515,0,2*MATCH(F$8,'Staff Calc'!$A$7:$A$11,0)-1+1),'Staff Calc'!$AB$20:$AB$1515,1)</f>
        <v>4795</v>
      </c>
      <c r="G15" s="248">
        <f>SUM(B15:F15)</f>
        <v>91144</v>
      </c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</row>
    <row r="16" spans="1:21" x14ac:dyDescent="0.25">
      <c r="A16" s="255" t="s">
        <v>1282</v>
      </c>
      <c r="B16" s="249">
        <f>IF(B15=0,NA(),B14/B15)</f>
        <v>152.25060487855606</v>
      </c>
      <c r="C16" s="249">
        <f t="shared" ref="C16:F16" si="1">IF(C15=0,NA(),C14/C15)</f>
        <v>167.49066085989602</v>
      </c>
      <c r="D16" s="249">
        <f t="shared" si="1"/>
        <v>167.49430667099924</v>
      </c>
      <c r="E16" s="249">
        <f t="shared" si="1"/>
        <v>176.99025590022043</v>
      </c>
      <c r="F16" s="249">
        <f t="shared" si="1"/>
        <v>191.59363712200209</v>
      </c>
      <c r="G16" s="250">
        <f>IFERROR(G14/G15,0)</f>
        <v>167.48335063196686</v>
      </c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</row>
    <row r="17" spans="1:39" x14ac:dyDescent="0.25">
      <c r="A17" s="255" t="s">
        <v>1283</v>
      </c>
      <c r="B17" s="251">
        <f>IFERROR(B14/B11,0)</f>
        <v>1</v>
      </c>
      <c r="C17" s="251">
        <f t="shared" ref="C17:F17" si="2">IFERROR(C14/C11,0)</f>
        <v>1</v>
      </c>
      <c r="D17" s="251">
        <f t="shared" si="2"/>
        <v>1</v>
      </c>
      <c r="E17" s="251">
        <f t="shared" si="2"/>
        <v>1</v>
      </c>
      <c r="F17" s="251">
        <f t="shared" si="2"/>
        <v>1</v>
      </c>
      <c r="G17" s="252">
        <f>IFERROR(G14/G11,0)</f>
        <v>1</v>
      </c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</row>
    <row r="18" spans="1:39" x14ac:dyDescent="0.25">
      <c r="A18" s="256" t="s">
        <v>1284</v>
      </c>
      <c r="B18" s="253">
        <f>IFERROR(IF(OR(B13=0,B16=0),0,B16/B13-1),0)</f>
        <v>0</v>
      </c>
      <c r="C18" s="253">
        <f t="shared" ref="C18:F18" si="3">IFERROR(IF(OR(C13=0,C16=0),0,C16/C13-1),0)</f>
        <v>0</v>
      </c>
      <c r="D18" s="253">
        <f t="shared" si="3"/>
        <v>0</v>
      </c>
      <c r="E18" s="253">
        <f t="shared" si="3"/>
        <v>0</v>
      </c>
      <c r="F18" s="253">
        <f t="shared" si="3"/>
        <v>0</v>
      </c>
      <c r="G18" s="254">
        <f>IF(OR(G13=0,G16=0),0,G16/G13-1)</f>
        <v>0</v>
      </c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</row>
    <row r="19" spans="1:39" x14ac:dyDescent="0.25">
      <c r="A19" s="255" t="s">
        <v>1300</v>
      </c>
      <c r="B19" s="251">
        <f>IFERROR(B15/B12,0)</f>
        <v>1</v>
      </c>
      <c r="C19" s="251">
        <f t="shared" ref="C19:G19" si="4">IFERROR(C15/C12,0)</f>
        <v>1</v>
      </c>
      <c r="D19" s="251">
        <f t="shared" si="4"/>
        <v>1</v>
      </c>
      <c r="E19" s="251">
        <f t="shared" si="4"/>
        <v>1</v>
      </c>
      <c r="F19" s="251">
        <f t="shared" si="4"/>
        <v>1</v>
      </c>
      <c r="G19" s="252">
        <f t="shared" si="4"/>
        <v>1</v>
      </c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</row>
    <row r="20" spans="1:39" x14ac:dyDescent="0.25">
      <c r="A20" s="263" t="s">
        <v>1304</v>
      </c>
      <c r="B20" s="264" cm="1">
        <f t="array" ref="B20">IF(B$9&gt;'Staff Calc'!$B$5,0,SUMPRODUCT(--('Staff Calc'!$AB$20:$AB$1515=1)))</f>
        <v>600</v>
      </c>
      <c r="C20" s="264" cm="1">
        <f t="array" ref="C20">IF(C$9&gt;'Staff Calc'!$B$5,0,SUMPRODUCT(--('Staff Calc'!$AB$20:$AB$1515=1)))</f>
        <v>600</v>
      </c>
      <c r="D20" s="264" cm="1">
        <f t="array" ref="D20">IF(D$9&gt;'Staff Calc'!$B$5,0,SUMPRODUCT(--('Staff Calc'!$AB$20:$AB$1515=1)))</f>
        <v>600</v>
      </c>
      <c r="E20" s="264" cm="1">
        <f t="array" ref="E20">IF(E$9&gt;'Staff Calc'!$B$5,0,SUMPRODUCT(--('Staff Calc'!$AB$20:$AB$1515=1)))</f>
        <v>600</v>
      </c>
      <c r="F20" s="264" cm="1">
        <f t="array" ref="F20">IF(F$9&gt;'Staff Calc'!$B$5,0,SUMPRODUCT(--('Staff Calc'!$AB$20:$AB$1515=1)))</f>
        <v>600</v>
      </c>
      <c r="G20" s="265" cm="1">
        <f t="array" ref="G20">SUMPRODUCT(--('Staff Calc'!$AB$20:$AB$1515=1))</f>
        <v>600</v>
      </c>
    </row>
    <row r="21" spans="1:39" ht="14.1" customHeight="1" x14ac:dyDescent="0.25">
      <c r="A21" s="255" t="s">
        <v>1305</v>
      </c>
      <c r="B21" s="247" cm="1">
        <f t="array" ref="B21">SUMPRODUCT(('Staff Calc'!$AB$20:$AB$1515=1)*(INDEX('Staff Calc'!$M$20:$V$1515,0,2*MATCH(B$8,'Staff Calc'!$A$7:$A$11,0)-1)&gt;0))</f>
        <v>470</v>
      </c>
      <c r="C21" s="247" cm="1">
        <f t="array" ref="C21">SUMPRODUCT(('Staff Calc'!$AB$20:$AB$1515=1)*(INDEX('Staff Calc'!$M$20:$V$1515,0,2*MATCH(C$8,'Staff Calc'!$A$7:$A$11,0)-1)&gt;0))</f>
        <v>507</v>
      </c>
      <c r="D21" s="247" cm="1">
        <f t="array" ref="D21">SUMPRODUCT(('Staff Calc'!$AB$20:$AB$1515=1)*(INDEX('Staff Calc'!$M$20:$V$1515,0,2*MATCH(D$8,'Staff Calc'!$A$7:$A$11,0)-1)&gt;0))</f>
        <v>515</v>
      </c>
      <c r="E21" s="247" cm="1">
        <f t="array" ref="E21">SUMPRODUCT(('Staff Calc'!$AB$20:$AB$1515=1)*(INDEX('Staff Calc'!$M$20:$V$1515,0,2*MATCH(E$8,'Staff Calc'!$A$7:$A$11,0)-1)&gt;0))</f>
        <v>516</v>
      </c>
      <c r="F21" s="247" cm="1">
        <f t="array" ref="F21">SUMPRODUCT(('Staff Calc'!$AB$20:$AB$1515=1)*(INDEX('Staff Calc'!$M$20:$V$1515,0,2*MATCH(F$8,'Staff Calc'!$A$7:$A$11,0)-1)&gt;0))</f>
        <v>441</v>
      </c>
      <c r="G21" s="248" cm="1">
        <f t="array" ref="G21">SUMPRODUCT(('Staff Calc'!$AB$20:$AB$1515=1)*((('Staff Calc'!$M$20:$M$1515&gt;0)+('Staff Calc'!$O$20:$O$1515&gt;0)+('Staff Calc'!$Q$20:$Q$1515&gt;0)+('Staff Calc'!$S$20:$S$1515&gt;0)+('Staff Calc'!$U$20:$U$1515&gt;0))&gt;0))</f>
        <v>600</v>
      </c>
    </row>
    <row r="22" spans="1:39" x14ac:dyDescent="0.25">
      <c r="A22" s="255" t="s">
        <v>1306</v>
      </c>
      <c r="B22" s="247">
        <f>IF(B$9&gt;'Staff Calc'!$B$5,0,B20-B21)</f>
        <v>130</v>
      </c>
      <c r="C22" s="247">
        <f>IF(C$9&gt;'Staff Calc'!$B$5,0,C20-C21)</f>
        <v>93</v>
      </c>
      <c r="D22" s="247">
        <f>IF(D$9&gt;'Staff Calc'!$B$5,0,D20-D21)</f>
        <v>85</v>
      </c>
      <c r="E22" s="247">
        <f>IF(E$9&gt;'Staff Calc'!$B$5,0,E20-E21)</f>
        <v>84</v>
      </c>
      <c r="F22" s="247">
        <f>IF(F$9&gt;'Staff Calc'!$B$5,0,F20-F21)</f>
        <v>159</v>
      </c>
      <c r="G22" s="248">
        <f>G20-G21</f>
        <v>0</v>
      </c>
    </row>
    <row r="23" spans="1:39" x14ac:dyDescent="0.25">
      <c r="A23" s="255" t="s">
        <v>1307</v>
      </c>
      <c r="B23" s="251">
        <f>IFERROR(B21/B20,0)</f>
        <v>0.78333333333333333</v>
      </c>
      <c r="C23" s="251">
        <f t="shared" ref="C23:F23" si="5">IFERROR(C21/C20,0)</f>
        <v>0.84499999999999997</v>
      </c>
      <c r="D23" s="251">
        <f t="shared" si="5"/>
        <v>0.85833333333333328</v>
      </c>
      <c r="E23" s="251">
        <f t="shared" si="5"/>
        <v>0.86</v>
      </c>
      <c r="F23" s="251">
        <f t="shared" si="5"/>
        <v>0.73499999999999999</v>
      </c>
      <c r="G23" s="252">
        <f>IFERROR(G21/G20,0)</f>
        <v>1</v>
      </c>
    </row>
    <row r="24" spans="1:39" ht="14.1" customHeight="1" x14ac:dyDescent="0.25">
      <c r="A24" s="255" t="s">
        <v>1309</v>
      </c>
      <c r="B24" s="247" cm="1">
        <f t="array" ref="B24">IF(B$9&gt;'Staff Calc'!$B$5,0,IFERROR(_xlfn.LET(_xlpm.k,MATCH(B$8,'Staff Calc'!$A$7:$A$11,0),_xlpm.s,INDEX('Staff Calc'!$M$20:$V$1515,0,2*_xlpm.k-1),_xlpm.t,INDEX('Staff Calc'!$M$20:$V$1515,0,2*_xlpm.k),_xlpm.f,'Staff Calc'!$AB$20:$AB$1515,SUMPRODUCT((_xlpm.f=1)*(_xlpm.t&gt;0)*(_xlpm.s&gt;=B$13*_xlpm.t))),0))</f>
        <v>200</v>
      </c>
      <c r="C24" s="247" cm="1">
        <f t="array" ref="C24">IF(C$9&gt;'Staff Calc'!$B$5,0,IFERROR(_xlfn.LET(_xlpm.k,MATCH(C$8,'Staff Calc'!$A$7:$A$11,0),_xlpm.s,INDEX('Staff Calc'!$M$20:$V$1515,0,2*_xlpm.k-1),_xlpm.t,INDEX('Staff Calc'!$M$20:$V$1515,0,2*_xlpm.k),_xlpm.f,'Staff Calc'!$AB$20:$AB$1515,SUMPRODUCT((_xlpm.f=1)*(_xlpm.t&gt;0)*(_xlpm.s&gt;=C$13*_xlpm.t))),0))</f>
        <v>211</v>
      </c>
      <c r="D24" s="247" cm="1">
        <f t="array" ref="D24">IF(D$9&gt;'Staff Calc'!$B$5,0,IFERROR(_xlfn.LET(_xlpm.k,MATCH(D$8,'Staff Calc'!$A$7:$A$11,0),_xlpm.s,INDEX('Staff Calc'!$M$20:$V$1515,0,2*_xlpm.k-1),_xlpm.t,INDEX('Staff Calc'!$M$20:$V$1515,0,2*_xlpm.k),_xlpm.f,'Staff Calc'!$AB$20:$AB$1515,SUMPRODUCT((_xlpm.f=1)*(_xlpm.t&gt;0)*(_xlpm.s&gt;=D$13*_xlpm.t))),0))</f>
        <v>202</v>
      </c>
      <c r="E24" s="247" cm="1">
        <f t="array" ref="E24">IF(E$9&gt;'Staff Calc'!$B$5,0,IFERROR(_xlfn.LET(_xlpm.k,MATCH(E$8,'Staff Calc'!$A$7:$A$11,0),_xlpm.s,INDEX('Staff Calc'!$M$20:$V$1515,0,2*_xlpm.k-1),_xlpm.t,INDEX('Staff Calc'!$M$20:$V$1515,0,2*_xlpm.k),_xlpm.f,'Staff Calc'!$AB$20:$AB$1515,SUMPRODUCT((_xlpm.f=1)*(_xlpm.t&gt;0)*(_xlpm.s&gt;=E$13*_xlpm.t))),0))</f>
        <v>211</v>
      </c>
      <c r="F24" s="247" cm="1">
        <f t="array" ref="F24">IF(F$9&gt;'Staff Calc'!$B$5,0,IFERROR(_xlfn.LET(_xlpm.k,MATCH(F$8,'Staff Calc'!$A$7:$A$11,0),_xlpm.s,INDEX('Staff Calc'!$M$20:$V$1515,0,2*_xlpm.k-1),_xlpm.t,INDEX('Staff Calc'!$M$20:$V$1515,0,2*_xlpm.k),_xlpm.f,'Staff Calc'!$AB$20:$AB$1515,SUMPRODUCT((_xlpm.f=1)*(_xlpm.t&gt;0)*(_xlpm.s&gt;=F$13*_xlpm.t))),0))</f>
        <v>179</v>
      </c>
      <c r="G24" s="248" cm="1">
        <f t="array" ref="G24">IFERROR(_xlfn.LET(_xlpm.s,'Staff Calc'!$M$20:$M$1515+'Staff Calc'!$O$20:$O$1515+'Staff Calc'!$Q$20:$Q$1515+'Staff Calc'!$S$20:$S$1515+'Staff Calc'!$U$20:$U$1515,_xlpm.t,'Staff Calc'!$N$20:$N$1515+'Staff Calc'!$P$20:$P$1515+'Staff Calc'!$R$20:$R$1515+'Staff Calc'!$T$20:$T$1515+'Staff Calc'!$V$20:$V$1515,_xlpm.f,'Staff Calc'!$AB$20:$AB$1515,SUMPRODUCT((_xlpm.f=1)*(_xlpm.t&gt;0)*(_xlpm.s&gt;=G$13*_xlpm.t))),0)</f>
        <v>251</v>
      </c>
    </row>
    <row r="25" spans="1:39" x14ac:dyDescent="0.25">
      <c r="A25" s="255" t="s">
        <v>1310</v>
      </c>
      <c r="B25" s="251">
        <f t="shared" ref="B25:G25" si="6">IFERROR(B24/B$21,0)</f>
        <v>0.42553191489361702</v>
      </c>
      <c r="C25" s="251">
        <f t="shared" si="6"/>
        <v>0.41617357001972388</v>
      </c>
      <c r="D25" s="251">
        <f t="shared" si="6"/>
        <v>0.39223300970873787</v>
      </c>
      <c r="E25" s="251">
        <f t="shared" si="6"/>
        <v>0.40891472868217055</v>
      </c>
      <c r="F25" s="251">
        <f t="shared" si="6"/>
        <v>0.40589569160997735</v>
      </c>
      <c r="G25" s="252">
        <f t="shared" si="6"/>
        <v>0.41833333333333333</v>
      </c>
    </row>
    <row r="26" spans="1:39" x14ac:dyDescent="0.25">
      <c r="A26" s="255" t="s">
        <v>1311</v>
      </c>
      <c r="B26" s="247" cm="1">
        <f t="array" ref="B26">IF(B$9&gt;'Staff Calc'!$B$5,0,IFERROR(_xlfn.LET(_xlpm.k,MATCH(B$8,'Staff Calc'!$A$7:$A$11,0),_xlpm.s,INDEX('Staff Calc'!$M$20:$V$1515,0,2*_xlpm.k-1),_xlpm.t,INDEX('Staff Calc'!$M$20:$V$1515,0,2*_xlpm.k),_xlpm.f,'Staff Calc'!$AB$20:$AB$1515,_xlpm.am,'Staff Calc'!$D$20:$D$1515,_xlpm.e,'Staff Calc'!$E$20:$E$1515,_xlpm.u,_xlfn.UNIQUE(_xlfn._xlws.FILTER(_xlpm.am,_xlpm.e=1)),_xlpm.as,_xlfn.XLOOKUP(_xlpm.am,_xlpm.u,SUMIFS(_xlpm.s,_xlpm.am,_xlpm.u,_xlpm.e,1),0),_xlpm.at,_xlfn.XLOOKUP(_xlpm.am,_xlpm.u,SUMIFS(_xlpm.t,_xlpm.am,_xlpm.u,_xlpm.e,1),0),SUMPRODUCT((_xlpm.f=1)*(_xlpm.t&gt;0)*(_xlpm.s*_xlpm.at&gt;=_xlpm.as*_xlpm.t))),0))</f>
        <v>219</v>
      </c>
      <c r="C26" s="247" cm="1">
        <f t="array" ref="C26">IF(C$9&gt;'Staff Calc'!$B$5,0,IFERROR(_xlfn.LET(_xlpm.k,MATCH(C$8,'Staff Calc'!$A$7:$A$11,0),_xlpm.s,INDEX('Staff Calc'!$M$20:$V$1515,0,2*_xlpm.k-1),_xlpm.t,INDEX('Staff Calc'!$M$20:$V$1515,0,2*_xlpm.k),_xlpm.f,'Staff Calc'!$AB$20:$AB$1515,_xlpm.am,'Staff Calc'!$D$20:$D$1515,_xlpm.e,'Staff Calc'!$E$20:$E$1515,_xlpm.u,_xlfn.UNIQUE(_xlfn._xlws.FILTER(_xlpm.am,_xlpm.e=1)),_xlpm.as,_xlfn.XLOOKUP(_xlpm.am,_xlpm.u,SUMIFS(_xlpm.s,_xlpm.am,_xlpm.u,_xlpm.e,1),0),_xlpm.at,_xlfn.XLOOKUP(_xlpm.am,_xlpm.u,SUMIFS(_xlpm.t,_xlpm.am,_xlpm.u,_xlpm.e,1),0),SUMPRODUCT((_xlpm.f=1)*(_xlpm.t&gt;0)*(_xlpm.s*_xlpm.at&gt;=_xlpm.as*_xlpm.t))),0))</f>
        <v>226</v>
      </c>
      <c r="D26" s="247" cm="1">
        <f t="array" ref="D26">IF(D$9&gt;'Staff Calc'!$B$5,0,IFERROR(_xlfn.LET(_xlpm.k,MATCH(D$8,'Staff Calc'!$A$7:$A$11,0),_xlpm.s,INDEX('Staff Calc'!$M$20:$V$1515,0,2*_xlpm.k-1),_xlpm.t,INDEX('Staff Calc'!$M$20:$V$1515,0,2*_xlpm.k),_xlpm.f,'Staff Calc'!$AB$20:$AB$1515,_xlpm.am,'Staff Calc'!$D$20:$D$1515,_xlpm.e,'Staff Calc'!$E$20:$E$1515,_xlpm.u,_xlfn.UNIQUE(_xlfn._xlws.FILTER(_xlpm.am,_xlpm.e=1)),_xlpm.as,_xlfn.XLOOKUP(_xlpm.am,_xlpm.u,SUMIFS(_xlpm.s,_xlpm.am,_xlpm.u,_xlpm.e,1),0),_xlpm.at,_xlfn.XLOOKUP(_xlpm.am,_xlpm.u,SUMIFS(_xlpm.t,_xlpm.am,_xlpm.u,_xlpm.e,1),0),SUMPRODUCT((_xlpm.f=1)*(_xlpm.t&gt;0)*(_xlpm.s*_xlpm.at&gt;=_xlpm.as*_xlpm.t))),0))</f>
        <v>221</v>
      </c>
      <c r="E26" s="247" cm="1">
        <f t="array" ref="E26">IF(E$9&gt;'Staff Calc'!$B$5,0,IFERROR(_xlfn.LET(_xlpm.k,MATCH(E$8,'Staff Calc'!$A$7:$A$11,0),_xlpm.s,INDEX('Staff Calc'!$M$20:$V$1515,0,2*_xlpm.k-1),_xlpm.t,INDEX('Staff Calc'!$M$20:$V$1515,0,2*_xlpm.k),_xlpm.f,'Staff Calc'!$AB$20:$AB$1515,_xlpm.am,'Staff Calc'!$D$20:$D$1515,_xlpm.e,'Staff Calc'!$E$20:$E$1515,_xlpm.u,_xlfn.UNIQUE(_xlfn._xlws.FILTER(_xlpm.am,_xlpm.e=1)),_xlpm.as,_xlfn.XLOOKUP(_xlpm.am,_xlpm.u,SUMIFS(_xlpm.s,_xlpm.am,_xlpm.u,_xlpm.e,1),0),_xlpm.at,_xlfn.XLOOKUP(_xlpm.am,_xlpm.u,SUMIFS(_xlpm.t,_xlpm.am,_xlpm.u,_xlpm.e,1),0),SUMPRODUCT((_xlpm.f=1)*(_xlpm.t&gt;0)*(_xlpm.s*_xlpm.at&gt;=_xlpm.as*_xlpm.t))),0))</f>
        <v>222</v>
      </c>
      <c r="F26" s="247" cm="1">
        <f t="array" ref="F26">IF(F$9&gt;'Staff Calc'!$B$5,0,IFERROR(_xlfn.LET(_xlpm.k,MATCH(F$8,'Staff Calc'!$A$7:$A$11,0),_xlpm.s,INDEX('Staff Calc'!$M$20:$V$1515,0,2*_xlpm.k-1),_xlpm.t,INDEX('Staff Calc'!$M$20:$V$1515,0,2*_xlpm.k),_xlpm.f,'Staff Calc'!$AB$20:$AB$1515,_xlpm.am,'Staff Calc'!$D$20:$D$1515,_xlpm.e,'Staff Calc'!$E$20:$E$1515,_xlpm.u,_xlfn.UNIQUE(_xlfn._xlws.FILTER(_xlpm.am,_xlpm.e=1)),_xlpm.as,_xlfn.XLOOKUP(_xlpm.am,_xlpm.u,SUMIFS(_xlpm.s,_xlpm.am,_xlpm.u,_xlpm.e,1),0),_xlpm.at,_xlfn.XLOOKUP(_xlpm.am,_xlpm.u,SUMIFS(_xlpm.t,_xlpm.am,_xlpm.u,_xlpm.e,1),0),SUMPRODUCT((_xlpm.f=1)*(_xlpm.t&gt;0)*(_xlpm.s*_xlpm.at&gt;=_xlpm.as*_xlpm.t))),0))</f>
        <v>188</v>
      </c>
      <c r="G26" s="248" cm="1">
        <f t="array" ref="G26">IFERROR(_xlfn.LET(_xlpm.s,'Staff Calc'!$M$20:$M$1515+'Staff Calc'!$O$20:$O$1515+'Staff Calc'!$Q$20:$Q$1515+'Staff Calc'!$S$20:$S$1515+'Staff Calc'!$U$20:$U$1515,_xlpm.t,'Staff Calc'!$N$20:$N$1515+'Staff Calc'!$P$20:$P$1515+'Staff Calc'!$R$20:$R$1515+'Staff Calc'!$T$20:$T$1515+'Staff Calc'!$V$20:$V$1515,_xlpm.f,'Staff Calc'!$AB$20:$AB$1515,_xlpm.am,'Staff Calc'!$D$20:$D$1515,_xlpm.e,'Staff Calc'!$E$20:$E$1515,_xlpm.u,_xlfn.UNIQUE(_xlfn._xlws.FILTER(_xlpm.am,_xlpm.e=1)),_xlpm.m,(_xlpm.am=TRANSPOSE(_xlpm.u))*(_xlpm.e=1),_xlpm.as,_xlfn.XLOOKUP(_xlpm.am,_xlpm.u,MMULT(TRANSPOSE(_xlpm.m),_xlpm.s),0),_xlpm.at,_xlfn.XLOOKUP(_xlpm.am,_xlpm.u,MMULT(TRANSPOSE(_xlpm.m),_xlpm.t),0),SUMPRODUCT((_xlpm.f=1)*(_xlpm.t&gt;0)*(_xlpm.s*_xlpm.at&gt;=_xlpm.as*_xlpm.t))),0)</f>
        <v>268</v>
      </c>
    </row>
    <row r="27" spans="1:39" x14ac:dyDescent="0.25">
      <c r="A27" s="255" t="s">
        <v>1312</v>
      </c>
      <c r="B27" s="251">
        <f t="shared" ref="B27:G27" si="7">IFERROR(B26/B$21,0)</f>
        <v>0.46595744680851064</v>
      </c>
      <c r="C27" s="251">
        <f t="shared" si="7"/>
        <v>0.44575936883629191</v>
      </c>
      <c r="D27" s="251">
        <f t="shared" si="7"/>
        <v>0.42912621359223302</v>
      </c>
      <c r="E27" s="251">
        <f t="shared" si="7"/>
        <v>0.43023255813953487</v>
      </c>
      <c r="F27" s="251">
        <f t="shared" si="7"/>
        <v>0.42630385487528344</v>
      </c>
      <c r="G27" s="252">
        <f t="shared" si="7"/>
        <v>0.44666666666666666</v>
      </c>
    </row>
    <row r="28" spans="1:39" x14ac:dyDescent="0.25">
      <c r="A28" s="255" t="s">
        <v>1313</v>
      </c>
      <c r="B28" s="247" cm="1">
        <f t="array" ref="B28">IF(B$9&gt;'Staff Calc'!$B$5,0,IFERROR(_xlfn.LET(_xlpm.k,MATCH(B$8,'Staff Calc'!$A$7:$A$11,0),_xlpm.s,INDEX('Staff Calc'!$M$20:$V$1515,0,2*_xlpm.k-1),_xlpm.t,INDEX('Staff Calc'!$M$20:$V$1515,0,2*_xlpm.k),_xlpm.f,'Staff Calc'!$AB$20:$AB$1515,_xlpm.ss,INDEX('Staff Calc'!$W$20:$AA$1515,0,_xlpm.k),_xlpm.st,INDEX('Staff Calc'!$AI$20:$AM$1515,0,_xlpm.k),SUMPRODUCT((_xlpm.f=1)*(_xlpm.t&gt;0)*(_xlpm.s*_xlpm.st&gt;=_xlpm.ss*_xlpm.t))),0))</f>
        <v>223</v>
      </c>
      <c r="C28" s="247" cm="1">
        <f t="array" ref="C28">IF(C$9&gt;'Staff Calc'!$B$5,0,IFERROR(_xlfn.LET(_xlpm.k,MATCH(C$8,'Staff Calc'!$A$7:$A$11,0),_xlpm.s,INDEX('Staff Calc'!$M$20:$V$1515,0,2*_xlpm.k-1),_xlpm.t,INDEX('Staff Calc'!$M$20:$V$1515,0,2*_xlpm.k),_xlpm.f,'Staff Calc'!$AB$20:$AB$1515,_xlpm.ss,INDEX('Staff Calc'!$W$20:$AA$1515,0,_xlpm.k),_xlpm.st,INDEX('Staff Calc'!$AI$20:$AM$1515,0,_xlpm.k),SUMPRODUCT((_xlpm.f=1)*(_xlpm.t&gt;0)*(_xlpm.s*_xlpm.st&gt;=_xlpm.ss*_xlpm.t))),0))</f>
        <v>244</v>
      </c>
      <c r="D28" s="247" cm="1">
        <f t="array" ref="D28">IF(D$9&gt;'Staff Calc'!$B$5,0,IFERROR(_xlfn.LET(_xlpm.k,MATCH(D$8,'Staff Calc'!$A$7:$A$11,0),_xlpm.s,INDEX('Staff Calc'!$M$20:$V$1515,0,2*_xlpm.k-1),_xlpm.t,INDEX('Staff Calc'!$M$20:$V$1515,0,2*_xlpm.k),_xlpm.f,'Staff Calc'!$AB$20:$AB$1515,_xlpm.ss,INDEX('Staff Calc'!$W$20:$AA$1515,0,_xlpm.k),_xlpm.st,INDEX('Staff Calc'!$AI$20:$AM$1515,0,_xlpm.k),SUMPRODUCT((_xlpm.f=1)*(_xlpm.t&gt;0)*(_xlpm.s*_xlpm.st&gt;=_xlpm.ss*_xlpm.t))),0))</f>
        <v>239</v>
      </c>
      <c r="E28" s="247" cm="1">
        <f t="array" ref="E28">IF(E$9&gt;'Staff Calc'!$B$5,0,IFERROR(_xlfn.LET(_xlpm.k,MATCH(E$8,'Staff Calc'!$A$7:$A$11,0),_xlpm.s,INDEX('Staff Calc'!$M$20:$V$1515,0,2*_xlpm.k-1),_xlpm.t,INDEX('Staff Calc'!$M$20:$V$1515,0,2*_xlpm.k),_xlpm.f,'Staff Calc'!$AB$20:$AB$1515,_xlpm.ss,INDEX('Staff Calc'!$W$20:$AA$1515,0,_xlpm.k),_xlpm.st,INDEX('Staff Calc'!$AI$20:$AM$1515,0,_xlpm.k),SUMPRODUCT((_xlpm.f=1)*(_xlpm.t&gt;0)*(_xlpm.s*_xlpm.st&gt;=_xlpm.ss*_xlpm.t))),0))</f>
        <v>248</v>
      </c>
      <c r="F28" s="247" cm="1">
        <f t="array" ref="F28">IF(F$9&gt;'Staff Calc'!$B$5,0,IFERROR(_xlfn.LET(_xlpm.k,MATCH(F$8,'Staff Calc'!$A$7:$A$11,0),_xlpm.s,INDEX('Staff Calc'!$M$20:$V$1515,0,2*_xlpm.k-1),_xlpm.t,INDEX('Staff Calc'!$M$20:$V$1515,0,2*_xlpm.k),_xlpm.f,'Staff Calc'!$AB$20:$AB$1515,_xlpm.ss,INDEX('Staff Calc'!$W$20:$AA$1515,0,_xlpm.k),_xlpm.st,INDEX('Staff Calc'!$AI$20:$AM$1515,0,_xlpm.k),SUMPRODUCT((_xlpm.f=1)*(_xlpm.t&gt;0)*(_xlpm.s*_xlpm.st&gt;=_xlpm.ss*_xlpm.t))),0))</f>
        <v>213</v>
      </c>
      <c r="G28" s="248" cm="1">
        <f t="array" ref="G28">IFERROR(_xlfn.LET(_xlpm.s,'Staff Calc'!$M$20:$M$1515+'Staff Calc'!$O$20:$O$1515+'Staff Calc'!$Q$20:$Q$1515+'Staff Calc'!$S$20:$S$1515+'Staff Calc'!$U$20:$U$1515,_xlpm.t,'Staff Calc'!$N$20:$N$1515+'Staff Calc'!$P$20:$P$1515+'Staff Calc'!$R$20:$R$1515+'Staff Calc'!$T$20:$T$1515+'Staff Calc'!$V$20:$V$1515,_xlpm.f,'Staff Calc'!$AB$20:$AB$1515,_xlpm.ss,'Staff Calc'!$W$20:$W$1515+'Staff Calc'!$X$20:$X$1515+'Staff Calc'!$Y$20:$Y$1515+'Staff Calc'!$Z$20:$Z$1515+'Staff Calc'!$AA$20:$AA$1515,_xlpm.st,'Staff Calc'!$AI$20:$AI$1515+'Staff Calc'!$AJ$20:$AJ$1515+'Staff Calc'!$AK$20:$AK$1515+'Staff Calc'!$AL$20:$AL$1515+'Staff Calc'!$AM$20:$AM$1515,SUMPRODUCT((_xlpm.f=1)*(_xlpm.t&gt;0)*(_xlpm.s*_xlpm.st&gt;=_xlpm.ss*_xlpm.t))),0)</f>
        <v>294</v>
      </c>
    </row>
    <row r="29" spans="1:39" x14ac:dyDescent="0.25">
      <c r="A29" s="255" t="s">
        <v>1314</v>
      </c>
      <c r="B29" s="251">
        <f t="shared" ref="B29:G29" si="8">IFERROR(B28/B$21,0)</f>
        <v>0.474468085106383</v>
      </c>
      <c r="C29" s="251">
        <f t="shared" si="8"/>
        <v>0.48126232741617359</v>
      </c>
      <c r="D29" s="251">
        <f t="shared" si="8"/>
        <v>0.4640776699029126</v>
      </c>
      <c r="E29" s="251">
        <f t="shared" si="8"/>
        <v>0.48062015503875971</v>
      </c>
      <c r="F29" s="251">
        <f t="shared" si="8"/>
        <v>0.48299319727891155</v>
      </c>
      <c r="G29" s="252">
        <f t="shared" si="8"/>
        <v>0.49</v>
      </c>
    </row>
    <row r="31" spans="1:39" ht="15.75" x14ac:dyDescent="0.25">
      <c r="A31" s="229" t="s">
        <v>1285</v>
      </c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</row>
    <row r="32" spans="1:39" x14ac:dyDescent="0.25">
      <c r="A32" s="215"/>
      <c r="B32" s="215"/>
      <c r="C32" s="215"/>
      <c r="D32" s="379" t="s">
        <v>1286</v>
      </c>
      <c r="E32" s="379"/>
      <c r="F32" s="379"/>
      <c r="G32" s="379"/>
      <c r="H32" s="379"/>
      <c r="I32" s="379"/>
      <c r="J32" s="380" t="s">
        <v>1287</v>
      </c>
      <c r="K32" s="380"/>
      <c r="L32" s="380"/>
      <c r="M32" s="380"/>
      <c r="N32" s="380"/>
      <c r="O32" s="380"/>
      <c r="P32" s="381" t="s">
        <v>1288</v>
      </c>
      <c r="Q32" s="381"/>
      <c r="R32" s="381"/>
      <c r="S32" s="381"/>
      <c r="T32" s="381"/>
      <c r="U32" s="381"/>
      <c r="V32" s="382" t="s">
        <v>1301</v>
      </c>
      <c r="W32" s="382"/>
      <c r="X32" s="382"/>
      <c r="Y32" s="382"/>
      <c r="Z32" s="382"/>
      <c r="AA32" s="382"/>
      <c r="AB32" s="383" t="s">
        <v>1302</v>
      </c>
      <c r="AC32" s="383"/>
      <c r="AD32" s="383"/>
      <c r="AE32" s="383"/>
      <c r="AF32" s="383"/>
      <c r="AG32" s="383"/>
      <c r="AH32" s="378" t="s">
        <v>1303</v>
      </c>
      <c r="AI32" s="378"/>
      <c r="AJ32" s="378"/>
      <c r="AK32" s="378"/>
      <c r="AL32" s="378"/>
      <c r="AM32" s="378"/>
    </row>
    <row r="33" spans="1:39" x14ac:dyDescent="0.25">
      <c r="A33" s="238" t="s">
        <v>1233</v>
      </c>
      <c r="B33" s="238" t="s">
        <v>125</v>
      </c>
      <c r="C33" s="238" t="s">
        <v>134</v>
      </c>
      <c r="D33" s="238" t="str">
        <f>B$8</f>
        <v>WK1</v>
      </c>
      <c r="E33" s="238" t="str">
        <f>C$8</f>
        <v>WK2</v>
      </c>
      <c r="F33" s="238" t="str">
        <f>D$8</f>
        <v>WK3</v>
      </c>
      <c r="G33" s="238" t="str">
        <f>E$8</f>
        <v>WK4</v>
      </c>
      <c r="H33" s="238" t="str">
        <f>F$8</f>
        <v>WK5</v>
      </c>
      <c r="I33" s="238" t="s">
        <v>1289</v>
      </c>
      <c r="J33" s="238" t="str">
        <f>B$8</f>
        <v>WK1</v>
      </c>
      <c r="K33" s="238" t="str">
        <f>C$8</f>
        <v>WK2</v>
      </c>
      <c r="L33" s="238" t="str">
        <f>D$8</f>
        <v>WK3</v>
      </c>
      <c r="M33" s="238" t="str">
        <f>E$8</f>
        <v>WK4</v>
      </c>
      <c r="N33" s="238" t="str">
        <f>F$8</f>
        <v>WK5</v>
      </c>
      <c r="O33" s="238" t="s">
        <v>1289</v>
      </c>
      <c r="P33" s="238" t="str">
        <f>B$8</f>
        <v>WK1</v>
      </c>
      <c r="Q33" s="238" t="str">
        <f>C$8</f>
        <v>WK2</v>
      </c>
      <c r="R33" s="238" t="str">
        <f>D$8</f>
        <v>WK3</v>
      </c>
      <c r="S33" s="238" t="str">
        <f>E$8</f>
        <v>WK4</v>
      </c>
      <c r="T33" s="238" t="str">
        <f>F$8</f>
        <v>WK5</v>
      </c>
      <c r="U33" s="238" t="s">
        <v>1289</v>
      </c>
      <c r="V33" s="238" t="str">
        <f>B$8</f>
        <v>WK1</v>
      </c>
      <c r="W33" s="238" t="str">
        <f>C$8</f>
        <v>WK2</v>
      </c>
      <c r="X33" s="238" t="str">
        <f>D$8</f>
        <v>WK3</v>
      </c>
      <c r="Y33" s="238" t="str">
        <f>E$8</f>
        <v>WK4</v>
      </c>
      <c r="Z33" s="238" t="str">
        <f>F$8</f>
        <v>WK5</v>
      </c>
      <c r="AA33" s="238" t="s">
        <v>1289</v>
      </c>
      <c r="AB33" s="238" t="str">
        <f>B$8</f>
        <v>WK1</v>
      </c>
      <c r="AC33" s="238" t="str">
        <f>C$8</f>
        <v>WK2</v>
      </c>
      <c r="AD33" s="238" t="str">
        <f>D$8</f>
        <v>WK3</v>
      </c>
      <c r="AE33" s="238" t="str">
        <f>E$8</f>
        <v>WK4</v>
      </c>
      <c r="AF33" s="238" t="str">
        <f>F$8</f>
        <v>WK5</v>
      </c>
      <c r="AG33" s="238" t="s">
        <v>1289</v>
      </c>
      <c r="AH33" s="238" t="str">
        <f>B$8</f>
        <v>WK1</v>
      </c>
      <c r="AI33" s="238" t="str">
        <f>C$8</f>
        <v>WK2</v>
      </c>
      <c r="AJ33" s="238" t="str">
        <f>D$8</f>
        <v>WK3</v>
      </c>
      <c r="AK33" s="238" t="str">
        <f>E$8</f>
        <v>WK4</v>
      </c>
      <c r="AL33" s="238" t="str">
        <f>F$8</f>
        <v>WK5</v>
      </c>
      <c r="AM33" s="238" t="s">
        <v>1289</v>
      </c>
    </row>
    <row r="34" spans="1:39" x14ac:dyDescent="0.25">
      <c r="A34" s="215" t="str" cm="1">
        <f t="array" ref="A34:AM633">_xlfn.LET(_xlpm.x_fl,'Staff Calc'!$AB$20:$AB$1515,_xlpm.x_a,'Staff Calc'!$A$20:$A$1515,_xlpm.x_b,'Staff Calc'!$B$20:$B$1515,_xlpm.x_d,'Staff Calc'!$D$20:$D$1515,_xlpm.x_s1,'Staff Calc'!$M$20:$M$1515,_xlpm.x_t1,'Staff Calc'!$N$20:$N$1515,_xlpm.x_s2,'Staff Calc'!$O$20:$O$1515,_xlpm.x_t2,'Staff Calc'!$P$20:$P$1515,_xlpm.x_s3,'Staff Calc'!$Q$20:$Q$1515,_xlpm.x_t3,'Staff Calc'!$R$20:$R$1515,_xlpm.x_s4,'Staff Calc'!$S$20:$S$1515,_xlpm.x_t4,'Staff Calc'!$T$20:$T$1515,_xlpm.x_s5,'Staff Calc'!$U$20:$U$1515,_xlpm.x_t5,'Staff Calc'!$V$20:$V$1515,_xlpm.x_w1,'Staff Calc'!$W$20:$W$1515,_xlpm.x_w2,'Staff Calc'!$X$20:$X$1515,_xlpm.x_w3,'Staff Calc'!$Y$20:$Y$1515,_xlpm.x_w4,'Staff Calc'!$Z$20:$Z$1515,_xlpm.x_w5,'Staff Calc'!$AA$20:$AA$1515,_xlpm.x_v1,'Staff Calc'!$AI$20:$AI$1515,_xlpm.x_v2,'Staff Calc'!$AJ$20:$AJ$1515,_xlpm.x_v3,'Staff Calc'!$AK$20:$AK$1515,_xlpm.x_v4,'Staff Calc'!$AL$20:$AL$1515,_xlpm.x_v5,'Staff Calc'!$AM$20:$AM$1515,_xlpm.x_vm,_xlpm.x_v1+_xlpm.x_v2+_xlpm.x_v3+_xlpm.x_v4+_xlpm.x_v5,_xlpm.x_sm,_xlpm.x_s1+_xlpm.x_s2+_xlpm.x_s3+_xlpm.x_s4+_xlpm.x_s5,_xlpm.x_tm,_xlpm.x_t1+_xlpm.x_t2+_xlpm.x_t3+_xlpm.x_t4+_xlpm.x_t5,_xlpm.x_wm,_xlpm.x_w1+_xlpm.x_w2+_xlpm.x_w3+_xlpm.x_w4+_xlpm.x_w5,_xlpm.x_keep,(_xlpm.x_fl=1)*((_xlpm.x_sm&lt;&gt;0)+(_xlpm.x_tm&lt;&gt;0)&gt;0),_xlpm.x_q,_xlfn.LAMBDA(_xlpm.x_n,_xlpm.x_dd,IF(_xlpm.x_dd=0,"",_xlpm.x_n/_xlpm.x_dd)),_xlpm.x_data,_xlfn.HSTACK(_xlpm.x_b,_xlpm.x_a,_xlpm.x_d,_xlpm.x_s1,_xlpm.x_s2,_xlpm.x_s3,_xlpm.x_s4,_xlpm.x_s5,_xlpm.x_sm,_xlpm.x_q(_xlpm.x_s1,_xlpm.x_t1),_xlpm.x_q(_xlpm.x_s2,_xlpm.x_t2),_xlpm.x_q(_xlpm.x_s3,_xlpm.x_t3),_xlpm.x_q(_xlpm.x_s4,_xlpm.x_t4),_xlpm.x_q(_xlpm.x_s5,_xlpm.x_t5),_xlpm.x_q(_xlpm.x_sm,_xlpm.x_tm),_xlpm.x_q(_xlpm.x_s1,_xlpm.x_w1),_xlpm.x_q(_xlpm.x_s2,_xlpm.x_w2),_xlpm.x_q(_xlpm.x_s3,_xlpm.x_w3),_xlpm.x_q(_xlpm.x_s4,_xlpm.x_w4),_xlpm.x_q(_xlpm.x_s5,_xlpm.x_w5),_xlpm.x_q(_xlpm.x_sm,_xlpm.x_wm),_xlpm.x_t1,_xlpm.x_t2,_xlpm.x_t3,_xlpm.x_t4,_xlpm.x_t5,_xlpm.x_tm,_xlpm.x_q(_xlpm.x_t1,_xlpm.x_v1),_xlpm.x_q(_xlpm.x_t2,_xlpm.x_v2),_xlpm.x_q(_xlpm.x_t3,_xlpm.x_v3),_xlpm.x_q(_xlpm.x_t4,_xlpm.x_v4),_xlpm.x_q(_xlpm.x_t5,_xlpm.x_v5),_xlpm.x_q(_xlpm.x_tm,_xlpm.x_vm),_xlpm.x_q(_xlpm.x_t1,$B$12+0*_xlpm.x_t1),_xlpm.x_q(_xlpm.x_t2,$C$12+0*_xlpm.x_t1),_xlpm.x_q(_xlpm.x_t3,$D$12+0*_xlpm.x_t1),_xlpm.x_q(_xlpm.x_t4,$E$12+0*_xlpm.x_t1),_xlpm.x_q(_xlpm.x_t5,$F$12+0*_xlpm.x_t1),_xlpm.x_q(_xlpm.x_tm,$G$12+0*_xlpm.x_t1)),_xlpm.x_out,_xlfn._xlws.FILTER(_xlpm.x_data,_xlpm.x_keep),IFERROR(_xlfn.SORTBY(_xlpm.x_out,INDEX(_xlpm.x_out,,3),1,INDEX(_xlpm.x_out,,2),1,INDEX(_xlpm.x_out,,9),-1),"No staff sales for this selection"))</f>
        <v>4538-MAl-Shahrani</v>
      </c>
      <c r="B34" s="215" t="str">
        <v>ANDLUSMALL</v>
      </c>
      <c r="C34" s="215" t="str">
        <v>Ahlam Al Zahrani</v>
      </c>
      <c r="D34" s="239">
        <v>10943.240000000002</v>
      </c>
      <c r="E34" s="239">
        <v>14919.18</v>
      </c>
      <c r="F34" s="239">
        <v>9955.16</v>
      </c>
      <c r="G34" s="239">
        <v>8762.0399999999991</v>
      </c>
      <c r="H34" s="239">
        <v>3626.99</v>
      </c>
      <c r="I34" s="257">
        <v>48206.61</v>
      </c>
      <c r="J34" s="240">
        <v>110.53777777777779</v>
      </c>
      <c r="K34" s="240">
        <v>139.43158878504673</v>
      </c>
      <c r="L34" s="240">
        <v>119.94168674698795</v>
      </c>
      <c r="M34" s="240">
        <v>125.17199999999998</v>
      </c>
      <c r="N34" s="240">
        <v>181.34949999999998</v>
      </c>
      <c r="O34" s="258">
        <v>127.19422163588391</v>
      </c>
      <c r="P34" s="224">
        <v>0.30399780430782364</v>
      </c>
      <c r="Q34" s="224">
        <v>0.24306260069446084</v>
      </c>
      <c r="R34" s="224">
        <v>0.22818925169110615</v>
      </c>
      <c r="S34" s="224">
        <v>0.22762347062119723</v>
      </c>
      <c r="T34" s="224">
        <v>0.35087283122360829</v>
      </c>
      <c r="U34" s="259">
        <v>0.25393933915501626</v>
      </c>
      <c r="V34" s="239">
        <v>99</v>
      </c>
      <c r="W34" s="239">
        <v>107</v>
      </c>
      <c r="X34" s="239">
        <v>83</v>
      </c>
      <c r="Y34" s="239">
        <v>70</v>
      </c>
      <c r="Z34" s="239">
        <v>20</v>
      </c>
      <c r="AA34" s="257">
        <v>379</v>
      </c>
      <c r="AB34" s="224">
        <v>0.30841121495327101</v>
      </c>
      <c r="AC34" s="224">
        <v>0.24597701149425288</v>
      </c>
      <c r="AD34" s="224">
        <v>0.23380281690140844</v>
      </c>
      <c r="AE34" s="224">
        <v>0.22653721682847897</v>
      </c>
      <c r="AF34" s="224">
        <v>0.27027027027027029</v>
      </c>
      <c r="AG34" s="259">
        <v>0.25368139223560909</v>
      </c>
      <c r="AH34" s="261">
        <v>5.1490092058043375E-3</v>
      </c>
      <c r="AI34" s="261">
        <v>3.96590066716086E-3</v>
      </c>
      <c r="AJ34" s="261">
        <v>3.8531173111740402E-3</v>
      </c>
      <c r="AK34" s="261">
        <v>3.7632385355626042E-3</v>
      </c>
      <c r="AL34" s="261">
        <v>4.1710114702815434E-3</v>
      </c>
      <c r="AM34" s="262">
        <v>4.1582550689019575E-3</v>
      </c>
    </row>
    <row r="35" spans="1:39" x14ac:dyDescent="0.25">
      <c r="A35" s="215" t="str">
        <v>3478-Mohammed Alshamrani</v>
      </c>
      <c r="B35" s="215" t="str">
        <v>ANDLUSMALL</v>
      </c>
      <c r="C35" s="215" t="str">
        <v>Ahlam Al Zahrani</v>
      </c>
      <c r="D35" s="239">
        <v>14477.380000000001</v>
      </c>
      <c r="E35" s="239">
        <v>12061.24</v>
      </c>
      <c r="F35" s="239">
        <v>6953.13</v>
      </c>
      <c r="G35" s="239">
        <v>10642.76</v>
      </c>
      <c r="H35" s="239">
        <v>1790.03</v>
      </c>
      <c r="I35" s="257">
        <v>45924.54</v>
      </c>
      <c r="J35" s="240">
        <v>119.64776859504133</v>
      </c>
      <c r="K35" s="240">
        <v>150.7655</v>
      </c>
      <c r="L35" s="240">
        <v>119.88155172413794</v>
      </c>
      <c r="M35" s="240">
        <v>133.03450000000001</v>
      </c>
      <c r="N35" s="240">
        <v>99.446111111111108</v>
      </c>
      <c r="O35" s="258">
        <v>128.64016806722688</v>
      </c>
      <c r="P35" s="224">
        <v>0.4021744686336039</v>
      </c>
      <c r="Q35" s="224">
        <v>0.19650117245050056</v>
      </c>
      <c r="R35" s="224">
        <v>0.15937760232994558</v>
      </c>
      <c r="S35" s="224">
        <v>0.27648150067660654</v>
      </c>
      <c r="T35" s="224">
        <v>0.1731664256243319</v>
      </c>
      <c r="U35" s="259">
        <v>0.24191801370389063</v>
      </c>
      <c r="V35" s="239">
        <v>121</v>
      </c>
      <c r="W35" s="239">
        <v>80</v>
      </c>
      <c r="X35" s="239">
        <v>58</v>
      </c>
      <c r="Y35" s="239">
        <v>80</v>
      </c>
      <c r="Z35" s="239">
        <v>18</v>
      </c>
      <c r="AA35" s="257">
        <v>357</v>
      </c>
      <c r="AB35" s="224">
        <v>0.37694704049844235</v>
      </c>
      <c r="AC35" s="224">
        <v>0.18390804597701149</v>
      </c>
      <c r="AD35" s="224">
        <v>0.16338028169014085</v>
      </c>
      <c r="AE35" s="224">
        <v>0.25889967637540451</v>
      </c>
      <c r="AF35" s="224">
        <v>0.24324324324324326</v>
      </c>
      <c r="AG35" s="259">
        <v>0.23895582329317269</v>
      </c>
      <c r="AH35" s="261">
        <v>6.2932334737608574E-3</v>
      </c>
      <c r="AI35" s="261">
        <v>2.9651593773165306E-3</v>
      </c>
      <c r="AJ35" s="261">
        <v>2.6925398078083656E-3</v>
      </c>
      <c r="AK35" s="261">
        <v>4.3008440406429758E-3</v>
      </c>
      <c r="AL35" s="261">
        <v>3.753910323253389E-3</v>
      </c>
      <c r="AM35" s="262">
        <v>3.9168787852189944E-3</v>
      </c>
    </row>
    <row r="36" spans="1:39" x14ac:dyDescent="0.25">
      <c r="A36" s="215" t="str">
        <v>4447-MAlGhamdi</v>
      </c>
      <c r="B36" s="215" t="str">
        <v>ANDLUSMALL</v>
      </c>
      <c r="C36" s="215" t="str">
        <v>Ahlam Al Zahrani</v>
      </c>
      <c r="D36" s="239">
        <v>4572</v>
      </c>
      <c r="E36" s="239">
        <v>14829.29</v>
      </c>
      <c r="F36" s="239">
        <v>13031.23</v>
      </c>
      <c r="G36" s="239">
        <v>7695.97</v>
      </c>
      <c r="H36" s="239">
        <v>3307.9700000000003</v>
      </c>
      <c r="I36" s="257">
        <v>43436.46</v>
      </c>
      <c r="J36" s="240">
        <v>97.276595744680847</v>
      </c>
      <c r="K36" s="240">
        <v>143.97368932038836</v>
      </c>
      <c r="L36" s="240">
        <v>118.46572727272726</v>
      </c>
      <c r="M36" s="240">
        <v>116.60560606060606</v>
      </c>
      <c r="N36" s="240">
        <v>118.14178571428572</v>
      </c>
      <c r="O36" s="258">
        <v>122.70186440677966</v>
      </c>
      <c r="P36" s="224">
        <v>0.12700790271394663</v>
      </c>
      <c r="Q36" s="224">
        <v>0.24159811691073915</v>
      </c>
      <c r="R36" s="224">
        <v>0.29869802417185592</v>
      </c>
      <c r="S36" s="224">
        <v>0.19992871536726783</v>
      </c>
      <c r="T36" s="224">
        <v>0.32001102829143718</v>
      </c>
      <c r="U36" s="259">
        <v>0.22881148347982358</v>
      </c>
      <c r="V36" s="239">
        <v>47</v>
      </c>
      <c r="W36" s="239">
        <v>103</v>
      </c>
      <c r="X36" s="239">
        <v>110</v>
      </c>
      <c r="Y36" s="239">
        <v>66</v>
      </c>
      <c r="Z36" s="239">
        <v>28</v>
      </c>
      <c r="AA36" s="257">
        <v>354</v>
      </c>
      <c r="AB36" s="224">
        <v>0.14641744548286603</v>
      </c>
      <c r="AC36" s="224">
        <v>0.23678160919540231</v>
      </c>
      <c r="AD36" s="224">
        <v>0.30985915492957744</v>
      </c>
      <c r="AE36" s="224">
        <v>0.21359223300970873</v>
      </c>
      <c r="AF36" s="224">
        <v>0.3783783783783784</v>
      </c>
      <c r="AG36" s="259">
        <v>0.23694779116465864</v>
      </c>
      <c r="AH36" s="261">
        <v>2.4444791179071097E-3</v>
      </c>
      <c r="AI36" s="261">
        <v>3.8176426982950333E-3</v>
      </c>
      <c r="AJ36" s="261">
        <v>5.1065410148089692E-3</v>
      </c>
      <c r="AK36" s="261">
        <v>3.5481963335304554E-3</v>
      </c>
      <c r="AL36" s="261">
        <v>5.8394160583941602E-3</v>
      </c>
      <c r="AM36" s="262">
        <v>3.8839638374440445E-3</v>
      </c>
    </row>
    <row r="37" spans="1:39" x14ac:dyDescent="0.25">
      <c r="A37" s="215" t="str">
        <v>4449-RAlZahrani</v>
      </c>
      <c r="B37" s="215" t="str">
        <v>ANDLUSMALL</v>
      </c>
      <c r="C37" s="215" t="str">
        <v>Ahlam Al Zahrani</v>
      </c>
      <c r="D37" s="239">
        <v>0</v>
      </c>
      <c r="E37" s="239">
        <v>11654.180000000002</v>
      </c>
      <c r="F37" s="239">
        <v>7873.18</v>
      </c>
      <c r="G37" s="239">
        <v>8850.7800000000007</v>
      </c>
      <c r="H37" s="239">
        <v>1612.06</v>
      </c>
      <c r="I37" s="257">
        <v>29990.2</v>
      </c>
      <c r="J37" s="240" t="str">
        <v/>
      </c>
      <c r="K37" s="240">
        <v>147.52126582278484</v>
      </c>
      <c r="L37" s="240">
        <v>140.5925</v>
      </c>
      <c r="M37" s="240">
        <v>132.10119402985075</v>
      </c>
      <c r="N37" s="240">
        <v>201.50749999999999</v>
      </c>
      <c r="O37" s="258">
        <v>142.81047619047618</v>
      </c>
      <c r="P37" s="224">
        <v>0</v>
      </c>
      <c r="Q37" s="224">
        <v>0.18986936948018404</v>
      </c>
      <c r="R37" s="224">
        <v>0.18046671802656947</v>
      </c>
      <c r="S37" s="224">
        <v>0.22992879070452549</v>
      </c>
      <c r="T37" s="224">
        <v>0.15594971486062273</v>
      </c>
      <c r="U37" s="259">
        <v>0.15798023485009149</v>
      </c>
      <c r="V37" s="239">
        <v>0</v>
      </c>
      <c r="W37" s="239">
        <v>79</v>
      </c>
      <c r="X37" s="239">
        <v>56</v>
      </c>
      <c r="Y37" s="239">
        <v>67</v>
      </c>
      <c r="Z37" s="239">
        <v>8</v>
      </c>
      <c r="AA37" s="257">
        <v>210</v>
      </c>
      <c r="AB37" s="224">
        <v>0</v>
      </c>
      <c r="AC37" s="224">
        <v>0.18160919540229886</v>
      </c>
      <c r="AD37" s="224">
        <v>0.15774647887323945</v>
      </c>
      <c r="AE37" s="224">
        <v>0.2168284789644013</v>
      </c>
      <c r="AF37" s="224">
        <v>0.10810810810810811</v>
      </c>
      <c r="AG37" s="259">
        <v>0.14056224899598393</v>
      </c>
      <c r="AH37" s="261">
        <v>0</v>
      </c>
      <c r="AI37" s="261">
        <v>2.928094885100074E-3</v>
      </c>
      <c r="AJ37" s="261">
        <v>2.5996936075391116E-3</v>
      </c>
      <c r="AK37" s="261">
        <v>3.6019568840384925E-3</v>
      </c>
      <c r="AL37" s="261">
        <v>1.6684045881126173E-3</v>
      </c>
      <c r="AM37" s="262">
        <v>2.304046344246467E-3</v>
      </c>
    </row>
    <row r="38" spans="1:39" x14ac:dyDescent="0.25">
      <c r="A38" s="215" t="str">
        <v>4305-AAlzhrani</v>
      </c>
      <c r="B38" s="215" t="str">
        <v>ANDLUSMALL</v>
      </c>
      <c r="C38" s="215" t="str">
        <v>Ahlam Al Zahrani</v>
      </c>
      <c r="D38" s="239">
        <v>5115.13</v>
      </c>
      <c r="E38" s="239">
        <v>7718.09</v>
      </c>
      <c r="F38" s="239">
        <v>5814.07</v>
      </c>
      <c r="G38" s="239">
        <v>1757.03</v>
      </c>
      <c r="H38" s="239">
        <v>0</v>
      </c>
      <c r="I38" s="257">
        <v>20404.32</v>
      </c>
      <c r="J38" s="240">
        <v>116.25295454545454</v>
      </c>
      <c r="K38" s="240">
        <v>118.73984615384616</v>
      </c>
      <c r="L38" s="240">
        <v>123.70361702127659</v>
      </c>
      <c r="M38" s="240">
        <v>83.668095238095233</v>
      </c>
      <c r="N38" s="240" t="str">
        <v/>
      </c>
      <c r="O38" s="258">
        <v>115.27864406779661</v>
      </c>
      <c r="P38" s="224">
        <v>0.14209578596001529</v>
      </c>
      <c r="Q38" s="224">
        <v>0.12574277056741129</v>
      </c>
      <c r="R38" s="224">
        <v>0.13326840378052282</v>
      </c>
      <c r="S38" s="224">
        <v>4.564476612587505E-2</v>
      </c>
      <c r="T38" s="224">
        <v>0</v>
      </c>
      <c r="U38" s="259">
        <v>0.10748442042922084</v>
      </c>
      <c r="V38" s="239">
        <v>44</v>
      </c>
      <c r="W38" s="239">
        <v>65</v>
      </c>
      <c r="X38" s="239">
        <v>47</v>
      </c>
      <c r="Y38" s="239">
        <v>21</v>
      </c>
      <c r="Z38" s="239">
        <v>0</v>
      </c>
      <c r="AA38" s="257">
        <v>177</v>
      </c>
      <c r="AB38" s="224">
        <v>0.13707165109034267</v>
      </c>
      <c r="AC38" s="224">
        <v>0.14942528735632185</v>
      </c>
      <c r="AD38" s="224">
        <v>0.13239436619718309</v>
      </c>
      <c r="AE38" s="224">
        <v>6.7961165048543687E-2</v>
      </c>
      <c r="AF38" s="224">
        <v>0</v>
      </c>
      <c r="AG38" s="259">
        <v>0.11847389558232932</v>
      </c>
      <c r="AH38" s="261">
        <v>2.288448535913039E-3</v>
      </c>
      <c r="AI38" s="261">
        <v>2.4091919940696814E-3</v>
      </c>
      <c r="AJ38" s="261">
        <v>2.1818857063274685E-3</v>
      </c>
      <c r="AK38" s="261">
        <v>1.1289715606687812E-3</v>
      </c>
      <c r="AL38" s="261">
        <v>0</v>
      </c>
      <c r="AM38" s="262">
        <v>1.9419819187220222E-3</v>
      </c>
    </row>
    <row r="39" spans="1:39" x14ac:dyDescent="0.25">
      <c r="A39" s="215" t="str">
        <v>3476-Hamid Alzahrani</v>
      </c>
      <c r="B39" s="215" t="str">
        <v>ANDLUSMALL</v>
      </c>
      <c r="C39" s="215" t="str">
        <v>Ahlam Al Zahrani</v>
      </c>
      <c r="D39" s="239">
        <v>890.01</v>
      </c>
      <c r="E39" s="239">
        <v>198.01</v>
      </c>
      <c r="F39" s="239">
        <v>0</v>
      </c>
      <c r="G39" s="239">
        <v>499.01</v>
      </c>
      <c r="H39" s="239">
        <v>0</v>
      </c>
      <c r="I39" s="257">
        <v>1587.03</v>
      </c>
      <c r="J39" s="240">
        <v>89.001000000000005</v>
      </c>
      <c r="K39" s="240">
        <v>198.01</v>
      </c>
      <c r="L39" s="240" t="str">
        <v/>
      </c>
      <c r="M39" s="240">
        <v>166.33666666666667</v>
      </c>
      <c r="N39" s="240" t="str">
        <v/>
      </c>
      <c r="O39" s="258">
        <v>113.35928571428572</v>
      </c>
      <c r="P39" s="224">
        <v>2.4724038384610597E-2</v>
      </c>
      <c r="Q39" s="224">
        <v>3.2259698967041211E-3</v>
      </c>
      <c r="R39" s="224">
        <v>0</v>
      </c>
      <c r="S39" s="224">
        <v>1.2963463768104647E-2</v>
      </c>
      <c r="T39" s="224">
        <v>0</v>
      </c>
      <c r="U39" s="259">
        <v>8.3600433512994472E-3</v>
      </c>
      <c r="V39" s="239">
        <v>10</v>
      </c>
      <c r="W39" s="239">
        <v>1</v>
      </c>
      <c r="X39" s="239">
        <v>0</v>
      </c>
      <c r="Y39" s="239">
        <v>3</v>
      </c>
      <c r="Z39" s="239">
        <v>0</v>
      </c>
      <c r="AA39" s="257">
        <v>14</v>
      </c>
      <c r="AB39" s="224">
        <v>3.1152647975077882E-2</v>
      </c>
      <c r="AC39" s="224">
        <v>2.2988505747126436E-3</v>
      </c>
      <c r="AD39" s="224">
        <v>0</v>
      </c>
      <c r="AE39" s="224">
        <v>9.7087378640776691E-3</v>
      </c>
      <c r="AF39" s="224">
        <v>0</v>
      </c>
      <c r="AG39" s="259">
        <v>9.3708165997322627E-3</v>
      </c>
      <c r="AH39" s="261">
        <v>5.2010193998023614E-4</v>
      </c>
      <c r="AI39" s="261">
        <v>3.7064492216456636E-5</v>
      </c>
      <c r="AJ39" s="261">
        <v>0</v>
      </c>
      <c r="AK39" s="261">
        <v>1.6128165152411161E-4</v>
      </c>
      <c r="AL39" s="261">
        <v>0</v>
      </c>
      <c r="AM39" s="262">
        <v>1.5360308961643115E-4</v>
      </c>
    </row>
    <row r="40" spans="1:39" x14ac:dyDescent="0.25">
      <c r="A40" s="215" t="str">
        <v>2900</v>
      </c>
      <c r="B40" s="215" t="str">
        <v>ANDLUSMALL</v>
      </c>
      <c r="C40" s="215" t="str">
        <v>Ahlam Al Zahrani</v>
      </c>
      <c r="D40" s="239">
        <v>0</v>
      </c>
      <c r="E40" s="239">
        <v>0</v>
      </c>
      <c r="F40" s="239">
        <v>0</v>
      </c>
      <c r="G40" s="239">
        <v>285.98</v>
      </c>
      <c r="H40" s="239">
        <v>0</v>
      </c>
      <c r="I40" s="257">
        <v>285.98</v>
      </c>
      <c r="J40" s="240" t="str">
        <v/>
      </c>
      <c r="K40" s="240" t="str">
        <v/>
      </c>
      <c r="L40" s="240">
        <v>0</v>
      </c>
      <c r="M40" s="240">
        <v>142.99</v>
      </c>
      <c r="N40" s="240" t="str">
        <v/>
      </c>
      <c r="O40" s="258">
        <v>95.326666666666668</v>
      </c>
      <c r="P40" s="224">
        <v>0</v>
      </c>
      <c r="Q40" s="224">
        <v>0</v>
      </c>
      <c r="R40" s="224">
        <v>0</v>
      </c>
      <c r="S40" s="224">
        <v>7.4292927364232528E-3</v>
      </c>
      <c r="T40" s="224">
        <v>0</v>
      </c>
      <c r="U40" s="259">
        <v>1.5064650306576537E-3</v>
      </c>
      <c r="V40" s="239">
        <v>0</v>
      </c>
      <c r="W40" s="239">
        <v>0</v>
      </c>
      <c r="X40" s="239">
        <v>1</v>
      </c>
      <c r="Y40" s="239">
        <v>2</v>
      </c>
      <c r="Z40" s="239">
        <v>0</v>
      </c>
      <c r="AA40" s="257">
        <v>3</v>
      </c>
      <c r="AB40" s="224">
        <v>0</v>
      </c>
      <c r="AC40" s="224">
        <v>0</v>
      </c>
      <c r="AD40" s="224">
        <v>2.8169014084507044E-3</v>
      </c>
      <c r="AE40" s="224">
        <v>6.4724919093851136E-3</v>
      </c>
      <c r="AF40" s="224">
        <v>0</v>
      </c>
      <c r="AG40" s="259">
        <v>2.008032128514056E-3</v>
      </c>
      <c r="AH40" s="261">
        <v>0</v>
      </c>
      <c r="AI40" s="261">
        <v>0</v>
      </c>
      <c r="AJ40" s="261">
        <v>4.6423100134626989E-5</v>
      </c>
      <c r="AK40" s="261">
        <v>1.075211010160744E-4</v>
      </c>
      <c r="AL40" s="261">
        <v>0</v>
      </c>
      <c r="AM40" s="262">
        <v>3.2914947774949529E-5</v>
      </c>
    </row>
    <row r="41" spans="1:39" x14ac:dyDescent="0.25">
      <c r="A41" s="215" t="str">
        <v>3349-AAlshamrani</v>
      </c>
      <c r="B41" s="215" t="str">
        <v>HAAJAWED</v>
      </c>
      <c r="C41" s="215" t="str">
        <v>Ahlam Al Zahrani</v>
      </c>
      <c r="D41" s="239">
        <v>10016.16</v>
      </c>
      <c r="E41" s="239">
        <v>13916.250000000002</v>
      </c>
      <c r="F41" s="239">
        <v>8867.0500000000011</v>
      </c>
      <c r="G41" s="239">
        <v>6720.82</v>
      </c>
      <c r="H41" s="239">
        <v>2634.88</v>
      </c>
      <c r="I41" s="257">
        <v>42155.16</v>
      </c>
      <c r="J41" s="240">
        <v>122.14829268292682</v>
      </c>
      <c r="K41" s="240">
        <v>154.62500000000003</v>
      </c>
      <c r="L41" s="240">
        <v>134.34924242424245</v>
      </c>
      <c r="M41" s="240">
        <v>152.74590909090909</v>
      </c>
      <c r="N41" s="240">
        <v>188.20571428571429</v>
      </c>
      <c r="O41" s="258">
        <v>142.4160810810811</v>
      </c>
      <c r="P41" s="224">
        <v>0.42091072599216689</v>
      </c>
      <c r="Q41" s="224">
        <v>0.34624625887339622</v>
      </c>
      <c r="R41" s="224">
        <v>0.30143311652617205</v>
      </c>
      <c r="S41" s="224">
        <v>0.26757477045920897</v>
      </c>
      <c r="T41" s="224">
        <v>0.33189024828032715</v>
      </c>
      <c r="U41" s="259">
        <v>0.33334506290198657</v>
      </c>
      <c r="V41" s="239">
        <v>82</v>
      </c>
      <c r="W41" s="239">
        <v>90</v>
      </c>
      <c r="X41" s="239">
        <v>66</v>
      </c>
      <c r="Y41" s="239">
        <v>44</v>
      </c>
      <c r="Z41" s="239">
        <v>14</v>
      </c>
      <c r="AA41" s="257">
        <v>296</v>
      </c>
      <c r="AB41" s="224">
        <v>0.41624365482233505</v>
      </c>
      <c r="AC41" s="224">
        <v>0.34482758620689657</v>
      </c>
      <c r="AD41" s="224">
        <v>0.31132075471698112</v>
      </c>
      <c r="AE41" s="224">
        <v>0.28205128205128205</v>
      </c>
      <c r="AF41" s="224">
        <v>0.31818181818181818</v>
      </c>
      <c r="AG41" s="259">
        <v>0.34022988505747126</v>
      </c>
      <c r="AH41" s="261">
        <v>4.2648359078379366E-3</v>
      </c>
      <c r="AI41" s="261">
        <v>3.335804299481097E-3</v>
      </c>
      <c r="AJ41" s="261">
        <v>3.0639246088853813E-3</v>
      </c>
      <c r="AK41" s="261">
        <v>2.3654642223536371E-3</v>
      </c>
      <c r="AL41" s="261">
        <v>2.9197080291970801E-3</v>
      </c>
      <c r="AM41" s="262">
        <v>3.2476081804616872E-3</v>
      </c>
    </row>
    <row r="42" spans="1:39" x14ac:dyDescent="0.25">
      <c r="A42" s="215" t="str">
        <v>4312-AAlqozi</v>
      </c>
      <c r="B42" s="215" t="str">
        <v>HAAJAWED</v>
      </c>
      <c r="C42" s="215" t="str">
        <v>Ahlam Al Zahrani</v>
      </c>
      <c r="D42" s="239">
        <v>8036.1399999999994</v>
      </c>
      <c r="E42" s="239">
        <v>10029.27</v>
      </c>
      <c r="F42" s="239">
        <v>10500.170000000002</v>
      </c>
      <c r="G42" s="239">
        <v>5442.85</v>
      </c>
      <c r="H42" s="239">
        <v>620.96</v>
      </c>
      <c r="I42" s="257">
        <v>34629.39</v>
      </c>
      <c r="J42" s="240">
        <v>119.94238805970149</v>
      </c>
      <c r="K42" s="240">
        <v>149.69059701492537</v>
      </c>
      <c r="L42" s="240">
        <v>134.61756410256413</v>
      </c>
      <c r="M42" s="240">
        <v>164.93484848484849</v>
      </c>
      <c r="N42" s="240">
        <v>206.98666666666668</v>
      </c>
      <c r="O42" s="258">
        <v>139.63463709677418</v>
      </c>
      <c r="P42" s="224">
        <v>0.3377040224571784</v>
      </c>
      <c r="Q42" s="224">
        <v>0.2495354148374157</v>
      </c>
      <c r="R42" s="224">
        <v>0.35695061685167179</v>
      </c>
      <c r="S42" s="224">
        <v>0.21669518591390718</v>
      </c>
      <c r="T42" s="224">
        <v>7.8216301528780036E-2</v>
      </c>
      <c r="U42" s="259">
        <v>0.27383447691355989</v>
      </c>
      <c r="V42" s="239">
        <v>67</v>
      </c>
      <c r="W42" s="239">
        <v>67</v>
      </c>
      <c r="X42" s="239">
        <v>78</v>
      </c>
      <c r="Y42" s="239">
        <v>33</v>
      </c>
      <c r="Z42" s="239">
        <v>3</v>
      </c>
      <c r="AA42" s="257">
        <v>248</v>
      </c>
      <c r="AB42" s="224">
        <v>0.34010152284263961</v>
      </c>
      <c r="AC42" s="224">
        <v>0.25670498084291188</v>
      </c>
      <c r="AD42" s="224">
        <v>0.36792452830188677</v>
      </c>
      <c r="AE42" s="224">
        <v>0.21153846153846154</v>
      </c>
      <c r="AF42" s="224">
        <v>6.8181818181818177E-2</v>
      </c>
      <c r="AG42" s="259">
        <v>0.28505747126436781</v>
      </c>
      <c r="AH42" s="261">
        <v>3.4846829978675822E-3</v>
      </c>
      <c r="AI42" s="261">
        <v>2.4833209785025947E-3</v>
      </c>
      <c r="AJ42" s="261">
        <v>3.6210018105009051E-3</v>
      </c>
      <c r="AK42" s="261">
        <v>1.7740981667652277E-3</v>
      </c>
      <c r="AL42" s="261">
        <v>6.2565172054223153E-4</v>
      </c>
      <c r="AM42" s="262">
        <v>2.7209690160624944E-3</v>
      </c>
    </row>
    <row r="43" spans="1:39" x14ac:dyDescent="0.25">
      <c r="A43" s="215" t="str">
        <v>4478-AAlqarni</v>
      </c>
      <c r="B43" s="215" t="str">
        <v>HAAJAWED</v>
      </c>
      <c r="C43" s="215" t="str">
        <v>Ahlam Al Zahrani</v>
      </c>
      <c r="D43" s="239">
        <v>246.01</v>
      </c>
      <c r="E43" s="239">
        <v>8284.1099999999988</v>
      </c>
      <c r="F43" s="239">
        <v>7173.04</v>
      </c>
      <c r="G43" s="239">
        <v>8971.91</v>
      </c>
      <c r="H43" s="239">
        <v>2159.1799999999998</v>
      </c>
      <c r="I43" s="257">
        <v>26834.25</v>
      </c>
      <c r="J43" s="240">
        <v>123.005</v>
      </c>
      <c r="K43" s="240">
        <v>145.3352631578947</v>
      </c>
      <c r="L43" s="240">
        <v>149.43833333333333</v>
      </c>
      <c r="M43" s="240">
        <v>154.68810344827585</v>
      </c>
      <c r="N43" s="240">
        <v>179.93166666666664</v>
      </c>
      <c r="O43" s="258">
        <v>151.60593220338984</v>
      </c>
      <c r="P43" s="224">
        <v>1.033811837084601E-2</v>
      </c>
      <c r="Q43" s="224">
        <v>0.20611458515014386</v>
      </c>
      <c r="R43" s="224">
        <v>0.24384567608921717</v>
      </c>
      <c r="S43" s="224">
        <v>0.35719700257270415</v>
      </c>
      <c r="T43" s="224">
        <v>0.27197093844194675</v>
      </c>
      <c r="U43" s="259">
        <v>0.21219382761630207</v>
      </c>
      <c r="V43" s="239">
        <v>2</v>
      </c>
      <c r="W43" s="239">
        <v>57</v>
      </c>
      <c r="X43" s="239">
        <v>48</v>
      </c>
      <c r="Y43" s="239">
        <v>58</v>
      </c>
      <c r="Z43" s="239">
        <v>12</v>
      </c>
      <c r="AA43" s="257">
        <v>177</v>
      </c>
      <c r="AB43" s="224">
        <v>1.015228426395939E-2</v>
      </c>
      <c r="AC43" s="224">
        <v>0.21839080459770116</v>
      </c>
      <c r="AD43" s="224">
        <v>0.22641509433962265</v>
      </c>
      <c r="AE43" s="224">
        <v>0.37179487179487181</v>
      </c>
      <c r="AF43" s="224">
        <v>0.27272727272727271</v>
      </c>
      <c r="AG43" s="259">
        <v>0.20344827586206896</v>
      </c>
      <c r="AH43" s="261">
        <v>1.0402038799604722E-4</v>
      </c>
      <c r="AI43" s="261">
        <v>2.112676056338028E-3</v>
      </c>
      <c r="AJ43" s="261">
        <v>2.2283088064620955E-3</v>
      </c>
      <c r="AK43" s="261">
        <v>3.1181119294661579E-3</v>
      </c>
      <c r="AL43" s="261">
        <v>2.5026068821689261E-3</v>
      </c>
      <c r="AM43" s="262">
        <v>1.9419819187220222E-3</v>
      </c>
    </row>
    <row r="44" spans="1:39" x14ac:dyDescent="0.25">
      <c r="A44" s="215" t="str">
        <v>4446-AAlZahrani</v>
      </c>
      <c r="B44" s="215" t="str">
        <v>HAAJAWED</v>
      </c>
      <c r="C44" s="215" t="str">
        <v>Ahlam Al Zahrani</v>
      </c>
      <c r="D44" s="239">
        <v>5498.09</v>
      </c>
      <c r="E44" s="239">
        <v>7962.1399999999994</v>
      </c>
      <c r="F44" s="239">
        <v>2876.05</v>
      </c>
      <c r="G44" s="239">
        <v>3981.9599999999996</v>
      </c>
      <c r="H44" s="239">
        <v>2523.9899999999998</v>
      </c>
      <c r="I44" s="257">
        <v>22842.229999999996</v>
      </c>
      <c r="J44" s="240">
        <v>119.52369565217391</v>
      </c>
      <c r="K44" s="240">
        <v>169.40723404255317</v>
      </c>
      <c r="L44" s="240">
        <v>143.80250000000001</v>
      </c>
      <c r="M44" s="240">
        <v>189.61714285714282</v>
      </c>
      <c r="N44" s="240">
        <v>168.26599999999999</v>
      </c>
      <c r="O44" s="258">
        <v>153.30355704697985</v>
      </c>
      <c r="P44" s="224">
        <v>0.23104713317980874</v>
      </c>
      <c r="Q44" s="224">
        <v>0.19810374113904411</v>
      </c>
      <c r="R44" s="224">
        <v>9.7770590532939045E-2</v>
      </c>
      <c r="S44" s="224">
        <v>0.15853304105417965</v>
      </c>
      <c r="T44" s="224">
        <v>0.31792251174894598</v>
      </c>
      <c r="U44" s="259">
        <v>0.18062663256815162</v>
      </c>
      <c r="V44" s="239">
        <v>46</v>
      </c>
      <c r="W44" s="239">
        <v>47</v>
      </c>
      <c r="X44" s="239">
        <v>20</v>
      </c>
      <c r="Y44" s="239">
        <v>21</v>
      </c>
      <c r="Z44" s="239">
        <v>15</v>
      </c>
      <c r="AA44" s="257">
        <v>149</v>
      </c>
      <c r="AB44" s="224">
        <v>0.233502538071066</v>
      </c>
      <c r="AC44" s="224">
        <v>0.18007662835249041</v>
      </c>
      <c r="AD44" s="224">
        <v>9.4339622641509441E-2</v>
      </c>
      <c r="AE44" s="224">
        <v>0.13461538461538461</v>
      </c>
      <c r="AF44" s="224">
        <v>0.34090909090909088</v>
      </c>
      <c r="AG44" s="259">
        <v>0.17126436781609194</v>
      </c>
      <c r="AH44" s="261">
        <v>2.392468923909086E-3</v>
      </c>
      <c r="AI44" s="261">
        <v>1.7420311341734618E-3</v>
      </c>
      <c r="AJ44" s="261">
        <v>9.2846200269253978E-4</v>
      </c>
      <c r="AK44" s="261">
        <v>1.1289715606687812E-3</v>
      </c>
      <c r="AL44" s="261">
        <v>3.1282586027111575E-3</v>
      </c>
      <c r="AM44" s="262">
        <v>1.63477573948916E-3</v>
      </c>
    </row>
    <row r="45" spans="1:39" x14ac:dyDescent="0.25">
      <c r="A45" s="215" t="str">
        <v>4651-SAlzahrani</v>
      </c>
      <c r="B45" s="215" t="str">
        <v>HABAHAB</v>
      </c>
      <c r="C45" s="215" t="str">
        <v>Ahlam Al Zahrani</v>
      </c>
      <c r="D45" s="239">
        <v>4571.1000000000004</v>
      </c>
      <c r="E45" s="239">
        <v>6672.1100000000006</v>
      </c>
      <c r="F45" s="239">
        <v>5670.09</v>
      </c>
      <c r="G45" s="239">
        <v>4732.9800000000005</v>
      </c>
      <c r="H45" s="239">
        <v>1908.9</v>
      </c>
      <c r="I45" s="257">
        <v>23555.180000000004</v>
      </c>
      <c r="J45" s="240">
        <v>169.3</v>
      </c>
      <c r="K45" s="240">
        <v>151.63886363636365</v>
      </c>
      <c r="L45" s="240">
        <v>149.21289473684212</v>
      </c>
      <c r="M45" s="240">
        <v>152.6767741935484</v>
      </c>
      <c r="N45" s="240">
        <v>159.07500000000002</v>
      </c>
      <c r="O45" s="258">
        <v>154.96828947368422</v>
      </c>
      <c r="P45" s="224">
        <v>0.22752771237861055</v>
      </c>
      <c r="Q45" s="224">
        <v>0.31596950414158542</v>
      </c>
      <c r="R45" s="224">
        <v>0.32949892551350457</v>
      </c>
      <c r="S45" s="224">
        <v>0.24821703060272471</v>
      </c>
      <c r="T45" s="224">
        <v>0.34911345409987471</v>
      </c>
      <c r="U45" s="259">
        <v>0.28396639493462311</v>
      </c>
      <c r="V45" s="239">
        <v>27</v>
      </c>
      <c r="W45" s="239">
        <v>44</v>
      </c>
      <c r="X45" s="239">
        <v>38</v>
      </c>
      <c r="Y45" s="239">
        <v>31</v>
      </c>
      <c r="Z45" s="239">
        <v>12</v>
      </c>
      <c r="AA45" s="257">
        <v>152</v>
      </c>
      <c r="AB45" s="224">
        <v>0.23478260869565218</v>
      </c>
      <c r="AC45" s="224">
        <v>0.33846153846153848</v>
      </c>
      <c r="AD45" s="224">
        <v>0.33333333333333331</v>
      </c>
      <c r="AE45" s="224">
        <v>0.256198347107438</v>
      </c>
      <c r="AF45" s="224">
        <v>0.4</v>
      </c>
      <c r="AG45" s="259">
        <v>0.29803921568627451</v>
      </c>
      <c r="AH45" s="261">
        <v>1.4042752379466376E-3</v>
      </c>
      <c r="AI45" s="261">
        <v>1.6308376575240918E-3</v>
      </c>
      <c r="AJ45" s="261">
        <v>1.7640778051158255E-3</v>
      </c>
      <c r="AK45" s="261">
        <v>1.6665770657491533E-3</v>
      </c>
      <c r="AL45" s="261">
        <v>2.5026068821689261E-3</v>
      </c>
      <c r="AM45" s="262">
        <v>1.6676906872641094E-3</v>
      </c>
    </row>
    <row r="46" spans="1:39" x14ac:dyDescent="0.25">
      <c r="A46" s="215" t="str">
        <v>3015-SAlzahrani</v>
      </c>
      <c r="B46" s="215" t="str">
        <v>HABAHAB</v>
      </c>
      <c r="C46" s="215" t="str">
        <v>Ahlam Al Zahrani</v>
      </c>
      <c r="D46" s="239">
        <v>5260.0400000000009</v>
      </c>
      <c r="E46" s="239">
        <v>4490.0599999999995</v>
      </c>
      <c r="F46" s="239">
        <v>5795.05</v>
      </c>
      <c r="G46" s="239">
        <v>5458.92</v>
      </c>
      <c r="H46" s="239">
        <v>1129.94</v>
      </c>
      <c r="I46" s="257">
        <v>22134.01</v>
      </c>
      <c r="J46" s="240">
        <v>164.37625000000003</v>
      </c>
      <c r="K46" s="240">
        <v>166.29851851851851</v>
      </c>
      <c r="L46" s="240">
        <v>152.50131578947369</v>
      </c>
      <c r="M46" s="240">
        <v>165.4218181818182</v>
      </c>
      <c r="N46" s="240">
        <v>225.988</v>
      </c>
      <c r="O46" s="258">
        <v>163.95562962962961</v>
      </c>
      <c r="P46" s="224">
        <v>0.26181988322722904</v>
      </c>
      <c r="Q46" s="224">
        <v>0.2126346885417007</v>
      </c>
      <c r="R46" s="224">
        <v>0.33676057140134191</v>
      </c>
      <c r="S46" s="224">
        <v>0.28628832420543204</v>
      </c>
      <c r="T46" s="224">
        <v>0.20665160895050155</v>
      </c>
      <c r="U46" s="259">
        <v>0.2668336656797739</v>
      </c>
      <c r="V46" s="239">
        <v>32</v>
      </c>
      <c r="W46" s="239">
        <v>27</v>
      </c>
      <c r="X46" s="239">
        <v>38</v>
      </c>
      <c r="Y46" s="239">
        <v>33</v>
      </c>
      <c r="Z46" s="239">
        <v>5</v>
      </c>
      <c r="AA46" s="257">
        <v>135</v>
      </c>
      <c r="AB46" s="224">
        <v>0.27826086956521739</v>
      </c>
      <c r="AC46" s="224">
        <v>0.2076923076923077</v>
      </c>
      <c r="AD46" s="224">
        <v>0.33333333333333331</v>
      </c>
      <c r="AE46" s="224">
        <v>0.27272727272727271</v>
      </c>
      <c r="AF46" s="224">
        <v>0.16666666666666666</v>
      </c>
      <c r="AG46" s="259">
        <v>0.26470588235294118</v>
      </c>
      <c r="AH46" s="261">
        <v>1.6643262079367555E-3</v>
      </c>
      <c r="AI46" s="261">
        <v>1.0007412898443292E-3</v>
      </c>
      <c r="AJ46" s="261">
        <v>1.7640778051158255E-3</v>
      </c>
      <c r="AK46" s="261">
        <v>1.7740981667652277E-3</v>
      </c>
      <c r="AL46" s="261">
        <v>1.0427528675703858E-3</v>
      </c>
      <c r="AM46" s="262">
        <v>1.4811726498727288E-3</v>
      </c>
    </row>
    <row r="47" spans="1:39" x14ac:dyDescent="0.25">
      <c r="A47" s="215" t="str">
        <v>5260-SAlzahrani</v>
      </c>
      <c r="B47" s="215" t="str">
        <v>HABAHAB</v>
      </c>
      <c r="C47" s="215" t="str">
        <v>Ahlam Al Zahrani</v>
      </c>
      <c r="D47" s="239">
        <v>4673.1000000000004</v>
      </c>
      <c r="E47" s="239">
        <v>4762.0599999999995</v>
      </c>
      <c r="F47" s="239">
        <v>5743.08</v>
      </c>
      <c r="G47" s="239">
        <v>3959.99</v>
      </c>
      <c r="H47" s="239">
        <v>472.03</v>
      </c>
      <c r="I47" s="257">
        <v>19610.259999999998</v>
      </c>
      <c r="J47" s="240">
        <v>166.89642857142857</v>
      </c>
      <c r="K47" s="240">
        <v>164.20896551724135</v>
      </c>
      <c r="L47" s="240">
        <v>151.13368421052633</v>
      </c>
      <c r="M47" s="240">
        <v>136.55137931034483</v>
      </c>
      <c r="N47" s="240">
        <v>236.01499999999999</v>
      </c>
      <c r="O47" s="258">
        <v>155.63698412698412</v>
      </c>
      <c r="P47" s="224">
        <v>0.23260478937596749</v>
      </c>
      <c r="Q47" s="224">
        <v>0.22551572694282288</v>
      </c>
      <c r="R47" s="224">
        <v>0.33374050308515346</v>
      </c>
      <c r="S47" s="224">
        <v>0.20767824056228501</v>
      </c>
      <c r="T47" s="224">
        <v>8.6328264308640504E-2</v>
      </c>
      <c r="U47" s="259">
        <v>0.23640892729033025</v>
      </c>
      <c r="V47" s="239">
        <v>28</v>
      </c>
      <c r="W47" s="239">
        <v>29</v>
      </c>
      <c r="X47" s="239">
        <v>38</v>
      </c>
      <c r="Y47" s="239">
        <v>29</v>
      </c>
      <c r="Z47" s="239">
        <v>2</v>
      </c>
      <c r="AA47" s="257">
        <v>126</v>
      </c>
      <c r="AB47" s="224">
        <v>0.24347826086956523</v>
      </c>
      <c r="AC47" s="224">
        <v>0.22307692307692309</v>
      </c>
      <c r="AD47" s="224">
        <v>0.33333333333333331</v>
      </c>
      <c r="AE47" s="224">
        <v>0.23966942148760331</v>
      </c>
      <c r="AF47" s="224">
        <v>6.6666666666666666E-2</v>
      </c>
      <c r="AG47" s="259">
        <v>0.24705882352941178</v>
      </c>
      <c r="AH47" s="261">
        <v>1.4562854319446611E-3</v>
      </c>
      <c r="AI47" s="261">
        <v>1.0748702742772423E-3</v>
      </c>
      <c r="AJ47" s="261">
        <v>1.7640778051158255E-3</v>
      </c>
      <c r="AK47" s="261">
        <v>1.559055964733079E-3</v>
      </c>
      <c r="AL47" s="261">
        <v>4.1710114702815432E-4</v>
      </c>
      <c r="AM47" s="262">
        <v>1.3824278065478802E-3</v>
      </c>
    </row>
    <row r="48" spans="1:39" x14ac:dyDescent="0.25">
      <c r="A48" s="215" t="str">
        <v>5644-RAlghamdi</v>
      </c>
      <c r="B48" s="215" t="str">
        <v>HABAHAB</v>
      </c>
      <c r="C48" s="215" t="str">
        <v>Ahlam Al Zahrani</v>
      </c>
      <c r="D48" s="239">
        <v>5586.0599999999995</v>
      </c>
      <c r="E48" s="239">
        <v>5192.08</v>
      </c>
      <c r="F48" s="239">
        <v>0</v>
      </c>
      <c r="G48" s="239">
        <v>4916.0199999999995</v>
      </c>
      <c r="H48" s="239">
        <v>1956.98</v>
      </c>
      <c r="I48" s="257">
        <v>17651.14</v>
      </c>
      <c r="J48" s="240">
        <v>199.50214285714284</v>
      </c>
      <c r="K48" s="240">
        <v>173.06933333333333</v>
      </c>
      <c r="L48" s="240" t="str">
        <v/>
      </c>
      <c r="M48" s="240">
        <v>175.57214285714284</v>
      </c>
      <c r="N48" s="240">
        <v>177.90727272727273</v>
      </c>
      <c r="O48" s="258">
        <v>181.97051546391751</v>
      </c>
      <c r="P48" s="224">
        <v>0.27804761501819281</v>
      </c>
      <c r="Q48" s="224">
        <v>0.24588008037389111</v>
      </c>
      <c r="R48" s="224">
        <v>0</v>
      </c>
      <c r="S48" s="224">
        <v>0.25781640462955824</v>
      </c>
      <c r="T48" s="224">
        <v>0.35790667264098319</v>
      </c>
      <c r="U48" s="259">
        <v>0.2127910120952726</v>
      </c>
      <c r="V48" s="239">
        <v>28</v>
      </c>
      <c r="W48" s="239">
        <v>30</v>
      </c>
      <c r="X48" s="239">
        <v>0</v>
      </c>
      <c r="Y48" s="239">
        <v>28</v>
      </c>
      <c r="Z48" s="239">
        <v>11</v>
      </c>
      <c r="AA48" s="257">
        <v>97</v>
      </c>
      <c r="AB48" s="224">
        <v>0.24347826086956523</v>
      </c>
      <c r="AC48" s="224">
        <v>0.23076923076923078</v>
      </c>
      <c r="AD48" s="224">
        <v>0</v>
      </c>
      <c r="AE48" s="224">
        <v>0.23140495867768596</v>
      </c>
      <c r="AF48" s="224">
        <v>0.36666666666666664</v>
      </c>
      <c r="AG48" s="259">
        <v>0.19019607843137254</v>
      </c>
      <c r="AH48" s="261">
        <v>1.4562854319446611E-3</v>
      </c>
      <c r="AI48" s="261">
        <v>1.111934766493699E-3</v>
      </c>
      <c r="AJ48" s="261">
        <v>0</v>
      </c>
      <c r="AK48" s="261">
        <v>1.5052954142250417E-3</v>
      </c>
      <c r="AL48" s="261">
        <v>2.2940563086548487E-3</v>
      </c>
      <c r="AM48" s="262">
        <v>1.0642499780567016E-3</v>
      </c>
    </row>
    <row r="49" spans="1:39" x14ac:dyDescent="0.25">
      <c r="A49" s="215" t="str">
        <v>5643-RAlghamdi</v>
      </c>
      <c r="B49" s="215" t="str">
        <v>HABAHAML</v>
      </c>
      <c r="C49" s="215" t="str">
        <v>Ahlam Al Zahrani</v>
      </c>
      <c r="D49" s="239">
        <v>3851.0600000000004</v>
      </c>
      <c r="E49" s="239">
        <v>4163.01</v>
      </c>
      <c r="F49" s="239">
        <v>5501.08</v>
      </c>
      <c r="G49" s="239">
        <v>3823.88</v>
      </c>
      <c r="H49" s="239">
        <v>1603.96</v>
      </c>
      <c r="I49" s="257">
        <v>18942.990000000002</v>
      </c>
      <c r="J49" s="240">
        <v>160.46083333333334</v>
      </c>
      <c r="K49" s="240">
        <v>134.29064516129034</v>
      </c>
      <c r="L49" s="240">
        <v>137.52699999999999</v>
      </c>
      <c r="M49" s="240">
        <v>166.25565217391303</v>
      </c>
      <c r="N49" s="240">
        <v>160.39600000000002</v>
      </c>
      <c r="O49" s="258">
        <v>147.99210937500001</v>
      </c>
      <c r="P49" s="224">
        <v>0.38835928573661571</v>
      </c>
      <c r="Q49" s="224">
        <v>0.30636927159647964</v>
      </c>
      <c r="R49" s="224">
        <v>0.36734625737636717</v>
      </c>
      <c r="S49" s="224">
        <v>0.32973721085648999</v>
      </c>
      <c r="T49" s="224">
        <v>0.40524404940866748</v>
      </c>
      <c r="U49" s="259">
        <v>0.35057284814356193</v>
      </c>
      <c r="V49" s="239">
        <v>24</v>
      </c>
      <c r="W49" s="239">
        <v>31</v>
      </c>
      <c r="X49" s="239">
        <v>40</v>
      </c>
      <c r="Y49" s="239">
        <v>23</v>
      </c>
      <c r="Z49" s="239">
        <v>10</v>
      </c>
      <c r="AA49" s="257">
        <v>128</v>
      </c>
      <c r="AB49" s="224">
        <v>0.38709677419354838</v>
      </c>
      <c r="AC49" s="224">
        <v>0.31958762886597936</v>
      </c>
      <c r="AD49" s="224">
        <v>0.43010752688172044</v>
      </c>
      <c r="AE49" s="224">
        <v>0.3108108108108108</v>
      </c>
      <c r="AF49" s="224">
        <v>0.41666666666666669</v>
      </c>
      <c r="AG49" s="259">
        <v>0.36571428571428571</v>
      </c>
      <c r="AH49" s="261">
        <v>1.2482446559525667E-3</v>
      </c>
      <c r="AI49" s="261">
        <v>1.1489992587101557E-3</v>
      </c>
      <c r="AJ49" s="261">
        <v>1.8569240053850796E-3</v>
      </c>
      <c r="AK49" s="261">
        <v>1.2364926616848556E-3</v>
      </c>
      <c r="AL49" s="261">
        <v>2.0855057351407717E-3</v>
      </c>
      <c r="AM49" s="262">
        <v>1.4043711050645133E-3</v>
      </c>
    </row>
    <row r="50" spans="1:39" x14ac:dyDescent="0.25">
      <c r="A50" s="215" t="str">
        <v>5318-AAlghamdi</v>
      </c>
      <c r="B50" s="215" t="str">
        <v>HABAHAML</v>
      </c>
      <c r="C50" s="215" t="str">
        <v>Ahlam Al Zahrani</v>
      </c>
      <c r="D50" s="239">
        <v>2993.1</v>
      </c>
      <c r="E50" s="239">
        <v>3651.04</v>
      </c>
      <c r="F50" s="239">
        <v>4497.01</v>
      </c>
      <c r="G50" s="239">
        <v>3339.94</v>
      </c>
      <c r="H50" s="239">
        <v>2354.0500000000002</v>
      </c>
      <c r="I50" s="257">
        <v>16835.14</v>
      </c>
      <c r="J50" s="240">
        <v>166.28333333333333</v>
      </c>
      <c r="K50" s="240">
        <v>152.12666666666667</v>
      </c>
      <c r="L50" s="240">
        <v>195.52217391304347</v>
      </c>
      <c r="M50" s="240">
        <v>151.81545454545454</v>
      </c>
      <c r="N50" s="240">
        <v>168.14642857142857</v>
      </c>
      <c r="O50" s="258">
        <v>166.68455445544555</v>
      </c>
      <c r="P50" s="224">
        <v>0.30183850112391503</v>
      </c>
      <c r="Q50" s="224">
        <v>0.26869175557339786</v>
      </c>
      <c r="R50" s="224">
        <v>0.30029735849762174</v>
      </c>
      <c r="S50" s="224">
        <v>0.28800655356026472</v>
      </c>
      <c r="T50" s="224">
        <v>0.59475595059133257</v>
      </c>
      <c r="U50" s="259">
        <v>0.31156343210314763</v>
      </c>
      <c r="V50" s="239">
        <v>18</v>
      </c>
      <c r="W50" s="239">
        <v>24</v>
      </c>
      <c r="X50" s="239">
        <v>23</v>
      </c>
      <c r="Y50" s="239">
        <v>22</v>
      </c>
      <c r="Z50" s="239">
        <v>14</v>
      </c>
      <c r="AA50" s="257">
        <v>101</v>
      </c>
      <c r="AB50" s="224">
        <v>0.29032258064516131</v>
      </c>
      <c r="AC50" s="224">
        <v>0.24742268041237114</v>
      </c>
      <c r="AD50" s="224">
        <v>0.24731182795698925</v>
      </c>
      <c r="AE50" s="224">
        <v>0.29729729729729731</v>
      </c>
      <c r="AF50" s="224">
        <v>0.58333333333333337</v>
      </c>
      <c r="AG50" s="259">
        <v>0.28857142857142859</v>
      </c>
      <c r="AH50" s="261">
        <v>9.3618349196442508E-4</v>
      </c>
      <c r="AI50" s="261">
        <v>8.8954781319495926E-4</v>
      </c>
      <c r="AJ50" s="261">
        <v>1.0677313030964207E-3</v>
      </c>
      <c r="AK50" s="261">
        <v>1.1827321111768185E-3</v>
      </c>
      <c r="AL50" s="261">
        <v>2.9197080291970801E-3</v>
      </c>
      <c r="AM50" s="262">
        <v>1.1081365750899674E-3</v>
      </c>
    </row>
    <row r="51" spans="1:39" x14ac:dyDescent="0.25">
      <c r="A51" s="215" t="str">
        <v>5319-FAlghamdi</v>
      </c>
      <c r="B51" s="215" t="str">
        <v>HABAHAML</v>
      </c>
      <c r="C51" s="215" t="str">
        <v>Ahlam Al Zahrani</v>
      </c>
      <c r="D51" s="239">
        <v>1754.06</v>
      </c>
      <c r="E51" s="239">
        <v>2569.1</v>
      </c>
      <c r="F51" s="239">
        <v>4977.1000000000004</v>
      </c>
      <c r="G51" s="239">
        <v>3113.91</v>
      </c>
      <c r="H51" s="239">
        <v>0</v>
      </c>
      <c r="I51" s="257">
        <v>12414.17</v>
      </c>
      <c r="J51" s="240">
        <v>159.46</v>
      </c>
      <c r="K51" s="240">
        <v>160.56874999999999</v>
      </c>
      <c r="L51" s="240">
        <v>165.90333333333334</v>
      </c>
      <c r="M51" s="240">
        <v>163.89</v>
      </c>
      <c r="N51" s="240" t="str">
        <v/>
      </c>
      <c r="O51" s="258">
        <v>163.34434210526317</v>
      </c>
      <c r="P51" s="224">
        <v>0.17688778900852442</v>
      </c>
      <c r="Q51" s="224">
        <v>0.18906831731331794</v>
      </c>
      <c r="R51" s="224">
        <v>0.3323563841260111</v>
      </c>
      <c r="S51" s="224">
        <v>0.26851574794662297</v>
      </c>
      <c r="T51" s="224">
        <v>0</v>
      </c>
      <c r="U51" s="259">
        <v>0.22974572304785898</v>
      </c>
      <c r="V51" s="239">
        <v>11</v>
      </c>
      <c r="W51" s="239">
        <v>16</v>
      </c>
      <c r="X51" s="239">
        <v>30</v>
      </c>
      <c r="Y51" s="239">
        <v>19</v>
      </c>
      <c r="Z51" s="239">
        <v>0</v>
      </c>
      <c r="AA51" s="257">
        <v>76</v>
      </c>
      <c r="AB51" s="224">
        <v>0.17741935483870969</v>
      </c>
      <c r="AC51" s="224">
        <v>0.16494845360824742</v>
      </c>
      <c r="AD51" s="224">
        <v>0.32258064516129031</v>
      </c>
      <c r="AE51" s="224">
        <v>0.25675675675675674</v>
      </c>
      <c r="AF51" s="224">
        <v>0</v>
      </c>
      <c r="AG51" s="259">
        <v>0.21714285714285714</v>
      </c>
      <c r="AH51" s="261">
        <v>5.7211213397825975E-4</v>
      </c>
      <c r="AI51" s="261">
        <v>5.9303187546330617E-4</v>
      </c>
      <c r="AJ51" s="261">
        <v>1.3926930040388096E-3</v>
      </c>
      <c r="AK51" s="261">
        <v>1.0214504596527069E-3</v>
      </c>
      <c r="AL51" s="261">
        <v>0</v>
      </c>
      <c r="AM51" s="262">
        <v>8.3384534363205472E-4</v>
      </c>
    </row>
    <row r="52" spans="1:39" x14ac:dyDescent="0.25">
      <c r="A52" s="215" t="str">
        <v>5389-SAlghamdi</v>
      </c>
      <c r="B52" s="215" t="str">
        <v>HABAHAML</v>
      </c>
      <c r="C52" s="215" t="str">
        <v>Ahlam Al Zahrani</v>
      </c>
      <c r="D52" s="239">
        <v>1318.01</v>
      </c>
      <c r="E52" s="239">
        <v>3205.06</v>
      </c>
      <c r="F52" s="239">
        <v>0</v>
      </c>
      <c r="G52" s="239">
        <v>1319.02</v>
      </c>
      <c r="H52" s="239">
        <v>0</v>
      </c>
      <c r="I52" s="257">
        <v>5842.09</v>
      </c>
      <c r="J52" s="240">
        <v>146.44555555555556</v>
      </c>
      <c r="K52" s="240">
        <v>123.27153846153846</v>
      </c>
      <c r="L52" s="240" t="str">
        <v/>
      </c>
      <c r="M52" s="240">
        <v>131.90199999999999</v>
      </c>
      <c r="N52" s="240" t="str">
        <v/>
      </c>
      <c r="O52" s="258">
        <v>129.82422222222223</v>
      </c>
      <c r="P52" s="224">
        <v>0.13291442413094492</v>
      </c>
      <c r="Q52" s="224">
        <v>0.23587065551680464</v>
      </c>
      <c r="R52" s="224">
        <v>0</v>
      </c>
      <c r="S52" s="224">
        <v>0.11374048763662233</v>
      </c>
      <c r="T52" s="224">
        <v>0</v>
      </c>
      <c r="U52" s="259">
        <v>0.10811799670543148</v>
      </c>
      <c r="V52" s="239">
        <v>9</v>
      </c>
      <c r="W52" s="239">
        <v>26</v>
      </c>
      <c r="X52" s="239">
        <v>0</v>
      </c>
      <c r="Y52" s="239">
        <v>10</v>
      </c>
      <c r="Z52" s="239">
        <v>0</v>
      </c>
      <c r="AA52" s="257">
        <v>45</v>
      </c>
      <c r="AB52" s="224">
        <v>0.14516129032258066</v>
      </c>
      <c r="AC52" s="224">
        <v>0.26804123711340205</v>
      </c>
      <c r="AD52" s="224">
        <v>0</v>
      </c>
      <c r="AE52" s="224">
        <v>0.13513513513513514</v>
      </c>
      <c r="AF52" s="224">
        <v>0</v>
      </c>
      <c r="AG52" s="259">
        <v>0.12857142857142856</v>
      </c>
      <c r="AH52" s="261">
        <v>4.6809174598221254E-4</v>
      </c>
      <c r="AI52" s="261">
        <v>9.636767976278725E-4</v>
      </c>
      <c r="AJ52" s="261">
        <v>0</v>
      </c>
      <c r="AK52" s="261">
        <v>5.3760550508037198E-4</v>
      </c>
      <c r="AL52" s="261">
        <v>0</v>
      </c>
      <c r="AM52" s="262">
        <v>4.9372421662424292E-4</v>
      </c>
    </row>
    <row r="53" spans="1:39" x14ac:dyDescent="0.25">
      <c r="A53" s="215" t="str">
        <v>6105-ZBishwih</v>
      </c>
      <c r="B53" s="215" t="str">
        <v>HAKHAYLPLZ</v>
      </c>
      <c r="C53" s="215" t="str">
        <v>Ahlam Al Zahrani</v>
      </c>
      <c r="D53" s="239">
        <v>8609.27</v>
      </c>
      <c r="E53" s="239">
        <v>9321.16</v>
      </c>
      <c r="F53" s="239">
        <v>7515.05</v>
      </c>
      <c r="G53" s="239">
        <v>6342.8400000000011</v>
      </c>
      <c r="H53" s="239">
        <v>930</v>
      </c>
      <c r="I53" s="257">
        <v>32718.32</v>
      </c>
      <c r="J53" s="240">
        <v>143.48783333333333</v>
      </c>
      <c r="K53" s="240">
        <v>133.15942857142858</v>
      </c>
      <c r="L53" s="240">
        <v>125.25083333333333</v>
      </c>
      <c r="M53" s="240">
        <v>144.15545454545457</v>
      </c>
      <c r="N53" s="240">
        <v>155</v>
      </c>
      <c r="O53" s="258">
        <v>136.32633333333334</v>
      </c>
      <c r="P53" s="224">
        <v>0.42203545202309872</v>
      </c>
      <c r="Q53" s="224">
        <v>0.35602330211005406</v>
      </c>
      <c r="R53" s="224">
        <v>0.43998967216742796</v>
      </c>
      <c r="S53" s="224">
        <v>0.40901440711082682</v>
      </c>
      <c r="T53" s="224">
        <v>0.26541247381548982</v>
      </c>
      <c r="U53" s="259">
        <v>0.39575877699420292</v>
      </c>
      <c r="V53" s="239">
        <v>60</v>
      </c>
      <c r="W53" s="239">
        <v>70</v>
      </c>
      <c r="X53" s="239">
        <v>60</v>
      </c>
      <c r="Y53" s="239">
        <v>44</v>
      </c>
      <c r="Z53" s="239">
        <v>6</v>
      </c>
      <c r="AA53" s="257">
        <v>240</v>
      </c>
      <c r="AB53" s="224">
        <v>0.41666666666666669</v>
      </c>
      <c r="AC53" s="224">
        <v>0.39106145251396646</v>
      </c>
      <c r="AD53" s="224">
        <v>0.45112781954887216</v>
      </c>
      <c r="AE53" s="224">
        <v>0.38938053097345132</v>
      </c>
      <c r="AF53" s="224">
        <v>0.2608695652173913</v>
      </c>
      <c r="AG53" s="259">
        <v>0.40540540540540543</v>
      </c>
      <c r="AH53" s="261">
        <v>3.1206116398814166E-3</v>
      </c>
      <c r="AI53" s="261">
        <v>2.5945144551519643E-3</v>
      </c>
      <c r="AJ53" s="261">
        <v>2.7853860080776192E-3</v>
      </c>
      <c r="AK53" s="261">
        <v>2.3654642223536371E-3</v>
      </c>
      <c r="AL53" s="261">
        <v>1.2513034410844631E-3</v>
      </c>
      <c r="AM53" s="262">
        <v>2.6331958219959622E-3</v>
      </c>
    </row>
    <row r="54" spans="1:39" x14ac:dyDescent="0.25">
      <c r="A54" s="215" t="str">
        <v>6103-FTalbi</v>
      </c>
      <c r="B54" s="215" t="str">
        <v>HAKHAYLPLZ</v>
      </c>
      <c r="C54" s="215" t="str">
        <v>Ahlam Al Zahrani</v>
      </c>
      <c r="D54" s="239">
        <v>3917.02</v>
      </c>
      <c r="E54" s="239">
        <v>11336.02</v>
      </c>
      <c r="F54" s="239">
        <v>6381.99</v>
      </c>
      <c r="G54" s="239">
        <v>4806.9400000000005</v>
      </c>
      <c r="H54" s="239">
        <v>497</v>
      </c>
      <c r="I54" s="257">
        <v>26938.97</v>
      </c>
      <c r="J54" s="240">
        <v>150.6546153846154</v>
      </c>
      <c r="K54" s="240">
        <v>147.22103896103897</v>
      </c>
      <c r="L54" s="240">
        <v>127.63979999999999</v>
      </c>
      <c r="M54" s="240">
        <v>123.2548717948718</v>
      </c>
      <c r="N54" s="240">
        <v>165.66666666666666</v>
      </c>
      <c r="O54" s="258">
        <v>138.14856410256411</v>
      </c>
      <c r="P54" s="224">
        <v>0.19201643185583889</v>
      </c>
      <c r="Q54" s="224">
        <v>0.43298122478163825</v>
      </c>
      <c r="R54" s="224">
        <v>0.3736514977113663</v>
      </c>
      <c r="S54" s="224">
        <v>0.30997277467464379</v>
      </c>
      <c r="T54" s="224">
        <v>0.14183870912505209</v>
      </c>
      <c r="U54" s="259">
        <v>0.32585211651097989</v>
      </c>
      <c r="V54" s="239">
        <v>26</v>
      </c>
      <c r="W54" s="239">
        <v>77</v>
      </c>
      <c r="X54" s="239">
        <v>50</v>
      </c>
      <c r="Y54" s="239">
        <v>39</v>
      </c>
      <c r="Z54" s="239">
        <v>3</v>
      </c>
      <c r="AA54" s="257">
        <v>195</v>
      </c>
      <c r="AB54" s="224">
        <v>0.18055555555555555</v>
      </c>
      <c r="AC54" s="224">
        <v>0.43016759776536312</v>
      </c>
      <c r="AD54" s="224">
        <v>0.37593984962406013</v>
      </c>
      <c r="AE54" s="224">
        <v>0.34513274336283184</v>
      </c>
      <c r="AF54" s="224">
        <v>0.13043478260869565</v>
      </c>
      <c r="AG54" s="259">
        <v>0.32939189189189189</v>
      </c>
      <c r="AH54" s="261">
        <v>1.3522650439486139E-3</v>
      </c>
      <c r="AI54" s="261">
        <v>2.8539659006671611E-3</v>
      </c>
      <c r="AJ54" s="261">
        <v>2.3211550067313495E-3</v>
      </c>
      <c r="AK54" s="261">
        <v>2.0966614698134508E-3</v>
      </c>
      <c r="AL54" s="261">
        <v>6.2565172054223153E-4</v>
      </c>
      <c r="AM54" s="262">
        <v>2.1394716053717193E-3</v>
      </c>
    </row>
    <row r="55" spans="1:39" x14ac:dyDescent="0.25">
      <c r="A55" s="215" t="str">
        <v>6104-WAlessa</v>
      </c>
      <c r="B55" s="215" t="str">
        <v>HAKHAYLPLZ</v>
      </c>
      <c r="C55" s="215" t="str">
        <v>Ahlam Al Zahrani</v>
      </c>
      <c r="D55" s="239">
        <v>7873.11</v>
      </c>
      <c r="E55" s="239">
        <v>5524.1399999999994</v>
      </c>
      <c r="F55" s="239">
        <v>3183.02</v>
      </c>
      <c r="G55" s="239">
        <v>2714.96</v>
      </c>
      <c r="H55" s="239">
        <v>0</v>
      </c>
      <c r="I55" s="257">
        <v>19295.23</v>
      </c>
      <c r="J55" s="240">
        <v>135.74327586206897</v>
      </c>
      <c r="K55" s="240">
        <v>172.62937499999998</v>
      </c>
      <c r="L55" s="240">
        <v>138.39217391304348</v>
      </c>
      <c r="M55" s="240">
        <v>129.28380952380954</v>
      </c>
      <c r="N55" s="240" t="str">
        <v/>
      </c>
      <c r="O55" s="258">
        <v>143.99425373134329</v>
      </c>
      <c r="P55" s="224">
        <v>0.38594811612106233</v>
      </c>
      <c r="Q55" s="224">
        <v>0.21099547310830774</v>
      </c>
      <c r="R55" s="224">
        <v>0.18635883012120566</v>
      </c>
      <c r="S55" s="224">
        <v>0.17507264170775397</v>
      </c>
      <c r="T55" s="224">
        <v>0</v>
      </c>
      <c r="U55" s="259">
        <v>0.23339390979187974</v>
      </c>
      <c r="V55" s="239">
        <v>58</v>
      </c>
      <c r="W55" s="239">
        <v>32</v>
      </c>
      <c r="X55" s="239">
        <v>23</v>
      </c>
      <c r="Y55" s="239">
        <v>21</v>
      </c>
      <c r="Z55" s="239">
        <v>0</v>
      </c>
      <c r="AA55" s="257">
        <v>134</v>
      </c>
      <c r="AB55" s="224">
        <v>0.40277777777777779</v>
      </c>
      <c r="AC55" s="224">
        <v>0.1787709497206704</v>
      </c>
      <c r="AD55" s="224">
        <v>0.17293233082706766</v>
      </c>
      <c r="AE55" s="224">
        <v>0.18584070796460178</v>
      </c>
      <c r="AF55" s="224">
        <v>0</v>
      </c>
      <c r="AG55" s="259">
        <v>0.22635135135135134</v>
      </c>
      <c r="AH55" s="261">
        <v>3.0165912518853697E-3</v>
      </c>
      <c r="AI55" s="261">
        <v>1.1860637509266123E-3</v>
      </c>
      <c r="AJ55" s="261">
        <v>1.0677313030964207E-3</v>
      </c>
      <c r="AK55" s="261">
        <v>1.1289715606687812E-3</v>
      </c>
      <c r="AL55" s="261">
        <v>0</v>
      </c>
      <c r="AM55" s="262">
        <v>1.4702010006144124E-3</v>
      </c>
    </row>
    <row r="56" spans="1:39" x14ac:dyDescent="0.25">
      <c r="A56" s="215" t="str">
        <v>7332-MAlfaqih</v>
      </c>
      <c r="B56" s="215" t="str">
        <v>HAKHAYLPLZ</v>
      </c>
      <c r="C56" s="215" t="str">
        <v>Ahlam Al Zahrani</v>
      </c>
      <c r="D56" s="239">
        <v>0</v>
      </c>
      <c r="E56" s="239">
        <v>0</v>
      </c>
      <c r="F56" s="239">
        <v>0</v>
      </c>
      <c r="G56" s="239">
        <v>1642.88</v>
      </c>
      <c r="H56" s="239">
        <v>2076.98</v>
      </c>
      <c r="I56" s="257">
        <v>3719.86</v>
      </c>
      <c r="J56" s="240" t="str">
        <v/>
      </c>
      <c r="K56" s="240" t="str">
        <v/>
      </c>
      <c r="L56" s="240" t="str">
        <v/>
      </c>
      <c r="M56" s="240">
        <v>182.54222222222222</v>
      </c>
      <c r="N56" s="240">
        <v>148.3557142857143</v>
      </c>
      <c r="O56" s="258">
        <v>161.73304347826087</v>
      </c>
      <c r="P56" s="224">
        <v>0</v>
      </c>
      <c r="Q56" s="224">
        <v>0</v>
      </c>
      <c r="R56" s="224">
        <v>0</v>
      </c>
      <c r="S56" s="224">
        <v>0.10594017650677537</v>
      </c>
      <c r="T56" s="224">
        <v>0.59274881705945814</v>
      </c>
      <c r="U56" s="259">
        <v>4.4995196702937557E-2</v>
      </c>
      <c r="V56" s="239">
        <v>0</v>
      </c>
      <c r="W56" s="239">
        <v>0</v>
      </c>
      <c r="X56" s="239">
        <v>0</v>
      </c>
      <c r="Y56" s="239">
        <v>9</v>
      </c>
      <c r="Z56" s="239">
        <v>14</v>
      </c>
      <c r="AA56" s="257">
        <v>23</v>
      </c>
      <c r="AB56" s="224">
        <v>0</v>
      </c>
      <c r="AC56" s="224">
        <v>0</v>
      </c>
      <c r="AD56" s="224">
        <v>0</v>
      </c>
      <c r="AE56" s="224">
        <v>7.9646017699115043E-2</v>
      </c>
      <c r="AF56" s="224">
        <v>0.60869565217391308</v>
      </c>
      <c r="AG56" s="259">
        <v>3.885135135135135E-2</v>
      </c>
      <c r="AH56" s="261">
        <v>0</v>
      </c>
      <c r="AI56" s="261">
        <v>0</v>
      </c>
      <c r="AJ56" s="261">
        <v>0</v>
      </c>
      <c r="AK56" s="261">
        <v>4.8384495457233484E-4</v>
      </c>
      <c r="AL56" s="261">
        <v>2.9197080291970801E-3</v>
      </c>
      <c r="AM56" s="262">
        <v>2.5234793294127972E-4</v>
      </c>
    </row>
    <row r="57" spans="1:39" x14ac:dyDescent="0.25">
      <c r="A57" s="215" t="str">
        <v>7044-BDardari</v>
      </c>
      <c r="B57" s="215" t="str">
        <v>HAMAHMAL</v>
      </c>
      <c r="C57" s="215" t="str">
        <v>Ahlam Al Zahrani</v>
      </c>
      <c r="D57" s="239">
        <v>14370.45</v>
      </c>
      <c r="E57" s="239">
        <v>10576.3</v>
      </c>
      <c r="F57" s="239">
        <v>7911.15</v>
      </c>
      <c r="G57" s="239">
        <v>15403.9</v>
      </c>
      <c r="H57" s="239">
        <v>5570.97</v>
      </c>
      <c r="I57" s="257">
        <v>53832.770000000004</v>
      </c>
      <c r="J57" s="240">
        <v>194.19527027027027</v>
      </c>
      <c r="K57" s="240">
        <v>170.58548387096772</v>
      </c>
      <c r="L57" s="240">
        <v>168.32234042553191</v>
      </c>
      <c r="M57" s="240">
        <v>314.365306122449</v>
      </c>
      <c r="N57" s="240">
        <v>397.92642857142857</v>
      </c>
      <c r="O57" s="258">
        <v>218.83239837398375</v>
      </c>
      <c r="P57" s="224">
        <v>0.50144986705190209</v>
      </c>
      <c r="Q57" s="224">
        <v>0.25208285415671072</v>
      </c>
      <c r="R57" s="224">
        <v>0.23715246177034507</v>
      </c>
      <c r="S57" s="224">
        <v>0.2832090715741849</v>
      </c>
      <c r="T57" s="224">
        <v>0.5165039236337744</v>
      </c>
      <c r="U57" s="259">
        <v>0.31825678980377342</v>
      </c>
      <c r="V57" s="239">
        <v>74</v>
      </c>
      <c r="W57" s="239">
        <v>62</v>
      </c>
      <c r="X57" s="239">
        <v>47</v>
      </c>
      <c r="Y57" s="239">
        <v>49</v>
      </c>
      <c r="Z57" s="239">
        <v>14</v>
      </c>
      <c r="AA57" s="257">
        <v>246</v>
      </c>
      <c r="AB57" s="224">
        <v>0.45398773006134968</v>
      </c>
      <c r="AC57" s="224">
        <v>0.28440366972477066</v>
      </c>
      <c r="AD57" s="224">
        <v>0.26857142857142857</v>
      </c>
      <c r="AE57" s="224">
        <v>0.245</v>
      </c>
      <c r="AF57" s="224">
        <v>0.34146341463414637</v>
      </c>
      <c r="AG57" s="259">
        <v>0.30865746549560852</v>
      </c>
      <c r="AH57" s="261">
        <v>3.8487543558537473E-3</v>
      </c>
      <c r="AI57" s="261">
        <v>2.2979985174203113E-3</v>
      </c>
      <c r="AJ57" s="261">
        <v>2.1818857063274685E-3</v>
      </c>
      <c r="AK57" s="261">
        <v>2.6342669748938229E-3</v>
      </c>
      <c r="AL57" s="261">
        <v>2.9197080291970801E-3</v>
      </c>
      <c r="AM57" s="262">
        <v>2.6990257175458616E-3</v>
      </c>
    </row>
    <row r="58" spans="1:39" x14ac:dyDescent="0.25">
      <c r="A58" s="215" t="str">
        <v>6180-AObud</v>
      </c>
      <c r="B58" s="215" t="str">
        <v>HAMAHMAL</v>
      </c>
      <c r="C58" s="215" t="str">
        <v>Ahlam Al Zahrani</v>
      </c>
      <c r="D58" s="239">
        <v>4821.1099999999997</v>
      </c>
      <c r="E58" s="239">
        <v>8183.09</v>
      </c>
      <c r="F58" s="239">
        <v>13365.49</v>
      </c>
      <c r="G58" s="239">
        <v>14309.029999999999</v>
      </c>
      <c r="H58" s="239">
        <v>1539</v>
      </c>
      <c r="I58" s="257">
        <v>42217.72</v>
      </c>
      <c r="J58" s="240">
        <v>229.57666666666665</v>
      </c>
      <c r="K58" s="240">
        <v>292.25321428571431</v>
      </c>
      <c r="L58" s="240">
        <v>318.22595238095238</v>
      </c>
      <c r="M58" s="240">
        <v>311.06586956521738</v>
      </c>
      <c r="N58" s="240">
        <v>171</v>
      </c>
      <c r="O58" s="258">
        <v>289.16246575342467</v>
      </c>
      <c r="P58" s="224">
        <v>0.16823028983383231</v>
      </c>
      <c r="Q58" s="224">
        <v>0.19504143065355919</v>
      </c>
      <c r="R58" s="224">
        <v>0.40065715556738651</v>
      </c>
      <c r="S58" s="224">
        <v>0.26307929170061861</v>
      </c>
      <c r="T58" s="224">
        <v>0.14268602029312288</v>
      </c>
      <c r="U58" s="259">
        <v>0.24958916362718397</v>
      </c>
      <c r="V58" s="239">
        <v>21</v>
      </c>
      <c r="W58" s="239">
        <v>28</v>
      </c>
      <c r="X58" s="239">
        <v>42</v>
      </c>
      <c r="Y58" s="239">
        <v>46</v>
      </c>
      <c r="Z58" s="239">
        <v>9</v>
      </c>
      <c r="AA58" s="257">
        <v>146</v>
      </c>
      <c r="AB58" s="224">
        <v>0.12883435582822086</v>
      </c>
      <c r="AC58" s="224">
        <v>0.12844036697247707</v>
      </c>
      <c r="AD58" s="224">
        <v>0.24</v>
      </c>
      <c r="AE58" s="224">
        <v>0.23</v>
      </c>
      <c r="AF58" s="224">
        <v>0.21951219512195122</v>
      </c>
      <c r="AG58" s="259">
        <v>0.18318695106649938</v>
      </c>
      <c r="AH58" s="261">
        <v>1.0922140739584958E-3</v>
      </c>
      <c r="AI58" s="261">
        <v>1.0378057820607859E-3</v>
      </c>
      <c r="AJ58" s="261">
        <v>1.9497702056543336E-3</v>
      </c>
      <c r="AK58" s="261">
        <v>2.4729853233697112E-3</v>
      </c>
      <c r="AL58" s="261">
        <v>1.8769551616266945E-3</v>
      </c>
      <c r="AM58" s="262">
        <v>1.6018607917142106E-3</v>
      </c>
    </row>
    <row r="59" spans="1:39" x14ac:dyDescent="0.25">
      <c r="A59" s="215" t="str">
        <v>5372-YBabsail</v>
      </c>
      <c r="B59" s="215" t="str">
        <v>HAMAHMAL</v>
      </c>
      <c r="C59" s="215" t="str">
        <v>Ahlam Al Zahrani</v>
      </c>
      <c r="D59" s="239">
        <v>9466.24</v>
      </c>
      <c r="E59" s="239">
        <v>8462.14</v>
      </c>
      <c r="F59" s="239">
        <v>5474.1799999999994</v>
      </c>
      <c r="G59" s="239">
        <v>11352.750000000002</v>
      </c>
      <c r="H59" s="239">
        <v>421.96</v>
      </c>
      <c r="I59" s="257">
        <v>35177.269999999997</v>
      </c>
      <c r="J59" s="240">
        <v>139.20941176470589</v>
      </c>
      <c r="K59" s="240">
        <v>153.85709090909089</v>
      </c>
      <c r="L59" s="240">
        <v>152.06055555555554</v>
      </c>
      <c r="M59" s="240">
        <v>291.09615384615387</v>
      </c>
      <c r="N59" s="240">
        <v>421.96</v>
      </c>
      <c r="O59" s="258">
        <v>176.77020100502511</v>
      </c>
      <c r="P59" s="224">
        <v>0.3303198431142656</v>
      </c>
      <c r="Q59" s="224">
        <v>0.20169250148668894</v>
      </c>
      <c r="R59" s="224">
        <v>0.16409943727195003</v>
      </c>
      <c r="S59" s="224">
        <v>0.2087264775358077</v>
      </c>
      <c r="T59" s="224">
        <v>3.9121373049308725E-2</v>
      </c>
      <c r="U59" s="259">
        <v>0.20796635625959026</v>
      </c>
      <c r="V59" s="239">
        <v>68</v>
      </c>
      <c r="W59" s="239">
        <v>55</v>
      </c>
      <c r="X59" s="239">
        <v>36</v>
      </c>
      <c r="Y59" s="239">
        <v>39</v>
      </c>
      <c r="Z59" s="239">
        <v>1</v>
      </c>
      <c r="AA59" s="257">
        <v>199</v>
      </c>
      <c r="AB59" s="224">
        <v>0.41717791411042943</v>
      </c>
      <c r="AC59" s="224">
        <v>0.25229357798165136</v>
      </c>
      <c r="AD59" s="224">
        <v>0.20571428571428571</v>
      </c>
      <c r="AE59" s="224">
        <v>0.19500000000000001</v>
      </c>
      <c r="AF59" s="224">
        <v>2.4390243902439025E-2</v>
      </c>
      <c r="AG59" s="259">
        <v>0.24968632371392724</v>
      </c>
      <c r="AH59" s="261">
        <v>3.5366931918656055E-3</v>
      </c>
      <c r="AI59" s="261">
        <v>2.038547071905115E-3</v>
      </c>
      <c r="AJ59" s="261">
        <v>1.6712316048465717E-3</v>
      </c>
      <c r="AK59" s="261">
        <v>2.0966614698134508E-3</v>
      </c>
      <c r="AL59" s="261">
        <v>2.0855057351407716E-4</v>
      </c>
      <c r="AM59" s="262">
        <v>2.1833582024049854E-3</v>
      </c>
    </row>
    <row r="60" spans="1:39" x14ac:dyDescent="0.25">
      <c r="A60" s="215" t="str">
        <v>7042-MAlsulami</v>
      </c>
      <c r="B60" s="215" t="str">
        <v>HAMAHMAL</v>
      </c>
      <c r="C60" s="215" t="str">
        <v>Ahlam Al Zahrani</v>
      </c>
      <c r="D60" s="239">
        <v>0</v>
      </c>
      <c r="E60" s="239">
        <v>14734.12</v>
      </c>
      <c r="F60" s="239">
        <v>6608.1</v>
      </c>
      <c r="G60" s="239">
        <v>9247.91</v>
      </c>
      <c r="H60" s="239">
        <v>2856.96</v>
      </c>
      <c r="I60" s="257">
        <v>33447.090000000004</v>
      </c>
      <c r="J60" s="240" t="str">
        <v/>
      </c>
      <c r="K60" s="240">
        <v>201.83726027397262</v>
      </c>
      <c r="L60" s="240">
        <v>132.16200000000001</v>
      </c>
      <c r="M60" s="240">
        <v>174.48886792452831</v>
      </c>
      <c r="N60" s="240">
        <v>204.06857142857143</v>
      </c>
      <c r="O60" s="258">
        <v>176.03731578947369</v>
      </c>
      <c r="P60" s="224">
        <v>0</v>
      </c>
      <c r="Q60" s="224">
        <v>0.35118321370304123</v>
      </c>
      <c r="R60" s="224">
        <v>0.19809094539031841</v>
      </c>
      <c r="S60" s="224">
        <v>0.17002785042110247</v>
      </c>
      <c r="T60" s="224">
        <v>0.26487865661899956</v>
      </c>
      <c r="U60" s="259">
        <v>0.19773761394180334</v>
      </c>
      <c r="V60" s="239">
        <v>0</v>
      </c>
      <c r="W60" s="239">
        <v>73</v>
      </c>
      <c r="X60" s="239">
        <v>50</v>
      </c>
      <c r="Y60" s="239">
        <v>53</v>
      </c>
      <c r="Z60" s="239">
        <v>14</v>
      </c>
      <c r="AA60" s="257">
        <v>190</v>
      </c>
      <c r="AB60" s="224">
        <v>0</v>
      </c>
      <c r="AC60" s="224">
        <v>0.33486238532110091</v>
      </c>
      <c r="AD60" s="224">
        <v>0.2857142857142857</v>
      </c>
      <c r="AE60" s="224">
        <v>0.26500000000000001</v>
      </c>
      <c r="AF60" s="224">
        <v>0.34146341463414637</v>
      </c>
      <c r="AG60" s="259">
        <v>0.23839397741530741</v>
      </c>
      <c r="AH60" s="261">
        <v>0</v>
      </c>
      <c r="AI60" s="261">
        <v>2.7057079318013343E-3</v>
      </c>
      <c r="AJ60" s="261">
        <v>2.3211550067313495E-3</v>
      </c>
      <c r="AK60" s="261">
        <v>2.8493091769259717E-3</v>
      </c>
      <c r="AL60" s="261">
        <v>2.9197080291970801E-3</v>
      </c>
      <c r="AM60" s="262">
        <v>2.0846133590801371E-3</v>
      </c>
    </row>
    <row r="61" spans="1:39" x14ac:dyDescent="0.25">
      <c r="A61" s="215" t="str">
        <v>3001-TMeer</v>
      </c>
      <c r="B61" s="215" t="str">
        <v>HAMAHMAL</v>
      </c>
      <c r="C61" s="215" t="str">
        <v>Ahlam Al Zahrani</v>
      </c>
      <c r="D61" s="239">
        <v>0</v>
      </c>
      <c r="E61" s="239">
        <v>0</v>
      </c>
      <c r="F61" s="239">
        <v>0</v>
      </c>
      <c r="G61" s="239">
        <v>4076.9700000000003</v>
      </c>
      <c r="H61" s="239">
        <v>397.03</v>
      </c>
      <c r="I61" s="257">
        <v>4474</v>
      </c>
      <c r="J61" s="240" t="str">
        <v/>
      </c>
      <c r="K61" s="240" t="str">
        <v/>
      </c>
      <c r="L61" s="240" t="str">
        <v/>
      </c>
      <c r="M61" s="240">
        <v>313.61307692307696</v>
      </c>
      <c r="N61" s="240">
        <v>132.34333333333333</v>
      </c>
      <c r="O61" s="258">
        <v>279.625</v>
      </c>
      <c r="P61" s="224">
        <v>0</v>
      </c>
      <c r="Q61" s="224">
        <v>0</v>
      </c>
      <c r="R61" s="224">
        <v>0</v>
      </c>
      <c r="S61" s="224">
        <v>7.4957308768286254E-2</v>
      </c>
      <c r="T61" s="224">
        <v>3.6810026404794395E-2</v>
      </c>
      <c r="U61" s="259">
        <v>2.6450076367648966E-2</v>
      </c>
      <c r="V61" s="239">
        <v>0</v>
      </c>
      <c r="W61" s="239">
        <v>0</v>
      </c>
      <c r="X61" s="239">
        <v>0</v>
      </c>
      <c r="Y61" s="239">
        <v>13</v>
      </c>
      <c r="Z61" s="239">
        <v>3</v>
      </c>
      <c r="AA61" s="257">
        <v>16</v>
      </c>
      <c r="AB61" s="224">
        <v>0</v>
      </c>
      <c r="AC61" s="224">
        <v>0</v>
      </c>
      <c r="AD61" s="224">
        <v>0</v>
      </c>
      <c r="AE61" s="224">
        <v>6.5000000000000002E-2</v>
      </c>
      <c r="AF61" s="224">
        <v>7.3170731707317069E-2</v>
      </c>
      <c r="AG61" s="259">
        <v>2.0075282308657464E-2</v>
      </c>
      <c r="AH61" s="261">
        <v>0</v>
      </c>
      <c r="AI61" s="261">
        <v>0</v>
      </c>
      <c r="AJ61" s="261">
        <v>0</v>
      </c>
      <c r="AK61" s="261">
        <v>6.9888715660448365E-4</v>
      </c>
      <c r="AL61" s="261">
        <v>6.2565172054223153E-4</v>
      </c>
      <c r="AM61" s="262">
        <v>1.7554638813306416E-4</v>
      </c>
    </row>
    <row r="62" spans="1:39" x14ac:dyDescent="0.25">
      <c r="A62" s="215" t="str">
        <v>6402-AAlzahrani</v>
      </c>
      <c r="B62" s="215" t="str">
        <v>HAPALMJED</v>
      </c>
      <c r="C62" s="215" t="str">
        <v>Ahlam Al Zahrani</v>
      </c>
      <c r="D62" s="239">
        <v>7275.13</v>
      </c>
      <c r="E62" s="239">
        <v>20856.349999999999</v>
      </c>
      <c r="F62" s="239">
        <v>11725.18</v>
      </c>
      <c r="G62" s="239">
        <v>12166.11</v>
      </c>
      <c r="H62" s="239">
        <v>4129.1100000000006</v>
      </c>
      <c r="I62" s="257">
        <v>56151.880000000005</v>
      </c>
      <c r="J62" s="240">
        <v>101.04347222222222</v>
      </c>
      <c r="K62" s="240">
        <v>224.26182795698924</v>
      </c>
      <c r="L62" s="240">
        <v>150.32282051282053</v>
      </c>
      <c r="M62" s="240">
        <v>152.07637500000001</v>
      </c>
      <c r="N62" s="240">
        <v>165.16440000000003</v>
      </c>
      <c r="O62" s="258">
        <v>161.35597701149428</v>
      </c>
      <c r="P62" s="224">
        <v>0.27357898469602066</v>
      </c>
      <c r="Q62" s="224">
        <v>0.43034851124115986</v>
      </c>
      <c r="R62" s="224">
        <v>0.3750809330654758</v>
      </c>
      <c r="S62" s="224">
        <v>0.41749316938484315</v>
      </c>
      <c r="T62" s="224">
        <v>0.54812019295865522</v>
      </c>
      <c r="U62" s="259">
        <v>0.39269583624173793</v>
      </c>
      <c r="V62" s="239">
        <v>72</v>
      </c>
      <c r="W62" s="239">
        <v>93</v>
      </c>
      <c r="X62" s="239">
        <v>78</v>
      </c>
      <c r="Y62" s="239">
        <v>80</v>
      </c>
      <c r="Z62" s="239">
        <v>25</v>
      </c>
      <c r="AA62" s="257">
        <v>348</v>
      </c>
      <c r="AB62" s="224">
        <v>0.33179723502304148</v>
      </c>
      <c r="AC62" s="224">
        <v>0.36328125</v>
      </c>
      <c r="AD62" s="224">
        <v>0.4</v>
      </c>
      <c r="AE62" s="224">
        <v>0.42105263157894735</v>
      </c>
      <c r="AF62" s="224">
        <v>0.54347826086956519</v>
      </c>
      <c r="AG62" s="259">
        <v>0.38495575221238937</v>
      </c>
      <c r="AH62" s="261">
        <v>3.7447339678577003E-3</v>
      </c>
      <c r="AI62" s="261">
        <v>3.446997776130467E-3</v>
      </c>
      <c r="AJ62" s="261">
        <v>3.6210018105009051E-3</v>
      </c>
      <c r="AK62" s="261">
        <v>4.3008440406429758E-3</v>
      </c>
      <c r="AL62" s="261">
        <v>5.2137643378519288E-3</v>
      </c>
      <c r="AM62" s="262">
        <v>3.8181339418941456E-3</v>
      </c>
    </row>
    <row r="63" spans="1:39" x14ac:dyDescent="0.25">
      <c r="A63" s="215" t="str">
        <v>3484-Abdullah Al Thabet</v>
      </c>
      <c r="B63" s="215" t="str">
        <v>HAPALMJED</v>
      </c>
      <c r="C63" s="215" t="str">
        <v>Ahlam Al Zahrani</v>
      </c>
      <c r="D63" s="239">
        <v>7348.0999999999995</v>
      </c>
      <c r="E63" s="239">
        <v>8352.11</v>
      </c>
      <c r="F63" s="239">
        <v>7597.1200000000008</v>
      </c>
      <c r="G63" s="239">
        <v>12471.8</v>
      </c>
      <c r="H63" s="239">
        <v>1877.04</v>
      </c>
      <c r="I63" s="257">
        <v>37646.170000000006</v>
      </c>
      <c r="J63" s="240">
        <v>136.07592592592593</v>
      </c>
      <c r="K63" s="240">
        <v>149.14482142857145</v>
      </c>
      <c r="L63" s="240">
        <v>158.27333333333334</v>
      </c>
      <c r="M63" s="240">
        <v>164.10263157894735</v>
      </c>
      <c r="N63" s="240">
        <v>144.3876923076923</v>
      </c>
      <c r="O63" s="258">
        <v>152.41364372469639</v>
      </c>
      <c r="P63" s="224">
        <v>0.27632299868797244</v>
      </c>
      <c r="Q63" s="224">
        <v>0.17233687122734342</v>
      </c>
      <c r="R63" s="224">
        <v>0.24302696062750317</v>
      </c>
      <c r="S63" s="224">
        <v>0.4279832510090642</v>
      </c>
      <c r="T63" s="224">
        <v>0.24916835032031454</v>
      </c>
      <c r="U63" s="259">
        <v>0.26327692339862224</v>
      </c>
      <c r="V63" s="239">
        <v>54</v>
      </c>
      <c r="W63" s="239">
        <v>56</v>
      </c>
      <c r="X63" s="239">
        <v>48</v>
      </c>
      <c r="Y63" s="239">
        <v>76</v>
      </c>
      <c r="Z63" s="239">
        <v>13</v>
      </c>
      <c r="AA63" s="257">
        <v>247</v>
      </c>
      <c r="AB63" s="224">
        <v>0.24884792626728111</v>
      </c>
      <c r="AC63" s="224">
        <v>0.21875</v>
      </c>
      <c r="AD63" s="224">
        <v>0.24615384615384617</v>
      </c>
      <c r="AE63" s="224">
        <v>0.4</v>
      </c>
      <c r="AF63" s="224">
        <v>0.28260869565217389</v>
      </c>
      <c r="AG63" s="259">
        <v>0.27323008849557523</v>
      </c>
      <c r="AH63" s="261">
        <v>2.8085504758932752E-3</v>
      </c>
      <c r="AI63" s="261">
        <v>2.0756115641215717E-3</v>
      </c>
      <c r="AJ63" s="261">
        <v>2.2283088064620955E-3</v>
      </c>
      <c r="AK63" s="261">
        <v>4.0858018386108275E-3</v>
      </c>
      <c r="AL63" s="261">
        <v>2.7111574556830031E-3</v>
      </c>
      <c r="AM63" s="262">
        <v>2.7099973668041782E-3</v>
      </c>
    </row>
    <row r="64" spans="1:39" x14ac:dyDescent="0.25">
      <c r="A64" s="215" t="str">
        <v>2984- MAlSubari</v>
      </c>
      <c r="B64" s="215" t="str">
        <v>HAPALMJED</v>
      </c>
      <c r="C64" s="215" t="str">
        <v>Ahlam Al Zahrani</v>
      </c>
      <c r="D64" s="239">
        <v>8878.14</v>
      </c>
      <c r="E64" s="239">
        <v>16086.34</v>
      </c>
      <c r="F64" s="239">
        <v>8509.0399999999991</v>
      </c>
      <c r="G64" s="239">
        <v>-45.97999999999999</v>
      </c>
      <c r="H64" s="239">
        <v>0</v>
      </c>
      <c r="I64" s="257">
        <v>33427.539999999994</v>
      </c>
      <c r="J64" s="240">
        <v>132.50955223880595</v>
      </c>
      <c r="K64" s="240">
        <v>182.79931818181819</v>
      </c>
      <c r="L64" s="240">
        <v>177.27166666666665</v>
      </c>
      <c r="M64" s="240">
        <v>-9.195999999999998</v>
      </c>
      <c r="N64" s="240" t="str">
        <v/>
      </c>
      <c r="O64" s="258">
        <v>160.7093269230769</v>
      </c>
      <c r="P64" s="224">
        <v>0.33385967359883995</v>
      </c>
      <c r="Q64" s="224">
        <v>0.33192444844467611</v>
      </c>
      <c r="R64" s="224">
        <v>0.27219869227521076</v>
      </c>
      <c r="S64" s="224">
        <v>-1.5778532273927396E-3</v>
      </c>
      <c r="T64" s="224">
        <v>0</v>
      </c>
      <c r="U64" s="259">
        <v>0.23377411003521414</v>
      </c>
      <c r="V64" s="239">
        <v>67</v>
      </c>
      <c r="W64" s="239">
        <v>88</v>
      </c>
      <c r="X64" s="239">
        <v>48</v>
      </c>
      <c r="Y64" s="239">
        <v>5</v>
      </c>
      <c r="Z64" s="239">
        <v>0</v>
      </c>
      <c r="AA64" s="257">
        <v>208</v>
      </c>
      <c r="AB64" s="224">
        <v>0.30875576036866359</v>
      </c>
      <c r="AC64" s="224">
        <v>0.34375</v>
      </c>
      <c r="AD64" s="224">
        <v>0.24615384615384617</v>
      </c>
      <c r="AE64" s="224">
        <v>2.6315789473684209E-2</v>
      </c>
      <c r="AF64" s="224">
        <v>0</v>
      </c>
      <c r="AG64" s="259">
        <v>0.23008849557522124</v>
      </c>
      <c r="AH64" s="261">
        <v>3.4846829978675822E-3</v>
      </c>
      <c r="AI64" s="261">
        <v>3.2616753150481836E-3</v>
      </c>
      <c r="AJ64" s="261">
        <v>2.2283088064620955E-3</v>
      </c>
      <c r="AK64" s="261">
        <v>2.6880275254018599E-4</v>
      </c>
      <c r="AL64" s="261">
        <v>0</v>
      </c>
      <c r="AM64" s="262">
        <v>2.2821030457298342E-3</v>
      </c>
    </row>
    <row r="65" spans="1:39" x14ac:dyDescent="0.25">
      <c r="A65" s="215" t="str">
        <v>6138-YAlHarbi</v>
      </c>
      <c r="B65" s="215" t="str">
        <v>HAPALMJED</v>
      </c>
      <c r="C65" s="215" t="str">
        <v>Ahlam Al Zahrani</v>
      </c>
      <c r="D65" s="239">
        <v>3091.06</v>
      </c>
      <c r="E65" s="239">
        <v>3169.06</v>
      </c>
      <c r="F65" s="239">
        <v>3429.06</v>
      </c>
      <c r="G65" s="239">
        <v>4548.93</v>
      </c>
      <c r="H65" s="239">
        <v>1527.07</v>
      </c>
      <c r="I65" s="257">
        <v>15765.18</v>
      </c>
      <c r="J65" s="240">
        <v>128.79416666666665</v>
      </c>
      <c r="K65" s="240">
        <v>166.79263157894738</v>
      </c>
      <c r="L65" s="240">
        <v>163.28857142857143</v>
      </c>
      <c r="M65" s="240">
        <v>156.8596551724138</v>
      </c>
      <c r="N65" s="240">
        <v>190.88374999999999</v>
      </c>
      <c r="O65" s="258">
        <v>156.09089108910891</v>
      </c>
      <c r="P65" s="224">
        <v>0.11623834301716691</v>
      </c>
      <c r="Q65" s="224">
        <v>6.5390169086820563E-2</v>
      </c>
      <c r="R65" s="224">
        <v>0.10969341403181021</v>
      </c>
      <c r="S65" s="224">
        <v>0.15610143283348535</v>
      </c>
      <c r="T65" s="224">
        <v>0.2027114567210303</v>
      </c>
      <c r="U65" s="259">
        <v>0.11025313032442585</v>
      </c>
      <c r="V65" s="239">
        <v>24</v>
      </c>
      <c r="W65" s="239">
        <v>19</v>
      </c>
      <c r="X65" s="239">
        <v>21</v>
      </c>
      <c r="Y65" s="239">
        <v>29</v>
      </c>
      <c r="Z65" s="239">
        <v>8</v>
      </c>
      <c r="AA65" s="257">
        <v>101</v>
      </c>
      <c r="AB65" s="224">
        <v>0.11059907834101383</v>
      </c>
      <c r="AC65" s="224">
        <v>7.421875E-2</v>
      </c>
      <c r="AD65" s="224">
        <v>0.1076923076923077</v>
      </c>
      <c r="AE65" s="224">
        <v>0.15263157894736842</v>
      </c>
      <c r="AF65" s="224">
        <v>0.17391304347826086</v>
      </c>
      <c r="AG65" s="259">
        <v>0.11172566371681415</v>
      </c>
      <c r="AH65" s="261">
        <v>1.2482446559525667E-3</v>
      </c>
      <c r="AI65" s="261">
        <v>7.0422535211267609E-4</v>
      </c>
      <c r="AJ65" s="261">
        <v>9.748851028271668E-4</v>
      </c>
      <c r="AK65" s="261">
        <v>1.559055964733079E-3</v>
      </c>
      <c r="AL65" s="261">
        <v>1.6684045881126173E-3</v>
      </c>
      <c r="AM65" s="262">
        <v>1.1081365750899674E-3</v>
      </c>
    </row>
    <row r="66" spans="1:39" x14ac:dyDescent="0.25">
      <c r="A66" s="215" t="str">
        <v>4140-ZAlshriy</v>
      </c>
      <c r="B66" s="215" t="str">
        <v>HAWAHABLVD</v>
      </c>
      <c r="C66" s="215" t="str">
        <v>Ahlam Al Zahrani</v>
      </c>
      <c r="D66" s="239">
        <v>4376.07</v>
      </c>
      <c r="E66" s="239">
        <v>12177.24</v>
      </c>
      <c r="F66" s="239">
        <v>10528.2</v>
      </c>
      <c r="G66" s="239">
        <v>9508.75</v>
      </c>
      <c r="H66" s="239">
        <v>1672.91</v>
      </c>
      <c r="I66" s="257">
        <v>38263.17</v>
      </c>
      <c r="J66" s="240">
        <v>162.07666666666665</v>
      </c>
      <c r="K66" s="240">
        <v>158.14597402597403</v>
      </c>
      <c r="L66" s="240">
        <v>157.13731343283584</v>
      </c>
      <c r="M66" s="240">
        <v>161.16525423728814</v>
      </c>
      <c r="N66" s="240">
        <v>152.08272727272728</v>
      </c>
      <c r="O66" s="258">
        <v>158.76834024896266</v>
      </c>
      <c r="P66" s="224">
        <v>0.22282073503188995</v>
      </c>
      <c r="Q66" s="224">
        <v>0.41501876868944992</v>
      </c>
      <c r="R66" s="224">
        <v>0.35035036034354189</v>
      </c>
      <c r="S66" s="224">
        <v>0.45130037632293246</v>
      </c>
      <c r="T66" s="224">
        <v>0.28455496135423469</v>
      </c>
      <c r="U66" s="259">
        <v>0.36104128664227725</v>
      </c>
      <c r="V66" s="239">
        <v>27</v>
      </c>
      <c r="W66" s="239">
        <v>77</v>
      </c>
      <c r="X66" s="239">
        <v>67</v>
      </c>
      <c r="Y66" s="239">
        <v>59</v>
      </c>
      <c r="Z66" s="239">
        <v>11</v>
      </c>
      <c r="AA66" s="257">
        <v>241</v>
      </c>
      <c r="AB66" s="224">
        <v>0.17647058823529413</v>
      </c>
      <c r="AC66" s="224">
        <v>0.40314136125654448</v>
      </c>
      <c r="AD66" s="224">
        <v>0.34183673469387754</v>
      </c>
      <c r="AE66" s="224">
        <v>0.43703703703703706</v>
      </c>
      <c r="AF66" s="224">
        <v>0.26829268292682928</v>
      </c>
      <c r="AG66" s="259">
        <v>0.33659217877094971</v>
      </c>
      <c r="AH66" s="261">
        <v>1.4042752379466376E-3</v>
      </c>
      <c r="AI66" s="261">
        <v>2.8539659006671611E-3</v>
      </c>
      <c r="AJ66" s="261">
        <v>3.1103477090200084E-3</v>
      </c>
      <c r="AK66" s="261">
        <v>3.171872479974195E-3</v>
      </c>
      <c r="AL66" s="261">
        <v>2.2940563086548487E-3</v>
      </c>
      <c r="AM66" s="262">
        <v>2.6441674712542789E-3</v>
      </c>
    </row>
    <row r="67" spans="1:39" x14ac:dyDescent="0.25">
      <c r="A67" s="215" t="str">
        <v>7052-RAli</v>
      </c>
      <c r="B67" s="215" t="str">
        <v>HAWAHABLVD</v>
      </c>
      <c r="C67" s="215" t="str">
        <v>Ahlam Al Zahrani</v>
      </c>
      <c r="D67" s="239">
        <v>8435.17</v>
      </c>
      <c r="E67" s="239">
        <v>13080.150000000001</v>
      </c>
      <c r="F67" s="239">
        <v>8494.14</v>
      </c>
      <c r="G67" s="239">
        <v>3937.99</v>
      </c>
      <c r="H67" s="239">
        <v>1082.06</v>
      </c>
      <c r="I67" s="257">
        <v>35029.509999999995</v>
      </c>
      <c r="J67" s="240">
        <v>122.24884057971015</v>
      </c>
      <c r="K67" s="240">
        <v>157.59216867469883</v>
      </c>
      <c r="L67" s="240">
        <v>166.55176470588233</v>
      </c>
      <c r="M67" s="240">
        <v>164.08291666666665</v>
      </c>
      <c r="N67" s="240">
        <v>120.22888888888889</v>
      </c>
      <c r="O67" s="258">
        <v>148.43012711864404</v>
      </c>
      <c r="P67" s="224">
        <v>0.42950199140300482</v>
      </c>
      <c r="Q67" s="224">
        <v>0.44579130798713901</v>
      </c>
      <c r="R67" s="224">
        <v>0.28266227938379707</v>
      </c>
      <c r="S67" s="224">
        <v>0.18690325951948938</v>
      </c>
      <c r="T67" s="224">
        <v>0.18405385913346392</v>
      </c>
      <c r="U67" s="259">
        <v>0.33052931476530867</v>
      </c>
      <c r="V67" s="239">
        <v>69</v>
      </c>
      <c r="W67" s="239">
        <v>83</v>
      </c>
      <c r="X67" s="239">
        <v>51</v>
      </c>
      <c r="Y67" s="239">
        <v>24</v>
      </c>
      <c r="Z67" s="239">
        <v>9</v>
      </c>
      <c r="AA67" s="257">
        <v>236</v>
      </c>
      <c r="AB67" s="224">
        <v>0.45098039215686275</v>
      </c>
      <c r="AC67" s="224">
        <v>0.43455497382198954</v>
      </c>
      <c r="AD67" s="224">
        <v>0.26020408163265307</v>
      </c>
      <c r="AE67" s="224">
        <v>0.17777777777777778</v>
      </c>
      <c r="AF67" s="224">
        <v>0.21951219512195122</v>
      </c>
      <c r="AG67" s="259">
        <v>0.32960893854748602</v>
      </c>
      <c r="AH67" s="261">
        <v>3.5887033858636292E-3</v>
      </c>
      <c r="AI67" s="261">
        <v>3.0763528539659007E-3</v>
      </c>
      <c r="AJ67" s="261">
        <v>2.3675781068659765E-3</v>
      </c>
      <c r="AK67" s="261">
        <v>1.2902532121928929E-3</v>
      </c>
      <c r="AL67" s="261">
        <v>1.8769551616266945E-3</v>
      </c>
      <c r="AM67" s="262">
        <v>2.5893092249626962E-3</v>
      </c>
    </row>
    <row r="68" spans="1:39" x14ac:dyDescent="0.25">
      <c r="A68" s="215" t="str">
        <v>3117-LAlMasrahi</v>
      </c>
      <c r="B68" s="215" t="str">
        <v>HAWAHABLVD</v>
      </c>
      <c r="C68" s="215" t="str">
        <v>Ahlam Al Zahrani</v>
      </c>
      <c r="D68" s="239">
        <v>6828.1799999999994</v>
      </c>
      <c r="E68" s="239">
        <v>3642.0299999999997</v>
      </c>
      <c r="F68" s="239">
        <v>6929.04</v>
      </c>
      <c r="G68" s="239">
        <v>4509.9000000000005</v>
      </c>
      <c r="H68" s="239">
        <v>1055.06</v>
      </c>
      <c r="I68" s="257">
        <v>22964.210000000003</v>
      </c>
      <c r="J68" s="240">
        <v>119.79263157894735</v>
      </c>
      <c r="K68" s="240">
        <v>140.07807692307691</v>
      </c>
      <c r="L68" s="240">
        <v>141.40897959183673</v>
      </c>
      <c r="M68" s="240">
        <v>161.06785714285715</v>
      </c>
      <c r="N68" s="240">
        <v>117.22888888888889</v>
      </c>
      <c r="O68" s="258">
        <v>135.88289940828403</v>
      </c>
      <c r="P68" s="224">
        <v>0.3476772735651053</v>
      </c>
      <c r="Q68" s="224">
        <v>0.12412589438411636</v>
      </c>
      <c r="R68" s="224">
        <v>0.23057993397112661</v>
      </c>
      <c r="S68" s="224">
        <v>0.21404701639845336</v>
      </c>
      <c r="T68" s="224">
        <v>0.17946127258872194</v>
      </c>
      <c r="U68" s="259">
        <v>0.21668429262717778</v>
      </c>
      <c r="V68" s="239">
        <v>57</v>
      </c>
      <c r="W68" s="239">
        <v>26</v>
      </c>
      <c r="X68" s="239">
        <v>49</v>
      </c>
      <c r="Y68" s="239">
        <v>28</v>
      </c>
      <c r="Z68" s="239">
        <v>9</v>
      </c>
      <c r="AA68" s="257">
        <v>169</v>
      </c>
      <c r="AB68" s="224">
        <v>0.37254901960784315</v>
      </c>
      <c r="AC68" s="224">
        <v>0.13612565445026178</v>
      </c>
      <c r="AD68" s="224">
        <v>0.25</v>
      </c>
      <c r="AE68" s="224">
        <v>0.2074074074074074</v>
      </c>
      <c r="AF68" s="224">
        <v>0.21951219512195122</v>
      </c>
      <c r="AG68" s="259">
        <v>0.23603351955307261</v>
      </c>
      <c r="AH68" s="261">
        <v>2.9645810578873459E-3</v>
      </c>
      <c r="AI68" s="261">
        <v>9.636767976278725E-4</v>
      </c>
      <c r="AJ68" s="261">
        <v>2.2747319065967225E-3</v>
      </c>
      <c r="AK68" s="261">
        <v>1.5052954142250417E-3</v>
      </c>
      <c r="AL68" s="261">
        <v>1.8769551616266945E-3</v>
      </c>
      <c r="AM68" s="262">
        <v>1.8542087246554901E-3</v>
      </c>
    </row>
    <row r="69" spans="1:39" x14ac:dyDescent="0.25">
      <c r="A69" s="215" t="str">
        <v>3008-AAlSheikh</v>
      </c>
      <c r="B69" s="215" t="str">
        <v>HAWAHABLVD</v>
      </c>
      <c r="C69" s="215" t="str">
        <v>Ahlam Al Zahrani</v>
      </c>
      <c r="D69" s="239">
        <v>0</v>
      </c>
      <c r="E69" s="239">
        <v>367</v>
      </c>
      <c r="F69" s="239">
        <v>4099.1099999999997</v>
      </c>
      <c r="G69" s="239">
        <v>3113.0299999999997</v>
      </c>
      <c r="H69" s="239">
        <v>2069.0100000000002</v>
      </c>
      <c r="I69" s="257">
        <v>9648.15</v>
      </c>
      <c r="J69" s="240" t="str">
        <v/>
      </c>
      <c r="K69" s="240">
        <v>91.75</v>
      </c>
      <c r="L69" s="240">
        <v>141.34862068965515</v>
      </c>
      <c r="M69" s="240">
        <v>129.70958333333331</v>
      </c>
      <c r="N69" s="240">
        <v>172.41750000000002</v>
      </c>
      <c r="O69" s="258">
        <v>139.82826086956521</v>
      </c>
      <c r="P69" s="224">
        <v>0</v>
      </c>
      <c r="Q69" s="224">
        <v>1.2507915431495816E-2</v>
      </c>
      <c r="R69" s="224">
        <v>0.13640742630153452</v>
      </c>
      <c r="S69" s="224">
        <v>0.14774934775912485</v>
      </c>
      <c r="T69" s="224">
        <v>0.35192990692357934</v>
      </c>
      <c r="U69" s="259">
        <v>9.1037425537865452E-2</v>
      </c>
      <c r="V69" s="239">
        <v>0</v>
      </c>
      <c r="W69" s="239">
        <v>4</v>
      </c>
      <c r="X69" s="239">
        <v>29</v>
      </c>
      <c r="Y69" s="239">
        <v>24</v>
      </c>
      <c r="Z69" s="239">
        <v>12</v>
      </c>
      <c r="AA69" s="257">
        <v>69</v>
      </c>
      <c r="AB69" s="224">
        <v>0</v>
      </c>
      <c r="AC69" s="224">
        <v>2.0942408376963352E-2</v>
      </c>
      <c r="AD69" s="224">
        <v>0.14795918367346939</v>
      </c>
      <c r="AE69" s="224">
        <v>0.17777777777777778</v>
      </c>
      <c r="AF69" s="224">
        <v>0.29268292682926828</v>
      </c>
      <c r="AG69" s="259">
        <v>9.6368715083798878E-2</v>
      </c>
      <c r="AH69" s="261">
        <v>0</v>
      </c>
      <c r="AI69" s="261">
        <v>1.4825796886582654E-4</v>
      </c>
      <c r="AJ69" s="261">
        <v>1.3462699039041828E-3</v>
      </c>
      <c r="AK69" s="261">
        <v>1.2902532121928929E-3</v>
      </c>
      <c r="AL69" s="261">
        <v>2.5026068821689261E-3</v>
      </c>
      <c r="AM69" s="262">
        <v>7.5704379882383921E-4</v>
      </c>
    </row>
    <row r="70" spans="1:39" x14ac:dyDescent="0.25">
      <c r="A70" s="215" t="str">
        <v>4297-AMubarak</v>
      </c>
      <c r="B70" s="215" t="str">
        <v>HAWAHABLVD</v>
      </c>
      <c r="C70" s="215" t="str">
        <v>Ahlam Al Zahrani</v>
      </c>
      <c r="D70" s="239">
        <v>0</v>
      </c>
      <c r="E70" s="239">
        <v>75</v>
      </c>
      <c r="F70" s="239">
        <v>0</v>
      </c>
      <c r="G70" s="239">
        <v>0</v>
      </c>
      <c r="H70" s="239">
        <v>0</v>
      </c>
      <c r="I70" s="257">
        <v>75</v>
      </c>
      <c r="J70" s="240" t="str">
        <v/>
      </c>
      <c r="K70" s="240">
        <v>75</v>
      </c>
      <c r="L70" s="240" t="str">
        <v/>
      </c>
      <c r="M70" s="240" t="str">
        <v/>
      </c>
      <c r="N70" s="240" t="str">
        <v/>
      </c>
      <c r="O70" s="258">
        <v>75</v>
      </c>
      <c r="P70" s="224">
        <v>0</v>
      </c>
      <c r="Q70" s="224">
        <v>2.5561135077988724E-3</v>
      </c>
      <c r="R70" s="224">
        <v>0</v>
      </c>
      <c r="S70" s="224">
        <v>0</v>
      </c>
      <c r="T70" s="224">
        <v>0</v>
      </c>
      <c r="U70" s="259">
        <v>7.0768042737104093E-4</v>
      </c>
      <c r="V70" s="239">
        <v>0</v>
      </c>
      <c r="W70" s="239">
        <v>1</v>
      </c>
      <c r="X70" s="239">
        <v>0</v>
      </c>
      <c r="Y70" s="239">
        <v>0</v>
      </c>
      <c r="Z70" s="239">
        <v>0</v>
      </c>
      <c r="AA70" s="257">
        <v>1</v>
      </c>
      <c r="AB70" s="224">
        <v>0</v>
      </c>
      <c r="AC70" s="224">
        <v>5.235602094240838E-3</v>
      </c>
      <c r="AD70" s="224">
        <v>0</v>
      </c>
      <c r="AE70" s="224">
        <v>0</v>
      </c>
      <c r="AF70" s="224">
        <v>0</v>
      </c>
      <c r="AG70" s="259">
        <v>1.3966480446927375E-3</v>
      </c>
      <c r="AH70" s="261">
        <v>0</v>
      </c>
      <c r="AI70" s="261">
        <v>3.7064492216456636E-5</v>
      </c>
      <c r="AJ70" s="261">
        <v>0</v>
      </c>
      <c r="AK70" s="261">
        <v>0</v>
      </c>
      <c r="AL70" s="261">
        <v>0</v>
      </c>
      <c r="AM70" s="262">
        <v>1.097164925831651E-5</v>
      </c>
    </row>
    <row r="71" spans="1:39" x14ac:dyDescent="0.25">
      <c r="A71" s="215" t="str">
        <v>7216-MAlmuwallad</v>
      </c>
      <c r="B71" s="215" t="str">
        <v>JEDDAZIZ</v>
      </c>
      <c r="C71" s="215" t="str">
        <v>Ahlam Al Zahrani</v>
      </c>
      <c r="D71" s="239">
        <v>5902.13</v>
      </c>
      <c r="E71" s="239">
        <v>10201.170000000002</v>
      </c>
      <c r="F71" s="239">
        <v>8620.14</v>
      </c>
      <c r="G71" s="239">
        <v>5602.8899999999994</v>
      </c>
      <c r="H71" s="239">
        <v>1224.08</v>
      </c>
      <c r="I71" s="257">
        <v>31550.410000000003</v>
      </c>
      <c r="J71" s="240">
        <v>125.5772340425532</v>
      </c>
      <c r="K71" s="240">
        <v>134.22592105263161</v>
      </c>
      <c r="L71" s="240">
        <v>175.92122448979592</v>
      </c>
      <c r="M71" s="240">
        <v>130.29976744186044</v>
      </c>
      <c r="N71" s="240">
        <v>174.86857142857141</v>
      </c>
      <c r="O71" s="258">
        <v>142.11896396396398</v>
      </c>
      <c r="P71" s="224">
        <v>0.32654548271178374</v>
      </c>
      <c r="Q71" s="224">
        <v>0.34277549100317539</v>
      </c>
      <c r="R71" s="224">
        <v>0.26696277787911732</v>
      </c>
      <c r="S71" s="224">
        <v>0.25678043352427637</v>
      </c>
      <c r="T71" s="224">
        <v>0.17832761770456074</v>
      </c>
      <c r="U71" s="259">
        <v>0.28996243955326695</v>
      </c>
      <c r="V71" s="239">
        <v>47</v>
      </c>
      <c r="W71" s="239">
        <v>76</v>
      </c>
      <c r="X71" s="239">
        <v>49</v>
      </c>
      <c r="Y71" s="239">
        <v>43</v>
      </c>
      <c r="Z71" s="239">
        <v>7</v>
      </c>
      <c r="AA71" s="257">
        <v>222</v>
      </c>
      <c r="AB71" s="224">
        <v>0.32191780821917809</v>
      </c>
      <c r="AC71" s="224">
        <v>0.34080717488789236</v>
      </c>
      <c r="AD71" s="224">
        <v>0.22580645161290322</v>
      </c>
      <c r="AE71" s="224">
        <v>0.25903614457831325</v>
      </c>
      <c r="AF71" s="224">
        <v>0.17073170731707318</v>
      </c>
      <c r="AG71" s="259">
        <v>0.27994955863808324</v>
      </c>
      <c r="AH71" s="261">
        <v>2.4444791179071097E-3</v>
      </c>
      <c r="AI71" s="261">
        <v>2.8169014084507044E-3</v>
      </c>
      <c r="AJ71" s="261">
        <v>2.2747319065967225E-3</v>
      </c>
      <c r="AK71" s="261">
        <v>2.3117036718455996E-3</v>
      </c>
      <c r="AL71" s="261">
        <v>1.4598540145985401E-3</v>
      </c>
      <c r="AM71" s="262">
        <v>2.4357061353462652E-3</v>
      </c>
    </row>
    <row r="72" spans="1:39" x14ac:dyDescent="0.25">
      <c r="A72" s="215" t="str">
        <v>7252-MBawarid</v>
      </c>
      <c r="B72" s="215" t="str">
        <v>JEDDAZIZ</v>
      </c>
      <c r="C72" s="215" t="str">
        <v>Ahlam Al Zahrani</v>
      </c>
      <c r="D72" s="239">
        <v>8257.2000000000007</v>
      </c>
      <c r="E72" s="239">
        <v>11403.130000000001</v>
      </c>
      <c r="F72" s="239">
        <v>5927.22</v>
      </c>
      <c r="G72" s="239">
        <v>3340.94</v>
      </c>
      <c r="H72" s="239">
        <v>1761.04</v>
      </c>
      <c r="I72" s="257">
        <v>30689.530000000002</v>
      </c>
      <c r="J72" s="240">
        <v>137.62</v>
      </c>
      <c r="K72" s="240">
        <v>144.34341772151899</v>
      </c>
      <c r="L72" s="240">
        <v>144.56634146341463</v>
      </c>
      <c r="M72" s="240">
        <v>151.8609090909091</v>
      </c>
      <c r="N72" s="240">
        <v>160.09454545454545</v>
      </c>
      <c r="O72" s="258">
        <v>144.08230046948358</v>
      </c>
      <c r="P72" s="224">
        <v>0.45684377671243109</v>
      </c>
      <c r="Q72" s="224">
        <v>0.38316325330555601</v>
      </c>
      <c r="R72" s="224">
        <v>0.18356396952957402</v>
      </c>
      <c r="S72" s="224">
        <v>0.15311527115088749</v>
      </c>
      <c r="T72" s="224">
        <v>0.25655354869162117</v>
      </c>
      <c r="U72" s="259">
        <v>0.28205056566755149</v>
      </c>
      <c r="V72" s="239">
        <v>60</v>
      </c>
      <c r="W72" s="239">
        <v>79</v>
      </c>
      <c r="X72" s="239">
        <v>41</v>
      </c>
      <c r="Y72" s="239">
        <v>22</v>
      </c>
      <c r="Z72" s="239">
        <v>11</v>
      </c>
      <c r="AA72" s="257">
        <v>213</v>
      </c>
      <c r="AB72" s="224">
        <v>0.41095890410958902</v>
      </c>
      <c r="AC72" s="224">
        <v>0.35426008968609868</v>
      </c>
      <c r="AD72" s="224">
        <v>0.1889400921658986</v>
      </c>
      <c r="AE72" s="224">
        <v>0.13253012048192772</v>
      </c>
      <c r="AF72" s="224">
        <v>0.26829268292682928</v>
      </c>
      <c r="AG72" s="259">
        <v>0.26860025220680961</v>
      </c>
      <c r="AH72" s="261">
        <v>3.1206116398814166E-3</v>
      </c>
      <c r="AI72" s="261">
        <v>2.928094885100074E-3</v>
      </c>
      <c r="AJ72" s="261">
        <v>1.9033471055197066E-3</v>
      </c>
      <c r="AK72" s="261">
        <v>1.1827321111768185E-3</v>
      </c>
      <c r="AL72" s="261">
        <v>2.2940563086548487E-3</v>
      </c>
      <c r="AM72" s="262">
        <v>2.3369612920214168E-3</v>
      </c>
    </row>
    <row r="73" spans="1:39" x14ac:dyDescent="0.25">
      <c r="A73" s="215" t="str">
        <v>4493-RAlghanem</v>
      </c>
      <c r="B73" s="215" t="str">
        <v>JEDDAZIZ</v>
      </c>
      <c r="C73" s="215" t="str">
        <v>Ahlam Al Zahrani</v>
      </c>
      <c r="D73" s="239">
        <v>3915.12</v>
      </c>
      <c r="E73" s="239">
        <v>6809.1500000000005</v>
      </c>
      <c r="F73" s="239">
        <v>7891.12</v>
      </c>
      <c r="G73" s="239">
        <v>6319.99</v>
      </c>
      <c r="H73" s="239">
        <v>1348.04</v>
      </c>
      <c r="I73" s="257">
        <v>26283.42</v>
      </c>
      <c r="J73" s="240">
        <v>100.3876923076923</v>
      </c>
      <c r="K73" s="240">
        <v>119.45877192982456</v>
      </c>
      <c r="L73" s="240">
        <v>136.05379310344827</v>
      </c>
      <c r="M73" s="240">
        <v>134.46787234042552</v>
      </c>
      <c r="N73" s="240">
        <v>149.78222222222223</v>
      </c>
      <c r="O73" s="258">
        <v>125.15914285714285</v>
      </c>
      <c r="P73" s="224">
        <v>0.21661074057578514</v>
      </c>
      <c r="Q73" s="224">
        <v>0.22879823927689386</v>
      </c>
      <c r="R73" s="224">
        <v>0.24438527863555123</v>
      </c>
      <c r="S73" s="224">
        <v>0.28964512458197317</v>
      </c>
      <c r="T73" s="224">
        <v>0.19638647945432983</v>
      </c>
      <c r="U73" s="259">
        <v>0.24155643565339172</v>
      </c>
      <c r="V73" s="239">
        <v>39</v>
      </c>
      <c r="W73" s="239">
        <v>57</v>
      </c>
      <c r="X73" s="239">
        <v>58</v>
      </c>
      <c r="Y73" s="239">
        <v>47</v>
      </c>
      <c r="Z73" s="239">
        <v>9</v>
      </c>
      <c r="AA73" s="257">
        <v>210</v>
      </c>
      <c r="AB73" s="224">
        <v>0.26712328767123289</v>
      </c>
      <c r="AC73" s="224">
        <v>0.2556053811659193</v>
      </c>
      <c r="AD73" s="224">
        <v>0.26728110599078342</v>
      </c>
      <c r="AE73" s="224">
        <v>0.28313253012048195</v>
      </c>
      <c r="AF73" s="224">
        <v>0.21951219512195122</v>
      </c>
      <c r="AG73" s="259">
        <v>0.26481715006305168</v>
      </c>
      <c r="AH73" s="261">
        <v>2.0283975659229209E-3</v>
      </c>
      <c r="AI73" s="261">
        <v>2.112676056338028E-3</v>
      </c>
      <c r="AJ73" s="261">
        <v>2.6925398078083656E-3</v>
      </c>
      <c r="AK73" s="261">
        <v>2.5267458738777483E-3</v>
      </c>
      <c r="AL73" s="261">
        <v>1.8769551616266945E-3</v>
      </c>
      <c r="AM73" s="262">
        <v>2.304046344246467E-3</v>
      </c>
    </row>
    <row r="74" spans="1:39" x14ac:dyDescent="0.25">
      <c r="A74" s="215" t="str">
        <v>5236-BTumayhi</v>
      </c>
      <c r="B74" s="215" t="str">
        <v>JEDDAZIZ</v>
      </c>
      <c r="C74" s="215" t="str">
        <v>Ahlam Al Zahrani</v>
      </c>
      <c r="D74" s="239">
        <v>0</v>
      </c>
      <c r="E74" s="239">
        <v>1347.05</v>
      </c>
      <c r="F74" s="239">
        <v>9851.19</v>
      </c>
      <c r="G74" s="239">
        <v>6555.95</v>
      </c>
      <c r="H74" s="239">
        <v>2531.06</v>
      </c>
      <c r="I74" s="257">
        <v>20285.25</v>
      </c>
      <c r="J74" s="240" t="str">
        <v/>
      </c>
      <c r="K74" s="240">
        <v>122.4590909090909</v>
      </c>
      <c r="L74" s="240">
        <v>142.7708695652174</v>
      </c>
      <c r="M74" s="240">
        <v>121.40648148148148</v>
      </c>
      <c r="N74" s="240">
        <v>180.79</v>
      </c>
      <c r="O74" s="258">
        <v>137.0625</v>
      </c>
      <c r="P74" s="224">
        <v>0</v>
      </c>
      <c r="Q74" s="224">
        <v>4.5263016414374753E-2</v>
      </c>
      <c r="R74" s="224">
        <v>0.30508797395575737</v>
      </c>
      <c r="S74" s="224">
        <v>0.30045917074286305</v>
      </c>
      <c r="T74" s="224">
        <v>0.36873235414948818</v>
      </c>
      <c r="U74" s="259">
        <v>0.18643055912578974</v>
      </c>
      <c r="V74" s="239">
        <v>0</v>
      </c>
      <c r="W74" s="239">
        <v>11</v>
      </c>
      <c r="X74" s="239">
        <v>69</v>
      </c>
      <c r="Y74" s="239">
        <v>54</v>
      </c>
      <c r="Z74" s="239">
        <v>14</v>
      </c>
      <c r="AA74" s="257">
        <v>148</v>
      </c>
      <c r="AB74" s="224">
        <v>0</v>
      </c>
      <c r="AC74" s="224">
        <v>4.9327354260089683E-2</v>
      </c>
      <c r="AD74" s="224">
        <v>0.31797235023041476</v>
      </c>
      <c r="AE74" s="224">
        <v>0.3253012048192771</v>
      </c>
      <c r="AF74" s="224">
        <v>0.34146341463414637</v>
      </c>
      <c r="AG74" s="259">
        <v>0.18663303909205547</v>
      </c>
      <c r="AH74" s="261">
        <v>0</v>
      </c>
      <c r="AI74" s="261">
        <v>4.0770941438102295E-4</v>
      </c>
      <c r="AJ74" s="261">
        <v>3.2031939092892624E-3</v>
      </c>
      <c r="AK74" s="261">
        <v>2.9030697274340087E-3</v>
      </c>
      <c r="AL74" s="261">
        <v>2.9197080291970801E-3</v>
      </c>
      <c r="AM74" s="262">
        <v>1.6238040902308436E-3</v>
      </c>
    </row>
    <row r="75" spans="1:39" x14ac:dyDescent="0.25">
      <c r="A75" s="215" t="str">
        <v>5398-MAkhaldi</v>
      </c>
      <c r="B75" s="215" t="str">
        <v>JEDDHAIFA</v>
      </c>
      <c r="C75" s="215" t="str">
        <v>Ahlam Al Zahrani</v>
      </c>
      <c r="D75" s="239">
        <v>8791.16</v>
      </c>
      <c r="E75" s="239">
        <v>10168.18</v>
      </c>
      <c r="F75" s="239">
        <v>9928.2199999999993</v>
      </c>
      <c r="G75" s="239">
        <v>17146.73</v>
      </c>
      <c r="H75" s="239">
        <v>5223.2700000000004</v>
      </c>
      <c r="I75" s="257">
        <v>51257.56</v>
      </c>
      <c r="J75" s="240">
        <v>144.11737704918033</v>
      </c>
      <c r="K75" s="240">
        <v>184.876</v>
      </c>
      <c r="L75" s="240">
        <v>180.51309090909089</v>
      </c>
      <c r="M75" s="240">
        <v>178.61177083333334</v>
      </c>
      <c r="N75" s="240">
        <v>186.54535714285717</v>
      </c>
      <c r="O75" s="258">
        <v>173.7544406779661</v>
      </c>
      <c r="P75" s="224">
        <v>0.37672982522299769</v>
      </c>
      <c r="Q75" s="224">
        <v>0.28555381097222776</v>
      </c>
      <c r="R75" s="224">
        <v>0.33729863347478856</v>
      </c>
      <c r="S75" s="224">
        <v>0.68824253555962378</v>
      </c>
      <c r="T75" s="224">
        <v>0.65608254933239551</v>
      </c>
      <c r="U75" s="259">
        <v>0.42272993281523491</v>
      </c>
      <c r="V75" s="239">
        <v>61</v>
      </c>
      <c r="W75" s="239">
        <v>55</v>
      </c>
      <c r="X75" s="239">
        <v>55</v>
      </c>
      <c r="Y75" s="239">
        <v>96</v>
      </c>
      <c r="Z75" s="239">
        <v>28</v>
      </c>
      <c r="AA75" s="257">
        <v>295</v>
      </c>
      <c r="AB75" s="224">
        <v>0.37654320987654322</v>
      </c>
      <c r="AC75" s="224">
        <v>0.26960784313725489</v>
      </c>
      <c r="AD75" s="224">
        <v>0.32544378698224852</v>
      </c>
      <c r="AE75" s="224">
        <v>0.65753424657534243</v>
      </c>
      <c r="AF75" s="224">
        <v>0.62222222222222223</v>
      </c>
      <c r="AG75" s="259">
        <v>0.40633608815426997</v>
      </c>
      <c r="AH75" s="261">
        <v>3.1726218338794404E-3</v>
      </c>
      <c r="AI75" s="261">
        <v>2.038547071905115E-3</v>
      </c>
      <c r="AJ75" s="261">
        <v>2.5532705074044846E-3</v>
      </c>
      <c r="AK75" s="261">
        <v>5.1610128487715717E-3</v>
      </c>
      <c r="AL75" s="261">
        <v>5.8394160583941602E-3</v>
      </c>
      <c r="AM75" s="262">
        <v>3.2366365312033706E-3</v>
      </c>
    </row>
    <row r="76" spans="1:39" x14ac:dyDescent="0.25">
      <c r="A76" s="215" t="str">
        <v>4628-RAlghamdi</v>
      </c>
      <c r="B76" s="215" t="str">
        <v>JEDDHAIFA</v>
      </c>
      <c r="C76" s="215" t="str">
        <v>Ahlam Al Zahrani</v>
      </c>
      <c r="D76" s="239">
        <v>8085.15</v>
      </c>
      <c r="E76" s="239">
        <v>12703.230000000001</v>
      </c>
      <c r="F76" s="239">
        <v>12842.180000000002</v>
      </c>
      <c r="G76" s="239">
        <v>2600.0500000000002</v>
      </c>
      <c r="H76" s="239">
        <v>0</v>
      </c>
      <c r="I76" s="257">
        <v>36230.610000000008</v>
      </c>
      <c r="J76" s="240">
        <v>149.72499999999999</v>
      </c>
      <c r="K76" s="240">
        <v>178.91873239436623</v>
      </c>
      <c r="L76" s="240">
        <v>186.11855072463771</v>
      </c>
      <c r="M76" s="240">
        <v>136.84473684210528</v>
      </c>
      <c r="N76" s="240" t="str">
        <v/>
      </c>
      <c r="O76" s="258">
        <v>170.09676056338031</v>
      </c>
      <c r="P76" s="224">
        <v>0.3464749983394364</v>
      </c>
      <c r="Q76" s="224">
        <v>0.3567458225716631</v>
      </c>
      <c r="R76" s="224">
        <v>0.43629671429896411</v>
      </c>
      <c r="S76" s="224">
        <v>0.1043618815122067</v>
      </c>
      <c r="T76" s="224">
        <v>0</v>
      </c>
      <c r="U76" s="259">
        <v>0.29880008590254747</v>
      </c>
      <c r="V76" s="239">
        <v>54</v>
      </c>
      <c r="W76" s="239">
        <v>71</v>
      </c>
      <c r="X76" s="239">
        <v>69</v>
      </c>
      <c r="Y76" s="239">
        <v>19</v>
      </c>
      <c r="Z76" s="239">
        <v>0</v>
      </c>
      <c r="AA76" s="257">
        <v>213</v>
      </c>
      <c r="AB76" s="224">
        <v>0.33333333333333331</v>
      </c>
      <c r="AC76" s="224">
        <v>0.34803921568627449</v>
      </c>
      <c r="AD76" s="224">
        <v>0.40828402366863903</v>
      </c>
      <c r="AE76" s="224">
        <v>0.13013698630136986</v>
      </c>
      <c r="AF76" s="224">
        <v>0</v>
      </c>
      <c r="AG76" s="259">
        <v>0.29338842975206614</v>
      </c>
      <c r="AH76" s="261">
        <v>2.8085504758932752E-3</v>
      </c>
      <c r="AI76" s="261">
        <v>2.631578947368421E-3</v>
      </c>
      <c r="AJ76" s="261">
        <v>3.2031939092892624E-3</v>
      </c>
      <c r="AK76" s="261">
        <v>1.0214504596527069E-3</v>
      </c>
      <c r="AL76" s="261">
        <v>0</v>
      </c>
      <c r="AM76" s="262">
        <v>2.3369612920214168E-3</v>
      </c>
    </row>
    <row r="77" spans="1:39" x14ac:dyDescent="0.25">
      <c r="A77" s="215" t="str">
        <v>7133-FKhuzaee</v>
      </c>
      <c r="B77" s="215" t="str">
        <v>JEDDHAIFA</v>
      </c>
      <c r="C77" s="215" t="str">
        <v>Ahlam Al Zahrani</v>
      </c>
      <c r="D77" s="239">
        <v>6459.1399999999994</v>
      </c>
      <c r="E77" s="239">
        <v>12737.220000000001</v>
      </c>
      <c r="F77" s="239">
        <v>6664.11</v>
      </c>
      <c r="G77" s="239">
        <v>5167.01</v>
      </c>
      <c r="H77" s="239">
        <v>2738.0299999999997</v>
      </c>
      <c r="I77" s="257">
        <v>33765.51</v>
      </c>
      <c r="J77" s="240">
        <v>137.42851063829787</v>
      </c>
      <c r="K77" s="240">
        <v>163.29769230769233</v>
      </c>
      <c r="L77" s="240">
        <v>148.09133333333332</v>
      </c>
      <c r="M77" s="240">
        <v>166.67774193548388</v>
      </c>
      <c r="N77" s="240">
        <v>161.06058823529409</v>
      </c>
      <c r="O77" s="258">
        <v>154.88766055045872</v>
      </c>
      <c r="P77" s="224">
        <v>0.27679517643756602</v>
      </c>
      <c r="Q77" s="224">
        <v>0.35770036645610909</v>
      </c>
      <c r="R77" s="224">
        <v>0.22640465222624734</v>
      </c>
      <c r="S77" s="224">
        <v>0.20739558292816951</v>
      </c>
      <c r="T77" s="224">
        <v>0.34391745066760449</v>
      </c>
      <c r="U77" s="259">
        <v>0.27846998128221756</v>
      </c>
      <c r="V77" s="239">
        <v>47</v>
      </c>
      <c r="W77" s="239">
        <v>78</v>
      </c>
      <c r="X77" s="239">
        <v>45</v>
      </c>
      <c r="Y77" s="239">
        <v>31</v>
      </c>
      <c r="Z77" s="239">
        <v>17</v>
      </c>
      <c r="AA77" s="257">
        <v>218</v>
      </c>
      <c r="AB77" s="224">
        <v>0.29012345679012347</v>
      </c>
      <c r="AC77" s="224">
        <v>0.38235294117647056</v>
      </c>
      <c r="AD77" s="224">
        <v>0.26627218934911245</v>
      </c>
      <c r="AE77" s="224">
        <v>0.21232876712328766</v>
      </c>
      <c r="AF77" s="224">
        <v>0.37777777777777777</v>
      </c>
      <c r="AG77" s="259">
        <v>0.30027548209366389</v>
      </c>
      <c r="AH77" s="261">
        <v>2.4444791179071097E-3</v>
      </c>
      <c r="AI77" s="261">
        <v>2.8910303928836173E-3</v>
      </c>
      <c r="AJ77" s="261">
        <v>2.0890395060582144E-3</v>
      </c>
      <c r="AK77" s="261">
        <v>1.6665770657491533E-3</v>
      </c>
      <c r="AL77" s="261">
        <v>3.545359749739312E-3</v>
      </c>
      <c r="AM77" s="262">
        <v>2.3918195383129991E-3</v>
      </c>
    </row>
    <row r="78" spans="1:39" x14ac:dyDescent="0.25">
      <c r="A78" s="215" t="str">
        <v>6943-STulbah</v>
      </c>
      <c r="B78" s="215" t="str">
        <v>JEDDPARK</v>
      </c>
      <c r="C78" s="215" t="str">
        <v>Ahlam Al Zahrani</v>
      </c>
      <c r="D78" s="239">
        <v>15091.269999999999</v>
      </c>
      <c r="E78" s="239">
        <v>21169.360000000001</v>
      </c>
      <c r="F78" s="239">
        <v>27158.55</v>
      </c>
      <c r="G78" s="239">
        <v>13821.67</v>
      </c>
      <c r="H78" s="239">
        <v>5102.0599999999995</v>
      </c>
      <c r="I78" s="257">
        <v>82342.909999999989</v>
      </c>
      <c r="J78" s="240">
        <v>145.10836538461538</v>
      </c>
      <c r="K78" s="240">
        <v>154.52087591240877</v>
      </c>
      <c r="L78" s="240">
        <v>142.93973684210525</v>
      </c>
      <c r="M78" s="240">
        <v>145.49126315789474</v>
      </c>
      <c r="N78" s="240">
        <v>268.52947368421047</v>
      </c>
      <c r="O78" s="258">
        <v>151.08790825688072</v>
      </c>
      <c r="P78" s="224">
        <v>0.39204529365722013</v>
      </c>
      <c r="Q78" s="224">
        <v>0.33478326121648766</v>
      </c>
      <c r="R78" s="224">
        <v>0.51879777669147897</v>
      </c>
      <c r="S78" s="224">
        <v>0.27718067911088295</v>
      </c>
      <c r="T78" s="224">
        <v>0.48346368948009782</v>
      </c>
      <c r="U78" s="259">
        <v>0.38389364330678227</v>
      </c>
      <c r="V78" s="239">
        <v>104</v>
      </c>
      <c r="W78" s="239">
        <v>137</v>
      </c>
      <c r="X78" s="239">
        <v>190</v>
      </c>
      <c r="Y78" s="239">
        <v>95</v>
      </c>
      <c r="Z78" s="239">
        <v>19</v>
      </c>
      <c r="AA78" s="257">
        <v>545</v>
      </c>
      <c r="AB78" s="224">
        <v>0.32298136645962733</v>
      </c>
      <c r="AC78" s="224">
        <v>0.32775119617224879</v>
      </c>
      <c r="AD78" s="224">
        <v>0.5337078651685393</v>
      </c>
      <c r="AE78" s="224">
        <v>0.29051987767584098</v>
      </c>
      <c r="AF78" s="224">
        <v>0.31147540983606559</v>
      </c>
      <c r="AG78" s="259">
        <v>0.36725067385444743</v>
      </c>
      <c r="AH78" s="261">
        <v>5.4090601757944556E-3</v>
      </c>
      <c r="AI78" s="261">
        <v>5.0778354336545586E-3</v>
      </c>
      <c r="AJ78" s="261">
        <v>8.8203890255791288E-3</v>
      </c>
      <c r="AK78" s="261">
        <v>5.1072522982635342E-3</v>
      </c>
      <c r="AL78" s="261">
        <v>3.962460896767466E-3</v>
      </c>
      <c r="AM78" s="262">
        <v>5.9795488457824982E-3</v>
      </c>
    </row>
    <row r="79" spans="1:39" x14ac:dyDescent="0.25">
      <c r="A79" s="215" t="str">
        <v>7214-HSadiq</v>
      </c>
      <c r="B79" s="215" t="str">
        <v>JEDDPARK</v>
      </c>
      <c r="C79" s="215" t="str">
        <v>Ahlam Al Zahrani</v>
      </c>
      <c r="D79" s="239">
        <v>0</v>
      </c>
      <c r="E79" s="239">
        <v>10706.1</v>
      </c>
      <c r="F79" s="239">
        <v>18232.420000000002</v>
      </c>
      <c r="G79" s="239">
        <v>17229.72</v>
      </c>
      <c r="H79" s="239">
        <v>2421.15</v>
      </c>
      <c r="I79" s="257">
        <v>48589.390000000007</v>
      </c>
      <c r="J79" s="240" t="str">
        <v/>
      </c>
      <c r="K79" s="240">
        <v>159.79253731343283</v>
      </c>
      <c r="L79" s="240">
        <v>149.44606557377051</v>
      </c>
      <c r="M79" s="240">
        <v>162.5445283018868</v>
      </c>
      <c r="N79" s="240">
        <v>134.50833333333333</v>
      </c>
      <c r="O79" s="258">
        <v>155.23766773162941</v>
      </c>
      <c r="P79" s="224">
        <v>0</v>
      </c>
      <c r="Q79" s="224">
        <v>0.16931182959285679</v>
      </c>
      <c r="R79" s="224">
        <v>0.34828586061130867</v>
      </c>
      <c r="S79" s="224">
        <v>0.34552593792865571</v>
      </c>
      <c r="T79" s="224">
        <v>0.22942460727328551</v>
      </c>
      <c r="U79" s="259">
        <v>0.22653022528781333</v>
      </c>
      <c r="V79" s="239">
        <v>0</v>
      </c>
      <c r="W79" s="239">
        <v>67</v>
      </c>
      <c r="X79" s="239">
        <v>122</v>
      </c>
      <c r="Y79" s="239">
        <v>106</v>
      </c>
      <c r="Z79" s="239">
        <v>18</v>
      </c>
      <c r="AA79" s="257">
        <v>313</v>
      </c>
      <c r="AB79" s="224">
        <v>0</v>
      </c>
      <c r="AC79" s="224">
        <v>0.16028708133971292</v>
      </c>
      <c r="AD79" s="224">
        <v>0.34269662921348315</v>
      </c>
      <c r="AE79" s="224">
        <v>0.32415902140672781</v>
      </c>
      <c r="AF79" s="224">
        <v>0.29508196721311475</v>
      </c>
      <c r="AG79" s="259">
        <v>0.21091644204851753</v>
      </c>
      <c r="AH79" s="261">
        <v>0</v>
      </c>
      <c r="AI79" s="261">
        <v>2.4833209785025947E-3</v>
      </c>
      <c r="AJ79" s="261">
        <v>5.6636182164244925E-3</v>
      </c>
      <c r="AK79" s="261">
        <v>5.6986183538519433E-3</v>
      </c>
      <c r="AL79" s="261">
        <v>3.753910323253389E-3</v>
      </c>
      <c r="AM79" s="262">
        <v>3.4341262178530676E-3</v>
      </c>
    </row>
    <row r="80" spans="1:39" x14ac:dyDescent="0.25">
      <c r="A80" s="215" t="str">
        <v>4309-NAlmuolad</v>
      </c>
      <c r="B80" s="215" t="str">
        <v>JEDDPARK</v>
      </c>
      <c r="C80" s="215" t="str">
        <v>Ahlam Al Zahrani</v>
      </c>
      <c r="D80" s="239">
        <v>10560.24</v>
      </c>
      <c r="E80" s="239">
        <v>19114.39</v>
      </c>
      <c r="F80" s="239">
        <v>0</v>
      </c>
      <c r="G80" s="239">
        <v>12392.829999999998</v>
      </c>
      <c r="H80" s="239">
        <v>1401.01</v>
      </c>
      <c r="I80" s="257">
        <v>43468.469999999994</v>
      </c>
      <c r="J80" s="240">
        <v>111.16042105263158</v>
      </c>
      <c r="K80" s="240">
        <v>137.51359712230214</v>
      </c>
      <c r="L80" s="240" t="str">
        <v/>
      </c>
      <c r="M80" s="240">
        <v>158.88243589743587</v>
      </c>
      <c r="N80" s="240">
        <v>155.66777777777779</v>
      </c>
      <c r="O80" s="258">
        <v>135.41579439252334</v>
      </c>
      <c r="P80" s="224">
        <v>0.2743369108027835</v>
      </c>
      <c r="Q80" s="224">
        <v>0.30228489762391586</v>
      </c>
      <c r="R80" s="224">
        <v>0</v>
      </c>
      <c r="S80" s="224">
        <v>0.24852662778851783</v>
      </c>
      <c r="T80" s="224">
        <v>0.13275764369656803</v>
      </c>
      <c r="U80" s="259">
        <v>0.20265581234949756</v>
      </c>
      <c r="V80" s="239">
        <v>95</v>
      </c>
      <c r="W80" s="239">
        <v>139</v>
      </c>
      <c r="X80" s="239">
        <v>0</v>
      </c>
      <c r="Y80" s="239">
        <v>78</v>
      </c>
      <c r="Z80" s="239">
        <v>9</v>
      </c>
      <c r="AA80" s="257">
        <v>321</v>
      </c>
      <c r="AB80" s="224">
        <v>0.29503105590062112</v>
      </c>
      <c r="AC80" s="224">
        <v>0.33253588516746413</v>
      </c>
      <c r="AD80" s="224">
        <v>0</v>
      </c>
      <c r="AE80" s="224">
        <v>0.23853211009174313</v>
      </c>
      <c r="AF80" s="224">
        <v>0.14754098360655737</v>
      </c>
      <c r="AG80" s="259">
        <v>0.21630727762803234</v>
      </c>
      <c r="AH80" s="261">
        <v>4.9409684298122435E-3</v>
      </c>
      <c r="AI80" s="261">
        <v>5.151964418087472E-3</v>
      </c>
      <c r="AJ80" s="261">
        <v>0</v>
      </c>
      <c r="AK80" s="261">
        <v>4.1933229396269017E-3</v>
      </c>
      <c r="AL80" s="261">
        <v>1.8769551616266945E-3</v>
      </c>
      <c r="AM80" s="262">
        <v>3.5218994119195998E-3</v>
      </c>
    </row>
    <row r="81" spans="1:39" x14ac:dyDescent="0.25">
      <c r="A81" s="215" t="str">
        <v>5589-RAobidy</v>
      </c>
      <c r="B81" s="215" t="str">
        <v>JEDDPARK</v>
      </c>
      <c r="C81" s="215" t="str">
        <v>Ahlam Al Zahrani</v>
      </c>
      <c r="D81" s="239">
        <v>2790.02</v>
      </c>
      <c r="E81" s="239">
        <v>9611.1299999999992</v>
      </c>
      <c r="F81" s="239">
        <v>6958.04</v>
      </c>
      <c r="G81" s="239">
        <v>6420.9800000000005</v>
      </c>
      <c r="H81" s="239">
        <v>1628.92</v>
      </c>
      <c r="I81" s="257">
        <v>27409.089999999997</v>
      </c>
      <c r="J81" s="240">
        <v>111.60079999999999</v>
      </c>
      <c r="K81" s="240">
        <v>168.61631578947367</v>
      </c>
      <c r="L81" s="240">
        <v>158.13727272727272</v>
      </c>
      <c r="M81" s="240">
        <v>133.77041666666668</v>
      </c>
      <c r="N81" s="240">
        <v>108.59466666666667</v>
      </c>
      <c r="O81" s="258">
        <v>145.0216402116402</v>
      </c>
      <c r="P81" s="224">
        <v>7.2479931126374214E-2</v>
      </c>
      <c r="Q81" s="224">
        <v>0.15199540493314964</v>
      </c>
      <c r="R81" s="224">
        <v>0.13291636269721244</v>
      </c>
      <c r="S81" s="224">
        <v>0.12876675517194358</v>
      </c>
      <c r="T81" s="224">
        <v>0.15435405955004863</v>
      </c>
      <c r="U81" s="259">
        <v>0.12778483806102423</v>
      </c>
      <c r="V81" s="239">
        <v>25</v>
      </c>
      <c r="W81" s="239">
        <v>57</v>
      </c>
      <c r="X81" s="239">
        <v>44</v>
      </c>
      <c r="Y81" s="239">
        <v>48</v>
      </c>
      <c r="Z81" s="239">
        <v>15</v>
      </c>
      <c r="AA81" s="257">
        <v>189</v>
      </c>
      <c r="AB81" s="224">
        <v>7.7639751552795025E-2</v>
      </c>
      <c r="AC81" s="224">
        <v>0.13636363636363635</v>
      </c>
      <c r="AD81" s="224">
        <v>0.12359550561797752</v>
      </c>
      <c r="AE81" s="224">
        <v>0.14678899082568808</v>
      </c>
      <c r="AF81" s="224">
        <v>0.24590163934426229</v>
      </c>
      <c r="AG81" s="259">
        <v>0.12735849056603774</v>
      </c>
      <c r="AH81" s="261">
        <v>1.3002548499505904E-3</v>
      </c>
      <c r="AI81" s="261">
        <v>2.112676056338028E-3</v>
      </c>
      <c r="AJ81" s="261">
        <v>2.0426164059235874E-3</v>
      </c>
      <c r="AK81" s="261">
        <v>2.5805064243857858E-3</v>
      </c>
      <c r="AL81" s="261">
        <v>3.1282586027111575E-3</v>
      </c>
      <c r="AM81" s="262">
        <v>2.0736417098218204E-3</v>
      </c>
    </row>
    <row r="82" spans="1:39" x14ac:dyDescent="0.25">
      <c r="A82" s="215" t="str">
        <v>5561-FZaki</v>
      </c>
      <c r="B82" s="215" t="str">
        <v>JEDDPARK</v>
      </c>
      <c r="C82" s="215" t="str">
        <v>Ahlam Al Zahrani</v>
      </c>
      <c r="D82" s="239">
        <v>9785.16</v>
      </c>
      <c r="E82" s="239">
        <v>2482.0500000000002</v>
      </c>
      <c r="F82" s="239">
        <v>0</v>
      </c>
      <c r="G82" s="239">
        <v>0</v>
      </c>
      <c r="H82" s="239">
        <v>0</v>
      </c>
      <c r="I82" s="257">
        <v>12267.21</v>
      </c>
      <c r="J82" s="240">
        <v>103.00168421052632</v>
      </c>
      <c r="K82" s="240">
        <v>146.00294117647059</v>
      </c>
      <c r="L82" s="240" t="str">
        <v/>
      </c>
      <c r="M82" s="240" t="str">
        <v/>
      </c>
      <c r="N82" s="240" t="str">
        <v/>
      </c>
      <c r="O82" s="258">
        <v>109.52866071428571</v>
      </c>
      <c r="P82" s="224">
        <v>0.25420166266211419</v>
      </c>
      <c r="Q82" s="224">
        <v>3.9252428675329971E-2</v>
      </c>
      <c r="R82" s="224">
        <v>0</v>
      </c>
      <c r="S82" s="224">
        <v>0</v>
      </c>
      <c r="T82" s="224">
        <v>0</v>
      </c>
      <c r="U82" s="259">
        <v>5.7191371304577319E-2</v>
      </c>
      <c r="V82" s="239">
        <v>95</v>
      </c>
      <c r="W82" s="239">
        <v>17</v>
      </c>
      <c r="X82" s="239">
        <v>0</v>
      </c>
      <c r="Y82" s="239">
        <v>0</v>
      </c>
      <c r="Z82" s="239">
        <v>0</v>
      </c>
      <c r="AA82" s="257">
        <v>112</v>
      </c>
      <c r="AB82" s="224">
        <v>0.29503105590062112</v>
      </c>
      <c r="AC82" s="224">
        <v>4.0669856459330141E-2</v>
      </c>
      <c r="AD82" s="224">
        <v>0</v>
      </c>
      <c r="AE82" s="224">
        <v>0</v>
      </c>
      <c r="AF82" s="224">
        <v>0</v>
      </c>
      <c r="AG82" s="259">
        <v>7.5471698113207544E-2</v>
      </c>
      <c r="AH82" s="261">
        <v>4.9409684298122435E-3</v>
      </c>
      <c r="AI82" s="261">
        <v>6.3009636767976274E-4</v>
      </c>
      <c r="AJ82" s="261">
        <v>0</v>
      </c>
      <c r="AK82" s="261">
        <v>0</v>
      </c>
      <c r="AL82" s="261">
        <v>0</v>
      </c>
      <c r="AM82" s="262">
        <v>1.2288247169314492E-3</v>
      </c>
    </row>
    <row r="83" spans="1:39" x14ac:dyDescent="0.25">
      <c r="A83" s="215" t="str">
        <v>5320-MAlnashri</v>
      </c>
      <c r="B83" s="215" t="str">
        <v>JEDDPARK</v>
      </c>
      <c r="C83" s="215" t="str">
        <v>Ahlam Al Zahrani</v>
      </c>
      <c r="D83" s="239">
        <v>267</v>
      </c>
      <c r="E83" s="239">
        <v>0</v>
      </c>
      <c r="F83" s="239">
        <v>0</v>
      </c>
      <c r="G83" s="239">
        <v>0</v>
      </c>
      <c r="H83" s="239">
        <v>0</v>
      </c>
      <c r="I83" s="257">
        <v>267</v>
      </c>
      <c r="J83" s="240">
        <v>89</v>
      </c>
      <c r="K83" s="240" t="str">
        <v/>
      </c>
      <c r="L83" s="240" t="str">
        <v/>
      </c>
      <c r="M83" s="240" t="str">
        <v/>
      </c>
      <c r="N83" s="240" t="str">
        <v/>
      </c>
      <c r="O83" s="258">
        <v>89</v>
      </c>
      <c r="P83" s="224">
        <v>6.9362017515078441E-3</v>
      </c>
      <c r="Q83" s="224">
        <v>0</v>
      </c>
      <c r="R83" s="224">
        <v>0</v>
      </c>
      <c r="S83" s="224">
        <v>0</v>
      </c>
      <c r="T83" s="224">
        <v>0</v>
      </c>
      <c r="U83" s="259">
        <v>1.2447896578213094E-3</v>
      </c>
      <c r="V83" s="239">
        <v>3</v>
      </c>
      <c r="W83" s="239">
        <v>0</v>
      </c>
      <c r="X83" s="239">
        <v>0</v>
      </c>
      <c r="Y83" s="239">
        <v>0</v>
      </c>
      <c r="Z83" s="239">
        <v>0</v>
      </c>
      <c r="AA83" s="257">
        <v>3</v>
      </c>
      <c r="AB83" s="224">
        <v>9.316770186335404E-3</v>
      </c>
      <c r="AC83" s="224">
        <v>0</v>
      </c>
      <c r="AD83" s="224">
        <v>0</v>
      </c>
      <c r="AE83" s="224">
        <v>0</v>
      </c>
      <c r="AF83" s="224">
        <v>0</v>
      </c>
      <c r="AG83" s="259">
        <v>2.0215633423180594E-3</v>
      </c>
      <c r="AH83" s="261">
        <v>1.5603058199407084E-4</v>
      </c>
      <c r="AI83" s="261">
        <v>0</v>
      </c>
      <c r="AJ83" s="261">
        <v>0</v>
      </c>
      <c r="AK83" s="261">
        <v>0</v>
      </c>
      <c r="AL83" s="261">
        <v>0</v>
      </c>
      <c r="AM83" s="262">
        <v>3.2914947774949529E-5</v>
      </c>
    </row>
    <row r="84" spans="1:39" x14ac:dyDescent="0.25">
      <c r="A84" s="215" t="str">
        <v>7217-SFulfulan</v>
      </c>
      <c r="B84" s="215" t="str">
        <v>JEDDPARK</v>
      </c>
      <c r="C84" s="215" t="str">
        <v>Ahlam Al Zahrani</v>
      </c>
      <c r="D84" s="239">
        <v>0</v>
      </c>
      <c r="E84" s="239">
        <v>150</v>
      </c>
      <c r="F84" s="239">
        <v>0</v>
      </c>
      <c r="G84" s="239">
        <v>0</v>
      </c>
      <c r="H84" s="239">
        <v>0</v>
      </c>
      <c r="I84" s="257">
        <v>150</v>
      </c>
      <c r="J84" s="240" t="str">
        <v/>
      </c>
      <c r="K84" s="240">
        <v>150</v>
      </c>
      <c r="L84" s="240" t="str">
        <v/>
      </c>
      <c r="M84" s="240" t="str">
        <v/>
      </c>
      <c r="N84" s="240" t="str">
        <v/>
      </c>
      <c r="O84" s="258">
        <v>150</v>
      </c>
      <c r="P84" s="224">
        <v>0</v>
      </c>
      <c r="Q84" s="224">
        <v>2.3721779582601054E-3</v>
      </c>
      <c r="R84" s="224">
        <v>0</v>
      </c>
      <c r="S84" s="224">
        <v>0</v>
      </c>
      <c r="T84" s="224">
        <v>0</v>
      </c>
      <c r="U84" s="259">
        <v>6.9932003248388171E-4</v>
      </c>
      <c r="V84" s="239">
        <v>0</v>
      </c>
      <c r="W84" s="239">
        <v>1</v>
      </c>
      <c r="X84" s="239">
        <v>0</v>
      </c>
      <c r="Y84" s="239">
        <v>0</v>
      </c>
      <c r="Z84" s="239">
        <v>0</v>
      </c>
      <c r="AA84" s="257">
        <v>1</v>
      </c>
      <c r="AB84" s="224">
        <v>0</v>
      </c>
      <c r="AC84" s="224">
        <v>2.3923444976076554E-3</v>
      </c>
      <c r="AD84" s="224">
        <v>0</v>
      </c>
      <c r="AE84" s="224">
        <v>0</v>
      </c>
      <c r="AF84" s="224">
        <v>0</v>
      </c>
      <c r="AG84" s="259">
        <v>6.7385444743935314E-4</v>
      </c>
      <c r="AH84" s="261">
        <v>0</v>
      </c>
      <c r="AI84" s="261">
        <v>3.7064492216456636E-5</v>
      </c>
      <c r="AJ84" s="261">
        <v>0</v>
      </c>
      <c r="AK84" s="261">
        <v>0</v>
      </c>
      <c r="AL84" s="261">
        <v>0</v>
      </c>
      <c r="AM84" s="262">
        <v>1.097164925831651E-5</v>
      </c>
    </row>
    <row r="85" spans="1:39" x14ac:dyDescent="0.25">
      <c r="A85" s="215" t="str">
        <v>7043-SJizani</v>
      </c>
      <c r="B85" s="215" t="str">
        <v>JEDDSALAM</v>
      </c>
      <c r="C85" s="215" t="str">
        <v>Ahlam Al Zahrani</v>
      </c>
      <c r="D85" s="239">
        <v>2802.08</v>
      </c>
      <c r="E85" s="239">
        <v>13510.24</v>
      </c>
      <c r="F85" s="239">
        <v>5653.13</v>
      </c>
      <c r="G85" s="239">
        <v>5075.8500000000004</v>
      </c>
      <c r="H85" s="239">
        <v>285.98</v>
      </c>
      <c r="I85" s="257">
        <v>27327.280000000002</v>
      </c>
      <c r="J85" s="240">
        <v>116.75333333333333</v>
      </c>
      <c r="K85" s="240">
        <v>182.5708108108108</v>
      </c>
      <c r="L85" s="240">
        <v>157.0313888888889</v>
      </c>
      <c r="M85" s="240">
        <v>175.02931034482759</v>
      </c>
      <c r="N85" s="240">
        <v>142.99</v>
      </c>
      <c r="O85" s="258">
        <v>165.6198787878788</v>
      </c>
      <c r="P85" s="224">
        <v>0.17883626992145343</v>
      </c>
      <c r="Q85" s="224">
        <v>0.57540749498603672</v>
      </c>
      <c r="R85" s="224">
        <v>0.31570567503223718</v>
      </c>
      <c r="S85" s="224">
        <v>0.35045015810767893</v>
      </c>
      <c r="T85" s="224">
        <v>4.2434611258422607E-2</v>
      </c>
      <c r="U85" s="259">
        <v>0.34910870689426104</v>
      </c>
      <c r="V85" s="239">
        <v>24</v>
      </c>
      <c r="W85" s="239">
        <v>74</v>
      </c>
      <c r="X85" s="239">
        <v>36</v>
      </c>
      <c r="Y85" s="239">
        <v>29</v>
      </c>
      <c r="Z85" s="239">
        <v>2</v>
      </c>
      <c r="AA85" s="257">
        <v>165</v>
      </c>
      <c r="AB85" s="224">
        <v>0.20512820512820512</v>
      </c>
      <c r="AC85" s="224">
        <v>0.48684210526315791</v>
      </c>
      <c r="AD85" s="224">
        <v>0.29268292682926828</v>
      </c>
      <c r="AE85" s="224">
        <v>0.32222222222222224</v>
      </c>
      <c r="AF85" s="224">
        <v>5.128205128205128E-2</v>
      </c>
      <c r="AG85" s="259">
        <v>0.31669865642994244</v>
      </c>
      <c r="AH85" s="261">
        <v>1.2482446559525667E-3</v>
      </c>
      <c r="AI85" s="261">
        <v>2.742772424017791E-3</v>
      </c>
      <c r="AJ85" s="261">
        <v>1.6712316048465717E-3</v>
      </c>
      <c r="AK85" s="261">
        <v>1.559055964733079E-3</v>
      </c>
      <c r="AL85" s="261">
        <v>4.1710114702815432E-4</v>
      </c>
      <c r="AM85" s="262">
        <v>1.8103221276222243E-3</v>
      </c>
    </row>
    <row r="86" spans="1:39" x14ac:dyDescent="0.25">
      <c r="A86" s="215" t="str">
        <v>6134-HAlzahrani</v>
      </c>
      <c r="B86" s="215" t="str">
        <v>JEDDSALAM</v>
      </c>
      <c r="C86" s="215" t="str">
        <v>Ahlam Al Zahrani</v>
      </c>
      <c r="D86" s="239">
        <v>4445.09</v>
      </c>
      <c r="E86" s="239">
        <v>3713.09</v>
      </c>
      <c r="F86" s="239">
        <v>4708.05</v>
      </c>
      <c r="G86" s="239">
        <v>2861.94</v>
      </c>
      <c r="H86" s="239">
        <v>3954.22</v>
      </c>
      <c r="I86" s="257">
        <v>19682.39</v>
      </c>
      <c r="J86" s="240">
        <v>211.6709523809524</v>
      </c>
      <c r="K86" s="240">
        <v>116.0340625</v>
      </c>
      <c r="L86" s="240">
        <v>127.2445945945946</v>
      </c>
      <c r="M86" s="240">
        <v>130.08818181818182</v>
      </c>
      <c r="N86" s="240">
        <v>197.71099999999998</v>
      </c>
      <c r="O86" s="258">
        <v>149.10901515151514</v>
      </c>
      <c r="P86" s="224">
        <v>0.28369758003524292</v>
      </c>
      <c r="Q86" s="224">
        <v>0.15814225473105609</v>
      </c>
      <c r="R86" s="224">
        <v>0.26292657401041974</v>
      </c>
      <c r="S86" s="224">
        <v>0.19759593476849996</v>
      </c>
      <c r="T86" s="224">
        <v>0.58673959203538639</v>
      </c>
      <c r="U86" s="259">
        <v>0.25144448044183448</v>
      </c>
      <c r="V86" s="239">
        <v>21</v>
      </c>
      <c r="W86" s="239">
        <v>32</v>
      </c>
      <c r="X86" s="239">
        <v>37</v>
      </c>
      <c r="Y86" s="239">
        <v>22</v>
      </c>
      <c r="Z86" s="239">
        <v>20</v>
      </c>
      <c r="AA86" s="257">
        <v>132</v>
      </c>
      <c r="AB86" s="224">
        <v>0.17948717948717949</v>
      </c>
      <c r="AC86" s="224">
        <v>0.21052631578947367</v>
      </c>
      <c r="AD86" s="224">
        <v>0.30081300813008133</v>
      </c>
      <c r="AE86" s="224">
        <v>0.24444444444444444</v>
      </c>
      <c r="AF86" s="224">
        <v>0.51282051282051277</v>
      </c>
      <c r="AG86" s="259">
        <v>0.25335892514395392</v>
      </c>
      <c r="AH86" s="261">
        <v>1.0922140739584958E-3</v>
      </c>
      <c r="AI86" s="261">
        <v>1.1860637509266123E-3</v>
      </c>
      <c r="AJ86" s="261">
        <v>1.7176547049811987E-3</v>
      </c>
      <c r="AK86" s="261">
        <v>1.1827321111768185E-3</v>
      </c>
      <c r="AL86" s="261">
        <v>4.1710114702815434E-3</v>
      </c>
      <c r="AM86" s="262">
        <v>1.4482577020977793E-3</v>
      </c>
    </row>
    <row r="87" spans="1:39" x14ac:dyDescent="0.25">
      <c r="A87" s="215" t="str">
        <v>3251-MAlmalki</v>
      </c>
      <c r="B87" s="215" t="str">
        <v>JEDDSALAM</v>
      </c>
      <c r="C87" s="215" t="str">
        <v>Ahlam Al Zahrani</v>
      </c>
      <c r="D87" s="239">
        <v>5338.1299999999992</v>
      </c>
      <c r="E87" s="239">
        <v>3013.0699999999997</v>
      </c>
      <c r="F87" s="239">
        <v>3688.09</v>
      </c>
      <c r="G87" s="239">
        <v>4604.0200000000004</v>
      </c>
      <c r="H87" s="239">
        <v>1144.0899999999999</v>
      </c>
      <c r="I87" s="257">
        <v>17787.399999999998</v>
      </c>
      <c r="J87" s="240">
        <v>116.04630434782607</v>
      </c>
      <c r="K87" s="240">
        <v>177.23941176470586</v>
      </c>
      <c r="L87" s="240">
        <v>153.67041666666668</v>
      </c>
      <c r="M87" s="240">
        <v>209.27363636363637</v>
      </c>
      <c r="N87" s="240">
        <v>143.01124999999999</v>
      </c>
      <c r="O87" s="258">
        <v>152.0290598290598</v>
      </c>
      <c r="P87" s="224">
        <v>0.3406937908824188</v>
      </c>
      <c r="Q87" s="224">
        <v>0.12832807270023164</v>
      </c>
      <c r="R87" s="224">
        <v>0.20596571156680346</v>
      </c>
      <c r="S87" s="224">
        <v>0.31787376241041715</v>
      </c>
      <c r="T87" s="224">
        <v>0.16976367016801425</v>
      </c>
      <c r="U87" s="259">
        <v>0.22723579562294446</v>
      </c>
      <c r="V87" s="239">
        <v>46</v>
      </c>
      <c r="W87" s="239">
        <v>17</v>
      </c>
      <c r="X87" s="239">
        <v>24</v>
      </c>
      <c r="Y87" s="239">
        <v>22</v>
      </c>
      <c r="Z87" s="239">
        <v>8</v>
      </c>
      <c r="AA87" s="257">
        <v>117</v>
      </c>
      <c r="AB87" s="224">
        <v>0.39316239316239315</v>
      </c>
      <c r="AC87" s="224">
        <v>0.1118421052631579</v>
      </c>
      <c r="AD87" s="224">
        <v>0.1951219512195122</v>
      </c>
      <c r="AE87" s="224">
        <v>0.24444444444444444</v>
      </c>
      <c r="AF87" s="224">
        <v>0.20512820512820512</v>
      </c>
      <c r="AG87" s="259">
        <v>0.22456813819577734</v>
      </c>
      <c r="AH87" s="261">
        <v>2.392468923909086E-3</v>
      </c>
      <c r="AI87" s="261">
        <v>6.3009636767976274E-4</v>
      </c>
      <c r="AJ87" s="261">
        <v>1.1141544032310477E-3</v>
      </c>
      <c r="AK87" s="261">
        <v>1.1827321111768185E-3</v>
      </c>
      <c r="AL87" s="261">
        <v>1.6684045881126173E-3</v>
      </c>
      <c r="AM87" s="262">
        <v>1.2836829632230317E-3</v>
      </c>
    </row>
    <row r="88" spans="1:39" x14ac:dyDescent="0.25">
      <c r="A88" s="215" t="str">
        <v>4301-RAGHAD HZAZI</v>
      </c>
      <c r="B88" s="215" t="str">
        <v>JEDDSALAM</v>
      </c>
      <c r="C88" s="215" t="str">
        <v>Ahlam Al Zahrani</v>
      </c>
      <c r="D88" s="239">
        <v>3083.1099999999997</v>
      </c>
      <c r="E88" s="239">
        <v>3243.0299999999997</v>
      </c>
      <c r="F88" s="239">
        <v>3857.06</v>
      </c>
      <c r="G88" s="239">
        <v>1941.99</v>
      </c>
      <c r="H88" s="239">
        <v>1355.02</v>
      </c>
      <c r="I88" s="257">
        <v>13480.21</v>
      </c>
      <c r="J88" s="240">
        <v>118.58115384615384</v>
      </c>
      <c r="K88" s="240">
        <v>111.82862068965517</v>
      </c>
      <c r="L88" s="240">
        <v>148.34846153846155</v>
      </c>
      <c r="M88" s="240">
        <v>114.23470588235294</v>
      </c>
      <c r="N88" s="240">
        <v>150.55777777777777</v>
      </c>
      <c r="O88" s="258">
        <v>125.98327102803738</v>
      </c>
      <c r="P88" s="224">
        <v>0.19677235916088487</v>
      </c>
      <c r="Q88" s="224">
        <v>0.13812217758267556</v>
      </c>
      <c r="R88" s="224">
        <v>0.21540203939053953</v>
      </c>
      <c r="S88" s="224">
        <v>0.13408014471340393</v>
      </c>
      <c r="T88" s="224">
        <v>0.20106212653817676</v>
      </c>
      <c r="U88" s="259">
        <v>0.17221101704096003</v>
      </c>
      <c r="V88" s="239">
        <v>26</v>
      </c>
      <c r="W88" s="239">
        <v>29</v>
      </c>
      <c r="X88" s="239">
        <v>26</v>
      </c>
      <c r="Y88" s="239">
        <v>17</v>
      </c>
      <c r="Z88" s="239">
        <v>9</v>
      </c>
      <c r="AA88" s="257">
        <v>107</v>
      </c>
      <c r="AB88" s="224">
        <v>0.22222222222222221</v>
      </c>
      <c r="AC88" s="224">
        <v>0.19078947368421054</v>
      </c>
      <c r="AD88" s="224">
        <v>0.21138211382113822</v>
      </c>
      <c r="AE88" s="224">
        <v>0.18888888888888888</v>
      </c>
      <c r="AF88" s="224">
        <v>0.23076923076923078</v>
      </c>
      <c r="AG88" s="259">
        <v>0.20537428023032631</v>
      </c>
      <c r="AH88" s="261">
        <v>1.3522650439486139E-3</v>
      </c>
      <c r="AI88" s="261">
        <v>1.0748702742772423E-3</v>
      </c>
      <c r="AJ88" s="261">
        <v>1.2070006035003018E-3</v>
      </c>
      <c r="AK88" s="261">
        <v>9.1392935863663239E-4</v>
      </c>
      <c r="AL88" s="261">
        <v>1.8769551616266945E-3</v>
      </c>
      <c r="AM88" s="262">
        <v>1.1739664706398665E-3</v>
      </c>
    </row>
    <row r="89" spans="1:39" x14ac:dyDescent="0.25">
      <c r="A89" s="215" t="str">
        <v>2996-AAli</v>
      </c>
      <c r="B89" s="215" t="str">
        <v>TAHLIAST</v>
      </c>
      <c r="C89" s="215" t="str">
        <v>Ahlam Al Zahrani</v>
      </c>
      <c r="D89" s="239">
        <v>15853.240000000002</v>
      </c>
      <c r="E89" s="239">
        <v>22879.48</v>
      </c>
      <c r="F89" s="239">
        <v>7065.13</v>
      </c>
      <c r="G89" s="239">
        <v>12965.91</v>
      </c>
      <c r="H89" s="239">
        <v>2911.1</v>
      </c>
      <c r="I89" s="257">
        <v>61674.859999999993</v>
      </c>
      <c r="J89" s="240">
        <v>174.2114285714286</v>
      </c>
      <c r="K89" s="240">
        <v>363.1663492063492</v>
      </c>
      <c r="L89" s="240">
        <v>172.32024390243902</v>
      </c>
      <c r="M89" s="240">
        <v>259.31819999999999</v>
      </c>
      <c r="N89" s="240">
        <v>145.55500000000001</v>
      </c>
      <c r="O89" s="258">
        <v>232.73532075471695</v>
      </c>
      <c r="P89" s="224">
        <v>0.58867297897140303</v>
      </c>
      <c r="Q89" s="224">
        <v>0.43734933517758262</v>
      </c>
      <c r="R89" s="224">
        <v>0.24752922034810412</v>
      </c>
      <c r="S89" s="224">
        <v>0.35864550221229879</v>
      </c>
      <c r="T89" s="224">
        <v>0.45756616484390467</v>
      </c>
      <c r="U89" s="259">
        <v>0.4103405931126628</v>
      </c>
      <c r="V89" s="239">
        <v>91</v>
      </c>
      <c r="W89" s="239">
        <v>63</v>
      </c>
      <c r="X89" s="239">
        <v>41</v>
      </c>
      <c r="Y89" s="239">
        <v>50</v>
      </c>
      <c r="Z89" s="239">
        <v>20</v>
      </c>
      <c r="AA89" s="257">
        <v>265</v>
      </c>
      <c r="AB89" s="224">
        <v>0.52</v>
      </c>
      <c r="AC89" s="224">
        <v>0.25609756097560976</v>
      </c>
      <c r="AD89" s="224">
        <v>0.23295454545454544</v>
      </c>
      <c r="AE89" s="224">
        <v>0.27624309392265195</v>
      </c>
      <c r="AF89" s="224">
        <v>0.5714285714285714</v>
      </c>
      <c r="AG89" s="259">
        <v>0.32595325953259535</v>
      </c>
      <c r="AH89" s="261">
        <v>4.7329276538201487E-3</v>
      </c>
      <c r="AI89" s="261">
        <v>2.335063009636768E-3</v>
      </c>
      <c r="AJ89" s="261">
        <v>1.9033471055197066E-3</v>
      </c>
      <c r="AK89" s="261">
        <v>2.68802752540186E-3</v>
      </c>
      <c r="AL89" s="261">
        <v>4.1710114702815434E-3</v>
      </c>
      <c r="AM89" s="262">
        <v>2.9074870534538753E-3</v>
      </c>
    </row>
    <row r="90" spans="1:39" x14ac:dyDescent="0.25">
      <c r="A90" s="215" t="str">
        <v>7061-RAli</v>
      </c>
      <c r="B90" s="215" t="str">
        <v>TAHLIAST</v>
      </c>
      <c r="C90" s="215" t="str">
        <v>Ahlam Al Zahrani</v>
      </c>
      <c r="D90" s="239">
        <v>3554.1000000000004</v>
      </c>
      <c r="E90" s="239">
        <v>16523.299999999996</v>
      </c>
      <c r="F90" s="239">
        <v>8376.15</v>
      </c>
      <c r="G90" s="239">
        <v>13445.599999999999</v>
      </c>
      <c r="H90" s="239">
        <v>2929.05</v>
      </c>
      <c r="I90" s="257">
        <v>44828.2</v>
      </c>
      <c r="J90" s="240">
        <v>148.08750000000001</v>
      </c>
      <c r="K90" s="240">
        <v>155.88018867924524</v>
      </c>
      <c r="L90" s="240">
        <v>155.11388888888888</v>
      </c>
      <c r="M90" s="240">
        <v>174.6181818181818</v>
      </c>
      <c r="N90" s="240">
        <v>244.08750000000001</v>
      </c>
      <c r="O90" s="258">
        <v>164.20586080586079</v>
      </c>
      <c r="P90" s="224">
        <v>0.13197318873380229</v>
      </c>
      <c r="Q90" s="224">
        <v>0.31584871115688595</v>
      </c>
      <c r="R90" s="224">
        <v>0.29346124968949927</v>
      </c>
      <c r="S90" s="224">
        <v>0.37191403955030417</v>
      </c>
      <c r="T90" s="224">
        <v>0.46038754255643544</v>
      </c>
      <c r="U90" s="259">
        <v>0.29825491579831831</v>
      </c>
      <c r="V90" s="239">
        <v>24</v>
      </c>
      <c r="W90" s="239">
        <v>106</v>
      </c>
      <c r="X90" s="239">
        <v>54</v>
      </c>
      <c r="Y90" s="239">
        <v>77</v>
      </c>
      <c r="Z90" s="239">
        <v>12</v>
      </c>
      <c r="AA90" s="257">
        <v>273</v>
      </c>
      <c r="AB90" s="224">
        <v>0.13714285714285715</v>
      </c>
      <c r="AC90" s="224">
        <v>0.43089430894308944</v>
      </c>
      <c r="AD90" s="224">
        <v>0.30681818181818182</v>
      </c>
      <c r="AE90" s="224">
        <v>0.425414364640884</v>
      </c>
      <c r="AF90" s="224">
        <v>0.34285714285714286</v>
      </c>
      <c r="AG90" s="259">
        <v>0.33579335793357934</v>
      </c>
      <c r="AH90" s="261">
        <v>1.2482446559525667E-3</v>
      </c>
      <c r="AI90" s="261">
        <v>3.9288361749444034E-3</v>
      </c>
      <c r="AJ90" s="261">
        <v>2.5068474072698576E-3</v>
      </c>
      <c r="AK90" s="261">
        <v>4.139562389118865E-3</v>
      </c>
      <c r="AL90" s="261">
        <v>2.5026068821689261E-3</v>
      </c>
      <c r="AM90" s="262">
        <v>2.9952602475204074E-3</v>
      </c>
    </row>
    <row r="91" spans="1:39" x14ac:dyDescent="0.25">
      <c r="A91" s="215" t="str">
        <v>5320-MAlnashri</v>
      </c>
      <c r="B91" s="215" t="str">
        <v>TAHLIAST</v>
      </c>
      <c r="C91" s="215" t="str">
        <v>Ahlam Al Zahrani</v>
      </c>
      <c r="D91" s="239">
        <v>7523.13</v>
      </c>
      <c r="E91" s="239">
        <v>10887.160000000002</v>
      </c>
      <c r="F91" s="239">
        <v>7784.19</v>
      </c>
      <c r="G91" s="239">
        <v>4314.12</v>
      </c>
      <c r="H91" s="239">
        <v>0</v>
      </c>
      <c r="I91" s="257">
        <v>30508.6</v>
      </c>
      <c r="J91" s="240">
        <v>125.38550000000001</v>
      </c>
      <c r="K91" s="240">
        <v>172.81206349206352</v>
      </c>
      <c r="L91" s="240">
        <v>155.68379999999999</v>
      </c>
      <c r="M91" s="240">
        <v>187.57043478260869</v>
      </c>
      <c r="N91" s="240" t="str">
        <v/>
      </c>
      <c r="O91" s="258">
        <v>155.65612244897957</v>
      </c>
      <c r="P91" s="224">
        <v>0.27935383229479471</v>
      </c>
      <c r="Q91" s="224">
        <v>0.20811190586376838</v>
      </c>
      <c r="R91" s="224">
        <v>0.2727217307737449</v>
      </c>
      <c r="S91" s="224">
        <v>0.11933136463264996</v>
      </c>
      <c r="T91" s="224">
        <v>0</v>
      </c>
      <c r="U91" s="259">
        <v>0.20298249593168083</v>
      </c>
      <c r="V91" s="239">
        <v>60</v>
      </c>
      <c r="W91" s="239">
        <v>63</v>
      </c>
      <c r="X91" s="239">
        <v>50</v>
      </c>
      <c r="Y91" s="239">
        <v>23</v>
      </c>
      <c r="Z91" s="239">
        <v>0</v>
      </c>
      <c r="AA91" s="257">
        <v>196</v>
      </c>
      <c r="AB91" s="224">
        <v>0.34285714285714286</v>
      </c>
      <c r="AC91" s="224">
        <v>0.25609756097560976</v>
      </c>
      <c r="AD91" s="224">
        <v>0.28409090909090912</v>
      </c>
      <c r="AE91" s="224">
        <v>0.1270718232044199</v>
      </c>
      <c r="AF91" s="224">
        <v>0</v>
      </c>
      <c r="AG91" s="259">
        <v>0.24108241082410825</v>
      </c>
      <c r="AH91" s="261">
        <v>3.1206116398814166E-3</v>
      </c>
      <c r="AI91" s="261">
        <v>2.335063009636768E-3</v>
      </c>
      <c r="AJ91" s="261">
        <v>2.3211550067313495E-3</v>
      </c>
      <c r="AK91" s="261">
        <v>1.2364926616848556E-3</v>
      </c>
      <c r="AL91" s="261">
        <v>0</v>
      </c>
      <c r="AM91" s="262">
        <v>2.150443254630036E-3</v>
      </c>
    </row>
    <row r="92" spans="1:39" x14ac:dyDescent="0.25">
      <c r="A92" s="215" t="str">
        <v>4297-AMubarak</v>
      </c>
      <c r="B92" s="215" t="str">
        <v>TAHLIAST</v>
      </c>
      <c r="C92" s="215" t="str">
        <v>Ahlam Al Zahrani</v>
      </c>
      <c r="D92" s="239">
        <v>0</v>
      </c>
      <c r="E92" s="239">
        <v>2024.03</v>
      </c>
      <c r="F92" s="239">
        <v>5317.14</v>
      </c>
      <c r="G92" s="239">
        <v>5426.8099999999995</v>
      </c>
      <c r="H92" s="239">
        <v>521.99</v>
      </c>
      <c r="I92" s="257">
        <v>13289.97</v>
      </c>
      <c r="J92" s="240" t="str">
        <v/>
      </c>
      <c r="K92" s="240">
        <v>144.57357142857143</v>
      </c>
      <c r="L92" s="240">
        <v>171.52064516129033</v>
      </c>
      <c r="M92" s="240">
        <v>175.05838709677417</v>
      </c>
      <c r="N92" s="240">
        <v>173.99666666666667</v>
      </c>
      <c r="O92" s="258">
        <v>168.22746835443039</v>
      </c>
      <c r="P92" s="224">
        <v>0</v>
      </c>
      <c r="Q92" s="224">
        <v>3.8690047801763092E-2</v>
      </c>
      <c r="R92" s="224">
        <v>0.18628779918865165</v>
      </c>
      <c r="S92" s="224">
        <v>0.15010909360474697</v>
      </c>
      <c r="T92" s="224">
        <v>8.2046292599659856E-2</v>
      </c>
      <c r="U92" s="259">
        <v>8.8421995157337938E-2</v>
      </c>
      <c r="V92" s="239">
        <v>0</v>
      </c>
      <c r="W92" s="239">
        <v>14</v>
      </c>
      <c r="X92" s="239">
        <v>31</v>
      </c>
      <c r="Y92" s="239">
        <v>31</v>
      </c>
      <c r="Z92" s="239">
        <v>3</v>
      </c>
      <c r="AA92" s="257">
        <v>79</v>
      </c>
      <c r="AB92" s="224">
        <v>0</v>
      </c>
      <c r="AC92" s="224">
        <v>5.6910569105691054E-2</v>
      </c>
      <c r="AD92" s="224">
        <v>0.17613636363636365</v>
      </c>
      <c r="AE92" s="224">
        <v>0.17127071823204421</v>
      </c>
      <c r="AF92" s="224">
        <v>8.5714285714285715E-2</v>
      </c>
      <c r="AG92" s="259">
        <v>9.7170971709717099E-2</v>
      </c>
      <c r="AH92" s="261">
        <v>0</v>
      </c>
      <c r="AI92" s="261">
        <v>5.1890289103039293E-4</v>
      </c>
      <c r="AJ92" s="261">
        <v>1.4391161041734366E-3</v>
      </c>
      <c r="AK92" s="261">
        <v>1.6665770657491533E-3</v>
      </c>
      <c r="AL92" s="261">
        <v>6.2565172054223153E-4</v>
      </c>
      <c r="AM92" s="262">
        <v>8.6676029140700427E-4</v>
      </c>
    </row>
    <row r="93" spans="1:39" x14ac:dyDescent="0.25">
      <c r="A93" s="215" t="str">
        <v>3430-Manar Alqahtani</v>
      </c>
      <c r="B93" s="215" t="str">
        <v>ABHATIMESQ</v>
      </c>
      <c r="C93" s="215" t="str">
        <v>Ahmed Jaffari</v>
      </c>
      <c r="D93" s="239">
        <v>5428.12</v>
      </c>
      <c r="E93" s="239">
        <v>5524.01</v>
      </c>
      <c r="F93" s="239">
        <v>3834.0600000000004</v>
      </c>
      <c r="G93" s="239">
        <v>3177.93</v>
      </c>
      <c r="H93" s="239">
        <v>996.04</v>
      </c>
      <c r="I93" s="257">
        <v>18960.160000000003</v>
      </c>
      <c r="J93" s="240">
        <v>126.2353488372093</v>
      </c>
      <c r="K93" s="240">
        <v>145.36868421052631</v>
      </c>
      <c r="L93" s="240">
        <v>132.20896551724138</v>
      </c>
      <c r="M93" s="240">
        <v>138.17086956521737</v>
      </c>
      <c r="N93" s="240">
        <v>199.208</v>
      </c>
      <c r="O93" s="258">
        <v>137.39246376811596</v>
      </c>
      <c r="P93" s="224">
        <v>0.24057072680624603</v>
      </c>
      <c r="Q93" s="224">
        <v>0.18972160019782666</v>
      </c>
      <c r="R93" s="224">
        <v>0.1494224876155483</v>
      </c>
      <c r="S93" s="224">
        <v>0.14480923992612654</v>
      </c>
      <c r="T93" s="224">
        <v>0.12406997963390862</v>
      </c>
      <c r="U93" s="259">
        <v>0.17668128623636439</v>
      </c>
      <c r="V93" s="239">
        <v>43</v>
      </c>
      <c r="W93" s="239">
        <v>38</v>
      </c>
      <c r="X93" s="239">
        <v>29</v>
      </c>
      <c r="Y93" s="239">
        <v>23</v>
      </c>
      <c r="Z93" s="239">
        <v>5</v>
      </c>
      <c r="AA93" s="257">
        <v>138</v>
      </c>
      <c r="AB93" s="224">
        <v>0.25294117647058822</v>
      </c>
      <c r="AC93" s="224">
        <v>0.18269230769230768</v>
      </c>
      <c r="AD93" s="224">
        <v>0.16292134831460675</v>
      </c>
      <c r="AE93" s="224">
        <v>0.1554054054054054</v>
      </c>
      <c r="AF93" s="224">
        <v>0.11363636363636363</v>
      </c>
      <c r="AG93" s="259">
        <v>0.18449197860962566</v>
      </c>
      <c r="AH93" s="261">
        <v>2.2364383419150153E-3</v>
      </c>
      <c r="AI93" s="261">
        <v>1.4084507042253522E-3</v>
      </c>
      <c r="AJ93" s="261">
        <v>1.3462699039041828E-3</v>
      </c>
      <c r="AK93" s="261">
        <v>1.2364926616848556E-3</v>
      </c>
      <c r="AL93" s="261">
        <v>1.0427528675703858E-3</v>
      </c>
      <c r="AM93" s="262">
        <v>1.5140875976476784E-3</v>
      </c>
    </row>
    <row r="94" spans="1:39" x14ac:dyDescent="0.25">
      <c r="A94" s="215" t="str">
        <v>4599-AAlGhamdi</v>
      </c>
      <c r="B94" s="215" t="str">
        <v>ABHATIMESQ</v>
      </c>
      <c r="C94" s="215" t="str">
        <v>Ahmed Jaffari</v>
      </c>
      <c r="D94" s="239">
        <v>0</v>
      </c>
      <c r="E94" s="239">
        <v>5534.05</v>
      </c>
      <c r="F94" s="239">
        <v>5679.02</v>
      </c>
      <c r="G94" s="239">
        <v>5408.93</v>
      </c>
      <c r="H94" s="239">
        <v>1940.98</v>
      </c>
      <c r="I94" s="257">
        <v>18562.98</v>
      </c>
      <c r="J94" s="240" t="str">
        <v/>
      </c>
      <c r="K94" s="240">
        <v>128.69883720930233</v>
      </c>
      <c r="L94" s="240">
        <v>145.61589743589744</v>
      </c>
      <c r="M94" s="240">
        <v>146.18729729729731</v>
      </c>
      <c r="N94" s="240">
        <v>161.74833333333333</v>
      </c>
      <c r="O94" s="258">
        <v>141.70213740458016</v>
      </c>
      <c r="P94" s="224">
        <v>0</v>
      </c>
      <c r="Q94" s="224">
        <v>0.19006642304680524</v>
      </c>
      <c r="R94" s="224">
        <v>0.22132499116301024</v>
      </c>
      <c r="S94" s="224">
        <v>0.24646957047940757</v>
      </c>
      <c r="T94" s="224">
        <v>0.24177477718748641</v>
      </c>
      <c r="U94" s="259">
        <v>0.17298014271925485</v>
      </c>
      <c r="V94" s="239">
        <v>0</v>
      </c>
      <c r="W94" s="239">
        <v>43</v>
      </c>
      <c r="X94" s="239">
        <v>39</v>
      </c>
      <c r="Y94" s="239">
        <v>37</v>
      </c>
      <c r="Z94" s="239">
        <v>12</v>
      </c>
      <c r="AA94" s="257">
        <v>131</v>
      </c>
      <c r="AB94" s="224">
        <v>0</v>
      </c>
      <c r="AC94" s="224">
        <v>0.20673076923076922</v>
      </c>
      <c r="AD94" s="224">
        <v>0.21910112359550563</v>
      </c>
      <c r="AE94" s="224">
        <v>0.25</v>
      </c>
      <c r="AF94" s="224">
        <v>0.27272727272727271</v>
      </c>
      <c r="AG94" s="259">
        <v>0.1751336898395722</v>
      </c>
      <c r="AH94" s="261">
        <v>0</v>
      </c>
      <c r="AI94" s="261">
        <v>1.5937731653076354E-3</v>
      </c>
      <c r="AJ94" s="261">
        <v>1.8105009052504525E-3</v>
      </c>
      <c r="AK94" s="261">
        <v>1.9891403687973767E-3</v>
      </c>
      <c r="AL94" s="261">
        <v>2.5026068821689261E-3</v>
      </c>
      <c r="AM94" s="262">
        <v>1.4372860528394629E-3</v>
      </c>
    </row>
    <row r="95" spans="1:39" x14ac:dyDescent="0.25">
      <c r="A95" s="215" t="str">
        <v>3440-Sarah Asiri</v>
      </c>
      <c r="B95" s="215" t="str">
        <v>ABHATIMESQ</v>
      </c>
      <c r="C95" s="215" t="str">
        <v>Ahmed Jaffari</v>
      </c>
      <c r="D95" s="239">
        <v>4080.12</v>
      </c>
      <c r="E95" s="239">
        <v>4116.09</v>
      </c>
      <c r="F95" s="239">
        <v>5208</v>
      </c>
      <c r="G95" s="239">
        <v>2922.92</v>
      </c>
      <c r="H95" s="239">
        <v>1675.08</v>
      </c>
      <c r="I95" s="257">
        <v>18002.21</v>
      </c>
      <c r="J95" s="240">
        <v>140.69379310344829</v>
      </c>
      <c r="K95" s="240">
        <v>132.77709677419355</v>
      </c>
      <c r="L95" s="240">
        <v>168</v>
      </c>
      <c r="M95" s="240">
        <v>146.14600000000002</v>
      </c>
      <c r="N95" s="240">
        <v>186.12</v>
      </c>
      <c r="O95" s="258">
        <v>150.01841666666667</v>
      </c>
      <c r="P95" s="224">
        <v>0.18082824879639739</v>
      </c>
      <c r="Q95" s="224">
        <v>0.14136672116058305</v>
      </c>
      <c r="R95" s="224">
        <v>0.20296821528660883</v>
      </c>
      <c r="S95" s="224">
        <v>0.13318915884392477</v>
      </c>
      <c r="T95" s="224">
        <v>0.20865340898474724</v>
      </c>
      <c r="U95" s="259">
        <v>0.16775457685468587</v>
      </c>
      <c r="V95" s="239">
        <v>29</v>
      </c>
      <c r="W95" s="239">
        <v>31</v>
      </c>
      <c r="X95" s="239">
        <v>31</v>
      </c>
      <c r="Y95" s="239">
        <v>20</v>
      </c>
      <c r="Z95" s="239">
        <v>9</v>
      </c>
      <c r="AA95" s="257">
        <v>120</v>
      </c>
      <c r="AB95" s="224">
        <v>0.17058823529411765</v>
      </c>
      <c r="AC95" s="224">
        <v>0.14903846153846154</v>
      </c>
      <c r="AD95" s="224">
        <v>0.17415730337078653</v>
      </c>
      <c r="AE95" s="224">
        <v>0.13513513513513514</v>
      </c>
      <c r="AF95" s="224">
        <v>0.20454545454545456</v>
      </c>
      <c r="AG95" s="259">
        <v>0.16042780748663102</v>
      </c>
      <c r="AH95" s="261">
        <v>1.5082956259426848E-3</v>
      </c>
      <c r="AI95" s="261">
        <v>1.1489992587101557E-3</v>
      </c>
      <c r="AJ95" s="261">
        <v>1.4391161041734366E-3</v>
      </c>
      <c r="AK95" s="261">
        <v>1.075211010160744E-3</v>
      </c>
      <c r="AL95" s="261">
        <v>1.8769551616266945E-3</v>
      </c>
      <c r="AM95" s="262">
        <v>1.3165979109979811E-3</v>
      </c>
    </row>
    <row r="96" spans="1:39" x14ac:dyDescent="0.25">
      <c r="A96" s="215" t="str">
        <v>3436-Abdullah Alshahrani</v>
      </c>
      <c r="B96" s="215" t="str">
        <v>ABHATIMESQ</v>
      </c>
      <c r="C96" s="215" t="str">
        <v>Ahmed Jaffari</v>
      </c>
      <c r="D96" s="239">
        <v>4725.1000000000004</v>
      </c>
      <c r="E96" s="239">
        <v>4347.07</v>
      </c>
      <c r="F96" s="239">
        <v>3825.0499999999997</v>
      </c>
      <c r="G96" s="239">
        <v>2453.9900000000002</v>
      </c>
      <c r="H96" s="239">
        <v>1565.96</v>
      </c>
      <c r="I96" s="257">
        <v>16917.169999999998</v>
      </c>
      <c r="J96" s="240">
        <v>124.34473684210528</v>
      </c>
      <c r="K96" s="240">
        <v>161.00259259259258</v>
      </c>
      <c r="L96" s="240">
        <v>131.89827586206894</v>
      </c>
      <c r="M96" s="240">
        <v>153.37437500000001</v>
      </c>
      <c r="N96" s="240">
        <v>195.745</v>
      </c>
      <c r="O96" s="258">
        <v>143.3658474576271</v>
      </c>
      <c r="P96" s="224">
        <v>0.20941334038897319</v>
      </c>
      <c r="Q96" s="224">
        <v>0.14929970738140702</v>
      </c>
      <c r="R96" s="224">
        <v>0.14907134636751979</v>
      </c>
      <c r="S96" s="224">
        <v>0.11182135122117709</v>
      </c>
      <c r="T96" s="224">
        <v>0.19506106713336366</v>
      </c>
      <c r="U96" s="259">
        <v>0.15764357236854731</v>
      </c>
      <c r="V96" s="239">
        <v>38</v>
      </c>
      <c r="W96" s="239">
        <v>27</v>
      </c>
      <c r="X96" s="239">
        <v>29</v>
      </c>
      <c r="Y96" s="239">
        <v>16</v>
      </c>
      <c r="Z96" s="239">
        <v>8</v>
      </c>
      <c r="AA96" s="257">
        <v>118</v>
      </c>
      <c r="AB96" s="224">
        <v>0.22352941176470589</v>
      </c>
      <c r="AC96" s="224">
        <v>0.12980769230769232</v>
      </c>
      <c r="AD96" s="224">
        <v>0.16292134831460675</v>
      </c>
      <c r="AE96" s="224">
        <v>0.10810810810810811</v>
      </c>
      <c r="AF96" s="224">
        <v>0.18181818181818182</v>
      </c>
      <c r="AG96" s="259">
        <v>0.15775401069518716</v>
      </c>
      <c r="AH96" s="261">
        <v>1.9763873719248972E-3</v>
      </c>
      <c r="AI96" s="261">
        <v>1.0007412898443292E-3</v>
      </c>
      <c r="AJ96" s="261">
        <v>1.3462699039041828E-3</v>
      </c>
      <c r="AK96" s="261">
        <v>8.6016880812859521E-4</v>
      </c>
      <c r="AL96" s="261">
        <v>1.6684045881126173E-3</v>
      </c>
      <c r="AM96" s="262">
        <v>1.2946546124813481E-3</v>
      </c>
    </row>
    <row r="97" spans="1:39" x14ac:dyDescent="0.25">
      <c r="A97" s="215" t="str">
        <v>3412-Ali Asiri</v>
      </c>
      <c r="B97" s="215" t="str">
        <v>ABHATIMESQ</v>
      </c>
      <c r="C97" s="215" t="str">
        <v>Ahmed Jaffari</v>
      </c>
      <c r="D97" s="239">
        <v>2609.04</v>
      </c>
      <c r="E97" s="239">
        <v>5446.09</v>
      </c>
      <c r="F97" s="239">
        <v>3322.0299999999997</v>
      </c>
      <c r="G97" s="239">
        <v>1911.01</v>
      </c>
      <c r="H97" s="239">
        <v>0</v>
      </c>
      <c r="I97" s="257">
        <v>13288.17</v>
      </c>
      <c r="J97" s="240">
        <v>130.452</v>
      </c>
      <c r="K97" s="240">
        <v>126.65325581395349</v>
      </c>
      <c r="L97" s="240">
        <v>158.19190476190474</v>
      </c>
      <c r="M97" s="240">
        <v>147.00076923076924</v>
      </c>
      <c r="N97" s="240" t="str">
        <v/>
      </c>
      <c r="O97" s="258">
        <v>136.99144329896907</v>
      </c>
      <c r="P97" s="224">
        <v>0.1156309457172222</v>
      </c>
      <c r="Q97" s="224">
        <v>0.1870454451786622</v>
      </c>
      <c r="R97" s="224">
        <v>0.12946745396093953</v>
      </c>
      <c r="S97" s="224">
        <v>8.7079295513503158E-2</v>
      </c>
      <c r="T97" s="224">
        <v>0</v>
      </c>
      <c r="U97" s="259">
        <v>0.12382653771526558</v>
      </c>
      <c r="V97" s="239">
        <v>20</v>
      </c>
      <c r="W97" s="239">
        <v>43</v>
      </c>
      <c r="X97" s="239">
        <v>21</v>
      </c>
      <c r="Y97" s="239">
        <v>13</v>
      </c>
      <c r="Z97" s="239">
        <v>0</v>
      </c>
      <c r="AA97" s="257">
        <v>97</v>
      </c>
      <c r="AB97" s="224">
        <v>0.11764705882352941</v>
      </c>
      <c r="AC97" s="224">
        <v>0.20673076923076922</v>
      </c>
      <c r="AD97" s="224">
        <v>0.11797752808988764</v>
      </c>
      <c r="AE97" s="224">
        <v>8.7837837837837843E-2</v>
      </c>
      <c r="AF97" s="224">
        <v>0</v>
      </c>
      <c r="AG97" s="259">
        <v>0.12967914438502673</v>
      </c>
      <c r="AH97" s="261">
        <v>1.0402038799604723E-3</v>
      </c>
      <c r="AI97" s="261">
        <v>1.5937731653076354E-3</v>
      </c>
      <c r="AJ97" s="261">
        <v>9.748851028271668E-4</v>
      </c>
      <c r="AK97" s="261">
        <v>6.9888715660448365E-4</v>
      </c>
      <c r="AL97" s="261">
        <v>0</v>
      </c>
      <c r="AM97" s="262">
        <v>1.0642499780567016E-3</v>
      </c>
    </row>
    <row r="98" spans="1:39" x14ac:dyDescent="0.25">
      <c r="A98" s="215" t="str">
        <v>3439-Bashir Alsaifi</v>
      </c>
      <c r="B98" s="215" t="str">
        <v>ABHATIMESQ</v>
      </c>
      <c r="C98" s="215" t="str">
        <v>Ahmed Jaffari</v>
      </c>
      <c r="D98" s="239">
        <v>3819.08</v>
      </c>
      <c r="E98" s="239">
        <v>2815.0699999999997</v>
      </c>
      <c r="F98" s="239">
        <v>2432.02</v>
      </c>
      <c r="G98" s="239">
        <v>0</v>
      </c>
      <c r="H98" s="239">
        <v>0</v>
      </c>
      <c r="I98" s="257">
        <v>9066.17</v>
      </c>
      <c r="J98" s="240">
        <v>146.8876923076923</v>
      </c>
      <c r="K98" s="240">
        <v>156.39277777777775</v>
      </c>
      <c r="L98" s="240">
        <v>128.00105263157894</v>
      </c>
      <c r="M98" s="240" t="str">
        <v/>
      </c>
      <c r="N98" s="240" t="str">
        <v/>
      </c>
      <c r="O98" s="258">
        <v>143.90746031746031</v>
      </c>
      <c r="P98" s="224">
        <v>0.16925912679365934</v>
      </c>
      <c r="Q98" s="224">
        <v>9.6683312497424123E-2</v>
      </c>
      <c r="R98" s="224">
        <v>9.4781635741424425E-2</v>
      </c>
      <c r="S98" s="224">
        <v>0</v>
      </c>
      <c r="T98" s="224">
        <v>0</v>
      </c>
      <c r="U98" s="259">
        <v>8.4483600182569119E-2</v>
      </c>
      <c r="V98" s="239">
        <v>26</v>
      </c>
      <c r="W98" s="239">
        <v>18</v>
      </c>
      <c r="X98" s="239">
        <v>19</v>
      </c>
      <c r="Y98" s="239">
        <v>0</v>
      </c>
      <c r="Z98" s="239">
        <v>0</v>
      </c>
      <c r="AA98" s="257">
        <v>63</v>
      </c>
      <c r="AB98" s="224">
        <v>0.15294117647058825</v>
      </c>
      <c r="AC98" s="224">
        <v>8.6538461538461536E-2</v>
      </c>
      <c r="AD98" s="224">
        <v>0.10674157303370786</v>
      </c>
      <c r="AE98" s="224">
        <v>0</v>
      </c>
      <c r="AF98" s="224">
        <v>0</v>
      </c>
      <c r="AG98" s="259">
        <v>8.4224598930481287E-2</v>
      </c>
      <c r="AH98" s="261">
        <v>1.3522650439486139E-3</v>
      </c>
      <c r="AI98" s="261">
        <v>6.6716085989621942E-4</v>
      </c>
      <c r="AJ98" s="261">
        <v>8.8203890255791277E-4</v>
      </c>
      <c r="AK98" s="261">
        <v>0</v>
      </c>
      <c r="AL98" s="261">
        <v>0</v>
      </c>
      <c r="AM98" s="262">
        <v>6.9121390327394011E-4</v>
      </c>
    </row>
    <row r="99" spans="1:39" x14ac:dyDescent="0.25">
      <c r="A99" s="215" t="str">
        <v>3427-Abdullah Alqahtani</v>
      </c>
      <c r="B99" s="215" t="str">
        <v>ABHATIMESQ</v>
      </c>
      <c r="C99" s="215" t="str">
        <v>Ahmed Jaffari</v>
      </c>
      <c r="D99" s="239">
        <v>1902.05</v>
      </c>
      <c r="E99" s="239">
        <v>1334.02</v>
      </c>
      <c r="F99" s="239">
        <v>1359.01</v>
      </c>
      <c r="G99" s="239">
        <v>1280.96</v>
      </c>
      <c r="H99" s="239">
        <v>1268.01</v>
      </c>
      <c r="I99" s="257">
        <v>7144.05</v>
      </c>
      <c r="J99" s="240">
        <v>135.86071428571429</v>
      </c>
      <c r="K99" s="240">
        <v>166.7525</v>
      </c>
      <c r="L99" s="240">
        <v>135.90100000000001</v>
      </c>
      <c r="M99" s="240">
        <v>142.32888888888888</v>
      </c>
      <c r="N99" s="240">
        <v>253.602</v>
      </c>
      <c r="O99" s="258">
        <v>155.3054347826087</v>
      </c>
      <c r="P99" s="224">
        <v>8.4297611497501951E-2</v>
      </c>
      <c r="Q99" s="224">
        <v>4.5816790537291693E-2</v>
      </c>
      <c r="R99" s="224">
        <v>5.2963869864948977E-2</v>
      </c>
      <c r="S99" s="224">
        <v>5.8369707317584424E-2</v>
      </c>
      <c r="T99" s="224">
        <v>0.15794744676478101</v>
      </c>
      <c r="U99" s="259">
        <v>6.6572220009583197E-2</v>
      </c>
      <c r="V99" s="239">
        <v>14</v>
      </c>
      <c r="W99" s="239">
        <v>8</v>
      </c>
      <c r="X99" s="239">
        <v>10</v>
      </c>
      <c r="Y99" s="239">
        <v>9</v>
      </c>
      <c r="Z99" s="239">
        <v>5</v>
      </c>
      <c r="AA99" s="257">
        <v>46</v>
      </c>
      <c r="AB99" s="224">
        <v>8.2352941176470587E-2</v>
      </c>
      <c r="AC99" s="224">
        <v>3.8461538461538464E-2</v>
      </c>
      <c r="AD99" s="224">
        <v>5.6179775280898875E-2</v>
      </c>
      <c r="AE99" s="224">
        <v>6.0810810810810814E-2</v>
      </c>
      <c r="AF99" s="224">
        <v>0.11363636363636363</v>
      </c>
      <c r="AG99" s="259">
        <v>6.1497326203208559E-2</v>
      </c>
      <c r="AH99" s="261">
        <v>7.2814271597233056E-4</v>
      </c>
      <c r="AI99" s="261">
        <v>2.9651593773165309E-4</v>
      </c>
      <c r="AJ99" s="261">
        <v>4.6423100134626989E-4</v>
      </c>
      <c r="AK99" s="261">
        <v>4.8384495457233484E-4</v>
      </c>
      <c r="AL99" s="261">
        <v>1.0427528675703858E-3</v>
      </c>
      <c r="AM99" s="262">
        <v>5.0469586588255944E-4</v>
      </c>
    </row>
    <row r="100" spans="1:39" x14ac:dyDescent="0.25">
      <c r="A100" s="215" t="str">
        <v>3391-AhlamAsiri</v>
      </c>
      <c r="B100" s="215" t="str">
        <v>ABHATIMESQ</v>
      </c>
      <c r="C100" s="215" t="str">
        <v>Ahmed Jaffari</v>
      </c>
      <c r="D100" s="239">
        <v>0</v>
      </c>
      <c r="E100" s="239">
        <v>0</v>
      </c>
      <c r="F100" s="239">
        <v>0</v>
      </c>
      <c r="G100" s="239">
        <v>4789.8899999999994</v>
      </c>
      <c r="H100" s="239">
        <v>581.98</v>
      </c>
      <c r="I100" s="257">
        <v>5371.869999999999</v>
      </c>
      <c r="J100" s="240" t="str">
        <v/>
      </c>
      <c r="K100" s="240" t="str">
        <v/>
      </c>
      <c r="L100" s="240" t="str">
        <v/>
      </c>
      <c r="M100" s="240">
        <v>159.66299999999998</v>
      </c>
      <c r="N100" s="240">
        <v>116.396</v>
      </c>
      <c r="O100" s="258">
        <v>153.48199999999997</v>
      </c>
      <c r="P100" s="224">
        <v>0</v>
      </c>
      <c r="Q100" s="224">
        <v>0</v>
      </c>
      <c r="R100" s="224">
        <v>0</v>
      </c>
      <c r="S100" s="224">
        <v>0.21826167669827659</v>
      </c>
      <c r="T100" s="224">
        <v>7.2493320295713162E-2</v>
      </c>
      <c r="U100" s="259">
        <v>5.005806391372955E-2</v>
      </c>
      <c r="V100" s="239">
        <v>0</v>
      </c>
      <c r="W100" s="239">
        <v>0</v>
      </c>
      <c r="X100" s="239">
        <v>0</v>
      </c>
      <c r="Y100" s="239">
        <v>30</v>
      </c>
      <c r="Z100" s="239">
        <v>5</v>
      </c>
      <c r="AA100" s="257">
        <v>35</v>
      </c>
      <c r="AB100" s="224">
        <v>0</v>
      </c>
      <c r="AC100" s="224">
        <v>0</v>
      </c>
      <c r="AD100" s="224">
        <v>0</v>
      </c>
      <c r="AE100" s="224">
        <v>0.20270270270270271</v>
      </c>
      <c r="AF100" s="224">
        <v>0.11363636363636363</v>
      </c>
      <c r="AG100" s="259">
        <v>4.6791443850267379E-2</v>
      </c>
      <c r="AH100" s="261">
        <v>0</v>
      </c>
      <c r="AI100" s="261">
        <v>0</v>
      </c>
      <c r="AJ100" s="261">
        <v>0</v>
      </c>
      <c r="AK100" s="261">
        <v>1.612816515241116E-3</v>
      </c>
      <c r="AL100" s="261">
        <v>1.0427528675703858E-3</v>
      </c>
      <c r="AM100" s="262">
        <v>3.8400772404107786E-4</v>
      </c>
    </row>
    <row r="101" spans="1:39" x14ac:dyDescent="0.25">
      <c r="A101" s="215" t="str">
        <v>3424-Abdulrahman Asiri</v>
      </c>
      <c r="B101" s="215" t="str">
        <v>ALHAZIM</v>
      </c>
      <c r="C101" s="215" t="str">
        <v>Ahmed Jaffari</v>
      </c>
      <c r="D101" s="239">
        <v>1297.05</v>
      </c>
      <c r="E101" s="239">
        <v>13780.310000000001</v>
      </c>
      <c r="F101" s="239">
        <v>6438.11</v>
      </c>
      <c r="G101" s="239">
        <v>6115.9400000000005</v>
      </c>
      <c r="H101" s="239">
        <v>1889.14</v>
      </c>
      <c r="I101" s="257">
        <v>29520.550000000003</v>
      </c>
      <c r="J101" s="240">
        <v>129.70499999999998</v>
      </c>
      <c r="K101" s="240">
        <v>132.50298076923079</v>
      </c>
      <c r="L101" s="240">
        <v>153.28833333333333</v>
      </c>
      <c r="M101" s="240">
        <v>169.88722222222225</v>
      </c>
      <c r="N101" s="240">
        <v>188.91400000000002</v>
      </c>
      <c r="O101" s="258">
        <v>146.14133663366337</v>
      </c>
      <c r="P101" s="224">
        <v>6.604009910215404E-2</v>
      </c>
      <c r="Q101" s="224">
        <v>0.3922926197981475</v>
      </c>
      <c r="R101" s="224">
        <v>0.2386049373107556</v>
      </c>
      <c r="S101" s="224">
        <v>0.2513270205086669</v>
      </c>
      <c r="T101" s="224">
        <v>0.24565870404806178</v>
      </c>
      <c r="U101" s="259">
        <v>0.25946438478202943</v>
      </c>
      <c r="V101" s="239">
        <v>10</v>
      </c>
      <c r="W101" s="239">
        <v>104</v>
      </c>
      <c r="X101" s="239">
        <v>42</v>
      </c>
      <c r="Y101" s="239">
        <v>36</v>
      </c>
      <c r="Z101" s="239">
        <v>10</v>
      </c>
      <c r="AA101" s="257">
        <v>202</v>
      </c>
      <c r="AB101" s="224">
        <v>5.9523809523809521E-2</v>
      </c>
      <c r="AC101" s="224">
        <v>0.40784313725490196</v>
      </c>
      <c r="AD101" s="224">
        <v>0.24852071005917159</v>
      </c>
      <c r="AE101" s="224">
        <v>0.23529411764705882</v>
      </c>
      <c r="AF101" s="224">
        <v>0.22727272727272727</v>
      </c>
      <c r="AG101" s="259">
        <v>0.25602027883396705</v>
      </c>
      <c r="AH101" s="261">
        <v>5.2010193998023614E-4</v>
      </c>
      <c r="AI101" s="261">
        <v>3.85470719051149E-3</v>
      </c>
      <c r="AJ101" s="261">
        <v>1.9497702056543336E-3</v>
      </c>
      <c r="AK101" s="261">
        <v>1.9353798182893394E-3</v>
      </c>
      <c r="AL101" s="261">
        <v>2.0855057351407717E-3</v>
      </c>
      <c r="AM101" s="262">
        <v>2.2162731501799348E-3</v>
      </c>
    </row>
    <row r="102" spans="1:39" x14ac:dyDescent="0.25">
      <c r="A102" s="215" t="str">
        <v>3435-Khaled H Asiri</v>
      </c>
      <c r="B102" s="215" t="str">
        <v>ALHAZIM</v>
      </c>
      <c r="C102" s="215" t="str">
        <v>Ahmed Jaffari</v>
      </c>
      <c r="D102" s="239">
        <v>8721.18</v>
      </c>
      <c r="E102" s="239">
        <v>8991.18</v>
      </c>
      <c r="F102" s="239">
        <v>4062.0299999999997</v>
      </c>
      <c r="G102" s="239">
        <v>3719.82</v>
      </c>
      <c r="H102" s="239">
        <v>626.02</v>
      </c>
      <c r="I102" s="257">
        <v>26120.23</v>
      </c>
      <c r="J102" s="240">
        <v>116.28240000000001</v>
      </c>
      <c r="K102" s="240">
        <v>138.32584615384616</v>
      </c>
      <c r="L102" s="240">
        <v>116.05799999999999</v>
      </c>
      <c r="M102" s="240">
        <v>148.7928</v>
      </c>
      <c r="N102" s="240">
        <v>104.33666666666666</v>
      </c>
      <c r="O102" s="258">
        <v>126.79723300970873</v>
      </c>
      <c r="P102" s="224">
        <v>0.44404424770650613</v>
      </c>
      <c r="Q102" s="224">
        <v>0.25595748987335609</v>
      </c>
      <c r="R102" s="224">
        <v>0.15054424567216287</v>
      </c>
      <c r="S102" s="224">
        <v>0.15286142071840947</v>
      </c>
      <c r="T102" s="224">
        <v>8.1405963511527804E-2</v>
      </c>
      <c r="U102" s="259">
        <v>0.22957801962751734</v>
      </c>
      <c r="V102" s="239">
        <v>75</v>
      </c>
      <c r="W102" s="239">
        <v>65</v>
      </c>
      <c r="X102" s="239">
        <v>35</v>
      </c>
      <c r="Y102" s="239">
        <v>25</v>
      </c>
      <c r="Z102" s="239">
        <v>6</v>
      </c>
      <c r="AA102" s="257">
        <v>206</v>
      </c>
      <c r="AB102" s="224">
        <v>0.44642857142857145</v>
      </c>
      <c r="AC102" s="224">
        <v>0.25490196078431371</v>
      </c>
      <c r="AD102" s="224">
        <v>0.20710059171597633</v>
      </c>
      <c r="AE102" s="224">
        <v>0.16339869281045752</v>
      </c>
      <c r="AF102" s="224">
        <v>0.13636363636363635</v>
      </c>
      <c r="AG102" s="259">
        <v>0.26108998732572875</v>
      </c>
      <c r="AH102" s="261">
        <v>3.900764549851771E-3</v>
      </c>
      <c r="AI102" s="261">
        <v>2.4091919940696814E-3</v>
      </c>
      <c r="AJ102" s="261">
        <v>1.6248085047119447E-3</v>
      </c>
      <c r="AK102" s="261">
        <v>1.34401376270093E-3</v>
      </c>
      <c r="AL102" s="261">
        <v>1.2513034410844631E-3</v>
      </c>
      <c r="AM102" s="262">
        <v>2.2601597472132009E-3</v>
      </c>
    </row>
    <row r="103" spans="1:39" x14ac:dyDescent="0.25">
      <c r="A103" s="215" t="str">
        <v>6456-MALASMARI</v>
      </c>
      <c r="B103" s="215" t="str">
        <v>ALHAZIM</v>
      </c>
      <c r="C103" s="215" t="str">
        <v>Ahmed Jaffari</v>
      </c>
      <c r="D103" s="239">
        <v>5942.05</v>
      </c>
      <c r="E103" s="239">
        <v>6259.1</v>
      </c>
      <c r="F103" s="239">
        <v>5964.08</v>
      </c>
      <c r="G103" s="239">
        <v>4426.9799999999996</v>
      </c>
      <c r="H103" s="239">
        <v>469.98</v>
      </c>
      <c r="I103" s="257">
        <v>23062.190000000002</v>
      </c>
      <c r="J103" s="240">
        <v>123.79270833333334</v>
      </c>
      <c r="K103" s="240">
        <v>130.39791666666667</v>
      </c>
      <c r="L103" s="240">
        <v>152.9251282051282</v>
      </c>
      <c r="M103" s="240">
        <v>134.15090909090907</v>
      </c>
      <c r="N103" s="240">
        <v>117.495</v>
      </c>
      <c r="O103" s="258">
        <v>134.08250000000001</v>
      </c>
      <c r="P103" s="224">
        <v>0.30254313316368253</v>
      </c>
      <c r="Q103" s="224">
        <v>0.17818167636131443</v>
      </c>
      <c r="R103" s="224">
        <v>0.22103675372373743</v>
      </c>
      <c r="S103" s="224">
        <v>0.18192128981832031</v>
      </c>
      <c r="T103" s="224">
        <v>6.1114939987776493E-2</v>
      </c>
      <c r="U103" s="259">
        <v>0.20270004929028324</v>
      </c>
      <c r="V103" s="239">
        <v>48</v>
      </c>
      <c r="W103" s="239">
        <v>48</v>
      </c>
      <c r="X103" s="239">
        <v>39</v>
      </c>
      <c r="Y103" s="239">
        <v>33</v>
      </c>
      <c r="Z103" s="239">
        <v>4</v>
      </c>
      <c r="AA103" s="257">
        <v>172</v>
      </c>
      <c r="AB103" s="224">
        <v>0.2857142857142857</v>
      </c>
      <c r="AC103" s="224">
        <v>0.18823529411764706</v>
      </c>
      <c r="AD103" s="224">
        <v>0.23076923076923078</v>
      </c>
      <c r="AE103" s="224">
        <v>0.21568627450980393</v>
      </c>
      <c r="AF103" s="224">
        <v>9.0909090909090912E-2</v>
      </c>
      <c r="AG103" s="259">
        <v>0.21799746514575413</v>
      </c>
      <c r="AH103" s="261">
        <v>2.4964893119051334E-3</v>
      </c>
      <c r="AI103" s="261">
        <v>1.7790956263899185E-3</v>
      </c>
      <c r="AJ103" s="261">
        <v>1.8105009052504525E-3</v>
      </c>
      <c r="AK103" s="261">
        <v>1.7740981667652277E-3</v>
      </c>
      <c r="AL103" s="261">
        <v>8.3420229405630863E-4</v>
      </c>
      <c r="AM103" s="262">
        <v>1.8871236724304398E-3</v>
      </c>
    </row>
    <row r="104" spans="1:39" x14ac:dyDescent="0.25">
      <c r="A104" s="215" t="str">
        <v>3433-Khaled Asiri</v>
      </c>
      <c r="B104" s="215" t="str">
        <v>ALHAZIM</v>
      </c>
      <c r="C104" s="215" t="str">
        <v>Ahmed Jaffari</v>
      </c>
      <c r="D104" s="239">
        <v>0</v>
      </c>
      <c r="E104" s="239">
        <v>0</v>
      </c>
      <c r="F104" s="239">
        <v>9500.07</v>
      </c>
      <c r="G104" s="239">
        <v>6180.86</v>
      </c>
      <c r="H104" s="239">
        <v>2125.98</v>
      </c>
      <c r="I104" s="257">
        <v>17806.91</v>
      </c>
      <c r="J104" s="240" t="str">
        <v/>
      </c>
      <c r="K104" s="240" t="str">
        <v/>
      </c>
      <c r="L104" s="240">
        <v>206.52326086956521</v>
      </c>
      <c r="M104" s="240">
        <v>193.15187499999999</v>
      </c>
      <c r="N104" s="240">
        <v>236.22</v>
      </c>
      <c r="O104" s="258">
        <v>204.67712643678161</v>
      </c>
      <c r="P104" s="224">
        <v>0</v>
      </c>
      <c r="Q104" s="224">
        <v>0</v>
      </c>
      <c r="R104" s="224">
        <v>0.35208525588997236</v>
      </c>
      <c r="S104" s="224">
        <v>0.25399482793833794</v>
      </c>
      <c r="T104" s="224">
        <v>0.27645674308526547</v>
      </c>
      <c r="U104" s="259">
        <v>0.15650992098788696</v>
      </c>
      <c r="V104" s="239">
        <v>0</v>
      </c>
      <c r="W104" s="239">
        <v>0</v>
      </c>
      <c r="X104" s="239">
        <v>46</v>
      </c>
      <c r="Y104" s="239">
        <v>32</v>
      </c>
      <c r="Z104" s="239">
        <v>9</v>
      </c>
      <c r="AA104" s="257">
        <v>87</v>
      </c>
      <c r="AB104" s="224">
        <v>0</v>
      </c>
      <c r="AC104" s="224">
        <v>0</v>
      </c>
      <c r="AD104" s="224">
        <v>0.27218934911242604</v>
      </c>
      <c r="AE104" s="224">
        <v>0.20915032679738563</v>
      </c>
      <c r="AF104" s="224">
        <v>0.20454545454545456</v>
      </c>
      <c r="AG104" s="259">
        <v>0.11026615969581749</v>
      </c>
      <c r="AH104" s="261">
        <v>0</v>
      </c>
      <c r="AI104" s="261">
        <v>0</v>
      </c>
      <c r="AJ104" s="261">
        <v>2.1354626061928414E-3</v>
      </c>
      <c r="AK104" s="261">
        <v>1.7203376162571904E-3</v>
      </c>
      <c r="AL104" s="261">
        <v>1.8769551616266945E-3</v>
      </c>
      <c r="AM104" s="262">
        <v>9.545334854735364E-4</v>
      </c>
    </row>
    <row r="105" spans="1:39" x14ac:dyDescent="0.25">
      <c r="A105" s="215" t="str">
        <v>3394-Aisha Mishikhi</v>
      </c>
      <c r="B105" s="215" t="str">
        <v>ALHAZIM</v>
      </c>
      <c r="C105" s="215" t="str">
        <v>Ahmed Jaffari</v>
      </c>
      <c r="D105" s="239">
        <v>3680.06</v>
      </c>
      <c r="E105" s="239">
        <v>6097.04</v>
      </c>
      <c r="F105" s="239">
        <v>1018.01</v>
      </c>
      <c r="G105" s="239">
        <v>3890.99</v>
      </c>
      <c r="H105" s="239">
        <v>2578.98</v>
      </c>
      <c r="I105" s="257">
        <v>17265.080000000002</v>
      </c>
      <c r="J105" s="240">
        <v>105.14457142857142</v>
      </c>
      <c r="K105" s="240">
        <v>160.44842105263157</v>
      </c>
      <c r="L105" s="240">
        <v>145.43</v>
      </c>
      <c r="M105" s="240">
        <v>144.11074074074074</v>
      </c>
      <c r="N105" s="240">
        <v>171.93199999999999</v>
      </c>
      <c r="O105" s="258">
        <v>141.51704918032789</v>
      </c>
      <c r="P105" s="224">
        <v>0.18737252002765736</v>
      </c>
      <c r="Q105" s="224">
        <v>0.17356821396718194</v>
      </c>
      <c r="R105" s="224">
        <v>3.7728807403371846E-2</v>
      </c>
      <c r="S105" s="224">
        <v>0.15989544101626532</v>
      </c>
      <c r="T105" s="224">
        <v>0.3353636493673684</v>
      </c>
      <c r="U105" s="259">
        <v>0.15174762531228314</v>
      </c>
      <c r="V105" s="239">
        <v>35</v>
      </c>
      <c r="W105" s="239">
        <v>38</v>
      </c>
      <c r="X105" s="239">
        <v>7</v>
      </c>
      <c r="Y105" s="239">
        <v>27</v>
      </c>
      <c r="Z105" s="239">
        <v>15</v>
      </c>
      <c r="AA105" s="257">
        <v>122</v>
      </c>
      <c r="AB105" s="224">
        <v>0.20833333333333334</v>
      </c>
      <c r="AC105" s="224">
        <v>0.14901960784313725</v>
      </c>
      <c r="AD105" s="224">
        <v>4.142011834319527E-2</v>
      </c>
      <c r="AE105" s="224">
        <v>0.17647058823529413</v>
      </c>
      <c r="AF105" s="224">
        <v>0.34090909090909088</v>
      </c>
      <c r="AG105" s="259">
        <v>0.15462610899873258</v>
      </c>
      <c r="AH105" s="261">
        <v>1.8203567899308265E-3</v>
      </c>
      <c r="AI105" s="261">
        <v>1.4084507042253522E-3</v>
      </c>
      <c r="AJ105" s="261">
        <v>3.2496170094238895E-4</v>
      </c>
      <c r="AK105" s="261">
        <v>1.4515348637170044E-3</v>
      </c>
      <c r="AL105" s="261">
        <v>3.1282586027111575E-3</v>
      </c>
      <c r="AM105" s="262">
        <v>1.3385412095146142E-3</v>
      </c>
    </row>
    <row r="106" spans="1:39" x14ac:dyDescent="0.25">
      <c r="A106" s="215" t="str">
        <v>5407-SAl-Faifi</v>
      </c>
      <c r="B106" s="215" t="str">
        <v>HAAZZANPLZ</v>
      </c>
      <c r="C106" s="215" t="str">
        <v>Ahmed Jaffari</v>
      </c>
      <c r="D106" s="239">
        <v>6564.13</v>
      </c>
      <c r="E106" s="239">
        <v>7592.12</v>
      </c>
      <c r="F106" s="239">
        <v>4190.09</v>
      </c>
      <c r="G106" s="239">
        <v>5480.82</v>
      </c>
      <c r="H106" s="239">
        <v>2657.02</v>
      </c>
      <c r="I106" s="257">
        <v>26484.18</v>
      </c>
      <c r="J106" s="240">
        <v>142.69847826086956</v>
      </c>
      <c r="K106" s="240">
        <v>143.24754716981133</v>
      </c>
      <c r="L106" s="240">
        <v>149.64607142857145</v>
      </c>
      <c r="M106" s="240">
        <v>152.245</v>
      </c>
      <c r="N106" s="240">
        <v>177.13466666666667</v>
      </c>
      <c r="O106" s="258">
        <v>148.78752808988764</v>
      </c>
      <c r="P106" s="224">
        <v>0.28740252632500712</v>
      </c>
      <c r="Q106" s="224">
        <v>0.28296528922046754</v>
      </c>
      <c r="R106" s="224">
        <v>0.19061936314483349</v>
      </c>
      <c r="S106" s="224">
        <v>0.31699913821523795</v>
      </c>
      <c r="T106" s="224">
        <v>0.64443070057360441</v>
      </c>
      <c r="U106" s="259">
        <v>0.28457946320322502</v>
      </c>
      <c r="V106" s="239">
        <v>46</v>
      </c>
      <c r="W106" s="239">
        <v>53</v>
      </c>
      <c r="X106" s="239">
        <v>28</v>
      </c>
      <c r="Y106" s="239">
        <v>36</v>
      </c>
      <c r="Z106" s="239">
        <v>15</v>
      </c>
      <c r="AA106" s="257">
        <v>178</v>
      </c>
      <c r="AB106" s="224">
        <v>0.323943661971831</v>
      </c>
      <c r="AC106" s="224">
        <v>0.31927710843373491</v>
      </c>
      <c r="AD106" s="224">
        <v>0.19310344827586207</v>
      </c>
      <c r="AE106" s="224">
        <v>0.31578947368421051</v>
      </c>
      <c r="AF106" s="224">
        <v>0.625</v>
      </c>
      <c r="AG106" s="259">
        <v>0.30118443316412857</v>
      </c>
      <c r="AH106" s="261">
        <v>2.392468923909086E-3</v>
      </c>
      <c r="AI106" s="261">
        <v>1.9644180874722017E-3</v>
      </c>
      <c r="AJ106" s="261">
        <v>1.2998468037695558E-3</v>
      </c>
      <c r="AK106" s="261">
        <v>1.9353798182893394E-3</v>
      </c>
      <c r="AL106" s="261">
        <v>3.1282586027111575E-3</v>
      </c>
      <c r="AM106" s="262">
        <v>1.9529535679803389E-3</v>
      </c>
    </row>
    <row r="107" spans="1:39" x14ac:dyDescent="0.25">
      <c r="A107" s="215" t="str">
        <v>5409-OHankish</v>
      </c>
      <c r="B107" s="215" t="str">
        <v>HAAZZANPLZ</v>
      </c>
      <c r="C107" s="215" t="str">
        <v>Ahmed Jaffari</v>
      </c>
      <c r="D107" s="239">
        <v>2307.0699999999997</v>
      </c>
      <c r="E107" s="239">
        <v>6921.17</v>
      </c>
      <c r="F107" s="239">
        <v>7547.16</v>
      </c>
      <c r="G107" s="239">
        <v>3577.02</v>
      </c>
      <c r="H107" s="239">
        <v>0</v>
      </c>
      <c r="I107" s="257">
        <v>20352.420000000002</v>
      </c>
      <c r="J107" s="240">
        <v>164.79071428571427</v>
      </c>
      <c r="K107" s="240">
        <v>157.29931818181819</v>
      </c>
      <c r="L107" s="240">
        <v>150.94319999999999</v>
      </c>
      <c r="M107" s="240">
        <v>170.33428571428573</v>
      </c>
      <c r="N107" s="240" t="str">
        <v/>
      </c>
      <c r="O107" s="258">
        <v>157.77069767441861</v>
      </c>
      <c r="P107" s="224">
        <v>0.10101228135467062</v>
      </c>
      <c r="Q107" s="224">
        <v>0.25795836614727158</v>
      </c>
      <c r="R107" s="224">
        <v>0.34334222719611307</v>
      </c>
      <c r="S107" s="224">
        <v>0.20688733754778857</v>
      </c>
      <c r="T107" s="224">
        <v>0</v>
      </c>
      <c r="U107" s="259">
        <v>0.21869209310941784</v>
      </c>
      <c r="V107" s="239">
        <v>14</v>
      </c>
      <c r="W107" s="239">
        <v>44</v>
      </c>
      <c r="X107" s="239">
        <v>50</v>
      </c>
      <c r="Y107" s="239">
        <v>21</v>
      </c>
      <c r="Z107" s="239">
        <v>0</v>
      </c>
      <c r="AA107" s="257">
        <v>129</v>
      </c>
      <c r="AB107" s="224">
        <v>9.8591549295774641E-2</v>
      </c>
      <c r="AC107" s="224">
        <v>0.26506024096385544</v>
      </c>
      <c r="AD107" s="224">
        <v>0.34482758620689657</v>
      </c>
      <c r="AE107" s="224">
        <v>0.18421052631578946</v>
      </c>
      <c r="AF107" s="224">
        <v>0</v>
      </c>
      <c r="AG107" s="259">
        <v>0.21827411167512689</v>
      </c>
      <c r="AH107" s="261">
        <v>7.2814271597233056E-4</v>
      </c>
      <c r="AI107" s="261">
        <v>1.6308376575240918E-3</v>
      </c>
      <c r="AJ107" s="261">
        <v>2.3211550067313495E-3</v>
      </c>
      <c r="AK107" s="261">
        <v>1.1289715606687812E-3</v>
      </c>
      <c r="AL107" s="261">
        <v>0</v>
      </c>
      <c r="AM107" s="262">
        <v>1.4153427543228299E-3</v>
      </c>
    </row>
    <row r="108" spans="1:39" x14ac:dyDescent="0.25">
      <c r="A108" s="215" t="str">
        <v>4460-ADaeak</v>
      </c>
      <c r="B108" s="215" t="str">
        <v>HAAZZANPLZ</v>
      </c>
      <c r="C108" s="215" t="str">
        <v>Ahmed Jaffari</v>
      </c>
      <c r="D108" s="239">
        <v>7674.13</v>
      </c>
      <c r="E108" s="239">
        <v>3349.04</v>
      </c>
      <c r="F108" s="239">
        <v>7051.13</v>
      </c>
      <c r="G108" s="239">
        <v>1174.02</v>
      </c>
      <c r="H108" s="239">
        <v>0</v>
      </c>
      <c r="I108" s="257">
        <v>19248.32</v>
      </c>
      <c r="J108" s="240">
        <v>174.41204545454545</v>
      </c>
      <c r="K108" s="240">
        <v>176.26526315789474</v>
      </c>
      <c r="L108" s="240">
        <v>160.25295454545454</v>
      </c>
      <c r="M108" s="240">
        <v>146.7525</v>
      </c>
      <c r="N108" s="240" t="str">
        <v/>
      </c>
      <c r="O108" s="258">
        <v>167.37669565217391</v>
      </c>
      <c r="P108" s="224">
        <v>0.3360025394601458</v>
      </c>
      <c r="Q108" s="224">
        <v>0.124821798418744</v>
      </c>
      <c r="R108" s="224">
        <v>0.32077638190383256</v>
      </c>
      <c r="S108" s="224">
        <v>6.790285545729538E-2</v>
      </c>
      <c r="T108" s="224">
        <v>0</v>
      </c>
      <c r="U108" s="259">
        <v>0.20682824890798585</v>
      </c>
      <c r="V108" s="239">
        <v>44</v>
      </c>
      <c r="W108" s="239">
        <v>19</v>
      </c>
      <c r="X108" s="239">
        <v>44</v>
      </c>
      <c r="Y108" s="239">
        <v>8</v>
      </c>
      <c r="Z108" s="239">
        <v>0</v>
      </c>
      <c r="AA108" s="257">
        <v>115</v>
      </c>
      <c r="AB108" s="224">
        <v>0.30985915492957744</v>
      </c>
      <c r="AC108" s="224">
        <v>0.1144578313253012</v>
      </c>
      <c r="AD108" s="224">
        <v>0.30344827586206896</v>
      </c>
      <c r="AE108" s="224">
        <v>7.0175438596491224E-2</v>
      </c>
      <c r="AF108" s="224">
        <v>0</v>
      </c>
      <c r="AG108" s="259">
        <v>0.19458544839255498</v>
      </c>
      <c r="AH108" s="261">
        <v>2.288448535913039E-3</v>
      </c>
      <c r="AI108" s="261">
        <v>7.0422535211267609E-4</v>
      </c>
      <c r="AJ108" s="261">
        <v>2.0426164059235874E-3</v>
      </c>
      <c r="AK108" s="261">
        <v>4.300844040642976E-4</v>
      </c>
      <c r="AL108" s="261">
        <v>0</v>
      </c>
      <c r="AM108" s="262">
        <v>1.2617396647063986E-3</v>
      </c>
    </row>
    <row r="109" spans="1:39" x14ac:dyDescent="0.25">
      <c r="A109" s="215" t="str">
        <v>5412-YAdawi</v>
      </c>
      <c r="B109" s="215" t="str">
        <v>HAAZZANPLZ</v>
      </c>
      <c r="C109" s="215" t="str">
        <v>Ahmed Jaffari</v>
      </c>
      <c r="D109" s="239">
        <v>3528.0699999999997</v>
      </c>
      <c r="E109" s="239">
        <v>6601.18</v>
      </c>
      <c r="F109" s="239">
        <v>0</v>
      </c>
      <c r="G109" s="239">
        <v>7057.84</v>
      </c>
      <c r="H109" s="239">
        <v>1255.01</v>
      </c>
      <c r="I109" s="257">
        <v>18442.099999999999</v>
      </c>
      <c r="J109" s="240">
        <v>130.66925925925923</v>
      </c>
      <c r="K109" s="240">
        <v>200.03575757575757</v>
      </c>
      <c r="L109" s="240" t="str">
        <v/>
      </c>
      <c r="M109" s="240">
        <v>144.03755102040816</v>
      </c>
      <c r="N109" s="240">
        <v>156.87625</v>
      </c>
      <c r="O109" s="258">
        <v>157.6247863247863</v>
      </c>
      <c r="P109" s="224">
        <v>0.15447229580332317</v>
      </c>
      <c r="Q109" s="224">
        <v>0.24603204479069957</v>
      </c>
      <c r="R109" s="224">
        <v>0</v>
      </c>
      <c r="S109" s="224">
        <v>0.40821066877967804</v>
      </c>
      <c r="T109" s="224">
        <v>0.30438874134439309</v>
      </c>
      <c r="U109" s="259">
        <v>0.19816520346637864</v>
      </c>
      <c r="V109" s="239">
        <v>27</v>
      </c>
      <c r="W109" s="239">
        <v>33</v>
      </c>
      <c r="X109" s="239">
        <v>0</v>
      </c>
      <c r="Y109" s="239">
        <v>49</v>
      </c>
      <c r="Z109" s="239">
        <v>8</v>
      </c>
      <c r="AA109" s="257">
        <v>117</v>
      </c>
      <c r="AB109" s="224">
        <v>0.19014084507042253</v>
      </c>
      <c r="AC109" s="224">
        <v>0.19879518072289157</v>
      </c>
      <c r="AD109" s="224">
        <v>0</v>
      </c>
      <c r="AE109" s="224">
        <v>0.42982456140350878</v>
      </c>
      <c r="AF109" s="224">
        <v>0.33333333333333331</v>
      </c>
      <c r="AG109" s="259">
        <v>0.19796954314720813</v>
      </c>
      <c r="AH109" s="261">
        <v>1.4042752379466376E-3</v>
      </c>
      <c r="AI109" s="261">
        <v>1.223128243143069E-3</v>
      </c>
      <c r="AJ109" s="261">
        <v>0</v>
      </c>
      <c r="AK109" s="261">
        <v>2.6342669748938229E-3</v>
      </c>
      <c r="AL109" s="261">
        <v>1.6684045881126173E-3</v>
      </c>
      <c r="AM109" s="262">
        <v>1.2836829632230317E-3</v>
      </c>
    </row>
    <row r="110" spans="1:39" x14ac:dyDescent="0.25">
      <c r="A110" s="215" t="str">
        <v>4402-Osama</v>
      </c>
      <c r="B110" s="215" t="str">
        <v>HAAZZANPLZ</v>
      </c>
      <c r="C110" s="215" t="str">
        <v>Ahmed Jaffari</v>
      </c>
      <c r="D110" s="239">
        <v>2766.1</v>
      </c>
      <c r="E110" s="239">
        <v>2367.0600000000004</v>
      </c>
      <c r="F110" s="239">
        <v>3193.0699999999997</v>
      </c>
      <c r="G110" s="239">
        <v>0</v>
      </c>
      <c r="H110" s="239">
        <v>211.02</v>
      </c>
      <c r="I110" s="257">
        <v>8537.25</v>
      </c>
      <c r="J110" s="240">
        <v>251.46363636363637</v>
      </c>
      <c r="K110" s="240">
        <v>139.23882352941177</v>
      </c>
      <c r="L110" s="240">
        <v>138.8291304347826</v>
      </c>
      <c r="M110" s="240" t="str">
        <v/>
      </c>
      <c r="N110" s="240">
        <v>211.02</v>
      </c>
      <c r="O110" s="258">
        <v>164.17788461538461</v>
      </c>
      <c r="P110" s="224">
        <v>0.12111035705685326</v>
      </c>
      <c r="Q110" s="224">
        <v>8.8222501422817345E-2</v>
      </c>
      <c r="R110" s="224">
        <v>0.14526202775522087</v>
      </c>
      <c r="S110" s="224">
        <v>0</v>
      </c>
      <c r="T110" s="224">
        <v>5.1180558082002399E-2</v>
      </c>
      <c r="U110" s="259">
        <v>9.173499131299262E-2</v>
      </c>
      <c r="V110" s="239">
        <v>11</v>
      </c>
      <c r="W110" s="239">
        <v>17</v>
      </c>
      <c r="X110" s="239">
        <v>23</v>
      </c>
      <c r="Y110" s="239">
        <v>0</v>
      </c>
      <c r="Z110" s="239">
        <v>1</v>
      </c>
      <c r="AA110" s="257">
        <v>52</v>
      </c>
      <c r="AB110" s="224">
        <v>7.746478873239436E-2</v>
      </c>
      <c r="AC110" s="224">
        <v>0.10240963855421686</v>
      </c>
      <c r="AD110" s="224">
        <v>0.15862068965517243</v>
      </c>
      <c r="AE110" s="224">
        <v>0</v>
      </c>
      <c r="AF110" s="224">
        <v>4.1666666666666664E-2</v>
      </c>
      <c r="AG110" s="259">
        <v>8.7986463620981392E-2</v>
      </c>
      <c r="AH110" s="261">
        <v>5.7211213397825975E-4</v>
      </c>
      <c r="AI110" s="261">
        <v>6.3009636767976274E-4</v>
      </c>
      <c r="AJ110" s="261">
        <v>1.0677313030964207E-3</v>
      </c>
      <c r="AK110" s="261">
        <v>0</v>
      </c>
      <c r="AL110" s="261">
        <v>2.0855057351407716E-4</v>
      </c>
      <c r="AM110" s="262">
        <v>5.7052576143245854E-4</v>
      </c>
    </row>
    <row r="111" spans="1:39" x14ac:dyDescent="0.25">
      <c r="A111" s="215" t="str">
        <v>4398-NHakami</v>
      </c>
      <c r="B111" s="215" t="str">
        <v>HAKADIMALL</v>
      </c>
      <c r="C111" s="215" t="str">
        <v>Ahmed Jaffari</v>
      </c>
      <c r="D111" s="239">
        <v>6315.14</v>
      </c>
      <c r="E111" s="239">
        <v>7092.13</v>
      </c>
      <c r="F111" s="239">
        <v>6791.0599999999995</v>
      </c>
      <c r="G111" s="239">
        <v>2075.9899999999998</v>
      </c>
      <c r="H111" s="239">
        <v>3121.01</v>
      </c>
      <c r="I111" s="257">
        <v>25395.33</v>
      </c>
      <c r="J111" s="240">
        <v>121.44500000000001</v>
      </c>
      <c r="K111" s="240">
        <v>126.64517857142857</v>
      </c>
      <c r="L111" s="240">
        <v>135.82119999999998</v>
      </c>
      <c r="M111" s="240">
        <v>129.74937499999999</v>
      </c>
      <c r="N111" s="240">
        <v>156.0505</v>
      </c>
      <c r="O111" s="258">
        <v>130.90376288659795</v>
      </c>
      <c r="P111" s="224">
        <v>0.27646509021580434</v>
      </c>
      <c r="Q111" s="224">
        <v>0.24832822703478699</v>
      </c>
      <c r="R111" s="224">
        <v>0.31094184188946211</v>
      </c>
      <c r="S111" s="224">
        <v>0.11389904194862666</v>
      </c>
      <c r="T111" s="224">
        <v>0.73091397912417067</v>
      </c>
      <c r="U111" s="259">
        <v>0.26525632285249362</v>
      </c>
      <c r="V111" s="239">
        <v>52</v>
      </c>
      <c r="W111" s="239">
        <v>56</v>
      </c>
      <c r="X111" s="239">
        <v>50</v>
      </c>
      <c r="Y111" s="239">
        <v>16</v>
      </c>
      <c r="Z111" s="239">
        <v>20</v>
      </c>
      <c r="AA111" s="257">
        <v>194</v>
      </c>
      <c r="AB111" s="224">
        <v>0.29714285714285715</v>
      </c>
      <c r="AC111" s="224">
        <v>0.28426395939086296</v>
      </c>
      <c r="AD111" s="224">
        <v>0.32467532467532467</v>
      </c>
      <c r="AE111" s="224">
        <v>0.13675213675213677</v>
      </c>
      <c r="AF111" s="224">
        <v>0.76923076923076927</v>
      </c>
      <c r="AG111" s="259">
        <v>0.28998505231689087</v>
      </c>
      <c r="AH111" s="261">
        <v>2.7045300878972278E-3</v>
      </c>
      <c r="AI111" s="261">
        <v>2.0756115641215717E-3</v>
      </c>
      <c r="AJ111" s="261">
        <v>2.3211550067313495E-3</v>
      </c>
      <c r="AK111" s="261">
        <v>8.6016880812859521E-4</v>
      </c>
      <c r="AL111" s="261">
        <v>4.1710114702815434E-3</v>
      </c>
      <c r="AM111" s="262">
        <v>2.1284999561134031E-3</v>
      </c>
    </row>
    <row r="112" spans="1:39" x14ac:dyDescent="0.25">
      <c r="A112" s="215" t="str">
        <v>4409-NGhamari</v>
      </c>
      <c r="B112" s="215" t="str">
        <v>HAKADIMALL</v>
      </c>
      <c r="C112" s="215" t="str">
        <v>Ahmed Jaffari</v>
      </c>
      <c r="D112" s="239">
        <v>6399.1100000000006</v>
      </c>
      <c r="E112" s="239">
        <v>6654.1299999999992</v>
      </c>
      <c r="F112" s="239">
        <v>6811.0599999999995</v>
      </c>
      <c r="G112" s="239">
        <v>4772.0200000000004</v>
      </c>
      <c r="H112" s="239">
        <v>506.03</v>
      </c>
      <c r="I112" s="257">
        <v>25142.35</v>
      </c>
      <c r="J112" s="240">
        <v>133.31479166666668</v>
      </c>
      <c r="K112" s="240">
        <v>162.29585365853657</v>
      </c>
      <c r="L112" s="240">
        <v>139.0012244897959</v>
      </c>
      <c r="M112" s="240">
        <v>149.12562500000001</v>
      </c>
      <c r="N112" s="240">
        <v>168.67666666666665</v>
      </c>
      <c r="O112" s="258">
        <v>145.3315028901734</v>
      </c>
      <c r="P112" s="224">
        <v>0.28014114072702362</v>
      </c>
      <c r="Q112" s="224">
        <v>0.23299182408655608</v>
      </c>
      <c r="R112" s="224">
        <v>0.31185758064567826</v>
      </c>
      <c r="S112" s="224">
        <v>0.2618165338752525</v>
      </c>
      <c r="T112" s="224">
        <v>0.11850791918520096</v>
      </c>
      <c r="U112" s="259">
        <v>0.26261392582299153</v>
      </c>
      <c r="V112" s="239">
        <v>48</v>
      </c>
      <c r="W112" s="239">
        <v>41</v>
      </c>
      <c r="X112" s="239">
        <v>49</v>
      </c>
      <c r="Y112" s="239">
        <v>32</v>
      </c>
      <c r="Z112" s="239">
        <v>3</v>
      </c>
      <c r="AA112" s="257">
        <v>173</v>
      </c>
      <c r="AB112" s="224">
        <v>0.2742857142857143</v>
      </c>
      <c r="AC112" s="224">
        <v>0.20812182741116753</v>
      </c>
      <c r="AD112" s="224">
        <v>0.31818181818181818</v>
      </c>
      <c r="AE112" s="224">
        <v>0.27350427350427353</v>
      </c>
      <c r="AF112" s="224">
        <v>0.11538461538461539</v>
      </c>
      <c r="AG112" s="259">
        <v>0.25859491778774291</v>
      </c>
      <c r="AH112" s="261">
        <v>2.4964893119051334E-3</v>
      </c>
      <c r="AI112" s="261">
        <v>1.519644180874722E-3</v>
      </c>
      <c r="AJ112" s="261">
        <v>2.2747319065967225E-3</v>
      </c>
      <c r="AK112" s="261">
        <v>1.7203376162571904E-3</v>
      </c>
      <c r="AL112" s="261">
        <v>6.2565172054223153E-4</v>
      </c>
      <c r="AM112" s="262">
        <v>1.8980953216887562E-3</v>
      </c>
    </row>
    <row r="113" spans="1:39" x14ac:dyDescent="0.25">
      <c r="A113" s="215" t="str">
        <v>5227-JKamli</v>
      </c>
      <c r="B113" s="215" t="str">
        <v>HAKADIMALL</v>
      </c>
      <c r="C113" s="215" t="str">
        <v>Ahmed Jaffari</v>
      </c>
      <c r="D113" s="239">
        <v>4879.09</v>
      </c>
      <c r="E113" s="239">
        <v>7357.13</v>
      </c>
      <c r="F113" s="239">
        <v>5735.11</v>
      </c>
      <c r="G113" s="239">
        <v>7154.7199999999993</v>
      </c>
      <c r="H113" s="239">
        <v>0</v>
      </c>
      <c r="I113" s="257">
        <v>25126.050000000003</v>
      </c>
      <c r="J113" s="240">
        <v>147.85121212121211</v>
      </c>
      <c r="K113" s="240">
        <v>138.81377358490568</v>
      </c>
      <c r="L113" s="240">
        <v>147.05410256410255</v>
      </c>
      <c r="M113" s="240">
        <v>166.38883720930232</v>
      </c>
      <c r="N113" s="240" t="str">
        <v/>
      </c>
      <c r="O113" s="258">
        <v>149.55982142857144</v>
      </c>
      <c r="P113" s="224">
        <v>0.21359749063695008</v>
      </c>
      <c r="Q113" s="224">
        <v>0.25760710096465272</v>
      </c>
      <c r="R113" s="224">
        <v>0.26259312490813996</v>
      </c>
      <c r="S113" s="224">
        <v>0.39254319790108722</v>
      </c>
      <c r="T113" s="224">
        <v>0</v>
      </c>
      <c r="U113" s="259">
        <v>0.26244367097446253</v>
      </c>
      <c r="V113" s="239">
        <v>33</v>
      </c>
      <c r="W113" s="239">
        <v>53</v>
      </c>
      <c r="X113" s="239">
        <v>39</v>
      </c>
      <c r="Y113" s="239">
        <v>43</v>
      </c>
      <c r="Z113" s="239">
        <v>0</v>
      </c>
      <c r="AA113" s="257">
        <v>168</v>
      </c>
      <c r="AB113" s="224">
        <v>0.18857142857142858</v>
      </c>
      <c r="AC113" s="224">
        <v>0.26903553299492383</v>
      </c>
      <c r="AD113" s="224">
        <v>0.25324675324675322</v>
      </c>
      <c r="AE113" s="224">
        <v>0.36752136752136755</v>
      </c>
      <c r="AF113" s="224">
        <v>0</v>
      </c>
      <c r="AG113" s="259">
        <v>0.25112107623318386</v>
      </c>
      <c r="AH113" s="261">
        <v>1.7163364019347792E-3</v>
      </c>
      <c r="AI113" s="261">
        <v>1.9644180874722017E-3</v>
      </c>
      <c r="AJ113" s="261">
        <v>1.8105009052504525E-3</v>
      </c>
      <c r="AK113" s="261">
        <v>2.3117036718455996E-3</v>
      </c>
      <c r="AL113" s="261">
        <v>0</v>
      </c>
      <c r="AM113" s="262">
        <v>1.8432370753971737E-3</v>
      </c>
    </row>
    <row r="114" spans="1:39" x14ac:dyDescent="0.25">
      <c r="A114" s="215" t="str">
        <v>4400-BAlamri</v>
      </c>
      <c r="B114" s="215" t="str">
        <v>HAKADIMALL</v>
      </c>
      <c r="C114" s="215" t="str">
        <v>Ahmed Jaffari</v>
      </c>
      <c r="D114" s="239">
        <v>5249.1100000000006</v>
      </c>
      <c r="E114" s="239">
        <v>7456.1100000000006</v>
      </c>
      <c r="F114" s="239">
        <v>2503.06</v>
      </c>
      <c r="G114" s="239">
        <v>4223.8500000000004</v>
      </c>
      <c r="H114" s="239">
        <v>642.97</v>
      </c>
      <c r="I114" s="257">
        <v>20075.100000000002</v>
      </c>
      <c r="J114" s="240">
        <v>124.97880952380953</v>
      </c>
      <c r="K114" s="240">
        <v>158.64063829787236</v>
      </c>
      <c r="L114" s="240">
        <v>156.44125</v>
      </c>
      <c r="M114" s="240">
        <v>162.45576923076925</v>
      </c>
      <c r="N114" s="240">
        <v>214.32333333333335</v>
      </c>
      <c r="O114" s="258">
        <v>149.81417910447763</v>
      </c>
      <c r="P114" s="224">
        <v>0.22979627842022202</v>
      </c>
      <c r="Q114" s="224">
        <v>0.26107284791400409</v>
      </c>
      <c r="R114" s="224">
        <v>0.11460745255671972</v>
      </c>
      <c r="S114" s="224">
        <v>0.23174122627503349</v>
      </c>
      <c r="T114" s="224">
        <v>0.15057810169062835</v>
      </c>
      <c r="U114" s="259">
        <v>0.20968608035005235</v>
      </c>
      <c r="V114" s="239">
        <v>42</v>
      </c>
      <c r="W114" s="239">
        <v>47</v>
      </c>
      <c r="X114" s="239">
        <v>16</v>
      </c>
      <c r="Y114" s="239">
        <v>26</v>
      </c>
      <c r="Z114" s="239">
        <v>3</v>
      </c>
      <c r="AA114" s="257">
        <v>134</v>
      </c>
      <c r="AB114" s="224">
        <v>0.24</v>
      </c>
      <c r="AC114" s="224">
        <v>0.23857868020304568</v>
      </c>
      <c r="AD114" s="224">
        <v>0.1038961038961039</v>
      </c>
      <c r="AE114" s="224">
        <v>0.22222222222222221</v>
      </c>
      <c r="AF114" s="224">
        <v>0.11538461538461539</v>
      </c>
      <c r="AG114" s="259">
        <v>0.20029895366218237</v>
      </c>
      <c r="AH114" s="261">
        <v>2.1844281479169916E-3</v>
      </c>
      <c r="AI114" s="261">
        <v>1.7420311341734618E-3</v>
      </c>
      <c r="AJ114" s="261">
        <v>7.4276960215403183E-4</v>
      </c>
      <c r="AK114" s="261">
        <v>1.3977743132089673E-3</v>
      </c>
      <c r="AL114" s="261">
        <v>6.2565172054223153E-4</v>
      </c>
      <c r="AM114" s="262">
        <v>1.4702010006144124E-3</v>
      </c>
    </row>
    <row r="115" spans="1:39" x14ac:dyDescent="0.25">
      <c r="A115" s="215" t="str">
        <v>4598-RAlQahtani</v>
      </c>
      <c r="B115" s="215" t="str">
        <v>HAKHAMBLV</v>
      </c>
      <c r="C115" s="215" t="str">
        <v>Ahmed Jaffari</v>
      </c>
      <c r="D115" s="239">
        <v>4555.07</v>
      </c>
      <c r="E115" s="239">
        <v>5574.01</v>
      </c>
      <c r="F115" s="239">
        <v>3318.0499999999997</v>
      </c>
      <c r="G115" s="239">
        <v>3003.0299999999997</v>
      </c>
      <c r="H115" s="239">
        <v>1945.96</v>
      </c>
      <c r="I115" s="257">
        <v>18396.12</v>
      </c>
      <c r="J115" s="240">
        <v>146.93774193548387</v>
      </c>
      <c r="K115" s="240">
        <v>159.25742857142859</v>
      </c>
      <c r="L115" s="240">
        <v>144.26304347826087</v>
      </c>
      <c r="M115" s="240">
        <v>136.50136363636364</v>
      </c>
      <c r="N115" s="240">
        <v>194.596</v>
      </c>
      <c r="O115" s="258">
        <v>152.03404958677686</v>
      </c>
      <c r="P115" s="224">
        <v>0.25767905732210233</v>
      </c>
      <c r="Q115" s="224">
        <v>0.22374520869401515</v>
      </c>
      <c r="R115" s="224">
        <v>0.15699744776530417</v>
      </c>
      <c r="S115" s="224">
        <v>0.1845775134836122</v>
      </c>
      <c r="T115" s="224">
        <v>0.28504424428764574</v>
      </c>
      <c r="U115" s="259">
        <v>0.21188645788761085</v>
      </c>
      <c r="V115" s="239">
        <v>31</v>
      </c>
      <c r="W115" s="239">
        <v>35</v>
      </c>
      <c r="X115" s="239">
        <v>23</v>
      </c>
      <c r="Y115" s="239">
        <v>22</v>
      </c>
      <c r="Z115" s="239">
        <v>10</v>
      </c>
      <c r="AA115" s="257">
        <v>121</v>
      </c>
      <c r="AB115" s="224">
        <v>0.25203252032520324</v>
      </c>
      <c r="AC115" s="224">
        <v>0.23648648648648649</v>
      </c>
      <c r="AD115" s="224">
        <v>0.16428571428571428</v>
      </c>
      <c r="AE115" s="224">
        <v>0.19298245614035087</v>
      </c>
      <c r="AF115" s="224">
        <v>0.29411764705882354</v>
      </c>
      <c r="AG115" s="259">
        <v>0.21645796064400716</v>
      </c>
      <c r="AH115" s="261">
        <v>1.612316013938732E-3</v>
      </c>
      <c r="AI115" s="261">
        <v>1.2972572275759822E-3</v>
      </c>
      <c r="AJ115" s="261">
        <v>1.0677313030964207E-3</v>
      </c>
      <c r="AK115" s="261">
        <v>1.1827321111768185E-3</v>
      </c>
      <c r="AL115" s="261">
        <v>2.0855057351407717E-3</v>
      </c>
      <c r="AM115" s="262">
        <v>1.3275695602562977E-3</v>
      </c>
    </row>
    <row r="116" spans="1:39" x14ac:dyDescent="0.25">
      <c r="A116" s="215" t="str">
        <v>4596-AAlFifi</v>
      </c>
      <c r="B116" s="215" t="str">
        <v>HAKHAMBLV</v>
      </c>
      <c r="C116" s="215" t="str">
        <v>Ahmed Jaffari</v>
      </c>
      <c r="D116" s="239">
        <v>724.03</v>
      </c>
      <c r="E116" s="239">
        <v>4984.04</v>
      </c>
      <c r="F116" s="239">
        <v>5942.1500000000005</v>
      </c>
      <c r="G116" s="239">
        <v>4034.8700000000003</v>
      </c>
      <c r="H116" s="239">
        <v>1626.9</v>
      </c>
      <c r="I116" s="257">
        <v>17311.990000000002</v>
      </c>
      <c r="J116" s="240">
        <v>181.00749999999999</v>
      </c>
      <c r="K116" s="240">
        <v>171.86344827586205</v>
      </c>
      <c r="L116" s="240">
        <v>160.59864864864866</v>
      </c>
      <c r="M116" s="240">
        <v>161.3948</v>
      </c>
      <c r="N116" s="240">
        <v>203.36250000000001</v>
      </c>
      <c r="O116" s="258">
        <v>168.07757281553398</v>
      </c>
      <c r="P116" s="224">
        <v>4.095817800229673E-2</v>
      </c>
      <c r="Q116" s="224">
        <v>0.20006334217902716</v>
      </c>
      <c r="R116" s="224">
        <v>0.28115983310637338</v>
      </c>
      <c r="S116" s="224">
        <v>0.24799827901473595</v>
      </c>
      <c r="T116" s="224">
        <v>0.23830833163660656</v>
      </c>
      <c r="U116" s="259">
        <v>0.19939945162815531</v>
      </c>
      <c r="V116" s="239">
        <v>4</v>
      </c>
      <c r="W116" s="239">
        <v>29</v>
      </c>
      <c r="X116" s="239">
        <v>37</v>
      </c>
      <c r="Y116" s="239">
        <v>25</v>
      </c>
      <c r="Z116" s="239">
        <v>8</v>
      </c>
      <c r="AA116" s="257">
        <v>103</v>
      </c>
      <c r="AB116" s="224">
        <v>3.2520325203252036E-2</v>
      </c>
      <c r="AC116" s="224">
        <v>0.19594594594594594</v>
      </c>
      <c r="AD116" s="224">
        <v>0.26428571428571429</v>
      </c>
      <c r="AE116" s="224">
        <v>0.21929824561403508</v>
      </c>
      <c r="AF116" s="224">
        <v>0.23529411764705882</v>
      </c>
      <c r="AG116" s="259">
        <v>0.18425760286225404</v>
      </c>
      <c r="AH116" s="261">
        <v>2.0804077599209444E-4</v>
      </c>
      <c r="AI116" s="261">
        <v>1.0748702742772423E-3</v>
      </c>
      <c r="AJ116" s="261">
        <v>1.7176547049811987E-3</v>
      </c>
      <c r="AK116" s="261">
        <v>1.34401376270093E-3</v>
      </c>
      <c r="AL116" s="261">
        <v>1.6684045881126173E-3</v>
      </c>
      <c r="AM116" s="262">
        <v>1.1300798736066005E-3</v>
      </c>
    </row>
    <row r="117" spans="1:39" x14ac:dyDescent="0.25">
      <c r="A117" s="215" t="str">
        <v>4469-RAlghamdi</v>
      </c>
      <c r="B117" s="215" t="str">
        <v>HAKHAMBLV</v>
      </c>
      <c r="C117" s="215" t="str">
        <v>Ahmed Jaffari</v>
      </c>
      <c r="D117" s="239">
        <v>4185.07</v>
      </c>
      <c r="E117" s="239">
        <v>5084.12</v>
      </c>
      <c r="F117" s="239">
        <v>2968.09</v>
      </c>
      <c r="G117" s="239">
        <v>4204.93</v>
      </c>
      <c r="H117" s="239">
        <v>379.01</v>
      </c>
      <c r="I117" s="257">
        <v>16821.219999999998</v>
      </c>
      <c r="J117" s="240">
        <v>130.78343749999999</v>
      </c>
      <c r="K117" s="240">
        <v>181.57571428571427</v>
      </c>
      <c r="L117" s="240">
        <v>123.67041666666667</v>
      </c>
      <c r="M117" s="240">
        <v>140.16433333333333</v>
      </c>
      <c r="N117" s="240">
        <v>379.01</v>
      </c>
      <c r="O117" s="258">
        <v>146.27147826086954</v>
      </c>
      <c r="P117" s="224">
        <v>0.23674825906671268</v>
      </c>
      <c r="Q117" s="224">
        <v>0.20408063322911446</v>
      </c>
      <c r="R117" s="224">
        <v>0.14043867775884078</v>
      </c>
      <c r="S117" s="224">
        <v>0.25845080594354558</v>
      </c>
      <c r="T117" s="224">
        <v>5.5517389374632881E-2</v>
      </c>
      <c r="U117" s="259">
        <v>0.19374676416267325</v>
      </c>
      <c r="V117" s="239">
        <v>32</v>
      </c>
      <c r="W117" s="239">
        <v>28</v>
      </c>
      <c r="X117" s="239">
        <v>24</v>
      </c>
      <c r="Y117" s="239">
        <v>30</v>
      </c>
      <c r="Z117" s="239">
        <v>1</v>
      </c>
      <c r="AA117" s="257">
        <v>115</v>
      </c>
      <c r="AB117" s="224">
        <v>0.26016260162601629</v>
      </c>
      <c r="AC117" s="224">
        <v>0.1891891891891892</v>
      </c>
      <c r="AD117" s="224">
        <v>0.17142857142857143</v>
      </c>
      <c r="AE117" s="224">
        <v>0.26315789473684209</v>
      </c>
      <c r="AF117" s="224">
        <v>2.9411764705882353E-2</v>
      </c>
      <c r="AG117" s="259">
        <v>0.20572450805008943</v>
      </c>
      <c r="AH117" s="261">
        <v>1.6643262079367555E-3</v>
      </c>
      <c r="AI117" s="261">
        <v>1.0378057820607859E-3</v>
      </c>
      <c r="AJ117" s="261">
        <v>1.1141544032310477E-3</v>
      </c>
      <c r="AK117" s="261">
        <v>1.612816515241116E-3</v>
      </c>
      <c r="AL117" s="261">
        <v>2.0855057351407716E-4</v>
      </c>
      <c r="AM117" s="262">
        <v>1.2617396647063986E-3</v>
      </c>
    </row>
    <row r="118" spans="1:39" x14ac:dyDescent="0.25">
      <c r="A118" s="215" t="str">
        <v>3411-Khaled Alfifi</v>
      </c>
      <c r="B118" s="215" t="str">
        <v>HAKHAMBLV</v>
      </c>
      <c r="C118" s="215" t="str">
        <v>Ahmed Jaffari</v>
      </c>
      <c r="D118" s="239">
        <v>4049.04</v>
      </c>
      <c r="E118" s="239">
        <v>4670.1399999999994</v>
      </c>
      <c r="F118" s="239">
        <v>4683.0700000000006</v>
      </c>
      <c r="G118" s="239">
        <v>849</v>
      </c>
      <c r="H118" s="239">
        <v>1129.07</v>
      </c>
      <c r="I118" s="257">
        <v>15380.32</v>
      </c>
      <c r="J118" s="240">
        <v>144.60857142857142</v>
      </c>
      <c r="K118" s="240">
        <v>179.62076923076921</v>
      </c>
      <c r="L118" s="240">
        <v>180.11807692307696</v>
      </c>
      <c r="M118" s="240">
        <v>141.5</v>
      </c>
      <c r="N118" s="240">
        <v>225.81399999999999</v>
      </c>
      <c r="O118" s="258">
        <v>169.0145054945055</v>
      </c>
      <c r="P118" s="224">
        <v>0.22905307937298117</v>
      </c>
      <c r="Q118" s="224">
        <v>0.18746314572996242</v>
      </c>
      <c r="R118" s="224">
        <v>0.22158497843801722</v>
      </c>
      <c r="S118" s="224">
        <v>5.2182731756787906E-2</v>
      </c>
      <c r="T118" s="224">
        <v>0.16538618722782181</v>
      </c>
      <c r="U118" s="259">
        <v>0.17715048205697609</v>
      </c>
      <c r="V118" s="239">
        <v>28</v>
      </c>
      <c r="W118" s="239">
        <v>26</v>
      </c>
      <c r="X118" s="239">
        <v>26</v>
      </c>
      <c r="Y118" s="239">
        <v>6</v>
      </c>
      <c r="Z118" s="239">
        <v>5</v>
      </c>
      <c r="AA118" s="257">
        <v>91</v>
      </c>
      <c r="AB118" s="224">
        <v>0.22764227642276422</v>
      </c>
      <c r="AC118" s="224">
        <v>0.17567567567567569</v>
      </c>
      <c r="AD118" s="224">
        <v>0.18571428571428572</v>
      </c>
      <c r="AE118" s="224">
        <v>5.2631578947368418E-2</v>
      </c>
      <c r="AF118" s="224">
        <v>0.14705882352941177</v>
      </c>
      <c r="AG118" s="259">
        <v>0.16279069767441862</v>
      </c>
      <c r="AH118" s="261">
        <v>1.4562854319446611E-3</v>
      </c>
      <c r="AI118" s="261">
        <v>9.636767976278725E-4</v>
      </c>
      <c r="AJ118" s="261">
        <v>1.2070006035003018E-3</v>
      </c>
      <c r="AK118" s="261">
        <v>3.2256330304822323E-4</v>
      </c>
      <c r="AL118" s="261">
        <v>1.0427528675703858E-3</v>
      </c>
      <c r="AM118" s="262">
        <v>9.9842008250680247E-4</v>
      </c>
    </row>
    <row r="119" spans="1:39" x14ac:dyDescent="0.25">
      <c r="A119" s="215" t="str">
        <v>4597-GAlShahri</v>
      </c>
      <c r="B119" s="215" t="str">
        <v>HAKHAMBLV</v>
      </c>
      <c r="C119" s="215" t="str">
        <v>Ahmed Jaffari</v>
      </c>
      <c r="D119" s="239">
        <v>150</v>
      </c>
      <c r="E119" s="239">
        <v>3730.0200000000004</v>
      </c>
      <c r="F119" s="239">
        <v>4114.0600000000004</v>
      </c>
      <c r="G119" s="239">
        <v>4177.92</v>
      </c>
      <c r="H119" s="239">
        <v>1745.93</v>
      </c>
      <c r="I119" s="257">
        <v>13917.93</v>
      </c>
      <c r="J119" s="240">
        <v>150</v>
      </c>
      <c r="K119" s="240">
        <v>143.46230769230772</v>
      </c>
      <c r="L119" s="240">
        <v>141.86413793103449</v>
      </c>
      <c r="M119" s="240">
        <v>134.77161290322582</v>
      </c>
      <c r="N119" s="240">
        <v>174.59300000000002</v>
      </c>
      <c r="O119" s="258">
        <v>143.4838144329897</v>
      </c>
      <c r="P119" s="224">
        <v>8.4854587521850065E-3</v>
      </c>
      <c r="Q119" s="224">
        <v>0.14972597884339112</v>
      </c>
      <c r="R119" s="224">
        <v>0.19466159941933586</v>
      </c>
      <c r="S119" s="224">
        <v>0.25679066980131843</v>
      </c>
      <c r="T119" s="224">
        <v>0.25574384747329304</v>
      </c>
      <c r="U119" s="259">
        <v>0.16030667819234251</v>
      </c>
      <c r="V119" s="239">
        <v>1</v>
      </c>
      <c r="W119" s="239">
        <v>26</v>
      </c>
      <c r="X119" s="239">
        <v>29</v>
      </c>
      <c r="Y119" s="239">
        <v>31</v>
      </c>
      <c r="Z119" s="239">
        <v>10</v>
      </c>
      <c r="AA119" s="257">
        <v>97</v>
      </c>
      <c r="AB119" s="224">
        <v>8.130081300813009E-3</v>
      </c>
      <c r="AC119" s="224">
        <v>0.17567567567567569</v>
      </c>
      <c r="AD119" s="224">
        <v>0.20714285714285716</v>
      </c>
      <c r="AE119" s="224">
        <v>0.27192982456140352</v>
      </c>
      <c r="AF119" s="224">
        <v>0.29411764705882354</v>
      </c>
      <c r="AG119" s="259">
        <v>0.17352415026833631</v>
      </c>
      <c r="AH119" s="261">
        <v>5.201019399802361E-5</v>
      </c>
      <c r="AI119" s="261">
        <v>9.636767976278725E-4</v>
      </c>
      <c r="AJ119" s="261">
        <v>1.3462699039041828E-3</v>
      </c>
      <c r="AK119" s="261">
        <v>1.6665770657491533E-3</v>
      </c>
      <c r="AL119" s="261">
        <v>2.0855057351407717E-3</v>
      </c>
      <c r="AM119" s="262">
        <v>1.0642499780567016E-3</v>
      </c>
    </row>
    <row r="120" spans="1:39" x14ac:dyDescent="0.25">
      <c r="A120" s="215" t="str">
        <v>3401-Aboud Almufleh</v>
      </c>
      <c r="B120" s="215" t="str">
        <v>HAKHAMBLV</v>
      </c>
      <c r="C120" s="215" t="str">
        <v>Ahmed Jaffari</v>
      </c>
      <c r="D120" s="239">
        <v>1700.03</v>
      </c>
      <c r="E120" s="239">
        <v>869.98</v>
      </c>
      <c r="F120" s="239">
        <v>109</v>
      </c>
      <c r="G120" s="239">
        <v>0</v>
      </c>
      <c r="H120" s="239">
        <v>0</v>
      </c>
      <c r="I120" s="257">
        <v>2679.01</v>
      </c>
      <c r="J120" s="240">
        <v>141.66916666666665</v>
      </c>
      <c r="K120" s="240">
        <v>217.495</v>
      </c>
      <c r="L120" s="240">
        <v>109</v>
      </c>
      <c r="M120" s="240" t="str">
        <v/>
      </c>
      <c r="N120" s="240" t="str">
        <v/>
      </c>
      <c r="O120" s="258">
        <v>157.58882352941177</v>
      </c>
      <c r="P120" s="224">
        <v>9.6170229616513836E-2</v>
      </c>
      <c r="Q120" s="224">
        <v>3.4921691324489787E-2</v>
      </c>
      <c r="R120" s="224">
        <v>5.1574635121285559E-3</v>
      </c>
      <c r="S120" s="224">
        <v>0</v>
      </c>
      <c r="T120" s="224">
        <v>0</v>
      </c>
      <c r="U120" s="259">
        <v>3.0856829567620151E-2</v>
      </c>
      <c r="V120" s="239">
        <v>12</v>
      </c>
      <c r="W120" s="239">
        <v>4</v>
      </c>
      <c r="X120" s="239">
        <v>1</v>
      </c>
      <c r="Y120" s="239">
        <v>0</v>
      </c>
      <c r="Z120" s="239">
        <v>0</v>
      </c>
      <c r="AA120" s="257">
        <v>17</v>
      </c>
      <c r="AB120" s="224">
        <v>9.7560975609756101E-2</v>
      </c>
      <c r="AC120" s="224">
        <v>2.7027027027027029E-2</v>
      </c>
      <c r="AD120" s="224">
        <v>7.1428571428571426E-3</v>
      </c>
      <c r="AE120" s="224">
        <v>0</v>
      </c>
      <c r="AF120" s="224">
        <v>0</v>
      </c>
      <c r="AG120" s="259">
        <v>3.041144901610018E-2</v>
      </c>
      <c r="AH120" s="261">
        <v>6.2412232797628335E-4</v>
      </c>
      <c r="AI120" s="261">
        <v>1.4825796886582654E-4</v>
      </c>
      <c r="AJ120" s="261">
        <v>4.6423100134626989E-5</v>
      </c>
      <c r="AK120" s="261">
        <v>0</v>
      </c>
      <c r="AL120" s="261">
        <v>0</v>
      </c>
      <c r="AM120" s="262">
        <v>1.8651803739138067E-4</v>
      </c>
    </row>
    <row r="121" spans="1:39" x14ac:dyDescent="0.25">
      <c r="A121" s="215" t="str">
        <v>5491-AAlThahban</v>
      </c>
      <c r="B121" s="215" t="str">
        <v>HAKHAMBLV</v>
      </c>
      <c r="C121" s="215" t="str">
        <v>Ahmed Jaffari</v>
      </c>
      <c r="D121" s="239">
        <v>2314.06</v>
      </c>
      <c r="E121" s="239">
        <v>0</v>
      </c>
      <c r="F121" s="239">
        <v>0</v>
      </c>
      <c r="G121" s="239">
        <v>0</v>
      </c>
      <c r="H121" s="239">
        <v>0</v>
      </c>
      <c r="I121" s="257">
        <v>2314.06</v>
      </c>
      <c r="J121" s="240">
        <v>154.27066666666667</v>
      </c>
      <c r="K121" s="240" t="str">
        <v/>
      </c>
      <c r="L121" s="240" t="str">
        <v/>
      </c>
      <c r="M121" s="240" t="str">
        <v/>
      </c>
      <c r="N121" s="240" t="str">
        <v/>
      </c>
      <c r="O121" s="258">
        <v>154.27066666666667</v>
      </c>
      <c r="P121" s="224">
        <v>0.13090573786720822</v>
      </c>
      <c r="Q121" s="224">
        <v>0</v>
      </c>
      <c r="R121" s="224">
        <v>0</v>
      </c>
      <c r="S121" s="224">
        <v>0</v>
      </c>
      <c r="T121" s="224">
        <v>0</v>
      </c>
      <c r="U121" s="259">
        <v>2.6653336504621886E-2</v>
      </c>
      <c r="V121" s="239">
        <v>15</v>
      </c>
      <c r="W121" s="239">
        <v>0</v>
      </c>
      <c r="X121" s="239">
        <v>0</v>
      </c>
      <c r="Y121" s="239">
        <v>0</v>
      </c>
      <c r="Z121" s="239">
        <v>0</v>
      </c>
      <c r="AA121" s="257">
        <v>15</v>
      </c>
      <c r="AB121" s="224">
        <v>0.12195121951219512</v>
      </c>
      <c r="AC121" s="224">
        <v>0</v>
      </c>
      <c r="AD121" s="224">
        <v>0</v>
      </c>
      <c r="AE121" s="224">
        <v>0</v>
      </c>
      <c r="AF121" s="224">
        <v>0</v>
      </c>
      <c r="AG121" s="259">
        <v>2.6833631484794274E-2</v>
      </c>
      <c r="AH121" s="261">
        <v>7.8015290997035416E-4</v>
      </c>
      <c r="AI121" s="261">
        <v>0</v>
      </c>
      <c r="AJ121" s="261">
        <v>0</v>
      </c>
      <c r="AK121" s="261">
        <v>0</v>
      </c>
      <c r="AL121" s="261">
        <v>0</v>
      </c>
      <c r="AM121" s="262">
        <v>1.6457473887474764E-4</v>
      </c>
    </row>
    <row r="122" spans="1:39" x14ac:dyDescent="0.25">
      <c r="A122" s="215" t="str">
        <v>5368-RAli</v>
      </c>
      <c r="B122" s="215" t="str">
        <v>HAKHMAVE</v>
      </c>
      <c r="C122" s="215" t="str">
        <v>Ahmed Jaffari</v>
      </c>
      <c r="D122" s="239">
        <v>3472.1099999999997</v>
      </c>
      <c r="E122" s="239">
        <v>3222.07</v>
      </c>
      <c r="F122" s="239">
        <v>3822.05</v>
      </c>
      <c r="G122" s="239">
        <v>1486.96</v>
      </c>
      <c r="H122" s="239">
        <v>951.05</v>
      </c>
      <c r="I122" s="257">
        <v>12954.239999999998</v>
      </c>
      <c r="J122" s="240">
        <v>128.59666666666666</v>
      </c>
      <c r="K122" s="240">
        <v>161.1035</v>
      </c>
      <c r="L122" s="240">
        <v>166.17608695652174</v>
      </c>
      <c r="M122" s="240">
        <v>165.21777777777777</v>
      </c>
      <c r="N122" s="240">
        <v>158.50833333333333</v>
      </c>
      <c r="O122" s="258">
        <v>152.40282352941173</v>
      </c>
      <c r="P122" s="224">
        <v>0.39940252563480216</v>
      </c>
      <c r="Q122" s="224">
        <v>0.23782133230196009</v>
      </c>
      <c r="R122" s="224">
        <v>0.43040618911949197</v>
      </c>
      <c r="S122" s="224">
        <v>0.17506684389669014</v>
      </c>
      <c r="T122" s="224">
        <v>0.54406338491461914</v>
      </c>
      <c r="U122" s="259">
        <v>0.31318152103697566</v>
      </c>
      <c r="V122" s="239">
        <v>27</v>
      </c>
      <c r="W122" s="239">
        <v>20</v>
      </c>
      <c r="X122" s="239">
        <v>23</v>
      </c>
      <c r="Y122" s="239">
        <v>9</v>
      </c>
      <c r="Z122" s="239">
        <v>6</v>
      </c>
      <c r="AA122" s="257">
        <v>85</v>
      </c>
      <c r="AB122" s="224">
        <v>0.40909090909090912</v>
      </c>
      <c r="AC122" s="224">
        <v>0.22727272727272727</v>
      </c>
      <c r="AD122" s="224">
        <v>0.35384615384615387</v>
      </c>
      <c r="AE122" s="224">
        <v>0.18367346938775511</v>
      </c>
      <c r="AF122" s="224">
        <v>0.54545454545454541</v>
      </c>
      <c r="AG122" s="259">
        <v>0.30465949820788529</v>
      </c>
      <c r="AH122" s="261">
        <v>1.4042752379466376E-3</v>
      </c>
      <c r="AI122" s="261">
        <v>7.4128984432913266E-4</v>
      </c>
      <c r="AJ122" s="261">
        <v>1.0677313030964207E-3</v>
      </c>
      <c r="AK122" s="261">
        <v>4.8384495457233484E-4</v>
      </c>
      <c r="AL122" s="261">
        <v>1.2513034410844631E-3</v>
      </c>
      <c r="AM122" s="262">
        <v>9.3259018695690337E-4</v>
      </c>
    </row>
    <row r="123" spans="1:39" x14ac:dyDescent="0.25">
      <c r="A123" s="215" t="str">
        <v>5702-SAsiri</v>
      </c>
      <c r="B123" s="215" t="str">
        <v>HAKHMAVE</v>
      </c>
      <c r="C123" s="215" t="str">
        <v>Ahmed Jaffari</v>
      </c>
      <c r="D123" s="239">
        <v>3343.08</v>
      </c>
      <c r="E123" s="239">
        <v>3752.08</v>
      </c>
      <c r="F123" s="239">
        <v>1516</v>
      </c>
      <c r="G123" s="239">
        <v>2574.86</v>
      </c>
      <c r="H123" s="239">
        <v>435.98</v>
      </c>
      <c r="I123" s="257">
        <v>11622</v>
      </c>
      <c r="J123" s="240">
        <v>139.29499999999999</v>
      </c>
      <c r="K123" s="240">
        <v>163.13391304347826</v>
      </c>
      <c r="L123" s="240">
        <v>126.33333333333333</v>
      </c>
      <c r="M123" s="240">
        <v>214.57166666666669</v>
      </c>
      <c r="N123" s="240">
        <v>145.32666666666668</v>
      </c>
      <c r="O123" s="258">
        <v>157.05405405405406</v>
      </c>
      <c r="P123" s="224">
        <v>0.38455999245392414</v>
      </c>
      <c r="Q123" s="224">
        <v>0.27694142725128207</v>
      </c>
      <c r="R123" s="224">
        <v>0.17071879821173189</v>
      </c>
      <c r="S123" s="224">
        <v>0.30315046381599475</v>
      </c>
      <c r="T123" s="224">
        <v>0.24940934183804814</v>
      </c>
      <c r="U123" s="259">
        <v>0.28097330584362584</v>
      </c>
      <c r="V123" s="239">
        <v>24</v>
      </c>
      <c r="W123" s="239">
        <v>23</v>
      </c>
      <c r="X123" s="239">
        <v>12</v>
      </c>
      <c r="Y123" s="239">
        <v>12</v>
      </c>
      <c r="Z123" s="239">
        <v>3</v>
      </c>
      <c r="AA123" s="257">
        <v>74</v>
      </c>
      <c r="AB123" s="224">
        <v>0.36363636363636365</v>
      </c>
      <c r="AC123" s="224">
        <v>0.26136363636363635</v>
      </c>
      <c r="AD123" s="224">
        <v>0.18461538461538463</v>
      </c>
      <c r="AE123" s="224">
        <v>0.24489795918367346</v>
      </c>
      <c r="AF123" s="224">
        <v>0.27272727272727271</v>
      </c>
      <c r="AG123" s="259">
        <v>0.26523297491039427</v>
      </c>
      <c r="AH123" s="261">
        <v>1.2482446559525667E-3</v>
      </c>
      <c r="AI123" s="261">
        <v>8.5248332097850258E-4</v>
      </c>
      <c r="AJ123" s="261">
        <v>5.5707720161552387E-4</v>
      </c>
      <c r="AK123" s="261">
        <v>6.4512660609644646E-4</v>
      </c>
      <c r="AL123" s="261">
        <v>6.2565172054223153E-4</v>
      </c>
      <c r="AM123" s="262">
        <v>8.1190204511542179E-4</v>
      </c>
    </row>
    <row r="124" spans="1:39" x14ac:dyDescent="0.25">
      <c r="A124" s="215" t="str">
        <v>5494-SHuraysi</v>
      </c>
      <c r="B124" s="215" t="str">
        <v>HAKHMAVE</v>
      </c>
      <c r="C124" s="215" t="str">
        <v>Ahmed Jaffari</v>
      </c>
      <c r="D124" s="239">
        <v>1878.07</v>
      </c>
      <c r="E124" s="239">
        <v>3910.1099999999997</v>
      </c>
      <c r="F124" s="239">
        <v>1753.03</v>
      </c>
      <c r="G124" s="239">
        <v>1173</v>
      </c>
      <c r="H124" s="239">
        <v>0</v>
      </c>
      <c r="I124" s="257">
        <v>8714.2099999999991</v>
      </c>
      <c r="J124" s="240">
        <v>125.20466666666667</v>
      </c>
      <c r="K124" s="240">
        <v>156.40439999999998</v>
      </c>
      <c r="L124" s="240">
        <v>146.08583333333334</v>
      </c>
      <c r="M124" s="240">
        <v>146.625</v>
      </c>
      <c r="N124" s="240" t="str">
        <v/>
      </c>
      <c r="O124" s="258">
        <v>145.23683333333332</v>
      </c>
      <c r="P124" s="224">
        <v>0.21603748191127384</v>
      </c>
      <c r="Q124" s="224">
        <v>0.28860563850171383</v>
      </c>
      <c r="R124" s="224">
        <v>0.19741106519070734</v>
      </c>
      <c r="S124" s="224">
        <v>0.13810284600178721</v>
      </c>
      <c r="T124" s="224">
        <v>0</v>
      </c>
      <c r="U124" s="259">
        <v>0.21067461637545884</v>
      </c>
      <c r="V124" s="239">
        <v>15</v>
      </c>
      <c r="W124" s="239">
        <v>25</v>
      </c>
      <c r="X124" s="239">
        <v>12</v>
      </c>
      <c r="Y124" s="239">
        <v>8</v>
      </c>
      <c r="Z124" s="239">
        <v>0</v>
      </c>
      <c r="AA124" s="257">
        <v>60</v>
      </c>
      <c r="AB124" s="224">
        <v>0.22727272727272727</v>
      </c>
      <c r="AC124" s="224">
        <v>0.28409090909090912</v>
      </c>
      <c r="AD124" s="224">
        <v>0.18461538461538463</v>
      </c>
      <c r="AE124" s="224">
        <v>0.16326530612244897</v>
      </c>
      <c r="AF124" s="224">
        <v>0</v>
      </c>
      <c r="AG124" s="259">
        <v>0.21505376344086022</v>
      </c>
      <c r="AH124" s="261">
        <v>7.8015290997035416E-4</v>
      </c>
      <c r="AI124" s="261">
        <v>9.2661230541141583E-4</v>
      </c>
      <c r="AJ124" s="261">
        <v>5.5707720161552387E-4</v>
      </c>
      <c r="AK124" s="261">
        <v>4.300844040642976E-4</v>
      </c>
      <c r="AL124" s="261">
        <v>0</v>
      </c>
      <c r="AM124" s="262">
        <v>6.5829895549899056E-4</v>
      </c>
    </row>
    <row r="125" spans="1:39" x14ac:dyDescent="0.25">
      <c r="A125" s="215" t="str">
        <v>3420-Najla Asiri</v>
      </c>
      <c r="B125" s="215" t="str">
        <v>HAKHMAVE</v>
      </c>
      <c r="C125" s="215" t="str">
        <v>Ahmed Jaffari</v>
      </c>
      <c r="D125" s="239">
        <v>0</v>
      </c>
      <c r="E125" s="239">
        <v>2664.02</v>
      </c>
      <c r="F125" s="239">
        <v>1789.02</v>
      </c>
      <c r="G125" s="239">
        <v>3258.85</v>
      </c>
      <c r="H125" s="239">
        <v>361.02</v>
      </c>
      <c r="I125" s="257">
        <v>8072.91</v>
      </c>
      <c r="J125" s="240" t="str">
        <v/>
      </c>
      <c r="K125" s="240">
        <v>133.20099999999999</v>
      </c>
      <c r="L125" s="240">
        <v>99.39</v>
      </c>
      <c r="M125" s="240">
        <v>162.9425</v>
      </c>
      <c r="N125" s="240">
        <v>180.51</v>
      </c>
      <c r="O125" s="258">
        <v>134.54849999999999</v>
      </c>
      <c r="P125" s="224">
        <v>0</v>
      </c>
      <c r="Q125" s="224">
        <v>0.19663160194504395</v>
      </c>
      <c r="R125" s="224">
        <v>0.20146394747806898</v>
      </c>
      <c r="S125" s="224">
        <v>0.38367984628552793</v>
      </c>
      <c r="T125" s="224">
        <v>0.20652727324733275</v>
      </c>
      <c r="U125" s="259">
        <v>0.19517055674393954</v>
      </c>
      <c r="V125" s="239">
        <v>0</v>
      </c>
      <c r="W125" s="239">
        <v>20</v>
      </c>
      <c r="X125" s="239">
        <v>18</v>
      </c>
      <c r="Y125" s="239">
        <v>20</v>
      </c>
      <c r="Z125" s="239">
        <v>2</v>
      </c>
      <c r="AA125" s="257">
        <v>60</v>
      </c>
      <c r="AB125" s="224">
        <v>0</v>
      </c>
      <c r="AC125" s="224">
        <v>0.22727272727272727</v>
      </c>
      <c r="AD125" s="224">
        <v>0.27692307692307694</v>
      </c>
      <c r="AE125" s="224">
        <v>0.40816326530612246</v>
      </c>
      <c r="AF125" s="224">
        <v>0.18181818181818182</v>
      </c>
      <c r="AG125" s="259">
        <v>0.21505376344086022</v>
      </c>
      <c r="AH125" s="261">
        <v>0</v>
      </c>
      <c r="AI125" s="261">
        <v>7.4128984432913266E-4</v>
      </c>
      <c r="AJ125" s="261">
        <v>8.3561580242328586E-4</v>
      </c>
      <c r="AK125" s="261">
        <v>1.075211010160744E-3</v>
      </c>
      <c r="AL125" s="261">
        <v>4.1710114702815432E-4</v>
      </c>
      <c r="AM125" s="262">
        <v>6.5829895549899056E-4</v>
      </c>
    </row>
    <row r="126" spans="1:39" x14ac:dyDescent="0.25">
      <c r="A126" s="215" t="str">
        <v>6066-NAlzubaidi</v>
      </c>
      <c r="B126" s="215" t="str">
        <v>HALAVANDAP</v>
      </c>
      <c r="C126" s="215" t="str">
        <v>Ahmed Jaffari</v>
      </c>
      <c r="D126" s="239">
        <v>6566.09</v>
      </c>
      <c r="E126" s="239">
        <v>3209.06</v>
      </c>
      <c r="F126" s="239">
        <v>6794.04</v>
      </c>
      <c r="G126" s="239">
        <v>1560.96</v>
      </c>
      <c r="H126" s="239">
        <v>1013.97</v>
      </c>
      <c r="I126" s="257">
        <v>19144.12</v>
      </c>
      <c r="J126" s="240">
        <v>177.4618918918919</v>
      </c>
      <c r="K126" s="240">
        <v>188.76823529411763</v>
      </c>
      <c r="L126" s="240">
        <v>194.11542857142857</v>
      </c>
      <c r="M126" s="240">
        <v>222.99428571428572</v>
      </c>
      <c r="N126" s="240">
        <v>168.995</v>
      </c>
      <c r="O126" s="258">
        <v>187.68745098039216</v>
      </c>
      <c r="P126" s="224">
        <v>0.43072568345441725</v>
      </c>
      <c r="Q126" s="224">
        <v>0.18695030850010863</v>
      </c>
      <c r="R126" s="224">
        <v>0.44136861143160061</v>
      </c>
      <c r="S126" s="224">
        <v>0.15193599252467443</v>
      </c>
      <c r="T126" s="224">
        <v>0.34653912009268661</v>
      </c>
      <c r="U126" s="259">
        <v>0.31382532543354391</v>
      </c>
      <c r="V126" s="239">
        <v>37</v>
      </c>
      <c r="W126" s="239">
        <v>17</v>
      </c>
      <c r="X126" s="239">
        <v>35</v>
      </c>
      <c r="Y126" s="239">
        <v>7</v>
      </c>
      <c r="Z126" s="239">
        <v>6</v>
      </c>
      <c r="AA126" s="257">
        <v>102</v>
      </c>
      <c r="AB126" s="224">
        <v>0.43023255813953487</v>
      </c>
      <c r="AC126" s="224">
        <v>0.17525773195876287</v>
      </c>
      <c r="AD126" s="224">
        <v>0.40697674418604651</v>
      </c>
      <c r="AE126" s="224">
        <v>0.1206896551724138</v>
      </c>
      <c r="AF126" s="224">
        <v>0.35294117647058826</v>
      </c>
      <c r="AG126" s="259">
        <v>0.29651162790697677</v>
      </c>
      <c r="AH126" s="261">
        <v>1.9243771779268737E-3</v>
      </c>
      <c r="AI126" s="261">
        <v>6.3009636767976274E-4</v>
      </c>
      <c r="AJ126" s="261">
        <v>1.6248085047119447E-3</v>
      </c>
      <c r="AK126" s="261">
        <v>3.7632385355626042E-4</v>
      </c>
      <c r="AL126" s="261">
        <v>1.2513034410844631E-3</v>
      </c>
      <c r="AM126" s="262">
        <v>1.119108224348284E-3</v>
      </c>
    </row>
    <row r="127" spans="1:39" x14ac:dyDescent="0.25">
      <c r="A127" s="215" t="str">
        <v>6475-HASIRI</v>
      </c>
      <c r="B127" s="215" t="str">
        <v>HALAVANDAP</v>
      </c>
      <c r="C127" s="215" t="str">
        <v>Ahmed Jaffari</v>
      </c>
      <c r="D127" s="239">
        <v>2086.06</v>
      </c>
      <c r="E127" s="239">
        <v>6376.18</v>
      </c>
      <c r="F127" s="239">
        <v>4774.04</v>
      </c>
      <c r="G127" s="239">
        <v>2074.9899999999998</v>
      </c>
      <c r="H127" s="239">
        <v>1219</v>
      </c>
      <c r="I127" s="257">
        <v>16530.269999999997</v>
      </c>
      <c r="J127" s="240">
        <v>149.00428571428571</v>
      </c>
      <c r="K127" s="240">
        <v>167.79421052631579</v>
      </c>
      <c r="L127" s="240">
        <v>176.81629629629629</v>
      </c>
      <c r="M127" s="240">
        <v>188.63545454545454</v>
      </c>
      <c r="N127" s="240">
        <v>203.16666666666666</v>
      </c>
      <c r="O127" s="258">
        <v>172.19031249999998</v>
      </c>
      <c r="P127" s="224">
        <v>0.13684241599291536</v>
      </c>
      <c r="Q127" s="224">
        <v>0.37145731711224556</v>
      </c>
      <c r="R127" s="224">
        <v>0.31014115397008535</v>
      </c>
      <c r="S127" s="224">
        <v>0.20196908641398509</v>
      </c>
      <c r="T127" s="224">
        <v>0.41661112990816784</v>
      </c>
      <c r="U127" s="259">
        <v>0.27097706043706099</v>
      </c>
      <c r="V127" s="239">
        <v>14</v>
      </c>
      <c r="W127" s="239">
        <v>38</v>
      </c>
      <c r="X127" s="239">
        <v>27</v>
      </c>
      <c r="Y127" s="239">
        <v>11</v>
      </c>
      <c r="Z127" s="239">
        <v>6</v>
      </c>
      <c r="AA127" s="257">
        <v>96</v>
      </c>
      <c r="AB127" s="224">
        <v>0.16279069767441862</v>
      </c>
      <c r="AC127" s="224">
        <v>0.39175257731958762</v>
      </c>
      <c r="AD127" s="224">
        <v>0.31395348837209303</v>
      </c>
      <c r="AE127" s="224">
        <v>0.18965517241379309</v>
      </c>
      <c r="AF127" s="224">
        <v>0.35294117647058826</v>
      </c>
      <c r="AG127" s="259">
        <v>0.27906976744186046</v>
      </c>
      <c r="AH127" s="261">
        <v>7.2814271597233056E-4</v>
      </c>
      <c r="AI127" s="261">
        <v>1.4084507042253522E-3</v>
      </c>
      <c r="AJ127" s="261">
        <v>1.2534237036349288E-3</v>
      </c>
      <c r="AK127" s="261">
        <v>5.9136605558840927E-4</v>
      </c>
      <c r="AL127" s="261">
        <v>1.2513034410844631E-3</v>
      </c>
      <c r="AM127" s="262">
        <v>1.0532783287983849E-3</v>
      </c>
    </row>
    <row r="128" spans="1:39" x14ac:dyDescent="0.25">
      <c r="A128" s="215" t="str">
        <v>6433-Asarhan</v>
      </c>
      <c r="B128" s="215" t="str">
        <v>HALAVANDAP</v>
      </c>
      <c r="C128" s="215" t="str">
        <v>Ahmed Jaffari</v>
      </c>
      <c r="D128" s="239">
        <v>1534.03</v>
      </c>
      <c r="E128" s="239">
        <v>5664.0400000000009</v>
      </c>
      <c r="F128" s="239">
        <v>2686.04</v>
      </c>
      <c r="G128" s="239">
        <v>4017.9100000000003</v>
      </c>
      <c r="H128" s="239">
        <v>0</v>
      </c>
      <c r="I128" s="257">
        <v>13902.02</v>
      </c>
      <c r="J128" s="240">
        <v>153.40299999999999</v>
      </c>
      <c r="K128" s="240">
        <v>171.63757575757577</v>
      </c>
      <c r="L128" s="240">
        <v>158.00235294117647</v>
      </c>
      <c r="M128" s="240">
        <v>167.41291666666669</v>
      </c>
      <c r="N128" s="240" t="str">
        <v/>
      </c>
      <c r="O128" s="258">
        <v>165.5002380952381</v>
      </c>
      <c r="P128" s="224">
        <v>0.10063007363432114</v>
      </c>
      <c r="Q128" s="224">
        <v>0.32997015492292309</v>
      </c>
      <c r="R128" s="224">
        <v>0.17449613853461807</v>
      </c>
      <c r="S128" s="224">
        <v>0.39108314353014467</v>
      </c>
      <c r="T128" s="224">
        <v>0</v>
      </c>
      <c r="U128" s="259">
        <v>0.22789273942514135</v>
      </c>
      <c r="V128" s="239">
        <v>10</v>
      </c>
      <c r="W128" s="239">
        <v>33</v>
      </c>
      <c r="X128" s="239">
        <v>17</v>
      </c>
      <c r="Y128" s="239">
        <v>24</v>
      </c>
      <c r="Z128" s="239">
        <v>0</v>
      </c>
      <c r="AA128" s="257">
        <v>84</v>
      </c>
      <c r="AB128" s="224">
        <v>0.11627906976744186</v>
      </c>
      <c r="AC128" s="224">
        <v>0.34020618556701032</v>
      </c>
      <c r="AD128" s="224">
        <v>0.19767441860465115</v>
      </c>
      <c r="AE128" s="224">
        <v>0.41379310344827586</v>
      </c>
      <c r="AF128" s="224">
        <v>0</v>
      </c>
      <c r="AG128" s="259">
        <v>0.2441860465116279</v>
      </c>
      <c r="AH128" s="261">
        <v>5.2010193998023614E-4</v>
      </c>
      <c r="AI128" s="261">
        <v>1.223128243143069E-3</v>
      </c>
      <c r="AJ128" s="261">
        <v>7.8919270228865884E-4</v>
      </c>
      <c r="AK128" s="261">
        <v>1.2902532121928929E-3</v>
      </c>
      <c r="AL128" s="261">
        <v>0</v>
      </c>
      <c r="AM128" s="262">
        <v>9.2161853769858685E-4</v>
      </c>
    </row>
    <row r="129" spans="1:39" x14ac:dyDescent="0.25">
      <c r="A129" s="215" t="str">
        <v>4592-SJabeer</v>
      </c>
      <c r="B129" s="215" t="str">
        <v>HALAVANDAP</v>
      </c>
      <c r="C129" s="215" t="str">
        <v>Ahmed Jaffari</v>
      </c>
      <c r="D129" s="239">
        <v>5058.07</v>
      </c>
      <c r="E129" s="239">
        <v>1916.03</v>
      </c>
      <c r="F129" s="239">
        <v>1139</v>
      </c>
      <c r="G129" s="239">
        <v>2619.94</v>
      </c>
      <c r="H129" s="239">
        <v>693.02</v>
      </c>
      <c r="I129" s="257">
        <v>11426.06</v>
      </c>
      <c r="J129" s="240">
        <v>202.3228</v>
      </c>
      <c r="K129" s="240">
        <v>212.89222222222222</v>
      </c>
      <c r="L129" s="240">
        <v>162.71428571428572</v>
      </c>
      <c r="M129" s="240">
        <v>163.74625</v>
      </c>
      <c r="N129" s="240">
        <v>138.60399999999998</v>
      </c>
      <c r="O129" s="258">
        <v>184.29129032258064</v>
      </c>
      <c r="P129" s="224">
        <v>0.33180182691834625</v>
      </c>
      <c r="Q129" s="224">
        <v>0.11162221946472274</v>
      </c>
      <c r="R129" s="224">
        <v>7.3994096063695988E-2</v>
      </c>
      <c r="S129" s="224">
        <v>0.25501177753119586</v>
      </c>
      <c r="T129" s="224">
        <v>0.2368497499991456</v>
      </c>
      <c r="U129" s="259">
        <v>0.18730487470425378</v>
      </c>
      <c r="V129" s="239">
        <v>25</v>
      </c>
      <c r="W129" s="239">
        <v>9</v>
      </c>
      <c r="X129" s="239">
        <v>7</v>
      </c>
      <c r="Y129" s="239">
        <v>16</v>
      </c>
      <c r="Z129" s="239">
        <v>5</v>
      </c>
      <c r="AA129" s="257">
        <v>62</v>
      </c>
      <c r="AB129" s="224">
        <v>0.29069767441860467</v>
      </c>
      <c r="AC129" s="224">
        <v>9.2783505154639179E-2</v>
      </c>
      <c r="AD129" s="224">
        <v>8.1395348837209308E-2</v>
      </c>
      <c r="AE129" s="224">
        <v>0.27586206896551724</v>
      </c>
      <c r="AF129" s="224">
        <v>0.29411764705882354</v>
      </c>
      <c r="AG129" s="259">
        <v>0.18023255813953487</v>
      </c>
      <c r="AH129" s="261">
        <v>1.3002548499505904E-3</v>
      </c>
      <c r="AI129" s="261">
        <v>3.3358042994810971E-4</v>
      </c>
      <c r="AJ129" s="261">
        <v>3.2496170094238895E-4</v>
      </c>
      <c r="AK129" s="261">
        <v>8.6016880812859521E-4</v>
      </c>
      <c r="AL129" s="261">
        <v>1.0427528675703858E-3</v>
      </c>
      <c r="AM129" s="262">
        <v>6.802422540156236E-4</v>
      </c>
    </row>
    <row r="130" spans="1:39" x14ac:dyDescent="0.25">
      <c r="A130" s="215" t="str">
        <v>5224-EMashhoor</v>
      </c>
      <c r="B130" s="215" t="str">
        <v>HALELEMALL</v>
      </c>
      <c r="C130" s="215" t="str">
        <v>Ahmed Jaffari</v>
      </c>
      <c r="D130" s="239">
        <v>6050.14</v>
      </c>
      <c r="E130" s="239">
        <v>5805.1100000000006</v>
      </c>
      <c r="F130" s="239">
        <v>3806.0200000000004</v>
      </c>
      <c r="G130" s="239">
        <v>3861.83</v>
      </c>
      <c r="H130" s="239">
        <v>1158.04</v>
      </c>
      <c r="I130" s="257">
        <v>20681.14</v>
      </c>
      <c r="J130" s="240">
        <v>168.05944444444447</v>
      </c>
      <c r="K130" s="240">
        <v>193.50366666666667</v>
      </c>
      <c r="L130" s="240">
        <v>181.23904761904765</v>
      </c>
      <c r="M130" s="240">
        <v>183.89666666666668</v>
      </c>
      <c r="N130" s="240">
        <v>193.00666666666666</v>
      </c>
      <c r="O130" s="258">
        <v>181.41350877192983</v>
      </c>
      <c r="P130" s="224">
        <v>0.37577529033404106</v>
      </c>
      <c r="Q130" s="224">
        <v>0.18163787007428081</v>
      </c>
      <c r="R130" s="224">
        <v>0.14632612253575766</v>
      </c>
      <c r="S130" s="224">
        <v>0.29177288160692183</v>
      </c>
      <c r="T130" s="224">
        <v>0.25119683129830433</v>
      </c>
      <c r="U130" s="259">
        <v>0.22499901541158296</v>
      </c>
      <c r="V130" s="239">
        <v>36</v>
      </c>
      <c r="W130" s="239">
        <v>30</v>
      </c>
      <c r="X130" s="239">
        <v>21</v>
      </c>
      <c r="Y130" s="239">
        <v>21</v>
      </c>
      <c r="Z130" s="239">
        <v>6</v>
      </c>
      <c r="AA130" s="257">
        <v>114</v>
      </c>
      <c r="AB130" s="224">
        <v>0.4044943820224719</v>
      </c>
      <c r="AC130" s="224">
        <v>0.17751479289940827</v>
      </c>
      <c r="AD130" s="224">
        <v>0.15107913669064749</v>
      </c>
      <c r="AE130" s="224">
        <v>0.28378378378378377</v>
      </c>
      <c r="AF130" s="224">
        <v>0.2608695652173913</v>
      </c>
      <c r="AG130" s="259">
        <v>0.23076923076923078</v>
      </c>
      <c r="AH130" s="261">
        <v>1.8723669839288502E-3</v>
      </c>
      <c r="AI130" s="261">
        <v>1.111934766493699E-3</v>
      </c>
      <c r="AJ130" s="261">
        <v>9.748851028271668E-4</v>
      </c>
      <c r="AK130" s="261">
        <v>1.1289715606687812E-3</v>
      </c>
      <c r="AL130" s="261">
        <v>1.2513034410844631E-3</v>
      </c>
      <c r="AM130" s="262">
        <v>1.2507680154480822E-3</v>
      </c>
    </row>
    <row r="131" spans="1:39" x14ac:dyDescent="0.25">
      <c r="A131" s="215" t="str">
        <v>5226-YHamdi</v>
      </c>
      <c r="B131" s="215" t="str">
        <v>HALELEMALL</v>
      </c>
      <c r="C131" s="215" t="str">
        <v>Ahmed Jaffari</v>
      </c>
      <c r="D131" s="239">
        <v>1553.04</v>
      </c>
      <c r="E131" s="239">
        <v>7411.15</v>
      </c>
      <c r="F131" s="239">
        <v>6171.16</v>
      </c>
      <c r="G131" s="239">
        <v>1759.99</v>
      </c>
      <c r="H131" s="239">
        <v>1726.98</v>
      </c>
      <c r="I131" s="257">
        <v>18622.32</v>
      </c>
      <c r="J131" s="240">
        <v>194.13</v>
      </c>
      <c r="K131" s="240">
        <v>231.59843749999999</v>
      </c>
      <c r="L131" s="240">
        <v>192.84875</v>
      </c>
      <c r="M131" s="240">
        <v>159.99909090909091</v>
      </c>
      <c r="N131" s="240">
        <v>215.8725</v>
      </c>
      <c r="O131" s="258">
        <v>204.64087912087911</v>
      </c>
      <c r="P131" s="224">
        <v>9.6459595463969275E-2</v>
      </c>
      <c r="Q131" s="224">
        <v>0.23188974899717768</v>
      </c>
      <c r="R131" s="224">
        <v>0.23725621892364362</v>
      </c>
      <c r="S131" s="224">
        <v>0.13297254252501181</v>
      </c>
      <c r="T131" s="224">
        <v>0.37460873865803052</v>
      </c>
      <c r="U131" s="259">
        <v>0.20260022729305202</v>
      </c>
      <c r="V131" s="239">
        <v>8</v>
      </c>
      <c r="W131" s="239">
        <v>32</v>
      </c>
      <c r="X131" s="239">
        <v>32</v>
      </c>
      <c r="Y131" s="239">
        <v>11</v>
      </c>
      <c r="Z131" s="239">
        <v>8</v>
      </c>
      <c r="AA131" s="257">
        <v>91</v>
      </c>
      <c r="AB131" s="224">
        <v>8.98876404494382E-2</v>
      </c>
      <c r="AC131" s="224">
        <v>0.1893491124260355</v>
      </c>
      <c r="AD131" s="224">
        <v>0.23021582733812951</v>
      </c>
      <c r="AE131" s="224">
        <v>0.14864864864864866</v>
      </c>
      <c r="AF131" s="224">
        <v>0.34782608695652173</v>
      </c>
      <c r="AG131" s="259">
        <v>0.18421052631578946</v>
      </c>
      <c r="AH131" s="261">
        <v>4.1608155198418888E-4</v>
      </c>
      <c r="AI131" s="261">
        <v>1.1860637509266123E-3</v>
      </c>
      <c r="AJ131" s="261">
        <v>1.4855392043080637E-3</v>
      </c>
      <c r="AK131" s="261">
        <v>5.9136605558840927E-4</v>
      </c>
      <c r="AL131" s="261">
        <v>1.6684045881126173E-3</v>
      </c>
      <c r="AM131" s="262">
        <v>9.9842008250680247E-4</v>
      </c>
    </row>
    <row r="132" spans="1:39" x14ac:dyDescent="0.25">
      <c r="A132" s="215" t="str">
        <v>5229-AShabeli</v>
      </c>
      <c r="B132" s="215" t="str">
        <v>HALELEMALL</v>
      </c>
      <c r="C132" s="215" t="str">
        <v>Ahmed Jaffari</v>
      </c>
      <c r="D132" s="239">
        <v>2668.08</v>
      </c>
      <c r="E132" s="239">
        <v>8799.24</v>
      </c>
      <c r="F132" s="239">
        <v>5999.12</v>
      </c>
      <c r="G132" s="239">
        <v>799.01</v>
      </c>
      <c r="H132" s="239">
        <v>0</v>
      </c>
      <c r="I132" s="257">
        <v>18265.449999999997</v>
      </c>
      <c r="J132" s="240">
        <v>222.34</v>
      </c>
      <c r="K132" s="240">
        <v>172.53411764705882</v>
      </c>
      <c r="L132" s="240">
        <v>176.44470588235293</v>
      </c>
      <c r="M132" s="240">
        <v>159.80199999999999</v>
      </c>
      <c r="N132" s="240" t="str">
        <v/>
      </c>
      <c r="O132" s="258">
        <v>179.07303921568624</v>
      </c>
      <c r="P132" s="224">
        <v>0.16571493166016787</v>
      </c>
      <c r="Q132" s="224">
        <v>0.27532212341754325</v>
      </c>
      <c r="R132" s="224">
        <v>0.23064197461566527</v>
      </c>
      <c r="S132" s="224">
        <v>6.0367610726714177E-2</v>
      </c>
      <c r="T132" s="224">
        <v>0</v>
      </c>
      <c r="U132" s="259">
        <v>0.19871768510099044</v>
      </c>
      <c r="V132" s="239">
        <v>12</v>
      </c>
      <c r="W132" s="239">
        <v>51</v>
      </c>
      <c r="X132" s="239">
        <v>34</v>
      </c>
      <c r="Y132" s="239">
        <v>5</v>
      </c>
      <c r="Z132" s="239">
        <v>0</v>
      </c>
      <c r="AA132" s="257">
        <v>102</v>
      </c>
      <c r="AB132" s="224">
        <v>0.1348314606741573</v>
      </c>
      <c r="AC132" s="224">
        <v>0.30177514792899407</v>
      </c>
      <c r="AD132" s="224">
        <v>0.2446043165467626</v>
      </c>
      <c r="AE132" s="224">
        <v>6.7567567567567571E-2</v>
      </c>
      <c r="AF132" s="224">
        <v>0</v>
      </c>
      <c r="AG132" s="259">
        <v>0.20647773279352227</v>
      </c>
      <c r="AH132" s="261">
        <v>6.2412232797628335E-4</v>
      </c>
      <c r="AI132" s="261">
        <v>1.8902891030392883E-3</v>
      </c>
      <c r="AJ132" s="261">
        <v>1.5783854045773177E-3</v>
      </c>
      <c r="AK132" s="261">
        <v>2.6880275254018599E-4</v>
      </c>
      <c r="AL132" s="261">
        <v>0</v>
      </c>
      <c r="AM132" s="262">
        <v>1.119108224348284E-3</v>
      </c>
    </row>
    <row r="133" spans="1:39" x14ac:dyDescent="0.25">
      <c r="A133" s="215" t="str">
        <v>4199-ANajmi</v>
      </c>
      <c r="B133" s="215" t="str">
        <v>HALELEMALL</v>
      </c>
      <c r="C133" s="215" t="str">
        <v>Ahmed Jaffari</v>
      </c>
      <c r="D133" s="239">
        <v>2800.12</v>
      </c>
      <c r="E133" s="239">
        <v>5918.15</v>
      </c>
      <c r="F133" s="239">
        <v>4688.1400000000003</v>
      </c>
      <c r="G133" s="239">
        <v>3918.96</v>
      </c>
      <c r="H133" s="239">
        <v>620.05999999999995</v>
      </c>
      <c r="I133" s="257">
        <v>17945.43</v>
      </c>
      <c r="J133" s="240">
        <v>175.00749999999999</v>
      </c>
      <c r="K133" s="240">
        <v>197.27166666666665</v>
      </c>
      <c r="L133" s="240">
        <v>187.52560000000003</v>
      </c>
      <c r="M133" s="240">
        <v>178.13454545454545</v>
      </c>
      <c r="N133" s="240">
        <v>206.68666666666664</v>
      </c>
      <c r="O133" s="258">
        <v>186.93156250000001</v>
      </c>
      <c r="P133" s="224">
        <v>0.17391595995632414</v>
      </c>
      <c r="Q133" s="224">
        <v>0.18517481335928257</v>
      </c>
      <c r="R133" s="224">
        <v>0.18024007969080216</v>
      </c>
      <c r="S133" s="224">
        <v>0.29608922508299496</v>
      </c>
      <c r="T133" s="224">
        <v>0.13450062797038667</v>
      </c>
      <c r="U133" s="259">
        <v>0.19523604990525104</v>
      </c>
      <c r="V133" s="239">
        <v>16</v>
      </c>
      <c r="W133" s="239">
        <v>30</v>
      </c>
      <c r="X133" s="239">
        <v>25</v>
      </c>
      <c r="Y133" s="239">
        <v>22</v>
      </c>
      <c r="Z133" s="239">
        <v>3</v>
      </c>
      <c r="AA133" s="257">
        <v>96</v>
      </c>
      <c r="AB133" s="224">
        <v>0.1797752808988764</v>
      </c>
      <c r="AC133" s="224">
        <v>0.17751479289940827</v>
      </c>
      <c r="AD133" s="224">
        <v>0.17985611510791366</v>
      </c>
      <c r="AE133" s="224">
        <v>0.29729729729729731</v>
      </c>
      <c r="AF133" s="224">
        <v>0.13043478260869565</v>
      </c>
      <c r="AG133" s="259">
        <v>0.19433198380566802</v>
      </c>
      <c r="AH133" s="261">
        <v>8.3216310396837777E-4</v>
      </c>
      <c r="AI133" s="261">
        <v>1.111934766493699E-3</v>
      </c>
      <c r="AJ133" s="261">
        <v>1.1605775033656748E-3</v>
      </c>
      <c r="AK133" s="261">
        <v>1.1827321111768185E-3</v>
      </c>
      <c r="AL133" s="261">
        <v>6.2565172054223153E-4</v>
      </c>
      <c r="AM133" s="262">
        <v>1.0532783287983849E-3</v>
      </c>
    </row>
    <row r="134" spans="1:39" x14ac:dyDescent="0.25">
      <c r="A134" s="215" t="str">
        <v>5230-AMadkhali</v>
      </c>
      <c r="B134" s="215" t="str">
        <v>HALELEMALL</v>
      </c>
      <c r="C134" s="215" t="str">
        <v>Ahmed Jaffari</v>
      </c>
      <c r="D134" s="239">
        <v>3029.04</v>
      </c>
      <c r="E134" s="239">
        <v>4026.1499999999996</v>
      </c>
      <c r="F134" s="239">
        <v>5346.09</v>
      </c>
      <c r="G134" s="239">
        <v>2895.9500000000003</v>
      </c>
      <c r="H134" s="239">
        <v>1105.01</v>
      </c>
      <c r="I134" s="257">
        <v>16402.239999999998</v>
      </c>
      <c r="J134" s="240">
        <v>178.17882352941177</v>
      </c>
      <c r="K134" s="240">
        <v>154.85192307692307</v>
      </c>
      <c r="L134" s="240">
        <v>198.00333333333333</v>
      </c>
      <c r="M134" s="240">
        <v>193.06333333333336</v>
      </c>
      <c r="N134" s="240">
        <v>184.16833333333332</v>
      </c>
      <c r="O134" s="258">
        <v>180.24439560439558</v>
      </c>
      <c r="P134" s="224">
        <v>0.18813422258549778</v>
      </c>
      <c r="Q134" s="224">
        <v>0.12597544415171558</v>
      </c>
      <c r="R134" s="224">
        <v>0.20553560423413134</v>
      </c>
      <c r="S134" s="224">
        <v>0.21879774005835714</v>
      </c>
      <c r="T134" s="224">
        <v>0.23969380207327839</v>
      </c>
      <c r="U134" s="259">
        <v>0.17844702228912343</v>
      </c>
      <c r="V134" s="239">
        <v>17</v>
      </c>
      <c r="W134" s="239">
        <v>26</v>
      </c>
      <c r="X134" s="239">
        <v>27</v>
      </c>
      <c r="Y134" s="239">
        <v>15</v>
      </c>
      <c r="Z134" s="239">
        <v>6</v>
      </c>
      <c r="AA134" s="257">
        <v>91</v>
      </c>
      <c r="AB134" s="224">
        <v>0.19101123595505617</v>
      </c>
      <c r="AC134" s="224">
        <v>0.15384615384615385</v>
      </c>
      <c r="AD134" s="224">
        <v>0.19424460431654678</v>
      </c>
      <c r="AE134" s="224">
        <v>0.20270270270270271</v>
      </c>
      <c r="AF134" s="224">
        <v>0.2608695652173913</v>
      </c>
      <c r="AG134" s="259">
        <v>0.18421052631578946</v>
      </c>
      <c r="AH134" s="261">
        <v>8.8417329796640137E-4</v>
      </c>
      <c r="AI134" s="261">
        <v>9.636767976278725E-4</v>
      </c>
      <c r="AJ134" s="261">
        <v>1.2534237036349288E-3</v>
      </c>
      <c r="AK134" s="261">
        <v>8.0640825762055802E-4</v>
      </c>
      <c r="AL134" s="261">
        <v>1.2513034410844631E-3</v>
      </c>
      <c r="AM134" s="262">
        <v>9.9842008250680247E-4</v>
      </c>
    </row>
    <row r="135" spans="1:39" x14ac:dyDescent="0.25">
      <c r="A135" s="215" t="str">
        <v>4594-KMohi</v>
      </c>
      <c r="B135" s="215" t="str">
        <v>HAMUJANPRK</v>
      </c>
      <c r="C135" s="215" t="str">
        <v>Ahmed Jaffari</v>
      </c>
      <c r="D135" s="239">
        <v>5648.13</v>
      </c>
      <c r="E135" s="239">
        <v>9551.17</v>
      </c>
      <c r="F135" s="239">
        <v>11443.240000000002</v>
      </c>
      <c r="G135" s="239">
        <v>11635.730000000001</v>
      </c>
      <c r="H135" s="239">
        <v>2573.04</v>
      </c>
      <c r="I135" s="257">
        <v>40851.310000000005</v>
      </c>
      <c r="J135" s="240">
        <v>171.15545454545455</v>
      </c>
      <c r="K135" s="240">
        <v>173.65763636363636</v>
      </c>
      <c r="L135" s="240">
        <v>197.29724137931038</v>
      </c>
      <c r="M135" s="240">
        <v>179.01123076923079</v>
      </c>
      <c r="N135" s="240">
        <v>197.92615384615385</v>
      </c>
      <c r="O135" s="258">
        <v>182.37191964285716</v>
      </c>
      <c r="P135" s="224">
        <v>0.18829861713051246</v>
      </c>
      <c r="Q135" s="224">
        <v>0.24582401311175334</v>
      </c>
      <c r="R135" s="224">
        <v>0.36240860008006204</v>
      </c>
      <c r="S135" s="224">
        <v>0.49397398043331975</v>
      </c>
      <c r="T135" s="224">
        <v>0.38409200151663975</v>
      </c>
      <c r="U135" s="259">
        <v>0.31260763956431314</v>
      </c>
      <c r="V135" s="239">
        <v>33</v>
      </c>
      <c r="W135" s="239">
        <v>55</v>
      </c>
      <c r="X135" s="239">
        <v>58</v>
      </c>
      <c r="Y135" s="239">
        <v>65</v>
      </c>
      <c r="Z135" s="239">
        <v>13</v>
      </c>
      <c r="AA135" s="257">
        <v>224</v>
      </c>
      <c r="AB135" s="224">
        <v>0.1683673469387755</v>
      </c>
      <c r="AC135" s="224">
        <v>0.2412280701754386</v>
      </c>
      <c r="AD135" s="224">
        <v>0.33333333333333331</v>
      </c>
      <c r="AE135" s="224">
        <v>0.5078125</v>
      </c>
      <c r="AF135" s="224">
        <v>0.35135135135135137</v>
      </c>
      <c r="AG135" s="259">
        <v>0.29357798165137616</v>
      </c>
      <c r="AH135" s="261">
        <v>1.7163364019347792E-3</v>
      </c>
      <c r="AI135" s="261">
        <v>2.038547071905115E-3</v>
      </c>
      <c r="AJ135" s="261">
        <v>2.6925398078083656E-3</v>
      </c>
      <c r="AK135" s="261">
        <v>3.4944357830224183E-3</v>
      </c>
      <c r="AL135" s="261">
        <v>2.7111574556830031E-3</v>
      </c>
      <c r="AM135" s="262">
        <v>2.4576494338628984E-3</v>
      </c>
    </row>
    <row r="136" spans="1:39" x14ac:dyDescent="0.25">
      <c r="A136" s="215" t="str">
        <v>3405-Mohammed Asiri</v>
      </c>
      <c r="B136" s="215" t="str">
        <v>HAMUJANPRK</v>
      </c>
      <c r="C136" s="215" t="str">
        <v>Ahmed Jaffari</v>
      </c>
      <c r="D136" s="239">
        <v>8373.11</v>
      </c>
      <c r="E136" s="239">
        <v>15783.230000000001</v>
      </c>
      <c r="F136" s="239">
        <v>8453.08</v>
      </c>
      <c r="G136" s="239">
        <v>3693.79</v>
      </c>
      <c r="H136" s="239">
        <v>1766.94</v>
      </c>
      <c r="I136" s="257">
        <v>38070.150000000009</v>
      </c>
      <c r="J136" s="240">
        <v>164.1786274509804</v>
      </c>
      <c r="K136" s="240">
        <v>175.36922222222225</v>
      </c>
      <c r="L136" s="240">
        <v>153.69236363636364</v>
      </c>
      <c r="M136" s="240">
        <v>217.28176470588235</v>
      </c>
      <c r="N136" s="240">
        <v>196.32666666666668</v>
      </c>
      <c r="O136" s="258">
        <v>171.48716216216221</v>
      </c>
      <c r="P136" s="224">
        <v>0.27914460787582179</v>
      </c>
      <c r="Q136" s="224">
        <v>0.40622216319736942</v>
      </c>
      <c r="R136" s="224">
        <v>0.26770992211688038</v>
      </c>
      <c r="S136" s="224">
        <v>0.1568132080397871</v>
      </c>
      <c r="T136" s="224">
        <v>0.26376096802218835</v>
      </c>
      <c r="U136" s="259">
        <v>0.29132528991993983</v>
      </c>
      <c r="V136" s="239">
        <v>51</v>
      </c>
      <c r="W136" s="239">
        <v>90</v>
      </c>
      <c r="X136" s="239">
        <v>55</v>
      </c>
      <c r="Y136" s="239">
        <v>17</v>
      </c>
      <c r="Z136" s="239">
        <v>9</v>
      </c>
      <c r="AA136" s="257">
        <v>222</v>
      </c>
      <c r="AB136" s="224">
        <v>0.26020408163265307</v>
      </c>
      <c r="AC136" s="224">
        <v>0.39473684210526316</v>
      </c>
      <c r="AD136" s="224">
        <v>0.31609195402298851</v>
      </c>
      <c r="AE136" s="224">
        <v>0.1328125</v>
      </c>
      <c r="AF136" s="224">
        <v>0.24324324324324326</v>
      </c>
      <c r="AG136" s="259">
        <v>0.29095674967234603</v>
      </c>
      <c r="AH136" s="261">
        <v>2.6525198938992041E-3</v>
      </c>
      <c r="AI136" s="261">
        <v>3.335804299481097E-3</v>
      </c>
      <c r="AJ136" s="261">
        <v>2.5532705074044846E-3</v>
      </c>
      <c r="AK136" s="261">
        <v>9.1392935863663239E-4</v>
      </c>
      <c r="AL136" s="261">
        <v>1.8769551616266945E-3</v>
      </c>
      <c r="AM136" s="262">
        <v>2.4357061353462652E-3</v>
      </c>
    </row>
    <row r="137" spans="1:39" x14ac:dyDescent="0.25">
      <c r="A137" s="215" t="str">
        <v>4595-AHaser</v>
      </c>
      <c r="B137" s="215" t="str">
        <v>HAMUJANPRK</v>
      </c>
      <c r="C137" s="215" t="str">
        <v>Ahmed Jaffari</v>
      </c>
      <c r="D137" s="239">
        <v>6123.14</v>
      </c>
      <c r="E137" s="239">
        <v>7084.17</v>
      </c>
      <c r="F137" s="239">
        <v>1090.02</v>
      </c>
      <c r="G137" s="239">
        <v>2930.9700000000003</v>
      </c>
      <c r="H137" s="239">
        <v>2359.04</v>
      </c>
      <c r="I137" s="257">
        <v>19587.340000000004</v>
      </c>
      <c r="J137" s="240">
        <v>157.00358974358974</v>
      </c>
      <c r="K137" s="240">
        <v>161.00386363636363</v>
      </c>
      <c r="L137" s="240">
        <v>136.2525</v>
      </c>
      <c r="M137" s="240">
        <v>162.83166666666668</v>
      </c>
      <c r="N137" s="240">
        <v>157.26933333333332</v>
      </c>
      <c r="O137" s="258">
        <v>157.96241935483874</v>
      </c>
      <c r="P137" s="224">
        <v>0.20413460640893996</v>
      </c>
      <c r="Q137" s="224">
        <v>0.18232940037355524</v>
      </c>
      <c r="R137" s="224">
        <v>3.4521046684266796E-2</v>
      </c>
      <c r="S137" s="224">
        <v>0.12442905751771889</v>
      </c>
      <c r="T137" s="224">
        <v>0.35214703046117196</v>
      </c>
      <c r="U137" s="259">
        <v>0.14988875810209401</v>
      </c>
      <c r="V137" s="239">
        <v>39</v>
      </c>
      <c r="W137" s="239">
        <v>44</v>
      </c>
      <c r="X137" s="239">
        <v>8</v>
      </c>
      <c r="Y137" s="239">
        <v>18</v>
      </c>
      <c r="Z137" s="239">
        <v>15</v>
      </c>
      <c r="AA137" s="257">
        <v>124</v>
      </c>
      <c r="AB137" s="224">
        <v>0.19897959183673469</v>
      </c>
      <c r="AC137" s="224">
        <v>0.19298245614035087</v>
      </c>
      <c r="AD137" s="224">
        <v>4.5977011494252873E-2</v>
      </c>
      <c r="AE137" s="224">
        <v>0.140625</v>
      </c>
      <c r="AF137" s="224">
        <v>0.40540540540540543</v>
      </c>
      <c r="AG137" s="259">
        <v>0.16251638269986893</v>
      </c>
      <c r="AH137" s="261">
        <v>2.0283975659229209E-3</v>
      </c>
      <c r="AI137" s="261">
        <v>1.6308376575240918E-3</v>
      </c>
      <c r="AJ137" s="261">
        <v>3.7138480107701591E-4</v>
      </c>
      <c r="AK137" s="261">
        <v>9.6768990914466969E-4</v>
      </c>
      <c r="AL137" s="261">
        <v>3.1282586027111575E-3</v>
      </c>
      <c r="AM137" s="262">
        <v>1.3604845080312472E-3</v>
      </c>
    </row>
    <row r="138" spans="1:39" x14ac:dyDescent="0.25">
      <c r="A138" s="215" t="str">
        <v>5491-AAlThahban</v>
      </c>
      <c r="B138" s="215" t="str">
        <v>HAMUJANPRK</v>
      </c>
      <c r="C138" s="215" t="str">
        <v>Ahmed Jaffari</v>
      </c>
      <c r="D138" s="239">
        <v>0</v>
      </c>
      <c r="E138" s="239">
        <v>6135.1200000000008</v>
      </c>
      <c r="F138" s="239">
        <v>7875.16</v>
      </c>
      <c r="G138" s="239">
        <v>5144.8500000000004</v>
      </c>
      <c r="H138" s="239">
        <v>0</v>
      </c>
      <c r="I138" s="257">
        <v>19155.13</v>
      </c>
      <c r="J138" s="240" t="str">
        <v/>
      </c>
      <c r="K138" s="240">
        <v>165.81405405405408</v>
      </c>
      <c r="L138" s="240">
        <v>207.24105263157895</v>
      </c>
      <c r="M138" s="240">
        <v>190.55</v>
      </c>
      <c r="N138" s="240" t="str">
        <v/>
      </c>
      <c r="O138" s="258">
        <v>187.79539215686276</v>
      </c>
      <c r="P138" s="224">
        <v>0</v>
      </c>
      <c r="Q138" s="224">
        <v>0.15790314896731816</v>
      </c>
      <c r="R138" s="224">
        <v>0.24940713565445632</v>
      </c>
      <c r="S138" s="224">
        <v>0.21841534937922805</v>
      </c>
      <c r="T138" s="224">
        <v>0</v>
      </c>
      <c r="U138" s="259">
        <v>0.14658134524566191</v>
      </c>
      <c r="V138" s="239">
        <v>0</v>
      </c>
      <c r="W138" s="239">
        <v>37</v>
      </c>
      <c r="X138" s="239">
        <v>38</v>
      </c>
      <c r="Y138" s="239">
        <v>27</v>
      </c>
      <c r="Z138" s="239">
        <v>0</v>
      </c>
      <c r="AA138" s="257">
        <v>102</v>
      </c>
      <c r="AB138" s="224">
        <v>0</v>
      </c>
      <c r="AC138" s="224">
        <v>0.16228070175438597</v>
      </c>
      <c r="AD138" s="224">
        <v>0.21839080459770116</v>
      </c>
      <c r="AE138" s="224">
        <v>0.2109375</v>
      </c>
      <c r="AF138" s="224">
        <v>0</v>
      </c>
      <c r="AG138" s="259">
        <v>0.13368283093053734</v>
      </c>
      <c r="AH138" s="261">
        <v>0</v>
      </c>
      <c r="AI138" s="261">
        <v>1.3713862120088955E-3</v>
      </c>
      <c r="AJ138" s="261">
        <v>1.7640778051158255E-3</v>
      </c>
      <c r="AK138" s="261">
        <v>1.4515348637170044E-3</v>
      </c>
      <c r="AL138" s="261">
        <v>0</v>
      </c>
      <c r="AM138" s="262">
        <v>1.119108224348284E-3</v>
      </c>
    </row>
    <row r="139" spans="1:39" x14ac:dyDescent="0.25">
      <c r="A139" s="215" t="str">
        <v>3420-Najla Asiri</v>
      </c>
      <c r="B139" s="215" t="str">
        <v>HAMUJANPRK</v>
      </c>
      <c r="C139" s="215" t="str">
        <v>Ahmed Jaffari</v>
      </c>
      <c r="D139" s="239">
        <v>6753.17</v>
      </c>
      <c r="E139" s="239">
        <v>0</v>
      </c>
      <c r="F139" s="239">
        <v>0</v>
      </c>
      <c r="G139" s="239">
        <v>0</v>
      </c>
      <c r="H139" s="239">
        <v>0</v>
      </c>
      <c r="I139" s="257">
        <v>6753.17</v>
      </c>
      <c r="J139" s="240">
        <v>135.0634</v>
      </c>
      <c r="K139" s="240" t="str">
        <v/>
      </c>
      <c r="L139" s="240" t="str">
        <v/>
      </c>
      <c r="M139" s="240" t="str">
        <v/>
      </c>
      <c r="N139" s="240" t="str">
        <v/>
      </c>
      <c r="O139" s="258">
        <v>135.0634</v>
      </c>
      <c r="P139" s="224">
        <v>0.22513868700742773</v>
      </c>
      <c r="Q139" s="224">
        <v>0</v>
      </c>
      <c r="R139" s="224">
        <v>0</v>
      </c>
      <c r="S139" s="224">
        <v>0</v>
      </c>
      <c r="T139" s="224">
        <v>0</v>
      </c>
      <c r="U139" s="259">
        <v>5.1677474560216853E-2</v>
      </c>
      <c r="V139" s="239">
        <v>50</v>
      </c>
      <c r="W139" s="239">
        <v>0</v>
      </c>
      <c r="X139" s="239">
        <v>0</v>
      </c>
      <c r="Y139" s="239">
        <v>0</v>
      </c>
      <c r="Z139" s="239">
        <v>0</v>
      </c>
      <c r="AA139" s="257">
        <v>50</v>
      </c>
      <c r="AB139" s="224">
        <v>0.25510204081632654</v>
      </c>
      <c r="AC139" s="224">
        <v>0</v>
      </c>
      <c r="AD139" s="224">
        <v>0</v>
      </c>
      <c r="AE139" s="224">
        <v>0</v>
      </c>
      <c r="AF139" s="224">
        <v>0</v>
      </c>
      <c r="AG139" s="259">
        <v>6.5530799475753604E-2</v>
      </c>
      <c r="AH139" s="261">
        <v>2.6005096999011808E-3</v>
      </c>
      <c r="AI139" s="261">
        <v>0</v>
      </c>
      <c r="AJ139" s="261">
        <v>0</v>
      </c>
      <c r="AK139" s="261">
        <v>0</v>
      </c>
      <c r="AL139" s="261">
        <v>0</v>
      </c>
      <c r="AM139" s="262">
        <v>5.485824629158255E-4</v>
      </c>
    </row>
    <row r="140" spans="1:39" x14ac:dyDescent="0.25">
      <c r="A140" s="215" t="str">
        <v>3404-Yazid Asiri</v>
      </c>
      <c r="B140" s="215" t="str">
        <v>HAMUJANPRK</v>
      </c>
      <c r="C140" s="215" t="str">
        <v>Ahmed Jaffari</v>
      </c>
      <c r="D140" s="239">
        <v>3098.05</v>
      </c>
      <c r="E140" s="239">
        <v>300</v>
      </c>
      <c r="F140" s="239">
        <v>2714.02</v>
      </c>
      <c r="G140" s="239">
        <v>150.01</v>
      </c>
      <c r="H140" s="239">
        <v>0</v>
      </c>
      <c r="I140" s="257">
        <v>6262.08</v>
      </c>
      <c r="J140" s="240">
        <v>134.69782608695652</v>
      </c>
      <c r="K140" s="240">
        <v>150</v>
      </c>
      <c r="L140" s="240">
        <v>180.93466666666666</v>
      </c>
      <c r="M140" s="240">
        <v>150.01</v>
      </c>
      <c r="N140" s="240" t="str">
        <v/>
      </c>
      <c r="O140" s="258">
        <v>152.73365853658535</v>
      </c>
      <c r="P140" s="224">
        <v>0.103283481577298</v>
      </c>
      <c r="Q140" s="224">
        <v>7.7212743500038213E-3</v>
      </c>
      <c r="R140" s="224">
        <v>8.5953295464334389E-2</v>
      </c>
      <c r="S140" s="224">
        <v>6.3684046299460608E-3</v>
      </c>
      <c r="T140" s="224">
        <v>0</v>
      </c>
      <c r="U140" s="259">
        <v>4.7919492607774235E-2</v>
      </c>
      <c r="V140" s="239">
        <v>23</v>
      </c>
      <c r="W140" s="239">
        <v>2</v>
      </c>
      <c r="X140" s="239">
        <v>15</v>
      </c>
      <c r="Y140" s="239">
        <v>1</v>
      </c>
      <c r="Z140" s="239">
        <v>0</v>
      </c>
      <c r="AA140" s="257">
        <v>41</v>
      </c>
      <c r="AB140" s="224">
        <v>0.11734693877551021</v>
      </c>
      <c r="AC140" s="224">
        <v>8.771929824561403E-3</v>
      </c>
      <c r="AD140" s="224">
        <v>8.6206896551724144E-2</v>
      </c>
      <c r="AE140" s="224">
        <v>7.8125E-3</v>
      </c>
      <c r="AF140" s="224">
        <v>0</v>
      </c>
      <c r="AG140" s="259">
        <v>5.3735255570117955E-2</v>
      </c>
      <c r="AH140" s="261">
        <v>1.196234461954543E-3</v>
      </c>
      <c r="AI140" s="261">
        <v>7.4128984432913272E-5</v>
      </c>
      <c r="AJ140" s="261">
        <v>6.9634650201940481E-4</v>
      </c>
      <c r="AK140" s="261">
        <v>5.37605505080372E-5</v>
      </c>
      <c r="AL140" s="261">
        <v>0</v>
      </c>
      <c r="AM140" s="262">
        <v>4.4983761959097691E-4</v>
      </c>
    </row>
    <row r="141" spans="1:39" x14ac:dyDescent="0.25">
      <c r="A141" s="215" t="str">
        <v>4577-Abdulaziz Alsaleh</v>
      </c>
      <c r="B141" s="215" t="str">
        <v>HANAJRPAR</v>
      </c>
      <c r="C141" s="215" t="str">
        <v>Ahmed Jaffari</v>
      </c>
      <c r="D141" s="239">
        <v>7682.31</v>
      </c>
      <c r="E141" s="239">
        <v>10609.18</v>
      </c>
      <c r="F141" s="239">
        <v>5089.0999999999995</v>
      </c>
      <c r="G141" s="239">
        <v>7296.91</v>
      </c>
      <c r="H141" s="239">
        <v>3497.06</v>
      </c>
      <c r="I141" s="257">
        <v>34174.559999999998</v>
      </c>
      <c r="J141" s="240">
        <v>219.49457142857145</v>
      </c>
      <c r="K141" s="240">
        <v>179.81661016949153</v>
      </c>
      <c r="L141" s="240">
        <v>188.48518518518517</v>
      </c>
      <c r="M141" s="240">
        <v>221.11848484848485</v>
      </c>
      <c r="N141" s="240">
        <v>233.13733333333332</v>
      </c>
      <c r="O141" s="258">
        <v>202.21633136094673</v>
      </c>
      <c r="P141" s="224">
        <v>0.29731774638991404</v>
      </c>
      <c r="Q141" s="224">
        <v>0.25008916450326357</v>
      </c>
      <c r="R141" s="224">
        <v>0.16646626123273545</v>
      </c>
      <c r="S141" s="224">
        <v>0.22653001225953201</v>
      </c>
      <c r="T141" s="224">
        <v>0.40824507826216894</v>
      </c>
      <c r="U141" s="259">
        <v>0.24478692053874304</v>
      </c>
      <c r="V141" s="239">
        <v>35</v>
      </c>
      <c r="W141" s="239">
        <v>59</v>
      </c>
      <c r="X141" s="239">
        <v>27</v>
      </c>
      <c r="Y141" s="239">
        <v>33</v>
      </c>
      <c r="Z141" s="239">
        <v>15</v>
      </c>
      <c r="AA141" s="257">
        <v>169</v>
      </c>
      <c r="AB141" s="224">
        <v>0.26515151515151514</v>
      </c>
      <c r="AC141" s="224">
        <v>0.26457399103139012</v>
      </c>
      <c r="AD141" s="224">
        <v>0.14835164835164835</v>
      </c>
      <c r="AE141" s="224">
        <v>0.2129032258064516</v>
      </c>
      <c r="AF141" s="224">
        <v>0.40540540540540543</v>
      </c>
      <c r="AG141" s="259">
        <v>0.23182441700960219</v>
      </c>
      <c r="AH141" s="261">
        <v>1.8203567899308265E-3</v>
      </c>
      <c r="AI141" s="261">
        <v>2.1868050407709413E-3</v>
      </c>
      <c r="AJ141" s="261">
        <v>1.2534237036349288E-3</v>
      </c>
      <c r="AK141" s="261">
        <v>1.7740981667652277E-3</v>
      </c>
      <c r="AL141" s="261">
        <v>3.1282586027111575E-3</v>
      </c>
      <c r="AM141" s="262">
        <v>1.8542087246554901E-3</v>
      </c>
    </row>
    <row r="142" spans="1:39" x14ac:dyDescent="0.25">
      <c r="A142" s="215" t="str">
        <v>4636-AAlmakrami</v>
      </c>
      <c r="B142" s="215" t="str">
        <v>HANAJRPAR</v>
      </c>
      <c r="C142" s="215" t="str">
        <v>Ahmed Jaffari</v>
      </c>
      <c r="D142" s="239">
        <v>8046.24</v>
      </c>
      <c r="E142" s="239">
        <v>9099.11</v>
      </c>
      <c r="F142" s="239">
        <v>5754.1100000000006</v>
      </c>
      <c r="G142" s="239">
        <v>6942.8600000000015</v>
      </c>
      <c r="H142" s="239">
        <v>2827.95</v>
      </c>
      <c r="I142" s="257">
        <v>32670.27</v>
      </c>
      <c r="J142" s="240">
        <v>178.80533333333332</v>
      </c>
      <c r="K142" s="240">
        <v>193.598085106383</v>
      </c>
      <c r="L142" s="240">
        <v>164.40314285714288</v>
      </c>
      <c r="M142" s="240">
        <v>178.02205128205131</v>
      </c>
      <c r="N142" s="240">
        <v>217.53461538461536</v>
      </c>
      <c r="O142" s="258">
        <v>182.51547486033519</v>
      </c>
      <c r="P142" s="224">
        <v>0.31140242241101723</v>
      </c>
      <c r="Q142" s="224">
        <v>0.21449243180182548</v>
      </c>
      <c r="R142" s="224">
        <v>0.18821897357526784</v>
      </c>
      <c r="S142" s="224">
        <v>0.21553865415857051</v>
      </c>
      <c r="T142" s="224">
        <v>0.33013350330606295</v>
      </c>
      <c r="U142" s="259">
        <v>0.23401193128658512</v>
      </c>
      <c r="V142" s="239">
        <v>45</v>
      </c>
      <c r="W142" s="239">
        <v>47</v>
      </c>
      <c r="X142" s="239">
        <v>35</v>
      </c>
      <c r="Y142" s="239">
        <v>39</v>
      </c>
      <c r="Z142" s="239">
        <v>13</v>
      </c>
      <c r="AA142" s="257">
        <v>179</v>
      </c>
      <c r="AB142" s="224">
        <v>0.34090909090909088</v>
      </c>
      <c r="AC142" s="224">
        <v>0.21076233183856502</v>
      </c>
      <c r="AD142" s="224">
        <v>0.19230769230769232</v>
      </c>
      <c r="AE142" s="224">
        <v>0.25161290322580643</v>
      </c>
      <c r="AF142" s="224">
        <v>0.35135135135135137</v>
      </c>
      <c r="AG142" s="259">
        <v>0.24554183813443073</v>
      </c>
      <c r="AH142" s="261">
        <v>2.3404587299110627E-3</v>
      </c>
      <c r="AI142" s="261">
        <v>1.7420311341734618E-3</v>
      </c>
      <c r="AJ142" s="261">
        <v>1.6248085047119447E-3</v>
      </c>
      <c r="AK142" s="261">
        <v>2.0966614698134508E-3</v>
      </c>
      <c r="AL142" s="261">
        <v>2.7111574556830031E-3</v>
      </c>
      <c r="AM142" s="262">
        <v>1.9639252172386555E-3</v>
      </c>
    </row>
    <row r="143" spans="1:39" x14ac:dyDescent="0.25">
      <c r="A143" s="215" t="str">
        <v>4631-DAlAyfan</v>
      </c>
      <c r="B143" s="215" t="str">
        <v>HANAJRPAR</v>
      </c>
      <c r="C143" s="215" t="str">
        <v>Ahmed Jaffari</v>
      </c>
      <c r="D143" s="239">
        <v>2428.0500000000002</v>
      </c>
      <c r="E143" s="239">
        <v>13059.16</v>
      </c>
      <c r="F143" s="239">
        <v>7099.0700000000006</v>
      </c>
      <c r="G143" s="239">
        <v>7082.9800000000005</v>
      </c>
      <c r="H143" s="239">
        <v>0</v>
      </c>
      <c r="I143" s="257">
        <v>29669.26</v>
      </c>
      <c r="J143" s="240">
        <v>161.87</v>
      </c>
      <c r="K143" s="240">
        <v>192.04647058823528</v>
      </c>
      <c r="L143" s="240">
        <v>151.0440425531915</v>
      </c>
      <c r="M143" s="240">
        <v>283.31920000000002</v>
      </c>
      <c r="N143" s="240" t="str">
        <v/>
      </c>
      <c r="O143" s="258">
        <v>191.41458064516129</v>
      </c>
      <c r="P143" s="224">
        <v>9.3969438114581527E-2</v>
      </c>
      <c r="Q143" s="224">
        <v>0.30784230388347067</v>
      </c>
      <c r="R143" s="224">
        <v>0.23221309094525072</v>
      </c>
      <c r="S143" s="224">
        <v>0.21988863042493606</v>
      </c>
      <c r="T143" s="224">
        <v>0</v>
      </c>
      <c r="U143" s="259">
        <v>0.21251617548443366</v>
      </c>
      <c r="V143" s="239">
        <v>15</v>
      </c>
      <c r="W143" s="239">
        <v>68</v>
      </c>
      <c r="X143" s="239">
        <v>47</v>
      </c>
      <c r="Y143" s="239">
        <v>25</v>
      </c>
      <c r="Z143" s="239">
        <v>0</v>
      </c>
      <c r="AA143" s="257">
        <v>155</v>
      </c>
      <c r="AB143" s="224">
        <v>0.11363636363636363</v>
      </c>
      <c r="AC143" s="224">
        <v>0.30493273542600896</v>
      </c>
      <c r="AD143" s="224">
        <v>0.25824175824175827</v>
      </c>
      <c r="AE143" s="224">
        <v>0.16129032258064516</v>
      </c>
      <c r="AF143" s="224">
        <v>0</v>
      </c>
      <c r="AG143" s="259">
        <v>0.21262002743484226</v>
      </c>
      <c r="AH143" s="261">
        <v>7.8015290997035416E-4</v>
      </c>
      <c r="AI143" s="261">
        <v>2.520385470719051E-3</v>
      </c>
      <c r="AJ143" s="261">
        <v>2.1818857063274685E-3</v>
      </c>
      <c r="AK143" s="261">
        <v>1.34401376270093E-3</v>
      </c>
      <c r="AL143" s="261">
        <v>0</v>
      </c>
      <c r="AM143" s="262">
        <v>1.7006056350390591E-3</v>
      </c>
    </row>
    <row r="144" spans="1:39" x14ac:dyDescent="0.25">
      <c r="A144" s="215" t="str">
        <v>4573-AAlyamy</v>
      </c>
      <c r="B144" s="215" t="str">
        <v>HANAJRPAR</v>
      </c>
      <c r="C144" s="215" t="str">
        <v>Ahmed Jaffari</v>
      </c>
      <c r="D144" s="239">
        <v>2267.04</v>
      </c>
      <c r="E144" s="239">
        <v>9654.14</v>
      </c>
      <c r="F144" s="239">
        <v>6398.05</v>
      </c>
      <c r="G144" s="239">
        <v>7971.1</v>
      </c>
      <c r="H144" s="239">
        <v>556.96</v>
      </c>
      <c r="I144" s="257">
        <v>26847.29</v>
      </c>
      <c r="J144" s="240">
        <v>188.92</v>
      </c>
      <c r="K144" s="240">
        <v>197.02326530612243</v>
      </c>
      <c r="L144" s="240">
        <v>199.93906250000001</v>
      </c>
      <c r="M144" s="240">
        <v>173.28478260869565</v>
      </c>
      <c r="N144" s="240">
        <v>185.65333333333334</v>
      </c>
      <c r="O144" s="258">
        <v>189.06542253521127</v>
      </c>
      <c r="P144" s="224">
        <v>8.7738092289401326E-2</v>
      </c>
      <c r="Q144" s="224">
        <v>0.22757609981144036</v>
      </c>
      <c r="R144" s="224">
        <v>0.20928247876443834</v>
      </c>
      <c r="S144" s="224">
        <v>0.24746000440213128</v>
      </c>
      <c r="T144" s="224">
        <v>6.5019238671597743E-2</v>
      </c>
      <c r="U144" s="259">
        <v>0.19230285463545371</v>
      </c>
      <c r="V144" s="239">
        <v>12</v>
      </c>
      <c r="W144" s="239">
        <v>49</v>
      </c>
      <c r="X144" s="239">
        <v>32</v>
      </c>
      <c r="Y144" s="239">
        <v>46</v>
      </c>
      <c r="Z144" s="239">
        <v>3</v>
      </c>
      <c r="AA144" s="257">
        <v>142</v>
      </c>
      <c r="AB144" s="224">
        <v>9.0909090909090912E-2</v>
      </c>
      <c r="AC144" s="224">
        <v>0.21973094170403587</v>
      </c>
      <c r="AD144" s="224">
        <v>0.17582417582417584</v>
      </c>
      <c r="AE144" s="224">
        <v>0.29677419354838708</v>
      </c>
      <c r="AF144" s="224">
        <v>8.1081081081081086E-2</v>
      </c>
      <c r="AG144" s="259">
        <v>0.19478737997256515</v>
      </c>
      <c r="AH144" s="261">
        <v>6.2412232797628335E-4</v>
      </c>
      <c r="AI144" s="261">
        <v>1.8161601186063752E-3</v>
      </c>
      <c r="AJ144" s="261">
        <v>1.4855392043080637E-3</v>
      </c>
      <c r="AK144" s="261">
        <v>2.4729853233697112E-3</v>
      </c>
      <c r="AL144" s="261">
        <v>6.2565172054223153E-4</v>
      </c>
      <c r="AM144" s="262">
        <v>1.5579741946809445E-3</v>
      </c>
    </row>
    <row r="145" spans="1:39" x14ac:dyDescent="0.25">
      <c r="A145" s="215" t="str">
        <v>4629-AWarqash</v>
      </c>
      <c r="B145" s="215" t="str">
        <v>HANAJRPAR</v>
      </c>
      <c r="C145" s="215" t="str">
        <v>Ahmed Jaffari</v>
      </c>
      <c r="D145" s="239">
        <v>5415.08</v>
      </c>
      <c r="E145" s="239">
        <v>0</v>
      </c>
      <c r="F145" s="239">
        <v>6231.03</v>
      </c>
      <c r="G145" s="239">
        <v>2917.82</v>
      </c>
      <c r="H145" s="239">
        <v>1684.11</v>
      </c>
      <c r="I145" s="257">
        <v>16248.04</v>
      </c>
      <c r="J145" s="240">
        <v>216.60319999999999</v>
      </c>
      <c r="K145" s="240" t="str">
        <v/>
      </c>
      <c r="L145" s="240">
        <v>151.97634146341463</v>
      </c>
      <c r="M145" s="240">
        <v>243.15166666666667</v>
      </c>
      <c r="N145" s="240">
        <v>280.685</v>
      </c>
      <c r="O145" s="258">
        <v>193.42904761904762</v>
      </c>
      <c r="P145" s="224">
        <v>0.20957230079508582</v>
      </c>
      <c r="Q145" s="224">
        <v>0</v>
      </c>
      <c r="R145" s="224">
        <v>0.20381919548230762</v>
      </c>
      <c r="S145" s="224">
        <v>9.058269875483016E-2</v>
      </c>
      <c r="T145" s="224">
        <v>0.19660217976017033</v>
      </c>
      <c r="U145" s="259">
        <v>0.11638211805478457</v>
      </c>
      <c r="V145" s="239">
        <v>25</v>
      </c>
      <c r="W145" s="239">
        <v>0</v>
      </c>
      <c r="X145" s="239">
        <v>41</v>
      </c>
      <c r="Y145" s="239">
        <v>12</v>
      </c>
      <c r="Z145" s="239">
        <v>6</v>
      </c>
      <c r="AA145" s="257">
        <v>84</v>
      </c>
      <c r="AB145" s="224">
        <v>0.18939393939393939</v>
      </c>
      <c r="AC145" s="224">
        <v>0</v>
      </c>
      <c r="AD145" s="224">
        <v>0.22527472527472528</v>
      </c>
      <c r="AE145" s="224">
        <v>7.7419354838709681E-2</v>
      </c>
      <c r="AF145" s="224">
        <v>0.16216216216216217</v>
      </c>
      <c r="AG145" s="259">
        <v>0.11522633744855967</v>
      </c>
      <c r="AH145" s="261">
        <v>1.3002548499505904E-3</v>
      </c>
      <c r="AI145" s="261">
        <v>0</v>
      </c>
      <c r="AJ145" s="261">
        <v>1.9033471055197066E-3</v>
      </c>
      <c r="AK145" s="261">
        <v>6.4512660609644646E-4</v>
      </c>
      <c r="AL145" s="261">
        <v>1.2513034410844631E-3</v>
      </c>
      <c r="AM145" s="262">
        <v>9.2161853769858685E-4</v>
      </c>
    </row>
    <row r="146" spans="1:39" x14ac:dyDescent="0.25">
      <c r="A146" s="215" t="str">
        <v>4578-AAlsqour</v>
      </c>
      <c r="B146" s="215" t="str">
        <v>HANJFRONT</v>
      </c>
      <c r="C146" s="215" t="str">
        <v>Ahmed Jaffari</v>
      </c>
      <c r="D146" s="239">
        <v>3940.17</v>
      </c>
      <c r="E146" s="239">
        <v>2331.0699999999997</v>
      </c>
      <c r="F146" s="239">
        <v>3272.08</v>
      </c>
      <c r="G146" s="239">
        <v>1903.94</v>
      </c>
      <c r="H146" s="239">
        <v>70</v>
      </c>
      <c r="I146" s="257">
        <v>11517.26</v>
      </c>
      <c r="J146" s="240">
        <v>207.37736842105264</v>
      </c>
      <c r="K146" s="240">
        <v>145.69187499999998</v>
      </c>
      <c r="L146" s="240">
        <v>163.60399999999998</v>
      </c>
      <c r="M146" s="240">
        <v>173.08545454545455</v>
      </c>
      <c r="N146" s="240">
        <v>70</v>
      </c>
      <c r="O146" s="258">
        <v>171.89940298507463</v>
      </c>
      <c r="P146" s="224">
        <v>0.39742211266128186</v>
      </c>
      <c r="Q146" s="224">
        <v>0.27936444400235372</v>
      </c>
      <c r="R146" s="224">
        <v>0.40600555886440337</v>
      </c>
      <c r="S146" s="224">
        <v>0.29922519605840109</v>
      </c>
      <c r="T146" s="224">
        <v>2.9939223376545615E-2</v>
      </c>
      <c r="U146" s="259">
        <v>0.32888903865022895</v>
      </c>
      <c r="V146" s="239">
        <v>19</v>
      </c>
      <c r="W146" s="239">
        <v>16</v>
      </c>
      <c r="X146" s="239">
        <v>20</v>
      </c>
      <c r="Y146" s="239">
        <v>11</v>
      </c>
      <c r="Z146" s="239">
        <v>1</v>
      </c>
      <c r="AA146" s="257">
        <v>67</v>
      </c>
      <c r="AB146" s="224">
        <v>0.27941176470588236</v>
      </c>
      <c r="AC146" s="224">
        <v>0.2857142857142857</v>
      </c>
      <c r="AD146" s="224">
        <v>0.40816326530612246</v>
      </c>
      <c r="AE146" s="224">
        <v>0.3235294117647059</v>
      </c>
      <c r="AF146" s="224">
        <v>6.6666666666666666E-2</v>
      </c>
      <c r="AG146" s="259">
        <v>0.30180180180180183</v>
      </c>
      <c r="AH146" s="261">
        <v>9.8819368596244858E-4</v>
      </c>
      <c r="AI146" s="261">
        <v>5.9303187546330617E-4</v>
      </c>
      <c r="AJ146" s="261">
        <v>9.2846200269253978E-4</v>
      </c>
      <c r="AK146" s="261">
        <v>5.9136605558840927E-4</v>
      </c>
      <c r="AL146" s="261">
        <v>2.0855057351407716E-4</v>
      </c>
      <c r="AM146" s="262">
        <v>7.3510050030720618E-4</v>
      </c>
    </row>
    <row r="147" spans="1:39" x14ac:dyDescent="0.25">
      <c r="A147" s="215" t="str">
        <v>4576-MALSulayyim</v>
      </c>
      <c r="B147" s="215" t="str">
        <v>HANJFRONT</v>
      </c>
      <c r="C147" s="215" t="str">
        <v>Ahmed Jaffari</v>
      </c>
      <c r="D147" s="239">
        <v>2118.0299999999997</v>
      </c>
      <c r="E147" s="239">
        <v>2952.04</v>
      </c>
      <c r="F147" s="239">
        <v>2735.04</v>
      </c>
      <c r="G147" s="239">
        <v>2256.9899999999998</v>
      </c>
      <c r="H147" s="239">
        <v>422.04</v>
      </c>
      <c r="I147" s="257">
        <v>10484.14</v>
      </c>
      <c r="J147" s="240">
        <v>117.66833333333332</v>
      </c>
      <c r="K147" s="240">
        <v>134.18363636363637</v>
      </c>
      <c r="L147" s="240">
        <v>182.33599999999998</v>
      </c>
      <c r="M147" s="240">
        <v>225.69899999999998</v>
      </c>
      <c r="N147" s="240">
        <v>211.02</v>
      </c>
      <c r="O147" s="258">
        <v>156.47970149253732</v>
      </c>
      <c r="P147" s="224">
        <v>0.21363341106601358</v>
      </c>
      <c r="Q147" s="224">
        <v>0.35378389034765512</v>
      </c>
      <c r="R147" s="224">
        <v>0.3393686718284693</v>
      </c>
      <c r="S147" s="224">
        <v>0.35471090226154739</v>
      </c>
      <c r="T147" s="224">
        <v>0.18050785476910447</v>
      </c>
      <c r="U147" s="259">
        <v>0.2993870699866471</v>
      </c>
      <c r="V147" s="239">
        <v>18</v>
      </c>
      <c r="W147" s="239">
        <v>22</v>
      </c>
      <c r="X147" s="239">
        <v>15</v>
      </c>
      <c r="Y147" s="239">
        <v>10</v>
      </c>
      <c r="Z147" s="239">
        <v>2</v>
      </c>
      <c r="AA147" s="257">
        <v>67</v>
      </c>
      <c r="AB147" s="224">
        <v>0.26470588235294118</v>
      </c>
      <c r="AC147" s="224">
        <v>0.39285714285714285</v>
      </c>
      <c r="AD147" s="224">
        <v>0.30612244897959184</v>
      </c>
      <c r="AE147" s="224">
        <v>0.29411764705882354</v>
      </c>
      <c r="AF147" s="224">
        <v>0.13333333333333333</v>
      </c>
      <c r="AG147" s="259">
        <v>0.30180180180180183</v>
      </c>
      <c r="AH147" s="261">
        <v>9.3618349196442508E-4</v>
      </c>
      <c r="AI147" s="261">
        <v>8.1541882876204591E-4</v>
      </c>
      <c r="AJ147" s="261">
        <v>6.9634650201940481E-4</v>
      </c>
      <c r="AK147" s="261">
        <v>5.3760550508037198E-4</v>
      </c>
      <c r="AL147" s="261">
        <v>4.1710114702815432E-4</v>
      </c>
      <c r="AM147" s="262">
        <v>7.3510050030720618E-4</v>
      </c>
    </row>
    <row r="148" spans="1:39" x14ac:dyDescent="0.25">
      <c r="A148" s="215" t="str">
        <v>4569-DAlSulayyim</v>
      </c>
      <c r="B148" s="215" t="str">
        <v>HANJFRONT</v>
      </c>
      <c r="C148" s="215" t="str">
        <v>Ahmed Jaffari</v>
      </c>
      <c r="D148" s="239">
        <v>2204.08</v>
      </c>
      <c r="E148" s="239">
        <v>2373.0699999999997</v>
      </c>
      <c r="F148" s="239">
        <v>1902.06</v>
      </c>
      <c r="G148" s="239">
        <v>1627.97</v>
      </c>
      <c r="H148" s="239">
        <v>1144.98</v>
      </c>
      <c r="I148" s="257">
        <v>9252.16</v>
      </c>
      <c r="J148" s="240">
        <v>146.93866666666665</v>
      </c>
      <c r="K148" s="240">
        <v>215.73363636363635</v>
      </c>
      <c r="L148" s="240">
        <v>146.31230769230768</v>
      </c>
      <c r="M148" s="240">
        <v>203.49625</v>
      </c>
      <c r="N148" s="240">
        <v>163.56857142857143</v>
      </c>
      <c r="O148" s="258">
        <v>171.3362962962963</v>
      </c>
      <c r="P148" s="224">
        <v>0.22231277586359932</v>
      </c>
      <c r="Q148" s="224">
        <v>0.28439788643355435</v>
      </c>
      <c r="R148" s="224">
        <v>0.23601101846337103</v>
      </c>
      <c r="S148" s="224">
        <v>0.25585346304358075</v>
      </c>
      <c r="T148" s="224">
        <v>0.48971159973824574</v>
      </c>
      <c r="U148" s="259">
        <v>0.26420641783185433</v>
      </c>
      <c r="V148" s="239">
        <v>15</v>
      </c>
      <c r="W148" s="239">
        <v>11</v>
      </c>
      <c r="X148" s="239">
        <v>13</v>
      </c>
      <c r="Y148" s="239">
        <v>8</v>
      </c>
      <c r="Z148" s="239">
        <v>7</v>
      </c>
      <c r="AA148" s="257">
        <v>54</v>
      </c>
      <c r="AB148" s="224">
        <v>0.22058823529411764</v>
      </c>
      <c r="AC148" s="224">
        <v>0.19642857142857142</v>
      </c>
      <c r="AD148" s="224">
        <v>0.26530612244897961</v>
      </c>
      <c r="AE148" s="224">
        <v>0.23529411764705882</v>
      </c>
      <c r="AF148" s="224">
        <v>0.46666666666666667</v>
      </c>
      <c r="AG148" s="259">
        <v>0.24324324324324326</v>
      </c>
      <c r="AH148" s="261">
        <v>7.8015290997035416E-4</v>
      </c>
      <c r="AI148" s="261">
        <v>4.0770941438102295E-4</v>
      </c>
      <c r="AJ148" s="261">
        <v>6.0350030175015089E-4</v>
      </c>
      <c r="AK148" s="261">
        <v>4.300844040642976E-4</v>
      </c>
      <c r="AL148" s="261">
        <v>1.4598540145985401E-3</v>
      </c>
      <c r="AM148" s="262">
        <v>5.9246905994909157E-4</v>
      </c>
    </row>
    <row r="149" spans="1:39" x14ac:dyDescent="0.25">
      <c r="A149" s="215" t="str">
        <v>4635-AAlQahtani</v>
      </c>
      <c r="B149" s="215" t="str">
        <v>HANJFRONT</v>
      </c>
      <c r="C149" s="215" t="str">
        <v>Ahmed Jaffari</v>
      </c>
      <c r="D149" s="239">
        <v>1652.04</v>
      </c>
      <c r="E149" s="239">
        <v>688.01</v>
      </c>
      <c r="F149" s="239">
        <v>150.02000000000001</v>
      </c>
      <c r="G149" s="239">
        <v>574</v>
      </c>
      <c r="H149" s="239">
        <v>701.05</v>
      </c>
      <c r="I149" s="257">
        <v>3765.12</v>
      </c>
      <c r="J149" s="240">
        <v>103.2525</v>
      </c>
      <c r="K149" s="240">
        <v>98.287142857142854</v>
      </c>
      <c r="L149" s="240">
        <v>150.02000000000001</v>
      </c>
      <c r="M149" s="240">
        <v>114.8</v>
      </c>
      <c r="N149" s="240">
        <v>140.20999999999998</v>
      </c>
      <c r="O149" s="258">
        <v>110.73882352941176</v>
      </c>
      <c r="P149" s="224">
        <v>0.16663170040910522</v>
      </c>
      <c r="Q149" s="224">
        <v>8.2453779216436832E-2</v>
      </c>
      <c r="R149" s="224">
        <v>1.8614750843756203E-2</v>
      </c>
      <c r="S149" s="224">
        <v>9.0210438636470797E-2</v>
      </c>
      <c r="T149" s="224">
        <v>0.29984132211610431</v>
      </c>
      <c r="U149" s="259">
        <v>0.10751747353126959</v>
      </c>
      <c r="V149" s="239">
        <v>16</v>
      </c>
      <c r="W149" s="239">
        <v>7</v>
      </c>
      <c r="X149" s="239">
        <v>1</v>
      </c>
      <c r="Y149" s="239">
        <v>5</v>
      </c>
      <c r="Z149" s="239">
        <v>5</v>
      </c>
      <c r="AA149" s="257">
        <v>34</v>
      </c>
      <c r="AB149" s="224">
        <v>0.23529411764705882</v>
      </c>
      <c r="AC149" s="224">
        <v>0.125</v>
      </c>
      <c r="AD149" s="224">
        <v>2.0408163265306121E-2</v>
      </c>
      <c r="AE149" s="224">
        <v>0.14705882352941177</v>
      </c>
      <c r="AF149" s="224">
        <v>0.33333333333333331</v>
      </c>
      <c r="AG149" s="259">
        <v>0.15315315315315314</v>
      </c>
      <c r="AH149" s="261">
        <v>8.3216310396837777E-4</v>
      </c>
      <c r="AI149" s="261">
        <v>2.5945144551519646E-4</v>
      </c>
      <c r="AJ149" s="261">
        <v>4.6423100134626989E-5</v>
      </c>
      <c r="AK149" s="261">
        <v>2.6880275254018599E-4</v>
      </c>
      <c r="AL149" s="261">
        <v>1.0427528675703858E-3</v>
      </c>
      <c r="AM149" s="262">
        <v>3.7303607478276135E-4</v>
      </c>
    </row>
    <row r="150" spans="1:39" x14ac:dyDescent="0.25">
      <c r="A150" s="215" t="str">
        <v>3414-Talal Alqahtani</v>
      </c>
      <c r="B150" s="215" t="str">
        <v>HARASHABH</v>
      </c>
      <c r="C150" s="215" t="str">
        <v>Ahmed Jaffari</v>
      </c>
      <c r="D150" s="239">
        <v>7072.1100000000006</v>
      </c>
      <c r="E150" s="239">
        <v>6284.15</v>
      </c>
      <c r="F150" s="239">
        <v>5673.04</v>
      </c>
      <c r="G150" s="239">
        <v>12380.81</v>
      </c>
      <c r="H150" s="239">
        <v>2072</v>
      </c>
      <c r="I150" s="257">
        <v>33482.11</v>
      </c>
      <c r="J150" s="240">
        <v>128.5838181818182</v>
      </c>
      <c r="K150" s="240">
        <v>142.8215909090909</v>
      </c>
      <c r="L150" s="240">
        <v>138.36682926829269</v>
      </c>
      <c r="M150" s="240">
        <v>123.8081</v>
      </c>
      <c r="N150" s="240">
        <v>172.66666666666666</v>
      </c>
      <c r="O150" s="258">
        <v>132.86551587301588</v>
      </c>
      <c r="P150" s="224">
        <v>0.22117913667669756</v>
      </c>
      <c r="Q150" s="224">
        <v>0.15007369770472007</v>
      </c>
      <c r="R150" s="224">
        <v>0.18306483153507477</v>
      </c>
      <c r="S150" s="224">
        <v>0.46979470783185334</v>
      </c>
      <c r="T150" s="224">
        <v>0.43329241591889572</v>
      </c>
      <c r="U150" s="259">
        <v>0.24624045483070459</v>
      </c>
      <c r="V150" s="239">
        <v>55</v>
      </c>
      <c r="W150" s="239">
        <v>44</v>
      </c>
      <c r="X150" s="239">
        <v>41</v>
      </c>
      <c r="Y150" s="239">
        <v>100</v>
      </c>
      <c r="Z150" s="239">
        <v>12</v>
      </c>
      <c r="AA150" s="257">
        <v>252</v>
      </c>
      <c r="AB150" s="224">
        <v>0.20146520146520147</v>
      </c>
      <c r="AC150" s="224">
        <v>0.14332247557003258</v>
      </c>
      <c r="AD150" s="224">
        <v>0.17083333333333334</v>
      </c>
      <c r="AE150" s="224">
        <v>0.5714285714285714</v>
      </c>
      <c r="AF150" s="224">
        <v>0.38709677419354838</v>
      </c>
      <c r="AG150" s="259">
        <v>0.24561403508771928</v>
      </c>
      <c r="AH150" s="261">
        <v>2.8605606698912985E-3</v>
      </c>
      <c r="AI150" s="261">
        <v>1.6308376575240918E-3</v>
      </c>
      <c r="AJ150" s="261">
        <v>1.9033471055197066E-3</v>
      </c>
      <c r="AK150" s="261">
        <v>5.37605505080372E-3</v>
      </c>
      <c r="AL150" s="261">
        <v>2.5026068821689261E-3</v>
      </c>
      <c r="AM150" s="262">
        <v>2.7648556130957604E-3</v>
      </c>
    </row>
    <row r="151" spans="1:39" x14ac:dyDescent="0.25">
      <c r="A151" s="215" t="str">
        <v>3473-FAlQutb</v>
      </c>
      <c r="B151" s="215" t="str">
        <v>HARASHABH</v>
      </c>
      <c r="C151" s="215" t="str">
        <v>Ahmed Jaffari</v>
      </c>
      <c r="D151" s="239">
        <v>8801.18</v>
      </c>
      <c r="E151" s="239">
        <v>10489.19</v>
      </c>
      <c r="F151" s="239">
        <v>4126.03</v>
      </c>
      <c r="G151" s="239">
        <v>6309.84</v>
      </c>
      <c r="H151" s="239">
        <v>2083.9700000000003</v>
      </c>
      <c r="I151" s="257">
        <v>31810.210000000003</v>
      </c>
      <c r="J151" s="240">
        <v>106.03831325301205</v>
      </c>
      <c r="K151" s="240">
        <v>141.74581081081081</v>
      </c>
      <c r="L151" s="240">
        <v>142.27689655172412</v>
      </c>
      <c r="M151" s="240">
        <v>180.28114285714287</v>
      </c>
      <c r="N151" s="240">
        <v>160.30538461538464</v>
      </c>
      <c r="O151" s="258">
        <v>135.94106837606839</v>
      </c>
      <c r="P151" s="224">
        <v>0.27525553111252749</v>
      </c>
      <c r="Q151" s="224">
        <v>0.25049553706187361</v>
      </c>
      <c r="R151" s="224">
        <v>0.13314395577303606</v>
      </c>
      <c r="S151" s="224">
        <v>0.23942936199374204</v>
      </c>
      <c r="T151" s="224">
        <v>0.43579555791626506</v>
      </c>
      <c r="U151" s="259">
        <v>0.23394465219367083</v>
      </c>
      <c r="V151" s="239">
        <v>83</v>
      </c>
      <c r="W151" s="239">
        <v>74</v>
      </c>
      <c r="X151" s="239">
        <v>29</v>
      </c>
      <c r="Y151" s="239">
        <v>35</v>
      </c>
      <c r="Z151" s="239">
        <v>13</v>
      </c>
      <c r="AA151" s="257">
        <v>234</v>
      </c>
      <c r="AB151" s="224">
        <v>0.304029304029304</v>
      </c>
      <c r="AC151" s="224">
        <v>0.24104234527687296</v>
      </c>
      <c r="AD151" s="224">
        <v>0.12083333333333333</v>
      </c>
      <c r="AE151" s="224">
        <v>0.2</v>
      </c>
      <c r="AF151" s="224">
        <v>0.41935483870967744</v>
      </c>
      <c r="AG151" s="259">
        <v>0.22807017543859648</v>
      </c>
      <c r="AH151" s="261">
        <v>4.3168461018359599E-3</v>
      </c>
      <c r="AI151" s="261">
        <v>2.742772424017791E-3</v>
      </c>
      <c r="AJ151" s="261">
        <v>1.3462699039041828E-3</v>
      </c>
      <c r="AK151" s="261">
        <v>1.8816192677813021E-3</v>
      </c>
      <c r="AL151" s="261">
        <v>2.7111574556830031E-3</v>
      </c>
      <c r="AM151" s="262">
        <v>2.5673659264460634E-3</v>
      </c>
    </row>
    <row r="152" spans="1:39" x14ac:dyDescent="0.25">
      <c r="A152" s="215" t="str">
        <v>3438-Sharifa Sahari</v>
      </c>
      <c r="B152" s="215" t="str">
        <v>HARASHABH</v>
      </c>
      <c r="C152" s="215" t="str">
        <v>Ahmed Jaffari</v>
      </c>
      <c r="D152" s="239">
        <v>8125.1500000000005</v>
      </c>
      <c r="E152" s="239">
        <v>8567.14</v>
      </c>
      <c r="F152" s="239">
        <v>5881</v>
      </c>
      <c r="G152" s="239">
        <v>0</v>
      </c>
      <c r="H152" s="239">
        <v>401.02</v>
      </c>
      <c r="I152" s="257">
        <v>22974.31</v>
      </c>
      <c r="J152" s="240">
        <v>109.79932432432433</v>
      </c>
      <c r="K152" s="240">
        <v>120.66394366197183</v>
      </c>
      <c r="L152" s="240">
        <v>125.12765957446808</v>
      </c>
      <c r="M152" s="240" t="str">
        <v/>
      </c>
      <c r="N152" s="240">
        <v>133.67333333333332</v>
      </c>
      <c r="O152" s="258">
        <v>117.81697435897436</v>
      </c>
      <c r="P152" s="224">
        <v>0.25411279835419259</v>
      </c>
      <c r="Q152" s="224">
        <v>0.20459447634986683</v>
      </c>
      <c r="R152" s="224">
        <v>0.18977554789985171</v>
      </c>
      <c r="S152" s="224">
        <v>0</v>
      </c>
      <c r="T152" s="224">
        <v>8.3860484860905193E-2</v>
      </c>
      <c r="U152" s="259">
        <v>0.16896200818352264</v>
      </c>
      <c r="V152" s="239">
        <v>74</v>
      </c>
      <c r="W152" s="239">
        <v>71</v>
      </c>
      <c r="X152" s="239">
        <v>47</v>
      </c>
      <c r="Y152" s="239">
        <v>0</v>
      </c>
      <c r="Z152" s="239">
        <v>3</v>
      </c>
      <c r="AA152" s="257">
        <v>195</v>
      </c>
      <c r="AB152" s="224">
        <v>0.27106227106227104</v>
      </c>
      <c r="AC152" s="224">
        <v>0.23127035830618892</v>
      </c>
      <c r="AD152" s="224">
        <v>0.19583333333333333</v>
      </c>
      <c r="AE152" s="224">
        <v>0</v>
      </c>
      <c r="AF152" s="224">
        <v>9.6774193548387094E-2</v>
      </c>
      <c r="AG152" s="259">
        <v>0.19005847953216373</v>
      </c>
      <c r="AH152" s="261">
        <v>3.8487543558537473E-3</v>
      </c>
      <c r="AI152" s="261">
        <v>2.631578947368421E-3</v>
      </c>
      <c r="AJ152" s="261">
        <v>2.1818857063274685E-3</v>
      </c>
      <c r="AK152" s="261">
        <v>0</v>
      </c>
      <c r="AL152" s="261">
        <v>6.2565172054223153E-4</v>
      </c>
      <c r="AM152" s="262">
        <v>2.1394716053717193E-3</v>
      </c>
    </row>
    <row r="153" spans="1:39" x14ac:dyDescent="0.25">
      <c r="A153" s="215" t="str">
        <v>3391-Ahlam Asiri</v>
      </c>
      <c r="B153" s="215" t="str">
        <v>HARASHABH</v>
      </c>
      <c r="C153" s="215" t="str">
        <v>Ahmed Jaffari</v>
      </c>
      <c r="D153" s="239">
        <v>3645.05</v>
      </c>
      <c r="E153" s="239">
        <v>8738.19</v>
      </c>
      <c r="F153" s="239">
        <v>4578.07</v>
      </c>
      <c r="G153" s="239">
        <v>0</v>
      </c>
      <c r="H153" s="239">
        <v>0</v>
      </c>
      <c r="I153" s="257">
        <v>16961.310000000001</v>
      </c>
      <c r="J153" s="240">
        <v>140.19423076923078</v>
      </c>
      <c r="K153" s="240">
        <v>132.39681818181819</v>
      </c>
      <c r="L153" s="240">
        <v>109.00166666666667</v>
      </c>
      <c r="M153" s="240" t="str">
        <v/>
      </c>
      <c r="N153" s="240" t="str">
        <v/>
      </c>
      <c r="O153" s="258">
        <v>126.57694029850747</v>
      </c>
      <c r="P153" s="224">
        <v>0.11399836995513311</v>
      </c>
      <c r="Q153" s="224">
        <v>0.20867937343099832</v>
      </c>
      <c r="R153" s="224">
        <v>0.14773095435706071</v>
      </c>
      <c r="S153" s="224">
        <v>0</v>
      </c>
      <c r="T153" s="224">
        <v>0</v>
      </c>
      <c r="U153" s="259">
        <v>0.12474006832080112</v>
      </c>
      <c r="V153" s="239">
        <v>26</v>
      </c>
      <c r="W153" s="239">
        <v>66</v>
      </c>
      <c r="X153" s="239">
        <v>42</v>
      </c>
      <c r="Y153" s="239">
        <v>0</v>
      </c>
      <c r="Z153" s="239">
        <v>0</v>
      </c>
      <c r="AA153" s="257">
        <v>134</v>
      </c>
      <c r="AB153" s="224">
        <v>9.5238095238095233E-2</v>
      </c>
      <c r="AC153" s="224">
        <v>0.21498371335504887</v>
      </c>
      <c r="AD153" s="224">
        <v>0.17499999999999999</v>
      </c>
      <c r="AE153" s="224">
        <v>0</v>
      </c>
      <c r="AF153" s="224">
        <v>0</v>
      </c>
      <c r="AG153" s="259">
        <v>0.13060428849902533</v>
      </c>
      <c r="AH153" s="261">
        <v>1.3522650439486139E-3</v>
      </c>
      <c r="AI153" s="261">
        <v>2.446256486286138E-3</v>
      </c>
      <c r="AJ153" s="261">
        <v>1.9497702056543336E-3</v>
      </c>
      <c r="AK153" s="261">
        <v>0</v>
      </c>
      <c r="AL153" s="261">
        <v>0</v>
      </c>
      <c r="AM153" s="262">
        <v>1.4702010006144124E-3</v>
      </c>
    </row>
    <row r="154" spans="1:39" x14ac:dyDescent="0.25">
      <c r="A154" s="215" t="str">
        <v>3415-Tariq Alqahtani</v>
      </c>
      <c r="B154" s="215" t="str">
        <v>HARASHABH</v>
      </c>
      <c r="C154" s="215" t="str">
        <v>Ahmed Jaffari</v>
      </c>
      <c r="D154" s="239">
        <v>4331.09</v>
      </c>
      <c r="E154" s="239">
        <v>7795.09</v>
      </c>
      <c r="F154" s="239">
        <v>3327</v>
      </c>
      <c r="G154" s="239">
        <v>0</v>
      </c>
      <c r="H154" s="239">
        <v>75</v>
      </c>
      <c r="I154" s="257">
        <v>15528.18</v>
      </c>
      <c r="J154" s="240">
        <v>123.74542857142858</v>
      </c>
      <c r="K154" s="240">
        <v>149.90557692307692</v>
      </c>
      <c r="L154" s="240">
        <v>144.65217391304347</v>
      </c>
      <c r="M154" s="240" t="str">
        <v/>
      </c>
      <c r="N154" s="240">
        <v>75</v>
      </c>
      <c r="O154" s="258">
        <v>139.89351351351351</v>
      </c>
      <c r="P154" s="224">
        <v>0.13545416390144921</v>
      </c>
      <c r="Q154" s="224">
        <v>0.18615691545254115</v>
      </c>
      <c r="R154" s="224">
        <v>0.10735984490100435</v>
      </c>
      <c r="S154" s="224">
        <v>0</v>
      </c>
      <c r="T154" s="224">
        <v>1.568384710131138E-2</v>
      </c>
      <c r="U154" s="259">
        <v>0.11420027309787377</v>
      </c>
      <c r="V154" s="239">
        <v>35</v>
      </c>
      <c r="W154" s="239">
        <v>52</v>
      </c>
      <c r="X154" s="239">
        <v>23</v>
      </c>
      <c r="Y154" s="239">
        <v>0</v>
      </c>
      <c r="Z154" s="239">
        <v>1</v>
      </c>
      <c r="AA154" s="257">
        <v>111</v>
      </c>
      <c r="AB154" s="224">
        <v>0.12820512820512819</v>
      </c>
      <c r="AC154" s="224">
        <v>0.16938110749185667</v>
      </c>
      <c r="AD154" s="224">
        <v>9.583333333333334E-2</v>
      </c>
      <c r="AE154" s="224">
        <v>0</v>
      </c>
      <c r="AF154" s="224">
        <v>3.2258064516129031E-2</v>
      </c>
      <c r="AG154" s="259">
        <v>0.10818713450292397</v>
      </c>
      <c r="AH154" s="261">
        <v>1.8203567899308265E-3</v>
      </c>
      <c r="AI154" s="261">
        <v>1.927353595255745E-3</v>
      </c>
      <c r="AJ154" s="261">
        <v>1.0677313030964207E-3</v>
      </c>
      <c r="AK154" s="261">
        <v>0</v>
      </c>
      <c r="AL154" s="261">
        <v>2.0855057351407716E-4</v>
      </c>
      <c r="AM154" s="262">
        <v>1.2178530676731326E-3</v>
      </c>
    </row>
    <row r="155" spans="1:39" x14ac:dyDescent="0.25">
      <c r="A155" s="215" t="str">
        <v>3395-Saad Al-Ahmari</v>
      </c>
      <c r="B155" s="215" t="str">
        <v>HARASHABH</v>
      </c>
      <c r="C155" s="215" t="str">
        <v>Ahmed Jaffari</v>
      </c>
      <c r="D155" s="239">
        <v>0</v>
      </c>
      <c r="E155" s="239">
        <v>0</v>
      </c>
      <c r="F155" s="239">
        <v>7404.1</v>
      </c>
      <c r="G155" s="239">
        <v>7663.01</v>
      </c>
      <c r="H155" s="239">
        <v>150</v>
      </c>
      <c r="I155" s="257">
        <v>15217.11</v>
      </c>
      <c r="J155" s="240" t="str">
        <v/>
      </c>
      <c r="K155" s="240" t="str">
        <v/>
      </c>
      <c r="L155" s="240">
        <v>127.65689655172415</v>
      </c>
      <c r="M155" s="240">
        <v>191.57525000000001</v>
      </c>
      <c r="N155" s="240">
        <v>75</v>
      </c>
      <c r="O155" s="258">
        <v>152.1711</v>
      </c>
      <c r="P155" s="224">
        <v>0</v>
      </c>
      <c r="Q155" s="224">
        <v>0</v>
      </c>
      <c r="R155" s="224">
        <v>0.23892486553397246</v>
      </c>
      <c r="S155" s="224">
        <v>0.29077593017440462</v>
      </c>
      <c r="T155" s="224">
        <v>3.136769420262276E-2</v>
      </c>
      <c r="U155" s="259">
        <v>0.11191254337342728</v>
      </c>
      <c r="V155" s="239">
        <v>0</v>
      </c>
      <c r="W155" s="239">
        <v>0</v>
      </c>
      <c r="X155" s="239">
        <v>58</v>
      </c>
      <c r="Y155" s="239">
        <v>40</v>
      </c>
      <c r="Z155" s="239">
        <v>2</v>
      </c>
      <c r="AA155" s="257">
        <v>100</v>
      </c>
      <c r="AB155" s="224">
        <v>0</v>
      </c>
      <c r="AC155" s="224">
        <v>0</v>
      </c>
      <c r="AD155" s="224">
        <v>0.24166666666666667</v>
      </c>
      <c r="AE155" s="224">
        <v>0.22857142857142856</v>
      </c>
      <c r="AF155" s="224">
        <v>6.4516129032258063E-2</v>
      </c>
      <c r="AG155" s="259">
        <v>9.7465886939571145E-2</v>
      </c>
      <c r="AH155" s="261">
        <v>0</v>
      </c>
      <c r="AI155" s="261">
        <v>0</v>
      </c>
      <c r="AJ155" s="261">
        <v>2.6925398078083656E-3</v>
      </c>
      <c r="AK155" s="261">
        <v>2.1504220203214879E-3</v>
      </c>
      <c r="AL155" s="261">
        <v>4.1710114702815432E-4</v>
      </c>
      <c r="AM155" s="262">
        <v>1.097164925831651E-3</v>
      </c>
    </row>
    <row r="156" spans="1:39" x14ac:dyDescent="0.25">
      <c r="A156" s="215" t="str">
        <v>6924-MHakami</v>
      </c>
      <c r="B156" s="215" t="str">
        <v>HARASHJIZ</v>
      </c>
      <c r="C156" s="215" t="str">
        <v>Ahmed Jaffari</v>
      </c>
      <c r="D156" s="239">
        <v>2863.0699999999997</v>
      </c>
      <c r="E156" s="239">
        <v>8170.08</v>
      </c>
      <c r="F156" s="239">
        <v>4145.0200000000004</v>
      </c>
      <c r="G156" s="239">
        <v>3144.8500000000004</v>
      </c>
      <c r="H156" s="239">
        <v>435.98</v>
      </c>
      <c r="I156" s="257">
        <v>18759</v>
      </c>
      <c r="J156" s="240">
        <v>150.68789473684208</v>
      </c>
      <c r="K156" s="240">
        <v>145.8942857142857</v>
      </c>
      <c r="L156" s="240">
        <v>138.16733333333335</v>
      </c>
      <c r="M156" s="240">
        <v>196.55312500000002</v>
      </c>
      <c r="N156" s="240">
        <v>145.32666666666668</v>
      </c>
      <c r="O156" s="258">
        <v>151.28225806451613</v>
      </c>
      <c r="P156" s="224">
        <v>0.20241849902893813</v>
      </c>
      <c r="Q156" s="224">
        <v>0.47894986141659907</v>
      </c>
      <c r="R156" s="224">
        <v>0.3090047040054868</v>
      </c>
      <c r="S156" s="224">
        <v>0.2827421089161965</v>
      </c>
      <c r="T156" s="224">
        <v>0.14694304010785306</v>
      </c>
      <c r="U156" s="259">
        <v>0.31953921215758213</v>
      </c>
      <c r="V156" s="239">
        <v>19</v>
      </c>
      <c r="W156" s="239">
        <v>56</v>
      </c>
      <c r="X156" s="239">
        <v>30</v>
      </c>
      <c r="Y156" s="239">
        <v>16</v>
      </c>
      <c r="Z156" s="239">
        <v>3</v>
      </c>
      <c r="AA156" s="257">
        <v>124</v>
      </c>
      <c r="AB156" s="224">
        <v>0.19791666666666666</v>
      </c>
      <c r="AC156" s="224">
        <v>0.48275862068965519</v>
      </c>
      <c r="AD156" s="224">
        <v>0.28037383177570091</v>
      </c>
      <c r="AE156" s="224">
        <v>0.24615384615384617</v>
      </c>
      <c r="AF156" s="224">
        <v>0.17647058823529413</v>
      </c>
      <c r="AG156" s="259">
        <v>0.30922693266832918</v>
      </c>
      <c r="AH156" s="261">
        <v>9.8819368596244858E-4</v>
      </c>
      <c r="AI156" s="261">
        <v>2.0756115641215717E-3</v>
      </c>
      <c r="AJ156" s="261">
        <v>1.3926930040388096E-3</v>
      </c>
      <c r="AK156" s="261">
        <v>8.6016880812859521E-4</v>
      </c>
      <c r="AL156" s="261">
        <v>6.2565172054223153E-4</v>
      </c>
      <c r="AM156" s="262">
        <v>1.3604845080312472E-3</v>
      </c>
    </row>
    <row r="157" spans="1:39" x14ac:dyDescent="0.25">
      <c r="A157" s="215" t="str">
        <v>4394-BBahkily</v>
      </c>
      <c r="B157" s="215" t="str">
        <v>HARASHJIZ</v>
      </c>
      <c r="C157" s="215" t="str">
        <v>Ahmed Jaffari</v>
      </c>
      <c r="D157" s="239">
        <v>4617.09</v>
      </c>
      <c r="E157" s="239">
        <v>4517.12</v>
      </c>
      <c r="F157" s="239">
        <v>4867.01</v>
      </c>
      <c r="G157" s="239">
        <v>3008.9</v>
      </c>
      <c r="H157" s="239">
        <v>813.02</v>
      </c>
      <c r="I157" s="257">
        <v>17823.14</v>
      </c>
      <c r="J157" s="240">
        <v>144.2840625</v>
      </c>
      <c r="K157" s="240">
        <v>167.30074074074074</v>
      </c>
      <c r="L157" s="240">
        <v>115.88119047619048</v>
      </c>
      <c r="M157" s="240">
        <v>176.99411764705883</v>
      </c>
      <c r="N157" s="240">
        <v>203.255</v>
      </c>
      <c r="O157" s="258">
        <v>146.09131147540984</v>
      </c>
      <c r="P157" s="224">
        <v>0.32642737609681916</v>
      </c>
      <c r="Q157" s="224">
        <v>0.26480450595369298</v>
      </c>
      <c r="R157" s="224">
        <v>0.36282791987535506</v>
      </c>
      <c r="S157" s="224">
        <v>0.27051933526811883</v>
      </c>
      <c r="T157" s="224">
        <v>0.27402089652847994</v>
      </c>
      <c r="U157" s="259">
        <v>0.30359785243212795</v>
      </c>
      <c r="V157" s="239">
        <v>32</v>
      </c>
      <c r="W157" s="239">
        <v>27</v>
      </c>
      <c r="X157" s="239">
        <v>42</v>
      </c>
      <c r="Y157" s="239">
        <v>17</v>
      </c>
      <c r="Z157" s="239">
        <v>4</v>
      </c>
      <c r="AA157" s="257">
        <v>122</v>
      </c>
      <c r="AB157" s="224">
        <v>0.33333333333333331</v>
      </c>
      <c r="AC157" s="224">
        <v>0.23275862068965517</v>
      </c>
      <c r="AD157" s="224">
        <v>0.3925233644859813</v>
      </c>
      <c r="AE157" s="224">
        <v>0.26153846153846155</v>
      </c>
      <c r="AF157" s="224">
        <v>0.23529411764705882</v>
      </c>
      <c r="AG157" s="259">
        <v>0.30423940149625933</v>
      </c>
      <c r="AH157" s="261">
        <v>1.6643262079367555E-3</v>
      </c>
      <c r="AI157" s="261">
        <v>1.0007412898443292E-3</v>
      </c>
      <c r="AJ157" s="261">
        <v>1.9497702056543336E-3</v>
      </c>
      <c r="AK157" s="261">
        <v>9.1392935863663239E-4</v>
      </c>
      <c r="AL157" s="261">
        <v>8.3420229405630863E-4</v>
      </c>
      <c r="AM157" s="262">
        <v>1.3385412095146142E-3</v>
      </c>
    </row>
    <row r="158" spans="1:39" x14ac:dyDescent="0.25">
      <c r="A158" s="215" t="str">
        <v>5705-MMasra</v>
      </c>
      <c r="B158" s="215" t="str">
        <v>HARASHJIZ</v>
      </c>
      <c r="C158" s="215" t="str">
        <v>Ahmed Jaffari</v>
      </c>
      <c r="D158" s="239">
        <v>4395.08</v>
      </c>
      <c r="E158" s="239">
        <v>0</v>
      </c>
      <c r="F158" s="239">
        <v>1805.01</v>
      </c>
      <c r="G158" s="239">
        <v>3564</v>
      </c>
      <c r="H158" s="239">
        <v>360.98</v>
      </c>
      <c r="I158" s="257">
        <v>10125.07</v>
      </c>
      <c r="J158" s="240">
        <v>151.55448275862068</v>
      </c>
      <c r="K158" s="240" t="str">
        <v/>
      </c>
      <c r="L158" s="240">
        <v>138.84692307692308</v>
      </c>
      <c r="M158" s="240">
        <v>154.95652173913044</v>
      </c>
      <c r="N158" s="240">
        <v>180.49</v>
      </c>
      <c r="O158" s="258">
        <v>151.12044776119401</v>
      </c>
      <c r="P158" s="224">
        <v>0.31073131174302598</v>
      </c>
      <c r="Q158" s="224">
        <v>0</v>
      </c>
      <c r="R158" s="224">
        <v>0.13456064886947317</v>
      </c>
      <c r="S158" s="224">
        <v>0.32042637206140967</v>
      </c>
      <c r="T158" s="224">
        <v>0.121664981462757</v>
      </c>
      <c r="U158" s="259">
        <v>0.17246958211207261</v>
      </c>
      <c r="V158" s="239">
        <v>29</v>
      </c>
      <c r="W158" s="239">
        <v>0</v>
      </c>
      <c r="X158" s="239">
        <v>13</v>
      </c>
      <c r="Y158" s="239">
        <v>23</v>
      </c>
      <c r="Z158" s="239">
        <v>2</v>
      </c>
      <c r="AA158" s="257">
        <v>67</v>
      </c>
      <c r="AB158" s="224">
        <v>0.30208333333333331</v>
      </c>
      <c r="AC158" s="224">
        <v>0</v>
      </c>
      <c r="AD158" s="224">
        <v>0.12149532710280374</v>
      </c>
      <c r="AE158" s="224">
        <v>0.35384615384615387</v>
      </c>
      <c r="AF158" s="224">
        <v>0.11764705882352941</v>
      </c>
      <c r="AG158" s="259">
        <v>0.16708229426433915</v>
      </c>
      <c r="AH158" s="261">
        <v>1.5082956259426848E-3</v>
      </c>
      <c r="AI158" s="261">
        <v>0</v>
      </c>
      <c r="AJ158" s="261">
        <v>6.0350030175015089E-4</v>
      </c>
      <c r="AK158" s="261">
        <v>1.2364926616848556E-3</v>
      </c>
      <c r="AL158" s="261">
        <v>4.1710114702815432E-4</v>
      </c>
      <c r="AM158" s="262">
        <v>7.3510050030720618E-4</v>
      </c>
    </row>
    <row r="159" spans="1:39" x14ac:dyDescent="0.25">
      <c r="A159" s="215" t="str">
        <v>4404-RAhmed</v>
      </c>
      <c r="B159" s="215" t="str">
        <v>HARASHJIZ</v>
      </c>
      <c r="C159" s="215" t="str">
        <v>Ahmed Jaffari</v>
      </c>
      <c r="D159" s="239">
        <v>2269.0699999999997</v>
      </c>
      <c r="E159" s="239">
        <v>3958.0999999999995</v>
      </c>
      <c r="F159" s="239">
        <v>820</v>
      </c>
      <c r="G159" s="239">
        <v>1404.93</v>
      </c>
      <c r="H159" s="239">
        <v>1357.02</v>
      </c>
      <c r="I159" s="257">
        <v>9809.119999999999</v>
      </c>
      <c r="J159" s="240">
        <v>151.2713333333333</v>
      </c>
      <c r="K159" s="240">
        <v>141.36071428571427</v>
      </c>
      <c r="L159" s="240">
        <v>102.5</v>
      </c>
      <c r="M159" s="240">
        <v>156.10333333333335</v>
      </c>
      <c r="N159" s="240">
        <v>169.6275</v>
      </c>
      <c r="O159" s="258">
        <v>144.25176470588235</v>
      </c>
      <c r="P159" s="224">
        <v>0.1604228131312167</v>
      </c>
      <c r="Q159" s="224">
        <v>0.23203340071003473</v>
      </c>
      <c r="R159" s="224">
        <v>6.1129706801052619E-2</v>
      </c>
      <c r="S159" s="224">
        <v>0.12631218375427505</v>
      </c>
      <c r="T159" s="224">
        <v>0.45737108190091003</v>
      </c>
      <c r="U159" s="259">
        <v>0.16708771665649458</v>
      </c>
      <c r="V159" s="239">
        <v>15</v>
      </c>
      <c r="W159" s="239">
        <v>28</v>
      </c>
      <c r="X159" s="239">
        <v>8</v>
      </c>
      <c r="Y159" s="239">
        <v>9</v>
      </c>
      <c r="Z159" s="239">
        <v>8</v>
      </c>
      <c r="AA159" s="257">
        <v>68</v>
      </c>
      <c r="AB159" s="224">
        <v>0.15625</v>
      </c>
      <c r="AC159" s="224">
        <v>0.2413793103448276</v>
      </c>
      <c r="AD159" s="224">
        <v>7.476635514018691E-2</v>
      </c>
      <c r="AE159" s="224">
        <v>0.13846153846153847</v>
      </c>
      <c r="AF159" s="224">
        <v>0.47058823529411764</v>
      </c>
      <c r="AG159" s="259">
        <v>0.16957605985037408</v>
      </c>
      <c r="AH159" s="261">
        <v>7.8015290997035416E-4</v>
      </c>
      <c r="AI159" s="261">
        <v>1.0378057820607859E-3</v>
      </c>
      <c r="AJ159" s="261">
        <v>3.7138480107701591E-4</v>
      </c>
      <c r="AK159" s="261">
        <v>4.8384495457233484E-4</v>
      </c>
      <c r="AL159" s="261">
        <v>1.6684045881126173E-3</v>
      </c>
      <c r="AM159" s="262">
        <v>7.460721495655227E-4</v>
      </c>
    </row>
    <row r="160" spans="1:39" x14ac:dyDescent="0.25">
      <c r="A160" s="215" t="str">
        <v>5228-SFaqihi</v>
      </c>
      <c r="B160" s="215" t="str">
        <v>HARASHJIZ</v>
      </c>
      <c r="C160" s="215" t="str">
        <v>Ahmed Jaffari</v>
      </c>
      <c r="D160" s="239">
        <v>0</v>
      </c>
      <c r="E160" s="239">
        <v>0</v>
      </c>
      <c r="F160" s="239">
        <v>1777.06</v>
      </c>
      <c r="G160" s="239">
        <v>0</v>
      </c>
      <c r="H160" s="239">
        <v>0</v>
      </c>
      <c r="I160" s="257">
        <v>1777.06</v>
      </c>
      <c r="J160" s="240" t="str">
        <v/>
      </c>
      <c r="K160" s="240" t="str">
        <v/>
      </c>
      <c r="L160" s="240">
        <v>126.93285714285715</v>
      </c>
      <c r="M160" s="240" t="str">
        <v/>
      </c>
      <c r="N160" s="240" t="str">
        <v/>
      </c>
      <c r="O160" s="258">
        <v>126.93285714285715</v>
      </c>
      <c r="P160" s="224">
        <v>0</v>
      </c>
      <c r="Q160" s="224">
        <v>0</v>
      </c>
      <c r="R160" s="224">
        <v>0.13247702044863241</v>
      </c>
      <c r="S160" s="224">
        <v>0</v>
      </c>
      <c r="T160" s="224">
        <v>0</v>
      </c>
      <c r="U160" s="259">
        <v>3.0270289053614417E-2</v>
      </c>
      <c r="V160" s="239">
        <v>0</v>
      </c>
      <c r="W160" s="239">
        <v>0</v>
      </c>
      <c r="X160" s="239">
        <v>14</v>
      </c>
      <c r="Y160" s="239">
        <v>0</v>
      </c>
      <c r="Z160" s="239">
        <v>0</v>
      </c>
      <c r="AA160" s="257">
        <v>14</v>
      </c>
      <c r="AB160" s="224">
        <v>0</v>
      </c>
      <c r="AC160" s="224">
        <v>0</v>
      </c>
      <c r="AD160" s="224">
        <v>0.13084112149532709</v>
      </c>
      <c r="AE160" s="224">
        <v>0</v>
      </c>
      <c r="AF160" s="224">
        <v>0</v>
      </c>
      <c r="AG160" s="259">
        <v>3.4912718204488775E-2</v>
      </c>
      <c r="AH160" s="261">
        <v>0</v>
      </c>
      <c r="AI160" s="261">
        <v>0</v>
      </c>
      <c r="AJ160" s="261">
        <v>6.499234018847779E-4</v>
      </c>
      <c r="AK160" s="261">
        <v>0</v>
      </c>
      <c r="AL160" s="261">
        <v>0</v>
      </c>
      <c r="AM160" s="262">
        <v>1.5360308961643115E-4</v>
      </c>
    </row>
    <row r="161" spans="1:39" x14ac:dyDescent="0.25">
      <c r="A161" s="215" t="str">
        <v>5703-AGesiri</v>
      </c>
      <c r="B161" s="215" t="str">
        <v>HARASHJIZ</v>
      </c>
      <c r="C161" s="215" t="str">
        <v>Ahmed Jaffari</v>
      </c>
      <c r="D161" s="239">
        <v>0</v>
      </c>
      <c r="E161" s="239">
        <v>400.02</v>
      </c>
      <c r="F161" s="239">
        <v>0</v>
      </c>
      <c r="G161" s="239">
        <v>0</v>
      </c>
      <c r="H161" s="239">
        <v>0</v>
      </c>
      <c r="I161" s="257">
        <v>400.02</v>
      </c>
      <c r="J161" s="240" t="str">
        <v/>
      </c>
      <c r="K161" s="240">
        <v>100.005</v>
      </c>
      <c r="L161" s="240" t="str">
        <v/>
      </c>
      <c r="M161" s="240" t="str">
        <v/>
      </c>
      <c r="N161" s="240" t="str">
        <v/>
      </c>
      <c r="O161" s="258">
        <v>100.005</v>
      </c>
      <c r="P161" s="224">
        <v>0</v>
      </c>
      <c r="Q161" s="224">
        <v>2.3450140459318383E-2</v>
      </c>
      <c r="R161" s="224">
        <v>0</v>
      </c>
      <c r="S161" s="224">
        <v>0</v>
      </c>
      <c r="T161" s="224">
        <v>0</v>
      </c>
      <c r="U161" s="259">
        <v>6.8139066926422515E-3</v>
      </c>
      <c r="V161" s="239">
        <v>0</v>
      </c>
      <c r="W161" s="239">
        <v>4</v>
      </c>
      <c r="X161" s="239">
        <v>0</v>
      </c>
      <c r="Y161" s="239">
        <v>0</v>
      </c>
      <c r="Z161" s="239">
        <v>0</v>
      </c>
      <c r="AA161" s="257">
        <v>4</v>
      </c>
      <c r="AB161" s="224">
        <v>0</v>
      </c>
      <c r="AC161" s="224">
        <v>3.4482758620689655E-2</v>
      </c>
      <c r="AD161" s="224">
        <v>0</v>
      </c>
      <c r="AE161" s="224">
        <v>0</v>
      </c>
      <c r="AF161" s="224">
        <v>0</v>
      </c>
      <c r="AG161" s="259">
        <v>9.9750623441396506E-3</v>
      </c>
      <c r="AH161" s="261">
        <v>0</v>
      </c>
      <c r="AI161" s="261">
        <v>1.4825796886582654E-4</v>
      </c>
      <c r="AJ161" s="261">
        <v>0</v>
      </c>
      <c r="AK161" s="261">
        <v>0</v>
      </c>
      <c r="AL161" s="261">
        <v>0</v>
      </c>
      <c r="AM161" s="262">
        <v>4.3886597033266039E-5</v>
      </c>
    </row>
    <row r="162" spans="1:39" x14ac:dyDescent="0.25">
      <c r="A162" s="215" t="str">
        <v>5405-HHarisi</v>
      </c>
      <c r="B162" s="215" t="str">
        <v>HARASHJIZ</v>
      </c>
      <c r="C162" s="215" t="str">
        <v>Ahmed Jaffari</v>
      </c>
      <c r="D162" s="239">
        <v>0</v>
      </c>
      <c r="E162" s="239">
        <v>13</v>
      </c>
      <c r="F162" s="239">
        <v>0</v>
      </c>
      <c r="G162" s="239">
        <v>0</v>
      </c>
      <c r="H162" s="239">
        <v>0</v>
      </c>
      <c r="I162" s="257">
        <v>13</v>
      </c>
      <c r="J162" s="240">
        <v>0</v>
      </c>
      <c r="K162" s="240">
        <v>13</v>
      </c>
      <c r="L162" s="240" t="str">
        <v/>
      </c>
      <c r="M162" s="240" t="str">
        <v/>
      </c>
      <c r="N162" s="240" t="str">
        <v/>
      </c>
      <c r="O162" s="258">
        <v>6.5</v>
      </c>
      <c r="P162" s="224">
        <v>0</v>
      </c>
      <c r="Q162" s="224">
        <v>7.6209146035482978E-4</v>
      </c>
      <c r="R162" s="224">
        <v>0</v>
      </c>
      <c r="S162" s="224">
        <v>0</v>
      </c>
      <c r="T162" s="224">
        <v>0</v>
      </c>
      <c r="U162" s="259">
        <v>2.2144089546609989E-4</v>
      </c>
      <c r="V162" s="239">
        <v>1</v>
      </c>
      <c r="W162" s="239">
        <v>1</v>
      </c>
      <c r="X162" s="239">
        <v>0</v>
      </c>
      <c r="Y162" s="239">
        <v>0</v>
      </c>
      <c r="Z162" s="239">
        <v>0</v>
      </c>
      <c r="AA162" s="257">
        <v>2</v>
      </c>
      <c r="AB162" s="224">
        <v>1.0416666666666666E-2</v>
      </c>
      <c r="AC162" s="224">
        <v>8.6206896551724137E-3</v>
      </c>
      <c r="AD162" s="224">
        <v>0</v>
      </c>
      <c r="AE162" s="224">
        <v>0</v>
      </c>
      <c r="AF162" s="224">
        <v>0</v>
      </c>
      <c r="AG162" s="259">
        <v>4.9875311720698253E-3</v>
      </c>
      <c r="AH162" s="261">
        <v>5.201019399802361E-5</v>
      </c>
      <c r="AI162" s="261">
        <v>3.7064492216456636E-5</v>
      </c>
      <c r="AJ162" s="261">
        <v>0</v>
      </c>
      <c r="AK162" s="261">
        <v>0</v>
      </c>
      <c r="AL162" s="261">
        <v>0</v>
      </c>
      <c r="AM162" s="262">
        <v>2.194329851663302E-5</v>
      </c>
    </row>
    <row r="163" spans="1:39" x14ac:dyDescent="0.25">
      <c r="A163" s="215" t="str">
        <v>4395-MShawk</v>
      </c>
      <c r="B163" s="215" t="str">
        <v>JIZWFPLZ</v>
      </c>
      <c r="C163" s="215" t="str">
        <v>Ahmed Jaffari</v>
      </c>
      <c r="D163" s="239">
        <v>10523.32</v>
      </c>
      <c r="E163" s="239">
        <v>10615.300000000001</v>
      </c>
      <c r="F163" s="239">
        <v>5846.12</v>
      </c>
      <c r="G163" s="239">
        <v>8630.82</v>
      </c>
      <c r="H163" s="239">
        <v>2970.0299999999997</v>
      </c>
      <c r="I163" s="257">
        <v>38585.589999999997</v>
      </c>
      <c r="J163" s="240">
        <v>161.89723076923076</v>
      </c>
      <c r="K163" s="240">
        <v>151.64714285714288</v>
      </c>
      <c r="L163" s="240">
        <v>142.58829268292683</v>
      </c>
      <c r="M163" s="240">
        <v>169.23176470588234</v>
      </c>
      <c r="N163" s="240">
        <v>185.62687499999998</v>
      </c>
      <c r="O163" s="258">
        <v>158.78843621399176</v>
      </c>
      <c r="P163" s="224">
        <v>0.18577825357157232</v>
      </c>
      <c r="Q163" s="224">
        <v>0.16609620790307705</v>
      </c>
      <c r="R163" s="224">
        <v>0.14269294577754954</v>
      </c>
      <c r="S163" s="224">
        <v>0.21872298691968209</v>
      </c>
      <c r="T163" s="224">
        <v>0.22824806394570057</v>
      </c>
      <c r="U163" s="259">
        <v>0.18030873654784679</v>
      </c>
      <c r="V163" s="239">
        <v>65</v>
      </c>
      <c r="W163" s="239">
        <v>70</v>
      </c>
      <c r="X163" s="239">
        <v>41</v>
      </c>
      <c r="Y163" s="239">
        <v>51</v>
      </c>
      <c r="Z163" s="239">
        <v>16</v>
      </c>
      <c r="AA163" s="257">
        <v>243</v>
      </c>
      <c r="AB163" s="224">
        <v>0.16331658291457288</v>
      </c>
      <c r="AC163" s="224">
        <v>0.16018306636155608</v>
      </c>
      <c r="AD163" s="224">
        <v>0.14487632508833923</v>
      </c>
      <c r="AE163" s="224">
        <v>0.19844357976653695</v>
      </c>
      <c r="AF163" s="224">
        <v>0.20779220779220781</v>
      </c>
      <c r="AG163" s="259">
        <v>0.16735537190082644</v>
      </c>
      <c r="AH163" s="261">
        <v>3.3806626098715348E-3</v>
      </c>
      <c r="AI163" s="261">
        <v>2.5945144551519643E-3</v>
      </c>
      <c r="AJ163" s="261">
        <v>1.9033471055197066E-3</v>
      </c>
      <c r="AK163" s="261">
        <v>2.7417880759098975E-3</v>
      </c>
      <c r="AL163" s="261">
        <v>3.3368091762252345E-3</v>
      </c>
      <c r="AM163" s="262">
        <v>2.6661107697709121E-3</v>
      </c>
    </row>
    <row r="164" spans="1:39" x14ac:dyDescent="0.25">
      <c r="A164" s="215" t="str">
        <v>5411-AAbsi</v>
      </c>
      <c r="B164" s="215" t="str">
        <v>JIZWFPLZ</v>
      </c>
      <c r="C164" s="215" t="str">
        <v>Ahmed Jaffari</v>
      </c>
      <c r="D164" s="239">
        <v>8648.2800000000007</v>
      </c>
      <c r="E164" s="239">
        <v>11781.230000000001</v>
      </c>
      <c r="F164" s="239">
        <v>7510.21</v>
      </c>
      <c r="G164" s="239">
        <v>8546.8000000000011</v>
      </c>
      <c r="H164" s="239">
        <v>1924.14</v>
      </c>
      <c r="I164" s="257">
        <v>38410.660000000003</v>
      </c>
      <c r="J164" s="240">
        <v>137.27428571428572</v>
      </c>
      <c r="K164" s="240">
        <v>143.67353658536587</v>
      </c>
      <c r="L164" s="240">
        <v>150.20420000000001</v>
      </c>
      <c r="M164" s="240">
        <v>158.27407407407409</v>
      </c>
      <c r="N164" s="240">
        <v>148.01076923076923</v>
      </c>
      <c r="O164" s="258">
        <v>146.60557251908398</v>
      </c>
      <c r="P164" s="224">
        <v>0.15267637540224546</v>
      </c>
      <c r="Q164" s="224">
        <v>0.1843393618111564</v>
      </c>
      <c r="R164" s="224">
        <v>0.18331029611229505</v>
      </c>
      <c r="S164" s="224">
        <v>0.21659374481279173</v>
      </c>
      <c r="T164" s="224">
        <v>0.14787097428661675</v>
      </c>
      <c r="U164" s="259">
        <v>0.17949129648060114</v>
      </c>
      <c r="V164" s="239">
        <v>63</v>
      </c>
      <c r="W164" s="239">
        <v>82</v>
      </c>
      <c r="X164" s="239">
        <v>50</v>
      </c>
      <c r="Y164" s="239">
        <v>54</v>
      </c>
      <c r="Z164" s="239">
        <v>13</v>
      </c>
      <c r="AA164" s="257">
        <v>262</v>
      </c>
      <c r="AB164" s="224">
        <v>0.15829145728643215</v>
      </c>
      <c r="AC164" s="224">
        <v>0.18764302059496568</v>
      </c>
      <c r="AD164" s="224">
        <v>0.17667844522968199</v>
      </c>
      <c r="AE164" s="224">
        <v>0.21011673151750973</v>
      </c>
      <c r="AF164" s="224">
        <v>0.16883116883116883</v>
      </c>
      <c r="AG164" s="259">
        <v>0.18044077134986225</v>
      </c>
      <c r="AH164" s="261">
        <v>3.2766422218754878E-3</v>
      </c>
      <c r="AI164" s="261">
        <v>3.039288361749444E-3</v>
      </c>
      <c r="AJ164" s="261">
        <v>2.3211550067313495E-3</v>
      </c>
      <c r="AK164" s="261">
        <v>2.9030697274340087E-3</v>
      </c>
      <c r="AL164" s="261">
        <v>2.7111574556830031E-3</v>
      </c>
      <c r="AM164" s="262">
        <v>2.8745721056789258E-3</v>
      </c>
    </row>
    <row r="165" spans="1:39" x14ac:dyDescent="0.25">
      <c r="A165" s="215" t="str">
        <v>4410-AHakami</v>
      </c>
      <c r="B165" s="215" t="str">
        <v>JIZWFPLZ</v>
      </c>
      <c r="C165" s="215" t="str">
        <v>Ahmed Jaffari</v>
      </c>
      <c r="D165" s="239">
        <v>7176.1500000000005</v>
      </c>
      <c r="E165" s="239">
        <v>10195.25</v>
      </c>
      <c r="F165" s="239">
        <v>9390.27</v>
      </c>
      <c r="G165" s="239">
        <v>3825.94</v>
      </c>
      <c r="H165" s="239">
        <v>0</v>
      </c>
      <c r="I165" s="257">
        <v>30587.61</v>
      </c>
      <c r="J165" s="240">
        <v>143.52300000000002</v>
      </c>
      <c r="K165" s="240">
        <v>129.05379746835442</v>
      </c>
      <c r="L165" s="240">
        <v>161.90120689655174</v>
      </c>
      <c r="M165" s="240">
        <v>123.41741935483871</v>
      </c>
      <c r="N165" s="240" t="str">
        <v/>
      </c>
      <c r="O165" s="258">
        <v>140.31013761467889</v>
      </c>
      <c r="P165" s="224">
        <v>0.12668745361422432</v>
      </c>
      <c r="Q165" s="224">
        <v>0.15952374060307725</v>
      </c>
      <c r="R165" s="224">
        <v>0.22919907356444105</v>
      </c>
      <c r="S165" s="224">
        <v>9.6957302385577329E-2</v>
      </c>
      <c r="T165" s="224">
        <v>0</v>
      </c>
      <c r="U165" s="259">
        <v>0.14293453367224099</v>
      </c>
      <c r="V165" s="239">
        <v>50</v>
      </c>
      <c r="W165" s="239">
        <v>79</v>
      </c>
      <c r="X165" s="239">
        <v>58</v>
      </c>
      <c r="Y165" s="239">
        <v>31</v>
      </c>
      <c r="Z165" s="239">
        <v>0</v>
      </c>
      <c r="AA165" s="257">
        <v>218</v>
      </c>
      <c r="AB165" s="224">
        <v>0.12562814070351758</v>
      </c>
      <c r="AC165" s="224">
        <v>0.18077803203661327</v>
      </c>
      <c r="AD165" s="224">
        <v>0.20494699646643111</v>
      </c>
      <c r="AE165" s="224">
        <v>0.12062256809338522</v>
      </c>
      <c r="AF165" s="224">
        <v>0</v>
      </c>
      <c r="AG165" s="259">
        <v>0.15013774104683195</v>
      </c>
      <c r="AH165" s="261">
        <v>2.6005096999011808E-3</v>
      </c>
      <c r="AI165" s="261">
        <v>2.928094885100074E-3</v>
      </c>
      <c r="AJ165" s="261">
        <v>2.6925398078083656E-3</v>
      </c>
      <c r="AK165" s="261">
        <v>1.6665770657491533E-3</v>
      </c>
      <c r="AL165" s="261">
        <v>0</v>
      </c>
      <c r="AM165" s="262">
        <v>2.3918195383129991E-3</v>
      </c>
    </row>
    <row r="166" spans="1:39" x14ac:dyDescent="0.25">
      <c r="A166" s="215" t="str">
        <v>4401-ZAgeeli</v>
      </c>
      <c r="B166" s="215" t="str">
        <v>JIZWFPLZ</v>
      </c>
      <c r="C166" s="215" t="str">
        <v>Ahmed Jaffari</v>
      </c>
      <c r="D166" s="239">
        <v>7035.15</v>
      </c>
      <c r="E166" s="239">
        <v>11346.27</v>
      </c>
      <c r="F166" s="239">
        <v>1943.04</v>
      </c>
      <c r="G166" s="239">
        <v>4319.92</v>
      </c>
      <c r="H166" s="239">
        <v>3122.0299999999997</v>
      </c>
      <c r="I166" s="257">
        <v>27766.409999999996</v>
      </c>
      <c r="J166" s="240">
        <v>135.29134615384615</v>
      </c>
      <c r="K166" s="240">
        <v>157.58708333333334</v>
      </c>
      <c r="L166" s="240">
        <v>121.44</v>
      </c>
      <c r="M166" s="240">
        <v>154.28285714285715</v>
      </c>
      <c r="N166" s="240">
        <v>135.74043478260867</v>
      </c>
      <c r="O166" s="258">
        <v>145.37387434554972</v>
      </c>
      <c r="P166" s="224">
        <v>0.1241982454789978</v>
      </c>
      <c r="Q166" s="224">
        <v>0.177533599695199</v>
      </c>
      <c r="R166" s="224">
        <v>4.7426002436421054E-2</v>
      </c>
      <c r="S166" s="224">
        <v>0.10947578626991097</v>
      </c>
      <c r="T166" s="224">
        <v>0.23992932835035186</v>
      </c>
      <c r="U166" s="259">
        <v>0.12975119223444551</v>
      </c>
      <c r="V166" s="239">
        <v>52</v>
      </c>
      <c r="W166" s="239">
        <v>72</v>
      </c>
      <c r="X166" s="239">
        <v>16</v>
      </c>
      <c r="Y166" s="239">
        <v>28</v>
      </c>
      <c r="Z166" s="239">
        <v>23</v>
      </c>
      <c r="AA166" s="257">
        <v>191</v>
      </c>
      <c r="AB166" s="224">
        <v>0.1306532663316583</v>
      </c>
      <c r="AC166" s="224">
        <v>0.16475972540045766</v>
      </c>
      <c r="AD166" s="224">
        <v>5.6537102473498232E-2</v>
      </c>
      <c r="AE166" s="224">
        <v>0.10894941634241245</v>
      </c>
      <c r="AF166" s="224">
        <v>0.29870129870129869</v>
      </c>
      <c r="AG166" s="259">
        <v>0.1315426997245179</v>
      </c>
      <c r="AH166" s="261">
        <v>2.7045300878972278E-3</v>
      </c>
      <c r="AI166" s="261">
        <v>2.6686434395848777E-3</v>
      </c>
      <c r="AJ166" s="261">
        <v>7.4276960215403183E-4</v>
      </c>
      <c r="AK166" s="261">
        <v>1.5052954142250417E-3</v>
      </c>
      <c r="AL166" s="261">
        <v>4.7966631908237748E-3</v>
      </c>
      <c r="AM166" s="262">
        <v>2.0955850083384533E-3</v>
      </c>
    </row>
    <row r="167" spans="1:39" x14ac:dyDescent="0.25">
      <c r="A167" s="215" t="str">
        <v>5703-AGesiri</v>
      </c>
      <c r="B167" s="215" t="str">
        <v>JIZWFPLZ</v>
      </c>
      <c r="C167" s="215" t="str">
        <v>Ahmed Jaffari</v>
      </c>
      <c r="D167" s="239">
        <v>9638.25</v>
      </c>
      <c r="E167" s="239">
        <v>2850.0699999999997</v>
      </c>
      <c r="F167" s="239">
        <v>3969.06</v>
      </c>
      <c r="G167" s="239">
        <v>2874</v>
      </c>
      <c r="H167" s="239">
        <v>4077.17</v>
      </c>
      <c r="I167" s="257">
        <v>23408.550000000003</v>
      </c>
      <c r="J167" s="240">
        <v>148.28076923076924</v>
      </c>
      <c r="K167" s="240">
        <v>142.50349999999997</v>
      </c>
      <c r="L167" s="240">
        <v>110.25166666666667</v>
      </c>
      <c r="M167" s="240">
        <v>151.26315789473685</v>
      </c>
      <c r="N167" s="240">
        <v>203.85849999999999</v>
      </c>
      <c r="O167" s="258">
        <v>146.30343750000003</v>
      </c>
      <c r="P167" s="224">
        <v>0.17015326460529634</v>
      </c>
      <c r="Q167" s="224">
        <v>4.4594671771718435E-2</v>
      </c>
      <c r="R167" s="224">
        <v>9.6877392760983477E-2</v>
      </c>
      <c r="S167" s="224">
        <v>7.2833156572280067E-2</v>
      </c>
      <c r="T167" s="224">
        <v>0.31333224205731663</v>
      </c>
      <c r="U167" s="259">
        <v>0.10938710733507249</v>
      </c>
      <c r="V167" s="239">
        <v>65</v>
      </c>
      <c r="W167" s="239">
        <v>20</v>
      </c>
      <c r="X167" s="239">
        <v>36</v>
      </c>
      <c r="Y167" s="239">
        <v>19</v>
      </c>
      <c r="Z167" s="239">
        <v>20</v>
      </c>
      <c r="AA167" s="257">
        <v>160</v>
      </c>
      <c r="AB167" s="224">
        <v>0.16331658291457288</v>
      </c>
      <c r="AC167" s="224">
        <v>4.5766590389016017E-2</v>
      </c>
      <c r="AD167" s="224">
        <v>0.12720848056537101</v>
      </c>
      <c r="AE167" s="224">
        <v>7.3929961089494164E-2</v>
      </c>
      <c r="AF167" s="224">
        <v>0.25974025974025972</v>
      </c>
      <c r="AG167" s="259">
        <v>0.11019283746556474</v>
      </c>
      <c r="AH167" s="261">
        <v>3.3806626098715348E-3</v>
      </c>
      <c r="AI167" s="261">
        <v>7.4128984432913266E-4</v>
      </c>
      <c r="AJ167" s="261">
        <v>1.6712316048465717E-3</v>
      </c>
      <c r="AK167" s="261">
        <v>1.0214504596527069E-3</v>
      </c>
      <c r="AL167" s="261">
        <v>4.1710114702815434E-3</v>
      </c>
      <c r="AM167" s="262">
        <v>1.7554638813306416E-3</v>
      </c>
    </row>
    <row r="168" spans="1:39" x14ac:dyDescent="0.25">
      <c r="A168" s="215" t="str">
        <v>4392-WHazazi</v>
      </c>
      <c r="B168" s="215" t="str">
        <v>JIZWFPLZ</v>
      </c>
      <c r="C168" s="215" t="str">
        <v>Ahmed Jaffari</v>
      </c>
      <c r="D168" s="239">
        <v>4155.09</v>
      </c>
      <c r="E168" s="239">
        <v>6636.18</v>
      </c>
      <c r="F168" s="239">
        <v>5311.1</v>
      </c>
      <c r="G168" s="239">
        <v>5049.82</v>
      </c>
      <c r="H168" s="239">
        <v>918.92</v>
      </c>
      <c r="I168" s="257">
        <v>22071.11</v>
      </c>
      <c r="J168" s="240">
        <v>159.81115384615384</v>
      </c>
      <c r="K168" s="240">
        <v>150.82227272727275</v>
      </c>
      <c r="L168" s="240">
        <v>165.97187500000001</v>
      </c>
      <c r="M168" s="240">
        <v>174.13172413793103</v>
      </c>
      <c r="N168" s="240">
        <v>183.78399999999999</v>
      </c>
      <c r="O168" s="258">
        <v>162.28757352941176</v>
      </c>
      <c r="P168" s="224">
        <v>7.3353786032611806E-2</v>
      </c>
      <c r="Q168" s="224">
        <v>0.10383543874994035</v>
      </c>
      <c r="R168" s="224">
        <v>0.12963409993622152</v>
      </c>
      <c r="S168" s="224">
        <v>0.12797297519896705</v>
      </c>
      <c r="T168" s="224">
        <v>7.0619391360014272E-2</v>
      </c>
      <c r="U168" s="259">
        <v>0.10313731002450778</v>
      </c>
      <c r="V168" s="239">
        <v>26</v>
      </c>
      <c r="W168" s="239">
        <v>44</v>
      </c>
      <c r="X168" s="239">
        <v>32</v>
      </c>
      <c r="Y168" s="239">
        <v>29</v>
      </c>
      <c r="Z168" s="239">
        <v>5</v>
      </c>
      <c r="AA168" s="257">
        <v>136</v>
      </c>
      <c r="AB168" s="224">
        <v>6.5326633165829151E-2</v>
      </c>
      <c r="AC168" s="224">
        <v>0.10068649885583524</v>
      </c>
      <c r="AD168" s="224">
        <v>0.11307420494699646</v>
      </c>
      <c r="AE168" s="224">
        <v>0.11284046692607004</v>
      </c>
      <c r="AF168" s="224">
        <v>6.4935064935064929E-2</v>
      </c>
      <c r="AG168" s="259">
        <v>9.366391184573003E-2</v>
      </c>
      <c r="AH168" s="261">
        <v>1.3522650439486139E-3</v>
      </c>
      <c r="AI168" s="261">
        <v>1.6308376575240918E-3</v>
      </c>
      <c r="AJ168" s="261">
        <v>1.4855392043080637E-3</v>
      </c>
      <c r="AK168" s="261">
        <v>1.559055964733079E-3</v>
      </c>
      <c r="AL168" s="261">
        <v>1.0427528675703858E-3</v>
      </c>
      <c r="AM168" s="262">
        <v>1.4921442991310454E-3</v>
      </c>
    </row>
    <row r="169" spans="1:39" x14ac:dyDescent="0.25">
      <c r="A169" s="215" t="str">
        <v>5228-SFaqihi</v>
      </c>
      <c r="B169" s="215" t="str">
        <v>JIZWFPLZ</v>
      </c>
      <c r="C169" s="215" t="str">
        <v>Ahmed Jaffari</v>
      </c>
      <c r="D169" s="239">
        <v>4819.13</v>
      </c>
      <c r="E169" s="239">
        <v>10486.249999999998</v>
      </c>
      <c r="F169" s="239">
        <v>685.02</v>
      </c>
      <c r="G169" s="239">
        <v>2388.86</v>
      </c>
      <c r="H169" s="239">
        <v>0</v>
      </c>
      <c r="I169" s="257">
        <v>18379.259999999998</v>
      </c>
      <c r="J169" s="240">
        <v>133.86472222222221</v>
      </c>
      <c r="K169" s="240">
        <v>149.80357142857142</v>
      </c>
      <c r="L169" s="240">
        <v>97.86</v>
      </c>
      <c r="M169" s="240">
        <v>183.75846153846155</v>
      </c>
      <c r="N169" s="240" t="str">
        <v/>
      </c>
      <c r="O169" s="258">
        <v>145.86714285714285</v>
      </c>
      <c r="P169" s="224">
        <v>8.5076720572440201E-2</v>
      </c>
      <c r="Q169" s="224">
        <v>0.1640769794658315</v>
      </c>
      <c r="R169" s="224">
        <v>1.6720067620325442E-2</v>
      </c>
      <c r="S169" s="224">
        <v>6.0538696732518091E-2</v>
      </c>
      <c r="T169" s="224">
        <v>0</v>
      </c>
      <c r="U169" s="259">
        <v>8.5885460071606495E-2</v>
      </c>
      <c r="V169" s="239">
        <v>36</v>
      </c>
      <c r="W169" s="239">
        <v>70</v>
      </c>
      <c r="X169" s="239">
        <v>7</v>
      </c>
      <c r="Y169" s="239">
        <v>13</v>
      </c>
      <c r="Z169" s="239">
        <v>0</v>
      </c>
      <c r="AA169" s="257">
        <v>126</v>
      </c>
      <c r="AB169" s="224">
        <v>9.0452261306532666E-2</v>
      </c>
      <c r="AC169" s="224">
        <v>0.16018306636155608</v>
      </c>
      <c r="AD169" s="224">
        <v>2.4734982332155476E-2</v>
      </c>
      <c r="AE169" s="224">
        <v>5.0583657587548639E-2</v>
      </c>
      <c r="AF169" s="224">
        <v>0</v>
      </c>
      <c r="AG169" s="259">
        <v>8.6776859504132234E-2</v>
      </c>
      <c r="AH169" s="261">
        <v>1.8723669839288502E-3</v>
      </c>
      <c r="AI169" s="261">
        <v>2.5945144551519643E-3</v>
      </c>
      <c r="AJ169" s="261">
        <v>3.2496170094238895E-4</v>
      </c>
      <c r="AK169" s="261">
        <v>6.9888715660448365E-4</v>
      </c>
      <c r="AL169" s="261">
        <v>0</v>
      </c>
      <c r="AM169" s="262">
        <v>1.3824278065478802E-3</v>
      </c>
    </row>
    <row r="170" spans="1:39" x14ac:dyDescent="0.25">
      <c r="A170" s="215" t="str">
        <v>5405-HHarisi</v>
      </c>
      <c r="B170" s="215" t="str">
        <v>JIZWFPLZ</v>
      </c>
      <c r="C170" s="215" t="str">
        <v>Ahmed Jaffari</v>
      </c>
      <c r="D170" s="239">
        <v>4649.1499999999996</v>
      </c>
      <c r="E170" s="239">
        <v>0</v>
      </c>
      <c r="F170" s="239">
        <v>6315.1100000000006</v>
      </c>
      <c r="G170" s="239">
        <v>3823.8900000000003</v>
      </c>
      <c r="H170" s="239">
        <v>0</v>
      </c>
      <c r="I170" s="257">
        <v>14788.150000000001</v>
      </c>
      <c r="J170" s="240">
        <v>113.39390243902439</v>
      </c>
      <c r="K170" s="240" t="str">
        <v/>
      </c>
      <c r="L170" s="240">
        <v>146.86302325581397</v>
      </c>
      <c r="M170" s="240">
        <v>119.49656250000001</v>
      </c>
      <c r="N170" s="240" t="str">
        <v/>
      </c>
      <c r="O170" s="258">
        <v>127.48405172413794</v>
      </c>
      <c r="P170" s="224">
        <v>8.2075900722611825E-2</v>
      </c>
      <c r="Q170" s="224">
        <v>0</v>
      </c>
      <c r="R170" s="224">
        <v>0.1541401217917629</v>
      </c>
      <c r="S170" s="224">
        <v>9.6905351108272822E-2</v>
      </c>
      <c r="T170" s="224">
        <v>0</v>
      </c>
      <c r="U170" s="259">
        <v>6.910436363367882E-2</v>
      </c>
      <c r="V170" s="239">
        <v>41</v>
      </c>
      <c r="W170" s="239">
        <v>0</v>
      </c>
      <c r="X170" s="239">
        <v>43</v>
      </c>
      <c r="Y170" s="239">
        <v>32</v>
      </c>
      <c r="Z170" s="239">
        <v>0</v>
      </c>
      <c r="AA170" s="257">
        <v>116</v>
      </c>
      <c r="AB170" s="224">
        <v>0.10301507537688442</v>
      </c>
      <c r="AC170" s="224">
        <v>0</v>
      </c>
      <c r="AD170" s="224">
        <v>0.1519434628975265</v>
      </c>
      <c r="AE170" s="224">
        <v>0.1245136186770428</v>
      </c>
      <c r="AF170" s="224">
        <v>0</v>
      </c>
      <c r="AG170" s="259">
        <v>7.9889807162534437E-2</v>
      </c>
      <c r="AH170" s="261">
        <v>2.1324179539189683E-3</v>
      </c>
      <c r="AI170" s="261">
        <v>0</v>
      </c>
      <c r="AJ170" s="261">
        <v>1.9961933057889604E-3</v>
      </c>
      <c r="AK170" s="261">
        <v>1.7203376162571904E-3</v>
      </c>
      <c r="AL170" s="261">
        <v>0</v>
      </c>
      <c r="AM170" s="262">
        <v>1.2727113139647153E-3</v>
      </c>
    </row>
    <row r="171" spans="1:39" x14ac:dyDescent="0.25">
      <c r="A171" s="215" t="str">
        <v>4116-HMubarki</v>
      </c>
      <c r="B171" s="215" t="str">
        <v>ALBUSTAN</v>
      </c>
      <c r="C171" s="215" t="str">
        <v>Hamzah Al Makhadam</v>
      </c>
      <c r="D171" s="239">
        <v>11781.369999999999</v>
      </c>
      <c r="E171" s="239">
        <v>11076.17</v>
      </c>
      <c r="F171" s="239">
        <v>13948.150000000001</v>
      </c>
      <c r="G171" s="239">
        <v>4719.91</v>
      </c>
      <c r="H171" s="239">
        <v>1004.08</v>
      </c>
      <c r="I171" s="257">
        <v>42529.680000000008</v>
      </c>
      <c r="J171" s="240">
        <v>392.71233333333328</v>
      </c>
      <c r="K171" s="240">
        <v>226.04428571428571</v>
      </c>
      <c r="L171" s="240">
        <v>317.00340909090914</v>
      </c>
      <c r="M171" s="240">
        <v>205.21347826086955</v>
      </c>
      <c r="N171" s="240">
        <v>251.02</v>
      </c>
      <c r="O171" s="258">
        <v>283.53120000000007</v>
      </c>
      <c r="P171" s="224">
        <v>0.27023957691550743</v>
      </c>
      <c r="Q171" s="224">
        <v>0.16205287823060169</v>
      </c>
      <c r="R171" s="224">
        <v>0.25276268198835183</v>
      </c>
      <c r="S171" s="224">
        <v>0.13572554161850042</v>
      </c>
      <c r="T171" s="224">
        <v>7.4237828997469904E-2</v>
      </c>
      <c r="U171" s="259">
        <v>0.19741900444927207</v>
      </c>
      <c r="V171" s="239">
        <v>30</v>
      </c>
      <c r="W171" s="239">
        <v>49</v>
      </c>
      <c r="X171" s="239">
        <v>44</v>
      </c>
      <c r="Y171" s="239">
        <v>23</v>
      </c>
      <c r="Z171" s="239">
        <v>4</v>
      </c>
      <c r="AA171" s="257">
        <v>150</v>
      </c>
      <c r="AB171" s="224">
        <v>0.14925373134328357</v>
      </c>
      <c r="AC171" s="224">
        <v>0.13461538461538461</v>
      </c>
      <c r="AD171" s="224">
        <v>0.14915254237288136</v>
      </c>
      <c r="AE171" s="224">
        <v>0.11165048543689321</v>
      </c>
      <c r="AF171" s="224">
        <v>6.4516129032258063E-2</v>
      </c>
      <c r="AG171" s="259">
        <v>0.13297872340425532</v>
      </c>
      <c r="AH171" s="261">
        <v>1.5603058199407083E-3</v>
      </c>
      <c r="AI171" s="261">
        <v>1.8161601186063752E-3</v>
      </c>
      <c r="AJ171" s="261">
        <v>2.0426164059235874E-3</v>
      </c>
      <c r="AK171" s="261">
        <v>1.2364926616848556E-3</v>
      </c>
      <c r="AL171" s="261">
        <v>8.3420229405630863E-4</v>
      </c>
      <c r="AM171" s="262">
        <v>1.6457473887474766E-3</v>
      </c>
    </row>
    <row r="172" spans="1:39" x14ac:dyDescent="0.25">
      <c r="A172" s="215" t="str">
        <v>5121-GAlhaji</v>
      </c>
      <c r="B172" s="215" t="str">
        <v>ALBUSTAN</v>
      </c>
      <c r="C172" s="215" t="str">
        <v>Hamzah Al Makhadam</v>
      </c>
      <c r="D172" s="239">
        <v>4959.09</v>
      </c>
      <c r="E172" s="239">
        <v>13928.24</v>
      </c>
      <c r="F172" s="239">
        <v>10408.219999999999</v>
      </c>
      <c r="G172" s="239">
        <v>4807.0099999999993</v>
      </c>
      <c r="H172" s="239">
        <v>1293.04</v>
      </c>
      <c r="I172" s="257">
        <v>35395.600000000006</v>
      </c>
      <c r="J172" s="240">
        <v>177.11035714285714</v>
      </c>
      <c r="K172" s="240">
        <v>190.79780821917808</v>
      </c>
      <c r="L172" s="240">
        <v>162.62843749999999</v>
      </c>
      <c r="M172" s="240">
        <v>133.52805555555554</v>
      </c>
      <c r="N172" s="240">
        <v>184.72</v>
      </c>
      <c r="O172" s="258">
        <v>170.17115384615389</v>
      </c>
      <c r="P172" s="224">
        <v>0.11375098002065327</v>
      </c>
      <c r="Q172" s="224">
        <v>0.20378085391309411</v>
      </c>
      <c r="R172" s="224">
        <v>0.18861351519196473</v>
      </c>
      <c r="S172" s="224">
        <v>0.13823018570598755</v>
      </c>
      <c r="T172" s="224">
        <v>9.560242451486782E-2</v>
      </c>
      <c r="U172" s="259">
        <v>0.16430323750107348</v>
      </c>
      <c r="V172" s="239">
        <v>28</v>
      </c>
      <c r="W172" s="239">
        <v>73</v>
      </c>
      <c r="X172" s="239">
        <v>64</v>
      </c>
      <c r="Y172" s="239">
        <v>36</v>
      </c>
      <c r="Z172" s="239">
        <v>7</v>
      </c>
      <c r="AA172" s="257">
        <v>208</v>
      </c>
      <c r="AB172" s="224">
        <v>0.13930348258706468</v>
      </c>
      <c r="AC172" s="224">
        <v>0.20054945054945056</v>
      </c>
      <c r="AD172" s="224">
        <v>0.21694915254237288</v>
      </c>
      <c r="AE172" s="224">
        <v>0.17475728155339806</v>
      </c>
      <c r="AF172" s="224">
        <v>0.11290322580645161</v>
      </c>
      <c r="AG172" s="259">
        <v>0.18439716312056736</v>
      </c>
      <c r="AH172" s="261">
        <v>1.4562854319446611E-3</v>
      </c>
      <c r="AI172" s="261">
        <v>2.7057079318013343E-3</v>
      </c>
      <c r="AJ172" s="261">
        <v>2.9710784086161273E-3</v>
      </c>
      <c r="AK172" s="261">
        <v>1.9353798182893394E-3</v>
      </c>
      <c r="AL172" s="261">
        <v>1.4598540145985401E-3</v>
      </c>
      <c r="AM172" s="262">
        <v>2.2821030457298342E-3</v>
      </c>
    </row>
    <row r="173" spans="1:39" x14ac:dyDescent="0.25">
      <c r="A173" s="215" t="str">
        <v>4120-RAlljizan</v>
      </c>
      <c r="B173" s="215" t="str">
        <v>ALBUSTAN</v>
      </c>
      <c r="C173" s="215" t="str">
        <v>Hamzah Al Makhadam</v>
      </c>
      <c r="D173" s="239">
        <v>6347.16</v>
      </c>
      <c r="E173" s="239">
        <v>9816.2000000000007</v>
      </c>
      <c r="F173" s="239">
        <v>5538.04</v>
      </c>
      <c r="G173" s="239">
        <v>4182.8500000000004</v>
      </c>
      <c r="H173" s="239">
        <v>1739.08</v>
      </c>
      <c r="I173" s="257">
        <v>27623.33</v>
      </c>
      <c r="J173" s="240">
        <v>154.80878048780488</v>
      </c>
      <c r="K173" s="240">
        <v>160.92131147540985</v>
      </c>
      <c r="L173" s="240">
        <v>158.22971428571429</v>
      </c>
      <c r="M173" s="240">
        <v>144.23620689655175</v>
      </c>
      <c r="N173" s="240">
        <v>248.44</v>
      </c>
      <c r="O173" s="258">
        <v>159.67242774566475</v>
      </c>
      <c r="P173" s="224">
        <v>0.14559035434886031</v>
      </c>
      <c r="Q173" s="224">
        <v>0.14361854894672368</v>
      </c>
      <c r="R173" s="224">
        <v>0.10035810077743441</v>
      </c>
      <c r="S173" s="224">
        <v>0.12028186591671125</v>
      </c>
      <c r="T173" s="224">
        <v>0.12858091352573495</v>
      </c>
      <c r="U173" s="259">
        <v>0.12822504914623647</v>
      </c>
      <c r="V173" s="239">
        <v>41</v>
      </c>
      <c r="W173" s="239">
        <v>61</v>
      </c>
      <c r="X173" s="239">
        <v>35</v>
      </c>
      <c r="Y173" s="239">
        <v>29</v>
      </c>
      <c r="Z173" s="239">
        <v>7</v>
      </c>
      <c r="AA173" s="257">
        <v>173</v>
      </c>
      <c r="AB173" s="224">
        <v>0.20398009950248755</v>
      </c>
      <c r="AC173" s="224">
        <v>0.16758241758241757</v>
      </c>
      <c r="AD173" s="224">
        <v>0.11864406779661017</v>
      </c>
      <c r="AE173" s="224">
        <v>0.14077669902912621</v>
      </c>
      <c r="AF173" s="224">
        <v>0.11290322580645161</v>
      </c>
      <c r="AG173" s="259">
        <v>0.15336879432624115</v>
      </c>
      <c r="AH173" s="261">
        <v>2.1324179539189683E-3</v>
      </c>
      <c r="AI173" s="261">
        <v>2.2609340252038547E-3</v>
      </c>
      <c r="AJ173" s="261">
        <v>1.6248085047119447E-3</v>
      </c>
      <c r="AK173" s="261">
        <v>1.559055964733079E-3</v>
      </c>
      <c r="AL173" s="261">
        <v>1.4598540145985401E-3</v>
      </c>
      <c r="AM173" s="262">
        <v>1.8980953216887562E-3</v>
      </c>
    </row>
    <row r="174" spans="1:39" x14ac:dyDescent="0.25">
      <c r="A174" s="215" t="str">
        <v>4192-MAlawad</v>
      </c>
      <c r="B174" s="215" t="str">
        <v>ALBUSTAN</v>
      </c>
      <c r="C174" s="215" t="str">
        <v>Hamzah Al Makhadam</v>
      </c>
      <c r="D174" s="239">
        <v>4212.1000000000004</v>
      </c>
      <c r="E174" s="239">
        <v>13576.189999999999</v>
      </c>
      <c r="F174" s="239">
        <v>0</v>
      </c>
      <c r="G174" s="239">
        <v>7935.75</v>
      </c>
      <c r="H174" s="239">
        <v>1804.97</v>
      </c>
      <c r="I174" s="257">
        <v>27529.010000000002</v>
      </c>
      <c r="J174" s="240">
        <v>156.00370370370371</v>
      </c>
      <c r="K174" s="240">
        <v>199.64985294117645</v>
      </c>
      <c r="L174" s="240" t="str">
        <v/>
      </c>
      <c r="M174" s="240">
        <v>168.84574468085106</v>
      </c>
      <c r="N174" s="240">
        <v>138.84384615384616</v>
      </c>
      <c r="O174" s="258">
        <v>177.60651612903226</v>
      </c>
      <c r="P174" s="224">
        <v>9.6616617755474019E-2</v>
      </c>
      <c r="Q174" s="224">
        <v>0.19863009189146719</v>
      </c>
      <c r="R174" s="224">
        <v>0</v>
      </c>
      <c r="S174" s="224">
        <v>0.22820010697216997</v>
      </c>
      <c r="T174" s="224">
        <v>0.13345256772922801</v>
      </c>
      <c r="U174" s="259">
        <v>0.12778722406738199</v>
      </c>
      <c r="V174" s="239">
        <v>27</v>
      </c>
      <c r="W174" s="239">
        <v>68</v>
      </c>
      <c r="X174" s="239">
        <v>0</v>
      </c>
      <c r="Y174" s="239">
        <v>47</v>
      </c>
      <c r="Z174" s="239">
        <v>13</v>
      </c>
      <c r="AA174" s="257">
        <v>155</v>
      </c>
      <c r="AB174" s="224">
        <v>0.13432835820895522</v>
      </c>
      <c r="AC174" s="224">
        <v>0.18681318681318682</v>
      </c>
      <c r="AD174" s="224">
        <v>0</v>
      </c>
      <c r="AE174" s="224">
        <v>0.22815533980582525</v>
      </c>
      <c r="AF174" s="224">
        <v>0.20967741935483872</v>
      </c>
      <c r="AG174" s="259">
        <v>0.13741134751773049</v>
      </c>
      <c r="AH174" s="261">
        <v>1.4042752379466376E-3</v>
      </c>
      <c r="AI174" s="261">
        <v>2.520385470719051E-3</v>
      </c>
      <c r="AJ174" s="261">
        <v>0</v>
      </c>
      <c r="AK174" s="261">
        <v>2.5267458738777483E-3</v>
      </c>
      <c r="AL174" s="261">
        <v>2.7111574556830031E-3</v>
      </c>
      <c r="AM174" s="262">
        <v>1.7006056350390591E-3</v>
      </c>
    </row>
    <row r="175" spans="1:39" x14ac:dyDescent="0.25">
      <c r="A175" s="215" t="str">
        <v>4147-SAlshomri</v>
      </c>
      <c r="B175" s="215" t="str">
        <v>ALBUSTAN</v>
      </c>
      <c r="C175" s="215" t="str">
        <v>Hamzah Al Makhadam</v>
      </c>
      <c r="D175" s="239">
        <v>0</v>
      </c>
      <c r="E175" s="239">
        <v>5623.0999999999995</v>
      </c>
      <c r="F175" s="239">
        <v>9295.11</v>
      </c>
      <c r="G175" s="239">
        <v>3349.04</v>
      </c>
      <c r="H175" s="239">
        <v>5728.07</v>
      </c>
      <c r="I175" s="257">
        <v>23995.32</v>
      </c>
      <c r="J175" s="240" t="str">
        <v/>
      </c>
      <c r="K175" s="240">
        <v>175.72187499999998</v>
      </c>
      <c r="L175" s="240">
        <v>169.00200000000001</v>
      </c>
      <c r="M175" s="240">
        <v>186.05777777777777</v>
      </c>
      <c r="N175" s="240">
        <v>301.47736842105263</v>
      </c>
      <c r="O175" s="258">
        <v>193.51064516129031</v>
      </c>
      <c r="P175" s="224">
        <v>0</v>
      </c>
      <c r="Q175" s="224">
        <v>8.2270273892374013E-2</v>
      </c>
      <c r="R175" s="224">
        <v>0.16844219003787234</v>
      </c>
      <c r="S175" s="224">
        <v>9.630485918206548E-2</v>
      </c>
      <c r="T175" s="224">
        <v>0.42351155400519619</v>
      </c>
      <c r="U175" s="259">
        <v>0.1113841483369192</v>
      </c>
      <c r="V175" s="239">
        <v>0</v>
      </c>
      <c r="W175" s="239">
        <v>32</v>
      </c>
      <c r="X175" s="239">
        <v>55</v>
      </c>
      <c r="Y175" s="239">
        <v>18</v>
      </c>
      <c r="Z175" s="239">
        <v>19</v>
      </c>
      <c r="AA175" s="257">
        <v>124</v>
      </c>
      <c r="AB175" s="224">
        <v>0</v>
      </c>
      <c r="AC175" s="224">
        <v>8.7912087912087919E-2</v>
      </c>
      <c r="AD175" s="224">
        <v>0.1864406779661017</v>
      </c>
      <c r="AE175" s="224">
        <v>8.7378640776699032E-2</v>
      </c>
      <c r="AF175" s="224">
        <v>0.30645161290322581</v>
      </c>
      <c r="AG175" s="259">
        <v>0.1099290780141844</v>
      </c>
      <c r="AH175" s="261">
        <v>0</v>
      </c>
      <c r="AI175" s="261">
        <v>1.1860637509266123E-3</v>
      </c>
      <c r="AJ175" s="261">
        <v>2.5532705074044846E-3</v>
      </c>
      <c r="AK175" s="261">
        <v>9.6768990914466969E-4</v>
      </c>
      <c r="AL175" s="261">
        <v>3.962460896767466E-3</v>
      </c>
      <c r="AM175" s="262">
        <v>1.3604845080312472E-3</v>
      </c>
    </row>
    <row r="176" spans="1:39" x14ac:dyDescent="0.25">
      <c r="A176" s="215" t="str">
        <v>4205-TShammari</v>
      </c>
      <c r="B176" s="215" t="str">
        <v>ALBUSTAN</v>
      </c>
      <c r="C176" s="215" t="str">
        <v>Hamzah Al Makhadam</v>
      </c>
      <c r="D176" s="239">
        <v>6786.08</v>
      </c>
      <c r="E176" s="239">
        <v>2552.04</v>
      </c>
      <c r="F176" s="239">
        <v>4248.0599999999995</v>
      </c>
      <c r="G176" s="239">
        <v>4086.95</v>
      </c>
      <c r="H176" s="239">
        <v>0</v>
      </c>
      <c r="I176" s="257">
        <v>17673.129999999997</v>
      </c>
      <c r="J176" s="240">
        <v>193.88800000000001</v>
      </c>
      <c r="K176" s="240">
        <v>159.5025</v>
      </c>
      <c r="L176" s="240">
        <v>163.38692307692307</v>
      </c>
      <c r="M176" s="240">
        <v>215.10263157894735</v>
      </c>
      <c r="N176" s="240" t="str">
        <v/>
      </c>
      <c r="O176" s="258">
        <v>184.09510416666663</v>
      </c>
      <c r="P176" s="224">
        <v>0.15565824586739799</v>
      </c>
      <c r="Q176" s="224">
        <v>3.7338306233980219E-2</v>
      </c>
      <c r="R176" s="224">
        <v>7.6981609664897324E-2</v>
      </c>
      <c r="S176" s="224">
        <v>0.11752416938410484</v>
      </c>
      <c r="T176" s="224">
        <v>0</v>
      </c>
      <c r="U176" s="259">
        <v>8.2037102797447858E-2</v>
      </c>
      <c r="V176" s="239">
        <v>35</v>
      </c>
      <c r="W176" s="239">
        <v>16</v>
      </c>
      <c r="X176" s="239">
        <v>26</v>
      </c>
      <c r="Y176" s="239">
        <v>19</v>
      </c>
      <c r="Z176" s="239">
        <v>0</v>
      </c>
      <c r="AA176" s="257">
        <v>96</v>
      </c>
      <c r="AB176" s="224">
        <v>0.17412935323383086</v>
      </c>
      <c r="AC176" s="224">
        <v>4.3956043956043959E-2</v>
      </c>
      <c r="AD176" s="224">
        <v>8.8135593220338981E-2</v>
      </c>
      <c r="AE176" s="224">
        <v>9.2233009708737865E-2</v>
      </c>
      <c r="AF176" s="224">
        <v>0</v>
      </c>
      <c r="AG176" s="259">
        <v>8.5106382978723402E-2</v>
      </c>
      <c r="AH176" s="261">
        <v>1.8203567899308265E-3</v>
      </c>
      <c r="AI176" s="261">
        <v>5.9303187546330617E-4</v>
      </c>
      <c r="AJ176" s="261">
        <v>1.2070006035003018E-3</v>
      </c>
      <c r="AK176" s="261">
        <v>1.0214504596527069E-3</v>
      </c>
      <c r="AL176" s="261">
        <v>0</v>
      </c>
      <c r="AM176" s="262">
        <v>1.0532783287983849E-3</v>
      </c>
    </row>
    <row r="177" spans="1:39" x14ac:dyDescent="0.25">
      <c r="A177" s="215" t="str">
        <v>4113-AAlatafi</v>
      </c>
      <c r="B177" s="215" t="str">
        <v>ALBUSTAN</v>
      </c>
      <c r="C177" s="215" t="str">
        <v>Hamzah Al Makhadam</v>
      </c>
      <c r="D177" s="239">
        <v>0</v>
      </c>
      <c r="E177" s="239">
        <v>3868.08</v>
      </c>
      <c r="F177" s="239">
        <v>5811.1</v>
      </c>
      <c r="G177" s="239">
        <v>5693.89</v>
      </c>
      <c r="H177" s="239">
        <v>1955.94</v>
      </c>
      <c r="I177" s="257">
        <v>17329.009999999998</v>
      </c>
      <c r="J177" s="240" t="str">
        <v/>
      </c>
      <c r="K177" s="240">
        <v>161.16999999999999</v>
      </c>
      <c r="L177" s="240">
        <v>166.03142857142859</v>
      </c>
      <c r="M177" s="240">
        <v>167.46735294117647</v>
      </c>
      <c r="N177" s="240">
        <v>162.995</v>
      </c>
      <c r="O177" s="258">
        <v>165.03819047619047</v>
      </c>
      <c r="P177" s="224">
        <v>0</v>
      </c>
      <c r="Q177" s="224">
        <v>5.6592982703066654E-2</v>
      </c>
      <c r="R177" s="224">
        <v>0.10530638266024607</v>
      </c>
      <c r="S177" s="224">
        <v>0.16373327122046044</v>
      </c>
      <c r="T177" s="224">
        <v>0.14461471122750308</v>
      </c>
      <c r="U177" s="259">
        <v>8.0439728262509363E-2</v>
      </c>
      <c r="V177" s="239">
        <v>0</v>
      </c>
      <c r="W177" s="239">
        <v>24</v>
      </c>
      <c r="X177" s="239">
        <v>35</v>
      </c>
      <c r="Y177" s="239">
        <v>34</v>
      </c>
      <c r="Z177" s="239">
        <v>12</v>
      </c>
      <c r="AA177" s="257">
        <v>105</v>
      </c>
      <c r="AB177" s="224">
        <v>0</v>
      </c>
      <c r="AC177" s="224">
        <v>6.5934065934065936E-2</v>
      </c>
      <c r="AD177" s="224">
        <v>0.11864406779661017</v>
      </c>
      <c r="AE177" s="224">
        <v>0.1650485436893204</v>
      </c>
      <c r="AF177" s="224">
        <v>0.19354838709677419</v>
      </c>
      <c r="AG177" s="259">
        <v>9.3085106382978719E-2</v>
      </c>
      <c r="AH177" s="261">
        <v>0</v>
      </c>
      <c r="AI177" s="261">
        <v>8.8954781319495926E-4</v>
      </c>
      <c r="AJ177" s="261">
        <v>1.6248085047119447E-3</v>
      </c>
      <c r="AK177" s="261">
        <v>1.8278587172732648E-3</v>
      </c>
      <c r="AL177" s="261">
        <v>2.5026068821689261E-3</v>
      </c>
      <c r="AM177" s="262">
        <v>1.1520231721232335E-3</v>
      </c>
    </row>
    <row r="178" spans="1:39" x14ac:dyDescent="0.25">
      <c r="A178" s="215" t="str">
        <v>4107-MAlsailek</v>
      </c>
      <c r="B178" s="215" t="str">
        <v>ALBUSTAN</v>
      </c>
      <c r="C178" s="215" t="str">
        <v>Hamzah Al Makhadam</v>
      </c>
      <c r="D178" s="239">
        <v>5112.1499999999996</v>
      </c>
      <c r="E178" s="239">
        <v>4986.08</v>
      </c>
      <c r="F178" s="239">
        <v>2016.07</v>
      </c>
      <c r="G178" s="239">
        <v>0</v>
      </c>
      <c r="H178" s="239">
        <v>0</v>
      </c>
      <c r="I178" s="257">
        <v>12114.3</v>
      </c>
      <c r="J178" s="240">
        <v>213.00624999999999</v>
      </c>
      <c r="K178" s="240">
        <v>199.44319999999999</v>
      </c>
      <c r="L178" s="240">
        <v>118.59235294117647</v>
      </c>
      <c r="M178" s="240" t="str">
        <v/>
      </c>
      <c r="N178" s="240" t="str">
        <v/>
      </c>
      <c r="O178" s="258">
        <v>183.54999999999998</v>
      </c>
      <c r="P178" s="224">
        <v>0.11726185096712957</v>
      </c>
      <c r="Q178" s="224">
        <v>7.2950181794612975E-2</v>
      </c>
      <c r="R178" s="224">
        <v>3.6534397771479113E-2</v>
      </c>
      <c r="S178" s="224">
        <v>0</v>
      </c>
      <c r="T178" s="224">
        <v>0</v>
      </c>
      <c r="U178" s="259">
        <v>5.6233506708722382E-2</v>
      </c>
      <c r="V178" s="239">
        <v>24</v>
      </c>
      <c r="W178" s="239">
        <v>25</v>
      </c>
      <c r="X178" s="239">
        <v>17</v>
      </c>
      <c r="Y178" s="239">
        <v>0</v>
      </c>
      <c r="Z178" s="239">
        <v>0</v>
      </c>
      <c r="AA178" s="257">
        <v>66</v>
      </c>
      <c r="AB178" s="224">
        <v>0.11940298507462686</v>
      </c>
      <c r="AC178" s="224">
        <v>6.8681318681318687E-2</v>
      </c>
      <c r="AD178" s="224">
        <v>5.7627118644067797E-2</v>
      </c>
      <c r="AE178" s="224">
        <v>0</v>
      </c>
      <c r="AF178" s="224">
        <v>0</v>
      </c>
      <c r="AG178" s="259">
        <v>5.8510638297872342E-2</v>
      </c>
      <c r="AH178" s="261">
        <v>1.2482446559525667E-3</v>
      </c>
      <c r="AI178" s="261">
        <v>9.2661230541141583E-4</v>
      </c>
      <c r="AJ178" s="261">
        <v>7.8919270228865884E-4</v>
      </c>
      <c r="AK178" s="261">
        <v>0</v>
      </c>
      <c r="AL178" s="261">
        <v>0</v>
      </c>
      <c r="AM178" s="262">
        <v>7.2412885104888966E-4</v>
      </c>
    </row>
    <row r="179" spans="1:39" x14ac:dyDescent="0.25">
      <c r="A179" s="215" t="str">
        <v>5123-ZAli</v>
      </c>
      <c r="B179" s="215" t="str">
        <v>ALBUSTAN</v>
      </c>
      <c r="C179" s="215" t="str">
        <v>Hamzah Al Makhadam</v>
      </c>
      <c r="D179" s="239">
        <v>4398.07</v>
      </c>
      <c r="E179" s="239">
        <v>2923.01</v>
      </c>
      <c r="F179" s="239">
        <v>3918.04</v>
      </c>
      <c r="G179" s="239">
        <v>0</v>
      </c>
      <c r="H179" s="239">
        <v>0</v>
      </c>
      <c r="I179" s="257">
        <v>11239.119999999999</v>
      </c>
      <c r="J179" s="240">
        <v>274.87937499999998</v>
      </c>
      <c r="K179" s="240">
        <v>182.68812500000001</v>
      </c>
      <c r="L179" s="240">
        <v>206.21263157894737</v>
      </c>
      <c r="M179" s="240" t="str">
        <v/>
      </c>
      <c r="N179" s="240" t="str">
        <v/>
      </c>
      <c r="O179" s="258">
        <v>220.37490196078429</v>
      </c>
      <c r="P179" s="224">
        <v>0.10088237412497747</v>
      </c>
      <c r="Q179" s="224">
        <v>4.2765882394079455E-2</v>
      </c>
      <c r="R179" s="224">
        <v>7.1001121907754206E-2</v>
      </c>
      <c r="S179" s="224">
        <v>0</v>
      </c>
      <c r="T179" s="224">
        <v>0</v>
      </c>
      <c r="U179" s="259">
        <v>5.2170998730437242E-2</v>
      </c>
      <c r="V179" s="239">
        <v>16</v>
      </c>
      <c r="W179" s="239">
        <v>16</v>
      </c>
      <c r="X179" s="239">
        <v>19</v>
      </c>
      <c r="Y179" s="239">
        <v>0</v>
      </c>
      <c r="Z179" s="239">
        <v>0</v>
      </c>
      <c r="AA179" s="257">
        <v>51</v>
      </c>
      <c r="AB179" s="224">
        <v>7.9601990049751242E-2</v>
      </c>
      <c r="AC179" s="224">
        <v>4.3956043956043959E-2</v>
      </c>
      <c r="AD179" s="224">
        <v>6.4406779661016947E-2</v>
      </c>
      <c r="AE179" s="224">
        <v>0</v>
      </c>
      <c r="AF179" s="224">
        <v>0</v>
      </c>
      <c r="AG179" s="259">
        <v>4.5212765957446811E-2</v>
      </c>
      <c r="AH179" s="261">
        <v>8.3216310396837777E-4</v>
      </c>
      <c r="AI179" s="261">
        <v>5.9303187546330617E-4</v>
      </c>
      <c r="AJ179" s="261">
        <v>8.8203890255791277E-4</v>
      </c>
      <c r="AK179" s="261">
        <v>0</v>
      </c>
      <c r="AL179" s="261">
        <v>0</v>
      </c>
      <c r="AM179" s="262">
        <v>5.5955411217414202E-4</v>
      </c>
    </row>
    <row r="180" spans="1:39" x14ac:dyDescent="0.25">
      <c r="A180" s="215" t="str">
        <v>6198-Aeshah Sami L Aldhafeeri</v>
      </c>
      <c r="B180" s="215" t="str">
        <v>ALWATANIAH</v>
      </c>
      <c r="C180" s="215" t="str">
        <v>Hamzah Al Makhadam</v>
      </c>
      <c r="D180" s="239">
        <v>8902.1200000000008</v>
      </c>
      <c r="E180" s="239">
        <v>12799.16</v>
      </c>
      <c r="F180" s="239">
        <v>7704.06</v>
      </c>
      <c r="G180" s="239">
        <v>6765.75</v>
      </c>
      <c r="H180" s="239">
        <v>520.96</v>
      </c>
      <c r="I180" s="257">
        <v>36692.049999999996</v>
      </c>
      <c r="J180" s="240">
        <v>158.96642857142859</v>
      </c>
      <c r="K180" s="240">
        <v>182.84514285714286</v>
      </c>
      <c r="L180" s="240">
        <v>233.45636363636365</v>
      </c>
      <c r="M180" s="240">
        <v>338.28750000000002</v>
      </c>
      <c r="N180" s="240">
        <v>173.65333333333334</v>
      </c>
      <c r="O180" s="258">
        <v>201.60467032967031</v>
      </c>
      <c r="P180" s="224">
        <v>0.16162120110420905</v>
      </c>
      <c r="Q180" s="224">
        <v>0.18022896494893906</v>
      </c>
      <c r="R180" s="224">
        <v>0.12493037180604225</v>
      </c>
      <c r="S180" s="224">
        <v>0.11574246333218201</v>
      </c>
      <c r="T180" s="224">
        <v>3.7951897194185125E-2</v>
      </c>
      <c r="U180" s="259">
        <v>0.14115304709474283</v>
      </c>
      <c r="V180" s="239">
        <v>56</v>
      </c>
      <c r="W180" s="239">
        <v>70</v>
      </c>
      <c r="X180" s="239">
        <v>33</v>
      </c>
      <c r="Y180" s="239">
        <v>20</v>
      </c>
      <c r="Z180" s="239">
        <v>3</v>
      </c>
      <c r="AA180" s="257">
        <v>182</v>
      </c>
      <c r="AB180" s="224">
        <v>0.16568047337278108</v>
      </c>
      <c r="AC180" s="224">
        <v>0.16393442622950818</v>
      </c>
      <c r="AD180" s="224">
        <v>0.10312499999999999</v>
      </c>
      <c r="AE180" s="224">
        <v>6.9444444444444448E-2</v>
      </c>
      <c r="AF180" s="224">
        <v>4.3478260869565216E-2</v>
      </c>
      <c r="AG180" s="259">
        <v>0.12621359223300971</v>
      </c>
      <c r="AH180" s="261">
        <v>2.9125708638893222E-3</v>
      </c>
      <c r="AI180" s="261">
        <v>2.5945144551519643E-3</v>
      </c>
      <c r="AJ180" s="261">
        <v>1.5319623044426907E-3</v>
      </c>
      <c r="AK180" s="261">
        <v>1.075211010160744E-3</v>
      </c>
      <c r="AL180" s="261">
        <v>6.2565172054223153E-4</v>
      </c>
      <c r="AM180" s="262">
        <v>1.9968401650136049E-3</v>
      </c>
    </row>
    <row r="181" spans="1:39" x14ac:dyDescent="0.25">
      <c r="A181" s="215" t="str">
        <v>4184-SAlBuaiji</v>
      </c>
      <c r="B181" s="215" t="str">
        <v>ALWATANIAH</v>
      </c>
      <c r="C181" s="215" t="str">
        <v>Hamzah Al Makhadam</v>
      </c>
      <c r="D181" s="239">
        <v>5042.1100000000006</v>
      </c>
      <c r="E181" s="239">
        <v>11065.16</v>
      </c>
      <c r="F181" s="239">
        <v>8952.08</v>
      </c>
      <c r="G181" s="239">
        <v>10933.66</v>
      </c>
      <c r="H181" s="239">
        <v>422.04</v>
      </c>
      <c r="I181" s="257">
        <v>36415.049999999996</v>
      </c>
      <c r="J181" s="240">
        <v>229.18681818181821</v>
      </c>
      <c r="K181" s="240">
        <v>178.47032258064516</v>
      </c>
      <c r="L181" s="240">
        <v>213.14476190476191</v>
      </c>
      <c r="M181" s="240">
        <v>242.97022222222222</v>
      </c>
      <c r="N181" s="240">
        <v>211.02</v>
      </c>
      <c r="O181" s="258">
        <v>210.49161849710981</v>
      </c>
      <c r="P181" s="224">
        <v>9.1541326594063388E-2</v>
      </c>
      <c r="Q181" s="224">
        <v>0.15581196998821817</v>
      </c>
      <c r="R181" s="224">
        <v>0.14516848036456551</v>
      </c>
      <c r="S181" s="224">
        <v>0.18704337902472679</v>
      </c>
      <c r="T181" s="224">
        <v>3.0745582562641833E-2</v>
      </c>
      <c r="U181" s="259">
        <v>0.14008743767675599</v>
      </c>
      <c r="V181" s="239">
        <v>22</v>
      </c>
      <c r="W181" s="239">
        <v>62</v>
      </c>
      <c r="X181" s="239">
        <v>42</v>
      </c>
      <c r="Y181" s="239">
        <v>45</v>
      </c>
      <c r="Z181" s="239">
        <v>2</v>
      </c>
      <c r="AA181" s="257">
        <v>173</v>
      </c>
      <c r="AB181" s="224">
        <v>6.5088757396449703E-2</v>
      </c>
      <c r="AC181" s="224">
        <v>0.14519906323185011</v>
      </c>
      <c r="AD181" s="224">
        <v>0.13125000000000001</v>
      </c>
      <c r="AE181" s="224">
        <v>0.15625</v>
      </c>
      <c r="AF181" s="224">
        <v>2.8985507246376812E-2</v>
      </c>
      <c r="AG181" s="259">
        <v>0.11997226074895978</v>
      </c>
      <c r="AH181" s="261">
        <v>1.1442242679565195E-3</v>
      </c>
      <c r="AI181" s="261">
        <v>2.2979985174203113E-3</v>
      </c>
      <c r="AJ181" s="261">
        <v>1.9497702056543336E-3</v>
      </c>
      <c r="AK181" s="261">
        <v>2.4192247728616742E-3</v>
      </c>
      <c r="AL181" s="261">
        <v>4.1710114702815432E-4</v>
      </c>
      <c r="AM181" s="262">
        <v>1.8980953216887562E-3</v>
      </c>
    </row>
    <row r="182" spans="1:39" x14ac:dyDescent="0.25">
      <c r="A182" s="215" t="str">
        <v>4163-SAlShammari</v>
      </c>
      <c r="B182" s="215" t="str">
        <v>ALWATANIAH</v>
      </c>
      <c r="C182" s="215" t="str">
        <v>Hamzah Al Makhadam</v>
      </c>
      <c r="D182" s="239">
        <v>9478.18</v>
      </c>
      <c r="E182" s="239">
        <v>10805.21</v>
      </c>
      <c r="F182" s="239">
        <v>7662.1100000000006</v>
      </c>
      <c r="G182" s="239">
        <v>5037.07</v>
      </c>
      <c r="H182" s="239">
        <v>2120.9300000000003</v>
      </c>
      <c r="I182" s="257">
        <v>35103.5</v>
      </c>
      <c r="J182" s="240">
        <v>172.33054545454547</v>
      </c>
      <c r="K182" s="240">
        <v>196.45836363636363</v>
      </c>
      <c r="L182" s="240">
        <v>283.78185185185185</v>
      </c>
      <c r="M182" s="240">
        <v>209.87791666666666</v>
      </c>
      <c r="N182" s="240">
        <v>192.81181818181821</v>
      </c>
      <c r="O182" s="258">
        <v>204.09011627906978</v>
      </c>
      <c r="P182" s="224">
        <v>0.17207977828673307</v>
      </c>
      <c r="Q182" s="224">
        <v>0.15215153294090594</v>
      </c>
      <c r="R182" s="224">
        <v>0.12425010333756414</v>
      </c>
      <c r="S182" s="224">
        <v>8.6169735768633779E-2</v>
      </c>
      <c r="T182" s="224">
        <v>0.1545095925139417</v>
      </c>
      <c r="U182" s="259">
        <v>0.13504195019603171</v>
      </c>
      <c r="V182" s="239">
        <v>55</v>
      </c>
      <c r="W182" s="239">
        <v>55</v>
      </c>
      <c r="X182" s="239">
        <v>27</v>
      </c>
      <c r="Y182" s="239">
        <v>24</v>
      </c>
      <c r="Z182" s="239">
        <v>11</v>
      </c>
      <c r="AA182" s="257">
        <v>172</v>
      </c>
      <c r="AB182" s="224">
        <v>0.16272189349112426</v>
      </c>
      <c r="AC182" s="224">
        <v>0.1288056206088993</v>
      </c>
      <c r="AD182" s="224">
        <v>8.4375000000000006E-2</v>
      </c>
      <c r="AE182" s="224">
        <v>8.3333333333333329E-2</v>
      </c>
      <c r="AF182" s="224">
        <v>0.15942028985507245</v>
      </c>
      <c r="AG182" s="259">
        <v>0.11927877947295423</v>
      </c>
      <c r="AH182" s="261">
        <v>2.8605606698912985E-3</v>
      </c>
      <c r="AI182" s="261">
        <v>2.038547071905115E-3</v>
      </c>
      <c r="AJ182" s="261">
        <v>1.2534237036349288E-3</v>
      </c>
      <c r="AK182" s="261">
        <v>1.2902532121928929E-3</v>
      </c>
      <c r="AL182" s="261">
        <v>2.2940563086548487E-3</v>
      </c>
      <c r="AM182" s="262">
        <v>1.8871236724304398E-3</v>
      </c>
    </row>
    <row r="183" spans="1:39" x14ac:dyDescent="0.25">
      <c r="A183" s="215" t="str">
        <v>5489-AAlkhaldi</v>
      </c>
      <c r="B183" s="215" t="str">
        <v>ALWATANIAH</v>
      </c>
      <c r="C183" s="215" t="str">
        <v>Hamzah Al Makhadam</v>
      </c>
      <c r="D183" s="239">
        <v>9994.27</v>
      </c>
      <c r="E183" s="239">
        <v>9454.18</v>
      </c>
      <c r="F183" s="239">
        <v>3999.08</v>
      </c>
      <c r="G183" s="239">
        <v>9250.68</v>
      </c>
      <c r="H183" s="239">
        <v>2206.02</v>
      </c>
      <c r="I183" s="257">
        <v>34904.229999999996</v>
      </c>
      <c r="J183" s="240">
        <v>144.8444927536232</v>
      </c>
      <c r="K183" s="240">
        <v>157.56966666666668</v>
      </c>
      <c r="L183" s="240">
        <v>159.9632</v>
      </c>
      <c r="M183" s="240">
        <v>192.7225</v>
      </c>
      <c r="N183" s="240">
        <v>220.602</v>
      </c>
      <c r="O183" s="258">
        <v>164.64259433962263</v>
      </c>
      <c r="P183" s="224">
        <v>0.18144957847790902</v>
      </c>
      <c r="Q183" s="224">
        <v>0.13312725802638303</v>
      </c>
      <c r="R183" s="224">
        <v>6.4849774181679198E-2</v>
      </c>
      <c r="S183" s="224">
        <v>0.15825244661681995</v>
      </c>
      <c r="T183" s="224">
        <v>0.1607083926756685</v>
      </c>
      <c r="U183" s="259">
        <v>0.13427536539920051</v>
      </c>
      <c r="V183" s="239">
        <v>69</v>
      </c>
      <c r="W183" s="239">
        <v>60</v>
      </c>
      <c r="X183" s="239">
        <v>25</v>
      </c>
      <c r="Y183" s="239">
        <v>48</v>
      </c>
      <c r="Z183" s="239">
        <v>10</v>
      </c>
      <c r="AA183" s="257">
        <v>212</v>
      </c>
      <c r="AB183" s="224">
        <v>0.20414201183431951</v>
      </c>
      <c r="AC183" s="224">
        <v>0.14051522248243559</v>
      </c>
      <c r="AD183" s="224">
        <v>7.8125E-2</v>
      </c>
      <c r="AE183" s="224">
        <v>0.16666666666666666</v>
      </c>
      <c r="AF183" s="224">
        <v>0.14492753623188406</v>
      </c>
      <c r="AG183" s="259">
        <v>0.14701803051317613</v>
      </c>
      <c r="AH183" s="261">
        <v>3.5887033858636292E-3</v>
      </c>
      <c r="AI183" s="261">
        <v>2.223869532987398E-3</v>
      </c>
      <c r="AJ183" s="261">
        <v>1.1605775033656748E-3</v>
      </c>
      <c r="AK183" s="261">
        <v>2.5805064243857858E-3</v>
      </c>
      <c r="AL183" s="261">
        <v>2.0855057351407717E-3</v>
      </c>
      <c r="AM183" s="262">
        <v>2.3259896427631002E-3</v>
      </c>
    </row>
    <row r="184" spans="1:39" x14ac:dyDescent="0.25">
      <c r="A184" s="215" t="str">
        <v>6197-AAlshammari</v>
      </c>
      <c r="B184" s="215" t="str">
        <v>ALWATANIAH</v>
      </c>
      <c r="C184" s="215" t="str">
        <v>Hamzah Al Makhadam</v>
      </c>
      <c r="D184" s="239">
        <v>5272.09</v>
      </c>
      <c r="E184" s="239">
        <v>9506.1400000000012</v>
      </c>
      <c r="F184" s="239">
        <v>6674.08</v>
      </c>
      <c r="G184" s="239">
        <v>10339.59</v>
      </c>
      <c r="H184" s="239">
        <v>210.98</v>
      </c>
      <c r="I184" s="257">
        <v>32002.880000000001</v>
      </c>
      <c r="J184" s="240">
        <v>164.7528125</v>
      </c>
      <c r="K184" s="240">
        <v>182.81038461538463</v>
      </c>
      <c r="L184" s="240">
        <v>196.29647058823528</v>
      </c>
      <c r="M184" s="240">
        <v>229.76866666666666</v>
      </c>
      <c r="N184" s="240">
        <v>210.98</v>
      </c>
      <c r="O184" s="258">
        <v>195.13951219512197</v>
      </c>
      <c r="P184" s="224">
        <v>9.57166964868469E-2</v>
      </c>
      <c r="Q184" s="224">
        <v>0.1338589229964863</v>
      </c>
      <c r="R184" s="224">
        <v>0.10822803766627861</v>
      </c>
      <c r="S184" s="224">
        <v>0.17688055521483884</v>
      </c>
      <c r="T184" s="224">
        <v>1.5369877284300478E-2</v>
      </c>
      <c r="U184" s="259">
        <v>0.12311397231300525</v>
      </c>
      <c r="V184" s="239">
        <v>32</v>
      </c>
      <c r="W184" s="239">
        <v>52</v>
      </c>
      <c r="X184" s="239">
        <v>34</v>
      </c>
      <c r="Y184" s="239">
        <v>45</v>
      </c>
      <c r="Z184" s="239">
        <v>1</v>
      </c>
      <c r="AA184" s="257">
        <v>164</v>
      </c>
      <c r="AB184" s="224">
        <v>9.4674556213017749E-2</v>
      </c>
      <c r="AC184" s="224">
        <v>0.12177985948477751</v>
      </c>
      <c r="AD184" s="224">
        <v>0.10625</v>
      </c>
      <c r="AE184" s="224">
        <v>0.15625</v>
      </c>
      <c r="AF184" s="224">
        <v>1.4492753623188406E-2</v>
      </c>
      <c r="AG184" s="259">
        <v>0.11373092926490985</v>
      </c>
      <c r="AH184" s="261">
        <v>1.6643262079367555E-3</v>
      </c>
      <c r="AI184" s="261">
        <v>1.927353595255745E-3</v>
      </c>
      <c r="AJ184" s="261">
        <v>1.5783854045773177E-3</v>
      </c>
      <c r="AK184" s="261">
        <v>2.4192247728616742E-3</v>
      </c>
      <c r="AL184" s="261">
        <v>2.0855057351407716E-4</v>
      </c>
      <c r="AM184" s="262">
        <v>1.7993504783639076E-3</v>
      </c>
    </row>
    <row r="185" spans="1:39" x14ac:dyDescent="0.25">
      <c r="A185" s="215" t="str">
        <v>5982-HAlsaid</v>
      </c>
      <c r="B185" s="215" t="str">
        <v>ALWATANIAH</v>
      </c>
      <c r="C185" s="215" t="str">
        <v>Hamzah Al Makhadam</v>
      </c>
      <c r="D185" s="239">
        <v>8240.2199999999993</v>
      </c>
      <c r="E185" s="239">
        <v>4803.0599999999995</v>
      </c>
      <c r="F185" s="239">
        <v>9495.16</v>
      </c>
      <c r="G185" s="239">
        <v>5532.7999999999993</v>
      </c>
      <c r="H185" s="239">
        <v>2761.99</v>
      </c>
      <c r="I185" s="257">
        <v>30833.229999999996</v>
      </c>
      <c r="J185" s="240">
        <v>187.27772727272725</v>
      </c>
      <c r="K185" s="240">
        <v>165.62275862068964</v>
      </c>
      <c r="L185" s="240">
        <v>206.41652173913045</v>
      </c>
      <c r="M185" s="240">
        <v>184.42666666666665</v>
      </c>
      <c r="N185" s="240">
        <v>197.285</v>
      </c>
      <c r="O185" s="258">
        <v>189.16092024539876</v>
      </c>
      <c r="P185" s="224">
        <v>0.14960416774464119</v>
      </c>
      <c r="Q185" s="224">
        <v>6.7633386283760116E-2</v>
      </c>
      <c r="R185" s="224">
        <v>0.15397515974146878</v>
      </c>
      <c r="S185" s="224">
        <v>9.4650245889117468E-2</v>
      </c>
      <c r="T185" s="224">
        <v>0.20121076576199201</v>
      </c>
      <c r="U185" s="259">
        <v>0.11861436922366118</v>
      </c>
      <c r="V185" s="239">
        <v>44</v>
      </c>
      <c r="W185" s="239">
        <v>29</v>
      </c>
      <c r="X185" s="239">
        <v>46</v>
      </c>
      <c r="Y185" s="239">
        <v>30</v>
      </c>
      <c r="Z185" s="239">
        <v>14</v>
      </c>
      <c r="AA185" s="257">
        <v>163</v>
      </c>
      <c r="AB185" s="224">
        <v>0.13017751479289941</v>
      </c>
      <c r="AC185" s="224">
        <v>6.7915690866510545E-2</v>
      </c>
      <c r="AD185" s="224">
        <v>0.14374999999999999</v>
      </c>
      <c r="AE185" s="224">
        <v>0.10416666666666667</v>
      </c>
      <c r="AF185" s="224">
        <v>0.20289855072463769</v>
      </c>
      <c r="AG185" s="259">
        <v>0.1130374479889043</v>
      </c>
      <c r="AH185" s="261">
        <v>2.288448535913039E-3</v>
      </c>
      <c r="AI185" s="261">
        <v>1.0748702742772423E-3</v>
      </c>
      <c r="AJ185" s="261">
        <v>2.1354626061928414E-3</v>
      </c>
      <c r="AK185" s="261">
        <v>1.612816515241116E-3</v>
      </c>
      <c r="AL185" s="261">
        <v>2.9197080291970801E-3</v>
      </c>
      <c r="AM185" s="262">
        <v>1.7883788291055912E-3</v>
      </c>
    </row>
    <row r="186" spans="1:39" x14ac:dyDescent="0.25">
      <c r="A186" s="215" t="str">
        <v>5492-OAMATRAFI</v>
      </c>
      <c r="B186" s="215" t="str">
        <v>ALWATANIAH</v>
      </c>
      <c r="C186" s="215" t="str">
        <v>Hamzah Al Makhadam</v>
      </c>
      <c r="D186" s="239">
        <v>6592.15</v>
      </c>
      <c r="E186" s="239">
        <v>9283.17</v>
      </c>
      <c r="F186" s="239">
        <v>4859.09</v>
      </c>
      <c r="G186" s="239">
        <v>3433.88</v>
      </c>
      <c r="H186" s="239">
        <v>1759.98</v>
      </c>
      <c r="I186" s="257">
        <v>25928.27</v>
      </c>
      <c r="J186" s="240">
        <v>183.11527777777778</v>
      </c>
      <c r="K186" s="240">
        <v>168.78490909090908</v>
      </c>
      <c r="L186" s="240">
        <v>161.96966666666668</v>
      </c>
      <c r="M186" s="240">
        <v>201.99294117647059</v>
      </c>
      <c r="N186" s="240">
        <v>175.99799999999999</v>
      </c>
      <c r="O186" s="258">
        <v>175.19101351351352</v>
      </c>
      <c r="P186" s="224">
        <v>0.11968286215633035</v>
      </c>
      <c r="Q186" s="224">
        <v>0.13071921286592578</v>
      </c>
      <c r="R186" s="224">
        <v>7.8795845351544741E-2</v>
      </c>
      <c r="S186" s="224">
        <v>5.8743780066823806E-2</v>
      </c>
      <c r="T186" s="224">
        <v>0.12821441190076385</v>
      </c>
      <c r="U186" s="259">
        <v>9.9745157776554003E-2</v>
      </c>
      <c r="V186" s="239">
        <v>36</v>
      </c>
      <c r="W186" s="239">
        <v>55</v>
      </c>
      <c r="X186" s="239">
        <v>30</v>
      </c>
      <c r="Y186" s="239">
        <v>17</v>
      </c>
      <c r="Z186" s="239">
        <v>10</v>
      </c>
      <c r="AA186" s="257">
        <v>148</v>
      </c>
      <c r="AB186" s="224">
        <v>0.10650887573964497</v>
      </c>
      <c r="AC186" s="224">
        <v>0.1288056206088993</v>
      </c>
      <c r="AD186" s="224">
        <v>9.375E-2</v>
      </c>
      <c r="AE186" s="224">
        <v>5.9027777777777776E-2</v>
      </c>
      <c r="AF186" s="224">
        <v>0.14492753623188406</v>
      </c>
      <c r="AG186" s="259">
        <v>0.10263522884882108</v>
      </c>
      <c r="AH186" s="261">
        <v>1.8723669839288502E-3</v>
      </c>
      <c r="AI186" s="261">
        <v>2.038547071905115E-3</v>
      </c>
      <c r="AJ186" s="261">
        <v>1.3926930040388096E-3</v>
      </c>
      <c r="AK186" s="261">
        <v>9.1392935863663239E-4</v>
      </c>
      <c r="AL186" s="261">
        <v>2.0855057351407717E-3</v>
      </c>
      <c r="AM186" s="262">
        <v>1.6238040902308436E-3</v>
      </c>
    </row>
    <row r="187" spans="1:39" x14ac:dyDescent="0.25">
      <c r="A187" s="215" t="str">
        <v>5497-SALSHAMARI</v>
      </c>
      <c r="B187" s="215" t="str">
        <v>ALWATANIAH</v>
      </c>
      <c r="C187" s="215" t="str">
        <v>Hamzah Al Makhadam</v>
      </c>
      <c r="D187" s="239">
        <v>0</v>
      </c>
      <c r="E187" s="239">
        <v>0</v>
      </c>
      <c r="F187" s="239">
        <v>9807.1800000000021</v>
      </c>
      <c r="G187" s="239">
        <v>5236.7900000000009</v>
      </c>
      <c r="H187" s="239">
        <v>2774.97</v>
      </c>
      <c r="I187" s="257">
        <v>17818.940000000002</v>
      </c>
      <c r="J187" s="240" t="str">
        <v/>
      </c>
      <c r="K187" s="240" t="str">
        <v/>
      </c>
      <c r="L187" s="240">
        <v>200.14653061224493</v>
      </c>
      <c r="M187" s="240">
        <v>218.19958333333338</v>
      </c>
      <c r="N187" s="240">
        <v>346.87124999999997</v>
      </c>
      <c r="O187" s="258">
        <v>219.98691358024695</v>
      </c>
      <c r="P187" s="224">
        <v>0</v>
      </c>
      <c r="Q187" s="224">
        <v>0</v>
      </c>
      <c r="R187" s="224">
        <v>0.15903493012369863</v>
      </c>
      <c r="S187" s="224">
        <v>8.95863687770517E-2</v>
      </c>
      <c r="T187" s="224">
        <v>0.20215635779512417</v>
      </c>
      <c r="U187" s="259">
        <v>6.8548845785351253E-2</v>
      </c>
      <c r="V187" s="239">
        <v>0</v>
      </c>
      <c r="W187" s="239">
        <v>0</v>
      </c>
      <c r="X187" s="239">
        <v>49</v>
      </c>
      <c r="Y187" s="239">
        <v>24</v>
      </c>
      <c r="Z187" s="239">
        <v>8</v>
      </c>
      <c r="AA187" s="257">
        <v>81</v>
      </c>
      <c r="AB187" s="224">
        <v>0</v>
      </c>
      <c r="AC187" s="224">
        <v>0</v>
      </c>
      <c r="AD187" s="224">
        <v>0.15312500000000001</v>
      </c>
      <c r="AE187" s="224">
        <v>8.3333333333333329E-2</v>
      </c>
      <c r="AF187" s="224">
        <v>0.11594202898550725</v>
      </c>
      <c r="AG187" s="259">
        <v>5.6171983356449379E-2</v>
      </c>
      <c r="AH187" s="261">
        <v>0</v>
      </c>
      <c r="AI187" s="261">
        <v>0</v>
      </c>
      <c r="AJ187" s="261">
        <v>2.2747319065967225E-3</v>
      </c>
      <c r="AK187" s="261">
        <v>1.2902532121928929E-3</v>
      </c>
      <c r="AL187" s="261">
        <v>1.6684045881126173E-3</v>
      </c>
      <c r="AM187" s="262">
        <v>8.887035899236373E-4</v>
      </c>
    </row>
    <row r="188" spans="1:39" x14ac:dyDescent="0.25">
      <c r="A188" s="215" t="str">
        <v>4172-AAlHumaidi</v>
      </c>
      <c r="B188" s="215" t="str">
        <v>ALWATANIAH</v>
      </c>
      <c r="C188" s="215" t="str">
        <v>Hamzah Al Makhadam</v>
      </c>
      <c r="D188" s="239">
        <v>1559.01</v>
      </c>
      <c r="E188" s="239">
        <v>2060</v>
      </c>
      <c r="F188" s="239">
        <v>2438.9899999999998</v>
      </c>
      <c r="G188" s="239">
        <v>1924.99</v>
      </c>
      <c r="H188" s="239">
        <v>948.98</v>
      </c>
      <c r="I188" s="257">
        <v>8931.9699999999993</v>
      </c>
      <c r="J188" s="240">
        <v>64.958749999999995</v>
      </c>
      <c r="K188" s="240">
        <v>57.222222222222221</v>
      </c>
      <c r="L188" s="240">
        <v>73.908787878787876</v>
      </c>
      <c r="M188" s="240">
        <v>54.999714285714283</v>
      </c>
      <c r="N188" s="240">
        <v>94.897999999999996</v>
      </c>
      <c r="O188" s="258">
        <v>64.724420289855061</v>
      </c>
      <c r="P188" s="224">
        <v>2.8304389149267022E-2</v>
      </c>
      <c r="Q188" s="224">
        <v>2.9007502663832192E-2</v>
      </c>
      <c r="R188" s="224">
        <v>3.9551084432262851E-2</v>
      </c>
      <c r="S188" s="224">
        <v>3.2931025309805573E-2</v>
      </c>
      <c r="T188" s="224">
        <v>6.9133122311382439E-2</v>
      </c>
      <c r="U188" s="259">
        <v>3.4360979614353249E-2</v>
      </c>
      <c r="V188" s="239">
        <v>24</v>
      </c>
      <c r="W188" s="239">
        <v>36</v>
      </c>
      <c r="X188" s="239">
        <v>33</v>
      </c>
      <c r="Y188" s="239">
        <v>35</v>
      </c>
      <c r="Z188" s="239">
        <v>10</v>
      </c>
      <c r="AA188" s="257">
        <v>138</v>
      </c>
      <c r="AB188" s="224">
        <v>7.1005917159763315E-2</v>
      </c>
      <c r="AC188" s="224">
        <v>8.4309133489461355E-2</v>
      </c>
      <c r="AD188" s="224">
        <v>0.10312499999999999</v>
      </c>
      <c r="AE188" s="224">
        <v>0.12152777777777778</v>
      </c>
      <c r="AF188" s="224">
        <v>0.14492753623188406</v>
      </c>
      <c r="AG188" s="259">
        <v>9.5700416088765602E-2</v>
      </c>
      <c r="AH188" s="261">
        <v>1.2482446559525667E-3</v>
      </c>
      <c r="AI188" s="261">
        <v>1.3343217197924388E-3</v>
      </c>
      <c r="AJ188" s="261">
        <v>1.5319623044426907E-3</v>
      </c>
      <c r="AK188" s="261">
        <v>1.8816192677813021E-3</v>
      </c>
      <c r="AL188" s="261">
        <v>2.0855057351407717E-3</v>
      </c>
      <c r="AM188" s="262">
        <v>1.5140875976476784E-3</v>
      </c>
    </row>
    <row r="189" spans="1:39" x14ac:dyDescent="0.25">
      <c r="A189" s="215" t="str">
        <v>5985-MAlshamari</v>
      </c>
      <c r="B189" s="215" t="str">
        <v>ALWATANIAH</v>
      </c>
      <c r="C189" s="215" t="str">
        <v>Hamzah Al Makhadam</v>
      </c>
      <c r="D189" s="239">
        <v>0</v>
      </c>
      <c r="E189" s="239">
        <v>1240.03</v>
      </c>
      <c r="F189" s="239">
        <v>75</v>
      </c>
      <c r="G189" s="239">
        <v>0</v>
      </c>
      <c r="H189" s="239">
        <v>0</v>
      </c>
      <c r="I189" s="257">
        <v>1315.03</v>
      </c>
      <c r="J189" s="240" t="str">
        <v/>
      </c>
      <c r="K189" s="240">
        <v>155.00375</v>
      </c>
      <c r="L189" s="240">
        <v>75</v>
      </c>
      <c r="M189" s="240" t="str">
        <v/>
      </c>
      <c r="N189" s="240" t="str">
        <v/>
      </c>
      <c r="O189" s="258">
        <v>146.11444444444444</v>
      </c>
      <c r="P189" s="224">
        <v>0</v>
      </c>
      <c r="Q189" s="224">
        <v>1.7461249285549433E-2</v>
      </c>
      <c r="R189" s="224">
        <v>1.2162129948953108E-3</v>
      </c>
      <c r="S189" s="224">
        <v>0</v>
      </c>
      <c r="T189" s="224">
        <v>0</v>
      </c>
      <c r="U189" s="259">
        <v>5.0588749203437713E-3</v>
      </c>
      <c r="V189" s="239">
        <v>0</v>
      </c>
      <c r="W189" s="239">
        <v>8</v>
      </c>
      <c r="X189" s="239">
        <v>1</v>
      </c>
      <c r="Y189" s="239">
        <v>0</v>
      </c>
      <c r="Z189" s="239">
        <v>0</v>
      </c>
      <c r="AA189" s="257">
        <v>9</v>
      </c>
      <c r="AB189" s="224">
        <v>0</v>
      </c>
      <c r="AC189" s="224">
        <v>1.873536299765808E-2</v>
      </c>
      <c r="AD189" s="224">
        <v>3.1250000000000002E-3</v>
      </c>
      <c r="AE189" s="224">
        <v>0</v>
      </c>
      <c r="AF189" s="224">
        <v>0</v>
      </c>
      <c r="AG189" s="259">
        <v>6.2413314840499305E-3</v>
      </c>
      <c r="AH189" s="261">
        <v>0</v>
      </c>
      <c r="AI189" s="261">
        <v>2.9651593773165309E-4</v>
      </c>
      <c r="AJ189" s="261">
        <v>4.6423100134626989E-5</v>
      </c>
      <c r="AK189" s="261">
        <v>0</v>
      </c>
      <c r="AL189" s="261">
        <v>0</v>
      </c>
      <c r="AM189" s="262">
        <v>9.8744843324848595E-5</v>
      </c>
    </row>
    <row r="190" spans="1:39" x14ac:dyDescent="0.25">
      <c r="A190" s="215" t="str">
        <v>7299-MAlyami</v>
      </c>
      <c r="B190" s="215" t="str">
        <v>DAMNAKHL</v>
      </c>
      <c r="C190" s="215" t="str">
        <v>Hamzah Al Makhadam</v>
      </c>
      <c r="D190" s="239">
        <v>15197.330000000002</v>
      </c>
      <c r="E190" s="239">
        <v>15127.349999999999</v>
      </c>
      <c r="F190" s="239">
        <v>11915.330000000002</v>
      </c>
      <c r="G190" s="239">
        <v>15926.66</v>
      </c>
      <c r="H190" s="239">
        <v>6452.15</v>
      </c>
      <c r="I190" s="257">
        <v>64618.82</v>
      </c>
      <c r="J190" s="240">
        <v>155.07479591836736</v>
      </c>
      <c r="K190" s="240">
        <v>154.36071428571427</v>
      </c>
      <c r="L190" s="240">
        <v>177.84074626865674</v>
      </c>
      <c r="M190" s="240">
        <v>165.90270833333332</v>
      </c>
      <c r="N190" s="240">
        <v>153.62261904761903</v>
      </c>
      <c r="O190" s="258">
        <v>161.14418952618453</v>
      </c>
      <c r="P190" s="224">
        <v>0.24170557696828235</v>
      </c>
      <c r="Q190" s="224">
        <v>0.17607328073255588</v>
      </c>
      <c r="R190" s="224">
        <v>0.19689087920620557</v>
      </c>
      <c r="S190" s="224">
        <v>0.23844779106574976</v>
      </c>
      <c r="T190" s="224">
        <v>0.33249301610842763</v>
      </c>
      <c r="U190" s="259">
        <v>0.21867152558119482</v>
      </c>
      <c r="V190" s="239">
        <v>98</v>
      </c>
      <c r="W190" s="239">
        <v>98</v>
      </c>
      <c r="X190" s="239">
        <v>67</v>
      </c>
      <c r="Y190" s="239">
        <v>96</v>
      </c>
      <c r="Z190" s="239">
        <v>42</v>
      </c>
      <c r="AA190" s="257">
        <v>401</v>
      </c>
      <c r="AB190" s="224">
        <v>0.259946949602122</v>
      </c>
      <c r="AC190" s="224">
        <v>0.18014705882352941</v>
      </c>
      <c r="AD190" s="224">
        <v>0.17005076142131981</v>
      </c>
      <c r="AE190" s="224">
        <v>0.25600000000000001</v>
      </c>
      <c r="AF190" s="224">
        <v>0.38532110091743121</v>
      </c>
      <c r="AG190" s="259">
        <v>0.22290161200667039</v>
      </c>
      <c r="AH190" s="261">
        <v>5.0969990118063142E-3</v>
      </c>
      <c r="AI190" s="261">
        <v>3.6323202372127504E-3</v>
      </c>
      <c r="AJ190" s="261">
        <v>3.1103477090200084E-3</v>
      </c>
      <c r="AK190" s="261">
        <v>5.1610128487715717E-3</v>
      </c>
      <c r="AL190" s="261">
        <v>8.7591240875912416E-3</v>
      </c>
      <c r="AM190" s="262">
        <v>4.3996313525849207E-3</v>
      </c>
    </row>
    <row r="191" spans="1:39" x14ac:dyDescent="0.25">
      <c r="A191" s="215" t="str">
        <v>5126-AAlkhdrawi</v>
      </c>
      <c r="B191" s="215" t="str">
        <v>DAMNAKHL</v>
      </c>
      <c r="C191" s="215" t="str">
        <v>Hamzah Al Makhadam</v>
      </c>
      <c r="D191" s="239">
        <v>14017.41</v>
      </c>
      <c r="E191" s="239">
        <v>16347.59</v>
      </c>
      <c r="F191" s="239">
        <v>13138.33</v>
      </c>
      <c r="G191" s="239">
        <v>12753.720000000001</v>
      </c>
      <c r="H191" s="239">
        <v>5017.18</v>
      </c>
      <c r="I191" s="257">
        <v>61274.23</v>
      </c>
      <c r="J191" s="240">
        <v>226.08725806451613</v>
      </c>
      <c r="K191" s="240">
        <v>220.91337837837838</v>
      </c>
      <c r="L191" s="240">
        <v>190.41057971014493</v>
      </c>
      <c r="M191" s="240">
        <v>190.35402985074629</v>
      </c>
      <c r="N191" s="240">
        <v>218.13826086956524</v>
      </c>
      <c r="O191" s="258">
        <v>207.70925423728815</v>
      </c>
      <c r="P191" s="224">
        <v>0.22293956712468377</v>
      </c>
      <c r="Q191" s="224">
        <v>0.19027614244204855</v>
      </c>
      <c r="R191" s="224">
        <v>0.21709993302755917</v>
      </c>
      <c r="S191" s="224">
        <v>0.19094376108180086</v>
      </c>
      <c r="T191" s="224">
        <v>0.25854595918552442</v>
      </c>
      <c r="U191" s="259">
        <v>0.20735335855580489</v>
      </c>
      <c r="V191" s="239">
        <v>62</v>
      </c>
      <c r="W191" s="239">
        <v>74</v>
      </c>
      <c r="X191" s="239">
        <v>69</v>
      </c>
      <c r="Y191" s="239">
        <v>67</v>
      </c>
      <c r="Z191" s="239">
        <v>23</v>
      </c>
      <c r="AA191" s="257">
        <v>295</v>
      </c>
      <c r="AB191" s="224">
        <v>0.16445623342175067</v>
      </c>
      <c r="AC191" s="224">
        <v>0.13602941176470587</v>
      </c>
      <c r="AD191" s="224">
        <v>0.17512690355329949</v>
      </c>
      <c r="AE191" s="224">
        <v>0.17866666666666667</v>
      </c>
      <c r="AF191" s="224">
        <v>0.21100917431192662</v>
      </c>
      <c r="AG191" s="259">
        <v>0.16397998888271262</v>
      </c>
      <c r="AH191" s="261">
        <v>3.2246320278774641E-3</v>
      </c>
      <c r="AI191" s="261">
        <v>2.742772424017791E-3</v>
      </c>
      <c r="AJ191" s="261">
        <v>3.2031939092892624E-3</v>
      </c>
      <c r="AK191" s="261">
        <v>3.6019568840384925E-3</v>
      </c>
      <c r="AL191" s="261">
        <v>4.7966631908237748E-3</v>
      </c>
      <c r="AM191" s="262">
        <v>3.2366365312033706E-3</v>
      </c>
    </row>
    <row r="192" spans="1:39" x14ac:dyDescent="0.25">
      <c r="A192" s="215" t="str">
        <v>6782-SAlanzi</v>
      </c>
      <c r="B192" s="215" t="str">
        <v>DAMNAKHL</v>
      </c>
      <c r="C192" s="215" t="str">
        <v>Hamzah Al Makhadam</v>
      </c>
      <c r="D192" s="239">
        <v>10692.189999999999</v>
      </c>
      <c r="E192" s="239">
        <v>14703.300000000003</v>
      </c>
      <c r="F192" s="239">
        <v>8574.2199999999993</v>
      </c>
      <c r="G192" s="239">
        <v>12691.89</v>
      </c>
      <c r="H192" s="239">
        <v>2981</v>
      </c>
      <c r="I192" s="257">
        <v>49642.6</v>
      </c>
      <c r="J192" s="240">
        <v>187.58228070175437</v>
      </c>
      <c r="K192" s="240">
        <v>167.08295454545458</v>
      </c>
      <c r="L192" s="240">
        <v>182.43021276595744</v>
      </c>
      <c r="M192" s="240">
        <v>195.25984615384615</v>
      </c>
      <c r="N192" s="240">
        <v>271</v>
      </c>
      <c r="O192" s="258">
        <v>185.23358208955224</v>
      </c>
      <c r="P192" s="224">
        <v>0.17005368396978274</v>
      </c>
      <c r="Q192" s="224">
        <v>0.17113759307446377</v>
      </c>
      <c r="R192" s="224">
        <v>0.14168182621106018</v>
      </c>
      <c r="S192" s="224">
        <v>0.19001806624549519</v>
      </c>
      <c r="T192" s="224">
        <v>0.1536172719200922</v>
      </c>
      <c r="U192" s="259">
        <v>0.16799166366419291</v>
      </c>
      <c r="V192" s="239">
        <v>57</v>
      </c>
      <c r="W192" s="239">
        <v>88</v>
      </c>
      <c r="X192" s="239">
        <v>47</v>
      </c>
      <c r="Y192" s="239">
        <v>65</v>
      </c>
      <c r="Z192" s="239">
        <v>11</v>
      </c>
      <c r="AA192" s="257">
        <v>268</v>
      </c>
      <c r="AB192" s="224">
        <v>0.15119363395225463</v>
      </c>
      <c r="AC192" s="224">
        <v>0.16176470588235295</v>
      </c>
      <c r="AD192" s="224">
        <v>0.11928934010152284</v>
      </c>
      <c r="AE192" s="224">
        <v>0.17333333333333334</v>
      </c>
      <c r="AF192" s="224">
        <v>0.10091743119266056</v>
      </c>
      <c r="AG192" s="259">
        <v>0.14897165091717621</v>
      </c>
      <c r="AH192" s="261">
        <v>2.9645810578873459E-3</v>
      </c>
      <c r="AI192" s="261">
        <v>3.2616753150481836E-3</v>
      </c>
      <c r="AJ192" s="261">
        <v>2.1818857063274685E-3</v>
      </c>
      <c r="AK192" s="261">
        <v>3.4944357830224183E-3</v>
      </c>
      <c r="AL192" s="261">
        <v>2.2940563086548487E-3</v>
      </c>
      <c r="AM192" s="262">
        <v>2.9404020012288247E-3</v>
      </c>
    </row>
    <row r="193" spans="1:39" x14ac:dyDescent="0.25">
      <c r="A193" s="215" t="str">
        <v>5047-BAlawad</v>
      </c>
      <c r="B193" s="215" t="str">
        <v>DAMNAKHL</v>
      </c>
      <c r="C193" s="215" t="str">
        <v>Hamzah Al Makhadam</v>
      </c>
      <c r="D193" s="239">
        <v>10048.290000000001</v>
      </c>
      <c r="E193" s="239">
        <v>11560.2</v>
      </c>
      <c r="F193" s="239">
        <v>10340.209999999999</v>
      </c>
      <c r="G193" s="239">
        <v>11216.73</v>
      </c>
      <c r="H193" s="239">
        <v>4139.0200000000004</v>
      </c>
      <c r="I193" s="257">
        <v>47304.45</v>
      </c>
      <c r="J193" s="240">
        <v>205.06714285714287</v>
      </c>
      <c r="K193" s="240">
        <v>154.136</v>
      </c>
      <c r="L193" s="240">
        <v>164.13031746031746</v>
      </c>
      <c r="M193" s="240">
        <v>200.29874999999998</v>
      </c>
      <c r="N193" s="240">
        <v>147.82214285714286</v>
      </c>
      <c r="O193" s="258">
        <v>174.55516605166051</v>
      </c>
      <c r="P193" s="224">
        <v>0.15981279158869496</v>
      </c>
      <c r="Q193" s="224">
        <v>0.13455379428151609</v>
      </c>
      <c r="R193" s="224">
        <v>0.17086333639746432</v>
      </c>
      <c r="S193" s="224">
        <v>0.16793254150468004</v>
      </c>
      <c r="T193" s="224">
        <v>0.2132925061464945</v>
      </c>
      <c r="U193" s="259">
        <v>0.16007931200661588</v>
      </c>
      <c r="V193" s="239">
        <v>49</v>
      </c>
      <c r="W193" s="239">
        <v>75</v>
      </c>
      <c r="X193" s="239">
        <v>63</v>
      </c>
      <c r="Y193" s="239">
        <v>56</v>
      </c>
      <c r="Z193" s="239">
        <v>28</v>
      </c>
      <c r="AA193" s="257">
        <v>271</v>
      </c>
      <c r="AB193" s="224">
        <v>0.129973474801061</v>
      </c>
      <c r="AC193" s="224">
        <v>0.13786764705882354</v>
      </c>
      <c r="AD193" s="224">
        <v>0.15989847715736041</v>
      </c>
      <c r="AE193" s="224">
        <v>0.14933333333333335</v>
      </c>
      <c r="AF193" s="224">
        <v>0.25688073394495414</v>
      </c>
      <c r="AG193" s="259">
        <v>0.15063924402445802</v>
      </c>
      <c r="AH193" s="261">
        <v>2.5484995059031571E-3</v>
      </c>
      <c r="AI193" s="261">
        <v>2.7798369162342477E-3</v>
      </c>
      <c r="AJ193" s="261">
        <v>2.9246553084815003E-3</v>
      </c>
      <c r="AK193" s="261">
        <v>3.0105908284500833E-3</v>
      </c>
      <c r="AL193" s="261">
        <v>5.8394160583941602E-3</v>
      </c>
      <c r="AM193" s="262">
        <v>2.9733169490037742E-3</v>
      </c>
    </row>
    <row r="194" spans="1:39" x14ac:dyDescent="0.25">
      <c r="A194" s="215" t="str">
        <v>4464-SALAMIRI</v>
      </c>
      <c r="B194" s="215" t="str">
        <v>DAMNAKHL</v>
      </c>
      <c r="C194" s="215" t="str">
        <v>Hamzah Al Makhadam</v>
      </c>
      <c r="D194" s="239">
        <v>9525.19</v>
      </c>
      <c r="E194" s="239">
        <v>13962.490000000002</v>
      </c>
      <c r="F194" s="239">
        <v>3962.16</v>
      </c>
      <c r="G194" s="239">
        <v>10043.98</v>
      </c>
      <c r="H194" s="239">
        <v>816.02</v>
      </c>
      <c r="I194" s="257">
        <v>38309.839999999997</v>
      </c>
      <c r="J194" s="240">
        <v>173.18527272727275</v>
      </c>
      <c r="K194" s="240">
        <v>162.35453488372096</v>
      </c>
      <c r="L194" s="240">
        <v>158.4864</v>
      </c>
      <c r="M194" s="240">
        <v>170.23694915254237</v>
      </c>
      <c r="N194" s="240">
        <v>163.20400000000001</v>
      </c>
      <c r="O194" s="258">
        <v>166.56452173913041</v>
      </c>
      <c r="P194" s="224">
        <v>0.15149315996181653</v>
      </c>
      <c r="Q194" s="224">
        <v>0.16251500900656787</v>
      </c>
      <c r="R194" s="224">
        <v>6.547138568177796E-2</v>
      </c>
      <c r="S194" s="224">
        <v>0.15037458227328071</v>
      </c>
      <c r="T194" s="224">
        <v>4.205124663946113E-2</v>
      </c>
      <c r="U194" s="259">
        <v>0.12964135150675113</v>
      </c>
      <c r="V194" s="239">
        <v>55</v>
      </c>
      <c r="W194" s="239">
        <v>86</v>
      </c>
      <c r="X194" s="239">
        <v>25</v>
      </c>
      <c r="Y194" s="239">
        <v>59</v>
      </c>
      <c r="Z194" s="239">
        <v>5</v>
      </c>
      <c r="AA194" s="257">
        <v>230</v>
      </c>
      <c r="AB194" s="224">
        <v>0.14588859416445624</v>
      </c>
      <c r="AC194" s="224">
        <v>0.15808823529411764</v>
      </c>
      <c r="AD194" s="224">
        <v>6.3451776649746189E-2</v>
      </c>
      <c r="AE194" s="224">
        <v>0.15733333333333333</v>
      </c>
      <c r="AF194" s="224">
        <v>4.5871559633027525E-2</v>
      </c>
      <c r="AG194" s="259">
        <v>0.12784880489160644</v>
      </c>
      <c r="AH194" s="261">
        <v>2.8605606698912985E-3</v>
      </c>
      <c r="AI194" s="261">
        <v>3.1875463306152707E-3</v>
      </c>
      <c r="AJ194" s="261">
        <v>1.1605775033656748E-3</v>
      </c>
      <c r="AK194" s="261">
        <v>3.171872479974195E-3</v>
      </c>
      <c r="AL194" s="261">
        <v>1.0427528675703858E-3</v>
      </c>
      <c r="AM194" s="262">
        <v>2.5234793294127973E-3</v>
      </c>
    </row>
    <row r="195" spans="1:39" x14ac:dyDescent="0.25">
      <c r="A195" s="215" t="str">
        <v>4880-NAlghamdi</v>
      </c>
      <c r="B195" s="215" t="str">
        <v>DAMNAKHL</v>
      </c>
      <c r="C195" s="215" t="str">
        <v>Hamzah Al Makhadam</v>
      </c>
      <c r="D195" s="239">
        <v>3168.98</v>
      </c>
      <c r="E195" s="239">
        <v>12697.150000000001</v>
      </c>
      <c r="F195" s="239">
        <v>10062.18</v>
      </c>
      <c r="G195" s="239">
        <v>3973.09</v>
      </c>
      <c r="H195" s="239">
        <v>0</v>
      </c>
      <c r="I195" s="257">
        <v>29901.4</v>
      </c>
      <c r="J195" s="240">
        <v>59.792075471698112</v>
      </c>
      <c r="K195" s="240">
        <v>139.52912087912088</v>
      </c>
      <c r="L195" s="240">
        <v>125.77725000000001</v>
      </c>
      <c r="M195" s="240">
        <v>137.00310344827588</v>
      </c>
      <c r="N195" s="240" t="str">
        <v/>
      </c>
      <c r="O195" s="258">
        <v>118.18735177865614</v>
      </c>
      <c r="P195" s="224">
        <v>5.0400967755582546E-2</v>
      </c>
      <c r="Q195" s="224">
        <v>0.14778721034770612</v>
      </c>
      <c r="R195" s="224">
        <v>0.16626912279652326</v>
      </c>
      <c r="S195" s="224">
        <v>5.9483566184336187E-2</v>
      </c>
      <c r="T195" s="224">
        <v>0</v>
      </c>
      <c r="U195" s="259">
        <v>0.10118700333762731</v>
      </c>
      <c r="V195" s="239">
        <v>53</v>
      </c>
      <c r="W195" s="239">
        <v>91</v>
      </c>
      <c r="X195" s="239">
        <v>80</v>
      </c>
      <c r="Y195" s="239">
        <v>29</v>
      </c>
      <c r="Z195" s="239">
        <v>0</v>
      </c>
      <c r="AA195" s="257">
        <v>253</v>
      </c>
      <c r="AB195" s="224">
        <v>0.14058355437665782</v>
      </c>
      <c r="AC195" s="224">
        <v>0.16727941176470587</v>
      </c>
      <c r="AD195" s="224">
        <v>0.20304568527918782</v>
      </c>
      <c r="AE195" s="224">
        <v>7.7333333333333337E-2</v>
      </c>
      <c r="AF195" s="224">
        <v>0</v>
      </c>
      <c r="AG195" s="259">
        <v>0.14063368538076709</v>
      </c>
      <c r="AH195" s="261">
        <v>2.7565402818952515E-3</v>
      </c>
      <c r="AI195" s="261">
        <v>3.3728687916975537E-3</v>
      </c>
      <c r="AJ195" s="261">
        <v>3.7138480107701591E-3</v>
      </c>
      <c r="AK195" s="261">
        <v>1.559055964733079E-3</v>
      </c>
      <c r="AL195" s="261">
        <v>0</v>
      </c>
      <c r="AM195" s="262">
        <v>2.7758272623540771E-3</v>
      </c>
    </row>
    <row r="196" spans="1:39" x14ac:dyDescent="0.25">
      <c r="A196" s="215" t="str">
        <v>4469-RAlghamdi</v>
      </c>
      <c r="B196" s="215" t="str">
        <v>DAMNAKHL</v>
      </c>
      <c r="C196" s="215" t="str">
        <v>Hamzah Al Makhadam</v>
      </c>
      <c r="D196" s="239">
        <v>225.99</v>
      </c>
      <c r="E196" s="239">
        <v>1517</v>
      </c>
      <c r="F196" s="239">
        <v>2525</v>
      </c>
      <c r="G196" s="239">
        <v>187</v>
      </c>
      <c r="H196" s="239">
        <v>0</v>
      </c>
      <c r="I196" s="257">
        <v>4454.99</v>
      </c>
      <c r="J196" s="240">
        <v>75.33</v>
      </c>
      <c r="K196" s="240">
        <v>47.40625</v>
      </c>
      <c r="L196" s="240">
        <v>58.720930232558139</v>
      </c>
      <c r="M196" s="240">
        <v>62.333333333333336</v>
      </c>
      <c r="N196" s="240" t="str">
        <v/>
      </c>
      <c r="O196" s="258">
        <v>54.999876543209872</v>
      </c>
      <c r="P196" s="224">
        <v>3.5942526311570602E-3</v>
      </c>
      <c r="Q196" s="224">
        <v>1.7656970115141599E-2</v>
      </c>
      <c r="R196" s="224">
        <v>4.1723516679409552E-2</v>
      </c>
      <c r="S196" s="224">
        <v>2.7996916446571475E-3</v>
      </c>
      <c r="T196" s="224">
        <v>0</v>
      </c>
      <c r="U196" s="259">
        <v>1.5075785347813021E-2</v>
      </c>
      <c r="V196" s="239">
        <v>3</v>
      </c>
      <c r="W196" s="239">
        <v>32</v>
      </c>
      <c r="X196" s="239">
        <v>43</v>
      </c>
      <c r="Y196" s="239">
        <v>3</v>
      </c>
      <c r="Z196" s="239">
        <v>0</v>
      </c>
      <c r="AA196" s="257">
        <v>81</v>
      </c>
      <c r="AB196" s="224">
        <v>7.9575596816976128E-3</v>
      </c>
      <c r="AC196" s="224">
        <v>5.8823529411764705E-2</v>
      </c>
      <c r="AD196" s="224">
        <v>0.10913705583756345</v>
      </c>
      <c r="AE196" s="224">
        <v>8.0000000000000002E-3</v>
      </c>
      <c r="AF196" s="224">
        <v>0</v>
      </c>
      <c r="AG196" s="259">
        <v>4.5025013896609227E-2</v>
      </c>
      <c r="AH196" s="261">
        <v>1.5603058199407084E-4</v>
      </c>
      <c r="AI196" s="261">
        <v>1.1860637509266123E-3</v>
      </c>
      <c r="AJ196" s="261">
        <v>1.9961933057889604E-3</v>
      </c>
      <c r="AK196" s="261">
        <v>1.6128165152411161E-4</v>
      </c>
      <c r="AL196" s="261">
        <v>0</v>
      </c>
      <c r="AM196" s="262">
        <v>8.887035899236373E-4</v>
      </c>
    </row>
    <row r="197" spans="1:39" x14ac:dyDescent="0.25">
      <c r="A197" s="215" t="str">
        <v>5130-RAlosaif</v>
      </c>
      <c r="B197" s="215" t="str">
        <v>HACFRONT</v>
      </c>
      <c r="C197" s="215" t="str">
        <v>Hamzah Al Makhadam</v>
      </c>
      <c r="D197" s="239">
        <v>8193.09</v>
      </c>
      <c r="E197" s="239">
        <v>13353.220000000001</v>
      </c>
      <c r="F197" s="239">
        <v>8339.14</v>
      </c>
      <c r="G197" s="239">
        <v>9396.6899999999987</v>
      </c>
      <c r="H197" s="239">
        <v>1633.08</v>
      </c>
      <c r="I197" s="257">
        <v>40915.22</v>
      </c>
      <c r="J197" s="240">
        <v>227.58583333333334</v>
      </c>
      <c r="K197" s="240">
        <v>251.94754716981134</v>
      </c>
      <c r="L197" s="240">
        <v>208.4785</v>
      </c>
      <c r="M197" s="240">
        <v>268.47685714285711</v>
      </c>
      <c r="N197" s="240">
        <v>272.18</v>
      </c>
      <c r="O197" s="258">
        <v>240.67776470588237</v>
      </c>
      <c r="P197" s="224">
        <v>0.31064472575183499</v>
      </c>
      <c r="Q197" s="224">
        <v>0.36677808355085212</v>
      </c>
      <c r="R197" s="224">
        <v>0.27035156460220827</v>
      </c>
      <c r="S197" s="224">
        <v>0.29846689614362454</v>
      </c>
      <c r="T197" s="224">
        <v>0.19625157426189949</v>
      </c>
      <c r="U197" s="259">
        <v>0.30663868623997492</v>
      </c>
      <c r="V197" s="239">
        <v>36</v>
      </c>
      <c r="W197" s="239">
        <v>53</v>
      </c>
      <c r="X197" s="239">
        <v>40</v>
      </c>
      <c r="Y197" s="239">
        <v>35</v>
      </c>
      <c r="Z197" s="239">
        <v>6</v>
      </c>
      <c r="AA197" s="257">
        <v>170</v>
      </c>
      <c r="AB197" s="224">
        <v>0.25</v>
      </c>
      <c r="AC197" s="224">
        <v>0.30813953488372092</v>
      </c>
      <c r="AD197" s="224">
        <v>0.26143790849673204</v>
      </c>
      <c r="AE197" s="224">
        <v>0.23648648648648649</v>
      </c>
      <c r="AF197" s="224">
        <v>0.14634146341463414</v>
      </c>
      <c r="AG197" s="259">
        <v>0.25835866261398177</v>
      </c>
      <c r="AH197" s="261">
        <v>1.8723669839288502E-3</v>
      </c>
      <c r="AI197" s="261">
        <v>1.9644180874722017E-3</v>
      </c>
      <c r="AJ197" s="261">
        <v>1.8569240053850796E-3</v>
      </c>
      <c r="AK197" s="261">
        <v>1.8816192677813021E-3</v>
      </c>
      <c r="AL197" s="261">
        <v>1.2513034410844631E-3</v>
      </c>
      <c r="AM197" s="262">
        <v>1.8651803739138067E-3</v>
      </c>
    </row>
    <row r="198" spans="1:39" x14ac:dyDescent="0.25">
      <c r="A198" s="215" t="str">
        <v>5195-SAkshaikh</v>
      </c>
      <c r="B198" s="215" t="str">
        <v>HACFRONT</v>
      </c>
      <c r="C198" s="215" t="str">
        <v>Hamzah Al Makhadam</v>
      </c>
      <c r="D198" s="239">
        <v>9625.1400000000012</v>
      </c>
      <c r="E198" s="239">
        <v>11058.300000000001</v>
      </c>
      <c r="F198" s="239">
        <v>7914.1500000000005</v>
      </c>
      <c r="G198" s="239">
        <v>7644.9100000000008</v>
      </c>
      <c r="H198" s="239">
        <v>0</v>
      </c>
      <c r="I198" s="257">
        <v>36242.500000000007</v>
      </c>
      <c r="J198" s="240">
        <v>175.00254545454547</v>
      </c>
      <c r="K198" s="240">
        <v>197.46964285714287</v>
      </c>
      <c r="L198" s="240">
        <v>184.05</v>
      </c>
      <c r="M198" s="240">
        <v>182.02166666666668</v>
      </c>
      <c r="N198" s="240" t="str">
        <v/>
      </c>
      <c r="O198" s="258">
        <v>184.91071428571433</v>
      </c>
      <c r="P198" s="224">
        <v>0.36494155143212359</v>
      </c>
      <c r="Q198" s="224">
        <v>0.30374262397611873</v>
      </c>
      <c r="R198" s="224">
        <v>0.25657355974315899</v>
      </c>
      <c r="S198" s="224">
        <v>0.24282513938390618</v>
      </c>
      <c r="T198" s="224">
        <v>0</v>
      </c>
      <c r="U198" s="259">
        <v>0.27161903531380971</v>
      </c>
      <c r="V198" s="239">
        <v>55</v>
      </c>
      <c r="W198" s="239">
        <v>56</v>
      </c>
      <c r="X198" s="239">
        <v>43</v>
      </c>
      <c r="Y198" s="239">
        <v>42</v>
      </c>
      <c r="Z198" s="239">
        <v>0</v>
      </c>
      <c r="AA198" s="257">
        <v>196</v>
      </c>
      <c r="AB198" s="224">
        <v>0.38194444444444442</v>
      </c>
      <c r="AC198" s="224">
        <v>0.32558139534883723</v>
      </c>
      <c r="AD198" s="224">
        <v>0.28104575163398693</v>
      </c>
      <c r="AE198" s="224">
        <v>0.28378378378378377</v>
      </c>
      <c r="AF198" s="224">
        <v>0</v>
      </c>
      <c r="AG198" s="259">
        <v>0.2978723404255319</v>
      </c>
      <c r="AH198" s="261">
        <v>2.8605606698912985E-3</v>
      </c>
      <c r="AI198" s="261">
        <v>2.0756115641215717E-3</v>
      </c>
      <c r="AJ198" s="261">
        <v>1.9961933057889604E-3</v>
      </c>
      <c r="AK198" s="261">
        <v>2.2579431213375625E-3</v>
      </c>
      <c r="AL198" s="261">
        <v>0</v>
      </c>
      <c r="AM198" s="262">
        <v>2.150443254630036E-3</v>
      </c>
    </row>
    <row r="199" spans="1:39" x14ac:dyDescent="0.25">
      <c r="A199" s="215" t="str">
        <v>5127-AALI</v>
      </c>
      <c r="B199" s="215" t="str">
        <v>HACFRONT</v>
      </c>
      <c r="C199" s="215" t="str">
        <v>Hamzah Al Makhadam</v>
      </c>
      <c r="D199" s="239">
        <v>2719.0699999999997</v>
      </c>
      <c r="E199" s="239">
        <v>6782.2</v>
      </c>
      <c r="F199" s="239">
        <v>8659.1400000000012</v>
      </c>
      <c r="G199" s="239">
        <v>6825.83</v>
      </c>
      <c r="H199" s="239">
        <v>3731.1800000000003</v>
      </c>
      <c r="I199" s="257">
        <v>28717.420000000006</v>
      </c>
      <c r="J199" s="240">
        <v>151.05944444444444</v>
      </c>
      <c r="K199" s="240">
        <v>193.77714285714285</v>
      </c>
      <c r="L199" s="240">
        <v>279.32709677419359</v>
      </c>
      <c r="M199" s="240">
        <v>213.3071875</v>
      </c>
      <c r="N199" s="240">
        <v>219.48117647058825</v>
      </c>
      <c r="O199" s="258">
        <v>215.9204511278196</v>
      </c>
      <c r="P199" s="224">
        <v>0.10309477308927913</v>
      </c>
      <c r="Q199" s="224">
        <v>0.18628932334362716</v>
      </c>
      <c r="R199" s="224">
        <v>0.28072583589069933</v>
      </c>
      <c r="S199" s="224">
        <v>0.21680871601638843</v>
      </c>
      <c r="T199" s="224">
        <v>0.448385840776027</v>
      </c>
      <c r="U199" s="259">
        <v>0.21522240234811355</v>
      </c>
      <c r="V199" s="239">
        <v>18</v>
      </c>
      <c r="W199" s="239">
        <v>35</v>
      </c>
      <c r="X199" s="239">
        <v>31</v>
      </c>
      <c r="Y199" s="239">
        <v>32</v>
      </c>
      <c r="Z199" s="239">
        <v>17</v>
      </c>
      <c r="AA199" s="257">
        <v>133</v>
      </c>
      <c r="AB199" s="224">
        <v>0.125</v>
      </c>
      <c r="AC199" s="224">
        <v>0.20348837209302326</v>
      </c>
      <c r="AD199" s="224">
        <v>0.20261437908496732</v>
      </c>
      <c r="AE199" s="224">
        <v>0.21621621621621623</v>
      </c>
      <c r="AF199" s="224">
        <v>0.41463414634146339</v>
      </c>
      <c r="AG199" s="259">
        <v>0.20212765957446807</v>
      </c>
      <c r="AH199" s="261">
        <v>9.3618349196442508E-4</v>
      </c>
      <c r="AI199" s="261">
        <v>1.2972572275759822E-3</v>
      </c>
      <c r="AJ199" s="261">
        <v>1.4391161041734366E-3</v>
      </c>
      <c r="AK199" s="261">
        <v>1.7203376162571904E-3</v>
      </c>
      <c r="AL199" s="261">
        <v>3.545359749739312E-3</v>
      </c>
      <c r="AM199" s="262">
        <v>1.4592293513560959E-3</v>
      </c>
    </row>
    <row r="200" spans="1:39" x14ac:dyDescent="0.25">
      <c r="A200" s="215" t="str">
        <v>5125-ZAlJumaian</v>
      </c>
      <c r="B200" s="215" t="str">
        <v>HACFRONT</v>
      </c>
      <c r="C200" s="215" t="str">
        <v>Hamzah Al Makhadam</v>
      </c>
      <c r="D200" s="239">
        <v>5837.17</v>
      </c>
      <c r="E200" s="239">
        <v>5213.09</v>
      </c>
      <c r="F200" s="239">
        <v>5933.1100000000006</v>
      </c>
      <c r="G200" s="239">
        <v>7615.7599999999993</v>
      </c>
      <c r="H200" s="239">
        <v>2957.1</v>
      </c>
      <c r="I200" s="257">
        <v>27556.23</v>
      </c>
      <c r="J200" s="240">
        <v>166.77628571428571</v>
      </c>
      <c r="K200" s="240">
        <v>186.18178571428572</v>
      </c>
      <c r="L200" s="240">
        <v>152.13102564102564</v>
      </c>
      <c r="M200" s="240">
        <v>195.27589743589741</v>
      </c>
      <c r="N200" s="240">
        <v>164.28333333333333</v>
      </c>
      <c r="O200" s="258">
        <v>173.30962264150943</v>
      </c>
      <c r="P200" s="224">
        <v>0.22131894972676228</v>
      </c>
      <c r="Q200" s="224">
        <v>0.14318996912940188</v>
      </c>
      <c r="R200" s="224">
        <v>0.19234903976393347</v>
      </c>
      <c r="S200" s="224">
        <v>0.24189924845608082</v>
      </c>
      <c r="T200" s="224">
        <v>0.35536258496207346</v>
      </c>
      <c r="U200" s="259">
        <v>0.20651987609810196</v>
      </c>
      <c r="V200" s="239">
        <v>35</v>
      </c>
      <c r="W200" s="239">
        <v>28</v>
      </c>
      <c r="X200" s="239">
        <v>39</v>
      </c>
      <c r="Y200" s="239">
        <v>39</v>
      </c>
      <c r="Z200" s="239">
        <v>18</v>
      </c>
      <c r="AA200" s="257">
        <v>159</v>
      </c>
      <c r="AB200" s="224">
        <v>0.24305555555555555</v>
      </c>
      <c r="AC200" s="224">
        <v>0.16279069767441862</v>
      </c>
      <c r="AD200" s="224">
        <v>0.25490196078431371</v>
      </c>
      <c r="AE200" s="224">
        <v>0.26351351351351349</v>
      </c>
      <c r="AF200" s="224">
        <v>0.43902439024390244</v>
      </c>
      <c r="AG200" s="259">
        <v>0.24164133738601823</v>
      </c>
      <c r="AH200" s="261">
        <v>1.8203567899308265E-3</v>
      </c>
      <c r="AI200" s="261">
        <v>1.0378057820607859E-3</v>
      </c>
      <c r="AJ200" s="261">
        <v>1.8105009052504525E-3</v>
      </c>
      <c r="AK200" s="261">
        <v>2.0966614698134508E-3</v>
      </c>
      <c r="AL200" s="261">
        <v>3.753910323253389E-3</v>
      </c>
      <c r="AM200" s="262">
        <v>1.7444922320723252E-3</v>
      </c>
    </row>
    <row r="201" spans="1:39" x14ac:dyDescent="0.25">
      <c r="A201" s="215" t="str">
        <v>5140-KALmatouq</v>
      </c>
      <c r="B201" s="215" t="str">
        <v>HADARENMAL</v>
      </c>
      <c r="C201" s="215" t="str">
        <v>Hamzah Al Makhadam</v>
      </c>
      <c r="D201" s="239">
        <v>8903.130000000001</v>
      </c>
      <c r="E201" s="239">
        <v>17266.27</v>
      </c>
      <c r="F201" s="239">
        <v>6451.16</v>
      </c>
      <c r="G201" s="239">
        <v>9886.77</v>
      </c>
      <c r="H201" s="239">
        <v>496.96</v>
      </c>
      <c r="I201" s="257">
        <v>43004.29</v>
      </c>
      <c r="J201" s="240">
        <v>123.65458333333335</v>
      </c>
      <c r="K201" s="240">
        <v>162.8893396226415</v>
      </c>
      <c r="L201" s="240">
        <v>157.34536585365854</v>
      </c>
      <c r="M201" s="240">
        <v>156.93285714285716</v>
      </c>
      <c r="N201" s="240">
        <v>165.65333333333334</v>
      </c>
      <c r="O201" s="258">
        <v>150.89224561403509</v>
      </c>
      <c r="P201" s="224">
        <v>0.32519867584743828</v>
      </c>
      <c r="Q201" s="224">
        <v>0.3834915531453767</v>
      </c>
      <c r="R201" s="224">
        <v>0.21070860483726095</v>
      </c>
      <c r="S201" s="224">
        <v>0.37236243417031145</v>
      </c>
      <c r="T201" s="224">
        <v>7.0390137222241106E-2</v>
      </c>
      <c r="U201" s="259">
        <v>0.31475131783476801</v>
      </c>
      <c r="V201" s="239">
        <v>72</v>
      </c>
      <c r="W201" s="239">
        <v>106</v>
      </c>
      <c r="X201" s="239">
        <v>41</v>
      </c>
      <c r="Y201" s="239">
        <v>63</v>
      </c>
      <c r="Z201" s="239">
        <v>3</v>
      </c>
      <c r="AA201" s="257">
        <v>285</v>
      </c>
      <c r="AB201" s="224">
        <v>0.36548223350253806</v>
      </c>
      <c r="AC201" s="224">
        <v>0.37722419928825623</v>
      </c>
      <c r="AD201" s="224">
        <v>0.20098039215686275</v>
      </c>
      <c r="AE201" s="224">
        <v>0.3559322033898305</v>
      </c>
      <c r="AF201" s="224">
        <v>0.06</v>
      </c>
      <c r="AG201" s="259">
        <v>0.31353135313531355</v>
      </c>
      <c r="AH201" s="261">
        <v>3.7447339678577003E-3</v>
      </c>
      <c r="AI201" s="261">
        <v>3.9288361749444034E-3</v>
      </c>
      <c r="AJ201" s="261">
        <v>1.9033471055197066E-3</v>
      </c>
      <c r="AK201" s="261">
        <v>3.3869146820063437E-3</v>
      </c>
      <c r="AL201" s="261">
        <v>6.2565172054223153E-4</v>
      </c>
      <c r="AM201" s="262">
        <v>3.1269200386202056E-3</v>
      </c>
    </row>
    <row r="202" spans="1:39" x14ac:dyDescent="0.25">
      <c r="A202" s="215" t="str">
        <v>7301-KAlabri</v>
      </c>
      <c r="B202" s="215" t="str">
        <v>HADARENMAL</v>
      </c>
      <c r="C202" s="215" t="str">
        <v>Hamzah Al Makhadam</v>
      </c>
      <c r="D202" s="239">
        <v>6642.18</v>
      </c>
      <c r="E202" s="239">
        <v>10273.34</v>
      </c>
      <c r="F202" s="239">
        <v>8869.18</v>
      </c>
      <c r="G202" s="239">
        <v>5803.9299999999994</v>
      </c>
      <c r="H202" s="239">
        <v>3139.08</v>
      </c>
      <c r="I202" s="257">
        <v>34727.71</v>
      </c>
      <c r="J202" s="240">
        <v>130.23882352941177</v>
      </c>
      <c r="K202" s="240">
        <v>151.07852941176472</v>
      </c>
      <c r="L202" s="240">
        <v>145.39639344262295</v>
      </c>
      <c r="M202" s="240">
        <v>138.18880952380951</v>
      </c>
      <c r="N202" s="240">
        <v>156.95400000000001</v>
      </c>
      <c r="O202" s="258">
        <v>143.50293388429751</v>
      </c>
      <c r="P202" s="224">
        <v>0.2426144671301371</v>
      </c>
      <c r="Q202" s="224">
        <v>0.22817546074459186</v>
      </c>
      <c r="R202" s="224">
        <v>0.28968628027370863</v>
      </c>
      <c r="S202" s="224">
        <v>0.21859166366306645</v>
      </c>
      <c r="T202" s="224">
        <v>0.44462385695346229</v>
      </c>
      <c r="U202" s="259">
        <v>0.25417446696326462</v>
      </c>
      <c r="V202" s="239">
        <v>51</v>
      </c>
      <c r="W202" s="239">
        <v>68</v>
      </c>
      <c r="X202" s="239">
        <v>61</v>
      </c>
      <c r="Y202" s="239">
        <v>42</v>
      </c>
      <c r="Z202" s="239">
        <v>20</v>
      </c>
      <c r="AA202" s="257">
        <v>242</v>
      </c>
      <c r="AB202" s="224">
        <v>0.25888324873096447</v>
      </c>
      <c r="AC202" s="224">
        <v>0.24199288256227758</v>
      </c>
      <c r="AD202" s="224">
        <v>0.29901960784313725</v>
      </c>
      <c r="AE202" s="224">
        <v>0.23728813559322035</v>
      </c>
      <c r="AF202" s="224">
        <v>0.4</v>
      </c>
      <c r="AG202" s="259">
        <v>0.26622662266226621</v>
      </c>
      <c r="AH202" s="261">
        <v>2.6525198938992041E-3</v>
      </c>
      <c r="AI202" s="261">
        <v>2.520385470719051E-3</v>
      </c>
      <c r="AJ202" s="261">
        <v>2.8318091082122463E-3</v>
      </c>
      <c r="AK202" s="261">
        <v>2.2579431213375625E-3</v>
      </c>
      <c r="AL202" s="261">
        <v>4.1710114702815434E-3</v>
      </c>
      <c r="AM202" s="262">
        <v>2.6551391205125955E-3</v>
      </c>
    </row>
    <row r="203" spans="1:39" x14ac:dyDescent="0.25">
      <c r="A203" s="215" t="str">
        <v>5278-ZAlbasher</v>
      </c>
      <c r="B203" s="215" t="str">
        <v>HADARENMAL</v>
      </c>
      <c r="C203" s="215" t="str">
        <v>Hamzah Al Makhadam</v>
      </c>
      <c r="D203" s="239">
        <v>9759.18</v>
      </c>
      <c r="E203" s="239">
        <v>13839.230000000001</v>
      </c>
      <c r="F203" s="239">
        <v>8011.0700000000006</v>
      </c>
      <c r="G203" s="239">
        <v>1683.02</v>
      </c>
      <c r="H203" s="239">
        <v>1212.06</v>
      </c>
      <c r="I203" s="257">
        <v>34504.559999999998</v>
      </c>
      <c r="J203" s="240">
        <v>154.90761904761905</v>
      </c>
      <c r="K203" s="240">
        <v>170.8546913580247</v>
      </c>
      <c r="L203" s="240">
        <v>148.35314814814816</v>
      </c>
      <c r="M203" s="240">
        <v>129.46307692307693</v>
      </c>
      <c r="N203" s="240">
        <v>101.005</v>
      </c>
      <c r="O203" s="258">
        <v>154.72896860986546</v>
      </c>
      <c r="P203" s="224">
        <v>0.35646704174338717</v>
      </c>
      <c r="Q203" s="224">
        <v>0.30737546714120029</v>
      </c>
      <c r="R203" s="224">
        <v>0.2616585827903255</v>
      </c>
      <c r="S203" s="224">
        <v>6.3387074237320942E-2</v>
      </c>
      <c r="T203" s="224">
        <v>0.1716779413264439</v>
      </c>
      <c r="U203" s="259">
        <v>0.25254121696483817</v>
      </c>
      <c r="V203" s="239">
        <v>63</v>
      </c>
      <c r="W203" s="239">
        <v>81</v>
      </c>
      <c r="X203" s="239">
        <v>54</v>
      </c>
      <c r="Y203" s="239">
        <v>13</v>
      </c>
      <c r="Z203" s="239">
        <v>12</v>
      </c>
      <c r="AA203" s="257">
        <v>223</v>
      </c>
      <c r="AB203" s="224">
        <v>0.31979695431472083</v>
      </c>
      <c r="AC203" s="224">
        <v>0.28825622775800713</v>
      </c>
      <c r="AD203" s="224">
        <v>0.26470588235294118</v>
      </c>
      <c r="AE203" s="224">
        <v>7.3446327683615822E-2</v>
      </c>
      <c r="AF203" s="224">
        <v>0.24</v>
      </c>
      <c r="AG203" s="259">
        <v>0.24532453245324531</v>
      </c>
      <c r="AH203" s="261">
        <v>3.2766422218754878E-3</v>
      </c>
      <c r="AI203" s="261">
        <v>3.0022238695329873E-3</v>
      </c>
      <c r="AJ203" s="261">
        <v>2.5068474072698576E-3</v>
      </c>
      <c r="AK203" s="261">
        <v>6.9888715660448365E-4</v>
      </c>
      <c r="AL203" s="261">
        <v>2.5026068821689261E-3</v>
      </c>
      <c r="AM203" s="262">
        <v>2.4466777846045818E-3</v>
      </c>
    </row>
    <row r="204" spans="1:39" x14ac:dyDescent="0.25">
      <c r="A204" s="215" t="str">
        <v>5279-FMutawa</v>
      </c>
      <c r="B204" s="215" t="str">
        <v>HADARENMAL</v>
      </c>
      <c r="C204" s="215" t="str">
        <v>Hamzah Al Makhadam</v>
      </c>
      <c r="D204" s="239">
        <v>0</v>
      </c>
      <c r="E204" s="239">
        <v>0</v>
      </c>
      <c r="F204" s="239">
        <v>7285.09</v>
      </c>
      <c r="G204" s="239">
        <v>7458.7100000000009</v>
      </c>
      <c r="H204" s="239">
        <v>2211.98</v>
      </c>
      <c r="I204" s="257">
        <v>16955.780000000002</v>
      </c>
      <c r="J204" s="240" t="str">
        <v/>
      </c>
      <c r="K204" s="240" t="str">
        <v/>
      </c>
      <c r="L204" s="240">
        <v>151.77270833333333</v>
      </c>
      <c r="M204" s="240">
        <v>149.17420000000001</v>
      </c>
      <c r="N204" s="240">
        <v>147.46533333333335</v>
      </c>
      <c r="O204" s="258">
        <v>150.0511504424779</v>
      </c>
      <c r="P204" s="224">
        <v>0</v>
      </c>
      <c r="Q204" s="224">
        <v>0</v>
      </c>
      <c r="R204" s="224">
        <v>0.23794653209870495</v>
      </c>
      <c r="S204" s="224">
        <v>0.28091514330468337</v>
      </c>
      <c r="T204" s="224">
        <v>0.3133080644978527</v>
      </c>
      <c r="U204" s="259">
        <v>0.12410050485466458</v>
      </c>
      <c r="V204" s="239">
        <v>0</v>
      </c>
      <c r="W204" s="239">
        <v>0</v>
      </c>
      <c r="X204" s="239">
        <v>48</v>
      </c>
      <c r="Y204" s="239">
        <v>50</v>
      </c>
      <c r="Z204" s="239">
        <v>15</v>
      </c>
      <c r="AA204" s="257">
        <v>113</v>
      </c>
      <c r="AB204" s="224">
        <v>0</v>
      </c>
      <c r="AC204" s="224">
        <v>0</v>
      </c>
      <c r="AD204" s="224">
        <v>0.23529411764705882</v>
      </c>
      <c r="AE204" s="224">
        <v>0.2824858757062147</v>
      </c>
      <c r="AF204" s="224">
        <v>0.3</v>
      </c>
      <c r="AG204" s="259">
        <v>0.12431243124312431</v>
      </c>
      <c r="AH204" s="261">
        <v>0</v>
      </c>
      <c r="AI204" s="261">
        <v>0</v>
      </c>
      <c r="AJ204" s="261">
        <v>2.2283088064620955E-3</v>
      </c>
      <c r="AK204" s="261">
        <v>2.68802752540186E-3</v>
      </c>
      <c r="AL204" s="261">
        <v>3.1282586027111575E-3</v>
      </c>
      <c r="AM204" s="262">
        <v>1.2397963661897656E-3</v>
      </c>
    </row>
    <row r="205" spans="1:39" x14ac:dyDescent="0.25">
      <c r="A205" s="215" t="str">
        <v>7055-AAlessa</v>
      </c>
      <c r="B205" s="215" t="str">
        <v>HADARENMAL</v>
      </c>
      <c r="C205" s="215" t="str">
        <v>Hamzah Al Makhadam</v>
      </c>
      <c r="D205" s="239">
        <v>0</v>
      </c>
      <c r="E205" s="239">
        <v>3645.02</v>
      </c>
      <c r="F205" s="239">
        <v>0</v>
      </c>
      <c r="G205" s="239">
        <v>1719.04</v>
      </c>
      <c r="H205" s="239">
        <v>0</v>
      </c>
      <c r="I205" s="257">
        <v>5364.0599999999995</v>
      </c>
      <c r="J205" s="240" t="str">
        <v/>
      </c>
      <c r="K205" s="240">
        <v>140.19307692307692</v>
      </c>
      <c r="L205" s="240" t="str">
        <v/>
      </c>
      <c r="M205" s="240">
        <v>191.00444444444443</v>
      </c>
      <c r="N205" s="240" t="str">
        <v/>
      </c>
      <c r="O205" s="258">
        <v>153.25885714285712</v>
      </c>
      <c r="P205" s="224">
        <v>0</v>
      </c>
      <c r="Q205" s="224">
        <v>8.0957518968831188E-2</v>
      </c>
      <c r="R205" s="224">
        <v>0</v>
      </c>
      <c r="S205" s="224">
        <v>6.474368462461777E-2</v>
      </c>
      <c r="T205" s="224">
        <v>0</v>
      </c>
      <c r="U205" s="259">
        <v>3.9259919276536492E-2</v>
      </c>
      <c r="V205" s="239">
        <v>0</v>
      </c>
      <c r="W205" s="239">
        <v>26</v>
      </c>
      <c r="X205" s="239">
        <v>0</v>
      </c>
      <c r="Y205" s="239">
        <v>9</v>
      </c>
      <c r="Z205" s="239">
        <v>0</v>
      </c>
      <c r="AA205" s="257">
        <v>35</v>
      </c>
      <c r="AB205" s="224">
        <v>0</v>
      </c>
      <c r="AC205" s="224">
        <v>9.2526690391459068E-2</v>
      </c>
      <c r="AD205" s="224">
        <v>0</v>
      </c>
      <c r="AE205" s="224">
        <v>5.0847457627118647E-2</v>
      </c>
      <c r="AF205" s="224">
        <v>0</v>
      </c>
      <c r="AG205" s="259">
        <v>3.8503850385038507E-2</v>
      </c>
      <c r="AH205" s="261">
        <v>0</v>
      </c>
      <c r="AI205" s="261">
        <v>9.636767976278725E-4</v>
      </c>
      <c r="AJ205" s="261">
        <v>0</v>
      </c>
      <c r="AK205" s="261">
        <v>4.8384495457233484E-4</v>
      </c>
      <c r="AL205" s="261">
        <v>0</v>
      </c>
      <c r="AM205" s="262">
        <v>3.8400772404107786E-4</v>
      </c>
    </row>
    <row r="206" spans="1:39" x14ac:dyDescent="0.25">
      <c r="A206" s="215" t="str">
        <v>5304-AAlsabi</v>
      </c>
      <c r="B206" s="215" t="str">
        <v>HADARENMAL</v>
      </c>
      <c r="C206" s="215" t="str">
        <v>Hamzah Al Makhadam</v>
      </c>
      <c r="D206" s="239">
        <v>2073.02</v>
      </c>
      <c r="E206" s="239">
        <v>0</v>
      </c>
      <c r="F206" s="239">
        <v>0</v>
      </c>
      <c r="G206" s="239">
        <v>0</v>
      </c>
      <c r="H206" s="239">
        <v>0</v>
      </c>
      <c r="I206" s="257">
        <v>2073.02</v>
      </c>
      <c r="J206" s="240">
        <v>188.45636363636365</v>
      </c>
      <c r="K206" s="240" t="str">
        <v/>
      </c>
      <c r="L206" s="240" t="str">
        <v/>
      </c>
      <c r="M206" s="240" t="str">
        <v/>
      </c>
      <c r="N206" s="240" t="str">
        <v/>
      </c>
      <c r="O206" s="258">
        <v>188.45636363636365</v>
      </c>
      <c r="P206" s="224">
        <v>7.5719815279037428E-2</v>
      </c>
      <c r="Q206" s="224">
        <v>0</v>
      </c>
      <c r="R206" s="224">
        <v>0</v>
      </c>
      <c r="S206" s="224">
        <v>0</v>
      </c>
      <c r="T206" s="224">
        <v>0</v>
      </c>
      <c r="U206" s="259">
        <v>1.5172574105928286E-2</v>
      </c>
      <c r="V206" s="239">
        <v>11</v>
      </c>
      <c r="W206" s="239">
        <v>0</v>
      </c>
      <c r="X206" s="239">
        <v>0</v>
      </c>
      <c r="Y206" s="239">
        <v>0</v>
      </c>
      <c r="Z206" s="239">
        <v>0</v>
      </c>
      <c r="AA206" s="257">
        <v>11</v>
      </c>
      <c r="AB206" s="224">
        <v>5.5837563451776651E-2</v>
      </c>
      <c r="AC206" s="224">
        <v>0</v>
      </c>
      <c r="AD206" s="224">
        <v>0</v>
      </c>
      <c r="AE206" s="224">
        <v>0</v>
      </c>
      <c r="AF206" s="224">
        <v>0</v>
      </c>
      <c r="AG206" s="259">
        <v>1.2101210121012101E-2</v>
      </c>
      <c r="AH206" s="261">
        <v>5.7211213397825975E-4</v>
      </c>
      <c r="AI206" s="261">
        <v>0</v>
      </c>
      <c r="AJ206" s="261">
        <v>0</v>
      </c>
      <c r="AK206" s="261">
        <v>0</v>
      </c>
      <c r="AL206" s="261">
        <v>0</v>
      </c>
      <c r="AM206" s="262">
        <v>1.2068814184148161E-4</v>
      </c>
    </row>
    <row r="207" spans="1:39" x14ac:dyDescent="0.25">
      <c r="A207" s="215" t="str">
        <v>5024-QAlnaji</v>
      </c>
      <c r="B207" s="215" t="str">
        <v>HAJUBAILML</v>
      </c>
      <c r="C207" s="215" t="str">
        <v>Hamzah Al Makhadam</v>
      </c>
      <c r="D207" s="239">
        <v>9624.25</v>
      </c>
      <c r="E207" s="239">
        <v>14854.17</v>
      </c>
      <c r="F207" s="239">
        <v>11314.149999999998</v>
      </c>
      <c r="G207" s="239">
        <v>8597.83</v>
      </c>
      <c r="H207" s="239">
        <v>2949.11</v>
      </c>
      <c r="I207" s="257">
        <v>47339.509999999995</v>
      </c>
      <c r="J207" s="240">
        <v>113.22647058823529</v>
      </c>
      <c r="K207" s="240">
        <v>150.0421212121212</v>
      </c>
      <c r="L207" s="240">
        <v>133.10764705882352</v>
      </c>
      <c r="M207" s="240">
        <v>136.47349206349207</v>
      </c>
      <c r="N207" s="240">
        <v>155.2163157894737</v>
      </c>
      <c r="O207" s="258">
        <v>134.87039886039884</v>
      </c>
      <c r="P207" s="224">
        <v>0.81442245120912016</v>
      </c>
      <c r="Q207" s="224">
        <v>0.61235648188036718</v>
      </c>
      <c r="R207" s="224">
        <v>0.61325466750861135</v>
      </c>
      <c r="S207" s="224">
        <v>0.556034268116256</v>
      </c>
      <c r="T207" s="224">
        <v>0.67949494833127899</v>
      </c>
      <c r="U207" s="259">
        <v>0.63690926021026295</v>
      </c>
      <c r="V207" s="239">
        <v>85</v>
      </c>
      <c r="W207" s="239">
        <v>99</v>
      </c>
      <c r="X207" s="239">
        <v>85</v>
      </c>
      <c r="Y207" s="239">
        <v>63</v>
      </c>
      <c r="Z207" s="239">
        <v>19</v>
      </c>
      <c r="AA207" s="257">
        <v>351</v>
      </c>
      <c r="AB207" s="224">
        <v>0.80188679245283023</v>
      </c>
      <c r="AC207" s="224">
        <v>0.61111111111111116</v>
      </c>
      <c r="AD207" s="224">
        <v>0.625</v>
      </c>
      <c r="AE207" s="224">
        <v>0.57272727272727275</v>
      </c>
      <c r="AF207" s="224">
        <v>0.70370370370370372</v>
      </c>
      <c r="AG207" s="259">
        <v>0.6487985212569316</v>
      </c>
      <c r="AH207" s="261">
        <v>4.4208664898320073E-3</v>
      </c>
      <c r="AI207" s="261">
        <v>3.6693847294292066E-3</v>
      </c>
      <c r="AJ207" s="261">
        <v>3.9459635114432942E-3</v>
      </c>
      <c r="AK207" s="261">
        <v>3.3869146820063437E-3</v>
      </c>
      <c r="AL207" s="261">
        <v>3.962460896767466E-3</v>
      </c>
      <c r="AM207" s="262">
        <v>3.851048889669095E-3</v>
      </c>
    </row>
    <row r="208" spans="1:39" x14ac:dyDescent="0.25">
      <c r="A208" s="215" t="str">
        <v>5221-DHanan</v>
      </c>
      <c r="B208" s="215" t="str">
        <v>HAJUBAILML</v>
      </c>
      <c r="C208" s="215" t="str">
        <v>Hamzah Al Makhadam</v>
      </c>
      <c r="D208" s="239">
        <v>2193.02</v>
      </c>
      <c r="E208" s="239">
        <v>5426.11</v>
      </c>
      <c r="F208" s="239">
        <v>3215.0999999999995</v>
      </c>
      <c r="G208" s="239">
        <v>4255.8599999999997</v>
      </c>
      <c r="H208" s="239">
        <v>1090.06</v>
      </c>
      <c r="I208" s="257">
        <v>16180.15</v>
      </c>
      <c r="J208" s="240">
        <v>104.42952380952381</v>
      </c>
      <c r="K208" s="240">
        <v>146.65162162162162</v>
      </c>
      <c r="L208" s="240">
        <v>133.96249999999998</v>
      </c>
      <c r="M208" s="240">
        <v>146.75379310344826</v>
      </c>
      <c r="N208" s="240">
        <v>218.012</v>
      </c>
      <c r="O208" s="258">
        <v>139.48405172413794</v>
      </c>
      <c r="P208" s="224">
        <v>0.18557754879087979</v>
      </c>
      <c r="Q208" s="224">
        <v>0.2236889459253448</v>
      </c>
      <c r="R208" s="224">
        <v>0.17426630206484237</v>
      </c>
      <c r="S208" s="224">
        <v>0.275232704101529</v>
      </c>
      <c r="T208" s="224">
        <v>0.25115721806849994</v>
      </c>
      <c r="U208" s="259">
        <v>0.21768893185821075</v>
      </c>
      <c r="V208" s="239">
        <v>21</v>
      </c>
      <c r="W208" s="239">
        <v>37</v>
      </c>
      <c r="X208" s="239">
        <v>24</v>
      </c>
      <c r="Y208" s="239">
        <v>29</v>
      </c>
      <c r="Z208" s="239">
        <v>5</v>
      </c>
      <c r="AA208" s="257">
        <v>116</v>
      </c>
      <c r="AB208" s="224">
        <v>0.19811320754716982</v>
      </c>
      <c r="AC208" s="224">
        <v>0.22839506172839505</v>
      </c>
      <c r="AD208" s="224">
        <v>0.17647058823529413</v>
      </c>
      <c r="AE208" s="224">
        <v>0.26363636363636361</v>
      </c>
      <c r="AF208" s="224">
        <v>0.18518518518518517</v>
      </c>
      <c r="AG208" s="259">
        <v>0.2144177449168207</v>
      </c>
      <c r="AH208" s="261">
        <v>1.0922140739584958E-3</v>
      </c>
      <c r="AI208" s="261">
        <v>1.3713862120088955E-3</v>
      </c>
      <c r="AJ208" s="261">
        <v>1.1141544032310477E-3</v>
      </c>
      <c r="AK208" s="261">
        <v>1.559055964733079E-3</v>
      </c>
      <c r="AL208" s="261">
        <v>1.0427528675703858E-3</v>
      </c>
      <c r="AM208" s="262">
        <v>1.2727113139647153E-3</v>
      </c>
    </row>
    <row r="209" spans="1:39" x14ac:dyDescent="0.25">
      <c r="A209" s="215" t="str">
        <v>4326-BAlKhaldi</v>
      </c>
      <c r="B209" s="215" t="str">
        <v>HAJUBAILML</v>
      </c>
      <c r="C209" s="215" t="str">
        <v>Hamzah Al Makhadam</v>
      </c>
      <c r="D209" s="239">
        <v>0</v>
      </c>
      <c r="E209" s="239">
        <v>3977.1099999999997</v>
      </c>
      <c r="F209" s="239">
        <v>3920.1</v>
      </c>
      <c r="G209" s="239">
        <v>2609.08</v>
      </c>
      <c r="H209" s="239">
        <v>300.98</v>
      </c>
      <c r="I209" s="257">
        <v>10807.269999999999</v>
      </c>
      <c r="J209" s="240" t="str">
        <v/>
      </c>
      <c r="K209" s="240">
        <v>152.96576923076921</v>
      </c>
      <c r="L209" s="240">
        <v>145.1888888888889</v>
      </c>
      <c r="M209" s="240">
        <v>144.94888888888889</v>
      </c>
      <c r="N209" s="240">
        <v>100.32666666666667</v>
      </c>
      <c r="O209" s="258">
        <v>146.04418918918918</v>
      </c>
      <c r="P209" s="224">
        <v>0</v>
      </c>
      <c r="Q209" s="224">
        <v>0.163954572194288</v>
      </c>
      <c r="R209" s="224">
        <v>0.2124790304265462</v>
      </c>
      <c r="S209" s="224">
        <v>0.16873302778221494</v>
      </c>
      <c r="T209" s="224">
        <v>6.9347833600221204E-2</v>
      </c>
      <c r="U209" s="259">
        <v>0.14540180793152629</v>
      </c>
      <c r="V209" s="239">
        <v>0</v>
      </c>
      <c r="W209" s="239">
        <v>26</v>
      </c>
      <c r="X209" s="239">
        <v>27</v>
      </c>
      <c r="Y209" s="239">
        <v>18</v>
      </c>
      <c r="Z209" s="239">
        <v>3</v>
      </c>
      <c r="AA209" s="257">
        <v>74</v>
      </c>
      <c r="AB209" s="224">
        <v>0</v>
      </c>
      <c r="AC209" s="224">
        <v>0.16049382716049382</v>
      </c>
      <c r="AD209" s="224">
        <v>0.19852941176470587</v>
      </c>
      <c r="AE209" s="224">
        <v>0.16363636363636364</v>
      </c>
      <c r="AF209" s="224">
        <v>0.1111111111111111</v>
      </c>
      <c r="AG209" s="259">
        <v>0.1367837338262477</v>
      </c>
      <c r="AH209" s="261">
        <v>0</v>
      </c>
      <c r="AI209" s="261">
        <v>9.636767976278725E-4</v>
      </c>
      <c r="AJ209" s="261">
        <v>1.2534237036349288E-3</v>
      </c>
      <c r="AK209" s="261">
        <v>9.6768990914466969E-4</v>
      </c>
      <c r="AL209" s="261">
        <v>6.2565172054223153E-4</v>
      </c>
      <c r="AM209" s="262">
        <v>8.1190204511542179E-4</v>
      </c>
    </row>
    <row r="210" spans="1:39" x14ac:dyDescent="0.25">
      <c r="A210" s="215" t="str">
        <v>4127-FBoSorror</v>
      </c>
      <c r="B210" s="215" t="str">
        <v>HAOTHASS</v>
      </c>
      <c r="C210" s="215" t="str">
        <v>Hamzah Al Makhadam</v>
      </c>
      <c r="D210" s="239">
        <v>14220.19</v>
      </c>
      <c r="E210" s="239">
        <v>17808.16</v>
      </c>
      <c r="F210" s="239">
        <v>9990.15</v>
      </c>
      <c r="G210" s="239">
        <v>6796.9500000000007</v>
      </c>
      <c r="H210" s="239">
        <v>0</v>
      </c>
      <c r="I210" s="257">
        <v>48815.45</v>
      </c>
      <c r="J210" s="240">
        <v>284.40379999999999</v>
      </c>
      <c r="K210" s="240">
        <v>178.08160000000001</v>
      </c>
      <c r="L210" s="240">
        <v>185.00277777777777</v>
      </c>
      <c r="M210" s="240">
        <v>212.40468750000002</v>
      </c>
      <c r="N210" s="240" t="str">
        <v/>
      </c>
      <c r="O210" s="258">
        <v>206.84512711864406</v>
      </c>
      <c r="P210" s="224">
        <v>0.31290486476947338</v>
      </c>
      <c r="Q210" s="224">
        <v>0.3458122105878017</v>
      </c>
      <c r="R210" s="224">
        <v>0.26455220511147431</v>
      </c>
      <c r="S210" s="224">
        <v>0.19939228469097783</v>
      </c>
      <c r="T210" s="224">
        <v>0</v>
      </c>
      <c r="U210" s="259">
        <v>0.27341733625244646</v>
      </c>
      <c r="V210" s="239">
        <v>50</v>
      </c>
      <c r="W210" s="239">
        <v>100</v>
      </c>
      <c r="X210" s="239">
        <v>54</v>
      </c>
      <c r="Y210" s="239">
        <v>32</v>
      </c>
      <c r="Z210" s="239">
        <v>0</v>
      </c>
      <c r="AA210" s="257">
        <v>236</v>
      </c>
      <c r="AB210" s="224">
        <v>0.22222222222222221</v>
      </c>
      <c r="AC210" s="224">
        <v>0.35587188612099646</v>
      </c>
      <c r="AD210" s="224">
        <v>0.27272727272727271</v>
      </c>
      <c r="AE210" s="224">
        <v>0.18181818181818182</v>
      </c>
      <c r="AF210" s="224">
        <v>0</v>
      </c>
      <c r="AG210" s="259">
        <v>0.25820568927789933</v>
      </c>
      <c r="AH210" s="261">
        <v>2.6005096999011808E-3</v>
      </c>
      <c r="AI210" s="261">
        <v>3.7064492216456633E-3</v>
      </c>
      <c r="AJ210" s="261">
        <v>2.5068474072698576E-3</v>
      </c>
      <c r="AK210" s="261">
        <v>1.7203376162571904E-3</v>
      </c>
      <c r="AL210" s="261">
        <v>0</v>
      </c>
      <c r="AM210" s="262">
        <v>2.5893092249626962E-3</v>
      </c>
    </row>
    <row r="211" spans="1:39" x14ac:dyDescent="0.25">
      <c r="A211" s="215" t="str">
        <v>4118-ZAlkhlef</v>
      </c>
      <c r="B211" s="215" t="str">
        <v>HAOTHASS</v>
      </c>
      <c r="C211" s="215" t="str">
        <v>Hamzah Al Makhadam</v>
      </c>
      <c r="D211" s="239">
        <v>10351.220000000001</v>
      </c>
      <c r="E211" s="239">
        <v>15875.18</v>
      </c>
      <c r="F211" s="239">
        <v>7126.09</v>
      </c>
      <c r="G211" s="239">
        <v>6725.9500000000007</v>
      </c>
      <c r="H211" s="239">
        <v>3259.89</v>
      </c>
      <c r="I211" s="257">
        <v>43338.33</v>
      </c>
      <c r="J211" s="240">
        <v>191.68925925925927</v>
      </c>
      <c r="K211" s="240">
        <v>191.26722891566266</v>
      </c>
      <c r="L211" s="240">
        <v>158.35755555555556</v>
      </c>
      <c r="M211" s="240">
        <v>149.46555555555557</v>
      </c>
      <c r="N211" s="240">
        <v>362.21</v>
      </c>
      <c r="O211" s="258">
        <v>183.63699152542372</v>
      </c>
      <c r="P211" s="224">
        <v>0.2277710139104378</v>
      </c>
      <c r="Q211" s="224">
        <v>0.30827615482336512</v>
      </c>
      <c r="R211" s="224">
        <v>0.18870815986975434</v>
      </c>
      <c r="S211" s="224">
        <v>0.19730946045171471</v>
      </c>
      <c r="T211" s="224">
        <v>0.33451683774462371</v>
      </c>
      <c r="U211" s="259">
        <v>0.24273976264132541</v>
      </c>
      <c r="V211" s="239">
        <v>54</v>
      </c>
      <c r="W211" s="239">
        <v>83</v>
      </c>
      <c r="X211" s="239">
        <v>45</v>
      </c>
      <c r="Y211" s="239">
        <v>45</v>
      </c>
      <c r="Z211" s="239">
        <v>9</v>
      </c>
      <c r="AA211" s="257">
        <v>236</v>
      </c>
      <c r="AB211" s="224">
        <v>0.24</v>
      </c>
      <c r="AC211" s="224">
        <v>0.29537366548042704</v>
      </c>
      <c r="AD211" s="224">
        <v>0.22727272727272727</v>
      </c>
      <c r="AE211" s="224">
        <v>0.25568181818181818</v>
      </c>
      <c r="AF211" s="224">
        <v>0.26470588235294118</v>
      </c>
      <c r="AG211" s="259">
        <v>0.25820568927789933</v>
      </c>
      <c r="AH211" s="261">
        <v>2.8085504758932752E-3</v>
      </c>
      <c r="AI211" s="261">
        <v>3.0763528539659007E-3</v>
      </c>
      <c r="AJ211" s="261">
        <v>2.0890395060582144E-3</v>
      </c>
      <c r="AK211" s="261">
        <v>2.4192247728616742E-3</v>
      </c>
      <c r="AL211" s="261">
        <v>1.8769551616266945E-3</v>
      </c>
      <c r="AM211" s="262">
        <v>2.5893092249626962E-3</v>
      </c>
    </row>
    <row r="212" spans="1:39" x14ac:dyDescent="0.25">
      <c r="A212" s="215" t="str">
        <v>5122-AAlhmmadi</v>
      </c>
      <c r="B212" s="215" t="str">
        <v>HAOTHASS</v>
      </c>
      <c r="C212" s="215" t="str">
        <v>Hamzah Al Makhadam</v>
      </c>
      <c r="D212" s="239">
        <v>6874.0400000000009</v>
      </c>
      <c r="E212" s="239">
        <v>10037.220000000001</v>
      </c>
      <c r="F212" s="239">
        <v>4011</v>
      </c>
      <c r="G212" s="239">
        <v>3650.96</v>
      </c>
      <c r="H212" s="239">
        <v>2185.11</v>
      </c>
      <c r="I212" s="257">
        <v>26758.33</v>
      </c>
      <c r="J212" s="240">
        <v>167.65951219512198</v>
      </c>
      <c r="K212" s="240">
        <v>185.87444444444446</v>
      </c>
      <c r="L212" s="240">
        <v>167.125</v>
      </c>
      <c r="M212" s="240">
        <v>130.39142857142858</v>
      </c>
      <c r="N212" s="240">
        <v>273.13875000000002</v>
      </c>
      <c r="O212" s="258">
        <v>172.63438709677419</v>
      </c>
      <c r="P212" s="224">
        <v>0.15125821501822065</v>
      </c>
      <c r="Q212" s="224">
        <v>0.19491026789719407</v>
      </c>
      <c r="R212" s="224">
        <v>0.10621651273525659</v>
      </c>
      <c r="S212" s="224">
        <v>0.10710292936028253</v>
      </c>
      <c r="T212" s="224">
        <v>0.22422722463768863</v>
      </c>
      <c r="U212" s="259">
        <v>0.14987450307564359</v>
      </c>
      <c r="V212" s="239">
        <v>41</v>
      </c>
      <c r="W212" s="239">
        <v>54</v>
      </c>
      <c r="X212" s="239">
        <v>24</v>
      </c>
      <c r="Y212" s="239">
        <v>28</v>
      </c>
      <c r="Z212" s="239">
        <v>8</v>
      </c>
      <c r="AA212" s="257">
        <v>155</v>
      </c>
      <c r="AB212" s="224">
        <v>0.18222222222222223</v>
      </c>
      <c r="AC212" s="224">
        <v>0.19217081850533807</v>
      </c>
      <c r="AD212" s="224">
        <v>0.12121212121212122</v>
      </c>
      <c r="AE212" s="224">
        <v>0.15909090909090909</v>
      </c>
      <c r="AF212" s="224">
        <v>0.23529411764705882</v>
      </c>
      <c r="AG212" s="259">
        <v>0.16958424507658643</v>
      </c>
      <c r="AH212" s="261">
        <v>2.1324179539189683E-3</v>
      </c>
      <c r="AI212" s="261">
        <v>2.0014825796886584E-3</v>
      </c>
      <c r="AJ212" s="261">
        <v>1.1141544032310477E-3</v>
      </c>
      <c r="AK212" s="261">
        <v>1.5052954142250417E-3</v>
      </c>
      <c r="AL212" s="261">
        <v>1.6684045881126173E-3</v>
      </c>
      <c r="AM212" s="262">
        <v>1.7006056350390591E-3</v>
      </c>
    </row>
    <row r="213" spans="1:39" x14ac:dyDescent="0.25">
      <c r="A213" s="215" t="str">
        <v>4114-SAlaboud</v>
      </c>
      <c r="B213" s="215" t="str">
        <v>HAOTHASS</v>
      </c>
      <c r="C213" s="215" t="str">
        <v>Hamzah Al Makhadam</v>
      </c>
      <c r="D213" s="239">
        <v>117.01</v>
      </c>
      <c r="E213" s="239">
        <v>2892.02</v>
      </c>
      <c r="F213" s="239">
        <v>11453.240000000002</v>
      </c>
      <c r="G213" s="239">
        <v>8214.82</v>
      </c>
      <c r="H213" s="239">
        <v>2072.1099999999997</v>
      </c>
      <c r="I213" s="257">
        <v>24749.200000000004</v>
      </c>
      <c r="J213" s="240">
        <v>117.01</v>
      </c>
      <c r="K213" s="240">
        <v>160.66777777777779</v>
      </c>
      <c r="L213" s="240">
        <v>229.06480000000002</v>
      </c>
      <c r="M213" s="240">
        <v>182.55155555555555</v>
      </c>
      <c r="N213" s="240">
        <v>230.23444444444442</v>
      </c>
      <c r="O213" s="258">
        <v>201.21300813008133</v>
      </c>
      <c r="P213" s="224">
        <v>2.5747193410690069E-3</v>
      </c>
      <c r="Q213" s="224">
        <v>5.6159413957653927E-2</v>
      </c>
      <c r="R213" s="224">
        <v>0.30329673705309157</v>
      </c>
      <c r="S213" s="224">
        <v>0.2409862847490622</v>
      </c>
      <c r="T213" s="224">
        <v>0.21263161783342754</v>
      </c>
      <c r="U213" s="259">
        <v>0.13862128359728423</v>
      </c>
      <c r="V213" s="239">
        <v>1</v>
      </c>
      <c r="W213" s="239">
        <v>18</v>
      </c>
      <c r="X213" s="239">
        <v>50</v>
      </c>
      <c r="Y213" s="239">
        <v>45</v>
      </c>
      <c r="Z213" s="239">
        <v>9</v>
      </c>
      <c r="AA213" s="257">
        <v>123</v>
      </c>
      <c r="AB213" s="224">
        <v>4.4444444444444444E-3</v>
      </c>
      <c r="AC213" s="224">
        <v>6.4056939501779361E-2</v>
      </c>
      <c r="AD213" s="224">
        <v>0.25252525252525254</v>
      </c>
      <c r="AE213" s="224">
        <v>0.25568181818181818</v>
      </c>
      <c r="AF213" s="224">
        <v>0.26470588235294118</v>
      </c>
      <c r="AG213" s="259">
        <v>0.13457330415754923</v>
      </c>
      <c r="AH213" s="261">
        <v>5.201019399802361E-5</v>
      </c>
      <c r="AI213" s="261">
        <v>6.6716085989621942E-4</v>
      </c>
      <c r="AJ213" s="261">
        <v>2.3211550067313495E-3</v>
      </c>
      <c r="AK213" s="261">
        <v>2.4192247728616742E-3</v>
      </c>
      <c r="AL213" s="261">
        <v>1.8769551616266945E-3</v>
      </c>
      <c r="AM213" s="262">
        <v>1.3495128587729308E-3</v>
      </c>
    </row>
    <row r="214" spans="1:39" x14ac:dyDescent="0.25">
      <c r="A214" s="215" t="str">
        <v>4108-SBusaleh</v>
      </c>
      <c r="B214" s="215" t="str">
        <v>HAOTHASS</v>
      </c>
      <c r="C214" s="215" t="str">
        <v>Hamzah Al Makhadam</v>
      </c>
      <c r="D214" s="239">
        <v>13733.27</v>
      </c>
      <c r="E214" s="239">
        <v>4884.04</v>
      </c>
      <c r="F214" s="239">
        <v>0</v>
      </c>
      <c r="G214" s="239">
        <v>0</v>
      </c>
      <c r="H214" s="239">
        <v>0</v>
      </c>
      <c r="I214" s="257">
        <v>18617.310000000001</v>
      </c>
      <c r="J214" s="240">
        <v>176.06756410256412</v>
      </c>
      <c r="K214" s="240">
        <v>187.84769230769231</v>
      </c>
      <c r="L214" s="240" t="str">
        <v/>
      </c>
      <c r="M214" s="240" t="str">
        <v/>
      </c>
      <c r="N214" s="240" t="str">
        <v/>
      </c>
      <c r="O214" s="258">
        <v>179.01259615384618</v>
      </c>
      <c r="P214" s="224">
        <v>0.30219054683465307</v>
      </c>
      <c r="Q214" s="224">
        <v>9.4841952733985269E-2</v>
      </c>
      <c r="R214" s="224">
        <v>0</v>
      </c>
      <c r="S214" s="224">
        <v>0</v>
      </c>
      <c r="T214" s="224">
        <v>0</v>
      </c>
      <c r="U214" s="259">
        <v>0.10427631637905692</v>
      </c>
      <c r="V214" s="239">
        <v>78</v>
      </c>
      <c r="W214" s="239">
        <v>26</v>
      </c>
      <c r="X214" s="239">
        <v>0</v>
      </c>
      <c r="Y214" s="239">
        <v>0</v>
      </c>
      <c r="Z214" s="239">
        <v>0</v>
      </c>
      <c r="AA214" s="257">
        <v>104</v>
      </c>
      <c r="AB214" s="224">
        <v>0.34666666666666668</v>
      </c>
      <c r="AC214" s="224">
        <v>9.2526690391459068E-2</v>
      </c>
      <c r="AD214" s="224">
        <v>0</v>
      </c>
      <c r="AE214" s="224">
        <v>0</v>
      </c>
      <c r="AF214" s="224">
        <v>0</v>
      </c>
      <c r="AG214" s="259">
        <v>0.1137855579868709</v>
      </c>
      <c r="AH214" s="261">
        <v>4.0567951318458417E-3</v>
      </c>
      <c r="AI214" s="261">
        <v>9.636767976278725E-4</v>
      </c>
      <c r="AJ214" s="261">
        <v>0</v>
      </c>
      <c r="AK214" s="261">
        <v>0</v>
      </c>
      <c r="AL214" s="261">
        <v>0</v>
      </c>
      <c r="AM214" s="262">
        <v>1.1410515228649171E-3</v>
      </c>
    </row>
    <row r="215" spans="1:39" x14ac:dyDescent="0.25">
      <c r="A215" s="215" t="str">
        <v>5123-ZAli</v>
      </c>
      <c r="B215" s="215" t="str">
        <v>HAOTHASS</v>
      </c>
      <c r="C215" s="215" t="str">
        <v>Hamzah Al Makhadam</v>
      </c>
      <c r="D215" s="239">
        <v>0</v>
      </c>
      <c r="E215" s="239">
        <v>0</v>
      </c>
      <c r="F215" s="239">
        <v>5182.01</v>
      </c>
      <c r="G215" s="239">
        <v>8699.65</v>
      </c>
      <c r="H215" s="239">
        <v>2227.96</v>
      </c>
      <c r="I215" s="257">
        <v>16109.619999999999</v>
      </c>
      <c r="J215" s="240" t="str">
        <v/>
      </c>
      <c r="K215" s="240" t="str">
        <v/>
      </c>
      <c r="L215" s="240">
        <v>207.28040000000001</v>
      </c>
      <c r="M215" s="240">
        <v>334.60192307692307</v>
      </c>
      <c r="N215" s="240">
        <v>278.495</v>
      </c>
      <c r="O215" s="258">
        <v>273.04440677966102</v>
      </c>
      <c r="P215" s="224">
        <v>0</v>
      </c>
      <c r="Q215" s="224">
        <v>0</v>
      </c>
      <c r="R215" s="224">
        <v>0.13722638523042308</v>
      </c>
      <c r="S215" s="224">
        <v>0.25520904074796269</v>
      </c>
      <c r="T215" s="224">
        <v>0.22862431978426015</v>
      </c>
      <c r="U215" s="259">
        <v>9.0230641906182088E-2</v>
      </c>
      <c r="V215" s="239">
        <v>0</v>
      </c>
      <c r="W215" s="239">
        <v>0</v>
      </c>
      <c r="X215" s="239">
        <v>25</v>
      </c>
      <c r="Y215" s="239">
        <v>26</v>
      </c>
      <c r="Z215" s="239">
        <v>8</v>
      </c>
      <c r="AA215" s="257">
        <v>59</v>
      </c>
      <c r="AB215" s="224">
        <v>0</v>
      </c>
      <c r="AC215" s="224">
        <v>0</v>
      </c>
      <c r="AD215" s="224">
        <v>0.12626262626262627</v>
      </c>
      <c r="AE215" s="224">
        <v>0.14772727272727273</v>
      </c>
      <c r="AF215" s="224">
        <v>0.23529411764705882</v>
      </c>
      <c r="AG215" s="259">
        <v>6.4551422319474833E-2</v>
      </c>
      <c r="AH215" s="261">
        <v>0</v>
      </c>
      <c r="AI215" s="261">
        <v>0</v>
      </c>
      <c r="AJ215" s="261">
        <v>1.1605775033656748E-3</v>
      </c>
      <c r="AK215" s="261">
        <v>1.3977743132089673E-3</v>
      </c>
      <c r="AL215" s="261">
        <v>1.6684045881126173E-3</v>
      </c>
      <c r="AM215" s="262">
        <v>6.4732730624067405E-4</v>
      </c>
    </row>
    <row r="216" spans="1:39" x14ac:dyDescent="0.25">
      <c r="A216" s="215" t="str">
        <v>4103-ZAlHadhari</v>
      </c>
      <c r="B216" s="215" t="str">
        <v>HAOTHASS</v>
      </c>
      <c r="C216" s="215" t="str">
        <v>Hamzah Al Makhadam</v>
      </c>
      <c r="D216" s="239">
        <v>150</v>
      </c>
      <c r="E216" s="239">
        <v>0</v>
      </c>
      <c r="F216" s="239">
        <v>0</v>
      </c>
      <c r="G216" s="239">
        <v>0</v>
      </c>
      <c r="H216" s="239">
        <v>0</v>
      </c>
      <c r="I216" s="257">
        <v>150</v>
      </c>
      <c r="J216" s="240">
        <v>150</v>
      </c>
      <c r="K216" s="240" t="str">
        <v/>
      </c>
      <c r="L216" s="240" t="str">
        <v/>
      </c>
      <c r="M216" s="240" t="str">
        <v/>
      </c>
      <c r="N216" s="240" t="str">
        <v/>
      </c>
      <c r="O216" s="258">
        <v>150</v>
      </c>
      <c r="P216" s="224">
        <v>3.3006401261460646E-3</v>
      </c>
      <c r="Q216" s="224">
        <v>0</v>
      </c>
      <c r="R216" s="224">
        <v>0</v>
      </c>
      <c r="S216" s="224">
        <v>0</v>
      </c>
      <c r="T216" s="224">
        <v>0</v>
      </c>
      <c r="U216" s="259">
        <v>8.4015614806105376E-4</v>
      </c>
      <c r="V216" s="239">
        <v>1</v>
      </c>
      <c r="W216" s="239">
        <v>0</v>
      </c>
      <c r="X216" s="239">
        <v>0</v>
      </c>
      <c r="Y216" s="239">
        <v>0</v>
      </c>
      <c r="Z216" s="239">
        <v>0</v>
      </c>
      <c r="AA216" s="257">
        <v>1</v>
      </c>
      <c r="AB216" s="224">
        <v>4.4444444444444444E-3</v>
      </c>
      <c r="AC216" s="224">
        <v>0</v>
      </c>
      <c r="AD216" s="224">
        <v>0</v>
      </c>
      <c r="AE216" s="224">
        <v>0</v>
      </c>
      <c r="AF216" s="224">
        <v>0</v>
      </c>
      <c r="AG216" s="259">
        <v>1.0940919037199124E-3</v>
      </c>
      <c r="AH216" s="261">
        <v>5.201019399802361E-5</v>
      </c>
      <c r="AI216" s="261">
        <v>0</v>
      </c>
      <c r="AJ216" s="261">
        <v>0</v>
      </c>
      <c r="AK216" s="261">
        <v>0</v>
      </c>
      <c r="AL216" s="261">
        <v>0</v>
      </c>
      <c r="AM216" s="262">
        <v>1.097164925831651E-5</v>
      </c>
    </row>
    <row r="217" spans="1:39" x14ac:dyDescent="0.25">
      <c r="A217" s="215" t="str">
        <v>5223-ZAlMusa</v>
      </c>
      <c r="B217" s="215" t="str">
        <v>HAOTHDMM</v>
      </c>
      <c r="C217" s="215" t="str">
        <v>Hamzah Al Makhadam</v>
      </c>
      <c r="D217" s="239">
        <v>13057.3</v>
      </c>
      <c r="E217" s="239">
        <v>4791.07</v>
      </c>
      <c r="F217" s="239">
        <v>12983.2</v>
      </c>
      <c r="G217" s="239">
        <v>11725.769999999999</v>
      </c>
      <c r="H217" s="239">
        <v>4585.1000000000004</v>
      </c>
      <c r="I217" s="257">
        <v>47142.439999999995</v>
      </c>
      <c r="J217" s="240">
        <v>189.23623188405796</v>
      </c>
      <c r="K217" s="240">
        <v>159.70233333333331</v>
      </c>
      <c r="L217" s="240">
        <v>150.96744186046513</v>
      </c>
      <c r="M217" s="240">
        <v>195.42949999999999</v>
      </c>
      <c r="N217" s="240">
        <v>158.10689655172416</v>
      </c>
      <c r="O217" s="258">
        <v>172.05270072992698</v>
      </c>
      <c r="P217" s="224">
        <v>0.46814654510983278</v>
      </c>
      <c r="Q217" s="224">
        <v>0.12404157856460281</v>
      </c>
      <c r="R217" s="224">
        <v>0.39683915134031639</v>
      </c>
      <c r="S217" s="224">
        <v>0.38791742218755176</v>
      </c>
      <c r="T217" s="224">
        <v>0.70701634814360215</v>
      </c>
      <c r="U217" s="259">
        <v>0.34677493566348533</v>
      </c>
      <c r="V217" s="239">
        <v>69</v>
      </c>
      <c r="W217" s="239">
        <v>30</v>
      </c>
      <c r="X217" s="239">
        <v>86</v>
      </c>
      <c r="Y217" s="239">
        <v>60</v>
      </c>
      <c r="Z217" s="239">
        <v>29</v>
      </c>
      <c r="AA217" s="257">
        <v>274</v>
      </c>
      <c r="AB217" s="224">
        <v>0.42592592592592593</v>
      </c>
      <c r="AC217" s="224">
        <v>0.13157894736842105</v>
      </c>
      <c r="AD217" s="224">
        <v>0.40566037735849059</v>
      </c>
      <c r="AE217" s="224">
        <v>0.35502958579881655</v>
      </c>
      <c r="AF217" s="224">
        <v>0.65909090909090906</v>
      </c>
      <c r="AG217" s="259">
        <v>0.33619631901840491</v>
      </c>
      <c r="AH217" s="261">
        <v>3.5887033858636292E-3</v>
      </c>
      <c r="AI217" s="261">
        <v>1.111934766493699E-3</v>
      </c>
      <c r="AJ217" s="261">
        <v>3.9923866115779208E-3</v>
      </c>
      <c r="AK217" s="261">
        <v>3.2256330304822321E-3</v>
      </c>
      <c r="AL217" s="261">
        <v>6.0479666319082376E-3</v>
      </c>
      <c r="AM217" s="262">
        <v>3.0062318967787236E-3</v>
      </c>
    </row>
    <row r="218" spans="1:39" x14ac:dyDescent="0.25">
      <c r="A218" s="215" t="str">
        <v>5222-DAlAmeeri</v>
      </c>
      <c r="B218" s="215" t="str">
        <v>HAOTHDMM</v>
      </c>
      <c r="C218" s="215" t="str">
        <v>Hamzah Al Makhadam</v>
      </c>
      <c r="D218" s="239">
        <v>4985.08</v>
      </c>
      <c r="E218" s="239">
        <v>13354.3</v>
      </c>
      <c r="F218" s="239">
        <v>7215.1799999999994</v>
      </c>
      <c r="G218" s="239">
        <v>7182.87</v>
      </c>
      <c r="H218" s="239">
        <v>447.01</v>
      </c>
      <c r="I218" s="257">
        <v>33184.439999999995</v>
      </c>
      <c r="J218" s="240">
        <v>155.78375</v>
      </c>
      <c r="K218" s="240">
        <v>199.31791044776119</v>
      </c>
      <c r="L218" s="240">
        <v>206.148</v>
      </c>
      <c r="M218" s="240">
        <v>171.02071428571429</v>
      </c>
      <c r="N218" s="240">
        <v>149.00333333333333</v>
      </c>
      <c r="O218" s="258">
        <v>185.38793296089383</v>
      </c>
      <c r="P218" s="224">
        <v>0.17873128281468031</v>
      </c>
      <c r="Q218" s="224">
        <v>0.34574499070672632</v>
      </c>
      <c r="R218" s="224">
        <v>0.22053622434897588</v>
      </c>
      <c r="S218" s="224">
        <v>0.23762707389862672</v>
      </c>
      <c r="T218" s="224">
        <v>6.8928350043329825E-2</v>
      </c>
      <c r="U218" s="259">
        <v>0.24410132453960356</v>
      </c>
      <c r="V218" s="239">
        <v>32</v>
      </c>
      <c r="W218" s="239">
        <v>67</v>
      </c>
      <c r="X218" s="239">
        <v>35</v>
      </c>
      <c r="Y218" s="239">
        <v>42</v>
      </c>
      <c r="Z218" s="239">
        <v>3</v>
      </c>
      <c r="AA218" s="257">
        <v>179</v>
      </c>
      <c r="AB218" s="224">
        <v>0.19753086419753085</v>
      </c>
      <c r="AC218" s="224">
        <v>0.29385964912280704</v>
      </c>
      <c r="AD218" s="224">
        <v>0.1650943396226415</v>
      </c>
      <c r="AE218" s="224">
        <v>0.24852071005917159</v>
      </c>
      <c r="AF218" s="224">
        <v>6.8181818181818177E-2</v>
      </c>
      <c r="AG218" s="259">
        <v>0.21963190184049081</v>
      </c>
      <c r="AH218" s="261">
        <v>1.6643262079367555E-3</v>
      </c>
      <c r="AI218" s="261">
        <v>2.4833209785025947E-3</v>
      </c>
      <c r="AJ218" s="261">
        <v>1.6248085047119447E-3</v>
      </c>
      <c r="AK218" s="261">
        <v>2.2579431213375625E-3</v>
      </c>
      <c r="AL218" s="261">
        <v>6.2565172054223153E-4</v>
      </c>
      <c r="AM218" s="262">
        <v>1.9639252172386555E-3</v>
      </c>
    </row>
    <row r="219" spans="1:39" x14ac:dyDescent="0.25">
      <c r="A219" s="215" t="str">
        <v>5432-ATalal</v>
      </c>
      <c r="B219" s="215" t="str">
        <v>HAOTHDMM</v>
      </c>
      <c r="C219" s="215" t="str">
        <v>Hamzah Al Makhadam</v>
      </c>
      <c r="D219" s="239">
        <v>5540.05</v>
      </c>
      <c r="E219" s="239">
        <v>10658.170000000002</v>
      </c>
      <c r="F219" s="239">
        <v>7935.07</v>
      </c>
      <c r="G219" s="239">
        <v>6907.98</v>
      </c>
      <c r="H219" s="239">
        <v>767.01</v>
      </c>
      <c r="I219" s="257">
        <v>31808.28</v>
      </c>
      <c r="J219" s="240">
        <v>162.94264705882352</v>
      </c>
      <c r="K219" s="240">
        <v>154.466231884058</v>
      </c>
      <c r="L219" s="240">
        <v>152.5975</v>
      </c>
      <c r="M219" s="240">
        <v>160.65069767441858</v>
      </c>
      <c r="N219" s="240">
        <v>127.83499999999999</v>
      </c>
      <c r="O219" s="258">
        <v>155.92294117647057</v>
      </c>
      <c r="P219" s="224">
        <v>0.19862875688202994</v>
      </c>
      <c r="Q219" s="224">
        <v>0.27594174817105427</v>
      </c>
      <c r="R219" s="224">
        <v>0.24254008600545351</v>
      </c>
      <c r="S219" s="224">
        <v>0.22853303400315408</v>
      </c>
      <c r="T219" s="224">
        <v>0.11827192628069709</v>
      </c>
      <c r="U219" s="259">
        <v>0.23397843324541809</v>
      </c>
      <c r="V219" s="239">
        <v>34</v>
      </c>
      <c r="W219" s="239">
        <v>69</v>
      </c>
      <c r="X219" s="239">
        <v>52</v>
      </c>
      <c r="Y219" s="239">
        <v>43</v>
      </c>
      <c r="Z219" s="239">
        <v>6</v>
      </c>
      <c r="AA219" s="257">
        <v>204</v>
      </c>
      <c r="AB219" s="224">
        <v>0.20987654320987653</v>
      </c>
      <c r="AC219" s="224">
        <v>0.30263157894736842</v>
      </c>
      <c r="AD219" s="224">
        <v>0.24528301886792453</v>
      </c>
      <c r="AE219" s="224">
        <v>0.25443786982248523</v>
      </c>
      <c r="AF219" s="224">
        <v>0.13636363636363635</v>
      </c>
      <c r="AG219" s="259">
        <v>0.25030674846625767</v>
      </c>
      <c r="AH219" s="261">
        <v>1.7683465959328027E-3</v>
      </c>
      <c r="AI219" s="261">
        <v>2.5574499629355076E-3</v>
      </c>
      <c r="AJ219" s="261">
        <v>2.4140012070006035E-3</v>
      </c>
      <c r="AK219" s="261">
        <v>2.3117036718455996E-3</v>
      </c>
      <c r="AL219" s="261">
        <v>1.2513034410844631E-3</v>
      </c>
      <c r="AM219" s="262">
        <v>2.2382164486965681E-3</v>
      </c>
    </row>
    <row r="220" spans="1:39" x14ac:dyDescent="0.25">
      <c r="A220" s="215" t="str">
        <v>4867-MAmaar</v>
      </c>
      <c r="B220" s="215" t="str">
        <v>HAOTHDMM</v>
      </c>
      <c r="C220" s="215" t="str">
        <v>Hamzah Al Makhadam</v>
      </c>
      <c r="D220" s="239">
        <v>4309.05</v>
      </c>
      <c r="E220" s="239">
        <v>7522.13</v>
      </c>
      <c r="F220" s="239">
        <v>4583.08</v>
      </c>
      <c r="G220" s="239">
        <v>4410.87</v>
      </c>
      <c r="H220" s="239">
        <v>686.02</v>
      </c>
      <c r="I220" s="257">
        <v>21511.15</v>
      </c>
      <c r="J220" s="240">
        <v>159.59444444444446</v>
      </c>
      <c r="K220" s="240">
        <v>150.4426</v>
      </c>
      <c r="L220" s="240">
        <v>117.51487179487179</v>
      </c>
      <c r="M220" s="240">
        <v>183.78625</v>
      </c>
      <c r="N220" s="240">
        <v>114.33666666666666</v>
      </c>
      <c r="O220" s="258">
        <v>147.33664383561646</v>
      </c>
      <c r="P220" s="224">
        <v>0.15449341519345694</v>
      </c>
      <c r="Q220" s="224">
        <v>0.1947491644597461</v>
      </c>
      <c r="R220" s="224">
        <v>0.14008453830525425</v>
      </c>
      <c r="S220" s="224">
        <v>0.1459224699106674</v>
      </c>
      <c r="T220" s="224">
        <v>0.10578337553237092</v>
      </c>
      <c r="U220" s="259">
        <v>0.15823380498119283</v>
      </c>
      <c r="V220" s="239">
        <v>27</v>
      </c>
      <c r="W220" s="239">
        <v>50</v>
      </c>
      <c r="X220" s="239">
        <v>39</v>
      </c>
      <c r="Y220" s="239">
        <v>24</v>
      </c>
      <c r="Z220" s="239">
        <v>6</v>
      </c>
      <c r="AA220" s="257">
        <v>146</v>
      </c>
      <c r="AB220" s="224">
        <v>0.16666666666666666</v>
      </c>
      <c r="AC220" s="224">
        <v>0.21929824561403508</v>
      </c>
      <c r="AD220" s="224">
        <v>0.18396226415094338</v>
      </c>
      <c r="AE220" s="224">
        <v>0.14201183431952663</v>
      </c>
      <c r="AF220" s="224">
        <v>0.13636363636363635</v>
      </c>
      <c r="AG220" s="259">
        <v>0.17914110429447852</v>
      </c>
      <c r="AH220" s="261">
        <v>1.4042752379466376E-3</v>
      </c>
      <c r="AI220" s="261">
        <v>1.8532246108228317E-3</v>
      </c>
      <c r="AJ220" s="261">
        <v>1.8105009052504525E-3</v>
      </c>
      <c r="AK220" s="261">
        <v>1.2902532121928929E-3</v>
      </c>
      <c r="AL220" s="261">
        <v>1.2513034410844631E-3</v>
      </c>
      <c r="AM220" s="262">
        <v>1.6018607917142106E-3</v>
      </c>
    </row>
    <row r="221" spans="1:39" x14ac:dyDescent="0.25">
      <c r="A221" s="215" t="str">
        <v>6825-BMohamed</v>
      </c>
      <c r="B221" s="215" t="str">
        <v>HAOTHDMM</v>
      </c>
      <c r="C221" s="215" t="str">
        <v>Hamzah Al Makhadam</v>
      </c>
      <c r="D221" s="239">
        <v>0</v>
      </c>
      <c r="E221" s="239">
        <v>2299.04</v>
      </c>
      <c r="F221" s="239">
        <v>0</v>
      </c>
      <c r="G221" s="239">
        <v>0</v>
      </c>
      <c r="H221" s="239">
        <v>0</v>
      </c>
      <c r="I221" s="257">
        <v>2299.04</v>
      </c>
      <c r="J221" s="240" t="str">
        <v/>
      </c>
      <c r="K221" s="240">
        <v>191.58666666666667</v>
      </c>
      <c r="L221" s="240" t="str">
        <v/>
      </c>
      <c r="M221" s="240" t="str">
        <v/>
      </c>
      <c r="N221" s="240" t="str">
        <v/>
      </c>
      <c r="O221" s="258">
        <v>191.58666666666667</v>
      </c>
      <c r="P221" s="224">
        <v>0</v>
      </c>
      <c r="Q221" s="224">
        <v>5.9522518097870507E-2</v>
      </c>
      <c r="R221" s="224">
        <v>0</v>
      </c>
      <c r="S221" s="224">
        <v>0</v>
      </c>
      <c r="T221" s="224">
        <v>0</v>
      </c>
      <c r="U221" s="259">
        <v>1.6911501570300122E-2</v>
      </c>
      <c r="V221" s="239">
        <v>0</v>
      </c>
      <c r="W221" s="239">
        <v>12</v>
      </c>
      <c r="X221" s="239">
        <v>0</v>
      </c>
      <c r="Y221" s="239">
        <v>0</v>
      </c>
      <c r="Z221" s="239">
        <v>0</v>
      </c>
      <c r="AA221" s="257">
        <v>12</v>
      </c>
      <c r="AB221" s="224">
        <v>0</v>
      </c>
      <c r="AC221" s="224">
        <v>5.2631578947368418E-2</v>
      </c>
      <c r="AD221" s="224">
        <v>0</v>
      </c>
      <c r="AE221" s="224">
        <v>0</v>
      </c>
      <c r="AF221" s="224">
        <v>0</v>
      </c>
      <c r="AG221" s="259">
        <v>1.4723926380368098E-2</v>
      </c>
      <c r="AH221" s="261">
        <v>0</v>
      </c>
      <c r="AI221" s="261">
        <v>4.4477390659747963E-4</v>
      </c>
      <c r="AJ221" s="261">
        <v>0</v>
      </c>
      <c r="AK221" s="261">
        <v>0</v>
      </c>
      <c r="AL221" s="261">
        <v>0</v>
      </c>
      <c r="AM221" s="262">
        <v>1.3165979109979812E-4</v>
      </c>
    </row>
    <row r="222" spans="1:39" x14ac:dyDescent="0.25">
      <c r="A222" s="215" t="str">
        <v>6062-SAlanazi</v>
      </c>
      <c r="B222" s="215" t="str">
        <v>HAOTHHAFR</v>
      </c>
      <c r="C222" s="215" t="str">
        <v>Hamzah Al Makhadam</v>
      </c>
      <c r="D222" s="239">
        <v>6488.1799999999994</v>
      </c>
      <c r="E222" s="239">
        <v>6983.22</v>
      </c>
      <c r="F222" s="239">
        <v>9087.08</v>
      </c>
      <c r="G222" s="239">
        <v>5615.81</v>
      </c>
      <c r="H222" s="239">
        <v>210.98</v>
      </c>
      <c r="I222" s="257">
        <v>28385.27</v>
      </c>
      <c r="J222" s="240">
        <v>282.09478260869565</v>
      </c>
      <c r="K222" s="240">
        <v>258.63777777777779</v>
      </c>
      <c r="L222" s="240">
        <v>239.13368421052633</v>
      </c>
      <c r="M222" s="240">
        <v>267.41952380952381</v>
      </c>
      <c r="N222" s="240">
        <v>210.98</v>
      </c>
      <c r="O222" s="258">
        <v>258.04790909090912</v>
      </c>
      <c r="P222" s="224">
        <v>0.4196381045146711</v>
      </c>
      <c r="Q222" s="224">
        <v>0.43113242318669864</v>
      </c>
      <c r="R222" s="224">
        <v>0.61150537880429445</v>
      </c>
      <c r="S222" s="224">
        <v>0.40108803094538847</v>
      </c>
      <c r="T222" s="224">
        <v>5.3195968825720037E-2</v>
      </c>
      <c r="U222" s="259">
        <v>0.44017403960861867</v>
      </c>
      <c r="V222" s="239">
        <v>23</v>
      </c>
      <c r="W222" s="239">
        <v>27</v>
      </c>
      <c r="X222" s="239">
        <v>38</v>
      </c>
      <c r="Y222" s="239">
        <v>21</v>
      </c>
      <c r="Z222" s="239">
        <v>1</v>
      </c>
      <c r="AA222" s="257">
        <v>110</v>
      </c>
      <c r="AB222" s="224">
        <v>0.38983050847457629</v>
      </c>
      <c r="AC222" s="224">
        <v>0.44262295081967212</v>
      </c>
      <c r="AD222" s="224">
        <v>0.61290322580645162</v>
      </c>
      <c r="AE222" s="224">
        <v>0.44680851063829785</v>
      </c>
      <c r="AF222" s="224">
        <v>0.1</v>
      </c>
      <c r="AG222" s="259">
        <v>0.46025104602510458</v>
      </c>
      <c r="AH222" s="261">
        <v>1.196234461954543E-3</v>
      </c>
      <c r="AI222" s="261">
        <v>1.0007412898443292E-3</v>
      </c>
      <c r="AJ222" s="261">
        <v>1.7640778051158255E-3</v>
      </c>
      <c r="AK222" s="261">
        <v>1.1289715606687812E-3</v>
      </c>
      <c r="AL222" s="261">
        <v>2.0855057351407716E-4</v>
      </c>
      <c r="AM222" s="262">
        <v>1.2068814184148162E-3</v>
      </c>
    </row>
    <row r="223" spans="1:39" x14ac:dyDescent="0.25">
      <c r="A223" s="215" t="str">
        <v>5983-RAljameeli</v>
      </c>
      <c r="B223" s="215" t="str">
        <v>HAOTHHAFR</v>
      </c>
      <c r="C223" s="215" t="str">
        <v>Hamzah Al Makhadam</v>
      </c>
      <c r="D223" s="239">
        <v>4371.12</v>
      </c>
      <c r="E223" s="239">
        <v>5876.1399999999994</v>
      </c>
      <c r="F223" s="239">
        <v>1443.04</v>
      </c>
      <c r="G223" s="239">
        <v>5395.7199999999993</v>
      </c>
      <c r="H223" s="239">
        <v>1758</v>
      </c>
      <c r="I223" s="257">
        <v>18844.019999999997</v>
      </c>
      <c r="J223" s="240">
        <v>242.84</v>
      </c>
      <c r="K223" s="240">
        <v>293.80699999999996</v>
      </c>
      <c r="L223" s="240">
        <v>180.38</v>
      </c>
      <c r="M223" s="240">
        <v>359.71466666666663</v>
      </c>
      <c r="N223" s="240">
        <v>351.6</v>
      </c>
      <c r="O223" s="258">
        <v>285.51545454545447</v>
      </c>
      <c r="P223" s="224">
        <v>0.28271233402990809</v>
      </c>
      <c r="Q223" s="224">
        <v>0.36278313975276261</v>
      </c>
      <c r="R223" s="224">
        <v>9.7107841223995933E-2</v>
      </c>
      <c r="S223" s="224">
        <v>0.38536893348112761</v>
      </c>
      <c r="T223" s="224">
        <v>0.44325771729839714</v>
      </c>
      <c r="U223" s="259">
        <v>0.29221664637558847</v>
      </c>
      <c r="V223" s="239">
        <v>18</v>
      </c>
      <c r="W223" s="239">
        <v>20</v>
      </c>
      <c r="X223" s="239">
        <v>8</v>
      </c>
      <c r="Y223" s="239">
        <v>15</v>
      </c>
      <c r="Z223" s="239">
        <v>5</v>
      </c>
      <c r="AA223" s="257">
        <v>66</v>
      </c>
      <c r="AB223" s="224">
        <v>0.30508474576271188</v>
      </c>
      <c r="AC223" s="224">
        <v>0.32786885245901637</v>
      </c>
      <c r="AD223" s="224">
        <v>0.12903225806451613</v>
      </c>
      <c r="AE223" s="224">
        <v>0.31914893617021278</v>
      </c>
      <c r="AF223" s="224">
        <v>0.5</v>
      </c>
      <c r="AG223" s="259">
        <v>0.27615062761506276</v>
      </c>
      <c r="AH223" s="261">
        <v>9.3618349196442508E-4</v>
      </c>
      <c r="AI223" s="261">
        <v>7.4128984432913266E-4</v>
      </c>
      <c r="AJ223" s="261">
        <v>3.7138480107701591E-4</v>
      </c>
      <c r="AK223" s="261">
        <v>8.0640825762055802E-4</v>
      </c>
      <c r="AL223" s="261">
        <v>1.0427528675703858E-3</v>
      </c>
      <c r="AM223" s="262">
        <v>7.2412885104888966E-4</v>
      </c>
    </row>
    <row r="224" spans="1:39" x14ac:dyDescent="0.25">
      <c r="A224" s="215" t="str">
        <v>6199-AAlmutairi</v>
      </c>
      <c r="B224" s="215" t="str">
        <v>HAOTHHAFR</v>
      </c>
      <c r="C224" s="215" t="str">
        <v>Hamzah Al Makhadam</v>
      </c>
      <c r="D224" s="239">
        <v>3600.04</v>
      </c>
      <c r="E224" s="239">
        <v>3338.0299999999997</v>
      </c>
      <c r="F224" s="239">
        <v>3527.0299999999997</v>
      </c>
      <c r="G224" s="239">
        <v>2089.92</v>
      </c>
      <c r="H224" s="239">
        <v>1322.09</v>
      </c>
      <c r="I224" s="257">
        <v>13877.109999999999</v>
      </c>
      <c r="J224" s="240">
        <v>276.92615384615385</v>
      </c>
      <c r="K224" s="240">
        <v>238.43071428571426</v>
      </c>
      <c r="L224" s="240">
        <v>271.31</v>
      </c>
      <c r="M224" s="240">
        <v>298.56</v>
      </c>
      <c r="N224" s="240">
        <v>1322.09</v>
      </c>
      <c r="O224" s="258">
        <v>289.10645833333331</v>
      </c>
      <c r="P224" s="224">
        <v>0.23284094488392687</v>
      </c>
      <c r="Q224" s="224">
        <v>0.20608443706053875</v>
      </c>
      <c r="R224" s="224">
        <v>0.2373477306466005</v>
      </c>
      <c r="S224" s="224">
        <v>0.14926464706487333</v>
      </c>
      <c r="T224" s="224">
        <v>0.33334846158307047</v>
      </c>
      <c r="U224" s="259">
        <v>0.21519413297083867</v>
      </c>
      <c r="V224" s="239">
        <v>13</v>
      </c>
      <c r="W224" s="239">
        <v>14</v>
      </c>
      <c r="X224" s="239">
        <v>13</v>
      </c>
      <c r="Y224" s="239">
        <v>7</v>
      </c>
      <c r="Z224" s="239">
        <v>1</v>
      </c>
      <c r="AA224" s="257">
        <v>48</v>
      </c>
      <c r="AB224" s="224">
        <v>0.22033898305084745</v>
      </c>
      <c r="AC224" s="224">
        <v>0.22950819672131148</v>
      </c>
      <c r="AD224" s="224">
        <v>0.20967741935483872</v>
      </c>
      <c r="AE224" s="224">
        <v>0.14893617021276595</v>
      </c>
      <c r="AF224" s="224">
        <v>0.1</v>
      </c>
      <c r="AG224" s="259">
        <v>0.20083682008368201</v>
      </c>
      <c r="AH224" s="261">
        <v>6.7613252197430695E-4</v>
      </c>
      <c r="AI224" s="261">
        <v>5.1890289103039293E-4</v>
      </c>
      <c r="AJ224" s="261">
        <v>6.0350030175015089E-4</v>
      </c>
      <c r="AK224" s="261">
        <v>3.7632385355626042E-4</v>
      </c>
      <c r="AL224" s="261">
        <v>2.0855057351407716E-4</v>
      </c>
      <c r="AM224" s="262">
        <v>5.2663916439919247E-4</v>
      </c>
    </row>
    <row r="225" spans="1:39" x14ac:dyDescent="0.25">
      <c r="A225" s="215" t="str">
        <v>5985-MAlshamari</v>
      </c>
      <c r="B225" s="215" t="str">
        <v>HAOTHHAFR</v>
      </c>
      <c r="C225" s="215" t="str">
        <v>Hamzah Al Makhadam</v>
      </c>
      <c r="D225" s="239">
        <v>0</v>
      </c>
      <c r="E225" s="239">
        <v>0</v>
      </c>
      <c r="F225" s="239">
        <v>803.03</v>
      </c>
      <c r="G225" s="239">
        <v>899.99</v>
      </c>
      <c r="H225" s="239">
        <v>675.02</v>
      </c>
      <c r="I225" s="257">
        <v>2378.04</v>
      </c>
      <c r="J225" s="240" t="str">
        <v/>
      </c>
      <c r="K225" s="240" t="str">
        <v/>
      </c>
      <c r="L225" s="240">
        <v>267.67666666666668</v>
      </c>
      <c r="M225" s="240">
        <v>224.9975</v>
      </c>
      <c r="N225" s="240">
        <v>225.00666666666666</v>
      </c>
      <c r="O225" s="258">
        <v>237.804</v>
      </c>
      <c r="P225" s="224">
        <v>0</v>
      </c>
      <c r="Q225" s="224">
        <v>0</v>
      </c>
      <c r="R225" s="224">
        <v>5.4039049325109112E-2</v>
      </c>
      <c r="S225" s="224">
        <v>6.4278388508610534E-2</v>
      </c>
      <c r="T225" s="224">
        <v>0.17019785229281231</v>
      </c>
      <c r="U225" s="259">
        <v>3.6876572713625044E-2</v>
      </c>
      <c r="V225" s="239">
        <v>0</v>
      </c>
      <c r="W225" s="239">
        <v>0</v>
      </c>
      <c r="X225" s="239">
        <v>3</v>
      </c>
      <c r="Y225" s="239">
        <v>4</v>
      </c>
      <c r="Z225" s="239">
        <v>3</v>
      </c>
      <c r="AA225" s="257">
        <v>10</v>
      </c>
      <c r="AB225" s="224">
        <v>0</v>
      </c>
      <c r="AC225" s="224">
        <v>0</v>
      </c>
      <c r="AD225" s="224">
        <v>4.8387096774193547E-2</v>
      </c>
      <c r="AE225" s="224">
        <v>8.5106382978723402E-2</v>
      </c>
      <c r="AF225" s="224">
        <v>0.3</v>
      </c>
      <c r="AG225" s="259">
        <v>4.1841004184100417E-2</v>
      </c>
      <c r="AH225" s="261">
        <v>0</v>
      </c>
      <c r="AI225" s="261">
        <v>0</v>
      </c>
      <c r="AJ225" s="261">
        <v>1.3926930040388097E-4</v>
      </c>
      <c r="AK225" s="261">
        <v>2.150422020321488E-4</v>
      </c>
      <c r="AL225" s="261">
        <v>6.2565172054223153E-4</v>
      </c>
      <c r="AM225" s="262">
        <v>1.097164925831651E-4</v>
      </c>
    </row>
    <row r="226" spans="1:39" x14ac:dyDescent="0.25">
      <c r="A226" s="215" t="str">
        <v>5984-OAlkhaldi</v>
      </c>
      <c r="B226" s="215" t="str">
        <v>HAOTHHAFR</v>
      </c>
      <c r="C226" s="215" t="str">
        <v>Hamzah Al Makhadam</v>
      </c>
      <c r="D226" s="239">
        <v>1002.03</v>
      </c>
      <c r="E226" s="239">
        <v>0</v>
      </c>
      <c r="F226" s="239">
        <v>0</v>
      </c>
      <c r="G226" s="239">
        <v>0</v>
      </c>
      <c r="H226" s="239">
        <v>0</v>
      </c>
      <c r="I226" s="257">
        <v>1002.03</v>
      </c>
      <c r="J226" s="240">
        <v>200.40600000000001</v>
      </c>
      <c r="K226" s="240" t="str">
        <v/>
      </c>
      <c r="L226" s="240" t="str">
        <v/>
      </c>
      <c r="M226" s="240" t="str">
        <v/>
      </c>
      <c r="N226" s="240" t="str">
        <v/>
      </c>
      <c r="O226" s="258">
        <v>200.40600000000001</v>
      </c>
      <c r="P226" s="224">
        <v>6.480861657149399E-2</v>
      </c>
      <c r="Q226" s="224">
        <v>0</v>
      </c>
      <c r="R226" s="224">
        <v>0</v>
      </c>
      <c r="S226" s="224">
        <v>0</v>
      </c>
      <c r="T226" s="224">
        <v>0</v>
      </c>
      <c r="U226" s="259">
        <v>1.5538608331329036E-2</v>
      </c>
      <c r="V226" s="239">
        <v>5</v>
      </c>
      <c r="W226" s="239">
        <v>0</v>
      </c>
      <c r="X226" s="239">
        <v>0</v>
      </c>
      <c r="Y226" s="239">
        <v>0</v>
      </c>
      <c r="Z226" s="239">
        <v>0</v>
      </c>
      <c r="AA226" s="257">
        <v>5</v>
      </c>
      <c r="AB226" s="224">
        <v>8.4745762711864403E-2</v>
      </c>
      <c r="AC226" s="224">
        <v>0</v>
      </c>
      <c r="AD226" s="224">
        <v>0</v>
      </c>
      <c r="AE226" s="224">
        <v>0</v>
      </c>
      <c r="AF226" s="224">
        <v>0</v>
      </c>
      <c r="AG226" s="259">
        <v>2.0920502092050208E-2</v>
      </c>
      <c r="AH226" s="261">
        <v>2.6005096999011807E-4</v>
      </c>
      <c r="AI226" s="261">
        <v>0</v>
      </c>
      <c r="AJ226" s="261">
        <v>0</v>
      </c>
      <c r="AK226" s="261">
        <v>0</v>
      </c>
      <c r="AL226" s="261">
        <v>0</v>
      </c>
      <c r="AM226" s="262">
        <v>5.4858246291582549E-5</v>
      </c>
    </row>
    <row r="227" spans="1:39" x14ac:dyDescent="0.25">
      <c r="A227" s="215" t="str">
        <v>5089-HHanbobah</v>
      </c>
      <c r="B227" s="215" t="str">
        <v>HAQATIFCC</v>
      </c>
      <c r="C227" s="215" t="str">
        <v>Hamzah Al Makhadam</v>
      </c>
      <c r="D227" s="239">
        <v>3007.01</v>
      </c>
      <c r="E227" s="239">
        <v>16038.46</v>
      </c>
      <c r="F227" s="239">
        <v>10398.17</v>
      </c>
      <c r="G227" s="239">
        <v>4331.0400000000009</v>
      </c>
      <c r="H227" s="239">
        <v>2646.94</v>
      </c>
      <c r="I227" s="257">
        <v>36421.620000000003</v>
      </c>
      <c r="J227" s="240">
        <v>214.78642857142859</v>
      </c>
      <c r="K227" s="240">
        <v>302.61245283018866</v>
      </c>
      <c r="L227" s="240">
        <v>288.83805555555557</v>
      </c>
      <c r="M227" s="240">
        <v>188.30608695652177</v>
      </c>
      <c r="N227" s="240">
        <v>661.73500000000001</v>
      </c>
      <c r="O227" s="258">
        <v>280.16630769230773</v>
      </c>
      <c r="P227" s="224">
        <v>0.22428288638509697</v>
      </c>
      <c r="Q227" s="224">
        <v>0.60773036006934256</v>
      </c>
      <c r="R227" s="224">
        <v>0.50100942256211201</v>
      </c>
      <c r="S227" s="224">
        <v>0.37313745305670937</v>
      </c>
      <c r="T227" s="224">
        <v>0.49485226072406729</v>
      </c>
      <c r="U227" s="259">
        <v>0.46990515227694535</v>
      </c>
      <c r="V227" s="239">
        <v>14</v>
      </c>
      <c r="W227" s="239">
        <v>53</v>
      </c>
      <c r="X227" s="239">
        <v>36</v>
      </c>
      <c r="Y227" s="239">
        <v>23</v>
      </c>
      <c r="Z227" s="239">
        <v>4</v>
      </c>
      <c r="AA227" s="257">
        <v>130</v>
      </c>
      <c r="AB227" s="224">
        <v>0.17499999999999999</v>
      </c>
      <c r="AC227" s="224">
        <v>0.46902654867256638</v>
      </c>
      <c r="AD227" s="224">
        <v>0.36</v>
      </c>
      <c r="AE227" s="224">
        <v>0.34848484848484851</v>
      </c>
      <c r="AF227" s="224">
        <v>0.25</v>
      </c>
      <c r="AG227" s="259">
        <v>0.34666666666666668</v>
      </c>
      <c r="AH227" s="261">
        <v>7.2814271597233056E-4</v>
      </c>
      <c r="AI227" s="261">
        <v>1.9644180874722017E-3</v>
      </c>
      <c r="AJ227" s="261">
        <v>1.6712316048465717E-3</v>
      </c>
      <c r="AK227" s="261">
        <v>1.2364926616848556E-3</v>
      </c>
      <c r="AL227" s="261">
        <v>8.3420229405630863E-4</v>
      </c>
      <c r="AM227" s="262">
        <v>1.4263144035811463E-3</v>
      </c>
    </row>
    <row r="228" spans="1:39" x14ac:dyDescent="0.25">
      <c r="A228" s="215" t="str">
        <v>5088-AAlnasser</v>
      </c>
      <c r="B228" s="215" t="str">
        <v>HAQATIFCC</v>
      </c>
      <c r="C228" s="215" t="str">
        <v>Hamzah Al Makhadam</v>
      </c>
      <c r="D228" s="239">
        <v>8256.16</v>
      </c>
      <c r="E228" s="239">
        <v>8669.24</v>
      </c>
      <c r="F228" s="239">
        <v>5352.1399999999994</v>
      </c>
      <c r="G228" s="239">
        <v>5052.9999999999991</v>
      </c>
      <c r="H228" s="239">
        <v>1805.02</v>
      </c>
      <c r="I228" s="257">
        <v>29135.56</v>
      </c>
      <c r="J228" s="240">
        <v>168.49306122448979</v>
      </c>
      <c r="K228" s="240">
        <v>173.38479999999998</v>
      </c>
      <c r="L228" s="240">
        <v>144.65243243243242</v>
      </c>
      <c r="M228" s="240">
        <v>174.2413793103448</v>
      </c>
      <c r="N228" s="240">
        <v>257.86</v>
      </c>
      <c r="O228" s="258">
        <v>169.39279069767443</v>
      </c>
      <c r="P228" s="224">
        <v>0.61579954681134486</v>
      </c>
      <c r="Q228" s="224">
        <v>0.32849540085067691</v>
      </c>
      <c r="R228" s="224">
        <v>0.25787927787981746</v>
      </c>
      <c r="S228" s="224">
        <v>0.43533736707477921</v>
      </c>
      <c r="T228" s="224">
        <v>0.3374531450097682</v>
      </c>
      <c r="U228" s="259">
        <v>0.37590172426361257</v>
      </c>
      <c r="V228" s="239">
        <v>49</v>
      </c>
      <c r="W228" s="239">
        <v>50</v>
      </c>
      <c r="X228" s="239">
        <v>37</v>
      </c>
      <c r="Y228" s="239">
        <v>29</v>
      </c>
      <c r="Z228" s="239">
        <v>7</v>
      </c>
      <c r="AA228" s="257">
        <v>172</v>
      </c>
      <c r="AB228" s="224">
        <v>0.61250000000000004</v>
      </c>
      <c r="AC228" s="224">
        <v>0.44247787610619471</v>
      </c>
      <c r="AD228" s="224">
        <v>0.37</v>
      </c>
      <c r="AE228" s="224">
        <v>0.43939393939393939</v>
      </c>
      <c r="AF228" s="224">
        <v>0.4375</v>
      </c>
      <c r="AG228" s="259">
        <v>0.45866666666666667</v>
      </c>
      <c r="AH228" s="261">
        <v>2.5484995059031571E-3</v>
      </c>
      <c r="AI228" s="261">
        <v>1.8532246108228317E-3</v>
      </c>
      <c r="AJ228" s="261">
        <v>1.7176547049811987E-3</v>
      </c>
      <c r="AK228" s="261">
        <v>1.559055964733079E-3</v>
      </c>
      <c r="AL228" s="261">
        <v>1.4598540145985401E-3</v>
      </c>
      <c r="AM228" s="262">
        <v>1.8871236724304398E-3</v>
      </c>
    </row>
    <row r="229" spans="1:39" x14ac:dyDescent="0.25">
      <c r="A229" s="215" t="str">
        <v>5084-AAlMohsin</v>
      </c>
      <c r="B229" s="215" t="str">
        <v>HAQATIFCC</v>
      </c>
      <c r="C229" s="215" t="str">
        <v>Hamzah Al Makhadam</v>
      </c>
      <c r="D229" s="239">
        <v>0</v>
      </c>
      <c r="E229" s="239">
        <v>0</v>
      </c>
      <c r="F229" s="239">
        <v>2938.0600000000004</v>
      </c>
      <c r="G229" s="239">
        <v>2223.0500000000002</v>
      </c>
      <c r="H229" s="239">
        <v>896.99</v>
      </c>
      <c r="I229" s="257">
        <v>6058.1</v>
      </c>
      <c r="J229" s="240" t="str">
        <v/>
      </c>
      <c r="K229" s="240" t="str">
        <v/>
      </c>
      <c r="L229" s="240">
        <v>172.82705882352943</v>
      </c>
      <c r="M229" s="240">
        <v>158.78928571428574</v>
      </c>
      <c r="N229" s="240">
        <v>179.398</v>
      </c>
      <c r="O229" s="258">
        <v>168.28055555555557</v>
      </c>
      <c r="P229" s="224">
        <v>0</v>
      </c>
      <c r="Q229" s="224">
        <v>0</v>
      </c>
      <c r="R229" s="224">
        <v>0.14156296194934676</v>
      </c>
      <c r="S229" s="224">
        <v>0.19152517986851142</v>
      </c>
      <c r="T229" s="224">
        <v>0.16769459426616437</v>
      </c>
      <c r="U229" s="259">
        <v>7.8160510241141457E-2</v>
      </c>
      <c r="V229" s="239">
        <v>0</v>
      </c>
      <c r="W229" s="239">
        <v>0</v>
      </c>
      <c r="X229" s="239">
        <v>17</v>
      </c>
      <c r="Y229" s="239">
        <v>14</v>
      </c>
      <c r="Z229" s="239">
        <v>5</v>
      </c>
      <c r="AA229" s="257">
        <v>36</v>
      </c>
      <c r="AB229" s="224">
        <v>0</v>
      </c>
      <c r="AC229" s="224">
        <v>0</v>
      </c>
      <c r="AD229" s="224">
        <v>0.17</v>
      </c>
      <c r="AE229" s="224">
        <v>0.21212121212121213</v>
      </c>
      <c r="AF229" s="224">
        <v>0.3125</v>
      </c>
      <c r="AG229" s="259">
        <v>9.6000000000000002E-2</v>
      </c>
      <c r="AH229" s="261">
        <v>0</v>
      </c>
      <c r="AI229" s="261">
        <v>0</v>
      </c>
      <c r="AJ229" s="261">
        <v>7.8919270228865884E-4</v>
      </c>
      <c r="AK229" s="261">
        <v>7.5264770711252083E-4</v>
      </c>
      <c r="AL229" s="261">
        <v>1.0427528675703858E-3</v>
      </c>
      <c r="AM229" s="262">
        <v>3.9497937329939438E-4</v>
      </c>
    </row>
    <row r="230" spans="1:39" x14ac:dyDescent="0.25">
      <c r="A230" s="215" t="str">
        <v>5304-AAlsabi</v>
      </c>
      <c r="B230" s="215" t="str">
        <v>HAQATIFCC</v>
      </c>
      <c r="C230" s="215" t="str">
        <v>Hamzah Al Makhadam</v>
      </c>
      <c r="D230" s="239">
        <v>2144.0500000000002</v>
      </c>
      <c r="E230" s="239">
        <v>1683.05</v>
      </c>
      <c r="F230" s="239">
        <v>2066.0700000000002</v>
      </c>
      <c r="G230" s="239">
        <v>0</v>
      </c>
      <c r="H230" s="239">
        <v>0</v>
      </c>
      <c r="I230" s="257">
        <v>5893.17</v>
      </c>
      <c r="J230" s="240">
        <v>126.12058823529412</v>
      </c>
      <c r="K230" s="240">
        <v>168.30500000000001</v>
      </c>
      <c r="L230" s="240">
        <v>206.60700000000003</v>
      </c>
      <c r="M230" s="240" t="str">
        <v/>
      </c>
      <c r="N230" s="240" t="str">
        <v/>
      </c>
      <c r="O230" s="258">
        <v>159.27486486486487</v>
      </c>
      <c r="P230" s="224">
        <v>0.15991756680355809</v>
      </c>
      <c r="Q230" s="224">
        <v>6.3774239079980685E-2</v>
      </c>
      <c r="R230" s="224">
        <v>9.9548337608723725E-2</v>
      </c>
      <c r="S230" s="224">
        <v>0</v>
      </c>
      <c r="T230" s="224">
        <v>0</v>
      </c>
      <c r="U230" s="259">
        <v>7.6032613218300724E-2</v>
      </c>
      <c r="V230" s="239">
        <v>17</v>
      </c>
      <c r="W230" s="239">
        <v>10</v>
      </c>
      <c r="X230" s="239">
        <v>10</v>
      </c>
      <c r="Y230" s="239">
        <v>0</v>
      </c>
      <c r="Z230" s="239">
        <v>0</v>
      </c>
      <c r="AA230" s="257">
        <v>37</v>
      </c>
      <c r="AB230" s="224">
        <v>0.21249999999999999</v>
      </c>
      <c r="AC230" s="224">
        <v>8.8495575221238937E-2</v>
      </c>
      <c r="AD230" s="224">
        <v>0.1</v>
      </c>
      <c r="AE230" s="224">
        <v>0</v>
      </c>
      <c r="AF230" s="224">
        <v>0</v>
      </c>
      <c r="AG230" s="259">
        <v>9.8666666666666666E-2</v>
      </c>
      <c r="AH230" s="261">
        <v>8.8417329796640137E-4</v>
      </c>
      <c r="AI230" s="261">
        <v>3.7064492216456633E-4</v>
      </c>
      <c r="AJ230" s="261">
        <v>4.6423100134626989E-4</v>
      </c>
      <c r="AK230" s="261">
        <v>0</v>
      </c>
      <c r="AL230" s="261">
        <v>0</v>
      </c>
      <c r="AM230" s="262">
        <v>4.059510225577109E-4</v>
      </c>
    </row>
    <row r="231" spans="1:39" x14ac:dyDescent="0.25">
      <c r="A231" s="215" t="str">
        <v>4111-AAlAziz</v>
      </c>
      <c r="B231" s="215" t="str">
        <v>HARASHID</v>
      </c>
      <c r="C231" s="215" t="str">
        <v>Hamzah Al Makhadam</v>
      </c>
      <c r="D231" s="239">
        <v>11243.21</v>
      </c>
      <c r="E231" s="239">
        <v>15091.1</v>
      </c>
      <c r="F231" s="239">
        <v>3807.05</v>
      </c>
      <c r="G231" s="239">
        <v>9910.77</v>
      </c>
      <c r="H231" s="239">
        <v>6946.12</v>
      </c>
      <c r="I231" s="257">
        <v>46998.25</v>
      </c>
      <c r="J231" s="240">
        <v>321.23457142857143</v>
      </c>
      <c r="K231" s="240">
        <v>307.98163265306124</v>
      </c>
      <c r="L231" s="240">
        <v>237.94062500000001</v>
      </c>
      <c r="M231" s="240">
        <v>283.16485714285716</v>
      </c>
      <c r="N231" s="240">
        <v>496.15142857142854</v>
      </c>
      <c r="O231" s="258">
        <v>315.42449664429529</v>
      </c>
      <c r="P231" s="224">
        <v>0.2736580285355516</v>
      </c>
      <c r="Q231" s="224">
        <v>0.26716782209654977</v>
      </c>
      <c r="R231" s="224">
        <v>8.7972775244642906E-2</v>
      </c>
      <c r="S231" s="224">
        <v>0.22053995379479499</v>
      </c>
      <c r="T231" s="224">
        <v>0.53071824513013677</v>
      </c>
      <c r="U231" s="259">
        <v>0.23632353574896156</v>
      </c>
      <c r="V231" s="239">
        <v>35</v>
      </c>
      <c r="W231" s="239">
        <v>49</v>
      </c>
      <c r="X231" s="239">
        <v>16</v>
      </c>
      <c r="Y231" s="239">
        <v>35</v>
      </c>
      <c r="Z231" s="239">
        <v>14</v>
      </c>
      <c r="AA231" s="257">
        <v>149</v>
      </c>
      <c r="AB231" s="224">
        <v>0.21472392638036811</v>
      </c>
      <c r="AC231" s="224">
        <v>0.2076271186440678</v>
      </c>
      <c r="AD231" s="224">
        <v>8.6956521739130432E-2</v>
      </c>
      <c r="AE231" s="224">
        <v>0.20114942528735633</v>
      </c>
      <c r="AF231" s="224">
        <v>0.36842105263157893</v>
      </c>
      <c r="AG231" s="259">
        <v>0.18742138364779873</v>
      </c>
      <c r="AH231" s="261">
        <v>1.8203567899308265E-3</v>
      </c>
      <c r="AI231" s="261">
        <v>1.8161601186063752E-3</v>
      </c>
      <c r="AJ231" s="261">
        <v>7.4276960215403183E-4</v>
      </c>
      <c r="AK231" s="261">
        <v>1.8816192677813021E-3</v>
      </c>
      <c r="AL231" s="261">
        <v>2.9197080291970801E-3</v>
      </c>
      <c r="AM231" s="262">
        <v>1.63477573948916E-3</v>
      </c>
    </row>
    <row r="232" spans="1:39" x14ac:dyDescent="0.25">
      <c r="A232" s="215" t="str">
        <v>7304-YAlSalem</v>
      </c>
      <c r="B232" s="215" t="str">
        <v>HARASHID</v>
      </c>
      <c r="C232" s="215" t="str">
        <v>Hamzah Al Makhadam</v>
      </c>
      <c r="D232" s="239">
        <v>7221.1900000000005</v>
      </c>
      <c r="E232" s="239">
        <v>12236.08</v>
      </c>
      <c r="F232" s="239">
        <v>14636.050000000001</v>
      </c>
      <c r="G232" s="239">
        <v>7371.7</v>
      </c>
      <c r="H232" s="239">
        <v>3831.99</v>
      </c>
      <c r="I232" s="257">
        <v>45297.009999999995</v>
      </c>
      <c r="J232" s="240">
        <v>185.15871794871796</v>
      </c>
      <c r="K232" s="240">
        <v>169.94555555555556</v>
      </c>
      <c r="L232" s="240">
        <v>232.318253968254</v>
      </c>
      <c r="M232" s="240">
        <v>204.76944444444445</v>
      </c>
      <c r="N232" s="240">
        <v>319.33249999999998</v>
      </c>
      <c r="O232" s="258">
        <v>204.04058558558557</v>
      </c>
      <c r="P232" s="224">
        <v>0.17576267089920408</v>
      </c>
      <c r="Q232" s="224">
        <v>0.21662349627258123</v>
      </c>
      <c r="R232" s="224">
        <v>0.33820778217237912</v>
      </c>
      <c r="S232" s="224">
        <v>0.16403915915605852</v>
      </c>
      <c r="T232" s="224">
        <v>0.29278316645209596</v>
      </c>
      <c r="U232" s="259">
        <v>0.22776910974464087</v>
      </c>
      <c r="V232" s="239">
        <v>39</v>
      </c>
      <c r="W232" s="239">
        <v>72</v>
      </c>
      <c r="X232" s="239">
        <v>63</v>
      </c>
      <c r="Y232" s="239">
        <v>36</v>
      </c>
      <c r="Z232" s="239">
        <v>12</v>
      </c>
      <c r="AA232" s="257">
        <v>222</v>
      </c>
      <c r="AB232" s="224">
        <v>0.2392638036809816</v>
      </c>
      <c r="AC232" s="224">
        <v>0.30508474576271188</v>
      </c>
      <c r="AD232" s="224">
        <v>0.34239130434782611</v>
      </c>
      <c r="AE232" s="224">
        <v>0.20689655172413793</v>
      </c>
      <c r="AF232" s="224">
        <v>0.31578947368421051</v>
      </c>
      <c r="AG232" s="259">
        <v>0.27924528301886792</v>
      </c>
      <c r="AH232" s="261">
        <v>2.0283975659229209E-3</v>
      </c>
      <c r="AI232" s="261">
        <v>2.6686434395848777E-3</v>
      </c>
      <c r="AJ232" s="261">
        <v>2.9246553084815003E-3</v>
      </c>
      <c r="AK232" s="261">
        <v>1.9353798182893394E-3</v>
      </c>
      <c r="AL232" s="261">
        <v>2.5026068821689261E-3</v>
      </c>
      <c r="AM232" s="262">
        <v>2.4357061353462652E-3</v>
      </c>
    </row>
    <row r="233" spans="1:39" x14ac:dyDescent="0.25">
      <c r="A233" s="215" t="str">
        <v>6488-JAlmajnuni</v>
      </c>
      <c r="B233" s="215" t="str">
        <v>HARASHID</v>
      </c>
      <c r="C233" s="215" t="str">
        <v>Hamzah Al Makhadam</v>
      </c>
      <c r="D233" s="239">
        <v>8999.18</v>
      </c>
      <c r="E233" s="239">
        <v>16752.18</v>
      </c>
      <c r="F233" s="239">
        <v>5083.0200000000004</v>
      </c>
      <c r="G233" s="239">
        <v>9624.67</v>
      </c>
      <c r="H233" s="239">
        <v>1662.01</v>
      </c>
      <c r="I233" s="257">
        <v>42121.060000000005</v>
      </c>
      <c r="J233" s="240">
        <v>187.48291666666668</v>
      </c>
      <c r="K233" s="240">
        <v>261.7528125</v>
      </c>
      <c r="L233" s="240">
        <v>221.00086956521741</v>
      </c>
      <c r="M233" s="240">
        <v>223.82953488372092</v>
      </c>
      <c r="N233" s="240">
        <v>166.20099999999999</v>
      </c>
      <c r="O233" s="258">
        <v>224.04819148936173</v>
      </c>
      <c r="P233" s="224">
        <v>0.21903867820992098</v>
      </c>
      <c r="Q233" s="224">
        <v>0.29657503071143781</v>
      </c>
      <c r="R233" s="224">
        <v>0.11745771030693708</v>
      </c>
      <c r="S233" s="224">
        <v>0.21417349783015338</v>
      </c>
      <c r="T233" s="224">
        <v>0.12698586125617448</v>
      </c>
      <c r="U233" s="259">
        <v>0.21179932930894568</v>
      </c>
      <c r="V233" s="239">
        <v>48</v>
      </c>
      <c r="W233" s="239">
        <v>64</v>
      </c>
      <c r="X233" s="239">
        <v>23</v>
      </c>
      <c r="Y233" s="239">
        <v>43</v>
      </c>
      <c r="Z233" s="239">
        <v>10</v>
      </c>
      <c r="AA233" s="257">
        <v>188</v>
      </c>
      <c r="AB233" s="224">
        <v>0.29447852760736198</v>
      </c>
      <c r="AC233" s="224">
        <v>0.2711864406779661</v>
      </c>
      <c r="AD233" s="224">
        <v>0.125</v>
      </c>
      <c r="AE233" s="224">
        <v>0.2471264367816092</v>
      </c>
      <c r="AF233" s="224">
        <v>0.26315789473684209</v>
      </c>
      <c r="AG233" s="259">
        <v>0.23647798742138365</v>
      </c>
      <c r="AH233" s="261">
        <v>2.4964893119051334E-3</v>
      </c>
      <c r="AI233" s="261">
        <v>2.3721275018532247E-3</v>
      </c>
      <c r="AJ233" s="261">
        <v>1.0677313030964207E-3</v>
      </c>
      <c r="AK233" s="261">
        <v>2.3117036718455996E-3</v>
      </c>
      <c r="AL233" s="261">
        <v>2.0855057351407717E-3</v>
      </c>
      <c r="AM233" s="262">
        <v>2.0626700605635038E-3</v>
      </c>
    </row>
    <row r="234" spans="1:39" x14ac:dyDescent="0.25">
      <c r="A234" s="215" t="str">
        <v>4869-AAlshmriy</v>
      </c>
      <c r="B234" s="215" t="str">
        <v>HARASHID</v>
      </c>
      <c r="C234" s="215" t="str">
        <v>Hamzah Al Makhadam</v>
      </c>
      <c r="D234" s="239">
        <v>4685.1099999999997</v>
      </c>
      <c r="E234" s="239">
        <v>10787.09</v>
      </c>
      <c r="F234" s="239">
        <v>11506.04</v>
      </c>
      <c r="G234" s="239">
        <v>7316.6900000000005</v>
      </c>
      <c r="H234" s="239">
        <v>0</v>
      </c>
      <c r="I234" s="257">
        <v>34294.93</v>
      </c>
      <c r="J234" s="240">
        <v>234.25549999999998</v>
      </c>
      <c r="K234" s="240">
        <v>256.83547619047619</v>
      </c>
      <c r="L234" s="240">
        <v>255.68977777777781</v>
      </c>
      <c r="M234" s="240">
        <v>221.71787878787882</v>
      </c>
      <c r="N234" s="240" t="str">
        <v/>
      </c>
      <c r="O234" s="258">
        <v>244.96378571428571</v>
      </c>
      <c r="P234" s="224">
        <v>0.11403486780663158</v>
      </c>
      <c r="Q234" s="224">
        <v>0.19097105857488661</v>
      </c>
      <c r="R234" s="224">
        <v>0.26587995189868036</v>
      </c>
      <c r="S234" s="224">
        <v>0.16281504610951908</v>
      </c>
      <c r="T234" s="224">
        <v>0</v>
      </c>
      <c r="U234" s="259">
        <v>0.17244682761300972</v>
      </c>
      <c r="V234" s="239">
        <v>20</v>
      </c>
      <c r="W234" s="239">
        <v>42</v>
      </c>
      <c r="X234" s="239">
        <v>45</v>
      </c>
      <c r="Y234" s="239">
        <v>33</v>
      </c>
      <c r="Z234" s="239">
        <v>0</v>
      </c>
      <c r="AA234" s="257">
        <v>140</v>
      </c>
      <c r="AB234" s="224">
        <v>0.12269938650306748</v>
      </c>
      <c r="AC234" s="224">
        <v>0.17796610169491525</v>
      </c>
      <c r="AD234" s="224">
        <v>0.24456521739130435</v>
      </c>
      <c r="AE234" s="224">
        <v>0.18965517241379309</v>
      </c>
      <c r="AF234" s="224">
        <v>0</v>
      </c>
      <c r="AG234" s="259">
        <v>0.1761006289308176</v>
      </c>
      <c r="AH234" s="261">
        <v>1.0402038799604723E-3</v>
      </c>
      <c r="AI234" s="261">
        <v>1.5567086730911787E-3</v>
      </c>
      <c r="AJ234" s="261">
        <v>2.0890395060582144E-3</v>
      </c>
      <c r="AK234" s="261">
        <v>1.7740981667652277E-3</v>
      </c>
      <c r="AL234" s="261">
        <v>0</v>
      </c>
      <c r="AM234" s="262">
        <v>1.5360308961643115E-3</v>
      </c>
    </row>
    <row r="235" spans="1:39" x14ac:dyDescent="0.25">
      <c r="A235" s="215" t="str">
        <v>5496-NalDowsari</v>
      </c>
      <c r="B235" s="215" t="str">
        <v>HARASHID</v>
      </c>
      <c r="C235" s="215" t="str">
        <v>Hamzah Al Makhadam</v>
      </c>
      <c r="D235" s="239">
        <v>8936.2000000000007</v>
      </c>
      <c r="E235" s="239">
        <v>0</v>
      </c>
      <c r="F235" s="239">
        <v>8243.16</v>
      </c>
      <c r="G235" s="239">
        <v>10714.829999999998</v>
      </c>
      <c r="H235" s="239">
        <v>648.03</v>
      </c>
      <c r="I235" s="257">
        <v>28542.219999999998</v>
      </c>
      <c r="J235" s="240">
        <v>425.53333333333336</v>
      </c>
      <c r="K235" s="240" t="str">
        <v/>
      </c>
      <c r="L235" s="240">
        <v>222.7881081081081</v>
      </c>
      <c r="M235" s="240">
        <v>396.84555555555551</v>
      </c>
      <c r="N235" s="240">
        <v>324.01499999999999</v>
      </c>
      <c r="O235" s="258">
        <v>328.07149425287355</v>
      </c>
      <c r="P235" s="224">
        <v>0.21750575454869175</v>
      </c>
      <c r="Q235" s="224">
        <v>0</v>
      </c>
      <c r="R235" s="224">
        <v>0.19048178037736058</v>
      </c>
      <c r="S235" s="224">
        <v>0.23843234310947409</v>
      </c>
      <c r="T235" s="224">
        <v>4.9512727161592739E-2</v>
      </c>
      <c r="U235" s="259">
        <v>0.14352020231656978</v>
      </c>
      <c r="V235" s="239">
        <v>21</v>
      </c>
      <c r="W235" s="239">
        <v>0</v>
      </c>
      <c r="X235" s="239">
        <v>37</v>
      </c>
      <c r="Y235" s="239">
        <v>27</v>
      </c>
      <c r="Z235" s="239">
        <v>2</v>
      </c>
      <c r="AA235" s="257">
        <v>87</v>
      </c>
      <c r="AB235" s="224">
        <v>0.12883435582822086</v>
      </c>
      <c r="AC235" s="224">
        <v>0</v>
      </c>
      <c r="AD235" s="224">
        <v>0.20108695652173914</v>
      </c>
      <c r="AE235" s="224">
        <v>0.15517241379310345</v>
      </c>
      <c r="AF235" s="224">
        <v>5.2631578947368418E-2</v>
      </c>
      <c r="AG235" s="259">
        <v>0.10943396226415095</v>
      </c>
      <c r="AH235" s="261">
        <v>1.0922140739584958E-3</v>
      </c>
      <c r="AI235" s="261">
        <v>0</v>
      </c>
      <c r="AJ235" s="261">
        <v>1.7176547049811987E-3</v>
      </c>
      <c r="AK235" s="261">
        <v>1.4515348637170044E-3</v>
      </c>
      <c r="AL235" s="261">
        <v>4.1710114702815432E-4</v>
      </c>
      <c r="AM235" s="262">
        <v>9.545334854735364E-4</v>
      </c>
    </row>
    <row r="236" spans="1:39" x14ac:dyDescent="0.25">
      <c r="A236" s="215" t="str">
        <v>4462-WAlsaleh</v>
      </c>
      <c r="B236" s="215" t="str">
        <v>HARASHID</v>
      </c>
      <c r="C236" s="215" t="str">
        <v>Hamzah Al Makhadam</v>
      </c>
      <c r="D236" s="239">
        <v>0</v>
      </c>
      <c r="E236" s="239">
        <v>1619.02</v>
      </c>
      <c r="F236" s="239">
        <v>0</v>
      </c>
      <c r="G236" s="239">
        <v>0</v>
      </c>
      <c r="H236" s="239">
        <v>0</v>
      </c>
      <c r="I236" s="257">
        <v>1619.02</v>
      </c>
      <c r="J236" s="240" t="str">
        <v/>
      </c>
      <c r="K236" s="240">
        <v>179.89111111111112</v>
      </c>
      <c r="L236" s="240" t="str">
        <v/>
      </c>
      <c r="M236" s="240" t="str">
        <v/>
      </c>
      <c r="N236" s="240" t="str">
        <v/>
      </c>
      <c r="O236" s="258">
        <v>179.89111111111112</v>
      </c>
      <c r="P236" s="224">
        <v>0</v>
      </c>
      <c r="Q236" s="224">
        <v>2.8662592344544536E-2</v>
      </c>
      <c r="R236" s="224">
        <v>0</v>
      </c>
      <c r="S236" s="224">
        <v>0</v>
      </c>
      <c r="T236" s="224">
        <v>0</v>
      </c>
      <c r="U236" s="259">
        <v>8.1409952678723942E-3</v>
      </c>
      <c r="V236" s="239">
        <v>0</v>
      </c>
      <c r="W236" s="239">
        <v>9</v>
      </c>
      <c r="X236" s="239">
        <v>0</v>
      </c>
      <c r="Y236" s="239">
        <v>0</v>
      </c>
      <c r="Z236" s="239">
        <v>0</v>
      </c>
      <c r="AA236" s="257">
        <v>9</v>
      </c>
      <c r="AB236" s="224">
        <v>0</v>
      </c>
      <c r="AC236" s="224">
        <v>3.8135593220338986E-2</v>
      </c>
      <c r="AD236" s="224">
        <v>0</v>
      </c>
      <c r="AE236" s="224">
        <v>0</v>
      </c>
      <c r="AF236" s="224">
        <v>0</v>
      </c>
      <c r="AG236" s="259">
        <v>1.1320754716981131E-2</v>
      </c>
      <c r="AH236" s="261">
        <v>0</v>
      </c>
      <c r="AI236" s="261">
        <v>3.3358042994810971E-4</v>
      </c>
      <c r="AJ236" s="261">
        <v>0</v>
      </c>
      <c r="AK236" s="261">
        <v>0</v>
      </c>
      <c r="AL236" s="261">
        <v>0</v>
      </c>
      <c r="AM236" s="262">
        <v>9.8744843324848595E-5</v>
      </c>
    </row>
    <row r="237" spans="1:39" x14ac:dyDescent="0.25">
      <c r="A237" s="215" t="str">
        <v>4090-HibahAlMohaimeed</v>
      </c>
      <c r="B237" s="215" t="str">
        <v>HASEHSA</v>
      </c>
      <c r="C237" s="215" t="str">
        <v>Hamzah Al Makhadam</v>
      </c>
      <c r="D237" s="239">
        <v>18185.27</v>
      </c>
      <c r="E237" s="239">
        <v>11400.19</v>
      </c>
      <c r="F237" s="239">
        <v>4101.0600000000004</v>
      </c>
      <c r="G237" s="239">
        <v>2887.88</v>
      </c>
      <c r="H237" s="239">
        <v>2619</v>
      </c>
      <c r="I237" s="257">
        <v>39193.399999999994</v>
      </c>
      <c r="J237" s="240">
        <v>171.55915094339622</v>
      </c>
      <c r="K237" s="240">
        <v>190.00316666666669</v>
      </c>
      <c r="L237" s="240">
        <v>164.04240000000001</v>
      </c>
      <c r="M237" s="240">
        <v>180.49250000000001</v>
      </c>
      <c r="N237" s="240">
        <v>238.09090909090909</v>
      </c>
      <c r="O237" s="258">
        <v>179.78623853211008</v>
      </c>
      <c r="P237" s="224">
        <v>0.36747681454770309</v>
      </c>
      <c r="Q237" s="224">
        <v>0.25309244957883015</v>
      </c>
      <c r="R237" s="224">
        <v>0.13105233388616735</v>
      </c>
      <c r="S237" s="224">
        <v>8.4635448721330331E-2</v>
      </c>
      <c r="T237" s="224">
        <v>0.2272642469691592</v>
      </c>
      <c r="U237" s="259">
        <v>0.22857404795124669</v>
      </c>
      <c r="V237" s="239">
        <v>106</v>
      </c>
      <c r="W237" s="239">
        <v>60</v>
      </c>
      <c r="X237" s="239">
        <v>25</v>
      </c>
      <c r="Y237" s="239">
        <v>16</v>
      </c>
      <c r="Z237" s="239">
        <v>11</v>
      </c>
      <c r="AA237" s="257">
        <v>218</v>
      </c>
      <c r="AB237" s="224">
        <v>0.37588652482269502</v>
      </c>
      <c r="AC237" s="224">
        <v>0.22058823529411764</v>
      </c>
      <c r="AD237" s="224">
        <v>0.11627906976744186</v>
      </c>
      <c r="AE237" s="224">
        <v>8.3333333333333329E-2</v>
      </c>
      <c r="AF237" s="224">
        <v>0.18333333333333332</v>
      </c>
      <c r="AG237" s="259">
        <v>0.21351616062683643</v>
      </c>
      <c r="AH237" s="261">
        <v>5.5130805637905031E-3</v>
      </c>
      <c r="AI237" s="261">
        <v>2.223869532987398E-3</v>
      </c>
      <c r="AJ237" s="261">
        <v>1.1605775033656748E-3</v>
      </c>
      <c r="AK237" s="261">
        <v>8.6016880812859521E-4</v>
      </c>
      <c r="AL237" s="261">
        <v>2.2940563086548487E-3</v>
      </c>
      <c r="AM237" s="262">
        <v>2.3918195383129991E-3</v>
      </c>
    </row>
    <row r="238" spans="1:39" x14ac:dyDescent="0.25">
      <c r="A238" s="215" t="str">
        <v>4125-FAlIbrahim</v>
      </c>
      <c r="B238" s="215" t="str">
        <v>HASEHSA</v>
      </c>
      <c r="C238" s="215" t="str">
        <v>Hamzah Al Makhadam</v>
      </c>
      <c r="D238" s="239">
        <v>10599.140000000001</v>
      </c>
      <c r="E238" s="239">
        <v>8609.07</v>
      </c>
      <c r="F238" s="239">
        <v>4864.0200000000004</v>
      </c>
      <c r="G238" s="239">
        <v>7278.05</v>
      </c>
      <c r="H238" s="239">
        <v>0</v>
      </c>
      <c r="I238" s="257">
        <v>31350.28</v>
      </c>
      <c r="J238" s="240">
        <v>199.98377358490569</v>
      </c>
      <c r="K238" s="240">
        <v>151.03631578947369</v>
      </c>
      <c r="L238" s="240">
        <v>152.00062500000001</v>
      </c>
      <c r="M238" s="240">
        <v>207.94428571428571</v>
      </c>
      <c r="N238" s="240" t="str">
        <v/>
      </c>
      <c r="O238" s="258">
        <v>177.12022598870055</v>
      </c>
      <c r="P238" s="224">
        <v>0.21418093897671808</v>
      </c>
      <c r="Q238" s="224">
        <v>0.19112757023309429</v>
      </c>
      <c r="R238" s="224">
        <v>0.15543327165878959</v>
      </c>
      <c r="S238" s="224">
        <v>0.21329869231625906</v>
      </c>
      <c r="T238" s="224">
        <v>0</v>
      </c>
      <c r="U238" s="259">
        <v>0.18283334449180247</v>
      </c>
      <c r="V238" s="239">
        <v>53</v>
      </c>
      <c r="W238" s="239">
        <v>57</v>
      </c>
      <c r="X238" s="239">
        <v>32</v>
      </c>
      <c r="Y238" s="239">
        <v>35</v>
      </c>
      <c r="Z238" s="239">
        <v>0</v>
      </c>
      <c r="AA238" s="257">
        <v>177</v>
      </c>
      <c r="AB238" s="224">
        <v>0.18794326241134751</v>
      </c>
      <c r="AC238" s="224">
        <v>0.20955882352941177</v>
      </c>
      <c r="AD238" s="224">
        <v>0.14883720930232558</v>
      </c>
      <c r="AE238" s="224">
        <v>0.18229166666666666</v>
      </c>
      <c r="AF238" s="224">
        <v>0</v>
      </c>
      <c r="AG238" s="259">
        <v>0.17335945151811949</v>
      </c>
      <c r="AH238" s="261">
        <v>2.7565402818952515E-3</v>
      </c>
      <c r="AI238" s="261">
        <v>2.112676056338028E-3</v>
      </c>
      <c r="AJ238" s="261">
        <v>1.4855392043080637E-3</v>
      </c>
      <c r="AK238" s="261">
        <v>1.8816192677813021E-3</v>
      </c>
      <c r="AL238" s="261">
        <v>0</v>
      </c>
      <c r="AM238" s="262">
        <v>1.9419819187220222E-3</v>
      </c>
    </row>
    <row r="239" spans="1:39" x14ac:dyDescent="0.25">
      <c r="A239" s="215" t="str">
        <v>4109-HAlZahrani</v>
      </c>
      <c r="B239" s="215" t="str">
        <v>HASEHSA</v>
      </c>
      <c r="C239" s="215" t="str">
        <v>Hamzah Al Makhadam</v>
      </c>
      <c r="D239" s="239">
        <v>6191.16</v>
      </c>
      <c r="E239" s="239">
        <v>7442.1299999999992</v>
      </c>
      <c r="F239" s="239">
        <v>6004.09</v>
      </c>
      <c r="G239" s="239">
        <v>7114.85</v>
      </c>
      <c r="H239" s="239">
        <v>3635.95</v>
      </c>
      <c r="I239" s="257">
        <v>30388.179999999997</v>
      </c>
      <c r="J239" s="240">
        <v>143.98046511627908</v>
      </c>
      <c r="K239" s="240">
        <v>148.84259999999998</v>
      </c>
      <c r="L239" s="240">
        <v>150.10225</v>
      </c>
      <c r="M239" s="240">
        <v>229.51129032258066</v>
      </c>
      <c r="N239" s="240">
        <v>191.3657894736842</v>
      </c>
      <c r="O239" s="258">
        <v>166.05562841530053</v>
      </c>
      <c r="P239" s="224">
        <v>0.125107174936372</v>
      </c>
      <c r="Q239" s="224">
        <v>0.16522065963673402</v>
      </c>
      <c r="R239" s="224">
        <v>0.19186503181192141</v>
      </c>
      <c r="S239" s="224">
        <v>0.20851577016183398</v>
      </c>
      <c r="T239" s="224">
        <v>0.31551028589824909</v>
      </c>
      <c r="U239" s="259">
        <v>0.17722242297098789</v>
      </c>
      <c r="V239" s="239">
        <v>43</v>
      </c>
      <c r="W239" s="239">
        <v>50</v>
      </c>
      <c r="X239" s="239">
        <v>40</v>
      </c>
      <c r="Y239" s="239">
        <v>31</v>
      </c>
      <c r="Z239" s="239">
        <v>19</v>
      </c>
      <c r="AA239" s="257">
        <v>183</v>
      </c>
      <c r="AB239" s="224">
        <v>0.1524822695035461</v>
      </c>
      <c r="AC239" s="224">
        <v>0.18382352941176472</v>
      </c>
      <c r="AD239" s="224">
        <v>0.18604651162790697</v>
      </c>
      <c r="AE239" s="224">
        <v>0.16145833333333334</v>
      </c>
      <c r="AF239" s="224">
        <v>0.31666666666666665</v>
      </c>
      <c r="AG239" s="259">
        <v>0.1792360430950049</v>
      </c>
      <c r="AH239" s="261">
        <v>2.2364383419150153E-3</v>
      </c>
      <c r="AI239" s="261">
        <v>1.8532246108228317E-3</v>
      </c>
      <c r="AJ239" s="261">
        <v>1.8569240053850796E-3</v>
      </c>
      <c r="AK239" s="261">
        <v>1.6665770657491533E-3</v>
      </c>
      <c r="AL239" s="261">
        <v>3.962460896767466E-3</v>
      </c>
      <c r="AM239" s="262">
        <v>2.0078118142719216E-3</v>
      </c>
    </row>
    <row r="240" spans="1:39" x14ac:dyDescent="0.25">
      <c r="A240" s="215" t="str">
        <v>4103-ZAlHadhari</v>
      </c>
      <c r="B240" s="215" t="str">
        <v>HASEHSA</v>
      </c>
      <c r="C240" s="215" t="str">
        <v>Hamzah Al Makhadam</v>
      </c>
      <c r="D240" s="239">
        <v>6067.15</v>
      </c>
      <c r="E240" s="239">
        <v>8725.16</v>
      </c>
      <c r="F240" s="239">
        <v>6942.0400000000009</v>
      </c>
      <c r="G240" s="239">
        <v>4295.91</v>
      </c>
      <c r="H240" s="239">
        <v>2930.09</v>
      </c>
      <c r="I240" s="257">
        <v>28960.35</v>
      </c>
      <c r="J240" s="240">
        <v>144.45595238095237</v>
      </c>
      <c r="K240" s="240">
        <v>145.41933333333333</v>
      </c>
      <c r="L240" s="240">
        <v>141.67428571428573</v>
      </c>
      <c r="M240" s="240">
        <v>171.8364</v>
      </c>
      <c r="N240" s="240">
        <v>195.33933333333334</v>
      </c>
      <c r="O240" s="258">
        <v>151.62486910994764</v>
      </c>
      <c r="P240" s="224">
        <v>0.1226012566974863</v>
      </c>
      <c r="Q240" s="224">
        <v>0.19370485205660831</v>
      </c>
      <c r="R240" s="224">
        <v>0.2218379014038149</v>
      </c>
      <c r="S240" s="224">
        <v>0.12590075436529569</v>
      </c>
      <c r="T240" s="224">
        <v>0.25425914371968833</v>
      </c>
      <c r="U240" s="259">
        <v>0.16889538620239347</v>
      </c>
      <c r="V240" s="239">
        <v>42</v>
      </c>
      <c r="W240" s="239">
        <v>60</v>
      </c>
      <c r="X240" s="239">
        <v>49</v>
      </c>
      <c r="Y240" s="239">
        <v>25</v>
      </c>
      <c r="Z240" s="239">
        <v>15</v>
      </c>
      <c r="AA240" s="257">
        <v>191</v>
      </c>
      <c r="AB240" s="224">
        <v>0.14893617021276595</v>
      </c>
      <c r="AC240" s="224">
        <v>0.22058823529411764</v>
      </c>
      <c r="AD240" s="224">
        <v>0.22790697674418606</v>
      </c>
      <c r="AE240" s="224">
        <v>0.13020833333333334</v>
      </c>
      <c r="AF240" s="224">
        <v>0.25</v>
      </c>
      <c r="AG240" s="259">
        <v>0.18707149853085211</v>
      </c>
      <c r="AH240" s="261">
        <v>2.1844281479169916E-3</v>
      </c>
      <c r="AI240" s="261">
        <v>2.223869532987398E-3</v>
      </c>
      <c r="AJ240" s="261">
        <v>2.2747319065967225E-3</v>
      </c>
      <c r="AK240" s="261">
        <v>1.34401376270093E-3</v>
      </c>
      <c r="AL240" s="261">
        <v>3.1282586027111575E-3</v>
      </c>
      <c r="AM240" s="262">
        <v>2.0955850083384533E-3</v>
      </c>
    </row>
    <row r="241" spans="1:39" x14ac:dyDescent="0.25">
      <c r="A241" s="215" t="str">
        <v>4106-SAlhajjiahmed</v>
      </c>
      <c r="B241" s="215" t="str">
        <v>HASEHSA</v>
      </c>
      <c r="C241" s="215" t="str">
        <v>Hamzah Al Makhadam</v>
      </c>
      <c r="D241" s="239">
        <v>8444.130000000001</v>
      </c>
      <c r="E241" s="239">
        <v>8867.0300000000007</v>
      </c>
      <c r="F241" s="239">
        <v>2352.0299999999997</v>
      </c>
      <c r="G241" s="239">
        <v>5861.79</v>
      </c>
      <c r="H241" s="239">
        <v>539.02</v>
      </c>
      <c r="I241" s="257">
        <v>26064.000000000004</v>
      </c>
      <c r="J241" s="240">
        <v>222.21394736842109</v>
      </c>
      <c r="K241" s="240">
        <v>197.04511111111111</v>
      </c>
      <c r="L241" s="240">
        <v>112.00142857142856</v>
      </c>
      <c r="M241" s="240">
        <v>154.25763157894735</v>
      </c>
      <c r="N241" s="240">
        <v>77.002857142857138</v>
      </c>
      <c r="O241" s="258">
        <v>174.92617449664431</v>
      </c>
      <c r="P241" s="224">
        <v>0.1706338148417206</v>
      </c>
      <c r="Q241" s="224">
        <v>0.19685446849473337</v>
      </c>
      <c r="R241" s="224">
        <v>7.5160817171726846E-2</v>
      </c>
      <c r="S241" s="224">
        <v>0.1717921890660993</v>
      </c>
      <c r="T241" s="224">
        <v>4.6773567927192131E-2</v>
      </c>
      <c r="U241" s="259">
        <v>0.15200401051710991</v>
      </c>
      <c r="V241" s="239">
        <v>38</v>
      </c>
      <c r="W241" s="239">
        <v>45</v>
      </c>
      <c r="X241" s="239">
        <v>21</v>
      </c>
      <c r="Y241" s="239">
        <v>38</v>
      </c>
      <c r="Z241" s="239">
        <v>7</v>
      </c>
      <c r="AA241" s="257">
        <v>149</v>
      </c>
      <c r="AB241" s="224">
        <v>0.13475177304964539</v>
      </c>
      <c r="AC241" s="224">
        <v>0.16544117647058823</v>
      </c>
      <c r="AD241" s="224">
        <v>9.7674418604651161E-2</v>
      </c>
      <c r="AE241" s="224">
        <v>0.19791666666666666</v>
      </c>
      <c r="AF241" s="224">
        <v>0.11666666666666667</v>
      </c>
      <c r="AG241" s="259">
        <v>0.14593535749265427</v>
      </c>
      <c r="AH241" s="261">
        <v>1.9763873719248972E-3</v>
      </c>
      <c r="AI241" s="261">
        <v>1.6679021497405485E-3</v>
      </c>
      <c r="AJ241" s="261">
        <v>9.748851028271668E-4</v>
      </c>
      <c r="AK241" s="261">
        <v>2.0429009193054137E-3</v>
      </c>
      <c r="AL241" s="261">
        <v>1.4598540145985401E-3</v>
      </c>
      <c r="AM241" s="262">
        <v>1.63477573948916E-3</v>
      </c>
    </row>
    <row r="242" spans="1:39" x14ac:dyDescent="0.25">
      <c r="A242" s="215" t="str">
        <v>4107-MAlsailek</v>
      </c>
      <c r="B242" s="215" t="str">
        <v>HASEHSA</v>
      </c>
      <c r="C242" s="215" t="str">
        <v>Hamzah Al Makhadam</v>
      </c>
      <c r="D242" s="239">
        <v>0</v>
      </c>
      <c r="E242" s="239">
        <v>0</v>
      </c>
      <c r="F242" s="239">
        <v>5241.05</v>
      </c>
      <c r="G242" s="239">
        <v>5672.91</v>
      </c>
      <c r="H242" s="239">
        <v>1799.97</v>
      </c>
      <c r="I242" s="257">
        <v>12713.929999999998</v>
      </c>
      <c r="J242" s="240" t="str">
        <v/>
      </c>
      <c r="K242" s="240" t="str">
        <v/>
      </c>
      <c r="L242" s="240">
        <v>154.14852941176471</v>
      </c>
      <c r="M242" s="240">
        <v>145.45923076923077</v>
      </c>
      <c r="N242" s="240">
        <v>224.99625</v>
      </c>
      <c r="O242" s="258">
        <v>156.96209876543207</v>
      </c>
      <c r="P242" s="224">
        <v>0</v>
      </c>
      <c r="Q242" s="224">
        <v>0</v>
      </c>
      <c r="R242" s="224">
        <v>0.16748153758152703</v>
      </c>
      <c r="S242" s="224">
        <v>0.16625666004325734</v>
      </c>
      <c r="T242" s="224">
        <v>0.15619275548571115</v>
      </c>
      <c r="U242" s="259">
        <v>7.4147036120081292E-2</v>
      </c>
      <c r="V242" s="239">
        <v>0</v>
      </c>
      <c r="W242" s="239">
        <v>0</v>
      </c>
      <c r="X242" s="239">
        <v>34</v>
      </c>
      <c r="Y242" s="239">
        <v>39</v>
      </c>
      <c r="Z242" s="239">
        <v>8</v>
      </c>
      <c r="AA242" s="257">
        <v>81</v>
      </c>
      <c r="AB242" s="224">
        <v>0</v>
      </c>
      <c r="AC242" s="224">
        <v>0</v>
      </c>
      <c r="AD242" s="224">
        <v>0.15813953488372093</v>
      </c>
      <c r="AE242" s="224">
        <v>0.203125</v>
      </c>
      <c r="AF242" s="224">
        <v>0.13333333333333333</v>
      </c>
      <c r="AG242" s="259">
        <v>7.933398628795299E-2</v>
      </c>
      <c r="AH242" s="261">
        <v>0</v>
      </c>
      <c r="AI242" s="261">
        <v>0</v>
      </c>
      <c r="AJ242" s="261">
        <v>1.5783854045773177E-3</v>
      </c>
      <c r="AK242" s="261">
        <v>2.0966614698134508E-3</v>
      </c>
      <c r="AL242" s="261">
        <v>1.6684045881126173E-3</v>
      </c>
      <c r="AM242" s="262">
        <v>8.887035899236373E-4</v>
      </c>
    </row>
    <row r="243" spans="1:39" x14ac:dyDescent="0.25">
      <c r="A243" s="215" t="str">
        <v>4117-TAlamer</v>
      </c>
      <c r="B243" s="215" t="str">
        <v>HASEHSA</v>
      </c>
      <c r="C243" s="215" t="str">
        <v>Hamzah Al Makhadam</v>
      </c>
      <c r="D243" s="239">
        <v>0</v>
      </c>
      <c r="E243" s="239">
        <v>0</v>
      </c>
      <c r="F243" s="239">
        <v>1789.01</v>
      </c>
      <c r="G243" s="239">
        <v>1010.01</v>
      </c>
      <c r="H243" s="239">
        <v>0</v>
      </c>
      <c r="I243" s="257">
        <v>2799.02</v>
      </c>
      <c r="J243" s="240" t="str">
        <v/>
      </c>
      <c r="K243" s="240" t="str">
        <v/>
      </c>
      <c r="L243" s="240">
        <v>127.78642857142857</v>
      </c>
      <c r="M243" s="240">
        <v>126.25125</v>
      </c>
      <c r="N243" s="240" t="str">
        <v/>
      </c>
      <c r="O243" s="258">
        <v>127.22818181818182</v>
      </c>
      <c r="P243" s="224">
        <v>0</v>
      </c>
      <c r="Q243" s="224">
        <v>0</v>
      </c>
      <c r="R243" s="224">
        <v>5.7169106486052924E-2</v>
      </c>
      <c r="S243" s="224">
        <v>2.9600485325924498E-2</v>
      </c>
      <c r="T243" s="224">
        <v>0</v>
      </c>
      <c r="U243" s="259">
        <v>1.6323751746378182E-2</v>
      </c>
      <c r="V243" s="239">
        <v>0</v>
      </c>
      <c r="W243" s="239">
        <v>0</v>
      </c>
      <c r="X243" s="239">
        <v>14</v>
      </c>
      <c r="Y243" s="239">
        <v>8</v>
      </c>
      <c r="Z243" s="239">
        <v>0</v>
      </c>
      <c r="AA243" s="257">
        <v>22</v>
      </c>
      <c r="AB243" s="224">
        <v>0</v>
      </c>
      <c r="AC243" s="224">
        <v>0</v>
      </c>
      <c r="AD243" s="224">
        <v>6.5116279069767441E-2</v>
      </c>
      <c r="AE243" s="224">
        <v>4.1666666666666664E-2</v>
      </c>
      <c r="AF243" s="224">
        <v>0</v>
      </c>
      <c r="AG243" s="259">
        <v>2.1547502448579822E-2</v>
      </c>
      <c r="AH243" s="261">
        <v>0</v>
      </c>
      <c r="AI243" s="261">
        <v>0</v>
      </c>
      <c r="AJ243" s="261">
        <v>6.499234018847779E-4</v>
      </c>
      <c r="AK243" s="261">
        <v>4.300844040642976E-4</v>
      </c>
      <c r="AL243" s="261">
        <v>0</v>
      </c>
      <c r="AM243" s="262">
        <v>2.4137628368296323E-4</v>
      </c>
    </row>
    <row r="244" spans="1:39" x14ac:dyDescent="0.25">
      <c r="A244" s="215" t="str">
        <v>6825-BMohamed</v>
      </c>
      <c r="B244" s="215" t="str">
        <v>HASHKAVNUE</v>
      </c>
      <c r="C244" s="215" t="str">
        <v>Hamzah Al Makhadam</v>
      </c>
      <c r="D244" s="239">
        <v>14818.23</v>
      </c>
      <c r="E244" s="239">
        <v>42860.880000000005</v>
      </c>
      <c r="F244" s="239">
        <v>31576.44</v>
      </c>
      <c r="G244" s="239">
        <v>27279.72</v>
      </c>
      <c r="H244" s="239">
        <v>9094.89</v>
      </c>
      <c r="I244" s="257">
        <v>125630.16</v>
      </c>
      <c r="J244" s="240">
        <v>217.91514705882352</v>
      </c>
      <c r="K244" s="240">
        <v>287.65691275167791</v>
      </c>
      <c r="L244" s="240">
        <v>385.07853658536584</v>
      </c>
      <c r="M244" s="240">
        <v>309.99681818181818</v>
      </c>
      <c r="N244" s="240">
        <v>293.38354838709677</v>
      </c>
      <c r="O244" s="258">
        <v>300.55062200956939</v>
      </c>
      <c r="P244" s="224">
        <v>0.1319909679603089</v>
      </c>
      <c r="Q244" s="224">
        <v>0.2916780569168847</v>
      </c>
      <c r="R244" s="224">
        <v>0.24731564135282966</v>
      </c>
      <c r="S244" s="224">
        <v>0.23748670326332541</v>
      </c>
      <c r="T244" s="224">
        <v>0.27215078323219694</v>
      </c>
      <c r="U244" s="259">
        <v>0.2347452805804201</v>
      </c>
      <c r="V244" s="239">
        <v>68</v>
      </c>
      <c r="W244" s="239">
        <v>149</v>
      </c>
      <c r="X244" s="239">
        <v>82</v>
      </c>
      <c r="Y244" s="239">
        <v>88</v>
      </c>
      <c r="Z244" s="239">
        <v>31</v>
      </c>
      <c r="AA244" s="257">
        <v>418</v>
      </c>
      <c r="AB244" s="224">
        <v>0.12854442344045369</v>
      </c>
      <c r="AC244" s="224">
        <v>0.22817764165390506</v>
      </c>
      <c r="AD244" s="224">
        <v>0.17558886509635974</v>
      </c>
      <c r="AE244" s="224">
        <v>0.18843683083511778</v>
      </c>
      <c r="AF244" s="224">
        <v>0.23308270676691728</v>
      </c>
      <c r="AG244" s="259">
        <v>0.18586038239217431</v>
      </c>
      <c r="AH244" s="261">
        <v>3.5366931918656055E-3</v>
      </c>
      <c r="AI244" s="261">
        <v>5.5226093402520387E-3</v>
      </c>
      <c r="AJ244" s="261">
        <v>3.8066942110394132E-3</v>
      </c>
      <c r="AK244" s="261">
        <v>4.7309284447072742E-3</v>
      </c>
      <c r="AL244" s="261">
        <v>6.4650677789363925E-3</v>
      </c>
      <c r="AM244" s="262">
        <v>4.5861493899763016E-3</v>
      </c>
    </row>
    <row r="245" spans="1:39" x14ac:dyDescent="0.25">
      <c r="A245" s="215" t="str">
        <v>4875-SAlnajim</v>
      </c>
      <c r="B245" s="215" t="str">
        <v>HASHKAVNUE</v>
      </c>
      <c r="C245" s="215" t="str">
        <v>Hamzah Al Makhadam</v>
      </c>
      <c r="D245" s="239">
        <v>24616.569999999996</v>
      </c>
      <c r="E245" s="239">
        <v>19809.38</v>
      </c>
      <c r="F245" s="239">
        <v>23958.23</v>
      </c>
      <c r="G245" s="239">
        <v>14994.630000000001</v>
      </c>
      <c r="H245" s="239">
        <v>6701.17</v>
      </c>
      <c r="I245" s="257">
        <v>90079.98</v>
      </c>
      <c r="J245" s="240">
        <v>282.94908045977007</v>
      </c>
      <c r="K245" s="240">
        <v>230.34162790697675</v>
      </c>
      <c r="L245" s="240">
        <v>303.26873417721521</v>
      </c>
      <c r="M245" s="240">
        <v>272.62963636363639</v>
      </c>
      <c r="N245" s="240">
        <v>352.69315789473683</v>
      </c>
      <c r="O245" s="258">
        <v>276.3189570552147</v>
      </c>
      <c r="P245" s="224">
        <v>0.21926808412089036</v>
      </c>
      <c r="Q245" s="224">
        <v>0.13480734569911298</v>
      </c>
      <c r="R245" s="224">
        <v>0.18764765813146145</v>
      </c>
      <c r="S245" s="224">
        <v>0.13053745585927412</v>
      </c>
      <c r="T245" s="224">
        <v>0.20052234431335633</v>
      </c>
      <c r="U245" s="259">
        <v>0.16831826195062261</v>
      </c>
      <c r="V245" s="239">
        <v>87</v>
      </c>
      <c r="W245" s="239">
        <v>86</v>
      </c>
      <c r="X245" s="239">
        <v>79</v>
      </c>
      <c r="Y245" s="239">
        <v>55</v>
      </c>
      <c r="Z245" s="239">
        <v>19</v>
      </c>
      <c r="AA245" s="257">
        <v>326</v>
      </c>
      <c r="AB245" s="224">
        <v>0.16446124763705103</v>
      </c>
      <c r="AC245" s="224">
        <v>0.13169984686064318</v>
      </c>
      <c r="AD245" s="224">
        <v>0.16916488222698073</v>
      </c>
      <c r="AE245" s="224">
        <v>0.11777301927194861</v>
      </c>
      <c r="AF245" s="224">
        <v>0.14285714285714285</v>
      </c>
      <c r="AG245" s="259">
        <v>0.14495331258337038</v>
      </c>
      <c r="AH245" s="261">
        <v>4.5248868778280547E-3</v>
      </c>
      <c r="AI245" s="261">
        <v>3.1875463306152707E-3</v>
      </c>
      <c r="AJ245" s="261">
        <v>3.6674249106355321E-3</v>
      </c>
      <c r="AK245" s="261">
        <v>2.9568302779420462E-3</v>
      </c>
      <c r="AL245" s="261">
        <v>3.962460896767466E-3</v>
      </c>
      <c r="AM245" s="262">
        <v>3.5767576582111825E-3</v>
      </c>
    </row>
    <row r="246" spans="1:39" x14ac:dyDescent="0.25">
      <c r="A246" s="215" t="str">
        <v>7055-AAlessa</v>
      </c>
      <c r="B246" s="215" t="str">
        <v>HASHKAVNUE</v>
      </c>
      <c r="C246" s="215" t="str">
        <v>Hamzah Al Makhadam</v>
      </c>
      <c r="D246" s="239">
        <v>21065.34</v>
      </c>
      <c r="E246" s="239">
        <v>11331.2</v>
      </c>
      <c r="F246" s="239">
        <v>13917.2</v>
      </c>
      <c r="G246" s="239">
        <v>15275.34</v>
      </c>
      <c r="H246" s="239">
        <v>4375.0599999999995</v>
      </c>
      <c r="I246" s="257">
        <v>65964.14</v>
      </c>
      <c r="J246" s="240">
        <v>231.48725274725274</v>
      </c>
      <c r="K246" s="240">
        <v>263.51627906976745</v>
      </c>
      <c r="L246" s="240">
        <v>231.95333333333335</v>
      </c>
      <c r="M246" s="240">
        <v>209.25123287671232</v>
      </c>
      <c r="N246" s="240">
        <v>218.75299999999999</v>
      </c>
      <c r="O246" s="258">
        <v>229.84020905923344</v>
      </c>
      <c r="P246" s="224">
        <v>0.18763608184061212</v>
      </c>
      <c r="Q246" s="224">
        <v>7.7111398518569935E-2</v>
      </c>
      <c r="R246" s="224">
        <v>0.10900346092959186</v>
      </c>
      <c r="S246" s="224">
        <v>0.13298120867173141</v>
      </c>
      <c r="T246" s="224">
        <v>0.13091703205732619</v>
      </c>
      <c r="U246" s="259">
        <v>0.12325679241788844</v>
      </c>
      <c r="V246" s="239">
        <v>91</v>
      </c>
      <c r="W246" s="239">
        <v>43</v>
      </c>
      <c r="X246" s="239">
        <v>60</v>
      </c>
      <c r="Y246" s="239">
        <v>73</v>
      </c>
      <c r="Z246" s="239">
        <v>20</v>
      </c>
      <c r="AA246" s="257">
        <v>287</v>
      </c>
      <c r="AB246" s="224">
        <v>0.17202268431001891</v>
      </c>
      <c r="AC246" s="224">
        <v>6.5849923430321589E-2</v>
      </c>
      <c r="AD246" s="224">
        <v>0.1284796573875803</v>
      </c>
      <c r="AE246" s="224">
        <v>0.15631691648822268</v>
      </c>
      <c r="AF246" s="224">
        <v>0.15037593984962405</v>
      </c>
      <c r="AG246" s="259">
        <v>0.12761227212094264</v>
      </c>
      <c r="AH246" s="261">
        <v>4.7329276538201487E-3</v>
      </c>
      <c r="AI246" s="261">
        <v>1.5937731653076354E-3</v>
      </c>
      <c r="AJ246" s="261">
        <v>2.7853860080776192E-3</v>
      </c>
      <c r="AK246" s="261">
        <v>3.9245201870867158E-3</v>
      </c>
      <c r="AL246" s="261">
        <v>4.1710114702815434E-3</v>
      </c>
      <c r="AM246" s="262">
        <v>3.1488633371368384E-3</v>
      </c>
    </row>
    <row r="247" spans="1:39" x14ac:dyDescent="0.25">
      <c r="A247" s="215" t="str">
        <v>7305-FAlRumaithan</v>
      </c>
      <c r="B247" s="215" t="str">
        <v>HASHKAVNUE</v>
      </c>
      <c r="C247" s="215" t="str">
        <v>Hamzah Al Makhadam</v>
      </c>
      <c r="D247" s="239">
        <v>7893.99</v>
      </c>
      <c r="E247" s="239">
        <v>11482.150000000001</v>
      </c>
      <c r="F247" s="239">
        <v>12481.28</v>
      </c>
      <c r="G247" s="239">
        <v>12061.880000000001</v>
      </c>
      <c r="H247" s="239">
        <v>3809.03</v>
      </c>
      <c r="I247" s="257">
        <v>47728.33</v>
      </c>
      <c r="J247" s="240">
        <v>164.458125</v>
      </c>
      <c r="K247" s="240">
        <v>182.25634920634923</v>
      </c>
      <c r="L247" s="240">
        <v>249.62560000000002</v>
      </c>
      <c r="M247" s="240">
        <v>294.19219512195127</v>
      </c>
      <c r="N247" s="240">
        <v>253.93533333333335</v>
      </c>
      <c r="O247" s="258">
        <v>219.94622119815668</v>
      </c>
      <c r="P247" s="224">
        <v>7.0314428995163311E-2</v>
      </c>
      <c r="Q247" s="224">
        <v>7.813864767191453E-2</v>
      </c>
      <c r="R247" s="224">
        <v>9.7756927890042269E-2</v>
      </c>
      <c r="S247" s="224">
        <v>0.10500606737744521</v>
      </c>
      <c r="T247" s="224">
        <v>0.11397944316588053</v>
      </c>
      <c r="U247" s="259">
        <v>8.9182408248822426E-2</v>
      </c>
      <c r="V247" s="239">
        <v>48</v>
      </c>
      <c r="W247" s="239">
        <v>63</v>
      </c>
      <c r="X247" s="239">
        <v>50</v>
      </c>
      <c r="Y247" s="239">
        <v>41</v>
      </c>
      <c r="Z247" s="239">
        <v>15</v>
      </c>
      <c r="AA247" s="257">
        <v>217</v>
      </c>
      <c r="AB247" s="224">
        <v>9.0737240075614373E-2</v>
      </c>
      <c r="AC247" s="224">
        <v>9.6477794793261865E-2</v>
      </c>
      <c r="AD247" s="224">
        <v>0.10706638115631692</v>
      </c>
      <c r="AE247" s="224">
        <v>8.7794432548179868E-2</v>
      </c>
      <c r="AF247" s="224">
        <v>0.11278195488721804</v>
      </c>
      <c r="AG247" s="259">
        <v>9.648732770120054E-2</v>
      </c>
      <c r="AH247" s="261">
        <v>2.4964893119051334E-3</v>
      </c>
      <c r="AI247" s="261">
        <v>2.335063009636768E-3</v>
      </c>
      <c r="AJ247" s="261">
        <v>2.3211550067313495E-3</v>
      </c>
      <c r="AK247" s="261">
        <v>2.2041825708295254E-3</v>
      </c>
      <c r="AL247" s="261">
        <v>3.1282586027111575E-3</v>
      </c>
      <c r="AM247" s="262">
        <v>2.3808478890546829E-3</v>
      </c>
    </row>
    <row r="248" spans="1:39" x14ac:dyDescent="0.25">
      <c r="A248" s="215" t="str">
        <v>6927-SAbuaeekal</v>
      </c>
      <c r="B248" s="215" t="str">
        <v>HASHKAVNUE</v>
      </c>
      <c r="C248" s="215" t="str">
        <v>Hamzah Al Makhadam</v>
      </c>
      <c r="D248" s="239">
        <v>15058.240000000002</v>
      </c>
      <c r="E248" s="239">
        <v>17172.43</v>
      </c>
      <c r="F248" s="239">
        <v>0</v>
      </c>
      <c r="G248" s="239">
        <v>9348.86</v>
      </c>
      <c r="H248" s="239">
        <v>2929.04</v>
      </c>
      <c r="I248" s="257">
        <v>44508.57</v>
      </c>
      <c r="J248" s="240">
        <v>185.90419753086422</v>
      </c>
      <c r="K248" s="240">
        <v>184.64978494623657</v>
      </c>
      <c r="L248" s="240" t="str">
        <v/>
      </c>
      <c r="M248" s="240">
        <v>198.91191489361702</v>
      </c>
      <c r="N248" s="240">
        <v>172.29647058823528</v>
      </c>
      <c r="O248" s="258">
        <v>187.01079831932773</v>
      </c>
      <c r="P248" s="224">
        <v>0.13412881790731027</v>
      </c>
      <c r="Q248" s="224">
        <v>0.11686229995607225</v>
      </c>
      <c r="R248" s="224">
        <v>0</v>
      </c>
      <c r="S248" s="224">
        <v>8.138756338666131E-2</v>
      </c>
      <c r="T248" s="224">
        <v>8.7647077657721437E-2</v>
      </c>
      <c r="U248" s="259">
        <v>8.3166150173519388E-2</v>
      </c>
      <c r="V248" s="239">
        <v>81</v>
      </c>
      <c r="W248" s="239">
        <v>93</v>
      </c>
      <c r="X248" s="239">
        <v>0</v>
      </c>
      <c r="Y248" s="239">
        <v>47</v>
      </c>
      <c r="Z248" s="239">
        <v>17</v>
      </c>
      <c r="AA248" s="257">
        <v>238</v>
      </c>
      <c r="AB248" s="224">
        <v>0.15311909262759923</v>
      </c>
      <c r="AC248" s="224">
        <v>0.14241960183767227</v>
      </c>
      <c r="AD248" s="224">
        <v>0</v>
      </c>
      <c r="AE248" s="224">
        <v>0.1006423982869379</v>
      </c>
      <c r="AF248" s="224">
        <v>0.12781954887218044</v>
      </c>
      <c r="AG248" s="259">
        <v>0.10582481102712317</v>
      </c>
      <c r="AH248" s="261">
        <v>4.2128257138399124E-3</v>
      </c>
      <c r="AI248" s="261">
        <v>3.446997776130467E-3</v>
      </c>
      <c r="AJ248" s="261">
        <v>0</v>
      </c>
      <c r="AK248" s="261">
        <v>2.5267458738777483E-3</v>
      </c>
      <c r="AL248" s="261">
        <v>3.545359749739312E-3</v>
      </c>
      <c r="AM248" s="262">
        <v>2.6112525234793294E-3</v>
      </c>
    </row>
    <row r="249" spans="1:39" x14ac:dyDescent="0.25">
      <c r="A249" s="215" t="str">
        <v>5304-AAlsabi</v>
      </c>
      <c r="B249" s="215" t="str">
        <v>HASHKAVNUE</v>
      </c>
      <c r="C249" s="215" t="str">
        <v>Hamzah Al Makhadam</v>
      </c>
      <c r="D249" s="239">
        <v>6709.1799999999994</v>
      </c>
      <c r="E249" s="239">
        <v>0</v>
      </c>
      <c r="F249" s="239">
        <v>16361.26</v>
      </c>
      <c r="G249" s="239">
        <v>17969.39</v>
      </c>
      <c r="H249" s="239">
        <v>2414.19</v>
      </c>
      <c r="I249" s="257">
        <v>43454.020000000004</v>
      </c>
      <c r="J249" s="240">
        <v>176.55736842105262</v>
      </c>
      <c r="K249" s="240" t="str">
        <v/>
      </c>
      <c r="L249" s="240">
        <v>282.09068965517241</v>
      </c>
      <c r="M249" s="240">
        <v>224.61737499999998</v>
      </c>
      <c r="N249" s="240">
        <v>241.41900000000001</v>
      </c>
      <c r="O249" s="258">
        <v>233.62376344086024</v>
      </c>
      <c r="P249" s="224">
        <v>5.9760927075632193E-2</v>
      </c>
      <c r="Q249" s="224">
        <v>0</v>
      </c>
      <c r="R249" s="224">
        <v>0.12814603261926924</v>
      </c>
      <c r="S249" s="224">
        <v>0.15643456717125273</v>
      </c>
      <c r="T249" s="224">
        <v>7.2240972608941675E-2</v>
      </c>
      <c r="U249" s="259">
        <v>8.1195678786425071E-2</v>
      </c>
      <c r="V249" s="239">
        <v>38</v>
      </c>
      <c r="W249" s="239">
        <v>0</v>
      </c>
      <c r="X249" s="239">
        <v>58</v>
      </c>
      <c r="Y249" s="239">
        <v>80</v>
      </c>
      <c r="Z249" s="239">
        <v>10</v>
      </c>
      <c r="AA249" s="257">
        <v>186</v>
      </c>
      <c r="AB249" s="224">
        <v>7.1833648393194713E-2</v>
      </c>
      <c r="AC249" s="224">
        <v>0</v>
      </c>
      <c r="AD249" s="224">
        <v>0.12419700214132762</v>
      </c>
      <c r="AE249" s="224">
        <v>0.17130620985010706</v>
      </c>
      <c r="AF249" s="224">
        <v>7.5187969924812026E-2</v>
      </c>
      <c r="AG249" s="259">
        <v>8.2703423743886173E-2</v>
      </c>
      <c r="AH249" s="261">
        <v>1.9763873719248972E-3</v>
      </c>
      <c r="AI249" s="261">
        <v>0</v>
      </c>
      <c r="AJ249" s="261">
        <v>2.6925398078083656E-3</v>
      </c>
      <c r="AK249" s="261">
        <v>4.3008440406429758E-3</v>
      </c>
      <c r="AL249" s="261">
        <v>2.0855057351407717E-3</v>
      </c>
      <c r="AM249" s="262">
        <v>2.040726762046871E-3</v>
      </c>
    </row>
    <row r="250" spans="1:39" x14ac:dyDescent="0.25">
      <c r="A250" s="215" t="str">
        <v>5025-MAlqahtani</v>
      </c>
      <c r="B250" s="215" t="str">
        <v>HASHKAVNUE</v>
      </c>
      <c r="C250" s="215" t="str">
        <v>Hamzah Al Makhadam</v>
      </c>
      <c r="D250" s="239">
        <v>0</v>
      </c>
      <c r="E250" s="239">
        <v>14376.34</v>
      </c>
      <c r="F250" s="239">
        <v>12646.119999999999</v>
      </c>
      <c r="G250" s="239">
        <v>12224.69</v>
      </c>
      <c r="H250" s="239">
        <v>3140.1000000000004</v>
      </c>
      <c r="I250" s="257">
        <v>42387.25</v>
      </c>
      <c r="J250" s="240" t="str">
        <v/>
      </c>
      <c r="K250" s="240">
        <v>211.41676470588234</v>
      </c>
      <c r="L250" s="240">
        <v>207.31344262295082</v>
      </c>
      <c r="M250" s="240">
        <v>226.38314814814817</v>
      </c>
      <c r="N250" s="240">
        <v>184.71176470588239</v>
      </c>
      <c r="O250" s="258">
        <v>211.93625</v>
      </c>
      <c r="P250" s="224">
        <v>0</v>
      </c>
      <c r="Q250" s="224">
        <v>9.7834270243086136E-2</v>
      </c>
      <c r="R250" s="224">
        <v>9.904800156144411E-2</v>
      </c>
      <c r="S250" s="224">
        <v>0.10642342833856584</v>
      </c>
      <c r="T250" s="224">
        <v>9.3962727908465271E-2</v>
      </c>
      <c r="U250" s="259">
        <v>7.9202373811212298E-2</v>
      </c>
      <c r="V250" s="239">
        <v>0</v>
      </c>
      <c r="W250" s="239">
        <v>68</v>
      </c>
      <c r="X250" s="239">
        <v>61</v>
      </c>
      <c r="Y250" s="239">
        <v>54</v>
      </c>
      <c r="Z250" s="239">
        <v>17</v>
      </c>
      <c r="AA250" s="257">
        <v>200</v>
      </c>
      <c r="AB250" s="224">
        <v>0</v>
      </c>
      <c r="AC250" s="224">
        <v>0.10413476263399694</v>
      </c>
      <c r="AD250" s="224">
        <v>0.13062098501070663</v>
      </c>
      <c r="AE250" s="224">
        <v>0.11563169164882227</v>
      </c>
      <c r="AF250" s="224">
        <v>0.12781954887218044</v>
      </c>
      <c r="AG250" s="259">
        <v>8.8928412627834588E-2</v>
      </c>
      <c r="AH250" s="261">
        <v>0</v>
      </c>
      <c r="AI250" s="261">
        <v>2.520385470719051E-3</v>
      </c>
      <c r="AJ250" s="261">
        <v>2.8318091082122463E-3</v>
      </c>
      <c r="AK250" s="261">
        <v>2.9030697274340087E-3</v>
      </c>
      <c r="AL250" s="261">
        <v>3.545359749739312E-3</v>
      </c>
      <c r="AM250" s="262">
        <v>2.194329851663302E-3</v>
      </c>
    </row>
    <row r="251" spans="1:39" x14ac:dyDescent="0.25">
      <c r="A251" s="215" t="str">
        <v>4451-M Dabbab</v>
      </c>
      <c r="B251" s="215" t="str">
        <v>HASHKAVNUE</v>
      </c>
      <c r="C251" s="215" t="str">
        <v>Hamzah Al Makhadam</v>
      </c>
      <c r="D251" s="239">
        <v>5129.12</v>
      </c>
      <c r="E251" s="239">
        <v>10386.11</v>
      </c>
      <c r="F251" s="239">
        <v>8472.1299999999992</v>
      </c>
      <c r="G251" s="239">
        <v>5713.9</v>
      </c>
      <c r="H251" s="239">
        <v>955.09</v>
      </c>
      <c r="I251" s="257">
        <v>30656.350000000002</v>
      </c>
      <c r="J251" s="240">
        <v>197.27384615384614</v>
      </c>
      <c r="K251" s="240">
        <v>247.28833333333336</v>
      </c>
      <c r="L251" s="240">
        <v>256.73121212121208</v>
      </c>
      <c r="M251" s="240">
        <v>197.0310344827586</v>
      </c>
      <c r="N251" s="240">
        <v>238.77250000000001</v>
      </c>
      <c r="O251" s="258">
        <v>228.7787313432836</v>
      </c>
      <c r="P251" s="224">
        <v>4.5686800217339021E-2</v>
      </c>
      <c r="Q251" s="224">
        <v>7.0679845671041408E-2</v>
      </c>
      <c r="R251" s="224">
        <v>6.635612705468219E-2</v>
      </c>
      <c r="S251" s="224">
        <v>4.974300593174398E-2</v>
      </c>
      <c r="T251" s="224">
        <v>2.8579619056111619E-2</v>
      </c>
      <c r="U251" s="259">
        <v>5.7282689780237178E-2</v>
      </c>
      <c r="V251" s="239">
        <v>26</v>
      </c>
      <c r="W251" s="239">
        <v>42</v>
      </c>
      <c r="X251" s="239">
        <v>33</v>
      </c>
      <c r="Y251" s="239">
        <v>29</v>
      </c>
      <c r="Z251" s="239">
        <v>4</v>
      </c>
      <c r="AA251" s="257">
        <v>134</v>
      </c>
      <c r="AB251" s="224">
        <v>4.9149338374291113E-2</v>
      </c>
      <c r="AC251" s="224">
        <v>6.4318529862174581E-2</v>
      </c>
      <c r="AD251" s="224">
        <v>7.0663811563169171E-2</v>
      </c>
      <c r="AE251" s="224">
        <v>6.2098501070663809E-2</v>
      </c>
      <c r="AF251" s="224">
        <v>3.007518796992481E-2</v>
      </c>
      <c r="AG251" s="259">
        <v>5.9582036460649176E-2</v>
      </c>
      <c r="AH251" s="261">
        <v>1.3522650439486139E-3</v>
      </c>
      <c r="AI251" s="261">
        <v>1.5567086730911787E-3</v>
      </c>
      <c r="AJ251" s="261">
        <v>1.5319623044426907E-3</v>
      </c>
      <c r="AK251" s="261">
        <v>1.559055964733079E-3</v>
      </c>
      <c r="AL251" s="261">
        <v>8.3420229405630863E-4</v>
      </c>
      <c r="AM251" s="262">
        <v>1.4702010006144124E-3</v>
      </c>
    </row>
    <row r="252" spans="1:39" x14ac:dyDescent="0.25">
      <c r="A252" s="215" t="str">
        <v>5305-SALMajnuni</v>
      </c>
      <c r="B252" s="215" t="str">
        <v>HASHKAVNUE</v>
      </c>
      <c r="C252" s="215" t="str">
        <v>Hamzah Al Makhadam</v>
      </c>
      <c r="D252" s="239">
        <v>11027.28</v>
      </c>
      <c r="E252" s="239">
        <v>11654.23</v>
      </c>
      <c r="F252" s="239">
        <v>3863.97</v>
      </c>
      <c r="G252" s="239">
        <v>0</v>
      </c>
      <c r="H252" s="239">
        <v>0</v>
      </c>
      <c r="I252" s="257">
        <v>26545.480000000003</v>
      </c>
      <c r="J252" s="240">
        <v>180.77508196721311</v>
      </c>
      <c r="K252" s="240">
        <v>194.23716666666667</v>
      </c>
      <c r="L252" s="240">
        <v>193.1985</v>
      </c>
      <c r="M252" s="240" t="str">
        <v/>
      </c>
      <c r="N252" s="240" t="str">
        <v/>
      </c>
      <c r="O252" s="258">
        <v>188.26581560283691</v>
      </c>
      <c r="P252" s="224">
        <v>9.8223698860751607E-2</v>
      </c>
      <c r="Q252" s="224">
        <v>7.9309691291043594E-2</v>
      </c>
      <c r="R252" s="224">
        <v>3.0263709864636206E-2</v>
      </c>
      <c r="S252" s="224">
        <v>0</v>
      </c>
      <c r="T252" s="224">
        <v>0</v>
      </c>
      <c r="U252" s="259">
        <v>4.9601354887567846E-2</v>
      </c>
      <c r="V252" s="239">
        <v>61</v>
      </c>
      <c r="W252" s="239">
        <v>60</v>
      </c>
      <c r="X252" s="239">
        <v>20</v>
      </c>
      <c r="Y252" s="239">
        <v>0</v>
      </c>
      <c r="Z252" s="239">
        <v>0</v>
      </c>
      <c r="AA252" s="257">
        <v>141</v>
      </c>
      <c r="AB252" s="224">
        <v>0.11531190926275993</v>
      </c>
      <c r="AC252" s="224">
        <v>9.1883614088820828E-2</v>
      </c>
      <c r="AD252" s="224">
        <v>4.2826552462526764E-2</v>
      </c>
      <c r="AE252" s="224">
        <v>0</v>
      </c>
      <c r="AF252" s="224">
        <v>0</v>
      </c>
      <c r="AG252" s="259">
        <v>6.2694530902623391E-2</v>
      </c>
      <c r="AH252" s="261">
        <v>3.1726218338794404E-3</v>
      </c>
      <c r="AI252" s="261">
        <v>2.223869532987398E-3</v>
      </c>
      <c r="AJ252" s="261">
        <v>9.2846200269253978E-4</v>
      </c>
      <c r="AK252" s="261">
        <v>0</v>
      </c>
      <c r="AL252" s="261">
        <v>0</v>
      </c>
      <c r="AM252" s="262">
        <v>1.5470025454226279E-3</v>
      </c>
    </row>
    <row r="253" spans="1:39" x14ac:dyDescent="0.25">
      <c r="A253" s="215" t="str">
        <v>4462-WAlsaleh</v>
      </c>
      <c r="B253" s="215" t="str">
        <v>HASHKAVNUE</v>
      </c>
      <c r="C253" s="215" t="str">
        <v>Hamzah Al Makhadam</v>
      </c>
      <c r="D253" s="239">
        <v>5949.0499999999993</v>
      </c>
      <c r="E253" s="239">
        <v>7873.13</v>
      </c>
      <c r="F253" s="239">
        <v>4400.05</v>
      </c>
      <c r="G253" s="239">
        <v>0</v>
      </c>
      <c r="H253" s="239">
        <v>0</v>
      </c>
      <c r="I253" s="257">
        <v>18222.23</v>
      </c>
      <c r="J253" s="240">
        <v>205.13965517241377</v>
      </c>
      <c r="K253" s="240">
        <v>160.67612244897958</v>
      </c>
      <c r="L253" s="240">
        <v>183.33541666666667</v>
      </c>
      <c r="M253" s="240" t="str">
        <v/>
      </c>
      <c r="N253" s="240" t="str">
        <v/>
      </c>
      <c r="O253" s="258">
        <v>178.6493137254902</v>
      </c>
      <c r="P253" s="224">
        <v>5.2990193021992212E-2</v>
      </c>
      <c r="Q253" s="224">
        <v>5.3578444032274471E-2</v>
      </c>
      <c r="R253" s="224">
        <v>3.4462440596043073E-2</v>
      </c>
      <c r="S253" s="224">
        <v>0</v>
      </c>
      <c r="T253" s="224">
        <v>0</v>
      </c>
      <c r="U253" s="259">
        <v>3.4049009363284644E-2</v>
      </c>
      <c r="V253" s="239">
        <v>29</v>
      </c>
      <c r="W253" s="239">
        <v>49</v>
      </c>
      <c r="X253" s="239">
        <v>24</v>
      </c>
      <c r="Y253" s="239">
        <v>0</v>
      </c>
      <c r="Z253" s="239">
        <v>0</v>
      </c>
      <c r="AA253" s="257">
        <v>102</v>
      </c>
      <c r="AB253" s="224">
        <v>5.4820415879017016E-2</v>
      </c>
      <c r="AC253" s="224">
        <v>7.5038284839203676E-2</v>
      </c>
      <c r="AD253" s="224">
        <v>5.1391862955032119E-2</v>
      </c>
      <c r="AE253" s="224">
        <v>0</v>
      </c>
      <c r="AF253" s="224">
        <v>0</v>
      </c>
      <c r="AG253" s="259">
        <v>4.535349044019564E-2</v>
      </c>
      <c r="AH253" s="261">
        <v>1.5082956259426848E-3</v>
      </c>
      <c r="AI253" s="261">
        <v>1.8161601186063752E-3</v>
      </c>
      <c r="AJ253" s="261">
        <v>1.1141544032310477E-3</v>
      </c>
      <c r="AK253" s="261">
        <v>0</v>
      </c>
      <c r="AL253" s="261">
        <v>0</v>
      </c>
      <c r="AM253" s="262">
        <v>1.119108224348284E-3</v>
      </c>
    </row>
    <row r="254" spans="1:39" x14ac:dyDescent="0.25">
      <c r="A254" s="215" t="str">
        <v>4051-AZuqaibi</v>
      </c>
      <c r="B254" s="215" t="str">
        <v>HATABUKPR</v>
      </c>
      <c r="C254" s="215" t="str">
        <v>Hamzah Al Makhadam</v>
      </c>
      <c r="D254" s="239">
        <v>10945.99</v>
      </c>
      <c r="E254" s="239">
        <v>13646.349999999999</v>
      </c>
      <c r="F254" s="239">
        <v>10397.17</v>
      </c>
      <c r="G254" s="239">
        <v>6652.88</v>
      </c>
      <c r="H254" s="239">
        <v>1742.08</v>
      </c>
      <c r="I254" s="257">
        <v>43384.469999999994</v>
      </c>
      <c r="J254" s="240">
        <v>202.70351851851851</v>
      </c>
      <c r="K254" s="240">
        <v>223.71065573770488</v>
      </c>
      <c r="L254" s="240">
        <v>259.92925000000002</v>
      </c>
      <c r="M254" s="240">
        <v>166.322</v>
      </c>
      <c r="N254" s="240">
        <v>134.00615384615384</v>
      </c>
      <c r="O254" s="258">
        <v>208.57918269230765</v>
      </c>
      <c r="P254" s="224">
        <v>0.4988110731966956</v>
      </c>
      <c r="Q254" s="224">
        <v>0.4961105797248449</v>
      </c>
      <c r="R254" s="224">
        <v>0.40326696363985443</v>
      </c>
      <c r="S254" s="224">
        <v>0.29125059209909965</v>
      </c>
      <c r="T254" s="224">
        <v>0.41250627492209624</v>
      </c>
      <c r="U254" s="259">
        <v>0.42409559056411217</v>
      </c>
      <c r="V254" s="239">
        <v>54</v>
      </c>
      <c r="W254" s="239">
        <v>61</v>
      </c>
      <c r="X254" s="239">
        <v>40</v>
      </c>
      <c r="Y254" s="239">
        <v>40</v>
      </c>
      <c r="Z254" s="239">
        <v>13</v>
      </c>
      <c r="AA254" s="257">
        <v>208</v>
      </c>
      <c r="AB254" s="224">
        <v>0.36734693877551022</v>
      </c>
      <c r="AC254" s="224">
        <v>0.40939597315436244</v>
      </c>
      <c r="AD254" s="224">
        <v>0.30769230769230771</v>
      </c>
      <c r="AE254" s="224">
        <v>0.27397260273972601</v>
      </c>
      <c r="AF254" s="224">
        <v>0.52</v>
      </c>
      <c r="AG254" s="259">
        <v>0.34840871021775544</v>
      </c>
      <c r="AH254" s="261">
        <v>2.8085504758932752E-3</v>
      </c>
      <c r="AI254" s="261">
        <v>2.2609340252038547E-3</v>
      </c>
      <c r="AJ254" s="261">
        <v>1.8569240053850796E-3</v>
      </c>
      <c r="AK254" s="261">
        <v>2.1504220203214879E-3</v>
      </c>
      <c r="AL254" s="261">
        <v>2.7111574556830031E-3</v>
      </c>
      <c r="AM254" s="262">
        <v>2.2821030457298342E-3</v>
      </c>
    </row>
    <row r="255" spans="1:39" x14ac:dyDescent="0.25">
      <c r="A255" s="215" t="str">
        <v>4085-HAL-Balawi</v>
      </c>
      <c r="B255" s="215" t="str">
        <v>HATABUKPR</v>
      </c>
      <c r="C255" s="215" t="str">
        <v>Hamzah Al Makhadam</v>
      </c>
      <c r="D255" s="239">
        <v>6325.13</v>
      </c>
      <c r="E255" s="239">
        <v>5787.19</v>
      </c>
      <c r="F255" s="239">
        <v>3891.0899999999997</v>
      </c>
      <c r="G255" s="239">
        <v>6067.87</v>
      </c>
      <c r="H255" s="239">
        <v>0</v>
      </c>
      <c r="I255" s="257">
        <v>22071.279999999999</v>
      </c>
      <c r="J255" s="240">
        <v>131.77354166666666</v>
      </c>
      <c r="K255" s="240">
        <v>144.67974999999998</v>
      </c>
      <c r="L255" s="240">
        <v>129.703</v>
      </c>
      <c r="M255" s="240">
        <v>147.99682926829269</v>
      </c>
      <c r="N255" s="240" t="str">
        <v/>
      </c>
      <c r="O255" s="258">
        <v>138.81308176100629</v>
      </c>
      <c r="P255" s="224">
        <v>0.28823750829377842</v>
      </c>
      <c r="Q255" s="224">
        <v>0.21039224304505053</v>
      </c>
      <c r="R255" s="224">
        <v>0.15092068799003969</v>
      </c>
      <c r="S255" s="224">
        <v>0.26563995296478576</v>
      </c>
      <c r="T255" s="224">
        <v>0</v>
      </c>
      <c r="U255" s="259">
        <v>0.21575306846219117</v>
      </c>
      <c r="V255" s="239">
        <v>48</v>
      </c>
      <c r="W255" s="239">
        <v>40</v>
      </c>
      <c r="X255" s="239">
        <v>30</v>
      </c>
      <c r="Y255" s="239">
        <v>41</v>
      </c>
      <c r="Z255" s="239">
        <v>0</v>
      </c>
      <c r="AA255" s="257">
        <v>159</v>
      </c>
      <c r="AB255" s="224">
        <v>0.32653061224489793</v>
      </c>
      <c r="AC255" s="224">
        <v>0.26845637583892618</v>
      </c>
      <c r="AD255" s="224">
        <v>0.23076923076923078</v>
      </c>
      <c r="AE255" s="224">
        <v>0.28082191780821919</v>
      </c>
      <c r="AF255" s="224">
        <v>0</v>
      </c>
      <c r="AG255" s="259">
        <v>0.26633165829145727</v>
      </c>
      <c r="AH255" s="261">
        <v>2.4964893119051334E-3</v>
      </c>
      <c r="AI255" s="261">
        <v>1.4825796886582653E-3</v>
      </c>
      <c r="AJ255" s="261">
        <v>1.3926930040388096E-3</v>
      </c>
      <c r="AK255" s="261">
        <v>2.2041825708295254E-3</v>
      </c>
      <c r="AL255" s="261">
        <v>0</v>
      </c>
      <c r="AM255" s="262">
        <v>1.7444922320723252E-3</v>
      </c>
    </row>
    <row r="256" spans="1:39" x14ac:dyDescent="0.25">
      <c r="A256" s="215" t="str">
        <v>5594-MAlMajed</v>
      </c>
      <c r="B256" s="215" t="str">
        <v>HATABUKPR</v>
      </c>
      <c r="C256" s="215" t="str">
        <v>Hamzah Al Makhadam</v>
      </c>
      <c r="D256" s="239">
        <v>0</v>
      </c>
      <c r="E256" s="239">
        <v>0</v>
      </c>
      <c r="F256" s="239">
        <v>9420.0999999999985</v>
      </c>
      <c r="G256" s="239">
        <v>10121.709999999999</v>
      </c>
      <c r="H256" s="239">
        <v>2481.08</v>
      </c>
      <c r="I256" s="257">
        <v>22022.89</v>
      </c>
      <c r="J256" s="240" t="str">
        <v/>
      </c>
      <c r="K256" s="240" t="str">
        <v/>
      </c>
      <c r="L256" s="240">
        <v>200.42765957446807</v>
      </c>
      <c r="M256" s="240">
        <v>155.71861538461536</v>
      </c>
      <c r="N256" s="240">
        <v>206.75666666666666</v>
      </c>
      <c r="O256" s="258">
        <v>177.60395161290322</v>
      </c>
      <c r="P256" s="224">
        <v>0</v>
      </c>
      <c r="Q256" s="224">
        <v>0</v>
      </c>
      <c r="R256" s="224">
        <v>0.36537010784509555</v>
      </c>
      <c r="S256" s="224">
        <v>0.44310945493611459</v>
      </c>
      <c r="T256" s="224">
        <v>0.58749372507790376</v>
      </c>
      <c r="U256" s="259">
        <v>0.21528004238563894</v>
      </c>
      <c r="V256" s="239">
        <v>0</v>
      </c>
      <c r="W256" s="239">
        <v>0</v>
      </c>
      <c r="X256" s="239">
        <v>47</v>
      </c>
      <c r="Y256" s="239">
        <v>65</v>
      </c>
      <c r="Z256" s="239">
        <v>12</v>
      </c>
      <c r="AA256" s="257">
        <v>124</v>
      </c>
      <c r="AB256" s="224">
        <v>0</v>
      </c>
      <c r="AC256" s="224">
        <v>0</v>
      </c>
      <c r="AD256" s="224">
        <v>0.36153846153846153</v>
      </c>
      <c r="AE256" s="224">
        <v>0.4452054794520548</v>
      </c>
      <c r="AF256" s="224">
        <v>0.48</v>
      </c>
      <c r="AG256" s="259">
        <v>0.20770519262981574</v>
      </c>
      <c r="AH256" s="261">
        <v>0</v>
      </c>
      <c r="AI256" s="261">
        <v>0</v>
      </c>
      <c r="AJ256" s="261">
        <v>2.1818857063274685E-3</v>
      </c>
      <c r="AK256" s="261">
        <v>3.4944357830224183E-3</v>
      </c>
      <c r="AL256" s="261">
        <v>2.5026068821689261E-3</v>
      </c>
      <c r="AM256" s="262">
        <v>1.3604845080312472E-3</v>
      </c>
    </row>
    <row r="257" spans="1:39" x14ac:dyDescent="0.25">
      <c r="A257" s="215" t="str">
        <v>4053-TOtayf</v>
      </c>
      <c r="B257" s="215" t="str">
        <v>HATABUKPR</v>
      </c>
      <c r="C257" s="215" t="str">
        <v>Hamzah Al Makhadam</v>
      </c>
      <c r="D257" s="239">
        <v>4673.04</v>
      </c>
      <c r="E257" s="239">
        <v>8073.130000000001</v>
      </c>
      <c r="F257" s="239">
        <v>2073.9899999999998</v>
      </c>
      <c r="G257" s="239">
        <v>0</v>
      </c>
      <c r="H257" s="239">
        <v>0</v>
      </c>
      <c r="I257" s="257">
        <v>14820.160000000002</v>
      </c>
      <c r="J257" s="240">
        <v>103.84533333333333</v>
      </c>
      <c r="K257" s="240">
        <v>168.19020833333335</v>
      </c>
      <c r="L257" s="240">
        <v>159.53769230769228</v>
      </c>
      <c r="M257" s="240" t="str">
        <v/>
      </c>
      <c r="N257" s="240" t="str">
        <v/>
      </c>
      <c r="O257" s="258">
        <v>139.81283018867927</v>
      </c>
      <c r="P257" s="224">
        <v>0.21295141850952601</v>
      </c>
      <c r="Q257" s="224">
        <v>0.2934971772301046</v>
      </c>
      <c r="R257" s="224">
        <v>8.0442240525010325E-2</v>
      </c>
      <c r="S257" s="224">
        <v>0</v>
      </c>
      <c r="T257" s="224">
        <v>0</v>
      </c>
      <c r="U257" s="259">
        <v>0.14487129858805775</v>
      </c>
      <c r="V257" s="239">
        <v>45</v>
      </c>
      <c r="W257" s="239">
        <v>48</v>
      </c>
      <c r="X257" s="239">
        <v>13</v>
      </c>
      <c r="Y257" s="239">
        <v>0</v>
      </c>
      <c r="Z257" s="239">
        <v>0</v>
      </c>
      <c r="AA257" s="257">
        <v>106</v>
      </c>
      <c r="AB257" s="224">
        <v>0.30612244897959184</v>
      </c>
      <c r="AC257" s="224">
        <v>0.32214765100671139</v>
      </c>
      <c r="AD257" s="224">
        <v>0.1</v>
      </c>
      <c r="AE257" s="224">
        <v>0</v>
      </c>
      <c r="AF257" s="224">
        <v>0</v>
      </c>
      <c r="AG257" s="259">
        <v>0.17755443886097153</v>
      </c>
      <c r="AH257" s="261">
        <v>2.3404587299110627E-3</v>
      </c>
      <c r="AI257" s="261">
        <v>1.7790956263899185E-3</v>
      </c>
      <c r="AJ257" s="261">
        <v>6.0350030175015089E-4</v>
      </c>
      <c r="AK257" s="261">
        <v>0</v>
      </c>
      <c r="AL257" s="261">
        <v>0</v>
      </c>
      <c r="AM257" s="262">
        <v>1.1629948213815501E-3</v>
      </c>
    </row>
    <row r="258" spans="1:39" x14ac:dyDescent="0.25">
      <c r="A258" s="215" t="str">
        <v>7303-IAlSabkhah</v>
      </c>
      <c r="B258" s="215" t="str">
        <v>JUBGALRY</v>
      </c>
      <c r="C258" s="215" t="str">
        <v>Hamzah Al Makhadam</v>
      </c>
      <c r="D258" s="239">
        <v>8215.18</v>
      </c>
      <c r="E258" s="239">
        <v>18313.23</v>
      </c>
      <c r="F258" s="239">
        <v>11860.179999999998</v>
      </c>
      <c r="G258" s="239">
        <v>13662.839999999998</v>
      </c>
      <c r="H258" s="239">
        <v>2498.86</v>
      </c>
      <c r="I258" s="257">
        <v>54550.289999999994</v>
      </c>
      <c r="J258" s="240">
        <v>111.01594594594594</v>
      </c>
      <c r="K258" s="240">
        <v>139.79564885496183</v>
      </c>
      <c r="L258" s="240">
        <v>152.05358974358973</v>
      </c>
      <c r="M258" s="240">
        <v>162.65285714285713</v>
      </c>
      <c r="N258" s="240">
        <v>178.49</v>
      </c>
      <c r="O258" s="258">
        <v>143.17661417322833</v>
      </c>
      <c r="P258" s="224">
        <v>0.29271422987558049</v>
      </c>
      <c r="Q258" s="224">
        <v>0.36257395966457429</v>
      </c>
      <c r="R258" s="224">
        <v>0.31581189719387009</v>
      </c>
      <c r="S258" s="224">
        <v>0.34514889978236896</v>
      </c>
      <c r="T258" s="224">
        <v>0.21989109545163354</v>
      </c>
      <c r="U258" s="259">
        <v>0.3264950100096673</v>
      </c>
      <c r="V258" s="239">
        <v>74</v>
      </c>
      <c r="W258" s="239">
        <v>131</v>
      </c>
      <c r="X258" s="239">
        <v>78</v>
      </c>
      <c r="Y258" s="239">
        <v>84</v>
      </c>
      <c r="Z258" s="239">
        <v>14</v>
      </c>
      <c r="AA258" s="257">
        <v>381</v>
      </c>
      <c r="AB258" s="224">
        <v>0.30705394190871371</v>
      </c>
      <c r="AC258" s="224">
        <v>0.37110481586402266</v>
      </c>
      <c r="AD258" s="224">
        <v>0.28888888888888886</v>
      </c>
      <c r="AE258" s="224">
        <v>0.31343283582089554</v>
      </c>
      <c r="AF258" s="224">
        <v>0.18421052631578946</v>
      </c>
      <c r="AG258" s="259">
        <v>0.31539735099337746</v>
      </c>
      <c r="AH258" s="261">
        <v>3.8487543558537473E-3</v>
      </c>
      <c r="AI258" s="261">
        <v>4.8554484803558194E-3</v>
      </c>
      <c r="AJ258" s="261">
        <v>3.6210018105009051E-3</v>
      </c>
      <c r="AK258" s="261">
        <v>4.515886242675125E-3</v>
      </c>
      <c r="AL258" s="261">
        <v>2.9197080291970801E-3</v>
      </c>
      <c r="AM258" s="262">
        <v>4.1801983674185908E-3</v>
      </c>
    </row>
    <row r="259" spans="1:39" x14ac:dyDescent="0.25">
      <c r="A259" s="215" t="str">
        <v>7302-FAlshutayb</v>
      </c>
      <c r="B259" s="215" t="str">
        <v>JUBGALRY</v>
      </c>
      <c r="C259" s="215" t="str">
        <v>Hamzah Al Makhadam</v>
      </c>
      <c r="D259" s="239">
        <v>6929.119999999999</v>
      </c>
      <c r="E259" s="239">
        <v>10325.24</v>
      </c>
      <c r="F259" s="239">
        <v>7473.1100000000006</v>
      </c>
      <c r="G259" s="239">
        <v>9014.7400000000016</v>
      </c>
      <c r="H259" s="239">
        <v>2905.91</v>
      </c>
      <c r="I259" s="257">
        <v>36648.12000000001</v>
      </c>
      <c r="J259" s="240">
        <v>109.98603174603173</v>
      </c>
      <c r="K259" s="240">
        <v>156.4430303030303</v>
      </c>
      <c r="L259" s="240">
        <v>122.51</v>
      </c>
      <c r="M259" s="240">
        <v>155.42655172413797</v>
      </c>
      <c r="N259" s="240">
        <v>111.76576923076922</v>
      </c>
      <c r="O259" s="258">
        <v>133.75226277372266</v>
      </c>
      <c r="P259" s="224">
        <v>0.24689075887752696</v>
      </c>
      <c r="Q259" s="224">
        <v>0.2044239684253979</v>
      </c>
      <c r="R259" s="224">
        <v>0.19899335819848291</v>
      </c>
      <c r="S259" s="224">
        <v>0.22772919779665968</v>
      </c>
      <c r="T259" s="224">
        <v>0.25571009707781001</v>
      </c>
      <c r="U259" s="259">
        <v>0.21934674052576977</v>
      </c>
      <c r="V259" s="239">
        <v>63</v>
      </c>
      <c r="W259" s="239">
        <v>66</v>
      </c>
      <c r="X259" s="239">
        <v>61</v>
      </c>
      <c r="Y259" s="239">
        <v>58</v>
      </c>
      <c r="Z259" s="239">
        <v>26</v>
      </c>
      <c r="AA259" s="257">
        <v>274</v>
      </c>
      <c r="AB259" s="224">
        <v>0.26141078838174275</v>
      </c>
      <c r="AC259" s="224">
        <v>0.18696883852691218</v>
      </c>
      <c r="AD259" s="224">
        <v>0.22592592592592592</v>
      </c>
      <c r="AE259" s="224">
        <v>0.21641791044776118</v>
      </c>
      <c r="AF259" s="224">
        <v>0.34210526315789475</v>
      </c>
      <c r="AG259" s="259">
        <v>0.22682119205298013</v>
      </c>
      <c r="AH259" s="261">
        <v>3.2766422218754878E-3</v>
      </c>
      <c r="AI259" s="261">
        <v>2.446256486286138E-3</v>
      </c>
      <c r="AJ259" s="261">
        <v>2.8318091082122463E-3</v>
      </c>
      <c r="AK259" s="261">
        <v>3.1181119294661579E-3</v>
      </c>
      <c r="AL259" s="261">
        <v>5.4223149113660062E-3</v>
      </c>
      <c r="AM259" s="262">
        <v>3.0062318967787236E-3</v>
      </c>
    </row>
    <row r="260" spans="1:39" x14ac:dyDescent="0.25">
      <c r="A260" s="215" t="str">
        <v>4330-LAlQahtani</v>
      </c>
      <c r="B260" s="215" t="str">
        <v>JUBGALRY</v>
      </c>
      <c r="C260" s="215" t="str">
        <v>Hamzah Al Makhadam</v>
      </c>
      <c r="D260" s="239">
        <v>6325.08</v>
      </c>
      <c r="E260" s="239">
        <v>10880.220000000001</v>
      </c>
      <c r="F260" s="239">
        <v>8900.1</v>
      </c>
      <c r="G260" s="239">
        <v>6707</v>
      </c>
      <c r="H260" s="239">
        <v>2669.09</v>
      </c>
      <c r="I260" s="257">
        <v>35481.490000000005</v>
      </c>
      <c r="J260" s="240">
        <v>115.00145454545455</v>
      </c>
      <c r="K260" s="240">
        <v>136.00275000000002</v>
      </c>
      <c r="L260" s="240">
        <v>132.83731343283583</v>
      </c>
      <c r="M260" s="240">
        <v>124.20370370370371</v>
      </c>
      <c r="N260" s="240">
        <v>133.4545</v>
      </c>
      <c r="O260" s="258">
        <v>128.55612318840582</v>
      </c>
      <c r="P260" s="224">
        <v>0.225368272040471</v>
      </c>
      <c r="Q260" s="224">
        <v>0.21541172406078529</v>
      </c>
      <c r="R260" s="224">
        <v>0.23699113050688639</v>
      </c>
      <c r="S260" s="224">
        <v>0.16943136791767663</v>
      </c>
      <c r="T260" s="224">
        <v>0.23487075064589477</v>
      </c>
      <c r="U260" s="259">
        <v>0.21236421351211723</v>
      </c>
      <c r="V260" s="239">
        <v>55</v>
      </c>
      <c r="W260" s="239">
        <v>80</v>
      </c>
      <c r="X260" s="239">
        <v>67</v>
      </c>
      <c r="Y260" s="239">
        <v>54</v>
      </c>
      <c r="Z260" s="239">
        <v>20</v>
      </c>
      <c r="AA260" s="257">
        <v>276</v>
      </c>
      <c r="AB260" s="224">
        <v>0.22821576763485477</v>
      </c>
      <c r="AC260" s="224">
        <v>0.22662889518413598</v>
      </c>
      <c r="AD260" s="224">
        <v>0.24814814814814815</v>
      </c>
      <c r="AE260" s="224">
        <v>0.20149253731343283</v>
      </c>
      <c r="AF260" s="224">
        <v>0.26315789473684209</v>
      </c>
      <c r="AG260" s="259">
        <v>0.22847682119205298</v>
      </c>
      <c r="AH260" s="261">
        <v>2.8605606698912985E-3</v>
      </c>
      <c r="AI260" s="261">
        <v>2.9651593773165306E-3</v>
      </c>
      <c r="AJ260" s="261">
        <v>3.1103477090200084E-3</v>
      </c>
      <c r="AK260" s="261">
        <v>2.9030697274340087E-3</v>
      </c>
      <c r="AL260" s="261">
        <v>4.1710114702815434E-3</v>
      </c>
      <c r="AM260" s="262">
        <v>3.0281751952953568E-3</v>
      </c>
    </row>
    <row r="261" spans="1:39" x14ac:dyDescent="0.25">
      <c r="A261" s="215" t="str">
        <v>5046-AAlbuainain</v>
      </c>
      <c r="B261" s="215" t="str">
        <v>JUBGALRY</v>
      </c>
      <c r="C261" s="215" t="str">
        <v>Hamzah Al Makhadam</v>
      </c>
      <c r="D261" s="239">
        <v>6596.15</v>
      </c>
      <c r="E261" s="239">
        <v>9383.23</v>
      </c>
      <c r="F261" s="239">
        <v>6692.08</v>
      </c>
      <c r="G261" s="239">
        <v>8286.7799999999988</v>
      </c>
      <c r="H261" s="239">
        <v>1359.08</v>
      </c>
      <c r="I261" s="257">
        <v>32317.32</v>
      </c>
      <c r="J261" s="240">
        <v>134.61530612244897</v>
      </c>
      <c r="K261" s="240">
        <v>142.1701515151515</v>
      </c>
      <c r="L261" s="240">
        <v>145.47999999999999</v>
      </c>
      <c r="M261" s="240">
        <v>142.8755172413793</v>
      </c>
      <c r="N261" s="240">
        <v>194.15428571428569</v>
      </c>
      <c r="O261" s="258">
        <v>142.99699115044248</v>
      </c>
      <c r="P261" s="224">
        <v>0.23502673920642153</v>
      </c>
      <c r="Q261" s="224">
        <v>0.18577361041953952</v>
      </c>
      <c r="R261" s="224">
        <v>0.17819615562100696</v>
      </c>
      <c r="S261" s="224">
        <v>0.20933956627893904</v>
      </c>
      <c r="T261" s="224">
        <v>0.11959437103575474</v>
      </c>
      <c r="U261" s="259">
        <v>0.19342598759576937</v>
      </c>
      <c r="V261" s="239">
        <v>49</v>
      </c>
      <c r="W261" s="239">
        <v>66</v>
      </c>
      <c r="X261" s="239">
        <v>46</v>
      </c>
      <c r="Y261" s="239">
        <v>58</v>
      </c>
      <c r="Z261" s="239">
        <v>7</v>
      </c>
      <c r="AA261" s="257">
        <v>226</v>
      </c>
      <c r="AB261" s="224">
        <v>0.2033195020746888</v>
      </c>
      <c r="AC261" s="224">
        <v>0.18696883852691218</v>
      </c>
      <c r="AD261" s="224">
        <v>0.17037037037037037</v>
      </c>
      <c r="AE261" s="224">
        <v>0.21641791044776118</v>
      </c>
      <c r="AF261" s="224">
        <v>9.2105263157894732E-2</v>
      </c>
      <c r="AG261" s="259">
        <v>0.1870860927152318</v>
      </c>
      <c r="AH261" s="261">
        <v>2.5484995059031571E-3</v>
      </c>
      <c r="AI261" s="261">
        <v>2.446256486286138E-3</v>
      </c>
      <c r="AJ261" s="261">
        <v>2.1354626061928414E-3</v>
      </c>
      <c r="AK261" s="261">
        <v>3.1181119294661579E-3</v>
      </c>
      <c r="AL261" s="261">
        <v>1.4598540145985401E-3</v>
      </c>
      <c r="AM261" s="262">
        <v>2.4795927323795312E-3</v>
      </c>
    </row>
    <row r="262" spans="1:39" x14ac:dyDescent="0.25">
      <c r="A262" s="215" t="str">
        <v>4333-JAlhusaini</v>
      </c>
      <c r="B262" s="215" t="str">
        <v>JUBGALRY</v>
      </c>
      <c r="C262" s="215" t="str">
        <v>Hamzah Al Makhadam</v>
      </c>
      <c r="D262" s="239">
        <v>0</v>
      </c>
      <c r="E262" s="239">
        <v>649.02</v>
      </c>
      <c r="F262" s="239">
        <v>2629.1000000000004</v>
      </c>
      <c r="G262" s="239">
        <v>1913.99</v>
      </c>
      <c r="H262" s="239">
        <v>1931.14</v>
      </c>
      <c r="I262" s="257">
        <v>7123.2500000000009</v>
      </c>
      <c r="J262" s="240" t="str">
        <v/>
      </c>
      <c r="K262" s="240">
        <v>129.804</v>
      </c>
      <c r="L262" s="240">
        <v>146.06111111111113</v>
      </c>
      <c r="M262" s="240">
        <v>136.71357142857144</v>
      </c>
      <c r="N262" s="240">
        <v>214.57111111111112</v>
      </c>
      <c r="O262" s="258">
        <v>154.85326086956525</v>
      </c>
      <c r="P262" s="224">
        <v>0</v>
      </c>
      <c r="Q262" s="224">
        <v>1.2849603882084264E-2</v>
      </c>
      <c r="R262" s="224">
        <v>7.0007458479753606E-2</v>
      </c>
      <c r="S262" s="224">
        <v>4.835096822435573E-2</v>
      </c>
      <c r="T262" s="224">
        <v>0.16993368578890677</v>
      </c>
      <c r="U262" s="259">
        <v>4.2634156116335281E-2</v>
      </c>
      <c r="V262" s="239">
        <v>0</v>
      </c>
      <c r="W262" s="239">
        <v>5</v>
      </c>
      <c r="X262" s="239">
        <v>18</v>
      </c>
      <c r="Y262" s="239">
        <v>14</v>
      </c>
      <c r="Z262" s="239">
        <v>9</v>
      </c>
      <c r="AA262" s="257">
        <v>46</v>
      </c>
      <c r="AB262" s="224">
        <v>0</v>
      </c>
      <c r="AC262" s="224">
        <v>1.4164305949008499E-2</v>
      </c>
      <c r="AD262" s="224">
        <v>6.6666666666666666E-2</v>
      </c>
      <c r="AE262" s="224">
        <v>5.2238805970149252E-2</v>
      </c>
      <c r="AF262" s="224">
        <v>0.11842105263157894</v>
      </c>
      <c r="AG262" s="259">
        <v>3.8079470198675497E-2</v>
      </c>
      <c r="AH262" s="261">
        <v>0</v>
      </c>
      <c r="AI262" s="261">
        <v>1.8532246108228317E-4</v>
      </c>
      <c r="AJ262" s="261">
        <v>8.3561580242328586E-4</v>
      </c>
      <c r="AK262" s="261">
        <v>7.5264770711252083E-4</v>
      </c>
      <c r="AL262" s="261">
        <v>1.8769551616266945E-3</v>
      </c>
      <c r="AM262" s="262">
        <v>5.0469586588255944E-4</v>
      </c>
    </row>
    <row r="263" spans="1:39" x14ac:dyDescent="0.25">
      <c r="A263" s="215" t="str">
        <v>4326-BAlKhaldi</v>
      </c>
      <c r="B263" s="215" t="str">
        <v>JUBGALRY</v>
      </c>
      <c r="C263" s="215" t="str">
        <v>Hamzah Al Makhadam</v>
      </c>
      <c r="D263" s="239">
        <v>0</v>
      </c>
      <c r="E263" s="239">
        <v>958.01</v>
      </c>
      <c r="F263" s="239">
        <v>0</v>
      </c>
      <c r="G263" s="239">
        <v>0</v>
      </c>
      <c r="H263" s="239">
        <v>0</v>
      </c>
      <c r="I263" s="257">
        <v>958.01</v>
      </c>
      <c r="J263" s="240" t="str">
        <v/>
      </c>
      <c r="K263" s="240">
        <v>191.602</v>
      </c>
      <c r="L263" s="240" t="str">
        <v/>
      </c>
      <c r="M263" s="240" t="str">
        <v/>
      </c>
      <c r="N263" s="240" t="str">
        <v/>
      </c>
      <c r="O263" s="258">
        <v>191.602</v>
      </c>
      <c r="P263" s="224">
        <v>0</v>
      </c>
      <c r="Q263" s="224">
        <v>1.8967133547618788E-2</v>
      </c>
      <c r="R263" s="224">
        <v>0</v>
      </c>
      <c r="S263" s="224">
        <v>0</v>
      </c>
      <c r="T263" s="224">
        <v>0</v>
      </c>
      <c r="U263" s="259">
        <v>5.7338922403411862E-3</v>
      </c>
      <c r="V263" s="239">
        <v>0</v>
      </c>
      <c r="W263" s="239">
        <v>5</v>
      </c>
      <c r="X263" s="239">
        <v>0</v>
      </c>
      <c r="Y263" s="239">
        <v>0</v>
      </c>
      <c r="Z263" s="239">
        <v>0</v>
      </c>
      <c r="AA263" s="257">
        <v>5</v>
      </c>
      <c r="AB263" s="224">
        <v>0</v>
      </c>
      <c r="AC263" s="224">
        <v>1.4164305949008499E-2</v>
      </c>
      <c r="AD263" s="224">
        <v>0</v>
      </c>
      <c r="AE263" s="224">
        <v>0</v>
      </c>
      <c r="AF263" s="224">
        <v>0</v>
      </c>
      <c r="AG263" s="259">
        <v>4.1390728476821195E-3</v>
      </c>
      <c r="AH263" s="261">
        <v>0</v>
      </c>
      <c r="AI263" s="261">
        <v>1.8532246108228317E-4</v>
      </c>
      <c r="AJ263" s="261">
        <v>0</v>
      </c>
      <c r="AK263" s="261">
        <v>0</v>
      </c>
      <c r="AL263" s="261">
        <v>0</v>
      </c>
      <c r="AM263" s="262">
        <v>5.4858246291582549E-5</v>
      </c>
    </row>
    <row r="264" spans="1:39" x14ac:dyDescent="0.25">
      <c r="A264" s="215" t="str">
        <v>5707-RHawsawi</v>
      </c>
      <c r="B264" s="215" t="str">
        <v>MILAGROPLZ</v>
      </c>
      <c r="C264" s="215" t="str">
        <v>Hamzah Al Makhadam</v>
      </c>
      <c r="D264" s="239">
        <v>9027.11</v>
      </c>
      <c r="E264" s="239">
        <v>15752.27</v>
      </c>
      <c r="F264" s="239">
        <v>9250.23</v>
      </c>
      <c r="G264" s="239">
        <v>9403.0199999999986</v>
      </c>
      <c r="H264" s="239">
        <v>2032.04</v>
      </c>
      <c r="I264" s="257">
        <v>45464.67</v>
      </c>
      <c r="J264" s="240">
        <v>147.98540983606557</v>
      </c>
      <c r="K264" s="240">
        <v>165.81336842105264</v>
      </c>
      <c r="L264" s="240">
        <v>171.30055555555555</v>
      </c>
      <c r="M264" s="240">
        <v>162.1210344827586</v>
      </c>
      <c r="N264" s="240">
        <v>127.0025</v>
      </c>
      <c r="O264" s="258">
        <v>160.0868661971831</v>
      </c>
      <c r="P264" s="224">
        <v>0.3333065027391206</v>
      </c>
      <c r="Q264" s="224">
        <v>0.31990267424466118</v>
      </c>
      <c r="R264" s="224">
        <v>0.220713006974119</v>
      </c>
      <c r="S264" s="224">
        <v>0.25672618161912153</v>
      </c>
      <c r="T264" s="224">
        <v>0.26541415940993535</v>
      </c>
      <c r="U264" s="259">
        <v>0.27975200987264404</v>
      </c>
      <c r="V264" s="239">
        <v>61</v>
      </c>
      <c r="W264" s="239">
        <v>95</v>
      </c>
      <c r="X264" s="239">
        <v>54</v>
      </c>
      <c r="Y264" s="239">
        <v>58</v>
      </c>
      <c r="Z264" s="239">
        <v>16</v>
      </c>
      <c r="AA264" s="257">
        <v>284</v>
      </c>
      <c r="AB264" s="224">
        <v>0.30198019801980197</v>
      </c>
      <c r="AC264" s="224">
        <v>0.30254777070063693</v>
      </c>
      <c r="AD264" s="224">
        <v>0.20074349442379183</v>
      </c>
      <c r="AE264" s="224">
        <v>0.26605504587155965</v>
      </c>
      <c r="AF264" s="224">
        <v>0.30188679245283018</v>
      </c>
      <c r="AG264" s="259">
        <v>0.26893939393939392</v>
      </c>
      <c r="AH264" s="261">
        <v>3.1726218338794404E-3</v>
      </c>
      <c r="AI264" s="261">
        <v>3.5211267605633804E-3</v>
      </c>
      <c r="AJ264" s="261">
        <v>2.5068474072698576E-3</v>
      </c>
      <c r="AK264" s="261">
        <v>3.1181119294661579E-3</v>
      </c>
      <c r="AL264" s="261">
        <v>3.3368091762252345E-3</v>
      </c>
      <c r="AM264" s="262">
        <v>3.115948389361889E-3</v>
      </c>
    </row>
    <row r="265" spans="1:39" x14ac:dyDescent="0.25">
      <c r="A265" s="215" t="str">
        <v>4080-LAL-Huwiti</v>
      </c>
      <c r="B265" s="215" t="str">
        <v>MILAGROPLZ</v>
      </c>
      <c r="C265" s="215" t="str">
        <v>Hamzah Al Makhadam</v>
      </c>
      <c r="D265" s="239">
        <v>6224.08</v>
      </c>
      <c r="E265" s="239">
        <v>12103.19</v>
      </c>
      <c r="F265" s="239">
        <v>10835.140000000001</v>
      </c>
      <c r="G265" s="239">
        <v>9733.7900000000009</v>
      </c>
      <c r="H265" s="239">
        <v>607.98</v>
      </c>
      <c r="I265" s="257">
        <v>39504.180000000008</v>
      </c>
      <c r="J265" s="240">
        <v>117.4354716981132</v>
      </c>
      <c r="K265" s="240">
        <v>149.42209876543211</v>
      </c>
      <c r="L265" s="240">
        <v>142.56763157894738</v>
      </c>
      <c r="M265" s="240">
        <v>263.07540540540543</v>
      </c>
      <c r="N265" s="240">
        <v>151.995</v>
      </c>
      <c r="O265" s="258">
        <v>157.38717131474107</v>
      </c>
      <c r="P265" s="224">
        <v>0.22981068554260506</v>
      </c>
      <c r="Q265" s="224">
        <v>0.2457958661127089</v>
      </c>
      <c r="R265" s="224">
        <v>0.25852939120276536</v>
      </c>
      <c r="S265" s="224">
        <v>0.26575703756690827</v>
      </c>
      <c r="T265" s="224">
        <v>7.9411084741467935E-2</v>
      </c>
      <c r="U265" s="259">
        <v>0.24307607980813917</v>
      </c>
      <c r="V265" s="239">
        <v>53</v>
      </c>
      <c r="W265" s="239">
        <v>81</v>
      </c>
      <c r="X265" s="239">
        <v>76</v>
      </c>
      <c r="Y265" s="239">
        <v>37</v>
      </c>
      <c r="Z265" s="239">
        <v>4</v>
      </c>
      <c r="AA265" s="257">
        <v>251</v>
      </c>
      <c r="AB265" s="224">
        <v>0.26237623762376239</v>
      </c>
      <c r="AC265" s="224">
        <v>0.25796178343949044</v>
      </c>
      <c r="AD265" s="224">
        <v>0.28252788104089221</v>
      </c>
      <c r="AE265" s="224">
        <v>0.16972477064220184</v>
      </c>
      <c r="AF265" s="224">
        <v>7.5471698113207544E-2</v>
      </c>
      <c r="AG265" s="259">
        <v>0.23768939393939395</v>
      </c>
      <c r="AH265" s="261">
        <v>2.7565402818952515E-3</v>
      </c>
      <c r="AI265" s="261">
        <v>3.0022238695329873E-3</v>
      </c>
      <c r="AJ265" s="261">
        <v>3.5281556102316511E-3</v>
      </c>
      <c r="AK265" s="261">
        <v>1.9891403687973767E-3</v>
      </c>
      <c r="AL265" s="261">
        <v>8.3420229405630863E-4</v>
      </c>
      <c r="AM265" s="262">
        <v>2.7538839638374443E-3</v>
      </c>
    </row>
    <row r="266" spans="1:39" x14ac:dyDescent="0.25">
      <c r="A266" s="215" t="str">
        <v>4044-SAL-Balawi</v>
      </c>
      <c r="B266" s="215" t="str">
        <v>MILAGROPLZ</v>
      </c>
      <c r="C266" s="215" t="str">
        <v>Hamzah Al Makhadam</v>
      </c>
      <c r="D266" s="239">
        <v>9151.25</v>
      </c>
      <c r="E266" s="239">
        <v>9107.16</v>
      </c>
      <c r="F266" s="239">
        <v>12048.130000000001</v>
      </c>
      <c r="G266" s="239">
        <v>6503.9100000000008</v>
      </c>
      <c r="H266" s="239">
        <v>2620.94</v>
      </c>
      <c r="I266" s="257">
        <v>39431.390000000007</v>
      </c>
      <c r="J266" s="240">
        <v>132.62681159420291</v>
      </c>
      <c r="K266" s="240">
        <v>157.02000000000001</v>
      </c>
      <c r="L266" s="240">
        <v>143.43011904761906</v>
      </c>
      <c r="M266" s="240">
        <v>135.49812500000002</v>
      </c>
      <c r="N266" s="240">
        <v>145.60777777777778</v>
      </c>
      <c r="O266" s="258">
        <v>142.35158844765346</v>
      </c>
      <c r="P266" s="224">
        <v>0.33789010360917027</v>
      </c>
      <c r="Q266" s="224">
        <v>0.18495142850992324</v>
      </c>
      <c r="R266" s="224">
        <v>0.28747166294406656</v>
      </c>
      <c r="S266" s="224">
        <v>0.1775731605265565</v>
      </c>
      <c r="T266" s="224">
        <v>0.34233311694842422</v>
      </c>
      <c r="U266" s="259">
        <v>0.2426281902974789</v>
      </c>
      <c r="V266" s="239">
        <v>69</v>
      </c>
      <c r="W266" s="239">
        <v>58</v>
      </c>
      <c r="X266" s="239">
        <v>84</v>
      </c>
      <c r="Y266" s="239">
        <v>48</v>
      </c>
      <c r="Z266" s="239">
        <v>18</v>
      </c>
      <c r="AA266" s="257">
        <v>277</v>
      </c>
      <c r="AB266" s="224">
        <v>0.34158415841584161</v>
      </c>
      <c r="AC266" s="224">
        <v>0.18471337579617833</v>
      </c>
      <c r="AD266" s="224">
        <v>0.31226765799256506</v>
      </c>
      <c r="AE266" s="224">
        <v>0.22018348623853212</v>
      </c>
      <c r="AF266" s="224">
        <v>0.33962264150943394</v>
      </c>
      <c r="AG266" s="259">
        <v>0.26231060606060608</v>
      </c>
      <c r="AH266" s="261">
        <v>3.5887033858636292E-3</v>
      </c>
      <c r="AI266" s="261">
        <v>2.1497405485544846E-3</v>
      </c>
      <c r="AJ266" s="261">
        <v>3.8995404113086672E-3</v>
      </c>
      <c r="AK266" s="261">
        <v>2.5805064243857858E-3</v>
      </c>
      <c r="AL266" s="261">
        <v>3.753910323253389E-3</v>
      </c>
      <c r="AM266" s="262">
        <v>3.0391468445536735E-3</v>
      </c>
    </row>
    <row r="267" spans="1:39" x14ac:dyDescent="0.25">
      <c r="A267" s="215" t="str">
        <v>4053-TOtayf</v>
      </c>
      <c r="B267" s="215" t="str">
        <v>MILAGROPLZ</v>
      </c>
      <c r="C267" s="215" t="str">
        <v>Hamzah Al Makhadam</v>
      </c>
      <c r="D267" s="239">
        <v>0</v>
      </c>
      <c r="E267" s="239">
        <v>0</v>
      </c>
      <c r="F267" s="239">
        <v>5865.13</v>
      </c>
      <c r="G267" s="239">
        <v>4287.04</v>
      </c>
      <c r="H267" s="239">
        <v>1476.07</v>
      </c>
      <c r="I267" s="257">
        <v>11628.24</v>
      </c>
      <c r="J267" s="240" t="str">
        <v/>
      </c>
      <c r="K267" s="240" t="str">
        <v/>
      </c>
      <c r="L267" s="240">
        <v>167.57514285714285</v>
      </c>
      <c r="M267" s="240">
        <v>153.10857142857142</v>
      </c>
      <c r="N267" s="240">
        <v>147.607</v>
      </c>
      <c r="O267" s="258">
        <v>159.29095890410957</v>
      </c>
      <c r="P267" s="224">
        <v>0</v>
      </c>
      <c r="Q267" s="224">
        <v>0</v>
      </c>
      <c r="R267" s="224">
        <v>0.13994359908825127</v>
      </c>
      <c r="S267" s="224">
        <v>0.11704701358164069</v>
      </c>
      <c r="T267" s="224">
        <v>0.1927963417453511</v>
      </c>
      <c r="U267" s="259">
        <v>7.155058007198721E-2</v>
      </c>
      <c r="V267" s="239">
        <v>0</v>
      </c>
      <c r="W267" s="239">
        <v>0</v>
      </c>
      <c r="X267" s="239">
        <v>35</v>
      </c>
      <c r="Y267" s="239">
        <v>28</v>
      </c>
      <c r="Z267" s="239">
        <v>10</v>
      </c>
      <c r="AA267" s="257">
        <v>73</v>
      </c>
      <c r="AB267" s="224">
        <v>0</v>
      </c>
      <c r="AC267" s="224">
        <v>0</v>
      </c>
      <c r="AD267" s="224">
        <v>0.13011152416356878</v>
      </c>
      <c r="AE267" s="224">
        <v>0.12844036697247707</v>
      </c>
      <c r="AF267" s="224">
        <v>0.18867924528301888</v>
      </c>
      <c r="AG267" s="259">
        <v>6.9128787878787873E-2</v>
      </c>
      <c r="AH267" s="261">
        <v>0</v>
      </c>
      <c r="AI267" s="261">
        <v>0</v>
      </c>
      <c r="AJ267" s="261">
        <v>1.6248085047119447E-3</v>
      </c>
      <c r="AK267" s="261">
        <v>1.5052954142250417E-3</v>
      </c>
      <c r="AL267" s="261">
        <v>2.0855057351407717E-3</v>
      </c>
      <c r="AM267" s="262">
        <v>8.0093039585710528E-4</v>
      </c>
    </row>
    <row r="268" spans="1:39" x14ac:dyDescent="0.25">
      <c r="A268" s="215" t="str">
        <v>4062-SAl-Balawi</v>
      </c>
      <c r="B268" s="215" t="str">
        <v>MILAGROPLZ</v>
      </c>
      <c r="C268" s="215" t="str">
        <v>Hamzah Al Makhadam</v>
      </c>
      <c r="D268" s="239">
        <v>0</v>
      </c>
      <c r="E268" s="239">
        <v>9702.15</v>
      </c>
      <c r="F268" s="239">
        <v>0</v>
      </c>
      <c r="G268" s="239">
        <v>0</v>
      </c>
      <c r="H268" s="239">
        <v>0</v>
      </c>
      <c r="I268" s="257">
        <v>9702.15</v>
      </c>
      <c r="J268" s="240" t="str">
        <v/>
      </c>
      <c r="K268" s="240">
        <v>156.48629032258063</v>
      </c>
      <c r="L268" s="240" t="str">
        <v/>
      </c>
      <c r="M268" s="240" t="str">
        <v/>
      </c>
      <c r="N268" s="240" t="str">
        <v/>
      </c>
      <c r="O268" s="258">
        <v>156.48629032258063</v>
      </c>
      <c r="P268" s="224">
        <v>0</v>
      </c>
      <c r="Q268" s="224">
        <v>0.1970346960103426</v>
      </c>
      <c r="R268" s="224">
        <v>0</v>
      </c>
      <c r="S268" s="224">
        <v>0</v>
      </c>
      <c r="T268" s="224">
        <v>0</v>
      </c>
      <c r="U268" s="259">
        <v>5.9699013818551271E-2</v>
      </c>
      <c r="V268" s="239">
        <v>0</v>
      </c>
      <c r="W268" s="239">
        <v>62</v>
      </c>
      <c r="X268" s="239">
        <v>0</v>
      </c>
      <c r="Y268" s="239">
        <v>0</v>
      </c>
      <c r="Z268" s="239">
        <v>0</v>
      </c>
      <c r="AA268" s="257">
        <v>62</v>
      </c>
      <c r="AB268" s="224">
        <v>0</v>
      </c>
      <c r="AC268" s="224">
        <v>0.19745222929936307</v>
      </c>
      <c r="AD268" s="224">
        <v>0</v>
      </c>
      <c r="AE268" s="224">
        <v>0</v>
      </c>
      <c r="AF268" s="224">
        <v>0</v>
      </c>
      <c r="AG268" s="259">
        <v>5.8712121212121215E-2</v>
      </c>
      <c r="AH268" s="261">
        <v>0</v>
      </c>
      <c r="AI268" s="261">
        <v>2.2979985174203113E-3</v>
      </c>
      <c r="AJ268" s="261">
        <v>0</v>
      </c>
      <c r="AK268" s="261">
        <v>0</v>
      </c>
      <c r="AL268" s="261">
        <v>0</v>
      </c>
      <c r="AM268" s="262">
        <v>6.802422540156236E-4</v>
      </c>
    </row>
    <row r="269" spans="1:39" x14ac:dyDescent="0.25">
      <c r="A269" s="215" t="str">
        <v>4067-MAL-Johani</v>
      </c>
      <c r="B269" s="215" t="str">
        <v>MILAGROPLZ</v>
      </c>
      <c r="C269" s="215" t="str">
        <v>Hamzah Al Makhadam</v>
      </c>
      <c r="D269" s="239">
        <v>1374.02</v>
      </c>
      <c r="E269" s="239">
        <v>0</v>
      </c>
      <c r="F269" s="239">
        <v>0</v>
      </c>
      <c r="G269" s="239">
        <v>6623.89</v>
      </c>
      <c r="H269" s="239">
        <v>919.08</v>
      </c>
      <c r="I269" s="257">
        <v>8916.99</v>
      </c>
      <c r="J269" s="240">
        <v>124.91090909090909</v>
      </c>
      <c r="K269" s="240" t="str">
        <v/>
      </c>
      <c r="L269" s="240" t="str">
        <v/>
      </c>
      <c r="M269" s="240">
        <v>143.99760869565219</v>
      </c>
      <c r="N269" s="240">
        <v>183.816</v>
      </c>
      <c r="O269" s="258">
        <v>143.8224193548387</v>
      </c>
      <c r="P269" s="224">
        <v>5.0732715220442252E-2</v>
      </c>
      <c r="Q269" s="224">
        <v>0</v>
      </c>
      <c r="R269" s="224">
        <v>0</v>
      </c>
      <c r="S269" s="224">
        <v>0.18084891738665698</v>
      </c>
      <c r="T269" s="224">
        <v>0.12004529715482146</v>
      </c>
      <c r="U269" s="259">
        <v>5.4867787988217405E-2</v>
      </c>
      <c r="V269" s="239">
        <v>11</v>
      </c>
      <c r="W269" s="239">
        <v>0</v>
      </c>
      <c r="X269" s="239">
        <v>0</v>
      </c>
      <c r="Y269" s="239">
        <v>46</v>
      </c>
      <c r="Z269" s="239">
        <v>5</v>
      </c>
      <c r="AA269" s="257">
        <v>62</v>
      </c>
      <c r="AB269" s="224">
        <v>5.4455445544554455E-2</v>
      </c>
      <c r="AC269" s="224">
        <v>0</v>
      </c>
      <c r="AD269" s="224">
        <v>0</v>
      </c>
      <c r="AE269" s="224">
        <v>0.21100917431192662</v>
      </c>
      <c r="AF269" s="224">
        <v>9.4339622641509441E-2</v>
      </c>
      <c r="AG269" s="259">
        <v>5.8712121212121215E-2</v>
      </c>
      <c r="AH269" s="261">
        <v>5.7211213397825975E-4</v>
      </c>
      <c r="AI269" s="261">
        <v>0</v>
      </c>
      <c r="AJ269" s="261">
        <v>0</v>
      </c>
      <c r="AK269" s="261">
        <v>2.4729853233697112E-3</v>
      </c>
      <c r="AL269" s="261">
        <v>1.0427528675703858E-3</v>
      </c>
      <c r="AM269" s="262">
        <v>6.802422540156236E-4</v>
      </c>
    </row>
    <row r="270" spans="1:39" x14ac:dyDescent="0.25">
      <c r="A270" s="215" t="str">
        <v>4046-TAl-Sabi</v>
      </c>
      <c r="B270" s="215" t="str">
        <v>MILAGROPLZ</v>
      </c>
      <c r="C270" s="215" t="str">
        <v>Hamzah Al Makhadam</v>
      </c>
      <c r="D270" s="239">
        <v>1307.05</v>
      </c>
      <c r="E270" s="239">
        <v>2576.0500000000002</v>
      </c>
      <c r="F270" s="239">
        <v>3912.04</v>
      </c>
      <c r="G270" s="239">
        <v>75</v>
      </c>
      <c r="H270" s="239">
        <v>0</v>
      </c>
      <c r="I270" s="257">
        <v>7870.14</v>
      </c>
      <c r="J270" s="240">
        <v>163.38124999999999</v>
      </c>
      <c r="K270" s="240">
        <v>143.11388888888891</v>
      </c>
      <c r="L270" s="240">
        <v>195.602</v>
      </c>
      <c r="M270" s="240">
        <v>75</v>
      </c>
      <c r="N270" s="240" t="str">
        <v/>
      </c>
      <c r="O270" s="258">
        <v>167.44978723404256</v>
      </c>
      <c r="P270" s="224">
        <v>4.8259992888661764E-2</v>
      </c>
      <c r="Q270" s="224">
        <v>5.2315335122363922E-2</v>
      </c>
      <c r="R270" s="224">
        <v>9.334233979079791E-2</v>
      </c>
      <c r="S270" s="224">
        <v>2.0476893191159989E-3</v>
      </c>
      <c r="T270" s="224">
        <v>0</v>
      </c>
      <c r="U270" s="259">
        <v>4.8426338142982035E-2</v>
      </c>
      <c r="V270" s="239">
        <v>8</v>
      </c>
      <c r="W270" s="239">
        <v>18</v>
      </c>
      <c r="X270" s="239">
        <v>20</v>
      </c>
      <c r="Y270" s="239">
        <v>1</v>
      </c>
      <c r="Z270" s="239">
        <v>0</v>
      </c>
      <c r="AA270" s="257">
        <v>47</v>
      </c>
      <c r="AB270" s="224">
        <v>3.9603960396039604E-2</v>
      </c>
      <c r="AC270" s="224">
        <v>5.7324840764331211E-2</v>
      </c>
      <c r="AD270" s="224">
        <v>7.434944237918216E-2</v>
      </c>
      <c r="AE270" s="224">
        <v>4.5871559633027525E-3</v>
      </c>
      <c r="AF270" s="224">
        <v>0</v>
      </c>
      <c r="AG270" s="259">
        <v>4.450757575757576E-2</v>
      </c>
      <c r="AH270" s="261">
        <v>4.1608155198418888E-4</v>
      </c>
      <c r="AI270" s="261">
        <v>6.6716085989621942E-4</v>
      </c>
      <c r="AJ270" s="261">
        <v>9.2846200269253978E-4</v>
      </c>
      <c r="AK270" s="261">
        <v>5.37605505080372E-5</v>
      </c>
      <c r="AL270" s="261">
        <v>0</v>
      </c>
      <c r="AM270" s="262">
        <v>5.1566751514087595E-4</v>
      </c>
    </row>
    <row r="271" spans="1:39" x14ac:dyDescent="0.25">
      <c r="A271" s="215" t="str">
        <v>4502-HAltharwi</v>
      </c>
      <c r="B271" s="215" t="str">
        <v>ALAZIZIYAH</v>
      </c>
      <c r="C271" s="215" t="str">
        <v>Lina Al Ghathami</v>
      </c>
      <c r="D271" s="239">
        <v>12802.26</v>
      </c>
      <c r="E271" s="239">
        <v>17558.23</v>
      </c>
      <c r="F271" s="239">
        <v>13476.21</v>
      </c>
      <c r="G271" s="239">
        <v>15151.81</v>
      </c>
      <c r="H271" s="239">
        <v>2687.96</v>
      </c>
      <c r="I271" s="257">
        <v>61676.469999999994</v>
      </c>
      <c r="J271" s="240">
        <v>124.29378640776699</v>
      </c>
      <c r="K271" s="240">
        <v>134.03229007633587</v>
      </c>
      <c r="L271" s="240">
        <v>134.7621</v>
      </c>
      <c r="M271" s="240">
        <v>145.69048076923076</v>
      </c>
      <c r="N271" s="240">
        <v>167.9975</v>
      </c>
      <c r="O271" s="258">
        <v>135.85125550660791</v>
      </c>
      <c r="P271" s="224">
        <v>0.32135896789688606</v>
      </c>
      <c r="Q271" s="224">
        <v>0.28683886248104357</v>
      </c>
      <c r="R271" s="224">
        <v>0.27978805699814263</v>
      </c>
      <c r="S271" s="224">
        <v>0.3524685787954645</v>
      </c>
      <c r="T271" s="224">
        <v>0.28113560392758974</v>
      </c>
      <c r="U271" s="259">
        <v>0.3056842281601444</v>
      </c>
      <c r="V271" s="239">
        <v>103</v>
      </c>
      <c r="W271" s="239">
        <v>131</v>
      </c>
      <c r="X271" s="239">
        <v>100</v>
      </c>
      <c r="Y271" s="239">
        <v>104</v>
      </c>
      <c r="Z271" s="239">
        <v>16</v>
      </c>
      <c r="AA271" s="257">
        <v>454</v>
      </c>
      <c r="AB271" s="224">
        <v>0.35034013605442177</v>
      </c>
      <c r="AC271" s="224">
        <v>0.32186732186732187</v>
      </c>
      <c r="AD271" s="224">
        <v>0.3436426116838488</v>
      </c>
      <c r="AE271" s="224">
        <v>0.38805970149253732</v>
      </c>
      <c r="AF271" s="224">
        <v>0.30769230769230771</v>
      </c>
      <c r="AG271" s="259">
        <v>0.34603658536585363</v>
      </c>
      <c r="AH271" s="261">
        <v>5.3570499817964324E-3</v>
      </c>
      <c r="AI271" s="261">
        <v>4.8554484803558194E-3</v>
      </c>
      <c r="AJ271" s="261">
        <v>4.642310013462699E-3</v>
      </c>
      <c r="AK271" s="261">
        <v>5.5910972528358692E-3</v>
      </c>
      <c r="AL271" s="261">
        <v>3.3368091762252345E-3</v>
      </c>
      <c r="AM271" s="262">
        <v>4.9811287632756957E-3</v>
      </c>
    </row>
    <row r="272" spans="1:39" x14ac:dyDescent="0.25">
      <c r="A272" s="215" t="str">
        <v>3695-EAlmutairi</v>
      </c>
      <c r="B272" s="215" t="str">
        <v>ALAZIZIYAH</v>
      </c>
      <c r="C272" s="215" t="str">
        <v>Lina Al Ghathami</v>
      </c>
      <c r="D272" s="239">
        <v>13767.36</v>
      </c>
      <c r="E272" s="239">
        <v>15760.180000000002</v>
      </c>
      <c r="F272" s="239">
        <v>13359.19</v>
      </c>
      <c r="G272" s="239">
        <v>10665.75</v>
      </c>
      <c r="H272" s="239">
        <v>4591.22</v>
      </c>
      <c r="I272" s="257">
        <v>58143.700000000004</v>
      </c>
      <c r="J272" s="240">
        <v>148.03612903225806</v>
      </c>
      <c r="K272" s="240">
        <v>145.92759259259262</v>
      </c>
      <c r="L272" s="240">
        <v>143.64720430107528</v>
      </c>
      <c r="M272" s="240">
        <v>174.84836065573771</v>
      </c>
      <c r="N272" s="240">
        <v>191.30083333333334</v>
      </c>
      <c r="O272" s="258">
        <v>153.41345646437995</v>
      </c>
      <c r="P272" s="224">
        <v>0.34558465460511451</v>
      </c>
      <c r="Q272" s="224">
        <v>0.25746513764180634</v>
      </c>
      <c r="R272" s="224">
        <v>0.27735853130583582</v>
      </c>
      <c r="S272" s="224">
        <v>0.24811172686878502</v>
      </c>
      <c r="T272" s="224">
        <v>0.4801988896651842</v>
      </c>
      <c r="U272" s="259">
        <v>0.28817492403302247</v>
      </c>
      <c r="V272" s="239">
        <v>93</v>
      </c>
      <c r="W272" s="239">
        <v>108</v>
      </c>
      <c r="X272" s="239">
        <v>93</v>
      </c>
      <c r="Y272" s="239">
        <v>61</v>
      </c>
      <c r="Z272" s="239">
        <v>24</v>
      </c>
      <c r="AA272" s="257">
        <v>379</v>
      </c>
      <c r="AB272" s="224">
        <v>0.31632653061224492</v>
      </c>
      <c r="AC272" s="224">
        <v>0.26535626535626533</v>
      </c>
      <c r="AD272" s="224">
        <v>0.31958762886597936</v>
      </c>
      <c r="AE272" s="224">
        <v>0.22761194029850745</v>
      </c>
      <c r="AF272" s="224">
        <v>0.46153846153846156</v>
      </c>
      <c r="AG272" s="259">
        <v>0.2888719512195122</v>
      </c>
      <c r="AH272" s="261">
        <v>4.8369480418161961E-3</v>
      </c>
      <c r="AI272" s="261">
        <v>4.0029651593773167E-3</v>
      </c>
      <c r="AJ272" s="261">
        <v>4.3173483125203103E-3</v>
      </c>
      <c r="AK272" s="261">
        <v>3.2793935809902692E-3</v>
      </c>
      <c r="AL272" s="261">
        <v>5.0052137643378522E-3</v>
      </c>
      <c r="AM272" s="262">
        <v>4.1582550689019575E-3</v>
      </c>
    </row>
    <row r="273" spans="1:39" x14ac:dyDescent="0.25">
      <c r="A273" s="215" t="str">
        <v>3514-AGhazi</v>
      </c>
      <c r="B273" s="215" t="str">
        <v>ALAZIZIYAH</v>
      </c>
      <c r="C273" s="215" t="str">
        <v>Lina Al Ghathami</v>
      </c>
      <c r="D273" s="239">
        <v>5242.0600000000004</v>
      </c>
      <c r="E273" s="239">
        <v>16982.250000000004</v>
      </c>
      <c r="F273" s="239">
        <v>16205.330000000002</v>
      </c>
      <c r="G273" s="239">
        <v>10486.099999999999</v>
      </c>
      <c r="H273" s="239">
        <v>2281.9</v>
      </c>
      <c r="I273" s="257">
        <v>51197.640000000007</v>
      </c>
      <c r="J273" s="240">
        <v>154.17823529411766</v>
      </c>
      <c r="K273" s="240">
        <v>160.20990566037739</v>
      </c>
      <c r="L273" s="240">
        <v>249.31276923076925</v>
      </c>
      <c r="M273" s="240">
        <v>147.69154929577462</v>
      </c>
      <c r="N273" s="240">
        <v>190.15833333333333</v>
      </c>
      <c r="O273" s="258">
        <v>177.76958333333334</v>
      </c>
      <c r="P273" s="224">
        <v>0.13158481324809451</v>
      </c>
      <c r="Q273" s="224">
        <v>0.27742940332645732</v>
      </c>
      <c r="R273" s="224">
        <v>0.33644903082644984</v>
      </c>
      <c r="S273" s="224">
        <v>0.24393262350221656</v>
      </c>
      <c r="T273" s="224">
        <v>0.23866550640722592</v>
      </c>
      <c r="U273" s="259">
        <v>0.25374848896217533</v>
      </c>
      <c r="V273" s="239">
        <v>34</v>
      </c>
      <c r="W273" s="239">
        <v>106</v>
      </c>
      <c r="X273" s="239">
        <v>65</v>
      </c>
      <c r="Y273" s="239">
        <v>71</v>
      </c>
      <c r="Z273" s="239">
        <v>12</v>
      </c>
      <c r="AA273" s="257">
        <v>288</v>
      </c>
      <c r="AB273" s="224">
        <v>0.11564625850340136</v>
      </c>
      <c r="AC273" s="224">
        <v>0.26044226044226043</v>
      </c>
      <c r="AD273" s="224">
        <v>0.22336769759450173</v>
      </c>
      <c r="AE273" s="224">
        <v>0.26492537313432835</v>
      </c>
      <c r="AF273" s="224">
        <v>0.23076923076923078</v>
      </c>
      <c r="AG273" s="259">
        <v>0.21951219512195122</v>
      </c>
      <c r="AH273" s="261">
        <v>1.7683465959328027E-3</v>
      </c>
      <c r="AI273" s="261">
        <v>3.9288361749444034E-3</v>
      </c>
      <c r="AJ273" s="261">
        <v>3.0175015087507543E-3</v>
      </c>
      <c r="AK273" s="261">
        <v>3.8169990860706412E-3</v>
      </c>
      <c r="AL273" s="261">
        <v>2.5026068821689261E-3</v>
      </c>
      <c r="AM273" s="262">
        <v>3.159834986395155E-3</v>
      </c>
    </row>
    <row r="274" spans="1:39" x14ac:dyDescent="0.25">
      <c r="A274" s="215" t="str">
        <v>3121-Awd Al-quthary</v>
      </c>
      <c r="B274" s="215" t="str">
        <v>ALAZIZIYAH</v>
      </c>
      <c r="C274" s="215" t="str">
        <v>Lina Al Ghathami</v>
      </c>
      <c r="D274" s="239">
        <v>8026.2000000000007</v>
      </c>
      <c r="E274" s="239">
        <v>10912.21</v>
      </c>
      <c r="F274" s="239">
        <v>5125.05</v>
      </c>
      <c r="G274" s="239">
        <v>6684.03</v>
      </c>
      <c r="H274" s="239">
        <v>0</v>
      </c>
      <c r="I274" s="257">
        <v>30747.489999999998</v>
      </c>
      <c r="J274" s="240">
        <v>125.40937500000001</v>
      </c>
      <c r="K274" s="240">
        <v>176.00338709677419</v>
      </c>
      <c r="L274" s="240">
        <v>155.30454545454546</v>
      </c>
      <c r="M274" s="240">
        <v>208.87593749999999</v>
      </c>
      <c r="N274" s="240" t="str">
        <v/>
      </c>
      <c r="O274" s="258">
        <v>160.98162303664921</v>
      </c>
      <c r="P274" s="224">
        <v>0.20147156424990487</v>
      </c>
      <c r="Q274" s="224">
        <v>0.17826659655069266</v>
      </c>
      <c r="R274" s="224">
        <v>0.10640438086957173</v>
      </c>
      <c r="S274" s="224">
        <v>0.155487070833534</v>
      </c>
      <c r="T274" s="224">
        <v>0</v>
      </c>
      <c r="U274" s="259">
        <v>0.15239235884465757</v>
      </c>
      <c r="V274" s="239">
        <v>64</v>
      </c>
      <c r="W274" s="239">
        <v>62</v>
      </c>
      <c r="X274" s="239">
        <v>33</v>
      </c>
      <c r="Y274" s="239">
        <v>32</v>
      </c>
      <c r="Z274" s="239">
        <v>0</v>
      </c>
      <c r="AA274" s="257">
        <v>191</v>
      </c>
      <c r="AB274" s="224">
        <v>0.21768707482993196</v>
      </c>
      <c r="AC274" s="224">
        <v>0.15233415233415235</v>
      </c>
      <c r="AD274" s="224">
        <v>0.1134020618556701</v>
      </c>
      <c r="AE274" s="224">
        <v>0.11940298507462686</v>
      </c>
      <c r="AF274" s="224">
        <v>0</v>
      </c>
      <c r="AG274" s="259">
        <v>0.14557926829268292</v>
      </c>
      <c r="AH274" s="261">
        <v>3.3286524158735111E-3</v>
      </c>
      <c r="AI274" s="261">
        <v>2.2979985174203113E-3</v>
      </c>
      <c r="AJ274" s="261">
        <v>1.5319623044426907E-3</v>
      </c>
      <c r="AK274" s="261">
        <v>1.7203376162571904E-3</v>
      </c>
      <c r="AL274" s="261">
        <v>0</v>
      </c>
      <c r="AM274" s="262">
        <v>2.0955850083384533E-3</v>
      </c>
    </row>
    <row r="275" spans="1:39" x14ac:dyDescent="0.25">
      <c r="A275" s="215" t="str">
        <v>4416-NAlsaad</v>
      </c>
      <c r="B275" s="215" t="str">
        <v>BURNPLAZ</v>
      </c>
      <c r="C275" s="215" t="str">
        <v>Lina Al Ghathami</v>
      </c>
      <c r="D275" s="239">
        <v>6131.07</v>
      </c>
      <c r="E275" s="239">
        <v>8242.06</v>
      </c>
      <c r="F275" s="239">
        <v>6114.07</v>
      </c>
      <c r="G275" s="239">
        <v>8104.87</v>
      </c>
      <c r="H275" s="239">
        <v>4224.99</v>
      </c>
      <c r="I275" s="257">
        <v>32817.06</v>
      </c>
      <c r="J275" s="240">
        <v>130.44829787234042</v>
      </c>
      <c r="K275" s="240">
        <v>117.74371428571428</v>
      </c>
      <c r="L275" s="240">
        <v>127.37645833333333</v>
      </c>
      <c r="M275" s="240">
        <v>152.92207547169812</v>
      </c>
      <c r="N275" s="240">
        <v>162.49961538461537</v>
      </c>
      <c r="O275" s="258">
        <v>134.4961475409836</v>
      </c>
      <c r="P275" s="224">
        <v>0.32580499112030786</v>
      </c>
      <c r="Q275" s="224">
        <v>0.289597068773357</v>
      </c>
      <c r="R275" s="224">
        <v>0.21918691690638092</v>
      </c>
      <c r="S275" s="224">
        <v>0.3140990290095742</v>
      </c>
      <c r="T275" s="224">
        <v>0.53930833064210393</v>
      </c>
      <c r="U275" s="259">
        <v>0.30159795064121492</v>
      </c>
      <c r="V275" s="239">
        <v>47</v>
      </c>
      <c r="W275" s="239">
        <v>70</v>
      </c>
      <c r="X275" s="239">
        <v>48</v>
      </c>
      <c r="Y275" s="239">
        <v>53</v>
      </c>
      <c r="Z275" s="239">
        <v>26</v>
      </c>
      <c r="AA275" s="257">
        <v>244</v>
      </c>
      <c r="AB275" s="224">
        <v>0.29746835443037972</v>
      </c>
      <c r="AC275" s="224">
        <v>0.32863849765258218</v>
      </c>
      <c r="AD275" s="224">
        <v>0.23529411764705882</v>
      </c>
      <c r="AE275" s="224">
        <v>0.31547619047619047</v>
      </c>
      <c r="AF275" s="224">
        <v>0.4642857142857143</v>
      </c>
      <c r="AG275" s="259">
        <v>0.30538172715894868</v>
      </c>
      <c r="AH275" s="261">
        <v>2.4444791179071097E-3</v>
      </c>
      <c r="AI275" s="261">
        <v>2.5945144551519643E-3</v>
      </c>
      <c r="AJ275" s="261">
        <v>2.2283088064620955E-3</v>
      </c>
      <c r="AK275" s="261">
        <v>2.8493091769259717E-3</v>
      </c>
      <c r="AL275" s="261">
        <v>5.4223149113660062E-3</v>
      </c>
      <c r="AM275" s="262">
        <v>2.6770824190292283E-3</v>
      </c>
    </row>
    <row r="276" spans="1:39" x14ac:dyDescent="0.25">
      <c r="A276" s="215" t="str">
        <v>4419-SAljarbou</v>
      </c>
      <c r="B276" s="215" t="str">
        <v>BURNPLAZ</v>
      </c>
      <c r="C276" s="215" t="str">
        <v>Lina Al Ghathami</v>
      </c>
      <c r="D276" s="239">
        <v>7430.1299999999992</v>
      </c>
      <c r="E276" s="239">
        <v>5530.09</v>
      </c>
      <c r="F276" s="239">
        <v>6217.0400000000009</v>
      </c>
      <c r="G276" s="239">
        <v>7534.8799999999992</v>
      </c>
      <c r="H276" s="239">
        <v>733</v>
      </c>
      <c r="I276" s="257">
        <v>27445.14</v>
      </c>
      <c r="J276" s="240">
        <v>117.93857142857142</v>
      </c>
      <c r="K276" s="240">
        <v>115.21020833333334</v>
      </c>
      <c r="L276" s="240">
        <v>148.02476190476193</v>
      </c>
      <c r="M276" s="240">
        <v>142.16754716981131</v>
      </c>
      <c r="N276" s="240">
        <v>122.16666666666667</v>
      </c>
      <c r="O276" s="258">
        <v>129.45820754716982</v>
      </c>
      <c r="P276" s="224">
        <v>0.39483702496835504</v>
      </c>
      <c r="Q276" s="224">
        <v>0.19430795869635187</v>
      </c>
      <c r="R276" s="224">
        <v>0.22287834942741033</v>
      </c>
      <c r="S276" s="224">
        <v>0.2920094328106016</v>
      </c>
      <c r="T276" s="224">
        <v>9.356543006271309E-2</v>
      </c>
      <c r="U276" s="259">
        <v>0.25222850490145171</v>
      </c>
      <c r="V276" s="239">
        <v>63</v>
      </c>
      <c r="W276" s="239">
        <v>48</v>
      </c>
      <c r="X276" s="239">
        <v>42</v>
      </c>
      <c r="Y276" s="239">
        <v>53</v>
      </c>
      <c r="Z276" s="239">
        <v>6</v>
      </c>
      <c r="AA276" s="257">
        <v>212</v>
      </c>
      <c r="AB276" s="224">
        <v>0.39873417721518989</v>
      </c>
      <c r="AC276" s="224">
        <v>0.22535211267605634</v>
      </c>
      <c r="AD276" s="224">
        <v>0.20588235294117646</v>
      </c>
      <c r="AE276" s="224">
        <v>0.31547619047619047</v>
      </c>
      <c r="AF276" s="224">
        <v>0.10714285714285714</v>
      </c>
      <c r="AG276" s="259">
        <v>0.26533166458072593</v>
      </c>
      <c r="AH276" s="261">
        <v>3.2766422218754878E-3</v>
      </c>
      <c r="AI276" s="261">
        <v>1.7790956263899185E-3</v>
      </c>
      <c r="AJ276" s="261">
        <v>1.9497702056543336E-3</v>
      </c>
      <c r="AK276" s="261">
        <v>2.8493091769259717E-3</v>
      </c>
      <c r="AL276" s="261">
        <v>1.2513034410844631E-3</v>
      </c>
      <c r="AM276" s="262">
        <v>2.3259896427631002E-3</v>
      </c>
    </row>
    <row r="277" spans="1:39" x14ac:dyDescent="0.25">
      <c r="A277" s="215" t="str">
        <v>4429-SDakheel</v>
      </c>
      <c r="B277" s="215" t="str">
        <v>BURNPLAZ</v>
      </c>
      <c r="C277" s="215" t="str">
        <v>Lina Al Ghathami</v>
      </c>
      <c r="D277" s="239">
        <v>5257.02</v>
      </c>
      <c r="E277" s="239">
        <v>8765.19</v>
      </c>
      <c r="F277" s="239">
        <v>3867.0699999999997</v>
      </c>
      <c r="G277" s="239">
        <v>5819.9400000000005</v>
      </c>
      <c r="H277" s="239">
        <v>1326</v>
      </c>
      <c r="I277" s="257">
        <v>25035.22</v>
      </c>
      <c r="J277" s="240">
        <v>109.52125000000001</v>
      </c>
      <c r="K277" s="240">
        <v>139.13</v>
      </c>
      <c r="L277" s="240">
        <v>120.84593749999999</v>
      </c>
      <c r="M277" s="240">
        <v>157.29567567567568</v>
      </c>
      <c r="N277" s="240">
        <v>94.714285714285708</v>
      </c>
      <c r="O277" s="258">
        <v>129.04752577319587</v>
      </c>
      <c r="P277" s="224">
        <v>0.27935798391133698</v>
      </c>
      <c r="Q277" s="224">
        <v>0.30797802142201597</v>
      </c>
      <c r="R277" s="224">
        <v>0.13863288296685489</v>
      </c>
      <c r="S277" s="224">
        <v>0.22554803505719173</v>
      </c>
      <c r="T277" s="224">
        <v>0.16926024592518085</v>
      </c>
      <c r="U277" s="259">
        <v>0.23008066675844691</v>
      </c>
      <c r="V277" s="239">
        <v>48</v>
      </c>
      <c r="W277" s="239">
        <v>63</v>
      </c>
      <c r="X277" s="239">
        <v>32</v>
      </c>
      <c r="Y277" s="239">
        <v>37</v>
      </c>
      <c r="Z277" s="239">
        <v>14</v>
      </c>
      <c r="AA277" s="257">
        <v>194</v>
      </c>
      <c r="AB277" s="224">
        <v>0.30379746835443039</v>
      </c>
      <c r="AC277" s="224">
        <v>0.29577464788732394</v>
      </c>
      <c r="AD277" s="224">
        <v>0.15686274509803921</v>
      </c>
      <c r="AE277" s="224">
        <v>0.22023809523809523</v>
      </c>
      <c r="AF277" s="224">
        <v>0.25</v>
      </c>
      <c r="AG277" s="259">
        <v>0.2428035043804756</v>
      </c>
      <c r="AH277" s="261">
        <v>2.4964893119051334E-3</v>
      </c>
      <c r="AI277" s="261">
        <v>2.335063009636768E-3</v>
      </c>
      <c r="AJ277" s="261">
        <v>1.4855392043080637E-3</v>
      </c>
      <c r="AK277" s="261">
        <v>1.9891403687973767E-3</v>
      </c>
      <c r="AL277" s="261">
        <v>2.9197080291970801E-3</v>
      </c>
      <c r="AM277" s="262">
        <v>2.1284999561134031E-3</v>
      </c>
    </row>
    <row r="278" spans="1:39" x14ac:dyDescent="0.25">
      <c r="A278" s="215" t="str">
        <v>4432-SAlharbi</v>
      </c>
      <c r="B278" s="215" t="str">
        <v>BURNPLAZ</v>
      </c>
      <c r="C278" s="215" t="str">
        <v>Lina Al Ghathami</v>
      </c>
      <c r="D278" s="239">
        <v>0</v>
      </c>
      <c r="E278" s="239">
        <v>970.01</v>
      </c>
      <c r="F278" s="239">
        <v>8374.14</v>
      </c>
      <c r="G278" s="239">
        <v>2595.84</v>
      </c>
      <c r="H278" s="239">
        <v>1550.1</v>
      </c>
      <c r="I278" s="257">
        <v>13490.09</v>
      </c>
      <c r="J278" s="240" t="str">
        <v/>
      </c>
      <c r="K278" s="240">
        <v>161.66833333333332</v>
      </c>
      <c r="L278" s="240">
        <v>144.38172413793103</v>
      </c>
      <c r="M278" s="240">
        <v>185.41714285714286</v>
      </c>
      <c r="N278" s="240">
        <v>155.01</v>
      </c>
      <c r="O278" s="258">
        <v>153.29647727272729</v>
      </c>
      <c r="P278" s="224">
        <v>0</v>
      </c>
      <c r="Q278" s="224">
        <v>3.4082747842268078E-2</v>
      </c>
      <c r="R278" s="224">
        <v>0.30020950501750893</v>
      </c>
      <c r="S278" s="224">
        <v>0.10060011122500585</v>
      </c>
      <c r="T278" s="224">
        <v>0.19786599337000213</v>
      </c>
      <c r="U278" s="259">
        <v>0.12397769629471828</v>
      </c>
      <c r="V278" s="239">
        <v>0</v>
      </c>
      <c r="W278" s="239">
        <v>6</v>
      </c>
      <c r="X278" s="239">
        <v>58</v>
      </c>
      <c r="Y278" s="239">
        <v>14</v>
      </c>
      <c r="Z278" s="239">
        <v>10</v>
      </c>
      <c r="AA278" s="257">
        <v>88</v>
      </c>
      <c r="AB278" s="224">
        <v>0</v>
      </c>
      <c r="AC278" s="224">
        <v>2.8169014084507043E-2</v>
      </c>
      <c r="AD278" s="224">
        <v>0.28431372549019607</v>
      </c>
      <c r="AE278" s="224">
        <v>8.3333333333333329E-2</v>
      </c>
      <c r="AF278" s="224">
        <v>0.17857142857142858</v>
      </c>
      <c r="AG278" s="259">
        <v>0.11013767209011265</v>
      </c>
      <c r="AH278" s="261">
        <v>0</v>
      </c>
      <c r="AI278" s="261">
        <v>2.2238695329873981E-4</v>
      </c>
      <c r="AJ278" s="261">
        <v>2.6925398078083656E-3</v>
      </c>
      <c r="AK278" s="261">
        <v>7.5264770711252083E-4</v>
      </c>
      <c r="AL278" s="261">
        <v>2.0855057351407717E-3</v>
      </c>
      <c r="AM278" s="262">
        <v>9.6550513473185292E-4</v>
      </c>
    </row>
    <row r="279" spans="1:39" x14ac:dyDescent="0.25">
      <c r="A279" s="215" t="str">
        <v>4545-KAlharbi</v>
      </c>
      <c r="B279" s="215" t="str">
        <v>BURNPLAZ</v>
      </c>
      <c r="C279" s="215" t="str">
        <v>Lina Al Ghathami</v>
      </c>
      <c r="D279" s="239">
        <v>0</v>
      </c>
      <c r="E279" s="239">
        <v>4953.0899999999992</v>
      </c>
      <c r="F279" s="239">
        <v>3322</v>
      </c>
      <c r="G279" s="239">
        <v>1748.02</v>
      </c>
      <c r="H279" s="239">
        <v>0</v>
      </c>
      <c r="I279" s="257">
        <v>10023.11</v>
      </c>
      <c r="J279" s="240" t="str">
        <v/>
      </c>
      <c r="K279" s="240">
        <v>190.50346153846152</v>
      </c>
      <c r="L279" s="240">
        <v>138.41666666666666</v>
      </c>
      <c r="M279" s="240">
        <v>158.91090909090909</v>
      </c>
      <c r="N279" s="240" t="str">
        <v/>
      </c>
      <c r="O279" s="258">
        <v>164.3132786885246</v>
      </c>
      <c r="P279" s="224">
        <v>0</v>
      </c>
      <c r="Q279" s="224">
        <v>0.1740342032660071</v>
      </c>
      <c r="R279" s="224">
        <v>0.1190923456818449</v>
      </c>
      <c r="S279" s="224">
        <v>6.7743391897626487E-2</v>
      </c>
      <c r="T279" s="224">
        <v>0</v>
      </c>
      <c r="U279" s="259">
        <v>9.2115181404168078E-2</v>
      </c>
      <c r="V279" s="239">
        <v>0</v>
      </c>
      <c r="W279" s="239">
        <v>26</v>
      </c>
      <c r="X279" s="239">
        <v>24</v>
      </c>
      <c r="Y279" s="239">
        <v>11</v>
      </c>
      <c r="Z279" s="239">
        <v>0</v>
      </c>
      <c r="AA279" s="257">
        <v>61</v>
      </c>
      <c r="AB279" s="224">
        <v>0</v>
      </c>
      <c r="AC279" s="224">
        <v>0.12206572769953052</v>
      </c>
      <c r="AD279" s="224">
        <v>0.11764705882352941</v>
      </c>
      <c r="AE279" s="224">
        <v>6.5476190476190479E-2</v>
      </c>
      <c r="AF279" s="224">
        <v>0</v>
      </c>
      <c r="AG279" s="259">
        <v>7.634543178973717E-2</v>
      </c>
      <c r="AH279" s="261">
        <v>0</v>
      </c>
      <c r="AI279" s="261">
        <v>9.636767976278725E-4</v>
      </c>
      <c r="AJ279" s="261">
        <v>1.1141544032310477E-3</v>
      </c>
      <c r="AK279" s="261">
        <v>5.9136605558840927E-4</v>
      </c>
      <c r="AL279" s="261">
        <v>0</v>
      </c>
      <c r="AM279" s="262">
        <v>6.6927060475730708E-4</v>
      </c>
    </row>
    <row r="280" spans="1:39" x14ac:dyDescent="0.25">
      <c r="A280" s="215" t="str">
        <v>7047-AAlsharari</v>
      </c>
      <c r="B280" s="215" t="str">
        <v>HACOMPLZ</v>
      </c>
      <c r="C280" s="215" t="str">
        <v>Lina Al Ghathami</v>
      </c>
      <c r="D280" s="239">
        <v>15581.26</v>
      </c>
      <c r="E280" s="239">
        <v>27571.440000000002</v>
      </c>
      <c r="F280" s="239">
        <v>27330.370000000003</v>
      </c>
      <c r="G280" s="239">
        <v>22434.629999999997</v>
      </c>
      <c r="H280" s="239">
        <v>360.98</v>
      </c>
      <c r="I280" s="257">
        <v>93278.680000000008</v>
      </c>
      <c r="J280" s="240">
        <v>149.81980769230771</v>
      </c>
      <c r="K280" s="240">
        <v>145.88063492063495</v>
      </c>
      <c r="L280" s="240">
        <v>153.54140449438205</v>
      </c>
      <c r="M280" s="240">
        <v>166.18244444444443</v>
      </c>
      <c r="N280" s="240">
        <v>120.32666666666667</v>
      </c>
      <c r="O280" s="258">
        <v>153.16696223316913</v>
      </c>
      <c r="P280" s="224">
        <v>0.23690466361878038</v>
      </c>
      <c r="Q280" s="224">
        <v>0.29061982587753749</v>
      </c>
      <c r="R280" s="224">
        <v>0.38623012842507859</v>
      </c>
      <c r="S280" s="224">
        <v>0.30917885647552612</v>
      </c>
      <c r="T280" s="224">
        <v>2.0508292967822358E-2</v>
      </c>
      <c r="U280" s="259">
        <v>0.29007554727733909</v>
      </c>
      <c r="V280" s="239">
        <v>104</v>
      </c>
      <c r="W280" s="239">
        <v>189</v>
      </c>
      <c r="X280" s="239">
        <v>178</v>
      </c>
      <c r="Y280" s="239">
        <v>135</v>
      </c>
      <c r="Z280" s="239">
        <v>3</v>
      </c>
      <c r="AA280" s="257">
        <v>609</v>
      </c>
      <c r="AB280" s="224">
        <v>0.24644549763033174</v>
      </c>
      <c r="AC280" s="224">
        <v>0.32474226804123713</v>
      </c>
      <c r="AD280" s="224">
        <v>0.42482100238663484</v>
      </c>
      <c r="AE280" s="224">
        <v>0.32066508313539194</v>
      </c>
      <c r="AF280" s="224">
        <v>3.614457831325301E-2</v>
      </c>
      <c r="AG280" s="259">
        <v>0.31603528801245462</v>
      </c>
      <c r="AH280" s="261">
        <v>5.4090601757944556E-3</v>
      </c>
      <c r="AI280" s="261">
        <v>7.005189028910304E-3</v>
      </c>
      <c r="AJ280" s="261">
        <v>8.2633118239636046E-3</v>
      </c>
      <c r="AK280" s="261">
        <v>7.2576743185850225E-3</v>
      </c>
      <c r="AL280" s="261">
        <v>6.2565172054223153E-4</v>
      </c>
      <c r="AM280" s="262">
        <v>6.6817343983147544E-3</v>
      </c>
    </row>
    <row r="281" spans="1:39" x14ac:dyDescent="0.25">
      <c r="A281" s="215" t="str">
        <v>4499-FShaman</v>
      </c>
      <c r="B281" s="215" t="str">
        <v>HACOMPLZ</v>
      </c>
      <c r="C281" s="215" t="str">
        <v>Lina Al Ghathami</v>
      </c>
      <c r="D281" s="239">
        <v>23610.519999999997</v>
      </c>
      <c r="E281" s="239">
        <v>17203.14</v>
      </c>
      <c r="F281" s="239">
        <v>13923.16</v>
      </c>
      <c r="G281" s="239">
        <v>13195.88</v>
      </c>
      <c r="H281" s="239">
        <v>6503.27</v>
      </c>
      <c r="I281" s="257">
        <v>74435.97</v>
      </c>
      <c r="J281" s="240">
        <v>166.27126760563377</v>
      </c>
      <c r="K281" s="240">
        <v>159.28833333333333</v>
      </c>
      <c r="L281" s="240">
        <v>178.50205128205127</v>
      </c>
      <c r="M281" s="240">
        <v>206.18562499999999</v>
      </c>
      <c r="N281" s="240">
        <v>342.27736842105264</v>
      </c>
      <c r="O281" s="258">
        <v>181.10941605839417</v>
      </c>
      <c r="P281" s="224">
        <v>0.35898523601200966</v>
      </c>
      <c r="Q281" s="224">
        <v>0.18133160804611217</v>
      </c>
      <c r="R281" s="224">
        <v>0.19676074180052874</v>
      </c>
      <c r="S281" s="224">
        <v>0.18185666929154909</v>
      </c>
      <c r="T281" s="224">
        <v>0.36946912961618406</v>
      </c>
      <c r="U281" s="259">
        <v>0.23147899107137446</v>
      </c>
      <c r="V281" s="239">
        <v>142</v>
      </c>
      <c r="W281" s="239">
        <v>108</v>
      </c>
      <c r="X281" s="239">
        <v>78</v>
      </c>
      <c r="Y281" s="239">
        <v>64</v>
      </c>
      <c r="Z281" s="239">
        <v>19</v>
      </c>
      <c r="AA281" s="257">
        <v>411</v>
      </c>
      <c r="AB281" s="224">
        <v>0.33649289099526064</v>
      </c>
      <c r="AC281" s="224">
        <v>0.18556701030927836</v>
      </c>
      <c r="AD281" s="224">
        <v>0.18615751789976134</v>
      </c>
      <c r="AE281" s="224">
        <v>0.15201900237529692</v>
      </c>
      <c r="AF281" s="224">
        <v>0.2289156626506024</v>
      </c>
      <c r="AG281" s="259">
        <v>0.21328489880643486</v>
      </c>
      <c r="AH281" s="261">
        <v>7.3854475477193532E-3</v>
      </c>
      <c r="AI281" s="261">
        <v>4.0029651593773167E-3</v>
      </c>
      <c r="AJ281" s="261">
        <v>3.6210018105009051E-3</v>
      </c>
      <c r="AK281" s="261">
        <v>3.4406752325143808E-3</v>
      </c>
      <c r="AL281" s="261">
        <v>3.962460896767466E-3</v>
      </c>
      <c r="AM281" s="262">
        <v>4.509347845168086E-3</v>
      </c>
    </row>
    <row r="282" spans="1:39" x14ac:dyDescent="0.25">
      <c r="A282" s="215" t="str">
        <v>7196-MAlkahtani</v>
      </c>
      <c r="B282" s="215" t="str">
        <v>HACOMPLZ</v>
      </c>
      <c r="C282" s="215" t="str">
        <v>Lina Al Ghathami</v>
      </c>
      <c r="D282" s="239">
        <v>0</v>
      </c>
      <c r="E282" s="239">
        <v>33230.380000000005</v>
      </c>
      <c r="F282" s="239">
        <v>14742.18</v>
      </c>
      <c r="G282" s="239">
        <v>14612.710000000001</v>
      </c>
      <c r="H282" s="239">
        <v>7663.49</v>
      </c>
      <c r="I282" s="257">
        <v>70248.760000000009</v>
      </c>
      <c r="J282" s="240" t="str">
        <v/>
      </c>
      <c r="K282" s="240">
        <v>166.15190000000001</v>
      </c>
      <c r="L282" s="240">
        <v>155.18084210526317</v>
      </c>
      <c r="M282" s="240">
        <v>162.36344444444447</v>
      </c>
      <c r="N282" s="240">
        <v>191.58724999999998</v>
      </c>
      <c r="O282" s="258">
        <v>165.29120000000003</v>
      </c>
      <c r="P282" s="224">
        <v>0</v>
      </c>
      <c r="Q282" s="224">
        <v>0.35026851152657984</v>
      </c>
      <c r="R282" s="224">
        <v>0.20833505271482328</v>
      </c>
      <c r="S282" s="224">
        <v>0.20138245951943431</v>
      </c>
      <c r="T282" s="224">
        <v>0.43538450350705565</v>
      </c>
      <c r="U282" s="259">
        <v>0.21845771726780921</v>
      </c>
      <c r="V282" s="239">
        <v>0</v>
      </c>
      <c r="W282" s="239">
        <v>200</v>
      </c>
      <c r="X282" s="239">
        <v>95</v>
      </c>
      <c r="Y282" s="239">
        <v>90</v>
      </c>
      <c r="Z282" s="239">
        <v>40</v>
      </c>
      <c r="AA282" s="257">
        <v>425</v>
      </c>
      <c r="AB282" s="224">
        <v>0</v>
      </c>
      <c r="AC282" s="224">
        <v>0.3436426116838488</v>
      </c>
      <c r="AD282" s="224">
        <v>0.22673031026252982</v>
      </c>
      <c r="AE282" s="224">
        <v>0.21377672209026127</v>
      </c>
      <c r="AF282" s="224">
        <v>0.48192771084337349</v>
      </c>
      <c r="AG282" s="259">
        <v>0.22055007784120395</v>
      </c>
      <c r="AH282" s="261">
        <v>0</v>
      </c>
      <c r="AI282" s="261">
        <v>7.4128984432913266E-3</v>
      </c>
      <c r="AJ282" s="261">
        <v>4.4101945127895644E-3</v>
      </c>
      <c r="AK282" s="261">
        <v>4.8384495457233483E-3</v>
      </c>
      <c r="AL282" s="261">
        <v>8.3420229405630868E-3</v>
      </c>
      <c r="AM282" s="262">
        <v>4.6629509347845171E-3</v>
      </c>
    </row>
    <row r="283" spans="1:39" x14ac:dyDescent="0.25">
      <c r="A283" s="215" t="str">
        <v>7247-AAlotaibi</v>
      </c>
      <c r="B283" s="215" t="str">
        <v>HACOMPLZ</v>
      </c>
      <c r="C283" s="215" t="str">
        <v>Lina Al Ghathami</v>
      </c>
      <c r="D283" s="239">
        <v>7667.1299999999992</v>
      </c>
      <c r="E283" s="239">
        <v>4301.05</v>
      </c>
      <c r="F283" s="239">
        <v>5615.03</v>
      </c>
      <c r="G283" s="239">
        <v>9371.0099999999984</v>
      </c>
      <c r="H283" s="239">
        <v>1083.96</v>
      </c>
      <c r="I283" s="257">
        <v>28038.179999999997</v>
      </c>
      <c r="J283" s="240">
        <v>139.40236363636362</v>
      </c>
      <c r="K283" s="240">
        <v>148.31206896551726</v>
      </c>
      <c r="L283" s="240">
        <v>175.46968749999999</v>
      </c>
      <c r="M283" s="240">
        <v>183.74529411764703</v>
      </c>
      <c r="N283" s="240">
        <v>120.44</v>
      </c>
      <c r="O283" s="258">
        <v>159.30784090909088</v>
      </c>
      <c r="P283" s="224">
        <v>0.11657458084721385</v>
      </c>
      <c r="Q283" s="224">
        <v>4.5335695273463497E-2</v>
      </c>
      <c r="R283" s="224">
        <v>7.9351057377220605E-2</v>
      </c>
      <c r="S283" s="224">
        <v>0.12914490481103189</v>
      </c>
      <c r="T283" s="224">
        <v>6.1582827983269778E-2</v>
      </c>
      <c r="U283" s="259">
        <v>8.7192383170093549E-2</v>
      </c>
      <c r="V283" s="239">
        <v>55</v>
      </c>
      <c r="W283" s="239">
        <v>29</v>
      </c>
      <c r="X283" s="239">
        <v>32</v>
      </c>
      <c r="Y283" s="239">
        <v>51</v>
      </c>
      <c r="Z283" s="239">
        <v>9</v>
      </c>
      <c r="AA283" s="257">
        <v>176</v>
      </c>
      <c r="AB283" s="224">
        <v>0.13033175355450238</v>
      </c>
      <c r="AC283" s="224">
        <v>4.9828178694158079E-2</v>
      </c>
      <c r="AD283" s="224">
        <v>7.6372315035799526E-2</v>
      </c>
      <c r="AE283" s="224">
        <v>0.12114014251781473</v>
      </c>
      <c r="AF283" s="224">
        <v>0.10843373493975904</v>
      </c>
      <c r="AG283" s="259">
        <v>9.1333679294239745E-2</v>
      </c>
      <c r="AH283" s="261">
        <v>2.8605606698912985E-3</v>
      </c>
      <c r="AI283" s="261">
        <v>1.0748702742772423E-3</v>
      </c>
      <c r="AJ283" s="261">
        <v>1.4855392043080637E-3</v>
      </c>
      <c r="AK283" s="261">
        <v>2.7417880759098975E-3</v>
      </c>
      <c r="AL283" s="261">
        <v>1.8769551616266945E-3</v>
      </c>
      <c r="AM283" s="262">
        <v>1.9310102694637058E-3</v>
      </c>
    </row>
    <row r="284" spans="1:39" x14ac:dyDescent="0.25">
      <c r="A284" s="215" t="str">
        <v>6176-NALYusr</v>
      </c>
      <c r="B284" s="215" t="str">
        <v>HACOMPLZ</v>
      </c>
      <c r="C284" s="215" t="str">
        <v>Lina Al Ghathami</v>
      </c>
      <c r="D284" s="239">
        <v>5415.09</v>
      </c>
      <c r="E284" s="239">
        <v>8872.1</v>
      </c>
      <c r="F284" s="239">
        <v>5338.08</v>
      </c>
      <c r="G284" s="239">
        <v>3655.78</v>
      </c>
      <c r="H284" s="239">
        <v>1989.96</v>
      </c>
      <c r="I284" s="257">
        <v>25271.01</v>
      </c>
      <c r="J284" s="240">
        <v>193.39607142857145</v>
      </c>
      <c r="K284" s="240">
        <v>277.25312500000001</v>
      </c>
      <c r="L284" s="240">
        <v>381.29142857142858</v>
      </c>
      <c r="M284" s="240">
        <v>174.0847619047619</v>
      </c>
      <c r="N284" s="240">
        <v>165.83</v>
      </c>
      <c r="O284" s="258">
        <v>236.17766355140185</v>
      </c>
      <c r="P284" s="224">
        <v>8.2333525973857152E-2</v>
      </c>
      <c r="Q284" s="224">
        <v>9.3517355537762983E-2</v>
      </c>
      <c r="R284" s="224">
        <v>7.54372269363109E-2</v>
      </c>
      <c r="S284" s="224">
        <v>5.0381480769956945E-2</v>
      </c>
      <c r="T284" s="224">
        <v>0.1130552459256684</v>
      </c>
      <c r="U284" s="259">
        <v>7.85871118244931E-2</v>
      </c>
      <c r="V284" s="239">
        <v>28</v>
      </c>
      <c r="W284" s="239">
        <v>32</v>
      </c>
      <c r="X284" s="239">
        <v>14</v>
      </c>
      <c r="Y284" s="239">
        <v>21</v>
      </c>
      <c r="Z284" s="239">
        <v>12</v>
      </c>
      <c r="AA284" s="257">
        <v>107</v>
      </c>
      <c r="AB284" s="224">
        <v>6.6350710900473939E-2</v>
      </c>
      <c r="AC284" s="224">
        <v>5.4982817869415807E-2</v>
      </c>
      <c r="AD284" s="224">
        <v>3.3412887828162291E-2</v>
      </c>
      <c r="AE284" s="224">
        <v>4.9881235154394299E-2</v>
      </c>
      <c r="AF284" s="224">
        <v>0.14457831325301204</v>
      </c>
      <c r="AG284" s="259">
        <v>5.5526725480020758E-2</v>
      </c>
      <c r="AH284" s="261">
        <v>1.4562854319446611E-3</v>
      </c>
      <c r="AI284" s="261">
        <v>1.1860637509266123E-3</v>
      </c>
      <c r="AJ284" s="261">
        <v>6.499234018847779E-4</v>
      </c>
      <c r="AK284" s="261">
        <v>1.1289715606687812E-3</v>
      </c>
      <c r="AL284" s="261">
        <v>2.5026068821689261E-3</v>
      </c>
      <c r="AM284" s="262">
        <v>1.1739664706398665E-3</v>
      </c>
    </row>
    <row r="285" spans="1:39" x14ac:dyDescent="0.25">
      <c r="A285" s="215" t="str">
        <v>5179-AAlnajmi</v>
      </c>
      <c r="B285" s="215" t="str">
        <v>HACOMPLZ</v>
      </c>
      <c r="C285" s="215" t="str">
        <v>Lina Al Ghathami</v>
      </c>
      <c r="D285" s="239">
        <v>13250.17</v>
      </c>
      <c r="E285" s="239">
        <v>2274.02</v>
      </c>
      <c r="F285" s="239">
        <v>0</v>
      </c>
      <c r="G285" s="239">
        <v>0</v>
      </c>
      <c r="H285" s="239">
        <v>0</v>
      </c>
      <c r="I285" s="257">
        <v>15524.19</v>
      </c>
      <c r="J285" s="240">
        <v>145.60626373626374</v>
      </c>
      <c r="K285" s="240">
        <v>206.7290909090909</v>
      </c>
      <c r="L285" s="240" t="str">
        <v/>
      </c>
      <c r="M285" s="240" t="str">
        <v/>
      </c>
      <c r="N285" s="240" t="str">
        <v/>
      </c>
      <c r="O285" s="258">
        <v>152.19794117647061</v>
      </c>
      <c r="P285" s="224">
        <v>0.20146169608501849</v>
      </c>
      <c r="Q285" s="224">
        <v>2.3969560401706901E-2</v>
      </c>
      <c r="R285" s="224">
        <v>0</v>
      </c>
      <c r="S285" s="224">
        <v>0</v>
      </c>
      <c r="T285" s="224">
        <v>0</v>
      </c>
      <c r="U285" s="259">
        <v>4.8276711358773462E-2</v>
      </c>
      <c r="V285" s="239">
        <v>91</v>
      </c>
      <c r="W285" s="239">
        <v>11</v>
      </c>
      <c r="X285" s="239">
        <v>0</v>
      </c>
      <c r="Y285" s="239">
        <v>0</v>
      </c>
      <c r="Z285" s="239">
        <v>0</v>
      </c>
      <c r="AA285" s="257">
        <v>102</v>
      </c>
      <c r="AB285" s="224">
        <v>0.21563981042654029</v>
      </c>
      <c r="AC285" s="224">
        <v>1.8900343642611683E-2</v>
      </c>
      <c r="AD285" s="224">
        <v>0</v>
      </c>
      <c r="AE285" s="224">
        <v>0</v>
      </c>
      <c r="AF285" s="224">
        <v>0</v>
      </c>
      <c r="AG285" s="259">
        <v>5.2932018681888945E-2</v>
      </c>
      <c r="AH285" s="261">
        <v>4.7329276538201487E-3</v>
      </c>
      <c r="AI285" s="261">
        <v>4.0770941438102295E-4</v>
      </c>
      <c r="AJ285" s="261">
        <v>0</v>
      </c>
      <c r="AK285" s="261">
        <v>0</v>
      </c>
      <c r="AL285" s="261">
        <v>0</v>
      </c>
      <c r="AM285" s="262">
        <v>1.119108224348284E-3</v>
      </c>
    </row>
    <row r="286" spans="1:39" x14ac:dyDescent="0.25">
      <c r="A286" s="215" t="str">
        <v>3692-TAlshrari</v>
      </c>
      <c r="B286" s="215" t="str">
        <v>HACOMPLZ</v>
      </c>
      <c r="C286" s="215" t="str">
        <v>Lina Al Ghathami</v>
      </c>
      <c r="D286" s="239">
        <v>150</v>
      </c>
      <c r="E286" s="239">
        <v>1419.03</v>
      </c>
      <c r="F286" s="239">
        <v>3813.06</v>
      </c>
      <c r="G286" s="239">
        <v>6045.92</v>
      </c>
      <c r="H286" s="239">
        <v>0</v>
      </c>
      <c r="I286" s="257">
        <v>11428.01</v>
      </c>
      <c r="J286" s="240">
        <v>150</v>
      </c>
      <c r="K286" s="240">
        <v>109.15615384615384</v>
      </c>
      <c r="L286" s="240">
        <v>173.32090909090908</v>
      </c>
      <c r="M286" s="240">
        <v>163.40324324324325</v>
      </c>
      <c r="N286" s="240" t="str">
        <v/>
      </c>
      <c r="O286" s="258">
        <v>156.54808219178082</v>
      </c>
      <c r="P286" s="224">
        <v>2.2806691848295362E-3</v>
      </c>
      <c r="Q286" s="224">
        <v>1.495744333683703E-2</v>
      </c>
      <c r="R286" s="224">
        <v>5.3885792746037837E-2</v>
      </c>
      <c r="S286" s="224">
        <v>8.3320769361585778E-2</v>
      </c>
      <c r="T286" s="224">
        <v>0</v>
      </c>
      <c r="U286" s="259">
        <v>3.5538520217491328E-2</v>
      </c>
      <c r="V286" s="239">
        <v>1</v>
      </c>
      <c r="W286" s="239">
        <v>13</v>
      </c>
      <c r="X286" s="239">
        <v>22</v>
      </c>
      <c r="Y286" s="239">
        <v>37</v>
      </c>
      <c r="Z286" s="239">
        <v>0</v>
      </c>
      <c r="AA286" s="257">
        <v>73</v>
      </c>
      <c r="AB286" s="224">
        <v>2.3696682464454978E-3</v>
      </c>
      <c r="AC286" s="224">
        <v>2.2336769759450172E-2</v>
      </c>
      <c r="AD286" s="224">
        <v>5.2505966587112173E-2</v>
      </c>
      <c r="AE286" s="224">
        <v>8.7885985748218529E-2</v>
      </c>
      <c r="AF286" s="224">
        <v>0</v>
      </c>
      <c r="AG286" s="259">
        <v>3.7882719252724441E-2</v>
      </c>
      <c r="AH286" s="261">
        <v>5.201019399802361E-5</v>
      </c>
      <c r="AI286" s="261">
        <v>4.8183839881393625E-4</v>
      </c>
      <c r="AJ286" s="261">
        <v>1.0213082029617937E-3</v>
      </c>
      <c r="AK286" s="261">
        <v>1.9891403687973767E-3</v>
      </c>
      <c r="AL286" s="261">
        <v>0</v>
      </c>
      <c r="AM286" s="262">
        <v>8.0093039585710528E-4</v>
      </c>
    </row>
    <row r="287" spans="1:39" x14ac:dyDescent="0.25">
      <c r="A287" s="215" t="str">
        <v>2918-TalalBreikah</v>
      </c>
      <c r="B287" s="215" t="str">
        <v>HACOMPLZ</v>
      </c>
      <c r="C287" s="215" t="str">
        <v>Lina Al Ghathami</v>
      </c>
      <c r="D287" s="239">
        <v>0</v>
      </c>
      <c r="E287" s="239">
        <v>0</v>
      </c>
      <c r="F287" s="239">
        <v>0</v>
      </c>
      <c r="G287" s="239">
        <v>3246.05</v>
      </c>
      <c r="H287" s="239">
        <v>0</v>
      </c>
      <c r="I287" s="257">
        <v>3246.05</v>
      </c>
      <c r="J287" s="240" t="str">
        <v/>
      </c>
      <c r="K287" s="240" t="str">
        <v/>
      </c>
      <c r="L287" s="240" t="str">
        <v/>
      </c>
      <c r="M287" s="240">
        <v>141.13260869565218</v>
      </c>
      <c r="N287" s="240" t="str">
        <v/>
      </c>
      <c r="O287" s="258">
        <v>141.13260869565218</v>
      </c>
      <c r="P287" s="224">
        <v>0</v>
      </c>
      <c r="Q287" s="224">
        <v>0</v>
      </c>
      <c r="R287" s="224">
        <v>0</v>
      </c>
      <c r="S287" s="224">
        <v>4.4734859770915847E-2</v>
      </c>
      <c r="T287" s="224">
        <v>0</v>
      </c>
      <c r="U287" s="259">
        <v>1.0094479577108151E-2</v>
      </c>
      <c r="V287" s="239">
        <v>0</v>
      </c>
      <c r="W287" s="239">
        <v>0</v>
      </c>
      <c r="X287" s="239">
        <v>0</v>
      </c>
      <c r="Y287" s="239">
        <v>23</v>
      </c>
      <c r="Z287" s="239">
        <v>0</v>
      </c>
      <c r="AA287" s="257">
        <v>23</v>
      </c>
      <c r="AB287" s="224">
        <v>0</v>
      </c>
      <c r="AC287" s="224">
        <v>0</v>
      </c>
      <c r="AD287" s="224">
        <v>0</v>
      </c>
      <c r="AE287" s="224">
        <v>5.4631828978622329E-2</v>
      </c>
      <c r="AF287" s="224">
        <v>0</v>
      </c>
      <c r="AG287" s="259">
        <v>1.1935651271406332E-2</v>
      </c>
      <c r="AH287" s="261">
        <v>0</v>
      </c>
      <c r="AI287" s="261">
        <v>0</v>
      </c>
      <c r="AJ287" s="261">
        <v>0</v>
      </c>
      <c r="AK287" s="261">
        <v>1.2364926616848556E-3</v>
      </c>
      <c r="AL287" s="261">
        <v>0</v>
      </c>
      <c r="AM287" s="262">
        <v>2.5234793294127972E-4</v>
      </c>
    </row>
    <row r="288" spans="1:39" x14ac:dyDescent="0.25">
      <c r="A288" s="215" t="str">
        <v>6827-MAlDossari</v>
      </c>
      <c r="B288" s="215" t="str">
        <v>HACOMPLZ</v>
      </c>
      <c r="C288" s="215" t="str">
        <v>Lina Al Ghathami</v>
      </c>
      <c r="D288" s="239">
        <v>96</v>
      </c>
      <c r="E288" s="239">
        <v>0</v>
      </c>
      <c r="F288" s="239">
        <v>0</v>
      </c>
      <c r="G288" s="239">
        <v>0</v>
      </c>
      <c r="H288" s="239">
        <v>0</v>
      </c>
      <c r="I288" s="257">
        <v>96</v>
      </c>
      <c r="J288" s="240">
        <v>96</v>
      </c>
      <c r="K288" s="240" t="str">
        <v/>
      </c>
      <c r="L288" s="240" t="str">
        <v/>
      </c>
      <c r="M288" s="240" t="str">
        <v/>
      </c>
      <c r="N288" s="240" t="str">
        <v/>
      </c>
      <c r="O288" s="258">
        <v>96</v>
      </c>
      <c r="P288" s="224">
        <v>1.459628278290903E-3</v>
      </c>
      <c r="Q288" s="224">
        <v>0</v>
      </c>
      <c r="R288" s="224">
        <v>0</v>
      </c>
      <c r="S288" s="224">
        <v>0</v>
      </c>
      <c r="T288" s="224">
        <v>0</v>
      </c>
      <c r="U288" s="259">
        <v>2.9853823551774695E-4</v>
      </c>
      <c r="V288" s="239">
        <v>1</v>
      </c>
      <c r="W288" s="239">
        <v>0</v>
      </c>
      <c r="X288" s="239">
        <v>0</v>
      </c>
      <c r="Y288" s="239">
        <v>0</v>
      </c>
      <c r="Z288" s="239">
        <v>0</v>
      </c>
      <c r="AA288" s="257">
        <v>1</v>
      </c>
      <c r="AB288" s="224">
        <v>2.3696682464454978E-3</v>
      </c>
      <c r="AC288" s="224">
        <v>0</v>
      </c>
      <c r="AD288" s="224">
        <v>0</v>
      </c>
      <c r="AE288" s="224">
        <v>0</v>
      </c>
      <c r="AF288" s="224">
        <v>0</v>
      </c>
      <c r="AG288" s="259">
        <v>5.189413596263622E-4</v>
      </c>
      <c r="AH288" s="261">
        <v>5.201019399802361E-5</v>
      </c>
      <c r="AI288" s="261">
        <v>0</v>
      </c>
      <c r="AJ288" s="261">
        <v>0</v>
      </c>
      <c r="AK288" s="261">
        <v>0</v>
      </c>
      <c r="AL288" s="261">
        <v>0</v>
      </c>
      <c r="AM288" s="262">
        <v>1.097164925831651E-5</v>
      </c>
    </row>
    <row r="289" spans="1:39" x14ac:dyDescent="0.25">
      <c r="A289" s="215" t="str">
        <v>4423-OAlharbi</v>
      </c>
      <c r="B289" s="215" t="str">
        <v>HAJADBUR</v>
      </c>
      <c r="C289" s="215" t="str">
        <v>Lina Al Ghathami</v>
      </c>
      <c r="D289" s="239">
        <v>4842.0599999999995</v>
      </c>
      <c r="E289" s="239">
        <v>7099.05</v>
      </c>
      <c r="F289" s="239">
        <v>5599.05</v>
      </c>
      <c r="G289" s="239">
        <v>2467.9499999999998</v>
      </c>
      <c r="H289" s="239">
        <v>1529.88</v>
      </c>
      <c r="I289" s="257">
        <v>21537.99</v>
      </c>
      <c r="J289" s="240">
        <v>121.05149999999999</v>
      </c>
      <c r="K289" s="240">
        <v>124.54473684210527</v>
      </c>
      <c r="L289" s="240">
        <v>124.42333333333333</v>
      </c>
      <c r="M289" s="240">
        <v>98.717999999999989</v>
      </c>
      <c r="N289" s="240">
        <v>191.23500000000001</v>
      </c>
      <c r="O289" s="258">
        <v>123.07422857142858</v>
      </c>
      <c r="P289" s="224">
        <v>0.60464605168023833</v>
      </c>
      <c r="Q289" s="224">
        <v>0.49110768596447779</v>
      </c>
      <c r="R289" s="224">
        <v>0.47728220091704876</v>
      </c>
      <c r="S289" s="224">
        <v>0.32081088283276027</v>
      </c>
      <c r="T289" s="224">
        <v>0.36980599374422884</v>
      </c>
      <c r="U289" s="259">
        <v>0.46797087880487243</v>
      </c>
      <c r="V289" s="239">
        <v>40</v>
      </c>
      <c r="W289" s="239">
        <v>57</v>
      </c>
      <c r="X289" s="239">
        <v>45</v>
      </c>
      <c r="Y289" s="239">
        <v>25</v>
      </c>
      <c r="Z289" s="239">
        <v>8</v>
      </c>
      <c r="AA289" s="257">
        <v>175</v>
      </c>
      <c r="AB289" s="224">
        <v>0.58823529411764708</v>
      </c>
      <c r="AC289" s="224">
        <v>0.54285714285714282</v>
      </c>
      <c r="AD289" s="224">
        <v>0.47368421052631576</v>
      </c>
      <c r="AE289" s="224">
        <v>0.36231884057971014</v>
      </c>
      <c r="AF289" s="224">
        <v>0.29629629629629628</v>
      </c>
      <c r="AG289" s="259">
        <v>0.48076923076923078</v>
      </c>
      <c r="AH289" s="261">
        <v>2.0804077599209446E-3</v>
      </c>
      <c r="AI289" s="261">
        <v>2.112676056338028E-3</v>
      </c>
      <c r="AJ289" s="261">
        <v>2.0890395060582144E-3</v>
      </c>
      <c r="AK289" s="261">
        <v>1.34401376270093E-3</v>
      </c>
      <c r="AL289" s="261">
        <v>1.6684045881126173E-3</v>
      </c>
      <c r="AM289" s="262">
        <v>1.9200386202053892E-3</v>
      </c>
    </row>
    <row r="290" spans="1:39" x14ac:dyDescent="0.25">
      <c r="A290" s="215" t="str">
        <v>6061-ZAlrashidi</v>
      </c>
      <c r="B290" s="215" t="str">
        <v>HAJADBUR</v>
      </c>
      <c r="C290" s="215" t="str">
        <v>Lina Al Ghathami</v>
      </c>
      <c r="D290" s="239">
        <v>1467.01</v>
      </c>
      <c r="E290" s="239">
        <v>6831.130000000001</v>
      </c>
      <c r="F290" s="239">
        <v>3592.0299999999997</v>
      </c>
      <c r="G290" s="239">
        <v>3234.9900000000002</v>
      </c>
      <c r="H290" s="239">
        <v>1325.01</v>
      </c>
      <c r="I290" s="257">
        <v>16450.170000000002</v>
      </c>
      <c r="J290" s="240">
        <v>112.84692307692308</v>
      </c>
      <c r="K290" s="240">
        <v>151.8028888888889</v>
      </c>
      <c r="L290" s="240">
        <v>123.86310344827585</v>
      </c>
      <c r="M290" s="240">
        <v>115.53535714285715</v>
      </c>
      <c r="N290" s="240">
        <v>120.45545454545454</v>
      </c>
      <c r="O290" s="258">
        <v>130.55690476190478</v>
      </c>
      <c r="P290" s="224">
        <v>0.18319099810316816</v>
      </c>
      <c r="Q290" s="224">
        <v>0.47257315370683733</v>
      </c>
      <c r="R290" s="224">
        <v>0.3061969412954102</v>
      </c>
      <c r="S290" s="224">
        <v>0.42051905340673484</v>
      </c>
      <c r="T290" s="224">
        <v>0.32028436202253813</v>
      </c>
      <c r="U290" s="259">
        <v>0.35742427735315824</v>
      </c>
      <c r="V290" s="239">
        <v>13</v>
      </c>
      <c r="W290" s="239">
        <v>45</v>
      </c>
      <c r="X290" s="239">
        <v>29</v>
      </c>
      <c r="Y290" s="239">
        <v>28</v>
      </c>
      <c r="Z290" s="239">
        <v>11</v>
      </c>
      <c r="AA290" s="257">
        <v>126</v>
      </c>
      <c r="AB290" s="224">
        <v>0.19117647058823528</v>
      </c>
      <c r="AC290" s="224">
        <v>0.42857142857142855</v>
      </c>
      <c r="AD290" s="224">
        <v>0.30526315789473685</v>
      </c>
      <c r="AE290" s="224">
        <v>0.40579710144927539</v>
      </c>
      <c r="AF290" s="224">
        <v>0.40740740740740738</v>
      </c>
      <c r="AG290" s="259">
        <v>0.34615384615384615</v>
      </c>
      <c r="AH290" s="261">
        <v>6.7613252197430695E-4</v>
      </c>
      <c r="AI290" s="261">
        <v>1.6679021497405485E-3</v>
      </c>
      <c r="AJ290" s="261">
        <v>1.3462699039041828E-3</v>
      </c>
      <c r="AK290" s="261">
        <v>1.5052954142250417E-3</v>
      </c>
      <c r="AL290" s="261">
        <v>2.2940563086548487E-3</v>
      </c>
      <c r="AM290" s="262">
        <v>1.3824278065478802E-3</v>
      </c>
    </row>
    <row r="291" spans="1:39" x14ac:dyDescent="0.25">
      <c r="A291" s="215" t="str">
        <v>4545-KAlharbi</v>
      </c>
      <c r="B291" s="215" t="str">
        <v>HAJADBUR</v>
      </c>
      <c r="C291" s="215" t="str">
        <v>Lina Al Ghathami</v>
      </c>
      <c r="D291" s="239">
        <v>1699.02</v>
      </c>
      <c r="E291" s="239">
        <v>525</v>
      </c>
      <c r="F291" s="239">
        <v>2540.0299999999997</v>
      </c>
      <c r="G291" s="239">
        <v>0</v>
      </c>
      <c r="H291" s="239">
        <v>0</v>
      </c>
      <c r="I291" s="257">
        <v>4764.0499999999993</v>
      </c>
      <c r="J291" s="240">
        <v>113.268</v>
      </c>
      <c r="K291" s="240">
        <v>175</v>
      </c>
      <c r="L291" s="240">
        <v>120.95380952380951</v>
      </c>
      <c r="M291" s="240" t="str">
        <v/>
      </c>
      <c r="N291" s="240" t="str">
        <v/>
      </c>
      <c r="O291" s="258">
        <v>122.15512820512819</v>
      </c>
      <c r="P291" s="224">
        <v>0.21216295021659345</v>
      </c>
      <c r="Q291" s="224">
        <v>3.6319160328684943E-2</v>
      </c>
      <c r="R291" s="224">
        <v>0.21652085778754096</v>
      </c>
      <c r="S291" s="224">
        <v>0</v>
      </c>
      <c r="T291" s="224">
        <v>0</v>
      </c>
      <c r="U291" s="259">
        <v>0.10351182562394876</v>
      </c>
      <c r="V291" s="239">
        <v>15</v>
      </c>
      <c r="W291" s="239">
        <v>3</v>
      </c>
      <c r="X291" s="239">
        <v>21</v>
      </c>
      <c r="Y291" s="239">
        <v>0</v>
      </c>
      <c r="Z291" s="239">
        <v>0</v>
      </c>
      <c r="AA291" s="257">
        <v>39</v>
      </c>
      <c r="AB291" s="224">
        <v>0.22058823529411764</v>
      </c>
      <c r="AC291" s="224">
        <v>2.8571428571428571E-2</v>
      </c>
      <c r="AD291" s="224">
        <v>0.22105263157894736</v>
      </c>
      <c r="AE291" s="224">
        <v>0</v>
      </c>
      <c r="AF291" s="224">
        <v>0</v>
      </c>
      <c r="AG291" s="259">
        <v>0.10714285714285714</v>
      </c>
      <c r="AH291" s="261">
        <v>7.8015290997035416E-4</v>
      </c>
      <c r="AI291" s="261">
        <v>1.1119347664936991E-4</v>
      </c>
      <c r="AJ291" s="261">
        <v>9.748851028271668E-4</v>
      </c>
      <c r="AK291" s="261">
        <v>0</v>
      </c>
      <c r="AL291" s="261">
        <v>0</v>
      </c>
      <c r="AM291" s="262">
        <v>4.2789432107434388E-4</v>
      </c>
    </row>
    <row r="292" spans="1:39" x14ac:dyDescent="0.25">
      <c r="A292" s="215" t="str">
        <v>4425-AAlharbi</v>
      </c>
      <c r="B292" s="215" t="str">
        <v>HAJADBUR</v>
      </c>
      <c r="C292" s="215" t="str">
        <v>Lina Al Ghathami</v>
      </c>
      <c r="D292" s="239">
        <v>0</v>
      </c>
      <c r="E292" s="239">
        <v>0</v>
      </c>
      <c r="F292" s="239">
        <v>0</v>
      </c>
      <c r="G292" s="239">
        <v>1989.91</v>
      </c>
      <c r="H292" s="239">
        <v>1282.0899999999999</v>
      </c>
      <c r="I292" s="257">
        <v>3272</v>
      </c>
      <c r="J292" s="240" t="str">
        <v/>
      </c>
      <c r="K292" s="240" t="str">
        <v/>
      </c>
      <c r="L292" s="240" t="str">
        <v/>
      </c>
      <c r="M292" s="240">
        <v>124.36937500000001</v>
      </c>
      <c r="N292" s="240">
        <v>160.26124999999999</v>
      </c>
      <c r="O292" s="258">
        <v>136.33333333333334</v>
      </c>
      <c r="P292" s="224">
        <v>0</v>
      </c>
      <c r="Q292" s="224">
        <v>0</v>
      </c>
      <c r="R292" s="224">
        <v>0</v>
      </c>
      <c r="S292" s="224">
        <v>0.25867006376050489</v>
      </c>
      <c r="T292" s="224">
        <v>0.30990964423323286</v>
      </c>
      <c r="U292" s="259">
        <v>7.1093018218020457E-2</v>
      </c>
      <c r="V292" s="239">
        <v>0</v>
      </c>
      <c r="W292" s="239">
        <v>0</v>
      </c>
      <c r="X292" s="239">
        <v>0</v>
      </c>
      <c r="Y292" s="239">
        <v>16</v>
      </c>
      <c r="Z292" s="239">
        <v>8</v>
      </c>
      <c r="AA292" s="257">
        <v>24</v>
      </c>
      <c r="AB292" s="224">
        <v>0</v>
      </c>
      <c r="AC292" s="224">
        <v>0</v>
      </c>
      <c r="AD292" s="224">
        <v>0</v>
      </c>
      <c r="AE292" s="224">
        <v>0.2318840579710145</v>
      </c>
      <c r="AF292" s="224">
        <v>0.29629629629629628</v>
      </c>
      <c r="AG292" s="259">
        <v>6.5934065934065936E-2</v>
      </c>
      <c r="AH292" s="261">
        <v>0</v>
      </c>
      <c r="AI292" s="261">
        <v>0</v>
      </c>
      <c r="AJ292" s="261">
        <v>0</v>
      </c>
      <c r="AK292" s="261">
        <v>8.6016880812859521E-4</v>
      </c>
      <c r="AL292" s="261">
        <v>1.6684045881126173E-3</v>
      </c>
      <c r="AM292" s="262">
        <v>2.6331958219959624E-4</v>
      </c>
    </row>
    <row r="293" spans="1:39" x14ac:dyDescent="0.25">
      <c r="A293" s="215" t="str">
        <v>7220-MAlotaibi</v>
      </c>
      <c r="B293" s="215" t="str">
        <v>HAMAKANMAL</v>
      </c>
      <c r="C293" s="215" t="str">
        <v>Lina Al Ghathami</v>
      </c>
      <c r="D293" s="239">
        <v>12038.28</v>
      </c>
      <c r="E293" s="239">
        <v>13430.220000000001</v>
      </c>
      <c r="F293" s="239">
        <v>11866.06</v>
      </c>
      <c r="G293" s="239">
        <v>13170.869999999999</v>
      </c>
      <c r="H293" s="239">
        <v>4140.95</v>
      </c>
      <c r="I293" s="257">
        <v>54646.37999999999</v>
      </c>
      <c r="J293" s="240">
        <v>129.44387096774193</v>
      </c>
      <c r="K293" s="240">
        <v>113.81542372881357</v>
      </c>
      <c r="L293" s="240">
        <v>122.33051546391752</v>
      </c>
      <c r="M293" s="240">
        <v>160.62036585365851</v>
      </c>
      <c r="N293" s="240">
        <v>142.79137931034481</v>
      </c>
      <c r="O293" s="258">
        <v>130.42095465393791</v>
      </c>
      <c r="P293" s="224">
        <v>0.83765942331015986</v>
      </c>
      <c r="Q293" s="224">
        <v>0.69448778099016928</v>
      </c>
      <c r="R293" s="224">
        <v>0.80649789608830791</v>
      </c>
      <c r="S293" s="224">
        <v>0.75210970825552914</v>
      </c>
      <c r="T293" s="224">
        <v>0.79116052288680583</v>
      </c>
      <c r="U293" s="259">
        <v>0.76784364122226301</v>
      </c>
      <c r="V293" s="239">
        <v>93</v>
      </c>
      <c r="W293" s="239">
        <v>118</v>
      </c>
      <c r="X293" s="239">
        <v>97</v>
      </c>
      <c r="Y293" s="239">
        <v>82</v>
      </c>
      <c r="Z293" s="239">
        <v>29</v>
      </c>
      <c r="AA293" s="257">
        <v>419</v>
      </c>
      <c r="AB293" s="224">
        <v>0.8303571428571429</v>
      </c>
      <c r="AC293" s="224">
        <v>0.7239263803680982</v>
      </c>
      <c r="AD293" s="224">
        <v>0.80165289256198347</v>
      </c>
      <c r="AE293" s="224">
        <v>0.7321428571428571</v>
      </c>
      <c r="AF293" s="224">
        <v>0.76315789473684215</v>
      </c>
      <c r="AG293" s="259">
        <v>0.76739926739926745</v>
      </c>
      <c r="AH293" s="261">
        <v>4.8369480418161961E-3</v>
      </c>
      <c r="AI293" s="261">
        <v>4.3736100815418826E-3</v>
      </c>
      <c r="AJ293" s="261">
        <v>4.5030407130588184E-3</v>
      </c>
      <c r="AK293" s="261">
        <v>4.4083651416590508E-3</v>
      </c>
      <c r="AL293" s="261">
        <v>6.0479666319082376E-3</v>
      </c>
      <c r="AM293" s="262">
        <v>4.5971210392346182E-3</v>
      </c>
    </row>
    <row r="294" spans="1:39" x14ac:dyDescent="0.25">
      <c r="A294" s="215" t="str">
        <v>7219-YAlotaibi</v>
      </c>
      <c r="B294" s="215" t="str">
        <v>HAMAKANMAL</v>
      </c>
      <c r="C294" s="215" t="str">
        <v>Lina Al Ghathami</v>
      </c>
      <c r="D294" s="239">
        <v>2333.0500000000002</v>
      </c>
      <c r="E294" s="239">
        <v>5908.09</v>
      </c>
      <c r="F294" s="239">
        <v>2776.01</v>
      </c>
      <c r="G294" s="239">
        <v>3852.0299999999997</v>
      </c>
      <c r="H294" s="239">
        <v>1093.0700000000002</v>
      </c>
      <c r="I294" s="257">
        <v>15962.25</v>
      </c>
      <c r="J294" s="240">
        <v>122.79210526315791</v>
      </c>
      <c r="K294" s="240">
        <v>131.2908888888889</v>
      </c>
      <c r="L294" s="240">
        <v>120.69608695652175</v>
      </c>
      <c r="M294" s="240">
        <v>148.155</v>
      </c>
      <c r="N294" s="240">
        <v>121.45222222222225</v>
      </c>
      <c r="O294" s="258">
        <v>130.83811475409837</v>
      </c>
      <c r="P294" s="224">
        <v>0.16234057668984012</v>
      </c>
      <c r="Q294" s="224">
        <v>0.30551221900983072</v>
      </c>
      <c r="R294" s="224">
        <v>0.18867646249219233</v>
      </c>
      <c r="S294" s="224">
        <v>0.21996642283247392</v>
      </c>
      <c r="T294" s="224">
        <v>0.20883947711319409</v>
      </c>
      <c r="U294" s="259">
        <v>0.22428772339723271</v>
      </c>
      <c r="V294" s="239">
        <v>19</v>
      </c>
      <c r="W294" s="239">
        <v>45</v>
      </c>
      <c r="X294" s="239">
        <v>23</v>
      </c>
      <c r="Y294" s="239">
        <v>26</v>
      </c>
      <c r="Z294" s="239">
        <v>9</v>
      </c>
      <c r="AA294" s="257">
        <v>122</v>
      </c>
      <c r="AB294" s="224">
        <v>0.16964285714285715</v>
      </c>
      <c r="AC294" s="224">
        <v>0.27607361963190186</v>
      </c>
      <c r="AD294" s="224">
        <v>0.19008264462809918</v>
      </c>
      <c r="AE294" s="224">
        <v>0.23214285714285715</v>
      </c>
      <c r="AF294" s="224">
        <v>0.23684210526315788</v>
      </c>
      <c r="AG294" s="259">
        <v>0.22344322344322345</v>
      </c>
      <c r="AH294" s="261">
        <v>9.8819368596244858E-4</v>
      </c>
      <c r="AI294" s="261">
        <v>1.6679021497405485E-3</v>
      </c>
      <c r="AJ294" s="261">
        <v>1.0677313030964207E-3</v>
      </c>
      <c r="AK294" s="261">
        <v>1.3977743132089673E-3</v>
      </c>
      <c r="AL294" s="261">
        <v>1.8769551616266945E-3</v>
      </c>
      <c r="AM294" s="262">
        <v>1.3385412095146142E-3</v>
      </c>
    </row>
    <row r="295" spans="1:39" x14ac:dyDescent="0.25">
      <c r="A295" s="215" t="str">
        <v>2911-Faisal Alotabi</v>
      </c>
      <c r="B295" s="215" t="str">
        <v>HAMAKANMAL</v>
      </c>
      <c r="C295" s="215" t="str">
        <v>Lina Al Ghathami</v>
      </c>
      <c r="D295" s="239">
        <v>0</v>
      </c>
      <c r="E295" s="239">
        <v>0</v>
      </c>
      <c r="F295" s="239">
        <v>71</v>
      </c>
      <c r="G295" s="239">
        <v>489</v>
      </c>
      <c r="H295" s="239">
        <v>0</v>
      </c>
      <c r="I295" s="257">
        <v>560</v>
      </c>
      <c r="J295" s="240" t="str">
        <v/>
      </c>
      <c r="K295" s="240" t="str">
        <v/>
      </c>
      <c r="L295" s="240">
        <v>71</v>
      </c>
      <c r="M295" s="240">
        <v>122.25</v>
      </c>
      <c r="N295" s="240" t="str">
        <v/>
      </c>
      <c r="O295" s="258">
        <v>112</v>
      </c>
      <c r="P295" s="224">
        <v>0</v>
      </c>
      <c r="Q295" s="224">
        <v>0</v>
      </c>
      <c r="R295" s="224">
        <v>4.825641419499805E-3</v>
      </c>
      <c r="S295" s="224">
        <v>2.7923868911996989E-2</v>
      </c>
      <c r="T295" s="224">
        <v>0</v>
      </c>
      <c r="U295" s="259">
        <v>7.8686353805040229E-3</v>
      </c>
      <c r="V295" s="239">
        <v>0</v>
      </c>
      <c r="W295" s="239">
        <v>0</v>
      </c>
      <c r="X295" s="239">
        <v>1</v>
      </c>
      <c r="Y295" s="239">
        <v>4</v>
      </c>
      <c r="Z295" s="239">
        <v>0</v>
      </c>
      <c r="AA295" s="257">
        <v>5</v>
      </c>
      <c r="AB295" s="224">
        <v>0</v>
      </c>
      <c r="AC295" s="224">
        <v>0</v>
      </c>
      <c r="AD295" s="224">
        <v>8.2644628099173556E-3</v>
      </c>
      <c r="AE295" s="224">
        <v>3.5714285714285712E-2</v>
      </c>
      <c r="AF295" s="224">
        <v>0</v>
      </c>
      <c r="AG295" s="259">
        <v>9.1575091575091579E-3</v>
      </c>
      <c r="AH295" s="261">
        <v>0</v>
      </c>
      <c r="AI295" s="261">
        <v>0</v>
      </c>
      <c r="AJ295" s="261">
        <v>4.6423100134626989E-5</v>
      </c>
      <c r="AK295" s="261">
        <v>2.150422020321488E-4</v>
      </c>
      <c r="AL295" s="261">
        <v>0</v>
      </c>
      <c r="AM295" s="262">
        <v>5.4858246291582549E-5</v>
      </c>
    </row>
    <row r="296" spans="1:39" x14ac:dyDescent="0.25">
      <c r="A296" s="215" t="str">
        <v>6052-NAlAtiq</v>
      </c>
      <c r="B296" s="215" t="str">
        <v>HAOTHMTH</v>
      </c>
      <c r="C296" s="215" t="str">
        <v>Lina Al Ghathami</v>
      </c>
      <c r="D296" s="239">
        <v>3010.04</v>
      </c>
      <c r="E296" s="239">
        <v>687.02</v>
      </c>
      <c r="F296" s="239">
        <v>2272.0699999999997</v>
      </c>
      <c r="G296" s="239">
        <v>290</v>
      </c>
      <c r="H296" s="239">
        <v>626.02</v>
      </c>
      <c r="I296" s="257">
        <v>6885.15</v>
      </c>
      <c r="J296" s="240">
        <v>107.50142857142858</v>
      </c>
      <c r="K296" s="240">
        <v>114.50333333333333</v>
      </c>
      <c r="L296" s="240">
        <v>113.60349999999998</v>
      </c>
      <c r="M296" s="240">
        <v>96.666666666666671</v>
      </c>
      <c r="N296" s="240">
        <v>125.20399999999999</v>
      </c>
      <c r="O296" s="258">
        <v>111.0508064516129</v>
      </c>
      <c r="P296" s="224">
        <v>0.81219846520814665</v>
      </c>
      <c r="Q296" s="224">
        <v>0.11941777274086228</v>
      </c>
      <c r="R296" s="224">
        <v>0.65026086906748248</v>
      </c>
      <c r="S296" s="224">
        <v>0.12113465578961</v>
      </c>
      <c r="T296" s="224">
        <v>0.70816742081447959</v>
      </c>
      <c r="U296" s="259">
        <v>0.4241912509457072</v>
      </c>
      <c r="V296" s="239">
        <v>28</v>
      </c>
      <c r="W296" s="239">
        <v>6</v>
      </c>
      <c r="X296" s="239">
        <v>20</v>
      </c>
      <c r="Y296" s="239">
        <v>3</v>
      </c>
      <c r="Z296" s="239">
        <v>5</v>
      </c>
      <c r="AA296" s="257">
        <v>62</v>
      </c>
      <c r="AB296" s="224">
        <v>0.77777777777777779</v>
      </c>
      <c r="AC296" s="224">
        <v>0.13043478260869565</v>
      </c>
      <c r="AD296" s="224">
        <v>0.58823529411764708</v>
      </c>
      <c r="AE296" s="224">
        <v>0.13043478260869565</v>
      </c>
      <c r="AF296" s="224">
        <v>0.7142857142857143</v>
      </c>
      <c r="AG296" s="259">
        <v>0.42465753424657532</v>
      </c>
      <c r="AH296" s="261">
        <v>1.4562854319446611E-3</v>
      </c>
      <c r="AI296" s="261">
        <v>2.2238695329873981E-4</v>
      </c>
      <c r="AJ296" s="261">
        <v>9.2846200269253978E-4</v>
      </c>
      <c r="AK296" s="261">
        <v>1.6128165152411161E-4</v>
      </c>
      <c r="AL296" s="261">
        <v>1.0427528675703858E-3</v>
      </c>
      <c r="AM296" s="262">
        <v>6.802422540156236E-4</v>
      </c>
    </row>
    <row r="297" spans="1:39" x14ac:dyDescent="0.25">
      <c r="A297" s="215" t="str">
        <v>5235-RAlrashed</v>
      </c>
      <c r="B297" s="215" t="str">
        <v>HAOTHMTH</v>
      </c>
      <c r="C297" s="215" t="str">
        <v>Lina Al Ghathami</v>
      </c>
      <c r="D297" s="239">
        <v>485</v>
      </c>
      <c r="E297" s="239">
        <v>2547.04</v>
      </c>
      <c r="F297" s="239">
        <v>574.99</v>
      </c>
      <c r="G297" s="239">
        <v>1213.02</v>
      </c>
      <c r="H297" s="239">
        <v>0</v>
      </c>
      <c r="I297" s="257">
        <v>4820.0499999999993</v>
      </c>
      <c r="J297" s="240">
        <v>80.833333333333329</v>
      </c>
      <c r="K297" s="240">
        <v>127.352</v>
      </c>
      <c r="L297" s="240">
        <v>95.831666666666663</v>
      </c>
      <c r="M297" s="240">
        <v>101.08499999999999</v>
      </c>
      <c r="N297" s="240" t="str">
        <v/>
      </c>
      <c r="O297" s="258">
        <v>109.5465909090909</v>
      </c>
      <c r="P297" s="224">
        <v>0.13086744881328857</v>
      </c>
      <c r="Q297" s="224">
        <v>0.4427263309392534</v>
      </c>
      <c r="R297" s="224">
        <v>0.16456072968927535</v>
      </c>
      <c r="S297" s="224">
        <v>0.50668537988245765</v>
      </c>
      <c r="T297" s="224">
        <v>0</v>
      </c>
      <c r="U297" s="259">
        <v>0.2969612919284047</v>
      </c>
      <c r="V297" s="239">
        <v>6</v>
      </c>
      <c r="W297" s="239">
        <v>20</v>
      </c>
      <c r="X297" s="239">
        <v>6</v>
      </c>
      <c r="Y297" s="239">
        <v>12</v>
      </c>
      <c r="Z297" s="239">
        <v>0</v>
      </c>
      <c r="AA297" s="257">
        <v>44</v>
      </c>
      <c r="AB297" s="224">
        <v>0.16666666666666666</v>
      </c>
      <c r="AC297" s="224">
        <v>0.43478260869565216</v>
      </c>
      <c r="AD297" s="224">
        <v>0.17647058823529413</v>
      </c>
      <c r="AE297" s="224">
        <v>0.52173913043478259</v>
      </c>
      <c r="AF297" s="224">
        <v>0</v>
      </c>
      <c r="AG297" s="259">
        <v>0.30136986301369861</v>
      </c>
      <c r="AH297" s="261">
        <v>3.1206116398814168E-4</v>
      </c>
      <c r="AI297" s="261">
        <v>7.4128984432913266E-4</v>
      </c>
      <c r="AJ297" s="261">
        <v>2.7853860080776193E-4</v>
      </c>
      <c r="AK297" s="261">
        <v>6.4512660609644646E-4</v>
      </c>
      <c r="AL297" s="261">
        <v>0</v>
      </c>
      <c r="AM297" s="262">
        <v>4.8275256736592646E-4</v>
      </c>
    </row>
    <row r="298" spans="1:39" x14ac:dyDescent="0.25">
      <c r="A298" s="215" t="str">
        <v>4418-AAlsahlan</v>
      </c>
      <c r="B298" s="215" t="str">
        <v>HAOTHMTH</v>
      </c>
      <c r="C298" s="215" t="str">
        <v>Lina Al Ghathami</v>
      </c>
      <c r="D298" s="239">
        <v>211</v>
      </c>
      <c r="E298" s="239">
        <v>2519.02</v>
      </c>
      <c r="F298" s="239">
        <v>647.03</v>
      </c>
      <c r="G298" s="239">
        <v>891.01</v>
      </c>
      <c r="H298" s="239">
        <v>0</v>
      </c>
      <c r="I298" s="257">
        <v>4268.0600000000004</v>
      </c>
      <c r="J298" s="240">
        <v>105.5</v>
      </c>
      <c r="K298" s="240">
        <v>125.95099999999999</v>
      </c>
      <c r="L298" s="240">
        <v>80.878749999999997</v>
      </c>
      <c r="M298" s="240">
        <v>111.37625</v>
      </c>
      <c r="N298" s="240" t="str">
        <v/>
      </c>
      <c r="O298" s="258">
        <v>112.31736842105265</v>
      </c>
      <c r="P298" s="224">
        <v>5.6934085978564725E-2</v>
      </c>
      <c r="Q298" s="224">
        <v>0.43785589631988431</v>
      </c>
      <c r="R298" s="224">
        <v>0.18517840124324217</v>
      </c>
      <c r="S298" s="224">
        <v>0.37217996432793243</v>
      </c>
      <c r="T298" s="224">
        <v>0</v>
      </c>
      <c r="U298" s="259">
        <v>0.26295341575874676</v>
      </c>
      <c r="V298" s="239">
        <v>2</v>
      </c>
      <c r="W298" s="239">
        <v>20</v>
      </c>
      <c r="X298" s="239">
        <v>8</v>
      </c>
      <c r="Y298" s="239">
        <v>8</v>
      </c>
      <c r="Z298" s="239">
        <v>0</v>
      </c>
      <c r="AA298" s="257">
        <v>38</v>
      </c>
      <c r="AB298" s="224">
        <v>5.5555555555555552E-2</v>
      </c>
      <c r="AC298" s="224">
        <v>0.43478260869565216</v>
      </c>
      <c r="AD298" s="224">
        <v>0.23529411764705882</v>
      </c>
      <c r="AE298" s="224">
        <v>0.34782608695652173</v>
      </c>
      <c r="AF298" s="224">
        <v>0</v>
      </c>
      <c r="AG298" s="259">
        <v>0.26027397260273971</v>
      </c>
      <c r="AH298" s="261">
        <v>1.0402038799604722E-4</v>
      </c>
      <c r="AI298" s="261">
        <v>7.4128984432913266E-4</v>
      </c>
      <c r="AJ298" s="261">
        <v>3.7138480107701591E-4</v>
      </c>
      <c r="AK298" s="261">
        <v>4.300844040642976E-4</v>
      </c>
      <c r="AL298" s="261">
        <v>0</v>
      </c>
      <c r="AM298" s="262">
        <v>4.1692267181602736E-4</v>
      </c>
    </row>
    <row r="299" spans="1:39" x14ac:dyDescent="0.25">
      <c r="A299" s="215" t="str">
        <v>4866-EAlmutari</v>
      </c>
      <c r="B299" s="215" t="str">
        <v>HAOTHMTH</v>
      </c>
      <c r="C299" s="215" t="str">
        <v>Lina Al Ghathami</v>
      </c>
      <c r="D299" s="239">
        <v>0</v>
      </c>
      <c r="E299" s="239">
        <v>0</v>
      </c>
      <c r="F299" s="239">
        <v>0</v>
      </c>
      <c r="G299" s="239">
        <v>0</v>
      </c>
      <c r="H299" s="239">
        <v>257.98</v>
      </c>
      <c r="I299" s="257">
        <v>257.98</v>
      </c>
      <c r="J299" s="240" t="str">
        <v/>
      </c>
      <c r="K299" s="240" t="str">
        <v/>
      </c>
      <c r="L299" s="240" t="str">
        <v/>
      </c>
      <c r="M299" s="240" t="str">
        <v/>
      </c>
      <c r="N299" s="240">
        <v>128.99</v>
      </c>
      <c r="O299" s="258">
        <v>128.99</v>
      </c>
      <c r="P299" s="224">
        <v>0</v>
      </c>
      <c r="Q299" s="224">
        <v>0</v>
      </c>
      <c r="R299" s="224">
        <v>0</v>
      </c>
      <c r="S299" s="224">
        <v>0</v>
      </c>
      <c r="T299" s="224">
        <v>0.29183257918552036</v>
      </c>
      <c r="U299" s="259">
        <v>1.5894041367141391E-2</v>
      </c>
      <c r="V299" s="239">
        <v>0</v>
      </c>
      <c r="W299" s="239">
        <v>0</v>
      </c>
      <c r="X299" s="239">
        <v>0</v>
      </c>
      <c r="Y299" s="239">
        <v>0</v>
      </c>
      <c r="Z299" s="239">
        <v>2</v>
      </c>
      <c r="AA299" s="257">
        <v>2</v>
      </c>
      <c r="AB299" s="224">
        <v>0</v>
      </c>
      <c r="AC299" s="224">
        <v>0</v>
      </c>
      <c r="AD299" s="224">
        <v>0</v>
      </c>
      <c r="AE299" s="224">
        <v>0</v>
      </c>
      <c r="AF299" s="224">
        <v>0.2857142857142857</v>
      </c>
      <c r="AG299" s="259">
        <v>1.3698630136986301E-2</v>
      </c>
      <c r="AH299" s="261">
        <v>0</v>
      </c>
      <c r="AI299" s="261">
        <v>0</v>
      </c>
      <c r="AJ299" s="261">
        <v>0</v>
      </c>
      <c r="AK299" s="261">
        <v>0</v>
      </c>
      <c r="AL299" s="261">
        <v>4.1710114702815432E-4</v>
      </c>
      <c r="AM299" s="262">
        <v>2.194329851663302E-5</v>
      </c>
    </row>
    <row r="300" spans="1:39" x14ac:dyDescent="0.25">
      <c r="A300" s="215" t="str">
        <v>6053-AAlhreqi</v>
      </c>
      <c r="B300" s="215" t="str">
        <v>HAOTHONZAH</v>
      </c>
      <c r="C300" s="215" t="str">
        <v>Lina Al Ghathami</v>
      </c>
      <c r="D300" s="239">
        <v>2143.04</v>
      </c>
      <c r="E300" s="239">
        <v>8586.1</v>
      </c>
      <c r="F300" s="239">
        <v>4092.0699999999997</v>
      </c>
      <c r="G300" s="239">
        <v>3037.01</v>
      </c>
      <c r="H300" s="239">
        <v>579.96</v>
      </c>
      <c r="I300" s="257">
        <v>18438.18</v>
      </c>
      <c r="J300" s="240">
        <v>119.05777777777777</v>
      </c>
      <c r="K300" s="240">
        <v>140.75573770491803</v>
      </c>
      <c r="L300" s="240">
        <v>141.10586206896551</v>
      </c>
      <c r="M300" s="240">
        <v>126.54208333333334</v>
      </c>
      <c r="N300" s="240">
        <v>193.32000000000002</v>
      </c>
      <c r="O300" s="258">
        <v>136.5791111111111</v>
      </c>
      <c r="P300" s="224">
        <v>0.17431379965268035</v>
      </c>
      <c r="Q300" s="224">
        <v>0.50616009587807975</v>
      </c>
      <c r="R300" s="224">
        <v>0.32414489631026122</v>
      </c>
      <c r="S300" s="224">
        <v>0.23546692386775442</v>
      </c>
      <c r="T300" s="224">
        <v>0.19396720390369201</v>
      </c>
      <c r="U300" s="259">
        <v>0.31916879135084908</v>
      </c>
      <c r="V300" s="239">
        <v>18</v>
      </c>
      <c r="W300" s="239">
        <v>61</v>
      </c>
      <c r="X300" s="239">
        <v>29</v>
      </c>
      <c r="Y300" s="239">
        <v>24</v>
      </c>
      <c r="Z300" s="239">
        <v>3</v>
      </c>
      <c r="AA300" s="257">
        <v>135</v>
      </c>
      <c r="AB300" s="224">
        <v>0.18367346938775511</v>
      </c>
      <c r="AC300" s="224">
        <v>0.5446428571428571</v>
      </c>
      <c r="AD300" s="224">
        <v>0.30851063829787234</v>
      </c>
      <c r="AE300" s="224">
        <v>0.26666666666666666</v>
      </c>
      <c r="AF300" s="224">
        <v>0.13636363636363635</v>
      </c>
      <c r="AG300" s="259">
        <v>0.32451923076923078</v>
      </c>
      <c r="AH300" s="261">
        <v>9.3618349196442508E-4</v>
      </c>
      <c r="AI300" s="261">
        <v>2.2609340252038547E-3</v>
      </c>
      <c r="AJ300" s="261">
        <v>1.3462699039041828E-3</v>
      </c>
      <c r="AK300" s="261">
        <v>1.2902532121928929E-3</v>
      </c>
      <c r="AL300" s="261">
        <v>6.2565172054223153E-4</v>
      </c>
      <c r="AM300" s="262">
        <v>1.4811726498727288E-3</v>
      </c>
    </row>
    <row r="301" spans="1:39" x14ac:dyDescent="0.25">
      <c r="A301" s="215" t="str">
        <v>4866-EAlmutari</v>
      </c>
      <c r="B301" s="215" t="str">
        <v>HAOTHONZAH</v>
      </c>
      <c r="C301" s="215" t="str">
        <v>Lina Al Ghathami</v>
      </c>
      <c r="D301" s="239">
        <v>2225.0299999999997</v>
      </c>
      <c r="E301" s="239">
        <v>6980.08</v>
      </c>
      <c r="F301" s="239">
        <v>2421.04</v>
      </c>
      <c r="G301" s="239">
        <v>6512.85</v>
      </c>
      <c r="H301" s="239">
        <v>0</v>
      </c>
      <c r="I301" s="257">
        <v>18139</v>
      </c>
      <c r="J301" s="240">
        <v>92.709583333333327</v>
      </c>
      <c r="K301" s="240">
        <v>170.24585365853659</v>
      </c>
      <c r="L301" s="240">
        <v>134.50222222222223</v>
      </c>
      <c r="M301" s="240">
        <v>162.82125000000002</v>
      </c>
      <c r="N301" s="240" t="str">
        <v/>
      </c>
      <c r="O301" s="258">
        <v>147.47154471544715</v>
      </c>
      <c r="P301" s="224">
        <v>0.18098282516481415</v>
      </c>
      <c r="Q301" s="224">
        <v>0.41148343974990587</v>
      </c>
      <c r="R301" s="224">
        <v>0.19177769680454998</v>
      </c>
      <c r="S301" s="224">
        <v>0.50495742691400569</v>
      </c>
      <c r="T301" s="224">
        <v>0</v>
      </c>
      <c r="U301" s="259">
        <v>0.31398992234119916</v>
      </c>
      <c r="V301" s="239">
        <v>24</v>
      </c>
      <c r="W301" s="239">
        <v>41</v>
      </c>
      <c r="X301" s="239">
        <v>18</v>
      </c>
      <c r="Y301" s="239">
        <v>40</v>
      </c>
      <c r="Z301" s="239">
        <v>0</v>
      </c>
      <c r="AA301" s="257">
        <v>123</v>
      </c>
      <c r="AB301" s="224">
        <v>0.24489795918367346</v>
      </c>
      <c r="AC301" s="224">
        <v>0.36607142857142855</v>
      </c>
      <c r="AD301" s="224">
        <v>0.19148936170212766</v>
      </c>
      <c r="AE301" s="224">
        <v>0.44444444444444442</v>
      </c>
      <c r="AF301" s="224">
        <v>0</v>
      </c>
      <c r="AG301" s="259">
        <v>0.29567307692307693</v>
      </c>
      <c r="AH301" s="261">
        <v>1.2482446559525667E-3</v>
      </c>
      <c r="AI301" s="261">
        <v>1.519644180874722E-3</v>
      </c>
      <c r="AJ301" s="261">
        <v>8.3561580242328586E-4</v>
      </c>
      <c r="AK301" s="261">
        <v>2.1504220203214879E-3</v>
      </c>
      <c r="AL301" s="261">
        <v>0</v>
      </c>
      <c r="AM301" s="262">
        <v>1.3495128587729308E-3</v>
      </c>
    </row>
    <row r="302" spans="1:39" x14ac:dyDescent="0.25">
      <c r="A302" s="215" t="str">
        <v>6060-AALMUTAIRI</v>
      </c>
      <c r="B302" s="215" t="str">
        <v>HAOTHONZAH</v>
      </c>
      <c r="C302" s="215" t="str">
        <v>Lina Al Ghathami</v>
      </c>
      <c r="D302" s="239">
        <v>6306.04</v>
      </c>
      <c r="E302" s="239">
        <v>1247.02</v>
      </c>
      <c r="F302" s="239">
        <v>4900.0800000000008</v>
      </c>
      <c r="G302" s="239">
        <v>1896.98</v>
      </c>
      <c r="H302" s="239">
        <v>746</v>
      </c>
      <c r="I302" s="257">
        <v>15096.119999999999</v>
      </c>
      <c r="J302" s="240">
        <v>146.65209302325582</v>
      </c>
      <c r="K302" s="240">
        <v>138.55777777777777</v>
      </c>
      <c r="L302" s="240">
        <v>122.50200000000002</v>
      </c>
      <c r="M302" s="240">
        <v>126.46533333333333</v>
      </c>
      <c r="N302" s="240">
        <v>106.57142857142857</v>
      </c>
      <c r="O302" s="258">
        <v>132.42210526315787</v>
      </c>
      <c r="P302" s="224">
        <v>0.51293013343744787</v>
      </c>
      <c r="Q302" s="224">
        <v>7.3513208879687278E-2</v>
      </c>
      <c r="R302" s="224">
        <v>0.3881497441422031</v>
      </c>
      <c r="S302" s="224">
        <v>0.14707756814717526</v>
      </c>
      <c r="T302" s="224">
        <v>0.2494991622045559</v>
      </c>
      <c r="U302" s="259">
        <v>0.2613170266527054</v>
      </c>
      <c r="V302" s="239">
        <v>43</v>
      </c>
      <c r="W302" s="239">
        <v>9</v>
      </c>
      <c r="X302" s="239">
        <v>40</v>
      </c>
      <c r="Y302" s="239">
        <v>15</v>
      </c>
      <c r="Z302" s="239">
        <v>7</v>
      </c>
      <c r="AA302" s="257">
        <v>114</v>
      </c>
      <c r="AB302" s="224">
        <v>0.43877551020408162</v>
      </c>
      <c r="AC302" s="224">
        <v>8.0357142857142863E-2</v>
      </c>
      <c r="AD302" s="224">
        <v>0.42553191489361702</v>
      </c>
      <c r="AE302" s="224">
        <v>0.16666666666666666</v>
      </c>
      <c r="AF302" s="224">
        <v>0.31818181818181818</v>
      </c>
      <c r="AG302" s="259">
        <v>0.27403846153846156</v>
      </c>
      <c r="AH302" s="261">
        <v>2.2364383419150153E-3</v>
      </c>
      <c r="AI302" s="261">
        <v>3.3358042994810971E-4</v>
      </c>
      <c r="AJ302" s="261">
        <v>1.8569240053850796E-3</v>
      </c>
      <c r="AK302" s="261">
        <v>8.0640825762055802E-4</v>
      </c>
      <c r="AL302" s="261">
        <v>1.4598540145985401E-3</v>
      </c>
      <c r="AM302" s="262">
        <v>1.2507680154480822E-3</v>
      </c>
    </row>
    <row r="303" spans="1:39" x14ac:dyDescent="0.25">
      <c r="A303" s="215" t="str">
        <v>4418-AAlsahlan</v>
      </c>
      <c r="B303" s="215" t="str">
        <v>HAOTHONZAH</v>
      </c>
      <c r="C303" s="215" t="str">
        <v>Lina Al Ghathami</v>
      </c>
      <c r="D303" s="239">
        <v>1620.04</v>
      </c>
      <c r="E303" s="239">
        <v>150.01</v>
      </c>
      <c r="F303" s="239">
        <v>1211.01</v>
      </c>
      <c r="G303" s="239">
        <v>1450.98</v>
      </c>
      <c r="H303" s="239">
        <v>1664.03</v>
      </c>
      <c r="I303" s="257">
        <v>6096.07</v>
      </c>
      <c r="J303" s="240">
        <v>124.61846153846153</v>
      </c>
      <c r="K303" s="240">
        <v>150.01</v>
      </c>
      <c r="L303" s="240">
        <v>173.00142857142856</v>
      </c>
      <c r="M303" s="240">
        <v>131.90727272727273</v>
      </c>
      <c r="N303" s="240">
        <v>138.66916666666665</v>
      </c>
      <c r="O303" s="258">
        <v>138.54704545454544</v>
      </c>
      <c r="P303" s="224">
        <v>0.13177324174505761</v>
      </c>
      <c r="Q303" s="224">
        <v>8.8432554923272184E-3</v>
      </c>
      <c r="R303" s="224">
        <v>9.5927662742985684E-2</v>
      </c>
      <c r="S303" s="224">
        <v>0.11249808107106472</v>
      </c>
      <c r="T303" s="224">
        <v>0.55653363389175214</v>
      </c>
      <c r="U303" s="259">
        <v>0.10552425965524638</v>
      </c>
      <c r="V303" s="239">
        <v>13</v>
      </c>
      <c r="W303" s="239">
        <v>1</v>
      </c>
      <c r="X303" s="239">
        <v>7</v>
      </c>
      <c r="Y303" s="239">
        <v>11</v>
      </c>
      <c r="Z303" s="239">
        <v>12</v>
      </c>
      <c r="AA303" s="257">
        <v>44</v>
      </c>
      <c r="AB303" s="224">
        <v>0.1326530612244898</v>
      </c>
      <c r="AC303" s="224">
        <v>8.9285714285714281E-3</v>
      </c>
      <c r="AD303" s="224">
        <v>7.4468085106382975E-2</v>
      </c>
      <c r="AE303" s="224">
        <v>0.12222222222222222</v>
      </c>
      <c r="AF303" s="224">
        <v>0.54545454545454541</v>
      </c>
      <c r="AG303" s="259">
        <v>0.10576923076923077</v>
      </c>
      <c r="AH303" s="261">
        <v>6.7613252197430695E-4</v>
      </c>
      <c r="AI303" s="261">
        <v>3.7064492216456636E-5</v>
      </c>
      <c r="AJ303" s="261">
        <v>3.2496170094238895E-4</v>
      </c>
      <c r="AK303" s="261">
        <v>5.9136605558840927E-4</v>
      </c>
      <c r="AL303" s="261">
        <v>2.5026068821689261E-3</v>
      </c>
      <c r="AM303" s="262">
        <v>4.8275256736592646E-4</v>
      </c>
    </row>
    <row r="304" spans="1:39" x14ac:dyDescent="0.25">
      <c r="A304" s="215" t="str">
        <v>6411-AAlFardan</v>
      </c>
      <c r="B304" s="215" t="str">
        <v>HARSHNRYD</v>
      </c>
      <c r="C304" s="215" t="str">
        <v>Lina Al Ghathami</v>
      </c>
      <c r="D304" s="239">
        <v>7650.08</v>
      </c>
      <c r="E304" s="239">
        <v>17843.34</v>
      </c>
      <c r="F304" s="239">
        <v>2430.0500000000002</v>
      </c>
      <c r="G304" s="239">
        <v>0</v>
      </c>
      <c r="H304" s="239">
        <v>0</v>
      </c>
      <c r="I304" s="257">
        <v>27923.469999999998</v>
      </c>
      <c r="J304" s="240">
        <v>115.91030303030303</v>
      </c>
      <c r="K304" s="240">
        <v>147.46561983471074</v>
      </c>
      <c r="L304" s="240">
        <v>151.87812500000001</v>
      </c>
      <c r="M304" s="240" t="str">
        <v/>
      </c>
      <c r="N304" s="240" t="str">
        <v/>
      </c>
      <c r="O304" s="258">
        <v>137.55403940886697</v>
      </c>
      <c r="P304" s="224">
        <v>0.95434177303619727</v>
      </c>
      <c r="Q304" s="224">
        <v>0.99166358219207773</v>
      </c>
      <c r="R304" s="224">
        <v>0.27736750552440786</v>
      </c>
      <c r="S304" s="224">
        <v>0</v>
      </c>
      <c r="T304" s="224">
        <v>0</v>
      </c>
      <c r="U304" s="259">
        <v>0.55167802286729439</v>
      </c>
      <c r="V304" s="239">
        <v>66</v>
      </c>
      <c r="W304" s="239">
        <v>121</v>
      </c>
      <c r="X304" s="239">
        <v>16</v>
      </c>
      <c r="Y304" s="239">
        <v>0</v>
      </c>
      <c r="Z304" s="239">
        <v>0</v>
      </c>
      <c r="AA304" s="257">
        <v>203</v>
      </c>
      <c r="AB304" s="224">
        <v>0.94285714285714284</v>
      </c>
      <c r="AC304" s="224">
        <v>0.99180327868852458</v>
      </c>
      <c r="AD304" s="224">
        <v>0.27586206896551724</v>
      </c>
      <c r="AE304" s="224">
        <v>0</v>
      </c>
      <c r="AF304" s="224">
        <v>0</v>
      </c>
      <c r="AG304" s="259">
        <v>0.56862745098039214</v>
      </c>
      <c r="AH304" s="261">
        <v>3.4326728038695585E-3</v>
      </c>
      <c r="AI304" s="261">
        <v>4.4848035581912526E-3</v>
      </c>
      <c r="AJ304" s="261">
        <v>7.4276960215403183E-4</v>
      </c>
      <c r="AK304" s="261">
        <v>0</v>
      </c>
      <c r="AL304" s="261">
        <v>0</v>
      </c>
      <c r="AM304" s="262">
        <v>2.2272447994382515E-3</v>
      </c>
    </row>
    <row r="305" spans="1:39" x14ac:dyDescent="0.25">
      <c r="A305" s="215" t="str">
        <v>3520-NAlanazi</v>
      </c>
      <c r="B305" s="215" t="str">
        <v>HARSHNRYD</v>
      </c>
      <c r="C305" s="215" t="str">
        <v>Lina Al Ghathami</v>
      </c>
      <c r="D305" s="239">
        <v>366</v>
      </c>
      <c r="E305" s="239">
        <v>150</v>
      </c>
      <c r="F305" s="239">
        <v>6331.07</v>
      </c>
      <c r="G305" s="239">
        <v>12860.87</v>
      </c>
      <c r="H305" s="239">
        <v>633.02</v>
      </c>
      <c r="I305" s="257">
        <v>20340.960000000003</v>
      </c>
      <c r="J305" s="240">
        <v>91.5</v>
      </c>
      <c r="K305" s="240">
        <v>150</v>
      </c>
      <c r="L305" s="240">
        <v>150.73976190476191</v>
      </c>
      <c r="M305" s="240">
        <v>141.32824175824177</v>
      </c>
      <c r="N305" s="240">
        <v>316.51</v>
      </c>
      <c r="O305" s="258">
        <v>145.29257142857145</v>
      </c>
      <c r="P305" s="224">
        <v>4.5658226963802756E-2</v>
      </c>
      <c r="Q305" s="224">
        <v>8.3364178079222643E-3</v>
      </c>
      <c r="R305" s="224">
        <v>0.72263249447559219</v>
      </c>
      <c r="S305" s="224">
        <v>1</v>
      </c>
      <c r="T305" s="224">
        <v>0.21213024989025203</v>
      </c>
      <c r="U305" s="259">
        <v>0.40187199499284021</v>
      </c>
      <c r="V305" s="239">
        <v>4</v>
      </c>
      <c r="W305" s="239">
        <v>1</v>
      </c>
      <c r="X305" s="239">
        <v>42</v>
      </c>
      <c r="Y305" s="239">
        <v>91</v>
      </c>
      <c r="Z305" s="239">
        <v>2</v>
      </c>
      <c r="AA305" s="257">
        <v>140</v>
      </c>
      <c r="AB305" s="224">
        <v>5.7142857142857141E-2</v>
      </c>
      <c r="AC305" s="224">
        <v>8.1967213114754103E-3</v>
      </c>
      <c r="AD305" s="224">
        <v>0.72413793103448276</v>
      </c>
      <c r="AE305" s="224">
        <v>1</v>
      </c>
      <c r="AF305" s="224">
        <v>0.125</v>
      </c>
      <c r="AG305" s="259">
        <v>0.39215686274509803</v>
      </c>
      <c r="AH305" s="261">
        <v>2.0804077599209444E-4</v>
      </c>
      <c r="AI305" s="261">
        <v>3.7064492216456636E-5</v>
      </c>
      <c r="AJ305" s="261">
        <v>1.9497702056543336E-3</v>
      </c>
      <c r="AK305" s="261">
        <v>4.8922100962313858E-3</v>
      </c>
      <c r="AL305" s="261">
        <v>4.1710114702815432E-4</v>
      </c>
      <c r="AM305" s="262">
        <v>1.5360308961643115E-3</v>
      </c>
    </row>
    <row r="306" spans="1:39" x14ac:dyDescent="0.25">
      <c r="A306" s="215" t="str">
        <v>3701-AAlanzi</v>
      </c>
      <c r="B306" s="215" t="str">
        <v>HARSHNRYD</v>
      </c>
      <c r="C306" s="215" t="str">
        <v>Lina Al Ghathami</v>
      </c>
      <c r="D306" s="239">
        <v>0</v>
      </c>
      <c r="E306" s="239">
        <v>0</v>
      </c>
      <c r="F306" s="239">
        <v>0</v>
      </c>
      <c r="G306" s="239">
        <v>0</v>
      </c>
      <c r="H306" s="239">
        <v>2351.09</v>
      </c>
      <c r="I306" s="257">
        <v>2351.09</v>
      </c>
      <c r="J306" s="240" t="str">
        <v/>
      </c>
      <c r="K306" s="240" t="str">
        <v/>
      </c>
      <c r="L306" s="240" t="str">
        <v/>
      </c>
      <c r="M306" s="240" t="str">
        <v/>
      </c>
      <c r="N306" s="240">
        <v>167.935</v>
      </c>
      <c r="O306" s="258">
        <v>167.935</v>
      </c>
      <c r="P306" s="224">
        <v>0</v>
      </c>
      <c r="Q306" s="224">
        <v>0</v>
      </c>
      <c r="R306" s="224">
        <v>0</v>
      </c>
      <c r="S306" s="224">
        <v>0</v>
      </c>
      <c r="T306" s="224">
        <v>0.78786975010974802</v>
      </c>
      <c r="U306" s="259">
        <v>4.6449982139865405E-2</v>
      </c>
      <c r="V306" s="239">
        <v>0</v>
      </c>
      <c r="W306" s="239">
        <v>0</v>
      </c>
      <c r="X306" s="239">
        <v>0</v>
      </c>
      <c r="Y306" s="239">
        <v>0</v>
      </c>
      <c r="Z306" s="239">
        <v>14</v>
      </c>
      <c r="AA306" s="257">
        <v>14</v>
      </c>
      <c r="AB306" s="224">
        <v>0</v>
      </c>
      <c r="AC306" s="224">
        <v>0</v>
      </c>
      <c r="AD306" s="224">
        <v>0</v>
      </c>
      <c r="AE306" s="224">
        <v>0</v>
      </c>
      <c r="AF306" s="224">
        <v>0.875</v>
      </c>
      <c r="AG306" s="259">
        <v>3.9215686274509803E-2</v>
      </c>
      <c r="AH306" s="261">
        <v>0</v>
      </c>
      <c r="AI306" s="261">
        <v>0</v>
      </c>
      <c r="AJ306" s="261">
        <v>0</v>
      </c>
      <c r="AK306" s="261">
        <v>0</v>
      </c>
      <c r="AL306" s="261">
        <v>2.9197080291970801E-3</v>
      </c>
      <c r="AM306" s="262">
        <v>1.5360308961643115E-4</v>
      </c>
    </row>
    <row r="307" spans="1:39" x14ac:dyDescent="0.25">
      <c r="A307" s="215" t="str">
        <v>2913-Sarah Alzhrani</v>
      </c>
      <c r="B307" s="215" t="str">
        <v>HARYDGALL</v>
      </c>
      <c r="C307" s="215" t="str">
        <v>Lina Al Ghathami</v>
      </c>
      <c r="D307" s="239">
        <v>6565.08</v>
      </c>
      <c r="E307" s="239">
        <v>11178.22</v>
      </c>
      <c r="F307" s="239">
        <v>5840.1</v>
      </c>
      <c r="G307" s="239">
        <v>6527.9400000000005</v>
      </c>
      <c r="H307" s="239">
        <v>1494.98</v>
      </c>
      <c r="I307" s="257">
        <v>31606.320000000003</v>
      </c>
      <c r="J307" s="240">
        <v>121.57555555555555</v>
      </c>
      <c r="K307" s="240">
        <v>129.97930232558139</v>
      </c>
      <c r="L307" s="240">
        <v>119.1857142857143</v>
      </c>
      <c r="M307" s="240">
        <v>116.57035714285715</v>
      </c>
      <c r="N307" s="240">
        <v>149.49799999999999</v>
      </c>
      <c r="O307" s="258">
        <v>123.94635294117649</v>
      </c>
      <c r="P307" s="224">
        <v>0.52057618716091592</v>
      </c>
      <c r="Q307" s="224">
        <v>0.47334371072484782</v>
      </c>
      <c r="R307" s="224">
        <v>0.2931588733254088</v>
      </c>
      <c r="S307" s="224">
        <v>0.49056878847633706</v>
      </c>
      <c r="T307" s="224">
        <v>0.47793631053807722</v>
      </c>
      <c r="U307" s="259">
        <v>0.43545210523103489</v>
      </c>
      <c r="V307" s="239">
        <v>54</v>
      </c>
      <c r="W307" s="239">
        <v>86</v>
      </c>
      <c r="X307" s="239">
        <v>49</v>
      </c>
      <c r="Y307" s="239">
        <v>56</v>
      </c>
      <c r="Z307" s="239">
        <v>10</v>
      </c>
      <c r="AA307" s="257">
        <v>255</v>
      </c>
      <c r="AB307" s="224">
        <v>0.51923076923076927</v>
      </c>
      <c r="AC307" s="224">
        <v>0.4777777777777778</v>
      </c>
      <c r="AD307" s="224">
        <v>0.35251798561151076</v>
      </c>
      <c r="AE307" s="224">
        <v>0.50909090909090904</v>
      </c>
      <c r="AF307" s="224">
        <v>0.43478260869565216</v>
      </c>
      <c r="AG307" s="259">
        <v>0.45863309352517984</v>
      </c>
      <c r="AH307" s="261">
        <v>2.8085504758932752E-3</v>
      </c>
      <c r="AI307" s="261">
        <v>3.1875463306152707E-3</v>
      </c>
      <c r="AJ307" s="261">
        <v>2.2747319065967225E-3</v>
      </c>
      <c r="AK307" s="261">
        <v>3.0105908284500833E-3</v>
      </c>
      <c r="AL307" s="261">
        <v>2.0855057351407717E-3</v>
      </c>
      <c r="AM307" s="262">
        <v>2.7977705608707099E-3</v>
      </c>
    </row>
    <row r="308" spans="1:39" x14ac:dyDescent="0.25">
      <c r="A308" s="215" t="str">
        <v>6181-AALMUAYLI</v>
      </c>
      <c r="B308" s="215" t="str">
        <v>HARYDGALL</v>
      </c>
      <c r="C308" s="215" t="str">
        <v>Lina Al Ghathami</v>
      </c>
      <c r="D308" s="239">
        <v>5545.09</v>
      </c>
      <c r="E308" s="239">
        <v>8940.17</v>
      </c>
      <c r="F308" s="239">
        <v>7304.1200000000008</v>
      </c>
      <c r="G308" s="239">
        <v>4629.9399999999996</v>
      </c>
      <c r="H308" s="239">
        <v>669.96</v>
      </c>
      <c r="I308" s="257">
        <v>27089.279999999999</v>
      </c>
      <c r="J308" s="240">
        <v>123.22422222222222</v>
      </c>
      <c r="K308" s="240">
        <v>137.54107692307693</v>
      </c>
      <c r="L308" s="240">
        <v>149.06367346938777</v>
      </c>
      <c r="M308" s="240">
        <v>144.68562499999999</v>
      </c>
      <c r="N308" s="240">
        <v>167.49</v>
      </c>
      <c r="O308" s="258">
        <v>138.91938461538462</v>
      </c>
      <c r="P308" s="224">
        <v>0.43969636465421952</v>
      </c>
      <c r="Q308" s="224">
        <v>0.3785730860826646</v>
      </c>
      <c r="R308" s="224">
        <v>0.36664913097953544</v>
      </c>
      <c r="S308" s="224">
        <v>0.34793580463639856</v>
      </c>
      <c r="T308" s="224">
        <v>0.21418227040367779</v>
      </c>
      <c r="U308" s="259">
        <v>0.37321915380192844</v>
      </c>
      <c r="V308" s="239">
        <v>45</v>
      </c>
      <c r="W308" s="239">
        <v>65</v>
      </c>
      <c r="X308" s="239">
        <v>49</v>
      </c>
      <c r="Y308" s="239">
        <v>32</v>
      </c>
      <c r="Z308" s="239">
        <v>4</v>
      </c>
      <c r="AA308" s="257">
        <v>195</v>
      </c>
      <c r="AB308" s="224">
        <v>0.43269230769230771</v>
      </c>
      <c r="AC308" s="224">
        <v>0.3611111111111111</v>
      </c>
      <c r="AD308" s="224">
        <v>0.35251798561151076</v>
      </c>
      <c r="AE308" s="224">
        <v>0.29090909090909089</v>
      </c>
      <c r="AF308" s="224">
        <v>0.17391304347826086</v>
      </c>
      <c r="AG308" s="259">
        <v>0.35071942446043164</v>
      </c>
      <c r="AH308" s="261">
        <v>2.3404587299110627E-3</v>
      </c>
      <c r="AI308" s="261">
        <v>2.4091919940696814E-3</v>
      </c>
      <c r="AJ308" s="261">
        <v>2.2747319065967225E-3</v>
      </c>
      <c r="AK308" s="261">
        <v>1.7203376162571904E-3</v>
      </c>
      <c r="AL308" s="261">
        <v>8.3420229405630863E-4</v>
      </c>
      <c r="AM308" s="262">
        <v>2.1394716053717193E-3</v>
      </c>
    </row>
    <row r="309" spans="1:39" x14ac:dyDescent="0.25">
      <c r="A309" s="215" t="str">
        <v>7046-BAlenazi</v>
      </c>
      <c r="B309" s="215" t="str">
        <v>HARYDGALL</v>
      </c>
      <c r="C309" s="215" t="str">
        <v>Lina Al Ghathami</v>
      </c>
      <c r="D309" s="239">
        <v>501.01</v>
      </c>
      <c r="E309" s="239">
        <v>3497.05</v>
      </c>
      <c r="F309" s="239">
        <v>6777.06</v>
      </c>
      <c r="G309" s="239">
        <v>2149</v>
      </c>
      <c r="H309" s="239">
        <v>963.05</v>
      </c>
      <c r="I309" s="257">
        <v>13887.17</v>
      </c>
      <c r="J309" s="240">
        <v>100.202</v>
      </c>
      <c r="K309" s="240">
        <v>120.58793103448276</v>
      </c>
      <c r="L309" s="240">
        <v>165.29414634146343</v>
      </c>
      <c r="M309" s="240">
        <v>97.681818181818187</v>
      </c>
      <c r="N309" s="240">
        <v>107.00555555555555</v>
      </c>
      <c r="O309" s="258">
        <v>131.01103773584904</v>
      </c>
      <c r="P309" s="224">
        <v>3.9727448184864539E-2</v>
      </c>
      <c r="Q309" s="224">
        <v>0.14808320319248763</v>
      </c>
      <c r="R309" s="224">
        <v>0.3401919956950557</v>
      </c>
      <c r="S309" s="224">
        <v>0.16149540688726433</v>
      </c>
      <c r="T309" s="224">
        <v>0.30788141905824506</v>
      </c>
      <c r="U309" s="259">
        <v>0.19132874096703667</v>
      </c>
      <c r="V309" s="239">
        <v>5</v>
      </c>
      <c r="W309" s="239">
        <v>29</v>
      </c>
      <c r="X309" s="239">
        <v>41</v>
      </c>
      <c r="Y309" s="239">
        <v>22</v>
      </c>
      <c r="Z309" s="239">
        <v>9</v>
      </c>
      <c r="AA309" s="257">
        <v>106</v>
      </c>
      <c r="AB309" s="224">
        <v>4.807692307692308E-2</v>
      </c>
      <c r="AC309" s="224">
        <v>0.16111111111111112</v>
      </c>
      <c r="AD309" s="224">
        <v>0.29496402877697842</v>
      </c>
      <c r="AE309" s="224">
        <v>0.2</v>
      </c>
      <c r="AF309" s="224">
        <v>0.39130434782608697</v>
      </c>
      <c r="AG309" s="259">
        <v>0.1906474820143885</v>
      </c>
      <c r="AH309" s="261">
        <v>2.6005096999011807E-4</v>
      </c>
      <c r="AI309" s="261">
        <v>1.0748702742772423E-3</v>
      </c>
      <c r="AJ309" s="261">
        <v>1.9033471055197066E-3</v>
      </c>
      <c r="AK309" s="261">
        <v>1.1827321111768185E-3</v>
      </c>
      <c r="AL309" s="261">
        <v>1.8769551616266945E-3</v>
      </c>
      <c r="AM309" s="262">
        <v>1.1629948213815501E-3</v>
      </c>
    </row>
    <row r="310" spans="1:39" x14ac:dyDescent="0.25">
      <c r="A310" s="215" t="str">
        <v>7246-SFaqihi</v>
      </c>
      <c r="B310" s="215" t="str">
        <v>HASALMMAL</v>
      </c>
      <c r="C310" s="215" t="str">
        <v>Lina Al Ghathami</v>
      </c>
      <c r="D310" s="239">
        <v>0</v>
      </c>
      <c r="E310" s="239">
        <v>11719.12</v>
      </c>
      <c r="F310" s="239">
        <v>11186.14</v>
      </c>
      <c r="G310" s="239">
        <v>8529.8900000000012</v>
      </c>
      <c r="H310" s="239">
        <v>3155.92</v>
      </c>
      <c r="I310" s="257">
        <v>34591.07</v>
      </c>
      <c r="J310" s="240" t="str">
        <v/>
      </c>
      <c r="K310" s="240">
        <v>104.63500000000001</v>
      </c>
      <c r="L310" s="240">
        <v>125.68696629213483</v>
      </c>
      <c r="M310" s="240">
        <v>123.62159420289856</v>
      </c>
      <c r="N310" s="240">
        <v>150.28190476190477</v>
      </c>
      <c r="O310" s="258">
        <v>118.86965635738831</v>
      </c>
      <c r="P310" s="224">
        <v>0</v>
      </c>
      <c r="Q310" s="224">
        <v>0.2758437580838059</v>
      </c>
      <c r="R310" s="224">
        <v>0.3420992754412126</v>
      </c>
      <c r="S310" s="224">
        <v>0.313279743320316</v>
      </c>
      <c r="T310" s="224">
        <v>0.4503284798602748</v>
      </c>
      <c r="U310" s="259">
        <v>0.2563452756597277</v>
      </c>
      <c r="V310" s="239">
        <v>0</v>
      </c>
      <c r="W310" s="239">
        <v>112</v>
      </c>
      <c r="X310" s="239">
        <v>89</v>
      </c>
      <c r="Y310" s="239">
        <v>69</v>
      </c>
      <c r="Z310" s="239">
        <v>21</v>
      </c>
      <c r="AA310" s="257">
        <v>291</v>
      </c>
      <c r="AB310" s="224">
        <v>0</v>
      </c>
      <c r="AC310" s="224">
        <v>0.31818181818181818</v>
      </c>
      <c r="AD310" s="224">
        <v>0.34230769230769231</v>
      </c>
      <c r="AE310" s="224">
        <v>0.32242990654205606</v>
      </c>
      <c r="AF310" s="224">
        <v>0.44680851063829785</v>
      </c>
      <c r="AG310" s="259">
        <v>0.26551094890510951</v>
      </c>
      <c r="AH310" s="261">
        <v>0</v>
      </c>
      <c r="AI310" s="261">
        <v>4.1512231282431434E-3</v>
      </c>
      <c r="AJ310" s="261">
        <v>4.1316559119818023E-3</v>
      </c>
      <c r="AK310" s="261">
        <v>3.7094779850545671E-3</v>
      </c>
      <c r="AL310" s="261">
        <v>4.3795620437956208E-3</v>
      </c>
      <c r="AM310" s="262">
        <v>3.1927499341701045E-3</v>
      </c>
    </row>
    <row r="311" spans="1:39" x14ac:dyDescent="0.25">
      <c r="A311" s="215" t="str">
        <v>3517-Saljbilan</v>
      </c>
      <c r="B311" s="215" t="str">
        <v>HASALMMAL</v>
      </c>
      <c r="C311" s="215" t="str">
        <v>Lina Al Ghathami</v>
      </c>
      <c r="D311" s="239">
        <v>0</v>
      </c>
      <c r="E311" s="239">
        <v>15607.32</v>
      </c>
      <c r="F311" s="239">
        <v>8438.18</v>
      </c>
      <c r="G311" s="239">
        <v>6628.8600000000006</v>
      </c>
      <c r="H311" s="239">
        <v>497.04</v>
      </c>
      <c r="I311" s="257">
        <v>31171.4</v>
      </c>
      <c r="J311" s="240" t="str">
        <v/>
      </c>
      <c r="K311" s="240">
        <v>127.9288524590164</v>
      </c>
      <c r="L311" s="240">
        <v>133.93936507936507</v>
      </c>
      <c r="M311" s="240">
        <v>129.97764705882355</v>
      </c>
      <c r="N311" s="240">
        <v>165.68</v>
      </c>
      <c r="O311" s="258">
        <v>130.4242677824268</v>
      </c>
      <c r="P311" s="224">
        <v>0</v>
      </c>
      <c r="Q311" s="224">
        <v>0.36736391490287196</v>
      </c>
      <c r="R311" s="224">
        <v>0.25805999782253142</v>
      </c>
      <c r="S311" s="224">
        <v>0.24346006329581155</v>
      </c>
      <c r="T311" s="224">
        <v>7.0924252715452538E-2</v>
      </c>
      <c r="U311" s="259">
        <v>0.23100300527562856</v>
      </c>
      <c r="V311" s="239">
        <v>0</v>
      </c>
      <c r="W311" s="239">
        <v>122</v>
      </c>
      <c r="X311" s="239">
        <v>63</v>
      </c>
      <c r="Y311" s="239">
        <v>51</v>
      </c>
      <c r="Z311" s="239">
        <v>3</v>
      </c>
      <c r="AA311" s="257">
        <v>239</v>
      </c>
      <c r="AB311" s="224">
        <v>0</v>
      </c>
      <c r="AC311" s="224">
        <v>0.34659090909090912</v>
      </c>
      <c r="AD311" s="224">
        <v>0.24230769230769231</v>
      </c>
      <c r="AE311" s="224">
        <v>0.23831775700934579</v>
      </c>
      <c r="AF311" s="224">
        <v>6.3829787234042548E-2</v>
      </c>
      <c r="AG311" s="259">
        <v>0.21806569343065693</v>
      </c>
      <c r="AH311" s="261">
        <v>0</v>
      </c>
      <c r="AI311" s="261">
        <v>4.5218680504077093E-3</v>
      </c>
      <c r="AJ311" s="261">
        <v>2.9246553084815003E-3</v>
      </c>
      <c r="AK311" s="261">
        <v>2.7417880759098975E-3</v>
      </c>
      <c r="AL311" s="261">
        <v>6.2565172054223153E-4</v>
      </c>
      <c r="AM311" s="262">
        <v>2.6222241727376461E-3</v>
      </c>
    </row>
    <row r="312" spans="1:39" x14ac:dyDescent="0.25">
      <c r="A312" s="215" t="str">
        <v>5143-AAlasfar</v>
      </c>
      <c r="B312" s="215" t="str">
        <v>HASALMMAL</v>
      </c>
      <c r="C312" s="215" t="str">
        <v>Lina Al Ghathami</v>
      </c>
      <c r="D312" s="239">
        <v>6998.1399999999994</v>
      </c>
      <c r="E312" s="239">
        <v>6243.09</v>
      </c>
      <c r="F312" s="239">
        <v>4633.04</v>
      </c>
      <c r="G312" s="239">
        <v>8295.93</v>
      </c>
      <c r="H312" s="239">
        <v>1150.94</v>
      </c>
      <c r="I312" s="257">
        <v>27321.14</v>
      </c>
      <c r="J312" s="240">
        <v>118.61254237288135</v>
      </c>
      <c r="K312" s="240">
        <v>145.18813953488373</v>
      </c>
      <c r="L312" s="240">
        <v>105.29636363636364</v>
      </c>
      <c r="M312" s="240">
        <v>125.6959090909091</v>
      </c>
      <c r="N312" s="240">
        <v>127.88222222222223</v>
      </c>
      <c r="O312" s="258">
        <v>123.62506787330317</v>
      </c>
      <c r="P312" s="224">
        <v>0.27421673660398882</v>
      </c>
      <c r="Q312" s="224">
        <v>0.14694937910486688</v>
      </c>
      <c r="R312" s="224">
        <v>0.14168959329046085</v>
      </c>
      <c r="S312" s="224">
        <v>0.30468702656227792</v>
      </c>
      <c r="T312" s="224">
        <v>0.16423136854241702</v>
      </c>
      <c r="U312" s="259">
        <v>0.20246974622750941</v>
      </c>
      <c r="V312" s="239">
        <v>59</v>
      </c>
      <c r="W312" s="239">
        <v>43</v>
      </c>
      <c r="X312" s="239">
        <v>44</v>
      </c>
      <c r="Y312" s="239">
        <v>66</v>
      </c>
      <c r="Z312" s="239">
        <v>9</v>
      </c>
      <c r="AA312" s="257">
        <v>221</v>
      </c>
      <c r="AB312" s="224">
        <v>0.26457399103139012</v>
      </c>
      <c r="AC312" s="224">
        <v>0.12215909090909091</v>
      </c>
      <c r="AD312" s="224">
        <v>0.16923076923076924</v>
      </c>
      <c r="AE312" s="224">
        <v>0.30841121495327101</v>
      </c>
      <c r="AF312" s="224">
        <v>0.19148936170212766</v>
      </c>
      <c r="AG312" s="259">
        <v>0.20164233576642335</v>
      </c>
      <c r="AH312" s="261">
        <v>3.0686014458833929E-3</v>
      </c>
      <c r="AI312" s="261">
        <v>1.5937731653076354E-3</v>
      </c>
      <c r="AJ312" s="261">
        <v>2.0426164059235874E-3</v>
      </c>
      <c r="AK312" s="261">
        <v>3.5481963335304554E-3</v>
      </c>
      <c r="AL312" s="261">
        <v>1.8769551616266945E-3</v>
      </c>
      <c r="AM312" s="262">
        <v>2.4247344860879485E-3</v>
      </c>
    </row>
    <row r="313" spans="1:39" x14ac:dyDescent="0.25">
      <c r="A313" s="215" t="str">
        <v>2948-Nawaf Althurwi</v>
      </c>
      <c r="B313" s="215" t="str">
        <v>HASALMMAL</v>
      </c>
      <c r="C313" s="215" t="str">
        <v>Lina Al Ghathami</v>
      </c>
      <c r="D313" s="239">
        <v>18522.330000000002</v>
      </c>
      <c r="E313" s="239">
        <v>828</v>
      </c>
      <c r="F313" s="239">
        <v>2626.05</v>
      </c>
      <c r="G313" s="239">
        <v>0</v>
      </c>
      <c r="H313" s="239">
        <v>2204.14</v>
      </c>
      <c r="I313" s="257">
        <v>24180.52</v>
      </c>
      <c r="J313" s="240">
        <v>112.94103658536586</v>
      </c>
      <c r="K313" s="240">
        <v>118.28571428571429</v>
      </c>
      <c r="L313" s="240">
        <v>125.05000000000001</v>
      </c>
      <c r="M313" s="240" t="str">
        <v/>
      </c>
      <c r="N313" s="240">
        <v>157.43857142857141</v>
      </c>
      <c r="O313" s="258">
        <v>117.38116504854369</v>
      </c>
      <c r="P313" s="224">
        <v>0.72578326339601118</v>
      </c>
      <c r="Q313" s="224">
        <v>1.9489401225808018E-2</v>
      </c>
      <c r="R313" s="224">
        <v>8.0310974319326989E-2</v>
      </c>
      <c r="S313" s="224">
        <v>0</v>
      </c>
      <c r="T313" s="224">
        <v>0.31451589888185566</v>
      </c>
      <c r="U313" s="259">
        <v>0.17919544162685802</v>
      </c>
      <c r="V313" s="239">
        <v>164</v>
      </c>
      <c r="W313" s="239">
        <v>7</v>
      </c>
      <c r="X313" s="239">
        <v>21</v>
      </c>
      <c r="Y313" s="239">
        <v>0</v>
      </c>
      <c r="Z313" s="239">
        <v>14</v>
      </c>
      <c r="AA313" s="257">
        <v>206</v>
      </c>
      <c r="AB313" s="224">
        <v>0.73542600896860988</v>
      </c>
      <c r="AC313" s="224">
        <v>1.9886363636363636E-2</v>
      </c>
      <c r="AD313" s="224">
        <v>8.0769230769230774E-2</v>
      </c>
      <c r="AE313" s="224">
        <v>0</v>
      </c>
      <c r="AF313" s="224">
        <v>0.2978723404255319</v>
      </c>
      <c r="AG313" s="259">
        <v>0.18795620437956204</v>
      </c>
      <c r="AH313" s="261">
        <v>8.5296718156758732E-3</v>
      </c>
      <c r="AI313" s="261">
        <v>2.5945144551519646E-4</v>
      </c>
      <c r="AJ313" s="261">
        <v>9.748851028271668E-4</v>
      </c>
      <c r="AK313" s="261">
        <v>0</v>
      </c>
      <c r="AL313" s="261">
        <v>2.9197080291970801E-3</v>
      </c>
      <c r="AM313" s="262">
        <v>2.2601597472132009E-3</v>
      </c>
    </row>
    <row r="314" spans="1:39" x14ac:dyDescent="0.25">
      <c r="A314" s="215" t="str">
        <v>4382-HAlhamdan</v>
      </c>
      <c r="B314" s="215" t="str">
        <v>HASALMMAL</v>
      </c>
      <c r="C314" s="215" t="str">
        <v>Lina Al Ghathami</v>
      </c>
      <c r="D314" s="239">
        <v>0</v>
      </c>
      <c r="E314" s="239">
        <v>8087.1</v>
      </c>
      <c r="F314" s="239">
        <v>5815.1100000000006</v>
      </c>
      <c r="G314" s="239">
        <v>3773.03</v>
      </c>
      <c r="H314" s="239">
        <v>0</v>
      </c>
      <c r="I314" s="257">
        <v>17675.240000000002</v>
      </c>
      <c r="J314" s="240" t="str">
        <v/>
      </c>
      <c r="K314" s="240">
        <v>118.9279411764706</v>
      </c>
      <c r="L314" s="240">
        <v>135.23511627906979</v>
      </c>
      <c r="M314" s="240">
        <v>134.75107142857144</v>
      </c>
      <c r="N314" s="240" t="str">
        <v/>
      </c>
      <c r="O314" s="258">
        <v>127.16000000000001</v>
      </c>
      <c r="P314" s="224">
        <v>0</v>
      </c>
      <c r="Q314" s="224">
        <v>0.19035354668264737</v>
      </c>
      <c r="R314" s="224">
        <v>0.17784015912646811</v>
      </c>
      <c r="S314" s="224">
        <v>0.13857316682159462</v>
      </c>
      <c r="T314" s="224">
        <v>0</v>
      </c>
      <c r="U314" s="259">
        <v>0.13098653121027612</v>
      </c>
      <c r="V314" s="239">
        <v>0</v>
      </c>
      <c r="W314" s="239">
        <v>68</v>
      </c>
      <c r="X314" s="239">
        <v>43</v>
      </c>
      <c r="Y314" s="239">
        <v>28</v>
      </c>
      <c r="Z314" s="239">
        <v>0</v>
      </c>
      <c r="AA314" s="257">
        <v>139</v>
      </c>
      <c r="AB314" s="224">
        <v>0</v>
      </c>
      <c r="AC314" s="224">
        <v>0.19318181818181818</v>
      </c>
      <c r="AD314" s="224">
        <v>0.16538461538461538</v>
      </c>
      <c r="AE314" s="224">
        <v>0.13084112149532709</v>
      </c>
      <c r="AF314" s="224">
        <v>0</v>
      </c>
      <c r="AG314" s="259">
        <v>0.12682481751824817</v>
      </c>
      <c r="AH314" s="261">
        <v>0</v>
      </c>
      <c r="AI314" s="261">
        <v>2.520385470719051E-3</v>
      </c>
      <c r="AJ314" s="261">
        <v>1.9961933057889604E-3</v>
      </c>
      <c r="AK314" s="261">
        <v>1.5052954142250417E-3</v>
      </c>
      <c r="AL314" s="261">
        <v>0</v>
      </c>
      <c r="AM314" s="262">
        <v>1.5250592469059948E-3</v>
      </c>
    </row>
    <row r="315" spans="1:39" x14ac:dyDescent="0.25">
      <c r="A315" s="215" t="str">
        <v>4354-KALoudi</v>
      </c>
      <c r="B315" s="215" t="str">
        <v>KFAHADRD</v>
      </c>
      <c r="C315" s="215" t="str">
        <v>Lina Al Ghathami</v>
      </c>
      <c r="D315" s="239">
        <v>16419.29</v>
      </c>
      <c r="E315" s="239">
        <v>22209.34</v>
      </c>
      <c r="F315" s="239">
        <v>17517.25</v>
      </c>
      <c r="G315" s="239">
        <v>13208.670000000002</v>
      </c>
      <c r="H315" s="239">
        <v>2076.12</v>
      </c>
      <c r="I315" s="257">
        <v>71430.67</v>
      </c>
      <c r="J315" s="240">
        <v>169.27103092783506</v>
      </c>
      <c r="K315" s="240">
        <v>165.7413432835821</v>
      </c>
      <c r="L315" s="240">
        <v>213.625</v>
      </c>
      <c r="M315" s="240">
        <v>178.49554054054056</v>
      </c>
      <c r="N315" s="240">
        <v>173.01</v>
      </c>
      <c r="O315" s="258">
        <v>179.02423558897243</v>
      </c>
      <c r="P315" s="224">
        <v>0.34068500566345877</v>
      </c>
      <c r="Q315" s="224">
        <v>0.26732613084059054</v>
      </c>
      <c r="R315" s="224">
        <v>0.27653298228758671</v>
      </c>
      <c r="S315" s="224">
        <v>0.24865316563022516</v>
      </c>
      <c r="T315" s="224">
        <v>9.7112156186238738E-2</v>
      </c>
      <c r="U315" s="259">
        <v>0.26542320856156643</v>
      </c>
      <c r="V315" s="239">
        <v>97</v>
      </c>
      <c r="W315" s="239">
        <v>134</v>
      </c>
      <c r="X315" s="239">
        <v>82</v>
      </c>
      <c r="Y315" s="239">
        <v>74</v>
      </c>
      <c r="Z315" s="239">
        <v>12</v>
      </c>
      <c r="AA315" s="257">
        <v>399</v>
      </c>
      <c r="AB315" s="224">
        <v>0.32993197278911562</v>
      </c>
      <c r="AC315" s="224">
        <v>0.29257641921397382</v>
      </c>
      <c r="AD315" s="224">
        <v>0.2411764705882353</v>
      </c>
      <c r="AE315" s="224">
        <v>0.27509293680297398</v>
      </c>
      <c r="AF315" s="224">
        <v>0.14634146341463414</v>
      </c>
      <c r="AG315" s="259">
        <v>0.27650727650727652</v>
      </c>
      <c r="AH315" s="261">
        <v>5.0449888178082901E-3</v>
      </c>
      <c r="AI315" s="261">
        <v>4.9666419570051894E-3</v>
      </c>
      <c r="AJ315" s="261">
        <v>3.8066942110394132E-3</v>
      </c>
      <c r="AK315" s="261">
        <v>3.9782807375947533E-3</v>
      </c>
      <c r="AL315" s="261">
        <v>2.5026068821689261E-3</v>
      </c>
      <c r="AM315" s="262">
        <v>4.3776880540682874E-3</v>
      </c>
    </row>
    <row r="316" spans="1:39" x14ac:dyDescent="0.25">
      <c r="A316" s="215" t="str">
        <v>2960-Hussain Alowayni</v>
      </c>
      <c r="B316" s="215" t="str">
        <v>KFAHADRD</v>
      </c>
      <c r="C316" s="215" t="str">
        <v>Lina Al Ghathami</v>
      </c>
      <c r="D316" s="239">
        <v>14462.29</v>
      </c>
      <c r="E316" s="239">
        <v>22460.390000000003</v>
      </c>
      <c r="F316" s="239">
        <v>11960.300000000001</v>
      </c>
      <c r="G316" s="239">
        <v>11985.64</v>
      </c>
      <c r="H316" s="239">
        <v>0</v>
      </c>
      <c r="I316" s="257">
        <v>60868.62000000001</v>
      </c>
      <c r="J316" s="240">
        <v>166.23321839080461</v>
      </c>
      <c r="K316" s="240">
        <v>190.34228813559324</v>
      </c>
      <c r="L316" s="240">
        <v>196.07049180327871</v>
      </c>
      <c r="M316" s="240">
        <v>214.02928571428569</v>
      </c>
      <c r="N316" s="240" t="str">
        <v/>
      </c>
      <c r="O316" s="258">
        <v>189.03298136645967</v>
      </c>
      <c r="P316" s="224">
        <v>0.30007907470765077</v>
      </c>
      <c r="Q316" s="224">
        <v>0.27034793271077362</v>
      </c>
      <c r="R316" s="224">
        <v>0.18880916970724421</v>
      </c>
      <c r="S316" s="224">
        <v>0.22562963024318505</v>
      </c>
      <c r="T316" s="224">
        <v>0</v>
      </c>
      <c r="U316" s="259">
        <v>0.22617657682777911</v>
      </c>
      <c r="V316" s="239">
        <v>87</v>
      </c>
      <c r="W316" s="239">
        <v>118</v>
      </c>
      <c r="X316" s="239">
        <v>61</v>
      </c>
      <c r="Y316" s="239">
        <v>56</v>
      </c>
      <c r="Z316" s="239">
        <v>0</v>
      </c>
      <c r="AA316" s="257">
        <v>322</v>
      </c>
      <c r="AB316" s="224">
        <v>0.29591836734693877</v>
      </c>
      <c r="AC316" s="224">
        <v>0.2576419213973799</v>
      </c>
      <c r="AD316" s="224">
        <v>0.17941176470588235</v>
      </c>
      <c r="AE316" s="224">
        <v>0.20817843866171004</v>
      </c>
      <c r="AF316" s="224">
        <v>0</v>
      </c>
      <c r="AG316" s="259">
        <v>0.22314622314622315</v>
      </c>
      <c r="AH316" s="261">
        <v>4.5248868778280547E-3</v>
      </c>
      <c r="AI316" s="261">
        <v>4.3736100815418826E-3</v>
      </c>
      <c r="AJ316" s="261">
        <v>2.8318091082122463E-3</v>
      </c>
      <c r="AK316" s="261">
        <v>3.0105908284500833E-3</v>
      </c>
      <c r="AL316" s="261">
        <v>0</v>
      </c>
      <c r="AM316" s="262">
        <v>3.5328710611779164E-3</v>
      </c>
    </row>
    <row r="317" spans="1:39" x14ac:dyDescent="0.25">
      <c r="A317" s="215" t="str">
        <v>3512-Nhazazi</v>
      </c>
      <c r="B317" s="215" t="str">
        <v>KFAHADRD</v>
      </c>
      <c r="C317" s="215" t="str">
        <v>Lina Al Ghathami</v>
      </c>
      <c r="D317" s="239">
        <v>4320.12</v>
      </c>
      <c r="E317" s="239">
        <v>10948.3</v>
      </c>
      <c r="F317" s="239">
        <v>11618.11</v>
      </c>
      <c r="G317" s="239">
        <v>6154.82</v>
      </c>
      <c r="H317" s="239">
        <v>9686.130000000001</v>
      </c>
      <c r="I317" s="257">
        <v>42727.479999999996</v>
      </c>
      <c r="J317" s="240">
        <v>135.00375</v>
      </c>
      <c r="K317" s="240">
        <v>182.47166666666666</v>
      </c>
      <c r="L317" s="240">
        <v>154.90813333333335</v>
      </c>
      <c r="M317" s="240">
        <v>175.852</v>
      </c>
      <c r="N317" s="240">
        <v>254.89815789473687</v>
      </c>
      <c r="O317" s="258">
        <v>178.03116666666665</v>
      </c>
      <c r="P317" s="224">
        <v>8.9638474420442135E-2</v>
      </c>
      <c r="Q317" s="224">
        <v>0.13178089390688952</v>
      </c>
      <c r="R317" s="224">
        <v>0.18340724753287385</v>
      </c>
      <c r="S317" s="224">
        <v>0.11586446454368396</v>
      </c>
      <c r="T317" s="224">
        <v>0.45307639702917596</v>
      </c>
      <c r="U317" s="259">
        <v>0.15876744310742372</v>
      </c>
      <c r="V317" s="239">
        <v>32</v>
      </c>
      <c r="W317" s="239">
        <v>60</v>
      </c>
      <c r="X317" s="239">
        <v>75</v>
      </c>
      <c r="Y317" s="239">
        <v>35</v>
      </c>
      <c r="Z317" s="239">
        <v>38</v>
      </c>
      <c r="AA317" s="257">
        <v>240</v>
      </c>
      <c r="AB317" s="224">
        <v>0.10884353741496598</v>
      </c>
      <c r="AC317" s="224">
        <v>0.13100436681222707</v>
      </c>
      <c r="AD317" s="224">
        <v>0.22058823529411764</v>
      </c>
      <c r="AE317" s="224">
        <v>0.13011152416356878</v>
      </c>
      <c r="AF317" s="224">
        <v>0.46341463414634149</v>
      </c>
      <c r="AG317" s="259">
        <v>0.16632016632016633</v>
      </c>
      <c r="AH317" s="261">
        <v>1.6643262079367555E-3</v>
      </c>
      <c r="AI317" s="261">
        <v>2.223869532987398E-3</v>
      </c>
      <c r="AJ317" s="261">
        <v>3.4817325100970245E-3</v>
      </c>
      <c r="AK317" s="261">
        <v>1.8816192677813021E-3</v>
      </c>
      <c r="AL317" s="261">
        <v>7.9249217935349319E-3</v>
      </c>
      <c r="AM317" s="262">
        <v>2.6331958219959622E-3</v>
      </c>
    </row>
    <row r="318" spans="1:39" x14ac:dyDescent="0.25">
      <c r="A318" s="215" t="str">
        <v>3521-AAlMutairi</v>
      </c>
      <c r="B318" s="215" t="str">
        <v>KFAHADRD</v>
      </c>
      <c r="C318" s="215" t="str">
        <v>Lina Al Ghathami</v>
      </c>
      <c r="D318" s="239">
        <v>9490.18</v>
      </c>
      <c r="E318" s="239">
        <v>14543.23</v>
      </c>
      <c r="F318" s="239">
        <v>7308.06</v>
      </c>
      <c r="G318" s="239">
        <v>5382.02</v>
      </c>
      <c r="H318" s="239">
        <v>4179.3500000000004</v>
      </c>
      <c r="I318" s="257">
        <v>40902.840000000004</v>
      </c>
      <c r="J318" s="240">
        <v>179.06</v>
      </c>
      <c r="K318" s="240">
        <v>199.22232876712329</v>
      </c>
      <c r="L318" s="240">
        <v>187.38615384615386</v>
      </c>
      <c r="M318" s="240">
        <v>384.43</v>
      </c>
      <c r="N318" s="240">
        <v>597.05000000000007</v>
      </c>
      <c r="O318" s="258">
        <v>219.9077419354839</v>
      </c>
      <c r="P318" s="224">
        <v>0.19691241381614205</v>
      </c>
      <c r="Q318" s="224">
        <v>0.17505182080263537</v>
      </c>
      <c r="R318" s="224">
        <v>0.11536740221990445</v>
      </c>
      <c r="S318" s="224">
        <v>0.10131650730052187</v>
      </c>
      <c r="T318" s="224">
        <v>0.19549240407922322</v>
      </c>
      <c r="U318" s="259">
        <v>0.15198741705881219</v>
      </c>
      <c r="V318" s="239">
        <v>53</v>
      </c>
      <c r="W318" s="239">
        <v>73</v>
      </c>
      <c r="X318" s="239">
        <v>39</v>
      </c>
      <c r="Y318" s="239">
        <v>14</v>
      </c>
      <c r="Z318" s="239">
        <v>7</v>
      </c>
      <c r="AA318" s="257">
        <v>186</v>
      </c>
      <c r="AB318" s="224">
        <v>0.18027210884353742</v>
      </c>
      <c r="AC318" s="224">
        <v>0.15938864628820962</v>
      </c>
      <c r="AD318" s="224">
        <v>0.11470588235294117</v>
      </c>
      <c r="AE318" s="224">
        <v>5.204460966542751E-2</v>
      </c>
      <c r="AF318" s="224">
        <v>8.5365853658536592E-2</v>
      </c>
      <c r="AG318" s="259">
        <v>0.12889812889812891</v>
      </c>
      <c r="AH318" s="261">
        <v>2.7565402818952515E-3</v>
      </c>
      <c r="AI318" s="261">
        <v>2.7057079318013343E-3</v>
      </c>
      <c r="AJ318" s="261">
        <v>1.8105009052504525E-3</v>
      </c>
      <c r="AK318" s="261">
        <v>7.5264770711252083E-4</v>
      </c>
      <c r="AL318" s="261">
        <v>1.4598540145985401E-3</v>
      </c>
      <c r="AM318" s="262">
        <v>2.040726762046871E-3</v>
      </c>
    </row>
    <row r="319" spans="1:39" x14ac:dyDescent="0.25">
      <c r="A319" s="215" t="str">
        <v>4501-FAhmad</v>
      </c>
      <c r="B319" s="215" t="str">
        <v>KFAHADRD</v>
      </c>
      <c r="C319" s="215" t="str">
        <v>Lina Al Ghathami</v>
      </c>
      <c r="D319" s="239">
        <v>3503.05</v>
      </c>
      <c r="E319" s="239">
        <v>12243.29</v>
      </c>
      <c r="F319" s="239">
        <v>7453.23</v>
      </c>
      <c r="G319" s="239">
        <v>8901.89</v>
      </c>
      <c r="H319" s="239">
        <v>2904.99</v>
      </c>
      <c r="I319" s="257">
        <v>35006.449999999997</v>
      </c>
      <c r="J319" s="240">
        <v>140.12200000000001</v>
      </c>
      <c r="K319" s="240">
        <v>180.04838235294119</v>
      </c>
      <c r="L319" s="240">
        <v>177.45785714285714</v>
      </c>
      <c r="M319" s="240">
        <v>171.19019230769229</v>
      </c>
      <c r="N319" s="240">
        <v>242.08249999999998</v>
      </c>
      <c r="O319" s="258">
        <v>175.91180904522611</v>
      </c>
      <c r="P319" s="224">
        <v>7.2685031392306199E-2</v>
      </c>
      <c r="Q319" s="224">
        <v>0.14736823986932049</v>
      </c>
      <c r="R319" s="224">
        <v>0.11765910286005565</v>
      </c>
      <c r="S319" s="224">
        <v>0.16757804749395999</v>
      </c>
      <c r="T319" s="224">
        <v>0.13588320646179491</v>
      </c>
      <c r="U319" s="259">
        <v>0.13007751823341496</v>
      </c>
      <c r="V319" s="239">
        <v>25</v>
      </c>
      <c r="W319" s="239">
        <v>68</v>
      </c>
      <c r="X319" s="239">
        <v>42</v>
      </c>
      <c r="Y319" s="239">
        <v>52</v>
      </c>
      <c r="Z319" s="239">
        <v>12</v>
      </c>
      <c r="AA319" s="257">
        <v>199</v>
      </c>
      <c r="AB319" s="224">
        <v>8.5034013605442174E-2</v>
      </c>
      <c r="AC319" s="224">
        <v>0.14847161572052403</v>
      </c>
      <c r="AD319" s="224">
        <v>0.12352941176470589</v>
      </c>
      <c r="AE319" s="224">
        <v>0.19330855018587362</v>
      </c>
      <c r="AF319" s="224">
        <v>0.14634146341463414</v>
      </c>
      <c r="AG319" s="259">
        <v>0.13790713790713791</v>
      </c>
      <c r="AH319" s="261">
        <v>1.3002548499505904E-3</v>
      </c>
      <c r="AI319" s="261">
        <v>2.520385470719051E-3</v>
      </c>
      <c r="AJ319" s="261">
        <v>1.9497702056543336E-3</v>
      </c>
      <c r="AK319" s="261">
        <v>2.7955486264179346E-3</v>
      </c>
      <c r="AL319" s="261">
        <v>2.5026068821689261E-3</v>
      </c>
      <c r="AM319" s="262">
        <v>2.1833582024049854E-3</v>
      </c>
    </row>
    <row r="320" spans="1:39" x14ac:dyDescent="0.25">
      <c r="A320" s="215" t="str">
        <v>4542-YAdress</v>
      </c>
      <c r="B320" s="215" t="str">
        <v>KFAHADRD</v>
      </c>
      <c r="C320" s="215" t="str">
        <v>Lina Al Ghathami</v>
      </c>
      <c r="D320" s="239">
        <v>0</v>
      </c>
      <c r="E320" s="239">
        <v>675.02</v>
      </c>
      <c r="F320" s="239">
        <v>7489.02</v>
      </c>
      <c r="G320" s="239">
        <v>7487.82</v>
      </c>
      <c r="H320" s="239">
        <v>2531.9899999999998</v>
      </c>
      <c r="I320" s="257">
        <v>18183.849999999999</v>
      </c>
      <c r="J320" s="240" t="str">
        <v/>
      </c>
      <c r="K320" s="240">
        <v>135.00399999999999</v>
      </c>
      <c r="L320" s="240">
        <v>182.6590243902439</v>
      </c>
      <c r="M320" s="240">
        <v>197.0478947368421</v>
      </c>
      <c r="N320" s="240">
        <v>194.76846153846151</v>
      </c>
      <c r="O320" s="258">
        <v>187.4623711340206</v>
      </c>
      <c r="P320" s="224">
        <v>0</v>
      </c>
      <c r="Q320" s="224">
        <v>8.1249818697906127E-3</v>
      </c>
      <c r="R320" s="224">
        <v>0.11822409539233514</v>
      </c>
      <c r="S320" s="224">
        <v>0.14095818478842398</v>
      </c>
      <c r="T320" s="224">
        <v>0.11843583624356714</v>
      </c>
      <c r="U320" s="259">
        <v>6.7567836211003471E-2</v>
      </c>
      <c r="V320" s="239">
        <v>0</v>
      </c>
      <c r="W320" s="239">
        <v>5</v>
      </c>
      <c r="X320" s="239">
        <v>41</v>
      </c>
      <c r="Y320" s="239">
        <v>38</v>
      </c>
      <c r="Z320" s="239">
        <v>13</v>
      </c>
      <c r="AA320" s="257">
        <v>97</v>
      </c>
      <c r="AB320" s="224">
        <v>0</v>
      </c>
      <c r="AC320" s="224">
        <v>1.0917030567685589E-2</v>
      </c>
      <c r="AD320" s="224">
        <v>0.12058823529411765</v>
      </c>
      <c r="AE320" s="224">
        <v>0.14126394052044611</v>
      </c>
      <c r="AF320" s="224">
        <v>0.15853658536585366</v>
      </c>
      <c r="AG320" s="259">
        <v>6.7221067221067216E-2</v>
      </c>
      <c r="AH320" s="261">
        <v>0</v>
      </c>
      <c r="AI320" s="261">
        <v>1.8532246108228317E-4</v>
      </c>
      <c r="AJ320" s="261">
        <v>1.9033471055197066E-3</v>
      </c>
      <c r="AK320" s="261">
        <v>2.0429009193054137E-3</v>
      </c>
      <c r="AL320" s="261">
        <v>2.7111574556830031E-3</v>
      </c>
      <c r="AM320" s="262">
        <v>1.0642499780567016E-3</v>
      </c>
    </row>
    <row r="321" spans="1:39" x14ac:dyDescent="0.25">
      <c r="A321" s="215" t="str">
        <v>2930-Waleed Mohammed</v>
      </c>
      <c r="B321" s="215" t="str">
        <v>OTHAFAN</v>
      </c>
      <c r="C321" s="215" t="str">
        <v>Lina Al Ghathami</v>
      </c>
      <c r="D321" s="239">
        <v>12075.32</v>
      </c>
      <c r="E321" s="239">
        <v>8896.130000000001</v>
      </c>
      <c r="F321" s="239">
        <v>6191.18</v>
      </c>
      <c r="G321" s="239">
        <v>7007.95</v>
      </c>
      <c r="H321" s="239">
        <v>3575.12</v>
      </c>
      <c r="I321" s="257">
        <v>37745.700000000004</v>
      </c>
      <c r="J321" s="240">
        <v>170.07492957746479</v>
      </c>
      <c r="K321" s="240">
        <v>181.55367346938777</v>
      </c>
      <c r="L321" s="240">
        <v>199.71548387096774</v>
      </c>
      <c r="M321" s="240">
        <v>175.19874999999999</v>
      </c>
      <c r="N321" s="240">
        <v>238.34133333333332</v>
      </c>
      <c r="O321" s="258">
        <v>183.23155339805828</v>
      </c>
      <c r="P321" s="224">
        <v>0.61453698982058547</v>
      </c>
      <c r="Q321" s="224">
        <v>0.1828716932076164</v>
      </c>
      <c r="R321" s="224">
        <v>0.21333117401094709</v>
      </c>
      <c r="S321" s="224">
        <v>0.24844261388452438</v>
      </c>
      <c r="T321" s="224">
        <v>0.33960722773913721</v>
      </c>
      <c r="U321" s="259">
        <v>0.27743483415849285</v>
      </c>
      <c r="V321" s="239">
        <v>71</v>
      </c>
      <c r="W321" s="239">
        <v>49</v>
      </c>
      <c r="X321" s="239">
        <v>31</v>
      </c>
      <c r="Y321" s="239">
        <v>40</v>
      </c>
      <c r="Z321" s="239">
        <v>15</v>
      </c>
      <c r="AA321" s="257">
        <v>206</v>
      </c>
      <c r="AB321" s="224">
        <v>0.59166666666666667</v>
      </c>
      <c r="AC321" s="224">
        <v>0.18421052631578946</v>
      </c>
      <c r="AD321" s="224">
        <v>0.18902439024390244</v>
      </c>
      <c r="AE321" s="224">
        <v>0.26143790849673204</v>
      </c>
      <c r="AF321" s="224">
        <v>0.30612244897959184</v>
      </c>
      <c r="AG321" s="259">
        <v>0.27393617021276595</v>
      </c>
      <c r="AH321" s="261">
        <v>3.6927237738596766E-3</v>
      </c>
      <c r="AI321" s="261">
        <v>1.8161601186063752E-3</v>
      </c>
      <c r="AJ321" s="261">
        <v>1.4391161041734366E-3</v>
      </c>
      <c r="AK321" s="261">
        <v>2.1504220203214879E-3</v>
      </c>
      <c r="AL321" s="261">
        <v>3.1282586027111575E-3</v>
      </c>
      <c r="AM321" s="262">
        <v>2.2601597472132009E-3</v>
      </c>
    </row>
    <row r="322" spans="1:39" x14ac:dyDescent="0.25">
      <c r="A322" s="215" t="str">
        <v>7248-AAlotaibi</v>
      </c>
      <c r="B322" s="215" t="str">
        <v>OTHAFAN</v>
      </c>
      <c r="C322" s="215" t="str">
        <v>Lina Al Ghathami</v>
      </c>
      <c r="D322" s="239">
        <v>0</v>
      </c>
      <c r="E322" s="239">
        <v>15433.3</v>
      </c>
      <c r="F322" s="239">
        <v>7438.11</v>
      </c>
      <c r="G322" s="239">
        <v>11482.590000000002</v>
      </c>
      <c r="H322" s="239">
        <v>3073.19</v>
      </c>
      <c r="I322" s="257">
        <v>37427.19</v>
      </c>
      <c r="J322" s="240" t="str">
        <v/>
      </c>
      <c r="K322" s="240">
        <v>177.3942528735632</v>
      </c>
      <c r="L322" s="240">
        <v>161.69804347826087</v>
      </c>
      <c r="M322" s="240">
        <v>188.23918032786889</v>
      </c>
      <c r="N322" s="240">
        <v>170.73277777777778</v>
      </c>
      <c r="O322" s="258">
        <v>176.54334905660377</v>
      </c>
      <c r="P322" s="224">
        <v>0</v>
      </c>
      <c r="Q322" s="224">
        <v>0.31725185027434466</v>
      </c>
      <c r="R322" s="224">
        <v>0.25629698033695764</v>
      </c>
      <c r="S322" s="224">
        <v>0.40707548908943431</v>
      </c>
      <c r="T322" s="224">
        <v>0.29192797338708609</v>
      </c>
      <c r="U322" s="259">
        <v>0.27509375241864376</v>
      </c>
      <c r="V322" s="239">
        <v>0</v>
      </c>
      <c r="W322" s="239">
        <v>87</v>
      </c>
      <c r="X322" s="239">
        <v>46</v>
      </c>
      <c r="Y322" s="239">
        <v>61</v>
      </c>
      <c r="Z322" s="239">
        <v>18</v>
      </c>
      <c r="AA322" s="257">
        <v>212</v>
      </c>
      <c r="AB322" s="224">
        <v>0</v>
      </c>
      <c r="AC322" s="224">
        <v>0.32706766917293234</v>
      </c>
      <c r="AD322" s="224">
        <v>0.28048780487804881</v>
      </c>
      <c r="AE322" s="224">
        <v>0.39869281045751637</v>
      </c>
      <c r="AF322" s="224">
        <v>0.36734693877551022</v>
      </c>
      <c r="AG322" s="259">
        <v>0.28191489361702127</v>
      </c>
      <c r="AH322" s="261">
        <v>0</v>
      </c>
      <c r="AI322" s="261">
        <v>3.2246108228317274E-3</v>
      </c>
      <c r="AJ322" s="261">
        <v>2.1354626061928414E-3</v>
      </c>
      <c r="AK322" s="261">
        <v>3.2793935809902692E-3</v>
      </c>
      <c r="AL322" s="261">
        <v>3.753910323253389E-3</v>
      </c>
      <c r="AM322" s="262">
        <v>2.3259896427631002E-3</v>
      </c>
    </row>
    <row r="323" spans="1:39" x14ac:dyDescent="0.25">
      <c r="A323" s="215" t="str">
        <v>4314-TQassem</v>
      </c>
      <c r="B323" s="215" t="str">
        <v>OTHAFAN</v>
      </c>
      <c r="C323" s="215" t="str">
        <v>Lina Al Ghathami</v>
      </c>
      <c r="D323" s="239">
        <v>1176.04</v>
      </c>
      <c r="E323" s="239">
        <v>13214.24</v>
      </c>
      <c r="F323" s="239">
        <v>9256.07</v>
      </c>
      <c r="G323" s="239">
        <v>9716.9800000000014</v>
      </c>
      <c r="H323" s="239">
        <v>3878.91</v>
      </c>
      <c r="I323" s="257">
        <v>37242.240000000005</v>
      </c>
      <c r="J323" s="240">
        <v>196.00666666666666</v>
      </c>
      <c r="K323" s="240">
        <v>186.11605633802816</v>
      </c>
      <c r="L323" s="240">
        <v>181.49156862745099</v>
      </c>
      <c r="M323" s="240">
        <v>186.86500000000004</v>
      </c>
      <c r="N323" s="240">
        <v>242.43187499999999</v>
      </c>
      <c r="O323" s="258">
        <v>190.01142857142861</v>
      </c>
      <c r="P323" s="224">
        <v>5.9851008628226933E-2</v>
      </c>
      <c r="Q323" s="224">
        <v>0.27163614327261548</v>
      </c>
      <c r="R323" s="224">
        <v>0.31893892276230168</v>
      </c>
      <c r="S323" s="224">
        <v>0.34448189702604126</v>
      </c>
      <c r="T323" s="224">
        <v>0.36846479887377676</v>
      </c>
      <c r="U323" s="259">
        <v>0.27373435061717727</v>
      </c>
      <c r="V323" s="239">
        <v>6</v>
      </c>
      <c r="W323" s="239">
        <v>71</v>
      </c>
      <c r="X323" s="239">
        <v>51</v>
      </c>
      <c r="Y323" s="239">
        <v>52</v>
      </c>
      <c r="Z323" s="239">
        <v>16</v>
      </c>
      <c r="AA323" s="257">
        <v>196</v>
      </c>
      <c r="AB323" s="224">
        <v>0.05</v>
      </c>
      <c r="AC323" s="224">
        <v>0.26691729323308272</v>
      </c>
      <c r="AD323" s="224">
        <v>0.31097560975609756</v>
      </c>
      <c r="AE323" s="224">
        <v>0.33986928104575165</v>
      </c>
      <c r="AF323" s="224">
        <v>0.32653061224489793</v>
      </c>
      <c r="AG323" s="259">
        <v>0.26063829787234044</v>
      </c>
      <c r="AH323" s="261">
        <v>3.1206116398814168E-4</v>
      </c>
      <c r="AI323" s="261">
        <v>2.631578947368421E-3</v>
      </c>
      <c r="AJ323" s="261">
        <v>2.3675781068659765E-3</v>
      </c>
      <c r="AK323" s="261">
        <v>2.7955486264179346E-3</v>
      </c>
      <c r="AL323" s="261">
        <v>3.3368091762252345E-3</v>
      </c>
      <c r="AM323" s="262">
        <v>2.150443254630036E-3</v>
      </c>
    </row>
    <row r="324" spans="1:39" x14ac:dyDescent="0.25">
      <c r="A324" s="215" t="str">
        <v>3701-AAlanzi</v>
      </c>
      <c r="B324" s="215" t="str">
        <v>OTHAFAN</v>
      </c>
      <c r="C324" s="215" t="str">
        <v>Lina Al Ghathami</v>
      </c>
      <c r="D324" s="239">
        <v>6398.0999999999995</v>
      </c>
      <c r="E324" s="239">
        <v>11103.17</v>
      </c>
      <c r="F324" s="239">
        <v>6136.09</v>
      </c>
      <c r="G324" s="239">
        <v>0</v>
      </c>
      <c r="H324" s="239">
        <v>0</v>
      </c>
      <c r="I324" s="257">
        <v>23637.360000000001</v>
      </c>
      <c r="J324" s="240">
        <v>148.79302325581395</v>
      </c>
      <c r="K324" s="240">
        <v>188.18932203389829</v>
      </c>
      <c r="L324" s="240">
        <v>170.44694444444445</v>
      </c>
      <c r="M324" s="240" t="str">
        <v/>
      </c>
      <c r="N324" s="240" t="str">
        <v/>
      </c>
      <c r="O324" s="258">
        <v>171.28521739130434</v>
      </c>
      <c r="P324" s="224">
        <v>0.32561200155118764</v>
      </c>
      <c r="Q324" s="224">
        <v>0.22824031324542357</v>
      </c>
      <c r="R324" s="224">
        <v>0.2114329228897936</v>
      </c>
      <c r="S324" s="224">
        <v>0</v>
      </c>
      <c r="T324" s="224">
        <v>0</v>
      </c>
      <c r="U324" s="259">
        <v>0.17373706280568627</v>
      </c>
      <c r="V324" s="239">
        <v>43</v>
      </c>
      <c r="W324" s="239">
        <v>59</v>
      </c>
      <c r="X324" s="239">
        <v>36</v>
      </c>
      <c r="Y324" s="239">
        <v>0</v>
      </c>
      <c r="Z324" s="239">
        <v>0</v>
      </c>
      <c r="AA324" s="257">
        <v>138</v>
      </c>
      <c r="AB324" s="224">
        <v>0.35833333333333334</v>
      </c>
      <c r="AC324" s="224">
        <v>0.22180451127819548</v>
      </c>
      <c r="AD324" s="224">
        <v>0.21951219512195122</v>
      </c>
      <c r="AE324" s="224">
        <v>0</v>
      </c>
      <c r="AF324" s="224">
        <v>0</v>
      </c>
      <c r="AG324" s="259">
        <v>0.18351063829787234</v>
      </c>
      <c r="AH324" s="261">
        <v>2.2364383419150153E-3</v>
      </c>
      <c r="AI324" s="261">
        <v>2.1868050407709413E-3</v>
      </c>
      <c r="AJ324" s="261">
        <v>1.6712316048465717E-3</v>
      </c>
      <c r="AK324" s="261">
        <v>0</v>
      </c>
      <c r="AL324" s="261">
        <v>0</v>
      </c>
      <c r="AM324" s="262">
        <v>1.5140875976476784E-3</v>
      </c>
    </row>
    <row r="325" spans="1:39" x14ac:dyDescent="0.25">
      <c r="A325" s="215" t="str">
        <v>5369-AAlmutari</v>
      </c>
      <c r="B325" s="215" t="str">
        <v>RYDNAKHL</v>
      </c>
      <c r="C325" s="215" t="str">
        <v>Lina Al Ghathami</v>
      </c>
      <c r="D325" s="239">
        <v>16536.349999999999</v>
      </c>
      <c r="E325" s="239">
        <v>25905.34</v>
      </c>
      <c r="F325" s="239">
        <v>13175.24</v>
      </c>
      <c r="G325" s="239">
        <v>16499.550000000003</v>
      </c>
      <c r="H325" s="239">
        <v>5430.9400000000005</v>
      </c>
      <c r="I325" s="257">
        <v>77547.420000000013</v>
      </c>
      <c r="J325" s="240">
        <v>159.00336538461536</v>
      </c>
      <c r="K325" s="240">
        <v>177.43383561643836</v>
      </c>
      <c r="L325" s="240">
        <v>180.4827397260274</v>
      </c>
      <c r="M325" s="240">
        <v>158.64951923076927</v>
      </c>
      <c r="N325" s="240">
        <v>175.19161290322583</v>
      </c>
      <c r="O325" s="258">
        <v>169.3175109170306</v>
      </c>
      <c r="P325" s="224">
        <v>0.39331301163978272</v>
      </c>
      <c r="Q325" s="224">
        <v>0.4134933206661266</v>
      </c>
      <c r="R325" s="224">
        <v>0.25255923628244947</v>
      </c>
      <c r="S325" s="224">
        <v>0.35130794450290276</v>
      </c>
      <c r="T325" s="224">
        <v>0.60398337609418284</v>
      </c>
      <c r="U325" s="259">
        <v>0.36438278691482556</v>
      </c>
      <c r="V325" s="239">
        <v>104</v>
      </c>
      <c r="W325" s="239">
        <v>146</v>
      </c>
      <c r="X325" s="239">
        <v>73</v>
      </c>
      <c r="Y325" s="239">
        <v>104</v>
      </c>
      <c r="Z325" s="239">
        <v>31</v>
      </c>
      <c r="AA325" s="257">
        <v>458</v>
      </c>
      <c r="AB325" s="224">
        <v>0.32500000000000001</v>
      </c>
      <c r="AC325" s="224">
        <v>0.37532133676092544</v>
      </c>
      <c r="AD325" s="224">
        <v>0.21220930232558138</v>
      </c>
      <c r="AE325" s="224">
        <v>0.37410071942446044</v>
      </c>
      <c r="AF325" s="224">
        <v>0.5636363636363636</v>
      </c>
      <c r="AG325" s="259">
        <v>0.33044733044733043</v>
      </c>
      <c r="AH325" s="261">
        <v>5.4090601757944556E-3</v>
      </c>
      <c r="AI325" s="261">
        <v>5.4114158636026687E-3</v>
      </c>
      <c r="AJ325" s="261">
        <v>3.3888863098277705E-3</v>
      </c>
      <c r="AK325" s="261">
        <v>5.5910972528358692E-3</v>
      </c>
      <c r="AL325" s="261">
        <v>6.4650677789363925E-3</v>
      </c>
      <c r="AM325" s="262">
        <v>5.0250153603089613E-3</v>
      </c>
    </row>
    <row r="326" spans="1:39" x14ac:dyDescent="0.25">
      <c r="A326" s="215" t="str">
        <v>7298-YAldawsari</v>
      </c>
      <c r="B326" s="215" t="str">
        <v>RYDNAKHL</v>
      </c>
      <c r="C326" s="215" t="str">
        <v>Lina Al Ghathami</v>
      </c>
      <c r="D326" s="239">
        <v>10652.150000000001</v>
      </c>
      <c r="E326" s="239">
        <v>19937.37</v>
      </c>
      <c r="F326" s="239">
        <v>16987.329999999998</v>
      </c>
      <c r="G326" s="239">
        <v>20188.650000000001</v>
      </c>
      <c r="H326" s="239">
        <v>1434.92</v>
      </c>
      <c r="I326" s="257">
        <v>69200.42</v>
      </c>
      <c r="J326" s="240">
        <v>110.95989583333335</v>
      </c>
      <c r="K326" s="240">
        <v>149.90503759398496</v>
      </c>
      <c r="L326" s="240">
        <v>139.24040983606557</v>
      </c>
      <c r="M326" s="240">
        <v>188.67897196261683</v>
      </c>
      <c r="N326" s="240">
        <v>159.43555555555557</v>
      </c>
      <c r="O326" s="258">
        <v>148.18077087794433</v>
      </c>
      <c r="P326" s="224">
        <v>0.25335876399197604</v>
      </c>
      <c r="Q326" s="224">
        <v>0.31823436120310372</v>
      </c>
      <c r="R326" s="224">
        <v>0.32563407507399805</v>
      </c>
      <c r="S326" s="224">
        <v>0.42985615570052077</v>
      </c>
      <c r="T326" s="224">
        <v>0.15957970922622325</v>
      </c>
      <c r="U326" s="259">
        <v>0.32516158365135073</v>
      </c>
      <c r="V326" s="239">
        <v>96</v>
      </c>
      <c r="W326" s="239">
        <v>133</v>
      </c>
      <c r="X326" s="239">
        <v>122</v>
      </c>
      <c r="Y326" s="239">
        <v>107</v>
      </c>
      <c r="Z326" s="239">
        <v>9</v>
      </c>
      <c r="AA326" s="257">
        <v>467</v>
      </c>
      <c r="AB326" s="224">
        <v>0.3</v>
      </c>
      <c r="AC326" s="224">
        <v>0.34190231362467866</v>
      </c>
      <c r="AD326" s="224">
        <v>0.35465116279069769</v>
      </c>
      <c r="AE326" s="224">
        <v>0.38489208633093525</v>
      </c>
      <c r="AF326" s="224">
        <v>0.16363636363636364</v>
      </c>
      <c r="AG326" s="259">
        <v>0.33694083694083693</v>
      </c>
      <c r="AH326" s="261">
        <v>4.9929786238102668E-3</v>
      </c>
      <c r="AI326" s="261">
        <v>4.9295774647887328E-3</v>
      </c>
      <c r="AJ326" s="261">
        <v>5.6636182164244925E-3</v>
      </c>
      <c r="AK326" s="261">
        <v>5.7523789043599808E-3</v>
      </c>
      <c r="AL326" s="261">
        <v>1.8769551616266945E-3</v>
      </c>
      <c r="AM326" s="262">
        <v>5.1237602036338101E-3</v>
      </c>
    </row>
    <row r="327" spans="1:39" x14ac:dyDescent="0.25">
      <c r="A327" s="215" t="str">
        <v>3423-Reem Alshahrani</v>
      </c>
      <c r="B327" s="215" t="str">
        <v>RYDNAKHL</v>
      </c>
      <c r="C327" s="215" t="str">
        <v>Lina Al Ghathami</v>
      </c>
      <c r="D327" s="239">
        <v>5672.0499999999993</v>
      </c>
      <c r="E327" s="239">
        <v>12276.19</v>
      </c>
      <c r="F327" s="239">
        <v>10895.19</v>
      </c>
      <c r="G327" s="239">
        <v>7257.78</v>
      </c>
      <c r="H327" s="239">
        <v>2126.0100000000002</v>
      </c>
      <c r="I327" s="257">
        <v>38227.22</v>
      </c>
      <c r="J327" s="240">
        <v>123.30543478260869</v>
      </c>
      <c r="K327" s="240">
        <v>142.74639534883721</v>
      </c>
      <c r="L327" s="240">
        <v>149.24917808219178</v>
      </c>
      <c r="M327" s="240">
        <v>142.30941176470589</v>
      </c>
      <c r="N327" s="240">
        <v>141.73400000000001</v>
      </c>
      <c r="O327" s="258">
        <v>141.05985239852399</v>
      </c>
      <c r="P327" s="224">
        <v>0.13490831215301016</v>
      </c>
      <c r="Q327" s="224">
        <v>0.19594888807590621</v>
      </c>
      <c r="R327" s="224">
        <v>0.20885242815707197</v>
      </c>
      <c r="S327" s="224">
        <v>0.15453244321537721</v>
      </c>
      <c r="T327" s="224">
        <v>0.23643691467959391</v>
      </c>
      <c r="U327" s="259">
        <v>0.17962352531658896</v>
      </c>
      <c r="V327" s="239">
        <v>46</v>
      </c>
      <c r="W327" s="239">
        <v>86</v>
      </c>
      <c r="X327" s="239">
        <v>73</v>
      </c>
      <c r="Y327" s="239">
        <v>51</v>
      </c>
      <c r="Z327" s="239">
        <v>15</v>
      </c>
      <c r="AA327" s="257">
        <v>271</v>
      </c>
      <c r="AB327" s="224">
        <v>0.14374999999999999</v>
      </c>
      <c r="AC327" s="224">
        <v>0.2210796915167095</v>
      </c>
      <c r="AD327" s="224">
        <v>0.21220930232558138</v>
      </c>
      <c r="AE327" s="224">
        <v>0.18345323741007194</v>
      </c>
      <c r="AF327" s="224">
        <v>0.27272727272727271</v>
      </c>
      <c r="AG327" s="259">
        <v>0.19552669552669552</v>
      </c>
      <c r="AH327" s="261">
        <v>2.392468923909086E-3</v>
      </c>
      <c r="AI327" s="261">
        <v>3.1875463306152707E-3</v>
      </c>
      <c r="AJ327" s="261">
        <v>3.3888863098277705E-3</v>
      </c>
      <c r="AK327" s="261">
        <v>2.7417880759098975E-3</v>
      </c>
      <c r="AL327" s="261">
        <v>3.1282586027111575E-3</v>
      </c>
      <c r="AM327" s="262">
        <v>2.9733169490037742E-3</v>
      </c>
    </row>
    <row r="328" spans="1:39" x14ac:dyDescent="0.25">
      <c r="A328" s="215" t="str">
        <v>6177-MAlharthy</v>
      </c>
      <c r="B328" s="215" t="str">
        <v>RYDNAKHL</v>
      </c>
      <c r="C328" s="215" t="str">
        <v>Lina Al Ghathami</v>
      </c>
      <c r="D328" s="239">
        <v>9183.19</v>
      </c>
      <c r="E328" s="239">
        <v>4531.0599999999995</v>
      </c>
      <c r="F328" s="239">
        <v>7732.15</v>
      </c>
      <c r="G328" s="239">
        <v>0</v>
      </c>
      <c r="H328" s="239">
        <v>0</v>
      </c>
      <c r="I328" s="257">
        <v>21446.400000000001</v>
      </c>
      <c r="J328" s="240">
        <v>124.09716216216216</v>
      </c>
      <c r="K328" s="240">
        <v>188.79416666666665</v>
      </c>
      <c r="L328" s="240">
        <v>148.69519230769231</v>
      </c>
      <c r="M328" s="240" t="str">
        <v/>
      </c>
      <c r="N328" s="240" t="str">
        <v/>
      </c>
      <c r="O328" s="258">
        <v>142.976</v>
      </c>
      <c r="P328" s="224">
        <v>0.2184199122152311</v>
      </c>
      <c r="Q328" s="224">
        <v>7.2323430054863566E-2</v>
      </c>
      <c r="R328" s="224">
        <v>0.14821937959546402</v>
      </c>
      <c r="S328" s="224">
        <v>0</v>
      </c>
      <c r="T328" s="224">
        <v>0</v>
      </c>
      <c r="U328" s="259">
        <v>0.10077316564871036</v>
      </c>
      <c r="V328" s="239">
        <v>74</v>
      </c>
      <c r="W328" s="239">
        <v>24</v>
      </c>
      <c r="X328" s="239">
        <v>52</v>
      </c>
      <c r="Y328" s="239">
        <v>0</v>
      </c>
      <c r="Z328" s="239">
        <v>0</v>
      </c>
      <c r="AA328" s="257">
        <v>150</v>
      </c>
      <c r="AB328" s="224">
        <v>0.23125000000000001</v>
      </c>
      <c r="AC328" s="224">
        <v>6.1696658097686374E-2</v>
      </c>
      <c r="AD328" s="224">
        <v>0.15116279069767441</v>
      </c>
      <c r="AE328" s="224">
        <v>0</v>
      </c>
      <c r="AF328" s="224">
        <v>0</v>
      </c>
      <c r="AG328" s="259">
        <v>0.10822510822510822</v>
      </c>
      <c r="AH328" s="261">
        <v>3.8487543558537473E-3</v>
      </c>
      <c r="AI328" s="261">
        <v>8.8954781319495926E-4</v>
      </c>
      <c r="AJ328" s="261">
        <v>2.4140012070006035E-3</v>
      </c>
      <c r="AK328" s="261">
        <v>0</v>
      </c>
      <c r="AL328" s="261">
        <v>0</v>
      </c>
      <c r="AM328" s="262">
        <v>1.6457473887474766E-3</v>
      </c>
    </row>
    <row r="329" spans="1:39" x14ac:dyDescent="0.25">
      <c r="A329" s="215" t="str">
        <v>4144-MALqahtani</v>
      </c>
      <c r="B329" s="215" t="str">
        <v>RYDNAKHL</v>
      </c>
      <c r="C329" s="215" t="str">
        <v>Lina Al Ghathami</v>
      </c>
      <c r="D329" s="239">
        <v>0</v>
      </c>
      <c r="E329" s="239">
        <v>0</v>
      </c>
      <c r="F329" s="239">
        <v>3377.02</v>
      </c>
      <c r="G329" s="239">
        <v>3020.08</v>
      </c>
      <c r="H329" s="239">
        <v>0</v>
      </c>
      <c r="I329" s="257">
        <v>6397.1</v>
      </c>
      <c r="J329" s="240" t="str">
        <v/>
      </c>
      <c r="K329" s="240" t="str">
        <v/>
      </c>
      <c r="L329" s="240">
        <v>140.70916666666668</v>
      </c>
      <c r="M329" s="240">
        <v>188.755</v>
      </c>
      <c r="N329" s="240" t="str">
        <v/>
      </c>
      <c r="O329" s="258">
        <v>159.92750000000001</v>
      </c>
      <c r="P329" s="224">
        <v>0</v>
      </c>
      <c r="Q329" s="224">
        <v>0</v>
      </c>
      <c r="R329" s="224">
        <v>6.4734880891016602E-2</v>
      </c>
      <c r="S329" s="224">
        <v>6.4303456581199264E-2</v>
      </c>
      <c r="T329" s="224">
        <v>0</v>
      </c>
      <c r="U329" s="259">
        <v>3.0058938468524556E-2</v>
      </c>
      <c r="V329" s="239">
        <v>0</v>
      </c>
      <c r="W329" s="239">
        <v>0</v>
      </c>
      <c r="X329" s="239">
        <v>24</v>
      </c>
      <c r="Y329" s="239">
        <v>16</v>
      </c>
      <c r="Z329" s="239">
        <v>0</v>
      </c>
      <c r="AA329" s="257">
        <v>40</v>
      </c>
      <c r="AB329" s="224">
        <v>0</v>
      </c>
      <c r="AC329" s="224">
        <v>0</v>
      </c>
      <c r="AD329" s="224">
        <v>6.9767441860465115E-2</v>
      </c>
      <c r="AE329" s="224">
        <v>5.7553956834532377E-2</v>
      </c>
      <c r="AF329" s="224">
        <v>0</v>
      </c>
      <c r="AG329" s="259">
        <v>2.886002886002886E-2</v>
      </c>
      <c r="AH329" s="261">
        <v>0</v>
      </c>
      <c r="AI329" s="261">
        <v>0</v>
      </c>
      <c r="AJ329" s="261">
        <v>1.1141544032310477E-3</v>
      </c>
      <c r="AK329" s="261">
        <v>8.6016880812859521E-4</v>
      </c>
      <c r="AL329" s="261">
        <v>0</v>
      </c>
      <c r="AM329" s="262">
        <v>4.3886597033266039E-4</v>
      </c>
    </row>
    <row r="330" spans="1:39" x14ac:dyDescent="0.25">
      <c r="A330" s="215" t="str">
        <v>4510-KAlkhazem</v>
      </c>
      <c r="B330" s="215" t="str">
        <v>RYDVIEW</v>
      </c>
      <c r="C330" s="215" t="str">
        <v>Lina Al Ghathami</v>
      </c>
      <c r="D330" s="239">
        <v>11346.3</v>
      </c>
      <c r="E330" s="239">
        <v>29744.420000000002</v>
      </c>
      <c r="F330" s="239">
        <v>22068.350000000002</v>
      </c>
      <c r="G330" s="239">
        <v>4989.96</v>
      </c>
      <c r="H330" s="239">
        <v>5703.99</v>
      </c>
      <c r="I330" s="257">
        <v>73853.020000000019</v>
      </c>
      <c r="J330" s="240">
        <v>103.14818181818181</v>
      </c>
      <c r="K330" s="240">
        <v>140.96881516587678</v>
      </c>
      <c r="L330" s="240">
        <v>145.18651315789475</v>
      </c>
      <c r="M330" s="240">
        <v>138.61000000000001</v>
      </c>
      <c r="N330" s="240">
        <v>139.12170731707317</v>
      </c>
      <c r="O330" s="258">
        <v>134.2782181818182</v>
      </c>
      <c r="P330" s="224">
        <v>1</v>
      </c>
      <c r="Q330" s="224">
        <v>1</v>
      </c>
      <c r="R330" s="224">
        <v>1</v>
      </c>
      <c r="S330" s="224">
        <v>0.27040504182099473</v>
      </c>
      <c r="T330" s="224">
        <v>1</v>
      </c>
      <c r="U330" s="259">
        <v>0.8458062609092809</v>
      </c>
      <c r="V330" s="239">
        <v>110</v>
      </c>
      <c r="W330" s="239">
        <v>211</v>
      </c>
      <c r="X330" s="239">
        <v>152</v>
      </c>
      <c r="Y330" s="239">
        <v>36</v>
      </c>
      <c r="Z330" s="239">
        <v>41</v>
      </c>
      <c r="AA330" s="257">
        <v>550</v>
      </c>
      <c r="AB330" s="224">
        <v>1</v>
      </c>
      <c r="AC330" s="224">
        <v>1</v>
      </c>
      <c r="AD330" s="224">
        <v>1</v>
      </c>
      <c r="AE330" s="224">
        <v>0.27692307692307694</v>
      </c>
      <c r="AF330" s="224">
        <v>1</v>
      </c>
      <c r="AG330" s="259">
        <v>0.85403726708074534</v>
      </c>
      <c r="AH330" s="261">
        <v>5.721121339782597E-3</v>
      </c>
      <c r="AI330" s="261">
        <v>7.8206078576723501E-3</v>
      </c>
      <c r="AJ330" s="261">
        <v>7.0563112204633021E-3</v>
      </c>
      <c r="AK330" s="261">
        <v>1.9353798182893394E-3</v>
      </c>
      <c r="AL330" s="261">
        <v>8.5505735140771633E-3</v>
      </c>
      <c r="AM330" s="262">
        <v>6.0344070920740804E-3</v>
      </c>
    </row>
    <row r="331" spans="1:39" x14ac:dyDescent="0.25">
      <c r="A331" s="215" t="str">
        <v>6177-MAlharthy</v>
      </c>
      <c r="B331" s="215" t="str">
        <v>RYDVIEW</v>
      </c>
      <c r="C331" s="215" t="str">
        <v>Lina Al Ghathami</v>
      </c>
      <c r="D331" s="239">
        <v>0</v>
      </c>
      <c r="E331" s="239">
        <v>0</v>
      </c>
      <c r="F331" s="239">
        <v>0</v>
      </c>
      <c r="G331" s="239">
        <v>13463.69</v>
      </c>
      <c r="H331" s="239">
        <v>0</v>
      </c>
      <c r="I331" s="257">
        <v>13463.69</v>
      </c>
      <c r="J331" s="240" t="str">
        <v/>
      </c>
      <c r="K331" s="240" t="str">
        <v/>
      </c>
      <c r="L331" s="240" t="str">
        <v/>
      </c>
      <c r="M331" s="240">
        <v>143.23074468085107</v>
      </c>
      <c r="N331" s="240" t="str">
        <v/>
      </c>
      <c r="O331" s="258">
        <v>143.23074468085107</v>
      </c>
      <c r="P331" s="224">
        <v>0</v>
      </c>
      <c r="Q331" s="224">
        <v>0</v>
      </c>
      <c r="R331" s="224">
        <v>0</v>
      </c>
      <c r="S331" s="224">
        <v>0.72959495817900522</v>
      </c>
      <c r="T331" s="224">
        <v>0</v>
      </c>
      <c r="U331" s="259">
        <v>0.15419373909071929</v>
      </c>
      <c r="V331" s="239">
        <v>0</v>
      </c>
      <c r="W331" s="239">
        <v>0</v>
      </c>
      <c r="X331" s="239">
        <v>0</v>
      </c>
      <c r="Y331" s="239">
        <v>94</v>
      </c>
      <c r="Z331" s="239">
        <v>0</v>
      </c>
      <c r="AA331" s="257">
        <v>94</v>
      </c>
      <c r="AB331" s="224">
        <v>0</v>
      </c>
      <c r="AC331" s="224">
        <v>0</v>
      </c>
      <c r="AD331" s="224">
        <v>0</v>
      </c>
      <c r="AE331" s="224">
        <v>0.72307692307692306</v>
      </c>
      <c r="AF331" s="224">
        <v>0</v>
      </c>
      <c r="AG331" s="259">
        <v>0.14596273291925466</v>
      </c>
      <c r="AH331" s="261">
        <v>0</v>
      </c>
      <c r="AI331" s="261">
        <v>0</v>
      </c>
      <c r="AJ331" s="261">
        <v>0</v>
      </c>
      <c r="AK331" s="261">
        <v>5.0534917477554966E-3</v>
      </c>
      <c r="AL331" s="261">
        <v>0</v>
      </c>
      <c r="AM331" s="262">
        <v>1.0313350302817519E-3</v>
      </c>
    </row>
    <row r="332" spans="1:39" x14ac:dyDescent="0.25">
      <c r="A332" s="215" t="str">
        <v>5365-SAI-Sharari</v>
      </c>
      <c r="B332" s="215" t="str">
        <v>SMARTSH</v>
      </c>
      <c r="C332" s="215" t="str">
        <v>Lina Al Ghathami</v>
      </c>
      <c r="D332" s="239">
        <v>8829.2099999999991</v>
      </c>
      <c r="E332" s="239">
        <v>11535.170000000002</v>
      </c>
      <c r="F332" s="239">
        <v>5282.08</v>
      </c>
      <c r="G332" s="239">
        <v>7705.85</v>
      </c>
      <c r="H332" s="239">
        <v>210.98</v>
      </c>
      <c r="I332" s="257">
        <v>33563.29</v>
      </c>
      <c r="J332" s="240">
        <v>144.7411475409836</v>
      </c>
      <c r="K332" s="240">
        <v>160.21069444444447</v>
      </c>
      <c r="L332" s="240">
        <v>155.35529411764705</v>
      </c>
      <c r="M332" s="240">
        <v>183.47261904761905</v>
      </c>
      <c r="N332" s="240">
        <v>210.98</v>
      </c>
      <c r="O332" s="258">
        <v>159.82519047619047</v>
      </c>
      <c r="P332" s="224">
        <v>0.86968354673514436</v>
      </c>
      <c r="Q332" s="224">
        <v>0.85261286698400496</v>
      </c>
      <c r="R332" s="224">
        <v>0.39779970839508849</v>
      </c>
      <c r="S332" s="224">
        <v>0.82031146041914826</v>
      </c>
      <c r="T332" s="224">
        <v>0.10109199285101651</v>
      </c>
      <c r="U332" s="259">
        <v>0.69287705094521157</v>
      </c>
      <c r="V332" s="239">
        <v>61</v>
      </c>
      <c r="W332" s="239">
        <v>72</v>
      </c>
      <c r="X332" s="239">
        <v>34</v>
      </c>
      <c r="Y332" s="239">
        <v>42</v>
      </c>
      <c r="Z332" s="239">
        <v>1</v>
      </c>
      <c r="AA332" s="257">
        <v>210</v>
      </c>
      <c r="AB332" s="224">
        <v>0.87142857142857144</v>
      </c>
      <c r="AC332" s="224">
        <v>0.84705882352941175</v>
      </c>
      <c r="AD332" s="224">
        <v>0.38636363636363635</v>
      </c>
      <c r="AE332" s="224">
        <v>0.77777777777777779</v>
      </c>
      <c r="AF332" s="224">
        <v>7.6923076923076927E-2</v>
      </c>
      <c r="AG332" s="259">
        <v>0.67741935483870963</v>
      </c>
      <c r="AH332" s="261">
        <v>3.1726218338794404E-3</v>
      </c>
      <c r="AI332" s="261">
        <v>2.6686434395848777E-3</v>
      </c>
      <c r="AJ332" s="261">
        <v>1.5783854045773177E-3</v>
      </c>
      <c r="AK332" s="261">
        <v>2.2579431213375625E-3</v>
      </c>
      <c r="AL332" s="261">
        <v>2.0855057351407716E-4</v>
      </c>
      <c r="AM332" s="262">
        <v>2.304046344246467E-3</v>
      </c>
    </row>
    <row r="333" spans="1:39" x14ac:dyDescent="0.25">
      <c r="A333" s="215" t="str">
        <v>6287-AAlOtaibi</v>
      </c>
      <c r="B333" s="215" t="str">
        <v>SMARTSH</v>
      </c>
      <c r="C333" s="215" t="str">
        <v>Lina Al Ghathami</v>
      </c>
      <c r="D333" s="239">
        <v>1323</v>
      </c>
      <c r="E333" s="239">
        <v>1469.03</v>
      </c>
      <c r="F333" s="239">
        <v>7599.16</v>
      </c>
      <c r="G333" s="239">
        <v>860</v>
      </c>
      <c r="H333" s="239">
        <v>1392.01</v>
      </c>
      <c r="I333" s="257">
        <v>12643.199999999999</v>
      </c>
      <c r="J333" s="240">
        <v>147</v>
      </c>
      <c r="K333" s="240">
        <v>163.22555555555556</v>
      </c>
      <c r="L333" s="240">
        <v>143.38037735849056</v>
      </c>
      <c r="M333" s="240">
        <v>122.85714285714286</v>
      </c>
      <c r="N333" s="240">
        <v>154.66777777777779</v>
      </c>
      <c r="O333" s="258">
        <v>145.32413793103447</v>
      </c>
      <c r="P333" s="224">
        <v>0.13031645326485564</v>
      </c>
      <c r="Q333" s="224">
        <v>0.10858217780800045</v>
      </c>
      <c r="R333" s="224">
        <v>0.5723017508344479</v>
      </c>
      <c r="S333" s="224">
        <v>9.1549648119346669E-2</v>
      </c>
      <c r="T333" s="224">
        <v>0.66698770010685138</v>
      </c>
      <c r="U333" s="259">
        <v>0.26100489941571575</v>
      </c>
      <c r="V333" s="239">
        <v>9</v>
      </c>
      <c r="W333" s="239">
        <v>9</v>
      </c>
      <c r="X333" s="239">
        <v>53</v>
      </c>
      <c r="Y333" s="239">
        <v>7</v>
      </c>
      <c r="Z333" s="239">
        <v>9</v>
      </c>
      <c r="AA333" s="257">
        <v>87</v>
      </c>
      <c r="AB333" s="224">
        <v>0.12857142857142856</v>
      </c>
      <c r="AC333" s="224">
        <v>0.10588235294117647</v>
      </c>
      <c r="AD333" s="224">
        <v>0.60227272727272729</v>
      </c>
      <c r="AE333" s="224">
        <v>0.12962962962962962</v>
      </c>
      <c r="AF333" s="224">
        <v>0.69230769230769229</v>
      </c>
      <c r="AG333" s="259">
        <v>0.28064516129032258</v>
      </c>
      <c r="AH333" s="261">
        <v>4.6809174598221254E-4</v>
      </c>
      <c r="AI333" s="261">
        <v>3.3358042994810971E-4</v>
      </c>
      <c r="AJ333" s="261">
        <v>2.4604243071352306E-3</v>
      </c>
      <c r="AK333" s="261">
        <v>3.7632385355626042E-4</v>
      </c>
      <c r="AL333" s="261">
        <v>1.8769551616266945E-3</v>
      </c>
      <c r="AM333" s="262">
        <v>9.545334854735364E-4</v>
      </c>
    </row>
    <row r="334" spans="1:39" x14ac:dyDescent="0.25">
      <c r="A334" s="215" t="str">
        <v>4348-MSaqar</v>
      </c>
      <c r="B334" s="215" t="str">
        <v>SMARTSH</v>
      </c>
      <c r="C334" s="215" t="str">
        <v>Lina Al Ghathami</v>
      </c>
      <c r="D334" s="239">
        <v>0</v>
      </c>
      <c r="E334" s="239">
        <v>525</v>
      </c>
      <c r="F334" s="239">
        <v>397</v>
      </c>
      <c r="G334" s="239">
        <v>827.96</v>
      </c>
      <c r="H334" s="239">
        <v>484.02</v>
      </c>
      <c r="I334" s="257">
        <v>2233.98</v>
      </c>
      <c r="J334" s="240" t="str">
        <v/>
      </c>
      <c r="K334" s="240">
        <v>131.25</v>
      </c>
      <c r="L334" s="240">
        <v>397</v>
      </c>
      <c r="M334" s="240">
        <v>165.59200000000001</v>
      </c>
      <c r="N334" s="240">
        <v>161.34</v>
      </c>
      <c r="O334" s="258">
        <v>171.84461538461539</v>
      </c>
      <c r="P334" s="224">
        <v>0</v>
      </c>
      <c r="Q334" s="224">
        <v>3.8804955207994554E-2</v>
      </c>
      <c r="R334" s="224">
        <v>2.9898540770463555E-2</v>
      </c>
      <c r="S334" s="224">
        <v>8.8138891461504956E-2</v>
      </c>
      <c r="T334" s="224">
        <v>0.23192030704213201</v>
      </c>
      <c r="U334" s="259">
        <v>4.6118049639072449E-2</v>
      </c>
      <c r="V334" s="239">
        <v>0</v>
      </c>
      <c r="W334" s="239">
        <v>4</v>
      </c>
      <c r="X334" s="239">
        <v>1</v>
      </c>
      <c r="Y334" s="239">
        <v>5</v>
      </c>
      <c r="Z334" s="239">
        <v>3</v>
      </c>
      <c r="AA334" s="257">
        <v>13</v>
      </c>
      <c r="AB334" s="224">
        <v>0</v>
      </c>
      <c r="AC334" s="224">
        <v>4.7058823529411764E-2</v>
      </c>
      <c r="AD334" s="224">
        <v>1.1363636363636364E-2</v>
      </c>
      <c r="AE334" s="224">
        <v>9.2592592592592587E-2</v>
      </c>
      <c r="AF334" s="224">
        <v>0.23076923076923078</v>
      </c>
      <c r="AG334" s="259">
        <v>4.1935483870967745E-2</v>
      </c>
      <c r="AH334" s="261">
        <v>0</v>
      </c>
      <c r="AI334" s="261">
        <v>1.4825796886582654E-4</v>
      </c>
      <c r="AJ334" s="261">
        <v>4.6423100134626989E-5</v>
      </c>
      <c r="AK334" s="261">
        <v>2.6880275254018599E-4</v>
      </c>
      <c r="AL334" s="261">
        <v>6.2565172054223153E-4</v>
      </c>
      <c r="AM334" s="262">
        <v>1.4263144035811463E-4</v>
      </c>
    </row>
    <row r="335" spans="1:39" x14ac:dyDescent="0.25">
      <c r="A335" s="215" t="str">
        <v>5425-AAlsubhi</v>
      </c>
      <c r="B335" s="215" t="str">
        <v>ALSHAWGIYAH</v>
      </c>
      <c r="C335" s="215" t="str">
        <v>Maram Zamzami</v>
      </c>
      <c r="D335" s="239">
        <v>9580.14</v>
      </c>
      <c r="E335" s="239">
        <v>23545.360000000001</v>
      </c>
      <c r="F335" s="239">
        <v>15455.279999999999</v>
      </c>
      <c r="G335" s="239">
        <v>11777.13</v>
      </c>
      <c r="H335" s="239">
        <v>3462.04</v>
      </c>
      <c r="I335" s="257">
        <v>63819.95</v>
      </c>
      <c r="J335" s="240">
        <v>142.98716417910447</v>
      </c>
      <c r="K335" s="240">
        <v>148.0840251572327</v>
      </c>
      <c r="L335" s="240">
        <v>156.11393939393938</v>
      </c>
      <c r="M335" s="240">
        <v>184.01765624999999</v>
      </c>
      <c r="N335" s="240">
        <v>144.25166666666667</v>
      </c>
      <c r="O335" s="258">
        <v>154.52772397094429</v>
      </c>
      <c r="P335" s="224">
        <v>0.33108569291801465</v>
      </c>
      <c r="Q335" s="224">
        <v>0.39418414421243736</v>
      </c>
      <c r="R335" s="224">
        <v>0.30718971915954574</v>
      </c>
      <c r="S335" s="224">
        <v>0.295811613008233</v>
      </c>
      <c r="T335" s="224">
        <v>0.37634592117263771</v>
      </c>
      <c r="U335" s="259">
        <v>0.3394835654079274</v>
      </c>
      <c r="V335" s="239">
        <v>67</v>
      </c>
      <c r="W335" s="239">
        <v>159</v>
      </c>
      <c r="X335" s="239">
        <v>99</v>
      </c>
      <c r="Y335" s="239">
        <v>64</v>
      </c>
      <c r="Z335" s="239">
        <v>24</v>
      </c>
      <c r="AA335" s="257">
        <v>413</v>
      </c>
      <c r="AB335" s="224">
        <v>0.35078534031413611</v>
      </c>
      <c r="AC335" s="224">
        <v>0.41298701298701301</v>
      </c>
      <c r="AD335" s="224">
        <v>0.31132075471698112</v>
      </c>
      <c r="AE335" s="224">
        <v>0.2807017543859649</v>
      </c>
      <c r="AF335" s="224">
        <v>0.42105263157894735</v>
      </c>
      <c r="AG335" s="259">
        <v>0.35029686174724345</v>
      </c>
      <c r="AH335" s="261">
        <v>3.4846829978675822E-3</v>
      </c>
      <c r="AI335" s="261">
        <v>5.8932542624166046E-3</v>
      </c>
      <c r="AJ335" s="261">
        <v>4.5958869133280724E-3</v>
      </c>
      <c r="AK335" s="261">
        <v>3.4406752325143808E-3</v>
      </c>
      <c r="AL335" s="261">
        <v>5.0052137643378522E-3</v>
      </c>
      <c r="AM335" s="262">
        <v>4.5312911436847184E-3</v>
      </c>
    </row>
    <row r="336" spans="1:39" x14ac:dyDescent="0.25">
      <c r="A336" s="215" t="str">
        <v>3658-NSulimani</v>
      </c>
      <c r="B336" s="215" t="str">
        <v>ALSHAWGIYAH</v>
      </c>
      <c r="C336" s="215" t="str">
        <v>Maram Zamzami</v>
      </c>
      <c r="D336" s="239">
        <v>4763.09</v>
      </c>
      <c r="E336" s="239">
        <v>12895.22</v>
      </c>
      <c r="F336" s="239">
        <v>11783.28</v>
      </c>
      <c r="G336" s="239">
        <v>10776.91</v>
      </c>
      <c r="H336" s="239">
        <v>194</v>
      </c>
      <c r="I336" s="257">
        <v>40412.5</v>
      </c>
      <c r="J336" s="240">
        <v>136.08828571428572</v>
      </c>
      <c r="K336" s="240">
        <v>157.25878048780487</v>
      </c>
      <c r="L336" s="240">
        <v>151.06769230769231</v>
      </c>
      <c r="M336" s="240">
        <v>153.95585714285713</v>
      </c>
      <c r="N336" s="240">
        <v>97</v>
      </c>
      <c r="O336" s="258">
        <v>151.35767790262173</v>
      </c>
      <c r="P336" s="224">
        <v>0.16461042877044244</v>
      </c>
      <c r="Q336" s="224">
        <v>0.21588505166755173</v>
      </c>
      <c r="R336" s="224">
        <v>0.2342049108122462</v>
      </c>
      <c r="S336" s="224">
        <v>0.27068862535647958</v>
      </c>
      <c r="T336" s="224">
        <v>2.1089042503117154E-2</v>
      </c>
      <c r="U336" s="259">
        <v>0.21497007733550194</v>
      </c>
      <c r="V336" s="239">
        <v>35</v>
      </c>
      <c r="W336" s="239">
        <v>82</v>
      </c>
      <c r="X336" s="239">
        <v>78</v>
      </c>
      <c r="Y336" s="239">
        <v>70</v>
      </c>
      <c r="Z336" s="239">
        <v>2</v>
      </c>
      <c r="AA336" s="257">
        <v>267</v>
      </c>
      <c r="AB336" s="224">
        <v>0.18324607329842932</v>
      </c>
      <c r="AC336" s="224">
        <v>0.21298701298701297</v>
      </c>
      <c r="AD336" s="224">
        <v>0.24528301886792453</v>
      </c>
      <c r="AE336" s="224">
        <v>0.30701754385964913</v>
      </c>
      <c r="AF336" s="224">
        <v>3.5087719298245612E-2</v>
      </c>
      <c r="AG336" s="259">
        <v>0.22646310432569974</v>
      </c>
      <c r="AH336" s="261">
        <v>1.8203567899308265E-3</v>
      </c>
      <c r="AI336" s="261">
        <v>3.039288361749444E-3</v>
      </c>
      <c r="AJ336" s="261">
        <v>3.6210018105009051E-3</v>
      </c>
      <c r="AK336" s="261">
        <v>3.7632385355626042E-3</v>
      </c>
      <c r="AL336" s="261">
        <v>4.1710114702815432E-4</v>
      </c>
      <c r="AM336" s="262">
        <v>2.9294303519705081E-3</v>
      </c>
    </row>
    <row r="337" spans="1:39" x14ac:dyDescent="0.25">
      <c r="A337" s="215" t="str">
        <v>3620-RAlmawlid</v>
      </c>
      <c r="B337" s="215" t="str">
        <v>ALSHAWGIYAH</v>
      </c>
      <c r="C337" s="215" t="str">
        <v>Maram Zamzami</v>
      </c>
      <c r="D337" s="239">
        <v>5406.13</v>
      </c>
      <c r="E337" s="239">
        <v>9537.1</v>
      </c>
      <c r="F337" s="239">
        <v>7046.09</v>
      </c>
      <c r="G337" s="239">
        <v>5222.05</v>
      </c>
      <c r="H337" s="239">
        <v>3182.12</v>
      </c>
      <c r="I337" s="257">
        <v>30393.489999999998</v>
      </c>
      <c r="J337" s="240">
        <v>186.41827586206898</v>
      </c>
      <c r="K337" s="240">
        <v>158.95166666666668</v>
      </c>
      <c r="L337" s="240">
        <v>190.43486486486486</v>
      </c>
      <c r="M337" s="240">
        <v>193.40925925925927</v>
      </c>
      <c r="N337" s="240">
        <v>198.88249999999999</v>
      </c>
      <c r="O337" s="258">
        <v>179.84313609467455</v>
      </c>
      <c r="P337" s="224">
        <v>0.18683362634104164</v>
      </c>
      <c r="Q337" s="224">
        <v>0.15966515703172243</v>
      </c>
      <c r="R337" s="224">
        <v>0.14004834647271897</v>
      </c>
      <c r="S337" s="224">
        <v>0.13116464144572093</v>
      </c>
      <c r="T337" s="224">
        <v>0.34591682438154209</v>
      </c>
      <c r="U337" s="259">
        <v>0.16167499896803722</v>
      </c>
      <c r="V337" s="239">
        <v>29</v>
      </c>
      <c r="W337" s="239">
        <v>60</v>
      </c>
      <c r="X337" s="239">
        <v>37</v>
      </c>
      <c r="Y337" s="239">
        <v>27</v>
      </c>
      <c r="Z337" s="239">
        <v>16</v>
      </c>
      <c r="AA337" s="257">
        <v>169</v>
      </c>
      <c r="AB337" s="224">
        <v>0.15183246073298429</v>
      </c>
      <c r="AC337" s="224">
        <v>0.15584415584415584</v>
      </c>
      <c r="AD337" s="224">
        <v>0.11635220125786164</v>
      </c>
      <c r="AE337" s="224">
        <v>0.11842105263157894</v>
      </c>
      <c r="AF337" s="224">
        <v>0.2807017543859649</v>
      </c>
      <c r="AG337" s="259">
        <v>0.14334181509754029</v>
      </c>
      <c r="AH337" s="261">
        <v>1.5082956259426848E-3</v>
      </c>
      <c r="AI337" s="261">
        <v>2.223869532987398E-3</v>
      </c>
      <c r="AJ337" s="261">
        <v>1.7176547049811987E-3</v>
      </c>
      <c r="AK337" s="261">
        <v>1.4515348637170044E-3</v>
      </c>
      <c r="AL337" s="261">
        <v>3.3368091762252345E-3</v>
      </c>
      <c r="AM337" s="262">
        <v>1.8542087246554901E-3</v>
      </c>
    </row>
    <row r="338" spans="1:39" x14ac:dyDescent="0.25">
      <c r="A338" s="215" t="str">
        <v>3645-FAlZahrani</v>
      </c>
      <c r="B338" s="215" t="str">
        <v>ALSHAWGIYAH</v>
      </c>
      <c r="C338" s="215" t="str">
        <v>Maram Zamzami</v>
      </c>
      <c r="D338" s="239">
        <v>1459.02</v>
      </c>
      <c r="E338" s="239">
        <v>5646.0999999999995</v>
      </c>
      <c r="F338" s="239">
        <v>8741.07</v>
      </c>
      <c r="G338" s="239">
        <v>6200.77</v>
      </c>
      <c r="H338" s="239">
        <v>722.94</v>
      </c>
      <c r="I338" s="257">
        <v>22769.899999999998</v>
      </c>
      <c r="J338" s="240">
        <v>162.11333333333334</v>
      </c>
      <c r="K338" s="240">
        <v>176.44062499999998</v>
      </c>
      <c r="L338" s="240">
        <v>161.87166666666667</v>
      </c>
      <c r="M338" s="240">
        <v>182.37558823529412</v>
      </c>
      <c r="N338" s="240">
        <v>180.73500000000001</v>
      </c>
      <c r="O338" s="258">
        <v>171.20225563909773</v>
      </c>
      <c r="P338" s="224">
        <v>5.0423130317640633E-2</v>
      </c>
      <c r="Q338" s="224">
        <v>9.4524063197073321E-2</v>
      </c>
      <c r="R338" s="224">
        <v>0.17373783189006803</v>
      </c>
      <c r="S338" s="224">
        <v>0.15574760366855603</v>
      </c>
      <c r="T338" s="224">
        <v>7.8588208181461436E-2</v>
      </c>
      <c r="U338" s="259">
        <v>0.121122107365831</v>
      </c>
      <c r="V338" s="239">
        <v>9</v>
      </c>
      <c r="W338" s="239">
        <v>32</v>
      </c>
      <c r="X338" s="239">
        <v>54</v>
      </c>
      <c r="Y338" s="239">
        <v>34</v>
      </c>
      <c r="Z338" s="239">
        <v>4</v>
      </c>
      <c r="AA338" s="257">
        <v>133</v>
      </c>
      <c r="AB338" s="224">
        <v>4.712041884816754E-2</v>
      </c>
      <c r="AC338" s="224">
        <v>8.3116883116883117E-2</v>
      </c>
      <c r="AD338" s="224">
        <v>0.16981132075471697</v>
      </c>
      <c r="AE338" s="224">
        <v>0.14912280701754385</v>
      </c>
      <c r="AF338" s="224">
        <v>7.0175438596491224E-2</v>
      </c>
      <c r="AG338" s="259">
        <v>0.11280746395250212</v>
      </c>
      <c r="AH338" s="261">
        <v>4.6809174598221254E-4</v>
      </c>
      <c r="AI338" s="261">
        <v>1.1860637509266123E-3</v>
      </c>
      <c r="AJ338" s="261">
        <v>2.5068474072698576E-3</v>
      </c>
      <c r="AK338" s="261">
        <v>1.8278587172732648E-3</v>
      </c>
      <c r="AL338" s="261">
        <v>8.3420229405630863E-4</v>
      </c>
      <c r="AM338" s="262">
        <v>1.4592293513560959E-3</v>
      </c>
    </row>
    <row r="339" spans="1:39" x14ac:dyDescent="0.25">
      <c r="A339" s="215" t="str">
        <v>3689-HAlshmrani</v>
      </c>
      <c r="B339" s="215" t="str">
        <v>ALSHAWGIYAH</v>
      </c>
      <c r="C339" s="215" t="str">
        <v>Maram Zamzami</v>
      </c>
      <c r="D339" s="239">
        <v>3552.12</v>
      </c>
      <c r="E339" s="239">
        <v>3909.0299999999997</v>
      </c>
      <c r="F339" s="239">
        <v>6456.09</v>
      </c>
      <c r="G339" s="239">
        <v>5391.1</v>
      </c>
      <c r="H339" s="239">
        <v>0</v>
      </c>
      <c r="I339" s="257">
        <v>19308.34</v>
      </c>
      <c r="J339" s="240">
        <v>169.14857142857142</v>
      </c>
      <c r="K339" s="240">
        <v>150.34730769230768</v>
      </c>
      <c r="L339" s="240">
        <v>143.46866666666668</v>
      </c>
      <c r="M339" s="240">
        <v>185.9</v>
      </c>
      <c r="N339" s="240" t="str">
        <v/>
      </c>
      <c r="O339" s="258">
        <v>159.57305785123967</v>
      </c>
      <c r="P339" s="224">
        <v>0.12275980429596417</v>
      </c>
      <c r="Q339" s="224">
        <v>6.5442942696596854E-2</v>
      </c>
      <c r="R339" s="224">
        <v>0.12832148456506462</v>
      </c>
      <c r="S339" s="224">
        <v>0.13541074836472766</v>
      </c>
      <c r="T339" s="224">
        <v>0</v>
      </c>
      <c r="U339" s="259">
        <v>0.10270870010566448</v>
      </c>
      <c r="V339" s="239">
        <v>21</v>
      </c>
      <c r="W339" s="239">
        <v>26</v>
      </c>
      <c r="X339" s="239">
        <v>45</v>
      </c>
      <c r="Y339" s="239">
        <v>29</v>
      </c>
      <c r="Z339" s="239">
        <v>0</v>
      </c>
      <c r="AA339" s="257">
        <v>121</v>
      </c>
      <c r="AB339" s="224">
        <v>0.1099476439790576</v>
      </c>
      <c r="AC339" s="224">
        <v>6.7532467532467527E-2</v>
      </c>
      <c r="AD339" s="224">
        <v>0.14150943396226415</v>
      </c>
      <c r="AE339" s="224">
        <v>0.12719298245614036</v>
      </c>
      <c r="AF339" s="224">
        <v>0</v>
      </c>
      <c r="AG339" s="259">
        <v>0.10262934690415607</v>
      </c>
      <c r="AH339" s="261">
        <v>1.0922140739584958E-3</v>
      </c>
      <c r="AI339" s="261">
        <v>9.636767976278725E-4</v>
      </c>
      <c r="AJ339" s="261">
        <v>2.0890395060582144E-3</v>
      </c>
      <c r="AK339" s="261">
        <v>1.559055964733079E-3</v>
      </c>
      <c r="AL339" s="261">
        <v>0</v>
      </c>
      <c r="AM339" s="262">
        <v>1.3275695602562977E-3</v>
      </c>
    </row>
    <row r="340" spans="1:39" x14ac:dyDescent="0.25">
      <c r="A340" s="215" t="str">
        <v>3676-ATazi</v>
      </c>
      <c r="B340" s="215" t="str">
        <v>ALSHAWGIYAH</v>
      </c>
      <c r="C340" s="215" t="str">
        <v>Maram Zamzami</v>
      </c>
      <c r="D340" s="239">
        <v>0</v>
      </c>
      <c r="E340" s="239">
        <v>4199.07</v>
      </c>
      <c r="F340" s="239">
        <v>830.03</v>
      </c>
      <c r="G340" s="239">
        <v>444.98</v>
      </c>
      <c r="H340" s="239">
        <v>300.01</v>
      </c>
      <c r="I340" s="257">
        <v>5774.09</v>
      </c>
      <c r="J340" s="240" t="str">
        <v/>
      </c>
      <c r="K340" s="240">
        <v>161.50269230769229</v>
      </c>
      <c r="L340" s="240">
        <v>166.006</v>
      </c>
      <c r="M340" s="240">
        <v>111.245</v>
      </c>
      <c r="N340" s="240">
        <v>300.01</v>
      </c>
      <c r="O340" s="258">
        <v>160.39138888888888</v>
      </c>
      <c r="P340" s="224">
        <v>0</v>
      </c>
      <c r="Q340" s="224">
        <v>7.0298641194618344E-2</v>
      </c>
      <c r="R340" s="224">
        <v>1.6497707100356498E-2</v>
      </c>
      <c r="S340" s="224">
        <v>1.1176768156282858E-2</v>
      </c>
      <c r="T340" s="224">
        <v>3.2613008460619472E-2</v>
      </c>
      <c r="U340" s="259">
        <v>3.071466931870457E-2</v>
      </c>
      <c r="V340" s="239">
        <v>0</v>
      </c>
      <c r="W340" s="239">
        <v>26</v>
      </c>
      <c r="X340" s="239">
        <v>5</v>
      </c>
      <c r="Y340" s="239">
        <v>4</v>
      </c>
      <c r="Z340" s="239">
        <v>1</v>
      </c>
      <c r="AA340" s="257">
        <v>36</v>
      </c>
      <c r="AB340" s="224">
        <v>0</v>
      </c>
      <c r="AC340" s="224">
        <v>6.7532467532467527E-2</v>
      </c>
      <c r="AD340" s="224">
        <v>1.5723270440251572E-2</v>
      </c>
      <c r="AE340" s="224">
        <v>1.7543859649122806E-2</v>
      </c>
      <c r="AF340" s="224">
        <v>1.7543859649122806E-2</v>
      </c>
      <c r="AG340" s="259">
        <v>3.0534351145038167E-2</v>
      </c>
      <c r="AH340" s="261">
        <v>0</v>
      </c>
      <c r="AI340" s="261">
        <v>9.636767976278725E-4</v>
      </c>
      <c r="AJ340" s="261">
        <v>2.3211550067313495E-4</v>
      </c>
      <c r="AK340" s="261">
        <v>2.150422020321488E-4</v>
      </c>
      <c r="AL340" s="261">
        <v>2.0855057351407716E-4</v>
      </c>
      <c r="AM340" s="262">
        <v>3.9497937329939438E-4</v>
      </c>
    </row>
    <row r="341" spans="1:39" x14ac:dyDescent="0.25">
      <c r="A341" s="215" t="str">
        <v>4563-AAlsaadi</v>
      </c>
      <c r="B341" s="215" t="str">
        <v>ALSHAWGIYAH</v>
      </c>
      <c r="C341" s="215" t="str">
        <v>Maram Zamzami</v>
      </c>
      <c r="D341" s="239">
        <v>4175.03</v>
      </c>
      <c r="E341" s="239">
        <v>0</v>
      </c>
      <c r="F341" s="239">
        <v>0</v>
      </c>
      <c r="G341" s="239">
        <v>0</v>
      </c>
      <c r="H341" s="239">
        <v>0</v>
      </c>
      <c r="I341" s="257">
        <v>4175.03</v>
      </c>
      <c r="J341" s="240">
        <v>139.16766666666666</v>
      </c>
      <c r="K341" s="240" t="str">
        <v/>
      </c>
      <c r="L341" s="240" t="str">
        <v/>
      </c>
      <c r="M341" s="240" t="str">
        <v/>
      </c>
      <c r="N341" s="240" t="str">
        <v/>
      </c>
      <c r="O341" s="258">
        <v>139.16766666666666</v>
      </c>
      <c r="P341" s="224">
        <v>0.14428731735689651</v>
      </c>
      <c r="Q341" s="224">
        <v>0</v>
      </c>
      <c r="R341" s="224">
        <v>0</v>
      </c>
      <c r="S341" s="224">
        <v>0</v>
      </c>
      <c r="T341" s="224">
        <v>0</v>
      </c>
      <c r="U341" s="259">
        <v>2.2208636485692313E-2</v>
      </c>
      <c r="V341" s="239">
        <v>30</v>
      </c>
      <c r="W341" s="239">
        <v>0</v>
      </c>
      <c r="X341" s="239">
        <v>0</v>
      </c>
      <c r="Y341" s="239">
        <v>0</v>
      </c>
      <c r="Z341" s="239">
        <v>0</v>
      </c>
      <c r="AA341" s="257">
        <v>30</v>
      </c>
      <c r="AB341" s="224">
        <v>0.15706806282722513</v>
      </c>
      <c r="AC341" s="224">
        <v>0</v>
      </c>
      <c r="AD341" s="224">
        <v>0</v>
      </c>
      <c r="AE341" s="224">
        <v>0</v>
      </c>
      <c r="AF341" s="224">
        <v>0</v>
      </c>
      <c r="AG341" s="259">
        <v>2.5445292620865138E-2</v>
      </c>
      <c r="AH341" s="261">
        <v>1.5603058199407083E-3</v>
      </c>
      <c r="AI341" s="261">
        <v>0</v>
      </c>
      <c r="AJ341" s="261">
        <v>0</v>
      </c>
      <c r="AK341" s="261">
        <v>0</v>
      </c>
      <c r="AL341" s="261">
        <v>0</v>
      </c>
      <c r="AM341" s="262">
        <v>3.2914947774949528E-4</v>
      </c>
    </row>
    <row r="342" spans="1:39" x14ac:dyDescent="0.25">
      <c r="A342" s="215" t="str">
        <v>5357-NHilali</v>
      </c>
      <c r="B342" s="215" t="str">
        <v>ALSHAWGIYAH</v>
      </c>
      <c r="C342" s="215" t="str">
        <v>Maram Zamzami</v>
      </c>
      <c r="D342" s="239">
        <v>0</v>
      </c>
      <c r="E342" s="239">
        <v>0</v>
      </c>
      <c r="F342" s="239">
        <v>0</v>
      </c>
      <c r="G342" s="239">
        <v>0</v>
      </c>
      <c r="H342" s="239">
        <v>1337.98</v>
      </c>
      <c r="I342" s="257">
        <v>1337.98</v>
      </c>
      <c r="J342" s="240" t="str">
        <v/>
      </c>
      <c r="K342" s="240" t="str">
        <v/>
      </c>
      <c r="L342" s="240" t="str">
        <v/>
      </c>
      <c r="M342" s="240" t="str">
        <v/>
      </c>
      <c r="N342" s="240">
        <v>133.798</v>
      </c>
      <c r="O342" s="258">
        <v>133.798</v>
      </c>
      <c r="P342" s="224">
        <v>0</v>
      </c>
      <c r="Q342" s="224">
        <v>0</v>
      </c>
      <c r="R342" s="224">
        <v>0</v>
      </c>
      <c r="S342" s="224">
        <v>0</v>
      </c>
      <c r="T342" s="224">
        <v>0.14544699530062213</v>
      </c>
      <c r="U342" s="259">
        <v>7.1172450126410118E-3</v>
      </c>
      <c r="V342" s="239">
        <v>0</v>
      </c>
      <c r="W342" s="239">
        <v>0</v>
      </c>
      <c r="X342" s="239">
        <v>0</v>
      </c>
      <c r="Y342" s="239">
        <v>0</v>
      </c>
      <c r="Z342" s="239">
        <v>10</v>
      </c>
      <c r="AA342" s="257">
        <v>10</v>
      </c>
      <c r="AB342" s="224">
        <v>0</v>
      </c>
      <c r="AC342" s="224">
        <v>0</v>
      </c>
      <c r="AD342" s="224">
        <v>0</v>
      </c>
      <c r="AE342" s="224">
        <v>0</v>
      </c>
      <c r="AF342" s="224">
        <v>0.17543859649122806</v>
      </c>
      <c r="AG342" s="259">
        <v>8.4817642069550461E-3</v>
      </c>
      <c r="AH342" s="261">
        <v>0</v>
      </c>
      <c r="AI342" s="261">
        <v>0</v>
      </c>
      <c r="AJ342" s="261">
        <v>0</v>
      </c>
      <c r="AK342" s="261">
        <v>0</v>
      </c>
      <c r="AL342" s="261">
        <v>2.0855057351407717E-3</v>
      </c>
      <c r="AM342" s="262">
        <v>1.097164925831651E-4</v>
      </c>
    </row>
    <row r="343" spans="1:39" x14ac:dyDescent="0.25">
      <c r="A343" s="215" t="str">
        <v>6925-HSindi</v>
      </c>
      <c r="B343" s="215" t="str">
        <v>HAABRAJ1</v>
      </c>
      <c r="C343" s="215" t="str">
        <v>Maram Zamzami</v>
      </c>
      <c r="D343" s="239">
        <v>9722.16</v>
      </c>
      <c r="E343" s="239">
        <v>37885.760000000002</v>
      </c>
      <c r="F343" s="239">
        <v>28095.500000000004</v>
      </c>
      <c r="G343" s="239">
        <v>22204.18</v>
      </c>
      <c r="H343" s="239">
        <v>5926.82</v>
      </c>
      <c r="I343" s="257">
        <v>103834.42000000001</v>
      </c>
      <c r="J343" s="240">
        <v>173.60999999999999</v>
      </c>
      <c r="K343" s="240">
        <v>211.65229050279331</v>
      </c>
      <c r="L343" s="240">
        <v>188.56040268456377</v>
      </c>
      <c r="M343" s="240">
        <v>231.29354166666667</v>
      </c>
      <c r="N343" s="240">
        <v>185.21312499999999</v>
      </c>
      <c r="O343" s="258">
        <v>202.80160156250003</v>
      </c>
      <c r="P343" s="224">
        <v>0.11004804023875119</v>
      </c>
      <c r="Q343" s="224">
        <v>0.22759460605897133</v>
      </c>
      <c r="R343" s="224">
        <v>0.19931793969290618</v>
      </c>
      <c r="S343" s="224">
        <v>0.1680490386793469</v>
      </c>
      <c r="T343" s="224">
        <v>0.18581772943715613</v>
      </c>
      <c r="U343" s="259">
        <v>0.18548831762737122</v>
      </c>
      <c r="V343" s="239">
        <v>56</v>
      </c>
      <c r="W343" s="239">
        <v>179</v>
      </c>
      <c r="X343" s="239">
        <v>149</v>
      </c>
      <c r="Y343" s="239">
        <v>96</v>
      </c>
      <c r="Z343" s="239">
        <v>32</v>
      </c>
      <c r="AA343" s="257">
        <v>512</v>
      </c>
      <c r="AB343" s="224">
        <v>0.12253829321663019</v>
      </c>
      <c r="AC343" s="224">
        <v>0.20622119815668202</v>
      </c>
      <c r="AD343" s="224">
        <v>0.19250645994832041</v>
      </c>
      <c r="AE343" s="224">
        <v>0.15023474178403756</v>
      </c>
      <c r="AF343" s="224">
        <v>0.20253164556962025</v>
      </c>
      <c r="AG343" s="259">
        <v>0.17679558011049723</v>
      </c>
      <c r="AH343" s="261">
        <v>2.9125708638893222E-3</v>
      </c>
      <c r="AI343" s="261">
        <v>6.6345441067457373E-3</v>
      </c>
      <c r="AJ343" s="261">
        <v>6.9170419200594215E-3</v>
      </c>
      <c r="AK343" s="261">
        <v>5.1610128487715717E-3</v>
      </c>
      <c r="AL343" s="261">
        <v>6.6736183524504691E-3</v>
      </c>
      <c r="AM343" s="262">
        <v>5.617484420258053E-3</v>
      </c>
    </row>
    <row r="344" spans="1:39" x14ac:dyDescent="0.25">
      <c r="A344" s="215" t="str">
        <v>7176-AAljahdali</v>
      </c>
      <c r="B344" s="215" t="str">
        <v>HAABRAJ1</v>
      </c>
      <c r="C344" s="215" t="str">
        <v>Maram Zamzami</v>
      </c>
      <c r="D344" s="239">
        <v>10690.310000000001</v>
      </c>
      <c r="E344" s="239">
        <v>24589.159999999996</v>
      </c>
      <c r="F344" s="239">
        <v>25688.280000000002</v>
      </c>
      <c r="G344" s="239">
        <v>25285.53</v>
      </c>
      <c r="H344" s="239">
        <v>6782.04</v>
      </c>
      <c r="I344" s="257">
        <v>93035.319999999992</v>
      </c>
      <c r="J344" s="240">
        <v>190.89839285714288</v>
      </c>
      <c r="K344" s="240">
        <v>196.71327999999997</v>
      </c>
      <c r="L344" s="240">
        <v>208.84780487804881</v>
      </c>
      <c r="M344" s="240">
        <v>227.79756756756757</v>
      </c>
      <c r="N344" s="240">
        <v>211.93875</v>
      </c>
      <c r="O344" s="258">
        <v>208.13270693512303</v>
      </c>
      <c r="P344" s="224">
        <v>0.12100681999110531</v>
      </c>
      <c r="Q344" s="224">
        <v>0.14771671951469403</v>
      </c>
      <c r="R344" s="224">
        <v>0.18224039593011293</v>
      </c>
      <c r="S344" s="224">
        <v>0.19136977852808734</v>
      </c>
      <c r="T344" s="224">
        <v>0.21263059680435215</v>
      </c>
      <c r="U344" s="259">
        <v>0.16619696037907392</v>
      </c>
      <c r="V344" s="239">
        <v>56</v>
      </c>
      <c r="W344" s="239">
        <v>125</v>
      </c>
      <c r="X344" s="239">
        <v>123</v>
      </c>
      <c r="Y344" s="239">
        <v>111</v>
      </c>
      <c r="Z344" s="239">
        <v>32</v>
      </c>
      <c r="AA344" s="257">
        <v>447</v>
      </c>
      <c r="AB344" s="224">
        <v>0.12253829321663019</v>
      </c>
      <c r="AC344" s="224">
        <v>0.14400921658986174</v>
      </c>
      <c r="AD344" s="224">
        <v>0.15891472868217055</v>
      </c>
      <c r="AE344" s="224">
        <v>0.17370892018779344</v>
      </c>
      <c r="AF344" s="224">
        <v>0.20253164556962025</v>
      </c>
      <c r="AG344" s="259">
        <v>0.15435082872928177</v>
      </c>
      <c r="AH344" s="261">
        <v>2.9125708638893222E-3</v>
      </c>
      <c r="AI344" s="261">
        <v>4.6330615270570794E-3</v>
      </c>
      <c r="AJ344" s="261">
        <v>5.71004131655912E-3</v>
      </c>
      <c r="AK344" s="261">
        <v>5.9674211063921291E-3</v>
      </c>
      <c r="AL344" s="261">
        <v>6.6736183524504691E-3</v>
      </c>
      <c r="AM344" s="262">
        <v>4.9043272184674802E-3</v>
      </c>
    </row>
    <row r="345" spans="1:39" x14ac:dyDescent="0.25">
      <c r="A345" s="215" t="str">
        <v>6819-MAlmushuli</v>
      </c>
      <c r="B345" s="215" t="str">
        <v>HAABRAJ1</v>
      </c>
      <c r="C345" s="215" t="str">
        <v>Maram Zamzami</v>
      </c>
      <c r="D345" s="239">
        <v>13878.29</v>
      </c>
      <c r="E345" s="239">
        <v>21271.34</v>
      </c>
      <c r="F345" s="239">
        <v>23962.49</v>
      </c>
      <c r="G345" s="239">
        <v>24697.21</v>
      </c>
      <c r="H345" s="239">
        <v>898.95</v>
      </c>
      <c r="I345" s="257">
        <v>84708.280000000013</v>
      </c>
      <c r="J345" s="240">
        <v>169.24743902439025</v>
      </c>
      <c r="K345" s="240">
        <v>181.80632478632478</v>
      </c>
      <c r="L345" s="240">
        <v>191.69992000000002</v>
      </c>
      <c r="M345" s="240">
        <v>196.00960317460317</v>
      </c>
      <c r="N345" s="240">
        <v>149.82500000000002</v>
      </c>
      <c r="O345" s="258">
        <v>185.7637719298246</v>
      </c>
      <c r="P345" s="224">
        <v>0.15709252021824968</v>
      </c>
      <c r="Q345" s="224">
        <v>0.1277852746690693</v>
      </c>
      <c r="R345" s="224">
        <v>0.16999712184199844</v>
      </c>
      <c r="S345" s="224">
        <v>0.18691716598234895</v>
      </c>
      <c r="T345" s="224">
        <v>2.8183890834803743E-2</v>
      </c>
      <c r="U345" s="259">
        <v>0.15132165563508032</v>
      </c>
      <c r="V345" s="239">
        <v>82</v>
      </c>
      <c r="W345" s="239">
        <v>117</v>
      </c>
      <c r="X345" s="239">
        <v>125</v>
      </c>
      <c r="Y345" s="239">
        <v>126</v>
      </c>
      <c r="Z345" s="239">
        <v>6</v>
      </c>
      <c r="AA345" s="257">
        <v>456</v>
      </c>
      <c r="AB345" s="224">
        <v>0.17943107221006566</v>
      </c>
      <c r="AC345" s="224">
        <v>0.1347926267281106</v>
      </c>
      <c r="AD345" s="224">
        <v>0.16149870801033592</v>
      </c>
      <c r="AE345" s="224">
        <v>0.19718309859154928</v>
      </c>
      <c r="AF345" s="224">
        <v>3.7974683544303799E-2</v>
      </c>
      <c r="AG345" s="259">
        <v>0.15745856353591159</v>
      </c>
      <c r="AH345" s="261">
        <v>4.2648359078379366E-3</v>
      </c>
      <c r="AI345" s="261">
        <v>4.3365455893254259E-3</v>
      </c>
      <c r="AJ345" s="261">
        <v>5.802887516828374E-3</v>
      </c>
      <c r="AK345" s="261">
        <v>6.7738293640126875E-3</v>
      </c>
      <c r="AL345" s="261">
        <v>1.2513034410844631E-3</v>
      </c>
      <c r="AM345" s="262">
        <v>5.003072061792329E-3</v>
      </c>
    </row>
    <row r="346" spans="1:39" x14ac:dyDescent="0.25">
      <c r="A346" s="215" t="str">
        <v>4904-OAlzhrani</v>
      </c>
      <c r="B346" s="215" t="str">
        <v>HAABRAJ1</v>
      </c>
      <c r="C346" s="215" t="str">
        <v>Maram Zamzami</v>
      </c>
      <c r="D346" s="239">
        <v>18483.2</v>
      </c>
      <c r="E346" s="239">
        <v>30731.47</v>
      </c>
      <c r="F346" s="239">
        <v>6015.09</v>
      </c>
      <c r="G346" s="239">
        <v>10274.36</v>
      </c>
      <c r="H346" s="239">
        <v>9283.18</v>
      </c>
      <c r="I346" s="257">
        <v>74787.299999999988</v>
      </c>
      <c r="J346" s="240">
        <v>233.96455696202531</v>
      </c>
      <c r="K346" s="240">
        <v>195.74184713375797</v>
      </c>
      <c r="L346" s="240">
        <v>154.23307692307694</v>
      </c>
      <c r="M346" s="240">
        <v>214.04916666666668</v>
      </c>
      <c r="N346" s="240">
        <v>197.51446808510639</v>
      </c>
      <c r="O346" s="258">
        <v>202.1278378378378</v>
      </c>
      <c r="P346" s="224">
        <v>0.20921687540020797</v>
      </c>
      <c r="Q346" s="224">
        <v>0.18461598258192777</v>
      </c>
      <c r="R346" s="224">
        <v>4.2672860275396518E-2</v>
      </c>
      <c r="S346" s="224">
        <v>7.7759967764877369E-2</v>
      </c>
      <c r="T346" s="224">
        <v>0.29104636711700699</v>
      </c>
      <c r="U346" s="259">
        <v>0.13359895935175922</v>
      </c>
      <c r="V346" s="239">
        <v>79</v>
      </c>
      <c r="W346" s="239">
        <v>157</v>
      </c>
      <c r="X346" s="239">
        <v>39</v>
      </c>
      <c r="Y346" s="239">
        <v>48</v>
      </c>
      <c r="Z346" s="239">
        <v>47</v>
      </c>
      <c r="AA346" s="257">
        <v>370</v>
      </c>
      <c r="AB346" s="224">
        <v>0.17286652078774617</v>
      </c>
      <c r="AC346" s="224">
        <v>0.18087557603686635</v>
      </c>
      <c r="AD346" s="224">
        <v>5.0387596899224806E-2</v>
      </c>
      <c r="AE346" s="224">
        <v>7.5117370892018781E-2</v>
      </c>
      <c r="AF346" s="224">
        <v>0.29746835443037972</v>
      </c>
      <c r="AG346" s="259">
        <v>0.12776243093922651</v>
      </c>
      <c r="AH346" s="261">
        <v>4.108805325843865E-3</v>
      </c>
      <c r="AI346" s="261">
        <v>5.8191252779836913E-3</v>
      </c>
      <c r="AJ346" s="261">
        <v>1.8105009052504525E-3</v>
      </c>
      <c r="AK346" s="261">
        <v>2.5805064243857858E-3</v>
      </c>
      <c r="AL346" s="261">
        <v>9.8018769551616262E-3</v>
      </c>
      <c r="AM346" s="262">
        <v>4.0595102255771088E-3</v>
      </c>
    </row>
    <row r="347" spans="1:39" x14ac:dyDescent="0.25">
      <c r="A347" s="215" t="str">
        <v>4563-AAlsaadi</v>
      </c>
      <c r="B347" s="215" t="str">
        <v>HAABRAJ1</v>
      </c>
      <c r="C347" s="215" t="str">
        <v>Maram Zamzami</v>
      </c>
      <c r="D347" s="239">
        <v>0</v>
      </c>
      <c r="E347" s="239">
        <v>20663.449999999997</v>
      </c>
      <c r="F347" s="239">
        <v>18005.240000000002</v>
      </c>
      <c r="G347" s="239">
        <v>17051.47</v>
      </c>
      <c r="H347" s="239">
        <v>1393.08</v>
      </c>
      <c r="I347" s="257">
        <v>57113.240000000005</v>
      </c>
      <c r="J347" s="240" t="str">
        <v/>
      </c>
      <c r="K347" s="240">
        <v>215.2442708333333</v>
      </c>
      <c r="L347" s="240">
        <v>169.86075471698115</v>
      </c>
      <c r="M347" s="240">
        <v>218.60858974358976</v>
      </c>
      <c r="N347" s="240">
        <v>154.78666666666666</v>
      </c>
      <c r="O347" s="258">
        <v>197.62366782006922</v>
      </c>
      <c r="P347" s="224">
        <v>0</v>
      </c>
      <c r="Q347" s="224">
        <v>0.1241334412341009</v>
      </c>
      <c r="R347" s="224">
        <v>0.1277345959486858</v>
      </c>
      <c r="S347" s="224">
        <v>0.12905151829834399</v>
      </c>
      <c r="T347" s="224">
        <v>4.3675860330550528E-2</v>
      </c>
      <c r="U347" s="259">
        <v>0.10202627223081019</v>
      </c>
      <c r="V347" s="239">
        <v>0</v>
      </c>
      <c r="W347" s="239">
        <v>96</v>
      </c>
      <c r="X347" s="239">
        <v>106</v>
      </c>
      <c r="Y347" s="239">
        <v>78</v>
      </c>
      <c r="Z347" s="239">
        <v>9</v>
      </c>
      <c r="AA347" s="257">
        <v>289</v>
      </c>
      <c r="AB347" s="224">
        <v>0</v>
      </c>
      <c r="AC347" s="224">
        <v>0.11059907834101383</v>
      </c>
      <c r="AD347" s="224">
        <v>0.13695090439276486</v>
      </c>
      <c r="AE347" s="224">
        <v>0.12206572769953052</v>
      </c>
      <c r="AF347" s="224">
        <v>5.6962025316455694E-2</v>
      </c>
      <c r="AG347" s="259">
        <v>9.9792817679558013E-2</v>
      </c>
      <c r="AH347" s="261">
        <v>0</v>
      </c>
      <c r="AI347" s="261">
        <v>3.558191252779837E-3</v>
      </c>
      <c r="AJ347" s="261">
        <v>4.9208486142704611E-3</v>
      </c>
      <c r="AK347" s="261">
        <v>4.1933229396269017E-3</v>
      </c>
      <c r="AL347" s="261">
        <v>1.8769551616266945E-3</v>
      </c>
      <c r="AM347" s="262">
        <v>3.1708066356534712E-3</v>
      </c>
    </row>
    <row r="348" spans="1:39" x14ac:dyDescent="0.25">
      <c r="A348" s="215" t="str">
        <v>6907-KAlSharif</v>
      </c>
      <c r="B348" s="215" t="str">
        <v>HAABRAJ1</v>
      </c>
      <c r="C348" s="215" t="str">
        <v>Maram Zamzami</v>
      </c>
      <c r="D348" s="239">
        <v>8318.1899999999987</v>
      </c>
      <c r="E348" s="239">
        <v>15791.11</v>
      </c>
      <c r="F348" s="239">
        <v>12283.150000000001</v>
      </c>
      <c r="G348" s="239">
        <v>14030.650000000001</v>
      </c>
      <c r="H348" s="239">
        <v>2012.84</v>
      </c>
      <c r="I348" s="257">
        <v>52435.939999999995</v>
      </c>
      <c r="J348" s="240">
        <v>154.04055555555553</v>
      </c>
      <c r="K348" s="240">
        <v>142.26225225225227</v>
      </c>
      <c r="L348" s="240">
        <v>144.50764705882355</v>
      </c>
      <c r="M348" s="240">
        <v>177.60316455696204</v>
      </c>
      <c r="N348" s="240">
        <v>251.60499999999999</v>
      </c>
      <c r="O348" s="258">
        <v>155.59626112759642</v>
      </c>
      <c r="P348" s="224">
        <v>9.4156083404673199E-2</v>
      </c>
      <c r="Q348" s="224">
        <v>9.4863385601447164E-2</v>
      </c>
      <c r="R348" s="224">
        <v>8.714036592831309E-2</v>
      </c>
      <c r="S348" s="224">
        <v>0.10618889076499916</v>
      </c>
      <c r="T348" s="224">
        <v>6.3106583044581305E-2</v>
      </c>
      <c r="U348" s="259">
        <v>9.3670810640727589E-2</v>
      </c>
      <c r="V348" s="239">
        <v>54</v>
      </c>
      <c r="W348" s="239">
        <v>111</v>
      </c>
      <c r="X348" s="239">
        <v>85</v>
      </c>
      <c r="Y348" s="239">
        <v>79</v>
      </c>
      <c r="Z348" s="239">
        <v>8</v>
      </c>
      <c r="AA348" s="257">
        <v>337</v>
      </c>
      <c r="AB348" s="224">
        <v>0.11816192560175055</v>
      </c>
      <c r="AC348" s="224">
        <v>0.12788018433179724</v>
      </c>
      <c r="AD348" s="224">
        <v>0.10981912144702842</v>
      </c>
      <c r="AE348" s="224">
        <v>0.12363067292644757</v>
      </c>
      <c r="AF348" s="224">
        <v>5.0632911392405063E-2</v>
      </c>
      <c r="AG348" s="259">
        <v>0.11636740331491713</v>
      </c>
      <c r="AH348" s="261">
        <v>2.8085504758932752E-3</v>
      </c>
      <c r="AI348" s="261">
        <v>4.1141586360266868E-3</v>
      </c>
      <c r="AJ348" s="261">
        <v>3.9459635114432942E-3</v>
      </c>
      <c r="AK348" s="261">
        <v>4.2470834901349392E-3</v>
      </c>
      <c r="AL348" s="261">
        <v>1.6684045881126173E-3</v>
      </c>
      <c r="AM348" s="262">
        <v>3.697445800052664E-3</v>
      </c>
    </row>
    <row r="349" spans="1:39" x14ac:dyDescent="0.25">
      <c r="A349" s="215" t="str">
        <v>3659-AGharib</v>
      </c>
      <c r="B349" s="215" t="str">
        <v>HAABRAJ1</v>
      </c>
      <c r="C349" s="215" t="str">
        <v>Maram Zamzami</v>
      </c>
      <c r="D349" s="239">
        <v>8938.09</v>
      </c>
      <c r="E349" s="239">
        <v>1580.03</v>
      </c>
      <c r="F349" s="239">
        <v>14964.380000000001</v>
      </c>
      <c r="G349" s="239">
        <v>3232.03</v>
      </c>
      <c r="H349" s="239">
        <v>0</v>
      </c>
      <c r="I349" s="257">
        <v>28714.53</v>
      </c>
      <c r="J349" s="240">
        <v>223.45224999999999</v>
      </c>
      <c r="K349" s="240">
        <v>316.00599999999997</v>
      </c>
      <c r="L349" s="240">
        <v>237.52984126984128</v>
      </c>
      <c r="M349" s="240">
        <v>134.66791666666668</v>
      </c>
      <c r="N349" s="240" t="str">
        <v/>
      </c>
      <c r="O349" s="258">
        <v>217.53431818181818</v>
      </c>
      <c r="P349" s="224">
        <v>0.10117291712722067</v>
      </c>
      <c r="Q349" s="224">
        <v>9.4918593532598121E-3</v>
      </c>
      <c r="R349" s="224">
        <v>0.10616181916612025</v>
      </c>
      <c r="S349" s="224">
        <v>2.4461139050521552E-2</v>
      </c>
      <c r="T349" s="224">
        <v>0</v>
      </c>
      <c r="U349" s="259">
        <v>5.1295224273036621E-2</v>
      </c>
      <c r="V349" s="239">
        <v>40</v>
      </c>
      <c r="W349" s="239">
        <v>5</v>
      </c>
      <c r="X349" s="239">
        <v>63</v>
      </c>
      <c r="Y349" s="239">
        <v>24</v>
      </c>
      <c r="Z349" s="239">
        <v>0</v>
      </c>
      <c r="AA349" s="257">
        <v>132</v>
      </c>
      <c r="AB349" s="224">
        <v>8.7527352297592995E-2</v>
      </c>
      <c r="AC349" s="224">
        <v>5.7603686635944703E-3</v>
      </c>
      <c r="AD349" s="224">
        <v>8.1395348837209308E-2</v>
      </c>
      <c r="AE349" s="224">
        <v>3.7558685446009391E-2</v>
      </c>
      <c r="AF349" s="224">
        <v>0</v>
      </c>
      <c r="AG349" s="259">
        <v>4.5580110497237571E-2</v>
      </c>
      <c r="AH349" s="261">
        <v>2.0804077599209446E-3</v>
      </c>
      <c r="AI349" s="261">
        <v>1.8532246108228317E-4</v>
      </c>
      <c r="AJ349" s="261">
        <v>2.9246553084815003E-3</v>
      </c>
      <c r="AK349" s="261">
        <v>1.2902532121928929E-3</v>
      </c>
      <c r="AL349" s="261">
        <v>0</v>
      </c>
      <c r="AM349" s="262">
        <v>1.4482577020977793E-3</v>
      </c>
    </row>
    <row r="350" spans="1:39" x14ac:dyDescent="0.25">
      <c r="A350" s="215" t="str">
        <v>3643-KJali</v>
      </c>
      <c r="B350" s="215" t="str">
        <v>HAABRAJ1</v>
      </c>
      <c r="C350" s="215" t="str">
        <v>Maram Zamzami</v>
      </c>
      <c r="D350" s="239">
        <v>1080.01</v>
      </c>
      <c r="E350" s="239">
        <v>3578.07</v>
      </c>
      <c r="F350" s="239">
        <v>2776.0600000000004</v>
      </c>
      <c r="G350" s="239">
        <v>9964.86</v>
      </c>
      <c r="H350" s="239">
        <v>597.04</v>
      </c>
      <c r="I350" s="257">
        <v>17996.04</v>
      </c>
      <c r="J350" s="240">
        <v>180.00166666666667</v>
      </c>
      <c r="K350" s="240">
        <v>162.63954545454547</v>
      </c>
      <c r="L350" s="240">
        <v>138.80300000000003</v>
      </c>
      <c r="M350" s="240">
        <v>207.60125000000002</v>
      </c>
      <c r="N350" s="240">
        <v>298.52</v>
      </c>
      <c r="O350" s="258">
        <v>183.63306122448981</v>
      </c>
      <c r="P350" s="224">
        <v>1.2224956587656825E-2</v>
      </c>
      <c r="Q350" s="224">
        <v>2.1494868575988011E-2</v>
      </c>
      <c r="R350" s="224">
        <v>1.9694205821711275E-2</v>
      </c>
      <c r="S350" s="224">
        <v>7.5417562980226102E-2</v>
      </c>
      <c r="T350" s="224">
        <v>1.871840501030227E-2</v>
      </c>
      <c r="U350" s="259">
        <v>3.2147867571802081E-2</v>
      </c>
      <c r="V350" s="239">
        <v>6</v>
      </c>
      <c r="W350" s="239">
        <v>22</v>
      </c>
      <c r="X350" s="239">
        <v>20</v>
      </c>
      <c r="Y350" s="239">
        <v>48</v>
      </c>
      <c r="Z350" s="239">
        <v>2</v>
      </c>
      <c r="AA350" s="257">
        <v>98</v>
      </c>
      <c r="AB350" s="224">
        <v>1.3129102844638949E-2</v>
      </c>
      <c r="AC350" s="224">
        <v>2.5345622119815669E-2</v>
      </c>
      <c r="AD350" s="224">
        <v>2.5839793281653745E-2</v>
      </c>
      <c r="AE350" s="224">
        <v>7.5117370892018781E-2</v>
      </c>
      <c r="AF350" s="224">
        <v>1.2658227848101266E-2</v>
      </c>
      <c r="AG350" s="259">
        <v>3.3839779005524859E-2</v>
      </c>
      <c r="AH350" s="261">
        <v>3.1206116398814168E-4</v>
      </c>
      <c r="AI350" s="261">
        <v>8.1541882876204591E-4</v>
      </c>
      <c r="AJ350" s="261">
        <v>9.2846200269253978E-4</v>
      </c>
      <c r="AK350" s="261">
        <v>2.5805064243857858E-3</v>
      </c>
      <c r="AL350" s="261">
        <v>4.1710114702815432E-4</v>
      </c>
      <c r="AM350" s="262">
        <v>1.075221627315018E-3</v>
      </c>
    </row>
    <row r="351" spans="1:39" x14ac:dyDescent="0.25">
      <c r="A351" s="215" t="str">
        <v>4562-AAladdasi</v>
      </c>
      <c r="B351" s="215" t="str">
        <v>HAABRAJ1</v>
      </c>
      <c r="C351" s="215" t="str">
        <v>Maram Zamzami</v>
      </c>
      <c r="D351" s="239">
        <v>0</v>
      </c>
      <c r="E351" s="239">
        <v>4823.05</v>
      </c>
      <c r="F351" s="239">
        <v>7168</v>
      </c>
      <c r="G351" s="239">
        <v>2342.0299999999997</v>
      </c>
      <c r="H351" s="239">
        <v>1130.0999999999999</v>
      </c>
      <c r="I351" s="257">
        <v>15463.179999999998</v>
      </c>
      <c r="J351" s="240" t="str">
        <v/>
      </c>
      <c r="K351" s="240">
        <v>160.76833333333335</v>
      </c>
      <c r="L351" s="240">
        <v>146.28571428571428</v>
      </c>
      <c r="M351" s="240">
        <v>195.16916666666665</v>
      </c>
      <c r="N351" s="240">
        <v>188.35</v>
      </c>
      <c r="O351" s="258">
        <v>159.4142268041237</v>
      </c>
      <c r="P351" s="224">
        <v>0</v>
      </c>
      <c r="Q351" s="224">
        <v>2.897395128810196E-2</v>
      </c>
      <c r="R351" s="224">
        <v>5.085195108536069E-2</v>
      </c>
      <c r="S351" s="224">
        <v>1.7725306228745703E-2</v>
      </c>
      <c r="T351" s="224">
        <v>3.5430908317939491E-2</v>
      </c>
      <c r="U351" s="259">
        <v>2.7623202820117005E-2</v>
      </c>
      <c r="V351" s="239">
        <v>0</v>
      </c>
      <c r="W351" s="239">
        <v>30</v>
      </c>
      <c r="X351" s="239">
        <v>49</v>
      </c>
      <c r="Y351" s="239">
        <v>12</v>
      </c>
      <c r="Z351" s="239">
        <v>6</v>
      </c>
      <c r="AA351" s="257">
        <v>97</v>
      </c>
      <c r="AB351" s="224">
        <v>0</v>
      </c>
      <c r="AC351" s="224">
        <v>3.4562211981566823E-2</v>
      </c>
      <c r="AD351" s="224">
        <v>6.3307493540051676E-2</v>
      </c>
      <c r="AE351" s="224">
        <v>1.8779342723004695E-2</v>
      </c>
      <c r="AF351" s="224">
        <v>3.7974683544303799E-2</v>
      </c>
      <c r="AG351" s="259">
        <v>3.3494475138121545E-2</v>
      </c>
      <c r="AH351" s="261">
        <v>0</v>
      </c>
      <c r="AI351" s="261">
        <v>1.111934766493699E-3</v>
      </c>
      <c r="AJ351" s="261">
        <v>2.2747319065967225E-3</v>
      </c>
      <c r="AK351" s="261">
        <v>6.4512660609644646E-4</v>
      </c>
      <c r="AL351" s="261">
        <v>1.2513034410844631E-3</v>
      </c>
      <c r="AM351" s="262">
        <v>1.0642499780567016E-3</v>
      </c>
    </row>
    <row r="352" spans="1:39" x14ac:dyDescent="0.25">
      <c r="A352" s="215" t="str">
        <v>7177-MIbrahim</v>
      </c>
      <c r="B352" s="215" t="str">
        <v>HAABRAJ1</v>
      </c>
      <c r="C352" s="215" t="str">
        <v>Maram Zamzami</v>
      </c>
      <c r="D352" s="239">
        <v>11451.220000000001</v>
      </c>
      <c r="E352" s="239">
        <v>0</v>
      </c>
      <c r="F352" s="239">
        <v>0</v>
      </c>
      <c r="G352" s="239">
        <v>0</v>
      </c>
      <c r="H352" s="239">
        <v>0</v>
      </c>
      <c r="I352" s="257">
        <v>11451.220000000001</v>
      </c>
      <c r="J352" s="240">
        <v>204.48607142857145</v>
      </c>
      <c r="K352" s="240" t="str">
        <v/>
      </c>
      <c r="L352" s="240" t="str">
        <v/>
      </c>
      <c r="M352" s="240" t="str">
        <v/>
      </c>
      <c r="N352" s="240" t="str">
        <v/>
      </c>
      <c r="O352" s="258">
        <v>204.48607142857145</v>
      </c>
      <c r="P352" s="224">
        <v>0.12961978812761696</v>
      </c>
      <c r="Q352" s="224">
        <v>0</v>
      </c>
      <c r="R352" s="224">
        <v>0</v>
      </c>
      <c r="S352" s="224">
        <v>0</v>
      </c>
      <c r="T352" s="224">
        <v>0</v>
      </c>
      <c r="U352" s="259">
        <v>2.0456295056888705E-2</v>
      </c>
      <c r="V352" s="239">
        <v>56</v>
      </c>
      <c r="W352" s="239">
        <v>0</v>
      </c>
      <c r="X352" s="239">
        <v>0</v>
      </c>
      <c r="Y352" s="239">
        <v>0</v>
      </c>
      <c r="Z352" s="239">
        <v>0</v>
      </c>
      <c r="AA352" s="257">
        <v>56</v>
      </c>
      <c r="AB352" s="224">
        <v>0.12253829321663019</v>
      </c>
      <c r="AC352" s="224">
        <v>0</v>
      </c>
      <c r="AD352" s="224">
        <v>0</v>
      </c>
      <c r="AE352" s="224">
        <v>0</v>
      </c>
      <c r="AF352" s="224">
        <v>0</v>
      </c>
      <c r="AG352" s="259">
        <v>1.9337016574585635E-2</v>
      </c>
      <c r="AH352" s="261">
        <v>2.9125708638893222E-3</v>
      </c>
      <c r="AI352" s="261">
        <v>0</v>
      </c>
      <c r="AJ352" s="261">
        <v>0</v>
      </c>
      <c r="AK352" s="261">
        <v>0</v>
      </c>
      <c r="AL352" s="261">
        <v>0</v>
      </c>
      <c r="AM352" s="262">
        <v>6.144123584657246E-4</v>
      </c>
    </row>
    <row r="353" spans="1:39" x14ac:dyDescent="0.25">
      <c r="A353" s="215" t="str">
        <v>6629-FTazi</v>
      </c>
      <c r="B353" s="215" t="str">
        <v>HAABRAJ1</v>
      </c>
      <c r="C353" s="215" t="str">
        <v>Maram Zamzami</v>
      </c>
      <c r="D353" s="239">
        <v>5783.2199999999993</v>
      </c>
      <c r="E353" s="239">
        <v>2622.05</v>
      </c>
      <c r="F353" s="239">
        <v>982.02</v>
      </c>
      <c r="G353" s="239">
        <v>0</v>
      </c>
      <c r="H353" s="239">
        <v>703.06</v>
      </c>
      <c r="I353" s="257">
        <v>10090.35</v>
      </c>
      <c r="J353" s="240">
        <v>206.5435714285714</v>
      </c>
      <c r="K353" s="240">
        <v>238.36818181818182</v>
      </c>
      <c r="L353" s="240">
        <v>122.7525</v>
      </c>
      <c r="M353" s="240" t="str">
        <v/>
      </c>
      <c r="N353" s="240">
        <v>351.53</v>
      </c>
      <c r="O353" s="258">
        <v>205.92551020408163</v>
      </c>
      <c r="P353" s="224">
        <v>6.546199890451819E-2</v>
      </c>
      <c r="Q353" s="224">
        <v>1.5751681814405356E-2</v>
      </c>
      <c r="R353" s="224">
        <v>6.9667456758992618E-3</v>
      </c>
      <c r="S353" s="224">
        <v>0</v>
      </c>
      <c r="T353" s="224">
        <v>2.2042345280957915E-2</v>
      </c>
      <c r="U353" s="259">
        <v>1.8025256420475456E-2</v>
      </c>
      <c r="V353" s="239">
        <v>28</v>
      </c>
      <c r="W353" s="239">
        <v>11</v>
      </c>
      <c r="X353" s="239">
        <v>8</v>
      </c>
      <c r="Y353" s="239">
        <v>0</v>
      </c>
      <c r="Z353" s="239">
        <v>2</v>
      </c>
      <c r="AA353" s="257">
        <v>49</v>
      </c>
      <c r="AB353" s="224">
        <v>6.1269146608315096E-2</v>
      </c>
      <c r="AC353" s="224">
        <v>1.2672811059907835E-2</v>
      </c>
      <c r="AD353" s="224">
        <v>1.0335917312661499E-2</v>
      </c>
      <c r="AE353" s="224">
        <v>0</v>
      </c>
      <c r="AF353" s="224">
        <v>1.2658227848101266E-2</v>
      </c>
      <c r="AG353" s="259">
        <v>1.6919889502762429E-2</v>
      </c>
      <c r="AH353" s="261">
        <v>1.4562854319446611E-3</v>
      </c>
      <c r="AI353" s="261">
        <v>4.0770941438102295E-4</v>
      </c>
      <c r="AJ353" s="261">
        <v>3.7138480107701591E-4</v>
      </c>
      <c r="AK353" s="261">
        <v>0</v>
      </c>
      <c r="AL353" s="261">
        <v>4.1710114702815432E-4</v>
      </c>
      <c r="AM353" s="262">
        <v>5.3761081365750899E-4</v>
      </c>
    </row>
    <row r="354" spans="1:39" x14ac:dyDescent="0.25">
      <c r="A354" s="215" t="str">
        <v>5403-TAlhudhali</v>
      </c>
      <c r="B354" s="215" t="str">
        <v>HAABRAJ1</v>
      </c>
      <c r="C354" s="215" t="str">
        <v>Maram Zamzami</v>
      </c>
      <c r="D354" s="239">
        <v>0</v>
      </c>
      <c r="E354" s="239">
        <v>0</v>
      </c>
      <c r="F354" s="239">
        <v>0</v>
      </c>
      <c r="G354" s="239">
        <v>2971.85</v>
      </c>
      <c r="H354" s="239">
        <v>3168.77</v>
      </c>
      <c r="I354" s="257">
        <v>6140.62</v>
      </c>
      <c r="J354" s="240" t="str">
        <v/>
      </c>
      <c r="K354" s="240" t="str">
        <v/>
      </c>
      <c r="L354" s="240" t="str">
        <v/>
      </c>
      <c r="M354" s="240">
        <v>185.74062499999999</v>
      </c>
      <c r="N354" s="240">
        <v>226.34071428571428</v>
      </c>
      <c r="O354" s="258">
        <v>204.68733333333333</v>
      </c>
      <c r="P354" s="224">
        <v>0</v>
      </c>
      <c r="Q354" s="224">
        <v>0</v>
      </c>
      <c r="R354" s="224">
        <v>0</v>
      </c>
      <c r="S354" s="224">
        <v>2.2492005361117461E-2</v>
      </c>
      <c r="T354" s="224">
        <v>9.9347313822349459E-2</v>
      </c>
      <c r="U354" s="259">
        <v>1.0969515436104792E-2</v>
      </c>
      <c r="V354" s="239">
        <v>0</v>
      </c>
      <c r="W354" s="239">
        <v>0</v>
      </c>
      <c r="X354" s="239">
        <v>0</v>
      </c>
      <c r="Y354" s="239">
        <v>16</v>
      </c>
      <c r="Z354" s="239">
        <v>14</v>
      </c>
      <c r="AA354" s="257">
        <v>30</v>
      </c>
      <c r="AB354" s="224">
        <v>0</v>
      </c>
      <c r="AC354" s="224">
        <v>0</v>
      </c>
      <c r="AD354" s="224">
        <v>0</v>
      </c>
      <c r="AE354" s="224">
        <v>2.5039123630672927E-2</v>
      </c>
      <c r="AF354" s="224">
        <v>8.8607594936708861E-2</v>
      </c>
      <c r="AG354" s="259">
        <v>1.0359116022099447E-2</v>
      </c>
      <c r="AH354" s="261">
        <v>0</v>
      </c>
      <c r="AI354" s="261">
        <v>0</v>
      </c>
      <c r="AJ354" s="261">
        <v>0</v>
      </c>
      <c r="AK354" s="261">
        <v>8.6016880812859521E-4</v>
      </c>
      <c r="AL354" s="261">
        <v>2.9197080291970801E-3</v>
      </c>
      <c r="AM354" s="262">
        <v>3.2914947774949528E-4</v>
      </c>
    </row>
    <row r="355" spans="1:39" x14ac:dyDescent="0.25">
      <c r="A355" s="215" t="str">
        <v>6928-RKanjari</v>
      </c>
      <c r="B355" s="215" t="str">
        <v>HAABRAJ1</v>
      </c>
      <c r="C355" s="215" t="str">
        <v>Maram Zamzami</v>
      </c>
      <c r="D355" s="239">
        <v>0</v>
      </c>
      <c r="E355" s="239">
        <v>1926.06</v>
      </c>
      <c r="F355" s="239">
        <v>0</v>
      </c>
      <c r="G355" s="239">
        <v>0</v>
      </c>
      <c r="H355" s="239">
        <v>0</v>
      </c>
      <c r="I355" s="257">
        <v>1926.06</v>
      </c>
      <c r="J355" s="240" t="str">
        <v/>
      </c>
      <c r="K355" s="240">
        <v>240.75749999999999</v>
      </c>
      <c r="L355" s="240" t="str">
        <v/>
      </c>
      <c r="M355" s="240" t="str">
        <v/>
      </c>
      <c r="N355" s="240" t="str">
        <v/>
      </c>
      <c r="O355" s="258">
        <v>240.75749999999999</v>
      </c>
      <c r="P355" s="224">
        <v>0</v>
      </c>
      <c r="Q355" s="224">
        <v>1.1570597156977775E-2</v>
      </c>
      <c r="R355" s="224">
        <v>0</v>
      </c>
      <c r="S355" s="224">
        <v>0</v>
      </c>
      <c r="T355" s="224">
        <v>0</v>
      </c>
      <c r="U355" s="259">
        <v>3.4406859406483376E-3</v>
      </c>
      <c r="V355" s="239">
        <v>0</v>
      </c>
      <c r="W355" s="239">
        <v>8</v>
      </c>
      <c r="X355" s="239">
        <v>0</v>
      </c>
      <c r="Y355" s="239">
        <v>0</v>
      </c>
      <c r="Z355" s="239">
        <v>0</v>
      </c>
      <c r="AA355" s="257">
        <v>8</v>
      </c>
      <c r="AB355" s="224">
        <v>0</v>
      </c>
      <c r="AC355" s="224">
        <v>9.2165898617511521E-3</v>
      </c>
      <c r="AD355" s="224">
        <v>0</v>
      </c>
      <c r="AE355" s="224">
        <v>0</v>
      </c>
      <c r="AF355" s="224">
        <v>0</v>
      </c>
      <c r="AG355" s="259">
        <v>2.7624309392265192E-3</v>
      </c>
      <c r="AH355" s="261">
        <v>0</v>
      </c>
      <c r="AI355" s="261">
        <v>2.9651593773165309E-4</v>
      </c>
      <c r="AJ355" s="261">
        <v>0</v>
      </c>
      <c r="AK355" s="261">
        <v>0</v>
      </c>
      <c r="AL355" s="261">
        <v>0</v>
      </c>
      <c r="AM355" s="262">
        <v>8.7773194066532079E-5</v>
      </c>
    </row>
    <row r="356" spans="1:39" x14ac:dyDescent="0.25">
      <c r="A356" s="215" t="str">
        <v>3675-MNassef</v>
      </c>
      <c r="B356" s="215" t="str">
        <v>HAABRAJ1</v>
      </c>
      <c r="C356" s="215" t="str">
        <v>Maram Zamzami</v>
      </c>
      <c r="D356" s="239">
        <v>0</v>
      </c>
      <c r="E356" s="239">
        <v>0</v>
      </c>
      <c r="F356" s="239">
        <v>1018</v>
      </c>
      <c r="G356" s="239">
        <v>75</v>
      </c>
      <c r="H356" s="239">
        <v>0</v>
      </c>
      <c r="I356" s="257">
        <v>1093</v>
      </c>
      <c r="J356" s="240" t="str">
        <v/>
      </c>
      <c r="K356" s="240" t="str">
        <v/>
      </c>
      <c r="L356" s="240">
        <v>145.42857142857142</v>
      </c>
      <c r="M356" s="240">
        <v>75</v>
      </c>
      <c r="N356" s="240" t="str">
        <v/>
      </c>
      <c r="O356" s="258">
        <v>136.625</v>
      </c>
      <c r="P356" s="224">
        <v>0</v>
      </c>
      <c r="Q356" s="224">
        <v>0</v>
      </c>
      <c r="R356" s="224">
        <v>7.2219986334957006E-3</v>
      </c>
      <c r="S356" s="224">
        <v>5.6762636138560482E-4</v>
      </c>
      <c r="T356" s="224">
        <v>0</v>
      </c>
      <c r="U356" s="259">
        <v>1.9525195129583882E-3</v>
      </c>
      <c r="V356" s="239">
        <v>0</v>
      </c>
      <c r="W356" s="239">
        <v>0</v>
      </c>
      <c r="X356" s="239">
        <v>7</v>
      </c>
      <c r="Y356" s="239">
        <v>1</v>
      </c>
      <c r="Z356" s="239">
        <v>0</v>
      </c>
      <c r="AA356" s="257">
        <v>8</v>
      </c>
      <c r="AB356" s="224">
        <v>0</v>
      </c>
      <c r="AC356" s="224">
        <v>0</v>
      </c>
      <c r="AD356" s="224">
        <v>9.0439276485788107E-3</v>
      </c>
      <c r="AE356" s="224">
        <v>1.5649452269170579E-3</v>
      </c>
      <c r="AF356" s="224">
        <v>0</v>
      </c>
      <c r="AG356" s="259">
        <v>2.7624309392265192E-3</v>
      </c>
      <c r="AH356" s="261">
        <v>0</v>
      </c>
      <c r="AI356" s="261">
        <v>0</v>
      </c>
      <c r="AJ356" s="261">
        <v>3.2496170094238895E-4</v>
      </c>
      <c r="AK356" s="261">
        <v>5.37605505080372E-5</v>
      </c>
      <c r="AL356" s="261">
        <v>0</v>
      </c>
      <c r="AM356" s="262">
        <v>8.7773194066532079E-5</v>
      </c>
    </row>
    <row r="357" spans="1:39" x14ac:dyDescent="0.25">
      <c r="A357" s="215" t="str">
        <v>5426-FNajjar</v>
      </c>
      <c r="B357" s="215" t="str">
        <v>HAABRAJ1</v>
      </c>
      <c r="C357" s="215" t="str">
        <v>Maram Zamzami</v>
      </c>
      <c r="D357" s="239">
        <v>0</v>
      </c>
      <c r="E357" s="239">
        <v>775.03</v>
      </c>
      <c r="F357" s="239">
        <v>0</v>
      </c>
      <c r="G357" s="239">
        <v>0</v>
      </c>
      <c r="H357" s="239">
        <v>0</v>
      </c>
      <c r="I357" s="257">
        <v>775.03</v>
      </c>
      <c r="J357" s="240" t="str">
        <v/>
      </c>
      <c r="K357" s="240">
        <v>129.17166666666665</v>
      </c>
      <c r="L357" s="240" t="str">
        <v/>
      </c>
      <c r="M357" s="240" t="str">
        <v/>
      </c>
      <c r="N357" s="240" t="str">
        <v/>
      </c>
      <c r="O357" s="258">
        <v>129.17166666666665</v>
      </c>
      <c r="P357" s="224">
        <v>0</v>
      </c>
      <c r="Q357" s="224">
        <v>4.6559089096770015E-3</v>
      </c>
      <c r="R357" s="224">
        <v>0</v>
      </c>
      <c r="S357" s="224">
        <v>0</v>
      </c>
      <c r="T357" s="224">
        <v>0</v>
      </c>
      <c r="U357" s="259">
        <v>1.3845024685527352E-3</v>
      </c>
      <c r="V357" s="239">
        <v>0</v>
      </c>
      <c r="W357" s="239">
        <v>6</v>
      </c>
      <c r="X357" s="239">
        <v>0</v>
      </c>
      <c r="Y357" s="239">
        <v>0</v>
      </c>
      <c r="Z357" s="239">
        <v>0</v>
      </c>
      <c r="AA357" s="257">
        <v>6</v>
      </c>
      <c r="AB357" s="224">
        <v>0</v>
      </c>
      <c r="AC357" s="224">
        <v>6.9124423963133645E-3</v>
      </c>
      <c r="AD357" s="224">
        <v>0</v>
      </c>
      <c r="AE357" s="224">
        <v>0</v>
      </c>
      <c r="AF357" s="224">
        <v>0</v>
      </c>
      <c r="AG357" s="259">
        <v>2.0718232044198894E-3</v>
      </c>
      <c r="AH357" s="261">
        <v>0</v>
      </c>
      <c r="AI357" s="261">
        <v>2.2238695329873981E-4</v>
      </c>
      <c r="AJ357" s="261">
        <v>0</v>
      </c>
      <c r="AK357" s="261">
        <v>0</v>
      </c>
      <c r="AL357" s="261">
        <v>0</v>
      </c>
      <c r="AM357" s="262">
        <v>6.5829895549899059E-5</v>
      </c>
    </row>
    <row r="358" spans="1:39" x14ac:dyDescent="0.25">
      <c r="A358" s="215" t="str">
        <v>5355-FTazy</v>
      </c>
      <c r="B358" s="215" t="str">
        <v>HAABRAJ1</v>
      </c>
      <c r="C358" s="215" t="str">
        <v>Maram Zamzami</v>
      </c>
      <c r="D358" s="239">
        <v>0</v>
      </c>
      <c r="E358" s="239">
        <v>225.01</v>
      </c>
      <c r="F358" s="239">
        <v>0</v>
      </c>
      <c r="G358" s="239">
        <v>0</v>
      </c>
      <c r="H358" s="239">
        <v>0</v>
      </c>
      <c r="I358" s="257">
        <v>225.01</v>
      </c>
      <c r="J358" s="240" t="str">
        <v/>
      </c>
      <c r="K358" s="240">
        <v>225.01</v>
      </c>
      <c r="L358" s="240" t="str">
        <v/>
      </c>
      <c r="M358" s="240" t="str">
        <v/>
      </c>
      <c r="N358" s="240" t="str">
        <v/>
      </c>
      <c r="O358" s="258">
        <v>225.01</v>
      </c>
      <c r="P358" s="224">
        <v>0</v>
      </c>
      <c r="Q358" s="224">
        <v>1.351723241379588E-3</v>
      </c>
      <c r="R358" s="224">
        <v>0</v>
      </c>
      <c r="S358" s="224">
        <v>0</v>
      </c>
      <c r="T358" s="224">
        <v>0</v>
      </c>
      <c r="U358" s="259">
        <v>4.0195463459356535E-4</v>
      </c>
      <c r="V358" s="239">
        <v>0</v>
      </c>
      <c r="W358" s="239">
        <v>1</v>
      </c>
      <c r="X358" s="239">
        <v>0</v>
      </c>
      <c r="Y358" s="239">
        <v>0</v>
      </c>
      <c r="Z358" s="239">
        <v>0</v>
      </c>
      <c r="AA358" s="257">
        <v>1</v>
      </c>
      <c r="AB358" s="224">
        <v>0</v>
      </c>
      <c r="AC358" s="224">
        <v>1.152073732718894E-3</v>
      </c>
      <c r="AD358" s="224">
        <v>0</v>
      </c>
      <c r="AE358" s="224">
        <v>0</v>
      </c>
      <c r="AF358" s="224">
        <v>0</v>
      </c>
      <c r="AG358" s="259">
        <v>3.453038674033149E-4</v>
      </c>
      <c r="AH358" s="261">
        <v>0</v>
      </c>
      <c r="AI358" s="261">
        <v>3.7064492216456636E-5</v>
      </c>
      <c r="AJ358" s="261">
        <v>0</v>
      </c>
      <c r="AK358" s="261">
        <v>0</v>
      </c>
      <c r="AL358" s="261">
        <v>0</v>
      </c>
      <c r="AM358" s="262">
        <v>1.097164925831651E-5</v>
      </c>
    </row>
    <row r="359" spans="1:39" x14ac:dyDescent="0.25">
      <c r="A359" s="215" t="str">
        <v>6906-RNajae</v>
      </c>
      <c r="B359" s="215" t="str">
        <v>HAABRAJ2</v>
      </c>
      <c r="C359" s="215" t="str">
        <v>Maram Zamzami</v>
      </c>
      <c r="D359" s="239">
        <v>14762.43</v>
      </c>
      <c r="E359" s="239">
        <v>12991.160000000002</v>
      </c>
      <c r="F359" s="239">
        <v>12833.240000000002</v>
      </c>
      <c r="G359" s="239">
        <v>9527.77</v>
      </c>
      <c r="H359" s="239">
        <v>1507</v>
      </c>
      <c r="I359" s="257">
        <v>51621.600000000006</v>
      </c>
      <c r="J359" s="240">
        <v>289.45941176470586</v>
      </c>
      <c r="K359" s="240">
        <v>270.6491666666667</v>
      </c>
      <c r="L359" s="240">
        <v>229.16500000000002</v>
      </c>
      <c r="M359" s="240">
        <v>297.74281250000001</v>
      </c>
      <c r="N359" s="240">
        <v>301.39999999999998</v>
      </c>
      <c r="O359" s="258">
        <v>268.86250000000001</v>
      </c>
      <c r="P359" s="224">
        <v>0.50168287578731874</v>
      </c>
      <c r="Q359" s="224">
        <v>0.4066671174352271</v>
      </c>
      <c r="R359" s="224">
        <v>0.32458342786367494</v>
      </c>
      <c r="S359" s="224">
        <v>0.41986482740750564</v>
      </c>
      <c r="T359" s="224">
        <v>0.37082149140614423</v>
      </c>
      <c r="U359" s="259">
        <v>0.40435122321853439</v>
      </c>
      <c r="V359" s="239">
        <v>51</v>
      </c>
      <c r="W359" s="239">
        <v>48</v>
      </c>
      <c r="X359" s="239">
        <v>56</v>
      </c>
      <c r="Y359" s="239">
        <v>32</v>
      </c>
      <c r="Z359" s="239">
        <v>5</v>
      </c>
      <c r="AA359" s="257">
        <v>192</v>
      </c>
      <c r="AB359" s="224">
        <v>0.46363636363636362</v>
      </c>
      <c r="AC359" s="224">
        <v>0.375</v>
      </c>
      <c r="AD359" s="224">
        <v>0.34782608695652173</v>
      </c>
      <c r="AE359" s="224">
        <v>0.42666666666666669</v>
      </c>
      <c r="AF359" s="224">
        <v>0.41666666666666669</v>
      </c>
      <c r="AG359" s="259">
        <v>0.39506172839506171</v>
      </c>
      <c r="AH359" s="261">
        <v>2.6525198938992041E-3</v>
      </c>
      <c r="AI359" s="261">
        <v>1.7790956263899185E-3</v>
      </c>
      <c r="AJ359" s="261">
        <v>2.5996936075391116E-3</v>
      </c>
      <c r="AK359" s="261">
        <v>1.7203376162571904E-3</v>
      </c>
      <c r="AL359" s="261">
        <v>1.0427528675703858E-3</v>
      </c>
      <c r="AM359" s="262">
        <v>2.1065566575967699E-3</v>
      </c>
    </row>
    <row r="360" spans="1:39" x14ac:dyDescent="0.25">
      <c r="A360" s="215" t="str">
        <v>6928-RKanjari</v>
      </c>
      <c r="B360" s="215" t="str">
        <v>HAABRAJ2</v>
      </c>
      <c r="C360" s="215" t="str">
        <v>Maram Zamzami</v>
      </c>
      <c r="D360" s="239">
        <v>10414.280000000001</v>
      </c>
      <c r="E360" s="239">
        <v>11213.1</v>
      </c>
      <c r="F360" s="239">
        <v>8019.0400000000009</v>
      </c>
      <c r="G360" s="239">
        <v>5276.9000000000005</v>
      </c>
      <c r="H360" s="239">
        <v>1504.98</v>
      </c>
      <c r="I360" s="257">
        <v>36428.300000000003</v>
      </c>
      <c r="J360" s="240">
        <v>226.39739130434785</v>
      </c>
      <c r="K360" s="240">
        <v>254.84318181818182</v>
      </c>
      <c r="L360" s="240">
        <v>222.75111111111113</v>
      </c>
      <c r="M360" s="240">
        <v>277.73157894736846</v>
      </c>
      <c r="N360" s="240">
        <v>376.245</v>
      </c>
      <c r="O360" s="258">
        <v>244.48523489932887</v>
      </c>
      <c r="P360" s="224">
        <v>0.35391639043533879</v>
      </c>
      <c r="Q360" s="224">
        <v>0.35100784337295088</v>
      </c>
      <c r="R360" s="224">
        <v>0.20282076010235325</v>
      </c>
      <c r="S360" s="224">
        <v>0.23253969268219812</v>
      </c>
      <c r="T360" s="224">
        <v>0.37032443804672793</v>
      </c>
      <c r="U360" s="259">
        <v>0.28534233082220883</v>
      </c>
      <c r="V360" s="239">
        <v>46</v>
      </c>
      <c r="W360" s="239">
        <v>44</v>
      </c>
      <c r="X360" s="239">
        <v>36</v>
      </c>
      <c r="Y360" s="239">
        <v>19</v>
      </c>
      <c r="Z360" s="239">
        <v>4</v>
      </c>
      <c r="AA360" s="257">
        <v>149</v>
      </c>
      <c r="AB360" s="224">
        <v>0.41818181818181815</v>
      </c>
      <c r="AC360" s="224">
        <v>0.34375</v>
      </c>
      <c r="AD360" s="224">
        <v>0.2236024844720497</v>
      </c>
      <c r="AE360" s="224">
        <v>0.25333333333333335</v>
      </c>
      <c r="AF360" s="224">
        <v>0.33333333333333331</v>
      </c>
      <c r="AG360" s="259">
        <v>0.30658436213991769</v>
      </c>
      <c r="AH360" s="261">
        <v>2.392468923909086E-3</v>
      </c>
      <c r="AI360" s="261">
        <v>1.6308376575240918E-3</v>
      </c>
      <c r="AJ360" s="261">
        <v>1.6712316048465717E-3</v>
      </c>
      <c r="AK360" s="261">
        <v>1.0214504596527069E-3</v>
      </c>
      <c r="AL360" s="261">
        <v>8.3420229405630863E-4</v>
      </c>
      <c r="AM360" s="262">
        <v>1.63477573948916E-3</v>
      </c>
    </row>
    <row r="361" spans="1:39" x14ac:dyDescent="0.25">
      <c r="A361" s="215" t="str">
        <v>6629-FTazi</v>
      </c>
      <c r="B361" s="215" t="str">
        <v>HAABRAJ2</v>
      </c>
      <c r="C361" s="215" t="str">
        <v>Maram Zamzami</v>
      </c>
      <c r="D361" s="239">
        <v>2664.0699999999997</v>
      </c>
      <c r="E361" s="239">
        <v>7741.1800000000012</v>
      </c>
      <c r="F361" s="239">
        <v>9150.130000000001</v>
      </c>
      <c r="G361" s="239">
        <v>5028.9400000000005</v>
      </c>
      <c r="H361" s="239">
        <v>75</v>
      </c>
      <c r="I361" s="257">
        <v>24659.32</v>
      </c>
      <c r="J361" s="240">
        <v>266.40699999999998</v>
      </c>
      <c r="K361" s="240">
        <v>215.03277777777782</v>
      </c>
      <c r="L361" s="240">
        <v>240.79289473684213</v>
      </c>
      <c r="M361" s="240">
        <v>279.38555555555558</v>
      </c>
      <c r="N361" s="240">
        <v>75</v>
      </c>
      <c r="O361" s="258">
        <v>239.41087378640776</v>
      </c>
      <c r="P361" s="224">
        <v>9.0535115079205947E-2</v>
      </c>
      <c r="Q361" s="224">
        <v>0.24232503919182208</v>
      </c>
      <c r="R361" s="224">
        <v>0.23142873980368545</v>
      </c>
      <c r="S361" s="224">
        <v>0.22161271999037568</v>
      </c>
      <c r="T361" s="224">
        <v>1.8454951463477649E-2</v>
      </c>
      <c r="U361" s="259">
        <v>0.19315608593567943</v>
      </c>
      <c r="V361" s="239">
        <v>10</v>
      </c>
      <c r="W361" s="239">
        <v>36</v>
      </c>
      <c r="X361" s="239">
        <v>38</v>
      </c>
      <c r="Y361" s="239">
        <v>18</v>
      </c>
      <c r="Z361" s="239">
        <v>1</v>
      </c>
      <c r="AA361" s="257">
        <v>103</v>
      </c>
      <c r="AB361" s="224">
        <v>9.0909090909090912E-2</v>
      </c>
      <c r="AC361" s="224">
        <v>0.28125</v>
      </c>
      <c r="AD361" s="224">
        <v>0.2360248447204969</v>
      </c>
      <c r="AE361" s="224">
        <v>0.24</v>
      </c>
      <c r="AF361" s="224">
        <v>8.3333333333333329E-2</v>
      </c>
      <c r="AG361" s="259">
        <v>0.21193415637860083</v>
      </c>
      <c r="AH361" s="261">
        <v>5.2010193998023614E-4</v>
      </c>
      <c r="AI361" s="261">
        <v>1.3343217197924388E-3</v>
      </c>
      <c r="AJ361" s="261">
        <v>1.7640778051158255E-3</v>
      </c>
      <c r="AK361" s="261">
        <v>9.6768990914466969E-4</v>
      </c>
      <c r="AL361" s="261">
        <v>2.0855057351407716E-4</v>
      </c>
      <c r="AM361" s="262">
        <v>1.1300798736066005E-3</v>
      </c>
    </row>
    <row r="362" spans="1:39" x14ac:dyDescent="0.25">
      <c r="A362" s="215" t="str">
        <v>3675-MNassef</v>
      </c>
      <c r="B362" s="215" t="str">
        <v>HAABRAJ2</v>
      </c>
      <c r="C362" s="215" t="str">
        <v>Maram Zamzami</v>
      </c>
      <c r="D362" s="239">
        <v>1092.03</v>
      </c>
      <c r="E362" s="239">
        <v>0</v>
      </c>
      <c r="F362" s="239">
        <v>6432.0499999999993</v>
      </c>
      <c r="G362" s="239">
        <v>2858.86</v>
      </c>
      <c r="H362" s="239">
        <v>801.97</v>
      </c>
      <c r="I362" s="257">
        <v>11184.909999999998</v>
      </c>
      <c r="J362" s="240">
        <v>546.01499999999999</v>
      </c>
      <c r="K362" s="240" t="str">
        <v/>
      </c>
      <c r="L362" s="240">
        <v>268.0020833333333</v>
      </c>
      <c r="M362" s="240">
        <v>476.47666666666669</v>
      </c>
      <c r="N362" s="240">
        <v>801.97</v>
      </c>
      <c r="O362" s="258">
        <v>338.93666666666661</v>
      </c>
      <c r="P362" s="224">
        <v>3.7111285259000426E-2</v>
      </c>
      <c r="Q362" s="224">
        <v>0</v>
      </c>
      <c r="R362" s="224">
        <v>0.16268197564999565</v>
      </c>
      <c r="S362" s="224">
        <v>0.12598275991992058</v>
      </c>
      <c r="T362" s="224">
        <v>0.19733756566886895</v>
      </c>
      <c r="U362" s="259">
        <v>8.7611233283920231E-2</v>
      </c>
      <c r="V362" s="239">
        <v>2</v>
      </c>
      <c r="W362" s="239">
        <v>0</v>
      </c>
      <c r="X362" s="239">
        <v>24</v>
      </c>
      <c r="Y362" s="239">
        <v>6</v>
      </c>
      <c r="Z362" s="239">
        <v>1</v>
      </c>
      <c r="AA362" s="257">
        <v>33</v>
      </c>
      <c r="AB362" s="224">
        <v>1.8181818181818181E-2</v>
      </c>
      <c r="AC362" s="224">
        <v>0</v>
      </c>
      <c r="AD362" s="224">
        <v>0.14906832298136646</v>
      </c>
      <c r="AE362" s="224">
        <v>0.08</v>
      </c>
      <c r="AF362" s="224">
        <v>8.3333333333333329E-2</v>
      </c>
      <c r="AG362" s="259">
        <v>6.7901234567901231E-2</v>
      </c>
      <c r="AH362" s="261">
        <v>1.0402038799604722E-4</v>
      </c>
      <c r="AI362" s="261">
        <v>0</v>
      </c>
      <c r="AJ362" s="261">
        <v>1.1141544032310477E-3</v>
      </c>
      <c r="AK362" s="261">
        <v>3.2256330304822323E-4</v>
      </c>
      <c r="AL362" s="261">
        <v>2.0855057351407716E-4</v>
      </c>
      <c r="AM362" s="262">
        <v>3.6206442552444483E-4</v>
      </c>
    </row>
    <row r="363" spans="1:39" x14ac:dyDescent="0.25">
      <c r="A363" s="215" t="str">
        <v>6819-MAlmushuli</v>
      </c>
      <c r="B363" s="215" t="str">
        <v>HAABRAJ2</v>
      </c>
      <c r="C363" s="215" t="str">
        <v>Maram Zamzami</v>
      </c>
      <c r="D363" s="239">
        <v>493.01</v>
      </c>
      <c r="E363" s="239">
        <v>0</v>
      </c>
      <c r="F363" s="239">
        <v>2049.08</v>
      </c>
      <c r="G363" s="239">
        <v>0</v>
      </c>
      <c r="H363" s="239">
        <v>0</v>
      </c>
      <c r="I363" s="257">
        <v>2542.09</v>
      </c>
      <c r="J363" s="240">
        <v>493.01</v>
      </c>
      <c r="K363" s="240" t="str">
        <v/>
      </c>
      <c r="L363" s="240">
        <v>512.27</v>
      </c>
      <c r="M363" s="240" t="str">
        <v/>
      </c>
      <c r="N363" s="240" t="str">
        <v/>
      </c>
      <c r="O363" s="258">
        <v>508.41800000000001</v>
      </c>
      <c r="P363" s="224">
        <v>1.6754333439136106E-2</v>
      </c>
      <c r="Q363" s="224">
        <v>0</v>
      </c>
      <c r="R363" s="224">
        <v>5.1826149153830131E-2</v>
      </c>
      <c r="S363" s="224">
        <v>0</v>
      </c>
      <c r="T363" s="224">
        <v>0</v>
      </c>
      <c r="U363" s="259">
        <v>1.9912153072194665E-2</v>
      </c>
      <c r="V363" s="239">
        <v>1</v>
      </c>
      <c r="W363" s="239">
        <v>0</v>
      </c>
      <c r="X363" s="239">
        <v>4</v>
      </c>
      <c r="Y363" s="239">
        <v>0</v>
      </c>
      <c r="Z363" s="239">
        <v>0</v>
      </c>
      <c r="AA363" s="257">
        <v>5</v>
      </c>
      <c r="AB363" s="224">
        <v>9.0909090909090905E-3</v>
      </c>
      <c r="AC363" s="224">
        <v>0</v>
      </c>
      <c r="AD363" s="224">
        <v>2.4844720496894408E-2</v>
      </c>
      <c r="AE363" s="224">
        <v>0</v>
      </c>
      <c r="AF363" s="224">
        <v>0</v>
      </c>
      <c r="AG363" s="259">
        <v>1.0288065843621399E-2</v>
      </c>
      <c r="AH363" s="261">
        <v>5.201019399802361E-5</v>
      </c>
      <c r="AI363" s="261">
        <v>0</v>
      </c>
      <c r="AJ363" s="261">
        <v>1.8569240053850796E-4</v>
      </c>
      <c r="AK363" s="261">
        <v>0</v>
      </c>
      <c r="AL363" s="261">
        <v>0</v>
      </c>
      <c r="AM363" s="262">
        <v>5.4858246291582549E-5</v>
      </c>
    </row>
    <row r="364" spans="1:39" x14ac:dyDescent="0.25">
      <c r="A364" s="215" t="str">
        <v>4563-AAlsaadi</v>
      </c>
      <c r="B364" s="215" t="str">
        <v>HAABRAJ2</v>
      </c>
      <c r="C364" s="215" t="str">
        <v>Maram Zamzami</v>
      </c>
      <c r="D364" s="239">
        <v>0</v>
      </c>
      <c r="E364" s="239">
        <v>0</v>
      </c>
      <c r="F364" s="239">
        <v>1054.03</v>
      </c>
      <c r="G364" s="239">
        <v>0</v>
      </c>
      <c r="H364" s="239">
        <v>0</v>
      </c>
      <c r="I364" s="257">
        <v>1054.03</v>
      </c>
      <c r="J364" s="240" t="str">
        <v/>
      </c>
      <c r="K364" s="240" t="str">
        <v/>
      </c>
      <c r="L364" s="240">
        <v>351.34333333333331</v>
      </c>
      <c r="M364" s="240" t="str">
        <v/>
      </c>
      <c r="N364" s="240" t="str">
        <v/>
      </c>
      <c r="O364" s="258">
        <v>351.34333333333331</v>
      </c>
      <c r="P364" s="224">
        <v>0</v>
      </c>
      <c r="Q364" s="224">
        <v>0</v>
      </c>
      <c r="R364" s="224">
        <v>2.6658947426460446E-2</v>
      </c>
      <c r="S364" s="224">
        <v>0</v>
      </c>
      <c r="T364" s="224">
        <v>0</v>
      </c>
      <c r="U364" s="259">
        <v>8.2562012763849196E-3</v>
      </c>
      <c r="V364" s="239">
        <v>0</v>
      </c>
      <c r="W364" s="239">
        <v>0</v>
      </c>
      <c r="X364" s="239">
        <v>3</v>
      </c>
      <c r="Y364" s="239">
        <v>0</v>
      </c>
      <c r="Z364" s="239">
        <v>0</v>
      </c>
      <c r="AA364" s="257">
        <v>3</v>
      </c>
      <c r="AB364" s="224">
        <v>0</v>
      </c>
      <c r="AC364" s="224">
        <v>0</v>
      </c>
      <c r="AD364" s="224">
        <v>1.8633540372670808E-2</v>
      </c>
      <c r="AE364" s="224">
        <v>0</v>
      </c>
      <c r="AF364" s="224">
        <v>0</v>
      </c>
      <c r="AG364" s="259">
        <v>6.1728395061728392E-3</v>
      </c>
      <c r="AH364" s="261">
        <v>0</v>
      </c>
      <c r="AI364" s="261">
        <v>0</v>
      </c>
      <c r="AJ364" s="261">
        <v>1.3926930040388097E-4</v>
      </c>
      <c r="AK364" s="261">
        <v>0</v>
      </c>
      <c r="AL364" s="261">
        <v>0</v>
      </c>
      <c r="AM364" s="262">
        <v>3.2914947774949529E-5</v>
      </c>
    </row>
    <row r="365" spans="1:39" x14ac:dyDescent="0.25">
      <c r="A365" s="215" t="str">
        <v>5403-TAlhudhali</v>
      </c>
      <c r="B365" s="215" t="str">
        <v>HAABRAJ2</v>
      </c>
      <c r="C365" s="215" t="str">
        <v>Maram Zamzami</v>
      </c>
      <c r="D365" s="239">
        <v>0</v>
      </c>
      <c r="E365" s="239">
        <v>0</v>
      </c>
      <c r="F365" s="239">
        <v>0</v>
      </c>
      <c r="G365" s="239">
        <v>0</v>
      </c>
      <c r="H365" s="239">
        <v>175</v>
      </c>
      <c r="I365" s="257">
        <v>175</v>
      </c>
      <c r="J365" s="240" t="str">
        <v/>
      </c>
      <c r="K365" s="240" t="str">
        <v/>
      </c>
      <c r="L365" s="240" t="str">
        <v/>
      </c>
      <c r="M365" s="240" t="str">
        <v/>
      </c>
      <c r="N365" s="240">
        <v>175</v>
      </c>
      <c r="O365" s="258">
        <v>175</v>
      </c>
      <c r="P365" s="224">
        <v>0</v>
      </c>
      <c r="Q365" s="224">
        <v>0</v>
      </c>
      <c r="R365" s="224">
        <v>0</v>
      </c>
      <c r="S365" s="224">
        <v>0</v>
      </c>
      <c r="T365" s="224">
        <v>4.3061553414781184E-2</v>
      </c>
      <c r="U365" s="259">
        <v>1.3707723910774466E-3</v>
      </c>
      <c r="V365" s="239">
        <v>0</v>
      </c>
      <c r="W365" s="239">
        <v>0</v>
      </c>
      <c r="X365" s="239">
        <v>0</v>
      </c>
      <c r="Y365" s="239">
        <v>0</v>
      </c>
      <c r="Z365" s="239">
        <v>1</v>
      </c>
      <c r="AA365" s="257">
        <v>1</v>
      </c>
      <c r="AB365" s="224">
        <v>0</v>
      </c>
      <c r="AC365" s="224">
        <v>0</v>
      </c>
      <c r="AD365" s="224">
        <v>0</v>
      </c>
      <c r="AE365" s="224">
        <v>0</v>
      </c>
      <c r="AF365" s="224">
        <v>8.3333333333333329E-2</v>
      </c>
      <c r="AG365" s="259">
        <v>2.05761316872428E-3</v>
      </c>
      <c r="AH365" s="261">
        <v>0</v>
      </c>
      <c r="AI365" s="261">
        <v>0</v>
      </c>
      <c r="AJ365" s="261">
        <v>0</v>
      </c>
      <c r="AK365" s="261">
        <v>0</v>
      </c>
      <c r="AL365" s="261">
        <v>2.0855057351407716E-4</v>
      </c>
      <c r="AM365" s="262">
        <v>1.097164925831651E-5</v>
      </c>
    </row>
    <row r="366" spans="1:39" x14ac:dyDescent="0.25">
      <c r="A366" s="215" t="str">
        <v>3642-UAlGhamdi</v>
      </c>
      <c r="B366" s="215" t="str">
        <v>HADANAMAK</v>
      </c>
      <c r="C366" s="215" t="str">
        <v>Maram Zamzami</v>
      </c>
      <c r="D366" s="239">
        <v>8721.16</v>
      </c>
      <c r="E366" s="239">
        <v>10141.18</v>
      </c>
      <c r="F366" s="239">
        <v>9034.0499999999993</v>
      </c>
      <c r="G366" s="239">
        <v>1758.03</v>
      </c>
      <c r="H366" s="239">
        <v>0</v>
      </c>
      <c r="I366" s="257">
        <v>29654.42</v>
      </c>
      <c r="J366" s="240">
        <v>124.58799999999999</v>
      </c>
      <c r="K366" s="240">
        <v>142.83352112676056</v>
      </c>
      <c r="L366" s="240">
        <v>158.4921052631579</v>
      </c>
      <c r="M366" s="240">
        <v>92.5278947368421</v>
      </c>
      <c r="N366" s="240" t="str">
        <v/>
      </c>
      <c r="O366" s="258">
        <v>136.65631336405528</v>
      </c>
      <c r="P366" s="224">
        <v>0.46609129150506629</v>
      </c>
      <c r="Q366" s="224">
        <v>0.36974455957207963</v>
      </c>
      <c r="R366" s="224">
        <v>0.34198758267146318</v>
      </c>
      <c r="S366" s="224">
        <v>8.9450150454824365E-2</v>
      </c>
      <c r="T366" s="224">
        <v>0</v>
      </c>
      <c r="U366" s="259">
        <v>0.30246032393619193</v>
      </c>
      <c r="V366" s="239">
        <v>70</v>
      </c>
      <c r="W366" s="239">
        <v>71</v>
      </c>
      <c r="X366" s="239">
        <v>57</v>
      </c>
      <c r="Y366" s="239">
        <v>19</v>
      </c>
      <c r="Z366" s="239">
        <v>0</v>
      </c>
      <c r="AA366" s="257">
        <v>217</v>
      </c>
      <c r="AB366" s="224">
        <v>0.57377049180327866</v>
      </c>
      <c r="AC366" s="224">
        <v>0.41040462427745666</v>
      </c>
      <c r="AD366" s="224">
        <v>0.37748344370860926</v>
      </c>
      <c r="AE366" s="224">
        <v>0.16521739130434782</v>
      </c>
      <c r="AF366" s="224">
        <v>0</v>
      </c>
      <c r="AG366" s="259">
        <v>0.37030716723549489</v>
      </c>
      <c r="AH366" s="261">
        <v>3.6407135798616529E-3</v>
      </c>
      <c r="AI366" s="261">
        <v>2.631578947368421E-3</v>
      </c>
      <c r="AJ366" s="261">
        <v>2.6461167076737386E-3</v>
      </c>
      <c r="AK366" s="261">
        <v>1.0214504596527069E-3</v>
      </c>
      <c r="AL366" s="261">
        <v>0</v>
      </c>
      <c r="AM366" s="262">
        <v>2.3808478890546829E-3</v>
      </c>
    </row>
    <row r="367" spans="1:39" x14ac:dyDescent="0.25">
      <c r="A367" s="215" t="str">
        <v>5355-FTazy</v>
      </c>
      <c r="B367" s="215" t="str">
        <v>HADANAMAK</v>
      </c>
      <c r="C367" s="215" t="str">
        <v>Maram Zamzami</v>
      </c>
      <c r="D367" s="239">
        <v>1200.03</v>
      </c>
      <c r="E367" s="239">
        <v>4242.0400000000009</v>
      </c>
      <c r="F367" s="239">
        <v>7935.1100000000006</v>
      </c>
      <c r="G367" s="239">
        <v>8192.86</v>
      </c>
      <c r="H367" s="239">
        <v>844.99</v>
      </c>
      <c r="I367" s="257">
        <v>22415.030000000002</v>
      </c>
      <c r="J367" s="240">
        <v>200.005</v>
      </c>
      <c r="K367" s="240">
        <v>128.54666666666668</v>
      </c>
      <c r="L367" s="240">
        <v>172.50239130434784</v>
      </c>
      <c r="M367" s="240">
        <v>190.53162790697675</v>
      </c>
      <c r="N367" s="240">
        <v>120.71285714285715</v>
      </c>
      <c r="O367" s="258">
        <v>166.03725925925929</v>
      </c>
      <c r="P367" s="224">
        <v>6.4134075346034783E-2</v>
      </c>
      <c r="Q367" s="224">
        <v>0.15466358071616368</v>
      </c>
      <c r="R367" s="224">
        <v>0.30038676862892666</v>
      </c>
      <c r="S367" s="224">
        <v>0.41686009889211928</v>
      </c>
      <c r="T367" s="224">
        <v>0.14481033049707379</v>
      </c>
      <c r="U367" s="259">
        <v>0.22862214923911719</v>
      </c>
      <c r="V367" s="239">
        <v>6</v>
      </c>
      <c r="W367" s="239">
        <v>33</v>
      </c>
      <c r="X367" s="239">
        <v>46</v>
      </c>
      <c r="Y367" s="239">
        <v>43</v>
      </c>
      <c r="Z367" s="239">
        <v>7</v>
      </c>
      <c r="AA367" s="257">
        <v>135</v>
      </c>
      <c r="AB367" s="224">
        <v>4.9180327868852458E-2</v>
      </c>
      <c r="AC367" s="224">
        <v>0.19075144508670519</v>
      </c>
      <c r="AD367" s="224">
        <v>0.30463576158940397</v>
      </c>
      <c r="AE367" s="224">
        <v>0.37391304347826088</v>
      </c>
      <c r="AF367" s="224">
        <v>0.28000000000000003</v>
      </c>
      <c r="AG367" s="259">
        <v>0.23037542662116042</v>
      </c>
      <c r="AH367" s="261">
        <v>3.1206116398814168E-4</v>
      </c>
      <c r="AI367" s="261">
        <v>1.223128243143069E-3</v>
      </c>
      <c r="AJ367" s="261">
        <v>2.1354626061928414E-3</v>
      </c>
      <c r="AK367" s="261">
        <v>2.3117036718455996E-3</v>
      </c>
      <c r="AL367" s="261">
        <v>1.4598540145985401E-3</v>
      </c>
      <c r="AM367" s="262">
        <v>1.4811726498727288E-3</v>
      </c>
    </row>
    <row r="368" spans="1:39" x14ac:dyDescent="0.25">
      <c r="A368" s="215" t="str">
        <v>3667-AAldeen</v>
      </c>
      <c r="B368" s="215" t="str">
        <v>HADANAMAK</v>
      </c>
      <c r="C368" s="215" t="str">
        <v>Maram Zamzami</v>
      </c>
      <c r="D368" s="239">
        <v>7806.0599999999995</v>
      </c>
      <c r="E368" s="239">
        <v>4556.1499999999996</v>
      </c>
      <c r="F368" s="239">
        <v>3772.09</v>
      </c>
      <c r="G368" s="239">
        <v>3588.03</v>
      </c>
      <c r="H368" s="239">
        <v>721.96</v>
      </c>
      <c r="I368" s="257">
        <v>20444.289999999997</v>
      </c>
      <c r="J368" s="240">
        <v>185.85857142857142</v>
      </c>
      <c r="K368" s="240">
        <v>168.74629629629629</v>
      </c>
      <c r="L368" s="240">
        <v>188.6045</v>
      </c>
      <c r="M368" s="240">
        <v>170.85857142857145</v>
      </c>
      <c r="N368" s="240">
        <v>240.65333333333334</v>
      </c>
      <c r="O368" s="258">
        <v>180.92292035398228</v>
      </c>
      <c r="P368" s="224">
        <v>0.41718493720629335</v>
      </c>
      <c r="Q368" s="224">
        <v>0.16611594263136345</v>
      </c>
      <c r="R368" s="224">
        <v>0.14279397841712185</v>
      </c>
      <c r="S368" s="224">
        <v>0.18256219935747597</v>
      </c>
      <c r="T368" s="224">
        <v>0.1237260396048088</v>
      </c>
      <c r="U368" s="259">
        <v>0.20852158214679123</v>
      </c>
      <c r="V368" s="239">
        <v>42</v>
      </c>
      <c r="W368" s="239">
        <v>27</v>
      </c>
      <c r="X368" s="239">
        <v>20</v>
      </c>
      <c r="Y368" s="239">
        <v>21</v>
      </c>
      <c r="Z368" s="239">
        <v>3</v>
      </c>
      <c r="AA368" s="257">
        <v>113</v>
      </c>
      <c r="AB368" s="224">
        <v>0.34426229508196721</v>
      </c>
      <c r="AC368" s="224">
        <v>0.15606936416184972</v>
      </c>
      <c r="AD368" s="224">
        <v>0.13245033112582782</v>
      </c>
      <c r="AE368" s="224">
        <v>0.18260869565217391</v>
      </c>
      <c r="AF368" s="224">
        <v>0.12</v>
      </c>
      <c r="AG368" s="259">
        <v>0.19283276450511946</v>
      </c>
      <c r="AH368" s="261">
        <v>2.1844281479169916E-3</v>
      </c>
      <c r="AI368" s="261">
        <v>1.0007412898443292E-3</v>
      </c>
      <c r="AJ368" s="261">
        <v>9.2846200269253978E-4</v>
      </c>
      <c r="AK368" s="261">
        <v>1.1289715606687812E-3</v>
      </c>
      <c r="AL368" s="261">
        <v>6.2565172054223153E-4</v>
      </c>
      <c r="AM368" s="262">
        <v>1.2397963661897656E-3</v>
      </c>
    </row>
    <row r="369" spans="1:39" x14ac:dyDescent="0.25">
      <c r="A369" s="215" t="str">
        <v>3659-AGharib</v>
      </c>
      <c r="B369" s="215" t="str">
        <v>HADANAMAK</v>
      </c>
      <c r="C369" s="215" t="str">
        <v>Maram Zamzami</v>
      </c>
      <c r="D369" s="239">
        <v>984.02</v>
      </c>
      <c r="E369" s="239">
        <v>8488.16</v>
      </c>
      <c r="F369" s="239">
        <v>0</v>
      </c>
      <c r="G369" s="239">
        <v>0</v>
      </c>
      <c r="H369" s="239">
        <v>0</v>
      </c>
      <c r="I369" s="257">
        <v>9472.18</v>
      </c>
      <c r="J369" s="240">
        <v>246.005</v>
      </c>
      <c r="K369" s="240">
        <v>202.09904761904761</v>
      </c>
      <c r="L369" s="240" t="str">
        <v/>
      </c>
      <c r="M369" s="240" t="str">
        <v/>
      </c>
      <c r="N369" s="240" t="str">
        <v/>
      </c>
      <c r="O369" s="258">
        <v>205.91695652173914</v>
      </c>
      <c r="P369" s="224">
        <v>5.2589695942605721E-2</v>
      </c>
      <c r="Q369" s="224">
        <v>0.30947591708039335</v>
      </c>
      <c r="R369" s="224">
        <v>0</v>
      </c>
      <c r="S369" s="224">
        <v>0</v>
      </c>
      <c r="T369" s="224">
        <v>0</v>
      </c>
      <c r="U369" s="259">
        <v>9.661152135775776E-2</v>
      </c>
      <c r="V369" s="239">
        <v>4</v>
      </c>
      <c r="W369" s="239">
        <v>42</v>
      </c>
      <c r="X369" s="239">
        <v>0</v>
      </c>
      <c r="Y369" s="239">
        <v>0</v>
      </c>
      <c r="Z369" s="239">
        <v>0</v>
      </c>
      <c r="AA369" s="257">
        <v>46</v>
      </c>
      <c r="AB369" s="224">
        <v>3.2786885245901641E-2</v>
      </c>
      <c r="AC369" s="224">
        <v>0.24277456647398843</v>
      </c>
      <c r="AD369" s="224">
        <v>0</v>
      </c>
      <c r="AE369" s="224">
        <v>0</v>
      </c>
      <c r="AF369" s="224">
        <v>0</v>
      </c>
      <c r="AG369" s="259">
        <v>7.8498293515358364E-2</v>
      </c>
      <c r="AH369" s="261">
        <v>2.0804077599209444E-4</v>
      </c>
      <c r="AI369" s="261">
        <v>1.5567086730911787E-3</v>
      </c>
      <c r="AJ369" s="261">
        <v>0</v>
      </c>
      <c r="AK369" s="261">
        <v>0</v>
      </c>
      <c r="AL369" s="261">
        <v>0</v>
      </c>
      <c r="AM369" s="262">
        <v>5.0469586588255944E-4</v>
      </c>
    </row>
    <row r="370" spans="1:39" x14ac:dyDescent="0.25">
      <c r="A370" s="215" t="str">
        <v>5981-AAlqurashi</v>
      </c>
      <c r="B370" s="215" t="str">
        <v>HADANAMAK</v>
      </c>
      <c r="C370" s="215" t="str">
        <v>Maram Zamzami</v>
      </c>
      <c r="D370" s="239">
        <v>0</v>
      </c>
      <c r="E370" s="239">
        <v>0</v>
      </c>
      <c r="F370" s="239">
        <v>0</v>
      </c>
      <c r="G370" s="239">
        <v>4064.8900000000003</v>
      </c>
      <c r="H370" s="239">
        <v>3907.1800000000003</v>
      </c>
      <c r="I370" s="257">
        <v>7972.0700000000006</v>
      </c>
      <c r="J370" s="240" t="str">
        <v/>
      </c>
      <c r="K370" s="240" t="str">
        <v/>
      </c>
      <c r="L370" s="240" t="str">
        <v/>
      </c>
      <c r="M370" s="240">
        <v>184.76772727272729</v>
      </c>
      <c r="N370" s="240">
        <v>300.55230769230769</v>
      </c>
      <c r="O370" s="258">
        <v>227.77342857142858</v>
      </c>
      <c r="P370" s="224">
        <v>0</v>
      </c>
      <c r="Q370" s="224">
        <v>0</v>
      </c>
      <c r="R370" s="224">
        <v>0</v>
      </c>
      <c r="S370" s="224">
        <v>0.20682526582726748</v>
      </c>
      <c r="T370" s="224">
        <v>0.66959375508770136</v>
      </c>
      <c r="U370" s="259">
        <v>8.1311146016074434E-2</v>
      </c>
      <c r="V370" s="239">
        <v>0</v>
      </c>
      <c r="W370" s="239">
        <v>0</v>
      </c>
      <c r="X370" s="239">
        <v>0</v>
      </c>
      <c r="Y370" s="239">
        <v>22</v>
      </c>
      <c r="Z370" s="239">
        <v>13</v>
      </c>
      <c r="AA370" s="257">
        <v>35</v>
      </c>
      <c r="AB370" s="224">
        <v>0</v>
      </c>
      <c r="AC370" s="224">
        <v>0</v>
      </c>
      <c r="AD370" s="224">
        <v>0</v>
      </c>
      <c r="AE370" s="224">
        <v>0.19130434782608696</v>
      </c>
      <c r="AF370" s="224">
        <v>0.52</v>
      </c>
      <c r="AG370" s="259">
        <v>5.9726962457337884E-2</v>
      </c>
      <c r="AH370" s="261">
        <v>0</v>
      </c>
      <c r="AI370" s="261">
        <v>0</v>
      </c>
      <c r="AJ370" s="261">
        <v>0</v>
      </c>
      <c r="AK370" s="261">
        <v>1.1827321111768185E-3</v>
      </c>
      <c r="AL370" s="261">
        <v>2.7111574556830031E-3</v>
      </c>
      <c r="AM370" s="262">
        <v>3.8400772404107786E-4</v>
      </c>
    </row>
    <row r="371" spans="1:39" x14ac:dyDescent="0.25">
      <c r="A371" s="215" t="str">
        <v>4905-AAlshamrani</v>
      </c>
      <c r="B371" s="215" t="str">
        <v>HADANAMAK</v>
      </c>
      <c r="C371" s="215" t="str">
        <v>Maram Zamzami</v>
      </c>
      <c r="D371" s="239">
        <v>0</v>
      </c>
      <c r="E371" s="239">
        <v>0</v>
      </c>
      <c r="F371" s="239">
        <v>5675.0599999999995</v>
      </c>
      <c r="G371" s="239">
        <v>0</v>
      </c>
      <c r="H371" s="239">
        <v>0</v>
      </c>
      <c r="I371" s="257">
        <v>5675.0599999999995</v>
      </c>
      <c r="J371" s="240" t="str">
        <v/>
      </c>
      <c r="K371" s="240" t="str">
        <v/>
      </c>
      <c r="L371" s="240">
        <v>202.68071428571426</v>
      </c>
      <c r="M371" s="240" t="str">
        <v/>
      </c>
      <c r="N371" s="240" t="str">
        <v/>
      </c>
      <c r="O371" s="258">
        <v>202.68071428571426</v>
      </c>
      <c r="P371" s="224">
        <v>0</v>
      </c>
      <c r="Q371" s="224">
        <v>0</v>
      </c>
      <c r="R371" s="224">
        <v>0.21483167028248837</v>
      </c>
      <c r="S371" s="224">
        <v>0</v>
      </c>
      <c r="T371" s="224">
        <v>0</v>
      </c>
      <c r="U371" s="259">
        <v>5.7882787319978792E-2</v>
      </c>
      <c r="V371" s="239">
        <v>0</v>
      </c>
      <c r="W371" s="239">
        <v>0</v>
      </c>
      <c r="X371" s="239">
        <v>28</v>
      </c>
      <c r="Y371" s="239">
        <v>0</v>
      </c>
      <c r="Z371" s="239">
        <v>0</v>
      </c>
      <c r="AA371" s="257">
        <v>28</v>
      </c>
      <c r="AB371" s="224">
        <v>0</v>
      </c>
      <c r="AC371" s="224">
        <v>0</v>
      </c>
      <c r="AD371" s="224">
        <v>0.18543046357615894</v>
      </c>
      <c r="AE371" s="224">
        <v>0</v>
      </c>
      <c r="AF371" s="224">
        <v>0</v>
      </c>
      <c r="AG371" s="259">
        <v>4.778156996587031E-2</v>
      </c>
      <c r="AH371" s="261">
        <v>0</v>
      </c>
      <c r="AI371" s="261">
        <v>0</v>
      </c>
      <c r="AJ371" s="261">
        <v>1.2998468037695558E-3</v>
      </c>
      <c r="AK371" s="261">
        <v>0</v>
      </c>
      <c r="AL371" s="261">
        <v>0</v>
      </c>
      <c r="AM371" s="262">
        <v>3.072061792328623E-4</v>
      </c>
    </row>
    <row r="372" spans="1:39" x14ac:dyDescent="0.25">
      <c r="A372" s="215" t="str">
        <v>5979-AAlmarhabi</v>
      </c>
      <c r="B372" s="215" t="str">
        <v>HADANAMAK</v>
      </c>
      <c r="C372" s="215" t="str">
        <v>Maram Zamzami</v>
      </c>
      <c r="D372" s="239">
        <v>0</v>
      </c>
      <c r="E372" s="239">
        <v>0</v>
      </c>
      <c r="F372" s="239">
        <v>0</v>
      </c>
      <c r="G372" s="239">
        <v>1478.93</v>
      </c>
      <c r="H372" s="239">
        <v>361.02</v>
      </c>
      <c r="I372" s="257">
        <v>1839.95</v>
      </c>
      <c r="J372" s="240" t="str">
        <v/>
      </c>
      <c r="K372" s="240" t="str">
        <v/>
      </c>
      <c r="L372" s="240" t="str">
        <v/>
      </c>
      <c r="M372" s="240">
        <v>211.27571428571429</v>
      </c>
      <c r="N372" s="240">
        <v>180.51</v>
      </c>
      <c r="O372" s="258">
        <v>204.4388888888889</v>
      </c>
      <c r="P372" s="224">
        <v>0</v>
      </c>
      <c r="Q372" s="224">
        <v>0</v>
      </c>
      <c r="R372" s="224">
        <v>0</v>
      </c>
      <c r="S372" s="224">
        <v>7.5249290974644015E-2</v>
      </c>
      <c r="T372" s="224">
        <v>6.1869874810416184E-2</v>
      </c>
      <c r="U372" s="259">
        <v>1.8766574191179473E-2</v>
      </c>
      <c r="V372" s="239">
        <v>0</v>
      </c>
      <c r="W372" s="239">
        <v>0</v>
      </c>
      <c r="X372" s="239">
        <v>0</v>
      </c>
      <c r="Y372" s="239">
        <v>7</v>
      </c>
      <c r="Z372" s="239">
        <v>2</v>
      </c>
      <c r="AA372" s="257">
        <v>9</v>
      </c>
      <c r="AB372" s="224">
        <v>0</v>
      </c>
      <c r="AC372" s="224">
        <v>0</v>
      </c>
      <c r="AD372" s="224">
        <v>0</v>
      </c>
      <c r="AE372" s="224">
        <v>6.0869565217391307E-2</v>
      </c>
      <c r="AF372" s="224">
        <v>0.08</v>
      </c>
      <c r="AG372" s="259">
        <v>1.5358361774744027E-2</v>
      </c>
      <c r="AH372" s="261">
        <v>0</v>
      </c>
      <c r="AI372" s="261">
        <v>0</v>
      </c>
      <c r="AJ372" s="261">
        <v>0</v>
      </c>
      <c r="AK372" s="261">
        <v>3.7632385355626042E-4</v>
      </c>
      <c r="AL372" s="261">
        <v>4.1710114702815432E-4</v>
      </c>
      <c r="AM372" s="262">
        <v>9.8744843324848595E-5</v>
      </c>
    </row>
    <row r="373" spans="1:39" x14ac:dyDescent="0.25">
      <c r="A373" s="215" t="str">
        <v>3641-UAttar</v>
      </c>
      <c r="B373" s="215" t="str">
        <v>HADANAMAK</v>
      </c>
      <c r="C373" s="215" t="str">
        <v>Maram Zamzami</v>
      </c>
      <c r="D373" s="239">
        <v>0</v>
      </c>
      <c r="E373" s="239">
        <v>0</v>
      </c>
      <c r="F373" s="239">
        <v>0</v>
      </c>
      <c r="G373" s="239">
        <v>571</v>
      </c>
      <c r="H373" s="239">
        <v>0</v>
      </c>
      <c r="I373" s="257">
        <v>571</v>
      </c>
      <c r="J373" s="240" t="str">
        <v/>
      </c>
      <c r="K373" s="240" t="str">
        <v/>
      </c>
      <c r="L373" s="240" t="str">
        <v/>
      </c>
      <c r="M373" s="240">
        <v>190.33333333333334</v>
      </c>
      <c r="N373" s="240" t="str">
        <v/>
      </c>
      <c r="O373" s="258">
        <v>190.33333333333334</v>
      </c>
      <c r="P373" s="224">
        <v>0</v>
      </c>
      <c r="Q373" s="224">
        <v>0</v>
      </c>
      <c r="R373" s="224">
        <v>0</v>
      </c>
      <c r="S373" s="224">
        <v>2.9052994493668886E-2</v>
      </c>
      <c r="T373" s="224">
        <v>0</v>
      </c>
      <c r="U373" s="259">
        <v>5.8239157929093066E-3</v>
      </c>
      <c r="V373" s="239">
        <v>0</v>
      </c>
      <c r="W373" s="239">
        <v>0</v>
      </c>
      <c r="X373" s="239">
        <v>0</v>
      </c>
      <c r="Y373" s="239">
        <v>3</v>
      </c>
      <c r="Z373" s="239">
        <v>0</v>
      </c>
      <c r="AA373" s="257">
        <v>3</v>
      </c>
      <c r="AB373" s="224">
        <v>0</v>
      </c>
      <c r="AC373" s="224">
        <v>0</v>
      </c>
      <c r="AD373" s="224">
        <v>0</v>
      </c>
      <c r="AE373" s="224">
        <v>2.6086956521739129E-2</v>
      </c>
      <c r="AF373" s="224">
        <v>0</v>
      </c>
      <c r="AG373" s="259">
        <v>5.1194539249146756E-3</v>
      </c>
      <c r="AH373" s="261">
        <v>0</v>
      </c>
      <c r="AI373" s="261">
        <v>0</v>
      </c>
      <c r="AJ373" s="261">
        <v>0</v>
      </c>
      <c r="AK373" s="261">
        <v>1.6128165152411161E-4</v>
      </c>
      <c r="AL373" s="261">
        <v>0</v>
      </c>
      <c r="AM373" s="262">
        <v>3.2914947774949529E-5</v>
      </c>
    </row>
    <row r="374" spans="1:39" x14ac:dyDescent="0.25">
      <c r="A374" s="215" t="str">
        <v>6627-LMikwar</v>
      </c>
      <c r="B374" s="215" t="str">
        <v>HADARTAW2</v>
      </c>
      <c r="C374" s="215" t="str">
        <v>Maram Zamzami</v>
      </c>
      <c r="D374" s="239">
        <v>13154.27</v>
      </c>
      <c r="E374" s="239">
        <v>31343.68</v>
      </c>
      <c r="F374" s="239">
        <v>27463.61</v>
      </c>
      <c r="G374" s="239">
        <v>29826.36</v>
      </c>
      <c r="H374" s="239">
        <v>3940.31</v>
      </c>
      <c r="I374" s="257">
        <v>105728.23</v>
      </c>
      <c r="J374" s="240">
        <v>222.95372881355934</v>
      </c>
      <c r="K374" s="240">
        <v>250.74943999999999</v>
      </c>
      <c r="L374" s="240">
        <v>245.21080357142858</v>
      </c>
      <c r="M374" s="240">
        <v>238.61088000000001</v>
      </c>
      <c r="N374" s="240">
        <v>197.0155</v>
      </c>
      <c r="O374" s="258">
        <v>239.74655328798184</v>
      </c>
      <c r="P374" s="224">
        <v>0.11365282479014967</v>
      </c>
      <c r="Q374" s="224">
        <v>0.16495669184776485</v>
      </c>
      <c r="R374" s="224">
        <v>0.16220794226581561</v>
      </c>
      <c r="S374" s="224">
        <v>0.18446935919658275</v>
      </c>
      <c r="T374" s="224">
        <v>0.10739638495140695</v>
      </c>
      <c r="U374" s="259">
        <v>0.15699719229735387</v>
      </c>
      <c r="V374" s="239">
        <v>59</v>
      </c>
      <c r="W374" s="239">
        <v>125</v>
      </c>
      <c r="X374" s="239">
        <v>112</v>
      </c>
      <c r="Y374" s="239">
        <v>125</v>
      </c>
      <c r="Z374" s="239">
        <v>20</v>
      </c>
      <c r="AA374" s="257">
        <v>441</v>
      </c>
      <c r="AB374" s="224">
        <v>0.10207612456747404</v>
      </c>
      <c r="AC374" s="224">
        <v>0.13326226012793177</v>
      </c>
      <c r="AD374" s="224">
        <v>0.13510253317249699</v>
      </c>
      <c r="AE374" s="224">
        <v>0.16318537859007834</v>
      </c>
      <c r="AF374" s="224">
        <v>0.1111111111111111</v>
      </c>
      <c r="AG374" s="259">
        <v>0.13400182315405651</v>
      </c>
      <c r="AH374" s="261">
        <v>3.0686014458833929E-3</v>
      </c>
      <c r="AI374" s="261">
        <v>4.6330615270570794E-3</v>
      </c>
      <c r="AJ374" s="261">
        <v>5.1993872150782232E-3</v>
      </c>
      <c r="AK374" s="261">
        <v>6.72006881350465E-3</v>
      </c>
      <c r="AL374" s="261">
        <v>4.1710114702815434E-3</v>
      </c>
      <c r="AM374" s="262">
        <v>4.8384973229175813E-3</v>
      </c>
    </row>
    <row r="375" spans="1:39" x14ac:dyDescent="0.25">
      <c r="A375" s="215" t="str">
        <v>5387-WHazazzi</v>
      </c>
      <c r="B375" s="215" t="str">
        <v>HADARTAW2</v>
      </c>
      <c r="C375" s="215" t="str">
        <v>Maram Zamzami</v>
      </c>
      <c r="D375" s="239">
        <v>13308.220000000001</v>
      </c>
      <c r="E375" s="239">
        <v>19778.36</v>
      </c>
      <c r="F375" s="239">
        <v>25322.420000000002</v>
      </c>
      <c r="G375" s="239">
        <v>24361.51</v>
      </c>
      <c r="H375" s="239">
        <v>8754.92</v>
      </c>
      <c r="I375" s="257">
        <v>91525.43</v>
      </c>
      <c r="J375" s="240">
        <v>255.92730769230772</v>
      </c>
      <c r="K375" s="240">
        <v>181.45284403669726</v>
      </c>
      <c r="L375" s="240">
        <v>220.19495652173916</v>
      </c>
      <c r="M375" s="240">
        <v>196.46379032258062</v>
      </c>
      <c r="N375" s="240">
        <v>224.48512820512821</v>
      </c>
      <c r="O375" s="258">
        <v>208.48617312072892</v>
      </c>
      <c r="P375" s="224">
        <v>0.11498295199420155</v>
      </c>
      <c r="Q375" s="224">
        <v>0.10409029302794562</v>
      </c>
      <c r="R375" s="224">
        <v>0.14956146119868199</v>
      </c>
      <c r="S375" s="224">
        <v>0.15067048539483671</v>
      </c>
      <c r="T375" s="224">
        <v>0.23862253440434172</v>
      </c>
      <c r="U375" s="259">
        <v>0.13590727409139453</v>
      </c>
      <c r="V375" s="239">
        <v>52</v>
      </c>
      <c r="W375" s="239">
        <v>109</v>
      </c>
      <c r="X375" s="239">
        <v>115</v>
      </c>
      <c r="Y375" s="239">
        <v>124</v>
      </c>
      <c r="Z375" s="239">
        <v>39</v>
      </c>
      <c r="AA375" s="257">
        <v>439</v>
      </c>
      <c r="AB375" s="224">
        <v>8.9965397923875437E-2</v>
      </c>
      <c r="AC375" s="224">
        <v>0.1162046908315565</v>
      </c>
      <c r="AD375" s="224">
        <v>0.13872135102533173</v>
      </c>
      <c r="AE375" s="224">
        <v>0.16187989556135771</v>
      </c>
      <c r="AF375" s="224">
        <v>0.21666666666666667</v>
      </c>
      <c r="AG375" s="259">
        <v>0.13339410513521727</v>
      </c>
      <c r="AH375" s="261">
        <v>2.7045300878972278E-3</v>
      </c>
      <c r="AI375" s="261">
        <v>4.0400296515937734E-3</v>
      </c>
      <c r="AJ375" s="261">
        <v>5.3386565154821038E-3</v>
      </c>
      <c r="AK375" s="261">
        <v>6.6663082629966133E-3</v>
      </c>
      <c r="AL375" s="261">
        <v>8.1334723670490102E-3</v>
      </c>
      <c r="AM375" s="262">
        <v>4.8165540244009481E-3</v>
      </c>
    </row>
    <row r="376" spans="1:39" x14ac:dyDescent="0.25">
      <c r="A376" s="215" t="str">
        <v>7201-WAlhasani</v>
      </c>
      <c r="B376" s="215" t="str">
        <v>HADARTAW2</v>
      </c>
      <c r="C376" s="215" t="str">
        <v>Maram Zamzami</v>
      </c>
      <c r="D376" s="239">
        <v>17272.419999999998</v>
      </c>
      <c r="E376" s="239">
        <v>26109.52</v>
      </c>
      <c r="F376" s="239">
        <v>22588.370000000003</v>
      </c>
      <c r="G376" s="239">
        <v>16059.5</v>
      </c>
      <c r="H376" s="239">
        <v>3753.8</v>
      </c>
      <c r="I376" s="257">
        <v>85783.61</v>
      </c>
      <c r="J376" s="240">
        <v>213.23975308641974</v>
      </c>
      <c r="K376" s="240">
        <v>219.40773109243699</v>
      </c>
      <c r="L376" s="240">
        <v>207.23275229357802</v>
      </c>
      <c r="M376" s="240">
        <v>205.89102564102564</v>
      </c>
      <c r="N376" s="240">
        <v>187.69</v>
      </c>
      <c r="O376" s="258">
        <v>210.77054054054054</v>
      </c>
      <c r="P376" s="224">
        <v>0.14923361949860209</v>
      </c>
      <c r="Q376" s="224">
        <v>0.13741015876033233</v>
      </c>
      <c r="R376" s="224">
        <v>0.13341337926219027</v>
      </c>
      <c r="S376" s="224">
        <v>9.9324412164860904E-2</v>
      </c>
      <c r="T376" s="224">
        <v>0.10231290173377004</v>
      </c>
      <c r="U376" s="259">
        <v>0.12738117260764897</v>
      </c>
      <c r="V376" s="239">
        <v>81</v>
      </c>
      <c r="W376" s="239">
        <v>119</v>
      </c>
      <c r="X376" s="239">
        <v>109</v>
      </c>
      <c r="Y376" s="239">
        <v>78</v>
      </c>
      <c r="Z376" s="239">
        <v>20</v>
      </c>
      <c r="AA376" s="257">
        <v>407</v>
      </c>
      <c r="AB376" s="224">
        <v>0.14013840830449828</v>
      </c>
      <c r="AC376" s="224">
        <v>0.12686567164179105</v>
      </c>
      <c r="AD376" s="224">
        <v>0.13148371531966224</v>
      </c>
      <c r="AE376" s="224">
        <v>0.10182767624020887</v>
      </c>
      <c r="AF376" s="224">
        <v>0.1111111111111111</v>
      </c>
      <c r="AG376" s="259">
        <v>0.12367061683378912</v>
      </c>
      <c r="AH376" s="261">
        <v>4.2128257138399124E-3</v>
      </c>
      <c r="AI376" s="261">
        <v>4.4106745737583393E-3</v>
      </c>
      <c r="AJ376" s="261">
        <v>5.0601179146743417E-3</v>
      </c>
      <c r="AK376" s="261">
        <v>4.1933229396269017E-3</v>
      </c>
      <c r="AL376" s="261">
        <v>4.1710114702815434E-3</v>
      </c>
      <c r="AM376" s="262">
        <v>4.4654612481348195E-3</v>
      </c>
    </row>
    <row r="377" spans="1:39" x14ac:dyDescent="0.25">
      <c r="A377" s="215" t="str">
        <v>6926-MBaghdadi</v>
      </c>
      <c r="B377" s="215" t="str">
        <v>HADARTAW2</v>
      </c>
      <c r="C377" s="215" t="str">
        <v>Maram Zamzami</v>
      </c>
      <c r="D377" s="239">
        <v>13625.349999999999</v>
      </c>
      <c r="E377" s="239">
        <v>20251.410000000003</v>
      </c>
      <c r="F377" s="239">
        <v>18013.410000000003</v>
      </c>
      <c r="G377" s="239">
        <v>18995.650000000001</v>
      </c>
      <c r="H377" s="239">
        <v>0</v>
      </c>
      <c r="I377" s="257">
        <v>70885.820000000007</v>
      </c>
      <c r="J377" s="240">
        <v>179.28092105263156</v>
      </c>
      <c r="K377" s="240">
        <v>250.01740740740746</v>
      </c>
      <c r="L377" s="240">
        <v>225.16762500000004</v>
      </c>
      <c r="M377" s="240">
        <v>218.34080459770118</v>
      </c>
      <c r="N377" s="240" t="str">
        <v/>
      </c>
      <c r="O377" s="258">
        <v>218.78339506172841</v>
      </c>
      <c r="P377" s="224">
        <v>0.11772295355458459</v>
      </c>
      <c r="Q377" s="224">
        <v>0.10657987826741289</v>
      </c>
      <c r="R377" s="224">
        <v>0.10639235589532715</v>
      </c>
      <c r="S377" s="224">
        <v>0.11748384258161462</v>
      </c>
      <c r="T377" s="224">
        <v>0</v>
      </c>
      <c r="U377" s="259">
        <v>0.10525925491891441</v>
      </c>
      <c r="V377" s="239">
        <v>76</v>
      </c>
      <c r="W377" s="239">
        <v>81</v>
      </c>
      <c r="X377" s="239">
        <v>80</v>
      </c>
      <c r="Y377" s="239">
        <v>87</v>
      </c>
      <c r="Z377" s="239">
        <v>0</v>
      </c>
      <c r="AA377" s="257">
        <v>324</v>
      </c>
      <c r="AB377" s="224">
        <v>0.13148788927335639</v>
      </c>
      <c r="AC377" s="224">
        <v>8.6353944562899784E-2</v>
      </c>
      <c r="AD377" s="224">
        <v>9.6501809408926414E-2</v>
      </c>
      <c r="AE377" s="224">
        <v>0.11357702349869452</v>
      </c>
      <c r="AF377" s="224">
        <v>0</v>
      </c>
      <c r="AG377" s="259">
        <v>9.8450319051959889E-2</v>
      </c>
      <c r="AH377" s="261">
        <v>3.9527747438497943E-3</v>
      </c>
      <c r="AI377" s="261">
        <v>3.0022238695329873E-3</v>
      </c>
      <c r="AJ377" s="261">
        <v>3.7138480107701591E-3</v>
      </c>
      <c r="AK377" s="261">
        <v>4.6771678941992367E-3</v>
      </c>
      <c r="AL377" s="261">
        <v>0</v>
      </c>
      <c r="AM377" s="262">
        <v>3.5548143596945492E-3</v>
      </c>
    </row>
    <row r="378" spans="1:39" x14ac:dyDescent="0.25">
      <c r="A378" s="215" t="str">
        <v>6492-EAlmuwallad</v>
      </c>
      <c r="B378" s="215" t="str">
        <v>HADARTAW2</v>
      </c>
      <c r="C378" s="215" t="str">
        <v>Maram Zamzami</v>
      </c>
      <c r="D378" s="239">
        <v>12351.31</v>
      </c>
      <c r="E378" s="239">
        <v>16621.3</v>
      </c>
      <c r="F378" s="239">
        <v>14497.21</v>
      </c>
      <c r="G378" s="239">
        <v>17831.02</v>
      </c>
      <c r="H378" s="239">
        <v>5861.8899999999994</v>
      </c>
      <c r="I378" s="257">
        <v>67162.73</v>
      </c>
      <c r="J378" s="240">
        <v>173.96211267605634</v>
      </c>
      <c r="K378" s="240">
        <v>171.35360824742267</v>
      </c>
      <c r="L378" s="240">
        <v>168.57220930232558</v>
      </c>
      <c r="M378" s="240">
        <v>212.27404761904762</v>
      </c>
      <c r="N378" s="240">
        <v>189.09322580645158</v>
      </c>
      <c r="O378" s="258">
        <v>182.01281842818426</v>
      </c>
      <c r="P378" s="224">
        <v>0.1067152545415917</v>
      </c>
      <c r="Q378" s="224">
        <v>8.7475199536533474E-2</v>
      </c>
      <c r="R378" s="224">
        <v>8.5624672164198529E-2</v>
      </c>
      <c r="S378" s="224">
        <v>0.11028086676421296</v>
      </c>
      <c r="T378" s="224">
        <v>0.15977062591085545</v>
      </c>
      <c r="U378" s="259">
        <v>9.9730791265731561E-2</v>
      </c>
      <c r="V378" s="239">
        <v>71</v>
      </c>
      <c r="W378" s="239">
        <v>97</v>
      </c>
      <c r="X378" s="239">
        <v>86</v>
      </c>
      <c r="Y378" s="239">
        <v>84</v>
      </c>
      <c r="Z378" s="239">
        <v>31</v>
      </c>
      <c r="AA378" s="257">
        <v>369</v>
      </c>
      <c r="AB378" s="224">
        <v>0.12283737024221453</v>
      </c>
      <c r="AC378" s="224">
        <v>0.10341151385927505</v>
      </c>
      <c r="AD378" s="224">
        <v>0.1037394451145959</v>
      </c>
      <c r="AE378" s="224">
        <v>0.10966057441253264</v>
      </c>
      <c r="AF378" s="224">
        <v>0.17222222222222222</v>
      </c>
      <c r="AG378" s="259">
        <v>0.11212397447584321</v>
      </c>
      <c r="AH378" s="261">
        <v>3.6927237738596766E-3</v>
      </c>
      <c r="AI378" s="261">
        <v>3.5952557449962937E-3</v>
      </c>
      <c r="AJ378" s="261">
        <v>3.9923866115779208E-3</v>
      </c>
      <c r="AK378" s="261">
        <v>4.515886242675125E-3</v>
      </c>
      <c r="AL378" s="261">
        <v>6.4650677789363925E-3</v>
      </c>
      <c r="AM378" s="262">
        <v>4.0485385763187921E-3</v>
      </c>
    </row>
    <row r="379" spans="1:39" x14ac:dyDescent="0.25">
      <c r="A379" s="215" t="str">
        <v>6929-AAlzahrani</v>
      </c>
      <c r="B379" s="215" t="str">
        <v>HADARTAW2</v>
      </c>
      <c r="C379" s="215" t="str">
        <v>Maram Zamzami</v>
      </c>
      <c r="D379" s="239">
        <v>13314.399999999998</v>
      </c>
      <c r="E379" s="239">
        <v>13401.21</v>
      </c>
      <c r="F379" s="239">
        <v>11033.16</v>
      </c>
      <c r="G379" s="239">
        <v>21332.600000000002</v>
      </c>
      <c r="H379" s="239">
        <v>3434.2</v>
      </c>
      <c r="I379" s="257">
        <v>62515.569999999992</v>
      </c>
      <c r="J379" s="240">
        <v>179.92432432432429</v>
      </c>
      <c r="K379" s="240">
        <v>167.51512499999998</v>
      </c>
      <c r="L379" s="240">
        <v>167.1690909090909</v>
      </c>
      <c r="M379" s="240">
        <v>237.0288888888889</v>
      </c>
      <c r="N379" s="240">
        <v>214.63749999999999</v>
      </c>
      <c r="O379" s="258">
        <v>191.76555214723925</v>
      </c>
      <c r="P379" s="224">
        <v>0.11503634716224985</v>
      </c>
      <c r="Q379" s="224">
        <v>7.0528389402813724E-2</v>
      </c>
      <c r="R379" s="224">
        <v>6.5165001261287422E-2</v>
      </c>
      <c r="S379" s="224">
        <v>0.13193735514481222</v>
      </c>
      <c r="T379" s="224">
        <v>9.360194126861128E-2</v>
      </c>
      <c r="U379" s="259">
        <v>9.2830164326676859E-2</v>
      </c>
      <c r="V379" s="239">
        <v>74</v>
      </c>
      <c r="W379" s="239">
        <v>80</v>
      </c>
      <c r="X379" s="239">
        <v>66</v>
      </c>
      <c r="Y379" s="239">
        <v>90</v>
      </c>
      <c r="Z379" s="239">
        <v>16</v>
      </c>
      <c r="AA379" s="257">
        <v>326</v>
      </c>
      <c r="AB379" s="224">
        <v>0.12802768166089964</v>
      </c>
      <c r="AC379" s="224">
        <v>8.5287846481876331E-2</v>
      </c>
      <c r="AD379" s="224">
        <v>7.9613992762364291E-2</v>
      </c>
      <c r="AE379" s="224">
        <v>0.1174934725848564</v>
      </c>
      <c r="AF379" s="224">
        <v>8.8888888888888892E-2</v>
      </c>
      <c r="AG379" s="259">
        <v>9.9058037070799146E-2</v>
      </c>
      <c r="AH379" s="261">
        <v>3.8487543558537473E-3</v>
      </c>
      <c r="AI379" s="261">
        <v>2.9651593773165306E-3</v>
      </c>
      <c r="AJ379" s="261">
        <v>3.0639246088853813E-3</v>
      </c>
      <c r="AK379" s="261">
        <v>4.8384495457233483E-3</v>
      </c>
      <c r="AL379" s="261">
        <v>3.3368091762252345E-3</v>
      </c>
      <c r="AM379" s="262">
        <v>3.5767576582111825E-3</v>
      </c>
    </row>
    <row r="380" spans="1:39" x14ac:dyDescent="0.25">
      <c r="A380" s="215" t="str">
        <v>7177-MIbrahim</v>
      </c>
      <c r="B380" s="215" t="str">
        <v>HADARTAW2</v>
      </c>
      <c r="C380" s="215" t="str">
        <v>Maram Zamzami</v>
      </c>
      <c r="D380" s="239">
        <v>0</v>
      </c>
      <c r="E380" s="239">
        <v>16626.29</v>
      </c>
      <c r="F380" s="239">
        <v>22250.350000000002</v>
      </c>
      <c r="G380" s="239">
        <v>12756.829999999998</v>
      </c>
      <c r="H380" s="239">
        <v>5287.23</v>
      </c>
      <c r="I380" s="257">
        <v>56920.7</v>
      </c>
      <c r="J380" s="240" t="str">
        <v/>
      </c>
      <c r="K380" s="240">
        <v>171.40505154639177</v>
      </c>
      <c r="L380" s="240">
        <v>198.66383928571432</v>
      </c>
      <c r="M380" s="240">
        <v>153.6967469879518</v>
      </c>
      <c r="N380" s="240">
        <v>220.30124999999998</v>
      </c>
      <c r="O380" s="258">
        <v>180.12879746835443</v>
      </c>
      <c r="P380" s="224">
        <v>0</v>
      </c>
      <c r="Q380" s="224">
        <v>8.7501461095237515E-2</v>
      </c>
      <c r="R380" s="224">
        <v>0.13141693638215043</v>
      </c>
      <c r="S380" s="224">
        <v>7.8898137603104851E-2</v>
      </c>
      <c r="T380" s="224">
        <v>0.14410779568273241</v>
      </c>
      <c r="U380" s="259">
        <v>8.4522270765338553E-2</v>
      </c>
      <c r="V380" s="239">
        <v>0</v>
      </c>
      <c r="W380" s="239">
        <v>97</v>
      </c>
      <c r="X380" s="239">
        <v>112</v>
      </c>
      <c r="Y380" s="239">
        <v>83</v>
      </c>
      <c r="Z380" s="239">
        <v>24</v>
      </c>
      <c r="AA380" s="257">
        <v>316</v>
      </c>
      <c r="AB380" s="224">
        <v>0</v>
      </c>
      <c r="AC380" s="224">
        <v>0.10341151385927505</v>
      </c>
      <c r="AD380" s="224">
        <v>0.13510253317249699</v>
      </c>
      <c r="AE380" s="224">
        <v>0.10835509138381201</v>
      </c>
      <c r="AF380" s="224">
        <v>0.13333333333333333</v>
      </c>
      <c r="AG380" s="259">
        <v>9.6019446976602862E-2</v>
      </c>
      <c r="AH380" s="261">
        <v>0</v>
      </c>
      <c r="AI380" s="261">
        <v>3.5952557449962937E-3</v>
      </c>
      <c r="AJ380" s="261">
        <v>5.1993872150782232E-3</v>
      </c>
      <c r="AK380" s="261">
        <v>4.4621256921670875E-3</v>
      </c>
      <c r="AL380" s="261">
        <v>5.0052137643378522E-3</v>
      </c>
      <c r="AM380" s="262">
        <v>3.4670411656280171E-3</v>
      </c>
    </row>
    <row r="381" spans="1:39" x14ac:dyDescent="0.25">
      <c r="A381" s="215" t="str">
        <v>6494-AAlMuwallad</v>
      </c>
      <c r="B381" s="215" t="str">
        <v>HADARTAW2</v>
      </c>
      <c r="C381" s="215" t="str">
        <v>Maram Zamzami</v>
      </c>
      <c r="D381" s="239">
        <v>12813.42</v>
      </c>
      <c r="E381" s="239">
        <v>15637.309999999998</v>
      </c>
      <c r="F381" s="239">
        <v>9838.25</v>
      </c>
      <c r="G381" s="239">
        <v>15721.829999999998</v>
      </c>
      <c r="H381" s="239">
        <v>2037.92</v>
      </c>
      <c r="I381" s="257">
        <v>56048.729999999996</v>
      </c>
      <c r="J381" s="240">
        <v>194.14272727272729</v>
      </c>
      <c r="K381" s="240">
        <v>195.46637499999997</v>
      </c>
      <c r="L381" s="240">
        <v>192.90686274509804</v>
      </c>
      <c r="M381" s="240">
        <v>215.3675342465753</v>
      </c>
      <c r="N381" s="240">
        <v>156.76307692307694</v>
      </c>
      <c r="O381" s="258">
        <v>198.05204946996466</v>
      </c>
      <c r="P381" s="224">
        <v>0.1107078825524031</v>
      </c>
      <c r="Q381" s="224">
        <v>8.2296620147920455E-2</v>
      </c>
      <c r="R381" s="224">
        <v>5.8107520751884412E-2</v>
      </c>
      <c r="S381" s="224">
        <v>9.7235998811038629E-2</v>
      </c>
      <c r="T381" s="224">
        <v>5.5545183201365186E-2</v>
      </c>
      <c r="U381" s="259">
        <v>8.3227471431541675E-2</v>
      </c>
      <c r="V381" s="239">
        <v>66</v>
      </c>
      <c r="W381" s="239">
        <v>80</v>
      </c>
      <c r="X381" s="239">
        <v>51</v>
      </c>
      <c r="Y381" s="239">
        <v>73</v>
      </c>
      <c r="Z381" s="239">
        <v>13</v>
      </c>
      <c r="AA381" s="257">
        <v>283</v>
      </c>
      <c r="AB381" s="224">
        <v>0.11418685121107267</v>
      </c>
      <c r="AC381" s="224">
        <v>8.5287846481876331E-2</v>
      </c>
      <c r="AD381" s="224">
        <v>6.1519903498190594E-2</v>
      </c>
      <c r="AE381" s="224">
        <v>9.5300261096605748E-2</v>
      </c>
      <c r="AF381" s="224">
        <v>7.2222222222222215E-2</v>
      </c>
      <c r="AG381" s="259">
        <v>8.5992099665755092E-2</v>
      </c>
      <c r="AH381" s="261">
        <v>3.4326728038695585E-3</v>
      </c>
      <c r="AI381" s="261">
        <v>2.9651593773165306E-3</v>
      </c>
      <c r="AJ381" s="261">
        <v>2.3675781068659765E-3</v>
      </c>
      <c r="AK381" s="261">
        <v>3.9245201870867158E-3</v>
      </c>
      <c r="AL381" s="261">
        <v>2.7111574556830031E-3</v>
      </c>
      <c r="AM381" s="262">
        <v>3.1049767401035724E-3</v>
      </c>
    </row>
    <row r="382" spans="1:39" x14ac:dyDescent="0.25">
      <c r="A382" s="215" t="str">
        <v>5979-AAlmarhabi</v>
      </c>
      <c r="B382" s="215" t="str">
        <v>HADARTAW2</v>
      </c>
      <c r="C382" s="215" t="str">
        <v>Maram Zamzami</v>
      </c>
      <c r="D382" s="239">
        <v>12640.25</v>
      </c>
      <c r="E382" s="239">
        <v>13588.220000000001</v>
      </c>
      <c r="F382" s="239">
        <v>12031.260000000002</v>
      </c>
      <c r="G382" s="239">
        <v>2098.06</v>
      </c>
      <c r="H382" s="239">
        <v>0</v>
      </c>
      <c r="I382" s="257">
        <v>40357.79</v>
      </c>
      <c r="J382" s="240">
        <v>200.63888888888889</v>
      </c>
      <c r="K382" s="240">
        <v>183.62459459459461</v>
      </c>
      <c r="L382" s="240">
        <v>179.57104477611944</v>
      </c>
      <c r="M382" s="240">
        <v>233.11777777777777</v>
      </c>
      <c r="N382" s="240" t="str">
        <v/>
      </c>
      <c r="O382" s="258">
        <v>189.47319248826292</v>
      </c>
      <c r="P382" s="224">
        <v>0.10921169464772194</v>
      </c>
      <c r="Q382" s="224">
        <v>7.1512592627912083E-2</v>
      </c>
      <c r="R382" s="224">
        <v>7.106006557277128E-2</v>
      </c>
      <c r="S382" s="224">
        <v>1.2976031394913171E-2</v>
      </c>
      <c r="T382" s="224">
        <v>0</v>
      </c>
      <c r="U382" s="259">
        <v>5.9927795228636907E-2</v>
      </c>
      <c r="V382" s="239">
        <v>63</v>
      </c>
      <c r="W382" s="239">
        <v>74</v>
      </c>
      <c r="X382" s="239">
        <v>67</v>
      </c>
      <c r="Y382" s="239">
        <v>9</v>
      </c>
      <c r="Z382" s="239">
        <v>0</v>
      </c>
      <c r="AA382" s="257">
        <v>213</v>
      </c>
      <c r="AB382" s="224">
        <v>0.10899653979238755</v>
      </c>
      <c r="AC382" s="224">
        <v>7.8891257995735611E-2</v>
      </c>
      <c r="AD382" s="224">
        <v>8.0820265379975872E-2</v>
      </c>
      <c r="AE382" s="224">
        <v>1.1749347258485639E-2</v>
      </c>
      <c r="AF382" s="224">
        <v>0</v>
      </c>
      <c r="AG382" s="259">
        <v>6.4721969006381039E-2</v>
      </c>
      <c r="AH382" s="261">
        <v>3.2766422218754878E-3</v>
      </c>
      <c r="AI382" s="261">
        <v>2.742772424017791E-3</v>
      </c>
      <c r="AJ382" s="261">
        <v>3.1103477090200084E-3</v>
      </c>
      <c r="AK382" s="261">
        <v>4.8384495457233484E-4</v>
      </c>
      <c r="AL382" s="261">
        <v>0</v>
      </c>
      <c r="AM382" s="262">
        <v>2.3369612920214168E-3</v>
      </c>
    </row>
    <row r="383" spans="1:39" x14ac:dyDescent="0.25">
      <c r="A383" s="215" t="str">
        <v>6050-AAlsalam</v>
      </c>
      <c r="B383" s="215" t="str">
        <v>HADARTAW2</v>
      </c>
      <c r="C383" s="215" t="str">
        <v>Maram Zamzami</v>
      </c>
      <c r="D383" s="239">
        <v>6254.14</v>
      </c>
      <c r="E383" s="239">
        <v>14592.27</v>
      </c>
      <c r="F383" s="239">
        <v>6273.09</v>
      </c>
      <c r="G383" s="239">
        <v>0</v>
      </c>
      <c r="H383" s="239">
        <v>0</v>
      </c>
      <c r="I383" s="257">
        <v>27119.5</v>
      </c>
      <c r="J383" s="240">
        <v>208.47133333333335</v>
      </c>
      <c r="K383" s="240">
        <v>217.79507462686567</v>
      </c>
      <c r="L383" s="240">
        <v>202.35774193548389</v>
      </c>
      <c r="M383" s="240" t="str">
        <v/>
      </c>
      <c r="N383" s="240" t="str">
        <v/>
      </c>
      <c r="O383" s="258">
        <v>211.87109375</v>
      </c>
      <c r="P383" s="224">
        <v>5.403573726501483E-2</v>
      </c>
      <c r="Q383" s="224">
        <v>7.6796744535082784E-2</v>
      </c>
      <c r="R383" s="224">
        <v>3.7050665245692942E-2</v>
      </c>
      <c r="S383" s="224">
        <v>0</v>
      </c>
      <c r="T383" s="224">
        <v>0</v>
      </c>
      <c r="U383" s="259">
        <v>4.0270090178451762E-2</v>
      </c>
      <c r="V383" s="239">
        <v>30</v>
      </c>
      <c r="W383" s="239">
        <v>67</v>
      </c>
      <c r="X383" s="239">
        <v>31</v>
      </c>
      <c r="Y383" s="239">
        <v>0</v>
      </c>
      <c r="Z383" s="239">
        <v>0</v>
      </c>
      <c r="AA383" s="257">
        <v>128</v>
      </c>
      <c r="AB383" s="224">
        <v>5.1903114186851208E-2</v>
      </c>
      <c r="AC383" s="224">
        <v>7.1428571428571425E-2</v>
      </c>
      <c r="AD383" s="224">
        <v>3.739445114595899E-2</v>
      </c>
      <c r="AE383" s="224">
        <v>0</v>
      </c>
      <c r="AF383" s="224">
        <v>0</v>
      </c>
      <c r="AG383" s="259">
        <v>3.8893953205712546E-2</v>
      </c>
      <c r="AH383" s="261">
        <v>1.5603058199407083E-3</v>
      </c>
      <c r="AI383" s="261">
        <v>2.4833209785025947E-3</v>
      </c>
      <c r="AJ383" s="261">
        <v>1.4391161041734366E-3</v>
      </c>
      <c r="AK383" s="261">
        <v>0</v>
      </c>
      <c r="AL383" s="261">
        <v>0</v>
      </c>
      <c r="AM383" s="262">
        <v>1.4043711050645133E-3</v>
      </c>
    </row>
    <row r="384" spans="1:39" x14ac:dyDescent="0.25">
      <c r="A384" s="215" t="str">
        <v>4567-RKutbi</v>
      </c>
      <c r="B384" s="215" t="str">
        <v>HADARTAW2</v>
      </c>
      <c r="C384" s="215" t="str">
        <v>Maram Zamzami</v>
      </c>
      <c r="D384" s="239">
        <v>1007.03</v>
      </c>
      <c r="E384" s="239">
        <v>2062</v>
      </c>
      <c r="F384" s="239">
        <v>0</v>
      </c>
      <c r="G384" s="239">
        <v>2703.98</v>
      </c>
      <c r="H384" s="239">
        <v>3619.14</v>
      </c>
      <c r="I384" s="257">
        <v>9392.15</v>
      </c>
      <c r="J384" s="240">
        <v>167.83833333333334</v>
      </c>
      <c r="K384" s="240">
        <v>229.11111111111111</v>
      </c>
      <c r="L384" s="240" t="str">
        <v/>
      </c>
      <c r="M384" s="240">
        <v>207.99846153846153</v>
      </c>
      <c r="N384" s="240">
        <v>212.8905882352941</v>
      </c>
      <c r="O384" s="258">
        <v>208.71444444444444</v>
      </c>
      <c r="P384" s="224">
        <v>8.700733993480779E-3</v>
      </c>
      <c r="Q384" s="224">
        <v>1.0851970751044266E-2</v>
      </c>
      <c r="R384" s="224">
        <v>0</v>
      </c>
      <c r="S384" s="224">
        <v>1.67235109440232E-2</v>
      </c>
      <c r="T384" s="224">
        <v>9.864263284691685E-2</v>
      </c>
      <c r="U384" s="259">
        <v>1.3946522888310834E-2</v>
      </c>
      <c r="V384" s="239">
        <v>6</v>
      </c>
      <c r="W384" s="239">
        <v>9</v>
      </c>
      <c r="X384" s="239">
        <v>0</v>
      </c>
      <c r="Y384" s="239">
        <v>13</v>
      </c>
      <c r="Z384" s="239">
        <v>17</v>
      </c>
      <c r="AA384" s="257">
        <v>45</v>
      </c>
      <c r="AB384" s="224">
        <v>1.0380622837370242E-2</v>
      </c>
      <c r="AC384" s="224">
        <v>9.5948827292110881E-3</v>
      </c>
      <c r="AD384" s="224">
        <v>0</v>
      </c>
      <c r="AE384" s="224">
        <v>1.6971279373368148E-2</v>
      </c>
      <c r="AF384" s="224">
        <v>9.4444444444444442E-2</v>
      </c>
      <c r="AG384" s="259">
        <v>1.3673655423883319E-2</v>
      </c>
      <c r="AH384" s="261">
        <v>3.1206116398814168E-4</v>
      </c>
      <c r="AI384" s="261">
        <v>3.3358042994810971E-4</v>
      </c>
      <c r="AJ384" s="261">
        <v>0</v>
      </c>
      <c r="AK384" s="261">
        <v>6.9888715660448365E-4</v>
      </c>
      <c r="AL384" s="261">
        <v>3.545359749739312E-3</v>
      </c>
      <c r="AM384" s="262">
        <v>4.9372421662424292E-4</v>
      </c>
    </row>
    <row r="385" spans="1:39" x14ac:dyDescent="0.25">
      <c r="A385" s="215" t="str">
        <v>5388-NAloqbi</v>
      </c>
      <c r="B385" s="215" t="str">
        <v>HADIYAFAML</v>
      </c>
      <c r="C385" s="215" t="str">
        <v>Maram Zamzami</v>
      </c>
      <c r="D385" s="239">
        <v>4536.08</v>
      </c>
      <c r="E385" s="239">
        <v>9722.09</v>
      </c>
      <c r="F385" s="239">
        <v>6513.08</v>
      </c>
      <c r="G385" s="239">
        <v>1702.02</v>
      </c>
      <c r="H385" s="239">
        <v>589.98</v>
      </c>
      <c r="I385" s="257">
        <v>23063.25</v>
      </c>
      <c r="J385" s="240">
        <v>98.610434782608692</v>
      </c>
      <c r="K385" s="240">
        <v>121.52612500000001</v>
      </c>
      <c r="L385" s="240">
        <v>118.41963636363636</v>
      </c>
      <c r="M385" s="240">
        <v>89.58</v>
      </c>
      <c r="N385" s="240">
        <v>196.66</v>
      </c>
      <c r="O385" s="258">
        <v>113.61206896551724</v>
      </c>
      <c r="P385" s="224">
        <v>0.46437404792714287</v>
      </c>
      <c r="Q385" s="224">
        <v>0.52164691237464644</v>
      </c>
      <c r="R385" s="224">
        <v>0.52229321837089504</v>
      </c>
      <c r="S385" s="224">
        <v>0.18474032458341652</v>
      </c>
      <c r="T385" s="224">
        <v>0.43962087003174322</v>
      </c>
      <c r="U385" s="259">
        <v>0.44843369755173373</v>
      </c>
      <c r="V385" s="239">
        <v>46</v>
      </c>
      <c r="W385" s="239">
        <v>80</v>
      </c>
      <c r="X385" s="239">
        <v>55</v>
      </c>
      <c r="Y385" s="239">
        <v>19</v>
      </c>
      <c r="Z385" s="239">
        <v>3</v>
      </c>
      <c r="AA385" s="257">
        <v>203</v>
      </c>
      <c r="AB385" s="224">
        <v>0.4946236559139785</v>
      </c>
      <c r="AC385" s="224">
        <v>0.53691275167785235</v>
      </c>
      <c r="AD385" s="224">
        <v>0.52884615384615385</v>
      </c>
      <c r="AE385" s="224">
        <v>0.24675324675324675</v>
      </c>
      <c r="AF385" s="224">
        <v>0.33333333333333331</v>
      </c>
      <c r="AG385" s="259">
        <v>0.46990740740740738</v>
      </c>
      <c r="AH385" s="261">
        <v>2.392468923909086E-3</v>
      </c>
      <c r="AI385" s="261">
        <v>2.9651593773165306E-3</v>
      </c>
      <c r="AJ385" s="261">
        <v>2.5532705074044846E-3</v>
      </c>
      <c r="AK385" s="261">
        <v>1.0214504596527069E-3</v>
      </c>
      <c r="AL385" s="261">
        <v>6.2565172054223153E-4</v>
      </c>
      <c r="AM385" s="262">
        <v>2.2272447994382515E-3</v>
      </c>
    </row>
    <row r="386" spans="1:39" x14ac:dyDescent="0.25">
      <c r="A386" s="215" t="str">
        <v>5493-BAlGhereiby</v>
      </c>
      <c r="B386" s="215" t="str">
        <v>HADIYAFAML</v>
      </c>
      <c r="C386" s="215" t="str">
        <v>Maram Zamzami</v>
      </c>
      <c r="D386" s="239">
        <v>3736.0699999999997</v>
      </c>
      <c r="E386" s="239">
        <v>6825.1200000000008</v>
      </c>
      <c r="F386" s="239">
        <v>4402.0599999999995</v>
      </c>
      <c r="G386" s="239">
        <v>4588</v>
      </c>
      <c r="H386" s="239">
        <v>752.04</v>
      </c>
      <c r="I386" s="257">
        <v>20303.29</v>
      </c>
      <c r="J386" s="240">
        <v>120.51838709677419</v>
      </c>
      <c r="K386" s="240">
        <v>128.77584905660379</v>
      </c>
      <c r="L386" s="240">
        <v>133.39575757575756</v>
      </c>
      <c r="M386" s="240">
        <v>117.64102564102564</v>
      </c>
      <c r="N386" s="240">
        <v>125.33999999999999</v>
      </c>
      <c r="O386" s="258">
        <v>125.32895061728395</v>
      </c>
      <c r="P386" s="224">
        <v>0.38247428379551518</v>
      </c>
      <c r="Q386" s="224">
        <v>0.36620755152302104</v>
      </c>
      <c r="R386" s="224">
        <v>0.35300749950281307</v>
      </c>
      <c r="S386" s="224">
        <v>0.49798980575358398</v>
      </c>
      <c r="T386" s="224">
        <v>0.56037912996825678</v>
      </c>
      <c r="U386" s="259">
        <v>0.39477000887408065</v>
      </c>
      <c r="V386" s="239">
        <v>31</v>
      </c>
      <c r="W386" s="239">
        <v>53</v>
      </c>
      <c r="X386" s="239">
        <v>33</v>
      </c>
      <c r="Y386" s="239">
        <v>39</v>
      </c>
      <c r="Z386" s="239">
        <v>6</v>
      </c>
      <c r="AA386" s="257">
        <v>162</v>
      </c>
      <c r="AB386" s="224">
        <v>0.33333333333333331</v>
      </c>
      <c r="AC386" s="224">
        <v>0.35570469798657717</v>
      </c>
      <c r="AD386" s="224">
        <v>0.31730769230769229</v>
      </c>
      <c r="AE386" s="224">
        <v>0.50649350649350644</v>
      </c>
      <c r="AF386" s="224">
        <v>0.66666666666666663</v>
      </c>
      <c r="AG386" s="259">
        <v>0.375</v>
      </c>
      <c r="AH386" s="261">
        <v>1.612316013938732E-3</v>
      </c>
      <c r="AI386" s="261">
        <v>1.9644180874722017E-3</v>
      </c>
      <c r="AJ386" s="261">
        <v>1.5319623044426907E-3</v>
      </c>
      <c r="AK386" s="261">
        <v>2.0966614698134508E-3</v>
      </c>
      <c r="AL386" s="261">
        <v>1.2513034410844631E-3</v>
      </c>
      <c r="AM386" s="262">
        <v>1.7774071798472746E-3</v>
      </c>
    </row>
    <row r="387" spans="1:39" x14ac:dyDescent="0.25">
      <c r="A387" s="215" t="str">
        <v>3622-MAljezany</v>
      </c>
      <c r="B387" s="215" t="str">
        <v>HADIYAFAML</v>
      </c>
      <c r="C387" s="215" t="str">
        <v>Maram Zamzami</v>
      </c>
      <c r="D387" s="239">
        <v>1496.01</v>
      </c>
      <c r="E387" s="239">
        <v>2090.09</v>
      </c>
      <c r="F387" s="239">
        <v>1555.02</v>
      </c>
      <c r="G387" s="239">
        <v>1252.02</v>
      </c>
      <c r="H387" s="239">
        <v>0</v>
      </c>
      <c r="I387" s="257">
        <v>6393.1400000000012</v>
      </c>
      <c r="J387" s="240">
        <v>93.500624999999999</v>
      </c>
      <c r="K387" s="240">
        <v>130.63062500000001</v>
      </c>
      <c r="L387" s="240">
        <v>97.188749999999999</v>
      </c>
      <c r="M387" s="240">
        <v>178.85999999999999</v>
      </c>
      <c r="N387" s="240" t="str">
        <v/>
      </c>
      <c r="O387" s="258">
        <v>116.23890909090912</v>
      </c>
      <c r="P387" s="224">
        <v>0.15315166827734189</v>
      </c>
      <c r="Q387" s="224">
        <v>0.11214553610233241</v>
      </c>
      <c r="R387" s="224">
        <v>0.12469928212629189</v>
      </c>
      <c r="S387" s="224">
        <v>0.1358965119005236</v>
      </c>
      <c r="T387" s="224">
        <v>0</v>
      </c>
      <c r="U387" s="259">
        <v>0.12430595901123612</v>
      </c>
      <c r="V387" s="239">
        <v>16</v>
      </c>
      <c r="W387" s="239">
        <v>16</v>
      </c>
      <c r="X387" s="239">
        <v>16</v>
      </c>
      <c r="Y387" s="239">
        <v>7</v>
      </c>
      <c r="Z387" s="239">
        <v>0</v>
      </c>
      <c r="AA387" s="257">
        <v>55</v>
      </c>
      <c r="AB387" s="224">
        <v>0.17204301075268819</v>
      </c>
      <c r="AC387" s="224">
        <v>0.10738255033557047</v>
      </c>
      <c r="AD387" s="224">
        <v>0.15384615384615385</v>
      </c>
      <c r="AE387" s="224">
        <v>9.0909090909090912E-2</v>
      </c>
      <c r="AF387" s="224">
        <v>0</v>
      </c>
      <c r="AG387" s="259">
        <v>0.12731481481481483</v>
      </c>
      <c r="AH387" s="261">
        <v>8.3216310396837777E-4</v>
      </c>
      <c r="AI387" s="261">
        <v>5.9303187546330617E-4</v>
      </c>
      <c r="AJ387" s="261">
        <v>7.4276960215403183E-4</v>
      </c>
      <c r="AK387" s="261">
        <v>3.7632385355626042E-4</v>
      </c>
      <c r="AL387" s="261">
        <v>0</v>
      </c>
      <c r="AM387" s="262">
        <v>6.0344070920740809E-4</v>
      </c>
    </row>
    <row r="388" spans="1:39" x14ac:dyDescent="0.25">
      <c r="A388" s="215" t="str">
        <v>3677-RAlGhamdi</v>
      </c>
      <c r="B388" s="215" t="str">
        <v>HADIYAFAML</v>
      </c>
      <c r="C388" s="215" t="str">
        <v>Maram Zamzami</v>
      </c>
      <c r="D388" s="239">
        <v>0</v>
      </c>
      <c r="E388" s="239">
        <v>0</v>
      </c>
      <c r="F388" s="239">
        <v>0</v>
      </c>
      <c r="G388" s="239">
        <v>1671</v>
      </c>
      <c r="H388" s="239">
        <v>0</v>
      </c>
      <c r="I388" s="257">
        <v>1671</v>
      </c>
      <c r="J388" s="240" t="str">
        <v/>
      </c>
      <c r="K388" s="240" t="str">
        <v/>
      </c>
      <c r="L388" s="240" t="str">
        <v/>
      </c>
      <c r="M388" s="240">
        <v>139.25</v>
      </c>
      <c r="N388" s="240" t="str">
        <v/>
      </c>
      <c r="O388" s="258">
        <v>139.25</v>
      </c>
      <c r="P388" s="224">
        <v>0</v>
      </c>
      <c r="Q388" s="224">
        <v>0</v>
      </c>
      <c r="R388" s="224">
        <v>0</v>
      </c>
      <c r="S388" s="224">
        <v>0.18137335776247579</v>
      </c>
      <c r="T388" s="224">
        <v>0</v>
      </c>
      <c r="U388" s="259">
        <v>3.2490334562949585E-2</v>
      </c>
      <c r="V388" s="239">
        <v>0</v>
      </c>
      <c r="W388" s="239">
        <v>0</v>
      </c>
      <c r="X388" s="239">
        <v>0</v>
      </c>
      <c r="Y388" s="239">
        <v>12</v>
      </c>
      <c r="Z388" s="239">
        <v>0</v>
      </c>
      <c r="AA388" s="257">
        <v>12</v>
      </c>
      <c r="AB388" s="224">
        <v>0</v>
      </c>
      <c r="AC388" s="224">
        <v>0</v>
      </c>
      <c r="AD388" s="224">
        <v>0</v>
      </c>
      <c r="AE388" s="224">
        <v>0.15584415584415584</v>
      </c>
      <c r="AF388" s="224">
        <v>0</v>
      </c>
      <c r="AG388" s="259">
        <v>2.7777777777777776E-2</v>
      </c>
      <c r="AH388" s="261">
        <v>0</v>
      </c>
      <c r="AI388" s="261">
        <v>0</v>
      </c>
      <c r="AJ388" s="261">
        <v>0</v>
      </c>
      <c r="AK388" s="261">
        <v>6.4512660609644646E-4</v>
      </c>
      <c r="AL388" s="261">
        <v>0</v>
      </c>
      <c r="AM388" s="262">
        <v>1.3165979109979812E-4</v>
      </c>
    </row>
    <row r="389" spans="1:39" x14ac:dyDescent="0.25">
      <c r="A389" s="215" t="str">
        <v>5426-FNajjar</v>
      </c>
      <c r="B389" s="215" t="str">
        <v>HAMAJAZCC</v>
      </c>
      <c r="C389" s="215" t="str">
        <v>Maram Zamzami</v>
      </c>
      <c r="D389" s="239">
        <v>8157.17</v>
      </c>
      <c r="E389" s="239">
        <v>9594.25</v>
      </c>
      <c r="F389" s="239">
        <v>7843.1</v>
      </c>
      <c r="G389" s="239">
        <v>5668.95</v>
      </c>
      <c r="H389" s="239">
        <v>0</v>
      </c>
      <c r="I389" s="257">
        <v>31263.469999999998</v>
      </c>
      <c r="J389" s="240">
        <v>148.31218181818181</v>
      </c>
      <c r="K389" s="240">
        <v>204.13297872340425</v>
      </c>
      <c r="L389" s="240">
        <v>182.39767441860465</v>
      </c>
      <c r="M389" s="240">
        <v>209.96111111111111</v>
      </c>
      <c r="N389" s="240" t="str">
        <v/>
      </c>
      <c r="O389" s="258">
        <v>181.76436046511625</v>
      </c>
      <c r="P389" s="224">
        <v>0.60083896201468745</v>
      </c>
      <c r="Q389" s="224">
        <v>0.36579525988363032</v>
      </c>
      <c r="R389" s="224">
        <v>0.3044997288150596</v>
      </c>
      <c r="S389" s="224">
        <v>0.2249084429287313</v>
      </c>
      <c r="T389" s="224">
        <v>0</v>
      </c>
      <c r="U389" s="259">
        <v>0.29810923794820243</v>
      </c>
      <c r="V389" s="239">
        <v>55</v>
      </c>
      <c r="W389" s="239">
        <v>47</v>
      </c>
      <c r="X389" s="239">
        <v>43</v>
      </c>
      <c r="Y389" s="239">
        <v>27</v>
      </c>
      <c r="Z389" s="239">
        <v>0</v>
      </c>
      <c r="AA389" s="257">
        <v>172</v>
      </c>
      <c r="AB389" s="224">
        <v>0.57894736842105265</v>
      </c>
      <c r="AC389" s="224">
        <v>0.34558823529411764</v>
      </c>
      <c r="AD389" s="224">
        <v>0.30714285714285716</v>
      </c>
      <c r="AE389" s="224">
        <v>0.23478260869565218</v>
      </c>
      <c r="AF389" s="224">
        <v>0</v>
      </c>
      <c r="AG389" s="259">
        <v>0.34059405940594062</v>
      </c>
      <c r="AH389" s="261">
        <v>2.8605606698912985E-3</v>
      </c>
      <c r="AI389" s="261">
        <v>1.7420311341734618E-3</v>
      </c>
      <c r="AJ389" s="261">
        <v>1.9961933057889604E-3</v>
      </c>
      <c r="AK389" s="261">
        <v>1.4515348637170044E-3</v>
      </c>
      <c r="AL389" s="261">
        <v>0</v>
      </c>
      <c r="AM389" s="262">
        <v>1.8871236724304398E-3</v>
      </c>
    </row>
    <row r="390" spans="1:39" x14ac:dyDescent="0.25">
      <c r="A390" s="215" t="str">
        <v>6820-HAlyami</v>
      </c>
      <c r="B390" s="215" t="str">
        <v>HAMAJAZCC</v>
      </c>
      <c r="C390" s="215" t="str">
        <v>Maram Zamzami</v>
      </c>
      <c r="D390" s="239">
        <v>3764.09</v>
      </c>
      <c r="E390" s="239">
        <v>7072.12</v>
      </c>
      <c r="F390" s="239">
        <v>9166.130000000001</v>
      </c>
      <c r="G390" s="239">
        <v>6646.92</v>
      </c>
      <c r="H390" s="239">
        <v>4204.0600000000004</v>
      </c>
      <c r="I390" s="257">
        <v>30853.320000000003</v>
      </c>
      <c r="J390" s="240">
        <v>139.41074074074075</v>
      </c>
      <c r="K390" s="240">
        <v>168.38380952380953</v>
      </c>
      <c r="L390" s="240">
        <v>169.74314814814818</v>
      </c>
      <c r="M390" s="240">
        <v>184.63666666666666</v>
      </c>
      <c r="N390" s="240">
        <v>382.18727272727278</v>
      </c>
      <c r="O390" s="258">
        <v>181.49011764705884</v>
      </c>
      <c r="P390" s="224">
        <v>0.27725448023393712</v>
      </c>
      <c r="Q390" s="224">
        <v>0.26963524750014012</v>
      </c>
      <c r="R390" s="224">
        <v>0.35586491301699358</v>
      </c>
      <c r="S390" s="224">
        <v>0.26370816949732184</v>
      </c>
      <c r="T390" s="224">
        <v>0.298057971589894</v>
      </c>
      <c r="U390" s="259">
        <v>0.2941982995928486</v>
      </c>
      <c r="V390" s="239">
        <v>27</v>
      </c>
      <c r="W390" s="239">
        <v>42</v>
      </c>
      <c r="X390" s="239">
        <v>54</v>
      </c>
      <c r="Y390" s="239">
        <v>36</v>
      </c>
      <c r="Z390" s="239">
        <v>11</v>
      </c>
      <c r="AA390" s="257">
        <v>170</v>
      </c>
      <c r="AB390" s="224">
        <v>0.28421052631578947</v>
      </c>
      <c r="AC390" s="224">
        <v>0.30882352941176472</v>
      </c>
      <c r="AD390" s="224">
        <v>0.38571428571428573</v>
      </c>
      <c r="AE390" s="224">
        <v>0.31304347826086959</v>
      </c>
      <c r="AF390" s="224">
        <v>0.57894736842105265</v>
      </c>
      <c r="AG390" s="259">
        <v>0.33663366336633666</v>
      </c>
      <c r="AH390" s="261">
        <v>1.4042752379466376E-3</v>
      </c>
      <c r="AI390" s="261">
        <v>1.5567086730911787E-3</v>
      </c>
      <c r="AJ390" s="261">
        <v>2.5068474072698576E-3</v>
      </c>
      <c r="AK390" s="261">
        <v>1.9353798182893394E-3</v>
      </c>
      <c r="AL390" s="261">
        <v>2.2940563086548487E-3</v>
      </c>
      <c r="AM390" s="262">
        <v>1.8651803739138067E-3</v>
      </c>
    </row>
    <row r="391" spans="1:39" x14ac:dyDescent="0.25">
      <c r="A391" s="215" t="str">
        <v>5262-RAlmalki</v>
      </c>
      <c r="B391" s="215" t="str">
        <v>HAMAJAZCC</v>
      </c>
      <c r="C391" s="215" t="str">
        <v>Maram Zamzami</v>
      </c>
      <c r="D391" s="239">
        <v>1655.04</v>
      </c>
      <c r="E391" s="239">
        <v>5257.09</v>
      </c>
      <c r="F391" s="239">
        <v>3676.0600000000004</v>
      </c>
      <c r="G391" s="239">
        <v>4076.98</v>
      </c>
      <c r="H391" s="239">
        <v>9539.8000000000011</v>
      </c>
      <c r="I391" s="257">
        <v>24204.97</v>
      </c>
      <c r="J391" s="240">
        <v>127.31076923076922</v>
      </c>
      <c r="K391" s="240">
        <v>228.56913043478261</v>
      </c>
      <c r="L391" s="240">
        <v>204.22555555555559</v>
      </c>
      <c r="M391" s="240">
        <v>226.4988888888889</v>
      </c>
      <c r="N391" s="240">
        <v>1589.9666666666669</v>
      </c>
      <c r="O391" s="258">
        <v>310.32012820512824</v>
      </c>
      <c r="P391" s="224">
        <v>0.12190655775137556</v>
      </c>
      <c r="Q391" s="224">
        <v>0.20043448969764538</v>
      </c>
      <c r="R391" s="224">
        <v>0.14271898523643559</v>
      </c>
      <c r="S391" s="224">
        <v>0.16174904058980569</v>
      </c>
      <c r="T391" s="224">
        <v>0.67634939495946078</v>
      </c>
      <c r="U391" s="259">
        <v>0.23080371952502721</v>
      </c>
      <c r="V391" s="239">
        <v>13</v>
      </c>
      <c r="W391" s="239">
        <v>23</v>
      </c>
      <c r="X391" s="239">
        <v>18</v>
      </c>
      <c r="Y391" s="239">
        <v>18</v>
      </c>
      <c r="Z391" s="239">
        <v>6</v>
      </c>
      <c r="AA391" s="257">
        <v>78</v>
      </c>
      <c r="AB391" s="224">
        <v>0.1368421052631579</v>
      </c>
      <c r="AC391" s="224">
        <v>0.16911764705882354</v>
      </c>
      <c r="AD391" s="224">
        <v>0.12857142857142856</v>
      </c>
      <c r="AE391" s="224">
        <v>0.15652173913043479</v>
      </c>
      <c r="AF391" s="224">
        <v>0.31578947368421051</v>
      </c>
      <c r="AG391" s="259">
        <v>0.15445544554455445</v>
      </c>
      <c r="AH391" s="261">
        <v>6.7613252197430695E-4</v>
      </c>
      <c r="AI391" s="261">
        <v>8.5248332097850258E-4</v>
      </c>
      <c r="AJ391" s="261">
        <v>8.3561580242328586E-4</v>
      </c>
      <c r="AK391" s="261">
        <v>9.6768990914466969E-4</v>
      </c>
      <c r="AL391" s="261">
        <v>1.2513034410844631E-3</v>
      </c>
      <c r="AM391" s="262">
        <v>8.5578864214868775E-4</v>
      </c>
    </row>
    <row r="392" spans="1:39" x14ac:dyDescent="0.25">
      <c r="A392" s="215" t="str">
        <v>3652-MMetwally</v>
      </c>
      <c r="B392" s="215" t="str">
        <v>HAMAJAZCC</v>
      </c>
      <c r="C392" s="215" t="str">
        <v>Maram Zamzami</v>
      </c>
      <c r="D392" s="239">
        <v>0</v>
      </c>
      <c r="E392" s="239">
        <v>4305.01</v>
      </c>
      <c r="F392" s="239">
        <v>5072.0400000000009</v>
      </c>
      <c r="G392" s="239">
        <v>8812.74</v>
      </c>
      <c r="H392" s="239">
        <v>360.98</v>
      </c>
      <c r="I392" s="257">
        <v>18550.77</v>
      </c>
      <c r="J392" s="240" t="str">
        <v/>
      </c>
      <c r="K392" s="240">
        <v>179.37541666666667</v>
      </c>
      <c r="L392" s="240">
        <v>202.88160000000005</v>
      </c>
      <c r="M392" s="240">
        <v>259.19823529411764</v>
      </c>
      <c r="N392" s="240">
        <v>180.49</v>
      </c>
      <c r="O392" s="258">
        <v>218.24435294117649</v>
      </c>
      <c r="P392" s="224">
        <v>0</v>
      </c>
      <c r="Q392" s="224">
        <v>0.16413500291858429</v>
      </c>
      <c r="R392" s="224">
        <v>0.19691637293151115</v>
      </c>
      <c r="S392" s="224">
        <v>0.34963434698414125</v>
      </c>
      <c r="T392" s="224">
        <v>2.5592633450645313E-2</v>
      </c>
      <c r="U392" s="259">
        <v>0.17688874293392179</v>
      </c>
      <c r="V392" s="239">
        <v>0</v>
      </c>
      <c r="W392" s="239">
        <v>24</v>
      </c>
      <c r="X392" s="239">
        <v>25</v>
      </c>
      <c r="Y392" s="239">
        <v>34</v>
      </c>
      <c r="Z392" s="239">
        <v>2</v>
      </c>
      <c r="AA392" s="257">
        <v>85</v>
      </c>
      <c r="AB392" s="224">
        <v>0</v>
      </c>
      <c r="AC392" s="224">
        <v>0.17647058823529413</v>
      </c>
      <c r="AD392" s="224">
        <v>0.17857142857142858</v>
      </c>
      <c r="AE392" s="224">
        <v>0.29565217391304349</v>
      </c>
      <c r="AF392" s="224">
        <v>0.10526315789473684</v>
      </c>
      <c r="AG392" s="259">
        <v>0.16831683168316833</v>
      </c>
      <c r="AH392" s="261">
        <v>0</v>
      </c>
      <c r="AI392" s="261">
        <v>8.8954781319495926E-4</v>
      </c>
      <c r="AJ392" s="261">
        <v>1.1605775033656748E-3</v>
      </c>
      <c r="AK392" s="261">
        <v>1.8278587172732648E-3</v>
      </c>
      <c r="AL392" s="261">
        <v>4.1710114702815432E-4</v>
      </c>
      <c r="AM392" s="262">
        <v>9.3259018695690337E-4</v>
      </c>
    </row>
    <row r="393" spans="1:39" x14ac:dyDescent="0.25">
      <c r="A393" s="215" t="str">
        <v>5082-FAteeq</v>
      </c>
      <c r="B393" s="215" t="str">
        <v>HAMAKHLTON</v>
      </c>
      <c r="C393" s="215" t="str">
        <v>Maram Zamzami</v>
      </c>
      <c r="D393" s="239">
        <v>16299.25</v>
      </c>
      <c r="E393" s="239">
        <v>21309.089999999997</v>
      </c>
      <c r="F393" s="239">
        <v>17014.14</v>
      </c>
      <c r="G393" s="239">
        <v>13126.84</v>
      </c>
      <c r="H393" s="239">
        <v>3648.27</v>
      </c>
      <c r="I393" s="257">
        <v>71397.59</v>
      </c>
      <c r="J393" s="240">
        <v>239.69485294117646</v>
      </c>
      <c r="K393" s="240">
        <v>239.42797752808985</v>
      </c>
      <c r="L393" s="240">
        <v>223.87026315789473</v>
      </c>
      <c r="M393" s="240">
        <v>208.36253968253968</v>
      </c>
      <c r="N393" s="240">
        <v>280.63615384615383</v>
      </c>
      <c r="O393" s="258">
        <v>231.06016181229774</v>
      </c>
      <c r="P393" s="224">
        <v>0.23859978519175742</v>
      </c>
      <c r="Q393" s="224">
        <v>0.19401881197872858</v>
      </c>
      <c r="R393" s="224">
        <v>0.19332235493187813</v>
      </c>
      <c r="S393" s="224">
        <v>0.17073920689260483</v>
      </c>
      <c r="T393" s="224">
        <v>0.15271692947829765</v>
      </c>
      <c r="U393" s="259">
        <v>0.19458478429712109</v>
      </c>
      <c r="V393" s="239">
        <v>68</v>
      </c>
      <c r="W393" s="239">
        <v>89</v>
      </c>
      <c r="X393" s="239">
        <v>76</v>
      </c>
      <c r="Y393" s="239">
        <v>63</v>
      </c>
      <c r="Z393" s="239">
        <v>13</v>
      </c>
      <c r="AA393" s="257">
        <v>309</v>
      </c>
      <c r="AB393" s="224">
        <v>0.19653179190751446</v>
      </c>
      <c r="AC393" s="224">
        <v>0.16824196597353497</v>
      </c>
      <c r="AD393" s="224">
        <v>0.18313253012048192</v>
      </c>
      <c r="AE393" s="224">
        <v>0.16890080428954424</v>
      </c>
      <c r="AF393" s="224">
        <v>0.13829787234042554</v>
      </c>
      <c r="AG393" s="259">
        <v>0.17586795674445077</v>
      </c>
      <c r="AH393" s="261">
        <v>3.5366931918656055E-3</v>
      </c>
      <c r="AI393" s="261">
        <v>3.2987398072646403E-3</v>
      </c>
      <c r="AJ393" s="261">
        <v>3.5281556102316511E-3</v>
      </c>
      <c r="AK393" s="261">
        <v>3.3869146820063437E-3</v>
      </c>
      <c r="AL393" s="261">
        <v>2.7111574556830031E-3</v>
      </c>
      <c r="AM393" s="262">
        <v>3.3902396208198016E-3</v>
      </c>
    </row>
    <row r="394" spans="1:39" x14ac:dyDescent="0.25">
      <c r="A394" s="215" t="str">
        <v>5403-TAlhudhali</v>
      </c>
      <c r="B394" s="215" t="str">
        <v>HAMAKHLTON</v>
      </c>
      <c r="C394" s="215" t="str">
        <v>Maram Zamzami</v>
      </c>
      <c r="D394" s="239">
        <v>11298.2</v>
      </c>
      <c r="E394" s="239">
        <v>18869.21</v>
      </c>
      <c r="F394" s="239">
        <v>13239.14</v>
      </c>
      <c r="G394" s="239">
        <v>10086.969999999999</v>
      </c>
      <c r="H394" s="239">
        <v>0</v>
      </c>
      <c r="I394" s="257">
        <v>53493.520000000004</v>
      </c>
      <c r="J394" s="240">
        <v>185.21639344262297</v>
      </c>
      <c r="K394" s="240">
        <v>209.65788888888889</v>
      </c>
      <c r="L394" s="240">
        <v>200.5930303030303</v>
      </c>
      <c r="M394" s="240">
        <v>210.14520833333333</v>
      </c>
      <c r="N394" s="240" t="str">
        <v/>
      </c>
      <c r="O394" s="258">
        <v>201.86233962264151</v>
      </c>
      <c r="P394" s="224">
        <v>0.16539092860429247</v>
      </c>
      <c r="Q394" s="224">
        <v>0.17180375638645973</v>
      </c>
      <c r="R394" s="224">
        <v>0.15042909733156215</v>
      </c>
      <c r="S394" s="224">
        <v>0.13119998855394732</v>
      </c>
      <c r="T394" s="224">
        <v>0</v>
      </c>
      <c r="U394" s="259">
        <v>0.14578958548171911</v>
      </c>
      <c r="V394" s="239">
        <v>61</v>
      </c>
      <c r="W394" s="239">
        <v>90</v>
      </c>
      <c r="X394" s="239">
        <v>66</v>
      </c>
      <c r="Y394" s="239">
        <v>48</v>
      </c>
      <c r="Z394" s="239">
        <v>0</v>
      </c>
      <c r="AA394" s="257">
        <v>265</v>
      </c>
      <c r="AB394" s="224">
        <v>0.17630057803468208</v>
      </c>
      <c r="AC394" s="224">
        <v>0.17013232514177692</v>
      </c>
      <c r="AD394" s="224">
        <v>0.15903614457831325</v>
      </c>
      <c r="AE394" s="224">
        <v>0.12868632707774799</v>
      </c>
      <c r="AF394" s="224">
        <v>0</v>
      </c>
      <c r="AG394" s="259">
        <v>0.15082527034718271</v>
      </c>
      <c r="AH394" s="261">
        <v>3.1726218338794404E-3</v>
      </c>
      <c r="AI394" s="261">
        <v>3.335804299481097E-3</v>
      </c>
      <c r="AJ394" s="261">
        <v>3.0639246088853813E-3</v>
      </c>
      <c r="AK394" s="261">
        <v>2.5805064243857858E-3</v>
      </c>
      <c r="AL394" s="261">
        <v>0</v>
      </c>
      <c r="AM394" s="262">
        <v>2.9074870534538753E-3</v>
      </c>
    </row>
    <row r="395" spans="1:39" x14ac:dyDescent="0.25">
      <c r="A395" s="215" t="str">
        <v>6048-AAlawadi</v>
      </c>
      <c r="B395" s="215" t="str">
        <v>HAMAKHLTON</v>
      </c>
      <c r="C395" s="215" t="str">
        <v>Maram Zamzami</v>
      </c>
      <c r="D395" s="239">
        <v>10240.23</v>
      </c>
      <c r="E395" s="239">
        <v>9216.1200000000008</v>
      </c>
      <c r="F395" s="239">
        <v>15471.16</v>
      </c>
      <c r="G395" s="239">
        <v>9925.59</v>
      </c>
      <c r="H395" s="239">
        <v>3399.86</v>
      </c>
      <c r="I395" s="257">
        <v>48252.959999999992</v>
      </c>
      <c r="J395" s="240">
        <v>217.87723404255317</v>
      </c>
      <c r="K395" s="240">
        <v>173.88905660377361</v>
      </c>
      <c r="L395" s="240">
        <v>206.28213333333332</v>
      </c>
      <c r="M395" s="240">
        <v>248.13974999999999</v>
      </c>
      <c r="N395" s="240">
        <v>242.84714285714287</v>
      </c>
      <c r="O395" s="258">
        <v>210.71161572052398</v>
      </c>
      <c r="P395" s="224">
        <v>0.1499036261370425</v>
      </c>
      <c r="Q395" s="224">
        <v>8.3912576907479414E-2</v>
      </c>
      <c r="R395" s="224">
        <v>0.17579031821343163</v>
      </c>
      <c r="S395" s="224">
        <v>0.12910093857631916</v>
      </c>
      <c r="T395" s="224">
        <v>0.14231846323218542</v>
      </c>
      <c r="U395" s="259">
        <v>0.1315071252866884</v>
      </c>
      <c r="V395" s="239">
        <v>47</v>
      </c>
      <c r="W395" s="239">
        <v>53</v>
      </c>
      <c r="X395" s="239">
        <v>75</v>
      </c>
      <c r="Y395" s="239">
        <v>40</v>
      </c>
      <c r="Z395" s="239">
        <v>14</v>
      </c>
      <c r="AA395" s="257">
        <v>229</v>
      </c>
      <c r="AB395" s="224">
        <v>0.13583815028901733</v>
      </c>
      <c r="AC395" s="224">
        <v>0.1001890359168242</v>
      </c>
      <c r="AD395" s="224">
        <v>0.18072289156626506</v>
      </c>
      <c r="AE395" s="224">
        <v>0.10723860589812333</v>
      </c>
      <c r="AF395" s="224">
        <v>0.14893617021276595</v>
      </c>
      <c r="AG395" s="259">
        <v>0.13033579965850883</v>
      </c>
      <c r="AH395" s="261">
        <v>2.4444791179071097E-3</v>
      </c>
      <c r="AI395" s="261">
        <v>1.9644180874722017E-3</v>
      </c>
      <c r="AJ395" s="261">
        <v>3.4817325100970245E-3</v>
      </c>
      <c r="AK395" s="261">
        <v>2.1504220203214879E-3</v>
      </c>
      <c r="AL395" s="261">
        <v>2.9197080291970801E-3</v>
      </c>
      <c r="AM395" s="262">
        <v>2.5125076801544807E-3</v>
      </c>
    </row>
    <row r="396" spans="1:39" x14ac:dyDescent="0.25">
      <c r="A396" s="215" t="str">
        <v>5380-FAlJabri</v>
      </c>
      <c r="B396" s="215" t="str">
        <v>HAMAKHLTON</v>
      </c>
      <c r="C396" s="215" t="str">
        <v>Maram Zamzami</v>
      </c>
      <c r="D396" s="239">
        <v>3678.08</v>
      </c>
      <c r="E396" s="239">
        <v>14543.009999999998</v>
      </c>
      <c r="F396" s="239">
        <v>14659.19</v>
      </c>
      <c r="G396" s="239">
        <v>8867.7900000000009</v>
      </c>
      <c r="H396" s="239">
        <v>2861.15</v>
      </c>
      <c r="I396" s="257">
        <v>44609.22</v>
      </c>
      <c r="J396" s="240">
        <v>204.33777777777777</v>
      </c>
      <c r="K396" s="240">
        <v>250.74155172413791</v>
      </c>
      <c r="L396" s="240">
        <v>266.53072727272729</v>
      </c>
      <c r="M396" s="240">
        <v>201.54068181818184</v>
      </c>
      <c r="N396" s="240">
        <v>317.90555555555557</v>
      </c>
      <c r="O396" s="258">
        <v>242.44141304347826</v>
      </c>
      <c r="P396" s="224">
        <v>5.3842299364578072E-2</v>
      </c>
      <c r="Q396" s="224">
        <v>0.13241379724778343</v>
      </c>
      <c r="R396" s="224">
        <v>0.16656434778330487</v>
      </c>
      <c r="S396" s="224">
        <v>0.11534226298866843</v>
      </c>
      <c r="T396" s="224">
        <v>0.11976801135245782</v>
      </c>
      <c r="U396" s="259">
        <v>0.12157658894877013</v>
      </c>
      <c r="V396" s="239">
        <v>18</v>
      </c>
      <c r="W396" s="239">
        <v>58</v>
      </c>
      <c r="X396" s="239">
        <v>55</v>
      </c>
      <c r="Y396" s="239">
        <v>44</v>
      </c>
      <c r="Z396" s="239">
        <v>9</v>
      </c>
      <c r="AA396" s="257">
        <v>184</v>
      </c>
      <c r="AB396" s="224">
        <v>5.2023121387283239E-2</v>
      </c>
      <c r="AC396" s="224">
        <v>0.10964083175803403</v>
      </c>
      <c r="AD396" s="224">
        <v>0.13253012048192772</v>
      </c>
      <c r="AE396" s="224">
        <v>0.11796246648793565</v>
      </c>
      <c r="AF396" s="224">
        <v>9.5744680851063829E-2</v>
      </c>
      <c r="AG396" s="259">
        <v>0.10472396129766648</v>
      </c>
      <c r="AH396" s="261">
        <v>9.3618349196442508E-4</v>
      </c>
      <c r="AI396" s="261">
        <v>2.1497405485544846E-3</v>
      </c>
      <c r="AJ396" s="261">
        <v>2.5532705074044846E-3</v>
      </c>
      <c r="AK396" s="261">
        <v>2.3654642223536371E-3</v>
      </c>
      <c r="AL396" s="261">
        <v>1.8769551616266945E-3</v>
      </c>
      <c r="AM396" s="262">
        <v>2.0187834635302378E-3</v>
      </c>
    </row>
    <row r="397" spans="1:39" x14ac:dyDescent="0.25">
      <c r="A397" s="215" t="str">
        <v>5696-AAlawed</v>
      </c>
      <c r="B397" s="215" t="str">
        <v>HAMAKHLTON</v>
      </c>
      <c r="C397" s="215" t="str">
        <v>Maram Zamzami</v>
      </c>
      <c r="D397" s="239">
        <v>6837.18</v>
      </c>
      <c r="E397" s="239">
        <v>8541.0800000000017</v>
      </c>
      <c r="F397" s="239">
        <v>13550.32</v>
      </c>
      <c r="G397" s="239">
        <v>10714.91</v>
      </c>
      <c r="H397" s="239">
        <v>1898.82</v>
      </c>
      <c r="I397" s="257">
        <v>41542.310000000005</v>
      </c>
      <c r="J397" s="240">
        <v>195.34800000000001</v>
      </c>
      <c r="K397" s="240">
        <v>189.80177777777783</v>
      </c>
      <c r="L397" s="240">
        <v>225.83866666666665</v>
      </c>
      <c r="M397" s="240">
        <v>202.16811320754718</v>
      </c>
      <c r="N397" s="240">
        <v>210.98</v>
      </c>
      <c r="O397" s="258">
        <v>205.65500000000003</v>
      </c>
      <c r="P397" s="224">
        <v>0.10008740766092797</v>
      </c>
      <c r="Q397" s="224">
        <v>7.7766352041090434E-2</v>
      </c>
      <c r="R397" s="224">
        <v>0.15396486525210953</v>
      </c>
      <c r="S397" s="224">
        <v>0.13936752754856768</v>
      </c>
      <c r="T397" s="224">
        <v>7.9484785948403247E-2</v>
      </c>
      <c r="U397" s="259">
        <v>0.11321812725827493</v>
      </c>
      <c r="V397" s="239">
        <v>35</v>
      </c>
      <c r="W397" s="239">
        <v>45</v>
      </c>
      <c r="X397" s="239">
        <v>60</v>
      </c>
      <c r="Y397" s="239">
        <v>53</v>
      </c>
      <c r="Z397" s="239">
        <v>9</v>
      </c>
      <c r="AA397" s="257">
        <v>202</v>
      </c>
      <c r="AB397" s="224">
        <v>0.10115606936416185</v>
      </c>
      <c r="AC397" s="224">
        <v>8.5066162570888462E-2</v>
      </c>
      <c r="AD397" s="224">
        <v>0.14457831325301204</v>
      </c>
      <c r="AE397" s="224">
        <v>0.14209115281501342</v>
      </c>
      <c r="AF397" s="224">
        <v>9.5744680851063829E-2</v>
      </c>
      <c r="AG397" s="259">
        <v>0.11496869664200342</v>
      </c>
      <c r="AH397" s="261">
        <v>1.8203567899308265E-3</v>
      </c>
      <c r="AI397" s="261">
        <v>1.6679021497405485E-3</v>
      </c>
      <c r="AJ397" s="261">
        <v>2.7853860080776192E-3</v>
      </c>
      <c r="AK397" s="261">
        <v>2.8493091769259717E-3</v>
      </c>
      <c r="AL397" s="261">
        <v>1.8769551616266945E-3</v>
      </c>
      <c r="AM397" s="262">
        <v>2.2162731501799348E-3</v>
      </c>
    </row>
    <row r="398" spans="1:39" x14ac:dyDescent="0.25">
      <c r="A398" s="215" t="str">
        <v>5981-AAlqurashi</v>
      </c>
      <c r="B398" s="215" t="str">
        <v>HAMAKHLTON</v>
      </c>
      <c r="C398" s="215" t="str">
        <v>Maram Zamzami</v>
      </c>
      <c r="D398" s="239">
        <v>10862.06</v>
      </c>
      <c r="E398" s="239">
        <v>20603.2</v>
      </c>
      <c r="F398" s="239">
        <v>8405.2000000000007</v>
      </c>
      <c r="G398" s="239">
        <v>0</v>
      </c>
      <c r="H398" s="239">
        <v>0</v>
      </c>
      <c r="I398" s="257">
        <v>39870.460000000006</v>
      </c>
      <c r="J398" s="240">
        <v>231.10765957446807</v>
      </c>
      <c r="K398" s="240">
        <v>245.27619047619049</v>
      </c>
      <c r="L398" s="240">
        <v>215.51794871794874</v>
      </c>
      <c r="M398" s="240" t="str">
        <v/>
      </c>
      <c r="N398" s="240" t="str">
        <v/>
      </c>
      <c r="O398" s="258">
        <v>234.53211764705887</v>
      </c>
      <c r="P398" s="224">
        <v>0.15900640721137357</v>
      </c>
      <c r="Q398" s="224">
        <v>0.1875916985173999</v>
      </c>
      <c r="R398" s="224">
        <v>9.5503684445609485E-2</v>
      </c>
      <c r="S398" s="224">
        <v>0</v>
      </c>
      <c r="T398" s="224">
        <v>0</v>
      </c>
      <c r="U398" s="259">
        <v>0.10866171895895921</v>
      </c>
      <c r="V398" s="239">
        <v>47</v>
      </c>
      <c r="W398" s="239">
        <v>84</v>
      </c>
      <c r="X398" s="239">
        <v>39</v>
      </c>
      <c r="Y398" s="239">
        <v>0</v>
      </c>
      <c r="Z398" s="239">
        <v>0</v>
      </c>
      <c r="AA398" s="257">
        <v>170</v>
      </c>
      <c r="AB398" s="224">
        <v>0.13583815028901733</v>
      </c>
      <c r="AC398" s="224">
        <v>0.15879017013232513</v>
      </c>
      <c r="AD398" s="224">
        <v>9.3975903614457831E-2</v>
      </c>
      <c r="AE398" s="224">
        <v>0</v>
      </c>
      <c r="AF398" s="224">
        <v>0</v>
      </c>
      <c r="AG398" s="259">
        <v>9.6755833807626632E-2</v>
      </c>
      <c r="AH398" s="261">
        <v>2.4444791179071097E-3</v>
      </c>
      <c r="AI398" s="261">
        <v>3.1134173461823574E-3</v>
      </c>
      <c r="AJ398" s="261">
        <v>1.8105009052504525E-3</v>
      </c>
      <c r="AK398" s="261">
        <v>0</v>
      </c>
      <c r="AL398" s="261">
        <v>0</v>
      </c>
      <c r="AM398" s="262">
        <v>1.8651803739138067E-3</v>
      </c>
    </row>
    <row r="399" spans="1:39" x14ac:dyDescent="0.25">
      <c r="A399" s="215" t="str">
        <v>5385-NJali</v>
      </c>
      <c r="B399" s="215" t="str">
        <v>HAMAKHLTON</v>
      </c>
      <c r="C399" s="215" t="str">
        <v>Maram Zamzami</v>
      </c>
      <c r="D399" s="239">
        <v>4656.1000000000004</v>
      </c>
      <c r="E399" s="239">
        <v>11234.220000000001</v>
      </c>
      <c r="F399" s="239">
        <v>4051.04</v>
      </c>
      <c r="G399" s="239">
        <v>5973.84</v>
      </c>
      <c r="H399" s="239">
        <v>2678.16</v>
      </c>
      <c r="I399" s="257">
        <v>28593.360000000001</v>
      </c>
      <c r="J399" s="240">
        <v>125.84054054054054</v>
      </c>
      <c r="K399" s="240">
        <v>162.81478260869568</v>
      </c>
      <c r="L399" s="240">
        <v>130.67870967741936</v>
      </c>
      <c r="M399" s="240">
        <v>199.12800000000001</v>
      </c>
      <c r="N399" s="240">
        <v>243.46909090909091</v>
      </c>
      <c r="O399" s="258">
        <v>160.63685393258427</v>
      </c>
      <c r="P399" s="224">
        <v>6.8159237991400945E-2</v>
      </c>
      <c r="Q399" s="224">
        <v>0.1022873345557071</v>
      </c>
      <c r="R399" s="224">
        <v>4.6029748945479204E-2</v>
      </c>
      <c r="S399" s="224">
        <v>7.770100829318545E-2</v>
      </c>
      <c r="T399" s="224">
        <v>0.11210803253366598</v>
      </c>
      <c r="U399" s="259">
        <v>7.792745928721026E-2</v>
      </c>
      <c r="V399" s="239">
        <v>37</v>
      </c>
      <c r="W399" s="239">
        <v>69</v>
      </c>
      <c r="X399" s="239">
        <v>31</v>
      </c>
      <c r="Y399" s="239">
        <v>30</v>
      </c>
      <c r="Z399" s="239">
        <v>11</v>
      </c>
      <c r="AA399" s="257">
        <v>178</v>
      </c>
      <c r="AB399" s="224">
        <v>0.1069364161849711</v>
      </c>
      <c r="AC399" s="224">
        <v>0.13043478260869565</v>
      </c>
      <c r="AD399" s="224">
        <v>7.4698795180722893E-2</v>
      </c>
      <c r="AE399" s="224">
        <v>8.0428954423592491E-2</v>
      </c>
      <c r="AF399" s="224">
        <v>0.11702127659574468</v>
      </c>
      <c r="AG399" s="259">
        <v>0.10130904951622083</v>
      </c>
      <c r="AH399" s="261">
        <v>1.9243771779268737E-3</v>
      </c>
      <c r="AI399" s="261">
        <v>2.5574499629355076E-3</v>
      </c>
      <c r="AJ399" s="261">
        <v>1.4391161041734366E-3</v>
      </c>
      <c r="AK399" s="261">
        <v>1.612816515241116E-3</v>
      </c>
      <c r="AL399" s="261">
        <v>2.2940563086548487E-3</v>
      </c>
      <c r="AM399" s="262">
        <v>1.9529535679803389E-3</v>
      </c>
    </row>
    <row r="400" spans="1:39" x14ac:dyDescent="0.25">
      <c r="A400" s="215" t="str">
        <v>3642-UAlGhamdi</v>
      </c>
      <c r="B400" s="215" t="str">
        <v>HAMAKHLTON</v>
      </c>
      <c r="C400" s="215" t="str">
        <v>Maram Zamzami</v>
      </c>
      <c r="D400" s="239">
        <v>0</v>
      </c>
      <c r="E400" s="239">
        <v>0</v>
      </c>
      <c r="F400" s="239">
        <v>0</v>
      </c>
      <c r="G400" s="239">
        <v>14933.63</v>
      </c>
      <c r="H400" s="239">
        <v>4064.84</v>
      </c>
      <c r="I400" s="257">
        <v>18998.47</v>
      </c>
      <c r="J400" s="240" t="str">
        <v/>
      </c>
      <c r="K400" s="240" t="str">
        <v/>
      </c>
      <c r="L400" s="240" t="str">
        <v/>
      </c>
      <c r="M400" s="240">
        <v>191.45679487179487</v>
      </c>
      <c r="N400" s="240">
        <v>239.10823529411766</v>
      </c>
      <c r="O400" s="258">
        <v>199.98389473684213</v>
      </c>
      <c r="P400" s="224">
        <v>0</v>
      </c>
      <c r="Q400" s="224">
        <v>0</v>
      </c>
      <c r="R400" s="224">
        <v>0</v>
      </c>
      <c r="S400" s="224">
        <v>0.19423990406126759</v>
      </c>
      <c r="T400" s="224">
        <v>0.17015458933153615</v>
      </c>
      <c r="U400" s="259">
        <v>5.1777842738463954E-2</v>
      </c>
      <c r="V400" s="239">
        <v>0</v>
      </c>
      <c r="W400" s="239">
        <v>0</v>
      </c>
      <c r="X400" s="239">
        <v>0</v>
      </c>
      <c r="Y400" s="239">
        <v>78</v>
      </c>
      <c r="Z400" s="239">
        <v>17</v>
      </c>
      <c r="AA400" s="257">
        <v>95</v>
      </c>
      <c r="AB400" s="224">
        <v>0</v>
      </c>
      <c r="AC400" s="224">
        <v>0</v>
      </c>
      <c r="AD400" s="224">
        <v>0</v>
      </c>
      <c r="AE400" s="224">
        <v>0.20911528150134048</v>
      </c>
      <c r="AF400" s="224">
        <v>0.18085106382978725</v>
      </c>
      <c r="AG400" s="259">
        <v>5.4069436539556058E-2</v>
      </c>
      <c r="AH400" s="261">
        <v>0</v>
      </c>
      <c r="AI400" s="261">
        <v>0</v>
      </c>
      <c r="AJ400" s="261">
        <v>0</v>
      </c>
      <c r="AK400" s="261">
        <v>4.1933229396269017E-3</v>
      </c>
      <c r="AL400" s="261">
        <v>3.545359749739312E-3</v>
      </c>
      <c r="AM400" s="262">
        <v>1.0423066795400685E-3</v>
      </c>
    </row>
    <row r="401" spans="1:39" x14ac:dyDescent="0.25">
      <c r="A401" s="215" t="str">
        <v>5384-EAlzhrani</v>
      </c>
      <c r="B401" s="215" t="str">
        <v>HAMAKHLTON</v>
      </c>
      <c r="C401" s="215" t="str">
        <v>Maram Zamzami</v>
      </c>
      <c r="D401" s="239">
        <v>4440.99</v>
      </c>
      <c r="E401" s="239">
        <v>5514.09</v>
      </c>
      <c r="F401" s="239">
        <v>0</v>
      </c>
      <c r="G401" s="239">
        <v>0</v>
      </c>
      <c r="H401" s="239">
        <v>0</v>
      </c>
      <c r="I401" s="257">
        <v>9955.08</v>
      </c>
      <c r="J401" s="240">
        <v>134.57545454545453</v>
      </c>
      <c r="K401" s="240">
        <v>134.49</v>
      </c>
      <c r="L401" s="240" t="str">
        <v/>
      </c>
      <c r="M401" s="240" t="str">
        <v/>
      </c>
      <c r="N401" s="240" t="str">
        <v/>
      </c>
      <c r="O401" s="258">
        <v>134.52810810810811</v>
      </c>
      <c r="P401" s="224">
        <v>6.5010307838627102E-2</v>
      </c>
      <c r="Q401" s="224">
        <v>5.0205672365351485E-2</v>
      </c>
      <c r="R401" s="224">
        <v>0</v>
      </c>
      <c r="S401" s="224">
        <v>0</v>
      </c>
      <c r="T401" s="224">
        <v>0</v>
      </c>
      <c r="U401" s="259">
        <v>2.713126723830012E-2</v>
      </c>
      <c r="V401" s="239">
        <v>33</v>
      </c>
      <c r="W401" s="239">
        <v>41</v>
      </c>
      <c r="X401" s="239">
        <v>0</v>
      </c>
      <c r="Y401" s="239">
        <v>0</v>
      </c>
      <c r="Z401" s="239">
        <v>0</v>
      </c>
      <c r="AA401" s="257">
        <v>74</v>
      </c>
      <c r="AB401" s="224">
        <v>9.5375722543352595E-2</v>
      </c>
      <c r="AC401" s="224">
        <v>7.7504725897920609E-2</v>
      </c>
      <c r="AD401" s="224">
        <v>0</v>
      </c>
      <c r="AE401" s="224">
        <v>0</v>
      </c>
      <c r="AF401" s="224">
        <v>0</v>
      </c>
      <c r="AG401" s="259">
        <v>4.2117245304496301E-2</v>
      </c>
      <c r="AH401" s="261">
        <v>1.7163364019347792E-3</v>
      </c>
      <c r="AI401" s="261">
        <v>1.519644180874722E-3</v>
      </c>
      <c r="AJ401" s="261">
        <v>0</v>
      </c>
      <c r="AK401" s="261">
        <v>0</v>
      </c>
      <c r="AL401" s="261">
        <v>0</v>
      </c>
      <c r="AM401" s="262">
        <v>8.1190204511542179E-4</v>
      </c>
    </row>
    <row r="402" spans="1:39" x14ac:dyDescent="0.25">
      <c r="A402" s="215" t="str">
        <v>3659-AGharib</v>
      </c>
      <c r="B402" s="215" t="str">
        <v>HAMAKHLTON</v>
      </c>
      <c r="C402" s="215" t="str">
        <v>Maram Zamzami</v>
      </c>
      <c r="D402" s="239">
        <v>0</v>
      </c>
      <c r="E402" s="239">
        <v>0</v>
      </c>
      <c r="F402" s="239">
        <v>0</v>
      </c>
      <c r="G402" s="239">
        <v>2692.84</v>
      </c>
      <c r="H402" s="239">
        <v>2484.9700000000003</v>
      </c>
      <c r="I402" s="257">
        <v>5177.8100000000004</v>
      </c>
      <c r="J402" s="240" t="str">
        <v/>
      </c>
      <c r="K402" s="240" t="str">
        <v/>
      </c>
      <c r="L402" s="240" t="str">
        <v/>
      </c>
      <c r="M402" s="240">
        <v>192.34571428571431</v>
      </c>
      <c r="N402" s="240">
        <v>191.15153846153848</v>
      </c>
      <c r="O402" s="258">
        <v>191.77074074074076</v>
      </c>
      <c r="P402" s="224">
        <v>0</v>
      </c>
      <c r="Q402" s="224">
        <v>0</v>
      </c>
      <c r="R402" s="224">
        <v>0</v>
      </c>
      <c r="S402" s="224">
        <v>3.5025441453440581E-2</v>
      </c>
      <c r="T402" s="224">
        <v>0.10402108074393764</v>
      </c>
      <c r="U402" s="259">
        <v>1.4111443285151175E-2</v>
      </c>
      <c r="V402" s="239">
        <v>0</v>
      </c>
      <c r="W402" s="239">
        <v>0</v>
      </c>
      <c r="X402" s="239">
        <v>0</v>
      </c>
      <c r="Y402" s="239">
        <v>14</v>
      </c>
      <c r="Z402" s="239">
        <v>13</v>
      </c>
      <c r="AA402" s="257">
        <v>27</v>
      </c>
      <c r="AB402" s="224">
        <v>0</v>
      </c>
      <c r="AC402" s="224">
        <v>0</v>
      </c>
      <c r="AD402" s="224">
        <v>0</v>
      </c>
      <c r="AE402" s="224">
        <v>3.7533512064343161E-2</v>
      </c>
      <c r="AF402" s="224">
        <v>0.13829787234042554</v>
      </c>
      <c r="AG402" s="259">
        <v>1.5367103016505406E-2</v>
      </c>
      <c r="AH402" s="261">
        <v>0</v>
      </c>
      <c r="AI402" s="261">
        <v>0</v>
      </c>
      <c r="AJ402" s="261">
        <v>0</v>
      </c>
      <c r="AK402" s="261">
        <v>7.5264770711252083E-4</v>
      </c>
      <c r="AL402" s="261">
        <v>2.7111574556830031E-3</v>
      </c>
      <c r="AM402" s="262">
        <v>2.9623452997454579E-4</v>
      </c>
    </row>
    <row r="403" spans="1:39" x14ac:dyDescent="0.25">
      <c r="A403" s="215" t="str">
        <v>4905-AAlshamrani</v>
      </c>
      <c r="B403" s="215" t="str">
        <v>HAMAKHLTON</v>
      </c>
      <c r="C403" s="215" t="str">
        <v>Maram Zamzami</v>
      </c>
      <c r="D403" s="239">
        <v>0</v>
      </c>
      <c r="E403" s="239">
        <v>0</v>
      </c>
      <c r="F403" s="239">
        <v>0</v>
      </c>
      <c r="G403" s="239">
        <v>349.01</v>
      </c>
      <c r="H403" s="239">
        <v>1365.1</v>
      </c>
      <c r="I403" s="257">
        <v>1714.11</v>
      </c>
      <c r="J403" s="240" t="str">
        <v/>
      </c>
      <c r="K403" s="240" t="str">
        <v/>
      </c>
      <c r="L403" s="240" t="str">
        <v/>
      </c>
      <c r="M403" s="240">
        <v>174.505</v>
      </c>
      <c r="N403" s="240">
        <v>455.0333333333333</v>
      </c>
      <c r="O403" s="258">
        <v>342.822</v>
      </c>
      <c r="P403" s="224">
        <v>0</v>
      </c>
      <c r="Q403" s="224">
        <v>0</v>
      </c>
      <c r="R403" s="224">
        <v>0</v>
      </c>
      <c r="S403" s="224">
        <v>4.5395305037303725E-3</v>
      </c>
      <c r="T403" s="224">
        <v>5.7143215943673054E-2</v>
      </c>
      <c r="U403" s="259">
        <v>4.6715823967102841E-3</v>
      </c>
      <c r="V403" s="239">
        <v>0</v>
      </c>
      <c r="W403" s="239">
        <v>0</v>
      </c>
      <c r="X403" s="239">
        <v>0</v>
      </c>
      <c r="Y403" s="239">
        <v>2</v>
      </c>
      <c r="Z403" s="239">
        <v>3</v>
      </c>
      <c r="AA403" s="257">
        <v>5</v>
      </c>
      <c r="AB403" s="224">
        <v>0</v>
      </c>
      <c r="AC403" s="224">
        <v>0</v>
      </c>
      <c r="AD403" s="224">
        <v>0</v>
      </c>
      <c r="AE403" s="224">
        <v>5.3619302949061663E-3</v>
      </c>
      <c r="AF403" s="224">
        <v>3.1914893617021274E-2</v>
      </c>
      <c r="AG403" s="259">
        <v>2.8457598178713715E-3</v>
      </c>
      <c r="AH403" s="261">
        <v>0</v>
      </c>
      <c r="AI403" s="261">
        <v>0</v>
      </c>
      <c r="AJ403" s="261">
        <v>0</v>
      </c>
      <c r="AK403" s="261">
        <v>1.075211010160744E-4</v>
      </c>
      <c r="AL403" s="261">
        <v>6.2565172054223153E-4</v>
      </c>
      <c r="AM403" s="262">
        <v>5.4858246291582549E-5</v>
      </c>
    </row>
    <row r="404" spans="1:39" x14ac:dyDescent="0.25">
      <c r="A404" s="215" t="str">
        <v>6907-KAlSharif</v>
      </c>
      <c r="B404" s="215" t="str">
        <v>HAMAKHLTON</v>
      </c>
      <c r="C404" s="215" t="str">
        <v>Maram Zamzami</v>
      </c>
      <c r="D404" s="239">
        <v>0</v>
      </c>
      <c r="E404" s="239">
        <v>0</v>
      </c>
      <c r="F404" s="239">
        <v>1618.98</v>
      </c>
      <c r="G404" s="239">
        <v>0</v>
      </c>
      <c r="H404" s="239">
        <v>0</v>
      </c>
      <c r="I404" s="257">
        <v>1618.98</v>
      </c>
      <c r="J404" s="240" t="str">
        <v/>
      </c>
      <c r="K404" s="240" t="str">
        <v/>
      </c>
      <c r="L404" s="240">
        <v>124.53692307692307</v>
      </c>
      <c r="M404" s="240" t="str">
        <v/>
      </c>
      <c r="N404" s="240" t="str">
        <v/>
      </c>
      <c r="O404" s="258">
        <v>124.53692307692307</v>
      </c>
      <c r="P404" s="224">
        <v>0</v>
      </c>
      <c r="Q404" s="224">
        <v>0</v>
      </c>
      <c r="R404" s="224">
        <v>1.8395583096625045E-2</v>
      </c>
      <c r="S404" s="224">
        <v>0</v>
      </c>
      <c r="T404" s="224">
        <v>0</v>
      </c>
      <c r="U404" s="259">
        <v>4.4123180359638622E-3</v>
      </c>
      <c r="V404" s="239">
        <v>0</v>
      </c>
      <c r="W404" s="239">
        <v>0</v>
      </c>
      <c r="X404" s="239">
        <v>13</v>
      </c>
      <c r="Y404" s="239">
        <v>0</v>
      </c>
      <c r="Z404" s="239">
        <v>0</v>
      </c>
      <c r="AA404" s="257">
        <v>13</v>
      </c>
      <c r="AB404" s="224">
        <v>0</v>
      </c>
      <c r="AC404" s="224">
        <v>0</v>
      </c>
      <c r="AD404" s="224">
        <v>3.1325301204819279E-2</v>
      </c>
      <c r="AE404" s="224">
        <v>0</v>
      </c>
      <c r="AF404" s="224">
        <v>0</v>
      </c>
      <c r="AG404" s="259">
        <v>7.3989755264655659E-3</v>
      </c>
      <c r="AH404" s="261">
        <v>0</v>
      </c>
      <c r="AI404" s="261">
        <v>0</v>
      </c>
      <c r="AJ404" s="261">
        <v>6.0350030175015089E-4</v>
      </c>
      <c r="AK404" s="261">
        <v>0</v>
      </c>
      <c r="AL404" s="261">
        <v>0</v>
      </c>
      <c r="AM404" s="262">
        <v>1.4263144035811463E-4</v>
      </c>
    </row>
    <row r="405" spans="1:39" x14ac:dyDescent="0.25">
      <c r="A405" s="215" t="str">
        <v>6819-MAlmushuli</v>
      </c>
      <c r="B405" s="215" t="str">
        <v>HAMAKHLTON</v>
      </c>
      <c r="C405" s="215" t="str">
        <v>Maram Zamzami</v>
      </c>
      <c r="D405" s="239">
        <v>0</v>
      </c>
      <c r="E405" s="239">
        <v>0</v>
      </c>
      <c r="F405" s="239">
        <v>0</v>
      </c>
      <c r="G405" s="239">
        <v>0</v>
      </c>
      <c r="H405" s="239">
        <v>1487.93</v>
      </c>
      <c r="I405" s="257">
        <v>1487.93</v>
      </c>
      <c r="J405" s="240" t="str">
        <v/>
      </c>
      <c r="K405" s="240" t="str">
        <v/>
      </c>
      <c r="L405" s="240" t="str">
        <v/>
      </c>
      <c r="M405" s="240" t="str">
        <v/>
      </c>
      <c r="N405" s="240">
        <v>297.58600000000001</v>
      </c>
      <c r="O405" s="258">
        <v>297.58600000000001</v>
      </c>
      <c r="P405" s="224">
        <v>0</v>
      </c>
      <c r="Q405" s="224">
        <v>0</v>
      </c>
      <c r="R405" s="224">
        <v>0</v>
      </c>
      <c r="S405" s="224">
        <v>0</v>
      </c>
      <c r="T405" s="224">
        <v>6.2284891435843134E-2</v>
      </c>
      <c r="U405" s="259">
        <v>4.0551584178011527E-3</v>
      </c>
      <c r="V405" s="239">
        <v>0</v>
      </c>
      <c r="W405" s="239">
        <v>0</v>
      </c>
      <c r="X405" s="239">
        <v>0</v>
      </c>
      <c r="Y405" s="239">
        <v>0</v>
      </c>
      <c r="Z405" s="239">
        <v>5</v>
      </c>
      <c r="AA405" s="257">
        <v>5</v>
      </c>
      <c r="AB405" s="224">
        <v>0</v>
      </c>
      <c r="AC405" s="224">
        <v>0</v>
      </c>
      <c r="AD405" s="224">
        <v>0</v>
      </c>
      <c r="AE405" s="224">
        <v>0</v>
      </c>
      <c r="AF405" s="224">
        <v>5.3191489361702128E-2</v>
      </c>
      <c r="AG405" s="259">
        <v>2.8457598178713715E-3</v>
      </c>
      <c r="AH405" s="261">
        <v>0</v>
      </c>
      <c r="AI405" s="261">
        <v>0</v>
      </c>
      <c r="AJ405" s="261">
        <v>0</v>
      </c>
      <c r="AK405" s="261">
        <v>0</v>
      </c>
      <c r="AL405" s="261">
        <v>1.0427528675703858E-3</v>
      </c>
      <c r="AM405" s="262">
        <v>5.4858246291582549E-5</v>
      </c>
    </row>
    <row r="406" spans="1:39" x14ac:dyDescent="0.25">
      <c r="A406" s="215" t="str">
        <v>3623-SALSulami</v>
      </c>
      <c r="B406" s="215" t="str">
        <v>HAMAKHLTON</v>
      </c>
      <c r="C406" s="215" t="str">
        <v>Maram Zamzami</v>
      </c>
      <c r="D406" s="239">
        <v>0</v>
      </c>
      <c r="E406" s="239">
        <v>0</v>
      </c>
      <c r="F406" s="239">
        <v>0</v>
      </c>
      <c r="G406" s="239">
        <v>210.98</v>
      </c>
      <c r="H406" s="239">
        <v>0</v>
      </c>
      <c r="I406" s="257">
        <v>210.98</v>
      </c>
      <c r="J406" s="240" t="str">
        <v/>
      </c>
      <c r="K406" s="240" t="str">
        <v/>
      </c>
      <c r="L406" s="240" t="str">
        <v/>
      </c>
      <c r="M406" s="240">
        <v>210.98</v>
      </c>
      <c r="N406" s="240" t="str">
        <v/>
      </c>
      <c r="O406" s="258">
        <v>210.98</v>
      </c>
      <c r="P406" s="224">
        <v>0</v>
      </c>
      <c r="Q406" s="224">
        <v>0</v>
      </c>
      <c r="R406" s="224">
        <v>0</v>
      </c>
      <c r="S406" s="224">
        <v>2.7441911282686283E-3</v>
      </c>
      <c r="T406" s="224">
        <v>0</v>
      </c>
      <c r="U406" s="259">
        <v>5.7499836886660465E-4</v>
      </c>
      <c r="V406" s="239">
        <v>0</v>
      </c>
      <c r="W406" s="239">
        <v>0</v>
      </c>
      <c r="X406" s="239">
        <v>0</v>
      </c>
      <c r="Y406" s="239">
        <v>1</v>
      </c>
      <c r="Z406" s="239">
        <v>0</v>
      </c>
      <c r="AA406" s="257">
        <v>1</v>
      </c>
      <c r="AB406" s="224">
        <v>0</v>
      </c>
      <c r="AC406" s="224">
        <v>0</v>
      </c>
      <c r="AD406" s="224">
        <v>0</v>
      </c>
      <c r="AE406" s="224">
        <v>2.6809651474530832E-3</v>
      </c>
      <c r="AF406" s="224">
        <v>0</v>
      </c>
      <c r="AG406" s="259">
        <v>5.6915196357427435E-4</v>
      </c>
      <c r="AH406" s="261">
        <v>0</v>
      </c>
      <c r="AI406" s="261">
        <v>0</v>
      </c>
      <c r="AJ406" s="261">
        <v>0</v>
      </c>
      <c r="AK406" s="261">
        <v>5.37605505080372E-5</v>
      </c>
      <c r="AL406" s="261">
        <v>0</v>
      </c>
      <c r="AM406" s="262">
        <v>1.097164925831651E-5</v>
      </c>
    </row>
    <row r="407" spans="1:39" x14ac:dyDescent="0.25">
      <c r="A407" s="215" t="str">
        <v>4565-SAldaadi</v>
      </c>
      <c r="B407" s="215" t="str">
        <v>HAMAKKMAL</v>
      </c>
      <c r="C407" s="215" t="str">
        <v>Maram Zamzami</v>
      </c>
      <c r="D407" s="239">
        <v>15773.3</v>
      </c>
      <c r="E407" s="239">
        <v>11570.140000000001</v>
      </c>
      <c r="F407" s="239">
        <v>15451.07</v>
      </c>
      <c r="G407" s="239">
        <v>13011.849999999999</v>
      </c>
      <c r="H407" s="239">
        <v>4115.0199999999995</v>
      </c>
      <c r="I407" s="257">
        <v>59921.38</v>
      </c>
      <c r="J407" s="240">
        <v>129.28934426229509</v>
      </c>
      <c r="K407" s="240">
        <v>152.23868421052634</v>
      </c>
      <c r="L407" s="240">
        <v>171.67855555555556</v>
      </c>
      <c r="M407" s="240">
        <v>213.30901639344259</v>
      </c>
      <c r="N407" s="240">
        <v>146.96499999999997</v>
      </c>
      <c r="O407" s="258">
        <v>158.9426525198939</v>
      </c>
      <c r="P407" s="224">
        <v>0.38040079633521801</v>
      </c>
      <c r="Q407" s="224">
        <v>0.22945254514726632</v>
      </c>
      <c r="R407" s="224">
        <v>0.37430507021065013</v>
      </c>
      <c r="S407" s="224">
        <v>0.35069914237816213</v>
      </c>
      <c r="T407" s="224">
        <v>0.49716322339011726</v>
      </c>
      <c r="U407" s="259">
        <v>0.33560210514902133</v>
      </c>
      <c r="V407" s="239">
        <v>122</v>
      </c>
      <c r="W407" s="239">
        <v>76</v>
      </c>
      <c r="X407" s="239">
        <v>90</v>
      </c>
      <c r="Y407" s="239">
        <v>61</v>
      </c>
      <c r="Z407" s="239">
        <v>28</v>
      </c>
      <c r="AA407" s="257">
        <v>377</v>
      </c>
      <c r="AB407" s="224">
        <v>0.39102564102564102</v>
      </c>
      <c r="AC407" s="224">
        <v>0.20708446866485014</v>
      </c>
      <c r="AD407" s="224">
        <v>0.33457249070631973</v>
      </c>
      <c r="AE407" s="224">
        <v>0.27727272727272728</v>
      </c>
      <c r="AF407" s="224">
        <v>0.5714285714285714</v>
      </c>
      <c r="AG407" s="259">
        <v>0.30977814297452755</v>
      </c>
      <c r="AH407" s="261">
        <v>6.3452436677588807E-3</v>
      </c>
      <c r="AI407" s="261">
        <v>2.8169014084507044E-3</v>
      </c>
      <c r="AJ407" s="261">
        <v>4.1780790121164289E-3</v>
      </c>
      <c r="AK407" s="261">
        <v>3.2793935809902692E-3</v>
      </c>
      <c r="AL407" s="261">
        <v>5.8394160583941602E-3</v>
      </c>
      <c r="AM407" s="262">
        <v>4.1363117703853243E-3</v>
      </c>
    </row>
    <row r="408" spans="1:39" x14ac:dyDescent="0.25">
      <c r="A408" s="215" t="str">
        <v>3647-MKhabarani</v>
      </c>
      <c r="B408" s="215" t="str">
        <v>HAMAKKMAL</v>
      </c>
      <c r="C408" s="215" t="str">
        <v>Maram Zamzami</v>
      </c>
      <c r="D408" s="239">
        <v>6020.2199999999993</v>
      </c>
      <c r="E408" s="239">
        <v>16715.29</v>
      </c>
      <c r="F408" s="239">
        <v>11373</v>
      </c>
      <c r="G408" s="239">
        <v>11772.919999999998</v>
      </c>
      <c r="H408" s="239">
        <v>3590.02</v>
      </c>
      <c r="I408" s="257">
        <v>49471.45</v>
      </c>
      <c r="J408" s="240">
        <v>107.50392857142856</v>
      </c>
      <c r="K408" s="240">
        <v>127.59763358778626</v>
      </c>
      <c r="L408" s="240">
        <v>151.63999999999999</v>
      </c>
      <c r="M408" s="240">
        <v>147.16149999999999</v>
      </c>
      <c r="N408" s="240">
        <v>224.37625</v>
      </c>
      <c r="O408" s="258">
        <v>138.18840782122905</v>
      </c>
      <c r="P408" s="224">
        <v>0.14518816494412748</v>
      </c>
      <c r="Q408" s="224">
        <v>0.33148828219664145</v>
      </c>
      <c r="R408" s="224">
        <v>0.27551305919303476</v>
      </c>
      <c r="S408" s="224">
        <v>0.3173071428956461</v>
      </c>
      <c r="T408" s="224">
        <v>0.43373444484716694</v>
      </c>
      <c r="U408" s="259">
        <v>0.27707510682788933</v>
      </c>
      <c r="V408" s="239">
        <v>56</v>
      </c>
      <c r="W408" s="239">
        <v>131</v>
      </c>
      <c r="X408" s="239">
        <v>75</v>
      </c>
      <c r="Y408" s="239">
        <v>80</v>
      </c>
      <c r="Z408" s="239">
        <v>16</v>
      </c>
      <c r="AA408" s="257">
        <v>358</v>
      </c>
      <c r="AB408" s="224">
        <v>0.17948717948717949</v>
      </c>
      <c r="AC408" s="224">
        <v>0.35694822888283378</v>
      </c>
      <c r="AD408" s="224">
        <v>0.27881040892193309</v>
      </c>
      <c r="AE408" s="224">
        <v>0.36363636363636365</v>
      </c>
      <c r="AF408" s="224">
        <v>0.32653061224489793</v>
      </c>
      <c r="AG408" s="259">
        <v>0.29416598192276089</v>
      </c>
      <c r="AH408" s="261">
        <v>2.9125708638893222E-3</v>
      </c>
      <c r="AI408" s="261">
        <v>4.8554484803558194E-3</v>
      </c>
      <c r="AJ408" s="261">
        <v>3.4817325100970245E-3</v>
      </c>
      <c r="AK408" s="261">
        <v>4.3008440406429758E-3</v>
      </c>
      <c r="AL408" s="261">
        <v>3.3368091762252345E-3</v>
      </c>
      <c r="AM408" s="262">
        <v>3.927850434477311E-3</v>
      </c>
    </row>
    <row r="409" spans="1:39" x14ac:dyDescent="0.25">
      <c r="A409" s="215" t="str">
        <v>4584-MAlmjnoni</v>
      </c>
      <c r="B409" s="215" t="str">
        <v>HAMAKKMAL</v>
      </c>
      <c r="C409" s="215" t="str">
        <v>Maram Zamzami</v>
      </c>
      <c r="D409" s="239">
        <v>6846.16</v>
      </c>
      <c r="E409" s="239">
        <v>8359.26</v>
      </c>
      <c r="F409" s="239">
        <v>6402.16</v>
      </c>
      <c r="G409" s="239">
        <v>4540.97</v>
      </c>
      <c r="H409" s="239">
        <v>360.98</v>
      </c>
      <c r="I409" s="257">
        <v>26509.530000000002</v>
      </c>
      <c r="J409" s="240">
        <v>134.23843137254903</v>
      </c>
      <c r="K409" s="240">
        <v>124.76507462686567</v>
      </c>
      <c r="L409" s="240">
        <v>125.53254901960784</v>
      </c>
      <c r="M409" s="240">
        <v>174.65269230769232</v>
      </c>
      <c r="N409" s="240">
        <v>90.245000000000005</v>
      </c>
      <c r="O409" s="258">
        <v>133.21371859296482</v>
      </c>
      <c r="P409" s="224">
        <v>0.16510715676734203</v>
      </c>
      <c r="Q409" s="224">
        <v>0.1657761688750298</v>
      </c>
      <c r="R409" s="224">
        <v>0.15509352739323656</v>
      </c>
      <c r="S409" s="224">
        <v>0.12238953604329617</v>
      </c>
      <c r="T409" s="224">
        <v>4.361241995892233E-2</v>
      </c>
      <c r="U409" s="259">
        <v>0.14847211587101528</v>
      </c>
      <c r="V409" s="239">
        <v>51</v>
      </c>
      <c r="W409" s="239">
        <v>67</v>
      </c>
      <c r="X409" s="239">
        <v>51</v>
      </c>
      <c r="Y409" s="239">
        <v>26</v>
      </c>
      <c r="Z409" s="239">
        <v>4</v>
      </c>
      <c r="AA409" s="257">
        <v>199</v>
      </c>
      <c r="AB409" s="224">
        <v>0.16346153846153846</v>
      </c>
      <c r="AC409" s="224">
        <v>0.18256130790190736</v>
      </c>
      <c r="AD409" s="224">
        <v>0.1895910780669145</v>
      </c>
      <c r="AE409" s="224">
        <v>0.11818181818181818</v>
      </c>
      <c r="AF409" s="224">
        <v>8.1632653061224483E-2</v>
      </c>
      <c r="AG409" s="259">
        <v>0.16351684470008218</v>
      </c>
      <c r="AH409" s="261">
        <v>2.6525198938992041E-3</v>
      </c>
      <c r="AI409" s="261">
        <v>2.4833209785025947E-3</v>
      </c>
      <c r="AJ409" s="261">
        <v>2.3675781068659765E-3</v>
      </c>
      <c r="AK409" s="261">
        <v>1.3977743132089673E-3</v>
      </c>
      <c r="AL409" s="261">
        <v>8.3420229405630863E-4</v>
      </c>
      <c r="AM409" s="262">
        <v>2.1833582024049854E-3</v>
      </c>
    </row>
    <row r="410" spans="1:39" x14ac:dyDescent="0.25">
      <c r="A410" s="215" t="str">
        <v>3653-NAlTuwaiti</v>
      </c>
      <c r="B410" s="215" t="str">
        <v>HAMAKKMAL</v>
      </c>
      <c r="C410" s="215" t="str">
        <v>Maram Zamzami</v>
      </c>
      <c r="D410" s="239">
        <v>9550.26</v>
      </c>
      <c r="E410" s="239">
        <v>9060.2100000000009</v>
      </c>
      <c r="F410" s="239">
        <v>5580.07</v>
      </c>
      <c r="G410" s="239">
        <v>150</v>
      </c>
      <c r="H410" s="239">
        <v>0</v>
      </c>
      <c r="I410" s="257">
        <v>24340.54</v>
      </c>
      <c r="J410" s="240">
        <v>161.86881355932204</v>
      </c>
      <c r="K410" s="240">
        <v>167.78166666666669</v>
      </c>
      <c r="L410" s="240">
        <v>159.43057142857143</v>
      </c>
      <c r="M410" s="240">
        <v>150</v>
      </c>
      <c r="N410" s="240" t="str">
        <v/>
      </c>
      <c r="O410" s="258">
        <v>163.35932885906041</v>
      </c>
      <c r="P410" s="224">
        <v>0.23032127133880539</v>
      </c>
      <c r="Q410" s="224">
        <v>0.17967701722439949</v>
      </c>
      <c r="R410" s="224">
        <v>0.13517824287446387</v>
      </c>
      <c r="S410" s="224">
        <v>4.0428433586864538E-3</v>
      </c>
      <c r="T410" s="224">
        <v>0</v>
      </c>
      <c r="U410" s="259">
        <v>0.13632423793417242</v>
      </c>
      <c r="V410" s="239">
        <v>59</v>
      </c>
      <c r="W410" s="239">
        <v>54</v>
      </c>
      <c r="X410" s="239">
        <v>35</v>
      </c>
      <c r="Y410" s="239">
        <v>1</v>
      </c>
      <c r="Z410" s="239">
        <v>0</v>
      </c>
      <c r="AA410" s="257">
        <v>149</v>
      </c>
      <c r="AB410" s="224">
        <v>0.1891025641025641</v>
      </c>
      <c r="AC410" s="224">
        <v>0.14713896457765668</v>
      </c>
      <c r="AD410" s="224">
        <v>0.13011152416356878</v>
      </c>
      <c r="AE410" s="224">
        <v>4.5454545454545452E-3</v>
      </c>
      <c r="AF410" s="224">
        <v>0</v>
      </c>
      <c r="AG410" s="259">
        <v>0.12243221035332785</v>
      </c>
      <c r="AH410" s="261">
        <v>3.0686014458833929E-3</v>
      </c>
      <c r="AI410" s="261">
        <v>2.0014825796886584E-3</v>
      </c>
      <c r="AJ410" s="261">
        <v>1.6248085047119447E-3</v>
      </c>
      <c r="AK410" s="261">
        <v>5.37605505080372E-5</v>
      </c>
      <c r="AL410" s="261">
        <v>0</v>
      </c>
      <c r="AM410" s="262">
        <v>1.63477573948916E-3</v>
      </c>
    </row>
    <row r="411" spans="1:39" x14ac:dyDescent="0.25">
      <c r="A411" s="215" t="str">
        <v>5381-MHashemi</v>
      </c>
      <c r="B411" s="215" t="str">
        <v>HAMAKKMAL</v>
      </c>
      <c r="C411" s="215" t="str">
        <v>Maram Zamzami</v>
      </c>
      <c r="D411" s="239">
        <v>3275.01</v>
      </c>
      <c r="E411" s="239">
        <v>4720.08</v>
      </c>
      <c r="F411" s="239">
        <v>1195.02</v>
      </c>
      <c r="G411" s="239">
        <v>225</v>
      </c>
      <c r="H411" s="239">
        <v>0</v>
      </c>
      <c r="I411" s="257">
        <v>9415.11</v>
      </c>
      <c r="J411" s="240">
        <v>136.45875000000001</v>
      </c>
      <c r="K411" s="240">
        <v>121.02769230769231</v>
      </c>
      <c r="L411" s="240">
        <v>149.3775</v>
      </c>
      <c r="M411" s="240">
        <v>112.5</v>
      </c>
      <c r="N411" s="240" t="str">
        <v/>
      </c>
      <c r="O411" s="258">
        <v>128.97410958904109</v>
      </c>
      <c r="P411" s="224">
        <v>7.8982610614506954E-2</v>
      </c>
      <c r="Q411" s="224">
        <v>9.3605986556662982E-2</v>
      </c>
      <c r="R411" s="224">
        <v>2.8949583750713128E-2</v>
      </c>
      <c r="S411" s="224">
        <v>6.0642650380296802E-3</v>
      </c>
      <c r="T411" s="224">
        <v>0</v>
      </c>
      <c r="U411" s="259">
        <v>5.2731274483491582E-2</v>
      </c>
      <c r="V411" s="239">
        <v>24</v>
      </c>
      <c r="W411" s="239">
        <v>39</v>
      </c>
      <c r="X411" s="239">
        <v>8</v>
      </c>
      <c r="Y411" s="239">
        <v>2</v>
      </c>
      <c r="Z411" s="239">
        <v>0</v>
      </c>
      <c r="AA411" s="257">
        <v>73</v>
      </c>
      <c r="AB411" s="224">
        <v>7.6923076923076927E-2</v>
      </c>
      <c r="AC411" s="224">
        <v>0.10626702997275204</v>
      </c>
      <c r="AD411" s="224">
        <v>2.9739776951672861E-2</v>
      </c>
      <c r="AE411" s="224">
        <v>9.0909090909090905E-3</v>
      </c>
      <c r="AF411" s="224">
        <v>0</v>
      </c>
      <c r="AG411" s="259">
        <v>5.9983566146261297E-2</v>
      </c>
      <c r="AH411" s="261">
        <v>1.2482446559525667E-3</v>
      </c>
      <c r="AI411" s="261">
        <v>1.4455151964418086E-3</v>
      </c>
      <c r="AJ411" s="261">
        <v>3.7138480107701591E-4</v>
      </c>
      <c r="AK411" s="261">
        <v>1.075211010160744E-4</v>
      </c>
      <c r="AL411" s="261">
        <v>0</v>
      </c>
      <c r="AM411" s="262">
        <v>8.0093039585710528E-4</v>
      </c>
    </row>
    <row r="412" spans="1:39" x14ac:dyDescent="0.25">
      <c r="A412" s="215" t="str">
        <v>5357-NHilali</v>
      </c>
      <c r="B412" s="215" t="str">
        <v>HAMAKKMAL</v>
      </c>
      <c r="C412" s="215" t="str">
        <v>Maram Zamzami</v>
      </c>
      <c r="D412" s="239">
        <v>0</v>
      </c>
      <c r="E412" s="239">
        <v>0</v>
      </c>
      <c r="F412" s="239">
        <v>0</v>
      </c>
      <c r="G412" s="239">
        <v>4586.96</v>
      </c>
      <c r="H412" s="239">
        <v>0</v>
      </c>
      <c r="I412" s="257">
        <v>4586.96</v>
      </c>
      <c r="J412" s="240" t="str">
        <v/>
      </c>
      <c r="K412" s="240" t="str">
        <v/>
      </c>
      <c r="L412" s="240" t="str">
        <v/>
      </c>
      <c r="M412" s="240">
        <v>169.88740740740741</v>
      </c>
      <c r="N412" s="240" t="str">
        <v/>
      </c>
      <c r="O412" s="258">
        <v>169.88740740740741</v>
      </c>
      <c r="P412" s="224">
        <v>0</v>
      </c>
      <c r="Q412" s="224">
        <v>0</v>
      </c>
      <c r="R412" s="224">
        <v>0</v>
      </c>
      <c r="S412" s="224">
        <v>0.12362907181706943</v>
      </c>
      <c r="T412" s="224">
        <v>0</v>
      </c>
      <c r="U412" s="259">
        <v>2.5690219955454216E-2</v>
      </c>
      <c r="V412" s="239">
        <v>0</v>
      </c>
      <c r="W412" s="239">
        <v>0</v>
      </c>
      <c r="X412" s="239">
        <v>0</v>
      </c>
      <c r="Y412" s="239">
        <v>27</v>
      </c>
      <c r="Z412" s="239">
        <v>0</v>
      </c>
      <c r="AA412" s="257">
        <v>27</v>
      </c>
      <c r="AB412" s="224">
        <v>0</v>
      </c>
      <c r="AC412" s="224">
        <v>0</v>
      </c>
      <c r="AD412" s="224">
        <v>0</v>
      </c>
      <c r="AE412" s="224">
        <v>0.12272727272727273</v>
      </c>
      <c r="AF412" s="224">
        <v>0</v>
      </c>
      <c r="AG412" s="259">
        <v>2.2185702547247329E-2</v>
      </c>
      <c r="AH412" s="261">
        <v>0</v>
      </c>
      <c r="AI412" s="261">
        <v>0</v>
      </c>
      <c r="AJ412" s="261">
        <v>0</v>
      </c>
      <c r="AK412" s="261">
        <v>1.4515348637170044E-3</v>
      </c>
      <c r="AL412" s="261">
        <v>0</v>
      </c>
      <c r="AM412" s="262">
        <v>2.9623452997454579E-4</v>
      </c>
    </row>
    <row r="413" spans="1:39" x14ac:dyDescent="0.25">
      <c r="A413" s="215" t="str">
        <v>5426-FNajjar</v>
      </c>
      <c r="B413" s="215" t="str">
        <v>HAMAKKMAL</v>
      </c>
      <c r="C413" s="215" t="str">
        <v>Maram Zamzami</v>
      </c>
      <c r="D413" s="239">
        <v>0</v>
      </c>
      <c r="E413" s="239">
        <v>0</v>
      </c>
      <c r="F413" s="239">
        <v>1278.03</v>
      </c>
      <c r="G413" s="239">
        <v>2577.9</v>
      </c>
      <c r="H413" s="239">
        <v>0</v>
      </c>
      <c r="I413" s="257">
        <v>3855.9300000000003</v>
      </c>
      <c r="J413" s="240" t="str">
        <v/>
      </c>
      <c r="K413" s="240" t="str">
        <v/>
      </c>
      <c r="L413" s="240">
        <v>127.803</v>
      </c>
      <c r="M413" s="240">
        <v>135.67894736842106</v>
      </c>
      <c r="N413" s="240" t="str">
        <v/>
      </c>
      <c r="O413" s="258">
        <v>132.96310344827586</v>
      </c>
      <c r="P413" s="224">
        <v>0</v>
      </c>
      <c r="Q413" s="224">
        <v>0</v>
      </c>
      <c r="R413" s="224">
        <v>3.0960516577901543E-2</v>
      </c>
      <c r="S413" s="224">
        <v>6.9480305962385386E-2</v>
      </c>
      <c r="T413" s="224">
        <v>0</v>
      </c>
      <c r="U413" s="259">
        <v>2.1595934961899509E-2</v>
      </c>
      <c r="V413" s="239">
        <v>0</v>
      </c>
      <c r="W413" s="239">
        <v>0</v>
      </c>
      <c r="X413" s="239">
        <v>10</v>
      </c>
      <c r="Y413" s="239">
        <v>19</v>
      </c>
      <c r="Z413" s="239">
        <v>0</v>
      </c>
      <c r="AA413" s="257">
        <v>29</v>
      </c>
      <c r="AB413" s="224">
        <v>0</v>
      </c>
      <c r="AC413" s="224">
        <v>0</v>
      </c>
      <c r="AD413" s="224">
        <v>3.717472118959108E-2</v>
      </c>
      <c r="AE413" s="224">
        <v>8.6363636363636365E-2</v>
      </c>
      <c r="AF413" s="224">
        <v>0</v>
      </c>
      <c r="AG413" s="259">
        <v>2.3829087921117501E-2</v>
      </c>
      <c r="AH413" s="261">
        <v>0</v>
      </c>
      <c r="AI413" s="261">
        <v>0</v>
      </c>
      <c r="AJ413" s="261">
        <v>4.6423100134626989E-4</v>
      </c>
      <c r="AK413" s="261">
        <v>1.0214504596527069E-3</v>
      </c>
      <c r="AL413" s="261">
        <v>0</v>
      </c>
      <c r="AM413" s="262">
        <v>3.1817782849117882E-4</v>
      </c>
    </row>
    <row r="414" spans="1:39" x14ac:dyDescent="0.25">
      <c r="A414" s="215" t="str">
        <v>4568-YAlayani</v>
      </c>
      <c r="B414" s="215" t="str">
        <v>HAMAKKMAL</v>
      </c>
      <c r="C414" s="215" t="str">
        <v>Maram Zamzami</v>
      </c>
      <c r="D414" s="239">
        <v>0</v>
      </c>
      <c r="E414" s="239">
        <v>0</v>
      </c>
      <c r="F414" s="239">
        <v>0</v>
      </c>
      <c r="G414" s="239">
        <v>97</v>
      </c>
      <c r="H414" s="239">
        <v>210.98</v>
      </c>
      <c r="I414" s="257">
        <v>307.98</v>
      </c>
      <c r="J414" s="240" t="str">
        <v/>
      </c>
      <c r="K414" s="240" t="str">
        <v/>
      </c>
      <c r="L414" s="240" t="str">
        <v/>
      </c>
      <c r="M414" s="240">
        <v>48.5</v>
      </c>
      <c r="N414" s="240">
        <v>210.98</v>
      </c>
      <c r="O414" s="258">
        <v>102.66000000000001</v>
      </c>
      <c r="P414" s="224">
        <v>0</v>
      </c>
      <c r="Q414" s="224">
        <v>0</v>
      </c>
      <c r="R414" s="224">
        <v>0</v>
      </c>
      <c r="S414" s="224">
        <v>2.6143720386172398E-3</v>
      </c>
      <c r="T414" s="224">
        <v>2.548991180379365E-2</v>
      </c>
      <c r="U414" s="259">
        <v>1.7249058073061001E-3</v>
      </c>
      <c r="V414" s="239">
        <v>0</v>
      </c>
      <c r="W414" s="239">
        <v>0</v>
      </c>
      <c r="X414" s="239">
        <v>0</v>
      </c>
      <c r="Y414" s="239">
        <v>2</v>
      </c>
      <c r="Z414" s="239">
        <v>1</v>
      </c>
      <c r="AA414" s="257">
        <v>3</v>
      </c>
      <c r="AB414" s="224">
        <v>0</v>
      </c>
      <c r="AC414" s="224">
        <v>0</v>
      </c>
      <c r="AD414" s="224">
        <v>0</v>
      </c>
      <c r="AE414" s="224">
        <v>9.0909090909090905E-3</v>
      </c>
      <c r="AF414" s="224">
        <v>2.0408163265306121E-2</v>
      </c>
      <c r="AG414" s="259">
        <v>2.4650780608052587E-3</v>
      </c>
      <c r="AH414" s="261">
        <v>0</v>
      </c>
      <c r="AI414" s="261">
        <v>0</v>
      </c>
      <c r="AJ414" s="261">
        <v>0</v>
      </c>
      <c r="AK414" s="261">
        <v>1.075211010160744E-4</v>
      </c>
      <c r="AL414" s="261">
        <v>2.0855057351407716E-4</v>
      </c>
      <c r="AM414" s="262">
        <v>3.2914947774949529E-5</v>
      </c>
    </row>
    <row r="415" spans="1:39" x14ac:dyDescent="0.25">
      <c r="A415" s="215" t="str">
        <v>3622-MAljezany</v>
      </c>
      <c r="B415" s="215" t="str">
        <v>HAMAKKMAL</v>
      </c>
      <c r="C415" s="215" t="str">
        <v>Maram Zamzami</v>
      </c>
      <c r="D415" s="239">
        <v>0</v>
      </c>
      <c r="E415" s="239">
        <v>0</v>
      </c>
      <c r="F415" s="239">
        <v>0</v>
      </c>
      <c r="G415" s="239">
        <v>140</v>
      </c>
      <c r="H415" s="239">
        <v>0</v>
      </c>
      <c r="I415" s="257">
        <v>140</v>
      </c>
      <c r="J415" s="240" t="str">
        <v/>
      </c>
      <c r="K415" s="240" t="str">
        <v/>
      </c>
      <c r="L415" s="240" t="str">
        <v/>
      </c>
      <c r="M415" s="240">
        <v>70</v>
      </c>
      <c r="N415" s="240" t="str">
        <v/>
      </c>
      <c r="O415" s="258">
        <v>70</v>
      </c>
      <c r="P415" s="224">
        <v>0</v>
      </c>
      <c r="Q415" s="224">
        <v>0</v>
      </c>
      <c r="R415" s="224">
        <v>0</v>
      </c>
      <c r="S415" s="224">
        <v>3.7733204681073564E-3</v>
      </c>
      <c r="T415" s="224">
        <v>0</v>
      </c>
      <c r="U415" s="259">
        <v>7.8409900975015914E-4</v>
      </c>
      <c r="V415" s="239">
        <v>0</v>
      </c>
      <c r="W415" s="239">
        <v>0</v>
      </c>
      <c r="X415" s="239">
        <v>0</v>
      </c>
      <c r="Y415" s="239">
        <v>2</v>
      </c>
      <c r="Z415" s="239">
        <v>0</v>
      </c>
      <c r="AA415" s="257">
        <v>2</v>
      </c>
      <c r="AB415" s="224">
        <v>0</v>
      </c>
      <c r="AC415" s="224">
        <v>0</v>
      </c>
      <c r="AD415" s="224">
        <v>0</v>
      </c>
      <c r="AE415" s="224">
        <v>9.0909090909090905E-3</v>
      </c>
      <c r="AF415" s="224">
        <v>0</v>
      </c>
      <c r="AG415" s="259">
        <v>1.6433853738701725E-3</v>
      </c>
      <c r="AH415" s="261">
        <v>0</v>
      </c>
      <c r="AI415" s="261">
        <v>0</v>
      </c>
      <c r="AJ415" s="261">
        <v>0</v>
      </c>
      <c r="AK415" s="261">
        <v>1.075211010160744E-4</v>
      </c>
      <c r="AL415" s="261">
        <v>0</v>
      </c>
      <c r="AM415" s="262">
        <v>2.194329851663302E-5</v>
      </c>
    </row>
    <row r="416" spans="1:39" x14ac:dyDescent="0.25">
      <c r="A416" s="215" t="str">
        <v>5327-OAlMuwallad</v>
      </c>
      <c r="B416" s="215" t="str">
        <v>HAMYANYARD</v>
      </c>
      <c r="C416" s="215" t="str">
        <v>Maram Zamzami</v>
      </c>
      <c r="D416" s="239">
        <v>5458.08</v>
      </c>
      <c r="E416" s="239">
        <v>11184.279999999999</v>
      </c>
      <c r="F416" s="239">
        <v>9708.2200000000012</v>
      </c>
      <c r="G416" s="239">
        <v>7913.9900000000007</v>
      </c>
      <c r="H416" s="239">
        <v>2077.9499999999998</v>
      </c>
      <c r="I416" s="257">
        <v>36342.519999999997</v>
      </c>
      <c r="J416" s="240">
        <v>147.51567567567568</v>
      </c>
      <c r="K416" s="240">
        <v>131.57976470588233</v>
      </c>
      <c r="L416" s="240">
        <v>129.44293333333334</v>
      </c>
      <c r="M416" s="240">
        <v>168.38276595744682</v>
      </c>
      <c r="N416" s="240">
        <v>173.16249999999999</v>
      </c>
      <c r="O416" s="258">
        <v>141.96296874999999</v>
      </c>
      <c r="P416" s="224">
        <v>0.22875056579101774</v>
      </c>
      <c r="Q416" s="224">
        <v>0.29996084300189341</v>
      </c>
      <c r="R416" s="224">
        <v>0.35125610650040634</v>
      </c>
      <c r="S416" s="224">
        <v>0.34002762674251491</v>
      </c>
      <c r="T416" s="224">
        <v>0.27259131963347522</v>
      </c>
      <c r="U416" s="259">
        <v>0.30365831934351517</v>
      </c>
      <c r="V416" s="239">
        <v>37</v>
      </c>
      <c r="W416" s="239">
        <v>85</v>
      </c>
      <c r="X416" s="239">
        <v>75</v>
      </c>
      <c r="Y416" s="239">
        <v>47</v>
      </c>
      <c r="Z416" s="239">
        <v>12</v>
      </c>
      <c r="AA416" s="257">
        <v>256</v>
      </c>
      <c r="AB416" s="224">
        <v>0.20903954802259886</v>
      </c>
      <c r="AC416" s="224">
        <v>0.32075471698113206</v>
      </c>
      <c r="AD416" s="224">
        <v>0.37128712871287128</v>
      </c>
      <c r="AE416" s="224">
        <v>0.32413793103448274</v>
      </c>
      <c r="AF416" s="224">
        <v>0.3</v>
      </c>
      <c r="AG416" s="259">
        <v>0.30880579010856452</v>
      </c>
      <c r="AH416" s="261">
        <v>1.9243771779268737E-3</v>
      </c>
      <c r="AI416" s="261">
        <v>3.150481838398814E-3</v>
      </c>
      <c r="AJ416" s="261">
        <v>3.4817325100970245E-3</v>
      </c>
      <c r="AK416" s="261">
        <v>2.5267458738777483E-3</v>
      </c>
      <c r="AL416" s="261">
        <v>2.5026068821689261E-3</v>
      </c>
      <c r="AM416" s="262">
        <v>2.8087422101290265E-3</v>
      </c>
    </row>
    <row r="417" spans="1:39" x14ac:dyDescent="0.25">
      <c r="A417" s="215" t="str">
        <v>4896-OKharashe</v>
      </c>
      <c r="B417" s="215" t="str">
        <v>HAMYANYARD</v>
      </c>
      <c r="C417" s="215" t="str">
        <v>Maram Zamzami</v>
      </c>
      <c r="D417" s="239">
        <v>10164.18</v>
      </c>
      <c r="E417" s="239">
        <v>10041.210000000001</v>
      </c>
      <c r="F417" s="239">
        <v>2557.02</v>
      </c>
      <c r="G417" s="239">
        <v>2730.91</v>
      </c>
      <c r="H417" s="239">
        <v>1129.98</v>
      </c>
      <c r="I417" s="257">
        <v>26623.3</v>
      </c>
      <c r="J417" s="240">
        <v>125.48370370370371</v>
      </c>
      <c r="K417" s="240">
        <v>147.66485294117649</v>
      </c>
      <c r="L417" s="240">
        <v>150.41294117647058</v>
      </c>
      <c r="M417" s="240">
        <v>160.64176470588234</v>
      </c>
      <c r="N417" s="240">
        <v>112.998</v>
      </c>
      <c r="O417" s="258">
        <v>137.94455958549221</v>
      </c>
      <c r="P417" s="224">
        <v>0.42598531457980587</v>
      </c>
      <c r="Q417" s="224">
        <v>0.26930386366927894</v>
      </c>
      <c r="R417" s="224">
        <v>9.2516330433763228E-2</v>
      </c>
      <c r="S417" s="224">
        <v>0.11733459938000949</v>
      </c>
      <c r="T417" s="224">
        <v>0.14823395142300552</v>
      </c>
      <c r="U417" s="259">
        <v>0.22244980627040192</v>
      </c>
      <c r="V417" s="239">
        <v>81</v>
      </c>
      <c r="W417" s="239">
        <v>68</v>
      </c>
      <c r="X417" s="239">
        <v>17</v>
      </c>
      <c r="Y417" s="239">
        <v>17</v>
      </c>
      <c r="Z417" s="239">
        <v>10</v>
      </c>
      <c r="AA417" s="257">
        <v>193</v>
      </c>
      <c r="AB417" s="224">
        <v>0.4576271186440678</v>
      </c>
      <c r="AC417" s="224">
        <v>0.25660377358490566</v>
      </c>
      <c r="AD417" s="224">
        <v>8.4158415841584164E-2</v>
      </c>
      <c r="AE417" s="224">
        <v>0.11724137931034483</v>
      </c>
      <c r="AF417" s="224">
        <v>0.25</v>
      </c>
      <c r="AG417" s="259">
        <v>0.23281061519903498</v>
      </c>
      <c r="AH417" s="261">
        <v>4.2128257138399124E-3</v>
      </c>
      <c r="AI417" s="261">
        <v>2.520385470719051E-3</v>
      </c>
      <c r="AJ417" s="261">
        <v>7.8919270228865884E-4</v>
      </c>
      <c r="AK417" s="261">
        <v>9.1392935863663239E-4</v>
      </c>
      <c r="AL417" s="261">
        <v>2.0855057351407717E-3</v>
      </c>
      <c r="AM417" s="262">
        <v>2.1175283068550865E-3</v>
      </c>
    </row>
    <row r="418" spans="1:39" x14ac:dyDescent="0.25">
      <c r="A418" s="215" t="str">
        <v>3678-SAlMaliki</v>
      </c>
      <c r="B418" s="215" t="str">
        <v>HAMYANYARD</v>
      </c>
      <c r="C418" s="215" t="str">
        <v>Maram Zamzami</v>
      </c>
      <c r="D418" s="239">
        <v>3242.0699999999997</v>
      </c>
      <c r="E418" s="239">
        <v>3522.06</v>
      </c>
      <c r="F418" s="239">
        <v>6415.16</v>
      </c>
      <c r="G418" s="239">
        <v>6686.83</v>
      </c>
      <c r="H418" s="239">
        <v>4415.0200000000004</v>
      </c>
      <c r="I418" s="257">
        <v>24281.14</v>
      </c>
      <c r="J418" s="240">
        <v>115.78821428571428</v>
      </c>
      <c r="K418" s="240">
        <v>153.13304347826087</v>
      </c>
      <c r="L418" s="240">
        <v>149.18976744186045</v>
      </c>
      <c r="M418" s="240">
        <v>167.17075</v>
      </c>
      <c r="N418" s="240">
        <v>245.2788888888889</v>
      </c>
      <c r="O418" s="258">
        <v>159.74434210526314</v>
      </c>
      <c r="P418" s="224">
        <v>0.1358765988835057</v>
      </c>
      <c r="Q418" s="224">
        <v>9.4461162158247902E-2</v>
      </c>
      <c r="R418" s="224">
        <v>0.2321088854781975</v>
      </c>
      <c r="S418" s="224">
        <v>0.287302224962459</v>
      </c>
      <c r="T418" s="224">
        <v>0.57917472894351929</v>
      </c>
      <c r="U418" s="259">
        <v>0.20287999192528752</v>
      </c>
      <c r="V418" s="239">
        <v>28</v>
      </c>
      <c r="W418" s="239">
        <v>23</v>
      </c>
      <c r="X418" s="239">
        <v>43</v>
      </c>
      <c r="Y418" s="239">
        <v>40</v>
      </c>
      <c r="Z418" s="239">
        <v>18</v>
      </c>
      <c r="AA418" s="257">
        <v>152</v>
      </c>
      <c r="AB418" s="224">
        <v>0.15819209039548024</v>
      </c>
      <c r="AC418" s="224">
        <v>8.6792452830188674E-2</v>
      </c>
      <c r="AD418" s="224">
        <v>0.21287128712871287</v>
      </c>
      <c r="AE418" s="224">
        <v>0.27586206896551724</v>
      </c>
      <c r="AF418" s="224">
        <v>0.45</v>
      </c>
      <c r="AG418" s="259">
        <v>0.18335343787696018</v>
      </c>
      <c r="AH418" s="261">
        <v>1.4562854319446611E-3</v>
      </c>
      <c r="AI418" s="261">
        <v>8.5248332097850258E-4</v>
      </c>
      <c r="AJ418" s="261">
        <v>1.9961933057889604E-3</v>
      </c>
      <c r="AK418" s="261">
        <v>2.1504220203214879E-3</v>
      </c>
      <c r="AL418" s="261">
        <v>3.753910323253389E-3</v>
      </c>
      <c r="AM418" s="262">
        <v>1.6676906872641094E-3</v>
      </c>
    </row>
    <row r="419" spans="1:39" x14ac:dyDescent="0.25">
      <c r="A419" s="215" t="str">
        <v>3670-FAlMajnuni</v>
      </c>
      <c r="B419" s="215" t="str">
        <v>HAMYANYARD</v>
      </c>
      <c r="C419" s="215" t="str">
        <v>Maram Zamzami</v>
      </c>
      <c r="D419" s="239">
        <v>4696.07</v>
      </c>
      <c r="E419" s="239">
        <v>9455.17</v>
      </c>
      <c r="F419" s="239">
        <v>4096.04</v>
      </c>
      <c r="G419" s="239">
        <v>5581.84</v>
      </c>
      <c r="H419" s="239">
        <v>0</v>
      </c>
      <c r="I419" s="257">
        <v>23829.119999999999</v>
      </c>
      <c r="J419" s="240">
        <v>161.93344827586205</v>
      </c>
      <c r="K419" s="240">
        <v>139.04661764705884</v>
      </c>
      <c r="L419" s="240">
        <v>110.70378378378378</v>
      </c>
      <c r="M419" s="240">
        <v>143.12410256410257</v>
      </c>
      <c r="N419" s="240" t="str">
        <v/>
      </c>
      <c r="O419" s="258">
        <v>137.74057803468207</v>
      </c>
      <c r="P419" s="224">
        <v>0.19681438701782031</v>
      </c>
      <c r="Q419" s="224">
        <v>0.25358635190876955</v>
      </c>
      <c r="R419" s="224">
        <v>0.1482000884271189</v>
      </c>
      <c r="S419" s="224">
        <v>0.23982590426023276</v>
      </c>
      <c r="T419" s="224">
        <v>0</v>
      </c>
      <c r="U419" s="259">
        <v>0.19910315879677426</v>
      </c>
      <c r="V419" s="239">
        <v>29</v>
      </c>
      <c r="W419" s="239">
        <v>68</v>
      </c>
      <c r="X419" s="239">
        <v>37</v>
      </c>
      <c r="Y419" s="239">
        <v>39</v>
      </c>
      <c r="Z419" s="239">
        <v>0</v>
      </c>
      <c r="AA419" s="257">
        <v>173</v>
      </c>
      <c r="AB419" s="224">
        <v>0.16384180790960451</v>
      </c>
      <c r="AC419" s="224">
        <v>0.25660377358490566</v>
      </c>
      <c r="AD419" s="224">
        <v>0.18316831683168316</v>
      </c>
      <c r="AE419" s="224">
        <v>0.26896551724137929</v>
      </c>
      <c r="AF419" s="224">
        <v>0</v>
      </c>
      <c r="AG419" s="259">
        <v>0.20868516284680338</v>
      </c>
      <c r="AH419" s="261">
        <v>1.5082956259426848E-3</v>
      </c>
      <c r="AI419" s="261">
        <v>2.520385470719051E-3</v>
      </c>
      <c r="AJ419" s="261">
        <v>1.7176547049811987E-3</v>
      </c>
      <c r="AK419" s="261">
        <v>2.0966614698134508E-3</v>
      </c>
      <c r="AL419" s="261">
        <v>0</v>
      </c>
      <c r="AM419" s="262">
        <v>1.8980953216887562E-3</v>
      </c>
    </row>
    <row r="420" spans="1:39" x14ac:dyDescent="0.25">
      <c r="A420" s="215" t="str">
        <v>3648-HJan</v>
      </c>
      <c r="B420" s="215" t="str">
        <v>HAMYANYARD</v>
      </c>
      <c r="C420" s="215" t="str">
        <v>Maram Zamzami</v>
      </c>
      <c r="D420" s="239">
        <v>300</v>
      </c>
      <c r="E420" s="239">
        <v>3083.08</v>
      </c>
      <c r="F420" s="239">
        <v>4862.1399999999994</v>
      </c>
      <c r="G420" s="239">
        <v>360.98</v>
      </c>
      <c r="H420" s="239">
        <v>0</v>
      </c>
      <c r="I420" s="257">
        <v>8606.1999999999989</v>
      </c>
      <c r="J420" s="240">
        <v>150</v>
      </c>
      <c r="K420" s="240">
        <v>146.81333333333333</v>
      </c>
      <c r="L420" s="240">
        <v>162.07133333333331</v>
      </c>
      <c r="M420" s="240">
        <v>180.49</v>
      </c>
      <c r="N420" s="240" t="str">
        <v/>
      </c>
      <c r="O420" s="258">
        <v>156.47636363636363</v>
      </c>
      <c r="P420" s="224">
        <v>1.2573133727850329E-2</v>
      </c>
      <c r="Q420" s="224">
        <v>8.2687779261810118E-2</v>
      </c>
      <c r="R420" s="224">
        <v>0.17591858916051401</v>
      </c>
      <c r="S420" s="224">
        <v>1.5509644654783874E-2</v>
      </c>
      <c r="T420" s="224">
        <v>0</v>
      </c>
      <c r="U420" s="259">
        <v>7.1908723664021096E-2</v>
      </c>
      <c r="V420" s="239">
        <v>2</v>
      </c>
      <c r="W420" s="239">
        <v>21</v>
      </c>
      <c r="X420" s="239">
        <v>30</v>
      </c>
      <c r="Y420" s="239">
        <v>2</v>
      </c>
      <c r="Z420" s="239">
        <v>0</v>
      </c>
      <c r="AA420" s="257">
        <v>55</v>
      </c>
      <c r="AB420" s="224">
        <v>1.1299435028248588E-2</v>
      </c>
      <c r="AC420" s="224">
        <v>7.9245283018867921E-2</v>
      </c>
      <c r="AD420" s="224">
        <v>0.14851485148514851</v>
      </c>
      <c r="AE420" s="224">
        <v>1.3793103448275862E-2</v>
      </c>
      <c r="AF420" s="224">
        <v>0</v>
      </c>
      <c r="AG420" s="259">
        <v>6.6344993968636912E-2</v>
      </c>
      <c r="AH420" s="261">
        <v>1.0402038799604722E-4</v>
      </c>
      <c r="AI420" s="261">
        <v>7.7835433654558934E-4</v>
      </c>
      <c r="AJ420" s="261">
        <v>1.3926930040388096E-3</v>
      </c>
      <c r="AK420" s="261">
        <v>1.075211010160744E-4</v>
      </c>
      <c r="AL420" s="261">
        <v>0</v>
      </c>
      <c r="AM420" s="262">
        <v>6.0344070920740809E-4</v>
      </c>
    </row>
    <row r="421" spans="1:39" x14ac:dyDescent="0.25">
      <c r="A421" s="215" t="str">
        <v>5357-NHilali</v>
      </c>
      <c r="B421" s="215" t="str">
        <v>HATASSPLZ</v>
      </c>
      <c r="C421" s="215" t="str">
        <v>Maram Zamzami</v>
      </c>
      <c r="D421" s="239">
        <v>4679.13</v>
      </c>
      <c r="E421" s="239">
        <v>12650.130000000003</v>
      </c>
      <c r="F421" s="239">
        <v>7892.14</v>
      </c>
      <c r="G421" s="239">
        <v>0</v>
      </c>
      <c r="H421" s="239">
        <v>0</v>
      </c>
      <c r="I421" s="257">
        <v>25221.4</v>
      </c>
      <c r="J421" s="240">
        <v>233.95650000000001</v>
      </c>
      <c r="K421" s="240">
        <v>281.11400000000009</v>
      </c>
      <c r="L421" s="240">
        <v>183.53813953488373</v>
      </c>
      <c r="M421" s="240" t="str">
        <v/>
      </c>
      <c r="N421" s="240" t="str">
        <v/>
      </c>
      <c r="O421" s="258">
        <v>233.53148148148151</v>
      </c>
      <c r="P421" s="224">
        <v>0.39875493742729679</v>
      </c>
      <c r="Q421" s="224">
        <v>0.59414521699228462</v>
      </c>
      <c r="R421" s="224">
        <v>0.48739899557569127</v>
      </c>
      <c r="S421" s="224">
        <v>0</v>
      </c>
      <c r="T421" s="224">
        <v>0</v>
      </c>
      <c r="U421" s="259">
        <v>0.37200440244689204</v>
      </c>
      <c r="V421" s="239">
        <v>20</v>
      </c>
      <c r="W421" s="239">
        <v>45</v>
      </c>
      <c r="X421" s="239">
        <v>43</v>
      </c>
      <c r="Y421" s="239">
        <v>0</v>
      </c>
      <c r="Z421" s="239">
        <v>0</v>
      </c>
      <c r="AA421" s="257">
        <v>108</v>
      </c>
      <c r="AB421" s="224">
        <v>0.34482758620689657</v>
      </c>
      <c r="AC421" s="224">
        <v>0.51136363636363635</v>
      </c>
      <c r="AD421" s="224">
        <v>0.4777777777777778</v>
      </c>
      <c r="AE421" s="224">
        <v>0</v>
      </c>
      <c r="AF421" s="224">
        <v>0</v>
      </c>
      <c r="AG421" s="259">
        <v>0.32238805970149254</v>
      </c>
      <c r="AH421" s="261">
        <v>1.0402038799604723E-3</v>
      </c>
      <c r="AI421" s="261">
        <v>1.6679021497405485E-3</v>
      </c>
      <c r="AJ421" s="261">
        <v>1.9961933057889604E-3</v>
      </c>
      <c r="AK421" s="261">
        <v>0</v>
      </c>
      <c r="AL421" s="261">
        <v>0</v>
      </c>
      <c r="AM421" s="262">
        <v>1.1849381198981831E-3</v>
      </c>
    </row>
    <row r="422" spans="1:39" x14ac:dyDescent="0.25">
      <c r="A422" s="215" t="str">
        <v>5383-SAlsharif</v>
      </c>
      <c r="B422" s="215" t="str">
        <v>HATASSPLZ</v>
      </c>
      <c r="C422" s="215" t="str">
        <v>Maram Zamzami</v>
      </c>
      <c r="D422" s="239">
        <v>4428.13</v>
      </c>
      <c r="E422" s="239">
        <v>4527.1000000000004</v>
      </c>
      <c r="F422" s="239">
        <v>6526.17</v>
      </c>
      <c r="G422" s="239">
        <v>4735.9400000000005</v>
      </c>
      <c r="H422" s="239">
        <v>430.98</v>
      </c>
      <c r="I422" s="257">
        <v>20648.32</v>
      </c>
      <c r="J422" s="240">
        <v>177.12520000000001</v>
      </c>
      <c r="K422" s="240">
        <v>174.1192307692308</v>
      </c>
      <c r="L422" s="240">
        <v>176.38297297297296</v>
      </c>
      <c r="M422" s="240">
        <v>205.91043478260872</v>
      </c>
      <c r="N422" s="240">
        <v>215.49</v>
      </c>
      <c r="O422" s="258">
        <v>182.72849557522125</v>
      </c>
      <c r="P422" s="224">
        <v>0.37736474538427778</v>
      </c>
      <c r="Q422" s="224">
        <v>0.21262665378504184</v>
      </c>
      <c r="R422" s="224">
        <v>0.40304007569001676</v>
      </c>
      <c r="S422" s="224">
        <v>0.29891440184804158</v>
      </c>
      <c r="T422" s="224">
        <v>0.15747358267198666</v>
      </c>
      <c r="U422" s="259">
        <v>0.30455351182456997</v>
      </c>
      <c r="V422" s="239">
        <v>25</v>
      </c>
      <c r="W422" s="239">
        <v>26</v>
      </c>
      <c r="X422" s="239">
        <v>37</v>
      </c>
      <c r="Y422" s="239">
        <v>23</v>
      </c>
      <c r="Z422" s="239">
        <v>2</v>
      </c>
      <c r="AA422" s="257">
        <v>113</v>
      </c>
      <c r="AB422" s="224">
        <v>0.43103448275862066</v>
      </c>
      <c r="AC422" s="224">
        <v>0.29545454545454547</v>
      </c>
      <c r="AD422" s="224">
        <v>0.41111111111111109</v>
      </c>
      <c r="AE422" s="224">
        <v>0.27710843373493976</v>
      </c>
      <c r="AF422" s="224">
        <v>0.125</v>
      </c>
      <c r="AG422" s="259">
        <v>0.33731343283582088</v>
      </c>
      <c r="AH422" s="261">
        <v>1.3002548499505904E-3</v>
      </c>
      <c r="AI422" s="261">
        <v>9.636767976278725E-4</v>
      </c>
      <c r="AJ422" s="261">
        <v>1.7176547049811987E-3</v>
      </c>
      <c r="AK422" s="261">
        <v>1.2364926616848556E-3</v>
      </c>
      <c r="AL422" s="261">
        <v>4.1710114702815432E-4</v>
      </c>
      <c r="AM422" s="262">
        <v>1.2397963661897656E-3</v>
      </c>
    </row>
    <row r="423" spans="1:39" x14ac:dyDescent="0.25">
      <c r="A423" s="215" t="str">
        <v>6050-AAlsalam</v>
      </c>
      <c r="B423" s="215" t="str">
        <v>HATASSPLZ</v>
      </c>
      <c r="C423" s="215" t="str">
        <v>Maram Zamzami</v>
      </c>
      <c r="D423" s="239">
        <v>0</v>
      </c>
      <c r="E423" s="239">
        <v>0</v>
      </c>
      <c r="F423" s="239">
        <v>0</v>
      </c>
      <c r="G423" s="239">
        <v>11032.859999999999</v>
      </c>
      <c r="H423" s="239">
        <v>2305.86</v>
      </c>
      <c r="I423" s="257">
        <v>13338.72</v>
      </c>
      <c r="J423" s="240" t="str">
        <v/>
      </c>
      <c r="K423" s="240" t="str">
        <v/>
      </c>
      <c r="L423" s="240" t="str">
        <v/>
      </c>
      <c r="M423" s="240">
        <v>186.99762711864403</v>
      </c>
      <c r="N423" s="240">
        <v>164.70428571428573</v>
      </c>
      <c r="O423" s="258">
        <v>182.7221917808219</v>
      </c>
      <c r="P423" s="224">
        <v>0</v>
      </c>
      <c r="Q423" s="224">
        <v>0</v>
      </c>
      <c r="R423" s="224">
        <v>0</v>
      </c>
      <c r="S423" s="224">
        <v>0.69635188528004643</v>
      </c>
      <c r="T423" s="224">
        <v>0.84252641732801337</v>
      </c>
      <c r="U423" s="259">
        <v>0.19674017156091284</v>
      </c>
      <c r="V423" s="239">
        <v>0</v>
      </c>
      <c r="W423" s="239">
        <v>0</v>
      </c>
      <c r="X423" s="239">
        <v>0</v>
      </c>
      <c r="Y423" s="239">
        <v>59</v>
      </c>
      <c r="Z423" s="239">
        <v>14</v>
      </c>
      <c r="AA423" s="257">
        <v>73</v>
      </c>
      <c r="AB423" s="224">
        <v>0</v>
      </c>
      <c r="AC423" s="224">
        <v>0</v>
      </c>
      <c r="AD423" s="224">
        <v>0</v>
      </c>
      <c r="AE423" s="224">
        <v>0.71084337349397586</v>
      </c>
      <c r="AF423" s="224">
        <v>0.875</v>
      </c>
      <c r="AG423" s="259">
        <v>0.21791044776119403</v>
      </c>
      <c r="AH423" s="261">
        <v>0</v>
      </c>
      <c r="AI423" s="261">
        <v>0</v>
      </c>
      <c r="AJ423" s="261">
        <v>0</v>
      </c>
      <c r="AK423" s="261">
        <v>3.171872479974195E-3</v>
      </c>
      <c r="AL423" s="261">
        <v>2.9197080291970801E-3</v>
      </c>
      <c r="AM423" s="262">
        <v>8.0093039585710528E-4</v>
      </c>
    </row>
    <row r="424" spans="1:39" x14ac:dyDescent="0.25">
      <c r="A424" s="215" t="str">
        <v>3665-TEid</v>
      </c>
      <c r="B424" s="215" t="str">
        <v>HATASSPLZ</v>
      </c>
      <c r="C424" s="215" t="str">
        <v>Maram Zamzami</v>
      </c>
      <c r="D424" s="239">
        <v>2627.09</v>
      </c>
      <c r="E424" s="239">
        <v>4092.08</v>
      </c>
      <c r="F424" s="239">
        <v>1774.05</v>
      </c>
      <c r="G424" s="239">
        <v>0</v>
      </c>
      <c r="H424" s="239">
        <v>0</v>
      </c>
      <c r="I424" s="257">
        <v>8493.2199999999993</v>
      </c>
      <c r="J424" s="240">
        <v>202.08384615384617</v>
      </c>
      <c r="K424" s="240">
        <v>255.755</v>
      </c>
      <c r="L424" s="240">
        <v>177.405</v>
      </c>
      <c r="M424" s="240" t="str">
        <v/>
      </c>
      <c r="N424" s="240" t="str">
        <v/>
      </c>
      <c r="O424" s="258">
        <v>217.77487179487179</v>
      </c>
      <c r="P424" s="224">
        <v>0.22388031718842544</v>
      </c>
      <c r="Q424" s="224">
        <v>0.19219484381186497</v>
      </c>
      <c r="R424" s="224">
        <v>0.10956092873429196</v>
      </c>
      <c r="S424" s="224">
        <v>0</v>
      </c>
      <c r="T424" s="224">
        <v>0</v>
      </c>
      <c r="U424" s="259">
        <v>0.1252712074250435</v>
      </c>
      <c r="V424" s="239">
        <v>13</v>
      </c>
      <c r="W424" s="239">
        <v>16</v>
      </c>
      <c r="X424" s="239">
        <v>10</v>
      </c>
      <c r="Y424" s="239">
        <v>0</v>
      </c>
      <c r="Z424" s="239">
        <v>0</v>
      </c>
      <c r="AA424" s="257">
        <v>39</v>
      </c>
      <c r="AB424" s="224">
        <v>0.22413793103448276</v>
      </c>
      <c r="AC424" s="224">
        <v>0.18181818181818182</v>
      </c>
      <c r="AD424" s="224">
        <v>0.1111111111111111</v>
      </c>
      <c r="AE424" s="224">
        <v>0</v>
      </c>
      <c r="AF424" s="224">
        <v>0</v>
      </c>
      <c r="AG424" s="259">
        <v>0.11641791044776119</v>
      </c>
      <c r="AH424" s="261">
        <v>6.7613252197430695E-4</v>
      </c>
      <c r="AI424" s="261">
        <v>5.9303187546330617E-4</v>
      </c>
      <c r="AJ424" s="261">
        <v>4.6423100134626989E-4</v>
      </c>
      <c r="AK424" s="261">
        <v>0</v>
      </c>
      <c r="AL424" s="261">
        <v>0</v>
      </c>
      <c r="AM424" s="262">
        <v>4.2789432107434388E-4</v>
      </c>
    </row>
    <row r="425" spans="1:39" x14ac:dyDescent="0.25">
      <c r="A425" s="215" t="str">
        <v>5262-RAlmalki</v>
      </c>
      <c r="B425" s="215" t="str">
        <v>HATASSPLZ</v>
      </c>
      <c r="C425" s="215" t="str">
        <v>Maram Zamzami</v>
      </c>
      <c r="D425" s="239">
        <v>0</v>
      </c>
      <c r="E425" s="239">
        <v>22</v>
      </c>
      <c r="F425" s="239">
        <v>0</v>
      </c>
      <c r="G425" s="239">
        <v>75</v>
      </c>
      <c r="H425" s="239">
        <v>0</v>
      </c>
      <c r="I425" s="257">
        <v>97</v>
      </c>
      <c r="J425" s="240" t="str">
        <v/>
      </c>
      <c r="K425" s="240">
        <v>22</v>
      </c>
      <c r="L425" s="240" t="str">
        <v/>
      </c>
      <c r="M425" s="240">
        <v>75</v>
      </c>
      <c r="N425" s="240" t="str">
        <v/>
      </c>
      <c r="O425" s="258">
        <v>48.5</v>
      </c>
      <c r="P425" s="224">
        <v>0</v>
      </c>
      <c r="Q425" s="224">
        <v>1.033285410808447E-3</v>
      </c>
      <c r="R425" s="224">
        <v>0</v>
      </c>
      <c r="S425" s="224">
        <v>4.7337128719120419E-3</v>
      </c>
      <c r="T425" s="224">
        <v>0</v>
      </c>
      <c r="U425" s="259">
        <v>1.430706742581638E-3</v>
      </c>
      <c r="V425" s="239">
        <v>0</v>
      </c>
      <c r="W425" s="239">
        <v>1</v>
      </c>
      <c r="X425" s="239">
        <v>0</v>
      </c>
      <c r="Y425" s="239">
        <v>1</v>
      </c>
      <c r="Z425" s="239">
        <v>0</v>
      </c>
      <c r="AA425" s="257">
        <v>2</v>
      </c>
      <c r="AB425" s="224">
        <v>0</v>
      </c>
      <c r="AC425" s="224">
        <v>1.1363636363636364E-2</v>
      </c>
      <c r="AD425" s="224">
        <v>0</v>
      </c>
      <c r="AE425" s="224">
        <v>1.2048192771084338E-2</v>
      </c>
      <c r="AF425" s="224">
        <v>0</v>
      </c>
      <c r="AG425" s="259">
        <v>5.9701492537313433E-3</v>
      </c>
      <c r="AH425" s="261">
        <v>0</v>
      </c>
      <c r="AI425" s="261">
        <v>3.7064492216456636E-5</v>
      </c>
      <c r="AJ425" s="261">
        <v>0</v>
      </c>
      <c r="AK425" s="261">
        <v>5.37605505080372E-5</v>
      </c>
      <c r="AL425" s="261">
        <v>0</v>
      </c>
      <c r="AM425" s="262">
        <v>2.194329851663302E-5</v>
      </c>
    </row>
    <row r="426" spans="1:39" x14ac:dyDescent="0.25">
      <c r="A426" s="215" t="str">
        <v>6617-AAlqahtani</v>
      </c>
      <c r="B426" s="215" t="str">
        <v>HAALITMED</v>
      </c>
      <c r="C426" s="215" t="str">
        <v>Mohammed Haidar</v>
      </c>
      <c r="D426" s="239">
        <v>5648.16</v>
      </c>
      <c r="E426" s="239">
        <v>8196.130000000001</v>
      </c>
      <c r="F426" s="239">
        <v>8649.08</v>
      </c>
      <c r="G426" s="239">
        <v>6979.9499999999989</v>
      </c>
      <c r="H426" s="239">
        <v>3228.1800000000003</v>
      </c>
      <c r="I426" s="257">
        <v>32701.5</v>
      </c>
      <c r="J426" s="240">
        <v>166.12235294117647</v>
      </c>
      <c r="K426" s="240">
        <v>186.27568181818185</v>
      </c>
      <c r="L426" s="240">
        <v>180.18916666666667</v>
      </c>
      <c r="M426" s="240">
        <v>188.64729729729726</v>
      </c>
      <c r="N426" s="240">
        <v>230.58428571428573</v>
      </c>
      <c r="O426" s="258">
        <v>184.75423728813558</v>
      </c>
      <c r="P426" s="224">
        <v>0.40542746334351892</v>
      </c>
      <c r="Q426" s="224">
        <v>0.3680461442434203</v>
      </c>
      <c r="R426" s="224">
        <v>0.45070014465626418</v>
      </c>
      <c r="S426" s="224">
        <v>0.46182566684001786</v>
      </c>
      <c r="T426" s="224">
        <v>0.67532462098786872</v>
      </c>
      <c r="U426" s="259">
        <v>0.4343693962940825</v>
      </c>
      <c r="V426" s="239">
        <v>34</v>
      </c>
      <c r="W426" s="239">
        <v>44</v>
      </c>
      <c r="X426" s="239">
        <v>48</v>
      </c>
      <c r="Y426" s="239">
        <v>37</v>
      </c>
      <c r="Z426" s="239">
        <v>14</v>
      </c>
      <c r="AA426" s="257">
        <v>177</v>
      </c>
      <c r="AB426" s="224">
        <v>0.4</v>
      </c>
      <c r="AC426" s="224">
        <v>0.37606837606837606</v>
      </c>
      <c r="AD426" s="224">
        <v>0.51063829787234039</v>
      </c>
      <c r="AE426" s="224">
        <v>0.45121951219512196</v>
      </c>
      <c r="AF426" s="224">
        <v>0.7</v>
      </c>
      <c r="AG426" s="259">
        <v>0.44472361809045224</v>
      </c>
      <c r="AH426" s="261">
        <v>1.7683465959328027E-3</v>
      </c>
      <c r="AI426" s="261">
        <v>1.6308376575240918E-3</v>
      </c>
      <c r="AJ426" s="261">
        <v>2.2283088064620955E-3</v>
      </c>
      <c r="AK426" s="261">
        <v>1.9891403687973767E-3</v>
      </c>
      <c r="AL426" s="261">
        <v>2.9197080291970801E-3</v>
      </c>
      <c r="AM426" s="262">
        <v>1.9419819187220222E-3</v>
      </c>
    </row>
    <row r="427" spans="1:39" x14ac:dyDescent="0.25">
      <c r="A427" s="215" t="str">
        <v>6432-OAlruwily</v>
      </c>
      <c r="B427" s="215" t="str">
        <v>HAALITMED</v>
      </c>
      <c r="C427" s="215" t="str">
        <v>Mohammed Haidar</v>
      </c>
      <c r="D427" s="239">
        <v>5979.17</v>
      </c>
      <c r="E427" s="239">
        <v>3639.05</v>
      </c>
      <c r="F427" s="239">
        <v>4438.09</v>
      </c>
      <c r="G427" s="239">
        <v>4587.8500000000004</v>
      </c>
      <c r="H427" s="239">
        <v>1552.01</v>
      </c>
      <c r="I427" s="257">
        <v>20196.170000000002</v>
      </c>
      <c r="J427" s="240">
        <v>157.34657894736841</v>
      </c>
      <c r="K427" s="240">
        <v>165.41136363636363</v>
      </c>
      <c r="L427" s="240">
        <v>211.33761904761906</v>
      </c>
      <c r="M427" s="240">
        <v>199.4717391304348</v>
      </c>
      <c r="N427" s="240">
        <v>258.66833333333335</v>
      </c>
      <c r="O427" s="258">
        <v>183.60154545454546</v>
      </c>
      <c r="P427" s="224">
        <v>0.42918750991467458</v>
      </c>
      <c r="Q427" s="224">
        <v>0.16341106366163283</v>
      </c>
      <c r="R427" s="224">
        <v>0.2312671180053277</v>
      </c>
      <c r="S427" s="224">
        <v>0.30355330419443927</v>
      </c>
      <c r="T427" s="224">
        <v>0.32467537901213128</v>
      </c>
      <c r="U427" s="259">
        <v>0.26826286776914393</v>
      </c>
      <c r="V427" s="239">
        <v>38</v>
      </c>
      <c r="W427" s="239">
        <v>22</v>
      </c>
      <c r="X427" s="239">
        <v>21</v>
      </c>
      <c r="Y427" s="239">
        <v>23</v>
      </c>
      <c r="Z427" s="239">
        <v>6</v>
      </c>
      <c r="AA427" s="257">
        <v>110</v>
      </c>
      <c r="AB427" s="224">
        <v>0.44705882352941179</v>
      </c>
      <c r="AC427" s="224">
        <v>0.18803418803418803</v>
      </c>
      <c r="AD427" s="224">
        <v>0.22340425531914893</v>
      </c>
      <c r="AE427" s="224">
        <v>0.28048780487804881</v>
      </c>
      <c r="AF427" s="224">
        <v>0.3</v>
      </c>
      <c r="AG427" s="259">
        <v>0.27638190954773867</v>
      </c>
      <c r="AH427" s="261">
        <v>1.9763873719248972E-3</v>
      </c>
      <c r="AI427" s="261">
        <v>8.1541882876204591E-4</v>
      </c>
      <c r="AJ427" s="261">
        <v>9.748851028271668E-4</v>
      </c>
      <c r="AK427" s="261">
        <v>1.2364926616848556E-3</v>
      </c>
      <c r="AL427" s="261">
        <v>1.2513034410844631E-3</v>
      </c>
      <c r="AM427" s="262">
        <v>1.2068814184148162E-3</v>
      </c>
    </row>
    <row r="428" spans="1:39" x14ac:dyDescent="0.25">
      <c r="A428" s="215" t="str">
        <v>6454-YKhormi</v>
      </c>
      <c r="B428" s="215" t="str">
        <v>HAALITMED</v>
      </c>
      <c r="C428" s="215" t="str">
        <v>Mohammed Haidar</v>
      </c>
      <c r="D428" s="239">
        <v>1688.02</v>
      </c>
      <c r="E428" s="239">
        <v>9560.11</v>
      </c>
      <c r="F428" s="239">
        <v>4399.1099999999997</v>
      </c>
      <c r="G428" s="239">
        <v>210.98</v>
      </c>
      <c r="H428" s="239">
        <v>0</v>
      </c>
      <c r="I428" s="257">
        <v>15858.220000000001</v>
      </c>
      <c r="J428" s="240">
        <v>211.0025</v>
      </c>
      <c r="K428" s="240">
        <v>203.40659574468086</v>
      </c>
      <c r="L428" s="240">
        <v>274.94437499999998</v>
      </c>
      <c r="M428" s="240">
        <v>210.98</v>
      </c>
      <c r="N428" s="240" t="str">
        <v/>
      </c>
      <c r="O428" s="258">
        <v>220.25305555555556</v>
      </c>
      <c r="P428" s="224">
        <v>0.12116683427401612</v>
      </c>
      <c r="Q428" s="224">
        <v>0.42929548750971064</v>
      </c>
      <c r="R428" s="224">
        <v>0.22923588559231944</v>
      </c>
      <c r="S428" s="224">
        <v>1.3959409335297098E-2</v>
      </c>
      <c r="T428" s="224">
        <v>0</v>
      </c>
      <c r="U428" s="259">
        <v>0.21064249186424922</v>
      </c>
      <c r="V428" s="239">
        <v>8</v>
      </c>
      <c r="W428" s="239">
        <v>47</v>
      </c>
      <c r="X428" s="239">
        <v>16</v>
      </c>
      <c r="Y428" s="239">
        <v>1</v>
      </c>
      <c r="Z428" s="239">
        <v>0</v>
      </c>
      <c r="AA428" s="257">
        <v>72</v>
      </c>
      <c r="AB428" s="224">
        <v>9.4117647058823528E-2</v>
      </c>
      <c r="AC428" s="224">
        <v>0.40170940170940173</v>
      </c>
      <c r="AD428" s="224">
        <v>0.1702127659574468</v>
      </c>
      <c r="AE428" s="224">
        <v>1.2195121951219513E-2</v>
      </c>
      <c r="AF428" s="224">
        <v>0</v>
      </c>
      <c r="AG428" s="259">
        <v>0.18090452261306533</v>
      </c>
      <c r="AH428" s="261">
        <v>4.1608155198418888E-4</v>
      </c>
      <c r="AI428" s="261">
        <v>1.7420311341734618E-3</v>
      </c>
      <c r="AJ428" s="261">
        <v>7.4276960215403183E-4</v>
      </c>
      <c r="AK428" s="261">
        <v>5.37605505080372E-5</v>
      </c>
      <c r="AL428" s="261">
        <v>0</v>
      </c>
      <c r="AM428" s="262">
        <v>7.8995874659878876E-4</v>
      </c>
    </row>
    <row r="429" spans="1:39" x14ac:dyDescent="0.25">
      <c r="A429" s="215" t="str">
        <v>5420-MAlmalki</v>
      </c>
      <c r="B429" s="215" t="str">
        <v>HAALITMED</v>
      </c>
      <c r="C429" s="215" t="str">
        <v>Mohammed Haidar</v>
      </c>
      <c r="D429" s="239">
        <v>616.02</v>
      </c>
      <c r="E429" s="239">
        <v>874.01</v>
      </c>
      <c r="F429" s="239">
        <v>1704.04</v>
      </c>
      <c r="G429" s="239">
        <v>3335.04</v>
      </c>
      <c r="H429" s="239">
        <v>0</v>
      </c>
      <c r="I429" s="257">
        <v>6529.11</v>
      </c>
      <c r="J429" s="240">
        <v>123.20399999999999</v>
      </c>
      <c r="K429" s="240">
        <v>218.5025</v>
      </c>
      <c r="L429" s="240">
        <v>189.33777777777777</v>
      </c>
      <c r="M429" s="240">
        <v>158.81142857142856</v>
      </c>
      <c r="N429" s="240" t="str">
        <v/>
      </c>
      <c r="O429" s="258">
        <v>167.41307692307691</v>
      </c>
      <c r="P429" s="224">
        <v>4.4218192467790317E-2</v>
      </c>
      <c r="Q429" s="224">
        <v>3.9247304585236169E-2</v>
      </c>
      <c r="R429" s="224">
        <v>8.8796851746088659E-2</v>
      </c>
      <c r="S429" s="224">
        <v>0.22066161963024569</v>
      </c>
      <c r="T429" s="224">
        <v>0</v>
      </c>
      <c r="U429" s="259">
        <v>8.6725244072524396E-2</v>
      </c>
      <c r="V429" s="239">
        <v>5</v>
      </c>
      <c r="W429" s="239">
        <v>4</v>
      </c>
      <c r="X429" s="239">
        <v>9</v>
      </c>
      <c r="Y429" s="239">
        <v>21</v>
      </c>
      <c r="Z429" s="239">
        <v>0</v>
      </c>
      <c r="AA429" s="257">
        <v>39</v>
      </c>
      <c r="AB429" s="224">
        <v>5.8823529411764705E-2</v>
      </c>
      <c r="AC429" s="224">
        <v>3.4188034188034191E-2</v>
      </c>
      <c r="AD429" s="224">
        <v>9.5744680851063829E-2</v>
      </c>
      <c r="AE429" s="224">
        <v>0.25609756097560976</v>
      </c>
      <c r="AF429" s="224">
        <v>0</v>
      </c>
      <c r="AG429" s="259">
        <v>9.7989949748743713E-2</v>
      </c>
      <c r="AH429" s="261">
        <v>2.6005096999011807E-4</v>
      </c>
      <c r="AI429" s="261">
        <v>1.4825796886582654E-4</v>
      </c>
      <c r="AJ429" s="261">
        <v>4.1780790121164293E-4</v>
      </c>
      <c r="AK429" s="261">
        <v>1.1289715606687812E-3</v>
      </c>
      <c r="AL429" s="261">
        <v>0</v>
      </c>
      <c r="AM429" s="262">
        <v>4.2789432107434388E-4</v>
      </c>
    </row>
    <row r="430" spans="1:39" x14ac:dyDescent="0.25">
      <c r="A430" s="215" t="str">
        <v>4555-FBukhari</v>
      </c>
      <c r="B430" s="215" t="str">
        <v>HADANAYAN</v>
      </c>
      <c r="C430" s="215" t="str">
        <v>Mohammed Haidar</v>
      </c>
      <c r="D430" s="239">
        <v>12757.22</v>
      </c>
      <c r="E430" s="239">
        <v>11887.1</v>
      </c>
      <c r="F430" s="239">
        <v>6332.07</v>
      </c>
      <c r="G430" s="239">
        <v>3006.99</v>
      </c>
      <c r="H430" s="239">
        <v>1096.96</v>
      </c>
      <c r="I430" s="257">
        <v>35080.339999999997</v>
      </c>
      <c r="J430" s="240">
        <v>130.17571428571429</v>
      </c>
      <c r="K430" s="240">
        <v>148.58875</v>
      </c>
      <c r="L430" s="240">
        <v>131.918125</v>
      </c>
      <c r="M430" s="240">
        <v>111.36999999999999</v>
      </c>
      <c r="N430" s="240">
        <v>137.12</v>
      </c>
      <c r="O430" s="258">
        <v>134.40743295019155</v>
      </c>
      <c r="P430" s="224">
        <v>0.90920183048813252</v>
      </c>
      <c r="Q430" s="224">
        <v>0.62685029230267852</v>
      </c>
      <c r="R430" s="224">
        <v>0.54050545066235078</v>
      </c>
      <c r="S430" s="224">
        <v>0.27083290175857333</v>
      </c>
      <c r="T430" s="224">
        <v>0.33981914890321463</v>
      </c>
      <c r="U430" s="259">
        <v>0.59417557752019123</v>
      </c>
      <c r="V430" s="239">
        <v>98</v>
      </c>
      <c r="W430" s="239">
        <v>80</v>
      </c>
      <c r="X430" s="239">
        <v>48</v>
      </c>
      <c r="Y430" s="239">
        <v>27</v>
      </c>
      <c r="Z430" s="239">
        <v>8</v>
      </c>
      <c r="AA430" s="257">
        <v>261</v>
      </c>
      <c r="AB430" s="224">
        <v>0.93333333333333335</v>
      </c>
      <c r="AC430" s="224">
        <v>0.58394160583941601</v>
      </c>
      <c r="AD430" s="224">
        <v>0.5161290322580645</v>
      </c>
      <c r="AE430" s="224">
        <v>0.31764705882352939</v>
      </c>
      <c r="AF430" s="224">
        <v>0.32</v>
      </c>
      <c r="AG430" s="259">
        <v>0.58651685393258424</v>
      </c>
      <c r="AH430" s="261">
        <v>5.0969990118063142E-3</v>
      </c>
      <c r="AI430" s="261">
        <v>2.9651593773165306E-3</v>
      </c>
      <c r="AJ430" s="261">
        <v>2.2283088064620955E-3</v>
      </c>
      <c r="AK430" s="261">
        <v>1.4515348637170044E-3</v>
      </c>
      <c r="AL430" s="261">
        <v>1.6684045881126173E-3</v>
      </c>
      <c r="AM430" s="262">
        <v>2.8636004564206092E-3</v>
      </c>
    </row>
    <row r="431" spans="1:39" x14ac:dyDescent="0.25">
      <c r="A431" s="215" t="str">
        <v>7308-RAlotaibi</v>
      </c>
      <c r="B431" s="215" t="str">
        <v>HADANAYAN</v>
      </c>
      <c r="C431" s="215" t="str">
        <v>Mohammed Haidar</v>
      </c>
      <c r="D431" s="239">
        <v>1274.01</v>
      </c>
      <c r="E431" s="239">
        <v>7076.1200000000008</v>
      </c>
      <c r="F431" s="239">
        <v>5383.02</v>
      </c>
      <c r="G431" s="239">
        <v>2817.0000000000005</v>
      </c>
      <c r="H431" s="239">
        <v>682.02</v>
      </c>
      <c r="I431" s="257">
        <v>17232.170000000002</v>
      </c>
      <c r="J431" s="240">
        <v>182.00142857142856</v>
      </c>
      <c r="K431" s="240">
        <v>124.14245614035089</v>
      </c>
      <c r="L431" s="240">
        <v>119.62266666666667</v>
      </c>
      <c r="M431" s="240">
        <v>122.47826086956523</v>
      </c>
      <c r="N431" s="240">
        <v>113.67</v>
      </c>
      <c r="O431" s="258">
        <v>124.87079710144928</v>
      </c>
      <c r="P431" s="224">
        <v>9.0798169511867463E-2</v>
      </c>
      <c r="Q431" s="224">
        <v>0.37314970769732148</v>
      </c>
      <c r="R431" s="224">
        <v>0.45949454933764916</v>
      </c>
      <c r="S431" s="224">
        <v>0.25372092499605958</v>
      </c>
      <c r="T431" s="224">
        <v>0.21127794626510579</v>
      </c>
      <c r="U431" s="259">
        <v>0.29187101840164936</v>
      </c>
      <c r="V431" s="239">
        <v>7</v>
      </c>
      <c r="W431" s="239">
        <v>57</v>
      </c>
      <c r="X431" s="239">
        <v>45</v>
      </c>
      <c r="Y431" s="239">
        <v>23</v>
      </c>
      <c r="Z431" s="239">
        <v>6</v>
      </c>
      <c r="AA431" s="257">
        <v>138</v>
      </c>
      <c r="AB431" s="224">
        <v>6.6666666666666666E-2</v>
      </c>
      <c r="AC431" s="224">
        <v>0.41605839416058393</v>
      </c>
      <c r="AD431" s="224">
        <v>0.4838709677419355</v>
      </c>
      <c r="AE431" s="224">
        <v>0.27058823529411763</v>
      </c>
      <c r="AF431" s="224">
        <v>0.24</v>
      </c>
      <c r="AG431" s="259">
        <v>0.31011235955056182</v>
      </c>
      <c r="AH431" s="261">
        <v>3.6407135798616528E-4</v>
      </c>
      <c r="AI431" s="261">
        <v>2.112676056338028E-3</v>
      </c>
      <c r="AJ431" s="261">
        <v>2.0890395060582144E-3</v>
      </c>
      <c r="AK431" s="261">
        <v>1.2364926616848556E-3</v>
      </c>
      <c r="AL431" s="261">
        <v>1.2513034410844631E-3</v>
      </c>
      <c r="AM431" s="262">
        <v>1.5140875976476784E-3</v>
      </c>
    </row>
    <row r="432" spans="1:39" x14ac:dyDescent="0.25">
      <c r="A432" s="215" t="str">
        <v>7326-HSinan</v>
      </c>
      <c r="B432" s="215" t="str">
        <v>HADANAYAN</v>
      </c>
      <c r="C432" s="215" t="str">
        <v>Mohammed Haidar</v>
      </c>
      <c r="D432" s="239">
        <v>0</v>
      </c>
      <c r="E432" s="239">
        <v>0</v>
      </c>
      <c r="F432" s="239">
        <v>0</v>
      </c>
      <c r="G432" s="239">
        <v>5278.76</v>
      </c>
      <c r="H432" s="239">
        <v>1449.09</v>
      </c>
      <c r="I432" s="257">
        <v>6727.85</v>
      </c>
      <c r="J432" s="240" t="str">
        <v/>
      </c>
      <c r="K432" s="240" t="str">
        <v/>
      </c>
      <c r="L432" s="240" t="str">
        <v/>
      </c>
      <c r="M432" s="240">
        <v>150.82171428571428</v>
      </c>
      <c r="N432" s="240">
        <v>131.73545454545453</v>
      </c>
      <c r="O432" s="258">
        <v>146.25760869565218</v>
      </c>
      <c r="P432" s="224">
        <v>0</v>
      </c>
      <c r="Q432" s="224">
        <v>0</v>
      </c>
      <c r="R432" s="224">
        <v>0</v>
      </c>
      <c r="S432" s="224">
        <v>0.47544617324536714</v>
      </c>
      <c r="T432" s="224">
        <v>0.44890290483167961</v>
      </c>
      <c r="U432" s="259">
        <v>0.11395340407815943</v>
      </c>
      <c r="V432" s="239">
        <v>0</v>
      </c>
      <c r="W432" s="239">
        <v>0</v>
      </c>
      <c r="X432" s="239">
        <v>0</v>
      </c>
      <c r="Y432" s="239">
        <v>35</v>
      </c>
      <c r="Z432" s="239">
        <v>11</v>
      </c>
      <c r="AA432" s="257">
        <v>46</v>
      </c>
      <c r="AB432" s="224">
        <v>0</v>
      </c>
      <c r="AC432" s="224">
        <v>0</v>
      </c>
      <c r="AD432" s="224">
        <v>0</v>
      </c>
      <c r="AE432" s="224">
        <v>0.41176470588235292</v>
      </c>
      <c r="AF432" s="224">
        <v>0.44</v>
      </c>
      <c r="AG432" s="259">
        <v>0.10337078651685393</v>
      </c>
      <c r="AH432" s="261">
        <v>0</v>
      </c>
      <c r="AI432" s="261">
        <v>0</v>
      </c>
      <c r="AJ432" s="261">
        <v>0</v>
      </c>
      <c r="AK432" s="261">
        <v>1.8816192677813021E-3</v>
      </c>
      <c r="AL432" s="261">
        <v>2.2940563086548487E-3</v>
      </c>
      <c r="AM432" s="262">
        <v>5.0469586588255944E-4</v>
      </c>
    </row>
    <row r="433" spans="1:39" x14ac:dyDescent="0.25">
      <c r="A433" s="215" t="str">
        <v>5645-YMakki</v>
      </c>
      <c r="B433" s="215" t="str">
        <v>HADARALEMN</v>
      </c>
      <c r="C433" s="215" t="str">
        <v>Mohammed Haidar</v>
      </c>
      <c r="D433" s="239">
        <v>4849.13</v>
      </c>
      <c r="E433" s="239">
        <v>13266.03</v>
      </c>
      <c r="F433" s="239">
        <v>9784.08</v>
      </c>
      <c r="G433" s="239">
        <v>10933.770000000002</v>
      </c>
      <c r="H433" s="239">
        <v>917.04</v>
      </c>
      <c r="I433" s="257">
        <v>39750.050000000003</v>
      </c>
      <c r="J433" s="240">
        <v>167.21137931034482</v>
      </c>
      <c r="K433" s="240">
        <v>294.8006666666667</v>
      </c>
      <c r="L433" s="240">
        <v>264.43459459459461</v>
      </c>
      <c r="M433" s="240">
        <v>331.32636363636368</v>
      </c>
      <c r="N433" s="240">
        <v>305.68</v>
      </c>
      <c r="O433" s="258">
        <v>270.40850340136058</v>
      </c>
      <c r="P433" s="224">
        <v>0.16952729756819279</v>
      </c>
      <c r="Q433" s="224">
        <v>0.20863940709174217</v>
      </c>
      <c r="R433" s="224">
        <v>0.14487339820994566</v>
      </c>
      <c r="S433" s="224">
        <v>0.1486199624432418</v>
      </c>
      <c r="T433" s="224">
        <v>4.8262291216804018E-2</v>
      </c>
      <c r="U433" s="259">
        <v>0.15755537935799616</v>
      </c>
      <c r="V433" s="239">
        <v>29</v>
      </c>
      <c r="W433" s="239">
        <v>45</v>
      </c>
      <c r="X433" s="239">
        <v>37</v>
      </c>
      <c r="Y433" s="239">
        <v>33</v>
      </c>
      <c r="Z433" s="239">
        <v>3</v>
      </c>
      <c r="AA433" s="257">
        <v>147</v>
      </c>
      <c r="AB433" s="224">
        <v>0.18124999999999999</v>
      </c>
      <c r="AC433" s="224">
        <v>0.14950166112956811</v>
      </c>
      <c r="AD433" s="224">
        <v>0.1182108626198083</v>
      </c>
      <c r="AE433" s="224">
        <v>0.10122699386503067</v>
      </c>
      <c r="AF433" s="224">
        <v>3.5714285714285712E-2</v>
      </c>
      <c r="AG433" s="259">
        <v>0.1241554054054054</v>
      </c>
      <c r="AH433" s="261">
        <v>1.5082956259426848E-3</v>
      </c>
      <c r="AI433" s="261">
        <v>1.6679021497405485E-3</v>
      </c>
      <c r="AJ433" s="261">
        <v>1.7176547049811987E-3</v>
      </c>
      <c r="AK433" s="261">
        <v>1.7740981667652277E-3</v>
      </c>
      <c r="AL433" s="261">
        <v>6.2565172054223153E-4</v>
      </c>
      <c r="AM433" s="262">
        <v>1.612832440972527E-3</v>
      </c>
    </row>
    <row r="434" spans="1:39" x14ac:dyDescent="0.25">
      <c r="A434" s="215" t="str">
        <v>6483-MAlrashdi</v>
      </c>
      <c r="B434" s="215" t="str">
        <v>HADARALEMN</v>
      </c>
      <c r="C434" s="215" t="str">
        <v>Mohammed Haidar</v>
      </c>
      <c r="D434" s="239">
        <v>2871.1099999999997</v>
      </c>
      <c r="E434" s="239">
        <v>8470.119999999999</v>
      </c>
      <c r="F434" s="239">
        <v>9076.0600000000013</v>
      </c>
      <c r="G434" s="239">
        <v>13748.419999999998</v>
      </c>
      <c r="H434" s="239">
        <v>2820.9</v>
      </c>
      <c r="I434" s="257">
        <v>36986.61</v>
      </c>
      <c r="J434" s="240">
        <v>179.44437499999998</v>
      </c>
      <c r="K434" s="240">
        <v>206.58829268292681</v>
      </c>
      <c r="L434" s="240">
        <v>245.29891891891896</v>
      </c>
      <c r="M434" s="240">
        <v>254.60037037037034</v>
      </c>
      <c r="N434" s="240">
        <v>176.30625000000001</v>
      </c>
      <c r="O434" s="258">
        <v>225.52810975609756</v>
      </c>
      <c r="P434" s="224">
        <v>0.1003750197088991</v>
      </c>
      <c r="Q434" s="224">
        <v>0.13321248442796427</v>
      </c>
      <c r="R434" s="224">
        <v>0.13438970803155326</v>
      </c>
      <c r="S434" s="224">
        <v>0.18687878600463645</v>
      </c>
      <c r="T434" s="224">
        <v>0.14845927908649836</v>
      </c>
      <c r="U434" s="259">
        <v>0.1466020638896367</v>
      </c>
      <c r="V434" s="239">
        <v>16</v>
      </c>
      <c r="W434" s="239">
        <v>41</v>
      </c>
      <c r="X434" s="239">
        <v>37</v>
      </c>
      <c r="Y434" s="239">
        <v>54</v>
      </c>
      <c r="Z434" s="239">
        <v>16</v>
      </c>
      <c r="AA434" s="257">
        <v>164</v>
      </c>
      <c r="AB434" s="224">
        <v>0.1</v>
      </c>
      <c r="AC434" s="224">
        <v>0.13621262458471761</v>
      </c>
      <c r="AD434" s="224">
        <v>0.1182108626198083</v>
      </c>
      <c r="AE434" s="224">
        <v>0.16564417177914109</v>
      </c>
      <c r="AF434" s="224">
        <v>0.19047619047619047</v>
      </c>
      <c r="AG434" s="259">
        <v>0.13851351351351351</v>
      </c>
      <c r="AH434" s="261">
        <v>8.3216310396837777E-4</v>
      </c>
      <c r="AI434" s="261">
        <v>1.519644180874722E-3</v>
      </c>
      <c r="AJ434" s="261">
        <v>1.7176547049811987E-3</v>
      </c>
      <c r="AK434" s="261">
        <v>2.9030697274340087E-3</v>
      </c>
      <c r="AL434" s="261">
        <v>3.3368091762252345E-3</v>
      </c>
      <c r="AM434" s="262">
        <v>1.7993504783639076E-3</v>
      </c>
    </row>
    <row r="435" spans="1:39" x14ac:dyDescent="0.25">
      <c r="A435" s="215" t="str">
        <v>6482-AAlsulaimani</v>
      </c>
      <c r="B435" s="215" t="str">
        <v>HADARALEMN</v>
      </c>
      <c r="C435" s="215" t="str">
        <v>Mohammed Haidar</v>
      </c>
      <c r="D435" s="239">
        <v>8167.2200000000012</v>
      </c>
      <c r="E435" s="239">
        <v>8748.130000000001</v>
      </c>
      <c r="F435" s="239">
        <v>8064.07</v>
      </c>
      <c r="G435" s="239">
        <v>8498.7000000000007</v>
      </c>
      <c r="H435" s="239">
        <v>2013.9</v>
      </c>
      <c r="I435" s="257">
        <v>35492.020000000004</v>
      </c>
      <c r="J435" s="240">
        <v>204.18050000000002</v>
      </c>
      <c r="K435" s="240">
        <v>174.96260000000001</v>
      </c>
      <c r="L435" s="240">
        <v>224.00194444444443</v>
      </c>
      <c r="M435" s="240">
        <v>242.82000000000002</v>
      </c>
      <c r="N435" s="240">
        <v>251.73750000000001</v>
      </c>
      <c r="O435" s="258">
        <v>210.01195266272191</v>
      </c>
      <c r="P435" s="224">
        <v>0.28552889595554165</v>
      </c>
      <c r="Q435" s="224">
        <v>0.13758484311896493</v>
      </c>
      <c r="R435" s="224">
        <v>0.11940511773236485</v>
      </c>
      <c r="S435" s="224">
        <v>0.11552067354776796</v>
      </c>
      <c r="T435" s="224">
        <v>0.10598821019968772</v>
      </c>
      <c r="U435" s="259">
        <v>0.14067802871396606</v>
      </c>
      <c r="V435" s="239">
        <v>40</v>
      </c>
      <c r="W435" s="239">
        <v>50</v>
      </c>
      <c r="X435" s="239">
        <v>36</v>
      </c>
      <c r="Y435" s="239">
        <v>35</v>
      </c>
      <c r="Z435" s="239">
        <v>8</v>
      </c>
      <c r="AA435" s="257">
        <v>169</v>
      </c>
      <c r="AB435" s="224">
        <v>0.25</v>
      </c>
      <c r="AC435" s="224">
        <v>0.16611295681063123</v>
      </c>
      <c r="AD435" s="224">
        <v>0.11501597444089456</v>
      </c>
      <c r="AE435" s="224">
        <v>0.10736196319018405</v>
      </c>
      <c r="AF435" s="224">
        <v>9.5238095238095233E-2</v>
      </c>
      <c r="AG435" s="259">
        <v>0.14273648648648649</v>
      </c>
      <c r="AH435" s="261">
        <v>2.0804077599209446E-3</v>
      </c>
      <c r="AI435" s="261">
        <v>1.8532246108228317E-3</v>
      </c>
      <c r="AJ435" s="261">
        <v>1.6712316048465717E-3</v>
      </c>
      <c r="AK435" s="261">
        <v>1.8816192677813021E-3</v>
      </c>
      <c r="AL435" s="261">
        <v>1.6684045881126173E-3</v>
      </c>
      <c r="AM435" s="262">
        <v>1.8542087246554901E-3</v>
      </c>
    </row>
    <row r="436" spans="1:39" x14ac:dyDescent="0.25">
      <c r="A436" s="215" t="str">
        <v>6026-MSadiq</v>
      </c>
      <c r="B436" s="215" t="str">
        <v>HADARALEMN</v>
      </c>
      <c r="C436" s="215" t="str">
        <v>Mohammed Haidar</v>
      </c>
      <c r="D436" s="239">
        <v>3264.09</v>
      </c>
      <c r="E436" s="239">
        <v>11796.08</v>
      </c>
      <c r="F436" s="239">
        <v>11368.04</v>
      </c>
      <c r="G436" s="239">
        <v>5708.8</v>
      </c>
      <c r="H436" s="239">
        <v>3193.79</v>
      </c>
      <c r="I436" s="257">
        <v>35330.799999999996</v>
      </c>
      <c r="J436" s="240">
        <v>171.79421052631579</v>
      </c>
      <c r="K436" s="240">
        <v>218.44592592592593</v>
      </c>
      <c r="L436" s="240">
        <v>232.00081632653064</v>
      </c>
      <c r="M436" s="240">
        <v>196.8551724137931</v>
      </c>
      <c r="N436" s="240">
        <v>228.12785714285715</v>
      </c>
      <c r="O436" s="258">
        <v>214.12606060606058</v>
      </c>
      <c r="P436" s="224">
        <v>0.11411373931393104</v>
      </c>
      <c r="Q436" s="224">
        <v>0.18552099891276877</v>
      </c>
      <c r="R436" s="224">
        <v>0.16832717902823677</v>
      </c>
      <c r="S436" s="224">
        <v>7.7598270458952276E-2</v>
      </c>
      <c r="T436" s="224">
        <v>0.16808386009914128</v>
      </c>
      <c r="U436" s="259">
        <v>0.14003900868103283</v>
      </c>
      <c r="V436" s="239">
        <v>19</v>
      </c>
      <c r="W436" s="239">
        <v>54</v>
      </c>
      <c r="X436" s="239">
        <v>49</v>
      </c>
      <c r="Y436" s="239">
        <v>29</v>
      </c>
      <c r="Z436" s="239">
        <v>14</v>
      </c>
      <c r="AA436" s="257">
        <v>165</v>
      </c>
      <c r="AB436" s="224">
        <v>0.11874999999999999</v>
      </c>
      <c r="AC436" s="224">
        <v>0.17940199335548174</v>
      </c>
      <c r="AD436" s="224">
        <v>0.15654952076677317</v>
      </c>
      <c r="AE436" s="224">
        <v>8.8957055214723926E-2</v>
      </c>
      <c r="AF436" s="224">
        <v>0.16666666666666666</v>
      </c>
      <c r="AG436" s="259">
        <v>0.13935810810810811</v>
      </c>
      <c r="AH436" s="261">
        <v>9.8819368596244858E-4</v>
      </c>
      <c r="AI436" s="261">
        <v>2.0014825796886584E-3</v>
      </c>
      <c r="AJ436" s="261">
        <v>2.2747319065967225E-3</v>
      </c>
      <c r="AK436" s="261">
        <v>1.559055964733079E-3</v>
      </c>
      <c r="AL436" s="261">
        <v>2.9197080291970801E-3</v>
      </c>
      <c r="AM436" s="262">
        <v>1.8103221276222243E-3</v>
      </c>
    </row>
    <row r="437" spans="1:39" x14ac:dyDescent="0.25">
      <c r="A437" s="215" t="str">
        <v>6070-RALSHARIF</v>
      </c>
      <c r="B437" s="215" t="str">
        <v>HADARALEMN</v>
      </c>
      <c r="C437" s="215" t="str">
        <v>Mohammed Haidar</v>
      </c>
      <c r="D437" s="239">
        <v>2370.0500000000002</v>
      </c>
      <c r="E437" s="239">
        <v>7036.05</v>
      </c>
      <c r="F437" s="239">
        <v>5720</v>
      </c>
      <c r="G437" s="239">
        <v>12306.61</v>
      </c>
      <c r="H437" s="239">
        <v>3663.25</v>
      </c>
      <c r="I437" s="257">
        <v>31095.96</v>
      </c>
      <c r="J437" s="240">
        <v>148.12812500000001</v>
      </c>
      <c r="K437" s="240">
        <v>206.94264705882352</v>
      </c>
      <c r="L437" s="240">
        <v>190.66666666666666</v>
      </c>
      <c r="M437" s="240">
        <v>246.13220000000001</v>
      </c>
      <c r="N437" s="240">
        <v>261.66071428571428</v>
      </c>
      <c r="O437" s="258">
        <v>215.94416666666666</v>
      </c>
      <c r="P437" s="224">
        <v>8.2857785128774716E-2</v>
      </c>
      <c r="Q437" s="224">
        <v>0.11065837332403533</v>
      </c>
      <c r="R437" s="224">
        <v>8.4696347307144787E-2</v>
      </c>
      <c r="S437" s="224">
        <v>0.16728062836547902</v>
      </c>
      <c r="T437" s="224">
        <v>0.19279075972690105</v>
      </c>
      <c r="U437" s="259">
        <v>0.12325357513515262</v>
      </c>
      <c r="V437" s="239">
        <v>16</v>
      </c>
      <c r="W437" s="239">
        <v>34</v>
      </c>
      <c r="X437" s="239">
        <v>30</v>
      </c>
      <c r="Y437" s="239">
        <v>50</v>
      </c>
      <c r="Z437" s="239">
        <v>14</v>
      </c>
      <c r="AA437" s="257">
        <v>144</v>
      </c>
      <c r="AB437" s="224">
        <v>0.1</v>
      </c>
      <c r="AC437" s="224">
        <v>0.11295681063122924</v>
      </c>
      <c r="AD437" s="224">
        <v>9.5846645367412137E-2</v>
      </c>
      <c r="AE437" s="224">
        <v>0.15337423312883436</v>
      </c>
      <c r="AF437" s="224">
        <v>0.16666666666666666</v>
      </c>
      <c r="AG437" s="259">
        <v>0.12162162162162163</v>
      </c>
      <c r="AH437" s="261">
        <v>8.3216310396837777E-4</v>
      </c>
      <c r="AI437" s="261">
        <v>1.2601927353595255E-3</v>
      </c>
      <c r="AJ437" s="261">
        <v>1.3926930040388096E-3</v>
      </c>
      <c r="AK437" s="261">
        <v>2.68802752540186E-3</v>
      </c>
      <c r="AL437" s="261">
        <v>2.9197080291970801E-3</v>
      </c>
      <c r="AM437" s="262">
        <v>1.5799174931975775E-3</v>
      </c>
    </row>
    <row r="438" spans="1:39" x14ac:dyDescent="0.25">
      <c r="A438" s="215" t="str">
        <v>5270-EAlAzmi</v>
      </c>
      <c r="B438" s="215" t="str">
        <v>HADARALEMN</v>
      </c>
      <c r="C438" s="215" t="str">
        <v>Mohammed Haidar</v>
      </c>
      <c r="D438" s="239">
        <v>1983.09</v>
      </c>
      <c r="E438" s="239">
        <v>5715.06</v>
      </c>
      <c r="F438" s="239">
        <v>4955.0599999999995</v>
      </c>
      <c r="G438" s="239">
        <v>11196.6</v>
      </c>
      <c r="H438" s="239">
        <v>1318.05</v>
      </c>
      <c r="I438" s="257">
        <v>25167.859999999997</v>
      </c>
      <c r="J438" s="240">
        <v>198.309</v>
      </c>
      <c r="K438" s="240">
        <v>173.18363636363637</v>
      </c>
      <c r="L438" s="240">
        <v>215.43739130434781</v>
      </c>
      <c r="M438" s="240">
        <v>203.57454545454547</v>
      </c>
      <c r="N438" s="240">
        <v>263.61</v>
      </c>
      <c r="O438" s="258">
        <v>199.74492063492062</v>
      </c>
      <c r="P438" s="224">
        <v>6.9329526850075665E-2</v>
      </c>
      <c r="Q438" s="224">
        <v>8.9882710192403611E-2</v>
      </c>
      <c r="R438" s="224">
        <v>7.336983963072391E-2</v>
      </c>
      <c r="S438" s="224">
        <v>0.1521925439708354</v>
      </c>
      <c r="T438" s="224">
        <v>6.936678109821659E-2</v>
      </c>
      <c r="U438" s="259">
        <v>9.9756647599913359E-2</v>
      </c>
      <c r="V438" s="239">
        <v>10</v>
      </c>
      <c r="W438" s="239">
        <v>33</v>
      </c>
      <c r="X438" s="239">
        <v>23</v>
      </c>
      <c r="Y438" s="239">
        <v>55</v>
      </c>
      <c r="Z438" s="239">
        <v>5</v>
      </c>
      <c r="AA438" s="257">
        <v>126</v>
      </c>
      <c r="AB438" s="224">
        <v>6.25E-2</v>
      </c>
      <c r="AC438" s="224">
        <v>0.10963455149501661</v>
      </c>
      <c r="AD438" s="224">
        <v>7.3482428115015971E-2</v>
      </c>
      <c r="AE438" s="224">
        <v>0.16871165644171779</v>
      </c>
      <c r="AF438" s="224">
        <v>5.9523809523809521E-2</v>
      </c>
      <c r="AG438" s="259">
        <v>0.10641891891891891</v>
      </c>
      <c r="AH438" s="261">
        <v>5.2010193998023614E-4</v>
      </c>
      <c r="AI438" s="261">
        <v>1.223128243143069E-3</v>
      </c>
      <c r="AJ438" s="261">
        <v>1.0677313030964207E-3</v>
      </c>
      <c r="AK438" s="261">
        <v>2.9568302779420462E-3</v>
      </c>
      <c r="AL438" s="261">
        <v>1.0427528675703858E-3</v>
      </c>
      <c r="AM438" s="262">
        <v>1.3824278065478802E-3</v>
      </c>
    </row>
    <row r="439" spans="1:39" x14ac:dyDescent="0.25">
      <c r="A439" s="215" t="str">
        <v>4855-MAlAhmadi</v>
      </c>
      <c r="B439" s="215" t="str">
        <v>HADARALEMN</v>
      </c>
      <c r="C439" s="215" t="str">
        <v>Mohammed Haidar</v>
      </c>
      <c r="D439" s="239">
        <v>3734.09</v>
      </c>
      <c r="E439" s="239">
        <v>2983.04</v>
      </c>
      <c r="F439" s="239">
        <v>7336.03</v>
      </c>
      <c r="G439" s="239">
        <v>4818.95</v>
      </c>
      <c r="H439" s="239">
        <v>500.98</v>
      </c>
      <c r="I439" s="257">
        <v>19373.09</v>
      </c>
      <c r="J439" s="240">
        <v>162.35173913043479</v>
      </c>
      <c r="K439" s="240">
        <v>198.86933333333334</v>
      </c>
      <c r="L439" s="240">
        <v>166.72795454545454</v>
      </c>
      <c r="M439" s="240">
        <v>209.51956521739129</v>
      </c>
      <c r="N439" s="240">
        <v>250.49</v>
      </c>
      <c r="O439" s="258">
        <v>181.05691588785047</v>
      </c>
      <c r="P439" s="224">
        <v>0.1305451053233081</v>
      </c>
      <c r="Q439" s="224">
        <v>4.6915293944831314E-2</v>
      </c>
      <c r="R439" s="224">
        <v>0.10862499033839744</v>
      </c>
      <c r="S439" s="224">
        <v>6.5502765104429664E-2</v>
      </c>
      <c r="T439" s="224">
        <v>2.636574484623842E-2</v>
      </c>
      <c r="U439" s="259">
        <v>7.6788193833381369E-2</v>
      </c>
      <c r="V439" s="239">
        <v>23</v>
      </c>
      <c r="W439" s="239">
        <v>15</v>
      </c>
      <c r="X439" s="239">
        <v>44</v>
      </c>
      <c r="Y439" s="239">
        <v>23</v>
      </c>
      <c r="Z439" s="239">
        <v>2</v>
      </c>
      <c r="AA439" s="257">
        <v>107</v>
      </c>
      <c r="AB439" s="224">
        <v>0.14374999999999999</v>
      </c>
      <c r="AC439" s="224">
        <v>4.9833887043189369E-2</v>
      </c>
      <c r="AD439" s="224">
        <v>0.14057507987220447</v>
      </c>
      <c r="AE439" s="224">
        <v>7.0552147239263799E-2</v>
      </c>
      <c r="AF439" s="224">
        <v>2.3809523809523808E-2</v>
      </c>
      <c r="AG439" s="259">
        <v>9.0371621621621628E-2</v>
      </c>
      <c r="AH439" s="261">
        <v>1.196234461954543E-3</v>
      </c>
      <c r="AI439" s="261">
        <v>5.559673832468495E-4</v>
      </c>
      <c r="AJ439" s="261">
        <v>2.0426164059235874E-3</v>
      </c>
      <c r="AK439" s="261">
        <v>1.2364926616848556E-3</v>
      </c>
      <c r="AL439" s="261">
        <v>4.1710114702815432E-4</v>
      </c>
      <c r="AM439" s="262">
        <v>1.1739664706398665E-3</v>
      </c>
    </row>
    <row r="440" spans="1:39" x14ac:dyDescent="0.25">
      <c r="A440" s="215" t="str">
        <v>6065-BMohammed</v>
      </c>
      <c r="B440" s="215" t="str">
        <v>HADARALEMN</v>
      </c>
      <c r="C440" s="215" t="str">
        <v>Mohammed Haidar</v>
      </c>
      <c r="D440" s="239">
        <v>0</v>
      </c>
      <c r="E440" s="239">
        <v>5254.02</v>
      </c>
      <c r="F440" s="239">
        <v>8307.0400000000009</v>
      </c>
      <c r="G440" s="239">
        <v>0</v>
      </c>
      <c r="H440" s="239">
        <v>1341.12</v>
      </c>
      <c r="I440" s="257">
        <v>14902.18</v>
      </c>
      <c r="J440" s="240" t="str">
        <v/>
      </c>
      <c r="K440" s="240">
        <v>218.91750000000002</v>
      </c>
      <c r="L440" s="240">
        <v>319.50153846153847</v>
      </c>
      <c r="M440" s="240" t="str">
        <v/>
      </c>
      <c r="N440" s="240">
        <v>223.51999999999998</v>
      </c>
      <c r="O440" s="258">
        <v>266.11035714285714</v>
      </c>
      <c r="P440" s="224">
        <v>0</v>
      </c>
      <c r="Q440" s="224">
        <v>8.2631775870260757E-2</v>
      </c>
      <c r="R440" s="224">
        <v>0.12300278757593427</v>
      </c>
      <c r="S440" s="224">
        <v>0</v>
      </c>
      <c r="T440" s="224">
        <v>7.0580916859330239E-2</v>
      </c>
      <c r="U440" s="259">
        <v>5.9067060875675446E-2</v>
      </c>
      <c r="V440" s="239">
        <v>0</v>
      </c>
      <c r="W440" s="239">
        <v>24</v>
      </c>
      <c r="X440" s="239">
        <v>26</v>
      </c>
      <c r="Y440" s="239">
        <v>0</v>
      </c>
      <c r="Z440" s="239">
        <v>6</v>
      </c>
      <c r="AA440" s="257">
        <v>56</v>
      </c>
      <c r="AB440" s="224">
        <v>0</v>
      </c>
      <c r="AC440" s="224">
        <v>7.9734219269102985E-2</v>
      </c>
      <c r="AD440" s="224">
        <v>8.3067092651757185E-2</v>
      </c>
      <c r="AE440" s="224">
        <v>0</v>
      </c>
      <c r="AF440" s="224">
        <v>7.1428571428571425E-2</v>
      </c>
      <c r="AG440" s="259">
        <v>4.72972972972973E-2</v>
      </c>
      <c r="AH440" s="261">
        <v>0</v>
      </c>
      <c r="AI440" s="261">
        <v>8.8954781319495926E-4</v>
      </c>
      <c r="AJ440" s="261">
        <v>1.2070006035003018E-3</v>
      </c>
      <c r="AK440" s="261">
        <v>0</v>
      </c>
      <c r="AL440" s="261">
        <v>1.2513034410844631E-3</v>
      </c>
      <c r="AM440" s="262">
        <v>6.144123584657246E-4</v>
      </c>
    </row>
    <row r="441" spans="1:39" x14ac:dyDescent="0.25">
      <c r="A441" s="215" t="str">
        <v>4860-AAlShadadi</v>
      </c>
      <c r="B441" s="215" t="str">
        <v>HADARALEMN</v>
      </c>
      <c r="C441" s="215" t="str">
        <v>Mohammed Haidar</v>
      </c>
      <c r="D441" s="239">
        <v>1365.05</v>
      </c>
      <c r="E441" s="239">
        <v>315</v>
      </c>
      <c r="F441" s="239">
        <v>2775</v>
      </c>
      <c r="G441" s="239">
        <v>5866.8</v>
      </c>
      <c r="H441" s="239">
        <v>3232.14</v>
      </c>
      <c r="I441" s="257">
        <v>13553.99</v>
      </c>
      <c r="J441" s="240">
        <v>195.00714285714284</v>
      </c>
      <c r="K441" s="240">
        <v>63</v>
      </c>
      <c r="L441" s="240">
        <v>92.5</v>
      </c>
      <c r="M441" s="240">
        <v>130.37333333333333</v>
      </c>
      <c r="N441" s="240">
        <v>202.00874999999999</v>
      </c>
      <c r="O441" s="258">
        <v>131.5921359223301</v>
      </c>
      <c r="P441" s="224">
        <v>4.7722630151276937E-2</v>
      </c>
      <c r="Q441" s="224">
        <v>4.9541131170288914E-3</v>
      </c>
      <c r="R441" s="224">
        <v>4.1089574086945239E-2</v>
      </c>
      <c r="S441" s="224">
        <v>7.9745924384911224E-2</v>
      </c>
      <c r="T441" s="224">
        <v>0.17010215686718239</v>
      </c>
      <c r="U441" s="259">
        <v>5.3723304405012974E-2</v>
      </c>
      <c r="V441" s="239">
        <v>7</v>
      </c>
      <c r="W441" s="239">
        <v>5</v>
      </c>
      <c r="X441" s="239">
        <v>30</v>
      </c>
      <c r="Y441" s="239">
        <v>45</v>
      </c>
      <c r="Z441" s="239">
        <v>16</v>
      </c>
      <c r="AA441" s="257">
        <v>103</v>
      </c>
      <c r="AB441" s="224">
        <v>4.3749999999999997E-2</v>
      </c>
      <c r="AC441" s="224">
        <v>1.6611295681063124E-2</v>
      </c>
      <c r="AD441" s="224">
        <v>9.5846645367412137E-2</v>
      </c>
      <c r="AE441" s="224">
        <v>0.13803680981595093</v>
      </c>
      <c r="AF441" s="224">
        <v>0.19047619047619047</v>
      </c>
      <c r="AG441" s="259">
        <v>8.6993243243243243E-2</v>
      </c>
      <c r="AH441" s="261">
        <v>3.6407135798616528E-4</v>
      </c>
      <c r="AI441" s="261">
        <v>1.8532246108228317E-4</v>
      </c>
      <c r="AJ441" s="261">
        <v>1.3926930040388096E-3</v>
      </c>
      <c r="AK441" s="261">
        <v>2.4192247728616742E-3</v>
      </c>
      <c r="AL441" s="261">
        <v>3.3368091762252345E-3</v>
      </c>
      <c r="AM441" s="262">
        <v>1.1300798736066005E-3</v>
      </c>
    </row>
    <row r="442" spans="1:39" x14ac:dyDescent="0.25">
      <c r="A442" s="215" t="str">
        <v>6027-BAbdulhakim</v>
      </c>
      <c r="B442" s="215" t="str">
        <v>HADARALEMN</v>
      </c>
      <c r="C442" s="215" t="str">
        <v>Mohammed Haidar</v>
      </c>
      <c r="D442" s="239">
        <v>0</v>
      </c>
      <c r="E442" s="239">
        <v>0</v>
      </c>
      <c r="F442" s="239">
        <v>0</v>
      </c>
      <c r="G442" s="239">
        <v>465</v>
      </c>
      <c r="H442" s="239">
        <v>0</v>
      </c>
      <c r="I442" s="257">
        <v>465</v>
      </c>
      <c r="J442" s="240" t="str">
        <v/>
      </c>
      <c r="K442" s="240" t="str">
        <v/>
      </c>
      <c r="L442" s="240" t="str">
        <v/>
      </c>
      <c r="M442" s="240">
        <v>465</v>
      </c>
      <c r="N442" s="240" t="str">
        <v/>
      </c>
      <c r="O442" s="258">
        <v>465</v>
      </c>
      <c r="P442" s="224">
        <v>0</v>
      </c>
      <c r="Q442" s="224">
        <v>0</v>
      </c>
      <c r="R442" s="224">
        <v>0</v>
      </c>
      <c r="S442" s="224">
        <v>6.3206270605753942E-3</v>
      </c>
      <c r="T442" s="224">
        <v>0</v>
      </c>
      <c r="U442" s="259">
        <v>1.8430983458251802E-3</v>
      </c>
      <c r="V442" s="239">
        <v>0</v>
      </c>
      <c r="W442" s="239">
        <v>0</v>
      </c>
      <c r="X442" s="239">
        <v>0</v>
      </c>
      <c r="Y442" s="239">
        <v>1</v>
      </c>
      <c r="Z442" s="239">
        <v>0</v>
      </c>
      <c r="AA442" s="257">
        <v>1</v>
      </c>
      <c r="AB442" s="224">
        <v>0</v>
      </c>
      <c r="AC442" s="224">
        <v>0</v>
      </c>
      <c r="AD442" s="224">
        <v>0</v>
      </c>
      <c r="AE442" s="224">
        <v>3.0674846625766872E-3</v>
      </c>
      <c r="AF442" s="224">
        <v>0</v>
      </c>
      <c r="AG442" s="259">
        <v>8.4459459459459464E-4</v>
      </c>
      <c r="AH442" s="261">
        <v>0</v>
      </c>
      <c r="AI442" s="261">
        <v>0</v>
      </c>
      <c r="AJ442" s="261">
        <v>0</v>
      </c>
      <c r="AK442" s="261">
        <v>5.37605505080372E-5</v>
      </c>
      <c r="AL442" s="261">
        <v>0</v>
      </c>
      <c r="AM442" s="262">
        <v>1.097164925831651E-5</v>
      </c>
    </row>
    <row r="443" spans="1:39" x14ac:dyDescent="0.25">
      <c r="A443" s="215" t="str">
        <v>6480-AAlraddadi</v>
      </c>
      <c r="B443" s="215" t="str">
        <v>HADARALEMN</v>
      </c>
      <c r="C443" s="215" t="str">
        <v>Mohammed Haidar</v>
      </c>
      <c r="D443" s="239">
        <v>0</v>
      </c>
      <c r="E443" s="239">
        <v>0</v>
      </c>
      <c r="F443" s="239">
        <v>150</v>
      </c>
      <c r="G443" s="239">
        <v>25</v>
      </c>
      <c r="H443" s="239">
        <v>0</v>
      </c>
      <c r="I443" s="257">
        <v>175</v>
      </c>
      <c r="J443" s="240" t="str">
        <v/>
      </c>
      <c r="K443" s="240" t="str">
        <v/>
      </c>
      <c r="L443" s="240">
        <v>150</v>
      </c>
      <c r="M443" s="240">
        <v>25</v>
      </c>
      <c r="N443" s="240" t="str">
        <v/>
      </c>
      <c r="O443" s="258">
        <v>87.5</v>
      </c>
      <c r="P443" s="224">
        <v>0</v>
      </c>
      <c r="Q443" s="224">
        <v>0</v>
      </c>
      <c r="R443" s="224">
        <v>2.2210580587537967E-3</v>
      </c>
      <c r="S443" s="224">
        <v>3.398186591707201E-4</v>
      </c>
      <c r="T443" s="224">
        <v>0</v>
      </c>
      <c r="U443" s="259">
        <v>6.9363916240732589E-4</v>
      </c>
      <c r="V443" s="239">
        <v>0</v>
      </c>
      <c r="W443" s="239">
        <v>0</v>
      </c>
      <c r="X443" s="239">
        <v>1</v>
      </c>
      <c r="Y443" s="239">
        <v>1</v>
      </c>
      <c r="Z443" s="239">
        <v>0</v>
      </c>
      <c r="AA443" s="257">
        <v>2</v>
      </c>
      <c r="AB443" s="224">
        <v>0</v>
      </c>
      <c r="AC443" s="224">
        <v>0</v>
      </c>
      <c r="AD443" s="224">
        <v>3.1948881789137379E-3</v>
      </c>
      <c r="AE443" s="224">
        <v>3.0674846625766872E-3</v>
      </c>
      <c r="AF443" s="224">
        <v>0</v>
      </c>
      <c r="AG443" s="259">
        <v>1.6891891891891893E-3</v>
      </c>
      <c r="AH443" s="261">
        <v>0</v>
      </c>
      <c r="AI443" s="261">
        <v>0</v>
      </c>
      <c r="AJ443" s="261">
        <v>4.6423100134626989E-5</v>
      </c>
      <c r="AK443" s="261">
        <v>5.37605505080372E-5</v>
      </c>
      <c r="AL443" s="261">
        <v>0</v>
      </c>
      <c r="AM443" s="262">
        <v>2.194329851663302E-5</v>
      </c>
    </row>
    <row r="444" spans="1:39" x14ac:dyDescent="0.25">
      <c r="A444" s="215" t="str">
        <v>5699-IAllhibi</v>
      </c>
      <c r="B444" s="215" t="str">
        <v>HADLHTBHHT</v>
      </c>
      <c r="C444" s="215" t="str">
        <v>Mohammed Haidar</v>
      </c>
      <c r="D444" s="239">
        <v>3897.15</v>
      </c>
      <c r="E444" s="239">
        <v>14825.11</v>
      </c>
      <c r="F444" s="239">
        <v>11533.01</v>
      </c>
      <c r="G444" s="239">
        <v>12819.87</v>
      </c>
      <c r="H444" s="239">
        <v>5611.05</v>
      </c>
      <c r="I444" s="257">
        <v>48686.19000000001</v>
      </c>
      <c r="J444" s="240">
        <v>229.24411764705883</v>
      </c>
      <c r="K444" s="240">
        <v>214.85666666666668</v>
      </c>
      <c r="L444" s="240">
        <v>186.01629032258066</v>
      </c>
      <c r="M444" s="240">
        <v>213.6645</v>
      </c>
      <c r="N444" s="240">
        <v>233.79375000000002</v>
      </c>
      <c r="O444" s="258">
        <v>209.85426724137935</v>
      </c>
      <c r="P444" s="224">
        <v>0.18108961848576433</v>
      </c>
      <c r="Q444" s="224">
        <v>0.27172411290295978</v>
      </c>
      <c r="R444" s="224">
        <v>0.21927008392829436</v>
      </c>
      <c r="S444" s="224">
        <v>0.23661702150043656</v>
      </c>
      <c r="T444" s="224">
        <v>0.2683911597685667</v>
      </c>
      <c r="U444" s="259">
        <v>0.23893499384800987</v>
      </c>
      <c r="V444" s="239">
        <v>17</v>
      </c>
      <c r="W444" s="239">
        <v>69</v>
      </c>
      <c r="X444" s="239">
        <v>62</v>
      </c>
      <c r="Y444" s="239">
        <v>60</v>
      </c>
      <c r="Z444" s="239">
        <v>24</v>
      </c>
      <c r="AA444" s="257">
        <v>232</v>
      </c>
      <c r="AB444" s="224">
        <v>0.12878787878787878</v>
      </c>
      <c r="AC444" s="224">
        <v>0.25939849624060152</v>
      </c>
      <c r="AD444" s="224">
        <v>0.22794117647058823</v>
      </c>
      <c r="AE444" s="224">
        <v>0.21818181818181817</v>
      </c>
      <c r="AF444" s="224">
        <v>0.25263157894736843</v>
      </c>
      <c r="AG444" s="259">
        <v>0.22307692307692309</v>
      </c>
      <c r="AH444" s="261">
        <v>8.8417329796640137E-4</v>
      </c>
      <c r="AI444" s="261">
        <v>2.5574499629355076E-3</v>
      </c>
      <c r="AJ444" s="261">
        <v>2.8782322083468733E-3</v>
      </c>
      <c r="AK444" s="261">
        <v>3.2256330304822321E-3</v>
      </c>
      <c r="AL444" s="261">
        <v>5.0052137643378522E-3</v>
      </c>
      <c r="AM444" s="262">
        <v>2.5454226279294306E-3</v>
      </c>
    </row>
    <row r="445" spans="1:39" x14ac:dyDescent="0.25">
      <c r="A445" s="215" t="str">
        <v>6069-Tariq</v>
      </c>
      <c r="B445" s="215" t="str">
        <v>HADLHTBHHT</v>
      </c>
      <c r="C445" s="215" t="str">
        <v>Mohammed Haidar</v>
      </c>
      <c r="D445" s="239">
        <v>3308.1</v>
      </c>
      <c r="E445" s="239">
        <v>9830.09</v>
      </c>
      <c r="F445" s="239">
        <v>11844.1</v>
      </c>
      <c r="G445" s="239">
        <v>12978.69</v>
      </c>
      <c r="H445" s="239">
        <v>2661.09</v>
      </c>
      <c r="I445" s="257">
        <v>40622.070000000007</v>
      </c>
      <c r="J445" s="240">
        <v>174.11052631578946</v>
      </c>
      <c r="K445" s="240">
        <v>196.6018</v>
      </c>
      <c r="L445" s="240">
        <v>223.47358490566037</v>
      </c>
      <c r="M445" s="240">
        <v>196.64681818181819</v>
      </c>
      <c r="N445" s="240">
        <v>204.69923076923078</v>
      </c>
      <c r="O445" s="258">
        <v>202.09985074626869</v>
      </c>
      <c r="P445" s="224">
        <v>0.15371811885936054</v>
      </c>
      <c r="Q445" s="224">
        <v>0.18017218658116235</v>
      </c>
      <c r="R445" s="224">
        <v>0.22518464833162474</v>
      </c>
      <c r="S445" s="224">
        <v>0.23954837067595078</v>
      </c>
      <c r="T445" s="224">
        <v>0.12728687702810262</v>
      </c>
      <c r="U445" s="259">
        <v>0.19935907996792163</v>
      </c>
      <c r="V445" s="239">
        <v>19</v>
      </c>
      <c r="W445" s="239">
        <v>50</v>
      </c>
      <c r="X445" s="239">
        <v>53</v>
      </c>
      <c r="Y445" s="239">
        <v>66</v>
      </c>
      <c r="Z445" s="239">
        <v>13</v>
      </c>
      <c r="AA445" s="257">
        <v>201</v>
      </c>
      <c r="AB445" s="224">
        <v>0.14393939393939395</v>
      </c>
      <c r="AC445" s="224">
        <v>0.18796992481203006</v>
      </c>
      <c r="AD445" s="224">
        <v>0.19485294117647059</v>
      </c>
      <c r="AE445" s="224">
        <v>0.24</v>
      </c>
      <c r="AF445" s="224">
        <v>0.1368421052631579</v>
      </c>
      <c r="AG445" s="259">
        <v>0.19326923076923078</v>
      </c>
      <c r="AH445" s="261">
        <v>9.8819368596244858E-4</v>
      </c>
      <c r="AI445" s="261">
        <v>1.8532246108228317E-3</v>
      </c>
      <c r="AJ445" s="261">
        <v>2.4604243071352306E-3</v>
      </c>
      <c r="AK445" s="261">
        <v>3.5481963335304554E-3</v>
      </c>
      <c r="AL445" s="261">
        <v>2.7111574556830031E-3</v>
      </c>
      <c r="AM445" s="262">
        <v>2.2053015009216186E-3</v>
      </c>
    </row>
    <row r="446" spans="1:39" x14ac:dyDescent="0.25">
      <c r="A446" s="215" t="str">
        <v>5647-SAhadad</v>
      </c>
      <c r="B446" s="215" t="str">
        <v>HADLHTBHHT</v>
      </c>
      <c r="C446" s="215" t="str">
        <v>Mohammed Haidar</v>
      </c>
      <c r="D446" s="239">
        <v>2332.0699999999997</v>
      </c>
      <c r="E446" s="239">
        <v>10660.04</v>
      </c>
      <c r="F446" s="239">
        <v>11252.03</v>
      </c>
      <c r="G446" s="239">
        <v>11284.910000000002</v>
      </c>
      <c r="H446" s="239">
        <v>2189.02</v>
      </c>
      <c r="I446" s="257">
        <v>37718.07</v>
      </c>
      <c r="J446" s="240">
        <v>166.57642857142855</v>
      </c>
      <c r="K446" s="240">
        <v>177.66733333333335</v>
      </c>
      <c r="L446" s="240">
        <v>200.92910714285716</v>
      </c>
      <c r="M446" s="240">
        <v>176.32671875000003</v>
      </c>
      <c r="N446" s="240">
        <v>199.00181818181818</v>
      </c>
      <c r="O446" s="258">
        <v>183.99058536585366</v>
      </c>
      <c r="P446" s="224">
        <v>0.10836474515533052</v>
      </c>
      <c r="Q446" s="224">
        <v>0.19538404183915448</v>
      </c>
      <c r="R446" s="224">
        <v>0.21392798258769274</v>
      </c>
      <c r="S446" s="224">
        <v>0.20828618325306669</v>
      </c>
      <c r="T446" s="224">
        <v>0.10470653737831384</v>
      </c>
      <c r="U446" s="259">
        <v>0.18510725163354955</v>
      </c>
      <c r="V446" s="239">
        <v>14</v>
      </c>
      <c r="W446" s="239">
        <v>60</v>
      </c>
      <c r="X446" s="239">
        <v>56</v>
      </c>
      <c r="Y446" s="239">
        <v>64</v>
      </c>
      <c r="Z446" s="239">
        <v>11</v>
      </c>
      <c r="AA446" s="257">
        <v>205</v>
      </c>
      <c r="AB446" s="224">
        <v>0.10606060606060606</v>
      </c>
      <c r="AC446" s="224">
        <v>0.22556390977443608</v>
      </c>
      <c r="AD446" s="224">
        <v>0.20588235294117646</v>
      </c>
      <c r="AE446" s="224">
        <v>0.23272727272727273</v>
      </c>
      <c r="AF446" s="224">
        <v>0.11578947368421053</v>
      </c>
      <c r="AG446" s="259">
        <v>0.19711538461538461</v>
      </c>
      <c r="AH446" s="261">
        <v>7.2814271597233056E-4</v>
      </c>
      <c r="AI446" s="261">
        <v>2.223869532987398E-3</v>
      </c>
      <c r="AJ446" s="261">
        <v>2.5996936075391116E-3</v>
      </c>
      <c r="AK446" s="261">
        <v>3.4406752325143808E-3</v>
      </c>
      <c r="AL446" s="261">
        <v>2.2940563086548487E-3</v>
      </c>
      <c r="AM446" s="262">
        <v>2.2491880979548847E-3</v>
      </c>
    </row>
    <row r="447" spans="1:39" x14ac:dyDescent="0.25">
      <c r="A447" s="215" t="str">
        <v>5884-AAlbarnawi</v>
      </c>
      <c r="B447" s="215" t="str">
        <v>HADLHTBHHT</v>
      </c>
      <c r="C447" s="215" t="str">
        <v>Mohammed Haidar</v>
      </c>
      <c r="D447" s="239">
        <v>4733.09</v>
      </c>
      <c r="E447" s="239">
        <v>7311.0999999999995</v>
      </c>
      <c r="F447" s="239">
        <v>8618.09</v>
      </c>
      <c r="G447" s="239">
        <v>7432.6500000000005</v>
      </c>
      <c r="H447" s="239">
        <v>5304.86</v>
      </c>
      <c r="I447" s="257">
        <v>33399.79</v>
      </c>
      <c r="J447" s="240">
        <v>139.20852941176472</v>
      </c>
      <c r="K447" s="240">
        <v>261.11071428571427</v>
      </c>
      <c r="L447" s="240">
        <v>159.59425925925927</v>
      </c>
      <c r="M447" s="240">
        <v>181.28414634146344</v>
      </c>
      <c r="N447" s="240">
        <v>196.47629629629628</v>
      </c>
      <c r="O447" s="258">
        <v>181.52059782608697</v>
      </c>
      <c r="P447" s="224">
        <v>0.21993340321999058</v>
      </c>
      <c r="Q447" s="224">
        <v>0.13400252422038211</v>
      </c>
      <c r="R447" s="224">
        <v>0.16385048808607591</v>
      </c>
      <c r="S447" s="224">
        <v>0.13718481582537265</v>
      </c>
      <c r="T447" s="224">
        <v>0.25374529327129119</v>
      </c>
      <c r="U447" s="259">
        <v>0.16391462585539801</v>
      </c>
      <c r="V447" s="239">
        <v>34</v>
      </c>
      <c r="W447" s="239">
        <v>28</v>
      </c>
      <c r="X447" s="239">
        <v>54</v>
      </c>
      <c r="Y447" s="239">
        <v>41</v>
      </c>
      <c r="Z447" s="239">
        <v>27</v>
      </c>
      <c r="AA447" s="257">
        <v>184</v>
      </c>
      <c r="AB447" s="224">
        <v>0.25757575757575757</v>
      </c>
      <c r="AC447" s="224">
        <v>0.10526315789473684</v>
      </c>
      <c r="AD447" s="224">
        <v>0.19852941176470587</v>
      </c>
      <c r="AE447" s="224">
        <v>0.14909090909090908</v>
      </c>
      <c r="AF447" s="224">
        <v>0.28421052631578947</v>
      </c>
      <c r="AG447" s="259">
        <v>0.17692307692307693</v>
      </c>
      <c r="AH447" s="261">
        <v>1.7683465959328027E-3</v>
      </c>
      <c r="AI447" s="261">
        <v>1.0378057820607859E-3</v>
      </c>
      <c r="AJ447" s="261">
        <v>2.5068474072698576E-3</v>
      </c>
      <c r="AK447" s="261">
        <v>2.2041825708295254E-3</v>
      </c>
      <c r="AL447" s="261">
        <v>5.6308654848800837E-3</v>
      </c>
      <c r="AM447" s="262">
        <v>2.0187834635302378E-3</v>
      </c>
    </row>
    <row r="448" spans="1:39" x14ac:dyDescent="0.25">
      <c r="A448" s="215" t="str">
        <v>5916-QALSHARABI</v>
      </c>
      <c r="B448" s="215" t="str">
        <v>HADLHTBHHT</v>
      </c>
      <c r="C448" s="215" t="str">
        <v>Mohammed Haidar</v>
      </c>
      <c r="D448" s="239">
        <v>2224.0299999999997</v>
      </c>
      <c r="E448" s="239">
        <v>4723.04</v>
      </c>
      <c r="F448" s="239">
        <v>6225.05</v>
      </c>
      <c r="G448" s="239">
        <v>9063.7000000000007</v>
      </c>
      <c r="H448" s="239">
        <v>4929.2</v>
      </c>
      <c r="I448" s="257">
        <v>27165.02</v>
      </c>
      <c r="J448" s="240">
        <v>130.82529411764705</v>
      </c>
      <c r="K448" s="240">
        <v>224.90666666666667</v>
      </c>
      <c r="L448" s="240">
        <v>177.85857142857142</v>
      </c>
      <c r="M448" s="240">
        <v>226.59250000000003</v>
      </c>
      <c r="N448" s="240">
        <v>259.43157894736839</v>
      </c>
      <c r="O448" s="258">
        <v>205.79560606060608</v>
      </c>
      <c r="P448" s="224">
        <v>0.10334442969885542</v>
      </c>
      <c r="Q448" s="224">
        <v>8.6566902654023822E-2</v>
      </c>
      <c r="R448" s="224">
        <v>0.11835307833408874</v>
      </c>
      <c r="S448" s="224">
        <v>0.1672891923064358</v>
      </c>
      <c r="T448" s="224">
        <v>0.2357764954386824</v>
      </c>
      <c r="U448" s="259">
        <v>0.1333165295247187</v>
      </c>
      <c r="V448" s="239">
        <v>17</v>
      </c>
      <c r="W448" s="239">
        <v>21</v>
      </c>
      <c r="X448" s="239">
        <v>35</v>
      </c>
      <c r="Y448" s="239">
        <v>40</v>
      </c>
      <c r="Z448" s="239">
        <v>19</v>
      </c>
      <c r="AA448" s="257">
        <v>132</v>
      </c>
      <c r="AB448" s="224">
        <v>0.12878787878787878</v>
      </c>
      <c r="AC448" s="224">
        <v>7.8947368421052627E-2</v>
      </c>
      <c r="AD448" s="224">
        <v>0.12867647058823528</v>
      </c>
      <c r="AE448" s="224">
        <v>0.14545454545454545</v>
      </c>
      <c r="AF448" s="224">
        <v>0.2</v>
      </c>
      <c r="AG448" s="259">
        <v>0.12692307692307692</v>
      </c>
      <c r="AH448" s="261">
        <v>8.8417329796640137E-4</v>
      </c>
      <c r="AI448" s="261">
        <v>7.7835433654558934E-4</v>
      </c>
      <c r="AJ448" s="261">
        <v>1.6248085047119447E-3</v>
      </c>
      <c r="AK448" s="261">
        <v>2.1504220203214879E-3</v>
      </c>
      <c r="AL448" s="261">
        <v>3.962460896767466E-3</v>
      </c>
      <c r="AM448" s="262">
        <v>1.4482577020977793E-3</v>
      </c>
    </row>
    <row r="449" spans="1:39" x14ac:dyDescent="0.25">
      <c r="A449" s="215" t="str">
        <v>6068-FAlzahrani</v>
      </c>
      <c r="B449" s="215" t="str">
        <v>HADLHTBHHT</v>
      </c>
      <c r="C449" s="215" t="str">
        <v>Mohammed Haidar</v>
      </c>
      <c r="D449" s="239">
        <v>5026.12</v>
      </c>
      <c r="E449" s="239">
        <v>7210.04</v>
      </c>
      <c r="F449" s="239">
        <v>1700</v>
      </c>
      <c r="G449" s="239">
        <v>0</v>
      </c>
      <c r="H449" s="239">
        <v>211.02</v>
      </c>
      <c r="I449" s="257">
        <v>14147.18</v>
      </c>
      <c r="J449" s="240">
        <v>162.13290322580644</v>
      </c>
      <c r="K449" s="240">
        <v>189.73789473684209</v>
      </c>
      <c r="L449" s="240">
        <v>170</v>
      </c>
      <c r="M449" s="240" t="str">
        <v/>
      </c>
      <c r="N449" s="240">
        <v>211.02</v>
      </c>
      <c r="O449" s="258">
        <v>176.83975000000001</v>
      </c>
      <c r="P449" s="224">
        <v>0.23354968458069866</v>
      </c>
      <c r="Q449" s="224">
        <v>0.13215023180231755</v>
      </c>
      <c r="R449" s="224">
        <v>3.2321062990329531E-2</v>
      </c>
      <c r="S449" s="224">
        <v>0</v>
      </c>
      <c r="T449" s="224">
        <v>1.0093637115043163E-2</v>
      </c>
      <c r="U449" s="259">
        <v>6.9429469964001858E-2</v>
      </c>
      <c r="V449" s="239">
        <v>31</v>
      </c>
      <c r="W449" s="239">
        <v>38</v>
      </c>
      <c r="X449" s="239">
        <v>10</v>
      </c>
      <c r="Y449" s="239">
        <v>0</v>
      </c>
      <c r="Z449" s="239">
        <v>1</v>
      </c>
      <c r="AA449" s="257">
        <v>80</v>
      </c>
      <c r="AB449" s="224">
        <v>0.23484848484848486</v>
      </c>
      <c r="AC449" s="224">
        <v>0.14285714285714285</v>
      </c>
      <c r="AD449" s="224">
        <v>3.6764705882352942E-2</v>
      </c>
      <c r="AE449" s="224">
        <v>0</v>
      </c>
      <c r="AF449" s="224">
        <v>1.0526315789473684E-2</v>
      </c>
      <c r="AG449" s="259">
        <v>7.6923076923076927E-2</v>
      </c>
      <c r="AH449" s="261">
        <v>1.612316013938732E-3</v>
      </c>
      <c r="AI449" s="261">
        <v>1.4084507042253522E-3</v>
      </c>
      <c r="AJ449" s="261">
        <v>4.6423100134626989E-4</v>
      </c>
      <c r="AK449" s="261">
        <v>0</v>
      </c>
      <c r="AL449" s="261">
        <v>2.0855057351407716E-4</v>
      </c>
      <c r="AM449" s="262">
        <v>8.7773194066532079E-4</v>
      </c>
    </row>
    <row r="450" spans="1:39" x14ac:dyDescent="0.25">
      <c r="A450" s="215" t="str">
        <v>5645-YMakki</v>
      </c>
      <c r="B450" s="215" t="str">
        <v>HADLHTBHHT</v>
      </c>
      <c r="C450" s="215" t="str">
        <v>Mohammed Haidar</v>
      </c>
      <c r="D450" s="239">
        <v>0</v>
      </c>
      <c r="E450" s="239">
        <v>0</v>
      </c>
      <c r="F450" s="239">
        <v>1425</v>
      </c>
      <c r="G450" s="239">
        <v>0</v>
      </c>
      <c r="H450" s="239">
        <v>0</v>
      </c>
      <c r="I450" s="257">
        <v>1425</v>
      </c>
      <c r="J450" s="240" t="str">
        <v/>
      </c>
      <c r="K450" s="240" t="str">
        <v/>
      </c>
      <c r="L450" s="240">
        <v>712.5</v>
      </c>
      <c r="M450" s="240" t="str">
        <v/>
      </c>
      <c r="N450" s="240" t="str">
        <v/>
      </c>
      <c r="O450" s="258">
        <v>712.5</v>
      </c>
      <c r="P450" s="224">
        <v>0</v>
      </c>
      <c r="Q450" s="224">
        <v>0</v>
      </c>
      <c r="R450" s="224">
        <v>2.7092655741893873E-2</v>
      </c>
      <c r="S450" s="224">
        <v>0</v>
      </c>
      <c r="T450" s="224">
        <v>0</v>
      </c>
      <c r="U450" s="259">
        <v>6.9934074987879312E-3</v>
      </c>
      <c r="V450" s="239">
        <v>0</v>
      </c>
      <c r="W450" s="239">
        <v>0</v>
      </c>
      <c r="X450" s="239">
        <v>2</v>
      </c>
      <c r="Y450" s="239">
        <v>0</v>
      </c>
      <c r="Z450" s="239">
        <v>0</v>
      </c>
      <c r="AA450" s="257">
        <v>2</v>
      </c>
      <c r="AB450" s="224">
        <v>0</v>
      </c>
      <c r="AC450" s="224">
        <v>0</v>
      </c>
      <c r="AD450" s="224">
        <v>7.3529411764705881E-3</v>
      </c>
      <c r="AE450" s="224">
        <v>0</v>
      </c>
      <c r="AF450" s="224">
        <v>0</v>
      </c>
      <c r="AG450" s="259">
        <v>1.9230769230769232E-3</v>
      </c>
      <c r="AH450" s="261">
        <v>0</v>
      </c>
      <c r="AI450" s="261">
        <v>0</v>
      </c>
      <c r="AJ450" s="261">
        <v>9.2846200269253978E-5</v>
      </c>
      <c r="AK450" s="261">
        <v>0</v>
      </c>
      <c r="AL450" s="261">
        <v>0</v>
      </c>
      <c r="AM450" s="262">
        <v>2.194329851663302E-5</v>
      </c>
    </row>
    <row r="451" spans="1:39" x14ac:dyDescent="0.25">
      <c r="A451" s="215" t="str">
        <v>5270-EAlAzmi</v>
      </c>
      <c r="B451" s="215" t="str">
        <v>HADLHTBHHT</v>
      </c>
      <c r="C451" s="215" t="str">
        <v>Mohammed Haidar</v>
      </c>
      <c r="D451" s="239">
        <v>0</v>
      </c>
      <c r="E451" s="239">
        <v>0</v>
      </c>
      <c r="F451" s="239">
        <v>0</v>
      </c>
      <c r="G451" s="239">
        <v>600.01</v>
      </c>
      <c r="H451" s="239">
        <v>0</v>
      </c>
      <c r="I451" s="257">
        <v>600.01</v>
      </c>
      <c r="J451" s="240" t="str">
        <v/>
      </c>
      <c r="K451" s="240" t="str">
        <v/>
      </c>
      <c r="L451" s="240" t="str">
        <v/>
      </c>
      <c r="M451" s="240">
        <v>150.0025</v>
      </c>
      <c r="N451" s="240" t="str">
        <v/>
      </c>
      <c r="O451" s="258">
        <v>150.0025</v>
      </c>
      <c r="P451" s="224">
        <v>0</v>
      </c>
      <c r="Q451" s="224">
        <v>0</v>
      </c>
      <c r="R451" s="224">
        <v>0</v>
      </c>
      <c r="S451" s="224">
        <v>1.1074416438737439E-2</v>
      </c>
      <c r="T451" s="224">
        <v>0</v>
      </c>
      <c r="U451" s="259">
        <v>2.9446417076124539E-3</v>
      </c>
      <c r="V451" s="239">
        <v>0</v>
      </c>
      <c r="W451" s="239">
        <v>0</v>
      </c>
      <c r="X451" s="239">
        <v>0</v>
      </c>
      <c r="Y451" s="239">
        <v>4</v>
      </c>
      <c r="Z451" s="239">
        <v>0</v>
      </c>
      <c r="AA451" s="257">
        <v>4</v>
      </c>
      <c r="AB451" s="224">
        <v>0</v>
      </c>
      <c r="AC451" s="224">
        <v>0</v>
      </c>
      <c r="AD451" s="224">
        <v>0</v>
      </c>
      <c r="AE451" s="224">
        <v>1.4545454545454545E-2</v>
      </c>
      <c r="AF451" s="224">
        <v>0</v>
      </c>
      <c r="AG451" s="259">
        <v>3.8461538461538464E-3</v>
      </c>
      <c r="AH451" s="261">
        <v>0</v>
      </c>
      <c r="AI451" s="261">
        <v>0</v>
      </c>
      <c r="AJ451" s="261">
        <v>0</v>
      </c>
      <c r="AK451" s="261">
        <v>2.150422020321488E-4</v>
      </c>
      <c r="AL451" s="261">
        <v>0</v>
      </c>
      <c r="AM451" s="262">
        <v>4.3886597033266039E-5</v>
      </c>
    </row>
    <row r="452" spans="1:39" x14ac:dyDescent="0.25">
      <c r="A452" s="215" t="str">
        <v>4614-OHameed</v>
      </c>
      <c r="B452" s="215" t="str">
        <v>HAJWALK</v>
      </c>
      <c r="C452" s="215" t="str">
        <v>Mohammed Haidar</v>
      </c>
      <c r="D452" s="239">
        <v>6159.1</v>
      </c>
      <c r="E452" s="239">
        <v>17019.09</v>
      </c>
      <c r="F452" s="239">
        <v>6938.02</v>
      </c>
      <c r="G452" s="239">
        <v>8789.66</v>
      </c>
      <c r="H452" s="239">
        <v>2233.0699999999997</v>
      </c>
      <c r="I452" s="257">
        <v>41138.94</v>
      </c>
      <c r="J452" s="240">
        <v>153.97750000000002</v>
      </c>
      <c r="K452" s="240">
        <v>236.37625</v>
      </c>
      <c r="L452" s="240">
        <v>192.72277777777779</v>
      </c>
      <c r="M452" s="240">
        <v>187.01404255319147</v>
      </c>
      <c r="N452" s="240">
        <v>279.13374999999996</v>
      </c>
      <c r="O452" s="258">
        <v>202.65487684729067</v>
      </c>
      <c r="P452" s="224">
        <v>0.24430742013728432</v>
      </c>
      <c r="Q452" s="224">
        <v>0.41751984367927758</v>
      </c>
      <c r="R452" s="224">
        <v>0.21168434409926251</v>
      </c>
      <c r="S452" s="224">
        <v>0.3219231163656075</v>
      </c>
      <c r="T452" s="224">
        <v>0.22446749695927945</v>
      </c>
      <c r="U452" s="259">
        <v>0.30249218364028063</v>
      </c>
      <c r="V452" s="239">
        <v>40</v>
      </c>
      <c r="W452" s="239">
        <v>72</v>
      </c>
      <c r="X452" s="239">
        <v>36</v>
      </c>
      <c r="Y452" s="239">
        <v>47</v>
      </c>
      <c r="Z452" s="239">
        <v>8</v>
      </c>
      <c r="AA452" s="257">
        <v>203</v>
      </c>
      <c r="AB452" s="224">
        <v>0.25806451612903225</v>
      </c>
      <c r="AC452" s="224">
        <v>0.37894736842105264</v>
      </c>
      <c r="AD452" s="224">
        <v>0.19459459459459461</v>
      </c>
      <c r="AE452" s="224">
        <v>0.32413793103448274</v>
      </c>
      <c r="AF452" s="224">
        <v>0.13114754098360656</v>
      </c>
      <c r="AG452" s="259">
        <v>0.27581521739130432</v>
      </c>
      <c r="AH452" s="261">
        <v>2.0804077599209446E-3</v>
      </c>
      <c r="AI452" s="261">
        <v>2.6686434395848777E-3</v>
      </c>
      <c r="AJ452" s="261">
        <v>1.6712316048465717E-3</v>
      </c>
      <c r="AK452" s="261">
        <v>2.5267458738777483E-3</v>
      </c>
      <c r="AL452" s="261">
        <v>1.6684045881126173E-3</v>
      </c>
      <c r="AM452" s="262">
        <v>2.2272447994382515E-3</v>
      </c>
    </row>
    <row r="453" spans="1:39" x14ac:dyDescent="0.25">
      <c r="A453" s="215" t="str">
        <v>4859-FAlhaysuni</v>
      </c>
      <c r="B453" s="215" t="str">
        <v>HAJWALK</v>
      </c>
      <c r="C453" s="215" t="str">
        <v>Mohammed Haidar</v>
      </c>
      <c r="D453" s="239">
        <v>4365.03</v>
      </c>
      <c r="E453" s="239">
        <v>9284.1</v>
      </c>
      <c r="F453" s="239">
        <v>10694.08</v>
      </c>
      <c r="G453" s="239">
        <v>6058.0400000000009</v>
      </c>
      <c r="H453" s="239">
        <v>4033.1899999999996</v>
      </c>
      <c r="I453" s="257">
        <v>34434.44</v>
      </c>
      <c r="J453" s="240">
        <v>242.50166666666667</v>
      </c>
      <c r="K453" s="240">
        <v>232.10250000000002</v>
      </c>
      <c r="L453" s="240">
        <v>201.77509433962263</v>
      </c>
      <c r="M453" s="240">
        <v>224.37185185185189</v>
      </c>
      <c r="N453" s="240">
        <v>130.10290322580644</v>
      </c>
      <c r="O453" s="258">
        <v>203.75408284023669</v>
      </c>
      <c r="P453" s="224">
        <v>0.17314367653096233</v>
      </c>
      <c r="Q453" s="224">
        <v>0.22776164769695567</v>
      </c>
      <c r="R453" s="224">
        <v>0.32628463315831335</v>
      </c>
      <c r="S453" s="224">
        <v>0.22187696860487266</v>
      </c>
      <c r="T453" s="224">
        <v>0.40541499552687393</v>
      </c>
      <c r="U453" s="259">
        <v>0.25319439314747111</v>
      </c>
      <c r="V453" s="239">
        <v>18</v>
      </c>
      <c r="W453" s="239">
        <v>40</v>
      </c>
      <c r="X453" s="239">
        <v>53</v>
      </c>
      <c r="Y453" s="239">
        <v>27</v>
      </c>
      <c r="Z453" s="239">
        <v>31</v>
      </c>
      <c r="AA453" s="257">
        <v>169</v>
      </c>
      <c r="AB453" s="224">
        <v>0.11612903225806452</v>
      </c>
      <c r="AC453" s="224">
        <v>0.21052631578947367</v>
      </c>
      <c r="AD453" s="224">
        <v>0.2864864864864865</v>
      </c>
      <c r="AE453" s="224">
        <v>0.18620689655172415</v>
      </c>
      <c r="AF453" s="224">
        <v>0.50819672131147542</v>
      </c>
      <c r="AG453" s="259">
        <v>0.2296195652173913</v>
      </c>
      <c r="AH453" s="261">
        <v>9.3618349196442508E-4</v>
      </c>
      <c r="AI453" s="261">
        <v>1.4825796886582653E-3</v>
      </c>
      <c r="AJ453" s="261">
        <v>2.4604243071352306E-3</v>
      </c>
      <c r="AK453" s="261">
        <v>1.4515348637170044E-3</v>
      </c>
      <c r="AL453" s="261">
        <v>6.4650677789363925E-3</v>
      </c>
      <c r="AM453" s="262">
        <v>1.8542087246554901E-3</v>
      </c>
    </row>
    <row r="454" spans="1:39" x14ac:dyDescent="0.25">
      <c r="A454" s="215" t="str">
        <v>4853-RAlahmadi</v>
      </c>
      <c r="B454" s="215" t="str">
        <v>HAJWALK</v>
      </c>
      <c r="C454" s="215" t="str">
        <v>Mohammed Haidar</v>
      </c>
      <c r="D454" s="239">
        <v>9850.2200000000012</v>
      </c>
      <c r="E454" s="239">
        <v>7810.17</v>
      </c>
      <c r="F454" s="239">
        <v>7643.12</v>
      </c>
      <c r="G454" s="239">
        <v>3165.9700000000003</v>
      </c>
      <c r="H454" s="239">
        <v>1239.99</v>
      </c>
      <c r="I454" s="257">
        <v>29709.47</v>
      </c>
      <c r="J454" s="240">
        <v>158.87451612903229</v>
      </c>
      <c r="K454" s="240">
        <v>181.63186046511629</v>
      </c>
      <c r="L454" s="240">
        <v>138.96581818181818</v>
      </c>
      <c r="M454" s="240">
        <v>158.29850000000002</v>
      </c>
      <c r="N454" s="240">
        <v>206.66499999999999</v>
      </c>
      <c r="O454" s="258">
        <v>159.72833333333335</v>
      </c>
      <c r="P454" s="224">
        <v>0.39071972138537786</v>
      </c>
      <c r="Q454" s="224">
        <v>0.19160254499556578</v>
      </c>
      <c r="R454" s="224">
        <v>0.23319748920757724</v>
      </c>
      <c r="S454" s="224">
        <v>0.11595430639183113</v>
      </c>
      <c r="T454" s="224">
        <v>0.12464340641114563</v>
      </c>
      <c r="U454" s="259">
        <v>0.21845196923147284</v>
      </c>
      <c r="V454" s="239">
        <v>62</v>
      </c>
      <c r="W454" s="239">
        <v>43</v>
      </c>
      <c r="X454" s="239">
        <v>55</v>
      </c>
      <c r="Y454" s="239">
        <v>20</v>
      </c>
      <c r="Z454" s="239">
        <v>6</v>
      </c>
      <c r="AA454" s="257">
        <v>186</v>
      </c>
      <c r="AB454" s="224">
        <v>0.4</v>
      </c>
      <c r="AC454" s="224">
        <v>0.22631578947368422</v>
      </c>
      <c r="AD454" s="224">
        <v>0.29729729729729731</v>
      </c>
      <c r="AE454" s="224">
        <v>0.13793103448275862</v>
      </c>
      <c r="AF454" s="224">
        <v>9.8360655737704916E-2</v>
      </c>
      <c r="AG454" s="259">
        <v>0.25271739130434784</v>
      </c>
      <c r="AH454" s="261">
        <v>3.2246320278774641E-3</v>
      </c>
      <c r="AI454" s="261">
        <v>1.5937731653076354E-3</v>
      </c>
      <c r="AJ454" s="261">
        <v>2.5532705074044846E-3</v>
      </c>
      <c r="AK454" s="261">
        <v>1.075211010160744E-3</v>
      </c>
      <c r="AL454" s="261">
        <v>1.2513034410844631E-3</v>
      </c>
      <c r="AM454" s="262">
        <v>2.040726762046871E-3</v>
      </c>
    </row>
    <row r="455" spans="1:39" x14ac:dyDescent="0.25">
      <c r="A455" s="215" t="str">
        <v>4864-KAlharbi</v>
      </c>
      <c r="B455" s="215" t="str">
        <v>HAJWALK</v>
      </c>
      <c r="C455" s="215" t="str">
        <v>Mohammed Haidar</v>
      </c>
      <c r="D455" s="239">
        <v>4836.1000000000004</v>
      </c>
      <c r="E455" s="239">
        <v>6648.99</v>
      </c>
      <c r="F455" s="239">
        <v>7050.08</v>
      </c>
      <c r="G455" s="239">
        <v>7767.96</v>
      </c>
      <c r="H455" s="239">
        <v>889.97</v>
      </c>
      <c r="I455" s="257">
        <v>27193.1</v>
      </c>
      <c r="J455" s="240">
        <v>138.17428571428573</v>
      </c>
      <c r="K455" s="240">
        <v>189.97114285714284</v>
      </c>
      <c r="L455" s="240">
        <v>185.52842105263159</v>
      </c>
      <c r="M455" s="240">
        <v>180.65023255813955</v>
      </c>
      <c r="N455" s="240">
        <v>177.994</v>
      </c>
      <c r="O455" s="258">
        <v>174.31474358974359</v>
      </c>
      <c r="P455" s="224">
        <v>0.19182918194637538</v>
      </c>
      <c r="Q455" s="224">
        <v>0.16311596362820102</v>
      </c>
      <c r="R455" s="224">
        <v>0.21510338117320627</v>
      </c>
      <c r="S455" s="224">
        <v>0.28450314244275482</v>
      </c>
      <c r="T455" s="224">
        <v>8.9459505644180426E-2</v>
      </c>
      <c r="U455" s="259">
        <v>0.19994925000373159</v>
      </c>
      <c r="V455" s="239">
        <v>35</v>
      </c>
      <c r="W455" s="239">
        <v>35</v>
      </c>
      <c r="X455" s="239">
        <v>38</v>
      </c>
      <c r="Y455" s="239">
        <v>43</v>
      </c>
      <c r="Z455" s="239">
        <v>5</v>
      </c>
      <c r="AA455" s="257">
        <v>156</v>
      </c>
      <c r="AB455" s="224">
        <v>0.22580645161290322</v>
      </c>
      <c r="AC455" s="224">
        <v>0.18421052631578946</v>
      </c>
      <c r="AD455" s="224">
        <v>0.20540540540540542</v>
      </c>
      <c r="AE455" s="224">
        <v>0.29655172413793102</v>
      </c>
      <c r="AF455" s="224">
        <v>8.1967213114754092E-2</v>
      </c>
      <c r="AG455" s="259">
        <v>0.21195652173913043</v>
      </c>
      <c r="AH455" s="261">
        <v>1.8203567899308265E-3</v>
      </c>
      <c r="AI455" s="261">
        <v>1.2972572275759822E-3</v>
      </c>
      <c r="AJ455" s="261">
        <v>1.7640778051158255E-3</v>
      </c>
      <c r="AK455" s="261">
        <v>2.3117036718455996E-3</v>
      </c>
      <c r="AL455" s="261">
        <v>1.0427528675703858E-3</v>
      </c>
      <c r="AM455" s="262">
        <v>1.7115772842973755E-3</v>
      </c>
    </row>
    <row r="456" spans="1:39" x14ac:dyDescent="0.25">
      <c r="A456" s="215" t="str">
        <v>2919-Thamer Alharbi</v>
      </c>
      <c r="B456" s="215" t="str">
        <v>HAJWALK</v>
      </c>
      <c r="C456" s="215" t="str">
        <v>Mohammed Haidar</v>
      </c>
      <c r="D456" s="239">
        <v>0</v>
      </c>
      <c r="E456" s="239">
        <v>0</v>
      </c>
      <c r="F456" s="239">
        <v>450.01</v>
      </c>
      <c r="G456" s="239">
        <v>1521.97</v>
      </c>
      <c r="H456" s="239">
        <v>862.02</v>
      </c>
      <c r="I456" s="257">
        <v>2834</v>
      </c>
      <c r="J456" s="240" t="str">
        <v/>
      </c>
      <c r="K456" s="240" t="str">
        <v/>
      </c>
      <c r="L456" s="240">
        <v>150.00333333333333</v>
      </c>
      <c r="M456" s="240">
        <v>190.24625</v>
      </c>
      <c r="N456" s="240">
        <v>143.66999999999999</v>
      </c>
      <c r="O456" s="258">
        <v>166.70588235294119</v>
      </c>
      <c r="P456" s="224">
        <v>0</v>
      </c>
      <c r="Q456" s="224">
        <v>0</v>
      </c>
      <c r="R456" s="224">
        <v>1.3730152361640513E-2</v>
      </c>
      <c r="S456" s="224">
        <v>5.5742466194934004E-2</v>
      </c>
      <c r="T456" s="224">
        <v>8.6649980398661078E-2</v>
      </c>
      <c r="U456" s="259">
        <v>2.0838233761894576E-2</v>
      </c>
      <c r="V456" s="239">
        <v>0</v>
      </c>
      <c r="W456" s="239">
        <v>0</v>
      </c>
      <c r="X456" s="239">
        <v>3</v>
      </c>
      <c r="Y456" s="239">
        <v>8</v>
      </c>
      <c r="Z456" s="239">
        <v>6</v>
      </c>
      <c r="AA456" s="257">
        <v>17</v>
      </c>
      <c r="AB456" s="224">
        <v>0</v>
      </c>
      <c r="AC456" s="224">
        <v>0</v>
      </c>
      <c r="AD456" s="224">
        <v>1.6216216216216217E-2</v>
      </c>
      <c r="AE456" s="224">
        <v>5.5172413793103448E-2</v>
      </c>
      <c r="AF456" s="224">
        <v>9.8360655737704916E-2</v>
      </c>
      <c r="AG456" s="259">
        <v>2.309782608695652E-2</v>
      </c>
      <c r="AH456" s="261">
        <v>0</v>
      </c>
      <c r="AI456" s="261">
        <v>0</v>
      </c>
      <c r="AJ456" s="261">
        <v>1.3926930040388097E-4</v>
      </c>
      <c r="AK456" s="261">
        <v>4.300844040642976E-4</v>
      </c>
      <c r="AL456" s="261">
        <v>1.2513034410844631E-3</v>
      </c>
      <c r="AM456" s="262">
        <v>1.8651803739138067E-4</v>
      </c>
    </row>
    <row r="457" spans="1:39" x14ac:dyDescent="0.25">
      <c r="A457" s="215" t="str">
        <v>5269-HAlHarthi</v>
      </c>
      <c r="B457" s="215" t="str">
        <v>HAJWALK</v>
      </c>
      <c r="C457" s="215" t="str">
        <v>Mohammed Haidar</v>
      </c>
      <c r="D457" s="239">
        <v>0</v>
      </c>
      <c r="E457" s="239">
        <v>0</v>
      </c>
      <c r="F457" s="239">
        <v>0</v>
      </c>
      <c r="G457" s="239">
        <v>0</v>
      </c>
      <c r="H457" s="239">
        <v>690.06</v>
      </c>
      <c r="I457" s="257">
        <v>690.06</v>
      </c>
      <c r="J457" s="240" t="str">
        <v/>
      </c>
      <c r="K457" s="240" t="str">
        <v/>
      </c>
      <c r="L457" s="240" t="str">
        <v/>
      </c>
      <c r="M457" s="240" t="str">
        <v/>
      </c>
      <c r="N457" s="240">
        <v>138.012</v>
      </c>
      <c r="O457" s="258">
        <v>138.012</v>
      </c>
      <c r="P457" s="224">
        <v>0</v>
      </c>
      <c r="Q457" s="224">
        <v>0</v>
      </c>
      <c r="R457" s="224">
        <v>0</v>
      </c>
      <c r="S457" s="224">
        <v>0</v>
      </c>
      <c r="T457" s="224">
        <v>6.9364615059859469E-2</v>
      </c>
      <c r="U457" s="259">
        <v>5.0739702151492479E-3</v>
      </c>
      <c r="V457" s="239">
        <v>0</v>
      </c>
      <c r="W457" s="239">
        <v>0</v>
      </c>
      <c r="X457" s="239">
        <v>0</v>
      </c>
      <c r="Y457" s="239">
        <v>0</v>
      </c>
      <c r="Z457" s="239">
        <v>5</v>
      </c>
      <c r="AA457" s="257">
        <v>5</v>
      </c>
      <c r="AB457" s="224">
        <v>0</v>
      </c>
      <c r="AC457" s="224">
        <v>0</v>
      </c>
      <c r="AD457" s="224">
        <v>0</v>
      </c>
      <c r="AE457" s="224">
        <v>0</v>
      </c>
      <c r="AF457" s="224">
        <v>8.1967213114754092E-2</v>
      </c>
      <c r="AG457" s="259">
        <v>6.793478260869565E-3</v>
      </c>
      <c r="AH457" s="261">
        <v>0</v>
      </c>
      <c r="AI457" s="261">
        <v>0</v>
      </c>
      <c r="AJ457" s="261">
        <v>0</v>
      </c>
      <c r="AK457" s="261">
        <v>0</v>
      </c>
      <c r="AL457" s="261">
        <v>1.0427528675703858E-3</v>
      </c>
      <c r="AM457" s="262">
        <v>5.4858246291582549E-5</v>
      </c>
    </row>
    <row r="458" spans="1:39" x14ac:dyDescent="0.25">
      <c r="A458" s="215" t="str">
        <v>5422-AAljohani</v>
      </c>
      <c r="B458" s="215" t="str">
        <v>HAMANRMAD</v>
      </c>
      <c r="C458" s="215" t="str">
        <v>Mohammed Haidar</v>
      </c>
      <c r="D458" s="239">
        <v>2570.0299999999997</v>
      </c>
      <c r="E458" s="239">
        <v>4764.13</v>
      </c>
      <c r="F458" s="239">
        <v>9954.08</v>
      </c>
      <c r="G458" s="239">
        <v>5373.85</v>
      </c>
      <c r="H458" s="239">
        <v>115</v>
      </c>
      <c r="I458" s="257">
        <v>22777.089999999997</v>
      </c>
      <c r="J458" s="240">
        <v>151.17823529411763</v>
      </c>
      <c r="K458" s="240">
        <v>317.60866666666669</v>
      </c>
      <c r="L458" s="240">
        <v>276.5022222222222</v>
      </c>
      <c r="M458" s="240">
        <v>206.68653846153848</v>
      </c>
      <c r="N458" s="240">
        <v>115</v>
      </c>
      <c r="O458" s="258">
        <v>239.75884210526311</v>
      </c>
      <c r="P458" s="224">
        <v>0.33225298507076773</v>
      </c>
      <c r="Q458" s="224">
        <v>0.21797473867994369</v>
      </c>
      <c r="R458" s="224">
        <v>0.68776182102721239</v>
      </c>
      <c r="S458" s="224">
        <v>0.51643230838423493</v>
      </c>
      <c r="T458" s="224">
        <v>3.8231637178438679E-2</v>
      </c>
      <c r="U458" s="259">
        <v>0.39627250956229598</v>
      </c>
      <c r="V458" s="239">
        <v>17</v>
      </c>
      <c r="W458" s="239">
        <v>15</v>
      </c>
      <c r="X458" s="239">
        <v>36</v>
      </c>
      <c r="Y458" s="239">
        <v>26</v>
      </c>
      <c r="Z458" s="239">
        <v>1</v>
      </c>
      <c r="AA458" s="257">
        <v>95</v>
      </c>
      <c r="AB458" s="224">
        <v>0.31481481481481483</v>
      </c>
      <c r="AC458" s="224">
        <v>0.23076923076923078</v>
      </c>
      <c r="AD458" s="224">
        <v>0.5625</v>
      </c>
      <c r="AE458" s="224">
        <v>0.44827586206896552</v>
      </c>
      <c r="AF458" s="224">
        <v>9.0909090909090912E-2</v>
      </c>
      <c r="AG458" s="259">
        <v>0.37698412698412698</v>
      </c>
      <c r="AH458" s="261">
        <v>8.8417329796640137E-4</v>
      </c>
      <c r="AI458" s="261">
        <v>5.559673832468495E-4</v>
      </c>
      <c r="AJ458" s="261">
        <v>1.6712316048465717E-3</v>
      </c>
      <c r="AK458" s="261">
        <v>1.3977743132089673E-3</v>
      </c>
      <c r="AL458" s="261">
        <v>2.0855057351407716E-4</v>
      </c>
      <c r="AM458" s="262">
        <v>1.0423066795400685E-3</v>
      </c>
    </row>
    <row r="459" spans="1:39" x14ac:dyDescent="0.25">
      <c r="A459" s="215" t="str">
        <v>5709-TAlrashidi</v>
      </c>
      <c r="B459" s="215" t="str">
        <v>HAMANRMAD</v>
      </c>
      <c r="C459" s="215" t="str">
        <v>Mohammed Haidar</v>
      </c>
      <c r="D459" s="239">
        <v>1660.04</v>
      </c>
      <c r="E459" s="239">
        <v>9867.119999999999</v>
      </c>
      <c r="F459" s="239">
        <v>3008.04</v>
      </c>
      <c r="G459" s="239">
        <v>1788.98</v>
      </c>
      <c r="H459" s="239">
        <v>2520.9900000000002</v>
      </c>
      <c r="I459" s="257">
        <v>18845.170000000002</v>
      </c>
      <c r="J459" s="240">
        <v>150.91272727272727</v>
      </c>
      <c r="K459" s="240">
        <v>448.50545454545448</v>
      </c>
      <c r="L459" s="240">
        <v>136.7290909090909</v>
      </c>
      <c r="M459" s="240">
        <v>111.81125</v>
      </c>
      <c r="N459" s="240">
        <v>315.12375000000003</v>
      </c>
      <c r="O459" s="258">
        <v>238.54645569620254</v>
      </c>
      <c r="P459" s="224">
        <v>0.2146096525475879</v>
      </c>
      <c r="Q459" s="224">
        <v>0.45145344554486244</v>
      </c>
      <c r="R459" s="224">
        <v>0.20783588921554738</v>
      </c>
      <c r="S459" s="224">
        <v>0.17192275017970887</v>
      </c>
      <c r="T459" s="224">
        <v>0.8381006522649751</v>
      </c>
      <c r="U459" s="259">
        <v>0.32786553545813335</v>
      </c>
      <c r="V459" s="239">
        <v>11</v>
      </c>
      <c r="W459" s="239">
        <v>22</v>
      </c>
      <c r="X459" s="239">
        <v>22</v>
      </c>
      <c r="Y459" s="239">
        <v>16</v>
      </c>
      <c r="Z459" s="239">
        <v>8</v>
      </c>
      <c r="AA459" s="257">
        <v>79</v>
      </c>
      <c r="AB459" s="224">
        <v>0.20370370370370369</v>
      </c>
      <c r="AC459" s="224">
        <v>0.33846153846153848</v>
      </c>
      <c r="AD459" s="224">
        <v>0.34375</v>
      </c>
      <c r="AE459" s="224">
        <v>0.27586206896551724</v>
      </c>
      <c r="AF459" s="224">
        <v>0.72727272727272729</v>
      </c>
      <c r="AG459" s="259">
        <v>0.31349206349206349</v>
      </c>
      <c r="AH459" s="261">
        <v>5.7211213397825975E-4</v>
      </c>
      <c r="AI459" s="261">
        <v>8.1541882876204591E-4</v>
      </c>
      <c r="AJ459" s="261">
        <v>1.0213082029617937E-3</v>
      </c>
      <c r="AK459" s="261">
        <v>8.6016880812859521E-4</v>
      </c>
      <c r="AL459" s="261">
        <v>1.6684045881126173E-3</v>
      </c>
      <c r="AM459" s="262">
        <v>8.6676029140700427E-4</v>
      </c>
    </row>
    <row r="460" spans="1:39" x14ac:dyDescent="0.25">
      <c r="A460" s="215" t="str">
        <v>5273-OAlSuhaymi</v>
      </c>
      <c r="B460" s="215" t="str">
        <v>HAMANRMAD</v>
      </c>
      <c r="C460" s="215" t="str">
        <v>Mohammed Haidar</v>
      </c>
      <c r="D460" s="239">
        <v>3505.09</v>
      </c>
      <c r="E460" s="239">
        <v>7225.09</v>
      </c>
      <c r="F460" s="239">
        <v>1511.03</v>
      </c>
      <c r="G460" s="239">
        <v>3242.89</v>
      </c>
      <c r="H460" s="239">
        <v>371.99</v>
      </c>
      <c r="I460" s="257">
        <v>15856.09</v>
      </c>
      <c r="J460" s="240">
        <v>134.81115384615384</v>
      </c>
      <c r="K460" s="240">
        <v>258.03892857142858</v>
      </c>
      <c r="L460" s="240">
        <v>251.83833333333334</v>
      </c>
      <c r="M460" s="240">
        <v>202.68062499999999</v>
      </c>
      <c r="N460" s="240">
        <v>185.995</v>
      </c>
      <c r="O460" s="258">
        <v>203.28320512820514</v>
      </c>
      <c r="P460" s="224">
        <v>0.45313736238164437</v>
      </c>
      <c r="Q460" s="224">
        <v>0.33057181577519384</v>
      </c>
      <c r="R460" s="224">
        <v>0.10440228975724011</v>
      </c>
      <c r="S460" s="224">
        <v>0.31164494143605631</v>
      </c>
      <c r="T460" s="224">
        <v>0.12366771055658612</v>
      </c>
      <c r="U460" s="259">
        <v>0.27586195497957056</v>
      </c>
      <c r="V460" s="239">
        <v>26</v>
      </c>
      <c r="W460" s="239">
        <v>28</v>
      </c>
      <c r="X460" s="239">
        <v>6</v>
      </c>
      <c r="Y460" s="239">
        <v>16</v>
      </c>
      <c r="Z460" s="239">
        <v>2</v>
      </c>
      <c r="AA460" s="257">
        <v>78</v>
      </c>
      <c r="AB460" s="224">
        <v>0.48148148148148145</v>
      </c>
      <c r="AC460" s="224">
        <v>0.43076923076923079</v>
      </c>
      <c r="AD460" s="224">
        <v>9.375E-2</v>
      </c>
      <c r="AE460" s="224">
        <v>0.27586206896551724</v>
      </c>
      <c r="AF460" s="224">
        <v>0.18181818181818182</v>
      </c>
      <c r="AG460" s="259">
        <v>0.30952380952380953</v>
      </c>
      <c r="AH460" s="261">
        <v>1.3522650439486139E-3</v>
      </c>
      <c r="AI460" s="261">
        <v>1.0378057820607859E-3</v>
      </c>
      <c r="AJ460" s="261">
        <v>2.7853860080776193E-4</v>
      </c>
      <c r="AK460" s="261">
        <v>8.6016880812859521E-4</v>
      </c>
      <c r="AL460" s="261">
        <v>4.1710114702815432E-4</v>
      </c>
      <c r="AM460" s="262">
        <v>8.5578864214868775E-4</v>
      </c>
    </row>
    <row r="461" spans="1:39" x14ac:dyDescent="0.25">
      <c r="A461" s="215" t="str">
        <v>6620-KAlhejaili</v>
      </c>
      <c r="B461" s="215" t="str">
        <v>HAMAYASMAD</v>
      </c>
      <c r="C461" s="215" t="str">
        <v>Mohammed Haidar</v>
      </c>
      <c r="D461" s="239">
        <v>5342.12</v>
      </c>
      <c r="E461" s="239">
        <v>5513.04</v>
      </c>
      <c r="F461" s="239">
        <v>5040.03</v>
      </c>
      <c r="G461" s="239">
        <v>12516.5</v>
      </c>
      <c r="H461" s="239">
        <v>2807.84</v>
      </c>
      <c r="I461" s="257">
        <v>31219.53</v>
      </c>
      <c r="J461" s="240">
        <v>314.24235294117648</v>
      </c>
      <c r="K461" s="240">
        <v>229.71</v>
      </c>
      <c r="L461" s="240">
        <v>229.09227272727273</v>
      </c>
      <c r="M461" s="240">
        <v>245.42156862745097</v>
      </c>
      <c r="N461" s="240">
        <v>401.12</v>
      </c>
      <c r="O461" s="258">
        <v>258.01264462809917</v>
      </c>
      <c r="P461" s="224">
        <v>0.34468915118170496</v>
      </c>
      <c r="Q461" s="224">
        <v>0.22074799914792612</v>
      </c>
      <c r="R461" s="224">
        <v>0.18918193563498312</v>
      </c>
      <c r="S461" s="224">
        <v>0.41460191061704182</v>
      </c>
      <c r="T461" s="224">
        <v>0.29157277585207864</v>
      </c>
      <c r="U461" s="259">
        <v>0.29195387508207232</v>
      </c>
      <c r="V461" s="239">
        <v>17</v>
      </c>
      <c r="W461" s="239">
        <v>24</v>
      </c>
      <c r="X461" s="239">
        <v>22</v>
      </c>
      <c r="Y461" s="239">
        <v>51</v>
      </c>
      <c r="Z461" s="239">
        <v>7</v>
      </c>
      <c r="AA461" s="257">
        <v>121</v>
      </c>
      <c r="AB461" s="224">
        <v>0.22368421052631579</v>
      </c>
      <c r="AC461" s="224">
        <v>0.17777777777777778</v>
      </c>
      <c r="AD461" s="224">
        <v>0.15492957746478872</v>
      </c>
      <c r="AE461" s="224">
        <v>0.35664335664335667</v>
      </c>
      <c r="AF461" s="224">
        <v>0.2</v>
      </c>
      <c r="AG461" s="259">
        <v>0.22787193973634651</v>
      </c>
      <c r="AH461" s="261">
        <v>8.8417329796640137E-4</v>
      </c>
      <c r="AI461" s="261">
        <v>8.8954781319495926E-4</v>
      </c>
      <c r="AJ461" s="261">
        <v>1.0213082029617937E-3</v>
      </c>
      <c r="AK461" s="261">
        <v>2.7417880759098975E-3</v>
      </c>
      <c r="AL461" s="261">
        <v>1.4598540145985401E-3</v>
      </c>
      <c r="AM461" s="262">
        <v>1.3275695602562977E-3</v>
      </c>
    </row>
    <row r="462" spans="1:39" x14ac:dyDescent="0.25">
      <c r="A462" s="215" t="str">
        <v>4857-SAlHarthi</v>
      </c>
      <c r="B462" s="215" t="str">
        <v>HAMAYASMAD</v>
      </c>
      <c r="C462" s="215" t="str">
        <v>Mohammed Haidar</v>
      </c>
      <c r="D462" s="239">
        <v>1911.07</v>
      </c>
      <c r="E462" s="239">
        <v>8664.119999999999</v>
      </c>
      <c r="F462" s="239">
        <v>7370.04</v>
      </c>
      <c r="G462" s="239">
        <v>5543.93</v>
      </c>
      <c r="H462" s="239">
        <v>3676</v>
      </c>
      <c r="I462" s="257">
        <v>27165.16</v>
      </c>
      <c r="J462" s="240">
        <v>119.441875</v>
      </c>
      <c r="K462" s="240">
        <v>192.53599999999997</v>
      </c>
      <c r="L462" s="240">
        <v>204.72333333333333</v>
      </c>
      <c r="M462" s="240">
        <v>167.99787878787879</v>
      </c>
      <c r="N462" s="240">
        <v>334.18181818181819</v>
      </c>
      <c r="O462" s="258">
        <v>192.66070921985815</v>
      </c>
      <c r="P462" s="224">
        <v>0.12330780591765457</v>
      </c>
      <c r="Q462" s="224">
        <v>0.34692060176917444</v>
      </c>
      <c r="R462" s="224">
        <v>0.27664089953973509</v>
      </c>
      <c r="S462" s="224">
        <v>0.18363951346839266</v>
      </c>
      <c r="T462" s="224">
        <v>0.38172457263670329</v>
      </c>
      <c r="U462" s="259">
        <v>0.25403885738268667</v>
      </c>
      <c r="V462" s="239">
        <v>16</v>
      </c>
      <c r="W462" s="239">
        <v>45</v>
      </c>
      <c r="X462" s="239">
        <v>36</v>
      </c>
      <c r="Y462" s="239">
        <v>33</v>
      </c>
      <c r="Z462" s="239">
        <v>11</v>
      </c>
      <c r="AA462" s="257">
        <v>141</v>
      </c>
      <c r="AB462" s="224">
        <v>0.21052631578947367</v>
      </c>
      <c r="AC462" s="224">
        <v>0.33333333333333331</v>
      </c>
      <c r="AD462" s="224">
        <v>0.25352112676056338</v>
      </c>
      <c r="AE462" s="224">
        <v>0.23076923076923078</v>
      </c>
      <c r="AF462" s="224">
        <v>0.31428571428571428</v>
      </c>
      <c r="AG462" s="259">
        <v>0.2655367231638418</v>
      </c>
      <c r="AH462" s="261">
        <v>8.3216310396837777E-4</v>
      </c>
      <c r="AI462" s="261">
        <v>1.6679021497405485E-3</v>
      </c>
      <c r="AJ462" s="261">
        <v>1.6712316048465717E-3</v>
      </c>
      <c r="AK462" s="261">
        <v>1.7740981667652277E-3</v>
      </c>
      <c r="AL462" s="261">
        <v>2.2940563086548487E-3</v>
      </c>
      <c r="AM462" s="262">
        <v>1.5470025454226279E-3</v>
      </c>
    </row>
    <row r="463" spans="1:39" x14ac:dyDescent="0.25">
      <c r="A463" s="215" t="str">
        <v>6480-AAlraddadi</v>
      </c>
      <c r="B463" s="215" t="str">
        <v>HAMAYASMAD</v>
      </c>
      <c r="C463" s="215" t="str">
        <v>Mohammed Haidar</v>
      </c>
      <c r="D463" s="239">
        <v>3617.08</v>
      </c>
      <c r="E463" s="239">
        <v>6365.0800000000008</v>
      </c>
      <c r="F463" s="239">
        <v>7981.04</v>
      </c>
      <c r="G463" s="239">
        <v>6176.76</v>
      </c>
      <c r="H463" s="239">
        <v>957.98</v>
      </c>
      <c r="I463" s="257">
        <v>25097.94</v>
      </c>
      <c r="J463" s="240">
        <v>172.24190476190475</v>
      </c>
      <c r="K463" s="240">
        <v>172.02918918918922</v>
      </c>
      <c r="L463" s="240">
        <v>177.35644444444443</v>
      </c>
      <c r="M463" s="240">
        <v>171.57666666666668</v>
      </c>
      <c r="N463" s="240">
        <v>136.85428571428571</v>
      </c>
      <c r="O463" s="258">
        <v>171.90369863013697</v>
      </c>
      <c r="P463" s="224">
        <v>0.23338454301968531</v>
      </c>
      <c r="Q463" s="224">
        <v>0.25486458912260418</v>
      </c>
      <c r="R463" s="224">
        <v>0.29957531911124058</v>
      </c>
      <c r="S463" s="224">
        <v>0.20460164562161304</v>
      </c>
      <c r="T463" s="224">
        <v>9.9478918959333251E-2</v>
      </c>
      <c r="U463" s="259">
        <v>0.23470695553640131</v>
      </c>
      <c r="V463" s="239">
        <v>21</v>
      </c>
      <c r="W463" s="239">
        <v>37</v>
      </c>
      <c r="X463" s="239">
        <v>45</v>
      </c>
      <c r="Y463" s="239">
        <v>36</v>
      </c>
      <c r="Z463" s="239">
        <v>7</v>
      </c>
      <c r="AA463" s="257">
        <v>146</v>
      </c>
      <c r="AB463" s="224">
        <v>0.27631578947368424</v>
      </c>
      <c r="AC463" s="224">
        <v>0.27407407407407408</v>
      </c>
      <c r="AD463" s="224">
        <v>0.31690140845070425</v>
      </c>
      <c r="AE463" s="224">
        <v>0.25174825174825177</v>
      </c>
      <c r="AF463" s="224">
        <v>0.2</v>
      </c>
      <c r="AG463" s="259">
        <v>0.27495291902071561</v>
      </c>
      <c r="AH463" s="261">
        <v>1.0922140739584958E-3</v>
      </c>
      <c r="AI463" s="261">
        <v>1.3713862120088955E-3</v>
      </c>
      <c r="AJ463" s="261">
        <v>2.0890395060582144E-3</v>
      </c>
      <c r="AK463" s="261">
        <v>1.9353798182893394E-3</v>
      </c>
      <c r="AL463" s="261">
        <v>1.4598540145985401E-3</v>
      </c>
      <c r="AM463" s="262">
        <v>1.6018607917142106E-3</v>
      </c>
    </row>
    <row r="464" spans="1:39" x14ac:dyDescent="0.25">
      <c r="A464" s="215" t="str">
        <v>5272-AAlMarwani</v>
      </c>
      <c r="B464" s="215" t="str">
        <v>HAMAYASMAD</v>
      </c>
      <c r="C464" s="215" t="str">
        <v>Mohammed Haidar</v>
      </c>
      <c r="D464" s="239">
        <v>824.01</v>
      </c>
      <c r="E464" s="239">
        <v>649.03</v>
      </c>
      <c r="F464" s="239">
        <v>2250</v>
      </c>
      <c r="G464" s="239">
        <v>5952.01</v>
      </c>
      <c r="H464" s="239">
        <v>2188.16</v>
      </c>
      <c r="I464" s="257">
        <v>11863.21</v>
      </c>
      <c r="J464" s="240">
        <v>412.005</v>
      </c>
      <c r="K464" s="240">
        <v>162.25749999999999</v>
      </c>
      <c r="L464" s="240">
        <v>160.71428571428572</v>
      </c>
      <c r="M464" s="240">
        <v>258.78304347826088</v>
      </c>
      <c r="N464" s="240">
        <v>218.81599999999997</v>
      </c>
      <c r="O464" s="258">
        <v>223.8341509433962</v>
      </c>
      <c r="P464" s="224">
        <v>5.3167526649576698E-2</v>
      </c>
      <c r="Q464" s="224">
        <v>2.5987853142182622E-2</v>
      </c>
      <c r="R464" s="224">
        <v>8.4455718553007042E-2</v>
      </c>
      <c r="S464" s="224">
        <v>0.19715693029295245</v>
      </c>
      <c r="T464" s="224">
        <v>0.22722373255188483</v>
      </c>
      <c r="U464" s="259">
        <v>0.11094049559402051</v>
      </c>
      <c r="V464" s="239">
        <v>2</v>
      </c>
      <c r="W464" s="239">
        <v>4</v>
      </c>
      <c r="X464" s="239">
        <v>14</v>
      </c>
      <c r="Y464" s="239">
        <v>23</v>
      </c>
      <c r="Z464" s="239">
        <v>10</v>
      </c>
      <c r="AA464" s="257">
        <v>53</v>
      </c>
      <c r="AB464" s="224">
        <v>2.6315789473684209E-2</v>
      </c>
      <c r="AC464" s="224">
        <v>2.9629629629629631E-2</v>
      </c>
      <c r="AD464" s="224">
        <v>9.8591549295774641E-2</v>
      </c>
      <c r="AE464" s="224">
        <v>0.16083916083916083</v>
      </c>
      <c r="AF464" s="224">
        <v>0.2857142857142857</v>
      </c>
      <c r="AG464" s="259">
        <v>9.9811676082862524E-2</v>
      </c>
      <c r="AH464" s="261">
        <v>1.0402038799604722E-4</v>
      </c>
      <c r="AI464" s="261">
        <v>1.4825796886582654E-4</v>
      </c>
      <c r="AJ464" s="261">
        <v>6.499234018847779E-4</v>
      </c>
      <c r="AK464" s="261">
        <v>1.2364926616848556E-3</v>
      </c>
      <c r="AL464" s="261">
        <v>2.0855057351407717E-3</v>
      </c>
      <c r="AM464" s="262">
        <v>5.8149741069077505E-4</v>
      </c>
    </row>
    <row r="465" spans="1:39" x14ac:dyDescent="0.25">
      <c r="A465" s="215" t="str">
        <v>6481-NAlenezi</v>
      </c>
      <c r="B465" s="215" t="str">
        <v>HAMAYASMAD</v>
      </c>
      <c r="C465" s="215" t="str">
        <v>Mohammed Haidar</v>
      </c>
      <c r="D465" s="239">
        <v>3804.09</v>
      </c>
      <c r="E465" s="239">
        <v>3783.09</v>
      </c>
      <c r="F465" s="239">
        <v>4000.0699999999997</v>
      </c>
      <c r="G465" s="239">
        <v>0</v>
      </c>
      <c r="H465" s="239">
        <v>0</v>
      </c>
      <c r="I465" s="257">
        <v>11587.25</v>
      </c>
      <c r="J465" s="240">
        <v>190.2045</v>
      </c>
      <c r="K465" s="240">
        <v>151.3236</v>
      </c>
      <c r="L465" s="240">
        <v>160.00279999999998</v>
      </c>
      <c r="M465" s="240" t="str">
        <v/>
      </c>
      <c r="N465" s="240" t="str">
        <v/>
      </c>
      <c r="O465" s="258">
        <v>165.53214285714284</v>
      </c>
      <c r="P465" s="224">
        <v>0.24545097323137854</v>
      </c>
      <c r="Q465" s="224">
        <v>0.15147895681811266</v>
      </c>
      <c r="R465" s="224">
        <v>0.15014612716103415</v>
      </c>
      <c r="S465" s="224">
        <v>0</v>
      </c>
      <c r="T465" s="224">
        <v>0</v>
      </c>
      <c r="U465" s="259">
        <v>0.10835981640481913</v>
      </c>
      <c r="V465" s="239">
        <v>20</v>
      </c>
      <c r="W465" s="239">
        <v>25</v>
      </c>
      <c r="X465" s="239">
        <v>25</v>
      </c>
      <c r="Y465" s="239">
        <v>0</v>
      </c>
      <c r="Z465" s="239">
        <v>0</v>
      </c>
      <c r="AA465" s="257">
        <v>70</v>
      </c>
      <c r="AB465" s="224">
        <v>0.26315789473684209</v>
      </c>
      <c r="AC465" s="224">
        <v>0.18518518518518517</v>
      </c>
      <c r="AD465" s="224">
        <v>0.176056338028169</v>
      </c>
      <c r="AE465" s="224">
        <v>0</v>
      </c>
      <c r="AF465" s="224">
        <v>0</v>
      </c>
      <c r="AG465" s="259">
        <v>0.13182674199623351</v>
      </c>
      <c r="AH465" s="261">
        <v>1.0402038799604723E-3</v>
      </c>
      <c r="AI465" s="261">
        <v>9.2661230541141583E-4</v>
      </c>
      <c r="AJ465" s="261">
        <v>1.1605775033656748E-3</v>
      </c>
      <c r="AK465" s="261">
        <v>0</v>
      </c>
      <c r="AL465" s="261">
        <v>0</v>
      </c>
      <c r="AM465" s="262">
        <v>7.6801544808215573E-4</v>
      </c>
    </row>
    <row r="466" spans="1:39" x14ac:dyDescent="0.25">
      <c r="A466" s="215" t="str">
        <v>4865-AAlmaghthawi</v>
      </c>
      <c r="B466" s="215" t="str">
        <v>HARASHMAD</v>
      </c>
      <c r="C466" s="215" t="str">
        <v>Mohammed Haidar</v>
      </c>
      <c r="D466" s="239">
        <v>7277.12</v>
      </c>
      <c r="E466" s="239">
        <v>150</v>
      </c>
      <c r="F466" s="239">
        <v>7647</v>
      </c>
      <c r="G466" s="239">
        <v>9057.76</v>
      </c>
      <c r="H466" s="239">
        <v>4132.21</v>
      </c>
      <c r="I466" s="257">
        <v>28264.089999999997</v>
      </c>
      <c r="J466" s="240">
        <v>145.54239999999999</v>
      </c>
      <c r="K466" s="240">
        <v>150</v>
      </c>
      <c r="L466" s="240">
        <v>136.55357142857142</v>
      </c>
      <c r="M466" s="240">
        <v>170.90113207547171</v>
      </c>
      <c r="N466" s="240">
        <v>243.07117647058823</v>
      </c>
      <c r="O466" s="258">
        <v>159.68412429378529</v>
      </c>
      <c r="P466" s="224">
        <v>0.36707710156624379</v>
      </c>
      <c r="Q466" s="224">
        <v>4.6500539871267904E-3</v>
      </c>
      <c r="R466" s="224">
        <v>0.36890115504123905</v>
      </c>
      <c r="S466" s="224">
        <v>0.42406116979937797</v>
      </c>
      <c r="T466" s="224">
        <v>0.58503038265725082</v>
      </c>
      <c r="U466" s="259">
        <v>0.27919529502503693</v>
      </c>
      <c r="V466" s="239">
        <v>50</v>
      </c>
      <c r="W466" s="239">
        <v>1</v>
      </c>
      <c r="X466" s="239">
        <v>56</v>
      </c>
      <c r="Y466" s="239">
        <v>53</v>
      </c>
      <c r="Z466" s="239">
        <v>17</v>
      </c>
      <c r="AA466" s="257">
        <v>177</v>
      </c>
      <c r="AB466" s="224">
        <v>0.33112582781456956</v>
      </c>
      <c r="AC466" s="224">
        <v>5.3475935828877002E-3</v>
      </c>
      <c r="AD466" s="224">
        <v>0.4375</v>
      </c>
      <c r="AE466" s="224">
        <v>0.4732142857142857</v>
      </c>
      <c r="AF466" s="224">
        <v>0.54838709677419351</v>
      </c>
      <c r="AG466" s="259">
        <v>0.29064039408866993</v>
      </c>
      <c r="AH466" s="261">
        <v>2.6005096999011808E-3</v>
      </c>
      <c r="AI466" s="261">
        <v>3.7064492216456636E-5</v>
      </c>
      <c r="AJ466" s="261">
        <v>2.5996936075391116E-3</v>
      </c>
      <c r="AK466" s="261">
        <v>2.8493091769259717E-3</v>
      </c>
      <c r="AL466" s="261">
        <v>3.545359749739312E-3</v>
      </c>
      <c r="AM466" s="262">
        <v>1.9419819187220222E-3</v>
      </c>
    </row>
    <row r="467" spans="1:39" x14ac:dyDescent="0.25">
      <c r="A467" s="215" t="str">
        <v>5310-SAlMutairi</v>
      </c>
      <c r="B467" s="215" t="str">
        <v>HARASHMAD</v>
      </c>
      <c r="C467" s="215" t="str">
        <v>Mohammed Haidar</v>
      </c>
      <c r="D467" s="239">
        <v>7073.21</v>
      </c>
      <c r="E467" s="239">
        <v>12328.250000000002</v>
      </c>
      <c r="F467" s="239">
        <v>4884.01</v>
      </c>
      <c r="G467" s="239">
        <v>2172.02</v>
      </c>
      <c r="H467" s="239">
        <v>0</v>
      </c>
      <c r="I467" s="257">
        <v>26457.49</v>
      </c>
      <c r="J467" s="240">
        <v>119.88491525423728</v>
      </c>
      <c r="K467" s="240">
        <v>164.37666666666669</v>
      </c>
      <c r="L467" s="240">
        <v>180.88925925925926</v>
      </c>
      <c r="M467" s="240">
        <v>271.5025</v>
      </c>
      <c r="N467" s="240" t="str">
        <v/>
      </c>
      <c r="O467" s="258">
        <v>156.55319526627221</v>
      </c>
      <c r="P467" s="224">
        <v>0.35679134404398599</v>
      </c>
      <c r="Q467" s="224">
        <v>0.38218018711197238</v>
      </c>
      <c r="R467" s="224">
        <v>0.23561094942238289</v>
      </c>
      <c r="S467" s="224">
        <v>0.10168842429338433</v>
      </c>
      <c r="T467" s="224">
        <v>0</v>
      </c>
      <c r="U467" s="259">
        <v>0.26134953314159298</v>
      </c>
      <c r="V467" s="239">
        <v>59</v>
      </c>
      <c r="W467" s="239">
        <v>75</v>
      </c>
      <c r="X467" s="239">
        <v>27</v>
      </c>
      <c r="Y467" s="239">
        <v>8</v>
      </c>
      <c r="Z467" s="239">
        <v>0</v>
      </c>
      <c r="AA467" s="257">
        <v>169</v>
      </c>
      <c r="AB467" s="224">
        <v>0.39072847682119205</v>
      </c>
      <c r="AC467" s="224">
        <v>0.40106951871657753</v>
      </c>
      <c r="AD467" s="224">
        <v>0.2109375</v>
      </c>
      <c r="AE467" s="224">
        <v>7.1428571428571425E-2</v>
      </c>
      <c r="AF467" s="224">
        <v>0</v>
      </c>
      <c r="AG467" s="259">
        <v>0.27750410509031198</v>
      </c>
      <c r="AH467" s="261">
        <v>3.0686014458833929E-3</v>
      </c>
      <c r="AI467" s="261">
        <v>2.7798369162342477E-3</v>
      </c>
      <c r="AJ467" s="261">
        <v>1.2534237036349288E-3</v>
      </c>
      <c r="AK467" s="261">
        <v>4.300844040642976E-4</v>
      </c>
      <c r="AL467" s="261">
        <v>0</v>
      </c>
      <c r="AM467" s="262">
        <v>1.8542087246554901E-3</v>
      </c>
    </row>
    <row r="468" spans="1:39" x14ac:dyDescent="0.25">
      <c r="A468" s="215" t="str">
        <v>5701-TAbadrani</v>
      </c>
      <c r="B468" s="215" t="str">
        <v>HARASHMAD</v>
      </c>
      <c r="C468" s="215" t="str">
        <v>Mohammed Haidar</v>
      </c>
      <c r="D468" s="239">
        <v>3429.09</v>
      </c>
      <c r="E468" s="239">
        <v>9480.2199999999993</v>
      </c>
      <c r="F468" s="239">
        <v>5971.11</v>
      </c>
      <c r="G468" s="239">
        <v>4209.99</v>
      </c>
      <c r="H468" s="239">
        <v>1849.99</v>
      </c>
      <c r="I468" s="257">
        <v>24940.399999999998</v>
      </c>
      <c r="J468" s="240">
        <v>131.88807692307694</v>
      </c>
      <c r="K468" s="240">
        <v>172.36763636363636</v>
      </c>
      <c r="L468" s="240">
        <v>175.62088235294118</v>
      </c>
      <c r="M468" s="240">
        <v>135.80612903225807</v>
      </c>
      <c r="N468" s="240">
        <v>184.999</v>
      </c>
      <c r="O468" s="258">
        <v>159.87435897435896</v>
      </c>
      <c r="P468" s="224">
        <v>0.17297233221518829</v>
      </c>
      <c r="Q468" s="224">
        <v>0.29389023206559423</v>
      </c>
      <c r="R468" s="224">
        <v>0.288054057261448</v>
      </c>
      <c r="S468" s="224">
        <v>0.19710097024470544</v>
      </c>
      <c r="T468" s="224">
        <v>0.26191804327758933</v>
      </c>
      <c r="U468" s="259">
        <v>0.24636357781348814</v>
      </c>
      <c r="V468" s="239">
        <v>26</v>
      </c>
      <c r="W468" s="239">
        <v>55</v>
      </c>
      <c r="X468" s="239">
        <v>34</v>
      </c>
      <c r="Y468" s="239">
        <v>31</v>
      </c>
      <c r="Z468" s="239">
        <v>10</v>
      </c>
      <c r="AA468" s="257">
        <v>156</v>
      </c>
      <c r="AB468" s="224">
        <v>0.17218543046357615</v>
      </c>
      <c r="AC468" s="224">
        <v>0.29411764705882354</v>
      </c>
      <c r="AD468" s="224">
        <v>0.265625</v>
      </c>
      <c r="AE468" s="224">
        <v>0.2767857142857143</v>
      </c>
      <c r="AF468" s="224">
        <v>0.32258064516129031</v>
      </c>
      <c r="AG468" s="259">
        <v>0.25615763546798032</v>
      </c>
      <c r="AH468" s="261">
        <v>1.3522650439486139E-3</v>
      </c>
      <c r="AI468" s="261">
        <v>2.038547071905115E-3</v>
      </c>
      <c r="AJ468" s="261">
        <v>1.5783854045773177E-3</v>
      </c>
      <c r="AK468" s="261">
        <v>1.6665770657491533E-3</v>
      </c>
      <c r="AL468" s="261">
        <v>2.0855057351407717E-3</v>
      </c>
      <c r="AM468" s="262">
        <v>1.7115772842973755E-3</v>
      </c>
    </row>
    <row r="469" spans="1:39" x14ac:dyDescent="0.25">
      <c r="A469" s="215" t="str">
        <v>4611-AAlsuhaaymi</v>
      </c>
      <c r="B469" s="215" t="str">
        <v>HARASHMAD</v>
      </c>
      <c r="C469" s="215" t="str">
        <v>Mohammed Haidar</v>
      </c>
      <c r="D469" s="239">
        <v>2045.08</v>
      </c>
      <c r="E469" s="239">
        <v>10299.220000000001</v>
      </c>
      <c r="F469" s="239">
        <v>2227.0100000000002</v>
      </c>
      <c r="G469" s="239">
        <v>5919.79</v>
      </c>
      <c r="H469" s="239">
        <v>1081.04</v>
      </c>
      <c r="I469" s="257">
        <v>21572.140000000003</v>
      </c>
      <c r="J469" s="240">
        <v>127.8175</v>
      </c>
      <c r="K469" s="240">
        <v>183.91464285714287</v>
      </c>
      <c r="L469" s="240">
        <v>202.45545454545456</v>
      </c>
      <c r="M469" s="240">
        <v>295.98950000000002</v>
      </c>
      <c r="N469" s="240">
        <v>270.26</v>
      </c>
      <c r="O469" s="258">
        <v>201.608785046729</v>
      </c>
      <c r="P469" s="224">
        <v>0.10315922217458195</v>
      </c>
      <c r="Q469" s="224">
        <v>0.31927952683530658</v>
      </c>
      <c r="R469" s="224">
        <v>0.10743383827493001</v>
      </c>
      <c r="S469" s="224">
        <v>0.27714943566253242</v>
      </c>
      <c r="T469" s="224">
        <v>0.1530515740651599</v>
      </c>
      <c r="U469" s="259">
        <v>0.21309159401988184</v>
      </c>
      <c r="V469" s="239">
        <v>16</v>
      </c>
      <c r="W469" s="239">
        <v>56</v>
      </c>
      <c r="X469" s="239">
        <v>11</v>
      </c>
      <c r="Y469" s="239">
        <v>20</v>
      </c>
      <c r="Z469" s="239">
        <v>4</v>
      </c>
      <c r="AA469" s="257">
        <v>107</v>
      </c>
      <c r="AB469" s="224">
        <v>0.10596026490066225</v>
      </c>
      <c r="AC469" s="224">
        <v>0.29946524064171121</v>
      </c>
      <c r="AD469" s="224">
        <v>8.59375E-2</v>
      </c>
      <c r="AE469" s="224">
        <v>0.17857142857142858</v>
      </c>
      <c r="AF469" s="224">
        <v>0.12903225806451613</v>
      </c>
      <c r="AG469" s="259">
        <v>0.17569786535303777</v>
      </c>
      <c r="AH469" s="261">
        <v>8.3216310396837777E-4</v>
      </c>
      <c r="AI469" s="261">
        <v>2.0756115641215717E-3</v>
      </c>
      <c r="AJ469" s="261">
        <v>5.1065410148089685E-4</v>
      </c>
      <c r="AK469" s="261">
        <v>1.075211010160744E-3</v>
      </c>
      <c r="AL469" s="261">
        <v>8.3420229405630863E-4</v>
      </c>
      <c r="AM469" s="262">
        <v>1.1739664706398665E-3</v>
      </c>
    </row>
    <row r="470" spans="1:39" x14ac:dyDescent="0.25">
      <c r="A470" s="215" t="str">
        <v>6618-ZAlharbi</v>
      </c>
      <c r="B470" s="215" t="str">
        <v>HASOUQEBQ</v>
      </c>
      <c r="C470" s="215" t="str">
        <v>Mohammed Haidar</v>
      </c>
      <c r="D470" s="239">
        <v>3455.1099999999997</v>
      </c>
      <c r="E470" s="239">
        <v>7187.0599999999995</v>
      </c>
      <c r="F470" s="239">
        <v>6868.0400000000009</v>
      </c>
      <c r="G470" s="239">
        <v>6682.91</v>
      </c>
      <c r="H470" s="239">
        <v>4024.1400000000003</v>
      </c>
      <c r="I470" s="257">
        <v>28217.26</v>
      </c>
      <c r="J470" s="240">
        <v>203.24176470588233</v>
      </c>
      <c r="K470" s="240">
        <v>205.34457142857141</v>
      </c>
      <c r="L470" s="240">
        <v>327.04952380952386</v>
      </c>
      <c r="M470" s="240">
        <v>267.31639999999999</v>
      </c>
      <c r="N470" s="240">
        <v>251.50875000000002</v>
      </c>
      <c r="O470" s="258">
        <v>247.51982456140348</v>
      </c>
      <c r="P470" s="224">
        <v>0.22562745945691792</v>
      </c>
      <c r="Q470" s="224">
        <v>0.24132770430333367</v>
      </c>
      <c r="R470" s="224">
        <v>0.21155695524863344</v>
      </c>
      <c r="S470" s="224">
        <v>0.2109277378918494</v>
      </c>
      <c r="T470" s="224">
        <v>0.47813590516509014</v>
      </c>
      <c r="U470" s="259">
        <v>0.23982308143090203</v>
      </c>
      <c r="V470" s="239">
        <v>17</v>
      </c>
      <c r="W470" s="239">
        <v>35</v>
      </c>
      <c r="X470" s="239">
        <v>21</v>
      </c>
      <c r="Y470" s="239">
        <v>25</v>
      </c>
      <c r="Z470" s="239">
        <v>16</v>
      </c>
      <c r="AA470" s="257">
        <v>114</v>
      </c>
      <c r="AB470" s="224">
        <v>0.22077922077922077</v>
      </c>
      <c r="AC470" s="224">
        <v>0.22875816993464052</v>
      </c>
      <c r="AD470" s="224">
        <v>0.14788732394366197</v>
      </c>
      <c r="AE470" s="224">
        <v>0.16129032258064516</v>
      </c>
      <c r="AF470" s="224">
        <v>0.42105263157894735</v>
      </c>
      <c r="AG470" s="259">
        <v>0.20176991150442478</v>
      </c>
      <c r="AH470" s="261">
        <v>8.8417329796640137E-4</v>
      </c>
      <c r="AI470" s="261">
        <v>1.2972572275759822E-3</v>
      </c>
      <c r="AJ470" s="261">
        <v>9.748851028271668E-4</v>
      </c>
      <c r="AK470" s="261">
        <v>1.34401376270093E-3</v>
      </c>
      <c r="AL470" s="261">
        <v>3.3368091762252345E-3</v>
      </c>
      <c r="AM470" s="262">
        <v>1.2507680154480822E-3</v>
      </c>
    </row>
    <row r="471" spans="1:39" x14ac:dyDescent="0.25">
      <c r="A471" s="215" t="str">
        <v>6027-BAbdulhakim</v>
      </c>
      <c r="B471" s="215" t="str">
        <v>HASOUQEBQ</v>
      </c>
      <c r="C471" s="215" t="str">
        <v>Mohammed Haidar</v>
      </c>
      <c r="D471" s="239">
        <v>2053.02</v>
      </c>
      <c r="E471" s="239">
        <v>5078.0599999999995</v>
      </c>
      <c r="F471" s="239">
        <v>7285.06</v>
      </c>
      <c r="G471" s="239">
        <v>6684.79</v>
      </c>
      <c r="H471" s="239">
        <v>0</v>
      </c>
      <c r="I471" s="257">
        <v>21100.93</v>
      </c>
      <c r="J471" s="240">
        <v>171.08500000000001</v>
      </c>
      <c r="K471" s="240">
        <v>230.82090909090905</v>
      </c>
      <c r="L471" s="240">
        <v>280.19461538461542</v>
      </c>
      <c r="M471" s="240">
        <v>215.63838709677418</v>
      </c>
      <c r="N471" s="240" t="str">
        <v/>
      </c>
      <c r="O471" s="258">
        <v>231.87835164835164</v>
      </c>
      <c r="P471" s="224">
        <v>0.1340674209545403</v>
      </c>
      <c r="Q471" s="224">
        <v>0.17051152517365745</v>
      </c>
      <c r="R471" s="224">
        <v>0.2244024659733504</v>
      </c>
      <c r="S471" s="224">
        <v>0.21098707493921898</v>
      </c>
      <c r="T471" s="224">
        <v>0</v>
      </c>
      <c r="U471" s="259">
        <v>0.17934023550329706</v>
      </c>
      <c r="V471" s="239">
        <v>12</v>
      </c>
      <c r="W471" s="239">
        <v>22</v>
      </c>
      <c r="X471" s="239">
        <v>26</v>
      </c>
      <c r="Y471" s="239">
        <v>31</v>
      </c>
      <c r="Z471" s="239">
        <v>0</v>
      </c>
      <c r="AA471" s="257">
        <v>91</v>
      </c>
      <c r="AB471" s="224">
        <v>0.15584415584415584</v>
      </c>
      <c r="AC471" s="224">
        <v>0.1437908496732026</v>
      </c>
      <c r="AD471" s="224">
        <v>0.18309859154929578</v>
      </c>
      <c r="AE471" s="224">
        <v>0.2</v>
      </c>
      <c r="AF471" s="224">
        <v>0</v>
      </c>
      <c r="AG471" s="259">
        <v>0.16106194690265488</v>
      </c>
      <c r="AH471" s="261">
        <v>6.2412232797628335E-4</v>
      </c>
      <c r="AI471" s="261">
        <v>8.1541882876204591E-4</v>
      </c>
      <c r="AJ471" s="261">
        <v>1.2070006035003018E-3</v>
      </c>
      <c r="AK471" s="261">
        <v>1.6665770657491533E-3</v>
      </c>
      <c r="AL471" s="261">
        <v>0</v>
      </c>
      <c r="AM471" s="262">
        <v>9.9842008250680247E-4</v>
      </c>
    </row>
    <row r="472" spans="1:39" x14ac:dyDescent="0.25">
      <c r="A472" s="215" t="str">
        <v>6619-EAlahmadi</v>
      </c>
      <c r="B472" s="215" t="str">
        <v>HASOUQEBQ</v>
      </c>
      <c r="C472" s="215" t="str">
        <v>Mohammed Haidar</v>
      </c>
      <c r="D472" s="239">
        <v>4352.09</v>
      </c>
      <c r="E472" s="239">
        <v>4990.0200000000004</v>
      </c>
      <c r="F472" s="239">
        <v>6776.0700000000006</v>
      </c>
      <c r="G472" s="239">
        <v>2292.04</v>
      </c>
      <c r="H472" s="239">
        <v>0</v>
      </c>
      <c r="I472" s="257">
        <v>18410.22</v>
      </c>
      <c r="J472" s="240">
        <v>217.6045</v>
      </c>
      <c r="K472" s="240">
        <v>226.81909090909093</v>
      </c>
      <c r="L472" s="240">
        <v>205.33545454545455</v>
      </c>
      <c r="M472" s="240">
        <v>208.36727272727273</v>
      </c>
      <c r="N472" s="240" t="str">
        <v/>
      </c>
      <c r="O472" s="258">
        <v>214.07232558139538</v>
      </c>
      <c r="P472" s="224">
        <v>0.28420253191008626</v>
      </c>
      <c r="Q472" s="224">
        <v>0.16755531065939636</v>
      </c>
      <c r="R472" s="224">
        <v>0.2087239937087739</v>
      </c>
      <c r="S472" s="224">
        <v>7.2341960666481284E-2</v>
      </c>
      <c r="T472" s="224">
        <v>0</v>
      </c>
      <c r="U472" s="259">
        <v>0.15647145365002915</v>
      </c>
      <c r="V472" s="239">
        <v>20</v>
      </c>
      <c r="W472" s="239">
        <v>22</v>
      </c>
      <c r="X472" s="239">
        <v>33</v>
      </c>
      <c r="Y472" s="239">
        <v>11</v>
      </c>
      <c r="Z472" s="239">
        <v>0</v>
      </c>
      <c r="AA472" s="257">
        <v>86</v>
      </c>
      <c r="AB472" s="224">
        <v>0.25974025974025972</v>
      </c>
      <c r="AC472" s="224">
        <v>0.1437908496732026</v>
      </c>
      <c r="AD472" s="224">
        <v>0.23239436619718309</v>
      </c>
      <c r="AE472" s="224">
        <v>7.0967741935483872E-2</v>
      </c>
      <c r="AF472" s="224">
        <v>0</v>
      </c>
      <c r="AG472" s="259">
        <v>0.15221238938053097</v>
      </c>
      <c r="AH472" s="261">
        <v>1.0402038799604723E-3</v>
      </c>
      <c r="AI472" s="261">
        <v>8.1541882876204591E-4</v>
      </c>
      <c r="AJ472" s="261">
        <v>1.5319623044426907E-3</v>
      </c>
      <c r="AK472" s="261">
        <v>5.9136605558840927E-4</v>
      </c>
      <c r="AL472" s="261">
        <v>0</v>
      </c>
      <c r="AM472" s="262">
        <v>9.4356183621521989E-4</v>
      </c>
    </row>
    <row r="473" spans="1:39" x14ac:dyDescent="0.25">
      <c r="A473" s="215" t="str">
        <v>6063-ABaker</v>
      </c>
      <c r="B473" s="215" t="str">
        <v>HASOUQEBQ</v>
      </c>
      <c r="C473" s="215" t="str">
        <v>Mohammed Haidar</v>
      </c>
      <c r="D473" s="239">
        <v>3701.09</v>
      </c>
      <c r="E473" s="239">
        <v>2099.09</v>
      </c>
      <c r="F473" s="239">
        <v>6848.0499999999993</v>
      </c>
      <c r="G473" s="239">
        <v>4338.9299999999994</v>
      </c>
      <c r="H473" s="239">
        <v>783.06</v>
      </c>
      <c r="I473" s="257">
        <v>17770.22</v>
      </c>
      <c r="J473" s="240">
        <v>308.42416666666668</v>
      </c>
      <c r="K473" s="240">
        <v>209.90900000000002</v>
      </c>
      <c r="L473" s="240">
        <v>190.2236111111111</v>
      </c>
      <c r="M473" s="240">
        <v>206.61571428571426</v>
      </c>
      <c r="N473" s="240">
        <v>195.76499999999999</v>
      </c>
      <c r="O473" s="258">
        <v>214.09903614457832</v>
      </c>
      <c r="P473" s="224">
        <v>0.24169057828011395</v>
      </c>
      <c r="Q473" s="224">
        <v>7.0483420317359907E-2</v>
      </c>
      <c r="R473" s="224">
        <v>0.21094120118554985</v>
      </c>
      <c r="S473" s="224">
        <v>0.1369464334804871</v>
      </c>
      <c r="T473" s="224">
        <v>9.3040774401133022E-2</v>
      </c>
      <c r="U473" s="259">
        <v>0.1510319895732273</v>
      </c>
      <c r="V473" s="239">
        <v>12</v>
      </c>
      <c r="W473" s="239">
        <v>10</v>
      </c>
      <c r="X473" s="239">
        <v>36</v>
      </c>
      <c r="Y473" s="239">
        <v>21</v>
      </c>
      <c r="Z473" s="239">
        <v>4</v>
      </c>
      <c r="AA473" s="257">
        <v>83</v>
      </c>
      <c r="AB473" s="224">
        <v>0.15584415584415584</v>
      </c>
      <c r="AC473" s="224">
        <v>6.535947712418301E-2</v>
      </c>
      <c r="AD473" s="224">
        <v>0.25352112676056338</v>
      </c>
      <c r="AE473" s="224">
        <v>0.13548387096774195</v>
      </c>
      <c r="AF473" s="224">
        <v>0.10526315789473684</v>
      </c>
      <c r="AG473" s="259">
        <v>0.14690265486725665</v>
      </c>
      <c r="AH473" s="261">
        <v>6.2412232797628335E-4</v>
      </c>
      <c r="AI473" s="261">
        <v>3.7064492216456633E-4</v>
      </c>
      <c r="AJ473" s="261">
        <v>1.6712316048465717E-3</v>
      </c>
      <c r="AK473" s="261">
        <v>1.1289715606687812E-3</v>
      </c>
      <c r="AL473" s="261">
        <v>8.3420229405630863E-4</v>
      </c>
      <c r="AM473" s="262">
        <v>9.1064688844027034E-4</v>
      </c>
    </row>
    <row r="474" spans="1:39" x14ac:dyDescent="0.25">
      <c r="A474" s="215" t="str">
        <v>5708-NAlharbi</v>
      </c>
      <c r="B474" s="215" t="str">
        <v>HASOUQEBQ</v>
      </c>
      <c r="C474" s="215" t="str">
        <v>Mohammed Haidar</v>
      </c>
      <c r="D474" s="239">
        <v>766.02</v>
      </c>
      <c r="E474" s="239">
        <v>5236.0600000000004</v>
      </c>
      <c r="F474" s="239">
        <v>2533.0100000000002</v>
      </c>
      <c r="G474" s="239">
        <v>6488.86</v>
      </c>
      <c r="H474" s="239">
        <v>1447.08</v>
      </c>
      <c r="I474" s="257">
        <v>16471.03</v>
      </c>
      <c r="J474" s="240">
        <v>153.20400000000001</v>
      </c>
      <c r="K474" s="240">
        <v>168.90516129032258</v>
      </c>
      <c r="L474" s="240">
        <v>158.31312500000001</v>
      </c>
      <c r="M474" s="240">
        <v>175.37459459459458</v>
      </c>
      <c r="N474" s="240">
        <v>160.78666666666666</v>
      </c>
      <c r="O474" s="258">
        <v>168.07173469387754</v>
      </c>
      <c r="P474" s="224">
        <v>5.0023051796668785E-2</v>
      </c>
      <c r="Q474" s="224">
        <v>0.17581686244368538</v>
      </c>
      <c r="R474" s="224">
        <v>7.8024572252686497E-2</v>
      </c>
      <c r="S474" s="224">
        <v>0.20480308148649404</v>
      </c>
      <c r="T474" s="224">
        <v>0.17193758309758073</v>
      </c>
      <c r="U474" s="259">
        <v>0.13998996248894577</v>
      </c>
      <c r="V474" s="239">
        <v>5</v>
      </c>
      <c r="W474" s="239">
        <v>31</v>
      </c>
      <c r="X474" s="239">
        <v>16</v>
      </c>
      <c r="Y474" s="239">
        <v>37</v>
      </c>
      <c r="Z474" s="239">
        <v>9</v>
      </c>
      <c r="AA474" s="257">
        <v>98</v>
      </c>
      <c r="AB474" s="224">
        <v>6.4935064935064929E-2</v>
      </c>
      <c r="AC474" s="224">
        <v>0.20261437908496732</v>
      </c>
      <c r="AD474" s="224">
        <v>0.11267605633802817</v>
      </c>
      <c r="AE474" s="224">
        <v>0.23870967741935484</v>
      </c>
      <c r="AF474" s="224">
        <v>0.23684210526315788</v>
      </c>
      <c r="AG474" s="259">
        <v>0.17345132743362832</v>
      </c>
      <c r="AH474" s="261">
        <v>2.6005096999011807E-4</v>
      </c>
      <c r="AI474" s="261">
        <v>1.1489992587101557E-3</v>
      </c>
      <c r="AJ474" s="261">
        <v>7.4276960215403183E-4</v>
      </c>
      <c r="AK474" s="261">
        <v>1.9891403687973767E-3</v>
      </c>
      <c r="AL474" s="261">
        <v>1.8769551616266945E-3</v>
      </c>
      <c r="AM474" s="262">
        <v>1.075221627315018E-3</v>
      </c>
    </row>
    <row r="475" spans="1:39" x14ac:dyDescent="0.25">
      <c r="A475" s="215" t="str">
        <v>5429-BAlharbi</v>
      </c>
      <c r="B475" s="215" t="str">
        <v>HASOUQEBQ</v>
      </c>
      <c r="C475" s="215" t="str">
        <v>Mohammed Haidar</v>
      </c>
      <c r="D475" s="239">
        <v>644.01</v>
      </c>
      <c r="E475" s="239">
        <v>2793.04</v>
      </c>
      <c r="F475" s="239">
        <v>754.01</v>
      </c>
      <c r="G475" s="239">
        <v>4616.87</v>
      </c>
      <c r="H475" s="239">
        <v>858.06</v>
      </c>
      <c r="I475" s="257">
        <v>9665.99</v>
      </c>
      <c r="J475" s="240">
        <v>92.001428571428576</v>
      </c>
      <c r="K475" s="240">
        <v>133.00190476190477</v>
      </c>
      <c r="L475" s="240">
        <v>188.5025</v>
      </c>
      <c r="M475" s="240">
        <v>177.57192307692307</v>
      </c>
      <c r="N475" s="240">
        <v>171.61199999999999</v>
      </c>
      <c r="O475" s="258">
        <v>153.4284126984127</v>
      </c>
      <c r="P475" s="224">
        <v>4.2055488874406237E-2</v>
      </c>
      <c r="Q475" s="224">
        <v>9.3784931700498272E-2</v>
      </c>
      <c r="R475" s="224">
        <v>2.3225848979770366E-2</v>
      </c>
      <c r="S475" s="224">
        <v>0.14571884781341402</v>
      </c>
      <c r="T475" s="224">
        <v>0.10195204311628253</v>
      </c>
      <c r="U475" s="259">
        <v>8.2152820893321488E-2</v>
      </c>
      <c r="V475" s="239">
        <v>7</v>
      </c>
      <c r="W475" s="239">
        <v>21</v>
      </c>
      <c r="X475" s="239">
        <v>4</v>
      </c>
      <c r="Y475" s="239">
        <v>26</v>
      </c>
      <c r="Z475" s="239">
        <v>5</v>
      </c>
      <c r="AA475" s="257">
        <v>63</v>
      </c>
      <c r="AB475" s="224">
        <v>9.0909090909090912E-2</v>
      </c>
      <c r="AC475" s="224">
        <v>0.13725490196078433</v>
      </c>
      <c r="AD475" s="224">
        <v>2.8169014084507043E-2</v>
      </c>
      <c r="AE475" s="224">
        <v>0.16774193548387098</v>
      </c>
      <c r="AF475" s="224">
        <v>0.13157894736842105</v>
      </c>
      <c r="AG475" s="259">
        <v>0.11150442477876106</v>
      </c>
      <c r="AH475" s="261">
        <v>3.6407135798616528E-4</v>
      </c>
      <c r="AI475" s="261">
        <v>7.7835433654558934E-4</v>
      </c>
      <c r="AJ475" s="261">
        <v>1.8569240053850796E-4</v>
      </c>
      <c r="AK475" s="261">
        <v>1.3977743132089673E-3</v>
      </c>
      <c r="AL475" s="261">
        <v>1.0427528675703858E-3</v>
      </c>
      <c r="AM475" s="262">
        <v>6.9121390327394011E-4</v>
      </c>
    </row>
    <row r="476" spans="1:39" x14ac:dyDescent="0.25">
      <c r="A476" s="215" t="str">
        <v>5424-AAlJabri</v>
      </c>
      <c r="B476" s="215" t="str">
        <v>HASOUQEBQ</v>
      </c>
      <c r="C476" s="215" t="str">
        <v>Mohammed Haidar</v>
      </c>
      <c r="D476" s="239">
        <v>342</v>
      </c>
      <c r="E476" s="239">
        <v>2398</v>
      </c>
      <c r="F476" s="239">
        <v>1400.02</v>
      </c>
      <c r="G476" s="239">
        <v>579.01</v>
      </c>
      <c r="H476" s="239">
        <v>632.94000000000005</v>
      </c>
      <c r="I476" s="257">
        <v>5351.9700000000012</v>
      </c>
      <c r="J476" s="240">
        <v>85.5</v>
      </c>
      <c r="K476" s="240">
        <v>199.83333333333334</v>
      </c>
      <c r="L476" s="240">
        <v>233.33666666666667</v>
      </c>
      <c r="M476" s="240">
        <v>144.7525</v>
      </c>
      <c r="N476" s="240">
        <v>632.94000000000005</v>
      </c>
      <c r="O476" s="258">
        <v>198.22111111111116</v>
      </c>
      <c r="P476" s="224">
        <v>2.2333468727266555E-2</v>
      </c>
      <c r="Q476" s="224">
        <v>8.0520245402069021E-2</v>
      </c>
      <c r="R476" s="224">
        <v>4.3124962651235541E-2</v>
      </c>
      <c r="S476" s="224">
        <v>1.8274863722055171E-2</v>
      </c>
      <c r="T476" s="224">
        <v>7.5203978940889774E-2</v>
      </c>
      <c r="U476" s="259">
        <v>4.548726336737674E-2</v>
      </c>
      <c r="V476" s="239">
        <v>4</v>
      </c>
      <c r="W476" s="239">
        <v>12</v>
      </c>
      <c r="X476" s="239">
        <v>6</v>
      </c>
      <c r="Y476" s="239">
        <v>4</v>
      </c>
      <c r="Z476" s="239">
        <v>1</v>
      </c>
      <c r="AA476" s="257">
        <v>27</v>
      </c>
      <c r="AB476" s="224">
        <v>5.1948051948051951E-2</v>
      </c>
      <c r="AC476" s="224">
        <v>7.8431372549019607E-2</v>
      </c>
      <c r="AD476" s="224">
        <v>4.2253521126760563E-2</v>
      </c>
      <c r="AE476" s="224">
        <v>2.5806451612903226E-2</v>
      </c>
      <c r="AF476" s="224">
        <v>2.6315789473684209E-2</v>
      </c>
      <c r="AG476" s="259">
        <v>4.7787610619469026E-2</v>
      </c>
      <c r="AH476" s="261">
        <v>2.0804077599209444E-4</v>
      </c>
      <c r="AI476" s="261">
        <v>4.4477390659747963E-4</v>
      </c>
      <c r="AJ476" s="261">
        <v>2.7853860080776193E-4</v>
      </c>
      <c r="AK476" s="261">
        <v>2.150422020321488E-4</v>
      </c>
      <c r="AL476" s="261">
        <v>2.0855057351407716E-4</v>
      </c>
      <c r="AM476" s="262">
        <v>2.9623452997454579E-4</v>
      </c>
    </row>
    <row r="477" spans="1:39" x14ac:dyDescent="0.25">
      <c r="A477" s="215" t="str">
        <v>5645-YMakki</v>
      </c>
      <c r="B477" s="215" t="str">
        <v>HASOUQEBQ</v>
      </c>
      <c r="C477" s="215" t="str">
        <v>Mohammed Haidar</v>
      </c>
      <c r="D477" s="239">
        <v>0</v>
      </c>
      <c r="E477" s="239">
        <v>0</v>
      </c>
      <c r="F477" s="239">
        <v>0</v>
      </c>
      <c r="G477" s="239">
        <v>0</v>
      </c>
      <c r="H477" s="239">
        <v>671.03</v>
      </c>
      <c r="I477" s="257">
        <v>671.03</v>
      </c>
      <c r="J477" s="240" t="str">
        <v/>
      </c>
      <c r="K477" s="240" t="str">
        <v/>
      </c>
      <c r="L477" s="240" t="str">
        <v/>
      </c>
      <c r="M477" s="240" t="str">
        <v/>
      </c>
      <c r="N477" s="240">
        <v>223.67666666666665</v>
      </c>
      <c r="O477" s="258">
        <v>223.67666666666665</v>
      </c>
      <c r="P477" s="224">
        <v>0</v>
      </c>
      <c r="Q477" s="224">
        <v>0</v>
      </c>
      <c r="R477" s="224">
        <v>0</v>
      </c>
      <c r="S477" s="224">
        <v>0</v>
      </c>
      <c r="T477" s="224">
        <v>7.9729715279023686E-2</v>
      </c>
      <c r="U477" s="259">
        <v>5.703193092900522E-3</v>
      </c>
      <c r="V477" s="239">
        <v>0</v>
      </c>
      <c r="W477" s="239">
        <v>0</v>
      </c>
      <c r="X477" s="239">
        <v>0</v>
      </c>
      <c r="Y477" s="239">
        <v>0</v>
      </c>
      <c r="Z477" s="239">
        <v>3</v>
      </c>
      <c r="AA477" s="257">
        <v>3</v>
      </c>
      <c r="AB477" s="224">
        <v>0</v>
      </c>
      <c r="AC477" s="224">
        <v>0</v>
      </c>
      <c r="AD477" s="224">
        <v>0</v>
      </c>
      <c r="AE477" s="224">
        <v>0</v>
      </c>
      <c r="AF477" s="224">
        <v>7.8947368421052627E-2</v>
      </c>
      <c r="AG477" s="259">
        <v>5.3097345132743362E-3</v>
      </c>
      <c r="AH477" s="261">
        <v>0</v>
      </c>
      <c r="AI477" s="261">
        <v>0</v>
      </c>
      <c r="AJ477" s="261">
        <v>0</v>
      </c>
      <c r="AK477" s="261">
        <v>0</v>
      </c>
      <c r="AL477" s="261">
        <v>6.2565172054223153E-4</v>
      </c>
      <c r="AM477" s="262">
        <v>3.2914947774949529E-5</v>
      </c>
    </row>
    <row r="478" spans="1:39" x14ac:dyDescent="0.25">
      <c r="A478" s="215" t="str">
        <v>5698-AAlsahli</v>
      </c>
      <c r="B478" s="215" t="str">
        <v>HASULTANA</v>
      </c>
      <c r="C478" s="215" t="str">
        <v>Mohammed Haidar</v>
      </c>
      <c r="D478" s="239">
        <v>10514.31</v>
      </c>
      <c r="E478" s="239">
        <v>13850.18</v>
      </c>
      <c r="F478" s="239">
        <v>4050.01</v>
      </c>
      <c r="G478" s="239">
        <v>8665.8700000000008</v>
      </c>
      <c r="H478" s="239">
        <v>2885.04</v>
      </c>
      <c r="I478" s="257">
        <v>39965.410000000003</v>
      </c>
      <c r="J478" s="240">
        <v>159.30772727272728</v>
      </c>
      <c r="K478" s="240">
        <v>219.844126984127</v>
      </c>
      <c r="L478" s="240">
        <v>192.85761904761907</v>
      </c>
      <c r="M478" s="240">
        <v>279.54419354838711</v>
      </c>
      <c r="N478" s="240">
        <v>577.00800000000004</v>
      </c>
      <c r="O478" s="258">
        <v>214.86779569892474</v>
      </c>
      <c r="P478" s="224">
        <v>0.76365684536368506</v>
      </c>
      <c r="Q478" s="224">
        <v>0.6080438101944573</v>
      </c>
      <c r="R478" s="224">
        <v>0.2346191590111493</v>
      </c>
      <c r="S478" s="224">
        <v>0.51108467643006783</v>
      </c>
      <c r="T478" s="224">
        <v>0.63826624071927296</v>
      </c>
      <c r="U478" s="259">
        <v>0.53085735272728252</v>
      </c>
      <c r="V478" s="239">
        <v>66</v>
      </c>
      <c r="W478" s="239">
        <v>63</v>
      </c>
      <c r="X478" s="239">
        <v>21</v>
      </c>
      <c r="Y478" s="239">
        <v>31</v>
      </c>
      <c r="Z478" s="239">
        <v>5</v>
      </c>
      <c r="AA478" s="257">
        <v>186</v>
      </c>
      <c r="AB478" s="224">
        <v>0.77647058823529413</v>
      </c>
      <c r="AC478" s="224">
        <v>0.52066115702479343</v>
      </c>
      <c r="AD478" s="224">
        <v>0.2441860465116279</v>
      </c>
      <c r="AE478" s="224">
        <v>0.40259740259740262</v>
      </c>
      <c r="AF478" s="224">
        <v>0.35714285714285715</v>
      </c>
      <c r="AG478" s="259">
        <v>0.48563968668407309</v>
      </c>
      <c r="AH478" s="261">
        <v>3.4326728038695585E-3</v>
      </c>
      <c r="AI478" s="261">
        <v>2.335063009636768E-3</v>
      </c>
      <c r="AJ478" s="261">
        <v>9.748851028271668E-4</v>
      </c>
      <c r="AK478" s="261">
        <v>1.6665770657491533E-3</v>
      </c>
      <c r="AL478" s="261">
        <v>1.0427528675703858E-3</v>
      </c>
      <c r="AM478" s="262">
        <v>2.040726762046871E-3</v>
      </c>
    </row>
    <row r="479" spans="1:39" x14ac:dyDescent="0.25">
      <c r="A479" s="215" t="str">
        <v>5885-AAlharthi</v>
      </c>
      <c r="B479" s="215" t="str">
        <v>HASULTANA</v>
      </c>
      <c r="C479" s="215" t="str">
        <v>Mohammed Haidar</v>
      </c>
      <c r="D479" s="239">
        <v>2867.05</v>
      </c>
      <c r="E479" s="239">
        <v>8928.08</v>
      </c>
      <c r="F479" s="239">
        <v>5079.01</v>
      </c>
      <c r="G479" s="239">
        <v>4421.01</v>
      </c>
      <c r="H479" s="239">
        <v>0</v>
      </c>
      <c r="I479" s="257">
        <v>21295.15</v>
      </c>
      <c r="J479" s="240">
        <v>191.13666666666668</v>
      </c>
      <c r="K479" s="240">
        <v>153.93241379310345</v>
      </c>
      <c r="L479" s="240">
        <v>181.39321428571429</v>
      </c>
      <c r="M479" s="240">
        <v>176.84040000000002</v>
      </c>
      <c r="N479" s="240" t="str">
        <v/>
      </c>
      <c r="O479" s="258">
        <v>169.00912698412699</v>
      </c>
      <c r="P479" s="224">
        <v>0.20823452594606337</v>
      </c>
      <c r="Q479" s="224">
        <v>0.39195618980554259</v>
      </c>
      <c r="R479" s="224">
        <v>0.2942296574105292</v>
      </c>
      <c r="S479" s="224">
        <v>0.26073671372223378</v>
      </c>
      <c r="T479" s="224">
        <v>0</v>
      </c>
      <c r="U479" s="259">
        <v>0.28286177859630091</v>
      </c>
      <c r="V479" s="239">
        <v>15</v>
      </c>
      <c r="W479" s="239">
        <v>58</v>
      </c>
      <c r="X479" s="239">
        <v>28</v>
      </c>
      <c r="Y479" s="239">
        <v>25</v>
      </c>
      <c r="Z479" s="239">
        <v>0</v>
      </c>
      <c r="AA479" s="257">
        <v>126</v>
      </c>
      <c r="AB479" s="224">
        <v>0.17647058823529413</v>
      </c>
      <c r="AC479" s="224">
        <v>0.47933884297520662</v>
      </c>
      <c r="AD479" s="224">
        <v>0.32558139534883723</v>
      </c>
      <c r="AE479" s="224">
        <v>0.32467532467532467</v>
      </c>
      <c r="AF479" s="224">
        <v>0</v>
      </c>
      <c r="AG479" s="259">
        <v>0.32898172323759789</v>
      </c>
      <c r="AH479" s="261">
        <v>7.8015290997035416E-4</v>
      </c>
      <c r="AI479" s="261">
        <v>2.1497405485544846E-3</v>
      </c>
      <c r="AJ479" s="261">
        <v>1.2998468037695558E-3</v>
      </c>
      <c r="AK479" s="261">
        <v>1.34401376270093E-3</v>
      </c>
      <c r="AL479" s="261">
        <v>0</v>
      </c>
      <c r="AM479" s="262">
        <v>1.3824278065478802E-3</v>
      </c>
    </row>
    <row r="480" spans="1:39" x14ac:dyDescent="0.25">
      <c r="A480" s="215" t="str">
        <v>6454-YKhormi</v>
      </c>
      <c r="B480" s="215" t="str">
        <v>HASULTANA</v>
      </c>
      <c r="C480" s="215" t="str">
        <v>Mohammed Haidar</v>
      </c>
      <c r="D480" s="239">
        <v>0</v>
      </c>
      <c r="E480" s="239">
        <v>0</v>
      </c>
      <c r="F480" s="239">
        <v>8133.0400000000009</v>
      </c>
      <c r="G480" s="239">
        <v>3868.96</v>
      </c>
      <c r="H480" s="239">
        <v>1635.08</v>
      </c>
      <c r="I480" s="257">
        <v>13637.08</v>
      </c>
      <c r="J480" s="240" t="str">
        <v/>
      </c>
      <c r="K480" s="240" t="str">
        <v/>
      </c>
      <c r="L480" s="240">
        <v>219.81189189189192</v>
      </c>
      <c r="M480" s="240">
        <v>184.23619047619047</v>
      </c>
      <c r="N480" s="240">
        <v>181.67555555555555</v>
      </c>
      <c r="O480" s="258">
        <v>203.53850746268657</v>
      </c>
      <c r="P480" s="224">
        <v>0</v>
      </c>
      <c r="Q480" s="224">
        <v>0</v>
      </c>
      <c r="R480" s="224">
        <v>0.47115118357832148</v>
      </c>
      <c r="S480" s="224">
        <v>0.2281786098476985</v>
      </c>
      <c r="T480" s="224">
        <v>0.36173375928072704</v>
      </c>
      <c r="U480" s="259">
        <v>0.18114024572074122</v>
      </c>
      <c r="V480" s="239">
        <v>0</v>
      </c>
      <c r="W480" s="239">
        <v>0</v>
      </c>
      <c r="X480" s="239">
        <v>37</v>
      </c>
      <c r="Y480" s="239">
        <v>21</v>
      </c>
      <c r="Z480" s="239">
        <v>9</v>
      </c>
      <c r="AA480" s="257">
        <v>67</v>
      </c>
      <c r="AB480" s="224">
        <v>0</v>
      </c>
      <c r="AC480" s="224">
        <v>0</v>
      </c>
      <c r="AD480" s="224">
        <v>0.43023255813953487</v>
      </c>
      <c r="AE480" s="224">
        <v>0.27272727272727271</v>
      </c>
      <c r="AF480" s="224">
        <v>0.6428571428571429</v>
      </c>
      <c r="AG480" s="259">
        <v>0.17493472584856398</v>
      </c>
      <c r="AH480" s="261">
        <v>0</v>
      </c>
      <c r="AI480" s="261">
        <v>0</v>
      </c>
      <c r="AJ480" s="261">
        <v>1.7176547049811987E-3</v>
      </c>
      <c r="AK480" s="261">
        <v>1.1289715606687812E-3</v>
      </c>
      <c r="AL480" s="261">
        <v>1.8769551616266945E-3</v>
      </c>
      <c r="AM480" s="262">
        <v>7.3510050030720618E-4</v>
      </c>
    </row>
    <row r="481" spans="1:39" x14ac:dyDescent="0.25">
      <c r="A481" s="215" t="str">
        <v>4877-AAlErwi</v>
      </c>
      <c r="B481" s="215" t="str">
        <v>HASULTANA</v>
      </c>
      <c r="C481" s="215" t="str">
        <v>Mohammed Haidar</v>
      </c>
      <c r="D481" s="239">
        <v>387.01</v>
      </c>
      <c r="E481" s="239">
        <v>0</v>
      </c>
      <c r="F481" s="239">
        <v>0</v>
      </c>
      <c r="G481" s="239">
        <v>0</v>
      </c>
      <c r="H481" s="239">
        <v>0</v>
      </c>
      <c r="I481" s="257">
        <v>387.01</v>
      </c>
      <c r="J481" s="240">
        <v>96.752499999999998</v>
      </c>
      <c r="K481" s="240" t="str">
        <v/>
      </c>
      <c r="L481" s="240" t="str">
        <v/>
      </c>
      <c r="M481" s="240" t="str">
        <v/>
      </c>
      <c r="N481" s="240" t="str">
        <v/>
      </c>
      <c r="O481" s="258">
        <v>96.752499999999998</v>
      </c>
      <c r="P481" s="224">
        <v>2.8108628690251644E-2</v>
      </c>
      <c r="Q481" s="224">
        <v>0</v>
      </c>
      <c r="R481" s="224">
        <v>0</v>
      </c>
      <c r="S481" s="224">
        <v>0</v>
      </c>
      <c r="T481" s="224">
        <v>0</v>
      </c>
      <c r="U481" s="259">
        <v>5.1406229556755596E-3</v>
      </c>
      <c r="V481" s="239">
        <v>4</v>
      </c>
      <c r="W481" s="239">
        <v>0</v>
      </c>
      <c r="X481" s="239">
        <v>0</v>
      </c>
      <c r="Y481" s="239">
        <v>0</v>
      </c>
      <c r="Z481" s="239">
        <v>0</v>
      </c>
      <c r="AA481" s="257">
        <v>4</v>
      </c>
      <c r="AB481" s="224">
        <v>4.7058823529411764E-2</v>
      </c>
      <c r="AC481" s="224">
        <v>0</v>
      </c>
      <c r="AD481" s="224">
        <v>0</v>
      </c>
      <c r="AE481" s="224">
        <v>0</v>
      </c>
      <c r="AF481" s="224">
        <v>0</v>
      </c>
      <c r="AG481" s="259">
        <v>1.0443864229765013E-2</v>
      </c>
      <c r="AH481" s="261">
        <v>2.0804077599209444E-4</v>
      </c>
      <c r="AI481" s="261">
        <v>0</v>
      </c>
      <c r="AJ481" s="261">
        <v>0</v>
      </c>
      <c r="AK481" s="261">
        <v>0</v>
      </c>
      <c r="AL481" s="261">
        <v>0</v>
      </c>
      <c r="AM481" s="262">
        <v>4.3886597033266039E-5</v>
      </c>
    </row>
    <row r="482" spans="1:39" x14ac:dyDescent="0.25">
      <c r="A482" s="215" t="str">
        <v>7297-NAlharbi</v>
      </c>
      <c r="B482" s="215" t="str">
        <v>HATHEGATE</v>
      </c>
      <c r="C482" s="215" t="str">
        <v>Mohammed Haidar</v>
      </c>
      <c r="D482" s="239">
        <v>2933.09</v>
      </c>
      <c r="E482" s="239">
        <v>2526.06</v>
      </c>
      <c r="F482" s="239">
        <v>2567</v>
      </c>
      <c r="G482" s="239">
        <v>730.98</v>
      </c>
      <c r="H482" s="239">
        <v>1054.94</v>
      </c>
      <c r="I482" s="257">
        <v>9812.07</v>
      </c>
      <c r="J482" s="240">
        <v>293.30900000000003</v>
      </c>
      <c r="K482" s="240">
        <v>229.64181818181817</v>
      </c>
      <c r="L482" s="240">
        <v>197.46153846153845</v>
      </c>
      <c r="M482" s="240">
        <v>146.196</v>
      </c>
      <c r="N482" s="240">
        <v>351.6466666666667</v>
      </c>
      <c r="O482" s="258">
        <v>233.62071428571429</v>
      </c>
      <c r="P482" s="224">
        <v>0.48883203893203558</v>
      </c>
      <c r="Q482" s="224">
        <v>0.38272766528033453</v>
      </c>
      <c r="R482" s="224">
        <v>0.41032608695652173</v>
      </c>
      <c r="S482" s="224">
        <v>0.23016177887491576</v>
      </c>
      <c r="T482" s="224">
        <v>0.44931597867011941</v>
      </c>
      <c r="U482" s="259">
        <v>0.4024610985075166</v>
      </c>
      <c r="V482" s="239">
        <v>10</v>
      </c>
      <c r="W482" s="239">
        <v>11</v>
      </c>
      <c r="X482" s="239">
        <v>13</v>
      </c>
      <c r="Y482" s="239">
        <v>5</v>
      </c>
      <c r="Z482" s="239">
        <v>3</v>
      </c>
      <c r="AA482" s="257">
        <v>42</v>
      </c>
      <c r="AB482" s="224">
        <v>0.32258064516129031</v>
      </c>
      <c r="AC482" s="224">
        <v>0.33333333333333331</v>
      </c>
      <c r="AD482" s="224">
        <v>0.41935483870967744</v>
      </c>
      <c r="AE482" s="224">
        <v>0.27777777777777779</v>
      </c>
      <c r="AF482" s="224">
        <v>0.33333333333333331</v>
      </c>
      <c r="AG482" s="259">
        <v>0.34426229508196721</v>
      </c>
      <c r="AH482" s="261">
        <v>5.2010193998023614E-4</v>
      </c>
      <c r="AI482" s="261">
        <v>4.0770941438102295E-4</v>
      </c>
      <c r="AJ482" s="261">
        <v>6.0350030175015089E-4</v>
      </c>
      <c r="AK482" s="261">
        <v>2.6880275254018599E-4</v>
      </c>
      <c r="AL482" s="261">
        <v>6.2565172054223153E-4</v>
      </c>
      <c r="AM482" s="262">
        <v>4.6080926884929343E-4</v>
      </c>
    </row>
    <row r="483" spans="1:39" x14ac:dyDescent="0.25">
      <c r="A483" s="215" t="str">
        <v>6455-FAli</v>
      </c>
      <c r="B483" s="215" t="str">
        <v>HATHEGATE</v>
      </c>
      <c r="C483" s="215" t="str">
        <v>Mohammed Haidar</v>
      </c>
      <c r="D483" s="239">
        <v>699.02</v>
      </c>
      <c r="E483" s="239">
        <v>2164.0299999999997</v>
      </c>
      <c r="F483" s="239">
        <v>1315</v>
      </c>
      <c r="G483" s="239">
        <v>1328.99</v>
      </c>
      <c r="H483" s="239">
        <v>870.98</v>
      </c>
      <c r="I483" s="257">
        <v>6378.0199999999986</v>
      </c>
      <c r="J483" s="240">
        <v>139.804</v>
      </c>
      <c r="K483" s="240">
        <v>196.73</v>
      </c>
      <c r="L483" s="240">
        <v>119.54545454545455</v>
      </c>
      <c r="M483" s="240">
        <v>189.8557142857143</v>
      </c>
      <c r="N483" s="240">
        <v>217.745</v>
      </c>
      <c r="O483" s="258">
        <v>167.84263157894733</v>
      </c>
      <c r="P483" s="224">
        <v>0.1164994500183327</v>
      </c>
      <c r="Q483" s="224">
        <v>0.32787588160875131</v>
      </c>
      <c r="R483" s="224">
        <v>0.21019820971867006</v>
      </c>
      <c r="S483" s="224">
        <v>0.41845563833069893</v>
      </c>
      <c r="T483" s="224">
        <v>0.37096444452016286</v>
      </c>
      <c r="U483" s="259">
        <v>0.26160687148612988</v>
      </c>
      <c r="V483" s="239">
        <v>5</v>
      </c>
      <c r="W483" s="239">
        <v>11</v>
      </c>
      <c r="X483" s="239">
        <v>11</v>
      </c>
      <c r="Y483" s="239">
        <v>7</v>
      </c>
      <c r="Z483" s="239">
        <v>4</v>
      </c>
      <c r="AA483" s="257">
        <v>38</v>
      </c>
      <c r="AB483" s="224">
        <v>0.16129032258064516</v>
      </c>
      <c r="AC483" s="224">
        <v>0.33333333333333331</v>
      </c>
      <c r="AD483" s="224">
        <v>0.35483870967741937</v>
      </c>
      <c r="AE483" s="224">
        <v>0.3888888888888889</v>
      </c>
      <c r="AF483" s="224">
        <v>0.44444444444444442</v>
      </c>
      <c r="AG483" s="259">
        <v>0.31147540983606559</v>
      </c>
      <c r="AH483" s="261">
        <v>2.6005096999011807E-4</v>
      </c>
      <c r="AI483" s="261">
        <v>4.0770941438102295E-4</v>
      </c>
      <c r="AJ483" s="261">
        <v>5.1065410148089685E-4</v>
      </c>
      <c r="AK483" s="261">
        <v>3.7632385355626042E-4</v>
      </c>
      <c r="AL483" s="261">
        <v>8.3420229405630863E-4</v>
      </c>
      <c r="AM483" s="262">
        <v>4.1692267181602736E-4</v>
      </c>
    </row>
    <row r="484" spans="1:39" x14ac:dyDescent="0.25">
      <c r="A484" s="215" t="str">
        <v>4863-FAlHarbi</v>
      </c>
      <c r="B484" s="215" t="str">
        <v>HATHEGATE</v>
      </c>
      <c r="C484" s="215" t="str">
        <v>Mohammed Haidar</v>
      </c>
      <c r="D484" s="239">
        <v>2368.09</v>
      </c>
      <c r="E484" s="239">
        <v>1910.06</v>
      </c>
      <c r="F484" s="239">
        <v>249</v>
      </c>
      <c r="G484" s="239">
        <v>0</v>
      </c>
      <c r="H484" s="239">
        <v>0</v>
      </c>
      <c r="I484" s="257">
        <v>4527.1499999999996</v>
      </c>
      <c r="J484" s="240">
        <v>148.00562500000001</v>
      </c>
      <c r="K484" s="240">
        <v>173.64181818181817</v>
      </c>
      <c r="L484" s="240">
        <v>249</v>
      </c>
      <c r="M484" s="240" t="str">
        <v/>
      </c>
      <c r="N484" s="240" t="str">
        <v/>
      </c>
      <c r="O484" s="258">
        <v>161.68392857142857</v>
      </c>
      <c r="P484" s="224">
        <v>0.39466851104963163</v>
      </c>
      <c r="Q484" s="224">
        <v>0.28939645311091416</v>
      </c>
      <c r="R484" s="224">
        <v>3.9801790281329921E-2</v>
      </c>
      <c r="S484" s="224">
        <v>0</v>
      </c>
      <c r="T484" s="224">
        <v>0</v>
      </c>
      <c r="U484" s="259">
        <v>0.18568984547687731</v>
      </c>
      <c r="V484" s="239">
        <v>16</v>
      </c>
      <c r="W484" s="239">
        <v>11</v>
      </c>
      <c r="X484" s="239">
        <v>1</v>
      </c>
      <c r="Y484" s="239">
        <v>0</v>
      </c>
      <c r="Z484" s="239">
        <v>0</v>
      </c>
      <c r="AA484" s="257">
        <v>28</v>
      </c>
      <c r="AB484" s="224">
        <v>0.5161290322580645</v>
      </c>
      <c r="AC484" s="224">
        <v>0.33333333333333331</v>
      </c>
      <c r="AD484" s="224">
        <v>3.2258064516129031E-2</v>
      </c>
      <c r="AE484" s="224">
        <v>0</v>
      </c>
      <c r="AF484" s="224">
        <v>0</v>
      </c>
      <c r="AG484" s="259">
        <v>0.22950819672131148</v>
      </c>
      <c r="AH484" s="261">
        <v>8.3216310396837777E-4</v>
      </c>
      <c r="AI484" s="261">
        <v>4.0770941438102295E-4</v>
      </c>
      <c r="AJ484" s="261">
        <v>4.6423100134626989E-5</v>
      </c>
      <c r="AK484" s="261">
        <v>0</v>
      </c>
      <c r="AL484" s="261">
        <v>0</v>
      </c>
      <c r="AM484" s="262">
        <v>3.072061792328623E-4</v>
      </c>
    </row>
    <row r="485" spans="1:39" x14ac:dyDescent="0.25">
      <c r="A485" s="215" t="str">
        <v>6457-AAlajlan</v>
      </c>
      <c r="B485" s="215" t="str">
        <v>HATHEGATE</v>
      </c>
      <c r="C485" s="215" t="str">
        <v>Mohammed Haidar</v>
      </c>
      <c r="D485" s="239">
        <v>0</v>
      </c>
      <c r="E485" s="239">
        <v>0</v>
      </c>
      <c r="F485" s="239">
        <v>2125</v>
      </c>
      <c r="G485" s="239">
        <v>1115.97</v>
      </c>
      <c r="H485" s="239">
        <v>421.96</v>
      </c>
      <c r="I485" s="257">
        <v>3662.9300000000003</v>
      </c>
      <c r="J485" s="240" t="str">
        <v/>
      </c>
      <c r="K485" s="240" t="str">
        <v/>
      </c>
      <c r="L485" s="240">
        <v>354.16666666666669</v>
      </c>
      <c r="M485" s="240">
        <v>185.995</v>
      </c>
      <c r="N485" s="240">
        <v>210.98</v>
      </c>
      <c r="O485" s="258">
        <v>261.63785714285717</v>
      </c>
      <c r="P485" s="224">
        <v>0</v>
      </c>
      <c r="Q485" s="224">
        <v>0</v>
      </c>
      <c r="R485" s="224">
        <v>0.33967391304347827</v>
      </c>
      <c r="S485" s="224">
        <v>0.35138258279438528</v>
      </c>
      <c r="T485" s="224">
        <v>0.17971957680971767</v>
      </c>
      <c r="U485" s="259">
        <v>0.15024218452947624</v>
      </c>
      <c r="V485" s="239">
        <v>0</v>
      </c>
      <c r="W485" s="239">
        <v>0</v>
      </c>
      <c r="X485" s="239">
        <v>6</v>
      </c>
      <c r="Y485" s="239">
        <v>6</v>
      </c>
      <c r="Z485" s="239">
        <v>2</v>
      </c>
      <c r="AA485" s="257">
        <v>14</v>
      </c>
      <c r="AB485" s="224">
        <v>0</v>
      </c>
      <c r="AC485" s="224">
        <v>0</v>
      </c>
      <c r="AD485" s="224">
        <v>0.19354838709677419</v>
      </c>
      <c r="AE485" s="224">
        <v>0.33333333333333331</v>
      </c>
      <c r="AF485" s="224">
        <v>0.22222222222222221</v>
      </c>
      <c r="AG485" s="259">
        <v>0.11475409836065574</v>
      </c>
      <c r="AH485" s="261">
        <v>0</v>
      </c>
      <c r="AI485" s="261">
        <v>0</v>
      </c>
      <c r="AJ485" s="261">
        <v>2.7853860080776193E-4</v>
      </c>
      <c r="AK485" s="261">
        <v>3.2256330304822323E-4</v>
      </c>
      <c r="AL485" s="261">
        <v>4.1710114702815432E-4</v>
      </c>
      <c r="AM485" s="262">
        <v>1.5360308961643115E-4</v>
      </c>
    </row>
    <row r="486" spans="1:39" x14ac:dyDescent="0.25">
      <c r="A486" s="215" t="str">
        <v>3699-MAlharbi</v>
      </c>
      <c r="B486" s="215" t="str">
        <v>MADNOOR</v>
      </c>
      <c r="C486" s="215" t="str">
        <v>Mohammed Haidar</v>
      </c>
      <c r="D486" s="239">
        <v>6677.1</v>
      </c>
      <c r="E486" s="239">
        <v>13635.19</v>
      </c>
      <c r="F486" s="239">
        <v>9886.16</v>
      </c>
      <c r="G486" s="239">
        <v>6313.82</v>
      </c>
      <c r="H486" s="239">
        <v>5960.27</v>
      </c>
      <c r="I486" s="257">
        <v>42472.540000000008</v>
      </c>
      <c r="J486" s="240">
        <v>128.40576923076924</v>
      </c>
      <c r="K486" s="240">
        <v>177.08038961038963</v>
      </c>
      <c r="L486" s="240">
        <v>308.9425</v>
      </c>
      <c r="M486" s="240">
        <v>180.39485714285715</v>
      </c>
      <c r="N486" s="240">
        <v>270.92136363636365</v>
      </c>
      <c r="O486" s="258">
        <v>194.82816513761472</v>
      </c>
      <c r="P486" s="224">
        <v>0.36940445281436396</v>
      </c>
      <c r="Q486" s="224">
        <v>0.37748253250567942</v>
      </c>
      <c r="R486" s="224">
        <v>0.35937558503006445</v>
      </c>
      <c r="S486" s="224">
        <v>0.27324995380065858</v>
      </c>
      <c r="T486" s="224">
        <v>0.51142765943206647</v>
      </c>
      <c r="U486" s="259">
        <v>0.36467592878400351</v>
      </c>
      <c r="V486" s="239">
        <v>52</v>
      </c>
      <c r="W486" s="239">
        <v>77</v>
      </c>
      <c r="X486" s="239">
        <v>32</v>
      </c>
      <c r="Y486" s="239">
        <v>35</v>
      </c>
      <c r="Z486" s="239">
        <v>22</v>
      </c>
      <c r="AA486" s="257">
        <v>218</v>
      </c>
      <c r="AB486" s="224">
        <v>0.3443708609271523</v>
      </c>
      <c r="AC486" s="224">
        <v>0.34375</v>
      </c>
      <c r="AD486" s="224">
        <v>0.27350427350427353</v>
      </c>
      <c r="AE486" s="224">
        <v>0.2734375</v>
      </c>
      <c r="AF486" s="224">
        <v>0.45833333333333331</v>
      </c>
      <c r="AG486" s="259">
        <v>0.32634730538922158</v>
      </c>
      <c r="AH486" s="261">
        <v>2.7045300878972278E-3</v>
      </c>
      <c r="AI486" s="261">
        <v>2.8539659006671611E-3</v>
      </c>
      <c r="AJ486" s="261">
        <v>1.4855392043080637E-3</v>
      </c>
      <c r="AK486" s="261">
        <v>1.8816192677813021E-3</v>
      </c>
      <c r="AL486" s="261">
        <v>4.5881126173096974E-3</v>
      </c>
      <c r="AM486" s="262">
        <v>2.3918195383129991E-3</v>
      </c>
    </row>
    <row r="487" spans="1:39" x14ac:dyDescent="0.25">
      <c r="A487" s="215" t="str">
        <v>5263-MAlharbi</v>
      </c>
      <c r="B487" s="215" t="str">
        <v>MADNOOR</v>
      </c>
      <c r="C487" s="215" t="str">
        <v>Mohammed Haidar</v>
      </c>
      <c r="D487" s="239">
        <v>5848.15</v>
      </c>
      <c r="E487" s="239">
        <v>9781.130000000001</v>
      </c>
      <c r="F487" s="239">
        <v>9470.08</v>
      </c>
      <c r="G487" s="239">
        <v>12187.68</v>
      </c>
      <c r="H487" s="239">
        <v>2576.9499999999998</v>
      </c>
      <c r="I487" s="257">
        <v>39863.99</v>
      </c>
      <c r="J487" s="240">
        <v>116.96299999999999</v>
      </c>
      <c r="K487" s="240">
        <v>145.98701492537316</v>
      </c>
      <c r="L487" s="240">
        <v>189.4016</v>
      </c>
      <c r="M487" s="240">
        <v>174.10971428571429</v>
      </c>
      <c r="N487" s="240">
        <v>214.74583333333331</v>
      </c>
      <c r="O487" s="258">
        <v>160.09634538152611</v>
      </c>
      <c r="P487" s="224">
        <v>0.32354355195014639</v>
      </c>
      <c r="Q487" s="224">
        <v>0.27078505859964375</v>
      </c>
      <c r="R487" s="224">
        <v>0.34425050173995897</v>
      </c>
      <c r="S487" s="224">
        <v>0.52745928723612823</v>
      </c>
      <c r="T487" s="224">
        <v>0.22111808810229461</v>
      </c>
      <c r="U487" s="259">
        <v>0.34227850696676548</v>
      </c>
      <c r="V487" s="239">
        <v>50</v>
      </c>
      <c r="W487" s="239">
        <v>67</v>
      </c>
      <c r="X487" s="239">
        <v>50</v>
      </c>
      <c r="Y487" s="239">
        <v>70</v>
      </c>
      <c r="Z487" s="239">
        <v>12</v>
      </c>
      <c r="AA487" s="257">
        <v>249</v>
      </c>
      <c r="AB487" s="224">
        <v>0.33112582781456956</v>
      </c>
      <c r="AC487" s="224">
        <v>0.29910714285714285</v>
      </c>
      <c r="AD487" s="224">
        <v>0.42735042735042733</v>
      </c>
      <c r="AE487" s="224">
        <v>0.546875</v>
      </c>
      <c r="AF487" s="224">
        <v>0.25</v>
      </c>
      <c r="AG487" s="259">
        <v>0.3727544910179641</v>
      </c>
      <c r="AH487" s="261">
        <v>2.6005096999011808E-3</v>
      </c>
      <c r="AI487" s="261">
        <v>2.4833209785025947E-3</v>
      </c>
      <c r="AJ487" s="261">
        <v>2.3211550067313495E-3</v>
      </c>
      <c r="AK487" s="261">
        <v>3.7632385355626042E-3</v>
      </c>
      <c r="AL487" s="261">
        <v>2.5026068821689261E-3</v>
      </c>
      <c r="AM487" s="262">
        <v>2.731940665320811E-3</v>
      </c>
    </row>
    <row r="488" spans="1:39" x14ac:dyDescent="0.25">
      <c r="A488" s="215" t="str">
        <v>4617-AAlharbi</v>
      </c>
      <c r="B488" s="215" t="str">
        <v>MADNOOR</v>
      </c>
      <c r="C488" s="215" t="str">
        <v>Mohammed Haidar</v>
      </c>
      <c r="D488" s="239">
        <v>5550.06</v>
      </c>
      <c r="E488" s="239">
        <v>12705.06</v>
      </c>
      <c r="F488" s="239">
        <v>8153.03</v>
      </c>
      <c r="G488" s="239">
        <v>4604.8900000000003</v>
      </c>
      <c r="H488" s="239">
        <v>3116.96</v>
      </c>
      <c r="I488" s="257">
        <v>34130</v>
      </c>
      <c r="J488" s="240">
        <v>113.26653061224491</v>
      </c>
      <c r="K488" s="240">
        <v>158.81324999999998</v>
      </c>
      <c r="L488" s="240">
        <v>232.94371428571426</v>
      </c>
      <c r="M488" s="240">
        <v>200.21260869565219</v>
      </c>
      <c r="N488" s="240">
        <v>222.64000000000001</v>
      </c>
      <c r="O488" s="258">
        <v>169.80099502487562</v>
      </c>
      <c r="P488" s="224">
        <v>0.30705199523548982</v>
      </c>
      <c r="Q488" s="224">
        <v>0.35173240889467672</v>
      </c>
      <c r="R488" s="224">
        <v>0.29637391322997669</v>
      </c>
      <c r="S488" s="224">
        <v>0.19929075896321322</v>
      </c>
      <c r="T488" s="224">
        <v>0.26745425246563892</v>
      </c>
      <c r="U488" s="259">
        <v>0.29304556424923112</v>
      </c>
      <c r="V488" s="239">
        <v>49</v>
      </c>
      <c r="W488" s="239">
        <v>80</v>
      </c>
      <c r="X488" s="239">
        <v>35</v>
      </c>
      <c r="Y488" s="239">
        <v>23</v>
      </c>
      <c r="Z488" s="239">
        <v>14</v>
      </c>
      <c r="AA488" s="257">
        <v>201</v>
      </c>
      <c r="AB488" s="224">
        <v>0.32450331125827814</v>
      </c>
      <c r="AC488" s="224">
        <v>0.35714285714285715</v>
      </c>
      <c r="AD488" s="224">
        <v>0.29914529914529914</v>
      </c>
      <c r="AE488" s="224">
        <v>0.1796875</v>
      </c>
      <c r="AF488" s="224">
        <v>0.29166666666666669</v>
      </c>
      <c r="AG488" s="259">
        <v>0.30089820359281438</v>
      </c>
      <c r="AH488" s="261">
        <v>2.5484995059031571E-3</v>
      </c>
      <c r="AI488" s="261">
        <v>2.9651593773165306E-3</v>
      </c>
      <c r="AJ488" s="261">
        <v>1.6248085047119447E-3</v>
      </c>
      <c r="AK488" s="261">
        <v>1.2364926616848556E-3</v>
      </c>
      <c r="AL488" s="261">
        <v>2.9197080291970801E-3</v>
      </c>
      <c r="AM488" s="262">
        <v>2.2053015009216186E-3</v>
      </c>
    </row>
    <row r="489" spans="1:39" x14ac:dyDescent="0.25">
      <c r="A489" s="215" t="str">
        <v>4553-TAlbeladi</v>
      </c>
      <c r="B489" s="215" t="str">
        <v>YANBUMALL</v>
      </c>
      <c r="C489" s="215" t="str">
        <v>Mohammed Haidar</v>
      </c>
      <c r="D489" s="239">
        <v>11250.18</v>
      </c>
      <c r="E489" s="239">
        <v>9108.09</v>
      </c>
      <c r="F489" s="239">
        <v>2826.09</v>
      </c>
      <c r="G489" s="239">
        <v>8092.01</v>
      </c>
      <c r="H489" s="239">
        <v>3336.97</v>
      </c>
      <c r="I489" s="257">
        <v>34613.340000000004</v>
      </c>
      <c r="J489" s="240">
        <v>175.7840625</v>
      </c>
      <c r="K489" s="240">
        <v>233.54076923076923</v>
      </c>
      <c r="L489" s="240">
        <v>157.005</v>
      </c>
      <c r="M489" s="240">
        <v>197.36609756097562</v>
      </c>
      <c r="N489" s="240">
        <v>185.38722222222222</v>
      </c>
      <c r="O489" s="258">
        <v>192.29633333333337</v>
      </c>
      <c r="P489" s="224">
        <v>0.66690338888203893</v>
      </c>
      <c r="Q489" s="224">
        <v>0.29446030208069646</v>
      </c>
      <c r="R489" s="224">
        <v>0.12803089677667792</v>
      </c>
      <c r="S489" s="224">
        <v>0.38922681909921908</v>
      </c>
      <c r="T489" s="224">
        <v>0.66065139189432653</v>
      </c>
      <c r="U489" s="259">
        <v>0.36162830495958642</v>
      </c>
      <c r="V489" s="239">
        <v>64</v>
      </c>
      <c r="W489" s="239">
        <v>39</v>
      </c>
      <c r="X489" s="239">
        <v>18</v>
      </c>
      <c r="Y489" s="239">
        <v>41</v>
      </c>
      <c r="Z489" s="239">
        <v>18</v>
      </c>
      <c r="AA489" s="257">
        <v>180</v>
      </c>
      <c r="AB489" s="224">
        <v>0.59813084112149528</v>
      </c>
      <c r="AC489" s="224">
        <v>0.20855614973262032</v>
      </c>
      <c r="AD489" s="224">
        <v>0.11464968152866242</v>
      </c>
      <c r="AE489" s="224">
        <v>0.32283464566929132</v>
      </c>
      <c r="AF489" s="224">
        <v>0.62068965517241381</v>
      </c>
      <c r="AG489" s="259">
        <v>0.29654036243822074</v>
      </c>
      <c r="AH489" s="261">
        <v>3.3286524158735111E-3</v>
      </c>
      <c r="AI489" s="261">
        <v>1.4455151964418086E-3</v>
      </c>
      <c r="AJ489" s="261">
        <v>8.3561580242328586E-4</v>
      </c>
      <c r="AK489" s="261">
        <v>2.2041825708295254E-3</v>
      </c>
      <c r="AL489" s="261">
        <v>3.753910323253389E-3</v>
      </c>
      <c r="AM489" s="262">
        <v>1.9748968664969717E-3</v>
      </c>
    </row>
    <row r="490" spans="1:39" x14ac:dyDescent="0.25">
      <c r="A490" s="215" t="str">
        <v>4558-HAlOqbi</v>
      </c>
      <c r="B490" s="215" t="str">
        <v>YANBUMALL</v>
      </c>
      <c r="C490" s="215" t="str">
        <v>Mohammed Haidar</v>
      </c>
      <c r="D490" s="239">
        <v>5619.1</v>
      </c>
      <c r="E490" s="239">
        <v>6981.07</v>
      </c>
      <c r="F490" s="239">
        <v>11308.22</v>
      </c>
      <c r="G490" s="239">
        <v>8504.9499999999989</v>
      </c>
      <c r="H490" s="239">
        <v>1142.06</v>
      </c>
      <c r="I490" s="257">
        <v>33555.399999999994</v>
      </c>
      <c r="J490" s="240">
        <v>133.78809523809525</v>
      </c>
      <c r="K490" s="240">
        <v>129.27907407407406</v>
      </c>
      <c r="L490" s="240">
        <v>127.05865168539326</v>
      </c>
      <c r="M490" s="240">
        <v>128.86287878787877</v>
      </c>
      <c r="N490" s="240">
        <v>163.15142857142857</v>
      </c>
      <c r="O490" s="258">
        <v>130.0596899224806</v>
      </c>
      <c r="P490" s="224">
        <v>0.33309661111796124</v>
      </c>
      <c r="Q490" s="224">
        <v>0.22569473743084306</v>
      </c>
      <c r="R490" s="224">
        <v>0.51229845742632563</v>
      </c>
      <c r="S490" s="224">
        <v>0.40908929117708737</v>
      </c>
      <c r="T490" s="224">
        <v>0.2261043787108768</v>
      </c>
      <c r="U490" s="259">
        <v>0.35057531068197706</v>
      </c>
      <c r="V490" s="239">
        <v>42</v>
      </c>
      <c r="W490" s="239">
        <v>54</v>
      </c>
      <c r="X490" s="239">
        <v>89</v>
      </c>
      <c r="Y490" s="239">
        <v>66</v>
      </c>
      <c r="Z490" s="239">
        <v>7</v>
      </c>
      <c r="AA490" s="257">
        <v>258</v>
      </c>
      <c r="AB490" s="224">
        <v>0.3925233644859813</v>
      </c>
      <c r="AC490" s="224">
        <v>0.28877005347593582</v>
      </c>
      <c r="AD490" s="224">
        <v>0.56687898089171973</v>
      </c>
      <c r="AE490" s="224">
        <v>0.51968503937007871</v>
      </c>
      <c r="AF490" s="224">
        <v>0.2413793103448276</v>
      </c>
      <c r="AG490" s="259">
        <v>0.42504118616144976</v>
      </c>
      <c r="AH490" s="261">
        <v>2.1844281479169916E-3</v>
      </c>
      <c r="AI490" s="261">
        <v>2.0014825796886584E-3</v>
      </c>
      <c r="AJ490" s="261">
        <v>4.1316559119818023E-3</v>
      </c>
      <c r="AK490" s="261">
        <v>3.5481963335304554E-3</v>
      </c>
      <c r="AL490" s="261">
        <v>1.4598540145985401E-3</v>
      </c>
      <c r="AM490" s="262">
        <v>2.8306855086456598E-3</v>
      </c>
    </row>
    <row r="491" spans="1:39" x14ac:dyDescent="0.25">
      <c r="A491" s="215" t="str">
        <v>6122-TSaleh</v>
      </c>
      <c r="B491" s="215" t="str">
        <v>YANBUMALL</v>
      </c>
      <c r="C491" s="215" t="str">
        <v>Mohammed Haidar</v>
      </c>
      <c r="D491" s="239">
        <v>0</v>
      </c>
      <c r="E491" s="239">
        <v>14842.310000000001</v>
      </c>
      <c r="F491" s="239">
        <v>7939.19</v>
      </c>
      <c r="G491" s="239">
        <v>4193</v>
      </c>
      <c r="H491" s="239">
        <v>572</v>
      </c>
      <c r="I491" s="257">
        <v>27546.5</v>
      </c>
      <c r="J491" s="240">
        <v>0</v>
      </c>
      <c r="K491" s="240">
        <v>157.89691489361704</v>
      </c>
      <c r="L491" s="240">
        <v>158.78379999999999</v>
      </c>
      <c r="M491" s="240">
        <v>209.65</v>
      </c>
      <c r="N491" s="240">
        <v>143</v>
      </c>
      <c r="O491" s="258">
        <v>162.99704142011834</v>
      </c>
      <c r="P491" s="224">
        <v>0</v>
      </c>
      <c r="Q491" s="224">
        <v>0.47984496048846048</v>
      </c>
      <c r="R491" s="224">
        <v>0.35967064579699637</v>
      </c>
      <c r="S491" s="224">
        <v>0.20168388972369355</v>
      </c>
      <c r="T491" s="224">
        <v>0.11324422939479671</v>
      </c>
      <c r="U491" s="259">
        <v>0.28779638435843657</v>
      </c>
      <c r="V491" s="239">
        <v>1</v>
      </c>
      <c r="W491" s="239">
        <v>94</v>
      </c>
      <c r="X491" s="239">
        <v>50</v>
      </c>
      <c r="Y491" s="239">
        <v>20</v>
      </c>
      <c r="Z491" s="239">
        <v>4</v>
      </c>
      <c r="AA491" s="257">
        <v>169</v>
      </c>
      <c r="AB491" s="224">
        <v>9.3457943925233638E-3</v>
      </c>
      <c r="AC491" s="224">
        <v>0.50267379679144386</v>
      </c>
      <c r="AD491" s="224">
        <v>0.31847133757961782</v>
      </c>
      <c r="AE491" s="224">
        <v>0.15748031496062992</v>
      </c>
      <c r="AF491" s="224">
        <v>0.13793103448275862</v>
      </c>
      <c r="AG491" s="259">
        <v>0.2784184514003295</v>
      </c>
      <c r="AH491" s="261">
        <v>5.201019399802361E-5</v>
      </c>
      <c r="AI491" s="261">
        <v>3.4840622683469237E-3</v>
      </c>
      <c r="AJ491" s="261">
        <v>2.3211550067313495E-3</v>
      </c>
      <c r="AK491" s="261">
        <v>1.075211010160744E-3</v>
      </c>
      <c r="AL491" s="261">
        <v>8.3420229405630863E-4</v>
      </c>
      <c r="AM491" s="262">
        <v>1.8542087246554901E-3</v>
      </c>
    </row>
    <row r="492" spans="1:39" x14ac:dyDescent="0.25">
      <c r="A492" s="215" t="str">
        <v>5146-EAbdouh</v>
      </c>
      <c r="B492" s="215" t="str">
        <v>ALAQUEQ</v>
      </c>
      <c r="C492" s="215" t="str">
        <v>Mohammed Sanad</v>
      </c>
      <c r="D492" s="239">
        <v>26068.43</v>
      </c>
      <c r="E492" s="239">
        <v>40705.660000000003</v>
      </c>
      <c r="F492" s="239">
        <v>18717.29</v>
      </c>
      <c r="G492" s="239">
        <v>13494.100000000002</v>
      </c>
      <c r="H492" s="239">
        <v>6682.7199999999993</v>
      </c>
      <c r="I492" s="257">
        <v>105668.20000000001</v>
      </c>
      <c r="J492" s="240">
        <v>163.95238993710691</v>
      </c>
      <c r="K492" s="240">
        <v>181.72169642857145</v>
      </c>
      <c r="L492" s="240">
        <v>173.30824074074076</v>
      </c>
      <c r="M492" s="240">
        <v>173.00128205128209</v>
      </c>
      <c r="N492" s="240">
        <v>180.61405405405404</v>
      </c>
      <c r="O492" s="258">
        <v>174.3699669966997</v>
      </c>
      <c r="P492" s="224">
        <v>0.37317675285178181</v>
      </c>
      <c r="Q492" s="224">
        <v>0.39591596038239585</v>
      </c>
      <c r="R492" s="224">
        <v>0.23017768797799223</v>
      </c>
      <c r="S492" s="224">
        <v>0.19078280173792883</v>
      </c>
      <c r="T492" s="224">
        <v>0.32652311360626973</v>
      </c>
      <c r="U492" s="259">
        <v>0.30612269433929323</v>
      </c>
      <c r="V492" s="239">
        <v>159</v>
      </c>
      <c r="W492" s="239">
        <v>224</v>
      </c>
      <c r="X492" s="239">
        <v>108</v>
      </c>
      <c r="Y492" s="239">
        <v>78</v>
      </c>
      <c r="Z492" s="239">
        <v>37</v>
      </c>
      <c r="AA492" s="257">
        <v>606</v>
      </c>
      <c r="AB492" s="224">
        <v>0.35022026431718062</v>
      </c>
      <c r="AC492" s="224">
        <v>0.38030560271646857</v>
      </c>
      <c r="AD492" s="224">
        <v>0.27204030226700254</v>
      </c>
      <c r="AE492" s="224">
        <v>0.20207253886010362</v>
      </c>
      <c r="AF492" s="224">
        <v>0.36633663366336633</v>
      </c>
      <c r="AG492" s="259">
        <v>0.31447846393357548</v>
      </c>
      <c r="AH492" s="261">
        <v>8.2696208456857542E-3</v>
      </c>
      <c r="AI492" s="261">
        <v>8.3024462564862869E-3</v>
      </c>
      <c r="AJ492" s="261">
        <v>5.0136948145397152E-3</v>
      </c>
      <c r="AK492" s="261">
        <v>4.1933229396269017E-3</v>
      </c>
      <c r="AL492" s="261">
        <v>7.7163712200208553E-3</v>
      </c>
      <c r="AM492" s="262">
        <v>6.6488194505398054E-3</v>
      </c>
    </row>
    <row r="493" spans="1:39" x14ac:dyDescent="0.25">
      <c r="A493" s="215" t="str">
        <v>2958-Ahmed Alshebani</v>
      </c>
      <c r="B493" s="215" t="str">
        <v>ALAQUEQ</v>
      </c>
      <c r="C493" s="215" t="str">
        <v>Mohammed Sanad</v>
      </c>
      <c r="D493" s="239">
        <v>18053.41</v>
      </c>
      <c r="E493" s="239">
        <v>18311.46</v>
      </c>
      <c r="F493" s="239">
        <v>23098.69</v>
      </c>
      <c r="G493" s="239">
        <v>8302.7100000000009</v>
      </c>
      <c r="H493" s="239">
        <v>6199.34</v>
      </c>
      <c r="I493" s="257">
        <v>73965.61</v>
      </c>
      <c r="J493" s="240">
        <v>141.042265625</v>
      </c>
      <c r="K493" s="240">
        <v>141.94930232558139</v>
      </c>
      <c r="L493" s="240">
        <v>349.98015151515148</v>
      </c>
      <c r="M493" s="240">
        <v>127.73400000000001</v>
      </c>
      <c r="N493" s="240">
        <v>281.78818181818184</v>
      </c>
      <c r="O493" s="258">
        <v>180.4039268292683</v>
      </c>
      <c r="P493" s="224">
        <v>0.25843953478218235</v>
      </c>
      <c r="Q493" s="224">
        <v>0.17810297810928075</v>
      </c>
      <c r="R493" s="224">
        <v>0.28405837915212989</v>
      </c>
      <c r="S493" s="224">
        <v>0.11738569269662438</v>
      </c>
      <c r="T493" s="224">
        <v>0.30290477516698178</v>
      </c>
      <c r="U493" s="259">
        <v>0.21427971538882434</v>
      </c>
      <c r="V493" s="239">
        <v>128</v>
      </c>
      <c r="W493" s="239">
        <v>129</v>
      </c>
      <c r="X493" s="239">
        <v>66</v>
      </c>
      <c r="Y493" s="239">
        <v>65</v>
      </c>
      <c r="Z493" s="239">
        <v>22</v>
      </c>
      <c r="AA493" s="257">
        <v>410</v>
      </c>
      <c r="AB493" s="224">
        <v>0.28193832599118945</v>
      </c>
      <c r="AC493" s="224">
        <v>0.21901528013582344</v>
      </c>
      <c r="AD493" s="224">
        <v>0.16624685138539042</v>
      </c>
      <c r="AE493" s="224">
        <v>0.16839378238341968</v>
      </c>
      <c r="AF493" s="224">
        <v>0.21782178217821782</v>
      </c>
      <c r="AG493" s="259">
        <v>0.21276595744680851</v>
      </c>
      <c r="AH493" s="261">
        <v>6.6573048317470221E-3</v>
      </c>
      <c r="AI493" s="261">
        <v>4.7813194959229061E-3</v>
      </c>
      <c r="AJ493" s="261">
        <v>3.0639246088853813E-3</v>
      </c>
      <c r="AK493" s="261">
        <v>3.4944357830224183E-3</v>
      </c>
      <c r="AL493" s="261">
        <v>4.5881126173096974E-3</v>
      </c>
      <c r="AM493" s="262">
        <v>4.4983761959097694E-3</v>
      </c>
    </row>
    <row r="494" spans="1:39" x14ac:dyDescent="0.25">
      <c r="A494" s="215" t="str">
        <v>4321TALdosari</v>
      </c>
      <c r="B494" s="215" t="str">
        <v>ALAQUEQ</v>
      </c>
      <c r="C494" s="215" t="str">
        <v>Mohammed Sanad</v>
      </c>
      <c r="D494" s="239">
        <v>12653.34</v>
      </c>
      <c r="E494" s="239">
        <v>23298.39</v>
      </c>
      <c r="F494" s="239">
        <v>14708.2</v>
      </c>
      <c r="G494" s="239">
        <v>8911.61</v>
      </c>
      <c r="H494" s="239">
        <v>1102</v>
      </c>
      <c r="I494" s="257">
        <v>60673.539999999994</v>
      </c>
      <c r="J494" s="240">
        <v>156.21407407407406</v>
      </c>
      <c r="K494" s="240">
        <v>209.8954054054054</v>
      </c>
      <c r="L494" s="240">
        <v>229.81562500000001</v>
      </c>
      <c r="M494" s="240">
        <v>178.23220000000001</v>
      </c>
      <c r="N494" s="240">
        <v>122.44444444444444</v>
      </c>
      <c r="O494" s="258">
        <v>192.61441269841268</v>
      </c>
      <c r="P494" s="224">
        <v>0.18113604593485549</v>
      </c>
      <c r="Q494" s="224">
        <v>0.22660741656599123</v>
      </c>
      <c r="R494" s="224">
        <v>0.18087551511559127</v>
      </c>
      <c r="S494" s="224">
        <v>0.12599446601075609</v>
      </c>
      <c r="T494" s="224">
        <v>5.3844612851370294E-2</v>
      </c>
      <c r="U494" s="259">
        <v>0.17577234721423168</v>
      </c>
      <c r="V494" s="239">
        <v>81</v>
      </c>
      <c r="W494" s="239">
        <v>111</v>
      </c>
      <c r="X494" s="239">
        <v>64</v>
      </c>
      <c r="Y494" s="239">
        <v>50</v>
      </c>
      <c r="Z494" s="239">
        <v>9</v>
      </c>
      <c r="AA494" s="257">
        <v>315</v>
      </c>
      <c r="AB494" s="224">
        <v>0.17841409691629956</v>
      </c>
      <c r="AC494" s="224">
        <v>0.18845500848896435</v>
      </c>
      <c r="AD494" s="224">
        <v>0.16120906801007556</v>
      </c>
      <c r="AE494" s="224">
        <v>0.12953367875647667</v>
      </c>
      <c r="AF494" s="224">
        <v>8.9108910891089105E-2</v>
      </c>
      <c r="AG494" s="259">
        <v>0.1634665282823041</v>
      </c>
      <c r="AH494" s="261">
        <v>4.2128257138399124E-3</v>
      </c>
      <c r="AI494" s="261">
        <v>4.1141586360266868E-3</v>
      </c>
      <c r="AJ494" s="261">
        <v>2.9710784086161273E-3</v>
      </c>
      <c r="AK494" s="261">
        <v>2.68802752540186E-3</v>
      </c>
      <c r="AL494" s="261">
        <v>1.8769551616266945E-3</v>
      </c>
      <c r="AM494" s="262">
        <v>3.4560695163697009E-3</v>
      </c>
    </row>
    <row r="495" spans="1:39" x14ac:dyDescent="0.25">
      <c r="A495" s="215" t="str">
        <v>7074-MAlanazi</v>
      </c>
      <c r="B495" s="215" t="str">
        <v>ALAQUEQ</v>
      </c>
      <c r="C495" s="215" t="str">
        <v>Mohammed Sanad</v>
      </c>
      <c r="D495" s="239">
        <v>11458.27</v>
      </c>
      <c r="E495" s="239">
        <v>6307.12</v>
      </c>
      <c r="F495" s="239">
        <v>7116.12</v>
      </c>
      <c r="G495" s="239">
        <v>15852.449999999999</v>
      </c>
      <c r="H495" s="239">
        <v>2184.15</v>
      </c>
      <c r="I495" s="257">
        <v>42918.11</v>
      </c>
      <c r="J495" s="240">
        <v>152.77693333333335</v>
      </c>
      <c r="K495" s="240">
        <v>143.34363636363636</v>
      </c>
      <c r="L495" s="240">
        <v>151.40680851063829</v>
      </c>
      <c r="M495" s="240">
        <v>233.12426470588233</v>
      </c>
      <c r="N495" s="240">
        <v>168.01153846153846</v>
      </c>
      <c r="O495" s="258">
        <v>173.75753036437249</v>
      </c>
      <c r="P495" s="224">
        <v>0.16402828984710571</v>
      </c>
      <c r="Q495" s="224">
        <v>6.134501865458062E-2</v>
      </c>
      <c r="R495" s="224">
        <v>8.751117544120704E-2</v>
      </c>
      <c r="S495" s="224">
        <v>0.2241257160840982</v>
      </c>
      <c r="T495" s="224">
        <v>0.10671933862007299</v>
      </c>
      <c r="U495" s="259">
        <v>0.12433454406481953</v>
      </c>
      <c r="V495" s="239">
        <v>75</v>
      </c>
      <c r="W495" s="239">
        <v>44</v>
      </c>
      <c r="X495" s="239">
        <v>47</v>
      </c>
      <c r="Y495" s="239">
        <v>68</v>
      </c>
      <c r="Z495" s="239">
        <v>13</v>
      </c>
      <c r="AA495" s="257">
        <v>247</v>
      </c>
      <c r="AB495" s="224">
        <v>0.16519823788546256</v>
      </c>
      <c r="AC495" s="224">
        <v>7.4702886247877756E-2</v>
      </c>
      <c r="AD495" s="224">
        <v>0.11838790931989925</v>
      </c>
      <c r="AE495" s="224">
        <v>0.17616580310880828</v>
      </c>
      <c r="AF495" s="224">
        <v>0.12871287128712872</v>
      </c>
      <c r="AG495" s="259">
        <v>0.12817851582771148</v>
      </c>
      <c r="AH495" s="261">
        <v>3.900764549851771E-3</v>
      </c>
      <c r="AI495" s="261">
        <v>1.6308376575240918E-3</v>
      </c>
      <c r="AJ495" s="261">
        <v>2.1818857063274685E-3</v>
      </c>
      <c r="AK495" s="261">
        <v>3.6557174345465296E-3</v>
      </c>
      <c r="AL495" s="261">
        <v>2.7111574556830031E-3</v>
      </c>
      <c r="AM495" s="262">
        <v>2.7099973668041782E-3</v>
      </c>
    </row>
    <row r="496" spans="1:39" x14ac:dyDescent="0.25">
      <c r="A496" s="215" t="str">
        <v>4339-MAlyahea</v>
      </c>
      <c r="B496" s="215" t="str">
        <v>ALAQUEQ</v>
      </c>
      <c r="C496" s="215" t="str">
        <v>Mohammed Sanad</v>
      </c>
      <c r="D496" s="239">
        <v>1622</v>
      </c>
      <c r="E496" s="239">
        <v>14191.259999999998</v>
      </c>
      <c r="F496" s="239">
        <v>4037.05</v>
      </c>
      <c r="G496" s="239">
        <v>11767.89</v>
      </c>
      <c r="H496" s="239">
        <v>1812.88</v>
      </c>
      <c r="I496" s="257">
        <v>33431.079999999994</v>
      </c>
      <c r="J496" s="240">
        <v>147.45454545454547</v>
      </c>
      <c r="K496" s="240">
        <v>175.20074074074071</v>
      </c>
      <c r="L496" s="240">
        <v>168.21041666666667</v>
      </c>
      <c r="M496" s="240">
        <v>213.96163636363636</v>
      </c>
      <c r="N496" s="240">
        <v>226.61</v>
      </c>
      <c r="O496" s="258">
        <v>186.7658100558659</v>
      </c>
      <c r="P496" s="224">
        <v>2.3219376584074688E-2</v>
      </c>
      <c r="Q496" s="224">
        <v>0.13802862628775156</v>
      </c>
      <c r="R496" s="224">
        <v>4.9646013672468264E-2</v>
      </c>
      <c r="S496" s="224">
        <v>0.16637723336448929</v>
      </c>
      <c r="T496" s="224">
        <v>8.8578785613423028E-2</v>
      </c>
      <c r="U496" s="259">
        <v>9.6850445869925444E-2</v>
      </c>
      <c r="V496" s="239">
        <v>11</v>
      </c>
      <c r="W496" s="239">
        <v>81</v>
      </c>
      <c r="X496" s="239">
        <v>24</v>
      </c>
      <c r="Y496" s="239">
        <v>55</v>
      </c>
      <c r="Z496" s="239">
        <v>8</v>
      </c>
      <c r="AA496" s="257">
        <v>179</v>
      </c>
      <c r="AB496" s="224">
        <v>2.4229074889867842E-2</v>
      </c>
      <c r="AC496" s="224">
        <v>0.13752122241086587</v>
      </c>
      <c r="AD496" s="224">
        <v>6.0453400503778336E-2</v>
      </c>
      <c r="AE496" s="224">
        <v>0.14248704663212436</v>
      </c>
      <c r="AF496" s="224">
        <v>7.9207920792079209E-2</v>
      </c>
      <c r="AG496" s="259">
        <v>9.2890503373118841E-2</v>
      </c>
      <c r="AH496" s="261">
        <v>5.7211213397825975E-4</v>
      </c>
      <c r="AI496" s="261">
        <v>3.0022238695329873E-3</v>
      </c>
      <c r="AJ496" s="261">
        <v>1.1141544032310477E-3</v>
      </c>
      <c r="AK496" s="261">
        <v>2.9568302779420462E-3</v>
      </c>
      <c r="AL496" s="261">
        <v>1.6684045881126173E-3</v>
      </c>
      <c r="AM496" s="262">
        <v>1.9639252172386555E-3</v>
      </c>
    </row>
    <row r="497" spans="1:39" x14ac:dyDescent="0.25">
      <c r="A497" s="215" t="str">
        <v>6491-WNjmi</v>
      </c>
      <c r="B497" s="215" t="str">
        <v>ALAQUEQ</v>
      </c>
      <c r="C497" s="215" t="str">
        <v>Mohammed Sanad</v>
      </c>
      <c r="D497" s="239">
        <v>0</v>
      </c>
      <c r="E497" s="239">
        <v>0</v>
      </c>
      <c r="F497" s="239">
        <v>13489.350000000002</v>
      </c>
      <c r="G497" s="239">
        <v>12401.41</v>
      </c>
      <c r="H497" s="239">
        <v>2485.21</v>
      </c>
      <c r="I497" s="257">
        <v>28375.97</v>
      </c>
      <c r="J497" s="240" t="str">
        <v/>
      </c>
      <c r="K497" s="240" t="str">
        <v/>
      </c>
      <c r="L497" s="240">
        <v>155.05000000000001</v>
      </c>
      <c r="M497" s="240">
        <v>177.16300000000001</v>
      </c>
      <c r="N497" s="240">
        <v>207.10083333333333</v>
      </c>
      <c r="O497" s="258">
        <v>167.9051479289941</v>
      </c>
      <c r="P497" s="224">
        <v>0</v>
      </c>
      <c r="Q497" s="224">
        <v>0</v>
      </c>
      <c r="R497" s="224">
        <v>0.16588658910162368</v>
      </c>
      <c r="S497" s="224">
        <v>0.17533409010610324</v>
      </c>
      <c r="T497" s="224">
        <v>0.121429374141882</v>
      </c>
      <c r="U497" s="259">
        <v>8.2205700398899142E-2</v>
      </c>
      <c r="V497" s="239">
        <v>0</v>
      </c>
      <c r="W497" s="239">
        <v>0</v>
      </c>
      <c r="X497" s="239">
        <v>87</v>
      </c>
      <c r="Y497" s="239">
        <v>70</v>
      </c>
      <c r="Z497" s="239">
        <v>12</v>
      </c>
      <c r="AA497" s="257">
        <v>169</v>
      </c>
      <c r="AB497" s="224">
        <v>0</v>
      </c>
      <c r="AC497" s="224">
        <v>0</v>
      </c>
      <c r="AD497" s="224">
        <v>0.21914357682619648</v>
      </c>
      <c r="AE497" s="224">
        <v>0.18134715025906736</v>
      </c>
      <c r="AF497" s="224">
        <v>0.11881188118811881</v>
      </c>
      <c r="AG497" s="259">
        <v>8.7701089776855215E-2</v>
      </c>
      <c r="AH497" s="261">
        <v>0</v>
      </c>
      <c r="AI497" s="261">
        <v>0</v>
      </c>
      <c r="AJ497" s="261">
        <v>4.0388097117125482E-3</v>
      </c>
      <c r="AK497" s="261">
        <v>3.7632385355626042E-3</v>
      </c>
      <c r="AL497" s="261">
        <v>2.5026068821689261E-3</v>
      </c>
      <c r="AM497" s="262">
        <v>1.8542087246554901E-3</v>
      </c>
    </row>
    <row r="498" spans="1:39" x14ac:dyDescent="0.25">
      <c r="A498" s="215" t="str">
        <v>7296-AAlhaqbani</v>
      </c>
      <c r="B498" s="215" t="str">
        <v>ALAQUEQ</v>
      </c>
      <c r="C498" s="215" t="str">
        <v>Mohammed Sanad</v>
      </c>
      <c r="D498" s="239">
        <v>0</v>
      </c>
      <c r="E498" s="239">
        <v>0</v>
      </c>
      <c r="F498" s="239">
        <v>150</v>
      </c>
      <c r="G498" s="239">
        <v>0</v>
      </c>
      <c r="H498" s="239">
        <v>0</v>
      </c>
      <c r="I498" s="257">
        <v>150</v>
      </c>
      <c r="J498" s="240" t="str">
        <v/>
      </c>
      <c r="K498" s="240" t="str">
        <v/>
      </c>
      <c r="L498" s="240">
        <v>150</v>
      </c>
      <c r="M498" s="240" t="str">
        <v/>
      </c>
      <c r="N498" s="240" t="str">
        <v/>
      </c>
      <c r="O498" s="258">
        <v>150</v>
      </c>
      <c r="P498" s="224">
        <v>0</v>
      </c>
      <c r="Q498" s="224">
        <v>0</v>
      </c>
      <c r="R498" s="224">
        <v>1.8446395389876864E-3</v>
      </c>
      <c r="S498" s="224">
        <v>0</v>
      </c>
      <c r="T498" s="224">
        <v>0</v>
      </c>
      <c r="U498" s="259">
        <v>4.3455272400678708E-4</v>
      </c>
      <c r="V498" s="239">
        <v>0</v>
      </c>
      <c r="W498" s="239">
        <v>0</v>
      </c>
      <c r="X498" s="239">
        <v>1</v>
      </c>
      <c r="Y498" s="239">
        <v>0</v>
      </c>
      <c r="Z498" s="239">
        <v>0</v>
      </c>
      <c r="AA498" s="257">
        <v>1</v>
      </c>
      <c r="AB498" s="224">
        <v>0</v>
      </c>
      <c r="AC498" s="224">
        <v>0</v>
      </c>
      <c r="AD498" s="224">
        <v>2.5188916876574307E-3</v>
      </c>
      <c r="AE498" s="224">
        <v>0</v>
      </c>
      <c r="AF498" s="224">
        <v>0</v>
      </c>
      <c r="AG498" s="259">
        <v>5.189413596263622E-4</v>
      </c>
      <c r="AH498" s="261">
        <v>0</v>
      </c>
      <c r="AI498" s="261">
        <v>0</v>
      </c>
      <c r="AJ498" s="261">
        <v>4.6423100134626989E-5</v>
      </c>
      <c r="AK498" s="261">
        <v>0</v>
      </c>
      <c r="AL498" s="261">
        <v>0</v>
      </c>
      <c r="AM498" s="262">
        <v>1.097164925831651E-5</v>
      </c>
    </row>
    <row r="499" spans="1:39" x14ac:dyDescent="0.25">
      <c r="A499" s="215" t="str">
        <v>6289-YAlanazi</v>
      </c>
      <c r="B499" s="215" t="str">
        <v>HAARARSOQ</v>
      </c>
      <c r="C499" s="215" t="str">
        <v>Mohammed Sanad</v>
      </c>
      <c r="D499" s="239">
        <v>3221.06</v>
      </c>
      <c r="E499" s="239">
        <v>6816.0999999999995</v>
      </c>
      <c r="F499" s="239">
        <v>5854.01</v>
      </c>
      <c r="G499" s="239">
        <v>4176.96</v>
      </c>
      <c r="H499" s="239">
        <v>287</v>
      </c>
      <c r="I499" s="257">
        <v>20355.13</v>
      </c>
      <c r="J499" s="240">
        <v>111.07103448275862</v>
      </c>
      <c r="K499" s="240">
        <v>139.10408163265305</v>
      </c>
      <c r="L499" s="240">
        <v>154.05289473684212</v>
      </c>
      <c r="M499" s="240">
        <v>149.17714285714285</v>
      </c>
      <c r="N499" s="240">
        <v>71.75</v>
      </c>
      <c r="O499" s="258">
        <v>137.53466216216216</v>
      </c>
      <c r="P499" s="224">
        <v>0.27827131163473789</v>
      </c>
      <c r="Q499" s="224">
        <v>0.46326616888033417</v>
      </c>
      <c r="R499" s="224">
        <v>0.46115881907621875</v>
      </c>
      <c r="S499" s="224">
        <v>0.31536126840317097</v>
      </c>
      <c r="T499" s="224">
        <v>0.11407085906883202</v>
      </c>
      <c r="U499" s="259">
        <v>0.37182734023217368</v>
      </c>
      <c r="V499" s="239">
        <v>29</v>
      </c>
      <c r="W499" s="239">
        <v>49</v>
      </c>
      <c r="X499" s="239">
        <v>38</v>
      </c>
      <c r="Y499" s="239">
        <v>28</v>
      </c>
      <c r="Z499" s="239">
        <v>4</v>
      </c>
      <c r="AA499" s="257">
        <v>148</v>
      </c>
      <c r="AB499" s="224">
        <v>0.29292929292929293</v>
      </c>
      <c r="AC499" s="224">
        <v>0.45370370370370372</v>
      </c>
      <c r="AD499" s="224">
        <v>0.48717948717948717</v>
      </c>
      <c r="AE499" s="224">
        <v>0.3888888888888889</v>
      </c>
      <c r="AF499" s="224">
        <v>0.18181818181818182</v>
      </c>
      <c r="AG499" s="259">
        <v>0.39050131926121373</v>
      </c>
      <c r="AH499" s="261">
        <v>1.5082956259426848E-3</v>
      </c>
      <c r="AI499" s="261">
        <v>1.8161601186063752E-3</v>
      </c>
      <c r="AJ499" s="261">
        <v>1.7640778051158255E-3</v>
      </c>
      <c r="AK499" s="261">
        <v>1.5052954142250417E-3</v>
      </c>
      <c r="AL499" s="261">
        <v>8.3420229405630863E-4</v>
      </c>
      <c r="AM499" s="262">
        <v>1.6238040902308436E-3</v>
      </c>
    </row>
    <row r="500" spans="1:39" x14ac:dyDescent="0.25">
      <c r="A500" s="215" t="str">
        <v>5393-SAlenzi</v>
      </c>
      <c r="B500" s="215" t="str">
        <v>HAARARSOQ</v>
      </c>
      <c r="C500" s="215" t="str">
        <v>Mohammed Sanad</v>
      </c>
      <c r="D500" s="239">
        <v>3564.09</v>
      </c>
      <c r="E500" s="239">
        <v>2522.0200000000004</v>
      </c>
      <c r="F500" s="239">
        <v>4588.0499999999993</v>
      </c>
      <c r="G500" s="239">
        <v>4246.04</v>
      </c>
      <c r="H500" s="239">
        <v>1617.99</v>
      </c>
      <c r="I500" s="257">
        <v>16538.190000000002</v>
      </c>
      <c r="J500" s="240">
        <v>118.80300000000001</v>
      </c>
      <c r="K500" s="240">
        <v>120.0961904761905</v>
      </c>
      <c r="L500" s="240">
        <v>191.16874999999996</v>
      </c>
      <c r="M500" s="240">
        <v>128.66787878787878</v>
      </c>
      <c r="N500" s="240">
        <v>115.57071428571429</v>
      </c>
      <c r="O500" s="258">
        <v>135.55893442622954</v>
      </c>
      <c r="P500" s="224">
        <v>0.30790609274097752</v>
      </c>
      <c r="Q500" s="224">
        <v>0.17141276437252689</v>
      </c>
      <c r="R500" s="224">
        <v>0.36143083456684305</v>
      </c>
      <c r="S500" s="224">
        <v>0.32057682144205357</v>
      </c>
      <c r="T500" s="224">
        <v>0.64308539813512033</v>
      </c>
      <c r="U500" s="259">
        <v>0.30210326340113441</v>
      </c>
      <c r="V500" s="239">
        <v>30</v>
      </c>
      <c r="W500" s="239">
        <v>21</v>
      </c>
      <c r="X500" s="239">
        <v>24</v>
      </c>
      <c r="Y500" s="239">
        <v>33</v>
      </c>
      <c r="Z500" s="239">
        <v>14</v>
      </c>
      <c r="AA500" s="257">
        <v>122</v>
      </c>
      <c r="AB500" s="224">
        <v>0.30303030303030304</v>
      </c>
      <c r="AC500" s="224">
        <v>0.19444444444444445</v>
      </c>
      <c r="AD500" s="224">
        <v>0.30769230769230771</v>
      </c>
      <c r="AE500" s="224">
        <v>0.45833333333333331</v>
      </c>
      <c r="AF500" s="224">
        <v>0.63636363636363635</v>
      </c>
      <c r="AG500" s="259">
        <v>0.32189973614775724</v>
      </c>
      <c r="AH500" s="261">
        <v>1.5603058199407083E-3</v>
      </c>
      <c r="AI500" s="261">
        <v>7.7835433654558934E-4</v>
      </c>
      <c r="AJ500" s="261">
        <v>1.1141544032310477E-3</v>
      </c>
      <c r="AK500" s="261">
        <v>1.7740981667652277E-3</v>
      </c>
      <c r="AL500" s="261">
        <v>2.9197080291970801E-3</v>
      </c>
      <c r="AM500" s="262">
        <v>1.3385412095146142E-3</v>
      </c>
    </row>
    <row r="501" spans="1:39" x14ac:dyDescent="0.25">
      <c r="A501" s="215" t="str">
        <v>6831-AAlenazi</v>
      </c>
      <c r="B501" s="215" t="str">
        <v>HAARARSOQ</v>
      </c>
      <c r="C501" s="215" t="str">
        <v>Mohammed Sanad</v>
      </c>
      <c r="D501" s="239">
        <v>4790.1000000000004</v>
      </c>
      <c r="E501" s="239">
        <v>5375.0199999999995</v>
      </c>
      <c r="F501" s="239">
        <v>2252.0699999999997</v>
      </c>
      <c r="G501" s="239">
        <v>2989.0600000000004</v>
      </c>
      <c r="H501" s="239">
        <v>0</v>
      </c>
      <c r="I501" s="257">
        <v>15406.25</v>
      </c>
      <c r="J501" s="240">
        <v>119.75250000000001</v>
      </c>
      <c r="K501" s="240">
        <v>141.4478947368421</v>
      </c>
      <c r="L501" s="240">
        <v>140.75437499999998</v>
      </c>
      <c r="M501" s="240">
        <v>747.2650000000001</v>
      </c>
      <c r="N501" s="240" t="str">
        <v/>
      </c>
      <c r="O501" s="258">
        <v>157.20663265306123</v>
      </c>
      <c r="P501" s="224">
        <v>0.41382259562428458</v>
      </c>
      <c r="Q501" s="224">
        <v>0.36532106674713893</v>
      </c>
      <c r="R501" s="224">
        <v>0.1774103463569382</v>
      </c>
      <c r="S501" s="224">
        <v>0.22567459418648547</v>
      </c>
      <c r="T501" s="224">
        <v>0</v>
      </c>
      <c r="U501" s="259">
        <v>0.28142610538237417</v>
      </c>
      <c r="V501" s="239">
        <v>40</v>
      </c>
      <c r="W501" s="239">
        <v>38</v>
      </c>
      <c r="X501" s="239">
        <v>16</v>
      </c>
      <c r="Y501" s="239">
        <v>4</v>
      </c>
      <c r="Z501" s="239">
        <v>0</v>
      </c>
      <c r="AA501" s="257">
        <v>98</v>
      </c>
      <c r="AB501" s="224">
        <v>0.40404040404040403</v>
      </c>
      <c r="AC501" s="224">
        <v>0.35185185185185186</v>
      </c>
      <c r="AD501" s="224">
        <v>0.20512820512820512</v>
      </c>
      <c r="AE501" s="224">
        <v>5.5555555555555552E-2</v>
      </c>
      <c r="AF501" s="224">
        <v>0</v>
      </c>
      <c r="AG501" s="259">
        <v>0.25857519788918204</v>
      </c>
      <c r="AH501" s="261">
        <v>2.0804077599209446E-3</v>
      </c>
      <c r="AI501" s="261">
        <v>1.4084507042253522E-3</v>
      </c>
      <c r="AJ501" s="261">
        <v>7.4276960215403183E-4</v>
      </c>
      <c r="AK501" s="261">
        <v>2.150422020321488E-4</v>
      </c>
      <c r="AL501" s="261">
        <v>0</v>
      </c>
      <c r="AM501" s="262">
        <v>1.075221627315018E-3</v>
      </c>
    </row>
    <row r="502" spans="1:39" x14ac:dyDescent="0.25">
      <c r="A502" s="215" t="str">
        <v>5366-AAl-Juwair</v>
      </c>
      <c r="B502" s="215" t="str">
        <v>HAARARSOQ</v>
      </c>
      <c r="C502" s="215" t="str">
        <v>Mohammed Sanad</v>
      </c>
      <c r="D502" s="239">
        <v>0</v>
      </c>
      <c r="E502" s="239">
        <v>0</v>
      </c>
      <c r="F502" s="239">
        <v>0</v>
      </c>
      <c r="G502" s="239">
        <v>1832.94</v>
      </c>
      <c r="H502" s="239">
        <v>610.99</v>
      </c>
      <c r="I502" s="257">
        <v>2443.9300000000003</v>
      </c>
      <c r="J502" s="240" t="str">
        <v/>
      </c>
      <c r="K502" s="240" t="str">
        <v/>
      </c>
      <c r="L502" s="240" t="str">
        <v/>
      </c>
      <c r="M502" s="240">
        <v>261.84857142857146</v>
      </c>
      <c r="N502" s="240">
        <v>152.7475</v>
      </c>
      <c r="O502" s="258">
        <v>222.17545454545458</v>
      </c>
      <c r="P502" s="224">
        <v>0</v>
      </c>
      <c r="Q502" s="224">
        <v>0</v>
      </c>
      <c r="R502" s="224">
        <v>0</v>
      </c>
      <c r="S502" s="224">
        <v>0.1383873159682899</v>
      </c>
      <c r="T502" s="224">
        <v>0.24284374279604767</v>
      </c>
      <c r="U502" s="259">
        <v>4.4643290984317775E-2</v>
      </c>
      <c r="V502" s="239">
        <v>0</v>
      </c>
      <c r="W502" s="239">
        <v>0</v>
      </c>
      <c r="X502" s="239">
        <v>0</v>
      </c>
      <c r="Y502" s="239">
        <v>7</v>
      </c>
      <c r="Z502" s="239">
        <v>4</v>
      </c>
      <c r="AA502" s="257">
        <v>11</v>
      </c>
      <c r="AB502" s="224">
        <v>0</v>
      </c>
      <c r="AC502" s="224">
        <v>0</v>
      </c>
      <c r="AD502" s="224">
        <v>0</v>
      </c>
      <c r="AE502" s="224">
        <v>9.7222222222222224E-2</v>
      </c>
      <c r="AF502" s="224">
        <v>0.18181818181818182</v>
      </c>
      <c r="AG502" s="259">
        <v>2.9023746701846966E-2</v>
      </c>
      <c r="AH502" s="261">
        <v>0</v>
      </c>
      <c r="AI502" s="261">
        <v>0</v>
      </c>
      <c r="AJ502" s="261">
        <v>0</v>
      </c>
      <c r="AK502" s="261">
        <v>3.7632385355626042E-4</v>
      </c>
      <c r="AL502" s="261">
        <v>8.3420229405630863E-4</v>
      </c>
      <c r="AM502" s="262">
        <v>1.2068814184148161E-4</v>
      </c>
    </row>
    <row r="503" spans="1:39" x14ac:dyDescent="0.25">
      <c r="A503" s="215" t="str">
        <v>5692-KAlhabbad</v>
      </c>
      <c r="B503" s="215" t="str">
        <v>HAGRIDPLZA</v>
      </c>
      <c r="C503" s="215" t="str">
        <v>Mohammed Sanad</v>
      </c>
      <c r="D503" s="239">
        <v>7985.17</v>
      </c>
      <c r="E503" s="239">
        <v>14075.130000000001</v>
      </c>
      <c r="F503" s="239">
        <v>9891.130000000001</v>
      </c>
      <c r="G503" s="239">
        <v>2474.0099999999998</v>
      </c>
      <c r="H503" s="239">
        <v>1552.98</v>
      </c>
      <c r="I503" s="257">
        <v>35978.420000000006</v>
      </c>
      <c r="J503" s="240">
        <v>135.34186440677965</v>
      </c>
      <c r="K503" s="240">
        <v>145.10443298969074</v>
      </c>
      <c r="L503" s="240">
        <v>157.00206349206351</v>
      </c>
      <c r="M503" s="240">
        <v>154.62562499999999</v>
      </c>
      <c r="N503" s="240">
        <v>172.55333333333334</v>
      </c>
      <c r="O503" s="258">
        <v>147.45254098360658</v>
      </c>
      <c r="P503" s="224">
        <v>0.44240933710375152</v>
      </c>
      <c r="Q503" s="224">
        <v>0.33806378069746895</v>
      </c>
      <c r="R503" s="224">
        <v>0.38633710291211776</v>
      </c>
      <c r="S503" s="224">
        <v>0.12350412843578706</v>
      </c>
      <c r="T503" s="224">
        <v>0.20640131418060415</v>
      </c>
      <c r="U503" s="259">
        <v>0.31883882273298347</v>
      </c>
      <c r="V503" s="239">
        <v>59</v>
      </c>
      <c r="W503" s="239">
        <v>97</v>
      </c>
      <c r="X503" s="239">
        <v>63</v>
      </c>
      <c r="Y503" s="239">
        <v>16</v>
      </c>
      <c r="Z503" s="239">
        <v>9</v>
      </c>
      <c r="AA503" s="257">
        <v>244</v>
      </c>
      <c r="AB503" s="224">
        <v>0.44360902255639095</v>
      </c>
      <c r="AC503" s="224">
        <v>0.41452991452991456</v>
      </c>
      <c r="AD503" s="224">
        <v>0.38414634146341464</v>
      </c>
      <c r="AE503" s="224">
        <v>0.11940298507462686</v>
      </c>
      <c r="AF503" s="224">
        <v>0.19148936170212766</v>
      </c>
      <c r="AG503" s="259">
        <v>0.34269662921348315</v>
      </c>
      <c r="AH503" s="261">
        <v>3.0686014458833929E-3</v>
      </c>
      <c r="AI503" s="261">
        <v>3.5952557449962937E-3</v>
      </c>
      <c r="AJ503" s="261">
        <v>2.9246553084815003E-3</v>
      </c>
      <c r="AK503" s="261">
        <v>8.6016880812859521E-4</v>
      </c>
      <c r="AL503" s="261">
        <v>1.8769551616266945E-3</v>
      </c>
      <c r="AM503" s="262">
        <v>2.6770824190292283E-3</v>
      </c>
    </row>
    <row r="504" spans="1:39" x14ac:dyDescent="0.25">
      <c r="A504" s="215" t="str">
        <v>5693-LAlrawili</v>
      </c>
      <c r="B504" s="215" t="str">
        <v>HAGRIDPLZA</v>
      </c>
      <c r="C504" s="215" t="str">
        <v>Mohammed Sanad</v>
      </c>
      <c r="D504" s="239">
        <v>0</v>
      </c>
      <c r="E504" s="239">
        <v>13021.230000000001</v>
      </c>
      <c r="F504" s="239">
        <v>8460.14</v>
      </c>
      <c r="G504" s="239">
        <v>5079.1000000000004</v>
      </c>
      <c r="H504" s="239">
        <v>2518.02</v>
      </c>
      <c r="I504" s="257">
        <v>29078.49</v>
      </c>
      <c r="J504" s="240" t="str">
        <v/>
      </c>
      <c r="K504" s="240">
        <v>169.10688311688313</v>
      </c>
      <c r="L504" s="240">
        <v>162.69499999999999</v>
      </c>
      <c r="M504" s="240">
        <v>141.08611111111111</v>
      </c>
      <c r="N504" s="240">
        <v>167.86799999999999</v>
      </c>
      <c r="O504" s="258">
        <v>161.54716666666667</v>
      </c>
      <c r="P504" s="224">
        <v>0</v>
      </c>
      <c r="Q504" s="224">
        <v>0.31275066327140877</v>
      </c>
      <c r="R504" s="224">
        <v>0.33044414316978177</v>
      </c>
      <c r="S504" s="224">
        <v>0.25355185255443841</v>
      </c>
      <c r="T504" s="224">
        <v>0.33466151343420059</v>
      </c>
      <c r="U504" s="259">
        <v>0.25769201422555049</v>
      </c>
      <c r="V504" s="239">
        <v>0</v>
      </c>
      <c r="W504" s="239">
        <v>77</v>
      </c>
      <c r="X504" s="239">
        <v>52</v>
      </c>
      <c r="Y504" s="239">
        <v>36</v>
      </c>
      <c r="Z504" s="239">
        <v>15</v>
      </c>
      <c r="AA504" s="257">
        <v>180</v>
      </c>
      <c r="AB504" s="224">
        <v>0</v>
      </c>
      <c r="AC504" s="224">
        <v>0.32905982905982906</v>
      </c>
      <c r="AD504" s="224">
        <v>0.31707317073170732</v>
      </c>
      <c r="AE504" s="224">
        <v>0.26865671641791045</v>
      </c>
      <c r="AF504" s="224">
        <v>0.31914893617021278</v>
      </c>
      <c r="AG504" s="259">
        <v>0.25280898876404495</v>
      </c>
      <c r="AH504" s="261">
        <v>0</v>
      </c>
      <c r="AI504" s="261">
        <v>2.8539659006671611E-3</v>
      </c>
      <c r="AJ504" s="261">
        <v>2.4140012070006035E-3</v>
      </c>
      <c r="AK504" s="261">
        <v>1.9353798182893394E-3</v>
      </c>
      <c r="AL504" s="261">
        <v>3.1282586027111575E-3</v>
      </c>
      <c r="AM504" s="262">
        <v>1.9748968664969717E-3</v>
      </c>
    </row>
    <row r="505" spans="1:39" x14ac:dyDescent="0.25">
      <c r="A505" s="215" t="str">
        <v>5691-AAlqubaysi</v>
      </c>
      <c r="B505" s="215" t="str">
        <v>HAGRIDPLZA</v>
      </c>
      <c r="C505" s="215" t="str">
        <v>Mohammed Sanad</v>
      </c>
      <c r="D505" s="239">
        <v>6025.08</v>
      </c>
      <c r="E505" s="239">
        <v>12369.160000000002</v>
      </c>
      <c r="F505" s="239">
        <v>6162.0499999999993</v>
      </c>
      <c r="G505" s="239">
        <v>3671.9</v>
      </c>
      <c r="H505" s="239">
        <v>0</v>
      </c>
      <c r="I505" s="257">
        <v>28228.190000000002</v>
      </c>
      <c r="J505" s="240">
        <v>136.93363636363637</v>
      </c>
      <c r="K505" s="240">
        <v>263.17361702127664</v>
      </c>
      <c r="L505" s="240">
        <v>146.71547619047618</v>
      </c>
      <c r="M505" s="240">
        <v>146.876</v>
      </c>
      <c r="N505" s="240" t="str">
        <v/>
      </c>
      <c r="O505" s="258">
        <v>178.65943037974685</v>
      </c>
      <c r="P505" s="224">
        <v>0.33381276150627615</v>
      </c>
      <c r="Q505" s="224">
        <v>0.29708890743118571</v>
      </c>
      <c r="R505" s="224">
        <v>0.24068317219565558</v>
      </c>
      <c r="S505" s="224">
        <v>0.18330354735969806</v>
      </c>
      <c r="T505" s="224">
        <v>0</v>
      </c>
      <c r="U505" s="259">
        <v>0.25015670136384466</v>
      </c>
      <c r="V505" s="239">
        <v>44</v>
      </c>
      <c r="W505" s="239">
        <v>47</v>
      </c>
      <c r="X505" s="239">
        <v>42</v>
      </c>
      <c r="Y505" s="239">
        <v>25</v>
      </c>
      <c r="Z505" s="239">
        <v>0</v>
      </c>
      <c r="AA505" s="257">
        <v>158</v>
      </c>
      <c r="AB505" s="224">
        <v>0.33082706766917291</v>
      </c>
      <c r="AC505" s="224">
        <v>0.20085470085470086</v>
      </c>
      <c r="AD505" s="224">
        <v>0.25609756097560976</v>
      </c>
      <c r="AE505" s="224">
        <v>0.18656716417910449</v>
      </c>
      <c r="AF505" s="224">
        <v>0</v>
      </c>
      <c r="AG505" s="259">
        <v>0.22191011235955055</v>
      </c>
      <c r="AH505" s="261">
        <v>2.288448535913039E-3</v>
      </c>
      <c r="AI505" s="261">
        <v>1.7420311341734618E-3</v>
      </c>
      <c r="AJ505" s="261">
        <v>1.9497702056543336E-3</v>
      </c>
      <c r="AK505" s="261">
        <v>1.34401376270093E-3</v>
      </c>
      <c r="AL505" s="261">
        <v>0</v>
      </c>
      <c r="AM505" s="262">
        <v>1.7335205828140085E-3</v>
      </c>
    </row>
    <row r="506" spans="1:39" x14ac:dyDescent="0.25">
      <c r="A506" s="215" t="str">
        <v>5690-AAlruwaili</v>
      </c>
      <c r="B506" s="215" t="str">
        <v>HAGRIDPLZA</v>
      </c>
      <c r="C506" s="215" t="str">
        <v>Mohammed Sanad</v>
      </c>
      <c r="D506" s="239">
        <v>1892.02</v>
      </c>
      <c r="E506" s="239">
        <v>0</v>
      </c>
      <c r="F506" s="239">
        <v>465</v>
      </c>
      <c r="G506" s="239">
        <v>6894.83</v>
      </c>
      <c r="H506" s="239">
        <v>2581.04</v>
      </c>
      <c r="I506" s="257">
        <v>11832.89</v>
      </c>
      <c r="J506" s="240">
        <v>172.00181818181818</v>
      </c>
      <c r="K506" s="240" t="str">
        <v/>
      </c>
      <c r="L506" s="240">
        <v>155</v>
      </c>
      <c r="M506" s="240">
        <v>149.88760869565218</v>
      </c>
      <c r="N506" s="240">
        <v>151.82588235294116</v>
      </c>
      <c r="O506" s="258">
        <v>153.67389610389608</v>
      </c>
      <c r="P506" s="224">
        <v>0.10482523402595562</v>
      </c>
      <c r="Q506" s="224">
        <v>0</v>
      </c>
      <c r="R506" s="224">
        <v>1.8162409436953589E-2</v>
      </c>
      <c r="S506" s="224">
        <v>0.34419423117243575</v>
      </c>
      <c r="T506" s="224">
        <v>0.3430372882797631</v>
      </c>
      <c r="U506" s="259">
        <v>0.10486243467970222</v>
      </c>
      <c r="V506" s="239">
        <v>11</v>
      </c>
      <c r="W506" s="239">
        <v>0</v>
      </c>
      <c r="X506" s="239">
        <v>3</v>
      </c>
      <c r="Y506" s="239">
        <v>46</v>
      </c>
      <c r="Z506" s="239">
        <v>17</v>
      </c>
      <c r="AA506" s="257">
        <v>77</v>
      </c>
      <c r="AB506" s="224">
        <v>8.2706766917293228E-2</v>
      </c>
      <c r="AC506" s="224">
        <v>0</v>
      </c>
      <c r="AD506" s="224">
        <v>1.8292682926829267E-2</v>
      </c>
      <c r="AE506" s="224">
        <v>0.34328358208955223</v>
      </c>
      <c r="AF506" s="224">
        <v>0.36170212765957449</v>
      </c>
      <c r="AG506" s="259">
        <v>0.10814606741573034</v>
      </c>
      <c r="AH506" s="261">
        <v>5.7211213397825975E-4</v>
      </c>
      <c r="AI506" s="261">
        <v>0</v>
      </c>
      <c r="AJ506" s="261">
        <v>1.3926930040388097E-4</v>
      </c>
      <c r="AK506" s="261">
        <v>2.4729853233697112E-3</v>
      </c>
      <c r="AL506" s="261">
        <v>3.545359749739312E-3</v>
      </c>
      <c r="AM506" s="262">
        <v>8.4481699289037124E-4</v>
      </c>
    </row>
    <row r="507" spans="1:39" x14ac:dyDescent="0.25">
      <c r="A507" s="215" t="str">
        <v>5495-MAlshammari</v>
      </c>
      <c r="B507" s="215" t="str">
        <v>HAGRIDPLZA</v>
      </c>
      <c r="C507" s="215" t="str">
        <v>Mohammed Sanad</v>
      </c>
      <c r="D507" s="239">
        <v>2147.0100000000002</v>
      </c>
      <c r="E507" s="239">
        <v>2169.02</v>
      </c>
      <c r="F507" s="239">
        <v>624.01</v>
      </c>
      <c r="G507" s="239">
        <v>1911.96</v>
      </c>
      <c r="H507" s="239">
        <v>872.04</v>
      </c>
      <c r="I507" s="257">
        <v>7724.0400000000009</v>
      </c>
      <c r="J507" s="240">
        <v>113.00052631578949</v>
      </c>
      <c r="K507" s="240">
        <v>166.84769230769231</v>
      </c>
      <c r="L507" s="240">
        <v>156.0025</v>
      </c>
      <c r="M507" s="240">
        <v>173.81454545454545</v>
      </c>
      <c r="N507" s="240">
        <v>145.34</v>
      </c>
      <c r="O507" s="258">
        <v>145.73660377358493</v>
      </c>
      <c r="P507" s="224">
        <v>0.11895266736401676</v>
      </c>
      <c r="Q507" s="224">
        <v>5.2096648599936485E-2</v>
      </c>
      <c r="R507" s="224">
        <v>2.4373172285491202E-2</v>
      </c>
      <c r="S507" s="224">
        <v>9.544624047764054E-2</v>
      </c>
      <c r="T507" s="224">
        <v>0.11589988410543216</v>
      </c>
      <c r="U507" s="259">
        <v>6.8450026997919119E-2</v>
      </c>
      <c r="V507" s="239">
        <v>19</v>
      </c>
      <c r="W507" s="239">
        <v>13</v>
      </c>
      <c r="X507" s="239">
        <v>4</v>
      </c>
      <c r="Y507" s="239">
        <v>11</v>
      </c>
      <c r="Z507" s="239">
        <v>6</v>
      </c>
      <c r="AA507" s="257">
        <v>53</v>
      </c>
      <c r="AB507" s="224">
        <v>0.14285714285714285</v>
      </c>
      <c r="AC507" s="224">
        <v>5.5555555555555552E-2</v>
      </c>
      <c r="AD507" s="224">
        <v>2.4390243902439025E-2</v>
      </c>
      <c r="AE507" s="224">
        <v>8.2089552238805971E-2</v>
      </c>
      <c r="AF507" s="224">
        <v>0.1276595744680851</v>
      </c>
      <c r="AG507" s="259">
        <v>7.4438202247191013E-2</v>
      </c>
      <c r="AH507" s="261">
        <v>9.8819368596244858E-4</v>
      </c>
      <c r="AI507" s="261">
        <v>4.8183839881393625E-4</v>
      </c>
      <c r="AJ507" s="261">
        <v>1.8569240053850796E-4</v>
      </c>
      <c r="AK507" s="261">
        <v>5.9136605558840927E-4</v>
      </c>
      <c r="AL507" s="261">
        <v>1.2513034410844631E-3</v>
      </c>
      <c r="AM507" s="262">
        <v>5.8149741069077505E-4</v>
      </c>
    </row>
    <row r="508" spans="1:39" x14ac:dyDescent="0.25">
      <c r="A508" s="215" t="str">
        <v>5190-AAlmajrad</v>
      </c>
      <c r="B508" s="215" t="str">
        <v>HAHAILZONE</v>
      </c>
      <c r="C508" s="215" t="str">
        <v>Mohammed Sanad</v>
      </c>
      <c r="D508" s="239">
        <v>9635.17</v>
      </c>
      <c r="E508" s="239">
        <v>13447.22</v>
      </c>
      <c r="F508" s="239">
        <v>8498.1400000000012</v>
      </c>
      <c r="G508" s="239">
        <v>6450.85</v>
      </c>
      <c r="H508" s="239">
        <v>3054.04</v>
      </c>
      <c r="I508" s="257">
        <v>41085.42</v>
      </c>
      <c r="J508" s="240">
        <v>130.20500000000001</v>
      </c>
      <c r="K508" s="240">
        <v>156.36302325581394</v>
      </c>
      <c r="L508" s="240">
        <v>154.5116363636364</v>
      </c>
      <c r="M508" s="240">
        <v>215.02833333333334</v>
      </c>
      <c r="N508" s="240">
        <v>509.00666666666666</v>
      </c>
      <c r="O508" s="258">
        <v>163.68693227091632</v>
      </c>
      <c r="P508" s="224">
        <v>0.43569704418572897</v>
      </c>
      <c r="Q508" s="224">
        <v>0.53639975428211284</v>
      </c>
      <c r="R508" s="224">
        <v>0.38265517249142783</v>
      </c>
      <c r="S508" s="224">
        <v>0.27951664291449346</v>
      </c>
      <c r="T508" s="224">
        <v>0.37546271423776784</v>
      </c>
      <c r="U508" s="259">
        <v>0.40838433239610156</v>
      </c>
      <c r="V508" s="239">
        <v>74</v>
      </c>
      <c r="W508" s="239">
        <v>86</v>
      </c>
      <c r="X508" s="239">
        <v>55</v>
      </c>
      <c r="Y508" s="239">
        <v>30</v>
      </c>
      <c r="Z508" s="239">
        <v>6</v>
      </c>
      <c r="AA508" s="257">
        <v>251</v>
      </c>
      <c r="AB508" s="224">
        <v>0.42045454545454547</v>
      </c>
      <c r="AC508" s="224">
        <v>0.49142857142857144</v>
      </c>
      <c r="AD508" s="224">
        <v>0.39285714285714285</v>
      </c>
      <c r="AE508" s="224">
        <v>0.27272727272727271</v>
      </c>
      <c r="AF508" s="224">
        <v>0.18181818181818182</v>
      </c>
      <c r="AG508" s="259">
        <v>0.39589905362776023</v>
      </c>
      <c r="AH508" s="261">
        <v>3.8487543558537473E-3</v>
      </c>
      <c r="AI508" s="261">
        <v>3.1875463306152707E-3</v>
      </c>
      <c r="AJ508" s="261">
        <v>2.5532705074044846E-3</v>
      </c>
      <c r="AK508" s="261">
        <v>1.612816515241116E-3</v>
      </c>
      <c r="AL508" s="261">
        <v>1.2513034410844631E-3</v>
      </c>
      <c r="AM508" s="262">
        <v>2.7538839638374443E-3</v>
      </c>
    </row>
    <row r="509" spans="1:39" x14ac:dyDescent="0.25">
      <c r="A509" s="215" t="str">
        <v>4836-MAlQasim</v>
      </c>
      <c r="B509" s="215" t="str">
        <v>HAHAILZONE</v>
      </c>
      <c r="C509" s="215" t="str">
        <v>Mohammed Sanad</v>
      </c>
      <c r="D509" s="239">
        <v>5506.09</v>
      </c>
      <c r="E509" s="239">
        <v>8585.1200000000008</v>
      </c>
      <c r="F509" s="239">
        <v>7160.1</v>
      </c>
      <c r="G509" s="239">
        <v>2276.92</v>
      </c>
      <c r="H509" s="239">
        <v>758.05</v>
      </c>
      <c r="I509" s="257">
        <v>24286.280000000002</v>
      </c>
      <c r="J509" s="240">
        <v>144.8971052631579</v>
      </c>
      <c r="K509" s="240">
        <v>132.07876923076924</v>
      </c>
      <c r="L509" s="240">
        <v>193.51621621621624</v>
      </c>
      <c r="M509" s="240">
        <v>227.69200000000001</v>
      </c>
      <c r="N509" s="240">
        <v>379.02499999999998</v>
      </c>
      <c r="O509" s="258">
        <v>159.77815789473686</v>
      </c>
      <c r="P509" s="224">
        <v>0.2489823363802196</v>
      </c>
      <c r="Q509" s="224">
        <v>0.34245414728713092</v>
      </c>
      <c r="R509" s="224">
        <v>0.32240576179680169</v>
      </c>
      <c r="S509" s="224">
        <v>9.8659406835512914E-2</v>
      </c>
      <c r="T509" s="224">
        <v>9.3194427881736944E-2</v>
      </c>
      <c r="U509" s="259">
        <v>0.2414028198856138</v>
      </c>
      <c r="V509" s="239">
        <v>38</v>
      </c>
      <c r="W509" s="239">
        <v>65</v>
      </c>
      <c r="X509" s="239">
        <v>37</v>
      </c>
      <c r="Y509" s="239">
        <v>10</v>
      </c>
      <c r="Z509" s="239">
        <v>2</v>
      </c>
      <c r="AA509" s="257">
        <v>152</v>
      </c>
      <c r="AB509" s="224">
        <v>0.21590909090909091</v>
      </c>
      <c r="AC509" s="224">
        <v>0.37142857142857144</v>
      </c>
      <c r="AD509" s="224">
        <v>0.26428571428571429</v>
      </c>
      <c r="AE509" s="224">
        <v>9.0909090909090912E-2</v>
      </c>
      <c r="AF509" s="224">
        <v>6.0606060606060608E-2</v>
      </c>
      <c r="AG509" s="259">
        <v>0.23974763406940064</v>
      </c>
      <c r="AH509" s="261">
        <v>1.9763873719248972E-3</v>
      </c>
      <c r="AI509" s="261">
        <v>2.4091919940696814E-3</v>
      </c>
      <c r="AJ509" s="261">
        <v>1.7176547049811987E-3</v>
      </c>
      <c r="AK509" s="261">
        <v>5.3760550508037198E-4</v>
      </c>
      <c r="AL509" s="261">
        <v>4.1710114702815432E-4</v>
      </c>
      <c r="AM509" s="262">
        <v>1.6676906872641094E-3</v>
      </c>
    </row>
    <row r="510" spans="1:39" x14ac:dyDescent="0.25">
      <c r="A510" s="215" t="str">
        <v>6206-AAlanazi</v>
      </c>
      <c r="B510" s="215" t="str">
        <v>HAHAILZONE</v>
      </c>
      <c r="C510" s="215" t="str">
        <v>Mohammed Sanad</v>
      </c>
      <c r="D510" s="239">
        <v>6317.09</v>
      </c>
      <c r="E510" s="239">
        <v>0</v>
      </c>
      <c r="F510" s="239">
        <v>1413.05</v>
      </c>
      <c r="G510" s="239">
        <v>5813.9699999999993</v>
      </c>
      <c r="H510" s="239">
        <v>3736</v>
      </c>
      <c r="I510" s="257">
        <v>17280.11</v>
      </c>
      <c r="J510" s="240">
        <v>108.91534482758621</v>
      </c>
      <c r="K510" s="240" t="str">
        <v/>
      </c>
      <c r="L510" s="240">
        <v>117.75416666666666</v>
      </c>
      <c r="M510" s="240">
        <v>215.33222222222219</v>
      </c>
      <c r="N510" s="240">
        <v>186.8</v>
      </c>
      <c r="O510" s="258">
        <v>147.69324786324788</v>
      </c>
      <c r="P510" s="224">
        <v>0.28565530663758154</v>
      </c>
      <c r="Q510" s="224">
        <v>0</v>
      </c>
      <c r="R510" s="224">
        <v>6.3626969135482825E-2</v>
      </c>
      <c r="S510" s="224">
        <v>0.25192050294233742</v>
      </c>
      <c r="T510" s="224">
        <v>0.45930266152123106</v>
      </c>
      <c r="U510" s="259">
        <v>0.17176229879312901</v>
      </c>
      <c r="V510" s="239">
        <v>58</v>
      </c>
      <c r="W510" s="239">
        <v>0</v>
      </c>
      <c r="X510" s="239">
        <v>12</v>
      </c>
      <c r="Y510" s="239">
        <v>27</v>
      </c>
      <c r="Z510" s="239">
        <v>20</v>
      </c>
      <c r="AA510" s="257">
        <v>117</v>
      </c>
      <c r="AB510" s="224">
        <v>0.32954545454545453</v>
      </c>
      <c r="AC510" s="224">
        <v>0</v>
      </c>
      <c r="AD510" s="224">
        <v>8.5714285714285715E-2</v>
      </c>
      <c r="AE510" s="224">
        <v>0.24545454545454545</v>
      </c>
      <c r="AF510" s="224">
        <v>0.60606060606060608</v>
      </c>
      <c r="AG510" s="259">
        <v>0.18454258675078863</v>
      </c>
      <c r="AH510" s="261">
        <v>3.0165912518853697E-3</v>
      </c>
      <c r="AI510" s="261">
        <v>0</v>
      </c>
      <c r="AJ510" s="261">
        <v>5.5707720161552387E-4</v>
      </c>
      <c r="AK510" s="261">
        <v>1.4515348637170044E-3</v>
      </c>
      <c r="AL510" s="261">
        <v>4.1710114702815434E-3</v>
      </c>
      <c r="AM510" s="262">
        <v>1.2836829632230317E-3</v>
      </c>
    </row>
    <row r="511" spans="1:39" x14ac:dyDescent="0.25">
      <c r="A511" s="215" t="str">
        <v>6207-GAlsuwailem</v>
      </c>
      <c r="B511" s="215" t="str">
        <v>HAHAILZONE</v>
      </c>
      <c r="C511" s="215" t="str">
        <v>Mohammed Sanad</v>
      </c>
      <c r="D511" s="239">
        <v>656.03</v>
      </c>
      <c r="E511" s="239">
        <v>3037.06</v>
      </c>
      <c r="F511" s="239">
        <v>2735.05</v>
      </c>
      <c r="G511" s="239">
        <v>3939.9500000000003</v>
      </c>
      <c r="H511" s="239">
        <v>585.98</v>
      </c>
      <c r="I511" s="257">
        <v>10954.07</v>
      </c>
      <c r="J511" s="240">
        <v>109.33833333333332</v>
      </c>
      <c r="K511" s="240">
        <v>126.54416666666667</v>
      </c>
      <c r="L511" s="240">
        <v>124.32045454545455</v>
      </c>
      <c r="M511" s="240">
        <v>171.3021739130435</v>
      </c>
      <c r="N511" s="240">
        <v>117.196</v>
      </c>
      <c r="O511" s="258">
        <v>136.92587499999999</v>
      </c>
      <c r="P511" s="224">
        <v>2.966531279646999E-2</v>
      </c>
      <c r="Q511" s="224">
        <v>0.12114609843075622</v>
      </c>
      <c r="R511" s="224">
        <v>0.12315412896500642</v>
      </c>
      <c r="S511" s="224">
        <v>0.17071883507614635</v>
      </c>
      <c r="T511" s="224">
        <v>7.2040196359264189E-2</v>
      </c>
      <c r="U511" s="259">
        <v>0.10888219139466419</v>
      </c>
      <c r="V511" s="239">
        <v>6</v>
      </c>
      <c r="W511" s="239">
        <v>24</v>
      </c>
      <c r="X511" s="239">
        <v>22</v>
      </c>
      <c r="Y511" s="239">
        <v>23</v>
      </c>
      <c r="Z511" s="239">
        <v>5</v>
      </c>
      <c r="AA511" s="257">
        <v>80</v>
      </c>
      <c r="AB511" s="224">
        <v>3.4090909090909088E-2</v>
      </c>
      <c r="AC511" s="224">
        <v>0.13714285714285715</v>
      </c>
      <c r="AD511" s="224">
        <v>0.15714285714285714</v>
      </c>
      <c r="AE511" s="224">
        <v>0.20909090909090908</v>
      </c>
      <c r="AF511" s="224">
        <v>0.15151515151515152</v>
      </c>
      <c r="AG511" s="259">
        <v>0.12618296529968454</v>
      </c>
      <c r="AH511" s="261">
        <v>3.1206116398814168E-4</v>
      </c>
      <c r="AI511" s="261">
        <v>8.8954781319495926E-4</v>
      </c>
      <c r="AJ511" s="261">
        <v>1.0213082029617937E-3</v>
      </c>
      <c r="AK511" s="261">
        <v>1.2364926616848556E-3</v>
      </c>
      <c r="AL511" s="261">
        <v>1.0427528675703858E-3</v>
      </c>
      <c r="AM511" s="262">
        <v>8.7773194066532079E-4</v>
      </c>
    </row>
    <row r="512" spans="1:39" x14ac:dyDescent="0.25">
      <c r="A512" s="215" t="str">
        <v>6948-HAlanazi</v>
      </c>
      <c r="B512" s="215" t="str">
        <v>HAHAILZONE</v>
      </c>
      <c r="C512" s="215" t="str">
        <v>Mohammed Sanad</v>
      </c>
      <c r="D512" s="239">
        <v>0</v>
      </c>
      <c r="E512" s="239">
        <v>0</v>
      </c>
      <c r="F512" s="239">
        <v>2402.0100000000002</v>
      </c>
      <c r="G512" s="239">
        <v>4596.9000000000005</v>
      </c>
      <c r="H512" s="239">
        <v>0</v>
      </c>
      <c r="I512" s="257">
        <v>6998.9100000000008</v>
      </c>
      <c r="J512" s="240" t="str">
        <v/>
      </c>
      <c r="K512" s="240" t="str">
        <v/>
      </c>
      <c r="L512" s="240">
        <v>171.57214285714286</v>
      </c>
      <c r="M512" s="240">
        <v>229.84500000000003</v>
      </c>
      <c r="N512" s="240" t="str">
        <v/>
      </c>
      <c r="O512" s="258">
        <v>205.85029411764708</v>
      </c>
      <c r="P512" s="224">
        <v>0</v>
      </c>
      <c r="Q512" s="224">
        <v>0</v>
      </c>
      <c r="R512" s="224">
        <v>0.10815796761128135</v>
      </c>
      <c r="S512" s="224">
        <v>0.19918461223150982</v>
      </c>
      <c r="T512" s="224">
        <v>0</v>
      </c>
      <c r="U512" s="259">
        <v>6.9568357530491343E-2</v>
      </c>
      <c r="V512" s="239">
        <v>0</v>
      </c>
      <c r="W512" s="239">
        <v>0</v>
      </c>
      <c r="X512" s="239">
        <v>14</v>
      </c>
      <c r="Y512" s="239">
        <v>20</v>
      </c>
      <c r="Z512" s="239">
        <v>0</v>
      </c>
      <c r="AA512" s="257">
        <v>34</v>
      </c>
      <c r="AB512" s="224">
        <v>0</v>
      </c>
      <c r="AC512" s="224">
        <v>0</v>
      </c>
      <c r="AD512" s="224">
        <v>0.1</v>
      </c>
      <c r="AE512" s="224">
        <v>0.18181818181818182</v>
      </c>
      <c r="AF512" s="224">
        <v>0</v>
      </c>
      <c r="AG512" s="259">
        <v>5.362776025236593E-2</v>
      </c>
      <c r="AH512" s="261">
        <v>0</v>
      </c>
      <c r="AI512" s="261">
        <v>0</v>
      </c>
      <c r="AJ512" s="261">
        <v>6.499234018847779E-4</v>
      </c>
      <c r="AK512" s="261">
        <v>1.075211010160744E-3</v>
      </c>
      <c r="AL512" s="261">
        <v>0</v>
      </c>
      <c r="AM512" s="262">
        <v>3.7303607478276135E-4</v>
      </c>
    </row>
    <row r="513" spans="1:39" x14ac:dyDescent="0.25">
      <c r="A513" s="215" t="str">
        <v>6254-HAlmutairi</v>
      </c>
      <c r="B513" s="215" t="str">
        <v>HAKHURAIS</v>
      </c>
      <c r="C513" s="215" t="str">
        <v>Mohammed Sanad</v>
      </c>
      <c r="D513" s="239">
        <v>7251.1500000000005</v>
      </c>
      <c r="E513" s="239">
        <v>14472.24</v>
      </c>
      <c r="F513" s="239">
        <v>20017.25</v>
      </c>
      <c r="G513" s="239">
        <v>18242.54</v>
      </c>
      <c r="H513" s="239">
        <v>2470.04</v>
      </c>
      <c r="I513" s="257">
        <v>62453.22</v>
      </c>
      <c r="J513" s="240">
        <v>102.12887323943663</v>
      </c>
      <c r="K513" s="240">
        <v>146.18424242424243</v>
      </c>
      <c r="L513" s="240">
        <v>139.98076923076923</v>
      </c>
      <c r="M513" s="240">
        <v>157.26327586206898</v>
      </c>
      <c r="N513" s="240">
        <v>130.00210526315789</v>
      </c>
      <c r="O513" s="258">
        <v>139.40450892857143</v>
      </c>
      <c r="P513" s="224">
        <v>0.45335725012723249</v>
      </c>
      <c r="Q513" s="224">
        <v>0.59362454854395819</v>
      </c>
      <c r="R513" s="224">
        <v>0.68628869432609496</v>
      </c>
      <c r="S513" s="224">
        <v>0.77267729288863141</v>
      </c>
      <c r="T513" s="224">
        <v>0.49619124146243471</v>
      </c>
      <c r="U513" s="259">
        <v>0.63644193798552318</v>
      </c>
      <c r="V513" s="239">
        <v>71</v>
      </c>
      <c r="W513" s="239">
        <v>99</v>
      </c>
      <c r="X513" s="239">
        <v>143</v>
      </c>
      <c r="Y513" s="239">
        <v>116</v>
      </c>
      <c r="Z513" s="239">
        <v>19</v>
      </c>
      <c r="AA513" s="257">
        <v>448</v>
      </c>
      <c r="AB513" s="224">
        <v>0.51449275362318836</v>
      </c>
      <c r="AC513" s="224">
        <v>0.54696132596685088</v>
      </c>
      <c r="AD513" s="224">
        <v>0.68095238095238098</v>
      </c>
      <c r="AE513" s="224">
        <v>0.73885350318471332</v>
      </c>
      <c r="AF513" s="224">
        <v>0.5757575757575758</v>
      </c>
      <c r="AG513" s="259">
        <v>0.6230876216968011</v>
      </c>
      <c r="AH513" s="261">
        <v>3.6927237738596766E-3</v>
      </c>
      <c r="AI513" s="261">
        <v>3.6693847294292066E-3</v>
      </c>
      <c r="AJ513" s="261">
        <v>6.6385033192516594E-3</v>
      </c>
      <c r="AK513" s="261">
        <v>6.2362238589323158E-3</v>
      </c>
      <c r="AL513" s="261">
        <v>3.962460896767466E-3</v>
      </c>
      <c r="AM513" s="262">
        <v>4.9152988677257968E-3</v>
      </c>
    </row>
    <row r="514" spans="1:39" x14ac:dyDescent="0.25">
      <c r="A514" s="215" t="str">
        <v>7147-YAlenazi</v>
      </c>
      <c r="B514" s="215" t="str">
        <v>HAKHURAIS</v>
      </c>
      <c r="C514" s="215" t="str">
        <v>Mohammed Sanad</v>
      </c>
      <c r="D514" s="239">
        <v>1247.03</v>
      </c>
      <c r="E514" s="239">
        <v>3048.0299999999997</v>
      </c>
      <c r="F514" s="239">
        <v>5955.08</v>
      </c>
      <c r="G514" s="239">
        <v>4401.97</v>
      </c>
      <c r="H514" s="239">
        <v>2507.96</v>
      </c>
      <c r="I514" s="257">
        <v>17160.07</v>
      </c>
      <c r="J514" s="240">
        <v>113.36636363636363</v>
      </c>
      <c r="K514" s="240">
        <v>138.54681818181817</v>
      </c>
      <c r="L514" s="240">
        <v>138.49023255813952</v>
      </c>
      <c r="M514" s="240">
        <v>129.46970588235294</v>
      </c>
      <c r="N514" s="240">
        <v>179.14000000000001</v>
      </c>
      <c r="O514" s="258">
        <v>138.38766129032257</v>
      </c>
      <c r="P514" s="224">
        <v>7.7966955810617994E-2</v>
      </c>
      <c r="Q514" s="224">
        <v>0.12502455961885933</v>
      </c>
      <c r="R514" s="224">
        <v>0.20416910803469218</v>
      </c>
      <c r="S514" s="224">
        <v>0.18644894093569037</v>
      </c>
      <c r="T514" s="224">
        <v>0.50380875853756535</v>
      </c>
      <c r="U514" s="259">
        <v>0.17487310032640807</v>
      </c>
      <c r="V514" s="239">
        <v>11</v>
      </c>
      <c r="W514" s="239">
        <v>22</v>
      </c>
      <c r="X514" s="239">
        <v>43</v>
      </c>
      <c r="Y514" s="239">
        <v>34</v>
      </c>
      <c r="Z514" s="239">
        <v>14</v>
      </c>
      <c r="AA514" s="257">
        <v>124</v>
      </c>
      <c r="AB514" s="224">
        <v>7.9710144927536225E-2</v>
      </c>
      <c r="AC514" s="224">
        <v>0.12154696132596685</v>
      </c>
      <c r="AD514" s="224">
        <v>0.20476190476190476</v>
      </c>
      <c r="AE514" s="224">
        <v>0.21656050955414013</v>
      </c>
      <c r="AF514" s="224">
        <v>0.42424242424242425</v>
      </c>
      <c r="AG514" s="259">
        <v>0.17246175243393602</v>
      </c>
      <c r="AH514" s="261">
        <v>5.7211213397825975E-4</v>
      </c>
      <c r="AI514" s="261">
        <v>8.1541882876204591E-4</v>
      </c>
      <c r="AJ514" s="261">
        <v>1.9961933057889604E-3</v>
      </c>
      <c r="AK514" s="261">
        <v>1.8278587172732648E-3</v>
      </c>
      <c r="AL514" s="261">
        <v>2.9197080291970801E-3</v>
      </c>
      <c r="AM514" s="262">
        <v>1.3604845080312472E-3</v>
      </c>
    </row>
    <row r="515" spans="1:39" x14ac:dyDescent="0.25">
      <c r="A515" s="215" t="str">
        <v>5315-FMatrafi</v>
      </c>
      <c r="B515" s="215" t="str">
        <v>HAKHURAIS</v>
      </c>
      <c r="C515" s="215" t="str">
        <v>Mohammed Sanad</v>
      </c>
      <c r="D515" s="239">
        <v>4961.08</v>
      </c>
      <c r="E515" s="239">
        <v>3831.1</v>
      </c>
      <c r="F515" s="239">
        <v>0</v>
      </c>
      <c r="G515" s="239">
        <v>0</v>
      </c>
      <c r="H515" s="239">
        <v>0</v>
      </c>
      <c r="I515" s="257">
        <v>8792.18</v>
      </c>
      <c r="J515" s="240">
        <v>124.027</v>
      </c>
      <c r="K515" s="240">
        <v>103.54324324324324</v>
      </c>
      <c r="L515" s="240" t="str">
        <v/>
      </c>
      <c r="M515" s="240" t="str">
        <v/>
      </c>
      <c r="N515" s="240" t="str">
        <v/>
      </c>
      <c r="O515" s="258">
        <v>114.18415584415585</v>
      </c>
      <c r="P515" s="224">
        <v>0.31017722519341212</v>
      </c>
      <c r="Q515" s="224">
        <v>0.15714464436236258</v>
      </c>
      <c r="R515" s="224">
        <v>0</v>
      </c>
      <c r="S515" s="224">
        <v>0</v>
      </c>
      <c r="T515" s="224">
        <v>0</v>
      </c>
      <c r="U515" s="259">
        <v>8.959845590535695E-2</v>
      </c>
      <c r="V515" s="239">
        <v>40</v>
      </c>
      <c r="W515" s="239">
        <v>37</v>
      </c>
      <c r="X515" s="239">
        <v>0</v>
      </c>
      <c r="Y515" s="239">
        <v>0</v>
      </c>
      <c r="Z515" s="239">
        <v>0</v>
      </c>
      <c r="AA515" s="257">
        <v>77</v>
      </c>
      <c r="AB515" s="224">
        <v>0.28985507246376813</v>
      </c>
      <c r="AC515" s="224">
        <v>0.20441988950276244</v>
      </c>
      <c r="AD515" s="224">
        <v>0</v>
      </c>
      <c r="AE515" s="224">
        <v>0</v>
      </c>
      <c r="AF515" s="224">
        <v>0</v>
      </c>
      <c r="AG515" s="259">
        <v>0.1070931849791377</v>
      </c>
      <c r="AH515" s="261">
        <v>2.0804077599209446E-3</v>
      </c>
      <c r="AI515" s="261">
        <v>1.3713862120088955E-3</v>
      </c>
      <c r="AJ515" s="261">
        <v>0</v>
      </c>
      <c r="AK515" s="261">
        <v>0</v>
      </c>
      <c r="AL515" s="261">
        <v>0</v>
      </c>
      <c r="AM515" s="262">
        <v>8.4481699289037124E-4</v>
      </c>
    </row>
    <row r="516" spans="1:39" x14ac:dyDescent="0.25">
      <c r="A516" s="215" t="str">
        <v>3123-FAlghamdi</v>
      </c>
      <c r="B516" s="215" t="str">
        <v>HAKHURAIS</v>
      </c>
      <c r="C516" s="215" t="str">
        <v>Mohammed Sanad</v>
      </c>
      <c r="D516" s="239">
        <v>2535.08</v>
      </c>
      <c r="E516" s="239">
        <v>3028.08</v>
      </c>
      <c r="F516" s="239">
        <v>3195.06</v>
      </c>
      <c r="G516" s="239">
        <v>0</v>
      </c>
      <c r="H516" s="239">
        <v>0</v>
      </c>
      <c r="I516" s="257">
        <v>8758.2199999999993</v>
      </c>
      <c r="J516" s="240">
        <v>158.4425</v>
      </c>
      <c r="K516" s="240">
        <v>131.65565217391304</v>
      </c>
      <c r="L516" s="240">
        <v>133.1275</v>
      </c>
      <c r="M516" s="240" t="str">
        <v/>
      </c>
      <c r="N516" s="240" t="str">
        <v/>
      </c>
      <c r="O516" s="258">
        <v>139.01936507936506</v>
      </c>
      <c r="P516" s="224">
        <v>0.15849856886873728</v>
      </c>
      <c r="Q516" s="224">
        <v>0.12420624747481999</v>
      </c>
      <c r="R516" s="224">
        <v>0.10954219763921283</v>
      </c>
      <c r="S516" s="224">
        <v>0</v>
      </c>
      <c r="T516" s="224">
        <v>0</v>
      </c>
      <c r="U516" s="259">
        <v>8.9252379782876978E-2</v>
      </c>
      <c r="V516" s="239">
        <v>16</v>
      </c>
      <c r="W516" s="239">
        <v>23</v>
      </c>
      <c r="X516" s="239">
        <v>24</v>
      </c>
      <c r="Y516" s="239">
        <v>0</v>
      </c>
      <c r="Z516" s="239">
        <v>0</v>
      </c>
      <c r="AA516" s="257">
        <v>63</v>
      </c>
      <c r="AB516" s="224">
        <v>0.11594202898550725</v>
      </c>
      <c r="AC516" s="224">
        <v>0.1270718232044199</v>
      </c>
      <c r="AD516" s="224">
        <v>0.11428571428571428</v>
      </c>
      <c r="AE516" s="224">
        <v>0</v>
      </c>
      <c r="AF516" s="224">
        <v>0</v>
      </c>
      <c r="AG516" s="259">
        <v>8.7621696801112661E-2</v>
      </c>
      <c r="AH516" s="261">
        <v>8.3216310396837777E-4</v>
      </c>
      <c r="AI516" s="261">
        <v>8.5248332097850258E-4</v>
      </c>
      <c r="AJ516" s="261">
        <v>1.1141544032310477E-3</v>
      </c>
      <c r="AK516" s="261">
        <v>0</v>
      </c>
      <c r="AL516" s="261">
        <v>0</v>
      </c>
      <c r="AM516" s="262">
        <v>6.9121390327394011E-4</v>
      </c>
    </row>
    <row r="517" spans="1:39" x14ac:dyDescent="0.25">
      <c r="A517" s="215" t="str">
        <v>4348-MSaqar</v>
      </c>
      <c r="B517" s="215" t="str">
        <v>HAKHURAIS</v>
      </c>
      <c r="C517" s="215" t="str">
        <v>Mohammed Sanad</v>
      </c>
      <c r="D517" s="239">
        <v>0</v>
      </c>
      <c r="E517" s="239">
        <v>0</v>
      </c>
      <c r="F517" s="239">
        <v>0</v>
      </c>
      <c r="G517" s="239">
        <v>965.01</v>
      </c>
      <c r="H517" s="239">
        <v>0</v>
      </c>
      <c r="I517" s="257">
        <v>965.01</v>
      </c>
      <c r="J517" s="240" t="str">
        <v/>
      </c>
      <c r="K517" s="240" t="str">
        <v/>
      </c>
      <c r="L517" s="240" t="str">
        <v/>
      </c>
      <c r="M517" s="240">
        <v>137.85857142857142</v>
      </c>
      <c r="N517" s="240" t="str">
        <v/>
      </c>
      <c r="O517" s="258">
        <v>137.85857142857142</v>
      </c>
      <c r="P517" s="224">
        <v>0</v>
      </c>
      <c r="Q517" s="224">
        <v>0</v>
      </c>
      <c r="R517" s="224">
        <v>0</v>
      </c>
      <c r="S517" s="224">
        <v>4.0873766175678283E-2</v>
      </c>
      <c r="T517" s="224">
        <v>0</v>
      </c>
      <c r="U517" s="259">
        <v>9.8341259998349102E-3</v>
      </c>
      <c r="V517" s="239">
        <v>0</v>
      </c>
      <c r="W517" s="239">
        <v>0</v>
      </c>
      <c r="X517" s="239">
        <v>0</v>
      </c>
      <c r="Y517" s="239">
        <v>7</v>
      </c>
      <c r="Z517" s="239">
        <v>0</v>
      </c>
      <c r="AA517" s="257">
        <v>7</v>
      </c>
      <c r="AB517" s="224">
        <v>0</v>
      </c>
      <c r="AC517" s="224">
        <v>0</v>
      </c>
      <c r="AD517" s="224">
        <v>0</v>
      </c>
      <c r="AE517" s="224">
        <v>4.4585987261146494E-2</v>
      </c>
      <c r="AF517" s="224">
        <v>0</v>
      </c>
      <c r="AG517" s="259">
        <v>9.7357440890125171E-3</v>
      </c>
      <c r="AH517" s="261">
        <v>0</v>
      </c>
      <c r="AI517" s="261">
        <v>0</v>
      </c>
      <c r="AJ517" s="261">
        <v>0</v>
      </c>
      <c r="AK517" s="261">
        <v>3.7632385355626042E-4</v>
      </c>
      <c r="AL517" s="261">
        <v>0</v>
      </c>
      <c r="AM517" s="262">
        <v>7.6801544808215576E-5</v>
      </c>
    </row>
    <row r="518" spans="1:39" x14ac:dyDescent="0.25">
      <c r="A518" s="215" t="str">
        <v>4486-Menab</v>
      </c>
      <c r="B518" s="215" t="str">
        <v>HAMALQARYD</v>
      </c>
      <c r="C518" s="215" t="str">
        <v>Mohammed Sanad</v>
      </c>
      <c r="D518" s="239">
        <v>4573.04</v>
      </c>
      <c r="E518" s="239">
        <v>20145.329999999998</v>
      </c>
      <c r="F518" s="239">
        <v>6797.15</v>
      </c>
      <c r="G518" s="239">
        <v>6270.82</v>
      </c>
      <c r="H518" s="239">
        <v>4167.05</v>
      </c>
      <c r="I518" s="257">
        <v>41953.39</v>
      </c>
      <c r="J518" s="240">
        <v>175.88615384615383</v>
      </c>
      <c r="K518" s="240">
        <v>170.72313559322032</v>
      </c>
      <c r="L518" s="240">
        <v>144.62021276595743</v>
      </c>
      <c r="M518" s="240">
        <v>195.96312499999999</v>
      </c>
      <c r="N518" s="240">
        <v>208.35250000000002</v>
      </c>
      <c r="O518" s="258">
        <v>172.64769547325102</v>
      </c>
      <c r="P518" s="224">
        <v>0.16880597670549574</v>
      </c>
      <c r="Q518" s="224">
        <v>0.56200271107117439</v>
      </c>
      <c r="R518" s="224">
        <v>0.31029591817170027</v>
      </c>
      <c r="S518" s="224">
        <v>0.23489489921442239</v>
      </c>
      <c r="T518" s="224">
        <v>0.56555899685397171</v>
      </c>
      <c r="U518" s="259">
        <v>0.35282879388558003</v>
      </c>
      <c r="V518" s="239">
        <v>26</v>
      </c>
      <c r="W518" s="239">
        <v>118</v>
      </c>
      <c r="X518" s="239">
        <v>47</v>
      </c>
      <c r="Y518" s="239">
        <v>32</v>
      </c>
      <c r="Z518" s="239">
        <v>20</v>
      </c>
      <c r="AA518" s="257">
        <v>243</v>
      </c>
      <c r="AB518" s="224">
        <v>0.25242718446601942</v>
      </c>
      <c r="AC518" s="224">
        <v>0.57281553398058249</v>
      </c>
      <c r="AD518" s="224">
        <v>0.34558823529411764</v>
      </c>
      <c r="AE518" s="224">
        <v>0.22857142857142856</v>
      </c>
      <c r="AF518" s="224">
        <v>0.5714285714285714</v>
      </c>
      <c r="AG518" s="259">
        <v>0.39193548387096772</v>
      </c>
      <c r="AH518" s="261">
        <v>1.3522650439486139E-3</v>
      </c>
      <c r="AI518" s="261">
        <v>4.3736100815418826E-3</v>
      </c>
      <c r="AJ518" s="261">
        <v>2.1818857063274685E-3</v>
      </c>
      <c r="AK518" s="261">
        <v>1.7203376162571904E-3</v>
      </c>
      <c r="AL518" s="261">
        <v>4.1710114702815434E-3</v>
      </c>
      <c r="AM518" s="262">
        <v>2.6661107697709121E-3</v>
      </c>
    </row>
    <row r="519" spans="1:39" x14ac:dyDescent="0.25">
      <c r="A519" s="215" t="str">
        <v>3077-Sultan Alhuraibi</v>
      </c>
      <c r="B519" s="215" t="str">
        <v>HAMALQARYD</v>
      </c>
      <c r="C519" s="215" t="str">
        <v>Mohammed Sanad</v>
      </c>
      <c r="D519" s="239">
        <v>0</v>
      </c>
      <c r="E519" s="239">
        <v>1024.01</v>
      </c>
      <c r="F519" s="239">
        <v>8333.1</v>
      </c>
      <c r="G519" s="239">
        <v>17356.47</v>
      </c>
      <c r="H519" s="239">
        <v>1015.9399999999999</v>
      </c>
      <c r="I519" s="257">
        <v>27729.52</v>
      </c>
      <c r="J519" s="240" t="str">
        <v/>
      </c>
      <c r="K519" s="240">
        <v>146.28714285714287</v>
      </c>
      <c r="L519" s="240">
        <v>170.06326530612245</v>
      </c>
      <c r="M519" s="240">
        <v>199.49965517241381</v>
      </c>
      <c r="N519" s="240">
        <v>145.13428571428571</v>
      </c>
      <c r="O519" s="258">
        <v>184.86346666666668</v>
      </c>
      <c r="P519" s="224">
        <v>0</v>
      </c>
      <c r="Q519" s="224">
        <v>2.8567235987893635E-2</v>
      </c>
      <c r="R519" s="224">
        <v>0.38041339616112574</v>
      </c>
      <c r="S519" s="224">
        <v>0.65014563826870264</v>
      </c>
      <c r="T519" s="224">
        <v>0.13788507631629665</v>
      </c>
      <c r="U519" s="259">
        <v>0.23320578138324624</v>
      </c>
      <c r="V519" s="239">
        <v>0</v>
      </c>
      <c r="W519" s="239">
        <v>7</v>
      </c>
      <c r="X519" s="239">
        <v>49</v>
      </c>
      <c r="Y519" s="239">
        <v>87</v>
      </c>
      <c r="Z519" s="239">
        <v>7</v>
      </c>
      <c r="AA519" s="257">
        <v>150</v>
      </c>
      <c r="AB519" s="224">
        <v>0</v>
      </c>
      <c r="AC519" s="224">
        <v>3.3980582524271843E-2</v>
      </c>
      <c r="AD519" s="224">
        <v>0.36029411764705882</v>
      </c>
      <c r="AE519" s="224">
        <v>0.62142857142857144</v>
      </c>
      <c r="AF519" s="224">
        <v>0.2</v>
      </c>
      <c r="AG519" s="259">
        <v>0.24193548387096775</v>
      </c>
      <c r="AH519" s="261">
        <v>0</v>
      </c>
      <c r="AI519" s="261">
        <v>2.5945144551519646E-4</v>
      </c>
      <c r="AJ519" s="261">
        <v>2.2747319065967225E-3</v>
      </c>
      <c r="AK519" s="261">
        <v>4.6771678941992367E-3</v>
      </c>
      <c r="AL519" s="261">
        <v>1.4598540145985401E-3</v>
      </c>
      <c r="AM519" s="262">
        <v>1.6457473887474766E-3</v>
      </c>
    </row>
    <row r="520" spans="1:39" x14ac:dyDescent="0.25">
      <c r="A520" s="215" t="str">
        <v>4367-AJafari</v>
      </c>
      <c r="B520" s="215" t="str">
        <v>HAMALQARYD</v>
      </c>
      <c r="C520" s="215" t="str">
        <v>Mohammed Sanad</v>
      </c>
      <c r="D520" s="239">
        <v>18663.46</v>
      </c>
      <c r="E520" s="239">
        <v>5803.23</v>
      </c>
      <c r="F520" s="239">
        <v>1590</v>
      </c>
      <c r="G520" s="239">
        <v>75</v>
      </c>
      <c r="H520" s="239">
        <v>0</v>
      </c>
      <c r="I520" s="257">
        <v>26131.69</v>
      </c>
      <c r="J520" s="240">
        <v>301.02354838709675</v>
      </c>
      <c r="K520" s="240">
        <v>145.08074999999999</v>
      </c>
      <c r="L520" s="240">
        <v>176.66666666666666</v>
      </c>
      <c r="M520" s="240">
        <v>75</v>
      </c>
      <c r="N520" s="240" t="str">
        <v/>
      </c>
      <c r="O520" s="258">
        <v>233.3186607142857</v>
      </c>
      <c r="P520" s="224">
        <v>0.68892981342913062</v>
      </c>
      <c r="Q520" s="224">
        <v>0.16189513862366967</v>
      </c>
      <c r="R520" s="224">
        <v>7.2584908364976997E-2</v>
      </c>
      <c r="S520" s="224">
        <v>2.8093801833064384E-3</v>
      </c>
      <c r="T520" s="224">
        <v>0</v>
      </c>
      <c r="U520" s="259">
        <v>0.21976800122449872</v>
      </c>
      <c r="V520" s="239">
        <v>62</v>
      </c>
      <c r="W520" s="239">
        <v>40</v>
      </c>
      <c r="X520" s="239">
        <v>9</v>
      </c>
      <c r="Y520" s="239">
        <v>1</v>
      </c>
      <c r="Z520" s="239">
        <v>0</v>
      </c>
      <c r="AA520" s="257">
        <v>112</v>
      </c>
      <c r="AB520" s="224">
        <v>0.60194174757281549</v>
      </c>
      <c r="AC520" s="224">
        <v>0.1941747572815534</v>
      </c>
      <c r="AD520" s="224">
        <v>6.6176470588235295E-2</v>
      </c>
      <c r="AE520" s="224">
        <v>7.1428571428571426E-3</v>
      </c>
      <c r="AF520" s="224">
        <v>0</v>
      </c>
      <c r="AG520" s="259">
        <v>0.18064516129032257</v>
      </c>
      <c r="AH520" s="261">
        <v>3.2246320278774641E-3</v>
      </c>
      <c r="AI520" s="261">
        <v>1.4825796886582653E-3</v>
      </c>
      <c r="AJ520" s="261">
        <v>4.1780790121164293E-4</v>
      </c>
      <c r="AK520" s="261">
        <v>5.37605505080372E-5</v>
      </c>
      <c r="AL520" s="261">
        <v>0</v>
      </c>
      <c r="AM520" s="262">
        <v>1.2288247169314492E-3</v>
      </c>
    </row>
    <row r="521" spans="1:39" x14ac:dyDescent="0.25">
      <c r="A521" s="215" t="str">
        <v>4497-RAlqahtani</v>
      </c>
      <c r="B521" s="215" t="str">
        <v>HAMALQARYD</v>
      </c>
      <c r="C521" s="215" t="str">
        <v>Mohammed Sanad</v>
      </c>
      <c r="D521" s="239">
        <v>3854.01</v>
      </c>
      <c r="E521" s="239">
        <v>8873.0400000000009</v>
      </c>
      <c r="F521" s="239">
        <v>5185.13</v>
      </c>
      <c r="G521" s="239">
        <v>2993.99</v>
      </c>
      <c r="H521" s="239">
        <v>2185.0299999999997</v>
      </c>
      <c r="I521" s="257">
        <v>23091.199999999997</v>
      </c>
      <c r="J521" s="240">
        <v>256.93400000000003</v>
      </c>
      <c r="K521" s="240">
        <v>216.41560975609758</v>
      </c>
      <c r="L521" s="240">
        <v>167.26225806451615</v>
      </c>
      <c r="M521" s="240">
        <v>149.6995</v>
      </c>
      <c r="N521" s="240">
        <v>273.12874999999997</v>
      </c>
      <c r="O521" s="258">
        <v>200.79304347826084</v>
      </c>
      <c r="P521" s="224">
        <v>0.14226420986537353</v>
      </c>
      <c r="Q521" s="224">
        <v>0.24753491431726229</v>
      </c>
      <c r="R521" s="224">
        <v>0.236705777302197</v>
      </c>
      <c r="S521" s="224">
        <v>0.11215008233356857</v>
      </c>
      <c r="T521" s="224">
        <v>0.2965559268297317</v>
      </c>
      <c r="U521" s="259">
        <v>0.19419742350667502</v>
      </c>
      <c r="V521" s="239">
        <v>15</v>
      </c>
      <c r="W521" s="239">
        <v>41</v>
      </c>
      <c r="X521" s="239">
        <v>31</v>
      </c>
      <c r="Y521" s="239">
        <v>20</v>
      </c>
      <c r="Z521" s="239">
        <v>8</v>
      </c>
      <c r="AA521" s="257">
        <v>115</v>
      </c>
      <c r="AB521" s="224">
        <v>0.14563106796116504</v>
      </c>
      <c r="AC521" s="224">
        <v>0.19902912621359223</v>
      </c>
      <c r="AD521" s="224">
        <v>0.22794117647058823</v>
      </c>
      <c r="AE521" s="224">
        <v>0.14285714285714285</v>
      </c>
      <c r="AF521" s="224">
        <v>0.22857142857142856</v>
      </c>
      <c r="AG521" s="259">
        <v>0.18548387096774194</v>
      </c>
      <c r="AH521" s="261">
        <v>7.8015290997035416E-4</v>
      </c>
      <c r="AI521" s="261">
        <v>1.519644180874722E-3</v>
      </c>
      <c r="AJ521" s="261">
        <v>1.4391161041734366E-3</v>
      </c>
      <c r="AK521" s="261">
        <v>1.075211010160744E-3</v>
      </c>
      <c r="AL521" s="261">
        <v>1.6684045881126173E-3</v>
      </c>
      <c r="AM521" s="262">
        <v>1.2617396647063986E-3</v>
      </c>
    </row>
    <row r="522" spans="1:39" x14ac:dyDescent="0.25">
      <c r="A522" s="215" t="str">
        <v>6005-MAlruwaili</v>
      </c>
      <c r="B522" s="215" t="str">
        <v>HAOTHARAR</v>
      </c>
      <c r="C522" s="215" t="str">
        <v>Mohammed Sanad</v>
      </c>
      <c r="D522" s="239">
        <v>19643.330000000002</v>
      </c>
      <c r="E522" s="239">
        <v>3824.11</v>
      </c>
      <c r="F522" s="239">
        <v>5781.1</v>
      </c>
      <c r="G522" s="239">
        <v>1395.99</v>
      </c>
      <c r="H522" s="239">
        <v>1222.0899999999999</v>
      </c>
      <c r="I522" s="257">
        <v>31866.620000000003</v>
      </c>
      <c r="J522" s="240">
        <v>701.54750000000001</v>
      </c>
      <c r="K522" s="240">
        <v>159.33791666666667</v>
      </c>
      <c r="L522" s="240">
        <v>180.65937500000001</v>
      </c>
      <c r="M522" s="240">
        <v>116.3325</v>
      </c>
      <c r="N522" s="240">
        <v>152.76124999999999</v>
      </c>
      <c r="O522" s="258">
        <v>306.40980769230771</v>
      </c>
      <c r="P522" s="224">
        <v>0.77597423759826911</v>
      </c>
      <c r="Q522" s="224">
        <v>0.26856138389408424</v>
      </c>
      <c r="R522" s="224">
        <v>0.39008113898213598</v>
      </c>
      <c r="S522" s="224">
        <v>0.21368545765140243</v>
      </c>
      <c r="T522" s="224">
        <v>0.61254880732197547</v>
      </c>
      <c r="U522" s="259">
        <v>0.50660814592116521</v>
      </c>
      <c r="V522" s="239">
        <v>28</v>
      </c>
      <c r="W522" s="239">
        <v>24</v>
      </c>
      <c r="X522" s="239">
        <v>32</v>
      </c>
      <c r="Y522" s="239">
        <v>12</v>
      </c>
      <c r="Z522" s="239">
        <v>8</v>
      </c>
      <c r="AA522" s="257">
        <v>104</v>
      </c>
      <c r="AB522" s="224">
        <v>0.37333333333333335</v>
      </c>
      <c r="AC522" s="224">
        <v>0.25531914893617019</v>
      </c>
      <c r="AD522" s="224">
        <v>0.38554216867469882</v>
      </c>
      <c r="AE522" s="224">
        <v>0.23529411764705882</v>
      </c>
      <c r="AF522" s="224">
        <v>0.5</v>
      </c>
      <c r="AG522" s="259">
        <v>0.32601880877742945</v>
      </c>
      <c r="AH522" s="261">
        <v>1.4562854319446611E-3</v>
      </c>
      <c r="AI522" s="261">
        <v>8.8954781319495926E-4</v>
      </c>
      <c r="AJ522" s="261">
        <v>1.4855392043080637E-3</v>
      </c>
      <c r="AK522" s="261">
        <v>6.4512660609644646E-4</v>
      </c>
      <c r="AL522" s="261">
        <v>1.6684045881126173E-3</v>
      </c>
      <c r="AM522" s="262">
        <v>1.1410515228649171E-3</v>
      </c>
    </row>
    <row r="523" spans="1:39" x14ac:dyDescent="0.25">
      <c r="A523" s="215" t="str">
        <v>5391-SAlruwaili</v>
      </c>
      <c r="B523" s="215" t="str">
        <v>HAOTHARAR</v>
      </c>
      <c r="C523" s="215" t="str">
        <v>Mohammed Sanad</v>
      </c>
      <c r="D523" s="239">
        <v>5671.08</v>
      </c>
      <c r="E523" s="239">
        <v>6713.07</v>
      </c>
      <c r="F523" s="239">
        <v>7621.13</v>
      </c>
      <c r="G523" s="239">
        <v>3995.93</v>
      </c>
      <c r="H523" s="239">
        <v>773</v>
      </c>
      <c r="I523" s="257">
        <v>24774.21</v>
      </c>
      <c r="J523" s="240">
        <v>120.66127659574468</v>
      </c>
      <c r="K523" s="240">
        <v>139.855625</v>
      </c>
      <c r="L523" s="240">
        <v>162.15170212765958</v>
      </c>
      <c r="M523" s="240">
        <v>137.7906896551724</v>
      </c>
      <c r="N523" s="240">
        <v>96.625</v>
      </c>
      <c r="O523" s="258">
        <v>138.40340782122905</v>
      </c>
      <c r="P523" s="224">
        <v>0.22402576240173083</v>
      </c>
      <c r="Q523" s="224">
        <v>0.47144861663965204</v>
      </c>
      <c r="R523" s="224">
        <v>0.51423761407533608</v>
      </c>
      <c r="S523" s="224">
        <v>0.6116606356728691</v>
      </c>
      <c r="T523" s="224">
        <v>0.38745119267802458</v>
      </c>
      <c r="U523" s="259">
        <v>0.39385465401607039</v>
      </c>
      <c r="V523" s="239">
        <v>47</v>
      </c>
      <c r="W523" s="239">
        <v>48</v>
      </c>
      <c r="X523" s="239">
        <v>47</v>
      </c>
      <c r="Y523" s="239">
        <v>29</v>
      </c>
      <c r="Z523" s="239">
        <v>8</v>
      </c>
      <c r="AA523" s="257">
        <v>179</v>
      </c>
      <c r="AB523" s="224">
        <v>0.62666666666666671</v>
      </c>
      <c r="AC523" s="224">
        <v>0.51063829787234039</v>
      </c>
      <c r="AD523" s="224">
        <v>0.5662650602409639</v>
      </c>
      <c r="AE523" s="224">
        <v>0.56862745098039214</v>
      </c>
      <c r="AF523" s="224">
        <v>0.5</v>
      </c>
      <c r="AG523" s="259">
        <v>0.56112852664576807</v>
      </c>
      <c r="AH523" s="261">
        <v>2.4444791179071097E-3</v>
      </c>
      <c r="AI523" s="261">
        <v>1.7790956263899185E-3</v>
      </c>
      <c r="AJ523" s="261">
        <v>2.1818857063274685E-3</v>
      </c>
      <c r="AK523" s="261">
        <v>1.559055964733079E-3</v>
      </c>
      <c r="AL523" s="261">
        <v>1.6684045881126173E-3</v>
      </c>
      <c r="AM523" s="262">
        <v>1.9639252172386555E-3</v>
      </c>
    </row>
    <row r="524" spans="1:39" x14ac:dyDescent="0.25">
      <c r="A524" s="215" t="str">
        <v>5366-AAl-Juwair</v>
      </c>
      <c r="B524" s="215" t="str">
        <v>HAOTHARAR</v>
      </c>
      <c r="C524" s="215" t="str">
        <v>Mohammed Sanad</v>
      </c>
      <c r="D524" s="239">
        <v>0</v>
      </c>
      <c r="E524" s="239">
        <v>3702.0600000000004</v>
      </c>
      <c r="F524" s="239">
        <v>1418.02</v>
      </c>
      <c r="G524" s="239">
        <v>788.02</v>
      </c>
      <c r="H524" s="239">
        <v>0</v>
      </c>
      <c r="I524" s="257">
        <v>5908.1</v>
      </c>
      <c r="J524" s="240" t="str">
        <v/>
      </c>
      <c r="K524" s="240">
        <v>168.27545454545455</v>
      </c>
      <c r="L524" s="240">
        <v>354.505</v>
      </c>
      <c r="M524" s="240">
        <v>131.33666666666667</v>
      </c>
      <c r="N524" s="240" t="str">
        <v/>
      </c>
      <c r="O524" s="258">
        <v>184.62812500000001</v>
      </c>
      <c r="P524" s="224">
        <v>0</v>
      </c>
      <c r="Q524" s="224">
        <v>0.25998999946626367</v>
      </c>
      <c r="R524" s="224">
        <v>9.5681246942527956E-2</v>
      </c>
      <c r="S524" s="224">
        <v>0.12062293736950705</v>
      </c>
      <c r="T524" s="224">
        <v>0</v>
      </c>
      <c r="U524" s="259">
        <v>9.3925605756645547E-2</v>
      </c>
      <c r="V524" s="239">
        <v>0</v>
      </c>
      <c r="W524" s="239">
        <v>22</v>
      </c>
      <c r="X524" s="239">
        <v>4</v>
      </c>
      <c r="Y524" s="239">
        <v>6</v>
      </c>
      <c r="Z524" s="239">
        <v>0</v>
      </c>
      <c r="AA524" s="257">
        <v>32</v>
      </c>
      <c r="AB524" s="224">
        <v>0</v>
      </c>
      <c r="AC524" s="224">
        <v>0.23404255319148937</v>
      </c>
      <c r="AD524" s="224">
        <v>4.8192771084337352E-2</v>
      </c>
      <c r="AE524" s="224">
        <v>0.11764705882352941</v>
      </c>
      <c r="AF524" s="224">
        <v>0</v>
      </c>
      <c r="AG524" s="259">
        <v>0.10031347962382445</v>
      </c>
      <c r="AH524" s="261">
        <v>0</v>
      </c>
      <c r="AI524" s="261">
        <v>8.1541882876204591E-4</v>
      </c>
      <c r="AJ524" s="261">
        <v>1.8569240053850796E-4</v>
      </c>
      <c r="AK524" s="261">
        <v>3.2256330304822323E-4</v>
      </c>
      <c r="AL524" s="261">
        <v>0</v>
      </c>
      <c r="AM524" s="262">
        <v>3.5109277626612831E-4</v>
      </c>
    </row>
    <row r="525" spans="1:39" x14ac:dyDescent="0.25">
      <c r="A525" s="215" t="str">
        <v>6831-AAlenazi</v>
      </c>
      <c r="B525" s="215" t="str">
        <v>HAOTHARAR</v>
      </c>
      <c r="C525" s="215" t="str">
        <v>Mohammed Sanad</v>
      </c>
      <c r="D525" s="239">
        <v>0</v>
      </c>
      <c r="E525" s="239">
        <v>0</v>
      </c>
      <c r="F525" s="239">
        <v>0</v>
      </c>
      <c r="G525" s="239">
        <v>352.98</v>
      </c>
      <c r="H525" s="239">
        <v>0</v>
      </c>
      <c r="I525" s="257">
        <v>352.98</v>
      </c>
      <c r="J525" s="240" t="str">
        <v/>
      </c>
      <c r="K525" s="240" t="str">
        <v/>
      </c>
      <c r="L525" s="240" t="str">
        <v/>
      </c>
      <c r="M525" s="240">
        <v>88.245000000000005</v>
      </c>
      <c r="N525" s="240" t="str">
        <v/>
      </c>
      <c r="O525" s="258">
        <v>88.245000000000005</v>
      </c>
      <c r="P525" s="224">
        <v>0</v>
      </c>
      <c r="Q525" s="224">
        <v>0</v>
      </c>
      <c r="R525" s="224">
        <v>0</v>
      </c>
      <c r="S525" s="224">
        <v>5.4030969306221414E-2</v>
      </c>
      <c r="T525" s="224">
        <v>0</v>
      </c>
      <c r="U525" s="259">
        <v>5.6115943061188448E-3</v>
      </c>
      <c r="V525" s="239">
        <v>0</v>
      </c>
      <c r="W525" s="239">
        <v>0</v>
      </c>
      <c r="X525" s="239">
        <v>0</v>
      </c>
      <c r="Y525" s="239">
        <v>4</v>
      </c>
      <c r="Z525" s="239">
        <v>0</v>
      </c>
      <c r="AA525" s="257">
        <v>4</v>
      </c>
      <c r="AB525" s="224">
        <v>0</v>
      </c>
      <c r="AC525" s="224">
        <v>0</v>
      </c>
      <c r="AD525" s="224">
        <v>0</v>
      </c>
      <c r="AE525" s="224">
        <v>7.8431372549019607E-2</v>
      </c>
      <c r="AF525" s="224">
        <v>0</v>
      </c>
      <c r="AG525" s="259">
        <v>1.2539184952978056E-2</v>
      </c>
      <c r="AH525" s="261">
        <v>0</v>
      </c>
      <c r="AI525" s="261">
        <v>0</v>
      </c>
      <c r="AJ525" s="261">
        <v>0</v>
      </c>
      <c r="AK525" s="261">
        <v>2.150422020321488E-4</v>
      </c>
      <c r="AL525" s="261">
        <v>0</v>
      </c>
      <c r="AM525" s="262">
        <v>4.3886597033266039E-5</v>
      </c>
    </row>
    <row r="526" spans="1:39" x14ac:dyDescent="0.25">
      <c r="A526" s="215" t="str">
        <v>5188-SAlShammari</v>
      </c>
      <c r="B526" s="215" t="str">
        <v>HAOTHHAIL</v>
      </c>
      <c r="C526" s="215" t="str">
        <v>Mohammed Sanad</v>
      </c>
      <c r="D526" s="239">
        <v>1732</v>
      </c>
      <c r="E526" s="239">
        <v>4254.0200000000004</v>
      </c>
      <c r="F526" s="239">
        <v>5729.1</v>
      </c>
      <c r="G526" s="239">
        <v>3983.9500000000003</v>
      </c>
      <c r="H526" s="239">
        <v>1835.91</v>
      </c>
      <c r="I526" s="257">
        <v>17534.980000000003</v>
      </c>
      <c r="J526" s="240">
        <v>133.23076923076923</v>
      </c>
      <c r="K526" s="240">
        <v>157.55629629629632</v>
      </c>
      <c r="L526" s="240">
        <v>184.80967741935484</v>
      </c>
      <c r="M526" s="240">
        <v>181.08863636363637</v>
      </c>
      <c r="N526" s="240">
        <v>203.99</v>
      </c>
      <c r="O526" s="258">
        <v>171.911568627451</v>
      </c>
      <c r="P526" s="224">
        <v>0.23395762557324343</v>
      </c>
      <c r="Q526" s="224">
        <v>0.24037868222923905</v>
      </c>
      <c r="R526" s="224">
        <v>0.42044521354706754</v>
      </c>
      <c r="S526" s="224">
        <v>0.300661176110117</v>
      </c>
      <c r="T526" s="224">
        <v>0.45197193500738553</v>
      </c>
      <c r="U526" s="259">
        <v>0.31290611146394015</v>
      </c>
      <c r="V526" s="239">
        <v>13</v>
      </c>
      <c r="W526" s="239">
        <v>27</v>
      </c>
      <c r="X526" s="239">
        <v>31</v>
      </c>
      <c r="Y526" s="239">
        <v>22</v>
      </c>
      <c r="Z526" s="239">
        <v>9</v>
      </c>
      <c r="AA526" s="257">
        <v>102</v>
      </c>
      <c r="AB526" s="224">
        <v>0.25</v>
      </c>
      <c r="AC526" s="224">
        <v>0.25471698113207547</v>
      </c>
      <c r="AD526" s="224">
        <v>0.38271604938271603</v>
      </c>
      <c r="AE526" s="224">
        <v>0.30555555555555558</v>
      </c>
      <c r="AF526" s="224">
        <v>0.5</v>
      </c>
      <c r="AG526" s="259">
        <v>0.3100303951367781</v>
      </c>
      <c r="AH526" s="261">
        <v>6.7613252197430695E-4</v>
      </c>
      <c r="AI526" s="261">
        <v>1.0007412898443292E-3</v>
      </c>
      <c r="AJ526" s="261">
        <v>1.4391161041734366E-3</v>
      </c>
      <c r="AK526" s="261">
        <v>1.1827321111768185E-3</v>
      </c>
      <c r="AL526" s="261">
        <v>1.8769551616266945E-3</v>
      </c>
      <c r="AM526" s="262">
        <v>1.119108224348284E-3</v>
      </c>
    </row>
    <row r="527" spans="1:39" x14ac:dyDescent="0.25">
      <c r="A527" s="215" t="str">
        <v>5185-RAlShammari</v>
      </c>
      <c r="B527" s="215" t="str">
        <v>HAOTHHAIL</v>
      </c>
      <c r="C527" s="215" t="str">
        <v>Mohammed Sanad</v>
      </c>
      <c r="D527" s="239">
        <v>2389.0100000000002</v>
      </c>
      <c r="E527" s="239">
        <v>2722.05</v>
      </c>
      <c r="F527" s="239">
        <v>4065.12</v>
      </c>
      <c r="G527" s="239">
        <v>4621.8899999999994</v>
      </c>
      <c r="H527" s="239">
        <v>1290.05</v>
      </c>
      <c r="I527" s="257">
        <v>15088.119999999999</v>
      </c>
      <c r="J527" s="240">
        <v>183.77</v>
      </c>
      <c r="K527" s="240">
        <v>151.22500000000002</v>
      </c>
      <c r="L527" s="240">
        <v>162.60479999999998</v>
      </c>
      <c r="M527" s="240">
        <v>165.06749999999997</v>
      </c>
      <c r="N527" s="240">
        <v>258.01</v>
      </c>
      <c r="O527" s="258">
        <v>169.52943820224718</v>
      </c>
      <c r="P527" s="224">
        <v>0.3227061819115094</v>
      </c>
      <c r="Q527" s="224">
        <v>0.15381281516356299</v>
      </c>
      <c r="R527" s="224">
        <v>0.29832962358737936</v>
      </c>
      <c r="S527" s="224">
        <v>0.34880530208752331</v>
      </c>
      <c r="T527" s="224">
        <v>0.31758985721319544</v>
      </c>
      <c r="U527" s="259">
        <v>0.2692426771231734</v>
      </c>
      <c r="V527" s="239">
        <v>13</v>
      </c>
      <c r="W527" s="239">
        <v>18</v>
      </c>
      <c r="X527" s="239">
        <v>25</v>
      </c>
      <c r="Y527" s="239">
        <v>28</v>
      </c>
      <c r="Z527" s="239">
        <v>5</v>
      </c>
      <c r="AA527" s="257">
        <v>89</v>
      </c>
      <c r="AB527" s="224">
        <v>0.25</v>
      </c>
      <c r="AC527" s="224">
        <v>0.16981132075471697</v>
      </c>
      <c r="AD527" s="224">
        <v>0.30864197530864196</v>
      </c>
      <c r="AE527" s="224">
        <v>0.3888888888888889</v>
      </c>
      <c r="AF527" s="224">
        <v>0.27777777777777779</v>
      </c>
      <c r="AG527" s="259">
        <v>0.27051671732522797</v>
      </c>
      <c r="AH527" s="261">
        <v>6.7613252197430695E-4</v>
      </c>
      <c r="AI527" s="261">
        <v>6.6716085989621942E-4</v>
      </c>
      <c r="AJ527" s="261">
        <v>1.1605775033656748E-3</v>
      </c>
      <c r="AK527" s="261">
        <v>1.5052954142250417E-3</v>
      </c>
      <c r="AL527" s="261">
        <v>1.0427528675703858E-3</v>
      </c>
      <c r="AM527" s="262">
        <v>9.7647678399016944E-4</v>
      </c>
    </row>
    <row r="528" spans="1:39" x14ac:dyDescent="0.25">
      <c r="A528" s="215" t="str">
        <v>5187-YAlEnzi</v>
      </c>
      <c r="B528" s="215" t="str">
        <v>HAOTHHAIL</v>
      </c>
      <c r="C528" s="215" t="str">
        <v>Mohammed Sanad</v>
      </c>
      <c r="D528" s="239">
        <v>1399.02</v>
      </c>
      <c r="E528" s="239">
        <v>6772.1</v>
      </c>
      <c r="F528" s="239">
        <v>812</v>
      </c>
      <c r="G528" s="239">
        <v>3411.84</v>
      </c>
      <c r="H528" s="239">
        <v>861.04</v>
      </c>
      <c r="I528" s="257">
        <v>13256</v>
      </c>
      <c r="J528" s="240">
        <v>127.18363636363637</v>
      </c>
      <c r="K528" s="240">
        <v>188.11388888888891</v>
      </c>
      <c r="L528" s="240">
        <v>162.4</v>
      </c>
      <c r="M528" s="240">
        <v>213.24</v>
      </c>
      <c r="N528" s="240">
        <v>287.01333333333332</v>
      </c>
      <c r="O528" s="258">
        <v>186.70422535211267</v>
      </c>
      <c r="P528" s="224">
        <v>0.18897886681840589</v>
      </c>
      <c r="Q528" s="224">
        <v>0.38266591927744342</v>
      </c>
      <c r="R528" s="224">
        <v>5.9590775758883392E-2</v>
      </c>
      <c r="S528" s="224">
        <v>0.25748511580204109</v>
      </c>
      <c r="T528" s="224">
        <v>0.21197439684884292</v>
      </c>
      <c r="U528" s="259">
        <v>0.23654908152538467</v>
      </c>
      <c r="V528" s="239">
        <v>11</v>
      </c>
      <c r="W528" s="239">
        <v>36</v>
      </c>
      <c r="X528" s="239">
        <v>5</v>
      </c>
      <c r="Y528" s="239">
        <v>16</v>
      </c>
      <c r="Z528" s="239">
        <v>3</v>
      </c>
      <c r="AA528" s="257">
        <v>71</v>
      </c>
      <c r="AB528" s="224">
        <v>0.21153846153846154</v>
      </c>
      <c r="AC528" s="224">
        <v>0.33962264150943394</v>
      </c>
      <c r="AD528" s="224">
        <v>6.1728395061728392E-2</v>
      </c>
      <c r="AE528" s="224">
        <v>0.22222222222222221</v>
      </c>
      <c r="AF528" s="224">
        <v>0.16666666666666666</v>
      </c>
      <c r="AG528" s="259">
        <v>0.21580547112462006</v>
      </c>
      <c r="AH528" s="261">
        <v>5.7211213397825975E-4</v>
      </c>
      <c r="AI528" s="261">
        <v>1.3343217197924388E-3</v>
      </c>
      <c r="AJ528" s="261">
        <v>2.3211550067313495E-4</v>
      </c>
      <c r="AK528" s="261">
        <v>8.6016880812859521E-4</v>
      </c>
      <c r="AL528" s="261">
        <v>6.2565172054223153E-4</v>
      </c>
      <c r="AM528" s="262">
        <v>7.7898709734047224E-4</v>
      </c>
    </row>
    <row r="529" spans="1:39" x14ac:dyDescent="0.25">
      <c r="A529" s="215" t="str">
        <v>4835-SAlShibani</v>
      </c>
      <c r="B529" s="215" t="str">
        <v>HAOTHHAIL</v>
      </c>
      <c r="C529" s="215" t="str">
        <v>Mohammed Sanad</v>
      </c>
      <c r="D529" s="239">
        <v>1883.02</v>
      </c>
      <c r="E529" s="239">
        <v>3948.99</v>
      </c>
      <c r="F529" s="239">
        <v>3020.05</v>
      </c>
      <c r="G529" s="239">
        <v>1232.95</v>
      </c>
      <c r="H529" s="239">
        <v>75</v>
      </c>
      <c r="I529" s="257">
        <v>10160.010000000002</v>
      </c>
      <c r="J529" s="240">
        <v>125.53466666666667</v>
      </c>
      <c r="K529" s="240">
        <v>157.95959999999999</v>
      </c>
      <c r="L529" s="240">
        <v>151.0025</v>
      </c>
      <c r="M529" s="240">
        <v>205.49166666666667</v>
      </c>
      <c r="N529" s="240">
        <v>75</v>
      </c>
      <c r="O529" s="258">
        <v>151.64194029850751</v>
      </c>
      <c r="P529" s="224">
        <v>0.25435732569684111</v>
      </c>
      <c r="Q529" s="224">
        <v>0.22314258332975459</v>
      </c>
      <c r="R529" s="224">
        <v>0.22163438710666969</v>
      </c>
      <c r="S529" s="224">
        <v>9.3048406000318468E-2</v>
      </c>
      <c r="T529" s="224">
        <v>1.8463810930576072E-2</v>
      </c>
      <c r="U529" s="259">
        <v>0.18130212988750183</v>
      </c>
      <c r="V529" s="239">
        <v>15</v>
      </c>
      <c r="W529" s="239">
        <v>25</v>
      </c>
      <c r="X529" s="239">
        <v>20</v>
      </c>
      <c r="Y529" s="239">
        <v>6</v>
      </c>
      <c r="Z529" s="239">
        <v>1</v>
      </c>
      <c r="AA529" s="257">
        <v>67</v>
      </c>
      <c r="AB529" s="224">
        <v>0.28846153846153844</v>
      </c>
      <c r="AC529" s="224">
        <v>0.23584905660377359</v>
      </c>
      <c r="AD529" s="224">
        <v>0.24691358024691357</v>
      </c>
      <c r="AE529" s="224">
        <v>8.3333333333333329E-2</v>
      </c>
      <c r="AF529" s="224">
        <v>5.5555555555555552E-2</v>
      </c>
      <c r="AG529" s="259">
        <v>0.20364741641337386</v>
      </c>
      <c r="AH529" s="261">
        <v>7.8015290997035416E-4</v>
      </c>
      <c r="AI529" s="261">
        <v>9.2661230541141583E-4</v>
      </c>
      <c r="AJ529" s="261">
        <v>9.2846200269253978E-4</v>
      </c>
      <c r="AK529" s="261">
        <v>3.2256330304822323E-4</v>
      </c>
      <c r="AL529" s="261">
        <v>2.0855057351407716E-4</v>
      </c>
      <c r="AM529" s="262">
        <v>7.3510050030720618E-4</v>
      </c>
    </row>
    <row r="530" spans="1:39" x14ac:dyDescent="0.25">
      <c r="A530" s="215" t="str">
        <v>6288-HAbuQabis</v>
      </c>
      <c r="B530" s="215" t="str">
        <v>HAOTRABWAH</v>
      </c>
      <c r="C530" s="215" t="str">
        <v>Mohammed Sanad</v>
      </c>
      <c r="D530" s="239">
        <v>11243.21</v>
      </c>
      <c r="E530" s="239">
        <v>14707.279999999999</v>
      </c>
      <c r="F530" s="239">
        <v>6964.09</v>
      </c>
      <c r="G530" s="239">
        <v>7774.5599999999995</v>
      </c>
      <c r="H530" s="239">
        <v>1731.12</v>
      </c>
      <c r="I530" s="257">
        <v>42420.26</v>
      </c>
      <c r="J530" s="240">
        <v>151.93527027027025</v>
      </c>
      <c r="K530" s="240">
        <v>121.54776859504132</v>
      </c>
      <c r="L530" s="240">
        <v>114.16540983606558</v>
      </c>
      <c r="M530" s="240">
        <v>176.69454545454545</v>
      </c>
      <c r="N530" s="240">
        <v>144.26</v>
      </c>
      <c r="O530" s="258">
        <v>135.96237179487181</v>
      </c>
      <c r="P530" s="224">
        <v>0.61713724583976681</v>
      </c>
      <c r="Q530" s="224">
        <v>0.66221058949443412</v>
      </c>
      <c r="R530" s="224">
        <v>0.36092082336978776</v>
      </c>
      <c r="S530" s="224">
        <v>0.43106648835306094</v>
      </c>
      <c r="T530" s="224">
        <v>0.39822410342527198</v>
      </c>
      <c r="U530" s="259">
        <v>0.51665376055132783</v>
      </c>
      <c r="V530" s="239">
        <v>74</v>
      </c>
      <c r="W530" s="239">
        <v>121</v>
      </c>
      <c r="X530" s="239">
        <v>61</v>
      </c>
      <c r="Y530" s="239">
        <v>44</v>
      </c>
      <c r="Z530" s="239">
        <v>12</v>
      </c>
      <c r="AA530" s="257">
        <v>312</v>
      </c>
      <c r="AB530" s="224">
        <v>0.56923076923076921</v>
      </c>
      <c r="AC530" s="224">
        <v>0.66850828729281764</v>
      </c>
      <c r="AD530" s="224">
        <v>0.38853503184713378</v>
      </c>
      <c r="AE530" s="224">
        <v>0.40740740740740738</v>
      </c>
      <c r="AF530" s="224">
        <v>0.375</v>
      </c>
      <c r="AG530" s="259">
        <v>0.51315789473684215</v>
      </c>
      <c r="AH530" s="261">
        <v>3.8487543558537473E-3</v>
      </c>
      <c r="AI530" s="261">
        <v>4.4848035581912526E-3</v>
      </c>
      <c r="AJ530" s="261">
        <v>2.8318091082122463E-3</v>
      </c>
      <c r="AK530" s="261">
        <v>2.3654642223536371E-3</v>
      </c>
      <c r="AL530" s="261">
        <v>2.5026068821689261E-3</v>
      </c>
      <c r="AM530" s="262">
        <v>3.423154568594751E-3</v>
      </c>
    </row>
    <row r="531" spans="1:39" x14ac:dyDescent="0.25">
      <c r="A531" s="215" t="str">
        <v>3023-Saleh Alhamad</v>
      </c>
      <c r="B531" s="215" t="str">
        <v>HAOTRABWAH</v>
      </c>
      <c r="C531" s="215" t="str">
        <v>Mohammed Sanad</v>
      </c>
      <c r="D531" s="239">
        <v>6014.1</v>
      </c>
      <c r="E531" s="239">
        <v>3812.04</v>
      </c>
      <c r="F531" s="239">
        <v>8877.1200000000008</v>
      </c>
      <c r="G531" s="239">
        <v>6568.0599999999995</v>
      </c>
      <c r="H531" s="239">
        <v>1611</v>
      </c>
      <c r="I531" s="257">
        <v>26882.32</v>
      </c>
      <c r="J531" s="240">
        <v>127.95957446808511</v>
      </c>
      <c r="K531" s="240">
        <v>127.068</v>
      </c>
      <c r="L531" s="240">
        <v>126.81600000000002</v>
      </c>
      <c r="M531" s="240">
        <v>164.20149999999998</v>
      </c>
      <c r="N531" s="240">
        <v>146.45454545454547</v>
      </c>
      <c r="O531" s="258">
        <v>135.76929292929293</v>
      </c>
      <c r="P531" s="224">
        <v>0.3301125844136098</v>
      </c>
      <c r="Q531" s="224">
        <v>0.17164106861203177</v>
      </c>
      <c r="R531" s="224">
        <v>0.46006548731455371</v>
      </c>
      <c r="S531" s="224">
        <v>0.36417116331885085</v>
      </c>
      <c r="T531" s="224">
        <v>0.37059188884543715</v>
      </c>
      <c r="U531" s="259">
        <v>0.32741081078579365</v>
      </c>
      <c r="V531" s="239">
        <v>47</v>
      </c>
      <c r="W531" s="239">
        <v>30</v>
      </c>
      <c r="X531" s="239">
        <v>70</v>
      </c>
      <c r="Y531" s="239">
        <v>40</v>
      </c>
      <c r="Z531" s="239">
        <v>11</v>
      </c>
      <c r="AA531" s="257">
        <v>198</v>
      </c>
      <c r="AB531" s="224">
        <v>0.36153846153846153</v>
      </c>
      <c r="AC531" s="224">
        <v>0.16574585635359115</v>
      </c>
      <c r="AD531" s="224">
        <v>0.44585987261146498</v>
      </c>
      <c r="AE531" s="224">
        <v>0.37037037037037035</v>
      </c>
      <c r="AF531" s="224">
        <v>0.34375</v>
      </c>
      <c r="AG531" s="259">
        <v>0.32565789473684209</v>
      </c>
      <c r="AH531" s="261">
        <v>2.4444791179071097E-3</v>
      </c>
      <c r="AI531" s="261">
        <v>1.111934766493699E-3</v>
      </c>
      <c r="AJ531" s="261">
        <v>3.2496170094238894E-3</v>
      </c>
      <c r="AK531" s="261">
        <v>2.1504220203214879E-3</v>
      </c>
      <c r="AL531" s="261">
        <v>2.2940563086548487E-3</v>
      </c>
      <c r="AM531" s="262">
        <v>2.1723865531466692E-3</v>
      </c>
    </row>
    <row r="532" spans="1:39" x14ac:dyDescent="0.25">
      <c r="A532" s="215" t="str">
        <v>4500-Aghazi</v>
      </c>
      <c r="B532" s="215" t="str">
        <v>HAOTRABWAH</v>
      </c>
      <c r="C532" s="215" t="str">
        <v>Mohammed Sanad</v>
      </c>
      <c r="D532" s="239">
        <v>961.02</v>
      </c>
      <c r="E532" s="239">
        <v>3540.04</v>
      </c>
      <c r="F532" s="239">
        <v>3454.1299999999997</v>
      </c>
      <c r="G532" s="239">
        <v>3693.0200000000004</v>
      </c>
      <c r="H532" s="239">
        <v>1004.98</v>
      </c>
      <c r="I532" s="257">
        <v>12653.189999999999</v>
      </c>
      <c r="J532" s="240">
        <v>106.78</v>
      </c>
      <c r="K532" s="240">
        <v>122.07034482758621</v>
      </c>
      <c r="L532" s="240">
        <v>132.85115384615384</v>
      </c>
      <c r="M532" s="240">
        <v>153.87583333333336</v>
      </c>
      <c r="N532" s="240">
        <v>111.66444444444444</v>
      </c>
      <c r="O532" s="258">
        <v>130.44525773195875</v>
      </c>
      <c r="P532" s="224">
        <v>5.2750169746623311E-2</v>
      </c>
      <c r="Q532" s="224">
        <v>0.15939398551152059</v>
      </c>
      <c r="R532" s="224">
        <v>0.17901368931565859</v>
      </c>
      <c r="S532" s="224">
        <v>0.20476234832808821</v>
      </c>
      <c r="T532" s="224">
        <v>0.23118400772929076</v>
      </c>
      <c r="U532" s="259">
        <v>0.1541083952920245</v>
      </c>
      <c r="V532" s="239">
        <v>9</v>
      </c>
      <c r="W532" s="239">
        <v>29</v>
      </c>
      <c r="X532" s="239">
        <v>26</v>
      </c>
      <c r="Y532" s="239">
        <v>24</v>
      </c>
      <c r="Z532" s="239">
        <v>9</v>
      </c>
      <c r="AA532" s="257">
        <v>97</v>
      </c>
      <c r="AB532" s="224">
        <v>6.9230769230769235E-2</v>
      </c>
      <c r="AC532" s="224">
        <v>0.16022099447513813</v>
      </c>
      <c r="AD532" s="224">
        <v>0.16560509554140126</v>
      </c>
      <c r="AE532" s="224">
        <v>0.22222222222222221</v>
      </c>
      <c r="AF532" s="224">
        <v>0.28125</v>
      </c>
      <c r="AG532" s="259">
        <v>0.15953947368421054</v>
      </c>
      <c r="AH532" s="261">
        <v>4.6809174598221254E-4</v>
      </c>
      <c r="AI532" s="261">
        <v>1.0748702742772423E-3</v>
      </c>
      <c r="AJ532" s="261">
        <v>1.2070006035003018E-3</v>
      </c>
      <c r="AK532" s="261">
        <v>1.2902532121928929E-3</v>
      </c>
      <c r="AL532" s="261">
        <v>1.8769551616266945E-3</v>
      </c>
      <c r="AM532" s="262">
        <v>1.0642499780567016E-3</v>
      </c>
    </row>
    <row r="533" spans="1:39" x14ac:dyDescent="0.25">
      <c r="A533" s="215" t="str">
        <v>4502-HAltharwi</v>
      </c>
      <c r="B533" s="215" t="str">
        <v>HAOTRABWAH</v>
      </c>
      <c r="C533" s="215" t="str">
        <v>Mohammed Sanad</v>
      </c>
      <c r="D533" s="239">
        <v>0</v>
      </c>
      <c r="E533" s="239">
        <v>150.01</v>
      </c>
      <c r="F533" s="239">
        <v>0</v>
      </c>
      <c r="G533" s="239">
        <v>0</v>
      </c>
      <c r="H533" s="239">
        <v>0</v>
      </c>
      <c r="I533" s="257">
        <v>150.01</v>
      </c>
      <c r="J533" s="240" t="str">
        <v/>
      </c>
      <c r="K533" s="240">
        <v>150.01</v>
      </c>
      <c r="L533" s="240" t="str">
        <v/>
      </c>
      <c r="M533" s="240" t="str">
        <v/>
      </c>
      <c r="N533" s="240" t="str">
        <v/>
      </c>
      <c r="O533" s="258">
        <v>150.01</v>
      </c>
      <c r="P533" s="224">
        <v>0</v>
      </c>
      <c r="Q533" s="224">
        <v>6.7543563820135375E-3</v>
      </c>
      <c r="R533" s="224">
        <v>0</v>
      </c>
      <c r="S533" s="224">
        <v>0</v>
      </c>
      <c r="T533" s="224">
        <v>0</v>
      </c>
      <c r="U533" s="259">
        <v>1.8270333708540372E-3</v>
      </c>
      <c r="V533" s="239">
        <v>0</v>
      </c>
      <c r="W533" s="239">
        <v>1</v>
      </c>
      <c r="X533" s="239">
        <v>0</v>
      </c>
      <c r="Y533" s="239">
        <v>0</v>
      </c>
      <c r="Z533" s="239">
        <v>0</v>
      </c>
      <c r="AA533" s="257">
        <v>1</v>
      </c>
      <c r="AB533" s="224">
        <v>0</v>
      </c>
      <c r="AC533" s="224">
        <v>5.5248618784530384E-3</v>
      </c>
      <c r="AD533" s="224">
        <v>0</v>
      </c>
      <c r="AE533" s="224">
        <v>0</v>
      </c>
      <c r="AF533" s="224">
        <v>0</v>
      </c>
      <c r="AG533" s="259">
        <v>1.6447368421052631E-3</v>
      </c>
      <c r="AH533" s="261">
        <v>0</v>
      </c>
      <c r="AI533" s="261">
        <v>3.7064492216456636E-5</v>
      </c>
      <c r="AJ533" s="261">
        <v>0</v>
      </c>
      <c r="AK533" s="261">
        <v>0</v>
      </c>
      <c r="AL533" s="261">
        <v>0</v>
      </c>
      <c r="AM533" s="262">
        <v>1.097164925831651E-5</v>
      </c>
    </row>
    <row r="534" spans="1:39" x14ac:dyDescent="0.25">
      <c r="A534" s="215" t="str">
        <v>7105-KAlsharari</v>
      </c>
      <c r="B534" s="215" t="str">
        <v>HAQURSOQ</v>
      </c>
      <c r="C534" s="215" t="str">
        <v>Mohammed Sanad</v>
      </c>
      <c r="D534" s="239">
        <v>6389.14</v>
      </c>
      <c r="E534" s="239">
        <v>6466.0599999999995</v>
      </c>
      <c r="F534" s="239">
        <v>7395.1200000000008</v>
      </c>
      <c r="G534" s="239">
        <v>5823.95</v>
      </c>
      <c r="H534" s="239">
        <v>1239.08</v>
      </c>
      <c r="I534" s="257">
        <v>27313.35</v>
      </c>
      <c r="J534" s="240">
        <v>148.58465116279069</v>
      </c>
      <c r="K534" s="240">
        <v>140.56652173913042</v>
      </c>
      <c r="L534" s="240">
        <v>157.34297872340429</v>
      </c>
      <c r="M534" s="240">
        <v>157.40405405405406</v>
      </c>
      <c r="N534" s="240">
        <v>206.51333333333332</v>
      </c>
      <c r="O534" s="258">
        <v>152.58854748603352</v>
      </c>
      <c r="P534" s="224">
        <v>0.39730097454444152</v>
      </c>
      <c r="Q534" s="224">
        <v>0.26050417121080938</v>
      </c>
      <c r="R534" s="224">
        <v>0.28627249834994356</v>
      </c>
      <c r="S534" s="224">
        <v>0.30152581448651378</v>
      </c>
      <c r="T534" s="224">
        <v>0.26623578931988562</v>
      </c>
      <c r="U534" s="259">
        <v>0.30112572590402154</v>
      </c>
      <c r="V534" s="239">
        <v>43</v>
      </c>
      <c r="W534" s="239">
        <v>46</v>
      </c>
      <c r="X534" s="239">
        <v>47</v>
      </c>
      <c r="Y534" s="239">
        <v>37</v>
      </c>
      <c r="Z534" s="239">
        <v>6</v>
      </c>
      <c r="AA534" s="257">
        <v>179</v>
      </c>
      <c r="AB534" s="224">
        <v>0.37719298245614036</v>
      </c>
      <c r="AC534" s="224">
        <v>0.27380952380952384</v>
      </c>
      <c r="AD534" s="224">
        <v>0.35877862595419846</v>
      </c>
      <c r="AE534" s="224">
        <v>0.35576923076923078</v>
      </c>
      <c r="AF534" s="224">
        <v>0.19354838709677419</v>
      </c>
      <c r="AG534" s="259">
        <v>0.32664233576642338</v>
      </c>
      <c r="AH534" s="261">
        <v>2.2364383419150153E-3</v>
      </c>
      <c r="AI534" s="261">
        <v>1.7049666419570052E-3</v>
      </c>
      <c r="AJ534" s="261">
        <v>2.1818857063274685E-3</v>
      </c>
      <c r="AK534" s="261">
        <v>1.9891403687973767E-3</v>
      </c>
      <c r="AL534" s="261">
        <v>1.2513034410844631E-3</v>
      </c>
      <c r="AM534" s="262">
        <v>1.9639252172386555E-3</v>
      </c>
    </row>
    <row r="535" spans="1:39" x14ac:dyDescent="0.25">
      <c r="A535" s="215" t="str">
        <v>5361-FAI-Sharari</v>
      </c>
      <c r="B535" s="215" t="str">
        <v>HAQURSOQ</v>
      </c>
      <c r="C535" s="215" t="str">
        <v>Mohammed Sanad</v>
      </c>
      <c r="D535" s="239">
        <v>4969.1100000000006</v>
      </c>
      <c r="E535" s="239">
        <v>7778.1</v>
      </c>
      <c r="F535" s="239">
        <v>6371.11</v>
      </c>
      <c r="G535" s="239">
        <v>6401.9400000000005</v>
      </c>
      <c r="H535" s="239">
        <v>0</v>
      </c>
      <c r="I535" s="257">
        <v>25520.260000000002</v>
      </c>
      <c r="J535" s="240">
        <v>141.97457142857144</v>
      </c>
      <c r="K535" s="240">
        <v>176.77500000000001</v>
      </c>
      <c r="L535" s="240">
        <v>187.38558823529411</v>
      </c>
      <c r="M535" s="240">
        <v>220.75655172413795</v>
      </c>
      <c r="N535" s="240" t="str">
        <v/>
      </c>
      <c r="O535" s="258">
        <v>179.72014084507043</v>
      </c>
      <c r="P535" s="224">
        <v>0.30899811956202711</v>
      </c>
      <c r="Q535" s="224">
        <v>0.31336354659480375</v>
      </c>
      <c r="R535" s="224">
        <v>0.24663204612802883</v>
      </c>
      <c r="S535" s="224">
        <v>0.33145033401622476</v>
      </c>
      <c r="T535" s="224">
        <v>0</v>
      </c>
      <c r="U535" s="259">
        <v>0.28135716848205605</v>
      </c>
      <c r="V535" s="239">
        <v>35</v>
      </c>
      <c r="W535" s="239">
        <v>44</v>
      </c>
      <c r="X535" s="239">
        <v>34</v>
      </c>
      <c r="Y535" s="239">
        <v>29</v>
      </c>
      <c r="Z535" s="239">
        <v>0</v>
      </c>
      <c r="AA535" s="257">
        <v>142</v>
      </c>
      <c r="AB535" s="224">
        <v>0.30701754385964913</v>
      </c>
      <c r="AC535" s="224">
        <v>0.26190476190476192</v>
      </c>
      <c r="AD535" s="224">
        <v>0.25954198473282442</v>
      </c>
      <c r="AE535" s="224">
        <v>0.27884615384615385</v>
      </c>
      <c r="AF535" s="224">
        <v>0</v>
      </c>
      <c r="AG535" s="259">
        <v>0.25912408759124089</v>
      </c>
      <c r="AH535" s="261">
        <v>1.8203567899308265E-3</v>
      </c>
      <c r="AI535" s="261">
        <v>1.6308376575240918E-3</v>
      </c>
      <c r="AJ535" s="261">
        <v>1.5783854045773177E-3</v>
      </c>
      <c r="AK535" s="261">
        <v>1.559055964733079E-3</v>
      </c>
      <c r="AL535" s="261">
        <v>0</v>
      </c>
      <c r="AM535" s="262">
        <v>1.5579741946809445E-3</v>
      </c>
    </row>
    <row r="536" spans="1:39" x14ac:dyDescent="0.25">
      <c r="A536" s="215" t="str">
        <v>7026-WAlsharari</v>
      </c>
      <c r="B536" s="215" t="str">
        <v>HAQURSOQ</v>
      </c>
      <c r="C536" s="215" t="str">
        <v>Mohammed Sanad</v>
      </c>
      <c r="D536" s="239">
        <v>1422.03</v>
      </c>
      <c r="E536" s="239">
        <v>4974.09</v>
      </c>
      <c r="F536" s="239">
        <v>8218.1500000000015</v>
      </c>
      <c r="G536" s="239">
        <v>4263.9799999999996</v>
      </c>
      <c r="H536" s="239">
        <v>1041</v>
      </c>
      <c r="I536" s="257">
        <v>19919.25</v>
      </c>
      <c r="J536" s="240">
        <v>142.203</v>
      </c>
      <c r="K536" s="240">
        <v>138.16916666666668</v>
      </c>
      <c r="L536" s="240">
        <v>241.71029411764709</v>
      </c>
      <c r="M536" s="240">
        <v>193.81727272727269</v>
      </c>
      <c r="N536" s="240">
        <v>130.125</v>
      </c>
      <c r="O536" s="258">
        <v>181.08409090909092</v>
      </c>
      <c r="P536" s="224">
        <v>8.8427222573215197E-2</v>
      </c>
      <c r="Q536" s="224">
        <v>0.20039578862212459</v>
      </c>
      <c r="R536" s="224">
        <v>0.31813281357362544</v>
      </c>
      <c r="S536" s="224">
        <v>0.2207608311290799</v>
      </c>
      <c r="T536" s="224">
        <v>0.22367519182135207</v>
      </c>
      <c r="U536" s="259">
        <v>0.2196068448474347</v>
      </c>
      <c r="V536" s="239">
        <v>10</v>
      </c>
      <c r="W536" s="239">
        <v>36</v>
      </c>
      <c r="X536" s="239">
        <v>34</v>
      </c>
      <c r="Y536" s="239">
        <v>22</v>
      </c>
      <c r="Z536" s="239">
        <v>8</v>
      </c>
      <c r="AA536" s="257">
        <v>110</v>
      </c>
      <c r="AB536" s="224">
        <v>8.771929824561403E-2</v>
      </c>
      <c r="AC536" s="224">
        <v>0.21428571428571427</v>
      </c>
      <c r="AD536" s="224">
        <v>0.25954198473282442</v>
      </c>
      <c r="AE536" s="224">
        <v>0.21153846153846154</v>
      </c>
      <c r="AF536" s="224">
        <v>0.25806451612903225</v>
      </c>
      <c r="AG536" s="259">
        <v>0.20072992700729927</v>
      </c>
      <c r="AH536" s="261">
        <v>5.2010193998023614E-4</v>
      </c>
      <c r="AI536" s="261">
        <v>1.3343217197924388E-3</v>
      </c>
      <c r="AJ536" s="261">
        <v>1.5783854045773177E-3</v>
      </c>
      <c r="AK536" s="261">
        <v>1.1827321111768185E-3</v>
      </c>
      <c r="AL536" s="261">
        <v>1.6684045881126173E-3</v>
      </c>
      <c r="AM536" s="262">
        <v>1.2068814184148162E-3</v>
      </c>
    </row>
    <row r="537" spans="1:39" x14ac:dyDescent="0.25">
      <c r="A537" s="215" t="str">
        <v>4318-YAbduIIah</v>
      </c>
      <c r="B537" s="215" t="str">
        <v>HAQURSOQ</v>
      </c>
      <c r="C537" s="215" t="str">
        <v>Mohammed Sanad</v>
      </c>
      <c r="D537" s="239">
        <v>3301.08</v>
      </c>
      <c r="E537" s="239">
        <v>5603.08</v>
      </c>
      <c r="F537" s="239">
        <v>3848.0699999999997</v>
      </c>
      <c r="G537" s="239">
        <v>2825.06</v>
      </c>
      <c r="H537" s="239">
        <v>2373.9899999999998</v>
      </c>
      <c r="I537" s="257">
        <v>17951.28</v>
      </c>
      <c r="J537" s="240">
        <v>126.96461538461539</v>
      </c>
      <c r="K537" s="240">
        <v>133.40666666666667</v>
      </c>
      <c r="L537" s="240">
        <v>240.50437499999998</v>
      </c>
      <c r="M537" s="240">
        <v>176.56625</v>
      </c>
      <c r="N537" s="240">
        <v>139.64647058823527</v>
      </c>
      <c r="O537" s="258">
        <v>153.42974358974357</v>
      </c>
      <c r="P537" s="224">
        <v>0.20527368332031617</v>
      </c>
      <c r="Q537" s="224">
        <v>0.22573649357226222</v>
      </c>
      <c r="R537" s="224">
        <v>0.14896264194840206</v>
      </c>
      <c r="S537" s="224">
        <v>0.14626302036818151</v>
      </c>
      <c r="T537" s="224">
        <v>0.51008901885876234</v>
      </c>
      <c r="U537" s="259">
        <v>0.19791026076648757</v>
      </c>
      <c r="V537" s="239">
        <v>26</v>
      </c>
      <c r="W537" s="239">
        <v>42</v>
      </c>
      <c r="X537" s="239">
        <v>16</v>
      </c>
      <c r="Y537" s="239">
        <v>16</v>
      </c>
      <c r="Z537" s="239">
        <v>17</v>
      </c>
      <c r="AA537" s="257">
        <v>117</v>
      </c>
      <c r="AB537" s="224">
        <v>0.22807017543859648</v>
      </c>
      <c r="AC537" s="224">
        <v>0.25</v>
      </c>
      <c r="AD537" s="224">
        <v>0.12213740458015267</v>
      </c>
      <c r="AE537" s="224">
        <v>0.15384615384615385</v>
      </c>
      <c r="AF537" s="224">
        <v>0.54838709677419351</v>
      </c>
      <c r="AG537" s="259">
        <v>0.21350364963503649</v>
      </c>
      <c r="AH537" s="261">
        <v>1.3522650439486139E-3</v>
      </c>
      <c r="AI537" s="261">
        <v>1.5567086730911787E-3</v>
      </c>
      <c r="AJ537" s="261">
        <v>7.4276960215403183E-4</v>
      </c>
      <c r="AK537" s="261">
        <v>8.6016880812859521E-4</v>
      </c>
      <c r="AL537" s="261">
        <v>3.545359749739312E-3</v>
      </c>
      <c r="AM537" s="262">
        <v>1.2836829632230317E-3</v>
      </c>
    </row>
    <row r="538" spans="1:39" x14ac:dyDescent="0.25">
      <c r="A538" s="215" t="str">
        <v>6950-NAlrashdi</v>
      </c>
      <c r="B538" s="215" t="str">
        <v>HASOUQBRZ</v>
      </c>
      <c r="C538" s="215" t="str">
        <v>Mohammed Sanad</v>
      </c>
      <c r="D538" s="239">
        <v>2703.05</v>
      </c>
      <c r="E538" s="239">
        <v>3083.0499999999997</v>
      </c>
      <c r="F538" s="239">
        <v>4113.08</v>
      </c>
      <c r="G538" s="239">
        <v>4646.9400000000005</v>
      </c>
      <c r="H538" s="239">
        <v>782.99</v>
      </c>
      <c r="I538" s="257">
        <v>15329.11</v>
      </c>
      <c r="J538" s="240">
        <v>193.07500000000002</v>
      </c>
      <c r="K538" s="240">
        <v>162.26578947368421</v>
      </c>
      <c r="L538" s="240">
        <v>195.86095238095237</v>
      </c>
      <c r="M538" s="240">
        <v>193.62250000000003</v>
      </c>
      <c r="N538" s="240">
        <v>260.99666666666667</v>
      </c>
      <c r="O538" s="258">
        <v>189.24827160493828</v>
      </c>
      <c r="P538" s="224">
        <v>0.23777270124320368</v>
      </c>
      <c r="Q538" s="224">
        <v>0.21814207944120306</v>
      </c>
      <c r="R538" s="224">
        <v>0.30107860612027532</v>
      </c>
      <c r="S538" s="224">
        <v>0.44320265982254503</v>
      </c>
      <c r="T538" s="224">
        <v>0.29590564155278753</v>
      </c>
      <c r="U538" s="259">
        <v>0.29313565702245992</v>
      </c>
      <c r="V538" s="239">
        <v>14</v>
      </c>
      <c r="W538" s="239">
        <v>19</v>
      </c>
      <c r="X538" s="239">
        <v>21</v>
      </c>
      <c r="Y538" s="239">
        <v>24</v>
      </c>
      <c r="Z538" s="239">
        <v>3</v>
      </c>
      <c r="AA538" s="257">
        <v>81</v>
      </c>
      <c r="AB538" s="224">
        <v>0.18666666666666668</v>
      </c>
      <c r="AC538" s="224">
        <v>0.22352941176470589</v>
      </c>
      <c r="AD538" s="224">
        <v>0.27631578947368424</v>
      </c>
      <c r="AE538" s="224">
        <v>0.43636363636363634</v>
      </c>
      <c r="AF538" s="224">
        <v>0.25</v>
      </c>
      <c r="AG538" s="259">
        <v>0.26732673267326734</v>
      </c>
      <c r="AH538" s="261">
        <v>7.2814271597233056E-4</v>
      </c>
      <c r="AI538" s="261">
        <v>7.0422535211267609E-4</v>
      </c>
      <c r="AJ538" s="261">
        <v>9.748851028271668E-4</v>
      </c>
      <c r="AK538" s="261">
        <v>1.2902532121928929E-3</v>
      </c>
      <c r="AL538" s="261">
        <v>6.2565172054223153E-4</v>
      </c>
      <c r="AM538" s="262">
        <v>8.887035899236373E-4</v>
      </c>
    </row>
    <row r="539" spans="1:39" x14ac:dyDescent="0.25">
      <c r="A539" s="215" t="str">
        <v>4822-SAlanazi</v>
      </c>
      <c r="B539" s="215" t="str">
        <v>HASOUQBRZ</v>
      </c>
      <c r="C539" s="215" t="str">
        <v>Mohammed Sanad</v>
      </c>
      <c r="D539" s="239">
        <v>3149.04</v>
      </c>
      <c r="E539" s="239">
        <v>1862.06</v>
      </c>
      <c r="F539" s="239">
        <v>5688.0400000000009</v>
      </c>
      <c r="G539" s="239">
        <v>3466.95</v>
      </c>
      <c r="H539" s="239">
        <v>712.04</v>
      </c>
      <c r="I539" s="257">
        <v>14878.130000000001</v>
      </c>
      <c r="J539" s="240">
        <v>125.9616</v>
      </c>
      <c r="K539" s="240">
        <v>124.13733333333333</v>
      </c>
      <c r="L539" s="240">
        <v>189.60133333333337</v>
      </c>
      <c r="M539" s="240">
        <v>173.3475</v>
      </c>
      <c r="N539" s="240">
        <v>356.02</v>
      </c>
      <c r="O539" s="258">
        <v>161.71880434782611</v>
      </c>
      <c r="P539" s="224">
        <v>0.27700403141743513</v>
      </c>
      <c r="Q539" s="224">
        <v>0.13175058479242521</v>
      </c>
      <c r="R539" s="224">
        <v>0.41636611851857275</v>
      </c>
      <c r="S539" s="224">
        <v>0.33066092126684921</v>
      </c>
      <c r="T539" s="224">
        <v>0.26909239327609141</v>
      </c>
      <c r="U539" s="259">
        <v>0.2845116521973925</v>
      </c>
      <c r="V539" s="239">
        <v>25</v>
      </c>
      <c r="W539" s="239">
        <v>15</v>
      </c>
      <c r="X539" s="239">
        <v>30</v>
      </c>
      <c r="Y539" s="239">
        <v>20</v>
      </c>
      <c r="Z539" s="239">
        <v>2</v>
      </c>
      <c r="AA539" s="257">
        <v>92</v>
      </c>
      <c r="AB539" s="224">
        <v>0.33333333333333331</v>
      </c>
      <c r="AC539" s="224">
        <v>0.17647058823529413</v>
      </c>
      <c r="AD539" s="224">
        <v>0.39473684210526316</v>
      </c>
      <c r="AE539" s="224">
        <v>0.36363636363636365</v>
      </c>
      <c r="AF539" s="224">
        <v>0.16666666666666666</v>
      </c>
      <c r="AG539" s="259">
        <v>0.30363036303630364</v>
      </c>
      <c r="AH539" s="261">
        <v>1.3002548499505904E-3</v>
      </c>
      <c r="AI539" s="261">
        <v>5.559673832468495E-4</v>
      </c>
      <c r="AJ539" s="261">
        <v>1.3926930040388096E-3</v>
      </c>
      <c r="AK539" s="261">
        <v>1.075211010160744E-3</v>
      </c>
      <c r="AL539" s="261">
        <v>4.1710114702815432E-4</v>
      </c>
      <c r="AM539" s="262">
        <v>1.0093917317651189E-3</v>
      </c>
    </row>
    <row r="540" spans="1:39" x14ac:dyDescent="0.25">
      <c r="A540" s="215" t="str">
        <v>6949-HAlharbi</v>
      </c>
      <c r="B540" s="215" t="str">
        <v>HASOUQBRZ</v>
      </c>
      <c r="C540" s="215" t="str">
        <v>Mohammed Sanad</v>
      </c>
      <c r="D540" s="239">
        <v>342.02</v>
      </c>
      <c r="E540" s="239">
        <v>6267.08</v>
      </c>
      <c r="F540" s="239">
        <v>1749.99</v>
      </c>
      <c r="G540" s="239">
        <v>2371.02</v>
      </c>
      <c r="H540" s="239">
        <v>1151.05</v>
      </c>
      <c r="I540" s="257">
        <v>11881.16</v>
      </c>
      <c r="J540" s="240">
        <v>114.00666666666666</v>
      </c>
      <c r="K540" s="240">
        <v>202.16387096774193</v>
      </c>
      <c r="L540" s="240">
        <v>159.09</v>
      </c>
      <c r="M540" s="240">
        <v>215.54727272727271</v>
      </c>
      <c r="N540" s="240">
        <v>164.43571428571428</v>
      </c>
      <c r="O540" s="258">
        <v>188.58984126984126</v>
      </c>
      <c r="P540" s="224">
        <v>3.0085651127134353E-2</v>
      </c>
      <c r="Q540" s="224">
        <v>0.44342902749691865</v>
      </c>
      <c r="R540" s="224">
        <v>0.12809975734107304</v>
      </c>
      <c r="S540" s="224">
        <v>0.22613641891060582</v>
      </c>
      <c r="T540" s="224">
        <v>0.43500196517112105</v>
      </c>
      <c r="U540" s="259">
        <v>0.22720116450263383</v>
      </c>
      <c r="V540" s="239">
        <v>3</v>
      </c>
      <c r="W540" s="239">
        <v>31</v>
      </c>
      <c r="X540" s="239">
        <v>11</v>
      </c>
      <c r="Y540" s="239">
        <v>11</v>
      </c>
      <c r="Z540" s="239">
        <v>7</v>
      </c>
      <c r="AA540" s="257">
        <v>63</v>
      </c>
      <c r="AB540" s="224">
        <v>0.04</v>
      </c>
      <c r="AC540" s="224">
        <v>0.36470588235294116</v>
      </c>
      <c r="AD540" s="224">
        <v>0.14473684210526316</v>
      </c>
      <c r="AE540" s="224">
        <v>0.2</v>
      </c>
      <c r="AF540" s="224">
        <v>0.58333333333333337</v>
      </c>
      <c r="AG540" s="259">
        <v>0.20792079207920791</v>
      </c>
      <c r="AH540" s="261">
        <v>1.5603058199407084E-4</v>
      </c>
      <c r="AI540" s="261">
        <v>1.1489992587101557E-3</v>
      </c>
      <c r="AJ540" s="261">
        <v>5.1065410148089685E-4</v>
      </c>
      <c r="AK540" s="261">
        <v>5.9136605558840927E-4</v>
      </c>
      <c r="AL540" s="261">
        <v>1.4598540145985401E-3</v>
      </c>
      <c r="AM540" s="262">
        <v>6.9121390327394011E-4</v>
      </c>
    </row>
    <row r="541" spans="1:39" x14ac:dyDescent="0.25">
      <c r="A541" s="215" t="str">
        <v>6948-HAlanazi</v>
      </c>
      <c r="B541" s="215" t="str">
        <v>HASOUQBRZ</v>
      </c>
      <c r="C541" s="215" t="str">
        <v>Mohammed Sanad</v>
      </c>
      <c r="D541" s="239">
        <v>5174.1000000000004</v>
      </c>
      <c r="E541" s="239">
        <v>2921.0299999999997</v>
      </c>
      <c r="F541" s="239">
        <v>2110.04</v>
      </c>
      <c r="G541" s="239">
        <v>0</v>
      </c>
      <c r="H541" s="239">
        <v>0</v>
      </c>
      <c r="I541" s="257">
        <v>10205.17</v>
      </c>
      <c r="J541" s="240">
        <v>156.79090909090911</v>
      </c>
      <c r="K541" s="240">
        <v>146.05149999999998</v>
      </c>
      <c r="L541" s="240">
        <v>150.71714285714285</v>
      </c>
      <c r="M541" s="240" t="str">
        <v/>
      </c>
      <c r="N541" s="240" t="str">
        <v/>
      </c>
      <c r="O541" s="258">
        <v>152.31597014925373</v>
      </c>
      <c r="P541" s="224">
        <v>0.45513761621222698</v>
      </c>
      <c r="Q541" s="224">
        <v>0.2066783082694531</v>
      </c>
      <c r="R541" s="224">
        <v>0.15445551802007881</v>
      </c>
      <c r="S541" s="224">
        <v>0</v>
      </c>
      <c r="T541" s="224">
        <v>0</v>
      </c>
      <c r="U541" s="259">
        <v>0.19515152627751364</v>
      </c>
      <c r="V541" s="239">
        <v>33</v>
      </c>
      <c r="W541" s="239">
        <v>20</v>
      </c>
      <c r="X541" s="239">
        <v>14</v>
      </c>
      <c r="Y541" s="239">
        <v>0</v>
      </c>
      <c r="Z541" s="239">
        <v>0</v>
      </c>
      <c r="AA541" s="257">
        <v>67</v>
      </c>
      <c r="AB541" s="224">
        <v>0.44</v>
      </c>
      <c r="AC541" s="224">
        <v>0.23529411764705882</v>
      </c>
      <c r="AD541" s="224">
        <v>0.18421052631578946</v>
      </c>
      <c r="AE541" s="224">
        <v>0</v>
      </c>
      <c r="AF541" s="224">
        <v>0</v>
      </c>
      <c r="AG541" s="259">
        <v>0.22112211221122113</v>
      </c>
      <c r="AH541" s="261">
        <v>1.7163364019347792E-3</v>
      </c>
      <c r="AI541" s="261">
        <v>7.4128984432913266E-4</v>
      </c>
      <c r="AJ541" s="261">
        <v>6.499234018847779E-4</v>
      </c>
      <c r="AK541" s="261">
        <v>0</v>
      </c>
      <c r="AL541" s="261">
        <v>0</v>
      </c>
      <c r="AM541" s="262">
        <v>7.3510050030720618E-4</v>
      </c>
    </row>
    <row r="542" spans="1:39" x14ac:dyDescent="0.25">
      <c r="A542" s="215" t="str">
        <v>7294-MMarzouq</v>
      </c>
      <c r="B542" s="215" t="str">
        <v>HASULITMAL</v>
      </c>
      <c r="C542" s="215" t="str">
        <v>Mohammed Sanad</v>
      </c>
      <c r="D542" s="239">
        <v>10076.280000000001</v>
      </c>
      <c r="E542" s="239">
        <v>13952.259999999998</v>
      </c>
      <c r="F542" s="239">
        <v>0</v>
      </c>
      <c r="G542" s="239">
        <v>-225.01</v>
      </c>
      <c r="H542" s="239">
        <v>0</v>
      </c>
      <c r="I542" s="257">
        <v>23803.530000000002</v>
      </c>
      <c r="J542" s="240">
        <v>176.77684210526317</v>
      </c>
      <c r="K542" s="240">
        <v>160.37080459770112</v>
      </c>
      <c r="L542" s="240" t="str">
        <v/>
      </c>
      <c r="M542" s="240">
        <v>-112.505</v>
      </c>
      <c r="N542" s="240" t="str">
        <v/>
      </c>
      <c r="O542" s="258">
        <v>163.0378767123288</v>
      </c>
      <c r="P542" s="224">
        <v>1</v>
      </c>
      <c r="Q542" s="224">
        <v>0.79926513889493578</v>
      </c>
      <c r="R542" s="224">
        <v>0</v>
      </c>
      <c r="S542" s="224">
        <v>-1.5022038019422297E-2</v>
      </c>
      <c r="T542" s="224">
        <v>0</v>
      </c>
      <c r="U542" s="259">
        <v>0.38211200835256459</v>
      </c>
      <c r="V542" s="239">
        <v>57</v>
      </c>
      <c r="W542" s="239">
        <v>87</v>
      </c>
      <c r="X542" s="239">
        <v>0</v>
      </c>
      <c r="Y542" s="239">
        <v>2</v>
      </c>
      <c r="Z542" s="239">
        <v>0</v>
      </c>
      <c r="AA542" s="257">
        <v>146</v>
      </c>
      <c r="AB542" s="224">
        <v>1</v>
      </c>
      <c r="AC542" s="224">
        <v>0.83653846153846156</v>
      </c>
      <c r="AD542" s="224">
        <v>0</v>
      </c>
      <c r="AE542" s="224">
        <v>1.9607843137254902E-2</v>
      </c>
      <c r="AF542" s="224">
        <v>0</v>
      </c>
      <c r="AG542" s="259">
        <v>0.38726790450928383</v>
      </c>
      <c r="AH542" s="261">
        <v>2.9645810578873459E-3</v>
      </c>
      <c r="AI542" s="261">
        <v>3.2246108228317274E-3</v>
      </c>
      <c r="AJ542" s="261">
        <v>0</v>
      </c>
      <c r="AK542" s="261">
        <v>1.075211010160744E-4</v>
      </c>
      <c r="AL542" s="261">
        <v>0</v>
      </c>
      <c r="AM542" s="262">
        <v>1.6018607917142106E-3</v>
      </c>
    </row>
    <row r="543" spans="1:39" x14ac:dyDescent="0.25">
      <c r="A543" s="215" t="str">
        <v>7295-RAlsaqer</v>
      </c>
      <c r="B543" s="215" t="str">
        <v>HASULITMAL</v>
      </c>
      <c r="C543" s="215" t="str">
        <v>Mohammed Sanad</v>
      </c>
      <c r="D543" s="239">
        <v>0</v>
      </c>
      <c r="E543" s="239">
        <v>1050.03</v>
      </c>
      <c r="F543" s="239">
        <v>8890.2000000000007</v>
      </c>
      <c r="G543" s="239">
        <v>2751.02</v>
      </c>
      <c r="H543" s="239">
        <v>898.06</v>
      </c>
      <c r="I543" s="257">
        <v>13589.310000000001</v>
      </c>
      <c r="J543" s="240" t="str">
        <v/>
      </c>
      <c r="K543" s="240">
        <v>131.25375</v>
      </c>
      <c r="L543" s="240">
        <v>174.31764705882355</v>
      </c>
      <c r="M543" s="240">
        <v>131.00095238095238</v>
      </c>
      <c r="N543" s="240">
        <v>179.61199999999999</v>
      </c>
      <c r="O543" s="258">
        <v>159.87423529411765</v>
      </c>
      <c r="P543" s="224">
        <v>0</v>
      </c>
      <c r="Q543" s="224">
        <v>6.0151715477911781E-2</v>
      </c>
      <c r="R543" s="224">
        <v>0.58096996929881317</v>
      </c>
      <c r="S543" s="224">
        <v>0.18366262402644828</v>
      </c>
      <c r="T543" s="224">
        <v>0.2004150859183218</v>
      </c>
      <c r="U543" s="259">
        <v>0.21814573452868499</v>
      </c>
      <c r="V543" s="239">
        <v>0</v>
      </c>
      <c r="W543" s="239">
        <v>8</v>
      </c>
      <c r="X543" s="239">
        <v>51</v>
      </c>
      <c r="Y543" s="239">
        <v>21</v>
      </c>
      <c r="Z543" s="239">
        <v>5</v>
      </c>
      <c r="AA543" s="257">
        <v>85</v>
      </c>
      <c r="AB543" s="224">
        <v>0</v>
      </c>
      <c r="AC543" s="224">
        <v>7.6923076923076927E-2</v>
      </c>
      <c r="AD543" s="224">
        <v>0.57954545454545459</v>
      </c>
      <c r="AE543" s="224">
        <v>0.20588235294117646</v>
      </c>
      <c r="AF543" s="224">
        <v>0.19230769230769232</v>
      </c>
      <c r="AG543" s="259">
        <v>0.22546419098143236</v>
      </c>
      <c r="AH543" s="261">
        <v>0</v>
      </c>
      <c r="AI543" s="261">
        <v>2.9651593773165309E-4</v>
      </c>
      <c r="AJ543" s="261">
        <v>2.3675781068659765E-3</v>
      </c>
      <c r="AK543" s="261">
        <v>1.1289715606687812E-3</v>
      </c>
      <c r="AL543" s="261">
        <v>1.0427528675703858E-3</v>
      </c>
      <c r="AM543" s="262">
        <v>9.3259018695690337E-4</v>
      </c>
    </row>
    <row r="544" spans="1:39" x14ac:dyDescent="0.25">
      <c r="A544" s="215" t="str">
        <v>4367-AJafari</v>
      </c>
      <c r="B544" s="215" t="str">
        <v>HASULITMAL</v>
      </c>
      <c r="C544" s="215" t="str">
        <v>Mohammed Sanad</v>
      </c>
      <c r="D544" s="239">
        <v>0</v>
      </c>
      <c r="E544" s="239">
        <v>2454.0700000000002</v>
      </c>
      <c r="F544" s="239">
        <v>4505.0999999999995</v>
      </c>
      <c r="G544" s="239">
        <v>2800.98</v>
      </c>
      <c r="H544" s="239">
        <v>1331.1</v>
      </c>
      <c r="I544" s="257">
        <v>11091.25</v>
      </c>
      <c r="J544" s="240" t="str">
        <v/>
      </c>
      <c r="K544" s="240">
        <v>272.67444444444448</v>
      </c>
      <c r="L544" s="240">
        <v>187.71249999999998</v>
      </c>
      <c r="M544" s="240">
        <v>133.38</v>
      </c>
      <c r="N544" s="240">
        <v>190.15714285714284</v>
      </c>
      <c r="O544" s="258">
        <v>181.82377049180329</v>
      </c>
      <c r="P544" s="224">
        <v>0</v>
      </c>
      <c r="Q544" s="224">
        <v>0.14058314562715254</v>
      </c>
      <c r="R544" s="224">
        <v>0.29440595359925342</v>
      </c>
      <c r="S544" s="224">
        <v>0.18699803587236777</v>
      </c>
      <c r="T544" s="224">
        <v>0.29705422896674849</v>
      </c>
      <c r="U544" s="259">
        <v>0.17804501318251459</v>
      </c>
      <c r="V544" s="239">
        <v>0</v>
      </c>
      <c r="W544" s="239">
        <v>9</v>
      </c>
      <c r="X544" s="239">
        <v>24</v>
      </c>
      <c r="Y544" s="239">
        <v>21</v>
      </c>
      <c r="Z544" s="239">
        <v>7</v>
      </c>
      <c r="AA544" s="257">
        <v>61</v>
      </c>
      <c r="AB544" s="224">
        <v>0</v>
      </c>
      <c r="AC544" s="224">
        <v>8.6538461538461536E-2</v>
      </c>
      <c r="AD544" s="224">
        <v>0.27272727272727271</v>
      </c>
      <c r="AE544" s="224">
        <v>0.20588235294117646</v>
      </c>
      <c r="AF544" s="224">
        <v>0.26923076923076922</v>
      </c>
      <c r="AG544" s="259">
        <v>0.16180371352785147</v>
      </c>
      <c r="AH544" s="261">
        <v>0</v>
      </c>
      <c r="AI544" s="261">
        <v>3.3358042994810971E-4</v>
      </c>
      <c r="AJ544" s="261">
        <v>1.1141544032310477E-3</v>
      </c>
      <c r="AK544" s="261">
        <v>1.1289715606687812E-3</v>
      </c>
      <c r="AL544" s="261">
        <v>1.4598540145985401E-3</v>
      </c>
      <c r="AM544" s="262">
        <v>6.6927060475730708E-4</v>
      </c>
    </row>
    <row r="545" spans="1:39" x14ac:dyDescent="0.25">
      <c r="A545" s="215" t="str">
        <v>7296-AAlhaqbani</v>
      </c>
      <c r="B545" s="215" t="str">
        <v>HASULITMAL</v>
      </c>
      <c r="C545" s="215" t="str">
        <v>Mohammed Sanad</v>
      </c>
      <c r="D545" s="239">
        <v>0</v>
      </c>
      <c r="E545" s="239">
        <v>0</v>
      </c>
      <c r="F545" s="239">
        <v>1907.04</v>
      </c>
      <c r="G545" s="239">
        <v>6197.9</v>
      </c>
      <c r="H545" s="239">
        <v>0</v>
      </c>
      <c r="I545" s="257">
        <v>8104.94</v>
      </c>
      <c r="J545" s="240" t="str">
        <v/>
      </c>
      <c r="K545" s="240" t="str">
        <v/>
      </c>
      <c r="L545" s="240">
        <v>146.69538461538463</v>
      </c>
      <c r="M545" s="240">
        <v>151.16829268292682</v>
      </c>
      <c r="N545" s="240" t="str">
        <v/>
      </c>
      <c r="O545" s="258">
        <v>150.09148148148148</v>
      </c>
      <c r="P545" s="224">
        <v>0</v>
      </c>
      <c r="Q545" s="224">
        <v>0</v>
      </c>
      <c r="R545" s="224">
        <v>0.12462407710193342</v>
      </c>
      <c r="S545" s="224">
        <v>0.41378200720224639</v>
      </c>
      <c r="T545" s="224">
        <v>0</v>
      </c>
      <c r="U545" s="259">
        <v>0.13010653886112833</v>
      </c>
      <c r="V545" s="239">
        <v>0</v>
      </c>
      <c r="W545" s="239">
        <v>0</v>
      </c>
      <c r="X545" s="239">
        <v>13</v>
      </c>
      <c r="Y545" s="239">
        <v>41</v>
      </c>
      <c r="Z545" s="239">
        <v>0</v>
      </c>
      <c r="AA545" s="257">
        <v>54</v>
      </c>
      <c r="AB545" s="224">
        <v>0</v>
      </c>
      <c r="AC545" s="224">
        <v>0</v>
      </c>
      <c r="AD545" s="224">
        <v>0.14772727272727273</v>
      </c>
      <c r="AE545" s="224">
        <v>0.40196078431372551</v>
      </c>
      <c r="AF545" s="224">
        <v>0</v>
      </c>
      <c r="AG545" s="259">
        <v>0.14323607427055704</v>
      </c>
      <c r="AH545" s="261">
        <v>0</v>
      </c>
      <c r="AI545" s="261">
        <v>0</v>
      </c>
      <c r="AJ545" s="261">
        <v>6.0350030175015089E-4</v>
      </c>
      <c r="AK545" s="261">
        <v>2.2041825708295254E-3</v>
      </c>
      <c r="AL545" s="261">
        <v>0</v>
      </c>
      <c r="AM545" s="262">
        <v>5.9246905994909157E-4</v>
      </c>
    </row>
    <row r="546" spans="1:39" x14ac:dyDescent="0.25">
      <c r="A546" s="215" t="str">
        <v>4382-HAlhamdan</v>
      </c>
      <c r="B546" s="215" t="str">
        <v>HASULITMAL</v>
      </c>
      <c r="C546" s="215" t="str">
        <v>Mohammed Sanad</v>
      </c>
      <c r="D546" s="239">
        <v>0</v>
      </c>
      <c r="E546" s="239">
        <v>0</v>
      </c>
      <c r="F546" s="239">
        <v>0</v>
      </c>
      <c r="G546" s="239">
        <v>3453.77</v>
      </c>
      <c r="H546" s="239">
        <v>2251.84</v>
      </c>
      <c r="I546" s="257">
        <v>5705.6100000000006</v>
      </c>
      <c r="J546" s="240" t="str">
        <v/>
      </c>
      <c r="K546" s="240" t="str">
        <v/>
      </c>
      <c r="L546" s="240" t="str">
        <v/>
      </c>
      <c r="M546" s="240">
        <v>203.16294117647058</v>
      </c>
      <c r="N546" s="240">
        <v>160.84571428571431</v>
      </c>
      <c r="O546" s="258">
        <v>184.05193548387098</v>
      </c>
      <c r="P546" s="224">
        <v>0</v>
      </c>
      <c r="Q546" s="224">
        <v>0</v>
      </c>
      <c r="R546" s="224">
        <v>0</v>
      </c>
      <c r="S546" s="224">
        <v>0.23057937091835987</v>
      </c>
      <c r="T546" s="224">
        <v>0.50253068511492971</v>
      </c>
      <c r="U546" s="259">
        <v>9.1590705075107595E-2</v>
      </c>
      <c r="V546" s="239">
        <v>0</v>
      </c>
      <c r="W546" s="239">
        <v>0</v>
      </c>
      <c r="X546" s="239">
        <v>0</v>
      </c>
      <c r="Y546" s="239">
        <v>17</v>
      </c>
      <c r="Z546" s="239">
        <v>14</v>
      </c>
      <c r="AA546" s="257">
        <v>31</v>
      </c>
      <c r="AB546" s="224">
        <v>0</v>
      </c>
      <c r="AC546" s="224">
        <v>0</v>
      </c>
      <c r="AD546" s="224">
        <v>0</v>
      </c>
      <c r="AE546" s="224">
        <v>0.16666666666666666</v>
      </c>
      <c r="AF546" s="224">
        <v>0.53846153846153844</v>
      </c>
      <c r="AG546" s="259">
        <v>8.2228116710875335E-2</v>
      </c>
      <c r="AH546" s="261">
        <v>0</v>
      </c>
      <c r="AI546" s="261">
        <v>0</v>
      </c>
      <c r="AJ546" s="261">
        <v>0</v>
      </c>
      <c r="AK546" s="261">
        <v>9.1392935863663239E-4</v>
      </c>
      <c r="AL546" s="261">
        <v>2.9197080291970801E-3</v>
      </c>
      <c r="AM546" s="262">
        <v>3.401211270078118E-4</v>
      </c>
    </row>
    <row r="547" spans="1:39" x14ac:dyDescent="0.25">
      <c r="A547" s="215" t="str">
        <v>2922-Khalid Ibrahim</v>
      </c>
      <c r="B547" s="215" t="str">
        <v>HAWADILABN</v>
      </c>
      <c r="C547" s="215" t="str">
        <v>Mohammed Sanad</v>
      </c>
      <c r="D547" s="239">
        <v>11096.11</v>
      </c>
      <c r="E547" s="239">
        <v>23690.329999999998</v>
      </c>
      <c r="F547" s="239">
        <v>18056.239999999998</v>
      </c>
      <c r="G547" s="239">
        <v>22698.58</v>
      </c>
      <c r="H547" s="239">
        <v>641.96</v>
      </c>
      <c r="I547" s="257">
        <v>76183.220000000016</v>
      </c>
      <c r="J547" s="240">
        <v>133.68807228915662</v>
      </c>
      <c r="K547" s="240">
        <v>169.21664285714283</v>
      </c>
      <c r="L547" s="240">
        <v>170.34188679245281</v>
      </c>
      <c r="M547" s="240">
        <v>177.33265625000001</v>
      </c>
      <c r="N547" s="240">
        <v>213.98666666666668</v>
      </c>
      <c r="O547" s="258">
        <v>165.61569565217394</v>
      </c>
      <c r="P547" s="224">
        <v>0.3701236212648189</v>
      </c>
      <c r="Q547" s="224">
        <v>0.42738552307182182</v>
      </c>
      <c r="R547" s="224">
        <v>0.44471810675161577</v>
      </c>
      <c r="S547" s="224">
        <v>0.60885818001173275</v>
      </c>
      <c r="T547" s="224">
        <v>7.6596973395807913E-2</v>
      </c>
      <c r="U547" s="259">
        <v>0.44376831566402747</v>
      </c>
      <c r="V547" s="239">
        <v>83</v>
      </c>
      <c r="W547" s="239">
        <v>140</v>
      </c>
      <c r="X547" s="239">
        <v>106</v>
      </c>
      <c r="Y547" s="239">
        <v>128</v>
      </c>
      <c r="Z547" s="239">
        <v>3</v>
      </c>
      <c r="AA547" s="257">
        <v>460</v>
      </c>
      <c r="AB547" s="224">
        <v>0.37899543378995432</v>
      </c>
      <c r="AC547" s="224">
        <v>0.39436619718309857</v>
      </c>
      <c r="AD547" s="224">
        <v>0.39405204460966542</v>
      </c>
      <c r="AE547" s="224">
        <v>0.56140350877192979</v>
      </c>
      <c r="AF547" s="224">
        <v>0.06</v>
      </c>
      <c r="AG547" s="259">
        <v>0.41034790365744872</v>
      </c>
      <c r="AH547" s="261">
        <v>4.3168461018359599E-3</v>
      </c>
      <c r="AI547" s="261">
        <v>5.1890289103039286E-3</v>
      </c>
      <c r="AJ547" s="261">
        <v>4.9208486142704611E-3</v>
      </c>
      <c r="AK547" s="261">
        <v>6.8813504650287616E-3</v>
      </c>
      <c r="AL547" s="261">
        <v>6.2565172054223153E-4</v>
      </c>
      <c r="AM547" s="262">
        <v>5.0469586588255946E-3</v>
      </c>
    </row>
    <row r="548" spans="1:39" x14ac:dyDescent="0.25">
      <c r="A548" s="215" t="str">
        <v>7010-MAlghamdi</v>
      </c>
      <c r="B548" s="215" t="str">
        <v>HAWADILABN</v>
      </c>
      <c r="C548" s="215" t="str">
        <v>Mohammed Sanad</v>
      </c>
      <c r="D548" s="239">
        <v>12352.260000000002</v>
      </c>
      <c r="E548" s="239">
        <v>15149.14</v>
      </c>
      <c r="F548" s="239">
        <v>12816.17</v>
      </c>
      <c r="G548" s="239">
        <v>9073.94</v>
      </c>
      <c r="H548" s="239">
        <v>1701.98</v>
      </c>
      <c r="I548" s="257">
        <v>51093.490000000005</v>
      </c>
      <c r="J548" s="240">
        <v>138.78943820224723</v>
      </c>
      <c r="K548" s="240">
        <v>161.16106382978722</v>
      </c>
      <c r="L548" s="240">
        <v>137.80827956989248</v>
      </c>
      <c r="M548" s="240">
        <v>148.75311475409836</v>
      </c>
      <c r="N548" s="240">
        <v>189.10888888888888</v>
      </c>
      <c r="O548" s="258">
        <v>147.66904624277458</v>
      </c>
      <c r="P548" s="224">
        <v>0.41202396173114475</v>
      </c>
      <c r="Q548" s="224">
        <v>0.27329813991566426</v>
      </c>
      <c r="R548" s="224">
        <v>0.31565723861705736</v>
      </c>
      <c r="S548" s="224">
        <v>0.2433959566605339</v>
      </c>
      <c r="T548" s="224">
        <v>0.20307576294503885</v>
      </c>
      <c r="U548" s="259">
        <v>0.29762028959522624</v>
      </c>
      <c r="V548" s="239">
        <v>89</v>
      </c>
      <c r="W548" s="239">
        <v>94</v>
      </c>
      <c r="X548" s="239">
        <v>93</v>
      </c>
      <c r="Y548" s="239">
        <v>61</v>
      </c>
      <c r="Z548" s="239">
        <v>9</v>
      </c>
      <c r="AA548" s="257">
        <v>346</v>
      </c>
      <c r="AB548" s="224">
        <v>0.40639269406392692</v>
      </c>
      <c r="AC548" s="224">
        <v>0.26478873239436618</v>
      </c>
      <c r="AD548" s="224">
        <v>0.34572490706319703</v>
      </c>
      <c r="AE548" s="224">
        <v>0.26754385964912281</v>
      </c>
      <c r="AF548" s="224">
        <v>0.18</v>
      </c>
      <c r="AG548" s="259">
        <v>0.30865298840321143</v>
      </c>
      <c r="AH548" s="261">
        <v>4.6289072658241013E-3</v>
      </c>
      <c r="AI548" s="261">
        <v>3.4840622683469237E-3</v>
      </c>
      <c r="AJ548" s="261">
        <v>4.3173483125203103E-3</v>
      </c>
      <c r="AK548" s="261">
        <v>3.2793935809902692E-3</v>
      </c>
      <c r="AL548" s="261">
        <v>1.8769551616266945E-3</v>
      </c>
      <c r="AM548" s="262">
        <v>3.7961906433775124E-3</v>
      </c>
    </row>
    <row r="549" spans="1:39" x14ac:dyDescent="0.25">
      <c r="A549" s="215" t="str">
        <v>3241-Huda Alshehri</v>
      </c>
      <c r="B549" s="215" t="str">
        <v>HAWADILABN</v>
      </c>
      <c r="C549" s="215" t="str">
        <v>Mohammed Sanad</v>
      </c>
      <c r="D549" s="239">
        <v>6531.1</v>
      </c>
      <c r="E549" s="239">
        <v>16591.349999999999</v>
      </c>
      <c r="F549" s="239">
        <v>9729.130000000001</v>
      </c>
      <c r="G549" s="239">
        <v>5508.05</v>
      </c>
      <c r="H549" s="239">
        <v>6037.07</v>
      </c>
      <c r="I549" s="257">
        <v>44396.700000000004</v>
      </c>
      <c r="J549" s="240">
        <v>138.95957446808512</v>
      </c>
      <c r="K549" s="240">
        <v>137.11859504132229</v>
      </c>
      <c r="L549" s="240">
        <v>138.98757142857144</v>
      </c>
      <c r="M549" s="240">
        <v>141.23205128205129</v>
      </c>
      <c r="N549" s="240">
        <v>158.87026315789473</v>
      </c>
      <c r="O549" s="258">
        <v>140.94190476190477</v>
      </c>
      <c r="P549" s="224">
        <v>0.21785241700403643</v>
      </c>
      <c r="Q549" s="224">
        <v>0.29931633701251398</v>
      </c>
      <c r="R549" s="224">
        <v>0.23962465463132682</v>
      </c>
      <c r="S549" s="224">
        <v>0.14774586332773346</v>
      </c>
      <c r="T549" s="224">
        <v>0.72032726365915323</v>
      </c>
      <c r="U549" s="259">
        <v>0.2586113947407464</v>
      </c>
      <c r="V549" s="239">
        <v>47</v>
      </c>
      <c r="W549" s="239">
        <v>121</v>
      </c>
      <c r="X549" s="239">
        <v>70</v>
      </c>
      <c r="Y549" s="239">
        <v>39</v>
      </c>
      <c r="Z549" s="239">
        <v>38</v>
      </c>
      <c r="AA549" s="257">
        <v>315</v>
      </c>
      <c r="AB549" s="224">
        <v>0.21461187214611871</v>
      </c>
      <c r="AC549" s="224">
        <v>0.3408450704225352</v>
      </c>
      <c r="AD549" s="224">
        <v>0.26022304832713755</v>
      </c>
      <c r="AE549" s="224">
        <v>0.17105263157894737</v>
      </c>
      <c r="AF549" s="224">
        <v>0.76</v>
      </c>
      <c r="AG549" s="259">
        <v>0.28099910793933985</v>
      </c>
      <c r="AH549" s="261">
        <v>2.4444791179071097E-3</v>
      </c>
      <c r="AI549" s="261">
        <v>4.4848035581912526E-3</v>
      </c>
      <c r="AJ549" s="261">
        <v>3.2496170094238894E-3</v>
      </c>
      <c r="AK549" s="261">
        <v>2.0966614698134508E-3</v>
      </c>
      <c r="AL549" s="261">
        <v>7.9249217935349319E-3</v>
      </c>
      <c r="AM549" s="262">
        <v>3.4560695163697009E-3</v>
      </c>
    </row>
    <row r="550" spans="1:39" x14ac:dyDescent="0.25">
      <c r="A550" s="215" t="str">
        <v>7194-AAlhaib</v>
      </c>
      <c r="B550" s="215" t="str">
        <v>MEDAD</v>
      </c>
      <c r="C550" s="215" t="str">
        <v>Mohammed Sanad</v>
      </c>
      <c r="D550" s="239">
        <v>18132.48</v>
      </c>
      <c r="E550" s="239">
        <v>34631.5</v>
      </c>
      <c r="F550" s="239">
        <v>18615.349999999999</v>
      </c>
      <c r="G550" s="239">
        <v>23944.41</v>
      </c>
      <c r="H550" s="239">
        <v>8160.15</v>
      </c>
      <c r="I550" s="257">
        <v>103483.88999999998</v>
      </c>
      <c r="J550" s="240">
        <v>166.35302752293578</v>
      </c>
      <c r="K550" s="240">
        <v>158.86009174311926</v>
      </c>
      <c r="L550" s="240">
        <v>152.58483606557377</v>
      </c>
      <c r="M550" s="240">
        <v>178.68962686567164</v>
      </c>
      <c r="N550" s="240">
        <v>177.39456521739129</v>
      </c>
      <c r="O550" s="258">
        <v>164.52128775834655</v>
      </c>
      <c r="P550" s="224">
        <v>0.39104704538911189</v>
      </c>
      <c r="Q550" s="224">
        <v>0.38686857583569156</v>
      </c>
      <c r="R550" s="224">
        <v>0.309415769519089</v>
      </c>
      <c r="S550" s="224">
        <v>0.3688538567936791</v>
      </c>
      <c r="T550" s="224">
        <v>0.44575954445960025</v>
      </c>
      <c r="U550" s="259">
        <v>0.37054966369441955</v>
      </c>
      <c r="V550" s="239">
        <v>109</v>
      </c>
      <c r="W550" s="239">
        <v>218</v>
      </c>
      <c r="X550" s="239">
        <v>122</v>
      </c>
      <c r="Y550" s="239">
        <v>134</v>
      </c>
      <c r="Z550" s="239">
        <v>46</v>
      </c>
      <c r="AA550" s="257">
        <v>629</v>
      </c>
      <c r="AB550" s="224">
        <v>0.33850931677018631</v>
      </c>
      <c r="AC550" s="224">
        <v>0.39926739926739929</v>
      </c>
      <c r="AD550" s="224">
        <v>0.32707774798927614</v>
      </c>
      <c r="AE550" s="224">
        <v>0.35356200527704484</v>
      </c>
      <c r="AF550" s="224">
        <v>0.47916666666666669</v>
      </c>
      <c r="AG550" s="259">
        <v>0.36655011655011654</v>
      </c>
      <c r="AH550" s="261">
        <v>5.6691111457845738E-3</v>
      </c>
      <c r="AI550" s="261">
        <v>8.0800593031875468E-3</v>
      </c>
      <c r="AJ550" s="261">
        <v>5.6636182164244925E-3</v>
      </c>
      <c r="AK550" s="261">
        <v>7.203913768076985E-3</v>
      </c>
      <c r="AL550" s="261">
        <v>9.5933263816475496E-3</v>
      </c>
      <c r="AM550" s="262">
        <v>6.9011673834810851E-3</v>
      </c>
    </row>
    <row r="551" spans="1:39" x14ac:dyDescent="0.25">
      <c r="A551" s="215" t="str">
        <v>2900-Raed Ramzi</v>
      </c>
      <c r="B551" s="215" t="str">
        <v>MEDAD</v>
      </c>
      <c r="C551" s="215" t="str">
        <v>Mohammed Sanad</v>
      </c>
      <c r="D551" s="239">
        <v>8870.1899999999987</v>
      </c>
      <c r="E551" s="239">
        <v>25661.329999999998</v>
      </c>
      <c r="F551" s="239">
        <v>16411.169999999998</v>
      </c>
      <c r="G551" s="239">
        <v>15558.779999999999</v>
      </c>
      <c r="H551" s="239">
        <v>6394.2400000000007</v>
      </c>
      <c r="I551" s="257">
        <v>72895.710000000006</v>
      </c>
      <c r="J551" s="240">
        <v>126.71699999999998</v>
      </c>
      <c r="K551" s="240">
        <v>162.41348101265822</v>
      </c>
      <c r="L551" s="240">
        <v>164.11169999999998</v>
      </c>
      <c r="M551" s="240">
        <v>174.81775280898876</v>
      </c>
      <c r="N551" s="240">
        <v>220.49103448275864</v>
      </c>
      <c r="O551" s="258">
        <v>163.44329596412558</v>
      </c>
      <c r="P551" s="224">
        <v>0.19129548696813928</v>
      </c>
      <c r="Q551" s="224">
        <v>0.28666278362616998</v>
      </c>
      <c r="R551" s="224">
        <v>0.27277890527218596</v>
      </c>
      <c r="S551" s="224">
        <v>0.23967665146079434</v>
      </c>
      <c r="T551" s="224">
        <v>0.34929425434156908</v>
      </c>
      <c r="U551" s="259">
        <v>0.26102111957006974</v>
      </c>
      <c r="V551" s="239">
        <v>70</v>
      </c>
      <c r="W551" s="239">
        <v>158</v>
      </c>
      <c r="X551" s="239">
        <v>100</v>
      </c>
      <c r="Y551" s="239">
        <v>89</v>
      </c>
      <c r="Z551" s="239">
        <v>29</v>
      </c>
      <c r="AA551" s="257">
        <v>446</v>
      </c>
      <c r="AB551" s="224">
        <v>0.21739130434782608</v>
      </c>
      <c r="AC551" s="224">
        <v>0.2893772893772894</v>
      </c>
      <c r="AD551" s="224">
        <v>0.26809651474530832</v>
      </c>
      <c r="AE551" s="224">
        <v>0.23482849604221637</v>
      </c>
      <c r="AF551" s="224">
        <v>0.30208333333333331</v>
      </c>
      <c r="AG551" s="259">
        <v>0.25990675990675993</v>
      </c>
      <c r="AH551" s="261">
        <v>3.6407135798616529E-3</v>
      </c>
      <c r="AI551" s="261">
        <v>5.8561897702001479E-3</v>
      </c>
      <c r="AJ551" s="261">
        <v>4.642310013462699E-3</v>
      </c>
      <c r="AK551" s="261">
        <v>4.7846889952153108E-3</v>
      </c>
      <c r="AL551" s="261">
        <v>6.0479666319082376E-3</v>
      </c>
      <c r="AM551" s="262">
        <v>4.8933555692091636E-3</v>
      </c>
    </row>
    <row r="552" spans="1:39" x14ac:dyDescent="0.25">
      <c r="A552" s="215" t="str">
        <v>3516-AAbdil</v>
      </c>
      <c r="B552" s="215" t="str">
        <v>MEDAD</v>
      </c>
      <c r="C552" s="215" t="str">
        <v>Mohammed Sanad</v>
      </c>
      <c r="D552" s="239">
        <v>13141.18</v>
      </c>
      <c r="E552" s="239">
        <v>16167.39</v>
      </c>
      <c r="F552" s="239">
        <v>17976.32</v>
      </c>
      <c r="G552" s="239">
        <v>20401.489999999998</v>
      </c>
      <c r="H552" s="239">
        <v>3676.78</v>
      </c>
      <c r="I552" s="257">
        <v>71363.16</v>
      </c>
      <c r="J552" s="240">
        <v>138.32821052631579</v>
      </c>
      <c r="K552" s="240">
        <v>170.18305263157893</v>
      </c>
      <c r="L552" s="240">
        <v>166.44740740740741</v>
      </c>
      <c r="M552" s="240">
        <v>163.21191999999999</v>
      </c>
      <c r="N552" s="240">
        <v>183.839</v>
      </c>
      <c r="O552" s="258">
        <v>161.09065462753952</v>
      </c>
      <c r="P552" s="224">
        <v>0.2834041240870796</v>
      </c>
      <c r="Q552" s="224">
        <v>0.18060595539552723</v>
      </c>
      <c r="R552" s="224">
        <v>0.29879410733192713</v>
      </c>
      <c r="S552" s="224">
        <v>0.31427662117536725</v>
      </c>
      <c r="T552" s="224">
        <v>0.20084922187437354</v>
      </c>
      <c r="U552" s="259">
        <v>0.25553344523646199</v>
      </c>
      <c r="V552" s="239">
        <v>95</v>
      </c>
      <c r="W552" s="239">
        <v>95</v>
      </c>
      <c r="X552" s="239">
        <v>108</v>
      </c>
      <c r="Y552" s="239">
        <v>125</v>
      </c>
      <c r="Z552" s="239">
        <v>20</v>
      </c>
      <c r="AA552" s="257">
        <v>443</v>
      </c>
      <c r="AB552" s="224">
        <v>0.29503105590062112</v>
      </c>
      <c r="AC552" s="224">
        <v>0.17399267399267399</v>
      </c>
      <c r="AD552" s="224">
        <v>0.289544235924933</v>
      </c>
      <c r="AE552" s="224">
        <v>0.32981530343007914</v>
      </c>
      <c r="AF552" s="224">
        <v>0.20833333333333334</v>
      </c>
      <c r="AG552" s="259">
        <v>0.25815850815850816</v>
      </c>
      <c r="AH552" s="261">
        <v>4.9409684298122435E-3</v>
      </c>
      <c r="AI552" s="261">
        <v>3.5211267605633804E-3</v>
      </c>
      <c r="AJ552" s="261">
        <v>5.0136948145397152E-3</v>
      </c>
      <c r="AK552" s="261">
        <v>6.72006881350465E-3</v>
      </c>
      <c r="AL552" s="261">
        <v>4.1710114702815434E-3</v>
      </c>
      <c r="AM552" s="262">
        <v>4.8604406214342137E-3</v>
      </c>
    </row>
    <row r="553" spans="1:39" x14ac:dyDescent="0.25">
      <c r="A553" s="215" t="str">
        <v>2959-Faisal Alamodi</v>
      </c>
      <c r="B553" s="215" t="str">
        <v>MEDAD</v>
      </c>
      <c r="C553" s="215" t="str">
        <v>Mohammed Sanad</v>
      </c>
      <c r="D553" s="239">
        <v>6225.2</v>
      </c>
      <c r="E553" s="239">
        <v>13057.260000000002</v>
      </c>
      <c r="F553" s="239">
        <v>7010.06</v>
      </c>
      <c r="G553" s="239">
        <v>5011.0300000000007</v>
      </c>
      <c r="H553" s="239">
        <v>75</v>
      </c>
      <c r="I553" s="257">
        <v>31378.550000000003</v>
      </c>
      <c r="J553" s="240">
        <v>129.69166666666666</v>
      </c>
      <c r="K553" s="240">
        <v>174.09680000000003</v>
      </c>
      <c r="L553" s="240">
        <v>166.90619047619049</v>
      </c>
      <c r="M553" s="240">
        <v>161.64612903225807</v>
      </c>
      <c r="N553" s="240">
        <v>75</v>
      </c>
      <c r="O553" s="258">
        <v>159.28197969543149</v>
      </c>
      <c r="P553" s="224">
        <v>0.13425334355566912</v>
      </c>
      <c r="Q553" s="224">
        <v>0.14586268514261128</v>
      </c>
      <c r="R553" s="224">
        <v>0.11651798699863206</v>
      </c>
      <c r="S553" s="224">
        <v>7.7192870570159389E-2</v>
      </c>
      <c r="T553" s="224">
        <v>4.0969793244572733E-3</v>
      </c>
      <c r="U553" s="259">
        <v>0.11235865939827476</v>
      </c>
      <c r="V553" s="239">
        <v>48</v>
      </c>
      <c r="W553" s="239">
        <v>75</v>
      </c>
      <c r="X553" s="239">
        <v>42</v>
      </c>
      <c r="Y553" s="239">
        <v>31</v>
      </c>
      <c r="Z553" s="239">
        <v>1</v>
      </c>
      <c r="AA553" s="257">
        <v>197</v>
      </c>
      <c r="AB553" s="224">
        <v>0.14906832298136646</v>
      </c>
      <c r="AC553" s="224">
        <v>0.13736263736263737</v>
      </c>
      <c r="AD553" s="224">
        <v>0.1126005361930295</v>
      </c>
      <c r="AE553" s="224">
        <v>8.1794195250659632E-2</v>
      </c>
      <c r="AF553" s="224">
        <v>1.0416666666666666E-2</v>
      </c>
      <c r="AG553" s="259">
        <v>0.1148018648018648</v>
      </c>
      <c r="AH553" s="261">
        <v>2.4964893119051334E-3</v>
      </c>
      <c r="AI553" s="261">
        <v>2.7798369162342477E-3</v>
      </c>
      <c r="AJ553" s="261">
        <v>1.9497702056543336E-3</v>
      </c>
      <c r="AK553" s="261">
        <v>1.6665770657491533E-3</v>
      </c>
      <c r="AL553" s="261">
        <v>2.0855057351407716E-4</v>
      </c>
      <c r="AM553" s="262">
        <v>2.1614149038883526E-3</v>
      </c>
    </row>
    <row r="554" spans="1:39" x14ac:dyDescent="0.25">
      <c r="A554" s="215" t="str">
        <v>7295-RAlsaqer</v>
      </c>
      <c r="B554" s="215" t="str">
        <v>MEDAD</v>
      </c>
      <c r="C554" s="215" t="str">
        <v>Mohammed Sanad</v>
      </c>
      <c r="D554" s="239">
        <v>0</v>
      </c>
      <c r="E554" s="239">
        <v>0</v>
      </c>
      <c r="F554" s="239">
        <v>150</v>
      </c>
      <c r="G554" s="239">
        <v>0</v>
      </c>
      <c r="H554" s="239">
        <v>0</v>
      </c>
      <c r="I554" s="257">
        <v>150</v>
      </c>
      <c r="J554" s="240" t="str">
        <v/>
      </c>
      <c r="K554" s="240" t="str">
        <v/>
      </c>
      <c r="L554" s="240">
        <v>150</v>
      </c>
      <c r="M554" s="240" t="str">
        <v/>
      </c>
      <c r="N554" s="240" t="str">
        <v/>
      </c>
      <c r="O554" s="258">
        <v>150</v>
      </c>
      <c r="P554" s="224">
        <v>0</v>
      </c>
      <c r="Q554" s="224">
        <v>0</v>
      </c>
      <c r="R554" s="224">
        <v>2.49323087816578E-3</v>
      </c>
      <c r="S554" s="224">
        <v>0</v>
      </c>
      <c r="T554" s="224">
        <v>0</v>
      </c>
      <c r="U554" s="259">
        <v>5.3711210077397496E-4</v>
      </c>
      <c r="V554" s="239">
        <v>0</v>
      </c>
      <c r="W554" s="239">
        <v>0</v>
      </c>
      <c r="X554" s="239">
        <v>1</v>
      </c>
      <c r="Y554" s="239">
        <v>0</v>
      </c>
      <c r="Z554" s="239">
        <v>0</v>
      </c>
      <c r="AA554" s="257">
        <v>1</v>
      </c>
      <c r="AB554" s="224">
        <v>0</v>
      </c>
      <c r="AC554" s="224">
        <v>0</v>
      </c>
      <c r="AD554" s="224">
        <v>2.6809651474530832E-3</v>
      </c>
      <c r="AE554" s="224">
        <v>0</v>
      </c>
      <c r="AF554" s="224">
        <v>0</v>
      </c>
      <c r="AG554" s="259">
        <v>5.8275058275058275E-4</v>
      </c>
      <c r="AH554" s="261">
        <v>0</v>
      </c>
      <c r="AI554" s="261">
        <v>0</v>
      </c>
      <c r="AJ554" s="261">
        <v>4.6423100134626989E-5</v>
      </c>
      <c r="AK554" s="261">
        <v>0</v>
      </c>
      <c r="AL554" s="261">
        <v>0</v>
      </c>
      <c r="AM554" s="262">
        <v>1.097164925831651E-5</v>
      </c>
    </row>
    <row r="555" spans="1:39" x14ac:dyDescent="0.25">
      <c r="A555" s="215" t="str">
        <v>6827-MAlDossari</v>
      </c>
      <c r="B555" s="215" t="str">
        <v>RYDTALA</v>
      </c>
      <c r="C555" s="215" t="str">
        <v>Mohammed Sanad</v>
      </c>
      <c r="D555" s="239">
        <v>0</v>
      </c>
      <c r="E555" s="239">
        <v>5114.07</v>
      </c>
      <c r="F555" s="239">
        <v>3550.0299999999997</v>
      </c>
      <c r="G555" s="239">
        <v>4207.87</v>
      </c>
      <c r="H555" s="239">
        <v>2095.08</v>
      </c>
      <c r="I555" s="257">
        <v>14967.049999999997</v>
      </c>
      <c r="J555" s="240" t="str">
        <v/>
      </c>
      <c r="K555" s="240">
        <v>127.85175</v>
      </c>
      <c r="L555" s="240">
        <v>154.34913043478261</v>
      </c>
      <c r="M555" s="240">
        <v>150.28107142857144</v>
      </c>
      <c r="N555" s="240">
        <v>174.59</v>
      </c>
      <c r="O555" s="258">
        <v>145.31116504854367</v>
      </c>
      <c r="P555" s="224">
        <v>0</v>
      </c>
      <c r="Q555" s="224">
        <v>0.93168071880898073</v>
      </c>
      <c r="R555" s="224">
        <v>0.91897551921678056</v>
      </c>
      <c r="S555" s="224">
        <v>1</v>
      </c>
      <c r="T555" s="224">
        <v>0.90302058549705178</v>
      </c>
      <c r="U555" s="259">
        <v>0.78927107497549187</v>
      </c>
      <c r="V555" s="239">
        <v>0</v>
      </c>
      <c r="W555" s="239">
        <v>40</v>
      </c>
      <c r="X555" s="239">
        <v>23</v>
      </c>
      <c r="Y555" s="239">
        <v>28</v>
      </c>
      <c r="Z555" s="239">
        <v>12</v>
      </c>
      <c r="AA555" s="257">
        <v>103</v>
      </c>
      <c r="AB555" s="224">
        <v>0</v>
      </c>
      <c r="AC555" s="224">
        <v>0.93023255813953487</v>
      </c>
      <c r="AD555" s="224">
        <v>0.92</v>
      </c>
      <c r="AE555" s="224">
        <v>1</v>
      </c>
      <c r="AF555" s="224">
        <v>0.8571428571428571</v>
      </c>
      <c r="AG555" s="259">
        <v>0.73049645390070927</v>
      </c>
      <c r="AH555" s="261">
        <v>0</v>
      </c>
      <c r="AI555" s="261">
        <v>1.4825796886582653E-3</v>
      </c>
      <c r="AJ555" s="261">
        <v>1.0677313030964207E-3</v>
      </c>
      <c r="AK555" s="261">
        <v>1.5052954142250417E-3</v>
      </c>
      <c r="AL555" s="261">
        <v>2.5026068821689261E-3</v>
      </c>
      <c r="AM555" s="262">
        <v>1.1300798736066005E-3</v>
      </c>
    </row>
    <row r="556" spans="1:39" x14ac:dyDescent="0.25">
      <c r="A556" s="215" t="str">
        <v>6176-NALYusr</v>
      </c>
      <c r="B556" s="215" t="str">
        <v>RYDTALA</v>
      </c>
      <c r="C556" s="215" t="str">
        <v>Mohammed Sanad</v>
      </c>
      <c r="D556" s="239">
        <v>3083.0699999999997</v>
      </c>
      <c r="E556" s="239">
        <v>0</v>
      </c>
      <c r="F556" s="239">
        <v>0</v>
      </c>
      <c r="G556" s="239">
        <v>0</v>
      </c>
      <c r="H556" s="239">
        <v>0</v>
      </c>
      <c r="I556" s="257">
        <v>3083.0699999999997</v>
      </c>
      <c r="J556" s="240">
        <v>99.453870967741921</v>
      </c>
      <c r="K556" s="240" t="str">
        <v/>
      </c>
      <c r="L556" s="240" t="str">
        <v/>
      </c>
      <c r="M556" s="240" t="str">
        <v/>
      </c>
      <c r="N556" s="240" t="str">
        <v/>
      </c>
      <c r="O556" s="258">
        <v>99.453870967741921</v>
      </c>
      <c r="P556" s="224">
        <v>1</v>
      </c>
      <c r="Q556" s="224">
        <v>0</v>
      </c>
      <c r="R556" s="224">
        <v>0</v>
      </c>
      <c r="S556" s="224">
        <v>0</v>
      </c>
      <c r="T556" s="224">
        <v>0</v>
      </c>
      <c r="U556" s="259">
        <v>0.16258233740948885</v>
      </c>
      <c r="V556" s="239">
        <v>31</v>
      </c>
      <c r="W556" s="239">
        <v>0</v>
      </c>
      <c r="X556" s="239">
        <v>0</v>
      </c>
      <c r="Y556" s="239">
        <v>0</v>
      </c>
      <c r="Z556" s="239">
        <v>0</v>
      </c>
      <c r="AA556" s="257">
        <v>31</v>
      </c>
      <c r="AB556" s="224">
        <v>1</v>
      </c>
      <c r="AC556" s="224">
        <v>0</v>
      </c>
      <c r="AD556" s="224">
        <v>0</v>
      </c>
      <c r="AE556" s="224">
        <v>0</v>
      </c>
      <c r="AF556" s="224">
        <v>0</v>
      </c>
      <c r="AG556" s="259">
        <v>0.21985815602836881</v>
      </c>
      <c r="AH556" s="261">
        <v>1.612316013938732E-3</v>
      </c>
      <c r="AI556" s="261">
        <v>0</v>
      </c>
      <c r="AJ556" s="261">
        <v>0</v>
      </c>
      <c r="AK556" s="261">
        <v>0</v>
      </c>
      <c r="AL556" s="261">
        <v>0</v>
      </c>
      <c r="AM556" s="262">
        <v>3.401211270078118E-4</v>
      </c>
    </row>
    <row r="557" spans="1:39" x14ac:dyDescent="0.25">
      <c r="A557" s="215" t="str">
        <v>7196-MAlkahtani</v>
      </c>
      <c r="B557" s="215" t="str">
        <v>RYDTALA</v>
      </c>
      <c r="C557" s="215" t="str">
        <v>Mohammed Sanad</v>
      </c>
      <c r="D557" s="239">
        <v>0</v>
      </c>
      <c r="E557" s="239">
        <v>375.01</v>
      </c>
      <c r="F557" s="239">
        <v>313</v>
      </c>
      <c r="G557" s="239">
        <v>0</v>
      </c>
      <c r="H557" s="239">
        <v>225</v>
      </c>
      <c r="I557" s="257">
        <v>913.01</v>
      </c>
      <c r="J557" s="240" t="str">
        <v/>
      </c>
      <c r="K557" s="240">
        <v>125.00333333333333</v>
      </c>
      <c r="L557" s="240">
        <v>156.5</v>
      </c>
      <c r="M557" s="240" t="str">
        <v/>
      </c>
      <c r="N557" s="240">
        <v>112.5</v>
      </c>
      <c r="O557" s="258">
        <v>130.43</v>
      </c>
      <c r="P557" s="224">
        <v>0</v>
      </c>
      <c r="Q557" s="224">
        <v>6.8319281191019265E-2</v>
      </c>
      <c r="R557" s="224">
        <v>8.1024480783219402E-2</v>
      </c>
      <c r="S557" s="224">
        <v>0</v>
      </c>
      <c r="T557" s="224">
        <v>9.6979414502948183E-2</v>
      </c>
      <c r="U557" s="259">
        <v>4.8146587615019255E-2</v>
      </c>
      <c r="V557" s="239">
        <v>0</v>
      </c>
      <c r="W557" s="239">
        <v>3</v>
      </c>
      <c r="X557" s="239">
        <v>2</v>
      </c>
      <c r="Y557" s="239">
        <v>0</v>
      </c>
      <c r="Z557" s="239">
        <v>2</v>
      </c>
      <c r="AA557" s="257">
        <v>7</v>
      </c>
      <c r="AB557" s="224">
        <v>0</v>
      </c>
      <c r="AC557" s="224">
        <v>6.9767441860465115E-2</v>
      </c>
      <c r="AD557" s="224">
        <v>0.08</v>
      </c>
      <c r="AE557" s="224">
        <v>0</v>
      </c>
      <c r="AF557" s="224">
        <v>0.14285714285714285</v>
      </c>
      <c r="AG557" s="259">
        <v>4.9645390070921988E-2</v>
      </c>
      <c r="AH557" s="261">
        <v>0</v>
      </c>
      <c r="AI557" s="261">
        <v>1.1119347664936991E-4</v>
      </c>
      <c r="AJ557" s="261">
        <v>9.2846200269253978E-5</v>
      </c>
      <c r="AK557" s="261">
        <v>0</v>
      </c>
      <c r="AL557" s="261">
        <v>4.1710114702815432E-4</v>
      </c>
      <c r="AM557" s="262">
        <v>7.6801544808215576E-5</v>
      </c>
    </row>
    <row r="558" spans="1:39" x14ac:dyDescent="0.25">
      <c r="A558" s="215" t="str">
        <v>3150-Saud Alotaibi</v>
      </c>
      <c r="B558" s="215" t="str">
        <v>RYDUWALK</v>
      </c>
      <c r="C558" s="215" t="str">
        <v>Mohammed Sanad</v>
      </c>
      <c r="D558" s="239">
        <v>0</v>
      </c>
      <c r="E558" s="239">
        <v>0</v>
      </c>
      <c r="F558" s="239">
        <v>13081.18</v>
      </c>
      <c r="G558" s="239">
        <v>10830.720000000001</v>
      </c>
      <c r="H558" s="239">
        <v>670.96</v>
      </c>
      <c r="I558" s="257">
        <v>24582.86</v>
      </c>
      <c r="J558" s="240" t="str">
        <v/>
      </c>
      <c r="K558" s="240" t="str">
        <v/>
      </c>
      <c r="L558" s="240">
        <v>167.70743589743591</v>
      </c>
      <c r="M558" s="240">
        <v>180.51200000000003</v>
      </c>
      <c r="N558" s="240">
        <v>167.74</v>
      </c>
      <c r="O558" s="258">
        <v>173.11873239436619</v>
      </c>
      <c r="P558" s="224">
        <v>0</v>
      </c>
      <c r="Q558" s="224">
        <v>0</v>
      </c>
      <c r="R558" s="224">
        <v>0.88087686479221128</v>
      </c>
      <c r="S558" s="224">
        <v>0.75582216540169667</v>
      </c>
      <c r="T558" s="224">
        <v>0.24513804908168224</v>
      </c>
      <c r="U558" s="259">
        <v>0.3946419065440005</v>
      </c>
      <c r="V558" s="239">
        <v>0</v>
      </c>
      <c r="W558" s="239">
        <v>0</v>
      </c>
      <c r="X558" s="239">
        <v>78</v>
      </c>
      <c r="Y558" s="239">
        <v>60</v>
      </c>
      <c r="Z558" s="239">
        <v>4</v>
      </c>
      <c r="AA558" s="257">
        <v>142</v>
      </c>
      <c r="AB558" s="224">
        <v>0</v>
      </c>
      <c r="AC558" s="224">
        <v>0</v>
      </c>
      <c r="AD558" s="224">
        <v>0.82978723404255317</v>
      </c>
      <c r="AE558" s="224">
        <v>0.72289156626506024</v>
      </c>
      <c r="AF558" s="224">
        <v>0.2857142857142857</v>
      </c>
      <c r="AG558" s="259">
        <v>0.36692506459948321</v>
      </c>
      <c r="AH558" s="261">
        <v>0</v>
      </c>
      <c r="AI558" s="261">
        <v>0</v>
      </c>
      <c r="AJ558" s="261">
        <v>3.6210018105009051E-3</v>
      </c>
      <c r="AK558" s="261">
        <v>3.2256330304822321E-3</v>
      </c>
      <c r="AL558" s="261">
        <v>8.3420229405630863E-4</v>
      </c>
      <c r="AM558" s="262">
        <v>1.5579741946809445E-3</v>
      </c>
    </row>
    <row r="559" spans="1:39" x14ac:dyDescent="0.25">
      <c r="A559" s="215" t="str">
        <v>6491-WNjmi</v>
      </c>
      <c r="B559" s="215" t="str">
        <v>RYDUWALK</v>
      </c>
      <c r="C559" s="215" t="str">
        <v>Mohammed Sanad</v>
      </c>
      <c r="D559" s="239">
        <v>5199.08</v>
      </c>
      <c r="E559" s="239">
        <v>13693.19</v>
      </c>
      <c r="F559" s="239">
        <v>0</v>
      </c>
      <c r="G559" s="239">
        <v>0</v>
      </c>
      <c r="H559" s="239">
        <v>0</v>
      </c>
      <c r="I559" s="257">
        <v>18892.27</v>
      </c>
      <c r="J559" s="240">
        <v>157.54787878787877</v>
      </c>
      <c r="K559" s="240">
        <v>141.16690721649485</v>
      </c>
      <c r="L559" s="240" t="str">
        <v/>
      </c>
      <c r="M559" s="240" t="str">
        <v/>
      </c>
      <c r="N559" s="240" t="str">
        <v/>
      </c>
      <c r="O559" s="258">
        <v>145.32515384615385</v>
      </c>
      <c r="P559" s="224">
        <v>0.74133306716667979</v>
      </c>
      <c r="Q559" s="224">
        <v>0.58614494654439109</v>
      </c>
      <c r="R559" s="224">
        <v>0</v>
      </c>
      <c r="S559" s="224">
        <v>0</v>
      </c>
      <c r="T559" s="224">
        <v>0</v>
      </c>
      <c r="U559" s="259">
        <v>0.3032877969342877</v>
      </c>
      <c r="V559" s="239">
        <v>33</v>
      </c>
      <c r="W559" s="239">
        <v>97</v>
      </c>
      <c r="X559" s="239">
        <v>0</v>
      </c>
      <c r="Y559" s="239">
        <v>0</v>
      </c>
      <c r="Z559" s="239">
        <v>0</v>
      </c>
      <c r="AA559" s="257">
        <v>130</v>
      </c>
      <c r="AB559" s="224">
        <v>0.7857142857142857</v>
      </c>
      <c r="AC559" s="224">
        <v>0.62987012987012991</v>
      </c>
      <c r="AD559" s="224">
        <v>0</v>
      </c>
      <c r="AE559" s="224">
        <v>0</v>
      </c>
      <c r="AF559" s="224">
        <v>0</v>
      </c>
      <c r="AG559" s="259">
        <v>0.33591731266149871</v>
      </c>
      <c r="AH559" s="261">
        <v>1.7163364019347792E-3</v>
      </c>
      <c r="AI559" s="261">
        <v>3.5952557449962937E-3</v>
      </c>
      <c r="AJ559" s="261">
        <v>0</v>
      </c>
      <c r="AK559" s="261">
        <v>0</v>
      </c>
      <c r="AL559" s="261">
        <v>0</v>
      </c>
      <c r="AM559" s="262">
        <v>1.4263144035811463E-3</v>
      </c>
    </row>
    <row r="560" spans="1:39" x14ac:dyDescent="0.25">
      <c r="A560" s="215" t="str">
        <v>4490-NAldawsari</v>
      </c>
      <c r="B560" s="215" t="str">
        <v>RYDUWALK</v>
      </c>
      <c r="C560" s="215" t="str">
        <v>Mohammed Sanad</v>
      </c>
      <c r="D560" s="239">
        <v>1814.07</v>
      </c>
      <c r="E560" s="239">
        <v>9668.25</v>
      </c>
      <c r="F560" s="239">
        <v>1769</v>
      </c>
      <c r="G560" s="239">
        <v>3499.0000000000005</v>
      </c>
      <c r="H560" s="239">
        <v>285.98</v>
      </c>
      <c r="I560" s="257">
        <v>17036.3</v>
      </c>
      <c r="J560" s="240">
        <v>201.56333333333333</v>
      </c>
      <c r="K560" s="240">
        <v>169.61842105263159</v>
      </c>
      <c r="L560" s="240">
        <v>110.5625</v>
      </c>
      <c r="M560" s="240">
        <v>152.13043478260872</v>
      </c>
      <c r="N560" s="240">
        <v>142.99</v>
      </c>
      <c r="O560" s="258">
        <v>159.21775700934577</v>
      </c>
      <c r="P560" s="224">
        <v>0.25866693283332026</v>
      </c>
      <c r="Q560" s="224">
        <v>0.41385505345560886</v>
      </c>
      <c r="R560" s="224">
        <v>0.11912313520778872</v>
      </c>
      <c r="S560" s="224">
        <v>0.24417783459830339</v>
      </c>
      <c r="T560" s="224">
        <v>0.10448399200605027</v>
      </c>
      <c r="U560" s="259">
        <v>0.27349290979387897</v>
      </c>
      <c r="V560" s="239">
        <v>9</v>
      </c>
      <c r="W560" s="239">
        <v>57</v>
      </c>
      <c r="X560" s="239">
        <v>16</v>
      </c>
      <c r="Y560" s="239">
        <v>23</v>
      </c>
      <c r="Z560" s="239">
        <v>2</v>
      </c>
      <c r="AA560" s="257">
        <v>107</v>
      </c>
      <c r="AB560" s="224">
        <v>0.21428571428571427</v>
      </c>
      <c r="AC560" s="224">
        <v>0.37012987012987014</v>
      </c>
      <c r="AD560" s="224">
        <v>0.1702127659574468</v>
      </c>
      <c r="AE560" s="224">
        <v>0.27710843373493976</v>
      </c>
      <c r="AF560" s="224">
        <v>0.14285714285714285</v>
      </c>
      <c r="AG560" s="259">
        <v>0.27648578811369506</v>
      </c>
      <c r="AH560" s="261">
        <v>4.6809174598221254E-4</v>
      </c>
      <c r="AI560" s="261">
        <v>2.112676056338028E-3</v>
      </c>
      <c r="AJ560" s="261">
        <v>7.4276960215403183E-4</v>
      </c>
      <c r="AK560" s="261">
        <v>1.2364926616848556E-3</v>
      </c>
      <c r="AL560" s="261">
        <v>4.1710114702815432E-4</v>
      </c>
      <c r="AM560" s="262">
        <v>1.1739664706398665E-3</v>
      </c>
    </row>
    <row r="561" spans="1:39" x14ac:dyDescent="0.25">
      <c r="A561" s="215" t="str">
        <v>4382-HAlhamdan</v>
      </c>
      <c r="B561" s="215" t="str">
        <v>RYDUWALK</v>
      </c>
      <c r="C561" s="215" t="str">
        <v>Mohammed Sanad</v>
      </c>
      <c r="D561" s="239">
        <v>0</v>
      </c>
      <c r="E561" s="239">
        <v>0</v>
      </c>
      <c r="F561" s="239">
        <v>0</v>
      </c>
      <c r="G561" s="239">
        <v>0</v>
      </c>
      <c r="H561" s="239">
        <v>1780.13</v>
      </c>
      <c r="I561" s="257">
        <v>1780.13</v>
      </c>
      <c r="J561" s="240" t="str">
        <v/>
      </c>
      <c r="K561" s="240" t="str">
        <v/>
      </c>
      <c r="L561" s="240" t="str">
        <v/>
      </c>
      <c r="M561" s="240" t="str">
        <v/>
      </c>
      <c r="N561" s="240">
        <v>222.51625000000001</v>
      </c>
      <c r="O561" s="258">
        <v>222.51625000000001</v>
      </c>
      <c r="P561" s="224">
        <v>0</v>
      </c>
      <c r="Q561" s="224">
        <v>0</v>
      </c>
      <c r="R561" s="224">
        <v>0</v>
      </c>
      <c r="S561" s="224">
        <v>0</v>
      </c>
      <c r="T561" s="224">
        <v>0.65037795891226746</v>
      </c>
      <c r="U561" s="259">
        <v>2.857738672783279E-2</v>
      </c>
      <c r="V561" s="239">
        <v>0</v>
      </c>
      <c r="W561" s="239">
        <v>0</v>
      </c>
      <c r="X561" s="239">
        <v>0</v>
      </c>
      <c r="Y561" s="239">
        <v>0</v>
      </c>
      <c r="Z561" s="239">
        <v>8</v>
      </c>
      <c r="AA561" s="257">
        <v>8</v>
      </c>
      <c r="AB561" s="224">
        <v>0</v>
      </c>
      <c r="AC561" s="224">
        <v>0</v>
      </c>
      <c r="AD561" s="224">
        <v>0</v>
      </c>
      <c r="AE561" s="224">
        <v>0</v>
      </c>
      <c r="AF561" s="224">
        <v>0.5714285714285714</v>
      </c>
      <c r="AG561" s="259">
        <v>2.0671834625322998E-2</v>
      </c>
      <c r="AH561" s="261">
        <v>0</v>
      </c>
      <c r="AI561" s="261">
        <v>0</v>
      </c>
      <c r="AJ561" s="261">
        <v>0</v>
      </c>
      <c r="AK561" s="261">
        <v>0</v>
      </c>
      <c r="AL561" s="261">
        <v>1.6684045881126173E-3</v>
      </c>
      <c r="AM561" s="262">
        <v>8.7773194066532079E-5</v>
      </c>
    </row>
    <row r="562" spans="1:39" x14ac:dyDescent="0.25">
      <c r="A562" s="215" t="str">
        <v>5108-MAlwasabi</v>
      </c>
      <c r="B562" s="215" t="str">
        <v>ALSHATEA</v>
      </c>
      <c r="C562" s="215" t="str">
        <v>Saleh Bin Hoiel</v>
      </c>
      <c r="D562" s="239">
        <v>14369.220000000001</v>
      </c>
      <c r="E562" s="239">
        <v>16257.360000000002</v>
      </c>
      <c r="F562" s="239">
        <v>4320.0600000000004</v>
      </c>
      <c r="G562" s="239">
        <v>3914.92</v>
      </c>
      <c r="H562" s="239">
        <v>0</v>
      </c>
      <c r="I562" s="257">
        <v>38861.56</v>
      </c>
      <c r="J562" s="240">
        <v>145.14363636363638</v>
      </c>
      <c r="K562" s="240">
        <v>171.13010526315793</v>
      </c>
      <c r="L562" s="240">
        <v>154.28785714285715</v>
      </c>
      <c r="M562" s="240">
        <v>156.5968</v>
      </c>
      <c r="N562" s="240" t="str">
        <v/>
      </c>
      <c r="O562" s="258">
        <v>157.33425101214573</v>
      </c>
      <c r="P562" s="224">
        <v>0.60726038854096187</v>
      </c>
      <c r="Q562" s="224">
        <v>0.42353673084403015</v>
      </c>
      <c r="R562" s="224">
        <v>0.15899314572402706</v>
      </c>
      <c r="S562" s="224">
        <v>0.1715904414062551</v>
      </c>
      <c r="T562" s="224">
        <v>0</v>
      </c>
      <c r="U562" s="259">
        <v>0.33096210125074976</v>
      </c>
      <c r="V562" s="239">
        <v>99</v>
      </c>
      <c r="W562" s="239">
        <v>95</v>
      </c>
      <c r="X562" s="239">
        <v>28</v>
      </c>
      <c r="Y562" s="239">
        <v>25</v>
      </c>
      <c r="Z562" s="239">
        <v>0</v>
      </c>
      <c r="AA562" s="257">
        <v>247</v>
      </c>
      <c r="AB562" s="224">
        <v>0.6470588235294118</v>
      </c>
      <c r="AC562" s="224">
        <v>0.42222222222222222</v>
      </c>
      <c r="AD562" s="224">
        <v>0.19310344827586207</v>
      </c>
      <c r="AE562" s="224">
        <v>0.1984126984126984</v>
      </c>
      <c r="AF562" s="224">
        <v>0</v>
      </c>
      <c r="AG562" s="259">
        <v>0.36323529411764705</v>
      </c>
      <c r="AH562" s="261">
        <v>5.1490092058043375E-3</v>
      </c>
      <c r="AI562" s="261">
        <v>3.5211267605633804E-3</v>
      </c>
      <c r="AJ562" s="261">
        <v>1.2998468037695558E-3</v>
      </c>
      <c r="AK562" s="261">
        <v>1.34401376270093E-3</v>
      </c>
      <c r="AL562" s="261">
        <v>0</v>
      </c>
      <c r="AM562" s="262">
        <v>2.7099973668041782E-3</v>
      </c>
    </row>
    <row r="563" spans="1:39" x14ac:dyDescent="0.25">
      <c r="A563" s="215" t="str">
        <v>3029- RAlawi</v>
      </c>
      <c r="B563" s="215" t="str">
        <v>ALSHATEA</v>
      </c>
      <c r="C563" s="215" t="str">
        <v>Saleh Bin Hoiel</v>
      </c>
      <c r="D563" s="239">
        <v>4442.0200000000004</v>
      </c>
      <c r="E563" s="239">
        <v>9975.119999999999</v>
      </c>
      <c r="F563" s="239">
        <v>13156.2</v>
      </c>
      <c r="G563" s="239">
        <v>3773.04</v>
      </c>
      <c r="H563" s="239">
        <v>0</v>
      </c>
      <c r="I563" s="257">
        <v>31346.38</v>
      </c>
      <c r="J563" s="240">
        <v>177.6808</v>
      </c>
      <c r="K563" s="240">
        <v>166.25199999999998</v>
      </c>
      <c r="L563" s="240">
        <v>202.40307692307692</v>
      </c>
      <c r="M563" s="240">
        <v>157.21</v>
      </c>
      <c r="N563" s="240" t="str">
        <v/>
      </c>
      <c r="O563" s="258">
        <v>180.1516091954023</v>
      </c>
      <c r="P563" s="224">
        <v>0.18772506726925495</v>
      </c>
      <c r="Q563" s="224">
        <v>0.25987181895319417</v>
      </c>
      <c r="R563" s="224">
        <v>0.48419365096189515</v>
      </c>
      <c r="S563" s="224">
        <v>0.16537185920617961</v>
      </c>
      <c r="T563" s="224">
        <v>0</v>
      </c>
      <c r="U563" s="259">
        <v>0.26695952996751748</v>
      </c>
      <c r="V563" s="239">
        <v>25</v>
      </c>
      <c r="W563" s="239">
        <v>60</v>
      </c>
      <c r="X563" s="239">
        <v>65</v>
      </c>
      <c r="Y563" s="239">
        <v>24</v>
      </c>
      <c r="Z563" s="239">
        <v>0</v>
      </c>
      <c r="AA563" s="257">
        <v>174</v>
      </c>
      <c r="AB563" s="224">
        <v>0.16339869281045752</v>
      </c>
      <c r="AC563" s="224">
        <v>0.26666666666666666</v>
      </c>
      <c r="AD563" s="224">
        <v>0.44827586206896552</v>
      </c>
      <c r="AE563" s="224">
        <v>0.19047619047619047</v>
      </c>
      <c r="AF563" s="224">
        <v>0</v>
      </c>
      <c r="AG563" s="259">
        <v>0.25588235294117645</v>
      </c>
      <c r="AH563" s="261">
        <v>1.3002548499505904E-3</v>
      </c>
      <c r="AI563" s="261">
        <v>2.223869532987398E-3</v>
      </c>
      <c r="AJ563" s="261">
        <v>3.0175015087507543E-3</v>
      </c>
      <c r="AK563" s="261">
        <v>1.2902532121928929E-3</v>
      </c>
      <c r="AL563" s="261">
        <v>0</v>
      </c>
      <c r="AM563" s="262">
        <v>1.9090669709470728E-3</v>
      </c>
    </row>
    <row r="564" spans="1:39" x14ac:dyDescent="0.25">
      <c r="A564" s="215" t="str">
        <v>2992-MHayel</v>
      </c>
      <c r="B564" s="215" t="str">
        <v>ALSHATEA</v>
      </c>
      <c r="C564" s="215" t="str">
        <v>Saleh Bin Hoiel</v>
      </c>
      <c r="D564" s="239">
        <v>4851.1299999999992</v>
      </c>
      <c r="E564" s="239">
        <v>8727.2199999999993</v>
      </c>
      <c r="F564" s="239">
        <v>1718.04</v>
      </c>
      <c r="G564" s="239">
        <v>9191.630000000001</v>
      </c>
      <c r="H564" s="239">
        <v>3447.95</v>
      </c>
      <c r="I564" s="257">
        <v>27935.97</v>
      </c>
      <c r="J564" s="240">
        <v>167.28034482758619</v>
      </c>
      <c r="K564" s="240">
        <v>181.81708333333333</v>
      </c>
      <c r="L564" s="240">
        <v>190.89333333333332</v>
      </c>
      <c r="M564" s="240">
        <v>191.49229166666669</v>
      </c>
      <c r="N564" s="240">
        <v>143.66458333333333</v>
      </c>
      <c r="O564" s="258">
        <v>176.80993670886076</v>
      </c>
      <c r="P564" s="224">
        <v>0.20501454418978313</v>
      </c>
      <c r="Q564" s="224">
        <v>0.22736152906478271</v>
      </c>
      <c r="R564" s="224">
        <v>6.3229812567350316E-2</v>
      </c>
      <c r="S564" s="224">
        <v>0.40286796382633022</v>
      </c>
      <c r="T564" s="224">
        <v>0.64017133372199675</v>
      </c>
      <c r="U564" s="259">
        <v>0.23791498158277508</v>
      </c>
      <c r="V564" s="239">
        <v>29</v>
      </c>
      <c r="W564" s="239">
        <v>48</v>
      </c>
      <c r="X564" s="239">
        <v>9</v>
      </c>
      <c r="Y564" s="239">
        <v>48</v>
      </c>
      <c r="Z564" s="239">
        <v>24</v>
      </c>
      <c r="AA564" s="257">
        <v>158</v>
      </c>
      <c r="AB564" s="224">
        <v>0.18954248366013071</v>
      </c>
      <c r="AC564" s="224">
        <v>0.21333333333333335</v>
      </c>
      <c r="AD564" s="224">
        <v>6.2068965517241378E-2</v>
      </c>
      <c r="AE564" s="224">
        <v>0.38095238095238093</v>
      </c>
      <c r="AF564" s="224">
        <v>0.77419354838709675</v>
      </c>
      <c r="AG564" s="259">
        <v>0.2323529411764706</v>
      </c>
      <c r="AH564" s="261">
        <v>1.5082956259426848E-3</v>
      </c>
      <c r="AI564" s="261">
        <v>1.7790956263899185E-3</v>
      </c>
      <c r="AJ564" s="261">
        <v>4.1780790121164293E-4</v>
      </c>
      <c r="AK564" s="261">
        <v>2.5805064243857858E-3</v>
      </c>
      <c r="AL564" s="261">
        <v>5.0052137643378522E-3</v>
      </c>
      <c r="AM564" s="262">
        <v>1.7335205828140085E-3</v>
      </c>
    </row>
    <row r="565" spans="1:39" x14ac:dyDescent="0.25">
      <c r="A565" s="215" t="str">
        <v>4645-AAlgamdi</v>
      </c>
      <c r="B565" s="215" t="str">
        <v>ALSHATEA</v>
      </c>
      <c r="C565" s="215" t="str">
        <v>Saleh Bin Hoiel</v>
      </c>
      <c r="D565" s="239">
        <v>0</v>
      </c>
      <c r="E565" s="239">
        <v>3425.0699999999997</v>
      </c>
      <c r="F565" s="239">
        <v>7977.06</v>
      </c>
      <c r="G565" s="239">
        <v>5935.9000000000005</v>
      </c>
      <c r="H565" s="239">
        <v>1938.03</v>
      </c>
      <c r="I565" s="257">
        <v>19276.060000000001</v>
      </c>
      <c r="J565" s="240" t="str">
        <v/>
      </c>
      <c r="K565" s="240">
        <v>155.68499999999997</v>
      </c>
      <c r="L565" s="240">
        <v>185.51302325581398</v>
      </c>
      <c r="M565" s="240">
        <v>204.68620689655174</v>
      </c>
      <c r="N565" s="240">
        <v>276.86142857142858</v>
      </c>
      <c r="O565" s="258">
        <v>190.85207920792081</v>
      </c>
      <c r="P565" s="224">
        <v>0</v>
      </c>
      <c r="Q565" s="224">
        <v>8.922992113799301E-2</v>
      </c>
      <c r="R565" s="224">
        <v>0.2935833907467274</v>
      </c>
      <c r="S565" s="224">
        <v>0.2601697355612349</v>
      </c>
      <c r="T565" s="224">
        <v>0.35982866627800331</v>
      </c>
      <c r="U565" s="259">
        <v>0.16416338719895773</v>
      </c>
      <c r="V565" s="239">
        <v>0</v>
      </c>
      <c r="W565" s="239">
        <v>22</v>
      </c>
      <c r="X565" s="239">
        <v>43</v>
      </c>
      <c r="Y565" s="239">
        <v>29</v>
      </c>
      <c r="Z565" s="239">
        <v>7</v>
      </c>
      <c r="AA565" s="257">
        <v>101</v>
      </c>
      <c r="AB565" s="224">
        <v>0</v>
      </c>
      <c r="AC565" s="224">
        <v>9.7777777777777783E-2</v>
      </c>
      <c r="AD565" s="224">
        <v>0.29655172413793102</v>
      </c>
      <c r="AE565" s="224">
        <v>0.23015873015873015</v>
      </c>
      <c r="AF565" s="224">
        <v>0.22580645161290322</v>
      </c>
      <c r="AG565" s="259">
        <v>0.14852941176470588</v>
      </c>
      <c r="AH565" s="261">
        <v>0</v>
      </c>
      <c r="AI565" s="261">
        <v>8.1541882876204591E-4</v>
      </c>
      <c r="AJ565" s="261">
        <v>1.9961933057889604E-3</v>
      </c>
      <c r="AK565" s="261">
        <v>1.559055964733079E-3</v>
      </c>
      <c r="AL565" s="261">
        <v>1.4598540145985401E-3</v>
      </c>
      <c r="AM565" s="262">
        <v>1.1081365750899674E-3</v>
      </c>
    </row>
    <row r="566" spans="1:39" x14ac:dyDescent="0.25">
      <c r="A566" s="215" t="str">
        <v>6613-AAlbandar</v>
      </c>
      <c r="B566" s="215" t="str">
        <v>HAFALLSQ</v>
      </c>
      <c r="C566" s="215" t="str">
        <v>Saleh Bin Hoiel</v>
      </c>
      <c r="D566" s="239">
        <v>7291.24</v>
      </c>
      <c r="E566" s="239">
        <v>11027.190000000002</v>
      </c>
      <c r="F566" s="239">
        <v>5557.07</v>
      </c>
      <c r="G566" s="239">
        <v>5182.8999999999996</v>
      </c>
      <c r="H566" s="239">
        <v>1280.0999999999999</v>
      </c>
      <c r="I566" s="257">
        <v>30338.5</v>
      </c>
      <c r="J566" s="240">
        <v>132.56799999999998</v>
      </c>
      <c r="K566" s="240">
        <v>149.01608108108113</v>
      </c>
      <c r="L566" s="240">
        <v>168.39606060606059</v>
      </c>
      <c r="M566" s="240">
        <v>148.08285714285714</v>
      </c>
      <c r="N566" s="240">
        <v>160.01249999999999</v>
      </c>
      <c r="O566" s="258">
        <v>147.99268292682927</v>
      </c>
      <c r="P566" s="224">
        <v>0.48698228527499804</v>
      </c>
      <c r="Q566" s="224">
        <v>0.47947723228960681</v>
      </c>
      <c r="R566" s="224">
        <v>0.26624061677740318</v>
      </c>
      <c r="S566" s="224">
        <v>0.28269751981729846</v>
      </c>
      <c r="T566" s="224">
        <v>0.23863718981919049</v>
      </c>
      <c r="U566" s="259">
        <v>0.36755695203411148</v>
      </c>
      <c r="V566" s="239">
        <v>55</v>
      </c>
      <c r="W566" s="239">
        <v>74</v>
      </c>
      <c r="X566" s="239">
        <v>33</v>
      </c>
      <c r="Y566" s="239">
        <v>35</v>
      </c>
      <c r="Z566" s="239">
        <v>8</v>
      </c>
      <c r="AA566" s="257">
        <v>205</v>
      </c>
      <c r="AB566" s="224">
        <v>0.48672566371681414</v>
      </c>
      <c r="AC566" s="224">
        <v>0.50684931506849318</v>
      </c>
      <c r="AD566" s="224">
        <v>0.24812030075187969</v>
      </c>
      <c r="AE566" s="224">
        <v>0.31818181818181818</v>
      </c>
      <c r="AF566" s="224">
        <v>0.32</v>
      </c>
      <c r="AG566" s="259">
        <v>0.38899430740037949</v>
      </c>
      <c r="AH566" s="261">
        <v>2.8605606698912985E-3</v>
      </c>
      <c r="AI566" s="261">
        <v>2.742772424017791E-3</v>
      </c>
      <c r="AJ566" s="261">
        <v>1.5319623044426907E-3</v>
      </c>
      <c r="AK566" s="261">
        <v>1.8816192677813021E-3</v>
      </c>
      <c r="AL566" s="261">
        <v>1.6684045881126173E-3</v>
      </c>
      <c r="AM566" s="262">
        <v>2.2491880979548847E-3</v>
      </c>
    </row>
    <row r="567" spans="1:39" x14ac:dyDescent="0.25">
      <c r="A567" s="215" t="str">
        <v>7215-SAlyoubi</v>
      </c>
      <c r="B567" s="215" t="str">
        <v>HAFALLSQ</v>
      </c>
      <c r="C567" s="215" t="str">
        <v>Saleh Bin Hoiel</v>
      </c>
      <c r="D567" s="239">
        <v>5126.1499999999996</v>
      </c>
      <c r="E567" s="239">
        <v>8173.1</v>
      </c>
      <c r="F567" s="239">
        <v>7323.09</v>
      </c>
      <c r="G567" s="239">
        <v>5528.88</v>
      </c>
      <c r="H567" s="239">
        <v>0</v>
      </c>
      <c r="I567" s="257">
        <v>26151.22</v>
      </c>
      <c r="J567" s="240">
        <v>125.02804878048779</v>
      </c>
      <c r="K567" s="240">
        <v>166.79795918367347</v>
      </c>
      <c r="L567" s="240">
        <v>146.46180000000001</v>
      </c>
      <c r="M567" s="240">
        <v>162.61411764705883</v>
      </c>
      <c r="N567" s="240" t="str">
        <v/>
      </c>
      <c r="O567" s="258">
        <v>150.29436781609195</v>
      </c>
      <c r="P567" s="224">
        <v>0.34237581558999991</v>
      </c>
      <c r="Q567" s="224">
        <v>0.35537751387490241</v>
      </c>
      <c r="R567" s="224">
        <v>0.35085107769317891</v>
      </c>
      <c r="S567" s="224">
        <v>0.30156874787618232</v>
      </c>
      <c r="T567" s="224">
        <v>0</v>
      </c>
      <c r="U567" s="259">
        <v>0.31682722333581087</v>
      </c>
      <c r="V567" s="239">
        <v>41</v>
      </c>
      <c r="W567" s="239">
        <v>49</v>
      </c>
      <c r="X567" s="239">
        <v>50</v>
      </c>
      <c r="Y567" s="239">
        <v>34</v>
      </c>
      <c r="Z567" s="239">
        <v>0</v>
      </c>
      <c r="AA567" s="257">
        <v>174</v>
      </c>
      <c r="AB567" s="224">
        <v>0.36283185840707965</v>
      </c>
      <c r="AC567" s="224">
        <v>0.33561643835616439</v>
      </c>
      <c r="AD567" s="224">
        <v>0.37593984962406013</v>
      </c>
      <c r="AE567" s="224">
        <v>0.30909090909090908</v>
      </c>
      <c r="AF567" s="224">
        <v>0</v>
      </c>
      <c r="AG567" s="259">
        <v>0.33017077798861483</v>
      </c>
      <c r="AH567" s="261">
        <v>2.1324179539189683E-3</v>
      </c>
      <c r="AI567" s="261">
        <v>1.8161601186063752E-3</v>
      </c>
      <c r="AJ567" s="261">
        <v>2.3211550067313495E-3</v>
      </c>
      <c r="AK567" s="261">
        <v>1.8278587172732648E-3</v>
      </c>
      <c r="AL567" s="261">
        <v>0</v>
      </c>
      <c r="AM567" s="262">
        <v>1.9090669709470728E-3</v>
      </c>
    </row>
    <row r="568" spans="1:39" x14ac:dyDescent="0.25">
      <c r="A568" s="215" t="str">
        <v>6944-SAbdullah</v>
      </c>
      <c r="B568" s="215" t="str">
        <v>HAFALLSQ</v>
      </c>
      <c r="C568" s="215" t="str">
        <v>Saleh Bin Hoiel</v>
      </c>
      <c r="D568" s="239">
        <v>0</v>
      </c>
      <c r="E568" s="239">
        <v>0</v>
      </c>
      <c r="F568" s="239">
        <v>7003.16</v>
      </c>
      <c r="G568" s="239">
        <v>7621.9500000000007</v>
      </c>
      <c r="H568" s="239">
        <v>4084.11</v>
      </c>
      <c r="I568" s="257">
        <v>18709.22</v>
      </c>
      <c r="J568" s="240" t="str">
        <v/>
      </c>
      <c r="K568" s="240" t="str">
        <v/>
      </c>
      <c r="L568" s="240">
        <v>159.16272727272727</v>
      </c>
      <c r="M568" s="240">
        <v>185.90121951219513</v>
      </c>
      <c r="N568" s="240">
        <v>240.24176470588236</v>
      </c>
      <c r="O568" s="258">
        <v>183.42372549019609</v>
      </c>
      <c r="P568" s="224">
        <v>0</v>
      </c>
      <c r="Q568" s="224">
        <v>0</v>
      </c>
      <c r="R568" s="224">
        <v>0.3355231511913363</v>
      </c>
      <c r="S568" s="224">
        <v>0.41573373230651922</v>
      </c>
      <c r="T568" s="224">
        <v>0.76136281018080953</v>
      </c>
      <c r="U568" s="259">
        <v>0.22666591552435486</v>
      </c>
      <c r="V568" s="239">
        <v>0</v>
      </c>
      <c r="W568" s="239">
        <v>0</v>
      </c>
      <c r="X568" s="239">
        <v>44</v>
      </c>
      <c r="Y568" s="239">
        <v>41</v>
      </c>
      <c r="Z568" s="239">
        <v>17</v>
      </c>
      <c r="AA568" s="257">
        <v>102</v>
      </c>
      <c r="AB568" s="224">
        <v>0</v>
      </c>
      <c r="AC568" s="224">
        <v>0</v>
      </c>
      <c r="AD568" s="224">
        <v>0.33082706766917291</v>
      </c>
      <c r="AE568" s="224">
        <v>0.37272727272727274</v>
      </c>
      <c r="AF568" s="224">
        <v>0.68</v>
      </c>
      <c r="AG568" s="259">
        <v>0.19354838709677419</v>
      </c>
      <c r="AH568" s="261">
        <v>0</v>
      </c>
      <c r="AI568" s="261">
        <v>0</v>
      </c>
      <c r="AJ568" s="261">
        <v>2.0426164059235874E-3</v>
      </c>
      <c r="AK568" s="261">
        <v>2.2041825708295254E-3</v>
      </c>
      <c r="AL568" s="261">
        <v>3.545359749739312E-3</v>
      </c>
      <c r="AM568" s="262">
        <v>1.119108224348284E-3</v>
      </c>
    </row>
    <row r="569" spans="1:39" x14ac:dyDescent="0.25">
      <c r="A569" s="215" t="str">
        <v>3013-Yasir Abu Bakr Almuthafi</v>
      </c>
      <c r="B569" s="215" t="str">
        <v>HAFALLSQ</v>
      </c>
      <c r="C569" s="215" t="str">
        <v>Saleh Bin Hoiel</v>
      </c>
      <c r="D569" s="239">
        <v>2554.9</v>
      </c>
      <c r="E569" s="239">
        <v>3798.0700000000006</v>
      </c>
      <c r="F569" s="239">
        <v>989.04</v>
      </c>
      <c r="G569" s="239">
        <v>0</v>
      </c>
      <c r="H569" s="239">
        <v>0</v>
      </c>
      <c r="I569" s="257">
        <v>7342.0100000000011</v>
      </c>
      <c r="J569" s="240">
        <v>150.28823529411764</v>
      </c>
      <c r="K569" s="240">
        <v>165.13347826086959</v>
      </c>
      <c r="L569" s="240">
        <v>164.84</v>
      </c>
      <c r="M569" s="240" t="str">
        <v/>
      </c>
      <c r="N569" s="240" t="str">
        <v/>
      </c>
      <c r="O569" s="258">
        <v>159.60891304347828</v>
      </c>
      <c r="P569" s="224">
        <v>0.17064189913500208</v>
      </c>
      <c r="Q569" s="224">
        <v>0.16514525383549089</v>
      </c>
      <c r="R569" s="224">
        <v>4.7385154338081555E-2</v>
      </c>
      <c r="S569" s="224">
        <v>0</v>
      </c>
      <c r="T569" s="224">
        <v>0</v>
      </c>
      <c r="U569" s="259">
        <v>8.8949909105722674E-2</v>
      </c>
      <c r="V569" s="239">
        <v>17</v>
      </c>
      <c r="W569" s="239">
        <v>23</v>
      </c>
      <c r="X569" s="239">
        <v>6</v>
      </c>
      <c r="Y569" s="239">
        <v>0</v>
      </c>
      <c r="Z569" s="239">
        <v>0</v>
      </c>
      <c r="AA569" s="257">
        <v>46</v>
      </c>
      <c r="AB569" s="224">
        <v>0.15044247787610621</v>
      </c>
      <c r="AC569" s="224">
        <v>0.15753424657534246</v>
      </c>
      <c r="AD569" s="224">
        <v>4.5112781954887216E-2</v>
      </c>
      <c r="AE569" s="224">
        <v>0</v>
      </c>
      <c r="AF569" s="224">
        <v>0</v>
      </c>
      <c r="AG569" s="259">
        <v>8.7286527514231493E-2</v>
      </c>
      <c r="AH569" s="261">
        <v>8.8417329796640137E-4</v>
      </c>
      <c r="AI569" s="261">
        <v>8.5248332097850258E-4</v>
      </c>
      <c r="AJ569" s="261">
        <v>2.7853860080776193E-4</v>
      </c>
      <c r="AK569" s="261">
        <v>0</v>
      </c>
      <c r="AL569" s="261">
        <v>0</v>
      </c>
      <c r="AM569" s="262">
        <v>5.0469586588255944E-4</v>
      </c>
    </row>
    <row r="570" spans="1:39" x14ac:dyDescent="0.25">
      <c r="A570" s="215" t="str">
        <v>6614-AIskander</v>
      </c>
      <c r="B570" s="215" t="str">
        <v>HAJEDSULTN</v>
      </c>
      <c r="C570" s="215" t="str">
        <v>Saleh Bin Hoiel</v>
      </c>
      <c r="D570" s="239">
        <v>9225.1500000000015</v>
      </c>
      <c r="E570" s="239">
        <v>10578.25</v>
      </c>
      <c r="F570" s="239">
        <v>9575.2100000000009</v>
      </c>
      <c r="G570" s="239">
        <v>7952</v>
      </c>
      <c r="H570" s="239">
        <v>1938.9</v>
      </c>
      <c r="I570" s="257">
        <v>39269.51</v>
      </c>
      <c r="J570" s="240">
        <v>167.73000000000002</v>
      </c>
      <c r="K570" s="240">
        <v>157.88432835820896</v>
      </c>
      <c r="L570" s="240">
        <v>174.09472727272728</v>
      </c>
      <c r="M570" s="240">
        <v>165.66666666666666</v>
      </c>
      <c r="N570" s="240">
        <v>242.36250000000001</v>
      </c>
      <c r="O570" s="258">
        <v>168.53866952789701</v>
      </c>
      <c r="P570" s="224">
        <v>0.32831456187534502</v>
      </c>
      <c r="Q570" s="224">
        <v>0.24078645946196947</v>
      </c>
      <c r="R570" s="224">
        <v>0.28839604115464318</v>
      </c>
      <c r="S570" s="224">
        <v>0.32210645958742667</v>
      </c>
      <c r="T570" s="224">
        <v>0.24022956177836044</v>
      </c>
      <c r="U570" s="259">
        <v>0.28458082431781101</v>
      </c>
      <c r="V570" s="239">
        <v>55</v>
      </c>
      <c r="W570" s="239">
        <v>67</v>
      </c>
      <c r="X570" s="239">
        <v>55</v>
      </c>
      <c r="Y570" s="239">
        <v>48</v>
      </c>
      <c r="Z570" s="239">
        <v>8</v>
      </c>
      <c r="AA570" s="257">
        <v>233</v>
      </c>
      <c r="AB570" s="224">
        <v>0.29891304347826086</v>
      </c>
      <c r="AC570" s="224">
        <v>0.26377952755905509</v>
      </c>
      <c r="AD570" s="224">
        <v>0.29569892473118281</v>
      </c>
      <c r="AE570" s="224">
        <v>0.34782608695652173</v>
      </c>
      <c r="AF570" s="224">
        <v>0.18604651162790697</v>
      </c>
      <c r="AG570" s="259">
        <v>0.28944099378881988</v>
      </c>
      <c r="AH570" s="261">
        <v>2.8605606698912985E-3</v>
      </c>
      <c r="AI570" s="261">
        <v>2.4833209785025947E-3</v>
      </c>
      <c r="AJ570" s="261">
        <v>2.5532705074044846E-3</v>
      </c>
      <c r="AK570" s="261">
        <v>2.5805064243857858E-3</v>
      </c>
      <c r="AL570" s="261">
        <v>1.6684045881126173E-3</v>
      </c>
      <c r="AM570" s="262">
        <v>2.5563942771877467E-3</v>
      </c>
    </row>
    <row r="571" spans="1:39" x14ac:dyDescent="0.25">
      <c r="A571" s="215" t="str">
        <v>2990-Hadeel Alshamri</v>
      </c>
      <c r="B571" s="215" t="str">
        <v>HAJEDSULTN</v>
      </c>
      <c r="C571" s="215" t="str">
        <v>Saleh Bin Hoiel</v>
      </c>
      <c r="D571" s="239">
        <v>1508.02</v>
      </c>
      <c r="E571" s="239">
        <v>10476.279999999999</v>
      </c>
      <c r="F571" s="239">
        <v>12377.3</v>
      </c>
      <c r="G571" s="239">
        <v>8773.81</v>
      </c>
      <c r="H571" s="239">
        <v>2096.1</v>
      </c>
      <c r="I571" s="257">
        <v>35231.509999999995</v>
      </c>
      <c r="J571" s="240">
        <v>125.66833333333334</v>
      </c>
      <c r="K571" s="240">
        <v>158.73151515151514</v>
      </c>
      <c r="L571" s="240">
        <v>184.73582089552238</v>
      </c>
      <c r="M571" s="240">
        <v>194.97355555555555</v>
      </c>
      <c r="N571" s="240">
        <v>174.67499999999998</v>
      </c>
      <c r="O571" s="258">
        <v>174.41341584158414</v>
      </c>
      <c r="P571" s="224">
        <v>5.3669037966781866E-2</v>
      </c>
      <c r="Q571" s="224">
        <v>0.23846537655398967</v>
      </c>
      <c r="R571" s="224">
        <v>0.37279227507108093</v>
      </c>
      <c r="S571" s="224">
        <v>0.35539497940049797</v>
      </c>
      <c r="T571" s="224">
        <v>0.25970662976100944</v>
      </c>
      <c r="U571" s="259">
        <v>0.25531798481216594</v>
      </c>
      <c r="V571" s="239">
        <v>12</v>
      </c>
      <c r="W571" s="239">
        <v>66</v>
      </c>
      <c r="X571" s="239">
        <v>67</v>
      </c>
      <c r="Y571" s="239">
        <v>45</v>
      </c>
      <c r="Z571" s="239">
        <v>12</v>
      </c>
      <c r="AA571" s="257">
        <v>202</v>
      </c>
      <c r="AB571" s="224">
        <v>6.5217391304347824E-2</v>
      </c>
      <c r="AC571" s="224">
        <v>0.25984251968503935</v>
      </c>
      <c r="AD571" s="224">
        <v>0.36021505376344087</v>
      </c>
      <c r="AE571" s="224">
        <v>0.32608695652173914</v>
      </c>
      <c r="AF571" s="224">
        <v>0.27906976744186046</v>
      </c>
      <c r="AG571" s="259">
        <v>0.25093167701863356</v>
      </c>
      <c r="AH571" s="261">
        <v>6.2412232797628335E-4</v>
      </c>
      <c r="AI571" s="261">
        <v>2.446256486286138E-3</v>
      </c>
      <c r="AJ571" s="261">
        <v>3.1103477090200084E-3</v>
      </c>
      <c r="AK571" s="261">
        <v>2.4192247728616742E-3</v>
      </c>
      <c r="AL571" s="261">
        <v>2.5026068821689261E-3</v>
      </c>
      <c r="AM571" s="262">
        <v>2.2162731501799348E-3</v>
      </c>
    </row>
    <row r="572" spans="1:39" x14ac:dyDescent="0.25">
      <c r="A572" s="215" t="str">
        <v>3559-AIbrahim</v>
      </c>
      <c r="B572" s="215" t="str">
        <v>HAJEDSULTN</v>
      </c>
      <c r="C572" s="215" t="str">
        <v>Saleh Bin Hoiel</v>
      </c>
      <c r="D572" s="239">
        <v>6581.1100000000006</v>
      </c>
      <c r="E572" s="239">
        <v>15535.349999999999</v>
      </c>
      <c r="F572" s="239">
        <v>5684.0599999999995</v>
      </c>
      <c r="G572" s="239">
        <v>2878.95</v>
      </c>
      <c r="H572" s="239">
        <v>2014.91</v>
      </c>
      <c r="I572" s="257">
        <v>32694.379999999997</v>
      </c>
      <c r="J572" s="240">
        <v>149.57068181818184</v>
      </c>
      <c r="K572" s="240">
        <v>204.41249999999999</v>
      </c>
      <c r="L572" s="240">
        <v>172.2442424242424</v>
      </c>
      <c r="M572" s="240">
        <v>159.94166666666666</v>
      </c>
      <c r="N572" s="240">
        <v>183.17363636363638</v>
      </c>
      <c r="O572" s="258">
        <v>179.63945054945054</v>
      </c>
      <c r="P572" s="224">
        <v>0.23421562210949975</v>
      </c>
      <c r="Q572" s="224">
        <v>0.35362200014203737</v>
      </c>
      <c r="R572" s="224">
        <v>0.1711983759818804</v>
      </c>
      <c r="S572" s="224">
        <v>0.11661574343928849</v>
      </c>
      <c r="T572" s="224">
        <v>0.24964719496768076</v>
      </c>
      <c r="U572" s="259">
        <v>0.23693174707195869</v>
      </c>
      <c r="V572" s="239">
        <v>44</v>
      </c>
      <c r="W572" s="239">
        <v>76</v>
      </c>
      <c r="X572" s="239">
        <v>33</v>
      </c>
      <c r="Y572" s="239">
        <v>18</v>
      </c>
      <c r="Z572" s="239">
        <v>11</v>
      </c>
      <c r="AA572" s="257">
        <v>182</v>
      </c>
      <c r="AB572" s="224">
        <v>0.2391304347826087</v>
      </c>
      <c r="AC572" s="224">
        <v>0.29921259842519687</v>
      </c>
      <c r="AD572" s="224">
        <v>0.17741935483870969</v>
      </c>
      <c r="AE572" s="224">
        <v>0.13043478260869565</v>
      </c>
      <c r="AF572" s="224">
        <v>0.2558139534883721</v>
      </c>
      <c r="AG572" s="259">
        <v>0.22608695652173913</v>
      </c>
      <c r="AH572" s="261">
        <v>2.288448535913039E-3</v>
      </c>
      <c r="AI572" s="261">
        <v>2.8169014084507044E-3</v>
      </c>
      <c r="AJ572" s="261">
        <v>1.5319623044426907E-3</v>
      </c>
      <c r="AK572" s="261">
        <v>9.6768990914466969E-4</v>
      </c>
      <c r="AL572" s="261">
        <v>2.2940563086548487E-3</v>
      </c>
      <c r="AM572" s="262">
        <v>1.9968401650136049E-3</v>
      </c>
    </row>
    <row r="573" spans="1:39" x14ac:dyDescent="0.25">
      <c r="A573" s="215" t="str">
        <v>2867-Saud Alghamdi</v>
      </c>
      <c r="B573" s="215" t="str">
        <v>HAJEDSULTN</v>
      </c>
      <c r="C573" s="215" t="str">
        <v>Saleh Bin Hoiel</v>
      </c>
      <c r="D573" s="239">
        <v>10784.23</v>
      </c>
      <c r="E573" s="239">
        <v>7342.2</v>
      </c>
      <c r="F573" s="239">
        <v>5565.0300000000007</v>
      </c>
      <c r="G573" s="239">
        <v>5082.7299999999996</v>
      </c>
      <c r="H573" s="239">
        <v>2021.12</v>
      </c>
      <c r="I573" s="257">
        <v>30795.309999999998</v>
      </c>
      <c r="J573" s="240">
        <v>147.72917808219177</v>
      </c>
      <c r="K573" s="240">
        <v>163.16</v>
      </c>
      <c r="L573" s="240">
        <v>179.51709677419356</v>
      </c>
      <c r="M573" s="240">
        <v>188.24925925925925</v>
      </c>
      <c r="N573" s="240">
        <v>168.42666666666665</v>
      </c>
      <c r="O573" s="258">
        <v>163.80484042553189</v>
      </c>
      <c r="P573" s="224">
        <v>0.38380077804837331</v>
      </c>
      <c r="Q573" s="224">
        <v>0.16712616384200338</v>
      </c>
      <c r="R573" s="224">
        <v>0.16761330779239558</v>
      </c>
      <c r="S573" s="224">
        <v>0.20588281757278687</v>
      </c>
      <c r="T573" s="224">
        <v>0.25041661349294952</v>
      </c>
      <c r="U573" s="259">
        <v>0.22316944379806436</v>
      </c>
      <c r="V573" s="239">
        <v>73</v>
      </c>
      <c r="W573" s="239">
        <v>45</v>
      </c>
      <c r="X573" s="239">
        <v>31</v>
      </c>
      <c r="Y573" s="239">
        <v>27</v>
      </c>
      <c r="Z573" s="239">
        <v>12</v>
      </c>
      <c r="AA573" s="257">
        <v>188</v>
      </c>
      <c r="AB573" s="224">
        <v>0.39673913043478259</v>
      </c>
      <c r="AC573" s="224">
        <v>0.17716535433070865</v>
      </c>
      <c r="AD573" s="224">
        <v>0.16666666666666666</v>
      </c>
      <c r="AE573" s="224">
        <v>0.19565217391304349</v>
      </c>
      <c r="AF573" s="224">
        <v>0.27906976744186046</v>
      </c>
      <c r="AG573" s="259">
        <v>0.23354037267080746</v>
      </c>
      <c r="AH573" s="261">
        <v>3.7967441618557236E-3</v>
      </c>
      <c r="AI573" s="261">
        <v>1.6679021497405485E-3</v>
      </c>
      <c r="AJ573" s="261">
        <v>1.4391161041734366E-3</v>
      </c>
      <c r="AK573" s="261">
        <v>1.4515348637170044E-3</v>
      </c>
      <c r="AL573" s="261">
        <v>2.5026068821689261E-3</v>
      </c>
      <c r="AM573" s="262">
        <v>2.0626700605635038E-3</v>
      </c>
    </row>
    <row r="574" spans="1:39" x14ac:dyDescent="0.25">
      <c r="A574" s="215" t="str">
        <v>7212-MAlhaj</v>
      </c>
      <c r="B574" s="215" t="str">
        <v>HAMDANYA</v>
      </c>
      <c r="C574" s="215" t="str">
        <v>Saleh Bin Hoiel</v>
      </c>
      <c r="D574" s="239">
        <v>6101.17</v>
      </c>
      <c r="E574" s="239">
        <v>9314.1800000000021</v>
      </c>
      <c r="F574" s="239">
        <v>9706.19</v>
      </c>
      <c r="G574" s="239">
        <v>8089.89</v>
      </c>
      <c r="H574" s="239">
        <v>1589.02</v>
      </c>
      <c r="I574" s="257">
        <v>34800.449999999997</v>
      </c>
      <c r="J574" s="240">
        <v>148.80902439024391</v>
      </c>
      <c r="K574" s="240">
        <v>155.23633333333336</v>
      </c>
      <c r="L574" s="240">
        <v>156.55145161290324</v>
      </c>
      <c r="M574" s="240">
        <v>175.86717391304347</v>
      </c>
      <c r="N574" s="240">
        <v>113.50142857142858</v>
      </c>
      <c r="O574" s="258">
        <v>156.05582959641254</v>
      </c>
      <c r="P574" s="224">
        <v>0.17143482539199065</v>
      </c>
      <c r="Q574" s="224">
        <v>0.18368323320417515</v>
      </c>
      <c r="R574" s="224">
        <v>0.25848921788701856</v>
      </c>
      <c r="S574" s="224">
        <v>0.23593526711501783</v>
      </c>
      <c r="T574" s="224">
        <v>0.13150677222386822</v>
      </c>
      <c r="U574" s="259">
        <v>0.20444615284020498</v>
      </c>
      <c r="V574" s="239">
        <v>41</v>
      </c>
      <c r="W574" s="239">
        <v>60</v>
      </c>
      <c r="X574" s="239">
        <v>62</v>
      </c>
      <c r="Y574" s="239">
        <v>46</v>
      </c>
      <c r="Z574" s="239">
        <v>14</v>
      </c>
      <c r="AA574" s="257">
        <v>223</v>
      </c>
      <c r="AB574" s="224">
        <v>0.18807339449541285</v>
      </c>
      <c r="AC574" s="224">
        <v>0.17910447761194029</v>
      </c>
      <c r="AD574" s="224">
        <v>0.248</v>
      </c>
      <c r="AE574" s="224">
        <v>0.21004566210045661</v>
      </c>
      <c r="AF574" s="224">
        <v>0.2</v>
      </c>
      <c r="AG574" s="259">
        <v>0.20421245421245421</v>
      </c>
      <c r="AH574" s="261">
        <v>2.1324179539189683E-3</v>
      </c>
      <c r="AI574" s="261">
        <v>2.223869532987398E-3</v>
      </c>
      <c r="AJ574" s="261">
        <v>2.8782322083468733E-3</v>
      </c>
      <c r="AK574" s="261">
        <v>2.4729853233697112E-3</v>
      </c>
      <c r="AL574" s="261">
        <v>2.9197080291970801E-3</v>
      </c>
      <c r="AM574" s="262">
        <v>2.4466777846045818E-3</v>
      </c>
    </row>
    <row r="575" spans="1:39" x14ac:dyDescent="0.25">
      <c r="A575" s="215" t="str">
        <v>5490-Mhamid</v>
      </c>
      <c r="B575" s="215" t="str">
        <v>HAMDANYA</v>
      </c>
      <c r="C575" s="215" t="str">
        <v>Saleh Bin Hoiel</v>
      </c>
      <c r="D575" s="239">
        <v>10727.34</v>
      </c>
      <c r="E575" s="239">
        <v>7584.14</v>
      </c>
      <c r="F575" s="239">
        <v>5540.1</v>
      </c>
      <c r="G575" s="239">
        <v>7827.7800000000007</v>
      </c>
      <c r="H575" s="239">
        <v>1976.91</v>
      </c>
      <c r="I575" s="257">
        <v>33656.270000000004</v>
      </c>
      <c r="J575" s="240">
        <v>198.65444444444444</v>
      </c>
      <c r="K575" s="240">
        <v>164.87260869565219</v>
      </c>
      <c r="L575" s="240">
        <v>162.94411764705885</v>
      </c>
      <c r="M575" s="240">
        <v>163.07875000000001</v>
      </c>
      <c r="N575" s="240">
        <v>197.691</v>
      </c>
      <c r="O575" s="258">
        <v>175.29307291666669</v>
      </c>
      <c r="P575" s="224">
        <v>0.30142409731584546</v>
      </c>
      <c r="Q575" s="224">
        <v>0.14956543209097448</v>
      </c>
      <c r="R575" s="224">
        <v>0.14754049900278807</v>
      </c>
      <c r="S575" s="224">
        <v>0.22829103550451174</v>
      </c>
      <c r="T575" s="224">
        <v>0.16360842096203151</v>
      </c>
      <c r="U575" s="259">
        <v>0.19772430875035257</v>
      </c>
      <c r="V575" s="239">
        <v>54</v>
      </c>
      <c r="W575" s="239">
        <v>46</v>
      </c>
      <c r="X575" s="239">
        <v>34</v>
      </c>
      <c r="Y575" s="239">
        <v>48</v>
      </c>
      <c r="Z575" s="239">
        <v>10</v>
      </c>
      <c r="AA575" s="257">
        <v>192</v>
      </c>
      <c r="AB575" s="224">
        <v>0.24770642201834864</v>
      </c>
      <c r="AC575" s="224">
        <v>0.1373134328358209</v>
      </c>
      <c r="AD575" s="224">
        <v>0.13600000000000001</v>
      </c>
      <c r="AE575" s="224">
        <v>0.21917808219178081</v>
      </c>
      <c r="AF575" s="224">
        <v>0.14285714285714285</v>
      </c>
      <c r="AG575" s="259">
        <v>0.17582417582417584</v>
      </c>
      <c r="AH575" s="261">
        <v>2.8085504758932752E-3</v>
      </c>
      <c r="AI575" s="261">
        <v>1.7049666419570052E-3</v>
      </c>
      <c r="AJ575" s="261">
        <v>1.5783854045773177E-3</v>
      </c>
      <c r="AK575" s="261">
        <v>2.5805064243857858E-3</v>
      </c>
      <c r="AL575" s="261">
        <v>2.0855057351407717E-3</v>
      </c>
      <c r="AM575" s="262">
        <v>2.1065566575967699E-3</v>
      </c>
    </row>
    <row r="576" spans="1:39" x14ac:dyDescent="0.25">
      <c r="A576" s="215" t="str">
        <v>7041-NAsiri</v>
      </c>
      <c r="B576" s="215" t="str">
        <v>HAMDANYA</v>
      </c>
      <c r="C576" s="215" t="str">
        <v>Saleh Bin Hoiel</v>
      </c>
      <c r="D576" s="239">
        <v>6491.1200000000008</v>
      </c>
      <c r="E576" s="239">
        <v>11158.23</v>
      </c>
      <c r="F576" s="239">
        <v>7538.1599999999989</v>
      </c>
      <c r="G576" s="239">
        <v>4620.0599999999995</v>
      </c>
      <c r="H576" s="239">
        <v>2201.06</v>
      </c>
      <c r="I576" s="257">
        <v>32008.63</v>
      </c>
      <c r="J576" s="240">
        <v>170.81894736842108</v>
      </c>
      <c r="K576" s="240">
        <v>144.91207792207791</v>
      </c>
      <c r="L576" s="240">
        <v>147.80705882352939</v>
      </c>
      <c r="M576" s="240">
        <v>154.00199999999998</v>
      </c>
      <c r="N576" s="240">
        <v>183.42166666666665</v>
      </c>
      <c r="O576" s="258">
        <v>153.88764423076924</v>
      </c>
      <c r="P576" s="224">
        <v>0.18239190578175307</v>
      </c>
      <c r="Q576" s="224">
        <v>0.22004940458911282</v>
      </c>
      <c r="R576" s="224">
        <v>0.20075159075880519</v>
      </c>
      <c r="S576" s="224">
        <v>0.13474040934887979</v>
      </c>
      <c r="T576" s="224">
        <v>0.18215900119008405</v>
      </c>
      <c r="U576" s="259">
        <v>0.18804473106484459</v>
      </c>
      <c r="V576" s="239">
        <v>38</v>
      </c>
      <c r="W576" s="239">
        <v>77</v>
      </c>
      <c r="X576" s="239">
        <v>51</v>
      </c>
      <c r="Y576" s="239">
        <v>30</v>
      </c>
      <c r="Z576" s="239">
        <v>12</v>
      </c>
      <c r="AA576" s="257">
        <v>208</v>
      </c>
      <c r="AB576" s="224">
        <v>0.1743119266055046</v>
      </c>
      <c r="AC576" s="224">
        <v>0.2298507462686567</v>
      </c>
      <c r="AD576" s="224">
        <v>0.20399999999999999</v>
      </c>
      <c r="AE576" s="224">
        <v>0.13698630136986301</v>
      </c>
      <c r="AF576" s="224">
        <v>0.17142857142857143</v>
      </c>
      <c r="AG576" s="259">
        <v>0.19047619047619047</v>
      </c>
      <c r="AH576" s="261">
        <v>1.9763873719248972E-3</v>
      </c>
      <c r="AI576" s="261">
        <v>2.8539659006671611E-3</v>
      </c>
      <c r="AJ576" s="261">
        <v>2.3675781068659765E-3</v>
      </c>
      <c r="AK576" s="261">
        <v>1.612816515241116E-3</v>
      </c>
      <c r="AL576" s="261">
        <v>2.5026068821689261E-3</v>
      </c>
      <c r="AM576" s="262">
        <v>2.2821030457298342E-3</v>
      </c>
    </row>
    <row r="577" spans="1:39" x14ac:dyDescent="0.25">
      <c r="A577" s="215" t="str">
        <v>3255-Khaled Al-Fifi</v>
      </c>
      <c r="B577" s="215" t="str">
        <v>HAMDANYA</v>
      </c>
      <c r="C577" s="215" t="str">
        <v>Saleh Bin Hoiel</v>
      </c>
      <c r="D577" s="239">
        <v>4243.1000000000004</v>
      </c>
      <c r="E577" s="239">
        <v>8626.130000000001</v>
      </c>
      <c r="F577" s="239">
        <v>4858.1099999999997</v>
      </c>
      <c r="G577" s="239">
        <v>4418.07</v>
      </c>
      <c r="H577" s="239">
        <v>3360.08</v>
      </c>
      <c r="I577" s="257">
        <v>25505.489999999998</v>
      </c>
      <c r="J577" s="240">
        <v>121.23142857142858</v>
      </c>
      <c r="K577" s="240">
        <v>148.72637931034484</v>
      </c>
      <c r="L577" s="240">
        <v>131.30027027027026</v>
      </c>
      <c r="M577" s="240">
        <v>133.88090909090909</v>
      </c>
      <c r="N577" s="240">
        <v>176.84631578947369</v>
      </c>
      <c r="O577" s="258">
        <v>140.14005494505494</v>
      </c>
      <c r="P577" s="224">
        <v>0.119225510454676</v>
      </c>
      <c r="Q577" s="224">
        <v>0.17011432551652764</v>
      </c>
      <c r="R577" s="224">
        <v>0.12937816530575885</v>
      </c>
      <c r="S577" s="224">
        <v>0.12884953016454448</v>
      </c>
      <c r="T577" s="224">
        <v>0.27807911493497572</v>
      </c>
      <c r="U577" s="259">
        <v>0.14983999651741053</v>
      </c>
      <c r="V577" s="239">
        <v>35</v>
      </c>
      <c r="W577" s="239">
        <v>58</v>
      </c>
      <c r="X577" s="239">
        <v>37</v>
      </c>
      <c r="Y577" s="239">
        <v>33</v>
      </c>
      <c r="Z577" s="239">
        <v>19</v>
      </c>
      <c r="AA577" s="257">
        <v>182</v>
      </c>
      <c r="AB577" s="224">
        <v>0.16055045871559634</v>
      </c>
      <c r="AC577" s="224">
        <v>0.17313432835820897</v>
      </c>
      <c r="AD577" s="224">
        <v>0.14799999999999999</v>
      </c>
      <c r="AE577" s="224">
        <v>0.15068493150684931</v>
      </c>
      <c r="AF577" s="224">
        <v>0.27142857142857141</v>
      </c>
      <c r="AG577" s="259">
        <v>0.16666666666666666</v>
      </c>
      <c r="AH577" s="261">
        <v>1.8203567899308265E-3</v>
      </c>
      <c r="AI577" s="261">
        <v>2.1497405485544846E-3</v>
      </c>
      <c r="AJ577" s="261">
        <v>1.7176547049811987E-3</v>
      </c>
      <c r="AK577" s="261">
        <v>1.7740981667652277E-3</v>
      </c>
      <c r="AL577" s="261">
        <v>3.962460896767466E-3</v>
      </c>
      <c r="AM577" s="262">
        <v>1.9968401650136049E-3</v>
      </c>
    </row>
    <row r="578" spans="1:39" x14ac:dyDescent="0.25">
      <c r="A578" s="215" t="str">
        <v>5234-MSaiadi</v>
      </c>
      <c r="B578" s="215" t="str">
        <v>HAMDANYA</v>
      </c>
      <c r="C578" s="215" t="str">
        <v>Saleh Bin Hoiel</v>
      </c>
      <c r="D578" s="239">
        <v>5115.07</v>
      </c>
      <c r="E578" s="239">
        <v>9289.1</v>
      </c>
      <c r="F578" s="239">
        <v>5658.07</v>
      </c>
      <c r="G578" s="239">
        <v>4644.84</v>
      </c>
      <c r="H578" s="239">
        <v>0</v>
      </c>
      <c r="I578" s="257">
        <v>24707.079999999998</v>
      </c>
      <c r="J578" s="240">
        <v>170.50233333333333</v>
      </c>
      <c r="K578" s="240">
        <v>162.96666666666667</v>
      </c>
      <c r="L578" s="240">
        <v>148.89657894736843</v>
      </c>
      <c r="M578" s="240">
        <v>160.16689655172414</v>
      </c>
      <c r="N578" s="240" t="str">
        <v/>
      </c>
      <c r="O578" s="258">
        <v>160.4355844155844</v>
      </c>
      <c r="P578" s="224">
        <v>0.143726716731022</v>
      </c>
      <c r="Q578" s="224">
        <v>0.18318863513018893</v>
      </c>
      <c r="R578" s="224">
        <v>0.15068220270260554</v>
      </c>
      <c r="S578" s="224">
        <v>0.13546309852254104</v>
      </c>
      <c r="T578" s="224">
        <v>0</v>
      </c>
      <c r="U578" s="259">
        <v>0.14514948668523459</v>
      </c>
      <c r="V578" s="239">
        <v>30</v>
      </c>
      <c r="W578" s="239">
        <v>57</v>
      </c>
      <c r="X578" s="239">
        <v>38</v>
      </c>
      <c r="Y578" s="239">
        <v>29</v>
      </c>
      <c r="Z578" s="239">
        <v>0</v>
      </c>
      <c r="AA578" s="257">
        <v>154</v>
      </c>
      <c r="AB578" s="224">
        <v>0.13761467889908258</v>
      </c>
      <c r="AC578" s="224">
        <v>0.17014925373134329</v>
      </c>
      <c r="AD578" s="224">
        <v>0.152</v>
      </c>
      <c r="AE578" s="224">
        <v>0.13242009132420091</v>
      </c>
      <c r="AF578" s="224">
        <v>0</v>
      </c>
      <c r="AG578" s="259">
        <v>0.14102564102564102</v>
      </c>
      <c r="AH578" s="261">
        <v>1.5603058199407083E-3</v>
      </c>
      <c r="AI578" s="261">
        <v>2.112676056338028E-3</v>
      </c>
      <c r="AJ578" s="261">
        <v>1.7640778051158255E-3</v>
      </c>
      <c r="AK578" s="261">
        <v>1.559055964733079E-3</v>
      </c>
      <c r="AL578" s="261">
        <v>0</v>
      </c>
      <c r="AM578" s="262">
        <v>1.6896339857807425E-3</v>
      </c>
    </row>
    <row r="579" spans="1:39" x14ac:dyDescent="0.25">
      <c r="A579" s="215" t="str">
        <v>4298-AAlmagnone</v>
      </c>
      <c r="B579" s="215" t="str">
        <v>HAMDANYA</v>
      </c>
      <c r="C579" s="215" t="str">
        <v>Saleh Bin Hoiel</v>
      </c>
      <c r="D579" s="239">
        <v>2911.06</v>
      </c>
      <c r="E579" s="239">
        <v>4736.0599999999995</v>
      </c>
      <c r="F579" s="239">
        <v>4249.0599999999995</v>
      </c>
      <c r="G579" s="239">
        <v>4687.96</v>
      </c>
      <c r="H579" s="239">
        <v>2956.11</v>
      </c>
      <c r="I579" s="257">
        <v>19540.25</v>
      </c>
      <c r="J579" s="240">
        <v>145.553</v>
      </c>
      <c r="K579" s="240">
        <v>128.00162162162161</v>
      </c>
      <c r="L579" s="240">
        <v>151.75214285714284</v>
      </c>
      <c r="M579" s="240">
        <v>142.05939393939394</v>
      </c>
      <c r="N579" s="240">
        <v>197.07400000000001</v>
      </c>
      <c r="O579" s="258">
        <v>146.91917293233084</v>
      </c>
      <c r="P579" s="224">
        <v>8.1796944324712836E-2</v>
      </c>
      <c r="Q579" s="224">
        <v>9.3398969469020945E-2</v>
      </c>
      <c r="R579" s="224">
        <v>0.11315832434302388</v>
      </c>
      <c r="S579" s="224">
        <v>0.13672065934450517</v>
      </c>
      <c r="T579" s="224">
        <v>0.24464669068904046</v>
      </c>
      <c r="U579" s="259">
        <v>0.11479532414195263</v>
      </c>
      <c r="V579" s="239">
        <v>20</v>
      </c>
      <c r="W579" s="239">
        <v>37</v>
      </c>
      <c r="X579" s="239">
        <v>28</v>
      </c>
      <c r="Y579" s="239">
        <v>33</v>
      </c>
      <c r="Z579" s="239">
        <v>15</v>
      </c>
      <c r="AA579" s="257">
        <v>133</v>
      </c>
      <c r="AB579" s="224">
        <v>9.1743119266055051E-2</v>
      </c>
      <c r="AC579" s="224">
        <v>0.11044776119402985</v>
      </c>
      <c r="AD579" s="224">
        <v>0.112</v>
      </c>
      <c r="AE579" s="224">
        <v>0.15068493150684931</v>
      </c>
      <c r="AF579" s="224">
        <v>0.21428571428571427</v>
      </c>
      <c r="AG579" s="259">
        <v>0.12179487179487179</v>
      </c>
      <c r="AH579" s="261">
        <v>1.0402038799604723E-3</v>
      </c>
      <c r="AI579" s="261">
        <v>1.3713862120088955E-3</v>
      </c>
      <c r="AJ579" s="261">
        <v>1.2998468037695558E-3</v>
      </c>
      <c r="AK579" s="261">
        <v>1.7740981667652277E-3</v>
      </c>
      <c r="AL579" s="261">
        <v>3.1282586027111575E-3</v>
      </c>
      <c r="AM579" s="262">
        <v>1.4592293513560959E-3</v>
      </c>
    </row>
    <row r="580" spans="1:39" x14ac:dyDescent="0.25">
      <c r="A580" s="215" t="str">
        <v>7129-EAlrabighi</v>
      </c>
      <c r="B580" s="215" t="str">
        <v>HAMUNAIRA</v>
      </c>
      <c r="C580" s="215" t="str">
        <v>Saleh Bin Hoiel</v>
      </c>
      <c r="D580" s="239">
        <v>6396.05</v>
      </c>
      <c r="E580" s="239">
        <v>4065.0899999999997</v>
      </c>
      <c r="F580" s="239">
        <v>6780.1100000000006</v>
      </c>
      <c r="G580" s="239">
        <v>3925.96</v>
      </c>
      <c r="H580" s="239">
        <v>938.03</v>
      </c>
      <c r="I580" s="257">
        <v>22105.239999999998</v>
      </c>
      <c r="J580" s="240">
        <v>168.31710526315791</v>
      </c>
      <c r="K580" s="240">
        <v>162.6036</v>
      </c>
      <c r="L580" s="240">
        <v>165.36853658536586</v>
      </c>
      <c r="M580" s="240">
        <v>130.86533333333333</v>
      </c>
      <c r="N580" s="240">
        <v>104.22555555555556</v>
      </c>
      <c r="O580" s="258">
        <v>154.5820979020979</v>
      </c>
      <c r="P580" s="224">
        <v>0.50353994632413202</v>
      </c>
      <c r="Q580" s="224">
        <v>0.20129828328305524</v>
      </c>
      <c r="R580" s="224">
        <v>0.38643476397369325</v>
      </c>
      <c r="S580" s="224">
        <v>0.29532263160270206</v>
      </c>
      <c r="T580" s="224">
        <v>0.17901028417450848</v>
      </c>
      <c r="U580" s="259">
        <v>0.3204786148631163</v>
      </c>
      <c r="V580" s="239">
        <v>38</v>
      </c>
      <c r="W580" s="239">
        <v>25</v>
      </c>
      <c r="X580" s="239">
        <v>41</v>
      </c>
      <c r="Y580" s="239">
        <v>30</v>
      </c>
      <c r="Z580" s="239">
        <v>9</v>
      </c>
      <c r="AA580" s="257">
        <v>143</v>
      </c>
      <c r="AB580" s="224">
        <v>0.48101265822784811</v>
      </c>
      <c r="AC580" s="224">
        <v>0.21186440677966101</v>
      </c>
      <c r="AD580" s="224">
        <v>0.3867924528301887</v>
      </c>
      <c r="AE580" s="224">
        <v>0.35714285714285715</v>
      </c>
      <c r="AF580" s="224">
        <v>0.26470588235294118</v>
      </c>
      <c r="AG580" s="259">
        <v>0.33966745843230406</v>
      </c>
      <c r="AH580" s="261">
        <v>1.9763873719248972E-3</v>
      </c>
      <c r="AI580" s="261">
        <v>9.2661230541141583E-4</v>
      </c>
      <c r="AJ580" s="261">
        <v>1.9033471055197066E-3</v>
      </c>
      <c r="AK580" s="261">
        <v>1.612816515241116E-3</v>
      </c>
      <c r="AL580" s="261">
        <v>1.8769551616266945E-3</v>
      </c>
      <c r="AM580" s="262">
        <v>1.5689458439392609E-3</v>
      </c>
    </row>
    <row r="581" spans="1:39" x14ac:dyDescent="0.25">
      <c r="A581" s="215" t="str">
        <v>5150-WAL-awlgi</v>
      </c>
      <c r="B581" s="215" t="str">
        <v>HAMUNAIRA</v>
      </c>
      <c r="C581" s="215" t="str">
        <v>Saleh Bin Hoiel</v>
      </c>
      <c r="D581" s="239">
        <v>2752.05</v>
      </c>
      <c r="E581" s="239">
        <v>5552.09</v>
      </c>
      <c r="F581" s="239">
        <v>3706.0700000000006</v>
      </c>
      <c r="G581" s="239">
        <v>5113.99</v>
      </c>
      <c r="H581" s="239">
        <v>3354.06</v>
      </c>
      <c r="I581" s="257">
        <v>20478.259999999998</v>
      </c>
      <c r="J581" s="240">
        <v>172.00312500000001</v>
      </c>
      <c r="K581" s="240">
        <v>173.5028125</v>
      </c>
      <c r="L581" s="240">
        <v>195.05631578947373</v>
      </c>
      <c r="M581" s="240">
        <v>176.34448275862067</v>
      </c>
      <c r="N581" s="240">
        <v>209.62875</v>
      </c>
      <c r="O581" s="258">
        <v>182.84160714285713</v>
      </c>
      <c r="P581" s="224">
        <v>0.2166598305643839</v>
      </c>
      <c r="Q581" s="224">
        <v>0.27493270398269615</v>
      </c>
      <c r="R581" s="224">
        <v>0.21122876851850272</v>
      </c>
      <c r="S581" s="224">
        <v>0.38468985542132422</v>
      </c>
      <c r="T581" s="224">
        <v>0.64007679257417338</v>
      </c>
      <c r="U581" s="259">
        <v>0.2968908910107631</v>
      </c>
      <c r="V581" s="239">
        <v>16</v>
      </c>
      <c r="W581" s="239">
        <v>32</v>
      </c>
      <c r="X581" s="239">
        <v>19</v>
      </c>
      <c r="Y581" s="239">
        <v>29</v>
      </c>
      <c r="Z581" s="239">
        <v>16</v>
      </c>
      <c r="AA581" s="257">
        <v>112</v>
      </c>
      <c r="AB581" s="224">
        <v>0.20253164556962025</v>
      </c>
      <c r="AC581" s="224">
        <v>0.2711864406779661</v>
      </c>
      <c r="AD581" s="224">
        <v>0.17924528301886791</v>
      </c>
      <c r="AE581" s="224">
        <v>0.34523809523809523</v>
      </c>
      <c r="AF581" s="224">
        <v>0.47058823529411764</v>
      </c>
      <c r="AG581" s="259">
        <v>0.26603325415676959</v>
      </c>
      <c r="AH581" s="261">
        <v>8.3216310396837777E-4</v>
      </c>
      <c r="AI581" s="261">
        <v>1.1860637509266123E-3</v>
      </c>
      <c r="AJ581" s="261">
        <v>8.8203890255791277E-4</v>
      </c>
      <c r="AK581" s="261">
        <v>1.559055964733079E-3</v>
      </c>
      <c r="AL581" s="261">
        <v>3.3368091762252345E-3</v>
      </c>
      <c r="AM581" s="262">
        <v>1.2288247169314492E-3</v>
      </c>
    </row>
    <row r="582" spans="1:39" x14ac:dyDescent="0.25">
      <c r="A582" s="215" t="str">
        <v>6616-AAlrowaitei</v>
      </c>
      <c r="B582" s="215" t="str">
        <v>HAMUNAIRA</v>
      </c>
      <c r="C582" s="215" t="str">
        <v>Saleh Bin Hoiel</v>
      </c>
      <c r="D582" s="239">
        <v>1420</v>
      </c>
      <c r="E582" s="239">
        <v>6567.09</v>
      </c>
      <c r="F582" s="239">
        <v>5971.11</v>
      </c>
      <c r="G582" s="239">
        <v>3541.89</v>
      </c>
      <c r="H582" s="239">
        <v>313.01</v>
      </c>
      <c r="I582" s="257">
        <v>17813.099999999999</v>
      </c>
      <c r="J582" s="240">
        <v>142</v>
      </c>
      <c r="K582" s="240">
        <v>160.17292682926831</v>
      </c>
      <c r="L582" s="240">
        <v>161.38135135135136</v>
      </c>
      <c r="M582" s="240">
        <v>177.09449999999998</v>
      </c>
      <c r="N582" s="240">
        <v>78.252499999999998</v>
      </c>
      <c r="O582" s="258">
        <v>159.04553571428571</v>
      </c>
      <c r="P582" s="224">
        <v>0.11179192216762962</v>
      </c>
      <c r="Q582" s="224">
        <v>0.32519426216032593</v>
      </c>
      <c r="R582" s="224">
        <v>0.34032552326008858</v>
      </c>
      <c r="S582" s="224">
        <v>0.26643172004994808</v>
      </c>
      <c r="T582" s="224">
        <v>5.9733706863813414E-2</v>
      </c>
      <c r="U582" s="259">
        <v>0.25825178167792689</v>
      </c>
      <c r="V582" s="239">
        <v>10</v>
      </c>
      <c r="W582" s="239">
        <v>41</v>
      </c>
      <c r="X582" s="239">
        <v>37</v>
      </c>
      <c r="Y582" s="239">
        <v>20</v>
      </c>
      <c r="Z582" s="239">
        <v>4</v>
      </c>
      <c r="AA582" s="257">
        <v>112</v>
      </c>
      <c r="AB582" s="224">
        <v>0.12658227848101267</v>
      </c>
      <c r="AC582" s="224">
        <v>0.34745762711864409</v>
      </c>
      <c r="AD582" s="224">
        <v>0.34905660377358488</v>
      </c>
      <c r="AE582" s="224">
        <v>0.23809523809523808</v>
      </c>
      <c r="AF582" s="224">
        <v>0.11764705882352941</v>
      </c>
      <c r="AG582" s="259">
        <v>0.26603325415676959</v>
      </c>
      <c r="AH582" s="261">
        <v>5.2010193998023614E-4</v>
      </c>
      <c r="AI582" s="261">
        <v>1.519644180874722E-3</v>
      </c>
      <c r="AJ582" s="261">
        <v>1.7176547049811987E-3</v>
      </c>
      <c r="AK582" s="261">
        <v>1.075211010160744E-3</v>
      </c>
      <c r="AL582" s="261">
        <v>8.3420229405630863E-4</v>
      </c>
      <c r="AM582" s="262">
        <v>1.2288247169314492E-3</v>
      </c>
    </row>
    <row r="583" spans="1:39" x14ac:dyDescent="0.25">
      <c r="A583" s="215" t="str">
        <v>7217-SFulfulan</v>
      </c>
      <c r="B583" s="215" t="str">
        <v>HAMUNAIRA</v>
      </c>
      <c r="C583" s="215" t="str">
        <v>Saleh Bin Hoiel</v>
      </c>
      <c r="D583" s="239">
        <v>2134.0699999999997</v>
      </c>
      <c r="E583" s="239">
        <v>4010.09</v>
      </c>
      <c r="F583" s="239">
        <v>1088</v>
      </c>
      <c r="G583" s="239">
        <v>711.96</v>
      </c>
      <c r="H583" s="239">
        <v>634.99</v>
      </c>
      <c r="I583" s="257">
        <v>8579.11</v>
      </c>
      <c r="J583" s="240">
        <v>142.2713333333333</v>
      </c>
      <c r="K583" s="240">
        <v>200.50450000000001</v>
      </c>
      <c r="L583" s="240">
        <v>120.88888888888889</v>
      </c>
      <c r="M583" s="240">
        <v>142.392</v>
      </c>
      <c r="N583" s="240">
        <v>126.998</v>
      </c>
      <c r="O583" s="258">
        <v>158.87240740740742</v>
      </c>
      <c r="P583" s="224">
        <v>0.16800830094385444</v>
      </c>
      <c r="Q583" s="224">
        <v>0.19857475057392263</v>
      </c>
      <c r="R583" s="224">
        <v>6.2010944247715478E-2</v>
      </c>
      <c r="S583" s="224">
        <v>5.3555792926025671E-2</v>
      </c>
      <c r="T583" s="224">
        <v>0.12117921638750481</v>
      </c>
      <c r="U583" s="259">
        <v>0.12437871244819375</v>
      </c>
      <c r="V583" s="239">
        <v>15</v>
      </c>
      <c r="W583" s="239">
        <v>20</v>
      </c>
      <c r="X583" s="239">
        <v>9</v>
      </c>
      <c r="Y583" s="239">
        <v>5</v>
      </c>
      <c r="Z583" s="239">
        <v>5</v>
      </c>
      <c r="AA583" s="257">
        <v>54</v>
      </c>
      <c r="AB583" s="224">
        <v>0.189873417721519</v>
      </c>
      <c r="AC583" s="224">
        <v>0.16949152542372881</v>
      </c>
      <c r="AD583" s="224">
        <v>8.4905660377358486E-2</v>
      </c>
      <c r="AE583" s="224">
        <v>5.9523809523809521E-2</v>
      </c>
      <c r="AF583" s="224">
        <v>0.14705882352941177</v>
      </c>
      <c r="AG583" s="259">
        <v>0.12826603325415678</v>
      </c>
      <c r="AH583" s="261">
        <v>7.8015290997035416E-4</v>
      </c>
      <c r="AI583" s="261">
        <v>7.4128984432913266E-4</v>
      </c>
      <c r="AJ583" s="261">
        <v>4.1780790121164293E-4</v>
      </c>
      <c r="AK583" s="261">
        <v>2.6880275254018599E-4</v>
      </c>
      <c r="AL583" s="261">
        <v>1.0427528675703858E-3</v>
      </c>
      <c r="AM583" s="262">
        <v>5.9246905994909157E-4</v>
      </c>
    </row>
    <row r="584" spans="1:39" x14ac:dyDescent="0.25">
      <c r="A584" s="215" t="str">
        <v>3477-Naif Alzahrani</v>
      </c>
      <c r="B584" s="215" t="str">
        <v>HAOBHRPLZ</v>
      </c>
      <c r="C584" s="215" t="str">
        <v>Saleh Bin Hoiel</v>
      </c>
      <c r="D584" s="239">
        <v>2868.1</v>
      </c>
      <c r="E584" s="239">
        <v>7805.06</v>
      </c>
      <c r="F584" s="239">
        <v>8069.14</v>
      </c>
      <c r="G584" s="239">
        <v>1229.01</v>
      </c>
      <c r="H584" s="239">
        <v>0</v>
      </c>
      <c r="I584" s="257">
        <v>19971.309999999998</v>
      </c>
      <c r="J584" s="240">
        <v>191.20666666666665</v>
      </c>
      <c r="K584" s="240">
        <v>150.09730769230771</v>
      </c>
      <c r="L584" s="240">
        <v>179.31422222222224</v>
      </c>
      <c r="M584" s="240">
        <v>136.55666666666667</v>
      </c>
      <c r="N584" s="240" t="str">
        <v/>
      </c>
      <c r="O584" s="258">
        <v>165.05214876033057</v>
      </c>
      <c r="P584" s="224">
        <v>0.21706225412956379</v>
      </c>
      <c r="Q584" s="224">
        <v>0.43762037271176207</v>
      </c>
      <c r="R584" s="224">
        <v>0.46392391526823062</v>
      </c>
      <c r="S584" s="224">
        <v>0.10857093891454679</v>
      </c>
      <c r="T584" s="224">
        <v>0</v>
      </c>
      <c r="U584" s="259">
        <v>0.32161167607309715</v>
      </c>
      <c r="V584" s="239">
        <v>15</v>
      </c>
      <c r="W584" s="239">
        <v>52</v>
      </c>
      <c r="X584" s="239">
        <v>45</v>
      </c>
      <c r="Y584" s="239">
        <v>9</v>
      </c>
      <c r="Z584" s="239">
        <v>0</v>
      </c>
      <c r="AA584" s="257">
        <v>121</v>
      </c>
      <c r="AB584" s="224">
        <v>0.15957446808510639</v>
      </c>
      <c r="AC584" s="224">
        <v>0.42975206611570249</v>
      </c>
      <c r="AD584" s="224">
        <v>0.41284403669724773</v>
      </c>
      <c r="AE584" s="224">
        <v>0.13235294117647059</v>
      </c>
      <c r="AF584" s="224">
        <v>0</v>
      </c>
      <c r="AG584" s="259">
        <v>0.29729729729729731</v>
      </c>
      <c r="AH584" s="261">
        <v>7.8015290997035416E-4</v>
      </c>
      <c r="AI584" s="261">
        <v>1.927353595255745E-3</v>
      </c>
      <c r="AJ584" s="261">
        <v>2.0890395060582144E-3</v>
      </c>
      <c r="AK584" s="261">
        <v>4.8384495457233484E-4</v>
      </c>
      <c r="AL584" s="261">
        <v>0</v>
      </c>
      <c r="AM584" s="262">
        <v>1.3275695602562977E-3</v>
      </c>
    </row>
    <row r="585" spans="1:39" x14ac:dyDescent="0.25">
      <c r="A585" s="215" t="str">
        <v>5416-AAl-Zahrani</v>
      </c>
      <c r="B585" s="215" t="str">
        <v>HAOBHRPLZ</v>
      </c>
      <c r="C585" s="215" t="str">
        <v>Saleh Bin Hoiel</v>
      </c>
      <c r="D585" s="239">
        <v>0</v>
      </c>
      <c r="E585" s="239">
        <v>3592.09</v>
      </c>
      <c r="F585" s="239">
        <v>6765.0500000000011</v>
      </c>
      <c r="G585" s="239">
        <v>4701.99</v>
      </c>
      <c r="H585" s="239">
        <v>1914.02</v>
      </c>
      <c r="I585" s="257">
        <v>16973.150000000001</v>
      </c>
      <c r="J585" s="240" t="str">
        <v/>
      </c>
      <c r="K585" s="240">
        <v>143.68360000000001</v>
      </c>
      <c r="L585" s="240">
        <v>143.93723404255323</v>
      </c>
      <c r="M585" s="240">
        <v>167.92821428571429</v>
      </c>
      <c r="N585" s="240">
        <v>147.2323076923077</v>
      </c>
      <c r="O585" s="258">
        <v>150.20486725663719</v>
      </c>
      <c r="P585" s="224">
        <v>0</v>
      </c>
      <c r="Q585" s="224">
        <v>0.20140418710608163</v>
      </c>
      <c r="R585" s="224">
        <v>0.38894708518941845</v>
      </c>
      <c r="S585" s="224">
        <v>0.41537454460647988</v>
      </c>
      <c r="T585" s="224">
        <v>0.819364891822704</v>
      </c>
      <c r="U585" s="259">
        <v>0.27333025323527049</v>
      </c>
      <c r="V585" s="239">
        <v>0</v>
      </c>
      <c r="W585" s="239">
        <v>25</v>
      </c>
      <c r="X585" s="239">
        <v>47</v>
      </c>
      <c r="Y585" s="239">
        <v>28</v>
      </c>
      <c r="Z585" s="239">
        <v>13</v>
      </c>
      <c r="AA585" s="257">
        <v>113</v>
      </c>
      <c r="AB585" s="224">
        <v>0</v>
      </c>
      <c r="AC585" s="224">
        <v>0.20661157024793389</v>
      </c>
      <c r="AD585" s="224">
        <v>0.43119266055045874</v>
      </c>
      <c r="AE585" s="224">
        <v>0.41176470588235292</v>
      </c>
      <c r="AF585" s="224">
        <v>0.8666666666666667</v>
      </c>
      <c r="AG585" s="259">
        <v>0.27764127764127766</v>
      </c>
      <c r="AH585" s="261">
        <v>0</v>
      </c>
      <c r="AI585" s="261">
        <v>9.2661230541141583E-4</v>
      </c>
      <c r="AJ585" s="261">
        <v>2.1818857063274685E-3</v>
      </c>
      <c r="AK585" s="261">
        <v>1.5052954142250417E-3</v>
      </c>
      <c r="AL585" s="261">
        <v>2.7111574556830031E-3</v>
      </c>
      <c r="AM585" s="262">
        <v>1.2397963661897656E-3</v>
      </c>
    </row>
    <row r="586" spans="1:39" x14ac:dyDescent="0.25">
      <c r="A586" s="215" t="str">
        <v>5431-AAlbukayr</v>
      </c>
      <c r="B586" s="215" t="str">
        <v>HAOBHRPLZ</v>
      </c>
      <c r="C586" s="215" t="str">
        <v>Saleh Bin Hoiel</v>
      </c>
      <c r="D586" s="239">
        <v>2490.98</v>
      </c>
      <c r="E586" s="239">
        <v>3236.04</v>
      </c>
      <c r="F586" s="239">
        <v>2294.04</v>
      </c>
      <c r="G586" s="239">
        <v>5388.88</v>
      </c>
      <c r="H586" s="239">
        <v>421.96</v>
      </c>
      <c r="I586" s="257">
        <v>13831.9</v>
      </c>
      <c r="J586" s="240">
        <v>138.38777777777779</v>
      </c>
      <c r="K586" s="240">
        <v>147.09272727272727</v>
      </c>
      <c r="L586" s="240">
        <v>152.93600000000001</v>
      </c>
      <c r="M586" s="240">
        <v>173.83483870967743</v>
      </c>
      <c r="N586" s="240">
        <v>210.98</v>
      </c>
      <c r="O586" s="258">
        <v>157.18068181818182</v>
      </c>
      <c r="P586" s="224">
        <v>0.18852122791801568</v>
      </c>
      <c r="Q586" s="224">
        <v>0.18144088974462341</v>
      </c>
      <c r="R586" s="224">
        <v>0.13189262035135488</v>
      </c>
      <c r="S586" s="224">
        <v>0.47605451647897323</v>
      </c>
      <c r="T586" s="224">
        <v>0.18063510817729603</v>
      </c>
      <c r="U586" s="259">
        <v>0.22274455417674016</v>
      </c>
      <c r="V586" s="239">
        <v>18</v>
      </c>
      <c r="W586" s="239">
        <v>22</v>
      </c>
      <c r="X586" s="239">
        <v>15</v>
      </c>
      <c r="Y586" s="239">
        <v>31</v>
      </c>
      <c r="Z586" s="239">
        <v>2</v>
      </c>
      <c r="AA586" s="257">
        <v>88</v>
      </c>
      <c r="AB586" s="224">
        <v>0.19148936170212766</v>
      </c>
      <c r="AC586" s="224">
        <v>0.18181818181818182</v>
      </c>
      <c r="AD586" s="224">
        <v>0.13761467889908258</v>
      </c>
      <c r="AE586" s="224">
        <v>0.45588235294117646</v>
      </c>
      <c r="AF586" s="224">
        <v>0.13333333333333333</v>
      </c>
      <c r="AG586" s="259">
        <v>0.21621621621621623</v>
      </c>
      <c r="AH586" s="261">
        <v>9.3618349196442508E-4</v>
      </c>
      <c r="AI586" s="261">
        <v>8.1541882876204591E-4</v>
      </c>
      <c r="AJ586" s="261">
        <v>6.9634650201940481E-4</v>
      </c>
      <c r="AK586" s="261">
        <v>1.6665770657491533E-3</v>
      </c>
      <c r="AL586" s="261">
        <v>4.1710114702815432E-4</v>
      </c>
      <c r="AM586" s="262">
        <v>9.6550513473185292E-4</v>
      </c>
    </row>
    <row r="587" spans="1:39" x14ac:dyDescent="0.25">
      <c r="A587" s="215" t="str">
        <v>4297-AMubarak</v>
      </c>
      <c r="B587" s="215" t="str">
        <v>HAOBHRPLZ</v>
      </c>
      <c r="C587" s="215" t="str">
        <v>Saleh Bin Hoiel</v>
      </c>
      <c r="D587" s="239">
        <v>7854.18</v>
      </c>
      <c r="E587" s="239">
        <v>3202.04</v>
      </c>
      <c r="F587" s="239">
        <v>265.01</v>
      </c>
      <c r="G587" s="239">
        <v>0</v>
      </c>
      <c r="H587" s="239">
        <v>0</v>
      </c>
      <c r="I587" s="257">
        <v>11321.230000000001</v>
      </c>
      <c r="J587" s="240">
        <v>128.75704918032787</v>
      </c>
      <c r="K587" s="240">
        <v>145.54727272727271</v>
      </c>
      <c r="L587" s="240">
        <v>132.505</v>
      </c>
      <c r="M587" s="240" t="str">
        <v/>
      </c>
      <c r="N587" s="240" t="str">
        <v/>
      </c>
      <c r="O587" s="258">
        <v>133.1909411764706</v>
      </c>
      <c r="P587" s="224">
        <v>0.59441651795242056</v>
      </c>
      <c r="Q587" s="224">
        <v>0.17953455043753291</v>
      </c>
      <c r="R587" s="224">
        <v>1.523637919099604E-2</v>
      </c>
      <c r="S587" s="224">
        <v>0</v>
      </c>
      <c r="T587" s="224">
        <v>0</v>
      </c>
      <c r="U587" s="259">
        <v>0.18231351651489214</v>
      </c>
      <c r="V587" s="239">
        <v>61</v>
      </c>
      <c r="W587" s="239">
        <v>22</v>
      </c>
      <c r="X587" s="239">
        <v>2</v>
      </c>
      <c r="Y587" s="239">
        <v>0</v>
      </c>
      <c r="Z587" s="239">
        <v>0</v>
      </c>
      <c r="AA587" s="257">
        <v>85</v>
      </c>
      <c r="AB587" s="224">
        <v>0.64893617021276595</v>
      </c>
      <c r="AC587" s="224">
        <v>0.18181818181818182</v>
      </c>
      <c r="AD587" s="224">
        <v>1.834862385321101E-2</v>
      </c>
      <c r="AE587" s="224">
        <v>0</v>
      </c>
      <c r="AF587" s="224">
        <v>0</v>
      </c>
      <c r="AG587" s="259">
        <v>0.20884520884520885</v>
      </c>
      <c r="AH587" s="261">
        <v>3.1726218338794404E-3</v>
      </c>
      <c r="AI587" s="261">
        <v>8.1541882876204591E-4</v>
      </c>
      <c r="AJ587" s="261">
        <v>9.2846200269253978E-5</v>
      </c>
      <c r="AK587" s="261">
        <v>0</v>
      </c>
      <c r="AL587" s="261">
        <v>0</v>
      </c>
      <c r="AM587" s="262">
        <v>9.3259018695690337E-4</v>
      </c>
    </row>
    <row r="588" spans="1:39" x14ac:dyDescent="0.25">
      <c r="A588" s="215" t="str">
        <v>4862-FAlHarithi</v>
      </c>
      <c r="B588" s="215" t="str">
        <v>HAPARKTAIF</v>
      </c>
      <c r="C588" s="215" t="str">
        <v>Saleh Bin Hoiel</v>
      </c>
      <c r="D588" s="239">
        <v>7557.0700000000015</v>
      </c>
      <c r="E588" s="239">
        <v>6283.1</v>
      </c>
      <c r="F588" s="239">
        <v>5367.08</v>
      </c>
      <c r="G588" s="239">
        <v>3384.92</v>
      </c>
      <c r="H588" s="239">
        <v>759.06</v>
      </c>
      <c r="I588" s="257">
        <v>23351.23</v>
      </c>
      <c r="J588" s="240">
        <v>103.52150684931509</v>
      </c>
      <c r="K588" s="240">
        <v>146.1186046511628</v>
      </c>
      <c r="L588" s="240">
        <v>116.67565217391304</v>
      </c>
      <c r="M588" s="240">
        <v>130.18923076923076</v>
      </c>
      <c r="N588" s="240">
        <v>151.81199999999998</v>
      </c>
      <c r="O588" s="258">
        <v>120.99082901554404</v>
      </c>
      <c r="P588" s="224">
        <v>0.45267258244410979</v>
      </c>
      <c r="Q588" s="224">
        <v>0.34785752407780191</v>
      </c>
      <c r="R588" s="224">
        <v>0.44524785675294964</v>
      </c>
      <c r="S588" s="224">
        <v>0.31790211576606359</v>
      </c>
      <c r="T588" s="224">
        <v>0.32026902159007964</v>
      </c>
      <c r="U588" s="259">
        <v>0.3903027168819681</v>
      </c>
      <c r="V588" s="239">
        <v>73</v>
      </c>
      <c r="W588" s="239">
        <v>43</v>
      </c>
      <c r="X588" s="239">
        <v>46</v>
      </c>
      <c r="Y588" s="239">
        <v>26</v>
      </c>
      <c r="Z588" s="239">
        <v>5</v>
      </c>
      <c r="AA588" s="257">
        <v>193</v>
      </c>
      <c r="AB588" s="224">
        <v>0.45061728395061729</v>
      </c>
      <c r="AC588" s="224">
        <v>0.30935251798561153</v>
      </c>
      <c r="AD588" s="224">
        <v>0.44660194174757284</v>
      </c>
      <c r="AE588" s="224">
        <v>0.30952380952380953</v>
      </c>
      <c r="AF588" s="224">
        <v>0.29411764705882354</v>
      </c>
      <c r="AG588" s="259">
        <v>0.38217821782178218</v>
      </c>
      <c r="AH588" s="261">
        <v>3.7967441618557236E-3</v>
      </c>
      <c r="AI588" s="261">
        <v>1.5937731653076354E-3</v>
      </c>
      <c r="AJ588" s="261">
        <v>2.1354626061928414E-3</v>
      </c>
      <c r="AK588" s="261">
        <v>1.3977743132089673E-3</v>
      </c>
      <c r="AL588" s="261">
        <v>1.0427528675703858E-3</v>
      </c>
      <c r="AM588" s="262">
        <v>2.1175283068550865E-3</v>
      </c>
    </row>
    <row r="589" spans="1:39" x14ac:dyDescent="0.25">
      <c r="A589" s="215" t="str">
        <v>4535-MAlOtaibi</v>
      </c>
      <c r="B589" s="215" t="str">
        <v>HAPARKTAIF</v>
      </c>
      <c r="C589" s="215" t="str">
        <v>Saleh Bin Hoiel</v>
      </c>
      <c r="D589" s="239">
        <v>3777.1</v>
      </c>
      <c r="E589" s="239">
        <v>4496.01</v>
      </c>
      <c r="F589" s="239">
        <v>5222.0599999999995</v>
      </c>
      <c r="G589" s="239">
        <v>3273.89</v>
      </c>
      <c r="H589" s="239">
        <v>453.98</v>
      </c>
      <c r="I589" s="257">
        <v>17223.04</v>
      </c>
      <c r="J589" s="240">
        <v>92.12439024390244</v>
      </c>
      <c r="K589" s="240">
        <v>115.2823076923077</v>
      </c>
      <c r="L589" s="240">
        <v>116.04577777777777</v>
      </c>
      <c r="M589" s="240">
        <v>136.41208333333333</v>
      </c>
      <c r="N589" s="240">
        <v>151.32666666666668</v>
      </c>
      <c r="O589" s="258">
        <v>113.30947368421053</v>
      </c>
      <c r="P589" s="224">
        <v>0.2262503339455168</v>
      </c>
      <c r="Q589" s="224">
        <v>0.24891708023571774</v>
      </c>
      <c r="R589" s="224">
        <v>0.43321713535764472</v>
      </c>
      <c r="S589" s="224">
        <v>0.30747449209593075</v>
      </c>
      <c r="T589" s="224">
        <v>0.19154708510719096</v>
      </c>
      <c r="U589" s="259">
        <v>0.2878734569856411</v>
      </c>
      <c r="V589" s="239">
        <v>41</v>
      </c>
      <c r="W589" s="239">
        <v>39</v>
      </c>
      <c r="X589" s="239">
        <v>45</v>
      </c>
      <c r="Y589" s="239">
        <v>24</v>
      </c>
      <c r="Z589" s="239">
        <v>3</v>
      </c>
      <c r="AA589" s="257">
        <v>152</v>
      </c>
      <c r="AB589" s="224">
        <v>0.25308641975308643</v>
      </c>
      <c r="AC589" s="224">
        <v>0.2805755395683453</v>
      </c>
      <c r="AD589" s="224">
        <v>0.43689320388349512</v>
      </c>
      <c r="AE589" s="224">
        <v>0.2857142857142857</v>
      </c>
      <c r="AF589" s="224">
        <v>0.17647058823529413</v>
      </c>
      <c r="AG589" s="259">
        <v>0.30099009900990098</v>
      </c>
      <c r="AH589" s="261">
        <v>2.1324179539189683E-3</v>
      </c>
      <c r="AI589" s="261">
        <v>1.4455151964418086E-3</v>
      </c>
      <c r="AJ589" s="261">
        <v>2.0890395060582144E-3</v>
      </c>
      <c r="AK589" s="261">
        <v>1.2902532121928929E-3</v>
      </c>
      <c r="AL589" s="261">
        <v>6.2565172054223153E-4</v>
      </c>
      <c r="AM589" s="262">
        <v>1.6676906872641094E-3</v>
      </c>
    </row>
    <row r="590" spans="1:39" x14ac:dyDescent="0.25">
      <c r="A590" s="215" t="str">
        <v>4656-MALHarthi</v>
      </c>
      <c r="B590" s="215" t="str">
        <v>HAPARKTAIF</v>
      </c>
      <c r="C590" s="215" t="str">
        <v>Saleh Bin Hoiel</v>
      </c>
      <c r="D590" s="239">
        <v>2801.08</v>
      </c>
      <c r="E590" s="239">
        <v>4195.1100000000006</v>
      </c>
      <c r="F590" s="239">
        <v>0</v>
      </c>
      <c r="G590" s="239">
        <v>1869.94</v>
      </c>
      <c r="H590" s="239">
        <v>932.03</v>
      </c>
      <c r="I590" s="257">
        <v>9798.1600000000017</v>
      </c>
      <c r="J590" s="240">
        <v>103.7437037037037</v>
      </c>
      <c r="K590" s="240">
        <v>131.09718750000002</v>
      </c>
      <c r="L590" s="240" t="str">
        <v/>
      </c>
      <c r="M590" s="240">
        <v>109.9964705882353</v>
      </c>
      <c r="N590" s="240">
        <v>155.33833333333334</v>
      </c>
      <c r="O590" s="258">
        <v>119.489756097561</v>
      </c>
      <c r="P590" s="224">
        <v>0.16778620778060105</v>
      </c>
      <c r="Q590" s="224">
        <v>0.23225805380051687</v>
      </c>
      <c r="R590" s="224">
        <v>0</v>
      </c>
      <c r="S590" s="224">
        <v>0.17561947767025304</v>
      </c>
      <c r="T590" s="224">
        <v>0.39324998839696723</v>
      </c>
      <c r="U590" s="259">
        <v>0.16377075076748526</v>
      </c>
      <c r="V590" s="239">
        <v>27</v>
      </c>
      <c r="W590" s="239">
        <v>32</v>
      </c>
      <c r="X590" s="239">
        <v>0</v>
      </c>
      <c r="Y590" s="239">
        <v>17</v>
      </c>
      <c r="Z590" s="239">
        <v>6</v>
      </c>
      <c r="AA590" s="257">
        <v>82</v>
      </c>
      <c r="AB590" s="224">
        <v>0.16666666666666666</v>
      </c>
      <c r="AC590" s="224">
        <v>0.23021582733812951</v>
      </c>
      <c r="AD590" s="224">
        <v>0</v>
      </c>
      <c r="AE590" s="224">
        <v>0.20238095238095238</v>
      </c>
      <c r="AF590" s="224">
        <v>0.35294117647058826</v>
      </c>
      <c r="AG590" s="259">
        <v>0.16237623762376238</v>
      </c>
      <c r="AH590" s="261">
        <v>1.4042752379466376E-3</v>
      </c>
      <c r="AI590" s="261">
        <v>1.1860637509266123E-3</v>
      </c>
      <c r="AJ590" s="261">
        <v>0</v>
      </c>
      <c r="AK590" s="261">
        <v>9.1392935863663239E-4</v>
      </c>
      <c r="AL590" s="261">
        <v>1.2513034410844631E-3</v>
      </c>
      <c r="AM590" s="262">
        <v>8.9967523918195382E-4</v>
      </c>
    </row>
    <row r="591" spans="1:39" x14ac:dyDescent="0.25">
      <c r="A591" s="215" t="str">
        <v>5563-AAlmalki</v>
      </c>
      <c r="B591" s="215" t="str">
        <v>HAPARKTAIF</v>
      </c>
      <c r="C591" s="215" t="str">
        <v>Saleh Bin Hoiel</v>
      </c>
      <c r="D591" s="239">
        <v>2559.09</v>
      </c>
      <c r="E591" s="239">
        <v>3088.06</v>
      </c>
      <c r="F591" s="239">
        <v>1465</v>
      </c>
      <c r="G591" s="239">
        <v>2118.9300000000003</v>
      </c>
      <c r="H591" s="239">
        <v>225</v>
      </c>
      <c r="I591" s="257">
        <v>9456.08</v>
      </c>
      <c r="J591" s="240">
        <v>121.86142857142858</v>
      </c>
      <c r="K591" s="240">
        <v>123.5224</v>
      </c>
      <c r="L591" s="240">
        <v>122.08333333333333</v>
      </c>
      <c r="M591" s="240">
        <v>124.6429411764706</v>
      </c>
      <c r="N591" s="240">
        <v>75</v>
      </c>
      <c r="O591" s="258">
        <v>121.23179487179488</v>
      </c>
      <c r="P591" s="224">
        <v>0.15329087582977222</v>
      </c>
      <c r="Q591" s="224">
        <v>0.17096734188596344</v>
      </c>
      <c r="R591" s="224">
        <v>0.12153500788940563</v>
      </c>
      <c r="S591" s="224">
        <v>0.19900391446775262</v>
      </c>
      <c r="T591" s="224">
        <v>9.4933904905762284E-2</v>
      </c>
      <c r="U591" s="259">
        <v>0.15805307536490543</v>
      </c>
      <c r="V591" s="239">
        <v>21</v>
      </c>
      <c r="W591" s="239">
        <v>25</v>
      </c>
      <c r="X591" s="239">
        <v>12</v>
      </c>
      <c r="Y591" s="239">
        <v>17</v>
      </c>
      <c r="Z591" s="239">
        <v>3</v>
      </c>
      <c r="AA591" s="257">
        <v>78</v>
      </c>
      <c r="AB591" s="224">
        <v>0.12962962962962962</v>
      </c>
      <c r="AC591" s="224">
        <v>0.17985611510791366</v>
      </c>
      <c r="AD591" s="224">
        <v>0.11650485436893204</v>
      </c>
      <c r="AE591" s="224">
        <v>0.20238095238095238</v>
      </c>
      <c r="AF591" s="224">
        <v>0.17647058823529413</v>
      </c>
      <c r="AG591" s="259">
        <v>0.15445544554455445</v>
      </c>
      <c r="AH591" s="261">
        <v>1.0922140739584958E-3</v>
      </c>
      <c r="AI591" s="261">
        <v>9.2661230541141583E-4</v>
      </c>
      <c r="AJ591" s="261">
        <v>5.5707720161552387E-4</v>
      </c>
      <c r="AK591" s="261">
        <v>9.1392935863663239E-4</v>
      </c>
      <c r="AL591" s="261">
        <v>6.2565172054223153E-4</v>
      </c>
      <c r="AM591" s="262">
        <v>8.5578864214868775E-4</v>
      </c>
    </row>
    <row r="592" spans="1:39" x14ac:dyDescent="0.25">
      <c r="A592" s="215" t="str">
        <v>4534-Hana</v>
      </c>
      <c r="B592" s="215" t="str">
        <v>HATAIFJRY</v>
      </c>
      <c r="C592" s="215" t="str">
        <v>Saleh Bin Hoiel</v>
      </c>
      <c r="D592" s="239">
        <v>10711.220000000001</v>
      </c>
      <c r="E592" s="239">
        <v>10649.199999999999</v>
      </c>
      <c r="F592" s="239">
        <v>5918.08</v>
      </c>
      <c r="G592" s="239">
        <v>2771.8900000000003</v>
      </c>
      <c r="H592" s="239">
        <v>876.97</v>
      </c>
      <c r="I592" s="257">
        <v>30927.360000000001</v>
      </c>
      <c r="J592" s="240">
        <v>90.77305084745764</v>
      </c>
      <c r="K592" s="240">
        <v>122.40459770114941</v>
      </c>
      <c r="L592" s="240">
        <v>151.74564102564102</v>
      </c>
      <c r="M592" s="240">
        <v>115.49541666666669</v>
      </c>
      <c r="N592" s="240">
        <v>175.39400000000001</v>
      </c>
      <c r="O592" s="258">
        <v>113.28703296703297</v>
      </c>
      <c r="P592" s="224">
        <v>0.49052043281780361</v>
      </c>
      <c r="Q592" s="224">
        <v>0.49675892927114162</v>
      </c>
      <c r="R592" s="224">
        <v>0.24433380715890854</v>
      </c>
      <c r="S592" s="224">
        <v>0.12329665275446847</v>
      </c>
      <c r="T592" s="224">
        <v>0.13409040173451947</v>
      </c>
      <c r="U592" s="259">
        <v>0.32043532362793176</v>
      </c>
      <c r="V592" s="239">
        <v>118</v>
      </c>
      <c r="W592" s="239">
        <v>87</v>
      </c>
      <c r="X592" s="239">
        <v>39</v>
      </c>
      <c r="Y592" s="239">
        <v>24</v>
      </c>
      <c r="Z592" s="239">
        <v>5</v>
      </c>
      <c r="AA592" s="257">
        <v>273</v>
      </c>
      <c r="AB592" s="224">
        <v>0.5539906103286385</v>
      </c>
      <c r="AC592" s="224">
        <v>0.4887640449438202</v>
      </c>
      <c r="AD592" s="224">
        <v>0.20967741935483872</v>
      </c>
      <c r="AE592" s="224">
        <v>0.12834224598930483</v>
      </c>
      <c r="AF592" s="224">
        <v>0.1388888888888889</v>
      </c>
      <c r="AG592" s="259">
        <v>0.34125</v>
      </c>
      <c r="AH592" s="261">
        <v>6.1372028917667859E-3</v>
      </c>
      <c r="AI592" s="261">
        <v>3.2246108228317274E-3</v>
      </c>
      <c r="AJ592" s="261">
        <v>1.8105009052504525E-3</v>
      </c>
      <c r="AK592" s="261">
        <v>1.2902532121928929E-3</v>
      </c>
      <c r="AL592" s="261">
        <v>1.0427528675703858E-3</v>
      </c>
      <c r="AM592" s="262">
        <v>2.9952602475204074E-3</v>
      </c>
    </row>
    <row r="593" spans="1:39" x14ac:dyDescent="0.25">
      <c r="A593" s="215" t="str">
        <v>5415-KAlTalhi</v>
      </c>
      <c r="B593" s="215" t="str">
        <v>HATAIFJRY</v>
      </c>
      <c r="C593" s="215" t="str">
        <v>Saleh Bin Hoiel</v>
      </c>
      <c r="D593" s="239">
        <v>7299.18</v>
      </c>
      <c r="E593" s="239">
        <v>375.01</v>
      </c>
      <c r="F593" s="239">
        <v>3380.04</v>
      </c>
      <c r="G593" s="239">
        <v>9328.7999999999993</v>
      </c>
      <c r="H593" s="239">
        <v>1169.98</v>
      </c>
      <c r="I593" s="257">
        <v>21553.01</v>
      </c>
      <c r="J593" s="240">
        <v>99.988767123287673</v>
      </c>
      <c r="K593" s="240">
        <v>125.00333333333333</v>
      </c>
      <c r="L593" s="240">
        <v>130.00153846153847</v>
      </c>
      <c r="M593" s="240">
        <v>121.15324675324675</v>
      </c>
      <c r="N593" s="240">
        <v>129.99777777777777</v>
      </c>
      <c r="O593" s="258">
        <v>114.64367021276595</v>
      </c>
      <c r="P593" s="224">
        <v>0.33426602504803893</v>
      </c>
      <c r="Q593" s="224">
        <v>1.7493292084473089E-2</v>
      </c>
      <c r="R593" s="224">
        <v>0.13954830646922603</v>
      </c>
      <c r="S593" s="224">
        <v>0.41495507188809266</v>
      </c>
      <c r="T593" s="224">
        <v>0.17889219496830344</v>
      </c>
      <c r="U593" s="259">
        <v>0.22330860876925962</v>
      </c>
      <c r="V593" s="239">
        <v>73</v>
      </c>
      <c r="W593" s="239">
        <v>3</v>
      </c>
      <c r="X593" s="239">
        <v>26</v>
      </c>
      <c r="Y593" s="239">
        <v>77</v>
      </c>
      <c r="Z593" s="239">
        <v>9</v>
      </c>
      <c r="AA593" s="257">
        <v>188</v>
      </c>
      <c r="AB593" s="224">
        <v>0.34272300469483569</v>
      </c>
      <c r="AC593" s="224">
        <v>1.6853932584269662E-2</v>
      </c>
      <c r="AD593" s="224">
        <v>0.13978494623655913</v>
      </c>
      <c r="AE593" s="224">
        <v>0.41176470588235292</v>
      </c>
      <c r="AF593" s="224">
        <v>0.25</v>
      </c>
      <c r="AG593" s="259">
        <v>0.23499999999999999</v>
      </c>
      <c r="AH593" s="261">
        <v>3.7967441618557236E-3</v>
      </c>
      <c r="AI593" s="261">
        <v>1.1119347664936991E-4</v>
      </c>
      <c r="AJ593" s="261">
        <v>1.2070006035003018E-3</v>
      </c>
      <c r="AK593" s="261">
        <v>4.139562389118865E-3</v>
      </c>
      <c r="AL593" s="261">
        <v>1.8769551616266945E-3</v>
      </c>
      <c r="AM593" s="262">
        <v>2.0626700605635038E-3</v>
      </c>
    </row>
    <row r="594" spans="1:39" x14ac:dyDescent="0.25">
      <c r="A594" s="215" t="str">
        <v>3588-RAassimi</v>
      </c>
      <c r="B594" s="215" t="str">
        <v>HATAIFJRY</v>
      </c>
      <c r="C594" s="215" t="str">
        <v>Saleh Bin Hoiel</v>
      </c>
      <c r="D594" s="239">
        <v>0</v>
      </c>
      <c r="E594" s="239">
        <v>5980.08</v>
      </c>
      <c r="F594" s="239">
        <v>6018.0599999999995</v>
      </c>
      <c r="G594" s="239">
        <v>1963.88</v>
      </c>
      <c r="H594" s="239">
        <v>1816.11</v>
      </c>
      <c r="I594" s="257">
        <v>15778.130000000001</v>
      </c>
      <c r="J594" s="240" t="str">
        <v/>
      </c>
      <c r="K594" s="240">
        <v>117.25647058823529</v>
      </c>
      <c r="L594" s="240">
        <v>125.37624999999998</v>
      </c>
      <c r="M594" s="240">
        <v>103.3621052631579</v>
      </c>
      <c r="N594" s="240">
        <v>181.61099999999999</v>
      </c>
      <c r="O594" s="258">
        <v>123.26664062500001</v>
      </c>
      <c r="P594" s="224">
        <v>0</v>
      </c>
      <c r="Q594" s="224">
        <v>0.27895599084961958</v>
      </c>
      <c r="R594" s="224">
        <v>0.24846158070028471</v>
      </c>
      <c r="S594" s="224">
        <v>8.7355497660962567E-2</v>
      </c>
      <c r="T594" s="224">
        <v>0.27768671618650365</v>
      </c>
      <c r="U594" s="259">
        <v>0.16347564721960037</v>
      </c>
      <c r="V594" s="239">
        <v>0</v>
      </c>
      <c r="W594" s="239">
        <v>51</v>
      </c>
      <c r="X594" s="239">
        <v>48</v>
      </c>
      <c r="Y594" s="239">
        <v>19</v>
      </c>
      <c r="Z594" s="239">
        <v>10</v>
      </c>
      <c r="AA594" s="257">
        <v>128</v>
      </c>
      <c r="AB594" s="224">
        <v>0</v>
      </c>
      <c r="AC594" s="224">
        <v>0.28651685393258425</v>
      </c>
      <c r="AD594" s="224">
        <v>0.25806451612903225</v>
      </c>
      <c r="AE594" s="224">
        <v>0.10160427807486631</v>
      </c>
      <c r="AF594" s="224">
        <v>0.27777777777777779</v>
      </c>
      <c r="AG594" s="259">
        <v>0.16</v>
      </c>
      <c r="AH594" s="261">
        <v>0</v>
      </c>
      <c r="AI594" s="261">
        <v>1.8902891030392883E-3</v>
      </c>
      <c r="AJ594" s="261">
        <v>2.2283088064620955E-3</v>
      </c>
      <c r="AK594" s="261">
        <v>1.0214504596527069E-3</v>
      </c>
      <c r="AL594" s="261">
        <v>2.0855057351407717E-3</v>
      </c>
      <c r="AM594" s="262">
        <v>1.4043711050645133E-3</v>
      </c>
    </row>
    <row r="595" spans="1:39" x14ac:dyDescent="0.25">
      <c r="A595" s="215" t="str">
        <v>5567-MAlhusani</v>
      </c>
      <c r="B595" s="215" t="str">
        <v>HATAIFJRY</v>
      </c>
      <c r="C595" s="215" t="str">
        <v>Saleh Bin Hoiel</v>
      </c>
      <c r="D595" s="239">
        <v>0</v>
      </c>
      <c r="E595" s="239">
        <v>727</v>
      </c>
      <c r="F595" s="239">
        <v>7063.09</v>
      </c>
      <c r="G595" s="239">
        <v>5899.9000000000005</v>
      </c>
      <c r="H595" s="239">
        <v>700.98</v>
      </c>
      <c r="I595" s="257">
        <v>14390.970000000001</v>
      </c>
      <c r="J595" s="240" t="str">
        <v/>
      </c>
      <c r="K595" s="240">
        <v>80.777777777777771</v>
      </c>
      <c r="L595" s="240">
        <v>128.41981818181819</v>
      </c>
      <c r="M595" s="240">
        <v>128.25869565217391</v>
      </c>
      <c r="N595" s="240">
        <v>140.196</v>
      </c>
      <c r="O595" s="258">
        <v>125.13886956521741</v>
      </c>
      <c r="P595" s="224">
        <v>0</v>
      </c>
      <c r="Q595" s="224">
        <v>3.3912757914220784E-2</v>
      </c>
      <c r="R595" s="224">
        <v>0.29160668155990038</v>
      </c>
      <c r="S595" s="224">
        <v>0.26243390667958993</v>
      </c>
      <c r="T595" s="224">
        <v>0.10718119183993005</v>
      </c>
      <c r="U595" s="259">
        <v>0.14910341940824751</v>
      </c>
      <c r="V595" s="239">
        <v>0</v>
      </c>
      <c r="W595" s="239">
        <v>9</v>
      </c>
      <c r="X595" s="239">
        <v>55</v>
      </c>
      <c r="Y595" s="239">
        <v>46</v>
      </c>
      <c r="Z595" s="239">
        <v>5</v>
      </c>
      <c r="AA595" s="257">
        <v>115</v>
      </c>
      <c r="AB595" s="224">
        <v>0</v>
      </c>
      <c r="AC595" s="224">
        <v>5.0561797752808987E-2</v>
      </c>
      <c r="AD595" s="224">
        <v>0.29569892473118281</v>
      </c>
      <c r="AE595" s="224">
        <v>0.24598930481283424</v>
      </c>
      <c r="AF595" s="224">
        <v>0.1388888888888889</v>
      </c>
      <c r="AG595" s="259">
        <v>0.14374999999999999</v>
      </c>
      <c r="AH595" s="261">
        <v>0</v>
      </c>
      <c r="AI595" s="261">
        <v>3.3358042994810971E-4</v>
      </c>
      <c r="AJ595" s="261">
        <v>2.5532705074044846E-3</v>
      </c>
      <c r="AK595" s="261">
        <v>2.4729853233697112E-3</v>
      </c>
      <c r="AL595" s="261">
        <v>1.0427528675703858E-3</v>
      </c>
      <c r="AM595" s="262">
        <v>1.2617396647063986E-3</v>
      </c>
    </row>
    <row r="596" spans="1:39" x14ac:dyDescent="0.25">
      <c r="A596" s="215" t="str">
        <v>3542-MAlShehri</v>
      </c>
      <c r="B596" s="215" t="str">
        <v>HATAIFJRY</v>
      </c>
      <c r="C596" s="215" t="str">
        <v>Saleh Bin Hoiel</v>
      </c>
      <c r="D596" s="239">
        <v>3826.04</v>
      </c>
      <c r="E596" s="239">
        <v>3706.0700000000006</v>
      </c>
      <c r="F596" s="239">
        <v>1842.02</v>
      </c>
      <c r="G596" s="239">
        <v>2517</v>
      </c>
      <c r="H596" s="239">
        <v>1976.1</v>
      </c>
      <c r="I596" s="257">
        <v>13867.230000000001</v>
      </c>
      <c r="J596" s="240">
        <v>173.91090909090909</v>
      </c>
      <c r="K596" s="240">
        <v>132.35964285714289</v>
      </c>
      <c r="L596" s="240">
        <v>102.33444444444444</v>
      </c>
      <c r="M596" s="240">
        <v>119.85714285714286</v>
      </c>
      <c r="N596" s="240">
        <v>282.3</v>
      </c>
      <c r="O596" s="258">
        <v>144.45031250000002</v>
      </c>
      <c r="P596" s="224">
        <v>0.17521354213415738</v>
      </c>
      <c r="Q596" s="224">
        <v>0.17287902988054504</v>
      </c>
      <c r="R596" s="224">
        <v>7.6049624111680258E-2</v>
      </c>
      <c r="S596" s="224">
        <v>0.11195887101688634</v>
      </c>
      <c r="T596" s="224">
        <v>0.30214949527074347</v>
      </c>
      <c r="U596" s="259">
        <v>0.14367700097496083</v>
      </c>
      <c r="V596" s="239">
        <v>22</v>
      </c>
      <c r="W596" s="239">
        <v>28</v>
      </c>
      <c r="X596" s="239">
        <v>18</v>
      </c>
      <c r="Y596" s="239">
        <v>21</v>
      </c>
      <c r="Z596" s="239">
        <v>7</v>
      </c>
      <c r="AA596" s="257">
        <v>96</v>
      </c>
      <c r="AB596" s="224">
        <v>0.10328638497652583</v>
      </c>
      <c r="AC596" s="224">
        <v>0.15730337078651685</v>
      </c>
      <c r="AD596" s="224">
        <v>9.6774193548387094E-2</v>
      </c>
      <c r="AE596" s="224">
        <v>0.11229946524064172</v>
      </c>
      <c r="AF596" s="224">
        <v>0.19444444444444445</v>
      </c>
      <c r="AG596" s="259">
        <v>0.12</v>
      </c>
      <c r="AH596" s="261">
        <v>1.1442242679565195E-3</v>
      </c>
      <c r="AI596" s="261">
        <v>1.0378057820607859E-3</v>
      </c>
      <c r="AJ596" s="261">
        <v>8.3561580242328586E-4</v>
      </c>
      <c r="AK596" s="261">
        <v>1.1289715606687812E-3</v>
      </c>
      <c r="AL596" s="261">
        <v>1.4598540145985401E-3</v>
      </c>
      <c r="AM596" s="262">
        <v>1.0532783287983849E-3</v>
      </c>
    </row>
    <row r="597" spans="1:39" x14ac:dyDescent="0.25">
      <c r="A597" s="215" t="str">
        <v>5396-TALasiri</v>
      </c>
      <c r="B597" s="215" t="str">
        <v>HATERATIF</v>
      </c>
      <c r="C597" s="215" t="str">
        <v>Saleh Bin Hoiel</v>
      </c>
      <c r="D597" s="239">
        <v>1891.01</v>
      </c>
      <c r="E597" s="239">
        <v>7457.17</v>
      </c>
      <c r="F597" s="239">
        <v>6155.15</v>
      </c>
      <c r="G597" s="239">
        <v>3225.08</v>
      </c>
      <c r="H597" s="239">
        <v>0</v>
      </c>
      <c r="I597" s="257">
        <v>18728.41</v>
      </c>
      <c r="J597" s="240">
        <v>145.46230769230769</v>
      </c>
      <c r="K597" s="240">
        <v>112.98742424242424</v>
      </c>
      <c r="L597" s="240">
        <v>123.10299999999999</v>
      </c>
      <c r="M597" s="240">
        <v>129.00319999999999</v>
      </c>
      <c r="N597" s="240" t="str">
        <v/>
      </c>
      <c r="O597" s="258">
        <v>121.61305194805195</v>
      </c>
      <c r="P597" s="224">
        <v>0.15788546476192067</v>
      </c>
      <c r="Q597" s="224">
        <v>0.42640786580780926</v>
      </c>
      <c r="R597" s="224">
        <v>0.45684090522804749</v>
      </c>
      <c r="S597" s="224">
        <v>0.29735805078104111</v>
      </c>
      <c r="T597" s="224">
        <v>0</v>
      </c>
      <c r="U597" s="259">
        <v>0.32490599392289204</v>
      </c>
      <c r="V597" s="239">
        <v>13</v>
      </c>
      <c r="W597" s="239">
        <v>66</v>
      </c>
      <c r="X597" s="239">
        <v>50</v>
      </c>
      <c r="Y597" s="239">
        <v>25</v>
      </c>
      <c r="Z597" s="239">
        <v>0</v>
      </c>
      <c r="AA597" s="257">
        <v>154</v>
      </c>
      <c r="AB597" s="224">
        <v>0.125</v>
      </c>
      <c r="AC597" s="224">
        <v>0.47482014388489208</v>
      </c>
      <c r="AD597" s="224">
        <v>0.44642857142857145</v>
      </c>
      <c r="AE597" s="224">
        <v>0.34246575342465752</v>
      </c>
      <c r="AF597" s="224">
        <v>0</v>
      </c>
      <c r="AG597" s="259">
        <v>0.33995584988962474</v>
      </c>
      <c r="AH597" s="261">
        <v>6.7613252197430695E-4</v>
      </c>
      <c r="AI597" s="261">
        <v>2.446256486286138E-3</v>
      </c>
      <c r="AJ597" s="261">
        <v>2.3211550067313495E-3</v>
      </c>
      <c r="AK597" s="261">
        <v>1.34401376270093E-3</v>
      </c>
      <c r="AL597" s="261">
        <v>0</v>
      </c>
      <c r="AM597" s="262">
        <v>1.6896339857807425E-3</v>
      </c>
    </row>
    <row r="598" spans="1:39" x14ac:dyDescent="0.25">
      <c r="A598" s="215" t="str">
        <v>5564-FAlmajdi</v>
      </c>
      <c r="B598" s="215" t="str">
        <v>HATERATIF</v>
      </c>
      <c r="C598" s="215" t="str">
        <v>Saleh Bin Hoiel</v>
      </c>
      <c r="D598" s="239">
        <v>7850.0300000000007</v>
      </c>
      <c r="E598" s="239">
        <v>4450.12</v>
      </c>
      <c r="F598" s="239">
        <v>4397.0499999999993</v>
      </c>
      <c r="G598" s="239">
        <v>0</v>
      </c>
      <c r="H598" s="239">
        <v>0</v>
      </c>
      <c r="I598" s="257">
        <v>16697.2</v>
      </c>
      <c r="J598" s="240">
        <v>115.44161764705883</v>
      </c>
      <c r="K598" s="240">
        <v>193.48347826086956</v>
      </c>
      <c r="L598" s="240">
        <v>115.71184210526314</v>
      </c>
      <c r="M598" s="240" t="str">
        <v/>
      </c>
      <c r="N598" s="240" t="str">
        <v/>
      </c>
      <c r="O598" s="258">
        <v>129.43565891472869</v>
      </c>
      <c r="P598" s="224">
        <v>0.65541992635946933</v>
      </c>
      <c r="Q598" s="224">
        <v>0.25446197039743601</v>
      </c>
      <c r="R598" s="224">
        <v>0.32635310306539828</v>
      </c>
      <c r="S598" s="224">
        <v>0</v>
      </c>
      <c r="T598" s="224">
        <v>0</v>
      </c>
      <c r="U598" s="259">
        <v>0.28966796229521424</v>
      </c>
      <c r="V598" s="239">
        <v>68</v>
      </c>
      <c r="W598" s="239">
        <v>23</v>
      </c>
      <c r="X598" s="239">
        <v>38</v>
      </c>
      <c r="Y598" s="239">
        <v>0</v>
      </c>
      <c r="Z598" s="239">
        <v>0</v>
      </c>
      <c r="AA598" s="257">
        <v>129</v>
      </c>
      <c r="AB598" s="224">
        <v>0.65384615384615385</v>
      </c>
      <c r="AC598" s="224">
        <v>0.16546762589928057</v>
      </c>
      <c r="AD598" s="224">
        <v>0.3392857142857143</v>
      </c>
      <c r="AE598" s="224">
        <v>0</v>
      </c>
      <c r="AF598" s="224">
        <v>0</v>
      </c>
      <c r="AG598" s="259">
        <v>0.28476821192052981</v>
      </c>
      <c r="AH598" s="261">
        <v>3.5366931918656055E-3</v>
      </c>
      <c r="AI598" s="261">
        <v>8.5248332097850258E-4</v>
      </c>
      <c r="AJ598" s="261">
        <v>1.7640778051158255E-3</v>
      </c>
      <c r="AK598" s="261">
        <v>0</v>
      </c>
      <c r="AL598" s="261">
        <v>0</v>
      </c>
      <c r="AM598" s="262">
        <v>1.4153427543228299E-3</v>
      </c>
    </row>
    <row r="599" spans="1:39" x14ac:dyDescent="0.25">
      <c r="A599" s="215" t="str">
        <v>4613-MAlOtaibi</v>
      </c>
      <c r="B599" s="215" t="str">
        <v>HATERATIF</v>
      </c>
      <c r="C599" s="215" t="str">
        <v>Saleh Bin Hoiel</v>
      </c>
      <c r="D599" s="239">
        <v>2236.06</v>
      </c>
      <c r="E599" s="239">
        <v>3197.03</v>
      </c>
      <c r="F599" s="239">
        <v>1232.02</v>
      </c>
      <c r="G599" s="239">
        <v>6197.73</v>
      </c>
      <c r="H599" s="239">
        <v>3037.98</v>
      </c>
      <c r="I599" s="257">
        <v>15900.82</v>
      </c>
      <c r="J599" s="240">
        <v>97.22</v>
      </c>
      <c r="K599" s="240">
        <v>114.17964285714287</v>
      </c>
      <c r="L599" s="240">
        <v>112.00181818181818</v>
      </c>
      <c r="M599" s="240">
        <v>158.91615384615383</v>
      </c>
      <c r="N599" s="240">
        <v>151.899</v>
      </c>
      <c r="O599" s="258">
        <v>131.41173553719008</v>
      </c>
      <c r="P599" s="224">
        <v>0.18669460887861</v>
      </c>
      <c r="Q599" s="224">
        <v>0.18280912721897724</v>
      </c>
      <c r="R599" s="224">
        <v>9.1441659757935889E-2</v>
      </c>
      <c r="S599" s="224">
        <v>0.57144161139171179</v>
      </c>
      <c r="T599" s="224">
        <v>0.7874433324779746</v>
      </c>
      <c r="U599" s="259">
        <v>0.27585212659745278</v>
      </c>
      <c r="V599" s="239">
        <v>23</v>
      </c>
      <c r="W599" s="239">
        <v>28</v>
      </c>
      <c r="X599" s="239">
        <v>11</v>
      </c>
      <c r="Y599" s="239">
        <v>39</v>
      </c>
      <c r="Z599" s="239">
        <v>20</v>
      </c>
      <c r="AA599" s="257">
        <v>121</v>
      </c>
      <c r="AB599" s="224">
        <v>0.22115384615384615</v>
      </c>
      <c r="AC599" s="224">
        <v>0.20143884892086331</v>
      </c>
      <c r="AD599" s="224">
        <v>9.8214285714285712E-2</v>
      </c>
      <c r="AE599" s="224">
        <v>0.53424657534246578</v>
      </c>
      <c r="AF599" s="224">
        <v>0.8</v>
      </c>
      <c r="AG599" s="259">
        <v>0.2671081677704194</v>
      </c>
      <c r="AH599" s="261">
        <v>1.196234461954543E-3</v>
      </c>
      <c r="AI599" s="261">
        <v>1.0378057820607859E-3</v>
      </c>
      <c r="AJ599" s="261">
        <v>5.1065410148089685E-4</v>
      </c>
      <c r="AK599" s="261">
        <v>2.0966614698134508E-3</v>
      </c>
      <c r="AL599" s="261">
        <v>4.1710114702815434E-3</v>
      </c>
      <c r="AM599" s="262">
        <v>1.3275695602562977E-3</v>
      </c>
    </row>
    <row r="600" spans="1:39" x14ac:dyDescent="0.25">
      <c r="A600" s="215" t="str">
        <v>3527-MAlzahrani</v>
      </c>
      <c r="B600" s="215" t="str">
        <v>HATERATIF</v>
      </c>
      <c r="C600" s="215" t="str">
        <v>Saleh Bin Hoiel</v>
      </c>
      <c r="D600" s="239">
        <v>0</v>
      </c>
      <c r="E600" s="239">
        <v>2384.0299999999997</v>
      </c>
      <c r="F600" s="239">
        <v>1689.07</v>
      </c>
      <c r="G600" s="239">
        <v>1422.97</v>
      </c>
      <c r="H600" s="239">
        <v>820.05</v>
      </c>
      <c r="I600" s="257">
        <v>6316.12</v>
      </c>
      <c r="J600" s="240" t="str">
        <v/>
      </c>
      <c r="K600" s="240">
        <v>108.36499999999999</v>
      </c>
      <c r="L600" s="240">
        <v>129.92846153846153</v>
      </c>
      <c r="M600" s="240">
        <v>158.10777777777778</v>
      </c>
      <c r="N600" s="240">
        <v>164.01</v>
      </c>
      <c r="O600" s="258">
        <v>128.9004081632653</v>
      </c>
      <c r="P600" s="224">
        <v>0</v>
      </c>
      <c r="Q600" s="224">
        <v>0.1363210365757776</v>
      </c>
      <c r="R600" s="224">
        <v>0.12536433194861835</v>
      </c>
      <c r="S600" s="224">
        <v>0.1312003378272471</v>
      </c>
      <c r="T600" s="224">
        <v>0.21255666752202548</v>
      </c>
      <c r="U600" s="259">
        <v>0.10957391718444101</v>
      </c>
      <c r="V600" s="239">
        <v>0</v>
      </c>
      <c r="W600" s="239">
        <v>22</v>
      </c>
      <c r="X600" s="239">
        <v>13</v>
      </c>
      <c r="Y600" s="239">
        <v>9</v>
      </c>
      <c r="Z600" s="239">
        <v>5</v>
      </c>
      <c r="AA600" s="257">
        <v>49</v>
      </c>
      <c r="AB600" s="224">
        <v>0</v>
      </c>
      <c r="AC600" s="224">
        <v>0.15827338129496402</v>
      </c>
      <c r="AD600" s="224">
        <v>0.11607142857142858</v>
      </c>
      <c r="AE600" s="224">
        <v>0.12328767123287671</v>
      </c>
      <c r="AF600" s="224">
        <v>0.2</v>
      </c>
      <c r="AG600" s="259">
        <v>0.10816777041942605</v>
      </c>
      <c r="AH600" s="261">
        <v>0</v>
      </c>
      <c r="AI600" s="261">
        <v>8.1541882876204591E-4</v>
      </c>
      <c r="AJ600" s="261">
        <v>6.0350030175015089E-4</v>
      </c>
      <c r="AK600" s="261">
        <v>4.8384495457233484E-4</v>
      </c>
      <c r="AL600" s="261">
        <v>1.0427528675703858E-3</v>
      </c>
      <c r="AM600" s="262">
        <v>5.3761081365750899E-4</v>
      </c>
    </row>
    <row r="601" spans="1:39" x14ac:dyDescent="0.25">
      <c r="A601" s="215" t="str">
        <v>5284-MThawai</v>
      </c>
      <c r="B601" s="215" t="str">
        <v>HAVILLAGE</v>
      </c>
      <c r="C601" s="215" t="str">
        <v>Saleh Bin Hoiel</v>
      </c>
      <c r="D601" s="239">
        <v>7289.04</v>
      </c>
      <c r="E601" s="239">
        <v>16807.52</v>
      </c>
      <c r="F601" s="239">
        <v>14519.259999999998</v>
      </c>
      <c r="G601" s="239">
        <v>8047.84</v>
      </c>
      <c r="H601" s="239">
        <v>1322.07</v>
      </c>
      <c r="I601" s="257">
        <v>47985.73</v>
      </c>
      <c r="J601" s="240">
        <v>101.23666666666666</v>
      </c>
      <c r="K601" s="240">
        <v>119.20226950354611</v>
      </c>
      <c r="L601" s="240">
        <v>119.99388429752065</v>
      </c>
      <c r="M601" s="240">
        <v>120.11701492537314</v>
      </c>
      <c r="N601" s="240">
        <v>120.18818181818182</v>
      </c>
      <c r="O601" s="258">
        <v>116.47021844660195</v>
      </c>
      <c r="P601" s="224">
        <v>0.36563574572679047</v>
      </c>
      <c r="Q601" s="224">
        <v>0.4681897381399735</v>
      </c>
      <c r="R601" s="224">
        <v>0.52725468243814688</v>
      </c>
      <c r="S601" s="224">
        <v>0.43726877622618893</v>
      </c>
      <c r="T601" s="224">
        <v>0.18798067968053506</v>
      </c>
      <c r="U601" s="259">
        <v>0.44100692706250666</v>
      </c>
      <c r="V601" s="239">
        <v>72</v>
      </c>
      <c r="W601" s="239">
        <v>141</v>
      </c>
      <c r="X601" s="239">
        <v>121</v>
      </c>
      <c r="Y601" s="239">
        <v>67</v>
      </c>
      <c r="Z601" s="239">
        <v>11</v>
      </c>
      <c r="AA601" s="257">
        <v>412</v>
      </c>
      <c r="AB601" s="224">
        <v>0.39130434782608697</v>
      </c>
      <c r="AC601" s="224">
        <v>0.48620689655172411</v>
      </c>
      <c r="AD601" s="224">
        <v>0.52608695652173909</v>
      </c>
      <c r="AE601" s="224">
        <v>0.42405063291139239</v>
      </c>
      <c r="AF601" s="224">
        <v>0.2</v>
      </c>
      <c r="AG601" s="259">
        <v>0.44929116684841874</v>
      </c>
      <c r="AH601" s="261">
        <v>3.7447339678577003E-3</v>
      </c>
      <c r="AI601" s="261">
        <v>5.2260934025203853E-3</v>
      </c>
      <c r="AJ601" s="261">
        <v>5.6171951162898659E-3</v>
      </c>
      <c r="AK601" s="261">
        <v>3.6019568840384925E-3</v>
      </c>
      <c r="AL601" s="261">
        <v>2.2940563086548487E-3</v>
      </c>
      <c r="AM601" s="262">
        <v>4.5203194944264018E-3</v>
      </c>
    </row>
    <row r="602" spans="1:39" x14ac:dyDescent="0.25">
      <c r="A602" s="215" t="str">
        <v>4627-BALMAQDAR</v>
      </c>
      <c r="B602" s="215" t="str">
        <v>HAVILLAGE</v>
      </c>
      <c r="C602" s="215" t="str">
        <v>Saleh Bin Hoiel</v>
      </c>
      <c r="D602" s="239">
        <v>10419.16</v>
      </c>
      <c r="E602" s="239">
        <v>13530.27</v>
      </c>
      <c r="F602" s="239">
        <v>8798.1200000000008</v>
      </c>
      <c r="G602" s="239">
        <v>1680.95</v>
      </c>
      <c r="H602" s="239">
        <v>1218.94</v>
      </c>
      <c r="I602" s="257">
        <v>35647.440000000002</v>
      </c>
      <c r="J602" s="240">
        <v>115.76844444444444</v>
      </c>
      <c r="K602" s="240">
        <v>128.85971428571429</v>
      </c>
      <c r="L602" s="240">
        <v>111.36860759493672</v>
      </c>
      <c r="M602" s="240">
        <v>93.38611111111112</v>
      </c>
      <c r="N602" s="240">
        <v>121.89400000000001</v>
      </c>
      <c r="O602" s="258">
        <v>118.03788079470199</v>
      </c>
      <c r="P602" s="224">
        <v>0.52265007963281118</v>
      </c>
      <c r="Q602" s="224">
        <v>0.37689876723413918</v>
      </c>
      <c r="R602" s="224">
        <v>0.31949630812126167</v>
      </c>
      <c r="S602" s="224">
        <v>9.1332202106082158E-2</v>
      </c>
      <c r="T602" s="224">
        <v>0.1733169723916218</v>
      </c>
      <c r="U602" s="259">
        <v>0.32761339615016971</v>
      </c>
      <c r="V602" s="239">
        <v>90</v>
      </c>
      <c r="W602" s="239">
        <v>105</v>
      </c>
      <c r="X602" s="239">
        <v>79</v>
      </c>
      <c r="Y602" s="239">
        <v>18</v>
      </c>
      <c r="Z602" s="239">
        <v>10</v>
      </c>
      <c r="AA602" s="257">
        <v>302</v>
      </c>
      <c r="AB602" s="224">
        <v>0.4891304347826087</v>
      </c>
      <c r="AC602" s="224">
        <v>0.36206896551724138</v>
      </c>
      <c r="AD602" s="224">
        <v>0.34347826086956523</v>
      </c>
      <c r="AE602" s="224">
        <v>0.11392405063291139</v>
      </c>
      <c r="AF602" s="224">
        <v>0.18181818181818182</v>
      </c>
      <c r="AG602" s="259">
        <v>0.3293347873500545</v>
      </c>
      <c r="AH602" s="261">
        <v>4.6809174598221254E-3</v>
      </c>
      <c r="AI602" s="261">
        <v>3.8917716827279467E-3</v>
      </c>
      <c r="AJ602" s="261">
        <v>3.6674249106355321E-3</v>
      </c>
      <c r="AK602" s="261">
        <v>9.6768990914466969E-4</v>
      </c>
      <c r="AL602" s="261">
        <v>2.0855057351407717E-3</v>
      </c>
      <c r="AM602" s="262">
        <v>3.3134380760115861E-3</v>
      </c>
    </row>
    <row r="603" spans="1:39" x14ac:dyDescent="0.25">
      <c r="A603" s="215" t="str">
        <v>5151-FAlZahrani</v>
      </c>
      <c r="B603" s="215" t="str">
        <v>HAVILLAGE</v>
      </c>
      <c r="C603" s="215" t="str">
        <v>Saleh Bin Hoiel</v>
      </c>
      <c r="D603" s="239">
        <v>2227.0500000000002</v>
      </c>
      <c r="E603" s="239">
        <v>5561.16</v>
      </c>
      <c r="F603" s="239">
        <v>4220.09</v>
      </c>
      <c r="G603" s="239">
        <v>4150</v>
      </c>
      <c r="H603" s="239">
        <v>3015.9799999999996</v>
      </c>
      <c r="I603" s="257">
        <v>19174.28</v>
      </c>
      <c r="J603" s="240">
        <v>101.22954545454546</v>
      </c>
      <c r="K603" s="240">
        <v>126.39</v>
      </c>
      <c r="L603" s="240">
        <v>140.66966666666667</v>
      </c>
      <c r="M603" s="240">
        <v>133.87096774193549</v>
      </c>
      <c r="N603" s="240">
        <v>137.08999999999997</v>
      </c>
      <c r="O603" s="258">
        <v>128.68644295302013</v>
      </c>
      <c r="P603" s="224">
        <v>0.1117141746403983</v>
      </c>
      <c r="Q603" s="224">
        <v>0.15491149462588741</v>
      </c>
      <c r="R603" s="224">
        <v>0.15324900944059131</v>
      </c>
      <c r="S603" s="224">
        <v>0.22548477869076472</v>
      </c>
      <c r="T603" s="224">
        <v>0.4288320363542778</v>
      </c>
      <c r="U603" s="259">
        <v>0.17621885300976101</v>
      </c>
      <c r="V603" s="239">
        <v>22</v>
      </c>
      <c r="W603" s="239">
        <v>44</v>
      </c>
      <c r="X603" s="239">
        <v>30</v>
      </c>
      <c r="Y603" s="239">
        <v>31</v>
      </c>
      <c r="Z603" s="239">
        <v>22</v>
      </c>
      <c r="AA603" s="257">
        <v>149</v>
      </c>
      <c r="AB603" s="224">
        <v>0.11956521739130435</v>
      </c>
      <c r="AC603" s="224">
        <v>0.15172413793103448</v>
      </c>
      <c r="AD603" s="224">
        <v>0.13043478260869565</v>
      </c>
      <c r="AE603" s="224">
        <v>0.19620253164556961</v>
      </c>
      <c r="AF603" s="224">
        <v>0.4</v>
      </c>
      <c r="AG603" s="259">
        <v>0.16248636859323881</v>
      </c>
      <c r="AH603" s="261">
        <v>1.1442242679565195E-3</v>
      </c>
      <c r="AI603" s="261">
        <v>1.6308376575240918E-3</v>
      </c>
      <c r="AJ603" s="261">
        <v>1.3926930040388096E-3</v>
      </c>
      <c r="AK603" s="261">
        <v>1.6665770657491533E-3</v>
      </c>
      <c r="AL603" s="261">
        <v>4.5881126173096974E-3</v>
      </c>
      <c r="AM603" s="262">
        <v>1.63477573948916E-3</v>
      </c>
    </row>
    <row r="604" spans="1:39" x14ac:dyDescent="0.25">
      <c r="A604" s="215" t="str">
        <v>5233-AIskandar</v>
      </c>
      <c r="B604" s="215" t="str">
        <v>HAVILLAGE</v>
      </c>
      <c r="C604" s="215" t="str">
        <v>Saleh Bin Hoiel</v>
      </c>
      <c r="D604" s="239">
        <v>0</v>
      </c>
      <c r="E604" s="239">
        <v>0</v>
      </c>
      <c r="F604" s="239">
        <v>0</v>
      </c>
      <c r="G604" s="239">
        <v>4526</v>
      </c>
      <c r="H604" s="239">
        <v>1476.02</v>
      </c>
      <c r="I604" s="257">
        <v>6002.02</v>
      </c>
      <c r="J604" s="240" t="str">
        <v/>
      </c>
      <c r="K604" s="240" t="str">
        <v/>
      </c>
      <c r="L604" s="240" t="str">
        <v/>
      </c>
      <c r="M604" s="240">
        <v>107.76190476190476</v>
      </c>
      <c r="N604" s="240">
        <v>123.00166666666667</v>
      </c>
      <c r="O604" s="258">
        <v>111.14851851851853</v>
      </c>
      <c r="P604" s="224">
        <v>0</v>
      </c>
      <c r="Q604" s="224">
        <v>0</v>
      </c>
      <c r="R604" s="224">
        <v>0</v>
      </c>
      <c r="S604" s="224">
        <v>0.24591424297696413</v>
      </c>
      <c r="T604" s="224">
        <v>0.20987031157356523</v>
      </c>
      <c r="U604" s="259">
        <v>5.5160823777562755E-2</v>
      </c>
      <c r="V604" s="239">
        <v>0</v>
      </c>
      <c r="W604" s="239">
        <v>0</v>
      </c>
      <c r="X604" s="239">
        <v>0</v>
      </c>
      <c r="Y604" s="239">
        <v>42</v>
      </c>
      <c r="Z604" s="239">
        <v>12</v>
      </c>
      <c r="AA604" s="257">
        <v>54</v>
      </c>
      <c r="AB604" s="224">
        <v>0</v>
      </c>
      <c r="AC604" s="224">
        <v>0</v>
      </c>
      <c r="AD604" s="224">
        <v>0</v>
      </c>
      <c r="AE604" s="224">
        <v>0.26582278481012656</v>
      </c>
      <c r="AF604" s="224">
        <v>0.21818181818181817</v>
      </c>
      <c r="AG604" s="259">
        <v>5.8887677208287893E-2</v>
      </c>
      <c r="AH604" s="261">
        <v>0</v>
      </c>
      <c r="AI604" s="261">
        <v>0</v>
      </c>
      <c r="AJ604" s="261">
        <v>0</v>
      </c>
      <c r="AK604" s="261">
        <v>2.2579431213375625E-3</v>
      </c>
      <c r="AL604" s="261">
        <v>2.5026068821689261E-3</v>
      </c>
      <c r="AM604" s="262">
        <v>5.9246905994909157E-4</v>
      </c>
    </row>
    <row r="605" spans="1:39" x14ac:dyDescent="0.25">
      <c r="A605" s="215" t="str">
        <v>5149-MAl-Kamoukh</v>
      </c>
      <c r="B605" s="215" t="str">
        <v>JEDDARAB</v>
      </c>
      <c r="C605" s="215" t="str">
        <v>Saleh Bin Hoiel</v>
      </c>
      <c r="D605" s="239">
        <v>9508.23</v>
      </c>
      <c r="E605" s="239">
        <v>15775.19</v>
      </c>
      <c r="F605" s="239">
        <v>14419.22</v>
      </c>
      <c r="G605" s="239">
        <v>6426.01</v>
      </c>
      <c r="H605" s="239">
        <v>2987</v>
      </c>
      <c r="I605" s="257">
        <v>49115.65</v>
      </c>
      <c r="J605" s="240">
        <v>130.24972602739726</v>
      </c>
      <c r="K605" s="240">
        <v>151.68451923076924</v>
      </c>
      <c r="L605" s="240">
        <v>144.19219999999999</v>
      </c>
      <c r="M605" s="240">
        <v>133.87520833333335</v>
      </c>
      <c r="N605" s="240">
        <v>175.70588235294119</v>
      </c>
      <c r="O605" s="258">
        <v>143.61301169590644</v>
      </c>
      <c r="P605" s="224">
        <v>0.25741895817151406</v>
      </c>
      <c r="Q605" s="224">
        <v>0.25446325594840019</v>
      </c>
      <c r="R605" s="224">
        <v>0.34969486139014377</v>
      </c>
      <c r="S605" s="224">
        <v>0.1508830613482153</v>
      </c>
      <c r="T605" s="224">
        <v>0.23035273195872313</v>
      </c>
      <c r="U605" s="259">
        <v>0.25094739498949781</v>
      </c>
      <c r="V605" s="239">
        <v>73</v>
      </c>
      <c r="W605" s="239">
        <v>104</v>
      </c>
      <c r="X605" s="239">
        <v>100</v>
      </c>
      <c r="Y605" s="239">
        <v>48</v>
      </c>
      <c r="Z605" s="239">
        <v>17</v>
      </c>
      <c r="AA605" s="257">
        <v>342</v>
      </c>
      <c r="AB605" s="224">
        <v>0.25259515570934254</v>
      </c>
      <c r="AC605" s="224">
        <v>0.25935162094763092</v>
      </c>
      <c r="AD605" s="224">
        <v>0.32786885245901637</v>
      </c>
      <c r="AE605" s="224">
        <v>0.1702127659574468</v>
      </c>
      <c r="AF605" s="224">
        <v>0.23287671232876711</v>
      </c>
      <c r="AG605" s="259">
        <v>0.25333333333333335</v>
      </c>
      <c r="AH605" s="261">
        <v>3.7967441618557236E-3</v>
      </c>
      <c r="AI605" s="261">
        <v>3.85470719051149E-3</v>
      </c>
      <c r="AJ605" s="261">
        <v>4.642310013462699E-3</v>
      </c>
      <c r="AK605" s="261">
        <v>2.5805064243857858E-3</v>
      </c>
      <c r="AL605" s="261">
        <v>3.545359749739312E-3</v>
      </c>
      <c r="AM605" s="262">
        <v>3.7523040463442463E-3</v>
      </c>
    </row>
    <row r="606" spans="1:39" x14ac:dyDescent="0.25">
      <c r="A606" s="215" t="str">
        <v>7255-MAlghamdi</v>
      </c>
      <c r="B606" s="215" t="str">
        <v>JEDDARAB</v>
      </c>
      <c r="C606" s="215" t="str">
        <v>Saleh Bin Hoiel</v>
      </c>
      <c r="D606" s="239">
        <v>6708.0899999999992</v>
      </c>
      <c r="E606" s="239">
        <v>13865.27</v>
      </c>
      <c r="F606" s="239">
        <v>9032.1700000000019</v>
      </c>
      <c r="G606" s="239">
        <v>10737.800000000001</v>
      </c>
      <c r="H606" s="239">
        <v>3174.09</v>
      </c>
      <c r="I606" s="257">
        <v>43517.42</v>
      </c>
      <c r="J606" s="240">
        <v>121.96527272727272</v>
      </c>
      <c r="K606" s="240">
        <v>152.36560439560441</v>
      </c>
      <c r="L606" s="240">
        <v>143.3677777777778</v>
      </c>
      <c r="M606" s="240">
        <v>155.62028985507249</v>
      </c>
      <c r="N606" s="240">
        <v>244.16076923076923</v>
      </c>
      <c r="O606" s="258">
        <v>149.54439862542955</v>
      </c>
      <c r="P606" s="224">
        <v>0.18160998830705102</v>
      </c>
      <c r="Q606" s="224">
        <v>0.22365510328583518</v>
      </c>
      <c r="R606" s="224">
        <v>0.21904814797209665</v>
      </c>
      <c r="S606" s="224">
        <v>0.25212412307868587</v>
      </c>
      <c r="T606" s="224">
        <v>0.24478081787173203</v>
      </c>
      <c r="U606" s="259">
        <v>0.22234426675945185</v>
      </c>
      <c r="V606" s="239">
        <v>55</v>
      </c>
      <c r="W606" s="239">
        <v>91</v>
      </c>
      <c r="X606" s="239">
        <v>63</v>
      </c>
      <c r="Y606" s="239">
        <v>69</v>
      </c>
      <c r="Z606" s="239">
        <v>13</v>
      </c>
      <c r="AA606" s="257">
        <v>291</v>
      </c>
      <c r="AB606" s="224">
        <v>0.19031141868512111</v>
      </c>
      <c r="AC606" s="224">
        <v>0.22693266832917705</v>
      </c>
      <c r="AD606" s="224">
        <v>0.20655737704918034</v>
      </c>
      <c r="AE606" s="224">
        <v>0.24468085106382978</v>
      </c>
      <c r="AF606" s="224">
        <v>0.17808219178082191</v>
      </c>
      <c r="AG606" s="259">
        <v>0.21555555555555556</v>
      </c>
      <c r="AH606" s="261">
        <v>2.8605606698912985E-3</v>
      </c>
      <c r="AI606" s="261">
        <v>3.3728687916975537E-3</v>
      </c>
      <c r="AJ606" s="261">
        <v>2.9246553084815003E-3</v>
      </c>
      <c r="AK606" s="261">
        <v>3.7094779850545671E-3</v>
      </c>
      <c r="AL606" s="261">
        <v>2.7111574556830031E-3</v>
      </c>
      <c r="AM606" s="262">
        <v>3.1927499341701045E-3</v>
      </c>
    </row>
    <row r="607" spans="1:39" x14ac:dyDescent="0.25">
      <c r="A607" s="215" t="str">
        <v>4295-AAl-Juhani</v>
      </c>
      <c r="B607" s="215" t="str">
        <v>JEDDARAB</v>
      </c>
      <c r="C607" s="215" t="str">
        <v>Saleh Bin Hoiel</v>
      </c>
      <c r="D607" s="239">
        <v>5567.2</v>
      </c>
      <c r="E607" s="239">
        <v>10487.17</v>
      </c>
      <c r="F607" s="239">
        <v>7603.130000000001</v>
      </c>
      <c r="G607" s="239">
        <v>10868.89</v>
      </c>
      <c r="H607" s="239">
        <v>1902</v>
      </c>
      <c r="I607" s="257">
        <v>36428.39</v>
      </c>
      <c r="J607" s="240">
        <v>139.18</v>
      </c>
      <c r="K607" s="240">
        <v>180.81327586206896</v>
      </c>
      <c r="L607" s="240">
        <v>122.63112903225809</v>
      </c>
      <c r="M607" s="240">
        <v>157.52014492753622</v>
      </c>
      <c r="N607" s="240">
        <v>135.85714285714286</v>
      </c>
      <c r="O607" s="258">
        <v>149.91106995884775</v>
      </c>
      <c r="P607" s="224">
        <v>0.15072235567844416</v>
      </c>
      <c r="Q607" s="224">
        <v>0.16916432853641597</v>
      </c>
      <c r="R607" s="224">
        <v>0.18439107604164748</v>
      </c>
      <c r="S607" s="224">
        <v>0.25520212334823689</v>
      </c>
      <c r="T607" s="224">
        <v>0.14667924211097805</v>
      </c>
      <c r="U607" s="259">
        <v>0.18612416967222203</v>
      </c>
      <c r="V607" s="239">
        <v>40</v>
      </c>
      <c r="W607" s="239">
        <v>58</v>
      </c>
      <c r="X607" s="239">
        <v>62</v>
      </c>
      <c r="Y607" s="239">
        <v>69</v>
      </c>
      <c r="Z607" s="239">
        <v>14</v>
      </c>
      <c r="AA607" s="257">
        <v>243</v>
      </c>
      <c r="AB607" s="224">
        <v>0.13840830449826991</v>
      </c>
      <c r="AC607" s="224">
        <v>0.14463840399002495</v>
      </c>
      <c r="AD607" s="224">
        <v>0.20327868852459016</v>
      </c>
      <c r="AE607" s="224">
        <v>0.24468085106382978</v>
      </c>
      <c r="AF607" s="224">
        <v>0.19178082191780821</v>
      </c>
      <c r="AG607" s="259">
        <v>0.18</v>
      </c>
      <c r="AH607" s="261">
        <v>2.0804077599209446E-3</v>
      </c>
      <c r="AI607" s="261">
        <v>2.1497405485544846E-3</v>
      </c>
      <c r="AJ607" s="261">
        <v>2.8782322083468733E-3</v>
      </c>
      <c r="AK607" s="261">
        <v>3.7094779850545671E-3</v>
      </c>
      <c r="AL607" s="261">
        <v>2.9197080291970801E-3</v>
      </c>
      <c r="AM607" s="262">
        <v>2.6661107697709121E-3</v>
      </c>
    </row>
    <row r="608" spans="1:39" x14ac:dyDescent="0.25">
      <c r="A608" s="215" t="str">
        <v>4303-FAlzubali</v>
      </c>
      <c r="B608" s="215" t="str">
        <v>JEDDARAB</v>
      </c>
      <c r="C608" s="215" t="str">
        <v>Saleh Bin Hoiel</v>
      </c>
      <c r="D608" s="239">
        <v>7685.1500000000005</v>
      </c>
      <c r="E608" s="239">
        <v>10853.18</v>
      </c>
      <c r="F608" s="239">
        <v>6216.12</v>
      </c>
      <c r="G608" s="239">
        <v>4852.84</v>
      </c>
      <c r="H608" s="239">
        <v>732.04</v>
      </c>
      <c r="I608" s="257">
        <v>30339.33</v>
      </c>
      <c r="J608" s="240">
        <v>121.98650793650795</v>
      </c>
      <c r="K608" s="240">
        <v>140.95038961038961</v>
      </c>
      <c r="L608" s="240">
        <v>132.25787234042554</v>
      </c>
      <c r="M608" s="240">
        <v>156.54322580645163</v>
      </c>
      <c r="N608" s="240">
        <v>146.40799999999999</v>
      </c>
      <c r="O608" s="258">
        <v>136.05080717488789</v>
      </c>
      <c r="P608" s="224">
        <v>0.20806220573038428</v>
      </c>
      <c r="Q608" s="224">
        <v>0.17506828888869533</v>
      </c>
      <c r="R608" s="224">
        <v>0.15075331549033169</v>
      </c>
      <c r="S608" s="224">
        <v>0.11394494490874946</v>
      </c>
      <c r="T608" s="224">
        <v>5.64537709752473E-2</v>
      </c>
      <c r="U608" s="259">
        <v>0.15501323568407871</v>
      </c>
      <c r="V608" s="239">
        <v>63</v>
      </c>
      <c r="W608" s="239">
        <v>77</v>
      </c>
      <c r="X608" s="239">
        <v>47</v>
      </c>
      <c r="Y608" s="239">
        <v>31</v>
      </c>
      <c r="Z608" s="239">
        <v>5</v>
      </c>
      <c r="AA608" s="257">
        <v>223</v>
      </c>
      <c r="AB608" s="224">
        <v>0.2179930795847751</v>
      </c>
      <c r="AC608" s="224">
        <v>0.19201995012468828</v>
      </c>
      <c r="AD608" s="224">
        <v>0.1540983606557377</v>
      </c>
      <c r="AE608" s="224">
        <v>0.1099290780141844</v>
      </c>
      <c r="AF608" s="224">
        <v>6.8493150684931503E-2</v>
      </c>
      <c r="AG608" s="259">
        <v>0.16518518518518518</v>
      </c>
      <c r="AH608" s="261">
        <v>3.2766422218754878E-3</v>
      </c>
      <c r="AI608" s="261">
        <v>2.8539659006671611E-3</v>
      </c>
      <c r="AJ608" s="261">
        <v>2.1818857063274685E-3</v>
      </c>
      <c r="AK608" s="261">
        <v>1.6665770657491533E-3</v>
      </c>
      <c r="AL608" s="261">
        <v>1.0427528675703858E-3</v>
      </c>
      <c r="AM608" s="262">
        <v>2.4466777846045818E-3</v>
      </c>
    </row>
    <row r="609" spans="1:39" x14ac:dyDescent="0.25">
      <c r="A609" s="215" t="str">
        <v>2983-Abdullah Al-Qarni</v>
      </c>
      <c r="B609" s="215" t="str">
        <v>JEDDARAB</v>
      </c>
      <c r="C609" s="215" t="str">
        <v>Saleh Bin Hoiel</v>
      </c>
      <c r="D609" s="239">
        <v>7468.1200000000008</v>
      </c>
      <c r="E609" s="239">
        <v>10998.17</v>
      </c>
      <c r="F609" s="239">
        <v>3963.08</v>
      </c>
      <c r="G609" s="239">
        <v>3847.9399999999996</v>
      </c>
      <c r="H609" s="239">
        <v>2019.92</v>
      </c>
      <c r="I609" s="257">
        <v>28297.230000000003</v>
      </c>
      <c r="J609" s="240">
        <v>128.76068965517243</v>
      </c>
      <c r="K609" s="240">
        <v>157.11671428571429</v>
      </c>
      <c r="L609" s="240">
        <v>120.09333333333333</v>
      </c>
      <c r="M609" s="240">
        <v>183.23523809523809</v>
      </c>
      <c r="N609" s="240">
        <v>201.99200000000002</v>
      </c>
      <c r="O609" s="258">
        <v>147.38140625000003</v>
      </c>
      <c r="P609" s="224">
        <v>0.20218649211260645</v>
      </c>
      <c r="Q609" s="224">
        <v>0.17740706436334627</v>
      </c>
      <c r="R609" s="224">
        <v>9.6112599105780405E-2</v>
      </c>
      <c r="S609" s="224">
        <v>9.0349838715509542E-2</v>
      </c>
      <c r="T609" s="224">
        <v>0.15577304664816338</v>
      </c>
      <c r="U609" s="259">
        <v>0.14457950070738487</v>
      </c>
      <c r="V609" s="239">
        <v>58</v>
      </c>
      <c r="W609" s="239">
        <v>70</v>
      </c>
      <c r="X609" s="239">
        <v>33</v>
      </c>
      <c r="Y609" s="239">
        <v>21</v>
      </c>
      <c r="Z609" s="239">
        <v>10</v>
      </c>
      <c r="AA609" s="257">
        <v>192</v>
      </c>
      <c r="AB609" s="224">
        <v>0.20069204152249134</v>
      </c>
      <c r="AC609" s="224">
        <v>0.1745635910224439</v>
      </c>
      <c r="AD609" s="224">
        <v>0.10819672131147541</v>
      </c>
      <c r="AE609" s="224">
        <v>7.4468085106382975E-2</v>
      </c>
      <c r="AF609" s="224">
        <v>0.13698630136986301</v>
      </c>
      <c r="AG609" s="259">
        <v>0.14222222222222222</v>
      </c>
      <c r="AH609" s="261">
        <v>3.0165912518853697E-3</v>
      </c>
      <c r="AI609" s="261">
        <v>2.5945144551519643E-3</v>
      </c>
      <c r="AJ609" s="261">
        <v>1.5319623044426907E-3</v>
      </c>
      <c r="AK609" s="261">
        <v>1.1289715606687812E-3</v>
      </c>
      <c r="AL609" s="261">
        <v>2.0855057351407717E-3</v>
      </c>
      <c r="AM609" s="262">
        <v>2.1065566575967699E-3</v>
      </c>
    </row>
    <row r="610" spans="1:39" x14ac:dyDescent="0.25">
      <c r="A610" s="215" t="str">
        <v>3490-NAlmukhlafi</v>
      </c>
      <c r="B610" s="215" t="str">
        <v>JEDDARAB</v>
      </c>
      <c r="C610" s="215" t="str">
        <v>Saleh Bin Hoiel</v>
      </c>
      <c r="D610" s="239">
        <v>0</v>
      </c>
      <c r="E610" s="239">
        <v>0</v>
      </c>
      <c r="F610" s="239">
        <v>0</v>
      </c>
      <c r="G610" s="239">
        <v>5855.86</v>
      </c>
      <c r="H610" s="239">
        <v>2152.02</v>
      </c>
      <c r="I610" s="257">
        <v>8007.8799999999992</v>
      </c>
      <c r="J610" s="240" t="str">
        <v/>
      </c>
      <c r="K610" s="240" t="str">
        <v/>
      </c>
      <c r="L610" s="240" t="str">
        <v/>
      </c>
      <c r="M610" s="240">
        <v>133.08772727272728</v>
      </c>
      <c r="N610" s="240">
        <v>153.71571428571428</v>
      </c>
      <c r="O610" s="258">
        <v>138.06689655172411</v>
      </c>
      <c r="P610" s="224">
        <v>0</v>
      </c>
      <c r="Q610" s="224">
        <v>0</v>
      </c>
      <c r="R610" s="224">
        <v>0</v>
      </c>
      <c r="S610" s="224">
        <v>0.13749590860060285</v>
      </c>
      <c r="T610" s="224">
        <v>0.16596039043515612</v>
      </c>
      <c r="U610" s="259">
        <v>4.0914792441686089E-2</v>
      </c>
      <c r="V610" s="239">
        <v>0</v>
      </c>
      <c r="W610" s="239">
        <v>0</v>
      </c>
      <c r="X610" s="239">
        <v>0</v>
      </c>
      <c r="Y610" s="239">
        <v>44</v>
      </c>
      <c r="Z610" s="239">
        <v>14</v>
      </c>
      <c r="AA610" s="257">
        <v>58</v>
      </c>
      <c r="AB610" s="224">
        <v>0</v>
      </c>
      <c r="AC610" s="224">
        <v>0</v>
      </c>
      <c r="AD610" s="224">
        <v>0</v>
      </c>
      <c r="AE610" s="224">
        <v>0.15602836879432624</v>
      </c>
      <c r="AF610" s="224">
        <v>0.19178082191780821</v>
      </c>
      <c r="AG610" s="259">
        <v>4.296296296296296E-2</v>
      </c>
      <c r="AH610" s="261">
        <v>0</v>
      </c>
      <c r="AI610" s="261">
        <v>0</v>
      </c>
      <c r="AJ610" s="261">
        <v>0</v>
      </c>
      <c r="AK610" s="261">
        <v>2.3654642223536371E-3</v>
      </c>
      <c r="AL610" s="261">
        <v>2.9197080291970801E-3</v>
      </c>
      <c r="AM610" s="262">
        <v>6.3635565698235764E-4</v>
      </c>
    </row>
    <row r="611" spans="1:39" x14ac:dyDescent="0.25">
      <c r="A611" s="215" t="str">
        <v>5331-AAl-Daghreeri</v>
      </c>
      <c r="B611" s="215" t="str">
        <v>JEDDARAB</v>
      </c>
      <c r="C611" s="215" t="str">
        <v>Saleh Bin Hoiel</v>
      </c>
      <c r="D611" s="239">
        <v>0</v>
      </c>
      <c r="E611" s="239">
        <v>15</v>
      </c>
      <c r="F611" s="239">
        <v>0</v>
      </c>
      <c r="G611" s="239">
        <v>0</v>
      </c>
      <c r="H611" s="239">
        <v>0</v>
      </c>
      <c r="I611" s="257">
        <v>15</v>
      </c>
      <c r="J611" s="240" t="str">
        <v/>
      </c>
      <c r="K611" s="240">
        <v>15</v>
      </c>
      <c r="L611" s="240" t="str">
        <v/>
      </c>
      <c r="M611" s="240" t="str">
        <v/>
      </c>
      <c r="N611" s="240" t="str">
        <v/>
      </c>
      <c r="O611" s="258">
        <v>15</v>
      </c>
      <c r="P611" s="224">
        <v>0</v>
      </c>
      <c r="Q611" s="224">
        <v>2.4195897730715146E-4</v>
      </c>
      <c r="R611" s="224">
        <v>0</v>
      </c>
      <c r="S611" s="224">
        <v>0</v>
      </c>
      <c r="T611" s="224">
        <v>0</v>
      </c>
      <c r="U611" s="259">
        <v>7.6639745678667938E-5</v>
      </c>
      <c r="V611" s="239">
        <v>0</v>
      </c>
      <c r="W611" s="239">
        <v>1</v>
      </c>
      <c r="X611" s="239">
        <v>0</v>
      </c>
      <c r="Y611" s="239">
        <v>0</v>
      </c>
      <c r="Z611" s="239">
        <v>0</v>
      </c>
      <c r="AA611" s="257">
        <v>1</v>
      </c>
      <c r="AB611" s="224">
        <v>0</v>
      </c>
      <c r="AC611" s="224">
        <v>2.4937655860349127E-3</v>
      </c>
      <c r="AD611" s="224">
        <v>0</v>
      </c>
      <c r="AE611" s="224">
        <v>0</v>
      </c>
      <c r="AF611" s="224">
        <v>0</v>
      </c>
      <c r="AG611" s="259">
        <v>7.407407407407407E-4</v>
      </c>
      <c r="AH611" s="261">
        <v>0</v>
      </c>
      <c r="AI611" s="261">
        <v>3.7064492216456636E-5</v>
      </c>
      <c r="AJ611" s="261">
        <v>0</v>
      </c>
      <c r="AK611" s="261">
        <v>0</v>
      </c>
      <c r="AL611" s="261">
        <v>0</v>
      </c>
      <c r="AM611" s="262">
        <v>1.097164925831651E-5</v>
      </c>
    </row>
    <row r="612" spans="1:39" x14ac:dyDescent="0.25">
      <c r="A612" s="215" t="str">
        <v>3494-Yousif Alshahri</v>
      </c>
      <c r="B612" s="215" t="str">
        <v>JEDDYASMN</v>
      </c>
      <c r="C612" s="215" t="str">
        <v>Saleh Bin Hoiel</v>
      </c>
      <c r="D612" s="239">
        <v>7907.17</v>
      </c>
      <c r="E612" s="239">
        <v>10737.25</v>
      </c>
      <c r="F612" s="239">
        <v>5650.0599999999995</v>
      </c>
      <c r="G612" s="239">
        <v>3052.94</v>
      </c>
      <c r="H612" s="239">
        <v>2026.92</v>
      </c>
      <c r="I612" s="257">
        <v>29374.339999999997</v>
      </c>
      <c r="J612" s="240">
        <v>152.06096153846153</v>
      </c>
      <c r="K612" s="240">
        <v>151.22887323943661</v>
      </c>
      <c r="L612" s="240">
        <v>176.56437499999998</v>
      </c>
      <c r="M612" s="240">
        <v>169.60777777777778</v>
      </c>
      <c r="N612" s="240">
        <v>135.12800000000001</v>
      </c>
      <c r="O612" s="258">
        <v>156.24648936170212</v>
      </c>
      <c r="P612" s="224">
        <v>0.27249640906597117</v>
      </c>
      <c r="Q612" s="224">
        <v>0.23707897767618993</v>
      </c>
      <c r="R612" s="224">
        <v>0.22225474056459971</v>
      </c>
      <c r="S612" s="224">
        <v>0.12972079525126728</v>
      </c>
      <c r="T612" s="224">
        <v>0.26857614573381688</v>
      </c>
      <c r="U612" s="259">
        <v>0.22455654151151846</v>
      </c>
      <c r="V612" s="239">
        <v>52</v>
      </c>
      <c r="W612" s="239">
        <v>71</v>
      </c>
      <c r="X612" s="239">
        <v>32</v>
      </c>
      <c r="Y612" s="239">
        <v>18</v>
      </c>
      <c r="Z612" s="239">
        <v>15</v>
      </c>
      <c r="AA612" s="257">
        <v>188</v>
      </c>
      <c r="AB612" s="224">
        <v>0.23214285714285715</v>
      </c>
      <c r="AC612" s="224">
        <v>0.24652777777777779</v>
      </c>
      <c r="AD612" s="224">
        <v>0.16494845360824742</v>
      </c>
      <c r="AE612" s="224">
        <v>0.11180124223602485</v>
      </c>
      <c r="AF612" s="224">
        <v>0.28846153846153844</v>
      </c>
      <c r="AG612" s="259">
        <v>0.20457018498367791</v>
      </c>
      <c r="AH612" s="261">
        <v>2.7045300878972278E-3</v>
      </c>
      <c r="AI612" s="261">
        <v>2.631578947368421E-3</v>
      </c>
      <c r="AJ612" s="261">
        <v>1.4855392043080637E-3</v>
      </c>
      <c r="AK612" s="261">
        <v>9.6768990914466969E-4</v>
      </c>
      <c r="AL612" s="261">
        <v>3.1282586027111575E-3</v>
      </c>
      <c r="AM612" s="262">
        <v>2.0626700605635038E-3</v>
      </c>
    </row>
    <row r="613" spans="1:39" x14ac:dyDescent="0.25">
      <c r="A613" s="215" t="str">
        <v>4310-SAlmaloi</v>
      </c>
      <c r="B613" s="215" t="str">
        <v>JEDDYASMN</v>
      </c>
      <c r="C613" s="215" t="str">
        <v>Saleh Bin Hoiel</v>
      </c>
      <c r="D613" s="239">
        <v>4302.1000000000004</v>
      </c>
      <c r="E613" s="239">
        <v>8425.18</v>
      </c>
      <c r="F613" s="239">
        <v>6241.17</v>
      </c>
      <c r="G613" s="239">
        <v>8279.85</v>
      </c>
      <c r="H613" s="239">
        <v>1118.99</v>
      </c>
      <c r="I613" s="257">
        <v>28367.290000000005</v>
      </c>
      <c r="J613" s="240">
        <v>119.50277777777779</v>
      </c>
      <c r="K613" s="240">
        <v>179.25914893617022</v>
      </c>
      <c r="L613" s="240">
        <v>117.75792452830188</v>
      </c>
      <c r="M613" s="240">
        <v>140.3364406779661</v>
      </c>
      <c r="N613" s="240">
        <v>159.8557142857143</v>
      </c>
      <c r="O613" s="258">
        <v>140.4321287128713</v>
      </c>
      <c r="P613" s="224">
        <v>0.14825870715347142</v>
      </c>
      <c r="Q613" s="224">
        <v>0.18602836491074362</v>
      </c>
      <c r="R613" s="224">
        <v>0.24550705995503816</v>
      </c>
      <c r="S613" s="224">
        <v>0.35181455467883593</v>
      </c>
      <c r="T613" s="224">
        <v>0.1482712792387878</v>
      </c>
      <c r="U613" s="259">
        <v>0.21685799696109886</v>
      </c>
      <c r="V613" s="239">
        <v>36</v>
      </c>
      <c r="W613" s="239">
        <v>47</v>
      </c>
      <c r="X613" s="239">
        <v>53</v>
      </c>
      <c r="Y613" s="239">
        <v>59</v>
      </c>
      <c r="Z613" s="239">
        <v>7</v>
      </c>
      <c r="AA613" s="257">
        <v>202</v>
      </c>
      <c r="AB613" s="224">
        <v>0.16071428571428573</v>
      </c>
      <c r="AC613" s="224">
        <v>0.16319444444444445</v>
      </c>
      <c r="AD613" s="224">
        <v>0.27319587628865977</v>
      </c>
      <c r="AE613" s="224">
        <v>0.36645962732919257</v>
      </c>
      <c r="AF613" s="224">
        <v>0.13461538461538461</v>
      </c>
      <c r="AG613" s="259">
        <v>0.21980413492927095</v>
      </c>
      <c r="AH613" s="261">
        <v>1.8723669839288502E-3</v>
      </c>
      <c r="AI613" s="261">
        <v>1.7420311341734618E-3</v>
      </c>
      <c r="AJ613" s="261">
        <v>2.4604243071352306E-3</v>
      </c>
      <c r="AK613" s="261">
        <v>3.171872479974195E-3</v>
      </c>
      <c r="AL613" s="261">
        <v>1.4598540145985401E-3</v>
      </c>
      <c r="AM613" s="262">
        <v>2.2162731501799348E-3</v>
      </c>
    </row>
    <row r="614" spans="1:39" x14ac:dyDescent="0.25">
      <c r="A614" s="215" t="str">
        <v>4442-AAl-Mutairi</v>
      </c>
      <c r="B614" s="215" t="str">
        <v>JEDDYASMN</v>
      </c>
      <c r="C614" s="215" t="str">
        <v>Saleh Bin Hoiel</v>
      </c>
      <c r="D614" s="239">
        <v>7354.0599999999995</v>
      </c>
      <c r="E614" s="239">
        <v>5067.1099999999997</v>
      </c>
      <c r="F614" s="239">
        <v>5221.0700000000006</v>
      </c>
      <c r="G614" s="239">
        <v>5572</v>
      </c>
      <c r="H614" s="239">
        <v>1796.06</v>
      </c>
      <c r="I614" s="257">
        <v>25010.3</v>
      </c>
      <c r="J614" s="240">
        <v>114.90718749999999</v>
      </c>
      <c r="K614" s="240">
        <v>153.54878787878786</v>
      </c>
      <c r="L614" s="240">
        <v>113.50152173913045</v>
      </c>
      <c r="M614" s="240">
        <v>142.87179487179486</v>
      </c>
      <c r="N614" s="240">
        <v>138.15846153846152</v>
      </c>
      <c r="O614" s="258">
        <v>128.25794871794872</v>
      </c>
      <c r="P614" s="224">
        <v>0.2534351660651909</v>
      </c>
      <c r="Q614" s="224">
        <v>0.11188202366274407</v>
      </c>
      <c r="R614" s="224">
        <v>0.20537968770590309</v>
      </c>
      <c r="S614" s="224">
        <v>0.23675678891169208</v>
      </c>
      <c r="T614" s="224">
        <v>0.2379861426729615</v>
      </c>
      <c r="U614" s="259">
        <v>0.19119498413123601</v>
      </c>
      <c r="V614" s="239">
        <v>64</v>
      </c>
      <c r="W614" s="239">
        <v>33</v>
      </c>
      <c r="X614" s="239">
        <v>46</v>
      </c>
      <c r="Y614" s="239">
        <v>39</v>
      </c>
      <c r="Z614" s="239">
        <v>13</v>
      </c>
      <c r="AA614" s="257">
        <v>195</v>
      </c>
      <c r="AB614" s="224">
        <v>0.2857142857142857</v>
      </c>
      <c r="AC614" s="224">
        <v>0.11458333333333333</v>
      </c>
      <c r="AD614" s="224">
        <v>0.23711340206185566</v>
      </c>
      <c r="AE614" s="224">
        <v>0.24223602484472051</v>
      </c>
      <c r="AF614" s="224">
        <v>0.25</v>
      </c>
      <c r="AG614" s="259">
        <v>0.21218715995647444</v>
      </c>
      <c r="AH614" s="261">
        <v>3.3286524158735111E-3</v>
      </c>
      <c r="AI614" s="261">
        <v>1.223128243143069E-3</v>
      </c>
      <c r="AJ614" s="261">
        <v>2.1354626061928414E-3</v>
      </c>
      <c r="AK614" s="261">
        <v>2.0966614698134508E-3</v>
      </c>
      <c r="AL614" s="261">
        <v>2.7111574556830031E-3</v>
      </c>
      <c r="AM614" s="262">
        <v>2.1394716053717193E-3</v>
      </c>
    </row>
    <row r="615" spans="1:39" x14ac:dyDescent="0.25">
      <c r="A615" s="215" t="str">
        <v>4443-RAl-Ghamdi</v>
      </c>
      <c r="B615" s="215" t="str">
        <v>JEDDYASMN</v>
      </c>
      <c r="C615" s="215" t="str">
        <v>Saleh Bin Hoiel</v>
      </c>
      <c r="D615" s="239">
        <v>3225.08</v>
      </c>
      <c r="E615" s="239">
        <v>8963.0999999999985</v>
      </c>
      <c r="F615" s="239">
        <v>4897.1400000000003</v>
      </c>
      <c r="G615" s="239">
        <v>4494.88</v>
      </c>
      <c r="H615" s="239">
        <v>1828.92</v>
      </c>
      <c r="I615" s="257">
        <v>23409.120000000003</v>
      </c>
      <c r="J615" s="240">
        <v>134.37833333333333</v>
      </c>
      <c r="K615" s="240">
        <v>151.91694915254234</v>
      </c>
      <c r="L615" s="240">
        <v>139.91828571428573</v>
      </c>
      <c r="M615" s="240">
        <v>154.99586206896552</v>
      </c>
      <c r="N615" s="240">
        <v>152.41</v>
      </c>
      <c r="O615" s="258">
        <v>147.22716981132078</v>
      </c>
      <c r="P615" s="224">
        <v>0.11114250976651345</v>
      </c>
      <c r="Q615" s="224">
        <v>0.19790566344356866</v>
      </c>
      <c r="R615" s="224">
        <v>0.19263734902081109</v>
      </c>
      <c r="S615" s="224">
        <v>0.19098947511546779</v>
      </c>
      <c r="T615" s="224">
        <v>0.24234024256285025</v>
      </c>
      <c r="U615" s="259">
        <v>0.17895452381323695</v>
      </c>
      <c r="V615" s="239">
        <v>24</v>
      </c>
      <c r="W615" s="239">
        <v>59</v>
      </c>
      <c r="X615" s="239">
        <v>35</v>
      </c>
      <c r="Y615" s="239">
        <v>29</v>
      </c>
      <c r="Z615" s="239">
        <v>12</v>
      </c>
      <c r="AA615" s="257">
        <v>159</v>
      </c>
      <c r="AB615" s="224">
        <v>0.10714285714285714</v>
      </c>
      <c r="AC615" s="224">
        <v>0.2048611111111111</v>
      </c>
      <c r="AD615" s="224">
        <v>0.18041237113402062</v>
      </c>
      <c r="AE615" s="224">
        <v>0.18012422360248448</v>
      </c>
      <c r="AF615" s="224">
        <v>0.23076923076923078</v>
      </c>
      <c r="AG615" s="259">
        <v>0.17301414581066377</v>
      </c>
      <c r="AH615" s="261">
        <v>1.2482446559525667E-3</v>
      </c>
      <c r="AI615" s="261">
        <v>2.1868050407709413E-3</v>
      </c>
      <c r="AJ615" s="261">
        <v>1.6248085047119447E-3</v>
      </c>
      <c r="AK615" s="261">
        <v>1.559055964733079E-3</v>
      </c>
      <c r="AL615" s="261">
        <v>2.5026068821689261E-3</v>
      </c>
      <c r="AM615" s="262">
        <v>1.7444922320723252E-3</v>
      </c>
    </row>
    <row r="616" spans="1:39" x14ac:dyDescent="0.25">
      <c r="A616" s="215" t="str">
        <v>5561-FZaki</v>
      </c>
      <c r="B616" s="215" t="str">
        <v>JEDDYASMN</v>
      </c>
      <c r="C616" s="215" t="str">
        <v>Saleh Bin Hoiel</v>
      </c>
      <c r="D616" s="239">
        <v>0</v>
      </c>
      <c r="E616" s="239">
        <v>12097.12</v>
      </c>
      <c r="F616" s="239">
        <v>3412.1099999999997</v>
      </c>
      <c r="G616" s="239">
        <v>2135.0299999999997</v>
      </c>
      <c r="H616" s="239">
        <v>776.02</v>
      </c>
      <c r="I616" s="257">
        <v>18420.28</v>
      </c>
      <c r="J616" s="240" t="str">
        <v/>
      </c>
      <c r="K616" s="240">
        <v>155.09128205128206</v>
      </c>
      <c r="L616" s="240">
        <v>121.86107142857142</v>
      </c>
      <c r="M616" s="240">
        <v>133.43937499999998</v>
      </c>
      <c r="N616" s="240">
        <v>155.20400000000001</v>
      </c>
      <c r="O616" s="258">
        <v>145.04157480314959</v>
      </c>
      <c r="P616" s="224">
        <v>0</v>
      </c>
      <c r="Q616" s="224">
        <v>0.26710497030675368</v>
      </c>
      <c r="R616" s="224">
        <v>0.13422116275364798</v>
      </c>
      <c r="S616" s="224">
        <v>9.0718386042736882E-2</v>
      </c>
      <c r="T616" s="224">
        <v>0.10282618979158357</v>
      </c>
      <c r="U616" s="259">
        <v>0.1408165892569431</v>
      </c>
      <c r="V616" s="239">
        <v>0</v>
      </c>
      <c r="W616" s="239">
        <v>78</v>
      </c>
      <c r="X616" s="239">
        <v>28</v>
      </c>
      <c r="Y616" s="239">
        <v>16</v>
      </c>
      <c r="Z616" s="239">
        <v>5</v>
      </c>
      <c r="AA616" s="257">
        <v>127</v>
      </c>
      <c r="AB616" s="224">
        <v>0</v>
      </c>
      <c r="AC616" s="224">
        <v>0.27083333333333331</v>
      </c>
      <c r="AD616" s="224">
        <v>0.14432989690721648</v>
      </c>
      <c r="AE616" s="224">
        <v>9.9378881987577633E-2</v>
      </c>
      <c r="AF616" s="224">
        <v>9.6153846153846159E-2</v>
      </c>
      <c r="AG616" s="259">
        <v>0.1381936887921654</v>
      </c>
      <c r="AH616" s="261">
        <v>0</v>
      </c>
      <c r="AI616" s="261">
        <v>2.8910303928836173E-3</v>
      </c>
      <c r="AJ616" s="261">
        <v>1.2998468037695558E-3</v>
      </c>
      <c r="AK616" s="261">
        <v>8.6016880812859521E-4</v>
      </c>
      <c r="AL616" s="261">
        <v>1.0427528675703858E-3</v>
      </c>
      <c r="AM616" s="262">
        <v>1.3933994558061968E-3</v>
      </c>
    </row>
    <row r="617" spans="1:39" x14ac:dyDescent="0.25">
      <c r="A617" s="215" t="str">
        <v>7214-HSadiq</v>
      </c>
      <c r="B617" s="215" t="str">
        <v>JEDDYASMN</v>
      </c>
      <c r="C617" s="215" t="str">
        <v>Saleh Bin Hoiel</v>
      </c>
      <c r="D617" s="239">
        <v>6229.1100000000006</v>
      </c>
      <c r="E617" s="239">
        <v>0</v>
      </c>
      <c r="F617" s="239">
        <v>0</v>
      </c>
      <c r="G617" s="239">
        <v>0</v>
      </c>
      <c r="H617" s="239">
        <v>0</v>
      </c>
      <c r="I617" s="257">
        <v>6229.1100000000006</v>
      </c>
      <c r="J617" s="240">
        <v>129.77312500000002</v>
      </c>
      <c r="K617" s="240" t="str">
        <v/>
      </c>
      <c r="L617" s="240" t="str">
        <v/>
      </c>
      <c r="M617" s="240" t="str">
        <v/>
      </c>
      <c r="N617" s="240" t="str">
        <v/>
      </c>
      <c r="O617" s="258">
        <v>129.77312500000002</v>
      </c>
      <c r="P617" s="224">
        <v>0.21466720794885297</v>
      </c>
      <c r="Q617" s="224">
        <v>0</v>
      </c>
      <c r="R617" s="224">
        <v>0</v>
      </c>
      <c r="S617" s="224">
        <v>0</v>
      </c>
      <c r="T617" s="224">
        <v>0</v>
      </c>
      <c r="U617" s="259">
        <v>4.7619364325966647E-2</v>
      </c>
      <c r="V617" s="239">
        <v>48</v>
      </c>
      <c r="W617" s="239">
        <v>0</v>
      </c>
      <c r="X617" s="239">
        <v>0</v>
      </c>
      <c r="Y617" s="239">
        <v>0</v>
      </c>
      <c r="Z617" s="239">
        <v>0</v>
      </c>
      <c r="AA617" s="257">
        <v>48</v>
      </c>
      <c r="AB617" s="224">
        <v>0.21428571428571427</v>
      </c>
      <c r="AC617" s="224">
        <v>0</v>
      </c>
      <c r="AD617" s="224">
        <v>0</v>
      </c>
      <c r="AE617" s="224">
        <v>0</v>
      </c>
      <c r="AF617" s="224">
        <v>0</v>
      </c>
      <c r="AG617" s="259">
        <v>5.2230685527747553E-2</v>
      </c>
      <c r="AH617" s="261">
        <v>2.4964893119051334E-3</v>
      </c>
      <c r="AI617" s="261">
        <v>0</v>
      </c>
      <c r="AJ617" s="261">
        <v>0</v>
      </c>
      <c r="AK617" s="261">
        <v>0</v>
      </c>
      <c r="AL617" s="261">
        <v>0</v>
      </c>
      <c r="AM617" s="262">
        <v>5.2663916439919247E-4</v>
      </c>
    </row>
    <row r="618" spans="1:39" x14ac:dyDescent="0.25">
      <c r="A618" s="215" t="str">
        <v>2987-Ramzy Ameen</v>
      </c>
      <c r="B618" s="215" t="str">
        <v>SALAMA</v>
      </c>
      <c r="C618" s="215" t="str">
        <v>Saleh Bin Hoiel</v>
      </c>
      <c r="D618" s="239">
        <v>30194.48</v>
      </c>
      <c r="E618" s="239">
        <v>37933.68</v>
      </c>
      <c r="F618" s="239">
        <v>20862.350000000002</v>
      </c>
      <c r="G618" s="239">
        <v>25045.39</v>
      </c>
      <c r="H618" s="239">
        <v>2109.84</v>
      </c>
      <c r="I618" s="257">
        <v>116145.74</v>
      </c>
      <c r="J618" s="240">
        <v>146.57514563106795</v>
      </c>
      <c r="K618" s="240">
        <v>173.21315068493152</v>
      </c>
      <c r="L618" s="240">
        <v>156.85977443609025</v>
      </c>
      <c r="M618" s="240">
        <v>287.87804597701148</v>
      </c>
      <c r="N618" s="240">
        <v>234.42666666666668</v>
      </c>
      <c r="O618" s="258">
        <v>177.59287461773701</v>
      </c>
      <c r="P618" s="224">
        <v>0.60838042091502642</v>
      </c>
      <c r="Q618" s="224">
        <v>0.39868167195475585</v>
      </c>
      <c r="R618" s="224">
        <v>0.33463214580105621</v>
      </c>
      <c r="S618" s="224">
        <v>0.28210777464304548</v>
      </c>
      <c r="T618" s="224">
        <v>0.13070483124169094</v>
      </c>
      <c r="U618" s="259">
        <v>0.37220905475718086</v>
      </c>
      <c r="V618" s="239">
        <v>206</v>
      </c>
      <c r="W618" s="239">
        <v>219</v>
      </c>
      <c r="X618" s="239">
        <v>133</v>
      </c>
      <c r="Y618" s="239">
        <v>87</v>
      </c>
      <c r="Z618" s="239">
        <v>9</v>
      </c>
      <c r="AA618" s="257">
        <v>654</v>
      </c>
      <c r="AB618" s="224">
        <v>0.56130790190735691</v>
      </c>
      <c r="AC618" s="224">
        <v>0.39745916515426499</v>
      </c>
      <c r="AD618" s="224">
        <v>0.35466666666666669</v>
      </c>
      <c r="AE618" s="224">
        <v>0.20913461538461539</v>
      </c>
      <c r="AF618" s="224">
        <v>9.6774193548387094E-2</v>
      </c>
      <c r="AG618" s="259">
        <v>0.36293007769145397</v>
      </c>
      <c r="AH618" s="261">
        <v>1.0714099963592865E-2</v>
      </c>
      <c r="AI618" s="261">
        <v>8.1171237954040035E-3</v>
      </c>
      <c r="AJ618" s="261">
        <v>6.1742723179053901E-3</v>
      </c>
      <c r="AK618" s="261">
        <v>4.6771678941992367E-3</v>
      </c>
      <c r="AL618" s="261">
        <v>1.8769551616266945E-3</v>
      </c>
      <c r="AM618" s="262">
        <v>7.1754586149389973E-3</v>
      </c>
    </row>
    <row r="619" spans="1:39" x14ac:dyDescent="0.25">
      <c r="A619" s="215" t="str">
        <v>3247-Afnan Alharbi</v>
      </c>
      <c r="B619" s="215" t="str">
        <v>SALAMA</v>
      </c>
      <c r="C619" s="215" t="str">
        <v>Saleh Bin Hoiel</v>
      </c>
      <c r="D619" s="239">
        <v>0</v>
      </c>
      <c r="E619" s="239">
        <v>0</v>
      </c>
      <c r="F619" s="239">
        <v>21650.48</v>
      </c>
      <c r="G619" s="239">
        <v>22741.839999999997</v>
      </c>
      <c r="H619" s="239">
        <v>6485.1</v>
      </c>
      <c r="I619" s="257">
        <v>50877.419999999991</v>
      </c>
      <c r="J619" s="240" t="str">
        <v/>
      </c>
      <c r="K619" s="240" t="str">
        <v/>
      </c>
      <c r="L619" s="240">
        <v>176.02016260162603</v>
      </c>
      <c r="M619" s="240">
        <v>255.52629213483141</v>
      </c>
      <c r="N619" s="240">
        <v>209.19677419354841</v>
      </c>
      <c r="O619" s="258">
        <v>209.37209876543207</v>
      </c>
      <c r="P619" s="224">
        <v>0</v>
      </c>
      <c r="Q619" s="224">
        <v>0</v>
      </c>
      <c r="R619" s="224">
        <v>0.34727375295797697</v>
      </c>
      <c r="S619" s="224">
        <v>0.25616090920078294</v>
      </c>
      <c r="T619" s="224">
        <v>0.40175269266176106</v>
      </c>
      <c r="U619" s="259">
        <v>0.16304546689946686</v>
      </c>
      <c r="V619" s="239">
        <v>0</v>
      </c>
      <c r="W619" s="239">
        <v>0</v>
      </c>
      <c r="X619" s="239">
        <v>123</v>
      </c>
      <c r="Y619" s="239">
        <v>89</v>
      </c>
      <c r="Z619" s="239">
        <v>31</v>
      </c>
      <c r="AA619" s="257">
        <v>243</v>
      </c>
      <c r="AB619" s="224">
        <v>0</v>
      </c>
      <c r="AC619" s="224">
        <v>0</v>
      </c>
      <c r="AD619" s="224">
        <v>0.32800000000000001</v>
      </c>
      <c r="AE619" s="224">
        <v>0.21394230769230768</v>
      </c>
      <c r="AF619" s="224">
        <v>0.33333333333333331</v>
      </c>
      <c r="AG619" s="259">
        <v>0.13485016648168702</v>
      </c>
      <c r="AH619" s="261">
        <v>0</v>
      </c>
      <c r="AI619" s="261">
        <v>0</v>
      </c>
      <c r="AJ619" s="261">
        <v>5.71004131655912E-3</v>
      </c>
      <c r="AK619" s="261">
        <v>4.7846889952153108E-3</v>
      </c>
      <c r="AL619" s="261">
        <v>6.4650677789363925E-3</v>
      </c>
      <c r="AM619" s="262">
        <v>2.6661107697709121E-3</v>
      </c>
    </row>
    <row r="620" spans="1:39" x14ac:dyDescent="0.25">
      <c r="A620" s="215" t="str">
        <v>4642-MAlnami</v>
      </c>
      <c r="B620" s="215" t="str">
        <v>SALAMA</v>
      </c>
      <c r="C620" s="215" t="str">
        <v>Saleh Bin Hoiel</v>
      </c>
      <c r="D620" s="239">
        <v>10002.18</v>
      </c>
      <c r="E620" s="239">
        <v>15205.33</v>
      </c>
      <c r="F620" s="239">
        <v>6024.07</v>
      </c>
      <c r="G620" s="239">
        <v>11959.900000000001</v>
      </c>
      <c r="H620" s="239">
        <v>1204.9000000000001</v>
      </c>
      <c r="I620" s="257">
        <v>44396.380000000005</v>
      </c>
      <c r="J620" s="240">
        <v>137.01616438356166</v>
      </c>
      <c r="K620" s="240">
        <v>172.7878409090909</v>
      </c>
      <c r="L620" s="240">
        <v>167.33527777777778</v>
      </c>
      <c r="M620" s="240">
        <v>186.87343750000002</v>
      </c>
      <c r="N620" s="240">
        <v>172.12857142857143</v>
      </c>
      <c r="O620" s="258">
        <v>165.65813432835822</v>
      </c>
      <c r="P620" s="224">
        <v>0.20153122287477243</v>
      </c>
      <c r="Q620" s="224">
        <v>0.15980749526604873</v>
      </c>
      <c r="R620" s="224">
        <v>9.6626097757719936E-2</v>
      </c>
      <c r="S620" s="224">
        <v>0.13471464305220882</v>
      </c>
      <c r="T620" s="224">
        <v>7.4643693911914374E-2</v>
      </c>
      <c r="U620" s="259">
        <v>0.14227585647515451</v>
      </c>
      <c r="V620" s="239">
        <v>73</v>
      </c>
      <c r="W620" s="239">
        <v>88</v>
      </c>
      <c r="X620" s="239">
        <v>36</v>
      </c>
      <c r="Y620" s="239">
        <v>64</v>
      </c>
      <c r="Z620" s="239">
        <v>7</v>
      </c>
      <c r="AA620" s="257">
        <v>268</v>
      </c>
      <c r="AB620" s="224">
        <v>0.1989100817438692</v>
      </c>
      <c r="AC620" s="224">
        <v>0.15970961887477314</v>
      </c>
      <c r="AD620" s="224">
        <v>9.6000000000000002E-2</v>
      </c>
      <c r="AE620" s="224">
        <v>0.15384615384615385</v>
      </c>
      <c r="AF620" s="224">
        <v>7.5268817204301078E-2</v>
      </c>
      <c r="AG620" s="259">
        <v>0.14872364039955605</v>
      </c>
      <c r="AH620" s="261">
        <v>3.7967441618557236E-3</v>
      </c>
      <c r="AI620" s="261">
        <v>3.2616753150481836E-3</v>
      </c>
      <c r="AJ620" s="261">
        <v>1.6712316048465717E-3</v>
      </c>
      <c r="AK620" s="261">
        <v>3.4406752325143808E-3</v>
      </c>
      <c r="AL620" s="261">
        <v>1.4598540145985401E-3</v>
      </c>
      <c r="AM620" s="262">
        <v>2.9404020012288247E-3</v>
      </c>
    </row>
    <row r="621" spans="1:39" x14ac:dyDescent="0.25">
      <c r="A621" s="215" t="str">
        <v>3074- FAlMasoudi</v>
      </c>
      <c r="B621" s="215" t="str">
        <v>SALAMA</v>
      </c>
      <c r="C621" s="215" t="str">
        <v>Saleh Bin Hoiel</v>
      </c>
      <c r="D621" s="239">
        <v>7344.2000000000007</v>
      </c>
      <c r="E621" s="239">
        <v>19607.37</v>
      </c>
      <c r="F621" s="239">
        <v>5605.15</v>
      </c>
      <c r="G621" s="239">
        <v>5920.8600000000006</v>
      </c>
      <c r="H621" s="239">
        <v>1776.04</v>
      </c>
      <c r="I621" s="257">
        <v>40253.620000000003</v>
      </c>
      <c r="J621" s="240">
        <v>106.43768115942029</v>
      </c>
      <c r="K621" s="240">
        <v>215.46560439560437</v>
      </c>
      <c r="L621" s="240">
        <v>155.69861111111109</v>
      </c>
      <c r="M621" s="240">
        <v>204.16758620689657</v>
      </c>
      <c r="N621" s="240">
        <v>148.00333333333333</v>
      </c>
      <c r="O621" s="258">
        <v>169.84649789029538</v>
      </c>
      <c r="P621" s="224">
        <v>0.14797630186988275</v>
      </c>
      <c r="Q621" s="224">
        <v>0.20607278424438441</v>
      </c>
      <c r="R621" s="224">
        <v>8.9906619917544756E-2</v>
      </c>
      <c r="S621" s="224">
        <v>6.6691740019741069E-2</v>
      </c>
      <c r="T621" s="224">
        <v>0.11002588275816781</v>
      </c>
      <c r="U621" s="259">
        <v>0.12899966757932535</v>
      </c>
      <c r="V621" s="239">
        <v>69</v>
      </c>
      <c r="W621" s="239">
        <v>91</v>
      </c>
      <c r="X621" s="239">
        <v>36</v>
      </c>
      <c r="Y621" s="239">
        <v>29</v>
      </c>
      <c r="Z621" s="239">
        <v>12</v>
      </c>
      <c r="AA621" s="257">
        <v>237</v>
      </c>
      <c r="AB621" s="224">
        <v>0.18801089918256131</v>
      </c>
      <c r="AC621" s="224">
        <v>0.16515426497277677</v>
      </c>
      <c r="AD621" s="224">
        <v>9.6000000000000002E-2</v>
      </c>
      <c r="AE621" s="224">
        <v>6.9711538461538464E-2</v>
      </c>
      <c r="AF621" s="224">
        <v>0.12903225806451613</v>
      </c>
      <c r="AG621" s="259">
        <v>0.13152053274139844</v>
      </c>
      <c r="AH621" s="261">
        <v>3.5887033858636292E-3</v>
      </c>
      <c r="AI621" s="261">
        <v>3.3728687916975537E-3</v>
      </c>
      <c r="AJ621" s="261">
        <v>1.6712316048465717E-3</v>
      </c>
      <c r="AK621" s="261">
        <v>1.559055964733079E-3</v>
      </c>
      <c r="AL621" s="261">
        <v>2.5026068821689261E-3</v>
      </c>
      <c r="AM621" s="262">
        <v>2.6002808742210128E-3</v>
      </c>
    </row>
    <row r="622" spans="1:39" x14ac:dyDescent="0.25">
      <c r="A622" s="215" t="str">
        <v>3490-NAlmukhlafi</v>
      </c>
      <c r="B622" s="215" t="str">
        <v>SALAMA</v>
      </c>
      <c r="C622" s="215" t="str">
        <v>Saleh Bin Hoiel</v>
      </c>
      <c r="D622" s="239">
        <v>1912.04</v>
      </c>
      <c r="E622" s="239">
        <v>19052.41</v>
      </c>
      <c r="F622" s="239">
        <v>0</v>
      </c>
      <c r="G622" s="239">
        <v>1798.04</v>
      </c>
      <c r="H622" s="239">
        <v>0</v>
      </c>
      <c r="I622" s="257">
        <v>22762.49</v>
      </c>
      <c r="J622" s="240">
        <v>159.33666666666667</v>
      </c>
      <c r="K622" s="240">
        <v>171.64333333333335</v>
      </c>
      <c r="L622" s="240" t="str">
        <v/>
      </c>
      <c r="M622" s="240">
        <v>138.31076923076924</v>
      </c>
      <c r="N622" s="240" t="str">
        <v/>
      </c>
      <c r="O622" s="258">
        <v>167.37125</v>
      </c>
      <c r="P622" s="224">
        <v>3.8525177449863918E-2</v>
      </c>
      <c r="Q622" s="224">
        <v>0.20024017373393538</v>
      </c>
      <c r="R622" s="224">
        <v>0</v>
      </c>
      <c r="S622" s="224">
        <v>2.0252871411432664E-2</v>
      </c>
      <c r="T622" s="224">
        <v>0</v>
      </c>
      <c r="U622" s="259">
        <v>7.2946324908858315E-2</v>
      </c>
      <c r="V622" s="239">
        <v>12</v>
      </c>
      <c r="W622" s="239">
        <v>111</v>
      </c>
      <c r="X622" s="239">
        <v>0</v>
      </c>
      <c r="Y622" s="239">
        <v>13</v>
      </c>
      <c r="Z622" s="239">
        <v>0</v>
      </c>
      <c r="AA622" s="257">
        <v>136</v>
      </c>
      <c r="AB622" s="224">
        <v>3.2697547683923703E-2</v>
      </c>
      <c r="AC622" s="224">
        <v>0.2014519056261343</v>
      </c>
      <c r="AD622" s="224">
        <v>0</v>
      </c>
      <c r="AE622" s="224">
        <v>3.125E-2</v>
      </c>
      <c r="AF622" s="224">
        <v>0</v>
      </c>
      <c r="AG622" s="259">
        <v>7.5471698113207544E-2</v>
      </c>
      <c r="AH622" s="261">
        <v>6.2412232797628335E-4</v>
      </c>
      <c r="AI622" s="261">
        <v>4.1141586360266868E-3</v>
      </c>
      <c r="AJ622" s="261">
        <v>0</v>
      </c>
      <c r="AK622" s="261">
        <v>6.9888715660448365E-4</v>
      </c>
      <c r="AL622" s="261">
        <v>0</v>
      </c>
      <c r="AM622" s="262">
        <v>1.4921442991310454E-3</v>
      </c>
    </row>
    <row r="623" spans="1:39" x14ac:dyDescent="0.25">
      <c r="A623" s="215" t="str">
        <v>3016-SAlQurashi</v>
      </c>
      <c r="B623" s="215" t="str">
        <v>SALAMA</v>
      </c>
      <c r="C623" s="215" t="str">
        <v>Saleh Bin Hoiel</v>
      </c>
      <c r="D623" s="239">
        <v>0</v>
      </c>
      <c r="E623" s="239">
        <v>0</v>
      </c>
      <c r="F623" s="239">
        <v>6882.06</v>
      </c>
      <c r="G623" s="239">
        <v>8449.0400000000009</v>
      </c>
      <c r="H623" s="239">
        <v>1788.04</v>
      </c>
      <c r="I623" s="257">
        <v>17119.140000000003</v>
      </c>
      <c r="J623" s="240" t="str">
        <v/>
      </c>
      <c r="K623" s="240" t="str">
        <v/>
      </c>
      <c r="L623" s="240">
        <v>202.41352941176473</v>
      </c>
      <c r="M623" s="240">
        <v>228.35243243243247</v>
      </c>
      <c r="N623" s="240">
        <v>162.54909090909089</v>
      </c>
      <c r="O623" s="258">
        <v>208.77000000000004</v>
      </c>
      <c r="P623" s="224">
        <v>0</v>
      </c>
      <c r="Q623" s="224">
        <v>0</v>
      </c>
      <c r="R623" s="224">
        <v>0.11038825948810257</v>
      </c>
      <c r="S623" s="224">
        <v>9.5168806405892564E-2</v>
      </c>
      <c r="T623" s="224">
        <v>0.11076928414163778</v>
      </c>
      <c r="U623" s="259">
        <v>5.4861236560685277E-2</v>
      </c>
      <c r="V623" s="239">
        <v>0</v>
      </c>
      <c r="W623" s="239">
        <v>0</v>
      </c>
      <c r="X623" s="239">
        <v>34</v>
      </c>
      <c r="Y623" s="239">
        <v>37</v>
      </c>
      <c r="Z623" s="239">
        <v>11</v>
      </c>
      <c r="AA623" s="257">
        <v>82</v>
      </c>
      <c r="AB623" s="224">
        <v>0</v>
      </c>
      <c r="AC623" s="224">
        <v>0</v>
      </c>
      <c r="AD623" s="224">
        <v>9.0666666666666673E-2</v>
      </c>
      <c r="AE623" s="224">
        <v>8.8942307692307696E-2</v>
      </c>
      <c r="AF623" s="224">
        <v>0.11827956989247312</v>
      </c>
      <c r="AG623" s="259">
        <v>4.5504994450610431E-2</v>
      </c>
      <c r="AH623" s="261">
        <v>0</v>
      </c>
      <c r="AI623" s="261">
        <v>0</v>
      </c>
      <c r="AJ623" s="261">
        <v>1.5783854045773177E-3</v>
      </c>
      <c r="AK623" s="261">
        <v>1.9891403687973767E-3</v>
      </c>
      <c r="AL623" s="261">
        <v>2.2940563086548487E-3</v>
      </c>
      <c r="AM623" s="262">
        <v>8.9967523918195382E-4</v>
      </c>
    </row>
    <row r="624" spans="1:39" x14ac:dyDescent="0.25">
      <c r="A624" s="215" t="str">
        <v>3029-RAlawi</v>
      </c>
      <c r="B624" s="215" t="str">
        <v>SALAMA</v>
      </c>
      <c r="C624" s="215" t="str">
        <v>Saleh Bin Hoiel</v>
      </c>
      <c r="D624" s="239">
        <v>0</v>
      </c>
      <c r="E624" s="239">
        <v>0</v>
      </c>
      <c r="F624" s="239">
        <v>0</v>
      </c>
      <c r="G624" s="239">
        <v>10665.5</v>
      </c>
      <c r="H624" s="239">
        <v>2642.0699999999997</v>
      </c>
      <c r="I624" s="257">
        <v>13307.57</v>
      </c>
      <c r="J624" s="240" t="str">
        <v/>
      </c>
      <c r="K624" s="240" t="str">
        <v/>
      </c>
      <c r="L624" s="240" t="str">
        <v/>
      </c>
      <c r="M624" s="240">
        <v>150.21830985915494</v>
      </c>
      <c r="N624" s="240">
        <v>155.41588235294117</v>
      </c>
      <c r="O624" s="258">
        <v>151.22238636363636</v>
      </c>
      <c r="P624" s="224">
        <v>0</v>
      </c>
      <c r="Q624" s="224">
        <v>0</v>
      </c>
      <c r="R624" s="224">
        <v>0</v>
      </c>
      <c r="S624" s="224">
        <v>0.12013470225280588</v>
      </c>
      <c r="T624" s="224">
        <v>0.16367654110204297</v>
      </c>
      <c r="U624" s="259">
        <v>4.2646403138117829E-2</v>
      </c>
      <c r="V624" s="239">
        <v>0</v>
      </c>
      <c r="W624" s="239">
        <v>0</v>
      </c>
      <c r="X624" s="239">
        <v>0</v>
      </c>
      <c r="Y624" s="239">
        <v>71</v>
      </c>
      <c r="Z624" s="239">
        <v>17</v>
      </c>
      <c r="AA624" s="257">
        <v>88</v>
      </c>
      <c r="AB624" s="224">
        <v>0</v>
      </c>
      <c r="AC624" s="224">
        <v>0</v>
      </c>
      <c r="AD624" s="224">
        <v>0</v>
      </c>
      <c r="AE624" s="224">
        <v>0.17067307692307693</v>
      </c>
      <c r="AF624" s="224">
        <v>0.18279569892473119</v>
      </c>
      <c r="AG624" s="259">
        <v>4.8834628190899003E-2</v>
      </c>
      <c r="AH624" s="261">
        <v>0</v>
      </c>
      <c r="AI624" s="261">
        <v>0</v>
      </c>
      <c r="AJ624" s="261">
        <v>0</v>
      </c>
      <c r="AK624" s="261">
        <v>3.8169990860706412E-3</v>
      </c>
      <c r="AL624" s="261">
        <v>3.545359749739312E-3</v>
      </c>
      <c r="AM624" s="262">
        <v>9.6550513473185292E-4</v>
      </c>
    </row>
    <row r="625" spans="1:39" x14ac:dyDescent="0.25">
      <c r="A625" s="215" t="str">
        <v>2901-Abdulkhaliq Alamri</v>
      </c>
      <c r="B625" s="215" t="str">
        <v>SALAMA</v>
      </c>
      <c r="C625" s="215" t="str">
        <v>Saleh Bin Hoiel</v>
      </c>
      <c r="D625" s="239">
        <v>178.02</v>
      </c>
      <c r="E625" s="239">
        <v>3349</v>
      </c>
      <c r="F625" s="239">
        <v>1320.02</v>
      </c>
      <c r="G625" s="239">
        <v>2198.94</v>
      </c>
      <c r="H625" s="239">
        <v>136.03</v>
      </c>
      <c r="I625" s="257">
        <v>7182.0099999999993</v>
      </c>
      <c r="J625" s="240">
        <v>25.431428571428572</v>
      </c>
      <c r="K625" s="240">
        <v>79.738095238095241</v>
      </c>
      <c r="L625" s="240">
        <v>101.53999999999999</v>
      </c>
      <c r="M625" s="240">
        <v>84.574615384615385</v>
      </c>
      <c r="N625" s="240">
        <v>22.671666666666667</v>
      </c>
      <c r="O625" s="258">
        <v>76.404361702127659</v>
      </c>
      <c r="P625" s="224">
        <v>3.58687689045458E-3</v>
      </c>
      <c r="Q625" s="224">
        <v>3.5197874800875564E-2</v>
      </c>
      <c r="R625" s="224">
        <v>2.1173124077599609E-2</v>
      </c>
      <c r="S625" s="224">
        <v>2.4768553014090759E-2</v>
      </c>
      <c r="T625" s="224">
        <v>8.4270741827850541E-3</v>
      </c>
      <c r="U625" s="259">
        <v>2.301598968121104E-2</v>
      </c>
      <c r="V625" s="239">
        <v>7</v>
      </c>
      <c r="W625" s="239">
        <v>42</v>
      </c>
      <c r="X625" s="239">
        <v>13</v>
      </c>
      <c r="Y625" s="239">
        <v>26</v>
      </c>
      <c r="Z625" s="239">
        <v>6</v>
      </c>
      <c r="AA625" s="257">
        <v>94</v>
      </c>
      <c r="AB625" s="224">
        <v>1.9073569482288829E-2</v>
      </c>
      <c r="AC625" s="224">
        <v>7.6225045372050812E-2</v>
      </c>
      <c r="AD625" s="224">
        <v>3.4666666666666665E-2</v>
      </c>
      <c r="AE625" s="224">
        <v>6.25E-2</v>
      </c>
      <c r="AF625" s="224">
        <v>6.4516129032258063E-2</v>
      </c>
      <c r="AG625" s="259">
        <v>5.2164261931187568E-2</v>
      </c>
      <c r="AH625" s="261">
        <v>3.6407135798616528E-4</v>
      </c>
      <c r="AI625" s="261">
        <v>1.5567086730911787E-3</v>
      </c>
      <c r="AJ625" s="261">
        <v>6.0350030175015089E-4</v>
      </c>
      <c r="AK625" s="261">
        <v>1.3977743132089673E-3</v>
      </c>
      <c r="AL625" s="261">
        <v>1.2513034410844631E-3</v>
      </c>
      <c r="AM625" s="262">
        <v>1.0313350302817519E-3</v>
      </c>
    </row>
    <row r="626" spans="1:39" x14ac:dyDescent="0.25">
      <c r="A626" s="215" t="str">
        <v>5566-SNasser</v>
      </c>
      <c r="B626" s="215" t="str">
        <v>SHIHAR</v>
      </c>
      <c r="C626" s="215" t="str">
        <v>Saleh Bin Hoiel</v>
      </c>
      <c r="D626" s="239">
        <v>3584.07</v>
      </c>
      <c r="E626" s="239">
        <v>9954.130000000001</v>
      </c>
      <c r="F626" s="239">
        <v>11293.11</v>
      </c>
      <c r="G626" s="239">
        <v>7365.85</v>
      </c>
      <c r="H626" s="239">
        <v>3227.05</v>
      </c>
      <c r="I626" s="257">
        <v>35424.210000000006</v>
      </c>
      <c r="J626" s="240">
        <v>108.60818181818182</v>
      </c>
      <c r="K626" s="240">
        <v>132.72173333333333</v>
      </c>
      <c r="L626" s="240">
        <v>129.80586206896552</v>
      </c>
      <c r="M626" s="240">
        <v>171.29883720930232</v>
      </c>
      <c r="N626" s="240">
        <v>153.66904761904763</v>
      </c>
      <c r="O626" s="258">
        <v>136.77301158301159</v>
      </c>
      <c r="P626" s="224">
        <v>9.9805488916209856E-2</v>
      </c>
      <c r="Q626" s="224">
        <v>0.20956994089632197</v>
      </c>
      <c r="R626" s="224">
        <v>0.27217861761698892</v>
      </c>
      <c r="S626" s="224">
        <v>0.25892839566583142</v>
      </c>
      <c r="T626" s="224">
        <v>0.40813035686507121</v>
      </c>
      <c r="U626" s="259">
        <v>0.21967912427529854</v>
      </c>
      <c r="V626" s="239">
        <v>33</v>
      </c>
      <c r="W626" s="239">
        <v>75</v>
      </c>
      <c r="X626" s="239">
        <v>87</v>
      </c>
      <c r="Y626" s="239">
        <v>43</v>
      </c>
      <c r="Z626" s="239">
        <v>21</v>
      </c>
      <c r="AA626" s="257">
        <v>259</v>
      </c>
      <c r="AB626" s="224">
        <v>0.11498257839721254</v>
      </c>
      <c r="AC626" s="224">
        <v>0.23584905660377359</v>
      </c>
      <c r="AD626" s="224">
        <v>0.29896907216494845</v>
      </c>
      <c r="AE626" s="224">
        <v>0.22279792746113988</v>
      </c>
      <c r="AF626" s="224">
        <v>0.4375</v>
      </c>
      <c r="AG626" s="259">
        <v>0.227792436235708</v>
      </c>
      <c r="AH626" s="261">
        <v>1.7163364019347792E-3</v>
      </c>
      <c r="AI626" s="261">
        <v>2.7798369162342477E-3</v>
      </c>
      <c r="AJ626" s="261">
        <v>4.0388097117125482E-3</v>
      </c>
      <c r="AK626" s="261">
        <v>2.3117036718455996E-3</v>
      </c>
      <c r="AL626" s="261">
        <v>4.3795620437956208E-3</v>
      </c>
      <c r="AM626" s="262">
        <v>2.841657157903976E-3</v>
      </c>
    </row>
    <row r="627" spans="1:39" x14ac:dyDescent="0.25">
      <c r="A627" s="215" t="str">
        <v>3530-BBnder</v>
      </c>
      <c r="B627" s="215" t="str">
        <v>SHIHAR</v>
      </c>
      <c r="C627" s="215" t="str">
        <v>Saleh Bin Hoiel</v>
      </c>
      <c r="D627" s="239">
        <v>7916.13</v>
      </c>
      <c r="E627" s="239">
        <v>9715.18</v>
      </c>
      <c r="F627" s="239">
        <v>7952.079999999999</v>
      </c>
      <c r="G627" s="239">
        <v>4020.91</v>
      </c>
      <c r="H627" s="239">
        <v>936</v>
      </c>
      <c r="I627" s="257">
        <v>30540.3</v>
      </c>
      <c r="J627" s="240">
        <v>121.78661538461539</v>
      </c>
      <c r="K627" s="240">
        <v>154.20920634920634</v>
      </c>
      <c r="L627" s="240">
        <v>176.71288888888887</v>
      </c>
      <c r="M627" s="240">
        <v>154.65038461538461</v>
      </c>
      <c r="N627" s="240">
        <v>187.2</v>
      </c>
      <c r="O627" s="258">
        <v>149.70735294117648</v>
      </c>
      <c r="P627" s="224">
        <v>0.22044023274497326</v>
      </c>
      <c r="Q627" s="224">
        <v>0.20453919110933141</v>
      </c>
      <c r="R627" s="224">
        <v>0.19165545554587751</v>
      </c>
      <c r="S627" s="224">
        <v>0.14134523176777944</v>
      </c>
      <c r="T627" s="224">
        <v>0.11837746983334831</v>
      </c>
      <c r="U627" s="259">
        <v>0.18939212360995203</v>
      </c>
      <c r="V627" s="239">
        <v>65</v>
      </c>
      <c r="W627" s="239">
        <v>63</v>
      </c>
      <c r="X627" s="239">
        <v>45</v>
      </c>
      <c r="Y627" s="239">
        <v>26</v>
      </c>
      <c r="Z627" s="239">
        <v>5</v>
      </c>
      <c r="AA627" s="257">
        <v>204</v>
      </c>
      <c r="AB627" s="224">
        <v>0.2264808362369338</v>
      </c>
      <c r="AC627" s="224">
        <v>0.19811320754716982</v>
      </c>
      <c r="AD627" s="224">
        <v>0.15463917525773196</v>
      </c>
      <c r="AE627" s="224">
        <v>0.13471502590673576</v>
      </c>
      <c r="AF627" s="224">
        <v>0.10416666666666667</v>
      </c>
      <c r="AG627" s="259">
        <v>0.17941952506596306</v>
      </c>
      <c r="AH627" s="261">
        <v>3.3806626098715348E-3</v>
      </c>
      <c r="AI627" s="261">
        <v>2.335063009636768E-3</v>
      </c>
      <c r="AJ627" s="261">
        <v>2.0890395060582144E-3</v>
      </c>
      <c r="AK627" s="261">
        <v>1.3977743132089673E-3</v>
      </c>
      <c r="AL627" s="261">
        <v>1.0427528675703858E-3</v>
      </c>
      <c r="AM627" s="262">
        <v>2.2382164486965681E-3</v>
      </c>
    </row>
    <row r="628" spans="1:39" x14ac:dyDescent="0.25">
      <c r="A628" s="215" t="str">
        <v>5565-RAlqurashi</v>
      </c>
      <c r="B628" s="215" t="str">
        <v>SHIHAR</v>
      </c>
      <c r="C628" s="215" t="str">
        <v>Saleh Bin Hoiel</v>
      </c>
      <c r="D628" s="239">
        <v>9856.14</v>
      </c>
      <c r="E628" s="239">
        <v>8797.2100000000009</v>
      </c>
      <c r="F628" s="239">
        <v>8903.1299999999992</v>
      </c>
      <c r="G628" s="239">
        <v>2630.96</v>
      </c>
      <c r="H628" s="239">
        <v>0</v>
      </c>
      <c r="I628" s="257">
        <v>30187.439999999995</v>
      </c>
      <c r="J628" s="240">
        <v>133.19108108108108</v>
      </c>
      <c r="K628" s="240">
        <v>159.94927272727276</v>
      </c>
      <c r="L628" s="240">
        <v>141.31952380952379</v>
      </c>
      <c r="M628" s="240">
        <v>146.16444444444446</v>
      </c>
      <c r="N628" s="240" t="str">
        <v/>
      </c>
      <c r="O628" s="258">
        <v>143.74971428571428</v>
      </c>
      <c r="P628" s="224">
        <v>0.27446363255366457</v>
      </c>
      <c r="Q628" s="224">
        <v>0.18521264839343396</v>
      </c>
      <c r="R628" s="224">
        <v>0.21457699569599006</v>
      </c>
      <c r="S628" s="224">
        <v>9.2484947678947549E-2</v>
      </c>
      <c r="T628" s="224">
        <v>0</v>
      </c>
      <c r="U628" s="259">
        <v>0.18720390329983691</v>
      </c>
      <c r="V628" s="239">
        <v>74</v>
      </c>
      <c r="W628" s="239">
        <v>55</v>
      </c>
      <c r="X628" s="239">
        <v>63</v>
      </c>
      <c r="Y628" s="239">
        <v>18</v>
      </c>
      <c r="Z628" s="239">
        <v>0</v>
      </c>
      <c r="AA628" s="257">
        <v>210</v>
      </c>
      <c r="AB628" s="224">
        <v>0.25783972125435539</v>
      </c>
      <c r="AC628" s="224">
        <v>0.17295597484276728</v>
      </c>
      <c r="AD628" s="224">
        <v>0.21649484536082475</v>
      </c>
      <c r="AE628" s="224">
        <v>9.3264248704663211E-2</v>
      </c>
      <c r="AF628" s="224">
        <v>0</v>
      </c>
      <c r="AG628" s="259">
        <v>0.18469656992084432</v>
      </c>
      <c r="AH628" s="261">
        <v>3.8487543558537473E-3</v>
      </c>
      <c r="AI628" s="261">
        <v>2.038547071905115E-3</v>
      </c>
      <c r="AJ628" s="261">
        <v>2.9246553084815003E-3</v>
      </c>
      <c r="AK628" s="261">
        <v>9.6768990914466969E-4</v>
      </c>
      <c r="AL628" s="261">
        <v>0</v>
      </c>
      <c r="AM628" s="262">
        <v>2.304046344246467E-3</v>
      </c>
    </row>
    <row r="629" spans="1:39" x14ac:dyDescent="0.25">
      <c r="A629" s="215" t="str">
        <v>3711-TIbrahim</v>
      </c>
      <c r="B629" s="215" t="str">
        <v>SHIHAR</v>
      </c>
      <c r="C629" s="215" t="str">
        <v>Saleh Bin Hoiel</v>
      </c>
      <c r="D629" s="239">
        <v>3722.0299999999997</v>
      </c>
      <c r="E629" s="239">
        <v>7473.1399999999994</v>
      </c>
      <c r="F629" s="239">
        <v>7860.13</v>
      </c>
      <c r="G629" s="239">
        <v>2696.98</v>
      </c>
      <c r="H629" s="239">
        <v>1177.04</v>
      </c>
      <c r="I629" s="257">
        <v>22929.32</v>
      </c>
      <c r="J629" s="240">
        <v>116.31343749999999</v>
      </c>
      <c r="K629" s="240">
        <v>138.39148148148146</v>
      </c>
      <c r="L629" s="240">
        <v>154.12019607843138</v>
      </c>
      <c r="M629" s="240">
        <v>141.94631578947369</v>
      </c>
      <c r="N629" s="240">
        <v>130.78222222222223</v>
      </c>
      <c r="O629" s="258">
        <v>138.96557575757575</v>
      </c>
      <c r="P629" s="224">
        <v>0.10364725686462611</v>
      </c>
      <c r="Q629" s="224">
        <v>0.15733625219983458</v>
      </c>
      <c r="R629" s="224">
        <v>0.18943934112833605</v>
      </c>
      <c r="S629" s="224">
        <v>9.4805718897728569E-2</v>
      </c>
      <c r="T629" s="224">
        <v>0.14886219774855158</v>
      </c>
      <c r="U629" s="259">
        <v>0.14219351505165781</v>
      </c>
      <c r="V629" s="239">
        <v>32</v>
      </c>
      <c r="W629" s="239">
        <v>54</v>
      </c>
      <c r="X629" s="239">
        <v>51</v>
      </c>
      <c r="Y629" s="239">
        <v>19</v>
      </c>
      <c r="Z629" s="239">
        <v>9</v>
      </c>
      <c r="AA629" s="257">
        <v>165</v>
      </c>
      <c r="AB629" s="224">
        <v>0.11149825783972125</v>
      </c>
      <c r="AC629" s="224">
        <v>0.16981132075471697</v>
      </c>
      <c r="AD629" s="224">
        <v>0.17525773195876287</v>
      </c>
      <c r="AE629" s="224">
        <v>9.8445595854922283E-2</v>
      </c>
      <c r="AF629" s="224">
        <v>0.1875</v>
      </c>
      <c r="AG629" s="259">
        <v>0.14511873350923482</v>
      </c>
      <c r="AH629" s="261">
        <v>1.6643262079367555E-3</v>
      </c>
      <c r="AI629" s="261">
        <v>2.0014825796886584E-3</v>
      </c>
      <c r="AJ629" s="261">
        <v>2.3675781068659765E-3</v>
      </c>
      <c r="AK629" s="261">
        <v>1.0214504596527069E-3</v>
      </c>
      <c r="AL629" s="261">
        <v>1.8769551616266945E-3</v>
      </c>
      <c r="AM629" s="262">
        <v>1.8103221276222243E-3</v>
      </c>
    </row>
    <row r="630" spans="1:39" x14ac:dyDescent="0.25">
      <c r="A630" s="215" t="str">
        <v>3528-SAlHarthi</v>
      </c>
      <c r="B630" s="215" t="str">
        <v>SHIHAR</v>
      </c>
      <c r="C630" s="215" t="str">
        <v>Saleh Bin Hoiel</v>
      </c>
      <c r="D630" s="239">
        <v>4317.1099999999997</v>
      </c>
      <c r="E630" s="239">
        <v>7298.1599999999989</v>
      </c>
      <c r="F630" s="239">
        <v>4114.0599999999995</v>
      </c>
      <c r="G630" s="239">
        <v>0</v>
      </c>
      <c r="H630" s="239">
        <v>0</v>
      </c>
      <c r="I630" s="257">
        <v>15729.329999999998</v>
      </c>
      <c r="J630" s="240">
        <v>126.97382352941176</v>
      </c>
      <c r="K630" s="240">
        <v>155.27999999999997</v>
      </c>
      <c r="L630" s="240">
        <v>132.71161290322578</v>
      </c>
      <c r="M630" s="240" t="str">
        <v/>
      </c>
      <c r="N630" s="240" t="str">
        <v/>
      </c>
      <c r="O630" s="258">
        <v>140.44044642857142</v>
      </c>
      <c r="P630" s="224">
        <v>0.120218431630816</v>
      </c>
      <c r="Q630" s="224">
        <v>0.15365229908107497</v>
      </c>
      <c r="R630" s="224">
        <v>9.9154189022629666E-2</v>
      </c>
      <c r="S630" s="224">
        <v>0</v>
      </c>
      <c r="T630" s="224">
        <v>0</v>
      </c>
      <c r="U630" s="259">
        <v>9.7543613247470601E-2</v>
      </c>
      <c r="V630" s="239">
        <v>34</v>
      </c>
      <c r="W630" s="239">
        <v>47</v>
      </c>
      <c r="X630" s="239">
        <v>31</v>
      </c>
      <c r="Y630" s="239">
        <v>0</v>
      </c>
      <c r="Z630" s="239">
        <v>0</v>
      </c>
      <c r="AA630" s="257">
        <v>112</v>
      </c>
      <c r="AB630" s="224">
        <v>0.11846689895470383</v>
      </c>
      <c r="AC630" s="224">
        <v>0.14779874213836477</v>
      </c>
      <c r="AD630" s="224">
        <v>0.10652920962199312</v>
      </c>
      <c r="AE630" s="224">
        <v>0</v>
      </c>
      <c r="AF630" s="224">
        <v>0</v>
      </c>
      <c r="AG630" s="259">
        <v>9.8504837291116976E-2</v>
      </c>
      <c r="AH630" s="261">
        <v>1.7683465959328027E-3</v>
      </c>
      <c r="AI630" s="261">
        <v>1.7420311341734618E-3</v>
      </c>
      <c r="AJ630" s="261">
        <v>1.4391161041734366E-3</v>
      </c>
      <c r="AK630" s="261">
        <v>0</v>
      </c>
      <c r="AL630" s="261">
        <v>0</v>
      </c>
      <c r="AM630" s="262">
        <v>1.2288247169314492E-3</v>
      </c>
    </row>
    <row r="631" spans="1:39" x14ac:dyDescent="0.25">
      <c r="A631" s="215" t="str">
        <v>5867-ARazeq</v>
      </c>
      <c r="B631" s="215" t="str">
        <v>SHIHAR</v>
      </c>
      <c r="C631" s="215" t="str">
        <v>Saleh Bin Hoiel</v>
      </c>
      <c r="D631" s="239">
        <v>4430.05</v>
      </c>
      <c r="E631" s="239">
        <v>1400.02</v>
      </c>
      <c r="F631" s="239">
        <v>0</v>
      </c>
      <c r="G631" s="239">
        <v>7186.8200000000006</v>
      </c>
      <c r="H631" s="239">
        <v>632.94000000000005</v>
      </c>
      <c r="I631" s="257">
        <v>13649.83</v>
      </c>
      <c r="J631" s="240">
        <v>142.90483870967742</v>
      </c>
      <c r="K631" s="240">
        <v>175.0025</v>
      </c>
      <c r="L631" s="240" t="str">
        <v/>
      </c>
      <c r="M631" s="240">
        <v>133.08925925925928</v>
      </c>
      <c r="N631" s="240">
        <v>210.98000000000002</v>
      </c>
      <c r="O631" s="258">
        <v>142.18572916666668</v>
      </c>
      <c r="P631" s="224">
        <v>0.12336346839577783</v>
      </c>
      <c r="Q631" s="224">
        <v>2.9475414592100832E-2</v>
      </c>
      <c r="R631" s="224">
        <v>0</v>
      </c>
      <c r="S631" s="224">
        <v>0.25263503499787676</v>
      </c>
      <c r="T631" s="224">
        <v>8.0048969825127644E-2</v>
      </c>
      <c r="U631" s="259">
        <v>8.4647835503083843E-2</v>
      </c>
      <c r="V631" s="239">
        <v>31</v>
      </c>
      <c r="W631" s="239">
        <v>8</v>
      </c>
      <c r="X631" s="239">
        <v>0</v>
      </c>
      <c r="Y631" s="239">
        <v>54</v>
      </c>
      <c r="Z631" s="239">
        <v>3</v>
      </c>
      <c r="AA631" s="257">
        <v>96</v>
      </c>
      <c r="AB631" s="224">
        <v>0.10801393728222997</v>
      </c>
      <c r="AC631" s="224">
        <v>2.5157232704402517E-2</v>
      </c>
      <c r="AD631" s="224">
        <v>0</v>
      </c>
      <c r="AE631" s="224">
        <v>0.27979274611398963</v>
      </c>
      <c r="AF631" s="224">
        <v>6.25E-2</v>
      </c>
      <c r="AG631" s="259">
        <v>8.4432717678100261E-2</v>
      </c>
      <c r="AH631" s="261">
        <v>1.612316013938732E-3</v>
      </c>
      <c r="AI631" s="261">
        <v>2.9651593773165309E-4</v>
      </c>
      <c r="AJ631" s="261">
        <v>0</v>
      </c>
      <c r="AK631" s="261">
        <v>2.9030697274340087E-3</v>
      </c>
      <c r="AL631" s="261">
        <v>6.2565172054223153E-4</v>
      </c>
      <c r="AM631" s="262">
        <v>1.0532783287983849E-3</v>
      </c>
    </row>
    <row r="632" spans="1:39" x14ac:dyDescent="0.25">
      <c r="A632" s="215" t="str">
        <v>4609-BAl-Zahrani</v>
      </c>
      <c r="B632" s="215" t="str">
        <v>SHIHAR</v>
      </c>
      <c r="C632" s="215" t="str">
        <v>Saleh Bin Hoiel</v>
      </c>
      <c r="D632" s="239">
        <v>2010.02</v>
      </c>
      <c r="E632" s="239">
        <v>2785.05</v>
      </c>
      <c r="F632" s="239">
        <v>619.03</v>
      </c>
      <c r="G632" s="239">
        <v>1332.03</v>
      </c>
      <c r="H632" s="239">
        <v>0</v>
      </c>
      <c r="I632" s="257">
        <v>6746.1299999999992</v>
      </c>
      <c r="J632" s="240">
        <v>118.23647058823529</v>
      </c>
      <c r="K632" s="240">
        <v>185.67000000000002</v>
      </c>
      <c r="L632" s="240">
        <v>154.75749999999999</v>
      </c>
      <c r="M632" s="240">
        <v>133.203</v>
      </c>
      <c r="N632" s="240" t="str">
        <v/>
      </c>
      <c r="O632" s="258">
        <v>146.65499999999997</v>
      </c>
      <c r="P632" s="224">
        <v>5.5972966161754685E-2</v>
      </c>
      <c r="Q632" s="224">
        <v>5.8635236217861479E-2</v>
      </c>
      <c r="R632" s="224">
        <v>1.4919426948240532E-2</v>
      </c>
      <c r="S632" s="224">
        <v>4.6824248508828908E-2</v>
      </c>
      <c r="T632" s="224">
        <v>0</v>
      </c>
      <c r="U632" s="259">
        <v>4.1835341723847036E-2</v>
      </c>
      <c r="V632" s="239">
        <v>17</v>
      </c>
      <c r="W632" s="239">
        <v>15</v>
      </c>
      <c r="X632" s="239">
        <v>4</v>
      </c>
      <c r="Y632" s="239">
        <v>10</v>
      </c>
      <c r="Z632" s="239">
        <v>0</v>
      </c>
      <c r="AA632" s="257">
        <v>46</v>
      </c>
      <c r="AB632" s="224">
        <v>5.9233449477351915E-2</v>
      </c>
      <c r="AC632" s="224">
        <v>4.716981132075472E-2</v>
      </c>
      <c r="AD632" s="224">
        <v>1.3745704467353952E-2</v>
      </c>
      <c r="AE632" s="224">
        <v>5.181347150259067E-2</v>
      </c>
      <c r="AF632" s="224">
        <v>0</v>
      </c>
      <c r="AG632" s="259">
        <v>4.0457343887423045E-2</v>
      </c>
      <c r="AH632" s="261">
        <v>8.8417329796640137E-4</v>
      </c>
      <c r="AI632" s="261">
        <v>5.559673832468495E-4</v>
      </c>
      <c r="AJ632" s="261">
        <v>1.8569240053850796E-4</v>
      </c>
      <c r="AK632" s="261">
        <v>5.3760550508037198E-4</v>
      </c>
      <c r="AL632" s="261">
        <v>0</v>
      </c>
      <c r="AM632" s="262">
        <v>5.0469586588255944E-4</v>
      </c>
    </row>
    <row r="633" spans="1:39" x14ac:dyDescent="0.25">
      <c r="A633" s="215" t="str">
        <v>3534-WAlmaliki</v>
      </c>
      <c r="B633" s="215" t="str">
        <v>SHIHAR</v>
      </c>
      <c r="C633" s="215" t="str">
        <v>Saleh Bin Hoiel</v>
      </c>
      <c r="D633" s="239">
        <v>75</v>
      </c>
      <c r="E633" s="239">
        <v>75</v>
      </c>
      <c r="F633" s="239">
        <v>750</v>
      </c>
      <c r="G633" s="239">
        <v>3213.8900000000003</v>
      </c>
      <c r="H633" s="239">
        <v>1933.88</v>
      </c>
      <c r="I633" s="257">
        <v>6047.77</v>
      </c>
      <c r="J633" s="240">
        <v>75</v>
      </c>
      <c r="K633" s="240">
        <v>75</v>
      </c>
      <c r="L633" s="240">
        <v>75</v>
      </c>
      <c r="M633" s="240">
        <v>139.73434782608697</v>
      </c>
      <c r="N633" s="240">
        <v>193.38800000000001</v>
      </c>
      <c r="O633" s="258">
        <v>134.39488888888889</v>
      </c>
      <c r="P633" s="224">
        <v>2.0885227321775909E-3</v>
      </c>
      <c r="Q633" s="224">
        <v>1.5790175100409726E-3</v>
      </c>
      <c r="R633" s="224">
        <v>1.8075974041937223E-2</v>
      </c>
      <c r="S633" s="224">
        <v>0.11297642248300727</v>
      </c>
      <c r="T633" s="224">
        <v>0.24458100572790131</v>
      </c>
      <c r="U633" s="259">
        <v>3.7504543288853082E-2</v>
      </c>
      <c r="V633" s="239">
        <v>1</v>
      </c>
      <c r="W633" s="239">
        <v>1</v>
      </c>
      <c r="X633" s="239">
        <v>10</v>
      </c>
      <c r="Y633" s="239">
        <v>23</v>
      </c>
      <c r="Z633" s="239">
        <v>10</v>
      </c>
      <c r="AA633" s="257">
        <v>45</v>
      </c>
      <c r="AB633" s="224">
        <v>3.4843205574912892E-3</v>
      </c>
      <c r="AC633" s="224">
        <v>3.1446540880503146E-3</v>
      </c>
      <c r="AD633" s="224">
        <v>3.4364261168384883E-2</v>
      </c>
      <c r="AE633" s="224">
        <v>0.11917098445595854</v>
      </c>
      <c r="AF633" s="224">
        <v>0.20833333333333334</v>
      </c>
      <c r="AG633" s="259">
        <v>3.9577836411609502E-2</v>
      </c>
      <c r="AH633" s="261">
        <v>5.201019399802361E-5</v>
      </c>
      <c r="AI633" s="261">
        <v>3.7064492216456636E-5</v>
      </c>
      <c r="AJ633" s="261">
        <v>4.6423100134626989E-4</v>
      </c>
      <c r="AK633" s="261">
        <v>1.2364926616848556E-3</v>
      </c>
      <c r="AL633" s="261">
        <v>2.0855057351407717E-3</v>
      </c>
      <c r="AM633" s="262">
        <v>4.9372421662424292E-4</v>
      </c>
    </row>
    <row r="634" spans="1:39" x14ac:dyDescent="0.25">
      <c r="A634" s="215"/>
      <c r="B634" s="215"/>
      <c r="C634" s="215"/>
      <c r="D634" s="239"/>
      <c r="E634" s="239"/>
      <c r="F634" s="239"/>
      <c r="G634" s="239"/>
      <c r="H634" s="239"/>
      <c r="I634" s="257"/>
      <c r="J634" s="240"/>
      <c r="K634" s="240"/>
      <c r="L634" s="240"/>
      <c r="M634" s="240"/>
      <c r="N634" s="240"/>
      <c r="O634" s="258"/>
      <c r="P634" s="224"/>
      <c r="Q634" s="224"/>
      <c r="R634" s="224"/>
      <c r="S634" s="224"/>
      <c r="T634" s="224"/>
      <c r="U634" s="259"/>
      <c r="V634" s="239"/>
      <c r="W634" s="239"/>
      <c r="X634" s="239"/>
      <c r="Y634" s="239"/>
      <c r="Z634" s="239"/>
      <c r="AA634" s="257"/>
      <c r="AB634" s="224"/>
      <c r="AC634" s="224"/>
      <c r="AD634" s="224"/>
      <c r="AE634" s="224"/>
      <c r="AF634" s="224"/>
      <c r="AG634" s="259"/>
      <c r="AH634" s="261"/>
      <c r="AI634" s="261"/>
      <c r="AJ634" s="261"/>
      <c r="AK634" s="261"/>
      <c r="AL634" s="261"/>
      <c r="AM634" s="262"/>
    </row>
    <row r="635" spans="1:39" x14ac:dyDescent="0.25">
      <c r="A635" s="215"/>
      <c r="B635" s="215"/>
      <c r="C635" s="215"/>
      <c r="D635" s="239"/>
      <c r="E635" s="239"/>
      <c r="F635" s="239"/>
      <c r="G635" s="239"/>
      <c r="H635" s="239"/>
      <c r="I635" s="257"/>
      <c r="J635" s="240"/>
      <c r="K635" s="240"/>
      <c r="L635" s="240"/>
      <c r="M635" s="240"/>
      <c r="N635" s="240"/>
      <c r="O635" s="258"/>
      <c r="P635" s="224"/>
      <c r="Q635" s="224"/>
      <c r="R635" s="224"/>
      <c r="S635" s="224"/>
      <c r="T635" s="224"/>
      <c r="U635" s="259"/>
      <c r="V635" s="239"/>
      <c r="W635" s="239"/>
      <c r="X635" s="239"/>
      <c r="Y635" s="239"/>
      <c r="Z635" s="239"/>
      <c r="AA635" s="257"/>
      <c r="AB635" s="224"/>
      <c r="AC635" s="224"/>
      <c r="AD635" s="224"/>
      <c r="AE635" s="224"/>
      <c r="AF635" s="224"/>
      <c r="AG635" s="259"/>
      <c r="AH635" s="261"/>
      <c r="AI635" s="261"/>
      <c r="AJ635" s="261"/>
      <c r="AK635" s="261"/>
      <c r="AL635" s="261"/>
      <c r="AM635" s="262"/>
    </row>
    <row r="636" spans="1:39" x14ac:dyDescent="0.25">
      <c r="A636" s="215"/>
      <c r="B636" s="215"/>
      <c r="C636" s="215"/>
      <c r="D636" s="239"/>
      <c r="E636" s="239"/>
      <c r="F636" s="239"/>
      <c r="G636" s="239"/>
      <c r="H636" s="239"/>
      <c r="I636" s="257"/>
      <c r="J636" s="240"/>
      <c r="K636" s="240"/>
      <c r="L636" s="240"/>
      <c r="M636" s="240"/>
      <c r="N636" s="240"/>
      <c r="O636" s="258"/>
      <c r="P636" s="224"/>
      <c r="Q636" s="224"/>
      <c r="R636" s="224"/>
      <c r="S636" s="224"/>
      <c r="T636" s="224"/>
      <c r="U636" s="259"/>
      <c r="V636" s="239"/>
      <c r="W636" s="239"/>
      <c r="X636" s="239"/>
      <c r="Y636" s="239"/>
      <c r="Z636" s="239"/>
      <c r="AA636" s="257"/>
      <c r="AB636" s="224"/>
      <c r="AC636" s="224"/>
      <c r="AD636" s="224"/>
      <c r="AE636" s="224"/>
      <c r="AF636" s="224"/>
      <c r="AG636" s="259"/>
      <c r="AH636" s="261"/>
      <c r="AI636" s="261"/>
      <c r="AJ636" s="261"/>
      <c r="AK636" s="261"/>
      <c r="AL636" s="261"/>
      <c r="AM636" s="262"/>
    </row>
    <row r="637" spans="1:39" x14ac:dyDescent="0.25">
      <c r="A637" s="215"/>
      <c r="B637" s="215"/>
      <c r="C637" s="215"/>
      <c r="D637" s="239"/>
      <c r="E637" s="239"/>
      <c r="F637" s="239"/>
      <c r="G637" s="239"/>
      <c r="H637" s="239"/>
      <c r="I637" s="257"/>
      <c r="J637" s="240"/>
      <c r="K637" s="240"/>
      <c r="L637" s="240"/>
      <c r="M637" s="240"/>
      <c r="N637" s="240"/>
      <c r="O637" s="258"/>
      <c r="P637" s="224"/>
      <c r="Q637" s="224"/>
      <c r="R637" s="224"/>
      <c r="S637" s="224"/>
      <c r="T637" s="224"/>
      <c r="U637" s="259"/>
      <c r="V637" s="239"/>
      <c r="W637" s="239"/>
      <c r="X637" s="239"/>
      <c r="Y637" s="239"/>
      <c r="Z637" s="239"/>
      <c r="AA637" s="257"/>
      <c r="AB637" s="224"/>
      <c r="AC637" s="224"/>
      <c r="AD637" s="224"/>
      <c r="AE637" s="224"/>
      <c r="AF637" s="224"/>
      <c r="AG637" s="259"/>
      <c r="AH637" s="261"/>
      <c r="AI637" s="261"/>
      <c r="AJ637" s="261"/>
      <c r="AK637" s="261"/>
      <c r="AL637" s="261"/>
      <c r="AM637" s="262"/>
    </row>
    <row r="638" spans="1:39" x14ac:dyDescent="0.25">
      <c r="A638" s="215"/>
      <c r="B638" s="215"/>
      <c r="C638" s="215"/>
      <c r="D638" s="239"/>
      <c r="E638" s="239"/>
      <c r="F638" s="239"/>
      <c r="G638" s="239"/>
      <c r="H638" s="239"/>
      <c r="I638" s="257"/>
      <c r="J638" s="240"/>
      <c r="K638" s="240"/>
      <c r="L638" s="240"/>
      <c r="M638" s="240"/>
      <c r="N638" s="240"/>
      <c r="O638" s="258"/>
      <c r="P638" s="224"/>
      <c r="Q638" s="224"/>
      <c r="R638" s="224"/>
      <c r="S638" s="224"/>
      <c r="T638" s="224"/>
      <c r="U638" s="259"/>
      <c r="V638" s="239"/>
      <c r="W638" s="239"/>
      <c r="X638" s="239"/>
      <c r="Y638" s="239"/>
      <c r="Z638" s="239"/>
      <c r="AA638" s="257"/>
      <c r="AB638" s="224"/>
      <c r="AC638" s="224"/>
      <c r="AD638" s="224"/>
      <c r="AE638" s="224"/>
      <c r="AF638" s="224"/>
      <c r="AG638" s="259"/>
      <c r="AH638" s="261"/>
      <c r="AI638" s="261"/>
      <c r="AJ638" s="261"/>
      <c r="AK638" s="261"/>
      <c r="AL638" s="261"/>
      <c r="AM638" s="262"/>
    </row>
    <row r="639" spans="1:39" x14ac:dyDescent="0.25">
      <c r="A639" s="215"/>
      <c r="B639" s="215"/>
      <c r="C639" s="215"/>
      <c r="D639" s="239"/>
      <c r="E639" s="239"/>
      <c r="F639" s="239"/>
      <c r="G639" s="239"/>
      <c r="H639" s="239"/>
      <c r="I639" s="257"/>
      <c r="J639" s="240"/>
      <c r="K639" s="240"/>
      <c r="L639" s="240"/>
      <c r="M639" s="240"/>
      <c r="N639" s="240"/>
      <c r="O639" s="258"/>
      <c r="P639" s="224"/>
      <c r="Q639" s="224"/>
      <c r="R639" s="224"/>
      <c r="S639" s="224"/>
      <c r="T639" s="224"/>
      <c r="U639" s="259"/>
      <c r="V639" s="239"/>
      <c r="W639" s="239"/>
      <c r="X639" s="239"/>
      <c r="Y639" s="239"/>
      <c r="Z639" s="239"/>
      <c r="AA639" s="257"/>
      <c r="AB639" s="224"/>
      <c r="AC639" s="224"/>
      <c r="AD639" s="224"/>
      <c r="AE639" s="224"/>
      <c r="AF639" s="224"/>
      <c r="AG639" s="259"/>
      <c r="AH639" s="261"/>
      <c r="AI639" s="261"/>
      <c r="AJ639" s="261"/>
      <c r="AK639" s="261"/>
      <c r="AL639" s="261"/>
      <c r="AM639" s="262"/>
    </row>
    <row r="640" spans="1:39" x14ac:dyDescent="0.25">
      <c r="A640" s="215"/>
      <c r="B640" s="215"/>
      <c r="C640" s="215"/>
      <c r="D640" s="239"/>
      <c r="E640" s="239"/>
      <c r="F640" s="239"/>
      <c r="G640" s="239"/>
      <c r="H640" s="239"/>
      <c r="I640" s="257"/>
      <c r="J640" s="240"/>
      <c r="K640" s="240"/>
      <c r="L640" s="240"/>
      <c r="M640" s="240"/>
      <c r="N640" s="240"/>
      <c r="O640" s="258"/>
      <c r="P640" s="224"/>
      <c r="Q640" s="224"/>
      <c r="R640" s="224"/>
      <c r="S640" s="224"/>
      <c r="T640" s="224"/>
      <c r="U640" s="259"/>
      <c r="V640" s="239"/>
      <c r="W640" s="239"/>
      <c r="X640" s="239"/>
      <c r="Y640" s="239"/>
      <c r="Z640" s="239"/>
      <c r="AA640" s="257"/>
      <c r="AB640" s="224"/>
      <c r="AC640" s="224"/>
      <c r="AD640" s="224"/>
      <c r="AE640" s="224"/>
      <c r="AF640" s="224"/>
      <c r="AG640" s="259"/>
      <c r="AH640" s="261"/>
      <c r="AI640" s="261"/>
      <c r="AJ640" s="261"/>
      <c r="AK640" s="261"/>
      <c r="AL640" s="261"/>
      <c r="AM640" s="262"/>
    </row>
    <row r="641" spans="1:39" x14ac:dyDescent="0.25">
      <c r="A641" s="215"/>
      <c r="B641" s="215"/>
      <c r="C641" s="215"/>
      <c r="D641" s="239"/>
      <c r="E641" s="239"/>
      <c r="F641" s="239"/>
      <c r="G641" s="239"/>
      <c r="H641" s="239"/>
      <c r="I641" s="257"/>
      <c r="J641" s="240"/>
      <c r="K641" s="240"/>
      <c r="L641" s="240"/>
      <c r="M641" s="240"/>
      <c r="N641" s="240"/>
      <c r="O641" s="258"/>
      <c r="P641" s="224"/>
      <c r="Q641" s="224"/>
      <c r="R641" s="224"/>
      <c r="S641" s="224"/>
      <c r="T641" s="224"/>
      <c r="U641" s="259"/>
      <c r="V641" s="239"/>
      <c r="W641" s="239"/>
      <c r="X641" s="239"/>
      <c r="Y641" s="239"/>
      <c r="Z641" s="239"/>
      <c r="AA641" s="257"/>
      <c r="AB641" s="224"/>
      <c r="AC641" s="224"/>
      <c r="AD641" s="224"/>
      <c r="AE641" s="224"/>
      <c r="AF641" s="224"/>
      <c r="AG641" s="259"/>
      <c r="AH641" s="261"/>
      <c r="AI641" s="261"/>
      <c r="AJ641" s="261"/>
      <c r="AK641" s="261"/>
      <c r="AL641" s="261"/>
      <c r="AM641" s="262"/>
    </row>
    <row r="642" spans="1:39" x14ac:dyDescent="0.25">
      <c r="A642" s="215"/>
      <c r="B642" s="215"/>
      <c r="C642" s="215"/>
      <c r="D642" s="239"/>
      <c r="E642" s="239"/>
      <c r="F642" s="239"/>
      <c r="G642" s="239"/>
      <c r="H642" s="239"/>
      <c r="I642" s="257"/>
      <c r="J642" s="240"/>
      <c r="K642" s="240"/>
      <c r="L642" s="240"/>
      <c r="M642" s="240"/>
      <c r="N642" s="240"/>
      <c r="O642" s="258"/>
      <c r="P642" s="224"/>
      <c r="Q642" s="224"/>
      <c r="R642" s="224"/>
      <c r="S642" s="224"/>
      <c r="T642" s="224"/>
      <c r="U642" s="259"/>
      <c r="V642" s="239"/>
      <c r="W642" s="239"/>
      <c r="X642" s="239"/>
      <c r="Y642" s="239"/>
      <c r="Z642" s="239"/>
      <c r="AA642" s="257"/>
      <c r="AB642" s="224"/>
      <c r="AC642" s="224"/>
      <c r="AD642" s="224"/>
      <c r="AE642" s="224"/>
      <c r="AF642" s="224"/>
      <c r="AG642" s="259"/>
      <c r="AH642" s="261"/>
      <c r="AI642" s="261"/>
      <c r="AJ642" s="261"/>
      <c r="AK642" s="261"/>
      <c r="AL642" s="261"/>
      <c r="AM642" s="262"/>
    </row>
    <row r="643" spans="1:39" x14ac:dyDescent="0.25">
      <c r="A643" s="215"/>
      <c r="B643" s="215"/>
      <c r="C643" s="215"/>
      <c r="D643" s="239"/>
      <c r="E643" s="239"/>
      <c r="F643" s="239"/>
      <c r="G643" s="239"/>
      <c r="H643" s="239"/>
      <c r="I643" s="257"/>
      <c r="J643" s="240"/>
      <c r="K643" s="240"/>
      <c r="L643" s="240"/>
      <c r="M643" s="240"/>
      <c r="N643" s="240"/>
      <c r="O643" s="258"/>
      <c r="P643" s="224"/>
      <c r="Q643" s="224"/>
      <c r="R643" s="224"/>
      <c r="S643" s="224"/>
      <c r="T643" s="224"/>
      <c r="U643" s="259"/>
      <c r="V643" s="239"/>
      <c r="W643" s="239"/>
      <c r="X643" s="239"/>
      <c r="Y643" s="239"/>
      <c r="Z643" s="239"/>
      <c r="AA643" s="257"/>
      <c r="AB643" s="224"/>
      <c r="AC643" s="224"/>
      <c r="AD643" s="224"/>
      <c r="AE643" s="224"/>
      <c r="AF643" s="224"/>
      <c r="AG643" s="259"/>
      <c r="AH643" s="261"/>
      <c r="AI643" s="261"/>
      <c r="AJ643" s="261"/>
      <c r="AK643" s="261"/>
      <c r="AL643" s="261"/>
      <c r="AM643" s="262"/>
    </row>
    <row r="644" spans="1:39" x14ac:dyDescent="0.25">
      <c r="A644" s="215"/>
      <c r="B644" s="215"/>
      <c r="C644" s="215"/>
      <c r="D644" s="239"/>
      <c r="E644" s="239"/>
      <c r="F644" s="239"/>
      <c r="G644" s="239"/>
      <c r="H644" s="239"/>
      <c r="I644" s="257"/>
      <c r="J644" s="240"/>
      <c r="K644" s="240"/>
      <c r="L644" s="240"/>
      <c r="M644" s="240"/>
      <c r="N644" s="240"/>
      <c r="O644" s="258"/>
      <c r="P644" s="224"/>
      <c r="Q644" s="224"/>
      <c r="R644" s="224"/>
      <c r="S644" s="224"/>
      <c r="T644" s="224"/>
      <c r="U644" s="259"/>
      <c r="V644" s="239"/>
      <c r="W644" s="239"/>
      <c r="X644" s="239"/>
      <c r="Y644" s="239"/>
      <c r="Z644" s="239"/>
      <c r="AA644" s="257"/>
      <c r="AB644" s="224"/>
      <c r="AC644" s="224"/>
      <c r="AD644" s="224"/>
      <c r="AE644" s="224"/>
      <c r="AF644" s="224"/>
      <c r="AG644" s="259"/>
      <c r="AH644" s="261"/>
      <c r="AI644" s="261"/>
      <c r="AJ644" s="261"/>
      <c r="AK644" s="261"/>
      <c r="AL644" s="261"/>
      <c r="AM644" s="262"/>
    </row>
    <row r="645" spans="1:39" x14ac:dyDescent="0.25">
      <c r="A645" s="215"/>
      <c r="B645" s="215"/>
      <c r="C645" s="215"/>
      <c r="D645" s="239"/>
      <c r="E645" s="239"/>
      <c r="F645" s="239"/>
      <c r="G645" s="239"/>
      <c r="H645" s="239"/>
      <c r="I645" s="257"/>
      <c r="J645" s="240"/>
      <c r="K645" s="240"/>
      <c r="L645" s="240"/>
      <c r="M645" s="240"/>
      <c r="N645" s="240"/>
      <c r="O645" s="258"/>
      <c r="P645" s="224"/>
      <c r="Q645" s="224"/>
      <c r="R645" s="224"/>
      <c r="S645" s="224"/>
      <c r="T645" s="224"/>
      <c r="U645" s="259"/>
      <c r="V645" s="239"/>
      <c r="W645" s="239"/>
      <c r="X645" s="239"/>
      <c r="Y645" s="239"/>
      <c r="Z645" s="239"/>
      <c r="AA645" s="257"/>
      <c r="AB645" s="224"/>
      <c r="AC645" s="224"/>
      <c r="AD645" s="224"/>
      <c r="AE645" s="224"/>
      <c r="AF645" s="224"/>
      <c r="AG645" s="259"/>
      <c r="AH645" s="261"/>
      <c r="AI645" s="261"/>
      <c r="AJ645" s="261"/>
      <c r="AK645" s="261"/>
      <c r="AL645" s="261"/>
      <c r="AM645" s="262"/>
    </row>
    <row r="646" spans="1:39" x14ac:dyDescent="0.25">
      <c r="A646" s="215"/>
      <c r="B646" s="215"/>
      <c r="C646" s="215"/>
      <c r="D646" s="239"/>
      <c r="E646" s="239"/>
      <c r="F646" s="239"/>
      <c r="G646" s="239"/>
      <c r="H646" s="239"/>
      <c r="I646" s="257"/>
      <c r="J646" s="240"/>
      <c r="K646" s="240"/>
      <c r="L646" s="240"/>
      <c r="M646" s="240"/>
      <c r="N646" s="240"/>
      <c r="O646" s="258"/>
      <c r="P646" s="224"/>
      <c r="Q646" s="224"/>
      <c r="R646" s="224"/>
      <c r="S646" s="224"/>
      <c r="T646" s="224"/>
      <c r="U646" s="259"/>
      <c r="V646" s="239"/>
      <c r="W646" s="239"/>
      <c r="X646" s="239"/>
      <c r="Y646" s="239"/>
      <c r="Z646" s="239"/>
      <c r="AA646" s="257"/>
      <c r="AB646" s="224"/>
      <c r="AC646" s="224"/>
      <c r="AD646" s="224"/>
      <c r="AE646" s="224"/>
      <c r="AF646" s="224"/>
      <c r="AG646" s="259"/>
      <c r="AH646" s="261"/>
      <c r="AI646" s="261"/>
      <c r="AJ646" s="261"/>
      <c r="AK646" s="261"/>
      <c r="AL646" s="261"/>
      <c r="AM646" s="262"/>
    </row>
    <row r="647" spans="1:39" x14ac:dyDescent="0.25">
      <c r="A647" s="215"/>
      <c r="B647" s="215"/>
      <c r="C647" s="215"/>
      <c r="D647" s="239"/>
      <c r="E647" s="239"/>
      <c r="F647" s="239"/>
      <c r="G647" s="239"/>
      <c r="H647" s="239"/>
      <c r="I647" s="257"/>
      <c r="J647" s="240"/>
      <c r="K647" s="240"/>
      <c r="L647" s="240"/>
      <c r="M647" s="240"/>
      <c r="N647" s="240"/>
      <c r="O647" s="258"/>
      <c r="P647" s="224"/>
      <c r="Q647" s="224"/>
      <c r="R647" s="224"/>
      <c r="S647" s="224"/>
      <c r="T647" s="224"/>
      <c r="U647" s="259"/>
      <c r="V647" s="239"/>
      <c r="W647" s="239"/>
      <c r="X647" s="239"/>
      <c r="Y647" s="239"/>
      <c r="Z647" s="239"/>
      <c r="AA647" s="257"/>
      <c r="AB647" s="224"/>
      <c r="AC647" s="224"/>
      <c r="AD647" s="224"/>
      <c r="AE647" s="224"/>
      <c r="AF647" s="224"/>
      <c r="AG647" s="259"/>
      <c r="AH647" s="261"/>
      <c r="AI647" s="261"/>
      <c r="AJ647" s="261"/>
      <c r="AK647" s="261"/>
      <c r="AL647" s="261"/>
      <c r="AM647" s="262"/>
    </row>
    <row r="648" spans="1:39" x14ac:dyDescent="0.25">
      <c r="A648" s="215"/>
      <c r="B648" s="215"/>
      <c r="C648" s="215"/>
      <c r="D648" s="239"/>
      <c r="E648" s="239"/>
      <c r="F648" s="239"/>
      <c r="G648" s="239"/>
      <c r="H648" s="239"/>
      <c r="I648" s="257"/>
      <c r="J648" s="240"/>
      <c r="K648" s="240"/>
      <c r="L648" s="240"/>
      <c r="M648" s="240"/>
      <c r="N648" s="240"/>
      <c r="O648" s="258"/>
      <c r="P648" s="224"/>
      <c r="Q648" s="224"/>
      <c r="R648" s="224"/>
      <c r="S648" s="224"/>
      <c r="T648" s="224"/>
      <c r="U648" s="259"/>
      <c r="V648" s="239"/>
      <c r="W648" s="239"/>
      <c r="X648" s="239"/>
      <c r="Y648" s="239"/>
      <c r="Z648" s="239"/>
      <c r="AA648" s="257"/>
      <c r="AB648" s="224"/>
      <c r="AC648" s="224"/>
      <c r="AD648" s="224"/>
      <c r="AE648" s="224"/>
      <c r="AF648" s="224"/>
      <c r="AG648" s="259"/>
      <c r="AH648" s="261"/>
      <c r="AI648" s="261"/>
      <c r="AJ648" s="261"/>
      <c r="AK648" s="261"/>
      <c r="AL648" s="261"/>
      <c r="AM648" s="262"/>
    </row>
    <row r="649" spans="1:39" x14ac:dyDescent="0.25">
      <c r="A649" s="215"/>
      <c r="B649" s="215"/>
      <c r="C649" s="215"/>
      <c r="D649" s="239"/>
      <c r="E649" s="239"/>
      <c r="F649" s="239"/>
      <c r="G649" s="239"/>
      <c r="H649" s="239"/>
      <c r="I649" s="257"/>
      <c r="J649" s="240"/>
      <c r="K649" s="240"/>
      <c r="L649" s="240"/>
      <c r="M649" s="240"/>
      <c r="N649" s="240"/>
      <c r="O649" s="258"/>
      <c r="P649" s="224"/>
      <c r="Q649" s="224"/>
      <c r="R649" s="224"/>
      <c r="S649" s="224"/>
      <c r="T649" s="224"/>
      <c r="U649" s="259"/>
      <c r="V649" s="239"/>
      <c r="W649" s="239"/>
      <c r="X649" s="239"/>
      <c r="Y649" s="239"/>
      <c r="Z649" s="239"/>
      <c r="AA649" s="257"/>
      <c r="AB649" s="224"/>
      <c r="AC649" s="224"/>
      <c r="AD649" s="224"/>
      <c r="AE649" s="224"/>
      <c r="AF649" s="224"/>
      <c r="AG649" s="259"/>
      <c r="AH649" s="261"/>
      <c r="AI649" s="261"/>
      <c r="AJ649" s="261"/>
      <c r="AK649" s="261"/>
      <c r="AL649" s="261"/>
      <c r="AM649" s="262"/>
    </row>
    <row r="650" spans="1:39" x14ac:dyDescent="0.25">
      <c r="A650" s="215"/>
      <c r="B650" s="215"/>
      <c r="C650" s="215"/>
      <c r="D650" s="239"/>
      <c r="E650" s="239"/>
      <c r="F650" s="239"/>
      <c r="G650" s="239"/>
      <c r="H650" s="239"/>
      <c r="I650" s="257"/>
      <c r="J650" s="240"/>
      <c r="K650" s="240"/>
      <c r="L650" s="240"/>
      <c r="M650" s="240"/>
      <c r="N650" s="240"/>
      <c r="O650" s="258"/>
      <c r="P650" s="224"/>
      <c r="Q650" s="224"/>
      <c r="R650" s="224"/>
      <c r="S650" s="224"/>
      <c r="T650" s="224"/>
      <c r="U650" s="259"/>
      <c r="V650" s="239"/>
      <c r="W650" s="239"/>
      <c r="X650" s="239"/>
      <c r="Y650" s="239"/>
      <c r="Z650" s="239"/>
      <c r="AA650" s="257"/>
      <c r="AB650" s="224"/>
      <c r="AC650" s="224"/>
      <c r="AD650" s="224"/>
      <c r="AE650" s="224"/>
      <c r="AF650" s="224"/>
      <c r="AG650" s="259"/>
      <c r="AH650" s="261"/>
      <c r="AI650" s="261"/>
      <c r="AJ650" s="261"/>
      <c r="AK650" s="261"/>
      <c r="AL650" s="261"/>
      <c r="AM650" s="262"/>
    </row>
    <row r="651" spans="1:39" x14ac:dyDescent="0.25">
      <c r="A651" s="215"/>
      <c r="B651" s="215"/>
      <c r="C651" s="215"/>
      <c r="D651" s="239"/>
      <c r="E651" s="239"/>
      <c r="F651" s="239"/>
      <c r="G651" s="239"/>
      <c r="H651" s="239"/>
      <c r="I651" s="257"/>
      <c r="J651" s="240"/>
      <c r="K651" s="240"/>
      <c r="L651" s="240"/>
      <c r="M651" s="240"/>
      <c r="N651" s="240"/>
      <c r="O651" s="258"/>
      <c r="P651" s="224"/>
      <c r="Q651" s="224"/>
      <c r="R651" s="224"/>
      <c r="S651" s="224"/>
      <c r="T651" s="224"/>
      <c r="U651" s="259"/>
      <c r="V651" s="239"/>
      <c r="W651" s="239"/>
      <c r="X651" s="239"/>
      <c r="Y651" s="239"/>
      <c r="Z651" s="239"/>
      <c r="AA651" s="257"/>
      <c r="AB651" s="224"/>
      <c r="AC651" s="224"/>
      <c r="AD651" s="224"/>
      <c r="AE651" s="224"/>
      <c r="AF651" s="224"/>
      <c r="AG651" s="259"/>
      <c r="AH651" s="261"/>
      <c r="AI651" s="261"/>
      <c r="AJ651" s="261"/>
      <c r="AK651" s="261"/>
      <c r="AL651" s="261"/>
      <c r="AM651" s="262"/>
    </row>
    <row r="652" spans="1:39" x14ac:dyDescent="0.25">
      <c r="A652" s="215"/>
      <c r="B652" s="215"/>
      <c r="C652" s="215"/>
      <c r="D652" s="239"/>
      <c r="E652" s="239"/>
      <c r="F652" s="239"/>
      <c r="G652" s="239"/>
      <c r="H652" s="239"/>
      <c r="I652" s="257"/>
      <c r="J652" s="240"/>
      <c r="K652" s="240"/>
      <c r="L652" s="240"/>
      <c r="M652" s="240"/>
      <c r="N652" s="240"/>
      <c r="O652" s="258"/>
      <c r="P652" s="224"/>
      <c r="Q652" s="224"/>
      <c r="R652" s="224"/>
      <c r="S652" s="224"/>
      <c r="T652" s="224"/>
      <c r="U652" s="259"/>
      <c r="V652" s="239"/>
      <c r="W652" s="239"/>
      <c r="X652" s="239"/>
      <c r="Y652" s="239"/>
      <c r="Z652" s="239"/>
      <c r="AA652" s="257"/>
      <c r="AB652" s="224"/>
      <c r="AC652" s="224"/>
      <c r="AD652" s="224"/>
      <c r="AE652" s="224"/>
      <c r="AF652" s="224"/>
      <c r="AG652" s="259"/>
      <c r="AH652" s="261"/>
      <c r="AI652" s="261"/>
      <c r="AJ652" s="261"/>
      <c r="AK652" s="261"/>
      <c r="AL652" s="261"/>
      <c r="AM652" s="262"/>
    </row>
    <row r="653" spans="1:39" x14ac:dyDescent="0.25">
      <c r="A653" s="215"/>
      <c r="B653" s="215"/>
      <c r="C653" s="215"/>
      <c r="D653" s="239"/>
      <c r="E653" s="239"/>
      <c r="F653" s="239"/>
      <c r="G653" s="239"/>
      <c r="H653" s="239"/>
      <c r="I653" s="257"/>
      <c r="J653" s="240"/>
      <c r="K653" s="240"/>
      <c r="L653" s="240"/>
      <c r="M653" s="240"/>
      <c r="N653" s="240"/>
      <c r="O653" s="258"/>
      <c r="P653" s="224"/>
      <c r="Q653" s="224"/>
      <c r="R653" s="224"/>
      <c r="S653" s="224"/>
      <c r="T653" s="224"/>
      <c r="U653" s="259"/>
      <c r="V653" s="239"/>
      <c r="W653" s="239"/>
      <c r="X653" s="239"/>
      <c r="Y653" s="239"/>
      <c r="Z653" s="239"/>
      <c r="AA653" s="257"/>
      <c r="AB653" s="224"/>
      <c r="AC653" s="224"/>
      <c r="AD653" s="224"/>
      <c r="AE653" s="224"/>
      <c r="AF653" s="224"/>
      <c r="AG653" s="259"/>
      <c r="AH653" s="261"/>
      <c r="AI653" s="261"/>
      <c r="AJ653" s="261"/>
      <c r="AK653" s="261"/>
      <c r="AL653" s="261"/>
      <c r="AM653" s="262"/>
    </row>
    <row r="654" spans="1:39" x14ac:dyDescent="0.25">
      <c r="A654" s="215"/>
      <c r="B654" s="215"/>
      <c r="C654" s="215"/>
      <c r="D654" s="239"/>
      <c r="E654" s="239"/>
      <c r="F654" s="239"/>
      <c r="G654" s="239"/>
      <c r="H654" s="239"/>
      <c r="I654" s="257"/>
      <c r="J654" s="240"/>
      <c r="K654" s="240"/>
      <c r="L654" s="240"/>
      <c r="M654" s="240"/>
      <c r="N654" s="240"/>
      <c r="O654" s="258"/>
      <c r="P654" s="224"/>
      <c r="Q654" s="224"/>
      <c r="R654" s="224"/>
      <c r="S654" s="224"/>
      <c r="T654" s="224"/>
      <c r="U654" s="259"/>
      <c r="V654" s="239"/>
      <c r="W654" s="239"/>
      <c r="X654" s="239"/>
      <c r="Y654" s="239"/>
      <c r="Z654" s="239"/>
      <c r="AA654" s="257"/>
      <c r="AB654" s="224"/>
      <c r="AC654" s="224"/>
      <c r="AD654" s="224"/>
      <c r="AE654" s="224"/>
      <c r="AF654" s="224"/>
      <c r="AG654" s="259"/>
      <c r="AH654" s="261"/>
      <c r="AI654" s="261"/>
      <c r="AJ654" s="261"/>
      <c r="AK654" s="261"/>
      <c r="AL654" s="261"/>
      <c r="AM654" s="262"/>
    </row>
    <row r="655" spans="1:39" x14ac:dyDescent="0.25">
      <c r="A655" s="215"/>
      <c r="B655" s="215"/>
      <c r="C655" s="215"/>
      <c r="D655" s="239"/>
      <c r="E655" s="239"/>
      <c r="F655" s="239"/>
      <c r="G655" s="239"/>
      <c r="H655" s="239"/>
      <c r="I655" s="257"/>
      <c r="J655" s="240"/>
      <c r="K655" s="240"/>
      <c r="L655" s="240"/>
      <c r="M655" s="240"/>
      <c r="N655" s="240"/>
      <c r="O655" s="258"/>
      <c r="P655" s="224"/>
      <c r="Q655" s="224"/>
      <c r="R655" s="224"/>
      <c r="S655" s="224"/>
      <c r="T655" s="224"/>
      <c r="U655" s="259"/>
      <c r="V655" s="239"/>
      <c r="W655" s="239"/>
      <c r="X655" s="239"/>
      <c r="Y655" s="239"/>
      <c r="Z655" s="239"/>
      <c r="AA655" s="257"/>
      <c r="AB655" s="224"/>
      <c r="AC655" s="224"/>
      <c r="AD655" s="224"/>
      <c r="AE655" s="224"/>
      <c r="AF655" s="224"/>
      <c r="AG655" s="259"/>
      <c r="AH655" s="261"/>
      <c r="AI655" s="261"/>
      <c r="AJ655" s="261"/>
      <c r="AK655" s="261"/>
      <c r="AL655" s="261"/>
      <c r="AM655" s="262"/>
    </row>
    <row r="656" spans="1:39" x14ac:dyDescent="0.25">
      <c r="A656" s="215"/>
      <c r="B656" s="215"/>
      <c r="C656" s="215"/>
      <c r="D656" s="239"/>
      <c r="E656" s="239"/>
      <c r="F656" s="239"/>
      <c r="G656" s="239"/>
      <c r="H656" s="239"/>
      <c r="I656" s="257"/>
      <c r="J656" s="240"/>
      <c r="K656" s="240"/>
      <c r="L656" s="240"/>
      <c r="M656" s="240"/>
      <c r="N656" s="240"/>
      <c r="O656" s="258"/>
      <c r="P656" s="224"/>
      <c r="Q656" s="224"/>
      <c r="R656" s="224"/>
      <c r="S656" s="224"/>
      <c r="T656" s="224"/>
      <c r="U656" s="259"/>
      <c r="V656" s="239"/>
      <c r="W656" s="239"/>
      <c r="X656" s="239"/>
      <c r="Y656" s="239"/>
      <c r="Z656" s="239"/>
      <c r="AA656" s="257"/>
      <c r="AB656" s="224"/>
      <c r="AC656" s="224"/>
      <c r="AD656" s="224"/>
      <c r="AE656" s="224"/>
      <c r="AF656" s="224"/>
      <c r="AG656" s="259"/>
      <c r="AH656" s="261"/>
      <c r="AI656" s="261"/>
      <c r="AJ656" s="261"/>
      <c r="AK656" s="261"/>
      <c r="AL656" s="261"/>
      <c r="AM656" s="262"/>
    </row>
    <row r="657" spans="1:39" x14ac:dyDescent="0.25">
      <c r="A657" s="215"/>
      <c r="B657" s="215"/>
      <c r="C657" s="215"/>
      <c r="D657" s="239"/>
      <c r="E657" s="239"/>
      <c r="F657" s="239"/>
      <c r="G657" s="239"/>
      <c r="H657" s="239"/>
      <c r="I657" s="257"/>
      <c r="J657" s="240"/>
      <c r="K657" s="240"/>
      <c r="L657" s="240"/>
      <c r="M657" s="240"/>
      <c r="N657" s="240"/>
      <c r="O657" s="258"/>
      <c r="P657" s="224"/>
      <c r="Q657" s="224"/>
      <c r="R657" s="224"/>
      <c r="S657" s="224"/>
      <c r="T657" s="224"/>
      <c r="U657" s="259"/>
      <c r="V657" s="239"/>
      <c r="W657" s="239"/>
      <c r="X657" s="239"/>
      <c r="Y657" s="239"/>
      <c r="Z657" s="239"/>
      <c r="AA657" s="257"/>
      <c r="AB657" s="224"/>
      <c r="AC657" s="224"/>
      <c r="AD657" s="224"/>
      <c r="AE657" s="224"/>
      <c r="AF657" s="224"/>
      <c r="AG657" s="259"/>
      <c r="AH657" s="261"/>
      <c r="AI657" s="261"/>
      <c r="AJ657" s="261"/>
      <c r="AK657" s="261"/>
      <c r="AL657" s="261"/>
      <c r="AM657" s="262"/>
    </row>
    <row r="658" spans="1:39" x14ac:dyDescent="0.25">
      <c r="A658" s="215"/>
      <c r="B658" s="215"/>
      <c r="C658" s="215"/>
      <c r="D658" s="239"/>
      <c r="E658" s="239"/>
      <c r="F658" s="239"/>
      <c r="G658" s="239"/>
      <c r="H658" s="239"/>
      <c r="I658" s="257"/>
      <c r="J658" s="240"/>
      <c r="K658" s="240"/>
      <c r="L658" s="240"/>
      <c r="M658" s="240"/>
      <c r="N658" s="240"/>
      <c r="O658" s="258"/>
      <c r="P658" s="224"/>
      <c r="Q658" s="224"/>
      <c r="R658" s="224"/>
      <c r="S658" s="224"/>
      <c r="T658" s="224"/>
      <c r="U658" s="259"/>
      <c r="V658" s="239"/>
      <c r="W658" s="239"/>
      <c r="X658" s="239"/>
      <c r="Y658" s="239"/>
      <c r="Z658" s="239"/>
      <c r="AA658" s="257"/>
      <c r="AB658" s="224"/>
      <c r="AC658" s="224"/>
      <c r="AD658" s="224"/>
      <c r="AE658" s="224"/>
      <c r="AF658" s="224"/>
      <c r="AG658" s="259"/>
      <c r="AH658" s="261"/>
      <c r="AI658" s="261"/>
      <c r="AJ658" s="261"/>
      <c r="AK658" s="261"/>
      <c r="AL658" s="261"/>
      <c r="AM658" s="262"/>
    </row>
    <row r="659" spans="1:39" x14ac:dyDescent="0.25">
      <c r="A659" s="215"/>
      <c r="B659" s="215"/>
      <c r="C659" s="215"/>
      <c r="D659" s="239"/>
      <c r="E659" s="239"/>
      <c r="F659" s="239"/>
      <c r="G659" s="239"/>
      <c r="H659" s="239"/>
      <c r="I659" s="257"/>
      <c r="J659" s="240"/>
      <c r="K659" s="240"/>
      <c r="L659" s="240"/>
      <c r="M659" s="240"/>
      <c r="N659" s="240"/>
      <c r="O659" s="258"/>
      <c r="P659" s="224"/>
      <c r="Q659" s="224"/>
      <c r="R659" s="224"/>
      <c r="S659" s="224"/>
      <c r="T659" s="224"/>
      <c r="U659" s="259"/>
      <c r="V659" s="239"/>
      <c r="W659" s="239"/>
      <c r="X659" s="239"/>
      <c r="Y659" s="239"/>
      <c r="Z659" s="239"/>
      <c r="AA659" s="257"/>
      <c r="AB659" s="224"/>
      <c r="AC659" s="224"/>
      <c r="AD659" s="224"/>
      <c r="AE659" s="224"/>
      <c r="AF659" s="224"/>
      <c r="AG659" s="259"/>
      <c r="AH659" s="261"/>
      <c r="AI659" s="261"/>
      <c r="AJ659" s="261"/>
      <c r="AK659" s="261"/>
      <c r="AL659" s="261"/>
      <c r="AM659" s="262"/>
    </row>
    <row r="660" spans="1:39" x14ac:dyDescent="0.25">
      <c r="A660" s="215"/>
      <c r="B660" s="215"/>
      <c r="C660" s="215"/>
      <c r="D660" s="239"/>
      <c r="E660" s="239"/>
      <c r="F660" s="239"/>
      <c r="G660" s="239"/>
      <c r="H660" s="239"/>
      <c r="I660" s="257"/>
      <c r="J660" s="240"/>
      <c r="K660" s="240"/>
      <c r="L660" s="240"/>
      <c r="M660" s="240"/>
      <c r="N660" s="240"/>
      <c r="O660" s="258"/>
      <c r="P660" s="224"/>
      <c r="Q660" s="224"/>
      <c r="R660" s="224"/>
      <c r="S660" s="224"/>
      <c r="T660" s="224"/>
      <c r="U660" s="259"/>
      <c r="V660" s="239"/>
      <c r="W660" s="239"/>
      <c r="X660" s="239"/>
      <c r="Y660" s="239"/>
      <c r="Z660" s="239"/>
      <c r="AA660" s="257"/>
      <c r="AB660" s="224"/>
      <c r="AC660" s="224"/>
      <c r="AD660" s="224"/>
      <c r="AE660" s="224"/>
      <c r="AF660" s="224"/>
      <c r="AG660" s="259"/>
      <c r="AH660" s="261"/>
      <c r="AI660" s="261"/>
      <c r="AJ660" s="261"/>
      <c r="AK660" s="261"/>
      <c r="AL660" s="261"/>
      <c r="AM660" s="262"/>
    </row>
    <row r="661" spans="1:39" x14ac:dyDescent="0.25">
      <c r="A661" s="215"/>
      <c r="B661" s="215"/>
      <c r="C661" s="215"/>
      <c r="D661" s="239"/>
      <c r="E661" s="239"/>
      <c r="F661" s="239"/>
      <c r="G661" s="239"/>
      <c r="H661" s="239"/>
      <c r="I661" s="257"/>
      <c r="J661" s="240"/>
      <c r="K661" s="240"/>
      <c r="L661" s="240"/>
      <c r="M661" s="240"/>
      <c r="N661" s="240"/>
      <c r="O661" s="258"/>
      <c r="P661" s="224"/>
      <c r="Q661" s="224"/>
      <c r="R661" s="224"/>
      <c r="S661" s="224"/>
      <c r="T661" s="224"/>
      <c r="U661" s="259"/>
      <c r="V661" s="239"/>
      <c r="W661" s="239"/>
      <c r="X661" s="239"/>
      <c r="Y661" s="239"/>
      <c r="Z661" s="239"/>
      <c r="AA661" s="257"/>
      <c r="AB661" s="224"/>
      <c r="AC661" s="224"/>
      <c r="AD661" s="224"/>
      <c r="AE661" s="224"/>
      <c r="AF661" s="224"/>
      <c r="AG661" s="259"/>
      <c r="AH661" s="261"/>
      <c r="AI661" s="261"/>
      <c r="AJ661" s="261"/>
      <c r="AK661" s="261"/>
      <c r="AL661" s="261"/>
      <c r="AM661" s="262"/>
    </row>
    <row r="662" spans="1:39" x14ac:dyDescent="0.25">
      <c r="A662" s="215"/>
      <c r="B662" s="215"/>
      <c r="C662" s="215"/>
      <c r="D662" s="239"/>
      <c r="E662" s="239"/>
      <c r="F662" s="239"/>
      <c r="G662" s="239"/>
      <c r="H662" s="239"/>
      <c r="I662" s="257"/>
      <c r="J662" s="240"/>
      <c r="K662" s="240"/>
      <c r="L662" s="240"/>
      <c r="M662" s="240"/>
      <c r="N662" s="240"/>
      <c r="O662" s="258"/>
      <c r="P662" s="224"/>
      <c r="Q662" s="224"/>
      <c r="R662" s="224"/>
      <c r="S662" s="224"/>
      <c r="T662" s="224"/>
      <c r="U662" s="259"/>
      <c r="V662" s="239"/>
      <c r="W662" s="239"/>
      <c r="X662" s="239"/>
      <c r="Y662" s="239"/>
      <c r="Z662" s="239"/>
      <c r="AA662" s="257"/>
      <c r="AB662" s="224"/>
      <c r="AC662" s="224"/>
      <c r="AD662" s="224"/>
      <c r="AE662" s="224"/>
      <c r="AF662" s="224"/>
      <c r="AG662" s="259"/>
      <c r="AH662" s="261"/>
      <c r="AI662" s="261"/>
      <c r="AJ662" s="261"/>
      <c r="AK662" s="261"/>
      <c r="AL662" s="261"/>
      <c r="AM662" s="262"/>
    </row>
    <row r="663" spans="1:39" x14ac:dyDescent="0.25">
      <c r="A663" s="215"/>
      <c r="B663" s="215"/>
      <c r="C663" s="215"/>
      <c r="D663" s="239"/>
      <c r="E663" s="239"/>
      <c r="F663" s="239"/>
      <c r="G663" s="239"/>
      <c r="H663" s="239"/>
      <c r="I663" s="257"/>
      <c r="J663" s="240"/>
      <c r="K663" s="240"/>
      <c r="L663" s="240"/>
      <c r="M663" s="240"/>
      <c r="N663" s="240"/>
      <c r="O663" s="258"/>
      <c r="P663" s="224"/>
      <c r="Q663" s="224"/>
      <c r="R663" s="224"/>
      <c r="S663" s="224"/>
      <c r="T663" s="224"/>
      <c r="U663" s="259"/>
      <c r="V663" s="239"/>
      <c r="W663" s="239"/>
      <c r="X663" s="239"/>
      <c r="Y663" s="239"/>
      <c r="Z663" s="239"/>
      <c r="AA663" s="257"/>
      <c r="AB663" s="224"/>
      <c r="AC663" s="224"/>
      <c r="AD663" s="224"/>
      <c r="AE663" s="224"/>
      <c r="AF663" s="224"/>
      <c r="AG663" s="259"/>
      <c r="AH663" s="261"/>
      <c r="AI663" s="261"/>
      <c r="AJ663" s="261"/>
      <c r="AK663" s="261"/>
      <c r="AL663" s="261"/>
      <c r="AM663" s="262"/>
    </row>
    <row r="664" spans="1:39" x14ac:dyDescent="0.25">
      <c r="A664" s="215"/>
      <c r="B664" s="215"/>
      <c r="C664" s="215"/>
      <c r="D664" s="239"/>
      <c r="E664" s="239"/>
      <c r="F664" s="239"/>
      <c r="G664" s="239"/>
      <c r="H664" s="239"/>
      <c r="I664" s="257"/>
      <c r="J664" s="240"/>
      <c r="K664" s="240"/>
      <c r="L664" s="240"/>
      <c r="M664" s="240"/>
      <c r="N664" s="240"/>
      <c r="O664" s="258"/>
      <c r="P664" s="224"/>
      <c r="Q664" s="224"/>
      <c r="R664" s="224"/>
      <c r="S664" s="224"/>
      <c r="T664" s="224"/>
      <c r="U664" s="259"/>
      <c r="V664" s="239"/>
      <c r="W664" s="239"/>
      <c r="X664" s="239"/>
      <c r="Y664" s="239"/>
      <c r="Z664" s="239"/>
      <c r="AA664" s="257"/>
      <c r="AB664" s="224"/>
      <c r="AC664" s="224"/>
      <c r="AD664" s="224"/>
      <c r="AE664" s="224"/>
      <c r="AF664" s="224"/>
      <c r="AG664" s="259"/>
      <c r="AH664" s="261"/>
      <c r="AI664" s="261"/>
      <c r="AJ664" s="261"/>
      <c r="AK664" s="261"/>
      <c r="AL664" s="261"/>
      <c r="AM664" s="262"/>
    </row>
    <row r="665" spans="1:39" x14ac:dyDescent="0.25">
      <c r="A665" s="215"/>
      <c r="B665" s="215"/>
      <c r="C665" s="215"/>
      <c r="D665" s="239"/>
      <c r="E665" s="239"/>
      <c r="F665" s="239"/>
      <c r="G665" s="239"/>
      <c r="H665" s="239"/>
      <c r="I665" s="257"/>
      <c r="J665" s="240"/>
      <c r="K665" s="240"/>
      <c r="L665" s="240"/>
      <c r="M665" s="240"/>
      <c r="N665" s="240"/>
      <c r="O665" s="258"/>
      <c r="P665" s="224"/>
      <c r="Q665" s="224"/>
      <c r="R665" s="224"/>
      <c r="S665" s="224"/>
      <c r="T665" s="224"/>
      <c r="U665" s="259"/>
      <c r="V665" s="239"/>
      <c r="W665" s="239"/>
      <c r="X665" s="239"/>
      <c r="Y665" s="239"/>
      <c r="Z665" s="239"/>
      <c r="AA665" s="257"/>
      <c r="AB665" s="224"/>
      <c r="AC665" s="224"/>
      <c r="AD665" s="224"/>
      <c r="AE665" s="224"/>
      <c r="AF665" s="224"/>
      <c r="AG665" s="259"/>
      <c r="AH665" s="261"/>
      <c r="AI665" s="261"/>
      <c r="AJ665" s="261"/>
      <c r="AK665" s="261"/>
      <c r="AL665" s="261"/>
      <c r="AM665" s="262"/>
    </row>
    <row r="666" spans="1:39" x14ac:dyDescent="0.25">
      <c r="A666" s="215"/>
      <c r="B666" s="215"/>
      <c r="C666" s="215"/>
      <c r="D666" s="239"/>
      <c r="E666" s="239"/>
      <c r="F666" s="239"/>
      <c r="G666" s="239"/>
      <c r="H666" s="239"/>
      <c r="I666" s="257"/>
      <c r="J666" s="240"/>
      <c r="K666" s="240"/>
      <c r="L666" s="240"/>
      <c r="M666" s="240"/>
      <c r="N666" s="240"/>
      <c r="O666" s="258"/>
      <c r="P666" s="224"/>
      <c r="Q666" s="224"/>
      <c r="R666" s="224"/>
      <c r="S666" s="224"/>
      <c r="T666" s="224"/>
      <c r="U666" s="259"/>
      <c r="V666" s="239"/>
      <c r="W666" s="239"/>
      <c r="X666" s="239"/>
      <c r="Y666" s="239"/>
      <c r="Z666" s="239"/>
      <c r="AA666" s="257"/>
      <c r="AB666" s="224"/>
      <c r="AC666" s="224"/>
      <c r="AD666" s="224"/>
      <c r="AE666" s="224"/>
      <c r="AF666" s="224"/>
      <c r="AG666" s="259"/>
      <c r="AH666" s="261"/>
      <c r="AI666" s="261"/>
      <c r="AJ666" s="261"/>
      <c r="AK666" s="261"/>
      <c r="AL666" s="261"/>
      <c r="AM666" s="262"/>
    </row>
    <row r="667" spans="1:39" x14ac:dyDescent="0.25">
      <c r="A667" s="215"/>
      <c r="B667" s="215"/>
      <c r="C667" s="215"/>
      <c r="D667" s="239"/>
      <c r="E667" s="239"/>
      <c r="F667" s="239"/>
      <c r="G667" s="239"/>
      <c r="H667" s="239"/>
      <c r="I667" s="257"/>
      <c r="J667" s="240"/>
      <c r="K667" s="240"/>
      <c r="L667" s="240"/>
      <c r="M667" s="240"/>
      <c r="N667" s="240"/>
      <c r="O667" s="258"/>
      <c r="P667" s="224"/>
      <c r="Q667" s="224"/>
      <c r="R667" s="224"/>
      <c r="S667" s="224"/>
      <c r="T667" s="224"/>
      <c r="U667" s="259"/>
      <c r="V667" s="239"/>
      <c r="W667" s="239"/>
      <c r="X667" s="239"/>
      <c r="Y667" s="239"/>
      <c r="Z667" s="239"/>
      <c r="AA667" s="257"/>
      <c r="AB667" s="224"/>
      <c r="AC667" s="224"/>
      <c r="AD667" s="224"/>
      <c r="AE667" s="224"/>
      <c r="AF667" s="224"/>
      <c r="AG667" s="259"/>
      <c r="AH667" s="261"/>
      <c r="AI667" s="261"/>
      <c r="AJ667" s="261"/>
      <c r="AK667" s="261"/>
      <c r="AL667" s="261"/>
      <c r="AM667" s="262"/>
    </row>
    <row r="668" spans="1:39" x14ac:dyDescent="0.25">
      <c r="A668" s="215"/>
      <c r="B668" s="215"/>
      <c r="C668" s="215"/>
      <c r="D668" s="239"/>
      <c r="E668" s="239"/>
      <c r="F668" s="239"/>
      <c r="G668" s="239"/>
      <c r="H668" s="239"/>
      <c r="I668" s="257"/>
      <c r="J668" s="240"/>
      <c r="K668" s="240"/>
      <c r="L668" s="240"/>
      <c r="M668" s="240"/>
      <c r="N668" s="240"/>
      <c r="O668" s="258"/>
      <c r="P668" s="224"/>
      <c r="Q668" s="224"/>
      <c r="R668" s="224"/>
      <c r="S668" s="224"/>
      <c r="T668" s="224"/>
      <c r="U668" s="259"/>
      <c r="V668" s="239"/>
      <c r="W668" s="239"/>
      <c r="X668" s="239"/>
      <c r="Y668" s="239"/>
      <c r="Z668" s="239"/>
      <c r="AA668" s="257"/>
      <c r="AB668" s="224"/>
      <c r="AC668" s="224"/>
      <c r="AD668" s="224"/>
      <c r="AE668" s="224"/>
      <c r="AF668" s="224"/>
      <c r="AG668" s="259"/>
      <c r="AH668" s="261"/>
      <c r="AI668" s="261"/>
      <c r="AJ668" s="261"/>
      <c r="AK668" s="261"/>
      <c r="AL668" s="261"/>
      <c r="AM668" s="262"/>
    </row>
    <row r="669" spans="1:39" x14ac:dyDescent="0.25">
      <c r="A669" s="215"/>
      <c r="B669" s="215"/>
      <c r="C669" s="215"/>
      <c r="D669" s="239"/>
      <c r="E669" s="239"/>
      <c r="F669" s="239"/>
      <c r="G669" s="239"/>
      <c r="H669" s="239"/>
      <c r="I669" s="257"/>
      <c r="J669" s="240"/>
      <c r="K669" s="240"/>
      <c r="L669" s="240"/>
      <c r="M669" s="240"/>
      <c r="N669" s="240"/>
      <c r="O669" s="258"/>
      <c r="P669" s="224"/>
      <c r="Q669" s="224"/>
      <c r="R669" s="224"/>
      <c r="S669" s="224"/>
      <c r="T669" s="224"/>
      <c r="U669" s="259"/>
      <c r="V669" s="239"/>
      <c r="W669" s="239"/>
      <c r="X669" s="239"/>
      <c r="Y669" s="239"/>
      <c r="Z669" s="239"/>
      <c r="AA669" s="257"/>
      <c r="AB669" s="224"/>
      <c r="AC669" s="224"/>
      <c r="AD669" s="224"/>
      <c r="AE669" s="224"/>
      <c r="AF669" s="224"/>
      <c r="AG669" s="259"/>
      <c r="AH669" s="261"/>
      <c r="AI669" s="261"/>
      <c r="AJ669" s="261"/>
      <c r="AK669" s="261"/>
      <c r="AL669" s="261"/>
      <c r="AM669" s="262"/>
    </row>
    <row r="670" spans="1:39" x14ac:dyDescent="0.25">
      <c r="A670" s="215"/>
      <c r="B670" s="215"/>
      <c r="C670" s="215"/>
      <c r="D670" s="239"/>
      <c r="E670" s="239"/>
      <c r="F670" s="239"/>
      <c r="G670" s="239"/>
      <c r="H670" s="239"/>
      <c r="I670" s="257"/>
      <c r="J670" s="240"/>
      <c r="K670" s="240"/>
      <c r="L670" s="240"/>
      <c r="M670" s="240"/>
      <c r="N670" s="240"/>
      <c r="O670" s="258"/>
      <c r="P670" s="224"/>
      <c r="Q670" s="224"/>
      <c r="R670" s="224"/>
      <c r="S670" s="224"/>
      <c r="T670" s="224"/>
      <c r="U670" s="259"/>
      <c r="V670" s="239"/>
      <c r="W670" s="239"/>
      <c r="X670" s="239"/>
      <c r="Y670" s="239"/>
      <c r="Z670" s="239"/>
      <c r="AA670" s="257"/>
      <c r="AB670" s="224"/>
      <c r="AC670" s="224"/>
      <c r="AD670" s="224"/>
      <c r="AE670" s="224"/>
      <c r="AF670" s="224"/>
      <c r="AG670" s="259"/>
      <c r="AH670" s="261"/>
      <c r="AI670" s="261"/>
      <c r="AJ670" s="261"/>
      <c r="AK670" s="261"/>
      <c r="AL670" s="261"/>
      <c r="AM670" s="262"/>
    </row>
    <row r="671" spans="1:39" x14ac:dyDescent="0.25">
      <c r="A671" s="215"/>
      <c r="B671" s="215"/>
      <c r="C671" s="215"/>
      <c r="D671" s="239"/>
      <c r="E671" s="239"/>
      <c r="F671" s="239"/>
      <c r="G671" s="239"/>
      <c r="H671" s="239"/>
      <c r="I671" s="257"/>
      <c r="J671" s="240"/>
      <c r="K671" s="240"/>
      <c r="L671" s="240"/>
      <c r="M671" s="240"/>
      <c r="N671" s="240"/>
      <c r="O671" s="258"/>
      <c r="P671" s="224"/>
      <c r="Q671" s="224"/>
      <c r="R671" s="224"/>
      <c r="S671" s="224"/>
      <c r="T671" s="224"/>
      <c r="U671" s="259"/>
      <c r="V671" s="239"/>
      <c r="W671" s="239"/>
      <c r="X671" s="239"/>
      <c r="Y671" s="239"/>
      <c r="Z671" s="239"/>
      <c r="AA671" s="257"/>
      <c r="AB671" s="224"/>
      <c r="AC671" s="224"/>
      <c r="AD671" s="224"/>
      <c r="AE671" s="224"/>
      <c r="AF671" s="224"/>
      <c r="AG671" s="259"/>
      <c r="AH671" s="261"/>
      <c r="AI671" s="261"/>
      <c r="AJ671" s="261"/>
      <c r="AK671" s="261"/>
      <c r="AL671" s="261"/>
      <c r="AM671" s="262"/>
    </row>
    <row r="672" spans="1:39" x14ac:dyDescent="0.25">
      <c r="A672" s="215"/>
      <c r="B672" s="215"/>
      <c r="C672" s="215"/>
      <c r="D672" s="239"/>
      <c r="E672" s="239"/>
      <c r="F672" s="239"/>
      <c r="G672" s="239"/>
      <c r="H672" s="239"/>
      <c r="I672" s="257"/>
      <c r="J672" s="240"/>
      <c r="K672" s="240"/>
      <c r="L672" s="240"/>
      <c r="M672" s="240"/>
      <c r="N672" s="240"/>
      <c r="O672" s="258"/>
      <c r="P672" s="224"/>
      <c r="Q672" s="224"/>
      <c r="R672" s="224"/>
      <c r="S672" s="224"/>
      <c r="T672" s="224"/>
      <c r="U672" s="259"/>
      <c r="V672" s="239"/>
      <c r="W672" s="239"/>
      <c r="X672" s="239"/>
      <c r="Y672" s="239"/>
      <c r="Z672" s="239"/>
      <c r="AA672" s="257"/>
      <c r="AB672" s="224"/>
      <c r="AC672" s="224"/>
      <c r="AD672" s="224"/>
      <c r="AE672" s="224"/>
      <c r="AF672" s="224"/>
      <c r="AG672" s="259"/>
      <c r="AH672" s="261"/>
      <c r="AI672" s="261"/>
      <c r="AJ672" s="261"/>
      <c r="AK672" s="261"/>
      <c r="AL672" s="261"/>
      <c r="AM672" s="262"/>
    </row>
    <row r="673" spans="1:39" x14ac:dyDescent="0.25">
      <c r="A673" s="215"/>
      <c r="B673" s="215"/>
      <c r="C673" s="215"/>
      <c r="D673" s="239"/>
      <c r="E673" s="239"/>
      <c r="F673" s="239"/>
      <c r="G673" s="239"/>
      <c r="H673" s="239"/>
      <c r="I673" s="257"/>
      <c r="J673" s="240"/>
      <c r="K673" s="240"/>
      <c r="L673" s="240"/>
      <c r="M673" s="240"/>
      <c r="N673" s="240"/>
      <c r="O673" s="258"/>
      <c r="P673" s="224"/>
      <c r="Q673" s="224"/>
      <c r="R673" s="224"/>
      <c r="S673" s="224"/>
      <c r="T673" s="224"/>
      <c r="U673" s="259"/>
      <c r="V673" s="239"/>
      <c r="W673" s="239"/>
      <c r="X673" s="239"/>
      <c r="Y673" s="239"/>
      <c r="Z673" s="239"/>
      <c r="AA673" s="257"/>
      <c r="AB673" s="224"/>
      <c r="AC673" s="224"/>
      <c r="AD673" s="224"/>
      <c r="AE673" s="224"/>
      <c r="AF673" s="224"/>
      <c r="AG673" s="259"/>
      <c r="AH673" s="261"/>
      <c r="AI673" s="261"/>
      <c r="AJ673" s="261"/>
      <c r="AK673" s="261"/>
      <c r="AL673" s="261"/>
      <c r="AM673" s="262"/>
    </row>
    <row r="674" spans="1:39" x14ac:dyDescent="0.25">
      <c r="A674" s="215"/>
      <c r="B674" s="215"/>
      <c r="C674" s="215"/>
      <c r="D674" s="239"/>
      <c r="E674" s="239"/>
      <c r="F674" s="239"/>
      <c r="G674" s="239"/>
      <c r="H674" s="239"/>
      <c r="I674" s="257"/>
      <c r="J674" s="240"/>
      <c r="K674" s="240"/>
      <c r="L674" s="240"/>
      <c r="M674" s="240"/>
      <c r="N674" s="240"/>
      <c r="O674" s="258"/>
      <c r="P674" s="224"/>
      <c r="Q674" s="224"/>
      <c r="R674" s="224"/>
      <c r="S674" s="224"/>
      <c r="T674" s="224"/>
      <c r="U674" s="259"/>
      <c r="V674" s="239"/>
      <c r="W674" s="239"/>
      <c r="X674" s="239"/>
      <c r="Y674" s="239"/>
      <c r="Z674" s="239"/>
      <c r="AA674" s="257"/>
      <c r="AB674" s="224"/>
      <c r="AC674" s="224"/>
      <c r="AD674" s="224"/>
      <c r="AE674" s="224"/>
      <c r="AF674" s="224"/>
      <c r="AG674" s="259"/>
      <c r="AH674" s="261"/>
      <c r="AI674" s="261"/>
      <c r="AJ674" s="261"/>
      <c r="AK674" s="261"/>
      <c r="AL674" s="261"/>
      <c r="AM674" s="262"/>
    </row>
    <row r="675" spans="1:39" x14ac:dyDescent="0.25">
      <c r="A675" s="215"/>
      <c r="B675" s="215"/>
      <c r="C675" s="215"/>
      <c r="D675" s="239"/>
      <c r="E675" s="239"/>
      <c r="F675" s="239"/>
      <c r="G675" s="239"/>
      <c r="H675" s="239"/>
      <c r="I675" s="257"/>
      <c r="J675" s="240"/>
      <c r="K675" s="240"/>
      <c r="L675" s="240"/>
      <c r="M675" s="240"/>
      <c r="N675" s="240"/>
      <c r="O675" s="258"/>
      <c r="P675" s="224"/>
      <c r="Q675" s="224"/>
      <c r="R675" s="224"/>
      <c r="S675" s="224"/>
      <c r="T675" s="224"/>
      <c r="U675" s="259"/>
      <c r="V675" s="239"/>
      <c r="W675" s="239"/>
      <c r="X675" s="239"/>
      <c r="Y675" s="239"/>
      <c r="Z675" s="239"/>
      <c r="AA675" s="257"/>
      <c r="AB675" s="224"/>
      <c r="AC675" s="224"/>
      <c r="AD675" s="224"/>
      <c r="AE675" s="224"/>
      <c r="AF675" s="224"/>
      <c r="AG675" s="259"/>
      <c r="AH675" s="261"/>
      <c r="AI675" s="261"/>
      <c r="AJ675" s="261"/>
      <c r="AK675" s="261"/>
      <c r="AL675" s="261"/>
      <c r="AM675" s="262"/>
    </row>
    <row r="676" spans="1:39" x14ac:dyDescent="0.25">
      <c r="A676" s="215"/>
      <c r="B676" s="215"/>
      <c r="C676" s="215"/>
      <c r="D676" s="239"/>
      <c r="E676" s="239"/>
      <c r="F676" s="239"/>
      <c r="G676" s="239"/>
      <c r="H676" s="239"/>
      <c r="I676" s="257"/>
      <c r="J676" s="240"/>
      <c r="K676" s="240"/>
      <c r="L676" s="240"/>
      <c r="M676" s="240"/>
      <c r="N676" s="240"/>
      <c r="O676" s="258"/>
      <c r="P676" s="224"/>
      <c r="Q676" s="224"/>
      <c r="R676" s="224"/>
      <c r="S676" s="224"/>
      <c r="T676" s="224"/>
      <c r="U676" s="259"/>
      <c r="V676" s="239"/>
      <c r="W676" s="239"/>
      <c r="X676" s="239"/>
      <c r="Y676" s="239"/>
      <c r="Z676" s="239"/>
      <c r="AA676" s="257"/>
      <c r="AB676" s="224"/>
      <c r="AC676" s="224"/>
      <c r="AD676" s="224"/>
      <c r="AE676" s="224"/>
      <c r="AF676" s="224"/>
      <c r="AG676" s="259"/>
      <c r="AH676" s="261"/>
      <c r="AI676" s="261"/>
      <c r="AJ676" s="261"/>
      <c r="AK676" s="261"/>
      <c r="AL676" s="261"/>
      <c r="AM676" s="262"/>
    </row>
    <row r="677" spans="1:39" x14ac:dyDescent="0.25">
      <c r="A677" s="215"/>
      <c r="B677" s="215"/>
      <c r="C677" s="215"/>
      <c r="D677" s="239"/>
      <c r="E677" s="239"/>
      <c r="F677" s="239"/>
      <c r="G677" s="239"/>
      <c r="H677" s="239"/>
      <c r="I677" s="257"/>
      <c r="J677" s="240"/>
      <c r="K677" s="240"/>
      <c r="L677" s="240"/>
      <c r="M677" s="240"/>
      <c r="N677" s="240"/>
      <c r="O677" s="258"/>
      <c r="P677" s="224"/>
      <c r="Q677" s="224"/>
      <c r="R677" s="224"/>
      <c r="S677" s="224"/>
      <c r="T677" s="224"/>
      <c r="U677" s="259"/>
      <c r="V677" s="239"/>
      <c r="W677" s="239"/>
      <c r="X677" s="239"/>
      <c r="Y677" s="239"/>
      <c r="Z677" s="239"/>
      <c r="AA677" s="257"/>
      <c r="AB677" s="224"/>
      <c r="AC677" s="224"/>
      <c r="AD677" s="224"/>
      <c r="AE677" s="224"/>
      <c r="AF677" s="224"/>
      <c r="AG677" s="259"/>
      <c r="AH677" s="261"/>
      <c r="AI677" s="261"/>
      <c r="AJ677" s="261"/>
      <c r="AK677" s="261"/>
      <c r="AL677" s="261"/>
      <c r="AM677" s="262"/>
    </row>
    <row r="678" spans="1:39" x14ac:dyDescent="0.25">
      <c r="A678" s="215"/>
      <c r="B678" s="215"/>
      <c r="C678" s="215"/>
      <c r="D678" s="239"/>
      <c r="E678" s="239"/>
      <c r="F678" s="239"/>
      <c r="G678" s="239"/>
      <c r="H678" s="239"/>
      <c r="I678" s="257"/>
      <c r="J678" s="240"/>
      <c r="K678" s="240"/>
      <c r="L678" s="240"/>
      <c r="M678" s="240"/>
      <c r="N678" s="240"/>
      <c r="O678" s="258"/>
      <c r="P678" s="224"/>
      <c r="Q678" s="224"/>
      <c r="R678" s="224"/>
      <c r="S678" s="224"/>
      <c r="T678" s="224"/>
      <c r="U678" s="259"/>
      <c r="V678" s="239"/>
      <c r="W678" s="239"/>
      <c r="X678" s="239"/>
      <c r="Y678" s="239"/>
      <c r="Z678" s="239"/>
      <c r="AA678" s="257"/>
      <c r="AB678" s="224"/>
      <c r="AC678" s="224"/>
      <c r="AD678" s="224"/>
      <c r="AE678" s="224"/>
      <c r="AF678" s="224"/>
      <c r="AG678" s="259"/>
      <c r="AH678" s="261"/>
      <c r="AI678" s="261"/>
      <c r="AJ678" s="261"/>
      <c r="AK678" s="261"/>
      <c r="AL678" s="261"/>
      <c r="AM678" s="262"/>
    </row>
    <row r="679" spans="1:39" x14ac:dyDescent="0.25">
      <c r="A679" s="215"/>
      <c r="B679" s="215"/>
      <c r="C679" s="215"/>
      <c r="D679" s="239"/>
      <c r="E679" s="239"/>
      <c r="F679" s="239"/>
      <c r="G679" s="239"/>
      <c r="H679" s="239"/>
      <c r="I679" s="257"/>
      <c r="J679" s="240"/>
      <c r="K679" s="240"/>
      <c r="L679" s="240"/>
      <c r="M679" s="240"/>
      <c r="N679" s="240"/>
      <c r="O679" s="258"/>
      <c r="P679" s="224"/>
      <c r="Q679" s="224"/>
      <c r="R679" s="224"/>
      <c r="S679" s="224"/>
      <c r="T679" s="224"/>
      <c r="U679" s="259"/>
      <c r="V679" s="239"/>
      <c r="W679" s="239"/>
      <c r="X679" s="239"/>
      <c r="Y679" s="239"/>
      <c r="Z679" s="239"/>
      <c r="AA679" s="257"/>
      <c r="AB679" s="224"/>
      <c r="AC679" s="224"/>
      <c r="AD679" s="224"/>
      <c r="AE679" s="224"/>
      <c r="AF679" s="224"/>
      <c r="AG679" s="259"/>
      <c r="AH679" s="261"/>
      <c r="AI679" s="261"/>
      <c r="AJ679" s="261"/>
      <c r="AK679" s="261"/>
      <c r="AL679" s="261"/>
      <c r="AM679" s="262"/>
    </row>
    <row r="680" spans="1:39" x14ac:dyDescent="0.25">
      <c r="A680" s="215"/>
      <c r="B680" s="215"/>
      <c r="C680" s="215"/>
      <c r="D680" s="239"/>
      <c r="E680" s="239"/>
      <c r="F680" s="239"/>
      <c r="G680" s="239"/>
      <c r="H680" s="239"/>
      <c r="I680" s="257"/>
      <c r="J680" s="240"/>
      <c r="K680" s="240"/>
      <c r="L680" s="240"/>
      <c r="M680" s="240"/>
      <c r="N680" s="240"/>
      <c r="O680" s="258"/>
      <c r="P680" s="224"/>
      <c r="Q680" s="224"/>
      <c r="R680" s="224"/>
      <c r="S680" s="224"/>
      <c r="T680" s="224"/>
      <c r="U680" s="259"/>
      <c r="V680" s="239"/>
      <c r="W680" s="239"/>
      <c r="X680" s="239"/>
      <c r="Y680" s="239"/>
      <c r="Z680" s="239"/>
      <c r="AA680" s="257"/>
      <c r="AB680" s="224"/>
      <c r="AC680" s="224"/>
      <c r="AD680" s="224"/>
      <c r="AE680" s="224"/>
      <c r="AF680" s="224"/>
      <c r="AG680" s="259"/>
      <c r="AH680" s="261"/>
      <c r="AI680" s="261"/>
      <c r="AJ680" s="261"/>
      <c r="AK680" s="261"/>
      <c r="AL680" s="261"/>
      <c r="AM680" s="262"/>
    </row>
    <row r="681" spans="1:39" x14ac:dyDescent="0.25">
      <c r="A681" s="215"/>
      <c r="B681" s="215"/>
      <c r="C681" s="215"/>
      <c r="D681" s="239"/>
      <c r="E681" s="239"/>
      <c r="F681" s="239"/>
      <c r="G681" s="239"/>
      <c r="H681" s="239"/>
      <c r="I681" s="257"/>
      <c r="J681" s="240"/>
      <c r="K681" s="240"/>
      <c r="L681" s="240"/>
      <c r="M681" s="240"/>
      <c r="N681" s="240"/>
      <c r="O681" s="258"/>
      <c r="P681" s="224"/>
      <c r="Q681" s="224"/>
      <c r="R681" s="224"/>
      <c r="S681" s="224"/>
      <c r="T681" s="224"/>
      <c r="U681" s="259"/>
      <c r="V681" s="239"/>
      <c r="W681" s="239"/>
      <c r="X681" s="239"/>
      <c r="Y681" s="239"/>
      <c r="Z681" s="239"/>
      <c r="AA681" s="257"/>
      <c r="AB681" s="224"/>
      <c r="AC681" s="224"/>
      <c r="AD681" s="224"/>
      <c r="AE681" s="224"/>
      <c r="AF681" s="224"/>
      <c r="AG681" s="259"/>
      <c r="AH681" s="261"/>
      <c r="AI681" s="261"/>
      <c r="AJ681" s="261"/>
      <c r="AK681" s="261"/>
      <c r="AL681" s="261"/>
      <c r="AM681" s="262"/>
    </row>
    <row r="682" spans="1:39" x14ac:dyDescent="0.25">
      <c r="A682" s="215"/>
      <c r="B682" s="215"/>
      <c r="C682" s="215"/>
      <c r="D682" s="239"/>
      <c r="E682" s="239"/>
      <c r="F682" s="239"/>
      <c r="G682" s="239"/>
      <c r="H682" s="239"/>
      <c r="I682" s="257"/>
      <c r="J682" s="240"/>
      <c r="K682" s="240"/>
      <c r="L682" s="240"/>
      <c r="M682" s="240"/>
      <c r="N682" s="240"/>
      <c r="O682" s="258"/>
      <c r="P682" s="224"/>
      <c r="Q682" s="224"/>
      <c r="R682" s="224"/>
      <c r="S682" s="224"/>
      <c r="T682" s="224"/>
      <c r="U682" s="259"/>
      <c r="V682" s="239"/>
      <c r="W682" s="239"/>
      <c r="X682" s="239"/>
      <c r="Y682" s="239"/>
      <c r="Z682" s="239"/>
      <c r="AA682" s="257"/>
      <c r="AB682" s="224"/>
      <c r="AC682" s="224"/>
      <c r="AD682" s="224"/>
      <c r="AE682" s="224"/>
      <c r="AF682" s="224"/>
      <c r="AG682" s="259"/>
      <c r="AH682" s="261"/>
      <c r="AI682" s="261"/>
      <c r="AJ682" s="261"/>
      <c r="AK682" s="261"/>
      <c r="AL682" s="261"/>
      <c r="AM682" s="262"/>
    </row>
    <row r="683" spans="1:39" x14ac:dyDescent="0.25">
      <c r="A683" s="215"/>
      <c r="B683" s="215"/>
      <c r="C683" s="215"/>
      <c r="D683" s="239"/>
      <c r="E683" s="239"/>
      <c r="F683" s="239"/>
      <c r="G683" s="239"/>
      <c r="H683" s="239"/>
      <c r="I683" s="257"/>
      <c r="J683" s="240"/>
      <c r="K683" s="240"/>
      <c r="L683" s="240"/>
      <c r="M683" s="240"/>
      <c r="N683" s="240"/>
      <c r="O683" s="258"/>
      <c r="P683" s="224"/>
      <c r="Q683" s="224"/>
      <c r="R683" s="224"/>
      <c r="S683" s="224"/>
      <c r="T683" s="224"/>
      <c r="U683" s="259"/>
      <c r="V683" s="239"/>
      <c r="W683" s="239"/>
      <c r="X683" s="239"/>
      <c r="Y683" s="239"/>
      <c r="Z683" s="239"/>
      <c r="AA683" s="257"/>
      <c r="AB683" s="224"/>
      <c r="AC683" s="224"/>
      <c r="AD683" s="224"/>
      <c r="AE683" s="224"/>
      <c r="AF683" s="224"/>
      <c r="AG683" s="259"/>
      <c r="AH683" s="261"/>
      <c r="AI683" s="261"/>
      <c r="AJ683" s="261"/>
      <c r="AK683" s="261"/>
      <c r="AL683" s="261"/>
      <c r="AM683" s="262"/>
    </row>
    <row r="684" spans="1:39" x14ac:dyDescent="0.25">
      <c r="A684" s="215"/>
      <c r="B684" s="215"/>
      <c r="C684" s="215"/>
      <c r="D684" s="239"/>
      <c r="E684" s="239"/>
      <c r="F684" s="239"/>
      <c r="G684" s="239"/>
      <c r="H684" s="239"/>
      <c r="I684" s="257"/>
      <c r="J684" s="240"/>
      <c r="K684" s="240"/>
      <c r="L684" s="240"/>
      <c r="M684" s="240"/>
      <c r="N684" s="240"/>
      <c r="O684" s="258"/>
      <c r="P684" s="224"/>
      <c r="Q684" s="224"/>
      <c r="R684" s="224"/>
      <c r="S684" s="224"/>
      <c r="T684" s="224"/>
      <c r="U684" s="259"/>
      <c r="V684" s="239"/>
      <c r="W684" s="239"/>
      <c r="X684" s="239"/>
      <c r="Y684" s="239"/>
      <c r="Z684" s="239"/>
      <c r="AA684" s="257"/>
      <c r="AB684" s="224"/>
      <c r="AC684" s="224"/>
      <c r="AD684" s="224"/>
      <c r="AE684" s="224"/>
      <c r="AF684" s="224"/>
      <c r="AG684" s="259"/>
      <c r="AH684" s="261"/>
      <c r="AI684" s="261"/>
      <c r="AJ684" s="261"/>
      <c r="AK684" s="261"/>
      <c r="AL684" s="261"/>
      <c r="AM684" s="262"/>
    </row>
    <row r="685" spans="1:39" x14ac:dyDescent="0.25">
      <c r="A685" s="215"/>
      <c r="B685" s="215"/>
      <c r="C685" s="215"/>
      <c r="D685" s="239"/>
      <c r="E685" s="239"/>
      <c r="F685" s="239"/>
      <c r="G685" s="239"/>
      <c r="H685" s="239"/>
      <c r="I685" s="257"/>
      <c r="J685" s="240"/>
      <c r="K685" s="240"/>
      <c r="L685" s="240"/>
      <c r="M685" s="240"/>
      <c r="N685" s="240"/>
      <c r="O685" s="258"/>
      <c r="P685" s="224"/>
      <c r="Q685" s="224"/>
      <c r="R685" s="224"/>
      <c r="S685" s="224"/>
      <c r="T685" s="224"/>
      <c r="U685" s="259"/>
      <c r="V685" s="239"/>
      <c r="W685" s="239"/>
      <c r="X685" s="239"/>
      <c r="Y685" s="239"/>
      <c r="Z685" s="239"/>
      <c r="AA685" s="257"/>
      <c r="AB685" s="224"/>
      <c r="AC685" s="224"/>
      <c r="AD685" s="224"/>
      <c r="AE685" s="224"/>
      <c r="AF685" s="224"/>
      <c r="AG685" s="259"/>
      <c r="AH685" s="261"/>
      <c r="AI685" s="261"/>
      <c r="AJ685" s="261"/>
      <c r="AK685" s="261"/>
      <c r="AL685" s="261"/>
      <c r="AM685" s="262"/>
    </row>
    <row r="686" spans="1:39" x14ac:dyDescent="0.25">
      <c r="A686" s="215"/>
      <c r="B686" s="215"/>
      <c r="C686" s="215"/>
      <c r="D686" s="239"/>
      <c r="E686" s="239"/>
      <c r="F686" s="239"/>
      <c r="G686" s="239"/>
      <c r="H686" s="239"/>
      <c r="I686" s="257"/>
      <c r="J686" s="240"/>
      <c r="K686" s="240"/>
      <c r="L686" s="240"/>
      <c r="M686" s="240"/>
      <c r="N686" s="240"/>
      <c r="O686" s="258"/>
      <c r="P686" s="224"/>
      <c r="Q686" s="224"/>
      <c r="R686" s="224"/>
      <c r="S686" s="224"/>
      <c r="T686" s="224"/>
      <c r="U686" s="259"/>
      <c r="V686" s="239"/>
      <c r="W686" s="239"/>
      <c r="X686" s="239"/>
      <c r="Y686" s="239"/>
      <c r="Z686" s="239"/>
      <c r="AA686" s="257"/>
      <c r="AB686" s="224"/>
      <c r="AC686" s="224"/>
      <c r="AD686" s="224"/>
      <c r="AE686" s="224"/>
      <c r="AF686" s="224"/>
      <c r="AG686" s="259"/>
      <c r="AH686" s="261"/>
      <c r="AI686" s="261"/>
      <c r="AJ686" s="261"/>
      <c r="AK686" s="261"/>
      <c r="AL686" s="261"/>
      <c r="AM686" s="262"/>
    </row>
    <row r="687" spans="1:39" x14ac:dyDescent="0.25">
      <c r="A687" s="215"/>
      <c r="B687" s="215"/>
      <c r="C687" s="215"/>
      <c r="D687" s="239"/>
      <c r="E687" s="239"/>
      <c r="F687" s="239"/>
      <c r="G687" s="239"/>
      <c r="H687" s="239"/>
      <c r="I687" s="257"/>
      <c r="J687" s="240"/>
      <c r="K687" s="240"/>
      <c r="L687" s="240"/>
      <c r="M687" s="240"/>
      <c r="N687" s="240"/>
      <c r="O687" s="258"/>
      <c r="P687" s="224"/>
      <c r="Q687" s="224"/>
      <c r="R687" s="224"/>
      <c r="S687" s="224"/>
      <c r="T687" s="224"/>
      <c r="U687" s="259"/>
      <c r="V687" s="239"/>
      <c r="W687" s="239"/>
      <c r="X687" s="239"/>
      <c r="Y687" s="239"/>
      <c r="Z687" s="239"/>
      <c r="AA687" s="257"/>
      <c r="AB687" s="224"/>
      <c r="AC687" s="224"/>
      <c r="AD687" s="224"/>
      <c r="AE687" s="224"/>
      <c r="AF687" s="224"/>
      <c r="AG687" s="259"/>
      <c r="AH687" s="261"/>
      <c r="AI687" s="261"/>
      <c r="AJ687" s="261"/>
      <c r="AK687" s="261"/>
      <c r="AL687" s="261"/>
      <c r="AM687" s="262"/>
    </row>
    <row r="688" spans="1:39" x14ac:dyDescent="0.25">
      <c r="A688" s="215"/>
      <c r="B688" s="215"/>
      <c r="C688" s="215"/>
      <c r="D688" s="239"/>
      <c r="E688" s="239"/>
      <c r="F688" s="239"/>
      <c r="G688" s="239"/>
      <c r="H688" s="239"/>
      <c r="I688" s="257"/>
      <c r="J688" s="240"/>
      <c r="K688" s="240"/>
      <c r="L688" s="240"/>
      <c r="M688" s="240"/>
      <c r="N688" s="240"/>
      <c r="O688" s="258"/>
      <c r="P688" s="224"/>
      <c r="Q688" s="224"/>
      <c r="R688" s="224"/>
      <c r="S688" s="224"/>
      <c r="T688" s="224"/>
      <c r="U688" s="259"/>
      <c r="V688" s="239"/>
      <c r="W688" s="239"/>
      <c r="X688" s="239"/>
      <c r="Y688" s="239"/>
      <c r="Z688" s="239"/>
      <c r="AA688" s="257"/>
      <c r="AB688" s="224"/>
      <c r="AC688" s="224"/>
      <c r="AD688" s="224"/>
      <c r="AE688" s="224"/>
      <c r="AF688" s="224"/>
      <c r="AG688" s="259"/>
      <c r="AH688" s="261"/>
      <c r="AI688" s="261"/>
      <c r="AJ688" s="261"/>
      <c r="AK688" s="261"/>
      <c r="AL688" s="261"/>
      <c r="AM688" s="262"/>
    </row>
    <row r="689" spans="1:39" x14ac:dyDescent="0.25">
      <c r="A689" s="215"/>
      <c r="B689" s="215"/>
      <c r="C689" s="215"/>
      <c r="D689" s="239"/>
      <c r="E689" s="239"/>
      <c r="F689" s="239"/>
      <c r="G689" s="239"/>
      <c r="H689" s="239"/>
      <c r="I689" s="257"/>
      <c r="J689" s="240"/>
      <c r="K689" s="240"/>
      <c r="L689" s="240"/>
      <c r="M689" s="240"/>
      <c r="N689" s="240"/>
      <c r="O689" s="258"/>
      <c r="P689" s="224"/>
      <c r="Q689" s="224"/>
      <c r="R689" s="224"/>
      <c r="S689" s="224"/>
      <c r="T689" s="224"/>
      <c r="U689" s="259"/>
      <c r="V689" s="239"/>
      <c r="W689" s="239"/>
      <c r="X689" s="239"/>
      <c r="Y689" s="239"/>
      <c r="Z689" s="239"/>
      <c r="AA689" s="257"/>
      <c r="AB689" s="224"/>
      <c r="AC689" s="224"/>
      <c r="AD689" s="224"/>
      <c r="AE689" s="224"/>
      <c r="AF689" s="224"/>
      <c r="AG689" s="259"/>
      <c r="AH689" s="261"/>
      <c r="AI689" s="261"/>
      <c r="AJ689" s="261"/>
      <c r="AK689" s="261"/>
      <c r="AL689" s="261"/>
      <c r="AM689" s="262"/>
    </row>
    <row r="690" spans="1:39" x14ac:dyDescent="0.25">
      <c r="A690" s="215"/>
      <c r="B690" s="215"/>
      <c r="C690" s="215"/>
      <c r="D690" s="239"/>
      <c r="E690" s="239"/>
      <c r="F690" s="239"/>
      <c r="G690" s="239"/>
      <c r="H690" s="239"/>
      <c r="I690" s="257"/>
      <c r="J690" s="240"/>
      <c r="K690" s="240"/>
      <c r="L690" s="240"/>
      <c r="M690" s="240"/>
      <c r="N690" s="240"/>
      <c r="O690" s="258"/>
      <c r="P690" s="224"/>
      <c r="Q690" s="224"/>
      <c r="R690" s="224"/>
      <c r="S690" s="224"/>
      <c r="T690" s="224"/>
      <c r="U690" s="259"/>
      <c r="V690" s="239"/>
      <c r="W690" s="239"/>
      <c r="X690" s="239"/>
      <c r="Y690" s="239"/>
      <c r="Z690" s="239"/>
      <c r="AA690" s="257"/>
      <c r="AB690" s="224"/>
      <c r="AC690" s="224"/>
      <c r="AD690" s="224"/>
      <c r="AE690" s="224"/>
      <c r="AF690" s="224"/>
      <c r="AG690" s="259"/>
      <c r="AH690" s="261"/>
      <c r="AI690" s="261"/>
      <c r="AJ690" s="261"/>
      <c r="AK690" s="261"/>
      <c r="AL690" s="261"/>
      <c r="AM690" s="262"/>
    </row>
    <row r="691" spans="1:39" x14ac:dyDescent="0.25">
      <c r="A691" s="215"/>
      <c r="B691" s="215"/>
      <c r="C691" s="215"/>
      <c r="D691" s="239"/>
      <c r="E691" s="239"/>
      <c r="F691" s="239"/>
      <c r="G691" s="239"/>
      <c r="H691" s="239"/>
      <c r="I691" s="257"/>
      <c r="J691" s="240"/>
      <c r="K691" s="240"/>
      <c r="L691" s="240"/>
      <c r="M691" s="240"/>
      <c r="N691" s="240"/>
      <c r="O691" s="258"/>
      <c r="P691" s="224"/>
      <c r="Q691" s="224"/>
      <c r="R691" s="224"/>
      <c r="S691" s="224"/>
      <c r="T691" s="224"/>
      <c r="U691" s="259"/>
      <c r="V691" s="239"/>
      <c r="W691" s="239"/>
      <c r="X691" s="239"/>
      <c r="Y691" s="239"/>
      <c r="Z691" s="239"/>
      <c r="AA691" s="257"/>
      <c r="AB691" s="224"/>
      <c r="AC691" s="224"/>
      <c r="AD691" s="224"/>
      <c r="AE691" s="224"/>
      <c r="AF691" s="224"/>
      <c r="AG691" s="259"/>
      <c r="AH691" s="261"/>
      <c r="AI691" s="261"/>
      <c r="AJ691" s="261"/>
      <c r="AK691" s="261"/>
      <c r="AL691" s="261"/>
      <c r="AM691" s="262"/>
    </row>
    <row r="692" spans="1:39" x14ac:dyDescent="0.25">
      <c r="A692" s="215"/>
      <c r="B692" s="215"/>
      <c r="C692" s="215"/>
      <c r="D692" s="239"/>
      <c r="E692" s="239"/>
      <c r="F692" s="239"/>
      <c r="G692" s="239"/>
      <c r="H692" s="239"/>
      <c r="I692" s="257"/>
      <c r="J692" s="240"/>
      <c r="K692" s="240"/>
      <c r="L692" s="240"/>
      <c r="M692" s="240"/>
      <c r="N692" s="240"/>
      <c r="O692" s="258"/>
      <c r="P692" s="224"/>
      <c r="Q692" s="224"/>
      <c r="R692" s="224"/>
      <c r="S692" s="224"/>
      <c r="T692" s="224"/>
      <c r="U692" s="259"/>
      <c r="V692" s="239"/>
      <c r="W692" s="239"/>
      <c r="X692" s="239"/>
      <c r="Y692" s="239"/>
      <c r="Z692" s="239"/>
      <c r="AA692" s="257"/>
      <c r="AB692" s="224"/>
      <c r="AC692" s="224"/>
      <c r="AD692" s="224"/>
      <c r="AE692" s="224"/>
      <c r="AF692" s="224"/>
      <c r="AG692" s="259"/>
      <c r="AH692" s="261"/>
      <c r="AI692" s="261"/>
      <c r="AJ692" s="261"/>
      <c r="AK692" s="261"/>
      <c r="AL692" s="261"/>
      <c r="AM692" s="262"/>
    </row>
    <row r="693" spans="1:39" x14ac:dyDescent="0.25">
      <c r="A693" s="215"/>
      <c r="B693" s="215"/>
      <c r="C693" s="215"/>
      <c r="D693" s="239"/>
      <c r="E693" s="239"/>
      <c r="F693" s="239"/>
      <c r="G693" s="239"/>
      <c r="H693" s="239"/>
      <c r="I693" s="257"/>
      <c r="J693" s="240"/>
      <c r="K693" s="240"/>
      <c r="L693" s="240"/>
      <c r="M693" s="240"/>
      <c r="N693" s="240"/>
      <c r="O693" s="258"/>
      <c r="P693" s="224"/>
      <c r="Q693" s="224"/>
      <c r="R693" s="224"/>
      <c r="S693" s="224"/>
      <c r="T693" s="224"/>
      <c r="U693" s="259"/>
      <c r="V693" s="239"/>
      <c r="W693" s="239"/>
      <c r="X693" s="239"/>
      <c r="Y693" s="239"/>
      <c r="Z693" s="239"/>
      <c r="AA693" s="257"/>
      <c r="AB693" s="224"/>
      <c r="AC693" s="224"/>
      <c r="AD693" s="224"/>
      <c r="AE693" s="224"/>
      <c r="AF693" s="224"/>
      <c r="AG693" s="259"/>
      <c r="AH693" s="261"/>
      <c r="AI693" s="261"/>
      <c r="AJ693" s="261"/>
      <c r="AK693" s="261"/>
      <c r="AL693" s="261"/>
      <c r="AM693" s="262"/>
    </row>
    <row r="694" spans="1:39" x14ac:dyDescent="0.25">
      <c r="A694" s="215"/>
      <c r="B694" s="215"/>
      <c r="C694" s="215"/>
      <c r="D694" s="239"/>
      <c r="E694" s="239"/>
      <c r="F694" s="239"/>
      <c r="G694" s="239"/>
      <c r="H694" s="239"/>
      <c r="I694" s="257"/>
      <c r="J694" s="240"/>
      <c r="K694" s="240"/>
      <c r="L694" s="240"/>
      <c r="M694" s="240"/>
      <c r="N694" s="240"/>
      <c r="O694" s="258"/>
      <c r="P694" s="224"/>
      <c r="Q694" s="224"/>
      <c r="R694" s="224"/>
      <c r="S694" s="224"/>
      <c r="T694" s="224"/>
      <c r="U694" s="259"/>
      <c r="V694" s="239"/>
      <c r="W694" s="239"/>
      <c r="X694" s="239"/>
      <c r="Y694" s="239"/>
      <c r="Z694" s="239"/>
      <c r="AA694" s="257"/>
      <c r="AB694" s="224"/>
      <c r="AC694" s="224"/>
      <c r="AD694" s="224"/>
      <c r="AE694" s="224"/>
      <c r="AF694" s="224"/>
      <c r="AG694" s="259"/>
      <c r="AH694" s="261"/>
      <c r="AI694" s="261"/>
      <c r="AJ694" s="261"/>
      <c r="AK694" s="261"/>
      <c r="AL694" s="261"/>
      <c r="AM694" s="262"/>
    </row>
    <row r="695" spans="1:39" x14ac:dyDescent="0.25">
      <c r="A695" s="215"/>
      <c r="B695" s="215"/>
      <c r="C695" s="215"/>
      <c r="D695" s="239"/>
      <c r="E695" s="239"/>
      <c r="F695" s="239"/>
      <c r="G695" s="239"/>
      <c r="H695" s="239"/>
      <c r="I695" s="257"/>
      <c r="J695" s="240"/>
      <c r="K695" s="240"/>
      <c r="L695" s="240"/>
      <c r="M695" s="240"/>
      <c r="N695" s="240"/>
      <c r="O695" s="258"/>
      <c r="P695" s="224"/>
      <c r="Q695" s="224"/>
      <c r="R695" s="224"/>
      <c r="S695" s="224"/>
      <c r="T695" s="224"/>
      <c r="U695" s="259"/>
      <c r="V695" s="239"/>
      <c r="W695" s="239"/>
      <c r="X695" s="239"/>
      <c r="Y695" s="239"/>
      <c r="Z695" s="239"/>
      <c r="AA695" s="257"/>
      <c r="AB695" s="224"/>
      <c r="AC695" s="224"/>
      <c r="AD695" s="224"/>
      <c r="AE695" s="224"/>
      <c r="AF695" s="224"/>
      <c r="AG695" s="259"/>
      <c r="AH695" s="261"/>
      <c r="AI695" s="261"/>
      <c r="AJ695" s="261"/>
      <c r="AK695" s="261"/>
      <c r="AL695" s="261"/>
      <c r="AM695" s="262"/>
    </row>
    <row r="696" spans="1:39" x14ac:dyDescent="0.25">
      <c r="A696" s="215"/>
      <c r="B696" s="215"/>
      <c r="C696" s="215"/>
      <c r="D696" s="239"/>
      <c r="E696" s="239"/>
      <c r="F696" s="239"/>
      <c r="G696" s="239"/>
      <c r="H696" s="239"/>
      <c r="I696" s="257"/>
      <c r="J696" s="240"/>
      <c r="K696" s="240"/>
      <c r="L696" s="240"/>
      <c r="M696" s="240"/>
      <c r="N696" s="240"/>
      <c r="O696" s="258"/>
      <c r="P696" s="224"/>
      <c r="Q696" s="224"/>
      <c r="R696" s="224"/>
      <c r="S696" s="224"/>
      <c r="T696" s="224"/>
      <c r="U696" s="259"/>
      <c r="V696" s="239"/>
      <c r="W696" s="239"/>
      <c r="X696" s="239"/>
      <c r="Y696" s="239"/>
      <c r="Z696" s="239"/>
      <c r="AA696" s="257"/>
      <c r="AB696" s="224"/>
      <c r="AC696" s="224"/>
      <c r="AD696" s="224"/>
      <c r="AE696" s="224"/>
      <c r="AF696" s="224"/>
      <c r="AG696" s="259"/>
      <c r="AH696" s="261"/>
      <c r="AI696" s="261"/>
      <c r="AJ696" s="261"/>
      <c r="AK696" s="261"/>
      <c r="AL696" s="261"/>
      <c r="AM696" s="262"/>
    </row>
    <row r="697" spans="1:39" x14ac:dyDescent="0.25">
      <c r="A697" s="215"/>
      <c r="B697" s="215"/>
      <c r="C697" s="215"/>
      <c r="D697" s="239"/>
      <c r="E697" s="239"/>
      <c r="F697" s="239"/>
      <c r="G697" s="239"/>
      <c r="H697" s="239"/>
      <c r="I697" s="257"/>
      <c r="J697" s="240"/>
      <c r="K697" s="240"/>
      <c r="L697" s="240"/>
      <c r="M697" s="240"/>
      <c r="N697" s="240"/>
      <c r="O697" s="258"/>
      <c r="P697" s="224"/>
      <c r="Q697" s="224"/>
      <c r="R697" s="224"/>
      <c r="S697" s="224"/>
      <c r="T697" s="224"/>
      <c r="U697" s="259"/>
      <c r="V697" s="239"/>
      <c r="W697" s="239"/>
      <c r="X697" s="239"/>
      <c r="Y697" s="239"/>
      <c r="Z697" s="239"/>
      <c r="AA697" s="257"/>
      <c r="AB697" s="224"/>
      <c r="AC697" s="224"/>
      <c r="AD697" s="224"/>
      <c r="AE697" s="224"/>
      <c r="AF697" s="224"/>
      <c r="AG697" s="259"/>
      <c r="AH697" s="261"/>
      <c r="AI697" s="261"/>
      <c r="AJ697" s="261"/>
      <c r="AK697" s="261"/>
      <c r="AL697" s="261"/>
      <c r="AM697" s="262"/>
    </row>
    <row r="698" spans="1:39" x14ac:dyDescent="0.25">
      <c r="A698" s="215"/>
      <c r="B698" s="215"/>
      <c r="C698" s="215"/>
      <c r="D698" s="239"/>
      <c r="E698" s="239"/>
      <c r="F698" s="239"/>
      <c r="G698" s="239"/>
      <c r="H698" s="239"/>
      <c r="I698" s="257"/>
      <c r="J698" s="240"/>
      <c r="K698" s="240"/>
      <c r="L698" s="240"/>
      <c r="M698" s="240"/>
      <c r="N698" s="240"/>
      <c r="O698" s="258"/>
      <c r="P698" s="224"/>
      <c r="Q698" s="224"/>
      <c r="R698" s="224"/>
      <c r="S698" s="224"/>
      <c r="T698" s="224"/>
      <c r="U698" s="259"/>
      <c r="V698" s="239"/>
      <c r="W698" s="239"/>
      <c r="X698" s="239"/>
      <c r="Y698" s="239"/>
      <c r="Z698" s="239"/>
      <c r="AA698" s="257"/>
      <c r="AB698" s="224"/>
      <c r="AC698" s="224"/>
      <c r="AD698" s="224"/>
      <c r="AE698" s="224"/>
      <c r="AF698" s="224"/>
      <c r="AG698" s="259"/>
      <c r="AH698" s="261"/>
      <c r="AI698" s="261"/>
      <c r="AJ698" s="261"/>
      <c r="AK698" s="261"/>
      <c r="AL698" s="261"/>
      <c r="AM698" s="262"/>
    </row>
    <row r="699" spans="1:39" x14ac:dyDescent="0.25">
      <c r="A699" s="215"/>
      <c r="B699" s="215"/>
      <c r="C699" s="215"/>
      <c r="D699" s="239"/>
      <c r="E699" s="239"/>
      <c r="F699" s="239"/>
      <c r="G699" s="239"/>
      <c r="H699" s="239"/>
      <c r="I699" s="257"/>
      <c r="J699" s="240"/>
      <c r="K699" s="240"/>
      <c r="L699" s="240"/>
      <c r="M699" s="240"/>
      <c r="N699" s="240"/>
      <c r="O699" s="258"/>
      <c r="P699" s="224"/>
      <c r="Q699" s="224"/>
      <c r="R699" s="224"/>
      <c r="S699" s="224"/>
      <c r="T699" s="224"/>
      <c r="U699" s="259"/>
      <c r="V699" s="239"/>
      <c r="W699" s="239"/>
      <c r="X699" s="239"/>
      <c r="Y699" s="239"/>
      <c r="Z699" s="239"/>
      <c r="AA699" s="257"/>
      <c r="AB699" s="224"/>
      <c r="AC699" s="224"/>
      <c r="AD699" s="224"/>
      <c r="AE699" s="224"/>
      <c r="AF699" s="224"/>
      <c r="AG699" s="259"/>
      <c r="AH699" s="261"/>
      <c r="AI699" s="261"/>
      <c r="AJ699" s="261"/>
      <c r="AK699" s="261"/>
      <c r="AL699" s="261"/>
      <c r="AM699" s="262"/>
    </row>
    <row r="700" spans="1:39" x14ac:dyDescent="0.25">
      <c r="A700" s="215"/>
      <c r="B700" s="215"/>
      <c r="C700" s="215"/>
      <c r="D700" s="239"/>
      <c r="E700" s="239"/>
      <c r="F700" s="239"/>
      <c r="G700" s="239"/>
      <c r="H700" s="239"/>
      <c r="I700" s="257"/>
      <c r="J700" s="240"/>
      <c r="K700" s="240"/>
      <c r="L700" s="240"/>
      <c r="M700" s="240"/>
      <c r="N700" s="240"/>
      <c r="O700" s="258"/>
      <c r="P700" s="224"/>
      <c r="Q700" s="224"/>
      <c r="R700" s="224"/>
      <c r="S700" s="224"/>
      <c r="T700" s="224"/>
      <c r="U700" s="259"/>
      <c r="V700" s="239"/>
      <c r="W700" s="239"/>
      <c r="X700" s="239"/>
      <c r="Y700" s="239"/>
      <c r="Z700" s="239"/>
      <c r="AA700" s="257"/>
      <c r="AB700" s="224"/>
      <c r="AC700" s="224"/>
      <c r="AD700" s="224"/>
      <c r="AE700" s="224"/>
      <c r="AF700" s="224"/>
      <c r="AG700" s="259"/>
      <c r="AH700" s="261"/>
      <c r="AI700" s="261"/>
      <c r="AJ700" s="261"/>
      <c r="AK700" s="261"/>
      <c r="AL700" s="261"/>
      <c r="AM700" s="262"/>
    </row>
    <row r="701" spans="1:39" x14ac:dyDescent="0.25">
      <c r="A701" s="215"/>
      <c r="B701" s="215"/>
      <c r="C701" s="215"/>
      <c r="D701" s="239"/>
      <c r="E701" s="239"/>
      <c r="F701" s="239"/>
      <c r="G701" s="239"/>
      <c r="H701" s="239"/>
      <c r="I701" s="257"/>
      <c r="J701" s="240"/>
      <c r="K701" s="240"/>
      <c r="L701" s="240"/>
      <c r="M701" s="240"/>
      <c r="N701" s="240"/>
      <c r="O701" s="258"/>
      <c r="P701" s="224"/>
      <c r="Q701" s="224"/>
      <c r="R701" s="224"/>
      <c r="S701" s="224"/>
      <c r="T701" s="224"/>
      <c r="U701" s="259"/>
      <c r="V701" s="239"/>
      <c r="W701" s="239"/>
      <c r="X701" s="239"/>
      <c r="Y701" s="239"/>
      <c r="Z701" s="239"/>
      <c r="AA701" s="257"/>
      <c r="AB701" s="224"/>
      <c r="AC701" s="224"/>
      <c r="AD701" s="224"/>
      <c r="AE701" s="224"/>
      <c r="AF701" s="224"/>
      <c r="AG701" s="259"/>
      <c r="AH701" s="261"/>
      <c r="AI701" s="261"/>
      <c r="AJ701" s="261"/>
      <c r="AK701" s="261"/>
      <c r="AL701" s="261"/>
      <c r="AM701" s="262"/>
    </row>
    <row r="702" spans="1:39" x14ac:dyDescent="0.25">
      <c r="A702" s="215"/>
      <c r="B702" s="215"/>
      <c r="C702" s="215"/>
      <c r="D702" s="239"/>
      <c r="E702" s="239"/>
      <c r="F702" s="239"/>
      <c r="G702" s="239"/>
      <c r="H702" s="239"/>
      <c r="I702" s="257"/>
      <c r="J702" s="240"/>
      <c r="K702" s="240"/>
      <c r="L702" s="240"/>
      <c r="M702" s="240"/>
      <c r="N702" s="240"/>
      <c r="O702" s="258"/>
      <c r="P702" s="224"/>
      <c r="Q702" s="224"/>
      <c r="R702" s="224"/>
      <c r="S702" s="224"/>
      <c r="T702" s="224"/>
      <c r="U702" s="259"/>
      <c r="V702" s="239"/>
      <c r="W702" s="239"/>
      <c r="X702" s="239"/>
      <c r="Y702" s="239"/>
      <c r="Z702" s="239"/>
      <c r="AA702" s="257"/>
      <c r="AB702" s="224"/>
      <c r="AC702" s="224"/>
      <c r="AD702" s="224"/>
      <c r="AE702" s="224"/>
      <c r="AF702" s="224"/>
      <c r="AG702" s="259"/>
      <c r="AH702" s="261"/>
      <c r="AI702" s="261"/>
      <c r="AJ702" s="261"/>
      <c r="AK702" s="261"/>
      <c r="AL702" s="261"/>
      <c r="AM702" s="262"/>
    </row>
    <row r="703" spans="1:39" x14ac:dyDescent="0.25">
      <c r="A703" s="215"/>
      <c r="B703" s="215"/>
      <c r="C703" s="215"/>
      <c r="D703" s="239"/>
      <c r="E703" s="239"/>
      <c r="F703" s="239"/>
      <c r="G703" s="239"/>
      <c r="H703" s="239"/>
      <c r="I703" s="257"/>
      <c r="J703" s="240"/>
      <c r="K703" s="240"/>
      <c r="L703" s="240"/>
      <c r="M703" s="240"/>
      <c r="N703" s="240"/>
      <c r="O703" s="258"/>
      <c r="P703" s="224"/>
      <c r="Q703" s="224"/>
      <c r="R703" s="224"/>
      <c r="S703" s="224"/>
      <c r="T703" s="224"/>
      <c r="U703" s="259"/>
      <c r="V703" s="239"/>
      <c r="W703" s="239"/>
      <c r="X703" s="239"/>
      <c r="Y703" s="239"/>
      <c r="Z703" s="239"/>
      <c r="AA703" s="257"/>
      <c r="AB703" s="224"/>
      <c r="AC703" s="224"/>
      <c r="AD703" s="224"/>
      <c r="AE703" s="224"/>
      <c r="AF703" s="224"/>
      <c r="AG703" s="259"/>
      <c r="AH703" s="261"/>
      <c r="AI703" s="261"/>
      <c r="AJ703" s="261"/>
      <c r="AK703" s="261"/>
      <c r="AL703" s="261"/>
      <c r="AM703" s="262"/>
    </row>
    <row r="704" spans="1:39" x14ac:dyDescent="0.25">
      <c r="A704" s="215"/>
      <c r="B704" s="215"/>
      <c r="C704" s="215"/>
      <c r="D704" s="239"/>
      <c r="E704" s="239"/>
      <c r="F704" s="239"/>
      <c r="G704" s="239"/>
      <c r="H704" s="239"/>
      <c r="I704" s="257"/>
      <c r="J704" s="240"/>
      <c r="K704" s="240"/>
      <c r="L704" s="240"/>
      <c r="M704" s="240"/>
      <c r="N704" s="240"/>
      <c r="O704" s="258"/>
      <c r="P704" s="224"/>
      <c r="Q704" s="224"/>
      <c r="R704" s="224"/>
      <c r="S704" s="224"/>
      <c r="T704" s="224"/>
      <c r="U704" s="259"/>
      <c r="V704" s="239"/>
      <c r="W704" s="239"/>
      <c r="X704" s="239"/>
      <c r="Y704" s="239"/>
      <c r="Z704" s="239"/>
      <c r="AA704" s="257"/>
      <c r="AB704" s="224"/>
      <c r="AC704" s="224"/>
      <c r="AD704" s="224"/>
      <c r="AE704" s="224"/>
      <c r="AF704" s="224"/>
      <c r="AG704" s="259"/>
      <c r="AH704" s="261"/>
      <c r="AI704" s="261"/>
      <c r="AJ704" s="261"/>
      <c r="AK704" s="261"/>
      <c r="AL704" s="261"/>
      <c r="AM704" s="262"/>
    </row>
    <row r="705" spans="1:39" x14ac:dyDescent="0.25">
      <c r="A705" s="215"/>
      <c r="B705" s="215"/>
      <c r="C705" s="215"/>
      <c r="D705" s="239"/>
      <c r="E705" s="239"/>
      <c r="F705" s="239"/>
      <c r="G705" s="239"/>
      <c r="H705" s="239"/>
      <c r="I705" s="257"/>
      <c r="J705" s="240"/>
      <c r="K705" s="240"/>
      <c r="L705" s="240"/>
      <c r="M705" s="240"/>
      <c r="N705" s="240"/>
      <c r="O705" s="258"/>
      <c r="P705" s="224"/>
      <c r="Q705" s="224"/>
      <c r="R705" s="224"/>
      <c r="S705" s="224"/>
      <c r="T705" s="224"/>
      <c r="U705" s="259"/>
      <c r="V705" s="239"/>
      <c r="W705" s="239"/>
      <c r="X705" s="239"/>
      <c r="Y705" s="239"/>
      <c r="Z705" s="239"/>
      <c r="AA705" s="257"/>
      <c r="AB705" s="224"/>
      <c r="AC705" s="224"/>
      <c r="AD705" s="224"/>
      <c r="AE705" s="224"/>
      <c r="AF705" s="224"/>
      <c r="AG705" s="259"/>
      <c r="AH705" s="261"/>
      <c r="AI705" s="261"/>
      <c r="AJ705" s="261"/>
      <c r="AK705" s="261"/>
      <c r="AL705" s="261"/>
      <c r="AM705" s="262"/>
    </row>
    <row r="706" spans="1:39" x14ac:dyDescent="0.25">
      <c r="A706" s="215"/>
      <c r="B706" s="215"/>
      <c r="C706" s="215"/>
      <c r="D706" s="239"/>
      <c r="E706" s="239"/>
      <c r="F706" s="239"/>
      <c r="G706" s="239"/>
      <c r="H706" s="239"/>
      <c r="I706" s="257"/>
      <c r="J706" s="240"/>
      <c r="K706" s="240"/>
      <c r="L706" s="240"/>
      <c r="M706" s="240"/>
      <c r="N706" s="240"/>
      <c r="O706" s="258"/>
      <c r="P706" s="224"/>
      <c r="Q706" s="224"/>
      <c r="R706" s="224"/>
      <c r="S706" s="224"/>
      <c r="T706" s="224"/>
      <c r="U706" s="259"/>
      <c r="V706" s="239"/>
      <c r="W706" s="239"/>
      <c r="X706" s="239"/>
      <c r="Y706" s="239"/>
      <c r="Z706" s="239"/>
      <c r="AA706" s="257"/>
      <c r="AB706" s="224"/>
      <c r="AC706" s="224"/>
      <c r="AD706" s="224"/>
      <c r="AE706" s="224"/>
      <c r="AF706" s="224"/>
      <c r="AG706" s="259"/>
      <c r="AH706" s="261"/>
      <c r="AI706" s="261"/>
      <c r="AJ706" s="261"/>
      <c r="AK706" s="261"/>
      <c r="AL706" s="261"/>
      <c r="AM706" s="262"/>
    </row>
    <row r="707" spans="1:39" x14ac:dyDescent="0.25">
      <c r="A707" s="215"/>
      <c r="B707" s="215"/>
      <c r="C707" s="215"/>
      <c r="D707" s="239"/>
      <c r="E707" s="239"/>
      <c r="F707" s="239"/>
      <c r="G707" s="239"/>
      <c r="H707" s="239"/>
      <c r="I707" s="257"/>
      <c r="J707" s="240"/>
      <c r="K707" s="240"/>
      <c r="L707" s="240"/>
      <c r="M707" s="240"/>
      <c r="N707" s="240"/>
      <c r="O707" s="258"/>
      <c r="P707" s="224"/>
      <c r="Q707" s="224"/>
      <c r="R707" s="224"/>
      <c r="S707" s="224"/>
      <c r="T707" s="224"/>
      <c r="U707" s="259"/>
      <c r="V707" s="239"/>
      <c r="W707" s="239"/>
      <c r="X707" s="239"/>
      <c r="Y707" s="239"/>
      <c r="Z707" s="239"/>
      <c r="AA707" s="257"/>
      <c r="AB707" s="224"/>
      <c r="AC707" s="224"/>
      <c r="AD707" s="224"/>
      <c r="AE707" s="224"/>
      <c r="AF707" s="224"/>
      <c r="AG707" s="259"/>
      <c r="AH707" s="261"/>
      <c r="AI707" s="261"/>
      <c r="AJ707" s="261"/>
      <c r="AK707" s="261"/>
      <c r="AL707" s="261"/>
      <c r="AM707" s="262"/>
    </row>
    <row r="708" spans="1:39" x14ac:dyDescent="0.25">
      <c r="A708" s="215"/>
      <c r="B708" s="215"/>
      <c r="C708" s="215"/>
      <c r="D708" s="239"/>
      <c r="E708" s="239"/>
      <c r="F708" s="239"/>
      <c r="G708" s="239"/>
      <c r="H708" s="239"/>
      <c r="I708" s="257"/>
      <c r="J708" s="240"/>
      <c r="K708" s="240"/>
      <c r="L708" s="240"/>
      <c r="M708" s="240"/>
      <c r="N708" s="240"/>
      <c r="O708" s="258"/>
      <c r="P708" s="224"/>
      <c r="Q708" s="224"/>
      <c r="R708" s="224"/>
      <c r="S708" s="224"/>
      <c r="T708" s="224"/>
      <c r="U708" s="259"/>
      <c r="V708" s="239"/>
      <c r="W708" s="239"/>
      <c r="X708" s="239"/>
      <c r="Y708" s="239"/>
      <c r="Z708" s="239"/>
      <c r="AA708" s="257"/>
      <c r="AB708" s="224"/>
      <c r="AC708" s="224"/>
      <c r="AD708" s="224"/>
      <c r="AE708" s="224"/>
      <c r="AF708" s="224"/>
      <c r="AG708" s="259"/>
      <c r="AH708" s="261"/>
      <c r="AI708" s="261"/>
      <c r="AJ708" s="261"/>
      <c r="AK708" s="261"/>
      <c r="AL708" s="261"/>
      <c r="AM708" s="262"/>
    </row>
    <row r="709" spans="1:39" x14ac:dyDescent="0.25">
      <c r="A709" s="215"/>
      <c r="B709" s="215"/>
      <c r="C709" s="215"/>
      <c r="D709" s="239"/>
      <c r="E709" s="239"/>
      <c r="F709" s="239"/>
      <c r="G709" s="239"/>
      <c r="H709" s="239"/>
      <c r="I709" s="257"/>
      <c r="J709" s="240"/>
      <c r="K709" s="240"/>
      <c r="L709" s="240"/>
      <c r="M709" s="240"/>
      <c r="N709" s="240"/>
      <c r="O709" s="258"/>
      <c r="P709" s="224"/>
      <c r="Q709" s="224"/>
      <c r="R709" s="224"/>
      <c r="S709" s="224"/>
      <c r="T709" s="224"/>
      <c r="U709" s="259"/>
      <c r="V709" s="239"/>
      <c r="W709" s="239"/>
      <c r="X709" s="239"/>
      <c r="Y709" s="239"/>
      <c r="Z709" s="239"/>
      <c r="AA709" s="257"/>
      <c r="AB709" s="224"/>
      <c r="AC709" s="224"/>
      <c r="AD709" s="224"/>
      <c r="AE709" s="224"/>
      <c r="AF709" s="224"/>
      <c r="AG709" s="259"/>
      <c r="AH709" s="261"/>
      <c r="AI709" s="261"/>
      <c r="AJ709" s="261"/>
      <c r="AK709" s="261"/>
      <c r="AL709" s="261"/>
      <c r="AM709" s="262"/>
    </row>
    <row r="710" spans="1:39" x14ac:dyDescent="0.25">
      <c r="A710" s="215"/>
      <c r="B710" s="215"/>
      <c r="C710" s="215"/>
      <c r="D710" s="239"/>
      <c r="E710" s="239"/>
      <c r="F710" s="239"/>
      <c r="G710" s="239"/>
      <c r="H710" s="239"/>
      <c r="I710" s="257"/>
      <c r="J710" s="240"/>
      <c r="K710" s="240"/>
      <c r="L710" s="240"/>
      <c r="M710" s="240"/>
      <c r="N710" s="240"/>
      <c r="O710" s="258"/>
      <c r="P710" s="224"/>
      <c r="Q710" s="224"/>
      <c r="R710" s="224"/>
      <c r="S710" s="224"/>
      <c r="T710" s="224"/>
      <c r="U710" s="259"/>
      <c r="V710" s="239"/>
      <c r="W710" s="239"/>
      <c r="X710" s="239"/>
      <c r="Y710" s="239"/>
      <c r="Z710" s="239"/>
      <c r="AA710" s="257"/>
      <c r="AB710" s="224"/>
      <c r="AC710" s="224"/>
      <c r="AD710" s="224"/>
      <c r="AE710" s="224"/>
      <c r="AF710" s="224"/>
      <c r="AG710" s="259"/>
      <c r="AH710" s="261"/>
      <c r="AI710" s="261"/>
      <c r="AJ710" s="261"/>
      <c r="AK710" s="261"/>
      <c r="AL710" s="261"/>
      <c r="AM710" s="262"/>
    </row>
    <row r="711" spans="1:39" x14ac:dyDescent="0.25">
      <c r="A711" s="215"/>
      <c r="B711" s="215"/>
      <c r="C711" s="215"/>
      <c r="D711" s="239"/>
      <c r="E711" s="239"/>
      <c r="F711" s="239"/>
      <c r="G711" s="239"/>
      <c r="H711" s="239"/>
      <c r="I711" s="257"/>
      <c r="J711" s="240"/>
      <c r="K711" s="240"/>
      <c r="L711" s="240"/>
      <c r="M711" s="240"/>
      <c r="N711" s="240"/>
      <c r="O711" s="258"/>
      <c r="P711" s="224"/>
      <c r="Q711" s="224"/>
      <c r="R711" s="224"/>
      <c r="S711" s="224"/>
      <c r="T711" s="224"/>
      <c r="U711" s="259"/>
      <c r="V711" s="239"/>
      <c r="W711" s="239"/>
      <c r="X711" s="239"/>
      <c r="Y711" s="239"/>
      <c r="Z711" s="239"/>
      <c r="AA711" s="257"/>
      <c r="AB711" s="224"/>
      <c r="AC711" s="224"/>
      <c r="AD711" s="224"/>
      <c r="AE711" s="224"/>
      <c r="AF711" s="224"/>
      <c r="AG711" s="259"/>
      <c r="AH711" s="261"/>
      <c r="AI711" s="261"/>
      <c r="AJ711" s="261"/>
      <c r="AK711" s="261"/>
      <c r="AL711" s="261"/>
      <c r="AM711" s="262"/>
    </row>
    <row r="712" spans="1:39" x14ac:dyDescent="0.25">
      <c r="A712" s="215"/>
      <c r="B712" s="215"/>
      <c r="C712" s="215"/>
      <c r="D712" s="239"/>
      <c r="E712" s="239"/>
      <c r="F712" s="239"/>
      <c r="G712" s="239"/>
      <c r="H712" s="239"/>
      <c r="I712" s="257"/>
      <c r="J712" s="240"/>
      <c r="K712" s="240"/>
      <c r="L712" s="240"/>
      <c r="M712" s="240"/>
      <c r="N712" s="240"/>
      <c r="O712" s="258"/>
      <c r="P712" s="224"/>
      <c r="Q712" s="224"/>
      <c r="R712" s="224"/>
      <c r="S712" s="224"/>
      <c r="T712" s="224"/>
      <c r="U712" s="259"/>
      <c r="V712" s="239"/>
      <c r="W712" s="239"/>
      <c r="X712" s="239"/>
      <c r="Y712" s="239"/>
      <c r="Z712" s="239"/>
      <c r="AA712" s="257"/>
      <c r="AB712" s="224"/>
      <c r="AC712" s="224"/>
      <c r="AD712" s="224"/>
      <c r="AE712" s="224"/>
      <c r="AF712" s="224"/>
      <c r="AG712" s="259"/>
      <c r="AH712" s="261"/>
      <c r="AI712" s="261"/>
      <c r="AJ712" s="261"/>
      <c r="AK712" s="261"/>
      <c r="AL712" s="261"/>
      <c r="AM712" s="262"/>
    </row>
    <row r="713" spans="1:39" x14ac:dyDescent="0.25">
      <c r="A713" s="215"/>
      <c r="B713" s="215"/>
      <c r="C713" s="215"/>
      <c r="D713" s="239"/>
      <c r="E713" s="239"/>
      <c r="F713" s="239"/>
      <c r="G713" s="239"/>
      <c r="H713" s="239"/>
      <c r="I713" s="257"/>
      <c r="J713" s="240"/>
      <c r="K713" s="240"/>
      <c r="L713" s="240"/>
      <c r="M713" s="240"/>
      <c r="N713" s="240"/>
      <c r="O713" s="258"/>
      <c r="P713" s="224"/>
      <c r="Q713" s="224"/>
      <c r="R713" s="224"/>
      <c r="S713" s="224"/>
      <c r="T713" s="224"/>
      <c r="U713" s="259"/>
      <c r="V713" s="239"/>
      <c r="W713" s="239"/>
      <c r="X713" s="239"/>
      <c r="Y713" s="239"/>
      <c r="Z713" s="239"/>
      <c r="AA713" s="257"/>
      <c r="AB713" s="224"/>
      <c r="AC713" s="224"/>
      <c r="AD713" s="224"/>
      <c r="AE713" s="224"/>
      <c r="AF713" s="224"/>
      <c r="AG713" s="259"/>
      <c r="AH713" s="261"/>
      <c r="AI713" s="261"/>
      <c r="AJ713" s="261"/>
      <c r="AK713" s="261"/>
      <c r="AL713" s="261"/>
      <c r="AM713" s="262"/>
    </row>
    <row r="714" spans="1:39" x14ac:dyDescent="0.25">
      <c r="A714" s="215"/>
      <c r="B714" s="215"/>
      <c r="C714" s="215"/>
      <c r="D714" s="239"/>
      <c r="E714" s="239"/>
      <c r="F714" s="239"/>
      <c r="G714" s="239"/>
      <c r="H714" s="239"/>
      <c r="I714" s="257"/>
      <c r="J714" s="240"/>
      <c r="K714" s="240"/>
      <c r="L714" s="240"/>
      <c r="M714" s="240"/>
      <c r="N714" s="240"/>
      <c r="O714" s="258"/>
      <c r="P714" s="224"/>
      <c r="Q714" s="224"/>
      <c r="R714" s="224"/>
      <c r="S714" s="224"/>
      <c r="T714" s="224"/>
      <c r="U714" s="259"/>
      <c r="V714" s="239"/>
      <c r="W714" s="239"/>
      <c r="X714" s="239"/>
      <c r="Y714" s="239"/>
      <c r="Z714" s="239"/>
      <c r="AA714" s="257"/>
      <c r="AB714" s="224"/>
      <c r="AC714" s="224"/>
      <c r="AD714" s="224"/>
      <c r="AE714" s="224"/>
      <c r="AF714" s="224"/>
      <c r="AG714" s="259"/>
      <c r="AH714" s="261"/>
      <c r="AI714" s="261"/>
      <c r="AJ714" s="261"/>
      <c r="AK714" s="261"/>
      <c r="AL714" s="261"/>
      <c r="AM714" s="262"/>
    </row>
    <row r="715" spans="1:39" x14ac:dyDescent="0.25">
      <c r="A715" s="215"/>
      <c r="B715" s="215"/>
      <c r="C715" s="215"/>
      <c r="D715" s="239"/>
      <c r="E715" s="239"/>
      <c r="F715" s="239"/>
      <c r="G715" s="239"/>
      <c r="H715" s="239"/>
      <c r="I715" s="257"/>
      <c r="J715" s="240"/>
      <c r="K715" s="240"/>
      <c r="L715" s="240"/>
      <c r="M715" s="240"/>
      <c r="N715" s="240"/>
      <c r="O715" s="258"/>
      <c r="P715" s="224"/>
      <c r="Q715" s="224"/>
      <c r="R715" s="224"/>
      <c r="S715" s="224"/>
      <c r="T715" s="224"/>
      <c r="U715" s="259"/>
      <c r="V715" s="239"/>
      <c r="W715" s="239"/>
      <c r="X715" s="239"/>
      <c r="Y715" s="239"/>
      <c r="Z715" s="239"/>
      <c r="AA715" s="257"/>
      <c r="AB715" s="224"/>
      <c r="AC715" s="224"/>
      <c r="AD715" s="224"/>
      <c r="AE715" s="224"/>
      <c r="AF715" s="224"/>
      <c r="AG715" s="259"/>
      <c r="AH715" s="261"/>
      <c r="AI715" s="261"/>
      <c r="AJ715" s="261"/>
      <c r="AK715" s="261"/>
      <c r="AL715" s="261"/>
      <c r="AM715" s="262"/>
    </row>
    <row r="716" spans="1:39" x14ac:dyDescent="0.25">
      <c r="A716" s="215"/>
      <c r="B716" s="215"/>
      <c r="C716" s="215"/>
      <c r="D716" s="239"/>
      <c r="E716" s="239"/>
      <c r="F716" s="239"/>
      <c r="G716" s="239"/>
      <c r="H716" s="239"/>
      <c r="I716" s="257"/>
      <c r="J716" s="240"/>
      <c r="K716" s="240"/>
      <c r="L716" s="240"/>
      <c r="M716" s="240"/>
      <c r="N716" s="240"/>
      <c r="O716" s="258"/>
      <c r="P716" s="224"/>
      <c r="Q716" s="224"/>
      <c r="R716" s="224"/>
      <c r="S716" s="224"/>
      <c r="T716" s="224"/>
      <c r="U716" s="259"/>
      <c r="V716" s="239"/>
      <c r="W716" s="239"/>
      <c r="X716" s="239"/>
      <c r="Y716" s="239"/>
      <c r="Z716" s="239"/>
      <c r="AA716" s="257"/>
      <c r="AB716" s="224"/>
      <c r="AC716" s="224"/>
      <c r="AD716" s="224"/>
      <c r="AE716" s="224"/>
      <c r="AF716" s="224"/>
      <c r="AG716" s="259"/>
      <c r="AH716" s="261"/>
      <c r="AI716" s="261"/>
      <c r="AJ716" s="261"/>
      <c r="AK716" s="261"/>
      <c r="AL716" s="261"/>
      <c r="AM716" s="262"/>
    </row>
    <row r="717" spans="1:39" x14ac:dyDescent="0.25">
      <c r="A717" s="215"/>
      <c r="B717" s="215"/>
      <c r="C717" s="215"/>
      <c r="D717" s="239"/>
      <c r="E717" s="239"/>
      <c r="F717" s="239"/>
      <c r="G717" s="239"/>
      <c r="H717" s="239"/>
      <c r="I717" s="257"/>
      <c r="J717" s="240"/>
      <c r="K717" s="240"/>
      <c r="L717" s="240"/>
      <c r="M717" s="240"/>
      <c r="N717" s="240"/>
      <c r="O717" s="258"/>
      <c r="P717" s="224"/>
      <c r="Q717" s="224"/>
      <c r="R717" s="224"/>
      <c r="S717" s="224"/>
      <c r="T717" s="224"/>
      <c r="U717" s="259"/>
      <c r="V717" s="239"/>
      <c r="W717" s="239"/>
      <c r="X717" s="239"/>
      <c r="Y717" s="239"/>
      <c r="Z717" s="239"/>
      <c r="AA717" s="257"/>
      <c r="AB717" s="224"/>
      <c r="AC717" s="224"/>
      <c r="AD717" s="224"/>
      <c r="AE717" s="224"/>
      <c r="AF717" s="224"/>
      <c r="AG717" s="259"/>
      <c r="AH717" s="261"/>
      <c r="AI717" s="261"/>
      <c r="AJ717" s="261"/>
      <c r="AK717" s="261"/>
      <c r="AL717" s="261"/>
      <c r="AM717" s="262"/>
    </row>
    <row r="718" spans="1:39" x14ac:dyDescent="0.25">
      <c r="A718" s="215"/>
      <c r="B718" s="215"/>
      <c r="C718" s="215"/>
      <c r="D718" s="239"/>
      <c r="E718" s="239"/>
      <c r="F718" s="239"/>
      <c r="G718" s="239"/>
      <c r="H718" s="239"/>
      <c r="I718" s="257"/>
      <c r="J718" s="240"/>
      <c r="K718" s="240"/>
      <c r="L718" s="240"/>
      <c r="M718" s="240"/>
      <c r="N718" s="240"/>
      <c r="O718" s="258"/>
      <c r="P718" s="224"/>
      <c r="Q718" s="224"/>
      <c r="R718" s="224"/>
      <c r="S718" s="224"/>
      <c r="T718" s="224"/>
      <c r="U718" s="259"/>
      <c r="V718" s="239"/>
      <c r="W718" s="239"/>
      <c r="X718" s="239"/>
      <c r="Y718" s="239"/>
      <c r="Z718" s="239"/>
      <c r="AA718" s="257"/>
      <c r="AB718" s="224"/>
      <c r="AC718" s="224"/>
      <c r="AD718" s="224"/>
      <c r="AE718" s="224"/>
      <c r="AF718" s="224"/>
      <c r="AG718" s="259"/>
      <c r="AH718" s="261"/>
      <c r="AI718" s="261"/>
      <c r="AJ718" s="261"/>
      <c r="AK718" s="261"/>
      <c r="AL718" s="261"/>
      <c r="AM718" s="262"/>
    </row>
    <row r="719" spans="1:39" x14ac:dyDescent="0.25">
      <c r="A719" s="215"/>
      <c r="B719" s="215"/>
      <c r="C719" s="215"/>
      <c r="D719" s="239"/>
      <c r="E719" s="239"/>
      <c r="F719" s="239"/>
      <c r="G719" s="239"/>
      <c r="H719" s="239"/>
      <c r="I719" s="257"/>
      <c r="J719" s="240"/>
      <c r="K719" s="240"/>
      <c r="L719" s="240"/>
      <c r="M719" s="240"/>
      <c r="N719" s="240"/>
      <c r="O719" s="258"/>
      <c r="P719" s="224"/>
      <c r="Q719" s="224"/>
      <c r="R719" s="224"/>
      <c r="S719" s="224"/>
      <c r="T719" s="224"/>
      <c r="U719" s="259"/>
      <c r="V719" s="239"/>
      <c r="W719" s="239"/>
      <c r="X719" s="239"/>
      <c r="Y719" s="239"/>
      <c r="Z719" s="239"/>
      <c r="AA719" s="257"/>
      <c r="AB719" s="224"/>
      <c r="AC719" s="224"/>
      <c r="AD719" s="224"/>
      <c r="AE719" s="224"/>
      <c r="AF719" s="224"/>
      <c r="AG719" s="259"/>
      <c r="AH719" s="261"/>
      <c r="AI719" s="261"/>
      <c r="AJ719" s="261"/>
      <c r="AK719" s="261"/>
      <c r="AL719" s="261"/>
      <c r="AM719" s="262"/>
    </row>
    <row r="720" spans="1:39" x14ac:dyDescent="0.25">
      <c r="A720" s="215"/>
      <c r="B720" s="215"/>
      <c r="C720" s="215"/>
      <c r="D720" s="239"/>
      <c r="E720" s="239"/>
      <c r="F720" s="239"/>
      <c r="G720" s="239"/>
      <c r="H720" s="239"/>
      <c r="I720" s="257"/>
      <c r="J720" s="240"/>
      <c r="K720" s="240"/>
      <c r="L720" s="240"/>
      <c r="M720" s="240"/>
      <c r="N720" s="240"/>
      <c r="O720" s="258"/>
      <c r="P720" s="224"/>
      <c r="Q720" s="224"/>
      <c r="R720" s="224"/>
      <c r="S720" s="224"/>
      <c r="T720" s="224"/>
      <c r="U720" s="259"/>
      <c r="V720" s="239"/>
      <c r="W720" s="239"/>
      <c r="X720" s="239"/>
      <c r="Y720" s="239"/>
      <c r="Z720" s="239"/>
      <c r="AA720" s="257"/>
      <c r="AB720" s="224"/>
      <c r="AC720" s="224"/>
      <c r="AD720" s="224"/>
      <c r="AE720" s="224"/>
      <c r="AF720" s="224"/>
      <c r="AG720" s="259"/>
      <c r="AH720" s="261"/>
      <c r="AI720" s="261"/>
      <c r="AJ720" s="261"/>
      <c r="AK720" s="261"/>
      <c r="AL720" s="261"/>
      <c r="AM720" s="262"/>
    </row>
    <row r="721" spans="1:39" x14ac:dyDescent="0.25">
      <c r="A721" s="215"/>
      <c r="B721" s="215"/>
      <c r="C721" s="215"/>
      <c r="D721" s="239"/>
      <c r="E721" s="239"/>
      <c r="F721" s="239"/>
      <c r="G721" s="239"/>
      <c r="H721" s="239"/>
      <c r="I721" s="257"/>
      <c r="J721" s="240"/>
      <c r="K721" s="240"/>
      <c r="L721" s="240"/>
      <c r="M721" s="240"/>
      <c r="N721" s="240"/>
      <c r="O721" s="258"/>
      <c r="P721" s="224"/>
      <c r="Q721" s="224"/>
      <c r="R721" s="224"/>
      <c r="S721" s="224"/>
      <c r="T721" s="224"/>
      <c r="U721" s="259"/>
      <c r="V721" s="239"/>
      <c r="W721" s="239"/>
      <c r="X721" s="239"/>
      <c r="Y721" s="239"/>
      <c r="Z721" s="239"/>
      <c r="AA721" s="257"/>
      <c r="AB721" s="224"/>
      <c r="AC721" s="224"/>
      <c r="AD721" s="224"/>
      <c r="AE721" s="224"/>
      <c r="AF721" s="224"/>
      <c r="AG721" s="259"/>
      <c r="AH721" s="261"/>
      <c r="AI721" s="261"/>
      <c r="AJ721" s="261"/>
      <c r="AK721" s="261"/>
      <c r="AL721" s="261"/>
      <c r="AM721" s="262"/>
    </row>
    <row r="722" spans="1:39" x14ac:dyDescent="0.25">
      <c r="A722" s="215"/>
      <c r="B722" s="215"/>
      <c r="C722" s="215"/>
      <c r="D722" s="239"/>
      <c r="E722" s="239"/>
      <c r="F722" s="239"/>
      <c r="G722" s="239"/>
      <c r="H722" s="239"/>
      <c r="I722" s="257"/>
      <c r="J722" s="240"/>
      <c r="K722" s="240"/>
      <c r="L722" s="240"/>
      <c r="M722" s="240"/>
      <c r="N722" s="240"/>
      <c r="O722" s="258"/>
      <c r="P722" s="224"/>
      <c r="Q722" s="224"/>
      <c r="R722" s="224"/>
      <c r="S722" s="224"/>
      <c r="T722" s="224"/>
      <c r="U722" s="259"/>
      <c r="V722" s="239"/>
      <c r="W722" s="239"/>
      <c r="X722" s="239"/>
      <c r="Y722" s="239"/>
      <c r="Z722" s="239"/>
      <c r="AA722" s="257"/>
      <c r="AB722" s="224"/>
      <c r="AC722" s="224"/>
      <c r="AD722" s="224"/>
      <c r="AE722" s="224"/>
      <c r="AF722" s="224"/>
      <c r="AG722" s="259"/>
      <c r="AH722" s="261"/>
      <c r="AI722" s="261"/>
      <c r="AJ722" s="261"/>
      <c r="AK722" s="261"/>
      <c r="AL722" s="261"/>
      <c r="AM722" s="262"/>
    </row>
    <row r="723" spans="1:39" x14ac:dyDescent="0.25">
      <c r="A723" s="215"/>
      <c r="B723" s="215"/>
      <c r="C723" s="215"/>
      <c r="D723" s="239"/>
      <c r="E723" s="239"/>
      <c r="F723" s="239"/>
      <c r="G723" s="239"/>
      <c r="H723" s="239"/>
      <c r="I723" s="257"/>
      <c r="J723" s="240"/>
      <c r="K723" s="240"/>
      <c r="L723" s="240"/>
      <c r="M723" s="240"/>
      <c r="N723" s="240"/>
      <c r="O723" s="258"/>
      <c r="P723" s="224"/>
      <c r="Q723" s="224"/>
      <c r="R723" s="224"/>
      <c r="S723" s="224"/>
      <c r="T723" s="224"/>
      <c r="U723" s="259"/>
      <c r="V723" s="239"/>
      <c r="W723" s="239"/>
      <c r="X723" s="239"/>
      <c r="Y723" s="239"/>
      <c r="Z723" s="239"/>
      <c r="AA723" s="257"/>
      <c r="AB723" s="224"/>
      <c r="AC723" s="224"/>
      <c r="AD723" s="224"/>
      <c r="AE723" s="224"/>
      <c r="AF723" s="224"/>
      <c r="AG723" s="259"/>
      <c r="AH723" s="261"/>
      <c r="AI723" s="261"/>
      <c r="AJ723" s="261"/>
      <c r="AK723" s="261"/>
      <c r="AL723" s="261"/>
      <c r="AM723" s="262"/>
    </row>
    <row r="724" spans="1:39" x14ac:dyDescent="0.25">
      <c r="A724" s="215"/>
      <c r="B724" s="215"/>
      <c r="C724" s="215"/>
      <c r="D724" s="239"/>
      <c r="E724" s="239"/>
      <c r="F724" s="239"/>
      <c r="G724" s="239"/>
      <c r="H724" s="239"/>
      <c r="I724" s="257"/>
      <c r="J724" s="240"/>
      <c r="K724" s="240"/>
      <c r="L724" s="240"/>
      <c r="M724" s="240"/>
      <c r="N724" s="240"/>
      <c r="O724" s="258"/>
      <c r="P724" s="224"/>
      <c r="Q724" s="224"/>
      <c r="R724" s="224"/>
      <c r="S724" s="224"/>
      <c r="T724" s="224"/>
      <c r="U724" s="259"/>
      <c r="V724" s="239"/>
      <c r="W724" s="239"/>
      <c r="X724" s="239"/>
      <c r="Y724" s="239"/>
      <c r="Z724" s="239"/>
      <c r="AA724" s="257"/>
      <c r="AB724" s="224"/>
      <c r="AC724" s="224"/>
      <c r="AD724" s="224"/>
      <c r="AE724" s="224"/>
      <c r="AF724" s="224"/>
      <c r="AG724" s="259"/>
      <c r="AH724" s="261"/>
      <c r="AI724" s="261"/>
      <c r="AJ724" s="261"/>
      <c r="AK724" s="261"/>
      <c r="AL724" s="261"/>
      <c r="AM724" s="262"/>
    </row>
    <row r="725" spans="1:39" x14ac:dyDescent="0.25">
      <c r="A725" s="215"/>
      <c r="B725" s="215"/>
      <c r="C725" s="215"/>
      <c r="D725" s="239"/>
      <c r="E725" s="239"/>
      <c r="F725" s="239"/>
      <c r="G725" s="239"/>
      <c r="H725" s="239"/>
      <c r="I725" s="257"/>
      <c r="J725" s="240"/>
      <c r="K725" s="240"/>
      <c r="L725" s="240"/>
      <c r="M725" s="240"/>
      <c r="N725" s="240"/>
      <c r="O725" s="258"/>
      <c r="P725" s="224"/>
      <c r="Q725" s="224"/>
      <c r="R725" s="224"/>
      <c r="S725" s="224"/>
      <c r="T725" s="224"/>
      <c r="U725" s="259"/>
      <c r="V725" s="239"/>
      <c r="W725" s="239"/>
      <c r="X725" s="239"/>
      <c r="Y725" s="239"/>
      <c r="Z725" s="239"/>
      <c r="AA725" s="257"/>
      <c r="AB725" s="224"/>
      <c r="AC725" s="224"/>
      <c r="AD725" s="224"/>
      <c r="AE725" s="224"/>
      <c r="AF725" s="224"/>
      <c r="AG725" s="259"/>
      <c r="AH725" s="261"/>
      <c r="AI725" s="261"/>
      <c r="AJ725" s="261"/>
      <c r="AK725" s="261"/>
      <c r="AL725" s="261"/>
      <c r="AM725" s="262"/>
    </row>
    <row r="726" spans="1:39" x14ac:dyDescent="0.25">
      <c r="A726" s="215"/>
      <c r="B726" s="215"/>
      <c r="C726" s="215"/>
      <c r="D726" s="239"/>
      <c r="E726" s="239"/>
      <c r="F726" s="239"/>
      <c r="G726" s="239"/>
      <c r="H726" s="239"/>
      <c r="I726" s="257"/>
      <c r="J726" s="240"/>
      <c r="K726" s="240"/>
      <c r="L726" s="240"/>
      <c r="M726" s="240"/>
      <c r="N726" s="240"/>
      <c r="O726" s="258"/>
      <c r="P726" s="224"/>
      <c r="Q726" s="224"/>
      <c r="R726" s="224"/>
      <c r="S726" s="224"/>
      <c r="T726" s="224"/>
      <c r="U726" s="259"/>
      <c r="V726" s="239"/>
      <c r="W726" s="239"/>
      <c r="X726" s="239"/>
      <c r="Y726" s="239"/>
      <c r="Z726" s="239"/>
      <c r="AA726" s="257"/>
      <c r="AB726" s="224"/>
      <c r="AC726" s="224"/>
      <c r="AD726" s="224"/>
      <c r="AE726" s="224"/>
      <c r="AF726" s="224"/>
      <c r="AG726" s="259"/>
      <c r="AH726" s="261"/>
      <c r="AI726" s="261"/>
      <c r="AJ726" s="261"/>
      <c r="AK726" s="261"/>
      <c r="AL726" s="261"/>
      <c r="AM726" s="262"/>
    </row>
    <row r="727" spans="1:39" x14ac:dyDescent="0.25">
      <c r="A727" s="215"/>
      <c r="B727" s="215"/>
      <c r="C727" s="215"/>
      <c r="D727" s="239"/>
      <c r="E727" s="239"/>
      <c r="F727" s="239"/>
      <c r="G727" s="239"/>
      <c r="H727" s="239"/>
      <c r="I727" s="257"/>
      <c r="J727" s="240"/>
      <c r="K727" s="240"/>
      <c r="L727" s="240"/>
      <c r="M727" s="240"/>
      <c r="N727" s="240"/>
      <c r="O727" s="258"/>
      <c r="P727" s="224"/>
      <c r="Q727" s="224"/>
      <c r="R727" s="224"/>
      <c r="S727" s="224"/>
      <c r="T727" s="224"/>
      <c r="U727" s="259"/>
      <c r="V727" s="239"/>
      <c r="W727" s="239"/>
      <c r="X727" s="239"/>
      <c r="Y727" s="239"/>
      <c r="Z727" s="239"/>
      <c r="AA727" s="257"/>
      <c r="AB727" s="224"/>
      <c r="AC727" s="224"/>
      <c r="AD727" s="224"/>
      <c r="AE727" s="224"/>
      <c r="AF727" s="224"/>
      <c r="AG727" s="259"/>
      <c r="AH727" s="261"/>
      <c r="AI727" s="261"/>
      <c r="AJ727" s="261"/>
      <c r="AK727" s="261"/>
      <c r="AL727" s="261"/>
      <c r="AM727" s="262"/>
    </row>
    <row r="728" spans="1:39" x14ac:dyDescent="0.25">
      <c r="A728" s="215"/>
      <c r="B728" s="215"/>
      <c r="C728" s="215"/>
      <c r="D728" s="239"/>
      <c r="E728" s="239"/>
      <c r="F728" s="239"/>
      <c r="G728" s="239"/>
      <c r="H728" s="239"/>
      <c r="I728" s="257"/>
      <c r="J728" s="240"/>
      <c r="K728" s="240"/>
      <c r="L728" s="240"/>
      <c r="M728" s="240"/>
      <c r="N728" s="240"/>
      <c r="O728" s="258"/>
      <c r="P728" s="224"/>
      <c r="Q728" s="224"/>
      <c r="R728" s="224"/>
      <c r="S728" s="224"/>
      <c r="T728" s="224"/>
      <c r="U728" s="259"/>
      <c r="V728" s="239"/>
      <c r="W728" s="239"/>
      <c r="X728" s="239"/>
      <c r="Y728" s="239"/>
      <c r="Z728" s="239"/>
      <c r="AA728" s="257"/>
      <c r="AB728" s="224"/>
      <c r="AC728" s="224"/>
      <c r="AD728" s="224"/>
      <c r="AE728" s="224"/>
      <c r="AF728" s="224"/>
      <c r="AG728" s="259"/>
      <c r="AH728" s="261"/>
      <c r="AI728" s="261"/>
      <c r="AJ728" s="261"/>
      <c r="AK728" s="261"/>
      <c r="AL728" s="261"/>
      <c r="AM728" s="262"/>
    </row>
    <row r="729" spans="1:39" x14ac:dyDescent="0.25">
      <c r="A729" s="215"/>
      <c r="B729" s="215"/>
      <c r="C729" s="215"/>
      <c r="D729" s="239"/>
      <c r="E729" s="239"/>
      <c r="F729" s="239"/>
      <c r="G729" s="239"/>
      <c r="H729" s="239"/>
      <c r="I729" s="257"/>
      <c r="J729" s="240"/>
      <c r="K729" s="240"/>
      <c r="L729" s="240"/>
      <c r="M729" s="240"/>
      <c r="N729" s="240"/>
      <c r="O729" s="258"/>
      <c r="P729" s="224"/>
      <c r="Q729" s="224"/>
      <c r="R729" s="224"/>
      <c r="S729" s="224"/>
      <c r="T729" s="224"/>
      <c r="U729" s="259"/>
      <c r="V729" s="239"/>
      <c r="W729" s="239"/>
      <c r="X729" s="239"/>
      <c r="Y729" s="239"/>
      <c r="Z729" s="239"/>
      <c r="AA729" s="257"/>
      <c r="AB729" s="224"/>
      <c r="AC729" s="224"/>
      <c r="AD729" s="224"/>
      <c r="AE729" s="224"/>
      <c r="AF729" s="224"/>
      <c r="AG729" s="259"/>
      <c r="AH729" s="261"/>
      <c r="AI729" s="261"/>
      <c r="AJ729" s="261"/>
      <c r="AK729" s="261"/>
      <c r="AL729" s="261"/>
      <c r="AM729" s="262"/>
    </row>
    <row r="730" spans="1:39" x14ac:dyDescent="0.25">
      <c r="A730" s="215"/>
      <c r="B730" s="215"/>
      <c r="C730" s="215"/>
      <c r="D730" s="239"/>
      <c r="E730" s="239"/>
      <c r="F730" s="239"/>
      <c r="G730" s="239"/>
      <c r="H730" s="239"/>
      <c r="I730" s="257"/>
      <c r="J730" s="240"/>
      <c r="K730" s="240"/>
      <c r="L730" s="240"/>
      <c r="M730" s="240"/>
      <c r="N730" s="240"/>
      <c r="O730" s="258"/>
      <c r="P730" s="224"/>
      <c r="Q730" s="224"/>
      <c r="R730" s="224"/>
      <c r="S730" s="224"/>
      <c r="T730" s="224"/>
      <c r="U730" s="259"/>
      <c r="V730" s="239"/>
      <c r="W730" s="239"/>
      <c r="X730" s="239"/>
      <c r="Y730" s="239"/>
      <c r="Z730" s="239"/>
      <c r="AA730" s="257"/>
      <c r="AB730" s="224"/>
      <c r="AC730" s="224"/>
      <c r="AD730" s="224"/>
      <c r="AE730" s="224"/>
      <c r="AF730" s="224"/>
      <c r="AG730" s="259"/>
      <c r="AH730" s="261"/>
      <c r="AI730" s="261"/>
      <c r="AJ730" s="261"/>
      <c r="AK730" s="261"/>
      <c r="AL730" s="261"/>
      <c r="AM730" s="262"/>
    </row>
    <row r="731" spans="1:39" x14ac:dyDescent="0.25">
      <c r="A731" s="215"/>
      <c r="B731" s="215"/>
      <c r="C731" s="215"/>
      <c r="D731" s="239"/>
      <c r="E731" s="239"/>
      <c r="F731" s="239"/>
      <c r="G731" s="239"/>
      <c r="H731" s="239"/>
      <c r="I731" s="257"/>
      <c r="J731" s="240"/>
      <c r="K731" s="240"/>
      <c r="L731" s="240"/>
      <c r="M731" s="240"/>
      <c r="N731" s="240"/>
      <c r="O731" s="258"/>
      <c r="P731" s="224"/>
      <c r="Q731" s="224"/>
      <c r="R731" s="224"/>
      <c r="S731" s="224"/>
      <c r="T731" s="224"/>
      <c r="U731" s="259"/>
      <c r="V731" s="239"/>
      <c r="W731" s="239"/>
      <c r="X731" s="239"/>
      <c r="Y731" s="239"/>
      <c r="Z731" s="239"/>
      <c r="AA731" s="257"/>
      <c r="AB731" s="224"/>
      <c r="AC731" s="224"/>
      <c r="AD731" s="224"/>
      <c r="AE731" s="224"/>
      <c r="AF731" s="224"/>
      <c r="AG731" s="259"/>
      <c r="AH731" s="261"/>
      <c r="AI731" s="261"/>
      <c r="AJ731" s="261"/>
      <c r="AK731" s="261"/>
      <c r="AL731" s="261"/>
      <c r="AM731" s="262"/>
    </row>
    <row r="732" spans="1:39" x14ac:dyDescent="0.25">
      <c r="A732" s="215"/>
      <c r="B732" s="215"/>
      <c r="C732" s="215"/>
      <c r="D732" s="239"/>
      <c r="E732" s="239"/>
      <c r="F732" s="239"/>
      <c r="G732" s="239"/>
      <c r="H732" s="239"/>
      <c r="I732" s="257"/>
      <c r="J732" s="240"/>
      <c r="K732" s="240"/>
      <c r="L732" s="240"/>
      <c r="M732" s="240"/>
      <c r="N732" s="240"/>
      <c r="O732" s="258"/>
      <c r="P732" s="224"/>
      <c r="Q732" s="224"/>
      <c r="R732" s="224"/>
      <c r="S732" s="224"/>
      <c r="T732" s="224"/>
      <c r="U732" s="259"/>
      <c r="V732" s="239"/>
      <c r="W732" s="239"/>
      <c r="X732" s="239"/>
      <c r="Y732" s="239"/>
      <c r="Z732" s="239"/>
      <c r="AA732" s="257"/>
      <c r="AB732" s="224"/>
      <c r="AC732" s="224"/>
      <c r="AD732" s="224"/>
      <c r="AE732" s="224"/>
      <c r="AF732" s="224"/>
      <c r="AG732" s="259"/>
      <c r="AH732" s="261"/>
      <c r="AI732" s="261"/>
      <c r="AJ732" s="261"/>
      <c r="AK732" s="261"/>
      <c r="AL732" s="261"/>
      <c r="AM732" s="262"/>
    </row>
    <row r="733" spans="1:39" x14ac:dyDescent="0.25">
      <c r="A733" s="215"/>
      <c r="B733" s="215"/>
      <c r="C733" s="215"/>
      <c r="D733" s="239"/>
      <c r="E733" s="239"/>
      <c r="F733" s="239"/>
      <c r="G733" s="239"/>
      <c r="H733" s="239"/>
      <c r="I733" s="257"/>
      <c r="J733" s="240"/>
      <c r="K733" s="240"/>
      <c r="L733" s="240"/>
      <c r="M733" s="240"/>
      <c r="N733" s="240"/>
      <c r="O733" s="258"/>
      <c r="P733" s="224"/>
      <c r="Q733" s="224"/>
      <c r="R733" s="224"/>
      <c r="S733" s="224"/>
      <c r="T733" s="224"/>
      <c r="U733" s="259"/>
      <c r="V733" s="239"/>
      <c r="W733" s="239"/>
      <c r="X733" s="239"/>
      <c r="Y733" s="239"/>
      <c r="Z733" s="239"/>
      <c r="AA733" s="257"/>
      <c r="AB733" s="224"/>
      <c r="AC733" s="224"/>
      <c r="AD733" s="224"/>
      <c r="AE733" s="224"/>
      <c r="AF733" s="224"/>
      <c r="AG733" s="259"/>
      <c r="AH733" s="261"/>
      <c r="AI733" s="261"/>
      <c r="AJ733" s="261"/>
      <c r="AK733" s="261"/>
      <c r="AL733" s="261"/>
      <c r="AM733" s="262"/>
    </row>
    <row r="734" spans="1:39" x14ac:dyDescent="0.25">
      <c r="A734" s="215"/>
      <c r="B734" s="215"/>
      <c r="C734" s="215"/>
      <c r="D734" s="239"/>
      <c r="E734" s="239"/>
      <c r="F734" s="239"/>
      <c r="G734" s="239"/>
      <c r="H734" s="239"/>
      <c r="I734" s="257"/>
      <c r="J734" s="240"/>
      <c r="K734" s="240"/>
      <c r="L734" s="240"/>
      <c r="M734" s="240"/>
      <c r="N734" s="240"/>
      <c r="O734" s="258"/>
      <c r="P734" s="224"/>
      <c r="Q734" s="224"/>
      <c r="R734" s="224"/>
      <c r="S734" s="224"/>
      <c r="T734" s="224"/>
      <c r="U734" s="259"/>
      <c r="V734" s="239"/>
      <c r="W734" s="239"/>
      <c r="X734" s="239"/>
      <c r="Y734" s="239"/>
      <c r="Z734" s="239"/>
      <c r="AA734" s="257"/>
      <c r="AB734" s="224"/>
      <c r="AC734" s="224"/>
      <c r="AD734" s="224"/>
      <c r="AE734" s="224"/>
      <c r="AF734" s="224"/>
      <c r="AG734" s="259"/>
      <c r="AH734" s="261"/>
      <c r="AI734" s="261"/>
      <c r="AJ734" s="261"/>
      <c r="AK734" s="261"/>
      <c r="AL734" s="261"/>
      <c r="AM734" s="262"/>
    </row>
    <row r="735" spans="1:39" x14ac:dyDescent="0.25">
      <c r="A735" s="215"/>
      <c r="B735" s="215"/>
      <c r="C735" s="215"/>
      <c r="D735" s="239"/>
      <c r="E735" s="239"/>
      <c r="F735" s="239"/>
      <c r="G735" s="239"/>
      <c r="H735" s="239"/>
      <c r="I735" s="257"/>
      <c r="J735" s="240"/>
      <c r="K735" s="240"/>
      <c r="L735" s="240"/>
      <c r="M735" s="240"/>
      <c r="N735" s="240"/>
      <c r="O735" s="258"/>
      <c r="P735" s="224"/>
      <c r="Q735" s="224"/>
      <c r="R735" s="224"/>
      <c r="S735" s="224"/>
      <c r="T735" s="224"/>
      <c r="U735" s="259"/>
      <c r="V735" s="239"/>
      <c r="W735" s="239"/>
      <c r="X735" s="239"/>
      <c r="Y735" s="239"/>
      <c r="Z735" s="239"/>
      <c r="AA735" s="257"/>
      <c r="AB735" s="224"/>
      <c r="AC735" s="224"/>
      <c r="AD735" s="224"/>
      <c r="AE735" s="224"/>
      <c r="AF735" s="224"/>
      <c r="AG735" s="259"/>
      <c r="AH735" s="261"/>
      <c r="AI735" s="261"/>
      <c r="AJ735" s="261"/>
      <c r="AK735" s="261"/>
      <c r="AL735" s="261"/>
      <c r="AM735" s="262"/>
    </row>
    <row r="736" spans="1:39" x14ac:dyDescent="0.25">
      <c r="A736" s="215"/>
      <c r="B736" s="215"/>
      <c r="C736" s="215"/>
      <c r="D736" s="239"/>
      <c r="E736" s="239"/>
      <c r="F736" s="239"/>
      <c r="G736" s="239"/>
      <c r="H736" s="239"/>
      <c r="I736" s="257"/>
      <c r="J736" s="240"/>
      <c r="K736" s="240"/>
      <c r="L736" s="240"/>
      <c r="M736" s="240"/>
      <c r="N736" s="240"/>
      <c r="O736" s="258"/>
      <c r="P736" s="224"/>
      <c r="Q736" s="224"/>
      <c r="R736" s="224"/>
      <c r="S736" s="224"/>
      <c r="T736" s="224"/>
      <c r="U736" s="259"/>
      <c r="V736" s="239"/>
      <c r="W736" s="239"/>
      <c r="X736" s="239"/>
      <c r="Y736" s="239"/>
      <c r="Z736" s="239"/>
      <c r="AA736" s="257"/>
      <c r="AB736" s="224"/>
      <c r="AC736" s="224"/>
      <c r="AD736" s="224"/>
      <c r="AE736" s="224"/>
      <c r="AF736" s="224"/>
      <c r="AG736" s="259"/>
      <c r="AH736" s="261"/>
      <c r="AI736" s="261"/>
      <c r="AJ736" s="261"/>
      <c r="AK736" s="261"/>
      <c r="AL736" s="261"/>
      <c r="AM736" s="262"/>
    </row>
    <row r="737" spans="1:39" x14ac:dyDescent="0.25">
      <c r="A737" s="215"/>
      <c r="B737" s="215"/>
      <c r="C737" s="215"/>
      <c r="D737" s="239"/>
      <c r="E737" s="239"/>
      <c r="F737" s="239"/>
      <c r="G737" s="239"/>
      <c r="H737" s="239"/>
      <c r="I737" s="257"/>
      <c r="J737" s="240"/>
      <c r="K737" s="240"/>
      <c r="L737" s="240"/>
      <c r="M737" s="240"/>
      <c r="N737" s="240"/>
      <c r="O737" s="258"/>
      <c r="P737" s="224"/>
      <c r="Q737" s="224"/>
      <c r="R737" s="224"/>
      <c r="S737" s="224"/>
      <c r="T737" s="224"/>
      <c r="U737" s="259"/>
      <c r="V737" s="239"/>
      <c r="W737" s="239"/>
      <c r="X737" s="239"/>
      <c r="Y737" s="239"/>
      <c r="Z737" s="239"/>
      <c r="AA737" s="257"/>
      <c r="AB737" s="224"/>
      <c r="AC737" s="224"/>
      <c r="AD737" s="224"/>
      <c r="AE737" s="224"/>
      <c r="AF737" s="224"/>
      <c r="AG737" s="259"/>
      <c r="AH737" s="261"/>
      <c r="AI737" s="261"/>
      <c r="AJ737" s="261"/>
      <c r="AK737" s="261"/>
      <c r="AL737" s="261"/>
      <c r="AM737" s="262"/>
    </row>
    <row r="738" spans="1:39" x14ac:dyDescent="0.25">
      <c r="A738" s="215"/>
      <c r="B738" s="215"/>
      <c r="C738" s="215"/>
      <c r="D738" s="239"/>
      <c r="E738" s="239"/>
      <c r="F738" s="239"/>
      <c r="G738" s="239"/>
      <c r="H738" s="239"/>
      <c r="I738" s="257"/>
      <c r="J738" s="240"/>
      <c r="K738" s="240"/>
      <c r="L738" s="240"/>
      <c r="M738" s="240"/>
      <c r="N738" s="240"/>
      <c r="O738" s="258"/>
      <c r="P738" s="224"/>
      <c r="Q738" s="224"/>
      <c r="R738" s="224"/>
      <c r="S738" s="224"/>
      <c r="T738" s="224"/>
      <c r="U738" s="259"/>
      <c r="V738" s="239"/>
      <c r="W738" s="239"/>
      <c r="X738" s="239"/>
      <c r="Y738" s="239"/>
      <c r="Z738" s="239"/>
      <c r="AA738" s="257"/>
      <c r="AB738" s="224"/>
      <c r="AC738" s="224"/>
      <c r="AD738" s="224"/>
      <c r="AE738" s="224"/>
      <c r="AF738" s="224"/>
      <c r="AG738" s="259"/>
      <c r="AH738" s="261"/>
      <c r="AI738" s="261"/>
      <c r="AJ738" s="261"/>
      <c r="AK738" s="261"/>
      <c r="AL738" s="261"/>
      <c r="AM738" s="262"/>
    </row>
    <row r="739" spans="1:39" x14ac:dyDescent="0.25">
      <c r="A739" s="215"/>
      <c r="B739" s="215"/>
      <c r="C739" s="215"/>
      <c r="D739" s="239"/>
      <c r="E739" s="239"/>
      <c r="F739" s="239"/>
      <c r="G739" s="239"/>
      <c r="H739" s="239"/>
      <c r="I739" s="257"/>
      <c r="J739" s="240"/>
      <c r="K739" s="240"/>
      <c r="L739" s="240"/>
      <c r="M739" s="240"/>
      <c r="N739" s="240"/>
      <c r="O739" s="258"/>
      <c r="P739" s="224"/>
      <c r="Q739" s="224"/>
      <c r="R739" s="224"/>
      <c r="S739" s="224"/>
      <c r="T739" s="224"/>
      <c r="U739" s="259"/>
      <c r="V739" s="239"/>
      <c r="W739" s="239"/>
      <c r="X739" s="239"/>
      <c r="Y739" s="239"/>
      <c r="Z739" s="239"/>
      <c r="AA739" s="257"/>
      <c r="AB739" s="224"/>
      <c r="AC739" s="224"/>
      <c r="AD739" s="224"/>
      <c r="AE739" s="224"/>
      <c r="AF739" s="224"/>
      <c r="AG739" s="259"/>
      <c r="AH739" s="261"/>
      <c r="AI739" s="261"/>
      <c r="AJ739" s="261"/>
      <c r="AK739" s="261"/>
      <c r="AL739" s="261"/>
      <c r="AM739" s="262"/>
    </row>
    <row r="740" spans="1:39" x14ac:dyDescent="0.25">
      <c r="A740" s="215"/>
      <c r="B740" s="215"/>
      <c r="C740" s="215"/>
      <c r="D740" s="239"/>
      <c r="E740" s="239"/>
      <c r="F740" s="239"/>
      <c r="G740" s="239"/>
      <c r="H740" s="239"/>
      <c r="I740" s="257"/>
      <c r="J740" s="240"/>
      <c r="K740" s="240"/>
      <c r="L740" s="240"/>
      <c r="M740" s="240"/>
      <c r="N740" s="240"/>
      <c r="O740" s="258"/>
      <c r="P740" s="224"/>
      <c r="Q740" s="224"/>
      <c r="R740" s="224"/>
      <c r="S740" s="224"/>
      <c r="T740" s="224"/>
      <c r="U740" s="259"/>
      <c r="V740" s="239"/>
      <c r="W740" s="239"/>
      <c r="X740" s="239"/>
      <c r="Y740" s="239"/>
      <c r="Z740" s="239"/>
      <c r="AA740" s="257"/>
      <c r="AB740" s="224"/>
      <c r="AC740" s="224"/>
      <c r="AD740" s="224"/>
      <c r="AE740" s="224"/>
      <c r="AF740" s="224"/>
      <c r="AG740" s="259"/>
      <c r="AH740" s="261"/>
      <c r="AI740" s="261"/>
      <c r="AJ740" s="261"/>
      <c r="AK740" s="261"/>
      <c r="AL740" s="261"/>
      <c r="AM740" s="262"/>
    </row>
    <row r="741" spans="1:39" x14ac:dyDescent="0.25">
      <c r="A741" s="215"/>
      <c r="B741" s="215"/>
      <c r="C741" s="215"/>
      <c r="D741" s="239"/>
      <c r="E741" s="239"/>
      <c r="F741" s="239"/>
      <c r="G741" s="239"/>
      <c r="H741" s="239"/>
      <c r="I741" s="257"/>
      <c r="J741" s="240"/>
      <c r="K741" s="240"/>
      <c r="L741" s="240"/>
      <c r="M741" s="240"/>
      <c r="N741" s="240"/>
      <c r="O741" s="258"/>
      <c r="P741" s="224"/>
      <c r="Q741" s="224"/>
      <c r="R741" s="224"/>
      <c r="S741" s="224"/>
      <c r="T741" s="224"/>
      <c r="U741" s="259"/>
      <c r="V741" s="239"/>
      <c r="W741" s="239"/>
      <c r="X741" s="239"/>
      <c r="Y741" s="239"/>
      <c r="Z741" s="239"/>
      <c r="AA741" s="257"/>
      <c r="AB741" s="224"/>
      <c r="AC741" s="224"/>
      <c r="AD741" s="224"/>
      <c r="AE741" s="224"/>
      <c r="AF741" s="224"/>
      <c r="AG741" s="259"/>
      <c r="AH741" s="261"/>
      <c r="AI741" s="261"/>
      <c r="AJ741" s="261"/>
      <c r="AK741" s="261"/>
      <c r="AL741" s="261"/>
      <c r="AM741" s="262"/>
    </row>
    <row r="742" spans="1:39" x14ac:dyDescent="0.25">
      <c r="A742" s="215"/>
      <c r="B742" s="215"/>
      <c r="C742" s="215"/>
      <c r="D742" s="239"/>
      <c r="E742" s="239"/>
      <c r="F742" s="239"/>
      <c r="G742" s="239"/>
      <c r="H742" s="239"/>
      <c r="I742" s="257"/>
      <c r="J742" s="240"/>
      <c r="K742" s="240"/>
      <c r="L742" s="240"/>
      <c r="M742" s="240"/>
      <c r="N742" s="240"/>
      <c r="O742" s="258"/>
      <c r="P742" s="224"/>
      <c r="Q742" s="224"/>
      <c r="R742" s="224"/>
      <c r="S742" s="224"/>
      <c r="T742" s="224"/>
      <c r="U742" s="259"/>
      <c r="V742" s="239"/>
      <c r="W742" s="239"/>
      <c r="X742" s="239"/>
      <c r="Y742" s="239"/>
      <c r="Z742" s="239"/>
      <c r="AA742" s="257"/>
      <c r="AB742" s="224"/>
      <c r="AC742" s="224"/>
      <c r="AD742" s="224"/>
      <c r="AE742" s="224"/>
      <c r="AF742" s="224"/>
      <c r="AG742" s="259"/>
      <c r="AH742" s="261"/>
      <c r="AI742" s="261"/>
      <c r="AJ742" s="261"/>
      <c r="AK742" s="261"/>
      <c r="AL742" s="261"/>
      <c r="AM742" s="262"/>
    </row>
    <row r="743" spans="1:39" x14ac:dyDescent="0.25">
      <c r="A743" s="215"/>
      <c r="B743" s="215"/>
      <c r="C743" s="215"/>
      <c r="D743" s="239"/>
      <c r="E743" s="239"/>
      <c r="F743" s="239"/>
      <c r="G743" s="239"/>
      <c r="H743" s="239"/>
      <c r="I743" s="257"/>
      <c r="J743" s="240"/>
      <c r="K743" s="240"/>
      <c r="L743" s="240"/>
      <c r="M743" s="240"/>
      <c r="N743" s="240"/>
      <c r="O743" s="258"/>
      <c r="P743" s="224"/>
      <c r="Q743" s="224"/>
      <c r="R743" s="224"/>
      <c r="S743" s="224"/>
      <c r="T743" s="224"/>
      <c r="U743" s="259"/>
      <c r="V743" s="239"/>
      <c r="W743" s="239"/>
      <c r="X743" s="239"/>
      <c r="Y743" s="239"/>
      <c r="Z743" s="239"/>
      <c r="AA743" s="257"/>
      <c r="AB743" s="224"/>
      <c r="AC743" s="224"/>
      <c r="AD743" s="224"/>
      <c r="AE743" s="224"/>
      <c r="AF743" s="224"/>
      <c r="AG743" s="259"/>
      <c r="AH743" s="261"/>
      <c r="AI743" s="261"/>
      <c r="AJ743" s="261"/>
      <c r="AK743" s="261"/>
      <c r="AL743" s="261"/>
      <c r="AM743" s="262"/>
    </row>
    <row r="744" spans="1:39" x14ac:dyDescent="0.25">
      <c r="A744" s="215"/>
      <c r="B744" s="215"/>
      <c r="C744" s="215"/>
      <c r="D744" s="239"/>
      <c r="E744" s="239"/>
      <c r="F744" s="239"/>
      <c r="G744" s="239"/>
      <c r="H744" s="239"/>
      <c r="I744" s="257"/>
      <c r="J744" s="240"/>
      <c r="K744" s="240"/>
      <c r="L744" s="240"/>
      <c r="M744" s="240"/>
      <c r="N744" s="240"/>
      <c r="O744" s="258"/>
      <c r="P744" s="224"/>
      <c r="Q744" s="224"/>
      <c r="R744" s="224"/>
      <c r="S744" s="224"/>
      <c r="T744" s="224"/>
      <c r="U744" s="259"/>
      <c r="V744" s="239"/>
      <c r="W744" s="239"/>
      <c r="X744" s="239"/>
      <c r="Y744" s="239"/>
      <c r="Z744" s="239"/>
      <c r="AA744" s="257"/>
      <c r="AB744" s="224"/>
      <c r="AC744" s="224"/>
      <c r="AD744" s="224"/>
      <c r="AE744" s="224"/>
      <c r="AF744" s="224"/>
      <c r="AG744" s="259"/>
      <c r="AH744" s="261"/>
      <c r="AI744" s="261"/>
      <c r="AJ744" s="261"/>
      <c r="AK744" s="261"/>
      <c r="AL744" s="261"/>
      <c r="AM744" s="262"/>
    </row>
    <row r="745" spans="1:39" x14ac:dyDescent="0.25">
      <c r="A745" s="215"/>
      <c r="B745" s="215"/>
      <c r="C745" s="215"/>
      <c r="D745" s="239"/>
      <c r="E745" s="239"/>
      <c r="F745" s="239"/>
      <c r="G745" s="239"/>
      <c r="H745" s="239"/>
      <c r="I745" s="257"/>
      <c r="J745" s="240"/>
      <c r="K745" s="240"/>
      <c r="L745" s="240"/>
      <c r="M745" s="240"/>
      <c r="N745" s="240"/>
      <c r="O745" s="258"/>
      <c r="P745" s="224"/>
      <c r="Q745" s="224"/>
      <c r="R745" s="224"/>
      <c r="S745" s="224"/>
      <c r="T745" s="224"/>
      <c r="U745" s="259"/>
      <c r="V745" s="239"/>
      <c r="W745" s="239"/>
      <c r="X745" s="239"/>
      <c r="Y745" s="239"/>
      <c r="Z745" s="239"/>
      <c r="AA745" s="257"/>
      <c r="AB745" s="224"/>
      <c r="AC745" s="224"/>
      <c r="AD745" s="224"/>
      <c r="AE745" s="224"/>
      <c r="AF745" s="224"/>
      <c r="AG745" s="259"/>
      <c r="AH745" s="261"/>
      <c r="AI745" s="261"/>
      <c r="AJ745" s="261"/>
      <c r="AK745" s="261"/>
      <c r="AL745" s="261"/>
      <c r="AM745" s="262"/>
    </row>
    <row r="746" spans="1:39" x14ac:dyDescent="0.25">
      <c r="A746" s="215"/>
      <c r="B746" s="215"/>
      <c r="C746" s="215"/>
      <c r="D746" s="239"/>
      <c r="E746" s="239"/>
      <c r="F746" s="239"/>
      <c r="G746" s="239"/>
      <c r="H746" s="239"/>
      <c r="I746" s="257"/>
      <c r="J746" s="240"/>
      <c r="K746" s="240"/>
      <c r="L746" s="240"/>
      <c r="M746" s="240"/>
      <c r="N746" s="240"/>
      <c r="O746" s="258"/>
      <c r="P746" s="224"/>
      <c r="Q746" s="224"/>
      <c r="R746" s="224"/>
      <c r="S746" s="224"/>
      <c r="T746" s="224"/>
      <c r="U746" s="259"/>
      <c r="V746" s="239"/>
      <c r="W746" s="239"/>
      <c r="X746" s="239"/>
      <c r="Y746" s="239"/>
      <c r="Z746" s="239"/>
      <c r="AA746" s="257"/>
      <c r="AB746" s="224"/>
      <c r="AC746" s="224"/>
      <c r="AD746" s="224"/>
      <c r="AE746" s="224"/>
      <c r="AF746" s="224"/>
      <c r="AG746" s="259"/>
      <c r="AH746" s="261"/>
      <c r="AI746" s="261"/>
      <c r="AJ746" s="261"/>
      <c r="AK746" s="261"/>
      <c r="AL746" s="261"/>
      <c r="AM746" s="262"/>
    </row>
    <row r="747" spans="1:39" x14ac:dyDescent="0.25">
      <c r="A747" s="215"/>
      <c r="B747" s="215"/>
      <c r="C747" s="215"/>
      <c r="D747" s="239"/>
      <c r="E747" s="239"/>
      <c r="F747" s="239"/>
      <c r="G747" s="239"/>
      <c r="H747" s="239"/>
      <c r="I747" s="257"/>
      <c r="J747" s="240"/>
      <c r="K747" s="240"/>
      <c r="L747" s="240"/>
      <c r="M747" s="240"/>
      <c r="N747" s="240"/>
      <c r="O747" s="258"/>
      <c r="P747" s="224"/>
      <c r="Q747" s="224"/>
      <c r="R747" s="224"/>
      <c r="S747" s="224"/>
      <c r="T747" s="224"/>
      <c r="U747" s="259"/>
      <c r="V747" s="239"/>
      <c r="W747" s="239"/>
      <c r="X747" s="239"/>
      <c r="Y747" s="239"/>
      <c r="Z747" s="239"/>
      <c r="AA747" s="257"/>
      <c r="AB747" s="224"/>
      <c r="AC747" s="224"/>
      <c r="AD747" s="224"/>
      <c r="AE747" s="224"/>
      <c r="AF747" s="224"/>
      <c r="AG747" s="259"/>
      <c r="AH747" s="261"/>
      <c r="AI747" s="261"/>
      <c r="AJ747" s="261"/>
      <c r="AK747" s="261"/>
      <c r="AL747" s="261"/>
      <c r="AM747" s="262"/>
    </row>
    <row r="748" spans="1:39" x14ac:dyDescent="0.25">
      <c r="A748" s="215"/>
      <c r="B748" s="215"/>
      <c r="C748" s="215"/>
      <c r="D748" s="239"/>
      <c r="E748" s="239"/>
      <c r="F748" s="239"/>
      <c r="G748" s="239"/>
      <c r="H748" s="239"/>
      <c r="I748" s="257"/>
      <c r="J748" s="240"/>
      <c r="K748" s="240"/>
      <c r="L748" s="240"/>
      <c r="M748" s="240"/>
      <c r="N748" s="240"/>
      <c r="O748" s="258"/>
      <c r="P748" s="224"/>
      <c r="Q748" s="224"/>
      <c r="R748" s="224"/>
      <c r="S748" s="224"/>
      <c r="T748" s="224"/>
      <c r="U748" s="259"/>
      <c r="V748" s="239"/>
      <c r="W748" s="239"/>
      <c r="X748" s="239"/>
      <c r="Y748" s="239"/>
      <c r="Z748" s="239"/>
      <c r="AA748" s="257"/>
      <c r="AB748" s="224"/>
      <c r="AC748" s="224"/>
      <c r="AD748" s="224"/>
      <c r="AE748" s="224"/>
      <c r="AF748" s="224"/>
      <c r="AG748" s="259"/>
      <c r="AH748" s="261"/>
      <c r="AI748" s="261"/>
      <c r="AJ748" s="261"/>
      <c r="AK748" s="261"/>
      <c r="AL748" s="261"/>
      <c r="AM748" s="262"/>
    </row>
    <row r="749" spans="1:39" x14ac:dyDescent="0.25">
      <c r="A749" s="215"/>
      <c r="B749" s="215"/>
      <c r="C749" s="215"/>
      <c r="D749" s="239"/>
      <c r="E749" s="239"/>
      <c r="F749" s="239"/>
      <c r="G749" s="239"/>
      <c r="H749" s="239"/>
      <c r="I749" s="257"/>
      <c r="J749" s="240"/>
      <c r="K749" s="240"/>
      <c r="L749" s="240"/>
      <c r="M749" s="240"/>
      <c r="N749" s="240"/>
      <c r="O749" s="258"/>
      <c r="P749" s="224"/>
      <c r="Q749" s="224"/>
      <c r="R749" s="224"/>
      <c r="S749" s="224"/>
      <c r="T749" s="224"/>
      <c r="U749" s="259"/>
      <c r="V749" s="239"/>
      <c r="W749" s="239"/>
      <c r="X749" s="239"/>
      <c r="Y749" s="239"/>
      <c r="Z749" s="239"/>
      <c r="AA749" s="257"/>
      <c r="AB749" s="224"/>
      <c r="AC749" s="224"/>
      <c r="AD749" s="224"/>
      <c r="AE749" s="224"/>
      <c r="AF749" s="224"/>
      <c r="AG749" s="259"/>
      <c r="AH749" s="261"/>
      <c r="AI749" s="261"/>
      <c r="AJ749" s="261"/>
      <c r="AK749" s="261"/>
      <c r="AL749" s="261"/>
      <c r="AM749" s="262"/>
    </row>
    <row r="750" spans="1:39" x14ac:dyDescent="0.25">
      <c r="A750" s="215"/>
      <c r="B750" s="215"/>
      <c r="C750" s="215"/>
      <c r="D750" s="239"/>
      <c r="E750" s="239"/>
      <c r="F750" s="239"/>
      <c r="G750" s="239"/>
      <c r="H750" s="239"/>
      <c r="I750" s="257"/>
      <c r="J750" s="240"/>
      <c r="K750" s="240"/>
      <c r="L750" s="240"/>
      <c r="M750" s="240"/>
      <c r="N750" s="240"/>
      <c r="O750" s="258"/>
      <c r="P750" s="224"/>
      <c r="Q750" s="224"/>
      <c r="R750" s="224"/>
      <c r="S750" s="224"/>
      <c r="T750" s="224"/>
      <c r="U750" s="259"/>
      <c r="V750" s="239"/>
      <c r="W750" s="239"/>
      <c r="X750" s="239"/>
      <c r="Y750" s="239"/>
      <c r="Z750" s="239"/>
      <c r="AA750" s="257"/>
      <c r="AB750" s="224"/>
      <c r="AC750" s="224"/>
      <c r="AD750" s="224"/>
      <c r="AE750" s="224"/>
      <c r="AF750" s="224"/>
      <c r="AG750" s="259"/>
      <c r="AH750" s="261"/>
      <c r="AI750" s="261"/>
      <c r="AJ750" s="261"/>
      <c r="AK750" s="261"/>
      <c r="AL750" s="261"/>
      <c r="AM750" s="262"/>
    </row>
    <row r="751" spans="1:39" x14ac:dyDescent="0.25">
      <c r="A751" s="215"/>
      <c r="B751" s="215"/>
      <c r="C751" s="215"/>
      <c r="D751" s="239"/>
      <c r="E751" s="239"/>
      <c r="F751" s="239"/>
      <c r="G751" s="239"/>
      <c r="H751" s="239"/>
      <c r="I751" s="257"/>
      <c r="J751" s="240"/>
      <c r="K751" s="240"/>
      <c r="L751" s="240"/>
      <c r="M751" s="240"/>
      <c r="N751" s="240"/>
      <c r="O751" s="258"/>
      <c r="P751" s="224"/>
      <c r="Q751" s="224"/>
      <c r="R751" s="224"/>
      <c r="S751" s="224"/>
      <c r="T751" s="224"/>
      <c r="U751" s="259"/>
      <c r="V751" s="239"/>
      <c r="W751" s="239"/>
      <c r="X751" s="239"/>
      <c r="Y751" s="239"/>
      <c r="Z751" s="239"/>
      <c r="AA751" s="257"/>
      <c r="AB751" s="224"/>
      <c r="AC751" s="224"/>
      <c r="AD751" s="224"/>
      <c r="AE751" s="224"/>
      <c r="AF751" s="224"/>
      <c r="AG751" s="259"/>
      <c r="AH751" s="261"/>
      <c r="AI751" s="261"/>
      <c r="AJ751" s="261"/>
      <c r="AK751" s="261"/>
      <c r="AL751" s="261"/>
      <c r="AM751" s="262"/>
    </row>
    <row r="752" spans="1:39" x14ac:dyDescent="0.25">
      <c r="A752" s="215"/>
      <c r="B752" s="215"/>
      <c r="C752" s="215"/>
      <c r="D752" s="239"/>
      <c r="E752" s="239"/>
      <c r="F752" s="239"/>
      <c r="G752" s="239"/>
      <c r="H752" s="239"/>
      <c r="I752" s="257"/>
      <c r="J752" s="240"/>
      <c r="K752" s="240"/>
      <c r="L752" s="240"/>
      <c r="M752" s="240"/>
      <c r="N752" s="240"/>
      <c r="O752" s="258"/>
      <c r="P752" s="224"/>
      <c r="Q752" s="224"/>
      <c r="R752" s="224"/>
      <c r="S752" s="224"/>
      <c r="T752" s="224"/>
      <c r="U752" s="259"/>
      <c r="V752" s="239"/>
      <c r="W752" s="239"/>
      <c r="X752" s="239"/>
      <c r="Y752" s="239"/>
      <c r="Z752" s="239"/>
      <c r="AA752" s="257"/>
      <c r="AB752" s="224"/>
      <c r="AC752" s="224"/>
      <c r="AD752" s="224"/>
      <c r="AE752" s="224"/>
      <c r="AF752" s="224"/>
      <c r="AG752" s="259"/>
      <c r="AH752" s="261"/>
      <c r="AI752" s="261"/>
      <c r="AJ752" s="261"/>
      <c r="AK752" s="261"/>
      <c r="AL752" s="261"/>
      <c r="AM752" s="262"/>
    </row>
    <row r="753" spans="1:39" x14ac:dyDescent="0.25">
      <c r="A753" s="215"/>
      <c r="B753" s="215"/>
      <c r="C753" s="215"/>
      <c r="D753" s="239"/>
      <c r="E753" s="239"/>
      <c r="F753" s="239"/>
      <c r="G753" s="239"/>
      <c r="H753" s="239"/>
      <c r="I753" s="257"/>
      <c r="J753" s="240"/>
      <c r="K753" s="240"/>
      <c r="L753" s="240"/>
      <c r="M753" s="240"/>
      <c r="N753" s="240"/>
      <c r="O753" s="258"/>
      <c r="P753" s="224"/>
      <c r="Q753" s="224"/>
      <c r="R753" s="224"/>
      <c r="S753" s="224"/>
      <c r="T753" s="224"/>
      <c r="U753" s="259"/>
      <c r="V753" s="239"/>
      <c r="W753" s="239"/>
      <c r="X753" s="239"/>
      <c r="Y753" s="239"/>
      <c r="Z753" s="239"/>
      <c r="AA753" s="257"/>
      <c r="AB753" s="224"/>
      <c r="AC753" s="224"/>
      <c r="AD753" s="224"/>
      <c r="AE753" s="224"/>
      <c r="AF753" s="224"/>
      <c r="AG753" s="259"/>
      <c r="AH753" s="261"/>
      <c r="AI753" s="261"/>
      <c r="AJ753" s="261"/>
      <c r="AK753" s="261"/>
      <c r="AL753" s="261"/>
      <c r="AM753" s="262"/>
    </row>
    <row r="754" spans="1:39" x14ac:dyDescent="0.25">
      <c r="A754" s="215"/>
      <c r="B754" s="215"/>
      <c r="C754" s="215"/>
      <c r="D754" s="239"/>
      <c r="E754" s="239"/>
      <c r="F754" s="239"/>
      <c r="G754" s="239"/>
      <c r="H754" s="239"/>
      <c r="I754" s="257"/>
      <c r="J754" s="240"/>
      <c r="K754" s="240"/>
      <c r="L754" s="240"/>
      <c r="M754" s="240"/>
      <c r="N754" s="240"/>
      <c r="O754" s="258"/>
      <c r="P754" s="224"/>
      <c r="Q754" s="224"/>
      <c r="R754" s="224"/>
      <c r="S754" s="224"/>
      <c r="T754" s="224"/>
      <c r="U754" s="259"/>
      <c r="V754" s="239"/>
      <c r="W754" s="239"/>
      <c r="X754" s="239"/>
      <c r="Y754" s="239"/>
      <c r="Z754" s="239"/>
      <c r="AA754" s="257"/>
      <c r="AB754" s="224"/>
      <c r="AC754" s="224"/>
      <c r="AD754" s="224"/>
      <c r="AE754" s="224"/>
      <c r="AF754" s="224"/>
      <c r="AG754" s="259"/>
      <c r="AH754" s="261"/>
      <c r="AI754" s="261"/>
      <c r="AJ754" s="261"/>
      <c r="AK754" s="261"/>
      <c r="AL754" s="261"/>
      <c r="AM754" s="262"/>
    </row>
    <row r="755" spans="1:39" x14ac:dyDescent="0.25">
      <c r="A755" s="215"/>
      <c r="B755" s="215"/>
      <c r="C755" s="215"/>
      <c r="D755" s="239"/>
      <c r="E755" s="239"/>
      <c r="F755" s="239"/>
      <c r="G755" s="239"/>
      <c r="H755" s="239"/>
      <c r="I755" s="257"/>
      <c r="J755" s="240"/>
      <c r="K755" s="240"/>
      <c r="L755" s="240"/>
      <c r="M755" s="240"/>
      <c r="N755" s="240"/>
      <c r="O755" s="258"/>
      <c r="P755" s="224"/>
      <c r="Q755" s="224"/>
      <c r="R755" s="224"/>
      <c r="S755" s="224"/>
      <c r="T755" s="224"/>
      <c r="U755" s="259"/>
      <c r="V755" s="239"/>
      <c r="W755" s="239"/>
      <c r="X755" s="239"/>
      <c r="Y755" s="239"/>
      <c r="Z755" s="239"/>
      <c r="AA755" s="257"/>
      <c r="AB755" s="224"/>
      <c r="AC755" s="224"/>
      <c r="AD755" s="224"/>
      <c r="AE755" s="224"/>
      <c r="AF755" s="224"/>
      <c r="AG755" s="259"/>
      <c r="AH755" s="261"/>
      <c r="AI755" s="261"/>
      <c r="AJ755" s="261"/>
      <c r="AK755" s="261"/>
      <c r="AL755" s="261"/>
      <c r="AM755" s="262"/>
    </row>
    <row r="756" spans="1:39" x14ac:dyDescent="0.25">
      <c r="A756" s="215"/>
      <c r="B756" s="215"/>
      <c r="C756" s="215"/>
      <c r="D756" s="239"/>
      <c r="E756" s="239"/>
      <c r="F756" s="239"/>
      <c r="G756" s="239"/>
      <c r="H756" s="239"/>
      <c r="I756" s="257"/>
      <c r="J756" s="240"/>
      <c r="K756" s="240"/>
      <c r="L756" s="240"/>
      <c r="M756" s="240"/>
      <c r="N756" s="240"/>
      <c r="O756" s="258"/>
      <c r="P756" s="224"/>
      <c r="Q756" s="224"/>
      <c r="R756" s="224"/>
      <c r="S756" s="224"/>
      <c r="T756" s="224"/>
      <c r="U756" s="259"/>
      <c r="V756" s="239"/>
      <c r="W756" s="239"/>
      <c r="X756" s="239"/>
      <c r="Y756" s="239"/>
      <c r="Z756" s="239"/>
      <c r="AA756" s="257"/>
      <c r="AB756" s="224"/>
      <c r="AC756" s="224"/>
      <c r="AD756" s="224"/>
      <c r="AE756" s="224"/>
      <c r="AF756" s="224"/>
      <c r="AG756" s="259"/>
      <c r="AH756" s="261"/>
      <c r="AI756" s="261"/>
      <c r="AJ756" s="261"/>
      <c r="AK756" s="261"/>
      <c r="AL756" s="261"/>
      <c r="AM756" s="262"/>
    </row>
    <row r="757" spans="1:39" x14ac:dyDescent="0.25">
      <c r="A757" s="215"/>
      <c r="B757" s="215"/>
      <c r="C757" s="215"/>
      <c r="D757" s="239"/>
      <c r="E757" s="239"/>
      <c r="F757" s="239"/>
      <c r="G757" s="239"/>
      <c r="H757" s="239"/>
      <c r="I757" s="257"/>
      <c r="J757" s="240"/>
      <c r="K757" s="240"/>
      <c r="L757" s="240"/>
      <c r="M757" s="240"/>
      <c r="N757" s="240"/>
      <c r="O757" s="258"/>
      <c r="P757" s="224"/>
      <c r="Q757" s="224"/>
      <c r="R757" s="224"/>
      <c r="S757" s="224"/>
      <c r="T757" s="224"/>
      <c r="U757" s="259"/>
      <c r="V757" s="239"/>
      <c r="W757" s="239"/>
      <c r="X757" s="239"/>
      <c r="Y757" s="239"/>
      <c r="Z757" s="239"/>
      <c r="AA757" s="257"/>
      <c r="AB757" s="224"/>
      <c r="AC757" s="224"/>
      <c r="AD757" s="224"/>
      <c r="AE757" s="224"/>
      <c r="AF757" s="224"/>
      <c r="AG757" s="259"/>
      <c r="AH757" s="261"/>
      <c r="AI757" s="261"/>
      <c r="AJ757" s="261"/>
      <c r="AK757" s="261"/>
      <c r="AL757" s="261"/>
      <c r="AM757" s="262"/>
    </row>
    <row r="758" spans="1:39" x14ac:dyDescent="0.25">
      <c r="A758" s="215"/>
      <c r="B758" s="215"/>
      <c r="C758" s="215"/>
      <c r="D758" s="239"/>
      <c r="E758" s="239"/>
      <c r="F758" s="239"/>
      <c r="G758" s="239"/>
      <c r="H758" s="239"/>
      <c r="I758" s="257"/>
      <c r="J758" s="240"/>
      <c r="K758" s="240"/>
      <c r="L758" s="240"/>
      <c r="M758" s="240"/>
      <c r="N758" s="240"/>
      <c r="O758" s="258"/>
      <c r="P758" s="224"/>
      <c r="Q758" s="224"/>
      <c r="R758" s="224"/>
      <c r="S758" s="224"/>
      <c r="T758" s="224"/>
      <c r="U758" s="259"/>
      <c r="V758" s="239"/>
      <c r="W758" s="239"/>
      <c r="X758" s="239"/>
      <c r="Y758" s="239"/>
      <c r="Z758" s="239"/>
      <c r="AA758" s="257"/>
      <c r="AB758" s="224"/>
      <c r="AC758" s="224"/>
      <c r="AD758" s="224"/>
      <c r="AE758" s="224"/>
      <c r="AF758" s="224"/>
      <c r="AG758" s="259"/>
      <c r="AH758" s="261"/>
      <c r="AI758" s="261"/>
      <c r="AJ758" s="261"/>
      <c r="AK758" s="261"/>
      <c r="AL758" s="261"/>
      <c r="AM758" s="262"/>
    </row>
    <row r="759" spans="1:39" x14ac:dyDescent="0.25">
      <c r="A759" s="215"/>
      <c r="B759" s="215"/>
      <c r="C759" s="215"/>
      <c r="D759" s="239"/>
      <c r="E759" s="239"/>
      <c r="F759" s="239"/>
      <c r="G759" s="239"/>
      <c r="H759" s="239"/>
      <c r="I759" s="257"/>
      <c r="J759" s="240"/>
      <c r="K759" s="240"/>
      <c r="L759" s="240"/>
      <c r="M759" s="240"/>
      <c r="N759" s="240"/>
      <c r="O759" s="258"/>
      <c r="P759" s="224"/>
      <c r="Q759" s="224"/>
      <c r="R759" s="224"/>
      <c r="S759" s="224"/>
      <c r="T759" s="224"/>
      <c r="U759" s="259"/>
      <c r="V759" s="239"/>
      <c r="W759" s="239"/>
      <c r="X759" s="239"/>
      <c r="Y759" s="239"/>
      <c r="Z759" s="239"/>
      <c r="AA759" s="257"/>
      <c r="AB759" s="224"/>
      <c r="AC759" s="224"/>
      <c r="AD759" s="224"/>
      <c r="AE759" s="224"/>
      <c r="AF759" s="224"/>
      <c r="AG759" s="259"/>
      <c r="AH759" s="261"/>
      <c r="AI759" s="261"/>
      <c r="AJ759" s="261"/>
      <c r="AK759" s="261"/>
      <c r="AL759" s="261"/>
      <c r="AM759" s="262"/>
    </row>
    <row r="760" spans="1:39" x14ac:dyDescent="0.25">
      <c r="A760" s="215"/>
      <c r="B760" s="215"/>
      <c r="C760" s="215"/>
      <c r="D760" s="239"/>
      <c r="E760" s="239"/>
      <c r="F760" s="239"/>
      <c r="G760" s="239"/>
      <c r="H760" s="239"/>
      <c r="I760" s="257"/>
      <c r="J760" s="240"/>
      <c r="K760" s="240"/>
      <c r="L760" s="240"/>
      <c r="M760" s="240"/>
      <c r="N760" s="240"/>
      <c r="O760" s="258"/>
      <c r="P760" s="224"/>
      <c r="Q760" s="224"/>
      <c r="R760" s="224"/>
      <c r="S760" s="224"/>
      <c r="T760" s="224"/>
      <c r="U760" s="259"/>
      <c r="V760" s="239"/>
      <c r="W760" s="239"/>
      <c r="X760" s="239"/>
      <c r="Y760" s="239"/>
      <c r="Z760" s="239"/>
      <c r="AA760" s="257"/>
      <c r="AB760" s="224"/>
      <c r="AC760" s="224"/>
      <c r="AD760" s="224"/>
      <c r="AE760" s="224"/>
      <c r="AF760" s="224"/>
      <c r="AG760" s="259"/>
      <c r="AH760" s="261"/>
      <c r="AI760" s="261"/>
      <c r="AJ760" s="261"/>
      <c r="AK760" s="261"/>
      <c r="AL760" s="261"/>
      <c r="AM760" s="262"/>
    </row>
    <row r="761" spans="1:39" x14ac:dyDescent="0.25">
      <c r="A761" s="215"/>
      <c r="B761" s="215"/>
      <c r="C761" s="215"/>
      <c r="D761" s="239"/>
      <c r="E761" s="239"/>
      <c r="F761" s="239"/>
      <c r="G761" s="239"/>
      <c r="H761" s="239"/>
      <c r="I761" s="257"/>
      <c r="J761" s="240"/>
      <c r="K761" s="240"/>
      <c r="L761" s="240"/>
      <c r="M761" s="240"/>
      <c r="N761" s="240"/>
      <c r="O761" s="258"/>
      <c r="P761" s="224"/>
      <c r="Q761" s="224"/>
      <c r="R761" s="224"/>
      <c r="S761" s="224"/>
      <c r="T761" s="224"/>
      <c r="U761" s="259"/>
      <c r="V761" s="239"/>
      <c r="W761" s="239"/>
      <c r="X761" s="239"/>
      <c r="Y761" s="239"/>
      <c r="Z761" s="239"/>
      <c r="AA761" s="257"/>
      <c r="AB761" s="224"/>
      <c r="AC761" s="224"/>
      <c r="AD761" s="224"/>
      <c r="AE761" s="224"/>
      <c r="AF761" s="224"/>
      <c r="AG761" s="259"/>
      <c r="AH761" s="261"/>
      <c r="AI761" s="261"/>
      <c r="AJ761" s="261"/>
      <c r="AK761" s="261"/>
      <c r="AL761" s="261"/>
      <c r="AM761" s="262"/>
    </row>
    <row r="762" spans="1:39" x14ac:dyDescent="0.25">
      <c r="A762" s="215"/>
      <c r="B762" s="215"/>
      <c r="C762" s="215"/>
      <c r="D762" s="239"/>
      <c r="E762" s="239"/>
      <c r="F762" s="239"/>
      <c r="G762" s="239"/>
      <c r="H762" s="239"/>
      <c r="I762" s="257"/>
      <c r="J762" s="240"/>
      <c r="K762" s="240"/>
      <c r="L762" s="240"/>
      <c r="M762" s="240"/>
      <c r="N762" s="240"/>
      <c r="O762" s="258"/>
      <c r="P762" s="224"/>
      <c r="Q762" s="224"/>
      <c r="R762" s="224"/>
      <c r="S762" s="224"/>
      <c r="T762" s="224"/>
      <c r="U762" s="259"/>
      <c r="V762" s="239"/>
      <c r="W762" s="239"/>
      <c r="X762" s="239"/>
      <c r="Y762" s="239"/>
      <c r="Z762" s="239"/>
      <c r="AA762" s="257"/>
      <c r="AB762" s="224"/>
      <c r="AC762" s="224"/>
      <c r="AD762" s="224"/>
      <c r="AE762" s="224"/>
      <c r="AF762" s="224"/>
      <c r="AG762" s="259"/>
      <c r="AH762" s="261"/>
      <c r="AI762" s="261"/>
      <c r="AJ762" s="261"/>
      <c r="AK762" s="261"/>
      <c r="AL762" s="261"/>
      <c r="AM762" s="262"/>
    </row>
    <row r="763" spans="1:39" x14ac:dyDescent="0.25">
      <c r="A763" s="215"/>
      <c r="B763" s="215"/>
      <c r="C763" s="215"/>
      <c r="D763" s="239"/>
      <c r="E763" s="239"/>
      <c r="F763" s="239"/>
      <c r="G763" s="239"/>
      <c r="H763" s="239"/>
      <c r="I763" s="257"/>
      <c r="J763" s="240"/>
      <c r="K763" s="240"/>
      <c r="L763" s="240"/>
      <c r="M763" s="240"/>
      <c r="N763" s="240"/>
      <c r="O763" s="258"/>
      <c r="P763" s="224"/>
      <c r="Q763" s="224"/>
      <c r="R763" s="224"/>
      <c r="S763" s="224"/>
      <c r="T763" s="224"/>
      <c r="U763" s="259"/>
      <c r="V763" s="239"/>
      <c r="W763" s="239"/>
      <c r="X763" s="239"/>
      <c r="Y763" s="239"/>
      <c r="Z763" s="239"/>
      <c r="AA763" s="257"/>
      <c r="AB763" s="224"/>
      <c r="AC763" s="224"/>
      <c r="AD763" s="224"/>
      <c r="AE763" s="224"/>
      <c r="AF763" s="224"/>
      <c r="AG763" s="259"/>
      <c r="AH763" s="261"/>
      <c r="AI763" s="261"/>
      <c r="AJ763" s="261"/>
      <c r="AK763" s="261"/>
      <c r="AL763" s="261"/>
      <c r="AM763" s="262"/>
    </row>
    <row r="764" spans="1:39" x14ac:dyDescent="0.25">
      <c r="A764" s="215"/>
      <c r="B764" s="215"/>
      <c r="C764" s="215"/>
      <c r="D764" s="239"/>
      <c r="E764" s="239"/>
      <c r="F764" s="239"/>
      <c r="G764" s="239"/>
      <c r="H764" s="239"/>
      <c r="I764" s="257"/>
      <c r="J764" s="240"/>
      <c r="K764" s="240"/>
      <c r="L764" s="240"/>
      <c r="M764" s="240"/>
      <c r="N764" s="240"/>
      <c r="O764" s="258"/>
      <c r="P764" s="224"/>
      <c r="Q764" s="224"/>
      <c r="R764" s="224"/>
      <c r="S764" s="224"/>
      <c r="T764" s="224"/>
      <c r="U764" s="259"/>
      <c r="V764" s="239"/>
      <c r="W764" s="239"/>
      <c r="X764" s="239"/>
      <c r="Y764" s="239"/>
      <c r="Z764" s="239"/>
      <c r="AA764" s="257"/>
      <c r="AB764" s="224"/>
      <c r="AC764" s="224"/>
      <c r="AD764" s="224"/>
      <c r="AE764" s="224"/>
      <c r="AF764" s="224"/>
      <c r="AG764" s="259"/>
      <c r="AH764" s="261"/>
      <c r="AI764" s="261"/>
      <c r="AJ764" s="261"/>
      <c r="AK764" s="261"/>
      <c r="AL764" s="261"/>
      <c r="AM764" s="262"/>
    </row>
    <row r="765" spans="1:39" x14ac:dyDescent="0.25">
      <c r="A765" s="215"/>
      <c r="B765" s="215"/>
      <c r="C765" s="215"/>
      <c r="D765" s="239"/>
      <c r="E765" s="239"/>
      <c r="F765" s="239"/>
      <c r="G765" s="239"/>
      <c r="H765" s="239"/>
      <c r="I765" s="257"/>
      <c r="J765" s="240"/>
      <c r="K765" s="240"/>
      <c r="L765" s="240"/>
      <c r="M765" s="240"/>
      <c r="N765" s="240"/>
      <c r="O765" s="258"/>
      <c r="P765" s="224"/>
      <c r="Q765" s="224"/>
      <c r="R765" s="224"/>
      <c r="S765" s="224"/>
      <c r="T765" s="224"/>
      <c r="U765" s="259"/>
      <c r="V765" s="239"/>
      <c r="W765" s="239"/>
      <c r="X765" s="239"/>
      <c r="Y765" s="239"/>
      <c r="Z765" s="239"/>
      <c r="AA765" s="257"/>
      <c r="AB765" s="224"/>
      <c r="AC765" s="224"/>
      <c r="AD765" s="224"/>
      <c r="AE765" s="224"/>
      <c r="AF765" s="224"/>
      <c r="AG765" s="259"/>
      <c r="AH765" s="261"/>
      <c r="AI765" s="261"/>
      <c r="AJ765" s="261"/>
      <c r="AK765" s="261"/>
      <c r="AL765" s="261"/>
      <c r="AM765" s="262"/>
    </row>
    <row r="766" spans="1:39" x14ac:dyDescent="0.25">
      <c r="A766" s="215"/>
      <c r="B766" s="215"/>
      <c r="C766" s="215"/>
      <c r="D766" s="239"/>
      <c r="E766" s="239"/>
      <c r="F766" s="239"/>
      <c r="G766" s="239"/>
      <c r="H766" s="239"/>
      <c r="I766" s="257"/>
      <c r="J766" s="240"/>
      <c r="K766" s="240"/>
      <c r="L766" s="240"/>
      <c r="M766" s="240"/>
      <c r="N766" s="240"/>
      <c r="O766" s="258"/>
      <c r="P766" s="224"/>
      <c r="Q766" s="224"/>
      <c r="R766" s="224"/>
      <c r="S766" s="224"/>
      <c r="T766" s="224"/>
      <c r="U766" s="259"/>
      <c r="V766" s="239"/>
      <c r="W766" s="239"/>
      <c r="X766" s="239"/>
      <c r="Y766" s="239"/>
      <c r="Z766" s="239"/>
      <c r="AA766" s="257"/>
      <c r="AB766" s="224"/>
      <c r="AC766" s="224"/>
      <c r="AD766" s="224"/>
      <c r="AE766" s="224"/>
      <c r="AF766" s="224"/>
      <c r="AG766" s="259"/>
      <c r="AH766" s="261"/>
      <c r="AI766" s="261"/>
      <c r="AJ766" s="261"/>
      <c r="AK766" s="261"/>
      <c r="AL766" s="261"/>
      <c r="AM766" s="262"/>
    </row>
    <row r="767" spans="1:39" x14ac:dyDescent="0.25">
      <c r="A767" s="215"/>
      <c r="B767" s="215"/>
      <c r="C767" s="215"/>
      <c r="D767" s="239"/>
      <c r="E767" s="239"/>
      <c r="F767" s="239"/>
      <c r="G767" s="239"/>
      <c r="H767" s="239"/>
      <c r="I767" s="257"/>
      <c r="J767" s="240"/>
      <c r="K767" s="240"/>
      <c r="L767" s="240"/>
      <c r="M767" s="240"/>
      <c r="N767" s="240"/>
      <c r="O767" s="258"/>
      <c r="P767" s="224"/>
      <c r="Q767" s="224"/>
      <c r="R767" s="224"/>
      <c r="S767" s="224"/>
      <c r="T767" s="224"/>
      <c r="U767" s="259"/>
      <c r="V767" s="239"/>
      <c r="W767" s="239"/>
      <c r="X767" s="239"/>
      <c r="Y767" s="239"/>
      <c r="Z767" s="239"/>
      <c r="AA767" s="257"/>
      <c r="AB767" s="224"/>
      <c r="AC767" s="224"/>
      <c r="AD767" s="224"/>
      <c r="AE767" s="224"/>
      <c r="AF767" s="224"/>
      <c r="AG767" s="259"/>
      <c r="AH767" s="261"/>
      <c r="AI767" s="261"/>
      <c r="AJ767" s="261"/>
      <c r="AK767" s="261"/>
      <c r="AL767" s="261"/>
      <c r="AM767" s="262"/>
    </row>
    <row r="768" spans="1:39" x14ac:dyDescent="0.25">
      <c r="A768" s="215"/>
      <c r="B768" s="215"/>
      <c r="C768" s="215"/>
      <c r="D768" s="239"/>
      <c r="E768" s="239"/>
      <c r="F768" s="239"/>
      <c r="G768" s="239"/>
      <c r="H768" s="239"/>
      <c r="I768" s="257"/>
      <c r="J768" s="240"/>
      <c r="K768" s="240"/>
      <c r="L768" s="240"/>
      <c r="M768" s="240"/>
      <c r="N768" s="240"/>
      <c r="O768" s="258"/>
      <c r="P768" s="224"/>
      <c r="Q768" s="224"/>
      <c r="R768" s="224"/>
      <c r="S768" s="224"/>
      <c r="T768" s="224"/>
      <c r="U768" s="259"/>
      <c r="V768" s="239"/>
      <c r="W768" s="239"/>
      <c r="X768" s="239"/>
      <c r="Y768" s="239"/>
      <c r="Z768" s="239"/>
      <c r="AA768" s="257"/>
      <c r="AB768" s="224"/>
      <c r="AC768" s="224"/>
      <c r="AD768" s="224"/>
      <c r="AE768" s="224"/>
      <c r="AF768" s="224"/>
      <c r="AG768" s="259"/>
      <c r="AH768" s="261"/>
      <c r="AI768" s="261"/>
      <c r="AJ768" s="261"/>
      <c r="AK768" s="261"/>
      <c r="AL768" s="261"/>
      <c r="AM768" s="262"/>
    </row>
    <row r="769" spans="1:39" x14ac:dyDescent="0.25">
      <c r="A769" s="215"/>
      <c r="B769" s="215"/>
      <c r="C769" s="215"/>
      <c r="D769" s="239"/>
      <c r="E769" s="239"/>
      <c r="F769" s="239"/>
      <c r="G769" s="239"/>
      <c r="H769" s="239"/>
      <c r="I769" s="257"/>
      <c r="J769" s="240"/>
      <c r="K769" s="240"/>
      <c r="L769" s="240"/>
      <c r="M769" s="240"/>
      <c r="N769" s="240"/>
      <c r="O769" s="258"/>
      <c r="P769" s="224"/>
      <c r="Q769" s="224"/>
      <c r="R769" s="224"/>
      <c r="S769" s="224"/>
      <c r="T769" s="224"/>
      <c r="U769" s="259"/>
      <c r="V769" s="239"/>
      <c r="W769" s="239"/>
      <c r="X769" s="239"/>
      <c r="Y769" s="239"/>
      <c r="Z769" s="239"/>
      <c r="AA769" s="257"/>
      <c r="AB769" s="224"/>
      <c r="AC769" s="224"/>
      <c r="AD769" s="224"/>
      <c r="AE769" s="224"/>
      <c r="AF769" s="224"/>
      <c r="AG769" s="259"/>
      <c r="AH769" s="261"/>
      <c r="AI769" s="261"/>
      <c r="AJ769" s="261"/>
      <c r="AK769" s="261"/>
      <c r="AL769" s="261"/>
      <c r="AM769" s="262"/>
    </row>
    <row r="770" spans="1:39" x14ac:dyDescent="0.25">
      <c r="A770" s="215"/>
      <c r="B770" s="215"/>
      <c r="C770" s="215"/>
      <c r="D770" s="239"/>
      <c r="E770" s="239"/>
      <c r="F770" s="239"/>
      <c r="G770" s="239"/>
      <c r="H770" s="239"/>
      <c r="I770" s="257"/>
      <c r="J770" s="240"/>
      <c r="K770" s="240"/>
      <c r="L770" s="240"/>
      <c r="M770" s="240"/>
      <c r="N770" s="240"/>
      <c r="O770" s="258"/>
      <c r="P770" s="224"/>
      <c r="Q770" s="224"/>
      <c r="R770" s="224"/>
      <c r="S770" s="224"/>
      <c r="T770" s="224"/>
      <c r="U770" s="259"/>
      <c r="V770" s="239"/>
      <c r="W770" s="239"/>
      <c r="X770" s="239"/>
      <c r="Y770" s="239"/>
      <c r="Z770" s="239"/>
      <c r="AA770" s="257"/>
      <c r="AB770" s="224"/>
      <c r="AC770" s="224"/>
      <c r="AD770" s="224"/>
      <c r="AE770" s="224"/>
      <c r="AF770" s="224"/>
      <c r="AG770" s="259"/>
      <c r="AH770" s="261"/>
      <c r="AI770" s="261"/>
      <c r="AJ770" s="261"/>
      <c r="AK770" s="261"/>
      <c r="AL770" s="261"/>
      <c r="AM770" s="262"/>
    </row>
    <row r="771" spans="1:39" x14ac:dyDescent="0.25">
      <c r="A771" s="215"/>
      <c r="B771" s="215"/>
      <c r="C771" s="215"/>
      <c r="D771" s="239"/>
      <c r="E771" s="239"/>
      <c r="F771" s="239"/>
      <c r="G771" s="239"/>
      <c r="H771" s="239"/>
      <c r="I771" s="257"/>
      <c r="J771" s="240"/>
      <c r="K771" s="240"/>
      <c r="L771" s="240"/>
      <c r="M771" s="240"/>
      <c r="N771" s="240"/>
      <c r="O771" s="258"/>
      <c r="P771" s="224"/>
      <c r="Q771" s="224"/>
      <c r="R771" s="224"/>
      <c r="S771" s="224"/>
      <c r="T771" s="224"/>
      <c r="U771" s="259"/>
      <c r="V771" s="239"/>
      <c r="W771" s="239"/>
      <c r="X771" s="239"/>
      <c r="Y771" s="239"/>
      <c r="Z771" s="239"/>
      <c r="AA771" s="257"/>
      <c r="AB771" s="224"/>
      <c r="AC771" s="224"/>
      <c r="AD771" s="224"/>
      <c r="AE771" s="224"/>
      <c r="AF771" s="224"/>
      <c r="AG771" s="259"/>
      <c r="AH771" s="261"/>
      <c r="AI771" s="261"/>
      <c r="AJ771" s="261"/>
      <c r="AK771" s="261"/>
      <c r="AL771" s="261"/>
      <c r="AM771" s="262"/>
    </row>
    <row r="772" spans="1:39" x14ac:dyDescent="0.25">
      <c r="A772" s="215"/>
      <c r="B772" s="215"/>
      <c r="C772" s="215"/>
      <c r="D772" s="239"/>
      <c r="E772" s="239"/>
      <c r="F772" s="239"/>
      <c r="G772" s="239"/>
      <c r="H772" s="239"/>
      <c r="I772" s="257"/>
      <c r="J772" s="240"/>
      <c r="K772" s="240"/>
      <c r="L772" s="240"/>
      <c r="M772" s="240"/>
      <c r="N772" s="240"/>
      <c r="O772" s="258"/>
      <c r="P772" s="224"/>
      <c r="Q772" s="224"/>
      <c r="R772" s="224"/>
      <c r="S772" s="224"/>
      <c r="T772" s="224"/>
      <c r="U772" s="259"/>
      <c r="V772" s="239"/>
      <c r="W772" s="239"/>
      <c r="X772" s="239"/>
      <c r="Y772" s="239"/>
      <c r="Z772" s="239"/>
      <c r="AA772" s="257"/>
      <c r="AB772" s="224"/>
      <c r="AC772" s="224"/>
      <c r="AD772" s="224"/>
      <c r="AE772" s="224"/>
      <c r="AF772" s="224"/>
      <c r="AG772" s="259"/>
      <c r="AH772" s="261"/>
      <c r="AI772" s="261"/>
      <c r="AJ772" s="261"/>
      <c r="AK772" s="261"/>
      <c r="AL772" s="261"/>
      <c r="AM772" s="262"/>
    </row>
    <row r="773" spans="1:39" x14ac:dyDescent="0.25">
      <c r="A773" s="215"/>
      <c r="B773" s="215"/>
      <c r="C773" s="215"/>
      <c r="D773" s="239"/>
      <c r="E773" s="239"/>
      <c r="F773" s="239"/>
      <c r="G773" s="239"/>
      <c r="H773" s="239"/>
      <c r="I773" s="257"/>
      <c r="J773" s="240"/>
      <c r="K773" s="240"/>
      <c r="L773" s="240"/>
      <c r="M773" s="240"/>
      <c r="N773" s="240"/>
      <c r="O773" s="258"/>
      <c r="P773" s="224"/>
      <c r="Q773" s="224"/>
      <c r="R773" s="224"/>
      <c r="S773" s="224"/>
      <c r="T773" s="224"/>
      <c r="U773" s="259"/>
      <c r="V773" s="239"/>
      <c r="W773" s="239"/>
      <c r="X773" s="239"/>
      <c r="Y773" s="239"/>
      <c r="Z773" s="239"/>
      <c r="AA773" s="257"/>
      <c r="AB773" s="224"/>
      <c r="AC773" s="224"/>
      <c r="AD773" s="224"/>
      <c r="AE773" s="224"/>
      <c r="AF773" s="224"/>
      <c r="AG773" s="259"/>
      <c r="AH773" s="261"/>
      <c r="AI773" s="261"/>
      <c r="AJ773" s="261"/>
      <c r="AK773" s="261"/>
      <c r="AL773" s="261"/>
      <c r="AM773" s="262"/>
    </row>
    <row r="774" spans="1:39" x14ac:dyDescent="0.25">
      <c r="A774" s="215"/>
      <c r="B774" s="215"/>
      <c r="C774" s="215"/>
      <c r="D774" s="239"/>
      <c r="E774" s="239"/>
      <c r="F774" s="239"/>
      <c r="G774" s="239"/>
      <c r="H774" s="239"/>
      <c r="I774" s="257"/>
      <c r="J774" s="240"/>
      <c r="K774" s="240"/>
      <c r="L774" s="240"/>
      <c r="M774" s="240"/>
      <c r="N774" s="240"/>
      <c r="O774" s="258"/>
      <c r="P774" s="224"/>
      <c r="Q774" s="224"/>
      <c r="R774" s="224"/>
      <c r="S774" s="224"/>
      <c r="T774" s="224"/>
      <c r="U774" s="259"/>
      <c r="V774" s="239"/>
      <c r="W774" s="239"/>
      <c r="X774" s="239"/>
      <c r="Y774" s="239"/>
      <c r="Z774" s="239"/>
      <c r="AA774" s="257"/>
      <c r="AB774" s="224"/>
      <c r="AC774" s="224"/>
      <c r="AD774" s="224"/>
      <c r="AE774" s="224"/>
      <c r="AF774" s="224"/>
      <c r="AG774" s="259"/>
      <c r="AH774" s="261"/>
      <c r="AI774" s="261"/>
      <c r="AJ774" s="261"/>
      <c r="AK774" s="261"/>
      <c r="AL774" s="261"/>
      <c r="AM774" s="262"/>
    </row>
    <row r="775" spans="1:39" x14ac:dyDescent="0.25">
      <c r="A775" s="215"/>
      <c r="B775" s="215"/>
      <c r="C775" s="215"/>
      <c r="D775" s="239"/>
      <c r="E775" s="239"/>
      <c r="F775" s="239"/>
      <c r="G775" s="239"/>
      <c r="H775" s="239"/>
      <c r="I775" s="257"/>
      <c r="J775" s="240"/>
      <c r="K775" s="240"/>
      <c r="L775" s="240"/>
      <c r="M775" s="240"/>
      <c r="N775" s="240"/>
      <c r="O775" s="258"/>
      <c r="P775" s="224"/>
      <c r="Q775" s="224"/>
      <c r="R775" s="224"/>
      <c r="S775" s="224"/>
      <c r="T775" s="224"/>
      <c r="U775" s="259"/>
      <c r="V775" s="239"/>
      <c r="W775" s="239"/>
      <c r="X775" s="239"/>
      <c r="Y775" s="239"/>
      <c r="Z775" s="239"/>
      <c r="AA775" s="257"/>
      <c r="AB775" s="224"/>
      <c r="AC775" s="224"/>
      <c r="AD775" s="224"/>
      <c r="AE775" s="224"/>
      <c r="AF775" s="224"/>
      <c r="AG775" s="259"/>
      <c r="AH775" s="261"/>
      <c r="AI775" s="261"/>
      <c r="AJ775" s="261"/>
      <c r="AK775" s="261"/>
      <c r="AL775" s="261"/>
      <c r="AM775" s="262"/>
    </row>
    <row r="776" spans="1:39" x14ac:dyDescent="0.25">
      <c r="A776" s="215"/>
      <c r="B776" s="215"/>
      <c r="C776" s="215"/>
      <c r="D776" s="239"/>
      <c r="E776" s="239"/>
      <c r="F776" s="239"/>
      <c r="G776" s="239"/>
      <c r="H776" s="239"/>
      <c r="I776" s="257"/>
      <c r="J776" s="240"/>
      <c r="K776" s="240"/>
      <c r="L776" s="240"/>
      <c r="M776" s="240"/>
      <c r="N776" s="240"/>
      <c r="O776" s="258"/>
      <c r="P776" s="224"/>
      <c r="Q776" s="224"/>
      <c r="R776" s="224"/>
      <c r="S776" s="224"/>
      <c r="T776" s="224"/>
      <c r="U776" s="259"/>
      <c r="V776" s="239"/>
      <c r="W776" s="239"/>
      <c r="X776" s="239"/>
      <c r="Y776" s="239"/>
      <c r="Z776" s="239"/>
      <c r="AA776" s="257"/>
      <c r="AB776" s="224"/>
      <c r="AC776" s="224"/>
      <c r="AD776" s="224"/>
      <c r="AE776" s="224"/>
      <c r="AF776" s="224"/>
      <c r="AG776" s="259"/>
      <c r="AH776" s="261"/>
      <c r="AI776" s="261"/>
      <c r="AJ776" s="261"/>
      <c r="AK776" s="261"/>
      <c r="AL776" s="261"/>
      <c r="AM776" s="262"/>
    </row>
    <row r="777" spans="1:39" x14ac:dyDescent="0.25">
      <c r="A777" s="215"/>
      <c r="B777" s="215"/>
      <c r="C777" s="215"/>
      <c r="D777" s="239"/>
      <c r="E777" s="239"/>
      <c r="F777" s="239"/>
      <c r="G777" s="239"/>
      <c r="H777" s="239"/>
      <c r="I777" s="257"/>
      <c r="J777" s="240"/>
      <c r="K777" s="240"/>
      <c r="L777" s="240"/>
      <c r="M777" s="240"/>
      <c r="N777" s="240"/>
      <c r="O777" s="258"/>
      <c r="P777" s="224"/>
      <c r="Q777" s="224"/>
      <c r="R777" s="224"/>
      <c r="S777" s="224"/>
      <c r="T777" s="224"/>
      <c r="U777" s="259"/>
      <c r="V777" s="239"/>
      <c r="W777" s="239"/>
      <c r="X777" s="239"/>
      <c r="Y777" s="239"/>
      <c r="Z777" s="239"/>
      <c r="AA777" s="257"/>
      <c r="AB777" s="224"/>
      <c r="AC777" s="224"/>
      <c r="AD777" s="224"/>
      <c r="AE777" s="224"/>
      <c r="AF777" s="224"/>
      <c r="AG777" s="259"/>
      <c r="AH777" s="261"/>
      <c r="AI777" s="261"/>
      <c r="AJ777" s="261"/>
      <c r="AK777" s="261"/>
      <c r="AL777" s="261"/>
      <c r="AM777" s="262"/>
    </row>
    <row r="778" spans="1:39" x14ac:dyDescent="0.25">
      <c r="A778" s="215"/>
      <c r="B778" s="215"/>
      <c r="C778" s="215"/>
      <c r="D778" s="239"/>
      <c r="E778" s="239"/>
      <c r="F778" s="239"/>
      <c r="G778" s="239"/>
      <c r="H778" s="239"/>
      <c r="I778" s="257"/>
      <c r="J778" s="240"/>
      <c r="K778" s="240"/>
      <c r="L778" s="240"/>
      <c r="M778" s="240"/>
      <c r="N778" s="240"/>
      <c r="O778" s="258"/>
      <c r="P778" s="224"/>
      <c r="Q778" s="224"/>
      <c r="R778" s="224"/>
      <c r="S778" s="224"/>
      <c r="T778" s="224"/>
      <c r="U778" s="259"/>
      <c r="V778" s="239"/>
      <c r="W778" s="239"/>
      <c r="X778" s="239"/>
      <c r="Y778" s="239"/>
      <c r="Z778" s="239"/>
      <c r="AA778" s="257"/>
      <c r="AB778" s="224"/>
      <c r="AC778" s="224"/>
      <c r="AD778" s="224"/>
      <c r="AE778" s="224"/>
      <c r="AF778" s="224"/>
      <c r="AG778" s="259"/>
      <c r="AH778" s="261"/>
      <c r="AI778" s="261"/>
      <c r="AJ778" s="261"/>
      <c r="AK778" s="261"/>
      <c r="AL778" s="261"/>
      <c r="AM778" s="262"/>
    </row>
    <row r="779" spans="1:39" x14ac:dyDescent="0.25">
      <c r="A779" s="215"/>
      <c r="B779" s="215"/>
      <c r="C779" s="215"/>
      <c r="D779" s="239"/>
      <c r="E779" s="239"/>
      <c r="F779" s="239"/>
      <c r="G779" s="239"/>
      <c r="H779" s="239"/>
      <c r="I779" s="257"/>
      <c r="J779" s="240"/>
      <c r="K779" s="240"/>
      <c r="L779" s="240"/>
      <c r="M779" s="240"/>
      <c r="N779" s="240"/>
      <c r="O779" s="258"/>
      <c r="P779" s="224"/>
      <c r="Q779" s="224"/>
      <c r="R779" s="224"/>
      <c r="S779" s="224"/>
      <c r="T779" s="224"/>
      <c r="U779" s="259"/>
      <c r="V779" s="239"/>
      <c r="W779" s="239"/>
      <c r="X779" s="239"/>
      <c r="Y779" s="239"/>
      <c r="Z779" s="239"/>
      <c r="AA779" s="257"/>
      <c r="AB779" s="224"/>
      <c r="AC779" s="224"/>
      <c r="AD779" s="224"/>
      <c r="AE779" s="224"/>
      <c r="AF779" s="224"/>
      <c r="AG779" s="259"/>
      <c r="AH779" s="261"/>
      <c r="AI779" s="261"/>
      <c r="AJ779" s="261"/>
      <c r="AK779" s="261"/>
      <c r="AL779" s="261"/>
      <c r="AM779" s="262"/>
    </row>
    <row r="780" spans="1:39" x14ac:dyDescent="0.25">
      <c r="A780" s="215"/>
      <c r="B780" s="215"/>
      <c r="C780" s="215"/>
      <c r="D780" s="239"/>
      <c r="E780" s="239"/>
      <c r="F780" s="239"/>
      <c r="G780" s="239"/>
      <c r="H780" s="239"/>
      <c r="I780" s="257"/>
      <c r="J780" s="240"/>
      <c r="K780" s="240"/>
      <c r="L780" s="240"/>
      <c r="M780" s="240"/>
      <c r="N780" s="240"/>
      <c r="O780" s="258"/>
      <c r="P780" s="224"/>
      <c r="Q780" s="224"/>
      <c r="R780" s="224"/>
      <c r="S780" s="224"/>
      <c r="T780" s="224"/>
      <c r="U780" s="259"/>
      <c r="V780" s="239"/>
      <c r="W780" s="239"/>
      <c r="X780" s="239"/>
      <c r="Y780" s="239"/>
      <c r="Z780" s="239"/>
      <c r="AA780" s="257"/>
      <c r="AB780" s="224"/>
      <c r="AC780" s="224"/>
      <c r="AD780" s="224"/>
      <c r="AE780" s="224"/>
      <c r="AF780" s="224"/>
      <c r="AG780" s="259"/>
      <c r="AH780" s="261"/>
      <c r="AI780" s="261"/>
      <c r="AJ780" s="261"/>
      <c r="AK780" s="261"/>
      <c r="AL780" s="261"/>
      <c r="AM780" s="262"/>
    </row>
    <row r="781" spans="1:39" x14ac:dyDescent="0.25">
      <c r="A781" s="215"/>
      <c r="B781" s="215"/>
      <c r="C781" s="215"/>
      <c r="D781" s="239"/>
      <c r="E781" s="239"/>
      <c r="F781" s="239"/>
      <c r="G781" s="239"/>
      <c r="H781" s="239"/>
      <c r="I781" s="257"/>
      <c r="J781" s="240"/>
      <c r="K781" s="240"/>
      <c r="L781" s="240"/>
      <c r="M781" s="240"/>
      <c r="N781" s="240"/>
      <c r="O781" s="258"/>
      <c r="P781" s="224"/>
      <c r="Q781" s="224"/>
      <c r="R781" s="224"/>
      <c r="S781" s="224"/>
      <c r="T781" s="224"/>
      <c r="U781" s="259"/>
      <c r="V781" s="239"/>
      <c r="W781" s="239"/>
      <c r="X781" s="239"/>
      <c r="Y781" s="239"/>
      <c r="Z781" s="239"/>
      <c r="AA781" s="257"/>
      <c r="AB781" s="224"/>
      <c r="AC781" s="224"/>
      <c r="AD781" s="224"/>
      <c r="AE781" s="224"/>
      <c r="AF781" s="224"/>
      <c r="AG781" s="259"/>
      <c r="AH781" s="261"/>
      <c r="AI781" s="261"/>
      <c r="AJ781" s="261"/>
      <c r="AK781" s="261"/>
      <c r="AL781" s="261"/>
      <c r="AM781" s="262"/>
    </row>
    <row r="782" spans="1:39" x14ac:dyDescent="0.25">
      <c r="A782" s="215"/>
      <c r="B782" s="215"/>
      <c r="C782" s="215"/>
      <c r="D782" s="239"/>
      <c r="E782" s="239"/>
      <c r="F782" s="239"/>
      <c r="G782" s="239"/>
      <c r="H782" s="239"/>
      <c r="I782" s="257"/>
      <c r="J782" s="240"/>
      <c r="K782" s="240"/>
      <c r="L782" s="240"/>
      <c r="M782" s="240"/>
      <c r="N782" s="240"/>
      <c r="O782" s="258"/>
      <c r="P782" s="224"/>
      <c r="Q782" s="224"/>
      <c r="R782" s="224"/>
      <c r="S782" s="224"/>
      <c r="T782" s="224"/>
      <c r="U782" s="259"/>
      <c r="V782" s="239"/>
      <c r="W782" s="239"/>
      <c r="X782" s="239"/>
      <c r="Y782" s="239"/>
      <c r="Z782" s="239"/>
      <c r="AA782" s="257"/>
      <c r="AB782" s="224"/>
      <c r="AC782" s="224"/>
      <c r="AD782" s="224"/>
      <c r="AE782" s="224"/>
      <c r="AF782" s="224"/>
      <c r="AG782" s="259"/>
      <c r="AH782" s="261"/>
      <c r="AI782" s="261"/>
      <c r="AJ782" s="261"/>
      <c r="AK782" s="261"/>
      <c r="AL782" s="261"/>
      <c r="AM782" s="262"/>
    </row>
    <row r="783" spans="1:39" x14ac:dyDescent="0.25">
      <c r="A783" s="215"/>
      <c r="B783" s="215"/>
      <c r="C783" s="215"/>
      <c r="D783" s="239"/>
      <c r="E783" s="239"/>
      <c r="F783" s="239"/>
      <c r="G783" s="239"/>
      <c r="H783" s="239"/>
      <c r="I783" s="257"/>
      <c r="J783" s="240"/>
      <c r="K783" s="240"/>
      <c r="L783" s="240"/>
      <c r="M783" s="240"/>
      <c r="N783" s="240"/>
      <c r="O783" s="258"/>
      <c r="P783" s="224"/>
      <c r="Q783" s="224"/>
      <c r="R783" s="224"/>
      <c r="S783" s="224"/>
      <c r="T783" s="224"/>
      <c r="U783" s="259"/>
      <c r="V783" s="239"/>
      <c r="W783" s="239"/>
      <c r="X783" s="239"/>
      <c r="Y783" s="239"/>
      <c r="Z783" s="239"/>
      <c r="AA783" s="257"/>
      <c r="AB783" s="224"/>
      <c r="AC783" s="224"/>
      <c r="AD783" s="224"/>
      <c r="AE783" s="224"/>
      <c r="AF783" s="224"/>
      <c r="AG783" s="259"/>
      <c r="AH783" s="261"/>
      <c r="AI783" s="261"/>
      <c r="AJ783" s="261"/>
      <c r="AK783" s="261"/>
      <c r="AL783" s="261"/>
      <c r="AM783" s="262"/>
    </row>
    <row r="784" spans="1:39" x14ac:dyDescent="0.25">
      <c r="A784" s="215"/>
      <c r="B784" s="215"/>
      <c r="C784" s="215"/>
      <c r="D784" s="239"/>
      <c r="E784" s="239"/>
      <c r="F784" s="239"/>
      <c r="G784" s="239"/>
      <c r="H784" s="239"/>
      <c r="I784" s="257"/>
      <c r="J784" s="240"/>
      <c r="K784" s="240"/>
      <c r="L784" s="240"/>
      <c r="M784" s="240"/>
      <c r="N784" s="240"/>
      <c r="O784" s="258"/>
      <c r="P784" s="224"/>
      <c r="Q784" s="224"/>
      <c r="R784" s="224"/>
      <c r="S784" s="224"/>
      <c r="T784" s="224"/>
      <c r="U784" s="259"/>
      <c r="V784" s="239"/>
      <c r="W784" s="239"/>
      <c r="X784" s="239"/>
      <c r="Y784" s="239"/>
      <c r="Z784" s="239"/>
      <c r="AA784" s="257"/>
      <c r="AB784" s="224"/>
      <c r="AC784" s="224"/>
      <c r="AD784" s="224"/>
      <c r="AE784" s="224"/>
      <c r="AF784" s="224"/>
      <c r="AG784" s="259"/>
      <c r="AH784" s="261"/>
      <c r="AI784" s="261"/>
      <c r="AJ784" s="261"/>
      <c r="AK784" s="261"/>
      <c r="AL784" s="261"/>
      <c r="AM784" s="262"/>
    </row>
    <row r="785" spans="1:39" x14ac:dyDescent="0.25">
      <c r="A785" s="215"/>
      <c r="B785" s="215"/>
      <c r="C785" s="215"/>
      <c r="D785" s="239"/>
      <c r="E785" s="239"/>
      <c r="F785" s="239"/>
      <c r="G785" s="239"/>
      <c r="H785" s="239"/>
      <c r="I785" s="257"/>
      <c r="J785" s="240"/>
      <c r="K785" s="240"/>
      <c r="L785" s="240"/>
      <c r="M785" s="240"/>
      <c r="N785" s="240"/>
      <c r="O785" s="258"/>
      <c r="P785" s="224"/>
      <c r="Q785" s="224"/>
      <c r="R785" s="224"/>
      <c r="S785" s="224"/>
      <c r="T785" s="224"/>
      <c r="U785" s="259"/>
      <c r="V785" s="239"/>
      <c r="W785" s="239"/>
      <c r="X785" s="239"/>
      <c r="Y785" s="239"/>
      <c r="Z785" s="239"/>
      <c r="AA785" s="257"/>
      <c r="AB785" s="224"/>
      <c r="AC785" s="224"/>
      <c r="AD785" s="224"/>
      <c r="AE785" s="224"/>
      <c r="AF785" s="224"/>
      <c r="AG785" s="259"/>
      <c r="AH785" s="261"/>
      <c r="AI785" s="261"/>
      <c r="AJ785" s="261"/>
      <c r="AK785" s="261"/>
      <c r="AL785" s="261"/>
      <c r="AM785" s="262"/>
    </row>
    <row r="786" spans="1:39" x14ac:dyDescent="0.25">
      <c r="A786" s="215"/>
      <c r="B786" s="215"/>
      <c r="C786" s="215"/>
      <c r="D786" s="239"/>
      <c r="E786" s="239"/>
      <c r="F786" s="239"/>
      <c r="G786" s="239"/>
      <c r="H786" s="239"/>
      <c r="I786" s="257"/>
      <c r="J786" s="240"/>
      <c r="K786" s="240"/>
      <c r="L786" s="240"/>
      <c r="M786" s="240"/>
      <c r="N786" s="240"/>
      <c r="O786" s="258"/>
      <c r="P786" s="224"/>
      <c r="Q786" s="224"/>
      <c r="R786" s="224"/>
      <c r="S786" s="224"/>
      <c r="T786" s="224"/>
      <c r="U786" s="259"/>
      <c r="V786" s="239"/>
      <c r="W786" s="239"/>
      <c r="X786" s="239"/>
      <c r="Y786" s="239"/>
      <c r="Z786" s="239"/>
      <c r="AA786" s="257"/>
      <c r="AB786" s="224"/>
      <c r="AC786" s="224"/>
      <c r="AD786" s="224"/>
      <c r="AE786" s="224"/>
      <c r="AF786" s="224"/>
      <c r="AG786" s="259"/>
      <c r="AH786" s="261"/>
      <c r="AI786" s="261"/>
      <c r="AJ786" s="261"/>
      <c r="AK786" s="261"/>
      <c r="AL786" s="261"/>
      <c r="AM786" s="262"/>
    </row>
    <row r="787" spans="1:39" x14ac:dyDescent="0.25">
      <c r="A787" s="215"/>
      <c r="B787" s="215"/>
      <c r="C787" s="215"/>
      <c r="D787" s="239"/>
      <c r="E787" s="239"/>
      <c r="F787" s="239"/>
      <c r="G787" s="239"/>
      <c r="H787" s="239"/>
      <c r="I787" s="257"/>
      <c r="J787" s="240"/>
      <c r="K787" s="240"/>
      <c r="L787" s="240"/>
      <c r="M787" s="240"/>
      <c r="N787" s="240"/>
      <c r="O787" s="258"/>
      <c r="P787" s="224"/>
      <c r="Q787" s="224"/>
      <c r="R787" s="224"/>
      <c r="S787" s="224"/>
      <c r="T787" s="224"/>
      <c r="U787" s="259"/>
      <c r="V787" s="239"/>
      <c r="W787" s="239"/>
      <c r="X787" s="239"/>
      <c r="Y787" s="239"/>
      <c r="Z787" s="239"/>
      <c r="AA787" s="257"/>
      <c r="AB787" s="224"/>
      <c r="AC787" s="224"/>
      <c r="AD787" s="224"/>
      <c r="AE787" s="224"/>
      <c r="AF787" s="224"/>
      <c r="AG787" s="259"/>
      <c r="AH787" s="261"/>
      <c r="AI787" s="261"/>
      <c r="AJ787" s="261"/>
      <c r="AK787" s="261"/>
      <c r="AL787" s="261"/>
      <c r="AM787" s="262"/>
    </row>
    <row r="788" spans="1:39" x14ac:dyDescent="0.25">
      <c r="A788" s="215"/>
      <c r="B788" s="215"/>
      <c r="C788" s="215"/>
      <c r="D788" s="239"/>
      <c r="E788" s="239"/>
      <c r="F788" s="239"/>
      <c r="G788" s="239"/>
      <c r="H788" s="239"/>
      <c r="I788" s="257"/>
      <c r="J788" s="240"/>
      <c r="K788" s="240"/>
      <c r="L788" s="240"/>
      <c r="M788" s="240"/>
      <c r="N788" s="240"/>
      <c r="O788" s="258"/>
      <c r="P788" s="224"/>
      <c r="Q788" s="224"/>
      <c r="R788" s="224"/>
      <c r="S788" s="224"/>
      <c r="T788" s="224"/>
      <c r="U788" s="259"/>
      <c r="V788" s="239"/>
      <c r="W788" s="239"/>
      <c r="X788" s="239"/>
      <c r="Y788" s="239"/>
      <c r="Z788" s="239"/>
      <c r="AA788" s="257"/>
      <c r="AB788" s="224"/>
      <c r="AC788" s="224"/>
      <c r="AD788" s="224"/>
      <c r="AE788" s="224"/>
      <c r="AF788" s="224"/>
      <c r="AG788" s="259"/>
      <c r="AH788" s="261"/>
      <c r="AI788" s="261"/>
      <c r="AJ788" s="261"/>
      <c r="AK788" s="261"/>
      <c r="AL788" s="261"/>
      <c r="AM788" s="262"/>
    </row>
    <row r="789" spans="1:39" x14ac:dyDescent="0.25">
      <c r="A789" s="215"/>
      <c r="B789" s="215"/>
      <c r="C789" s="215"/>
      <c r="D789" s="239"/>
      <c r="E789" s="239"/>
      <c r="F789" s="239"/>
      <c r="G789" s="239"/>
      <c r="H789" s="239"/>
      <c r="I789" s="257"/>
      <c r="J789" s="240"/>
      <c r="K789" s="240"/>
      <c r="L789" s="240"/>
      <c r="M789" s="240"/>
      <c r="N789" s="240"/>
      <c r="O789" s="258"/>
      <c r="P789" s="224"/>
      <c r="Q789" s="224"/>
      <c r="R789" s="224"/>
      <c r="S789" s="224"/>
      <c r="T789" s="224"/>
      <c r="U789" s="259"/>
      <c r="V789" s="239"/>
      <c r="W789" s="239"/>
      <c r="X789" s="239"/>
      <c r="Y789" s="239"/>
      <c r="Z789" s="239"/>
      <c r="AA789" s="257"/>
      <c r="AB789" s="224"/>
      <c r="AC789" s="224"/>
      <c r="AD789" s="224"/>
      <c r="AE789" s="224"/>
      <c r="AF789" s="224"/>
      <c r="AG789" s="259"/>
      <c r="AH789" s="261"/>
      <c r="AI789" s="261"/>
      <c r="AJ789" s="261"/>
      <c r="AK789" s="261"/>
      <c r="AL789" s="261"/>
      <c r="AM789" s="262"/>
    </row>
    <row r="790" spans="1:39" x14ac:dyDescent="0.25">
      <c r="A790" s="215"/>
      <c r="B790" s="215"/>
      <c r="C790" s="215"/>
      <c r="D790" s="239"/>
      <c r="E790" s="239"/>
      <c r="F790" s="239"/>
      <c r="G790" s="239"/>
      <c r="H790" s="239"/>
      <c r="I790" s="257"/>
      <c r="J790" s="240"/>
      <c r="K790" s="240"/>
      <c r="L790" s="240"/>
      <c r="M790" s="240"/>
      <c r="N790" s="240"/>
      <c r="O790" s="258"/>
      <c r="P790" s="224"/>
      <c r="Q790" s="224"/>
      <c r="R790" s="224"/>
      <c r="S790" s="224"/>
      <c r="T790" s="224"/>
      <c r="U790" s="259"/>
      <c r="V790" s="239"/>
      <c r="W790" s="239"/>
      <c r="X790" s="239"/>
      <c r="Y790" s="239"/>
      <c r="Z790" s="239"/>
      <c r="AA790" s="257"/>
      <c r="AB790" s="224"/>
      <c r="AC790" s="224"/>
      <c r="AD790" s="224"/>
      <c r="AE790" s="224"/>
      <c r="AF790" s="224"/>
      <c r="AG790" s="259"/>
      <c r="AH790" s="261"/>
      <c r="AI790" s="261"/>
      <c r="AJ790" s="261"/>
      <c r="AK790" s="261"/>
      <c r="AL790" s="261"/>
      <c r="AM790" s="262"/>
    </row>
    <row r="791" spans="1:39" x14ac:dyDescent="0.25">
      <c r="A791" s="215"/>
      <c r="B791" s="215"/>
      <c r="C791" s="215"/>
      <c r="D791" s="239"/>
      <c r="E791" s="239"/>
      <c r="F791" s="239"/>
      <c r="G791" s="239"/>
      <c r="H791" s="239"/>
      <c r="I791" s="257"/>
      <c r="J791" s="240"/>
      <c r="K791" s="240"/>
      <c r="L791" s="240"/>
      <c r="M791" s="240"/>
      <c r="N791" s="240"/>
      <c r="O791" s="258"/>
      <c r="P791" s="224"/>
      <c r="Q791" s="224"/>
      <c r="R791" s="224"/>
      <c r="S791" s="224"/>
      <c r="T791" s="224"/>
      <c r="U791" s="259"/>
      <c r="V791" s="239"/>
      <c r="W791" s="239"/>
      <c r="X791" s="239"/>
      <c r="Y791" s="239"/>
      <c r="Z791" s="239"/>
      <c r="AA791" s="257"/>
      <c r="AB791" s="224"/>
      <c r="AC791" s="224"/>
      <c r="AD791" s="224"/>
      <c r="AE791" s="224"/>
      <c r="AF791" s="224"/>
      <c r="AG791" s="259"/>
      <c r="AH791" s="261"/>
      <c r="AI791" s="261"/>
      <c r="AJ791" s="261"/>
      <c r="AK791" s="261"/>
      <c r="AL791" s="261"/>
      <c r="AM791" s="262"/>
    </row>
    <row r="792" spans="1:39" x14ac:dyDescent="0.25">
      <c r="A792" s="215"/>
      <c r="B792" s="215"/>
      <c r="C792" s="215"/>
      <c r="D792" s="239"/>
      <c r="E792" s="239"/>
      <c r="F792" s="239"/>
      <c r="G792" s="239"/>
      <c r="H792" s="239"/>
      <c r="I792" s="257"/>
      <c r="J792" s="240"/>
      <c r="K792" s="240"/>
      <c r="L792" s="240"/>
      <c r="M792" s="240"/>
      <c r="N792" s="240"/>
      <c r="O792" s="258"/>
      <c r="P792" s="224"/>
      <c r="Q792" s="224"/>
      <c r="R792" s="224"/>
      <c r="S792" s="224"/>
      <c r="T792" s="224"/>
      <c r="U792" s="259"/>
      <c r="V792" s="239"/>
      <c r="W792" s="239"/>
      <c r="X792" s="239"/>
      <c r="Y792" s="239"/>
      <c r="Z792" s="239"/>
      <c r="AA792" s="257"/>
      <c r="AB792" s="224"/>
      <c r="AC792" s="224"/>
      <c r="AD792" s="224"/>
      <c r="AE792" s="224"/>
      <c r="AF792" s="224"/>
      <c r="AG792" s="259"/>
      <c r="AH792" s="261"/>
      <c r="AI792" s="261"/>
      <c r="AJ792" s="261"/>
      <c r="AK792" s="261"/>
      <c r="AL792" s="261"/>
      <c r="AM792" s="262"/>
    </row>
    <row r="793" spans="1:39" x14ac:dyDescent="0.25">
      <c r="A793" s="215"/>
      <c r="B793" s="215"/>
      <c r="C793" s="215"/>
      <c r="D793" s="239"/>
      <c r="E793" s="239"/>
      <c r="F793" s="239"/>
      <c r="G793" s="239"/>
      <c r="H793" s="239"/>
      <c r="I793" s="257"/>
      <c r="J793" s="240"/>
      <c r="K793" s="240"/>
      <c r="L793" s="240"/>
      <c r="M793" s="240"/>
      <c r="N793" s="240"/>
      <c r="O793" s="258"/>
      <c r="P793" s="224"/>
      <c r="Q793" s="224"/>
      <c r="R793" s="224"/>
      <c r="S793" s="224"/>
      <c r="T793" s="224"/>
      <c r="U793" s="259"/>
      <c r="V793" s="239"/>
      <c r="W793" s="239"/>
      <c r="X793" s="239"/>
      <c r="Y793" s="239"/>
      <c r="Z793" s="239"/>
      <c r="AA793" s="257"/>
      <c r="AB793" s="224"/>
      <c r="AC793" s="224"/>
      <c r="AD793" s="224"/>
      <c r="AE793" s="224"/>
      <c r="AF793" s="224"/>
      <c r="AG793" s="259"/>
      <c r="AH793" s="261"/>
      <c r="AI793" s="261"/>
      <c r="AJ793" s="261"/>
      <c r="AK793" s="261"/>
      <c r="AL793" s="261"/>
      <c r="AM793" s="262"/>
    </row>
    <row r="794" spans="1:39" x14ac:dyDescent="0.25">
      <c r="A794" s="215"/>
      <c r="B794" s="215"/>
      <c r="C794" s="215"/>
      <c r="D794" s="239"/>
      <c r="E794" s="239"/>
      <c r="F794" s="239"/>
      <c r="G794" s="239"/>
      <c r="H794" s="239"/>
      <c r="I794" s="257"/>
      <c r="J794" s="240"/>
      <c r="K794" s="240"/>
      <c r="L794" s="240"/>
      <c r="M794" s="240"/>
      <c r="N794" s="240"/>
      <c r="O794" s="258"/>
      <c r="P794" s="224"/>
      <c r="Q794" s="224"/>
      <c r="R794" s="224"/>
      <c r="S794" s="224"/>
      <c r="T794" s="224"/>
      <c r="U794" s="259"/>
      <c r="V794" s="239"/>
      <c r="W794" s="239"/>
      <c r="X794" s="239"/>
      <c r="Y794" s="239"/>
      <c r="Z794" s="239"/>
      <c r="AA794" s="257"/>
      <c r="AB794" s="224"/>
      <c r="AC794" s="224"/>
      <c r="AD794" s="224"/>
      <c r="AE794" s="224"/>
      <c r="AF794" s="224"/>
      <c r="AG794" s="259"/>
      <c r="AH794" s="261"/>
      <c r="AI794" s="261"/>
      <c r="AJ794" s="261"/>
      <c r="AK794" s="261"/>
      <c r="AL794" s="261"/>
      <c r="AM794" s="262"/>
    </row>
    <row r="795" spans="1:39" x14ac:dyDescent="0.25">
      <c r="A795" s="215"/>
      <c r="B795" s="215"/>
      <c r="C795" s="215"/>
      <c r="D795" s="239"/>
      <c r="E795" s="239"/>
      <c r="F795" s="239"/>
      <c r="G795" s="239"/>
      <c r="H795" s="239"/>
      <c r="I795" s="257"/>
      <c r="J795" s="240"/>
      <c r="K795" s="240"/>
      <c r="L795" s="240"/>
      <c r="M795" s="240"/>
      <c r="N795" s="240"/>
      <c r="O795" s="258"/>
      <c r="P795" s="224"/>
      <c r="Q795" s="224"/>
      <c r="R795" s="224"/>
      <c r="S795" s="224"/>
      <c r="T795" s="224"/>
      <c r="U795" s="259"/>
      <c r="V795" s="239"/>
      <c r="W795" s="239"/>
      <c r="X795" s="239"/>
      <c r="Y795" s="239"/>
      <c r="Z795" s="239"/>
      <c r="AA795" s="257"/>
      <c r="AB795" s="224"/>
      <c r="AC795" s="224"/>
      <c r="AD795" s="224"/>
      <c r="AE795" s="224"/>
      <c r="AF795" s="224"/>
      <c r="AG795" s="259"/>
      <c r="AH795" s="261"/>
      <c r="AI795" s="261"/>
      <c r="AJ795" s="261"/>
      <c r="AK795" s="261"/>
      <c r="AL795" s="261"/>
      <c r="AM795" s="262"/>
    </row>
    <row r="796" spans="1:39" x14ac:dyDescent="0.25">
      <c r="A796" s="215"/>
      <c r="B796" s="215"/>
      <c r="C796" s="215"/>
      <c r="D796" s="239"/>
      <c r="E796" s="239"/>
      <c r="F796" s="239"/>
      <c r="G796" s="239"/>
      <c r="H796" s="239"/>
      <c r="I796" s="257"/>
      <c r="J796" s="240"/>
      <c r="K796" s="240"/>
      <c r="L796" s="240"/>
      <c r="M796" s="240"/>
      <c r="N796" s="240"/>
      <c r="O796" s="258"/>
      <c r="P796" s="224"/>
      <c r="Q796" s="224"/>
      <c r="R796" s="224"/>
      <c r="S796" s="224"/>
      <c r="T796" s="224"/>
      <c r="U796" s="259"/>
      <c r="V796" s="239"/>
      <c r="W796" s="239"/>
      <c r="X796" s="239"/>
      <c r="Y796" s="239"/>
      <c r="Z796" s="239"/>
      <c r="AA796" s="257"/>
      <c r="AB796" s="224"/>
      <c r="AC796" s="224"/>
      <c r="AD796" s="224"/>
      <c r="AE796" s="224"/>
      <c r="AF796" s="224"/>
      <c r="AG796" s="259"/>
      <c r="AH796" s="261"/>
      <c r="AI796" s="261"/>
      <c r="AJ796" s="261"/>
      <c r="AK796" s="261"/>
      <c r="AL796" s="261"/>
      <c r="AM796" s="262"/>
    </row>
    <row r="797" spans="1:39" x14ac:dyDescent="0.25">
      <c r="A797" s="215"/>
      <c r="B797" s="215"/>
      <c r="C797" s="215"/>
      <c r="D797" s="239"/>
      <c r="E797" s="239"/>
      <c r="F797" s="239"/>
      <c r="G797" s="239"/>
      <c r="H797" s="239"/>
      <c r="I797" s="257"/>
      <c r="J797" s="240"/>
      <c r="K797" s="240"/>
      <c r="L797" s="240"/>
      <c r="M797" s="240"/>
      <c r="N797" s="240"/>
      <c r="O797" s="258"/>
      <c r="P797" s="224"/>
      <c r="Q797" s="224"/>
      <c r="R797" s="224"/>
      <c r="S797" s="224"/>
      <c r="T797" s="224"/>
      <c r="U797" s="259"/>
      <c r="V797" s="239"/>
      <c r="W797" s="239"/>
      <c r="X797" s="239"/>
      <c r="Y797" s="239"/>
      <c r="Z797" s="239"/>
      <c r="AA797" s="257"/>
      <c r="AB797" s="224"/>
      <c r="AC797" s="224"/>
      <c r="AD797" s="224"/>
      <c r="AE797" s="224"/>
      <c r="AF797" s="224"/>
      <c r="AG797" s="259"/>
      <c r="AH797" s="261"/>
      <c r="AI797" s="261"/>
      <c r="AJ797" s="261"/>
      <c r="AK797" s="261"/>
      <c r="AL797" s="261"/>
      <c r="AM797" s="262"/>
    </row>
    <row r="798" spans="1:39" x14ac:dyDescent="0.25">
      <c r="A798" s="215"/>
      <c r="B798" s="215"/>
      <c r="C798" s="215"/>
      <c r="D798" s="239"/>
      <c r="E798" s="239"/>
      <c r="F798" s="239"/>
      <c r="G798" s="239"/>
      <c r="H798" s="239"/>
      <c r="I798" s="257"/>
      <c r="J798" s="240"/>
      <c r="K798" s="240"/>
      <c r="L798" s="240"/>
      <c r="M798" s="240"/>
      <c r="N798" s="240"/>
      <c r="O798" s="258"/>
      <c r="P798" s="224"/>
      <c r="Q798" s="224"/>
      <c r="R798" s="224"/>
      <c r="S798" s="224"/>
      <c r="T798" s="224"/>
      <c r="U798" s="259"/>
      <c r="V798" s="239"/>
      <c r="W798" s="239"/>
      <c r="X798" s="239"/>
      <c r="Y798" s="239"/>
      <c r="Z798" s="239"/>
      <c r="AA798" s="257"/>
      <c r="AB798" s="224"/>
      <c r="AC798" s="224"/>
      <c r="AD798" s="224"/>
      <c r="AE798" s="224"/>
      <c r="AF798" s="224"/>
      <c r="AG798" s="259"/>
      <c r="AH798" s="261"/>
      <c r="AI798" s="261"/>
      <c r="AJ798" s="261"/>
      <c r="AK798" s="261"/>
      <c r="AL798" s="261"/>
      <c r="AM798" s="262"/>
    </row>
    <row r="799" spans="1:39" x14ac:dyDescent="0.25">
      <c r="A799" s="215"/>
      <c r="B799" s="215"/>
      <c r="C799" s="215"/>
      <c r="D799" s="239"/>
      <c r="E799" s="239"/>
      <c r="F799" s="239"/>
      <c r="G799" s="239"/>
      <c r="H799" s="239"/>
      <c r="I799" s="257"/>
      <c r="J799" s="240"/>
      <c r="K799" s="240"/>
      <c r="L799" s="240"/>
      <c r="M799" s="240"/>
      <c r="N799" s="240"/>
      <c r="O799" s="258"/>
      <c r="P799" s="224"/>
      <c r="Q799" s="224"/>
      <c r="R799" s="224"/>
      <c r="S799" s="224"/>
      <c r="T799" s="224"/>
      <c r="U799" s="259"/>
      <c r="V799" s="239"/>
      <c r="W799" s="239"/>
      <c r="X799" s="239"/>
      <c r="Y799" s="239"/>
      <c r="Z799" s="239"/>
      <c r="AA799" s="257"/>
      <c r="AB799" s="224"/>
      <c r="AC799" s="224"/>
      <c r="AD799" s="224"/>
      <c r="AE799" s="224"/>
      <c r="AF799" s="224"/>
      <c r="AG799" s="259"/>
      <c r="AH799" s="261"/>
      <c r="AI799" s="261"/>
      <c r="AJ799" s="261"/>
      <c r="AK799" s="261"/>
      <c r="AL799" s="261"/>
      <c r="AM799" s="262"/>
    </row>
    <row r="800" spans="1:39" x14ac:dyDescent="0.25">
      <c r="A800" s="215"/>
      <c r="B800" s="215"/>
      <c r="C800" s="215"/>
      <c r="D800" s="239"/>
      <c r="E800" s="239"/>
      <c r="F800" s="239"/>
      <c r="G800" s="239"/>
      <c r="H800" s="239"/>
      <c r="I800" s="257"/>
      <c r="J800" s="240"/>
      <c r="K800" s="240"/>
      <c r="L800" s="240"/>
      <c r="M800" s="240"/>
      <c r="N800" s="240"/>
      <c r="O800" s="258"/>
      <c r="P800" s="224"/>
      <c r="Q800" s="224"/>
      <c r="R800" s="224"/>
      <c r="S800" s="224"/>
      <c r="T800" s="224"/>
      <c r="U800" s="259"/>
      <c r="V800" s="239"/>
      <c r="W800" s="239"/>
      <c r="X800" s="239"/>
      <c r="Y800" s="239"/>
      <c r="Z800" s="239"/>
      <c r="AA800" s="257"/>
      <c r="AB800" s="224"/>
      <c r="AC800" s="224"/>
      <c r="AD800" s="224"/>
      <c r="AE800" s="224"/>
      <c r="AF800" s="224"/>
      <c r="AG800" s="259"/>
      <c r="AH800" s="261"/>
      <c r="AI800" s="261"/>
      <c r="AJ800" s="261"/>
      <c r="AK800" s="261"/>
      <c r="AL800" s="261"/>
      <c r="AM800" s="262"/>
    </row>
    <row r="801" spans="1:39" x14ac:dyDescent="0.25">
      <c r="A801" s="215"/>
      <c r="B801" s="215"/>
      <c r="C801" s="215"/>
      <c r="D801" s="239"/>
      <c r="E801" s="239"/>
      <c r="F801" s="239"/>
      <c r="G801" s="239"/>
      <c r="H801" s="239"/>
      <c r="I801" s="257"/>
      <c r="J801" s="240"/>
      <c r="K801" s="240"/>
      <c r="L801" s="240"/>
      <c r="M801" s="240"/>
      <c r="N801" s="240"/>
      <c r="O801" s="258"/>
      <c r="P801" s="224"/>
      <c r="Q801" s="224"/>
      <c r="R801" s="224"/>
      <c r="S801" s="224"/>
      <c r="T801" s="224"/>
      <c r="U801" s="259"/>
      <c r="V801" s="239"/>
      <c r="W801" s="239"/>
      <c r="X801" s="239"/>
      <c r="Y801" s="239"/>
      <c r="Z801" s="239"/>
      <c r="AA801" s="257"/>
      <c r="AB801" s="224"/>
      <c r="AC801" s="224"/>
      <c r="AD801" s="224"/>
      <c r="AE801" s="224"/>
      <c r="AF801" s="224"/>
      <c r="AG801" s="259"/>
      <c r="AH801" s="261"/>
      <c r="AI801" s="261"/>
      <c r="AJ801" s="261"/>
      <c r="AK801" s="261"/>
      <c r="AL801" s="261"/>
      <c r="AM801" s="262"/>
    </row>
    <row r="802" spans="1:39" x14ac:dyDescent="0.25">
      <c r="A802" s="215"/>
      <c r="B802" s="215"/>
      <c r="C802" s="215"/>
      <c r="D802" s="239"/>
      <c r="E802" s="239"/>
      <c r="F802" s="239"/>
      <c r="G802" s="239"/>
      <c r="H802" s="239"/>
      <c r="I802" s="257"/>
      <c r="J802" s="240"/>
      <c r="K802" s="240"/>
      <c r="L802" s="240"/>
      <c r="M802" s="240"/>
      <c r="N802" s="240"/>
      <c r="O802" s="258"/>
      <c r="P802" s="224"/>
      <c r="Q802" s="224"/>
      <c r="R802" s="224"/>
      <c r="S802" s="224"/>
      <c r="T802" s="224"/>
      <c r="U802" s="259"/>
      <c r="V802" s="239"/>
      <c r="W802" s="239"/>
      <c r="X802" s="239"/>
      <c r="Y802" s="239"/>
      <c r="Z802" s="239"/>
      <c r="AA802" s="257"/>
      <c r="AB802" s="224"/>
      <c r="AC802" s="224"/>
      <c r="AD802" s="224"/>
      <c r="AE802" s="224"/>
      <c r="AF802" s="224"/>
      <c r="AG802" s="259"/>
      <c r="AH802" s="261"/>
      <c r="AI802" s="261"/>
      <c r="AJ802" s="261"/>
      <c r="AK802" s="261"/>
      <c r="AL802" s="261"/>
      <c r="AM802" s="262"/>
    </row>
    <row r="803" spans="1:39" x14ac:dyDescent="0.25">
      <c r="A803" s="215"/>
      <c r="B803" s="215"/>
      <c r="C803" s="215"/>
      <c r="D803" s="239"/>
      <c r="E803" s="239"/>
      <c r="F803" s="239"/>
      <c r="G803" s="239"/>
      <c r="H803" s="239"/>
      <c r="I803" s="257"/>
      <c r="J803" s="240"/>
      <c r="K803" s="240"/>
      <c r="L803" s="240"/>
      <c r="M803" s="240"/>
      <c r="N803" s="240"/>
      <c r="O803" s="258"/>
      <c r="P803" s="224"/>
      <c r="Q803" s="224"/>
      <c r="R803" s="224"/>
      <c r="S803" s="224"/>
      <c r="T803" s="224"/>
      <c r="U803" s="259"/>
      <c r="V803" s="239"/>
      <c r="W803" s="239"/>
      <c r="X803" s="239"/>
      <c r="Y803" s="239"/>
      <c r="Z803" s="239"/>
      <c r="AA803" s="257"/>
      <c r="AB803" s="224"/>
      <c r="AC803" s="224"/>
      <c r="AD803" s="224"/>
      <c r="AE803" s="224"/>
      <c r="AF803" s="224"/>
      <c r="AG803" s="259"/>
      <c r="AH803" s="261"/>
      <c r="AI803" s="261"/>
      <c r="AJ803" s="261"/>
      <c r="AK803" s="261"/>
      <c r="AL803" s="261"/>
      <c r="AM803" s="262"/>
    </row>
    <row r="804" spans="1:39" x14ac:dyDescent="0.25">
      <c r="A804" s="215"/>
      <c r="B804" s="215"/>
      <c r="C804" s="215"/>
      <c r="D804" s="239"/>
      <c r="E804" s="239"/>
      <c r="F804" s="239"/>
      <c r="G804" s="239"/>
      <c r="H804" s="239"/>
      <c r="I804" s="257"/>
      <c r="J804" s="240"/>
      <c r="K804" s="240"/>
      <c r="L804" s="240"/>
      <c r="M804" s="240"/>
      <c r="N804" s="240"/>
      <c r="O804" s="258"/>
      <c r="P804" s="224"/>
      <c r="Q804" s="224"/>
      <c r="R804" s="224"/>
      <c r="S804" s="224"/>
      <c r="T804" s="224"/>
      <c r="U804" s="259"/>
      <c r="V804" s="239"/>
      <c r="W804" s="239"/>
      <c r="X804" s="239"/>
      <c r="Y804" s="239"/>
      <c r="Z804" s="239"/>
      <c r="AA804" s="257"/>
      <c r="AB804" s="224"/>
      <c r="AC804" s="224"/>
      <c r="AD804" s="224"/>
      <c r="AE804" s="224"/>
      <c r="AF804" s="224"/>
      <c r="AG804" s="259"/>
      <c r="AH804" s="261"/>
      <c r="AI804" s="261"/>
      <c r="AJ804" s="261"/>
      <c r="AK804" s="261"/>
      <c r="AL804" s="261"/>
      <c r="AM804" s="262"/>
    </row>
    <row r="805" spans="1:39" x14ac:dyDescent="0.25">
      <c r="A805" s="215"/>
      <c r="B805" s="215"/>
      <c r="C805" s="215"/>
      <c r="D805" s="239"/>
      <c r="E805" s="239"/>
      <c r="F805" s="239"/>
      <c r="G805" s="239"/>
      <c r="H805" s="239"/>
      <c r="I805" s="257"/>
      <c r="J805" s="240"/>
      <c r="K805" s="240"/>
      <c r="L805" s="240"/>
      <c r="M805" s="240"/>
      <c r="N805" s="240"/>
      <c r="O805" s="258"/>
      <c r="P805" s="224"/>
      <c r="Q805" s="224"/>
      <c r="R805" s="224"/>
      <c r="S805" s="224"/>
      <c r="T805" s="224"/>
      <c r="U805" s="259"/>
      <c r="V805" s="239"/>
      <c r="W805" s="239"/>
      <c r="X805" s="239"/>
      <c r="Y805" s="239"/>
      <c r="Z805" s="239"/>
      <c r="AA805" s="257"/>
      <c r="AB805" s="224"/>
      <c r="AC805" s="224"/>
      <c r="AD805" s="224"/>
      <c r="AE805" s="224"/>
      <c r="AF805" s="224"/>
      <c r="AG805" s="259"/>
      <c r="AH805" s="261"/>
      <c r="AI805" s="261"/>
      <c r="AJ805" s="261"/>
      <c r="AK805" s="261"/>
      <c r="AL805" s="261"/>
      <c r="AM805" s="262"/>
    </row>
    <row r="806" spans="1:39" x14ac:dyDescent="0.25">
      <c r="A806" s="215"/>
      <c r="B806" s="215"/>
      <c r="C806" s="215"/>
      <c r="D806" s="239"/>
      <c r="E806" s="239"/>
      <c r="F806" s="239"/>
      <c r="G806" s="239"/>
      <c r="H806" s="239"/>
      <c r="I806" s="257"/>
      <c r="J806" s="240"/>
      <c r="K806" s="240"/>
      <c r="L806" s="240"/>
      <c r="M806" s="240"/>
      <c r="N806" s="240"/>
      <c r="O806" s="258"/>
      <c r="P806" s="224"/>
      <c r="Q806" s="224"/>
      <c r="R806" s="224"/>
      <c r="S806" s="224"/>
      <c r="T806" s="224"/>
      <c r="U806" s="259"/>
      <c r="V806" s="239"/>
      <c r="W806" s="239"/>
      <c r="X806" s="239"/>
      <c r="Y806" s="239"/>
      <c r="Z806" s="239"/>
      <c r="AA806" s="257"/>
      <c r="AB806" s="224"/>
      <c r="AC806" s="224"/>
      <c r="AD806" s="224"/>
      <c r="AE806" s="224"/>
      <c r="AF806" s="224"/>
      <c r="AG806" s="259"/>
      <c r="AH806" s="261"/>
      <c r="AI806" s="261"/>
      <c r="AJ806" s="261"/>
      <c r="AK806" s="261"/>
      <c r="AL806" s="261"/>
      <c r="AM806" s="262"/>
    </row>
    <row r="807" spans="1:39" x14ac:dyDescent="0.25">
      <c r="A807" s="215"/>
      <c r="B807" s="215"/>
      <c r="C807" s="215"/>
      <c r="D807" s="239"/>
      <c r="E807" s="239"/>
      <c r="F807" s="239"/>
      <c r="G807" s="239"/>
      <c r="H807" s="239"/>
      <c r="I807" s="257"/>
      <c r="J807" s="240"/>
      <c r="K807" s="240"/>
      <c r="L807" s="240"/>
      <c r="M807" s="240"/>
      <c r="N807" s="240"/>
      <c r="O807" s="258"/>
      <c r="P807" s="224"/>
      <c r="Q807" s="224"/>
      <c r="R807" s="224"/>
      <c r="S807" s="224"/>
      <c r="T807" s="224"/>
      <c r="U807" s="259"/>
      <c r="V807" s="239"/>
      <c r="W807" s="239"/>
      <c r="X807" s="239"/>
      <c r="Y807" s="239"/>
      <c r="Z807" s="239"/>
      <c r="AA807" s="257"/>
      <c r="AB807" s="224"/>
      <c r="AC807" s="224"/>
      <c r="AD807" s="224"/>
      <c r="AE807" s="224"/>
      <c r="AF807" s="224"/>
      <c r="AG807" s="259"/>
      <c r="AH807" s="261"/>
      <c r="AI807" s="261"/>
      <c r="AJ807" s="261"/>
      <c r="AK807" s="261"/>
      <c r="AL807" s="261"/>
      <c r="AM807" s="262"/>
    </row>
    <row r="808" spans="1:39" x14ac:dyDescent="0.25">
      <c r="A808" s="215"/>
      <c r="B808" s="215"/>
      <c r="C808" s="215"/>
      <c r="D808" s="239"/>
      <c r="E808" s="239"/>
      <c r="F808" s="239"/>
      <c r="G808" s="239"/>
      <c r="H808" s="239"/>
      <c r="I808" s="257"/>
      <c r="J808" s="240"/>
      <c r="K808" s="240"/>
      <c r="L808" s="240"/>
      <c r="M808" s="240"/>
      <c r="N808" s="240"/>
      <c r="O808" s="258"/>
      <c r="P808" s="224"/>
      <c r="Q808" s="224"/>
      <c r="R808" s="224"/>
      <c r="S808" s="224"/>
      <c r="T808" s="224"/>
      <c r="U808" s="259"/>
      <c r="V808" s="239"/>
      <c r="W808" s="239"/>
      <c r="X808" s="239"/>
      <c r="Y808" s="239"/>
      <c r="Z808" s="239"/>
      <c r="AA808" s="257"/>
      <c r="AB808" s="224"/>
      <c r="AC808" s="224"/>
      <c r="AD808" s="224"/>
      <c r="AE808" s="224"/>
      <c r="AF808" s="224"/>
      <c r="AG808" s="259"/>
      <c r="AH808" s="261"/>
      <c r="AI808" s="261"/>
      <c r="AJ808" s="261"/>
      <c r="AK808" s="261"/>
      <c r="AL808" s="261"/>
      <c r="AM808" s="262"/>
    </row>
    <row r="809" spans="1:39" x14ac:dyDescent="0.25">
      <c r="A809" s="215"/>
      <c r="B809" s="215"/>
      <c r="C809" s="215"/>
      <c r="D809" s="239"/>
      <c r="E809" s="239"/>
      <c r="F809" s="239"/>
      <c r="G809" s="239"/>
      <c r="H809" s="239"/>
      <c r="I809" s="257"/>
      <c r="J809" s="240"/>
      <c r="K809" s="240"/>
      <c r="L809" s="240"/>
      <c r="M809" s="240"/>
      <c r="N809" s="240"/>
      <c r="O809" s="258"/>
      <c r="P809" s="224"/>
      <c r="Q809" s="224"/>
      <c r="R809" s="224"/>
      <c r="S809" s="224"/>
      <c r="T809" s="224"/>
      <c r="U809" s="259"/>
      <c r="V809" s="239"/>
      <c r="W809" s="239"/>
      <c r="X809" s="239"/>
      <c r="Y809" s="239"/>
      <c r="Z809" s="239"/>
      <c r="AA809" s="257"/>
      <c r="AB809" s="224"/>
      <c r="AC809" s="224"/>
      <c r="AD809" s="224"/>
      <c r="AE809" s="224"/>
      <c r="AF809" s="224"/>
      <c r="AG809" s="259"/>
      <c r="AH809" s="261"/>
      <c r="AI809" s="261"/>
      <c r="AJ809" s="261"/>
      <c r="AK809" s="261"/>
      <c r="AL809" s="261"/>
      <c r="AM809" s="262"/>
    </row>
    <row r="810" spans="1:39" x14ac:dyDescent="0.25">
      <c r="A810" s="215"/>
      <c r="B810" s="215"/>
      <c r="C810" s="215"/>
      <c r="D810" s="239"/>
      <c r="E810" s="239"/>
      <c r="F810" s="239"/>
      <c r="G810" s="239"/>
      <c r="H810" s="239"/>
      <c r="I810" s="257"/>
      <c r="J810" s="240"/>
      <c r="K810" s="240"/>
      <c r="L810" s="240"/>
      <c r="M810" s="240"/>
      <c r="N810" s="240"/>
      <c r="O810" s="258"/>
      <c r="P810" s="224"/>
      <c r="Q810" s="224"/>
      <c r="R810" s="224"/>
      <c r="S810" s="224"/>
      <c r="T810" s="224"/>
      <c r="U810" s="259"/>
      <c r="V810" s="239"/>
      <c r="W810" s="239"/>
      <c r="X810" s="239"/>
      <c r="Y810" s="239"/>
      <c r="Z810" s="239"/>
      <c r="AA810" s="257"/>
      <c r="AB810" s="224"/>
      <c r="AC810" s="224"/>
      <c r="AD810" s="224"/>
      <c r="AE810" s="224"/>
      <c r="AF810" s="224"/>
      <c r="AG810" s="259"/>
      <c r="AH810" s="261"/>
      <c r="AI810" s="261"/>
      <c r="AJ810" s="261"/>
      <c r="AK810" s="261"/>
      <c r="AL810" s="261"/>
      <c r="AM810" s="262"/>
    </row>
    <row r="811" spans="1:39" x14ac:dyDescent="0.25">
      <c r="A811" s="215"/>
      <c r="B811" s="215"/>
      <c r="C811" s="215"/>
      <c r="D811" s="239"/>
      <c r="E811" s="239"/>
      <c r="F811" s="239"/>
      <c r="G811" s="239"/>
      <c r="H811" s="239"/>
      <c r="I811" s="257"/>
      <c r="J811" s="240"/>
      <c r="K811" s="240"/>
      <c r="L811" s="240"/>
      <c r="M811" s="240"/>
      <c r="N811" s="240"/>
      <c r="O811" s="258"/>
      <c r="P811" s="224"/>
      <c r="Q811" s="224"/>
      <c r="R811" s="224"/>
      <c r="S811" s="224"/>
      <c r="T811" s="224"/>
      <c r="U811" s="259"/>
      <c r="V811" s="239"/>
      <c r="W811" s="239"/>
      <c r="X811" s="239"/>
      <c r="Y811" s="239"/>
      <c r="Z811" s="239"/>
      <c r="AA811" s="257"/>
      <c r="AB811" s="224"/>
      <c r="AC811" s="224"/>
      <c r="AD811" s="224"/>
      <c r="AE811" s="224"/>
      <c r="AF811" s="224"/>
      <c r="AG811" s="259"/>
      <c r="AH811" s="261"/>
      <c r="AI811" s="261"/>
      <c r="AJ811" s="261"/>
      <c r="AK811" s="261"/>
      <c r="AL811" s="261"/>
      <c r="AM811" s="262"/>
    </row>
    <row r="812" spans="1:39" x14ac:dyDescent="0.25">
      <c r="A812" s="215"/>
      <c r="B812" s="215"/>
      <c r="C812" s="215"/>
      <c r="D812" s="239"/>
      <c r="E812" s="239"/>
      <c r="F812" s="239"/>
      <c r="G812" s="239"/>
      <c r="H812" s="239"/>
      <c r="I812" s="257"/>
      <c r="J812" s="240"/>
      <c r="K812" s="240"/>
      <c r="L812" s="240"/>
      <c r="M812" s="240"/>
      <c r="N812" s="240"/>
      <c r="O812" s="258"/>
      <c r="P812" s="224"/>
      <c r="Q812" s="224"/>
      <c r="R812" s="224"/>
      <c r="S812" s="224"/>
      <c r="T812" s="224"/>
      <c r="U812" s="259"/>
      <c r="V812" s="239"/>
      <c r="W812" s="239"/>
      <c r="X812" s="239"/>
      <c r="Y812" s="239"/>
      <c r="Z812" s="239"/>
      <c r="AA812" s="257"/>
      <c r="AB812" s="224"/>
      <c r="AC812" s="224"/>
      <c r="AD812" s="224"/>
      <c r="AE812" s="224"/>
      <c r="AF812" s="224"/>
      <c r="AG812" s="259"/>
      <c r="AH812" s="261"/>
      <c r="AI812" s="261"/>
      <c r="AJ812" s="261"/>
      <c r="AK812" s="261"/>
      <c r="AL812" s="261"/>
      <c r="AM812" s="262"/>
    </row>
    <row r="813" spans="1:39" x14ac:dyDescent="0.25">
      <c r="A813" s="215"/>
      <c r="B813" s="215"/>
      <c r="C813" s="215"/>
      <c r="D813" s="239"/>
      <c r="E813" s="239"/>
      <c r="F813" s="239"/>
      <c r="G813" s="239"/>
      <c r="H813" s="239"/>
      <c r="I813" s="257"/>
      <c r="J813" s="240"/>
      <c r="K813" s="240"/>
      <c r="L813" s="240"/>
      <c r="M813" s="240"/>
      <c r="N813" s="240"/>
      <c r="O813" s="258"/>
      <c r="P813" s="224"/>
      <c r="Q813" s="224"/>
      <c r="R813" s="224"/>
      <c r="S813" s="224"/>
      <c r="T813" s="224"/>
      <c r="U813" s="259"/>
      <c r="V813" s="239"/>
      <c r="W813" s="239"/>
      <c r="X813" s="239"/>
      <c r="Y813" s="239"/>
      <c r="Z813" s="239"/>
      <c r="AA813" s="257"/>
      <c r="AB813" s="224"/>
      <c r="AC813" s="224"/>
      <c r="AD813" s="224"/>
      <c r="AE813" s="224"/>
      <c r="AF813" s="224"/>
      <c r="AG813" s="259"/>
      <c r="AH813" s="261"/>
      <c r="AI813" s="261"/>
      <c r="AJ813" s="261"/>
      <c r="AK813" s="261"/>
      <c r="AL813" s="261"/>
      <c r="AM813" s="262"/>
    </row>
    <row r="814" spans="1:39" x14ac:dyDescent="0.25">
      <c r="A814" s="215"/>
      <c r="B814" s="215"/>
      <c r="C814" s="215"/>
      <c r="D814" s="239"/>
      <c r="E814" s="239"/>
      <c r="F814" s="239"/>
      <c r="G814" s="239"/>
      <c r="H814" s="239"/>
      <c r="I814" s="257"/>
      <c r="J814" s="240"/>
      <c r="K814" s="240"/>
      <c r="L814" s="240"/>
      <c r="M814" s="240"/>
      <c r="N814" s="240"/>
      <c r="O814" s="258"/>
      <c r="P814" s="224"/>
      <c r="Q814" s="224"/>
      <c r="R814" s="224"/>
      <c r="S814" s="224"/>
      <c r="T814" s="224"/>
      <c r="U814" s="259"/>
      <c r="V814" s="239"/>
      <c r="W814" s="239"/>
      <c r="X814" s="239"/>
      <c r="Y814" s="239"/>
      <c r="Z814" s="239"/>
      <c r="AA814" s="257"/>
      <c r="AB814" s="224"/>
      <c r="AC814" s="224"/>
      <c r="AD814" s="224"/>
      <c r="AE814" s="224"/>
      <c r="AF814" s="224"/>
      <c r="AG814" s="259"/>
      <c r="AH814" s="261"/>
      <c r="AI814" s="261"/>
      <c r="AJ814" s="261"/>
      <c r="AK814" s="261"/>
      <c r="AL814" s="261"/>
      <c r="AM814" s="262"/>
    </row>
    <row r="815" spans="1:39" x14ac:dyDescent="0.25">
      <c r="A815" s="215"/>
      <c r="B815" s="215"/>
      <c r="C815" s="215"/>
      <c r="D815" s="239"/>
      <c r="E815" s="239"/>
      <c r="F815" s="239"/>
      <c r="G815" s="239"/>
      <c r="H815" s="239"/>
      <c r="I815" s="257"/>
      <c r="J815" s="240"/>
      <c r="K815" s="240"/>
      <c r="L815" s="240"/>
      <c r="M815" s="240"/>
      <c r="N815" s="240"/>
      <c r="O815" s="258"/>
      <c r="P815" s="224"/>
      <c r="Q815" s="224"/>
      <c r="R815" s="224"/>
      <c r="S815" s="224"/>
      <c r="T815" s="224"/>
      <c r="U815" s="259"/>
      <c r="V815" s="239"/>
      <c r="W815" s="239"/>
      <c r="X815" s="239"/>
      <c r="Y815" s="239"/>
      <c r="Z815" s="239"/>
      <c r="AA815" s="257"/>
      <c r="AB815" s="224"/>
      <c r="AC815" s="224"/>
      <c r="AD815" s="224"/>
      <c r="AE815" s="224"/>
      <c r="AF815" s="224"/>
      <c r="AG815" s="259"/>
      <c r="AH815" s="261"/>
      <c r="AI815" s="261"/>
      <c r="AJ815" s="261"/>
      <c r="AK815" s="261"/>
      <c r="AL815" s="261"/>
      <c r="AM815" s="262"/>
    </row>
    <row r="816" spans="1:39" x14ac:dyDescent="0.25">
      <c r="A816" s="215"/>
      <c r="B816" s="215"/>
      <c r="C816" s="215"/>
      <c r="D816" s="239"/>
      <c r="E816" s="239"/>
      <c r="F816" s="239"/>
      <c r="G816" s="239"/>
      <c r="H816" s="239"/>
      <c r="I816" s="257"/>
      <c r="J816" s="240"/>
      <c r="K816" s="240"/>
      <c r="L816" s="240"/>
      <c r="M816" s="240"/>
      <c r="N816" s="240"/>
      <c r="O816" s="258"/>
      <c r="P816" s="224"/>
      <c r="Q816" s="224"/>
      <c r="R816" s="224"/>
      <c r="S816" s="224"/>
      <c r="T816" s="224"/>
      <c r="U816" s="259"/>
      <c r="V816" s="239"/>
      <c r="W816" s="239"/>
      <c r="X816" s="239"/>
      <c r="Y816" s="239"/>
      <c r="Z816" s="239"/>
      <c r="AA816" s="257"/>
      <c r="AB816" s="224"/>
      <c r="AC816" s="224"/>
      <c r="AD816" s="224"/>
      <c r="AE816" s="224"/>
      <c r="AF816" s="224"/>
      <c r="AG816" s="259"/>
      <c r="AH816" s="261"/>
      <c r="AI816" s="261"/>
      <c r="AJ816" s="261"/>
      <c r="AK816" s="261"/>
      <c r="AL816" s="261"/>
      <c r="AM816" s="262"/>
    </row>
    <row r="817" spans="1:39" x14ac:dyDescent="0.25">
      <c r="A817" s="215"/>
      <c r="B817" s="215"/>
      <c r="C817" s="215"/>
      <c r="D817" s="239"/>
      <c r="E817" s="239"/>
      <c r="F817" s="239"/>
      <c r="G817" s="239"/>
      <c r="H817" s="239"/>
      <c r="I817" s="257"/>
      <c r="J817" s="240"/>
      <c r="K817" s="240"/>
      <c r="L817" s="240"/>
      <c r="M817" s="240"/>
      <c r="N817" s="240"/>
      <c r="O817" s="258"/>
      <c r="P817" s="224"/>
      <c r="Q817" s="224"/>
      <c r="R817" s="224"/>
      <c r="S817" s="224"/>
      <c r="T817" s="224"/>
      <c r="U817" s="259"/>
      <c r="V817" s="239"/>
      <c r="W817" s="239"/>
      <c r="X817" s="239"/>
      <c r="Y817" s="239"/>
      <c r="Z817" s="239"/>
      <c r="AA817" s="257"/>
      <c r="AB817" s="224"/>
      <c r="AC817" s="224"/>
      <c r="AD817" s="224"/>
      <c r="AE817" s="224"/>
      <c r="AF817" s="224"/>
      <c r="AG817" s="259"/>
      <c r="AH817" s="261"/>
      <c r="AI817" s="261"/>
      <c r="AJ817" s="261"/>
      <c r="AK817" s="261"/>
      <c r="AL817" s="261"/>
      <c r="AM817" s="262"/>
    </row>
    <row r="818" spans="1:39" x14ac:dyDescent="0.25">
      <c r="A818" s="215"/>
      <c r="B818" s="215"/>
      <c r="C818" s="215"/>
      <c r="D818" s="239"/>
      <c r="E818" s="239"/>
      <c r="F818" s="239"/>
      <c r="G818" s="239"/>
      <c r="H818" s="239"/>
      <c r="I818" s="257"/>
      <c r="J818" s="240"/>
      <c r="K818" s="240"/>
      <c r="L818" s="240"/>
      <c r="M818" s="240"/>
      <c r="N818" s="240"/>
      <c r="O818" s="258"/>
      <c r="P818" s="224"/>
      <c r="Q818" s="224"/>
      <c r="R818" s="224"/>
      <c r="S818" s="224"/>
      <c r="T818" s="224"/>
      <c r="U818" s="259"/>
      <c r="V818" s="239"/>
      <c r="W818" s="239"/>
      <c r="X818" s="239"/>
      <c r="Y818" s="239"/>
      <c r="Z818" s="239"/>
      <c r="AA818" s="257"/>
      <c r="AB818" s="224"/>
      <c r="AC818" s="224"/>
      <c r="AD818" s="224"/>
      <c r="AE818" s="224"/>
      <c r="AF818" s="224"/>
      <c r="AG818" s="259"/>
      <c r="AH818" s="261"/>
      <c r="AI818" s="261"/>
      <c r="AJ818" s="261"/>
      <c r="AK818" s="261"/>
      <c r="AL818" s="261"/>
      <c r="AM818" s="262"/>
    </row>
    <row r="819" spans="1:39" x14ac:dyDescent="0.25">
      <c r="A819" s="215"/>
      <c r="B819" s="215"/>
      <c r="C819" s="215"/>
      <c r="D819" s="239"/>
      <c r="E819" s="239"/>
      <c r="F819" s="239"/>
      <c r="G819" s="239"/>
      <c r="H819" s="239"/>
      <c r="I819" s="257"/>
      <c r="J819" s="240"/>
      <c r="K819" s="240"/>
      <c r="L819" s="240"/>
      <c r="M819" s="240"/>
      <c r="N819" s="240"/>
      <c r="O819" s="258"/>
      <c r="P819" s="224"/>
      <c r="Q819" s="224"/>
      <c r="R819" s="224"/>
      <c r="S819" s="224"/>
      <c r="T819" s="224"/>
      <c r="U819" s="259"/>
      <c r="V819" s="239"/>
      <c r="W819" s="239"/>
      <c r="X819" s="239"/>
      <c r="Y819" s="239"/>
      <c r="Z819" s="239"/>
      <c r="AA819" s="257"/>
      <c r="AB819" s="224"/>
      <c r="AC819" s="224"/>
      <c r="AD819" s="224"/>
      <c r="AE819" s="224"/>
      <c r="AF819" s="224"/>
      <c r="AG819" s="259"/>
      <c r="AH819" s="261"/>
      <c r="AI819" s="261"/>
      <c r="AJ819" s="261"/>
      <c r="AK819" s="261"/>
      <c r="AL819" s="261"/>
      <c r="AM819" s="262"/>
    </row>
    <row r="820" spans="1:39" x14ac:dyDescent="0.25">
      <c r="A820" s="215"/>
      <c r="B820" s="215"/>
      <c r="C820" s="215"/>
      <c r="D820" s="239"/>
      <c r="E820" s="239"/>
      <c r="F820" s="239"/>
      <c r="G820" s="239"/>
      <c r="H820" s="239"/>
      <c r="I820" s="257"/>
      <c r="J820" s="240"/>
      <c r="K820" s="240"/>
      <c r="L820" s="240"/>
      <c r="M820" s="240"/>
      <c r="N820" s="240"/>
      <c r="O820" s="258"/>
      <c r="P820" s="224"/>
      <c r="Q820" s="224"/>
      <c r="R820" s="224"/>
      <c r="S820" s="224"/>
      <c r="T820" s="224"/>
      <c r="U820" s="259"/>
      <c r="V820" s="239"/>
      <c r="W820" s="239"/>
      <c r="X820" s="239"/>
      <c r="Y820" s="239"/>
      <c r="Z820" s="239"/>
      <c r="AA820" s="257"/>
      <c r="AB820" s="224"/>
      <c r="AC820" s="224"/>
      <c r="AD820" s="224"/>
      <c r="AE820" s="224"/>
      <c r="AF820" s="224"/>
      <c r="AG820" s="259"/>
      <c r="AH820" s="261"/>
      <c r="AI820" s="261"/>
      <c r="AJ820" s="261"/>
      <c r="AK820" s="261"/>
      <c r="AL820" s="261"/>
      <c r="AM820" s="262"/>
    </row>
    <row r="821" spans="1:39" x14ac:dyDescent="0.25">
      <c r="A821" s="215"/>
      <c r="B821" s="215"/>
      <c r="C821" s="215"/>
      <c r="D821" s="239"/>
      <c r="E821" s="239"/>
      <c r="F821" s="239"/>
      <c r="G821" s="239"/>
      <c r="H821" s="239"/>
      <c r="I821" s="257"/>
      <c r="J821" s="240"/>
      <c r="K821" s="240"/>
      <c r="L821" s="240"/>
      <c r="M821" s="240"/>
      <c r="N821" s="240"/>
      <c r="O821" s="258"/>
      <c r="P821" s="224"/>
      <c r="Q821" s="224"/>
      <c r="R821" s="224"/>
      <c r="S821" s="224"/>
      <c r="T821" s="224"/>
      <c r="U821" s="259"/>
      <c r="V821" s="239"/>
      <c r="W821" s="239"/>
      <c r="X821" s="239"/>
      <c r="Y821" s="239"/>
      <c r="Z821" s="239"/>
      <c r="AA821" s="257"/>
      <c r="AB821" s="224"/>
      <c r="AC821" s="224"/>
      <c r="AD821" s="224"/>
      <c r="AE821" s="224"/>
      <c r="AF821" s="224"/>
      <c r="AG821" s="259"/>
      <c r="AH821" s="261"/>
      <c r="AI821" s="261"/>
      <c r="AJ821" s="261"/>
      <c r="AK821" s="261"/>
      <c r="AL821" s="261"/>
      <c r="AM821" s="262"/>
    </row>
    <row r="822" spans="1:39" x14ac:dyDescent="0.25">
      <c r="A822" s="215"/>
      <c r="B822" s="215"/>
      <c r="C822" s="215"/>
      <c r="D822" s="239"/>
      <c r="E822" s="239"/>
      <c r="F822" s="239"/>
      <c r="G822" s="239"/>
      <c r="H822" s="239"/>
      <c r="I822" s="257"/>
      <c r="J822" s="240"/>
      <c r="K822" s="240"/>
      <c r="L822" s="240"/>
      <c r="M822" s="240"/>
      <c r="N822" s="240"/>
      <c r="O822" s="258"/>
      <c r="P822" s="224"/>
      <c r="Q822" s="224"/>
      <c r="R822" s="224"/>
      <c r="S822" s="224"/>
      <c r="T822" s="224"/>
      <c r="U822" s="259"/>
      <c r="V822" s="239"/>
      <c r="W822" s="239"/>
      <c r="X822" s="239"/>
      <c r="Y822" s="239"/>
      <c r="Z822" s="239"/>
      <c r="AA822" s="257"/>
      <c r="AB822" s="224"/>
      <c r="AC822" s="224"/>
      <c r="AD822" s="224"/>
      <c r="AE822" s="224"/>
      <c r="AF822" s="224"/>
      <c r="AG822" s="259"/>
      <c r="AH822" s="261"/>
      <c r="AI822" s="261"/>
      <c r="AJ822" s="261"/>
      <c r="AK822" s="261"/>
      <c r="AL822" s="261"/>
      <c r="AM822" s="262"/>
    </row>
    <row r="823" spans="1:39" x14ac:dyDescent="0.25">
      <c r="A823" s="215"/>
      <c r="B823" s="215"/>
      <c r="C823" s="215"/>
      <c r="D823" s="239"/>
      <c r="E823" s="239"/>
      <c r="F823" s="239"/>
      <c r="G823" s="239"/>
      <c r="H823" s="239"/>
      <c r="I823" s="257"/>
      <c r="J823" s="240"/>
      <c r="K823" s="240"/>
      <c r="L823" s="240"/>
      <c r="M823" s="240"/>
      <c r="N823" s="240"/>
      <c r="O823" s="258"/>
      <c r="P823" s="224"/>
      <c r="Q823" s="224"/>
      <c r="R823" s="224"/>
      <c r="S823" s="224"/>
      <c r="T823" s="224"/>
      <c r="U823" s="259"/>
      <c r="V823" s="239"/>
      <c r="W823" s="239"/>
      <c r="X823" s="239"/>
      <c r="Y823" s="239"/>
      <c r="Z823" s="239"/>
      <c r="AA823" s="257"/>
      <c r="AB823" s="224"/>
      <c r="AC823" s="224"/>
      <c r="AD823" s="224"/>
      <c r="AE823" s="224"/>
      <c r="AF823" s="224"/>
      <c r="AG823" s="259"/>
      <c r="AH823" s="261"/>
      <c r="AI823" s="261"/>
      <c r="AJ823" s="261"/>
      <c r="AK823" s="261"/>
      <c r="AL823" s="261"/>
      <c r="AM823" s="262"/>
    </row>
    <row r="824" spans="1:39" x14ac:dyDescent="0.25">
      <c r="A824" s="215"/>
      <c r="B824" s="215"/>
      <c r="C824" s="215"/>
      <c r="D824" s="239"/>
      <c r="E824" s="239"/>
      <c r="F824" s="239"/>
      <c r="G824" s="239"/>
      <c r="H824" s="239"/>
      <c r="I824" s="257"/>
      <c r="J824" s="240"/>
      <c r="K824" s="240"/>
      <c r="L824" s="240"/>
      <c r="M824" s="240"/>
      <c r="N824" s="240"/>
      <c r="O824" s="258"/>
      <c r="P824" s="224"/>
      <c r="Q824" s="224"/>
      <c r="R824" s="224"/>
      <c r="S824" s="224"/>
      <c r="T824" s="224"/>
      <c r="U824" s="259"/>
      <c r="V824" s="239"/>
      <c r="W824" s="239"/>
      <c r="X824" s="239"/>
      <c r="Y824" s="239"/>
      <c r="Z824" s="239"/>
      <c r="AA824" s="257"/>
      <c r="AB824" s="224"/>
      <c r="AC824" s="224"/>
      <c r="AD824" s="224"/>
      <c r="AE824" s="224"/>
      <c r="AF824" s="224"/>
      <c r="AG824" s="259"/>
      <c r="AH824" s="261"/>
      <c r="AI824" s="261"/>
      <c r="AJ824" s="261"/>
      <c r="AK824" s="261"/>
      <c r="AL824" s="261"/>
      <c r="AM824" s="262"/>
    </row>
    <row r="825" spans="1:39" x14ac:dyDescent="0.25">
      <c r="A825" s="215"/>
      <c r="B825" s="215"/>
      <c r="C825" s="215"/>
      <c r="D825" s="239"/>
      <c r="E825" s="239"/>
      <c r="F825" s="239"/>
      <c r="G825" s="239"/>
      <c r="H825" s="239"/>
      <c r="I825" s="257"/>
      <c r="J825" s="240"/>
      <c r="K825" s="240"/>
      <c r="L825" s="240"/>
      <c r="M825" s="240"/>
      <c r="N825" s="240"/>
      <c r="O825" s="258"/>
      <c r="P825" s="224"/>
      <c r="Q825" s="224"/>
      <c r="R825" s="224"/>
      <c r="S825" s="224"/>
      <c r="T825" s="224"/>
      <c r="U825" s="259"/>
      <c r="V825" s="239"/>
      <c r="W825" s="239"/>
      <c r="X825" s="239"/>
      <c r="Y825" s="239"/>
      <c r="Z825" s="239"/>
      <c r="AA825" s="257"/>
      <c r="AB825" s="224"/>
      <c r="AC825" s="224"/>
      <c r="AD825" s="224"/>
      <c r="AE825" s="224"/>
      <c r="AF825" s="224"/>
      <c r="AG825" s="259"/>
      <c r="AH825" s="261"/>
      <c r="AI825" s="261"/>
      <c r="AJ825" s="261"/>
      <c r="AK825" s="261"/>
      <c r="AL825" s="261"/>
      <c r="AM825" s="262"/>
    </row>
    <row r="826" spans="1:39" x14ac:dyDescent="0.25">
      <c r="A826" s="215"/>
      <c r="B826" s="215"/>
      <c r="C826" s="215"/>
      <c r="D826" s="239"/>
      <c r="E826" s="239"/>
      <c r="F826" s="239"/>
      <c r="G826" s="239"/>
      <c r="H826" s="239"/>
      <c r="I826" s="257"/>
      <c r="J826" s="240"/>
      <c r="K826" s="240"/>
      <c r="L826" s="240"/>
      <c r="M826" s="240"/>
      <c r="N826" s="240"/>
      <c r="O826" s="258"/>
      <c r="P826" s="224"/>
      <c r="Q826" s="224"/>
      <c r="R826" s="224"/>
      <c r="S826" s="224"/>
      <c r="T826" s="224"/>
      <c r="U826" s="259"/>
      <c r="V826" s="239"/>
      <c r="W826" s="239"/>
      <c r="X826" s="239"/>
      <c r="Y826" s="239"/>
      <c r="Z826" s="239"/>
      <c r="AA826" s="257"/>
      <c r="AB826" s="224"/>
      <c r="AC826" s="224"/>
      <c r="AD826" s="224"/>
      <c r="AE826" s="224"/>
      <c r="AF826" s="224"/>
      <c r="AG826" s="259"/>
      <c r="AH826" s="261"/>
      <c r="AI826" s="261"/>
      <c r="AJ826" s="261"/>
      <c r="AK826" s="261"/>
      <c r="AL826" s="261"/>
      <c r="AM826" s="262"/>
    </row>
    <row r="827" spans="1:39" x14ac:dyDescent="0.25">
      <c r="A827" s="215"/>
      <c r="B827" s="215"/>
      <c r="C827" s="215"/>
      <c r="D827" s="239"/>
      <c r="E827" s="239"/>
      <c r="F827" s="239"/>
      <c r="G827" s="239"/>
      <c r="H827" s="239"/>
      <c r="I827" s="257"/>
      <c r="J827" s="240"/>
      <c r="K827" s="240"/>
      <c r="L827" s="240"/>
      <c r="M827" s="240"/>
      <c r="N827" s="240"/>
      <c r="O827" s="258"/>
      <c r="P827" s="224"/>
      <c r="Q827" s="224"/>
      <c r="R827" s="224"/>
      <c r="S827" s="224"/>
      <c r="T827" s="224"/>
      <c r="U827" s="259"/>
      <c r="V827" s="239"/>
      <c r="W827" s="239"/>
      <c r="X827" s="239"/>
      <c r="Y827" s="239"/>
      <c r="Z827" s="239"/>
      <c r="AA827" s="257"/>
      <c r="AB827" s="224"/>
      <c r="AC827" s="224"/>
      <c r="AD827" s="224"/>
      <c r="AE827" s="224"/>
      <c r="AF827" s="224"/>
      <c r="AG827" s="259"/>
      <c r="AH827" s="261"/>
      <c r="AI827" s="261"/>
      <c r="AJ827" s="261"/>
      <c r="AK827" s="261"/>
      <c r="AL827" s="261"/>
      <c r="AM827" s="262"/>
    </row>
    <row r="828" spans="1:39" x14ac:dyDescent="0.25">
      <c r="A828" s="215"/>
      <c r="B828" s="215"/>
      <c r="C828" s="215"/>
      <c r="D828" s="239"/>
      <c r="E828" s="239"/>
      <c r="F828" s="239"/>
      <c r="G828" s="239"/>
      <c r="H828" s="239"/>
      <c r="I828" s="257"/>
      <c r="J828" s="240"/>
      <c r="K828" s="240"/>
      <c r="L828" s="240"/>
      <c r="M828" s="240"/>
      <c r="N828" s="240"/>
      <c r="O828" s="258"/>
      <c r="P828" s="224"/>
      <c r="Q828" s="224"/>
      <c r="R828" s="224"/>
      <c r="S828" s="224"/>
      <c r="T828" s="224"/>
      <c r="U828" s="259"/>
      <c r="V828" s="239"/>
      <c r="W828" s="239"/>
      <c r="X828" s="239"/>
      <c r="Y828" s="239"/>
      <c r="Z828" s="239"/>
      <c r="AA828" s="257"/>
      <c r="AB828" s="224"/>
      <c r="AC828" s="224"/>
      <c r="AD828" s="224"/>
      <c r="AE828" s="224"/>
      <c r="AF828" s="224"/>
      <c r="AG828" s="259"/>
      <c r="AH828" s="261"/>
      <c r="AI828" s="261"/>
      <c r="AJ828" s="261"/>
      <c r="AK828" s="261"/>
      <c r="AL828" s="261"/>
      <c r="AM828" s="262"/>
    </row>
    <row r="829" spans="1:39" x14ac:dyDescent="0.25">
      <c r="A829" s="215"/>
      <c r="B829" s="215"/>
      <c r="C829" s="215"/>
      <c r="D829" s="239"/>
      <c r="E829" s="239"/>
      <c r="F829" s="239"/>
      <c r="G829" s="239"/>
      <c r="H829" s="239"/>
      <c r="I829" s="257"/>
      <c r="J829" s="240"/>
      <c r="K829" s="240"/>
      <c r="L829" s="240"/>
      <c r="M829" s="240"/>
      <c r="N829" s="240"/>
      <c r="O829" s="258"/>
      <c r="P829" s="224"/>
      <c r="Q829" s="224"/>
      <c r="R829" s="224"/>
      <c r="S829" s="224"/>
      <c r="T829" s="224"/>
      <c r="U829" s="259"/>
      <c r="V829" s="239"/>
      <c r="W829" s="239"/>
      <c r="X829" s="239"/>
      <c r="Y829" s="239"/>
      <c r="Z829" s="239"/>
      <c r="AA829" s="257"/>
      <c r="AB829" s="224"/>
      <c r="AC829" s="224"/>
      <c r="AD829" s="224"/>
      <c r="AE829" s="224"/>
      <c r="AF829" s="224"/>
      <c r="AG829" s="259"/>
      <c r="AH829" s="261"/>
      <c r="AI829" s="261"/>
      <c r="AJ829" s="261"/>
      <c r="AK829" s="261"/>
      <c r="AL829" s="261"/>
      <c r="AM829" s="262"/>
    </row>
    <row r="830" spans="1:39" x14ac:dyDescent="0.25">
      <c r="A830" s="215"/>
      <c r="B830" s="215"/>
      <c r="C830" s="215"/>
      <c r="D830" s="239"/>
      <c r="E830" s="239"/>
      <c r="F830" s="239"/>
      <c r="G830" s="239"/>
      <c r="H830" s="239"/>
      <c r="I830" s="257"/>
      <c r="J830" s="240"/>
      <c r="K830" s="240"/>
      <c r="L830" s="240"/>
      <c r="M830" s="240"/>
      <c r="N830" s="240"/>
      <c r="O830" s="258"/>
      <c r="P830" s="224"/>
      <c r="Q830" s="224"/>
      <c r="R830" s="224"/>
      <c r="S830" s="224"/>
      <c r="T830" s="224"/>
      <c r="U830" s="259"/>
      <c r="V830" s="239"/>
      <c r="W830" s="239"/>
      <c r="X830" s="239"/>
      <c r="Y830" s="239"/>
      <c r="Z830" s="239"/>
      <c r="AA830" s="257"/>
      <c r="AB830" s="224"/>
      <c r="AC830" s="224"/>
      <c r="AD830" s="224"/>
      <c r="AE830" s="224"/>
      <c r="AF830" s="224"/>
      <c r="AG830" s="259"/>
      <c r="AH830" s="261"/>
      <c r="AI830" s="261"/>
      <c r="AJ830" s="261"/>
      <c r="AK830" s="261"/>
      <c r="AL830" s="261"/>
      <c r="AM830" s="262"/>
    </row>
    <row r="831" spans="1:39" x14ac:dyDescent="0.25">
      <c r="A831" s="215"/>
      <c r="B831" s="215"/>
      <c r="C831" s="215"/>
      <c r="D831" s="239"/>
      <c r="E831" s="239"/>
      <c r="F831" s="239"/>
      <c r="G831" s="239"/>
      <c r="H831" s="239"/>
      <c r="I831" s="257"/>
      <c r="J831" s="240"/>
      <c r="K831" s="240"/>
      <c r="L831" s="240"/>
      <c r="M831" s="240"/>
      <c r="N831" s="240"/>
      <c r="O831" s="258"/>
      <c r="P831" s="224"/>
      <c r="Q831" s="224"/>
      <c r="R831" s="224"/>
      <c r="S831" s="224"/>
      <c r="T831" s="224"/>
      <c r="U831" s="259"/>
      <c r="V831" s="239"/>
      <c r="W831" s="239"/>
      <c r="X831" s="239"/>
      <c r="Y831" s="239"/>
      <c r="Z831" s="239"/>
      <c r="AA831" s="257"/>
      <c r="AB831" s="224"/>
      <c r="AC831" s="224"/>
      <c r="AD831" s="224"/>
      <c r="AE831" s="224"/>
      <c r="AF831" s="224"/>
      <c r="AG831" s="259"/>
      <c r="AH831" s="261"/>
      <c r="AI831" s="261"/>
      <c r="AJ831" s="261"/>
      <c r="AK831" s="261"/>
      <c r="AL831" s="261"/>
      <c r="AM831" s="262"/>
    </row>
    <row r="832" spans="1:39" x14ac:dyDescent="0.25">
      <c r="A832" s="215"/>
      <c r="B832" s="215"/>
      <c r="C832" s="215"/>
      <c r="D832" s="239"/>
      <c r="E832" s="239"/>
      <c r="F832" s="239"/>
      <c r="G832" s="239"/>
      <c r="H832" s="239"/>
      <c r="I832" s="257"/>
      <c r="J832" s="240"/>
      <c r="K832" s="240"/>
      <c r="L832" s="240"/>
      <c r="M832" s="240"/>
      <c r="N832" s="240"/>
      <c r="O832" s="258"/>
      <c r="P832" s="224"/>
      <c r="Q832" s="224"/>
      <c r="R832" s="224"/>
      <c r="S832" s="224"/>
      <c r="T832" s="224"/>
      <c r="U832" s="259"/>
      <c r="V832" s="239"/>
      <c r="W832" s="239"/>
      <c r="X832" s="239"/>
      <c r="Y832" s="239"/>
      <c r="Z832" s="239"/>
      <c r="AA832" s="257"/>
      <c r="AB832" s="224"/>
      <c r="AC832" s="224"/>
      <c r="AD832" s="224"/>
      <c r="AE832" s="224"/>
      <c r="AF832" s="224"/>
      <c r="AG832" s="259"/>
      <c r="AH832" s="261"/>
      <c r="AI832" s="261"/>
      <c r="AJ832" s="261"/>
      <c r="AK832" s="261"/>
      <c r="AL832" s="261"/>
      <c r="AM832" s="262"/>
    </row>
    <row r="833" spans="1:39" x14ac:dyDescent="0.25">
      <c r="A833" s="215"/>
      <c r="B833" s="215"/>
      <c r="C833" s="215"/>
      <c r="D833" s="239"/>
      <c r="E833" s="239"/>
      <c r="F833" s="239"/>
      <c r="G833" s="239"/>
      <c r="H833" s="239"/>
      <c r="I833" s="257"/>
      <c r="J833" s="240"/>
      <c r="K833" s="240"/>
      <c r="L833" s="240"/>
      <c r="M833" s="240"/>
      <c r="N833" s="240"/>
      <c r="O833" s="258"/>
      <c r="P833" s="224"/>
      <c r="Q833" s="224"/>
      <c r="R833" s="224"/>
      <c r="S833" s="224"/>
      <c r="T833" s="224"/>
      <c r="U833" s="259"/>
      <c r="V833" s="239"/>
      <c r="W833" s="239"/>
      <c r="X833" s="239"/>
      <c r="Y833" s="239"/>
      <c r="Z833" s="239"/>
      <c r="AA833" s="257"/>
      <c r="AB833" s="224"/>
      <c r="AC833" s="224"/>
      <c r="AD833" s="224"/>
      <c r="AE833" s="224"/>
      <c r="AF833" s="224"/>
      <c r="AG833" s="259"/>
      <c r="AH833" s="261"/>
      <c r="AI833" s="261"/>
      <c r="AJ833" s="261"/>
      <c r="AK833" s="261"/>
      <c r="AL833" s="261"/>
      <c r="AM833" s="262"/>
    </row>
    <row r="834" spans="1:39" x14ac:dyDescent="0.25">
      <c r="A834" s="215"/>
      <c r="B834" s="215"/>
      <c r="C834" s="215"/>
      <c r="D834" s="239"/>
      <c r="E834" s="239"/>
      <c r="F834" s="239"/>
      <c r="G834" s="239"/>
      <c r="H834" s="239"/>
      <c r="I834" s="257"/>
      <c r="J834" s="240"/>
      <c r="K834" s="240"/>
      <c r="L834" s="240"/>
      <c r="M834" s="240"/>
      <c r="N834" s="240"/>
      <c r="O834" s="258"/>
      <c r="P834" s="224"/>
      <c r="Q834" s="224"/>
      <c r="R834" s="224"/>
      <c r="S834" s="224"/>
      <c r="T834" s="224"/>
      <c r="U834" s="259"/>
      <c r="V834" s="239"/>
      <c r="W834" s="239"/>
      <c r="X834" s="239"/>
      <c r="Y834" s="239"/>
      <c r="Z834" s="239"/>
      <c r="AA834" s="257"/>
      <c r="AB834" s="224"/>
      <c r="AC834" s="224"/>
      <c r="AD834" s="224"/>
      <c r="AE834" s="224"/>
      <c r="AF834" s="224"/>
      <c r="AG834" s="259"/>
      <c r="AH834" s="261"/>
      <c r="AI834" s="261"/>
      <c r="AJ834" s="261"/>
      <c r="AK834" s="261"/>
      <c r="AL834" s="261"/>
      <c r="AM834" s="262"/>
    </row>
    <row r="835" spans="1:39" x14ac:dyDescent="0.25">
      <c r="A835" s="215"/>
      <c r="B835" s="215"/>
      <c r="C835" s="215"/>
      <c r="D835" s="239"/>
      <c r="E835" s="239"/>
      <c r="F835" s="239"/>
      <c r="G835" s="239"/>
      <c r="H835" s="239"/>
      <c r="I835" s="257"/>
      <c r="J835" s="240"/>
      <c r="K835" s="240"/>
      <c r="L835" s="240"/>
      <c r="M835" s="240"/>
      <c r="N835" s="240"/>
      <c r="O835" s="258"/>
      <c r="P835" s="224"/>
      <c r="Q835" s="224"/>
      <c r="R835" s="224"/>
      <c r="S835" s="224"/>
      <c r="T835" s="224"/>
      <c r="U835" s="259"/>
      <c r="V835" s="239"/>
      <c r="W835" s="239"/>
      <c r="X835" s="239"/>
      <c r="Y835" s="239"/>
      <c r="Z835" s="239"/>
      <c r="AA835" s="257"/>
      <c r="AB835" s="224"/>
      <c r="AC835" s="224"/>
      <c r="AD835" s="224"/>
      <c r="AE835" s="224"/>
      <c r="AF835" s="224"/>
      <c r="AG835" s="259"/>
      <c r="AH835" s="261"/>
      <c r="AI835" s="261"/>
      <c r="AJ835" s="261"/>
      <c r="AK835" s="261"/>
      <c r="AL835" s="261"/>
      <c r="AM835" s="262"/>
    </row>
    <row r="836" spans="1:39" x14ac:dyDescent="0.25">
      <c r="A836" s="215"/>
      <c r="B836" s="215"/>
      <c r="C836" s="215"/>
      <c r="D836" s="239"/>
      <c r="E836" s="239"/>
      <c r="F836" s="239"/>
      <c r="G836" s="239"/>
      <c r="H836" s="239"/>
      <c r="I836" s="257"/>
      <c r="J836" s="240"/>
      <c r="K836" s="240"/>
      <c r="L836" s="240"/>
      <c r="M836" s="240"/>
      <c r="N836" s="240"/>
      <c r="O836" s="258"/>
      <c r="P836" s="224"/>
      <c r="Q836" s="224"/>
      <c r="R836" s="224"/>
      <c r="S836" s="224"/>
      <c r="T836" s="224"/>
      <c r="U836" s="259"/>
      <c r="V836" s="239"/>
      <c r="W836" s="239"/>
      <c r="X836" s="239"/>
      <c r="Y836" s="239"/>
      <c r="Z836" s="239"/>
      <c r="AA836" s="257"/>
      <c r="AB836" s="224"/>
      <c r="AC836" s="224"/>
      <c r="AD836" s="224"/>
      <c r="AE836" s="224"/>
      <c r="AF836" s="224"/>
      <c r="AG836" s="259"/>
      <c r="AH836" s="261"/>
      <c r="AI836" s="261"/>
      <c r="AJ836" s="261"/>
      <c r="AK836" s="261"/>
      <c r="AL836" s="261"/>
      <c r="AM836" s="262"/>
    </row>
    <row r="837" spans="1:39" x14ac:dyDescent="0.25">
      <c r="A837" s="215"/>
      <c r="B837" s="215"/>
      <c r="C837" s="215"/>
      <c r="D837" s="239"/>
      <c r="E837" s="239"/>
      <c r="F837" s="239"/>
      <c r="G837" s="239"/>
      <c r="H837" s="239"/>
      <c r="I837" s="257"/>
      <c r="J837" s="240"/>
      <c r="K837" s="240"/>
      <c r="L837" s="240"/>
      <c r="M837" s="240"/>
      <c r="N837" s="240"/>
      <c r="O837" s="258"/>
      <c r="P837" s="224"/>
      <c r="Q837" s="224"/>
      <c r="R837" s="224"/>
      <c r="S837" s="224"/>
      <c r="T837" s="224"/>
      <c r="U837" s="259"/>
      <c r="V837" s="239"/>
      <c r="W837" s="239"/>
      <c r="X837" s="239"/>
      <c r="Y837" s="239"/>
      <c r="Z837" s="239"/>
      <c r="AA837" s="257"/>
      <c r="AB837" s="224"/>
      <c r="AC837" s="224"/>
      <c r="AD837" s="224"/>
      <c r="AE837" s="224"/>
      <c r="AF837" s="224"/>
      <c r="AG837" s="259"/>
      <c r="AH837" s="261"/>
      <c r="AI837" s="261"/>
      <c r="AJ837" s="261"/>
      <c r="AK837" s="261"/>
      <c r="AL837" s="261"/>
      <c r="AM837" s="262"/>
    </row>
    <row r="838" spans="1:39" x14ac:dyDescent="0.25">
      <c r="A838" s="215"/>
      <c r="B838" s="215"/>
      <c r="C838" s="215"/>
      <c r="D838" s="239"/>
      <c r="E838" s="239"/>
      <c r="F838" s="239"/>
      <c r="G838" s="239"/>
      <c r="H838" s="239"/>
      <c r="I838" s="257"/>
      <c r="J838" s="240"/>
      <c r="K838" s="240"/>
      <c r="L838" s="240"/>
      <c r="M838" s="240"/>
      <c r="N838" s="240"/>
      <c r="O838" s="258"/>
      <c r="P838" s="224"/>
      <c r="Q838" s="224"/>
      <c r="R838" s="224"/>
      <c r="S838" s="224"/>
      <c r="T838" s="224"/>
      <c r="U838" s="259"/>
      <c r="V838" s="239"/>
      <c r="W838" s="239"/>
      <c r="X838" s="239"/>
      <c r="Y838" s="239"/>
      <c r="Z838" s="239"/>
      <c r="AA838" s="257"/>
      <c r="AB838" s="224"/>
      <c r="AC838" s="224"/>
      <c r="AD838" s="224"/>
      <c r="AE838" s="224"/>
      <c r="AF838" s="224"/>
      <c r="AG838" s="259"/>
      <c r="AH838" s="261"/>
      <c r="AI838" s="261"/>
      <c r="AJ838" s="261"/>
      <c r="AK838" s="261"/>
      <c r="AL838" s="261"/>
      <c r="AM838" s="262"/>
    </row>
    <row r="839" spans="1:39" x14ac:dyDescent="0.25">
      <c r="A839" s="215"/>
      <c r="B839" s="215"/>
      <c r="C839" s="215"/>
      <c r="D839" s="239"/>
      <c r="E839" s="239"/>
      <c r="F839" s="239"/>
      <c r="G839" s="239"/>
      <c r="H839" s="239"/>
      <c r="I839" s="257"/>
      <c r="J839" s="240"/>
      <c r="K839" s="240"/>
      <c r="L839" s="240"/>
      <c r="M839" s="240"/>
      <c r="N839" s="240"/>
      <c r="O839" s="258"/>
      <c r="P839" s="224"/>
      <c r="Q839" s="224"/>
      <c r="R839" s="224"/>
      <c r="S839" s="224"/>
      <c r="T839" s="224"/>
      <c r="U839" s="259"/>
      <c r="V839" s="239"/>
      <c r="W839" s="239"/>
      <c r="X839" s="239"/>
      <c r="Y839" s="239"/>
      <c r="Z839" s="239"/>
      <c r="AA839" s="257"/>
      <c r="AB839" s="224"/>
      <c r="AC839" s="224"/>
      <c r="AD839" s="224"/>
      <c r="AE839" s="224"/>
      <c r="AF839" s="224"/>
      <c r="AG839" s="259"/>
      <c r="AH839" s="261"/>
      <c r="AI839" s="261"/>
      <c r="AJ839" s="261"/>
      <c r="AK839" s="261"/>
      <c r="AL839" s="261"/>
      <c r="AM839" s="262"/>
    </row>
    <row r="840" spans="1:39" x14ac:dyDescent="0.25">
      <c r="A840" s="215"/>
      <c r="B840" s="215"/>
      <c r="C840" s="215"/>
      <c r="D840" s="239"/>
      <c r="E840" s="239"/>
      <c r="F840" s="239"/>
      <c r="G840" s="239"/>
      <c r="H840" s="239"/>
      <c r="I840" s="257"/>
      <c r="J840" s="240"/>
      <c r="K840" s="240"/>
      <c r="L840" s="240"/>
      <c r="M840" s="240"/>
      <c r="N840" s="240"/>
      <c r="O840" s="258"/>
      <c r="P840" s="224"/>
      <c r="Q840" s="224"/>
      <c r="R840" s="224"/>
      <c r="S840" s="224"/>
      <c r="T840" s="224"/>
      <c r="U840" s="259"/>
      <c r="V840" s="239"/>
      <c r="W840" s="239"/>
      <c r="X840" s="239"/>
      <c r="Y840" s="239"/>
      <c r="Z840" s="239"/>
      <c r="AA840" s="257"/>
      <c r="AB840" s="224"/>
      <c r="AC840" s="224"/>
      <c r="AD840" s="224"/>
      <c r="AE840" s="224"/>
      <c r="AF840" s="224"/>
      <c r="AG840" s="259"/>
      <c r="AH840" s="261"/>
      <c r="AI840" s="261"/>
      <c r="AJ840" s="261"/>
      <c r="AK840" s="261"/>
      <c r="AL840" s="261"/>
      <c r="AM840" s="262"/>
    </row>
    <row r="841" spans="1:39" x14ac:dyDescent="0.25">
      <c r="A841" s="215"/>
      <c r="B841" s="215"/>
      <c r="C841" s="215"/>
      <c r="D841" s="239"/>
      <c r="E841" s="239"/>
      <c r="F841" s="239"/>
      <c r="G841" s="239"/>
      <c r="H841" s="239"/>
      <c r="I841" s="257"/>
      <c r="J841" s="240"/>
      <c r="K841" s="240"/>
      <c r="L841" s="240"/>
      <c r="M841" s="240"/>
      <c r="N841" s="240"/>
      <c r="O841" s="258"/>
      <c r="P841" s="224"/>
      <c r="Q841" s="224"/>
      <c r="R841" s="224"/>
      <c r="S841" s="224"/>
      <c r="T841" s="224"/>
      <c r="U841" s="259"/>
      <c r="V841" s="239"/>
      <c r="W841" s="239"/>
      <c r="X841" s="239"/>
      <c r="Y841" s="239"/>
      <c r="Z841" s="239"/>
      <c r="AA841" s="257"/>
      <c r="AB841" s="224"/>
      <c r="AC841" s="224"/>
      <c r="AD841" s="224"/>
      <c r="AE841" s="224"/>
      <c r="AF841" s="224"/>
      <c r="AG841" s="259"/>
      <c r="AH841" s="261"/>
      <c r="AI841" s="261"/>
      <c r="AJ841" s="261"/>
      <c r="AK841" s="261"/>
      <c r="AL841" s="261"/>
      <c r="AM841" s="262"/>
    </row>
    <row r="842" spans="1:39" x14ac:dyDescent="0.25">
      <c r="A842" s="215"/>
      <c r="B842" s="215"/>
      <c r="C842" s="215"/>
      <c r="D842" s="239"/>
      <c r="E842" s="239"/>
      <c r="F842" s="239"/>
      <c r="G842" s="239"/>
      <c r="H842" s="239"/>
      <c r="I842" s="257"/>
      <c r="J842" s="240"/>
      <c r="K842" s="240"/>
      <c r="L842" s="240"/>
      <c r="M842" s="240"/>
      <c r="N842" s="240"/>
      <c r="O842" s="258"/>
      <c r="P842" s="224"/>
      <c r="Q842" s="224"/>
      <c r="R842" s="224"/>
      <c r="S842" s="224"/>
      <c r="T842" s="224"/>
      <c r="U842" s="259"/>
      <c r="V842" s="239"/>
      <c r="W842" s="239"/>
      <c r="X842" s="239"/>
      <c r="Y842" s="239"/>
      <c r="Z842" s="239"/>
      <c r="AA842" s="257"/>
      <c r="AB842" s="224"/>
      <c r="AC842" s="224"/>
      <c r="AD842" s="224"/>
      <c r="AE842" s="224"/>
      <c r="AF842" s="224"/>
      <c r="AG842" s="259"/>
      <c r="AH842" s="261"/>
      <c r="AI842" s="261"/>
      <c r="AJ842" s="261"/>
      <c r="AK842" s="261"/>
      <c r="AL842" s="261"/>
      <c r="AM842" s="262"/>
    </row>
    <row r="843" spans="1:39" x14ac:dyDescent="0.25">
      <c r="A843" s="215"/>
      <c r="B843" s="215"/>
      <c r="C843" s="215"/>
      <c r="D843" s="239"/>
      <c r="E843" s="239"/>
      <c r="F843" s="239"/>
      <c r="G843" s="239"/>
      <c r="H843" s="239"/>
      <c r="I843" s="257"/>
      <c r="J843" s="240"/>
      <c r="K843" s="240"/>
      <c r="L843" s="240"/>
      <c r="M843" s="240"/>
      <c r="N843" s="240"/>
      <c r="O843" s="258"/>
      <c r="P843" s="224"/>
      <c r="Q843" s="224"/>
      <c r="R843" s="224"/>
      <c r="S843" s="224"/>
      <c r="T843" s="224"/>
      <c r="U843" s="259"/>
      <c r="V843" s="239"/>
      <c r="W843" s="239"/>
      <c r="X843" s="239"/>
      <c r="Y843" s="239"/>
      <c r="Z843" s="239"/>
      <c r="AA843" s="257"/>
      <c r="AB843" s="224"/>
      <c r="AC843" s="224"/>
      <c r="AD843" s="224"/>
      <c r="AE843" s="224"/>
      <c r="AF843" s="224"/>
      <c r="AG843" s="259"/>
      <c r="AH843" s="261"/>
      <c r="AI843" s="261"/>
      <c r="AJ843" s="261"/>
      <c r="AK843" s="261"/>
      <c r="AL843" s="261"/>
      <c r="AM843" s="262"/>
    </row>
    <row r="844" spans="1:39" x14ac:dyDescent="0.25">
      <c r="A844" s="215"/>
      <c r="B844" s="215"/>
      <c r="C844" s="215"/>
      <c r="D844" s="239"/>
      <c r="E844" s="239"/>
      <c r="F844" s="239"/>
      <c r="G844" s="239"/>
      <c r="H844" s="239"/>
      <c r="I844" s="257"/>
      <c r="J844" s="240"/>
      <c r="K844" s="240"/>
      <c r="L844" s="240"/>
      <c r="M844" s="240"/>
      <c r="N844" s="240"/>
      <c r="O844" s="258"/>
      <c r="P844" s="224"/>
      <c r="Q844" s="224"/>
      <c r="R844" s="224"/>
      <c r="S844" s="224"/>
      <c r="T844" s="224"/>
      <c r="U844" s="259"/>
      <c r="V844" s="239"/>
      <c r="W844" s="239"/>
      <c r="X844" s="239"/>
      <c r="Y844" s="239"/>
      <c r="Z844" s="239"/>
      <c r="AA844" s="257"/>
      <c r="AB844" s="224"/>
      <c r="AC844" s="224"/>
      <c r="AD844" s="224"/>
      <c r="AE844" s="224"/>
      <c r="AF844" s="224"/>
      <c r="AG844" s="259"/>
      <c r="AH844" s="261"/>
      <c r="AI844" s="261"/>
      <c r="AJ844" s="261"/>
      <c r="AK844" s="261"/>
      <c r="AL844" s="261"/>
      <c r="AM844" s="262"/>
    </row>
    <row r="845" spans="1:39" x14ac:dyDescent="0.25">
      <c r="A845" s="215"/>
      <c r="B845" s="215"/>
      <c r="C845" s="215"/>
      <c r="D845" s="239"/>
      <c r="E845" s="239"/>
      <c r="F845" s="239"/>
      <c r="G845" s="239"/>
      <c r="H845" s="239"/>
      <c r="I845" s="257"/>
      <c r="J845" s="240"/>
      <c r="K845" s="240"/>
      <c r="L845" s="240"/>
      <c r="M845" s="240"/>
      <c r="N845" s="240"/>
      <c r="O845" s="258"/>
      <c r="P845" s="224"/>
      <c r="Q845" s="224"/>
      <c r="R845" s="224"/>
      <c r="S845" s="224"/>
      <c r="T845" s="224"/>
      <c r="U845" s="259"/>
      <c r="V845" s="239"/>
      <c r="W845" s="239"/>
      <c r="X845" s="239"/>
      <c r="Y845" s="239"/>
      <c r="Z845" s="239"/>
      <c r="AA845" s="257"/>
      <c r="AB845" s="224"/>
      <c r="AC845" s="224"/>
      <c r="AD845" s="224"/>
      <c r="AE845" s="224"/>
      <c r="AF845" s="224"/>
      <c r="AG845" s="259"/>
      <c r="AH845" s="261"/>
      <c r="AI845" s="261"/>
      <c r="AJ845" s="261"/>
      <c r="AK845" s="261"/>
      <c r="AL845" s="261"/>
      <c r="AM845" s="262"/>
    </row>
    <row r="846" spans="1:39" x14ac:dyDescent="0.25">
      <c r="A846" s="215"/>
      <c r="B846" s="215"/>
      <c r="C846" s="215"/>
      <c r="D846" s="239"/>
      <c r="E846" s="239"/>
      <c r="F846" s="239"/>
      <c r="G846" s="239"/>
      <c r="H846" s="239"/>
      <c r="I846" s="257"/>
      <c r="J846" s="240"/>
      <c r="K846" s="240"/>
      <c r="L846" s="240"/>
      <c r="M846" s="240"/>
      <c r="N846" s="240"/>
      <c r="O846" s="258"/>
      <c r="P846" s="224"/>
      <c r="Q846" s="224"/>
      <c r="R846" s="224"/>
      <c r="S846" s="224"/>
      <c r="T846" s="224"/>
      <c r="U846" s="259"/>
      <c r="V846" s="239"/>
      <c r="W846" s="239"/>
      <c r="X846" s="239"/>
      <c r="Y846" s="239"/>
      <c r="Z846" s="239"/>
      <c r="AA846" s="257"/>
      <c r="AB846" s="224"/>
      <c r="AC846" s="224"/>
      <c r="AD846" s="224"/>
      <c r="AE846" s="224"/>
      <c r="AF846" s="224"/>
      <c r="AG846" s="259"/>
      <c r="AH846" s="261"/>
      <c r="AI846" s="261"/>
      <c r="AJ846" s="261"/>
      <c r="AK846" s="261"/>
      <c r="AL846" s="261"/>
      <c r="AM846" s="262"/>
    </row>
    <row r="847" spans="1:39" x14ac:dyDescent="0.25">
      <c r="A847" s="215"/>
      <c r="B847" s="215"/>
      <c r="C847" s="215"/>
      <c r="D847" s="239"/>
      <c r="E847" s="239"/>
      <c r="F847" s="239"/>
      <c r="G847" s="239"/>
      <c r="H847" s="239"/>
      <c r="I847" s="257"/>
      <c r="J847" s="240"/>
      <c r="K847" s="240"/>
      <c r="L847" s="240"/>
      <c r="M847" s="240"/>
      <c r="N847" s="240"/>
      <c r="O847" s="258"/>
      <c r="P847" s="224"/>
      <c r="Q847" s="224"/>
      <c r="R847" s="224"/>
      <c r="S847" s="224"/>
      <c r="T847" s="224"/>
      <c r="U847" s="259"/>
      <c r="V847" s="239"/>
      <c r="W847" s="239"/>
      <c r="X847" s="239"/>
      <c r="Y847" s="239"/>
      <c r="Z847" s="239"/>
      <c r="AA847" s="257"/>
      <c r="AB847" s="224"/>
      <c r="AC847" s="224"/>
      <c r="AD847" s="224"/>
      <c r="AE847" s="224"/>
      <c r="AF847" s="224"/>
      <c r="AG847" s="259"/>
      <c r="AH847" s="261"/>
      <c r="AI847" s="261"/>
      <c r="AJ847" s="261"/>
      <c r="AK847" s="261"/>
      <c r="AL847" s="261"/>
      <c r="AM847" s="262"/>
    </row>
    <row r="848" spans="1:39" x14ac:dyDescent="0.25">
      <c r="A848" s="215"/>
      <c r="B848" s="215"/>
      <c r="C848" s="215"/>
      <c r="D848" s="239"/>
      <c r="E848" s="239"/>
      <c r="F848" s="239"/>
      <c r="G848" s="239"/>
      <c r="H848" s="239"/>
      <c r="I848" s="257"/>
      <c r="J848" s="240"/>
      <c r="K848" s="240"/>
      <c r="L848" s="240"/>
      <c r="M848" s="240"/>
      <c r="N848" s="240"/>
      <c r="O848" s="258"/>
      <c r="P848" s="224"/>
      <c r="Q848" s="224"/>
      <c r="R848" s="224"/>
      <c r="S848" s="224"/>
      <c r="T848" s="224"/>
      <c r="U848" s="259"/>
      <c r="V848" s="239"/>
      <c r="W848" s="239"/>
      <c r="X848" s="239"/>
      <c r="Y848" s="239"/>
      <c r="Z848" s="239"/>
      <c r="AA848" s="257"/>
      <c r="AB848" s="224"/>
      <c r="AC848" s="224"/>
      <c r="AD848" s="224"/>
      <c r="AE848" s="224"/>
      <c r="AF848" s="224"/>
      <c r="AG848" s="259"/>
      <c r="AH848" s="261"/>
      <c r="AI848" s="261"/>
      <c r="AJ848" s="261"/>
      <c r="AK848" s="261"/>
      <c r="AL848" s="261"/>
      <c r="AM848" s="262"/>
    </row>
    <row r="849" spans="1:39" x14ac:dyDescent="0.25">
      <c r="A849" s="215"/>
      <c r="B849" s="215"/>
      <c r="C849" s="215"/>
      <c r="D849" s="239"/>
      <c r="E849" s="239"/>
      <c r="F849" s="239"/>
      <c r="G849" s="239"/>
      <c r="H849" s="239"/>
      <c r="I849" s="257"/>
      <c r="J849" s="240"/>
      <c r="K849" s="240"/>
      <c r="L849" s="240"/>
      <c r="M849" s="240"/>
      <c r="N849" s="240"/>
      <c r="O849" s="258"/>
      <c r="P849" s="224"/>
      <c r="Q849" s="224"/>
      <c r="R849" s="224"/>
      <c r="S849" s="224"/>
      <c r="T849" s="224"/>
      <c r="U849" s="259"/>
      <c r="V849" s="239"/>
      <c r="W849" s="239"/>
      <c r="X849" s="239"/>
      <c r="Y849" s="239"/>
      <c r="Z849" s="239"/>
      <c r="AA849" s="257"/>
      <c r="AB849" s="224"/>
      <c r="AC849" s="224"/>
      <c r="AD849" s="224"/>
      <c r="AE849" s="224"/>
      <c r="AF849" s="224"/>
      <c r="AG849" s="259"/>
      <c r="AH849" s="261"/>
      <c r="AI849" s="261"/>
      <c r="AJ849" s="261"/>
      <c r="AK849" s="261"/>
      <c r="AL849" s="261"/>
      <c r="AM849" s="262"/>
    </row>
    <row r="850" spans="1:39" x14ac:dyDescent="0.25">
      <c r="A850" s="215"/>
      <c r="B850" s="215"/>
      <c r="C850" s="215"/>
      <c r="D850" s="239"/>
      <c r="E850" s="239"/>
      <c r="F850" s="239"/>
      <c r="G850" s="239"/>
      <c r="H850" s="239"/>
      <c r="I850" s="257"/>
      <c r="J850" s="240"/>
      <c r="K850" s="240"/>
      <c r="L850" s="240"/>
      <c r="M850" s="240"/>
      <c r="N850" s="240"/>
      <c r="O850" s="258"/>
      <c r="P850" s="224"/>
      <c r="Q850" s="224"/>
      <c r="R850" s="224"/>
      <c r="S850" s="224"/>
      <c r="T850" s="224"/>
      <c r="U850" s="259"/>
      <c r="V850" s="239"/>
      <c r="W850" s="239"/>
      <c r="X850" s="239"/>
      <c r="Y850" s="239"/>
      <c r="Z850" s="239"/>
      <c r="AA850" s="257"/>
      <c r="AB850" s="224"/>
      <c r="AC850" s="224"/>
      <c r="AD850" s="224"/>
      <c r="AE850" s="224"/>
      <c r="AF850" s="224"/>
      <c r="AG850" s="259"/>
      <c r="AH850" s="261"/>
      <c r="AI850" s="261"/>
      <c r="AJ850" s="261"/>
      <c r="AK850" s="261"/>
      <c r="AL850" s="261"/>
      <c r="AM850" s="262"/>
    </row>
    <row r="851" spans="1:39" x14ac:dyDescent="0.25">
      <c r="A851" s="215"/>
      <c r="B851" s="215"/>
      <c r="C851" s="215"/>
      <c r="D851" s="239"/>
      <c r="E851" s="239"/>
      <c r="F851" s="239"/>
      <c r="G851" s="239"/>
      <c r="H851" s="239"/>
      <c r="I851" s="257"/>
      <c r="J851" s="240"/>
      <c r="K851" s="240"/>
      <c r="L851" s="240"/>
      <c r="M851" s="240"/>
      <c r="N851" s="240"/>
      <c r="O851" s="258"/>
      <c r="P851" s="224"/>
      <c r="Q851" s="224"/>
      <c r="R851" s="224"/>
      <c r="S851" s="224"/>
      <c r="T851" s="224"/>
      <c r="U851" s="259"/>
      <c r="V851" s="239"/>
      <c r="W851" s="239"/>
      <c r="X851" s="239"/>
      <c r="Y851" s="239"/>
      <c r="Z851" s="239"/>
      <c r="AA851" s="257"/>
      <c r="AB851" s="224"/>
      <c r="AC851" s="224"/>
      <c r="AD851" s="224"/>
      <c r="AE851" s="224"/>
      <c r="AF851" s="224"/>
      <c r="AG851" s="259"/>
      <c r="AH851" s="261"/>
      <c r="AI851" s="261"/>
      <c r="AJ851" s="261"/>
      <c r="AK851" s="261"/>
      <c r="AL851" s="261"/>
      <c r="AM851" s="262"/>
    </row>
    <row r="852" spans="1:39" x14ac:dyDescent="0.25">
      <c r="A852" s="215"/>
      <c r="B852" s="215"/>
      <c r="C852" s="215"/>
      <c r="D852" s="239"/>
      <c r="E852" s="239"/>
      <c r="F852" s="239"/>
      <c r="G852" s="239"/>
      <c r="H852" s="239"/>
      <c r="I852" s="257"/>
      <c r="J852" s="240"/>
      <c r="K852" s="240"/>
      <c r="L852" s="240"/>
      <c r="M852" s="240"/>
      <c r="N852" s="240"/>
      <c r="O852" s="258"/>
      <c r="P852" s="224"/>
      <c r="Q852" s="224"/>
      <c r="R852" s="224"/>
      <c r="S852" s="224"/>
      <c r="T852" s="224"/>
      <c r="U852" s="259"/>
      <c r="V852" s="239"/>
      <c r="W852" s="239"/>
      <c r="X852" s="239"/>
      <c r="Y852" s="239"/>
      <c r="Z852" s="239"/>
      <c r="AA852" s="257"/>
      <c r="AB852" s="224"/>
      <c r="AC852" s="224"/>
      <c r="AD852" s="224"/>
      <c r="AE852" s="224"/>
      <c r="AF852" s="224"/>
      <c r="AG852" s="259"/>
      <c r="AH852" s="261"/>
      <c r="AI852" s="261"/>
      <c r="AJ852" s="261"/>
      <c r="AK852" s="261"/>
      <c r="AL852" s="261"/>
      <c r="AM852" s="262"/>
    </row>
    <row r="853" spans="1:39" x14ac:dyDescent="0.25">
      <c r="A853" s="215"/>
      <c r="B853" s="215"/>
      <c r="C853" s="215"/>
      <c r="D853" s="239"/>
      <c r="E853" s="239"/>
      <c r="F853" s="239"/>
      <c r="G853" s="239"/>
      <c r="H853" s="239"/>
      <c r="I853" s="257"/>
      <c r="J853" s="240"/>
      <c r="K853" s="240"/>
      <c r="L853" s="240"/>
      <c r="M853" s="240"/>
      <c r="N853" s="240"/>
      <c r="O853" s="258"/>
      <c r="P853" s="224"/>
      <c r="Q853" s="224"/>
      <c r="R853" s="224"/>
      <c r="S853" s="224"/>
      <c r="T853" s="224"/>
      <c r="U853" s="259"/>
      <c r="V853" s="239"/>
      <c r="W853" s="239"/>
      <c r="X853" s="239"/>
      <c r="Y853" s="239"/>
      <c r="Z853" s="239"/>
      <c r="AA853" s="257"/>
      <c r="AB853" s="224"/>
      <c r="AC853" s="224"/>
      <c r="AD853" s="224"/>
      <c r="AE853" s="224"/>
      <c r="AF853" s="224"/>
      <c r="AG853" s="259"/>
      <c r="AH853" s="261"/>
      <c r="AI853" s="261"/>
      <c r="AJ853" s="261"/>
      <c r="AK853" s="261"/>
      <c r="AL853" s="261"/>
      <c r="AM853" s="262"/>
    </row>
    <row r="854" spans="1:39" x14ac:dyDescent="0.25">
      <c r="A854" s="215"/>
      <c r="B854" s="215"/>
      <c r="C854" s="215"/>
      <c r="D854" s="239"/>
      <c r="E854" s="239"/>
      <c r="F854" s="239"/>
      <c r="G854" s="239"/>
      <c r="H854" s="239"/>
      <c r="I854" s="257"/>
      <c r="J854" s="240"/>
      <c r="K854" s="240"/>
      <c r="L854" s="240"/>
      <c r="M854" s="240"/>
      <c r="N854" s="240"/>
      <c r="O854" s="258"/>
      <c r="P854" s="224"/>
      <c r="Q854" s="224"/>
      <c r="R854" s="224"/>
      <c r="S854" s="224"/>
      <c r="T854" s="224"/>
      <c r="U854" s="259"/>
      <c r="V854" s="239"/>
      <c r="W854" s="239"/>
      <c r="X854" s="239"/>
      <c r="Y854" s="239"/>
      <c r="Z854" s="239"/>
      <c r="AA854" s="257"/>
      <c r="AB854" s="224"/>
      <c r="AC854" s="224"/>
      <c r="AD854" s="224"/>
      <c r="AE854" s="224"/>
      <c r="AF854" s="224"/>
      <c r="AG854" s="259"/>
      <c r="AH854" s="261"/>
      <c r="AI854" s="261"/>
      <c r="AJ854" s="261"/>
      <c r="AK854" s="261"/>
      <c r="AL854" s="261"/>
      <c r="AM854" s="262"/>
    </row>
    <row r="855" spans="1:39" x14ac:dyDescent="0.25">
      <c r="A855" s="215"/>
      <c r="B855" s="215"/>
      <c r="C855" s="215"/>
      <c r="D855" s="239"/>
      <c r="E855" s="239"/>
      <c r="F855" s="239"/>
      <c r="G855" s="239"/>
      <c r="H855" s="239"/>
      <c r="I855" s="257"/>
      <c r="J855" s="240"/>
      <c r="K855" s="240"/>
      <c r="L855" s="240"/>
      <c r="M855" s="240"/>
      <c r="N855" s="240"/>
      <c r="O855" s="258"/>
      <c r="P855" s="224"/>
      <c r="Q855" s="224"/>
      <c r="R855" s="224"/>
      <c r="S855" s="224"/>
      <c r="T855" s="224"/>
      <c r="U855" s="259"/>
      <c r="V855" s="239"/>
      <c r="W855" s="239"/>
      <c r="X855" s="239"/>
      <c r="Y855" s="239"/>
      <c r="Z855" s="239"/>
      <c r="AA855" s="257"/>
      <c r="AB855" s="224"/>
      <c r="AC855" s="224"/>
      <c r="AD855" s="224"/>
      <c r="AE855" s="224"/>
      <c r="AF855" s="224"/>
      <c r="AG855" s="259"/>
      <c r="AH855" s="261"/>
      <c r="AI855" s="261"/>
      <c r="AJ855" s="261"/>
      <c r="AK855" s="261"/>
      <c r="AL855" s="261"/>
      <c r="AM855" s="262"/>
    </row>
    <row r="856" spans="1:39" x14ac:dyDescent="0.25">
      <c r="A856" s="215"/>
      <c r="B856" s="215"/>
      <c r="C856" s="215"/>
      <c r="D856" s="239"/>
      <c r="E856" s="239"/>
      <c r="F856" s="239"/>
      <c r="G856" s="239"/>
      <c r="H856" s="239"/>
      <c r="I856" s="257"/>
      <c r="J856" s="240"/>
      <c r="K856" s="240"/>
      <c r="L856" s="240"/>
      <c r="M856" s="240"/>
      <c r="N856" s="240"/>
      <c r="O856" s="258"/>
      <c r="P856" s="224"/>
      <c r="Q856" s="224"/>
      <c r="R856" s="224"/>
      <c r="S856" s="224"/>
      <c r="T856" s="224"/>
      <c r="U856" s="259"/>
      <c r="V856" s="239"/>
      <c r="W856" s="239"/>
      <c r="X856" s="239"/>
      <c r="Y856" s="239"/>
      <c r="Z856" s="239"/>
      <c r="AA856" s="257"/>
      <c r="AB856" s="224"/>
      <c r="AC856" s="224"/>
      <c r="AD856" s="224"/>
      <c r="AE856" s="224"/>
      <c r="AF856" s="224"/>
      <c r="AG856" s="259"/>
      <c r="AH856" s="261"/>
      <c r="AI856" s="261"/>
      <c r="AJ856" s="261"/>
      <c r="AK856" s="261"/>
      <c r="AL856" s="261"/>
      <c r="AM856" s="262"/>
    </row>
    <row r="857" spans="1:39" x14ac:dyDescent="0.25">
      <c r="A857" s="215"/>
      <c r="B857" s="215"/>
      <c r="C857" s="215"/>
      <c r="D857" s="239"/>
      <c r="E857" s="239"/>
      <c r="F857" s="239"/>
      <c r="G857" s="239"/>
      <c r="H857" s="239"/>
      <c r="I857" s="257"/>
      <c r="J857" s="240"/>
      <c r="K857" s="240"/>
      <c r="L857" s="240"/>
      <c r="M857" s="240"/>
      <c r="N857" s="240"/>
      <c r="O857" s="258"/>
      <c r="P857" s="224"/>
      <c r="Q857" s="224"/>
      <c r="R857" s="224"/>
      <c r="S857" s="224"/>
      <c r="T857" s="224"/>
      <c r="U857" s="259"/>
      <c r="V857" s="239"/>
      <c r="W857" s="239"/>
      <c r="X857" s="239"/>
      <c r="Y857" s="239"/>
      <c r="Z857" s="239"/>
      <c r="AA857" s="257"/>
      <c r="AB857" s="224"/>
      <c r="AC857" s="224"/>
      <c r="AD857" s="224"/>
      <c r="AE857" s="224"/>
      <c r="AF857" s="224"/>
      <c r="AG857" s="259"/>
      <c r="AH857" s="261"/>
      <c r="AI857" s="261"/>
      <c r="AJ857" s="261"/>
      <c r="AK857" s="261"/>
      <c r="AL857" s="261"/>
      <c r="AM857" s="262"/>
    </row>
    <row r="858" spans="1:39" x14ac:dyDescent="0.25">
      <c r="A858" s="215"/>
      <c r="B858" s="215"/>
      <c r="C858" s="215"/>
      <c r="D858" s="239"/>
      <c r="E858" s="239"/>
      <c r="F858" s="239"/>
      <c r="G858" s="239"/>
      <c r="H858" s="239"/>
      <c r="I858" s="257"/>
      <c r="J858" s="240"/>
      <c r="K858" s="240"/>
      <c r="L858" s="240"/>
      <c r="M858" s="240"/>
      <c r="N858" s="240"/>
      <c r="O858" s="258"/>
      <c r="P858" s="224"/>
      <c r="Q858" s="224"/>
      <c r="R858" s="224"/>
      <c r="S858" s="224"/>
      <c r="T858" s="224"/>
      <c r="U858" s="259"/>
      <c r="V858" s="239"/>
      <c r="W858" s="239"/>
      <c r="X858" s="239"/>
      <c r="Y858" s="239"/>
      <c r="Z858" s="239"/>
      <c r="AA858" s="257"/>
      <c r="AB858" s="224"/>
      <c r="AC858" s="224"/>
      <c r="AD858" s="224"/>
      <c r="AE858" s="224"/>
      <c r="AF858" s="224"/>
      <c r="AG858" s="259"/>
      <c r="AH858" s="261"/>
      <c r="AI858" s="261"/>
      <c r="AJ858" s="261"/>
      <c r="AK858" s="261"/>
      <c r="AL858" s="261"/>
      <c r="AM858" s="262"/>
    </row>
    <row r="859" spans="1:39" x14ac:dyDescent="0.25">
      <c r="A859" s="215"/>
      <c r="B859" s="215"/>
      <c r="C859" s="215"/>
      <c r="D859" s="239"/>
      <c r="E859" s="239"/>
      <c r="F859" s="239"/>
      <c r="G859" s="239"/>
      <c r="H859" s="239"/>
      <c r="I859" s="257"/>
      <c r="J859" s="240"/>
      <c r="K859" s="240"/>
      <c r="L859" s="240"/>
      <c r="M859" s="240"/>
      <c r="N859" s="240"/>
      <c r="O859" s="258"/>
      <c r="P859" s="224"/>
      <c r="Q859" s="224"/>
      <c r="R859" s="224"/>
      <c r="S859" s="224"/>
      <c r="T859" s="224"/>
      <c r="U859" s="259"/>
      <c r="V859" s="239"/>
      <c r="W859" s="239"/>
      <c r="X859" s="239"/>
      <c r="Y859" s="239"/>
      <c r="Z859" s="239"/>
      <c r="AA859" s="257"/>
      <c r="AB859" s="224"/>
      <c r="AC859" s="224"/>
      <c r="AD859" s="224"/>
      <c r="AE859" s="224"/>
      <c r="AF859" s="224"/>
      <c r="AG859" s="259"/>
      <c r="AH859" s="261"/>
      <c r="AI859" s="261"/>
      <c r="AJ859" s="261"/>
      <c r="AK859" s="261"/>
      <c r="AL859" s="261"/>
      <c r="AM859" s="262"/>
    </row>
    <row r="860" spans="1:39" x14ac:dyDescent="0.25">
      <c r="A860" s="215"/>
      <c r="B860" s="215"/>
      <c r="C860" s="215"/>
      <c r="D860" s="239"/>
      <c r="E860" s="239"/>
      <c r="F860" s="239"/>
      <c r="G860" s="239"/>
      <c r="H860" s="239"/>
      <c r="I860" s="257"/>
      <c r="J860" s="240"/>
      <c r="K860" s="240"/>
      <c r="L860" s="240"/>
      <c r="M860" s="240"/>
      <c r="N860" s="240"/>
      <c r="O860" s="258"/>
      <c r="P860" s="224"/>
      <c r="Q860" s="224"/>
      <c r="R860" s="224"/>
      <c r="S860" s="224"/>
      <c r="T860" s="224"/>
      <c r="U860" s="259"/>
      <c r="V860" s="239"/>
      <c r="W860" s="239"/>
      <c r="X860" s="239"/>
      <c r="Y860" s="239"/>
      <c r="Z860" s="239"/>
      <c r="AA860" s="257"/>
      <c r="AB860" s="224"/>
      <c r="AC860" s="224"/>
      <c r="AD860" s="224"/>
      <c r="AE860" s="224"/>
      <c r="AF860" s="224"/>
      <c r="AG860" s="259"/>
      <c r="AH860" s="261"/>
      <c r="AI860" s="261"/>
      <c r="AJ860" s="261"/>
      <c r="AK860" s="261"/>
      <c r="AL860" s="261"/>
      <c r="AM860" s="262"/>
    </row>
    <row r="861" spans="1:39" x14ac:dyDescent="0.25">
      <c r="A861" s="215"/>
      <c r="B861" s="215"/>
      <c r="C861" s="215"/>
      <c r="D861" s="239"/>
      <c r="E861" s="239"/>
      <c r="F861" s="239"/>
      <c r="G861" s="239"/>
      <c r="H861" s="239"/>
      <c r="I861" s="257"/>
      <c r="J861" s="240"/>
      <c r="K861" s="240"/>
      <c r="L861" s="240"/>
      <c r="M861" s="240"/>
      <c r="N861" s="240"/>
      <c r="O861" s="258"/>
      <c r="P861" s="224"/>
      <c r="Q861" s="224"/>
      <c r="R861" s="224"/>
      <c r="S861" s="224"/>
      <c r="T861" s="224"/>
      <c r="U861" s="259"/>
      <c r="V861" s="239"/>
      <c r="W861" s="239"/>
      <c r="X861" s="239"/>
      <c r="Y861" s="239"/>
      <c r="Z861" s="239"/>
      <c r="AA861" s="257"/>
      <c r="AB861" s="224"/>
      <c r="AC861" s="224"/>
      <c r="AD861" s="224"/>
      <c r="AE861" s="224"/>
      <c r="AF861" s="224"/>
      <c r="AG861" s="259"/>
      <c r="AH861" s="261"/>
      <c r="AI861" s="261"/>
      <c r="AJ861" s="261"/>
      <c r="AK861" s="261"/>
      <c r="AL861" s="261"/>
      <c r="AM861" s="262"/>
    </row>
    <row r="862" spans="1:39" x14ac:dyDescent="0.25">
      <c r="A862" s="215"/>
      <c r="B862" s="215"/>
      <c r="C862" s="215"/>
      <c r="D862" s="239"/>
      <c r="E862" s="239"/>
      <c r="F862" s="239"/>
      <c r="G862" s="239"/>
      <c r="H862" s="239"/>
      <c r="I862" s="257"/>
      <c r="J862" s="240"/>
      <c r="K862" s="240"/>
      <c r="L862" s="240"/>
      <c r="M862" s="240"/>
      <c r="N862" s="240"/>
      <c r="O862" s="258"/>
      <c r="P862" s="224"/>
      <c r="Q862" s="224"/>
      <c r="R862" s="224"/>
      <c r="S862" s="224"/>
      <c r="T862" s="224"/>
      <c r="U862" s="259"/>
      <c r="V862" s="239"/>
      <c r="W862" s="239"/>
      <c r="X862" s="239"/>
      <c r="Y862" s="239"/>
      <c r="Z862" s="239"/>
      <c r="AA862" s="257"/>
      <c r="AB862" s="224"/>
      <c r="AC862" s="224"/>
      <c r="AD862" s="224"/>
      <c r="AE862" s="224"/>
      <c r="AF862" s="224"/>
      <c r="AG862" s="259"/>
      <c r="AH862" s="261"/>
      <c r="AI862" s="261"/>
      <c r="AJ862" s="261"/>
      <c r="AK862" s="261"/>
      <c r="AL862" s="261"/>
      <c r="AM862" s="262"/>
    </row>
    <row r="863" spans="1:39" x14ac:dyDescent="0.25">
      <c r="A863" s="215"/>
      <c r="B863" s="215"/>
      <c r="C863" s="215"/>
      <c r="D863" s="239"/>
      <c r="E863" s="239"/>
      <c r="F863" s="239"/>
      <c r="G863" s="239"/>
      <c r="H863" s="239"/>
      <c r="I863" s="257"/>
      <c r="J863" s="240"/>
      <c r="K863" s="240"/>
      <c r="L863" s="240"/>
      <c r="M863" s="240"/>
      <c r="N863" s="240"/>
      <c r="O863" s="258"/>
      <c r="P863" s="224"/>
      <c r="Q863" s="224"/>
      <c r="R863" s="224"/>
      <c r="S863" s="224"/>
      <c r="T863" s="224"/>
      <c r="U863" s="259"/>
      <c r="V863" s="239"/>
      <c r="W863" s="239"/>
      <c r="X863" s="239"/>
      <c r="Y863" s="239"/>
      <c r="Z863" s="239"/>
      <c r="AA863" s="257"/>
      <c r="AB863" s="224"/>
      <c r="AC863" s="224"/>
      <c r="AD863" s="224"/>
      <c r="AE863" s="224"/>
      <c r="AF863" s="224"/>
      <c r="AG863" s="259"/>
      <c r="AH863" s="261"/>
      <c r="AI863" s="261"/>
      <c r="AJ863" s="261"/>
      <c r="AK863" s="261"/>
      <c r="AL863" s="261"/>
      <c r="AM863" s="262"/>
    </row>
    <row r="864" spans="1:39" x14ac:dyDescent="0.25">
      <c r="A864" s="215"/>
      <c r="B864" s="215"/>
      <c r="C864" s="215"/>
      <c r="D864" s="239"/>
      <c r="E864" s="239"/>
      <c r="F864" s="239"/>
      <c r="G864" s="239"/>
      <c r="H864" s="239"/>
      <c r="I864" s="257"/>
      <c r="J864" s="240"/>
      <c r="K864" s="240"/>
      <c r="L864" s="240"/>
      <c r="M864" s="240"/>
      <c r="N864" s="240"/>
      <c r="O864" s="258"/>
      <c r="P864" s="224"/>
      <c r="Q864" s="224"/>
      <c r="R864" s="224"/>
      <c r="S864" s="224"/>
      <c r="T864" s="224"/>
      <c r="U864" s="259"/>
      <c r="V864" s="239"/>
      <c r="W864" s="239"/>
      <c r="X864" s="239"/>
      <c r="Y864" s="239"/>
      <c r="Z864" s="239"/>
      <c r="AA864" s="257"/>
      <c r="AB864" s="224"/>
      <c r="AC864" s="224"/>
      <c r="AD864" s="224"/>
      <c r="AE864" s="224"/>
      <c r="AF864" s="224"/>
      <c r="AG864" s="259"/>
      <c r="AH864" s="261"/>
      <c r="AI864" s="261"/>
      <c r="AJ864" s="261"/>
      <c r="AK864" s="261"/>
      <c r="AL864" s="261"/>
      <c r="AM864" s="262"/>
    </row>
    <row r="865" spans="1:39" x14ac:dyDescent="0.25">
      <c r="A865" s="215"/>
      <c r="B865" s="215"/>
      <c r="C865" s="215"/>
      <c r="D865" s="239"/>
      <c r="E865" s="239"/>
      <c r="F865" s="239"/>
      <c r="G865" s="239"/>
      <c r="H865" s="239"/>
      <c r="I865" s="257"/>
      <c r="J865" s="240"/>
      <c r="K865" s="240"/>
      <c r="L865" s="240"/>
      <c r="M865" s="240"/>
      <c r="N865" s="240"/>
      <c r="O865" s="258"/>
      <c r="P865" s="224"/>
      <c r="Q865" s="224"/>
      <c r="R865" s="224"/>
      <c r="S865" s="224"/>
      <c r="T865" s="224"/>
      <c r="U865" s="259"/>
      <c r="V865" s="239"/>
      <c r="W865" s="239"/>
      <c r="X865" s="239"/>
      <c r="Y865" s="239"/>
      <c r="Z865" s="239"/>
      <c r="AA865" s="257"/>
      <c r="AB865" s="224"/>
      <c r="AC865" s="224"/>
      <c r="AD865" s="224"/>
      <c r="AE865" s="224"/>
      <c r="AF865" s="224"/>
      <c r="AG865" s="259"/>
      <c r="AH865" s="261"/>
      <c r="AI865" s="261"/>
      <c r="AJ865" s="261"/>
      <c r="AK865" s="261"/>
      <c r="AL865" s="261"/>
      <c r="AM865" s="262"/>
    </row>
    <row r="866" spans="1:39" x14ac:dyDescent="0.25">
      <c r="A866" s="215"/>
      <c r="B866" s="215"/>
      <c r="C866" s="215"/>
      <c r="D866" s="239"/>
      <c r="E866" s="239"/>
      <c r="F866" s="239"/>
      <c r="G866" s="239"/>
      <c r="H866" s="239"/>
      <c r="I866" s="257"/>
      <c r="J866" s="240"/>
      <c r="K866" s="240"/>
      <c r="L866" s="240"/>
      <c r="M866" s="240"/>
      <c r="N866" s="240"/>
      <c r="O866" s="258"/>
      <c r="P866" s="224"/>
      <c r="Q866" s="224"/>
      <c r="R866" s="224"/>
      <c r="S866" s="224"/>
      <c r="T866" s="224"/>
      <c r="U866" s="259"/>
      <c r="V866" s="239"/>
      <c r="W866" s="239"/>
      <c r="X866" s="239"/>
      <c r="Y866" s="239"/>
      <c r="Z866" s="239"/>
      <c r="AA866" s="257"/>
      <c r="AB866" s="224"/>
      <c r="AC866" s="224"/>
      <c r="AD866" s="224"/>
      <c r="AE866" s="224"/>
      <c r="AF866" s="224"/>
      <c r="AG866" s="259"/>
      <c r="AH866" s="261"/>
      <c r="AI866" s="261"/>
      <c r="AJ866" s="261"/>
      <c r="AK866" s="261"/>
      <c r="AL866" s="261"/>
      <c r="AM866" s="262"/>
    </row>
    <row r="867" spans="1:39" x14ac:dyDescent="0.25">
      <c r="A867" s="215"/>
      <c r="B867" s="215"/>
      <c r="C867" s="215"/>
      <c r="D867" s="239"/>
      <c r="E867" s="239"/>
      <c r="F867" s="239"/>
      <c r="G867" s="239"/>
      <c r="H867" s="239"/>
      <c r="I867" s="257"/>
      <c r="J867" s="240"/>
      <c r="K867" s="240"/>
      <c r="L867" s="240"/>
      <c r="M867" s="240"/>
      <c r="N867" s="240"/>
      <c r="O867" s="258"/>
      <c r="P867" s="224"/>
      <c r="Q867" s="224"/>
      <c r="R867" s="224"/>
      <c r="S867" s="224"/>
      <c r="T867" s="224"/>
      <c r="U867" s="259"/>
      <c r="V867" s="239"/>
      <c r="W867" s="239"/>
      <c r="X867" s="239"/>
      <c r="Y867" s="239"/>
      <c r="Z867" s="239"/>
      <c r="AA867" s="257"/>
      <c r="AB867" s="224"/>
      <c r="AC867" s="224"/>
      <c r="AD867" s="224"/>
      <c r="AE867" s="224"/>
      <c r="AF867" s="224"/>
      <c r="AG867" s="259"/>
      <c r="AH867" s="261"/>
      <c r="AI867" s="261"/>
      <c r="AJ867" s="261"/>
      <c r="AK867" s="261"/>
      <c r="AL867" s="261"/>
      <c r="AM867" s="262"/>
    </row>
    <row r="868" spans="1:39" x14ac:dyDescent="0.25">
      <c r="A868" s="215"/>
      <c r="B868" s="215"/>
      <c r="C868" s="215"/>
      <c r="D868" s="239"/>
      <c r="E868" s="239"/>
      <c r="F868" s="239"/>
      <c r="G868" s="239"/>
      <c r="H868" s="239"/>
      <c r="I868" s="257"/>
      <c r="J868" s="240"/>
      <c r="K868" s="240"/>
      <c r="L868" s="240"/>
      <c r="M868" s="240"/>
      <c r="N868" s="240"/>
      <c r="O868" s="258"/>
      <c r="P868" s="224"/>
      <c r="Q868" s="224"/>
      <c r="R868" s="224"/>
      <c r="S868" s="224"/>
      <c r="T868" s="224"/>
      <c r="U868" s="259"/>
      <c r="V868" s="239"/>
      <c r="W868" s="239"/>
      <c r="X868" s="239"/>
      <c r="Y868" s="239"/>
      <c r="Z868" s="239"/>
      <c r="AA868" s="257"/>
      <c r="AB868" s="224"/>
      <c r="AC868" s="224"/>
      <c r="AD868" s="224"/>
      <c r="AE868" s="224"/>
      <c r="AF868" s="224"/>
      <c r="AG868" s="259"/>
      <c r="AH868" s="261"/>
      <c r="AI868" s="261"/>
      <c r="AJ868" s="261"/>
      <c r="AK868" s="261"/>
      <c r="AL868" s="261"/>
      <c r="AM868" s="262"/>
    </row>
    <row r="869" spans="1:39" x14ac:dyDescent="0.25">
      <c r="A869" s="215"/>
      <c r="B869" s="215"/>
      <c r="C869" s="215"/>
      <c r="D869" s="239"/>
      <c r="E869" s="239"/>
      <c r="F869" s="239"/>
      <c r="G869" s="239"/>
      <c r="H869" s="239"/>
      <c r="I869" s="257"/>
      <c r="J869" s="240"/>
      <c r="K869" s="240"/>
      <c r="L869" s="240"/>
      <c r="M869" s="240"/>
      <c r="N869" s="240"/>
      <c r="O869" s="258"/>
      <c r="P869" s="224"/>
      <c r="Q869" s="224"/>
      <c r="R869" s="224"/>
      <c r="S869" s="224"/>
      <c r="T869" s="224"/>
      <c r="U869" s="259"/>
      <c r="V869" s="239"/>
      <c r="W869" s="239"/>
      <c r="X869" s="239"/>
      <c r="Y869" s="239"/>
      <c r="Z869" s="239"/>
      <c r="AA869" s="257"/>
      <c r="AB869" s="224"/>
      <c r="AC869" s="224"/>
      <c r="AD869" s="224"/>
      <c r="AE869" s="224"/>
      <c r="AF869" s="224"/>
      <c r="AG869" s="259"/>
      <c r="AH869" s="261"/>
      <c r="AI869" s="261"/>
      <c r="AJ869" s="261"/>
      <c r="AK869" s="261"/>
      <c r="AL869" s="261"/>
      <c r="AM869" s="262"/>
    </row>
    <row r="870" spans="1:39" x14ac:dyDescent="0.25">
      <c r="A870" s="215"/>
      <c r="B870" s="215"/>
      <c r="C870" s="215"/>
      <c r="D870" s="239"/>
      <c r="E870" s="239"/>
      <c r="F870" s="239"/>
      <c r="G870" s="239"/>
      <c r="H870" s="239"/>
      <c r="I870" s="257"/>
      <c r="J870" s="240"/>
      <c r="K870" s="240"/>
      <c r="L870" s="240"/>
      <c r="M870" s="240"/>
      <c r="N870" s="240"/>
      <c r="O870" s="258"/>
      <c r="P870" s="224"/>
      <c r="Q870" s="224"/>
      <c r="R870" s="224"/>
      <c r="S870" s="224"/>
      <c r="T870" s="224"/>
      <c r="U870" s="259"/>
      <c r="V870" s="239"/>
      <c r="W870" s="239"/>
      <c r="X870" s="239"/>
      <c r="Y870" s="239"/>
      <c r="Z870" s="239"/>
      <c r="AA870" s="257"/>
      <c r="AB870" s="224"/>
      <c r="AC870" s="224"/>
      <c r="AD870" s="224"/>
      <c r="AE870" s="224"/>
      <c r="AF870" s="224"/>
      <c r="AG870" s="259"/>
      <c r="AH870" s="261"/>
      <c r="AI870" s="261"/>
      <c r="AJ870" s="261"/>
      <c r="AK870" s="261"/>
      <c r="AL870" s="261"/>
      <c r="AM870" s="262"/>
    </row>
    <row r="871" spans="1:39" x14ac:dyDescent="0.25">
      <c r="A871" s="215"/>
      <c r="B871" s="215"/>
      <c r="C871" s="215"/>
      <c r="D871" s="239"/>
      <c r="E871" s="239"/>
      <c r="F871" s="239"/>
      <c r="G871" s="239"/>
      <c r="H871" s="239"/>
      <c r="I871" s="257"/>
      <c r="J871" s="240"/>
      <c r="K871" s="240"/>
      <c r="L871" s="240"/>
      <c r="M871" s="240"/>
      <c r="N871" s="240"/>
      <c r="O871" s="258"/>
      <c r="P871" s="224"/>
      <c r="Q871" s="224"/>
      <c r="R871" s="224"/>
      <c r="S871" s="224"/>
      <c r="T871" s="224"/>
      <c r="U871" s="259"/>
      <c r="V871" s="239"/>
      <c r="W871" s="239"/>
      <c r="X871" s="239"/>
      <c r="Y871" s="239"/>
      <c r="Z871" s="239"/>
      <c r="AA871" s="257"/>
      <c r="AB871" s="224"/>
      <c r="AC871" s="224"/>
      <c r="AD871" s="224"/>
      <c r="AE871" s="224"/>
      <c r="AF871" s="224"/>
      <c r="AG871" s="259"/>
      <c r="AH871" s="261"/>
      <c r="AI871" s="261"/>
      <c r="AJ871" s="261"/>
      <c r="AK871" s="261"/>
      <c r="AL871" s="261"/>
      <c r="AM871" s="262"/>
    </row>
    <row r="872" spans="1:39" x14ac:dyDescent="0.25">
      <c r="A872" s="215"/>
      <c r="B872" s="215"/>
      <c r="C872" s="215"/>
      <c r="D872" s="239"/>
      <c r="E872" s="239"/>
      <c r="F872" s="239"/>
      <c r="G872" s="239"/>
      <c r="H872" s="239"/>
      <c r="I872" s="257"/>
      <c r="J872" s="240"/>
      <c r="K872" s="240"/>
      <c r="L872" s="240"/>
      <c r="M872" s="240"/>
      <c r="N872" s="240"/>
      <c r="O872" s="258"/>
      <c r="P872" s="224"/>
      <c r="Q872" s="224"/>
      <c r="R872" s="224"/>
      <c r="S872" s="224"/>
      <c r="T872" s="224"/>
      <c r="U872" s="259"/>
      <c r="V872" s="239"/>
      <c r="W872" s="239"/>
      <c r="X872" s="239"/>
      <c r="Y872" s="239"/>
      <c r="Z872" s="239"/>
      <c r="AA872" s="257"/>
      <c r="AB872" s="224"/>
      <c r="AC872" s="224"/>
      <c r="AD872" s="224"/>
      <c r="AE872" s="224"/>
      <c r="AF872" s="224"/>
      <c r="AG872" s="259"/>
      <c r="AH872" s="261"/>
      <c r="AI872" s="261"/>
      <c r="AJ872" s="261"/>
      <c r="AK872" s="261"/>
      <c r="AL872" s="261"/>
      <c r="AM872" s="262"/>
    </row>
    <row r="873" spans="1:39" x14ac:dyDescent="0.25">
      <c r="A873" s="215"/>
      <c r="B873" s="215"/>
      <c r="C873" s="215"/>
      <c r="D873" s="239"/>
      <c r="E873" s="239"/>
      <c r="F873" s="239"/>
      <c r="G873" s="239"/>
      <c r="H873" s="239"/>
      <c r="I873" s="257"/>
      <c r="J873" s="240"/>
      <c r="K873" s="240"/>
      <c r="L873" s="240"/>
      <c r="M873" s="240"/>
      <c r="N873" s="240"/>
      <c r="O873" s="258"/>
      <c r="P873" s="224"/>
      <c r="Q873" s="224"/>
      <c r="R873" s="224"/>
      <c r="S873" s="224"/>
      <c r="T873" s="224"/>
      <c r="U873" s="259"/>
      <c r="V873" s="239"/>
      <c r="W873" s="239"/>
      <c r="X873" s="239"/>
      <c r="Y873" s="239"/>
      <c r="Z873" s="239"/>
      <c r="AA873" s="257"/>
      <c r="AB873" s="224"/>
      <c r="AC873" s="224"/>
      <c r="AD873" s="224"/>
      <c r="AE873" s="224"/>
      <c r="AF873" s="224"/>
      <c r="AG873" s="259"/>
      <c r="AH873" s="261"/>
      <c r="AI873" s="261"/>
      <c r="AJ873" s="261"/>
      <c r="AK873" s="261"/>
      <c r="AL873" s="261"/>
      <c r="AM873" s="262"/>
    </row>
    <row r="874" spans="1:39" x14ac:dyDescent="0.25">
      <c r="A874" s="215"/>
      <c r="B874" s="215"/>
      <c r="C874" s="215"/>
      <c r="D874" s="239"/>
      <c r="E874" s="239"/>
      <c r="F874" s="239"/>
      <c r="G874" s="239"/>
      <c r="H874" s="239"/>
      <c r="I874" s="257"/>
      <c r="J874" s="240"/>
      <c r="K874" s="240"/>
      <c r="L874" s="240"/>
      <c r="M874" s="240"/>
      <c r="N874" s="240"/>
      <c r="O874" s="258"/>
      <c r="P874" s="224"/>
      <c r="Q874" s="224"/>
      <c r="R874" s="224"/>
      <c r="S874" s="224"/>
      <c r="T874" s="224"/>
      <c r="U874" s="259"/>
      <c r="V874" s="239"/>
      <c r="W874" s="239"/>
      <c r="X874" s="239"/>
      <c r="Y874" s="239"/>
      <c r="Z874" s="239"/>
      <c r="AA874" s="257"/>
      <c r="AB874" s="224"/>
      <c r="AC874" s="224"/>
      <c r="AD874" s="224"/>
      <c r="AE874" s="224"/>
      <c r="AF874" s="224"/>
      <c r="AG874" s="259"/>
      <c r="AH874" s="261"/>
      <c r="AI874" s="261"/>
      <c r="AJ874" s="261"/>
      <c r="AK874" s="261"/>
      <c r="AL874" s="261"/>
      <c r="AM874" s="262"/>
    </row>
    <row r="875" spans="1:39" x14ac:dyDescent="0.25">
      <c r="A875" s="215"/>
      <c r="B875" s="215"/>
      <c r="C875" s="215"/>
      <c r="D875" s="239"/>
      <c r="E875" s="239"/>
      <c r="F875" s="239"/>
      <c r="G875" s="239"/>
      <c r="H875" s="239"/>
      <c r="I875" s="257"/>
      <c r="J875" s="240"/>
      <c r="K875" s="240"/>
      <c r="L875" s="240"/>
      <c r="M875" s="240"/>
      <c r="N875" s="240"/>
      <c r="O875" s="258"/>
      <c r="P875" s="224"/>
      <c r="Q875" s="224"/>
      <c r="R875" s="224"/>
      <c r="S875" s="224"/>
      <c r="T875" s="224"/>
      <c r="U875" s="259"/>
      <c r="V875" s="239"/>
      <c r="W875" s="239"/>
      <c r="X875" s="239"/>
      <c r="Y875" s="239"/>
      <c r="Z875" s="239"/>
      <c r="AA875" s="257"/>
      <c r="AB875" s="224"/>
      <c r="AC875" s="224"/>
      <c r="AD875" s="224"/>
      <c r="AE875" s="224"/>
      <c r="AF875" s="224"/>
      <c r="AG875" s="259"/>
      <c r="AH875" s="261"/>
      <c r="AI875" s="261"/>
      <c r="AJ875" s="261"/>
      <c r="AK875" s="261"/>
      <c r="AL875" s="261"/>
      <c r="AM875" s="262"/>
    </row>
    <row r="876" spans="1:39" x14ac:dyDescent="0.25">
      <c r="A876" s="215"/>
      <c r="B876" s="215"/>
      <c r="C876" s="215"/>
      <c r="D876" s="239"/>
      <c r="E876" s="239"/>
      <c r="F876" s="239"/>
      <c r="G876" s="239"/>
      <c r="H876" s="239"/>
      <c r="I876" s="257"/>
      <c r="J876" s="240"/>
      <c r="K876" s="240"/>
      <c r="L876" s="240"/>
      <c r="M876" s="240"/>
      <c r="N876" s="240"/>
      <c r="O876" s="258"/>
      <c r="P876" s="224"/>
      <c r="Q876" s="224"/>
      <c r="R876" s="224"/>
      <c r="S876" s="224"/>
      <c r="T876" s="224"/>
      <c r="U876" s="259"/>
      <c r="V876" s="239"/>
      <c r="W876" s="239"/>
      <c r="X876" s="239"/>
      <c r="Y876" s="239"/>
      <c r="Z876" s="239"/>
      <c r="AA876" s="257"/>
      <c r="AB876" s="224"/>
      <c r="AC876" s="224"/>
      <c r="AD876" s="224"/>
      <c r="AE876" s="224"/>
      <c r="AF876" s="224"/>
      <c r="AG876" s="259"/>
      <c r="AH876" s="261"/>
      <c r="AI876" s="261"/>
      <c r="AJ876" s="261"/>
      <c r="AK876" s="261"/>
      <c r="AL876" s="261"/>
      <c r="AM876" s="262"/>
    </row>
    <row r="877" spans="1:39" x14ac:dyDescent="0.25">
      <c r="A877" s="215"/>
      <c r="B877" s="215"/>
      <c r="C877" s="215"/>
      <c r="D877" s="239"/>
      <c r="E877" s="239"/>
      <c r="F877" s="239"/>
      <c r="G877" s="239"/>
      <c r="H877" s="239"/>
      <c r="I877" s="257"/>
      <c r="J877" s="240"/>
      <c r="K877" s="240"/>
      <c r="L877" s="240"/>
      <c r="M877" s="240"/>
      <c r="N877" s="240"/>
      <c r="O877" s="258"/>
      <c r="P877" s="224"/>
      <c r="Q877" s="224"/>
      <c r="R877" s="224"/>
      <c r="S877" s="224"/>
      <c r="T877" s="224"/>
      <c r="U877" s="259"/>
      <c r="V877" s="239"/>
      <c r="W877" s="239"/>
      <c r="X877" s="239"/>
      <c r="Y877" s="239"/>
      <c r="Z877" s="239"/>
      <c r="AA877" s="257"/>
      <c r="AB877" s="224"/>
      <c r="AC877" s="224"/>
      <c r="AD877" s="224"/>
      <c r="AE877" s="224"/>
      <c r="AF877" s="224"/>
      <c r="AG877" s="259"/>
      <c r="AH877" s="261"/>
      <c r="AI877" s="261"/>
      <c r="AJ877" s="261"/>
      <c r="AK877" s="261"/>
      <c r="AL877" s="261"/>
      <c r="AM877" s="262"/>
    </row>
    <row r="878" spans="1:39" x14ac:dyDescent="0.25">
      <c r="A878" s="215"/>
      <c r="B878" s="215"/>
      <c r="C878" s="215"/>
      <c r="D878" s="239"/>
      <c r="E878" s="239"/>
      <c r="F878" s="239"/>
      <c r="G878" s="239"/>
      <c r="H878" s="239"/>
      <c r="I878" s="257"/>
      <c r="J878" s="240"/>
      <c r="K878" s="240"/>
      <c r="L878" s="240"/>
      <c r="M878" s="240"/>
      <c r="N878" s="240"/>
      <c r="O878" s="258"/>
      <c r="P878" s="224"/>
      <c r="Q878" s="224"/>
      <c r="R878" s="224"/>
      <c r="S878" s="224"/>
      <c r="T878" s="224"/>
      <c r="U878" s="259"/>
      <c r="V878" s="239"/>
      <c r="W878" s="239"/>
      <c r="X878" s="239"/>
      <c r="Y878" s="239"/>
      <c r="Z878" s="239"/>
      <c r="AA878" s="257"/>
      <c r="AB878" s="224"/>
      <c r="AC878" s="224"/>
      <c r="AD878" s="224"/>
      <c r="AE878" s="224"/>
      <c r="AF878" s="224"/>
      <c r="AG878" s="259"/>
      <c r="AH878" s="261"/>
      <c r="AI878" s="261"/>
      <c r="AJ878" s="261"/>
      <c r="AK878" s="261"/>
      <c r="AL878" s="261"/>
      <c r="AM878" s="262"/>
    </row>
    <row r="879" spans="1:39" x14ac:dyDescent="0.25">
      <c r="A879" s="215"/>
      <c r="B879" s="215"/>
      <c r="C879" s="215"/>
      <c r="D879" s="239"/>
      <c r="E879" s="239"/>
      <c r="F879" s="239"/>
      <c r="G879" s="239"/>
      <c r="H879" s="239"/>
      <c r="I879" s="257"/>
      <c r="J879" s="240"/>
      <c r="K879" s="240"/>
      <c r="L879" s="240"/>
      <c r="M879" s="240"/>
      <c r="N879" s="240"/>
      <c r="O879" s="258"/>
      <c r="P879" s="224"/>
      <c r="Q879" s="224"/>
      <c r="R879" s="224"/>
      <c r="S879" s="224"/>
      <c r="T879" s="224"/>
      <c r="U879" s="259"/>
      <c r="V879" s="239"/>
      <c r="W879" s="239"/>
      <c r="X879" s="239"/>
      <c r="Y879" s="239"/>
      <c r="Z879" s="239"/>
      <c r="AA879" s="257"/>
      <c r="AB879" s="224"/>
      <c r="AC879" s="224"/>
      <c r="AD879" s="224"/>
      <c r="AE879" s="224"/>
      <c r="AF879" s="224"/>
      <c r="AG879" s="259"/>
      <c r="AH879" s="261"/>
      <c r="AI879" s="261"/>
      <c r="AJ879" s="261"/>
      <c r="AK879" s="261"/>
      <c r="AL879" s="261"/>
      <c r="AM879" s="262"/>
    </row>
    <row r="880" spans="1:39" x14ac:dyDescent="0.25">
      <c r="A880" s="215"/>
      <c r="B880" s="215"/>
      <c r="C880" s="215"/>
      <c r="D880" s="239"/>
      <c r="E880" s="239"/>
      <c r="F880" s="239"/>
      <c r="G880" s="239"/>
      <c r="H880" s="239"/>
      <c r="I880" s="257"/>
      <c r="J880" s="240"/>
      <c r="K880" s="240"/>
      <c r="L880" s="240"/>
      <c r="M880" s="240"/>
      <c r="N880" s="240"/>
      <c r="O880" s="258"/>
      <c r="P880" s="224"/>
      <c r="Q880" s="224"/>
      <c r="R880" s="224"/>
      <c r="S880" s="224"/>
      <c r="T880" s="224"/>
      <c r="U880" s="259"/>
      <c r="V880" s="239"/>
      <c r="W880" s="239"/>
      <c r="X880" s="239"/>
      <c r="Y880" s="239"/>
      <c r="Z880" s="239"/>
      <c r="AA880" s="257"/>
      <c r="AB880" s="224"/>
      <c r="AC880" s="224"/>
      <c r="AD880" s="224"/>
      <c r="AE880" s="224"/>
      <c r="AF880" s="224"/>
      <c r="AG880" s="259"/>
      <c r="AH880" s="261"/>
      <c r="AI880" s="261"/>
      <c r="AJ880" s="261"/>
      <c r="AK880" s="261"/>
      <c r="AL880" s="261"/>
      <c r="AM880" s="262"/>
    </row>
    <row r="881" spans="1:39" x14ac:dyDescent="0.25">
      <c r="A881" s="215"/>
      <c r="B881" s="215"/>
      <c r="C881" s="215"/>
      <c r="D881" s="239"/>
      <c r="E881" s="239"/>
      <c r="F881" s="239"/>
      <c r="G881" s="239"/>
      <c r="H881" s="239"/>
      <c r="I881" s="257"/>
      <c r="J881" s="240"/>
      <c r="K881" s="240"/>
      <c r="L881" s="240"/>
      <c r="M881" s="240"/>
      <c r="N881" s="240"/>
      <c r="O881" s="258"/>
      <c r="P881" s="224"/>
      <c r="Q881" s="224"/>
      <c r="R881" s="224"/>
      <c r="S881" s="224"/>
      <c r="T881" s="224"/>
      <c r="U881" s="259"/>
      <c r="V881" s="239"/>
      <c r="W881" s="239"/>
      <c r="X881" s="239"/>
      <c r="Y881" s="239"/>
      <c r="Z881" s="239"/>
      <c r="AA881" s="257"/>
      <c r="AB881" s="224"/>
      <c r="AC881" s="224"/>
      <c r="AD881" s="224"/>
      <c r="AE881" s="224"/>
      <c r="AF881" s="224"/>
      <c r="AG881" s="259"/>
      <c r="AH881" s="261"/>
      <c r="AI881" s="261"/>
      <c r="AJ881" s="261"/>
      <c r="AK881" s="261"/>
      <c r="AL881" s="261"/>
      <c r="AM881" s="262"/>
    </row>
    <row r="882" spans="1:39" x14ac:dyDescent="0.25">
      <c r="A882" s="215"/>
      <c r="B882" s="215"/>
      <c r="C882" s="215"/>
      <c r="D882" s="239"/>
      <c r="E882" s="239"/>
      <c r="F882" s="239"/>
      <c r="G882" s="239"/>
      <c r="H882" s="239"/>
      <c r="I882" s="257"/>
      <c r="J882" s="240"/>
      <c r="K882" s="240"/>
      <c r="L882" s="240"/>
      <c r="M882" s="240"/>
      <c r="N882" s="240"/>
      <c r="O882" s="258"/>
      <c r="P882" s="224"/>
      <c r="Q882" s="224"/>
      <c r="R882" s="224"/>
      <c r="S882" s="224"/>
      <c r="T882" s="224"/>
      <c r="U882" s="259"/>
      <c r="V882" s="239"/>
      <c r="W882" s="239"/>
      <c r="X882" s="239"/>
      <c r="Y882" s="239"/>
      <c r="Z882" s="239"/>
      <c r="AA882" s="257"/>
      <c r="AB882" s="224"/>
      <c r="AC882" s="224"/>
      <c r="AD882" s="224"/>
      <c r="AE882" s="224"/>
      <c r="AF882" s="224"/>
      <c r="AG882" s="259"/>
      <c r="AH882" s="261"/>
      <c r="AI882" s="261"/>
      <c r="AJ882" s="261"/>
      <c r="AK882" s="261"/>
      <c r="AL882" s="261"/>
      <c r="AM882" s="262"/>
    </row>
    <row r="883" spans="1:39" x14ac:dyDescent="0.25">
      <c r="A883" s="215"/>
      <c r="B883" s="215"/>
      <c r="C883" s="215"/>
      <c r="D883" s="239"/>
      <c r="E883" s="239"/>
      <c r="F883" s="239"/>
      <c r="G883" s="239"/>
      <c r="H883" s="239"/>
      <c r="I883" s="257"/>
      <c r="J883" s="240"/>
      <c r="K883" s="240"/>
      <c r="L883" s="240"/>
      <c r="M883" s="240"/>
      <c r="N883" s="240"/>
      <c r="O883" s="258"/>
      <c r="P883" s="224"/>
      <c r="Q883" s="224"/>
      <c r="R883" s="224"/>
      <c r="S883" s="224"/>
      <c r="T883" s="224"/>
      <c r="U883" s="259"/>
      <c r="V883" s="239"/>
      <c r="W883" s="239"/>
      <c r="X883" s="239"/>
      <c r="Y883" s="239"/>
      <c r="Z883" s="239"/>
      <c r="AA883" s="257"/>
      <c r="AB883" s="224"/>
      <c r="AC883" s="224"/>
      <c r="AD883" s="224"/>
      <c r="AE883" s="224"/>
      <c r="AF883" s="224"/>
      <c r="AG883" s="259"/>
      <c r="AH883" s="261"/>
      <c r="AI883" s="261"/>
      <c r="AJ883" s="261"/>
      <c r="AK883" s="261"/>
      <c r="AL883" s="261"/>
      <c r="AM883" s="262"/>
    </row>
    <row r="884" spans="1:39" x14ac:dyDescent="0.25">
      <c r="A884" s="215"/>
      <c r="B884" s="215"/>
      <c r="C884" s="215"/>
      <c r="D884" s="239"/>
      <c r="E884" s="239"/>
      <c r="F884" s="239"/>
      <c r="G884" s="239"/>
      <c r="H884" s="239"/>
      <c r="I884" s="257"/>
      <c r="J884" s="240"/>
      <c r="K884" s="240"/>
      <c r="L884" s="240"/>
      <c r="M884" s="240"/>
      <c r="N884" s="240"/>
      <c r="O884" s="258"/>
      <c r="P884" s="224"/>
      <c r="Q884" s="224"/>
      <c r="R884" s="224"/>
      <c r="S884" s="224"/>
      <c r="T884" s="224"/>
      <c r="U884" s="259"/>
      <c r="V884" s="239"/>
      <c r="W884" s="239"/>
      <c r="X884" s="239"/>
      <c r="Y884" s="239"/>
      <c r="Z884" s="239"/>
      <c r="AA884" s="257"/>
      <c r="AB884" s="224"/>
      <c r="AC884" s="224"/>
      <c r="AD884" s="224"/>
      <c r="AE884" s="224"/>
      <c r="AF884" s="224"/>
      <c r="AG884" s="259"/>
      <c r="AH884" s="261"/>
      <c r="AI884" s="261"/>
      <c r="AJ884" s="261"/>
      <c r="AK884" s="261"/>
      <c r="AL884" s="261"/>
      <c r="AM884" s="262"/>
    </row>
    <row r="885" spans="1:39" x14ac:dyDescent="0.25">
      <c r="A885" s="215"/>
      <c r="B885" s="215"/>
      <c r="C885" s="215"/>
      <c r="D885" s="239"/>
      <c r="E885" s="239"/>
      <c r="F885" s="239"/>
      <c r="G885" s="239"/>
      <c r="H885" s="239"/>
      <c r="I885" s="257"/>
      <c r="J885" s="240"/>
      <c r="K885" s="240"/>
      <c r="L885" s="240"/>
      <c r="M885" s="240"/>
      <c r="N885" s="240"/>
      <c r="O885" s="258"/>
      <c r="P885" s="224"/>
      <c r="Q885" s="224"/>
      <c r="R885" s="224"/>
      <c r="S885" s="224"/>
      <c r="T885" s="224"/>
      <c r="U885" s="259"/>
      <c r="V885" s="239"/>
      <c r="W885" s="239"/>
      <c r="X885" s="239"/>
      <c r="Y885" s="239"/>
      <c r="Z885" s="239"/>
      <c r="AA885" s="257"/>
      <c r="AB885" s="224"/>
      <c r="AC885" s="224"/>
      <c r="AD885" s="224"/>
      <c r="AE885" s="224"/>
      <c r="AF885" s="224"/>
      <c r="AG885" s="259"/>
      <c r="AH885" s="261"/>
      <c r="AI885" s="261"/>
      <c r="AJ885" s="261"/>
      <c r="AK885" s="261"/>
      <c r="AL885" s="261"/>
      <c r="AM885" s="262"/>
    </row>
    <row r="886" spans="1:39" x14ac:dyDescent="0.25">
      <c r="A886" s="215"/>
      <c r="B886" s="215"/>
      <c r="C886" s="215"/>
      <c r="D886" s="239"/>
      <c r="E886" s="239"/>
      <c r="F886" s="239"/>
      <c r="G886" s="239"/>
      <c r="H886" s="239"/>
      <c r="I886" s="257"/>
      <c r="J886" s="240"/>
      <c r="K886" s="240"/>
      <c r="L886" s="240"/>
      <c r="M886" s="240"/>
      <c r="N886" s="240"/>
      <c r="O886" s="258"/>
      <c r="P886" s="224"/>
      <c r="Q886" s="224"/>
      <c r="R886" s="224"/>
      <c r="S886" s="224"/>
      <c r="T886" s="224"/>
      <c r="U886" s="259"/>
      <c r="V886" s="239"/>
      <c r="W886" s="239"/>
      <c r="X886" s="239"/>
      <c r="Y886" s="239"/>
      <c r="Z886" s="239"/>
      <c r="AA886" s="257"/>
      <c r="AB886" s="224"/>
      <c r="AC886" s="224"/>
      <c r="AD886" s="224"/>
      <c r="AE886" s="224"/>
      <c r="AF886" s="224"/>
      <c r="AG886" s="259"/>
      <c r="AH886" s="261"/>
      <c r="AI886" s="261"/>
      <c r="AJ886" s="261"/>
      <c r="AK886" s="261"/>
      <c r="AL886" s="261"/>
      <c r="AM886" s="262"/>
    </row>
    <row r="887" spans="1:39" x14ac:dyDescent="0.25">
      <c r="A887" s="215"/>
      <c r="B887" s="215"/>
      <c r="C887" s="215"/>
      <c r="D887" s="239"/>
      <c r="E887" s="239"/>
      <c r="F887" s="239"/>
      <c r="G887" s="239"/>
      <c r="H887" s="239"/>
      <c r="I887" s="257"/>
      <c r="J887" s="240"/>
      <c r="K887" s="240"/>
      <c r="L887" s="240"/>
      <c r="M887" s="240"/>
      <c r="N887" s="240"/>
      <c r="O887" s="258"/>
      <c r="P887" s="224"/>
      <c r="Q887" s="224"/>
      <c r="R887" s="224"/>
      <c r="S887" s="224"/>
      <c r="T887" s="224"/>
      <c r="U887" s="259"/>
      <c r="V887" s="239"/>
      <c r="W887" s="239"/>
      <c r="X887" s="239"/>
      <c r="Y887" s="239"/>
      <c r="Z887" s="239"/>
      <c r="AA887" s="257"/>
      <c r="AB887" s="224"/>
      <c r="AC887" s="224"/>
      <c r="AD887" s="224"/>
      <c r="AE887" s="224"/>
      <c r="AF887" s="224"/>
      <c r="AG887" s="259"/>
      <c r="AH887" s="261"/>
      <c r="AI887" s="261"/>
      <c r="AJ887" s="261"/>
      <c r="AK887" s="261"/>
      <c r="AL887" s="261"/>
      <c r="AM887" s="262"/>
    </row>
    <row r="888" spans="1:39" x14ac:dyDescent="0.25">
      <c r="A888" s="215"/>
      <c r="B888" s="215"/>
      <c r="C888" s="215"/>
      <c r="D888" s="239"/>
      <c r="E888" s="239"/>
      <c r="F888" s="239"/>
      <c r="G888" s="239"/>
      <c r="H888" s="239"/>
      <c r="I888" s="257"/>
      <c r="J888" s="240"/>
      <c r="K888" s="240"/>
      <c r="L888" s="240"/>
      <c r="M888" s="240"/>
      <c r="N888" s="240"/>
      <c r="O888" s="258"/>
      <c r="P888" s="224"/>
      <c r="Q888" s="224"/>
      <c r="R888" s="224"/>
      <c r="S888" s="224"/>
      <c r="T888" s="224"/>
      <c r="U888" s="259"/>
      <c r="V888" s="239"/>
      <c r="W888" s="239"/>
      <c r="X888" s="239"/>
      <c r="Y888" s="239"/>
      <c r="Z888" s="239"/>
      <c r="AA888" s="257"/>
      <c r="AB888" s="224"/>
      <c r="AC888" s="224"/>
      <c r="AD888" s="224"/>
      <c r="AE888" s="224"/>
      <c r="AF888" s="224"/>
      <c r="AG888" s="259"/>
      <c r="AH888" s="261"/>
      <c r="AI888" s="261"/>
      <c r="AJ888" s="261"/>
      <c r="AK888" s="261"/>
      <c r="AL888" s="261"/>
      <c r="AM888" s="262"/>
    </row>
    <row r="889" spans="1:39" x14ac:dyDescent="0.25">
      <c r="A889" s="215"/>
      <c r="B889" s="215"/>
      <c r="C889" s="215"/>
      <c r="D889" s="239"/>
      <c r="E889" s="239"/>
      <c r="F889" s="239"/>
      <c r="G889" s="239"/>
      <c r="H889" s="239"/>
      <c r="I889" s="257"/>
      <c r="J889" s="240"/>
      <c r="K889" s="240"/>
      <c r="L889" s="240"/>
      <c r="M889" s="240"/>
      <c r="N889" s="240"/>
      <c r="O889" s="258"/>
      <c r="P889" s="224"/>
      <c r="Q889" s="224"/>
      <c r="R889" s="224"/>
      <c r="S889" s="224"/>
      <c r="T889" s="224"/>
      <c r="U889" s="259"/>
      <c r="V889" s="239"/>
      <c r="W889" s="239"/>
      <c r="X889" s="239"/>
      <c r="Y889" s="239"/>
      <c r="Z889" s="239"/>
      <c r="AA889" s="257"/>
      <c r="AB889" s="224"/>
      <c r="AC889" s="224"/>
      <c r="AD889" s="224"/>
      <c r="AE889" s="224"/>
      <c r="AF889" s="224"/>
      <c r="AG889" s="259"/>
      <c r="AH889" s="261"/>
      <c r="AI889" s="261"/>
      <c r="AJ889" s="261"/>
      <c r="AK889" s="261"/>
      <c r="AL889" s="261"/>
      <c r="AM889" s="262"/>
    </row>
    <row r="890" spans="1:39" x14ac:dyDescent="0.25">
      <c r="A890" s="215"/>
      <c r="B890" s="215"/>
      <c r="C890" s="215"/>
      <c r="D890" s="239"/>
      <c r="E890" s="239"/>
      <c r="F890" s="239"/>
      <c r="G890" s="239"/>
      <c r="H890" s="239"/>
      <c r="I890" s="257"/>
      <c r="J890" s="240"/>
      <c r="K890" s="240"/>
      <c r="L890" s="240"/>
      <c r="M890" s="240"/>
      <c r="N890" s="240"/>
      <c r="O890" s="258"/>
      <c r="P890" s="224"/>
      <c r="Q890" s="224"/>
      <c r="R890" s="224"/>
      <c r="S890" s="224"/>
      <c r="T890" s="224"/>
      <c r="U890" s="259"/>
      <c r="V890" s="239"/>
      <c r="W890" s="239"/>
      <c r="X890" s="239"/>
      <c r="Y890" s="239"/>
      <c r="Z890" s="239"/>
      <c r="AA890" s="257"/>
      <c r="AB890" s="224"/>
      <c r="AC890" s="224"/>
      <c r="AD890" s="224"/>
      <c r="AE890" s="224"/>
      <c r="AF890" s="224"/>
      <c r="AG890" s="259"/>
      <c r="AH890" s="261"/>
      <c r="AI890" s="261"/>
      <c r="AJ890" s="261"/>
      <c r="AK890" s="261"/>
      <c r="AL890" s="261"/>
      <c r="AM890" s="262"/>
    </row>
    <row r="891" spans="1:39" x14ac:dyDescent="0.25">
      <c r="A891" s="215"/>
      <c r="B891" s="215"/>
      <c r="C891" s="215"/>
      <c r="D891" s="239"/>
      <c r="E891" s="239"/>
      <c r="F891" s="239"/>
      <c r="G891" s="239"/>
      <c r="H891" s="239"/>
      <c r="I891" s="257"/>
      <c r="J891" s="240"/>
      <c r="K891" s="240"/>
      <c r="L891" s="240"/>
      <c r="M891" s="240"/>
      <c r="N891" s="240"/>
      <c r="O891" s="258"/>
      <c r="P891" s="224"/>
      <c r="Q891" s="224"/>
      <c r="R891" s="224"/>
      <c r="S891" s="224"/>
      <c r="T891" s="224"/>
      <c r="U891" s="259"/>
      <c r="V891" s="239"/>
      <c r="W891" s="239"/>
      <c r="X891" s="239"/>
      <c r="Y891" s="239"/>
      <c r="Z891" s="239"/>
      <c r="AA891" s="257"/>
      <c r="AB891" s="224"/>
      <c r="AC891" s="224"/>
      <c r="AD891" s="224"/>
      <c r="AE891" s="224"/>
      <c r="AF891" s="224"/>
      <c r="AG891" s="259"/>
      <c r="AH891" s="261"/>
      <c r="AI891" s="261"/>
      <c r="AJ891" s="261"/>
      <c r="AK891" s="261"/>
      <c r="AL891" s="261"/>
      <c r="AM891" s="262"/>
    </row>
    <row r="892" spans="1:39" x14ac:dyDescent="0.25">
      <c r="A892" s="215"/>
      <c r="B892" s="215"/>
      <c r="C892" s="215"/>
      <c r="D892" s="239"/>
      <c r="E892" s="239"/>
      <c r="F892" s="239"/>
      <c r="G892" s="239"/>
      <c r="H892" s="239"/>
      <c r="I892" s="257"/>
      <c r="J892" s="240"/>
      <c r="K892" s="240"/>
      <c r="L892" s="240"/>
      <c r="M892" s="240"/>
      <c r="N892" s="240"/>
      <c r="O892" s="258"/>
      <c r="P892" s="224"/>
      <c r="Q892" s="224"/>
      <c r="R892" s="224"/>
      <c r="S892" s="224"/>
      <c r="T892" s="224"/>
      <c r="U892" s="259"/>
      <c r="V892" s="239"/>
      <c r="W892" s="239"/>
      <c r="X892" s="239"/>
      <c r="Y892" s="239"/>
      <c r="Z892" s="239"/>
      <c r="AA892" s="257"/>
      <c r="AB892" s="224"/>
      <c r="AC892" s="224"/>
      <c r="AD892" s="224"/>
      <c r="AE892" s="224"/>
      <c r="AF892" s="224"/>
      <c r="AG892" s="259"/>
      <c r="AH892" s="261"/>
      <c r="AI892" s="261"/>
      <c r="AJ892" s="261"/>
      <c r="AK892" s="261"/>
      <c r="AL892" s="261"/>
      <c r="AM892" s="262"/>
    </row>
    <row r="893" spans="1:39" x14ac:dyDescent="0.25">
      <c r="A893" s="215"/>
      <c r="B893" s="215"/>
      <c r="C893" s="215"/>
      <c r="D893" s="239"/>
      <c r="E893" s="239"/>
      <c r="F893" s="239"/>
      <c r="G893" s="239"/>
      <c r="H893" s="239"/>
      <c r="I893" s="257"/>
      <c r="J893" s="240"/>
      <c r="K893" s="240"/>
      <c r="L893" s="240"/>
      <c r="M893" s="240"/>
      <c r="N893" s="240"/>
      <c r="O893" s="258"/>
      <c r="P893" s="224"/>
      <c r="Q893" s="224"/>
      <c r="R893" s="224"/>
      <c r="S893" s="224"/>
      <c r="T893" s="224"/>
      <c r="U893" s="259"/>
      <c r="V893" s="239"/>
      <c r="W893" s="239"/>
      <c r="X893" s="239"/>
      <c r="Y893" s="239"/>
      <c r="Z893" s="239"/>
      <c r="AA893" s="257"/>
      <c r="AB893" s="224"/>
      <c r="AC893" s="224"/>
      <c r="AD893" s="224"/>
      <c r="AE893" s="224"/>
      <c r="AF893" s="224"/>
      <c r="AG893" s="259"/>
      <c r="AH893" s="261"/>
      <c r="AI893" s="261"/>
      <c r="AJ893" s="261"/>
      <c r="AK893" s="261"/>
      <c r="AL893" s="261"/>
      <c r="AM893" s="262"/>
    </row>
    <row r="894" spans="1:39" x14ac:dyDescent="0.25">
      <c r="A894" s="215"/>
      <c r="B894" s="215"/>
      <c r="C894" s="215"/>
      <c r="D894" s="239"/>
      <c r="E894" s="239"/>
      <c r="F894" s="239"/>
      <c r="G894" s="239"/>
      <c r="H894" s="239"/>
      <c r="I894" s="257"/>
      <c r="J894" s="240"/>
      <c r="K894" s="240"/>
      <c r="L894" s="240"/>
      <c r="M894" s="240"/>
      <c r="N894" s="240"/>
      <c r="O894" s="258"/>
      <c r="P894" s="224"/>
      <c r="Q894" s="224"/>
      <c r="R894" s="224"/>
      <c r="S894" s="224"/>
      <c r="T894" s="224"/>
      <c r="U894" s="259"/>
      <c r="V894" s="239"/>
      <c r="W894" s="239"/>
      <c r="X894" s="239"/>
      <c r="Y894" s="239"/>
      <c r="Z894" s="239"/>
      <c r="AA894" s="257"/>
      <c r="AB894" s="224"/>
      <c r="AC894" s="224"/>
      <c r="AD894" s="224"/>
      <c r="AE894" s="224"/>
      <c r="AF894" s="224"/>
      <c r="AG894" s="259"/>
      <c r="AH894" s="261"/>
      <c r="AI894" s="261"/>
      <c r="AJ894" s="261"/>
      <c r="AK894" s="261"/>
      <c r="AL894" s="261"/>
      <c r="AM894" s="262"/>
    </row>
    <row r="895" spans="1:39" x14ac:dyDescent="0.25">
      <c r="A895" s="215"/>
      <c r="B895" s="215"/>
      <c r="C895" s="215"/>
      <c r="D895" s="239"/>
      <c r="E895" s="239"/>
      <c r="F895" s="239"/>
      <c r="G895" s="239"/>
      <c r="H895" s="239"/>
      <c r="I895" s="257"/>
      <c r="J895" s="240"/>
      <c r="K895" s="240"/>
      <c r="L895" s="240"/>
      <c r="M895" s="240"/>
      <c r="N895" s="240"/>
      <c r="O895" s="258"/>
      <c r="P895" s="224"/>
      <c r="Q895" s="224"/>
      <c r="R895" s="224"/>
      <c r="S895" s="224"/>
      <c r="T895" s="224"/>
      <c r="U895" s="259"/>
      <c r="V895" s="239"/>
      <c r="W895" s="239"/>
      <c r="X895" s="239"/>
      <c r="Y895" s="239"/>
      <c r="Z895" s="239"/>
      <c r="AA895" s="257"/>
      <c r="AB895" s="224"/>
      <c r="AC895" s="224"/>
      <c r="AD895" s="224"/>
      <c r="AE895" s="224"/>
      <c r="AF895" s="224"/>
      <c r="AG895" s="259"/>
      <c r="AH895" s="261"/>
      <c r="AI895" s="261"/>
      <c r="AJ895" s="261"/>
      <c r="AK895" s="261"/>
      <c r="AL895" s="261"/>
      <c r="AM895" s="262"/>
    </row>
    <row r="896" spans="1:39" x14ac:dyDescent="0.25">
      <c r="A896" s="215"/>
      <c r="B896" s="215"/>
      <c r="C896" s="215"/>
      <c r="D896" s="239"/>
      <c r="E896" s="239"/>
      <c r="F896" s="239"/>
      <c r="G896" s="239"/>
      <c r="H896" s="239"/>
      <c r="I896" s="257"/>
      <c r="J896" s="240"/>
      <c r="K896" s="240"/>
      <c r="L896" s="240"/>
      <c r="M896" s="240"/>
      <c r="N896" s="240"/>
      <c r="O896" s="258"/>
      <c r="P896" s="224"/>
      <c r="Q896" s="224"/>
      <c r="R896" s="224"/>
      <c r="S896" s="224"/>
      <c r="T896" s="224"/>
      <c r="U896" s="259"/>
      <c r="V896" s="239"/>
      <c r="W896" s="239"/>
      <c r="X896" s="239"/>
      <c r="Y896" s="239"/>
      <c r="Z896" s="239"/>
      <c r="AA896" s="257"/>
      <c r="AB896" s="224"/>
      <c r="AC896" s="224"/>
      <c r="AD896" s="224"/>
      <c r="AE896" s="224"/>
      <c r="AF896" s="224"/>
      <c r="AG896" s="259"/>
      <c r="AH896" s="261"/>
      <c r="AI896" s="261"/>
      <c r="AJ896" s="261"/>
      <c r="AK896" s="261"/>
      <c r="AL896" s="261"/>
      <c r="AM896" s="262"/>
    </row>
    <row r="897" spans="1:39" x14ac:dyDescent="0.25">
      <c r="A897" s="215"/>
      <c r="B897" s="215"/>
      <c r="C897" s="215"/>
      <c r="D897" s="239"/>
      <c r="E897" s="239"/>
      <c r="F897" s="239"/>
      <c r="G897" s="239"/>
      <c r="H897" s="239"/>
      <c r="I897" s="257"/>
      <c r="J897" s="240"/>
      <c r="K897" s="240"/>
      <c r="L897" s="240"/>
      <c r="M897" s="240"/>
      <c r="N897" s="240"/>
      <c r="O897" s="258"/>
      <c r="P897" s="224"/>
      <c r="Q897" s="224"/>
      <c r="R897" s="224"/>
      <c r="S897" s="224"/>
      <c r="T897" s="224"/>
      <c r="U897" s="259"/>
      <c r="V897" s="239"/>
      <c r="W897" s="239"/>
      <c r="X897" s="239"/>
      <c r="Y897" s="239"/>
      <c r="Z897" s="239"/>
      <c r="AA897" s="257"/>
      <c r="AB897" s="224"/>
      <c r="AC897" s="224"/>
      <c r="AD897" s="224"/>
      <c r="AE897" s="224"/>
      <c r="AF897" s="224"/>
      <c r="AG897" s="259"/>
      <c r="AH897" s="261"/>
      <c r="AI897" s="261"/>
      <c r="AJ897" s="261"/>
      <c r="AK897" s="261"/>
      <c r="AL897" s="261"/>
      <c r="AM897" s="262"/>
    </row>
    <row r="898" spans="1:39" x14ac:dyDescent="0.25">
      <c r="A898" s="215"/>
      <c r="B898" s="215"/>
      <c r="C898" s="215"/>
      <c r="D898" s="239"/>
      <c r="E898" s="239"/>
      <c r="F898" s="239"/>
      <c r="G898" s="239"/>
      <c r="H898" s="239"/>
      <c r="I898" s="257"/>
      <c r="J898" s="240"/>
      <c r="K898" s="240"/>
      <c r="L898" s="240"/>
      <c r="M898" s="240"/>
      <c r="N898" s="240"/>
      <c r="O898" s="258"/>
      <c r="P898" s="224"/>
      <c r="Q898" s="224"/>
      <c r="R898" s="224"/>
      <c r="S898" s="224"/>
      <c r="T898" s="224"/>
      <c r="U898" s="259"/>
      <c r="V898" s="239"/>
      <c r="W898" s="239"/>
      <c r="X898" s="239"/>
      <c r="Y898" s="239"/>
      <c r="Z898" s="239"/>
      <c r="AA898" s="257"/>
      <c r="AB898" s="224"/>
      <c r="AC898" s="224"/>
      <c r="AD898" s="224"/>
      <c r="AE898" s="224"/>
      <c r="AF898" s="224"/>
      <c r="AG898" s="259"/>
      <c r="AH898" s="261"/>
      <c r="AI898" s="261"/>
      <c r="AJ898" s="261"/>
      <c r="AK898" s="261"/>
      <c r="AL898" s="261"/>
      <c r="AM898" s="262"/>
    </row>
    <row r="899" spans="1:39" x14ac:dyDescent="0.25">
      <c r="A899" s="215"/>
      <c r="B899" s="215"/>
      <c r="C899" s="215"/>
      <c r="D899" s="239"/>
      <c r="E899" s="239"/>
      <c r="F899" s="239"/>
      <c r="G899" s="239"/>
      <c r="H899" s="239"/>
      <c r="I899" s="257"/>
      <c r="J899" s="240"/>
      <c r="K899" s="240"/>
      <c r="L899" s="240"/>
      <c r="M899" s="240"/>
      <c r="N899" s="240"/>
      <c r="O899" s="258"/>
      <c r="P899" s="224"/>
      <c r="Q899" s="224"/>
      <c r="R899" s="224"/>
      <c r="S899" s="224"/>
      <c r="T899" s="224"/>
      <c r="U899" s="259"/>
      <c r="V899" s="239"/>
      <c r="W899" s="239"/>
      <c r="X899" s="239"/>
      <c r="Y899" s="239"/>
      <c r="Z899" s="239"/>
      <c r="AA899" s="257"/>
      <c r="AB899" s="224"/>
      <c r="AC899" s="224"/>
      <c r="AD899" s="224"/>
      <c r="AE899" s="224"/>
      <c r="AF899" s="224"/>
      <c r="AG899" s="259"/>
      <c r="AH899" s="261"/>
      <c r="AI899" s="261"/>
      <c r="AJ899" s="261"/>
      <c r="AK899" s="261"/>
      <c r="AL899" s="261"/>
      <c r="AM899" s="262"/>
    </row>
    <row r="900" spans="1:39" x14ac:dyDescent="0.25">
      <c r="A900" s="215"/>
      <c r="B900" s="215"/>
      <c r="C900" s="215"/>
      <c r="D900" s="239"/>
      <c r="E900" s="239"/>
      <c r="F900" s="239"/>
      <c r="G900" s="239"/>
      <c r="H900" s="239"/>
      <c r="I900" s="257"/>
      <c r="J900" s="240"/>
      <c r="K900" s="240"/>
      <c r="L900" s="240"/>
      <c r="M900" s="240"/>
      <c r="N900" s="240"/>
      <c r="O900" s="258"/>
      <c r="P900" s="224"/>
      <c r="Q900" s="224"/>
      <c r="R900" s="224"/>
      <c r="S900" s="224"/>
      <c r="T900" s="224"/>
      <c r="U900" s="259"/>
      <c r="V900" s="239"/>
      <c r="W900" s="239"/>
      <c r="X900" s="239"/>
      <c r="Y900" s="239"/>
      <c r="Z900" s="239"/>
      <c r="AA900" s="257"/>
      <c r="AB900" s="224"/>
      <c r="AC900" s="224"/>
      <c r="AD900" s="224"/>
      <c r="AE900" s="224"/>
      <c r="AF900" s="224"/>
      <c r="AG900" s="259"/>
      <c r="AH900" s="261"/>
      <c r="AI900" s="261"/>
      <c r="AJ900" s="261"/>
      <c r="AK900" s="261"/>
      <c r="AL900" s="261"/>
      <c r="AM900" s="262"/>
    </row>
    <row r="901" spans="1:39" x14ac:dyDescent="0.25">
      <c r="A901" s="215"/>
      <c r="B901" s="215"/>
      <c r="C901" s="215"/>
      <c r="D901" s="239"/>
      <c r="E901" s="239"/>
      <c r="F901" s="239"/>
      <c r="G901" s="239"/>
      <c r="H901" s="239"/>
      <c r="I901" s="257"/>
      <c r="J901" s="240"/>
      <c r="K901" s="240"/>
      <c r="L901" s="240"/>
      <c r="M901" s="240"/>
      <c r="N901" s="240"/>
      <c r="O901" s="258"/>
      <c r="P901" s="224"/>
      <c r="Q901" s="224"/>
      <c r="R901" s="224"/>
      <c r="S901" s="224"/>
      <c r="T901" s="224"/>
      <c r="U901" s="259"/>
      <c r="V901" s="239"/>
      <c r="W901" s="239"/>
      <c r="X901" s="239"/>
      <c r="Y901" s="239"/>
      <c r="Z901" s="239"/>
      <c r="AA901" s="257"/>
      <c r="AB901" s="224"/>
      <c r="AC901" s="224"/>
      <c r="AD901" s="224"/>
      <c r="AE901" s="224"/>
      <c r="AF901" s="224"/>
      <c r="AG901" s="259"/>
      <c r="AH901" s="261"/>
      <c r="AI901" s="261"/>
      <c r="AJ901" s="261"/>
      <c r="AK901" s="261"/>
      <c r="AL901" s="261"/>
      <c r="AM901" s="262"/>
    </row>
    <row r="902" spans="1:39" x14ac:dyDescent="0.25">
      <c r="A902" s="215"/>
      <c r="B902" s="215"/>
      <c r="C902" s="215"/>
      <c r="D902" s="239"/>
      <c r="E902" s="239"/>
      <c r="F902" s="239"/>
      <c r="G902" s="239"/>
      <c r="H902" s="239"/>
      <c r="I902" s="257"/>
      <c r="J902" s="240"/>
      <c r="K902" s="240"/>
      <c r="L902" s="240"/>
      <c r="M902" s="240"/>
      <c r="N902" s="240"/>
      <c r="O902" s="258"/>
      <c r="P902" s="224"/>
      <c r="Q902" s="224"/>
      <c r="R902" s="224"/>
      <c r="S902" s="224"/>
      <c r="T902" s="224"/>
      <c r="U902" s="259"/>
      <c r="V902" s="239"/>
      <c r="W902" s="239"/>
      <c r="X902" s="239"/>
      <c r="Y902" s="239"/>
      <c r="Z902" s="239"/>
      <c r="AA902" s="257"/>
      <c r="AB902" s="224"/>
      <c r="AC902" s="224"/>
      <c r="AD902" s="224"/>
      <c r="AE902" s="224"/>
      <c r="AF902" s="224"/>
      <c r="AG902" s="259"/>
      <c r="AH902" s="261"/>
      <c r="AI902" s="261"/>
      <c r="AJ902" s="261"/>
      <c r="AK902" s="261"/>
      <c r="AL902" s="261"/>
      <c r="AM902" s="262"/>
    </row>
    <row r="903" spans="1:39" x14ac:dyDescent="0.25">
      <c r="A903" s="215"/>
      <c r="B903" s="215"/>
      <c r="C903" s="215"/>
      <c r="D903" s="239"/>
      <c r="E903" s="239"/>
      <c r="F903" s="239"/>
      <c r="G903" s="239"/>
      <c r="H903" s="239"/>
      <c r="I903" s="257"/>
      <c r="J903" s="240"/>
      <c r="K903" s="240"/>
      <c r="L903" s="240"/>
      <c r="M903" s="240"/>
      <c r="N903" s="240"/>
      <c r="O903" s="258"/>
      <c r="P903" s="224"/>
      <c r="Q903" s="224"/>
      <c r="R903" s="224"/>
      <c r="S903" s="224"/>
      <c r="T903" s="224"/>
      <c r="U903" s="259"/>
      <c r="V903" s="239"/>
      <c r="W903" s="239"/>
      <c r="X903" s="239"/>
      <c r="Y903" s="239"/>
      <c r="Z903" s="239"/>
      <c r="AA903" s="257"/>
      <c r="AB903" s="224"/>
      <c r="AC903" s="224"/>
      <c r="AD903" s="224"/>
      <c r="AE903" s="224"/>
      <c r="AF903" s="224"/>
      <c r="AG903" s="259"/>
      <c r="AH903" s="261"/>
      <c r="AI903" s="261"/>
      <c r="AJ903" s="261"/>
      <c r="AK903" s="261"/>
      <c r="AL903" s="261"/>
      <c r="AM903" s="262"/>
    </row>
    <row r="904" spans="1:39" x14ac:dyDescent="0.25">
      <c r="A904" s="215"/>
      <c r="B904" s="215"/>
      <c r="C904" s="215"/>
      <c r="D904" s="239"/>
      <c r="E904" s="239"/>
      <c r="F904" s="239"/>
      <c r="G904" s="239"/>
      <c r="H904" s="239"/>
      <c r="I904" s="257"/>
      <c r="J904" s="240"/>
      <c r="K904" s="240"/>
      <c r="L904" s="240"/>
      <c r="M904" s="240"/>
      <c r="N904" s="240"/>
      <c r="O904" s="258"/>
      <c r="P904" s="224"/>
      <c r="Q904" s="224"/>
      <c r="R904" s="224"/>
      <c r="S904" s="224"/>
      <c r="T904" s="224"/>
      <c r="U904" s="259"/>
      <c r="V904" s="239"/>
      <c r="W904" s="239"/>
      <c r="X904" s="239"/>
      <c r="Y904" s="239"/>
      <c r="Z904" s="239"/>
      <c r="AA904" s="257"/>
      <c r="AB904" s="224"/>
      <c r="AC904" s="224"/>
      <c r="AD904" s="224"/>
      <c r="AE904" s="224"/>
      <c r="AF904" s="224"/>
      <c r="AG904" s="259"/>
      <c r="AH904" s="261"/>
      <c r="AI904" s="261"/>
      <c r="AJ904" s="261"/>
      <c r="AK904" s="261"/>
      <c r="AL904" s="261"/>
      <c r="AM904" s="262"/>
    </row>
    <row r="905" spans="1:39" x14ac:dyDescent="0.25">
      <c r="A905" s="215"/>
      <c r="B905" s="215"/>
      <c r="C905" s="215"/>
      <c r="D905" s="239"/>
      <c r="E905" s="239"/>
      <c r="F905" s="239"/>
      <c r="G905" s="239"/>
      <c r="H905" s="239"/>
      <c r="I905" s="257"/>
      <c r="J905" s="240"/>
      <c r="K905" s="240"/>
      <c r="L905" s="240"/>
      <c r="M905" s="240"/>
      <c r="N905" s="240"/>
      <c r="O905" s="258"/>
      <c r="P905" s="224"/>
      <c r="Q905" s="224"/>
      <c r="R905" s="224"/>
      <c r="S905" s="224"/>
      <c r="T905" s="224"/>
      <c r="U905" s="259"/>
      <c r="V905" s="239"/>
      <c r="W905" s="239"/>
      <c r="X905" s="239"/>
      <c r="Y905" s="239"/>
      <c r="Z905" s="239"/>
      <c r="AA905" s="257"/>
      <c r="AB905" s="224"/>
      <c r="AC905" s="224"/>
      <c r="AD905" s="224"/>
      <c r="AE905" s="224"/>
      <c r="AF905" s="224"/>
      <c r="AG905" s="259"/>
      <c r="AH905" s="261"/>
      <c r="AI905" s="261"/>
      <c r="AJ905" s="261"/>
      <c r="AK905" s="261"/>
      <c r="AL905" s="261"/>
      <c r="AM905" s="262"/>
    </row>
    <row r="906" spans="1:39" x14ac:dyDescent="0.25">
      <c r="A906" s="215"/>
      <c r="B906" s="215"/>
      <c r="C906" s="215"/>
      <c r="D906" s="239"/>
      <c r="E906" s="239"/>
      <c r="F906" s="239"/>
      <c r="G906" s="239"/>
      <c r="H906" s="239"/>
      <c r="I906" s="257"/>
      <c r="J906" s="240"/>
      <c r="K906" s="240"/>
      <c r="L906" s="240"/>
      <c r="M906" s="240"/>
      <c r="N906" s="240"/>
      <c r="O906" s="258"/>
      <c r="P906" s="224"/>
      <c r="Q906" s="224"/>
      <c r="R906" s="224"/>
      <c r="S906" s="224"/>
      <c r="T906" s="224"/>
      <c r="U906" s="259"/>
      <c r="V906" s="239"/>
      <c r="W906" s="239"/>
      <c r="X906" s="239"/>
      <c r="Y906" s="239"/>
      <c r="Z906" s="239"/>
      <c r="AA906" s="257"/>
      <c r="AB906" s="224"/>
      <c r="AC906" s="224"/>
      <c r="AD906" s="224"/>
      <c r="AE906" s="224"/>
      <c r="AF906" s="224"/>
      <c r="AG906" s="259"/>
      <c r="AH906" s="261"/>
      <c r="AI906" s="261"/>
      <c r="AJ906" s="261"/>
      <c r="AK906" s="261"/>
      <c r="AL906" s="261"/>
      <c r="AM906" s="262"/>
    </row>
    <row r="907" spans="1:39" x14ac:dyDescent="0.25">
      <c r="A907" s="215"/>
      <c r="B907" s="215"/>
      <c r="C907" s="215"/>
      <c r="D907" s="239"/>
      <c r="E907" s="239"/>
      <c r="F907" s="239"/>
      <c r="G907" s="239"/>
      <c r="H907" s="239"/>
      <c r="I907" s="257"/>
      <c r="J907" s="240"/>
      <c r="K907" s="240"/>
      <c r="L907" s="240"/>
      <c r="M907" s="240"/>
      <c r="N907" s="240"/>
      <c r="O907" s="258"/>
      <c r="P907" s="224"/>
      <c r="Q907" s="224"/>
      <c r="R907" s="224"/>
      <c r="S907" s="224"/>
      <c r="T907" s="224"/>
      <c r="U907" s="259"/>
      <c r="V907" s="239"/>
      <c r="W907" s="239"/>
      <c r="X907" s="239"/>
      <c r="Y907" s="239"/>
      <c r="Z907" s="239"/>
      <c r="AA907" s="257"/>
      <c r="AB907" s="224"/>
      <c r="AC907" s="224"/>
      <c r="AD907" s="224"/>
      <c r="AE907" s="224"/>
      <c r="AF907" s="224"/>
      <c r="AG907" s="259"/>
      <c r="AH907" s="261"/>
      <c r="AI907" s="261"/>
      <c r="AJ907" s="261"/>
      <c r="AK907" s="261"/>
      <c r="AL907" s="261"/>
      <c r="AM907" s="262"/>
    </row>
    <row r="908" spans="1:39" x14ac:dyDescent="0.25">
      <c r="A908" s="215"/>
      <c r="B908" s="215"/>
      <c r="C908" s="215"/>
      <c r="D908" s="239"/>
      <c r="E908" s="239"/>
      <c r="F908" s="239"/>
      <c r="G908" s="239"/>
      <c r="H908" s="239"/>
      <c r="I908" s="257"/>
      <c r="J908" s="240"/>
      <c r="K908" s="240"/>
      <c r="L908" s="240"/>
      <c r="M908" s="240"/>
      <c r="N908" s="240"/>
      <c r="O908" s="258"/>
      <c r="P908" s="224"/>
      <c r="Q908" s="224"/>
      <c r="R908" s="224"/>
      <c r="S908" s="224"/>
      <c r="T908" s="224"/>
      <c r="U908" s="259"/>
      <c r="V908" s="239"/>
      <c r="W908" s="239"/>
      <c r="X908" s="239"/>
      <c r="Y908" s="239"/>
      <c r="Z908" s="239"/>
      <c r="AA908" s="257"/>
      <c r="AB908" s="224"/>
      <c r="AC908" s="224"/>
      <c r="AD908" s="224"/>
      <c r="AE908" s="224"/>
      <c r="AF908" s="224"/>
      <c r="AG908" s="259"/>
      <c r="AH908" s="261"/>
      <c r="AI908" s="261"/>
      <c r="AJ908" s="261"/>
      <c r="AK908" s="261"/>
      <c r="AL908" s="261"/>
      <c r="AM908" s="262"/>
    </row>
    <row r="909" spans="1:39" x14ac:dyDescent="0.25">
      <c r="A909" s="215"/>
      <c r="B909" s="215"/>
      <c r="C909" s="215"/>
      <c r="D909" s="239"/>
      <c r="E909" s="239"/>
      <c r="F909" s="239"/>
      <c r="G909" s="239"/>
      <c r="H909" s="239"/>
      <c r="I909" s="257"/>
      <c r="J909" s="240"/>
      <c r="K909" s="240"/>
      <c r="L909" s="240"/>
      <c r="M909" s="240"/>
      <c r="N909" s="240"/>
      <c r="O909" s="258"/>
      <c r="P909" s="224"/>
      <c r="Q909" s="224"/>
      <c r="R909" s="224"/>
      <c r="S909" s="224"/>
      <c r="T909" s="224"/>
      <c r="U909" s="259"/>
      <c r="V909" s="239"/>
      <c r="W909" s="239"/>
      <c r="X909" s="239"/>
      <c r="Y909" s="239"/>
      <c r="Z909" s="239"/>
      <c r="AA909" s="257"/>
      <c r="AB909" s="224"/>
      <c r="AC909" s="224"/>
      <c r="AD909" s="224"/>
      <c r="AE909" s="224"/>
      <c r="AF909" s="224"/>
      <c r="AG909" s="259"/>
      <c r="AH909" s="261"/>
      <c r="AI909" s="261"/>
      <c r="AJ909" s="261"/>
      <c r="AK909" s="261"/>
      <c r="AL909" s="261"/>
      <c r="AM909" s="262"/>
    </row>
    <row r="910" spans="1:39" x14ac:dyDescent="0.25">
      <c r="A910" s="215"/>
      <c r="B910" s="215"/>
      <c r="C910" s="215"/>
      <c r="D910" s="239"/>
      <c r="E910" s="239"/>
      <c r="F910" s="239"/>
      <c r="G910" s="239"/>
      <c r="H910" s="239"/>
      <c r="I910" s="257"/>
      <c r="J910" s="240"/>
      <c r="K910" s="240"/>
      <c r="L910" s="240"/>
      <c r="M910" s="240"/>
      <c r="N910" s="240"/>
      <c r="O910" s="258"/>
      <c r="P910" s="224"/>
      <c r="Q910" s="224"/>
      <c r="R910" s="224"/>
      <c r="S910" s="224"/>
      <c r="T910" s="224"/>
      <c r="U910" s="259"/>
      <c r="V910" s="239"/>
      <c r="W910" s="239"/>
      <c r="X910" s="239"/>
      <c r="Y910" s="239"/>
      <c r="Z910" s="239"/>
      <c r="AA910" s="257"/>
      <c r="AB910" s="224"/>
      <c r="AC910" s="224"/>
      <c r="AD910" s="224"/>
      <c r="AE910" s="224"/>
      <c r="AF910" s="224"/>
      <c r="AG910" s="259"/>
      <c r="AH910" s="261"/>
      <c r="AI910" s="261"/>
      <c r="AJ910" s="261"/>
      <c r="AK910" s="261"/>
      <c r="AL910" s="261"/>
      <c r="AM910" s="262"/>
    </row>
    <row r="911" spans="1:39" x14ac:dyDescent="0.25">
      <c r="A911" s="215"/>
      <c r="B911" s="215"/>
      <c r="C911" s="215"/>
      <c r="D911" s="239"/>
      <c r="E911" s="239"/>
      <c r="F911" s="239"/>
      <c r="G911" s="239"/>
      <c r="H911" s="239"/>
      <c r="I911" s="257"/>
      <c r="J911" s="240"/>
      <c r="K911" s="240"/>
      <c r="L911" s="240"/>
      <c r="M911" s="240"/>
      <c r="N911" s="240"/>
      <c r="O911" s="258"/>
      <c r="P911" s="224"/>
      <c r="Q911" s="224"/>
      <c r="R911" s="224"/>
      <c r="S911" s="224"/>
      <c r="T911" s="224"/>
      <c r="U911" s="259"/>
      <c r="V911" s="239"/>
      <c r="W911" s="239"/>
      <c r="X911" s="239"/>
      <c r="Y911" s="239"/>
      <c r="Z911" s="239"/>
      <c r="AA911" s="257"/>
      <c r="AB911" s="224"/>
      <c r="AC911" s="224"/>
      <c r="AD911" s="224"/>
      <c r="AE911" s="224"/>
      <c r="AF911" s="224"/>
      <c r="AG911" s="259"/>
      <c r="AH911" s="261"/>
      <c r="AI911" s="261"/>
      <c r="AJ911" s="261"/>
      <c r="AK911" s="261"/>
      <c r="AL911" s="261"/>
      <c r="AM911" s="262"/>
    </row>
    <row r="912" spans="1:39" x14ac:dyDescent="0.25">
      <c r="A912" s="215"/>
      <c r="B912" s="215"/>
      <c r="C912" s="215"/>
      <c r="D912" s="239"/>
      <c r="E912" s="239"/>
      <c r="F912" s="239"/>
      <c r="G912" s="239"/>
      <c r="H912" s="239"/>
      <c r="I912" s="257"/>
      <c r="J912" s="240"/>
      <c r="K912" s="240"/>
      <c r="L912" s="240"/>
      <c r="M912" s="240"/>
      <c r="N912" s="240"/>
      <c r="O912" s="258"/>
      <c r="P912" s="224"/>
      <c r="Q912" s="224"/>
      <c r="R912" s="224"/>
      <c r="S912" s="224"/>
      <c r="T912" s="224"/>
      <c r="U912" s="259"/>
      <c r="V912" s="239"/>
      <c r="W912" s="239"/>
      <c r="X912" s="239"/>
      <c r="Y912" s="239"/>
      <c r="Z912" s="239"/>
      <c r="AA912" s="257"/>
      <c r="AB912" s="224"/>
      <c r="AC912" s="224"/>
      <c r="AD912" s="224"/>
      <c r="AE912" s="224"/>
      <c r="AF912" s="224"/>
      <c r="AG912" s="259"/>
      <c r="AH912" s="261"/>
      <c r="AI912" s="261"/>
      <c r="AJ912" s="261"/>
      <c r="AK912" s="261"/>
      <c r="AL912" s="261"/>
      <c r="AM912" s="262"/>
    </row>
    <row r="913" spans="1:39" x14ac:dyDescent="0.25">
      <c r="A913" s="215"/>
      <c r="B913" s="215"/>
      <c r="C913" s="215"/>
      <c r="D913" s="239"/>
      <c r="E913" s="239"/>
      <c r="F913" s="239"/>
      <c r="G913" s="239"/>
      <c r="H913" s="239"/>
      <c r="I913" s="257"/>
      <c r="J913" s="240"/>
      <c r="K913" s="240"/>
      <c r="L913" s="240"/>
      <c r="M913" s="240"/>
      <c r="N913" s="240"/>
      <c r="O913" s="258"/>
      <c r="P913" s="224"/>
      <c r="Q913" s="224"/>
      <c r="R913" s="224"/>
      <c r="S913" s="224"/>
      <c r="T913" s="224"/>
      <c r="U913" s="259"/>
      <c r="V913" s="239"/>
      <c r="W913" s="239"/>
      <c r="X913" s="239"/>
      <c r="Y913" s="239"/>
      <c r="Z913" s="239"/>
      <c r="AA913" s="257"/>
      <c r="AB913" s="224"/>
      <c r="AC913" s="224"/>
      <c r="AD913" s="224"/>
      <c r="AE913" s="224"/>
      <c r="AF913" s="224"/>
      <c r="AG913" s="259"/>
      <c r="AH913" s="261"/>
      <c r="AI913" s="261"/>
      <c r="AJ913" s="261"/>
      <c r="AK913" s="261"/>
      <c r="AL913" s="261"/>
      <c r="AM913" s="262"/>
    </row>
    <row r="914" spans="1:39" x14ac:dyDescent="0.25">
      <c r="A914" s="215"/>
      <c r="B914" s="215"/>
      <c r="C914" s="215"/>
      <c r="D914" s="239"/>
      <c r="E914" s="239"/>
      <c r="F914" s="239"/>
      <c r="G914" s="239"/>
      <c r="H914" s="239"/>
      <c r="I914" s="257"/>
      <c r="J914" s="240"/>
      <c r="K914" s="240"/>
      <c r="L914" s="240"/>
      <c r="M914" s="240"/>
      <c r="N914" s="240"/>
      <c r="O914" s="258"/>
      <c r="P914" s="224"/>
      <c r="Q914" s="224"/>
      <c r="R914" s="224"/>
      <c r="S914" s="224"/>
      <c r="T914" s="224"/>
      <c r="U914" s="259"/>
      <c r="V914" s="239"/>
      <c r="W914" s="239"/>
      <c r="X914" s="239"/>
      <c r="Y914" s="239"/>
      <c r="Z914" s="239"/>
      <c r="AA914" s="257"/>
      <c r="AB914" s="224"/>
      <c r="AC914" s="224"/>
      <c r="AD914" s="224"/>
      <c r="AE914" s="224"/>
      <c r="AF914" s="224"/>
      <c r="AG914" s="259"/>
      <c r="AH914" s="261"/>
      <c r="AI914" s="261"/>
      <c r="AJ914" s="261"/>
      <c r="AK914" s="261"/>
      <c r="AL914" s="261"/>
      <c r="AM914" s="262"/>
    </row>
    <row r="915" spans="1:39" x14ac:dyDescent="0.25">
      <c r="A915" s="215"/>
      <c r="B915" s="215"/>
      <c r="C915" s="215"/>
      <c r="D915" s="239"/>
      <c r="E915" s="239"/>
      <c r="F915" s="239"/>
      <c r="G915" s="239"/>
      <c r="H915" s="239"/>
      <c r="I915" s="257"/>
      <c r="J915" s="240"/>
      <c r="K915" s="240"/>
      <c r="L915" s="240"/>
      <c r="M915" s="240"/>
      <c r="N915" s="240"/>
      <c r="O915" s="258"/>
      <c r="P915" s="224"/>
      <c r="Q915" s="224"/>
      <c r="R915" s="224"/>
      <c r="S915" s="224"/>
      <c r="T915" s="224"/>
      <c r="U915" s="259"/>
      <c r="V915" s="239"/>
      <c r="W915" s="239"/>
      <c r="X915" s="239"/>
      <c r="Y915" s="239"/>
      <c r="Z915" s="239"/>
      <c r="AA915" s="257"/>
      <c r="AB915" s="224"/>
      <c r="AC915" s="224"/>
      <c r="AD915" s="224"/>
      <c r="AE915" s="224"/>
      <c r="AF915" s="224"/>
      <c r="AG915" s="259"/>
      <c r="AH915" s="261"/>
      <c r="AI915" s="261"/>
      <c r="AJ915" s="261"/>
      <c r="AK915" s="261"/>
      <c r="AL915" s="261"/>
      <c r="AM915" s="262"/>
    </row>
    <row r="916" spans="1:39" x14ac:dyDescent="0.25">
      <c r="A916" s="215"/>
      <c r="B916" s="215"/>
      <c r="C916" s="215"/>
      <c r="D916" s="239"/>
      <c r="E916" s="239"/>
      <c r="F916" s="239"/>
      <c r="G916" s="239"/>
      <c r="H916" s="239"/>
      <c r="I916" s="257"/>
      <c r="J916" s="240"/>
      <c r="K916" s="240"/>
      <c r="L916" s="240"/>
      <c r="M916" s="240"/>
      <c r="N916" s="240"/>
      <c r="O916" s="258"/>
      <c r="P916" s="224"/>
      <c r="Q916" s="224"/>
      <c r="R916" s="224"/>
      <c r="S916" s="224"/>
      <c r="T916" s="224"/>
      <c r="U916" s="259"/>
      <c r="V916" s="239"/>
      <c r="W916" s="239"/>
      <c r="X916" s="239"/>
      <c r="Y916" s="239"/>
      <c r="Z916" s="239"/>
      <c r="AA916" s="257"/>
      <c r="AB916" s="224"/>
      <c r="AC916" s="224"/>
      <c r="AD916" s="224"/>
      <c r="AE916" s="224"/>
      <c r="AF916" s="224"/>
      <c r="AG916" s="259"/>
      <c r="AH916" s="261"/>
      <c r="AI916" s="261"/>
      <c r="AJ916" s="261"/>
      <c r="AK916" s="261"/>
      <c r="AL916" s="261"/>
      <c r="AM916" s="262"/>
    </row>
    <row r="917" spans="1:39" x14ac:dyDescent="0.25">
      <c r="A917" s="215"/>
      <c r="B917" s="215"/>
      <c r="C917" s="215"/>
      <c r="D917" s="239"/>
      <c r="E917" s="239"/>
      <c r="F917" s="239"/>
      <c r="G917" s="239"/>
      <c r="H917" s="239"/>
      <c r="I917" s="257"/>
      <c r="J917" s="240"/>
      <c r="K917" s="240"/>
      <c r="L917" s="240"/>
      <c r="M917" s="240"/>
      <c r="N917" s="240"/>
      <c r="O917" s="258"/>
      <c r="P917" s="224"/>
      <c r="Q917" s="224"/>
      <c r="R917" s="224"/>
      <c r="S917" s="224"/>
      <c r="T917" s="224"/>
      <c r="U917" s="259"/>
      <c r="V917" s="239"/>
      <c r="W917" s="239"/>
      <c r="X917" s="239"/>
      <c r="Y917" s="239"/>
      <c r="Z917" s="239"/>
      <c r="AA917" s="257"/>
      <c r="AB917" s="224"/>
      <c r="AC917" s="224"/>
      <c r="AD917" s="224"/>
      <c r="AE917" s="224"/>
      <c r="AF917" s="224"/>
      <c r="AG917" s="259"/>
      <c r="AH917" s="261"/>
      <c r="AI917" s="261"/>
      <c r="AJ917" s="261"/>
      <c r="AK917" s="261"/>
      <c r="AL917" s="261"/>
      <c r="AM917" s="262"/>
    </row>
    <row r="918" spans="1:39" x14ac:dyDescent="0.25">
      <c r="A918" s="215"/>
      <c r="B918" s="215"/>
      <c r="C918" s="215"/>
      <c r="D918" s="239"/>
      <c r="E918" s="239"/>
      <c r="F918" s="239"/>
      <c r="G918" s="239"/>
      <c r="H918" s="239"/>
      <c r="I918" s="257"/>
      <c r="J918" s="240"/>
      <c r="K918" s="240"/>
      <c r="L918" s="240"/>
      <c r="M918" s="240"/>
      <c r="N918" s="240"/>
      <c r="O918" s="258"/>
      <c r="P918" s="224"/>
      <c r="Q918" s="224"/>
      <c r="R918" s="224"/>
      <c r="S918" s="224"/>
      <c r="T918" s="224"/>
      <c r="U918" s="259"/>
      <c r="V918" s="239"/>
      <c r="W918" s="239"/>
      <c r="X918" s="239"/>
      <c r="Y918" s="239"/>
      <c r="Z918" s="239"/>
      <c r="AA918" s="257"/>
      <c r="AB918" s="224"/>
      <c r="AC918" s="224"/>
      <c r="AD918" s="224"/>
      <c r="AE918" s="224"/>
      <c r="AF918" s="224"/>
      <c r="AG918" s="259"/>
      <c r="AH918" s="261"/>
      <c r="AI918" s="261"/>
      <c r="AJ918" s="261"/>
      <c r="AK918" s="261"/>
      <c r="AL918" s="261"/>
      <c r="AM918" s="262"/>
    </row>
    <row r="919" spans="1:39" x14ac:dyDescent="0.25">
      <c r="A919" s="215"/>
      <c r="B919" s="215"/>
      <c r="C919" s="215"/>
      <c r="D919" s="239"/>
      <c r="E919" s="239"/>
      <c r="F919" s="239"/>
      <c r="G919" s="239"/>
      <c r="H919" s="239"/>
      <c r="I919" s="257"/>
      <c r="J919" s="240"/>
      <c r="K919" s="240"/>
      <c r="L919" s="240"/>
      <c r="M919" s="240"/>
      <c r="N919" s="240"/>
      <c r="O919" s="258"/>
      <c r="P919" s="224"/>
      <c r="Q919" s="224"/>
      <c r="R919" s="224"/>
      <c r="S919" s="224"/>
      <c r="T919" s="224"/>
      <c r="U919" s="259"/>
      <c r="V919" s="239"/>
      <c r="W919" s="239"/>
      <c r="X919" s="239"/>
      <c r="Y919" s="239"/>
      <c r="Z919" s="239"/>
      <c r="AA919" s="257"/>
      <c r="AB919" s="224"/>
      <c r="AC919" s="224"/>
      <c r="AD919" s="224"/>
      <c r="AE919" s="224"/>
      <c r="AF919" s="224"/>
      <c r="AG919" s="259"/>
      <c r="AH919" s="261"/>
      <c r="AI919" s="261"/>
      <c r="AJ919" s="261"/>
      <c r="AK919" s="261"/>
      <c r="AL919" s="261"/>
      <c r="AM919" s="262"/>
    </row>
    <row r="920" spans="1:39" x14ac:dyDescent="0.25">
      <c r="A920" s="215"/>
      <c r="B920" s="215"/>
      <c r="C920" s="215"/>
      <c r="D920" s="239"/>
      <c r="E920" s="239"/>
      <c r="F920" s="239"/>
      <c r="G920" s="239"/>
      <c r="H920" s="239"/>
      <c r="I920" s="257"/>
      <c r="J920" s="240"/>
      <c r="K920" s="240"/>
      <c r="L920" s="240"/>
      <c r="M920" s="240"/>
      <c r="N920" s="240"/>
      <c r="O920" s="258"/>
      <c r="P920" s="224"/>
      <c r="Q920" s="224"/>
      <c r="R920" s="224"/>
      <c r="S920" s="224"/>
      <c r="T920" s="224"/>
      <c r="U920" s="259"/>
      <c r="V920" s="239"/>
      <c r="W920" s="239"/>
      <c r="X920" s="239"/>
      <c r="Y920" s="239"/>
      <c r="Z920" s="239"/>
      <c r="AA920" s="257"/>
      <c r="AB920" s="224"/>
      <c r="AC920" s="224"/>
      <c r="AD920" s="224"/>
      <c r="AE920" s="224"/>
      <c r="AF920" s="224"/>
      <c r="AG920" s="259"/>
      <c r="AH920" s="261"/>
      <c r="AI920" s="261"/>
      <c r="AJ920" s="261"/>
      <c r="AK920" s="261"/>
      <c r="AL920" s="261"/>
      <c r="AM920" s="262"/>
    </row>
    <row r="921" spans="1:39" x14ac:dyDescent="0.25">
      <c r="A921" s="215"/>
      <c r="B921" s="215"/>
      <c r="C921" s="215"/>
      <c r="D921" s="239"/>
      <c r="E921" s="239"/>
      <c r="F921" s="239"/>
      <c r="G921" s="239"/>
      <c r="H921" s="239"/>
      <c r="I921" s="257"/>
      <c r="J921" s="240"/>
      <c r="K921" s="240"/>
      <c r="L921" s="240"/>
      <c r="M921" s="240"/>
      <c r="N921" s="240"/>
      <c r="O921" s="258"/>
      <c r="P921" s="224"/>
      <c r="Q921" s="224"/>
      <c r="R921" s="224"/>
      <c r="S921" s="224"/>
      <c r="T921" s="224"/>
      <c r="U921" s="259"/>
      <c r="V921" s="239"/>
      <c r="W921" s="239"/>
      <c r="X921" s="239"/>
      <c r="Y921" s="239"/>
      <c r="Z921" s="239"/>
      <c r="AA921" s="257"/>
      <c r="AB921" s="224"/>
      <c r="AC921" s="224"/>
      <c r="AD921" s="224"/>
      <c r="AE921" s="224"/>
      <c r="AF921" s="224"/>
      <c r="AG921" s="259"/>
      <c r="AH921" s="261"/>
      <c r="AI921" s="261"/>
      <c r="AJ921" s="261"/>
      <c r="AK921" s="261"/>
      <c r="AL921" s="261"/>
      <c r="AM921" s="262"/>
    </row>
    <row r="922" spans="1:39" x14ac:dyDescent="0.25">
      <c r="A922" s="215"/>
      <c r="B922" s="215"/>
      <c r="C922" s="215"/>
      <c r="D922" s="239"/>
      <c r="E922" s="239"/>
      <c r="F922" s="239"/>
      <c r="G922" s="239"/>
      <c r="H922" s="239"/>
      <c r="I922" s="257"/>
      <c r="J922" s="240"/>
      <c r="K922" s="240"/>
      <c r="L922" s="240"/>
      <c r="M922" s="240"/>
      <c r="N922" s="240"/>
      <c r="O922" s="258"/>
      <c r="P922" s="224"/>
      <c r="Q922" s="224"/>
      <c r="R922" s="224"/>
      <c r="S922" s="224"/>
      <c r="T922" s="224"/>
      <c r="U922" s="259"/>
      <c r="V922" s="239"/>
      <c r="W922" s="239"/>
      <c r="X922" s="239"/>
      <c r="Y922" s="239"/>
      <c r="Z922" s="239"/>
      <c r="AA922" s="257"/>
      <c r="AB922" s="224"/>
      <c r="AC922" s="224"/>
      <c r="AD922" s="224"/>
      <c r="AE922" s="224"/>
      <c r="AF922" s="224"/>
      <c r="AG922" s="259"/>
      <c r="AH922" s="261"/>
      <c r="AI922" s="261"/>
      <c r="AJ922" s="261"/>
      <c r="AK922" s="261"/>
      <c r="AL922" s="261"/>
      <c r="AM922" s="262"/>
    </row>
    <row r="923" spans="1:39" x14ac:dyDescent="0.25">
      <c r="A923" s="215"/>
      <c r="B923" s="215"/>
      <c r="C923" s="215"/>
      <c r="D923" s="239"/>
      <c r="E923" s="239"/>
      <c r="F923" s="239"/>
      <c r="G923" s="239"/>
      <c r="H923" s="239"/>
      <c r="I923" s="257"/>
      <c r="J923" s="240"/>
      <c r="K923" s="240"/>
      <c r="L923" s="240"/>
      <c r="M923" s="240"/>
      <c r="N923" s="240"/>
      <c r="O923" s="258"/>
      <c r="P923" s="224"/>
      <c r="Q923" s="224"/>
      <c r="R923" s="224"/>
      <c r="S923" s="224"/>
      <c r="T923" s="224"/>
      <c r="U923" s="259"/>
      <c r="V923" s="239"/>
      <c r="W923" s="239"/>
      <c r="X923" s="239"/>
      <c r="Y923" s="239"/>
      <c r="Z923" s="239"/>
      <c r="AA923" s="257"/>
      <c r="AB923" s="224"/>
      <c r="AC923" s="224"/>
      <c r="AD923" s="224"/>
      <c r="AE923" s="224"/>
      <c r="AF923" s="224"/>
      <c r="AG923" s="259"/>
      <c r="AH923" s="261"/>
      <c r="AI923" s="261"/>
      <c r="AJ923" s="261"/>
      <c r="AK923" s="261"/>
      <c r="AL923" s="261"/>
      <c r="AM923" s="262"/>
    </row>
    <row r="924" spans="1:39" x14ac:dyDescent="0.25">
      <c r="A924" s="215"/>
      <c r="B924" s="215"/>
      <c r="C924" s="215"/>
      <c r="D924" s="239"/>
      <c r="E924" s="239"/>
      <c r="F924" s="239"/>
      <c r="G924" s="239"/>
      <c r="H924" s="239"/>
      <c r="I924" s="257"/>
      <c r="J924" s="240"/>
      <c r="K924" s="240"/>
      <c r="L924" s="240"/>
      <c r="M924" s="240"/>
      <c r="N924" s="240"/>
      <c r="O924" s="258"/>
      <c r="P924" s="224"/>
      <c r="Q924" s="224"/>
      <c r="R924" s="224"/>
      <c r="S924" s="224"/>
      <c r="T924" s="224"/>
      <c r="U924" s="259"/>
      <c r="V924" s="239"/>
      <c r="W924" s="239"/>
      <c r="X924" s="239"/>
      <c r="Y924" s="239"/>
      <c r="Z924" s="239"/>
      <c r="AA924" s="257"/>
      <c r="AB924" s="224"/>
      <c r="AC924" s="224"/>
      <c r="AD924" s="224"/>
      <c r="AE924" s="224"/>
      <c r="AF924" s="224"/>
      <c r="AG924" s="259"/>
      <c r="AH924" s="261"/>
      <c r="AI924" s="261"/>
      <c r="AJ924" s="261"/>
      <c r="AK924" s="261"/>
      <c r="AL924" s="261"/>
      <c r="AM924" s="262"/>
    </row>
    <row r="925" spans="1:39" x14ac:dyDescent="0.25">
      <c r="A925" s="215"/>
      <c r="B925" s="215"/>
      <c r="C925" s="215"/>
      <c r="D925" s="239"/>
      <c r="E925" s="239"/>
      <c r="F925" s="239"/>
      <c r="G925" s="239"/>
      <c r="H925" s="239"/>
      <c r="I925" s="257"/>
      <c r="J925" s="240"/>
      <c r="K925" s="240"/>
      <c r="L925" s="240"/>
      <c r="M925" s="240"/>
      <c r="N925" s="240"/>
      <c r="O925" s="258"/>
      <c r="P925" s="224"/>
      <c r="Q925" s="224"/>
      <c r="R925" s="224"/>
      <c r="S925" s="224"/>
      <c r="T925" s="224"/>
      <c r="U925" s="259"/>
      <c r="V925" s="239"/>
      <c r="W925" s="239"/>
      <c r="X925" s="239"/>
      <c r="Y925" s="239"/>
      <c r="Z925" s="239"/>
      <c r="AA925" s="257"/>
      <c r="AB925" s="224"/>
      <c r="AC925" s="224"/>
      <c r="AD925" s="224"/>
      <c r="AE925" s="224"/>
      <c r="AF925" s="224"/>
      <c r="AG925" s="259"/>
      <c r="AH925" s="261"/>
      <c r="AI925" s="261"/>
      <c r="AJ925" s="261"/>
      <c r="AK925" s="261"/>
      <c r="AL925" s="261"/>
      <c r="AM925" s="262"/>
    </row>
    <row r="926" spans="1:39" x14ac:dyDescent="0.25">
      <c r="A926" s="215"/>
      <c r="B926" s="215"/>
      <c r="C926" s="215"/>
      <c r="D926" s="239"/>
      <c r="E926" s="239"/>
      <c r="F926" s="239"/>
      <c r="G926" s="239"/>
      <c r="H926" s="239"/>
      <c r="I926" s="257"/>
      <c r="J926" s="240"/>
      <c r="K926" s="240"/>
      <c r="L926" s="240"/>
      <c r="M926" s="240"/>
      <c r="N926" s="240"/>
      <c r="O926" s="258"/>
      <c r="P926" s="224"/>
      <c r="Q926" s="224"/>
      <c r="R926" s="224"/>
      <c r="S926" s="224"/>
      <c r="T926" s="224"/>
      <c r="U926" s="259"/>
      <c r="V926" s="239"/>
      <c r="W926" s="239"/>
      <c r="X926" s="239"/>
      <c r="Y926" s="239"/>
      <c r="Z926" s="239"/>
      <c r="AA926" s="257"/>
      <c r="AB926" s="224"/>
      <c r="AC926" s="224"/>
      <c r="AD926" s="224"/>
      <c r="AE926" s="224"/>
      <c r="AF926" s="224"/>
      <c r="AG926" s="259"/>
      <c r="AH926" s="261"/>
      <c r="AI926" s="261"/>
      <c r="AJ926" s="261"/>
      <c r="AK926" s="261"/>
      <c r="AL926" s="261"/>
      <c r="AM926" s="262"/>
    </row>
    <row r="927" spans="1:39" x14ac:dyDescent="0.25">
      <c r="A927" s="215"/>
      <c r="B927" s="215"/>
      <c r="C927" s="215"/>
      <c r="D927" s="239"/>
      <c r="E927" s="239"/>
      <c r="F927" s="239"/>
      <c r="G927" s="239"/>
      <c r="H927" s="239"/>
      <c r="I927" s="257"/>
      <c r="J927" s="240"/>
      <c r="K927" s="240"/>
      <c r="L927" s="240"/>
      <c r="M927" s="240"/>
      <c r="N927" s="240"/>
      <c r="O927" s="258"/>
      <c r="P927" s="224"/>
      <c r="Q927" s="224"/>
      <c r="R927" s="224"/>
      <c r="S927" s="224"/>
      <c r="T927" s="224"/>
      <c r="U927" s="259"/>
      <c r="V927" s="239"/>
      <c r="W927" s="239"/>
      <c r="X927" s="239"/>
      <c r="Y927" s="239"/>
      <c r="Z927" s="239"/>
      <c r="AA927" s="257"/>
      <c r="AB927" s="224"/>
      <c r="AC927" s="224"/>
      <c r="AD927" s="224"/>
      <c r="AE927" s="224"/>
      <c r="AF927" s="224"/>
      <c r="AG927" s="259"/>
      <c r="AH927" s="261"/>
      <c r="AI927" s="261"/>
      <c r="AJ927" s="261"/>
      <c r="AK927" s="261"/>
      <c r="AL927" s="261"/>
      <c r="AM927" s="262"/>
    </row>
    <row r="928" spans="1:39" x14ac:dyDescent="0.25">
      <c r="A928" s="215"/>
      <c r="B928" s="215"/>
      <c r="C928" s="215"/>
      <c r="D928" s="239"/>
      <c r="E928" s="239"/>
      <c r="F928" s="239"/>
      <c r="G928" s="239"/>
      <c r="H928" s="239"/>
      <c r="I928" s="257"/>
      <c r="J928" s="240"/>
      <c r="K928" s="240"/>
      <c r="L928" s="240"/>
      <c r="M928" s="240"/>
      <c r="N928" s="240"/>
      <c r="O928" s="258"/>
      <c r="P928" s="224"/>
      <c r="Q928" s="224"/>
      <c r="R928" s="224"/>
      <c r="S928" s="224"/>
      <c r="T928" s="224"/>
      <c r="U928" s="259"/>
      <c r="V928" s="239"/>
      <c r="W928" s="239"/>
      <c r="X928" s="239"/>
      <c r="Y928" s="239"/>
      <c r="Z928" s="239"/>
      <c r="AA928" s="257"/>
      <c r="AB928" s="224"/>
      <c r="AC928" s="224"/>
      <c r="AD928" s="224"/>
      <c r="AE928" s="224"/>
      <c r="AF928" s="224"/>
      <c r="AG928" s="259"/>
      <c r="AH928" s="261"/>
      <c r="AI928" s="261"/>
      <c r="AJ928" s="261"/>
      <c r="AK928" s="261"/>
      <c r="AL928" s="261"/>
      <c r="AM928" s="262"/>
    </row>
    <row r="929" spans="1:39" x14ac:dyDescent="0.25">
      <c r="A929" s="215"/>
      <c r="B929" s="215"/>
      <c r="C929" s="215"/>
      <c r="D929" s="239"/>
      <c r="E929" s="239"/>
      <c r="F929" s="239"/>
      <c r="G929" s="239"/>
      <c r="H929" s="239"/>
      <c r="I929" s="257"/>
      <c r="J929" s="240"/>
      <c r="K929" s="240"/>
      <c r="L929" s="240"/>
      <c r="M929" s="240"/>
      <c r="N929" s="240"/>
      <c r="O929" s="258"/>
      <c r="P929" s="224"/>
      <c r="Q929" s="224"/>
      <c r="R929" s="224"/>
      <c r="S929" s="224"/>
      <c r="T929" s="224"/>
      <c r="U929" s="259"/>
      <c r="V929" s="239"/>
      <c r="W929" s="239"/>
      <c r="X929" s="239"/>
      <c r="Y929" s="239"/>
      <c r="Z929" s="239"/>
      <c r="AA929" s="257"/>
      <c r="AB929" s="224"/>
      <c r="AC929" s="224"/>
      <c r="AD929" s="224"/>
      <c r="AE929" s="224"/>
      <c r="AF929" s="224"/>
      <c r="AG929" s="259"/>
      <c r="AH929" s="261"/>
      <c r="AI929" s="261"/>
      <c r="AJ929" s="261"/>
      <c r="AK929" s="261"/>
      <c r="AL929" s="261"/>
      <c r="AM929" s="262"/>
    </row>
    <row r="930" spans="1:39" x14ac:dyDescent="0.25">
      <c r="A930" s="215"/>
      <c r="B930" s="215"/>
      <c r="C930" s="215"/>
      <c r="D930" s="239"/>
      <c r="E930" s="239"/>
      <c r="F930" s="239"/>
      <c r="G930" s="239"/>
      <c r="H930" s="239"/>
      <c r="I930" s="257"/>
      <c r="J930" s="240"/>
      <c r="K930" s="240"/>
      <c r="L930" s="240"/>
      <c r="M930" s="240"/>
      <c r="N930" s="240"/>
      <c r="O930" s="258"/>
      <c r="P930" s="224"/>
      <c r="Q930" s="224"/>
      <c r="R930" s="224"/>
      <c r="S930" s="224"/>
      <c r="T930" s="224"/>
      <c r="U930" s="259"/>
      <c r="V930" s="239"/>
      <c r="W930" s="239"/>
      <c r="X930" s="239"/>
      <c r="Y930" s="239"/>
      <c r="Z930" s="239"/>
      <c r="AA930" s="257"/>
      <c r="AB930" s="224"/>
      <c r="AC930" s="224"/>
      <c r="AD930" s="224"/>
      <c r="AE930" s="224"/>
      <c r="AF930" s="224"/>
      <c r="AG930" s="259"/>
      <c r="AH930" s="261"/>
      <c r="AI930" s="261"/>
      <c r="AJ930" s="261"/>
      <c r="AK930" s="261"/>
      <c r="AL930" s="261"/>
      <c r="AM930" s="262"/>
    </row>
    <row r="931" spans="1:39" x14ac:dyDescent="0.25">
      <c r="A931" s="215"/>
      <c r="B931" s="215"/>
      <c r="C931" s="215"/>
      <c r="D931" s="239"/>
      <c r="E931" s="239"/>
      <c r="F931" s="239"/>
      <c r="G931" s="239"/>
      <c r="H931" s="239"/>
      <c r="I931" s="257"/>
      <c r="J931" s="240"/>
      <c r="K931" s="240"/>
      <c r="L931" s="240"/>
      <c r="M931" s="240"/>
      <c r="N931" s="240"/>
      <c r="O931" s="258"/>
      <c r="P931" s="224"/>
      <c r="Q931" s="224"/>
      <c r="R931" s="224"/>
      <c r="S931" s="224"/>
      <c r="T931" s="224"/>
      <c r="U931" s="259"/>
      <c r="V931" s="239"/>
      <c r="W931" s="239"/>
      <c r="X931" s="239"/>
      <c r="Y931" s="239"/>
      <c r="Z931" s="239"/>
      <c r="AA931" s="257"/>
      <c r="AB931" s="224"/>
      <c r="AC931" s="224"/>
      <c r="AD931" s="224"/>
      <c r="AE931" s="224"/>
      <c r="AF931" s="224"/>
      <c r="AG931" s="259"/>
      <c r="AH931" s="261"/>
      <c r="AI931" s="261"/>
      <c r="AJ931" s="261"/>
      <c r="AK931" s="261"/>
      <c r="AL931" s="261"/>
      <c r="AM931" s="262"/>
    </row>
    <row r="932" spans="1:39" x14ac:dyDescent="0.25">
      <c r="A932" s="215"/>
      <c r="B932" s="215"/>
      <c r="C932" s="215"/>
      <c r="D932" s="239"/>
      <c r="E932" s="239"/>
      <c r="F932" s="239"/>
      <c r="G932" s="239"/>
      <c r="H932" s="239"/>
      <c r="I932" s="257"/>
      <c r="J932" s="240"/>
      <c r="K932" s="240"/>
      <c r="L932" s="240"/>
      <c r="M932" s="240"/>
      <c r="N932" s="240"/>
      <c r="O932" s="258"/>
      <c r="P932" s="224"/>
      <c r="Q932" s="224"/>
      <c r="R932" s="224"/>
      <c r="S932" s="224"/>
      <c r="T932" s="224"/>
      <c r="U932" s="259"/>
      <c r="V932" s="239"/>
      <c r="W932" s="239"/>
      <c r="X932" s="239"/>
      <c r="Y932" s="239"/>
      <c r="Z932" s="239"/>
      <c r="AA932" s="257"/>
      <c r="AB932" s="224"/>
      <c r="AC932" s="224"/>
      <c r="AD932" s="224"/>
      <c r="AE932" s="224"/>
      <c r="AF932" s="224"/>
      <c r="AG932" s="259"/>
      <c r="AH932" s="261"/>
      <c r="AI932" s="261"/>
      <c r="AJ932" s="261"/>
      <c r="AK932" s="261"/>
      <c r="AL932" s="261"/>
      <c r="AM932" s="262"/>
    </row>
    <row r="933" spans="1:39" x14ac:dyDescent="0.25">
      <c r="A933" s="215"/>
      <c r="B933" s="215"/>
      <c r="C933" s="215"/>
      <c r="D933" s="239"/>
      <c r="E933" s="239"/>
      <c r="F933" s="239"/>
      <c r="G933" s="239"/>
      <c r="H933" s="239"/>
      <c r="I933" s="257"/>
      <c r="J933" s="240"/>
      <c r="K933" s="240"/>
      <c r="L933" s="240"/>
      <c r="M933" s="240"/>
      <c r="N933" s="240"/>
      <c r="O933" s="258"/>
      <c r="P933" s="224"/>
      <c r="Q933" s="224"/>
      <c r="R933" s="224"/>
      <c r="S933" s="224"/>
      <c r="T933" s="224"/>
      <c r="U933" s="259"/>
      <c r="V933" s="239"/>
      <c r="W933" s="239"/>
      <c r="X933" s="239"/>
      <c r="Y933" s="239"/>
      <c r="Z933" s="239"/>
      <c r="AA933" s="257"/>
      <c r="AB933" s="224"/>
      <c r="AC933" s="224"/>
      <c r="AD933" s="224"/>
      <c r="AE933" s="224"/>
      <c r="AF933" s="224"/>
      <c r="AG933" s="259"/>
      <c r="AH933" s="261"/>
      <c r="AI933" s="261"/>
      <c r="AJ933" s="261"/>
      <c r="AK933" s="261"/>
      <c r="AL933" s="261"/>
      <c r="AM933" s="262"/>
    </row>
    <row r="934" spans="1:39" x14ac:dyDescent="0.25">
      <c r="A934" s="215"/>
      <c r="B934" s="215"/>
      <c r="C934" s="215"/>
      <c r="D934" s="239"/>
      <c r="E934" s="239"/>
      <c r="F934" s="239"/>
      <c r="G934" s="239"/>
      <c r="H934" s="239"/>
      <c r="I934" s="257"/>
      <c r="J934" s="240"/>
      <c r="K934" s="240"/>
      <c r="L934" s="240"/>
      <c r="M934" s="240"/>
      <c r="N934" s="240"/>
      <c r="O934" s="258"/>
      <c r="P934" s="224"/>
      <c r="Q934" s="224"/>
      <c r="R934" s="224"/>
      <c r="S934" s="224"/>
      <c r="T934" s="224"/>
      <c r="U934" s="259"/>
      <c r="V934" s="239"/>
      <c r="W934" s="239"/>
      <c r="X934" s="239"/>
      <c r="Y934" s="239"/>
      <c r="Z934" s="239"/>
      <c r="AA934" s="257"/>
      <c r="AB934" s="224"/>
      <c r="AC934" s="224"/>
      <c r="AD934" s="224"/>
      <c r="AE934" s="224"/>
      <c r="AF934" s="224"/>
      <c r="AG934" s="259"/>
      <c r="AH934" s="261"/>
      <c r="AI934" s="261"/>
      <c r="AJ934" s="261"/>
      <c r="AK934" s="261"/>
      <c r="AL934" s="261"/>
      <c r="AM934" s="262"/>
    </row>
    <row r="935" spans="1:39" x14ac:dyDescent="0.25">
      <c r="A935" s="215"/>
      <c r="B935" s="215"/>
      <c r="C935" s="215"/>
      <c r="D935" s="239"/>
      <c r="E935" s="239"/>
      <c r="F935" s="239"/>
      <c r="G935" s="239"/>
      <c r="H935" s="239"/>
      <c r="I935" s="257"/>
      <c r="J935" s="240"/>
      <c r="K935" s="240"/>
      <c r="L935" s="240"/>
      <c r="M935" s="240"/>
      <c r="N935" s="240"/>
      <c r="O935" s="258"/>
      <c r="P935" s="224"/>
      <c r="Q935" s="224"/>
      <c r="R935" s="224"/>
      <c r="S935" s="224"/>
      <c r="T935" s="224"/>
      <c r="U935" s="259"/>
      <c r="V935" s="239"/>
      <c r="W935" s="239"/>
      <c r="X935" s="239"/>
      <c r="Y935" s="239"/>
      <c r="Z935" s="239"/>
      <c r="AA935" s="257"/>
      <c r="AB935" s="224"/>
      <c r="AC935" s="224"/>
      <c r="AD935" s="224"/>
      <c r="AE935" s="224"/>
      <c r="AF935" s="224"/>
      <c r="AG935" s="259"/>
      <c r="AH935" s="261"/>
      <c r="AI935" s="261"/>
      <c r="AJ935" s="261"/>
      <c r="AK935" s="261"/>
      <c r="AL935" s="261"/>
      <c r="AM935" s="262"/>
    </row>
    <row r="936" spans="1:39" x14ac:dyDescent="0.25">
      <c r="A936" s="215"/>
      <c r="B936" s="215"/>
      <c r="C936" s="215"/>
      <c r="D936" s="239"/>
      <c r="E936" s="239"/>
      <c r="F936" s="239"/>
      <c r="G936" s="239"/>
      <c r="H936" s="239"/>
      <c r="I936" s="257"/>
      <c r="J936" s="240"/>
      <c r="K936" s="240"/>
      <c r="L936" s="240"/>
      <c r="M936" s="240"/>
      <c r="N936" s="240"/>
      <c r="O936" s="258"/>
      <c r="P936" s="224"/>
      <c r="Q936" s="224"/>
      <c r="R936" s="224"/>
      <c r="S936" s="224"/>
      <c r="T936" s="224"/>
      <c r="U936" s="259"/>
      <c r="V936" s="239"/>
      <c r="W936" s="239"/>
      <c r="X936" s="239"/>
      <c r="Y936" s="239"/>
      <c r="Z936" s="239"/>
      <c r="AA936" s="257"/>
      <c r="AB936" s="224"/>
      <c r="AC936" s="224"/>
      <c r="AD936" s="224"/>
      <c r="AE936" s="224"/>
      <c r="AF936" s="224"/>
      <c r="AG936" s="259"/>
      <c r="AH936" s="261"/>
      <c r="AI936" s="261"/>
      <c r="AJ936" s="261"/>
      <c r="AK936" s="261"/>
      <c r="AL936" s="261"/>
      <c r="AM936" s="262"/>
    </row>
    <row r="937" spans="1:39" x14ac:dyDescent="0.25">
      <c r="A937" s="215"/>
      <c r="B937" s="215"/>
      <c r="C937" s="215"/>
      <c r="D937" s="239"/>
      <c r="E937" s="239"/>
      <c r="F937" s="239"/>
      <c r="G937" s="239"/>
      <c r="H937" s="239"/>
      <c r="I937" s="257"/>
      <c r="J937" s="240"/>
      <c r="K937" s="240"/>
      <c r="L937" s="240"/>
      <c r="M937" s="240"/>
      <c r="N937" s="240"/>
      <c r="O937" s="258"/>
      <c r="P937" s="224"/>
      <c r="Q937" s="224"/>
      <c r="R937" s="224"/>
      <c r="S937" s="224"/>
      <c r="T937" s="224"/>
      <c r="U937" s="259"/>
      <c r="V937" s="239"/>
      <c r="W937" s="239"/>
      <c r="X937" s="239"/>
      <c r="Y937" s="239"/>
      <c r="Z937" s="239"/>
      <c r="AA937" s="257"/>
      <c r="AB937" s="224"/>
      <c r="AC937" s="224"/>
      <c r="AD937" s="224"/>
      <c r="AE937" s="224"/>
      <c r="AF937" s="224"/>
      <c r="AG937" s="259"/>
      <c r="AH937" s="261"/>
      <c r="AI937" s="261"/>
      <c r="AJ937" s="261"/>
      <c r="AK937" s="261"/>
      <c r="AL937" s="261"/>
      <c r="AM937" s="262"/>
    </row>
    <row r="938" spans="1:39" x14ac:dyDescent="0.25">
      <c r="A938" s="215"/>
      <c r="B938" s="215"/>
      <c r="C938" s="215"/>
      <c r="D938" s="239"/>
      <c r="E938" s="239"/>
      <c r="F938" s="239"/>
      <c r="G938" s="239"/>
      <c r="H938" s="239"/>
      <c r="I938" s="257"/>
      <c r="J938" s="240"/>
      <c r="K938" s="240"/>
      <c r="L938" s="240"/>
      <c r="M938" s="240"/>
      <c r="N938" s="240"/>
      <c r="O938" s="258"/>
      <c r="P938" s="224"/>
      <c r="Q938" s="224"/>
      <c r="R938" s="224"/>
      <c r="S938" s="224"/>
      <c r="T938" s="224"/>
      <c r="U938" s="259"/>
      <c r="V938" s="239"/>
      <c r="W938" s="239"/>
      <c r="X938" s="239"/>
      <c r="Y938" s="239"/>
      <c r="Z938" s="239"/>
      <c r="AA938" s="257"/>
      <c r="AB938" s="224"/>
      <c r="AC938" s="224"/>
      <c r="AD938" s="224"/>
      <c r="AE938" s="224"/>
      <c r="AF938" s="224"/>
      <c r="AG938" s="259"/>
      <c r="AH938" s="261"/>
      <c r="AI938" s="261"/>
      <c r="AJ938" s="261"/>
      <c r="AK938" s="261"/>
      <c r="AL938" s="261"/>
      <c r="AM938" s="262"/>
    </row>
    <row r="939" spans="1:39" x14ac:dyDescent="0.25">
      <c r="A939" s="215"/>
      <c r="B939" s="215"/>
      <c r="C939" s="215"/>
      <c r="D939" s="239"/>
      <c r="E939" s="239"/>
      <c r="F939" s="239"/>
      <c r="G939" s="239"/>
      <c r="H939" s="239"/>
      <c r="I939" s="257"/>
      <c r="J939" s="240"/>
      <c r="K939" s="240"/>
      <c r="L939" s="240"/>
      <c r="M939" s="240"/>
      <c r="N939" s="240"/>
      <c r="O939" s="258"/>
      <c r="P939" s="224"/>
      <c r="Q939" s="224"/>
      <c r="R939" s="224"/>
      <c r="S939" s="224"/>
      <c r="T939" s="224"/>
      <c r="U939" s="259"/>
      <c r="V939" s="239"/>
      <c r="W939" s="239"/>
      <c r="X939" s="239"/>
      <c r="Y939" s="239"/>
      <c r="Z939" s="239"/>
      <c r="AA939" s="257"/>
      <c r="AB939" s="224"/>
      <c r="AC939" s="224"/>
      <c r="AD939" s="224"/>
      <c r="AE939" s="224"/>
      <c r="AF939" s="224"/>
      <c r="AG939" s="259"/>
      <c r="AH939" s="261"/>
      <c r="AI939" s="261"/>
      <c r="AJ939" s="261"/>
      <c r="AK939" s="261"/>
      <c r="AL939" s="261"/>
      <c r="AM939" s="262"/>
    </row>
    <row r="940" spans="1:39" x14ac:dyDescent="0.25">
      <c r="A940" s="215"/>
      <c r="B940" s="215"/>
      <c r="C940" s="215"/>
      <c r="D940" s="239"/>
      <c r="E940" s="239"/>
      <c r="F940" s="239"/>
      <c r="G940" s="239"/>
      <c r="H940" s="239"/>
      <c r="I940" s="257"/>
      <c r="J940" s="240"/>
      <c r="K940" s="240"/>
      <c r="L940" s="240"/>
      <c r="M940" s="240"/>
      <c r="N940" s="240"/>
      <c r="O940" s="258"/>
      <c r="P940" s="224"/>
      <c r="Q940" s="224"/>
      <c r="R940" s="224"/>
      <c r="S940" s="224"/>
      <c r="T940" s="224"/>
      <c r="U940" s="259"/>
      <c r="V940" s="239"/>
      <c r="W940" s="239"/>
      <c r="X940" s="239"/>
      <c r="Y940" s="239"/>
      <c r="Z940" s="239"/>
      <c r="AA940" s="257"/>
      <c r="AB940" s="224"/>
      <c r="AC940" s="224"/>
      <c r="AD940" s="224"/>
      <c r="AE940" s="224"/>
      <c r="AF940" s="224"/>
      <c r="AG940" s="259"/>
      <c r="AH940" s="261"/>
      <c r="AI940" s="261"/>
      <c r="AJ940" s="261"/>
      <c r="AK940" s="261"/>
      <c r="AL940" s="261"/>
      <c r="AM940" s="262"/>
    </row>
    <row r="941" spans="1:39" x14ac:dyDescent="0.25">
      <c r="A941" s="215"/>
      <c r="B941" s="215"/>
      <c r="C941" s="215"/>
      <c r="D941" s="239"/>
      <c r="E941" s="239"/>
      <c r="F941" s="239"/>
      <c r="G941" s="239"/>
      <c r="H941" s="239"/>
      <c r="I941" s="257"/>
      <c r="J941" s="240"/>
      <c r="K941" s="240"/>
      <c r="L941" s="240"/>
      <c r="M941" s="240"/>
      <c r="N941" s="240"/>
      <c r="O941" s="258"/>
      <c r="P941" s="224"/>
      <c r="Q941" s="224"/>
      <c r="R941" s="224"/>
      <c r="S941" s="224"/>
      <c r="T941" s="224"/>
      <c r="U941" s="259"/>
      <c r="V941" s="239"/>
      <c r="W941" s="239"/>
      <c r="X941" s="239"/>
      <c r="Y941" s="239"/>
      <c r="Z941" s="239"/>
      <c r="AA941" s="257"/>
      <c r="AB941" s="224"/>
      <c r="AC941" s="224"/>
      <c r="AD941" s="224"/>
      <c r="AE941" s="224"/>
      <c r="AF941" s="224"/>
      <c r="AG941" s="259"/>
      <c r="AH941" s="261"/>
      <c r="AI941" s="261"/>
      <c r="AJ941" s="261"/>
      <c r="AK941" s="261"/>
      <c r="AL941" s="261"/>
      <c r="AM941" s="262"/>
    </row>
    <row r="942" spans="1:39" x14ac:dyDescent="0.25">
      <c r="A942" s="215"/>
      <c r="B942" s="215"/>
      <c r="C942" s="215"/>
      <c r="D942" s="239"/>
      <c r="E942" s="239"/>
      <c r="F942" s="239"/>
      <c r="G942" s="239"/>
      <c r="H942" s="239"/>
      <c r="I942" s="257"/>
      <c r="J942" s="240"/>
      <c r="K942" s="240"/>
      <c r="L942" s="240"/>
      <c r="M942" s="240"/>
      <c r="N942" s="240"/>
      <c r="O942" s="258"/>
      <c r="P942" s="224"/>
      <c r="Q942" s="224"/>
      <c r="R942" s="224"/>
      <c r="S942" s="224"/>
      <c r="T942" s="224"/>
      <c r="U942" s="259"/>
      <c r="V942" s="239"/>
      <c r="W942" s="239"/>
      <c r="X942" s="239"/>
      <c r="Y942" s="239"/>
      <c r="Z942" s="239"/>
      <c r="AA942" s="257"/>
      <c r="AB942" s="224"/>
      <c r="AC942" s="224"/>
      <c r="AD942" s="224"/>
      <c r="AE942" s="224"/>
      <c r="AF942" s="224"/>
      <c r="AG942" s="259"/>
      <c r="AH942" s="261"/>
      <c r="AI942" s="261"/>
      <c r="AJ942" s="261"/>
      <c r="AK942" s="261"/>
      <c r="AL942" s="261"/>
      <c r="AM942" s="262"/>
    </row>
    <row r="943" spans="1:39" x14ac:dyDescent="0.25">
      <c r="A943" s="215"/>
      <c r="B943" s="215"/>
      <c r="C943" s="215"/>
      <c r="D943" s="239"/>
      <c r="E943" s="239"/>
      <c r="F943" s="239"/>
      <c r="G943" s="239"/>
      <c r="H943" s="239"/>
      <c r="I943" s="257"/>
      <c r="J943" s="240"/>
      <c r="K943" s="240"/>
      <c r="L943" s="240"/>
      <c r="M943" s="240"/>
      <c r="N943" s="240"/>
      <c r="O943" s="258"/>
      <c r="P943" s="224"/>
      <c r="Q943" s="224"/>
      <c r="R943" s="224"/>
      <c r="S943" s="224"/>
      <c r="T943" s="224"/>
      <c r="U943" s="259"/>
      <c r="V943" s="239"/>
      <c r="W943" s="239"/>
      <c r="X943" s="239"/>
      <c r="Y943" s="239"/>
      <c r="Z943" s="239"/>
      <c r="AA943" s="257"/>
      <c r="AB943" s="224"/>
      <c r="AC943" s="224"/>
      <c r="AD943" s="224"/>
      <c r="AE943" s="224"/>
      <c r="AF943" s="224"/>
      <c r="AG943" s="259"/>
      <c r="AH943" s="261"/>
      <c r="AI943" s="261"/>
      <c r="AJ943" s="261"/>
      <c r="AK943" s="261"/>
      <c r="AL943" s="261"/>
      <c r="AM943" s="262"/>
    </row>
    <row r="944" spans="1:39" x14ac:dyDescent="0.25">
      <c r="A944" s="215"/>
      <c r="B944" s="215"/>
      <c r="C944" s="215"/>
      <c r="D944" s="239"/>
      <c r="E944" s="239"/>
      <c r="F944" s="239"/>
      <c r="G944" s="239"/>
      <c r="H944" s="239"/>
      <c r="I944" s="257"/>
      <c r="J944" s="240"/>
      <c r="K944" s="240"/>
      <c r="L944" s="240"/>
      <c r="M944" s="240"/>
      <c r="N944" s="240"/>
      <c r="O944" s="258"/>
      <c r="P944" s="224"/>
      <c r="Q944" s="224"/>
      <c r="R944" s="224"/>
      <c r="S944" s="224"/>
      <c r="T944" s="224"/>
      <c r="U944" s="259"/>
      <c r="V944" s="239"/>
      <c r="W944" s="239"/>
      <c r="X944" s="239"/>
      <c r="Y944" s="239"/>
      <c r="Z944" s="239"/>
      <c r="AA944" s="257"/>
      <c r="AB944" s="224"/>
      <c r="AC944" s="224"/>
      <c r="AD944" s="224"/>
      <c r="AE944" s="224"/>
      <c r="AF944" s="224"/>
      <c r="AG944" s="259"/>
      <c r="AH944" s="261"/>
      <c r="AI944" s="261"/>
      <c r="AJ944" s="261"/>
      <c r="AK944" s="261"/>
      <c r="AL944" s="261"/>
      <c r="AM944" s="262"/>
    </row>
    <row r="945" spans="1:39" x14ac:dyDescent="0.25">
      <c r="A945" s="215"/>
      <c r="B945" s="215"/>
      <c r="C945" s="215"/>
      <c r="D945" s="239"/>
      <c r="E945" s="239"/>
      <c r="F945" s="239"/>
      <c r="G945" s="239"/>
      <c r="H945" s="239"/>
      <c r="I945" s="257"/>
      <c r="J945" s="240"/>
      <c r="K945" s="240"/>
      <c r="L945" s="240"/>
      <c r="M945" s="240"/>
      <c r="N945" s="240"/>
      <c r="O945" s="258"/>
      <c r="P945" s="224"/>
      <c r="Q945" s="224"/>
      <c r="R945" s="224"/>
      <c r="S945" s="224"/>
      <c r="T945" s="224"/>
      <c r="U945" s="259"/>
      <c r="V945" s="239"/>
      <c r="W945" s="239"/>
      <c r="X945" s="239"/>
      <c r="Y945" s="239"/>
      <c r="Z945" s="239"/>
      <c r="AA945" s="257"/>
      <c r="AB945" s="224"/>
      <c r="AC945" s="224"/>
      <c r="AD945" s="224"/>
      <c r="AE945" s="224"/>
      <c r="AF945" s="224"/>
      <c r="AG945" s="259"/>
      <c r="AH945" s="261"/>
      <c r="AI945" s="261"/>
      <c r="AJ945" s="261"/>
      <c r="AK945" s="261"/>
      <c r="AL945" s="261"/>
      <c r="AM945" s="262"/>
    </row>
    <row r="946" spans="1:39" x14ac:dyDescent="0.25">
      <c r="A946" s="215"/>
      <c r="B946" s="215"/>
      <c r="C946" s="215"/>
      <c r="D946" s="239"/>
      <c r="E946" s="239"/>
      <c r="F946" s="239"/>
      <c r="G946" s="239"/>
      <c r="H946" s="239"/>
      <c r="I946" s="257"/>
      <c r="J946" s="240"/>
      <c r="K946" s="240"/>
      <c r="L946" s="240"/>
      <c r="M946" s="240"/>
      <c r="N946" s="240"/>
      <c r="O946" s="258"/>
      <c r="P946" s="224"/>
      <c r="Q946" s="224"/>
      <c r="R946" s="224"/>
      <c r="S946" s="224"/>
      <c r="T946" s="224"/>
      <c r="U946" s="259"/>
      <c r="V946" s="239"/>
      <c r="W946" s="239"/>
      <c r="X946" s="239"/>
      <c r="Y946" s="239"/>
      <c r="Z946" s="239"/>
      <c r="AA946" s="257"/>
      <c r="AB946" s="224"/>
      <c r="AC946" s="224"/>
      <c r="AD946" s="224"/>
      <c r="AE946" s="224"/>
      <c r="AF946" s="224"/>
      <c r="AG946" s="259"/>
      <c r="AH946" s="261"/>
      <c r="AI946" s="261"/>
      <c r="AJ946" s="261"/>
      <c r="AK946" s="261"/>
      <c r="AL946" s="261"/>
      <c r="AM946" s="262"/>
    </row>
    <row r="947" spans="1:39" x14ac:dyDescent="0.25">
      <c r="A947" s="215"/>
      <c r="B947" s="215"/>
      <c r="C947" s="215"/>
      <c r="D947" s="239"/>
      <c r="E947" s="239"/>
      <c r="F947" s="239"/>
      <c r="G947" s="239"/>
      <c r="H947" s="239"/>
      <c r="I947" s="257"/>
      <c r="J947" s="240"/>
      <c r="K947" s="240"/>
      <c r="L947" s="240"/>
      <c r="M947" s="240"/>
      <c r="N947" s="240"/>
      <c r="O947" s="258"/>
      <c r="P947" s="224"/>
      <c r="Q947" s="224"/>
      <c r="R947" s="224"/>
      <c r="S947" s="224"/>
      <c r="T947" s="224"/>
      <c r="U947" s="259"/>
      <c r="V947" s="239"/>
      <c r="W947" s="239"/>
      <c r="X947" s="239"/>
      <c r="Y947" s="239"/>
      <c r="Z947" s="239"/>
      <c r="AA947" s="257"/>
      <c r="AB947" s="224"/>
      <c r="AC947" s="224"/>
      <c r="AD947" s="224"/>
      <c r="AE947" s="224"/>
      <c r="AF947" s="224"/>
      <c r="AG947" s="259"/>
      <c r="AH947" s="261"/>
      <c r="AI947" s="261"/>
      <c r="AJ947" s="261"/>
      <c r="AK947" s="261"/>
      <c r="AL947" s="261"/>
      <c r="AM947" s="262"/>
    </row>
    <row r="948" spans="1:39" x14ac:dyDescent="0.25">
      <c r="A948" s="215"/>
      <c r="B948" s="215"/>
      <c r="C948" s="215"/>
      <c r="D948" s="239"/>
      <c r="E948" s="239"/>
      <c r="F948" s="239"/>
      <c r="G948" s="239"/>
      <c r="H948" s="239"/>
      <c r="I948" s="257"/>
      <c r="J948" s="240"/>
      <c r="K948" s="240"/>
      <c r="L948" s="240"/>
      <c r="M948" s="240"/>
      <c r="N948" s="240"/>
      <c r="O948" s="258"/>
      <c r="P948" s="224"/>
      <c r="Q948" s="224"/>
      <c r="R948" s="224"/>
      <c r="S948" s="224"/>
      <c r="T948" s="224"/>
      <c r="U948" s="259"/>
      <c r="V948" s="239"/>
      <c r="W948" s="239"/>
      <c r="X948" s="239"/>
      <c r="Y948" s="239"/>
      <c r="Z948" s="239"/>
      <c r="AA948" s="257"/>
      <c r="AB948" s="224"/>
      <c r="AC948" s="224"/>
      <c r="AD948" s="224"/>
      <c r="AE948" s="224"/>
      <c r="AF948" s="224"/>
      <c r="AG948" s="259"/>
      <c r="AH948" s="261"/>
      <c r="AI948" s="261"/>
      <c r="AJ948" s="261"/>
      <c r="AK948" s="261"/>
      <c r="AL948" s="261"/>
      <c r="AM948" s="262"/>
    </row>
    <row r="949" spans="1:39" x14ac:dyDescent="0.25">
      <c r="A949" s="215"/>
      <c r="B949" s="215"/>
      <c r="C949" s="215"/>
      <c r="D949" s="239"/>
      <c r="E949" s="239"/>
      <c r="F949" s="239"/>
      <c r="G949" s="239"/>
      <c r="H949" s="239"/>
      <c r="I949" s="257"/>
      <c r="J949" s="240"/>
      <c r="K949" s="240"/>
      <c r="L949" s="240"/>
      <c r="M949" s="240"/>
      <c r="N949" s="240"/>
      <c r="O949" s="258"/>
      <c r="P949" s="224"/>
      <c r="Q949" s="224"/>
      <c r="R949" s="224"/>
      <c r="S949" s="224"/>
      <c r="T949" s="224"/>
      <c r="U949" s="259"/>
      <c r="V949" s="239"/>
      <c r="W949" s="239"/>
      <c r="X949" s="239"/>
      <c r="Y949" s="239"/>
      <c r="Z949" s="239"/>
      <c r="AA949" s="257"/>
      <c r="AB949" s="224"/>
      <c r="AC949" s="224"/>
      <c r="AD949" s="224"/>
      <c r="AE949" s="224"/>
      <c r="AF949" s="224"/>
      <c r="AG949" s="259"/>
      <c r="AH949" s="261"/>
      <c r="AI949" s="261"/>
      <c r="AJ949" s="261"/>
      <c r="AK949" s="261"/>
      <c r="AL949" s="261"/>
      <c r="AM949" s="262"/>
    </row>
    <row r="950" spans="1:39" x14ac:dyDescent="0.25">
      <c r="A950" s="215"/>
      <c r="B950" s="215"/>
      <c r="C950" s="215"/>
      <c r="D950" s="239"/>
      <c r="E950" s="239"/>
      <c r="F950" s="239"/>
      <c r="G950" s="239"/>
      <c r="H950" s="239"/>
      <c r="I950" s="257"/>
      <c r="J950" s="240"/>
      <c r="K950" s="240"/>
      <c r="L950" s="240"/>
      <c r="M950" s="240"/>
      <c r="N950" s="240"/>
      <c r="O950" s="258"/>
      <c r="P950" s="224"/>
      <c r="Q950" s="224"/>
      <c r="R950" s="224"/>
      <c r="S950" s="224"/>
      <c r="T950" s="224"/>
      <c r="U950" s="259"/>
      <c r="V950" s="239"/>
      <c r="W950" s="239"/>
      <c r="X950" s="239"/>
      <c r="Y950" s="239"/>
      <c r="Z950" s="239"/>
      <c r="AA950" s="257"/>
      <c r="AB950" s="224"/>
      <c r="AC950" s="224"/>
      <c r="AD950" s="224"/>
      <c r="AE950" s="224"/>
      <c r="AF950" s="224"/>
      <c r="AG950" s="259"/>
      <c r="AH950" s="261"/>
      <c r="AI950" s="261"/>
      <c r="AJ950" s="261"/>
      <c r="AK950" s="261"/>
      <c r="AL950" s="261"/>
      <c r="AM950" s="262"/>
    </row>
    <row r="951" spans="1:39" x14ac:dyDescent="0.25">
      <c r="A951" s="215"/>
      <c r="B951" s="215"/>
      <c r="C951" s="215"/>
      <c r="D951" s="239"/>
      <c r="E951" s="239"/>
      <c r="F951" s="239"/>
      <c r="G951" s="239"/>
      <c r="H951" s="239"/>
      <c r="I951" s="257"/>
      <c r="J951" s="240"/>
      <c r="K951" s="240"/>
      <c r="L951" s="240"/>
      <c r="M951" s="240"/>
      <c r="N951" s="240"/>
      <c r="O951" s="258"/>
      <c r="P951" s="224"/>
      <c r="Q951" s="224"/>
      <c r="R951" s="224"/>
      <c r="S951" s="224"/>
      <c r="T951" s="224"/>
      <c r="U951" s="259"/>
      <c r="V951" s="239"/>
      <c r="W951" s="239"/>
      <c r="X951" s="239"/>
      <c r="Y951" s="239"/>
      <c r="Z951" s="239"/>
      <c r="AA951" s="257"/>
      <c r="AB951" s="224"/>
      <c r="AC951" s="224"/>
      <c r="AD951" s="224"/>
      <c r="AE951" s="224"/>
      <c r="AF951" s="224"/>
      <c r="AG951" s="259"/>
      <c r="AH951" s="261"/>
      <c r="AI951" s="261"/>
      <c r="AJ951" s="261"/>
      <c r="AK951" s="261"/>
      <c r="AL951" s="261"/>
      <c r="AM951" s="262"/>
    </row>
    <row r="952" spans="1:39" x14ac:dyDescent="0.25">
      <c r="A952" s="215"/>
      <c r="B952" s="215"/>
      <c r="C952" s="215"/>
      <c r="D952" s="239"/>
      <c r="E952" s="239"/>
      <c r="F952" s="239"/>
      <c r="G952" s="239"/>
      <c r="H952" s="239"/>
      <c r="I952" s="257"/>
      <c r="J952" s="240"/>
      <c r="K952" s="240"/>
      <c r="L952" s="240"/>
      <c r="M952" s="240"/>
      <c r="N952" s="240"/>
      <c r="O952" s="258"/>
      <c r="P952" s="224"/>
      <c r="Q952" s="224"/>
      <c r="R952" s="224"/>
      <c r="S952" s="224"/>
      <c r="T952" s="224"/>
      <c r="U952" s="259"/>
      <c r="V952" s="239"/>
      <c r="W952" s="239"/>
      <c r="X952" s="239"/>
      <c r="Y952" s="239"/>
      <c r="Z952" s="239"/>
      <c r="AA952" s="257"/>
      <c r="AB952" s="224"/>
      <c r="AC952" s="224"/>
      <c r="AD952" s="224"/>
      <c r="AE952" s="224"/>
      <c r="AF952" s="224"/>
      <c r="AG952" s="259"/>
      <c r="AH952" s="261"/>
      <c r="AI952" s="261"/>
      <c r="AJ952" s="261"/>
      <c r="AK952" s="261"/>
      <c r="AL952" s="261"/>
      <c r="AM952" s="262"/>
    </row>
    <row r="953" spans="1:39" x14ac:dyDescent="0.25">
      <c r="A953" s="215"/>
      <c r="B953" s="215"/>
      <c r="C953" s="215"/>
      <c r="D953" s="239"/>
      <c r="E953" s="239"/>
      <c r="F953" s="239"/>
      <c r="G953" s="239"/>
      <c r="H953" s="239"/>
      <c r="I953" s="257"/>
      <c r="J953" s="240"/>
      <c r="K953" s="240"/>
      <c r="L953" s="240"/>
      <c r="M953" s="240"/>
      <c r="N953" s="240"/>
      <c r="O953" s="258"/>
      <c r="P953" s="224"/>
      <c r="Q953" s="224"/>
      <c r="R953" s="224"/>
      <c r="S953" s="224"/>
      <c r="T953" s="224"/>
      <c r="U953" s="259"/>
      <c r="V953" s="239"/>
      <c r="W953" s="239"/>
      <c r="X953" s="239"/>
      <c r="Y953" s="239"/>
      <c r="Z953" s="239"/>
      <c r="AA953" s="257"/>
      <c r="AB953" s="224"/>
      <c r="AC953" s="224"/>
      <c r="AD953" s="224"/>
      <c r="AE953" s="224"/>
      <c r="AF953" s="224"/>
      <c r="AG953" s="259"/>
      <c r="AH953" s="261"/>
      <c r="AI953" s="261"/>
      <c r="AJ953" s="261"/>
      <c r="AK953" s="261"/>
      <c r="AL953" s="261"/>
      <c r="AM953" s="262"/>
    </row>
    <row r="954" spans="1:39" x14ac:dyDescent="0.25">
      <c r="A954" s="215"/>
      <c r="B954" s="215"/>
      <c r="C954" s="215"/>
      <c r="D954" s="239"/>
      <c r="E954" s="239"/>
      <c r="F954" s="239"/>
      <c r="G954" s="239"/>
      <c r="H954" s="239"/>
      <c r="I954" s="257"/>
      <c r="J954" s="240"/>
      <c r="K954" s="240"/>
      <c r="L954" s="240"/>
      <c r="M954" s="240"/>
      <c r="N954" s="240"/>
      <c r="O954" s="258"/>
      <c r="P954" s="224"/>
      <c r="Q954" s="224"/>
      <c r="R954" s="224"/>
      <c r="S954" s="224"/>
      <c r="T954" s="224"/>
      <c r="U954" s="259"/>
      <c r="V954" s="239"/>
      <c r="W954" s="239"/>
      <c r="X954" s="239"/>
      <c r="Y954" s="239"/>
      <c r="Z954" s="239"/>
      <c r="AA954" s="257"/>
      <c r="AB954" s="224"/>
      <c r="AC954" s="224"/>
      <c r="AD954" s="224"/>
      <c r="AE954" s="224"/>
      <c r="AF954" s="224"/>
      <c r="AG954" s="259"/>
      <c r="AH954" s="261"/>
      <c r="AI954" s="261"/>
      <c r="AJ954" s="261"/>
      <c r="AK954" s="261"/>
      <c r="AL954" s="261"/>
      <c r="AM954" s="262"/>
    </row>
    <row r="955" spans="1:39" x14ac:dyDescent="0.25">
      <c r="A955" s="215"/>
      <c r="B955" s="215"/>
      <c r="C955" s="215"/>
      <c r="D955" s="239"/>
      <c r="E955" s="239"/>
      <c r="F955" s="239"/>
      <c r="G955" s="239"/>
      <c r="H955" s="239"/>
      <c r="I955" s="257"/>
      <c r="J955" s="240"/>
      <c r="K955" s="240"/>
      <c r="L955" s="240"/>
      <c r="M955" s="240"/>
      <c r="N955" s="240"/>
      <c r="O955" s="258"/>
      <c r="P955" s="224"/>
      <c r="Q955" s="224"/>
      <c r="R955" s="224"/>
      <c r="S955" s="224"/>
      <c r="T955" s="224"/>
      <c r="U955" s="259"/>
      <c r="V955" s="239"/>
      <c r="W955" s="239"/>
      <c r="X955" s="239"/>
      <c r="Y955" s="239"/>
      <c r="Z955" s="239"/>
      <c r="AA955" s="257"/>
      <c r="AB955" s="224"/>
      <c r="AC955" s="224"/>
      <c r="AD955" s="224"/>
      <c r="AE955" s="224"/>
      <c r="AF955" s="224"/>
      <c r="AG955" s="259"/>
      <c r="AH955" s="261"/>
      <c r="AI955" s="261"/>
      <c r="AJ955" s="261"/>
      <c r="AK955" s="261"/>
      <c r="AL955" s="261"/>
      <c r="AM955" s="262"/>
    </row>
    <row r="956" spans="1:39" x14ac:dyDescent="0.25">
      <c r="A956" s="215"/>
      <c r="B956" s="215"/>
      <c r="C956" s="215"/>
      <c r="D956" s="239"/>
      <c r="E956" s="239"/>
      <c r="F956" s="239"/>
      <c r="G956" s="239"/>
      <c r="H956" s="239"/>
      <c r="I956" s="257"/>
      <c r="J956" s="240"/>
      <c r="K956" s="240"/>
      <c r="L956" s="240"/>
      <c r="M956" s="240"/>
      <c r="N956" s="240"/>
      <c r="O956" s="258"/>
      <c r="P956" s="224"/>
      <c r="Q956" s="224"/>
      <c r="R956" s="224"/>
      <c r="S956" s="224"/>
      <c r="T956" s="224"/>
      <c r="U956" s="259"/>
      <c r="V956" s="239"/>
      <c r="W956" s="239"/>
      <c r="X956" s="239"/>
      <c r="Y956" s="239"/>
      <c r="Z956" s="239"/>
      <c r="AA956" s="257"/>
      <c r="AB956" s="224"/>
      <c r="AC956" s="224"/>
      <c r="AD956" s="224"/>
      <c r="AE956" s="224"/>
      <c r="AF956" s="224"/>
      <c r="AG956" s="259"/>
      <c r="AH956" s="261"/>
      <c r="AI956" s="261"/>
      <c r="AJ956" s="261"/>
      <c r="AK956" s="261"/>
      <c r="AL956" s="261"/>
      <c r="AM956" s="262"/>
    </row>
    <row r="957" spans="1:39" x14ac:dyDescent="0.25">
      <c r="A957" s="215"/>
      <c r="B957" s="215"/>
      <c r="C957" s="215"/>
      <c r="D957" s="239"/>
      <c r="E957" s="239"/>
      <c r="F957" s="239"/>
      <c r="G957" s="239"/>
      <c r="H957" s="239"/>
      <c r="I957" s="257"/>
      <c r="J957" s="240"/>
      <c r="K957" s="240"/>
      <c r="L957" s="240"/>
      <c r="M957" s="240"/>
      <c r="N957" s="240"/>
      <c r="O957" s="258"/>
      <c r="P957" s="224"/>
      <c r="Q957" s="224"/>
      <c r="R957" s="224"/>
      <c r="S957" s="224"/>
      <c r="T957" s="224"/>
      <c r="U957" s="259"/>
      <c r="V957" s="239"/>
      <c r="W957" s="239"/>
      <c r="X957" s="239"/>
      <c r="Y957" s="239"/>
      <c r="Z957" s="239"/>
      <c r="AA957" s="257"/>
      <c r="AB957" s="224"/>
      <c r="AC957" s="224"/>
      <c r="AD957" s="224"/>
      <c r="AE957" s="224"/>
      <c r="AF957" s="224"/>
      <c r="AG957" s="259"/>
      <c r="AH957" s="261"/>
      <c r="AI957" s="261"/>
      <c r="AJ957" s="261"/>
      <c r="AK957" s="261"/>
      <c r="AL957" s="261"/>
      <c r="AM957" s="262"/>
    </row>
    <row r="958" spans="1:39" x14ac:dyDescent="0.25">
      <c r="A958" s="215"/>
      <c r="B958" s="215"/>
      <c r="C958" s="215"/>
      <c r="D958" s="239"/>
      <c r="E958" s="239"/>
      <c r="F958" s="239"/>
      <c r="G958" s="239"/>
      <c r="H958" s="239"/>
      <c r="I958" s="257"/>
      <c r="J958" s="240"/>
      <c r="K958" s="240"/>
      <c r="L958" s="240"/>
      <c r="M958" s="240"/>
      <c r="N958" s="240"/>
      <c r="O958" s="258"/>
      <c r="P958" s="224"/>
      <c r="Q958" s="224"/>
      <c r="R958" s="224"/>
      <c r="S958" s="224"/>
      <c r="T958" s="224"/>
      <c r="U958" s="259"/>
      <c r="V958" s="239"/>
      <c r="W958" s="239"/>
      <c r="X958" s="239"/>
      <c r="Y958" s="239"/>
      <c r="Z958" s="239"/>
      <c r="AA958" s="257"/>
      <c r="AB958" s="224"/>
      <c r="AC958" s="224"/>
      <c r="AD958" s="224"/>
      <c r="AE958" s="224"/>
      <c r="AF958" s="224"/>
      <c r="AG958" s="259"/>
      <c r="AH958" s="261"/>
      <c r="AI958" s="261"/>
      <c r="AJ958" s="261"/>
      <c r="AK958" s="261"/>
      <c r="AL958" s="261"/>
      <c r="AM958" s="262"/>
    </row>
    <row r="959" spans="1:39" x14ac:dyDescent="0.25">
      <c r="A959" s="215"/>
      <c r="B959" s="215"/>
      <c r="C959" s="215"/>
      <c r="D959" s="239"/>
      <c r="E959" s="239"/>
      <c r="F959" s="239"/>
      <c r="G959" s="239"/>
      <c r="H959" s="239"/>
      <c r="I959" s="257"/>
      <c r="J959" s="240"/>
      <c r="K959" s="240"/>
      <c r="L959" s="240"/>
      <c r="M959" s="240"/>
      <c r="N959" s="240"/>
      <c r="O959" s="258"/>
      <c r="P959" s="224"/>
      <c r="Q959" s="224"/>
      <c r="R959" s="224"/>
      <c r="S959" s="224"/>
      <c r="T959" s="224"/>
      <c r="U959" s="259"/>
      <c r="V959" s="239"/>
      <c r="W959" s="239"/>
      <c r="X959" s="239"/>
      <c r="Y959" s="239"/>
      <c r="Z959" s="239"/>
      <c r="AA959" s="257"/>
      <c r="AB959" s="224"/>
      <c r="AC959" s="224"/>
      <c r="AD959" s="224"/>
      <c r="AE959" s="224"/>
      <c r="AF959" s="224"/>
      <c r="AG959" s="259"/>
      <c r="AH959" s="261"/>
      <c r="AI959" s="261"/>
      <c r="AJ959" s="261"/>
      <c r="AK959" s="261"/>
      <c r="AL959" s="261"/>
      <c r="AM959" s="262"/>
    </row>
    <row r="960" spans="1:39" x14ac:dyDescent="0.25">
      <c r="A960" s="215"/>
      <c r="B960" s="215"/>
      <c r="C960" s="215"/>
      <c r="D960" s="239"/>
      <c r="E960" s="239"/>
      <c r="F960" s="239"/>
      <c r="G960" s="239"/>
      <c r="H960" s="239"/>
      <c r="I960" s="257"/>
      <c r="J960" s="240"/>
      <c r="K960" s="240"/>
      <c r="L960" s="240"/>
      <c r="M960" s="240"/>
      <c r="N960" s="240"/>
      <c r="O960" s="258"/>
      <c r="P960" s="224"/>
      <c r="Q960" s="224"/>
      <c r="R960" s="224"/>
      <c r="S960" s="224"/>
      <c r="T960" s="224"/>
      <c r="U960" s="259"/>
      <c r="V960" s="239"/>
      <c r="W960" s="239"/>
      <c r="X960" s="239"/>
      <c r="Y960" s="239"/>
      <c r="Z960" s="239"/>
      <c r="AA960" s="257"/>
      <c r="AB960" s="224"/>
      <c r="AC960" s="224"/>
      <c r="AD960" s="224"/>
      <c r="AE960" s="224"/>
      <c r="AF960" s="224"/>
      <c r="AG960" s="259"/>
      <c r="AH960" s="261"/>
      <c r="AI960" s="261"/>
      <c r="AJ960" s="261"/>
      <c r="AK960" s="261"/>
      <c r="AL960" s="261"/>
      <c r="AM960" s="262"/>
    </row>
    <row r="961" spans="1:39" x14ac:dyDescent="0.25">
      <c r="A961" s="215"/>
      <c r="B961" s="215"/>
      <c r="C961" s="215"/>
      <c r="D961" s="239"/>
      <c r="E961" s="239"/>
      <c r="F961" s="239"/>
      <c r="G961" s="239"/>
      <c r="H961" s="239"/>
      <c r="I961" s="257"/>
      <c r="J961" s="240"/>
      <c r="K961" s="240"/>
      <c r="L961" s="240"/>
      <c r="M961" s="240"/>
      <c r="N961" s="240"/>
      <c r="O961" s="258"/>
      <c r="P961" s="224"/>
      <c r="Q961" s="224"/>
      <c r="R961" s="224"/>
      <c r="S961" s="224"/>
      <c r="T961" s="224"/>
      <c r="U961" s="259"/>
      <c r="V961" s="239"/>
      <c r="W961" s="239"/>
      <c r="X961" s="239"/>
      <c r="Y961" s="239"/>
      <c r="Z961" s="239"/>
      <c r="AA961" s="257"/>
      <c r="AB961" s="224"/>
      <c r="AC961" s="224"/>
      <c r="AD961" s="224"/>
      <c r="AE961" s="224"/>
      <c r="AF961" s="224"/>
      <c r="AG961" s="259"/>
      <c r="AH961" s="261"/>
      <c r="AI961" s="261"/>
      <c r="AJ961" s="261"/>
      <c r="AK961" s="261"/>
      <c r="AL961" s="261"/>
      <c r="AM961" s="262"/>
    </row>
    <row r="962" spans="1:39" x14ac:dyDescent="0.25">
      <c r="A962" s="215"/>
      <c r="B962" s="215"/>
      <c r="C962" s="215"/>
      <c r="D962" s="239"/>
      <c r="E962" s="239"/>
      <c r="F962" s="239"/>
      <c r="G962" s="239"/>
      <c r="H962" s="239"/>
      <c r="I962" s="257"/>
      <c r="J962" s="240"/>
      <c r="K962" s="240"/>
      <c r="L962" s="240"/>
      <c r="M962" s="240"/>
      <c r="N962" s="240"/>
      <c r="O962" s="258"/>
      <c r="P962" s="224"/>
      <c r="Q962" s="224"/>
      <c r="R962" s="224"/>
      <c r="S962" s="224"/>
      <c r="T962" s="224"/>
      <c r="U962" s="259"/>
      <c r="V962" s="239"/>
      <c r="W962" s="239"/>
      <c r="X962" s="239"/>
      <c r="Y962" s="239"/>
      <c r="Z962" s="239"/>
      <c r="AA962" s="257"/>
      <c r="AB962" s="224"/>
      <c r="AC962" s="224"/>
      <c r="AD962" s="224"/>
      <c r="AE962" s="224"/>
      <c r="AF962" s="224"/>
      <c r="AG962" s="259"/>
      <c r="AH962" s="261"/>
      <c r="AI962" s="261"/>
      <c r="AJ962" s="261"/>
      <c r="AK962" s="261"/>
      <c r="AL962" s="261"/>
      <c r="AM962" s="262"/>
    </row>
    <row r="963" spans="1:39" x14ac:dyDescent="0.25">
      <c r="A963" s="215"/>
      <c r="B963" s="215"/>
      <c r="C963" s="215"/>
      <c r="D963" s="239"/>
      <c r="E963" s="239"/>
      <c r="F963" s="239"/>
      <c r="G963" s="239"/>
      <c r="H963" s="239"/>
      <c r="I963" s="257"/>
      <c r="J963" s="240"/>
      <c r="K963" s="240"/>
      <c r="L963" s="240"/>
      <c r="M963" s="240"/>
      <c r="N963" s="240"/>
      <c r="O963" s="258"/>
      <c r="P963" s="224"/>
      <c r="Q963" s="224"/>
      <c r="R963" s="224"/>
      <c r="S963" s="224"/>
      <c r="T963" s="224"/>
      <c r="U963" s="259"/>
      <c r="V963" s="239"/>
      <c r="W963" s="239"/>
      <c r="X963" s="239"/>
      <c r="Y963" s="239"/>
      <c r="Z963" s="239"/>
      <c r="AA963" s="257"/>
      <c r="AB963" s="224"/>
      <c r="AC963" s="224"/>
      <c r="AD963" s="224"/>
      <c r="AE963" s="224"/>
      <c r="AF963" s="224"/>
      <c r="AG963" s="259"/>
      <c r="AH963" s="261"/>
      <c r="AI963" s="261"/>
      <c r="AJ963" s="261"/>
      <c r="AK963" s="261"/>
      <c r="AL963" s="261"/>
      <c r="AM963" s="262"/>
    </row>
    <row r="964" spans="1:39" x14ac:dyDescent="0.25">
      <c r="A964" s="215"/>
      <c r="B964" s="215"/>
      <c r="C964" s="215"/>
      <c r="D964" s="239"/>
      <c r="E964" s="239"/>
      <c r="F964" s="239"/>
      <c r="G964" s="239"/>
      <c r="H964" s="239"/>
      <c r="I964" s="257"/>
      <c r="J964" s="240"/>
      <c r="K964" s="240"/>
      <c r="L964" s="240"/>
      <c r="M964" s="240"/>
      <c r="N964" s="240"/>
      <c r="O964" s="258"/>
      <c r="P964" s="224"/>
      <c r="Q964" s="224"/>
      <c r="R964" s="224"/>
      <c r="S964" s="224"/>
      <c r="T964" s="224"/>
      <c r="U964" s="259"/>
      <c r="V964" s="239"/>
      <c r="W964" s="239"/>
      <c r="X964" s="239"/>
      <c r="Y964" s="239"/>
      <c r="Z964" s="239"/>
      <c r="AA964" s="257"/>
      <c r="AB964" s="224"/>
      <c r="AC964" s="224"/>
      <c r="AD964" s="224"/>
      <c r="AE964" s="224"/>
      <c r="AF964" s="224"/>
      <c r="AG964" s="259"/>
      <c r="AH964" s="261"/>
      <c r="AI964" s="261"/>
      <c r="AJ964" s="261"/>
      <c r="AK964" s="261"/>
      <c r="AL964" s="261"/>
      <c r="AM964" s="262"/>
    </row>
    <row r="965" spans="1:39" x14ac:dyDescent="0.25">
      <c r="A965" s="215"/>
      <c r="B965" s="215"/>
      <c r="C965" s="215"/>
      <c r="D965" s="239"/>
      <c r="E965" s="239"/>
      <c r="F965" s="239"/>
      <c r="G965" s="239"/>
      <c r="H965" s="239"/>
      <c r="I965" s="257"/>
      <c r="J965" s="240"/>
      <c r="K965" s="240"/>
      <c r="L965" s="240"/>
      <c r="M965" s="240"/>
      <c r="N965" s="240"/>
      <c r="O965" s="258"/>
      <c r="P965" s="224"/>
      <c r="Q965" s="224"/>
      <c r="R965" s="224"/>
      <c r="S965" s="224"/>
      <c r="T965" s="224"/>
      <c r="U965" s="259"/>
      <c r="V965" s="239"/>
      <c r="W965" s="239"/>
      <c r="X965" s="239"/>
      <c r="Y965" s="239"/>
      <c r="Z965" s="239"/>
      <c r="AA965" s="257"/>
      <c r="AB965" s="224"/>
      <c r="AC965" s="224"/>
      <c r="AD965" s="224"/>
      <c r="AE965" s="224"/>
      <c r="AF965" s="224"/>
      <c r="AG965" s="259"/>
      <c r="AH965" s="261"/>
      <c r="AI965" s="261"/>
      <c r="AJ965" s="261"/>
      <c r="AK965" s="261"/>
      <c r="AL965" s="261"/>
      <c r="AM965" s="262"/>
    </row>
    <row r="966" spans="1:39" x14ac:dyDescent="0.25">
      <c r="A966" s="215"/>
      <c r="B966" s="215"/>
      <c r="C966" s="215"/>
      <c r="D966" s="239"/>
      <c r="E966" s="239"/>
      <c r="F966" s="239"/>
      <c r="G966" s="239"/>
      <c r="H966" s="239"/>
      <c r="I966" s="257"/>
      <c r="J966" s="240"/>
      <c r="K966" s="240"/>
      <c r="L966" s="240"/>
      <c r="M966" s="240"/>
      <c r="N966" s="240"/>
      <c r="O966" s="258"/>
      <c r="P966" s="224"/>
      <c r="Q966" s="224"/>
      <c r="R966" s="224"/>
      <c r="S966" s="224"/>
      <c r="T966" s="224"/>
      <c r="U966" s="259"/>
      <c r="V966" s="239"/>
      <c r="W966" s="239"/>
      <c r="X966" s="239"/>
      <c r="Y966" s="239"/>
      <c r="Z966" s="239"/>
      <c r="AA966" s="257"/>
      <c r="AB966" s="224"/>
      <c r="AC966" s="224"/>
      <c r="AD966" s="224"/>
      <c r="AE966" s="224"/>
      <c r="AF966" s="224"/>
      <c r="AG966" s="259"/>
      <c r="AH966" s="261"/>
      <c r="AI966" s="261"/>
      <c r="AJ966" s="261"/>
      <c r="AK966" s="261"/>
      <c r="AL966" s="261"/>
      <c r="AM966" s="262"/>
    </row>
    <row r="967" spans="1:39" x14ac:dyDescent="0.25">
      <c r="A967" s="215"/>
      <c r="B967" s="215"/>
      <c r="C967" s="215"/>
      <c r="D967" s="239"/>
      <c r="E967" s="239"/>
      <c r="F967" s="239"/>
      <c r="G967" s="239"/>
      <c r="H967" s="239"/>
      <c r="I967" s="257"/>
      <c r="J967" s="240"/>
      <c r="K967" s="240"/>
      <c r="L967" s="240"/>
      <c r="M967" s="240"/>
      <c r="N967" s="240"/>
      <c r="O967" s="258"/>
      <c r="P967" s="224"/>
      <c r="Q967" s="224"/>
      <c r="R967" s="224"/>
      <c r="S967" s="224"/>
      <c r="T967" s="224"/>
      <c r="U967" s="259"/>
      <c r="V967" s="239"/>
      <c r="W967" s="239"/>
      <c r="X967" s="239"/>
      <c r="Y967" s="239"/>
      <c r="Z967" s="239"/>
      <c r="AA967" s="257"/>
      <c r="AB967" s="224"/>
      <c r="AC967" s="224"/>
      <c r="AD967" s="224"/>
      <c r="AE967" s="224"/>
      <c r="AF967" s="224"/>
      <c r="AG967" s="259"/>
      <c r="AH967" s="261"/>
      <c r="AI967" s="261"/>
      <c r="AJ967" s="261"/>
      <c r="AK967" s="261"/>
      <c r="AL967" s="261"/>
      <c r="AM967" s="262"/>
    </row>
    <row r="968" spans="1:39" x14ac:dyDescent="0.25">
      <c r="A968" s="215"/>
      <c r="B968" s="215"/>
      <c r="C968" s="215"/>
      <c r="D968" s="239"/>
      <c r="E968" s="239"/>
      <c r="F968" s="239"/>
      <c r="G968" s="239"/>
      <c r="H968" s="239"/>
      <c r="I968" s="257"/>
      <c r="J968" s="240"/>
      <c r="K968" s="240"/>
      <c r="L968" s="240"/>
      <c r="M968" s="240"/>
      <c r="N968" s="240"/>
      <c r="O968" s="258"/>
      <c r="P968" s="224"/>
      <c r="Q968" s="224"/>
      <c r="R968" s="224"/>
      <c r="S968" s="224"/>
      <c r="T968" s="224"/>
      <c r="U968" s="259"/>
      <c r="V968" s="239"/>
      <c r="W968" s="239"/>
      <c r="X968" s="239"/>
      <c r="Y968" s="239"/>
      <c r="Z968" s="239"/>
      <c r="AA968" s="257"/>
      <c r="AB968" s="224"/>
      <c r="AC968" s="224"/>
      <c r="AD968" s="224"/>
      <c r="AE968" s="224"/>
      <c r="AF968" s="224"/>
      <c r="AG968" s="259"/>
      <c r="AH968" s="261"/>
      <c r="AI968" s="261"/>
      <c r="AJ968" s="261"/>
      <c r="AK968" s="261"/>
      <c r="AL968" s="261"/>
      <c r="AM968" s="262"/>
    </row>
    <row r="969" spans="1:39" x14ac:dyDescent="0.25">
      <c r="A969" s="215"/>
      <c r="B969" s="215"/>
      <c r="C969" s="215"/>
      <c r="D969" s="239"/>
      <c r="E969" s="239"/>
      <c r="F969" s="239"/>
      <c r="G969" s="239"/>
      <c r="H969" s="239"/>
      <c r="I969" s="257"/>
      <c r="J969" s="240"/>
      <c r="K969" s="240"/>
      <c r="L969" s="240"/>
      <c r="M969" s="240"/>
      <c r="N969" s="240"/>
      <c r="O969" s="258"/>
      <c r="P969" s="224"/>
      <c r="Q969" s="224"/>
      <c r="R969" s="224"/>
      <c r="S969" s="224"/>
      <c r="T969" s="224"/>
      <c r="U969" s="259"/>
      <c r="V969" s="239"/>
      <c r="W969" s="239"/>
      <c r="X969" s="239"/>
      <c r="Y969" s="239"/>
      <c r="Z969" s="239"/>
      <c r="AA969" s="257"/>
      <c r="AB969" s="224"/>
      <c r="AC969" s="224"/>
      <c r="AD969" s="224"/>
      <c r="AE969" s="224"/>
      <c r="AF969" s="224"/>
      <c r="AG969" s="259"/>
      <c r="AH969" s="261"/>
      <c r="AI969" s="261"/>
      <c r="AJ969" s="261"/>
      <c r="AK969" s="261"/>
      <c r="AL969" s="261"/>
      <c r="AM969" s="262"/>
    </row>
    <row r="970" spans="1:39" x14ac:dyDescent="0.25">
      <c r="A970" s="215"/>
      <c r="B970" s="215"/>
      <c r="C970" s="215"/>
      <c r="D970" s="239"/>
      <c r="E970" s="239"/>
      <c r="F970" s="239"/>
      <c r="G970" s="239"/>
      <c r="H970" s="239"/>
      <c r="I970" s="257"/>
      <c r="J970" s="240"/>
      <c r="K970" s="240"/>
      <c r="L970" s="240"/>
      <c r="M970" s="240"/>
      <c r="N970" s="240"/>
      <c r="O970" s="258"/>
      <c r="P970" s="224"/>
      <c r="Q970" s="224"/>
      <c r="R970" s="224"/>
      <c r="S970" s="224"/>
      <c r="T970" s="224"/>
      <c r="U970" s="259"/>
      <c r="V970" s="239"/>
      <c r="W970" s="239"/>
      <c r="X970" s="239"/>
      <c r="Y970" s="239"/>
      <c r="Z970" s="239"/>
      <c r="AA970" s="257"/>
      <c r="AB970" s="224"/>
      <c r="AC970" s="224"/>
      <c r="AD970" s="224"/>
      <c r="AE970" s="224"/>
      <c r="AF970" s="224"/>
      <c r="AG970" s="259"/>
      <c r="AH970" s="261"/>
      <c r="AI970" s="261"/>
      <c r="AJ970" s="261"/>
      <c r="AK970" s="261"/>
      <c r="AL970" s="261"/>
      <c r="AM970" s="262"/>
    </row>
    <row r="971" spans="1:39" x14ac:dyDescent="0.25">
      <c r="A971" s="215"/>
      <c r="B971" s="215"/>
      <c r="C971" s="215"/>
      <c r="D971" s="239"/>
      <c r="E971" s="239"/>
      <c r="F971" s="239"/>
      <c r="G971" s="239"/>
      <c r="H971" s="239"/>
      <c r="I971" s="257"/>
      <c r="J971" s="240"/>
      <c r="K971" s="240"/>
      <c r="L971" s="240"/>
      <c r="M971" s="240"/>
      <c r="N971" s="240"/>
      <c r="O971" s="258"/>
      <c r="P971" s="224"/>
      <c r="Q971" s="224"/>
      <c r="R971" s="224"/>
      <c r="S971" s="224"/>
      <c r="T971" s="224"/>
      <c r="U971" s="259"/>
      <c r="V971" s="239"/>
      <c r="W971" s="239"/>
      <c r="X971" s="239"/>
      <c r="Y971" s="239"/>
      <c r="Z971" s="239"/>
      <c r="AA971" s="257"/>
      <c r="AB971" s="224"/>
      <c r="AC971" s="224"/>
      <c r="AD971" s="224"/>
      <c r="AE971" s="224"/>
      <c r="AF971" s="224"/>
      <c r="AG971" s="259"/>
      <c r="AH971" s="261"/>
      <c r="AI971" s="261"/>
      <c r="AJ971" s="261"/>
      <c r="AK971" s="261"/>
      <c r="AL971" s="261"/>
      <c r="AM971" s="262"/>
    </row>
    <row r="972" spans="1:39" x14ac:dyDescent="0.25">
      <c r="A972" s="215"/>
      <c r="B972" s="215"/>
      <c r="C972" s="215"/>
      <c r="D972" s="239"/>
      <c r="E972" s="239"/>
      <c r="F972" s="239"/>
      <c r="G972" s="239"/>
      <c r="H972" s="239"/>
      <c r="I972" s="257"/>
      <c r="J972" s="240"/>
      <c r="K972" s="240"/>
      <c r="L972" s="240"/>
      <c r="M972" s="240"/>
      <c r="N972" s="240"/>
      <c r="O972" s="258"/>
      <c r="P972" s="224"/>
      <c r="Q972" s="224"/>
      <c r="R972" s="224"/>
      <c r="S972" s="224"/>
      <c r="T972" s="224"/>
      <c r="U972" s="259"/>
      <c r="V972" s="239"/>
      <c r="W972" s="239"/>
      <c r="X972" s="239"/>
      <c r="Y972" s="239"/>
      <c r="Z972" s="239"/>
      <c r="AA972" s="257"/>
      <c r="AB972" s="224"/>
      <c r="AC972" s="224"/>
      <c r="AD972" s="224"/>
      <c r="AE972" s="224"/>
      <c r="AF972" s="224"/>
      <c r="AG972" s="259"/>
      <c r="AH972" s="261"/>
      <c r="AI972" s="261"/>
      <c r="AJ972" s="261"/>
      <c r="AK972" s="261"/>
      <c r="AL972" s="261"/>
      <c r="AM972" s="262"/>
    </row>
    <row r="973" spans="1:39" x14ac:dyDescent="0.25">
      <c r="A973" s="215"/>
      <c r="B973" s="215"/>
      <c r="C973" s="215"/>
      <c r="D973" s="239"/>
      <c r="E973" s="239"/>
      <c r="F973" s="239"/>
      <c r="G973" s="239"/>
      <c r="H973" s="239"/>
      <c r="I973" s="257"/>
      <c r="J973" s="240"/>
      <c r="K973" s="240"/>
      <c r="L973" s="240"/>
      <c r="M973" s="240"/>
      <c r="N973" s="240"/>
      <c r="O973" s="258"/>
      <c r="P973" s="224"/>
      <c r="Q973" s="224"/>
      <c r="R973" s="224"/>
      <c r="S973" s="224"/>
      <c r="T973" s="224"/>
      <c r="U973" s="259"/>
      <c r="V973" s="239"/>
      <c r="W973" s="239"/>
      <c r="X973" s="239"/>
      <c r="Y973" s="239"/>
      <c r="Z973" s="239"/>
      <c r="AA973" s="257"/>
      <c r="AB973" s="224"/>
      <c r="AC973" s="224"/>
      <c r="AD973" s="224"/>
      <c r="AE973" s="224"/>
      <c r="AF973" s="224"/>
      <c r="AG973" s="259"/>
      <c r="AH973" s="261"/>
      <c r="AI973" s="261"/>
      <c r="AJ973" s="261"/>
      <c r="AK973" s="261"/>
      <c r="AL973" s="261"/>
      <c r="AM973" s="262"/>
    </row>
    <row r="974" spans="1:39" x14ac:dyDescent="0.25">
      <c r="A974" s="215"/>
      <c r="B974" s="215"/>
      <c r="C974" s="215"/>
      <c r="D974" s="239"/>
      <c r="E974" s="239"/>
      <c r="F974" s="239"/>
      <c r="G974" s="239"/>
      <c r="H974" s="239"/>
      <c r="I974" s="257"/>
      <c r="J974" s="240"/>
      <c r="K974" s="240"/>
      <c r="L974" s="240"/>
      <c r="M974" s="240"/>
      <c r="N974" s="240"/>
      <c r="O974" s="258"/>
      <c r="P974" s="224"/>
      <c r="Q974" s="224"/>
      <c r="R974" s="224"/>
      <c r="S974" s="224"/>
      <c r="T974" s="224"/>
      <c r="U974" s="259"/>
      <c r="V974" s="239"/>
      <c r="W974" s="239"/>
      <c r="X974" s="239"/>
      <c r="Y974" s="239"/>
      <c r="Z974" s="239"/>
      <c r="AA974" s="257"/>
      <c r="AB974" s="224"/>
      <c r="AC974" s="224"/>
      <c r="AD974" s="224"/>
      <c r="AE974" s="224"/>
      <c r="AF974" s="224"/>
      <c r="AG974" s="259"/>
      <c r="AH974" s="261"/>
      <c r="AI974" s="261"/>
      <c r="AJ974" s="261"/>
      <c r="AK974" s="261"/>
      <c r="AL974" s="261"/>
      <c r="AM974" s="262"/>
    </row>
    <row r="975" spans="1:39" x14ac:dyDescent="0.25">
      <c r="A975" s="215"/>
      <c r="B975" s="215"/>
      <c r="C975" s="215"/>
      <c r="D975" s="239"/>
      <c r="E975" s="239"/>
      <c r="F975" s="239"/>
      <c r="G975" s="239"/>
      <c r="H975" s="239"/>
      <c r="I975" s="257"/>
      <c r="J975" s="240"/>
      <c r="K975" s="240"/>
      <c r="L975" s="240"/>
      <c r="M975" s="240"/>
      <c r="N975" s="240"/>
      <c r="O975" s="258"/>
      <c r="P975" s="224"/>
      <c r="Q975" s="224"/>
      <c r="R975" s="224"/>
      <c r="S975" s="224"/>
      <c r="T975" s="224"/>
      <c r="U975" s="259"/>
      <c r="V975" s="239"/>
      <c r="W975" s="239"/>
      <c r="X975" s="239"/>
      <c r="Y975" s="239"/>
      <c r="Z975" s="239"/>
      <c r="AA975" s="257"/>
      <c r="AB975" s="224"/>
      <c r="AC975" s="224"/>
      <c r="AD975" s="224"/>
      <c r="AE975" s="224"/>
      <c r="AF975" s="224"/>
      <c r="AG975" s="259"/>
      <c r="AH975" s="261"/>
      <c r="AI975" s="261"/>
      <c r="AJ975" s="261"/>
      <c r="AK975" s="261"/>
      <c r="AL975" s="261"/>
      <c r="AM975" s="262"/>
    </row>
    <row r="976" spans="1:39" x14ac:dyDescent="0.25">
      <c r="A976" s="215"/>
      <c r="B976" s="215"/>
      <c r="C976" s="215"/>
      <c r="D976" s="239"/>
      <c r="E976" s="239"/>
      <c r="F976" s="239"/>
      <c r="G976" s="239"/>
      <c r="H976" s="239"/>
      <c r="I976" s="257"/>
      <c r="J976" s="240"/>
      <c r="K976" s="240"/>
      <c r="L976" s="240"/>
      <c r="M976" s="240"/>
      <c r="N976" s="240"/>
      <c r="O976" s="258"/>
      <c r="P976" s="224"/>
      <c r="Q976" s="224"/>
      <c r="R976" s="224"/>
      <c r="S976" s="224"/>
      <c r="T976" s="224"/>
      <c r="U976" s="259"/>
      <c r="V976" s="239"/>
      <c r="W976" s="239"/>
      <c r="X976" s="239"/>
      <c r="Y976" s="239"/>
      <c r="Z976" s="239"/>
      <c r="AA976" s="257"/>
      <c r="AB976" s="224"/>
      <c r="AC976" s="224"/>
      <c r="AD976" s="224"/>
      <c r="AE976" s="224"/>
      <c r="AF976" s="224"/>
      <c r="AG976" s="259"/>
      <c r="AH976" s="261"/>
      <c r="AI976" s="261"/>
      <c r="AJ976" s="261"/>
      <c r="AK976" s="261"/>
      <c r="AL976" s="261"/>
      <c r="AM976" s="262"/>
    </row>
    <row r="977" spans="1:39" x14ac:dyDescent="0.25">
      <c r="A977" s="215"/>
      <c r="B977" s="215"/>
      <c r="C977" s="215"/>
      <c r="D977" s="239"/>
      <c r="E977" s="239"/>
      <c r="F977" s="239"/>
      <c r="G977" s="239"/>
      <c r="H977" s="239"/>
      <c r="I977" s="257"/>
      <c r="J977" s="240"/>
      <c r="K977" s="240"/>
      <c r="L977" s="240"/>
      <c r="M977" s="240"/>
      <c r="N977" s="240"/>
      <c r="O977" s="258"/>
      <c r="P977" s="224"/>
      <c r="Q977" s="224"/>
      <c r="R977" s="224"/>
      <c r="S977" s="224"/>
      <c r="T977" s="224"/>
      <c r="U977" s="259"/>
      <c r="V977" s="239"/>
      <c r="W977" s="239"/>
      <c r="X977" s="239"/>
      <c r="Y977" s="239"/>
      <c r="Z977" s="239"/>
      <c r="AA977" s="257"/>
      <c r="AB977" s="224"/>
      <c r="AC977" s="224"/>
      <c r="AD977" s="224"/>
      <c r="AE977" s="224"/>
      <c r="AF977" s="224"/>
      <c r="AG977" s="259"/>
      <c r="AH977" s="261"/>
      <c r="AI977" s="261"/>
      <c r="AJ977" s="261"/>
      <c r="AK977" s="261"/>
      <c r="AL977" s="261"/>
      <c r="AM977" s="262"/>
    </row>
    <row r="978" spans="1:39" x14ac:dyDescent="0.25">
      <c r="A978" s="215"/>
      <c r="B978" s="215"/>
      <c r="C978" s="215"/>
      <c r="D978" s="239"/>
      <c r="E978" s="239"/>
      <c r="F978" s="239"/>
      <c r="G978" s="239"/>
      <c r="H978" s="239"/>
      <c r="I978" s="257"/>
      <c r="J978" s="240"/>
      <c r="K978" s="240"/>
      <c r="L978" s="240"/>
      <c r="M978" s="240"/>
      <c r="N978" s="240"/>
      <c r="O978" s="258"/>
      <c r="P978" s="224"/>
      <c r="Q978" s="224"/>
      <c r="R978" s="224"/>
      <c r="S978" s="224"/>
      <c r="T978" s="224"/>
      <c r="U978" s="259"/>
      <c r="V978" s="239"/>
      <c r="W978" s="239"/>
      <c r="X978" s="239"/>
      <c r="Y978" s="239"/>
      <c r="Z978" s="239"/>
      <c r="AA978" s="257"/>
      <c r="AB978" s="224"/>
      <c r="AC978" s="224"/>
      <c r="AD978" s="224"/>
      <c r="AE978" s="224"/>
      <c r="AF978" s="224"/>
      <c r="AG978" s="259"/>
      <c r="AH978" s="261"/>
      <c r="AI978" s="261"/>
      <c r="AJ978" s="261"/>
      <c r="AK978" s="261"/>
      <c r="AL978" s="261"/>
      <c r="AM978" s="262"/>
    </row>
    <row r="979" spans="1:39" x14ac:dyDescent="0.25">
      <c r="A979" s="215"/>
      <c r="B979" s="215"/>
      <c r="C979" s="215"/>
      <c r="D979" s="239"/>
      <c r="E979" s="239"/>
      <c r="F979" s="239"/>
      <c r="G979" s="239"/>
      <c r="H979" s="239"/>
      <c r="I979" s="257"/>
      <c r="J979" s="240"/>
      <c r="K979" s="240"/>
      <c r="L979" s="240"/>
      <c r="M979" s="240"/>
      <c r="N979" s="240"/>
      <c r="O979" s="258"/>
      <c r="P979" s="224"/>
      <c r="Q979" s="224"/>
      <c r="R979" s="224"/>
      <c r="S979" s="224"/>
      <c r="T979" s="224"/>
      <c r="U979" s="259"/>
      <c r="V979" s="239"/>
      <c r="W979" s="239"/>
      <c r="X979" s="239"/>
      <c r="Y979" s="239"/>
      <c r="Z979" s="239"/>
      <c r="AA979" s="257"/>
      <c r="AB979" s="224"/>
      <c r="AC979" s="224"/>
      <c r="AD979" s="224"/>
      <c r="AE979" s="224"/>
      <c r="AF979" s="224"/>
      <c r="AG979" s="259"/>
      <c r="AH979" s="261"/>
      <c r="AI979" s="261"/>
      <c r="AJ979" s="261"/>
      <c r="AK979" s="261"/>
      <c r="AL979" s="261"/>
      <c r="AM979" s="262"/>
    </row>
    <row r="980" spans="1:39" x14ac:dyDescent="0.25">
      <c r="A980" s="215"/>
      <c r="B980" s="215"/>
      <c r="C980" s="215"/>
      <c r="D980" s="239"/>
      <c r="E980" s="239"/>
      <c r="F980" s="239"/>
      <c r="G980" s="239"/>
      <c r="H980" s="239"/>
      <c r="I980" s="257"/>
      <c r="J980" s="240"/>
      <c r="K980" s="240"/>
      <c r="L980" s="240"/>
      <c r="M980" s="240"/>
      <c r="N980" s="240"/>
      <c r="O980" s="258"/>
      <c r="P980" s="224"/>
      <c r="Q980" s="224"/>
      <c r="R980" s="224"/>
      <c r="S980" s="224"/>
      <c r="T980" s="224"/>
      <c r="U980" s="259"/>
      <c r="V980" s="239"/>
      <c r="W980" s="239"/>
      <c r="X980" s="239"/>
      <c r="Y980" s="239"/>
      <c r="Z980" s="239"/>
      <c r="AA980" s="257"/>
      <c r="AB980" s="224"/>
      <c r="AC980" s="224"/>
      <c r="AD980" s="224"/>
      <c r="AE980" s="224"/>
      <c r="AF980" s="224"/>
      <c r="AG980" s="259"/>
      <c r="AH980" s="261"/>
      <c r="AI980" s="261"/>
      <c r="AJ980" s="261"/>
      <c r="AK980" s="261"/>
      <c r="AL980" s="261"/>
      <c r="AM980" s="262"/>
    </row>
    <row r="981" spans="1:39" x14ac:dyDescent="0.25">
      <c r="A981" s="215"/>
      <c r="B981" s="215"/>
      <c r="C981" s="215"/>
      <c r="D981" s="239"/>
      <c r="E981" s="239"/>
      <c r="F981" s="239"/>
      <c r="G981" s="239"/>
      <c r="H981" s="239"/>
      <c r="I981" s="257"/>
      <c r="J981" s="240"/>
      <c r="K981" s="240"/>
      <c r="L981" s="240"/>
      <c r="M981" s="240"/>
      <c r="N981" s="240"/>
      <c r="O981" s="258"/>
      <c r="P981" s="224"/>
      <c r="Q981" s="224"/>
      <c r="R981" s="224"/>
      <c r="S981" s="224"/>
      <c r="T981" s="224"/>
      <c r="U981" s="259"/>
      <c r="V981" s="239"/>
      <c r="W981" s="239"/>
      <c r="X981" s="239"/>
      <c r="Y981" s="239"/>
      <c r="Z981" s="239"/>
      <c r="AA981" s="257"/>
      <c r="AB981" s="224"/>
      <c r="AC981" s="224"/>
      <c r="AD981" s="224"/>
      <c r="AE981" s="224"/>
      <c r="AF981" s="224"/>
      <c r="AG981" s="259"/>
      <c r="AH981" s="261"/>
      <c r="AI981" s="261"/>
      <c r="AJ981" s="261"/>
      <c r="AK981" s="261"/>
      <c r="AL981" s="261"/>
      <c r="AM981" s="262"/>
    </row>
    <row r="982" spans="1:39" x14ac:dyDescent="0.25">
      <c r="A982" s="215"/>
      <c r="B982" s="215"/>
      <c r="C982" s="215"/>
      <c r="D982" s="239"/>
      <c r="E982" s="239"/>
      <c r="F982" s="239"/>
      <c r="G982" s="239"/>
      <c r="H982" s="239"/>
      <c r="I982" s="257"/>
      <c r="J982" s="240"/>
      <c r="K982" s="240"/>
      <c r="L982" s="240"/>
      <c r="M982" s="240"/>
      <c r="N982" s="240"/>
      <c r="O982" s="258"/>
      <c r="P982" s="224"/>
      <c r="Q982" s="224"/>
      <c r="R982" s="224"/>
      <c r="S982" s="224"/>
      <c r="T982" s="224"/>
      <c r="U982" s="259"/>
      <c r="V982" s="239"/>
      <c r="W982" s="239"/>
      <c r="X982" s="239"/>
      <c r="Y982" s="239"/>
      <c r="Z982" s="239"/>
      <c r="AA982" s="257"/>
      <c r="AB982" s="224"/>
      <c r="AC982" s="224"/>
      <c r="AD982" s="224"/>
      <c r="AE982" s="224"/>
      <c r="AF982" s="224"/>
      <c r="AG982" s="259"/>
      <c r="AH982" s="261"/>
      <c r="AI982" s="261"/>
      <c r="AJ982" s="261"/>
      <c r="AK982" s="261"/>
      <c r="AL982" s="261"/>
      <c r="AM982" s="262"/>
    </row>
    <row r="983" spans="1:39" x14ac:dyDescent="0.25">
      <c r="A983" s="215"/>
      <c r="B983" s="215"/>
      <c r="C983" s="215"/>
      <c r="D983" s="239"/>
      <c r="E983" s="239"/>
      <c r="F983" s="239"/>
      <c r="G983" s="239"/>
      <c r="H983" s="239"/>
      <c r="I983" s="257"/>
      <c r="J983" s="240"/>
      <c r="K983" s="240"/>
      <c r="L983" s="240"/>
      <c r="M983" s="240"/>
      <c r="N983" s="240"/>
      <c r="O983" s="258"/>
      <c r="P983" s="224"/>
      <c r="Q983" s="224"/>
      <c r="R983" s="224"/>
      <c r="S983" s="224"/>
      <c r="T983" s="224"/>
      <c r="U983" s="259"/>
      <c r="V983" s="239"/>
      <c r="W983" s="239"/>
      <c r="X983" s="239"/>
      <c r="Y983" s="239"/>
      <c r="Z983" s="239"/>
      <c r="AA983" s="257"/>
      <c r="AB983" s="224"/>
      <c r="AC983" s="224"/>
      <c r="AD983" s="224"/>
      <c r="AE983" s="224"/>
      <c r="AF983" s="224"/>
      <c r="AG983" s="259"/>
      <c r="AH983" s="261"/>
      <c r="AI983" s="261"/>
      <c r="AJ983" s="261"/>
      <c r="AK983" s="261"/>
      <c r="AL983" s="261"/>
      <c r="AM983" s="262"/>
    </row>
    <row r="984" spans="1:39" x14ac:dyDescent="0.25">
      <c r="A984" s="215"/>
      <c r="B984" s="215"/>
      <c r="C984" s="215"/>
      <c r="D984" s="239"/>
      <c r="E984" s="239"/>
      <c r="F984" s="239"/>
      <c r="G984" s="239"/>
      <c r="H984" s="239"/>
      <c r="I984" s="257"/>
      <c r="J984" s="240"/>
      <c r="K984" s="240"/>
      <c r="L984" s="240"/>
      <c r="M984" s="240"/>
      <c r="N984" s="240"/>
      <c r="O984" s="258"/>
      <c r="P984" s="224"/>
      <c r="Q984" s="224"/>
      <c r="R984" s="224"/>
      <c r="S984" s="224"/>
      <c r="T984" s="224"/>
      <c r="U984" s="259"/>
      <c r="V984" s="239"/>
      <c r="W984" s="239"/>
      <c r="X984" s="239"/>
      <c r="Y984" s="239"/>
      <c r="Z984" s="239"/>
      <c r="AA984" s="257"/>
      <c r="AB984" s="224"/>
      <c r="AC984" s="224"/>
      <c r="AD984" s="224"/>
      <c r="AE984" s="224"/>
      <c r="AF984" s="224"/>
      <c r="AG984" s="259"/>
      <c r="AH984" s="261"/>
      <c r="AI984" s="261"/>
      <c r="AJ984" s="261"/>
      <c r="AK984" s="261"/>
      <c r="AL984" s="261"/>
      <c r="AM984" s="262"/>
    </row>
    <row r="985" spans="1:39" x14ac:dyDescent="0.25">
      <c r="A985" s="215"/>
      <c r="B985" s="215"/>
      <c r="C985" s="215"/>
      <c r="D985" s="239"/>
      <c r="E985" s="239"/>
      <c r="F985" s="239"/>
      <c r="G985" s="239"/>
      <c r="H985" s="239"/>
      <c r="I985" s="257"/>
      <c r="J985" s="240"/>
      <c r="K985" s="240"/>
      <c r="L985" s="240"/>
      <c r="M985" s="240"/>
      <c r="N985" s="240"/>
      <c r="O985" s="258"/>
      <c r="P985" s="224"/>
      <c r="Q985" s="224"/>
      <c r="R985" s="224"/>
      <c r="S985" s="224"/>
      <c r="T985" s="224"/>
      <c r="U985" s="259"/>
      <c r="V985" s="239"/>
      <c r="W985" s="239"/>
      <c r="X985" s="239"/>
      <c r="Y985" s="239"/>
      <c r="Z985" s="239"/>
      <c r="AA985" s="257"/>
      <c r="AB985" s="224"/>
      <c r="AC985" s="224"/>
      <c r="AD985" s="224"/>
      <c r="AE985" s="224"/>
      <c r="AF985" s="224"/>
      <c r="AG985" s="259"/>
      <c r="AH985" s="261"/>
      <c r="AI985" s="261"/>
      <c r="AJ985" s="261"/>
      <c r="AK985" s="261"/>
      <c r="AL985" s="261"/>
      <c r="AM985" s="262"/>
    </row>
    <row r="986" spans="1:39" x14ac:dyDescent="0.25">
      <c r="A986" s="215"/>
      <c r="B986" s="215"/>
      <c r="C986" s="215"/>
      <c r="D986" s="239"/>
      <c r="E986" s="239"/>
      <c r="F986" s="239"/>
      <c r="G986" s="239"/>
      <c r="H986" s="239"/>
      <c r="I986" s="257"/>
      <c r="J986" s="240"/>
      <c r="K986" s="240"/>
      <c r="L986" s="240"/>
      <c r="M986" s="240"/>
      <c r="N986" s="240"/>
      <c r="O986" s="258"/>
      <c r="P986" s="224"/>
      <c r="Q986" s="224"/>
      <c r="R986" s="224"/>
      <c r="S986" s="224"/>
      <c r="T986" s="224"/>
      <c r="U986" s="259"/>
      <c r="V986" s="239"/>
      <c r="W986" s="239"/>
      <c r="X986" s="239"/>
      <c r="Y986" s="239"/>
      <c r="Z986" s="239"/>
      <c r="AA986" s="257"/>
      <c r="AB986" s="224"/>
      <c r="AC986" s="224"/>
      <c r="AD986" s="224"/>
      <c r="AE986" s="224"/>
      <c r="AF986" s="224"/>
      <c r="AG986" s="259"/>
      <c r="AH986" s="261"/>
      <c r="AI986" s="261"/>
      <c r="AJ986" s="261"/>
      <c r="AK986" s="261"/>
      <c r="AL986" s="261"/>
      <c r="AM986" s="262"/>
    </row>
    <row r="987" spans="1:39" x14ac:dyDescent="0.25">
      <c r="A987" s="215"/>
      <c r="B987" s="215"/>
      <c r="C987" s="215"/>
      <c r="D987" s="239"/>
      <c r="E987" s="239"/>
      <c r="F987" s="239"/>
      <c r="G987" s="239"/>
      <c r="H987" s="239"/>
      <c r="I987" s="257"/>
      <c r="J987" s="240"/>
      <c r="K987" s="240"/>
      <c r="L987" s="240"/>
      <c r="M987" s="240"/>
      <c r="N987" s="240"/>
      <c r="O987" s="258"/>
      <c r="P987" s="224"/>
      <c r="Q987" s="224"/>
      <c r="R987" s="224"/>
      <c r="S987" s="224"/>
      <c r="T987" s="224"/>
      <c r="U987" s="259"/>
      <c r="V987" s="239"/>
      <c r="W987" s="239"/>
      <c r="X987" s="239"/>
      <c r="Y987" s="239"/>
      <c r="Z987" s="239"/>
      <c r="AA987" s="257"/>
      <c r="AB987" s="224"/>
      <c r="AC987" s="224"/>
      <c r="AD987" s="224"/>
      <c r="AE987" s="224"/>
      <c r="AF987" s="224"/>
      <c r="AG987" s="259"/>
      <c r="AH987" s="261"/>
      <c r="AI987" s="261"/>
      <c r="AJ987" s="261"/>
      <c r="AK987" s="261"/>
      <c r="AL987" s="261"/>
      <c r="AM987" s="262"/>
    </row>
    <row r="988" spans="1:39" x14ac:dyDescent="0.25">
      <c r="A988" s="215"/>
      <c r="B988" s="215"/>
      <c r="C988" s="215"/>
      <c r="D988" s="239"/>
      <c r="E988" s="239"/>
      <c r="F988" s="239"/>
      <c r="G988" s="239"/>
      <c r="H988" s="239"/>
      <c r="I988" s="257"/>
      <c r="J988" s="240"/>
      <c r="K988" s="240"/>
      <c r="L988" s="240"/>
      <c r="M988" s="240"/>
      <c r="N988" s="240"/>
      <c r="O988" s="258"/>
      <c r="P988" s="224"/>
      <c r="Q988" s="224"/>
      <c r="R988" s="224"/>
      <c r="S988" s="224"/>
      <c r="T988" s="224"/>
      <c r="U988" s="259"/>
      <c r="V988" s="239"/>
      <c r="W988" s="239"/>
      <c r="X988" s="239"/>
      <c r="Y988" s="239"/>
      <c r="Z988" s="239"/>
      <c r="AA988" s="257"/>
      <c r="AB988" s="224"/>
      <c r="AC988" s="224"/>
      <c r="AD988" s="224"/>
      <c r="AE988" s="224"/>
      <c r="AF988" s="224"/>
      <c r="AG988" s="259"/>
      <c r="AH988" s="261"/>
      <c r="AI988" s="261"/>
      <c r="AJ988" s="261"/>
      <c r="AK988" s="261"/>
      <c r="AL988" s="261"/>
      <c r="AM988" s="262"/>
    </row>
    <row r="989" spans="1:39" x14ac:dyDescent="0.25">
      <c r="A989" s="215"/>
      <c r="B989" s="215"/>
      <c r="C989" s="215"/>
      <c r="D989" s="239"/>
      <c r="E989" s="239"/>
      <c r="F989" s="239"/>
      <c r="G989" s="239"/>
      <c r="H989" s="239"/>
      <c r="I989" s="257"/>
      <c r="J989" s="240"/>
      <c r="K989" s="240"/>
      <c r="L989" s="240"/>
      <c r="M989" s="240"/>
      <c r="N989" s="240"/>
      <c r="O989" s="258"/>
      <c r="P989" s="224"/>
      <c r="Q989" s="224"/>
      <c r="R989" s="224"/>
      <c r="S989" s="224"/>
      <c r="T989" s="224"/>
      <c r="U989" s="259"/>
      <c r="V989" s="239"/>
      <c r="W989" s="239"/>
      <c r="X989" s="239"/>
      <c r="Y989" s="239"/>
      <c r="Z989" s="239"/>
      <c r="AA989" s="257"/>
      <c r="AB989" s="224"/>
      <c r="AC989" s="224"/>
      <c r="AD989" s="224"/>
      <c r="AE989" s="224"/>
      <c r="AF989" s="224"/>
      <c r="AG989" s="259"/>
      <c r="AH989" s="261"/>
      <c r="AI989" s="261"/>
      <c r="AJ989" s="261"/>
      <c r="AK989" s="261"/>
      <c r="AL989" s="261"/>
      <c r="AM989" s="262"/>
    </row>
    <row r="990" spans="1:39" x14ac:dyDescent="0.25">
      <c r="A990" s="215"/>
      <c r="B990" s="215"/>
      <c r="C990" s="215"/>
      <c r="D990" s="239"/>
      <c r="E990" s="239"/>
      <c r="F990" s="239"/>
      <c r="G990" s="239"/>
      <c r="H990" s="239"/>
      <c r="I990" s="257"/>
      <c r="J990" s="240"/>
      <c r="K990" s="240"/>
      <c r="L990" s="240"/>
      <c r="M990" s="240"/>
      <c r="N990" s="240"/>
      <c r="O990" s="258"/>
      <c r="P990" s="224"/>
      <c r="Q990" s="224"/>
      <c r="R990" s="224"/>
      <c r="S990" s="224"/>
      <c r="T990" s="224"/>
      <c r="U990" s="259"/>
      <c r="V990" s="239"/>
      <c r="W990" s="239"/>
      <c r="X990" s="239"/>
      <c r="Y990" s="239"/>
      <c r="Z990" s="239"/>
      <c r="AA990" s="257"/>
      <c r="AB990" s="224"/>
      <c r="AC990" s="224"/>
      <c r="AD990" s="224"/>
      <c r="AE990" s="224"/>
      <c r="AF990" s="224"/>
      <c r="AG990" s="259"/>
      <c r="AH990" s="261"/>
      <c r="AI990" s="261"/>
      <c r="AJ990" s="261"/>
      <c r="AK990" s="261"/>
      <c r="AL990" s="261"/>
      <c r="AM990" s="262"/>
    </row>
    <row r="991" spans="1:39" x14ac:dyDescent="0.25">
      <c r="A991" s="215"/>
      <c r="B991" s="215"/>
      <c r="C991" s="215"/>
      <c r="D991" s="239"/>
      <c r="E991" s="239"/>
      <c r="F991" s="239"/>
      <c r="G991" s="239"/>
      <c r="H991" s="239"/>
      <c r="I991" s="257"/>
      <c r="J991" s="240"/>
      <c r="K991" s="240"/>
      <c r="L991" s="240"/>
      <c r="M991" s="240"/>
      <c r="N991" s="240"/>
      <c r="O991" s="258"/>
      <c r="P991" s="224"/>
      <c r="Q991" s="224"/>
      <c r="R991" s="224"/>
      <c r="S991" s="224"/>
      <c r="T991" s="224"/>
      <c r="U991" s="259"/>
      <c r="V991" s="239"/>
      <c r="W991" s="239"/>
      <c r="X991" s="239"/>
      <c r="Y991" s="239"/>
      <c r="Z991" s="239"/>
      <c r="AA991" s="257"/>
      <c r="AB991" s="224"/>
      <c r="AC991" s="224"/>
      <c r="AD991" s="224"/>
      <c r="AE991" s="224"/>
      <c r="AF991" s="224"/>
      <c r="AG991" s="259"/>
      <c r="AH991" s="261"/>
      <c r="AI991" s="261"/>
      <c r="AJ991" s="261"/>
      <c r="AK991" s="261"/>
      <c r="AL991" s="261"/>
      <c r="AM991" s="262"/>
    </row>
    <row r="992" spans="1:39" x14ac:dyDescent="0.25">
      <c r="A992" s="215"/>
      <c r="B992" s="215"/>
      <c r="C992" s="215"/>
      <c r="D992" s="239"/>
      <c r="E992" s="239"/>
      <c r="F992" s="239"/>
      <c r="G992" s="239"/>
      <c r="H992" s="239"/>
      <c r="I992" s="257"/>
      <c r="J992" s="240"/>
      <c r="K992" s="240"/>
      <c r="L992" s="240"/>
      <c r="M992" s="240"/>
      <c r="N992" s="240"/>
      <c r="O992" s="258"/>
      <c r="P992" s="224"/>
      <c r="Q992" s="224"/>
      <c r="R992" s="224"/>
      <c r="S992" s="224"/>
      <c r="T992" s="224"/>
      <c r="U992" s="259"/>
      <c r="V992" s="239"/>
      <c r="W992" s="239"/>
      <c r="X992" s="239"/>
      <c r="Y992" s="239"/>
      <c r="Z992" s="239"/>
      <c r="AA992" s="257"/>
      <c r="AB992" s="224"/>
      <c r="AC992" s="224"/>
      <c r="AD992" s="224"/>
      <c r="AE992" s="224"/>
      <c r="AF992" s="224"/>
      <c r="AG992" s="259"/>
      <c r="AH992" s="261"/>
      <c r="AI992" s="261"/>
      <c r="AJ992" s="261"/>
      <c r="AK992" s="261"/>
      <c r="AL992" s="261"/>
      <c r="AM992" s="262"/>
    </row>
    <row r="993" spans="1:39" x14ac:dyDescent="0.25">
      <c r="A993" s="215"/>
      <c r="B993" s="215"/>
      <c r="C993" s="215"/>
      <c r="D993" s="239"/>
      <c r="E993" s="239"/>
      <c r="F993" s="239"/>
      <c r="G993" s="239"/>
      <c r="H993" s="239"/>
      <c r="I993" s="257"/>
      <c r="J993" s="240"/>
      <c r="K993" s="240"/>
      <c r="L993" s="240"/>
      <c r="M993" s="240"/>
      <c r="N993" s="240"/>
      <c r="O993" s="258"/>
      <c r="P993" s="224"/>
      <c r="Q993" s="224"/>
      <c r="R993" s="224"/>
      <c r="S993" s="224"/>
      <c r="T993" s="224"/>
      <c r="U993" s="259"/>
      <c r="V993" s="239"/>
      <c r="W993" s="239"/>
      <c r="X993" s="239"/>
      <c r="Y993" s="239"/>
      <c r="Z993" s="239"/>
      <c r="AA993" s="257"/>
      <c r="AB993" s="224"/>
      <c r="AC993" s="224"/>
      <c r="AD993" s="224"/>
      <c r="AE993" s="224"/>
      <c r="AF993" s="224"/>
      <c r="AG993" s="259"/>
      <c r="AH993" s="261"/>
      <c r="AI993" s="261"/>
      <c r="AJ993" s="261"/>
      <c r="AK993" s="261"/>
      <c r="AL993" s="261"/>
      <c r="AM993" s="262"/>
    </row>
    <row r="994" spans="1:39" x14ac:dyDescent="0.25">
      <c r="A994" s="215"/>
      <c r="B994" s="215"/>
      <c r="C994" s="215"/>
      <c r="D994" s="239"/>
      <c r="E994" s="239"/>
      <c r="F994" s="239"/>
      <c r="G994" s="239"/>
      <c r="H994" s="239"/>
      <c r="I994" s="257"/>
      <c r="J994" s="240"/>
      <c r="K994" s="240"/>
      <c r="L994" s="240"/>
      <c r="M994" s="240"/>
      <c r="N994" s="240"/>
      <c r="O994" s="258"/>
      <c r="P994" s="224"/>
      <c r="Q994" s="224"/>
      <c r="R994" s="224"/>
      <c r="S994" s="224"/>
      <c r="T994" s="224"/>
      <c r="U994" s="259"/>
      <c r="V994" s="239"/>
      <c r="W994" s="239"/>
      <c r="X994" s="239"/>
      <c r="Y994" s="239"/>
      <c r="Z994" s="239"/>
      <c r="AA994" s="257"/>
      <c r="AB994" s="224"/>
      <c r="AC994" s="224"/>
      <c r="AD994" s="224"/>
      <c r="AE994" s="224"/>
      <c r="AF994" s="224"/>
      <c r="AG994" s="259"/>
      <c r="AH994" s="261"/>
      <c r="AI994" s="261"/>
      <c r="AJ994" s="261"/>
      <c r="AK994" s="261"/>
      <c r="AL994" s="261"/>
      <c r="AM994" s="262"/>
    </row>
    <row r="995" spans="1:39" x14ac:dyDescent="0.25">
      <c r="A995" s="215"/>
      <c r="B995" s="215"/>
      <c r="C995" s="215"/>
      <c r="D995" s="239"/>
      <c r="E995" s="239"/>
      <c r="F995" s="239"/>
      <c r="G995" s="239"/>
      <c r="H995" s="239"/>
      <c r="I995" s="257"/>
      <c r="J995" s="240"/>
      <c r="K995" s="240"/>
      <c r="L995" s="240"/>
      <c r="M995" s="240"/>
      <c r="N995" s="240"/>
      <c r="O995" s="258"/>
      <c r="P995" s="224"/>
      <c r="Q995" s="224"/>
      <c r="R995" s="224"/>
      <c r="S995" s="224"/>
      <c r="T995" s="224"/>
      <c r="U995" s="259"/>
      <c r="V995" s="239"/>
      <c r="W995" s="239"/>
      <c r="X995" s="239"/>
      <c r="Y995" s="239"/>
      <c r="Z995" s="239"/>
      <c r="AA995" s="257"/>
      <c r="AB995" s="224"/>
      <c r="AC995" s="224"/>
      <c r="AD995" s="224"/>
      <c r="AE995" s="224"/>
      <c r="AF995" s="224"/>
      <c r="AG995" s="259"/>
      <c r="AH995" s="261"/>
      <c r="AI995" s="261"/>
      <c r="AJ995" s="261"/>
      <c r="AK995" s="261"/>
      <c r="AL995" s="261"/>
      <c r="AM995" s="262"/>
    </row>
    <row r="996" spans="1:39" x14ac:dyDescent="0.25">
      <c r="A996" s="215"/>
      <c r="B996" s="215"/>
      <c r="C996" s="215"/>
      <c r="D996" s="239"/>
      <c r="E996" s="239"/>
      <c r="F996" s="239"/>
      <c r="G996" s="239"/>
      <c r="H996" s="239"/>
      <c r="I996" s="257"/>
      <c r="J996" s="240"/>
      <c r="K996" s="240"/>
      <c r="L996" s="240"/>
      <c r="M996" s="240"/>
      <c r="N996" s="240"/>
      <c r="O996" s="258"/>
      <c r="P996" s="224"/>
      <c r="Q996" s="224"/>
      <c r="R996" s="224"/>
      <c r="S996" s="224"/>
      <c r="T996" s="224"/>
      <c r="U996" s="259"/>
      <c r="V996" s="239"/>
      <c r="W996" s="239"/>
      <c r="X996" s="239"/>
      <c r="Y996" s="239"/>
      <c r="Z996" s="239"/>
      <c r="AA996" s="257"/>
      <c r="AB996" s="224"/>
      <c r="AC996" s="224"/>
      <c r="AD996" s="224"/>
      <c r="AE996" s="224"/>
      <c r="AF996" s="224"/>
      <c r="AG996" s="259"/>
      <c r="AH996" s="261"/>
      <c r="AI996" s="261"/>
      <c r="AJ996" s="261"/>
      <c r="AK996" s="261"/>
      <c r="AL996" s="261"/>
      <c r="AM996" s="262"/>
    </row>
    <row r="997" spans="1:39" x14ac:dyDescent="0.25">
      <c r="A997" s="215"/>
      <c r="B997" s="215"/>
      <c r="C997" s="215"/>
      <c r="D997" s="239"/>
      <c r="E997" s="239"/>
      <c r="F997" s="239"/>
      <c r="G997" s="239"/>
      <c r="H997" s="239"/>
      <c r="I997" s="257"/>
      <c r="J997" s="240"/>
      <c r="K997" s="240"/>
      <c r="L997" s="240"/>
      <c r="M997" s="240"/>
      <c r="N997" s="240"/>
      <c r="O997" s="258"/>
      <c r="P997" s="224"/>
      <c r="Q997" s="224"/>
      <c r="R997" s="224"/>
      <c r="S997" s="224"/>
      <c r="T997" s="224"/>
      <c r="U997" s="259"/>
      <c r="V997" s="239"/>
      <c r="W997" s="239"/>
      <c r="X997" s="239"/>
      <c r="Y997" s="239"/>
      <c r="Z997" s="239"/>
      <c r="AA997" s="257"/>
      <c r="AB997" s="224"/>
      <c r="AC997" s="224"/>
      <c r="AD997" s="224"/>
      <c r="AE997" s="224"/>
      <c r="AF997" s="224"/>
      <c r="AG997" s="259"/>
      <c r="AH997" s="261"/>
      <c r="AI997" s="261"/>
      <c r="AJ997" s="261"/>
      <c r="AK997" s="261"/>
      <c r="AL997" s="261"/>
      <c r="AM997" s="262"/>
    </row>
    <row r="998" spans="1:39" x14ac:dyDescent="0.25">
      <c r="A998" s="215"/>
      <c r="B998" s="215"/>
      <c r="C998" s="215"/>
      <c r="D998" s="239"/>
      <c r="E998" s="239"/>
      <c r="F998" s="239"/>
      <c r="G998" s="239"/>
      <c r="H998" s="239"/>
      <c r="I998" s="257"/>
      <c r="J998" s="240"/>
      <c r="K998" s="240"/>
      <c r="L998" s="240"/>
      <c r="M998" s="240"/>
      <c r="N998" s="240"/>
      <c r="O998" s="258"/>
      <c r="P998" s="224"/>
      <c r="Q998" s="224"/>
      <c r="R998" s="224"/>
      <c r="S998" s="224"/>
      <c r="T998" s="224"/>
      <c r="U998" s="259"/>
      <c r="V998" s="239"/>
      <c r="W998" s="239"/>
      <c r="X998" s="239"/>
      <c r="Y998" s="239"/>
      <c r="Z998" s="239"/>
      <c r="AA998" s="257"/>
      <c r="AB998" s="224"/>
      <c r="AC998" s="224"/>
      <c r="AD998" s="224"/>
      <c r="AE998" s="224"/>
      <c r="AF998" s="224"/>
      <c r="AG998" s="259"/>
      <c r="AH998" s="261"/>
      <c r="AI998" s="261"/>
      <c r="AJ998" s="261"/>
      <c r="AK998" s="261"/>
      <c r="AL998" s="261"/>
      <c r="AM998" s="262"/>
    </row>
    <row r="999" spans="1:39" x14ac:dyDescent="0.25">
      <c r="A999" s="215"/>
      <c r="B999" s="215"/>
      <c r="C999" s="215"/>
      <c r="D999" s="239"/>
      <c r="E999" s="239"/>
      <c r="F999" s="239"/>
      <c r="G999" s="239"/>
      <c r="H999" s="239"/>
      <c r="I999" s="257"/>
      <c r="J999" s="240"/>
      <c r="K999" s="240"/>
      <c r="L999" s="240"/>
      <c r="M999" s="240"/>
      <c r="N999" s="240"/>
      <c r="O999" s="258"/>
      <c r="P999" s="224"/>
      <c r="Q999" s="224"/>
      <c r="R999" s="224"/>
      <c r="S999" s="224"/>
      <c r="T999" s="224"/>
      <c r="U999" s="259"/>
      <c r="V999" s="239"/>
      <c r="W999" s="239"/>
      <c r="X999" s="239"/>
      <c r="Y999" s="239"/>
      <c r="Z999" s="239"/>
      <c r="AA999" s="257"/>
      <c r="AB999" s="224"/>
      <c r="AC999" s="224"/>
      <c r="AD999" s="224"/>
      <c r="AE999" s="224"/>
      <c r="AF999" s="224"/>
      <c r="AG999" s="259"/>
      <c r="AH999" s="261"/>
      <c r="AI999" s="261"/>
      <c r="AJ999" s="261"/>
      <c r="AK999" s="261"/>
      <c r="AL999" s="261"/>
      <c r="AM999" s="262"/>
    </row>
    <row r="1000" spans="1:39" x14ac:dyDescent="0.25">
      <c r="A1000" s="215"/>
      <c r="B1000" s="215"/>
      <c r="C1000" s="215"/>
      <c r="D1000" s="239"/>
      <c r="E1000" s="239"/>
      <c r="F1000" s="239"/>
      <c r="G1000" s="239"/>
      <c r="H1000" s="239"/>
      <c r="I1000" s="257"/>
      <c r="J1000" s="240"/>
      <c r="K1000" s="240"/>
      <c r="L1000" s="240"/>
      <c r="M1000" s="240"/>
      <c r="N1000" s="240"/>
      <c r="O1000" s="258"/>
      <c r="P1000" s="224"/>
      <c r="Q1000" s="224"/>
      <c r="R1000" s="224"/>
      <c r="S1000" s="224"/>
      <c r="T1000" s="224"/>
      <c r="U1000" s="259"/>
      <c r="V1000" s="239"/>
      <c r="W1000" s="239"/>
      <c r="X1000" s="239"/>
      <c r="Y1000" s="239"/>
      <c r="Z1000" s="239"/>
      <c r="AA1000" s="257"/>
      <c r="AB1000" s="224"/>
      <c r="AC1000" s="224"/>
      <c r="AD1000" s="224"/>
      <c r="AE1000" s="224"/>
      <c r="AF1000" s="224"/>
      <c r="AG1000" s="259"/>
      <c r="AH1000" s="261"/>
      <c r="AI1000" s="261"/>
      <c r="AJ1000" s="261"/>
      <c r="AK1000" s="261"/>
      <c r="AL1000" s="261"/>
      <c r="AM1000" s="262"/>
    </row>
    <row r="1001" spans="1:39" x14ac:dyDescent="0.25">
      <c r="A1001" s="215"/>
      <c r="B1001" s="215"/>
      <c r="C1001" s="215"/>
      <c r="D1001" s="239"/>
      <c r="E1001" s="239"/>
      <c r="F1001" s="239"/>
      <c r="G1001" s="239"/>
      <c r="H1001" s="239"/>
      <c r="I1001" s="257"/>
      <c r="J1001" s="240"/>
      <c r="K1001" s="240"/>
      <c r="L1001" s="240"/>
      <c r="M1001" s="240"/>
      <c r="N1001" s="240"/>
      <c r="O1001" s="258"/>
      <c r="P1001" s="224"/>
      <c r="Q1001" s="224"/>
      <c r="R1001" s="224"/>
      <c r="S1001" s="224"/>
      <c r="T1001" s="224"/>
      <c r="U1001" s="259"/>
      <c r="V1001" s="239"/>
      <c r="W1001" s="239"/>
      <c r="X1001" s="239"/>
      <c r="Y1001" s="239"/>
      <c r="Z1001" s="239"/>
      <c r="AA1001" s="257"/>
      <c r="AB1001" s="224"/>
      <c r="AC1001" s="224"/>
      <c r="AD1001" s="224"/>
      <c r="AE1001" s="224"/>
      <c r="AF1001" s="224"/>
      <c r="AG1001" s="259"/>
      <c r="AH1001" s="261"/>
      <c r="AI1001" s="261"/>
      <c r="AJ1001" s="261"/>
      <c r="AK1001" s="261"/>
      <c r="AL1001" s="261"/>
      <c r="AM1001" s="262"/>
    </row>
    <row r="1002" spans="1:39" x14ac:dyDescent="0.25">
      <c r="A1002" s="215"/>
      <c r="B1002" s="215"/>
      <c r="C1002" s="215"/>
      <c r="D1002" s="239"/>
      <c r="E1002" s="239"/>
      <c r="F1002" s="239"/>
      <c r="G1002" s="239"/>
      <c r="H1002" s="239"/>
      <c r="I1002" s="257"/>
      <c r="J1002" s="240"/>
      <c r="K1002" s="240"/>
      <c r="L1002" s="240"/>
      <c r="M1002" s="240"/>
      <c r="N1002" s="240"/>
      <c r="O1002" s="258"/>
      <c r="P1002" s="224"/>
      <c r="Q1002" s="224"/>
      <c r="R1002" s="224"/>
      <c r="S1002" s="224"/>
      <c r="T1002" s="224"/>
      <c r="U1002" s="259"/>
      <c r="V1002" s="239"/>
      <c r="W1002" s="239"/>
      <c r="X1002" s="239"/>
      <c r="Y1002" s="239"/>
      <c r="Z1002" s="239"/>
      <c r="AA1002" s="257"/>
      <c r="AB1002" s="224"/>
      <c r="AC1002" s="224"/>
      <c r="AD1002" s="224"/>
      <c r="AE1002" s="224"/>
      <c r="AF1002" s="224"/>
      <c r="AG1002" s="259"/>
      <c r="AH1002" s="261"/>
      <c r="AI1002" s="261"/>
      <c r="AJ1002" s="261"/>
      <c r="AK1002" s="261"/>
      <c r="AL1002" s="261"/>
      <c r="AM1002" s="262"/>
    </row>
    <row r="1003" spans="1:39" x14ac:dyDescent="0.25">
      <c r="A1003" s="215"/>
      <c r="B1003" s="215"/>
      <c r="C1003" s="215"/>
      <c r="D1003" s="239"/>
      <c r="E1003" s="239"/>
      <c r="F1003" s="239"/>
      <c r="G1003" s="239"/>
      <c r="H1003" s="239"/>
      <c r="I1003" s="257"/>
      <c r="J1003" s="240"/>
      <c r="K1003" s="240"/>
      <c r="L1003" s="240"/>
      <c r="M1003" s="240"/>
      <c r="N1003" s="240"/>
      <c r="O1003" s="258"/>
      <c r="P1003" s="224"/>
      <c r="Q1003" s="224"/>
      <c r="R1003" s="224"/>
      <c r="S1003" s="224"/>
      <c r="T1003" s="224"/>
      <c r="U1003" s="259"/>
      <c r="V1003" s="239"/>
      <c r="W1003" s="239"/>
      <c r="X1003" s="239"/>
      <c r="Y1003" s="239"/>
      <c r="Z1003" s="239"/>
      <c r="AA1003" s="257"/>
      <c r="AB1003" s="224"/>
      <c r="AC1003" s="224"/>
      <c r="AD1003" s="224"/>
      <c r="AE1003" s="224"/>
      <c r="AF1003" s="224"/>
      <c r="AG1003" s="259"/>
      <c r="AH1003" s="261"/>
      <c r="AI1003" s="261"/>
      <c r="AJ1003" s="261"/>
      <c r="AK1003" s="261"/>
      <c r="AL1003" s="261"/>
      <c r="AM1003" s="262"/>
    </row>
    <row r="1004" spans="1:39" x14ac:dyDescent="0.25">
      <c r="A1004" s="215"/>
      <c r="B1004" s="215"/>
      <c r="C1004" s="215"/>
      <c r="D1004" s="239"/>
      <c r="E1004" s="239"/>
      <c r="F1004" s="239"/>
      <c r="G1004" s="239"/>
      <c r="H1004" s="239"/>
      <c r="I1004" s="257"/>
      <c r="J1004" s="240"/>
      <c r="K1004" s="240"/>
      <c r="L1004" s="240"/>
      <c r="M1004" s="240"/>
      <c r="N1004" s="240"/>
      <c r="O1004" s="258"/>
      <c r="P1004" s="224"/>
      <c r="Q1004" s="224"/>
      <c r="R1004" s="224"/>
      <c r="S1004" s="224"/>
      <c r="T1004" s="224"/>
      <c r="U1004" s="259"/>
      <c r="V1004" s="239"/>
      <c r="W1004" s="239"/>
      <c r="X1004" s="239"/>
      <c r="Y1004" s="239"/>
      <c r="Z1004" s="239"/>
      <c r="AA1004" s="257"/>
      <c r="AB1004" s="224"/>
      <c r="AC1004" s="224"/>
      <c r="AD1004" s="224"/>
      <c r="AE1004" s="224"/>
      <c r="AF1004" s="224"/>
      <c r="AG1004" s="259"/>
      <c r="AH1004" s="261"/>
      <c r="AI1004" s="261"/>
      <c r="AJ1004" s="261"/>
      <c r="AK1004" s="261"/>
      <c r="AL1004" s="261"/>
      <c r="AM1004" s="262"/>
    </row>
    <row r="1005" spans="1:39" x14ac:dyDescent="0.25">
      <c r="A1005" s="215"/>
      <c r="B1005" s="215"/>
      <c r="C1005" s="215"/>
      <c r="D1005" s="239"/>
      <c r="E1005" s="239"/>
      <c r="F1005" s="239"/>
      <c r="G1005" s="239"/>
      <c r="H1005" s="239"/>
      <c r="I1005" s="257"/>
      <c r="J1005" s="240"/>
      <c r="K1005" s="240"/>
      <c r="L1005" s="240"/>
      <c r="M1005" s="240"/>
      <c r="N1005" s="240"/>
      <c r="O1005" s="258"/>
      <c r="P1005" s="224"/>
      <c r="Q1005" s="224"/>
      <c r="R1005" s="224"/>
      <c r="S1005" s="224"/>
      <c r="T1005" s="224"/>
      <c r="U1005" s="259"/>
      <c r="V1005" s="239"/>
      <c r="W1005" s="239"/>
      <c r="X1005" s="239"/>
      <c r="Y1005" s="239"/>
      <c r="Z1005" s="239"/>
      <c r="AA1005" s="257"/>
      <c r="AB1005" s="224"/>
      <c r="AC1005" s="224"/>
      <c r="AD1005" s="224"/>
      <c r="AE1005" s="224"/>
      <c r="AF1005" s="224"/>
      <c r="AG1005" s="259"/>
      <c r="AH1005" s="261"/>
      <c r="AI1005" s="261"/>
      <c r="AJ1005" s="261"/>
      <c r="AK1005" s="261"/>
      <c r="AL1005" s="261"/>
      <c r="AM1005" s="262"/>
    </row>
    <row r="1006" spans="1:39" x14ac:dyDescent="0.25">
      <c r="A1006" s="215"/>
      <c r="B1006" s="215"/>
      <c r="C1006" s="215"/>
      <c r="D1006" s="239"/>
      <c r="E1006" s="239"/>
      <c r="F1006" s="239"/>
      <c r="G1006" s="239"/>
      <c r="H1006" s="239"/>
      <c r="I1006" s="257"/>
      <c r="J1006" s="240"/>
      <c r="K1006" s="240"/>
      <c r="L1006" s="240"/>
      <c r="M1006" s="240"/>
      <c r="N1006" s="240"/>
      <c r="O1006" s="258"/>
      <c r="P1006" s="224"/>
      <c r="Q1006" s="224"/>
      <c r="R1006" s="224"/>
      <c r="S1006" s="224"/>
      <c r="T1006" s="224"/>
      <c r="U1006" s="259"/>
      <c r="V1006" s="239"/>
      <c r="W1006" s="239"/>
      <c r="X1006" s="239"/>
      <c r="Y1006" s="239"/>
      <c r="Z1006" s="239"/>
      <c r="AA1006" s="257"/>
      <c r="AB1006" s="224"/>
      <c r="AC1006" s="224"/>
      <c r="AD1006" s="224"/>
      <c r="AE1006" s="224"/>
      <c r="AF1006" s="224"/>
      <c r="AG1006" s="259"/>
      <c r="AH1006" s="261"/>
      <c r="AI1006" s="261"/>
      <c r="AJ1006" s="261"/>
      <c r="AK1006" s="261"/>
      <c r="AL1006" s="261"/>
      <c r="AM1006" s="262"/>
    </row>
    <row r="1007" spans="1:39" x14ac:dyDescent="0.25">
      <c r="A1007" s="215"/>
      <c r="B1007" s="215"/>
      <c r="C1007" s="215"/>
      <c r="D1007" s="239"/>
      <c r="E1007" s="239"/>
      <c r="F1007" s="239"/>
      <c r="G1007" s="239"/>
      <c r="H1007" s="239"/>
      <c r="I1007" s="257"/>
      <c r="J1007" s="240"/>
      <c r="K1007" s="240"/>
      <c r="L1007" s="240"/>
      <c r="M1007" s="240"/>
      <c r="N1007" s="240"/>
      <c r="O1007" s="258"/>
      <c r="P1007" s="224"/>
      <c r="Q1007" s="224"/>
      <c r="R1007" s="224"/>
      <c r="S1007" s="224"/>
      <c r="T1007" s="224"/>
      <c r="U1007" s="259"/>
      <c r="V1007" s="239"/>
      <c r="W1007" s="239"/>
      <c r="X1007" s="239"/>
      <c r="Y1007" s="239"/>
      <c r="Z1007" s="239"/>
      <c r="AA1007" s="257"/>
      <c r="AB1007" s="224"/>
      <c r="AC1007" s="224"/>
      <c r="AD1007" s="224"/>
      <c r="AE1007" s="224"/>
      <c r="AF1007" s="224"/>
      <c r="AG1007" s="259"/>
      <c r="AH1007" s="261"/>
      <c r="AI1007" s="261"/>
      <c r="AJ1007" s="261"/>
      <c r="AK1007" s="261"/>
      <c r="AL1007" s="261"/>
      <c r="AM1007" s="262"/>
    </row>
    <row r="1008" spans="1:39" x14ac:dyDescent="0.25">
      <c r="A1008" s="215"/>
      <c r="B1008" s="215"/>
      <c r="C1008" s="215"/>
      <c r="D1008" s="239"/>
      <c r="E1008" s="239"/>
      <c r="F1008" s="239"/>
      <c r="G1008" s="239"/>
      <c r="H1008" s="239"/>
      <c r="I1008" s="257"/>
      <c r="J1008" s="240"/>
      <c r="K1008" s="240"/>
      <c r="L1008" s="240"/>
      <c r="M1008" s="240"/>
      <c r="N1008" s="240"/>
      <c r="O1008" s="258"/>
      <c r="P1008" s="224"/>
      <c r="Q1008" s="224"/>
      <c r="R1008" s="224"/>
      <c r="S1008" s="224"/>
      <c r="T1008" s="224"/>
      <c r="U1008" s="259"/>
      <c r="V1008" s="239"/>
      <c r="W1008" s="239"/>
      <c r="X1008" s="239"/>
      <c r="Y1008" s="239"/>
      <c r="Z1008" s="239"/>
      <c r="AA1008" s="257"/>
      <c r="AB1008" s="224"/>
      <c r="AC1008" s="224"/>
      <c r="AD1008" s="224"/>
      <c r="AE1008" s="224"/>
      <c r="AF1008" s="224"/>
      <c r="AG1008" s="259"/>
      <c r="AH1008" s="261"/>
      <c r="AI1008" s="261"/>
      <c r="AJ1008" s="261"/>
      <c r="AK1008" s="261"/>
      <c r="AL1008" s="261"/>
      <c r="AM1008" s="262"/>
    </row>
    <row r="1009" spans="1:39" x14ac:dyDescent="0.25">
      <c r="A1009" s="215"/>
      <c r="B1009" s="215"/>
      <c r="C1009" s="215"/>
      <c r="D1009" s="239"/>
      <c r="E1009" s="239"/>
      <c r="F1009" s="239"/>
      <c r="G1009" s="239"/>
      <c r="H1009" s="239"/>
      <c r="I1009" s="257"/>
      <c r="J1009" s="240"/>
      <c r="K1009" s="240"/>
      <c r="L1009" s="240"/>
      <c r="M1009" s="240"/>
      <c r="N1009" s="240"/>
      <c r="O1009" s="258"/>
      <c r="P1009" s="224"/>
      <c r="Q1009" s="224"/>
      <c r="R1009" s="224"/>
      <c r="S1009" s="224"/>
      <c r="T1009" s="224"/>
      <c r="U1009" s="259"/>
      <c r="V1009" s="239"/>
      <c r="W1009" s="239"/>
      <c r="X1009" s="239"/>
      <c r="Y1009" s="239"/>
      <c r="Z1009" s="239"/>
      <c r="AA1009" s="257"/>
      <c r="AB1009" s="224"/>
      <c r="AC1009" s="224"/>
      <c r="AD1009" s="224"/>
      <c r="AE1009" s="224"/>
      <c r="AF1009" s="224"/>
      <c r="AG1009" s="259"/>
      <c r="AH1009" s="261"/>
      <c r="AI1009" s="261"/>
      <c r="AJ1009" s="261"/>
      <c r="AK1009" s="261"/>
      <c r="AL1009" s="261"/>
      <c r="AM1009" s="262"/>
    </row>
    <row r="1010" spans="1:39" x14ac:dyDescent="0.25">
      <c r="A1010" s="215"/>
      <c r="B1010" s="215"/>
      <c r="C1010" s="215"/>
      <c r="D1010" s="239"/>
      <c r="E1010" s="239"/>
      <c r="F1010" s="239"/>
      <c r="G1010" s="239"/>
      <c r="H1010" s="239"/>
      <c r="I1010" s="257"/>
      <c r="J1010" s="240"/>
      <c r="K1010" s="240"/>
      <c r="L1010" s="240"/>
      <c r="M1010" s="240"/>
      <c r="N1010" s="240"/>
      <c r="O1010" s="258"/>
      <c r="P1010" s="224"/>
      <c r="Q1010" s="224"/>
      <c r="R1010" s="224"/>
      <c r="S1010" s="224"/>
      <c r="T1010" s="224"/>
      <c r="U1010" s="259"/>
      <c r="V1010" s="239"/>
      <c r="W1010" s="239"/>
      <c r="X1010" s="239"/>
      <c r="Y1010" s="239"/>
      <c r="Z1010" s="239"/>
      <c r="AA1010" s="257"/>
      <c r="AB1010" s="224"/>
      <c r="AC1010" s="224"/>
      <c r="AD1010" s="224"/>
      <c r="AE1010" s="224"/>
      <c r="AF1010" s="224"/>
      <c r="AG1010" s="259"/>
      <c r="AH1010" s="261"/>
      <c r="AI1010" s="261"/>
      <c r="AJ1010" s="261"/>
      <c r="AK1010" s="261"/>
      <c r="AL1010" s="261"/>
      <c r="AM1010" s="262"/>
    </row>
    <row r="1011" spans="1:39" x14ac:dyDescent="0.25">
      <c r="A1011" s="215"/>
      <c r="B1011" s="215"/>
      <c r="C1011" s="215"/>
      <c r="D1011" s="239"/>
      <c r="E1011" s="239"/>
      <c r="F1011" s="239"/>
      <c r="G1011" s="239"/>
      <c r="H1011" s="239"/>
      <c r="I1011" s="257"/>
      <c r="J1011" s="240"/>
      <c r="K1011" s="240"/>
      <c r="L1011" s="240"/>
      <c r="M1011" s="240"/>
      <c r="N1011" s="240"/>
      <c r="O1011" s="258"/>
      <c r="P1011" s="224"/>
      <c r="Q1011" s="224"/>
      <c r="R1011" s="224"/>
      <c r="S1011" s="224"/>
      <c r="T1011" s="224"/>
      <c r="U1011" s="259"/>
      <c r="V1011" s="239"/>
      <c r="W1011" s="239"/>
      <c r="X1011" s="239"/>
      <c r="Y1011" s="239"/>
      <c r="Z1011" s="239"/>
      <c r="AA1011" s="257"/>
      <c r="AB1011" s="224"/>
      <c r="AC1011" s="224"/>
      <c r="AD1011" s="224"/>
      <c r="AE1011" s="224"/>
      <c r="AF1011" s="224"/>
      <c r="AG1011" s="259"/>
      <c r="AH1011" s="261"/>
      <c r="AI1011" s="261"/>
      <c r="AJ1011" s="261"/>
      <c r="AK1011" s="261"/>
      <c r="AL1011" s="261"/>
      <c r="AM1011" s="262"/>
    </row>
    <row r="1012" spans="1:39" x14ac:dyDescent="0.25">
      <c r="A1012" s="215"/>
      <c r="B1012" s="215"/>
      <c r="C1012" s="215"/>
      <c r="D1012" s="239"/>
      <c r="E1012" s="239"/>
      <c r="F1012" s="239"/>
      <c r="G1012" s="239"/>
      <c r="H1012" s="239"/>
      <c r="I1012" s="257"/>
      <c r="J1012" s="240"/>
      <c r="K1012" s="240"/>
      <c r="L1012" s="240"/>
      <c r="M1012" s="240"/>
      <c r="N1012" s="240"/>
      <c r="O1012" s="258"/>
      <c r="P1012" s="224"/>
      <c r="Q1012" s="224"/>
      <c r="R1012" s="224"/>
      <c r="S1012" s="224"/>
      <c r="T1012" s="224"/>
      <c r="U1012" s="259"/>
      <c r="V1012" s="239"/>
      <c r="W1012" s="239"/>
      <c r="X1012" s="239"/>
      <c r="Y1012" s="239"/>
      <c r="Z1012" s="239"/>
      <c r="AA1012" s="257"/>
      <c r="AB1012" s="224"/>
      <c r="AC1012" s="224"/>
      <c r="AD1012" s="224"/>
      <c r="AE1012" s="224"/>
      <c r="AF1012" s="224"/>
      <c r="AG1012" s="259"/>
      <c r="AH1012" s="261"/>
      <c r="AI1012" s="261"/>
      <c r="AJ1012" s="261"/>
      <c r="AK1012" s="261"/>
      <c r="AL1012" s="261"/>
      <c r="AM1012" s="262"/>
    </row>
    <row r="1013" spans="1:39" x14ac:dyDescent="0.25">
      <c r="A1013" s="215"/>
      <c r="B1013" s="215"/>
      <c r="C1013" s="215"/>
      <c r="D1013" s="239"/>
      <c r="E1013" s="239"/>
      <c r="F1013" s="239"/>
      <c r="G1013" s="239"/>
      <c r="H1013" s="239"/>
      <c r="I1013" s="257"/>
      <c r="J1013" s="240"/>
      <c r="K1013" s="240"/>
      <c r="L1013" s="240"/>
      <c r="M1013" s="240"/>
      <c r="N1013" s="240"/>
      <c r="O1013" s="258"/>
      <c r="P1013" s="224"/>
      <c r="Q1013" s="224"/>
      <c r="R1013" s="224"/>
      <c r="S1013" s="224"/>
      <c r="T1013" s="224"/>
      <c r="U1013" s="259"/>
      <c r="V1013" s="239"/>
      <c r="W1013" s="239"/>
      <c r="X1013" s="239"/>
      <c r="Y1013" s="239"/>
      <c r="Z1013" s="239"/>
      <c r="AA1013" s="257"/>
      <c r="AB1013" s="224"/>
      <c r="AC1013" s="224"/>
      <c r="AD1013" s="224"/>
      <c r="AE1013" s="224"/>
      <c r="AF1013" s="224"/>
      <c r="AG1013" s="259"/>
      <c r="AH1013" s="261"/>
      <c r="AI1013" s="261"/>
      <c r="AJ1013" s="261"/>
      <c r="AK1013" s="261"/>
      <c r="AL1013" s="261"/>
      <c r="AM1013" s="262"/>
    </row>
    <row r="1014" spans="1:39" x14ac:dyDescent="0.25">
      <c r="A1014" s="215"/>
      <c r="B1014" s="215"/>
      <c r="C1014" s="215"/>
      <c r="D1014" s="239"/>
      <c r="E1014" s="239"/>
      <c r="F1014" s="239"/>
      <c r="G1014" s="239"/>
      <c r="H1014" s="239"/>
      <c r="I1014" s="257"/>
      <c r="J1014" s="240"/>
      <c r="K1014" s="240"/>
      <c r="L1014" s="240"/>
      <c r="M1014" s="240"/>
      <c r="N1014" s="240"/>
      <c r="O1014" s="258"/>
      <c r="P1014" s="224"/>
      <c r="Q1014" s="224"/>
      <c r="R1014" s="224"/>
      <c r="S1014" s="224"/>
      <c r="T1014" s="224"/>
      <c r="U1014" s="259"/>
      <c r="V1014" s="239"/>
      <c r="W1014" s="239"/>
      <c r="X1014" s="239"/>
      <c r="Y1014" s="239"/>
      <c r="Z1014" s="239"/>
      <c r="AA1014" s="257"/>
      <c r="AB1014" s="224"/>
      <c r="AC1014" s="224"/>
      <c r="AD1014" s="224"/>
      <c r="AE1014" s="224"/>
      <c r="AF1014" s="224"/>
      <c r="AG1014" s="259"/>
      <c r="AH1014" s="261"/>
      <c r="AI1014" s="261"/>
      <c r="AJ1014" s="261"/>
      <c r="AK1014" s="261"/>
      <c r="AL1014" s="261"/>
      <c r="AM1014" s="262"/>
    </row>
    <row r="1015" spans="1:39" x14ac:dyDescent="0.25">
      <c r="A1015" s="215"/>
      <c r="B1015" s="215"/>
      <c r="C1015" s="215"/>
      <c r="D1015" s="239"/>
      <c r="E1015" s="239"/>
      <c r="F1015" s="239"/>
      <c r="G1015" s="239"/>
      <c r="H1015" s="239"/>
      <c r="I1015" s="257"/>
      <c r="J1015" s="240"/>
      <c r="K1015" s="240"/>
      <c r="L1015" s="240"/>
      <c r="M1015" s="240"/>
      <c r="N1015" s="240"/>
      <c r="O1015" s="258"/>
      <c r="P1015" s="224"/>
      <c r="Q1015" s="224"/>
      <c r="R1015" s="224"/>
      <c r="S1015" s="224"/>
      <c r="T1015" s="224"/>
      <c r="U1015" s="259"/>
      <c r="V1015" s="239"/>
      <c r="W1015" s="239"/>
      <c r="X1015" s="239"/>
      <c r="Y1015" s="239"/>
      <c r="Z1015" s="239"/>
      <c r="AA1015" s="257"/>
      <c r="AB1015" s="224"/>
      <c r="AC1015" s="224"/>
      <c r="AD1015" s="224"/>
      <c r="AE1015" s="224"/>
      <c r="AF1015" s="224"/>
      <c r="AG1015" s="259"/>
      <c r="AH1015" s="261"/>
      <c r="AI1015" s="261"/>
      <c r="AJ1015" s="261"/>
      <c r="AK1015" s="261"/>
      <c r="AL1015" s="261"/>
      <c r="AM1015" s="262"/>
    </row>
    <row r="1016" spans="1:39" x14ac:dyDescent="0.25">
      <c r="A1016" s="215"/>
      <c r="B1016" s="215"/>
      <c r="C1016" s="215"/>
      <c r="D1016" s="239"/>
      <c r="E1016" s="239"/>
      <c r="F1016" s="239"/>
      <c r="G1016" s="239"/>
      <c r="H1016" s="239"/>
      <c r="I1016" s="257"/>
      <c r="J1016" s="240"/>
      <c r="K1016" s="240"/>
      <c r="L1016" s="240"/>
      <c r="M1016" s="240"/>
      <c r="N1016" s="240"/>
      <c r="O1016" s="258"/>
      <c r="P1016" s="224"/>
      <c r="Q1016" s="224"/>
      <c r="R1016" s="224"/>
      <c r="S1016" s="224"/>
      <c r="T1016" s="224"/>
      <c r="U1016" s="259"/>
      <c r="V1016" s="239"/>
      <c r="W1016" s="239"/>
      <c r="X1016" s="239"/>
      <c r="Y1016" s="239"/>
      <c r="Z1016" s="239"/>
      <c r="AA1016" s="257"/>
      <c r="AB1016" s="224"/>
      <c r="AC1016" s="224"/>
      <c r="AD1016" s="224"/>
      <c r="AE1016" s="224"/>
      <c r="AF1016" s="224"/>
      <c r="AG1016" s="259"/>
      <c r="AH1016" s="261"/>
      <c r="AI1016" s="261"/>
      <c r="AJ1016" s="261"/>
      <c r="AK1016" s="261"/>
      <c r="AL1016" s="261"/>
      <c r="AM1016" s="262"/>
    </row>
    <row r="1017" spans="1:39" x14ac:dyDescent="0.25">
      <c r="A1017" s="215"/>
      <c r="B1017" s="215"/>
      <c r="C1017" s="215"/>
      <c r="D1017" s="239"/>
      <c r="E1017" s="239"/>
      <c r="F1017" s="239"/>
      <c r="G1017" s="239"/>
      <c r="H1017" s="239"/>
      <c r="I1017" s="257"/>
      <c r="J1017" s="240"/>
      <c r="K1017" s="240"/>
      <c r="L1017" s="240"/>
      <c r="M1017" s="240"/>
      <c r="N1017" s="240"/>
      <c r="O1017" s="258"/>
      <c r="P1017" s="224"/>
      <c r="Q1017" s="224"/>
      <c r="R1017" s="224"/>
      <c r="S1017" s="224"/>
      <c r="T1017" s="224"/>
      <c r="U1017" s="259"/>
      <c r="V1017" s="239"/>
      <c r="W1017" s="239"/>
      <c r="X1017" s="239"/>
      <c r="Y1017" s="239"/>
      <c r="Z1017" s="239"/>
      <c r="AA1017" s="257"/>
      <c r="AB1017" s="224"/>
      <c r="AC1017" s="224"/>
      <c r="AD1017" s="224"/>
      <c r="AE1017" s="224"/>
      <c r="AF1017" s="224"/>
      <c r="AG1017" s="259"/>
      <c r="AH1017" s="261"/>
      <c r="AI1017" s="261"/>
      <c r="AJ1017" s="261"/>
      <c r="AK1017" s="261"/>
      <c r="AL1017" s="261"/>
      <c r="AM1017" s="262"/>
    </row>
    <row r="1018" spans="1:39" x14ac:dyDescent="0.25">
      <c r="A1018" s="215"/>
      <c r="B1018" s="215"/>
      <c r="C1018" s="215"/>
      <c r="D1018" s="239"/>
      <c r="E1018" s="239"/>
      <c r="F1018" s="239"/>
      <c r="G1018" s="239"/>
      <c r="H1018" s="239"/>
      <c r="I1018" s="257"/>
      <c r="J1018" s="240"/>
      <c r="K1018" s="240"/>
      <c r="L1018" s="240"/>
      <c r="M1018" s="240"/>
      <c r="N1018" s="240"/>
      <c r="O1018" s="258"/>
      <c r="P1018" s="224"/>
      <c r="Q1018" s="224"/>
      <c r="R1018" s="224"/>
      <c r="S1018" s="224"/>
      <c r="T1018" s="224"/>
      <c r="U1018" s="259"/>
      <c r="V1018" s="239"/>
      <c r="W1018" s="239"/>
      <c r="X1018" s="239"/>
      <c r="Y1018" s="239"/>
      <c r="Z1018" s="239"/>
      <c r="AA1018" s="257"/>
      <c r="AB1018" s="224"/>
      <c r="AC1018" s="224"/>
      <c r="AD1018" s="224"/>
      <c r="AE1018" s="224"/>
      <c r="AF1018" s="224"/>
      <c r="AG1018" s="259"/>
      <c r="AH1018" s="261"/>
      <c r="AI1018" s="261"/>
      <c r="AJ1018" s="261"/>
      <c r="AK1018" s="261"/>
      <c r="AL1018" s="261"/>
      <c r="AM1018" s="262"/>
    </row>
    <row r="1019" spans="1:39" x14ac:dyDescent="0.25">
      <c r="A1019" s="215"/>
      <c r="B1019" s="215"/>
      <c r="C1019" s="215"/>
      <c r="D1019" s="239"/>
      <c r="E1019" s="239"/>
      <c r="F1019" s="239"/>
      <c r="G1019" s="239"/>
      <c r="H1019" s="239"/>
      <c r="I1019" s="257"/>
      <c r="J1019" s="240"/>
      <c r="K1019" s="240"/>
      <c r="L1019" s="240"/>
      <c r="M1019" s="240"/>
      <c r="N1019" s="240"/>
      <c r="O1019" s="258"/>
      <c r="P1019" s="224"/>
      <c r="Q1019" s="224"/>
      <c r="R1019" s="224"/>
      <c r="S1019" s="224"/>
      <c r="T1019" s="224"/>
      <c r="U1019" s="259"/>
      <c r="V1019" s="239"/>
      <c r="W1019" s="239"/>
      <c r="X1019" s="239"/>
      <c r="Y1019" s="239"/>
      <c r="Z1019" s="239"/>
      <c r="AA1019" s="257"/>
      <c r="AB1019" s="224"/>
      <c r="AC1019" s="224"/>
      <c r="AD1019" s="224"/>
      <c r="AE1019" s="224"/>
      <c r="AF1019" s="224"/>
      <c r="AG1019" s="259"/>
      <c r="AH1019" s="261"/>
      <c r="AI1019" s="261"/>
      <c r="AJ1019" s="261"/>
      <c r="AK1019" s="261"/>
      <c r="AL1019" s="261"/>
      <c r="AM1019" s="262"/>
    </row>
    <row r="1020" spans="1:39" x14ac:dyDescent="0.25">
      <c r="A1020" s="215"/>
      <c r="B1020" s="215"/>
      <c r="C1020" s="215"/>
      <c r="D1020" s="239"/>
      <c r="E1020" s="239"/>
      <c r="F1020" s="239"/>
      <c r="G1020" s="239"/>
      <c r="H1020" s="239"/>
      <c r="I1020" s="257"/>
      <c r="J1020" s="240"/>
      <c r="K1020" s="240"/>
      <c r="L1020" s="240"/>
      <c r="M1020" s="240"/>
      <c r="N1020" s="240"/>
      <c r="O1020" s="258"/>
      <c r="P1020" s="224"/>
      <c r="Q1020" s="224"/>
      <c r="R1020" s="224"/>
      <c r="S1020" s="224"/>
      <c r="T1020" s="224"/>
      <c r="U1020" s="259"/>
      <c r="V1020" s="239"/>
      <c r="W1020" s="239"/>
      <c r="X1020" s="239"/>
      <c r="Y1020" s="239"/>
      <c r="Z1020" s="239"/>
      <c r="AA1020" s="257"/>
      <c r="AB1020" s="224"/>
      <c r="AC1020" s="224"/>
      <c r="AD1020" s="224"/>
      <c r="AE1020" s="224"/>
      <c r="AF1020" s="224"/>
      <c r="AG1020" s="259"/>
      <c r="AH1020" s="261"/>
      <c r="AI1020" s="261"/>
      <c r="AJ1020" s="261"/>
      <c r="AK1020" s="261"/>
      <c r="AL1020" s="261"/>
      <c r="AM1020" s="262"/>
    </row>
    <row r="1021" spans="1:39" x14ac:dyDescent="0.25">
      <c r="A1021" s="215"/>
      <c r="B1021" s="215"/>
      <c r="C1021" s="215"/>
      <c r="D1021" s="239"/>
      <c r="E1021" s="239"/>
      <c r="F1021" s="239"/>
      <c r="G1021" s="239"/>
      <c r="H1021" s="239"/>
      <c r="I1021" s="257"/>
      <c r="J1021" s="240"/>
      <c r="K1021" s="240"/>
      <c r="L1021" s="240"/>
      <c r="M1021" s="240"/>
      <c r="N1021" s="240"/>
      <c r="O1021" s="258"/>
      <c r="P1021" s="224"/>
      <c r="Q1021" s="224"/>
      <c r="R1021" s="224"/>
      <c r="S1021" s="224"/>
      <c r="T1021" s="224"/>
      <c r="U1021" s="259"/>
      <c r="V1021" s="239"/>
      <c r="W1021" s="239"/>
      <c r="X1021" s="239"/>
      <c r="Y1021" s="239"/>
      <c r="Z1021" s="239"/>
      <c r="AA1021" s="257"/>
      <c r="AB1021" s="224"/>
      <c r="AC1021" s="224"/>
      <c r="AD1021" s="224"/>
      <c r="AE1021" s="224"/>
      <c r="AF1021" s="224"/>
      <c r="AG1021" s="259"/>
      <c r="AH1021" s="261"/>
      <c r="AI1021" s="261"/>
      <c r="AJ1021" s="261"/>
      <c r="AK1021" s="261"/>
      <c r="AL1021" s="261"/>
      <c r="AM1021" s="262"/>
    </row>
    <row r="1022" spans="1:39" x14ac:dyDescent="0.25">
      <c r="A1022" s="215"/>
      <c r="B1022" s="215"/>
      <c r="C1022" s="215"/>
      <c r="D1022" s="239"/>
      <c r="E1022" s="239"/>
      <c r="F1022" s="239"/>
      <c r="G1022" s="239"/>
      <c r="H1022" s="239"/>
      <c r="I1022" s="257"/>
      <c r="J1022" s="240"/>
      <c r="K1022" s="240"/>
      <c r="L1022" s="240"/>
      <c r="M1022" s="240"/>
      <c r="N1022" s="240"/>
      <c r="O1022" s="258"/>
      <c r="P1022" s="224"/>
      <c r="Q1022" s="224"/>
      <c r="R1022" s="224"/>
      <c r="S1022" s="224"/>
      <c r="T1022" s="224"/>
      <c r="U1022" s="259"/>
      <c r="V1022" s="239"/>
      <c r="W1022" s="239"/>
      <c r="X1022" s="239"/>
      <c r="Y1022" s="239"/>
      <c r="Z1022" s="239"/>
      <c r="AA1022" s="257"/>
      <c r="AB1022" s="224"/>
      <c r="AC1022" s="224"/>
      <c r="AD1022" s="224"/>
      <c r="AE1022" s="224"/>
      <c r="AF1022" s="224"/>
      <c r="AG1022" s="259"/>
      <c r="AH1022" s="261"/>
      <c r="AI1022" s="261"/>
      <c r="AJ1022" s="261"/>
      <c r="AK1022" s="261"/>
      <c r="AL1022" s="261"/>
      <c r="AM1022" s="262"/>
    </row>
    <row r="1023" spans="1:39" x14ac:dyDescent="0.25">
      <c r="A1023" s="215"/>
      <c r="B1023" s="215"/>
      <c r="C1023" s="215"/>
      <c r="D1023" s="239"/>
      <c r="E1023" s="239"/>
      <c r="F1023" s="239"/>
      <c r="G1023" s="239"/>
      <c r="H1023" s="239"/>
      <c r="I1023" s="257"/>
      <c r="J1023" s="240"/>
      <c r="K1023" s="240"/>
      <c r="L1023" s="240"/>
      <c r="M1023" s="240"/>
      <c r="N1023" s="240"/>
      <c r="O1023" s="258"/>
      <c r="P1023" s="224"/>
      <c r="Q1023" s="224"/>
      <c r="R1023" s="224"/>
      <c r="S1023" s="224"/>
      <c r="T1023" s="224"/>
      <c r="U1023" s="259"/>
      <c r="V1023" s="239"/>
      <c r="W1023" s="239"/>
      <c r="X1023" s="239"/>
      <c r="Y1023" s="239"/>
      <c r="Z1023" s="239"/>
      <c r="AA1023" s="257"/>
      <c r="AB1023" s="224"/>
      <c r="AC1023" s="224"/>
      <c r="AD1023" s="224"/>
      <c r="AE1023" s="224"/>
      <c r="AF1023" s="224"/>
      <c r="AG1023" s="259"/>
      <c r="AH1023" s="261"/>
      <c r="AI1023" s="261"/>
      <c r="AJ1023" s="261"/>
      <c r="AK1023" s="261"/>
      <c r="AL1023" s="261"/>
      <c r="AM1023" s="262"/>
    </row>
    <row r="1024" spans="1:39" x14ac:dyDescent="0.25">
      <c r="A1024" s="215"/>
      <c r="B1024" s="215"/>
      <c r="C1024" s="215"/>
      <c r="D1024" s="239"/>
      <c r="E1024" s="239"/>
      <c r="F1024" s="239"/>
      <c r="G1024" s="239"/>
      <c r="H1024" s="239"/>
      <c r="I1024" s="257"/>
      <c r="J1024" s="240"/>
      <c r="K1024" s="240"/>
      <c r="L1024" s="240"/>
      <c r="M1024" s="240"/>
      <c r="N1024" s="240"/>
      <c r="O1024" s="258"/>
      <c r="P1024" s="224"/>
      <c r="Q1024" s="224"/>
      <c r="R1024" s="224"/>
      <c r="S1024" s="224"/>
      <c r="T1024" s="224"/>
      <c r="U1024" s="259"/>
      <c r="V1024" s="239"/>
      <c r="W1024" s="239"/>
      <c r="X1024" s="239"/>
      <c r="Y1024" s="239"/>
      <c r="Z1024" s="239"/>
      <c r="AA1024" s="257"/>
      <c r="AB1024" s="224"/>
      <c r="AC1024" s="224"/>
      <c r="AD1024" s="224"/>
      <c r="AE1024" s="224"/>
      <c r="AF1024" s="224"/>
      <c r="AG1024" s="259"/>
      <c r="AH1024" s="261"/>
      <c r="AI1024" s="261"/>
      <c r="AJ1024" s="261"/>
      <c r="AK1024" s="261"/>
      <c r="AL1024" s="261"/>
      <c r="AM1024" s="262"/>
    </row>
    <row r="1025" spans="1:39" x14ac:dyDescent="0.25">
      <c r="A1025" s="215"/>
      <c r="B1025" s="215"/>
      <c r="C1025" s="215"/>
      <c r="D1025" s="239"/>
      <c r="E1025" s="239"/>
      <c r="F1025" s="239"/>
      <c r="G1025" s="239"/>
      <c r="H1025" s="239"/>
      <c r="I1025" s="257"/>
      <c r="J1025" s="240"/>
      <c r="K1025" s="240"/>
      <c r="L1025" s="240"/>
      <c r="M1025" s="240"/>
      <c r="N1025" s="240"/>
      <c r="O1025" s="258"/>
      <c r="P1025" s="224"/>
      <c r="Q1025" s="224"/>
      <c r="R1025" s="224"/>
      <c r="S1025" s="224"/>
      <c r="T1025" s="224"/>
      <c r="U1025" s="259"/>
      <c r="V1025" s="239"/>
      <c r="W1025" s="239"/>
      <c r="X1025" s="239"/>
      <c r="Y1025" s="239"/>
      <c r="Z1025" s="239"/>
      <c r="AA1025" s="257"/>
      <c r="AB1025" s="224"/>
      <c r="AC1025" s="224"/>
      <c r="AD1025" s="224"/>
      <c r="AE1025" s="224"/>
      <c r="AF1025" s="224"/>
      <c r="AG1025" s="259"/>
      <c r="AH1025" s="261"/>
      <c r="AI1025" s="261"/>
      <c r="AJ1025" s="261"/>
      <c r="AK1025" s="261"/>
      <c r="AL1025" s="261"/>
      <c r="AM1025" s="262"/>
    </row>
    <row r="1026" spans="1:39" x14ac:dyDescent="0.25">
      <c r="A1026" s="215"/>
      <c r="B1026" s="215"/>
      <c r="C1026" s="215"/>
      <c r="D1026" s="239"/>
      <c r="E1026" s="239"/>
      <c r="F1026" s="239"/>
      <c r="G1026" s="239"/>
      <c r="H1026" s="239"/>
      <c r="I1026" s="257"/>
      <c r="J1026" s="240"/>
      <c r="K1026" s="240"/>
      <c r="L1026" s="240"/>
      <c r="M1026" s="240"/>
      <c r="N1026" s="240"/>
      <c r="O1026" s="258"/>
      <c r="P1026" s="224"/>
      <c r="Q1026" s="224"/>
      <c r="R1026" s="224"/>
      <c r="S1026" s="224"/>
      <c r="T1026" s="224"/>
      <c r="U1026" s="259"/>
      <c r="V1026" s="239"/>
      <c r="W1026" s="239"/>
      <c r="X1026" s="239"/>
      <c r="Y1026" s="239"/>
      <c r="Z1026" s="239"/>
      <c r="AA1026" s="257"/>
      <c r="AB1026" s="224"/>
      <c r="AC1026" s="224"/>
      <c r="AD1026" s="224"/>
      <c r="AE1026" s="224"/>
      <c r="AF1026" s="224"/>
      <c r="AG1026" s="259"/>
      <c r="AH1026" s="261"/>
      <c r="AI1026" s="261"/>
      <c r="AJ1026" s="261"/>
      <c r="AK1026" s="261"/>
      <c r="AL1026" s="261"/>
      <c r="AM1026" s="262"/>
    </row>
    <row r="1027" spans="1:39" x14ac:dyDescent="0.25">
      <c r="A1027" s="215"/>
      <c r="B1027" s="215"/>
      <c r="C1027" s="215"/>
      <c r="D1027" s="239"/>
      <c r="E1027" s="239"/>
      <c r="F1027" s="239"/>
      <c r="G1027" s="239"/>
      <c r="H1027" s="239"/>
      <c r="I1027" s="257"/>
      <c r="J1027" s="240"/>
      <c r="K1027" s="240"/>
      <c r="L1027" s="240"/>
      <c r="M1027" s="240"/>
      <c r="N1027" s="240"/>
      <c r="O1027" s="258"/>
      <c r="P1027" s="224"/>
      <c r="Q1027" s="224"/>
      <c r="R1027" s="224"/>
      <c r="S1027" s="224"/>
      <c r="T1027" s="224"/>
      <c r="U1027" s="259"/>
      <c r="V1027" s="239"/>
      <c r="W1027" s="239"/>
      <c r="X1027" s="239"/>
      <c r="Y1027" s="239"/>
      <c r="Z1027" s="239"/>
      <c r="AA1027" s="257"/>
      <c r="AB1027" s="224"/>
      <c r="AC1027" s="224"/>
      <c r="AD1027" s="224"/>
      <c r="AE1027" s="224"/>
      <c r="AF1027" s="224"/>
      <c r="AG1027" s="259"/>
      <c r="AH1027" s="261"/>
      <c r="AI1027" s="261"/>
      <c r="AJ1027" s="261"/>
      <c r="AK1027" s="261"/>
      <c r="AL1027" s="261"/>
      <c r="AM1027" s="262"/>
    </row>
    <row r="1028" spans="1:39" x14ac:dyDescent="0.25">
      <c r="A1028" s="215"/>
      <c r="B1028" s="215"/>
      <c r="C1028" s="215"/>
      <c r="D1028" s="239"/>
      <c r="E1028" s="239"/>
      <c r="F1028" s="239"/>
      <c r="G1028" s="239"/>
      <c r="H1028" s="239"/>
      <c r="I1028" s="257"/>
      <c r="J1028" s="240"/>
      <c r="K1028" s="240"/>
      <c r="L1028" s="240"/>
      <c r="M1028" s="240"/>
      <c r="N1028" s="240"/>
      <c r="O1028" s="258"/>
      <c r="P1028" s="224"/>
      <c r="Q1028" s="224"/>
      <c r="R1028" s="224"/>
      <c r="S1028" s="224"/>
      <c r="T1028" s="224"/>
      <c r="U1028" s="259"/>
      <c r="V1028" s="239"/>
      <c r="W1028" s="239"/>
      <c r="X1028" s="239"/>
      <c r="Y1028" s="239"/>
      <c r="Z1028" s="239"/>
      <c r="AA1028" s="257"/>
      <c r="AB1028" s="224"/>
      <c r="AC1028" s="224"/>
      <c r="AD1028" s="224"/>
      <c r="AE1028" s="224"/>
      <c r="AF1028" s="224"/>
      <c r="AG1028" s="259"/>
      <c r="AH1028" s="261"/>
      <c r="AI1028" s="261"/>
      <c r="AJ1028" s="261"/>
      <c r="AK1028" s="261"/>
      <c r="AL1028" s="261"/>
      <c r="AM1028" s="262"/>
    </row>
    <row r="1029" spans="1:39" x14ac:dyDescent="0.25">
      <c r="A1029" s="215"/>
      <c r="B1029" s="215"/>
      <c r="C1029" s="215"/>
      <c r="D1029" s="239"/>
      <c r="E1029" s="239"/>
      <c r="F1029" s="239"/>
      <c r="G1029" s="239"/>
      <c r="H1029" s="239"/>
      <c r="I1029" s="257"/>
      <c r="J1029" s="240"/>
      <c r="K1029" s="240"/>
      <c r="L1029" s="240"/>
      <c r="M1029" s="240"/>
      <c r="N1029" s="240"/>
      <c r="O1029" s="258"/>
      <c r="P1029" s="224"/>
      <c r="Q1029" s="224"/>
      <c r="R1029" s="224"/>
      <c r="S1029" s="224"/>
      <c r="T1029" s="224"/>
      <c r="U1029" s="259"/>
      <c r="V1029" s="239"/>
      <c r="W1029" s="239"/>
      <c r="X1029" s="239"/>
      <c r="Y1029" s="239"/>
      <c r="Z1029" s="239"/>
      <c r="AA1029" s="257"/>
      <c r="AB1029" s="224"/>
      <c r="AC1029" s="224"/>
      <c r="AD1029" s="224"/>
      <c r="AE1029" s="224"/>
      <c r="AF1029" s="224"/>
      <c r="AG1029" s="259"/>
      <c r="AH1029" s="261"/>
      <c r="AI1029" s="261"/>
      <c r="AJ1029" s="261"/>
      <c r="AK1029" s="261"/>
      <c r="AL1029" s="261"/>
      <c r="AM1029" s="262"/>
    </row>
    <row r="1030" spans="1:39" x14ac:dyDescent="0.25">
      <c r="A1030" s="215"/>
      <c r="B1030" s="215"/>
      <c r="C1030" s="215"/>
      <c r="D1030" s="239"/>
      <c r="E1030" s="239"/>
      <c r="F1030" s="239"/>
      <c r="G1030" s="239"/>
      <c r="H1030" s="239"/>
      <c r="I1030" s="257"/>
      <c r="J1030" s="240"/>
      <c r="K1030" s="240"/>
      <c r="L1030" s="240"/>
      <c r="M1030" s="240"/>
      <c r="N1030" s="240"/>
      <c r="O1030" s="258"/>
      <c r="P1030" s="224"/>
      <c r="Q1030" s="224"/>
      <c r="R1030" s="224"/>
      <c r="S1030" s="224"/>
      <c r="T1030" s="224"/>
      <c r="U1030" s="259"/>
      <c r="V1030" s="239"/>
      <c r="W1030" s="239"/>
      <c r="X1030" s="239"/>
      <c r="Y1030" s="239"/>
      <c r="Z1030" s="239"/>
      <c r="AA1030" s="257"/>
      <c r="AB1030" s="224"/>
      <c r="AC1030" s="224"/>
      <c r="AD1030" s="224"/>
      <c r="AE1030" s="224"/>
      <c r="AF1030" s="224"/>
      <c r="AG1030" s="259"/>
      <c r="AH1030" s="261"/>
      <c r="AI1030" s="261"/>
      <c r="AJ1030" s="261"/>
      <c r="AK1030" s="261"/>
      <c r="AL1030" s="261"/>
      <c r="AM1030" s="262"/>
    </row>
    <row r="1031" spans="1:39" x14ac:dyDescent="0.25">
      <c r="A1031" s="215"/>
      <c r="B1031" s="215"/>
      <c r="C1031" s="215"/>
      <c r="D1031" s="239"/>
      <c r="E1031" s="239"/>
      <c r="F1031" s="239"/>
      <c r="G1031" s="239"/>
      <c r="H1031" s="239"/>
      <c r="I1031" s="257"/>
      <c r="J1031" s="240"/>
      <c r="K1031" s="240"/>
      <c r="L1031" s="240"/>
      <c r="M1031" s="240"/>
      <c r="N1031" s="240"/>
      <c r="O1031" s="258"/>
      <c r="P1031" s="224"/>
      <c r="Q1031" s="224"/>
      <c r="R1031" s="224"/>
      <c r="S1031" s="224"/>
      <c r="T1031" s="224"/>
      <c r="U1031" s="259"/>
      <c r="V1031" s="239"/>
      <c r="W1031" s="239"/>
      <c r="X1031" s="239"/>
      <c r="Y1031" s="239"/>
      <c r="Z1031" s="239"/>
      <c r="AA1031" s="257"/>
      <c r="AB1031" s="224"/>
      <c r="AC1031" s="224"/>
      <c r="AD1031" s="224"/>
      <c r="AE1031" s="224"/>
      <c r="AF1031" s="224"/>
      <c r="AG1031" s="259"/>
      <c r="AH1031" s="261"/>
      <c r="AI1031" s="261"/>
      <c r="AJ1031" s="261"/>
      <c r="AK1031" s="261"/>
      <c r="AL1031" s="261"/>
      <c r="AM1031" s="262"/>
    </row>
    <row r="1032" spans="1:39" x14ac:dyDescent="0.25">
      <c r="A1032" s="215"/>
      <c r="B1032" s="215"/>
      <c r="C1032" s="215"/>
      <c r="D1032" s="239"/>
      <c r="E1032" s="239"/>
      <c r="F1032" s="239"/>
      <c r="G1032" s="239"/>
      <c r="H1032" s="239"/>
      <c r="I1032" s="257"/>
      <c r="J1032" s="240"/>
      <c r="K1032" s="240"/>
      <c r="L1032" s="240"/>
      <c r="M1032" s="240"/>
      <c r="N1032" s="240"/>
      <c r="O1032" s="258"/>
      <c r="P1032" s="224"/>
      <c r="Q1032" s="224"/>
      <c r="R1032" s="224"/>
      <c r="S1032" s="224"/>
      <c r="T1032" s="224"/>
      <c r="U1032" s="259"/>
      <c r="V1032" s="239"/>
      <c r="W1032" s="239"/>
      <c r="X1032" s="239"/>
      <c r="Y1032" s="239"/>
      <c r="Z1032" s="239"/>
      <c r="AA1032" s="257"/>
      <c r="AB1032" s="224"/>
      <c r="AC1032" s="224"/>
      <c r="AD1032" s="224"/>
      <c r="AE1032" s="224"/>
      <c r="AF1032" s="224"/>
      <c r="AG1032" s="259"/>
      <c r="AH1032" s="261"/>
      <c r="AI1032" s="261"/>
      <c r="AJ1032" s="261"/>
      <c r="AK1032" s="261"/>
      <c r="AL1032" s="261"/>
      <c r="AM1032" s="262"/>
    </row>
    <row r="1033" spans="1:39" x14ac:dyDescent="0.25">
      <c r="A1033" s="215"/>
      <c r="B1033" s="215"/>
      <c r="C1033" s="215"/>
      <c r="D1033" s="239"/>
      <c r="E1033" s="239"/>
      <c r="F1033" s="239"/>
      <c r="G1033" s="239"/>
      <c r="H1033" s="239"/>
      <c r="I1033" s="257"/>
      <c r="J1033" s="240"/>
      <c r="K1033" s="240"/>
      <c r="L1033" s="240"/>
      <c r="M1033" s="240"/>
      <c r="N1033" s="240"/>
      <c r="O1033" s="258"/>
      <c r="P1033" s="224"/>
      <c r="Q1033" s="224"/>
      <c r="R1033" s="224"/>
      <c r="S1033" s="224"/>
      <c r="T1033" s="224"/>
      <c r="U1033" s="259"/>
      <c r="V1033" s="239"/>
      <c r="W1033" s="239"/>
      <c r="X1033" s="239"/>
      <c r="Y1033" s="239"/>
      <c r="Z1033" s="239"/>
      <c r="AA1033" s="257"/>
      <c r="AB1033" s="224"/>
      <c r="AC1033" s="224"/>
      <c r="AD1033" s="224"/>
      <c r="AE1033" s="224"/>
      <c r="AF1033" s="224"/>
      <c r="AG1033" s="259"/>
      <c r="AH1033" s="261"/>
      <c r="AI1033" s="261"/>
      <c r="AJ1033" s="261"/>
      <c r="AK1033" s="261"/>
      <c r="AL1033" s="261"/>
      <c r="AM1033" s="262"/>
    </row>
    <row r="1034" spans="1:39" x14ac:dyDescent="0.25">
      <c r="A1034" s="215"/>
      <c r="B1034" s="215"/>
      <c r="C1034" s="215"/>
      <c r="D1034" s="239"/>
      <c r="E1034" s="239"/>
      <c r="F1034" s="239"/>
      <c r="G1034" s="239"/>
      <c r="H1034" s="239"/>
      <c r="I1034" s="257"/>
      <c r="J1034" s="240"/>
      <c r="K1034" s="240"/>
      <c r="L1034" s="240"/>
      <c r="M1034" s="240"/>
      <c r="N1034" s="240"/>
      <c r="O1034" s="258"/>
      <c r="P1034" s="224"/>
      <c r="Q1034" s="224"/>
      <c r="R1034" s="224"/>
      <c r="S1034" s="224"/>
      <c r="T1034" s="224"/>
      <c r="U1034" s="259"/>
      <c r="V1034" s="239"/>
      <c r="W1034" s="239"/>
      <c r="X1034" s="239"/>
      <c r="Y1034" s="239"/>
      <c r="Z1034" s="239"/>
      <c r="AA1034" s="257"/>
      <c r="AB1034" s="224"/>
      <c r="AC1034" s="224"/>
      <c r="AD1034" s="224"/>
      <c r="AE1034" s="224"/>
      <c r="AF1034" s="224"/>
      <c r="AG1034" s="259"/>
      <c r="AH1034" s="261"/>
      <c r="AI1034" s="261"/>
      <c r="AJ1034" s="261"/>
      <c r="AK1034" s="261"/>
      <c r="AL1034" s="261"/>
      <c r="AM1034" s="262"/>
    </row>
    <row r="1035" spans="1:39" x14ac:dyDescent="0.25">
      <c r="A1035" s="215"/>
      <c r="B1035" s="215"/>
      <c r="C1035" s="215"/>
      <c r="D1035" s="239"/>
      <c r="E1035" s="239"/>
      <c r="F1035" s="239"/>
      <c r="G1035" s="239"/>
      <c r="H1035" s="239"/>
      <c r="I1035" s="257"/>
      <c r="J1035" s="240"/>
      <c r="K1035" s="240"/>
      <c r="L1035" s="240"/>
      <c r="M1035" s="240"/>
      <c r="N1035" s="240"/>
      <c r="O1035" s="258"/>
      <c r="P1035" s="224"/>
      <c r="Q1035" s="224"/>
      <c r="R1035" s="224"/>
      <c r="S1035" s="224"/>
      <c r="T1035" s="224"/>
      <c r="U1035" s="259"/>
      <c r="V1035" s="239"/>
      <c r="W1035" s="239"/>
      <c r="X1035" s="239"/>
      <c r="Y1035" s="239"/>
      <c r="Z1035" s="239"/>
      <c r="AA1035" s="257"/>
      <c r="AB1035" s="224"/>
      <c r="AC1035" s="224"/>
      <c r="AD1035" s="224"/>
      <c r="AE1035" s="224"/>
      <c r="AF1035" s="224"/>
      <c r="AG1035" s="259"/>
      <c r="AH1035" s="261"/>
      <c r="AI1035" s="261"/>
      <c r="AJ1035" s="261"/>
      <c r="AK1035" s="261"/>
      <c r="AL1035" s="261"/>
      <c r="AM1035" s="262"/>
    </row>
    <row r="1036" spans="1:39" x14ac:dyDescent="0.25">
      <c r="A1036" s="215"/>
      <c r="B1036" s="215"/>
      <c r="C1036" s="215"/>
      <c r="D1036" s="239"/>
      <c r="E1036" s="239"/>
      <c r="F1036" s="239"/>
      <c r="G1036" s="239"/>
      <c r="H1036" s="239"/>
      <c r="I1036" s="257"/>
      <c r="J1036" s="240"/>
      <c r="K1036" s="240"/>
      <c r="L1036" s="240"/>
      <c r="M1036" s="240"/>
      <c r="N1036" s="240"/>
      <c r="O1036" s="258"/>
      <c r="P1036" s="224"/>
      <c r="Q1036" s="224"/>
      <c r="R1036" s="224"/>
      <c r="S1036" s="224"/>
      <c r="T1036" s="224"/>
      <c r="U1036" s="259"/>
      <c r="V1036" s="239"/>
      <c r="W1036" s="239"/>
      <c r="X1036" s="239"/>
      <c r="Y1036" s="239"/>
      <c r="Z1036" s="239"/>
      <c r="AA1036" s="257"/>
      <c r="AB1036" s="224"/>
      <c r="AC1036" s="224"/>
      <c r="AD1036" s="224"/>
      <c r="AE1036" s="224"/>
      <c r="AF1036" s="224"/>
      <c r="AG1036" s="259"/>
      <c r="AH1036" s="261"/>
      <c r="AI1036" s="261"/>
      <c r="AJ1036" s="261"/>
      <c r="AK1036" s="261"/>
      <c r="AL1036" s="261"/>
      <c r="AM1036" s="262"/>
    </row>
    <row r="1037" spans="1:39" x14ac:dyDescent="0.25">
      <c r="A1037" s="215"/>
      <c r="B1037" s="215"/>
      <c r="C1037" s="215"/>
      <c r="D1037" s="239"/>
      <c r="E1037" s="239"/>
      <c r="F1037" s="239"/>
      <c r="G1037" s="239"/>
      <c r="H1037" s="239"/>
      <c r="I1037" s="257"/>
      <c r="J1037" s="240"/>
      <c r="K1037" s="240"/>
      <c r="L1037" s="240"/>
      <c r="M1037" s="240"/>
      <c r="N1037" s="240"/>
      <c r="O1037" s="258"/>
      <c r="P1037" s="224"/>
      <c r="Q1037" s="224"/>
      <c r="R1037" s="224"/>
      <c r="S1037" s="224"/>
      <c r="T1037" s="224"/>
      <c r="U1037" s="259"/>
      <c r="V1037" s="239"/>
      <c r="W1037" s="239"/>
      <c r="X1037" s="239"/>
      <c r="Y1037" s="239"/>
      <c r="Z1037" s="239"/>
      <c r="AA1037" s="257"/>
      <c r="AB1037" s="224"/>
      <c r="AC1037" s="224"/>
      <c r="AD1037" s="224"/>
      <c r="AE1037" s="224"/>
      <c r="AF1037" s="224"/>
      <c r="AG1037" s="259"/>
      <c r="AH1037" s="261"/>
      <c r="AI1037" s="261"/>
      <c r="AJ1037" s="261"/>
      <c r="AK1037" s="261"/>
      <c r="AL1037" s="261"/>
      <c r="AM1037" s="262"/>
    </row>
    <row r="1038" spans="1:39" x14ac:dyDescent="0.25">
      <c r="A1038" s="215"/>
      <c r="B1038" s="215"/>
      <c r="C1038" s="215"/>
      <c r="D1038" s="239"/>
      <c r="E1038" s="239"/>
      <c r="F1038" s="239"/>
      <c r="G1038" s="239"/>
      <c r="H1038" s="239"/>
      <c r="I1038" s="257"/>
      <c r="J1038" s="240"/>
      <c r="K1038" s="240"/>
      <c r="L1038" s="240"/>
      <c r="M1038" s="240"/>
      <c r="N1038" s="240"/>
      <c r="O1038" s="258"/>
      <c r="P1038" s="224"/>
      <c r="Q1038" s="224"/>
      <c r="R1038" s="224"/>
      <c r="S1038" s="224"/>
      <c r="T1038" s="224"/>
      <c r="U1038" s="259"/>
      <c r="V1038" s="239"/>
      <c r="W1038" s="239"/>
      <c r="X1038" s="239"/>
      <c r="Y1038" s="239"/>
      <c r="Z1038" s="239"/>
      <c r="AA1038" s="257"/>
      <c r="AB1038" s="224"/>
      <c r="AC1038" s="224"/>
      <c r="AD1038" s="224"/>
      <c r="AE1038" s="224"/>
      <c r="AF1038" s="224"/>
      <c r="AG1038" s="259"/>
      <c r="AH1038" s="261"/>
      <c r="AI1038" s="261"/>
      <c r="AJ1038" s="261"/>
      <c r="AK1038" s="261"/>
      <c r="AL1038" s="261"/>
      <c r="AM1038" s="262"/>
    </row>
    <row r="1039" spans="1:39" x14ac:dyDescent="0.25">
      <c r="A1039" s="215"/>
      <c r="B1039" s="215"/>
      <c r="C1039" s="215"/>
      <c r="D1039" s="239"/>
      <c r="E1039" s="239"/>
      <c r="F1039" s="239"/>
      <c r="G1039" s="239"/>
      <c r="H1039" s="239"/>
      <c r="I1039" s="257"/>
      <c r="J1039" s="240"/>
      <c r="K1039" s="240"/>
      <c r="L1039" s="240"/>
      <c r="M1039" s="240"/>
      <c r="N1039" s="240"/>
      <c r="O1039" s="258"/>
      <c r="P1039" s="224"/>
      <c r="Q1039" s="224"/>
      <c r="R1039" s="224"/>
      <c r="S1039" s="224"/>
      <c r="T1039" s="224"/>
      <c r="U1039" s="259"/>
      <c r="V1039" s="239"/>
      <c r="W1039" s="239"/>
      <c r="X1039" s="239"/>
      <c r="Y1039" s="239"/>
      <c r="Z1039" s="239"/>
      <c r="AA1039" s="257"/>
      <c r="AB1039" s="224"/>
      <c r="AC1039" s="224"/>
      <c r="AD1039" s="224"/>
      <c r="AE1039" s="224"/>
      <c r="AF1039" s="224"/>
      <c r="AG1039" s="259"/>
      <c r="AH1039" s="261"/>
      <c r="AI1039" s="261"/>
      <c r="AJ1039" s="261"/>
      <c r="AK1039" s="261"/>
      <c r="AL1039" s="261"/>
      <c r="AM1039" s="262"/>
    </row>
    <row r="1040" spans="1:39" x14ac:dyDescent="0.25">
      <c r="A1040" s="215"/>
      <c r="B1040" s="215"/>
      <c r="C1040" s="215"/>
      <c r="D1040" s="239"/>
      <c r="E1040" s="239"/>
      <c r="F1040" s="239"/>
      <c r="G1040" s="239"/>
      <c r="H1040" s="239"/>
      <c r="I1040" s="257"/>
      <c r="J1040" s="240"/>
      <c r="K1040" s="240"/>
      <c r="L1040" s="240"/>
      <c r="M1040" s="240"/>
      <c r="N1040" s="240"/>
      <c r="O1040" s="258"/>
      <c r="P1040" s="224"/>
      <c r="Q1040" s="224"/>
      <c r="R1040" s="224"/>
      <c r="S1040" s="224"/>
      <c r="T1040" s="224"/>
      <c r="U1040" s="259"/>
      <c r="V1040" s="239"/>
      <c r="W1040" s="239"/>
      <c r="X1040" s="239"/>
      <c r="Y1040" s="239"/>
      <c r="Z1040" s="239"/>
      <c r="AA1040" s="257"/>
      <c r="AB1040" s="224"/>
      <c r="AC1040" s="224"/>
      <c r="AD1040" s="224"/>
      <c r="AE1040" s="224"/>
      <c r="AF1040" s="224"/>
      <c r="AG1040" s="259"/>
      <c r="AH1040" s="261"/>
      <c r="AI1040" s="261"/>
      <c r="AJ1040" s="261"/>
      <c r="AK1040" s="261"/>
      <c r="AL1040" s="261"/>
      <c r="AM1040" s="262"/>
    </row>
    <row r="1041" spans="1:39" x14ac:dyDescent="0.25">
      <c r="A1041" s="215"/>
      <c r="B1041" s="215"/>
      <c r="C1041" s="215"/>
      <c r="D1041" s="239"/>
      <c r="E1041" s="239"/>
      <c r="F1041" s="239"/>
      <c r="G1041" s="239"/>
      <c r="H1041" s="239"/>
      <c r="I1041" s="257"/>
      <c r="J1041" s="240"/>
      <c r="K1041" s="240"/>
      <c r="L1041" s="240"/>
      <c r="M1041" s="240"/>
      <c r="N1041" s="240"/>
      <c r="O1041" s="258"/>
      <c r="P1041" s="224"/>
      <c r="Q1041" s="224"/>
      <c r="R1041" s="224"/>
      <c r="S1041" s="224"/>
      <c r="T1041" s="224"/>
      <c r="U1041" s="259"/>
      <c r="V1041" s="239"/>
      <c r="W1041" s="239"/>
      <c r="X1041" s="239"/>
      <c r="Y1041" s="239"/>
      <c r="Z1041" s="239"/>
      <c r="AA1041" s="257"/>
      <c r="AB1041" s="224"/>
      <c r="AC1041" s="224"/>
      <c r="AD1041" s="224"/>
      <c r="AE1041" s="224"/>
      <c r="AF1041" s="224"/>
      <c r="AG1041" s="259"/>
      <c r="AH1041" s="261"/>
      <c r="AI1041" s="261"/>
      <c r="AJ1041" s="261"/>
      <c r="AK1041" s="261"/>
      <c r="AL1041" s="261"/>
      <c r="AM1041" s="262"/>
    </row>
    <row r="1042" spans="1:39" x14ac:dyDescent="0.25">
      <c r="A1042" s="215"/>
      <c r="B1042" s="215"/>
      <c r="C1042" s="215"/>
      <c r="D1042" s="239"/>
      <c r="E1042" s="239"/>
      <c r="F1042" s="239"/>
      <c r="G1042" s="239"/>
      <c r="H1042" s="239"/>
      <c r="I1042" s="257"/>
      <c r="J1042" s="240"/>
      <c r="K1042" s="240"/>
      <c r="L1042" s="240"/>
      <c r="M1042" s="240"/>
      <c r="N1042" s="240"/>
      <c r="O1042" s="258"/>
      <c r="P1042" s="224"/>
      <c r="Q1042" s="224"/>
      <c r="R1042" s="224"/>
      <c r="S1042" s="224"/>
      <c r="T1042" s="224"/>
      <c r="U1042" s="259"/>
      <c r="V1042" s="239"/>
      <c r="W1042" s="239"/>
      <c r="X1042" s="239"/>
      <c r="Y1042" s="239"/>
      <c r="Z1042" s="239"/>
      <c r="AA1042" s="257"/>
      <c r="AB1042" s="224"/>
      <c r="AC1042" s="224"/>
      <c r="AD1042" s="224"/>
      <c r="AE1042" s="224"/>
      <c r="AF1042" s="224"/>
      <c r="AG1042" s="259"/>
      <c r="AH1042" s="261"/>
      <c r="AI1042" s="261"/>
      <c r="AJ1042" s="261"/>
      <c r="AK1042" s="261"/>
      <c r="AL1042" s="261"/>
      <c r="AM1042" s="262"/>
    </row>
    <row r="1043" spans="1:39" x14ac:dyDescent="0.25">
      <c r="A1043" s="215"/>
      <c r="B1043" s="215"/>
      <c r="C1043" s="215"/>
      <c r="D1043" s="239"/>
      <c r="E1043" s="239"/>
      <c r="F1043" s="239"/>
      <c r="G1043" s="239"/>
      <c r="H1043" s="239"/>
      <c r="I1043" s="257"/>
      <c r="J1043" s="240"/>
      <c r="K1043" s="240"/>
      <c r="L1043" s="240"/>
      <c r="M1043" s="240"/>
      <c r="N1043" s="240"/>
      <c r="O1043" s="258"/>
      <c r="P1043" s="224"/>
      <c r="Q1043" s="224"/>
      <c r="R1043" s="224"/>
      <c r="S1043" s="224"/>
      <c r="T1043" s="224"/>
      <c r="U1043" s="259"/>
      <c r="V1043" s="239"/>
      <c r="W1043" s="239"/>
      <c r="X1043" s="239"/>
      <c r="Y1043" s="239"/>
      <c r="Z1043" s="239"/>
      <c r="AA1043" s="257"/>
      <c r="AB1043" s="224"/>
      <c r="AC1043" s="224"/>
      <c r="AD1043" s="224"/>
      <c r="AE1043" s="224"/>
      <c r="AF1043" s="224"/>
      <c r="AG1043" s="259"/>
      <c r="AH1043" s="261"/>
      <c r="AI1043" s="261"/>
      <c r="AJ1043" s="261"/>
      <c r="AK1043" s="261"/>
      <c r="AL1043" s="261"/>
      <c r="AM1043" s="262"/>
    </row>
    <row r="1044" spans="1:39" x14ac:dyDescent="0.25">
      <c r="A1044" s="215"/>
      <c r="B1044" s="215"/>
      <c r="C1044" s="215"/>
      <c r="D1044" s="239"/>
      <c r="E1044" s="239"/>
      <c r="F1044" s="239"/>
      <c r="G1044" s="239"/>
      <c r="H1044" s="239"/>
      <c r="I1044" s="257"/>
      <c r="J1044" s="240"/>
      <c r="K1044" s="240"/>
      <c r="L1044" s="240"/>
      <c r="M1044" s="240"/>
      <c r="N1044" s="240"/>
      <c r="O1044" s="258"/>
      <c r="P1044" s="224"/>
      <c r="Q1044" s="224"/>
      <c r="R1044" s="224"/>
      <c r="S1044" s="224"/>
      <c r="T1044" s="224"/>
      <c r="U1044" s="259"/>
      <c r="V1044" s="239"/>
      <c r="W1044" s="239"/>
      <c r="X1044" s="239"/>
      <c r="Y1044" s="239"/>
      <c r="Z1044" s="239"/>
      <c r="AA1044" s="257"/>
      <c r="AB1044" s="224"/>
      <c r="AC1044" s="224"/>
      <c r="AD1044" s="224"/>
      <c r="AE1044" s="224"/>
      <c r="AF1044" s="224"/>
      <c r="AG1044" s="259"/>
      <c r="AH1044" s="261"/>
      <c r="AI1044" s="261"/>
      <c r="AJ1044" s="261"/>
      <c r="AK1044" s="261"/>
      <c r="AL1044" s="261"/>
      <c r="AM1044" s="262"/>
    </row>
    <row r="1045" spans="1:39" x14ac:dyDescent="0.25">
      <c r="A1045" s="215"/>
      <c r="B1045" s="215"/>
      <c r="C1045" s="215"/>
      <c r="D1045" s="239"/>
      <c r="E1045" s="239"/>
      <c r="F1045" s="239"/>
      <c r="G1045" s="239"/>
      <c r="H1045" s="239"/>
      <c r="I1045" s="257"/>
      <c r="J1045" s="240"/>
      <c r="K1045" s="240"/>
      <c r="L1045" s="240"/>
      <c r="M1045" s="240"/>
      <c r="N1045" s="240"/>
      <c r="O1045" s="258"/>
      <c r="P1045" s="224"/>
      <c r="Q1045" s="224"/>
      <c r="R1045" s="224"/>
      <c r="S1045" s="224"/>
      <c r="T1045" s="224"/>
      <c r="U1045" s="259"/>
      <c r="V1045" s="239"/>
      <c r="W1045" s="239"/>
      <c r="X1045" s="239"/>
      <c r="Y1045" s="239"/>
      <c r="Z1045" s="239"/>
      <c r="AA1045" s="257"/>
      <c r="AB1045" s="224"/>
      <c r="AC1045" s="224"/>
      <c r="AD1045" s="224"/>
      <c r="AE1045" s="224"/>
      <c r="AF1045" s="224"/>
      <c r="AG1045" s="259"/>
      <c r="AH1045" s="261"/>
      <c r="AI1045" s="261"/>
      <c r="AJ1045" s="261"/>
      <c r="AK1045" s="261"/>
      <c r="AL1045" s="261"/>
      <c r="AM1045" s="262"/>
    </row>
    <row r="1046" spans="1:39" x14ac:dyDescent="0.25">
      <c r="A1046" s="215"/>
      <c r="B1046" s="215"/>
      <c r="C1046" s="215"/>
      <c r="D1046" s="239"/>
      <c r="E1046" s="239"/>
      <c r="F1046" s="239"/>
      <c r="G1046" s="239"/>
      <c r="H1046" s="239"/>
      <c r="I1046" s="257"/>
      <c r="J1046" s="240"/>
      <c r="K1046" s="240"/>
      <c r="L1046" s="240"/>
      <c r="M1046" s="240"/>
      <c r="N1046" s="240"/>
      <c r="O1046" s="258"/>
      <c r="P1046" s="224"/>
      <c r="Q1046" s="224"/>
      <c r="R1046" s="224"/>
      <c r="S1046" s="224"/>
      <c r="T1046" s="224"/>
      <c r="U1046" s="259"/>
      <c r="V1046" s="239"/>
      <c r="W1046" s="239"/>
      <c r="X1046" s="239"/>
      <c r="Y1046" s="239"/>
      <c r="Z1046" s="239"/>
      <c r="AA1046" s="257"/>
      <c r="AB1046" s="224"/>
      <c r="AC1046" s="224"/>
      <c r="AD1046" s="224"/>
      <c r="AE1046" s="224"/>
      <c r="AF1046" s="224"/>
      <c r="AG1046" s="259"/>
      <c r="AH1046" s="261"/>
      <c r="AI1046" s="261"/>
      <c r="AJ1046" s="261"/>
      <c r="AK1046" s="261"/>
      <c r="AL1046" s="261"/>
      <c r="AM1046" s="262"/>
    </row>
    <row r="1047" spans="1:39" x14ac:dyDescent="0.25">
      <c r="A1047" s="215"/>
      <c r="B1047" s="215"/>
      <c r="C1047" s="215"/>
      <c r="D1047" s="239"/>
      <c r="E1047" s="239"/>
      <c r="F1047" s="239"/>
      <c r="G1047" s="239"/>
      <c r="H1047" s="239"/>
      <c r="I1047" s="257"/>
      <c r="J1047" s="240"/>
      <c r="K1047" s="240"/>
      <c r="L1047" s="240"/>
      <c r="M1047" s="240"/>
      <c r="N1047" s="240"/>
      <c r="O1047" s="258"/>
      <c r="P1047" s="224"/>
      <c r="Q1047" s="224"/>
      <c r="R1047" s="224"/>
      <c r="S1047" s="224"/>
      <c r="T1047" s="224"/>
      <c r="U1047" s="259"/>
      <c r="V1047" s="239"/>
      <c r="W1047" s="239"/>
      <c r="X1047" s="239"/>
      <c r="Y1047" s="239"/>
      <c r="Z1047" s="239"/>
      <c r="AA1047" s="257"/>
      <c r="AB1047" s="224"/>
      <c r="AC1047" s="224"/>
      <c r="AD1047" s="224"/>
      <c r="AE1047" s="224"/>
      <c r="AF1047" s="224"/>
      <c r="AG1047" s="259"/>
      <c r="AH1047" s="261"/>
      <c r="AI1047" s="261"/>
      <c r="AJ1047" s="261"/>
      <c r="AK1047" s="261"/>
      <c r="AL1047" s="261"/>
      <c r="AM1047" s="262"/>
    </row>
    <row r="1048" spans="1:39" x14ac:dyDescent="0.25">
      <c r="A1048" s="215"/>
      <c r="B1048" s="215"/>
      <c r="C1048" s="215"/>
      <c r="D1048" s="239"/>
      <c r="E1048" s="239"/>
      <c r="F1048" s="239"/>
      <c r="G1048" s="239"/>
      <c r="H1048" s="239"/>
      <c r="I1048" s="257"/>
      <c r="J1048" s="240"/>
      <c r="K1048" s="240"/>
      <c r="L1048" s="240"/>
      <c r="M1048" s="240"/>
      <c r="N1048" s="240"/>
      <c r="O1048" s="258"/>
      <c r="P1048" s="224"/>
      <c r="Q1048" s="224"/>
      <c r="R1048" s="224"/>
      <c r="S1048" s="224"/>
      <c r="T1048" s="224"/>
      <c r="U1048" s="259"/>
      <c r="V1048" s="239"/>
      <c r="W1048" s="239"/>
      <c r="X1048" s="239"/>
      <c r="Y1048" s="239"/>
      <c r="Z1048" s="239"/>
      <c r="AA1048" s="257"/>
      <c r="AB1048" s="224"/>
      <c r="AC1048" s="224"/>
      <c r="AD1048" s="224"/>
      <c r="AE1048" s="224"/>
      <c r="AF1048" s="224"/>
      <c r="AG1048" s="259"/>
      <c r="AH1048" s="261"/>
      <c r="AI1048" s="261"/>
      <c r="AJ1048" s="261"/>
      <c r="AK1048" s="261"/>
      <c r="AL1048" s="261"/>
      <c r="AM1048" s="262"/>
    </row>
    <row r="1049" spans="1:39" x14ac:dyDescent="0.25">
      <c r="A1049" s="215"/>
      <c r="B1049" s="215"/>
      <c r="C1049" s="215"/>
      <c r="D1049" s="239"/>
      <c r="E1049" s="239"/>
      <c r="F1049" s="239"/>
      <c r="G1049" s="239"/>
      <c r="H1049" s="239"/>
      <c r="I1049" s="257"/>
      <c r="J1049" s="240"/>
      <c r="K1049" s="240"/>
      <c r="L1049" s="240"/>
      <c r="M1049" s="240"/>
      <c r="N1049" s="240"/>
      <c r="O1049" s="258"/>
      <c r="P1049" s="224"/>
      <c r="Q1049" s="224"/>
      <c r="R1049" s="224"/>
      <c r="S1049" s="224"/>
      <c r="T1049" s="224"/>
      <c r="U1049" s="259"/>
      <c r="V1049" s="239"/>
      <c r="W1049" s="239"/>
      <c r="X1049" s="239"/>
      <c r="Y1049" s="239"/>
      <c r="Z1049" s="239"/>
      <c r="AA1049" s="257"/>
      <c r="AB1049" s="224"/>
      <c r="AC1049" s="224"/>
      <c r="AD1049" s="224"/>
      <c r="AE1049" s="224"/>
      <c r="AF1049" s="224"/>
      <c r="AG1049" s="259"/>
      <c r="AH1049" s="261"/>
      <c r="AI1049" s="261"/>
      <c r="AJ1049" s="261"/>
      <c r="AK1049" s="261"/>
      <c r="AL1049" s="261"/>
      <c r="AM1049" s="262"/>
    </row>
    <row r="1050" spans="1:39" x14ac:dyDescent="0.25">
      <c r="A1050" s="215"/>
      <c r="B1050" s="215"/>
      <c r="C1050" s="215"/>
      <c r="D1050" s="239"/>
      <c r="E1050" s="239"/>
      <c r="F1050" s="239"/>
      <c r="G1050" s="239"/>
      <c r="H1050" s="239"/>
      <c r="I1050" s="257"/>
      <c r="J1050" s="240"/>
      <c r="K1050" s="240"/>
      <c r="L1050" s="240"/>
      <c r="M1050" s="240"/>
      <c r="N1050" s="240"/>
      <c r="O1050" s="258"/>
      <c r="P1050" s="224"/>
      <c r="Q1050" s="224"/>
      <c r="R1050" s="224"/>
      <c r="S1050" s="224"/>
      <c r="T1050" s="224"/>
      <c r="U1050" s="259"/>
      <c r="V1050" s="239"/>
      <c r="W1050" s="239"/>
      <c r="X1050" s="239"/>
      <c r="Y1050" s="239"/>
      <c r="Z1050" s="239"/>
      <c r="AA1050" s="257"/>
      <c r="AB1050" s="224"/>
      <c r="AC1050" s="224"/>
      <c r="AD1050" s="224"/>
      <c r="AE1050" s="224"/>
      <c r="AF1050" s="224"/>
      <c r="AG1050" s="259"/>
      <c r="AH1050" s="261"/>
      <c r="AI1050" s="261"/>
      <c r="AJ1050" s="261"/>
      <c r="AK1050" s="261"/>
      <c r="AL1050" s="261"/>
      <c r="AM1050" s="262"/>
    </row>
    <row r="1051" spans="1:39" x14ac:dyDescent="0.25">
      <c r="A1051" s="215"/>
      <c r="B1051" s="215"/>
      <c r="C1051" s="215"/>
      <c r="D1051" s="239"/>
      <c r="E1051" s="239"/>
      <c r="F1051" s="239"/>
      <c r="G1051" s="239"/>
      <c r="H1051" s="239"/>
      <c r="I1051" s="257"/>
      <c r="J1051" s="240"/>
      <c r="K1051" s="240"/>
      <c r="L1051" s="240"/>
      <c r="M1051" s="240"/>
      <c r="N1051" s="240"/>
      <c r="O1051" s="258"/>
      <c r="P1051" s="224"/>
      <c r="Q1051" s="224"/>
      <c r="R1051" s="224"/>
      <c r="S1051" s="224"/>
      <c r="T1051" s="224"/>
      <c r="U1051" s="259"/>
      <c r="V1051" s="239"/>
      <c r="W1051" s="239"/>
      <c r="X1051" s="239"/>
      <c r="Y1051" s="239"/>
      <c r="Z1051" s="239"/>
      <c r="AA1051" s="257"/>
      <c r="AB1051" s="224"/>
      <c r="AC1051" s="224"/>
      <c r="AD1051" s="224"/>
      <c r="AE1051" s="224"/>
      <c r="AF1051" s="224"/>
      <c r="AG1051" s="259"/>
      <c r="AH1051" s="261"/>
      <c r="AI1051" s="261"/>
      <c r="AJ1051" s="261"/>
      <c r="AK1051" s="261"/>
      <c r="AL1051" s="261"/>
      <c r="AM1051" s="262"/>
    </row>
    <row r="1052" spans="1:39" x14ac:dyDescent="0.25">
      <c r="A1052" s="215"/>
      <c r="B1052" s="215"/>
      <c r="C1052" s="215"/>
      <c r="D1052" s="239"/>
      <c r="E1052" s="239"/>
      <c r="F1052" s="239"/>
      <c r="G1052" s="239"/>
      <c r="H1052" s="239"/>
      <c r="I1052" s="257"/>
      <c r="J1052" s="240"/>
      <c r="K1052" s="240"/>
      <c r="L1052" s="240"/>
      <c r="M1052" s="240"/>
      <c r="N1052" s="240"/>
      <c r="O1052" s="258"/>
      <c r="P1052" s="224"/>
      <c r="Q1052" s="224"/>
      <c r="R1052" s="224"/>
      <c r="S1052" s="224"/>
      <c r="T1052" s="224"/>
      <c r="U1052" s="259"/>
      <c r="V1052" s="239"/>
      <c r="W1052" s="239"/>
      <c r="X1052" s="239"/>
      <c r="Y1052" s="239"/>
      <c r="Z1052" s="239"/>
      <c r="AA1052" s="257"/>
      <c r="AB1052" s="224"/>
      <c r="AC1052" s="224"/>
      <c r="AD1052" s="224"/>
      <c r="AE1052" s="224"/>
      <c r="AF1052" s="224"/>
      <c r="AG1052" s="259"/>
      <c r="AH1052" s="261"/>
      <c r="AI1052" s="261"/>
      <c r="AJ1052" s="261"/>
      <c r="AK1052" s="261"/>
      <c r="AL1052" s="261"/>
      <c r="AM1052" s="262"/>
    </row>
    <row r="1053" spans="1:39" x14ac:dyDescent="0.25">
      <c r="A1053" s="215"/>
      <c r="B1053" s="215"/>
      <c r="C1053" s="215"/>
      <c r="D1053" s="239"/>
      <c r="E1053" s="239"/>
      <c r="F1053" s="239"/>
      <c r="G1053" s="239"/>
      <c r="H1053" s="239"/>
      <c r="I1053" s="257"/>
      <c r="J1053" s="240"/>
      <c r="K1053" s="240"/>
      <c r="L1053" s="240"/>
      <c r="M1053" s="240"/>
      <c r="N1053" s="240"/>
      <c r="O1053" s="258"/>
      <c r="P1053" s="224"/>
      <c r="Q1053" s="224"/>
      <c r="R1053" s="224"/>
      <c r="S1053" s="224"/>
      <c r="T1053" s="224"/>
      <c r="U1053" s="259"/>
      <c r="V1053" s="239"/>
      <c r="W1053" s="239"/>
      <c r="X1053" s="239"/>
      <c r="Y1053" s="239"/>
      <c r="Z1053" s="239"/>
      <c r="AA1053" s="257"/>
      <c r="AB1053" s="224"/>
      <c r="AC1053" s="224"/>
      <c r="AD1053" s="224"/>
      <c r="AE1053" s="224"/>
      <c r="AF1053" s="224"/>
      <c r="AG1053" s="259"/>
      <c r="AH1053" s="261"/>
      <c r="AI1053" s="261"/>
      <c r="AJ1053" s="261"/>
      <c r="AK1053" s="261"/>
      <c r="AL1053" s="261"/>
      <c r="AM1053" s="262"/>
    </row>
    <row r="1054" spans="1:39" x14ac:dyDescent="0.25">
      <c r="A1054" s="215"/>
      <c r="B1054" s="215"/>
      <c r="C1054" s="215"/>
      <c r="D1054" s="239"/>
      <c r="E1054" s="239"/>
      <c r="F1054" s="239"/>
      <c r="G1054" s="239"/>
      <c r="H1054" s="239"/>
      <c r="I1054" s="257"/>
      <c r="J1054" s="240"/>
      <c r="K1054" s="240"/>
      <c r="L1054" s="240"/>
      <c r="M1054" s="240"/>
      <c r="N1054" s="240"/>
      <c r="O1054" s="258"/>
      <c r="P1054" s="224"/>
      <c r="Q1054" s="224"/>
      <c r="R1054" s="224"/>
      <c r="S1054" s="224"/>
      <c r="T1054" s="224"/>
      <c r="U1054" s="259"/>
      <c r="V1054" s="239"/>
      <c r="W1054" s="239"/>
      <c r="X1054" s="239"/>
      <c r="Y1054" s="239"/>
      <c r="Z1054" s="239"/>
      <c r="AA1054" s="257"/>
      <c r="AB1054" s="224"/>
      <c r="AC1054" s="224"/>
      <c r="AD1054" s="224"/>
      <c r="AE1054" s="224"/>
      <c r="AF1054" s="224"/>
      <c r="AG1054" s="259"/>
      <c r="AH1054" s="261"/>
      <c r="AI1054" s="261"/>
      <c r="AJ1054" s="261"/>
      <c r="AK1054" s="261"/>
      <c r="AL1054" s="261"/>
      <c r="AM1054" s="262"/>
    </row>
    <row r="1055" spans="1:39" x14ac:dyDescent="0.25">
      <c r="A1055" s="215"/>
      <c r="B1055" s="215"/>
      <c r="C1055" s="215"/>
      <c r="D1055" s="239"/>
      <c r="E1055" s="239"/>
      <c r="F1055" s="239"/>
      <c r="G1055" s="239"/>
      <c r="H1055" s="239"/>
      <c r="I1055" s="257"/>
      <c r="J1055" s="240"/>
      <c r="K1055" s="240"/>
      <c r="L1055" s="240"/>
      <c r="M1055" s="240"/>
      <c r="N1055" s="240"/>
      <c r="O1055" s="258"/>
      <c r="P1055" s="224"/>
      <c r="Q1055" s="224"/>
      <c r="R1055" s="224"/>
      <c r="S1055" s="224"/>
      <c r="T1055" s="224"/>
      <c r="U1055" s="259"/>
      <c r="V1055" s="239"/>
      <c r="W1055" s="239"/>
      <c r="X1055" s="239"/>
      <c r="Y1055" s="239"/>
      <c r="Z1055" s="239"/>
      <c r="AA1055" s="257"/>
      <c r="AB1055" s="224"/>
      <c r="AC1055" s="224"/>
      <c r="AD1055" s="224"/>
      <c r="AE1055" s="224"/>
      <c r="AF1055" s="224"/>
      <c r="AG1055" s="259"/>
      <c r="AH1055" s="261"/>
      <c r="AI1055" s="261"/>
      <c r="AJ1055" s="261"/>
      <c r="AK1055" s="261"/>
      <c r="AL1055" s="261"/>
      <c r="AM1055" s="262"/>
    </row>
    <row r="1056" spans="1:39" x14ac:dyDescent="0.25">
      <c r="A1056" s="215"/>
      <c r="B1056" s="215"/>
      <c r="C1056" s="215"/>
      <c r="D1056" s="239"/>
      <c r="E1056" s="239"/>
      <c r="F1056" s="239"/>
      <c r="G1056" s="239"/>
      <c r="H1056" s="239"/>
      <c r="I1056" s="257"/>
      <c r="J1056" s="240"/>
      <c r="K1056" s="240"/>
      <c r="L1056" s="240"/>
      <c r="M1056" s="240"/>
      <c r="N1056" s="240"/>
      <c r="O1056" s="258"/>
      <c r="P1056" s="224"/>
      <c r="Q1056" s="224"/>
      <c r="R1056" s="224"/>
      <c r="S1056" s="224"/>
      <c r="T1056" s="224"/>
      <c r="U1056" s="259"/>
      <c r="V1056" s="239"/>
      <c r="W1056" s="239"/>
      <c r="X1056" s="239"/>
      <c r="Y1056" s="239"/>
      <c r="Z1056" s="239"/>
      <c r="AA1056" s="257"/>
      <c r="AB1056" s="224"/>
      <c r="AC1056" s="224"/>
      <c r="AD1056" s="224"/>
      <c r="AE1056" s="224"/>
      <c r="AF1056" s="224"/>
      <c r="AG1056" s="259"/>
      <c r="AH1056" s="261"/>
      <c r="AI1056" s="261"/>
      <c r="AJ1056" s="261"/>
      <c r="AK1056" s="261"/>
      <c r="AL1056" s="261"/>
      <c r="AM1056" s="262"/>
    </row>
    <row r="1057" spans="1:39" x14ac:dyDescent="0.25">
      <c r="A1057" s="215"/>
      <c r="B1057" s="215"/>
      <c r="C1057" s="215"/>
      <c r="D1057" s="239"/>
      <c r="E1057" s="239"/>
      <c r="F1057" s="239"/>
      <c r="G1057" s="239"/>
      <c r="H1057" s="239"/>
      <c r="I1057" s="257"/>
      <c r="J1057" s="240"/>
      <c r="K1057" s="240"/>
      <c r="L1057" s="240"/>
      <c r="M1057" s="240"/>
      <c r="N1057" s="240"/>
      <c r="O1057" s="258"/>
      <c r="P1057" s="224"/>
      <c r="Q1057" s="224"/>
      <c r="R1057" s="224"/>
      <c r="S1057" s="224"/>
      <c r="T1057" s="224"/>
      <c r="U1057" s="259"/>
      <c r="V1057" s="239"/>
      <c r="W1057" s="239"/>
      <c r="X1057" s="239"/>
      <c r="Y1057" s="239"/>
      <c r="Z1057" s="239"/>
      <c r="AA1057" s="257"/>
      <c r="AB1057" s="224"/>
      <c r="AC1057" s="224"/>
      <c r="AD1057" s="224"/>
      <c r="AE1057" s="224"/>
      <c r="AF1057" s="224"/>
      <c r="AG1057" s="259"/>
      <c r="AH1057" s="261"/>
      <c r="AI1057" s="261"/>
      <c r="AJ1057" s="261"/>
      <c r="AK1057" s="261"/>
      <c r="AL1057" s="261"/>
      <c r="AM1057" s="262"/>
    </row>
    <row r="1058" spans="1:39" x14ac:dyDescent="0.25">
      <c r="A1058" s="215"/>
      <c r="B1058" s="215"/>
      <c r="C1058" s="215"/>
      <c r="D1058" s="239"/>
      <c r="E1058" s="239"/>
      <c r="F1058" s="239"/>
      <c r="G1058" s="239"/>
      <c r="H1058" s="239"/>
      <c r="I1058" s="257"/>
      <c r="J1058" s="240"/>
      <c r="K1058" s="240"/>
      <c r="L1058" s="240"/>
      <c r="M1058" s="240"/>
      <c r="N1058" s="240"/>
      <c r="O1058" s="258"/>
      <c r="P1058" s="224"/>
      <c r="Q1058" s="224"/>
      <c r="R1058" s="224"/>
      <c r="S1058" s="224"/>
      <c r="T1058" s="224"/>
      <c r="U1058" s="259"/>
      <c r="V1058" s="239"/>
      <c r="W1058" s="239"/>
      <c r="X1058" s="239"/>
      <c r="Y1058" s="239"/>
      <c r="Z1058" s="239"/>
      <c r="AA1058" s="257"/>
      <c r="AB1058" s="224"/>
      <c r="AC1058" s="224"/>
      <c r="AD1058" s="224"/>
      <c r="AE1058" s="224"/>
      <c r="AF1058" s="224"/>
      <c r="AG1058" s="259"/>
      <c r="AH1058" s="261"/>
      <c r="AI1058" s="261"/>
      <c r="AJ1058" s="261"/>
      <c r="AK1058" s="261"/>
      <c r="AL1058" s="261"/>
      <c r="AM1058" s="262"/>
    </row>
    <row r="1059" spans="1:39" x14ac:dyDescent="0.25">
      <c r="A1059" s="215"/>
      <c r="B1059" s="215"/>
      <c r="C1059" s="215"/>
      <c r="D1059" s="239"/>
      <c r="E1059" s="239"/>
      <c r="F1059" s="239"/>
      <c r="G1059" s="239"/>
      <c r="H1059" s="239"/>
      <c r="I1059" s="257"/>
      <c r="J1059" s="240"/>
      <c r="K1059" s="240"/>
      <c r="L1059" s="240"/>
      <c r="M1059" s="240"/>
      <c r="N1059" s="240"/>
      <c r="O1059" s="258"/>
      <c r="P1059" s="224"/>
      <c r="Q1059" s="224"/>
      <c r="R1059" s="224"/>
      <c r="S1059" s="224"/>
      <c r="T1059" s="224"/>
      <c r="U1059" s="259"/>
      <c r="V1059" s="239"/>
      <c r="W1059" s="239"/>
      <c r="X1059" s="239"/>
      <c r="Y1059" s="239"/>
      <c r="Z1059" s="239"/>
      <c r="AA1059" s="257"/>
      <c r="AB1059" s="224"/>
      <c r="AC1059" s="224"/>
      <c r="AD1059" s="224"/>
      <c r="AE1059" s="224"/>
      <c r="AF1059" s="224"/>
      <c r="AG1059" s="259"/>
      <c r="AH1059" s="261"/>
      <c r="AI1059" s="261"/>
      <c r="AJ1059" s="261"/>
      <c r="AK1059" s="261"/>
      <c r="AL1059" s="261"/>
      <c r="AM1059" s="262"/>
    </row>
    <row r="1060" spans="1:39" x14ac:dyDescent="0.25">
      <c r="A1060" s="215"/>
      <c r="B1060" s="215"/>
      <c r="C1060" s="215"/>
      <c r="D1060" s="239"/>
      <c r="E1060" s="239"/>
      <c r="F1060" s="239"/>
      <c r="G1060" s="239"/>
      <c r="H1060" s="239"/>
      <c r="I1060" s="257"/>
      <c r="J1060" s="240"/>
      <c r="K1060" s="240"/>
      <c r="L1060" s="240"/>
      <c r="M1060" s="240"/>
      <c r="N1060" s="240"/>
      <c r="O1060" s="258"/>
      <c r="P1060" s="224"/>
      <c r="Q1060" s="224"/>
      <c r="R1060" s="224"/>
      <c r="S1060" s="224"/>
      <c r="T1060" s="224"/>
      <c r="U1060" s="259"/>
      <c r="V1060" s="239"/>
      <c r="W1060" s="239"/>
      <c r="X1060" s="239"/>
      <c r="Y1060" s="239"/>
      <c r="Z1060" s="239"/>
      <c r="AA1060" s="257"/>
      <c r="AB1060" s="224"/>
      <c r="AC1060" s="224"/>
      <c r="AD1060" s="224"/>
      <c r="AE1060" s="224"/>
      <c r="AF1060" s="224"/>
      <c r="AG1060" s="259"/>
      <c r="AH1060" s="261"/>
      <c r="AI1060" s="261"/>
      <c r="AJ1060" s="261"/>
      <c r="AK1060" s="261"/>
      <c r="AL1060" s="261"/>
      <c r="AM1060" s="262"/>
    </row>
    <row r="1061" spans="1:39" x14ac:dyDescent="0.25">
      <c r="A1061" s="215"/>
      <c r="B1061" s="215"/>
      <c r="C1061" s="215"/>
      <c r="D1061" s="239"/>
      <c r="E1061" s="239"/>
      <c r="F1061" s="239"/>
      <c r="G1061" s="239"/>
      <c r="H1061" s="239"/>
      <c r="I1061" s="257"/>
      <c r="J1061" s="240"/>
      <c r="K1061" s="240"/>
      <c r="L1061" s="240"/>
      <c r="M1061" s="240"/>
      <c r="N1061" s="240"/>
      <c r="O1061" s="258"/>
      <c r="P1061" s="224"/>
      <c r="Q1061" s="224"/>
      <c r="R1061" s="224"/>
      <c r="S1061" s="224"/>
      <c r="T1061" s="224"/>
      <c r="U1061" s="259"/>
      <c r="V1061" s="239"/>
      <c r="W1061" s="239"/>
      <c r="X1061" s="239"/>
      <c r="Y1061" s="239"/>
      <c r="Z1061" s="239"/>
      <c r="AA1061" s="257"/>
      <c r="AB1061" s="224"/>
      <c r="AC1061" s="224"/>
      <c r="AD1061" s="224"/>
      <c r="AE1061" s="224"/>
      <c r="AF1061" s="224"/>
      <c r="AG1061" s="259"/>
      <c r="AH1061" s="261"/>
      <c r="AI1061" s="261"/>
      <c r="AJ1061" s="261"/>
      <c r="AK1061" s="261"/>
      <c r="AL1061" s="261"/>
      <c r="AM1061" s="262"/>
    </row>
    <row r="1062" spans="1:39" x14ac:dyDescent="0.25">
      <c r="A1062" s="215"/>
      <c r="B1062" s="215"/>
      <c r="C1062" s="215"/>
      <c r="D1062" s="239"/>
      <c r="E1062" s="239"/>
      <c r="F1062" s="239"/>
      <c r="G1062" s="239"/>
      <c r="H1062" s="239"/>
      <c r="I1062" s="257"/>
      <c r="J1062" s="240"/>
      <c r="K1062" s="240"/>
      <c r="L1062" s="240"/>
      <c r="M1062" s="240"/>
      <c r="N1062" s="240"/>
      <c r="O1062" s="258"/>
      <c r="P1062" s="224"/>
      <c r="Q1062" s="224"/>
      <c r="R1062" s="224"/>
      <c r="S1062" s="224"/>
      <c r="T1062" s="224"/>
      <c r="U1062" s="259"/>
      <c r="V1062" s="239"/>
      <c r="W1062" s="239"/>
      <c r="X1062" s="239"/>
      <c r="Y1062" s="239"/>
      <c r="Z1062" s="239"/>
      <c r="AA1062" s="257"/>
      <c r="AB1062" s="224"/>
      <c r="AC1062" s="224"/>
      <c r="AD1062" s="224"/>
      <c r="AE1062" s="224"/>
      <c r="AF1062" s="224"/>
      <c r="AG1062" s="259"/>
      <c r="AH1062" s="261"/>
      <c r="AI1062" s="261"/>
      <c r="AJ1062" s="261"/>
      <c r="AK1062" s="261"/>
      <c r="AL1062" s="261"/>
      <c r="AM1062" s="262"/>
    </row>
    <row r="1063" spans="1:39" x14ac:dyDescent="0.25">
      <c r="A1063" s="215"/>
      <c r="B1063" s="215"/>
      <c r="C1063" s="215"/>
      <c r="D1063" s="239"/>
      <c r="E1063" s="239"/>
      <c r="F1063" s="239"/>
      <c r="G1063" s="239"/>
      <c r="H1063" s="239"/>
      <c r="I1063" s="257"/>
      <c r="J1063" s="240"/>
      <c r="K1063" s="240"/>
      <c r="L1063" s="240"/>
      <c r="M1063" s="240"/>
      <c r="N1063" s="240"/>
      <c r="O1063" s="258"/>
      <c r="P1063" s="224"/>
      <c r="Q1063" s="224"/>
      <c r="R1063" s="224"/>
      <c r="S1063" s="224"/>
      <c r="T1063" s="224"/>
      <c r="U1063" s="259"/>
      <c r="V1063" s="239"/>
      <c r="W1063" s="239"/>
      <c r="X1063" s="239"/>
      <c r="Y1063" s="239"/>
      <c r="Z1063" s="239"/>
      <c r="AA1063" s="257"/>
      <c r="AB1063" s="224"/>
      <c r="AC1063" s="224"/>
      <c r="AD1063" s="224"/>
      <c r="AE1063" s="224"/>
      <c r="AF1063" s="224"/>
      <c r="AG1063" s="259"/>
      <c r="AH1063" s="261"/>
      <c r="AI1063" s="261"/>
      <c r="AJ1063" s="261"/>
      <c r="AK1063" s="261"/>
      <c r="AL1063" s="261"/>
      <c r="AM1063" s="262"/>
    </row>
    <row r="1064" spans="1:39" x14ac:dyDescent="0.25">
      <c r="A1064" s="215"/>
      <c r="B1064" s="215"/>
      <c r="C1064" s="215"/>
      <c r="D1064" s="239"/>
      <c r="E1064" s="239"/>
      <c r="F1064" s="239"/>
      <c r="G1064" s="239"/>
      <c r="H1064" s="239"/>
      <c r="I1064" s="257"/>
      <c r="J1064" s="240"/>
      <c r="K1064" s="240"/>
      <c r="L1064" s="240"/>
      <c r="M1064" s="240"/>
      <c r="N1064" s="240"/>
      <c r="O1064" s="258"/>
      <c r="P1064" s="224"/>
      <c r="Q1064" s="224"/>
      <c r="R1064" s="224"/>
      <c r="S1064" s="224"/>
      <c r="T1064" s="224"/>
      <c r="U1064" s="259"/>
      <c r="V1064" s="239"/>
      <c r="W1064" s="239"/>
      <c r="X1064" s="239"/>
      <c r="Y1064" s="239"/>
      <c r="Z1064" s="239"/>
      <c r="AA1064" s="257"/>
      <c r="AB1064" s="224"/>
      <c r="AC1064" s="224"/>
      <c r="AD1064" s="224"/>
      <c r="AE1064" s="224"/>
      <c r="AF1064" s="224"/>
      <c r="AG1064" s="259"/>
      <c r="AH1064" s="261"/>
      <c r="AI1064" s="261"/>
      <c r="AJ1064" s="261"/>
      <c r="AK1064" s="261"/>
      <c r="AL1064" s="261"/>
      <c r="AM1064" s="262"/>
    </row>
    <row r="1065" spans="1:39" x14ac:dyDescent="0.25">
      <c r="A1065" s="215"/>
      <c r="B1065" s="215"/>
      <c r="C1065" s="215"/>
      <c r="D1065" s="239"/>
      <c r="E1065" s="239"/>
      <c r="F1065" s="239"/>
      <c r="G1065" s="239"/>
      <c r="H1065" s="239"/>
      <c r="I1065" s="257"/>
      <c r="J1065" s="240"/>
      <c r="K1065" s="240"/>
      <c r="L1065" s="240"/>
      <c r="M1065" s="240"/>
      <c r="N1065" s="240"/>
      <c r="O1065" s="258"/>
      <c r="P1065" s="224"/>
      <c r="Q1065" s="224"/>
      <c r="R1065" s="224"/>
      <c r="S1065" s="224"/>
      <c r="T1065" s="224"/>
      <c r="U1065" s="259"/>
      <c r="V1065" s="239"/>
      <c r="W1065" s="239"/>
      <c r="X1065" s="239"/>
      <c r="Y1065" s="239"/>
      <c r="Z1065" s="239"/>
      <c r="AA1065" s="257"/>
      <c r="AB1065" s="224"/>
      <c r="AC1065" s="224"/>
      <c r="AD1065" s="224"/>
      <c r="AE1065" s="224"/>
      <c r="AF1065" s="224"/>
      <c r="AG1065" s="259"/>
      <c r="AH1065" s="261"/>
      <c r="AI1065" s="261"/>
      <c r="AJ1065" s="261"/>
      <c r="AK1065" s="261"/>
      <c r="AL1065" s="261"/>
      <c r="AM1065" s="262"/>
    </row>
    <row r="1066" spans="1:39" x14ac:dyDescent="0.25">
      <c r="A1066" s="215"/>
      <c r="B1066" s="215"/>
      <c r="C1066" s="215"/>
      <c r="D1066" s="239"/>
      <c r="E1066" s="239"/>
      <c r="F1066" s="239"/>
      <c r="G1066" s="239"/>
      <c r="H1066" s="239"/>
      <c r="I1066" s="257"/>
      <c r="J1066" s="240"/>
      <c r="K1066" s="240"/>
      <c r="L1066" s="240"/>
      <c r="M1066" s="240"/>
      <c r="N1066" s="240"/>
      <c r="O1066" s="258"/>
      <c r="P1066" s="224"/>
      <c r="Q1066" s="224"/>
      <c r="R1066" s="224"/>
      <c r="S1066" s="224"/>
      <c r="T1066" s="224"/>
      <c r="U1066" s="259"/>
      <c r="V1066" s="239"/>
      <c r="W1066" s="239"/>
      <c r="X1066" s="239"/>
      <c r="Y1066" s="239"/>
      <c r="Z1066" s="239"/>
      <c r="AA1066" s="257"/>
      <c r="AB1066" s="224"/>
      <c r="AC1066" s="224"/>
      <c r="AD1066" s="224"/>
      <c r="AE1066" s="224"/>
      <c r="AF1066" s="224"/>
      <c r="AG1066" s="259"/>
      <c r="AH1066" s="261"/>
      <c r="AI1066" s="261"/>
      <c r="AJ1066" s="261"/>
      <c r="AK1066" s="261"/>
      <c r="AL1066" s="261"/>
      <c r="AM1066" s="262"/>
    </row>
    <row r="1067" spans="1:39" x14ac:dyDescent="0.25">
      <c r="A1067" s="215"/>
      <c r="B1067" s="215"/>
      <c r="C1067" s="215"/>
      <c r="D1067" s="239"/>
      <c r="E1067" s="239"/>
      <c r="F1067" s="239"/>
      <c r="G1067" s="239"/>
      <c r="H1067" s="239"/>
      <c r="I1067" s="257"/>
      <c r="J1067" s="240"/>
      <c r="K1067" s="240"/>
      <c r="L1067" s="240"/>
      <c r="M1067" s="240"/>
      <c r="N1067" s="240"/>
      <c r="O1067" s="258"/>
      <c r="P1067" s="224"/>
      <c r="Q1067" s="224"/>
      <c r="R1067" s="224"/>
      <c r="S1067" s="224"/>
      <c r="T1067" s="224"/>
      <c r="U1067" s="259"/>
      <c r="V1067" s="239"/>
      <c r="W1067" s="239"/>
      <c r="X1067" s="239"/>
      <c r="Y1067" s="239"/>
      <c r="Z1067" s="239"/>
      <c r="AA1067" s="257"/>
      <c r="AB1067" s="224"/>
      <c r="AC1067" s="224"/>
      <c r="AD1067" s="224"/>
      <c r="AE1067" s="224"/>
      <c r="AF1067" s="224"/>
      <c r="AG1067" s="259"/>
      <c r="AH1067" s="261"/>
      <c r="AI1067" s="261"/>
      <c r="AJ1067" s="261"/>
      <c r="AK1067" s="261"/>
      <c r="AL1067" s="261"/>
      <c r="AM1067" s="262"/>
    </row>
    <row r="1068" spans="1:39" x14ac:dyDescent="0.25">
      <c r="A1068" s="215"/>
      <c r="B1068" s="215"/>
      <c r="C1068" s="215"/>
      <c r="D1068" s="239"/>
      <c r="E1068" s="239"/>
      <c r="F1068" s="239"/>
      <c r="G1068" s="239"/>
      <c r="H1068" s="239"/>
      <c r="I1068" s="257"/>
      <c r="J1068" s="240"/>
      <c r="K1068" s="240"/>
      <c r="L1068" s="240"/>
      <c r="M1068" s="240"/>
      <c r="N1068" s="240"/>
      <c r="O1068" s="258"/>
      <c r="P1068" s="224"/>
      <c r="Q1068" s="224"/>
      <c r="R1068" s="224"/>
      <c r="S1068" s="224"/>
      <c r="T1068" s="224"/>
      <c r="U1068" s="259"/>
      <c r="V1068" s="239"/>
      <c r="W1068" s="239"/>
      <c r="X1068" s="239"/>
      <c r="Y1068" s="239"/>
      <c r="Z1068" s="239"/>
      <c r="AA1068" s="257"/>
      <c r="AB1068" s="224"/>
      <c r="AC1068" s="224"/>
      <c r="AD1068" s="224"/>
      <c r="AE1068" s="224"/>
      <c r="AF1068" s="224"/>
      <c r="AG1068" s="259"/>
      <c r="AH1068" s="261"/>
      <c r="AI1068" s="261"/>
      <c r="AJ1068" s="261"/>
      <c r="AK1068" s="261"/>
      <c r="AL1068" s="261"/>
      <c r="AM1068" s="262"/>
    </row>
    <row r="1069" spans="1:39" x14ac:dyDescent="0.25">
      <c r="A1069" s="215"/>
      <c r="B1069" s="215"/>
      <c r="C1069" s="215"/>
      <c r="D1069" s="239"/>
      <c r="E1069" s="239"/>
      <c r="F1069" s="239"/>
      <c r="G1069" s="239"/>
      <c r="H1069" s="239"/>
      <c r="I1069" s="257"/>
      <c r="J1069" s="240"/>
      <c r="K1069" s="240"/>
      <c r="L1069" s="240"/>
      <c r="M1069" s="240"/>
      <c r="N1069" s="240"/>
      <c r="O1069" s="258"/>
      <c r="P1069" s="224"/>
      <c r="Q1069" s="224"/>
      <c r="R1069" s="224"/>
      <c r="S1069" s="224"/>
      <c r="T1069" s="224"/>
      <c r="U1069" s="259"/>
      <c r="V1069" s="239"/>
      <c r="W1069" s="239"/>
      <c r="X1069" s="239"/>
      <c r="Y1069" s="239"/>
      <c r="Z1069" s="239"/>
      <c r="AA1069" s="257"/>
      <c r="AB1069" s="224"/>
      <c r="AC1069" s="224"/>
      <c r="AD1069" s="224"/>
      <c r="AE1069" s="224"/>
      <c r="AF1069" s="224"/>
      <c r="AG1069" s="259"/>
      <c r="AH1069" s="261"/>
      <c r="AI1069" s="261"/>
      <c r="AJ1069" s="261"/>
      <c r="AK1069" s="261"/>
      <c r="AL1069" s="261"/>
      <c r="AM1069" s="262"/>
    </row>
    <row r="1070" spans="1:39" x14ac:dyDescent="0.25">
      <c r="A1070" s="215"/>
      <c r="B1070" s="215"/>
      <c r="C1070" s="215"/>
      <c r="D1070" s="239"/>
      <c r="E1070" s="239"/>
      <c r="F1070" s="239"/>
      <c r="G1070" s="239"/>
      <c r="H1070" s="239"/>
      <c r="I1070" s="257"/>
      <c r="J1070" s="240"/>
      <c r="K1070" s="240"/>
      <c r="L1070" s="240"/>
      <c r="M1070" s="240"/>
      <c r="N1070" s="240"/>
      <c r="O1070" s="258"/>
      <c r="P1070" s="224"/>
      <c r="Q1070" s="224"/>
      <c r="R1070" s="224"/>
      <c r="S1070" s="224"/>
      <c r="T1070" s="224"/>
      <c r="U1070" s="259"/>
      <c r="V1070" s="239"/>
      <c r="W1070" s="239"/>
      <c r="X1070" s="239"/>
      <c r="Y1070" s="239"/>
      <c r="Z1070" s="239"/>
      <c r="AA1070" s="257"/>
      <c r="AB1070" s="224"/>
      <c r="AC1070" s="224"/>
      <c r="AD1070" s="224"/>
      <c r="AE1070" s="224"/>
      <c r="AF1070" s="224"/>
      <c r="AG1070" s="259"/>
      <c r="AH1070" s="261"/>
      <c r="AI1070" s="261"/>
      <c r="AJ1070" s="261"/>
      <c r="AK1070" s="261"/>
      <c r="AL1070" s="261"/>
      <c r="AM1070" s="262"/>
    </row>
    <row r="1071" spans="1:39" x14ac:dyDescent="0.25">
      <c r="A1071" s="215"/>
      <c r="B1071" s="215"/>
      <c r="C1071" s="215"/>
      <c r="D1071" s="239"/>
      <c r="E1071" s="239"/>
      <c r="F1071" s="239"/>
      <c r="G1071" s="239"/>
      <c r="H1071" s="239"/>
      <c r="I1071" s="257"/>
      <c r="J1071" s="240"/>
      <c r="K1071" s="240"/>
      <c r="L1071" s="240"/>
      <c r="M1071" s="240"/>
      <c r="N1071" s="240"/>
      <c r="O1071" s="258"/>
      <c r="P1071" s="224"/>
      <c r="Q1071" s="224"/>
      <c r="R1071" s="224"/>
      <c r="S1071" s="224"/>
      <c r="T1071" s="224"/>
      <c r="U1071" s="259"/>
      <c r="V1071" s="239"/>
      <c r="W1071" s="239"/>
      <c r="X1071" s="239"/>
      <c r="Y1071" s="239"/>
      <c r="Z1071" s="239"/>
      <c r="AA1071" s="257"/>
      <c r="AB1071" s="224"/>
      <c r="AC1071" s="224"/>
      <c r="AD1071" s="224"/>
      <c r="AE1071" s="224"/>
      <c r="AF1071" s="224"/>
      <c r="AG1071" s="259"/>
      <c r="AH1071" s="261"/>
      <c r="AI1071" s="261"/>
      <c r="AJ1071" s="261"/>
      <c r="AK1071" s="261"/>
      <c r="AL1071" s="261"/>
      <c r="AM1071" s="262"/>
    </row>
    <row r="1072" spans="1:39" x14ac:dyDescent="0.25">
      <c r="A1072" s="215"/>
      <c r="B1072" s="215"/>
      <c r="C1072" s="215"/>
      <c r="D1072" s="239"/>
      <c r="E1072" s="239"/>
      <c r="F1072" s="239"/>
      <c r="G1072" s="239"/>
      <c r="H1072" s="239"/>
      <c r="I1072" s="257"/>
      <c r="J1072" s="240"/>
      <c r="K1072" s="240"/>
      <c r="L1072" s="240"/>
      <c r="M1072" s="240"/>
      <c r="N1072" s="240"/>
      <c r="O1072" s="258"/>
      <c r="P1072" s="224"/>
      <c r="Q1072" s="224"/>
      <c r="R1072" s="224"/>
      <c r="S1072" s="224"/>
      <c r="T1072" s="224"/>
      <c r="U1072" s="259"/>
      <c r="V1072" s="239"/>
      <c r="W1072" s="239"/>
      <c r="X1072" s="239"/>
      <c r="Y1072" s="239"/>
      <c r="Z1072" s="239"/>
      <c r="AA1072" s="257"/>
      <c r="AB1072" s="224"/>
      <c r="AC1072" s="224"/>
      <c r="AD1072" s="224"/>
      <c r="AE1072" s="224"/>
      <c r="AF1072" s="224"/>
      <c r="AG1072" s="259"/>
      <c r="AH1072" s="261"/>
      <c r="AI1072" s="261"/>
      <c r="AJ1072" s="261"/>
      <c r="AK1072" s="261"/>
      <c r="AL1072" s="261"/>
      <c r="AM1072" s="262"/>
    </row>
    <row r="1073" spans="1:39" x14ac:dyDescent="0.25">
      <c r="A1073" s="215"/>
      <c r="B1073" s="215"/>
      <c r="C1073" s="215"/>
      <c r="D1073" s="239"/>
      <c r="E1073" s="239"/>
      <c r="F1073" s="239"/>
      <c r="G1073" s="239"/>
      <c r="H1073" s="239"/>
      <c r="I1073" s="257"/>
      <c r="J1073" s="240"/>
      <c r="K1073" s="240"/>
      <c r="L1073" s="240"/>
      <c r="M1073" s="240"/>
      <c r="N1073" s="240"/>
      <c r="O1073" s="258"/>
      <c r="P1073" s="224"/>
      <c r="Q1073" s="224"/>
      <c r="R1073" s="224"/>
      <c r="S1073" s="224"/>
      <c r="T1073" s="224"/>
      <c r="U1073" s="259"/>
      <c r="V1073" s="239"/>
      <c r="W1073" s="239"/>
      <c r="X1073" s="239"/>
      <c r="Y1073" s="239"/>
      <c r="Z1073" s="239"/>
      <c r="AA1073" s="257"/>
      <c r="AB1073" s="224"/>
      <c r="AC1073" s="224"/>
      <c r="AD1073" s="224"/>
      <c r="AE1073" s="224"/>
      <c r="AF1073" s="224"/>
      <c r="AG1073" s="259"/>
      <c r="AH1073" s="261"/>
      <c r="AI1073" s="261"/>
      <c r="AJ1073" s="261"/>
      <c r="AK1073" s="261"/>
      <c r="AL1073" s="261"/>
      <c r="AM1073" s="262"/>
    </row>
    <row r="1074" spans="1:39" x14ac:dyDescent="0.25">
      <c r="A1074" s="215"/>
      <c r="B1074" s="215"/>
      <c r="C1074" s="215"/>
      <c r="D1074" s="239"/>
      <c r="E1074" s="239"/>
      <c r="F1074" s="239"/>
      <c r="G1074" s="239"/>
      <c r="H1074" s="239"/>
      <c r="I1074" s="257"/>
      <c r="J1074" s="240"/>
      <c r="K1074" s="240"/>
      <c r="L1074" s="240"/>
      <c r="M1074" s="240"/>
      <c r="N1074" s="240"/>
      <c r="O1074" s="258"/>
      <c r="P1074" s="224"/>
      <c r="Q1074" s="224"/>
      <c r="R1074" s="224"/>
      <c r="S1074" s="224"/>
      <c r="T1074" s="224"/>
      <c r="U1074" s="259"/>
      <c r="V1074" s="239"/>
      <c r="W1074" s="239"/>
      <c r="X1074" s="239"/>
      <c r="Y1074" s="239"/>
      <c r="Z1074" s="239"/>
      <c r="AA1074" s="257"/>
      <c r="AB1074" s="224"/>
      <c r="AC1074" s="224"/>
      <c r="AD1074" s="224"/>
      <c r="AE1074" s="224"/>
      <c r="AF1074" s="224"/>
      <c r="AG1074" s="259"/>
      <c r="AH1074" s="261"/>
      <c r="AI1074" s="261"/>
      <c r="AJ1074" s="261"/>
      <c r="AK1074" s="261"/>
      <c r="AL1074" s="261"/>
      <c r="AM1074" s="262"/>
    </row>
    <row r="1075" spans="1:39" x14ac:dyDescent="0.25">
      <c r="A1075" s="215"/>
      <c r="B1075" s="215"/>
      <c r="C1075" s="215"/>
      <c r="D1075" s="239"/>
      <c r="E1075" s="239"/>
      <c r="F1075" s="239"/>
      <c r="G1075" s="239"/>
      <c r="H1075" s="239"/>
      <c r="I1075" s="257"/>
      <c r="J1075" s="240"/>
      <c r="K1075" s="240"/>
      <c r="L1075" s="240"/>
      <c r="M1075" s="240"/>
      <c r="N1075" s="240"/>
      <c r="O1075" s="258"/>
      <c r="P1075" s="224"/>
      <c r="Q1075" s="224"/>
      <c r="R1075" s="224"/>
      <c r="S1075" s="224"/>
      <c r="T1075" s="224"/>
      <c r="U1075" s="259"/>
      <c r="V1075" s="239"/>
      <c r="W1075" s="239"/>
      <c r="X1075" s="239"/>
      <c r="Y1075" s="239"/>
      <c r="Z1075" s="239"/>
      <c r="AA1075" s="257"/>
      <c r="AB1075" s="224"/>
      <c r="AC1075" s="224"/>
      <c r="AD1075" s="224"/>
      <c r="AE1075" s="224"/>
      <c r="AF1075" s="224"/>
      <c r="AG1075" s="259"/>
      <c r="AH1075" s="261"/>
      <c r="AI1075" s="261"/>
      <c r="AJ1075" s="261"/>
      <c r="AK1075" s="261"/>
      <c r="AL1075" s="261"/>
      <c r="AM1075" s="262"/>
    </row>
    <row r="1076" spans="1:39" x14ac:dyDescent="0.25">
      <c r="A1076" s="215"/>
      <c r="B1076" s="215"/>
      <c r="C1076" s="215"/>
      <c r="D1076" s="239"/>
      <c r="E1076" s="239"/>
      <c r="F1076" s="239"/>
      <c r="G1076" s="239"/>
      <c r="H1076" s="239"/>
      <c r="I1076" s="257"/>
      <c r="J1076" s="240"/>
      <c r="K1076" s="240"/>
      <c r="L1076" s="240"/>
      <c r="M1076" s="240"/>
      <c r="N1076" s="240"/>
      <c r="O1076" s="258"/>
      <c r="P1076" s="224"/>
      <c r="Q1076" s="224"/>
      <c r="R1076" s="224"/>
      <c r="S1076" s="224"/>
      <c r="T1076" s="224"/>
      <c r="U1076" s="259"/>
      <c r="V1076" s="239"/>
      <c r="W1076" s="239"/>
      <c r="X1076" s="239"/>
      <c r="Y1076" s="239"/>
      <c r="Z1076" s="239"/>
      <c r="AA1076" s="257"/>
      <c r="AB1076" s="224"/>
      <c r="AC1076" s="224"/>
      <c r="AD1076" s="224"/>
      <c r="AE1076" s="224"/>
      <c r="AF1076" s="224"/>
      <c r="AG1076" s="259"/>
      <c r="AH1076" s="261"/>
      <c r="AI1076" s="261"/>
      <c r="AJ1076" s="261"/>
      <c r="AK1076" s="261"/>
      <c r="AL1076" s="261"/>
      <c r="AM1076" s="262"/>
    </row>
    <row r="1077" spans="1:39" x14ac:dyDescent="0.25">
      <c r="A1077" s="215"/>
      <c r="B1077" s="215"/>
      <c r="C1077" s="215"/>
      <c r="D1077" s="239"/>
      <c r="E1077" s="239"/>
      <c r="F1077" s="239"/>
      <c r="G1077" s="239"/>
      <c r="H1077" s="239"/>
      <c r="I1077" s="257"/>
      <c r="J1077" s="240"/>
      <c r="K1077" s="240"/>
      <c r="L1077" s="240"/>
      <c r="M1077" s="240"/>
      <c r="N1077" s="240"/>
      <c r="O1077" s="258"/>
      <c r="P1077" s="224"/>
      <c r="Q1077" s="224"/>
      <c r="R1077" s="224"/>
      <c r="S1077" s="224"/>
      <c r="T1077" s="224"/>
      <c r="U1077" s="259"/>
      <c r="V1077" s="239"/>
      <c r="W1077" s="239"/>
      <c r="X1077" s="239"/>
      <c r="Y1077" s="239"/>
      <c r="Z1077" s="239"/>
      <c r="AA1077" s="257"/>
      <c r="AB1077" s="224"/>
      <c r="AC1077" s="224"/>
      <c r="AD1077" s="224"/>
      <c r="AE1077" s="224"/>
      <c r="AF1077" s="224"/>
      <c r="AG1077" s="259"/>
      <c r="AH1077" s="261"/>
      <c r="AI1077" s="261"/>
      <c r="AJ1077" s="261"/>
      <c r="AK1077" s="261"/>
      <c r="AL1077" s="261"/>
      <c r="AM1077" s="262"/>
    </row>
    <row r="1078" spans="1:39" x14ac:dyDescent="0.25">
      <c r="A1078" s="215"/>
      <c r="B1078" s="215"/>
      <c r="C1078" s="215"/>
      <c r="D1078" s="239"/>
      <c r="E1078" s="239"/>
      <c r="F1078" s="239"/>
      <c r="G1078" s="239"/>
      <c r="H1078" s="239"/>
      <c r="I1078" s="257"/>
      <c r="J1078" s="240"/>
      <c r="K1078" s="240"/>
      <c r="L1078" s="240"/>
      <c r="M1078" s="240"/>
      <c r="N1078" s="240"/>
      <c r="O1078" s="258"/>
      <c r="P1078" s="224"/>
      <c r="Q1078" s="224"/>
      <c r="R1078" s="224"/>
      <c r="S1078" s="224"/>
      <c r="T1078" s="224"/>
      <c r="U1078" s="259"/>
      <c r="V1078" s="239"/>
      <c r="W1078" s="239"/>
      <c r="X1078" s="239"/>
      <c r="Y1078" s="239"/>
      <c r="Z1078" s="239"/>
      <c r="AA1078" s="257"/>
      <c r="AB1078" s="224"/>
      <c r="AC1078" s="224"/>
      <c r="AD1078" s="224"/>
      <c r="AE1078" s="224"/>
      <c r="AF1078" s="224"/>
      <c r="AG1078" s="259"/>
      <c r="AH1078" s="261"/>
      <c r="AI1078" s="261"/>
      <c r="AJ1078" s="261"/>
      <c r="AK1078" s="261"/>
      <c r="AL1078" s="261"/>
      <c r="AM1078" s="262"/>
    </row>
    <row r="1079" spans="1:39" x14ac:dyDescent="0.25">
      <c r="A1079" s="215"/>
      <c r="B1079" s="215"/>
      <c r="C1079" s="215"/>
      <c r="D1079" s="239"/>
      <c r="E1079" s="239"/>
      <c r="F1079" s="239"/>
      <c r="G1079" s="239"/>
      <c r="H1079" s="239"/>
      <c r="I1079" s="257"/>
      <c r="J1079" s="240"/>
      <c r="K1079" s="240"/>
      <c r="L1079" s="240"/>
      <c r="M1079" s="240"/>
      <c r="N1079" s="240"/>
      <c r="O1079" s="258"/>
      <c r="P1079" s="224"/>
      <c r="Q1079" s="224"/>
      <c r="R1079" s="224"/>
      <c r="S1079" s="224"/>
      <c r="T1079" s="224"/>
      <c r="U1079" s="259"/>
      <c r="V1079" s="239"/>
      <c r="W1079" s="239"/>
      <c r="X1079" s="239"/>
      <c r="Y1079" s="239"/>
      <c r="Z1079" s="239"/>
      <c r="AA1079" s="257"/>
      <c r="AB1079" s="224"/>
      <c r="AC1079" s="224"/>
      <c r="AD1079" s="224"/>
      <c r="AE1079" s="224"/>
      <c r="AF1079" s="224"/>
      <c r="AG1079" s="259"/>
      <c r="AH1079" s="261"/>
      <c r="AI1079" s="261"/>
      <c r="AJ1079" s="261"/>
      <c r="AK1079" s="261"/>
      <c r="AL1079" s="261"/>
      <c r="AM1079" s="262"/>
    </row>
    <row r="1080" spans="1:39" x14ac:dyDescent="0.25">
      <c r="A1080" s="215"/>
      <c r="B1080" s="215"/>
      <c r="C1080" s="215"/>
      <c r="D1080" s="239"/>
      <c r="E1080" s="239"/>
      <c r="F1080" s="239"/>
      <c r="G1080" s="239"/>
      <c r="H1080" s="239"/>
      <c r="I1080" s="257"/>
      <c r="J1080" s="240"/>
      <c r="K1080" s="240"/>
      <c r="L1080" s="240"/>
      <c r="M1080" s="240"/>
      <c r="N1080" s="240"/>
      <c r="O1080" s="258"/>
      <c r="P1080" s="224"/>
      <c r="Q1080" s="224"/>
      <c r="R1080" s="224"/>
      <c r="S1080" s="224"/>
      <c r="T1080" s="224"/>
      <c r="U1080" s="259"/>
      <c r="V1080" s="239"/>
      <c r="W1080" s="239"/>
      <c r="X1080" s="239"/>
      <c r="Y1080" s="239"/>
      <c r="Z1080" s="239"/>
      <c r="AA1080" s="257"/>
      <c r="AB1080" s="224"/>
      <c r="AC1080" s="224"/>
      <c r="AD1080" s="224"/>
      <c r="AE1080" s="224"/>
      <c r="AF1080" s="224"/>
      <c r="AG1080" s="259"/>
      <c r="AH1080" s="261"/>
      <c r="AI1080" s="261"/>
      <c r="AJ1080" s="261"/>
      <c r="AK1080" s="261"/>
      <c r="AL1080" s="261"/>
      <c r="AM1080" s="262"/>
    </row>
    <row r="1081" spans="1:39" x14ac:dyDescent="0.25">
      <c r="A1081" s="215"/>
      <c r="B1081" s="215"/>
      <c r="C1081" s="215"/>
      <c r="D1081" s="239"/>
      <c r="E1081" s="239"/>
      <c r="F1081" s="239"/>
      <c r="G1081" s="239"/>
      <c r="H1081" s="239"/>
      <c r="I1081" s="257"/>
      <c r="J1081" s="240"/>
      <c r="K1081" s="240"/>
      <c r="L1081" s="240"/>
      <c r="M1081" s="240"/>
      <c r="N1081" s="240"/>
      <c r="O1081" s="258"/>
      <c r="P1081" s="224"/>
      <c r="Q1081" s="224"/>
      <c r="R1081" s="224"/>
      <c r="S1081" s="224"/>
      <c r="T1081" s="224"/>
      <c r="U1081" s="259"/>
      <c r="V1081" s="239"/>
      <c r="W1081" s="239"/>
      <c r="X1081" s="239"/>
      <c r="Y1081" s="239"/>
      <c r="Z1081" s="239"/>
      <c r="AA1081" s="257"/>
      <c r="AB1081" s="224"/>
      <c r="AC1081" s="224"/>
      <c r="AD1081" s="224"/>
      <c r="AE1081" s="224"/>
      <c r="AF1081" s="224"/>
      <c r="AG1081" s="259"/>
      <c r="AH1081" s="261"/>
      <c r="AI1081" s="261"/>
      <c r="AJ1081" s="261"/>
      <c r="AK1081" s="261"/>
      <c r="AL1081" s="261"/>
      <c r="AM1081" s="262"/>
    </row>
    <row r="1082" spans="1:39" x14ac:dyDescent="0.25">
      <c r="A1082" s="215"/>
      <c r="B1082" s="215"/>
      <c r="C1082" s="215"/>
      <c r="D1082" s="239"/>
      <c r="E1082" s="239"/>
      <c r="F1082" s="239"/>
      <c r="G1082" s="239"/>
      <c r="H1082" s="239"/>
      <c r="I1082" s="257"/>
      <c r="J1082" s="240"/>
      <c r="K1082" s="240"/>
      <c r="L1082" s="240"/>
      <c r="M1082" s="240"/>
      <c r="N1082" s="240"/>
      <c r="O1082" s="258"/>
      <c r="P1082" s="224"/>
      <c r="Q1082" s="224"/>
      <c r="R1082" s="224"/>
      <c r="S1082" s="224"/>
      <c r="T1082" s="224"/>
      <c r="U1082" s="259"/>
      <c r="V1082" s="239"/>
      <c r="W1082" s="239"/>
      <c r="X1082" s="239"/>
      <c r="Y1082" s="239"/>
      <c r="Z1082" s="239"/>
      <c r="AA1082" s="257"/>
      <c r="AB1082" s="224"/>
      <c r="AC1082" s="224"/>
      <c r="AD1082" s="224"/>
      <c r="AE1082" s="224"/>
      <c r="AF1082" s="224"/>
      <c r="AG1082" s="259"/>
      <c r="AH1082" s="261"/>
      <c r="AI1082" s="261"/>
      <c r="AJ1082" s="261"/>
      <c r="AK1082" s="261"/>
      <c r="AL1082" s="261"/>
      <c r="AM1082" s="262"/>
    </row>
    <row r="1083" spans="1:39" x14ac:dyDescent="0.25">
      <c r="A1083" s="215"/>
      <c r="B1083" s="215"/>
      <c r="C1083" s="215"/>
      <c r="D1083" s="239"/>
      <c r="E1083" s="239"/>
      <c r="F1083" s="239"/>
      <c r="G1083" s="239"/>
      <c r="H1083" s="239"/>
      <c r="I1083" s="257"/>
      <c r="J1083" s="240"/>
      <c r="K1083" s="240"/>
      <c r="L1083" s="240"/>
      <c r="M1083" s="240"/>
      <c r="N1083" s="240"/>
      <c r="O1083" s="258"/>
      <c r="P1083" s="224"/>
      <c r="Q1083" s="224"/>
      <c r="R1083" s="224"/>
      <c r="S1083" s="224"/>
      <c r="T1083" s="224"/>
      <c r="U1083" s="259"/>
      <c r="V1083" s="239"/>
      <c r="W1083" s="239"/>
      <c r="X1083" s="239"/>
      <c r="Y1083" s="239"/>
      <c r="Z1083" s="239"/>
      <c r="AA1083" s="257"/>
      <c r="AB1083" s="224"/>
      <c r="AC1083" s="224"/>
      <c r="AD1083" s="224"/>
      <c r="AE1083" s="224"/>
      <c r="AF1083" s="224"/>
      <c r="AG1083" s="259"/>
      <c r="AH1083" s="261"/>
      <c r="AI1083" s="261"/>
      <c r="AJ1083" s="261"/>
      <c r="AK1083" s="261"/>
      <c r="AL1083" s="261"/>
      <c r="AM1083" s="262"/>
    </row>
    <row r="1084" spans="1:39" x14ac:dyDescent="0.25">
      <c r="A1084" s="215"/>
      <c r="B1084" s="215"/>
      <c r="C1084" s="215"/>
      <c r="D1084" s="239"/>
      <c r="E1084" s="239"/>
      <c r="F1084" s="239"/>
      <c r="G1084" s="239"/>
      <c r="H1084" s="239"/>
      <c r="I1084" s="257"/>
      <c r="J1084" s="240"/>
      <c r="K1084" s="240"/>
      <c r="L1084" s="240"/>
      <c r="M1084" s="240"/>
      <c r="N1084" s="240"/>
      <c r="O1084" s="258"/>
      <c r="P1084" s="224"/>
      <c r="Q1084" s="224"/>
      <c r="R1084" s="224"/>
      <c r="S1084" s="224"/>
      <c r="T1084" s="224"/>
      <c r="U1084" s="259"/>
      <c r="V1084" s="239"/>
      <c r="W1084" s="239"/>
      <c r="X1084" s="239"/>
      <c r="Y1084" s="239"/>
      <c r="Z1084" s="239"/>
      <c r="AA1084" s="257"/>
      <c r="AB1084" s="224"/>
      <c r="AC1084" s="224"/>
      <c r="AD1084" s="224"/>
      <c r="AE1084" s="224"/>
      <c r="AF1084" s="224"/>
      <c r="AG1084" s="259"/>
      <c r="AH1084" s="261"/>
      <c r="AI1084" s="261"/>
      <c r="AJ1084" s="261"/>
      <c r="AK1084" s="261"/>
      <c r="AL1084" s="261"/>
      <c r="AM1084" s="262"/>
    </row>
    <row r="1085" spans="1:39" x14ac:dyDescent="0.25">
      <c r="A1085" s="215"/>
      <c r="B1085" s="215"/>
      <c r="C1085" s="215"/>
      <c r="D1085" s="239"/>
      <c r="E1085" s="239"/>
      <c r="F1085" s="239"/>
      <c r="G1085" s="239"/>
      <c r="H1085" s="239"/>
      <c r="I1085" s="257"/>
      <c r="J1085" s="240"/>
      <c r="K1085" s="240"/>
      <c r="L1085" s="240"/>
      <c r="M1085" s="240"/>
      <c r="N1085" s="240"/>
      <c r="O1085" s="258"/>
      <c r="P1085" s="224"/>
      <c r="Q1085" s="224"/>
      <c r="R1085" s="224"/>
      <c r="S1085" s="224"/>
      <c r="T1085" s="224"/>
      <c r="U1085" s="259"/>
      <c r="V1085" s="239"/>
      <c r="W1085" s="239"/>
      <c r="X1085" s="239"/>
      <c r="Y1085" s="239"/>
      <c r="Z1085" s="239"/>
      <c r="AA1085" s="257"/>
      <c r="AB1085" s="224"/>
      <c r="AC1085" s="224"/>
      <c r="AD1085" s="224"/>
      <c r="AE1085" s="224"/>
      <c r="AF1085" s="224"/>
      <c r="AG1085" s="259"/>
      <c r="AH1085" s="261"/>
      <c r="AI1085" s="261"/>
      <c r="AJ1085" s="261"/>
      <c r="AK1085" s="261"/>
      <c r="AL1085" s="261"/>
      <c r="AM1085" s="262"/>
    </row>
    <row r="1086" spans="1:39" x14ac:dyDescent="0.25">
      <c r="A1086" s="215"/>
      <c r="B1086" s="215"/>
      <c r="C1086" s="215"/>
      <c r="D1086" s="239"/>
      <c r="E1086" s="239"/>
      <c r="F1086" s="239"/>
      <c r="G1086" s="239"/>
      <c r="H1086" s="239"/>
      <c r="I1086" s="257"/>
      <c r="J1086" s="240"/>
      <c r="K1086" s="240"/>
      <c r="L1086" s="240"/>
      <c r="M1086" s="240"/>
      <c r="N1086" s="240"/>
      <c r="O1086" s="258"/>
      <c r="P1086" s="224"/>
      <c r="Q1086" s="224"/>
      <c r="R1086" s="224"/>
      <c r="S1086" s="224"/>
      <c r="T1086" s="224"/>
      <c r="U1086" s="259"/>
      <c r="V1086" s="239"/>
      <c r="W1086" s="239"/>
      <c r="X1086" s="239"/>
      <c r="Y1086" s="239"/>
      <c r="Z1086" s="239"/>
      <c r="AA1086" s="257"/>
      <c r="AB1086" s="224"/>
      <c r="AC1086" s="224"/>
      <c r="AD1086" s="224"/>
      <c r="AE1086" s="224"/>
      <c r="AF1086" s="224"/>
      <c r="AG1086" s="259"/>
      <c r="AH1086" s="261"/>
      <c r="AI1086" s="261"/>
      <c r="AJ1086" s="261"/>
      <c r="AK1086" s="261"/>
      <c r="AL1086" s="261"/>
      <c r="AM1086" s="262"/>
    </row>
    <row r="1087" spans="1:39" x14ac:dyDescent="0.25">
      <c r="A1087" s="215"/>
      <c r="B1087" s="215"/>
      <c r="C1087" s="215"/>
      <c r="D1087" s="239"/>
      <c r="E1087" s="239"/>
      <c r="F1087" s="239"/>
      <c r="G1087" s="239"/>
      <c r="H1087" s="239"/>
      <c r="I1087" s="257"/>
      <c r="J1087" s="240"/>
      <c r="K1087" s="240"/>
      <c r="L1087" s="240"/>
      <c r="M1087" s="240"/>
      <c r="N1087" s="240"/>
      <c r="O1087" s="258"/>
      <c r="P1087" s="224"/>
      <c r="Q1087" s="224"/>
      <c r="R1087" s="224"/>
      <c r="S1087" s="224"/>
      <c r="T1087" s="224"/>
      <c r="U1087" s="259"/>
      <c r="V1087" s="239"/>
      <c r="W1087" s="239"/>
      <c r="X1087" s="239"/>
      <c r="Y1087" s="239"/>
      <c r="Z1087" s="239"/>
      <c r="AA1087" s="257"/>
      <c r="AB1087" s="224"/>
      <c r="AC1087" s="224"/>
      <c r="AD1087" s="224"/>
      <c r="AE1087" s="224"/>
      <c r="AF1087" s="224"/>
      <c r="AG1087" s="259"/>
      <c r="AH1087" s="261"/>
      <c r="AI1087" s="261"/>
      <c r="AJ1087" s="261"/>
      <c r="AK1087" s="261"/>
      <c r="AL1087" s="261"/>
      <c r="AM1087" s="262"/>
    </row>
    <row r="1088" spans="1:39" x14ac:dyDescent="0.25">
      <c r="A1088" s="215"/>
      <c r="B1088" s="215"/>
      <c r="C1088" s="215"/>
      <c r="D1088" s="239"/>
      <c r="E1088" s="239"/>
      <c r="F1088" s="239"/>
      <c r="G1088" s="239"/>
      <c r="H1088" s="239"/>
      <c r="I1088" s="257"/>
      <c r="J1088" s="240"/>
      <c r="K1088" s="240"/>
      <c r="L1088" s="240"/>
      <c r="M1088" s="240"/>
      <c r="N1088" s="240"/>
      <c r="O1088" s="258"/>
      <c r="P1088" s="224"/>
      <c r="Q1088" s="224"/>
      <c r="R1088" s="224"/>
      <c r="S1088" s="224"/>
      <c r="T1088" s="224"/>
      <c r="U1088" s="259"/>
      <c r="V1088" s="239"/>
      <c r="W1088" s="239"/>
      <c r="X1088" s="239"/>
      <c r="Y1088" s="239"/>
      <c r="Z1088" s="239"/>
      <c r="AA1088" s="257"/>
      <c r="AB1088" s="224"/>
      <c r="AC1088" s="224"/>
      <c r="AD1088" s="224"/>
      <c r="AE1088" s="224"/>
      <c r="AF1088" s="224"/>
      <c r="AG1088" s="259"/>
      <c r="AH1088" s="261"/>
      <c r="AI1088" s="261"/>
      <c r="AJ1088" s="261"/>
      <c r="AK1088" s="261"/>
      <c r="AL1088" s="261"/>
      <c r="AM1088" s="262"/>
    </row>
    <row r="1089" spans="1:39" x14ac:dyDescent="0.25">
      <c r="A1089" s="215"/>
      <c r="B1089" s="215"/>
      <c r="C1089" s="215"/>
      <c r="D1089" s="239"/>
      <c r="E1089" s="239"/>
      <c r="F1089" s="239"/>
      <c r="G1089" s="239"/>
      <c r="H1089" s="239"/>
      <c r="I1089" s="257"/>
      <c r="J1089" s="240"/>
      <c r="K1089" s="240"/>
      <c r="L1089" s="240"/>
      <c r="M1089" s="240"/>
      <c r="N1089" s="240"/>
      <c r="O1089" s="258"/>
      <c r="P1089" s="224"/>
      <c r="Q1089" s="224"/>
      <c r="R1089" s="224"/>
      <c r="S1089" s="224"/>
      <c r="T1089" s="224"/>
      <c r="U1089" s="259"/>
      <c r="V1089" s="239"/>
      <c r="W1089" s="239"/>
      <c r="X1089" s="239"/>
      <c r="Y1089" s="239"/>
      <c r="Z1089" s="239"/>
      <c r="AA1089" s="257"/>
      <c r="AB1089" s="224"/>
      <c r="AC1089" s="224"/>
      <c r="AD1089" s="224"/>
      <c r="AE1089" s="224"/>
      <c r="AF1089" s="224"/>
      <c r="AG1089" s="259"/>
      <c r="AH1089" s="261"/>
      <c r="AI1089" s="261"/>
      <c r="AJ1089" s="261"/>
      <c r="AK1089" s="261"/>
      <c r="AL1089" s="261"/>
      <c r="AM1089" s="262"/>
    </row>
    <row r="1090" spans="1:39" x14ac:dyDescent="0.25">
      <c r="A1090" s="215"/>
      <c r="B1090" s="215"/>
      <c r="C1090" s="215"/>
      <c r="D1090" s="239"/>
      <c r="E1090" s="239"/>
      <c r="F1090" s="239"/>
      <c r="G1090" s="239"/>
      <c r="H1090" s="239"/>
      <c r="I1090" s="257"/>
      <c r="J1090" s="240"/>
      <c r="K1090" s="240"/>
      <c r="L1090" s="240"/>
      <c r="M1090" s="240"/>
      <c r="N1090" s="240"/>
      <c r="O1090" s="258"/>
      <c r="P1090" s="224"/>
      <c r="Q1090" s="224"/>
      <c r="R1090" s="224"/>
      <c r="S1090" s="224"/>
      <c r="T1090" s="224"/>
      <c r="U1090" s="259"/>
      <c r="V1090" s="239"/>
      <c r="W1090" s="239"/>
      <c r="X1090" s="239"/>
      <c r="Y1090" s="239"/>
      <c r="Z1090" s="239"/>
      <c r="AA1090" s="257"/>
      <c r="AB1090" s="224"/>
      <c r="AC1090" s="224"/>
      <c r="AD1090" s="224"/>
      <c r="AE1090" s="224"/>
      <c r="AF1090" s="224"/>
      <c r="AG1090" s="259"/>
      <c r="AH1090" s="261"/>
      <c r="AI1090" s="261"/>
      <c r="AJ1090" s="261"/>
      <c r="AK1090" s="261"/>
      <c r="AL1090" s="261"/>
      <c r="AM1090" s="262"/>
    </row>
    <row r="1091" spans="1:39" x14ac:dyDescent="0.25">
      <c r="A1091" s="215"/>
      <c r="B1091" s="215"/>
      <c r="C1091" s="215"/>
      <c r="D1091" s="239"/>
      <c r="E1091" s="239"/>
      <c r="F1091" s="239"/>
      <c r="G1091" s="239"/>
      <c r="H1091" s="239"/>
      <c r="I1091" s="257"/>
      <c r="J1091" s="240"/>
      <c r="K1091" s="240"/>
      <c r="L1091" s="240"/>
      <c r="M1091" s="240"/>
      <c r="N1091" s="240"/>
      <c r="O1091" s="258"/>
      <c r="P1091" s="224"/>
      <c r="Q1091" s="224"/>
      <c r="R1091" s="224"/>
      <c r="S1091" s="224"/>
      <c r="T1091" s="224"/>
      <c r="U1091" s="259"/>
      <c r="V1091" s="239"/>
      <c r="W1091" s="239"/>
      <c r="X1091" s="239"/>
      <c r="Y1091" s="239"/>
      <c r="Z1091" s="239"/>
      <c r="AA1091" s="257"/>
      <c r="AB1091" s="224"/>
      <c r="AC1091" s="224"/>
      <c r="AD1091" s="224"/>
      <c r="AE1091" s="224"/>
      <c r="AF1091" s="224"/>
      <c r="AG1091" s="259"/>
      <c r="AH1091" s="261"/>
      <c r="AI1091" s="261"/>
      <c r="AJ1091" s="261"/>
      <c r="AK1091" s="261"/>
      <c r="AL1091" s="261"/>
      <c r="AM1091" s="262"/>
    </row>
    <row r="1092" spans="1:39" x14ac:dyDescent="0.25">
      <c r="A1092" s="215"/>
      <c r="B1092" s="215"/>
      <c r="C1092" s="215"/>
      <c r="D1092" s="239"/>
      <c r="E1092" s="239"/>
      <c r="F1092" s="239"/>
      <c r="G1092" s="239"/>
      <c r="H1092" s="239"/>
      <c r="I1092" s="257"/>
      <c r="J1092" s="240"/>
      <c r="K1092" s="240"/>
      <c r="L1092" s="240"/>
      <c r="M1092" s="240"/>
      <c r="N1092" s="240"/>
      <c r="O1092" s="258"/>
      <c r="P1092" s="224"/>
      <c r="Q1092" s="224"/>
      <c r="R1092" s="224"/>
      <c r="S1092" s="224"/>
      <c r="T1092" s="224"/>
      <c r="U1092" s="259"/>
      <c r="V1092" s="239"/>
      <c r="W1092" s="239"/>
      <c r="X1092" s="239"/>
      <c r="Y1092" s="239"/>
      <c r="Z1092" s="239"/>
      <c r="AA1092" s="257"/>
      <c r="AB1092" s="224"/>
      <c r="AC1092" s="224"/>
      <c r="AD1092" s="224"/>
      <c r="AE1092" s="224"/>
      <c r="AF1092" s="224"/>
      <c r="AG1092" s="259"/>
      <c r="AH1092" s="261"/>
      <c r="AI1092" s="261"/>
      <c r="AJ1092" s="261"/>
      <c r="AK1092" s="261"/>
      <c r="AL1092" s="261"/>
      <c r="AM1092" s="262"/>
    </row>
    <row r="1093" spans="1:39" x14ac:dyDescent="0.25">
      <c r="A1093" s="215"/>
      <c r="B1093" s="215"/>
      <c r="C1093" s="215"/>
      <c r="D1093" s="239"/>
      <c r="E1093" s="239"/>
      <c r="F1093" s="239"/>
      <c r="G1093" s="239"/>
      <c r="H1093" s="239"/>
      <c r="I1093" s="257"/>
      <c r="J1093" s="240"/>
      <c r="K1093" s="240"/>
      <c r="L1093" s="240"/>
      <c r="M1093" s="240"/>
      <c r="N1093" s="240"/>
      <c r="O1093" s="258"/>
      <c r="P1093" s="224"/>
      <c r="Q1093" s="224"/>
      <c r="R1093" s="224"/>
      <c r="S1093" s="224"/>
      <c r="T1093" s="224"/>
      <c r="U1093" s="259"/>
      <c r="V1093" s="239"/>
      <c r="W1093" s="239"/>
      <c r="X1093" s="239"/>
      <c r="Y1093" s="239"/>
      <c r="Z1093" s="239"/>
      <c r="AA1093" s="257"/>
      <c r="AB1093" s="224"/>
      <c r="AC1093" s="224"/>
      <c r="AD1093" s="224"/>
      <c r="AE1093" s="224"/>
      <c r="AF1093" s="224"/>
      <c r="AG1093" s="259"/>
      <c r="AH1093" s="261"/>
      <c r="AI1093" s="261"/>
      <c r="AJ1093" s="261"/>
      <c r="AK1093" s="261"/>
      <c r="AL1093" s="261"/>
      <c r="AM1093" s="262"/>
    </row>
    <row r="1094" spans="1:39" x14ac:dyDescent="0.25">
      <c r="A1094" s="215"/>
      <c r="B1094" s="215"/>
      <c r="C1094" s="215"/>
      <c r="D1094" s="239"/>
      <c r="E1094" s="239"/>
      <c r="F1094" s="239"/>
      <c r="G1094" s="239"/>
      <c r="H1094" s="239"/>
      <c r="I1094" s="257"/>
      <c r="J1094" s="240"/>
      <c r="K1094" s="240"/>
      <c r="L1094" s="240"/>
      <c r="M1094" s="240"/>
      <c r="N1094" s="240"/>
      <c r="O1094" s="258"/>
      <c r="P1094" s="224"/>
      <c r="Q1094" s="224"/>
      <c r="R1094" s="224"/>
      <c r="S1094" s="224"/>
      <c r="T1094" s="224"/>
      <c r="U1094" s="259"/>
      <c r="V1094" s="239"/>
      <c r="W1094" s="239"/>
      <c r="X1094" s="239"/>
      <c r="Y1094" s="239"/>
      <c r="Z1094" s="239"/>
      <c r="AA1094" s="257"/>
      <c r="AB1094" s="224"/>
      <c r="AC1094" s="224"/>
      <c r="AD1094" s="224"/>
      <c r="AE1094" s="224"/>
      <c r="AF1094" s="224"/>
      <c r="AG1094" s="259"/>
      <c r="AH1094" s="261"/>
      <c r="AI1094" s="261"/>
      <c r="AJ1094" s="261"/>
      <c r="AK1094" s="261"/>
      <c r="AL1094" s="261"/>
      <c r="AM1094" s="262"/>
    </row>
    <row r="1095" spans="1:39" x14ac:dyDescent="0.25">
      <c r="A1095" s="215"/>
      <c r="B1095" s="215"/>
      <c r="C1095" s="215"/>
      <c r="D1095" s="239"/>
      <c r="E1095" s="239"/>
      <c r="F1095" s="239"/>
      <c r="G1095" s="239"/>
      <c r="H1095" s="239"/>
      <c r="I1095" s="257"/>
      <c r="J1095" s="240"/>
      <c r="K1095" s="240"/>
      <c r="L1095" s="240"/>
      <c r="M1095" s="240"/>
      <c r="N1095" s="240"/>
      <c r="O1095" s="258"/>
      <c r="P1095" s="224"/>
      <c r="Q1095" s="224"/>
      <c r="R1095" s="224"/>
      <c r="S1095" s="224"/>
      <c r="T1095" s="224"/>
      <c r="U1095" s="259"/>
      <c r="V1095" s="239"/>
      <c r="W1095" s="239"/>
      <c r="X1095" s="239"/>
      <c r="Y1095" s="239"/>
      <c r="Z1095" s="239"/>
      <c r="AA1095" s="257"/>
      <c r="AB1095" s="224"/>
      <c r="AC1095" s="224"/>
      <c r="AD1095" s="224"/>
      <c r="AE1095" s="224"/>
      <c r="AF1095" s="224"/>
      <c r="AG1095" s="259"/>
      <c r="AH1095" s="261"/>
      <c r="AI1095" s="261"/>
      <c r="AJ1095" s="261"/>
      <c r="AK1095" s="261"/>
      <c r="AL1095" s="261"/>
      <c r="AM1095" s="262"/>
    </row>
    <row r="1096" spans="1:39" x14ac:dyDescent="0.25">
      <c r="A1096" s="215"/>
      <c r="B1096" s="215"/>
      <c r="C1096" s="215"/>
      <c r="D1096" s="239"/>
      <c r="E1096" s="239"/>
      <c r="F1096" s="239"/>
      <c r="G1096" s="239"/>
      <c r="H1096" s="239"/>
      <c r="I1096" s="257"/>
      <c r="J1096" s="240"/>
      <c r="K1096" s="240"/>
      <c r="L1096" s="240"/>
      <c r="M1096" s="240"/>
      <c r="N1096" s="240"/>
      <c r="O1096" s="258"/>
      <c r="P1096" s="224"/>
      <c r="Q1096" s="224"/>
      <c r="R1096" s="224"/>
      <c r="S1096" s="224"/>
      <c r="T1096" s="224"/>
      <c r="U1096" s="259"/>
      <c r="V1096" s="239"/>
      <c r="W1096" s="239"/>
      <c r="X1096" s="239"/>
      <c r="Y1096" s="239"/>
      <c r="Z1096" s="239"/>
      <c r="AA1096" s="257"/>
      <c r="AB1096" s="224"/>
      <c r="AC1096" s="224"/>
      <c r="AD1096" s="224"/>
      <c r="AE1096" s="224"/>
      <c r="AF1096" s="224"/>
      <c r="AG1096" s="259"/>
      <c r="AH1096" s="261"/>
      <c r="AI1096" s="261"/>
      <c r="AJ1096" s="261"/>
      <c r="AK1096" s="261"/>
      <c r="AL1096" s="261"/>
      <c r="AM1096" s="262"/>
    </row>
    <row r="1097" spans="1:39" x14ac:dyDescent="0.25">
      <c r="A1097" s="215"/>
      <c r="B1097" s="215"/>
      <c r="C1097" s="215"/>
      <c r="D1097" s="239"/>
      <c r="E1097" s="239"/>
      <c r="F1097" s="239"/>
      <c r="G1097" s="239"/>
      <c r="H1097" s="239"/>
      <c r="I1097" s="257"/>
      <c r="J1097" s="240"/>
      <c r="K1097" s="240"/>
      <c r="L1097" s="240"/>
      <c r="M1097" s="240"/>
      <c r="N1097" s="240"/>
      <c r="O1097" s="258"/>
      <c r="P1097" s="224"/>
      <c r="Q1097" s="224"/>
      <c r="R1097" s="224"/>
      <c r="S1097" s="224"/>
      <c r="T1097" s="224"/>
      <c r="U1097" s="259"/>
      <c r="V1097" s="239"/>
      <c r="W1097" s="239"/>
      <c r="X1097" s="239"/>
      <c r="Y1097" s="239"/>
      <c r="Z1097" s="239"/>
      <c r="AA1097" s="257"/>
      <c r="AB1097" s="224"/>
      <c r="AC1097" s="224"/>
      <c r="AD1097" s="224"/>
      <c r="AE1097" s="224"/>
      <c r="AF1097" s="224"/>
      <c r="AG1097" s="259"/>
      <c r="AH1097" s="261"/>
      <c r="AI1097" s="261"/>
      <c r="AJ1097" s="261"/>
      <c r="AK1097" s="261"/>
      <c r="AL1097" s="261"/>
      <c r="AM1097" s="262"/>
    </row>
    <row r="1098" spans="1:39" x14ac:dyDescent="0.25">
      <c r="A1098" s="215"/>
      <c r="B1098" s="215"/>
      <c r="C1098" s="215"/>
      <c r="D1098" s="239"/>
      <c r="E1098" s="239"/>
      <c r="F1098" s="239"/>
      <c r="G1098" s="239"/>
      <c r="H1098" s="239"/>
      <c r="I1098" s="257"/>
      <c r="J1098" s="240"/>
      <c r="K1098" s="240"/>
      <c r="L1098" s="240"/>
      <c r="M1098" s="240"/>
      <c r="N1098" s="240"/>
      <c r="O1098" s="258"/>
      <c r="P1098" s="224"/>
      <c r="Q1098" s="224"/>
      <c r="R1098" s="224"/>
      <c r="S1098" s="224"/>
      <c r="T1098" s="224"/>
      <c r="U1098" s="259"/>
      <c r="V1098" s="239"/>
      <c r="W1098" s="239"/>
      <c r="X1098" s="239"/>
      <c r="Y1098" s="239"/>
      <c r="Z1098" s="239"/>
      <c r="AA1098" s="257"/>
      <c r="AB1098" s="224"/>
      <c r="AC1098" s="224"/>
      <c r="AD1098" s="224"/>
      <c r="AE1098" s="224"/>
      <c r="AF1098" s="224"/>
      <c r="AG1098" s="259"/>
      <c r="AH1098" s="261"/>
      <c r="AI1098" s="261"/>
      <c r="AJ1098" s="261"/>
      <c r="AK1098" s="261"/>
      <c r="AL1098" s="261"/>
      <c r="AM1098" s="262"/>
    </row>
    <row r="1099" spans="1:39" x14ac:dyDescent="0.25">
      <c r="A1099" s="215"/>
      <c r="B1099" s="215"/>
      <c r="C1099" s="215"/>
      <c r="D1099" s="239"/>
      <c r="E1099" s="239"/>
      <c r="F1099" s="239"/>
      <c r="G1099" s="239"/>
      <c r="H1099" s="239"/>
      <c r="I1099" s="257"/>
      <c r="J1099" s="240"/>
      <c r="K1099" s="240"/>
      <c r="L1099" s="240"/>
      <c r="M1099" s="240"/>
      <c r="N1099" s="240"/>
      <c r="O1099" s="258"/>
      <c r="P1099" s="224"/>
      <c r="Q1099" s="224"/>
      <c r="R1099" s="224"/>
      <c r="S1099" s="224"/>
      <c r="T1099" s="224"/>
      <c r="U1099" s="259"/>
      <c r="V1099" s="239"/>
      <c r="W1099" s="239"/>
      <c r="X1099" s="239"/>
      <c r="Y1099" s="239"/>
      <c r="Z1099" s="239"/>
      <c r="AA1099" s="257"/>
      <c r="AB1099" s="224"/>
      <c r="AC1099" s="224"/>
      <c r="AD1099" s="224"/>
      <c r="AE1099" s="224"/>
      <c r="AF1099" s="224"/>
      <c r="AG1099" s="259"/>
      <c r="AH1099" s="261"/>
      <c r="AI1099" s="261"/>
      <c r="AJ1099" s="261"/>
      <c r="AK1099" s="261"/>
      <c r="AL1099" s="261"/>
      <c r="AM1099" s="262"/>
    </row>
    <row r="1100" spans="1:39" x14ac:dyDescent="0.25">
      <c r="A1100" s="215"/>
      <c r="B1100" s="215"/>
      <c r="C1100" s="215"/>
      <c r="D1100" s="239"/>
      <c r="E1100" s="239"/>
      <c r="F1100" s="239"/>
      <c r="G1100" s="239"/>
      <c r="H1100" s="239"/>
      <c r="I1100" s="257"/>
      <c r="J1100" s="240"/>
      <c r="K1100" s="240"/>
      <c r="L1100" s="240"/>
      <c r="M1100" s="240"/>
      <c r="N1100" s="240"/>
      <c r="O1100" s="258"/>
      <c r="P1100" s="224"/>
      <c r="Q1100" s="224"/>
      <c r="R1100" s="224"/>
      <c r="S1100" s="224"/>
      <c r="T1100" s="224"/>
      <c r="U1100" s="259"/>
      <c r="V1100" s="239"/>
      <c r="W1100" s="239"/>
      <c r="X1100" s="239"/>
      <c r="Y1100" s="239"/>
      <c r="Z1100" s="239"/>
      <c r="AA1100" s="257"/>
      <c r="AB1100" s="224"/>
      <c r="AC1100" s="224"/>
      <c r="AD1100" s="224"/>
      <c r="AE1100" s="224"/>
      <c r="AF1100" s="224"/>
      <c r="AG1100" s="259"/>
      <c r="AH1100" s="261"/>
      <c r="AI1100" s="261"/>
      <c r="AJ1100" s="261"/>
      <c r="AK1100" s="261"/>
      <c r="AL1100" s="261"/>
      <c r="AM1100" s="262"/>
    </row>
    <row r="1101" spans="1:39" x14ac:dyDescent="0.25">
      <c r="A1101" s="215"/>
      <c r="B1101" s="215"/>
      <c r="C1101" s="215"/>
      <c r="D1101" s="239"/>
      <c r="E1101" s="239"/>
      <c r="F1101" s="239"/>
      <c r="G1101" s="239"/>
      <c r="H1101" s="239"/>
      <c r="I1101" s="257"/>
      <c r="J1101" s="240"/>
      <c r="K1101" s="240"/>
      <c r="L1101" s="240"/>
      <c r="M1101" s="240"/>
      <c r="N1101" s="240"/>
      <c r="O1101" s="258"/>
      <c r="P1101" s="224"/>
      <c r="Q1101" s="224"/>
      <c r="R1101" s="224"/>
      <c r="S1101" s="224"/>
      <c r="T1101" s="224"/>
      <c r="U1101" s="259"/>
      <c r="V1101" s="239"/>
      <c r="W1101" s="239"/>
      <c r="X1101" s="239"/>
      <c r="Y1101" s="239"/>
      <c r="Z1101" s="239"/>
      <c r="AA1101" s="257"/>
      <c r="AB1101" s="224"/>
      <c r="AC1101" s="224"/>
      <c r="AD1101" s="224"/>
      <c r="AE1101" s="224"/>
      <c r="AF1101" s="224"/>
      <c r="AG1101" s="259"/>
      <c r="AH1101" s="261"/>
      <c r="AI1101" s="261"/>
      <c r="AJ1101" s="261"/>
      <c r="AK1101" s="261"/>
      <c r="AL1101" s="261"/>
      <c r="AM1101" s="262"/>
    </row>
    <row r="1102" spans="1:39" x14ac:dyDescent="0.25">
      <c r="A1102" s="215"/>
      <c r="B1102" s="215"/>
      <c r="C1102" s="215"/>
      <c r="D1102" s="239"/>
      <c r="E1102" s="239"/>
      <c r="F1102" s="239"/>
      <c r="G1102" s="239"/>
      <c r="H1102" s="239"/>
      <c r="I1102" s="257"/>
      <c r="J1102" s="240"/>
      <c r="K1102" s="240"/>
      <c r="L1102" s="240"/>
      <c r="M1102" s="240"/>
      <c r="N1102" s="240"/>
      <c r="O1102" s="258"/>
      <c r="P1102" s="224"/>
      <c r="Q1102" s="224"/>
      <c r="R1102" s="224"/>
      <c r="S1102" s="224"/>
      <c r="T1102" s="224"/>
      <c r="U1102" s="259"/>
      <c r="V1102" s="239"/>
      <c r="W1102" s="239"/>
      <c r="X1102" s="239"/>
      <c r="Y1102" s="239"/>
      <c r="Z1102" s="239"/>
      <c r="AA1102" s="257"/>
      <c r="AB1102" s="224"/>
      <c r="AC1102" s="224"/>
      <c r="AD1102" s="224"/>
      <c r="AE1102" s="224"/>
      <c r="AF1102" s="224"/>
      <c r="AG1102" s="259"/>
      <c r="AH1102" s="261"/>
      <c r="AI1102" s="261"/>
      <c r="AJ1102" s="261"/>
      <c r="AK1102" s="261"/>
      <c r="AL1102" s="261"/>
      <c r="AM1102" s="262"/>
    </row>
    <row r="1103" spans="1:39" x14ac:dyDescent="0.25">
      <c r="A1103" s="215"/>
      <c r="B1103" s="215"/>
      <c r="C1103" s="215"/>
      <c r="D1103" s="239"/>
      <c r="E1103" s="239"/>
      <c r="F1103" s="239"/>
      <c r="G1103" s="239"/>
      <c r="H1103" s="239"/>
      <c r="I1103" s="257"/>
      <c r="J1103" s="240"/>
      <c r="K1103" s="240"/>
      <c r="L1103" s="240"/>
      <c r="M1103" s="240"/>
      <c r="N1103" s="240"/>
      <c r="O1103" s="258"/>
      <c r="P1103" s="224"/>
      <c r="Q1103" s="224"/>
      <c r="R1103" s="224"/>
      <c r="S1103" s="224"/>
      <c r="T1103" s="224"/>
      <c r="U1103" s="259"/>
      <c r="V1103" s="239"/>
      <c r="W1103" s="239"/>
      <c r="X1103" s="239"/>
      <c r="Y1103" s="239"/>
      <c r="Z1103" s="239"/>
      <c r="AA1103" s="257"/>
      <c r="AB1103" s="224"/>
      <c r="AC1103" s="224"/>
      <c r="AD1103" s="224"/>
      <c r="AE1103" s="224"/>
      <c r="AF1103" s="224"/>
      <c r="AG1103" s="259"/>
      <c r="AH1103" s="261"/>
      <c r="AI1103" s="261"/>
      <c r="AJ1103" s="261"/>
      <c r="AK1103" s="261"/>
      <c r="AL1103" s="261"/>
      <c r="AM1103" s="262"/>
    </row>
    <row r="1104" spans="1:39" x14ac:dyDescent="0.25">
      <c r="A1104" s="215"/>
      <c r="B1104" s="215"/>
      <c r="C1104" s="215"/>
      <c r="D1104" s="239"/>
      <c r="E1104" s="239"/>
      <c r="F1104" s="239"/>
      <c r="G1104" s="239"/>
      <c r="H1104" s="239"/>
      <c r="I1104" s="257"/>
      <c r="J1104" s="240"/>
      <c r="K1104" s="240"/>
      <c r="L1104" s="240"/>
      <c r="M1104" s="240"/>
      <c r="N1104" s="240"/>
      <c r="O1104" s="258"/>
      <c r="P1104" s="224"/>
      <c r="Q1104" s="224"/>
      <c r="R1104" s="224"/>
      <c r="S1104" s="224"/>
      <c r="T1104" s="224"/>
      <c r="U1104" s="259"/>
      <c r="V1104" s="239"/>
      <c r="W1104" s="239"/>
      <c r="X1104" s="239"/>
      <c r="Y1104" s="239"/>
      <c r="Z1104" s="239"/>
      <c r="AA1104" s="257"/>
      <c r="AB1104" s="224"/>
      <c r="AC1104" s="224"/>
      <c r="AD1104" s="224"/>
      <c r="AE1104" s="224"/>
      <c r="AF1104" s="224"/>
      <c r="AG1104" s="259"/>
      <c r="AH1104" s="261"/>
      <c r="AI1104" s="261"/>
      <c r="AJ1104" s="261"/>
      <c r="AK1104" s="261"/>
      <c r="AL1104" s="261"/>
      <c r="AM1104" s="262"/>
    </row>
    <row r="1105" spans="1:39" x14ac:dyDescent="0.25">
      <c r="A1105" s="215"/>
      <c r="B1105" s="215"/>
      <c r="C1105" s="215"/>
      <c r="D1105" s="239"/>
      <c r="E1105" s="239"/>
      <c r="F1105" s="239"/>
      <c r="G1105" s="239"/>
      <c r="H1105" s="239"/>
      <c r="I1105" s="257"/>
      <c r="J1105" s="240"/>
      <c r="K1105" s="240"/>
      <c r="L1105" s="240"/>
      <c r="M1105" s="240"/>
      <c r="N1105" s="240"/>
      <c r="O1105" s="258"/>
      <c r="P1105" s="224"/>
      <c r="Q1105" s="224"/>
      <c r="R1105" s="224"/>
      <c r="S1105" s="224"/>
      <c r="T1105" s="224"/>
      <c r="U1105" s="259"/>
      <c r="V1105" s="239"/>
      <c r="W1105" s="239"/>
      <c r="X1105" s="239"/>
      <c r="Y1105" s="239"/>
      <c r="Z1105" s="239"/>
      <c r="AA1105" s="257"/>
      <c r="AB1105" s="224"/>
      <c r="AC1105" s="224"/>
      <c r="AD1105" s="224"/>
      <c r="AE1105" s="224"/>
      <c r="AF1105" s="224"/>
      <c r="AG1105" s="259"/>
      <c r="AH1105" s="261"/>
      <c r="AI1105" s="261"/>
      <c r="AJ1105" s="261"/>
      <c r="AK1105" s="261"/>
      <c r="AL1105" s="261"/>
      <c r="AM1105" s="262"/>
    </row>
    <row r="1106" spans="1:39" x14ac:dyDescent="0.25">
      <c r="A1106" s="215"/>
      <c r="B1106" s="215"/>
      <c r="C1106" s="215"/>
      <c r="D1106" s="239"/>
      <c r="E1106" s="239"/>
      <c r="F1106" s="239"/>
      <c r="G1106" s="239"/>
      <c r="H1106" s="239"/>
      <c r="I1106" s="257"/>
      <c r="J1106" s="240"/>
      <c r="K1106" s="240"/>
      <c r="L1106" s="240"/>
      <c r="M1106" s="240"/>
      <c r="N1106" s="240"/>
      <c r="O1106" s="258"/>
      <c r="P1106" s="224"/>
      <c r="Q1106" s="224"/>
      <c r="R1106" s="224"/>
      <c r="S1106" s="224"/>
      <c r="T1106" s="224"/>
      <c r="U1106" s="259"/>
      <c r="V1106" s="239"/>
      <c r="W1106" s="239"/>
      <c r="X1106" s="239"/>
      <c r="Y1106" s="239"/>
      <c r="Z1106" s="239"/>
      <c r="AA1106" s="257"/>
      <c r="AB1106" s="224"/>
      <c r="AC1106" s="224"/>
      <c r="AD1106" s="224"/>
      <c r="AE1106" s="224"/>
      <c r="AF1106" s="224"/>
      <c r="AG1106" s="259"/>
      <c r="AH1106" s="261"/>
      <c r="AI1106" s="261"/>
      <c r="AJ1106" s="261"/>
      <c r="AK1106" s="261"/>
      <c r="AL1106" s="261"/>
      <c r="AM1106" s="262"/>
    </row>
    <row r="1107" spans="1:39" x14ac:dyDescent="0.25">
      <c r="A1107" s="215"/>
      <c r="B1107" s="215"/>
      <c r="C1107" s="215"/>
      <c r="D1107" s="239"/>
      <c r="E1107" s="239"/>
      <c r="F1107" s="239"/>
      <c r="G1107" s="239"/>
      <c r="H1107" s="239"/>
      <c r="I1107" s="257"/>
      <c r="J1107" s="240"/>
      <c r="K1107" s="240"/>
      <c r="L1107" s="240"/>
      <c r="M1107" s="240"/>
      <c r="N1107" s="240"/>
      <c r="O1107" s="258"/>
      <c r="P1107" s="224"/>
      <c r="Q1107" s="224"/>
      <c r="R1107" s="224"/>
      <c r="S1107" s="224"/>
      <c r="T1107" s="224"/>
      <c r="U1107" s="259"/>
      <c r="V1107" s="239"/>
      <c r="W1107" s="239"/>
      <c r="X1107" s="239"/>
      <c r="Y1107" s="239"/>
      <c r="Z1107" s="239"/>
      <c r="AA1107" s="257"/>
      <c r="AB1107" s="224"/>
      <c r="AC1107" s="224"/>
      <c r="AD1107" s="224"/>
      <c r="AE1107" s="224"/>
      <c r="AF1107" s="224"/>
      <c r="AG1107" s="259"/>
      <c r="AH1107" s="261"/>
      <c r="AI1107" s="261"/>
      <c r="AJ1107" s="261"/>
      <c r="AK1107" s="261"/>
      <c r="AL1107" s="261"/>
      <c r="AM1107" s="262"/>
    </row>
    <row r="1108" spans="1:39" x14ac:dyDescent="0.25">
      <c r="A1108" s="215"/>
      <c r="B1108" s="215"/>
      <c r="C1108" s="215"/>
      <c r="D1108" s="239"/>
      <c r="E1108" s="239"/>
      <c r="F1108" s="239"/>
      <c r="G1108" s="239"/>
      <c r="H1108" s="239"/>
      <c r="I1108" s="257"/>
      <c r="J1108" s="240"/>
      <c r="K1108" s="240"/>
      <c r="L1108" s="240"/>
      <c r="M1108" s="240"/>
      <c r="N1108" s="240"/>
      <c r="O1108" s="258"/>
      <c r="P1108" s="224"/>
      <c r="Q1108" s="224"/>
      <c r="R1108" s="224"/>
      <c r="S1108" s="224"/>
      <c r="T1108" s="224"/>
      <c r="U1108" s="259"/>
      <c r="V1108" s="239"/>
      <c r="W1108" s="239"/>
      <c r="X1108" s="239"/>
      <c r="Y1108" s="239"/>
      <c r="Z1108" s="239"/>
      <c r="AA1108" s="257"/>
      <c r="AB1108" s="224"/>
      <c r="AC1108" s="224"/>
      <c r="AD1108" s="224"/>
      <c r="AE1108" s="224"/>
      <c r="AF1108" s="224"/>
      <c r="AG1108" s="259"/>
      <c r="AH1108" s="261"/>
      <c r="AI1108" s="261"/>
      <c r="AJ1108" s="261"/>
      <c r="AK1108" s="261"/>
      <c r="AL1108" s="261"/>
      <c r="AM1108" s="262"/>
    </row>
    <row r="1109" spans="1:39" x14ac:dyDescent="0.25">
      <c r="A1109" s="215"/>
      <c r="B1109" s="215"/>
      <c r="C1109" s="215"/>
      <c r="D1109" s="239"/>
      <c r="E1109" s="239"/>
      <c r="F1109" s="239"/>
      <c r="G1109" s="239"/>
      <c r="H1109" s="239"/>
      <c r="I1109" s="257"/>
      <c r="J1109" s="240"/>
      <c r="K1109" s="240"/>
      <c r="L1109" s="240"/>
      <c r="M1109" s="240"/>
      <c r="N1109" s="240"/>
      <c r="O1109" s="258"/>
      <c r="P1109" s="224"/>
      <c r="Q1109" s="224"/>
      <c r="R1109" s="224"/>
      <c r="S1109" s="224"/>
      <c r="T1109" s="224"/>
      <c r="U1109" s="259"/>
      <c r="V1109" s="239"/>
      <c r="W1109" s="239"/>
      <c r="X1109" s="239"/>
      <c r="Y1109" s="239"/>
      <c r="Z1109" s="239"/>
      <c r="AA1109" s="257"/>
      <c r="AB1109" s="224"/>
      <c r="AC1109" s="224"/>
      <c r="AD1109" s="224"/>
      <c r="AE1109" s="224"/>
      <c r="AF1109" s="224"/>
      <c r="AG1109" s="259"/>
      <c r="AH1109" s="261"/>
      <c r="AI1109" s="261"/>
      <c r="AJ1109" s="261"/>
      <c r="AK1109" s="261"/>
      <c r="AL1109" s="261"/>
      <c r="AM1109" s="262"/>
    </row>
    <row r="1110" spans="1:39" x14ac:dyDescent="0.25">
      <c r="A1110" s="215"/>
      <c r="B1110" s="215"/>
      <c r="C1110" s="215"/>
      <c r="D1110" s="239"/>
      <c r="E1110" s="239"/>
      <c r="F1110" s="239"/>
      <c r="G1110" s="239"/>
      <c r="H1110" s="239"/>
      <c r="I1110" s="257"/>
      <c r="J1110" s="240"/>
      <c r="K1110" s="240"/>
      <c r="L1110" s="240"/>
      <c r="M1110" s="240"/>
      <c r="N1110" s="240"/>
      <c r="O1110" s="258"/>
      <c r="P1110" s="224"/>
      <c r="Q1110" s="224"/>
      <c r="R1110" s="224"/>
      <c r="S1110" s="224"/>
      <c r="T1110" s="224"/>
      <c r="U1110" s="259"/>
      <c r="V1110" s="239"/>
      <c r="W1110" s="239"/>
      <c r="X1110" s="239"/>
      <c r="Y1110" s="239"/>
      <c r="Z1110" s="239"/>
      <c r="AA1110" s="257"/>
      <c r="AB1110" s="224"/>
      <c r="AC1110" s="224"/>
      <c r="AD1110" s="224"/>
      <c r="AE1110" s="224"/>
      <c r="AF1110" s="224"/>
      <c r="AG1110" s="259"/>
      <c r="AH1110" s="261"/>
      <c r="AI1110" s="261"/>
      <c r="AJ1110" s="261"/>
      <c r="AK1110" s="261"/>
      <c r="AL1110" s="261"/>
      <c r="AM1110" s="262"/>
    </row>
    <row r="1111" spans="1:39" x14ac:dyDescent="0.25">
      <c r="A1111" s="215"/>
      <c r="B1111" s="215"/>
      <c r="C1111" s="215"/>
      <c r="D1111" s="239"/>
      <c r="E1111" s="239"/>
      <c r="F1111" s="239"/>
      <c r="G1111" s="239"/>
      <c r="H1111" s="239"/>
      <c r="I1111" s="257"/>
      <c r="J1111" s="240"/>
      <c r="K1111" s="240"/>
      <c r="L1111" s="240"/>
      <c r="M1111" s="240"/>
      <c r="N1111" s="240"/>
      <c r="O1111" s="258"/>
      <c r="P1111" s="224"/>
      <c r="Q1111" s="224"/>
      <c r="R1111" s="224"/>
      <c r="S1111" s="224"/>
      <c r="T1111" s="224"/>
      <c r="U1111" s="259"/>
      <c r="V1111" s="239"/>
      <c r="W1111" s="239"/>
      <c r="X1111" s="239"/>
      <c r="Y1111" s="239"/>
      <c r="Z1111" s="239"/>
      <c r="AA1111" s="257"/>
      <c r="AB1111" s="224"/>
      <c r="AC1111" s="224"/>
      <c r="AD1111" s="224"/>
      <c r="AE1111" s="224"/>
      <c r="AF1111" s="224"/>
      <c r="AG1111" s="259"/>
      <c r="AH1111" s="261"/>
      <c r="AI1111" s="261"/>
      <c r="AJ1111" s="261"/>
      <c r="AK1111" s="261"/>
      <c r="AL1111" s="261"/>
      <c r="AM1111" s="262"/>
    </row>
    <row r="1112" spans="1:39" x14ac:dyDescent="0.25">
      <c r="A1112" s="215"/>
      <c r="B1112" s="215"/>
      <c r="C1112" s="215"/>
      <c r="D1112" s="239"/>
      <c r="E1112" s="239"/>
      <c r="F1112" s="239"/>
      <c r="G1112" s="239"/>
      <c r="H1112" s="239"/>
      <c r="I1112" s="257"/>
      <c r="J1112" s="240"/>
      <c r="K1112" s="240"/>
      <c r="L1112" s="240"/>
      <c r="M1112" s="240"/>
      <c r="N1112" s="240"/>
      <c r="O1112" s="258"/>
      <c r="P1112" s="224"/>
      <c r="Q1112" s="224"/>
      <c r="R1112" s="224"/>
      <c r="S1112" s="224"/>
      <c r="T1112" s="224"/>
      <c r="U1112" s="259"/>
      <c r="V1112" s="239"/>
      <c r="W1112" s="239"/>
      <c r="X1112" s="239"/>
      <c r="Y1112" s="239"/>
      <c r="Z1112" s="239"/>
      <c r="AA1112" s="257"/>
      <c r="AB1112" s="224"/>
      <c r="AC1112" s="224"/>
      <c r="AD1112" s="224"/>
      <c r="AE1112" s="224"/>
      <c r="AF1112" s="224"/>
      <c r="AG1112" s="259"/>
      <c r="AH1112" s="261"/>
      <c r="AI1112" s="261"/>
      <c r="AJ1112" s="261"/>
      <c r="AK1112" s="261"/>
      <c r="AL1112" s="261"/>
      <c r="AM1112" s="262"/>
    </row>
    <row r="1113" spans="1:39" x14ac:dyDescent="0.25">
      <c r="A1113" s="215"/>
      <c r="B1113" s="215"/>
      <c r="C1113" s="215"/>
      <c r="D1113" s="239"/>
      <c r="E1113" s="239"/>
      <c r="F1113" s="239"/>
      <c r="G1113" s="239"/>
      <c r="H1113" s="239"/>
      <c r="I1113" s="257"/>
      <c r="J1113" s="240"/>
      <c r="K1113" s="240"/>
      <c r="L1113" s="240"/>
      <c r="M1113" s="240"/>
      <c r="N1113" s="240"/>
      <c r="O1113" s="258"/>
      <c r="P1113" s="224"/>
      <c r="Q1113" s="224"/>
      <c r="R1113" s="224"/>
      <c r="S1113" s="224"/>
      <c r="T1113" s="224"/>
      <c r="U1113" s="259"/>
      <c r="V1113" s="239"/>
      <c r="W1113" s="239"/>
      <c r="X1113" s="239"/>
      <c r="Y1113" s="239"/>
      <c r="Z1113" s="239"/>
      <c r="AA1113" s="257"/>
      <c r="AB1113" s="224"/>
      <c r="AC1113" s="224"/>
      <c r="AD1113" s="224"/>
      <c r="AE1113" s="224"/>
      <c r="AF1113" s="224"/>
      <c r="AG1113" s="259"/>
      <c r="AH1113" s="261"/>
      <c r="AI1113" s="261"/>
      <c r="AJ1113" s="261"/>
      <c r="AK1113" s="261"/>
      <c r="AL1113" s="261"/>
      <c r="AM1113" s="262"/>
    </row>
    <row r="1114" spans="1:39" x14ac:dyDescent="0.25">
      <c r="A1114" s="215"/>
      <c r="B1114" s="215"/>
      <c r="C1114" s="215"/>
      <c r="D1114" s="239"/>
      <c r="E1114" s="239"/>
      <c r="F1114" s="239"/>
      <c r="G1114" s="239"/>
      <c r="H1114" s="239"/>
      <c r="I1114" s="257"/>
      <c r="J1114" s="240"/>
      <c r="K1114" s="240"/>
      <c r="L1114" s="240"/>
      <c r="M1114" s="240"/>
      <c r="N1114" s="240"/>
      <c r="O1114" s="258"/>
      <c r="P1114" s="224"/>
      <c r="Q1114" s="224"/>
      <c r="R1114" s="224"/>
      <c r="S1114" s="224"/>
      <c r="T1114" s="224"/>
      <c r="U1114" s="259"/>
      <c r="V1114" s="239"/>
      <c r="W1114" s="239"/>
      <c r="X1114" s="239"/>
      <c r="Y1114" s="239"/>
      <c r="Z1114" s="239"/>
      <c r="AA1114" s="257"/>
      <c r="AB1114" s="224"/>
      <c r="AC1114" s="224"/>
      <c r="AD1114" s="224"/>
      <c r="AE1114" s="224"/>
      <c r="AF1114" s="224"/>
      <c r="AG1114" s="259"/>
      <c r="AH1114" s="261"/>
      <c r="AI1114" s="261"/>
      <c r="AJ1114" s="261"/>
      <c r="AK1114" s="261"/>
      <c r="AL1114" s="261"/>
      <c r="AM1114" s="262"/>
    </row>
    <row r="1115" spans="1:39" x14ac:dyDescent="0.25">
      <c r="A1115" s="215"/>
      <c r="B1115" s="215"/>
      <c r="C1115" s="215"/>
      <c r="D1115" s="239"/>
      <c r="E1115" s="239"/>
      <c r="F1115" s="239"/>
      <c r="G1115" s="239"/>
      <c r="H1115" s="239"/>
      <c r="I1115" s="257"/>
      <c r="J1115" s="240"/>
      <c r="K1115" s="240"/>
      <c r="L1115" s="240"/>
      <c r="M1115" s="240"/>
      <c r="N1115" s="240"/>
      <c r="O1115" s="258"/>
      <c r="P1115" s="224"/>
      <c r="Q1115" s="224"/>
      <c r="R1115" s="224"/>
      <c r="S1115" s="224"/>
      <c r="T1115" s="224"/>
      <c r="U1115" s="259"/>
      <c r="V1115" s="239"/>
      <c r="W1115" s="239"/>
      <c r="X1115" s="239"/>
      <c r="Y1115" s="239"/>
      <c r="Z1115" s="239"/>
      <c r="AA1115" s="257"/>
      <c r="AB1115" s="224"/>
      <c r="AC1115" s="224"/>
      <c r="AD1115" s="224"/>
      <c r="AE1115" s="224"/>
      <c r="AF1115" s="224"/>
      <c r="AG1115" s="259"/>
      <c r="AH1115" s="261"/>
      <c r="AI1115" s="261"/>
      <c r="AJ1115" s="261"/>
      <c r="AK1115" s="261"/>
      <c r="AL1115" s="261"/>
      <c r="AM1115" s="262"/>
    </row>
    <row r="1116" spans="1:39" x14ac:dyDescent="0.25">
      <c r="A1116" s="215"/>
      <c r="B1116" s="215"/>
      <c r="C1116" s="215"/>
      <c r="D1116" s="239"/>
      <c r="E1116" s="239"/>
      <c r="F1116" s="239"/>
      <c r="G1116" s="239"/>
      <c r="H1116" s="239"/>
      <c r="I1116" s="257"/>
      <c r="J1116" s="240"/>
      <c r="K1116" s="240"/>
      <c r="L1116" s="240"/>
      <c r="M1116" s="240"/>
      <c r="N1116" s="240"/>
      <c r="O1116" s="258"/>
      <c r="P1116" s="224"/>
      <c r="Q1116" s="224"/>
      <c r="R1116" s="224"/>
      <c r="S1116" s="224"/>
      <c r="T1116" s="224"/>
      <c r="U1116" s="259"/>
      <c r="V1116" s="239"/>
      <c r="W1116" s="239"/>
      <c r="X1116" s="239"/>
      <c r="Y1116" s="239"/>
      <c r="Z1116" s="239"/>
      <c r="AA1116" s="257"/>
      <c r="AB1116" s="224"/>
      <c r="AC1116" s="224"/>
      <c r="AD1116" s="224"/>
      <c r="AE1116" s="224"/>
      <c r="AF1116" s="224"/>
      <c r="AG1116" s="259"/>
      <c r="AH1116" s="261"/>
      <c r="AI1116" s="261"/>
      <c r="AJ1116" s="261"/>
      <c r="AK1116" s="261"/>
      <c r="AL1116" s="261"/>
      <c r="AM1116" s="262"/>
    </row>
    <row r="1117" spans="1:39" x14ac:dyDescent="0.25">
      <c r="A1117" s="215"/>
      <c r="B1117" s="215"/>
      <c r="C1117" s="215"/>
      <c r="D1117" s="239"/>
      <c r="E1117" s="239"/>
      <c r="F1117" s="239"/>
      <c r="G1117" s="239"/>
      <c r="H1117" s="239"/>
      <c r="I1117" s="257"/>
      <c r="J1117" s="240"/>
      <c r="K1117" s="240"/>
      <c r="L1117" s="240"/>
      <c r="M1117" s="240"/>
      <c r="N1117" s="240"/>
      <c r="O1117" s="258"/>
      <c r="P1117" s="224"/>
      <c r="Q1117" s="224"/>
      <c r="R1117" s="224"/>
      <c r="S1117" s="224"/>
      <c r="T1117" s="224"/>
      <c r="U1117" s="259"/>
      <c r="V1117" s="239"/>
      <c r="W1117" s="239"/>
      <c r="X1117" s="239"/>
      <c r="Y1117" s="239"/>
      <c r="Z1117" s="239"/>
      <c r="AA1117" s="257"/>
      <c r="AB1117" s="224"/>
      <c r="AC1117" s="224"/>
      <c r="AD1117" s="224"/>
      <c r="AE1117" s="224"/>
      <c r="AF1117" s="224"/>
      <c r="AG1117" s="259"/>
      <c r="AH1117" s="261"/>
      <c r="AI1117" s="261"/>
      <c r="AJ1117" s="261"/>
      <c r="AK1117" s="261"/>
      <c r="AL1117" s="261"/>
      <c r="AM1117" s="262"/>
    </row>
    <row r="1118" spans="1:39" x14ac:dyDescent="0.25">
      <c r="A1118" s="215"/>
      <c r="B1118" s="215"/>
      <c r="C1118" s="215"/>
      <c r="D1118" s="239"/>
      <c r="E1118" s="239"/>
      <c r="F1118" s="239"/>
      <c r="G1118" s="239"/>
      <c r="H1118" s="239"/>
      <c r="I1118" s="257"/>
      <c r="J1118" s="240"/>
      <c r="K1118" s="240"/>
      <c r="L1118" s="240"/>
      <c r="M1118" s="240"/>
      <c r="N1118" s="240"/>
      <c r="O1118" s="258"/>
      <c r="P1118" s="224"/>
      <c r="Q1118" s="224"/>
      <c r="R1118" s="224"/>
      <c r="S1118" s="224"/>
      <c r="T1118" s="224"/>
      <c r="U1118" s="259"/>
      <c r="V1118" s="239"/>
      <c r="W1118" s="239"/>
      <c r="X1118" s="239"/>
      <c r="Y1118" s="239"/>
      <c r="Z1118" s="239"/>
      <c r="AA1118" s="257"/>
      <c r="AB1118" s="224"/>
      <c r="AC1118" s="224"/>
      <c r="AD1118" s="224"/>
      <c r="AE1118" s="224"/>
      <c r="AF1118" s="224"/>
      <c r="AG1118" s="259"/>
      <c r="AH1118" s="261"/>
      <c r="AI1118" s="261"/>
      <c r="AJ1118" s="261"/>
      <c r="AK1118" s="261"/>
      <c r="AL1118" s="261"/>
      <c r="AM1118" s="262"/>
    </row>
    <row r="1119" spans="1:39" x14ac:dyDescent="0.25">
      <c r="A1119" s="215"/>
      <c r="B1119" s="215"/>
      <c r="C1119" s="215"/>
      <c r="D1119" s="239"/>
      <c r="E1119" s="239"/>
      <c r="F1119" s="239"/>
      <c r="G1119" s="239"/>
      <c r="H1119" s="239"/>
      <c r="I1119" s="257"/>
      <c r="J1119" s="240"/>
      <c r="K1119" s="240"/>
      <c r="L1119" s="240"/>
      <c r="M1119" s="240"/>
      <c r="N1119" s="240"/>
      <c r="O1119" s="258"/>
      <c r="P1119" s="224"/>
      <c r="Q1119" s="224"/>
      <c r="R1119" s="224"/>
      <c r="S1119" s="224"/>
      <c r="T1119" s="224"/>
      <c r="U1119" s="259"/>
      <c r="V1119" s="239"/>
      <c r="W1119" s="239"/>
      <c r="X1119" s="239"/>
      <c r="Y1119" s="239"/>
      <c r="Z1119" s="239"/>
      <c r="AA1119" s="257"/>
      <c r="AB1119" s="224"/>
      <c r="AC1119" s="224"/>
      <c r="AD1119" s="224"/>
      <c r="AE1119" s="224"/>
      <c r="AF1119" s="224"/>
      <c r="AG1119" s="259"/>
      <c r="AH1119" s="261"/>
      <c r="AI1119" s="261"/>
      <c r="AJ1119" s="261"/>
      <c r="AK1119" s="261"/>
      <c r="AL1119" s="261"/>
      <c r="AM1119" s="262"/>
    </row>
    <row r="1120" spans="1:39" x14ac:dyDescent="0.25">
      <c r="A1120" s="215"/>
      <c r="B1120" s="215"/>
      <c r="C1120" s="215"/>
      <c r="D1120" s="239"/>
      <c r="E1120" s="239"/>
      <c r="F1120" s="239"/>
      <c r="G1120" s="239"/>
      <c r="H1120" s="239"/>
      <c r="I1120" s="257"/>
      <c r="J1120" s="240"/>
      <c r="K1120" s="240"/>
      <c r="L1120" s="240"/>
      <c r="M1120" s="240"/>
      <c r="N1120" s="240"/>
      <c r="O1120" s="258"/>
      <c r="P1120" s="224"/>
      <c r="Q1120" s="224"/>
      <c r="R1120" s="224"/>
      <c r="S1120" s="224"/>
      <c r="T1120" s="224"/>
      <c r="U1120" s="259"/>
      <c r="V1120" s="239"/>
      <c r="W1120" s="239"/>
      <c r="X1120" s="239"/>
      <c r="Y1120" s="239"/>
      <c r="Z1120" s="239"/>
      <c r="AA1120" s="257"/>
      <c r="AB1120" s="224"/>
      <c r="AC1120" s="224"/>
      <c r="AD1120" s="224"/>
      <c r="AE1120" s="224"/>
      <c r="AF1120" s="224"/>
      <c r="AG1120" s="259"/>
      <c r="AH1120" s="261"/>
      <c r="AI1120" s="261"/>
      <c r="AJ1120" s="261"/>
      <c r="AK1120" s="261"/>
      <c r="AL1120" s="261"/>
      <c r="AM1120" s="262"/>
    </row>
    <row r="1121" spans="1:39" x14ac:dyDescent="0.25">
      <c r="A1121" s="215"/>
      <c r="B1121" s="215"/>
      <c r="C1121" s="215"/>
      <c r="D1121" s="239"/>
      <c r="E1121" s="239"/>
      <c r="F1121" s="239"/>
      <c r="G1121" s="239"/>
      <c r="H1121" s="239"/>
      <c r="I1121" s="257"/>
      <c r="J1121" s="240"/>
      <c r="K1121" s="240"/>
      <c r="L1121" s="240"/>
      <c r="M1121" s="240"/>
      <c r="N1121" s="240"/>
      <c r="O1121" s="258"/>
      <c r="P1121" s="224"/>
      <c r="Q1121" s="224"/>
      <c r="R1121" s="224"/>
      <c r="S1121" s="224"/>
      <c r="T1121" s="224"/>
      <c r="U1121" s="259"/>
      <c r="V1121" s="239"/>
      <c r="W1121" s="239"/>
      <c r="X1121" s="239"/>
      <c r="Y1121" s="239"/>
      <c r="Z1121" s="239"/>
      <c r="AA1121" s="257"/>
      <c r="AB1121" s="224"/>
      <c r="AC1121" s="224"/>
      <c r="AD1121" s="224"/>
      <c r="AE1121" s="224"/>
      <c r="AF1121" s="224"/>
      <c r="AG1121" s="259"/>
      <c r="AH1121" s="261"/>
      <c r="AI1121" s="261"/>
      <c r="AJ1121" s="261"/>
      <c r="AK1121" s="261"/>
      <c r="AL1121" s="261"/>
      <c r="AM1121" s="262"/>
    </row>
    <row r="1122" spans="1:39" x14ac:dyDescent="0.25">
      <c r="A1122" s="215"/>
      <c r="B1122" s="215"/>
      <c r="C1122" s="215"/>
      <c r="D1122" s="239"/>
      <c r="E1122" s="239"/>
      <c r="F1122" s="239"/>
      <c r="G1122" s="239"/>
      <c r="H1122" s="239"/>
      <c r="I1122" s="257"/>
      <c r="J1122" s="240"/>
      <c r="K1122" s="240"/>
      <c r="L1122" s="240"/>
      <c r="M1122" s="240"/>
      <c r="N1122" s="240"/>
      <c r="O1122" s="258"/>
      <c r="P1122" s="224"/>
      <c r="Q1122" s="224"/>
      <c r="R1122" s="224"/>
      <c r="S1122" s="224"/>
      <c r="T1122" s="224"/>
      <c r="U1122" s="259"/>
      <c r="V1122" s="239"/>
      <c r="W1122" s="239"/>
      <c r="X1122" s="239"/>
      <c r="Y1122" s="239"/>
      <c r="Z1122" s="239"/>
      <c r="AA1122" s="257"/>
      <c r="AB1122" s="224"/>
      <c r="AC1122" s="224"/>
      <c r="AD1122" s="224"/>
      <c r="AE1122" s="224"/>
      <c r="AF1122" s="224"/>
      <c r="AG1122" s="259"/>
      <c r="AH1122" s="261"/>
      <c r="AI1122" s="261"/>
      <c r="AJ1122" s="261"/>
      <c r="AK1122" s="261"/>
      <c r="AL1122" s="261"/>
      <c r="AM1122" s="262"/>
    </row>
    <row r="1123" spans="1:39" x14ac:dyDescent="0.25">
      <c r="A1123" s="215"/>
      <c r="B1123" s="215"/>
      <c r="C1123" s="215"/>
      <c r="D1123" s="239"/>
      <c r="E1123" s="239"/>
      <c r="F1123" s="239"/>
      <c r="G1123" s="239"/>
      <c r="H1123" s="239"/>
      <c r="I1123" s="257"/>
      <c r="J1123" s="240"/>
      <c r="K1123" s="240"/>
      <c r="L1123" s="240"/>
      <c r="M1123" s="240"/>
      <c r="N1123" s="240"/>
      <c r="O1123" s="258"/>
      <c r="P1123" s="224"/>
      <c r="Q1123" s="224"/>
      <c r="R1123" s="224"/>
      <c r="S1123" s="224"/>
      <c r="T1123" s="224"/>
      <c r="U1123" s="259"/>
      <c r="V1123" s="239"/>
      <c r="W1123" s="239"/>
      <c r="X1123" s="239"/>
      <c r="Y1123" s="239"/>
      <c r="Z1123" s="239"/>
      <c r="AA1123" s="257"/>
      <c r="AB1123" s="224"/>
      <c r="AC1123" s="224"/>
      <c r="AD1123" s="224"/>
      <c r="AE1123" s="224"/>
      <c r="AF1123" s="224"/>
      <c r="AG1123" s="259"/>
      <c r="AH1123" s="261"/>
      <c r="AI1123" s="261"/>
      <c r="AJ1123" s="261"/>
      <c r="AK1123" s="261"/>
      <c r="AL1123" s="261"/>
      <c r="AM1123" s="262"/>
    </row>
    <row r="1124" spans="1:39" x14ac:dyDescent="0.25">
      <c r="A1124" s="215"/>
      <c r="B1124" s="215"/>
      <c r="C1124" s="215"/>
      <c r="D1124" s="239"/>
      <c r="E1124" s="239"/>
      <c r="F1124" s="239"/>
      <c r="G1124" s="239"/>
      <c r="H1124" s="239"/>
      <c r="I1124" s="257"/>
      <c r="J1124" s="240"/>
      <c r="K1124" s="240"/>
      <c r="L1124" s="240"/>
      <c r="M1124" s="240"/>
      <c r="N1124" s="240"/>
      <c r="O1124" s="258"/>
      <c r="P1124" s="224"/>
      <c r="Q1124" s="224"/>
      <c r="R1124" s="224"/>
      <c r="S1124" s="224"/>
      <c r="T1124" s="224"/>
      <c r="U1124" s="259"/>
      <c r="V1124" s="239"/>
      <c r="W1124" s="239"/>
      <c r="X1124" s="239"/>
      <c r="Y1124" s="239"/>
      <c r="Z1124" s="239"/>
      <c r="AA1124" s="257"/>
      <c r="AB1124" s="224"/>
      <c r="AC1124" s="224"/>
      <c r="AD1124" s="224"/>
      <c r="AE1124" s="224"/>
      <c r="AF1124" s="224"/>
      <c r="AG1124" s="259"/>
      <c r="AH1124" s="261"/>
      <c r="AI1124" s="261"/>
      <c r="AJ1124" s="261"/>
      <c r="AK1124" s="261"/>
      <c r="AL1124" s="261"/>
      <c r="AM1124" s="262"/>
    </row>
    <row r="1125" spans="1:39" x14ac:dyDescent="0.25">
      <c r="A1125" s="215"/>
      <c r="B1125" s="215"/>
      <c r="C1125" s="215"/>
      <c r="D1125" s="239"/>
      <c r="E1125" s="239"/>
      <c r="F1125" s="239"/>
      <c r="G1125" s="239"/>
      <c r="H1125" s="239"/>
      <c r="I1125" s="257"/>
      <c r="J1125" s="240"/>
      <c r="K1125" s="240"/>
      <c r="L1125" s="240"/>
      <c r="M1125" s="240"/>
      <c r="N1125" s="240"/>
      <c r="O1125" s="258"/>
      <c r="P1125" s="224"/>
      <c r="Q1125" s="224"/>
      <c r="R1125" s="224"/>
      <c r="S1125" s="224"/>
      <c r="T1125" s="224"/>
      <c r="U1125" s="259"/>
      <c r="V1125" s="239"/>
      <c r="W1125" s="239"/>
      <c r="X1125" s="239"/>
      <c r="Y1125" s="239"/>
      <c r="Z1125" s="239"/>
      <c r="AA1125" s="257"/>
      <c r="AB1125" s="224"/>
      <c r="AC1125" s="224"/>
      <c r="AD1125" s="224"/>
      <c r="AE1125" s="224"/>
      <c r="AF1125" s="224"/>
      <c r="AG1125" s="259"/>
      <c r="AH1125" s="261"/>
      <c r="AI1125" s="261"/>
      <c r="AJ1125" s="261"/>
      <c r="AK1125" s="261"/>
      <c r="AL1125" s="261"/>
      <c r="AM1125" s="262"/>
    </row>
    <row r="1126" spans="1:39" x14ac:dyDescent="0.25">
      <c r="A1126" s="215"/>
      <c r="B1126" s="215"/>
      <c r="C1126" s="215"/>
      <c r="D1126" s="239"/>
      <c r="E1126" s="239"/>
      <c r="F1126" s="239"/>
      <c r="G1126" s="239"/>
      <c r="H1126" s="239"/>
      <c r="I1126" s="257"/>
      <c r="J1126" s="240"/>
      <c r="K1126" s="240"/>
      <c r="L1126" s="240"/>
      <c r="M1126" s="240"/>
      <c r="N1126" s="240"/>
      <c r="O1126" s="258"/>
      <c r="P1126" s="224"/>
      <c r="Q1126" s="224"/>
      <c r="R1126" s="224"/>
      <c r="S1126" s="224"/>
      <c r="T1126" s="224"/>
      <c r="U1126" s="259"/>
      <c r="V1126" s="239"/>
      <c r="W1126" s="239"/>
      <c r="X1126" s="239"/>
      <c r="Y1126" s="239"/>
      <c r="Z1126" s="239"/>
      <c r="AA1126" s="257"/>
      <c r="AB1126" s="224"/>
      <c r="AC1126" s="224"/>
      <c r="AD1126" s="224"/>
      <c r="AE1126" s="224"/>
      <c r="AF1126" s="224"/>
      <c r="AG1126" s="259"/>
      <c r="AH1126" s="261"/>
      <c r="AI1126" s="261"/>
      <c r="AJ1126" s="261"/>
      <c r="AK1126" s="261"/>
      <c r="AL1126" s="261"/>
      <c r="AM1126" s="262"/>
    </row>
    <row r="1127" spans="1:39" x14ac:dyDescent="0.25">
      <c r="A1127" s="215"/>
      <c r="B1127" s="215"/>
      <c r="C1127" s="215"/>
      <c r="D1127" s="239"/>
      <c r="E1127" s="239"/>
      <c r="F1127" s="239"/>
      <c r="G1127" s="239"/>
      <c r="H1127" s="239"/>
      <c r="I1127" s="257"/>
      <c r="J1127" s="240"/>
      <c r="K1127" s="240"/>
      <c r="L1127" s="240"/>
      <c r="M1127" s="240"/>
      <c r="N1127" s="240"/>
      <c r="O1127" s="258"/>
      <c r="P1127" s="224"/>
      <c r="Q1127" s="224"/>
      <c r="R1127" s="224"/>
      <c r="S1127" s="224"/>
      <c r="T1127" s="224"/>
      <c r="U1127" s="259"/>
      <c r="V1127" s="239"/>
      <c r="W1127" s="239"/>
      <c r="X1127" s="239"/>
      <c r="Y1127" s="239"/>
      <c r="Z1127" s="239"/>
      <c r="AA1127" s="257"/>
      <c r="AB1127" s="224"/>
      <c r="AC1127" s="224"/>
      <c r="AD1127" s="224"/>
      <c r="AE1127" s="224"/>
      <c r="AF1127" s="224"/>
      <c r="AG1127" s="259"/>
      <c r="AH1127" s="261"/>
      <c r="AI1127" s="261"/>
      <c r="AJ1127" s="261"/>
      <c r="AK1127" s="261"/>
      <c r="AL1127" s="261"/>
      <c r="AM1127" s="262"/>
    </row>
    <row r="1128" spans="1:39" x14ac:dyDescent="0.25">
      <c r="A1128" s="215"/>
      <c r="B1128" s="215"/>
      <c r="C1128" s="215"/>
      <c r="D1128" s="239"/>
      <c r="E1128" s="239"/>
      <c r="F1128" s="239"/>
      <c r="G1128" s="239"/>
      <c r="H1128" s="239"/>
      <c r="I1128" s="257"/>
      <c r="J1128" s="240"/>
      <c r="K1128" s="240"/>
      <c r="L1128" s="240"/>
      <c r="M1128" s="240"/>
      <c r="N1128" s="240"/>
      <c r="O1128" s="258"/>
      <c r="P1128" s="224"/>
      <c r="Q1128" s="224"/>
      <c r="R1128" s="224"/>
      <c r="S1128" s="224"/>
      <c r="T1128" s="224"/>
      <c r="U1128" s="259"/>
      <c r="V1128" s="239"/>
      <c r="W1128" s="239"/>
      <c r="X1128" s="239"/>
      <c r="Y1128" s="239"/>
      <c r="Z1128" s="239"/>
      <c r="AA1128" s="257"/>
      <c r="AB1128" s="224"/>
      <c r="AC1128" s="224"/>
      <c r="AD1128" s="224"/>
      <c r="AE1128" s="224"/>
      <c r="AF1128" s="224"/>
      <c r="AG1128" s="259"/>
      <c r="AH1128" s="261"/>
      <c r="AI1128" s="261"/>
      <c r="AJ1128" s="261"/>
      <c r="AK1128" s="261"/>
      <c r="AL1128" s="261"/>
      <c r="AM1128" s="262"/>
    </row>
    <row r="1129" spans="1:39" x14ac:dyDescent="0.25">
      <c r="A1129" s="215"/>
      <c r="B1129" s="215"/>
      <c r="C1129" s="215"/>
      <c r="D1129" s="239"/>
      <c r="E1129" s="239"/>
      <c r="F1129" s="239"/>
      <c r="G1129" s="239"/>
      <c r="H1129" s="239"/>
      <c r="I1129" s="257"/>
      <c r="J1129" s="240"/>
      <c r="K1129" s="240"/>
      <c r="L1129" s="240"/>
      <c r="M1129" s="240"/>
      <c r="N1129" s="240"/>
      <c r="O1129" s="258"/>
      <c r="P1129" s="224"/>
      <c r="Q1129" s="224"/>
      <c r="R1129" s="224"/>
      <c r="S1129" s="224"/>
      <c r="T1129" s="224"/>
      <c r="U1129" s="259"/>
      <c r="V1129" s="239"/>
      <c r="W1129" s="239"/>
      <c r="X1129" s="239"/>
      <c r="Y1129" s="239"/>
      <c r="Z1129" s="239"/>
      <c r="AA1129" s="257"/>
      <c r="AB1129" s="224"/>
      <c r="AC1129" s="224"/>
      <c r="AD1129" s="224"/>
      <c r="AE1129" s="224"/>
      <c r="AF1129" s="224"/>
      <c r="AG1129" s="259"/>
      <c r="AH1129" s="261"/>
      <c r="AI1129" s="261"/>
      <c r="AJ1129" s="261"/>
      <c r="AK1129" s="261"/>
      <c r="AL1129" s="261"/>
      <c r="AM1129" s="262"/>
    </row>
    <row r="1130" spans="1:39" x14ac:dyDescent="0.25">
      <c r="A1130" s="215"/>
      <c r="B1130" s="215"/>
      <c r="C1130" s="215"/>
      <c r="D1130" s="239"/>
      <c r="E1130" s="239"/>
      <c r="F1130" s="239"/>
      <c r="G1130" s="239"/>
      <c r="H1130" s="239"/>
      <c r="I1130" s="257"/>
      <c r="J1130" s="240"/>
      <c r="K1130" s="240"/>
      <c r="L1130" s="240"/>
      <c r="M1130" s="240"/>
      <c r="N1130" s="240"/>
      <c r="O1130" s="258"/>
      <c r="P1130" s="224"/>
      <c r="Q1130" s="224"/>
      <c r="R1130" s="224"/>
      <c r="S1130" s="224"/>
      <c r="T1130" s="224"/>
      <c r="U1130" s="259"/>
      <c r="V1130" s="239"/>
      <c r="W1130" s="239"/>
      <c r="X1130" s="239"/>
      <c r="Y1130" s="239"/>
      <c r="Z1130" s="239"/>
      <c r="AA1130" s="257"/>
      <c r="AB1130" s="224"/>
      <c r="AC1130" s="224"/>
      <c r="AD1130" s="224"/>
      <c r="AE1130" s="224"/>
      <c r="AF1130" s="224"/>
      <c r="AG1130" s="259"/>
      <c r="AH1130" s="261"/>
      <c r="AI1130" s="261"/>
      <c r="AJ1130" s="261"/>
      <c r="AK1130" s="261"/>
      <c r="AL1130" s="261"/>
      <c r="AM1130" s="262"/>
    </row>
    <row r="1131" spans="1:39" x14ac:dyDescent="0.25">
      <c r="A1131" s="215"/>
      <c r="B1131" s="215"/>
      <c r="C1131" s="215"/>
      <c r="D1131" s="239"/>
      <c r="E1131" s="239"/>
      <c r="F1131" s="239"/>
      <c r="G1131" s="239"/>
      <c r="H1131" s="239"/>
      <c r="I1131" s="257"/>
      <c r="J1131" s="240"/>
      <c r="K1131" s="240"/>
      <c r="L1131" s="240"/>
      <c r="M1131" s="240"/>
      <c r="N1131" s="240"/>
      <c r="O1131" s="258"/>
      <c r="P1131" s="224"/>
      <c r="Q1131" s="224"/>
      <c r="R1131" s="224"/>
      <c r="S1131" s="224"/>
      <c r="T1131" s="224"/>
      <c r="U1131" s="259"/>
      <c r="V1131" s="239"/>
      <c r="W1131" s="239"/>
      <c r="X1131" s="239"/>
      <c r="Y1131" s="239"/>
      <c r="Z1131" s="239"/>
      <c r="AA1131" s="257"/>
      <c r="AB1131" s="224"/>
      <c r="AC1131" s="224"/>
      <c r="AD1131" s="224"/>
      <c r="AE1131" s="224"/>
      <c r="AF1131" s="224"/>
      <c r="AG1131" s="259"/>
      <c r="AH1131" s="261"/>
      <c r="AI1131" s="261"/>
      <c r="AJ1131" s="261"/>
      <c r="AK1131" s="261"/>
      <c r="AL1131" s="261"/>
      <c r="AM1131" s="262"/>
    </row>
    <row r="1132" spans="1:39" x14ac:dyDescent="0.25">
      <c r="A1132" s="215"/>
      <c r="B1132" s="215"/>
      <c r="C1132" s="215"/>
      <c r="D1132" s="239"/>
      <c r="E1132" s="239"/>
      <c r="F1132" s="239"/>
      <c r="G1132" s="239"/>
      <c r="H1132" s="239"/>
      <c r="I1132" s="257"/>
      <c r="J1132" s="240"/>
      <c r="K1132" s="240"/>
      <c r="L1132" s="240"/>
      <c r="M1132" s="240"/>
      <c r="N1132" s="240"/>
      <c r="O1132" s="258"/>
      <c r="P1132" s="224"/>
      <c r="Q1132" s="224"/>
      <c r="R1132" s="224"/>
      <c r="S1132" s="224"/>
      <c r="T1132" s="224"/>
      <c r="U1132" s="259"/>
      <c r="V1132" s="239"/>
      <c r="W1132" s="239"/>
      <c r="X1132" s="239"/>
      <c r="Y1132" s="239"/>
      <c r="Z1132" s="239"/>
      <c r="AA1132" s="257"/>
      <c r="AB1132" s="224"/>
      <c r="AC1132" s="224"/>
      <c r="AD1132" s="224"/>
      <c r="AE1132" s="224"/>
      <c r="AF1132" s="224"/>
      <c r="AG1132" s="259"/>
      <c r="AH1132" s="261"/>
      <c r="AI1132" s="261"/>
      <c r="AJ1132" s="261"/>
      <c r="AK1132" s="261"/>
      <c r="AL1132" s="261"/>
      <c r="AM1132" s="262"/>
    </row>
    <row r="1133" spans="1:39" x14ac:dyDescent="0.25">
      <c r="A1133" s="215"/>
      <c r="B1133" s="215"/>
      <c r="C1133" s="215"/>
      <c r="D1133" s="239"/>
      <c r="E1133" s="239"/>
      <c r="F1133" s="239"/>
      <c r="G1133" s="239"/>
      <c r="H1133" s="239"/>
      <c r="I1133" s="257"/>
      <c r="J1133" s="240"/>
      <c r="K1133" s="240"/>
      <c r="L1133" s="240"/>
      <c r="M1133" s="240"/>
      <c r="N1133" s="240"/>
      <c r="O1133" s="258"/>
      <c r="P1133" s="224"/>
      <c r="Q1133" s="224"/>
      <c r="R1133" s="224"/>
      <c r="S1133" s="224"/>
      <c r="T1133" s="224"/>
      <c r="U1133" s="259"/>
      <c r="V1133" s="239"/>
      <c r="W1133" s="239"/>
      <c r="X1133" s="239"/>
      <c r="Y1133" s="239"/>
      <c r="Z1133" s="239"/>
      <c r="AA1133" s="257"/>
      <c r="AB1133" s="224"/>
      <c r="AC1133" s="224"/>
      <c r="AD1133" s="224"/>
      <c r="AE1133" s="224"/>
      <c r="AF1133" s="224"/>
      <c r="AG1133" s="259"/>
      <c r="AH1133" s="261"/>
      <c r="AI1133" s="261"/>
      <c r="AJ1133" s="261"/>
      <c r="AK1133" s="261"/>
      <c r="AL1133" s="261"/>
      <c r="AM1133" s="262"/>
    </row>
    <row r="1134" spans="1:39" x14ac:dyDescent="0.25">
      <c r="A1134" s="215"/>
      <c r="B1134" s="215"/>
      <c r="C1134" s="215"/>
      <c r="D1134" s="239"/>
      <c r="E1134" s="239"/>
      <c r="F1134" s="239"/>
      <c r="G1134" s="239"/>
      <c r="H1134" s="239"/>
      <c r="I1134" s="257"/>
      <c r="J1134" s="240"/>
      <c r="K1134" s="240"/>
      <c r="L1134" s="240"/>
      <c r="M1134" s="240"/>
      <c r="N1134" s="240"/>
      <c r="O1134" s="258"/>
      <c r="P1134" s="224"/>
      <c r="Q1134" s="224"/>
      <c r="R1134" s="224"/>
      <c r="S1134" s="224"/>
      <c r="T1134" s="224"/>
      <c r="U1134" s="259"/>
      <c r="V1134" s="239"/>
      <c r="W1134" s="239"/>
      <c r="X1134" s="239"/>
      <c r="Y1134" s="239"/>
      <c r="Z1134" s="239"/>
      <c r="AA1134" s="257"/>
      <c r="AB1134" s="224"/>
      <c r="AC1134" s="224"/>
      <c r="AD1134" s="224"/>
      <c r="AE1134" s="224"/>
      <c r="AF1134" s="224"/>
      <c r="AG1134" s="259"/>
      <c r="AH1134" s="261"/>
      <c r="AI1134" s="261"/>
      <c r="AJ1134" s="261"/>
      <c r="AK1134" s="261"/>
      <c r="AL1134" s="261"/>
      <c r="AM1134" s="262"/>
    </row>
    <row r="1135" spans="1:39" x14ac:dyDescent="0.25">
      <c r="A1135" s="215"/>
      <c r="B1135" s="215"/>
      <c r="C1135" s="215"/>
      <c r="D1135" s="239"/>
      <c r="E1135" s="239"/>
      <c r="F1135" s="239"/>
      <c r="G1135" s="239"/>
      <c r="H1135" s="239"/>
      <c r="I1135" s="257"/>
      <c r="J1135" s="240"/>
      <c r="K1135" s="240"/>
      <c r="L1135" s="240"/>
      <c r="M1135" s="240"/>
      <c r="N1135" s="240"/>
      <c r="O1135" s="258"/>
      <c r="P1135" s="224"/>
      <c r="Q1135" s="224"/>
      <c r="R1135" s="224"/>
      <c r="S1135" s="224"/>
      <c r="T1135" s="224"/>
      <c r="U1135" s="259"/>
      <c r="V1135" s="239"/>
      <c r="W1135" s="239"/>
      <c r="X1135" s="239"/>
      <c r="Y1135" s="239"/>
      <c r="Z1135" s="239"/>
      <c r="AA1135" s="257"/>
      <c r="AB1135" s="224"/>
      <c r="AC1135" s="224"/>
      <c r="AD1135" s="224"/>
      <c r="AE1135" s="224"/>
      <c r="AF1135" s="224"/>
      <c r="AG1135" s="259"/>
      <c r="AH1135" s="261"/>
      <c r="AI1135" s="261"/>
      <c r="AJ1135" s="261"/>
      <c r="AK1135" s="261"/>
      <c r="AL1135" s="261"/>
      <c r="AM1135" s="262"/>
    </row>
    <row r="1136" spans="1:39" x14ac:dyDescent="0.25">
      <c r="A1136" s="215"/>
      <c r="B1136" s="215"/>
      <c r="C1136" s="215"/>
      <c r="D1136" s="239"/>
      <c r="E1136" s="239"/>
      <c r="F1136" s="239"/>
      <c r="G1136" s="239"/>
      <c r="H1136" s="239"/>
      <c r="I1136" s="257"/>
      <c r="J1136" s="240"/>
      <c r="K1136" s="240"/>
      <c r="L1136" s="240"/>
      <c r="M1136" s="240"/>
      <c r="N1136" s="240"/>
      <c r="O1136" s="258"/>
      <c r="P1136" s="224"/>
      <c r="Q1136" s="224"/>
      <c r="R1136" s="224"/>
      <c r="S1136" s="224"/>
      <c r="T1136" s="224"/>
      <c r="U1136" s="259"/>
      <c r="V1136" s="239"/>
      <c r="W1136" s="239"/>
      <c r="X1136" s="239"/>
      <c r="Y1136" s="239"/>
      <c r="Z1136" s="239"/>
      <c r="AA1136" s="257"/>
      <c r="AB1136" s="224"/>
      <c r="AC1136" s="224"/>
      <c r="AD1136" s="224"/>
      <c r="AE1136" s="224"/>
      <c r="AF1136" s="224"/>
      <c r="AG1136" s="259"/>
      <c r="AH1136" s="261"/>
      <c r="AI1136" s="261"/>
      <c r="AJ1136" s="261"/>
      <c r="AK1136" s="261"/>
      <c r="AL1136" s="261"/>
      <c r="AM1136" s="262"/>
    </row>
    <row r="1137" spans="1:39" x14ac:dyDescent="0.25">
      <c r="A1137" s="215"/>
      <c r="B1137" s="215"/>
      <c r="C1137" s="215"/>
      <c r="D1137" s="239"/>
      <c r="E1137" s="239"/>
      <c r="F1137" s="239"/>
      <c r="G1137" s="239"/>
      <c r="H1137" s="239"/>
      <c r="I1137" s="257"/>
      <c r="J1137" s="240"/>
      <c r="K1137" s="240"/>
      <c r="L1137" s="240"/>
      <c r="M1137" s="240"/>
      <c r="N1137" s="240"/>
      <c r="O1137" s="258"/>
      <c r="P1137" s="224"/>
      <c r="Q1137" s="224"/>
      <c r="R1137" s="224"/>
      <c r="S1137" s="224"/>
      <c r="T1137" s="224"/>
      <c r="U1137" s="259"/>
      <c r="V1137" s="239"/>
      <c r="W1137" s="239"/>
      <c r="X1137" s="239"/>
      <c r="Y1137" s="239"/>
      <c r="Z1137" s="239"/>
      <c r="AA1137" s="257"/>
      <c r="AB1137" s="224"/>
      <c r="AC1137" s="224"/>
      <c r="AD1137" s="224"/>
      <c r="AE1137" s="224"/>
      <c r="AF1137" s="224"/>
      <c r="AG1137" s="259"/>
      <c r="AH1137" s="261"/>
      <c r="AI1137" s="261"/>
      <c r="AJ1137" s="261"/>
      <c r="AK1137" s="261"/>
      <c r="AL1137" s="261"/>
      <c r="AM1137" s="262"/>
    </row>
    <row r="1138" spans="1:39" x14ac:dyDescent="0.25">
      <c r="A1138" s="215"/>
      <c r="B1138" s="215"/>
      <c r="C1138" s="215"/>
      <c r="D1138" s="239"/>
      <c r="E1138" s="239"/>
      <c r="F1138" s="239"/>
      <c r="G1138" s="239"/>
      <c r="H1138" s="239"/>
      <c r="I1138" s="257"/>
      <c r="J1138" s="240"/>
      <c r="K1138" s="240"/>
      <c r="L1138" s="240"/>
      <c r="M1138" s="240"/>
      <c r="N1138" s="240"/>
      <c r="O1138" s="258"/>
      <c r="P1138" s="224"/>
      <c r="Q1138" s="224"/>
      <c r="R1138" s="224"/>
      <c r="S1138" s="224"/>
      <c r="T1138" s="224"/>
      <c r="U1138" s="259"/>
      <c r="V1138" s="239"/>
      <c r="W1138" s="239"/>
      <c r="X1138" s="239"/>
      <c r="Y1138" s="239"/>
      <c r="Z1138" s="239"/>
      <c r="AA1138" s="257"/>
      <c r="AB1138" s="224"/>
      <c r="AC1138" s="224"/>
      <c r="AD1138" s="224"/>
      <c r="AE1138" s="224"/>
      <c r="AF1138" s="224"/>
      <c r="AG1138" s="259"/>
      <c r="AH1138" s="261"/>
      <c r="AI1138" s="261"/>
      <c r="AJ1138" s="261"/>
      <c r="AK1138" s="261"/>
      <c r="AL1138" s="261"/>
      <c r="AM1138" s="262"/>
    </row>
    <row r="1139" spans="1:39" x14ac:dyDescent="0.25">
      <c r="A1139" s="215"/>
      <c r="B1139" s="215"/>
      <c r="C1139" s="215"/>
      <c r="D1139" s="239"/>
      <c r="E1139" s="239"/>
      <c r="F1139" s="239"/>
      <c r="G1139" s="239"/>
      <c r="H1139" s="239"/>
      <c r="I1139" s="257"/>
      <c r="J1139" s="240"/>
      <c r="K1139" s="240"/>
      <c r="L1139" s="240"/>
      <c r="M1139" s="240"/>
      <c r="N1139" s="240"/>
      <c r="O1139" s="258"/>
      <c r="P1139" s="224"/>
      <c r="Q1139" s="224"/>
      <c r="R1139" s="224"/>
      <c r="S1139" s="224"/>
      <c r="T1139" s="224"/>
      <c r="U1139" s="259"/>
      <c r="V1139" s="239"/>
      <c r="W1139" s="239"/>
      <c r="X1139" s="239"/>
      <c r="Y1139" s="239"/>
      <c r="Z1139" s="239"/>
      <c r="AA1139" s="257"/>
      <c r="AB1139" s="224"/>
      <c r="AC1139" s="224"/>
      <c r="AD1139" s="224"/>
      <c r="AE1139" s="224"/>
      <c r="AF1139" s="224"/>
      <c r="AG1139" s="259"/>
      <c r="AH1139" s="261"/>
      <c r="AI1139" s="261"/>
      <c r="AJ1139" s="261"/>
      <c r="AK1139" s="261"/>
      <c r="AL1139" s="261"/>
      <c r="AM1139" s="262"/>
    </row>
    <row r="1140" spans="1:39" x14ac:dyDescent="0.25">
      <c r="A1140" s="215"/>
      <c r="B1140" s="215"/>
      <c r="C1140" s="215"/>
      <c r="D1140" s="239"/>
      <c r="E1140" s="239"/>
      <c r="F1140" s="239"/>
      <c r="G1140" s="239"/>
      <c r="H1140" s="239"/>
      <c r="I1140" s="257"/>
      <c r="J1140" s="240"/>
      <c r="K1140" s="240"/>
      <c r="L1140" s="240"/>
      <c r="M1140" s="240"/>
      <c r="N1140" s="240"/>
      <c r="O1140" s="258"/>
      <c r="P1140" s="224"/>
      <c r="Q1140" s="224"/>
      <c r="R1140" s="224"/>
      <c r="S1140" s="224"/>
      <c r="T1140" s="224"/>
      <c r="U1140" s="259"/>
      <c r="V1140" s="239"/>
      <c r="W1140" s="239"/>
      <c r="X1140" s="239"/>
      <c r="Y1140" s="239"/>
      <c r="Z1140" s="239"/>
      <c r="AA1140" s="257"/>
      <c r="AB1140" s="224"/>
      <c r="AC1140" s="224"/>
      <c r="AD1140" s="224"/>
      <c r="AE1140" s="224"/>
      <c r="AF1140" s="224"/>
      <c r="AG1140" s="259"/>
      <c r="AH1140" s="261"/>
      <c r="AI1140" s="261"/>
      <c r="AJ1140" s="261"/>
      <c r="AK1140" s="261"/>
      <c r="AL1140" s="261"/>
      <c r="AM1140" s="262"/>
    </row>
    <row r="1141" spans="1:39" x14ac:dyDescent="0.25">
      <c r="A1141" s="215"/>
      <c r="B1141" s="215"/>
      <c r="C1141" s="215"/>
      <c r="D1141" s="239"/>
      <c r="E1141" s="239"/>
      <c r="F1141" s="239"/>
      <c r="G1141" s="239"/>
      <c r="H1141" s="239"/>
      <c r="I1141" s="257"/>
      <c r="J1141" s="240"/>
      <c r="K1141" s="240"/>
      <c r="L1141" s="240"/>
      <c r="M1141" s="240"/>
      <c r="N1141" s="240"/>
      <c r="O1141" s="258"/>
      <c r="P1141" s="224"/>
      <c r="Q1141" s="224"/>
      <c r="R1141" s="224"/>
      <c r="S1141" s="224"/>
      <c r="T1141" s="224"/>
      <c r="U1141" s="259"/>
      <c r="V1141" s="239"/>
      <c r="W1141" s="239"/>
      <c r="X1141" s="239"/>
      <c r="Y1141" s="239"/>
      <c r="Z1141" s="239"/>
      <c r="AA1141" s="257"/>
      <c r="AB1141" s="224"/>
      <c r="AC1141" s="224"/>
      <c r="AD1141" s="224"/>
      <c r="AE1141" s="224"/>
      <c r="AF1141" s="224"/>
      <c r="AG1141" s="259"/>
      <c r="AH1141" s="261"/>
      <c r="AI1141" s="261"/>
      <c r="AJ1141" s="261"/>
      <c r="AK1141" s="261"/>
      <c r="AL1141" s="261"/>
      <c r="AM1141" s="262"/>
    </row>
    <row r="1142" spans="1:39" x14ac:dyDescent="0.25">
      <c r="A1142" s="215"/>
      <c r="B1142" s="215"/>
      <c r="C1142" s="215"/>
      <c r="D1142" s="239"/>
      <c r="E1142" s="239"/>
      <c r="F1142" s="239"/>
      <c r="G1142" s="239"/>
      <c r="H1142" s="239"/>
      <c r="I1142" s="257"/>
      <c r="J1142" s="240"/>
      <c r="K1142" s="240"/>
      <c r="L1142" s="240"/>
      <c r="M1142" s="240"/>
      <c r="N1142" s="240"/>
      <c r="O1142" s="258"/>
      <c r="P1142" s="224"/>
      <c r="Q1142" s="224"/>
      <c r="R1142" s="224"/>
      <c r="S1142" s="224"/>
      <c r="T1142" s="224"/>
      <c r="U1142" s="259"/>
      <c r="V1142" s="239"/>
      <c r="W1142" s="239"/>
      <c r="X1142" s="239"/>
      <c r="Y1142" s="239"/>
      <c r="Z1142" s="239"/>
      <c r="AA1142" s="257"/>
      <c r="AB1142" s="224"/>
      <c r="AC1142" s="224"/>
      <c r="AD1142" s="224"/>
      <c r="AE1142" s="224"/>
      <c r="AF1142" s="224"/>
      <c r="AG1142" s="259"/>
      <c r="AH1142" s="261"/>
      <c r="AI1142" s="261"/>
      <c r="AJ1142" s="261"/>
      <c r="AK1142" s="261"/>
      <c r="AL1142" s="261"/>
      <c r="AM1142" s="262"/>
    </row>
    <row r="1143" spans="1:39" x14ac:dyDescent="0.25">
      <c r="A1143" s="215"/>
      <c r="B1143" s="215"/>
      <c r="C1143" s="215"/>
      <c r="D1143" s="239"/>
      <c r="E1143" s="239"/>
      <c r="F1143" s="239"/>
      <c r="G1143" s="239"/>
      <c r="H1143" s="239"/>
      <c r="I1143" s="257"/>
      <c r="J1143" s="240"/>
      <c r="K1143" s="240"/>
      <c r="L1143" s="240"/>
      <c r="M1143" s="240"/>
      <c r="N1143" s="240"/>
      <c r="O1143" s="258"/>
      <c r="P1143" s="224"/>
      <c r="Q1143" s="224"/>
      <c r="R1143" s="224"/>
      <c r="S1143" s="224"/>
      <c r="T1143" s="224"/>
      <c r="U1143" s="259"/>
      <c r="V1143" s="239"/>
      <c r="W1143" s="239"/>
      <c r="X1143" s="239"/>
      <c r="Y1143" s="239"/>
      <c r="Z1143" s="239"/>
      <c r="AA1143" s="257"/>
      <c r="AB1143" s="224"/>
      <c r="AC1143" s="224"/>
      <c r="AD1143" s="224"/>
      <c r="AE1143" s="224"/>
      <c r="AF1143" s="224"/>
      <c r="AG1143" s="259"/>
      <c r="AH1143" s="261"/>
      <c r="AI1143" s="261"/>
      <c r="AJ1143" s="261"/>
      <c r="AK1143" s="261"/>
      <c r="AL1143" s="261"/>
      <c r="AM1143" s="262"/>
    </row>
    <row r="1144" spans="1:39" x14ac:dyDescent="0.25">
      <c r="A1144" s="215"/>
      <c r="B1144" s="215"/>
      <c r="C1144" s="215"/>
      <c r="D1144" s="239"/>
      <c r="E1144" s="239"/>
      <c r="F1144" s="239"/>
      <c r="G1144" s="239"/>
      <c r="H1144" s="239"/>
      <c r="I1144" s="257"/>
      <c r="J1144" s="240"/>
      <c r="K1144" s="240"/>
      <c r="L1144" s="240"/>
      <c r="M1144" s="240"/>
      <c r="N1144" s="240"/>
      <c r="O1144" s="258"/>
      <c r="P1144" s="224"/>
      <c r="Q1144" s="224"/>
      <c r="R1144" s="224"/>
      <c r="S1144" s="224"/>
      <c r="T1144" s="224"/>
      <c r="U1144" s="259"/>
      <c r="V1144" s="239"/>
      <c r="W1144" s="239"/>
      <c r="X1144" s="239"/>
      <c r="Y1144" s="239"/>
      <c r="Z1144" s="239"/>
      <c r="AA1144" s="257"/>
      <c r="AB1144" s="224"/>
      <c r="AC1144" s="224"/>
      <c r="AD1144" s="224"/>
      <c r="AE1144" s="224"/>
      <c r="AF1144" s="224"/>
      <c r="AG1144" s="259"/>
      <c r="AH1144" s="261"/>
      <c r="AI1144" s="261"/>
      <c r="AJ1144" s="261"/>
      <c r="AK1144" s="261"/>
      <c r="AL1144" s="261"/>
      <c r="AM1144" s="262"/>
    </row>
    <row r="1145" spans="1:39" x14ac:dyDescent="0.25">
      <c r="A1145" s="215"/>
      <c r="B1145" s="215"/>
      <c r="C1145" s="215"/>
      <c r="D1145" s="239"/>
      <c r="E1145" s="239"/>
      <c r="F1145" s="239"/>
      <c r="G1145" s="239"/>
      <c r="H1145" s="239"/>
      <c r="I1145" s="257"/>
      <c r="J1145" s="240"/>
      <c r="K1145" s="240"/>
      <c r="L1145" s="240"/>
      <c r="M1145" s="240"/>
      <c r="N1145" s="240"/>
      <c r="O1145" s="258"/>
      <c r="P1145" s="224"/>
      <c r="Q1145" s="224"/>
      <c r="R1145" s="224"/>
      <c r="S1145" s="224"/>
      <c r="T1145" s="224"/>
      <c r="U1145" s="259"/>
      <c r="V1145" s="239"/>
      <c r="W1145" s="239"/>
      <c r="X1145" s="239"/>
      <c r="Y1145" s="239"/>
      <c r="Z1145" s="239"/>
      <c r="AA1145" s="257"/>
      <c r="AB1145" s="224"/>
      <c r="AC1145" s="224"/>
      <c r="AD1145" s="224"/>
      <c r="AE1145" s="224"/>
      <c r="AF1145" s="224"/>
      <c r="AG1145" s="259"/>
      <c r="AH1145" s="261"/>
      <c r="AI1145" s="261"/>
      <c r="AJ1145" s="261"/>
      <c r="AK1145" s="261"/>
      <c r="AL1145" s="261"/>
      <c r="AM1145" s="262"/>
    </row>
    <row r="1146" spans="1:39" x14ac:dyDescent="0.25">
      <c r="A1146" s="215"/>
      <c r="B1146" s="215"/>
      <c r="C1146" s="215"/>
      <c r="D1146" s="239"/>
      <c r="E1146" s="239"/>
      <c r="F1146" s="239"/>
      <c r="G1146" s="239"/>
      <c r="H1146" s="239"/>
      <c r="I1146" s="257"/>
      <c r="J1146" s="240"/>
      <c r="K1146" s="240"/>
      <c r="L1146" s="240"/>
      <c r="M1146" s="240"/>
      <c r="N1146" s="240"/>
      <c r="O1146" s="258"/>
      <c r="P1146" s="224"/>
      <c r="Q1146" s="224"/>
      <c r="R1146" s="224"/>
      <c r="S1146" s="224"/>
      <c r="T1146" s="224"/>
      <c r="U1146" s="259"/>
      <c r="V1146" s="239"/>
      <c r="W1146" s="239"/>
      <c r="X1146" s="239"/>
      <c r="Y1146" s="239"/>
      <c r="Z1146" s="239"/>
      <c r="AA1146" s="257"/>
      <c r="AB1146" s="224"/>
      <c r="AC1146" s="224"/>
      <c r="AD1146" s="224"/>
      <c r="AE1146" s="224"/>
      <c r="AF1146" s="224"/>
      <c r="AG1146" s="259"/>
      <c r="AH1146" s="261"/>
      <c r="AI1146" s="261"/>
      <c r="AJ1146" s="261"/>
      <c r="AK1146" s="261"/>
      <c r="AL1146" s="261"/>
      <c r="AM1146" s="262"/>
    </row>
    <row r="1147" spans="1:39" x14ac:dyDescent="0.25">
      <c r="A1147" s="215"/>
      <c r="B1147" s="215"/>
      <c r="C1147" s="215"/>
      <c r="D1147" s="239"/>
      <c r="E1147" s="239"/>
      <c r="F1147" s="239"/>
      <c r="G1147" s="239"/>
      <c r="H1147" s="239"/>
      <c r="I1147" s="257"/>
      <c r="J1147" s="240"/>
      <c r="K1147" s="240"/>
      <c r="L1147" s="240"/>
      <c r="M1147" s="240"/>
      <c r="N1147" s="240"/>
      <c r="O1147" s="258"/>
      <c r="P1147" s="224"/>
      <c r="Q1147" s="224"/>
      <c r="R1147" s="224"/>
      <c r="S1147" s="224"/>
      <c r="T1147" s="224"/>
      <c r="U1147" s="259"/>
      <c r="V1147" s="239"/>
      <c r="W1147" s="239"/>
      <c r="X1147" s="239"/>
      <c r="Y1147" s="239"/>
      <c r="Z1147" s="239"/>
      <c r="AA1147" s="257"/>
      <c r="AB1147" s="224"/>
      <c r="AC1147" s="224"/>
      <c r="AD1147" s="224"/>
      <c r="AE1147" s="224"/>
      <c r="AF1147" s="224"/>
      <c r="AG1147" s="259"/>
      <c r="AH1147" s="261"/>
      <c r="AI1147" s="261"/>
      <c r="AJ1147" s="261"/>
      <c r="AK1147" s="261"/>
      <c r="AL1147" s="261"/>
      <c r="AM1147" s="262"/>
    </row>
    <row r="1148" spans="1:39" x14ac:dyDescent="0.25">
      <c r="A1148" s="215"/>
      <c r="B1148" s="215"/>
      <c r="C1148" s="215"/>
      <c r="D1148" s="239"/>
      <c r="E1148" s="239"/>
      <c r="F1148" s="239"/>
      <c r="G1148" s="239"/>
      <c r="H1148" s="239"/>
      <c r="I1148" s="257"/>
      <c r="J1148" s="240"/>
      <c r="K1148" s="240"/>
      <c r="L1148" s="240"/>
      <c r="M1148" s="240"/>
      <c r="N1148" s="240"/>
      <c r="O1148" s="258"/>
      <c r="P1148" s="224"/>
      <c r="Q1148" s="224"/>
      <c r="R1148" s="224"/>
      <c r="S1148" s="224"/>
      <c r="T1148" s="224"/>
      <c r="U1148" s="259"/>
      <c r="V1148" s="239"/>
      <c r="W1148" s="239"/>
      <c r="X1148" s="239"/>
      <c r="Y1148" s="239"/>
      <c r="Z1148" s="239"/>
      <c r="AA1148" s="257"/>
      <c r="AB1148" s="224"/>
      <c r="AC1148" s="224"/>
      <c r="AD1148" s="224"/>
      <c r="AE1148" s="224"/>
      <c r="AF1148" s="224"/>
      <c r="AG1148" s="259"/>
      <c r="AH1148" s="261"/>
      <c r="AI1148" s="261"/>
      <c r="AJ1148" s="261"/>
      <c r="AK1148" s="261"/>
      <c r="AL1148" s="261"/>
      <c r="AM1148" s="262"/>
    </row>
    <row r="1149" spans="1:39" x14ac:dyDescent="0.25">
      <c r="A1149" s="215"/>
      <c r="B1149" s="215"/>
      <c r="C1149" s="215"/>
      <c r="D1149" s="239"/>
      <c r="E1149" s="239"/>
      <c r="F1149" s="239"/>
      <c r="G1149" s="239"/>
      <c r="H1149" s="239"/>
      <c r="I1149" s="257"/>
      <c r="J1149" s="240"/>
      <c r="K1149" s="240"/>
      <c r="L1149" s="240"/>
      <c r="M1149" s="240"/>
      <c r="N1149" s="240"/>
      <c r="O1149" s="258"/>
      <c r="P1149" s="224"/>
      <c r="Q1149" s="224"/>
      <c r="R1149" s="224"/>
      <c r="S1149" s="224"/>
      <c r="T1149" s="224"/>
      <c r="U1149" s="259"/>
      <c r="V1149" s="239"/>
      <c r="W1149" s="239"/>
      <c r="X1149" s="239"/>
      <c r="Y1149" s="239"/>
      <c r="Z1149" s="239"/>
      <c r="AA1149" s="257"/>
      <c r="AB1149" s="224"/>
      <c r="AC1149" s="224"/>
      <c r="AD1149" s="224"/>
      <c r="AE1149" s="224"/>
      <c r="AF1149" s="224"/>
      <c r="AG1149" s="259"/>
      <c r="AH1149" s="261"/>
      <c r="AI1149" s="261"/>
      <c r="AJ1149" s="261"/>
      <c r="AK1149" s="261"/>
      <c r="AL1149" s="261"/>
      <c r="AM1149" s="262"/>
    </row>
    <row r="1150" spans="1:39" x14ac:dyDescent="0.25">
      <c r="A1150" s="215"/>
      <c r="B1150" s="215"/>
      <c r="C1150" s="215"/>
      <c r="D1150" s="239"/>
      <c r="E1150" s="239"/>
      <c r="F1150" s="239"/>
      <c r="G1150" s="239"/>
      <c r="H1150" s="239"/>
      <c r="I1150" s="257"/>
      <c r="J1150" s="240"/>
      <c r="K1150" s="240"/>
      <c r="L1150" s="240"/>
      <c r="M1150" s="240"/>
      <c r="N1150" s="240"/>
      <c r="O1150" s="258"/>
      <c r="P1150" s="224"/>
      <c r="Q1150" s="224"/>
      <c r="R1150" s="224"/>
      <c r="S1150" s="224"/>
      <c r="T1150" s="224"/>
      <c r="U1150" s="259"/>
      <c r="V1150" s="239"/>
      <c r="W1150" s="239"/>
      <c r="X1150" s="239"/>
      <c r="Y1150" s="239"/>
      <c r="Z1150" s="239"/>
      <c r="AA1150" s="257"/>
      <c r="AB1150" s="224"/>
      <c r="AC1150" s="224"/>
      <c r="AD1150" s="224"/>
      <c r="AE1150" s="224"/>
      <c r="AF1150" s="224"/>
      <c r="AG1150" s="259"/>
      <c r="AH1150" s="261"/>
      <c r="AI1150" s="261"/>
      <c r="AJ1150" s="261"/>
      <c r="AK1150" s="261"/>
      <c r="AL1150" s="261"/>
      <c r="AM1150" s="262"/>
    </row>
    <row r="1151" spans="1:39" x14ac:dyDescent="0.25">
      <c r="A1151" s="215"/>
      <c r="B1151" s="215"/>
      <c r="C1151" s="215"/>
      <c r="D1151" s="239"/>
      <c r="E1151" s="239"/>
      <c r="F1151" s="239"/>
      <c r="G1151" s="239"/>
      <c r="H1151" s="239"/>
      <c r="I1151" s="257"/>
      <c r="J1151" s="240"/>
      <c r="K1151" s="240"/>
      <c r="L1151" s="240"/>
      <c r="M1151" s="240"/>
      <c r="N1151" s="240"/>
      <c r="O1151" s="258"/>
      <c r="P1151" s="224"/>
      <c r="Q1151" s="224"/>
      <c r="R1151" s="224"/>
      <c r="S1151" s="224"/>
      <c r="T1151" s="224"/>
      <c r="U1151" s="259"/>
      <c r="V1151" s="239"/>
      <c r="W1151" s="239"/>
      <c r="X1151" s="239"/>
      <c r="Y1151" s="239"/>
      <c r="Z1151" s="239"/>
      <c r="AA1151" s="257"/>
      <c r="AB1151" s="224"/>
      <c r="AC1151" s="224"/>
      <c r="AD1151" s="224"/>
      <c r="AE1151" s="224"/>
      <c r="AF1151" s="224"/>
      <c r="AG1151" s="259"/>
      <c r="AH1151" s="261"/>
      <c r="AI1151" s="261"/>
      <c r="AJ1151" s="261"/>
      <c r="AK1151" s="261"/>
      <c r="AL1151" s="261"/>
      <c r="AM1151" s="262"/>
    </row>
    <row r="1152" spans="1:39" x14ac:dyDescent="0.25">
      <c r="A1152" s="215"/>
      <c r="B1152" s="215"/>
      <c r="C1152" s="215"/>
      <c r="D1152" s="239"/>
      <c r="E1152" s="239"/>
      <c r="F1152" s="239"/>
      <c r="G1152" s="239"/>
      <c r="H1152" s="239"/>
      <c r="I1152" s="257"/>
      <c r="J1152" s="240"/>
      <c r="K1152" s="240"/>
      <c r="L1152" s="240"/>
      <c r="M1152" s="240"/>
      <c r="N1152" s="240"/>
      <c r="O1152" s="258"/>
      <c r="P1152" s="224"/>
      <c r="Q1152" s="224"/>
      <c r="R1152" s="224"/>
      <c r="S1152" s="224"/>
      <c r="T1152" s="224"/>
      <c r="U1152" s="259"/>
      <c r="V1152" s="239"/>
      <c r="W1152" s="239"/>
      <c r="X1152" s="239"/>
      <c r="Y1152" s="239"/>
      <c r="Z1152" s="239"/>
      <c r="AA1152" s="257"/>
      <c r="AB1152" s="224"/>
      <c r="AC1152" s="224"/>
      <c r="AD1152" s="224"/>
      <c r="AE1152" s="224"/>
      <c r="AF1152" s="224"/>
      <c r="AG1152" s="259"/>
      <c r="AH1152" s="261"/>
      <c r="AI1152" s="261"/>
      <c r="AJ1152" s="261"/>
      <c r="AK1152" s="261"/>
      <c r="AL1152" s="261"/>
      <c r="AM1152" s="262"/>
    </row>
    <row r="1153" spans="1:39" x14ac:dyDescent="0.25">
      <c r="A1153" s="215"/>
      <c r="B1153" s="215"/>
      <c r="C1153" s="215"/>
      <c r="D1153" s="239"/>
      <c r="E1153" s="239"/>
      <c r="F1153" s="239"/>
      <c r="G1153" s="239"/>
      <c r="H1153" s="239"/>
      <c r="I1153" s="257"/>
      <c r="J1153" s="240"/>
      <c r="K1153" s="240"/>
      <c r="L1153" s="240"/>
      <c r="M1153" s="240"/>
      <c r="N1153" s="240"/>
      <c r="O1153" s="258"/>
      <c r="P1153" s="224"/>
      <c r="Q1153" s="224"/>
      <c r="R1153" s="224"/>
      <c r="S1153" s="224"/>
      <c r="T1153" s="224"/>
      <c r="U1153" s="259"/>
      <c r="V1153" s="239"/>
      <c r="W1153" s="239"/>
      <c r="X1153" s="239"/>
      <c r="Y1153" s="239"/>
      <c r="Z1153" s="239"/>
      <c r="AA1153" s="257"/>
      <c r="AB1153" s="224"/>
      <c r="AC1153" s="224"/>
      <c r="AD1153" s="224"/>
      <c r="AE1153" s="224"/>
      <c r="AF1153" s="224"/>
      <c r="AG1153" s="259"/>
      <c r="AH1153" s="261"/>
      <c r="AI1153" s="261"/>
      <c r="AJ1153" s="261"/>
      <c r="AK1153" s="261"/>
      <c r="AL1153" s="261"/>
      <c r="AM1153" s="262"/>
    </row>
    <row r="1154" spans="1:39" x14ac:dyDescent="0.25">
      <c r="A1154" s="215"/>
      <c r="B1154" s="215"/>
      <c r="C1154" s="215"/>
      <c r="D1154" s="239"/>
      <c r="E1154" s="239"/>
      <c r="F1154" s="239"/>
      <c r="G1154" s="239"/>
      <c r="H1154" s="239"/>
      <c r="I1154" s="257"/>
      <c r="J1154" s="240"/>
      <c r="K1154" s="240"/>
      <c r="L1154" s="240"/>
      <c r="M1154" s="240"/>
      <c r="N1154" s="240"/>
      <c r="O1154" s="258"/>
      <c r="P1154" s="224"/>
      <c r="Q1154" s="224"/>
      <c r="R1154" s="224"/>
      <c r="S1154" s="224"/>
      <c r="T1154" s="224"/>
      <c r="U1154" s="259"/>
      <c r="V1154" s="239"/>
      <c r="W1154" s="239"/>
      <c r="X1154" s="239"/>
      <c r="Y1154" s="239"/>
      <c r="Z1154" s="239"/>
      <c r="AA1154" s="257"/>
      <c r="AB1154" s="224"/>
      <c r="AC1154" s="224"/>
      <c r="AD1154" s="224"/>
      <c r="AE1154" s="224"/>
      <c r="AF1154" s="224"/>
      <c r="AG1154" s="259"/>
      <c r="AH1154" s="261"/>
      <c r="AI1154" s="261"/>
      <c r="AJ1154" s="261"/>
      <c r="AK1154" s="261"/>
      <c r="AL1154" s="261"/>
      <c r="AM1154" s="262"/>
    </row>
    <row r="1155" spans="1:39" x14ac:dyDescent="0.25">
      <c r="A1155" s="215"/>
      <c r="B1155" s="215"/>
      <c r="C1155" s="215"/>
      <c r="D1155" s="239"/>
      <c r="E1155" s="239"/>
      <c r="F1155" s="239"/>
      <c r="G1155" s="239"/>
      <c r="H1155" s="239"/>
      <c r="I1155" s="257"/>
      <c r="J1155" s="240"/>
      <c r="K1155" s="240"/>
      <c r="L1155" s="240"/>
      <c r="M1155" s="240"/>
      <c r="N1155" s="240"/>
      <c r="O1155" s="258"/>
      <c r="P1155" s="224"/>
      <c r="Q1155" s="224"/>
      <c r="R1155" s="224"/>
      <c r="S1155" s="224"/>
      <c r="T1155" s="224"/>
      <c r="U1155" s="259"/>
      <c r="V1155" s="239"/>
      <c r="W1155" s="239"/>
      <c r="X1155" s="239"/>
      <c r="Y1155" s="239"/>
      <c r="Z1155" s="239"/>
      <c r="AA1155" s="257"/>
      <c r="AB1155" s="224"/>
      <c r="AC1155" s="224"/>
      <c r="AD1155" s="224"/>
      <c r="AE1155" s="224"/>
      <c r="AF1155" s="224"/>
      <c r="AG1155" s="259"/>
      <c r="AH1155" s="261"/>
      <c r="AI1155" s="261"/>
      <c r="AJ1155" s="261"/>
      <c r="AK1155" s="261"/>
      <c r="AL1155" s="261"/>
      <c r="AM1155" s="262"/>
    </row>
    <row r="1156" spans="1:39" x14ac:dyDescent="0.25">
      <c r="A1156" s="215"/>
      <c r="B1156" s="215"/>
      <c r="C1156" s="215"/>
      <c r="D1156" s="239"/>
      <c r="E1156" s="239"/>
      <c r="F1156" s="239"/>
      <c r="G1156" s="239"/>
      <c r="H1156" s="239"/>
      <c r="I1156" s="257"/>
      <c r="J1156" s="240"/>
      <c r="K1156" s="240"/>
      <c r="L1156" s="240"/>
      <c r="M1156" s="240"/>
      <c r="N1156" s="240"/>
      <c r="O1156" s="258"/>
      <c r="P1156" s="224"/>
      <c r="Q1156" s="224"/>
      <c r="R1156" s="224"/>
      <c r="S1156" s="224"/>
      <c r="T1156" s="224"/>
      <c r="U1156" s="259"/>
      <c r="V1156" s="239"/>
      <c r="W1156" s="239"/>
      <c r="X1156" s="239"/>
      <c r="Y1156" s="239"/>
      <c r="Z1156" s="239"/>
      <c r="AA1156" s="257"/>
      <c r="AB1156" s="224"/>
      <c r="AC1156" s="224"/>
      <c r="AD1156" s="224"/>
      <c r="AE1156" s="224"/>
      <c r="AF1156" s="224"/>
      <c r="AG1156" s="259"/>
      <c r="AH1156" s="261"/>
      <c r="AI1156" s="261"/>
      <c r="AJ1156" s="261"/>
      <c r="AK1156" s="261"/>
      <c r="AL1156" s="261"/>
      <c r="AM1156" s="262"/>
    </row>
    <row r="1157" spans="1:39" x14ac:dyDescent="0.25">
      <c r="A1157" s="215"/>
      <c r="B1157" s="215"/>
      <c r="C1157" s="215"/>
      <c r="D1157" s="239"/>
      <c r="E1157" s="239"/>
      <c r="F1157" s="239"/>
      <c r="G1157" s="239"/>
      <c r="H1157" s="239"/>
      <c r="I1157" s="257"/>
      <c r="J1157" s="240"/>
      <c r="K1157" s="240"/>
      <c r="L1157" s="240"/>
      <c r="M1157" s="240"/>
      <c r="N1157" s="240"/>
      <c r="O1157" s="258"/>
      <c r="P1157" s="224"/>
      <c r="Q1157" s="224"/>
      <c r="R1157" s="224"/>
      <c r="S1157" s="224"/>
      <c r="T1157" s="224"/>
      <c r="U1157" s="259"/>
      <c r="V1157" s="239"/>
      <c r="W1157" s="239"/>
      <c r="X1157" s="239"/>
      <c r="Y1157" s="239"/>
      <c r="Z1157" s="239"/>
      <c r="AA1157" s="257"/>
      <c r="AB1157" s="224"/>
      <c r="AC1157" s="224"/>
      <c r="AD1157" s="224"/>
      <c r="AE1157" s="224"/>
      <c r="AF1157" s="224"/>
      <c r="AG1157" s="259"/>
      <c r="AH1157" s="261"/>
      <c r="AI1157" s="261"/>
      <c r="AJ1157" s="261"/>
      <c r="AK1157" s="261"/>
      <c r="AL1157" s="261"/>
      <c r="AM1157" s="262"/>
    </row>
    <row r="1158" spans="1:39" x14ac:dyDescent="0.25">
      <c r="A1158" s="215"/>
      <c r="B1158" s="215"/>
      <c r="C1158" s="215"/>
      <c r="D1158" s="239"/>
      <c r="E1158" s="239"/>
      <c r="F1158" s="239"/>
      <c r="G1158" s="239"/>
      <c r="H1158" s="239"/>
      <c r="I1158" s="257"/>
      <c r="J1158" s="240"/>
      <c r="K1158" s="240"/>
      <c r="L1158" s="240"/>
      <c r="M1158" s="240"/>
      <c r="N1158" s="240"/>
      <c r="O1158" s="258"/>
      <c r="P1158" s="224"/>
      <c r="Q1158" s="224"/>
      <c r="R1158" s="224"/>
      <c r="S1158" s="224"/>
      <c r="T1158" s="224"/>
      <c r="U1158" s="259"/>
      <c r="V1158" s="239"/>
      <c r="W1158" s="239"/>
      <c r="X1158" s="239"/>
      <c r="Y1158" s="239"/>
      <c r="Z1158" s="239"/>
      <c r="AA1158" s="257"/>
      <c r="AB1158" s="224"/>
      <c r="AC1158" s="224"/>
      <c r="AD1158" s="224"/>
      <c r="AE1158" s="224"/>
      <c r="AF1158" s="224"/>
      <c r="AG1158" s="259"/>
      <c r="AH1158" s="261"/>
      <c r="AI1158" s="261"/>
      <c r="AJ1158" s="261"/>
      <c r="AK1158" s="261"/>
      <c r="AL1158" s="261"/>
      <c r="AM1158" s="262"/>
    </row>
    <row r="1159" spans="1:39" x14ac:dyDescent="0.25">
      <c r="A1159" s="215"/>
      <c r="B1159" s="215"/>
      <c r="C1159" s="215"/>
      <c r="D1159" s="239"/>
      <c r="E1159" s="239"/>
      <c r="F1159" s="239"/>
      <c r="G1159" s="239"/>
      <c r="H1159" s="239"/>
      <c r="I1159" s="257"/>
      <c r="J1159" s="240"/>
      <c r="K1159" s="240"/>
      <c r="L1159" s="240"/>
      <c r="M1159" s="240"/>
      <c r="N1159" s="240"/>
      <c r="O1159" s="258"/>
      <c r="P1159" s="224"/>
      <c r="Q1159" s="224"/>
      <c r="R1159" s="224"/>
      <c r="S1159" s="224"/>
      <c r="T1159" s="224"/>
      <c r="U1159" s="259"/>
      <c r="V1159" s="239"/>
      <c r="W1159" s="239"/>
      <c r="X1159" s="239"/>
      <c r="Y1159" s="239"/>
      <c r="Z1159" s="239"/>
      <c r="AA1159" s="257"/>
      <c r="AB1159" s="224"/>
      <c r="AC1159" s="224"/>
      <c r="AD1159" s="224"/>
      <c r="AE1159" s="224"/>
      <c r="AF1159" s="224"/>
      <c r="AG1159" s="259"/>
      <c r="AH1159" s="261"/>
      <c r="AI1159" s="261"/>
      <c r="AJ1159" s="261"/>
      <c r="AK1159" s="261"/>
      <c r="AL1159" s="261"/>
      <c r="AM1159" s="262"/>
    </row>
    <row r="1160" spans="1:39" x14ac:dyDescent="0.25">
      <c r="A1160" s="215"/>
      <c r="B1160" s="215"/>
      <c r="C1160" s="215"/>
      <c r="D1160" s="239"/>
      <c r="E1160" s="239"/>
      <c r="F1160" s="239"/>
      <c r="G1160" s="239"/>
      <c r="H1160" s="239"/>
      <c r="I1160" s="257"/>
      <c r="J1160" s="240"/>
      <c r="K1160" s="240"/>
      <c r="L1160" s="240"/>
      <c r="M1160" s="240"/>
      <c r="N1160" s="240"/>
      <c r="O1160" s="258"/>
      <c r="P1160" s="224"/>
      <c r="Q1160" s="224"/>
      <c r="R1160" s="224"/>
      <c r="S1160" s="224"/>
      <c r="T1160" s="224"/>
      <c r="U1160" s="259"/>
      <c r="V1160" s="239"/>
      <c r="W1160" s="239"/>
      <c r="X1160" s="239"/>
      <c r="Y1160" s="239"/>
      <c r="Z1160" s="239"/>
      <c r="AA1160" s="257"/>
      <c r="AB1160" s="224"/>
      <c r="AC1160" s="224"/>
      <c r="AD1160" s="224"/>
      <c r="AE1160" s="224"/>
      <c r="AF1160" s="224"/>
      <c r="AG1160" s="259"/>
      <c r="AH1160" s="261"/>
      <c r="AI1160" s="261"/>
      <c r="AJ1160" s="261"/>
      <c r="AK1160" s="261"/>
      <c r="AL1160" s="261"/>
      <c r="AM1160" s="262"/>
    </row>
    <row r="1161" spans="1:39" x14ac:dyDescent="0.25">
      <c r="A1161" s="215"/>
      <c r="B1161" s="215"/>
      <c r="C1161" s="215"/>
      <c r="D1161" s="239"/>
      <c r="E1161" s="239"/>
      <c r="F1161" s="239"/>
      <c r="G1161" s="239"/>
      <c r="H1161" s="239"/>
      <c r="I1161" s="257"/>
      <c r="J1161" s="240"/>
      <c r="K1161" s="240"/>
      <c r="L1161" s="240"/>
      <c r="M1161" s="240"/>
      <c r="N1161" s="240"/>
      <c r="O1161" s="258"/>
      <c r="P1161" s="224"/>
      <c r="Q1161" s="224"/>
      <c r="R1161" s="224"/>
      <c r="S1161" s="224"/>
      <c r="T1161" s="224"/>
      <c r="U1161" s="259"/>
      <c r="V1161" s="239"/>
      <c r="W1161" s="239"/>
      <c r="X1161" s="239"/>
      <c r="Y1161" s="239"/>
      <c r="Z1161" s="239"/>
      <c r="AA1161" s="257"/>
      <c r="AB1161" s="224"/>
      <c r="AC1161" s="224"/>
      <c r="AD1161" s="224"/>
      <c r="AE1161" s="224"/>
      <c r="AF1161" s="224"/>
      <c r="AG1161" s="259"/>
      <c r="AH1161" s="261"/>
      <c r="AI1161" s="261"/>
      <c r="AJ1161" s="261"/>
      <c r="AK1161" s="261"/>
      <c r="AL1161" s="261"/>
      <c r="AM1161" s="262"/>
    </row>
    <row r="1162" spans="1:39" x14ac:dyDescent="0.25">
      <c r="A1162" s="215"/>
      <c r="B1162" s="215"/>
      <c r="C1162" s="215"/>
      <c r="D1162" s="239"/>
      <c r="E1162" s="239"/>
      <c r="F1162" s="239"/>
      <c r="G1162" s="239"/>
      <c r="H1162" s="239"/>
      <c r="I1162" s="257"/>
      <c r="J1162" s="240"/>
      <c r="K1162" s="240"/>
      <c r="L1162" s="240"/>
      <c r="M1162" s="240"/>
      <c r="N1162" s="240"/>
      <c r="O1162" s="258"/>
      <c r="P1162" s="224"/>
      <c r="Q1162" s="224"/>
      <c r="R1162" s="224"/>
      <c r="S1162" s="224"/>
      <c r="T1162" s="224"/>
      <c r="U1162" s="259"/>
      <c r="V1162" s="239"/>
      <c r="W1162" s="239"/>
      <c r="X1162" s="239"/>
      <c r="Y1162" s="239"/>
      <c r="Z1162" s="239"/>
      <c r="AA1162" s="257"/>
      <c r="AB1162" s="224"/>
      <c r="AC1162" s="224"/>
      <c r="AD1162" s="224"/>
      <c r="AE1162" s="224"/>
      <c r="AF1162" s="224"/>
      <c r="AG1162" s="259"/>
      <c r="AH1162" s="261"/>
      <c r="AI1162" s="261"/>
      <c r="AJ1162" s="261"/>
      <c r="AK1162" s="261"/>
      <c r="AL1162" s="261"/>
      <c r="AM1162" s="262"/>
    </row>
    <row r="1163" spans="1:39" x14ac:dyDescent="0.25">
      <c r="A1163" s="215"/>
      <c r="B1163" s="215"/>
      <c r="C1163" s="215"/>
      <c r="D1163" s="239"/>
      <c r="E1163" s="239"/>
      <c r="F1163" s="239"/>
      <c r="G1163" s="239"/>
      <c r="H1163" s="239"/>
      <c r="I1163" s="257"/>
      <c r="J1163" s="240"/>
      <c r="K1163" s="240"/>
      <c r="L1163" s="240"/>
      <c r="M1163" s="240"/>
      <c r="N1163" s="240"/>
      <c r="O1163" s="258"/>
      <c r="P1163" s="224"/>
      <c r="Q1163" s="224"/>
      <c r="R1163" s="224"/>
      <c r="S1163" s="224"/>
      <c r="T1163" s="224"/>
      <c r="U1163" s="259"/>
      <c r="V1163" s="239"/>
      <c r="W1163" s="239"/>
      <c r="X1163" s="239"/>
      <c r="Y1163" s="239"/>
      <c r="Z1163" s="239"/>
      <c r="AA1163" s="257"/>
      <c r="AB1163" s="224"/>
      <c r="AC1163" s="224"/>
      <c r="AD1163" s="224"/>
      <c r="AE1163" s="224"/>
      <c r="AF1163" s="224"/>
      <c r="AG1163" s="259"/>
      <c r="AH1163" s="261"/>
      <c r="AI1163" s="261"/>
      <c r="AJ1163" s="261"/>
      <c r="AK1163" s="261"/>
      <c r="AL1163" s="261"/>
      <c r="AM1163" s="262"/>
    </row>
    <row r="1164" spans="1:39" x14ac:dyDescent="0.25">
      <c r="A1164" s="215"/>
      <c r="B1164" s="215"/>
      <c r="C1164" s="215"/>
      <c r="D1164" s="239"/>
      <c r="E1164" s="239"/>
      <c r="F1164" s="239"/>
      <c r="G1164" s="239"/>
      <c r="H1164" s="239"/>
      <c r="I1164" s="257"/>
      <c r="J1164" s="240"/>
      <c r="K1164" s="240"/>
      <c r="L1164" s="240"/>
      <c r="M1164" s="240"/>
      <c r="N1164" s="240"/>
      <c r="O1164" s="258"/>
      <c r="P1164" s="224"/>
      <c r="Q1164" s="224"/>
      <c r="R1164" s="224"/>
      <c r="S1164" s="224"/>
      <c r="T1164" s="224"/>
      <c r="U1164" s="259"/>
      <c r="V1164" s="239"/>
      <c r="W1164" s="239"/>
      <c r="X1164" s="239"/>
      <c r="Y1164" s="239"/>
      <c r="Z1164" s="239"/>
      <c r="AA1164" s="257"/>
      <c r="AB1164" s="224"/>
      <c r="AC1164" s="224"/>
      <c r="AD1164" s="224"/>
      <c r="AE1164" s="224"/>
      <c r="AF1164" s="224"/>
      <c r="AG1164" s="259"/>
      <c r="AH1164" s="261"/>
      <c r="AI1164" s="261"/>
      <c r="AJ1164" s="261"/>
      <c r="AK1164" s="261"/>
      <c r="AL1164" s="261"/>
      <c r="AM1164" s="262"/>
    </row>
    <row r="1165" spans="1:39" x14ac:dyDescent="0.25">
      <c r="A1165" s="215"/>
      <c r="B1165" s="215"/>
      <c r="C1165" s="215"/>
      <c r="D1165" s="239"/>
      <c r="E1165" s="239"/>
      <c r="F1165" s="239"/>
      <c r="G1165" s="239"/>
      <c r="H1165" s="239"/>
      <c r="I1165" s="257"/>
      <c r="J1165" s="240"/>
      <c r="K1165" s="240"/>
      <c r="L1165" s="240"/>
      <c r="M1165" s="240"/>
      <c r="N1165" s="240"/>
      <c r="O1165" s="258"/>
      <c r="P1165" s="224"/>
      <c r="Q1165" s="224"/>
      <c r="R1165" s="224"/>
      <c r="S1165" s="224"/>
      <c r="T1165" s="224"/>
      <c r="U1165" s="259"/>
      <c r="V1165" s="239"/>
      <c r="W1165" s="239"/>
      <c r="X1165" s="239"/>
      <c r="Y1165" s="239"/>
      <c r="Z1165" s="239"/>
      <c r="AA1165" s="257"/>
      <c r="AB1165" s="224"/>
      <c r="AC1165" s="224"/>
      <c r="AD1165" s="224"/>
      <c r="AE1165" s="224"/>
      <c r="AF1165" s="224"/>
      <c r="AG1165" s="259"/>
      <c r="AH1165" s="261"/>
      <c r="AI1165" s="261"/>
      <c r="AJ1165" s="261"/>
      <c r="AK1165" s="261"/>
      <c r="AL1165" s="261"/>
      <c r="AM1165" s="262"/>
    </row>
    <row r="1166" spans="1:39" x14ac:dyDescent="0.25">
      <c r="A1166" s="215"/>
      <c r="B1166" s="215"/>
      <c r="C1166" s="215"/>
      <c r="D1166" s="239"/>
      <c r="E1166" s="239"/>
      <c r="F1166" s="239"/>
      <c r="G1166" s="239"/>
      <c r="H1166" s="239"/>
      <c r="I1166" s="257"/>
      <c r="J1166" s="240"/>
      <c r="K1166" s="240"/>
      <c r="L1166" s="240"/>
      <c r="M1166" s="240"/>
      <c r="N1166" s="240"/>
      <c r="O1166" s="258"/>
      <c r="P1166" s="224"/>
      <c r="Q1166" s="224"/>
      <c r="R1166" s="224"/>
      <c r="S1166" s="224"/>
      <c r="T1166" s="224"/>
      <c r="U1166" s="259"/>
      <c r="V1166" s="239"/>
      <c r="W1166" s="239"/>
      <c r="X1166" s="239"/>
      <c r="Y1166" s="239"/>
      <c r="Z1166" s="239"/>
      <c r="AA1166" s="257"/>
      <c r="AB1166" s="224"/>
      <c r="AC1166" s="224"/>
      <c r="AD1166" s="224"/>
      <c r="AE1166" s="224"/>
      <c r="AF1166" s="224"/>
      <c r="AG1166" s="259"/>
      <c r="AH1166" s="261"/>
      <c r="AI1166" s="261"/>
      <c r="AJ1166" s="261"/>
      <c r="AK1166" s="261"/>
      <c r="AL1166" s="261"/>
      <c r="AM1166" s="262"/>
    </row>
    <row r="1167" spans="1:39" x14ac:dyDescent="0.25">
      <c r="A1167" s="215"/>
      <c r="B1167" s="215"/>
      <c r="C1167" s="215"/>
      <c r="D1167" s="239"/>
      <c r="E1167" s="239"/>
      <c r="F1167" s="239"/>
      <c r="G1167" s="239"/>
      <c r="H1167" s="239"/>
      <c r="I1167" s="257"/>
      <c r="J1167" s="240"/>
      <c r="K1167" s="240"/>
      <c r="L1167" s="240"/>
      <c r="M1167" s="240"/>
      <c r="N1167" s="240"/>
      <c r="O1167" s="258"/>
      <c r="P1167" s="224"/>
      <c r="Q1167" s="224"/>
      <c r="R1167" s="224"/>
      <c r="S1167" s="224"/>
      <c r="T1167" s="224"/>
      <c r="U1167" s="259"/>
      <c r="V1167" s="239"/>
      <c r="W1167" s="239"/>
      <c r="X1167" s="239"/>
      <c r="Y1167" s="239"/>
      <c r="Z1167" s="239"/>
      <c r="AA1167" s="257"/>
      <c r="AB1167" s="224"/>
      <c r="AC1167" s="224"/>
      <c r="AD1167" s="224"/>
      <c r="AE1167" s="224"/>
      <c r="AF1167" s="224"/>
      <c r="AG1167" s="259"/>
      <c r="AH1167" s="261"/>
      <c r="AI1167" s="261"/>
      <c r="AJ1167" s="261"/>
      <c r="AK1167" s="261"/>
      <c r="AL1167" s="261"/>
      <c r="AM1167" s="262"/>
    </row>
    <row r="1168" spans="1:39" x14ac:dyDescent="0.25">
      <c r="A1168" s="215"/>
      <c r="B1168" s="215"/>
      <c r="C1168" s="215"/>
      <c r="D1168" s="239"/>
      <c r="E1168" s="239"/>
      <c r="F1168" s="239"/>
      <c r="G1168" s="239"/>
      <c r="H1168" s="239"/>
      <c r="I1168" s="257"/>
      <c r="J1168" s="240"/>
      <c r="K1168" s="240"/>
      <c r="L1168" s="240"/>
      <c r="M1168" s="240"/>
      <c r="N1168" s="240"/>
      <c r="O1168" s="258"/>
      <c r="P1168" s="224"/>
      <c r="Q1168" s="224"/>
      <c r="R1168" s="224"/>
      <c r="S1168" s="224"/>
      <c r="T1168" s="224"/>
      <c r="U1168" s="259"/>
      <c r="V1168" s="239"/>
      <c r="W1168" s="239"/>
      <c r="X1168" s="239"/>
      <c r="Y1168" s="239"/>
      <c r="Z1168" s="239"/>
      <c r="AA1168" s="257"/>
      <c r="AB1168" s="224"/>
      <c r="AC1168" s="224"/>
      <c r="AD1168" s="224"/>
      <c r="AE1168" s="224"/>
      <c r="AF1168" s="224"/>
      <c r="AG1168" s="259"/>
      <c r="AH1168" s="261"/>
      <c r="AI1168" s="261"/>
      <c r="AJ1168" s="261"/>
      <c r="AK1168" s="261"/>
      <c r="AL1168" s="261"/>
      <c r="AM1168" s="262"/>
    </row>
    <row r="1169" spans="1:39" x14ac:dyDescent="0.25">
      <c r="A1169" s="215"/>
      <c r="B1169" s="215"/>
      <c r="C1169" s="215"/>
      <c r="D1169" s="239"/>
      <c r="E1169" s="239"/>
      <c r="F1169" s="239"/>
      <c r="G1169" s="239"/>
      <c r="H1169" s="239"/>
      <c r="I1169" s="257"/>
      <c r="J1169" s="240"/>
      <c r="K1169" s="240"/>
      <c r="L1169" s="240"/>
      <c r="M1169" s="240"/>
      <c r="N1169" s="240"/>
      <c r="O1169" s="258"/>
      <c r="P1169" s="224"/>
      <c r="Q1169" s="224"/>
      <c r="R1169" s="224"/>
      <c r="S1169" s="224"/>
      <c r="T1169" s="224"/>
      <c r="U1169" s="259"/>
      <c r="V1169" s="239"/>
      <c r="W1169" s="239"/>
      <c r="X1169" s="239"/>
      <c r="Y1169" s="239"/>
      <c r="Z1169" s="239"/>
      <c r="AA1169" s="257"/>
      <c r="AB1169" s="224"/>
      <c r="AC1169" s="224"/>
      <c r="AD1169" s="224"/>
      <c r="AE1169" s="224"/>
      <c r="AF1169" s="224"/>
      <c r="AG1169" s="259"/>
      <c r="AH1169" s="261"/>
      <c r="AI1169" s="261"/>
      <c r="AJ1169" s="261"/>
      <c r="AK1169" s="261"/>
      <c r="AL1169" s="261"/>
      <c r="AM1169" s="262"/>
    </row>
    <row r="1170" spans="1:39" x14ac:dyDescent="0.25">
      <c r="A1170" s="215"/>
      <c r="B1170" s="215"/>
      <c r="C1170" s="215"/>
      <c r="D1170" s="239"/>
      <c r="E1170" s="239"/>
      <c r="F1170" s="239"/>
      <c r="G1170" s="239"/>
      <c r="H1170" s="239"/>
      <c r="I1170" s="257"/>
      <c r="J1170" s="240"/>
      <c r="K1170" s="240"/>
      <c r="L1170" s="240"/>
      <c r="M1170" s="240"/>
      <c r="N1170" s="240"/>
      <c r="O1170" s="258"/>
      <c r="P1170" s="224"/>
      <c r="Q1170" s="224"/>
      <c r="R1170" s="224"/>
      <c r="S1170" s="224"/>
      <c r="T1170" s="224"/>
      <c r="U1170" s="259"/>
      <c r="V1170" s="239"/>
      <c r="W1170" s="239"/>
      <c r="X1170" s="239"/>
      <c r="Y1170" s="239"/>
      <c r="Z1170" s="239"/>
      <c r="AA1170" s="257"/>
      <c r="AB1170" s="224"/>
      <c r="AC1170" s="224"/>
      <c r="AD1170" s="224"/>
      <c r="AE1170" s="224"/>
      <c r="AF1170" s="224"/>
      <c r="AG1170" s="259"/>
      <c r="AH1170" s="261"/>
      <c r="AI1170" s="261"/>
      <c r="AJ1170" s="261"/>
      <c r="AK1170" s="261"/>
      <c r="AL1170" s="261"/>
      <c r="AM1170" s="262"/>
    </row>
    <row r="1171" spans="1:39" x14ac:dyDescent="0.25">
      <c r="A1171" s="215"/>
      <c r="B1171" s="215"/>
      <c r="C1171" s="215"/>
      <c r="D1171" s="239"/>
      <c r="E1171" s="239"/>
      <c r="F1171" s="239"/>
      <c r="G1171" s="239"/>
      <c r="H1171" s="239"/>
      <c r="I1171" s="257"/>
      <c r="J1171" s="240"/>
      <c r="K1171" s="240"/>
      <c r="L1171" s="240"/>
      <c r="M1171" s="240"/>
      <c r="N1171" s="240"/>
      <c r="O1171" s="258"/>
      <c r="P1171" s="224"/>
      <c r="Q1171" s="224"/>
      <c r="R1171" s="224"/>
      <c r="S1171" s="224"/>
      <c r="T1171" s="224"/>
      <c r="U1171" s="259"/>
      <c r="V1171" s="239"/>
      <c r="W1171" s="239"/>
      <c r="X1171" s="239"/>
      <c r="Y1171" s="239"/>
      <c r="Z1171" s="239"/>
      <c r="AA1171" s="257"/>
      <c r="AB1171" s="224"/>
      <c r="AC1171" s="224"/>
      <c r="AD1171" s="224"/>
      <c r="AE1171" s="224"/>
      <c r="AF1171" s="224"/>
      <c r="AG1171" s="259"/>
      <c r="AH1171" s="261"/>
      <c r="AI1171" s="261"/>
      <c r="AJ1171" s="261"/>
      <c r="AK1171" s="261"/>
      <c r="AL1171" s="261"/>
      <c r="AM1171" s="262"/>
    </row>
    <row r="1172" spans="1:39" x14ac:dyDescent="0.25">
      <c r="A1172" s="215"/>
      <c r="B1172" s="215"/>
      <c r="C1172" s="215"/>
      <c r="D1172" s="239"/>
      <c r="E1172" s="239"/>
      <c r="F1172" s="239"/>
      <c r="G1172" s="239"/>
      <c r="H1172" s="239"/>
      <c r="I1172" s="257"/>
      <c r="J1172" s="240"/>
      <c r="K1172" s="240"/>
      <c r="L1172" s="240"/>
      <c r="M1172" s="240"/>
      <c r="N1172" s="240"/>
      <c r="O1172" s="258"/>
      <c r="P1172" s="224"/>
      <c r="Q1172" s="224"/>
      <c r="R1172" s="224"/>
      <c r="S1172" s="224"/>
      <c r="T1172" s="224"/>
      <c r="U1172" s="259"/>
      <c r="V1172" s="239"/>
      <c r="W1172" s="239"/>
      <c r="X1172" s="239"/>
      <c r="Y1172" s="239"/>
      <c r="Z1172" s="239"/>
      <c r="AA1172" s="257"/>
      <c r="AB1172" s="224"/>
      <c r="AC1172" s="224"/>
      <c r="AD1172" s="224"/>
      <c r="AE1172" s="224"/>
      <c r="AF1172" s="224"/>
      <c r="AG1172" s="259"/>
      <c r="AH1172" s="261"/>
      <c r="AI1172" s="261"/>
      <c r="AJ1172" s="261"/>
      <c r="AK1172" s="261"/>
      <c r="AL1172" s="261"/>
      <c r="AM1172" s="262"/>
    </row>
    <row r="1173" spans="1:39" x14ac:dyDescent="0.25">
      <c r="A1173" s="215"/>
      <c r="B1173" s="215"/>
      <c r="C1173" s="215"/>
      <c r="D1173" s="239"/>
      <c r="E1173" s="239"/>
      <c r="F1173" s="239"/>
      <c r="G1173" s="239"/>
      <c r="H1173" s="239"/>
      <c r="I1173" s="257"/>
      <c r="J1173" s="240"/>
      <c r="K1173" s="240"/>
      <c r="L1173" s="240"/>
      <c r="M1173" s="240"/>
      <c r="N1173" s="240"/>
      <c r="O1173" s="258"/>
      <c r="P1173" s="224"/>
      <c r="Q1173" s="224"/>
      <c r="R1173" s="224"/>
      <c r="S1173" s="224"/>
      <c r="T1173" s="224"/>
      <c r="U1173" s="259"/>
      <c r="V1173" s="239"/>
      <c r="W1173" s="239"/>
      <c r="X1173" s="239"/>
      <c r="Y1173" s="239"/>
      <c r="Z1173" s="239"/>
      <c r="AA1173" s="257"/>
      <c r="AB1173" s="224"/>
      <c r="AC1173" s="224"/>
      <c r="AD1173" s="224"/>
      <c r="AE1173" s="224"/>
      <c r="AF1173" s="224"/>
      <c r="AG1173" s="259"/>
      <c r="AH1173" s="261"/>
      <c r="AI1173" s="261"/>
      <c r="AJ1173" s="261"/>
      <c r="AK1173" s="261"/>
      <c r="AL1173" s="261"/>
      <c r="AM1173" s="262"/>
    </row>
    <row r="1174" spans="1:39" x14ac:dyDescent="0.25">
      <c r="A1174" s="215"/>
      <c r="B1174" s="215"/>
      <c r="C1174" s="215"/>
      <c r="D1174" s="239"/>
      <c r="E1174" s="239"/>
      <c r="F1174" s="239"/>
      <c r="G1174" s="239"/>
      <c r="H1174" s="239"/>
      <c r="I1174" s="257"/>
      <c r="J1174" s="240"/>
      <c r="K1174" s="240"/>
      <c r="L1174" s="240"/>
      <c r="M1174" s="240"/>
      <c r="N1174" s="240"/>
      <c r="O1174" s="258"/>
      <c r="P1174" s="224"/>
      <c r="Q1174" s="224"/>
      <c r="R1174" s="224"/>
      <c r="S1174" s="224"/>
      <c r="T1174" s="224"/>
      <c r="U1174" s="259"/>
      <c r="V1174" s="239"/>
      <c r="W1174" s="239"/>
      <c r="X1174" s="239"/>
      <c r="Y1174" s="239"/>
      <c r="Z1174" s="239"/>
      <c r="AA1174" s="257"/>
      <c r="AB1174" s="224"/>
      <c r="AC1174" s="224"/>
      <c r="AD1174" s="224"/>
      <c r="AE1174" s="224"/>
      <c r="AF1174" s="224"/>
      <c r="AG1174" s="259"/>
      <c r="AH1174" s="261"/>
      <c r="AI1174" s="261"/>
      <c r="AJ1174" s="261"/>
      <c r="AK1174" s="261"/>
      <c r="AL1174" s="261"/>
      <c r="AM1174" s="262"/>
    </row>
    <row r="1175" spans="1:39" x14ac:dyDescent="0.25">
      <c r="A1175" s="215"/>
      <c r="B1175" s="215"/>
      <c r="C1175" s="215"/>
      <c r="D1175" s="239"/>
      <c r="E1175" s="239"/>
      <c r="F1175" s="239"/>
      <c r="G1175" s="239"/>
      <c r="H1175" s="239"/>
      <c r="I1175" s="257"/>
      <c r="J1175" s="240"/>
      <c r="K1175" s="240"/>
      <c r="L1175" s="240"/>
      <c r="M1175" s="240"/>
      <c r="N1175" s="240"/>
      <c r="O1175" s="258"/>
      <c r="P1175" s="224"/>
      <c r="Q1175" s="224"/>
      <c r="R1175" s="224"/>
      <c r="S1175" s="224"/>
      <c r="T1175" s="224"/>
      <c r="U1175" s="259"/>
      <c r="V1175" s="239"/>
      <c r="W1175" s="239"/>
      <c r="X1175" s="239"/>
      <c r="Y1175" s="239"/>
      <c r="Z1175" s="239"/>
      <c r="AA1175" s="257"/>
      <c r="AB1175" s="224"/>
      <c r="AC1175" s="224"/>
      <c r="AD1175" s="224"/>
      <c r="AE1175" s="224"/>
      <c r="AF1175" s="224"/>
      <c r="AG1175" s="259"/>
      <c r="AH1175" s="261"/>
      <c r="AI1175" s="261"/>
      <c r="AJ1175" s="261"/>
      <c r="AK1175" s="261"/>
      <c r="AL1175" s="261"/>
      <c r="AM1175" s="262"/>
    </row>
    <row r="1176" spans="1:39" x14ac:dyDescent="0.25">
      <c r="A1176" s="215"/>
      <c r="B1176" s="215"/>
      <c r="C1176" s="215"/>
      <c r="D1176" s="239"/>
      <c r="E1176" s="239"/>
      <c r="F1176" s="239"/>
      <c r="G1176" s="239"/>
      <c r="H1176" s="239"/>
      <c r="I1176" s="257"/>
      <c r="J1176" s="240"/>
      <c r="K1176" s="240"/>
      <c r="L1176" s="240"/>
      <c r="M1176" s="240"/>
      <c r="N1176" s="240"/>
      <c r="O1176" s="258"/>
      <c r="P1176" s="224"/>
      <c r="Q1176" s="224"/>
      <c r="R1176" s="224"/>
      <c r="S1176" s="224"/>
      <c r="T1176" s="224"/>
      <c r="U1176" s="259"/>
      <c r="V1176" s="239"/>
      <c r="W1176" s="239"/>
      <c r="X1176" s="239"/>
      <c r="Y1176" s="239"/>
      <c r="Z1176" s="239"/>
      <c r="AA1176" s="257"/>
      <c r="AB1176" s="224"/>
      <c r="AC1176" s="224"/>
      <c r="AD1176" s="224"/>
      <c r="AE1176" s="224"/>
      <c r="AF1176" s="224"/>
      <c r="AG1176" s="259"/>
      <c r="AH1176" s="261"/>
      <c r="AI1176" s="261"/>
      <c r="AJ1176" s="261"/>
      <c r="AK1176" s="261"/>
      <c r="AL1176" s="261"/>
      <c r="AM1176" s="262"/>
    </row>
    <row r="1177" spans="1:39" x14ac:dyDescent="0.25">
      <c r="A1177" s="215"/>
      <c r="B1177" s="215"/>
      <c r="C1177" s="215"/>
      <c r="D1177" s="239"/>
      <c r="E1177" s="239"/>
      <c r="F1177" s="239"/>
      <c r="G1177" s="239"/>
      <c r="H1177" s="239"/>
      <c r="I1177" s="257"/>
      <c r="J1177" s="240"/>
      <c r="K1177" s="240"/>
      <c r="L1177" s="240"/>
      <c r="M1177" s="240"/>
      <c r="N1177" s="240"/>
      <c r="O1177" s="258"/>
      <c r="P1177" s="224"/>
      <c r="Q1177" s="224"/>
      <c r="R1177" s="224"/>
      <c r="S1177" s="224"/>
      <c r="T1177" s="224"/>
      <c r="U1177" s="259"/>
      <c r="V1177" s="239"/>
      <c r="W1177" s="239"/>
      <c r="X1177" s="239"/>
      <c r="Y1177" s="239"/>
      <c r="Z1177" s="239"/>
      <c r="AA1177" s="257"/>
      <c r="AB1177" s="224"/>
      <c r="AC1177" s="224"/>
      <c r="AD1177" s="224"/>
      <c r="AE1177" s="224"/>
      <c r="AF1177" s="224"/>
      <c r="AG1177" s="259"/>
      <c r="AH1177" s="261"/>
      <c r="AI1177" s="261"/>
      <c r="AJ1177" s="261"/>
      <c r="AK1177" s="261"/>
      <c r="AL1177" s="261"/>
      <c r="AM1177" s="262"/>
    </row>
    <row r="1178" spans="1:39" x14ac:dyDescent="0.25">
      <c r="A1178" s="215"/>
      <c r="B1178" s="215"/>
      <c r="C1178" s="215"/>
      <c r="D1178" s="239"/>
      <c r="E1178" s="239"/>
      <c r="F1178" s="239"/>
      <c r="G1178" s="239"/>
      <c r="H1178" s="239"/>
      <c r="I1178" s="257"/>
      <c r="J1178" s="240"/>
      <c r="K1178" s="240"/>
      <c r="L1178" s="240"/>
      <c r="M1178" s="240"/>
      <c r="N1178" s="240"/>
      <c r="O1178" s="258"/>
      <c r="P1178" s="224"/>
      <c r="Q1178" s="224"/>
      <c r="R1178" s="224"/>
      <c r="S1178" s="224"/>
      <c r="T1178" s="224"/>
      <c r="U1178" s="259"/>
      <c r="V1178" s="239"/>
      <c r="W1178" s="239"/>
      <c r="X1178" s="239"/>
      <c r="Y1178" s="239"/>
      <c r="Z1178" s="239"/>
      <c r="AA1178" s="257"/>
      <c r="AB1178" s="224"/>
      <c r="AC1178" s="224"/>
      <c r="AD1178" s="224"/>
      <c r="AE1178" s="224"/>
      <c r="AF1178" s="224"/>
      <c r="AG1178" s="259"/>
      <c r="AH1178" s="261"/>
      <c r="AI1178" s="261"/>
      <c r="AJ1178" s="261"/>
      <c r="AK1178" s="261"/>
      <c r="AL1178" s="261"/>
      <c r="AM1178" s="262"/>
    </row>
    <row r="1179" spans="1:39" x14ac:dyDescent="0.25">
      <c r="A1179" s="215"/>
      <c r="B1179" s="215"/>
      <c r="C1179" s="215"/>
      <c r="D1179" s="239"/>
      <c r="E1179" s="239"/>
      <c r="F1179" s="239"/>
      <c r="G1179" s="239"/>
      <c r="H1179" s="239"/>
      <c r="I1179" s="257"/>
      <c r="J1179" s="240"/>
      <c r="K1179" s="240"/>
      <c r="L1179" s="240"/>
      <c r="M1179" s="240"/>
      <c r="N1179" s="240"/>
      <c r="O1179" s="258"/>
      <c r="P1179" s="224"/>
      <c r="Q1179" s="224"/>
      <c r="R1179" s="224"/>
      <c r="S1179" s="224"/>
      <c r="T1179" s="224"/>
      <c r="U1179" s="259"/>
      <c r="V1179" s="239"/>
      <c r="W1179" s="239"/>
      <c r="X1179" s="239"/>
      <c r="Y1179" s="239"/>
      <c r="Z1179" s="239"/>
      <c r="AA1179" s="257"/>
      <c r="AB1179" s="224"/>
      <c r="AC1179" s="224"/>
      <c r="AD1179" s="224"/>
      <c r="AE1179" s="224"/>
      <c r="AF1179" s="224"/>
      <c r="AG1179" s="259"/>
      <c r="AH1179" s="261"/>
      <c r="AI1179" s="261"/>
      <c r="AJ1179" s="261"/>
      <c r="AK1179" s="261"/>
      <c r="AL1179" s="261"/>
      <c r="AM1179" s="262"/>
    </row>
    <row r="1180" spans="1:39" x14ac:dyDescent="0.25">
      <c r="A1180" s="215"/>
      <c r="B1180" s="215"/>
      <c r="C1180" s="215"/>
      <c r="D1180" s="239"/>
      <c r="E1180" s="239"/>
      <c r="F1180" s="239"/>
      <c r="G1180" s="239"/>
      <c r="H1180" s="239"/>
      <c r="I1180" s="257"/>
      <c r="J1180" s="240"/>
      <c r="K1180" s="240"/>
      <c r="L1180" s="240"/>
      <c r="M1180" s="240"/>
      <c r="N1180" s="240"/>
      <c r="O1180" s="258"/>
      <c r="P1180" s="224"/>
      <c r="Q1180" s="224"/>
      <c r="R1180" s="224"/>
      <c r="S1180" s="224"/>
      <c r="T1180" s="224"/>
      <c r="U1180" s="259"/>
      <c r="V1180" s="239"/>
      <c r="W1180" s="239"/>
      <c r="X1180" s="239"/>
      <c r="Y1180" s="239"/>
      <c r="Z1180" s="239"/>
      <c r="AA1180" s="257"/>
      <c r="AB1180" s="224"/>
      <c r="AC1180" s="224"/>
      <c r="AD1180" s="224"/>
      <c r="AE1180" s="224"/>
      <c r="AF1180" s="224"/>
      <c r="AG1180" s="259"/>
      <c r="AH1180" s="261"/>
      <c r="AI1180" s="261"/>
      <c r="AJ1180" s="261"/>
      <c r="AK1180" s="261"/>
      <c r="AL1180" s="261"/>
      <c r="AM1180" s="262"/>
    </row>
    <row r="1181" spans="1:39" x14ac:dyDescent="0.25">
      <c r="A1181" s="215"/>
      <c r="B1181" s="215"/>
      <c r="C1181" s="215"/>
      <c r="D1181" s="239"/>
      <c r="E1181" s="239"/>
      <c r="F1181" s="239"/>
      <c r="G1181" s="239"/>
      <c r="H1181" s="239"/>
      <c r="I1181" s="257"/>
      <c r="J1181" s="240"/>
      <c r="K1181" s="240"/>
      <c r="L1181" s="240"/>
      <c r="M1181" s="240"/>
      <c r="N1181" s="240"/>
      <c r="O1181" s="258"/>
      <c r="P1181" s="224"/>
      <c r="Q1181" s="224"/>
      <c r="R1181" s="224"/>
      <c r="S1181" s="224"/>
      <c r="T1181" s="224"/>
      <c r="U1181" s="259"/>
      <c r="V1181" s="239"/>
      <c r="W1181" s="239"/>
      <c r="X1181" s="239"/>
      <c r="Y1181" s="239"/>
      <c r="Z1181" s="239"/>
      <c r="AA1181" s="257"/>
      <c r="AB1181" s="224"/>
      <c r="AC1181" s="224"/>
      <c r="AD1181" s="224"/>
      <c r="AE1181" s="224"/>
      <c r="AF1181" s="224"/>
      <c r="AG1181" s="259"/>
      <c r="AH1181" s="261"/>
      <c r="AI1181" s="261"/>
      <c r="AJ1181" s="261"/>
      <c r="AK1181" s="261"/>
      <c r="AL1181" s="261"/>
      <c r="AM1181" s="262"/>
    </row>
    <row r="1182" spans="1:39" x14ac:dyDescent="0.25">
      <c r="A1182" s="215"/>
      <c r="B1182" s="215"/>
      <c r="C1182" s="215"/>
      <c r="D1182" s="239"/>
      <c r="E1182" s="239"/>
      <c r="F1182" s="239"/>
      <c r="G1182" s="239"/>
      <c r="H1182" s="239"/>
      <c r="I1182" s="257"/>
      <c r="J1182" s="240"/>
      <c r="K1182" s="240"/>
      <c r="L1182" s="240"/>
      <c r="M1182" s="240"/>
      <c r="N1182" s="240"/>
      <c r="O1182" s="258"/>
      <c r="P1182" s="224"/>
      <c r="Q1182" s="224"/>
      <c r="R1182" s="224"/>
      <c r="S1182" s="224"/>
      <c r="T1182" s="224"/>
      <c r="U1182" s="259"/>
      <c r="V1182" s="239"/>
      <c r="W1182" s="239"/>
      <c r="X1182" s="239"/>
      <c r="Y1182" s="239"/>
      <c r="Z1182" s="239"/>
      <c r="AA1182" s="257"/>
      <c r="AB1182" s="224"/>
      <c r="AC1182" s="224"/>
      <c r="AD1182" s="224"/>
      <c r="AE1182" s="224"/>
      <c r="AF1182" s="224"/>
      <c r="AG1182" s="259"/>
      <c r="AH1182" s="261"/>
      <c r="AI1182" s="261"/>
      <c r="AJ1182" s="261"/>
      <c r="AK1182" s="261"/>
      <c r="AL1182" s="261"/>
      <c r="AM1182" s="262"/>
    </row>
    <row r="1183" spans="1:39" x14ac:dyDescent="0.25">
      <c r="A1183" s="215"/>
      <c r="B1183" s="215"/>
      <c r="C1183" s="215"/>
      <c r="D1183" s="239"/>
      <c r="E1183" s="239"/>
      <c r="F1183" s="239"/>
      <c r="G1183" s="239"/>
      <c r="H1183" s="239"/>
      <c r="I1183" s="257"/>
      <c r="J1183" s="240"/>
      <c r="K1183" s="240"/>
      <c r="L1183" s="240"/>
      <c r="M1183" s="240"/>
      <c r="N1183" s="240"/>
      <c r="O1183" s="258"/>
      <c r="P1183" s="224"/>
      <c r="Q1183" s="224"/>
      <c r="R1183" s="224"/>
      <c r="S1183" s="224"/>
      <c r="T1183" s="224"/>
      <c r="U1183" s="259"/>
      <c r="V1183" s="239"/>
      <c r="W1183" s="239"/>
      <c r="X1183" s="239"/>
      <c r="Y1183" s="239"/>
      <c r="Z1183" s="239"/>
      <c r="AA1183" s="257"/>
      <c r="AB1183" s="224"/>
      <c r="AC1183" s="224"/>
      <c r="AD1183" s="224"/>
      <c r="AE1183" s="224"/>
      <c r="AF1183" s="224"/>
      <c r="AG1183" s="259"/>
      <c r="AH1183" s="261"/>
      <c r="AI1183" s="261"/>
      <c r="AJ1183" s="261"/>
      <c r="AK1183" s="261"/>
      <c r="AL1183" s="261"/>
      <c r="AM1183" s="262"/>
    </row>
    <row r="1184" spans="1:39" x14ac:dyDescent="0.25">
      <c r="A1184" s="215"/>
      <c r="B1184" s="215"/>
      <c r="C1184" s="215"/>
      <c r="D1184" s="239"/>
      <c r="E1184" s="239"/>
      <c r="F1184" s="239"/>
      <c r="G1184" s="239"/>
      <c r="H1184" s="239"/>
      <c r="I1184" s="257"/>
      <c r="J1184" s="240"/>
      <c r="K1184" s="240"/>
      <c r="L1184" s="240"/>
      <c r="M1184" s="240"/>
      <c r="N1184" s="240"/>
      <c r="O1184" s="258"/>
      <c r="P1184" s="224"/>
      <c r="Q1184" s="224"/>
      <c r="R1184" s="224"/>
      <c r="S1184" s="224"/>
      <c r="T1184" s="224"/>
      <c r="U1184" s="259"/>
      <c r="V1184" s="239"/>
      <c r="W1184" s="239"/>
      <c r="X1184" s="239"/>
      <c r="Y1184" s="239"/>
      <c r="Z1184" s="239"/>
      <c r="AA1184" s="257"/>
      <c r="AB1184" s="224"/>
      <c r="AC1184" s="224"/>
      <c r="AD1184" s="224"/>
      <c r="AE1184" s="224"/>
      <c r="AF1184" s="224"/>
      <c r="AG1184" s="259"/>
      <c r="AH1184" s="261"/>
      <c r="AI1184" s="261"/>
      <c r="AJ1184" s="261"/>
      <c r="AK1184" s="261"/>
      <c r="AL1184" s="261"/>
      <c r="AM1184" s="262"/>
    </row>
    <row r="1185" spans="1:39" x14ac:dyDescent="0.25">
      <c r="A1185" s="215"/>
      <c r="B1185" s="215"/>
      <c r="C1185" s="215"/>
      <c r="D1185" s="239"/>
      <c r="E1185" s="239"/>
      <c r="F1185" s="239"/>
      <c r="G1185" s="239"/>
      <c r="H1185" s="239"/>
      <c r="I1185" s="257"/>
      <c r="J1185" s="240"/>
      <c r="K1185" s="240"/>
      <c r="L1185" s="240"/>
      <c r="M1185" s="240"/>
      <c r="N1185" s="240"/>
      <c r="O1185" s="258"/>
      <c r="P1185" s="224"/>
      <c r="Q1185" s="224"/>
      <c r="R1185" s="224"/>
      <c r="S1185" s="224"/>
      <c r="T1185" s="224"/>
      <c r="U1185" s="259"/>
      <c r="V1185" s="239"/>
      <c r="W1185" s="239"/>
      <c r="X1185" s="239"/>
      <c r="Y1185" s="239"/>
      <c r="Z1185" s="239"/>
      <c r="AA1185" s="257"/>
      <c r="AB1185" s="224"/>
      <c r="AC1185" s="224"/>
      <c r="AD1185" s="224"/>
      <c r="AE1185" s="224"/>
      <c r="AF1185" s="224"/>
      <c r="AG1185" s="259"/>
      <c r="AH1185" s="261"/>
      <c r="AI1185" s="261"/>
      <c r="AJ1185" s="261"/>
      <c r="AK1185" s="261"/>
      <c r="AL1185" s="261"/>
      <c r="AM1185" s="262"/>
    </row>
    <row r="1186" spans="1:39" x14ac:dyDescent="0.25">
      <c r="A1186" s="215"/>
      <c r="B1186" s="215"/>
      <c r="C1186" s="215"/>
      <c r="D1186" s="239"/>
      <c r="E1186" s="239"/>
      <c r="F1186" s="239"/>
      <c r="G1186" s="239"/>
      <c r="H1186" s="239"/>
      <c r="I1186" s="257"/>
      <c r="J1186" s="240"/>
      <c r="K1186" s="240"/>
      <c r="L1186" s="240"/>
      <c r="M1186" s="240"/>
      <c r="N1186" s="240"/>
      <c r="O1186" s="258"/>
      <c r="P1186" s="224"/>
      <c r="Q1186" s="224"/>
      <c r="R1186" s="224"/>
      <c r="S1186" s="224"/>
      <c r="T1186" s="224"/>
      <c r="U1186" s="259"/>
      <c r="V1186" s="239"/>
      <c r="W1186" s="239"/>
      <c r="X1186" s="239"/>
      <c r="Y1186" s="239"/>
      <c r="Z1186" s="239"/>
      <c r="AA1186" s="257"/>
      <c r="AB1186" s="224"/>
      <c r="AC1186" s="224"/>
      <c r="AD1186" s="224"/>
      <c r="AE1186" s="224"/>
      <c r="AF1186" s="224"/>
      <c r="AG1186" s="259"/>
      <c r="AH1186" s="261"/>
      <c r="AI1186" s="261"/>
      <c r="AJ1186" s="261"/>
      <c r="AK1186" s="261"/>
      <c r="AL1186" s="261"/>
      <c r="AM1186" s="262"/>
    </row>
    <row r="1187" spans="1:39" x14ac:dyDescent="0.25">
      <c r="A1187" s="215"/>
      <c r="B1187" s="215"/>
      <c r="C1187" s="215"/>
      <c r="D1187" s="239"/>
      <c r="E1187" s="239"/>
      <c r="F1187" s="239"/>
      <c r="G1187" s="239"/>
      <c r="H1187" s="239"/>
      <c r="I1187" s="257"/>
      <c r="J1187" s="240"/>
      <c r="K1187" s="240"/>
      <c r="L1187" s="240"/>
      <c r="M1187" s="240"/>
      <c r="N1187" s="240"/>
      <c r="O1187" s="258"/>
      <c r="P1187" s="224"/>
      <c r="Q1187" s="224"/>
      <c r="R1187" s="224"/>
      <c r="S1187" s="224"/>
      <c r="T1187" s="224"/>
      <c r="U1187" s="259"/>
      <c r="V1187" s="239"/>
      <c r="W1187" s="239"/>
      <c r="X1187" s="239"/>
      <c r="Y1187" s="239"/>
      <c r="Z1187" s="239"/>
      <c r="AA1187" s="257"/>
      <c r="AB1187" s="224"/>
      <c r="AC1187" s="224"/>
      <c r="AD1187" s="224"/>
      <c r="AE1187" s="224"/>
      <c r="AF1187" s="224"/>
      <c r="AG1187" s="259"/>
      <c r="AH1187" s="261"/>
      <c r="AI1187" s="261"/>
      <c r="AJ1187" s="261"/>
      <c r="AK1187" s="261"/>
      <c r="AL1187" s="261"/>
      <c r="AM1187" s="262"/>
    </row>
    <row r="1188" spans="1:39" x14ac:dyDescent="0.25">
      <c r="A1188" s="215"/>
      <c r="B1188" s="215"/>
      <c r="C1188" s="215"/>
      <c r="D1188" s="239"/>
      <c r="E1188" s="239"/>
      <c r="F1188" s="239"/>
      <c r="G1188" s="239"/>
      <c r="H1188" s="239"/>
      <c r="I1188" s="257"/>
      <c r="J1188" s="240"/>
      <c r="K1188" s="240"/>
      <c r="L1188" s="240"/>
      <c r="M1188" s="240"/>
      <c r="N1188" s="240"/>
      <c r="O1188" s="258"/>
      <c r="P1188" s="224"/>
      <c r="Q1188" s="224"/>
      <c r="R1188" s="224"/>
      <c r="S1188" s="224"/>
      <c r="T1188" s="224"/>
      <c r="U1188" s="259"/>
      <c r="V1188" s="239"/>
      <c r="W1188" s="239"/>
      <c r="X1188" s="239"/>
      <c r="Y1188" s="239"/>
      <c r="Z1188" s="239"/>
      <c r="AA1188" s="257"/>
      <c r="AB1188" s="224"/>
      <c r="AC1188" s="224"/>
      <c r="AD1188" s="224"/>
      <c r="AE1188" s="224"/>
      <c r="AF1188" s="224"/>
      <c r="AG1188" s="259"/>
      <c r="AH1188" s="261"/>
      <c r="AI1188" s="261"/>
      <c r="AJ1188" s="261"/>
      <c r="AK1188" s="261"/>
      <c r="AL1188" s="261"/>
      <c r="AM1188" s="262"/>
    </row>
    <row r="1189" spans="1:39" x14ac:dyDescent="0.25">
      <c r="A1189" s="215"/>
      <c r="B1189" s="215"/>
      <c r="C1189" s="215"/>
      <c r="D1189" s="239"/>
      <c r="E1189" s="239"/>
      <c r="F1189" s="239"/>
      <c r="G1189" s="239"/>
      <c r="H1189" s="239"/>
      <c r="I1189" s="257"/>
      <c r="J1189" s="240"/>
      <c r="K1189" s="240"/>
      <c r="L1189" s="240"/>
      <c r="M1189" s="240"/>
      <c r="N1189" s="240"/>
      <c r="O1189" s="258"/>
      <c r="P1189" s="224"/>
      <c r="Q1189" s="224"/>
      <c r="R1189" s="224"/>
      <c r="S1189" s="224"/>
      <c r="T1189" s="224"/>
      <c r="U1189" s="259"/>
      <c r="V1189" s="239"/>
      <c r="W1189" s="239"/>
      <c r="X1189" s="239"/>
      <c r="Y1189" s="239"/>
      <c r="Z1189" s="239"/>
      <c r="AA1189" s="257"/>
      <c r="AB1189" s="224"/>
      <c r="AC1189" s="224"/>
      <c r="AD1189" s="224"/>
      <c r="AE1189" s="224"/>
      <c r="AF1189" s="224"/>
      <c r="AG1189" s="259"/>
      <c r="AH1189" s="261"/>
      <c r="AI1189" s="261"/>
      <c r="AJ1189" s="261"/>
      <c r="AK1189" s="261"/>
      <c r="AL1189" s="261"/>
      <c r="AM1189" s="262"/>
    </row>
    <row r="1190" spans="1:39" x14ac:dyDescent="0.25">
      <c r="A1190" s="215"/>
      <c r="B1190" s="215"/>
      <c r="C1190" s="215"/>
      <c r="D1190" s="239"/>
      <c r="E1190" s="239"/>
      <c r="F1190" s="239"/>
      <c r="G1190" s="239"/>
      <c r="H1190" s="239"/>
      <c r="I1190" s="257"/>
      <c r="J1190" s="240"/>
      <c r="K1190" s="240"/>
      <c r="L1190" s="240"/>
      <c r="M1190" s="240"/>
      <c r="N1190" s="240"/>
      <c r="O1190" s="258"/>
      <c r="P1190" s="224"/>
      <c r="Q1190" s="224"/>
      <c r="R1190" s="224"/>
      <c r="S1190" s="224"/>
      <c r="T1190" s="224"/>
      <c r="U1190" s="259"/>
      <c r="V1190" s="239"/>
      <c r="W1190" s="239"/>
      <c r="X1190" s="239"/>
      <c r="Y1190" s="239"/>
      <c r="Z1190" s="239"/>
      <c r="AA1190" s="257"/>
      <c r="AB1190" s="224"/>
      <c r="AC1190" s="224"/>
      <c r="AD1190" s="224"/>
      <c r="AE1190" s="224"/>
      <c r="AF1190" s="224"/>
      <c r="AG1190" s="259"/>
      <c r="AH1190" s="261"/>
      <c r="AI1190" s="261"/>
      <c r="AJ1190" s="261"/>
      <c r="AK1190" s="261"/>
      <c r="AL1190" s="261"/>
      <c r="AM1190" s="262"/>
    </row>
    <row r="1191" spans="1:39" x14ac:dyDescent="0.25">
      <c r="A1191" s="215"/>
      <c r="B1191" s="215"/>
      <c r="C1191" s="215"/>
      <c r="D1191" s="239"/>
      <c r="E1191" s="239"/>
      <c r="F1191" s="239"/>
      <c r="G1191" s="239"/>
      <c r="H1191" s="239"/>
      <c r="I1191" s="257"/>
      <c r="J1191" s="240"/>
      <c r="K1191" s="240"/>
      <c r="L1191" s="240"/>
      <c r="M1191" s="240"/>
      <c r="N1191" s="240"/>
      <c r="O1191" s="258"/>
      <c r="P1191" s="224"/>
      <c r="Q1191" s="224"/>
      <c r="R1191" s="224"/>
      <c r="S1191" s="224"/>
      <c r="T1191" s="224"/>
      <c r="U1191" s="259"/>
      <c r="V1191" s="239"/>
      <c r="W1191" s="239"/>
      <c r="X1191" s="239"/>
      <c r="Y1191" s="239"/>
      <c r="Z1191" s="239"/>
      <c r="AA1191" s="257"/>
      <c r="AB1191" s="224"/>
      <c r="AC1191" s="224"/>
      <c r="AD1191" s="224"/>
      <c r="AE1191" s="224"/>
      <c r="AF1191" s="224"/>
      <c r="AG1191" s="259"/>
      <c r="AH1191" s="261"/>
      <c r="AI1191" s="261"/>
      <c r="AJ1191" s="261"/>
      <c r="AK1191" s="261"/>
      <c r="AL1191" s="261"/>
      <c r="AM1191" s="262"/>
    </row>
    <row r="1192" spans="1:39" x14ac:dyDescent="0.25">
      <c r="A1192" s="215"/>
      <c r="B1192" s="215"/>
      <c r="C1192" s="215"/>
      <c r="D1192" s="239"/>
      <c r="E1192" s="239"/>
      <c r="F1192" s="239"/>
      <c r="G1192" s="239"/>
      <c r="H1192" s="239"/>
      <c r="I1192" s="257"/>
      <c r="J1192" s="240"/>
      <c r="K1192" s="240"/>
      <c r="L1192" s="240"/>
      <c r="M1192" s="240"/>
      <c r="N1192" s="240"/>
      <c r="O1192" s="258"/>
      <c r="P1192" s="224"/>
      <c r="Q1192" s="224"/>
      <c r="R1192" s="224"/>
      <c r="S1192" s="224"/>
      <c r="T1192" s="224"/>
      <c r="U1192" s="259"/>
      <c r="V1192" s="239"/>
      <c r="W1192" s="239"/>
      <c r="X1192" s="239"/>
      <c r="Y1192" s="239"/>
      <c r="Z1192" s="239"/>
      <c r="AA1192" s="257"/>
      <c r="AB1192" s="224"/>
      <c r="AC1192" s="224"/>
      <c r="AD1192" s="224"/>
      <c r="AE1192" s="224"/>
      <c r="AF1192" s="224"/>
      <c r="AG1192" s="259"/>
      <c r="AH1192" s="261"/>
      <c r="AI1192" s="261"/>
      <c r="AJ1192" s="261"/>
      <c r="AK1192" s="261"/>
      <c r="AL1192" s="261"/>
      <c r="AM1192" s="262"/>
    </row>
    <row r="1193" spans="1:39" x14ac:dyDescent="0.25">
      <c r="A1193" s="215"/>
      <c r="B1193" s="215"/>
      <c r="C1193" s="215"/>
      <c r="D1193" s="239"/>
      <c r="E1193" s="239"/>
      <c r="F1193" s="239"/>
      <c r="G1193" s="239"/>
      <c r="H1193" s="239"/>
      <c r="I1193" s="257"/>
      <c r="J1193" s="240"/>
      <c r="K1193" s="240"/>
      <c r="L1193" s="240"/>
      <c r="M1193" s="240"/>
      <c r="N1193" s="240"/>
      <c r="O1193" s="258"/>
      <c r="P1193" s="224"/>
      <c r="Q1193" s="224"/>
      <c r="R1193" s="224"/>
      <c r="S1193" s="224"/>
      <c r="T1193" s="224"/>
      <c r="U1193" s="259"/>
      <c r="V1193" s="239"/>
      <c r="W1193" s="239"/>
      <c r="X1193" s="239"/>
      <c r="Y1193" s="239"/>
      <c r="Z1193" s="239"/>
      <c r="AA1193" s="257"/>
      <c r="AB1193" s="224"/>
      <c r="AC1193" s="224"/>
      <c r="AD1193" s="224"/>
      <c r="AE1193" s="224"/>
      <c r="AF1193" s="224"/>
      <c r="AG1193" s="259"/>
      <c r="AH1193" s="261"/>
      <c r="AI1193" s="261"/>
      <c r="AJ1193" s="261"/>
      <c r="AK1193" s="261"/>
      <c r="AL1193" s="261"/>
      <c r="AM1193" s="262"/>
    </row>
    <row r="1194" spans="1:39" x14ac:dyDescent="0.25">
      <c r="A1194" s="215"/>
      <c r="B1194" s="215"/>
      <c r="C1194" s="215"/>
      <c r="D1194" s="239"/>
      <c r="E1194" s="239"/>
      <c r="F1194" s="239"/>
      <c r="G1194" s="239"/>
      <c r="H1194" s="239"/>
      <c r="I1194" s="257"/>
      <c r="J1194" s="240"/>
      <c r="K1194" s="240"/>
      <c r="L1194" s="240"/>
      <c r="M1194" s="240"/>
      <c r="N1194" s="240"/>
      <c r="O1194" s="258"/>
      <c r="P1194" s="224"/>
      <c r="Q1194" s="224"/>
      <c r="R1194" s="224"/>
      <c r="S1194" s="224"/>
      <c r="T1194" s="224"/>
      <c r="U1194" s="259"/>
      <c r="V1194" s="239"/>
      <c r="W1194" s="239"/>
      <c r="X1194" s="239"/>
      <c r="Y1194" s="239"/>
      <c r="Z1194" s="239"/>
      <c r="AA1194" s="257"/>
      <c r="AB1194" s="224"/>
      <c r="AC1194" s="224"/>
      <c r="AD1194" s="224"/>
      <c r="AE1194" s="224"/>
      <c r="AF1194" s="224"/>
      <c r="AG1194" s="259"/>
      <c r="AH1194" s="261"/>
      <c r="AI1194" s="261"/>
      <c r="AJ1194" s="261"/>
      <c r="AK1194" s="261"/>
      <c r="AL1194" s="261"/>
      <c r="AM1194" s="262"/>
    </row>
    <row r="1195" spans="1:39" x14ac:dyDescent="0.25">
      <c r="A1195" s="215"/>
      <c r="B1195" s="215"/>
      <c r="C1195" s="215"/>
      <c r="D1195" s="239"/>
      <c r="E1195" s="239"/>
      <c r="F1195" s="239"/>
      <c r="G1195" s="239"/>
      <c r="H1195" s="239"/>
      <c r="I1195" s="257"/>
      <c r="J1195" s="240"/>
      <c r="K1195" s="240"/>
      <c r="L1195" s="240"/>
      <c r="M1195" s="240"/>
      <c r="N1195" s="240"/>
      <c r="O1195" s="258"/>
      <c r="P1195" s="224"/>
      <c r="Q1195" s="224"/>
      <c r="R1195" s="224"/>
      <c r="S1195" s="224"/>
      <c r="T1195" s="224"/>
      <c r="U1195" s="259"/>
      <c r="V1195" s="239"/>
      <c r="W1195" s="239"/>
      <c r="X1195" s="239"/>
      <c r="Y1195" s="239"/>
      <c r="Z1195" s="239"/>
      <c r="AA1195" s="257"/>
      <c r="AB1195" s="224"/>
      <c r="AC1195" s="224"/>
      <c r="AD1195" s="224"/>
      <c r="AE1195" s="224"/>
      <c r="AF1195" s="224"/>
      <c r="AG1195" s="259"/>
      <c r="AH1195" s="261"/>
      <c r="AI1195" s="261"/>
      <c r="AJ1195" s="261"/>
      <c r="AK1195" s="261"/>
      <c r="AL1195" s="261"/>
      <c r="AM1195" s="262"/>
    </row>
    <row r="1196" spans="1:39" x14ac:dyDescent="0.25">
      <c r="A1196" s="215"/>
      <c r="B1196" s="215"/>
      <c r="C1196" s="215"/>
      <c r="D1196" s="239"/>
      <c r="E1196" s="239"/>
      <c r="F1196" s="239"/>
      <c r="G1196" s="239"/>
      <c r="H1196" s="239"/>
      <c r="I1196" s="257"/>
      <c r="J1196" s="240"/>
      <c r="K1196" s="240"/>
      <c r="L1196" s="240"/>
      <c r="M1196" s="240"/>
      <c r="N1196" s="240"/>
      <c r="O1196" s="258"/>
      <c r="P1196" s="224"/>
      <c r="Q1196" s="224"/>
      <c r="R1196" s="224"/>
      <c r="S1196" s="224"/>
      <c r="T1196" s="224"/>
      <c r="U1196" s="259"/>
      <c r="V1196" s="239"/>
      <c r="W1196" s="239"/>
      <c r="X1196" s="239"/>
      <c r="Y1196" s="239"/>
      <c r="Z1196" s="239"/>
      <c r="AA1196" s="257"/>
      <c r="AB1196" s="224"/>
      <c r="AC1196" s="224"/>
      <c r="AD1196" s="224"/>
      <c r="AE1196" s="224"/>
      <c r="AF1196" s="224"/>
      <c r="AG1196" s="259"/>
      <c r="AH1196" s="261"/>
      <c r="AI1196" s="261"/>
      <c r="AJ1196" s="261"/>
      <c r="AK1196" s="261"/>
      <c r="AL1196" s="261"/>
      <c r="AM1196" s="262"/>
    </row>
    <row r="1197" spans="1:39" x14ac:dyDescent="0.25">
      <c r="A1197" s="215"/>
      <c r="B1197" s="215"/>
      <c r="C1197" s="215"/>
      <c r="D1197" s="239"/>
      <c r="E1197" s="239"/>
      <c r="F1197" s="239"/>
      <c r="G1197" s="239"/>
      <c r="H1197" s="239"/>
      <c r="I1197" s="257"/>
      <c r="J1197" s="240"/>
      <c r="K1197" s="240"/>
      <c r="L1197" s="240"/>
      <c r="M1197" s="240"/>
      <c r="N1197" s="240"/>
      <c r="O1197" s="258"/>
      <c r="P1197" s="224"/>
      <c r="Q1197" s="224"/>
      <c r="R1197" s="224"/>
      <c r="S1197" s="224"/>
      <c r="T1197" s="224"/>
      <c r="U1197" s="259"/>
      <c r="V1197" s="239"/>
      <c r="W1197" s="239"/>
      <c r="X1197" s="239"/>
      <c r="Y1197" s="239"/>
      <c r="Z1197" s="239"/>
      <c r="AA1197" s="257"/>
      <c r="AB1197" s="224"/>
      <c r="AC1197" s="224"/>
      <c r="AD1197" s="224"/>
      <c r="AE1197" s="224"/>
      <c r="AF1197" s="224"/>
      <c r="AG1197" s="259"/>
      <c r="AH1197" s="261"/>
      <c r="AI1197" s="261"/>
      <c r="AJ1197" s="261"/>
      <c r="AK1197" s="261"/>
      <c r="AL1197" s="261"/>
      <c r="AM1197" s="262"/>
    </row>
    <row r="1198" spans="1:39" x14ac:dyDescent="0.25">
      <c r="A1198" s="215"/>
      <c r="B1198" s="215"/>
      <c r="C1198" s="215"/>
      <c r="D1198" s="239"/>
      <c r="E1198" s="239"/>
      <c r="F1198" s="239"/>
      <c r="G1198" s="239"/>
      <c r="H1198" s="239"/>
      <c r="I1198" s="257"/>
      <c r="J1198" s="240"/>
      <c r="K1198" s="240"/>
      <c r="L1198" s="240"/>
      <c r="M1198" s="240"/>
      <c r="N1198" s="240"/>
      <c r="O1198" s="258"/>
      <c r="P1198" s="224"/>
      <c r="Q1198" s="224"/>
      <c r="R1198" s="224"/>
      <c r="S1198" s="224"/>
      <c r="T1198" s="224"/>
      <c r="U1198" s="259"/>
      <c r="V1198" s="239"/>
      <c r="W1198" s="239"/>
      <c r="X1198" s="239"/>
      <c r="Y1198" s="239"/>
      <c r="Z1198" s="239"/>
      <c r="AA1198" s="257"/>
      <c r="AB1198" s="224"/>
      <c r="AC1198" s="224"/>
      <c r="AD1198" s="224"/>
      <c r="AE1198" s="224"/>
      <c r="AF1198" s="224"/>
      <c r="AG1198" s="259"/>
      <c r="AH1198" s="261"/>
      <c r="AI1198" s="261"/>
      <c r="AJ1198" s="261"/>
      <c r="AK1198" s="261"/>
      <c r="AL1198" s="261"/>
      <c r="AM1198" s="262"/>
    </row>
    <row r="1199" spans="1:39" x14ac:dyDescent="0.25">
      <c r="A1199" s="215"/>
      <c r="B1199" s="215"/>
      <c r="C1199" s="215"/>
      <c r="D1199" s="239"/>
      <c r="E1199" s="239"/>
      <c r="F1199" s="239"/>
      <c r="G1199" s="239"/>
      <c r="H1199" s="239"/>
      <c r="I1199" s="257"/>
      <c r="J1199" s="240"/>
      <c r="K1199" s="240"/>
      <c r="L1199" s="240"/>
      <c r="M1199" s="240"/>
      <c r="N1199" s="240"/>
      <c r="O1199" s="258"/>
      <c r="P1199" s="224"/>
      <c r="Q1199" s="224"/>
      <c r="R1199" s="224"/>
      <c r="S1199" s="224"/>
      <c r="T1199" s="224"/>
      <c r="U1199" s="259"/>
      <c r="V1199" s="239"/>
      <c r="W1199" s="239"/>
      <c r="X1199" s="239"/>
      <c r="Y1199" s="239"/>
      <c r="Z1199" s="239"/>
      <c r="AA1199" s="257"/>
      <c r="AB1199" s="224"/>
      <c r="AC1199" s="224"/>
      <c r="AD1199" s="224"/>
      <c r="AE1199" s="224"/>
      <c r="AF1199" s="224"/>
      <c r="AG1199" s="259"/>
      <c r="AH1199" s="261"/>
      <c r="AI1199" s="261"/>
      <c r="AJ1199" s="261"/>
      <c r="AK1199" s="261"/>
      <c r="AL1199" s="261"/>
      <c r="AM1199" s="262"/>
    </row>
    <row r="1200" spans="1:39" x14ac:dyDescent="0.25">
      <c r="A1200" s="215"/>
      <c r="B1200" s="215"/>
      <c r="C1200" s="215"/>
      <c r="D1200" s="239"/>
      <c r="E1200" s="239"/>
      <c r="F1200" s="239"/>
      <c r="G1200" s="239"/>
      <c r="H1200" s="239"/>
      <c r="I1200" s="257"/>
      <c r="J1200" s="240"/>
      <c r="K1200" s="240"/>
      <c r="L1200" s="240"/>
      <c r="M1200" s="240"/>
      <c r="N1200" s="240"/>
      <c r="O1200" s="258"/>
      <c r="P1200" s="224"/>
      <c r="Q1200" s="224"/>
      <c r="R1200" s="224"/>
      <c r="S1200" s="224"/>
      <c r="T1200" s="224"/>
      <c r="U1200" s="259"/>
      <c r="V1200" s="239"/>
      <c r="W1200" s="239"/>
      <c r="X1200" s="239"/>
      <c r="Y1200" s="239"/>
      <c r="Z1200" s="239"/>
      <c r="AA1200" s="257"/>
      <c r="AB1200" s="224"/>
      <c r="AC1200" s="224"/>
      <c r="AD1200" s="224"/>
      <c r="AE1200" s="224"/>
      <c r="AF1200" s="224"/>
      <c r="AG1200" s="259"/>
      <c r="AH1200" s="261"/>
      <c r="AI1200" s="261"/>
      <c r="AJ1200" s="261"/>
      <c r="AK1200" s="261"/>
      <c r="AL1200" s="261"/>
      <c r="AM1200" s="262"/>
    </row>
    <row r="1201" spans="1:39" x14ac:dyDescent="0.25">
      <c r="A1201" s="215"/>
      <c r="B1201" s="215"/>
      <c r="C1201" s="215"/>
      <c r="D1201" s="239"/>
      <c r="E1201" s="239"/>
      <c r="F1201" s="239"/>
      <c r="G1201" s="239"/>
      <c r="H1201" s="239"/>
      <c r="I1201" s="257"/>
      <c r="J1201" s="240"/>
      <c r="K1201" s="240"/>
      <c r="L1201" s="240"/>
      <c r="M1201" s="240"/>
      <c r="N1201" s="240"/>
      <c r="O1201" s="258"/>
      <c r="P1201" s="224"/>
      <c r="Q1201" s="224"/>
      <c r="R1201" s="224"/>
      <c r="S1201" s="224"/>
      <c r="T1201" s="224"/>
      <c r="U1201" s="259"/>
      <c r="V1201" s="239"/>
      <c r="W1201" s="239"/>
      <c r="X1201" s="239"/>
      <c r="Y1201" s="239"/>
      <c r="Z1201" s="239"/>
      <c r="AA1201" s="257"/>
      <c r="AB1201" s="224"/>
      <c r="AC1201" s="224"/>
      <c r="AD1201" s="224"/>
      <c r="AE1201" s="224"/>
      <c r="AF1201" s="224"/>
      <c r="AG1201" s="259"/>
      <c r="AH1201" s="261"/>
      <c r="AI1201" s="261"/>
      <c r="AJ1201" s="261"/>
      <c r="AK1201" s="261"/>
      <c r="AL1201" s="261"/>
      <c r="AM1201" s="262"/>
    </row>
    <row r="1202" spans="1:39" x14ac:dyDescent="0.25">
      <c r="A1202" s="215"/>
      <c r="B1202" s="215"/>
      <c r="C1202" s="215"/>
      <c r="D1202" s="239"/>
      <c r="E1202" s="239"/>
      <c r="F1202" s="239"/>
      <c r="G1202" s="239"/>
      <c r="H1202" s="239"/>
      <c r="I1202" s="257"/>
      <c r="J1202" s="240"/>
      <c r="K1202" s="240"/>
      <c r="L1202" s="240"/>
      <c r="M1202" s="240"/>
      <c r="N1202" s="240"/>
      <c r="O1202" s="258"/>
      <c r="P1202" s="224"/>
      <c r="Q1202" s="224"/>
      <c r="R1202" s="224"/>
      <c r="S1202" s="224"/>
      <c r="T1202" s="224"/>
      <c r="U1202" s="259"/>
      <c r="V1202" s="239"/>
      <c r="W1202" s="239"/>
      <c r="X1202" s="239"/>
      <c r="Y1202" s="239"/>
      <c r="Z1202" s="239"/>
      <c r="AA1202" s="257"/>
      <c r="AB1202" s="224"/>
      <c r="AC1202" s="224"/>
      <c r="AD1202" s="224"/>
      <c r="AE1202" s="224"/>
      <c r="AF1202" s="224"/>
      <c r="AG1202" s="259"/>
      <c r="AH1202" s="261"/>
      <c r="AI1202" s="261"/>
      <c r="AJ1202" s="261"/>
      <c r="AK1202" s="261"/>
      <c r="AL1202" s="261"/>
      <c r="AM1202" s="262"/>
    </row>
    <row r="1203" spans="1:39" x14ac:dyDescent="0.25">
      <c r="A1203" s="215"/>
      <c r="B1203" s="215"/>
      <c r="C1203" s="215"/>
      <c r="D1203" s="239"/>
      <c r="E1203" s="239"/>
      <c r="F1203" s="239"/>
      <c r="G1203" s="239"/>
      <c r="H1203" s="239"/>
      <c r="I1203" s="257"/>
      <c r="J1203" s="240"/>
      <c r="K1203" s="240"/>
      <c r="L1203" s="240"/>
      <c r="M1203" s="240"/>
      <c r="N1203" s="240"/>
      <c r="O1203" s="258"/>
      <c r="P1203" s="224"/>
      <c r="Q1203" s="224"/>
      <c r="R1203" s="224"/>
      <c r="S1203" s="224"/>
      <c r="T1203" s="224"/>
      <c r="U1203" s="259"/>
      <c r="V1203" s="239"/>
      <c r="W1203" s="239"/>
      <c r="X1203" s="239"/>
      <c r="Y1203" s="239"/>
      <c r="Z1203" s="239"/>
      <c r="AA1203" s="257"/>
      <c r="AB1203" s="224"/>
      <c r="AC1203" s="224"/>
      <c r="AD1203" s="224"/>
      <c r="AE1203" s="224"/>
      <c r="AF1203" s="224"/>
      <c r="AG1203" s="259"/>
      <c r="AH1203" s="261"/>
      <c r="AI1203" s="261"/>
      <c r="AJ1203" s="261"/>
      <c r="AK1203" s="261"/>
      <c r="AL1203" s="261"/>
      <c r="AM1203" s="262"/>
    </row>
    <row r="1204" spans="1:39" x14ac:dyDescent="0.25">
      <c r="A1204" s="215"/>
      <c r="B1204" s="215"/>
      <c r="C1204" s="215"/>
      <c r="D1204" s="239"/>
      <c r="E1204" s="239"/>
      <c r="F1204" s="239"/>
      <c r="G1204" s="239"/>
      <c r="H1204" s="239"/>
      <c r="I1204" s="257"/>
      <c r="J1204" s="240"/>
      <c r="K1204" s="240"/>
      <c r="L1204" s="240"/>
      <c r="M1204" s="240"/>
      <c r="N1204" s="240"/>
      <c r="O1204" s="258"/>
      <c r="P1204" s="224"/>
      <c r="Q1204" s="224"/>
      <c r="R1204" s="224"/>
      <c r="S1204" s="224"/>
      <c r="T1204" s="224"/>
      <c r="U1204" s="259"/>
      <c r="V1204" s="239"/>
      <c r="W1204" s="239"/>
      <c r="X1204" s="239"/>
      <c r="Y1204" s="239"/>
      <c r="Z1204" s="239"/>
      <c r="AA1204" s="257"/>
      <c r="AB1204" s="224"/>
      <c r="AC1204" s="224"/>
      <c r="AD1204" s="224"/>
      <c r="AE1204" s="224"/>
      <c r="AF1204" s="224"/>
      <c r="AG1204" s="259"/>
      <c r="AH1204" s="261"/>
      <c r="AI1204" s="261"/>
      <c r="AJ1204" s="261"/>
      <c r="AK1204" s="261"/>
      <c r="AL1204" s="261"/>
      <c r="AM1204" s="262"/>
    </row>
    <row r="1205" spans="1:39" x14ac:dyDescent="0.25">
      <c r="A1205" s="215"/>
      <c r="B1205" s="215"/>
      <c r="C1205" s="215"/>
      <c r="D1205" s="239"/>
      <c r="E1205" s="239"/>
      <c r="F1205" s="239"/>
      <c r="G1205" s="239"/>
      <c r="H1205" s="239"/>
      <c r="I1205" s="257"/>
      <c r="J1205" s="240"/>
      <c r="K1205" s="240"/>
      <c r="L1205" s="240"/>
      <c r="M1205" s="240"/>
      <c r="N1205" s="240"/>
      <c r="O1205" s="258"/>
      <c r="P1205" s="224"/>
      <c r="Q1205" s="224"/>
      <c r="R1205" s="224"/>
      <c r="S1205" s="224"/>
      <c r="T1205" s="224"/>
      <c r="U1205" s="259"/>
      <c r="V1205" s="239"/>
      <c r="W1205" s="239"/>
      <c r="X1205" s="239"/>
      <c r="Y1205" s="239"/>
      <c r="Z1205" s="239"/>
      <c r="AA1205" s="257"/>
      <c r="AB1205" s="224"/>
      <c r="AC1205" s="224"/>
      <c r="AD1205" s="224"/>
      <c r="AE1205" s="224"/>
      <c r="AF1205" s="224"/>
      <c r="AG1205" s="259"/>
      <c r="AH1205" s="261"/>
      <c r="AI1205" s="261"/>
      <c r="AJ1205" s="261"/>
      <c r="AK1205" s="261"/>
      <c r="AL1205" s="261"/>
      <c r="AM1205" s="262"/>
    </row>
    <row r="1206" spans="1:39" x14ac:dyDescent="0.25">
      <c r="A1206" s="215"/>
      <c r="B1206" s="215"/>
      <c r="C1206" s="215"/>
      <c r="D1206" s="239"/>
      <c r="E1206" s="239"/>
      <c r="F1206" s="239"/>
      <c r="G1206" s="239"/>
      <c r="H1206" s="239"/>
      <c r="I1206" s="257"/>
      <c r="J1206" s="240"/>
      <c r="K1206" s="240"/>
      <c r="L1206" s="240"/>
      <c r="M1206" s="240"/>
      <c r="N1206" s="240"/>
      <c r="O1206" s="258"/>
      <c r="P1206" s="224"/>
      <c r="Q1206" s="224"/>
      <c r="R1206" s="224"/>
      <c r="S1206" s="224"/>
      <c r="T1206" s="224"/>
      <c r="U1206" s="259"/>
      <c r="V1206" s="239"/>
      <c r="W1206" s="239"/>
      <c r="X1206" s="239"/>
      <c r="Y1206" s="239"/>
      <c r="Z1206" s="239"/>
      <c r="AA1206" s="257"/>
      <c r="AB1206" s="224"/>
      <c r="AC1206" s="224"/>
      <c r="AD1206" s="224"/>
      <c r="AE1206" s="224"/>
      <c r="AF1206" s="224"/>
      <c r="AG1206" s="259"/>
      <c r="AH1206" s="261"/>
      <c r="AI1206" s="261"/>
      <c r="AJ1206" s="261"/>
      <c r="AK1206" s="261"/>
      <c r="AL1206" s="261"/>
      <c r="AM1206" s="262"/>
    </row>
    <row r="1207" spans="1:39" x14ac:dyDescent="0.25">
      <c r="A1207" s="215"/>
      <c r="B1207" s="215"/>
      <c r="C1207" s="215"/>
      <c r="D1207" s="239"/>
      <c r="E1207" s="239"/>
      <c r="F1207" s="239"/>
      <c r="G1207" s="239"/>
      <c r="H1207" s="239"/>
      <c r="I1207" s="257"/>
      <c r="J1207" s="240"/>
      <c r="K1207" s="240"/>
      <c r="L1207" s="240"/>
      <c r="M1207" s="240"/>
      <c r="N1207" s="240"/>
      <c r="O1207" s="258"/>
      <c r="P1207" s="224"/>
      <c r="Q1207" s="224"/>
      <c r="R1207" s="224"/>
      <c r="S1207" s="224"/>
      <c r="T1207" s="224"/>
      <c r="U1207" s="259"/>
      <c r="V1207" s="239"/>
      <c r="W1207" s="239"/>
      <c r="X1207" s="239"/>
      <c r="Y1207" s="239"/>
      <c r="Z1207" s="239"/>
      <c r="AA1207" s="257"/>
      <c r="AB1207" s="224"/>
      <c r="AC1207" s="224"/>
      <c r="AD1207" s="224"/>
      <c r="AE1207" s="224"/>
      <c r="AF1207" s="224"/>
      <c r="AG1207" s="259"/>
      <c r="AH1207" s="261"/>
      <c r="AI1207" s="261"/>
      <c r="AJ1207" s="261"/>
      <c r="AK1207" s="261"/>
      <c r="AL1207" s="261"/>
      <c r="AM1207" s="262"/>
    </row>
    <row r="1208" spans="1:39" x14ac:dyDescent="0.25">
      <c r="A1208" s="215"/>
      <c r="B1208" s="215"/>
      <c r="C1208" s="215"/>
      <c r="D1208" s="239"/>
      <c r="E1208" s="239"/>
      <c r="F1208" s="239"/>
      <c r="G1208" s="239"/>
      <c r="H1208" s="239"/>
      <c r="I1208" s="257"/>
      <c r="J1208" s="240"/>
      <c r="K1208" s="240"/>
      <c r="L1208" s="240"/>
      <c r="M1208" s="240"/>
      <c r="N1208" s="240"/>
      <c r="O1208" s="258"/>
      <c r="P1208" s="224"/>
      <c r="Q1208" s="224"/>
      <c r="R1208" s="224"/>
      <c r="S1208" s="224"/>
      <c r="T1208" s="224"/>
      <c r="U1208" s="259"/>
      <c r="V1208" s="239"/>
      <c r="W1208" s="239"/>
      <c r="X1208" s="239"/>
      <c r="Y1208" s="239"/>
      <c r="Z1208" s="239"/>
      <c r="AA1208" s="257"/>
      <c r="AB1208" s="224"/>
      <c r="AC1208" s="224"/>
      <c r="AD1208" s="224"/>
      <c r="AE1208" s="224"/>
      <c r="AF1208" s="224"/>
      <c r="AG1208" s="259"/>
      <c r="AH1208" s="261"/>
      <c r="AI1208" s="261"/>
      <c r="AJ1208" s="261"/>
      <c r="AK1208" s="261"/>
      <c r="AL1208" s="261"/>
      <c r="AM1208" s="262"/>
    </row>
    <row r="1209" spans="1:39" x14ac:dyDescent="0.25">
      <c r="A1209" s="215"/>
      <c r="B1209" s="215"/>
      <c r="C1209" s="215"/>
      <c r="D1209" s="239"/>
      <c r="E1209" s="239"/>
      <c r="F1209" s="239"/>
      <c r="G1209" s="239"/>
      <c r="H1209" s="239"/>
      <c r="I1209" s="257"/>
      <c r="J1209" s="240"/>
      <c r="K1209" s="240"/>
      <c r="L1209" s="240"/>
      <c r="M1209" s="240"/>
      <c r="N1209" s="240"/>
      <c r="O1209" s="258"/>
      <c r="P1209" s="224"/>
      <c r="Q1209" s="224"/>
      <c r="R1209" s="224"/>
      <c r="S1209" s="224"/>
      <c r="T1209" s="224"/>
      <c r="U1209" s="259"/>
      <c r="V1209" s="239"/>
      <c r="W1209" s="239"/>
      <c r="X1209" s="239"/>
      <c r="Y1209" s="239"/>
      <c r="Z1209" s="239"/>
      <c r="AA1209" s="257"/>
      <c r="AB1209" s="224"/>
      <c r="AC1209" s="224"/>
      <c r="AD1209" s="224"/>
      <c r="AE1209" s="224"/>
      <c r="AF1209" s="224"/>
      <c r="AG1209" s="259"/>
      <c r="AH1209" s="261"/>
      <c r="AI1209" s="261"/>
      <c r="AJ1209" s="261"/>
      <c r="AK1209" s="261"/>
      <c r="AL1209" s="261"/>
      <c r="AM1209" s="262"/>
    </row>
    <row r="1210" spans="1:39" x14ac:dyDescent="0.25">
      <c r="A1210" s="215"/>
      <c r="B1210" s="215"/>
      <c r="C1210" s="215"/>
      <c r="D1210" s="239"/>
      <c r="E1210" s="239"/>
      <c r="F1210" s="239"/>
      <c r="G1210" s="239"/>
      <c r="H1210" s="239"/>
      <c r="I1210" s="257"/>
      <c r="J1210" s="240"/>
      <c r="K1210" s="240"/>
      <c r="L1210" s="240"/>
      <c r="M1210" s="240"/>
      <c r="N1210" s="240"/>
      <c r="O1210" s="258"/>
      <c r="P1210" s="224"/>
      <c r="Q1210" s="224"/>
      <c r="R1210" s="224"/>
      <c r="S1210" s="224"/>
      <c r="T1210" s="224"/>
      <c r="U1210" s="259"/>
      <c r="V1210" s="239"/>
      <c r="W1210" s="239"/>
      <c r="X1210" s="239"/>
      <c r="Y1210" s="239"/>
      <c r="Z1210" s="239"/>
      <c r="AA1210" s="257"/>
      <c r="AB1210" s="224"/>
      <c r="AC1210" s="224"/>
      <c r="AD1210" s="224"/>
      <c r="AE1210" s="224"/>
      <c r="AF1210" s="224"/>
      <c r="AG1210" s="259"/>
      <c r="AH1210" s="261"/>
      <c r="AI1210" s="261"/>
      <c r="AJ1210" s="261"/>
      <c r="AK1210" s="261"/>
      <c r="AL1210" s="261"/>
      <c r="AM1210" s="262"/>
    </row>
    <row r="1211" spans="1:39" x14ac:dyDescent="0.25">
      <c r="A1211" s="215"/>
      <c r="B1211" s="215"/>
      <c r="C1211" s="215"/>
      <c r="D1211" s="239"/>
      <c r="E1211" s="239"/>
      <c r="F1211" s="239"/>
      <c r="G1211" s="239"/>
      <c r="H1211" s="239"/>
      <c r="I1211" s="257"/>
      <c r="J1211" s="240"/>
      <c r="K1211" s="240"/>
      <c r="L1211" s="240"/>
      <c r="M1211" s="240"/>
      <c r="N1211" s="240"/>
      <c r="O1211" s="258"/>
      <c r="P1211" s="224"/>
      <c r="Q1211" s="224"/>
      <c r="R1211" s="224"/>
      <c r="S1211" s="224"/>
      <c r="T1211" s="224"/>
      <c r="U1211" s="259"/>
      <c r="V1211" s="239"/>
      <c r="W1211" s="239"/>
      <c r="X1211" s="239"/>
      <c r="Y1211" s="239"/>
      <c r="Z1211" s="239"/>
      <c r="AA1211" s="257"/>
      <c r="AB1211" s="224"/>
      <c r="AC1211" s="224"/>
      <c r="AD1211" s="224"/>
      <c r="AE1211" s="224"/>
      <c r="AF1211" s="224"/>
      <c r="AG1211" s="259"/>
      <c r="AH1211" s="261"/>
      <c r="AI1211" s="261"/>
      <c r="AJ1211" s="261"/>
      <c r="AK1211" s="261"/>
      <c r="AL1211" s="261"/>
      <c r="AM1211" s="262"/>
    </row>
    <row r="1212" spans="1:39" x14ac:dyDescent="0.25">
      <c r="A1212" s="215"/>
      <c r="B1212" s="215"/>
      <c r="C1212" s="215"/>
      <c r="D1212" s="239"/>
      <c r="E1212" s="239"/>
      <c r="F1212" s="239"/>
      <c r="G1212" s="239"/>
      <c r="H1212" s="239"/>
      <c r="I1212" s="257"/>
      <c r="J1212" s="240"/>
      <c r="K1212" s="240"/>
      <c r="L1212" s="240"/>
      <c r="M1212" s="240"/>
      <c r="N1212" s="240"/>
      <c r="O1212" s="258"/>
      <c r="P1212" s="224"/>
      <c r="Q1212" s="224"/>
      <c r="R1212" s="224"/>
      <c r="S1212" s="224"/>
      <c r="T1212" s="224"/>
      <c r="U1212" s="259"/>
      <c r="V1212" s="239"/>
      <c r="W1212" s="239"/>
      <c r="X1212" s="239"/>
      <c r="Y1212" s="239"/>
      <c r="Z1212" s="239"/>
      <c r="AA1212" s="257"/>
      <c r="AB1212" s="224"/>
      <c r="AC1212" s="224"/>
      <c r="AD1212" s="224"/>
      <c r="AE1212" s="224"/>
      <c r="AF1212" s="224"/>
      <c r="AG1212" s="259"/>
      <c r="AH1212" s="261"/>
      <c r="AI1212" s="261"/>
      <c r="AJ1212" s="261"/>
      <c r="AK1212" s="261"/>
      <c r="AL1212" s="261"/>
      <c r="AM1212" s="262"/>
    </row>
    <row r="1213" spans="1:39" x14ac:dyDescent="0.25">
      <c r="A1213" s="215"/>
      <c r="B1213" s="215"/>
      <c r="C1213" s="215"/>
      <c r="D1213" s="239"/>
      <c r="E1213" s="239"/>
      <c r="F1213" s="239"/>
      <c r="G1213" s="239"/>
      <c r="H1213" s="239"/>
      <c r="I1213" s="257"/>
      <c r="J1213" s="240"/>
      <c r="K1213" s="240"/>
      <c r="L1213" s="240"/>
      <c r="M1213" s="240"/>
      <c r="N1213" s="240"/>
      <c r="O1213" s="258"/>
      <c r="P1213" s="224"/>
      <c r="Q1213" s="224"/>
      <c r="R1213" s="224"/>
      <c r="S1213" s="224"/>
      <c r="T1213" s="224"/>
      <c r="U1213" s="259"/>
      <c r="V1213" s="239"/>
      <c r="W1213" s="239"/>
      <c r="X1213" s="239"/>
      <c r="Y1213" s="239"/>
      <c r="Z1213" s="239"/>
      <c r="AA1213" s="257"/>
      <c r="AB1213" s="224"/>
      <c r="AC1213" s="224"/>
      <c r="AD1213" s="224"/>
      <c r="AE1213" s="224"/>
      <c r="AF1213" s="224"/>
      <c r="AG1213" s="259"/>
      <c r="AH1213" s="261"/>
      <c r="AI1213" s="261"/>
      <c r="AJ1213" s="261"/>
      <c r="AK1213" s="261"/>
      <c r="AL1213" s="261"/>
      <c r="AM1213" s="262"/>
    </row>
    <row r="1214" spans="1:39" x14ac:dyDescent="0.25">
      <c r="A1214" s="215"/>
      <c r="B1214" s="215"/>
      <c r="C1214" s="215"/>
      <c r="D1214" s="239"/>
      <c r="E1214" s="239"/>
      <c r="F1214" s="239"/>
      <c r="G1214" s="239"/>
      <c r="H1214" s="239"/>
      <c r="I1214" s="257"/>
      <c r="J1214" s="240"/>
      <c r="K1214" s="240"/>
      <c r="L1214" s="240"/>
      <c r="M1214" s="240"/>
      <c r="N1214" s="240"/>
      <c r="O1214" s="258"/>
      <c r="P1214" s="224"/>
      <c r="Q1214" s="224"/>
      <c r="R1214" s="224"/>
      <c r="S1214" s="224"/>
      <c r="T1214" s="224"/>
      <c r="U1214" s="259"/>
      <c r="V1214" s="239"/>
      <c r="W1214" s="239"/>
      <c r="X1214" s="239"/>
      <c r="Y1214" s="239"/>
      <c r="Z1214" s="239"/>
      <c r="AA1214" s="257"/>
      <c r="AB1214" s="224"/>
      <c r="AC1214" s="224"/>
      <c r="AD1214" s="224"/>
      <c r="AE1214" s="224"/>
      <c r="AF1214" s="224"/>
      <c r="AG1214" s="259"/>
      <c r="AH1214" s="261"/>
      <c r="AI1214" s="261"/>
      <c r="AJ1214" s="261"/>
      <c r="AK1214" s="261"/>
      <c r="AL1214" s="261"/>
      <c r="AM1214" s="262"/>
    </row>
    <row r="1215" spans="1:39" x14ac:dyDescent="0.25">
      <c r="A1215" s="215"/>
      <c r="B1215" s="215"/>
      <c r="C1215" s="215"/>
      <c r="D1215" s="239"/>
      <c r="E1215" s="239"/>
      <c r="F1215" s="239"/>
      <c r="G1215" s="239"/>
      <c r="H1215" s="239"/>
      <c r="I1215" s="257"/>
      <c r="J1215" s="240"/>
      <c r="K1215" s="240"/>
      <c r="L1215" s="240"/>
      <c r="M1215" s="240"/>
      <c r="N1215" s="240"/>
      <c r="O1215" s="258"/>
      <c r="P1215" s="224"/>
      <c r="Q1215" s="224"/>
      <c r="R1215" s="224"/>
      <c r="S1215" s="224"/>
      <c r="T1215" s="224"/>
      <c r="U1215" s="259"/>
      <c r="V1215" s="239"/>
      <c r="W1215" s="239"/>
      <c r="X1215" s="239"/>
      <c r="Y1215" s="239"/>
      <c r="Z1215" s="239"/>
      <c r="AA1215" s="257"/>
      <c r="AB1215" s="224"/>
      <c r="AC1215" s="224"/>
      <c r="AD1215" s="224"/>
      <c r="AE1215" s="224"/>
      <c r="AF1215" s="224"/>
      <c r="AG1215" s="259"/>
      <c r="AH1215" s="261"/>
      <c r="AI1215" s="261"/>
      <c r="AJ1215" s="261"/>
      <c r="AK1215" s="261"/>
      <c r="AL1215" s="261"/>
      <c r="AM1215" s="262"/>
    </row>
    <row r="1216" spans="1:39" x14ac:dyDescent="0.25">
      <c r="A1216" s="215"/>
      <c r="B1216" s="215"/>
      <c r="C1216" s="215"/>
      <c r="D1216" s="239"/>
      <c r="E1216" s="239"/>
      <c r="F1216" s="239"/>
      <c r="G1216" s="239"/>
      <c r="H1216" s="239"/>
      <c r="I1216" s="257"/>
      <c r="J1216" s="240"/>
      <c r="K1216" s="240"/>
      <c r="L1216" s="240"/>
      <c r="M1216" s="240"/>
      <c r="N1216" s="240"/>
      <c r="O1216" s="258"/>
      <c r="P1216" s="224"/>
      <c r="Q1216" s="224"/>
      <c r="R1216" s="224"/>
      <c r="S1216" s="224"/>
      <c r="T1216" s="224"/>
      <c r="U1216" s="259"/>
      <c r="V1216" s="239"/>
      <c r="W1216" s="239"/>
      <c r="X1216" s="239"/>
      <c r="Y1216" s="239"/>
      <c r="Z1216" s="239"/>
      <c r="AA1216" s="257"/>
      <c r="AB1216" s="224"/>
      <c r="AC1216" s="224"/>
      <c r="AD1216" s="224"/>
      <c r="AE1216" s="224"/>
      <c r="AF1216" s="224"/>
      <c r="AG1216" s="259"/>
      <c r="AH1216" s="261"/>
      <c r="AI1216" s="261"/>
      <c r="AJ1216" s="261"/>
      <c r="AK1216" s="261"/>
      <c r="AL1216" s="261"/>
      <c r="AM1216" s="262"/>
    </row>
    <row r="1217" spans="1:39" x14ac:dyDescent="0.25">
      <c r="A1217" s="215"/>
      <c r="B1217" s="215"/>
      <c r="C1217" s="215"/>
      <c r="D1217" s="239"/>
      <c r="E1217" s="239"/>
      <c r="F1217" s="239"/>
      <c r="G1217" s="239"/>
      <c r="H1217" s="239"/>
      <c r="I1217" s="257"/>
      <c r="J1217" s="240"/>
      <c r="K1217" s="240"/>
      <c r="L1217" s="240"/>
      <c r="M1217" s="240"/>
      <c r="N1217" s="240"/>
      <c r="O1217" s="258"/>
      <c r="P1217" s="224"/>
      <c r="Q1217" s="224"/>
      <c r="R1217" s="224"/>
      <c r="S1217" s="224"/>
      <c r="T1217" s="224"/>
      <c r="U1217" s="259"/>
      <c r="V1217" s="239"/>
      <c r="W1217" s="239"/>
      <c r="X1217" s="239"/>
      <c r="Y1217" s="239"/>
      <c r="Z1217" s="239"/>
      <c r="AA1217" s="257"/>
      <c r="AB1217" s="224"/>
      <c r="AC1217" s="224"/>
      <c r="AD1217" s="224"/>
      <c r="AE1217" s="224"/>
      <c r="AF1217" s="224"/>
      <c r="AG1217" s="259"/>
      <c r="AH1217" s="261"/>
      <c r="AI1217" s="261"/>
      <c r="AJ1217" s="261"/>
      <c r="AK1217" s="261"/>
      <c r="AL1217" s="261"/>
      <c r="AM1217" s="262"/>
    </row>
    <row r="1218" spans="1:39" x14ac:dyDescent="0.25">
      <c r="A1218" s="215"/>
      <c r="B1218" s="215"/>
      <c r="C1218" s="215"/>
      <c r="D1218" s="239"/>
      <c r="E1218" s="239"/>
      <c r="F1218" s="239"/>
      <c r="G1218" s="239"/>
      <c r="H1218" s="239"/>
      <c r="I1218" s="257"/>
      <c r="J1218" s="240"/>
      <c r="K1218" s="240"/>
      <c r="L1218" s="240"/>
      <c r="M1218" s="240"/>
      <c r="N1218" s="240"/>
      <c r="O1218" s="258"/>
      <c r="P1218" s="224"/>
      <c r="Q1218" s="224"/>
      <c r="R1218" s="224"/>
      <c r="S1218" s="224"/>
      <c r="T1218" s="224"/>
      <c r="U1218" s="259"/>
      <c r="V1218" s="239"/>
      <c r="W1218" s="239"/>
      <c r="X1218" s="239"/>
      <c r="Y1218" s="239"/>
      <c r="Z1218" s="239"/>
      <c r="AA1218" s="257"/>
      <c r="AB1218" s="224"/>
      <c r="AC1218" s="224"/>
      <c r="AD1218" s="224"/>
      <c r="AE1218" s="224"/>
      <c r="AF1218" s="224"/>
      <c r="AG1218" s="259"/>
      <c r="AH1218" s="261"/>
      <c r="AI1218" s="261"/>
      <c r="AJ1218" s="261"/>
      <c r="AK1218" s="261"/>
      <c r="AL1218" s="261"/>
      <c r="AM1218" s="262"/>
    </row>
    <row r="1219" spans="1:39" x14ac:dyDescent="0.25">
      <c r="A1219" s="215"/>
      <c r="B1219" s="215"/>
      <c r="C1219" s="215"/>
      <c r="D1219" s="239"/>
      <c r="E1219" s="239"/>
      <c r="F1219" s="239"/>
      <c r="G1219" s="239"/>
      <c r="H1219" s="239"/>
      <c r="I1219" s="257"/>
      <c r="J1219" s="240"/>
      <c r="K1219" s="240"/>
      <c r="L1219" s="240"/>
      <c r="M1219" s="240"/>
      <c r="N1219" s="240"/>
      <c r="O1219" s="258"/>
      <c r="P1219" s="224"/>
      <c r="Q1219" s="224"/>
      <c r="R1219" s="224"/>
      <c r="S1219" s="224"/>
      <c r="T1219" s="224"/>
      <c r="U1219" s="259"/>
      <c r="V1219" s="239"/>
      <c r="W1219" s="239"/>
      <c r="X1219" s="239"/>
      <c r="Y1219" s="239"/>
      <c r="Z1219" s="239"/>
      <c r="AA1219" s="257"/>
      <c r="AB1219" s="224"/>
      <c r="AC1219" s="224"/>
      <c r="AD1219" s="224"/>
      <c r="AE1219" s="224"/>
      <c r="AF1219" s="224"/>
      <c r="AG1219" s="259"/>
      <c r="AH1219" s="261"/>
      <c r="AI1219" s="261"/>
      <c r="AJ1219" s="261"/>
      <c r="AK1219" s="261"/>
      <c r="AL1219" s="261"/>
      <c r="AM1219" s="262"/>
    </row>
    <row r="1220" spans="1:39" x14ac:dyDescent="0.25">
      <c r="A1220" s="215"/>
      <c r="B1220" s="215"/>
      <c r="C1220" s="215"/>
      <c r="D1220" s="239"/>
      <c r="E1220" s="239"/>
      <c r="F1220" s="239"/>
      <c r="G1220" s="239"/>
      <c r="H1220" s="239"/>
      <c r="I1220" s="257"/>
      <c r="J1220" s="240"/>
      <c r="K1220" s="240"/>
      <c r="L1220" s="240"/>
      <c r="M1220" s="240"/>
      <c r="N1220" s="240"/>
      <c r="O1220" s="258"/>
      <c r="P1220" s="224"/>
      <c r="Q1220" s="224"/>
      <c r="R1220" s="224"/>
      <c r="S1220" s="224"/>
      <c r="T1220" s="224"/>
      <c r="U1220" s="259"/>
      <c r="V1220" s="239"/>
      <c r="W1220" s="239"/>
      <c r="X1220" s="239"/>
      <c r="Y1220" s="239"/>
      <c r="Z1220" s="239"/>
      <c r="AA1220" s="257"/>
      <c r="AB1220" s="224"/>
      <c r="AC1220" s="224"/>
      <c r="AD1220" s="224"/>
      <c r="AE1220" s="224"/>
      <c r="AF1220" s="224"/>
      <c r="AG1220" s="259"/>
      <c r="AH1220" s="261"/>
      <c r="AI1220" s="261"/>
      <c r="AJ1220" s="261"/>
      <c r="AK1220" s="261"/>
      <c r="AL1220" s="261"/>
      <c r="AM1220" s="262"/>
    </row>
    <row r="1221" spans="1:39" x14ac:dyDescent="0.25">
      <c r="A1221" s="215"/>
      <c r="B1221" s="215"/>
      <c r="C1221" s="215"/>
      <c r="D1221" s="239"/>
      <c r="E1221" s="239"/>
      <c r="F1221" s="239"/>
      <c r="G1221" s="239"/>
      <c r="H1221" s="239"/>
      <c r="I1221" s="257"/>
      <c r="J1221" s="240"/>
      <c r="K1221" s="240"/>
      <c r="L1221" s="240"/>
      <c r="M1221" s="240"/>
      <c r="N1221" s="240"/>
      <c r="O1221" s="258"/>
      <c r="P1221" s="224"/>
      <c r="Q1221" s="224"/>
      <c r="R1221" s="224"/>
      <c r="S1221" s="224"/>
      <c r="T1221" s="224"/>
      <c r="U1221" s="259"/>
      <c r="V1221" s="239"/>
      <c r="W1221" s="239"/>
      <c r="X1221" s="239"/>
      <c r="Y1221" s="239"/>
      <c r="Z1221" s="239"/>
      <c r="AA1221" s="257"/>
      <c r="AB1221" s="224"/>
      <c r="AC1221" s="224"/>
      <c r="AD1221" s="224"/>
      <c r="AE1221" s="224"/>
      <c r="AF1221" s="224"/>
      <c r="AG1221" s="259"/>
      <c r="AH1221" s="261"/>
      <c r="AI1221" s="261"/>
      <c r="AJ1221" s="261"/>
      <c r="AK1221" s="261"/>
      <c r="AL1221" s="261"/>
      <c r="AM1221" s="262"/>
    </row>
    <row r="1222" spans="1:39" x14ac:dyDescent="0.25">
      <c r="A1222" s="215"/>
      <c r="B1222" s="215"/>
      <c r="C1222" s="215"/>
      <c r="D1222" s="239"/>
      <c r="E1222" s="239"/>
      <c r="F1222" s="239"/>
      <c r="G1222" s="239"/>
      <c r="H1222" s="239"/>
      <c r="I1222" s="257"/>
      <c r="J1222" s="240"/>
      <c r="K1222" s="240"/>
      <c r="L1222" s="240"/>
      <c r="M1222" s="240"/>
      <c r="N1222" s="240"/>
      <c r="O1222" s="258"/>
      <c r="P1222" s="224"/>
      <c r="Q1222" s="224"/>
      <c r="R1222" s="224"/>
      <c r="S1222" s="224"/>
      <c r="T1222" s="224"/>
      <c r="U1222" s="259"/>
      <c r="V1222" s="239"/>
      <c r="W1222" s="239"/>
      <c r="X1222" s="239"/>
      <c r="Y1222" s="239"/>
      <c r="Z1222" s="239"/>
      <c r="AA1222" s="257"/>
      <c r="AB1222" s="224"/>
      <c r="AC1222" s="224"/>
      <c r="AD1222" s="224"/>
      <c r="AE1222" s="224"/>
      <c r="AF1222" s="224"/>
      <c r="AG1222" s="259"/>
      <c r="AH1222" s="261"/>
      <c r="AI1222" s="261"/>
      <c r="AJ1222" s="261"/>
      <c r="AK1222" s="261"/>
      <c r="AL1222" s="261"/>
      <c r="AM1222" s="262"/>
    </row>
    <row r="1223" spans="1:39" x14ac:dyDescent="0.25">
      <c r="A1223" s="215"/>
      <c r="B1223" s="215"/>
      <c r="C1223" s="215"/>
      <c r="D1223" s="239"/>
      <c r="E1223" s="239"/>
      <c r="F1223" s="239"/>
      <c r="G1223" s="239"/>
      <c r="H1223" s="239"/>
      <c r="I1223" s="257"/>
      <c r="J1223" s="240"/>
      <c r="K1223" s="240"/>
      <c r="L1223" s="240"/>
      <c r="M1223" s="240"/>
      <c r="N1223" s="240"/>
      <c r="O1223" s="258"/>
      <c r="P1223" s="224"/>
      <c r="Q1223" s="224"/>
      <c r="R1223" s="224"/>
      <c r="S1223" s="224"/>
      <c r="T1223" s="224"/>
      <c r="U1223" s="259"/>
      <c r="V1223" s="239"/>
      <c r="W1223" s="239"/>
      <c r="X1223" s="239"/>
      <c r="Y1223" s="239"/>
      <c r="Z1223" s="239"/>
      <c r="AA1223" s="257"/>
      <c r="AB1223" s="224"/>
      <c r="AC1223" s="224"/>
      <c r="AD1223" s="224"/>
      <c r="AE1223" s="224"/>
      <c r="AF1223" s="224"/>
      <c r="AG1223" s="259"/>
      <c r="AH1223" s="261"/>
      <c r="AI1223" s="261"/>
      <c r="AJ1223" s="261"/>
      <c r="AK1223" s="261"/>
      <c r="AL1223" s="261"/>
      <c r="AM1223" s="262"/>
    </row>
    <row r="1224" spans="1:39" x14ac:dyDescent="0.25">
      <c r="A1224" s="215"/>
      <c r="B1224" s="215"/>
      <c r="C1224" s="215"/>
      <c r="D1224" s="239"/>
      <c r="E1224" s="239"/>
      <c r="F1224" s="239"/>
      <c r="G1224" s="239"/>
      <c r="H1224" s="239"/>
      <c r="I1224" s="257"/>
      <c r="J1224" s="240"/>
      <c r="K1224" s="240"/>
      <c r="L1224" s="240"/>
      <c r="M1224" s="240"/>
      <c r="N1224" s="240"/>
      <c r="O1224" s="258"/>
      <c r="P1224" s="224"/>
      <c r="Q1224" s="224"/>
      <c r="R1224" s="224"/>
      <c r="S1224" s="224"/>
      <c r="T1224" s="224"/>
      <c r="U1224" s="259"/>
      <c r="V1224" s="239"/>
      <c r="W1224" s="239"/>
      <c r="X1224" s="239"/>
      <c r="Y1224" s="239"/>
      <c r="Z1224" s="239"/>
      <c r="AA1224" s="257"/>
      <c r="AB1224" s="224"/>
      <c r="AC1224" s="224"/>
      <c r="AD1224" s="224"/>
      <c r="AE1224" s="224"/>
      <c r="AF1224" s="224"/>
      <c r="AG1224" s="259"/>
      <c r="AH1224" s="261"/>
      <c r="AI1224" s="261"/>
      <c r="AJ1224" s="261"/>
      <c r="AK1224" s="261"/>
      <c r="AL1224" s="261"/>
      <c r="AM1224" s="262"/>
    </row>
    <row r="1225" spans="1:39" x14ac:dyDescent="0.25">
      <c r="A1225" s="215"/>
      <c r="B1225" s="215"/>
      <c r="C1225" s="215"/>
      <c r="D1225" s="239"/>
      <c r="E1225" s="239"/>
      <c r="F1225" s="239"/>
      <c r="G1225" s="239"/>
      <c r="H1225" s="239"/>
      <c r="I1225" s="257"/>
      <c r="J1225" s="240"/>
      <c r="K1225" s="240"/>
      <c r="L1225" s="240"/>
      <c r="M1225" s="240"/>
      <c r="N1225" s="240"/>
      <c r="O1225" s="258"/>
      <c r="P1225" s="224"/>
      <c r="Q1225" s="224"/>
      <c r="R1225" s="224"/>
      <c r="S1225" s="224"/>
      <c r="T1225" s="224"/>
      <c r="U1225" s="259"/>
      <c r="V1225" s="239"/>
      <c r="W1225" s="239"/>
      <c r="X1225" s="239"/>
      <c r="Y1225" s="239"/>
      <c r="Z1225" s="239"/>
      <c r="AA1225" s="257"/>
      <c r="AB1225" s="224"/>
      <c r="AC1225" s="224"/>
      <c r="AD1225" s="224"/>
      <c r="AE1225" s="224"/>
      <c r="AF1225" s="224"/>
      <c r="AG1225" s="259"/>
      <c r="AH1225" s="261"/>
      <c r="AI1225" s="261"/>
      <c r="AJ1225" s="261"/>
      <c r="AK1225" s="261"/>
      <c r="AL1225" s="261"/>
      <c r="AM1225" s="262"/>
    </row>
    <row r="1226" spans="1:39" x14ac:dyDescent="0.25">
      <c r="A1226" s="215"/>
      <c r="B1226" s="215"/>
      <c r="C1226" s="215"/>
      <c r="D1226" s="239"/>
      <c r="E1226" s="239"/>
      <c r="F1226" s="239"/>
      <c r="G1226" s="239"/>
      <c r="H1226" s="239"/>
      <c r="I1226" s="257"/>
      <c r="J1226" s="240"/>
      <c r="K1226" s="240"/>
      <c r="L1226" s="240"/>
      <c r="M1226" s="240"/>
      <c r="N1226" s="240"/>
      <c r="O1226" s="258"/>
      <c r="P1226" s="224"/>
      <c r="Q1226" s="224"/>
      <c r="R1226" s="224"/>
      <c r="S1226" s="224"/>
      <c r="T1226" s="224"/>
      <c r="U1226" s="259"/>
      <c r="V1226" s="239"/>
      <c r="W1226" s="239"/>
      <c r="X1226" s="239"/>
      <c r="Y1226" s="239"/>
      <c r="Z1226" s="239"/>
      <c r="AA1226" s="257"/>
      <c r="AB1226" s="224"/>
      <c r="AC1226" s="224"/>
      <c r="AD1226" s="224"/>
      <c r="AE1226" s="224"/>
      <c r="AF1226" s="224"/>
      <c r="AG1226" s="259"/>
      <c r="AH1226" s="261"/>
      <c r="AI1226" s="261"/>
      <c r="AJ1226" s="261"/>
      <c r="AK1226" s="261"/>
      <c r="AL1226" s="261"/>
      <c r="AM1226" s="262"/>
    </row>
    <row r="1227" spans="1:39" x14ac:dyDescent="0.25">
      <c r="A1227" s="215"/>
      <c r="B1227" s="215"/>
      <c r="C1227" s="215"/>
      <c r="D1227" s="239"/>
      <c r="E1227" s="239"/>
      <c r="F1227" s="239"/>
      <c r="G1227" s="239"/>
      <c r="H1227" s="239"/>
      <c r="I1227" s="257"/>
      <c r="J1227" s="240"/>
      <c r="K1227" s="240"/>
      <c r="L1227" s="240"/>
      <c r="M1227" s="240"/>
      <c r="N1227" s="240"/>
      <c r="O1227" s="258"/>
      <c r="P1227" s="224"/>
      <c r="Q1227" s="224"/>
      <c r="R1227" s="224"/>
      <c r="S1227" s="224"/>
      <c r="T1227" s="224"/>
      <c r="U1227" s="259"/>
      <c r="V1227" s="239"/>
      <c r="W1227" s="239"/>
      <c r="X1227" s="239"/>
      <c r="Y1227" s="239"/>
      <c r="Z1227" s="239"/>
      <c r="AA1227" s="257"/>
      <c r="AB1227" s="224"/>
      <c r="AC1227" s="224"/>
      <c r="AD1227" s="224"/>
      <c r="AE1227" s="224"/>
      <c r="AF1227" s="224"/>
      <c r="AG1227" s="259"/>
      <c r="AH1227" s="261"/>
      <c r="AI1227" s="261"/>
      <c r="AJ1227" s="261"/>
      <c r="AK1227" s="261"/>
      <c r="AL1227" s="261"/>
      <c r="AM1227" s="262"/>
    </row>
    <row r="1228" spans="1:39" x14ac:dyDescent="0.25">
      <c r="A1228" s="215"/>
      <c r="B1228" s="215"/>
      <c r="C1228" s="215"/>
      <c r="D1228" s="239"/>
      <c r="E1228" s="239"/>
      <c r="F1228" s="239"/>
      <c r="G1228" s="239"/>
      <c r="H1228" s="239"/>
      <c r="I1228" s="257"/>
      <c r="J1228" s="240"/>
      <c r="K1228" s="240"/>
      <c r="L1228" s="240"/>
      <c r="M1228" s="240"/>
      <c r="N1228" s="240"/>
      <c r="O1228" s="258"/>
      <c r="P1228" s="224"/>
      <c r="Q1228" s="224"/>
      <c r="R1228" s="224"/>
      <c r="S1228" s="224"/>
      <c r="T1228" s="224"/>
      <c r="U1228" s="259"/>
      <c r="V1228" s="239"/>
      <c r="W1228" s="239"/>
      <c r="X1228" s="239"/>
      <c r="Y1228" s="239"/>
      <c r="Z1228" s="239"/>
      <c r="AA1228" s="257"/>
      <c r="AB1228" s="224"/>
      <c r="AC1228" s="224"/>
      <c r="AD1228" s="224"/>
      <c r="AE1228" s="224"/>
      <c r="AF1228" s="224"/>
      <c r="AG1228" s="259"/>
      <c r="AH1228" s="261"/>
      <c r="AI1228" s="261"/>
      <c r="AJ1228" s="261"/>
      <c r="AK1228" s="261"/>
      <c r="AL1228" s="261"/>
      <c r="AM1228" s="262"/>
    </row>
    <row r="1229" spans="1:39" x14ac:dyDescent="0.25">
      <c r="A1229" s="215"/>
      <c r="B1229" s="215"/>
      <c r="C1229" s="215"/>
      <c r="D1229" s="239"/>
      <c r="E1229" s="239"/>
      <c r="F1229" s="239"/>
      <c r="G1229" s="239"/>
      <c r="H1229" s="239"/>
      <c r="I1229" s="257"/>
      <c r="J1229" s="240"/>
      <c r="K1229" s="240"/>
      <c r="L1229" s="240"/>
      <c r="M1229" s="240"/>
      <c r="N1229" s="240"/>
      <c r="O1229" s="258"/>
      <c r="P1229" s="224"/>
      <c r="Q1229" s="224"/>
      <c r="R1229" s="224"/>
      <c r="S1229" s="224"/>
      <c r="T1229" s="224"/>
      <c r="U1229" s="259"/>
      <c r="V1229" s="239"/>
      <c r="W1229" s="239"/>
      <c r="X1229" s="239"/>
      <c r="Y1229" s="239"/>
      <c r="Z1229" s="239"/>
      <c r="AA1229" s="257"/>
      <c r="AB1229" s="224"/>
      <c r="AC1229" s="224"/>
      <c r="AD1229" s="224"/>
      <c r="AE1229" s="224"/>
      <c r="AF1229" s="224"/>
      <c r="AG1229" s="259"/>
      <c r="AH1229" s="261"/>
      <c r="AI1229" s="261"/>
      <c r="AJ1229" s="261"/>
      <c r="AK1229" s="261"/>
      <c r="AL1229" s="261"/>
      <c r="AM1229" s="262"/>
    </row>
    <row r="1230" spans="1:39" x14ac:dyDescent="0.25">
      <c r="A1230" s="215"/>
      <c r="B1230" s="215"/>
      <c r="C1230" s="215"/>
      <c r="D1230" s="239"/>
      <c r="E1230" s="239"/>
      <c r="F1230" s="239"/>
      <c r="G1230" s="239"/>
      <c r="H1230" s="239"/>
      <c r="I1230" s="257"/>
      <c r="J1230" s="240"/>
      <c r="K1230" s="240"/>
      <c r="L1230" s="240"/>
      <c r="M1230" s="240"/>
      <c r="N1230" s="240"/>
      <c r="O1230" s="258"/>
      <c r="P1230" s="224"/>
      <c r="Q1230" s="224"/>
      <c r="R1230" s="224"/>
      <c r="S1230" s="224"/>
      <c r="T1230" s="224"/>
      <c r="U1230" s="259"/>
      <c r="V1230" s="239"/>
      <c r="W1230" s="239"/>
      <c r="X1230" s="239"/>
      <c r="Y1230" s="239"/>
      <c r="Z1230" s="239"/>
      <c r="AA1230" s="257"/>
      <c r="AB1230" s="224"/>
      <c r="AC1230" s="224"/>
      <c r="AD1230" s="224"/>
      <c r="AE1230" s="224"/>
      <c r="AF1230" s="224"/>
      <c r="AG1230" s="259"/>
      <c r="AH1230" s="261"/>
      <c r="AI1230" s="261"/>
      <c r="AJ1230" s="261"/>
      <c r="AK1230" s="261"/>
      <c r="AL1230" s="261"/>
      <c r="AM1230" s="262"/>
    </row>
    <row r="1231" spans="1:39" x14ac:dyDescent="0.25">
      <c r="A1231" s="215"/>
      <c r="B1231" s="215"/>
      <c r="C1231" s="215"/>
      <c r="D1231" s="239"/>
      <c r="E1231" s="239"/>
      <c r="F1231" s="239"/>
      <c r="G1231" s="239"/>
      <c r="H1231" s="239"/>
      <c r="I1231" s="257"/>
      <c r="J1231" s="240"/>
      <c r="K1231" s="240"/>
      <c r="L1231" s="240"/>
      <c r="M1231" s="240"/>
      <c r="N1231" s="240"/>
      <c r="O1231" s="258"/>
      <c r="P1231" s="224"/>
      <c r="Q1231" s="224"/>
      <c r="R1231" s="224"/>
      <c r="S1231" s="224"/>
      <c r="T1231" s="224"/>
      <c r="U1231" s="259"/>
      <c r="V1231" s="239"/>
      <c r="W1231" s="239"/>
      <c r="X1231" s="239"/>
      <c r="Y1231" s="239"/>
      <c r="Z1231" s="239"/>
      <c r="AA1231" s="257"/>
      <c r="AB1231" s="224"/>
      <c r="AC1231" s="224"/>
      <c r="AD1231" s="224"/>
      <c r="AE1231" s="224"/>
      <c r="AF1231" s="224"/>
      <c r="AG1231" s="259"/>
      <c r="AH1231" s="261"/>
      <c r="AI1231" s="261"/>
      <c r="AJ1231" s="261"/>
      <c r="AK1231" s="261"/>
      <c r="AL1231" s="261"/>
      <c r="AM1231" s="262"/>
    </row>
    <row r="1232" spans="1:39" x14ac:dyDescent="0.25">
      <c r="A1232" s="215"/>
      <c r="B1232" s="215"/>
      <c r="C1232" s="215"/>
      <c r="D1232" s="239"/>
      <c r="E1232" s="239"/>
      <c r="F1232" s="239"/>
      <c r="G1232" s="239"/>
      <c r="H1232" s="239"/>
      <c r="I1232" s="257"/>
      <c r="J1232" s="240"/>
      <c r="K1232" s="240"/>
      <c r="L1232" s="240"/>
      <c r="M1232" s="240"/>
      <c r="N1232" s="240"/>
      <c r="O1232" s="258"/>
      <c r="P1232" s="224"/>
      <c r="Q1232" s="224"/>
      <c r="R1232" s="224"/>
      <c r="S1232" s="224"/>
      <c r="T1232" s="224"/>
      <c r="U1232" s="259"/>
      <c r="V1232" s="239"/>
      <c r="W1232" s="239"/>
      <c r="X1232" s="239"/>
      <c r="Y1232" s="239"/>
      <c r="Z1232" s="239"/>
      <c r="AA1232" s="257"/>
      <c r="AB1232" s="224"/>
      <c r="AC1232" s="224"/>
      <c r="AD1232" s="224"/>
      <c r="AE1232" s="224"/>
      <c r="AF1232" s="224"/>
      <c r="AG1232" s="259"/>
      <c r="AH1232" s="261"/>
      <c r="AI1232" s="261"/>
      <c r="AJ1232" s="261"/>
      <c r="AK1232" s="261"/>
      <c r="AL1232" s="261"/>
      <c r="AM1232" s="262"/>
    </row>
    <row r="1233" spans="1:39" x14ac:dyDescent="0.25">
      <c r="A1233" s="215"/>
      <c r="B1233" s="215"/>
      <c r="C1233" s="215"/>
      <c r="D1233" s="239"/>
      <c r="E1233" s="239"/>
      <c r="F1233" s="239"/>
      <c r="G1233" s="239"/>
      <c r="H1233" s="239"/>
      <c r="I1233" s="257"/>
      <c r="J1233" s="240"/>
      <c r="K1233" s="240"/>
      <c r="L1233" s="240"/>
      <c r="M1233" s="240"/>
      <c r="N1233" s="240"/>
      <c r="O1233" s="258"/>
      <c r="P1233" s="224"/>
      <c r="Q1233" s="224"/>
      <c r="R1233" s="224"/>
      <c r="S1233" s="224"/>
      <c r="T1233" s="224"/>
      <c r="U1233" s="259"/>
      <c r="V1233" s="239"/>
      <c r="W1233" s="239"/>
      <c r="X1233" s="239"/>
      <c r="Y1233" s="239"/>
      <c r="Z1233" s="239"/>
      <c r="AA1233" s="257"/>
      <c r="AB1233" s="224"/>
      <c r="AC1233" s="224"/>
      <c r="AD1233" s="224"/>
      <c r="AE1233" s="224"/>
      <c r="AF1233" s="224"/>
      <c r="AG1233" s="259"/>
      <c r="AH1233" s="261"/>
      <c r="AI1233" s="261"/>
      <c r="AJ1233" s="261"/>
      <c r="AK1233" s="261"/>
      <c r="AL1233" s="261"/>
      <c r="AM1233" s="262"/>
    </row>
    <row r="1234" spans="1:39" x14ac:dyDescent="0.25">
      <c r="A1234" s="215"/>
      <c r="B1234" s="215"/>
      <c r="C1234" s="215"/>
      <c r="D1234" s="239"/>
      <c r="E1234" s="239"/>
      <c r="F1234" s="239"/>
      <c r="G1234" s="239"/>
      <c r="H1234" s="239"/>
      <c r="I1234" s="257"/>
      <c r="J1234" s="240"/>
      <c r="K1234" s="240"/>
      <c r="L1234" s="240"/>
      <c r="M1234" s="240"/>
      <c r="N1234" s="240"/>
      <c r="O1234" s="258"/>
      <c r="P1234" s="224"/>
      <c r="Q1234" s="224"/>
      <c r="R1234" s="224"/>
      <c r="S1234" s="224"/>
      <c r="T1234" s="224"/>
      <c r="U1234" s="259"/>
      <c r="V1234" s="239"/>
      <c r="W1234" s="239"/>
      <c r="X1234" s="239"/>
      <c r="Y1234" s="239"/>
      <c r="Z1234" s="239"/>
      <c r="AA1234" s="257"/>
      <c r="AB1234" s="224"/>
      <c r="AC1234" s="224"/>
      <c r="AD1234" s="224"/>
      <c r="AE1234" s="224"/>
      <c r="AF1234" s="224"/>
      <c r="AG1234" s="259"/>
      <c r="AH1234" s="261"/>
      <c r="AI1234" s="261"/>
      <c r="AJ1234" s="261"/>
      <c r="AK1234" s="261"/>
      <c r="AL1234" s="261"/>
      <c r="AM1234" s="262"/>
    </row>
    <row r="1235" spans="1:39" x14ac:dyDescent="0.25">
      <c r="A1235" s="215"/>
      <c r="B1235" s="215"/>
      <c r="C1235" s="215"/>
      <c r="D1235" s="239"/>
      <c r="E1235" s="239"/>
      <c r="F1235" s="239"/>
      <c r="G1235" s="239"/>
      <c r="H1235" s="239"/>
      <c r="I1235" s="257"/>
      <c r="J1235" s="240"/>
      <c r="K1235" s="240"/>
      <c r="L1235" s="240"/>
      <c r="M1235" s="240"/>
      <c r="N1235" s="240"/>
      <c r="O1235" s="258"/>
      <c r="P1235" s="224"/>
      <c r="Q1235" s="224"/>
      <c r="R1235" s="224"/>
      <c r="S1235" s="224"/>
      <c r="T1235" s="224"/>
      <c r="U1235" s="259"/>
      <c r="V1235" s="239"/>
      <c r="W1235" s="239"/>
      <c r="X1235" s="239"/>
      <c r="Y1235" s="239"/>
      <c r="Z1235" s="239"/>
      <c r="AA1235" s="257"/>
      <c r="AB1235" s="224"/>
      <c r="AC1235" s="224"/>
      <c r="AD1235" s="224"/>
      <c r="AE1235" s="224"/>
      <c r="AF1235" s="224"/>
      <c r="AG1235" s="259"/>
      <c r="AH1235" s="261"/>
      <c r="AI1235" s="261"/>
      <c r="AJ1235" s="261"/>
      <c r="AK1235" s="261"/>
      <c r="AL1235" s="261"/>
      <c r="AM1235" s="262"/>
    </row>
    <row r="1236" spans="1:39" x14ac:dyDescent="0.25">
      <c r="A1236" s="215"/>
      <c r="B1236" s="215"/>
      <c r="C1236" s="215"/>
      <c r="D1236" s="239"/>
      <c r="E1236" s="239"/>
      <c r="F1236" s="239"/>
      <c r="G1236" s="239"/>
      <c r="H1236" s="239"/>
      <c r="I1236" s="257"/>
      <c r="J1236" s="240"/>
      <c r="K1236" s="240"/>
      <c r="L1236" s="240"/>
      <c r="M1236" s="240"/>
      <c r="N1236" s="240"/>
      <c r="O1236" s="258"/>
      <c r="P1236" s="224"/>
      <c r="Q1236" s="224"/>
      <c r="R1236" s="224"/>
      <c r="S1236" s="224"/>
      <c r="T1236" s="224"/>
      <c r="U1236" s="259"/>
      <c r="V1236" s="239"/>
      <c r="W1236" s="239"/>
      <c r="X1236" s="239"/>
      <c r="Y1236" s="239"/>
      <c r="Z1236" s="239"/>
      <c r="AA1236" s="257"/>
      <c r="AB1236" s="224"/>
      <c r="AC1236" s="224"/>
      <c r="AD1236" s="224"/>
      <c r="AE1236" s="224"/>
      <c r="AF1236" s="224"/>
      <c r="AG1236" s="259"/>
      <c r="AH1236" s="261"/>
      <c r="AI1236" s="261"/>
      <c r="AJ1236" s="261"/>
      <c r="AK1236" s="261"/>
      <c r="AL1236" s="261"/>
      <c r="AM1236" s="262"/>
    </row>
    <row r="1237" spans="1:39" x14ac:dyDescent="0.25">
      <c r="A1237" s="215"/>
      <c r="B1237" s="215"/>
      <c r="C1237" s="215"/>
      <c r="D1237" s="239"/>
      <c r="E1237" s="239"/>
      <c r="F1237" s="239"/>
      <c r="G1237" s="239"/>
      <c r="H1237" s="239"/>
      <c r="I1237" s="257"/>
      <c r="J1237" s="240"/>
      <c r="K1237" s="240"/>
      <c r="L1237" s="240"/>
      <c r="M1237" s="240"/>
      <c r="N1237" s="240"/>
      <c r="O1237" s="258"/>
      <c r="P1237" s="224"/>
      <c r="Q1237" s="224"/>
      <c r="R1237" s="224"/>
      <c r="S1237" s="224"/>
      <c r="T1237" s="224"/>
      <c r="U1237" s="259"/>
      <c r="V1237" s="239"/>
      <c r="W1237" s="239"/>
      <c r="X1237" s="239"/>
      <c r="Y1237" s="239"/>
      <c r="Z1237" s="239"/>
      <c r="AA1237" s="257"/>
      <c r="AB1237" s="224"/>
      <c r="AC1237" s="224"/>
      <c r="AD1237" s="224"/>
      <c r="AE1237" s="224"/>
      <c r="AF1237" s="224"/>
      <c r="AG1237" s="259"/>
      <c r="AH1237" s="261"/>
      <c r="AI1237" s="261"/>
      <c r="AJ1237" s="261"/>
      <c r="AK1237" s="261"/>
      <c r="AL1237" s="261"/>
      <c r="AM1237" s="262"/>
    </row>
    <row r="1238" spans="1:39" x14ac:dyDescent="0.25">
      <c r="A1238" s="215"/>
      <c r="B1238" s="215"/>
      <c r="C1238" s="215"/>
      <c r="D1238" s="239"/>
      <c r="E1238" s="239"/>
      <c r="F1238" s="239"/>
      <c r="G1238" s="239"/>
      <c r="H1238" s="239"/>
      <c r="I1238" s="257"/>
      <c r="J1238" s="240"/>
      <c r="K1238" s="240"/>
      <c r="L1238" s="240"/>
      <c r="M1238" s="240"/>
      <c r="N1238" s="240"/>
      <c r="O1238" s="258"/>
      <c r="P1238" s="224"/>
      <c r="Q1238" s="224"/>
      <c r="R1238" s="224"/>
      <c r="S1238" s="224"/>
      <c r="T1238" s="224"/>
      <c r="U1238" s="259"/>
      <c r="V1238" s="239"/>
      <c r="W1238" s="239"/>
      <c r="X1238" s="239"/>
      <c r="Y1238" s="239"/>
      <c r="Z1238" s="239"/>
      <c r="AA1238" s="257"/>
      <c r="AB1238" s="224"/>
      <c r="AC1238" s="224"/>
      <c r="AD1238" s="224"/>
      <c r="AE1238" s="224"/>
      <c r="AF1238" s="224"/>
      <c r="AG1238" s="259"/>
      <c r="AH1238" s="261"/>
      <c r="AI1238" s="261"/>
      <c r="AJ1238" s="261"/>
      <c r="AK1238" s="261"/>
      <c r="AL1238" s="261"/>
      <c r="AM1238" s="262"/>
    </row>
    <row r="1239" spans="1:39" x14ac:dyDescent="0.25">
      <c r="A1239" s="215"/>
      <c r="B1239" s="215"/>
      <c r="C1239" s="215"/>
      <c r="D1239" s="239"/>
      <c r="E1239" s="239"/>
      <c r="F1239" s="239"/>
      <c r="G1239" s="239"/>
      <c r="H1239" s="239"/>
      <c r="I1239" s="257"/>
      <c r="J1239" s="240"/>
      <c r="K1239" s="240"/>
      <c r="L1239" s="240"/>
      <c r="M1239" s="240"/>
      <c r="N1239" s="240"/>
      <c r="O1239" s="258"/>
      <c r="P1239" s="224"/>
      <c r="Q1239" s="224"/>
      <c r="R1239" s="224"/>
      <c r="S1239" s="224"/>
      <c r="T1239" s="224"/>
      <c r="U1239" s="259"/>
      <c r="V1239" s="239"/>
      <c r="W1239" s="239"/>
      <c r="X1239" s="239"/>
      <c r="Y1239" s="239"/>
      <c r="Z1239" s="239"/>
      <c r="AA1239" s="257"/>
      <c r="AB1239" s="224"/>
      <c r="AC1239" s="224"/>
      <c r="AD1239" s="224"/>
      <c r="AE1239" s="224"/>
      <c r="AF1239" s="224"/>
      <c r="AG1239" s="259"/>
      <c r="AH1239" s="261"/>
      <c r="AI1239" s="261"/>
      <c r="AJ1239" s="261"/>
      <c r="AK1239" s="261"/>
      <c r="AL1239" s="261"/>
      <c r="AM1239" s="262"/>
    </row>
    <row r="1240" spans="1:39" x14ac:dyDescent="0.25">
      <c r="A1240" s="215"/>
      <c r="B1240" s="215"/>
      <c r="C1240" s="215"/>
      <c r="D1240" s="239"/>
      <c r="E1240" s="239"/>
      <c r="F1240" s="239"/>
      <c r="G1240" s="239"/>
      <c r="H1240" s="239"/>
      <c r="I1240" s="257"/>
      <c r="J1240" s="240"/>
      <c r="K1240" s="240"/>
      <c r="L1240" s="240"/>
      <c r="M1240" s="240"/>
      <c r="N1240" s="240"/>
      <c r="O1240" s="258"/>
      <c r="P1240" s="224"/>
      <c r="Q1240" s="224"/>
      <c r="R1240" s="224"/>
      <c r="S1240" s="224"/>
      <c r="T1240" s="224"/>
      <c r="U1240" s="259"/>
      <c r="V1240" s="239"/>
      <c r="W1240" s="239"/>
      <c r="X1240" s="239"/>
      <c r="Y1240" s="239"/>
      <c r="Z1240" s="239"/>
      <c r="AA1240" s="257"/>
      <c r="AB1240" s="224"/>
      <c r="AC1240" s="224"/>
      <c r="AD1240" s="224"/>
      <c r="AE1240" s="224"/>
      <c r="AF1240" s="224"/>
      <c r="AG1240" s="259"/>
      <c r="AH1240" s="261"/>
      <c r="AI1240" s="261"/>
      <c r="AJ1240" s="261"/>
      <c r="AK1240" s="261"/>
      <c r="AL1240" s="261"/>
      <c r="AM1240" s="262"/>
    </row>
    <row r="1241" spans="1:39" x14ac:dyDescent="0.25">
      <c r="A1241" s="215"/>
      <c r="B1241" s="215"/>
      <c r="C1241" s="215"/>
      <c r="D1241" s="239"/>
      <c r="E1241" s="239"/>
      <c r="F1241" s="239"/>
      <c r="G1241" s="239"/>
      <c r="H1241" s="239"/>
      <c r="I1241" s="257"/>
      <c r="J1241" s="240"/>
      <c r="K1241" s="240"/>
      <c r="L1241" s="240"/>
      <c r="M1241" s="240"/>
      <c r="N1241" s="240"/>
      <c r="O1241" s="258"/>
      <c r="P1241" s="224"/>
      <c r="Q1241" s="224"/>
      <c r="R1241" s="224"/>
      <c r="S1241" s="224"/>
      <c r="T1241" s="224"/>
      <c r="U1241" s="259"/>
      <c r="V1241" s="239"/>
      <c r="W1241" s="239"/>
      <c r="X1241" s="239"/>
      <c r="Y1241" s="239"/>
      <c r="Z1241" s="239"/>
      <c r="AA1241" s="257"/>
      <c r="AB1241" s="224"/>
      <c r="AC1241" s="224"/>
      <c r="AD1241" s="224"/>
      <c r="AE1241" s="224"/>
      <c r="AF1241" s="224"/>
      <c r="AG1241" s="259"/>
      <c r="AH1241" s="261"/>
      <c r="AI1241" s="261"/>
      <c r="AJ1241" s="261"/>
      <c r="AK1241" s="261"/>
      <c r="AL1241" s="261"/>
      <c r="AM1241" s="262"/>
    </row>
    <row r="1242" spans="1:39" x14ac:dyDescent="0.25">
      <c r="A1242" s="215"/>
      <c r="B1242" s="215"/>
      <c r="C1242" s="215"/>
      <c r="D1242" s="239"/>
      <c r="E1242" s="239"/>
      <c r="F1242" s="239"/>
      <c r="G1242" s="239"/>
      <c r="H1242" s="239"/>
      <c r="I1242" s="257"/>
      <c r="J1242" s="240"/>
      <c r="K1242" s="240"/>
      <c r="L1242" s="240"/>
      <c r="M1242" s="240"/>
      <c r="N1242" s="240"/>
      <c r="O1242" s="258"/>
      <c r="P1242" s="224"/>
      <c r="Q1242" s="224"/>
      <c r="R1242" s="224"/>
      <c r="S1242" s="224"/>
      <c r="T1242" s="224"/>
      <c r="U1242" s="259"/>
      <c r="V1242" s="239"/>
      <c r="W1242" s="239"/>
      <c r="X1242" s="239"/>
      <c r="Y1242" s="239"/>
      <c r="Z1242" s="239"/>
      <c r="AA1242" s="257"/>
      <c r="AB1242" s="224"/>
      <c r="AC1242" s="224"/>
      <c r="AD1242" s="224"/>
      <c r="AE1242" s="224"/>
      <c r="AF1242" s="224"/>
      <c r="AG1242" s="259"/>
      <c r="AH1242" s="261"/>
      <c r="AI1242" s="261"/>
      <c r="AJ1242" s="261"/>
      <c r="AK1242" s="261"/>
      <c r="AL1242" s="261"/>
      <c r="AM1242" s="262"/>
    </row>
    <row r="1243" spans="1:39" x14ac:dyDescent="0.25">
      <c r="A1243" s="215"/>
      <c r="B1243" s="215"/>
      <c r="C1243" s="215"/>
      <c r="D1243" s="239"/>
      <c r="E1243" s="239"/>
      <c r="F1243" s="239"/>
      <c r="G1243" s="239"/>
      <c r="H1243" s="239"/>
      <c r="I1243" s="257"/>
      <c r="J1243" s="240"/>
      <c r="K1243" s="240"/>
      <c r="L1243" s="240"/>
      <c r="M1243" s="240"/>
      <c r="N1243" s="240"/>
      <c r="O1243" s="258"/>
      <c r="P1243" s="224"/>
      <c r="Q1243" s="224"/>
      <c r="R1243" s="224"/>
      <c r="S1243" s="224"/>
      <c r="T1243" s="224"/>
      <c r="U1243" s="259"/>
      <c r="V1243" s="239"/>
      <c r="W1243" s="239"/>
      <c r="X1243" s="239"/>
      <c r="Y1243" s="239"/>
      <c r="Z1243" s="239"/>
      <c r="AA1243" s="257"/>
      <c r="AB1243" s="224"/>
      <c r="AC1243" s="224"/>
      <c r="AD1243" s="224"/>
      <c r="AE1243" s="224"/>
      <c r="AF1243" s="224"/>
      <c r="AG1243" s="259"/>
      <c r="AH1243" s="261"/>
      <c r="AI1243" s="261"/>
      <c r="AJ1243" s="261"/>
      <c r="AK1243" s="261"/>
      <c r="AL1243" s="261"/>
      <c r="AM1243" s="262"/>
    </row>
    <row r="1244" spans="1:39" x14ac:dyDescent="0.25">
      <c r="A1244" s="215"/>
      <c r="B1244" s="215"/>
      <c r="C1244" s="215"/>
      <c r="D1244" s="239"/>
      <c r="E1244" s="239"/>
      <c r="F1244" s="239"/>
      <c r="G1244" s="239"/>
      <c r="H1244" s="239"/>
      <c r="I1244" s="257"/>
      <c r="J1244" s="240"/>
      <c r="K1244" s="240"/>
      <c r="L1244" s="240"/>
      <c r="M1244" s="240"/>
      <c r="N1244" s="240"/>
      <c r="O1244" s="258"/>
      <c r="P1244" s="224"/>
      <c r="Q1244" s="224"/>
      <c r="R1244" s="224"/>
      <c r="S1244" s="224"/>
      <c r="T1244" s="224"/>
      <c r="U1244" s="259"/>
      <c r="V1244" s="239"/>
      <c r="W1244" s="239"/>
      <c r="X1244" s="239"/>
      <c r="Y1244" s="239"/>
      <c r="Z1244" s="239"/>
      <c r="AA1244" s="257"/>
      <c r="AB1244" s="224"/>
      <c r="AC1244" s="224"/>
      <c r="AD1244" s="224"/>
      <c r="AE1244" s="224"/>
      <c r="AF1244" s="224"/>
      <c r="AG1244" s="259"/>
      <c r="AH1244" s="261"/>
      <c r="AI1244" s="261"/>
      <c r="AJ1244" s="261"/>
      <c r="AK1244" s="261"/>
      <c r="AL1244" s="261"/>
      <c r="AM1244" s="262"/>
    </row>
    <row r="1245" spans="1:39" x14ac:dyDescent="0.25">
      <c r="A1245" s="215"/>
      <c r="B1245" s="215"/>
      <c r="C1245" s="215"/>
      <c r="D1245" s="239"/>
      <c r="E1245" s="239"/>
      <c r="F1245" s="239"/>
      <c r="G1245" s="239"/>
      <c r="H1245" s="239"/>
      <c r="I1245" s="257"/>
      <c r="J1245" s="240"/>
      <c r="K1245" s="240"/>
      <c r="L1245" s="240"/>
      <c r="M1245" s="240"/>
      <c r="N1245" s="240"/>
      <c r="O1245" s="258"/>
      <c r="P1245" s="224"/>
      <c r="Q1245" s="224"/>
      <c r="R1245" s="224"/>
      <c r="S1245" s="224"/>
      <c r="T1245" s="224"/>
      <c r="U1245" s="259"/>
      <c r="V1245" s="239"/>
      <c r="W1245" s="239"/>
      <c r="X1245" s="239"/>
      <c r="Y1245" s="239"/>
      <c r="Z1245" s="239"/>
      <c r="AA1245" s="257"/>
      <c r="AB1245" s="224"/>
      <c r="AC1245" s="224"/>
      <c r="AD1245" s="224"/>
      <c r="AE1245" s="224"/>
      <c r="AF1245" s="224"/>
      <c r="AG1245" s="259"/>
      <c r="AH1245" s="261"/>
      <c r="AI1245" s="261"/>
      <c r="AJ1245" s="261"/>
      <c r="AK1245" s="261"/>
      <c r="AL1245" s="261"/>
      <c r="AM1245" s="262"/>
    </row>
    <row r="1246" spans="1:39" x14ac:dyDescent="0.25">
      <c r="A1246" s="215"/>
      <c r="B1246" s="215"/>
      <c r="C1246" s="215"/>
      <c r="D1246" s="239"/>
      <c r="E1246" s="239"/>
      <c r="F1246" s="239"/>
      <c r="G1246" s="239"/>
      <c r="H1246" s="239"/>
      <c r="I1246" s="257"/>
      <c r="J1246" s="240"/>
      <c r="K1246" s="240"/>
      <c r="L1246" s="240"/>
      <c r="M1246" s="240"/>
      <c r="N1246" s="240"/>
      <c r="O1246" s="258"/>
      <c r="P1246" s="224"/>
      <c r="Q1246" s="224"/>
      <c r="R1246" s="224"/>
      <c r="S1246" s="224"/>
      <c r="T1246" s="224"/>
      <c r="U1246" s="259"/>
      <c r="V1246" s="239"/>
      <c r="W1246" s="239"/>
      <c r="X1246" s="239"/>
      <c r="Y1246" s="239"/>
      <c r="Z1246" s="239"/>
      <c r="AA1246" s="257"/>
      <c r="AB1246" s="224"/>
      <c r="AC1246" s="224"/>
      <c r="AD1246" s="224"/>
      <c r="AE1246" s="224"/>
      <c r="AF1246" s="224"/>
      <c r="AG1246" s="259"/>
      <c r="AH1246" s="261"/>
      <c r="AI1246" s="261"/>
      <c r="AJ1246" s="261"/>
      <c r="AK1246" s="261"/>
      <c r="AL1246" s="261"/>
      <c r="AM1246" s="262"/>
    </row>
    <row r="1247" spans="1:39" x14ac:dyDescent="0.25">
      <c r="A1247" s="215"/>
      <c r="B1247" s="215"/>
      <c r="C1247" s="215"/>
      <c r="D1247" s="239"/>
      <c r="E1247" s="239"/>
      <c r="F1247" s="239"/>
      <c r="G1247" s="239"/>
      <c r="H1247" s="239"/>
      <c r="I1247" s="257"/>
      <c r="J1247" s="240"/>
      <c r="K1247" s="240"/>
      <c r="L1247" s="240"/>
      <c r="M1247" s="240"/>
      <c r="N1247" s="240"/>
      <c r="O1247" s="258"/>
      <c r="P1247" s="224"/>
      <c r="Q1247" s="224"/>
      <c r="R1247" s="224"/>
      <c r="S1247" s="224"/>
      <c r="T1247" s="224"/>
      <c r="U1247" s="259"/>
      <c r="V1247" s="239"/>
      <c r="W1247" s="239"/>
      <c r="X1247" s="239"/>
      <c r="Y1247" s="239"/>
      <c r="Z1247" s="239"/>
      <c r="AA1247" s="257"/>
      <c r="AB1247" s="224"/>
      <c r="AC1247" s="224"/>
      <c r="AD1247" s="224"/>
      <c r="AE1247" s="224"/>
      <c r="AF1247" s="224"/>
      <c r="AG1247" s="259"/>
      <c r="AH1247" s="261"/>
      <c r="AI1247" s="261"/>
      <c r="AJ1247" s="261"/>
      <c r="AK1247" s="261"/>
      <c r="AL1247" s="261"/>
      <c r="AM1247" s="262"/>
    </row>
    <row r="1248" spans="1:39" x14ac:dyDescent="0.25">
      <c r="A1248" s="215"/>
      <c r="B1248" s="215"/>
      <c r="C1248" s="215"/>
      <c r="D1248" s="239"/>
      <c r="E1248" s="239"/>
      <c r="F1248" s="239"/>
      <c r="G1248" s="239"/>
      <c r="H1248" s="239"/>
      <c r="I1248" s="257"/>
      <c r="J1248" s="240"/>
      <c r="K1248" s="240"/>
      <c r="L1248" s="240"/>
      <c r="M1248" s="240"/>
      <c r="N1248" s="240"/>
      <c r="O1248" s="258"/>
      <c r="P1248" s="224"/>
      <c r="Q1248" s="224"/>
      <c r="R1248" s="224"/>
      <c r="S1248" s="224"/>
      <c r="T1248" s="224"/>
      <c r="U1248" s="259"/>
      <c r="V1248" s="239"/>
      <c r="W1248" s="239"/>
      <c r="X1248" s="239"/>
      <c r="Y1248" s="239"/>
      <c r="Z1248" s="239"/>
      <c r="AA1248" s="257"/>
      <c r="AB1248" s="224"/>
      <c r="AC1248" s="224"/>
      <c r="AD1248" s="224"/>
      <c r="AE1248" s="224"/>
      <c r="AF1248" s="224"/>
      <c r="AG1248" s="259"/>
      <c r="AH1248" s="261"/>
      <c r="AI1248" s="261"/>
      <c r="AJ1248" s="261"/>
      <c r="AK1248" s="261"/>
      <c r="AL1248" s="261"/>
      <c r="AM1248" s="262"/>
    </row>
    <row r="1249" spans="1:39" x14ac:dyDescent="0.25">
      <c r="A1249" s="215"/>
      <c r="B1249" s="215"/>
      <c r="C1249" s="215"/>
      <c r="D1249" s="239"/>
      <c r="E1249" s="239"/>
      <c r="F1249" s="239"/>
      <c r="G1249" s="239"/>
      <c r="H1249" s="239"/>
      <c r="I1249" s="257"/>
      <c r="J1249" s="240"/>
      <c r="K1249" s="240"/>
      <c r="L1249" s="240"/>
      <c r="M1249" s="240"/>
      <c r="N1249" s="240"/>
      <c r="O1249" s="258"/>
      <c r="P1249" s="224"/>
      <c r="Q1249" s="224"/>
      <c r="R1249" s="224"/>
      <c r="S1249" s="224"/>
      <c r="T1249" s="224"/>
      <c r="U1249" s="259"/>
      <c r="V1249" s="239"/>
      <c r="W1249" s="239"/>
      <c r="X1249" s="239"/>
      <c r="Y1249" s="239"/>
      <c r="Z1249" s="239"/>
      <c r="AA1249" s="257"/>
      <c r="AB1249" s="224"/>
      <c r="AC1249" s="224"/>
      <c r="AD1249" s="224"/>
      <c r="AE1249" s="224"/>
      <c r="AF1249" s="224"/>
      <c r="AG1249" s="259"/>
      <c r="AH1249" s="261"/>
      <c r="AI1249" s="261"/>
      <c r="AJ1249" s="261"/>
      <c r="AK1249" s="261"/>
      <c r="AL1249" s="261"/>
      <c r="AM1249" s="262"/>
    </row>
    <row r="1250" spans="1:39" x14ac:dyDescent="0.25">
      <c r="A1250" s="215"/>
      <c r="B1250" s="215"/>
      <c r="C1250" s="215"/>
      <c r="D1250" s="239"/>
      <c r="E1250" s="239"/>
      <c r="F1250" s="239"/>
      <c r="G1250" s="239"/>
      <c r="H1250" s="239"/>
      <c r="I1250" s="257"/>
      <c r="J1250" s="240"/>
      <c r="K1250" s="240"/>
      <c r="L1250" s="240"/>
      <c r="M1250" s="240"/>
      <c r="N1250" s="240"/>
      <c r="O1250" s="258"/>
      <c r="P1250" s="224"/>
      <c r="Q1250" s="224"/>
      <c r="R1250" s="224"/>
      <c r="S1250" s="224"/>
      <c r="T1250" s="224"/>
      <c r="U1250" s="259"/>
      <c r="V1250" s="239"/>
      <c r="W1250" s="239"/>
      <c r="X1250" s="239"/>
      <c r="Y1250" s="239"/>
      <c r="Z1250" s="239"/>
      <c r="AA1250" s="257"/>
      <c r="AB1250" s="224"/>
      <c r="AC1250" s="224"/>
      <c r="AD1250" s="224"/>
      <c r="AE1250" s="224"/>
      <c r="AF1250" s="224"/>
      <c r="AG1250" s="259"/>
      <c r="AH1250" s="261"/>
      <c r="AI1250" s="261"/>
      <c r="AJ1250" s="261"/>
      <c r="AK1250" s="261"/>
      <c r="AL1250" s="261"/>
      <c r="AM1250" s="262"/>
    </row>
    <row r="1251" spans="1:39" x14ac:dyDescent="0.25">
      <c r="A1251" s="215"/>
      <c r="B1251" s="215"/>
      <c r="C1251" s="215"/>
      <c r="D1251" s="239"/>
      <c r="E1251" s="239"/>
      <c r="F1251" s="239"/>
      <c r="G1251" s="239"/>
      <c r="H1251" s="239"/>
      <c r="I1251" s="257"/>
      <c r="J1251" s="240"/>
      <c r="K1251" s="240"/>
      <c r="L1251" s="240"/>
      <c r="M1251" s="240"/>
      <c r="N1251" s="240"/>
      <c r="O1251" s="258"/>
      <c r="P1251" s="224"/>
      <c r="Q1251" s="224"/>
      <c r="R1251" s="224"/>
      <c r="S1251" s="224"/>
      <c r="T1251" s="224"/>
      <c r="U1251" s="259"/>
      <c r="V1251" s="239"/>
      <c r="W1251" s="239"/>
      <c r="X1251" s="239"/>
      <c r="Y1251" s="239"/>
      <c r="Z1251" s="239"/>
      <c r="AA1251" s="257"/>
      <c r="AB1251" s="224"/>
      <c r="AC1251" s="224"/>
      <c r="AD1251" s="224"/>
      <c r="AE1251" s="224"/>
      <c r="AF1251" s="224"/>
      <c r="AG1251" s="259"/>
      <c r="AH1251" s="261"/>
      <c r="AI1251" s="261"/>
      <c r="AJ1251" s="261"/>
      <c r="AK1251" s="261"/>
      <c r="AL1251" s="261"/>
      <c r="AM1251" s="262"/>
    </row>
    <row r="1252" spans="1:39" x14ac:dyDescent="0.25">
      <c r="A1252" s="215"/>
      <c r="B1252" s="215"/>
      <c r="C1252" s="215"/>
      <c r="D1252" s="239"/>
      <c r="E1252" s="239"/>
      <c r="F1252" s="239"/>
      <c r="G1252" s="239"/>
      <c r="H1252" s="239"/>
      <c r="I1252" s="257"/>
      <c r="J1252" s="240"/>
      <c r="K1252" s="240"/>
      <c r="L1252" s="240"/>
      <c r="M1252" s="240"/>
      <c r="N1252" s="240"/>
      <c r="O1252" s="258"/>
      <c r="P1252" s="224"/>
      <c r="Q1252" s="224"/>
      <c r="R1252" s="224"/>
      <c r="S1252" s="224"/>
      <c r="T1252" s="224"/>
      <c r="U1252" s="259"/>
      <c r="V1252" s="239"/>
      <c r="W1252" s="239"/>
      <c r="X1252" s="239"/>
      <c r="Y1252" s="239"/>
      <c r="Z1252" s="239"/>
      <c r="AA1252" s="257"/>
      <c r="AB1252" s="224"/>
      <c r="AC1252" s="224"/>
      <c r="AD1252" s="224"/>
      <c r="AE1252" s="224"/>
      <c r="AF1252" s="224"/>
      <c r="AG1252" s="259"/>
      <c r="AH1252" s="261"/>
      <c r="AI1252" s="261"/>
      <c r="AJ1252" s="261"/>
      <c r="AK1252" s="261"/>
      <c r="AL1252" s="261"/>
      <c r="AM1252" s="262"/>
    </row>
    <row r="1253" spans="1:39" x14ac:dyDescent="0.25">
      <c r="A1253" s="215"/>
      <c r="B1253" s="215"/>
      <c r="C1253" s="215"/>
      <c r="D1253" s="239"/>
      <c r="E1253" s="239"/>
      <c r="F1253" s="239"/>
      <c r="G1253" s="239"/>
      <c r="H1253" s="239"/>
      <c r="I1253" s="257"/>
      <c r="J1253" s="240"/>
      <c r="K1253" s="240"/>
      <c r="L1253" s="240"/>
      <c r="M1253" s="240"/>
      <c r="N1253" s="240"/>
      <c r="O1253" s="258"/>
      <c r="P1253" s="224"/>
      <c r="Q1253" s="224"/>
      <c r="R1253" s="224"/>
      <c r="S1253" s="224"/>
      <c r="T1253" s="224"/>
      <c r="U1253" s="259"/>
      <c r="V1253" s="239"/>
      <c r="W1253" s="239"/>
      <c r="X1253" s="239"/>
      <c r="Y1253" s="239"/>
      <c r="Z1253" s="239"/>
      <c r="AA1253" s="257"/>
      <c r="AB1253" s="224"/>
      <c r="AC1253" s="224"/>
      <c r="AD1253" s="224"/>
      <c r="AE1253" s="224"/>
      <c r="AF1253" s="224"/>
      <c r="AG1253" s="259"/>
      <c r="AH1253" s="261"/>
      <c r="AI1253" s="261"/>
      <c r="AJ1253" s="261"/>
      <c r="AK1253" s="261"/>
      <c r="AL1253" s="261"/>
      <c r="AM1253" s="262"/>
    </row>
    <row r="1254" spans="1:39" x14ac:dyDescent="0.25">
      <c r="A1254" s="215"/>
      <c r="B1254" s="215"/>
      <c r="C1254" s="215"/>
      <c r="D1254" s="239"/>
      <c r="E1254" s="239"/>
      <c r="F1254" s="239"/>
      <c r="G1254" s="239"/>
      <c r="H1254" s="239"/>
      <c r="I1254" s="257"/>
      <c r="J1254" s="240"/>
      <c r="K1254" s="240"/>
      <c r="L1254" s="240"/>
      <c r="M1254" s="240"/>
      <c r="N1254" s="240"/>
      <c r="O1254" s="258"/>
      <c r="P1254" s="224"/>
      <c r="Q1254" s="224"/>
      <c r="R1254" s="224"/>
      <c r="S1254" s="224"/>
      <c r="T1254" s="224"/>
      <c r="U1254" s="259"/>
      <c r="V1254" s="239"/>
      <c r="W1254" s="239"/>
      <c r="X1254" s="239"/>
      <c r="Y1254" s="239"/>
      <c r="Z1254" s="239"/>
      <c r="AA1254" s="257"/>
      <c r="AB1254" s="224"/>
      <c r="AC1254" s="224"/>
      <c r="AD1254" s="224"/>
      <c r="AE1254" s="224"/>
      <c r="AF1254" s="224"/>
      <c r="AG1254" s="259"/>
      <c r="AH1254" s="261"/>
      <c r="AI1254" s="261"/>
      <c r="AJ1254" s="261"/>
      <c r="AK1254" s="261"/>
      <c r="AL1254" s="261"/>
      <c r="AM1254" s="262"/>
    </row>
    <row r="1255" spans="1:39" x14ac:dyDescent="0.25">
      <c r="A1255" s="215"/>
      <c r="B1255" s="215"/>
      <c r="C1255" s="215"/>
      <c r="D1255" s="239"/>
      <c r="E1255" s="239"/>
      <c r="F1255" s="239"/>
      <c r="G1255" s="239"/>
      <c r="H1255" s="239"/>
      <c r="I1255" s="257"/>
      <c r="J1255" s="240"/>
      <c r="K1255" s="240"/>
      <c r="L1255" s="240"/>
      <c r="M1255" s="240"/>
      <c r="N1255" s="240"/>
      <c r="O1255" s="258"/>
      <c r="P1255" s="224"/>
      <c r="Q1255" s="224"/>
      <c r="R1255" s="224"/>
      <c r="S1255" s="224"/>
      <c r="T1255" s="224"/>
      <c r="U1255" s="259"/>
      <c r="V1255" s="239"/>
      <c r="W1255" s="239"/>
      <c r="X1255" s="239"/>
      <c r="Y1255" s="239"/>
      <c r="Z1255" s="239"/>
      <c r="AA1255" s="257"/>
      <c r="AB1255" s="224"/>
      <c r="AC1255" s="224"/>
      <c r="AD1255" s="224"/>
      <c r="AE1255" s="224"/>
      <c r="AF1255" s="224"/>
      <c r="AG1255" s="259"/>
      <c r="AH1255" s="261"/>
      <c r="AI1255" s="261"/>
      <c r="AJ1255" s="261"/>
      <c r="AK1255" s="261"/>
      <c r="AL1255" s="261"/>
      <c r="AM1255" s="262"/>
    </row>
    <row r="1256" spans="1:39" x14ac:dyDescent="0.25">
      <c r="A1256" s="215"/>
      <c r="B1256" s="215"/>
      <c r="C1256" s="215"/>
      <c r="D1256" s="239"/>
      <c r="E1256" s="239"/>
      <c r="F1256" s="239"/>
      <c r="G1256" s="239"/>
      <c r="H1256" s="239"/>
      <c r="I1256" s="257"/>
      <c r="J1256" s="240"/>
      <c r="K1256" s="240"/>
      <c r="L1256" s="240"/>
      <c r="M1256" s="240"/>
      <c r="N1256" s="240"/>
      <c r="O1256" s="258"/>
      <c r="P1256" s="224"/>
      <c r="Q1256" s="224"/>
      <c r="R1256" s="224"/>
      <c r="S1256" s="224"/>
      <c r="T1256" s="224"/>
      <c r="U1256" s="259"/>
      <c r="V1256" s="239"/>
      <c r="W1256" s="239"/>
      <c r="X1256" s="239"/>
      <c r="Y1256" s="239"/>
      <c r="Z1256" s="239"/>
      <c r="AA1256" s="257"/>
      <c r="AB1256" s="224"/>
      <c r="AC1256" s="224"/>
      <c r="AD1256" s="224"/>
      <c r="AE1256" s="224"/>
      <c r="AF1256" s="224"/>
      <c r="AG1256" s="259"/>
      <c r="AH1256" s="261"/>
      <c r="AI1256" s="261"/>
      <c r="AJ1256" s="261"/>
      <c r="AK1256" s="261"/>
      <c r="AL1256" s="261"/>
      <c r="AM1256" s="262"/>
    </row>
    <row r="1257" spans="1:39" x14ac:dyDescent="0.25">
      <c r="A1257" s="215"/>
      <c r="B1257" s="215"/>
      <c r="C1257" s="215"/>
      <c r="D1257" s="239"/>
      <c r="E1257" s="239"/>
      <c r="F1257" s="239"/>
      <c r="G1257" s="239"/>
      <c r="H1257" s="239"/>
      <c r="I1257" s="257"/>
      <c r="J1257" s="240"/>
      <c r="K1257" s="240"/>
      <c r="L1257" s="240"/>
      <c r="M1257" s="240"/>
      <c r="N1257" s="240"/>
      <c r="O1257" s="258"/>
      <c r="P1257" s="224"/>
      <c r="Q1257" s="224"/>
      <c r="R1257" s="224"/>
      <c r="S1257" s="224"/>
      <c r="T1257" s="224"/>
      <c r="U1257" s="259"/>
      <c r="V1257" s="239"/>
      <c r="W1257" s="239"/>
      <c r="X1257" s="239"/>
      <c r="Y1257" s="239"/>
      <c r="Z1257" s="239"/>
      <c r="AA1257" s="257"/>
      <c r="AB1257" s="224"/>
      <c r="AC1257" s="224"/>
      <c r="AD1257" s="224"/>
      <c r="AE1257" s="224"/>
      <c r="AF1257" s="224"/>
      <c r="AG1257" s="259"/>
      <c r="AH1257" s="261"/>
      <c r="AI1257" s="261"/>
      <c r="AJ1257" s="261"/>
      <c r="AK1257" s="261"/>
      <c r="AL1257" s="261"/>
      <c r="AM1257" s="262"/>
    </row>
    <row r="1258" spans="1:39" x14ac:dyDescent="0.25">
      <c r="A1258" s="215"/>
      <c r="B1258" s="215"/>
      <c r="C1258" s="215"/>
      <c r="D1258" s="239"/>
      <c r="E1258" s="239"/>
      <c r="F1258" s="239"/>
      <c r="G1258" s="239"/>
      <c r="H1258" s="239"/>
      <c r="I1258" s="257"/>
      <c r="J1258" s="240"/>
      <c r="K1258" s="240"/>
      <c r="L1258" s="240"/>
      <c r="M1258" s="240"/>
      <c r="N1258" s="240"/>
      <c r="O1258" s="258"/>
      <c r="P1258" s="224"/>
      <c r="Q1258" s="224"/>
      <c r="R1258" s="224"/>
      <c r="S1258" s="224"/>
      <c r="T1258" s="224"/>
      <c r="U1258" s="259"/>
      <c r="V1258" s="239"/>
      <c r="W1258" s="239"/>
      <c r="X1258" s="239"/>
      <c r="Y1258" s="239"/>
      <c r="Z1258" s="239"/>
      <c r="AA1258" s="257"/>
      <c r="AB1258" s="224"/>
      <c r="AC1258" s="224"/>
      <c r="AD1258" s="224"/>
      <c r="AE1258" s="224"/>
      <c r="AF1258" s="224"/>
      <c r="AG1258" s="259"/>
      <c r="AH1258" s="261"/>
      <c r="AI1258" s="261"/>
      <c r="AJ1258" s="261"/>
      <c r="AK1258" s="261"/>
      <c r="AL1258" s="261"/>
      <c r="AM1258" s="262"/>
    </row>
    <row r="1259" spans="1:39" x14ac:dyDescent="0.25">
      <c r="A1259" s="215"/>
      <c r="B1259" s="215"/>
      <c r="C1259" s="215"/>
      <c r="D1259" s="239"/>
      <c r="E1259" s="239"/>
      <c r="F1259" s="239"/>
      <c r="G1259" s="239"/>
      <c r="H1259" s="239"/>
      <c r="I1259" s="257"/>
      <c r="J1259" s="240"/>
      <c r="K1259" s="240"/>
      <c r="L1259" s="240"/>
      <c r="M1259" s="240"/>
      <c r="N1259" s="240"/>
      <c r="O1259" s="258"/>
      <c r="P1259" s="224"/>
      <c r="Q1259" s="224"/>
      <c r="R1259" s="224"/>
      <c r="S1259" s="224"/>
      <c r="T1259" s="224"/>
      <c r="U1259" s="259"/>
      <c r="V1259" s="239"/>
      <c r="W1259" s="239"/>
      <c r="X1259" s="239"/>
      <c r="Y1259" s="239"/>
      <c r="Z1259" s="239"/>
      <c r="AA1259" s="257"/>
      <c r="AB1259" s="224"/>
      <c r="AC1259" s="224"/>
      <c r="AD1259" s="224"/>
      <c r="AE1259" s="224"/>
      <c r="AF1259" s="224"/>
      <c r="AG1259" s="259"/>
      <c r="AH1259" s="261"/>
      <c r="AI1259" s="261"/>
      <c r="AJ1259" s="261"/>
      <c r="AK1259" s="261"/>
      <c r="AL1259" s="261"/>
      <c r="AM1259" s="262"/>
    </row>
    <row r="1260" spans="1:39" x14ac:dyDescent="0.25">
      <c r="A1260" s="215"/>
      <c r="B1260" s="215"/>
      <c r="C1260" s="215"/>
      <c r="D1260" s="239"/>
      <c r="E1260" s="239"/>
      <c r="F1260" s="239"/>
      <c r="G1260" s="239"/>
      <c r="H1260" s="239"/>
      <c r="I1260" s="257"/>
      <c r="J1260" s="240"/>
      <c r="K1260" s="240"/>
      <c r="L1260" s="240"/>
      <c r="M1260" s="240"/>
      <c r="N1260" s="240"/>
      <c r="O1260" s="258"/>
      <c r="P1260" s="224"/>
      <c r="Q1260" s="224"/>
      <c r="R1260" s="224"/>
      <c r="S1260" s="224"/>
      <c r="T1260" s="224"/>
      <c r="U1260" s="259"/>
      <c r="V1260" s="239"/>
      <c r="W1260" s="239"/>
      <c r="X1260" s="239"/>
      <c r="Y1260" s="239"/>
      <c r="Z1260" s="239"/>
      <c r="AA1260" s="257"/>
      <c r="AB1260" s="224"/>
      <c r="AC1260" s="224"/>
      <c r="AD1260" s="224"/>
      <c r="AE1260" s="224"/>
      <c r="AF1260" s="224"/>
      <c r="AG1260" s="259"/>
      <c r="AH1260" s="261"/>
      <c r="AI1260" s="261"/>
      <c r="AJ1260" s="261"/>
      <c r="AK1260" s="261"/>
      <c r="AL1260" s="261"/>
      <c r="AM1260" s="262"/>
    </row>
    <row r="1261" spans="1:39" x14ac:dyDescent="0.25">
      <c r="A1261" s="215"/>
      <c r="B1261" s="215"/>
      <c r="C1261" s="215"/>
      <c r="D1261" s="239"/>
      <c r="E1261" s="239"/>
      <c r="F1261" s="239"/>
      <c r="G1261" s="239"/>
      <c r="H1261" s="239"/>
      <c r="I1261" s="257"/>
      <c r="J1261" s="240"/>
      <c r="K1261" s="240"/>
      <c r="L1261" s="240"/>
      <c r="M1261" s="240"/>
      <c r="N1261" s="240"/>
      <c r="O1261" s="258"/>
      <c r="P1261" s="224"/>
      <c r="Q1261" s="224"/>
      <c r="R1261" s="224"/>
      <c r="S1261" s="224"/>
      <c r="T1261" s="224"/>
      <c r="U1261" s="259"/>
      <c r="V1261" s="239"/>
      <c r="W1261" s="239"/>
      <c r="X1261" s="239"/>
      <c r="Y1261" s="239"/>
      <c r="Z1261" s="239"/>
      <c r="AA1261" s="257"/>
      <c r="AB1261" s="224"/>
      <c r="AC1261" s="224"/>
      <c r="AD1261" s="224"/>
      <c r="AE1261" s="224"/>
      <c r="AF1261" s="224"/>
      <c r="AG1261" s="259"/>
      <c r="AH1261" s="261"/>
      <c r="AI1261" s="261"/>
      <c r="AJ1261" s="261"/>
      <c r="AK1261" s="261"/>
      <c r="AL1261" s="261"/>
      <c r="AM1261" s="262"/>
    </row>
    <row r="1262" spans="1:39" x14ac:dyDescent="0.25">
      <c r="A1262" s="215"/>
      <c r="B1262" s="215"/>
      <c r="C1262" s="215"/>
      <c r="D1262" s="239"/>
      <c r="E1262" s="239"/>
      <c r="F1262" s="239"/>
      <c r="G1262" s="239"/>
      <c r="H1262" s="239"/>
      <c r="I1262" s="257"/>
      <c r="J1262" s="240"/>
      <c r="K1262" s="240"/>
      <c r="L1262" s="240"/>
      <c r="M1262" s="240"/>
      <c r="N1262" s="240"/>
      <c r="O1262" s="258"/>
      <c r="P1262" s="224"/>
      <c r="Q1262" s="224"/>
      <c r="R1262" s="224"/>
      <c r="S1262" s="224"/>
      <c r="T1262" s="224"/>
      <c r="U1262" s="259"/>
      <c r="V1262" s="239"/>
      <c r="W1262" s="239"/>
      <c r="X1262" s="239"/>
      <c r="Y1262" s="239"/>
      <c r="Z1262" s="239"/>
      <c r="AA1262" s="257"/>
      <c r="AB1262" s="224"/>
      <c r="AC1262" s="224"/>
      <c r="AD1262" s="224"/>
      <c r="AE1262" s="224"/>
      <c r="AF1262" s="224"/>
      <c r="AG1262" s="259"/>
      <c r="AH1262" s="261"/>
      <c r="AI1262" s="261"/>
      <c r="AJ1262" s="261"/>
      <c r="AK1262" s="261"/>
      <c r="AL1262" s="261"/>
      <c r="AM1262" s="262"/>
    </row>
    <row r="1263" spans="1:39" x14ac:dyDescent="0.25">
      <c r="A1263" s="215"/>
      <c r="B1263" s="215"/>
      <c r="C1263" s="215"/>
      <c r="D1263" s="239"/>
      <c r="E1263" s="239"/>
      <c r="F1263" s="239"/>
      <c r="G1263" s="239"/>
      <c r="H1263" s="239"/>
      <c r="I1263" s="257"/>
      <c r="J1263" s="240"/>
      <c r="K1263" s="240"/>
      <c r="L1263" s="240"/>
      <c r="M1263" s="240"/>
      <c r="N1263" s="240"/>
      <c r="O1263" s="258"/>
      <c r="P1263" s="224"/>
      <c r="Q1263" s="224"/>
      <c r="R1263" s="224"/>
      <c r="S1263" s="224"/>
      <c r="T1263" s="224"/>
      <c r="U1263" s="259"/>
      <c r="V1263" s="239"/>
      <c r="W1263" s="239"/>
      <c r="X1263" s="239"/>
      <c r="Y1263" s="239"/>
      <c r="Z1263" s="239"/>
      <c r="AA1263" s="257"/>
      <c r="AB1263" s="224"/>
      <c r="AC1263" s="224"/>
      <c r="AD1263" s="224"/>
      <c r="AE1263" s="224"/>
      <c r="AF1263" s="224"/>
      <c r="AG1263" s="259"/>
      <c r="AH1263" s="261"/>
      <c r="AI1263" s="261"/>
      <c r="AJ1263" s="261"/>
      <c r="AK1263" s="261"/>
      <c r="AL1263" s="261"/>
      <c r="AM1263" s="262"/>
    </row>
    <row r="1264" spans="1:39" x14ac:dyDescent="0.25">
      <c r="A1264" s="215"/>
      <c r="B1264" s="215"/>
      <c r="C1264" s="215"/>
      <c r="D1264" s="239"/>
      <c r="E1264" s="239"/>
      <c r="F1264" s="239"/>
      <c r="G1264" s="239"/>
      <c r="H1264" s="239"/>
      <c r="I1264" s="257"/>
      <c r="J1264" s="240"/>
      <c r="K1264" s="240"/>
      <c r="L1264" s="240"/>
      <c r="M1264" s="240"/>
      <c r="N1264" s="240"/>
      <c r="O1264" s="258"/>
      <c r="P1264" s="224"/>
      <c r="Q1264" s="224"/>
      <c r="R1264" s="224"/>
      <c r="S1264" s="224"/>
      <c r="T1264" s="224"/>
      <c r="U1264" s="259"/>
      <c r="V1264" s="239"/>
      <c r="W1264" s="239"/>
      <c r="X1264" s="239"/>
      <c r="Y1264" s="239"/>
      <c r="Z1264" s="239"/>
      <c r="AA1264" s="257"/>
      <c r="AB1264" s="224"/>
      <c r="AC1264" s="224"/>
      <c r="AD1264" s="224"/>
      <c r="AE1264" s="224"/>
      <c r="AF1264" s="224"/>
      <c r="AG1264" s="259"/>
      <c r="AH1264" s="261"/>
      <c r="AI1264" s="261"/>
      <c r="AJ1264" s="261"/>
      <c r="AK1264" s="261"/>
      <c r="AL1264" s="261"/>
      <c r="AM1264" s="262"/>
    </row>
    <row r="1265" spans="1:39" x14ac:dyDescent="0.25">
      <c r="A1265" s="215"/>
      <c r="B1265" s="215"/>
      <c r="C1265" s="215"/>
      <c r="D1265" s="239"/>
      <c r="E1265" s="239"/>
      <c r="F1265" s="239"/>
      <c r="G1265" s="239"/>
      <c r="H1265" s="239"/>
      <c r="I1265" s="257"/>
      <c r="J1265" s="240"/>
      <c r="K1265" s="240"/>
      <c r="L1265" s="240"/>
      <c r="M1265" s="240"/>
      <c r="N1265" s="240"/>
      <c r="O1265" s="258"/>
      <c r="P1265" s="224"/>
      <c r="Q1265" s="224"/>
      <c r="R1265" s="224"/>
      <c r="S1265" s="224"/>
      <c r="T1265" s="224"/>
      <c r="U1265" s="259"/>
      <c r="V1265" s="239"/>
      <c r="W1265" s="239"/>
      <c r="X1265" s="239"/>
      <c r="Y1265" s="239"/>
      <c r="Z1265" s="239"/>
      <c r="AA1265" s="257"/>
      <c r="AB1265" s="224"/>
      <c r="AC1265" s="224"/>
      <c r="AD1265" s="224"/>
      <c r="AE1265" s="224"/>
      <c r="AF1265" s="224"/>
      <c r="AG1265" s="259"/>
      <c r="AH1265" s="261"/>
      <c r="AI1265" s="261"/>
      <c r="AJ1265" s="261"/>
      <c r="AK1265" s="261"/>
      <c r="AL1265" s="261"/>
      <c r="AM1265" s="262"/>
    </row>
    <row r="1266" spans="1:39" x14ac:dyDescent="0.25">
      <c r="A1266" s="215"/>
      <c r="B1266" s="215"/>
      <c r="C1266" s="215"/>
      <c r="D1266" s="239"/>
      <c r="E1266" s="239"/>
      <c r="F1266" s="239"/>
      <c r="G1266" s="239"/>
      <c r="H1266" s="239"/>
      <c r="I1266" s="257"/>
      <c r="J1266" s="240"/>
      <c r="K1266" s="240"/>
      <c r="L1266" s="240"/>
      <c r="M1266" s="240"/>
      <c r="N1266" s="240"/>
      <c r="O1266" s="258"/>
      <c r="P1266" s="224"/>
      <c r="Q1266" s="224"/>
      <c r="R1266" s="224"/>
      <c r="S1266" s="224"/>
      <c r="T1266" s="224"/>
      <c r="U1266" s="259"/>
      <c r="V1266" s="239"/>
      <c r="W1266" s="239"/>
      <c r="X1266" s="239"/>
      <c r="Y1266" s="239"/>
      <c r="Z1266" s="239"/>
      <c r="AA1266" s="257"/>
      <c r="AB1266" s="224"/>
      <c r="AC1266" s="224"/>
      <c r="AD1266" s="224"/>
      <c r="AE1266" s="224"/>
      <c r="AF1266" s="224"/>
      <c r="AG1266" s="259"/>
      <c r="AH1266" s="261"/>
      <c r="AI1266" s="261"/>
      <c r="AJ1266" s="261"/>
      <c r="AK1266" s="261"/>
      <c r="AL1266" s="261"/>
      <c r="AM1266" s="262"/>
    </row>
    <row r="1267" spans="1:39" x14ac:dyDescent="0.25">
      <c r="A1267" s="215"/>
      <c r="B1267" s="215"/>
      <c r="C1267" s="215"/>
      <c r="D1267" s="239"/>
      <c r="E1267" s="239"/>
      <c r="F1267" s="239"/>
      <c r="G1267" s="239"/>
      <c r="H1267" s="239"/>
      <c r="I1267" s="257"/>
      <c r="J1267" s="240"/>
      <c r="K1267" s="240"/>
      <c r="L1267" s="240"/>
      <c r="M1267" s="240"/>
      <c r="N1267" s="240"/>
      <c r="O1267" s="258"/>
      <c r="P1267" s="224"/>
      <c r="Q1267" s="224"/>
      <c r="R1267" s="224"/>
      <c r="S1267" s="224"/>
      <c r="T1267" s="224"/>
      <c r="U1267" s="259"/>
      <c r="V1267" s="239"/>
      <c r="W1267" s="239"/>
      <c r="X1267" s="239"/>
      <c r="Y1267" s="239"/>
      <c r="Z1267" s="239"/>
      <c r="AA1267" s="257"/>
      <c r="AB1267" s="224"/>
      <c r="AC1267" s="224"/>
      <c r="AD1267" s="224"/>
      <c r="AE1267" s="224"/>
      <c r="AF1267" s="224"/>
      <c r="AG1267" s="259"/>
      <c r="AH1267" s="261"/>
      <c r="AI1267" s="261"/>
      <c r="AJ1267" s="261"/>
      <c r="AK1267" s="261"/>
      <c r="AL1267" s="261"/>
      <c r="AM1267" s="262"/>
    </row>
    <row r="1268" spans="1:39" x14ac:dyDescent="0.25">
      <c r="A1268" s="215"/>
      <c r="B1268" s="215"/>
      <c r="C1268" s="215"/>
      <c r="D1268" s="239"/>
      <c r="E1268" s="239"/>
      <c r="F1268" s="239"/>
      <c r="G1268" s="239"/>
      <c r="H1268" s="239"/>
      <c r="I1268" s="257"/>
      <c r="J1268" s="240"/>
      <c r="K1268" s="240"/>
      <c r="L1268" s="240"/>
      <c r="M1268" s="240"/>
      <c r="N1268" s="240"/>
      <c r="O1268" s="258"/>
      <c r="P1268" s="224"/>
      <c r="Q1268" s="224"/>
      <c r="R1268" s="224"/>
      <c r="S1268" s="224"/>
      <c r="T1268" s="224"/>
      <c r="U1268" s="259"/>
      <c r="V1268" s="239"/>
      <c r="W1268" s="239"/>
      <c r="X1268" s="239"/>
      <c r="Y1268" s="239"/>
      <c r="Z1268" s="239"/>
      <c r="AA1268" s="257"/>
      <c r="AB1268" s="224"/>
      <c r="AC1268" s="224"/>
      <c r="AD1268" s="224"/>
      <c r="AE1268" s="224"/>
      <c r="AF1268" s="224"/>
      <c r="AG1268" s="259"/>
      <c r="AH1268" s="261"/>
      <c r="AI1268" s="261"/>
      <c r="AJ1268" s="261"/>
      <c r="AK1268" s="261"/>
      <c r="AL1268" s="261"/>
      <c r="AM1268" s="262"/>
    </row>
    <row r="1269" spans="1:39" x14ac:dyDescent="0.25">
      <c r="A1269" s="215"/>
      <c r="B1269" s="215"/>
      <c r="C1269" s="215"/>
      <c r="D1269" s="239"/>
      <c r="E1269" s="239"/>
      <c r="F1269" s="239"/>
      <c r="G1269" s="239"/>
      <c r="H1269" s="239"/>
      <c r="I1269" s="257"/>
      <c r="J1269" s="240"/>
      <c r="K1269" s="240"/>
      <c r="L1269" s="240"/>
      <c r="M1269" s="240"/>
      <c r="N1269" s="240"/>
      <c r="O1269" s="258"/>
      <c r="P1269" s="224"/>
      <c r="Q1269" s="224"/>
      <c r="R1269" s="224"/>
      <c r="S1269" s="224"/>
      <c r="T1269" s="224"/>
      <c r="U1269" s="259"/>
      <c r="V1269" s="239"/>
      <c r="W1269" s="239"/>
      <c r="X1269" s="239"/>
      <c r="Y1269" s="239"/>
      <c r="Z1269" s="239"/>
      <c r="AA1269" s="257"/>
      <c r="AB1269" s="224"/>
      <c r="AC1269" s="224"/>
      <c r="AD1269" s="224"/>
      <c r="AE1269" s="224"/>
      <c r="AF1269" s="224"/>
      <c r="AG1269" s="259"/>
      <c r="AH1269" s="261"/>
      <c r="AI1269" s="261"/>
      <c r="AJ1269" s="261"/>
      <c r="AK1269" s="261"/>
      <c r="AL1269" s="261"/>
      <c r="AM1269" s="262"/>
    </row>
    <row r="1270" spans="1:39" x14ac:dyDescent="0.25">
      <c r="A1270" s="215"/>
      <c r="B1270" s="215"/>
      <c r="C1270" s="215"/>
      <c r="D1270" s="239"/>
      <c r="E1270" s="239"/>
      <c r="F1270" s="239"/>
      <c r="G1270" s="239"/>
      <c r="H1270" s="239"/>
      <c r="I1270" s="257"/>
      <c r="J1270" s="240"/>
      <c r="K1270" s="240"/>
      <c r="L1270" s="240"/>
      <c r="M1270" s="240"/>
      <c r="N1270" s="240"/>
      <c r="O1270" s="258"/>
      <c r="P1270" s="224"/>
      <c r="Q1270" s="224"/>
      <c r="R1270" s="224"/>
      <c r="S1270" s="224"/>
      <c r="T1270" s="224"/>
      <c r="U1270" s="259"/>
      <c r="V1270" s="239"/>
      <c r="W1270" s="239"/>
      <c r="X1270" s="239"/>
      <c r="Y1270" s="239"/>
      <c r="Z1270" s="239"/>
      <c r="AA1270" s="257"/>
      <c r="AB1270" s="224"/>
      <c r="AC1270" s="224"/>
      <c r="AD1270" s="224"/>
      <c r="AE1270" s="224"/>
      <c r="AF1270" s="224"/>
      <c r="AG1270" s="259"/>
      <c r="AH1270" s="261"/>
      <c r="AI1270" s="261"/>
      <c r="AJ1270" s="261"/>
      <c r="AK1270" s="261"/>
      <c r="AL1270" s="261"/>
      <c r="AM1270" s="262"/>
    </row>
    <row r="1271" spans="1:39" x14ac:dyDescent="0.25">
      <c r="A1271" s="215"/>
      <c r="B1271" s="215"/>
      <c r="C1271" s="215"/>
      <c r="D1271" s="239"/>
      <c r="E1271" s="239"/>
      <c r="F1271" s="239"/>
      <c r="G1271" s="239"/>
      <c r="H1271" s="239"/>
      <c r="I1271" s="257"/>
      <c r="J1271" s="240"/>
      <c r="K1271" s="240"/>
      <c r="L1271" s="240"/>
      <c r="M1271" s="240"/>
      <c r="N1271" s="240"/>
      <c r="O1271" s="258"/>
      <c r="P1271" s="224"/>
      <c r="Q1271" s="224"/>
      <c r="R1271" s="224"/>
      <c r="S1271" s="224"/>
      <c r="T1271" s="224"/>
      <c r="U1271" s="259"/>
      <c r="V1271" s="239"/>
      <c r="W1271" s="239"/>
      <c r="X1271" s="239"/>
      <c r="Y1271" s="239"/>
      <c r="Z1271" s="239"/>
      <c r="AA1271" s="257"/>
      <c r="AB1271" s="224"/>
      <c r="AC1271" s="224"/>
      <c r="AD1271" s="224"/>
      <c r="AE1271" s="224"/>
      <c r="AF1271" s="224"/>
      <c r="AG1271" s="259"/>
      <c r="AH1271" s="261"/>
      <c r="AI1271" s="261"/>
      <c r="AJ1271" s="261"/>
      <c r="AK1271" s="261"/>
      <c r="AL1271" s="261"/>
      <c r="AM1271" s="262"/>
    </row>
    <row r="1272" spans="1:39" x14ac:dyDescent="0.25">
      <c r="A1272" s="215"/>
      <c r="B1272" s="215"/>
      <c r="C1272" s="215"/>
      <c r="D1272" s="239"/>
      <c r="E1272" s="239"/>
      <c r="F1272" s="239"/>
      <c r="G1272" s="239"/>
      <c r="H1272" s="239"/>
      <c r="I1272" s="257"/>
      <c r="J1272" s="240"/>
      <c r="K1272" s="240"/>
      <c r="L1272" s="240"/>
      <c r="M1272" s="240"/>
      <c r="N1272" s="240"/>
      <c r="O1272" s="258"/>
      <c r="P1272" s="224"/>
      <c r="Q1272" s="224"/>
      <c r="R1272" s="224"/>
      <c r="S1272" s="224"/>
      <c r="T1272" s="224"/>
      <c r="U1272" s="259"/>
      <c r="V1272" s="239"/>
      <c r="W1272" s="239"/>
      <c r="X1272" s="239"/>
      <c r="Y1272" s="239"/>
      <c r="Z1272" s="239"/>
      <c r="AA1272" s="257"/>
      <c r="AB1272" s="224"/>
      <c r="AC1272" s="224"/>
      <c r="AD1272" s="224"/>
      <c r="AE1272" s="224"/>
      <c r="AF1272" s="224"/>
      <c r="AG1272" s="259"/>
      <c r="AH1272" s="261"/>
      <c r="AI1272" s="261"/>
      <c r="AJ1272" s="261"/>
      <c r="AK1272" s="261"/>
      <c r="AL1272" s="261"/>
      <c r="AM1272" s="262"/>
    </row>
    <row r="1273" spans="1:39" x14ac:dyDescent="0.25">
      <c r="A1273" s="215"/>
      <c r="B1273" s="215"/>
      <c r="C1273" s="215"/>
      <c r="D1273" s="239"/>
      <c r="E1273" s="239"/>
      <c r="F1273" s="239"/>
      <c r="G1273" s="239"/>
      <c r="H1273" s="239"/>
      <c r="I1273" s="257"/>
      <c r="J1273" s="240"/>
      <c r="K1273" s="240"/>
      <c r="L1273" s="240"/>
      <c r="M1273" s="240"/>
      <c r="N1273" s="240"/>
      <c r="O1273" s="258"/>
      <c r="P1273" s="224"/>
      <c r="Q1273" s="224"/>
      <c r="R1273" s="224"/>
      <c r="S1273" s="224"/>
      <c r="T1273" s="224"/>
      <c r="U1273" s="259"/>
      <c r="V1273" s="239"/>
      <c r="W1273" s="239"/>
      <c r="X1273" s="239"/>
      <c r="Y1273" s="239"/>
      <c r="Z1273" s="239"/>
      <c r="AA1273" s="257"/>
      <c r="AB1273" s="224"/>
      <c r="AC1273" s="224"/>
      <c r="AD1273" s="224"/>
      <c r="AE1273" s="224"/>
      <c r="AF1273" s="224"/>
      <c r="AG1273" s="259"/>
      <c r="AH1273" s="261"/>
      <c r="AI1273" s="261"/>
      <c r="AJ1273" s="261"/>
      <c r="AK1273" s="261"/>
      <c r="AL1273" s="261"/>
      <c r="AM1273" s="262"/>
    </row>
    <row r="1274" spans="1:39" x14ac:dyDescent="0.25">
      <c r="A1274" s="215"/>
      <c r="B1274" s="215"/>
      <c r="C1274" s="215"/>
      <c r="D1274" s="239"/>
      <c r="E1274" s="239"/>
      <c r="F1274" s="239"/>
      <c r="G1274" s="239"/>
      <c r="H1274" s="239"/>
      <c r="I1274" s="257"/>
      <c r="J1274" s="240"/>
      <c r="K1274" s="240"/>
      <c r="L1274" s="240"/>
      <c r="M1274" s="240"/>
      <c r="N1274" s="240"/>
      <c r="O1274" s="258"/>
      <c r="P1274" s="224"/>
      <c r="Q1274" s="224"/>
      <c r="R1274" s="224"/>
      <c r="S1274" s="224"/>
      <c r="T1274" s="224"/>
      <c r="U1274" s="259"/>
      <c r="V1274" s="239"/>
      <c r="W1274" s="239"/>
      <c r="X1274" s="239"/>
      <c r="Y1274" s="239"/>
      <c r="Z1274" s="239"/>
      <c r="AA1274" s="257"/>
      <c r="AB1274" s="224"/>
      <c r="AC1274" s="224"/>
      <c r="AD1274" s="224"/>
      <c r="AE1274" s="224"/>
      <c r="AF1274" s="224"/>
      <c r="AG1274" s="259"/>
      <c r="AH1274" s="261"/>
      <c r="AI1274" s="261"/>
      <c r="AJ1274" s="261"/>
      <c r="AK1274" s="261"/>
      <c r="AL1274" s="261"/>
      <c r="AM1274" s="262"/>
    </row>
    <row r="1275" spans="1:39" x14ac:dyDescent="0.25">
      <c r="A1275" s="215"/>
      <c r="B1275" s="215"/>
      <c r="C1275" s="215"/>
      <c r="D1275" s="239"/>
      <c r="E1275" s="239"/>
      <c r="F1275" s="239"/>
      <c r="G1275" s="239"/>
      <c r="H1275" s="239"/>
      <c r="I1275" s="257"/>
      <c r="J1275" s="240"/>
      <c r="K1275" s="240"/>
      <c r="L1275" s="240"/>
      <c r="M1275" s="240"/>
      <c r="N1275" s="240"/>
      <c r="O1275" s="258"/>
      <c r="P1275" s="224"/>
      <c r="Q1275" s="224"/>
      <c r="R1275" s="224"/>
      <c r="S1275" s="224"/>
      <c r="T1275" s="224"/>
      <c r="U1275" s="259"/>
      <c r="V1275" s="239"/>
      <c r="W1275" s="239"/>
      <c r="X1275" s="239"/>
      <c r="Y1275" s="239"/>
      <c r="Z1275" s="239"/>
      <c r="AA1275" s="257"/>
      <c r="AB1275" s="224"/>
      <c r="AC1275" s="224"/>
      <c r="AD1275" s="224"/>
      <c r="AE1275" s="224"/>
      <c r="AF1275" s="224"/>
      <c r="AG1275" s="259"/>
      <c r="AH1275" s="261"/>
      <c r="AI1275" s="261"/>
      <c r="AJ1275" s="261"/>
      <c r="AK1275" s="261"/>
      <c r="AL1275" s="261"/>
      <c r="AM1275" s="262"/>
    </row>
    <row r="1276" spans="1:39" x14ac:dyDescent="0.25">
      <c r="A1276" s="215"/>
      <c r="B1276" s="215"/>
      <c r="C1276" s="215"/>
      <c r="D1276" s="239"/>
      <c r="E1276" s="239"/>
      <c r="F1276" s="239"/>
      <c r="G1276" s="239"/>
      <c r="H1276" s="239"/>
      <c r="I1276" s="257"/>
      <c r="J1276" s="240"/>
      <c r="K1276" s="240"/>
      <c r="L1276" s="240"/>
      <c r="M1276" s="240"/>
      <c r="N1276" s="240"/>
      <c r="O1276" s="258"/>
      <c r="P1276" s="224"/>
      <c r="Q1276" s="224"/>
      <c r="R1276" s="224"/>
      <c r="S1276" s="224"/>
      <c r="T1276" s="224"/>
      <c r="U1276" s="259"/>
      <c r="V1276" s="239"/>
      <c r="W1276" s="239"/>
      <c r="X1276" s="239"/>
      <c r="Y1276" s="239"/>
      <c r="Z1276" s="239"/>
      <c r="AA1276" s="257"/>
      <c r="AB1276" s="224"/>
      <c r="AC1276" s="224"/>
      <c r="AD1276" s="224"/>
      <c r="AE1276" s="224"/>
      <c r="AF1276" s="224"/>
      <c r="AG1276" s="259"/>
      <c r="AH1276" s="261"/>
      <c r="AI1276" s="261"/>
      <c r="AJ1276" s="261"/>
      <c r="AK1276" s="261"/>
      <c r="AL1276" s="261"/>
      <c r="AM1276" s="262"/>
    </row>
    <row r="1277" spans="1:39" x14ac:dyDescent="0.25">
      <c r="A1277" s="215"/>
      <c r="B1277" s="215"/>
      <c r="C1277" s="215"/>
      <c r="D1277" s="239"/>
      <c r="E1277" s="239"/>
      <c r="F1277" s="239"/>
      <c r="G1277" s="239"/>
      <c r="H1277" s="239"/>
      <c r="I1277" s="257"/>
      <c r="J1277" s="240"/>
      <c r="K1277" s="240"/>
      <c r="L1277" s="240"/>
      <c r="M1277" s="240"/>
      <c r="N1277" s="240"/>
      <c r="O1277" s="258"/>
      <c r="P1277" s="224"/>
      <c r="Q1277" s="224"/>
      <c r="R1277" s="224"/>
      <c r="S1277" s="224"/>
      <c r="T1277" s="224"/>
      <c r="U1277" s="259"/>
      <c r="V1277" s="239"/>
      <c r="W1277" s="239"/>
      <c r="X1277" s="239"/>
      <c r="Y1277" s="239"/>
      <c r="Z1277" s="239"/>
      <c r="AA1277" s="257"/>
      <c r="AB1277" s="224"/>
      <c r="AC1277" s="224"/>
      <c r="AD1277" s="224"/>
      <c r="AE1277" s="224"/>
      <c r="AF1277" s="224"/>
      <c r="AG1277" s="259"/>
      <c r="AH1277" s="261"/>
      <c r="AI1277" s="261"/>
      <c r="AJ1277" s="261"/>
      <c r="AK1277" s="261"/>
      <c r="AL1277" s="261"/>
      <c r="AM1277" s="262"/>
    </row>
    <row r="1278" spans="1:39" x14ac:dyDescent="0.25">
      <c r="A1278" s="215"/>
      <c r="B1278" s="215"/>
      <c r="C1278" s="215"/>
      <c r="D1278" s="239"/>
      <c r="E1278" s="239"/>
      <c r="F1278" s="239"/>
      <c r="G1278" s="239"/>
      <c r="H1278" s="239"/>
      <c r="I1278" s="257"/>
      <c r="J1278" s="240"/>
      <c r="K1278" s="240"/>
      <c r="L1278" s="240"/>
      <c r="M1278" s="240"/>
      <c r="N1278" s="240"/>
      <c r="O1278" s="258"/>
      <c r="P1278" s="224"/>
      <c r="Q1278" s="224"/>
      <c r="R1278" s="224"/>
      <c r="S1278" s="224"/>
      <c r="T1278" s="224"/>
      <c r="U1278" s="259"/>
      <c r="V1278" s="239"/>
      <c r="W1278" s="239"/>
      <c r="X1278" s="239"/>
      <c r="Y1278" s="239"/>
      <c r="Z1278" s="239"/>
      <c r="AA1278" s="257"/>
      <c r="AB1278" s="224"/>
      <c r="AC1278" s="224"/>
      <c r="AD1278" s="224"/>
      <c r="AE1278" s="224"/>
      <c r="AF1278" s="224"/>
      <c r="AG1278" s="259"/>
      <c r="AH1278" s="261"/>
      <c r="AI1278" s="261"/>
      <c r="AJ1278" s="261"/>
      <c r="AK1278" s="261"/>
      <c r="AL1278" s="261"/>
      <c r="AM1278" s="262"/>
    </row>
    <row r="1279" spans="1:39" x14ac:dyDescent="0.25">
      <c r="A1279" s="215"/>
      <c r="B1279" s="215"/>
      <c r="C1279" s="215"/>
      <c r="D1279" s="239"/>
      <c r="E1279" s="239"/>
      <c r="F1279" s="239"/>
      <c r="G1279" s="239"/>
      <c r="H1279" s="239"/>
      <c r="I1279" s="257"/>
      <c r="J1279" s="240"/>
      <c r="K1279" s="240"/>
      <c r="L1279" s="240"/>
      <c r="M1279" s="240"/>
      <c r="N1279" s="240"/>
      <c r="O1279" s="258"/>
      <c r="P1279" s="224"/>
      <c r="Q1279" s="224"/>
      <c r="R1279" s="224"/>
      <c r="S1279" s="224"/>
      <c r="T1279" s="224"/>
      <c r="U1279" s="259"/>
      <c r="V1279" s="239"/>
      <c r="W1279" s="239"/>
      <c r="X1279" s="239"/>
      <c r="Y1279" s="239"/>
      <c r="Z1279" s="239"/>
      <c r="AA1279" s="257"/>
      <c r="AB1279" s="224"/>
      <c r="AC1279" s="224"/>
      <c r="AD1279" s="224"/>
      <c r="AE1279" s="224"/>
      <c r="AF1279" s="224"/>
      <c r="AG1279" s="259"/>
      <c r="AH1279" s="261"/>
      <c r="AI1279" s="261"/>
      <c r="AJ1279" s="261"/>
      <c r="AK1279" s="261"/>
      <c r="AL1279" s="261"/>
      <c r="AM1279" s="262"/>
    </row>
    <row r="1280" spans="1:39" x14ac:dyDescent="0.25">
      <c r="A1280" s="215"/>
      <c r="B1280" s="215"/>
      <c r="C1280" s="215"/>
      <c r="D1280" s="239"/>
      <c r="E1280" s="239"/>
      <c r="F1280" s="239"/>
      <c r="G1280" s="239"/>
      <c r="H1280" s="239"/>
      <c r="I1280" s="257"/>
      <c r="J1280" s="240"/>
      <c r="K1280" s="240"/>
      <c r="L1280" s="240"/>
      <c r="M1280" s="240"/>
      <c r="N1280" s="240"/>
      <c r="O1280" s="258"/>
      <c r="P1280" s="224"/>
      <c r="Q1280" s="224"/>
      <c r="R1280" s="224"/>
      <c r="S1280" s="224"/>
      <c r="T1280" s="224"/>
      <c r="U1280" s="259"/>
      <c r="V1280" s="239"/>
      <c r="W1280" s="239"/>
      <c r="X1280" s="239"/>
      <c r="Y1280" s="239"/>
      <c r="Z1280" s="239"/>
      <c r="AA1280" s="257"/>
      <c r="AB1280" s="224"/>
      <c r="AC1280" s="224"/>
      <c r="AD1280" s="224"/>
      <c r="AE1280" s="224"/>
      <c r="AF1280" s="224"/>
      <c r="AG1280" s="259"/>
      <c r="AH1280" s="261"/>
      <c r="AI1280" s="261"/>
      <c r="AJ1280" s="261"/>
      <c r="AK1280" s="261"/>
      <c r="AL1280" s="261"/>
      <c r="AM1280" s="262"/>
    </row>
    <row r="1281" spans="1:39" x14ac:dyDescent="0.25">
      <c r="A1281" s="215"/>
      <c r="B1281" s="215"/>
      <c r="C1281" s="215"/>
      <c r="D1281" s="239"/>
      <c r="E1281" s="239"/>
      <c r="F1281" s="239"/>
      <c r="G1281" s="239"/>
      <c r="H1281" s="239"/>
      <c r="I1281" s="257"/>
      <c r="J1281" s="240"/>
      <c r="K1281" s="240"/>
      <c r="L1281" s="240"/>
      <c r="M1281" s="240"/>
      <c r="N1281" s="240"/>
      <c r="O1281" s="258"/>
      <c r="P1281" s="224"/>
      <c r="Q1281" s="224"/>
      <c r="R1281" s="224"/>
      <c r="S1281" s="224"/>
      <c r="T1281" s="224"/>
      <c r="U1281" s="259"/>
      <c r="V1281" s="239"/>
      <c r="W1281" s="239"/>
      <c r="X1281" s="239"/>
      <c r="Y1281" s="239"/>
      <c r="Z1281" s="239"/>
      <c r="AA1281" s="257"/>
      <c r="AB1281" s="224"/>
      <c r="AC1281" s="224"/>
      <c r="AD1281" s="224"/>
      <c r="AE1281" s="224"/>
      <c r="AF1281" s="224"/>
      <c r="AG1281" s="259"/>
      <c r="AH1281" s="261"/>
      <c r="AI1281" s="261"/>
      <c r="AJ1281" s="261"/>
      <c r="AK1281" s="261"/>
      <c r="AL1281" s="261"/>
      <c r="AM1281" s="262"/>
    </row>
    <row r="1282" spans="1:39" x14ac:dyDescent="0.25">
      <c r="A1282" s="215"/>
      <c r="B1282" s="215"/>
      <c r="C1282" s="215"/>
      <c r="D1282" s="239"/>
      <c r="E1282" s="239"/>
      <c r="F1282" s="239"/>
      <c r="G1282" s="239"/>
      <c r="H1282" s="239"/>
      <c r="I1282" s="257"/>
      <c r="J1282" s="240"/>
      <c r="K1282" s="240"/>
      <c r="L1282" s="240"/>
      <c r="M1282" s="240"/>
      <c r="N1282" s="240"/>
      <c r="O1282" s="258"/>
      <c r="P1282" s="224"/>
      <c r="Q1282" s="224"/>
      <c r="R1282" s="224"/>
      <c r="S1282" s="224"/>
      <c r="T1282" s="224"/>
      <c r="U1282" s="259"/>
      <c r="V1282" s="239"/>
      <c r="W1282" s="239"/>
      <c r="X1282" s="239"/>
      <c r="Y1282" s="239"/>
      <c r="Z1282" s="239"/>
      <c r="AA1282" s="257"/>
      <c r="AB1282" s="224"/>
      <c r="AC1282" s="224"/>
      <c r="AD1282" s="224"/>
      <c r="AE1282" s="224"/>
      <c r="AF1282" s="224"/>
      <c r="AG1282" s="259"/>
      <c r="AH1282" s="261"/>
      <c r="AI1282" s="261"/>
      <c r="AJ1282" s="261"/>
      <c r="AK1282" s="261"/>
      <c r="AL1282" s="261"/>
      <c r="AM1282" s="262"/>
    </row>
    <row r="1283" spans="1:39" x14ac:dyDescent="0.25">
      <c r="A1283" s="215"/>
      <c r="B1283" s="215"/>
      <c r="C1283" s="215"/>
      <c r="D1283" s="239"/>
      <c r="E1283" s="239"/>
      <c r="F1283" s="239"/>
      <c r="G1283" s="239"/>
      <c r="H1283" s="239"/>
      <c r="I1283" s="257"/>
      <c r="J1283" s="240"/>
      <c r="K1283" s="240"/>
      <c r="L1283" s="240"/>
      <c r="M1283" s="240"/>
      <c r="N1283" s="240"/>
      <c r="O1283" s="258"/>
      <c r="P1283" s="224"/>
      <c r="Q1283" s="224"/>
      <c r="R1283" s="224"/>
      <c r="S1283" s="224"/>
      <c r="T1283" s="224"/>
      <c r="U1283" s="259"/>
      <c r="V1283" s="239"/>
      <c r="W1283" s="239"/>
      <c r="X1283" s="239"/>
      <c r="Y1283" s="239"/>
      <c r="Z1283" s="239"/>
      <c r="AA1283" s="257"/>
      <c r="AB1283" s="224"/>
      <c r="AC1283" s="224"/>
      <c r="AD1283" s="224"/>
      <c r="AE1283" s="224"/>
      <c r="AF1283" s="224"/>
      <c r="AG1283" s="259"/>
      <c r="AH1283" s="261"/>
      <c r="AI1283" s="261"/>
      <c r="AJ1283" s="261"/>
      <c r="AK1283" s="261"/>
      <c r="AL1283" s="261"/>
      <c r="AM1283" s="262"/>
    </row>
    <row r="1284" spans="1:39" x14ac:dyDescent="0.25">
      <c r="A1284" s="215"/>
      <c r="B1284" s="215"/>
      <c r="C1284" s="215"/>
      <c r="D1284" s="239"/>
      <c r="E1284" s="239"/>
      <c r="F1284" s="239"/>
      <c r="G1284" s="239"/>
      <c r="H1284" s="239"/>
      <c r="I1284" s="257"/>
      <c r="J1284" s="240"/>
      <c r="K1284" s="240"/>
      <c r="L1284" s="240"/>
      <c r="M1284" s="240"/>
      <c r="N1284" s="240"/>
      <c r="O1284" s="258"/>
      <c r="P1284" s="224"/>
      <c r="Q1284" s="224"/>
      <c r="R1284" s="224"/>
      <c r="S1284" s="224"/>
      <c r="T1284" s="224"/>
      <c r="U1284" s="259"/>
      <c r="V1284" s="239"/>
      <c r="W1284" s="239"/>
      <c r="X1284" s="239"/>
      <c r="Y1284" s="239"/>
      <c r="Z1284" s="239"/>
      <c r="AA1284" s="257"/>
      <c r="AB1284" s="224"/>
      <c r="AC1284" s="224"/>
      <c r="AD1284" s="224"/>
      <c r="AE1284" s="224"/>
      <c r="AF1284" s="224"/>
      <c r="AG1284" s="259"/>
      <c r="AH1284" s="261"/>
      <c r="AI1284" s="261"/>
      <c r="AJ1284" s="261"/>
      <c r="AK1284" s="261"/>
      <c r="AL1284" s="261"/>
      <c r="AM1284" s="262"/>
    </row>
    <row r="1285" spans="1:39" x14ac:dyDescent="0.25">
      <c r="A1285" s="215"/>
      <c r="B1285" s="215"/>
      <c r="C1285" s="215"/>
      <c r="D1285" s="239"/>
      <c r="E1285" s="239"/>
      <c r="F1285" s="239"/>
      <c r="G1285" s="239"/>
      <c r="H1285" s="239"/>
      <c r="I1285" s="257"/>
      <c r="J1285" s="240"/>
      <c r="K1285" s="240"/>
      <c r="L1285" s="240"/>
      <c r="M1285" s="240"/>
      <c r="N1285" s="240"/>
      <c r="O1285" s="258"/>
      <c r="P1285" s="224"/>
      <c r="Q1285" s="224"/>
      <c r="R1285" s="224"/>
      <c r="S1285" s="224"/>
      <c r="T1285" s="224"/>
      <c r="U1285" s="259"/>
      <c r="V1285" s="239"/>
      <c r="W1285" s="239"/>
      <c r="X1285" s="239"/>
      <c r="Y1285" s="239"/>
      <c r="Z1285" s="239"/>
      <c r="AA1285" s="257"/>
      <c r="AB1285" s="224"/>
      <c r="AC1285" s="224"/>
      <c r="AD1285" s="224"/>
      <c r="AE1285" s="224"/>
      <c r="AF1285" s="224"/>
      <c r="AG1285" s="259"/>
      <c r="AH1285" s="261"/>
      <c r="AI1285" s="261"/>
      <c r="AJ1285" s="261"/>
      <c r="AK1285" s="261"/>
      <c r="AL1285" s="261"/>
      <c r="AM1285" s="262"/>
    </row>
    <row r="1286" spans="1:39" x14ac:dyDescent="0.25">
      <c r="A1286" s="215"/>
      <c r="B1286" s="215"/>
      <c r="C1286" s="215"/>
      <c r="D1286" s="239"/>
      <c r="E1286" s="239"/>
      <c r="F1286" s="239"/>
      <c r="G1286" s="239"/>
      <c r="H1286" s="239"/>
      <c r="I1286" s="257"/>
      <c r="J1286" s="240"/>
      <c r="K1286" s="240"/>
      <c r="L1286" s="240"/>
      <c r="M1286" s="240"/>
      <c r="N1286" s="240"/>
      <c r="O1286" s="258"/>
      <c r="P1286" s="224"/>
      <c r="Q1286" s="224"/>
      <c r="R1286" s="224"/>
      <c r="S1286" s="224"/>
      <c r="T1286" s="224"/>
      <c r="U1286" s="259"/>
      <c r="V1286" s="239"/>
      <c r="W1286" s="239"/>
      <c r="X1286" s="239"/>
      <c r="Y1286" s="239"/>
      <c r="Z1286" s="239"/>
      <c r="AA1286" s="257"/>
      <c r="AB1286" s="224"/>
      <c r="AC1286" s="224"/>
      <c r="AD1286" s="224"/>
      <c r="AE1286" s="224"/>
      <c r="AF1286" s="224"/>
      <c r="AG1286" s="259"/>
      <c r="AH1286" s="261"/>
      <c r="AI1286" s="261"/>
      <c r="AJ1286" s="261"/>
      <c r="AK1286" s="261"/>
      <c r="AL1286" s="261"/>
      <c r="AM1286" s="262"/>
    </row>
    <row r="1287" spans="1:39" x14ac:dyDescent="0.25">
      <c r="A1287" s="215"/>
      <c r="B1287" s="215"/>
      <c r="C1287" s="215"/>
      <c r="D1287" s="239"/>
      <c r="E1287" s="239"/>
      <c r="F1287" s="239"/>
      <c r="G1287" s="239"/>
      <c r="H1287" s="239"/>
      <c r="I1287" s="257"/>
      <c r="J1287" s="240"/>
      <c r="K1287" s="240"/>
      <c r="L1287" s="240"/>
      <c r="M1287" s="240"/>
      <c r="N1287" s="240"/>
      <c r="O1287" s="258"/>
      <c r="P1287" s="224"/>
      <c r="Q1287" s="224"/>
      <c r="R1287" s="224"/>
      <c r="S1287" s="224"/>
      <c r="T1287" s="224"/>
      <c r="U1287" s="259"/>
      <c r="V1287" s="239"/>
      <c r="W1287" s="239"/>
      <c r="X1287" s="239"/>
      <c r="Y1287" s="239"/>
      <c r="Z1287" s="239"/>
      <c r="AA1287" s="257"/>
      <c r="AB1287" s="224"/>
      <c r="AC1287" s="224"/>
      <c r="AD1287" s="224"/>
      <c r="AE1287" s="224"/>
      <c r="AF1287" s="224"/>
      <c r="AG1287" s="259"/>
      <c r="AH1287" s="261"/>
      <c r="AI1287" s="261"/>
      <c r="AJ1287" s="261"/>
      <c r="AK1287" s="261"/>
      <c r="AL1287" s="261"/>
      <c r="AM1287" s="262"/>
    </row>
    <row r="1288" spans="1:39" x14ac:dyDescent="0.25">
      <c r="A1288" s="215"/>
      <c r="B1288" s="215"/>
      <c r="C1288" s="215"/>
      <c r="D1288" s="239"/>
      <c r="E1288" s="239"/>
      <c r="F1288" s="239"/>
      <c r="G1288" s="239"/>
      <c r="H1288" s="239"/>
      <c r="I1288" s="257"/>
      <c r="J1288" s="240"/>
      <c r="K1288" s="240"/>
      <c r="L1288" s="240"/>
      <c r="M1288" s="240"/>
      <c r="N1288" s="240"/>
      <c r="O1288" s="258"/>
      <c r="P1288" s="224"/>
      <c r="Q1288" s="224"/>
      <c r="R1288" s="224"/>
      <c r="S1288" s="224"/>
      <c r="T1288" s="224"/>
      <c r="U1288" s="259"/>
      <c r="V1288" s="239"/>
      <c r="W1288" s="239"/>
      <c r="X1288" s="239"/>
      <c r="Y1288" s="239"/>
      <c r="Z1288" s="239"/>
      <c r="AA1288" s="257"/>
      <c r="AB1288" s="224"/>
      <c r="AC1288" s="224"/>
      <c r="AD1288" s="224"/>
      <c r="AE1288" s="224"/>
      <c r="AF1288" s="224"/>
      <c r="AG1288" s="259"/>
      <c r="AH1288" s="261"/>
      <c r="AI1288" s="261"/>
      <c r="AJ1288" s="261"/>
      <c r="AK1288" s="261"/>
      <c r="AL1288" s="261"/>
      <c r="AM1288" s="262"/>
    </row>
    <row r="1289" spans="1:39" x14ac:dyDescent="0.25">
      <c r="A1289" s="215"/>
      <c r="B1289" s="215"/>
      <c r="C1289" s="215"/>
      <c r="D1289" s="239"/>
      <c r="E1289" s="239"/>
      <c r="F1289" s="239"/>
      <c r="G1289" s="239"/>
      <c r="H1289" s="239"/>
      <c r="I1289" s="257"/>
      <c r="J1289" s="240"/>
      <c r="K1289" s="240"/>
      <c r="L1289" s="240"/>
      <c r="M1289" s="240"/>
      <c r="N1289" s="240"/>
      <c r="O1289" s="258"/>
      <c r="P1289" s="224"/>
      <c r="Q1289" s="224"/>
      <c r="R1289" s="224"/>
      <c r="S1289" s="224"/>
      <c r="T1289" s="224"/>
      <c r="U1289" s="259"/>
      <c r="V1289" s="239"/>
      <c r="W1289" s="239"/>
      <c r="X1289" s="239"/>
      <c r="Y1289" s="239"/>
      <c r="Z1289" s="239"/>
      <c r="AA1289" s="257"/>
      <c r="AB1289" s="224"/>
      <c r="AC1289" s="224"/>
      <c r="AD1289" s="224"/>
      <c r="AE1289" s="224"/>
      <c r="AF1289" s="224"/>
      <c r="AG1289" s="259"/>
      <c r="AH1289" s="261"/>
      <c r="AI1289" s="261"/>
      <c r="AJ1289" s="261"/>
      <c r="AK1289" s="261"/>
      <c r="AL1289" s="261"/>
      <c r="AM1289" s="262"/>
    </row>
    <row r="1290" spans="1:39" x14ac:dyDescent="0.25">
      <c r="A1290" s="215"/>
      <c r="B1290" s="215"/>
      <c r="C1290" s="215"/>
      <c r="D1290" s="239"/>
      <c r="E1290" s="239"/>
      <c r="F1290" s="239"/>
      <c r="G1290" s="239"/>
      <c r="H1290" s="239"/>
      <c r="I1290" s="257"/>
      <c r="J1290" s="240"/>
      <c r="K1290" s="240"/>
      <c r="L1290" s="240"/>
      <c r="M1290" s="240"/>
      <c r="N1290" s="240"/>
      <c r="O1290" s="258"/>
      <c r="P1290" s="224"/>
      <c r="Q1290" s="224"/>
      <c r="R1290" s="224"/>
      <c r="S1290" s="224"/>
      <c r="T1290" s="224"/>
      <c r="U1290" s="259"/>
      <c r="V1290" s="239"/>
      <c r="W1290" s="239"/>
      <c r="X1290" s="239"/>
      <c r="Y1290" s="239"/>
      <c r="Z1290" s="239"/>
      <c r="AA1290" s="257"/>
      <c r="AB1290" s="224"/>
      <c r="AC1290" s="224"/>
      <c r="AD1290" s="224"/>
      <c r="AE1290" s="224"/>
      <c r="AF1290" s="224"/>
      <c r="AG1290" s="259"/>
      <c r="AH1290" s="261"/>
      <c r="AI1290" s="261"/>
      <c r="AJ1290" s="261"/>
      <c r="AK1290" s="261"/>
      <c r="AL1290" s="261"/>
      <c r="AM1290" s="262"/>
    </row>
    <row r="1291" spans="1:39" x14ac:dyDescent="0.25">
      <c r="A1291" s="215"/>
      <c r="B1291" s="215"/>
      <c r="C1291" s="215"/>
      <c r="D1291" s="239"/>
      <c r="E1291" s="239"/>
      <c r="F1291" s="239"/>
      <c r="G1291" s="239"/>
      <c r="H1291" s="239"/>
      <c r="I1291" s="257"/>
      <c r="J1291" s="240"/>
      <c r="K1291" s="240"/>
      <c r="L1291" s="240"/>
      <c r="M1291" s="240"/>
      <c r="N1291" s="240"/>
      <c r="O1291" s="258"/>
      <c r="P1291" s="224"/>
      <c r="Q1291" s="224"/>
      <c r="R1291" s="224"/>
      <c r="S1291" s="224"/>
      <c r="T1291" s="224"/>
      <c r="U1291" s="259"/>
      <c r="V1291" s="239"/>
      <c r="W1291" s="239"/>
      <c r="X1291" s="239"/>
      <c r="Y1291" s="239"/>
      <c r="Z1291" s="239"/>
      <c r="AA1291" s="257"/>
      <c r="AB1291" s="224"/>
      <c r="AC1291" s="224"/>
      <c r="AD1291" s="224"/>
      <c r="AE1291" s="224"/>
      <c r="AF1291" s="224"/>
      <c r="AG1291" s="259"/>
      <c r="AH1291" s="261"/>
      <c r="AI1291" s="261"/>
      <c r="AJ1291" s="261"/>
      <c r="AK1291" s="261"/>
      <c r="AL1291" s="261"/>
      <c r="AM1291" s="262"/>
    </row>
    <row r="1292" spans="1:39" x14ac:dyDescent="0.25">
      <c r="A1292" s="215"/>
      <c r="B1292" s="215"/>
      <c r="C1292" s="215"/>
      <c r="D1292" s="239"/>
      <c r="E1292" s="239"/>
      <c r="F1292" s="239"/>
      <c r="G1292" s="239"/>
      <c r="H1292" s="239"/>
      <c r="I1292" s="257"/>
      <c r="J1292" s="240"/>
      <c r="K1292" s="240"/>
      <c r="L1292" s="240"/>
      <c r="M1292" s="240"/>
      <c r="N1292" s="240"/>
      <c r="O1292" s="258"/>
      <c r="P1292" s="224"/>
      <c r="Q1292" s="224"/>
      <c r="R1292" s="224"/>
      <c r="S1292" s="224"/>
      <c r="T1292" s="224"/>
      <c r="U1292" s="259"/>
      <c r="V1292" s="239"/>
      <c r="W1292" s="239"/>
      <c r="X1292" s="239"/>
      <c r="Y1292" s="239"/>
      <c r="Z1292" s="239"/>
      <c r="AA1292" s="257"/>
      <c r="AB1292" s="224"/>
      <c r="AC1292" s="224"/>
      <c r="AD1292" s="224"/>
      <c r="AE1292" s="224"/>
      <c r="AF1292" s="224"/>
      <c r="AG1292" s="259"/>
      <c r="AH1292" s="261"/>
      <c r="AI1292" s="261"/>
      <c r="AJ1292" s="261"/>
      <c r="AK1292" s="261"/>
      <c r="AL1292" s="261"/>
      <c r="AM1292" s="262"/>
    </row>
    <row r="1293" spans="1:39" x14ac:dyDescent="0.25">
      <c r="A1293" s="215"/>
      <c r="B1293" s="215"/>
      <c r="C1293" s="215"/>
      <c r="D1293" s="239"/>
      <c r="E1293" s="239"/>
      <c r="F1293" s="239"/>
      <c r="G1293" s="239"/>
      <c r="H1293" s="239"/>
      <c r="I1293" s="257"/>
      <c r="J1293" s="240"/>
      <c r="K1293" s="240"/>
      <c r="L1293" s="240"/>
      <c r="M1293" s="240"/>
      <c r="N1293" s="240"/>
      <c r="O1293" s="258"/>
      <c r="P1293" s="224"/>
      <c r="Q1293" s="224"/>
      <c r="R1293" s="224"/>
      <c r="S1293" s="224"/>
      <c r="T1293" s="224"/>
      <c r="U1293" s="259"/>
      <c r="V1293" s="239"/>
      <c r="W1293" s="239"/>
      <c r="X1293" s="239"/>
      <c r="Y1293" s="239"/>
      <c r="Z1293" s="239"/>
      <c r="AA1293" s="257"/>
      <c r="AB1293" s="224"/>
      <c r="AC1293" s="224"/>
      <c r="AD1293" s="224"/>
      <c r="AE1293" s="224"/>
      <c r="AF1293" s="224"/>
      <c r="AG1293" s="259"/>
      <c r="AH1293" s="261"/>
      <c r="AI1293" s="261"/>
      <c r="AJ1293" s="261"/>
      <c r="AK1293" s="261"/>
      <c r="AL1293" s="261"/>
      <c r="AM1293" s="262"/>
    </row>
    <row r="1294" spans="1:39" x14ac:dyDescent="0.25">
      <c r="A1294" s="215"/>
      <c r="B1294" s="215"/>
      <c r="C1294" s="215"/>
      <c r="D1294" s="239"/>
      <c r="E1294" s="239"/>
      <c r="F1294" s="239"/>
      <c r="G1294" s="239"/>
      <c r="H1294" s="239"/>
      <c r="I1294" s="257"/>
      <c r="J1294" s="240"/>
      <c r="K1294" s="240"/>
      <c r="L1294" s="240"/>
      <c r="M1294" s="240"/>
      <c r="N1294" s="240"/>
      <c r="O1294" s="258"/>
      <c r="P1294" s="224"/>
      <c r="Q1294" s="224"/>
      <c r="R1294" s="224"/>
      <c r="S1294" s="224"/>
      <c r="T1294" s="224"/>
      <c r="U1294" s="259"/>
      <c r="V1294" s="239"/>
      <c r="W1294" s="239"/>
      <c r="X1294" s="239"/>
      <c r="Y1294" s="239"/>
      <c r="Z1294" s="239"/>
      <c r="AA1294" s="257"/>
      <c r="AB1294" s="224"/>
      <c r="AC1294" s="224"/>
      <c r="AD1294" s="224"/>
      <c r="AE1294" s="224"/>
      <c r="AF1294" s="224"/>
      <c r="AG1294" s="259"/>
      <c r="AH1294" s="261"/>
      <c r="AI1294" s="261"/>
      <c r="AJ1294" s="261"/>
      <c r="AK1294" s="261"/>
      <c r="AL1294" s="261"/>
      <c r="AM1294" s="262"/>
    </row>
    <row r="1295" spans="1:39" x14ac:dyDescent="0.25">
      <c r="A1295" s="215"/>
      <c r="B1295" s="215"/>
      <c r="C1295" s="215"/>
      <c r="D1295" s="239"/>
      <c r="E1295" s="239"/>
      <c r="F1295" s="239"/>
      <c r="G1295" s="239"/>
      <c r="H1295" s="239"/>
      <c r="I1295" s="257"/>
      <c r="J1295" s="240"/>
      <c r="K1295" s="240"/>
      <c r="L1295" s="240"/>
      <c r="M1295" s="240"/>
      <c r="N1295" s="240"/>
      <c r="O1295" s="258"/>
      <c r="P1295" s="224"/>
      <c r="Q1295" s="224"/>
      <c r="R1295" s="224"/>
      <c r="S1295" s="224"/>
      <c r="T1295" s="224"/>
      <c r="U1295" s="259"/>
      <c r="V1295" s="239"/>
      <c r="W1295" s="239"/>
      <c r="X1295" s="239"/>
      <c r="Y1295" s="239"/>
      <c r="Z1295" s="239"/>
      <c r="AA1295" s="257"/>
      <c r="AB1295" s="224"/>
      <c r="AC1295" s="224"/>
      <c r="AD1295" s="224"/>
      <c r="AE1295" s="224"/>
      <c r="AF1295" s="224"/>
      <c r="AG1295" s="259"/>
      <c r="AH1295" s="261"/>
      <c r="AI1295" s="261"/>
      <c r="AJ1295" s="261"/>
      <c r="AK1295" s="261"/>
      <c r="AL1295" s="261"/>
      <c r="AM1295" s="262"/>
    </row>
    <row r="1296" spans="1:39" x14ac:dyDescent="0.25">
      <c r="A1296" s="215"/>
      <c r="B1296" s="215"/>
      <c r="C1296" s="215"/>
      <c r="D1296" s="239"/>
      <c r="E1296" s="239"/>
      <c r="F1296" s="239"/>
      <c r="G1296" s="239"/>
      <c r="H1296" s="239"/>
      <c r="I1296" s="257"/>
      <c r="J1296" s="240"/>
      <c r="K1296" s="240"/>
      <c r="L1296" s="240"/>
      <c r="M1296" s="240"/>
      <c r="N1296" s="240"/>
      <c r="O1296" s="258"/>
      <c r="P1296" s="224"/>
      <c r="Q1296" s="224"/>
      <c r="R1296" s="224"/>
      <c r="S1296" s="224"/>
      <c r="T1296" s="224"/>
      <c r="U1296" s="259"/>
      <c r="V1296" s="239"/>
      <c r="W1296" s="239"/>
      <c r="X1296" s="239"/>
      <c r="Y1296" s="239"/>
      <c r="Z1296" s="239"/>
      <c r="AA1296" s="257"/>
      <c r="AB1296" s="224"/>
      <c r="AC1296" s="224"/>
      <c r="AD1296" s="224"/>
      <c r="AE1296" s="224"/>
      <c r="AF1296" s="224"/>
      <c r="AG1296" s="259"/>
      <c r="AH1296" s="261"/>
      <c r="AI1296" s="261"/>
      <c r="AJ1296" s="261"/>
      <c r="AK1296" s="261"/>
      <c r="AL1296" s="261"/>
      <c r="AM1296" s="262"/>
    </row>
    <row r="1297" spans="1:39" x14ac:dyDescent="0.25">
      <c r="A1297" s="215"/>
      <c r="B1297" s="215"/>
      <c r="C1297" s="215"/>
      <c r="D1297" s="239"/>
      <c r="E1297" s="239"/>
      <c r="F1297" s="239"/>
      <c r="G1297" s="239"/>
      <c r="H1297" s="239"/>
      <c r="I1297" s="257"/>
      <c r="J1297" s="240"/>
      <c r="K1297" s="240"/>
      <c r="L1297" s="240"/>
      <c r="M1297" s="240"/>
      <c r="N1297" s="240"/>
      <c r="O1297" s="258"/>
      <c r="P1297" s="224"/>
      <c r="Q1297" s="224"/>
      <c r="R1297" s="224"/>
      <c r="S1297" s="224"/>
      <c r="T1297" s="224"/>
      <c r="U1297" s="259"/>
      <c r="V1297" s="239"/>
      <c r="W1297" s="239"/>
      <c r="X1297" s="239"/>
      <c r="Y1297" s="239"/>
      <c r="Z1297" s="239"/>
      <c r="AA1297" s="257"/>
      <c r="AB1297" s="224"/>
      <c r="AC1297" s="224"/>
      <c r="AD1297" s="224"/>
      <c r="AE1297" s="224"/>
      <c r="AF1297" s="224"/>
      <c r="AG1297" s="259"/>
      <c r="AH1297" s="261"/>
      <c r="AI1297" s="261"/>
      <c r="AJ1297" s="261"/>
      <c r="AK1297" s="261"/>
      <c r="AL1297" s="261"/>
      <c r="AM1297" s="262"/>
    </row>
    <row r="1298" spans="1:39" x14ac:dyDescent="0.25">
      <c r="A1298" s="215"/>
      <c r="B1298" s="215"/>
      <c r="C1298" s="215"/>
      <c r="D1298" s="239"/>
      <c r="E1298" s="239"/>
      <c r="F1298" s="239"/>
      <c r="G1298" s="239"/>
      <c r="H1298" s="239"/>
      <c r="I1298" s="257"/>
      <c r="J1298" s="240"/>
      <c r="K1298" s="240"/>
      <c r="L1298" s="240"/>
      <c r="M1298" s="240"/>
      <c r="N1298" s="240"/>
      <c r="O1298" s="258"/>
      <c r="P1298" s="224"/>
      <c r="Q1298" s="224"/>
      <c r="R1298" s="224"/>
      <c r="S1298" s="224"/>
      <c r="T1298" s="224"/>
      <c r="U1298" s="259"/>
      <c r="V1298" s="239"/>
      <c r="W1298" s="239"/>
      <c r="X1298" s="239"/>
      <c r="Y1298" s="239"/>
      <c r="Z1298" s="239"/>
      <c r="AA1298" s="257"/>
      <c r="AB1298" s="224"/>
      <c r="AC1298" s="224"/>
      <c r="AD1298" s="224"/>
      <c r="AE1298" s="224"/>
      <c r="AF1298" s="224"/>
      <c r="AG1298" s="259"/>
      <c r="AH1298" s="261"/>
      <c r="AI1298" s="261"/>
      <c r="AJ1298" s="261"/>
      <c r="AK1298" s="261"/>
      <c r="AL1298" s="261"/>
      <c r="AM1298" s="262"/>
    </row>
    <row r="1299" spans="1:39" x14ac:dyDescent="0.25">
      <c r="A1299" s="215"/>
      <c r="B1299" s="215"/>
      <c r="C1299" s="215"/>
      <c r="D1299" s="239"/>
      <c r="E1299" s="239"/>
      <c r="F1299" s="239"/>
      <c r="G1299" s="239"/>
      <c r="H1299" s="239"/>
      <c r="I1299" s="257"/>
      <c r="J1299" s="240"/>
      <c r="K1299" s="240"/>
      <c r="L1299" s="240"/>
      <c r="M1299" s="240"/>
      <c r="N1299" s="240"/>
      <c r="O1299" s="258"/>
      <c r="P1299" s="224"/>
      <c r="Q1299" s="224"/>
      <c r="R1299" s="224"/>
      <c r="S1299" s="224"/>
      <c r="T1299" s="224"/>
      <c r="U1299" s="259"/>
      <c r="V1299" s="239"/>
      <c r="W1299" s="239"/>
      <c r="X1299" s="239"/>
      <c r="Y1299" s="239"/>
      <c r="Z1299" s="239"/>
      <c r="AA1299" s="257"/>
      <c r="AB1299" s="224"/>
      <c r="AC1299" s="224"/>
      <c r="AD1299" s="224"/>
      <c r="AE1299" s="224"/>
      <c r="AF1299" s="224"/>
      <c r="AG1299" s="259"/>
      <c r="AH1299" s="261"/>
      <c r="AI1299" s="261"/>
      <c r="AJ1299" s="261"/>
      <c r="AK1299" s="261"/>
      <c r="AL1299" s="261"/>
      <c r="AM1299" s="262"/>
    </row>
    <row r="1300" spans="1:39" x14ac:dyDescent="0.25">
      <c r="A1300" s="215"/>
      <c r="B1300" s="215"/>
      <c r="C1300" s="215"/>
      <c r="D1300" s="239"/>
      <c r="E1300" s="239"/>
      <c r="F1300" s="239"/>
      <c r="G1300" s="239"/>
      <c r="H1300" s="239"/>
      <c r="I1300" s="257"/>
      <c r="J1300" s="240"/>
      <c r="K1300" s="240"/>
      <c r="L1300" s="240"/>
      <c r="M1300" s="240"/>
      <c r="N1300" s="240"/>
      <c r="O1300" s="258"/>
      <c r="P1300" s="224"/>
      <c r="Q1300" s="224"/>
      <c r="R1300" s="224"/>
      <c r="S1300" s="224"/>
      <c r="T1300" s="224"/>
      <c r="U1300" s="259"/>
      <c r="V1300" s="239"/>
      <c r="W1300" s="239"/>
      <c r="X1300" s="239"/>
      <c r="Y1300" s="239"/>
      <c r="Z1300" s="239"/>
      <c r="AA1300" s="257"/>
      <c r="AB1300" s="224"/>
      <c r="AC1300" s="224"/>
      <c r="AD1300" s="224"/>
      <c r="AE1300" s="224"/>
      <c r="AF1300" s="224"/>
      <c r="AG1300" s="259"/>
      <c r="AH1300" s="261"/>
      <c r="AI1300" s="261"/>
      <c r="AJ1300" s="261"/>
      <c r="AK1300" s="261"/>
      <c r="AL1300" s="261"/>
      <c r="AM1300" s="262"/>
    </row>
    <row r="1301" spans="1:39" x14ac:dyDescent="0.25">
      <c r="A1301" s="215"/>
      <c r="B1301" s="215"/>
      <c r="C1301" s="215"/>
      <c r="D1301" s="239"/>
      <c r="E1301" s="239"/>
      <c r="F1301" s="239"/>
      <c r="G1301" s="239"/>
      <c r="H1301" s="239"/>
      <c r="I1301" s="257"/>
      <c r="J1301" s="240"/>
      <c r="K1301" s="240"/>
      <c r="L1301" s="240"/>
      <c r="M1301" s="240"/>
      <c r="N1301" s="240"/>
      <c r="O1301" s="258"/>
      <c r="P1301" s="224"/>
      <c r="Q1301" s="224"/>
      <c r="R1301" s="224"/>
      <c r="S1301" s="224"/>
      <c r="T1301" s="224"/>
      <c r="U1301" s="259"/>
      <c r="V1301" s="239"/>
      <c r="W1301" s="239"/>
      <c r="X1301" s="239"/>
      <c r="Y1301" s="239"/>
      <c r="Z1301" s="239"/>
      <c r="AA1301" s="257"/>
      <c r="AB1301" s="224"/>
      <c r="AC1301" s="224"/>
      <c r="AD1301" s="224"/>
      <c r="AE1301" s="224"/>
      <c r="AF1301" s="224"/>
      <c r="AG1301" s="259"/>
      <c r="AH1301" s="261"/>
      <c r="AI1301" s="261"/>
      <c r="AJ1301" s="261"/>
      <c r="AK1301" s="261"/>
      <c r="AL1301" s="261"/>
      <c r="AM1301" s="262"/>
    </row>
    <row r="1302" spans="1:39" x14ac:dyDescent="0.25">
      <c r="A1302" s="215"/>
      <c r="B1302" s="215"/>
      <c r="C1302" s="215"/>
      <c r="D1302" s="239"/>
      <c r="E1302" s="239"/>
      <c r="F1302" s="239"/>
      <c r="G1302" s="239"/>
      <c r="H1302" s="239"/>
      <c r="I1302" s="257"/>
      <c r="J1302" s="240"/>
      <c r="K1302" s="240"/>
      <c r="L1302" s="240"/>
      <c r="M1302" s="240"/>
      <c r="N1302" s="240"/>
      <c r="O1302" s="258"/>
      <c r="P1302" s="224"/>
      <c r="Q1302" s="224"/>
      <c r="R1302" s="224"/>
      <c r="S1302" s="224"/>
      <c r="T1302" s="224"/>
      <c r="U1302" s="259"/>
      <c r="V1302" s="239"/>
      <c r="W1302" s="239"/>
      <c r="X1302" s="239"/>
      <c r="Y1302" s="239"/>
      <c r="Z1302" s="239"/>
      <c r="AA1302" s="257"/>
      <c r="AB1302" s="224"/>
      <c r="AC1302" s="224"/>
      <c r="AD1302" s="224"/>
      <c r="AE1302" s="224"/>
      <c r="AF1302" s="224"/>
      <c r="AG1302" s="259"/>
      <c r="AH1302" s="261"/>
      <c r="AI1302" s="261"/>
      <c r="AJ1302" s="261"/>
      <c r="AK1302" s="261"/>
      <c r="AL1302" s="261"/>
      <c r="AM1302" s="262"/>
    </row>
    <row r="1303" spans="1:39" x14ac:dyDescent="0.25">
      <c r="A1303" s="215"/>
      <c r="B1303" s="215"/>
      <c r="C1303" s="215"/>
      <c r="D1303" s="239"/>
      <c r="E1303" s="239"/>
      <c r="F1303" s="239"/>
      <c r="G1303" s="239"/>
      <c r="H1303" s="239"/>
      <c r="I1303" s="257"/>
      <c r="J1303" s="240"/>
      <c r="K1303" s="240"/>
      <c r="L1303" s="240"/>
      <c r="M1303" s="240"/>
      <c r="N1303" s="240"/>
      <c r="O1303" s="258"/>
      <c r="P1303" s="224"/>
      <c r="Q1303" s="224"/>
      <c r="R1303" s="224"/>
      <c r="S1303" s="224"/>
      <c r="T1303" s="224"/>
      <c r="U1303" s="259"/>
      <c r="V1303" s="239"/>
      <c r="W1303" s="239"/>
      <c r="X1303" s="239"/>
      <c r="Y1303" s="239"/>
      <c r="Z1303" s="239"/>
      <c r="AA1303" s="257"/>
      <c r="AB1303" s="224"/>
      <c r="AC1303" s="224"/>
      <c r="AD1303" s="224"/>
      <c r="AE1303" s="224"/>
      <c r="AF1303" s="224"/>
      <c r="AG1303" s="259"/>
      <c r="AH1303" s="261"/>
      <c r="AI1303" s="261"/>
      <c r="AJ1303" s="261"/>
      <c r="AK1303" s="261"/>
      <c r="AL1303" s="261"/>
      <c r="AM1303" s="262"/>
    </row>
    <row r="1304" spans="1:39" x14ac:dyDescent="0.25">
      <c r="A1304" s="215"/>
      <c r="B1304" s="215"/>
      <c r="C1304" s="215"/>
      <c r="D1304" s="239"/>
      <c r="E1304" s="239"/>
      <c r="F1304" s="239"/>
      <c r="G1304" s="239"/>
      <c r="H1304" s="239"/>
      <c r="I1304" s="257"/>
      <c r="J1304" s="240"/>
      <c r="K1304" s="240"/>
      <c r="L1304" s="240"/>
      <c r="M1304" s="240"/>
      <c r="N1304" s="240"/>
      <c r="O1304" s="258"/>
      <c r="P1304" s="224"/>
      <c r="Q1304" s="224"/>
      <c r="R1304" s="224"/>
      <c r="S1304" s="224"/>
      <c r="T1304" s="224"/>
      <c r="U1304" s="259"/>
      <c r="V1304" s="239"/>
      <c r="W1304" s="239"/>
      <c r="X1304" s="239"/>
      <c r="Y1304" s="239"/>
      <c r="Z1304" s="239"/>
      <c r="AA1304" s="257"/>
      <c r="AB1304" s="224"/>
      <c r="AC1304" s="224"/>
      <c r="AD1304" s="224"/>
      <c r="AE1304" s="224"/>
      <c r="AF1304" s="224"/>
      <c r="AG1304" s="259"/>
      <c r="AH1304" s="261"/>
      <c r="AI1304" s="261"/>
      <c r="AJ1304" s="261"/>
      <c r="AK1304" s="261"/>
      <c r="AL1304" s="261"/>
      <c r="AM1304" s="262"/>
    </row>
    <row r="1305" spans="1:39" x14ac:dyDescent="0.25">
      <c r="A1305" s="215"/>
      <c r="B1305" s="215"/>
      <c r="C1305" s="215"/>
      <c r="D1305" s="239"/>
      <c r="E1305" s="239"/>
      <c r="F1305" s="239"/>
      <c r="G1305" s="239"/>
      <c r="H1305" s="239"/>
      <c r="I1305" s="257"/>
      <c r="J1305" s="240"/>
      <c r="K1305" s="240"/>
      <c r="L1305" s="240"/>
      <c r="M1305" s="240"/>
      <c r="N1305" s="240"/>
      <c r="O1305" s="258"/>
      <c r="P1305" s="224"/>
      <c r="Q1305" s="224"/>
      <c r="R1305" s="224"/>
      <c r="S1305" s="224"/>
      <c r="T1305" s="224"/>
      <c r="U1305" s="259"/>
      <c r="V1305" s="239"/>
      <c r="W1305" s="239"/>
      <c r="X1305" s="239"/>
      <c r="Y1305" s="239"/>
      <c r="Z1305" s="239"/>
      <c r="AA1305" s="257"/>
      <c r="AB1305" s="224"/>
      <c r="AC1305" s="224"/>
      <c r="AD1305" s="224"/>
      <c r="AE1305" s="224"/>
      <c r="AF1305" s="224"/>
      <c r="AG1305" s="259"/>
      <c r="AH1305" s="261"/>
      <c r="AI1305" s="261"/>
      <c r="AJ1305" s="261"/>
      <c r="AK1305" s="261"/>
      <c r="AL1305" s="261"/>
      <c r="AM1305" s="262"/>
    </row>
    <row r="1306" spans="1:39" x14ac:dyDescent="0.25">
      <c r="A1306" s="215"/>
      <c r="B1306" s="215"/>
      <c r="C1306" s="215"/>
      <c r="D1306" s="239"/>
      <c r="E1306" s="239"/>
      <c r="F1306" s="239"/>
      <c r="G1306" s="239"/>
      <c r="H1306" s="239"/>
      <c r="I1306" s="257"/>
      <c r="J1306" s="240"/>
      <c r="K1306" s="240"/>
      <c r="L1306" s="240"/>
      <c r="M1306" s="240"/>
      <c r="N1306" s="240"/>
      <c r="O1306" s="258"/>
      <c r="P1306" s="224"/>
      <c r="Q1306" s="224"/>
      <c r="R1306" s="224"/>
      <c r="S1306" s="224"/>
      <c r="T1306" s="224"/>
      <c r="U1306" s="259"/>
      <c r="V1306" s="239"/>
      <c r="W1306" s="239"/>
      <c r="X1306" s="239"/>
      <c r="Y1306" s="239"/>
      <c r="Z1306" s="239"/>
      <c r="AA1306" s="257"/>
      <c r="AB1306" s="224"/>
      <c r="AC1306" s="224"/>
      <c r="AD1306" s="224"/>
      <c r="AE1306" s="224"/>
      <c r="AF1306" s="224"/>
      <c r="AG1306" s="259"/>
      <c r="AH1306" s="261"/>
      <c r="AI1306" s="261"/>
      <c r="AJ1306" s="261"/>
      <c r="AK1306" s="261"/>
      <c r="AL1306" s="261"/>
      <c r="AM1306" s="262"/>
    </row>
    <row r="1307" spans="1:39" x14ac:dyDescent="0.25">
      <c r="A1307" s="215"/>
      <c r="B1307" s="215"/>
      <c r="C1307" s="215"/>
      <c r="D1307" s="239"/>
      <c r="E1307" s="239"/>
      <c r="F1307" s="239"/>
      <c r="G1307" s="239"/>
      <c r="H1307" s="239"/>
      <c r="I1307" s="257"/>
      <c r="J1307" s="240"/>
      <c r="K1307" s="240"/>
      <c r="L1307" s="240"/>
      <c r="M1307" s="240"/>
      <c r="N1307" s="240"/>
      <c r="O1307" s="258"/>
      <c r="P1307" s="224"/>
      <c r="Q1307" s="224"/>
      <c r="R1307" s="224"/>
      <c r="S1307" s="224"/>
      <c r="T1307" s="224"/>
      <c r="U1307" s="259"/>
      <c r="V1307" s="239"/>
      <c r="W1307" s="239"/>
      <c r="X1307" s="239"/>
      <c r="Y1307" s="239"/>
      <c r="Z1307" s="239"/>
      <c r="AA1307" s="257"/>
      <c r="AB1307" s="224"/>
      <c r="AC1307" s="224"/>
      <c r="AD1307" s="224"/>
      <c r="AE1307" s="224"/>
      <c r="AF1307" s="224"/>
      <c r="AG1307" s="259"/>
      <c r="AH1307" s="261"/>
      <c r="AI1307" s="261"/>
      <c r="AJ1307" s="261"/>
      <c r="AK1307" s="261"/>
      <c r="AL1307" s="261"/>
      <c r="AM1307" s="262"/>
    </row>
    <row r="1308" spans="1:39" x14ac:dyDescent="0.25">
      <c r="A1308" s="215"/>
      <c r="B1308" s="215"/>
      <c r="C1308" s="215"/>
      <c r="D1308" s="239"/>
      <c r="E1308" s="239"/>
      <c r="F1308" s="239"/>
      <c r="G1308" s="239"/>
      <c r="H1308" s="239"/>
      <c r="I1308" s="257"/>
      <c r="J1308" s="240"/>
      <c r="K1308" s="240"/>
      <c r="L1308" s="240"/>
      <c r="M1308" s="240"/>
      <c r="N1308" s="240"/>
      <c r="O1308" s="258"/>
      <c r="P1308" s="224"/>
      <c r="Q1308" s="224"/>
      <c r="R1308" s="224"/>
      <c r="S1308" s="224"/>
      <c r="T1308" s="224"/>
      <c r="U1308" s="259"/>
      <c r="V1308" s="239"/>
      <c r="W1308" s="239"/>
      <c r="X1308" s="239"/>
      <c r="Y1308" s="239"/>
      <c r="Z1308" s="239"/>
      <c r="AA1308" s="257"/>
      <c r="AB1308" s="224"/>
      <c r="AC1308" s="224"/>
      <c r="AD1308" s="224"/>
      <c r="AE1308" s="224"/>
      <c r="AF1308" s="224"/>
      <c r="AG1308" s="259"/>
      <c r="AH1308" s="261"/>
      <c r="AI1308" s="261"/>
      <c r="AJ1308" s="261"/>
      <c r="AK1308" s="261"/>
      <c r="AL1308" s="261"/>
      <c r="AM1308" s="262"/>
    </row>
    <row r="1309" spans="1:39" x14ac:dyDescent="0.25">
      <c r="A1309" s="215"/>
      <c r="B1309" s="215"/>
      <c r="C1309" s="215"/>
      <c r="D1309" s="239"/>
      <c r="E1309" s="239"/>
      <c r="F1309" s="239"/>
      <c r="G1309" s="239"/>
      <c r="H1309" s="239"/>
      <c r="I1309" s="257"/>
      <c r="J1309" s="240"/>
      <c r="K1309" s="240"/>
      <c r="L1309" s="240"/>
      <c r="M1309" s="240"/>
      <c r="N1309" s="240"/>
      <c r="O1309" s="258"/>
      <c r="P1309" s="224"/>
      <c r="Q1309" s="224"/>
      <c r="R1309" s="224"/>
      <c r="S1309" s="224"/>
      <c r="T1309" s="224"/>
      <c r="U1309" s="259"/>
      <c r="V1309" s="239"/>
      <c r="W1309" s="239"/>
      <c r="X1309" s="239"/>
      <c r="Y1309" s="239"/>
      <c r="Z1309" s="239"/>
      <c r="AA1309" s="257"/>
      <c r="AB1309" s="224"/>
      <c r="AC1309" s="224"/>
      <c r="AD1309" s="224"/>
      <c r="AE1309" s="224"/>
      <c r="AF1309" s="224"/>
      <c r="AG1309" s="259"/>
      <c r="AH1309" s="261"/>
      <c r="AI1309" s="261"/>
      <c r="AJ1309" s="261"/>
      <c r="AK1309" s="261"/>
      <c r="AL1309" s="261"/>
      <c r="AM1309" s="262"/>
    </row>
    <row r="1310" spans="1:39" x14ac:dyDescent="0.25">
      <c r="A1310" s="215"/>
      <c r="B1310" s="215"/>
      <c r="C1310" s="215"/>
      <c r="D1310" s="239"/>
      <c r="E1310" s="239"/>
      <c r="F1310" s="239"/>
      <c r="G1310" s="239"/>
      <c r="H1310" s="239"/>
      <c r="I1310" s="257"/>
      <c r="J1310" s="240"/>
      <c r="K1310" s="240"/>
      <c r="L1310" s="240"/>
      <c r="M1310" s="240"/>
      <c r="N1310" s="240"/>
      <c r="O1310" s="258"/>
      <c r="P1310" s="224"/>
      <c r="Q1310" s="224"/>
      <c r="R1310" s="224"/>
      <c r="S1310" s="224"/>
      <c r="T1310" s="224"/>
      <c r="U1310" s="259"/>
      <c r="V1310" s="239"/>
      <c r="W1310" s="239"/>
      <c r="X1310" s="239"/>
      <c r="Y1310" s="239"/>
      <c r="Z1310" s="239"/>
      <c r="AA1310" s="257"/>
      <c r="AB1310" s="224"/>
      <c r="AC1310" s="224"/>
      <c r="AD1310" s="224"/>
      <c r="AE1310" s="224"/>
      <c r="AF1310" s="224"/>
      <c r="AG1310" s="259"/>
      <c r="AH1310" s="261"/>
      <c r="AI1310" s="261"/>
      <c r="AJ1310" s="261"/>
      <c r="AK1310" s="261"/>
      <c r="AL1310" s="261"/>
      <c r="AM1310" s="262"/>
    </row>
    <row r="1311" spans="1:39" x14ac:dyDescent="0.25">
      <c r="A1311" s="215"/>
      <c r="B1311" s="215"/>
      <c r="C1311" s="215"/>
      <c r="D1311" s="239"/>
      <c r="E1311" s="239"/>
      <c r="F1311" s="239"/>
      <c r="G1311" s="239"/>
      <c r="H1311" s="239"/>
      <c r="I1311" s="257"/>
      <c r="J1311" s="240"/>
      <c r="K1311" s="240"/>
      <c r="L1311" s="240"/>
      <c r="M1311" s="240"/>
      <c r="N1311" s="240"/>
      <c r="O1311" s="258"/>
      <c r="P1311" s="224"/>
      <c r="Q1311" s="224"/>
      <c r="R1311" s="224"/>
      <c r="S1311" s="224"/>
      <c r="T1311" s="224"/>
      <c r="U1311" s="259"/>
      <c r="V1311" s="239"/>
      <c r="W1311" s="239"/>
      <c r="X1311" s="239"/>
      <c r="Y1311" s="239"/>
      <c r="Z1311" s="239"/>
      <c r="AA1311" s="257"/>
      <c r="AB1311" s="224"/>
      <c r="AC1311" s="224"/>
      <c r="AD1311" s="224"/>
      <c r="AE1311" s="224"/>
      <c r="AF1311" s="224"/>
      <c r="AG1311" s="259"/>
      <c r="AH1311" s="261"/>
      <c r="AI1311" s="261"/>
      <c r="AJ1311" s="261"/>
      <c r="AK1311" s="261"/>
      <c r="AL1311" s="261"/>
      <c r="AM1311" s="262"/>
    </row>
    <row r="1312" spans="1:39" x14ac:dyDescent="0.25">
      <c r="A1312" s="215"/>
      <c r="B1312" s="215"/>
      <c r="C1312" s="215"/>
      <c r="D1312" s="239"/>
      <c r="E1312" s="239"/>
      <c r="F1312" s="239"/>
      <c r="G1312" s="239"/>
      <c r="H1312" s="239"/>
      <c r="I1312" s="257"/>
      <c r="J1312" s="240"/>
      <c r="K1312" s="240"/>
      <c r="L1312" s="240"/>
      <c r="M1312" s="240"/>
      <c r="N1312" s="240"/>
      <c r="O1312" s="258"/>
      <c r="P1312" s="224"/>
      <c r="Q1312" s="224"/>
      <c r="R1312" s="224"/>
      <c r="S1312" s="224"/>
      <c r="T1312" s="224"/>
      <c r="U1312" s="259"/>
      <c r="V1312" s="239"/>
      <c r="W1312" s="239"/>
      <c r="X1312" s="239"/>
      <c r="Y1312" s="239"/>
      <c r="Z1312" s="239"/>
      <c r="AA1312" s="257"/>
      <c r="AB1312" s="224"/>
      <c r="AC1312" s="224"/>
      <c r="AD1312" s="224"/>
      <c r="AE1312" s="224"/>
      <c r="AF1312" s="224"/>
      <c r="AG1312" s="259"/>
      <c r="AH1312" s="261"/>
      <c r="AI1312" s="261"/>
      <c r="AJ1312" s="261"/>
      <c r="AK1312" s="261"/>
      <c r="AL1312" s="261"/>
      <c r="AM1312" s="262"/>
    </row>
    <row r="1313" spans="1:39" x14ac:dyDescent="0.25">
      <c r="A1313" s="215"/>
      <c r="B1313" s="215"/>
      <c r="C1313" s="215"/>
      <c r="D1313" s="239"/>
      <c r="E1313" s="239"/>
      <c r="F1313" s="239"/>
      <c r="G1313" s="239"/>
      <c r="H1313" s="239"/>
      <c r="I1313" s="257"/>
      <c r="J1313" s="240"/>
      <c r="K1313" s="240"/>
      <c r="L1313" s="240"/>
      <c r="M1313" s="240"/>
      <c r="N1313" s="240"/>
      <c r="O1313" s="258"/>
      <c r="P1313" s="224"/>
      <c r="Q1313" s="224"/>
      <c r="R1313" s="224"/>
      <c r="S1313" s="224"/>
      <c r="T1313" s="224"/>
      <c r="U1313" s="259"/>
      <c r="V1313" s="239"/>
      <c r="W1313" s="239"/>
      <c r="X1313" s="239"/>
      <c r="Y1313" s="239"/>
      <c r="Z1313" s="239"/>
      <c r="AA1313" s="257"/>
      <c r="AB1313" s="224"/>
      <c r="AC1313" s="224"/>
      <c r="AD1313" s="224"/>
      <c r="AE1313" s="224"/>
      <c r="AF1313" s="224"/>
      <c r="AG1313" s="259"/>
      <c r="AH1313" s="261"/>
      <c r="AI1313" s="261"/>
      <c r="AJ1313" s="261"/>
      <c r="AK1313" s="261"/>
      <c r="AL1313" s="261"/>
      <c r="AM1313" s="262"/>
    </row>
    <row r="1314" spans="1:39" x14ac:dyDescent="0.25">
      <c r="A1314" s="215"/>
      <c r="B1314" s="215"/>
      <c r="C1314" s="215"/>
      <c r="D1314" s="239"/>
      <c r="E1314" s="239"/>
      <c r="F1314" s="239"/>
      <c r="G1314" s="239"/>
      <c r="H1314" s="239"/>
      <c r="I1314" s="257"/>
      <c r="J1314" s="240"/>
      <c r="K1314" s="240"/>
      <c r="L1314" s="240"/>
      <c r="M1314" s="240"/>
      <c r="N1314" s="240"/>
      <c r="O1314" s="258"/>
      <c r="P1314" s="224"/>
      <c r="Q1314" s="224"/>
      <c r="R1314" s="224"/>
      <c r="S1314" s="224"/>
      <c r="T1314" s="224"/>
      <c r="U1314" s="259"/>
      <c r="V1314" s="239"/>
      <c r="W1314" s="239"/>
      <c r="X1314" s="239"/>
      <c r="Y1314" s="239"/>
      <c r="Z1314" s="239"/>
      <c r="AA1314" s="257"/>
      <c r="AB1314" s="224"/>
      <c r="AC1314" s="224"/>
      <c r="AD1314" s="224"/>
      <c r="AE1314" s="224"/>
      <c r="AF1314" s="224"/>
      <c r="AG1314" s="259"/>
      <c r="AH1314" s="261"/>
      <c r="AI1314" s="261"/>
      <c r="AJ1314" s="261"/>
      <c r="AK1314" s="261"/>
      <c r="AL1314" s="261"/>
      <c r="AM1314" s="262"/>
    </row>
    <row r="1315" spans="1:39" x14ac:dyDescent="0.25">
      <c r="A1315" s="215"/>
      <c r="B1315" s="215"/>
      <c r="C1315" s="215"/>
      <c r="D1315" s="239"/>
      <c r="E1315" s="239"/>
      <c r="F1315" s="239"/>
      <c r="G1315" s="239"/>
      <c r="H1315" s="239"/>
      <c r="I1315" s="257"/>
      <c r="J1315" s="240"/>
      <c r="K1315" s="240"/>
      <c r="L1315" s="240"/>
      <c r="M1315" s="240"/>
      <c r="N1315" s="240"/>
      <c r="O1315" s="258"/>
      <c r="P1315" s="224"/>
      <c r="Q1315" s="224"/>
      <c r="R1315" s="224"/>
      <c r="S1315" s="224"/>
      <c r="T1315" s="224"/>
      <c r="U1315" s="259"/>
      <c r="V1315" s="239"/>
      <c r="W1315" s="239"/>
      <c r="X1315" s="239"/>
      <c r="Y1315" s="239"/>
      <c r="Z1315" s="239"/>
      <c r="AA1315" s="257"/>
      <c r="AB1315" s="224"/>
      <c r="AC1315" s="224"/>
      <c r="AD1315" s="224"/>
      <c r="AE1315" s="224"/>
      <c r="AF1315" s="224"/>
      <c r="AG1315" s="259"/>
      <c r="AH1315" s="261"/>
      <c r="AI1315" s="261"/>
      <c r="AJ1315" s="261"/>
      <c r="AK1315" s="261"/>
      <c r="AL1315" s="261"/>
      <c r="AM1315" s="262"/>
    </row>
    <row r="1316" spans="1:39" x14ac:dyDescent="0.25">
      <c r="A1316" s="215"/>
      <c r="B1316" s="215"/>
      <c r="C1316" s="215"/>
      <c r="D1316" s="239"/>
      <c r="E1316" s="239"/>
      <c r="F1316" s="239"/>
      <c r="G1316" s="239"/>
      <c r="H1316" s="239"/>
      <c r="I1316" s="257"/>
      <c r="J1316" s="240"/>
      <c r="K1316" s="240"/>
      <c r="L1316" s="240"/>
      <c r="M1316" s="240"/>
      <c r="N1316" s="240"/>
      <c r="O1316" s="258"/>
      <c r="P1316" s="224"/>
      <c r="Q1316" s="224"/>
      <c r="R1316" s="224"/>
      <c r="S1316" s="224"/>
      <c r="T1316" s="224"/>
      <c r="U1316" s="259"/>
      <c r="V1316" s="239"/>
      <c r="W1316" s="239"/>
      <c r="X1316" s="239"/>
      <c r="Y1316" s="239"/>
      <c r="Z1316" s="239"/>
      <c r="AA1316" s="257"/>
      <c r="AB1316" s="224"/>
      <c r="AC1316" s="224"/>
      <c r="AD1316" s="224"/>
      <c r="AE1316" s="224"/>
      <c r="AF1316" s="224"/>
      <c r="AG1316" s="259"/>
      <c r="AH1316" s="261"/>
      <c r="AI1316" s="261"/>
      <c r="AJ1316" s="261"/>
      <c r="AK1316" s="261"/>
      <c r="AL1316" s="261"/>
      <c r="AM1316" s="262"/>
    </row>
    <row r="1317" spans="1:39" x14ac:dyDescent="0.25">
      <c r="A1317" s="215"/>
      <c r="B1317" s="215"/>
      <c r="C1317" s="215"/>
      <c r="D1317" s="239"/>
      <c r="E1317" s="239"/>
      <c r="F1317" s="239"/>
      <c r="G1317" s="239"/>
      <c r="H1317" s="239"/>
      <c r="I1317" s="257"/>
      <c r="J1317" s="240"/>
      <c r="K1317" s="240"/>
      <c r="L1317" s="240"/>
      <c r="M1317" s="240"/>
      <c r="N1317" s="240"/>
      <c r="O1317" s="258"/>
      <c r="P1317" s="224"/>
      <c r="Q1317" s="224"/>
      <c r="R1317" s="224"/>
      <c r="S1317" s="224"/>
      <c r="T1317" s="224"/>
      <c r="U1317" s="259"/>
      <c r="V1317" s="239"/>
      <c r="W1317" s="239"/>
      <c r="X1317" s="239"/>
      <c r="Y1317" s="239"/>
      <c r="Z1317" s="239"/>
      <c r="AA1317" s="257"/>
      <c r="AB1317" s="224"/>
      <c r="AC1317" s="224"/>
      <c r="AD1317" s="224"/>
      <c r="AE1317" s="224"/>
      <c r="AF1317" s="224"/>
      <c r="AG1317" s="259"/>
      <c r="AH1317" s="261"/>
      <c r="AI1317" s="261"/>
      <c r="AJ1317" s="261"/>
      <c r="AK1317" s="261"/>
      <c r="AL1317" s="261"/>
      <c r="AM1317" s="262"/>
    </row>
    <row r="1318" spans="1:39" x14ac:dyDescent="0.25">
      <c r="A1318" s="215"/>
      <c r="B1318" s="215"/>
      <c r="C1318" s="215"/>
      <c r="D1318" s="239"/>
      <c r="E1318" s="239"/>
      <c r="F1318" s="239"/>
      <c r="G1318" s="239"/>
      <c r="H1318" s="239"/>
      <c r="I1318" s="257"/>
      <c r="J1318" s="240"/>
      <c r="K1318" s="240"/>
      <c r="L1318" s="240"/>
      <c r="M1318" s="240"/>
      <c r="N1318" s="240"/>
      <c r="O1318" s="258"/>
      <c r="P1318" s="224"/>
      <c r="Q1318" s="224"/>
      <c r="R1318" s="224"/>
      <c r="S1318" s="224"/>
      <c r="T1318" s="224"/>
      <c r="U1318" s="259"/>
      <c r="V1318" s="239"/>
      <c r="W1318" s="239"/>
      <c r="X1318" s="239"/>
      <c r="Y1318" s="239"/>
      <c r="Z1318" s="239"/>
      <c r="AA1318" s="257"/>
      <c r="AB1318" s="224"/>
      <c r="AC1318" s="224"/>
      <c r="AD1318" s="224"/>
      <c r="AE1318" s="224"/>
      <c r="AF1318" s="224"/>
      <c r="AG1318" s="259"/>
      <c r="AH1318" s="261"/>
      <c r="AI1318" s="261"/>
      <c r="AJ1318" s="261"/>
      <c r="AK1318" s="261"/>
      <c r="AL1318" s="261"/>
      <c r="AM1318" s="262"/>
    </row>
    <row r="1319" spans="1:39" x14ac:dyDescent="0.25">
      <c r="A1319" s="215"/>
      <c r="B1319" s="215"/>
      <c r="C1319" s="215"/>
      <c r="D1319" s="239"/>
      <c r="E1319" s="239"/>
      <c r="F1319" s="239"/>
      <c r="G1319" s="239"/>
      <c r="H1319" s="239"/>
      <c r="I1319" s="257"/>
      <c r="J1319" s="240"/>
      <c r="K1319" s="240"/>
      <c r="L1319" s="240"/>
      <c r="M1319" s="240"/>
      <c r="N1319" s="240"/>
      <c r="O1319" s="258"/>
      <c r="P1319" s="224"/>
      <c r="Q1319" s="224"/>
      <c r="R1319" s="224"/>
      <c r="S1319" s="224"/>
      <c r="T1319" s="224"/>
      <c r="U1319" s="259"/>
      <c r="V1319" s="239"/>
      <c r="W1319" s="239"/>
      <c r="X1319" s="239"/>
      <c r="Y1319" s="239"/>
      <c r="Z1319" s="239"/>
      <c r="AA1319" s="257"/>
      <c r="AB1319" s="224"/>
      <c r="AC1319" s="224"/>
      <c r="AD1319" s="224"/>
      <c r="AE1319" s="224"/>
      <c r="AF1319" s="224"/>
      <c r="AG1319" s="259"/>
      <c r="AH1319" s="261"/>
      <c r="AI1319" s="261"/>
      <c r="AJ1319" s="261"/>
      <c r="AK1319" s="261"/>
      <c r="AL1319" s="261"/>
      <c r="AM1319" s="262"/>
    </row>
    <row r="1320" spans="1:39" x14ac:dyDescent="0.25">
      <c r="A1320" s="215"/>
      <c r="B1320" s="215"/>
      <c r="C1320" s="215"/>
      <c r="D1320" s="239"/>
      <c r="E1320" s="239"/>
      <c r="F1320" s="239"/>
      <c r="G1320" s="239"/>
      <c r="H1320" s="239"/>
      <c r="I1320" s="257"/>
      <c r="J1320" s="240"/>
      <c r="K1320" s="240"/>
      <c r="L1320" s="240"/>
      <c r="M1320" s="240"/>
      <c r="N1320" s="240"/>
      <c r="O1320" s="258"/>
      <c r="P1320" s="224"/>
      <c r="Q1320" s="224"/>
      <c r="R1320" s="224"/>
      <c r="S1320" s="224"/>
      <c r="T1320" s="224"/>
      <c r="U1320" s="259"/>
      <c r="V1320" s="239"/>
      <c r="W1320" s="239"/>
      <c r="X1320" s="239"/>
      <c r="Y1320" s="239"/>
      <c r="Z1320" s="239"/>
      <c r="AA1320" s="257"/>
      <c r="AB1320" s="224"/>
      <c r="AC1320" s="224"/>
      <c r="AD1320" s="224"/>
      <c r="AE1320" s="224"/>
      <c r="AF1320" s="224"/>
      <c r="AG1320" s="259"/>
      <c r="AH1320" s="261"/>
      <c r="AI1320" s="261"/>
      <c r="AJ1320" s="261"/>
      <c r="AK1320" s="261"/>
      <c r="AL1320" s="261"/>
      <c r="AM1320" s="262"/>
    </row>
    <row r="1321" spans="1:39" x14ac:dyDescent="0.25">
      <c r="A1321" s="215"/>
      <c r="B1321" s="215"/>
      <c r="C1321" s="215"/>
      <c r="D1321" s="239"/>
      <c r="E1321" s="239"/>
      <c r="F1321" s="239"/>
      <c r="G1321" s="239"/>
      <c r="H1321" s="239"/>
      <c r="I1321" s="257"/>
      <c r="J1321" s="240"/>
      <c r="K1321" s="240"/>
      <c r="L1321" s="240"/>
      <c r="M1321" s="240"/>
      <c r="N1321" s="240"/>
      <c r="O1321" s="258"/>
      <c r="P1321" s="224"/>
      <c r="Q1321" s="224"/>
      <c r="R1321" s="224"/>
      <c r="S1321" s="224"/>
      <c r="T1321" s="224"/>
      <c r="U1321" s="259"/>
      <c r="V1321" s="239"/>
      <c r="W1321" s="239"/>
      <c r="X1321" s="239"/>
      <c r="Y1321" s="239"/>
      <c r="Z1321" s="239"/>
      <c r="AA1321" s="257"/>
      <c r="AB1321" s="224"/>
      <c r="AC1321" s="224"/>
      <c r="AD1321" s="224"/>
      <c r="AE1321" s="224"/>
      <c r="AF1321" s="224"/>
      <c r="AG1321" s="259"/>
      <c r="AH1321" s="261"/>
      <c r="AI1321" s="261"/>
      <c r="AJ1321" s="261"/>
      <c r="AK1321" s="261"/>
      <c r="AL1321" s="261"/>
      <c r="AM1321" s="262"/>
    </row>
    <row r="1322" spans="1:39" x14ac:dyDescent="0.25">
      <c r="A1322" s="215"/>
      <c r="B1322" s="215"/>
      <c r="C1322" s="215"/>
      <c r="D1322" s="239"/>
      <c r="E1322" s="239"/>
      <c r="F1322" s="239"/>
      <c r="G1322" s="239"/>
      <c r="H1322" s="239"/>
      <c r="I1322" s="257"/>
      <c r="J1322" s="240"/>
      <c r="K1322" s="240"/>
      <c r="L1322" s="240"/>
      <c r="M1322" s="240"/>
      <c r="N1322" s="240"/>
      <c r="O1322" s="258"/>
      <c r="P1322" s="224"/>
      <c r="Q1322" s="224"/>
      <c r="R1322" s="224"/>
      <c r="S1322" s="224"/>
      <c r="T1322" s="224"/>
      <c r="U1322" s="259"/>
      <c r="V1322" s="239"/>
      <c r="W1322" s="239"/>
      <c r="X1322" s="239"/>
      <c r="Y1322" s="239"/>
      <c r="Z1322" s="239"/>
      <c r="AA1322" s="257"/>
      <c r="AB1322" s="224"/>
      <c r="AC1322" s="224"/>
      <c r="AD1322" s="224"/>
      <c r="AE1322" s="224"/>
      <c r="AF1322" s="224"/>
      <c r="AG1322" s="259"/>
      <c r="AH1322" s="261"/>
      <c r="AI1322" s="261"/>
      <c r="AJ1322" s="261"/>
      <c r="AK1322" s="261"/>
      <c r="AL1322" s="261"/>
      <c r="AM1322" s="262"/>
    </row>
    <row r="1323" spans="1:39" x14ac:dyDescent="0.25">
      <c r="A1323" s="215"/>
      <c r="B1323" s="215"/>
      <c r="C1323" s="215"/>
      <c r="D1323" s="239"/>
      <c r="E1323" s="239"/>
      <c r="F1323" s="239"/>
      <c r="G1323" s="239"/>
      <c r="H1323" s="239"/>
      <c r="I1323" s="257"/>
      <c r="J1323" s="240"/>
      <c r="K1323" s="240"/>
      <c r="L1323" s="240"/>
      <c r="M1323" s="240"/>
      <c r="N1323" s="240"/>
      <c r="O1323" s="258"/>
      <c r="P1323" s="224"/>
      <c r="Q1323" s="224"/>
      <c r="R1323" s="224"/>
      <c r="S1323" s="224"/>
      <c r="T1323" s="224"/>
      <c r="U1323" s="259"/>
      <c r="V1323" s="239"/>
      <c r="W1323" s="239"/>
      <c r="X1323" s="239"/>
      <c r="Y1323" s="239"/>
      <c r="Z1323" s="239"/>
      <c r="AA1323" s="257"/>
      <c r="AB1323" s="224"/>
      <c r="AC1323" s="224"/>
      <c r="AD1323" s="224"/>
      <c r="AE1323" s="224"/>
      <c r="AF1323" s="224"/>
      <c r="AG1323" s="259"/>
      <c r="AH1323" s="261"/>
      <c r="AI1323" s="261"/>
      <c r="AJ1323" s="261"/>
      <c r="AK1323" s="261"/>
      <c r="AL1323" s="261"/>
      <c r="AM1323" s="262"/>
    </row>
    <row r="1324" spans="1:39" x14ac:dyDescent="0.25">
      <c r="A1324" s="215"/>
      <c r="B1324" s="215"/>
      <c r="C1324" s="215"/>
      <c r="D1324" s="239"/>
      <c r="E1324" s="239"/>
      <c r="F1324" s="239"/>
      <c r="G1324" s="239"/>
      <c r="H1324" s="239"/>
      <c r="I1324" s="257"/>
      <c r="J1324" s="240"/>
      <c r="K1324" s="240"/>
      <c r="L1324" s="240"/>
      <c r="M1324" s="240"/>
      <c r="N1324" s="240"/>
      <c r="O1324" s="258"/>
      <c r="P1324" s="224"/>
      <c r="Q1324" s="224"/>
      <c r="R1324" s="224"/>
      <c r="S1324" s="224"/>
      <c r="T1324" s="224"/>
      <c r="U1324" s="259"/>
      <c r="V1324" s="239"/>
      <c r="W1324" s="239"/>
      <c r="X1324" s="239"/>
      <c r="Y1324" s="239"/>
      <c r="Z1324" s="239"/>
      <c r="AA1324" s="257"/>
      <c r="AB1324" s="224"/>
      <c r="AC1324" s="224"/>
      <c r="AD1324" s="224"/>
      <c r="AE1324" s="224"/>
      <c r="AF1324" s="224"/>
      <c r="AG1324" s="259"/>
      <c r="AH1324" s="261"/>
      <c r="AI1324" s="261"/>
      <c r="AJ1324" s="261"/>
      <c r="AK1324" s="261"/>
      <c r="AL1324" s="261"/>
      <c r="AM1324" s="262"/>
    </row>
    <row r="1325" spans="1:39" x14ac:dyDescent="0.25">
      <c r="A1325" s="215"/>
      <c r="B1325" s="215"/>
      <c r="C1325" s="215"/>
      <c r="D1325" s="239"/>
      <c r="E1325" s="239"/>
      <c r="F1325" s="239"/>
      <c r="G1325" s="239"/>
      <c r="H1325" s="239"/>
      <c r="I1325" s="257"/>
      <c r="J1325" s="240"/>
      <c r="K1325" s="240"/>
      <c r="L1325" s="240"/>
      <c r="M1325" s="240"/>
      <c r="N1325" s="240"/>
      <c r="O1325" s="258"/>
      <c r="P1325" s="224"/>
      <c r="Q1325" s="224"/>
      <c r="R1325" s="224"/>
      <c r="S1325" s="224"/>
      <c r="T1325" s="224"/>
      <c r="U1325" s="259"/>
      <c r="V1325" s="239"/>
      <c r="W1325" s="239"/>
      <c r="X1325" s="239"/>
      <c r="Y1325" s="239"/>
      <c r="Z1325" s="239"/>
      <c r="AA1325" s="257"/>
      <c r="AB1325" s="224"/>
      <c r="AC1325" s="224"/>
      <c r="AD1325" s="224"/>
      <c r="AE1325" s="224"/>
      <c r="AF1325" s="224"/>
      <c r="AG1325" s="259"/>
      <c r="AH1325" s="261"/>
      <c r="AI1325" s="261"/>
      <c r="AJ1325" s="261"/>
      <c r="AK1325" s="261"/>
      <c r="AL1325" s="261"/>
      <c r="AM1325" s="262"/>
    </row>
    <row r="1326" spans="1:39" x14ac:dyDescent="0.25">
      <c r="A1326" s="215"/>
      <c r="B1326" s="215"/>
      <c r="C1326" s="215"/>
      <c r="D1326" s="239"/>
      <c r="E1326" s="239"/>
      <c r="F1326" s="239"/>
      <c r="G1326" s="239"/>
      <c r="H1326" s="239"/>
      <c r="I1326" s="257"/>
      <c r="J1326" s="240"/>
      <c r="K1326" s="240"/>
      <c r="L1326" s="240"/>
      <c r="M1326" s="240"/>
      <c r="N1326" s="240"/>
      <c r="O1326" s="258"/>
      <c r="P1326" s="224"/>
      <c r="Q1326" s="224"/>
      <c r="R1326" s="224"/>
      <c r="S1326" s="224"/>
      <c r="T1326" s="224"/>
      <c r="U1326" s="259"/>
      <c r="V1326" s="239"/>
      <c r="W1326" s="239"/>
      <c r="X1326" s="239"/>
      <c r="Y1326" s="239"/>
      <c r="Z1326" s="239"/>
      <c r="AA1326" s="257"/>
      <c r="AB1326" s="224"/>
      <c r="AC1326" s="224"/>
      <c r="AD1326" s="224"/>
      <c r="AE1326" s="224"/>
      <c r="AF1326" s="224"/>
      <c r="AG1326" s="259"/>
      <c r="AH1326" s="261"/>
      <c r="AI1326" s="261"/>
      <c r="AJ1326" s="261"/>
      <c r="AK1326" s="261"/>
      <c r="AL1326" s="261"/>
      <c r="AM1326" s="262"/>
    </row>
    <row r="1327" spans="1:39" x14ac:dyDescent="0.25">
      <c r="A1327" s="215"/>
      <c r="B1327" s="215"/>
      <c r="C1327" s="215"/>
      <c r="D1327" s="239"/>
      <c r="E1327" s="239"/>
      <c r="F1327" s="239"/>
      <c r="G1327" s="239"/>
      <c r="H1327" s="239"/>
      <c r="I1327" s="257"/>
      <c r="J1327" s="240"/>
      <c r="K1327" s="240"/>
      <c r="L1327" s="240"/>
      <c r="M1327" s="240"/>
      <c r="N1327" s="240"/>
      <c r="O1327" s="258"/>
      <c r="P1327" s="224"/>
      <c r="Q1327" s="224"/>
      <c r="R1327" s="224"/>
      <c r="S1327" s="224"/>
      <c r="T1327" s="224"/>
      <c r="U1327" s="259"/>
      <c r="V1327" s="239"/>
      <c r="W1327" s="239"/>
      <c r="X1327" s="239"/>
      <c r="Y1327" s="239"/>
      <c r="Z1327" s="239"/>
      <c r="AA1327" s="257"/>
      <c r="AB1327" s="224"/>
      <c r="AC1327" s="224"/>
      <c r="AD1327" s="224"/>
      <c r="AE1327" s="224"/>
      <c r="AF1327" s="224"/>
      <c r="AG1327" s="259"/>
      <c r="AH1327" s="261"/>
      <c r="AI1327" s="261"/>
      <c r="AJ1327" s="261"/>
      <c r="AK1327" s="261"/>
      <c r="AL1327" s="261"/>
      <c r="AM1327" s="262"/>
    </row>
    <row r="1328" spans="1:39" x14ac:dyDescent="0.25">
      <c r="A1328" s="215"/>
      <c r="B1328" s="215"/>
      <c r="C1328" s="215"/>
      <c r="D1328" s="239"/>
      <c r="E1328" s="239"/>
      <c r="F1328" s="239"/>
      <c r="G1328" s="239"/>
      <c r="H1328" s="239"/>
      <c r="I1328" s="257"/>
      <c r="J1328" s="240"/>
      <c r="K1328" s="240"/>
      <c r="L1328" s="240"/>
      <c r="M1328" s="240"/>
      <c r="N1328" s="240"/>
      <c r="O1328" s="258"/>
      <c r="P1328" s="224"/>
      <c r="Q1328" s="224"/>
      <c r="R1328" s="224"/>
      <c r="S1328" s="224"/>
      <c r="T1328" s="224"/>
      <c r="U1328" s="259"/>
      <c r="V1328" s="239"/>
      <c r="W1328" s="239"/>
      <c r="X1328" s="239"/>
      <c r="Y1328" s="239"/>
      <c r="Z1328" s="239"/>
      <c r="AA1328" s="257"/>
      <c r="AB1328" s="224"/>
      <c r="AC1328" s="224"/>
      <c r="AD1328" s="224"/>
      <c r="AE1328" s="224"/>
      <c r="AF1328" s="224"/>
      <c r="AG1328" s="259"/>
      <c r="AH1328" s="261"/>
      <c r="AI1328" s="261"/>
      <c r="AJ1328" s="261"/>
      <c r="AK1328" s="261"/>
      <c r="AL1328" s="261"/>
      <c r="AM1328" s="262"/>
    </row>
    <row r="1329" spans="1:39" x14ac:dyDescent="0.25">
      <c r="A1329" s="215"/>
      <c r="B1329" s="215"/>
      <c r="C1329" s="215"/>
      <c r="D1329" s="239"/>
      <c r="E1329" s="239"/>
      <c r="F1329" s="239"/>
      <c r="G1329" s="239"/>
      <c r="H1329" s="239"/>
      <c r="I1329" s="257"/>
      <c r="J1329" s="240"/>
      <c r="K1329" s="240"/>
      <c r="L1329" s="240"/>
      <c r="M1329" s="240"/>
      <c r="N1329" s="240"/>
      <c r="O1329" s="258"/>
      <c r="P1329" s="224"/>
      <c r="Q1329" s="224"/>
      <c r="R1329" s="224"/>
      <c r="S1329" s="224"/>
      <c r="T1329" s="224"/>
      <c r="U1329" s="259"/>
      <c r="V1329" s="239"/>
      <c r="W1329" s="239"/>
      <c r="X1329" s="239"/>
      <c r="Y1329" s="239"/>
      <c r="Z1329" s="239"/>
      <c r="AA1329" s="257"/>
      <c r="AB1329" s="224"/>
      <c r="AC1329" s="224"/>
      <c r="AD1329" s="224"/>
      <c r="AE1329" s="224"/>
      <c r="AF1329" s="224"/>
      <c r="AG1329" s="259"/>
      <c r="AH1329" s="261"/>
      <c r="AI1329" s="261"/>
      <c r="AJ1329" s="261"/>
      <c r="AK1329" s="261"/>
      <c r="AL1329" s="261"/>
      <c r="AM1329" s="262"/>
    </row>
    <row r="1330" spans="1:39" x14ac:dyDescent="0.25">
      <c r="A1330" s="215"/>
      <c r="B1330" s="215"/>
      <c r="C1330" s="215"/>
      <c r="D1330" s="239"/>
      <c r="E1330" s="239"/>
      <c r="F1330" s="239"/>
      <c r="G1330" s="239"/>
      <c r="H1330" s="239"/>
      <c r="I1330" s="257"/>
      <c r="J1330" s="240"/>
      <c r="K1330" s="240"/>
      <c r="L1330" s="240"/>
      <c r="M1330" s="240"/>
      <c r="N1330" s="240"/>
      <c r="O1330" s="258"/>
      <c r="P1330" s="224"/>
      <c r="Q1330" s="224"/>
      <c r="R1330" s="224"/>
      <c r="S1330" s="224"/>
      <c r="T1330" s="224"/>
      <c r="U1330" s="259"/>
      <c r="V1330" s="239"/>
      <c r="W1330" s="239"/>
      <c r="X1330" s="239"/>
      <c r="Y1330" s="239"/>
      <c r="Z1330" s="239"/>
      <c r="AA1330" s="257"/>
      <c r="AB1330" s="224"/>
      <c r="AC1330" s="224"/>
      <c r="AD1330" s="224"/>
      <c r="AE1330" s="224"/>
      <c r="AF1330" s="224"/>
      <c r="AG1330" s="259"/>
      <c r="AH1330" s="261"/>
      <c r="AI1330" s="261"/>
      <c r="AJ1330" s="261"/>
      <c r="AK1330" s="261"/>
      <c r="AL1330" s="261"/>
      <c r="AM1330" s="262"/>
    </row>
    <row r="1331" spans="1:39" x14ac:dyDescent="0.25">
      <c r="A1331" s="215"/>
      <c r="B1331" s="215"/>
      <c r="C1331" s="215"/>
      <c r="D1331" s="239"/>
      <c r="E1331" s="239"/>
      <c r="F1331" s="239"/>
      <c r="G1331" s="239"/>
      <c r="H1331" s="239"/>
      <c r="I1331" s="257"/>
      <c r="J1331" s="240"/>
      <c r="K1331" s="240"/>
      <c r="L1331" s="240"/>
      <c r="M1331" s="240"/>
      <c r="N1331" s="240"/>
      <c r="O1331" s="258"/>
      <c r="P1331" s="224"/>
      <c r="Q1331" s="224"/>
      <c r="R1331" s="224"/>
      <c r="S1331" s="224"/>
      <c r="T1331" s="224"/>
      <c r="U1331" s="259"/>
      <c r="V1331" s="239"/>
      <c r="W1331" s="239"/>
      <c r="X1331" s="239"/>
      <c r="Y1331" s="239"/>
      <c r="Z1331" s="239"/>
      <c r="AA1331" s="257"/>
      <c r="AB1331" s="224"/>
      <c r="AC1331" s="224"/>
      <c r="AD1331" s="224"/>
      <c r="AE1331" s="224"/>
      <c r="AF1331" s="224"/>
      <c r="AG1331" s="259"/>
      <c r="AH1331" s="261"/>
      <c r="AI1331" s="261"/>
      <c r="AJ1331" s="261"/>
      <c r="AK1331" s="261"/>
      <c r="AL1331" s="261"/>
      <c r="AM1331" s="262"/>
    </row>
    <row r="1332" spans="1:39" x14ac:dyDescent="0.25">
      <c r="A1332" s="215"/>
      <c r="B1332" s="215"/>
      <c r="C1332" s="215"/>
      <c r="D1332" s="239"/>
      <c r="E1332" s="239"/>
      <c r="F1332" s="239"/>
      <c r="G1332" s="239"/>
      <c r="H1332" s="239"/>
      <c r="I1332" s="257"/>
      <c r="J1332" s="240"/>
      <c r="K1332" s="240"/>
      <c r="L1332" s="240"/>
      <c r="M1332" s="240"/>
      <c r="N1332" s="240"/>
      <c r="O1332" s="258"/>
      <c r="P1332" s="224"/>
      <c r="Q1332" s="224"/>
      <c r="R1332" s="224"/>
      <c r="S1332" s="224"/>
      <c r="T1332" s="224"/>
      <c r="U1332" s="259"/>
      <c r="V1332" s="239"/>
      <c r="W1332" s="239"/>
      <c r="X1332" s="239"/>
      <c r="Y1332" s="239"/>
      <c r="Z1332" s="239"/>
      <c r="AA1332" s="257"/>
      <c r="AB1332" s="224"/>
      <c r="AC1332" s="224"/>
      <c r="AD1332" s="224"/>
      <c r="AE1332" s="224"/>
      <c r="AF1332" s="224"/>
      <c r="AG1332" s="259"/>
      <c r="AH1332" s="261"/>
      <c r="AI1332" s="261"/>
      <c r="AJ1332" s="261"/>
      <c r="AK1332" s="261"/>
      <c r="AL1332" s="261"/>
      <c r="AM1332" s="262"/>
    </row>
    <row r="1333" spans="1:39" x14ac:dyDescent="0.25">
      <c r="A1333" s="215"/>
      <c r="B1333" s="215"/>
      <c r="C1333" s="215"/>
      <c r="D1333" s="239"/>
      <c r="E1333" s="239"/>
      <c r="F1333" s="239"/>
      <c r="G1333" s="239"/>
      <c r="H1333" s="239"/>
      <c r="I1333" s="257"/>
      <c r="J1333" s="240"/>
      <c r="K1333" s="240"/>
      <c r="L1333" s="240"/>
      <c r="M1333" s="240"/>
      <c r="N1333" s="240"/>
      <c r="O1333" s="258"/>
      <c r="P1333" s="224"/>
      <c r="Q1333" s="224"/>
      <c r="R1333" s="224"/>
      <c r="S1333" s="224"/>
      <c r="T1333" s="224"/>
      <c r="U1333" s="259"/>
      <c r="V1333" s="239"/>
      <c r="W1333" s="239"/>
      <c r="X1333" s="239"/>
      <c r="Y1333" s="239"/>
      <c r="Z1333" s="239"/>
      <c r="AA1333" s="257"/>
      <c r="AB1333" s="224"/>
      <c r="AC1333" s="224"/>
      <c r="AD1333" s="224"/>
      <c r="AE1333" s="224"/>
      <c r="AF1333" s="224"/>
      <c r="AG1333" s="259"/>
      <c r="AH1333" s="261"/>
      <c r="AI1333" s="261"/>
      <c r="AJ1333" s="261"/>
      <c r="AK1333" s="261"/>
      <c r="AL1333" s="261"/>
      <c r="AM1333" s="262"/>
    </row>
    <row r="1334" spans="1:39" x14ac:dyDescent="0.25">
      <c r="A1334" s="215"/>
      <c r="B1334" s="215"/>
      <c r="C1334" s="215"/>
      <c r="D1334" s="239"/>
      <c r="E1334" s="239"/>
      <c r="F1334" s="239"/>
      <c r="G1334" s="239"/>
      <c r="H1334" s="239"/>
      <c r="I1334" s="257"/>
      <c r="J1334" s="240"/>
      <c r="K1334" s="240"/>
      <c r="L1334" s="240"/>
      <c r="M1334" s="240"/>
      <c r="N1334" s="240"/>
      <c r="O1334" s="258"/>
      <c r="P1334" s="224"/>
      <c r="Q1334" s="224"/>
      <c r="R1334" s="224"/>
      <c r="S1334" s="224"/>
      <c r="T1334" s="224"/>
      <c r="U1334" s="259"/>
      <c r="V1334" s="239"/>
      <c r="W1334" s="239"/>
      <c r="X1334" s="239"/>
      <c r="Y1334" s="239"/>
      <c r="Z1334" s="239"/>
      <c r="AA1334" s="257"/>
      <c r="AB1334" s="224"/>
      <c r="AC1334" s="224"/>
      <c r="AD1334" s="224"/>
      <c r="AE1334" s="224"/>
      <c r="AF1334" s="224"/>
      <c r="AG1334" s="259"/>
      <c r="AH1334" s="261"/>
      <c r="AI1334" s="261"/>
      <c r="AJ1334" s="261"/>
      <c r="AK1334" s="261"/>
      <c r="AL1334" s="261"/>
      <c r="AM1334" s="262"/>
    </row>
    <row r="1335" spans="1:39" x14ac:dyDescent="0.25">
      <c r="A1335" s="215"/>
      <c r="B1335" s="215"/>
      <c r="C1335" s="215"/>
      <c r="D1335" s="239"/>
      <c r="E1335" s="239"/>
      <c r="F1335" s="239"/>
      <c r="G1335" s="239"/>
      <c r="H1335" s="239"/>
      <c r="I1335" s="257"/>
      <c r="J1335" s="240"/>
      <c r="K1335" s="240"/>
      <c r="L1335" s="240"/>
      <c r="M1335" s="240"/>
      <c r="N1335" s="240"/>
      <c r="O1335" s="258"/>
      <c r="P1335" s="224"/>
      <c r="Q1335" s="224"/>
      <c r="R1335" s="224"/>
      <c r="S1335" s="224"/>
      <c r="T1335" s="224"/>
      <c r="U1335" s="259"/>
      <c r="V1335" s="239"/>
      <c r="W1335" s="239"/>
      <c r="X1335" s="239"/>
      <c r="Y1335" s="239"/>
      <c r="Z1335" s="239"/>
      <c r="AA1335" s="257"/>
      <c r="AB1335" s="224"/>
      <c r="AC1335" s="224"/>
      <c r="AD1335" s="224"/>
      <c r="AE1335" s="224"/>
      <c r="AF1335" s="224"/>
      <c r="AG1335" s="259"/>
      <c r="AH1335" s="261"/>
      <c r="AI1335" s="261"/>
      <c r="AJ1335" s="261"/>
      <c r="AK1335" s="261"/>
      <c r="AL1335" s="261"/>
      <c r="AM1335" s="262"/>
    </row>
    <row r="1336" spans="1:39" x14ac:dyDescent="0.25">
      <c r="A1336" s="215"/>
      <c r="B1336" s="215"/>
      <c r="C1336" s="215"/>
      <c r="D1336" s="239"/>
      <c r="E1336" s="239"/>
      <c r="F1336" s="239"/>
      <c r="G1336" s="239"/>
      <c r="H1336" s="239"/>
      <c r="I1336" s="257"/>
      <c r="J1336" s="240"/>
      <c r="K1336" s="240"/>
      <c r="L1336" s="240"/>
      <c r="M1336" s="240"/>
      <c r="N1336" s="240"/>
      <c r="O1336" s="258"/>
      <c r="P1336" s="224"/>
      <c r="Q1336" s="224"/>
      <c r="R1336" s="224"/>
      <c r="S1336" s="224"/>
      <c r="T1336" s="224"/>
      <c r="U1336" s="259"/>
      <c r="V1336" s="239"/>
      <c r="W1336" s="239"/>
      <c r="X1336" s="239"/>
      <c r="Y1336" s="239"/>
      <c r="Z1336" s="239"/>
      <c r="AA1336" s="257"/>
      <c r="AB1336" s="224"/>
      <c r="AC1336" s="224"/>
      <c r="AD1336" s="224"/>
      <c r="AE1336" s="224"/>
      <c r="AF1336" s="224"/>
      <c r="AG1336" s="259"/>
      <c r="AH1336" s="261"/>
      <c r="AI1336" s="261"/>
      <c r="AJ1336" s="261"/>
      <c r="AK1336" s="261"/>
      <c r="AL1336" s="261"/>
      <c r="AM1336" s="262"/>
    </row>
    <row r="1337" spans="1:39" x14ac:dyDescent="0.25">
      <c r="A1337" s="215"/>
      <c r="B1337" s="215"/>
      <c r="C1337" s="215"/>
      <c r="D1337" s="239"/>
      <c r="E1337" s="239"/>
      <c r="F1337" s="239"/>
      <c r="G1337" s="239"/>
      <c r="H1337" s="239"/>
      <c r="I1337" s="257"/>
      <c r="J1337" s="240"/>
      <c r="K1337" s="240"/>
      <c r="L1337" s="240"/>
      <c r="M1337" s="240"/>
      <c r="N1337" s="240"/>
      <c r="O1337" s="258"/>
      <c r="P1337" s="224"/>
      <c r="Q1337" s="224"/>
      <c r="R1337" s="224"/>
      <c r="S1337" s="224"/>
      <c r="T1337" s="224"/>
      <c r="U1337" s="259"/>
      <c r="V1337" s="239"/>
      <c r="W1337" s="239"/>
      <c r="X1337" s="239"/>
      <c r="Y1337" s="239"/>
      <c r="Z1337" s="239"/>
      <c r="AA1337" s="257"/>
      <c r="AB1337" s="224"/>
      <c r="AC1337" s="224"/>
      <c r="AD1337" s="224"/>
      <c r="AE1337" s="224"/>
      <c r="AF1337" s="224"/>
      <c r="AG1337" s="259"/>
      <c r="AH1337" s="261"/>
      <c r="AI1337" s="261"/>
      <c r="AJ1337" s="261"/>
      <c r="AK1337" s="261"/>
      <c r="AL1337" s="261"/>
      <c r="AM1337" s="262"/>
    </row>
    <row r="1338" spans="1:39" x14ac:dyDescent="0.25">
      <c r="A1338" s="215"/>
      <c r="B1338" s="215"/>
      <c r="C1338" s="215"/>
      <c r="D1338" s="239"/>
      <c r="E1338" s="239"/>
      <c r="F1338" s="239"/>
      <c r="G1338" s="239"/>
      <c r="H1338" s="239"/>
      <c r="I1338" s="257"/>
      <c r="J1338" s="240"/>
      <c r="K1338" s="240"/>
      <c r="L1338" s="240"/>
      <c r="M1338" s="240"/>
      <c r="N1338" s="240"/>
      <c r="O1338" s="258"/>
      <c r="P1338" s="224"/>
      <c r="Q1338" s="224"/>
      <c r="R1338" s="224"/>
      <c r="S1338" s="224"/>
      <c r="T1338" s="224"/>
      <c r="U1338" s="259"/>
      <c r="V1338" s="239"/>
      <c r="W1338" s="239"/>
      <c r="X1338" s="239"/>
      <c r="Y1338" s="239"/>
      <c r="Z1338" s="239"/>
      <c r="AA1338" s="257"/>
      <c r="AB1338" s="224"/>
      <c r="AC1338" s="224"/>
      <c r="AD1338" s="224"/>
      <c r="AE1338" s="224"/>
      <c r="AF1338" s="224"/>
      <c r="AG1338" s="259"/>
      <c r="AH1338" s="261"/>
      <c r="AI1338" s="261"/>
      <c r="AJ1338" s="261"/>
      <c r="AK1338" s="261"/>
      <c r="AL1338" s="261"/>
      <c r="AM1338" s="262"/>
    </row>
    <row r="1339" spans="1:39" x14ac:dyDescent="0.25">
      <c r="A1339" s="215"/>
      <c r="B1339" s="215"/>
      <c r="C1339" s="215"/>
      <c r="D1339" s="239"/>
      <c r="E1339" s="239"/>
      <c r="F1339" s="239"/>
      <c r="G1339" s="239"/>
      <c r="H1339" s="239"/>
      <c r="I1339" s="257"/>
      <c r="J1339" s="240"/>
      <c r="K1339" s="240"/>
      <c r="L1339" s="240"/>
      <c r="M1339" s="240"/>
      <c r="N1339" s="240"/>
      <c r="O1339" s="258"/>
      <c r="P1339" s="224"/>
      <c r="Q1339" s="224"/>
      <c r="R1339" s="224"/>
      <c r="S1339" s="224"/>
      <c r="T1339" s="224"/>
      <c r="U1339" s="259"/>
      <c r="V1339" s="239"/>
      <c r="W1339" s="239"/>
      <c r="X1339" s="239"/>
      <c r="Y1339" s="239"/>
      <c r="Z1339" s="239"/>
      <c r="AA1339" s="257"/>
      <c r="AB1339" s="224"/>
      <c r="AC1339" s="224"/>
      <c r="AD1339" s="224"/>
      <c r="AE1339" s="224"/>
      <c r="AF1339" s="224"/>
      <c r="AG1339" s="259"/>
      <c r="AH1339" s="261"/>
      <c r="AI1339" s="261"/>
      <c r="AJ1339" s="261"/>
      <c r="AK1339" s="261"/>
      <c r="AL1339" s="261"/>
      <c r="AM1339" s="262"/>
    </row>
    <row r="1340" spans="1:39" x14ac:dyDescent="0.25">
      <c r="A1340" s="215"/>
      <c r="B1340" s="215"/>
      <c r="C1340" s="215"/>
      <c r="D1340" s="239"/>
      <c r="E1340" s="239"/>
      <c r="F1340" s="239"/>
      <c r="G1340" s="239"/>
      <c r="H1340" s="239"/>
      <c r="I1340" s="257"/>
      <c r="J1340" s="240"/>
      <c r="K1340" s="240"/>
      <c r="L1340" s="240"/>
      <c r="M1340" s="240"/>
      <c r="N1340" s="240"/>
      <c r="O1340" s="258"/>
      <c r="P1340" s="224"/>
      <c r="Q1340" s="224"/>
      <c r="R1340" s="224"/>
      <c r="S1340" s="224"/>
      <c r="T1340" s="224"/>
      <c r="U1340" s="259"/>
      <c r="V1340" s="239"/>
      <c r="W1340" s="239"/>
      <c r="X1340" s="239"/>
      <c r="Y1340" s="239"/>
      <c r="Z1340" s="239"/>
      <c r="AA1340" s="257"/>
      <c r="AB1340" s="224"/>
      <c r="AC1340" s="224"/>
      <c r="AD1340" s="224"/>
      <c r="AE1340" s="224"/>
      <c r="AF1340" s="224"/>
      <c r="AG1340" s="259"/>
      <c r="AH1340" s="261"/>
      <c r="AI1340" s="261"/>
      <c r="AJ1340" s="261"/>
      <c r="AK1340" s="261"/>
      <c r="AL1340" s="261"/>
      <c r="AM1340" s="262"/>
    </row>
    <row r="1341" spans="1:39" x14ac:dyDescent="0.25">
      <c r="A1341" s="215"/>
      <c r="B1341" s="215"/>
      <c r="C1341" s="215"/>
      <c r="D1341" s="239"/>
      <c r="E1341" s="239"/>
      <c r="F1341" s="239"/>
      <c r="G1341" s="239"/>
      <c r="H1341" s="239"/>
      <c r="I1341" s="257"/>
      <c r="J1341" s="240"/>
      <c r="K1341" s="240"/>
      <c r="L1341" s="240"/>
      <c r="M1341" s="240"/>
      <c r="N1341" s="240"/>
      <c r="O1341" s="258"/>
      <c r="P1341" s="224"/>
      <c r="Q1341" s="224"/>
      <c r="R1341" s="224"/>
      <c r="S1341" s="224"/>
      <c r="T1341" s="224"/>
      <c r="U1341" s="259"/>
      <c r="V1341" s="239"/>
      <c r="W1341" s="239"/>
      <c r="X1341" s="239"/>
      <c r="Y1341" s="239"/>
      <c r="Z1341" s="239"/>
      <c r="AA1341" s="257"/>
      <c r="AB1341" s="224"/>
      <c r="AC1341" s="224"/>
      <c r="AD1341" s="224"/>
      <c r="AE1341" s="224"/>
      <c r="AF1341" s="224"/>
      <c r="AG1341" s="259"/>
      <c r="AH1341" s="261"/>
      <c r="AI1341" s="261"/>
      <c r="AJ1341" s="261"/>
      <c r="AK1341" s="261"/>
      <c r="AL1341" s="261"/>
      <c r="AM1341" s="262"/>
    </row>
    <row r="1342" spans="1:39" x14ac:dyDescent="0.25">
      <c r="A1342" s="215"/>
      <c r="B1342" s="215"/>
      <c r="C1342" s="215"/>
      <c r="D1342" s="239"/>
      <c r="E1342" s="239"/>
      <c r="F1342" s="239"/>
      <c r="G1342" s="239"/>
      <c r="H1342" s="239"/>
      <c r="I1342" s="257"/>
      <c r="J1342" s="240"/>
      <c r="K1342" s="240"/>
      <c r="L1342" s="240"/>
      <c r="M1342" s="240"/>
      <c r="N1342" s="240"/>
      <c r="O1342" s="258"/>
      <c r="P1342" s="224"/>
      <c r="Q1342" s="224"/>
      <c r="R1342" s="224"/>
      <c r="S1342" s="224"/>
      <c r="T1342" s="224"/>
      <c r="U1342" s="259"/>
      <c r="V1342" s="239"/>
      <c r="W1342" s="239"/>
      <c r="X1342" s="239"/>
      <c r="Y1342" s="239"/>
      <c r="Z1342" s="239"/>
      <c r="AA1342" s="257"/>
      <c r="AB1342" s="224"/>
      <c r="AC1342" s="224"/>
      <c r="AD1342" s="224"/>
      <c r="AE1342" s="224"/>
      <c r="AF1342" s="224"/>
      <c r="AG1342" s="259"/>
      <c r="AH1342" s="261"/>
      <c r="AI1342" s="261"/>
      <c r="AJ1342" s="261"/>
      <c r="AK1342" s="261"/>
      <c r="AL1342" s="261"/>
      <c r="AM1342" s="262"/>
    </row>
    <row r="1343" spans="1:39" x14ac:dyDescent="0.25">
      <c r="A1343" s="215"/>
      <c r="B1343" s="215"/>
      <c r="C1343" s="215"/>
      <c r="D1343" s="239"/>
      <c r="E1343" s="239"/>
      <c r="F1343" s="239"/>
      <c r="G1343" s="239"/>
      <c r="H1343" s="239"/>
      <c r="I1343" s="257"/>
      <c r="J1343" s="240"/>
      <c r="K1343" s="240"/>
      <c r="L1343" s="240"/>
      <c r="M1343" s="240"/>
      <c r="N1343" s="240"/>
      <c r="O1343" s="258"/>
      <c r="P1343" s="224"/>
      <c r="Q1343" s="224"/>
      <c r="R1343" s="224"/>
      <c r="S1343" s="224"/>
      <c r="T1343" s="224"/>
      <c r="U1343" s="259"/>
      <c r="V1343" s="239"/>
      <c r="W1343" s="239"/>
      <c r="X1343" s="239"/>
      <c r="Y1343" s="239"/>
      <c r="Z1343" s="239"/>
      <c r="AA1343" s="257"/>
      <c r="AB1343" s="224"/>
      <c r="AC1343" s="224"/>
      <c r="AD1343" s="224"/>
      <c r="AE1343" s="224"/>
      <c r="AF1343" s="224"/>
      <c r="AG1343" s="259"/>
      <c r="AH1343" s="261"/>
      <c r="AI1343" s="261"/>
      <c r="AJ1343" s="261"/>
      <c r="AK1343" s="261"/>
      <c r="AL1343" s="261"/>
      <c r="AM1343" s="262"/>
    </row>
    <row r="1344" spans="1:39" x14ac:dyDescent="0.25">
      <c r="A1344" s="215"/>
      <c r="B1344" s="215"/>
      <c r="C1344" s="215"/>
      <c r="D1344" s="239"/>
      <c r="E1344" s="239"/>
      <c r="F1344" s="239"/>
      <c r="G1344" s="239"/>
      <c r="H1344" s="239"/>
      <c r="I1344" s="257"/>
      <c r="J1344" s="240"/>
      <c r="K1344" s="240"/>
      <c r="L1344" s="240"/>
      <c r="M1344" s="240"/>
      <c r="N1344" s="240"/>
      <c r="O1344" s="258"/>
      <c r="P1344" s="224"/>
      <c r="Q1344" s="224"/>
      <c r="R1344" s="224"/>
      <c r="S1344" s="224"/>
      <c r="T1344" s="224"/>
      <c r="U1344" s="259"/>
      <c r="V1344" s="239"/>
      <c r="W1344" s="239"/>
      <c r="X1344" s="239"/>
      <c r="Y1344" s="239"/>
      <c r="Z1344" s="239"/>
      <c r="AA1344" s="257"/>
      <c r="AB1344" s="224"/>
      <c r="AC1344" s="224"/>
      <c r="AD1344" s="224"/>
      <c r="AE1344" s="224"/>
      <c r="AF1344" s="224"/>
      <c r="AG1344" s="259"/>
      <c r="AH1344" s="261"/>
      <c r="AI1344" s="261"/>
      <c r="AJ1344" s="261"/>
      <c r="AK1344" s="261"/>
      <c r="AL1344" s="261"/>
      <c r="AM1344" s="262"/>
    </row>
    <row r="1345" spans="1:39" x14ac:dyDescent="0.25">
      <c r="A1345" s="215"/>
      <c r="B1345" s="215"/>
      <c r="C1345" s="215"/>
      <c r="D1345" s="239"/>
      <c r="E1345" s="239"/>
      <c r="F1345" s="239"/>
      <c r="G1345" s="239"/>
      <c r="H1345" s="239"/>
      <c r="I1345" s="257"/>
      <c r="J1345" s="240"/>
      <c r="K1345" s="240"/>
      <c r="L1345" s="240"/>
      <c r="M1345" s="240"/>
      <c r="N1345" s="240"/>
      <c r="O1345" s="258"/>
      <c r="P1345" s="224"/>
      <c r="Q1345" s="224"/>
      <c r="R1345" s="224"/>
      <c r="S1345" s="224"/>
      <c r="T1345" s="224"/>
      <c r="U1345" s="259"/>
      <c r="V1345" s="239"/>
      <c r="W1345" s="239"/>
      <c r="X1345" s="239"/>
      <c r="Y1345" s="239"/>
      <c r="Z1345" s="239"/>
      <c r="AA1345" s="257"/>
      <c r="AB1345" s="224"/>
      <c r="AC1345" s="224"/>
      <c r="AD1345" s="224"/>
      <c r="AE1345" s="224"/>
      <c r="AF1345" s="224"/>
      <c r="AG1345" s="259"/>
      <c r="AH1345" s="261"/>
      <c r="AI1345" s="261"/>
      <c r="AJ1345" s="261"/>
      <c r="AK1345" s="261"/>
      <c r="AL1345" s="261"/>
      <c r="AM1345" s="262"/>
    </row>
    <row r="1346" spans="1:39" x14ac:dyDescent="0.25">
      <c r="A1346" s="215"/>
      <c r="B1346" s="215"/>
      <c r="C1346" s="215"/>
      <c r="D1346" s="239"/>
      <c r="E1346" s="239"/>
      <c r="F1346" s="239"/>
      <c r="G1346" s="239"/>
      <c r="H1346" s="239"/>
      <c r="I1346" s="257"/>
      <c r="J1346" s="240"/>
      <c r="K1346" s="240"/>
      <c r="L1346" s="240"/>
      <c r="M1346" s="240"/>
      <c r="N1346" s="240"/>
      <c r="O1346" s="258"/>
      <c r="P1346" s="224"/>
      <c r="Q1346" s="224"/>
      <c r="R1346" s="224"/>
      <c r="S1346" s="224"/>
      <c r="T1346" s="224"/>
      <c r="U1346" s="259"/>
      <c r="V1346" s="239"/>
      <c r="W1346" s="239"/>
      <c r="X1346" s="239"/>
      <c r="Y1346" s="239"/>
      <c r="Z1346" s="239"/>
      <c r="AA1346" s="257"/>
      <c r="AB1346" s="224"/>
      <c r="AC1346" s="224"/>
      <c r="AD1346" s="224"/>
      <c r="AE1346" s="224"/>
      <c r="AF1346" s="224"/>
      <c r="AG1346" s="259"/>
      <c r="AH1346" s="261"/>
      <c r="AI1346" s="261"/>
      <c r="AJ1346" s="261"/>
      <c r="AK1346" s="261"/>
      <c r="AL1346" s="261"/>
      <c r="AM1346" s="262"/>
    </row>
    <row r="1347" spans="1:39" x14ac:dyDescent="0.25">
      <c r="A1347" s="215"/>
      <c r="B1347" s="215"/>
      <c r="C1347" s="215"/>
      <c r="D1347" s="239"/>
      <c r="E1347" s="239"/>
      <c r="F1347" s="239"/>
      <c r="G1347" s="239"/>
      <c r="H1347" s="239"/>
      <c r="I1347" s="257"/>
      <c r="J1347" s="240"/>
      <c r="K1347" s="240"/>
      <c r="L1347" s="240"/>
      <c r="M1347" s="240"/>
      <c r="N1347" s="240"/>
      <c r="O1347" s="258"/>
      <c r="P1347" s="224"/>
      <c r="Q1347" s="224"/>
      <c r="R1347" s="224"/>
      <c r="S1347" s="224"/>
      <c r="T1347" s="224"/>
      <c r="U1347" s="259"/>
      <c r="V1347" s="239"/>
      <c r="W1347" s="239"/>
      <c r="X1347" s="239"/>
      <c r="Y1347" s="239"/>
      <c r="Z1347" s="239"/>
      <c r="AA1347" s="257"/>
      <c r="AB1347" s="224"/>
      <c r="AC1347" s="224"/>
      <c r="AD1347" s="224"/>
      <c r="AE1347" s="224"/>
      <c r="AF1347" s="224"/>
      <c r="AG1347" s="259"/>
      <c r="AH1347" s="261"/>
      <c r="AI1347" s="261"/>
      <c r="AJ1347" s="261"/>
      <c r="AK1347" s="261"/>
      <c r="AL1347" s="261"/>
      <c r="AM1347" s="262"/>
    </row>
    <row r="1348" spans="1:39" x14ac:dyDescent="0.25">
      <c r="A1348" s="215"/>
      <c r="B1348" s="215"/>
      <c r="C1348" s="215"/>
      <c r="D1348" s="239"/>
      <c r="E1348" s="239"/>
      <c r="F1348" s="239"/>
      <c r="G1348" s="239"/>
      <c r="H1348" s="239"/>
      <c r="I1348" s="257"/>
      <c r="J1348" s="240"/>
      <c r="K1348" s="240"/>
      <c r="L1348" s="240"/>
      <c r="M1348" s="240"/>
      <c r="N1348" s="240"/>
      <c r="O1348" s="258"/>
      <c r="P1348" s="224"/>
      <c r="Q1348" s="224"/>
      <c r="R1348" s="224"/>
      <c r="S1348" s="224"/>
      <c r="T1348" s="224"/>
      <c r="U1348" s="259"/>
      <c r="V1348" s="239"/>
      <c r="W1348" s="239"/>
      <c r="X1348" s="239"/>
      <c r="Y1348" s="239"/>
      <c r="Z1348" s="239"/>
      <c r="AA1348" s="257"/>
      <c r="AB1348" s="224"/>
      <c r="AC1348" s="224"/>
      <c r="AD1348" s="224"/>
      <c r="AE1348" s="224"/>
      <c r="AF1348" s="224"/>
      <c r="AG1348" s="259"/>
      <c r="AH1348" s="261"/>
      <c r="AI1348" s="261"/>
      <c r="AJ1348" s="261"/>
      <c r="AK1348" s="261"/>
      <c r="AL1348" s="261"/>
      <c r="AM1348" s="262"/>
    </row>
    <row r="1349" spans="1:39" x14ac:dyDescent="0.25">
      <c r="A1349" s="215"/>
      <c r="B1349" s="215"/>
      <c r="C1349" s="215"/>
      <c r="D1349" s="239"/>
      <c r="E1349" s="239"/>
      <c r="F1349" s="239"/>
      <c r="G1349" s="239"/>
      <c r="H1349" s="239"/>
      <c r="I1349" s="257"/>
      <c r="J1349" s="240"/>
      <c r="K1349" s="240"/>
      <c r="L1349" s="240"/>
      <c r="M1349" s="240"/>
      <c r="N1349" s="240"/>
      <c r="O1349" s="258"/>
      <c r="P1349" s="224"/>
      <c r="Q1349" s="224"/>
      <c r="R1349" s="224"/>
      <c r="S1349" s="224"/>
      <c r="T1349" s="224"/>
      <c r="U1349" s="259"/>
      <c r="V1349" s="239"/>
      <c r="W1349" s="239"/>
      <c r="X1349" s="239"/>
      <c r="Y1349" s="239"/>
      <c r="Z1349" s="239"/>
      <c r="AA1349" s="257"/>
      <c r="AB1349" s="224"/>
      <c r="AC1349" s="224"/>
      <c r="AD1349" s="224"/>
      <c r="AE1349" s="224"/>
      <c r="AF1349" s="224"/>
      <c r="AG1349" s="259"/>
      <c r="AH1349" s="261"/>
      <c r="AI1349" s="261"/>
      <c r="AJ1349" s="261"/>
      <c r="AK1349" s="261"/>
      <c r="AL1349" s="261"/>
      <c r="AM1349" s="262"/>
    </row>
    <row r="1350" spans="1:39" x14ac:dyDescent="0.25">
      <c r="A1350" s="215"/>
      <c r="B1350" s="215"/>
      <c r="C1350" s="215"/>
      <c r="D1350" s="239"/>
      <c r="E1350" s="239"/>
      <c r="F1350" s="239"/>
      <c r="G1350" s="239"/>
      <c r="H1350" s="239"/>
      <c r="I1350" s="257"/>
      <c r="J1350" s="240"/>
      <c r="K1350" s="240"/>
      <c r="L1350" s="240"/>
      <c r="M1350" s="240"/>
      <c r="N1350" s="240"/>
      <c r="O1350" s="258"/>
      <c r="P1350" s="224"/>
      <c r="Q1350" s="224"/>
      <c r="R1350" s="224"/>
      <c r="S1350" s="224"/>
      <c r="T1350" s="224"/>
      <c r="U1350" s="259"/>
      <c r="V1350" s="239"/>
      <c r="W1350" s="239"/>
      <c r="X1350" s="239"/>
      <c r="Y1350" s="239"/>
      <c r="Z1350" s="239"/>
      <c r="AA1350" s="257"/>
      <c r="AB1350" s="224"/>
      <c r="AC1350" s="224"/>
      <c r="AD1350" s="224"/>
      <c r="AE1350" s="224"/>
      <c r="AF1350" s="224"/>
      <c r="AG1350" s="259"/>
      <c r="AH1350" s="261"/>
      <c r="AI1350" s="261"/>
      <c r="AJ1350" s="261"/>
      <c r="AK1350" s="261"/>
      <c r="AL1350" s="261"/>
      <c r="AM1350" s="262"/>
    </row>
    <row r="1351" spans="1:39" x14ac:dyDescent="0.25">
      <c r="A1351" s="215"/>
      <c r="B1351" s="215"/>
      <c r="C1351" s="215"/>
      <c r="D1351" s="239"/>
      <c r="E1351" s="239"/>
      <c r="F1351" s="239"/>
      <c r="G1351" s="239"/>
      <c r="H1351" s="239"/>
      <c r="I1351" s="257"/>
      <c r="J1351" s="240"/>
      <c r="K1351" s="240"/>
      <c r="L1351" s="240"/>
      <c r="M1351" s="240"/>
      <c r="N1351" s="240"/>
      <c r="O1351" s="258"/>
      <c r="P1351" s="224"/>
      <c r="Q1351" s="224"/>
      <c r="R1351" s="224"/>
      <c r="S1351" s="224"/>
      <c r="T1351" s="224"/>
      <c r="U1351" s="259"/>
      <c r="V1351" s="239"/>
      <c r="W1351" s="239"/>
      <c r="X1351" s="239"/>
      <c r="Y1351" s="239"/>
      <c r="Z1351" s="239"/>
      <c r="AA1351" s="257"/>
      <c r="AB1351" s="224"/>
      <c r="AC1351" s="224"/>
      <c r="AD1351" s="224"/>
      <c r="AE1351" s="224"/>
      <c r="AF1351" s="224"/>
      <c r="AG1351" s="259"/>
      <c r="AH1351" s="261"/>
      <c r="AI1351" s="261"/>
      <c r="AJ1351" s="261"/>
      <c r="AK1351" s="261"/>
      <c r="AL1351" s="261"/>
      <c r="AM1351" s="262"/>
    </row>
    <row r="1352" spans="1:39" x14ac:dyDescent="0.25">
      <c r="A1352" s="215"/>
      <c r="B1352" s="215"/>
      <c r="C1352" s="215"/>
      <c r="D1352" s="239"/>
      <c r="E1352" s="239"/>
      <c r="F1352" s="239"/>
      <c r="G1352" s="239"/>
      <c r="H1352" s="239"/>
      <c r="I1352" s="257"/>
      <c r="J1352" s="240"/>
      <c r="K1352" s="240"/>
      <c r="L1352" s="240"/>
      <c r="M1352" s="240"/>
      <c r="N1352" s="240"/>
      <c r="O1352" s="258"/>
      <c r="P1352" s="224"/>
      <c r="Q1352" s="224"/>
      <c r="R1352" s="224"/>
      <c r="S1352" s="224"/>
      <c r="T1352" s="224"/>
      <c r="U1352" s="259"/>
      <c r="V1352" s="239"/>
      <c r="W1352" s="239"/>
      <c r="X1352" s="239"/>
      <c r="Y1352" s="239"/>
      <c r="Z1352" s="239"/>
      <c r="AA1352" s="257"/>
      <c r="AB1352" s="224"/>
      <c r="AC1352" s="224"/>
      <c r="AD1352" s="224"/>
      <c r="AE1352" s="224"/>
      <c r="AF1352" s="224"/>
      <c r="AG1352" s="259"/>
      <c r="AH1352" s="261"/>
      <c r="AI1352" s="261"/>
      <c r="AJ1352" s="261"/>
      <c r="AK1352" s="261"/>
      <c r="AL1352" s="261"/>
      <c r="AM1352" s="262"/>
    </row>
    <row r="1353" spans="1:39" x14ac:dyDescent="0.25">
      <c r="A1353" s="215"/>
      <c r="B1353" s="215"/>
      <c r="C1353" s="215"/>
      <c r="D1353" s="239"/>
      <c r="E1353" s="239"/>
      <c r="F1353" s="239"/>
      <c r="G1353" s="239"/>
      <c r="H1353" s="239"/>
      <c r="I1353" s="257"/>
      <c r="J1353" s="240"/>
      <c r="K1353" s="240"/>
      <c r="L1353" s="240"/>
      <c r="M1353" s="240"/>
      <c r="N1353" s="240"/>
      <c r="O1353" s="258"/>
      <c r="P1353" s="224"/>
      <c r="Q1353" s="224"/>
      <c r="R1353" s="224"/>
      <c r="S1353" s="224"/>
      <c r="T1353" s="224"/>
      <c r="U1353" s="259"/>
      <c r="V1353" s="239"/>
      <c r="W1353" s="239"/>
      <c r="X1353" s="239"/>
      <c r="Y1353" s="239"/>
      <c r="Z1353" s="239"/>
      <c r="AA1353" s="257"/>
      <c r="AB1353" s="224"/>
      <c r="AC1353" s="224"/>
      <c r="AD1353" s="224"/>
      <c r="AE1353" s="224"/>
      <c r="AF1353" s="224"/>
      <c r="AG1353" s="259"/>
      <c r="AH1353" s="261"/>
      <c r="AI1353" s="261"/>
      <c r="AJ1353" s="261"/>
      <c r="AK1353" s="261"/>
      <c r="AL1353" s="261"/>
      <c r="AM1353" s="262"/>
    </row>
    <row r="1354" spans="1:39" x14ac:dyDescent="0.25">
      <c r="A1354" s="215"/>
      <c r="B1354" s="215"/>
      <c r="C1354" s="215"/>
      <c r="D1354" s="239"/>
      <c r="E1354" s="239"/>
      <c r="F1354" s="239"/>
      <c r="G1354" s="239"/>
      <c r="H1354" s="239"/>
      <c r="I1354" s="257"/>
      <c r="J1354" s="240"/>
      <c r="K1354" s="240"/>
      <c r="L1354" s="240"/>
      <c r="M1354" s="240"/>
      <c r="N1354" s="240"/>
      <c r="O1354" s="258"/>
      <c r="P1354" s="224"/>
      <c r="Q1354" s="224"/>
      <c r="R1354" s="224"/>
      <c r="S1354" s="224"/>
      <c r="T1354" s="224"/>
      <c r="U1354" s="259"/>
      <c r="V1354" s="239"/>
      <c r="W1354" s="239"/>
      <c r="X1354" s="239"/>
      <c r="Y1354" s="239"/>
      <c r="Z1354" s="239"/>
      <c r="AA1354" s="257"/>
      <c r="AB1354" s="224"/>
      <c r="AC1354" s="224"/>
      <c r="AD1354" s="224"/>
      <c r="AE1354" s="224"/>
      <c r="AF1354" s="224"/>
      <c r="AG1354" s="259"/>
      <c r="AH1354" s="261"/>
      <c r="AI1354" s="261"/>
      <c r="AJ1354" s="261"/>
      <c r="AK1354" s="261"/>
      <c r="AL1354" s="261"/>
      <c r="AM1354" s="262"/>
    </row>
    <row r="1355" spans="1:39" x14ac:dyDescent="0.25">
      <c r="A1355" s="215"/>
      <c r="B1355" s="215"/>
      <c r="C1355" s="215"/>
      <c r="D1355" s="239"/>
      <c r="E1355" s="239"/>
      <c r="F1355" s="239"/>
      <c r="G1355" s="239"/>
      <c r="H1355" s="239"/>
      <c r="I1355" s="257"/>
      <c r="J1355" s="240"/>
      <c r="K1355" s="240"/>
      <c r="L1355" s="240"/>
      <c r="M1355" s="240"/>
      <c r="N1355" s="240"/>
      <c r="O1355" s="258"/>
      <c r="P1355" s="224"/>
      <c r="Q1355" s="224"/>
      <c r="R1355" s="224"/>
      <c r="S1355" s="224"/>
      <c r="T1355" s="224"/>
      <c r="U1355" s="259"/>
      <c r="V1355" s="239"/>
      <c r="W1355" s="239"/>
      <c r="X1355" s="239"/>
      <c r="Y1355" s="239"/>
      <c r="Z1355" s="239"/>
      <c r="AA1355" s="257"/>
      <c r="AB1355" s="224"/>
      <c r="AC1355" s="224"/>
      <c r="AD1355" s="224"/>
      <c r="AE1355" s="224"/>
      <c r="AF1355" s="224"/>
      <c r="AG1355" s="259"/>
      <c r="AH1355" s="261"/>
      <c r="AI1355" s="261"/>
      <c r="AJ1355" s="261"/>
      <c r="AK1355" s="261"/>
      <c r="AL1355" s="261"/>
      <c r="AM1355" s="262"/>
    </row>
    <row r="1356" spans="1:39" x14ac:dyDescent="0.25">
      <c r="A1356" s="215"/>
      <c r="B1356" s="215"/>
      <c r="C1356" s="215"/>
      <c r="D1356" s="239"/>
      <c r="E1356" s="239"/>
      <c r="F1356" s="239"/>
      <c r="G1356" s="239"/>
      <c r="H1356" s="239"/>
      <c r="I1356" s="257"/>
      <c r="J1356" s="240"/>
      <c r="K1356" s="240"/>
      <c r="L1356" s="240"/>
      <c r="M1356" s="240"/>
      <c r="N1356" s="240"/>
      <c r="O1356" s="258"/>
      <c r="P1356" s="224"/>
      <c r="Q1356" s="224"/>
      <c r="R1356" s="224"/>
      <c r="S1356" s="224"/>
      <c r="T1356" s="224"/>
      <c r="U1356" s="259"/>
      <c r="V1356" s="239"/>
      <c r="W1356" s="239"/>
      <c r="X1356" s="239"/>
      <c r="Y1356" s="239"/>
      <c r="Z1356" s="239"/>
      <c r="AA1356" s="257"/>
      <c r="AB1356" s="224"/>
      <c r="AC1356" s="224"/>
      <c r="AD1356" s="224"/>
      <c r="AE1356" s="224"/>
      <c r="AF1356" s="224"/>
      <c r="AG1356" s="259"/>
      <c r="AH1356" s="261"/>
      <c r="AI1356" s="261"/>
      <c r="AJ1356" s="261"/>
      <c r="AK1356" s="261"/>
      <c r="AL1356" s="261"/>
      <c r="AM1356" s="262"/>
    </row>
    <row r="1357" spans="1:39" x14ac:dyDescent="0.25">
      <c r="A1357" s="215"/>
      <c r="B1357" s="215"/>
      <c r="C1357" s="215"/>
      <c r="D1357" s="239"/>
      <c r="E1357" s="239"/>
      <c r="F1357" s="239"/>
      <c r="G1357" s="239"/>
      <c r="H1357" s="239"/>
      <c r="I1357" s="257"/>
      <c r="J1357" s="240"/>
      <c r="K1357" s="240"/>
      <c r="L1357" s="240"/>
      <c r="M1357" s="240"/>
      <c r="N1357" s="240"/>
      <c r="O1357" s="258"/>
      <c r="P1357" s="224"/>
      <c r="Q1357" s="224"/>
      <c r="R1357" s="224"/>
      <c r="S1357" s="224"/>
      <c r="T1357" s="224"/>
      <c r="U1357" s="259"/>
      <c r="V1357" s="239"/>
      <c r="W1357" s="239"/>
      <c r="X1357" s="239"/>
      <c r="Y1357" s="239"/>
      <c r="Z1357" s="239"/>
      <c r="AA1357" s="257"/>
      <c r="AB1357" s="224"/>
      <c r="AC1357" s="224"/>
      <c r="AD1357" s="224"/>
      <c r="AE1357" s="224"/>
      <c r="AF1357" s="224"/>
      <c r="AG1357" s="259"/>
      <c r="AH1357" s="261"/>
      <c r="AI1357" s="261"/>
      <c r="AJ1357" s="261"/>
      <c r="AK1357" s="261"/>
      <c r="AL1357" s="261"/>
      <c r="AM1357" s="262"/>
    </row>
    <row r="1358" spans="1:39" x14ac:dyDescent="0.25">
      <c r="A1358" s="215"/>
      <c r="B1358" s="215"/>
      <c r="C1358" s="215"/>
      <c r="D1358" s="239"/>
      <c r="E1358" s="239"/>
      <c r="F1358" s="239"/>
      <c r="G1358" s="239"/>
      <c r="H1358" s="239"/>
      <c r="I1358" s="257"/>
      <c r="J1358" s="240"/>
      <c r="K1358" s="240"/>
      <c r="L1358" s="240"/>
      <c r="M1358" s="240"/>
      <c r="N1358" s="240"/>
      <c r="O1358" s="258"/>
      <c r="P1358" s="224"/>
      <c r="Q1358" s="224"/>
      <c r="R1358" s="224"/>
      <c r="S1358" s="224"/>
      <c r="T1358" s="224"/>
      <c r="U1358" s="259"/>
      <c r="V1358" s="239"/>
      <c r="W1358" s="239"/>
      <c r="X1358" s="239"/>
      <c r="Y1358" s="239"/>
      <c r="Z1358" s="239"/>
      <c r="AA1358" s="257"/>
      <c r="AB1358" s="224"/>
      <c r="AC1358" s="224"/>
      <c r="AD1358" s="224"/>
      <c r="AE1358" s="224"/>
      <c r="AF1358" s="224"/>
      <c r="AG1358" s="259"/>
      <c r="AH1358" s="261"/>
      <c r="AI1358" s="261"/>
      <c r="AJ1358" s="261"/>
      <c r="AK1358" s="261"/>
      <c r="AL1358" s="261"/>
      <c r="AM1358" s="262"/>
    </row>
    <row r="1359" spans="1:39" x14ac:dyDescent="0.25">
      <c r="A1359" s="215"/>
      <c r="B1359" s="215"/>
      <c r="C1359" s="215"/>
      <c r="D1359" s="239"/>
      <c r="E1359" s="239"/>
      <c r="F1359" s="239"/>
      <c r="G1359" s="239"/>
      <c r="H1359" s="239"/>
      <c r="I1359" s="257"/>
      <c r="J1359" s="240"/>
      <c r="K1359" s="240"/>
      <c r="L1359" s="240"/>
      <c r="M1359" s="240"/>
      <c r="N1359" s="240"/>
      <c r="O1359" s="258"/>
      <c r="P1359" s="224"/>
      <c r="Q1359" s="224"/>
      <c r="R1359" s="224"/>
      <c r="S1359" s="224"/>
      <c r="T1359" s="224"/>
      <c r="U1359" s="259"/>
      <c r="V1359" s="239"/>
      <c r="W1359" s="239"/>
      <c r="X1359" s="239"/>
      <c r="Y1359" s="239"/>
      <c r="Z1359" s="239"/>
      <c r="AA1359" s="257"/>
      <c r="AB1359" s="224"/>
      <c r="AC1359" s="224"/>
      <c r="AD1359" s="224"/>
      <c r="AE1359" s="224"/>
      <c r="AF1359" s="224"/>
      <c r="AG1359" s="259"/>
      <c r="AH1359" s="261"/>
      <c r="AI1359" s="261"/>
      <c r="AJ1359" s="261"/>
      <c r="AK1359" s="261"/>
      <c r="AL1359" s="261"/>
      <c r="AM1359" s="262"/>
    </row>
    <row r="1360" spans="1:39" x14ac:dyDescent="0.25">
      <c r="A1360" s="215"/>
      <c r="B1360" s="215"/>
      <c r="C1360" s="215"/>
      <c r="D1360" s="239"/>
      <c r="E1360" s="239"/>
      <c r="F1360" s="239"/>
      <c r="G1360" s="239"/>
      <c r="H1360" s="239"/>
      <c r="I1360" s="257"/>
      <c r="J1360" s="240"/>
      <c r="K1360" s="240"/>
      <c r="L1360" s="240"/>
      <c r="M1360" s="240"/>
      <c r="N1360" s="240"/>
      <c r="O1360" s="258"/>
      <c r="P1360" s="224"/>
      <c r="Q1360" s="224"/>
      <c r="R1360" s="224"/>
      <c r="S1360" s="224"/>
      <c r="T1360" s="224"/>
      <c r="U1360" s="259"/>
      <c r="V1360" s="239"/>
      <c r="W1360" s="239"/>
      <c r="X1360" s="239"/>
      <c r="Y1360" s="239"/>
      <c r="Z1360" s="239"/>
      <c r="AA1360" s="257"/>
      <c r="AB1360" s="224"/>
      <c r="AC1360" s="224"/>
      <c r="AD1360" s="224"/>
      <c r="AE1360" s="224"/>
      <c r="AF1360" s="224"/>
      <c r="AG1360" s="259"/>
      <c r="AH1360" s="261"/>
      <c r="AI1360" s="261"/>
      <c r="AJ1360" s="261"/>
      <c r="AK1360" s="261"/>
      <c r="AL1360" s="261"/>
      <c r="AM1360" s="262"/>
    </row>
    <row r="1361" spans="1:39" x14ac:dyDescent="0.25">
      <c r="A1361" s="215"/>
      <c r="B1361" s="215"/>
      <c r="C1361" s="215"/>
      <c r="D1361" s="239"/>
      <c r="E1361" s="239"/>
      <c r="F1361" s="239"/>
      <c r="G1361" s="239"/>
      <c r="H1361" s="239"/>
      <c r="I1361" s="257"/>
      <c r="J1361" s="240"/>
      <c r="K1361" s="240"/>
      <c r="L1361" s="240"/>
      <c r="M1361" s="240"/>
      <c r="N1361" s="240"/>
      <c r="O1361" s="258"/>
      <c r="P1361" s="224"/>
      <c r="Q1361" s="224"/>
      <c r="R1361" s="224"/>
      <c r="S1361" s="224"/>
      <c r="T1361" s="224"/>
      <c r="U1361" s="259"/>
      <c r="V1361" s="239"/>
      <c r="W1361" s="239"/>
      <c r="X1361" s="239"/>
      <c r="Y1361" s="239"/>
      <c r="Z1361" s="239"/>
      <c r="AA1361" s="257"/>
      <c r="AB1361" s="224"/>
      <c r="AC1361" s="224"/>
      <c r="AD1361" s="224"/>
      <c r="AE1361" s="224"/>
      <c r="AF1361" s="224"/>
      <c r="AG1361" s="259"/>
      <c r="AH1361" s="261"/>
      <c r="AI1361" s="261"/>
      <c r="AJ1361" s="261"/>
      <c r="AK1361" s="261"/>
      <c r="AL1361" s="261"/>
      <c r="AM1361" s="262"/>
    </row>
    <row r="1362" spans="1:39" x14ac:dyDescent="0.25">
      <c r="A1362" s="215"/>
      <c r="B1362" s="215"/>
      <c r="C1362" s="215"/>
      <c r="D1362" s="239"/>
      <c r="E1362" s="239"/>
      <c r="F1362" s="239"/>
      <c r="G1362" s="239"/>
      <c r="H1362" s="239"/>
      <c r="I1362" s="257"/>
      <c r="J1362" s="240"/>
      <c r="K1362" s="240"/>
      <c r="L1362" s="240"/>
      <c r="M1362" s="240"/>
      <c r="N1362" s="240"/>
      <c r="O1362" s="258"/>
      <c r="P1362" s="224"/>
      <c r="Q1362" s="224"/>
      <c r="R1362" s="224"/>
      <c r="S1362" s="224"/>
      <c r="T1362" s="224"/>
      <c r="U1362" s="259"/>
      <c r="V1362" s="239"/>
      <c r="W1362" s="239"/>
      <c r="X1362" s="239"/>
      <c r="Y1362" s="239"/>
      <c r="Z1362" s="239"/>
      <c r="AA1362" s="257"/>
      <c r="AB1362" s="224"/>
      <c r="AC1362" s="224"/>
      <c r="AD1362" s="224"/>
      <c r="AE1362" s="224"/>
      <c r="AF1362" s="224"/>
      <c r="AG1362" s="259"/>
      <c r="AH1362" s="261"/>
      <c r="AI1362" s="261"/>
      <c r="AJ1362" s="261"/>
      <c r="AK1362" s="261"/>
      <c r="AL1362" s="261"/>
      <c r="AM1362" s="262"/>
    </row>
    <row r="1363" spans="1:39" x14ac:dyDescent="0.25">
      <c r="A1363" s="215"/>
      <c r="B1363" s="215"/>
      <c r="C1363" s="215"/>
      <c r="D1363" s="239"/>
      <c r="E1363" s="239"/>
      <c r="F1363" s="239"/>
      <c r="G1363" s="239"/>
      <c r="H1363" s="239"/>
      <c r="I1363" s="257"/>
      <c r="J1363" s="240"/>
      <c r="K1363" s="240"/>
      <c r="L1363" s="240"/>
      <c r="M1363" s="240"/>
      <c r="N1363" s="240"/>
      <c r="O1363" s="258"/>
      <c r="P1363" s="224"/>
      <c r="Q1363" s="224"/>
      <c r="R1363" s="224"/>
      <c r="S1363" s="224"/>
      <c r="T1363" s="224"/>
      <c r="U1363" s="259"/>
      <c r="V1363" s="239"/>
      <c r="W1363" s="239"/>
      <c r="X1363" s="239"/>
      <c r="Y1363" s="239"/>
      <c r="Z1363" s="239"/>
      <c r="AA1363" s="257"/>
      <c r="AB1363" s="224"/>
      <c r="AC1363" s="224"/>
      <c r="AD1363" s="224"/>
      <c r="AE1363" s="224"/>
      <c r="AF1363" s="224"/>
      <c r="AG1363" s="259"/>
      <c r="AH1363" s="261"/>
      <c r="AI1363" s="261"/>
      <c r="AJ1363" s="261"/>
      <c r="AK1363" s="261"/>
      <c r="AL1363" s="261"/>
      <c r="AM1363" s="262"/>
    </row>
    <row r="1364" spans="1:39" x14ac:dyDescent="0.25">
      <c r="A1364" s="215"/>
      <c r="B1364" s="215"/>
      <c r="C1364" s="215"/>
      <c r="D1364" s="239"/>
      <c r="E1364" s="239"/>
      <c r="F1364" s="239"/>
      <c r="G1364" s="239"/>
      <c r="H1364" s="239"/>
      <c r="I1364" s="257"/>
      <c r="J1364" s="240"/>
      <c r="K1364" s="240"/>
      <c r="L1364" s="240"/>
      <c r="M1364" s="240"/>
      <c r="N1364" s="240"/>
      <c r="O1364" s="258"/>
      <c r="P1364" s="224"/>
      <c r="Q1364" s="224"/>
      <c r="R1364" s="224"/>
      <c r="S1364" s="224"/>
      <c r="T1364" s="224"/>
      <c r="U1364" s="259"/>
      <c r="V1364" s="239"/>
      <c r="W1364" s="239"/>
      <c r="X1364" s="239"/>
      <c r="Y1364" s="239"/>
      <c r="Z1364" s="239"/>
      <c r="AA1364" s="257"/>
      <c r="AB1364" s="224"/>
      <c r="AC1364" s="224"/>
      <c r="AD1364" s="224"/>
      <c r="AE1364" s="224"/>
      <c r="AF1364" s="224"/>
      <c r="AG1364" s="259"/>
      <c r="AH1364" s="261"/>
      <c r="AI1364" s="261"/>
      <c r="AJ1364" s="261"/>
      <c r="AK1364" s="261"/>
      <c r="AL1364" s="261"/>
      <c r="AM1364" s="262"/>
    </row>
    <row r="1365" spans="1:39" x14ac:dyDescent="0.25">
      <c r="A1365" s="215"/>
      <c r="B1365" s="215"/>
      <c r="C1365" s="215"/>
      <c r="D1365" s="239"/>
      <c r="E1365" s="239"/>
      <c r="F1365" s="239"/>
      <c r="G1365" s="239"/>
      <c r="H1365" s="239"/>
      <c r="I1365" s="257"/>
      <c r="J1365" s="240"/>
      <c r="K1365" s="240"/>
      <c r="L1365" s="240"/>
      <c r="M1365" s="240"/>
      <c r="N1365" s="240"/>
      <c r="O1365" s="258"/>
      <c r="P1365" s="224"/>
      <c r="Q1365" s="224"/>
      <c r="R1365" s="224"/>
      <c r="S1365" s="224"/>
      <c r="T1365" s="224"/>
      <c r="U1365" s="259"/>
      <c r="V1365" s="239"/>
      <c r="W1365" s="239"/>
      <c r="X1365" s="239"/>
      <c r="Y1365" s="239"/>
      <c r="Z1365" s="239"/>
      <c r="AA1365" s="257"/>
      <c r="AB1365" s="224"/>
      <c r="AC1365" s="224"/>
      <c r="AD1365" s="224"/>
      <c r="AE1365" s="224"/>
      <c r="AF1365" s="224"/>
      <c r="AG1365" s="259"/>
      <c r="AH1365" s="261"/>
      <c r="AI1365" s="261"/>
      <c r="AJ1365" s="261"/>
      <c r="AK1365" s="261"/>
      <c r="AL1365" s="261"/>
      <c r="AM1365" s="262"/>
    </row>
    <row r="1366" spans="1:39" x14ac:dyDescent="0.25">
      <c r="A1366" s="215"/>
      <c r="B1366" s="215"/>
      <c r="C1366" s="215"/>
      <c r="D1366" s="239"/>
      <c r="E1366" s="239"/>
      <c r="F1366" s="239"/>
      <c r="G1366" s="239"/>
      <c r="H1366" s="239"/>
      <c r="I1366" s="257"/>
      <c r="J1366" s="240"/>
      <c r="K1366" s="240"/>
      <c r="L1366" s="240"/>
      <c r="M1366" s="240"/>
      <c r="N1366" s="240"/>
      <c r="O1366" s="258"/>
      <c r="P1366" s="224"/>
      <c r="Q1366" s="224"/>
      <c r="R1366" s="224"/>
      <c r="S1366" s="224"/>
      <c r="T1366" s="224"/>
      <c r="U1366" s="259"/>
      <c r="V1366" s="239"/>
      <c r="W1366" s="239"/>
      <c r="X1366" s="239"/>
      <c r="Y1366" s="239"/>
      <c r="Z1366" s="239"/>
      <c r="AA1366" s="257"/>
      <c r="AB1366" s="224"/>
      <c r="AC1366" s="224"/>
      <c r="AD1366" s="224"/>
      <c r="AE1366" s="224"/>
      <c r="AF1366" s="224"/>
      <c r="AG1366" s="259"/>
      <c r="AH1366" s="261"/>
      <c r="AI1366" s="261"/>
      <c r="AJ1366" s="261"/>
      <c r="AK1366" s="261"/>
      <c r="AL1366" s="261"/>
      <c r="AM1366" s="262"/>
    </row>
    <row r="1367" spans="1:39" x14ac:dyDescent="0.25">
      <c r="A1367" s="215"/>
      <c r="B1367" s="215"/>
      <c r="C1367" s="215"/>
      <c r="D1367" s="239"/>
      <c r="E1367" s="239"/>
      <c r="F1367" s="239"/>
      <c r="G1367" s="239"/>
      <c r="H1367" s="239"/>
      <c r="I1367" s="257"/>
      <c r="J1367" s="240"/>
      <c r="K1367" s="240"/>
      <c r="L1367" s="240"/>
      <c r="M1367" s="240"/>
      <c r="N1367" s="240"/>
      <c r="O1367" s="258"/>
      <c r="P1367" s="224"/>
      <c r="Q1367" s="224"/>
      <c r="R1367" s="224"/>
      <c r="S1367" s="224"/>
      <c r="T1367" s="224"/>
      <c r="U1367" s="259"/>
      <c r="V1367" s="239"/>
      <c r="W1367" s="239"/>
      <c r="X1367" s="239"/>
      <c r="Y1367" s="239"/>
      <c r="Z1367" s="239"/>
      <c r="AA1367" s="257"/>
      <c r="AB1367" s="224"/>
      <c r="AC1367" s="224"/>
      <c r="AD1367" s="224"/>
      <c r="AE1367" s="224"/>
      <c r="AF1367" s="224"/>
      <c r="AG1367" s="259"/>
      <c r="AH1367" s="261"/>
      <c r="AI1367" s="261"/>
      <c r="AJ1367" s="261"/>
      <c r="AK1367" s="261"/>
      <c r="AL1367" s="261"/>
      <c r="AM1367" s="262"/>
    </row>
    <row r="1368" spans="1:39" x14ac:dyDescent="0.25">
      <c r="A1368" s="215"/>
      <c r="B1368" s="215"/>
      <c r="C1368" s="215"/>
      <c r="D1368" s="239"/>
      <c r="E1368" s="239"/>
      <c r="F1368" s="239"/>
      <c r="G1368" s="239"/>
      <c r="H1368" s="239"/>
      <c r="I1368" s="257"/>
      <c r="J1368" s="240"/>
      <c r="K1368" s="240"/>
      <c r="L1368" s="240"/>
      <c r="M1368" s="240"/>
      <c r="N1368" s="240"/>
      <c r="O1368" s="258"/>
      <c r="P1368" s="224"/>
      <c r="Q1368" s="224"/>
      <c r="R1368" s="224"/>
      <c r="S1368" s="224"/>
      <c r="T1368" s="224"/>
      <c r="U1368" s="259"/>
      <c r="V1368" s="239"/>
      <c r="W1368" s="239"/>
      <c r="X1368" s="239"/>
      <c r="Y1368" s="239"/>
      <c r="Z1368" s="239"/>
      <c r="AA1368" s="257"/>
      <c r="AB1368" s="224"/>
      <c r="AC1368" s="224"/>
      <c r="AD1368" s="224"/>
      <c r="AE1368" s="224"/>
      <c r="AF1368" s="224"/>
      <c r="AG1368" s="259"/>
      <c r="AH1368" s="261"/>
      <c r="AI1368" s="261"/>
      <c r="AJ1368" s="261"/>
      <c r="AK1368" s="261"/>
      <c r="AL1368" s="261"/>
      <c r="AM1368" s="262"/>
    </row>
    <row r="1369" spans="1:39" x14ac:dyDescent="0.25">
      <c r="A1369" s="215"/>
      <c r="B1369" s="215"/>
      <c r="C1369" s="215"/>
      <c r="D1369" s="239"/>
      <c r="E1369" s="239"/>
      <c r="F1369" s="239"/>
      <c r="G1369" s="239"/>
      <c r="H1369" s="239"/>
      <c r="I1369" s="257"/>
      <c r="J1369" s="240"/>
      <c r="K1369" s="240"/>
      <c r="L1369" s="240"/>
      <c r="M1369" s="240"/>
      <c r="N1369" s="240"/>
      <c r="O1369" s="258"/>
      <c r="P1369" s="224"/>
      <c r="Q1369" s="224"/>
      <c r="R1369" s="224"/>
      <c r="S1369" s="224"/>
      <c r="T1369" s="224"/>
      <c r="U1369" s="259"/>
      <c r="V1369" s="239"/>
      <c r="W1369" s="239"/>
      <c r="X1369" s="239"/>
      <c r="Y1369" s="239"/>
      <c r="Z1369" s="239"/>
      <c r="AA1369" s="257"/>
      <c r="AB1369" s="224"/>
      <c r="AC1369" s="224"/>
      <c r="AD1369" s="224"/>
      <c r="AE1369" s="224"/>
      <c r="AF1369" s="224"/>
      <c r="AG1369" s="259"/>
      <c r="AH1369" s="261"/>
      <c r="AI1369" s="261"/>
      <c r="AJ1369" s="261"/>
      <c r="AK1369" s="261"/>
      <c r="AL1369" s="261"/>
      <c r="AM1369" s="262"/>
    </row>
    <row r="1370" spans="1:39" x14ac:dyDescent="0.25">
      <c r="A1370" s="215"/>
      <c r="B1370" s="215"/>
      <c r="C1370" s="215"/>
      <c r="D1370" s="239"/>
      <c r="E1370" s="239"/>
      <c r="F1370" s="239"/>
      <c r="G1370" s="239"/>
      <c r="H1370" s="239"/>
      <c r="I1370" s="257"/>
      <c r="J1370" s="240"/>
      <c r="K1370" s="240"/>
      <c r="L1370" s="240"/>
      <c r="M1370" s="240"/>
      <c r="N1370" s="240"/>
      <c r="O1370" s="258"/>
      <c r="P1370" s="224"/>
      <c r="Q1370" s="224"/>
      <c r="R1370" s="224"/>
      <c r="S1370" s="224"/>
      <c r="T1370" s="224"/>
      <c r="U1370" s="259"/>
      <c r="V1370" s="239"/>
      <c r="W1370" s="239"/>
      <c r="X1370" s="239"/>
      <c r="Y1370" s="239"/>
      <c r="Z1370" s="239"/>
      <c r="AA1370" s="257"/>
      <c r="AB1370" s="224"/>
      <c r="AC1370" s="224"/>
      <c r="AD1370" s="224"/>
      <c r="AE1370" s="224"/>
      <c r="AF1370" s="224"/>
      <c r="AG1370" s="259"/>
      <c r="AH1370" s="261"/>
      <c r="AI1370" s="261"/>
      <c r="AJ1370" s="261"/>
      <c r="AK1370" s="261"/>
      <c r="AL1370" s="261"/>
      <c r="AM1370" s="262"/>
    </row>
    <row r="1371" spans="1:39" x14ac:dyDescent="0.25">
      <c r="A1371" s="215"/>
      <c r="B1371" s="215"/>
      <c r="C1371" s="215"/>
      <c r="D1371" s="239"/>
      <c r="E1371" s="239"/>
      <c r="F1371" s="239"/>
      <c r="G1371" s="239"/>
      <c r="H1371" s="239"/>
      <c r="I1371" s="257"/>
      <c r="J1371" s="240"/>
      <c r="K1371" s="240"/>
      <c r="L1371" s="240"/>
      <c r="M1371" s="240"/>
      <c r="N1371" s="240"/>
      <c r="O1371" s="258"/>
      <c r="P1371" s="224"/>
      <c r="Q1371" s="224"/>
      <c r="R1371" s="224"/>
      <c r="S1371" s="224"/>
      <c r="T1371" s="224"/>
      <c r="U1371" s="259"/>
      <c r="V1371" s="239"/>
      <c r="W1371" s="239"/>
      <c r="X1371" s="239"/>
      <c r="Y1371" s="239"/>
      <c r="Z1371" s="239"/>
      <c r="AA1371" s="257"/>
      <c r="AB1371" s="224"/>
      <c r="AC1371" s="224"/>
      <c r="AD1371" s="224"/>
      <c r="AE1371" s="224"/>
      <c r="AF1371" s="224"/>
      <c r="AG1371" s="259"/>
      <c r="AH1371" s="261"/>
      <c r="AI1371" s="261"/>
      <c r="AJ1371" s="261"/>
      <c r="AK1371" s="261"/>
      <c r="AL1371" s="261"/>
      <c r="AM1371" s="262"/>
    </row>
    <row r="1372" spans="1:39" x14ac:dyDescent="0.25">
      <c r="A1372" s="215"/>
      <c r="B1372" s="215"/>
      <c r="C1372" s="215"/>
      <c r="D1372" s="239"/>
      <c r="E1372" s="239"/>
      <c r="F1372" s="239"/>
      <c r="G1372" s="239"/>
      <c r="H1372" s="239"/>
      <c r="I1372" s="257"/>
      <c r="J1372" s="240"/>
      <c r="K1372" s="240"/>
      <c r="L1372" s="240"/>
      <c r="M1372" s="240"/>
      <c r="N1372" s="240"/>
      <c r="O1372" s="258"/>
      <c r="P1372" s="224"/>
      <c r="Q1372" s="224"/>
      <c r="R1372" s="224"/>
      <c r="S1372" s="224"/>
      <c r="T1372" s="224"/>
      <c r="U1372" s="259"/>
      <c r="V1372" s="239"/>
      <c r="W1372" s="239"/>
      <c r="X1372" s="239"/>
      <c r="Y1372" s="239"/>
      <c r="Z1372" s="239"/>
      <c r="AA1372" s="257"/>
      <c r="AB1372" s="224"/>
      <c r="AC1372" s="224"/>
      <c r="AD1372" s="224"/>
      <c r="AE1372" s="224"/>
      <c r="AF1372" s="224"/>
      <c r="AG1372" s="259"/>
      <c r="AH1372" s="261"/>
      <c r="AI1372" s="261"/>
      <c r="AJ1372" s="261"/>
      <c r="AK1372" s="261"/>
      <c r="AL1372" s="261"/>
      <c r="AM1372" s="262"/>
    </row>
    <row r="1373" spans="1:39" x14ac:dyDescent="0.25">
      <c r="A1373" s="215"/>
      <c r="B1373" s="215"/>
      <c r="C1373" s="215"/>
      <c r="D1373" s="239"/>
      <c r="E1373" s="239"/>
      <c r="F1373" s="239"/>
      <c r="G1373" s="239"/>
      <c r="H1373" s="239"/>
      <c r="I1373" s="257"/>
      <c r="J1373" s="240"/>
      <c r="K1373" s="240"/>
      <c r="L1373" s="240"/>
      <c r="M1373" s="240"/>
      <c r="N1373" s="240"/>
      <c r="O1373" s="258"/>
      <c r="P1373" s="224"/>
      <c r="Q1373" s="224"/>
      <c r="R1373" s="224"/>
      <c r="S1373" s="224"/>
      <c r="T1373" s="224"/>
      <c r="U1373" s="259"/>
      <c r="V1373" s="239"/>
      <c r="W1373" s="239"/>
      <c r="X1373" s="239"/>
      <c r="Y1373" s="239"/>
      <c r="Z1373" s="239"/>
      <c r="AA1373" s="257"/>
      <c r="AB1373" s="224"/>
      <c r="AC1373" s="224"/>
      <c r="AD1373" s="224"/>
      <c r="AE1373" s="224"/>
      <c r="AF1373" s="224"/>
      <c r="AG1373" s="259"/>
      <c r="AH1373" s="261"/>
      <c r="AI1373" s="261"/>
      <c r="AJ1373" s="261"/>
      <c r="AK1373" s="261"/>
      <c r="AL1373" s="261"/>
      <c r="AM1373" s="262"/>
    </row>
    <row r="1374" spans="1:39" x14ac:dyDescent="0.25">
      <c r="A1374" s="215"/>
      <c r="B1374" s="215"/>
      <c r="C1374" s="215"/>
      <c r="D1374" s="239"/>
      <c r="E1374" s="239"/>
      <c r="F1374" s="239"/>
      <c r="G1374" s="239"/>
      <c r="H1374" s="239"/>
      <c r="I1374" s="257"/>
      <c r="J1374" s="240"/>
      <c r="K1374" s="240"/>
      <c r="L1374" s="240"/>
      <c r="M1374" s="240"/>
      <c r="N1374" s="240"/>
      <c r="O1374" s="258"/>
      <c r="P1374" s="224"/>
      <c r="Q1374" s="224"/>
      <c r="R1374" s="224"/>
      <c r="S1374" s="224"/>
      <c r="T1374" s="224"/>
      <c r="U1374" s="259"/>
      <c r="V1374" s="239"/>
      <c r="W1374" s="239"/>
      <c r="X1374" s="239"/>
      <c r="Y1374" s="239"/>
      <c r="Z1374" s="239"/>
      <c r="AA1374" s="257"/>
      <c r="AB1374" s="224"/>
      <c r="AC1374" s="224"/>
      <c r="AD1374" s="224"/>
      <c r="AE1374" s="224"/>
      <c r="AF1374" s="224"/>
      <c r="AG1374" s="259"/>
      <c r="AH1374" s="261"/>
      <c r="AI1374" s="261"/>
      <c r="AJ1374" s="261"/>
      <c r="AK1374" s="261"/>
      <c r="AL1374" s="261"/>
      <c r="AM1374" s="262"/>
    </row>
    <row r="1375" spans="1:39" x14ac:dyDescent="0.25">
      <c r="A1375" s="215"/>
      <c r="B1375" s="215"/>
      <c r="C1375" s="215"/>
      <c r="D1375" s="239"/>
      <c r="E1375" s="239"/>
      <c r="F1375" s="239"/>
      <c r="G1375" s="239"/>
      <c r="H1375" s="239"/>
      <c r="I1375" s="257"/>
      <c r="J1375" s="240"/>
      <c r="K1375" s="240"/>
      <c r="L1375" s="240"/>
      <c r="M1375" s="240"/>
      <c r="N1375" s="240"/>
      <c r="O1375" s="258"/>
      <c r="P1375" s="224"/>
      <c r="Q1375" s="224"/>
      <c r="R1375" s="224"/>
      <c r="S1375" s="224"/>
      <c r="T1375" s="224"/>
      <c r="U1375" s="259"/>
      <c r="V1375" s="239"/>
      <c r="W1375" s="239"/>
      <c r="X1375" s="239"/>
      <c r="Y1375" s="239"/>
      <c r="Z1375" s="239"/>
      <c r="AA1375" s="257"/>
      <c r="AB1375" s="224"/>
      <c r="AC1375" s="224"/>
      <c r="AD1375" s="224"/>
      <c r="AE1375" s="224"/>
      <c r="AF1375" s="224"/>
      <c r="AG1375" s="259"/>
      <c r="AH1375" s="261"/>
      <c r="AI1375" s="261"/>
      <c r="AJ1375" s="261"/>
      <c r="AK1375" s="261"/>
      <c r="AL1375" s="261"/>
      <c r="AM1375" s="262"/>
    </row>
    <row r="1376" spans="1:39" x14ac:dyDescent="0.25">
      <c r="A1376" s="215"/>
      <c r="B1376" s="215"/>
      <c r="C1376" s="215"/>
      <c r="D1376" s="239"/>
      <c r="E1376" s="239"/>
      <c r="F1376" s="239"/>
      <c r="G1376" s="239"/>
      <c r="H1376" s="239"/>
      <c r="I1376" s="257"/>
      <c r="J1376" s="240"/>
      <c r="K1376" s="240"/>
      <c r="L1376" s="240"/>
      <c r="M1376" s="240"/>
      <c r="N1376" s="240"/>
      <c r="O1376" s="258"/>
      <c r="P1376" s="224"/>
      <c r="Q1376" s="224"/>
      <c r="R1376" s="224"/>
      <c r="S1376" s="224"/>
      <c r="T1376" s="224"/>
      <c r="U1376" s="259"/>
      <c r="V1376" s="239"/>
      <c r="W1376" s="239"/>
      <c r="X1376" s="239"/>
      <c r="Y1376" s="239"/>
      <c r="Z1376" s="239"/>
      <c r="AA1376" s="257"/>
      <c r="AB1376" s="224"/>
      <c r="AC1376" s="224"/>
      <c r="AD1376" s="224"/>
      <c r="AE1376" s="224"/>
      <c r="AF1376" s="224"/>
      <c r="AG1376" s="259"/>
      <c r="AH1376" s="261"/>
      <c r="AI1376" s="261"/>
      <c r="AJ1376" s="261"/>
      <c r="AK1376" s="261"/>
      <c r="AL1376" s="261"/>
      <c r="AM1376" s="262"/>
    </row>
    <row r="1377" spans="1:39" x14ac:dyDescent="0.25">
      <c r="A1377" s="215"/>
      <c r="B1377" s="215"/>
      <c r="C1377" s="215"/>
      <c r="D1377" s="239"/>
      <c r="E1377" s="239"/>
      <c r="F1377" s="239"/>
      <c r="G1377" s="239"/>
      <c r="H1377" s="239"/>
      <c r="I1377" s="257"/>
      <c r="J1377" s="240"/>
      <c r="K1377" s="240"/>
      <c r="L1377" s="240"/>
      <c r="M1377" s="240"/>
      <c r="N1377" s="240"/>
      <c r="O1377" s="258"/>
      <c r="P1377" s="224"/>
      <c r="Q1377" s="224"/>
      <c r="R1377" s="224"/>
      <c r="S1377" s="224"/>
      <c r="T1377" s="224"/>
      <c r="U1377" s="259"/>
      <c r="V1377" s="239"/>
      <c r="W1377" s="239"/>
      <c r="X1377" s="239"/>
      <c r="Y1377" s="239"/>
      <c r="Z1377" s="239"/>
      <c r="AA1377" s="257"/>
      <c r="AB1377" s="224"/>
      <c r="AC1377" s="224"/>
      <c r="AD1377" s="224"/>
      <c r="AE1377" s="224"/>
      <c r="AF1377" s="224"/>
      <c r="AG1377" s="259"/>
      <c r="AH1377" s="261"/>
      <c r="AI1377" s="261"/>
      <c r="AJ1377" s="261"/>
      <c r="AK1377" s="261"/>
      <c r="AL1377" s="261"/>
      <c r="AM1377" s="262"/>
    </row>
    <row r="1378" spans="1:39" x14ac:dyDescent="0.25">
      <c r="A1378" s="215"/>
      <c r="B1378" s="215"/>
      <c r="C1378" s="215"/>
      <c r="D1378" s="239"/>
      <c r="E1378" s="239"/>
      <c r="F1378" s="239"/>
      <c r="G1378" s="239"/>
      <c r="H1378" s="239"/>
      <c r="I1378" s="257"/>
      <c r="J1378" s="240"/>
      <c r="K1378" s="240"/>
      <c r="L1378" s="240"/>
      <c r="M1378" s="240"/>
      <c r="N1378" s="240"/>
      <c r="O1378" s="258"/>
      <c r="P1378" s="224"/>
      <c r="Q1378" s="224"/>
      <c r="R1378" s="224"/>
      <c r="S1378" s="224"/>
      <c r="T1378" s="224"/>
      <c r="U1378" s="259"/>
      <c r="V1378" s="239"/>
      <c r="W1378" s="239"/>
      <c r="X1378" s="239"/>
      <c r="Y1378" s="239"/>
      <c r="Z1378" s="239"/>
      <c r="AA1378" s="257"/>
      <c r="AB1378" s="224"/>
      <c r="AC1378" s="224"/>
      <c r="AD1378" s="224"/>
      <c r="AE1378" s="224"/>
      <c r="AF1378" s="224"/>
      <c r="AG1378" s="259"/>
      <c r="AH1378" s="261"/>
      <c r="AI1378" s="261"/>
      <c r="AJ1378" s="261"/>
      <c r="AK1378" s="261"/>
      <c r="AL1378" s="261"/>
      <c r="AM1378" s="262"/>
    </row>
    <row r="1379" spans="1:39" x14ac:dyDescent="0.25">
      <c r="A1379" s="215"/>
      <c r="B1379" s="215"/>
      <c r="C1379" s="215"/>
      <c r="D1379" s="239"/>
      <c r="E1379" s="239"/>
      <c r="F1379" s="239"/>
      <c r="G1379" s="239"/>
      <c r="H1379" s="239"/>
      <c r="I1379" s="257"/>
      <c r="J1379" s="240"/>
      <c r="K1379" s="240"/>
      <c r="L1379" s="240"/>
      <c r="M1379" s="240"/>
      <c r="N1379" s="240"/>
      <c r="O1379" s="258"/>
      <c r="P1379" s="224"/>
      <c r="Q1379" s="224"/>
      <c r="R1379" s="224"/>
      <c r="S1379" s="224"/>
      <c r="T1379" s="224"/>
      <c r="U1379" s="259"/>
      <c r="V1379" s="239"/>
      <c r="W1379" s="239"/>
      <c r="X1379" s="239"/>
      <c r="Y1379" s="239"/>
      <c r="Z1379" s="239"/>
      <c r="AA1379" s="257"/>
      <c r="AB1379" s="224"/>
      <c r="AC1379" s="224"/>
      <c r="AD1379" s="224"/>
      <c r="AE1379" s="224"/>
      <c r="AF1379" s="224"/>
      <c r="AG1379" s="259"/>
      <c r="AH1379" s="261"/>
      <c r="AI1379" s="261"/>
      <c r="AJ1379" s="261"/>
      <c r="AK1379" s="261"/>
      <c r="AL1379" s="261"/>
      <c r="AM1379" s="262"/>
    </row>
    <row r="1380" spans="1:39" x14ac:dyDescent="0.25">
      <c r="A1380" s="215"/>
      <c r="B1380" s="215"/>
      <c r="C1380" s="215"/>
      <c r="D1380" s="239"/>
      <c r="E1380" s="239"/>
      <c r="F1380" s="239"/>
      <c r="G1380" s="239"/>
      <c r="H1380" s="239"/>
      <c r="I1380" s="257"/>
      <c r="J1380" s="240"/>
      <c r="K1380" s="240"/>
      <c r="L1380" s="240"/>
      <c r="M1380" s="240"/>
      <c r="N1380" s="240"/>
      <c r="O1380" s="258"/>
      <c r="P1380" s="224"/>
      <c r="Q1380" s="224"/>
      <c r="R1380" s="224"/>
      <c r="S1380" s="224"/>
      <c r="T1380" s="224"/>
      <c r="U1380" s="259"/>
      <c r="V1380" s="239"/>
      <c r="W1380" s="239"/>
      <c r="X1380" s="239"/>
      <c r="Y1380" s="239"/>
      <c r="Z1380" s="239"/>
      <c r="AA1380" s="257"/>
      <c r="AB1380" s="224"/>
      <c r="AC1380" s="224"/>
      <c r="AD1380" s="224"/>
      <c r="AE1380" s="224"/>
      <c r="AF1380" s="224"/>
      <c r="AG1380" s="259"/>
      <c r="AH1380" s="261"/>
      <c r="AI1380" s="261"/>
      <c r="AJ1380" s="261"/>
      <c r="AK1380" s="261"/>
      <c r="AL1380" s="261"/>
      <c r="AM1380" s="262"/>
    </row>
    <row r="1381" spans="1:39" x14ac:dyDescent="0.25">
      <c r="A1381" s="215"/>
      <c r="B1381" s="215"/>
      <c r="C1381" s="215"/>
      <c r="D1381" s="239"/>
      <c r="E1381" s="239"/>
      <c r="F1381" s="239"/>
      <c r="G1381" s="239"/>
      <c r="H1381" s="239"/>
      <c r="I1381" s="257"/>
      <c r="J1381" s="240"/>
      <c r="K1381" s="240"/>
      <c r="L1381" s="240"/>
      <c r="M1381" s="240"/>
      <c r="N1381" s="240"/>
      <c r="O1381" s="258"/>
      <c r="P1381" s="224"/>
      <c r="Q1381" s="224"/>
      <c r="R1381" s="224"/>
      <c r="S1381" s="224"/>
      <c r="T1381" s="224"/>
      <c r="U1381" s="259"/>
      <c r="V1381" s="239"/>
      <c r="W1381" s="239"/>
      <c r="X1381" s="239"/>
      <c r="Y1381" s="239"/>
      <c r="Z1381" s="239"/>
      <c r="AA1381" s="257"/>
      <c r="AB1381" s="224"/>
      <c r="AC1381" s="224"/>
      <c r="AD1381" s="224"/>
      <c r="AE1381" s="224"/>
      <c r="AF1381" s="224"/>
      <c r="AG1381" s="259"/>
      <c r="AH1381" s="261"/>
      <c r="AI1381" s="261"/>
      <c r="AJ1381" s="261"/>
      <c r="AK1381" s="261"/>
      <c r="AL1381" s="261"/>
      <c r="AM1381" s="262"/>
    </row>
    <row r="1382" spans="1:39" x14ac:dyDescent="0.25">
      <c r="A1382" s="215"/>
      <c r="B1382" s="215"/>
      <c r="C1382" s="215"/>
      <c r="D1382" s="239"/>
      <c r="E1382" s="239"/>
      <c r="F1382" s="239"/>
      <c r="G1382" s="239"/>
      <c r="H1382" s="239"/>
      <c r="I1382" s="257"/>
      <c r="J1382" s="240"/>
      <c r="K1382" s="240"/>
      <c r="L1382" s="240"/>
      <c r="M1382" s="240"/>
      <c r="N1382" s="240"/>
      <c r="O1382" s="258"/>
      <c r="P1382" s="224"/>
      <c r="Q1382" s="224"/>
      <c r="R1382" s="224"/>
      <c r="S1382" s="224"/>
      <c r="T1382" s="224"/>
      <c r="U1382" s="259"/>
      <c r="V1382" s="239"/>
      <c r="W1382" s="239"/>
      <c r="X1382" s="239"/>
      <c r="Y1382" s="239"/>
      <c r="Z1382" s="239"/>
      <c r="AA1382" s="257"/>
      <c r="AB1382" s="224"/>
      <c r="AC1382" s="224"/>
      <c r="AD1382" s="224"/>
      <c r="AE1382" s="224"/>
      <c r="AF1382" s="224"/>
      <c r="AG1382" s="259"/>
      <c r="AH1382" s="261"/>
      <c r="AI1382" s="261"/>
      <c r="AJ1382" s="261"/>
      <c r="AK1382" s="261"/>
      <c r="AL1382" s="261"/>
      <c r="AM1382" s="262"/>
    </row>
    <row r="1383" spans="1:39" x14ac:dyDescent="0.25">
      <c r="A1383" s="215"/>
      <c r="B1383" s="215"/>
      <c r="C1383" s="215"/>
      <c r="D1383" s="239"/>
      <c r="E1383" s="239"/>
      <c r="F1383" s="239"/>
      <c r="G1383" s="239"/>
      <c r="H1383" s="239"/>
      <c r="I1383" s="257"/>
      <c r="J1383" s="240"/>
      <c r="K1383" s="240"/>
      <c r="L1383" s="240"/>
      <c r="M1383" s="240"/>
      <c r="N1383" s="240"/>
      <c r="O1383" s="258"/>
      <c r="P1383" s="224"/>
      <c r="Q1383" s="224"/>
      <c r="R1383" s="224"/>
      <c r="S1383" s="224"/>
      <c r="T1383" s="224"/>
      <c r="U1383" s="259"/>
      <c r="V1383" s="239"/>
      <c r="W1383" s="239"/>
      <c r="X1383" s="239"/>
      <c r="Y1383" s="239"/>
      <c r="Z1383" s="239"/>
      <c r="AA1383" s="257"/>
      <c r="AB1383" s="224"/>
      <c r="AC1383" s="224"/>
      <c r="AD1383" s="224"/>
      <c r="AE1383" s="224"/>
      <c r="AF1383" s="224"/>
      <c r="AG1383" s="259"/>
      <c r="AH1383" s="261"/>
      <c r="AI1383" s="261"/>
      <c r="AJ1383" s="261"/>
      <c r="AK1383" s="261"/>
      <c r="AL1383" s="261"/>
      <c r="AM1383" s="262"/>
    </row>
    <row r="1384" spans="1:39" x14ac:dyDescent="0.25">
      <c r="A1384" s="215"/>
      <c r="B1384" s="215"/>
      <c r="C1384" s="215"/>
      <c r="D1384" s="239"/>
      <c r="E1384" s="239"/>
      <c r="F1384" s="239"/>
      <c r="G1384" s="239"/>
      <c r="H1384" s="239"/>
      <c r="I1384" s="257"/>
      <c r="J1384" s="240"/>
      <c r="K1384" s="240"/>
      <c r="L1384" s="240"/>
      <c r="M1384" s="240"/>
      <c r="N1384" s="240"/>
      <c r="O1384" s="258"/>
      <c r="P1384" s="224"/>
      <c r="Q1384" s="224"/>
      <c r="R1384" s="224"/>
      <c r="S1384" s="224"/>
      <c r="T1384" s="224"/>
      <c r="U1384" s="259"/>
      <c r="V1384" s="239"/>
      <c r="W1384" s="239"/>
      <c r="X1384" s="239"/>
      <c r="Y1384" s="239"/>
      <c r="Z1384" s="239"/>
      <c r="AA1384" s="257"/>
      <c r="AB1384" s="224"/>
      <c r="AC1384" s="224"/>
      <c r="AD1384" s="224"/>
      <c r="AE1384" s="224"/>
      <c r="AF1384" s="224"/>
      <c r="AG1384" s="259"/>
      <c r="AH1384" s="261"/>
      <c r="AI1384" s="261"/>
      <c r="AJ1384" s="261"/>
      <c r="AK1384" s="261"/>
      <c r="AL1384" s="261"/>
      <c r="AM1384" s="262"/>
    </row>
    <row r="1385" spans="1:39" x14ac:dyDescent="0.25">
      <c r="A1385" s="215"/>
      <c r="B1385" s="215"/>
      <c r="C1385" s="215"/>
      <c r="D1385" s="239"/>
      <c r="E1385" s="239"/>
      <c r="F1385" s="239"/>
      <c r="G1385" s="239"/>
      <c r="H1385" s="239"/>
      <c r="I1385" s="257"/>
      <c r="J1385" s="240"/>
      <c r="K1385" s="240"/>
      <c r="L1385" s="240"/>
      <c r="M1385" s="240"/>
      <c r="N1385" s="240"/>
      <c r="O1385" s="258"/>
      <c r="P1385" s="224"/>
      <c r="Q1385" s="224"/>
      <c r="R1385" s="224"/>
      <c r="S1385" s="224"/>
      <c r="T1385" s="224"/>
      <c r="U1385" s="259"/>
      <c r="V1385" s="239"/>
      <c r="W1385" s="239"/>
      <c r="X1385" s="239"/>
      <c r="Y1385" s="239"/>
      <c r="Z1385" s="239"/>
      <c r="AA1385" s="257"/>
      <c r="AB1385" s="224"/>
      <c r="AC1385" s="224"/>
      <c r="AD1385" s="224"/>
      <c r="AE1385" s="224"/>
      <c r="AF1385" s="224"/>
      <c r="AG1385" s="259"/>
      <c r="AH1385" s="261"/>
      <c r="AI1385" s="261"/>
      <c r="AJ1385" s="261"/>
      <c r="AK1385" s="261"/>
      <c r="AL1385" s="261"/>
      <c r="AM1385" s="262"/>
    </row>
    <row r="1386" spans="1:39" x14ac:dyDescent="0.25">
      <c r="A1386" s="215"/>
      <c r="B1386" s="215"/>
      <c r="C1386" s="215"/>
      <c r="D1386" s="239"/>
      <c r="E1386" s="239"/>
      <c r="F1386" s="239"/>
      <c r="G1386" s="239"/>
      <c r="H1386" s="239"/>
      <c r="I1386" s="257"/>
      <c r="J1386" s="240"/>
      <c r="K1386" s="240"/>
      <c r="L1386" s="240"/>
      <c r="M1386" s="240"/>
      <c r="N1386" s="240"/>
      <c r="O1386" s="258"/>
      <c r="P1386" s="224"/>
      <c r="Q1386" s="224"/>
      <c r="R1386" s="224"/>
      <c r="S1386" s="224"/>
      <c r="T1386" s="224"/>
      <c r="U1386" s="259"/>
      <c r="V1386" s="239"/>
      <c r="W1386" s="239"/>
      <c r="X1386" s="239"/>
      <c r="Y1386" s="239"/>
      <c r="Z1386" s="239"/>
      <c r="AA1386" s="257"/>
      <c r="AB1386" s="224"/>
      <c r="AC1386" s="224"/>
      <c r="AD1386" s="224"/>
      <c r="AE1386" s="224"/>
      <c r="AF1386" s="224"/>
      <c r="AG1386" s="259"/>
      <c r="AH1386" s="261"/>
      <c r="AI1386" s="261"/>
      <c r="AJ1386" s="261"/>
      <c r="AK1386" s="261"/>
      <c r="AL1386" s="261"/>
      <c r="AM1386" s="262"/>
    </row>
    <row r="1387" spans="1:39" x14ac:dyDescent="0.25">
      <c r="A1387" s="215"/>
      <c r="B1387" s="215"/>
      <c r="C1387" s="215"/>
      <c r="D1387" s="239"/>
      <c r="E1387" s="239"/>
      <c r="F1387" s="239"/>
      <c r="G1387" s="239"/>
      <c r="H1387" s="239"/>
      <c r="I1387" s="257"/>
      <c r="J1387" s="240"/>
      <c r="K1387" s="240"/>
      <c r="L1387" s="240"/>
      <c r="M1387" s="240"/>
      <c r="N1387" s="240"/>
      <c r="O1387" s="258"/>
      <c r="P1387" s="224"/>
      <c r="Q1387" s="224"/>
      <c r="R1387" s="224"/>
      <c r="S1387" s="224"/>
      <c r="T1387" s="224"/>
      <c r="U1387" s="259"/>
      <c r="V1387" s="239"/>
      <c r="W1387" s="239"/>
      <c r="X1387" s="239"/>
      <c r="Y1387" s="239"/>
      <c r="Z1387" s="239"/>
      <c r="AA1387" s="257"/>
      <c r="AB1387" s="224"/>
      <c r="AC1387" s="224"/>
      <c r="AD1387" s="224"/>
      <c r="AE1387" s="224"/>
      <c r="AF1387" s="224"/>
      <c r="AG1387" s="259"/>
      <c r="AH1387" s="261"/>
      <c r="AI1387" s="261"/>
      <c r="AJ1387" s="261"/>
      <c r="AK1387" s="261"/>
      <c r="AL1387" s="261"/>
      <c r="AM1387" s="262"/>
    </row>
    <row r="1388" spans="1:39" x14ac:dyDescent="0.25">
      <c r="A1388" s="215"/>
      <c r="B1388" s="215"/>
      <c r="C1388" s="215"/>
      <c r="D1388" s="239"/>
      <c r="E1388" s="239"/>
      <c r="F1388" s="239"/>
      <c r="G1388" s="239"/>
      <c r="H1388" s="239"/>
      <c r="I1388" s="257"/>
      <c r="J1388" s="240"/>
      <c r="K1388" s="240"/>
      <c r="L1388" s="240"/>
      <c r="M1388" s="240"/>
      <c r="N1388" s="240"/>
      <c r="O1388" s="258"/>
      <c r="P1388" s="224"/>
      <c r="Q1388" s="224"/>
      <c r="R1388" s="224"/>
      <c r="S1388" s="224"/>
      <c r="T1388" s="224"/>
      <c r="U1388" s="259"/>
      <c r="V1388" s="239"/>
      <c r="W1388" s="239"/>
      <c r="X1388" s="239"/>
      <c r="Y1388" s="239"/>
      <c r="Z1388" s="239"/>
      <c r="AA1388" s="257"/>
      <c r="AB1388" s="224"/>
      <c r="AC1388" s="224"/>
      <c r="AD1388" s="224"/>
      <c r="AE1388" s="224"/>
      <c r="AF1388" s="224"/>
      <c r="AG1388" s="259"/>
      <c r="AH1388" s="261"/>
      <c r="AI1388" s="261"/>
      <c r="AJ1388" s="261"/>
      <c r="AK1388" s="261"/>
      <c r="AL1388" s="261"/>
      <c r="AM1388" s="262"/>
    </row>
    <row r="1389" spans="1:39" x14ac:dyDescent="0.25">
      <c r="A1389" s="215"/>
      <c r="B1389" s="215"/>
      <c r="C1389" s="215"/>
      <c r="D1389" s="239"/>
      <c r="E1389" s="239"/>
      <c r="F1389" s="239"/>
      <c r="G1389" s="239"/>
      <c r="H1389" s="239"/>
      <c r="I1389" s="257"/>
      <c r="J1389" s="240"/>
      <c r="K1389" s="240"/>
      <c r="L1389" s="240"/>
      <c r="M1389" s="240"/>
      <c r="N1389" s="240"/>
      <c r="O1389" s="258"/>
      <c r="P1389" s="224"/>
      <c r="Q1389" s="224"/>
      <c r="R1389" s="224"/>
      <c r="S1389" s="224"/>
      <c r="T1389" s="224"/>
      <c r="U1389" s="259"/>
      <c r="V1389" s="239"/>
      <c r="W1389" s="239"/>
      <c r="X1389" s="239"/>
      <c r="Y1389" s="239"/>
      <c r="Z1389" s="239"/>
      <c r="AA1389" s="257"/>
      <c r="AB1389" s="224"/>
      <c r="AC1389" s="224"/>
      <c r="AD1389" s="224"/>
      <c r="AE1389" s="224"/>
      <c r="AF1389" s="224"/>
      <c r="AG1389" s="259"/>
      <c r="AH1389" s="261"/>
      <c r="AI1389" s="261"/>
      <c r="AJ1389" s="261"/>
      <c r="AK1389" s="261"/>
      <c r="AL1389" s="261"/>
      <c r="AM1389" s="262"/>
    </row>
    <row r="1390" spans="1:39" x14ac:dyDescent="0.25">
      <c r="A1390" s="215"/>
      <c r="B1390" s="215"/>
      <c r="C1390" s="215"/>
      <c r="D1390" s="239"/>
      <c r="E1390" s="239"/>
      <c r="F1390" s="239"/>
      <c r="G1390" s="239"/>
      <c r="H1390" s="239"/>
      <c r="I1390" s="257"/>
      <c r="J1390" s="240"/>
      <c r="K1390" s="240"/>
      <c r="L1390" s="240"/>
      <c r="M1390" s="240"/>
      <c r="N1390" s="240"/>
      <c r="O1390" s="258"/>
      <c r="P1390" s="224"/>
      <c r="Q1390" s="224"/>
      <c r="R1390" s="224"/>
      <c r="S1390" s="224"/>
      <c r="T1390" s="224"/>
      <c r="U1390" s="259"/>
      <c r="V1390" s="239"/>
      <c r="W1390" s="239"/>
      <c r="X1390" s="239"/>
      <c r="Y1390" s="239"/>
      <c r="Z1390" s="239"/>
      <c r="AA1390" s="257"/>
      <c r="AB1390" s="224"/>
      <c r="AC1390" s="224"/>
      <c r="AD1390" s="224"/>
      <c r="AE1390" s="224"/>
      <c r="AF1390" s="224"/>
      <c r="AG1390" s="259"/>
      <c r="AH1390" s="261"/>
      <c r="AI1390" s="261"/>
      <c r="AJ1390" s="261"/>
      <c r="AK1390" s="261"/>
      <c r="AL1390" s="261"/>
      <c r="AM1390" s="262"/>
    </row>
    <row r="1391" spans="1:39" x14ac:dyDescent="0.25">
      <c r="A1391" s="215"/>
      <c r="B1391" s="215"/>
      <c r="C1391" s="215"/>
      <c r="D1391" s="239"/>
      <c r="E1391" s="239"/>
      <c r="F1391" s="239"/>
      <c r="G1391" s="239"/>
      <c r="H1391" s="239"/>
      <c r="I1391" s="257"/>
      <c r="J1391" s="240"/>
      <c r="K1391" s="240"/>
      <c r="L1391" s="240"/>
      <c r="M1391" s="240"/>
      <c r="N1391" s="240"/>
      <c r="O1391" s="258"/>
      <c r="P1391" s="224"/>
      <c r="Q1391" s="224"/>
      <c r="R1391" s="224"/>
      <c r="S1391" s="224"/>
      <c r="T1391" s="224"/>
      <c r="U1391" s="259"/>
      <c r="V1391" s="239"/>
      <c r="W1391" s="239"/>
      <c r="X1391" s="239"/>
      <c r="Y1391" s="239"/>
      <c r="Z1391" s="239"/>
      <c r="AA1391" s="257"/>
      <c r="AB1391" s="224"/>
      <c r="AC1391" s="224"/>
      <c r="AD1391" s="224"/>
      <c r="AE1391" s="224"/>
      <c r="AF1391" s="224"/>
      <c r="AG1391" s="259"/>
      <c r="AH1391" s="261"/>
      <c r="AI1391" s="261"/>
      <c r="AJ1391" s="261"/>
      <c r="AK1391" s="261"/>
      <c r="AL1391" s="261"/>
      <c r="AM1391" s="262"/>
    </row>
    <row r="1392" spans="1:39" x14ac:dyDescent="0.25">
      <c r="A1392" s="215"/>
      <c r="B1392" s="215"/>
      <c r="C1392" s="215"/>
      <c r="D1392" s="239"/>
      <c r="E1392" s="239"/>
      <c r="F1392" s="239"/>
      <c r="G1392" s="239"/>
      <c r="H1392" s="239"/>
      <c r="I1392" s="257"/>
      <c r="J1392" s="240"/>
      <c r="K1392" s="240"/>
      <c r="L1392" s="240"/>
      <c r="M1392" s="240"/>
      <c r="N1392" s="240"/>
      <c r="O1392" s="258"/>
      <c r="P1392" s="224"/>
      <c r="Q1392" s="224"/>
      <c r="R1392" s="224"/>
      <c r="S1392" s="224"/>
      <c r="T1392" s="224"/>
      <c r="U1392" s="259"/>
      <c r="V1392" s="239"/>
      <c r="W1392" s="239"/>
      <c r="X1392" s="239"/>
      <c r="Y1392" s="239"/>
      <c r="Z1392" s="239"/>
      <c r="AA1392" s="257"/>
      <c r="AB1392" s="224"/>
      <c r="AC1392" s="224"/>
      <c r="AD1392" s="224"/>
      <c r="AE1392" s="224"/>
      <c r="AF1392" s="224"/>
      <c r="AG1392" s="259"/>
      <c r="AH1392" s="261"/>
      <c r="AI1392" s="261"/>
      <c r="AJ1392" s="261"/>
      <c r="AK1392" s="261"/>
      <c r="AL1392" s="261"/>
      <c r="AM1392" s="262"/>
    </row>
    <row r="1393" spans="1:39" x14ac:dyDescent="0.25">
      <c r="A1393" s="215"/>
      <c r="B1393" s="215"/>
      <c r="C1393" s="215"/>
      <c r="D1393" s="239"/>
      <c r="E1393" s="239"/>
      <c r="F1393" s="239"/>
      <c r="G1393" s="239"/>
      <c r="H1393" s="239"/>
      <c r="I1393" s="257"/>
      <c r="J1393" s="240"/>
      <c r="K1393" s="240"/>
      <c r="L1393" s="240"/>
      <c r="M1393" s="240"/>
      <c r="N1393" s="240"/>
      <c r="O1393" s="258"/>
      <c r="P1393" s="224"/>
      <c r="Q1393" s="224"/>
      <c r="R1393" s="224"/>
      <c r="S1393" s="224"/>
      <c r="T1393" s="224"/>
      <c r="U1393" s="259"/>
      <c r="V1393" s="239"/>
      <c r="W1393" s="239"/>
      <c r="X1393" s="239"/>
      <c r="Y1393" s="239"/>
      <c r="Z1393" s="239"/>
      <c r="AA1393" s="257"/>
      <c r="AB1393" s="224"/>
      <c r="AC1393" s="224"/>
      <c r="AD1393" s="224"/>
      <c r="AE1393" s="224"/>
      <c r="AF1393" s="224"/>
      <c r="AG1393" s="259"/>
      <c r="AH1393" s="261"/>
      <c r="AI1393" s="261"/>
      <c r="AJ1393" s="261"/>
      <c r="AK1393" s="261"/>
      <c r="AL1393" s="261"/>
      <c r="AM1393" s="262"/>
    </row>
    <row r="1394" spans="1:39" x14ac:dyDescent="0.25">
      <c r="A1394" s="215"/>
      <c r="B1394" s="215"/>
      <c r="C1394" s="215"/>
      <c r="D1394" s="239"/>
      <c r="E1394" s="239"/>
      <c r="F1394" s="239"/>
      <c r="G1394" s="239"/>
      <c r="H1394" s="239"/>
      <c r="I1394" s="257"/>
      <c r="J1394" s="240"/>
      <c r="K1394" s="240"/>
      <c r="L1394" s="240"/>
      <c r="M1394" s="240"/>
      <c r="N1394" s="240"/>
      <c r="O1394" s="258"/>
      <c r="P1394" s="224"/>
      <c r="Q1394" s="224"/>
      <c r="R1394" s="224"/>
      <c r="S1394" s="224"/>
      <c r="T1394" s="224"/>
      <c r="U1394" s="259"/>
      <c r="V1394" s="239"/>
      <c r="W1394" s="239"/>
      <c r="X1394" s="239"/>
      <c r="Y1394" s="239"/>
      <c r="Z1394" s="239"/>
      <c r="AA1394" s="257"/>
      <c r="AB1394" s="224"/>
      <c r="AC1394" s="224"/>
      <c r="AD1394" s="224"/>
      <c r="AE1394" s="224"/>
      <c r="AF1394" s="224"/>
      <c r="AG1394" s="259"/>
      <c r="AH1394" s="261"/>
      <c r="AI1394" s="261"/>
      <c r="AJ1394" s="261"/>
      <c r="AK1394" s="261"/>
      <c r="AL1394" s="261"/>
      <c r="AM1394" s="262"/>
    </row>
    <row r="1395" spans="1:39" x14ac:dyDescent="0.25">
      <c r="A1395" s="215"/>
      <c r="B1395" s="215"/>
      <c r="C1395" s="215"/>
      <c r="D1395" s="239"/>
      <c r="E1395" s="239"/>
      <c r="F1395" s="239"/>
      <c r="G1395" s="239"/>
      <c r="H1395" s="239"/>
      <c r="I1395" s="257"/>
      <c r="J1395" s="240"/>
      <c r="K1395" s="240"/>
      <c r="L1395" s="240"/>
      <c r="M1395" s="240"/>
      <c r="N1395" s="240"/>
      <c r="O1395" s="258"/>
      <c r="P1395" s="224"/>
      <c r="Q1395" s="224"/>
      <c r="R1395" s="224"/>
      <c r="S1395" s="224"/>
      <c r="T1395" s="224"/>
      <c r="U1395" s="259"/>
      <c r="V1395" s="239"/>
      <c r="W1395" s="239"/>
      <c r="X1395" s="239"/>
      <c r="Y1395" s="239"/>
      <c r="Z1395" s="239"/>
      <c r="AA1395" s="257"/>
      <c r="AB1395" s="224"/>
      <c r="AC1395" s="224"/>
      <c r="AD1395" s="224"/>
      <c r="AE1395" s="224"/>
      <c r="AF1395" s="224"/>
      <c r="AG1395" s="259"/>
      <c r="AH1395" s="261"/>
      <c r="AI1395" s="261"/>
      <c r="AJ1395" s="261"/>
      <c r="AK1395" s="261"/>
      <c r="AL1395" s="261"/>
      <c r="AM1395" s="262"/>
    </row>
    <row r="1396" spans="1:39" x14ac:dyDescent="0.25">
      <c r="A1396" s="215"/>
      <c r="B1396" s="215"/>
      <c r="C1396" s="215"/>
      <c r="D1396" s="239"/>
      <c r="E1396" s="239"/>
      <c r="F1396" s="239"/>
      <c r="G1396" s="239"/>
      <c r="H1396" s="239"/>
      <c r="I1396" s="257"/>
      <c r="J1396" s="240"/>
      <c r="K1396" s="240"/>
      <c r="L1396" s="240"/>
      <c r="M1396" s="240"/>
      <c r="N1396" s="240"/>
      <c r="O1396" s="258"/>
      <c r="P1396" s="224"/>
      <c r="Q1396" s="224"/>
      <c r="R1396" s="224"/>
      <c r="S1396" s="224"/>
      <c r="T1396" s="224"/>
      <c r="U1396" s="259"/>
      <c r="V1396" s="239"/>
      <c r="W1396" s="239"/>
      <c r="X1396" s="239"/>
      <c r="Y1396" s="239"/>
      <c r="Z1396" s="239"/>
      <c r="AA1396" s="257"/>
      <c r="AB1396" s="224"/>
      <c r="AC1396" s="224"/>
      <c r="AD1396" s="224"/>
      <c r="AE1396" s="224"/>
      <c r="AF1396" s="224"/>
      <c r="AG1396" s="259"/>
      <c r="AH1396" s="261"/>
      <c r="AI1396" s="261"/>
      <c r="AJ1396" s="261"/>
      <c r="AK1396" s="261"/>
      <c r="AL1396" s="261"/>
      <c r="AM1396" s="262"/>
    </row>
    <row r="1397" spans="1:39" x14ac:dyDescent="0.25">
      <c r="A1397" s="215"/>
      <c r="B1397" s="215"/>
      <c r="C1397" s="215"/>
      <c r="D1397" s="239"/>
      <c r="E1397" s="239"/>
      <c r="F1397" s="239"/>
      <c r="G1397" s="239"/>
      <c r="H1397" s="239"/>
      <c r="I1397" s="257"/>
      <c r="J1397" s="240"/>
      <c r="K1397" s="240"/>
      <c r="L1397" s="240"/>
      <c r="M1397" s="240"/>
      <c r="N1397" s="240"/>
      <c r="O1397" s="258"/>
      <c r="P1397" s="224"/>
      <c r="Q1397" s="224"/>
      <c r="R1397" s="224"/>
      <c r="S1397" s="224"/>
      <c r="T1397" s="224"/>
      <c r="U1397" s="259"/>
      <c r="V1397" s="239"/>
      <c r="W1397" s="239"/>
      <c r="X1397" s="239"/>
      <c r="Y1397" s="239"/>
      <c r="Z1397" s="239"/>
      <c r="AA1397" s="257"/>
      <c r="AB1397" s="224"/>
      <c r="AC1397" s="224"/>
      <c r="AD1397" s="224"/>
      <c r="AE1397" s="224"/>
      <c r="AF1397" s="224"/>
      <c r="AG1397" s="259"/>
      <c r="AH1397" s="261"/>
      <c r="AI1397" s="261"/>
      <c r="AJ1397" s="261"/>
      <c r="AK1397" s="261"/>
      <c r="AL1397" s="261"/>
      <c r="AM1397" s="262"/>
    </row>
    <row r="1398" spans="1:39" x14ac:dyDescent="0.25">
      <c r="A1398" s="215"/>
      <c r="B1398" s="215"/>
      <c r="C1398" s="215"/>
      <c r="D1398" s="239"/>
      <c r="E1398" s="239"/>
      <c r="F1398" s="239"/>
      <c r="G1398" s="239"/>
      <c r="H1398" s="239"/>
      <c r="I1398" s="257"/>
      <c r="J1398" s="240"/>
      <c r="K1398" s="240"/>
      <c r="L1398" s="240"/>
      <c r="M1398" s="240"/>
      <c r="N1398" s="240"/>
      <c r="O1398" s="258"/>
      <c r="P1398" s="224"/>
      <c r="Q1398" s="224"/>
      <c r="R1398" s="224"/>
      <c r="S1398" s="224"/>
      <c r="T1398" s="224"/>
      <c r="U1398" s="259"/>
      <c r="V1398" s="239"/>
      <c r="W1398" s="239"/>
      <c r="X1398" s="239"/>
      <c r="Y1398" s="239"/>
      <c r="Z1398" s="239"/>
      <c r="AA1398" s="257"/>
      <c r="AB1398" s="224"/>
      <c r="AC1398" s="224"/>
      <c r="AD1398" s="224"/>
      <c r="AE1398" s="224"/>
      <c r="AF1398" s="224"/>
      <c r="AG1398" s="259"/>
      <c r="AH1398" s="261"/>
      <c r="AI1398" s="261"/>
      <c r="AJ1398" s="261"/>
      <c r="AK1398" s="261"/>
      <c r="AL1398" s="261"/>
      <c r="AM1398" s="262"/>
    </row>
    <row r="1399" spans="1:39" x14ac:dyDescent="0.25">
      <c r="A1399" s="215"/>
      <c r="B1399" s="215"/>
      <c r="C1399" s="215"/>
      <c r="D1399" s="239"/>
      <c r="E1399" s="239"/>
      <c r="F1399" s="239"/>
      <c r="G1399" s="239"/>
      <c r="H1399" s="239"/>
      <c r="I1399" s="257"/>
      <c r="J1399" s="240"/>
      <c r="K1399" s="240"/>
      <c r="L1399" s="240"/>
      <c r="M1399" s="240"/>
      <c r="N1399" s="240"/>
      <c r="O1399" s="258"/>
      <c r="P1399" s="224"/>
      <c r="Q1399" s="224"/>
      <c r="R1399" s="224"/>
      <c r="S1399" s="224"/>
      <c r="T1399" s="224"/>
      <c r="U1399" s="259"/>
      <c r="V1399" s="239"/>
      <c r="W1399" s="239"/>
      <c r="X1399" s="239"/>
      <c r="Y1399" s="239"/>
      <c r="Z1399" s="239"/>
      <c r="AA1399" s="257"/>
      <c r="AB1399" s="224"/>
      <c r="AC1399" s="224"/>
      <c r="AD1399" s="224"/>
      <c r="AE1399" s="224"/>
      <c r="AF1399" s="224"/>
      <c r="AG1399" s="259"/>
      <c r="AH1399" s="261"/>
      <c r="AI1399" s="261"/>
      <c r="AJ1399" s="261"/>
      <c r="AK1399" s="261"/>
      <c r="AL1399" s="261"/>
      <c r="AM1399" s="262"/>
    </row>
    <row r="1400" spans="1:39" x14ac:dyDescent="0.25">
      <c r="A1400" s="215"/>
      <c r="B1400" s="215"/>
      <c r="C1400" s="215"/>
      <c r="D1400" s="239"/>
      <c r="E1400" s="239"/>
      <c r="F1400" s="239"/>
      <c r="G1400" s="239"/>
      <c r="H1400" s="239"/>
      <c r="I1400" s="257"/>
      <c r="J1400" s="240"/>
      <c r="K1400" s="240"/>
      <c r="L1400" s="240"/>
      <c r="M1400" s="240"/>
      <c r="N1400" s="240"/>
      <c r="O1400" s="258"/>
      <c r="P1400" s="224"/>
      <c r="Q1400" s="224"/>
      <c r="R1400" s="224"/>
      <c r="S1400" s="224"/>
      <c r="T1400" s="224"/>
      <c r="U1400" s="259"/>
      <c r="V1400" s="239"/>
      <c r="W1400" s="239"/>
      <c r="X1400" s="239"/>
      <c r="Y1400" s="239"/>
      <c r="Z1400" s="239"/>
      <c r="AA1400" s="257"/>
      <c r="AB1400" s="224"/>
      <c r="AC1400" s="224"/>
      <c r="AD1400" s="224"/>
      <c r="AE1400" s="224"/>
      <c r="AF1400" s="224"/>
      <c r="AG1400" s="259"/>
      <c r="AH1400" s="261"/>
      <c r="AI1400" s="261"/>
      <c r="AJ1400" s="261"/>
      <c r="AK1400" s="261"/>
      <c r="AL1400" s="261"/>
      <c r="AM1400" s="262"/>
    </row>
    <row r="1401" spans="1:39" x14ac:dyDescent="0.25">
      <c r="A1401" s="215"/>
      <c r="B1401" s="215"/>
      <c r="C1401" s="215"/>
      <c r="D1401" s="239"/>
      <c r="E1401" s="239"/>
      <c r="F1401" s="239"/>
      <c r="G1401" s="239"/>
      <c r="H1401" s="239"/>
      <c r="I1401" s="257"/>
      <c r="J1401" s="240"/>
      <c r="K1401" s="240"/>
      <c r="L1401" s="240"/>
      <c r="M1401" s="240"/>
      <c r="N1401" s="240"/>
      <c r="O1401" s="258"/>
      <c r="P1401" s="224"/>
      <c r="Q1401" s="224"/>
      <c r="R1401" s="224"/>
      <c r="S1401" s="224"/>
      <c r="T1401" s="224"/>
      <c r="U1401" s="259"/>
      <c r="V1401" s="239"/>
      <c r="W1401" s="239"/>
      <c r="X1401" s="239"/>
      <c r="Y1401" s="239"/>
      <c r="Z1401" s="239"/>
      <c r="AA1401" s="257"/>
      <c r="AB1401" s="224"/>
      <c r="AC1401" s="224"/>
      <c r="AD1401" s="224"/>
      <c r="AE1401" s="224"/>
      <c r="AF1401" s="224"/>
      <c r="AG1401" s="259"/>
      <c r="AH1401" s="261"/>
      <c r="AI1401" s="261"/>
      <c r="AJ1401" s="261"/>
      <c r="AK1401" s="261"/>
      <c r="AL1401" s="261"/>
      <c r="AM1401" s="262"/>
    </row>
    <row r="1402" spans="1:39" x14ac:dyDescent="0.25">
      <c r="A1402" s="215"/>
      <c r="B1402" s="215"/>
      <c r="C1402" s="215"/>
      <c r="D1402" s="239"/>
      <c r="E1402" s="239"/>
      <c r="F1402" s="239"/>
      <c r="G1402" s="239"/>
      <c r="H1402" s="239"/>
      <c r="I1402" s="257"/>
      <c r="J1402" s="240"/>
      <c r="K1402" s="240"/>
      <c r="L1402" s="240"/>
      <c r="M1402" s="240"/>
      <c r="N1402" s="240"/>
      <c r="O1402" s="258"/>
      <c r="P1402" s="224"/>
      <c r="Q1402" s="224"/>
      <c r="R1402" s="224"/>
      <c r="S1402" s="224"/>
      <c r="T1402" s="224"/>
      <c r="U1402" s="259"/>
      <c r="V1402" s="239"/>
      <c r="W1402" s="239"/>
      <c r="X1402" s="239"/>
      <c r="Y1402" s="239"/>
      <c r="Z1402" s="239"/>
      <c r="AA1402" s="257"/>
      <c r="AB1402" s="224"/>
      <c r="AC1402" s="224"/>
      <c r="AD1402" s="224"/>
      <c r="AE1402" s="224"/>
      <c r="AF1402" s="224"/>
      <c r="AG1402" s="259"/>
      <c r="AH1402" s="261"/>
      <c r="AI1402" s="261"/>
      <c r="AJ1402" s="261"/>
      <c r="AK1402" s="261"/>
      <c r="AL1402" s="261"/>
      <c r="AM1402" s="262"/>
    </row>
    <row r="1403" spans="1:39" x14ac:dyDescent="0.25">
      <c r="A1403" s="215"/>
      <c r="B1403" s="215"/>
      <c r="C1403" s="215"/>
      <c r="D1403" s="239"/>
      <c r="E1403" s="239"/>
      <c r="F1403" s="239"/>
      <c r="G1403" s="239"/>
      <c r="H1403" s="239"/>
      <c r="I1403" s="257"/>
      <c r="J1403" s="240"/>
      <c r="K1403" s="240"/>
      <c r="L1403" s="240"/>
      <c r="M1403" s="240"/>
      <c r="N1403" s="240"/>
      <c r="O1403" s="258"/>
      <c r="P1403" s="224"/>
      <c r="Q1403" s="224"/>
      <c r="R1403" s="224"/>
      <c r="S1403" s="224"/>
      <c r="T1403" s="224"/>
      <c r="U1403" s="259"/>
      <c r="V1403" s="239"/>
      <c r="W1403" s="239"/>
      <c r="X1403" s="239"/>
      <c r="Y1403" s="239"/>
      <c r="Z1403" s="239"/>
      <c r="AA1403" s="257"/>
      <c r="AB1403" s="224"/>
      <c r="AC1403" s="224"/>
      <c r="AD1403" s="224"/>
      <c r="AE1403" s="224"/>
      <c r="AF1403" s="224"/>
      <c r="AG1403" s="259"/>
      <c r="AH1403" s="261"/>
      <c r="AI1403" s="261"/>
      <c r="AJ1403" s="261"/>
      <c r="AK1403" s="261"/>
      <c r="AL1403" s="261"/>
      <c r="AM1403" s="262"/>
    </row>
    <row r="1404" spans="1:39" x14ac:dyDescent="0.25">
      <c r="A1404" s="215"/>
      <c r="B1404" s="215"/>
      <c r="C1404" s="215"/>
      <c r="D1404" s="239"/>
      <c r="E1404" s="239"/>
      <c r="F1404" s="239"/>
      <c r="G1404" s="239"/>
      <c r="H1404" s="239"/>
      <c r="I1404" s="257"/>
      <c r="J1404" s="240"/>
      <c r="K1404" s="240"/>
      <c r="L1404" s="240"/>
      <c r="M1404" s="240"/>
      <c r="N1404" s="240"/>
      <c r="O1404" s="258"/>
      <c r="P1404" s="224"/>
      <c r="Q1404" s="224"/>
      <c r="R1404" s="224"/>
      <c r="S1404" s="224"/>
      <c r="T1404" s="224"/>
      <c r="U1404" s="259"/>
      <c r="V1404" s="239"/>
      <c r="W1404" s="239"/>
      <c r="X1404" s="239"/>
      <c r="Y1404" s="239"/>
      <c r="Z1404" s="239"/>
      <c r="AA1404" s="257"/>
      <c r="AB1404" s="224"/>
      <c r="AC1404" s="224"/>
      <c r="AD1404" s="224"/>
      <c r="AE1404" s="224"/>
      <c r="AF1404" s="224"/>
      <c r="AG1404" s="259"/>
      <c r="AH1404" s="261"/>
      <c r="AI1404" s="261"/>
      <c r="AJ1404" s="261"/>
      <c r="AK1404" s="261"/>
      <c r="AL1404" s="261"/>
      <c r="AM1404" s="262"/>
    </row>
    <row r="1405" spans="1:39" x14ac:dyDescent="0.25">
      <c r="A1405" s="215"/>
      <c r="B1405" s="215"/>
      <c r="C1405" s="215"/>
      <c r="D1405" s="239"/>
      <c r="E1405" s="239"/>
      <c r="F1405" s="239"/>
      <c r="G1405" s="239"/>
      <c r="H1405" s="239"/>
      <c r="I1405" s="257"/>
      <c r="J1405" s="240"/>
      <c r="K1405" s="240"/>
      <c r="L1405" s="240"/>
      <c r="M1405" s="240"/>
      <c r="N1405" s="240"/>
      <c r="O1405" s="258"/>
      <c r="P1405" s="224"/>
      <c r="Q1405" s="224"/>
      <c r="R1405" s="224"/>
      <c r="S1405" s="224"/>
      <c r="T1405" s="224"/>
      <c r="U1405" s="259"/>
      <c r="V1405" s="239"/>
      <c r="W1405" s="239"/>
      <c r="X1405" s="239"/>
      <c r="Y1405" s="239"/>
      <c r="Z1405" s="239"/>
      <c r="AA1405" s="257"/>
      <c r="AB1405" s="224"/>
      <c r="AC1405" s="224"/>
      <c r="AD1405" s="224"/>
      <c r="AE1405" s="224"/>
      <c r="AF1405" s="224"/>
      <c r="AG1405" s="259"/>
      <c r="AH1405" s="261"/>
      <c r="AI1405" s="261"/>
      <c r="AJ1405" s="261"/>
      <c r="AK1405" s="261"/>
      <c r="AL1405" s="261"/>
      <c r="AM1405" s="262"/>
    </row>
    <row r="1406" spans="1:39" x14ac:dyDescent="0.25">
      <c r="A1406" s="215"/>
      <c r="B1406" s="215"/>
      <c r="C1406" s="215"/>
      <c r="D1406" s="239"/>
      <c r="E1406" s="239"/>
      <c r="F1406" s="239"/>
      <c r="G1406" s="239"/>
      <c r="H1406" s="239"/>
      <c r="I1406" s="257"/>
      <c r="J1406" s="240"/>
      <c r="K1406" s="240"/>
      <c r="L1406" s="240"/>
      <c r="M1406" s="240"/>
      <c r="N1406" s="240"/>
      <c r="O1406" s="258"/>
      <c r="P1406" s="224"/>
      <c r="Q1406" s="224"/>
      <c r="R1406" s="224"/>
      <c r="S1406" s="224"/>
      <c r="T1406" s="224"/>
      <c r="U1406" s="259"/>
      <c r="V1406" s="239"/>
      <c r="W1406" s="239"/>
      <c r="X1406" s="239"/>
      <c r="Y1406" s="239"/>
      <c r="Z1406" s="239"/>
      <c r="AA1406" s="257"/>
      <c r="AB1406" s="224"/>
      <c r="AC1406" s="224"/>
      <c r="AD1406" s="224"/>
      <c r="AE1406" s="224"/>
      <c r="AF1406" s="224"/>
      <c r="AG1406" s="259"/>
      <c r="AH1406" s="261"/>
      <c r="AI1406" s="261"/>
      <c r="AJ1406" s="261"/>
      <c r="AK1406" s="261"/>
      <c r="AL1406" s="261"/>
      <c r="AM1406" s="262"/>
    </row>
    <row r="1407" spans="1:39" x14ac:dyDescent="0.25">
      <c r="A1407" s="215"/>
      <c r="B1407" s="215"/>
      <c r="C1407" s="215"/>
      <c r="D1407" s="239"/>
      <c r="E1407" s="239"/>
      <c r="F1407" s="239"/>
      <c r="G1407" s="239"/>
      <c r="H1407" s="239"/>
      <c r="I1407" s="257"/>
      <c r="J1407" s="240"/>
      <c r="K1407" s="240"/>
      <c r="L1407" s="240"/>
      <c r="M1407" s="240"/>
      <c r="N1407" s="240"/>
      <c r="O1407" s="258"/>
      <c r="P1407" s="224"/>
      <c r="Q1407" s="224"/>
      <c r="R1407" s="224"/>
      <c r="S1407" s="224"/>
      <c r="T1407" s="224"/>
      <c r="U1407" s="259"/>
      <c r="V1407" s="239"/>
      <c r="W1407" s="239"/>
      <c r="X1407" s="239"/>
      <c r="Y1407" s="239"/>
      <c r="Z1407" s="239"/>
      <c r="AA1407" s="257"/>
      <c r="AB1407" s="224"/>
      <c r="AC1407" s="224"/>
      <c r="AD1407" s="224"/>
      <c r="AE1407" s="224"/>
      <c r="AF1407" s="224"/>
      <c r="AG1407" s="259"/>
      <c r="AH1407" s="261"/>
      <c r="AI1407" s="261"/>
      <c r="AJ1407" s="261"/>
      <c r="AK1407" s="261"/>
      <c r="AL1407" s="261"/>
      <c r="AM1407" s="262"/>
    </row>
    <row r="1408" spans="1:39" x14ac:dyDescent="0.25">
      <c r="A1408" s="215"/>
      <c r="B1408" s="215"/>
      <c r="C1408" s="215"/>
      <c r="D1408" s="239"/>
      <c r="E1408" s="239"/>
      <c r="F1408" s="239"/>
      <c r="G1408" s="239"/>
      <c r="H1408" s="239"/>
      <c r="I1408" s="257"/>
      <c r="J1408" s="240"/>
      <c r="K1408" s="240"/>
      <c r="L1408" s="240"/>
      <c r="M1408" s="240"/>
      <c r="N1408" s="240"/>
      <c r="O1408" s="258"/>
      <c r="P1408" s="224"/>
      <c r="Q1408" s="224"/>
      <c r="R1408" s="224"/>
      <c r="S1408" s="224"/>
      <c r="T1408" s="224"/>
      <c r="U1408" s="259"/>
      <c r="V1408" s="239"/>
      <c r="W1408" s="239"/>
      <c r="X1408" s="239"/>
      <c r="Y1408" s="239"/>
      <c r="Z1408" s="239"/>
      <c r="AA1408" s="257"/>
      <c r="AB1408" s="224"/>
      <c r="AC1408" s="224"/>
      <c r="AD1408" s="224"/>
      <c r="AE1408" s="224"/>
      <c r="AF1408" s="224"/>
      <c r="AG1408" s="259"/>
      <c r="AH1408" s="261"/>
      <c r="AI1408" s="261"/>
      <c r="AJ1408" s="261"/>
      <c r="AK1408" s="261"/>
      <c r="AL1408" s="261"/>
      <c r="AM1408" s="262"/>
    </row>
    <row r="1409" spans="1:39" x14ac:dyDescent="0.25">
      <c r="A1409" s="215"/>
      <c r="B1409" s="215"/>
      <c r="C1409" s="215"/>
      <c r="D1409" s="239"/>
      <c r="E1409" s="239"/>
      <c r="F1409" s="239"/>
      <c r="G1409" s="239"/>
      <c r="H1409" s="239"/>
      <c r="I1409" s="257"/>
      <c r="J1409" s="240"/>
      <c r="K1409" s="240"/>
      <c r="L1409" s="240"/>
      <c r="M1409" s="240"/>
      <c r="N1409" s="240"/>
      <c r="O1409" s="258"/>
      <c r="P1409" s="224"/>
      <c r="Q1409" s="224"/>
      <c r="R1409" s="224"/>
      <c r="S1409" s="224"/>
      <c r="T1409" s="224"/>
      <c r="U1409" s="259"/>
      <c r="V1409" s="239"/>
      <c r="W1409" s="239"/>
      <c r="X1409" s="239"/>
      <c r="Y1409" s="239"/>
      <c r="Z1409" s="239"/>
      <c r="AA1409" s="257"/>
      <c r="AB1409" s="224"/>
      <c r="AC1409" s="224"/>
      <c r="AD1409" s="224"/>
      <c r="AE1409" s="224"/>
      <c r="AF1409" s="224"/>
      <c r="AG1409" s="259"/>
      <c r="AH1409" s="261"/>
      <c r="AI1409" s="261"/>
      <c r="AJ1409" s="261"/>
      <c r="AK1409" s="261"/>
      <c r="AL1409" s="261"/>
      <c r="AM1409" s="262"/>
    </row>
    <row r="1410" spans="1:39" x14ac:dyDescent="0.25">
      <c r="A1410" s="215"/>
      <c r="B1410" s="215"/>
      <c r="C1410" s="215"/>
      <c r="D1410" s="239"/>
      <c r="E1410" s="239"/>
      <c r="F1410" s="239"/>
      <c r="G1410" s="239"/>
      <c r="H1410" s="239"/>
      <c r="I1410" s="257"/>
      <c r="J1410" s="240"/>
      <c r="K1410" s="240"/>
      <c r="L1410" s="240"/>
      <c r="M1410" s="240"/>
      <c r="N1410" s="240"/>
      <c r="O1410" s="258"/>
      <c r="P1410" s="224"/>
      <c r="Q1410" s="224"/>
      <c r="R1410" s="224"/>
      <c r="S1410" s="224"/>
      <c r="T1410" s="224"/>
      <c r="U1410" s="259"/>
      <c r="V1410" s="239"/>
      <c r="W1410" s="239"/>
      <c r="X1410" s="239"/>
      <c r="Y1410" s="239"/>
      <c r="Z1410" s="239"/>
      <c r="AA1410" s="257"/>
      <c r="AB1410" s="224"/>
      <c r="AC1410" s="224"/>
      <c r="AD1410" s="224"/>
      <c r="AE1410" s="224"/>
      <c r="AF1410" s="224"/>
      <c r="AG1410" s="259"/>
      <c r="AH1410" s="261"/>
      <c r="AI1410" s="261"/>
      <c r="AJ1410" s="261"/>
      <c r="AK1410" s="261"/>
      <c r="AL1410" s="261"/>
      <c r="AM1410" s="262"/>
    </row>
    <row r="1411" spans="1:39" x14ac:dyDescent="0.25">
      <c r="A1411" s="215"/>
      <c r="B1411" s="215"/>
      <c r="C1411" s="215"/>
      <c r="D1411" s="239"/>
      <c r="E1411" s="239"/>
      <c r="F1411" s="239"/>
      <c r="G1411" s="239"/>
      <c r="H1411" s="239"/>
      <c r="I1411" s="257"/>
      <c r="J1411" s="240"/>
      <c r="K1411" s="240"/>
      <c r="L1411" s="240"/>
      <c r="M1411" s="240"/>
      <c r="N1411" s="240"/>
      <c r="O1411" s="258"/>
      <c r="P1411" s="224"/>
      <c r="Q1411" s="224"/>
      <c r="R1411" s="224"/>
      <c r="S1411" s="224"/>
      <c r="T1411" s="224"/>
      <c r="U1411" s="259"/>
      <c r="V1411" s="239"/>
      <c r="W1411" s="239"/>
      <c r="X1411" s="239"/>
      <c r="Y1411" s="239"/>
      <c r="Z1411" s="239"/>
      <c r="AA1411" s="257"/>
      <c r="AB1411" s="224"/>
      <c r="AC1411" s="224"/>
      <c r="AD1411" s="224"/>
      <c r="AE1411" s="224"/>
      <c r="AF1411" s="224"/>
      <c r="AG1411" s="259"/>
      <c r="AH1411" s="261"/>
      <c r="AI1411" s="261"/>
      <c r="AJ1411" s="261"/>
      <c r="AK1411" s="261"/>
      <c r="AL1411" s="261"/>
      <c r="AM1411" s="262"/>
    </row>
    <row r="1412" spans="1:39" x14ac:dyDescent="0.25">
      <c r="A1412" s="215"/>
      <c r="B1412" s="215"/>
      <c r="C1412" s="215"/>
      <c r="D1412" s="239"/>
      <c r="E1412" s="239"/>
      <c r="F1412" s="239"/>
      <c r="G1412" s="239"/>
      <c r="H1412" s="239"/>
      <c r="I1412" s="257"/>
      <c r="J1412" s="240"/>
      <c r="K1412" s="240"/>
      <c r="L1412" s="240"/>
      <c r="M1412" s="240"/>
      <c r="N1412" s="240"/>
      <c r="O1412" s="258"/>
      <c r="P1412" s="224"/>
      <c r="Q1412" s="224"/>
      <c r="R1412" s="224"/>
      <c r="S1412" s="224"/>
      <c r="T1412" s="224"/>
      <c r="U1412" s="259"/>
      <c r="V1412" s="239"/>
      <c r="W1412" s="239"/>
      <c r="X1412" s="239"/>
      <c r="Y1412" s="239"/>
      <c r="Z1412" s="239"/>
      <c r="AA1412" s="257"/>
      <c r="AB1412" s="224"/>
      <c r="AC1412" s="224"/>
      <c r="AD1412" s="224"/>
      <c r="AE1412" s="224"/>
      <c r="AF1412" s="224"/>
      <c r="AG1412" s="259"/>
      <c r="AH1412" s="261"/>
      <c r="AI1412" s="261"/>
      <c r="AJ1412" s="261"/>
      <c r="AK1412" s="261"/>
      <c r="AL1412" s="261"/>
      <c r="AM1412" s="262"/>
    </row>
    <row r="1413" spans="1:39" x14ac:dyDescent="0.25">
      <c r="A1413" s="215"/>
      <c r="B1413" s="215"/>
      <c r="C1413" s="215"/>
      <c r="D1413" s="239"/>
      <c r="E1413" s="239"/>
      <c r="F1413" s="239"/>
      <c r="G1413" s="239"/>
      <c r="H1413" s="239"/>
      <c r="I1413" s="257"/>
      <c r="J1413" s="240"/>
      <c r="K1413" s="240"/>
      <c r="L1413" s="240"/>
      <c r="M1413" s="240"/>
      <c r="N1413" s="240"/>
      <c r="O1413" s="258"/>
      <c r="P1413" s="224"/>
      <c r="Q1413" s="224"/>
      <c r="R1413" s="224"/>
      <c r="S1413" s="224"/>
      <c r="T1413" s="224"/>
      <c r="U1413" s="259"/>
      <c r="V1413" s="239"/>
      <c r="W1413" s="239"/>
      <c r="X1413" s="239"/>
      <c r="Y1413" s="239"/>
      <c r="Z1413" s="239"/>
      <c r="AA1413" s="257"/>
      <c r="AB1413" s="224"/>
      <c r="AC1413" s="224"/>
      <c r="AD1413" s="224"/>
      <c r="AE1413" s="224"/>
      <c r="AF1413" s="224"/>
      <c r="AG1413" s="259"/>
      <c r="AH1413" s="261"/>
      <c r="AI1413" s="261"/>
      <c r="AJ1413" s="261"/>
      <c r="AK1413" s="261"/>
      <c r="AL1413" s="261"/>
      <c r="AM1413" s="262"/>
    </row>
    <row r="1414" spans="1:39" x14ac:dyDescent="0.25">
      <c r="A1414" s="215"/>
      <c r="B1414" s="215"/>
      <c r="C1414" s="215"/>
      <c r="D1414" s="239"/>
      <c r="E1414" s="239"/>
      <c r="F1414" s="239"/>
      <c r="G1414" s="239"/>
      <c r="H1414" s="239"/>
      <c r="I1414" s="257"/>
      <c r="J1414" s="240"/>
      <c r="K1414" s="240"/>
      <c r="L1414" s="240"/>
      <c r="M1414" s="240"/>
      <c r="N1414" s="240"/>
      <c r="O1414" s="258"/>
      <c r="P1414" s="224"/>
      <c r="Q1414" s="224"/>
      <c r="R1414" s="224"/>
      <c r="S1414" s="224"/>
      <c r="T1414" s="224"/>
      <c r="U1414" s="259"/>
      <c r="V1414" s="239"/>
      <c r="W1414" s="239"/>
      <c r="X1414" s="239"/>
      <c r="Y1414" s="239"/>
      <c r="Z1414" s="239"/>
      <c r="AA1414" s="257"/>
      <c r="AB1414" s="224"/>
      <c r="AC1414" s="224"/>
      <c r="AD1414" s="224"/>
      <c r="AE1414" s="224"/>
      <c r="AF1414" s="224"/>
      <c r="AG1414" s="259"/>
      <c r="AH1414" s="261"/>
      <c r="AI1414" s="261"/>
      <c r="AJ1414" s="261"/>
      <c r="AK1414" s="261"/>
      <c r="AL1414" s="261"/>
      <c r="AM1414" s="262"/>
    </row>
    <row r="1415" spans="1:39" x14ac:dyDescent="0.25">
      <c r="A1415" s="215"/>
      <c r="B1415" s="215"/>
      <c r="C1415" s="215"/>
      <c r="D1415" s="239"/>
      <c r="E1415" s="239"/>
      <c r="F1415" s="239"/>
      <c r="G1415" s="239"/>
      <c r="H1415" s="239"/>
      <c r="I1415" s="257"/>
      <c r="J1415" s="240"/>
      <c r="K1415" s="240"/>
      <c r="L1415" s="240"/>
      <c r="M1415" s="240"/>
      <c r="N1415" s="240"/>
      <c r="O1415" s="258"/>
      <c r="P1415" s="224"/>
      <c r="Q1415" s="224"/>
      <c r="R1415" s="224"/>
      <c r="S1415" s="224"/>
      <c r="T1415" s="224"/>
      <c r="U1415" s="259"/>
      <c r="V1415" s="239"/>
      <c r="W1415" s="239"/>
      <c r="X1415" s="239"/>
      <c r="Y1415" s="239"/>
      <c r="Z1415" s="239"/>
      <c r="AA1415" s="257"/>
      <c r="AB1415" s="224"/>
      <c r="AC1415" s="224"/>
      <c r="AD1415" s="224"/>
      <c r="AE1415" s="224"/>
      <c r="AF1415" s="224"/>
      <c r="AG1415" s="259"/>
      <c r="AH1415" s="261"/>
      <c r="AI1415" s="261"/>
      <c r="AJ1415" s="261"/>
      <c r="AK1415" s="261"/>
      <c r="AL1415" s="261"/>
      <c r="AM1415" s="262"/>
    </row>
    <row r="1416" spans="1:39" x14ac:dyDescent="0.25">
      <c r="A1416" s="215"/>
      <c r="B1416" s="215"/>
      <c r="C1416" s="215"/>
      <c r="D1416" s="239"/>
      <c r="E1416" s="239"/>
      <c r="F1416" s="239"/>
      <c r="G1416" s="239"/>
      <c r="H1416" s="239"/>
      <c r="I1416" s="257"/>
      <c r="J1416" s="240"/>
      <c r="K1416" s="240"/>
      <c r="L1416" s="240"/>
      <c r="M1416" s="240"/>
      <c r="N1416" s="240"/>
      <c r="O1416" s="258"/>
      <c r="P1416" s="224"/>
      <c r="Q1416" s="224"/>
      <c r="R1416" s="224"/>
      <c r="S1416" s="224"/>
      <c r="T1416" s="224"/>
      <c r="U1416" s="259"/>
      <c r="V1416" s="239"/>
      <c r="W1416" s="239"/>
      <c r="X1416" s="239"/>
      <c r="Y1416" s="239"/>
      <c r="Z1416" s="239"/>
      <c r="AA1416" s="257"/>
      <c r="AB1416" s="224"/>
      <c r="AC1416" s="224"/>
      <c r="AD1416" s="224"/>
      <c r="AE1416" s="224"/>
      <c r="AF1416" s="224"/>
      <c r="AG1416" s="259"/>
      <c r="AH1416" s="261"/>
      <c r="AI1416" s="261"/>
      <c r="AJ1416" s="261"/>
      <c r="AK1416" s="261"/>
      <c r="AL1416" s="261"/>
      <c r="AM1416" s="262"/>
    </row>
    <row r="1417" spans="1:39" x14ac:dyDescent="0.25">
      <c r="A1417" s="215"/>
      <c r="B1417" s="215"/>
      <c r="C1417" s="215"/>
      <c r="D1417" s="239"/>
      <c r="E1417" s="239"/>
      <c r="F1417" s="239"/>
      <c r="G1417" s="239"/>
      <c r="H1417" s="239"/>
      <c r="I1417" s="257"/>
      <c r="J1417" s="240"/>
      <c r="K1417" s="240"/>
      <c r="L1417" s="240"/>
      <c r="M1417" s="240"/>
      <c r="N1417" s="240"/>
      <c r="O1417" s="258"/>
      <c r="P1417" s="224"/>
      <c r="Q1417" s="224"/>
      <c r="R1417" s="224"/>
      <c r="S1417" s="224"/>
      <c r="T1417" s="224"/>
      <c r="U1417" s="259"/>
      <c r="V1417" s="239"/>
      <c r="W1417" s="239"/>
      <c r="X1417" s="239"/>
      <c r="Y1417" s="239"/>
      <c r="Z1417" s="239"/>
      <c r="AA1417" s="257"/>
      <c r="AB1417" s="224"/>
      <c r="AC1417" s="224"/>
      <c r="AD1417" s="224"/>
      <c r="AE1417" s="224"/>
      <c r="AF1417" s="224"/>
      <c r="AG1417" s="259"/>
      <c r="AH1417" s="261"/>
      <c r="AI1417" s="261"/>
      <c r="AJ1417" s="261"/>
      <c r="AK1417" s="261"/>
      <c r="AL1417" s="261"/>
      <c r="AM1417" s="262"/>
    </row>
    <row r="1418" spans="1:39" x14ac:dyDescent="0.25">
      <c r="A1418" s="215"/>
      <c r="B1418" s="215"/>
      <c r="C1418" s="215"/>
      <c r="D1418" s="239"/>
      <c r="E1418" s="239"/>
      <c r="F1418" s="239"/>
      <c r="G1418" s="239"/>
      <c r="H1418" s="239"/>
      <c r="I1418" s="257"/>
      <c r="J1418" s="240"/>
      <c r="K1418" s="240"/>
      <c r="L1418" s="240"/>
      <c r="M1418" s="240"/>
      <c r="N1418" s="240"/>
      <c r="O1418" s="258"/>
      <c r="P1418" s="224"/>
      <c r="Q1418" s="224"/>
      <c r="R1418" s="224"/>
      <c r="S1418" s="224"/>
      <c r="T1418" s="224"/>
      <c r="U1418" s="259"/>
      <c r="V1418" s="239"/>
      <c r="W1418" s="239"/>
      <c r="X1418" s="239"/>
      <c r="Y1418" s="239"/>
      <c r="Z1418" s="239"/>
      <c r="AA1418" s="257"/>
      <c r="AB1418" s="224"/>
      <c r="AC1418" s="224"/>
      <c r="AD1418" s="224"/>
      <c r="AE1418" s="224"/>
      <c r="AF1418" s="224"/>
      <c r="AG1418" s="259"/>
      <c r="AH1418" s="261"/>
      <c r="AI1418" s="261"/>
      <c r="AJ1418" s="261"/>
      <c r="AK1418" s="261"/>
      <c r="AL1418" s="261"/>
      <c r="AM1418" s="262"/>
    </row>
    <row r="1419" spans="1:39" x14ac:dyDescent="0.25">
      <c r="A1419" s="215"/>
      <c r="B1419" s="215"/>
      <c r="C1419" s="215"/>
      <c r="D1419" s="239"/>
      <c r="E1419" s="239"/>
      <c r="F1419" s="239"/>
      <c r="G1419" s="239"/>
      <c r="H1419" s="239"/>
      <c r="I1419" s="257"/>
      <c r="J1419" s="240"/>
      <c r="K1419" s="240"/>
      <c r="L1419" s="240"/>
      <c r="M1419" s="240"/>
      <c r="N1419" s="240"/>
      <c r="O1419" s="258"/>
      <c r="P1419" s="224"/>
      <c r="Q1419" s="224"/>
      <c r="R1419" s="224"/>
      <c r="S1419" s="224"/>
      <c r="T1419" s="224"/>
      <c r="U1419" s="259"/>
      <c r="V1419" s="239"/>
      <c r="W1419" s="239"/>
      <c r="X1419" s="239"/>
      <c r="Y1419" s="239"/>
      <c r="Z1419" s="239"/>
      <c r="AA1419" s="257"/>
      <c r="AB1419" s="224"/>
      <c r="AC1419" s="224"/>
      <c r="AD1419" s="224"/>
      <c r="AE1419" s="224"/>
      <c r="AF1419" s="224"/>
      <c r="AG1419" s="259"/>
      <c r="AH1419" s="261"/>
      <c r="AI1419" s="261"/>
      <c r="AJ1419" s="261"/>
      <c r="AK1419" s="261"/>
      <c r="AL1419" s="261"/>
      <c r="AM1419" s="262"/>
    </row>
    <row r="1420" spans="1:39" x14ac:dyDescent="0.25">
      <c r="A1420" s="215"/>
      <c r="B1420" s="215"/>
      <c r="C1420" s="215"/>
      <c r="D1420" s="239"/>
      <c r="E1420" s="239"/>
      <c r="F1420" s="239"/>
      <c r="G1420" s="239"/>
      <c r="H1420" s="239"/>
      <c r="I1420" s="257"/>
      <c r="J1420" s="240"/>
      <c r="K1420" s="240"/>
      <c r="L1420" s="240"/>
      <c r="M1420" s="240"/>
      <c r="N1420" s="240"/>
      <c r="O1420" s="258"/>
      <c r="P1420" s="224"/>
      <c r="Q1420" s="224"/>
      <c r="R1420" s="224"/>
      <c r="S1420" s="224"/>
      <c r="T1420" s="224"/>
      <c r="U1420" s="259"/>
      <c r="V1420" s="239"/>
      <c r="W1420" s="239"/>
      <c r="X1420" s="239"/>
      <c r="Y1420" s="239"/>
      <c r="Z1420" s="239"/>
      <c r="AA1420" s="257"/>
      <c r="AB1420" s="224"/>
      <c r="AC1420" s="224"/>
      <c r="AD1420" s="224"/>
      <c r="AE1420" s="224"/>
      <c r="AF1420" s="224"/>
      <c r="AG1420" s="259"/>
      <c r="AH1420" s="261"/>
      <c r="AI1420" s="261"/>
      <c r="AJ1420" s="261"/>
      <c r="AK1420" s="261"/>
      <c r="AL1420" s="261"/>
      <c r="AM1420" s="262"/>
    </row>
    <row r="1421" spans="1:39" x14ac:dyDescent="0.25">
      <c r="A1421" s="215"/>
      <c r="B1421" s="215"/>
      <c r="C1421" s="215"/>
      <c r="D1421" s="239"/>
      <c r="E1421" s="239"/>
      <c r="F1421" s="239"/>
      <c r="G1421" s="239"/>
      <c r="H1421" s="239"/>
      <c r="I1421" s="257"/>
      <c r="J1421" s="240"/>
      <c r="K1421" s="240"/>
      <c r="L1421" s="240"/>
      <c r="M1421" s="240"/>
      <c r="N1421" s="240"/>
      <c r="O1421" s="258"/>
      <c r="P1421" s="224"/>
      <c r="Q1421" s="224"/>
      <c r="R1421" s="224"/>
      <c r="S1421" s="224"/>
      <c r="T1421" s="224"/>
      <c r="U1421" s="259"/>
      <c r="V1421" s="239"/>
      <c r="W1421" s="239"/>
      <c r="X1421" s="239"/>
      <c r="Y1421" s="239"/>
      <c r="Z1421" s="239"/>
      <c r="AA1421" s="257"/>
      <c r="AB1421" s="224"/>
      <c r="AC1421" s="224"/>
      <c r="AD1421" s="224"/>
      <c r="AE1421" s="224"/>
      <c r="AF1421" s="224"/>
      <c r="AG1421" s="259"/>
      <c r="AH1421" s="261"/>
      <c r="AI1421" s="261"/>
      <c r="AJ1421" s="261"/>
      <c r="AK1421" s="261"/>
      <c r="AL1421" s="261"/>
      <c r="AM1421" s="262"/>
    </row>
    <row r="1422" spans="1:39" x14ac:dyDescent="0.25">
      <c r="A1422" s="215"/>
      <c r="B1422" s="215"/>
      <c r="C1422" s="215"/>
      <c r="D1422" s="239"/>
      <c r="E1422" s="239"/>
      <c r="F1422" s="239"/>
      <c r="G1422" s="239"/>
      <c r="H1422" s="239"/>
      <c r="I1422" s="257"/>
      <c r="J1422" s="240"/>
      <c r="K1422" s="240"/>
      <c r="L1422" s="240"/>
      <c r="M1422" s="240"/>
      <c r="N1422" s="240"/>
      <c r="O1422" s="258"/>
      <c r="P1422" s="224"/>
      <c r="Q1422" s="224"/>
      <c r="R1422" s="224"/>
      <c r="S1422" s="224"/>
      <c r="T1422" s="224"/>
      <c r="U1422" s="259"/>
      <c r="V1422" s="239"/>
      <c r="W1422" s="239"/>
      <c r="X1422" s="239"/>
      <c r="Y1422" s="239"/>
      <c r="Z1422" s="239"/>
      <c r="AA1422" s="257"/>
      <c r="AB1422" s="224"/>
      <c r="AC1422" s="224"/>
      <c r="AD1422" s="224"/>
      <c r="AE1422" s="224"/>
      <c r="AF1422" s="224"/>
      <c r="AG1422" s="259"/>
      <c r="AH1422" s="261"/>
      <c r="AI1422" s="261"/>
      <c r="AJ1422" s="261"/>
      <c r="AK1422" s="261"/>
      <c r="AL1422" s="261"/>
      <c r="AM1422" s="262"/>
    </row>
    <row r="1423" spans="1:39" x14ac:dyDescent="0.25">
      <c r="A1423" s="215"/>
      <c r="B1423" s="215"/>
      <c r="C1423" s="215"/>
      <c r="D1423" s="239"/>
      <c r="E1423" s="239"/>
      <c r="F1423" s="239"/>
      <c r="G1423" s="239"/>
      <c r="H1423" s="239"/>
      <c r="I1423" s="257"/>
      <c r="J1423" s="240"/>
      <c r="K1423" s="240"/>
      <c r="L1423" s="240"/>
      <c r="M1423" s="240"/>
      <c r="N1423" s="240"/>
      <c r="O1423" s="258"/>
      <c r="P1423" s="224"/>
      <c r="Q1423" s="224"/>
      <c r="R1423" s="224"/>
      <c r="S1423" s="224"/>
      <c r="T1423" s="224"/>
      <c r="U1423" s="259"/>
      <c r="V1423" s="239"/>
      <c r="W1423" s="239"/>
      <c r="X1423" s="239"/>
      <c r="Y1423" s="239"/>
      <c r="Z1423" s="239"/>
      <c r="AA1423" s="257"/>
      <c r="AB1423" s="224"/>
      <c r="AC1423" s="224"/>
      <c r="AD1423" s="224"/>
      <c r="AE1423" s="224"/>
      <c r="AF1423" s="224"/>
      <c r="AG1423" s="259"/>
      <c r="AH1423" s="261"/>
      <c r="AI1423" s="261"/>
      <c r="AJ1423" s="261"/>
      <c r="AK1423" s="261"/>
      <c r="AL1423" s="261"/>
      <c r="AM1423" s="262"/>
    </row>
    <row r="1424" spans="1:39" x14ac:dyDescent="0.25">
      <c r="A1424" s="215"/>
      <c r="B1424" s="215"/>
      <c r="C1424" s="215"/>
      <c r="D1424" s="239"/>
      <c r="E1424" s="239"/>
      <c r="F1424" s="239"/>
      <c r="G1424" s="239"/>
      <c r="H1424" s="239"/>
      <c r="I1424" s="257"/>
      <c r="J1424" s="240"/>
      <c r="K1424" s="240"/>
      <c r="L1424" s="240"/>
      <c r="M1424" s="240"/>
      <c r="N1424" s="240"/>
      <c r="O1424" s="258"/>
      <c r="P1424" s="224"/>
      <c r="Q1424" s="224"/>
      <c r="R1424" s="224"/>
      <c r="S1424" s="224"/>
      <c r="T1424" s="224"/>
      <c r="U1424" s="259"/>
      <c r="V1424" s="239"/>
      <c r="W1424" s="239"/>
      <c r="X1424" s="239"/>
      <c r="Y1424" s="239"/>
      <c r="Z1424" s="239"/>
      <c r="AA1424" s="257"/>
      <c r="AB1424" s="224"/>
      <c r="AC1424" s="224"/>
      <c r="AD1424" s="224"/>
      <c r="AE1424" s="224"/>
      <c r="AF1424" s="224"/>
      <c r="AG1424" s="259"/>
      <c r="AH1424" s="261"/>
      <c r="AI1424" s="261"/>
      <c r="AJ1424" s="261"/>
      <c r="AK1424" s="261"/>
      <c r="AL1424" s="261"/>
      <c r="AM1424" s="262"/>
    </row>
    <row r="1425" spans="1:39" x14ac:dyDescent="0.25">
      <c r="A1425" s="215"/>
      <c r="B1425" s="215"/>
      <c r="C1425" s="215"/>
      <c r="D1425" s="239"/>
      <c r="E1425" s="239"/>
      <c r="F1425" s="239"/>
      <c r="G1425" s="239"/>
      <c r="H1425" s="239"/>
      <c r="I1425" s="257"/>
      <c r="J1425" s="240"/>
      <c r="K1425" s="240"/>
      <c r="L1425" s="240"/>
      <c r="M1425" s="240"/>
      <c r="N1425" s="240"/>
      <c r="O1425" s="258"/>
      <c r="P1425" s="224"/>
      <c r="Q1425" s="224"/>
      <c r="R1425" s="224"/>
      <c r="S1425" s="224"/>
      <c r="T1425" s="224"/>
      <c r="U1425" s="259"/>
      <c r="V1425" s="239"/>
      <c r="W1425" s="239"/>
      <c r="X1425" s="239"/>
      <c r="Y1425" s="239"/>
      <c r="Z1425" s="239"/>
      <c r="AA1425" s="257"/>
      <c r="AB1425" s="224"/>
      <c r="AC1425" s="224"/>
      <c r="AD1425" s="224"/>
      <c r="AE1425" s="224"/>
      <c r="AF1425" s="224"/>
      <c r="AG1425" s="259"/>
      <c r="AH1425" s="261"/>
      <c r="AI1425" s="261"/>
      <c r="AJ1425" s="261"/>
      <c r="AK1425" s="261"/>
      <c r="AL1425" s="261"/>
      <c r="AM1425" s="262"/>
    </row>
    <row r="1426" spans="1:39" x14ac:dyDescent="0.25">
      <c r="A1426" s="215"/>
      <c r="B1426" s="215"/>
      <c r="C1426" s="215"/>
      <c r="D1426" s="239"/>
      <c r="E1426" s="239"/>
      <c r="F1426" s="239"/>
      <c r="G1426" s="239"/>
      <c r="H1426" s="239"/>
      <c r="I1426" s="257"/>
      <c r="J1426" s="240"/>
      <c r="K1426" s="240"/>
      <c r="L1426" s="240"/>
      <c r="M1426" s="240"/>
      <c r="N1426" s="240"/>
      <c r="O1426" s="258"/>
      <c r="P1426" s="224"/>
      <c r="Q1426" s="224"/>
      <c r="R1426" s="224"/>
      <c r="S1426" s="224"/>
      <c r="T1426" s="224"/>
      <c r="U1426" s="259"/>
      <c r="V1426" s="239"/>
      <c r="W1426" s="239"/>
      <c r="X1426" s="239"/>
      <c r="Y1426" s="239"/>
      <c r="Z1426" s="239"/>
      <c r="AA1426" s="257"/>
      <c r="AB1426" s="224"/>
      <c r="AC1426" s="224"/>
      <c r="AD1426" s="224"/>
      <c r="AE1426" s="224"/>
      <c r="AF1426" s="224"/>
      <c r="AG1426" s="259"/>
      <c r="AH1426" s="261"/>
      <c r="AI1426" s="261"/>
      <c r="AJ1426" s="261"/>
      <c r="AK1426" s="261"/>
      <c r="AL1426" s="261"/>
      <c r="AM1426" s="262"/>
    </row>
    <row r="1427" spans="1:39" x14ac:dyDescent="0.25">
      <c r="A1427" s="215"/>
      <c r="B1427" s="215"/>
      <c r="C1427" s="215"/>
      <c r="D1427" s="239"/>
      <c r="E1427" s="239"/>
      <c r="F1427" s="239"/>
      <c r="G1427" s="239"/>
      <c r="H1427" s="239"/>
      <c r="I1427" s="257"/>
      <c r="J1427" s="240"/>
      <c r="K1427" s="240"/>
      <c r="L1427" s="240"/>
      <c r="M1427" s="240"/>
      <c r="N1427" s="240"/>
      <c r="O1427" s="258"/>
      <c r="P1427" s="224"/>
      <c r="Q1427" s="224"/>
      <c r="R1427" s="224"/>
      <c r="S1427" s="224"/>
      <c r="T1427" s="224"/>
      <c r="U1427" s="259"/>
      <c r="V1427" s="239"/>
      <c r="W1427" s="239"/>
      <c r="X1427" s="239"/>
      <c r="Y1427" s="239"/>
      <c r="Z1427" s="239"/>
      <c r="AA1427" s="257"/>
      <c r="AB1427" s="224"/>
      <c r="AC1427" s="224"/>
      <c r="AD1427" s="224"/>
      <c r="AE1427" s="224"/>
      <c r="AF1427" s="224"/>
      <c r="AG1427" s="259"/>
      <c r="AH1427" s="261"/>
      <c r="AI1427" s="261"/>
      <c r="AJ1427" s="261"/>
      <c r="AK1427" s="261"/>
      <c r="AL1427" s="261"/>
      <c r="AM1427" s="262"/>
    </row>
    <row r="1428" spans="1:39" x14ac:dyDescent="0.25">
      <c r="A1428" s="215"/>
      <c r="B1428" s="215"/>
      <c r="C1428" s="215"/>
      <c r="D1428" s="239"/>
      <c r="E1428" s="239"/>
      <c r="F1428" s="239"/>
      <c r="G1428" s="239"/>
      <c r="H1428" s="239"/>
      <c r="I1428" s="257"/>
      <c r="J1428" s="240"/>
      <c r="K1428" s="240"/>
      <c r="L1428" s="240"/>
      <c r="M1428" s="240"/>
      <c r="N1428" s="240"/>
      <c r="O1428" s="258"/>
      <c r="P1428" s="224"/>
      <c r="Q1428" s="224"/>
      <c r="R1428" s="224"/>
      <c r="S1428" s="224"/>
      <c r="T1428" s="224"/>
      <c r="U1428" s="259"/>
      <c r="V1428" s="239"/>
      <c r="W1428" s="239"/>
      <c r="X1428" s="239"/>
      <c r="Y1428" s="239"/>
      <c r="Z1428" s="239"/>
      <c r="AA1428" s="257"/>
      <c r="AB1428" s="224"/>
      <c r="AC1428" s="224"/>
      <c r="AD1428" s="224"/>
      <c r="AE1428" s="224"/>
      <c r="AF1428" s="224"/>
      <c r="AG1428" s="259"/>
      <c r="AH1428" s="261"/>
      <c r="AI1428" s="261"/>
      <c r="AJ1428" s="261"/>
      <c r="AK1428" s="261"/>
      <c r="AL1428" s="261"/>
      <c r="AM1428" s="262"/>
    </row>
    <row r="1429" spans="1:39" x14ac:dyDescent="0.25">
      <c r="A1429" s="215"/>
      <c r="B1429" s="215"/>
      <c r="C1429" s="215"/>
      <c r="D1429" s="239"/>
      <c r="E1429" s="239"/>
      <c r="F1429" s="239"/>
      <c r="G1429" s="239"/>
      <c r="H1429" s="239"/>
      <c r="I1429" s="257"/>
      <c r="J1429" s="240"/>
      <c r="K1429" s="240"/>
      <c r="L1429" s="240"/>
      <c r="M1429" s="240"/>
      <c r="N1429" s="240"/>
      <c r="O1429" s="258"/>
      <c r="P1429" s="224"/>
      <c r="Q1429" s="224"/>
      <c r="R1429" s="224"/>
      <c r="S1429" s="224"/>
      <c r="T1429" s="224"/>
      <c r="U1429" s="259"/>
      <c r="V1429" s="239"/>
      <c r="W1429" s="239"/>
      <c r="X1429" s="239"/>
      <c r="Y1429" s="239"/>
      <c r="Z1429" s="239"/>
      <c r="AA1429" s="257"/>
      <c r="AB1429" s="224"/>
      <c r="AC1429" s="224"/>
      <c r="AD1429" s="224"/>
      <c r="AE1429" s="224"/>
      <c r="AF1429" s="224"/>
      <c r="AG1429" s="259"/>
      <c r="AH1429" s="261"/>
      <c r="AI1429" s="261"/>
      <c r="AJ1429" s="261"/>
      <c r="AK1429" s="261"/>
      <c r="AL1429" s="261"/>
      <c r="AM1429" s="262"/>
    </row>
    <row r="1430" spans="1:39" x14ac:dyDescent="0.25">
      <c r="A1430" s="215"/>
      <c r="B1430" s="215"/>
      <c r="C1430" s="215"/>
      <c r="D1430" s="239"/>
      <c r="E1430" s="239"/>
      <c r="F1430" s="239"/>
      <c r="G1430" s="239"/>
      <c r="H1430" s="239"/>
      <c r="I1430" s="257"/>
      <c r="J1430" s="240"/>
      <c r="K1430" s="240"/>
      <c r="L1430" s="240"/>
      <c r="M1430" s="240"/>
      <c r="N1430" s="240"/>
      <c r="O1430" s="258"/>
      <c r="P1430" s="224"/>
      <c r="Q1430" s="224"/>
      <c r="R1430" s="224"/>
      <c r="S1430" s="224"/>
      <c r="T1430" s="224"/>
      <c r="U1430" s="259"/>
      <c r="V1430" s="239"/>
      <c r="W1430" s="239"/>
      <c r="X1430" s="239"/>
      <c r="Y1430" s="239"/>
      <c r="Z1430" s="239"/>
      <c r="AA1430" s="257"/>
      <c r="AB1430" s="224"/>
      <c r="AC1430" s="224"/>
      <c r="AD1430" s="224"/>
      <c r="AE1430" s="224"/>
      <c r="AF1430" s="224"/>
      <c r="AG1430" s="259"/>
      <c r="AH1430" s="261"/>
      <c r="AI1430" s="261"/>
      <c r="AJ1430" s="261"/>
      <c r="AK1430" s="261"/>
      <c r="AL1430" s="261"/>
      <c r="AM1430" s="262"/>
    </row>
    <row r="1431" spans="1:39" x14ac:dyDescent="0.25">
      <c r="A1431" s="215"/>
      <c r="B1431" s="215"/>
      <c r="C1431" s="215"/>
      <c r="D1431" s="239"/>
      <c r="E1431" s="239"/>
      <c r="F1431" s="239"/>
      <c r="G1431" s="239"/>
      <c r="H1431" s="239"/>
      <c r="I1431" s="257"/>
      <c r="J1431" s="240"/>
      <c r="K1431" s="240"/>
      <c r="L1431" s="240"/>
      <c r="M1431" s="240"/>
      <c r="N1431" s="240"/>
      <c r="O1431" s="258"/>
      <c r="P1431" s="224"/>
      <c r="Q1431" s="224"/>
      <c r="R1431" s="224"/>
      <c r="S1431" s="224"/>
      <c r="T1431" s="224"/>
      <c r="U1431" s="259"/>
      <c r="V1431" s="239"/>
      <c r="W1431" s="239"/>
      <c r="X1431" s="239"/>
      <c r="Y1431" s="239"/>
      <c r="Z1431" s="239"/>
      <c r="AA1431" s="257"/>
      <c r="AB1431" s="224"/>
      <c r="AC1431" s="224"/>
      <c r="AD1431" s="224"/>
      <c r="AE1431" s="224"/>
      <c r="AF1431" s="224"/>
      <c r="AG1431" s="259"/>
      <c r="AH1431" s="261"/>
      <c r="AI1431" s="261"/>
      <c r="AJ1431" s="261"/>
      <c r="AK1431" s="261"/>
      <c r="AL1431" s="261"/>
      <c r="AM1431" s="262"/>
    </row>
    <row r="1432" spans="1:39" x14ac:dyDescent="0.25">
      <c r="A1432" s="215"/>
      <c r="B1432" s="215"/>
      <c r="C1432" s="215"/>
      <c r="D1432" s="239"/>
      <c r="E1432" s="239"/>
      <c r="F1432" s="239"/>
      <c r="G1432" s="239"/>
      <c r="H1432" s="239"/>
      <c r="I1432" s="257"/>
      <c r="J1432" s="240"/>
      <c r="K1432" s="240"/>
      <c r="L1432" s="240"/>
      <c r="M1432" s="240"/>
      <c r="N1432" s="240"/>
      <c r="O1432" s="258"/>
      <c r="P1432" s="224"/>
      <c r="Q1432" s="224"/>
      <c r="R1432" s="224"/>
      <c r="S1432" s="224"/>
      <c r="T1432" s="224"/>
      <c r="U1432" s="259"/>
      <c r="V1432" s="239"/>
      <c r="W1432" s="239"/>
      <c r="X1432" s="239"/>
      <c r="Y1432" s="239"/>
      <c r="Z1432" s="239"/>
      <c r="AA1432" s="257"/>
      <c r="AB1432" s="224"/>
      <c r="AC1432" s="224"/>
      <c r="AD1432" s="224"/>
      <c r="AE1432" s="224"/>
      <c r="AF1432" s="224"/>
      <c r="AG1432" s="259"/>
      <c r="AH1432" s="261"/>
      <c r="AI1432" s="261"/>
      <c r="AJ1432" s="261"/>
      <c r="AK1432" s="261"/>
      <c r="AL1432" s="261"/>
      <c r="AM1432" s="262"/>
    </row>
    <row r="1433" spans="1:39" x14ac:dyDescent="0.25">
      <c r="A1433" s="215"/>
      <c r="B1433" s="215"/>
      <c r="C1433" s="215"/>
      <c r="D1433" s="239"/>
      <c r="E1433" s="239"/>
      <c r="F1433" s="239"/>
      <c r="G1433" s="239"/>
      <c r="H1433" s="239"/>
      <c r="I1433" s="257"/>
      <c r="J1433" s="240"/>
      <c r="K1433" s="240"/>
      <c r="L1433" s="240"/>
      <c r="M1433" s="240"/>
      <c r="N1433" s="240"/>
      <c r="O1433" s="258"/>
      <c r="P1433" s="224"/>
      <c r="Q1433" s="224"/>
      <c r="R1433" s="224"/>
      <c r="S1433" s="224"/>
      <c r="T1433" s="224"/>
      <c r="U1433" s="259"/>
      <c r="V1433" s="239"/>
      <c r="W1433" s="239"/>
      <c r="X1433" s="239"/>
      <c r="Y1433" s="239"/>
      <c r="Z1433" s="239"/>
      <c r="AA1433" s="257"/>
      <c r="AB1433" s="224"/>
      <c r="AC1433" s="224"/>
      <c r="AD1433" s="224"/>
      <c r="AE1433" s="224"/>
      <c r="AF1433" s="224"/>
      <c r="AG1433" s="259"/>
      <c r="AH1433" s="261"/>
      <c r="AI1433" s="261"/>
      <c r="AJ1433" s="261"/>
      <c r="AK1433" s="261"/>
      <c r="AL1433" s="261"/>
      <c r="AM1433" s="262"/>
    </row>
    <row r="1434" spans="1:39" x14ac:dyDescent="0.25">
      <c r="A1434" s="215"/>
      <c r="B1434" s="215"/>
      <c r="C1434" s="215"/>
      <c r="D1434" s="239"/>
      <c r="E1434" s="239"/>
      <c r="F1434" s="239"/>
      <c r="G1434" s="239"/>
      <c r="H1434" s="239"/>
      <c r="I1434" s="257"/>
      <c r="J1434" s="240"/>
      <c r="K1434" s="240"/>
      <c r="L1434" s="240"/>
      <c r="M1434" s="240"/>
      <c r="N1434" s="240"/>
      <c r="O1434" s="258"/>
      <c r="P1434" s="224"/>
      <c r="Q1434" s="224"/>
      <c r="R1434" s="224"/>
      <c r="S1434" s="224"/>
      <c r="T1434" s="224"/>
      <c r="U1434" s="259"/>
      <c r="V1434" s="239"/>
      <c r="W1434" s="239"/>
      <c r="X1434" s="239"/>
      <c r="Y1434" s="239"/>
      <c r="Z1434" s="239"/>
      <c r="AA1434" s="257"/>
      <c r="AB1434" s="224"/>
      <c r="AC1434" s="224"/>
      <c r="AD1434" s="224"/>
      <c r="AE1434" s="224"/>
      <c r="AF1434" s="224"/>
      <c r="AG1434" s="259"/>
      <c r="AH1434" s="261"/>
      <c r="AI1434" s="261"/>
      <c r="AJ1434" s="261"/>
      <c r="AK1434" s="261"/>
      <c r="AL1434" s="261"/>
      <c r="AM1434" s="262"/>
    </row>
    <row r="1435" spans="1:39" x14ac:dyDescent="0.25">
      <c r="A1435" s="215"/>
      <c r="B1435" s="215"/>
      <c r="C1435" s="215"/>
      <c r="D1435" s="239"/>
      <c r="E1435" s="239"/>
      <c r="F1435" s="239"/>
      <c r="G1435" s="239"/>
      <c r="H1435" s="239"/>
      <c r="I1435" s="257"/>
      <c r="J1435" s="240"/>
      <c r="K1435" s="240"/>
      <c r="L1435" s="240"/>
      <c r="M1435" s="240"/>
      <c r="N1435" s="240"/>
      <c r="O1435" s="258"/>
      <c r="P1435" s="224"/>
      <c r="Q1435" s="224"/>
      <c r="R1435" s="224"/>
      <c r="S1435" s="224"/>
      <c r="T1435" s="224"/>
      <c r="U1435" s="259"/>
      <c r="V1435" s="239"/>
      <c r="W1435" s="239"/>
      <c r="X1435" s="239"/>
      <c r="Y1435" s="239"/>
      <c r="Z1435" s="239"/>
      <c r="AA1435" s="257"/>
      <c r="AB1435" s="224"/>
      <c r="AC1435" s="224"/>
      <c r="AD1435" s="224"/>
      <c r="AE1435" s="224"/>
      <c r="AF1435" s="224"/>
      <c r="AG1435" s="259"/>
      <c r="AH1435" s="261"/>
      <c r="AI1435" s="261"/>
      <c r="AJ1435" s="261"/>
      <c r="AK1435" s="261"/>
      <c r="AL1435" s="261"/>
      <c r="AM1435" s="262"/>
    </row>
    <row r="1436" spans="1:39" x14ac:dyDescent="0.25">
      <c r="A1436" s="215"/>
      <c r="B1436" s="215"/>
      <c r="C1436" s="215"/>
      <c r="D1436" s="239"/>
      <c r="E1436" s="239"/>
      <c r="F1436" s="239"/>
      <c r="G1436" s="239"/>
      <c r="H1436" s="239"/>
      <c r="I1436" s="257"/>
      <c r="J1436" s="240"/>
      <c r="K1436" s="240"/>
      <c r="L1436" s="240"/>
      <c r="M1436" s="240"/>
      <c r="N1436" s="240"/>
      <c r="O1436" s="258"/>
      <c r="P1436" s="224"/>
      <c r="Q1436" s="224"/>
      <c r="R1436" s="224"/>
      <c r="S1436" s="224"/>
      <c r="T1436" s="224"/>
      <c r="U1436" s="259"/>
      <c r="V1436" s="239"/>
      <c r="W1436" s="239"/>
      <c r="X1436" s="239"/>
      <c r="Y1436" s="239"/>
      <c r="Z1436" s="239"/>
      <c r="AA1436" s="257"/>
      <c r="AB1436" s="224"/>
      <c r="AC1436" s="224"/>
      <c r="AD1436" s="224"/>
      <c r="AE1436" s="224"/>
      <c r="AF1436" s="224"/>
      <c r="AG1436" s="259"/>
      <c r="AH1436" s="261"/>
      <c r="AI1436" s="261"/>
      <c r="AJ1436" s="261"/>
      <c r="AK1436" s="261"/>
      <c r="AL1436" s="261"/>
      <c r="AM1436" s="262"/>
    </row>
    <row r="1437" spans="1:39" x14ac:dyDescent="0.25">
      <c r="A1437" s="215"/>
      <c r="B1437" s="215"/>
      <c r="C1437" s="215"/>
      <c r="D1437" s="239"/>
      <c r="E1437" s="239"/>
      <c r="F1437" s="239"/>
      <c r="G1437" s="239"/>
      <c r="H1437" s="239"/>
      <c r="I1437" s="257"/>
      <c r="J1437" s="240"/>
      <c r="K1437" s="240"/>
      <c r="L1437" s="240"/>
      <c r="M1437" s="240"/>
      <c r="N1437" s="240"/>
      <c r="O1437" s="258"/>
      <c r="P1437" s="224"/>
      <c r="Q1437" s="224"/>
      <c r="R1437" s="224"/>
      <c r="S1437" s="224"/>
      <c r="T1437" s="224"/>
      <c r="U1437" s="259"/>
      <c r="V1437" s="239"/>
      <c r="W1437" s="239"/>
      <c r="X1437" s="239"/>
      <c r="Y1437" s="239"/>
      <c r="Z1437" s="239"/>
      <c r="AA1437" s="257"/>
      <c r="AB1437" s="224"/>
      <c r="AC1437" s="224"/>
      <c r="AD1437" s="224"/>
      <c r="AE1437" s="224"/>
      <c r="AF1437" s="224"/>
      <c r="AG1437" s="259"/>
      <c r="AH1437" s="261"/>
      <c r="AI1437" s="261"/>
      <c r="AJ1437" s="261"/>
      <c r="AK1437" s="261"/>
      <c r="AL1437" s="261"/>
      <c r="AM1437" s="262"/>
    </row>
    <row r="1438" spans="1:39" x14ac:dyDescent="0.25">
      <c r="A1438" s="215"/>
      <c r="B1438" s="215"/>
      <c r="C1438" s="215"/>
      <c r="D1438" s="239"/>
      <c r="E1438" s="239"/>
      <c r="F1438" s="239"/>
      <c r="G1438" s="239"/>
      <c r="H1438" s="239"/>
      <c r="I1438" s="257"/>
      <c r="J1438" s="240"/>
      <c r="K1438" s="240"/>
      <c r="L1438" s="240"/>
      <c r="M1438" s="240"/>
      <c r="N1438" s="240"/>
      <c r="O1438" s="258"/>
      <c r="P1438" s="224"/>
      <c r="Q1438" s="224"/>
      <c r="R1438" s="224"/>
      <c r="S1438" s="224"/>
      <c r="T1438" s="224"/>
      <c r="U1438" s="259"/>
      <c r="V1438" s="239"/>
      <c r="W1438" s="239"/>
      <c r="X1438" s="239"/>
      <c r="Y1438" s="239"/>
      <c r="Z1438" s="239"/>
      <c r="AA1438" s="257"/>
      <c r="AB1438" s="224"/>
      <c r="AC1438" s="224"/>
      <c r="AD1438" s="224"/>
      <c r="AE1438" s="224"/>
      <c r="AF1438" s="224"/>
      <c r="AG1438" s="259"/>
      <c r="AH1438" s="261"/>
      <c r="AI1438" s="261"/>
      <c r="AJ1438" s="261"/>
      <c r="AK1438" s="261"/>
      <c r="AL1438" s="261"/>
      <c r="AM1438" s="262"/>
    </row>
    <row r="1439" spans="1:39" x14ac:dyDescent="0.25">
      <c r="A1439" s="215"/>
      <c r="B1439" s="215"/>
      <c r="C1439" s="215"/>
      <c r="D1439" s="239"/>
      <c r="E1439" s="239"/>
      <c r="F1439" s="239"/>
      <c r="G1439" s="239"/>
      <c r="H1439" s="239"/>
      <c r="I1439" s="257"/>
      <c r="J1439" s="240"/>
      <c r="K1439" s="240"/>
      <c r="L1439" s="240"/>
      <c r="M1439" s="240"/>
      <c r="N1439" s="240"/>
      <c r="O1439" s="258"/>
      <c r="P1439" s="224"/>
      <c r="Q1439" s="224"/>
      <c r="R1439" s="224"/>
      <c r="S1439" s="224"/>
      <c r="T1439" s="224"/>
      <c r="U1439" s="259"/>
      <c r="V1439" s="239"/>
      <c r="W1439" s="239"/>
      <c r="X1439" s="239"/>
      <c r="Y1439" s="239"/>
      <c r="Z1439" s="239"/>
      <c r="AA1439" s="257"/>
      <c r="AB1439" s="224"/>
      <c r="AC1439" s="224"/>
      <c r="AD1439" s="224"/>
      <c r="AE1439" s="224"/>
      <c r="AF1439" s="224"/>
      <c r="AG1439" s="259"/>
      <c r="AH1439" s="261"/>
      <c r="AI1439" s="261"/>
      <c r="AJ1439" s="261"/>
      <c r="AK1439" s="261"/>
      <c r="AL1439" s="261"/>
      <c r="AM1439" s="262"/>
    </row>
    <row r="1440" spans="1:39" x14ac:dyDescent="0.25">
      <c r="A1440" s="215"/>
      <c r="B1440" s="215"/>
      <c r="C1440" s="215"/>
      <c r="D1440" s="239"/>
      <c r="E1440" s="239"/>
      <c r="F1440" s="239"/>
      <c r="G1440" s="239"/>
      <c r="H1440" s="239"/>
      <c r="I1440" s="257"/>
      <c r="J1440" s="240"/>
      <c r="K1440" s="240"/>
      <c r="L1440" s="240"/>
      <c r="M1440" s="240"/>
      <c r="N1440" s="240"/>
      <c r="O1440" s="258"/>
      <c r="P1440" s="224"/>
      <c r="Q1440" s="224"/>
      <c r="R1440" s="224"/>
      <c r="S1440" s="224"/>
      <c r="T1440" s="224"/>
      <c r="U1440" s="259"/>
      <c r="V1440" s="239"/>
      <c r="W1440" s="239"/>
      <c r="X1440" s="239"/>
      <c r="Y1440" s="239"/>
      <c r="Z1440" s="239"/>
      <c r="AA1440" s="257"/>
      <c r="AB1440" s="224"/>
      <c r="AC1440" s="224"/>
      <c r="AD1440" s="224"/>
      <c r="AE1440" s="224"/>
      <c r="AF1440" s="224"/>
      <c r="AG1440" s="259"/>
      <c r="AH1440" s="261"/>
      <c r="AI1440" s="261"/>
      <c r="AJ1440" s="261"/>
      <c r="AK1440" s="261"/>
      <c r="AL1440" s="261"/>
      <c r="AM1440" s="262"/>
    </row>
    <row r="1441" spans="1:39" x14ac:dyDescent="0.25">
      <c r="A1441" s="215"/>
      <c r="B1441" s="215"/>
      <c r="C1441" s="215"/>
      <c r="D1441" s="239"/>
      <c r="E1441" s="239"/>
      <c r="F1441" s="239"/>
      <c r="G1441" s="239"/>
      <c r="H1441" s="239"/>
      <c r="I1441" s="257"/>
      <c r="J1441" s="240"/>
      <c r="K1441" s="240"/>
      <c r="L1441" s="240"/>
      <c r="M1441" s="240"/>
      <c r="N1441" s="240"/>
      <c r="O1441" s="258"/>
      <c r="P1441" s="224"/>
      <c r="Q1441" s="224"/>
      <c r="R1441" s="224"/>
      <c r="S1441" s="224"/>
      <c r="T1441" s="224"/>
      <c r="U1441" s="259"/>
      <c r="V1441" s="239"/>
      <c r="W1441" s="239"/>
      <c r="X1441" s="239"/>
      <c r="Y1441" s="239"/>
      <c r="Z1441" s="239"/>
      <c r="AA1441" s="257"/>
      <c r="AB1441" s="224"/>
      <c r="AC1441" s="224"/>
      <c r="AD1441" s="224"/>
      <c r="AE1441" s="224"/>
      <c r="AF1441" s="224"/>
      <c r="AG1441" s="259"/>
      <c r="AH1441" s="261"/>
      <c r="AI1441" s="261"/>
      <c r="AJ1441" s="261"/>
      <c r="AK1441" s="261"/>
      <c r="AL1441" s="261"/>
      <c r="AM1441" s="262"/>
    </row>
    <row r="1442" spans="1:39" x14ac:dyDescent="0.25">
      <c r="A1442" s="215"/>
      <c r="B1442" s="215"/>
      <c r="C1442" s="215"/>
      <c r="D1442" s="239"/>
      <c r="E1442" s="239"/>
      <c r="F1442" s="239"/>
      <c r="G1442" s="239"/>
      <c r="H1442" s="239"/>
      <c r="I1442" s="257"/>
      <c r="J1442" s="240"/>
      <c r="K1442" s="240"/>
      <c r="L1442" s="240"/>
      <c r="M1442" s="240"/>
      <c r="N1442" s="240"/>
      <c r="O1442" s="258"/>
      <c r="P1442" s="224"/>
      <c r="Q1442" s="224"/>
      <c r="R1442" s="224"/>
      <c r="S1442" s="224"/>
      <c r="T1442" s="224"/>
      <c r="U1442" s="259"/>
      <c r="V1442" s="239"/>
      <c r="W1442" s="239"/>
      <c r="X1442" s="239"/>
      <c r="Y1442" s="239"/>
      <c r="Z1442" s="239"/>
      <c r="AA1442" s="257"/>
      <c r="AB1442" s="224"/>
      <c r="AC1442" s="224"/>
      <c r="AD1442" s="224"/>
      <c r="AE1442" s="224"/>
      <c r="AF1442" s="224"/>
      <c r="AG1442" s="259"/>
      <c r="AH1442" s="261"/>
      <c r="AI1442" s="261"/>
      <c r="AJ1442" s="261"/>
      <c r="AK1442" s="261"/>
      <c r="AL1442" s="261"/>
      <c r="AM1442" s="262"/>
    </row>
    <row r="1443" spans="1:39" x14ac:dyDescent="0.25">
      <c r="A1443" s="215"/>
      <c r="B1443" s="215"/>
      <c r="C1443" s="215"/>
      <c r="D1443" s="239"/>
      <c r="E1443" s="239"/>
      <c r="F1443" s="239"/>
      <c r="G1443" s="239"/>
      <c r="H1443" s="239"/>
      <c r="I1443" s="257"/>
      <c r="J1443" s="240"/>
      <c r="K1443" s="240"/>
      <c r="L1443" s="240"/>
      <c r="M1443" s="240"/>
      <c r="N1443" s="240"/>
      <c r="O1443" s="258"/>
      <c r="P1443" s="224"/>
      <c r="Q1443" s="224"/>
      <c r="R1443" s="224"/>
      <c r="S1443" s="224"/>
      <c r="T1443" s="224"/>
      <c r="U1443" s="259"/>
      <c r="V1443" s="239"/>
      <c r="W1443" s="239"/>
      <c r="X1443" s="239"/>
      <c r="Y1443" s="239"/>
      <c r="Z1443" s="239"/>
      <c r="AA1443" s="257"/>
      <c r="AB1443" s="224"/>
      <c r="AC1443" s="224"/>
      <c r="AD1443" s="224"/>
      <c r="AE1443" s="224"/>
      <c r="AF1443" s="224"/>
      <c r="AG1443" s="259"/>
      <c r="AH1443" s="261"/>
      <c r="AI1443" s="261"/>
      <c r="AJ1443" s="261"/>
      <c r="AK1443" s="261"/>
      <c r="AL1443" s="261"/>
      <c r="AM1443" s="262"/>
    </row>
    <row r="1444" spans="1:39" x14ac:dyDescent="0.25">
      <c r="A1444" s="215"/>
      <c r="B1444" s="215"/>
      <c r="C1444" s="215"/>
      <c r="D1444" s="239"/>
      <c r="E1444" s="239"/>
      <c r="F1444" s="239"/>
      <c r="G1444" s="239"/>
      <c r="H1444" s="239"/>
      <c r="I1444" s="257"/>
      <c r="J1444" s="240"/>
      <c r="K1444" s="240"/>
      <c r="L1444" s="240"/>
      <c r="M1444" s="240"/>
      <c r="N1444" s="240"/>
      <c r="O1444" s="258"/>
      <c r="P1444" s="224"/>
      <c r="Q1444" s="224"/>
      <c r="R1444" s="224"/>
      <c r="S1444" s="224"/>
      <c r="T1444" s="224"/>
      <c r="U1444" s="259"/>
      <c r="V1444" s="239"/>
      <c r="W1444" s="239"/>
      <c r="X1444" s="239"/>
      <c r="Y1444" s="239"/>
      <c r="Z1444" s="239"/>
      <c r="AA1444" s="257"/>
      <c r="AB1444" s="224"/>
      <c r="AC1444" s="224"/>
      <c r="AD1444" s="224"/>
      <c r="AE1444" s="224"/>
      <c r="AF1444" s="224"/>
      <c r="AG1444" s="259"/>
      <c r="AH1444" s="261"/>
      <c r="AI1444" s="261"/>
      <c r="AJ1444" s="261"/>
      <c r="AK1444" s="261"/>
      <c r="AL1444" s="261"/>
      <c r="AM1444" s="262"/>
    </row>
    <row r="1445" spans="1:39" x14ac:dyDescent="0.25">
      <c r="A1445" s="215"/>
      <c r="B1445" s="215"/>
      <c r="C1445" s="215"/>
      <c r="D1445" s="239"/>
      <c r="E1445" s="239"/>
      <c r="F1445" s="239"/>
      <c r="G1445" s="239"/>
      <c r="H1445" s="239"/>
      <c r="I1445" s="257"/>
      <c r="J1445" s="240"/>
      <c r="K1445" s="240"/>
      <c r="L1445" s="240"/>
      <c r="M1445" s="240"/>
      <c r="N1445" s="240"/>
      <c r="O1445" s="258"/>
      <c r="P1445" s="224"/>
      <c r="Q1445" s="224"/>
      <c r="R1445" s="224"/>
      <c r="S1445" s="224"/>
      <c r="T1445" s="224"/>
      <c r="U1445" s="259"/>
      <c r="V1445" s="239"/>
      <c r="W1445" s="239"/>
      <c r="X1445" s="239"/>
      <c r="Y1445" s="239"/>
      <c r="Z1445" s="239"/>
      <c r="AA1445" s="257"/>
      <c r="AB1445" s="224"/>
      <c r="AC1445" s="224"/>
      <c r="AD1445" s="224"/>
      <c r="AE1445" s="224"/>
      <c r="AF1445" s="224"/>
      <c r="AG1445" s="259"/>
      <c r="AH1445" s="261"/>
      <c r="AI1445" s="261"/>
      <c r="AJ1445" s="261"/>
      <c r="AK1445" s="261"/>
      <c r="AL1445" s="261"/>
      <c r="AM1445" s="262"/>
    </row>
    <row r="1446" spans="1:39" x14ac:dyDescent="0.25">
      <c r="A1446" s="215"/>
      <c r="B1446" s="215"/>
      <c r="C1446" s="215"/>
      <c r="D1446" s="239"/>
      <c r="E1446" s="239"/>
      <c r="F1446" s="239"/>
      <c r="G1446" s="239"/>
      <c r="H1446" s="239"/>
      <c r="I1446" s="257"/>
      <c r="J1446" s="240"/>
      <c r="K1446" s="240"/>
      <c r="L1446" s="240"/>
      <c r="M1446" s="240"/>
      <c r="N1446" s="240"/>
      <c r="O1446" s="258"/>
      <c r="P1446" s="224"/>
      <c r="Q1446" s="224"/>
      <c r="R1446" s="224"/>
      <c r="S1446" s="224"/>
      <c r="T1446" s="224"/>
      <c r="U1446" s="259"/>
      <c r="V1446" s="239"/>
      <c r="W1446" s="239"/>
      <c r="X1446" s="239"/>
      <c r="Y1446" s="239"/>
      <c r="Z1446" s="239"/>
      <c r="AA1446" s="257"/>
      <c r="AB1446" s="224"/>
      <c r="AC1446" s="224"/>
      <c r="AD1446" s="224"/>
      <c r="AE1446" s="224"/>
      <c r="AF1446" s="224"/>
      <c r="AG1446" s="259"/>
      <c r="AH1446" s="261"/>
      <c r="AI1446" s="261"/>
      <c r="AJ1446" s="261"/>
      <c r="AK1446" s="261"/>
      <c r="AL1446" s="261"/>
      <c r="AM1446" s="262"/>
    </row>
    <row r="1447" spans="1:39" x14ac:dyDescent="0.25">
      <c r="A1447" s="215"/>
      <c r="B1447" s="215"/>
      <c r="C1447" s="215"/>
      <c r="D1447" s="239"/>
      <c r="E1447" s="239"/>
      <c r="F1447" s="239"/>
      <c r="G1447" s="239"/>
      <c r="H1447" s="239"/>
      <c r="I1447" s="257"/>
      <c r="J1447" s="240"/>
      <c r="K1447" s="240"/>
      <c r="L1447" s="240"/>
      <c r="M1447" s="240"/>
      <c r="N1447" s="240"/>
      <c r="O1447" s="258"/>
      <c r="P1447" s="224"/>
      <c r="Q1447" s="224"/>
      <c r="R1447" s="224"/>
      <c r="S1447" s="224"/>
      <c r="T1447" s="224"/>
      <c r="U1447" s="259"/>
      <c r="V1447" s="239"/>
      <c r="W1447" s="239"/>
      <c r="X1447" s="239"/>
      <c r="Y1447" s="239"/>
      <c r="Z1447" s="239"/>
      <c r="AA1447" s="257"/>
      <c r="AB1447" s="224"/>
      <c r="AC1447" s="224"/>
      <c r="AD1447" s="224"/>
      <c r="AE1447" s="224"/>
      <c r="AF1447" s="224"/>
      <c r="AG1447" s="259"/>
      <c r="AH1447" s="261"/>
      <c r="AI1447" s="261"/>
      <c r="AJ1447" s="261"/>
      <c r="AK1447" s="261"/>
      <c r="AL1447" s="261"/>
      <c r="AM1447" s="262"/>
    </row>
    <row r="1448" spans="1:39" x14ac:dyDescent="0.25">
      <c r="A1448" s="215"/>
      <c r="B1448" s="215"/>
      <c r="C1448" s="215"/>
      <c r="D1448" s="239"/>
      <c r="E1448" s="239"/>
      <c r="F1448" s="239"/>
      <c r="G1448" s="239"/>
      <c r="H1448" s="239"/>
      <c r="I1448" s="257"/>
      <c r="J1448" s="240"/>
      <c r="K1448" s="240"/>
      <c r="L1448" s="240"/>
      <c r="M1448" s="240"/>
      <c r="N1448" s="240"/>
      <c r="O1448" s="258"/>
      <c r="P1448" s="224"/>
      <c r="Q1448" s="224"/>
      <c r="R1448" s="224"/>
      <c r="S1448" s="224"/>
      <c r="T1448" s="224"/>
      <c r="U1448" s="259"/>
      <c r="V1448" s="239"/>
      <c r="W1448" s="239"/>
      <c r="X1448" s="239"/>
      <c r="Y1448" s="239"/>
      <c r="Z1448" s="239"/>
      <c r="AA1448" s="257"/>
      <c r="AB1448" s="224"/>
      <c r="AC1448" s="224"/>
      <c r="AD1448" s="224"/>
      <c r="AE1448" s="224"/>
      <c r="AF1448" s="224"/>
      <c r="AG1448" s="259"/>
      <c r="AH1448" s="261"/>
      <c r="AI1448" s="261"/>
      <c r="AJ1448" s="261"/>
      <c r="AK1448" s="261"/>
      <c r="AL1448" s="261"/>
      <c r="AM1448" s="262"/>
    </row>
    <row r="1449" spans="1:39" x14ac:dyDescent="0.25">
      <c r="A1449" s="215"/>
      <c r="B1449" s="215"/>
      <c r="C1449" s="215"/>
      <c r="D1449" s="239"/>
      <c r="E1449" s="239"/>
      <c r="F1449" s="239"/>
      <c r="G1449" s="239"/>
      <c r="H1449" s="239"/>
      <c r="I1449" s="257"/>
      <c r="J1449" s="240"/>
      <c r="K1449" s="240"/>
      <c r="L1449" s="240"/>
      <c r="M1449" s="240"/>
      <c r="N1449" s="240"/>
      <c r="O1449" s="258"/>
      <c r="P1449" s="224"/>
      <c r="Q1449" s="224"/>
      <c r="R1449" s="224"/>
      <c r="S1449" s="224"/>
      <c r="T1449" s="224"/>
      <c r="U1449" s="259"/>
      <c r="V1449" s="239"/>
      <c r="W1449" s="239"/>
      <c r="X1449" s="239"/>
      <c r="Y1449" s="239"/>
      <c r="Z1449" s="239"/>
      <c r="AA1449" s="257"/>
      <c r="AB1449" s="224"/>
      <c r="AC1449" s="224"/>
      <c r="AD1449" s="224"/>
      <c r="AE1449" s="224"/>
      <c r="AF1449" s="224"/>
      <c r="AG1449" s="259"/>
      <c r="AH1449" s="261"/>
      <c r="AI1449" s="261"/>
      <c r="AJ1449" s="261"/>
      <c r="AK1449" s="261"/>
      <c r="AL1449" s="261"/>
      <c r="AM1449" s="262"/>
    </row>
    <row r="1450" spans="1:39" x14ac:dyDescent="0.25">
      <c r="A1450" s="215"/>
      <c r="B1450" s="215"/>
      <c r="C1450" s="215"/>
      <c r="D1450" s="239"/>
      <c r="E1450" s="239"/>
      <c r="F1450" s="239"/>
      <c r="G1450" s="239"/>
      <c r="H1450" s="239"/>
      <c r="I1450" s="257"/>
      <c r="J1450" s="240"/>
      <c r="K1450" s="240"/>
      <c r="L1450" s="240"/>
      <c r="M1450" s="240"/>
      <c r="N1450" s="240"/>
      <c r="O1450" s="258"/>
      <c r="P1450" s="224"/>
      <c r="Q1450" s="224"/>
      <c r="R1450" s="224"/>
      <c r="S1450" s="224"/>
      <c r="T1450" s="224"/>
      <c r="U1450" s="259"/>
      <c r="V1450" s="239"/>
      <c r="W1450" s="239"/>
      <c r="X1450" s="239"/>
      <c r="Y1450" s="239"/>
      <c r="Z1450" s="239"/>
      <c r="AA1450" s="257"/>
      <c r="AB1450" s="224"/>
      <c r="AC1450" s="224"/>
      <c r="AD1450" s="224"/>
      <c r="AE1450" s="224"/>
      <c r="AF1450" s="224"/>
      <c r="AG1450" s="259"/>
      <c r="AH1450" s="261"/>
      <c r="AI1450" s="261"/>
      <c r="AJ1450" s="261"/>
      <c r="AK1450" s="261"/>
      <c r="AL1450" s="261"/>
      <c r="AM1450" s="262"/>
    </row>
    <row r="1451" spans="1:39" x14ac:dyDescent="0.25">
      <c r="A1451" s="215"/>
      <c r="B1451" s="215"/>
      <c r="C1451" s="215"/>
      <c r="D1451" s="239"/>
      <c r="E1451" s="239"/>
      <c r="F1451" s="239"/>
      <c r="G1451" s="239"/>
      <c r="H1451" s="239"/>
      <c r="I1451" s="257"/>
      <c r="J1451" s="240"/>
      <c r="K1451" s="240"/>
      <c r="L1451" s="240"/>
      <c r="M1451" s="240"/>
      <c r="N1451" s="240"/>
      <c r="O1451" s="258"/>
      <c r="P1451" s="224"/>
      <c r="Q1451" s="224"/>
      <c r="R1451" s="224"/>
      <c r="S1451" s="224"/>
      <c r="T1451" s="224"/>
      <c r="U1451" s="259"/>
      <c r="V1451" s="239"/>
      <c r="W1451" s="239"/>
      <c r="X1451" s="239"/>
      <c r="Y1451" s="239"/>
      <c r="Z1451" s="239"/>
      <c r="AA1451" s="257"/>
      <c r="AB1451" s="224"/>
      <c r="AC1451" s="224"/>
      <c r="AD1451" s="224"/>
      <c r="AE1451" s="224"/>
      <c r="AF1451" s="224"/>
      <c r="AG1451" s="259"/>
      <c r="AH1451" s="261"/>
      <c r="AI1451" s="261"/>
      <c r="AJ1451" s="261"/>
      <c r="AK1451" s="261"/>
      <c r="AL1451" s="261"/>
      <c r="AM1451" s="262"/>
    </row>
    <row r="1452" spans="1:39" x14ac:dyDescent="0.25">
      <c r="A1452" s="215"/>
      <c r="B1452" s="215"/>
      <c r="C1452" s="215"/>
      <c r="D1452" s="239"/>
      <c r="E1452" s="239"/>
      <c r="F1452" s="239"/>
      <c r="G1452" s="239"/>
      <c r="H1452" s="239"/>
      <c r="I1452" s="257"/>
      <c r="J1452" s="240"/>
      <c r="K1452" s="240"/>
      <c r="L1452" s="240"/>
      <c r="M1452" s="240"/>
      <c r="N1452" s="240"/>
      <c r="O1452" s="258"/>
      <c r="P1452" s="224"/>
      <c r="Q1452" s="224"/>
      <c r="R1452" s="224"/>
      <c r="S1452" s="224"/>
      <c r="T1452" s="224"/>
      <c r="U1452" s="259"/>
      <c r="V1452" s="239"/>
      <c r="W1452" s="239"/>
      <c r="X1452" s="239"/>
      <c r="Y1452" s="239"/>
      <c r="Z1452" s="239"/>
      <c r="AA1452" s="257"/>
      <c r="AB1452" s="224"/>
      <c r="AC1452" s="224"/>
      <c r="AD1452" s="224"/>
      <c r="AE1452" s="224"/>
      <c r="AF1452" s="224"/>
      <c r="AG1452" s="259"/>
      <c r="AH1452" s="261"/>
      <c r="AI1452" s="261"/>
      <c r="AJ1452" s="261"/>
      <c r="AK1452" s="261"/>
      <c r="AL1452" s="261"/>
      <c r="AM1452" s="262"/>
    </row>
    <row r="1453" spans="1:39" x14ac:dyDescent="0.25">
      <c r="A1453" s="215"/>
      <c r="B1453" s="215"/>
      <c r="C1453" s="215"/>
      <c r="D1453" s="239"/>
      <c r="E1453" s="239"/>
      <c r="F1453" s="239"/>
      <c r="G1453" s="239"/>
      <c r="H1453" s="239"/>
      <c r="I1453" s="257"/>
      <c r="J1453" s="240"/>
      <c r="K1453" s="240"/>
      <c r="L1453" s="240"/>
      <c r="M1453" s="240"/>
      <c r="N1453" s="240"/>
      <c r="O1453" s="258"/>
      <c r="P1453" s="224"/>
      <c r="Q1453" s="224"/>
      <c r="R1453" s="224"/>
      <c r="S1453" s="224"/>
      <c r="T1453" s="224"/>
      <c r="U1453" s="259"/>
      <c r="V1453" s="239"/>
      <c r="W1453" s="239"/>
      <c r="X1453" s="239"/>
      <c r="Y1453" s="239"/>
      <c r="Z1453" s="239"/>
      <c r="AA1453" s="257"/>
      <c r="AB1453" s="224"/>
      <c r="AC1453" s="224"/>
      <c r="AD1453" s="224"/>
      <c r="AE1453" s="224"/>
      <c r="AF1453" s="224"/>
      <c r="AG1453" s="259"/>
      <c r="AH1453" s="261"/>
      <c r="AI1453" s="261"/>
      <c r="AJ1453" s="261"/>
      <c r="AK1453" s="261"/>
      <c r="AL1453" s="261"/>
      <c r="AM1453" s="262"/>
    </row>
    <row r="1454" spans="1:39" x14ac:dyDescent="0.25">
      <c r="A1454" s="215"/>
      <c r="B1454" s="215"/>
      <c r="C1454" s="215"/>
      <c r="D1454" s="239"/>
      <c r="E1454" s="239"/>
      <c r="F1454" s="239"/>
      <c r="G1454" s="239"/>
      <c r="H1454" s="239"/>
      <c r="I1454" s="257"/>
      <c r="J1454" s="240"/>
      <c r="K1454" s="240"/>
      <c r="L1454" s="240"/>
      <c r="M1454" s="240"/>
      <c r="N1454" s="240"/>
      <c r="O1454" s="258"/>
      <c r="P1454" s="224"/>
      <c r="Q1454" s="224"/>
      <c r="R1454" s="224"/>
      <c r="S1454" s="224"/>
      <c r="T1454" s="224"/>
      <c r="U1454" s="259"/>
      <c r="V1454" s="239"/>
      <c r="W1454" s="239"/>
      <c r="X1454" s="239"/>
      <c r="Y1454" s="239"/>
      <c r="Z1454" s="239"/>
      <c r="AA1454" s="257"/>
      <c r="AB1454" s="224"/>
      <c r="AC1454" s="224"/>
      <c r="AD1454" s="224"/>
      <c r="AE1454" s="224"/>
      <c r="AF1454" s="224"/>
      <c r="AG1454" s="259"/>
      <c r="AH1454" s="261"/>
      <c r="AI1454" s="261"/>
      <c r="AJ1454" s="261"/>
      <c r="AK1454" s="261"/>
      <c r="AL1454" s="261"/>
      <c r="AM1454" s="262"/>
    </row>
    <row r="1455" spans="1:39" x14ac:dyDescent="0.25">
      <c r="A1455" s="215"/>
      <c r="B1455" s="215"/>
      <c r="C1455" s="215"/>
      <c r="D1455" s="239"/>
      <c r="E1455" s="239"/>
      <c r="F1455" s="239"/>
      <c r="G1455" s="239"/>
      <c r="H1455" s="239"/>
      <c r="I1455" s="257"/>
      <c r="J1455" s="240"/>
      <c r="K1455" s="240"/>
      <c r="L1455" s="240"/>
      <c r="M1455" s="240"/>
      <c r="N1455" s="240"/>
      <c r="O1455" s="258"/>
      <c r="P1455" s="224"/>
      <c r="Q1455" s="224"/>
      <c r="R1455" s="224"/>
      <c r="S1455" s="224"/>
      <c r="T1455" s="224"/>
      <c r="U1455" s="259"/>
      <c r="V1455" s="239"/>
      <c r="W1455" s="239"/>
      <c r="X1455" s="239"/>
      <c r="Y1455" s="239"/>
      <c r="Z1455" s="239"/>
      <c r="AA1455" s="257"/>
      <c r="AB1455" s="224"/>
      <c r="AC1455" s="224"/>
      <c r="AD1455" s="224"/>
      <c r="AE1455" s="224"/>
      <c r="AF1455" s="224"/>
      <c r="AG1455" s="259"/>
      <c r="AH1455" s="261"/>
      <c r="AI1455" s="261"/>
      <c r="AJ1455" s="261"/>
      <c r="AK1455" s="261"/>
      <c r="AL1455" s="261"/>
      <c r="AM1455" s="262"/>
    </row>
    <row r="1456" spans="1:39" x14ac:dyDescent="0.25">
      <c r="A1456" s="215"/>
      <c r="B1456" s="215"/>
      <c r="C1456" s="215"/>
      <c r="D1456" s="239"/>
      <c r="E1456" s="239"/>
      <c r="F1456" s="239"/>
      <c r="G1456" s="239"/>
      <c r="H1456" s="239"/>
      <c r="I1456" s="257"/>
      <c r="J1456" s="240"/>
      <c r="K1456" s="240"/>
      <c r="L1456" s="240"/>
      <c r="M1456" s="240"/>
      <c r="N1456" s="240"/>
      <c r="O1456" s="258"/>
      <c r="P1456" s="224"/>
      <c r="Q1456" s="224"/>
      <c r="R1456" s="224"/>
      <c r="S1456" s="224"/>
      <c r="T1456" s="224"/>
      <c r="U1456" s="259"/>
      <c r="V1456" s="239"/>
      <c r="W1456" s="239"/>
      <c r="X1456" s="239"/>
      <c r="Y1456" s="239"/>
      <c r="Z1456" s="239"/>
      <c r="AA1456" s="257"/>
      <c r="AB1456" s="224"/>
      <c r="AC1456" s="224"/>
      <c r="AD1456" s="224"/>
      <c r="AE1456" s="224"/>
      <c r="AF1456" s="224"/>
      <c r="AG1456" s="259"/>
      <c r="AH1456" s="261"/>
      <c r="AI1456" s="261"/>
      <c r="AJ1456" s="261"/>
      <c r="AK1456" s="261"/>
      <c r="AL1456" s="261"/>
      <c r="AM1456" s="262"/>
    </row>
    <row r="1457" spans="1:39" x14ac:dyDescent="0.25">
      <c r="A1457" s="215"/>
      <c r="B1457" s="215"/>
      <c r="C1457" s="215"/>
      <c r="D1457" s="239"/>
      <c r="E1457" s="239"/>
      <c r="F1457" s="239"/>
      <c r="G1457" s="239"/>
      <c r="H1457" s="239"/>
      <c r="I1457" s="257"/>
      <c r="J1457" s="240"/>
      <c r="K1457" s="240"/>
      <c r="L1457" s="240"/>
      <c r="M1457" s="240"/>
      <c r="N1457" s="240"/>
      <c r="O1457" s="258"/>
      <c r="P1457" s="224"/>
      <c r="Q1457" s="224"/>
      <c r="R1457" s="224"/>
      <c r="S1457" s="224"/>
      <c r="T1457" s="224"/>
      <c r="U1457" s="259"/>
      <c r="V1457" s="239"/>
      <c r="W1457" s="239"/>
      <c r="X1457" s="239"/>
      <c r="Y1457" s="239"/>
      <c r="Z1457" s="239"/>
      <c r="AA1457" s="257"/>
      <c r="AB1457" s="224"/>
      <c r="AC1457" s="224"/>
      <c r="AD1457" s="224"/>
      <c r="AE1457" s="224"/>
      <c r="AF1457" s="224"/>
      <c r="AG1457" s="259"/>
      <c r="AH1457" s="261"/>
      <c r="AI1457" s="261"/>
      <c r="AJ1457" s="261"/>
      <c r="AK1457" s="261"/>
      <c r="AL1457" s="261"/>
      <c r="AM1457" s="262"/>
    </row>
    <row r="1458" spans="1:39" x14ac:dyDescent="0.25">
      <c r="A1458" s="215"/>
      <c r="B1458" s="215"/>
      <c r="C1458" s="215"/>
      <c r="D1458" s="239"/>
      <c r="E1458" s="239"/>
      <c r="F1458" s="239"/>
      <c r="G1458" s="239"/>
      <c r="H1458" s="239"/>
      <c r="I1458" s="257"/>
      <c r="J1458" s="240"/>
      <c r="K1458" s="240"/>
      <c r="L1458" s="240"/>
      <c r="M1458" s="240"/>
      <c r="N1458" s="240"/>
      <c r="O1458" s="258"/>
      <c r="P1458" s="224"/>
      <c r="Q1458" s="224"/>
      <c r="R1458" s="224"/>
      <c r="S1458" s="224"/>
      <c r="T1458" s="224"/>
      <c r="U1458" s="259"/>
      <c r="V1458" s="239"/>
      <c r="W1458" s="239"/>
      <c r="X1458" s="239"/>
      <c r="Y1458" s="239"/>
      <c r="Z1458" s="239"/>
      <c r="AA1458" s="257"/>
      <c r="AB1458" s="224"/>
      <c r="AC1458" s="224"/>
      <c r="AD1458" s="224"/>
      <c r="AE1458" s="224"/>
      <c r="AF1458" s="224"/>
      <c r="AG1458" s="259"/>
      <c r="AH1458" s="261"/>
      <c r="AI1458" s="261"/>
      <c r="AJ1458" s="261"/>
      <c r="AK1458" s="261"/>
      <c r="AL1458" s="261"/>
      <c r="AM1458" s="262"/>
    </row>
    <row r="1459" spans="1:39" x14ac:dyDescent="0.25">
      <c r="A1459" s="215"/>
      <c r="B1459" s="215"/>
      <c r="C1459" s="215"/>
      <c r="D1459" s="239"/>
      <c r="E1459" s="239"/>
      <c r="F1459" s="239"/>
      <c r="G1459" s="239"/>
      <c r="H1459" s="239"/>
      <c r="I1459" s="257"/>
      <c r="J1459" s="240"/>
      <c r="K1459" s="240"/>
      <c r="L1459" s="240"/>
      <c r="M1459" s="240"/>
      <c r="N1459" s="240"/>
      <c r="O1459" s="258"/>
      <c r="P1459" s="224"/>
      <c r="Q1459" s="224"/>
      <c r="R1459" s="224"/>
      <c r="S1459" s="224"/>
      <c r="T1459" s="224"/>
      <c r="U1459" s="259"/>
      <c r="V1459" s="239"/>
      <c r="W1459" s="239"/>
      <c r="X1459" s="239"/>
      <c r="Y1459" s="239"/>
      <c r="Z1459" s="239"/>
      <c r="AA1459" s="257"/>
      <c r="AB1459" s="224"/>
      <c r="AC1459" s="224"/>
      <c r="AD1459" s="224"/>
      <c r="AE1459" s="224"/>
      <c r="AF1459" s="224"/>
      <c r="AG1459" s="259"/>
      <c r="AH1459" s="261"/>
      <c r="AI1459" s="261"/>
      <c r="AJ1459" s="261"/>
      <c r="AK1459" s="261"/>
      <c r="AL1459" s="261"/>
      <c r="AM1459" s="262"/>
    </row>
    <row r="1460" spans="1:39" x14ac:dyDescent="0.25">
      <c r="A1460" s="215"/>
      <c r="B1460" s="215"/>
      <c r="C1460" s="215"/>
      <c r="D1460" s="239"/>
      <c r="E1460" s="239"/>
      <c r="F1460" s="239"/>
      <c r="G1460" s="239"/>
      <c r="H1460" s="239"/>
      <c r="I1460" s="257"/>
      <c r="J1460" s="240"/>
      <c r="K1460" s="240"/>
      <c r="L1460" s="240"/>
      <c r="M1460" s="240"/>
      <c r="N1460" s="240"/>
      <c r="O1460" s="258"/>
      <c r="P1460" s="224"/>
      <c r="Q1460" s="224"/>
      <c r="R1460" s="224"/>
      <c r="S1460" s="224"/>
      <c r="T1460" s="224"/>
      <c r="U1460" s="259"/>
      <c r="V1460" s="239"/>
      <c r="W1460" s="239"/>
      <c r="X1460" s="239"/>
      <c r="Y1460" s="239"/>
      <c r="Z1460" s="239"/>
      <c r="AA1460" s="257"/>
      <c r="AB1460" s="224"/>
      <c r="AC1460" s="224"/>
      <c r="AD1460" s="224"/>
      <c r="AE1460" s="224"/>
      <c r="AF1460" s="224"/>
      <c r="AG1460" s="259"/>
      <c r="AH1460" s="261"/>
      <c r="AI1460" s="261"/>
      <c r="AJ1460" s="261"/>
      <c r="AK1460" s="261"/>
      <c r="AL1460" s="261"/>
      <c r="AM1460" s="262"/>
    </row>
    <row r="1461" spans="1:39" x14ac:dyDescent="0.25">
      <c r="A1461" s="215"/>
      <c r="B1461" s="215"/>
      <c r="C1461" s="215"/>
      <c r="D1461" s="239"/>
      <c r="E1461" s="239"/>
      <c r="F1461" s="239"/>
      <c r="G1461" s="239"/>
      <c r="H1461" s="239"/>
      <c r="I1461" s="257"/>
      <c r="J1461" s="240"/>
      <c r="K1461" s="240"/>
      <c r="L1461" s="240"/>
      <c r="M1461" s="240"/>
      <c r="N1461" s="240"/>
      <c r="O1461" s="258"/>
      <c r="P1461" s="224"/>
      <c r="Q1461" s="224"/>
      <c r="R1461" s="224"/>
      <c r="S1461" s="224"/>
      <c r="T1461" s="224"/>
      <c r="U1461" s="259"/>
      <c r="V1461" s="239"/>
      <c r="W1461" s="239"/>
      <c r="X1461" s="239"/>
      <c r="Y1461" s="239"/>
      <c r="Z1461" s="239"/>
      <c r="AA1461" s="257"/>
      <c r="AB1461" s="224"/>
      <c r="AC1461" s="224"/>
      <c r="AD1461" s="224"/>
      <c r="AE1461" s="224"/>
      <c r="AF1461" s="224"/>
      <c r="AG1461" s="259"/>
      <c r="AH1461" s="261"/>
      <c r="AI1461" s="261"/>
      <c r="AJ1461" s="261"/>
      <c r="AK1461" s="261"/>
      <c r="AL1461" s="261"/>
      <c r="AM1461" s="262"/>
    </row>
    <row r="1462" spans="1:39" x14ac:dyDescent="0.25">
      <c r="A1462" s="215"/>
      <c r="B1462" s="215"/>
      <c r="C1462" s="215"/>
      <c r="D1462" s="239"/>
      <c r="E1462" s="239"/>
      <c r="F1462" s="239"/>
      <c r="G1462" s="239"/>
      <c r="H1462" s="239"/>
      <c r="I1462" s="257"/>
      <c r="J1462" s="240"/>
      <c r="K1462" s="240"/>
      <c r="L1462" s="240"/>
      <c r="M1462" s="240"/>
      <c r="N1462" s="240"/>
      <c r="O1462" s="258"/>
      <c r="P1462" s="224"/>
      <c r="Q1462" s="224"/>
      <c r="R1462" s="224"/>
      <c r="S1462" s="224"/>
      <c r="T1462" s="224"/>
      <c r="U1462" s="259"/>
      <c r="V1462" s="239"/>
      <c r="W1462" s="239"/>
      <c r="X1462" s="239"/>
      <c r="Y1462" s="239"/>
      <c r="Z1462" s="239"/>
      <c r="AA1462" s="257"/>
      <c r="AB1462" s="224"/>
      <c r="AC1462" s="224"/>
      <c r="AD1462" s="224"/>
      <c r="AE1462" s="224"/>
      <c r="AF1462" s="224"/>
      <c r="AG1462" s="259"/>
      <c r="AH1462" s="261"/>
      <c r="AI1462" s="261"/>
      <c r="AJ1462" s="261"/>
      <c r="AK1462" s="261"/>
      <c r="AL1462" s="261"/>
      <c r="AM1462" s="262"/>
    </row>
    <row r="1463" spans="1:39" x14ac:dyDescent="0.25">
      <c r="A1463" s="215"/>
      <c r="B1463" s="215"/>
      <c r="C1463" s="215"/>
      <c r="D1463" s="239"/>
      <c r="E1463" s="239"/>
      <c r="F1463" s="239"/>
      <c r="G1463" s="239"/>
      <c r="H1463" s="239"/>
      <c r="I1463" s="257"/>
      <c r="J1463" s="240"/>
      <c r="K1463" s="240"/>
      <c r="L1463" s="240"/>
      <c r="M1463" s="240"/>
      <c r="N1463" s="240"/>
      <c r="O1463" s="258"/>
      <c r="P1463" s="224"/>
      <c r="Q1463" s="224"/>
      <c r="R1463" s="224"/>
      <c r="S1463" s="224"/>
      <c r="T1463" s="224"/>
      <c r="U1463" s="259"/>
      <c r="V1463" s="239"/>
      <c r="W1463" s="239"/>
      <c r="X1463" s="239"/>
      <c r="Y1463" s="239"/>
      <c r="Z1463" s="239"/>
      <c r="AA1463" s="257"/>
      <c r="AB1463" s="224"/>
      <c r="AC1463" s="224"/>
      <c r="AD1463" s="224"/>
      <c r="AE1463" s="224"/>
      <c r="AF1463" s="224"/>
      <c r="AG1463" s="259"/>
      <c r="AH1463" s="261"/>
      <c r="AI1463" s="261"/>
      <c r="AJ1463" s="261"/>
      <c r="AK1463" s="261"/>
      <c r="AL1463" s="261"/>
      <c r="AM1463" s="262"/>
    </row>
    <row r="1464" spans="1:39" x14ac:dyDescent="0.25">
      <c r="A1464" s="215"/>
      <c r="B1464" s="215"/>
      <c r="C1464" s="215"/>
      <c r="D1464" s="239"/>
      <c r="E1464" s="239"/>
      <c r="F1464" s="239"/>
      <c r="G1464" s="239"/>
      <c r="H1464" s="239"/>
      <c r="I1464" s="257"/>
      <c r="J1464" s="240"/>
      <c r="K1464" s="240"/>
      <c r="L1464" s="240"/>
      <c r="M1464" s="240"/>
      <c r="N1464" s="240"/>
      <c r="O1464" s="258"/>
      <c r="P1464" s="224"/>
      <c r="Q1464" s="224"/>
      <c r="R1464" s="224"/>
      <c r="S1464" s="224"/>
      <c r="T1464" s="224"/>
      <c r="U1464" s="259"/>
      <c r="V1464" s="239"/>
      <c r="W1464" s="239"/>
      <c r="X1464" s="239"/>
      <c r="Y1464" s="239"/>
      <c r="Z1464" s="239"/>
      <c r="AA1464" s="257"/>
      <c r="AB1464" s="224"/>
      <c r="AC1464" s="224"/>
      <c r="AD1464" s="224"/>
      <c r="AE1464" s="224"/>
      <c r="AF1464" s="224"/>
      <c r="AG1464" s="259"/>
      <c r="AH1464" s="261"/>
      <c r="AI1464" s="261"/>
      <c r="AJ1464" s="261"/>
      <c r="AK1464" s="261"/>
      <c r="AL1464" s="261"/>
      <c r="AM1464" s="262"/>
    </row>
    <row r="1465" spans="1:39" x14ac:dyDescent="0.25">
      <c r="A1465" s="215"/>
      <c r="B1465" s="215"/>
      <c r="C1465" s="215"/>
      <c r="D1465" s="239"/>
      <c r="E1465" s="239"/>
      <c r="F1465" s="239"/>
      <c r="G1465" s="239"/>
      <c r="H1465" s="239"/>
      <c r="I1465" s="257"/>
      <c r="J1465" s="240"/>
      <c r="K1465" s="240"/>
      <c r="L1465" s="240"/>
      <c r="M1465" s="240"/>
      <c r="N1465" s="240"/>
      <c r="O1465" s="258"/>
      <c r="P1465" s="224"/>
      <c r="Q1465" s="224"/>
      <c r="R1465" s="224"/>
      <c r="S1465" s="224"/>
      <c r="T1465" s="224"/>
      <c r="U1465" s="259"/>
      <c r="V1465" s="239"/>
      <c r="W1465" s="239"/>
      <c r="X1465" s="239"/>
      <c r="Y1465" s="239"/>
      <c r="Z1465" s="239"/>
      <c r="AA1465" s="257"/>
      <c r="AB1465" s="224"/>
      <c r="AC1465" s="224"/>
      <c r="AD1465" s="224"/>
      <c r="AE1465" s="224"/>
      <c r="AF1465" s="224"/>
      <c r="AG1465" s="259"/>
      <c r="AH1465" s="261"/>
      <c r="AI1465" s="261"/>
      <c r="AJ1465" s="261"/>
      <c r="AK1465" s="261"/>
      <c r="AL1465" s="261"/>
      <c r="AM1465" s="262"/>
    </row>
    <row r="1466" spans="1:39" x14ac:dyDescent="0.25">
      <c r="A1466" s="215"/>
      <c r="B1466" s="215"/>
      <c r="C1466" s="215"/>
      <c r="D1466" s="239"/>
      <c r="E1466" s="239"/>
      <c r="F1466" s="239"/>
      <c r="G1466" s="239"/>
      <c r="H1466" s="239"/>
      <c r="I1466" s="257"/>
      <c r="J1466" s="240"/>
      <c r="K1466" s="240"/>
      <c r="L1466" s="240"/>
      <c r="M1466" s="240"/>
      <c r="N1466" s="240"/>
      <c r="O1466" s="258"/>
      <c r="P1466" s="224"/>
      <c r="Q1466" s="224"/>
      <c r="R1466" s="224"/>
      <c r="S1466" s="224"/>
      <c r="T1466" s="224"/>
      <c r="U1466" s="259"/>
      <c r="V1466" s="239"/>
      <c r="W1466" s="239"/>
      <c r="X1466" s="239"/>
      <c r="Y1466" s="239"/>
      <c r="Z1466" s="239"/>
      <c r="AA1466" s="257"/>
      <c r="AB1466" s="224"/>
      <c r="AC1466" s="224"/>
      <c r="AD1466" s="224"/>
      <c r="AE1466" s="224"/>
      <c r="AF1466" s="224"/>
      <c r="AG1466" s="259"/>
      <c r="AH1466" s="261"/>
      <c r="AI1466" s="261"/>
      <c r="AJ1466" s="261"/>
      <c r="AK1466" s="261"/>
      <c r="AL1466" s="261"/>
      <c r="AM1466" s="262"/>
    </row>
    <row r="1467" spans="1:39" x14ac:dyDescent="0.25">
      <c r="A1467" s="215"/>
      <c r="B1467" s="215"/>
      <c r="C1467" s="215"/>
      <c r="D1467" s="239"/>
      <c r="E1467" s="239"/>
      <c r="F1467" s="239"/>
      <c r="G1467" s="239"/>
      <c r="H1467" s="239"/>
      <c r="I1467" s="257"/>
      <c r="J1467" s="240"/>
      <c r="K1467" s="240"/>
      <c r="L1467" s="240"/>
      <c r="M1467" s="240"/>
      <c r="N1467" s="240"/>
      <c r="O1467" s="258"/>
      <c r="P1467" s="224"/>
      <c r="Q1467" s="224"/>
      <c r="R1467" s="224"/>
      <c r="S1467" s="224"/>
      <c r="T1467" s="224"/>
      <c r="U1467" s="259"/>
      <c r="V1467" s="239"/>
      <c r="W1467" s="239"/>
      <c r="X1467" s="239"/>
      <c r="Y1467" s="239"/>
      <c r="Z1467" s="239"/>
      <c r="AA1467" s="257"/>
      <c r="AB1467" s="224"/>
      <c r="AC1467" s="224"/>
      <c r="AD1467" s="224"/>
      <c r="AE1467" s="224"/>
      <c r="AF1467" s="224"/>
      <c r="AG1467" s="259"/>
      <c r="AH1467" s="261"/>
      <c r="AI1467" s="261"/>
      <c r="AJ1467" s="261"/>
      <c r="AK1467" s="261"/>
      <c r="AL1467" s="261"/>
      <c r="AM1467" s="262"/>
    </row>
    <row r="1468" spans="1:39" x14ac:dyDescent="0.25">
      <c r="A1468" s="215"/>
      <c r="B1468" s="215"/>
      <c r="C1468" s="215"/>
      <c r="D1468" s="239"/>
      <c r="E1468" s="239"/>
      <c r="F1468" s="239"/>
      <c r="G1468" s="239"/>
      <c r="H1468" s="239"/>
      <c r="I1468" s="257"/>
      <c r="J1468" s="240"/>
      <c r="K1468" s="240"/>
      <c r="L1468" s="240"/>
      <c r="M1468" s="240"/>
      <c r="N1468" s="240"/>
      <c r="O1468" s="258"/>
      <c r="P1468" s="224"/>
      <c r="Q1468" s="224"/>
      <c r="R1468" s="224"/>
      <c r="S1468" s="224"/>
      <c r="T1468" s="224"/>
      <c r="U1468" s="259"/>
      <c r="V1468" s="239"/>
      <c r="W1468" s="239"/>
      <c r="X1468" s="239"/>
      <c r="Y1468" s="239"/>
      <c r="Z1468" s="239"/>
      <c r="AA1468" s="257"/>
      <c r="AB1468" s="224"/>
      <c r="AC1468" s="224"/>
      <c r="AD1468" s="224"/>
      <c r="AE1468" s="224"/>
      <c r="AF1468" s="224"/>
      <c r="AG1468" s="259"/>
      <c r="AH1468" s="261"/>
      <c r="AI1468" s="261"/>
      <c r="AJ1468" s="261"/>
      <c r="AK1468" s="261"/>
      <c r="AL1468" s="261"/>
      <c r="AM1468" s="262"/>
    </row>
    <row r="1469" spans="1:39" x14ac:dyDescent="0.25">
      <c r="A1469" s="215"/>
      <c r="B1469" s="215"/>
      <c r="C1469" s="215"/>
      <c r="D1469" s="239"/>
      <c r="E1469" s="239"/>
      <c r="F1469" s="239"/>
      <c r="G1469" s="239"/>
      <c r="H1469" s="239"/>
      <c r="I1469" s="257"/>
      <c r="J1469" s="240"/>
      <c r="K1469" s="240"/>
      <c r="L1469" s="240"/>
      <c r="M1469" s="240"/>
      <c r="N1469" s="240"/>
      <c r="O1469" s="258"/>
      <c r="P1469" s="224"/>
      <c r="Q1469" s="224"/>
      <c r="R1469" s="224"/>
      <c r="S1469" s="224"/>
      <c r="T1469" s="224"/>
      <c r="U1469" s="259"/>
      <c r="V1469" s="239"/>
      <c r="W1469" s="239"/>
      <c r="X1469" s="239"/>
      <c r="Y1469" s="239"/>
      <c r="Z1469" s="239"/>
      <c r="AA1469" s="257"/>
      <c r="AB1469" s="224"/>
      <c r="AC1469" s="224"/>
      <c r="AD1469" s="224"/>
      <c r="AE1469" s="224"/>
      <c r="AF1469" s="224"/>
      <c r="AG1469" s="259"/>
      <c r="AH1469" s="261"/>
      <c r="AI1469" s="261"/>
      <c r="AJ1469" s="261"/>
      <c r="AK1469" s="261"/>
      <c r="AL1469" s="261"/>
      <c r="AM1469" s="262"/>
    </row>
    <row r="1470" spans="1:39" x14ac:dyDescent="0.25">
      <c r="A1470" s="215"/>
      <c r="B1470" s="215"/>
      <c r="C1470" s="215"/>
      <c r="D1470" s="239"/>
      <c r="E1470" s="239"/>
      <c r="F1470" s="239"/>
      <c r="G1470" s="239"/>
      <c r="H1470" s="239"/>
      <c r="I1470" s="257"/>
      <c r="J1470" s="240"/>
      <c r="K1470" s="240"/>
      <c r="L1470" s="240"/>
      <c r="M1470" s="240"/>
      <c r="N1470" s="240"/>
      <c r="O1470" s="258"/>
      <c r="P1470" s="224"/>
      <c r="Q1470" s="224"/>
      <c r="R1470" s="224"/>
      <c r="S1470" s="224"/>
      <c r="T1470" s="224"/>
      <c r="U1470" s="259"/>
      <c r="V1470" s="239"/>
      <c r="W1470" s="239"/>
      <c r="X1470" s="239"/>
      <c r="Y1470" s="239"/>
      <c r="Z1470" s="239"/>
      <c r="AA1470" s="257"/>
      <c r="AB1470" s="224"/>
      <c r="AC1470" s="224"/>
      <c r="AD1470" s="224"/>
      <c r="AE1470" s="224"/>
      <c r="AF1470" s="224"/>
      <c r="AG1470" s="259"/>
      <c r="AH1470" s="261"/>
      <c r="AI1470" s="261"/>
      <c r="AJ1470" s="261"/>
      <c r="AK1470" s="261"/>
      <c r="AL1470" s="261"/>
      <c r="AM1470" s="262"/>
    </row>
    <row r="1471" spans="1:39" x14ac:dyDescent="0.25">
      <c r="A1471" s="215"/>
      <c r="B1471" s="215"/>
      <c r="C1471" s="215"/>
      <c r="D1471" s="239"/>
      <c r="E1471" s="239"/>
      <c r="F1471" s="239"/>
      <c r="G1471" s="239"/>
      <c r="H1471" s="239"/>
      <c r="I1471" s="257"/>
      <c r="J1471" s="240"/>
      <c r="K1471" s="240"/>
      <c r="L1471" s="240"/>
      <c r="M1471" s="240"/>
      <c r="N1471" s="240"/>
      <c r="O1471" s="258"/>
      <c r="P1471" s="224"/>
      <c r="Q1471" s="224"/>
      <c r="R1471" s="224"/>
      <c r="S1471" s="224"/>
      <c r="T1471" s="224"/>
      <c r="U1471" s="259"/>
      <c r="V1471" s="239"/>
      <c r="W1471" s="239"/>
      <c r="X1471" s="239"/>
      <c r="Y1471" s="239"/>
      <c r="Z1471" s="239"/>
      <c r="AA1471" s="257"/>
      <c r="AB1471" s="224"/>
      <c r="AC1471" s="224"/>
      <c r="AD1471" s="224"/>
      <c r="AE1471" s="224"/>
      <c r="AF1471" s="224"/>
      <c r="AG1471" s="259"/>
      <c r="AH1471" s="261"/>
      <c r="AI1471" s="261"/>
      <c r="AJ1471" s="261"/>
      <c r="AK1471" s="261"/>
      <c r="AL1471" s="261"/>
      <c r="AM1471" s="262"/>
    </row>
    <row r="1472" spans="1:39" x14ac:dyDescent="0.25">
      <c r="A1472" s="215"/>
      <c r="B1472" s="215"/>
      <c r="C1472" s="215"/>
      <c r="D1472" s="239"/>
      <c r="E1472" s="239"/>
      <c r="F1472" s="239"/>
      <c r="G1472" s="239"/>
      <c r="H1472" s="239"/>
      <c r="I1472" s="257"/>
      <c r="J1472" s="240"/>
      <c r="K1472" s="240"/>
      <c r="L1472" s="240"/>
      <c r="M1472" s="240"/>
      <c r="N1472" s="240"/>
      <c r="O1472" s="258"/>
      <c r="P1472" s="224"/>
      <c r="Q1472" s="224"/>
      <c r="R1472" s="224"/>
      <c r="S1472" s="224"/>
      <c r="T1472" s="224"/>
      <c r="U1472" s="259"/>
      <c r="V1472" s="239"/>
      <c r="W1472" s="239"/>
      <c r="X1472" s="239"/>
      <c r="Y1472" s="239"/>
      <c r="Z1472" s="239"/>
      <c r="AA1472" s="257"/>
      <c r="AB1472" s="224"/>
      <c r="AC1472" s="224"/>
      <c r="AD1472" s="224"/>
      <c r="AE1472" s="224"/>
      <c r="AF1472" s="224"/>
      <c r="AG1472" s="259"/>
      <c r="AH1472" s="261"/>
      <c r="AI1472" s="261"/>
      <c r="AJ1472" s="261"/>
      <c r="AK1472" s="261"/>
      <c r="AL1472" s="261"/>
      <c r="AM1472" s="262"/>
    </row>
    <row r="1473" spans="1:39" x14ac:dyDescent="0.25">
      <c r="A1473" s="215"/>
      <c r="B1473" s="215"/>
      <c r="C1473" s="215"/>
      <c r="D1473" s="239"/>
      <c r="E1473" s="239"/>
      <c r="F1473" s="239"/>
      <c r="G1473" s="239"/>
      <c r="H1473" s="239"/>
      <c r="I1473" s="257"/>
      <c r="J1473" s="240"/>
      <c r="K1473" s="240"/>
      <c r="L1473" s="240"/>
      <c r="M1473" s="240"/>
      <c r="N1473" s="240"/>
      <c r="O1473" s="258"/>
      <c r="P1473" s="224"/>
      <c r="Q1473" s="224"/>
      <c r="R1473" s="224"/>
      <c r="S1473" s="224"/>
      <c r="T1473" s="224"/>
      <c r="U1473" s="259"/>
      <c r="V1473" s="239"/>
      <c r="W1473" s="239"/>
      <c r="X1473" s="239"/>
      <c r="Y1473" s="239"/>
      <c r="Z1473" s="239"/>
      <c r="AA1473" s="257"/>
      <c r="AB1473" s="224"/>
      <c r="AC1473" s="224"/>
      <c r="AD1473" s="224"/>
      <c r="AE1473" s="224"/>
      <c r="AF1473" s="224"/>
      <c r="AG1473" s="259"/>
      <c r="AH1473" s="261"/>
      <c r="AI1473" s="261"/>
      <c r="AJ1473" s="261"/>
      <c r="AK1473" s="261"/>
      <c r="AL1473" s="261"/>
      <c r="AM1473" s="262"/>
    </row>
    <row r="1474" spans="1:39" x14ac:dyDescent="0.25">
      <c r="A1474" s="215"/>
      <c r="B1474" s="215"/>
      <c r="C1474" s="215"/>
      <c r="D1474" s="239"/>
      <c r="E1474" s="239"/>
      <c r="F1474" s="239"/>
      <c r="G1474" s="239"/>
      <c r="H1474" s="239"/>
      <c r="I1474" s="257"/>
      <c r="J1474" s="240"/>
      <c r="K1474" s="240"/>
      <c r="L1474" s="240"/>
      <c r="M1474" s="240"/>
      <c r="N1474" s="240"/>
      <c r="O1474" s="258"/>
      <c r="P1474" s="224"/>
      <c r="Q1474" s="224"/>
      <c r="R1474" s="224"/>
      <c r="S1474" s="224"/>
      <c r="T1474" s="224"/>
      <c r="U1474" s="259"/>
      <c r="V1474" s="239"/>
      <c r="W1474" s="239"/>
      <c r="X1474" s="239"/>
      <c r="Y1474" s="239"/>
      <c r="Z1474" s="239"/>
      <c r="AA1474" s="257"/>
      <c r="AB1474" s="224"/>
      <c r="AC1474" s="224"/>
      <c r="AD1474" s="224"/>
      <c r="AE1474" s="224"/>
      <c r="AF1474" s="224"/>
      <c r="AG1474" s="259"/>
      <c r="AH1474" s="261"/>
      <c r="AI1474" s="261"/>
      <c r="AJ1474" s="261"/>
      <c r="AK1474" s="261"/>
      <c r="AL1474" s="261"/>
      <c r="AM1474" s="262"/>
    </row>
    <row r="1475" spans="1:39" x14ac:dyDescent="0.25">
      <c r="A1475" s="215"/>
      <c r="B1475" s="215"/>
      <c r="C1475" s="215"/>
      <c r="D1475" s="239"/>
      <c r="E1475" s="239"/>
      <c r="F1475" s="239"/>
      <c r="G1475" s="239"/>
      <c r="H1475" s="239"/>
      <c r="I1475" s="257"/>
      <c r="J1475" s="240"/>
      <c r="K1475" s="240"/>
      <c r="L1475" s="240"/>
      <c r="M1475" s="240"/>
      <c r="N1475" s="240"/>
      <c r="O1475" s="258"/>
      <c r="P1475" s="224"/>
      <c r="Q1475" s="224"/>
      <c r="R1475" s="224"/>
      <c r="S1475" s="224"/>
      <c r="T1475" s="224"/>
      <c r="U1475" s="259"/>
      <c r="V1475" s="239"/>
      <c r="W1475" s="239"/>
      <c r="X1475" s="239"/>
      <c r="Y1475" s="239"/>
      <c r="Z1475" s="239"/>
      <c r="AA1475" s="257"/>
      <c r="AB1475" s="224"/>
      <c r="AC1475" s="224"/>
      <c r="AD1475" s="224"/>
      <c r="AE1475" s="224"/>
      <c r="AF1475" s="224"/>
      <c r="AG1475" s="259"/>
      <c r="AH1475" s="261"/>
      <c r="AI1475" s="261"/>
      <c r="AJ1475" s="261"/>
      <c r="AK1475" s="261"/>
      <c r="AL1475" s="261"/>
      <c r="AM1475" s="262"/>
    </row>
    <row r="1476" spans="1:39" x14ac:dyDescent="0.25">
      <c r="A1476" s="215"/>
      <c r="B1476" s="215"/>
      <c r="C1476" s="215"/>
      <c r="D1476" s="239"/>
      <c r="E1476" s="239"/>
      <c r="F1476" s="239"/>
      <c r="G1476" s="239"/>
      <c r="H1476" s="239"/>
      <c r="I1476" s="257"/>
      <c r="J1476" s="240"/>
      <c r="K1476" s="240"/>
      <c r="L1476" s="240"/>
      <c r="M1476" s="240"/>
      <c r="N1476" s="240"/>
      <c r="O1476" s="258"/>
      <c r="P1476" s="224"/>
      <c r="Q1476" s="224"/>
      <c r="R1476" s="224"/>
      <c r="S1476" s="224"/>
      <c r="T1476" s="224"/>
      <c r="U1476" s="259"/>
      <c r="V1476" s="239"/>
      <c r="W1476" s="239"/>
      <c r="X1476" s="239"/>
      <c r="Y1476" s="239"/>
      <c r="Z1476" s="239"/>
      <c r="AA1476" s="257"/>
      <c r="AB1476" s="224"/>
      <c r="AC1476" s="224"/>
      <c r="AD1476" s="224"/>
      <c r="AE1476" s="224"/>
      <c r="AF1476" s="224"/>
      <c r="AG1476" s="259"/>
      <c r="AH1476" s="261"/>
      <c r="AI1476" s="261"/>
      <c r="AJ1476" s="261"/>
      <c r="AK1476" s="261"/>
      <c r="AL1476" s="261"/>
      <c r="AM1476" s="262"/>
    </row>
    <row r="1477" spans="1:39" x14ac:dyDescent="0.25">
      <c r="A1477" s="215"/>
      <c r="B1477" s="215"/>
      <c r="C1477" s="215"/>
      <c r="D1477" s="239"/>
      <c r="E1477" s="239"/>
      <c r="F1477" s="239"/>
      <c r="G1477" s="239"/>
      <c r="H1477" s="239"/>
      <c r="I1477" s="257"/>
      <c r="J1477" s="240"/>
      <c r="K1477" s="240"/>
      <c r="L1477" s="240"/>
      <c r="M1477" s="240"/>
      <c r="N1477" s="240"/>
      <c r="O1477" s="258"/>
      <c r="P1477" s="224"/>
      <c r="Q1477" s="224"/>
      <c r="R1477" s="224"/>
      <c r="S1477" s="224"/>
      <c r="T1477" s="224"/>
      <c r="U1477" s="259"/>
      <c r="V1477" s="239"/>
      <c r="W1477" s="239"/>
      <c r="X1477" s="239"/>
      <c r="Y1477" s="239"/>
      <c r="Z1477" s="239"/>
      <c r="AA1477" s="257"/>
      <c r="AB1477" s="224"/>
      <c r="AC1477" s="224"/>
      <c r="AD1477" s="224"/>
      <c r="AE1477" s="224"/>
      <c r="AF1477" s="224"/>
      <c r="AG1477" s="259"/>
      <c r="AH1477" s="261"/>
      <c r="AI1477" s="261"/>
      <c r="AJ1477" s="261"/>
      <c r="AK1477" s="261"/>
      <c r="AL1477" s="261"/>
      <c r="AM1477" s="262"/>
    </row>
    <row r="1478" spans="1:39" x14ac:dyDescent="0.25">
      <c r="A1478" s="215"/>
      <c r="B1478" s="215"/>
      <c r="C1478" s="215"/>
      <c r="D1478" s="239"/>
      <c r="E1478" s="239"/>
      <c r="F1478" s="239"/>
      <c r="G1478" s="239"/>
      <c r="H1478" s="239"/>
      <c r="I1478" s="257"/>
      <c r="J1478" s="240"/>
      <c r="K1478" s="240"/>
      <c r="L1478" s="240"/>
      <c r="M1478" s="240"/>
      <c r="N1478" s="240"/>
      <c r="O1478" s="258"/>
      <c r="P1478" s="224"/>
      <c r="Q1478" s="224"/>
      <c r="R1478" s="224"/>
      <c r="S1478" s="224"/>
      <c r="T1478" s="224"/>
      <c r="U1478" s="259"/>
      <c r="V1478" s="239"/>
      <c r="W1478" s="239"/>
      <c r="X1478" s="239"/>
      <c r="Y1478" s="239"/>
      <c r="Z1478" s="239"/>
      <c r="AA1478" s="257"/>
      <c r="AB1478" s="224"/>
      <c r="AC1478" s="224"/>
      <c r="AD1478" s="224"/>
      <c r="AE1478" s="224"/>
      <c r="AF1478" s="224"/>
      <c r="AG1478" s="259"/>
      <c r="AH1478" s="261"/>
      <c r="AI1478" s="261"/>
      <c r="AJ1478" s="261"/>
      <c r="AK1478" s="261"/>
      <c r="AL1478" s="261"/>
      <c r="AM1478" s="262"/>
    </row>
    <row r="1479" spans="1:39" x14ac:dyDescent="0.25">
      <c r="A1479" s="215"/>
      <c r="B1479" s="215"/>
      <c r="C1479" s="215"/>
      <c r="D1479" s="239"/>
      <c r="E1479" s="239"/>
      <c r="F1479" s="239"/>
      <c r="G1479" s="239"/>
      <c r="H1479" s="239"/>
      <c r="I1479" s="257"/>
      <c r="J1479" s="240"/>
      <c r="K1479" s="240"/>
      <c r="L1479" s="240"/>
      <c r="M1479" s="240"/>
      <c r="N1479" s="240"/>
      <c r="O1479" s="258"/>
      <c r="P1479" s="224"/>
      <c r="Q1479" s="224"/>
      <c r="R1479" s="224"/>
      <c r="S1479" s="224"/>
      <c r="T1479" s="224"/>
      <c r="U1479" s="259"/>
      <c r="V1479" s="239"/>
      <c r="W1479" s="239"/>
      <c r="X1479" s="239"/>
      <c r="Y1479" s="239"/>
      <c r="Z1479" s="239"/>
      <c r="AA1479" s="257"/>
      <c r="AB1479" s="224"/>
      <c r="AC1479" s="224"/>
      <c r="AD1479" s="224"/>
      <c r="AE1479" s="224"/>
      <c r="AF1479" s="224"/>
      <c r="AG1479" s="259"/>
      <c r="AH1479" s="261"/>
      <c r="AI1479" s="261"/>
      <c r="AJ1479" s="261"/>
      <c r="AK1479" s="261"/>
      <c r="AL1479" s="261"/>
      <c r="AM1479" s="262"/>
    </row>
    <row r="1480" spans="1:39" x14ac:dyDescent="0.25">
      <c r="A1480" s="215"/>
      <c r="B1480" s="215"/>
      <c r="C1480" s="215"/>
      <c r="D1480" s="239"/>
      <c r="E1480" s="239"/>
      <c r="F1480" s="239"/>
      <c r="G1480" s="239"/>
      <c r="H1480" s="239"/>
      <c r="I1480" s="257"/>
      <c r="J1480" s="240"/>
      <c r="K1480" s="240"/>
      <c r="L1480" s="240"/>
      <c r="M1480" s="240"/>
      <c r="N1480" s="240"/>
      <c r="O1480" s="258"/>
      <c r="P1480" s="224"/>
      <c r="Q1480" s="224"/>
      <c r="R1480" s="224"/>
      <c r="S1480" s="224"/>
      <c r="T1480" s="224"/>
      <c r="U1480" s="259"/>
      <c r="V1480" s="239"/>
      <c r="W1480" s="239"/>
      <c r="X1480" s="239"/>
      <c r="Y1480" s="239"/>
      <c r="Z1480" s="239"/>
      <c r="AA1480" s="257"/>
      <c r="AB1480" s="224"/>
      <c r="AC1480" s="224"/>
      <c r="AD1480" s="224"/>
      <c r="AE1480" s="224"/>
      <c r="AF1480" s="224"/>
      <c r="AG1480" s="259"/>
      <c r="AH1480" s="261"/>
      <c r="AI1480" s="261"/>
      <c r="AJ1480" s="261"/>
      <c r="AK1480" s="261"/>
      <c r="AL1480" s="261"/>
      <c r="AM1480" s="262"/>
    </row>
    <row r="1481" spans="1:39" x14ac:dyDescent="0.25">
      <c r="A1481" s="215"/>
      <c r="B1481" s="215"/>
      <c r="C1481" s="215"/>
      <c r="D1481" s="239"/>
      <c r="E1481" s="239"/>
      <c r="F1481" s="239"/>
      <c r="G1481" s="239"/>
      <c r="H1481" s="239"/>
      <c r="I1481" s="257"/>
      <c r="J1481" s="240"/>
      <c r="K1481" s="240"/>
      <c r="L1481" s="240"/>
      <c r="M1481" s="240"/>
      <c r="N1481" s="240"/>
      <c r="O1481" s="258"/>
      <c r="P1481" s="224"/>
      <c r="Q1481" s="224"/>
      <c r="R1481" s="224"/>
      <c r="S1481" s="224"/>
      <c r="T1481" s="224"/>
      <c r="U1481" s="259"/>
      <c r="V1481" s="239"/>
      <c r="W1481" s="239"/>
      <c r="X1481" s="239"/>
      <c r="Y1481" s="239"/>
      <c r="Z1481" s="239"/>
      <c r="AA1481" s="257"/>
      <c r="AB1481" s="224"/>
      <c r="AC1481" s="224"/>
      <c r="AD1481" s="224"/>
      <c r="AE1481" s="224"/>
      <c r="AF1481" s="224"/>
      <c r="AG1481" s="259"/>
      <c r="AH1481" s="261"/>
      <c r="AI1481" s="261"/>
      <c r="AJ1481" s="261"/>
      <c r="AK1481" s="261"/>
      <c r="AL1481" s="261"/>
      <c r="AM1481" s="262"/>
    </row>
    <row r="1482" spans="1:39" x14ac:dyDescent="0.25">
      <c r="A1482" s="215"/>
      <c r="B1482" s="215"/>
      <c r="C1482" s="215"/>
      <c r="D1482" s="239"/>
      <c r="E1482" s="239"/>
      <c r="F1482" s="239"/>
      <c r="G1482" s="239"/>
      <c r="H1482" s="239"/>
      <c r="I1482" s="257"/>
      <c r="J1482" s="240"/>
      <c r="K1482" s="240"/>
      <c r="L1482" s="240"/>
      <c r="M1482" s="240"/>
      <c r="N1482" s="240"/>
      <c r="O1482" s="258"/>
      <c r="P1482" s="224"/>
      <c r="Q1482" s="224"/>
      <c r="R1482" s="224"/>
      <c r="S1482" s="224"/>
      <c r="T1482" s="224"/>
      <c r="U1482" s="259"/>
      <c r="V1482" s="239"/>
      <c r="W1482" s="239"/>
      <c r="X1482" s="239"/>
      <c r="Y1482" s="239"/>
      <c r="Z1482" s="239"/>
      <c r="AA1482" s="257"/>
      <c r="AB1482" s="224"/>
      <c r="AC1482" s="224"/>
      <c r="AD1482" s="224"/>
      <c r="AE1482" s="224"/>
      <c r="AF1482" s="224"/>
      <c r="AG1482" s="259"/>
      <c r="AH1482" s="261"/>
      <c r="AI1482" s="261"/>
      <c r="AJ1482" s="261"/>
      <c r="AK1482" s="261"/>
      <c r="AL1482" s="261"/>
      <c r="AM1482" s="262"/>
    </row>
    <row r="1483" spans="1:39" x14ac:dyDescent="0.25">
      <c r="A1483" s="215"/>
      <c r="B1483" s="215"/>
      <c r="C1483" s="215"/>
      <c r="D1483" s="239"/>
      <c r="E1483" s="239"/>
      <c r="F1483" s="239"/>
      <c r="G1483" s="239"/>
      <c r="H1483" s="239"/>
      <c r="I1483" s="257"/>
      <c r="J1483" s="240"/>
      <c r="K1483" s="240"/>
      <c r="L1483" s="240"/>
      <c r="M1483" s="240"/>
      <c r="N1483" s="240"/>
      <c r="O1483" s="258"/>
      <c r="P1483" s="224"/>
      <c r="Q1483" s="224"/>
      <c r="R1483" s="224"/>
      <c r="S1483" s="224"/>
      <c r="T1483" s="224"/>
      <c r="U1483" s="259"/>
      <c r="V1483" s="239"/>
      <c r="W1483" s="239"/>
      <c r="X1483" s="239"/>
      <c r="Y1483" s="239"/>
      <c r="Z1483" s="239"/>
      <c r="AA1483" s="257"/>
      <c r="AB1483" s="224"/>
      <c r="AC1483" s="224"/>
      <c r="AD1483" s="224"/>
      <c r="AE1483" s="224"/>
      <c r="AF1483" s="224"/>
      <c r="AG1483" s="259"/>
      <c r="AH1483" s="261"/>
      <c r="AI1483" s="261"/>
      <c r="AJ1483" s="261"/>
      <c r="AK1483" s="261"/>
      <c r="AL1483" s="261"/>
      <c r="AM1483" s="262"/>
    </row>
    <row r="1484" spans="1:39" x14ac:dyDescent="0.25">
      <c r="A1484" s="215"/>
      <c r="B1484" s="215"/>
      <c r="C1484" s="215"/>
      <c r="D1484" s="239"/>
      <c r="E1484" s="239"/>
      <c r="F1484" s="239"/>
      <c r="G1484" s="239"/>
      <c r="H1484" s="239"/>
      <c r="I1484" s="257"/>
      <c r="J1484" s="240"/>
      <c r="K1484" s="240"/>
      <c r="L1484" s="240"/>
      <c r="M1484" s="240"/>
      <c r="N1484" s="240"/>
      <c r="O1484" s="258"/>
      <c r="P1484" s="224"/>
      <c r="Q1484" s="224"/>
      <c r="R1484" s="224"/>
      <c r="S1484" s="224"/>
      <c r="T1484" s="224"/>
      <c r="U1484" s="259"/>
      <c r="V1484" s="239"/>
      <c r="W1484" s="239"/>
      <c r="X1484" s="239"/>
      <c r="Y1484" s="239"/>
      <c r="Z1484" s="239"/>
      <c r="AA1484" s="257"/>
      <c r="AB1484" s="224"/>
      <c r="AC1484" s="224"/>
      <c r="AD1484" s="224"/>
      <c r="AE1484" s="224"/>
      <c r="AF1484" s="224"/>
      <c r="AG1484" s="259"/>
      <c r="AH1484" s="261"/>
      <c r="AI1484" s="261"/>
      <c r="AJ1484" s="261"/>
      <c r="AK1484" s="261"/>
      <c r="AL1484" s="261"/>
      <c r="AM1484" s="262"/>
    </row>
    <row r="1485" spans="1:39" x14ac:dyDescent="0.25">
      <c r="A1485" s="215"/>
      <c r="B1485" s="215"/>
      <c r="C1485" s="215"/>
      <c r="D1485" s="239"/>
      <c r="E1485" s="239"/>
      <c r="F1485" s="239"/>
      <c r="G1485" s="239"/>
      <c r="H1485" s="239"/>
      <c r="I1485" s="257"/>
      <c r="J1485" s="240"/>
      <c r="K1485" s="240"/>
      <c r="L1485" s="240"/>
      <c r="M1485" s="240"/>
      <c r="N1485" s="240"/>
      <c r="O1485" s="258"/>
      <c r="P1485" s="224"/>
      <c r="Q1485" s="224"/>
      <c r="R1485" s="224"/>
      <c r="S1485" s="224"/>
      <c r="T1485" s="224"/>
      <c r="U1485" s="259"/>
      <c r="V1485" s="239"/>
      <c r="W1485" s="239"/>
      <c r="X1485" s="239"/>
      <c r="Y1485" s="239"/>
      <c r="Z1485" s="239"/>
      <c r="AA1485" s="257"/>
      <c r="AB1485" s="224"/>
      <c r="AC1485" s="224"/>
      <c r="AD1485" s="224"/>
      <c r="AE1485" s="224"/>
      <c r="AF1485" s="224"/>
      <c r="AG1485" s="259"/>
      <c r="AH1485" s="261"/>
      <c r="AI1485" s="261"/>
      <c r="AJ1485" s="261"/>
      <c r="AK1485" s="261"/>
      <c r="AL1485" s="261"/>
      <c r="AM1485" s="262"/>
    </row>
    <row r="1486" spans="1:39" x14ac:dyDescent="0.25">
      <c r="A1486" s="215"/>
      <c r="B1486" s="215"/>
      <c r="C1486" s="215"/>
      <c r="D1486" s="239"/>
      <c r="E1486" s="239"/>
      <c r="F1486" s="239"/>
      <c r="G1486" s="239"/>
      <c r="H1486" s="239"/>
      <c r="I1486" s="257"/>
      <c r="J1486" s="240"/>
      <c r="K1486" s="240"/>
      <c r="L1486" s="240"/>
      <c r="M1486" s="240"/>
      <c r="N1486" s="240"/>
      <c r="O1486" s="258"/>
      <c r="P1486" s="224"/>
      <c r="Q1486" s="224"/>
      <c r="R1486" s="224"/>
      <c r="S1486" s="224"/>
      <c r="T1486" s="224"/>
      <c r="U1486" s="259"/>
      <c r="V1486" s="239"/>
      <c r="W1486" s="239"/>
      <c r="X1486" s="239"/>
      <c r="Y1486" s="239"/>
      <c r="Z1486" s="239"/>
      <c r="AA1486" s="257"/>
      <c r="AB1486" s="224"/>
      <c r="AC1486" s="224"/>
      <c r="AD1486" s="224"/>
      <c r="AE1486" s="224"/>
      <c r="AF1486" s="224"/>
      <c r="AG1486" s="259"/>
      <c r="AH1486" s="261"/>
      <c r="AI1486" s="261"/>
      <c r="AJ1486" s="261"/>
      <c r="AK1486" s="261"/>
      <c r="AL1486" s="261"/>
      <c r="AM1486" s="262"/>
    </row>
    <row r="1487" spans="1:39" x14ac:dyDescent="0.25">
      <c r="A1487" s="215"/>
      <c r="B1487" s="215"/>
      <c r="C1487" s="215"/>
      <c r="D1487" s="239"/>
      <c r="E1487" s="239"/>
      <c r="F1487" s="239"/>
      <c r="G1487" s="239"/>
      <c r="H1487" s="239"/>
      <c r="I1487" s="257"/>
      <c r="J1487" s="240"/>
      <c r="K1487" s="240"/>
      <c r="L1487" s="240"/>
      <c r="M1487" s="240"/>
      <c r="N1487" s="240"/>
      <c r="O1487" s="258"/>
      <c r="P1487" s="224"/>
      <c r="Q1487" s="224"/>
      <c r="R1487" s="224"/>
      <c r="S1487" s="224"/>
      <c r="T1487" s="224"/>
      <c r="U1487" s="259"/>
      <c r="V1487" s="239"/>
      <c r="W1487" s="239"/>
      <c r="X1487" s="239"/>
      <c r="Y1487" s="239"/>
      <c r="Z1487" s="239"/>
      <c r="AA1487" s="257"/>
      <c r="AB1487" s="224"/>
      <c r="AC1487" s="224"/>
      <c r="AD1487" s="224"/>
      <c r="AE1487" s="224"/>
      <c r="AF1487" s="224"/>
      <c r="AG1487" s="259"/>
      <c r="AH1487" s="261"/>
      <c r="AI1487" s="261"/>
      <c r="AJ1487" s="261"/>
      <c r="AK1487" s="261"/>
      <c r="AL1487" s="261"/>
      <c r="AM1487" s="262"/>
    </row>
    <row r="1488" spans="1:39" x14ac:dyDescent="0.25">
      <c r="A1488" s="215"/>
      <c r="B1488" s="215"/>
      <c r="C1488" s="215"/>
      <c r="D1488" s="239"/>
      <c r="E1488" s="239"/>
      <c r="F1488" s="239"/>
      <c r="G1488" s="239"/>
      <c r="H1488" s="239"/>
      <c r="I1488" s="257"/>
      <c r="J1488" s="240"/>
      <c r="K1488" s="240"/>
      <c r="L1488" s="240"/>
      <c r="M1488" s="240"/>
      <c r="N1488" s="240"/>
      <c r="O1488" s="258"/>
      <c r="P1488" s="224"/>
      <c r="Q1488" s="224"/>
      <c r="R1488" s="224"/>
      <c r="S1488" s="224"/>
      <c r="T1488" s="224"/>
      <c r="U1488" s="259"/>
      <c r="V1488" s="239"/>
      <c r="W1488" s="239"/>
      <c r="X1488" s="239"/>
      <c r="Y1488" s="239"/>
      <c r="Z1488" s="239"/>
      <c r="AA1488" s="257"/>
      <c r="AB1488" s="224"/>
      <c r="AC1488" s="224"/>
      <c r="AD1488" s="224"/>
      <c r="AE1488" s="224"/>
      <c r="AF1488" s="224"/>
      <c r="AG1488" s="259"/>
      <c r="AH1488" s="261"/>
      <c r="AI1488" s="261"/>
      <c r="AJ1488" s="261"/>
      <c r="AK1488" s="261"/>
      <c r="AL1488" s="261"/>
      <c r="AM1488" s="262"/>
    </row>
    <row r="1489" spans="1:39" x14ac:dyDescent="0.25">
      <c r="A1489" s="215"/>
      <c r="B1489" s="215"/>
      <c r="C1489" s="215"/>
      <c r="D1489" s="239"/>
      <c r="E1489" s="239"/>
      <c r="F1489" s="239"/>
      <c r="G1489" s="239"/>
      <c r="H1489" s="239"/>
      <c r="I1489" s="257"/>
      <c r="J1489" s="240"/>
      <c r="K1489" s="240"/>
      <c r="L1489" s="240"/>
      <c r="M1489" s="240"/>
      <c r="N1489" s="240"/>
      <c r="O1489" s="258"/>
      <c r="P1489" s="224"/>
      <c r="Q1489" s="224"/>
      <c r="R1489" s="224"/>
      <c r="S1489" s="224"/>
      <c r="T1489" s="224"/>
      <c r="U1489" s="259"/>
      <c r="V1489" s="239"/>
      <c r="W1489" s="239"/>
      <c r="X1489" s="239"/>
      <c r="Y1489" s="239"/>
      <c r="Z1489" s="239"/>
      <c r="AA1489" s="257"/>
      <c r="AB1489" s="224"/>
      <c r="AC1489" s="224"/>
      <c r="AD1489" s="224"/>
      <c r="AE1489" s="224"/>
      <c r="AF1489" s="224"/>
      <c r="AG1489" s="259"/>
      <c r="AH1489" s="261"/>
      <c r="AI1489" s="261"/>
      <c r="AJ1489" s="261"/>
      <c r="AK1489" s="261"/>
      <c r="AL1489" s="261"/>
      <c r="AM1489" s="262"/>
    </row>
    <row r="1490" spans="1:39" x14ac:dyDescent="0.25">
      <c r="A1490" s="215"/>
      <c r="B1490" s="215"/>
      <c r="C1490" s="215"/>
      <c r="D1490" s="239"/>
      <c r="E1490" s="239"/>
      <c r="F1490" s="239"/>
      <c r="G1490" s="239"/>
      <c r="H1490" s="239"/>
      <c r="I1490" s="257"/>
      <c r="J1490" s="240"/>
      <c r="K1490" s="240"/>
      <c r="L1490" s="240"/>
      <c r="M1490" s="240"/>
      <c r="N1490" s="240"/>
      <c r="O1490" s="258"/>
      <c r="P1490" s="224"/>
      <c r="Q1490" s="224"/>
      <c r="R1490" s="224"/>
      <c r="S1490" s="224"/>
      <c r="T1490" s="224"/>
      <c r="U1490" s="259"/>
      <c r="V1490" s="239"/>
      <c r="W1490" s="239"/>
      <c r="X1490" s="239"/>
      <c r="Y1490" s="239"/>
      <c r="Z1490" s="239"/>
      <c r="AA1490" s="257"/>
      <c r="AB1490" s="224"/>
      <c r="AC1490" s="224"/>
      <c r="AD1490" s="224"/>
      <c r="AE1490" s="224"/>
      <c r="AF1490" s="224"/>
      <c r="AG1490" s="259"/>
      <c r="AH1490" s="261"/>
      <c r="AI1490" s="261"/>
      <c r="AJ1490" s="261"/>
      <c r="AK1490" s="261"/>
      <c r="AL1490" s="261"/>
      <c r="AM1490" s="262"/>
    </row>
    <row r="1491" spans="1:39" x14ac:dyDescent="0.25">
      <c r="A1491" s="215"/>
      <c r="B1491" s="215"/>
      <c r="C1491" s="215"/>
      <c r="D1491" s="239"/>
      <c r="E1491" s="239"/>
      <c r="F1491" s="239"/>
      <c r="G1491" s="239"/>
      <c r="H1491" s="239"/>
      <c r="I1491" s="257"/>
      <c r="J1491" s="240"/>
      <c r="K1491" s="240"/>
      <c r="L1491" s="240"/>
      <c r="M1491" s="240"/>
      <c r="N1491" s="240"/>
      <c r="O1491" s="258"/>
      <c r="P1491" s="224"/>
      <c r="Q1491" s="224"/>
      <c r="R1491" s="224"/>
      <c r="S1491" s="224"/>
      <c r="T1491" s="224"/>
      <c r="U1491" s="259"/>
      <c r="V1491" s="239"/>
      <c r="W1491" s="239"/>
      <c r="X1491" s="239"/>
      <c r="Y1491" s="239"/>
      <c r="Z1491" s="239"/>
      <c r="AA1491" s="257"/>
      <c r="AB1491" s="224"/>
      <c r="AC1491" s="224"/>
      <c r="AD1491" s="224"/>
      <c r="AE1491" s="224"/>
      <c r="AF1491" s="224"/>
      <c r="AG1491" s="259"/>
      <c r="AH1491" s="261"/>
      <c r="AI1491" s="261"/>
      <c r="AJ1491" s="261"/>
      <c r="AK1491" s="261"/>
      <c r="AL1491" s="261"/>
      <c r="AM1491" s="262"/>
    </row>
    <row r="1492" spans="1:39" x14ac:dyDescent="0.25">
      <c r="A1492" s="215"/>
      <c r="B1492" s="215"/>
      <c r="C1492" s="215"/>
      <c r="D1492" s="239"/>
      <c r="E1492" s="239"/>
      <c r="F1492" s="239"/>
      <c r="G1492" s="239"/>
      <c r="H1492" s="239"/>
      <c r="I1492" s="257"/>
      <c r="J1492" s="240"/>
      <c r="K1492" s="240"/>
      <c r="L1492" s="240"/>
      <c r="M1492" s="240"/>
      <c r="N1492" s="240"/>
      <c r="O1492" s="258"/>
      <c r="P1492" s="224"/>
      <c r="Q1492" s="224"/>
      <c r="R1492" s="224"/>
      <c r="S1492" s="224"/>
      <c r="T1492" s="224"/>
      <c r="U1492" s="259"/>
      <c r="V1492" s="239"/>
      <c r="W1492" s="239"/>
      <c r="X1492" s="239"/>
      <c r="Y1492" s="239"/>
      <c r="Z1492" s="239"/>
      <c r="AA1492" s="257"/>
      <c r="AB1492" s="224"/>
      <c r="AC1492" s="224"/>
      <c r="AD1492" s="224"/>
      <c r="AE1492" s="224"/>
      <c r="AF1492" s="224"/>
      <c r="AG1492" s="259"/>
      <c r="AH1492" s="261"/>
      <c r="AI1492" s="261"/>
      <c r="AJ1492" s="261"/>
      <c r="AK1492" s="261"/>
      <c r="AL1492" s="261"/>
      <c r="AM1492" s="262"/>
    </row>
    <row r="1493" spans="1:39" x14ac:dyDescent="0.25">
      <c r="A1493" s="215"/>
      <c r="B1493" s="215"/>
      <c r="C1493" s="215"/>
      <c r="D1493" s="239"/>
      <c r="E1493" s="239"/>
      <c r="F1493" s="239"/>
      <c r="G1493" s="239"/>
      <c r="H1493" s="239"/>
      <c r="I1493" s="257"/>
      <c r="J1493" s="240"/>
      <c r="K1493" s="240"/>
      <c r="L1493" s="240"/>
      <c r="M1493" s="240"/>
      <c r="N1493" s="240"/>
      <c r="O1493" s="258"/>
      <c r="P1493" s="224"/>
      <c r="Q1493" s="224"/>
      <c r="R1493" s="224"/>
      <c r="S1493" s="224"/>
      <c r="T1493" s="224"/>
      <c r="U1493" s="259"/>
      <c r="V1493" s="239"/>
      <c r="W1493" s="239"/>
      <c r="X1493" s="239"/>
      <c r="Y1493" s="239"/>
      <c r="Z1493" s="239"/>
      <c r="AA1493" s="257"/>
      <c r="AB1493" s="224"/>
      <c r="AC1493" s="224"/>
      <c r="AD1493" s="224"/>
      <c r="AE1493" s="224"/>
      <c r="AF1493" s="224"/>
      <c r="AG1493" s="259"/>
      <c r="AH1493" s="261"/>
      <c r="AI1493" s="261"/>
      <c r="AJ1493" s="261"/>
      <c r="AK1493" s="261"/>
      <c r="AL1493" s="261"/>
      <c r="AM1493" s="262"/>
    </row>
    <row r="1494" spans="1:39" x14ac:dyDescent="0.25">
      <c r="A1494" s="215"/>
      <c r="B1494" s="215"/>
      <c r="C1494" s="215"/>
      <c r="D1494" s="239"/>
      <c r="E1494" s="239"/>
      <c r="F1494" s="239"/>
      <c r="G1494" s="239"/>
      <c r="H1494" s="239"/>
      <c r="I1494" s="257"/>
      <c r="J1494" s="240"/>
      <c r="K1494" s="240"/>
      <c r="L1494" s="240"/>
      <c r="M1494" s="240"/>
      <c r="N1494" s="240"/>
      <c r="O1494" s="258"/>
      <c r="P1494" s="224"/>
      <c r="Q1494" s="224"/>
      <c r="R1494" s="224"/>
      <c r="S1494" s="224"/>
      <c r="T1494" s="224"/>
      <c r="U1494" s="259"/>
      <c r="V1494" s="239"/>
      <c r="W1494" s="239"/>
      <c r="X1494" s="239"/>
      <c r="Y1494" s="239"/>
      <c r="Z1494" s="239"/>
      <c r="AA1494" s="257"/>
      <c r="AB1494" s="224"/>
      <c r="AC1494" s="224"/>
      <c r="AD1494" s="224"/>
      <c r="AE1494" s="224"/>
      <c r="AF1494" s="224"/>
      <c r="AG1494" s="259"/>
      <c r="AH1494" s="261"/>
      <c r="AI1494" s="261"/>
      <c r="AJ1494" s="261"/>
      <c r="AK1494" s="261"/>
      <c r="AL1494" s="261"/>
      <c r="AM1494" s="262"/>
    </row>
    <row r="1495" spans="1:39" x14ac:dyDescent="0.25">
      <c r="A1495" s="215"/>
      <c r="B1495" s="215"/>
      <c r="C1495" s="215"/>
      <c r="D1495" s="239"/>
      <c r="E1495" s="239"/>
      <c r="F1495" s="239"/>
      <c r="G1495" s="239"/>
      <c r="H1495" s="239"/>
      <c r="I1495" s="257"/>
      <c r="J1495" s="240"/>
      <c r="K1495" s="240"/>
      <c r="L1495" s="240"/>
      <c r="M1495" s="240"/>
      <c r="N1495" s="240"/>
      <c r="O1495" s="258"/>
      <c r="P1495" s="224"/>
      <c r="Q1495" s="224"/>
      <c r="R1495" s="224"/>
      <c r="S1495" s="224"/>
      <c r="T1495" s="224"/>
      <c r="U1495" s="259"/>
      <c r="V1495" s="239"/>
      <c r="W1495" s="239"/>
      <c r="X1495" s="239"/>
      <c r="Y1495" s="239"/>
      <c r="Z1495" s="239"/>
      <c r="AA1495" s="257"/>
      <c r="AB1495" s="224"/>
      <c r="AC1495" s="224"/>
      <c r="AD1495" s="224"/>
      <c r="AE1495" s="224"/>
      <c r="AF1495" s="224"/>
      <c r="AG1495" s="259"/>
      <c r="AH1495" s="261"/>
      <c r="AI1495" s="261"/>
      <c r="AJ1495" s="261"/>
      <c r="AK1495" s="261"/>
      <c r="AL1495" s="261"/>
      <c r="AM1495" s="262"/>
    </row>
    <row r="1496" spans="1:39" x14ac:dyDescent="0.25">
      <c r="A1496" s="215"/>
      <c r="B1496" s="215"/>
      <c r="C1496" s="215"/>
      <c r="D1496" s="239"/>
      <c r="E1496" s="239"/>
      <c r="F1496" s="239"/>
      <c r="G1496" s="239"/>
      <c r="H1496" s="239"/>
      <c r="I1496" s="257"/>
      <c r="J1496" s="240"/>
      <c r="K1496" s="240"/>
      <c r="L1496" s="240"/>
      <c r="M1496" s="240"/>
      <c r="N1496" s="240"/>
      <c r="O1496" s="258"/>
      <c r="P1496" s="224"/>
      <c r="Q1496" s="224"/>
      <c r="R1496" s="224"/>
      <c r="S1496" s="224"/>
      <c r="T1496" s="224"/>
      <c r="U1496" s="259"/>
      <c r="V1496" s="239"/>
      <c r="W1496" s="239"/>
      <c r="X1496" s="239"/>
      <c r="Y1496" s="239"/>
      <c r="Z1496" s="239"/>
      <c r="AA1496" s="257"/>
      <c r="AB1496" s="224"/>
      <c r="AC1496" s="224"/>
      <c r="AD1496" s="224"/>
      <c r="AE1496" s="224"/>
      <c r="AF1496" s="224"/>
      <c r="AG1496" s="259"/>
      <c r="AH1496" s="261"/>
      <c r="AI1496" s="261"/>
      <c r="AJ1496" s="261"/>
      <c r="AK1496" s="261"/>
      <c r="AL1496" s="261"/>
      <c r="AM1496" s="262"/>
    </row>
    <row r="1497" spans="1:39" x14ac:dyDescent="0.25">
      <c r="A1497" s="215"/>
      <c r="B1497" s="215"/>
      <c r="C1497" s="215"/>
      <c r="D1497" s="239"/>
      <c r="E1497" s="239"/>
      <c r="F1497" s="239"/>
      <c r="G1497" s="239"/>
      <c r="H1497" s="239"/>
      <c r="I1497" s="257"/>
      <c r="J1497" s="240"/>
      <c r="K1497" s="240"/>
      <c r="L1497" s="240"/>
      <c r="M1497" s="240"/>
      <c r="N1497" s="240"/>
      <c r="O1497" s="258"/>
      <c r="P1497" s="224"/>
      <c r="Q1497" s="224"/>
      <c r="R1497" s="224"/>
      <c r="S1497" s="224"/>
      <c r="T1497" s="224"/>
      <c r="U1497" s="259"/>
      <c r="V1497" s="239"/>
      <c r="W1497" s="239"/>
      <c r="X1497" s="239"/>
      <c r="Y1497" s="239"/>
      <c r="Z1497" s="239"/>
      <c r="AA1497" s="257"/>
      <c r="AB1497" s="224"/>
      <c r="AC1497" s="224"/>
      <c r="AD1497" s="224"/>
      <c r="AE1497" s="224"/>
      <c r="AF1497" s="224"/>
      <c r="AG1497" s="259"/>
      <c r="AH1497" s="261"/>
      <c r="AI1497" s="261"/>
      <c r="AJ1497" s="261"/>
      <c r="AK1497" s="261"/>
      <c r="AL1497" s="261"/>
      <c r="AM1497" s="262"/>
    </row>
    <row r="1498" spans="1:39" x14ac:dyDescent="0.25">
      <c r="A1498" s="215"/>
      <c r="B1498" s="215"/>
      <c r="C1498" s="215"/>
      <c r="D1498" s="239"/>
      <c r="E1498" s="239"/>
      <c r="F1498" s="239"/>
      <c r="G1498" s="239"/>
      <c r="H1498" s="239"/>
      <c r="I1498" s="257"/>
      <c r="J1498" s="240"/>
      <c r="K1498" s="240"/>
      <c r="L1498" s="240"/>
      <c r="M1498" s="240"/>
      <c r="N1498" s="240"/>
      <c r="O1498" s="258"/>
      <c r="P1498" s="224"/>
      <c r="Q1498" s="224"/>
      <c r="R1498" s="224"/>
      <c r="S1498" s="224"/>
      <c r="T1498" s="224"/>
      <c r="U1498" s="259"/>
      <c r="V1498" s="239"/>
      <c r="W1498" s="239"/>
      <c r="X1498" s="239"/>
      <c r="Y1498" s="239"/>
      <c r="Z1498" s="239"/>
      <c r="AA1498" s="257"/>
      <c r="AB1498" s="224"/>
      <c r="AC1498" s="224"/>
      <c r="AD1498" s="224"/>
      <c r="AE1498" s="224"/>
      <c r="AF1498" s="224"/>
      <c r="AG1498" s="259"/>
      <c r="AH1498" s="261"/>
      <c r="AI1498" s="261"/>
      <c r="AJ1498" s="261"/>
      <c r="AK1498" s="261"/>
      <c r="AL1498" s="261"/>
      <c r="AM1498" s="262"/>
    </row>
    <row r="1499" spans="1:39" x14ac:dyDescent="0.25">
      <c r="A1499" s="215"/>
      <c r="B1499" s="215"/>
      <c r="C1499" s="215"/>
      <c r="D1499" s="239"/>
      <c r="E1499" s="239"/>
      <c r="F1499" s="239"/>
      <c r="G1499" s="239"/>
      <c r="H1499" s="239"/>
      <c r="I1499" s="257"/>
      <c r="J1499" s="240"/>
      <c r="K1499" s="240"/>
      <c r="L1499" s="240"/>
      <c r="M1499" s="240"/>
      <c r="N1499" s="240"/>
      <c r="O1499" s="258"/>
      <c r="P1499" s="224"/>
      <c r="Q1499" s="224"/>
      <c r="R1499" s="224"/>
      <c r="S1499" s="224"/>
      <c r="T1499" s="224"/>
      <c r="U1499" s="259"/>
      <c r="V1499" s="239"/>
      <c r="W1499" s="239"/>
      <c r="X1499" s="239"/>
      <c r="Y1499" s="239"/>
      <c r="Z1499" s="239"/>
      <c r="AA1499" s="257"/>
      <c r="AB1499" s="224"/>
      <c r="AC1499" s="224"/>
      <c r="AD1499" s="224"/>
      <c r="AE1499" s="224"/>
      <c r="AF1499" s="224"/>
      <c r="AG1499" s="259"/>
      <c r="AH1499" s="261"/>
      <c r="AI1499" s="261"/>
      <c r="AJ1499" s="261"/>
      <c r="AK1499" s="261"/>
      <c r="AL1499" s="261"/>
      <c r="AM1499" s="262"/>
    </row>
    <row r="1500" spans="1:39" x14ac:dyDescent="0.25">
      <c r="A1500" s="215"/>
      <c r="B1500" s="215"/>
      <c r="C1500" s="215"/>
      <c r="D1500" s="239"/>
      <c r="E1500" s="239"/>
      <c r="F1500" s="239"/>
      <c r="G1500" s="239"/>
      <c r="H1500" s="239"/>
      <c r="I1500" s="257"/>
      <c r="J1500" s="240"/>
      <c r="K1500" s="240"/>
      <c r="L1500" s="240"/>
      <c r="M1500" s="240"/>
      <c r="N1500" s="240"/>
      <c r="O1500" s="258"/>
      <c r="P1500" s="224"/>
      <c r="Q1500" s="224"/>
      <c r="R1500" s="224"/>
      <c r="S1500" s="224"/>
      <c r="T1500" s="224"/>
      <c r="U1500" s="259"/>
      <c r="V1500" s="239"/>
      <c r="W1500" s="239"/>
      <c r="X1500" s="239"/>
      <c r="Y1500" s="239"/>
      <c r="Z1500" s="239"/>
      <c r="AA1500" s="257"/>
      <c r="AB1500" s="224"/>
      <c r="AC1500" s="224"/>
      <c r="AD1500" s="224"/>
      <c r="AE1500" s="224"/>
      <c r="AF1500" s="224"/>
      <c r="AG1500" s="259"/>
      <c r="AH1500" s="261"/>
      <c r="AI1500" s="261"/>
      <c r="AJ1500" s="261"/>
      <c r="AK1500" s="261"/>
      <c r="AL1500" s="261"/>
      <c r="AM1500" s="262"/>
    </row>
    <row r="1501" spans="1:39" x14ac:dyDescent="0.25">
      <c r="A1501" s="215"/>
      <c r="B1501" s="215"/>
      <c r="C1501" s="215"/>
      <c r="D1501" s="239"/>
      <c r="E1501" s="239"/>
      <c r="F1501" s="239"/>
      <c r="G1501" s="239"/>
      <c r="H1501" s="239"/>
      <c r="I1501" s="257"/>
      <c r="J1501" s="240"/>
      <c r="K1501" s="240"/>
      <c r="L1501" s="240"/>
      <c r="M1501" s="240"/>
      <c r="N1501" s="240"/>
      <c r="O1501" s="258"/>
      <c r="P1501" s="224"/>
      <c r="Q1501" s="224"/>
      <c r="R1501" s="224"/>
      <c r="S1501" s="224"/>
      <c r="T1501" s="224"/>
      <c r="U1501" s="259"/>
      <c r="V1501" s="239"/>
      <c r="W1501" s="239"/>
      <c r="X1501" s="239"/>
      <c r="Y1501" s="239"/>
      <c r="Z1501" s="239"/>
      <c r="AA1501" s="257"/>
      <c r="AB1501" s="224"/>
      <c r="AC1501" s="224"/>
      <c r="AD1501" s="224"/>
      <c r="AE1501" s="224"/>
      <c r="AF1501" s="224"/>
      <c r="AG1501" s="259"/>
      <c r="AH1501" s="261"/>
      <c r="AI1501" s="261"/>
      <c r="AJ1501" s="261"/>
      <c r="AK1501" s="261"/>
      <c r="AL1501" s="261"/>
      <c r="AM1501" s="262"/>
    </row>
    <row r="1502" spans="1:39" x14ac:dyDescent="0.25">
      <c r="A1502" s="215"/>
      <c r="B1502" s="215"/>
      <c r="C1502" s="215"/>
      <c r="D1502" s="239"/>
      <c r="E1502" s="239"/>
      <c r="F1502" s="239"/>
      <c r="G1502" s="239"/>
      <c r="H1502" s="239"/>
      <c r="I1502" s="257"/>
      <c r="J1502" s="240"/>
      <c r="K1502" s="240"/>
      <c r="L1502" s="240"/>
      <c r="M1502" s="240"/>
      <c r="N1502" s="240"/>
      <c r="O1502" s="258"/>
      <c r="P1502" s="224"/>
      <c r="Q1502" s="224"/>
      <c r="R1502" s="224"/>
      <c r="S1502" s="224"/>
      <c r="T1502" s="224"/>
      <c r="U1502" s="259"/>
      <c r="V1502" s="239"/>
      <c r="W1502" s="239"/>
      <c r="X1502" s="239"/>
      <c r="Y1502" s="239"/>
      <c r="Z1502" s="239"/>
      <c r="AA1502" s="257"/>
      <c r="AB1502" s="224"/>
      <c r="AC1502" s="224"/>
      <c r="AD1502" s="224"/>
      <c r="AE1502" s="224"/>
      <c r="AF1502" s="224"/>
      <c r="AG1502" s="259"/>
      <c r="AH1502" s="261"/>
      <c r="AI1502" s="261"/>
      <c r="AJ1502" s="261"/>
      <c r="AK1502" s="261"/>
      <c r="AL1502" s="261"/>
      <c r="AM1502" s="262"/>
    </row>
    <row r="1503" spans="1:39" x14ac:dyDescent="0.25">
      <c r="A1503" s="215"/>
      <c r="B1503" s="215"/>
      <c r="C1503" s="215"/>
      <c r="D1503" s="239"/>
      <c r="E1503" s="239"/>
      <c r="F1503" s="239"/>
      <c r="G1503" s="239"/>
      <c r="H1503" s="239"/>
      <c r="I1503" s="257"/>
      <c r="J1503" s="240"/>
      <c r="K1503" s="240"/>
      <c r="L1503" s="240"/>
      <c r="M1503" s="240"/>
      <c r="N1503" s="240"/>
      <c r="O1503" s="258"/>
      <c r="P1503" s="224"/>
      <c r="Q1503" s="224"/>
      <c r="R1503" s="224"/>
      <c r="S1503" s="224"/>
      <c r="T1503" s="224"/>
      <c r="U1503" s="259"/>
      <c r="V1503" s="239"/>
      <c r="W1503" s="239"/>
      <c r="X1503" s="239"/>
      <c r="Y1503" s="239"/>
      <c r="Z1503" s="239"/>
      <c r="AA1503" s="257"/>
      <c r="AB1503" s="224"/>
      <c r="AC1503" s="224"/>
      <c r="AD1503" s="224"/>
      <c r="AE1503" s="224"/>
      <c r="AF1503" s="224"/>
      <c r="AG1503" s="259"/>
      <c r="AH1503" s="261"/>
      <c r="AI1503" s="261"/>
      <c r="AJ1503" s="261"/>
      <c r="AK1503" s="261"/>
      <c r="AL1503" s="261"/>
      <c r="AM1503" s="262"/>
    </row>
    <row r="1504" spans="1:39" x14ac:dyDescent="0.25">
      <c r="A1504" s="215"/>
      <c r="B1504" s="215"/>
      <c r="C1504" s="215"/>
      <c r="D1504" s="239"/>
      <c r="E1504" s="239"/>
      <c r="F1504" s="239"/>
      <c r="G1504" s="239"/>
      <c r="H1504" s="239"/>
      <c r="I1504" s="257"/>
      <c r="J1504" s="240"/>
      <c r="K1504" s="240"/>
      <c r="L1504" s="240"/>
      <c r="M1504" s="240"/>
      <c r="N1504" s="240"/>
      <c r="O1504" s="258"/>
      <c r="P1504" s="224"/>
      <c r="Q1504" s="224"/>
      <c r="R1504" s="224"/>
      <c r="S1504" s="224"/>
      <c r="T1504" s="224"/>
      <c r="U1504" s="259"/>
      <c r="V1504" s="239"/>
      <c r="W1504" s="239"/>
      <c r="X1504" s="239"/>
      <c r="Y1504" s="239"/>
      <c r="Z1504" s="239"/>
      <c r="AA1504" s="257"/>
      <c r="AB1504" s="224"/>
      <c r="AC1504" s="224"/>
      <c r="AD1504" s="224"/>
      <c r="AE1504" s="224"/>
      <c r="AF1504" s="224"/>
      <c r="AG1504" s="259"/>
      <c r="AH1504" s="261"/>
      <c r="AI1504" s="261"/>
      <c r="AJ1504" s="261"/>
      <c r="AK1504" s="261"/>
      <c r="AL1504" s="261"/>
      <c r="AM1504" s="262"/>
    </row>
    <row r="1505" spans="1:39" x14ac:dyDescent="0.25">
      <c r="A1505" s="215"/>
      <c r="B1505" s="215"/>
      <c r="C1505" s="215"/>
      <c r="D1505" s="239"/>
      <c r="E1505" s="239"/>
      <c r="F1505" s="239"/>
      <c r="G1505" s="239"/>
      <c r="H1505" s="239"/>
      <c r="I1505" s="257"/>
      <c r="J1505" s="240"/>
      <c r="K1505" s="240"/>
      <c r="L1505" s="240"/>
      <c r="M1505" s="240"/>
      <c r="N1505" s="240"/>
      <c r="O1505" s="258"/>
      <c r="P1505" s="224"/>
      <c r="Q1505" s="224"/>
      <c r="R1505" s="224"/>
      <c r="S1505" s="224"/>
      <c r="T1505" s="224"/>
      <c r="U1505" s="259"/>
      <c r="V1505" s="239"/>
      <c r="W1505" s="239"/>
      <c r="X1505" s="239"/>
      <c r="Y1505" s="239"/>
      <c r="Z1505" s="239"/>
      <c r="AA1505" s="257"/>
      <c r="AB1505" s="224"/>
      <c r="AC1505" s="224"/>
      <c r="AD1505" s="224"/>
      <c r="AE1505" s="224"/>
      <c r="AF1505" s="224"/>
      <c r="AG1505" s="259"/>
      <c r="AH1505" s="261"/>
      <c r="AI1505" s="261"/>
      <c r="AJ1505" s="261"/>
      <c r="AK1505" s="261"/>
      <c r="AL1505" s="261"/>
      <c r="AM1505" s="262"/>
    </row>
    <row r="1506" spans="1:39" x14ac:dyDescent="0.25">
      <c r="A1506" s="215"/>
      <c r="B1506" s="215"/>
      <c r="C1506" s="215"/>
      <c r="D1506" s="239"/>
      <c r="E1506" s="239"/>
      <c r="F1506" s="239"/>
      <c r="G1506" s="239"/>
      <c r="H1506" s="239"/>
      <c r="I1506" s="257"/>
      <c r="J1506" s="240"/>
      <c r="K1506" s="240"/>
      <c r="L1506" s="240"/>
      <c r="M1506" s="240"/>
      <c r="N1506" s="240"/>
      <c r="O1506" s="258"/>
      <c r="P1506" s="224"/>
      <c r="Q1506" s="224"/>
      <c r="R1506" s="224"/>
      <c r="S1506" s="224"/>
      <c r="T1506" s="224"/>
      <c r="U1506" s="259"/>
      <c r="V1506" s="239"/>
      <c r="W1506" s="239"/>
      <c r="X1506" s="239"/>
      <c r="Y1506" s="239"/>
      <c r="Z1506" s="239"/>
      <c r="AA1506" s="257"/>
      <c r="AB1506" s="224"/>
      <c r="AC1506" s="224"/>
      <c r="AD1506" s="224"/>
      <c r="AE1506" s="224"/>
      <c r="AF1506" s="224"/>
      <c r="AG1506" s="259"/>
      <c r="AH1506" s="261"/>
      <c r="AI1506" s="261"/>
      <c r="AJ1506" s="261"/>
      <c r="AK1506" s="261"/>
      <c r="AL1506" s="261"/>
      <c r="AM1506" s="262"/>
    </row>
    <row r="1507" spans="1:39" x14ac:dyDescent="0.25">
      <c r="A1507" s="215"/>
      <c r="B1507" s="215"/>
      <c r="C1507" s="215"/>
      <c r="D1507" s="239"/>
      <c r="E1507" s="239"/>
      <c r="F1507" s="239"/>
      <c r="G1507" s="239"/>
      <c r="H1507" s="239"/>
      <c r="I1507" s="257"/>
      <c r="J1507" s="240"/>
      <c r="K1507" s="240"/>
      <c r="L1507" s="240"/>
      <c r="M1507" s="240"/>
      <c r="N1507" s="240"/>
      <c r="O1507" s="258"/>
      <c r="P1507" s="224"/>
      <c r="Q1507" s="224"/>
      <c r="R1507" s="224"/>
      <c r="S1507" s="224"/>
      <c r="T1507" s="224"/>
      <c r="U1507" s="259"/>
      <c r="V1507" s="239"/>
      <c r="W1507" s="239"/>
      <c r="X1507" s="239"/>
      <c r="Y1507" s="239"/>
      <c r="Z1507" s="239"/>
      <c r="AA1507" s="257"/>
      <c r="AB1507" s="224"/>
      <c r="AC1507" s="224"/>
      <c r="AD1507" s="224"/>
      <c r="AE1507" s="224"/>
      <c r="AF1507" s="224"/>
      <c r="AG1507" s="259"/>
      <c r="AH1507" s="261"/>
      <c r="AI1507" s="261"/>
      <c r="AJ1507" s="261"/>
      <c r="AK1507" s="261"/>
      <c r="AL1507" s="261"/>
      <c r="AM1507" s="262"/>
    </row>
    <row r="1508" spans="1:39" x14ac:dyDescent="0.25">
      <c r="A1508" s="215"/>
      <c r="B1508" s="215"/>
      <c r="C1508" s="215"/>
      <c r="D1508" s="239"/>
      <c r="E1508" s="239"/>
      <c r="F1508" s="239"/>
      <c r="G1508" s="239"/>
      <c r="H1508" s="239"/>
      <c r="I1508" s="257"/>
      <c r="J1508" s="240"/>
      <c r="K1508" s="240"/>
      <c r="L1508" s="240"/>
      <c r="M1508" s="240"/>
      <c r="N1508" s="240"/>
      <c r="O1508" s="258"/>
      <c r="P1508" s="224"/>
      <c r="Q1508" s="224"/>
      <c r="R1508" s="224"/>
      <c r="S1508" s="224"/>
      <c r="T1508" s="224"/>
      <c r="U1508" s="259"/>
      <c r="V1508" s="239"/>
      <c r="W1508" s="239"/>
      <c r="X1508" s="239"/>
      <c r="Y1508" s="239"/>
      <c r="Z1508" s="239"/>
      <c r="AA1508" s="257"/>
      <c r="AB1508" s="224"/>
      <c r="AC1508" s="224"/>
      <c r="AD1508" s="224"/>
      <c r="AE1508" s="224"/>
      <c r="AF1508" s="224"/>
      <c r="AG1508" s="259"/>
      <c r="AH1508" s="261"/>
      <c r="AI1508" s="261"/>
      <c r="AJ1508" s="261"/>
      <c r="AK1508" s="261"/>
      <c r="AL1508" s="261"/>
      <c r="AM1508" s="262"/>
    </row>
    <row r="1509" spans="1:39" x14ac:dyDescent="0.25">
      <c r="A1509" s="215"/>
      <c r="B1509" s="215"/>
      <c r="C1509" s="215"/>
      <c r="D1509" s="239"/>
      <c r="E1509" s="239"/>
      <c r="F1509" s="239"/>
      <c r="G1509" s="239"/>
      <c r="H1509" s="239"/>
      <c r="I1509" s="257"/>
      <c r="J1509" s="240"/>
      <c r="K1509" s="240"/>
      <c r="L1509" s="240"/>
      <c r="M1509" s="240"/>
      <c r="N1509" s="240"/>
      <c r="O1509" s="258"/>
      <c r="P1509" s="224"/>
      <c r="Q1509" s="224"/>
      <c r="R1509" s="224"/>
      <c r="S1509" s="224"/>
      <c r="T1509" s="224"/>
      <c r="U1509" s="259"/>
      <c r="V1509" s="239"/>
      <c r="W1509" s="239"/>
      <c r="X1509" s="239"/>
      <c r="Y1509" s="239"/>
      <c r="Z1509" s="239"/>
      <c r="AA1509" s="257"/>
      <c r="AB1509" s="224"/>
      <c r="AC1509" s="224"/>
      <c r="AD1509" s="224"/>
      <c r="AE1509" s="224"/>
      <c r="AF1509" s="224"/>
      <c r="AG1509" s="259"/>
      <c r="AH1509" s="261"/>
      <c r="AI1509" s="261"/>
      <c r="AJ1509" s="261"/>
      <c r="AK1509" s="261"/>
      <c r="AL1509" s="261"/>
      <c r="AM1509" s="262"/>
    </row>
    <row r="1510" spans="1:39" x14ac:dyDescent="0.25">
      <c r="A1510" s="215"/>
      <c r="B1510" s="215"/>
      <c r="C1510" s="215"/>
      <c r="D1510" s="239"/>
      <c r="E1510" s="239"/>
      <c r="F1510" s="239"/>
      <c r="G1510" s="239"/>
      <c r="H1510" s="239"/>
      <c r="I1510" s="257"/>
      <c r="J1510" s="240"/>
      <c r="K1510" s="240"/>
      <c r="L1510" s="240"/>
      <c r="M1510" s="240"/>
      <c r="N1510" s="240"/>
      <c r="O1510" s="258"/>
      <c r="P1510" s="224"/>
      <c r="Q1510" s="224"/>
      <c r="R1510" s="224"/>
      <c r="S1510" s="224"/>
      <c r="T1510" s="224"/>
      <c r="U1510" s="259"/>
      <c r="V1510" s="239"/>
      <c r="W1510" s="239"/>
      <c r="X1510" s="239"/>
      <c r="Y1510" s="239"/>
      <c r="Z1510" s="239"/>
      <c r="AA1510" s="257"/>
      <c r="AB1510" s="224"/>
      <c r="AC1510" s="224"/>
      <c r="AD1510" s="224"/>
      <c r="AE1510" s="224"/>
      <c r="AF1510" s="224"/>
      <c r="AG1510" s="259"/>
      <c r="AH1510" s="261"/>
      <c r="AI1510" s="261"/>
      <c r="AJ1510" s="261"/>
      <c r="AK1510" s="261"/>
      <c r="AL1510" s="261"/>
      <c r="AM1510" s="262"/>
    </row>
    <row r="1511" spans="1:39" x14ac:dyDescent="0.25">
      <c r="A1511" s="215"/>
      <c r="B1511" s="215"/>
      <c r="C1511" s="215"/>
      <c r="D1511" s="239"/>
      <c r="E1511" s="239"/>
      <c r="F1511" s="239"/>
      <c r="G1511" s="239"/>
      <c r="H1511" s="239"/>
      <c r="I1511" s="257"/>
      <c r="J1511" s="240"/>
      <c r="K1511" s="240"/>
      <c r="L1511" s="240"/>
      <c r="M1511" s="240"/>
      <c r="N1511" s="240"/>
      <c r="O1511" s="258"/>
      <c r="P1511" s="224"/>
      <c r="Q1511" s="224"/>
      <c r="R1511" s="224"/>
      <c r="S1511" s="224"/>
      <c r="T1511" s="224"/>
      <c r="U1511" s="259"/>
      <c r="V1511" s="239"/>
      <c r="W1511" s="239"/>
      <c r="X1511" s="239"/>
      <c r="Y1511" s="239"/>
      <c r="Z1511" s="239"/>
      <c r="AA1511" s="257"/>
      <c r="AB1511" s="224"/>
      <c r="AC1511" s="224"/>
      <c r="AD1511" s="224"/>
      <c r="AE1511" s="224"/>
      <c r="AF1511" s="224"/>
      <c r="AG1511" s="259"/>
      <c r="AH1511" s="261"/>
      <c r="AI1511" s="261"/>
      <c r="AJ1511" s="261"/>
      <c r="AK1511" s="261"/>
      <c r="AL1511" s="261"/>
      <c r="AM1511" s="262"/>
    </row>
    <row r="1512" spans="1:39" x14ac:dyDescent="0.25">
      <c r="A1512" s="215"/>
      <c r="B1512" s="215"/>
      <c r="C1512" s="215"/>
      <c r="D1512" s="239"/>
      <c r="E1512" s="239"/>
      <c r="F1512" s="239"/>
      <c r="G1512" s="239"/>
      <c r="H1512" s="239"/>
      <c r="I1512" s="257"/>
      <c r="J1512" s="240"/>
      <c r="K1512" s="240"/>
      <c r="L1512" s="240"/>
      <c r="M1512" s="240"/>
      <c r="N1512" s="240"/>
      <c r="O1512" s="258"/>
      <c r="P1512" s="224"/>
      <c r="Q1512" s="224"/>
      <c r="R1512" s="224"/>
      <c r="S1512" s="224"/>
      <c r="T1512" s="224"/>
      <c r="U1512" s="259"/>
      <c r="V1512" s="239"/>
      <c r="W1512" s="239"/>
      <c r="X1512" s="239"/>
      <c r="Y1512" s="239"/>
      <c r="Z1512" s="239"/>
      <c r="AA1512" s="257"/>
      <c r="AB1512" s="224"/>
      <c r="AC1512" s="224"/>
      <c r="AD1512" s="224"/>
      <c r="AE1512" s="224"/>
      <c r="AF1512" s="224"/>
      <c r="AG1512" s="259"/>
      <c r="AH1512" s="261"/>
      <c r="AI1512" s="261"/>
      <c r="AJ1512" s="261"/>
      <c r="AK1512" s="261"/>
      <c r="AL1512" s="261"/>
      <c r="AM1512" s="262"/>
    </row>
    <row r="1513" spans="1:39" x14ac:dyDescent="0.25">
      <c r="A1513" s="215"/>
      <c r="B1513" s="215"/>
      <c r="C1513" s="215"/>
      <c r="D1513" s="239"/>
      <c r="E1513" s="239"/>
      <c r="F1513" s="239"/>
      <c r="G1513" s="239"/>
      <c r="H1513" s="239"/>
      <c r="I1513" s="257"/>
      <c r="J1513" s="240"/>
      <c r="K1513" s="240"/>
      <c r="L1513" s="240"/>
      <c r="M1513" s="240"/>
      <c r="N1513" s="240"/>
      <c r="O1513" s="258"/>
      <c r="P1513" s="224"/>
      <c r="Q1513" s="224"/>
      <c r="R1513" s="224"/>
      <c r="S1513" s="224"/>
      <c r="T1513" s="224"/>
      <c r="U1513" s="259"/>
      <c r="V1513" s="239"/>
      <c r="W1513" s="239"/>
      <c r="X1513" s="239"/>
      <c r="Y1513" s="239"/>
      <c r="Z1513" s="239"/>
      <c r="AA1513" s="257"/>
      <c r="AB1513" s="224"/>
      <c r="AC1513" s="224"/>
      <c r="AD1513" s="224"/>
      <c r="AE1513" s="224"/>
      <c r="AF1513" s="224"/>
      <c r="AG1513" s="259"/>
      <c r="AH1513" s="261"/>
      <c r="AI1513" s="261"/>
      <c r="AJ1513" s="261"/>
      <c r="AK1513" s="261"/>
      <c r="AL1513" s="261"/>
      <c r="AM1513" s="262"/>
    </row>
    <row r="1514" spans="1:39" x14ac:dyDescent="0.25">
      <c r="A1514" s="215"/>
      <c r="B1514" s="215"/>
      <c r="C1514" s="215"/>
      <c r="D1514" s="239"/>
      <c r="E1514" s="239"/>
      <c r="F1514" s="239"/>
      <c r="G1514" s="239"/>
      <c r="H1514" s="239"/>
      <c r="I1514" s="257"/>
      <c r="J1514" s="240"/>
      <c r="K1514" s="240"/>
      <c r="L1514" s="240"/>
      <c r="M1514" s="240"/>
      <c r="N1514" s="240"/>
      <c r="O1514" s="258"/>
      <c r="P1514" s="224"/>
      <c r="Q1514" s="224"/>
      <c r="R1514" s="224"/>
      <c r="S1514" s="224"/>
      <c r="T1514" s="224"/>
      <c r="U1514" s="259"/>
      <c r="V1514" s="239"/>
      <c r="W1514" s="239"/>
      <c r="X1514" s="239"/>
      <c r="Y1514" s="239"/>
      <c r="Z1514" s="239"/>
      <c r="AA1514" s="257"/>
      <c r="AB1514" s="224"/>
      <c r="AC1514" s="224"/>
      <c r="AD1514" s="224"/>
      <c r="AE1514" s="224"/>
      <c r="AF1514" s="224"/>
      <c r="AG1514" s="259"/>
      <c r="AH1514" s="261"/>
      <c r="AI1514" s="261"/>
      <c r="AJ1514" s="261"/>
      <c r="AK1514" s="261"/>
      <c r="AL1514" s="261"/>
      <c r="AM1514" s="262"/>
    </row>
    <row r="1515" spans="1:39" x14ac:dyDescent="0.25">
      <c r="A1515" s="215"/>
      <c r="B1515" s="215"/>
      <c r="C1515" s="215"/>
      <c r="D1515" s="239"/>
      <c r="E1515" s="239"/>
      <c r="F1515" s="239"/>
      <c r="G1515" s="239"/>
      <c r="H1515" s="239"/>
      <c r="I1515" s="257"/>
      <c r="J1515" s="240"/>
      <c r="K1515" s="240"/>
      <c r="L1515" s="240"/>
      <c r="M1515" s="240"/>
      <c r="N1515" s="240"/>
      <c r="O1515" s="258"/>
      <c r="P1515" s="224"/>
      <c r="Q1515" s="224"/>
      <c r="R1515" s="224"/>
      <c r="S1515" s="224"/>
      <c r="T1515" s="224"/>
      <c r="U1515" s="259"/>
      <c r="V1515" s="239"/>
      <c r="W1515" s="239"/>
      <c r="X1515" s="239"/>
      <c r="Y1515" s="239"/>
      <c r="Z1515" s="239"/>
      <c r="AA1515" s="257"/>
      <c r="AB1515" s="224"/>
      <c r="AC1515" s="224"/>
      <c r="AD1515" s="224"/>
      <c r="AE1515" s="224"/>
      <c r="AF1515" s="224"/>
      <c r="AG1515" s="259"/>
      <c r="AH1515" s="261"/>
      <c r="AI1515" s="261"/>
      <c r="AJ1515" s="261"/>
      <c r="AK1515" s="261"/>
      <c r="AL1515" s="261"/>
      <c r="AM1515" s="262"/>
    </row>
    <row r="1516" spans="1:39" x14ac:dyDescent="0.25">
      <c r="A1516" s="215"/>
      <c r="B1516" s="215"/>
      <c r="C1516" s="215"/>
      <c r="D1516" s="239"/>
      <c r="E1516" s="239"/>
      <c r="F1516" s="239"/>
      <c r="G1516" s="239"/>
      <c r="H1516" s="239"/>
      <c r="I1516" s="257"/>
      <c r="J1516" s="240"/>
      <c r="K1516" s="240"/>
      <c r="L1516" s="240"/>
      <c r="M1516" s="240"/>
      <c r="N1516" s="240"/>
      <c r="O1516" s="258"/>
      <c r="P1516" s="224"/>
      <c r="Q1516" s="224"/>
      <c r="R1516" s="224"/>
      <c r="S1516" s="224"/>
      <c r="T1516" s="224"/>
      <c r="U1516" s="259"/>
      <c r="V1516" s="239"/>
      <c r="W1516" s="239"/>
      <c r="X1516" s="239"/>
      <c r="Y1516" s="239"/>
      <c r="Z1516" s="239"/>
      <c r="AA1516" s="257"/>
      <c r="AB1516" s="224"/>
      <c r="AC1516" s="224"/>
      <c r="AD1516" s="224"/>
      <c r="AE1516" s="224"/>
      <c r="AF1516" s="224"/>
      <c r="AG1516" s="259"/>
      <c r="AH1516" s="261"/>
      <c r="AI1516" s="261"/>
      <c r="AJ1516" s="261"/>
      <c r="AK1516" s="261"/>
      <c r="AL1516" s="261"/>
      <c r="AM1516" s="262"/>
    </row>
    <row r="1517" spans="1:39" x14ac:dyDescent="0.25">
      <c r="A1517" s="215"/>
      <c r="B1517" s="215"/>
      <c r="C1517" s="215"/>
      <c r="D1517" s="239"/>
      <c r="E1517" s="239"/>
      <c r="F1517" s="239"/>
      <c r="G1517" s="239"/>
      <c r="H1517" s="239"/>
      <c r="I1517" s="257"/>
      <c r="J1517" s="240"/>
      <c r="K1517" s="240"/>
      <c r="L1517" s="240"/>
      <c r="M1517" s="240"/>
      <c r="N1517" s="240"/>
      <c r="O1517" s="258"/>
      <c r="P1517" s="224"/>
      <c r="Q1517" s="224"/>
      <c r="R1517" s="224"/>
      <c r="S1517" s="224"/>
      <c r="T1517" s="224"/>
      <c r="U1517" s="259"/>
      <c r="V1517" s="239"/>
      <c r="W1517" s="239"/>
      <c r="X1517" s="239"/>
      <c r="Y1517" s="239"/>
      <c r="Z1517" s="239"/>
      <c r="AA1517" s="257"/>
      <c r="AB1517" s="224"/>
      <c r="AC1517" s="224"/>
      <c r="AD1517" s="224"/>
      <c r="AE1517" s="224"/>
      <c r="AF1517" s="224"/>
      <c r="AG1517" s="259"/>
      <c r="AH1517" s="261"/>
      <c r="AI1517" s="261"/>
      <c r="AJ1517" s="261"/>
      <c r="AK1517" s="261"/>
      <c r="AL1517" s="261"/>
      <c r="AM1517" s="262"/>
    </row>
    <row r="1518" spans="1:39" x14ac:dyDescent="0.25">
      <c r="A1518" s="215"/>
      <c r="B1518" s="215"/>
      <c r="C1518" s="215"/>
      <c r="D1518" s="239"/>
      <c r="E1518" s="239"/>
      <c r="F1518" s="239"/>
      <c r="G1518" s="239"/>
      <c r="H1518" s="239"/>
      <c r="I1518" s="257"/>
      <c r="J1518" s="240"/>
      <c r="K1518" s="240"/>
      <c r="L1518" s="240"/>
      <c r="M1518" s="240"/>
      <c r="N1518" s="240"/>
      <c r="O1518" s="258"/>
      <c r="P1518" s="224"/>
      <c r="Q1518" s="224"/>
      <c r="R1518" s="224"/>
      <c r="S1518" s="224"/>
      <c r="T1518" s="224"/>
      <c r="U1518" s="259"/>
      <c r="V1518" s="239"/>
      <c r="W1518" s="239"/>
      <c r="X1518" s="239"/>
      <c r="Y1518" s="239"/>
      <c r="Z1518" s="239"/>
      <c r="AA1518" s="257"/>
      <c r="AB1518" s="224"/>
      <c r="AC1518" s="224"/>
      <c r="AD1518" s="224"/>
      <c r="AE1518" s="224"/>
      <c r="AF1518" s="224"/>
      <c r="AG1518" s="259"/>
      <c r="AH1518" s="261"/>
      <c r="AI1518" s="261"/>
      <c r="AJ1518" s="261"/>
      <c r="AK1518" s="261"/>
      <c r="AL1518" s="261"/>
      <c r="AM1518" s="262"/>
    </row>
    <row r="1519" spans="1:39" x14ac:dyDescent="0.25">
      <c r="A1519" s="215"/>
      <c r="B1519" s="215"/>
      <c r="C1519" s="215"/>
      <c r="D1519" s="239"/>
      <c r="E1519" s="239"/>
      <c r="F1519" s="239"/>
      <c r="G1519" s="239"/>
      <c r="H1519" s="239"/>
      <c r="I1519" s="257"/>
      <c r="J1519" s="240"/>
      <c r="K1519" s="240"/>
      <c r="L1519" s="240"/>
      <c r="M1519" s="240"/>
      <c r="N1519" s="240"/>
      <c r="O1519" s="258"/>
      <c r="P1519" s="224"/>
      <c r="Q1519" s="224"/>
      <c r="R1519" s="224"/>
      <c r="S1519" s="224"/>
      <c r="T1519" s="224"/>
      <c r="U1519" s="259"/>
      <c r="V1519" s="239"/>
      <c r="W1519" s="239"/>
      <c r="X1519" s="239"/>
      <c r="Y1519" s="239"/>
      <c r="Z1519" s="239"/>
      <c r="AA1519" s="257"/>
      <c r="AB1519" s="224"/>
      <c r="AC1519" s="224"/>
      <c r="AD1519" s="224"/>
      <c r="AE1519" s="224"/>
      <c r="AF1519" s="224"/>
      <c r="AG1519" s="259"/>
      <c r="AH1519" s="261"/>
      <c r="AI1519" s="261"/>
      <c r="AJ1519" s="261"/>
      <c r="AK1519" s="261"/>
      <c r="AL1519" s="261"/>
      <c r="AM1519" s="262"/>
    </row>
    <row r="1520" spans="1:39" x14ac:dyDescent="0.25">
      <c r="A1520" s="215"/>
      <c r="B1520" s="215"/>
      <c r="C1520" s="215"/>
      <c r="D1520" s="239"/>
      <c r="E1520" s="239"/>
      <c r="F1520" s="239"/>
      <c r="G1520" s="239"/>
      <c r="H1520" s="239"/>
      <c r="I1520" s="257"/>
      <c r="J1520" s="240"/>
      <c r="K1520" s="240"/>
      <c r="L1520" s="240"/>
      <c r="M1520" s="240"/>
      <c r="N1520" s="240"/>
      <c r="O1520" s="258"/>
      <c r="P1520" s="224"/>
      <c r="Q1520" s="224"/>
      <c r="R1520" s="224"/>
      <c r="S1520" s="224"/>
      <c r="T1520" s="224"/>
      <c r="U1520" s="259"/>
      <c r="V1520" s="239"/>
      <c r="W1520" s="239"/>
      <c r="X1520" s="239"/>
      <c r="Y1520" s="239"/>
      <c r="Z1520" s="239"/>
      <c r="AA1520" s="257"/>
      <c r="AB1520" s="224"/>
      <c r="AC1520" s="224"/>
      <c r="AD1520" s="224"/>
      <c r="AE1520" s="224"/>
      <c r="AF1520" s="224"/>
      <c r="AG1520" s="259"/>
      <c r="AH1520" s="261"/>
      <c r="AI1520" s="261"/>
      <c r="AJ1520" s="261"/>
      <c r="AK1520" s="261"/>
      <c r="AL1520" s="261"/>
      <c r="AM1520" s="262"/>
    </row>
    <row r="1521" spans="1:39" x14ac:dyDescent="0.25">
      <c r="A1521" s="215"/>
      <c r="B1521" s="215"/>
      <c r="C1521" s="215"/>
      <c r="D1521" s="239"/>
      <c r="E1521" s="239"/>
      <c r="F1521" s="239"/>
      <c r="G1521" s="239"/>
      <c r="H1521" s="239"/>
      <c r="I1521" s="257"/>
      <c r="J1521" s="240"/>
      <c r="K1521" s="240"/>
      <c r="L1521" s="240"/>
      <c r="M1521" s="240"/>
      <c r="N1521" s="240"/>
      <c r="O1521" s="258"/>
      <c r="P1521" s="224"/>
      <c r="Q1521" s="224"/>
      <c r="R1521" s="224"/>
      <c r="S1521" s="224"/>
      <c r="T1521" s="224"/>
      <c r="U1521" s="259"/>
      <c r="V1521" s="239"/>
      <c r="W1521" s="239"/>
      <c r="X1521" s="239"/>
      <c r="Y1521" s="239"/>
      <c r="Z1521" s="239"/>
      <c r="AA1521" s="257"/>
      <c r="AB1521" s="224"/>
      <c r="AC1521" s="224"/>
      <c r="AD1521" s="224"/>
      <c r="AE1521" s="224"/>
      <c r="AF1521" s="224"/>
      <c r="AG1521" s="259"/>
      <c r="AH1521" s="261"/>
      <c r="AI1521" s="261"/>
      <c r="AJ1521" s="261"/>
      <c r="AK1521" s="261"/>
      <c r="AL1521" s="261"/>
      <c r="AM1521" s="262"/>
    </row>
    <row r="1522" spans="1:39" x14ac:dyDescent="0.25">
      <c r="A1522" s="215"/>
      <c r="B1522" s="215"/>
      <c r="C1522" s="215"/>
      <c r="D1522" s="239"/>
      <c r="E1522" s="239"/>
      <c r="F1522" s="239"/>
      <c r="G1522" s="239"/>
      <c r="H1522" s="239"/>
      <c r="I1522" s="257"/>
      <c r="J1522" s="240"/>
      <c r="K1522" s="240"/>
      <c r="L1522" s="240"/>
      <c r="M1522" s="240"/>
      <c r="N1522" s="240"/>
      <c r="O1522" s="258"/>
      <c r="P1522" s="224"/>
      <c r="Q1522" s="224"/>
      <c r="R1522" s="224"/>
      <c r="S1522" s="224"/>
      <c r="T1522" s="224"/>
      <c r="U1522" s="259"/>
      <c r="V1522" s="239"/>
      <c r="W1522" s="239"/>
      <c r="X1522" s="239"/>
      <c r="Y1522" s="239"/>
      <c r="Z1522" s="239"/>
      <c r="AA1522" s="257"/>
      <c r="AB1522" s="224"/>
      <c r="AC1522" s="224"/>
      <c r="AD1522" s="224"/>
      <c r="AE1522" s="224"/>
      <c r="AF1522" s="224"/>
      <c r="AG1522" s="259"/>
      <c r="AH1522" s="261"/>
      <c r="AI1522" s="261"/>
      <c r="AJ1522" s="261"/>
      <c r="AK1522" s="261"/>
      <c r="AL1522" s="261"/>
      <c r="AM1522" s="262"/>
    </row>
    <row r="1523" spans="1:39" x14ac:dyDescent="0.25">
      <c r="A1523" s="215"/>
      <c r="B1523" s="215"/>
      <c r="C1523" s="215"/>
      <c r="D1523" s="239"/>
      <c r="E1523" s="239"/>
      <c r="F1523" s="239"/>
      <c r="G1523" s="239"/>
      <c r="H1523" s="239"/>
      <c r="I1523" s="257"/>
      <c r="J1523" s="240"/>
      <c r="K1523" s="240"/>
      <c r="L1523" s="240"/>
      <c r="M1523" s="240"/>
      <c r="N1523" s="240"/>
      <c r="O1523" s="258"/>
      <c r="P1523" s="224"/>
      <c r="Q1523" s="224"/>
      <c r="R1523" s="224"/>
      <c r="S1523" s="224"/>
      <c r="T1523" s="224"/>
      <c r="U1523" s="259"/>
      <c r="V1523" s="239"/>
      <c r="W1523" s="239"/>
      <c r="X1523" s="239"/>
      <c r="Y1523" s="239"/>
      <c r="Z1523" s="239"/>
      <c r="AA1523" s="257"/>
      <c r="AB1523" s="224"/>
      <c r="AC1523" s="224"/>
      <c r="AD1523" s="224"/>
      <c r="AE1523" s="224"/>
      <c r="AF1523" s="224"/>
      <c r="AG1523" s="259"/>
      <c r="AH1523" s="261"/>
      <c r="AI1523" s="261"/>
      <c r="AJ1523" s="261"/>
      <c r="AK1523" s="261"/>
      <c r="AL1523" s="261"/>
      <c r="AM1523" s="262"/>
    </row>
    <row r="1524" spans="1:39" x14ac:dyDescent="0.25">
      <c r="A1524" s="215"/>
      <c r="B1524" s="215"/>
      <c r="C1524" s="215"/>
      <c r="D1524" s="239"/>
      <c r="E1524" s="239"/>
      <c r="F1524" s="239"/>
      <c r="G1524" s="239"/>
      <c r="H1524" s="239"/>
      <c r="I1524" s="257"/>
      <c r="J1524" s="240"/>
      <c r="K1524" s="240"/>
      <c r="L1524" s="240"/>
      <c r="M1524" s="240"/>
      <c r="N1524" s="240"/>
      <c r="O1524" s="258"/>
      <c r="P1524" s="224"/>
      <c r="Q1524" s="224"/>
      <c r="R1524" s="224"/>
      <c r="S1524" s="224"/>
      <c r="T1524" s="224"/>
      <c r="U1524" s="259"/>
      <c r="V1524" s="239"/>
      <c r="W1524" s="239"/>
      <c r="X1524" s="239"/>
      <c r="Y1524" s="239"/>
      <c r="Z1524" s="239"/>
      <c r="AA1524" s="257"/>
      <c r="AB1524" s="224"/>
      <c r="AC1524" s="224"/>
      <c r="AD1524" s="224"/>
      <c r="AE1524" s="224"/>
      <c r="AF1524" s="224"/>
      <c r="AG1524" s="259"/>
      <c r="AH1524" s="261"/>
      <c r="AI1524" s="261"/>
      <c r="AJ1524" s="261"/>
      <c r="AK1524" s="261"/>
      <c r="AL1524" s="261"/>
      <c r="AM1524" s="262"/>
    </row>
    <row r="1525" spans="1:39" x14ac:dyDescent="0.25">
      <c r="A1525" s="215"/>
      <c r="B1525" s="215"/>
      <c r="C1525" s="215"/>
      <c r="D1525" s="239"/>
      <c r="E1525" s="239"/>
      <c r="F1525" s="239"/>
      <c r="G1525" s="239"/>
      <c r="H1525" s="239"/>
      <c r="I1525" s="257"/>
      <c r="J1525" s="240"/>
      <c r="K1525" s="240"/>
      <c r="L1525" s="240"/>
      <c r="M1525" s="240"/>
      <c r="N1525" s="240"/>
      <c r="O1525" s="258"/>
      <c r="P1525" s="224"/>
      <c r="Q1525" s="224"/>
      <c r="R1525" s="224"/>
      <c r="S1525" s="224"/>
      <c r="T1525" s="224"/>
      <c r="U1525" s="259"/>
      <c r="V1525" s="239"/>
      <c r="W1525" s="239"/>
      <c r="X1525" s="239"/>
      <c r="Y1525" s="239"/>
      <c r="Z1525" s="239"/>
      <c r="AA1525" s="257"/>
      <c r="AB1525" s="224"/>
      <c r="AC1525" s="224"/>
      <c r="AD1525" s="224"/>
      <c r="AE1525" s="224"/>
      <c r="AF1525" s="224"/>
      <c r="AG1525" s="259"/>
      <c r="AH1525" s="261"/>
      <c r="AI1525" s="261"/>
      <c r="AJ1525" s="261"/>
      <c r="AK1525" s="261"/>
      <c r="AL1525" s="261"/>
      <c r="AM1525" s="262"/>
    </row>
    <row r="1526" spans="1:39" x14ac:dyDescent="0.25">
      <c r="A1526" s="215"/>
      <c r="B1526" s="215"/>
      <c r="C1526" s="215"/>
      <c r="D1526" s="239"/>
      <c r="E1526" s="239"/>
      <c r="F1526" s="239"/>
      <c r="G1526" s="239"/>
      <c r="H1526" s="239"/>
      <c r="I1526" s="257"/>
      <c r="J1526" s="240"/>
      <c r="K1526" s="240"/>
      <c r="L1526" s="240"/>
      <c r="M1526" s="240"/>
      <c r="N1526" s="240"/>
      <c r="O1526" s="258"/>
      <c r="P1526" s="224"/>
      <c r="Q1526" s="224"/>
      <c r="R1526" s="224"/>
      <c r="S1526" s="224"/>
      <c r="T1526" s="224"/>
      <c r="U1526" s="259"/>
      <c r="V1526" s="239"/>
      <c r="W1526" s="239"/>
      <c r="X1526" s="239"/>
      <c r="Y1526" s="239"/>
      <c r="Z1526" s="239"/>
      <c r="AA1526" s="257"/>
      <c r="AB1526" s="224"/>
      <c r="AC1526" s="224"/>
      <c r="AD1526" s="224"/>
      <c r="AE1526" s="224"/>
      <c r="AF1526" s="224"/>
      <c r="AG1526" s="259"/>
      <c r="AH1526" s="261"/>
      <c r="AI1526" s="261"/>
      <c r="AJ1526" s="261"/>
      <c r="AK1526" s="261"/>
      <c r="AL1526" s="261"/>
      <c r="AM1526" s="262"/>
    </row>
    <row r="1527" spans="1:39" x14ac:dyDescent="0.25">
      <c r="A1527" s="215"/>
      <c r="B1527" s="215"/>
      <c r="C1527" s="215"/>
      <c r="D1527" s="239"/>
      <c r="E1527" s="239"/>
      <c r="F1527" s="239"/>
      <c r="G1527" s="239"/>
      <c r="H1527" s="239"/>
      <c r="I1527" s="257"/>
      <c r="J1527" s="240"/>
      <c r="K1527" s="240"/>
      <c r="L1527" s="240"/>
      <c r="M1527" s="240"/>
      <c r="N1527" s="240"/>
      <c r="O1527" s="258"/>
      <c r="P1527" s="224"/>
      <c r="Q1527" s="224"/>
      <c r="R1527" s="224"/>
      <c r="S1527" s="224"/>
      <c r="T1527" s="224"/>
      <c r="U1527" s="259"/>
      <c r="V1527" s="239"/>
      <c r="W1527" s="239"/>
      <c r="X1527" s="239"/>
      <c r="Y1527" s="239"/>
      <c r="Z1527" s="239"/>
      <c r="AA1527" s="257"/>
      <c r="AB1527" s="224"/>
      <c r="AC1527" s="224"/>
      <c r="AD1527" s="224"/>
      <c r="AE1527" s="224"/>
      <c r="AF1527" s="224"/>
      <c r="AG1527" s="259"/>
      <c r="AH1527" s="261"/>
      <c r="AI1527" s="261"/>
      <c r="AJ1527" s="261"/>
      <c r="AK1527" s="261"/>
      <c r="AL1527" s="261"/>
      <c r="AM1527" s="262"/>
    </row>
    <row r="1528" spans="1:39" x14ac:dyDescent="0.25">
      <c r="A1528" s="215"/>
      <c r="B1528" s="215"/>
      <c r="C1528" s="215"/>
      <c r="D1528" s="239"/>
      <c r="E1528" s="239"/>
      <c r="F1528" s="239"/>
      <c r="G1528" s="239"/>
      <c r="H1528" s="239"/>
      <c r="I1528" s="257"/>
      <c r="J1528" s="240"/>
      <c r="K1528" s="240"/>
      <c r="L1528" s="240"/>
      <c r="M1528" s="240"/>
      <c r="N1528" s="240"/>
      <c r="O1528" s="258"/>
      <c r="P1528" s="224"/>
      <c r="Q1528" s="224"/>
      <c r="R1528" s="224"/>
      <c r="S1528" s="224"/>
      <c r="T1528" s="224"/>
      <c r="U1528" s="259"/>
      <c r="V1528" s="239"/>
      <c r="W1528" s="239"/>
      <c r="X1528" s="239"/>
      <c r="Y1528" s="239"/>
      <c r="Z1528" s="239"/>
      <c r="AA1528" s="257"/>
      <c r="AB1528" s="224"/>
      <c r="AC1528" s="224"/>
      <c r="AD1528" s="224"/>
      <c r="AE1528" s="224"/>
      <c r="AF1528" s="224"/>
      <c r="AG1528" s="259"/>
      <c r="AH1528" s="261"/>
      <c r="AI1528" s="261"/>
      <c r="AJ1528" s="261"/>
      <c r="AK1528" s="261"/>
      <c r="AL1528" s="261"/>
      <c r="AM1528" s="262"/>
    </row>
    <row r="1529" spans="1:39" x14ac:dyDescent="0.25">
      <c r="A1529" s="215"/>
      <c r="B1529" s="215"/>
      <c r="C1529" s="215"/>
      <c r="D1529" s="239"/>
      <c r="E1529" s="239"/>
      <c r="F1529" s="239"/>
      <c r="G1529" s="239"/>
      <c r="H1529" s="239"/>
      <c r="I1529" s="257"/>
      <c r="J1529" s="240"/>
      <c r="K1529" s="240"/>
      <c r="L1529" s="240"/>
      <c r="M1529" s="240"/>
      <c r="N1529" s="240"/>
      <c r="O1529" s="258"/>
      <c r="P1529" s="224"/>
      <c r="Q1529" s="224"/>
      <c r="R1529" s="224"/>
      <c r="S1529" s="224"/>
      <c r="T1529" s="224"/>
      <c r="U1529" s="259"/>
      <c r="V1529" s="239"/>
      <c r="W1529" s="239"/>
      <c r="X1529" s="239"/>
      <c r="Y1529" s="239"/>
      <c r="Z1529" s="239"/>
      <c r="AA1529" s="257"/>
      <c r="AB1529" s="224"/>
      <c r="AC1529" s="224"/>
      <c r="AD1529" s="224"/>
      <c r="AE1529" s="224"/>
      <c r="AF1529" s="224"/>
      <c r="AG1529" s="259"/>
      <c r="AH1529" s="261"/>
      <c r="AI1529" s="261"/>
      <c r="AJ1529" s="261"/>
      <c r="AK1529" s="261"/>
      <c r="AL1529" s="261"/>
      <c r="AM1529" s="262"/>
    </row>
    <row r="1530" spans="1:39" x14ac:dyDescent="0.25">
      <c r="A1530" s="215"/>
      <c r="B1530" s="215"/>
      <c r="C1530" s="215"/>
      <c r="D1530" s="239"/>
      <c r="E1530" s="239"/>
      <c r="F1530" s="239"/>
      <c r="G1530" s="239"/>
      <c r="H1530" s="239"/>
      <c r="I1530" s="257"/>
      <c r="J1530" s="240"/>
      <c r="K1530" s="240"/>
      <c r="L1530" s="240"/>
      <c r="M1530" s="240"/>
      <c r="N1530" s="240"/>
      <c r="O1530" s="258"/>
      <c r="P1530" s="224"/>
      <c r="Q1530" s="224"/>
      <c r="R1530" s="224"/>
      <c r="S1530" s="224"/>
      <c r="T1530" s="224"/>
      <c r="U1530" s="259"/>
      <c r="V1530" s="239"/>
      <c r="W1530" s="239"/>
      <c r="X1530" s="239"/>
      <c r="Y1530" s="239"/>
      <c r="Z1530" s="239"/>
      <c r="AA1530" s="257"/>
      <c r="AB1530" s="224"/>
      <c r="AC1530" s="224"/>
      <c r="AD1530" s="224"/>
      <c r="AE1530" s="224"/>
      <c r="AF1530" s="224"/>
      <c r="AG1530" s="259"/>
      <c r="AH1530" s="261"/>
      <c r="AI1530" s="261"/>
      <c r="AJ1530" s="261"/>
      <c r="AK1530" s="261"/>
      <c r="AL1530" s="261"/>
      <c r="AM1530" s="262"/>
    </row>
    <row r="1531" spans="1:39" x14ac:dyDescent="0.25">
      <c r="A1531" s="215"/>
      <c r="B1531" s="215"/>
      <c r="C1531" s="215"/>
      <c r="D1531" s="239"/>
      <c r="E1531" s="239"/>
      <c r="F1531" s="239"/>
      <c r="G1531" s="239"/>
      <c r="H1531" s="239"/>
      <c r="I1531" s="257"/>
      <c r="J1531" s="240"/>
      <c r="K1531" s="240"/>
      <c r="L1531" s="240"/>
      <c r="M1531" s="240"/>
      <c r="N1531" s="240"/>
      <c r="O1531" s="258"/>
      <c r="P1531" s="224"/>
      <c r="Q1531" s="224"/>
      <c r="R1531" s="224"/>
      <c r="S1531" s="224"/>
      <c r="T1531" s="224"/>
      <c r="U1531" s="259"/>
      <c r="V1531" s="239"/>
      <c r="W1531" s="239"/>
      <c r="X1531" s="239"/>
      <c r="Y1531" s="239"/>
      <c r="Z1531" s="239"/>
      <c r="AA1531" s="257"/>
      <c r="AB1531" s="224"/>
      <c r="AC1531" s="224"/>
      <c r="AD1531" s="224"/>
      <c r="AE1531" s="224"/>
      <c r="AF1531" s="224"/>
      <c r="AG1531" s="259"/>
      <c r="AH1531" s="261"/>
      <c r="AI1531" s="261"/>
      <c r="AJ1531" s="261"/>
      <c r="AK1531" s="261"/>
      <c r="AL1531" s="261"/>
      <c r="AM1531" s="262"/>
    </row>
    <row r="1532" spans="1:39" x14ac:dyDescent="0.25">
      <c r="A1532" s="215"/>
      <c r="B1532" s="215"/>
      <c r="C1532" s="215"/>
      <c r="D1532" s="239"/>
      <c r="E1532" s="239"/>
      <c r="F1532" s="239"/>
      <c r="G1532" s="239"/>
      <c r="H1532" s="239"/>
      <c r="I1532" s="257"/>
      <c r="J1532" s="240"/>
      <c r="K1532" s="240"/>
      <c r="L1532" s="240"/>
      <c r="M1532" s="240"/>
      <c r="N1532" s="240"/>
      <c r="O1532" s="258"/>
      <c r="P1532" s="224"/>
      <c r="Q1532" s="224"/>
      <c r="R1532" s="224"/>
      <c r="S1532" s="224"/>
      <c r="T1532" s="224"/>
      <c r="U1532" s="259"/>
      <c r="V1532" s="239"/>
      <c r="W1532" s="239"/>
      <c r="X1532" s="239"/>
      <c r="Y1532" s="239"/>
      <c r="Z1532" s="239"/>
      <c r="AA1532" s="257"/>
      <c r="AB1532" s="224"/>
      <c r="AC1532" s="224"/>
      <c r="AD1532" s="224"/>
      <c r="AE1532" s="224"/>
      <c r="AF1532" s="224"/>
      <c r="AG1532" s="259"/>
      <c r="AH1532" s="261"/>
      <c r="AI1532" s="261"/>
      <c r="AJ1532" s="261"/>
      <c r="AK1532" s="261"/>
      <c r="AL1532" s="261"/>
      <c r="AM1532" s="262"/>
    </row>
    <row r="1533" spans="1:39" x14ac:dyDescent="0.25">
      <c r="A1533" s="215"/>
      <c r="B1533" s="215"/>
      <c r="C1533" s="215"/>
      <c r="D1533" s="239"/>
      <c r="E1533" s="239"/>
      <c r="F1533" s="239"/>
      <c r="G1533" s="239"/>
      <c r="H1533" s="239"/>
      <c r="I1533" s="257"/>
      <c r="J1533" s="240"/>
      <c r="K1533" s="240"/>
      <c r="L1533" s="240"/>
      <c r="M1533" s="240"/>
      <c r="N1533" s="240"/>
      <c r="O1533" s="258"/>
      <c r="P1533" s="224"/>
      <c r="Q1533" s="224"/>
      <c r="R1533" s="224"/>
      <c r="S1533" s="224"/>
      <c r="T1533" s="224"/>
      <c r="U1533" s="259"/>
      <c r="V1533" s="239"/>
      <c r="W1533" s="239"/>
      <c r="X1533" s="239"/>
      <c r="Y1533" s="239"/>
      <c r="Z1533" s="239"/>
      <c r="AA1533" s="257"/>
      <c r="AB1533" s="224"/>
      <c r="AC1533" s="224"/>
      <c r="AD1533" s="224"/>
      <c r="AE1533" s="224"/>
      <c r="AF1533" s="224"/>
      <c r="AG1533" s="259"/>
      <c r="AH1533" s="261"/>
      <c r="AI1533" s="261"/>
      <c r="AJ1533" s="261"/>
      <c r="AK1533" s="261"/>
      <c r="AL1533" s="261"/>
      <c r="AM1533" s="262"/>
    </row>
    <row r="1534" spans="1:39" x14ac:dyDescent="0.25">
      <c r="A1534" s="215"/>
      <c r="B1534" s="215"/>
      <c r="C1534" s="215"/>
      <c r="D1534" s="239"/>
      <c r="E1534" s="239"/>
      <c r="F1534" s="239"/>
      <c r="G1534" s="239"/>
      <c r="H1534" s="239"/>
      <c r="I1534" s="257"/>
      <c r="J1534" s="240"/>
      <c r="K1534" s="240"/>
      <c r="L1534" s="240"/>
      <c r="M1534" s="240"/>
      <c r="N1534" s="240"/>
      <c r="O1534" s="258"/>
      <c r="P1534" s="224"/>
      <c r="Q1534" s="224"/>
      <c r="R1534" s="224"/>
      <c r="S1534" s="224"/>
      <c r="T1534" s="224"/>
      <c r="U1534" s="259"/>
      <c r="V1534" s="239"/>
      <c r="W1534" s="239"/>
      <c r="X1534" s="239"/>
      <c r="Y1534" s="239"/>
      <c r="Z1534" s="239"/>
      <c r="AA1534" s="257"/>
      <c r="AB1534" s="224"/>
      <c r="AC1534" s="224"/>
      <c r="AD1534" s="224"/>
      <c r="AE1534" s="224"/>
      <c r="AF1534" s="224"/>
      <c r="AG1534" s="259"/>
      <c r="AH1534" s="261"/>
      <c r="AI1534" s="261"/>
      <c r="AJ1534" s="261"/>
      <c r="AK1534" s="261"/>
      <c r="AL1534" s="261"/>
      <c r="AM1534" s="262"/>
    </row>
    <row r="1535" spans="1:39" x14ac:dyDescent="0.25">
      <c r="A1535" s="215"/>
      <c r="B1535" s="215"/>
      <c r="C1535" s="215"/>
      <c r="D1535" s="239"/>
      <c r="E1535" s="239"/>
      <c r="F1535" s="239"/>
      <c r="G1535" s="239"/>
      <c r="H1535" s="239"/>
      <c r="I1535" s="257"/>
      <c r="J1535" s="240"/>
      <c r="K1535" s="240"/>
      <c r="L1535" s="240"/>
      <c r="M1535" s="240"/>
      <c r="N1535" s="240"/>
      <c r="O1535" s="258"/>
      <c r="P1535" s="224"/>
      <c r="Q1535" s="224"/>
      <c r="R1535" s="224"/>
      <c r="S1535" s="224"/>
      <c r="T1535" s="224"/>
      <c r="U1535" s="259"/>
      <c r="V1535" s="239"/>
      <c r="W1535" s="239"/>
      <c r="X1535" s="239"/>
      <c r="Y1535" s="239"/>
      <c r="Z1535" s="239"/>
      <c r="AA1535" s="257"/>
      <c r="AB1535" s="224"/>
      <c r="AC1535" s="224"/>
      <c r="AD1535" s="224"/>
      <c r="AE1535" s="224"/>
      <c r="AF1535" s="224"/>
      <c r="AG1535" s="259"/>
      <c r="AH1535" s="261"/>
      <c r="AI1535" s="261"/>
      <c r="AJ1535" s="261"/>
      <c r="AK1535" s="261"/>
      <c r="AL1535" s="261"/>
      <c r="AM1535" s="262"/>
    </row>
    <row r="1536" spans="1:39" x14ac:dyDescent="0.25">
      <c r="A1536" s="215"/>
      <c r="B1536" s="215"/>
      <c r="C1536" s="215"/>
      <c r="D1536" s="239"/>
      <c r="E1536" s="239"/>
      <c r="F1536" s="239"/>
      <c r="G1536" s="239"/>
      <c r="H1536" s="239"/>
      <c r="I1536" s="257"/>
      <c r="J1536" s="240"/>
      <c r="K1536" s="240"/>
      <c r="L1536" s="240"/>
      <c r="M1536" s="240"/>
      <c r="N1536" s="240"/>
      <c r="O1536" s="258"/>
      <c r="P1536" s="224"/>
      <c r="Q1536" s="224"/>
      <c r="R1536" s="224"/>
      <c r="S1536" s="224"/>
      <c r="T1536" s="224"/>
      <c r="U1536" s="259"/>
      <c r="V1536" s="239"/>
      <c r="W1536" s="239"/>
      <c r="X1536" s="239"/>
      <c r="Y1536" s="239"/>
      <c r="Z1536" s="239"/>
      <c r="AA1536" s="257"/>
      <c r="AB1536" s="224"/>
      <c r="AC1536" s="224"/>
      <c r="AD1536" s="224"/>
      <c r="AE1536" s="224"/>
      <c r="AF1536" s="224"/>
      <c r="AG1536" s="259"/>
      <c r="AH1536" s="261"/>
      <c r="AI1536" s="261"/>
      <c r="AJ1536" s="261"/>
      <c r="AK1536" s="261"/>
      <c r="AL1536" s="261"/>
      <c r="AM1536" s="262"/>
    </row>
    <row r="1537" spans="1:39" x14ac:dyDescent="0.25">
      <c r="A1537" s="215"/>
      <c r="B1537" s="215"/>
      <c r="C1537" s="215"/>
      <c r="D1537" s="239"/>
      <c r="E1537" s="239"/>
      <c r="F1537" s="239"/>
      <c r="G1537" s="239"/>
      <c r="H1537" s="239"/>
      <c r="I1537" s="257"/>
      <c r="J1537" s="240"/>
      <c r="K1537" s="240"/>
      <c r="L1537" s="240"/>
      <c r="M1537" s="240"/>
      <c r="N1537" s="240"/>
      <c r="O1537" s="258"/>
      <c r="P1537" s="224"/>
      <c r="Q1537" s="224"/>
      <c r="R1537" s="224"/>
      <c r="S1537" s="224"/>
      <c r="T1537" s="224"/>
      <c r="U1537" s="259"/>
      <c r="V1537" s="239"/>
      <c r="W1537" s="239"/>
      <c r="X1537" s="239"/>
      <c r="Y1537" s="239"/>
      <c r="Z1537" s="239"/>
      <c r="AA1537" s="257"/>
      <c r="AB1537" s="224"/>
      <c r="AC1537" s="224"/>
      <c r="AD1537" s="224"/>
      <c r="AE1537" s="224"/>
      <c r="AF1537" s="224"/>
      <c r="AG1537" s="259"/>
      <c r="AH1537" s="261"/>
      <c r="AI1537" s="261"/>
      <c r="AJ1537" s="261"/>
      <c r="AK1537" s="261"/>
      <c r="AL1537" s="261"/>
      <c r="AM1537" s="262"/>
    </row>
    <row r="1538" spans="1:39" x14ac:dyDescent="0.25">
      <c r="A1538" s="215"/>
      <c r="B1538" s="215"/>
      <c r="C1538" s="215"/>
      <c r="D1538" s="239"/>
      <c r="E1538" s="239"/>
      <c r="F1538" s="239"/>
      <c r="G1538" s="239"/>
      <c r="H1538" s="239"/>
      <c r="I1538" s="257"/>
      <c r="J1538" s="240"/>
      <c r="K1538" s="240"/>
      <c r="L1538" s="240"/>
      <c r="M1538" s="240"/>
      <c r="N1538" s="240"/>
      <c r="O1538" s="258"/>
      <c r="P1538" s="224"/>
      <c r="Q1538" s="224"/>
      <c r="R1538" s="224"/>
      <c r="S1538" s="224"/>
      <c r="T1538" s="224"/>
      <c r="U1538" s="259"/>
      <c r="V1538" s="239"/>
      <c r="W1538" s="239"/>
      <c r="X1538" s="239"/>
      <c r="Y1538" s="239"/>
      <c r="Z1538" s="239"/>
      <c r="AA1538" s="257"/>
      <c r="AB1538" s="224"/>
      <c r="AC1538" s="224"/>
      <c r="AD1538" s="224"/>
      <c r="AE1538" s="224"/>
      <c r="AF1538" s="224"/>
      <c r="AG1538" s="259"/>
      <c r="AH1538" s="261"/>
      <c r="AI1538" s="261"/>
      <c r="AJ1538" s="261"/>
      <c r="AK1538" s="261"/>
      <c r="AL1538" s="261"/>
      <c r="AM1538" s="262"/>
    </row>
    <row r="1539" spans="1:39" x14ac:dyDescent="0.25">
      <c r="A1539" s="215"/>
      <c r="B1539" s="215"/>
      <c r="C1539" s="215"/>
      <c r="D1539" s="239"/>
      <c r="E1539" s="239"/>
      <c r="F1539" s="239"/>
      <c r="G1539" s="239"/>
      <c r="H1539" s="239"/>
      <c r="I1539" s="257"/>
      <c r="J1539" s="240"/>
      <c r="K1539" s="240"/>
      <c r="L1539" s="240"/>
      <c r="M1539" s="240"/>
      <c r="N1539" s="240"/>
      <c r="O1539" s="258"/>
      <c r="P1539" s="224"/>
      <c r="Q1539" s="224"/>
      <c r="R1539" s="224"/>
      <c r="S1539" s="224"/>
      <c r="T1539" s="224"/>
      <c r="U1539" s="259"/>
      <c r="V1539" s="239"/>
      <c r="W1539" s="239"/>
      <c r="X1539" s="239"/>
      <c r="Y1539" s="239"/>
      <c r="Z1539" s="239"/>
      <c r="AA1539" s="257"/>
      <c r="AB1539" s="224"/>
      <c r="AC1539" s="224"/>
      <c r="AD1539" s="224"/>
      <c r="AE1539" s="224"/>
      <c r="AF1539" s="224"/>
      <c r="AG1539" s="259"/>
      <c r="AH1539" s="261"/>
      <c r="AI1539" s="261"/>
      <c r="AJ1539" s="261"/>
      <c r="AK1539" s="261"/>
      <c r="AL1539" s="261"/>
      <c r="AM1539" s="262"/>
    </row>
    <row r="1540" spans="1:39" x14ac:dyDescent="0.25">
      <c r="A1540" s="215"/>
      <c r="B1540" s="215"/>
      <c r="C1540" s="215"/>
      <c r="D1540" s="239"/>
      <c r="E1540" s="239"/>
      <c r="F1540" s="239"/>
      <c r="G1540" s="239"/>
      <c r="H1540" s="239"/>
      <c r="I1540" s="257"/>
      <c r="J1540" s="240"/>
      <c r="K1540" s="240"/>
      <c r="L1540" s="240"/>
      <c r="M1540" s="240"/>
      <c r="N1540" s="240"/>
      <c r="O1540" s="258"/>
      <c r="P1540" s="224"/>
      <c r="Q1540" s="224"/>
      <c r="R1540" s="224"/>
      <c r="S1540" s="224"/>
      <c r="T1540" s="224"/>
      <c r="U1540" s="259"/>
      <c r="V1540" s="239"/>
      <c r="W1540" s="239"/>
      <c r="X1540" s="239"/>
      <c r="Y1540" s="239"/>
      <c r="Z1540" s="239"/>
      <c r="AA1540" s="257"/>
      <c r="AB1540" s="224"/>
      <c r="AC1540" s="224"/>
      <c r="AD1540" s="224"/>
      <c r="AE1540" s="224"/>
      <c r="AF1540" s="224"/>
      <c r="AG1540" s="259"/>
      <c r="AH1540" s="261"/>
      <c r="AI1540" s="261"/>
      <c r="AJ1540" s="261"/>
      <c r="AK1540" s="261"/>
      <c r="AL1540" s="261"/>
      <c r="AM1540" s="262"/>
    </row>
    <row r="1541" spans="1:39" x14ac:dyDescent="0.25">
      <c r="A1541" s="215"/>
      <c r="B1541" s="215"/>
      <c r="C1541" s="215"/>
      <c r="D1541" s="239"/>
      <c r="E1541" s="239"/>
      <c r="F1541" s="239"/>
      <c r="G1541" s="239"/>
      <c r="H1541" s="239"/>
      <c r="I1541" s="257"/>
      <c r="J1541" s="240"/>
      <c r="K1541" s="240"/>
      <c r="L1541" s="240"/>
      <c r="M1541" s="240"/>
      <c r="N1541" s="240"/>
      <c r="O1541" s="258"/>
      <c r="P1541" s="224"/>
      <c r="Q1541" s="224"/>
      <c r="R1541" s="224"/>
      <c r="S1541" s="224"/>
      <c r="T1541" s="224"/>
      <c r="U1541" s="259"/>
      <c r="V1541" s="239"/>
      <c r="W1541" s="239"/>
      <c r="X1541" s="239"/>
      <c r="Y1541" s="239"/>
      <c r="Z1541" s="239"/>
      <c r="AA1541" s="257"/>
      <c r="AB1541" s="224"/>
      <c r="AC1541" s="224"/>
      <c r="AD1541" s="224"/>
      <c r="AE1541" s="224"/>
      <c r="AF1541" s="224"/>
      <c r="AG1541" s="259"/>
      <c r="AH1541" s="261"/>
      <c r="AI1541" s="261"/>
      <c r="AJ1541" s="261"/>
      <c r="AK1541" s="261"/>
      <c r="AL1541" s="261"/>
      <c r="AM1541" s="262"/>
    </row>
    <row r="1542" spans="1:39" x14ac:dyDescent="0.25">
      <c r="A1542" s="215"/>
      <c r="B1542" s="215"/>
      <c r="C1542" s="215"/>
      <c r="D1542" s="239"/>
      <c r="E1542" s="239"/>
      <c r="F1542" s="239"/>
      <c r="G1542" s="239"/>
      <c r="H1542" s="239"/>
      <c r="I1542" s="257"/>
      <c r="J1542" s="240"/>
      <c r="K1542" s="240"/>
      <c r="L1542" s="240"/>
      <c r="M1542" s="240"/>
      <c r="N1542" s="240"/>
      <c r="O1542" s="258"/>
      <c r="P1542" s="224"/>
      <c r="Q1542" s="224"/>
      <c r="R1542" s="224"/>
      <c r="S1542" s="224"/>
      <c r="T1542" s="224"/>
      <c r="U1542" s="259"/>
      <c r="V1542" s="239"/>
      <c r="W1542" s="239"/>
      <c r="X1542" s="239"/>
      <c r="Y1542" s="239"/>
      <c r="Z1542" s="239"/>
      <c r="AA1542" s="257"/>
      <c r="AB1542" s="224"/>
      <c r="AC1542" s="224"/>
      <c r="AD1542" s="224"/>
      <c r="AE1542" s="224"/>
      <c r="AF1542" s="224"/>
      <c r="AG1542" s="259"/>
      <c r="AH1542" s="261"/>
      <c r="AI1542" s="261"/>
      <c r="AJ1542" s="261"/>
      <c r="AK1542" s="261"/>
      <c r="AL1542" s="261"/>
      <c r="AM1542" s="262"/>
    </row>
    <row r="1543" spans="1:39" x14ac:dyDescent="0.25">
      <c r="A1543" s="215"/>
      <c r="B1543" s="215"/>
      <c r="C1543" s="215"/>
      <c r="D1543" s="239"/>
      <c r="E1543" s="239"/>
      <c r="F1543" s="239"/>
      <c r="G1543" s="239"/>
      <c r="H1543" s="239"/>
      <c r="I1543" s="257"/>
      <c r="J1543" s="240"/>
      <c r="K1543" s="240"/>
      <c r="L1543" s="240"/>
      <c r="M1543" s="240"/>
      <c r="N1543" s="240"/>
      <c r="O1543" s="258"/>
      <c r="P1543" s="224"/>
      <c r="Q1543" s="224"/>
      <c r="R1543" s="224"/>
      <c r="S1543" s="224"/>
      <c r="T1543" s="224"/>
      <c r="U1543" s="259"/>
      <c r="V1543" s="239"/>
      <c r="W1543" s="239"/>
      <c r="X1543" s="239"/>
      <c r="Y1543" s="239"/>
      <c r="Z1543" s="239"/>
      <c r="AA1543" s="257"/>
      <c r="AB1543" s="224"/>
      <c r="AC1543" s="224"/>
      <c r="AD1543" s="224"/>
      <c r="AE1543" s="224"/>
      <c r="AF1543" s="224"/>
      <c r="AG1543" s="259"/>
      <c r="AH1543" s="261"/>
      <c r="AI1543" s="261"/>
      <c r="AJ1543" s="261"/>
      <c r="AK1543" s="261"/>
      <c r="AL1543" s="261"/>
      <c r="AM1543" s="262"/>
    </row>
    <row r="1544" spans="1:39" x14ac:dyDescent="0.25">
      <c r="A1544" s="215"/>
      <c r="B1544" s="215"/>
      <c r="C1544" s="215"/>
      <c r="D1544" s="239"/>
      <c r="E1544" s="239"/>
      <c r="F1544" s="239"/>
      <c r="G1544" s="239"/>
      <c r="H1544" s="239"/>
      <c r="I1544" s="257"/>
      <c r="J1544" s="240"/>
      <c r="K1544" s="240"/>
      <c r="L1544" s="240"/>
      <c r="M1544" s="240"/>
      <c r="N1544" s="240"/>
      <c r="O1544" s="258"/>
      <c r="P1544" s="224"/>
      <c r="Q1544" s="224"/>
      <c r="R1544" s="224"/>
      <c r="S1544" s="224"/>
      <c r="T1544" s="224"/>
      <c r="U1544" s="259"/>
      <c r="V1544" s="239"/>
      <c r="W1544" s="239"/>
      <c r="X1544" s="239"/>
      <c r="Y1544" s="239"/>
      <c r="Z1544" s="239"/>
      <c r="AA1544" s="257"/>
      <c r="AB1544" s="224"/>
      <c r="AC1544" s="224"/>
      <c r="AD1544" s="224"/>
      <c r="AE1544" s="224"/>
      <c r="AF1544" s="224"/>
      <c r="AG1544" s="259"/>
      <c r="AH1544" s="261"/>
      <c r="AI1544" s="261"/>
      <c r="AJ1544" s="261"/>
      <c r="AK1544" s="261"/>
      <c r="AL1544" s="261"/>
      <c r="AM1544" s="262"/>
    </row>
    <row r="1545" spans="1:39" x14ac:dyDescent="0.25">
      <c r="A1545" s="215"/>
      <c r="B1545" s="215"/>
      <c r="C1545" s="215"/>
      <c r="D1545" s="239"/>
      <c r="E1545" s="239"/>
      <c r="F1545" s="239"/>
      <c r="G1545" s="239"/>
      <c r="H1545" s="239"/>
      <c r="I1545" s="257"/>
      <c r="J1545" s="240"/>
      <c r="K1545" s="240"/>
      <c r="L1545" s="240"/>
      <c r="M1545" s="240"/>
      <c r="N1545" s="240"/>
      <c r="O1545" s="258"/>
      <c r="P1545" s="224"/>
      <c r="Q1545" s="224"/>
      <c r="R1545" s="224"/>
      <c r="S1545" s="224"/>
      <c r="T1545" s="224"/>
      <c r="U1545" s="259"/>
      <c r="V1545" s="239"/>
      <c r="W1545" s="239"/>
      <c r="X1545" s="239"/>
      <c r="Y1545" s="239"/>
      <c r="Z1545" s="239"/>
      <c r="AA1545" s="257"/>
      <c r="AB1545" s="224"/>
      <c r="AC1545" s="224"/>
      <c r="AD1545" s="224"/>
      <c r="AE1545" s="224"/>
      <c r="AF1545" s="224"/>
      <c r="AG1545" s="259"/>
      <c r="AH1545" s="261"/>
      <c r="AI1545" s="261"/>
      <c r="AJ1545" s="261"/>
      <c r="AK1545" s="261"/>
      <c r="AL1545" s="261"/>
      <c r="AM1545" s="262"/>
    </row>
    <row r="1546" spans="1:39" x14ac:dyDescent="0.25">
      <c r="A1546" s="215"/>
      <c r="B1546" s="215"/>
      <c r="C1546" s="215"/>
      <c r="D1546" s="239"/>
      <c r="E1546" s="239"/>
      <c r="F1546" s="239"/>
      <c r="G1546" s="239"/>
      <c r="H1546" s="239"/>
      <c r="I1546" s="257"/>
      <c r="J1546" s="240"/>
      <c r="K1546" s="240"/>
      <c r="L1546" s="240"/>
      <c r="M1546" s="240"/>
      <c r="N1546" s="240"/>
      <c r="O1546" s="258"/>
      <c r="P1546" s="224"/>
      <c r="Q1546" s="224"/>
      <c r="R1546" s="224"/>
      <c r="S1546" s="224"/>
      <c r="T1546" s="224"/>
      <c r="U1546" s="259"/>
      <c r="V1546" s="239"/>
      <c r="W1546" s="239"/>
      <c r="X1546" s="239"/>
      <c r="Y1546" s="239"/>
      <c r="Z1546" s="239"/>
      <c r="AA1546" s="257"/>
      <c r="AB1546" s="224"/>
      <c r="AC1546" s="224"/>
      <c r="AD1546" s="224"/>
      <c r="AE1546" s="224"/>
      <c r="AF1546" s="224"/>
      <c r="AG1546" s="259"/>
      <c r="AH1546" s="261"/>
      <c r="AI1546" s="261"/>
      <c r="AJ1546" s="261"/>
      <c r="AK1546" s="261"/>
      <c r="AL1546" s="261"/>
      <c r="AM1546" s="262"/>
    </row>
    <row r="1547" spans="1:39" x14ac:dyDescent="0.25">
      <c r="A1547" s="215"/>
      <c r="B1547" s="215"/>
      <c r="C1547" s="215"/>
      <c r="D1547" s="239"/>
      <c r="E1547" s="239"/>
      <c r="F1547" s="239"/>
      <c r="G1547" s="239"/>
      <c r="H1547" s="239"/>
      <c r="I1547" s="257"/>
      <c r="J1547" s="240"/>
      <c r="K1547" s="240"/>
      <c r="L1547" s="240"/>
      <c r="M1547" s="240"/>
      <c r="N1547" s="240"/>
      <c r="O1547" s="258"/>
      <c r="P1547" s="224"/>
      <c r="Q1547" s="224"/>
      <c r="R1547" s="224"/>
      <c r="S1547" s="224"/>
      <c r="T1547" s="224"/>
      <c r="U1547" s="259"/>
      <c r="V1547" s="239"/>
      <c r="W1547" s="239"/>
      <c r="X1547" s="239"/>
      <c r="Y1547" s="239"/>
      <c r="Z1547" s="239"/>
      <c r="AA1547" s="257"/>
      <c r="AB1547" s="224"/>
      <c r="AC1547" s="224"/>
      <c r="AD1547" s="224"/>
      <c r="AE1547" s="224"/>
      <c r="AF1547" s="224"/>
      <c r="AG1547" s="259"/>
      <c r="AH1547" s="261"/>
      <c r="AI1547" s="261"/>
      <c r="AJ1547" s="261"/>
      <c r="AK1547" s="261"/>
      <c r="AL1547" s="261"/>
      <c r="AM1547" s="262"/>
    </row>
    <row r="1548" spans="1:39" x14ac:dyDescent="0.25">
      <c r="A1548" s="215"/>
      <c r="B1548" s="215"/>
      <c r="C1548" s="215"/>
      <c r="D1548" s="239"/>
      <c r="E1548" s="239"/>
      <c r="F1548" s="239"/>
      <c r="G1548" s="239"/>
      <c r="H1548" s="239"/>
      <c r="I1548" s="257"/>
      <c r="J1548" s="240"/>
      <c r="K1548" s="240"/>
      <c r="L1548" s="240"/>
      <c r="M1548" s="240"/>
      <c r="N1548" s="240"/>
      <c r="O1548" s="258"/>
      <c r="P1548" s="224"/>
      <c r="Q1548" s="224"/>
      <c r="R1548" s="224"/>
      <c r="S1548" s="224"/>
      <c r="T1548" s="224"/>
      <c r="U1548" s="259"/>
      <c r="V1548" s="239"/>
      <c r="W1548" s="239"/>
      <c r="X1548" s="239"/>
      <c r="Y1548" s="239"/>
      <c r="Z1548" s="239"/>
      <c r="AA1548" s="257"/>
      <c r="AB1548" s="224"/>
      <c r="AC1548" s="224"/>
      <c r="AD1548" s="224"/>
      <c r="AE1548" s="224"/>
      <c r="AF1548" s="224"/>
      <c r="AG1548" s="259"/>
      <c r="AH1548" s="261"/>
      <c r="AI1548" s="261"/>
      <c r="AJ1548" s="261"/>
      <c r="AK1548" s="261"/>
      <c r="AL1548" s="261"/>
      <c r="AM1548" s="262"/>
    </row>
    <row r="1549" spans="1:39" x14ac:dyDescent="0.25">
      <c r="A1549" s="215"/>
      <c r="B1549" s="215"/>
      <c r="C1549" s="215"/>
      <c r="D1549" s="239"/>
      <c r="E1549" s="239"/>
      <c r="F1549" s="239"/>
      <c r="G1549" s="239"/>
      <c r="H1549" s="239"/>
      <c r="I1549" s="257"/>
      <c r="J1549" s="240"/>
      <c r="K1549" s="240"/>
      <c r="L1549" s="240"/>
      <c r="M1549" s="240"/>
      <c r="N1549" s="240"/>
      <c r="O1549" s="258"/>
      <c r="P1549" s="224"/>
      <c r="Q1549" s="224"/>
      <c r="R1549" s="224"/>
      <c r="S1549" s="224"/>
      <c r="T1549" s="224"/>
      <c r="U1549" s="259"/>
      <c r="V1549" s="239"/>
      <c r="W1549" s="239"/>
      <c r="X1549" s="239"/>
      <c r="Y1549" s="239"/>
      <c r="Z1549" s="239"/>
      <c r="AA1549" s="257"/>
      <c r="AB1549" s="224"/>
      <c r="AC1549" s="224"/>
      <c r="AD1549" s="224"/>
      <c r="AE1549" s="224"/>
      <c r="AF1549" s="224"/>
      <c r="AG1549" s="259"/>
      <c r="AH1549" s="261"/>
      <c r="AI1549" s="261"/>
      <c r="AJ1549" s="261"/>
      <c r="AK1549" s="261"/>
      <c r="AL1549" s="261"/>
      <c r="AM1549" s="262"/>
    </row>
    <row r="1550" spans="1:39" x14ac:dyDescent="0.25">
      <c r="A1550" s="215"/>
      <c r="B1550" s="215"/>
      <c r="C1550" s="215"/>
      <c r="D1550" s="239"/>
      <c r="E1550" s="239"/>
      <c r="F1550" s="239"/>
      <c r="G1550" s="239"/>
      <c r="H1550" s="239"/>
      <c r="I1550" s="257"/>
      <c r="J1550" s="240"/>
      <c r="K1550" s="240"/>
      <c r="L1550" s="240"/>
      <c r="M1550" s="240"/>
      <c r="N1550" s="240"/>
      <c r="O1550" s="258"/>
      <c r="P1550" s="224"/>
      <c r="Q1550" s="224"/>
      <c r="R1550" s="224"/>
      <c r="S1550" s="224"/>
      <c r="T1550" s="224"/>
      <c r="U1550" s="259"/>
      <c r="V1550" s="239"/>
      <c r="W1550" s="239"/>
      <c r="X1550" s="239"/>
      <c r="Y1550" s="239"/>
      <c r="Z1550" s="239"/>
      <c r="AA1550" s="257"/>
      <c r="AB1550" s="224"/>
      <c r="AC1550" s="224"/>
      <c r="AD1550" s="224"/>
      <c r="AE1550" s="224"/>
      <c r="AF1550" s="224"/>
      <c r="AG1550" s="259"/>
      <c r="AH1550" s="261"/>
      <c r="AI1550" s="261"/>
      <c r="AJ1550" s="261"/>
      <c r="AK1550" s="261"/>
      <c r="AL1550" s="261"/>
      <c r="AM1550" s="262"/>
    </row>
    <row r="1551" spans="1:39" x14ac:dyDescent="0.25">
      <c r="A1551" s="215"/>
      <c r="B1551" s="215"/>
      <c r="C1551" s="215"/>
      <c r="D1551" s="239"/>
      <c r="E1551" s="239"/>
      <c r="F1551" s="239"/>
      <c r="G1551" s="239"/>
      <c r="H1551" s="239"/>
      <c r="I1551" s="257"/>
      <c r="J1551" s="240"/>
      <c r="K1551" s="240"/>
      <c r="L1551" s="240"/>
      <c r="M1551" s="240"/>
      <c r="N1551" s="240"/>
      <c r="O1551" s="258"/>
      <c r="P1551" s="224"/>
      <c r="Q1551" s="224"/>
      <c r="R1551" s="224"/>
      <c r="S1551" s="224"/>
      <c r="T1551" s="224"/>
      <c r="U1551" s="259"/>
      <c r="V1551" s="239"/>
      <c r="W1551" s="239"/>
      <c r="X1551" s="239"/>
      <c r="Y1551" s="239"/>
      <c r="Z1551" s="239"/>
      <c r="AA1551" s="257"/>
      <c r="AB1551" s="224"/>
      <c r="AC1551" s="224"/>
      <c r="AD1551" s="224"/>
      <c r="AE1551" s="224"/>
      <c r="AF1551" s="224"/>
      <c r="AG1551" s="259"/>
      <c r="AH1551" s="261"/>
      <c r="AI1551" s="261"/>
      <c r="AJ1551" s="261"/>
      <c r="AK1551" s="261"/>
      <c r="AL1551" s="261"/>
      <c r="AM1551" s="262"/>
    </row>
    <row r="1552" spans="1:39" x14ac:dyDescent="0.25">
      <c r="A1552" s="215"/>
      <c r="B1552" s="215"/>
      <c r="C1552" s="215"/>
      <c r="D1552" s="239"/>
      <c r="E1552" s="239"/>
      <c r="F1552" s="239"/>
      <c r="G1552" s="239"/>
      <c r="H1552" s="239"/>
      <c r="I1552" s="257"/>
      <c r="J1552" s="240"/>
      <c r="K1552" s="240"/>
      <c r="L1552" s="240"/>
      <c r="M1552" s="240"/>
      <c r="N1552" s="240"/>
      <c r="O1552" s="258"/>
      <c r="P1552" s="224"/>
      <c r="Q1552" s="224"/>
      <c r="R1552" s="224"/>
      <c r="S1552" s="224"/>
      <c r="T1552" s="224"/>
      <c r="U1552" s="259"/>
      <c r="V1552" s="239"/>
      <c r="W1552" s="239"/>
      <c r="X1552" s="239"/>
      <c r="Y1552" s="239"/>
      <c r="Z1552" s="239"/>
      <c r="AA1552" s="257"/>
      <c r="AB1552" s="224"/>
      <c r="AC1552" s="224"/>
      <c r="AD1552" s="224"/>
      <c r="AE1552" s="224"/>
      <c r="AF1552" s="224"/>
      <c r="AG1552" s="259"/>
      <c r="AH1552" s="261"/>
      <c r="AI1552" s="261"/>
      <c r="AJ1552" s="261"/>
      <c r="AK1552" s="261"/>
      <c r="AL1552" s="261"/>
      <c r="AM1552" s="262"/>
    </row>
    <row r="1553" spans="1:39" x14ac:dyDescent="0.25">
      <c r="A1553" s="215"/>
      <c r="B1553" s="215"/>
      <c r="C1553" s="215"/>
      <c r="D1553" s="239"/>
      <c r="E1553" s="239"/>
      <c r="F1553" s="239"/>
      <c r="G1553" s="239"/>
      <c r="H1553" s="239"/>
      <c r="I1553" s="257"/>
      <c r="J1553" s="240"/>
      <c r="K1553" s="240"/>
      <c r="L1553" s="240"/>
      <c r="M1553" s="240"/>
      <c r="N1553" s="240"/>
      <c r="O1553" s="258"/>
      <c r="P1553" s="224"/>
      <c r="Q1553" s="224"/>
      <c r="R1553" s="224"/>
      <c r="S1553" s="224"/>
      <c r="T1553" s="224"/>
      <c r="U1553" s="259"/>
      <c r="V1553" s="239"/>
      <c r="W1553" s="239"/>
      <c r="X1553" s="239"/>
      <c r="Y1553" s="239"/>
      <c r="Z1553" s="239"/>
      <c r="AA1553" s="257"/>
      <c r="AB1553" s="224"/>
      <c r="AC1553" s="224"/>
      <c r="AD1553" s="224"/>
      <c r="AE1553" s="224"/>
      <c r="AF1553" s="224"/>
      <c r="AG1553" s="259"/>
      <c r="AH1553" s="261"/>
      <c r="AI1553" s="261"/>
      <c r="AJ1553" s="261"/>
      <c r="AK1553" s="261"/>
      <c r="AL1553" s="261"/>
      <c r="AM1553" s="262"/>
    </row>
    <row r="1554" spans="1:39" x14ac:dyDescent="0.25">
      <c r="A1554" s="215"/>
      <c r="B1554" s="215"/>
      <c r="C1554" s="215"/>
      <c r="D1554" s="239"/>
      <c r="E1554" s="239"/>
      <c r="F1554" s="239"/>
      <c r="G1554" s="239"/>
      <c r="H1554" s="239"/>
      <c r="I1554" s="257"/>
      <c r="J1554" s="240"/>
      <c r="K1554" s="240"/>
      <c r="L1554" s="240"/>
      <c r="M1554" s="240"/>
      <c r="N1554" s="240"/>
      <c r="O1554" s="258"/>
      <c r="P1554" s="224"/>
      <c r="Q1554" s="224"/>
      <c r="R1554" s="224"/>
      <c r="S1554" s="224"/>
      <c r="T1554" s="224"/>
      <c r="U1554" s="259"/>
      <c r="V1554" s="239"/>
      <c r="W1554" s="239"/>
      <c r="X1554" s="239"/>
      <c r="Y1554" s="239"/>
      <c r="Z1554" s="239"/>
      <c r="AA1554" s="257"/>
      <c r="AB1554" s="224"/>
      <c r="AC1554" s="224"/>
      <c r="AD1554" s="224"/>
      <c r="AE1554" s="224"/>
      <c r="AF1554" s="224"/>
      <c r="AG1554" s="259"/>
      <c r="AH1554" s="261"/>
      <c r="AI1554" s="261"/>
      <c r="AJ1554" s="261"/>
      <c r="AK1554" s="261"/>
      <c r="AL1554" s="261"/>
      <c r="AM1554" s="262"/>
    </row>
    <row r="1555" spans="1:39" x14ac:dyDescent="0.25">
      <c r="A1555" s="215"/>
      <c r="B1555" s="215"/>
      <c r="C1555" s="215"/>
      <c r="D1555" s="239"/>
      <c r="E1555" s="239"/>
      <c r="F1555" s="239"/>
      <c r="G1555" s="239"/>
      <c r="H1555" s="239"/>
      <c r="I1555" s="257"/>
      <c r="J1555" s="240"/>
      <c r="K1555" s="240"/>
      <c r="L1555" s="240"/>
      <c r="M1555" s="240"/>
      <c r="N1555" s="240"/>
      <c r="O1555" s="258"/>
      <c r="P1555" s="224"/>
      <c r="Q1555" s="224"/>
      <c r="R1555" s="224"/>
      <c r="S1555" s="224"/>
      <c r="T1555" s="224"/>
      <c r="U1555" s="259"/>
      <c r="V1555" s="239"/>
      <c r="W1555" s="239"/>
      <c r="X1555" s="239"/>
      <c r="Y1555" s="239"/>
      <c r="Z1555" s="239"/>
      <c r="AA1555" s="257"/>
      <c r="AB1555" s="224"/>
      <c r="AC1555" s="224"/>
      <c r="AD1555" s="224"/>
      <c r="AE1555" s="224"/>
      <c r="AF1555" s="224"/>
      <c r="AG1555" s="259"/>
      <c r="AH1555" s="261"/>
      <c r="AI1555" s="261"/>
      <c r="AJ1555" s="261"/>
      <c r="AK1555" s="261"/>
      <c r="AL1555" s="261"/>
      <c r="AM1555" s="262"/>
    </row>
    <row r="1556" spans="1:39" x14ac:dyDescent="0.25">
      <c r="A1556" s="215"/>
      <c r="B1556" s="215"/>
      <c r="C1556" s="215"/>
      <c r="D1556" s="239"/>
      <c r="E1556" s="239"/>
      <c r="F1556" s="239"/>
      <c r="G1556" s="239"/>
      <c r="H1556" s="239"/>
      <c r="I1556" s="257"/>
      <c r="J1556" s="240"/>
      <c r="K1556" s="240"/>
      <c r="L1556" s="240"/>
      <c r="M1556" s="240"/>
      <c r="N1556" s="240"/>
      <c r="O1556" s="258"/>
      <c r="P1556" s="224"/>
      <c r="Q1556" s="224"/>
      <c r="R1556" s="224"/>
      <c r="S1556" s="224"/>
      <c r="T1556" s="224"/>
      <c r="U1556" s="259"/>
      <c r="V1556" s="239"/>
      <c r="W1556" s="239"/>
      <c r="X1556" s="239"/>
      <c r="Y1556" s="239"/>
      <c r="Z1556" s="239"/>
      <c r="AA1556" s="257"/>
      <c r="AB1556" s="224"/>
      <c r="AC1556" s="224"/>
      <c r="AD1556" s="224"/>
      <c r="AE1556" s="224"/>
      <c r="AF1556" s="224"/>
      <c r="AG1556" s="259"/>
      <c r="AH1556" s="261"/>
      <c r="AI1556" s="261"/>
      <c r="AJ1556" s="261"/>
      <c r="AK1556" s="261"/>
      <c r="AL1556" s="261"/>
      <c r="AM1556" s="262"/>
    </row>
    <row r="1557" spans="1:39" x14ac:dyDescent="0.25">
      <c r="A1557" s="215"/>
      <c r="B1557" s="215"/>
      <c r="C1557" s="215"/>
      <c r="D1557" s="239"/>
      <c r="E1557" s="239"/>
      <c r="F1557" s="239"/>
      <c r="G1557" s="239"/>
      <c r="H1557" s="239"/>
      <c r="I1557" s="257"/>
      <c r="J1557" s="240"/>
      <c r="K1557" s="240"/>
      <c r="L1557" s="240"/>
      <c r="M1557" s="240"/>
      <c r="N1557" s="240"/>
      <c r="O1557" s="258"/>
      <c r="P1557" s="224"/>
      <c r="Q1557" s="224"/>
      <c r="R1557" s="224"/>
      <c r="S1557" s="224"/>
      <c r="T1557" s="224"/>
      <c r="U1557" s="259"/>
      <c r="V1557" s="239"/>
      <c r="W1557" s="239"/>
      <c r="X1557" s="239"/>
      <c r="Y1557" s="239"/>
      <c r="Z1557" s="239"/>
      <c r="AA1557" s="257"/>
      <c r="AB1557" s="224"/>
      <c r="AC1557" s="224"/>
      <c r="AD1557" s="224"/>
      <c r="AE1557" s="224"/>
      <c r="AF1557" s="224"/>
      <c r="AG1557" s="259"/>
      <c r="AH1557" s="261"/>
      <c r="AI1557" s="261"/>
      <c r="AJ1557" s="261"/>
      <c r="AK1557" s="261"/>
      <c r="AL1557" s="261"/>
      <c r="AM1557" s="262"/>
    </row>
    <row r="1558" spans="1:39" x14ac:dyDescent="0.25">
      <c r="A1558" s="215"/>
      <c r="B1558" s="215"/>
      <c r="C1558" s="215"/>
      <c r="D1558" s="239"/>
      <c r="E1558" s="239"/>
      <c r="F1558" s="239"/>
      <c r="G1558" s="239"/>
      <c r="H1558" s="239"/>
      <c r="I1558" s="257"/>
      <c r="J1558" s="240"/>
      <c r="K1558" s="240"/>
      <c r="L1558" s="240"/>
      <c r="M1558" s="240"/>
      <c r="N1558" s="240"/>
      <c r="O1558" s="258"/>
      <c r="P1558" s="224"/>
      <c r="Q1558" s="224"/>
      <c r="R1558" s="224"/>
      <c r="S1558" s="224"/>
      <c r="T1558" s="224"/>
      <c r="U1558" s="259"/>
      <c r="V1558" s="239"/>
      <c r="W1558" s="239"/>
      <c r="X1558" s="239"/>
      <c r="Y1558" s="239"/>
      <c r="Z1558" s="239"/>
      <c r="AA1558" s="257"/>
      <c r="AB1558" s="224"/>
      <c r="AC1558" s="224"/>
      <c r="AD1558" s="224"/>
      <c r="AE1558" s="224"/>
      <c r="AF1558" s="224"/>
      <c r="AG1558" s="259"/>
      <c r="AH1558" s="261"/>
      <c r="AI1558" s="261"/>
      <c r="AJ1558" s="261"/>
      <c r="AK1558" s="261"/>
      <c r="AL1558" s="261"/>
      <c r="AM1558" s="262"/>
    </row>
    <row r="1559" spans="1:39" x14ac:dyDescent="0.25">
      <c r="A1559" s="215"/>
      <c r="B1559" s="215"/>
      <c r="C1559" s="215"/>
      <c r="D1559" s="239"/>
      <c r="E1559" s="239"/>
      <c r="F1559" s="239"/>
      <c r="G1559" s="239"/>
      <c r="H1559" s="239"/>
      <c r="I1559" s="257"/>
      <c r="J1559" s="240"/>
      <c r="K1559" s="240"/>
      <c r="L1559" s="240"/>
      <c r="M1559" s="240"/>
      <c r="N1559" s="240"/>
      <c r="O1559" s="258"/>
      <c r="P1559" s="224"/>
      <c r="Q1559" s="224"/>
      <c r="R1559" s="224"/>
      <c r="S1559" s="224"/>
      <c r="T1559" s="224"/>
      <c r="U1559" s="259"/>
      <c r="V1559" s="239"/>
      <c r="W1559" s="239"/>
      <c r="X1559" s="239"/>
      <c r="Y1559" s="239"/>
      <c r="Z1559" s="239"/>
      <c r="AA1559" s="257"/>
      <c r="AB1559" s="224"/>
      <c r="AC1559" s="224"/>
      <c r="AD1559" s="224"/>
      <c r="AE1559" s="224"/>
      <c r="AF1559" s="224"/>
      <c r="AG1559" s="259"/>
      <c r="AH1559" s="261"/>
      <c r="AI1559" s="261"/>
      <c r="AJ1559" s="261"/>
      <c r="AK1559" s="261"/>
      <c r="AL1559" s="261"/>
      <c r="AM1559" s="262"/>
    </row>
    <row r="1560" spans="1:39" x14ac:dyDescent="0.25">
      <c r="A1560" s="215"/>
      <c r="B1560" s="215"/>
      <c r="C1560" s="215"/>
      <c r="D1560" s="239"/>
      <c r="E1560" s="239"/>
      <c r="F1560" s="239"/>
      <c r="G1560" s="239"/>
      <c r="H1560" s="239"/>
      <c r="I1560" s="257"/>
      <c r="J1560" s="240"/>
      <c r="K1560" s="240"/>
      <c r="L1560" s="240"/>
      <c r="M1560" s="240"/>
      <c r="N1560" s="240"/>
      <c r="O1560" s="258"/>
      <c r="P1560" s="224"/>
      <c r="Q1560" s="224"/>
      <c r="R1560" s="224"/>
      <c r="S1560" s="224"/>
      <c r="T1560" s="224"/>
      <c r="U1560" s="259"/>
      <c r="V1560" s="239"/>
      <c r="W1560" s="239"/>
      <c r="X1560" s="239"/>
      <c r="Y1560" s="239"/>
      <c r="Z1560" s="239"/>
      <c r="AA1560" s="257"/>
      <c r="AB1560" s="224"/>
      <c r="AC1560" s="224"/>
      <c r="AD1560" s="224"/>
      <c r="AE1560" s="224"/>
      <c r="AF1560" s="224"/>
      <c r="AG1560" s="259"/>
      <c r="AH1560" s="261"/>
      <c r="AI1560" s="261"/>
      <c r="AJ1560" s="261"/>
      <c r="AK1560" s="261"/>
      <c r="AL1560" s="261"/>
      <c r="AM1560" s="262"/>
    </row>
    <row r="1561" spans="1:39" x14ac:dyDescent="0.25">
      <c r="A1561" s="215"/>
      <c r="B1561" s="215"/>
      <c r="C1561" s="215"/>
      <c r="D1561" s="239"/>
      <c r="E1561" s="239"/>
      <c r="F1561" s="239"/>
      <c r="G1561" s="239"/>
      <c r="H1561" s="239"/>
      <c r="I1561" s="257"/>
      <c r="J1561" s="240"/>
      <c r="K1561" s="240"/>
      <c r="L1561" s="240"/>
      <c r="M1561" s="240"/>
      <c r="N1561" s="240"/>
      <c r="O1561" s="258"/>
      <c r="P1561" s="224"/>
      <c r="Q1561" s="224"/>
      <c r="R1561" s="224"/>
      <c r="S1561" s="224"/>
      <c r="T1561" s="224"/>
      <c r="U1561" s="259"/>
      <c r="V1561" s="239"/>
      <c r="W1561" s="239"/>
      <c r="X1561" s="239"/>
      <c r="Y1561" s="239"/>
      <c r="Z1561" s="239"/>
      <c r="AA1561" s="257"/>
      <c r="AB1561" s="224"/>
      <c r="AC1561" s="224"/>
      <c r="AD1561" s="224"/>
      <c r="AE1561" s="224"/>
      <c r="AF1561" s="224"/>
      <c r="AG1561" s="259"/>
      <c r="AH1561" s="261"/>
      <c r="AI1561" s="261"/>
      <c r="AJ1561" s="261"/>
      <c r="AK1561" s="261"/>
      <c r="AL1561" s="261"/>
      <c r="AM1561" s="262"/>
    </row>
    <row r="1562" spans="1:39" x14ac:dyDescent="0.25">
      <c r="A1562" s="215"/>
      <c r="B1562" s="215"/>
      <c r="C1562" s="215"/>
      <c r="D1562" s="239"/>
      <c r="E1562" s="239"/>
      <c r="F1562" s="239"/>
      <c r="G1562" s="239"/>
      <c r="H1562" s="239"/>
      <c r="I1562" s="257"/>
      <c r="J1562" s="240"/>
      <c r="K1562" s="240"/>
      <c r="L1562" s="240"/>
      <c r="M1562" s="240"/>
      <c r="N1562" s="240"/>
      <c r="O1562" s="258"/>
      <c r="P1562" s="224"/>
      <c r="Q1562" s="224"/>
      <c r="R1562" s="224"/>
      <c r="S1562" s="224"/>
      <c r="T1562" s="224"/>
      <c r="U1562" s="259"/>
      <c r="V1562" s="239"/>
      <c r="W1562" s="239"/>
      <c r="X1562" s="239"/>
      <c r="Y1562" s="239"/>
      <c r="Z1562" s="239"/>
      <c r="AA1562" s="257"/>
      <c r="AB1562" s="224"/>
      <c r="AC1562" s="224"/>
      <c r="AD1562" s="224"/>
      <c r="AE1562" s="224"/>
      <c r="AF1562" s="224"/>
      <c r="AG1562" s="259"/>
      <c r="AH1562" s="261"/>
      <c r="AI1562" s="261"/>
      <c r="AJ1562" s="261"/>
      <c r="AK1562" s="261"/>
      <c r="AL1562" s="261"/>
      <c r="AM1562" s="262"/>
    </row>
    <row r="1563" spans="1:39" x14ac:dyDescent="0.25">
      <c r="A1563" s="215"/>
      <c r="B1563" s="215"/>
      <c r="C1563" s="215"/>
      <c r="D1563" s="239"/>
      <c r="E1563" s="239"/>
      <c r="F1563" s="239"/>
      <c r="G1563" s="239"/>
      <c r="H1563" s="239"/>
      <c r="I1563" s="257"/>
      <c r="J1563" s="240"/>
      <c r="K1563" s="240"/>
      <c r="L1563" s="240"/>
      <c r="M1563" s="240"/>
      <c r="N1563" s="240"/>
      <c r="O1563" s="258"/>
      <c r="P1563" s="224"/>
      <c r="Q1563" s="224"/>
      <c r="R1563" s="224"/>
      <c r="S1563" s="224"/>
      <c r="T1563" s="224"/>
      <c r="U1563" s="259"/>
      <c r="V1563" s="239"/>
      <c r="W1563" s="239"/>
      <c r="X1563" s="239"/>
      <c r="Y1563" s="239"/>
      <c r="Z1563" s="239"/>
      <c r="AA1563" s="257"/>
      <c r="AB1563" s="224"/>
      <c r="AC1563" s="224"/>
      <c r="AD1563" s="224"/>
      <c r="AE1563" s="224"/>
      <c r="AF1563" s="224"/>
      <c r="AG1563" s="259"/>
      <c r="AH1563" s="261"/>
      <c r="AI1563" s="261"/>
      <c r="AJ1563" s="261"/>
      <c r="AK1563" s="261"/>
      <c r="AL1563" s="261"/>
      <c r="AM1563" s="262"/>
    </row>
    <row r="1564" spans="1:39" x14ac:dyDescent="0.25">
      <c r="A1564" s="215"/>
      <c r="B1564" s="215"/>
      <c r="C1564" s="215"/>
      <c r="D1564" s="239"/>
      <c r="E1564" s="239"/>
      <c r="F1564" s="239"/>
      <c r="G1564" s="239"/>
      <c r="H1564" s="239"/>
      <c r="I1564" s="257"/>
      <c r="J1564" s="240"/>
      <c r="K1564" s="240"/>
      <c r="L1564" s="240"/>
      <c r="M1564" s="240"/>
      <c r="N1564" s="240"/>
      <c r="O1564" s="258"/>
      <c r="P1564" s="224"/>
      <c r="Q1564" s="224"/>
      <c r="R1564" s="224"/>
      <c r="S1564" s="224"/>
      <c r="T1564" s="224"/>
      <c r="U1564" s="259"/>
      <c r="V1564" s="239"/>
      <c r="W1564" s="239"/>
      <c r="X1564" s="239"/>
      <c r="Y1564" s="239"/>
      <c r="Z1564" s="239"/>
      <c r="AA1564" s="257"/>
      <c r="AB1564" s="224"/>
      <c r="AC1564" s="224"/>
      <c r="AD1564" s="224"/>
      <c r="AE1564" s="224"/>
      <c r="AF1564" s="224"/>
      <c r="AG1564" s="259"/>
      <c r="AH1564" s="261"/>
      <c r="AI1564" s="261"/>
      <c r="AJ1564" s="261"/>
      <c r="AK1564" s="261"/>
      <c r="AL1564" s="261"/>
      <c r="AM1564" s="262"/>
    </row>
    <row r="1565" spans="1:39" x14ac:dyDescent="0.25">
      <c r="A1565" s="215"/>
      <c r="B1565" s="215"/>
      <c r="C1565" s="215"/>
      <c r="D1565" s="239"/>
      <c r="E1565" s="239"/>
      <c r="F1565" s="239"/>
      <c r="G1565" s="239"/>
      <c r="H1565" s="239"/>
      <c r="I1565" s="257"/>
      <c r="J1565" s="240"/>
      <c r="K1565" s="240"/>
      <c r="L1565" s="240"/>
      <c r="M1565" s="240"/>
      <c r="N1565" s="240"/>
      <c r="O1565" s="258"/>
      <c r="P1565" s="224"/>
      <c r="Q1565" s="224"/>
      <c r="R1565" s="224"/>
      <c r="S1565" s="224"/>
      <c r="T1565" s="224"/>
      <c r="U1565" s="259"/>
      <c r="V1565" s="239"/>
      <c r="W1565" s="239"/>
      <c r="X1565" s="239"/>
      <c r="Y1565" s="239"/>
      <c r="Z1565" s="239"/>
      <c r="AA1565" s="257"/>
      <c r="AB1565" s="224"/>
      <c r="AC1565" s="224"/>
      <c r="AD1565" s="224"/>
      <c r="AE1565" s="224"/>
      <c r="AF1565" s="224"/>
      <c r="AG1565" s="259"/>
      <c r="AH1565" s="261"/>
      <c r="AI1565" s="261"/>
      <c r="AJ1565" s="261"/>
      <c r="AK1565" s="261"/>
      <c r="AL1565" s="261"/>
      <c r="AM1565" s="262"/>
    </row>
    <row r="1566" spans="1:39" x14ac:dyDescent="0.25">
      <c r="A1566" s="215"/>
      <c r="B1566" s="215"/>
      <c r="C1566" s="215"/>
      <c r="D1566" s="239"/>
      <c r="E1566" s="239"/>
      <c r="F1566" s="239"/>
      <c r="G1566" s="239"/>
      <c r="H1566" s="239"/>
      <c r="I1566" s="257"/>
      <c r="J1566" s="240"/>
      <c r="K1566" s="240"/>
      <c r="L1566" s="240"/>
      <c r="M1566" s="240"/>
      <c r="N1566" s="240"/>
      <c r="O1566" s="258"/>
      <c r="P1566" s="224"/>
      <c r="Q1566" s="224"/>
      <c r="R1566" s="224"/>
      <c r="S1566" s="224"/>
      <c r="T1566" s="224"/>
      <c r="U1566" s="259"/>
      <c r="V1566" s="239"/>
      <c r="W1566" s="239"/>
      <c r="X1566" s="239"/>
      <c r="Y1566" s="239"/>
      <c r="Z1566" s="239"/>
      <c r="AA1566" s="257"/>
      <c r="AB1566" s="224"/>
      <c r="AC1566" s="224"/>
      <c r="AD1566" s="224"/>
      <c r="AE1566" s="224"/>
      <c r="AF1566" s="224"/>
      <c r="AG1566" s="259"/>
      <c r="AH1566" s="261"/>
      <c r="AI1566" s="261"/>
      <c r="AJ1566" s="261"/>
      <c r="AK1566" s="261"/>
      <c r="AL1566" s="261"/>
      <c r="AM1566" s="262"/>
    </row>
    <row r="1567" spans="1:39" x14ac:dyDescent="0.25">
      <c r="A1567" s="215"/>
      <c r="B1567" s="215"/>
      <c r="C1567" s="215"/>
      <c r="D1567" s="239"/>
      <c r="E1567" s="239"/>
      <c r="F1567" s="239"/>
      <c r="G1567" s="239"/>
      <c r="H1567" s="239"/>
      <c r="I1567" s="257"/>
      <c r="J1567" s="240"/>
      <c r="K1567" s="240"/>
      <c r="L1567" s="240"/>
      <c r="M1567" s="240"/>
      <c r="N1567" s="240"/>
      <c r="O1567" s="258"/>
      <c r="P1567" s="224"/>
      <c r="Q1567" s="224"/>
      <c r="R1567" s="224"/>
      <c r="S1567" s="224"/>
      <c r="T1567" s="224"/>
      <c r="U1567" s="259"/>
      <c r="V1567" s="239"/>
      <c r="W1567" s="239"/>
      <c r="X1567" s="239"/>
      <c r="Y1567" s="239"/>
      <c r="Z1567" s="239"/>
      <c r="AA1567" s="257"/>
      <c r="AB1567" s="224"/>
      <c r="AC1567" s="224"/>
      <c r="AD1567" s="224"/>
      <c r="AE1567" s="224"/>
      <c r="AF1567" s="224"/>
      <c r="AG1567" s="259"/>
      <c r="AH1567" s="261"/>
      <c r="AI1567" s="261"/>
      <c r="AJ1567" s="261"/>
      <c r="AK1567" s="261"/>
      <c r="AL1567" s="261"/>
      <c r="AM1567" s="262"/>
    </row>
    <row r="1568" spans="1:39" x14ac:dyDescent="0.25">
      <c r="A1568" s="215"/>
      <c r="B1568" s="215"/>
      <c r="C1568" s="215"/>
      <c r="D1568" s="239"/>
      <c r="E1568" s="239"/>
      <c r="F1568" s="239"/>
      <c r="G1568" s="239"/>
      <c r="H1568" s="239"/>
      <c r="I1568" s="257"/>
      <c r="J1568" s="240"/>
      <c r="K1568" s="240"/>
      <c r="L1568" s="240"/>
      <c r="M1568" s="240"/>
      <c r="N1568" s="240"/>
      <c r="O1568" s="258"/>
      <c r="P1568" s="224"/>
      <c r="Q1568" s="224"/>
      <c r="R1568" s="224"/>
      <c r="S1568" s="224"/>
      <c r="T1568" s="224"/>
      <c r="U1568" s="259"/>
      <c r="V1568" s="239"/>
      <c r="W1568" s="239"/>
      <c r="X1568" s="239"/>
      <c r="Y1568" s="239"/>
      <c r="Z1568" s="239"/>
      <c r="AA1568" s="257"/>
      <c r="AB1568" s="224"/>
      <c r="AC1568" s="224"/>
      <c r="AD1568" s="224"/>
      <c r="AE1568" s="224"/>
      <c r="AF1568" s="224"/>
      <c r="AG1568" s="259"/>
      <c r="AH1568" s="261"/>
      <c r="AI1568" s="261"/>
      <c r="AJ1568" s="261"/>
      <c r="AK1568" s="261"/>
      <c r="AL1568" s="261"/>
      <c r="AM1568" s="262"/>
    </row>
    <row r="1569" spans="1:39" x14ac:dyDescent="0.25">
      <c r="A1569" s="215"/>
      <c r="B1569" s="215"/>
      <c r="C1569" s="215"/>
      <c r="D1569" s="239"/>
      <c r="E1569" s="239"/>
      <c r="F1569" s="239"/>
      <c r="G1569" s="239"/>
      <c r="H1569" s="239"/>
      <c r="I1569" s="257"/>
      <c r="J1569" s="240"/>
      <c r="K1569" s="240"/>
      <c r="L1569" s="240"/>
      <c r="M1569" s="240"/>
      <c r="N1569" s="240"/>
      <c r="O1569" s="258"/>
      <c r="P1569" s="224"/>
      <c r="Q1569" s="224"/>
      <c r="R1569" s="224"/>
      <c r="S1569" s="224"/>
      <c r="T1569" s="224"/>
      <c r="U1569" s="259"/>
      <c r="V1569" s="239"/>
      <c r="W1569" s="239"/>
      <c r="X1569" s="239"/>
      <c r="Y1569" s="239"/>
      <c r="Z1569" s="239"/>
      <c r="AA1569" s="257"/>
      <c r="AB1569" s="224"/>
      <c r="AC1569" s="224"/>
      <c r="AD1569" s="224"/>
      <c r="AE1569" s="224"/>
      <c r="AF1569" s="224"/>
      <c r="AG1569" s="259"/>
      <c r="AH1569" s="261"/>
      <c r="AI1569" s="261"/>
      <c r="AJ1569" s="261"/>
      <c r="AK1569" s="261"/>
      <c r="AL1569" s="261"/>
      <c r="AM1569" s="262"/>
    </row>
    <row r="1570" spans="1:39" x14ac:dyDescent="0.25">
      <c r="A1570" s="215"/>
      <c r="B1570" s="215"/>
      <c r="C1570" s="215"/>
      <c r="D1570" s="239"/>
      <c r="E1570" s="239"/>
      <c r="F1570" s="239"/>
      <c r="G1570" s="239"/>
      <c r="H1570" s="239"/>
      <c r="I1570" s="257"/>
      <c r="J1570" s="240"/>
      <c r="K1570" s="240"/>
      <c r="L1570" s="240"/>
      <c r="M1570" s="240"/>
      <c r="N1570" s="240"/>
      <c r="O1570" s="258"/>
      <c r="P1570" s="224"/>
      <c r="Q1570" s="224"/>
      <c r="R1570" s="224"/>
      <c r="S1570" s="224"/>
      <c r="T1570" s="224"/>
      <c r="U1570" s="259"/>
      <c r="V1570" s="239"/>
      <c r="W1570" s="239"/>
      <c r="X1570" s="239"/>
      <c r="Y1570" s="239"/>
      <c r="Z1570" s="239"/>
      <c r="AA1570" s="257"/>
      <c r="AB1570" s="224"/>
      <c r="AC1570" s="224"/>
      <c r="AD1570" s="224"/>
      <c r="AE1570" s="224"/>
      <c r="AF1570" s="224"/>
      <c r="AG1570" s="259"/>
      <c r="AH1570" s="261"/>
      <c r="AI1570" s="261"/>
      <c r="AJ1570" s="261"/>
      <c r="AK1570" s="261"/>
      <c r="AL1570" s="261"/>
      <c r="AM1570" s="262"/>
    </row>
    <row r="1571" spans="1:39" x14ac:dyDescent="0.25">
      <c r="A1571" s="215"/>
      <c r="B1571" s="215"/>
      <c r="C1571" s="215"/>
      <c r="D1571" s="239"/>
      <c r="E1571" s="239"/>
      <c r="F1571" s="239"/>
      <c r="G1571" s="239"/>
      <c r="H1571" s="239"/>
      <c r="I1571" s="257"/>
      <c r="J1571" s="240"/>
      <c r="K1571" s="240"/>
      <c r="L1571" s="240"/>
      <c r="M1571" s="240"/>
      <c r="N1571" s="240"/>
      <c r="O1571" s="258"/>
      <c r="P1571" s="224"/>
      <c r="Q1571" s="224"/>
      <c r="R1571" s="224"/>
      <c r="S1571" s="224"/>
      <c r="T1571" s="224"/>
      <c r="U1571" s="259"/>
      <c r="V1571" s="239"/>
      <c r="W1571" s="239"/>
      <c r="X1571" s="239"/>
      <c r="Y1571" s="239"/>
      <c r="Z1571" s="239"/>
      <c r="AA1571" s="257"/>
      <c r="AB1571" s="224"/>
      <c r="AC1571" s="224"/>
      <c r="AD1571" s="224"/>
      <c r="AE1571" s="224"/>
      <c r="AF1571" s="224"/>
      <c r="AG1571" s="259"/>
      <c r="AH1571" s="261"/>
      <c r="AI1571" s="261"/>
      <c r="AJ1571" s="261"/>
      <c r="AK1571" s="261"/>
      <c r="AL1571" s="261"/>
      <c r="AM1571" s="262"/>
    </row>
    <row r="1572" spans="1:39" x14ac:dyDescent="0.25">
      <c r="A1572" s="215"/>
      <c r="B1572" s="215"/>
      <c r="C1572" s="215"/>
      <c r="D1572" s="239"/>
      <c r="E1572" s="239"/>
      <c r="F1572" s="239"/>
      <c r="G1572" s="239"/>
      <c r="H1572" s="239"/>
      <c r="I1572" s="257"/>
      <c r="J1572" s="240"/>
      <c r="K1572" s="240"/>
      <c r="L1572" s="240"/>
      <c r="M1572" s="240"/>
      <c r="N1572" s="240"/>
      <c r="O1572" s="258"/>
      <c r="P1572" s="224"/>
      <c r="Q1572" s="224"/>
      <c r="R1572" s="224"/>
      <c r="S1572" s="224"/>
      <c r="T1572" s="224"/>
      <c r="U1572" s="259"/>
      <c r="V1572" s="239"/>
      <c r="W1572" s="239"/>
      <c r="X1572" s="239"/>
      <c r="Y1572" s="239"/>
      <c r="Z1572" s="239"/>
      <c r="AA1572" s="257"/>
      <c r="AB1572" s="224"/>
      <c r="AC1572" s="224"/>
      <c r="AD1572" s="224"/>
      <c r="AE1572" s="224"/>
      <c r="AF1572" s="224"/>
      <c r="AG1572" s="259"/>
      <c r="AH1572" s="261"/>
      <c r="AI1572" s="261"/>
      <c r="AJ1572" s="261"/>
      <c r="AK1572" s="261"/>
      <c r="AL1572" s="261"/>
      <c r="AM1572" s="262"/>
    </row>
    <row r="1573" spans="1:39" x14ac:dyDescent="0.25">
      <c r="A1573" s="215"/>
      <c r="B1573" s="215"/>
      <c r="C1573" s="215"/>
      <c r="D1573" s="239"/>
      <c r="E1573" s="239"/>
      <c r="F1573" s="239"/>
      <c r="G1573" s="239"/>
      <c r="H1573" s="239"/>
      <c r="I1573" s="257"/>
      <c r="J1573" s="240"/>
      <c r="K1573" s="240"/>
      <c r="L1573" s="240"/>
      <c r="M1573" s="240"/>
      <c r="N1573" s="240"/>
      <c r="O1573" s="258"/>
      <c r="P1573" s="224"/>
      <c r="Q1573" s="224"/>
      <c r="R1573" s="224"/>
      <c r="S1573" s="224"/>
      <c r="T1573" s="224"/>
      <c r="U1573" s="259"/>
      <c r="V1573" s="239"/>
      <c r="W1573" s="239"/>
      <c r="X1573" s="239"/>
      <c r="Y1573" s="239"/>
      <c r="Z1573" s="239"/>
      <c r="AA1573" s="257"/>
      <c r="AB1573" s="224"/>
      <c r="AC1573" s="224"/>
      <c r="AD1573" s="224"/>
      <c r="AE1573" s="224"/>
      <c r="AF1573" s="224"/>
      <c r="AG1573" s="259"/>
      <c r="AH1573" s="261"/>
      <c r="AI1573" s="261"/>
      <c r="AJ1573" s="261"/>
      <c r="AK1573" s="261"/>
      <c r="AL1573" s="261"/>
      <c r="AM1573" s="262"/>
    </row>
    <row r="1574" spans="1:39" x14ac:dyDescent="0.25">
      <c r="A1574" s="215"/>
      <c r="B1574" s="215"/>
      <c r="C1574" s="215"/>
      <c r="D1574" s="239"/>
      <c r="E1574" s="239"/>
      <c r="F1574" s="239"/>
      <c r="G1574" s="239"/>
      <c r="H1574" s="239"/>
      <c r="I1574" s="257"/>
      <c r="J1574" s="240"/>
      <c r="K1574" s="240"/>
      <c r="L1574" s="240"/>
      <c r="M1574" s="240"/>
      <c r="N1574" s="240"/>
      <c r="O1574" s="258"/>
      <c r="P1574" s="224"/>
      <c r="Q1574" s="224"/>
      <c r="R1574" s="224"/>
      <c r="S1574" s="224"/>
      <c r="T1574" s="224"/>
      <c r="U1574" s="259"/>
      <c r="V1574" s="239"/>
      <c r="W1574" s="239"/>
      <c r="X1574" s="239"/>
      <c r="Y1574" s="239"/>
      <c r="Z1574" s="239"/>
      <c r="AA1574" s="257"/>
      <c r="AB1574" s="224"/>
      <c r="AC1574" s="224"/>
      <c r="AD1574" s="224"/>
      <c r="AE1574" s="224"/>
      <c r="AF1574" s="224"/>
      <c r="AG1574" s="259"/>
      <c r="AH1574" s="261"/>
      <c r="AI1574" s="261"/>
      <c r="AJ1574" s="261"/>
      <c r="AK1574" s="261"/>
      <c r="AL1574" s="261"/>
      <c r="AM1574" s="262"/>
    </row>
    <row r="1575" spans="1:39" x14ac:dyDescent="0.25">
      <c r="A1575" s="215"/>
      <c r="B1575" s="215"/>
      <c r="C1575" s="215"/>
      <c r="D1575" s="239"/>
      <c r="E1575" s="239"/>
      <c r="F1575" s="239"/>
      <c r="G1575" s="239"/>
      <c r="H1575" s="239"/>
      <c r="I1575" s="257"/>
      <c r="J1575" s="240"/>
      <c r="K1575" s="240"/>
      <c r="L1575" s="240"/>
      <c r="M1575" s="240"/>
      <c r="N1575" s="240"/>
      <c r="O1575" s="258"/>
      <c r="P1575" s="224"/>
      <c r="Q1575" s="224"/>
      <c r="R1575" s="224"/>
      <c r="S1575" s="224"/>
      <c r="T1575" s="224"/>
      <c r="U1575" s="259"/>
      <c r="V1575" s="239"/>
      <c r="W1575" s="239"/>
      <c r="X1575" s="239"/>
      <c r="Y1575" s="239"/>
      <c r="Z1575" s="239"/>
      <c r="AA1575" s="257"/>
      <c r="AB1575" s="224"/>
      <c r="AC1575" s="224"/>
      <c r="AD1575" s="224"/>
      <c r="AE1575" s="224"/>
      <c r="AF1575" s="224"/>
      <c r="AG1575" s="259"/>
      <c r="AH1575" s="261"/>
      <c r="AI1575" s="261"/>
      <c r="AJ1575" s="261"/>
      <c r="AK1575" s="261"/>
      <c r="AL1575" s="261"/>
      <c r="AM1575" s="262"/>
    </row>
    <row r="1576" spans="1:39" x14ac:dyDescent="0.25">
      <c r="A1576" s="215"/>
      <c r="B1576" s="215"/>
      <c r="C1576" s="215"/>
      <c r="D1576" s="239"/>
      <c r="E1576" s="239"/>
      <c r="F1576" s="239"/>
      <c r="G1576" s="239"/>
      <c r="H1576" s="239"/>
      <c r="I1576" s="257"/>
      <c r="J1576" s="240"/>
      <c r="K1576" s="240"/>
      <c r="L1576" s="240"/>
      <c r="M1576" s="240"/>
      <c r="N1576" s="240"/>
      <c r="O1576" s="258"/>
      <c r="P1576" s="224"/>
      <c r="Q1576" s="224"/>
      <c r="R1576" s="224"/>
      <c r="S1576" s="224"/>
      <c r="T1576" s="224"/>
      <c r="U1576" s="259"/>
      <c r="V1576" s="239"/>
      <c r="W1576" s="239"/>
      <c r="X1576" s="239"/>
      <c r="Y1576" s="239"/>
      <c r="Z1576" s="239"/>
      <c r="AA1576" s="257"/>
      <c r="AB1576" s="224"/>
      <c r="AC1576" s="224"/>
      <c r="AD1576" s="224"/>
      <c r="AE1576" s="224"/>
      <c r="AF1576" s="224"/>
      <c r="AG1576" s="259"/>
      <c r="AH1576" s="261"/>
      <c r="AI1576" s="261"/>
      <c r="AJ1576" s="261"/>
      <c r="AK1576" s="261"/>
      <c r="AL1576" s="261"/>
      <c r="AM1576" s="262"/>
    </row>
    <row r="1577" spans="1:39" x14ac:dyDescent="0.25">
      <c r="A1577" s="215"/>
      <c r="B1577" s="215"/>
      <c r="C1577" s="215"/>
      <c r="D1577" s="239"/>
      <c r="E1577" s="239"/>
      <c r="F1577" s="239"/>
      <c r="G1577" s="239"/>
      <c r="H1577" s="239"/>
      <c r="I1577" s="257"/>
      <c r="J1577" s="240"/>
      <c r="K1577" s="240"/>
      <c r="L1577" s="240"/>
      <c r="M1577" s="240"/>
      <c r="N1577" s="240"/>
      <c r="O1577" s="258"/>
      <c r="P1577" s="224"/>
      <c r="Q1577" s="224"/>
      <c r="R1577" s="224"/>
      <c r="S1577" s="224"/>
      <c r="T1577" s="224"/>
      <c r="U1577" s="259"/>
      <c r="V1577" s="239"/>
      <c r="W1577" s="239"/>
      <c r="X1577" s="239"/>
      <c r="Y1577" s="239"/>
      <c r="Z1577" s="239"/>
      <c r="AA1577" s="257"/>
      <c r="AB1577" s="224"/>
      <c r="AC1577" s="224"/>
      <c r="AD1577" s="224"/>
      <c r="AE1577" s="224"/>
      <c r="AF1577" s="224"/>
      <c r="AG1577" s="259"/>
      <c r="AH1577" s="261"/>
      <c r="AI1577" s="261"/>
      <c r="AJ1577" s="261"/>
      <c r="AK1577" s="261"/>
      <c r="AL1577" s="261"/>
      <c r="AM1577" s="262"/>
    </row>
    <row r="1578" spans="1:39" x14ac:dyDescent="0.25">
      <c r="A1578" s="215"/>
      <c r="B1578" s="215"/>
      <c r="C1578" s="215"/>
      <c r="D1578" s="239"/>
      <c r="E1578" s="239"/>
      <c r="F1578" s="239"/>
      <c r="G1578" s="239"/>
      <c r="H1578" s="239"/>
      <c r="I1578" s="257"/>
      <c r="J1578" s="240"/>
      <c r="K1578" s="240"/>
      <c r="L1578" s="240"/>
      <c r="M1578" s="240"/>
      <c r="N1578" s="240"/>
      <c r="O1578" s="258"/>
      <c r="P1578" s="224"/>
      <c r="Q1578" s="224"/>
      <c r="R1578" s="224"/>
      <c r="S1578" s="224"/>
      <c r="T1578" s="224"/>
      <c r="U1578" s="259"/>
      <c r="V1578" s="239"/>
      <c r="W1578" s="239"/>
      <c r="X1578" s="239"/>
      <c r="Y1578" s="239"/>
      <c r="Z1578" s="239"/>
      <c r="AA1578" s="257"/>
      <c r="AB1578" s="224"/>
      <c r="AC1578" s="224"/>
      <c r="AD1578" s="224"/>
      <c r="AE1578" s="224"/>
      <c r="AF1578" s="224"/>
      <c r="AG1578" s="259"/>
      <c r="AH1578" s="261"/>
      <c r="AI1578" s="261"/>
      <c r="AJ1578" s="261"/>
      <c r="AK1578" s="261"/>
      <c r="AL1578" s="261"/>
      <c r="AM1578" s="262"/>
    </row>
    <row r="1579" spans="1:39" x14ac:dyDescent="0.25">
      <c r="A1579" s="215"/>
      <c r="B1579" s="215"/>
      <c r="C1579" s="215"/>
      <c r="D1579" s="239"/>
      <c r="E1579" s="239"/>
      <c r="F1579" s="239"/>
      <c r="G1579" s="239"/>
      <c r="H1579" s="239"/>
      <c r="I1579" s="257"/>
      <c r="J1579" s="240"/>
      <c r="K1579" s="240"/>
      <c r="L1579" s="240"/>
      <c r="M1579" s="240"/>
      <c r="N1579" s="240"/>
      <c r="O1579" s="258"/>
      <c r="P1579" s="224"/>
      <c r="Q1579" s="224"/>
      <c r="R1579" s="224"/>
      <c r="S1579" s="224"/>
      <c r="T1579" s="224"/>
      <c r="U1579" s="259"/>
      <c r="V1579" s="239"/>
      <c r="W1579" s="239"/>
      <c r="X1579" s="239"/>
      <c r="Y1579" s="239"/>
      <c r="Z1579" s="239"/>
      <c r="AA1579" s="257"/>
      <c r="AB1579" s="224"/>
      <c r="AC1579" s="224"/>
      <c r="AD1579" s="224"/>
      <c r="AE1579" s="224"/>
      <c r="AF1579" s="224"/>
      <c r="AG1579" s="259"/>
      <c r="AH1579" s="261"/>
      <c r="AI1579" s="261"/>
      <c r="AJ1579" s="261"/>
      <c r="AK1579" s="261"/>
      <c r="AL1579" s="261"/>
      <c r="AM1579" s="262"/>
    </row>
    <row r="1580" spans="1:39" x14ac:dyDescent="0.25">
      <c r="A1580" s="215"/>
      <c r="B1580" s="215"/>
      <c r="C1580" s="215"/>
      <c r="D1580" s="239"/>
      <c r="E1580" s="239"/>
      <c r="F1580" s="239"/>
      <c r="G1580" s="239"/>
      <c r="H1580" s="239"/>
      <c r="I1580" s="257"/>
      <c r="J1580" s="240"/>
      <c r="K1580" s="240"/>
      <c r="L1580" s="240"/>
      <c r="M1580" s="240"/>
      <c r="N1580" s="240"/>
      <c r="O1580" s="258"/>
      <c r="P1580" s="224"/>
      <c r="Q1580" s="224"/>
      <c r="R1580" s="224"/>
      <c r="S1580" s="224"/>
      <c r="T1580" s="224"/>
      <c r="U1580" s="259"/>
      <c r="V1580" s="239"/>
      <c r="W1580" s="239"/>
      <c r="X1580" s="239"/>
      <c r="Y1580" s="239"/>
      <c r="Z1580" s="239"/>
      <c r="AA1580" s="257"/>
      <c r="AB1580" s="224"/>
      <c r="AC1580" s="224"/>
      <c r="AD1580" s="224"/>
      <c r="AE1580" s="224"/>
      <c r="AF1580" s="224"/>
      <c r="AG1580" s="259"/>
      <c r="AH1580" s="261"/>
      <c r="AI1580" s="261"/>
      <c r="AJ1580" s="261"/>
      <c r="AK1580" s="261"/>
      <c r="AL1580" s="261"/>
      <c r="AM1580" s="262"/>
    </row>
    <row r="1581" spans="1:39" x14ac:dyDescent="0.25">
      <c r="A1581" s="215"/>
      <c r="B1581" s="215"/>
      <c r="C1581" s="215"/>
      <c r="D1581" s="239"/>
      <c r="E1581" s="239"/>
      <c r="F1581" s="239"/>
      <c r="G1581" s="239"/>
      <c r="H1581" s="239"/>
      <c r="I1581" s="257"/>
      <c r="J1581" s="240"/>
      <c r="K1581" s="240"/>
      <c r="L1581" s="240"/>
      <c r="M1581" s="240"/>
      <c r="N1581" s="240"/>
      <c r="O1581" s="258"/>
      <c r="P1581" s="224"/>
      <c r="Q1581" s="224"/>
      <c r="R1581" s="224"/>
      <c r="S1581" s="224"/>
      <c r="T1581" s="224"/>
      <c r="U1581" s="259"/>
      <c r="V1581" s="239"/>
      <c r="W1581" s="239"/>
      <c r="X1581" s="239"/>
      <c r="Y1581" s="239"/>
      <c r="Z1581" s="239"/>
      <c r="AA1581" s="257"/>
      <c r="AB1581" s="224"/>
      <c r="AC1581" s="224"/>
      <c r="AD1581" s="224"/>
      <c r="AE1581" s="224"/>
      <c r="AF1581" s="224"/>
      <c r="AG1581" s="259"/>
      <c r="AH1581" s="261"/>
      <c r="AI1581" s="261"/>
      <c r="AJ1581" s="261"/>
      <c r="AK1581" s="261"/>
      <c r="AL1581" s="261"/>
      <c r="AM1581" s="262"/>
    </row>
    <row r="1582" spans="1:39" x14ac:dyDescent="0.25">
      <c r="A1582" s="215"/>
      <c r="B1582" s="215"/>
      <c r="C1582" s="215"/>
      <c r="D1582" s="239"/>
      <c r="E1582" s="239"/>
      <c r="F1582" s="239"/>
      <c r="G1582" s="239"/>
      <c r="H1582" s="239"/>
      <c r="I1582" s="257"/>
      <c r="J1582" s="240"/>
      <c r="K1582" s="240"/>
      <c r="L1582" s="240"/>
      <c r="M1582" s="240"/>
      <c r="N1582" s="240"/>
      <c r="O1582" s="258"/>
      <c r="P1582" s="224"/>
      <c r="Q1582" s="224"/>
      <c r="R1582" s="224"/>
      <c r="S1582" s="224"/>
      <c r="T1582" s="224"/>
      <c r="U1582" s="259"/>
      <c r="V1582" s="239"/>
      <c r="W1582" s="239"/>
      <c r="X1582" s="239"/>
      <c r="Y1582" s="239"/>
      <c r="Z1582" s="239"/>
      <c r="AA1582" s="257"/>
      <c r="AB1582" s="224"/>
      <c r="AC1582" s="224"/>
      <c r="AD1582" s="224"/>
      <c r="AE1582" s="224"/>
      <c r="AF1582" s="224"/>
      <c r="AG1582" s="259"/>
      <c r="AH1582" s="261"/>
      <c r="AI1582" s="261"/>
      <c r="AJ1582" s="261"/>
      <c r="AK1582" s="261"/>
      <c r="AL1582" s="261"/>
      <c r="AM1582" s="262"/>
    </row>
    <row r="1583" spans="1:39" x14ac:dyDescent="0.25">
      <c r="A1583" s="215"/>
      <c r="B1583" s="215"/>
      <c r="C1583" s="215"/>
      <c r="D1583" s="239"/>
      <c r="E1583" s="239"/>
      <c r="F1583" s="239"/>
      <c r="G1583" s="239"/>
      <c r="H1583" s="239"/>
      <c r="I1583" s="257"/>
      <c r="J1583" s="240"/>
      <c r="K1583" s="240"/>
      <c r="L1583" s="240"/>
      <c r="M1583" s="240"/>
      <c r="N1583" s="240"/>
      <c r="O1583" s="258"/>
      <c r="P1583" s="224"/>
      <c r="Q1583" s="224"/>
      <c r="R1583" s="224"/>
      <c r="S1583" s="224"/>
      <c r="T1583" s="224"/>
      <c r="U1583" s="259"/>
      <c r="V1583" s="239"/>
      <c r="W1583" s="239"/>
      <c r="X1583" s="239"/>
      <c r="Y1583" s="239"/>
      <c r="Z1583" s="239"/>
      <c r="AA1583" s="257"/>
      <c r="AB1583" s="224"/>
      <c r="AC1583" s="224"/>
      <c r="AD1583" s="224"/>
      <c r="AE1583" s="224"/>
      <c r="AF1583" s="224"/>
      <c r="AG1583" s="259"/>
      <c r="AH1583" s="261"/>
      <c r="AI1583" s="261"/>
      <c r="AJ1583" s="261"/>
      <c r="AK1583" s="261"/>
      <c r="AL1583" s="261"/>
      <c r="AM1583" s="262"/>
    </row>
    <row r="1584" spans="1:39" x14ac:dyDescent="0.25">
      <c r="A1584" s="215"/>
      <c r="B1584" s="215"/>
      <c r="C1584" s="215"/>
      <c r="D1584" s="239"/>
      <c r="E1584" s="239"/>
      <c r="F1584" s="239"/>
      <c r="G1584" s="239"/>
      <c r="H1584" s="239"/>
      <c r="I1584" s="257"/>
      <c r="J1584" s="240"/>
      <c r="K1584" s="240"/>
      <c r="L1584" s="240"/>
      <c r="M1584" s="240"/>
      <c r="N1584" s="240"/>
      <c r="O1584" s="258"/>
      <c r="P1584" s="224"/>
      <c r="Q1584" s="224"/>
      <c r="R1584" s="224"/>
      <c r="S1584" s="224"/>
      <c r="T1584" s="224"/>
      <c r="U1584" s="259"/>
      <c r="V1584" s="239"/>
      <c r="W1584" s="239"/>
      <c r="X1584" s="239"/>
      <c r="Y1584" s="239"/>
      <c r="Z1584" s="239"/>
      <c r="AA1584" s="257"/>
      <c r="AB1584" s="224"/>
      <c r="AC1584" s="224"/>
      <c r="AD1584" s="224"/>
      <c r="AE1584" s="224"/>
      <c r="AF1584" s="224"/>
      <c r="AG1584" s="259"/>
      <c r="AH1584" s="261"/>
      <c r="AI1584" s="261"/>
      <c r="AJ1584" s="261"/>
      <c r="AK1584" s="261"/>
      <c r="AL1584" s="261"/>
      <c r="AM1584" s="262"/>
    </row>
    <row r="1585" spans="1:39" x14ac:dyDescent="0.25">
      <c r="A1585" s="215"/>
      <c r="B1585" s="215"/>
      <c r="C1585" s="215"/>
      <c r="D1585" s="239"/>
      <c r="E1585" s="239"/>
      <c r="F1585" s="239"/>
      <c r="G1585" s="239"/>
      <c r="H1585" s="239"/>
      <c r="I1585" s="257"/>
      <c r="J1585" s="240"/>
      <c r="K1585" s="240"/>
      <c r="L1585" s="240"/>
      <c r="M1585" s="240"/>
      <c r="N1585" s="240"/>
      <c r="O1585" s="258"/>
      <c r="P1585" s="224"/>
      <c r="Q1585" s="224"/>
      <c r="R1585" s="224"/>
      <c r="S1585" s="224"/>
      <c r="T1585" s="224"/>
      <c r="U1585" s="259"/>
      <c r="V1585" s="239"/>
      <c r="W1585" s="239"/>
      <c r="X1585" s="239"/>
      <c r="Y1585" s="239"/>
      <c r="Z1585" s="239"/>
      <c r="AA1585" s="257"/>
      <c r="AB1585" s="224"/>
      <c r="AC1585" s="224"/>
      <c r="AD1585" s="224"/>
      <c r="AE1585" s="224"/>
      <c r="AF1585" s="224"/>
      <c r="AG1585" s="259"/>
      <c r="AH1585" s="261"/>
      <c r="AI1585" s="261"/>
      <c r="AJ1585" s="261"/>
      <c r="AK1585" s="261"/>
      <c r="AL1585" s="261"/>
      <c r="AM1585" s="262"/>
    </row>
    <row r="1586" spans="1:39" x14ac:dyDescent="0.25">
      <c r="A1586" s="215"/>
      <c r="B1586" s="215"/>
      <c r="C1586" s="215"/>
      <c r="D1586" s="239"/>
      <c r="E1586" s="239"/>
      <c r="F1586" s="239"/>
      <c r="G1586" s="239"/>
      <c r="H1586" s="239"/>
      <c r="I1586" s="257"/>
      <c r="J1586" s="240"/>
      <c r="K1586" s="240"/>
      <c r="L1586" s="240"/>
      <c r="M1586" s="240"/>
      <c r="N1586" s="240"/>
      <c r="O1586" s="258"/>
      <c r="P1586" s="224"/>
      <c r="Q1586" s="224"/>
      <c r="R1586" s="224"/>
      <c r="S1586" s="224"/>
      <c r="T1586" s="224"/>
      <c r="U1586" s="259"/>
      <c r="V1586" s="239"/>
      <c r="W1586" s="239"/>
      <c r="X1586" s="239"/>
      <c r="Y1586" s="239"/>
      <c r="Z1586" s="239"/>
      <c r="AA1586" s="257"/>
      <c r="AB1586" s="224"/>
      <c r="AC1586" s="224"/>
      <c r="AD1586" s="224"/>
      <c r="AE1586" s="224"/>
      <c r="AF1586" s="224"/>
      <c r="AG1586" s="259"/>
      <c r="AH1586" s="261"/>
      <c r="AI1586" s="261"/>
      <c r="AJ1586" s="261"/>
      <c r="AK1586" s="261"/>
      <c r="AL1586" s="261"/>
      <c r="AM1586" s="262"/>
    </row>
    <row r="1587" spans="1:39" x14ac:dyDescent="0.25">
      <c r="A1587" s="215"/>
      <c r="B1587" s="215"/>
      <c r="C1587" s="215"/>
      <c r="D1587" s="239"/>
      <c r="E1587" s="239"/>
      <c r="F1587" s="239"/>
      <c r="G1587" s="239"/>
      <c r="H1587" s="239"/>
      <c r="I1587" s="257"/>
      <c r="J1587" s="240"/>
      <c r="K1587" s="240"/>
      <c r="L1587" s="240"/>
      <c r="M1587" s="240"/>
      <c r="N1587" s="240"/>
      <c r="O1587" s="258"/>
      <c r="P1587" s="224"/>
      <c r="Q1587" s="224"/>
      <c r="R1587" s="224"/>
      <c r="S1587" s="224"/>
      <c r="T1587" s="224"/>
      <c r="U1587" s="259"/>
      <c r="V1587" s="239"/>
      <c r="W1587" s="239"/>
      <c r="X1587" s="239"/>
      <c r="Y1587" s="239"/>
      <c r="Z1587" s="239"/>
      <c r="AA1587" s="257"/>
      <c r="AB1587" s="224"/>
      <c r="AC1587" s="224"/>
      <c r="AD1587" s="224"/>
      <c r="AE1587" s="224"/>
      <c r="AF1587" s="224"/>
      <c r="AG1587" s="259"/>
      <c r="AH1587" s="261"/>
      <c r="AI1587" s="261"/>
      <c r="AJ1587" s="261"/>
      <c r="AK1587" s="261"/>
      <c r="AL1587" s="261"/>
      <c r="AM1587" s="262"/>
    </row>
    <row r="1588" spans="1:39" x14ac:dyDescent="0.25">
      <c r="A1588" s="215"/>
      <c r="B1588" s="215"/>
      <c r="C1588" s="215"/>
      <c r="D1588" s="239"/>
      <c r="E1588" s="239"/>
      <c r="F1588" s="239"/>
      <c r="G1588" s="239"/>
      <c r="H1588" s="239"/>
      <c r="I1588" s="257"/>
      <c r="J1588" s="240"/>
      <c r="K1588" s="240"/>
      <c r="L1588" s="240"/>
      <c r="M1588" s="240"/>
      <c r="N1588" s="240"/>
      <c r="O1588" s="258"/>
      <c r="P1588" s="224"/>
      <c r="Q1588" s="224"/>
      <c r="R1588" s="224"/>
      <c r="S1588" s="224"/>
      <c r="T1588" s="224"/>
      <c r="U1588" s="259"/>
      <c r="V1588" s="239"/>
      <c r="W1588" s="239"/>
      <c r="X1588" s="239"/>
      <c r="Y1588" s="239"/>
      <c r="Z1588" s="239"/>
      <c r="AA1588" s="257"/>
      <c r="AB1588" s="224"/>
      <c r="AC1588" s="224"/>
      <c r="AD1588" s="224"/>
      <c r="AE1588" s="224"/>
      <c r="AF1588" s="224"/>
      <c r="AG1588" s="259"/>
      <c r="AH1588" s="261"/>
      <c r="AI1588" s="261"/>
      <c r="AJ1588" s="261"/>
      <c r="AK1588" s="261"/>
      <c r="AL1588" s="261"/>
      <c r="AM1588" s="262"/>
    </row>
    <row r="1589" spans="1:39" x14ac:dyDescent="0.25">
      <c r="A1589" s="215"/>
      <c r="B1589" s="215"/>
      <c r="C1589" s="215"/>
      <c r="D1589" s="239"/>
      <c r="E1589" s="239"/>
      <c r="F1589" s="239"/>
      <c r="G1589" s="239"/>
      <c r="H1589" s="239"/>
      <c r="I1589" s="257"/>
      <c r="J1589" s="240"/>
      <c r="K1589" s="240"/>
      <c r="L1589" s="240"/>
      <c r="M1589" s="240"/>
      <c r="N1589" s="240"/>
      <c r="O1589" s="258"/>
      <c r="P1589" s="224"/>
      <c r="Q1589" s="224"/>
      <c r="R1589" s="224"/>
      <c r="S1589" s="224"/>
      <c r="T1589" s="224"/>
      <c r="U1589" s="259"/>
      <c r="V1589" s="239"/>
      <c r="W1589" s="239"/>
      <c r="X1589" s="239"/>
      <c r="Y1589" s="239"/>
      <c r="Z1589" s="239"/>
      <c r="AA1589" s="257"/>
      <c r="AB1589" s="224"/>
      <c r="AC1589" s="224"/>
      <c r="AD1589" s="224"/>
      <c r="AE1589" s="224"/>
      <c r="AF1589" s="224"/>
      <c r="AG1589" s="259"/>
      <c r="AH1589" s="261"/>
      <c r="AI1589" s="261"/>
      <c r="AJ1589" s="261"/>
      <c r="AK1589" s="261"/>
      <c r="AL1589" s="261"/>
      <c r="AM1589" s="262"/>
    </row>
    <row r="1590" spans="1:39" x14ac:dyDescent="0.25">
      <c r="A1590" s="215"/>
      <c r="B1590" s="215"/>
      <c r="C1590" s="215"/>
      <c r="D1590" s="239"/>
      <c r="E1590" s="239"/>
      <c r="F1590" s="239"/>
      <c r="G1590" s="239"/>
      <c r="H1590" s="239"/>
      <c r="I1590" s="257"/>
      <c r="J1590" s="240"/>
      <c r="K1590" s="240"/>
      <c r="L1590" s="240"/>
      <c r="M1590" s="240"/>
      <c r="N1590" s="240"/>
      <c r="O1590" s="258"/>
      <c r="P1590" s="224"/>
      <c r="Q1590" s="224"/>
      <c r="R1590" s="224"/>
      <c r="S1590" s="224"/>
      <c r="T1590" s="224"/>
      <c r="U1590" s="259"/>
      <c r="V1590" s="239"/>
      <c r="W1590" s="239"/>
      <c r="X1590" s="239"/>
      <c r="Y1590" s="239"/>
      <c r="Z1590" s="239"/>
      <c r="AA1590" s="257"/>
      <c r="AB1590" s="224"/>
      <c r="AC1590" s="224"/>
      <c r="AD1590" s="224"/>
      <c r="AE1590" s="224"/>
      <c r="AF1590" s="224"/>
      <c r="AG1590" s="259"/>
      <c r="AH1590" s="261"/>
      <c r="AI1590" s="261"/>
      <c r="AJ1590" s="261"/>
      <c r="AK1590" s="261"/>
      <c r="AL1590" s="261"/>
      <c r="AM1590" s="262"/>
    </row>
    <row r="1591" spans="1:39" x14ac:dyDescent="0.25">
      <c r="A1591" s="215"/>
      <c r="B1591" s="215"/>
      <c r="C1591" s="215"/>
      <c r="D1591" s="239"/>
      <c r="E1591" s="239"/>
      <c r="F1591" s="239"/>
      <c r="G1591" s="239"/>
      <c r="H1591" s="239"/>
      <c r="I1591" s="257"/>
      <c r="J1591" s="240"/>
      <c r="K1591" s="240"/>
      <c r="L1591" s="240"/>
      <c r="M1591" s="240"/>
      <c r="N1591" s="240"/>
      <c r="O1591" s="258"/>
      <c r="P1591" s="224"/>
      <c r="Q1591" s="224"/>
      <c r="R1591" s="224"/>
      <c r="S1591" s="224"/>
      <c r="T1591" s="224"/>
      <c r="U1591" s="259"/>
      <c r="V1591" s="239"/>
      <c r="W1591" s="239"/>
      <c r="X1591" s="239"/>
      <c r="Y1591" s="239"/>
      <c r="Z1591" s="239"/>
      <c r="AA1591" s="257"/>
      <c r="AB1591" s="224"/>
      <c r="AC1591" s="224"/>
      <c r="AD1591" s="224"/>
      <c r="AE1591" s="224"/>
      <c r="AF1591" s="224"/>
      <c r="AG1591" s="259"/>
      <c r="AH1591" s="261"/>
      <c r="AI1591" s="261"/>
      <c r="AJ1591" s="261"/>
      <c r="AK1591" s="261"/>
      <c r="AL1591" s="261"/>
      <c r="AM1591" s="262"/>
    </row>
    <row r="1592" spans="1:39" x14ac:dyDescent="0.25">
      <c r="A1592" s="215"/>
      <c r="B1592" s="215"/>
      <c r="C1592" s="215"/>
      <c r="D1592" s="239"/>
      <c r="E1592" s="239"/>
      <c r="F1592" s="239"/>
      <c r="G1592" s="239"/>
      <c r="H1592" s="239"/>
      <c r="I1592" s="257"/>
      <c r="J1592" s="240"/>
      <c r="K1592" s="240"/>
      <c r="L1592" s="240"/>
      <c r="M1592" s="240"/>
      <c r="N1592" s="240"/>
      <c r="O1592" s="258"/>
      <c r="P1592" s="224"/>
      <c r="Q1592" s="224"/>
      <c r="R1592" s="224"/>
      <c r="S1592" s="224"/>
      <c r="T1592" s="224"/>
      <c r="U1592" s="259"/>
      <c r="V1592" s="239"/>
      <c r="W1592" s="239"/>
      <c r="X1592" s="239"/>
      <c r="Y1592" s="239"/>
      <c r="Z1592" s="239"/>
      <c r="AA1592" s="257"/>
      <c r="AB1592" s="224"/>
      <c r="AC1592" s="224"/>
      <c r="AD1592" s="224"/>
      <c r="AE1592" s="224"/>
      <c r="AF1592" s="224"/>
      <c r="AG1592" s="259"/>
      <c r="AH1592" s="261"/>
      <c r="AI1592" s="261"/>
      <c r="AJ1592" s="261"/>
      <c r="AK1592" s="261"/>
      <c r="AL1592" s="261"/>
      <c r="AM1592" s="262"/>
    </row>
    <row r="1593" spans="1:39" x14ac:dyDescent="0.25">
      <c r="A1593" s="215"/>
      <c r="B1593" s="215"/>
      <c r="C1593" s="215"/>
      <c r="D1593" s="239"/>
      <c r="E1593" s="239"/>
      <c r="F1593" s="239"/>
      <c r="G1593" s="239"/>
      <c r="H1593" s="239"/>
      <c r="I1593" s="257"/>
      <c r="J1593" s="240"/>
      <c r="K1593" s="240"/>
      <c r="L1593" s="240"/>
      <c r="M1593" s="240"/>
      <c r="N1593" s="240"/>
      <c r="O1593" s="258"/>
      <c r="P1593" s="224"/>
      <c r="Q1593" s="224"/>
      <c r="R1593" s="224"/>
      <c r="S1593" s="224"/>
      <c r="T1593" s="224"/>
      <c r="U1593" s="259"/>
      <c r="V1593" s="239"/>
      <c r="W1593" s="239"/>
      <c r="X1593" s="239"/>
      <c r="Y1593" s="239"/>
      <c r="Z1593" s="239"/>
      <c r="AA1593" s="257"/>
      <c r="AB1593" s="224"/>
      <c r="AC1593" s="224"/>
      <c r="AD1593" s="224"/>
      <c r="AE1593" s="224"/>
      <c r="AF1593" s="224"/>
      <c r="AG1593" s="259"/>
      <c r="AH1593" s="261"/>
      <c r="AI1593" s="261"/>
      <c r="AJ1593" s="261"/>
      <c r="AK1593" s="261"/>
      <c r="AL1593" s="261"/>
      <c r="AM1593" s="262"/>
    </row>
    <row r="1594" spans="1:39" x14ac:dyDescent="0.25">
      <c r="A1594" s="215"/>
      <c r="B1594" s="215"/>
      <c r="C1594" s="215"/>
      <c r="D1594" s="239"/>
      <c r="E1594" s="239"/>
      <c r="F1594" s="239"/>
      <c r="G1594" s="239"/>
      <c r="H1594" s="239"/>
      <c r="I1594" s="257"/>
      <c r="J1594" s="240"/>
      <c r="K1594" s="240"/>
      <c r="L1594" s="240"/>
      <c r="M1594" s="240"/>
      <c r="N1594" s="240"/>
      <c r="O1594" s="258"/>
      <c r="P1594" s="224"/>
      <c r="Q1594" s="224"/>
      <c r="R1594" s="224"/>
      <c r="S1594" s="224"/>
      <c r="T1594" s="224"/>
      <c r="U1594" s="259"/>
      <c r="V1594" s="239"/>
      <c r="W1594" s="239"/>
      <c r="X1594" s="239"/>
      <c r="Y1594" s="239"/>
      <c r="Z1594" s="239"/>
      <c r="AA1594" s="257"/>
      <c r="AB1594" s="224"/>
      <c r="AC1594" s="224"/>
      <c r="AD1594" s="224"/>
      <c r="AE1594" s="224"/>
      <c r="AF1594" s="224"/>
      <c r="AG1594" s="259"/>
      <c r="AH1594" s="261"/>
      <c r="AI1594" s="261"/>
      <c r="AJ1594" s="261"/>
      <c r="AK1594" s="261"/>
      <c r="AL1594" s="261"/>
      <c r="AM1594" s="262"/>
    </row>
    <row r="1595" spans="1:39" x14ac:dyDescent="0.25">
      <c r="A1595" s="215"/>
      <c r="B1595" s="215"/>
      <c r="C1595" s="215"/>
      <c r="D1595" s="239"/>
      <c r="E1595" s="239"/>
      <c r="F1595" s="239"/>
      <c r="G1595" s="239"/>
      <c r="H1595" s="239"/>
      <c r="I1595" s="257"/>
      <c r="J1595" s="240"/>
      <c r="K1595" s="240"/>
      <c r="L1595" s="240"/>
      <c r="M1595" s="240"/>
      <c r="N1595" s="240"/>
      <c r="O1595" s="258"/>
      <c r="P1595" s="224"/>
      <c r="Q1595" s="224"/>
      <c r="R1595" s="224"/>
      <c r="S1595" s="224"/>
      <c r="T1595" s="224"/>
      <c r="U1595" s="259"/>
      <c r="V1595" s="239"/>
      <c r="W1595" s="239"/>
      <c r="X1595" s="239"/>
      <c r="Y1595" s="239"/>
      <c r="Z1595" s="239"/>
      <c r="AA1595" s="257"/>
      <c r="AB1595" s="224"/>
      <c r="AC1595" s="224"/>
      <c r="AD1595" s="224"/>
      <c r="AE1595" s="224"/>
      <c r="AF1595" s="224"/>
      <c r="AG1595" s="259"/>
      <c r="AH1595" s="261"/>
      <c r="AI1595" s="261"/>
      <c r="AJ1595" s="261"/>
      <c r="AK1595" s="261"/>
      <c r="AL1595" s="261"/>
      <c r="AM1595" s="262"/>
    </row>
    <row r="1596" spans="1:39" x14ac:dyDescent="0.25">
      <c r="A1596" s="215"/>
      <c r="B1596" s="215"/>
      <c r="C1596" s="215"/>
      <c r="D1596" s="239"/>
      <c r="E1596" s="239"/>
      <c r="F1596" s="239"/>
      <c r="G1596" s="239"/>
      <c r="H1596" s="239"/>
      <c r="I1596" s="257"/>
      <c r="J1596" s="240"/>
      <c r="K1596" s="240"/>
      <c r="L1596" s="240"/>
      <c r="M1596" s="240"/>
      <c r="N1596" s="240"/>
      <c r="O1596" s="258"/>
      <c r="P1596" s="224"/>
      <c r="Q1596" s="224"/>
      <c r="R1596" s="224"/>
      <c r="S1596" s="224"/>
      <c r="T1596" s="224"/>
      <c r="U1596" s="259"/>
      <c r="V1596" s="239"/>
      <c r="W1596" s="239"/>
      <c r="X1596" s="239"/>
      <c r="Y1596" s="239"/>
      <c r="Z1596" s="239"/>
      <c r="AA1596" s="257"/>
      <c r="AB1596" s="224"/>
      <c r="AC1596" s="224"/>
      <c r="AD1596" s="224"/>
      <c r="AE1596" s="224"/>
      <c r="AF1596" s="224"/>
      <c r="AG1596" s="259"/>
      <c r="AH1596" s="261"/>
      <c r="AI1596" s="261"/>
      <c r="AJ1596" s="261"/>
      <c r="AK1596" s="261"/>
      <c r="AL1596" s="261"/>
      <c r="AM1596" s="262"/>
    </row>
    <row r="1597" spans="1:39" x14ac:dyDescent="0.25">
      <c r="A1597" s="215"/>
      <c r="B1597" s="215"/>
      <c r="C1597" s="215"/>
      <c r="D1597" s="239"/>
      <c r="E1597" s="239"/>
      <c r="F1597" s="239"/>
      <c r="G1597" s="239"/>
      <c r="H1597" s="239"/>
      <c r="I1597" s="257"/>
      <c r="J1597" s="240"/>
      <c r="K1597" s="240"/>
      <c r="L1597" s="240"/>
      <c r="M1597" s="240"/>
      <c r="N1597" s="240"/>
      <c r="O1597" s="258"/>
      <c r="P1597" s="224"/>
      <c r="Q1597" s="224"/>
      <c r="R1597" s="224"/>
      <c r="S1597" s="224"/>
      <c r="T1597" s="224"/>
      <c r="U1597" s="259"/>
      <c r="V1597" s="239"/>
      <c r="W1597" s="239"/>
      <c r="X1597" s="239"/>
      <c r="Y1597" s="239"/>
      <c r="Z1597" s="239"/>
      <c r="AA1597" s="257"/>
      <c r="AB1597" s="224"/>
      <c r="AC1597" s="224"/>
      <c r="AD1597" s="224"/>
      <c r="AE1597" s="224"/>
      <c r="AF1597" s="224"/>
      <c r="AG1597" s="259"/>
      <c r="AH1597" s="261"/>
      <c r="AI1597" s="261"/>
      <c r="AJ1597" s="261"/>
      <c r="AK1597" s="261"/>
      <c r="AL1597" s="261"/>
      <c r="AM1597" s="262"/>
    </row>
    <row r="1598" spans="1:39" x14ac:dyDescent="0.25">
      <c r="A1598" s="215"/>
      <c r="B1598" s="215"/>
      <c r="C1598" s="215"/>
      <c r="D1598" s="239"/>
      <c r="E1598" s="239"/>
      <c r="F1598" s="239"/>
      <c r="G1598" s="239"/>
      <c r="H1598" s="239"/>
      <c r="I1598" s="257"/>
      <c r="J1598" s="240"/>
      <c r="K1598" s="240"/>
      <c r="L1598" s="240"/>
      <c r="M1598" s="240"/>
      <c r="N1598" s="240"/>
      <c r="O1598" s="258"/>
      <c r="P1598" s="224"/>
      <c r="Q1598" s="224"/>
      <c r="R1598" s="224"/>
      <c r="S1598" s="224"/>
      <c r="T1598" s="224"/>
      <c r="U1598" s="259"/>
      <c r="V1598" s="239"/>
      <c r="W1598" s="239"/>
      <c r="X1598" s="239"/>
      <c r="Y1598" s="239"/>
      <c r="Z1598" s="239"/>
      <c r="AA1598" s="257"/>
      <c r="AB1598" s="224"/>
      <c r="AC1598" s="224"/>
      <c r="AD1598" s="224"/>
      <c r="AE1598" s="224"/>
      <c r="AF1598" s="224"/>
      <c r="AG1598" s="259"/>
      <c r="AH1598" s="261"/>
      <c r="AI1598" s="261"/>
      <c r="AJ1598" s="261"/>
      <c r="AK1598" s="261"/>
      <c r="AL1598" s="261"/>
      <c r="AM1598" s="262"/>
    </row>
    <row r="1599" spans="1:39" x14ac:dyDescent="0.25">
      <c r="A1599" s="215"/>
      <c r="B1599" s="215"/>
      <c r="C1599" s="215"/>
      <c r="D1599" s="239"/>
      <c r="E1599" s="239"/>
      <c r="F1599" s="239"/>
      <c r="G1599" s="239"/>
      <c r="H1599" s="239"/>
      <c r="I1599" s="257"/>
      <c r="J1599" s="240"/>
      <c r="K1599" s="240"/>
      <c r="L1599" s="240"/>
      <c r="M1599" s="240"/>
      <c r="N1599" s="240"/>
      <c r="O1599" s="258"/>
      <c r="P1599" s="224"/>
      <c r="Q1599" s="224"/>
      <c r="R1599" s="224"/>
      <c r="S1599" s="224"/>
      <c r="T1599" s="224"/>
      <c r="U1599" s="259"/>
      <c r="V1599" s="239"/>
      <c r="W1599" s="239"/>
      <c r="X1599" s="239"/>
      <c r="Y1599" s="239"/>
      <c r="Z1599" s="239"/>
      <c r="AA1599" s="257"/>
      <c r="AB1599" s="224"/>
      <c r="AC1599" s="224"/>
      <c r="AD1599" s="224"/>
      <c r="AE1599" s="224"/>
      <c r="AF1599" s="224"/>
      <c r="AG1599" s="259"/>
      <c r="AH1599" s="261"/>
      <c r="AI1599" s="261"/>
      <c r="AJ1599" s="261"/>
      <c r="AK1599" s="261"/>
      <c r="AL1599" s="261"/>
      <c r="AM1599" s="262"/>
    </row>
    <row r="1600" spans="1:39" x14ac:dyDescent="0.25">
      <c r="A1600" s="215"/>
      <c r="B1600" s="215"/>
      <c r="C1600" s="215"/>
      <c r="D1600" s="239"/>
      <c r="E1600" s="239"/>
      <c r="F1600" s="239"/>
      <c r="G1600" s="239"/>
      <c r="H1600" s="239"/>
      <c r="I1600" s="257"/>
      <c r="J1600" s="240"/>
      <c r="K1600" s="240"/>
      <c r="L1600" s="240"/>
      <c r="M1600" s="240"/>
      <c r="N1600" s="240"/>
      <c r="O1600" s="258"/>
      <c r="P1600" s="224"/>
      <c r="Q1600" s="224"/>
      <c r="R1600" s="224"/>
      <c r="S1600" s="224"/>
      <c r="T1600" s="224"/>
      <c r="U1600" s="259"/>
      <c r="V1600" s="239"/>
      <c r="W1600" s="239"/>
      <c r="X1600" s="239"/>
      <c r="Y1600" s="239"/>
      <c r="Z1600" s="239"/>
      <c r="AA1600" s="257"/>
      <c r="AB1600" s="224"/>
      <c r="AC1600" s="224"/>
      <c r="AD1600" s="224"/>
      <c r="AE1600" s="224"/>
      <c r="AF1600" s="224"/>
      <c r="AG1600" s="259"/>
      <c r="AH1600" s="261"/>
      <c r="AI1600" s="261"/>
      <c r="AJ1600" s="261"/>
      <c r="AK1600" s="261"/>
      <c r="AL1600" s="261"/>
      <c r="AM1600" s="262"/>
    </row>
    <row r="1601" spans="1:39" x14ac:dyDescent="0.25">
      <c r="A1601" s="215"/>
      <c r="B1601" s="215"/>
      <c r="C1601" s="215"/>
      <c r="D1601" s="239"/>
      <c r="E1601" s="239"/>
      <c r="F1601" s="239"/>
      <c r="G1601" s="239"/>
      <c r="H1601" s="239"/>
      <c r="I1601" s="257"/>
      <c r="J1601" s="240"/>
      <c r="K1601" s="240"/>
      <c r="L1601" s="240"/>
      <c r="M1601" s="240"/>
      <c r="N1601" s="240"/>
      <c r="O1601" s="258"/>
      <c r="P1601" s="224"/>
      <c r="Q1601" s="224"/>
      <c r="R1601" s="224"/>
      <c r="S1601" s="224"/>
      <c r="T1601" s="224"/>
      <c r="U1601" s="259"/>
      <c r="V1601" s="239"/>
      <c r="W1601" s="239"/>
      <c r="X1601" s="239"/>
      <c r="Y1601" s="239"/>
      <c r="Z1601" s="239"/>
      <c r="AA1601" s="257"/>
      <c r="AB1601" s="224"/>
      <c r="AC1601" s="224"/>
      <c r="AD1601" s="224"/>
      <c r="AE1601" s="224"/>
      <c r="AF1601" s="224"/>
      <c r="AG1601" s="259"/>
      <c r="AH1601" s="261"/>
      <c r="AI1601" s="261"/>
      <c r="AJ1601" s="261"/>
      <c r="AK1601" s="261"/>
      <c r="AL1601" s="261"/>
      <c r="AM1601" s="262"/>
    </row>
    <row r="1602" spans="1:39" x14ac:dyDescent="0.25">
      <c r="A1602" s="215"/>
      <c r="B1602" s="215"/>
      <c r="C1602" s="215"/>
      <c r="D1602" s="239"/>
      <c r="E1602" s="239"/>
      <c r="F1602" s="239"/>
      <c r="G1602" s="239"/>
      <c r="H1602" s="239"/>
      <c r="I1602" s="257"/>
      <c r="J1602" s="240"/>
      <c r="K1602" s="240"/>
      <c r="L1602" s="240"/>
      <c r="M1602" s="240"/>
      <c r="N1602" s="240"/>
      <c r="O1602" s="258"/>
      <c r="P1602" s="224"/>
      <c r="Q1602" s="224"/>
      <c r="R1602" s="224"/>
      <c r="S1602" s="224"/>
      <c r="T1602" s="224"/>
      <c r="U1602" s="259"/>
      <c r="V1602" s="239"/>
      <c r="W1602" s="239"/>
      <c r="X1602" s="239"/>
      <c r="Y1602" s="239"/>
      <c r="Z1602" s="239"/>
      <c r="AA1602" s="257"/>
      <c r="AB1602" s="224"/>
      <c r="AC1602" s="224"/>
      <c r="AD1602" s="224"/>
      <c r="AE1602" s="224"/>
      <c r="AF1602" s="224"/>
      <c r="AG1602" s="259"/>
      <c r="AH1602" s="261"/>
      <c r="AI1602" s="261"/>
      <c r="AJ1602" s="261"/>
      <c r="AK1602" s="261"/>
      <c r="AL1602" s="261"/>
      <c r="AM1602" s="262"/>
    </row>
    <row r="1603" spans="1:39" x14ac:dyDescent="0.25">
      <c r="A1603" s="215"/>
      <c r="B1603" s="215"/>
      <c r="C1603" s="215"/>
      <c r="D1603" s="239"/>
      <c r="E1603" s="239"/>
      <c r="F1603" s="239"/>
      <c r="G1603" s="239"/>
      <c r="H1603" s="239"/>
      <c r="I1603" s="257"/>
      <c r="J1603" s="240"/>
      <c r="K1603" s="240"/>
      <c r="L1603" s="240"/>
      <c r="M1603" s="240"/>
      <c r="N1603" s="240"/>
      <c r="O1603" s="258"/>
      <c r="P1603" s="224"/>
      <c r="Q1603" s="224"/>
      <c r="R1603" s="224"/>
      <c r="S1603" s="224"/>
      <c r="T1603" s="224"/>
      <c r="U1603" s="259"/>
      <c r="V1603" s="239"/>
      <c r="W1603" s="239"/>
      <c r="X1603" s="239"/>
      <c r="Y1603" s="239"/>
      <c r="Z1603" s="239"/>
      <c r="AA1603" s="257"/>
      <c r="AB1603" s="224"/>
      <c r="AC1603" s="224"/>
      <c r="AD1603" s="224"/>
      <c r="AE1603" s="224"/>
      <c r="AF1603" s="224"/>
      <c r="AG1603" s="259"/>
      <c r="AH1603" s="261"/>
      <c r="AI1603" s="261"/>
      <c r="AJ1603" s="261"/>
      <c r="AK1603" s="261"/>
      <c r="AL1603" s="261"/>
      <c r="AM1603" s="262"/>
    </row>
    <row r="1604" spans="1:39" x14ac:dyDescent="0.25">
      <c r="A1604" s="215"/>
      <c r="B1604" s="215"/>
      <c r="C1604" s="215"/>
      <c r="D1604" s="239"/>
      <c r="E1604" s="239"/>
      <c r="F1604" s="239"/>
      <c r="G1604" s="239"/>
      <c r="H1604" s="239"/>
      <c r="I1604" s="257"/>
      <c r="J1604" s="240"/>
      <c r="K1604" s="240"/>
      <c r="L1604" s="240"/>
      <c r="M1604" s="240"/>
      <c r="N1604" s="240"/>
      <c r="O1604" s="258"/>
      <c r="P1604" s="224"/>
      <c r="Q1604" s="224"/>
      <c r="R1604" s="224"/>
      <c r="S1604" s="224"/>
      <c r="T1604" s="224"/>
      <c r="U1604" s="259"/>
      <c r="V1604" s="239"/>
      <c r="W1604" s="239"/>
      <c r="X1604" s="239"/>
      <c r="Y1604" s="239"/>
      <c r="Z1604" s="239"/>
      <c r="AA1604" s="257"/>
      <c r="AB1604" s="224"/>
      <c r="AC1604" s="224"/>
      <c r="AD1604" s="224"/>
      <c r="AE1604" s="224"/>
      <c r="AF1604" s="224"/>
      <c r="AG1604" s="259"/>
      <c r="AH1604" s="261"/>
      <c r="AI1604" s="261"/>
      <c r="AJ1604" s="261"/>
      <c r="AK1604" s="261"/>
      <c r="AL1604" s="261"/>
      <c r="AM1604" s="262"/>
    </row>
    <row r="1605" spans="1:39" x14ac:dyDescent="0.25">
      <c r="A1605" s="215"/>
      <c r="B1605" s="215"/>
      <c r="C1605" s="215"/>
      <c r="D1605" s="239"/>
      <c r="E1605" s="239"/>
      <c r="F1605" s="239"/>
      <c r="G1605" s="239"/>
      <c r="H1605" s="239"/>
      <c r="I1605" s="257"/>
      <c r="J1605" s="240"/>
      <c r="K1605" s="240"/>
      <c r="L1605" s="240"/>
      <c r="M1605" s="240"/>
      <c r="N1605" s="240"/>
      <c r="O1605" s="258"/>
      <c r="P1605" s="224"/>
      <c r="Q1605" s="224"/>
      <c r="R1605" s="224"/>
      <c r="S1605" s="224"/>
      <c r="T1605" s="224"/>
      <c r="U1605" s="259"/>
      <c r="V1605" s="239"/>
      <c r="W1605" s="239"/>
      <c r="X1605" s="239"/>
      <c r="Y1605" s="239"/>
      <c r="Z1605" s="239"/>
      <c r="AA1605" s="257"/>
      <c r="AB1605" s="224"/>
      <c r="AC1605" s="224"/>
      <c r="AD1605" s="224"/>
      <c r="AE1605" s="224"/>
      <c r="AF1605" s="224"/>
      <c r="AG1605" s="259"/>
      <c r="AH1605" s="261"/>
      <c r="AI1605" s="261"/>
      <c r="AJ1605" s="261"/>
      <c r="AK1605" s="261"/>
      <c r="AL1605" s="261"/>
      <c r="AM1605" s="262"/>
    </row>
    <row r="1606" spans="1:39" x14ac:dyDescent="0.25">
      <c r="A1606" s="215"/>
      <c r="B1606" s="215"/>
      <c r="C1606" s="215"/>
      <c r="D1606" s="239"/>
      <c r="E1606" s="239"/>
      <c r="F1606" s="239"/>
      <c r="G1606" s="239"/>
      <c r="H1606" s="239"/>
      <c r="I1606" s="257"/>
      <c r="J1606" s="240"/>
      <c r="K1606" s="240"/>
      <c r="L1606" s="240"/>
      <c r="M1606" s="240"/>
      <c r="N1606" s="240"/>
      <c r="O1606" s="258"/>
      <c r="P1606" s="224"/>
      <c r="Q1606" s="224"/>
      <c r="R1606" s="224"/>
      <c r="S1606" s="224"/>
      <c r="T1606" s="224"/>
      <c r="U1606" s="259"/>
      <c r="V1606" s="239"/>
      <c r="W1606" s="239"/>
      <c r="X1606" s="239"/>
      <c r="Y1606" s="239"/>
      <c r="Z1606" s="239"/>
      <c r="AA1606" s="257"/>
      <c r="AB1606" s="224"/>
      <c r="AC1606" s="224"/>
      <c r="AD1606" s="224"/>
      <c r="AE1606" s="224"/>
      <c r="AF1606" s="224"/>
      <c r="AG1606" s="259"/>
      <c r="AH1606" s="261"/>
      <c r="AI1606" s="261"/>
      <c r="AJ1606" s="261"/>
      <c r="AK1606" s="261"/>
      <c r="AL1606" s="261"/>
      <c r="AM1606" s="262"/>
    </row>
    <row r="1607" spans="1:39" x14ac:dyDescent="0.25">
      <c r="A1607" s="215"/>
      <c r="B1607" s="215"/>
      <c r="C1607" s="215"/>
      <c r="D1607" s="239"/>
      <c r="E1607" s="239"/>
      <c r="F1607" s="239"/>
      <c r="G1607" s="239"/>
      <c r="H1607" s="239"/>
      <c r="I1607" s="257"/>
      <c r="J1607" s="240"/>
      <c r="K1607" s="240"/>
      <c r="L1607" s="240"/>
      <c r="M1607" s="240"/>
      <c r="N1607" s="240"/>
      <c r="O1607" s="258"/>
      <c r="P1607" s="224"/>
      <c r="Q1607" s="224"/>
      <c r="R1607" s="224"/>
      <c r="S1607" s="224"/>
      <c r="T1607" s="224"/>
      <c r="U1607" s="259"/>
      <c r="V1607" s="239"/>
      <c r="W1607" s="239"/>
      <c r="X1607" s="239"/>
      <c r="Y1607" s="239"/>
      <c r="Z1607" s="239"/>
      <c r="AA1607" s="257"/>
      <c r="AB1607" s="224"/>
      <c r="AC1607" s="224"/>
      <c r="AD1607" s="224"/>
      <c r="AE1607" s="224"/>
      <c r="AF1607" s="224"/>
      <c r="AG1607" s="259"/>
      <c r="AH1607" s="261"/>
      <c r="AI1607" s="261"/>
      <c r="AJ1607" s="261"/>
      <c r="AK1607" s="261"/>
      <c r="AL1607" s="261"/>
      <c r="AM1607" s="262"/>
    </row>
    <row r="1608" spans="1:39" x14ac:dyDescent="0.25">
      <c r="A1608" s="215"/>
      <c r="B1608" s="215"/>
      <c r="C1608" s="215"/>
      <c r="D1608" s="239"/>
      <c r="E1608" s="239"/>
      <c r="F1608" s="239"/>
      <c r="G1608" s="239"/>
      <c r="H1608" s="239"/>
      <c r="I1608" s="257"/>
      <c r="J1608" s="240"/>
      <c r="K1608" s="240"/>
      <c r="L1608" s="240"/>
      <c r="M1608" s="240"/>
      <c r="N1608" s="240"/>
      <c r="O1608" s="258"/>
      <c r="P1608" s="224"/>
      <c r="Q1608" s="224"/>
      <c r="R1608" s="224"/>
      <c r="S1608" s="224"/>
      <c r="T1608" s="224"/>
      <c r="U1608" s="259"/>
      <c r="V1608" s="239"/>
      <c r="W1608" s="239"/>
      <c r="X1608" s="239"/>
      <c r="Y1608" s="239"/>
      <c r="Z1608" s="239"/>
      <c r="AA1608" s="257"/>
      <c r="AB1608" s="224"/>
      <c r="AC1608" s="224"/>
      <c r="AD1608" s="224"/>
      <c r="AE1608" s="224"/>
      <c r="AF1608" s="224"/>
      <c r="AG1608" s="259"/>
      <c r="AH1608" s="261"/>
      <c r="AI1608" s="261"/>
      <c r="AJ1608" s="261"/>
      <c r="AK1608" s="261"/>
      <c r="AL1608" s="261"/>
      <c r="AM1608" s="262"/>
    </row>
    <row r="1609" spans="1:39" x14ac:dyDescent="0.25">
      <c r="A1609" s="215"/>
      <c r="B1609" s="215"/>
      <c r="C1609" s="215"/>
      <c r="D1609" s="239"/>
      <c r="E1609" s="239"/>
      <c r="F1609" s="239"/>
      <c r="G1609" s="239"/>
      <c r="H1609" s="239"/>
      <c r="I1609" s="257"/>
      <c r="J1609" s="240"/>
      <c r="K1609" s="240"/>
      <c r="L1609" s="240"/>
      <c r="M1609" s="240"/>
      <c r="N1609" s="240"/>
      <c r="O1609" s="258"/>
      <c r="P1609" s="224"/>
      <c r="Q1609" s="224"/>
      <c r="R1609" s="224"/>
      <c r="S1609" s="224"/>
      <c r="T1609" s="224"/>
      <c r="U1609" s="259"/>
      <c r="V1609" s="239"/>
      <c r="W1609" s="239"/>
      <c r="X1609" s="239"/>
      <c r="Y1609" s="239"/>
      <c r="Z1609" s="239"/>
      <c r="AA1609" s="257"/>
      <c r="AB1609" s="224"/>
      <c r="AC1609" s="224"/>
      <c r="AD1609" s="224"/>
      <c r="AE1609" s="224"/>
      <c r="AF1609" s="224"/>
      <c r="AG1609" s="259"/>
      <c r="AH1609" s="261"/>
      <c r="AI1609" s="261"/>
      <c r="AJ1609" s="261"/>
      <c r="AK1609" s="261"/>
      <c r="AL1609" s="261"/>
      <c r="AM1609" s="262"/>
    </row>
    <row r="1610" spans="1:39" x14ac:dyDescent="0.25">
      <c r="A1610" s="215"/>
      <c r="B1610" s="215"/>
      <c r="C1610" s="215"/>
      <c r="D1610" s="239"/>
      <c r="E1610" s="239"/>
      <c r="F1610" s="239"/>
      <c r="G1610" s="239"/>
      <c r="H1610" s="239"/>
      <c r="I1610" s="257"/>
      <c r="J1610" s="240"/>
      <c r="K1610" s="240"/>
      <c r="L1610" s="240"/>
      <c r="M1610" s="240"/>
      <c r="N1610" s="240"/>
      <c r="O1610" s="258"/>
      <c r="P1610" s="224"/>
      <c r="Q1610" s="224"/>
      <c r="R1610" s="224"/>
      <c r="S1610" s="224"/>
      <c r="T1610" s="224"/>
      <c r="U1610" s="259"/>
      <c r="V1610" s="239"/>
      <c r="W1610" s="239"/>
      <c r="X1610" s="239"/>
      <c r="Y1610" s="239"/>
      <c r="Z1610" s="239"/>
      <c r="AA1610" s="257"/>
      <c r="AB1610" s="224"/>
      <c r="AC1610" s="224"/>
      <c r="AD1610" s="224"/>
      <c r="AE1610" s="224"/>
      <c r="AF1610" s="224"/>
      <c r="AG1610" s="259"/>
      <c r="AH1610" s="261"/>
      <c r="AI1610" s="261"/>
      <c r="AJ1610" s="261"/>
      <c r="AK1610" s="261"/>
      <c r="AL1610" s="261"/>
      <c r="AM1610" s="262"/>
    </row>
    <row r="1611" spans="1:39" x14ac:dyDescent="0.25">
      <c r="A1611" s="215"/>
      <c r="B1611" s="215"/>
      <c r="C1611" s="215"/>
      <c r="D1611" s="239"/>
      <c r="E1611" s="239"/>
      <c r="F1611" s="239"/>
      <c r="G1611" s="239"/>
      <c r="H1611" s="239"/>
      <c r="I1611" s="257"/>
      <c r="J1611" s="240"/>
      <c r="K1611" s="240"/>
      <c r="L1611" s="240"/>
      <c r="M1611" s="240"/>
      <c r="N1611" s="240"/>
      <c r="O1611" s="258"/>
      <c r="P1611" s="224"/>
      <c r="Q1611" s="224"/>
      <c r="R1611" s="224"/>
      <c r="S1611" s="224"/>
      <c r="T1611" s="224"/>
      <c r="U1611" s="259"/>
      <c r="V1611" s="239"/>
      <c r="W1611" s="239"/>
      <c r="X1611" s="239"/>
      <c r="Y1611" s="239"/>
      <c r="Z1611" s="239"/>
      <c r="AA1611" s="257"/>
      <c r="AB1611" s="224"/>
      <c r="AC1611" s="224"/>
      <c r="AD1611" s="224"/>
      <c r="AE1611" s="224"/>
      <c r="AF1611" s="224"/>
      <c r="AG1611" s="259"/>
      <c r="AH1611" s="261"/>
      <c r="AI1611" s="261"/>
      <c r="AJ1611" s="261"/>
      <c r="AK1611" s="261"/>
      <c r="AL1611" s="261"/>
      <c r="AM1611" s="262"/>
    </row>
    <row r="1612" spans="1:39" x14ac:dyDescent="0.25">
      <c r="A1612" s="215"/>
      <c r="B1612" s="215"/>
      <c r="C1612" s="215"/>
      <c r="D1612" s="239"/>
      <c r="E1612" s="239"/>
      <c r="F1612" s="239"/>
      <c r="G1612" s="239"/>
      <c r="H1612" s="239"/>
      <c r="I1612" s="257"/>
      <c r="J1612" s="240"/>
      <c r="K1612" s="240"/>
      <c r="L1612" s="240"/>
      <c r="M1612" s="240"/>
      <c r="N1612" s="240"/>
      <c r="O1612" s="258"/>
      <c r="P1612" s="224"/>
      <c r="Q1612" s="224"/>
      <c r="R1612" s="224"/>
      <c r="S1612" s="224"/>
      <c r="T1612" s="224"/>
      <c r="U1612" s="259"/>
      <c r="V1612" s="239"/>
      <c r="W1612" s="239"/>
      <c r="X1612" s="239"/>
      <c r="Y1612" s="239"/>
      <c r="Z1612" s="239"/>
      <c r="AA1612" s="257"/>
      <c r="AB1612" s="224"/>
      <c r="AC1612" s="224"/>
      <c r="AD1612" s="224"/>
      <c r="AE1612" s="224"/>
      <c r="AF1612" s="224"/>
      <c r="AG1612" s="259"/>
      <c r="AH1612" s="261"/>
      <c r="AI1612" s="261"/>
      <c r="AJ1612" s="261"/>
      <c r="AK1612" s="261"/>
      <c r="AL1612" s="261"/>
      <c r="AM1612" s="262"/>
    </row>
  </sheetData>
  <mergeCells count="6">
    <mergeCell ref="AH32:AM32"/>
    <mergeCell ref="D32:I32"/>
    <mergeCell ref="J32:O32"/>
    <mergeCell ref="P32:U32"/>
    <mergeCell ref="V32:AA32"/>
    <mergeCell ref="AB32:AG32"/>
  </mergeCells>
  <conditionalFormatting sqref="A34:AM1612">
    <cfRule type="expression" dxfId="29" priority="7">
      <formula>$A34&lt;&gt;""</formula>
    </cfRule>
  </conditionalFormatting>
  <conditionalFormatting sqref="B13:F16">
    <cfRule type="expression" dxfId="28" priority="10">
      <formula>ISNA(B13)</formula>
    </cfRule>
  </conditionalFormatting>
  <conditionalFormatting sqref="B20:F22">
    <cfRule type="expression" dxfId="27" priority="4">
      <formula>ISNA(B20)</formula>
    </cfRule>
  </conditionalFormatting>
  <conditionalFormatting sqref="B24:F24">
    <cfRule type="expression" dxfId="26" priority="3">
      <formula>ISNA(B24)</formula>
    </cfRule>
  </conditionalFormatting>
  <conditionalFormatting sqref="B26:F26">
    <cfRule type="expression" dxfId="25" priority="2">
      <formula>ISNA(B26)</formula>
    </cfRule>
  </conditionalFormatting>
  <conditionalFormatting sqref="B28:F28">
    <cfRule type="expression" dxfId="24" priority="1">
      <formula>ISNA(B28)</formula>
    </cfRule>
  </conditionalFormatting>
  <conditionalFormatting sqref="B18:G18">
    <cfRule type="expression" dxfId="23" priority="5">
      <formula>AND(ISNUMBER(B18),B18&gt;0)</formula>
    </cfRule>
    <cfRule type="expression" dxfId="22" priority="6">
      <formula>AND(ISNUMBER(B18),B18&lt;0)</formula>
    </cfRule>
  </conditionalFormatting>
  <conditionalFormatting sqref="J34:N1612">
    <cfRule type="colorScale" priority="8">
      <colorScale>
        <cfvo type="min"/>
        <cfvo type="percentile" val="50"/>
        <cfvo type="max"/>
        <color rgb="FFF8CBAD"/>
        <color rgb="FFFFFFFF"/>
        <color rgb="FFA9D08E"/>
      </colorScale>
    </cfRule>
  </conditionalFormatting>
  <conditionalFormatting sqref="U34:U1612">
    <cfRule type="dataBar" priority="9">
      <dataBar>
        <cfvo type="min"/>
        <cfvo type="max"/>
        <color rgb="FFFFD966"/>
      </dataBar>
      <extLst>
        <ext xmlns:x14="http://schemas.microsoft.com/office/spreadsheetml/2009/9/main" uri="{B025F937-C7B1-47D3-B67F-A62EFF666E3E}">
          <x14:id>{E8F3FA6A-4395-4974-B24F-20ADE33C2090}</x14:id>
        </ext>
      </extLst>
    </cfRule>
  </conditionalFormatting>
  <conditionalFormatting sqref="AG34:AG1612">
    <cfRule type="dataBar" priority="12">
      <dataBar>
        <cfvo type="min"/>
        <cfvo type="max"/>
        <color rgb="FF9BC2E6"/>
      </dataBar>
      <extLst>
        <ext xmlns:x14="http://schemas.microsoft.com/office/spreadsheetml/2009/9/main" uri="{B025F937-C7B1-47D3-B67F-A62EFF666E3E}">
          <x14:id>{8813925B-799A-44A7-97FA-64CB8C961D7F}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F3FA6A-4395-4974-B24F-20ADE33C2090}">
            <x14:dataBar minLength="0" maxLength="100" gradient="0" negativeBarColorSameAsPositive="1" axisPosition="none">
              <x14:cfvo type="min"/>
              <x14:cfvo type="max"/>
            </x14:dataBar>
          </x14:cfRule>
          <xm:sqref>U34:U1612</xm:sqref>
        </x14:conditionalFormatting>
        <x14:conditionalFormatting xmlns:xm="http://schemas.microsoft.com/office/excel/2006/main">
          <x14:cfRule type="dataBar" id="{8813925B-799A-44A7-97FA-64CB8C961D7F}">
            <x14:dataBar minLength="0" maxLength="100" gradient="0" negativeBarColorSameAsPositive="1" axisPosition="none">
              <x14:cfvo type="min"/>
              <x14:cfvo type="max"/>
            </x14:dataBar>
          </x14:cfRule>
          <xm:sqref>AG34:AG1612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E357D8D-0646-4B59-9F25-CA3883412040}">
          <x14:formula1>
            <xm:f>_xlfn.ANCHORARRAY('Staff Calc'!$AG$20)</xm:f>
          </x14:formula1>
          <xm:sqref>B5</xm:sqref>
        </x14:dataValidation>
        <x14:dataValidation type="list" errorStyle="warning" allowBlank="1" showInputMessage="1" xr:uid="{C8BB73E3-915D-4D78-9291-4CBEB8EBC60B}">
          <x14:formula1>
            <xm:f>_xlfn.ANCHORARRAY('Staff Calc'!$AN$20)</xm:f>
          </x14:formula1>
          <xm:sqref>E4:E5</xm:sqref>
        </x14:dataValidation>
        <x14:dataValidation type="list" allowBlank="1" showInputMessage="1" showErrorMessage="1" xr:uid="{9A073D2A-D713-44DA-9793-7C84737A070A}">
          <x14:formula1>
            <xm:f>_xlfn.ANCHORARRAY('Staff Calc'!$DI$20)</xm:f>
          </x14:formula1>
          <xm:sqref>B3</xm:sqref>
        </x14:dataValidation>
        <x14:dataValidation type="list" allowBlank="1" showInputMessage="1" showErrorMessage="1" xr:uid="{E02CFA60-0EB6-49B8-AE8C-C2EBEFB7A3CA}">
          <x14:formula1>
            <xm:f>_xlfn.ANCHORARRAY('Staff Calc'!$DK$20)</xm:f>
          </x14:formula1>
          <xm:sqref>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4B62-8B66-4A72-98C7-CCFFC02C1762}">
  <sheetPr>
    <tabColor theme="3" tint="0.39997558519241921"/>
  </sheetPr>
  <dimension ref="A1:CB145"/>
  <sheetViews>
    <sheetView topLeftCell="A38" zoomScaleNormal="100" workbookViewId="0">
      <pane xSplit="3" topLeftCell="K1" activePane="topRight" state="frozen"/>
      <selection pane="topRight" activeCell="A68" sqref="A68:XFD68"/>
    </sheetView>
  </sheetViews>
  <sheetFormatPr defaultRowHeight="15" outlineLevelRow="1" outlineLevelCol="1" x14ac:dyDescent="0.25"/>
  <cols>
    <col min="1" max="1" width="18.140625" style="339" customWidth="1"/>
    <col min="2" max="2" width="28.5703125" style="339" customWidth="1"/>
    <col min="3" max="3" width="15.28515625" style="339" customWidth="1"/>
    <col min="4" max="17" width="9.85546875" style="339" customWidth="1"/>
    <col min="18" max="18" width="13.28515625" style="339" customWidth="1"/>
    <col min="19" max="19" width="1.85546875" style="339" customWidth="1"/>
    <col min="20" max="33" width="9.85546875" style="339" customWidth="1"/>
    <col min="34" max="34" width="13.28515625" style="339" customWidth="1"/>
    <col min="35" max="35" width="1.85546875" style="339" customWidth="1"/>
    <col min="36" max="78" width="9.5703125" style="339" hidden="1" customWidth="1" outlineLevel="1"/>
    <col min="79" max="79" width="9.140625" collapsed="1"/>
  </cols>
  <sheetData>
    <row r="1" spans="1:80" ht="21" x14ac:dyDescent="0.35">
      <c r="A1" s="340" t="str">
        <f>"CONVERSION % &amp; ATV PROGRESS – BY CITY AND STORE"&amp;IF($B$4="All","","  |  "&amp;$B$4)</f>
        <v>CONVERSION % &amp; ATV PROGRESS – BY CITY AND STORE</v>
      </c>
    </row>
    <row r="2" spans="1:80" x14ac:dyDescent="0.25">
      <c r="A2" s="341" t="s">
        <v>2760</v>
      </c>
    </row>
    <row r="3" spans="1:80" x14ac:dyDescent="0.25">
      <c r="A3" s="342" t="s">
        <v>2741</v>
      </c>
      <c r="B3" s="366">
        <f>MAX(Footfall!$C$2:$BZ$2)</f>
        <v>46321</v>
      </c>
      <c r="C3" s="342" t="s">
        <v>2742</v>
      </c>
      <c r="D3" s="384" cm="1">
        <f t="array" ref="D3">_xlfn.LET(_xlpm.d,IFERROR(--'Sales and count'!$G$2:$CC$2,0),_xlpm.t,_xlfn.BYCOL('Sales and count'!$G$4:$CC$300,_xlfn.LAMBDA(_xlpm.c,SUM(_xlpm.c))),MAX(_xlfn._xlws.FILTER(_xlpm.d,('Sales and count'!$G$3:$CC$3="Total")*(_xlpm.t&gt;0),0)))</f>
        <v>46321</v>
      </c>
      <c r="E3" s="385"/>
      <c r="F3" s="386" t="s">
        <v>2755</v>
      </c>
      <c r="G3" s="386"/>
      <c r="H3" s="386"/>
      <c r="I3" s="386"/>
      <c r="J3" s="387" t="s">
        <v>2756</v>
      </c>
      <c r="K3" s="387"/>
      <c r="L3" s="387"/>
      <c r="M3" s="387"/>
    </row>
    <row r="4" spans="1:80" x14ac:dyDescent="0.25">
      <c r="A4" s="48" t="s">
        <v>2757</v>
      </c>
      <c r="B4" s="368" t="s">
        <v>165</v>
      </c>
      <c r="C4" s="47" t="s">
        <v>2758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80" hidden="1" outlineLevel="1" x14ac:dyDescent="0.25">
      <c r="A5" s="343" t="s">
        <v>2743</v>
      </c>
      <c r="B5" s="343"/>
      <c r="C5" s="343"/>
      <c r="D5" s="343">
        <v>1</v>
      </c>
      <c r="E5" s="343">
        <v>2</v>
      </c>
      <c r="F5" s="343">
        <v>3</v>
      </c>
      <c r="G5" s="343">
        <v>4</v>
      </c>
      <c r="H5" s="343">
        <v>5</v>
      </c>
      <c r="I5" s="343">
        <v>6</v>
      </c>
      <c r="J5" s="343">
        <v>7</v>
      </c>
      <c r="K5" s="343">
        <v>8</v>
      </c>
      <c r="L5" s="343">
        <v>9</v>
      </c>
      <c r="M5" s="343">
        <v>10</v>
      </c>
      <c r="N5" s="343">
        <v>11</v>
      </c>
      <c r="O5" s="343">
        <v>12</v>
      </c>
      <c r="P5" s="343">
        <v>13</v>
      </c>
      <c r="Q5" s="343">
        <v>14</v>
      </c>
      <c r="R5" s="343"/>
      <c r="S5" s="343"/>
      <c r="T5" s="343">
        <v>1</v>
      </c>
      <c r="U5" s="343">
        <v>2</v>
      </c>
      <c r="V5" s="343">
        <v>3</v>
      </c>
      <c r="W5" s="343">
        <v>4</v>
      </c>
      <c r="X5" s="343">
        <v>5</v>
      </c>
      <c r="Y5" s="343">
        <v>6</v>
      </c>
      <c r="Z5" s="343">
        <v>7</v>
      </c>
      <c r="AA5" s="343">
        <v>8</v>
      </c>
      <c r="AB5" s="343">
        <v>9</v>
      </c>
      <c r="AC5" s="343">
        <v>10</v>
      </c>
      <c r="AD5" s="343">
        <v>11</v>
      </c>
      <c r="AE5" s="343">
        <v>12</v>
      </c>
      <c r="AF5" s="343">
        <v>13</v>
      </c>
      <c r="AG5" s="343">
        <v>14</v>
      </c>
      <c r="AH5" s="343"/>
      <c r="AI5" s="343"/>
      <c r="AJ5" s="343"/>
      <c r="AK5" s="343">
        <v>1</v>
      </c>
      <c r="AL5" s="343">
        <v>2</v>
      </c>
      <c r="AM5" s="343">
        <v>3</v>
      </c>
      <c r="AN5" s="343">
        <v>4</v>
      </c>
      <c r="AO5" s="343">
        <v>5</v>
      </c>
      <c r="AP5" s="343">
        <v>6</v>
      </c>
      <c r="AQ5" s="343">
        <v>7</v>
      </c>
      <c r="AR5" s="343">
        <v>8</v>
      </c>
      <c r="AS5" s="343">
        <v>9</v>
      </c>
      <c r="AT5" s="343">
        <v>10</v>
      </c>
      <c r="AU5" s="343">
        <v>11</v>
      </c>
      <c r="AV5" s="343">
        <v>12</v>
      </c>
      <c r="AW5" s="343">
        <v>13</v>
      </c>
      <c r="AX5" s="343">
        <v>14</v>
      </c>
      <c r="AY5" s="343">
        <v>1</v>
      </c>
      <c r="AZ5" s="343">
        <v>2</v>
      </c>
      <c r="BA5" s="343">
        <v>3</v>
      </c>
      <c r="BB5" s="343">
        <v>4</v>
      </c>
      <c r="BC5" s="343">
        <v>5</v>
      </c>
      <c r="BD5" s="343">
        <v>6</v>
      </c>
      <c r="BE5" s="343">
        <v>7</v>
      </c>
      <c r="BF5" s="343">
        <v>8</v>
      </c>
      <c r="BG5" s="343">
        <v>9</v>
      </c>
      <c r="BH5" s="343">
        <v>10</v>
      </c>
      <c r="BI5" s="343">
        <v>11</v>
      </c>
      <c r="BJ5" s="343">
        <v>12</v>
      </c>
      <c r="BK5" s="343">
        <v>13</v>
      </c>
      <c r="BL5" s="343">
        <v>14</v>
      </c>
      <c r="BM5" s="343">
        <v>1</v>
      </c>
      <c r="BN5" s="343">
        <v>2</v>
      </c>
      <c r="BO5" s="343">
        <v>3</v>
      </c>
      <c r="BP5" s="343">
        <v>4</v>
      </c>
      <c r="BQ5" s="343">
        <v>5</v>
      </c>
      <c r="BR5" s="343">
        <v>6</v>
      </c>
      <c r="BS5" s="343">
        <v>7</v>
      </c>
      <c r="BT5" s="343">
        <v>8</v>
      </c>
      <c r="BU5" s="343">
        <v>9</v>
      </c>
      <c r="BV5" s="343">
        <v>10</v>
      </c>
      <c r="BW5" s="343">
        <v>11</v>
      </c>
      <c r="BX5" s="343">
        <v>12</v>
      </c>
      <c r="BY5" s="343">
        <v>13</v>
      </c>
      <c r="BZ5" s="343">
        <v>14</v>
      </c>
      <c r="CB5" s="367" t="s">
        <v>428</v>
      </c>
    </row>
    <row r="6" spans="1:80" hidden="1" outlineLevel="1" x14ac:dyDescent="0.25">
      <c r="A6" s="343" t="s">
        <v>2744</v>
      </c>
      <c r="B6" s="343"/>
      <c r="C6" s="343"/>
      <c r="D6" s="344" cm="1">
        <f t="array" ref="D6">IF(OR(INDEX(Footfall!$C$1:$BZ$1,D$5)="",INDEX(Footfall!$C$2:$BZ$2,D$5)&gt;$D$3),"",INDEX(Footfall!$C$1:$BZ$1,D$5))</f>
        <v>46296</v>
      </c>
      <c r="E6" s="344" cm="1">
        <f t="array" ref="E6">IF(OR(INDEX(Footfall!$C$1:$BZ$1,E$5)="",INDEX(Footfall!$C$2:$BZ$2,E$5)&gt;$D$3),"",INDEX(Footfall!$C$1:$BZ$1,E$5))</f>
        <v>46314</v>
      </c>
      <c r="F6" s="344" cm="1">
        <f t="array" ref="F6">IF(OR(INDEX(Footfall!$C$1:$BZ$1,F$5)="",INDEX(Footfall!$C$2:$BZ$2,F$5)&gt;$D$3),"",INDEX(Footfall!$C$1:$BZ$1,F$5))</f>
        <v>46315</v>
      </c>
      <c r="G6" s="344" cm="1">
        <f t="array" ref="G6">IF(OR(INDEX(Footfall!$C$1:$BZ$1,G$5)="",INDEX(Footfall!$C$2:$BZ$2,G$5)&gt;$D$3),"",INDEX(Footfall!$C$1:$BZ$1,G$5))</f>
        <v>46316</v>
      </c>
      <c r="H6" s="344" cm="1">
        <f t="array" ref="H6">IF(OR(INDEX(Footfall!$C$1:$BZ$1,H$5)="",INDEX(Footfall!$C$2:$BZ$2,H$5)&gt;$D$3),"",INDEX(Footfall!$C$1:$BZ$1,H$5))</f>
        <v>46317</v>
      </c>
      <c r="I6" s="344" cm="1">
        <f t="array" ref="I6">IF(OR(INDEX(Footfall!$C$1:$BZ$1,I$5)="",INDEX(Footfall!$C$2:$BZ$2,I$5)&gt;$D$3),"",INDEX(Footfall!$C$1:$BZ$1,I$5))</f>
        <v>46318</v>
      </c>
      <c r="J6" s="344" cm="1">
        <f t="array" ref="J6">IF(OR(INDEX(Footfall!$C$1:$BZ$1,J$5)="",INDEX(Footfall!$C$2:$BZ$2,J$5)&gt;$D$3),"",INDEX(Footfall!$C$1:$BZ$1,J$5))</f>
        <v>46319</v>
      </c>
      <c r="K6" s="344" cm="1">
        <f t="array" ref="K6">IF(OR(INDEX(Footfall!$C$1:$BZ$1,K$5)="",INDEX(Footfall!$C$2:$BZ$2,K$5)&gt;$D$3),"",INDEX(Footfall!$C$1:$BZ$1,K$5))</f>
        <v>46320</v>
      </c>
      <c r="L6" s="344" cm="1">
        <f t="array" ref="L6">IF(OR(INDEX(Footfall!$C$1:$BZ$1,L$5)="",INDEX(Footfall!$C$2:$BZ$2,L$5)&gt;$D$3),"",INDEX(Footfall!$C$1:$BZ$1,L$5))</f>
        <v>46321</v>
      </c>
      <c r="M6" s="344" t="str" cm="1">
        <f t="array" ref="M6">IF(OR(INDEX(Footfall!$C$1:$BZ$1,M$5)="",INDEX(Footfall!$C$2:$BZ$2,M$5)&gt;$D$3),"",INDEX(Footfall!$C$1:$BZ$1,M$5))</f>
        <v/>
      </c>
      <c r="N6" s="344" t="str" cm="1">
        <f t="array" ref="N6">IF(OR(INDEX(Footfall!$C$1:$BZ$1,N$5)="",INDEX(Footfall!$C$2:$BZ$2,N$5)&gt;$D$3),"",INDEX(Footfall!$C$1:$BZ$1,N$5))</f>
        <v/>
      </c>
      <c r="O6" s="344" t="str" cm="1">
        <f t="array" ref="O6">IF(OR(INDEX(Footfall!$C$1:$BZ$1,O$5)="",INDEX(Footfall!$C$2:$BZ$2,O$5)&gt;$D$3),"",INDEX(Footfall!$C$1:$BZ$1,O$5))</f>
        <v/>
      </c>
      <c r="P6" s="344" t="str" cm="1">
        <f t="array" ref="P6">IF(OR(INDEX(Footfall!$C$1:$BZ$1,P$5)="",INDEX(Footfall!$C$2:$BZ$2,P$5)&gt;$D$3),"",INDEX(Footfall!$C$1:$BZ$1,P$5))</f>
        <v/>
      </c>
      <c r="Q6" s="344" t="str" cm="1">
        <f t="array" ref="Q6">IF(OR(INDEX(Footfall!$C$1:$BZ$1,Q$5)="",INDEX(Footfall!$C$2:$BZ$2,Q$5)&gt;$D$3),"",INDEX(Footfall!$C$1:$BZ$1,Q$5))</f>
        <v/>
      </c>
      <c r="R6" s="344"/>
      <c r="S6" s="344"/>
      <c r="T6" s="344" cm="1">
        <f t="array" ref="T6">IF(OR(INDEX(Footfall!$C$1:$BZ$1,T$5)="",INDEX(Footfall!$C$2:$BZ$2,T$5)&gt;$D$3),"",INDEX(Footfall!$C$1:$BZ$1,T$5))</f>
        <v>46296</v>
      </c>
      <c r="U6" s="344" cm="1">
        <f t="array" ref="U6">IF(OR(INDEX(Footfall!$C$1:$BZ$1,U$5)="",INDEX(Footfall!$C$2:$BZ$2,U$5)&gt;$D$3),"",INDEX(Footfall!$C$1:$BZ$1,U$5))</f>
        <v>46314</v>
      </c>
      <c r="V6" s="344" cm="1">
        <f t="array" ref="V6">IF(OR(INDEX(Footfall!$C$1:$BZ$1,V$5)="",INDEX(Footfall!$C$2:$BZ$2,V$5)&gt;$D$3),"",INDEX(Footfall!$C$1:$BZ$1,V$5))</f>
        <v>46315</v>
      </c>
      <c r="W6" s="344" cm="1">
        <f t="array" ref="W6">IF(OR(INDEX(Footfall!$C$1:$BZ$1,W$5)="",INDEX(Footfall!$C$2:$BZ$2,W$5)&gt;$D$3),"",INDEX(Footfall!$C$1:$BZ$1,W$5))</f>
        <v>46316</v>
      </c>
      <c r="X6" s="344" cm="1">
        <f t="array" ref="X6">IF(OR(INDEX(Footfall!$C$1:$BZ$1,X$5)="",INDEX(Footfall!$C$2:$BZ$2,X$5)&gt;$D$3),"",INDEX(Footfall!$C$1:$BZ$1,X$5))</f>
        <v>46317</v>
      </c>
      <c r="Y6" s="344" cm="1">
        <f t="array" ref="Y6">IF(OR(INDEX(Footfall!$C$1:$BZ$1,Y$5)="",INDEX(Footfall!$C$2:$BZ$2,Y$5)&gt;$D$3),"",INDEX(Footfall!$C$1:$BZ$1,Y$5))</f>
        <v>46318</v>
      </c>
      <c r="Z6" s="344" cm="1">
        <f t="array" ref="Z6">IF(OR(INDEX(Footfall!$C$1:$BZ$1,Z$5)="",INDEX(Footfall!$C$2:$BZ$2,Z$5)&gt;$D$3),"",INDEX(Footfall!$C$1:$BZ$1,Z$5))</f>
        <v>46319</v>
      </c>
      <c r="AA6" s="344" cm="1">
        <f t="array" ref="AA6">IF(OR(INDEX(Footfall!$C$1:$BZ$1,AA$5)="",INDEX(Footfall!$C$2:$BZ$2,AA$5)&gt;$D$3),"",INDEX(Footfall!$C$1:$BZ$1,AA$5))</f>
        <v>46320</v>
      </c>
      <c r="AB6" s="344" cm="1">
        <f t="array" ref="AB6">IF(OR(INDEX(Footfall!$C$1:$BZ$1,AB$5)="",INDEX(Footfall!$C$2:$BZ$2,AB$5)&gt;$D$3),"",INDEX(Footfall!$C$1:$BZ$1,AB$5))</f>
        <v>46321</v>
      </c>
      <c r="AC6" s="344" t="str" cm="1">
        <f t="array" ref="AC6">IF(OR(INDEX(Footfall!$C$1:$BZ$1,AC$5)="",INDEX(Footfall!$C$2:$BZ$2,AC$5)&gt;$D$3),"",INDEX(Footfall!$C$1:$BZ$1,AC$5))</f>
        <v/>
      </c>
      <c r="AD6" s="344" t="str" cm="1">
        <f t="array" ref="AD6">IF(OR(INDEX(Footfall!$C$1:$BZ$1,AD$5)="",INDEX(Footfall!$C$2:$BZ$2,AD$5)&gt;$D$3),"",INDEX(Footfall!$C$1:$BZ$1,AD$5))</f>
        <v/>
      </c>
      <c r="AE6" s="344" t="str" cm="1">
        <f t="array" ref="AE6">IF(OR(INDEX(Footfall!$C$1:$BZ$1,AE$5)="",INDEX(Footfall!$C$2:$BZ$2,AE$5)&gt;$D$3),"",INDEX(Footfall!$C$1:$BZ$1,AE$5))</f>
        <v/>
      </c>
      <c r="AF6" s="344" t="str" cm="1">
        <f t="array" ref="AF6">IF(OR(INDEX(Footfall!$C$1:$BZ$1,AF$5)="",INDEX(Footfall!$C$2:$BZ$2,AF$5)&gt;$D$3),"",INDEX(Footfall!$C$1:$BZ$1,AF$5))</f>
        <v/>
      </c>
      <c r="AG6" s="344" t="str" cm="1">
        <f t="array" ref="AG6">IF(OR(INDEX(Footfall!$C$1:$BZ$1,AG$5)="",INDEX(Footfall!$C$2:$BZ$2,AG$5)&gt;$D$3),"",INDEX(Footfall!$C$1:$BZ$1,AG$5))</f>
        <v/>
      </c>
      <c r="AH6" s="344"/>
      <c r="AI6" s="344"/>
      <c r="AJ6" s="344"/>
      <c r="AK6" s="344" cm="1">
        <f t="array" ref="AK6">IF(OR(INDEX(Footfall!$C$1:$BZ$1,AK$5)="",INDEX(Footfall!$C$2:$BZ$2,AK$5)&gt;$D$3),"",INDEX(Footfall!$C$1:$BZ$1,AK$5))</f>
        <v>46296</v>
      </c>
      <c r="AL6" s="344" cm="1">
        <f t="array" ref="AL6">IF(OR(INDEX(Footfall!$C$1:$BZ$1,AL$5)="",INDEX(Footfall!$C$2:$BZ$2,AL$5)&gt;$D$3),"",INDEX(Footfall!$C$1:$BZ$1,AL$5))</f>
        <v>46314</v>
      </c>
      <c r="AM6" s="344" cm="1">
        <f t="array" ref="AM6">IF(OR(INDEX(Footfall!$C$1:$BZ$1,AM$5)="",INDEX(Footfall!$C$2:$BZ$2,AM$5)&gt;$D$3),"",INDEX(Footfall!$C$1:$BZ$1,AM$5))</f>
        <v>46315</v>
      </c>
      <c r="AN6" s="344" cm="1">
        <f t="array" ref="AN6">IF(OR(INDEX(Footfall!$C$1:$BZ$1,AN$5)="",INDEX(Footfall!$C$2:$BZ$2,AN$5)&gt;$D$3),"",INDEX(Footfall!$C$1:$BZ$1,AN$5))</f>
        <v>46316</v>
      </c>
      <c r="AO6" s="344" cm="1">
        <f t="array" ref="AO6">IF(OR(INDEX(Footfall!$C$1:$BZ$1,AO$5)="",INDEX(Footfall!$C$2:$BZ$2,AO$5)&gt;$D$3),"",INDEX(Footfall!$C$1:$BZ$1,AO$5))</f>
        <v>46317</v>
      </c>
      <c r="AP6" s="344" cm="1">
        <f t="array" ref="AP6">IF(OR(INDEX(Footfall!$C$1:$BZ$1,AP$5)="",INDEX(Footfall!$C$2:$BZ$2,AP$5)&gt;$D$3),"",INDEX(Footfall!$C$1:$BZ$1,AP$5))</f>
        <v>46318</v>
      </c>
      <c r="AQ6" s="344" cm="1">
        <f t="array" ref="AQ6">IF(OR(INDEX(Footfall!$C$1:$BZ$1,AQ$5)="",INDEX(Footfall!$C$2:$BZ$2,AQ$5)&gt;$D$3),"",INDEX(Footfall!$C$1:$BZ$1,AQ$5))</f>
        <v>46319</v>
      </c>
      <c r="AR6" s="344" cm="1">
        <f t="array" ref="AR6">IF(OR(INDEX(Footfall!$C$1:$BZ$1,AR$5)="",INDEX(Footfall!$C$2:$BZ$2,AR$5)&gt;$D$3),"",INDEX(Footfall!$C$1:$BZ$1,AR$5))</f>
        <v>46320</v>
      </c>
      <c r="AS6" s="344" cm="1">
        <f t="array" ref="AS6">IF(OR(INDEX(Footfall!$C$1:$BZ$1,AS$5)="",INDEX(Footfall!$C$2:$BZ$2,AS$5)&gt;$D$3),"",INDEX(Footfall!$C$1:$BZ$1,AS$5))</f>
        <v>46321</v>
      </c>
      <c r="AT6" s="344" t="str" cm="1">
        <f t="array" ref="AT6">IF(OR(INDEX(Footfall!$C$1:$BZ$1,AT$5)="",INDEX(Footfall!$C$2:$BZ$2,AT$5)&gt;$D$3),"",INDEX(Footfall!$C$1:$BZ$1,AT$5))</f>
        <v/>
      </c>
      <c r="AU6" s="344" t="str" cm="1">
        <f t="array" ref="AU6">IF(OR(INDEX(Footfall!$C$1:$BZ$1,AU$5)="",INDEX(Footfall!$C$2:$BZ$2,AU$5)&gt;$D$3),"",INDEX(Footfall!$C$1:$BZ$1,AU$5))</f>
        <v/>
      </c>
      <c r="AV6" s="344" t="str" cm="1">
        <f t="array" ref="AV6">IF(OR(INDEX(Footfall!$C$1:$BZ$1,AV$5)="",INDEX(Footfall!$C$2:$BZ$2,AV$5)&gt;$D$3),"",INDEX(Footfall!$C$1:$BZ$1,AV$5))</f>
        <v/>
      </c>
      <c r="AW6" s="344" t="str" cm="1">
        <f t="array" ref="AW6">IF(OR(INDEX(Footfall!$C$1:$BZ$1,AW$5)="",INDEX(Footfall!$C$2:$BZ$2,AW$5)&gt;$D$3),"",INDEX(Footfall!$C$1:$BZ$1,AW$5))</f>
        <v/>
      </c>
      <c r="AX6" s="344" t="str" cm="1">
        <f t="array" ref="AX6">IF(OR(INDEX(Footfall!$C$1:$BZ$1,AX$5)="",INDEX(Footfall!$C$2:$BZ$2,AX$5)&gt;$D$3),"",INDEX(Footfall!$C$1:$BZ$1,AX$5))</f>
        <v/>
      </c>
      <c r="AY6" s="344" cm="1">
        <f t="array" ref="AY6">IF(OR(INDEX(Footfall!$C$1:$BZ$1,AY$5)="",INDEX(Footfall!$C$2:$BZ$2,AY$5)&gt;$D$3),"",INDEX(Footfall!$C$1:$BZ$1,AY$5))</f>
        <v>46296</v>
      </c>
      <c r="AZ6" s="344" cm="1">
        <f t="array" ref="AZ6">IF(OR(INDEX(Footfall!$C$1:$BZ$1,AZ$5)="",INDEX(Footfall!$C$2:$BZ$2,AZ$5)&gt;$D$3),"",INDEX(Footfall!$C$1:$BZ$1,AZ$5))</f>
        <v>46314</v>
      </c>
      <c r="BA6" s="344" cm="1">
        <f t="array" ref="BA6">IF(OR(INDEX(Footfall!$C$1:$BZ$1,BA$5)="",INDEX(Footfall!$C$2:$BZ$2,BA$5)&gt;$D$3),"",INDEX(Footfall!$C$1:$BZ$1,BA$5))</f>
        <v>46315</v>
      </c>
      <c r="BB6" s="344" cm="1">
        <f t="array" ref="BB6">IF(OR(INDEX(Footfall!$C$1:$BZ$1,BB$5)="",INDEX(Footfall!$C$2:$BZ$2,BB$5)&gt;$D$3),"",INDEX(Footfall!$C$1:$BZ$1,BB$5))</f>
        <v>46316</v>
      </c>
      <c r="BC6" s="344" cm="1">
        <f t="array" ref="BC6">IF(OR(INDEX(Footfall!$C$1:$BZ$1,BC$5)="",INDEX(Footfall!$C$2:$BZ$2,BC$5)&gt;$D$3),"",INDEX(Footfall!$C$1:$BZ$1,BC$5))</f>
        <v>46317</v>
      </c>
      <c r="BD6" s="344" cm="1">
        <f t="array" ref="BD6">IF(OR(INDEX(Footfall!$C$1:$BZ$1,BD$5)="",INDEX(Footfall!$C$2:$BZ$2,BD$5)&gt;$D$3),"",INDEX(Footfall!$C$1:$BZ$1,BD$5))</f>
        <v>46318</v>
      </c>
      <c r="BE6" s="344" cm="1">
        <f t="array" ref="BE6">IF(OR(INDEX(Footfall!$C$1:$BZ$1,BE$5)="",INDEX(Footfall!$C$2:$BZ$2,BE$5)&gt;$D$3),"",INDEX(Footfall!$C$1:$BZ$1,BE$5))</f>
        <v>46319</v>
      </c>
      <c r="BF6" s="344" cm="1">
        <f t="array" ref="BF6">IF(OR(INDEX(Footfall!$C$1:$BZ$1,BF$5)="",INDEX(Footfall!$C$2:$BZ$2,BF$5)&gt;$D$3),"",INDEX(Footfall!$C$1:$BZ$1,BF$5))</f>
        <v>46320</v>
      </c>
      <c r="BG6" s="344" cm="1">
        <f t="array" ref="BG6">IF(OR(INDEX(Footfall!$C$1:$BZ$1,BG$5)="",INDEX(Footfall!$C$2:$BZ$2,BG$5)&gt;$D$3),"",INDEX(Footfall!$C$1:$BZ$1,BG$5))</f>
        <v>46321</v>
      </c>
      <c r="BH6" s="344" t="str" cm="1">
        <f t="array" ref="BH6">IF(OR(INDEX(Footfall!$C$1:$BZ$1,BH$5)="",INDEX(Footfall!$C$2:$BZ$2,BH$5)&gt;$D$3),"",INDEX(Footfall!$C$1:$BZ$1,BH$5))</f>
        <v/>
      </c>
      <c r="BI6" s="344" t="str" cm="1">
        <f t="array" ref="BI6">IF(OR(INDEX(Footfall!$C$1:$BZ$1,BI$5)="",INDEX(Footfall!$C$2:$BZ$2,BI$5)&gt;$D$3),"",INDEX(Footfall!$C$1:$BZ$1,BI$5))</f>
        <v/>
      </c>
      <c r="BJ6" s="344" t="str" cm="1">
        <f t="array" ref="BJ6">IF(OR(INDEX(Footfall!$C$1:$BZ$1,BJ$5)="",INDEX(Footfall!$C$2:$BZ$2,BJ$5)&gt;$D$3),"",INDEX(Footfall!$C$1:$BZ$1,BJ$5))</f>
        <v/>
      </c>
      <c r="BK6" s="344" t="str" cm="1">
        <f t="array" ref="BK6">IF(OR(INDEX(Footfall!$C$1:$BZ$1,BK$5)="",INDEX(Footfall!$C$2:$BZ$2,BK$5)&gt;$D$3),"",INDEX(Footfall!$C$1:$BZ$1,BK$5))</f>
        <v/>
      </c>
      <c r="BL6" s="344" t="str" cm="1">
        <f t="array" ref="BL6">IF(OR(INDEX(Footfall!$C$1:$BZ$1,BL$5)="",INDEX(Footfall!$C$2:$BZ$2,BL$5)&gt;$D$3),"",INDEX(Footfall!$C$1:$BZ$1,BL$5))</f>
        <v/>
      </c>
      <c r="BM6" s="344" cm="1">
        <f t="array" ref="BM6">IF(OR(INDEX(Footfall!$C$1:$BZ$1,BM$5)="",INDEX(Footfall!$C$2:$BZ$2,BM$5)&gt;$D$3),"",INDEX(Footfall!$C$1:$BZ$1,BM$5))</f>
        <v>46296</v>
      </c>
      <c r="BN6" s="344" cm="1">
        <f t="array" ref="BN6">IF(OR(INDEX(Footfall!$C$1:$BZ$1,BN$5)="",INDEX(Footfall!$C$2:$BZ$2,BN$5)&gt;$D$3),"",INDEX(Footfall!$C$1:$BZ$1,BN$5))</f>
        <v>46314</v>
      </c>
      <c r="BO6" s="344" cm="1">
        <f t="array" ref="BO6">IF(OR(INDEX(Footfall!$C$1:$BZ$1,BO$5)="",INDEX(Footfall!$C$2:$BZ$2,BO$5)&gt;$D$3),"",INDEX(Footfall!$C$1:$BZ$1,BO$5))</f>
        <v>46315</v>
      </c>
      <c r="BP6" s="344" cm="1">
        <f t="array" ref="BP6">IF(OR(INDEX(Footfall!$C$1:$BZ$1,BP$5)="",INDEX(Footfall!$C$2:$BZ$2,BP$5)&gt;$D$3),"",INDEX(Footfall!$C$1:$BZ$1,BP$5))</f>
        <v>46316</v>
      </c>
      <c r="BQ6" s="344" cm="1">
        <f t="array" ref="BQ6">IF(OR(INDEX(Footfall!$C$1:$BZ$1,BQ$5)="",INDEX(Footfall!$C$2:$BZ$2,BQ$5)&gt;$D$3),"",INDEX(Footfall!$C$1:$BZ$1,BQ$5))</f>
        <v>46317</v>
      </c>
      <c r="BR6" s="344" cm="1">
        <f t="array" ref="BR6">IF(OR(INDEX(Footfall!$C$1:$BZ$1,BR$5)="",INDEX(Footfall!$C$2:$BZ$2,BR$5)&gt;$D$3),"",INDEX(Footfall!$C$1:$BZ$1,BR$5))</f>
        <v>46318</v>
      </c>
      <c r="BS6" s="344" cm="1">
        <f t="array" ref="BS6">IF(OR(INDEX(Footfall!$C$1:$BZ$1,BS$5)="",INDEX(Footfall!$C$2:$BZ$2,BS$5)&gt;$D$3),"",INDEX(Footfall!$C$1:$BZ$1,BS$5))</f>
        <v>46319</v>
      </c>
      <c r="BT6" s="344" cm="1">
        <f t="array" ref="BT6">IF(OR(INDEX(Footfall!$C$1:$BZ$1,BT$5)="",INDEX(Footfall!$C$2:$BZ$2,BT$5)&gt;$D$3),"",INDEX(Footfall!$C$1:$BZ$1,BT$5))</f>
        <v>46320</v>
      </c>
      <c r="BU6" s="344" cm="1">
        <f t="array" ref="BU6">IF(OR(INDEX(Footfall!$C$1:$BZ$1,BU$5)="",INDEX(Footfall!$C$2:$BZ$2,BU$5)&gt;$D$3),"",INDEX(Footfall!$C$1:$BZ$1,BU$5))</f>
        <v>46321</v>
      </c>
      <c r="BV6" s="344" t="str" cm="1">
        <f t="array" ref="BV6">IF(OR(INDEX(Footfall!$C$1:$BZ$1,BV$5)="",INDEX(Footfall!$C$2:$BZ$2,BV$5)&gt;$D$3),"",INDEX(Footfall!$C$1:$BZ$1,BV$5))</f>
        <v/>
      </c>
      <c r="BW6" s="344" t="str" cm="1">
        <f t="array" ref="BW6">IF(OR(INDEX(Footfall!$C$1:$BZ$1,BW$5)="",INDEX(Footfall!$C$2:$BZ$2,BW$5)&gt;$D$3),"",INDEX(Footfall!$C$1:$BZ$1,BW$5))</f>
        <v/>
      </c>
      <c r="BX6" s="344" t="str" cm="1">
        <f t="array" ref="BX6">IF(OR(INDEX(Footfall!$C$1:$BZ$1,BX$5)="",INDEX(Footfall!$C$2:$BZ$2,BX$5)&gt;$D$3),"",INDEX(Footfall!$C$1:$BZ$1,BX$5))</f>
        <v/>
      </c>
      <c r="BY6" s="344" t="str" cm="1">
        <f t="array" ref="BY6">IF(OR(INDEX(Footfall!$C$1:$BZ$1,BY$5)="",INDEX(Footfall!$C$2:$BZ$2,BY$5)&gt;$D$3),"",INDEX(Footfall!$C$1:$BZ$1,BY$5))</f>
        <v/>
      </c>
      <c r="BZ6" s="344" t="str" cm="1">
        <f t="array" ref="BZ6">IF(OR(INDEX(Footfall!$C$1:$BZ$1,BZ$5)="",INDEX(Footfall!$C$2:$BZ$2,BZ$5)&gt;$D$3),"",INDEX(Footfall!$C$1:$BZ$1,BZ$5))</f>
        <v/>
      </c>
      <c r="CB6" s="344" t="str" cm="1">
        <f t="array" ref="CB6:CB14">_xlfn.LET(_xlpm.c,TRIM(Footfall!$B$5:$B$301&amp;""),_xlpm.k,_xlfn._xlws.FILTER(_xlpm.c,_xlpm.c&lt;&gt;""),_xlpm.am,TRIM(_xlfn.XLOOKUP(_xlpm.k,TRIM('Sales and count'!$A$4:$A$300&amp;""),'Sales and count'!$D$4:$D$300,"")&amp;""),_xlfn.VSTACK("All",_xlfn._xlws.SORT(_xlfn.UNIQUE(_xlfn._xlws.FILTER(_xlpm.am,_xlpm.am&lt;&gt;"")))))</f>
        <v>All</v>
      </c>
    </row>
    <row r="7" spans="1:80" hidden="1" outlineLevel="1" x14ac:dyDescent="0.25">
      <c r="A7" s="343" t="s">
        <v>2745</v>
      </c>
      <c r="B7" s="343"/>
      <c r="C7" s="343"/>
      <c r="D7" s="344" cm="1">
        <f t="array" ref="D7">IF(D$6="","",INDEX(Footfall!$C$2:$BZ$2,D$5))</f>
        <v>46313</v>
      </c>
      <c r="E7" s="344" cm="1">
        <f t="array" ref="E7">IF(E$6="","",INDEX(Footfall!$C$2:$BZ$2,E$5))</f>
        <v>46314</v>
      </c>
      <c r="F7" s="344" cm="1">
        <f t="array" ref="F7">IF(F$6="","",INDEX(Footfall!$C$2:$BZ$2,F$5))</f>
        <v>46315</v>
      </c>
      <c r="G7" s="344" cm="1">
        <f t="array" ref="G7">IF(G$6="","",INDEX(Footfall!$C$2:$BZ$2,G$5))</f>
        <v>46316</v>
      </c>
      <c r="H7" s="344" cm="1">
        <f t="array" ref="H7">IF(H$6="","",INDEX(Footfall!$C$2:$BZ$2,H$5))</f>
        <v>46317</v>
      </c>
      <c r="I7" s="344" cm="1">
        <f t="array" ref="I7">IF(I$6="","",INDEX(Footfall!$C$2:$BZ$2,I$5))</f>
        <v>46318</v>
      </c>
      <c r="J7" s="344" cm="1">
        <f t="array" ref="J7">IF(J$6="","",INDEX(Footfall!$C$2:$BZ$2,J$5))</f>
        <v>46319</v>
      </c>
      <c r="K7" s="344" cm="1">
        <f t="array" ref="K7">IF(K$6="","",INDEX(Footfall!$C$2:$BZ$2,K$5))</f>
        <v>46320</v>
      </c>
      <c r="L7" s="344" cm="1">
        <f t="array" ref="L7">IF(L$6="","",INDEX(Footfall!$C$2:$BZ$2,L$5))</f>
        <v>46321</v>
      </c>
      <c r="M7" s="344" t="str" cm="1">
        <f t="array" ref="M7">IF(M$6="","",INDEX(Footfall!$C$2:$BZ$2,M$5))</f>
        <v/>
      </c>
      <c r="N7" s="344" t="str" cm="1">
        <f t="array" ref="N7">IF(N$6="","",INDEX(Footfall!$C$2:$BZ$2,N$5))</f>
        <v/>
      </c>
      <c r="O7" s="344" t="str" cm="1">
        <f t="array" ref="O7">IF(O$6="","",INDEX(Footfall!$C$2:$BZ$2,O$5))</f>
        <v/>
      </c>
      <c r="P7" s="344" t="str" cm="1">
        <f t="array" ref="P7">IF(P$6="","",INDEX(Footfall!$C$2:$BZ$2,P$5))</f>
        <v/>
      </c>
      <c r="Q7" s="344" t="str" cm="1">
        <f t="array" ref="Q7">IF(Q$6="","",INDEX(Footfall!$C$2:$BZ$2,Q$5))</f>
        <v/>
      </c>
      <c r="R7" s="344"/>
      <c r="S7" s="344"/>
      <c r="T7" s="344" cm="1">
        <f t="array" ref="T7">IF(T$6="","",INDEX(Footfall!$C$2:$BZ$2,T$5))</f>
        <v>46313</v>
      </c>
      <c r="U7" s="344" cm="1">
        <f t="array" ref="U7">IF(U$6="","",INDEX(Footfall!$C$2:$BZ$2,U$5))</f>
        <v>46314</v>
      </c>
      <c r="V7" s="344" cm="1">
        <f t="array" ref="V7">IF(V$6="","",INDEX(Footfall!$C$2:$BZ$2,V$5))</f>
        <v>46315</v>
      </c>
      <c r="W7" s="344" cm="1">
        <f t="array" ref="W7">IF(W$6="","",INDEX(Footfall!$C$2:$BZ$2,W$5))</f>
        <v>46316</v>
      </c>
      <c r="X7" s="344" cm="1">
        <f t="array" ref="X7">IF(X$6="","",INDEX(Footfall!$C$2:$BZ$2,X$5))</f>
        <v>46317</v>
      </c>
      <c r="Y7" s="344" cm="1">
        <f t="array" ref="Y7">IF(Y$6="","",INDEX(Footfall!$C$2:$BZ$2,Y$5))</f>
        <v>46318</v>
      </c>
      <c r="Z7" s="344" cm="1">
        <f t="array" ref="Z7">IF(Z$6="","",INDEX(Footfall!$C$2:$BZ$2,Z$5))</f>
        <v>46319</v>
      </c>
      <c r="AA7" s="344" cm="1">
        <f t="array" ref="AA7">IF(AA$6="","",INDEX(Footfall!$C$2:$BZ$2,AA$5))</f>
        <v>46320</v>
      </c>
      <c r="AB7" s="344" cm="1">
        <f t="array" ref="AB7">IF(AB$6="","",INDEX(Footfall!$C$2:$BZ$2,AB$5))</f>
        <v>46321</v>
      </c>
      <c r="AC7" s="344" t="str" cm="1">
        <f t="array" ref="AC7">IF(AC$6="","",INDEX(Footfall!$C$2:$BZ$2,AC$5))</f>
        <v/>
      </c>
      <c r="AD7" s="344" t="str" cm="1">
        <f t="array" ref="AD7">IF(AD$6="","",INDEX(Footfall!$C$2:$BZ$2,AD$5))</f>
        <v/>
      </c>
      <c r="AE7" s="344" t="str" cm="1">
        <f t="array" ref="AE7">IF(AE$6="","",INDEX(Footfall!$C$2:$BZ$2,AE$5))</f>
        <v/>
      </c>
      <c r="AF7" s="344" t="str" cm="1">
        <f t="array" ref="AF7">IF(AF$6="","",INDEX(Footfall!$C$2:$BZ$2,AF$5))</f>
        <v/>
      </c>
      <c r="AG7" s="344" t="str" cm="1">
        <f t="array" ref="AG7">IF(AG$6="","",INDEX(Footfall!$C$2:$BZ$2,AG$5))</f>
        <v/>
      </c>
      <c r="AH7" s="344"/>
      <c r="AI7" s="344"/>
      <c r="AJ7" s="344"/>
      <c r="AK7" s="344" cm="1">
        <f t="array" ref="AK7">IF(AK$6="","",INDEX(Footfall!$C$2:$BZ$2,AK$5))</f>
        <v>46313</v>
      </c>
      <c r="AL7" s="344" cm="1">
        <f t="array" ref="AL7">IF(AL$6="","",INDEX(Footfall!$C$2:$BZ$2,AL$5))</f>
        <v>46314</v>
      </c>
      <c r="AM7" s="344" cm="1">
        <f t="array" ref="AM7">IF(AM$6="","",INDEX(Footfall!$C$2:$BZ$2,AM$5))</f>
        <v>46315</v>
      </c>
      <c r="AN7" s="344" cm="1">
        <f t="array" ref="AN7">IF(AN$6="","",INDEX(Footfall!$C$2:$BZ$2,AN$5))</f>
        <v>46316</v>
      </c>
      <c r="AO7" s="344" cm="1">
        <f t="array" ref="AO7">IF(AO$6="","",INDEX(Footfall!$C$2:$BZ$2,AO$5))</f>
        <v>46317</v>
      </c>
      <c r="AP7" s="344" cm="1">
        <f t="array" ref="AP7">IF(AP$6="","",INDEX(Footfall!$C$2:$BZ$2,AP$5))</f>
        <v>46318</v>
      </c>
      <c r="AQ7" s="344" cm="1">
        <f t="array" ref="AQ7">IF(AQ$6="","",INDEX(Footfall!$C$2:$BZ$2,AQ$5))</f>
        <v>46319</v>
      </c>
      <c r="AR7" s="344" cm="1">
        <f t="array" ref="AR7">IF(AR$6="","",INDEX(Footfall!$C$2:$BZ$2,AR$5))</f>
        <v>46320</v>
      </c>
      <c r="AS7" s="344" cm="1">
        <f t="array" ref="AS7">IF(AS$6="","",INDEX(Footfall!$C$2:$BZ$2,AS$5))</f>
        <v>46321</v>
      </c>
      <c r="AT7" s="344" t="str" cm="1">
        <f t="array" ref="AT7">IF(AT$6="","",INDEX(Footfall!$C$2:$BZ$2,AT$5))</f>
        <v/>
      </c>
      <c r="AU7" s="344" t="str" cm="1">
        <f t="array" ref="AU7">IF(AU$6="","",INDEX(Footfall!$C$2:$BZ$2,AU$5))</f>
        <v/>
      </c>
      <c r="AV7" s="344" t="str" cm="1">
        <f t="array" ref="AV7">IF(AV$6="","",INDEX(Footfall!$C$2:$BZ$2,AV$5))</f>
        <v/>
      </c>
      <c r="AW7" s="344" t="str" cm="1">
        <f t="array" ref="AW7">IF(AW$6="","",INDEX(Footfall!$C$2:$BZ$2,AW$5))</f>
        <v/>
      </c>
      <c r="AX7" s="344" t="str" cm="1">
        <f t="array" ref="AX7">IF(AX$6="","",INDEX(Footfall!$C$2:$BZ$2,AX$5))</f>
        <v/>
      </c>
      <c r="AY7" s="344" cm="1">
        <f t="array" ref="AY7">IF(AY$6="","",INDEX(Footfall!$C$2:$BZ$2,AY$5))</f>
        <v>46313</v>
      </c>
      <c r="AZ7" s="344" cm="1">
        <f t="array" ref="AZ7">IF(AZ$6="","",INDEX(Footfall!$C$2:$BZ$2,AZ$5))</f>
        <v>46314</v>
      </c>
      <c r="BA7" s="344" cm="1">
        <f t="array" ref="BA7">IF(BA$6="","",INDEX(Footfall!$C$2:$BZ$2,BA$5))</f>
        <v>46315</v>
      </c>
      <c r="BB7" s="344" cm="1">
        <f t="array" ref="BB7">IF(BB$6="","",INDEX(Footfall!$C$2:$BZ$2,BB$5))</f>
        <v>46316</v>
      </c>
      <c r="BC7" s="344" cm="1">
        <f t="array" ref="BC7">IF(BC$6="","",INDEX(Footfall!$C$2:$BZ$2,BC$5))</f>
        <v>46317</v>
      </c>
      <c r="BD7" s="344" cm="1">
        <f t="array" ref="BD7">IF(BD$6="","",INDEX(Footfall!$C$2:$BZ$2,BD$5))</f>
        <v>46318</v>
      </c>
      <c r="BE7" s="344" cm="1">
        <f t="array" ref="BE7">IF(BE$6="","",INDEX(Footfall!$C$2:$BZ$2,BE$5))</f>
        <v>46319</v>
      </c>
      <c r="BF7" s="344" cm="1">
        <f t="array" ref="BF7">IF(BF$6="","",INDEX(Footfall!$C$2:$BZ$2,BF$5))</f>
        <v>46320</v>
      </c>
      <c r="BG7" s="344" cm="1">
        <f t="array" ref="BG7">IF(BG$6="","",INDEX(Footfall!$C$2:$BZ$2,BG$5))</f>
        <v>46321</v>
      </c>
      <c r="BH7" s="344" t="str" cm="1">
        <f t="array" ref="BH7">IF(BH$6="","",INDEX(Footfall!$C$2:$BZ$2,BH$5))</f>
        <v/>
      </c>
      <c r="BI7" s="344" t="str" cm="1">
        <f t="array" ref="BI7">IF(BI$6="","",INDEX(Footfall!$C$2:$BZ$2,BI$5))</f>
        <v/>
      </c>
      <c r="BJ7" s="344" t="str" cm="1">
        <f t="array" ref="BJ7">IF(BJ$6="","",INDEX(Footfall!$C$2:$BZ$2,BJ$5))</f>
        <v/>
      </c>
      <c r="BK7" s="344" t="str" cm="1">
        <f t="array" ref="BK7">IF(BK$6="","",INDEX(Footfall!$C$2:$BZ$2,BK$5))</f>
        <v/>
      </c>
      <c r="BL7" s="344" t="str" cm="1">
        <f t="array" ref="BL7">IF(BL$6="","",INDEX(Footfall!$C$2:$BZ$2,BL$5))</f>
        <v/>
      </c>
      <c r="BM7" s="344" cm="1">
        <f t="array" ref="BM7">IF(BM$6="","",INDEX(Footfall!$C$2:$BZ$2,BM$5))</f>
        <v>46313</v>
      </c>
      <c r="BN7" s="344" cm="1">
        <f t="array" ref="BN7">IF(BN$6="","",INDEX(Footfall!$C$2:$BZ$2,BN$5))</f>
        <v>46314</v>
      </c>
      <c r="BO7" s="344" cm="1">
        <f t="array" ref="BO7">IF(BO$6="","",INDEX(Footfall!$C$2:$BZ$2,BO$5))</f>
        <v>46315</v>
      </c>
      <c r="BP7" s="344" cm="1">
        <f t="array" ref="BP7">IF(BP$6="","",INDEX(Footfall!$C$2:$BZ$2,BP$5))</f>
        <v>46316</v>
      </c>
      <c r="BQ7" s="344" cm="1">
        <f t="array" ref="BQ7">IF(BQ$6="","",INDEX(Footfall!$C$2:$BZ$2,BQ$5))</f>
        <v>46317</v>
      </c>
      <c r="BR7" s="344" cm="1">
        <f t="array" ref="BR7">IF(BR$6="","",INDEX(Footfall!$C$2:$BZ$2,BR$5))</f>
        <v>46318</v>
      </c>
      <c r="BS7" s="344" cm="1">
        <f t="array" ref="BS7">IF(BS$6="","",INDEX(Footfall!$C$2:$BZ$2,BS$5))</f>
        <v>46319</v>
      </c>
      <c r="BT7" s="344" cm="1">
        <f t="array" ref="BT7">IF(BT$6="","",INDEX(Footfall!$C$2:$BZ$2,BT$5))</f>
        <v>46320</v>
      </c>
      <c r="BU7" s="344" cm="1">
        <f t="array" ref="BU7">IF(BU$6="","",INDEX(Footfall!$C$2:$BZ$2,BU$5))</f>
        <v>46321</v>
      </c>
      <c r="BV7" s="344" t="str" cm="1">
        <f t="array" ref="BV7">IF(BV$6="","",INDEX(Footfall!$C$2:$BZ$2,BV$5))</f>
        <v/>
      </c>
      <c r="BW7" s="344" t="str" cm="1">
        <f t="array" ref="BW7">IF(BW$6="","",INDEX(Footfall!$C$2:$BZ$2,BW$5))</f>
        <v/>
      </c>
      <c r="BX7" s="344" t="str" cm="1">
        <f t="array" ref="BX7">IF(BX$6="","",INDEX(Footfall!$C$2:$BZ$2,BX$5))</f>
        <v/>
      </c>
      <c r="BY7" s="344" t="str" cm="1">
        <f t="array" ref="BY7">IF(BY$6="","",INDEX(Footfall!$C$2:$BZ$2,BY$5))</f>
        <v/>
      </c>
      <c r="BZ7" s="344" t="str" cm="1">
        <f t="array" ref="BZ7">IF(BZ$6="","",INDEX(Footfall!$C$2:$BZ$2,BZ$5))</f>
        <v/>
      </c>
      <c r="CB7" s="367" t="str">
        <v>Ahlam Al Zahrani</v>
      </c>
    </row>
    <row r="8" spans="1:80" ht="15.75" collapsed="1" x14ac:dyDescent="0.25">
      <c r="A8" s="345" t="s">
        <v>197</v>
      </c>
      <c r="CB8" s="367" t="str">
        <v>Ahmed Jaffari</v>
      </c>
    </row>
    <row r="9" spans="1:80" x14ac:dyDescent="0.25">
      <c r="D9" s="388" t="s">
        <v>2747</v>
      </c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388"/>
      <c r="T9" s="389" t="s">
        <v>2759</v>
      </c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K9" s="390" t="s">
        <v>2748</v>
      </c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 t="s">
        <v>2749</v>
      </c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 t="s">
        <v>2750</v>
      </c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B9" s="367" t="str">
        <v>Hamzah Al Makhadam</v>
      </c>
    </row>
    <row r="10" spans="1:80" ht="30" customHeight="1" x14ac:dyDescent="0.25">
      <c r="A10" s="354" t="s">
        <v>135</v>
      </c>
      <c r="B10" s="355" t="s">
        <v>181</v>
      </c>
      <c r="C10" s="355"/>
      <c r="D10" s="355" t="str">
        <f>IF(D$6="","",IF(D$6=D$7,TEXT(D$6,"dd mmm"),TEXT(D$6,"d")&amp;"–"&amp;TEXT(D$7,"d mmm")))</f>
        <v>1–18 Oct</v>
      </c>
      <c r="E10" s="355" t="str">
        <f t="shared" ref="E10:Q10" si="0">IF(E$6="","",IF(E$6=E$7,TEXT(E$6,"dd mmm"),TEXT(E$6,"d")&amp;"–"&amp;TEXT(E$7,"d mmm")))</f>
        <v>19 Oct</v>
      </c>
      <c r="F10" s="355" t="str">
        <f t="shared" si="0"/>
        <v>20 Oct</v>
      </c>
      <c r="G10" s="355" t="str">
        <f t="shared" si="0"/>
        <v>21 Oct</v>
      </c>
      <c r="H10" s="355" t="str">
        <f t="shared" si="0"/>
        <v>22 Oct</v>
      </c>
      <c r="I10" s="355" t="str">
        <f t="shared" si="0"/>
        <v>23 Oct</v>
      </c>
      <c r="J10" s="355" t="str">
        <f t="shared" si="0"/>
        <v>24 Oct</v>
      </c>
      <c r="K10" s="355" t="str">
        <f t="shared" si="0"/>
        <v>25 Oct</v>
      </c>
      <c r="L10" s="355" t="str">
        <f t="shared" si="0"/>
        <v>26 Oct</v>
      </c>
      <c r="M10" s="355" t="str">
        <f t="shared" si="0"/>
        <v/>
      </c>
      <c r="N10" s="355" t="str">
        <f t="shared" si="0"/>
        <v/>
      </c>
      <c r="O10" s="355" t="str">
        <f t="shared" si="0"/>
        <v/>
      </c>
      <c r="P10" s="355" t="str">
        <f t="shared" si="0"/>
        <v/>
      </c>
      <c r="Q10" s="355" t="str">
        <f t="shared" si="0"/>
        <v/>
      </c>
      <c r="R10" s="355" t="s">
        <v>2751</v>
      </c>
      <c r="S10" s="347"/>
      <c r="T10" s="355" t="str">
        <f>IF(T$6="","",IF(T$6=T$7,TEXT(T$6,"dd mmm"),TEXT(T$6,"d")&amp;"–"&amp;TEXT(T$7,"d mmm")))</f>
        <v>1–18 Oct</v>
      </c>
      <c r="U10" s="355" t="str">
        <f t="shared" ref="U10:AG10" si="1">IF(U$6="","",IF(U$6=U$7,TEXT(U$6,"dd mmm"),TEXT(U$6,"d")&amp;"–"&amp;TEXT(U$7,"d mmm")))</f>
        <v>19 Oct</v>
      </c>
      <c r="V10" s="355" t="str">
        <f t="shared" si="1"/>
        <v>20 Oct</v>
      </c>
      <c r="W10" s="355" t="str">
        <f t="shared" si="1"/>
        <v>21 Oct</v>
      </c>
      <c r="X10" s="355" t="str">
        <f t="shared" si="1"/>
        <v>22 Oct</v>
      </c>
      <c r="Y10" s="355" t="str">
        <f t="shared" si="1"/>
        <v>23 Oct</v>
      </c>
      <c r="Z10" s="355" t="str">
        <f t="shared" si="1"/>
        <v>24 Oct</v>
      </c>
      <c r="AA10" s="355" t="str">
        <f t="shared" si="1"/>
        <v>25 Oct</v>
      </c>
      <c r="AB10" s="355" t="str">
        <f t="shared" si="1"/>
        <v>26 Oct</v>
      </c>
      <c r="AC10" s="355" t="str">
        <f t="shared" si="1"/>
        <v/>
      </c>
      <c r="AD10" s="355" t="str">
        <f t="shared" si="1"/>
        <v/>
      </c>
      <c r="AE10" s="355" t="str">
        <f t="shared" si="1"/>
        <v/>
      </c>
      <c r="AF10" s="355" t="str">
        <f t="shared" si="1"/>
        <v/>
      </c>
      <c r="AG10" s="355" t="str">
        <f t="shared" si="1"/>
        <v/>
      </c>
      <c r="AH10" s="355" t="s">
        <v>2752</v>
      </c>
      <c r="AI10" s="347"/>
      <c r="AJ10" s="346"/>
      <c r="AK10" s="346" t="str">
        <f>IF(AK$6="","",IF(AK$6=AK$7,TEXT(AK$6,"dd mmm"),TEXT(AK$6,"d")&amp;"–"&amp;TEXT(AK$7,"d mmm")))</f>
        <v>1–18 Oct</v>
      </c>
      <c r="AL10" s="346" t="str">
        <f t="shared" ref="AL10:AX10" si="2">IF(AL$6="","",IF(AL$6=AL$7,TEXT(AL$6,"dd mmm"),TEXT(AL$6,"d")&amp;"–"&amp;TEXT(AL$7,"d mmm")))</f>
        <v>19 Oct</v>
      </c>
      <c r="AM10" s="346" t="str">
        <f t="shared" si="2"/>
        <v>20 Oct</v>
      </c>
      <c r="AN10" s="346" t="str">
        <f t="shared" si="2"/>
        <v>21 Oct</v>
      </c>
      <c r="AO10" s="346" t="str">
        <f t="shared" si="2"/>
        <v>22 Oct</v>
      </c>
      <c r="AP10" s="346" t="str">
        <f t="shared" si="2"/>
        <v>23 Oct</v>
      </c>
      <c r="AQ10" s="346" t="str">
        <f t="shared" si="2"/>
        <v>24 Oct</v>
      </c>
      <c r="AR10" s="346" t="str">
        <f t="shared" si="2"/>
        <v>25 Oct</v>
      </c>
      <c r="AS10" s="346" t="str">
        <f t="shared" si="2"/>
        <v>26 Oct</v>
      </c>
      <c r="AT10" s="346" t="str">
        <f t="shared" si="2"/>
        <v/>
      </c>
      <c r="AU10" s="346" t="str">
        <f t="shared" si="2"/>
        <v/>
      </c>
      <c r="AV10" s="346" t="str">
        <f t="shared" si="2"/>
        <v/>
      </c>
      <c r="AW10" s="346" t="str">
        <f t="shared" si="2"/>
        <v/>
      </c>
      <c r="AX10" s="346" t="str">
        <f t="shared" si="2"/>
        <v/>
      </c>
      <c r="AY10" s="346" t="str">
        <f>IF(AY$6="","",IF(AY$6=AY$7,TEXT(AY$6,"dd mmm"),TEXT(AY$6,"d")&amp;"–"&amp;TEXT(AY$7,"d mmm")))</f>
        <v>1–18 Oct</v>
      </c>
      <c r="AZ10" s="346" t="str">
        <f t="shared" ref="AZ10:BL10" si="3">IF(AZ$6="","",IF(AZ$6=AZ$7,TEXT(AZ$6,"dd mmm"),TEXT(AZ$6,"d")&amp;"–"&amp;TEXT(AZ$7,"d mmm")))</f>
        <v>19 Oct</v>
      </c>
      <c r="BA10" s="346" t="str">
        <f t="shared" si="3"/>
        <v>20 Oct</v>
      </c>
      <c r="BB10" s="346" t="str">
        <f t="shared" si="3"/>
        <v>21 Oct</v>
      </c>
      <c r="BC10" s="346" t="str">
        <f t="shared" si="3"/>
        <v>22 Oct</v>
      </c>
      <c r="BD10" s="346" t="str">
        <f t="shared" si="3"/>
        <v>23 Oct</v>
      </c>
      <c r="BE10" s="346" t="str">
        <f t="shared" si="3"/>
        <v>24 Oct</v>
      </c>
      <c r="BF10" s="346" t="str">
        <f t="shared" si="3"/>
        <v>25 Oct</v>
      </c>
      <c r="BG10" s="346" t="str">
        <f t="shared" si="3"/>
        <v>26 Oct</v>
      </c>
      <c r="BH10" s="346" t="str">
        <f t="shared" si="3"/>
        <v/>
      </c>
      <c r="BI10" s="346" t="str">
        <f t="shared" si="3"/>
        <v/>
      </c>
      <c r="BJ10" s="346" t="str">
        <f t="shared" si="3"/>
        <v/>
      </c>
      <c r="BK10" s="346" t="str">
        <f t="shared" si="3"/>
        <v/>
      </c>
      <c r="BL10" s="346" t="str">
        <f t="shared" si="3"/>
        <v/>
      </c>
      <c r="BM10" s="346" t="str">
        <f>IF(BM$6="","",IF(BM$6=BM$7,TEXT(BM$6,"dd mmm"),TEXT(BM$6,"d")&amp;"–"&amp;TEXT(BM$7,"d mmm")))</f>
        <v>1–18 Oct</v>
      </c>
      <c r="BN10" s="346" t="str">
        <f t="shared" ref="BN10:BZ10" si="4">IF(BN$6="","",IF(BN$6=BN$7,TEXT(BN$6,"dd mmm"),TEXT(BN$6,"d")&amp;"–"&amp;TEXT(BN$7,"d mmm")))</f>
        <v>19 Oct</v>
      </c>
      <c r="BO10" s="346" t="str">
        <f t="shared" si="4"/>
        <v>20 Oct</v>
      </c>
      <c r="BP10" s="346" t="str">
        <f t="shared" si="4"/>
        <v>21 Oct</v>
      </c>
      <c r="BQ10" s="346" t="str">
        <f t="shared" si="4"/>
        <v>22 Oct</v>
      </c>
      <c r="BR10" s="346" t="str">
        <f t="shared" si="4"/>
        <v>23 Oct</v>
      </c>
      <c r="BS10" s="346" t="str">
        <f t="shared" si="4"/>
        <v>24 Oct</v>
      </c>
      <c r="BT10" s="346" t="str">
        <f t="shared" si="4"/>
        <v>25 Oct</v>
      </c>
      <c r="BU10" s="346" t="str">
        <f t="shared" si="4"/>
        <v>26 Oct</v>
      </c>
      <c r="BV10" s="346" t="str">
        <f t="shared" si="4"/>
        <v/>
      </c>
      <c r="BW10" s="346" t="str">
        <f t="shared" si="4"/>
        <v/>
      </c>
      <c r="BX10" s="346" t="str">
        <f t="shared" si="4"/>
        <v/>
      </c>
      <c r="BY10" s="346" t="str">
        <f t="shared" si="4"/>
        <v/>
      </c>
      <c r="BZ10" s="346" t="str">
        <f t="shared" si="4"/>
        <v/>
      </c>
      <c r="CB10" s="367" t="str">
        <v>Lina Al Ghathami</v>
      </c>
    </row>
    <row r="11" spans="1:80" x14ac:dyDescent="0.25">
      <c r="A11" s="356" t="str" cm="1">
        <f t="array" ref="A11:A30">_xlfn._xlws.SORT(_xlfn.UNIQUE(_xlfn._xlws.FILTER($C$46:$C$145,$C$46:$C$145&lt;&gt;"")))</f>
        <v>Abha</v>
      </c>
      <c r="B11" s="356">
        <f>IF($A11="","",COUNTIF($C$46:$C$145,$A11))</f>
        <v>2</v>
      </c>
      <c r="C11" s="356"/>
      <c r="D11" s="357">
        <f ca="1">IF(OR($A11="",AK11="",N(AK11)=0),"",SUMIFS(AY$46:AY$145,$C$46:$C$145,$A11,AK$46:AK$145,"&gt;0")/AK11)</f>
        <v>0.29474708171206226</v>
      </c>
      <c r="E11" s="357">
        <f t="shared" ref="E11:Q11" ca="1" si="5">IF(OR($A11="",AL11="",N(AL11)=0),"",SUMIFS(AZ$46:AZ$145,$C$46:$C$145,$A11,AL$46:AL$145,"&gt;0")/AL11)</f>
        <v>0.33571428571428569</v>
      </c>
      <c r="F11" s="357">
        <f t="shared" ca="1" si="5"/>
        <v>0.31756756756756754</v>
      </c>
      <c r="G11" s="357">
        <f t="shared" ca="1" si="5"/>
        <v>0.23404255319148937</v>
      </c>
      <c r="H11" s="357">
        <f t="shared" ca="1" si="5"/>
        <v>0.22099447513812154</v>
      </c>
      <c r="I11" s="357">
        <f t="shared" ca="1" si="5"/>
        <v>0.23417721518987342</v>
      </c>
      <c r="J11" s="357">
        <f t="shared" ca="1" si="5"/>
        <v>0.29050279329608941</v>
      </c>
      <c r="K11" s="357">
        <f t="shared" ca="1" si="5"/>
        <v>0.25</v>
      </c>
      <c r="L11" s="357">
        <f t="shared" ca="1" si="5"/>
        <v>0.19026548672566371</v>
      </c>
      <c r="M11" s="357" t="str">
        <f t="shared" si="5"/>
        <v/>
      </c>
      <c r="N11" s="357" t="str">
        <f t="shared" si="5"/>
        <v/>
      </c>
      <c r="O11" s="357" t="str">
        <f t="shared" si="5"/>
        <v/>
      </c>
      <c r="P11" s="357" t="str">
        <f t="shared" si="5"/>
        <v/>
      </c>
      <c r="Q11" s="357" t="str">
        <f t="shared" si="5"/>
        <v/>
      </c>
      <c r="R11" s="358" cm="1">
        <f t="array" aca="1" ref="R11" ca="1">IF(OR($A11="",D11=""),"",IFERROR(LOOKUP(2,1/(E11:Q11&lt;&gt;""),E11:Q11)-D11,""))</f>
        <v>-0.10448159498639856</v>
      </c>
      <c r="S11" s="349"/>
      <c r="T11" s="362">
        <f ca="1">IF(OR($A11="",AY11="",N(AY11)=0),"",BM11/AY11)</f>
        <v>135.62655115511552</v>
      </c>
      <c r="U11" s="362">
        <f t="shared" ref="U11:AG11" ca="1" si="6">IF(OR($A11="",AZ11="",N(AZ11)=0),"",BN11/AZ11)</f>
        <v>152.04297872340427</v>
      </c>
      <c r="V11" s="362">
        <f t="shared" ca="1" si="6"/>
        <v>130.53404255319148</v>
      </c>
      <c r="W11" s="362">
        <f t="shared" ca="1" si="6"/>
        <v>135.20590909090907</v>
      </c>
      <c r="X11" s="362">
        <f t="shared" ca="1" si="6"/>
        <v>163.19475</v>
      </c>
      <c r="Y11" s="362">
        <f t="shared" ca="1" si="6"/>
        <v>177.04351351351352</v>
      </c>
      <c r="Z11" s="362">
        <f t="shared" ca="1" si="6"/>
        <v>157.24250000000001</v>
      </c>
      <c r="AA11" s="362">
        <f t="shared" ca="1" si="6"/>
        <v>178.27478260869563</v>
      </c>
      <c r="AB11" s="362">
        <f t="shared" ca="1" si="6"/>
        <v>174.82581395348836</v>
      </c>
      <c r="AC11" s="362" t="str">
        <f t="shared" si="6"/>
        <v/>
      </c>
      <c r="AD11" s="362" t="str">
        <f t="shared" si="6"/>
        <v/>
      </c>
      <c r="AE11" s="362" t="str">
        <f t="shared" si="6"/>
        <v/>
      </c>
      <c r="AF11" s="362" t="str">
        <f t="shared" si="6"/>
        <v/>
      </c>
      <c r="AG11" s="362" t="str">
        <f t="shared" si="6"/>
        <v/>
      </c>
      <c r="AH11" s="363" cm="1">
        <f t="array" aca="1" ref="AH11" ca="1">IF(OR($A11="",T11=""),"",IFERROR(LOOKUP(2,1/(U11:AG11&lt;&gt;""),U11:AG11)-T11,""))</f>
        <v>39.199262798372843</v>
      </c>
      <c r="AI11" s="349"/>
      <c r="AJ11" s="349"/>
      <c r="AK11" s="350">
        <f>IF(OR($A11="",AK$6=""),"",SUMIFS(AK$46:AK$145,$C$46:$C$145,$A11))</f>
        <v>4112</v>
      </c>
      <c r="AL11" s="350">
        <f t="shared" ref="AL11:BZ17" si="7">IF(OR($A11="",AL$6=""),"",SUMIFS(AL$46:AL$145,$C$46:$C$145,$A11))</f>
        <v>140</v>
      </c>
      <c r="AM11" s="350">
        <f t="shared" si="7"/>
        <v>148</v>
      </c>
      <c r="AN11" s="350">
        <f t="shared" si="7"/>
        <v>188</v>
      </c>
      <c r="AO11" s="350">
        <f t="shared" si="7"/>
        <v>181</v>
      </c>
      <c r="AP11" s="350">
        <f t="shared" si="7"/>
        <v>158</v>
      </c>
      <c r="AQ11" s="350">
        <f t="shared" si="7"/>
        <v>179</v>
      </c>
      <c r="AR11" s="350">
        <f t="shared" si="7"/>
        <v>184</v>
      </c>
      <c r="AS11" s="350">
        <f t="shared" si="7"/>
        <v>226</v>
      </c>
      <c r="AT11" s="350" t="str">
        <f t="shared" si="7"/>
        <v/>
      </c>
      <c r="AU11" s="350" t="str">
        <f t="shared" si="7"/>
        <v/>
      </c>
      <c r="AV11" s="350" t="str">
        <f t="shared" si="7"/>
        <v/>
      </c>
      <c r="AW11" s="350" t="str">
        <f t="shared" si="7"/>
        <v/>
      </c>
      <c r="AX11" s="350" t="str">
        <f t="shared" si="7"/>
        <v/>
      </c>
      <c r="AY11" s="350">
        <f t="shared" ca="1" si="7"/>
        <v>1212</v>
      </c>
      <c r="AZ11" s="350">
        <f t="shared" ca="1" si="7"/>
        <v>47</v>
      </c>
      <c r="BA11" s="350">
        <f t="shared" ca="1" si="7"/>
        <v>47</v>
      </c>
      <c r="BB11" s="350">
        <f t="shared" ca="1" si="7"/>
        <v>44</v>
      </c>
      <c r="BC11" s="350">
        <f t="shared" ca="1" si="7"/>
        <v>40</v>
      </c>
      <c r="BD11" s="350">
        <f t="shared" ca="1" si="7"/>
        <v>37</v>
      </c>
      <c r="BE11" s="350">
        <f t="shared" ca="1" si="7"/>
        <v>52</v>
      </c>
      <c r="BF11" s="350">
        <f t="shared" ca="1" si="7"/>
        <v>46</v>
      </c>
      <c r="BG11" s="350">
        <f t="shared" ca="1" si="7"/>
        <v>43</v>
      </c>
      <c r="BH11" s="350" t="str">
        <f t="shared" si="7"/>
        <v/>
      </c>
      <c r="BI11" s="350" t="str">
        <f t="shared" si="7"/>
        <v/>
      </c>
      <c r="BJ11" s="350" t="str">
        <f t="shared" si="7"/>
        <v/>
      </c>
      <c r="BK11" s="350" t="str">
        <f t="shared" si="7"/>
        <v/>
      </c>
      <c r="BL11" s="350" t="str">
        <f t="shared" si="7"/>
        <v/>
      </c>
      <c r="BM11" s="350">
        <f t="shared" si="7"/>
        <v>164379.38</v>
      </c>
      <c r="BN11" s="350">
        <f t="shared" si="7"/>
        <v>7146.02</v>
      </c>
      <c r="BO11" s="350">
        <f t="shared" si="7"/>
        <v>6135.1</v>
      </c>
      <c r="BP11" s="350">
        <f t="shared" si="7"/>
        <v>5949.0599999999995</v>
      </c>
      <c r="BQ11" s="350">
        <f t="shared" si="7"/>
        <v>6527.79</v>
      </c>
      <c r="BR11" s="350">
        <f t="shared" si="7"/>
        <v>6550.6100000000006</v>
      </c>
      <c r="BS11" s="350">
        <f t="shared" si="7"/>
        <v>8176.6100000000006</v>
      </c>
      <c r="BT11" s="350">
        <f t="shared" si="7"/>
        <v>8200.64</v>
      </c>
      <c r="BU11" s="350">
        <f t="shared" si="7"/>
        <v>7517.51</v>
      </c>
      <c r="BV11" s="350" t="str">
        <f t="shared" si="7"/>
        <v/>
      </c>
      <c r="BW11" s="350" t="str">
        <f t="shared" si="7"/>
        <v/>
      </c>
      <c r="BX11" s="350" t="str">
        <f t="shared" si="7"/>
        <v/>
      </c>
      <c r="BY11" s="350" t="str">
        <f t="shared" si="7"/>
        <v/>
      </c>
      <c r="BZ11" s="350" t="str">
        <f t="shared" si="7"/>
        <v/>
      </c>
      <c r="CB11" s="367" t="str">
        <v>Maram Zamzami</v>
      </c>
    </row>
    <row r="12" spans="1:80" x14ac:dyDescent="0.25">
      <c r="A12" s="356" t="str">
        <v>Al Hasa</v>
      </c>
      <c r="B12" s="356">
        <f t="shared" ref="B12:B40" si="8">IF($A12="","",COUNTIF($C$46:$C$145,$A12))</f>
        <v>2</v>
      </c>
      <c r="C12" s="356"/>
      <c r="D12" s="357">
        <f t="shared" ref="D12:D40" ca="1" si="9">IF(OR($A12="",AK12="",N(AK12)=0),"",SUMIFS(AY$46:AY$145,$C$46:$C$145,$A12,AK$46:AK$145,"&gt;0")/AK12)</f>
        <v>0.19227293267058293</v>
      </c>
      <c r="E12" s="357">
        <f t="shared" ref="E12:E40" ca="1" si="10">IF(OR($A12="",AL12="",N(AL12)=0),"",SUMIFS(AZ$46:AZ$145,$C$46:$C$145,$A12,AL$46:AL$145,"&gt;0")/AL12)</f>
        <v>0.2311111111111111</v>
      </c>
      <c r="F12" s="357">
        <f t="shared" ref="F12:F40" ca="1" si="11">IF(OR($A12="",AM12="",N(AM12)=0),"",SUMIFS(BA$46:BA$145,$C$46:$C$145,$A12,AM$46:AM$145,"&gt;0")/AM12)</f>
        <v>0.21978021978021978</v>
      </c>
      <c r="G12" s="357">
        <f t="shared" ref="G12:G40" ca="1" si="12">IF(OR($A12="",AN12="",N(AN12)=0),"",SUMIFS(BB$46:BB$145,$C$46:$C$145,$A12,AN$46:AN$145,"&gt;0")/AN12)</f>
        <v>0.17905405405405406</v>
      </c>
      <c r="H12" s="357">
        <f t="shared" ref="H12:H40" ca="1" si="13">IF(OR($A12="",AO12="",N(AO12)=0),"",SUMIFS(BC$46:BC$145,$C$46:$C$145,$A12,AO$46:AO$145,"&gt;0")/AO12)</f>
        <v>0.18518518518518517</v>
      </c>
      <c r="I12" s="357">
        <f t="shared" ref="I12:I40" ca="1" si="14">IF(OR($A12="",AP12="",N(AP12)=0),"",SUMIFS(BD$46:BD$145,$C$46:$C$145,$A12,AP$46:AP$145,"&gt;0")/AP12)</f>
        <v>0.15254237288135594</v>
      </c>
      <c r="J12" s="357">
        <f t="shared" ref="J12:J40" ca="1" si="15">IF(OR($A12="",AQ12="",N(AQ12)=0),"",SUMIFS(BE$46:BE$145,$C$46:$C$145,$A12,AQ$46:AQ$145,"&gt;0")/AQ12)</f>
        <v>0.18899521531100477</v>
      </c>
      <c r="K12" s="357">
        <f t="shared" ref="K12:K40" ca="1" si="16">IF(OR($A12="",AR12="",N(AR12)=0),"",SUMIFS(BF$46:BF$145,$C$46:$C$145,$A12,AR$46:AR$145,"&gt;0")/AR12)</f>
        <v>0.20192307692307693</v>
      </c>
      <c r="L12" s="357">
        <f t="shared" ref="L12:L40" ca="1" si="17">IF(OR($A12="",AS12="",N(AS12)=0),"",SUMIFS(BG$46:BG$145,$C$46:$C$145,$A12,AS$46:AS$145,"&gt;0")/AS12)</f>
        <v>0.19938650306748465</v>
      </c>
      <c r="M12" s="357" t="str">
        <f t="shared" ref="M12:M40" si="18">IF(OR($A12="",AT12="",N(AT12)=0),"",SUMIFS(BH$46:BH$145,$C$46:$C$145,$A12,AT$46:AT$145,"&gt;0")/AT12)</f>
        <v/>
      </c>
      <c r="N12" s="357" t="str">
        <f t="shared" ref="N12:N40" si="19">IF(OR($A12="",AU12="",N(AU12)=0),"",SUMIFS(BI$46:BI$145,$C$46:$C$145,$A12,AU$46:AU$145,"&gt;0")/AU12)</f>
        <v/>
      </c>
      <c r="O12" s="357" t="str">
        <f t="shared" ref="O12:O40" si="20">IF(OR($A12="",AV12="",N(AV12)=0),"",SUMIFS(BJ$46:BJ$145,$C$46:$C$145,$A12,AV$46:AV$145,"&gt;0")/AV12)</f>
        <v/>
      </c>
      <c r="P12" s="357" t="str">
        <f t="shared" ref="P12:P40" si="21">IF(OR($A12="",AW12="",N(AW12)=0),"",SUMIFS(BK$46:BK$145,$C$46:$C$145,$A12,AW$46:AW$145,"&gt;0")/AW12)</f>
        <v/>
      </c>
      <c r="Q12" s="357" t="str">
        <f t="shared" ref="Q12:Q40" si="22">IF(OR($A12="",AX12="",N(AX12)=0),"",SUMIFS(BL$46:BL$145,$C$46:$C$145,$A12,AX$46:AX$145,"&gt;0")/AX12)</f>
        <v/>
      </c>
      <c r="R12" s="358" cm="1">
        <f t="array" aca="1" ref="R12" ca="1">IF(OR($A12="",D12=""),"",IFERROR(LOOKUP(2,1/(E12:Q12&lt;&gt;""),E12:Q12)-D12,""))</f>
        <v>7.1135703969017194E-3</v>
      </c>
      <c r="S12" s="349"/>
      <c r="T12" s="362">
        <f t="shared" ref="T12:T41" ca="1" si="23">IF(OR($A12="",AY12="",N(AY12)=0),"",BM12/AY12)</f>
        <v>175.88403055229142</v>
      </c>
      <c r="U12" s="362">
        <f t="shared" ref="U12:U41" ca="1" si="24">IF(OR($A12="",AZ12="",N(AZ12)=0),"",BN12/AZ12)</f>
        <v>158.19423076923078</v>
      </c>
      <c r="V12" s="362">
        <f t="shared" ref="V12:V41" ca="1" si="25">IF(OR($A12="",BA12="",N(BA12)=0),"",BO12/BA12)</f>
        <v>146.60250000000002</v>
      </c>
      <c r="W12" s="362">
        <f t="shared" ref="W12:W41" ca="1" si="26">IF(OR($A12="",BB12="",N(BB12)=0),"",BP12/BB12)</f>
        <v>195.24867924528303</v>
      </c>
      <c r="X12" s="362">
        <f t="shared" ref="X12:X41" ca="1" si="27">IF(OR($A12="",BC12="",N(BC12)=0),"",BQ12/BC12)</f>
        <v>175.22128571428573</v>
      </c>
      <c r="Y12" s="362">
        <f t="shared" ref="Y12:Y41" ca="1" si="28">IF(OR($A12="",BD12="",N(BD12)=0),"",BR12/BD12)</f>
        <v>168.61269841269839</v>
      </c>
      <c r="Z12" s="362">
        <f t="shared" ref="Z12:Z41" ca="1" si="29">IF(OR($A12="",BE12="",N(BE12)=0),"",BS12/BE12)</f>
        <v>168.19392405063292</v>
      </c>
      <c r="AA12" s="362">
        <f t="shared" ref="AA12:AA41" ca="1" si="30">IF(OR($A12="",BF12="",N(BF12)=0),"",BT12/BF12)</f>
        <v>241.28015873015872</v>
      </c>
      <c r="AB12" s="362">
        <f t="shared" ref="AB12:AB41" ca="1" si="31">IF(OR($A12="",BG12="",N(BG12)=0),"",BU12/BG12)</f>
        <v>146.87076923076924</v>
      </c>
      <c r="AC12" s="362" t="str">
        <f t="shared" ref="AC12:AC41" si="32">IF(OR($A12="",BH12="",N(BH12)=0),"",BV12/BH12)</f>
        <v/>
      </c>
      <c r="AD12" s="362" t="str">
        <f t="shared" ref="AD12:AD41" si="33">IF(OR($A12="",BI12="",N(BI12)=0),"",BW12/BI12)</f>
        <v/>
      </c>
      <c r="AE12" s="362" t="str">
        <f t="shared" ref="AE12:AE41" si="34">IF(OR($A12="",BJ12="",N(BJ12)=0),"",BX12/BJ12)</f>
        <v/>
      </c>
      <c r="AF12" s="362" t="str">
        <f t="shared" ref="AF12:AF41" si="35">IF(OR($A12="",BK12="",N(BK12)=0),"",BY12/BK12)</f>
        <v/>
      </c>
      <c r="AG12" s="362" t="str">
        <f t="shared" ref="AG12:AG41" si="36">IF(OR($A12="",BL12="",N(BL12)=0),"",BZ12/BL12)</f>
        <v/>
      </c>
      <c r="AH12" s="363" cm="1">
        <f t="array" aca="1" ref="AH12" ca="1">IF(OR($A12="",T12=""),"",IFERROR(LOOKUP(2,1/(U12:AG12&lt;&gt;""),U12:AG12)-T12,""))</f>
        <v>-29.01326132152218</v>
      </c>
      <c r="AI12" s="349"/>
      <c r="AJ12" s="349"/>
      <c r="AK12" s="350">
        <f t="shared" ref="AK12:AZ33" si="37">IF(OR($A12="",AK$6=""),"",SUMIFS(AK$46:AK$145,$C$46:$C$145,$A12))</f>
        <v>8852</v>
      </c>
      <c r="AL12" s="350">
        <f t="shared" si="7"/>
        <v>225</v>
      </c>
      <c r="AM12" s="350">
        <f t="shared" si="7"/>
        <v>182</v>
      </c>
      <c r="AN12" s="350">
        <f t="shared" si="7"/>
        <v>296</v>
      </c>
      <c r="AO12" s="350">
        <f t="shared" si="7"/>
        <v>378</v>
      </c>
      <c r="AP12" s="350">
        <f t="shared" si="7"/>
        <v>413</v>
      </c>
      <c r="AQ12" s="350">
        <f t="shared" si="7"/>
        <v>418</v>
      </c>
      <c r="AR12" s="350">
        <f t="shared" si="7"/>
        <v>312</v>
      </c>
      <c r="AS12" s="350">
        <f t="shared" si="7"/>
        <v>326</v>
      </c>
      <c r="AT12" s="350" t="str">
        <f t="shared" si="7"/>
        <v/>
      </c>
      <c r="AU12" s="350" t="str">
        <f t="shared" si="7"/>
        <v/>
      </c>
      <c r="AV12" s="350" t="str">
        <f t="shared" si="7"/>
        <v/>
      </c>
      <c r="AW12" s="350" t="str">
        <f t="shared" si="7"/>
        <v/>
      </c>
      <c r="AX12" s="350" t="str">
        <f t="shared" si="7"/>
        <v/>
      </c>
      <c r="AY12" s="350">
        <f t="shared" ca="1" si="7"/>
        <v>1702</v>
      </c>
      <c r="AZ12" s="350">
        <f t="shared" ca="1" si="7"/>
        <v>52</v>
      </c>
      <c r="BA12" s="350">
        <f t="shared" ca="1" si="7"/>
        <v>40</v>
      </c>
      <c r="BB12" s="350">
        <f t="shared" ca="1" si="7"/>
        <v>53</v>
      </c>
      <c r="BC12" s="350">
        <f t="shared" ca="1" si="7"/>
        <v>70</v>
      </c>
      <c r="BD12" s="350">
        <f t="shared" ca="1" si="7"/>
        <v>63</v>
      </c>
      <c r="BE12" s="350">
        <f t="shared" ca="1" si="7"/>
        <v>79</v>
      </c>
      <c r="BF12" s="350">
        <f t="shared" ca="1" si="7"/>
        <v>63</v>
      </c>
      <c r="BG12" s="350">
        <f t="shared" ca="1" si="7"/>
        <v>65</v>
      </c>
      <c r="BH12" s="350" t="str">
        <f t="shared" si="7"/>
        <v/>
      </c>
      <c r="BI12" s="350" t="str">
        <f t="shared" si="7"/>
        <v/>
      </c>
      <c r="BJ12" s="350" t="str">
        <f t="shared" si="7"/>
        <v/>
      </c>
      <c r="BK12" s="350" t="str">
        <f t="shared" si="7"/>
        <v/>
      </c>
      <c r="BL12" s="350" t="str">
        <f t="shared" si="7"/>
        <v/>
      </c>
      <c r="BM12" s="350">
        <f t="shared" si="7"/>
        <v>299354.62</v>
      </c>
      <c r="BN12" s="350">
        <f t="shared" si="7"/>
        <v>8226.1</v>
      </c>
      <c r="BO12" s="350">
        <f t="shared" si="7"/>
        <v>5864.1</v>
      </c>
      <c r="BP12" s="350">
        <f t="shared" si="7"/>
        <v>10348.18</v>
      </c>
      <c r="BQ12" s="350">
        <f t="shared" si="7"/>
        <v>12265.490000000002</v>
      </c>
      <c r="BR12" s="350">
        <f t="shared" si="7"/>
        <v>10622.599999999999</v>
      </c>
      <c r="BS12" s="350">
        <f t="shared" si="7"/>
        <v>13287.32</v>
      </c>
      <c r="BT12" s="350">
        <f t="shared" si="7"/>
        <v>15200.65</v>
      </c>
      <c r="BU12" s="350">
        <f t="shared" si="7"/>
        <v>9546.6</v>
      </c>
      <c r="BV12" s="350" t="str">
        <f t="shared" si="7"/>
        <v/>
      </c>
      <c r="BW12" s="350" t="str">
        <f t="shared" si="7"/>
        <v/>
      </c>
      <c r="BX12" s="350" t="str">
        <f t="shared" si="7"/>
        <v/>
      </c>
      <c r="BY12" s="350" t="str">
        <f t="shared" si="7"/>
        <v/>
      </c>
      <c r="BZ12" s="350" t="str">
        <f t="shared" si="7"/>
        <v/>
      </c>
      <c r="CB12" s="367" t="str">
        <v>Mohammed Haidar</v>
      </c>
    </row>
    <row r="13" spans="1:80" x14ac:dyDescent="0.25">
      <c r="A13" s="356" t="str">
        <v>Baha</v>
      </c>
      <c r="B13" s="356">
        <f t="shared" si="8"/>
        <v>2</v>
      </c>
      <c r="C13" s="356"/>
      <c r="D13" s="357">
        <f t="shared" ca="1" si="9"/>
        <v>0.11209341117597998</v>
      </c>
      <c r="E13" s="357">
        <f t="shared" ca="1" si="10"/>
        <v>0.12195121951219512</v>
      </c>
      <c r="F13" s="357">
        <f t="shared" ca="1" si="11"/>
        <v>0.10504201680672269</v>
      </c>
      <c r="G13" s="357">
        <f t="shared" ca="1" si="12"/>
        <v>8.6538461538461536E-2</v>
      </c>
      <c r="H13" s="357">
        <f t="shared" ca="1" si="13"/>
        <v>6.860158311345646E-2</v>
      </c>
      <c r="I13" s="357">
        <f t="shared" ca="1" si="14"/>
        <v>6.3872255489021951E-2</v>
      </c>
      <c r="J13" s="357">
        <f t="shared" ca="1" si="15"/>
        <v>0.1111111111111111</v>
      </c>
      <c r="K13" s="357">
        <f t="shared" ca="1" si="16"/>
        <v>9.5774647887323941E-2</v>
      </c>
      <c r="L13" s="357">
        <f t="shared" ca="1" si="17"/>
        <v>8.3044982698961933E-2</v>
      </c>
      <c r="M13" s="357" t="str">
        <f t="shared" si="18"/>
        <v/>
      </c>
      <c r="N13" s="357" t="str">
        <f t="shared" si="19"/>
        <v/>
      </c>
      <c r="O13" s="357" t="str">
        <f t="shared" si="20"/>
        <v/>
      </c>
      <c r="P13" s="357" t="str">
        <f t="shared" si="21"/>
        <v/>
      </c>
      <c r="Q13" s="357" t="str">
        <f t="shared" si="22"/>
        <v/>
      </c>
      <c r="R13" s="358" cm="1">
        <f t="array" aca="1" ref="R13" ca="1">IF(OR($A13="",D13=""),"",IFERROR(LOOKUP(2,1/(E13:Q13&lt;&gt;""),E13:Q13)-D13,""))</f>
        <v>-2.9048428477018051E-2</v>
      </c>
      <c r="S13" s="349"/>
      <c r="T13" s="362">
        <f t="shared" ca="1" si="23"/>
        <v>149.62729166666668</v>
      </c>
      <c r="U13" s="362">
        <f t="shared" ca="1" si="24"/>
        <v>147.2816</v>
      </c>
      <c r="V13" s="362">
        <f t="shared" ca="1" si="25"/>
        <v>171.4016</v>
      </c>
      <c r="W13" s="362">
        <f t="shared" ca="1" si="26"/>
        <v>135.92851851851853</v>
      </c>
      <c r="X13" s="362">
        <f t="shared" ca="1" si="27"/>
        <v>126.11307692307693</v>
      </c>
      <c r="Y13" s="362">
        <f t="shared" ca="1" si="28"/>
        <v>158.74312499999999</v>
      </c>
      <c r="Z13" s="362">
        <f t="shared" ca="1" si="29"/>
        <v>153.1763157894737</v>
      </c>
      <c r="AA13" s="362">
        <f t="shared" ca="1" si="30"/>
        <v>164.10676470588237</v>
      </c>
      <c r="AB13" s="362">
        <f t="shared" ca="1" si="31"/>
        <v>160.25958333333332</v>
      </c>
      <c r="AC13" s="362" t="str">
        <f t="shared" si="32"/>
        <v/>
      </c>
      <c r="AD13" s="362" t="str">
        <f t="shared" si="33"/>
        <v/>
      </c>
      <c r="AE13" s="362" t="str">
        <f t="shared" si="34"/>
        <v/>
      </c>
      <c r="AF13" s="362" t="str">
        <f t="shared" si="35"/>
        <v/>
      </c>
      <c r="AG13" s="362" t="str">
        <f t="shared" si="36"/>
        <v/>
      </c>
      <c r="AH13" s="363" cm="1">
        <f t="array" aca="1" ref="AH13" ca="1">IF(OR($A13="",T13=""),"",IFERROR(LOOKUP(2,1/(U13:AG13&lt;&gt;""),U13:AG13)-T13,""))</f>
        <v>10.632291666666646</v>
      </c>
      <c r="AI13" s="349"/>
      <c r="AJ13" s="349"/>
      <c r="AK13" s="350">
        <f t="shared" si="37"/>
        <v>5995</v>
      </c>
      <c r="AL13" s="350">
        <f t="shared" si="7"/>
        <v>205</v>
      </c>
      <c r="AM13" s="350">
        <f t="shared" si="7"/>
        <v>238</v>
      </c>
      <c r="AN13" s="350">
        <f t="shared" si="7"/>
        <v>312</v>
      </c>
      <c r="AO13" s="350">
        <f t="shared" si="7"/>
        <v>379</v>
      </c>
      <c r="AP13" s="350">
        <f t="shared" si="7"/>
        <v>501</v>
      </c>
      <c r="AQ13" s="350">
        <f t="shared" si="7"/>
        <v>342</v>
      </c>
      <c r="AR13" s="350">
        <f t="shared" si="7"/>
        <v>355</v>
      </c>
      <c r="AS13" s="350">
        <f t="shared" si="7"/>
        <v>289</v>
      </c>
      <c r="AT13" s="350" t="str">
        <f t="shared" si="7"/>
        <v/>
      </c>
      <c r="AU13" s="350" t="str">
        <f t="shared" si="7"/>
        <v/>
      </c>
      <c r="AV13" s="350" t="str">
        <f t="shared" si="7"/>
        <v/>
      </c>
      <c r="AW13" s="350" t="str">
        <f t="shared" si="7"/>
        <v/>
      </c>
      <c r="AX13" s="350" t="str">
        <f t="shared" si="7"/>
        <v/>
      </c>
      <c r="AY13" s="350">
        <f t="shared" ca="1" si="7"/>
        <v>672</v>
      </c>
      <c r="AZ13" s="350">
        <f t="shared" ca="1" si="7"/>
        <v>25</v>
      </c>
      <c r="BA13" s="350">
        <f t="shared" ca="1" si="7"/>
        <v>25</v>
      </c>
      <c r="BB13" s="350">
        <f t="shared" ca="1" si="7"/>
        <v>27</v>
      </c>
      <c r="BC13" s="350">
        <f t="shared" ca="1" si="7"/>
        <v>26</v>
      </c>
      <c r="BD13" s="350">
        <f t="shared" ca="1" si="7"/>
        <v>32</v>
      </c>
      <c r="BE13" s="350">
        <f t="shared" ca="1" si="7"/>
        <v>38</v>
      </c>
      <c r="BF13" s="350">
        <f t="shared" ca="1" si="7"/>
        <v>34</v>
      </c>
      <c r="BG13" s="350">
        <f t="shared" ca="1" si="7"/>
        <v>24</v>
      </c>
      <c r="BH13" s="350" t="str">
        <f t="shared" si="7"/>
        <v/>
      </c>
      <c r="BI13" s="350" t="str">
        <f t="shared" si="7"/>
        <v/>
      </c>
      <c r="BJ13" s="350" t="str">
        <f t="shared" si="7"/>
        <v/>
      </c>
      <c r="BK13" s="350" t="str">
        <f t="shared" si="7"/>
        <v/>
      </c>
      <c r="BL13" s="350" t="str">
        <f t="shared" si="7"/>
        <v/>
      </c>
      <c r="BM13" s="350">
        <f t="shared" si="7"/>
        <v>100549.54000000001</v>
      </c>
      <c r="BN13" s="350">
        <f t="shared" si="7"/>
        <v>3682.04</v>
      </c>
      <c r="BO13" s="350">
        <f t="shared" si="7"/>
        <v>4285.04</v>
      </c>
      <c r="BP13" s="350">
        <f t="shared" si="7"/>
        <v>3670.07</v>
      </c>
      <c r="BQ13" s="350">
        <f t="shared" si="7"/>
        <v>3278.94</v>
      </c>
      <c r="BR13" s="350">
        <f t="shared" si="7"/>
        <v>5079.78</v>
      </c>
      <c r="BS13" s="350">
        <f t="shared" si="7"/>
        <v>5820.7000000000007</v>
      </c>
      <c r="BT13" s="350">
        <f t="shared" si="7"/>
        <v>5579.63</v>
      </c>
      <c r="BU13" s="350">
        <f t="shared" si="7"/>
        <v>3846.2299999999996</v>
      </c>
      <c r="BV13" s="350" t="str">
        <f t="shared" si="7"/>
        <v/>
      </c>
      <c r="BW13" s="350" t="str">
        <f t="shared" si="7"/>
        <v/>
      </c>
      <c r="BX13" s="350" t="str">
        <f t="shared" si="7"/>
        <v/>
      </c>
      <c r="BY13" s="350" t="str">
        <f t="shared" si="7"/>
        <v/>
      </c>
      <c r="BZ13" s="350" t="str">
        <f t="shared" si="7"/>
        <v/>
      </c>
      <c r="CB13" s="367" t="str">
        <v>Mohammed Sanad</v>
      </c>
    </row>
    <row r="14" spans="1:80" x14ac:dyDescent="0.25">
      <c r="A14" s="356" t="str">
        <v>Buraidah</v>
      </c>
      <c r="B14" s="356">
        <f t="shared" si="8"/>
        <v>1</v>
      </c>
      <c r="C14" s="356"/>
      <c r="D14" s="357">
        <f t="shared" ca="1" si="9"/>
        <v>0.16454323664949852</v>
      </c>
      <c r="E14" s="357">
        <f t="shared" ca="1" si="10"/>
        <v>0.16101694915254236</v>
      </c>
      <c r="F14" s="357">
        <f t="shared" ca="1" si="11"/>
        <v>0.18300653594771241</v>
      </c>
      <c r="G14" s="357">
        <f t="shared" ca="1" si="12"/>
        <v>0.18120805369127516</v>
      </c>
      <c r="H14" s="357">
        <f t="shared" ca="1" si="13"/>
        <v>0.15306122448979592</v>
      </c>
      <c r="I14" s="357">
        <f t="shared" ca="1" si="14"/>
        <v>0.14213197969543148</v>
      </c>
      <c r="J14" s="357">
        <f t="shared" ca="1" si="15"/>
        <v>0.10460251046025104</v>
      </c>
      <c r="K14" s="357">
        <f t="shared" ca="1" si="16"/>
        <v>0.16184971098265896</v>
      </c>
      <c r="L14" s="357">
        <f t="shared" ca="1" si="17"/>
        <v>0.17365269461077845</v>
      </c>
      <c r="M14" s="357" t="str">
        <f t="shared" si="18"/>
        <v/>
      </c>
      <c r="N14" s="357" t="str">
        <f t="shared" si="19"/>
        <v/>
      </c>
      <c r="O14" s="357" t="str">
        <f t="shared" si="20"/>
        <v/>
      </c>
      <c r="P14" s="357" t="str">
        <f t="shared" si="21"/>
        <v/>
      </c>
      <c r="Q14" s="357" t="str">
        <f t="shared" si="22"/>
        <v/>
      </c>
      <c r="R14" s="358" cm="1">
        <f t="array" aca="1" ref="R14" ca="1">IF(OR($A14="",D14=""),"",IFERROR(LOOKUP(2,1/(E14:Q14&lt;&gt;""),E14:Q14)-D14,""))</f>
        <v>9.109457961279932E-3</v>
      </c>
      <c r="S14" s="349"/>
      <c r="T14" s="362">
        <f t="shared" ca="1" si="23"/>
        <v>128.13182866556838</v>
      </c>
      <c r="U14" s="362">
        <f t="shared" ca="1" si="24"/>
        <v>143.68526315789472</v>
      </c>
      <c r="V14" s="362">
        <f t="shared" ca="1" si="25"/>
        <v>133.53892857142858</v>
      </c>
      <c r="W14" s="362">
        <f t="shared" ca="1" si="26"/>
        <v>109.96333333333334</v>
      </c>
      <c r="X14" s="362">
        <f t="shared" ca="1" si="27"/>
        <v>127.22466666666666</v>
      </c>
      <c r="Y14" s="362">
        <f t="shared" ca="1" si="28"/>
        <v>211.56464285714287</v>
      </c>
      <c r="Z14" s="362">
        <f t="shared" ca="1" si="29"/>
        <v>151.35399999999998</v>
      </c>
      <c r="AA14" s="362">
        <f t="shared" ca="1" si="30"/>
        <v>127.20964285714285</v>
      </c>
      <c r="AB14" s="362">
        <f t="shared" ca="1" si="31"/>
        <v>147.83517241379312</v>
      </c>
      <c r="AC14" s="362" t="str">
        <f t="shared" si="32"/>
        <v/>
      </c>
      <c r="AD14" s="362" t="str">
        <f t="shared" si="33"/>
        <v/>
      </c>
      <c r="AE14" s="362" t="str">
        <f t="shared" si="34"/>
        <v/>
      </c>
      <c r="AF14" s="362" t="str">
        <f t="shared" si="35"/>
        <v/>
      </c>
      <c r="AG14" s="362" t="str">
        <f t="shared" si="36"/>
        <v/>
      </c>
      <c r="AH14" s="363" cm="1">
        <f t="array" aca="1" ref="AH14" ca="1">IF(OR($A14="",T14=""),"",IFERROR(LOOKUP(2,1/(U14:AG14&lt;&gt;""),U14:AG14)-T14,""))</f>
        <v>19.703343748224739</v>
      </c>
      <c r="AI14" s="349"/>
      <c r="AJ14" s="349"/>
      <c r="AK14" s="350">
        <f t="shared" si="37"/>
        <v>3689</v>
      </c>
      <c r="AL14" s="350">
        <f t="shared" si="7"/>
        <v>118</v>
      </c>
      <c r="AM14" s="350">
        <f t="shared" si="7"/>
        <v>153</v>
      </c>
      <c r="AN14" s="350">
        <f t="shared" si="7"/>
        <v>149</v>
      </c>
      <c r="AO14" s="350">
        <f t="shared" si="7"/>
        <v>196</v>
      </c>
      <c r="AP14" s="350">
        <f t="shared" si="7"/>
        <v>197</v>
      </c>
      <c r="AQ14" s="350">
        <f t="shared" si="7"/>
        <v>239</v>
      </c>
      <c r="AR14" s="350">
        <f t="shared" si="7"/>
        <v>173</v>
      </c>
      <c r="AS14" s="350">
        <f t="shared" si="7"/>
        <v>167</v>
      </c>
      <c r="AT14" s="350" t="str">
        <f t="shared" si="7"/>
        <v/>
      </c>
      <c r="AU14" s="350" t="str">
        <f t="shared" si="7"/>
        <v/>
      </c>
      <c r="AV14" s="350" t="str">
        <f t="shared" si="7"/>
        <v/>
      </c>
      <c r="AW14" s="350" t="str">
        <f t="shared" si="7"/>
        <v/>
      </c>
      <c r="AX14" s="350" t="str">
        <f t="shared" si="7"/>
        <v/>
      </c>
      <c r="AY14" s="350">
        <f t="shared" ca="1" si="7"/>
        <v>607</v>
      </c>
      <c r="AZ14" s="350">
        <f t="shared" ca="1" si="7"/>
        <v>19</v>
      </c>
      <c r="BA14" s="350">
        <f t="shared" ca="1" si="7"/>
        <v>28</v>
      </c>
      <c r="BB14" s="350">
        <f t="shared" ca="1" si="7"/>
        <v>27</v>
      </c>
      <c r="BC14" s="350">
        <f t="shared" ca="1" si="7"/>
        <v>30</v>
      </c>
      <c r="BD14" s="350">
        <f t="shared" ca="1" si="7"/>
        <v>28</v>
      </c>
      <c r="BE14" s="350">
        <f t="shared" ca="1" si="7"/>
        <v>25</v>
      </c>
      <c r="BF14" s="350">
        <f t="shared" ca="1" si="7"/>
        <v>28</v>
      </c>
      <c r="BG14" s="350">
        <f t="shared" ca="1" si="7"/>
        <v>29</v>
      </c>
      <c r="BH14" s="350" t="str">
        <f t="shared" si="7"/>
        <v/>
      </c>
      <c r="BI14" s="350" t="str">
        <f t="shared" si="7"/>
        <v/>
      </c>
      <c r="BJ14" s="350" t="str">
        <f t="shared" si="7"/>
        <v/>
      </c>
      <c r="BK14" s="350" t="str">
        <f t="shared" si="7"/>
        <v/>
      </c>
      <c r="BL14" s="350" t="str">
        <f t="shared" si="7"/>
        <v/>
      </c>
      <c r="BM14" s="350">
        <f t="shared" si="7"/>
        <v>77776.02</v>
      </c>
      <c r="BN14" s="350">
        <f t="shared" si="7"/>
        <v>2730.02</v>
      </c>
      <c r="BO14" s="350">
        <f t="shared" si="7"/>
        <v>3739.09</v>
      </c>
      <c r="BP14" s="350">
        <f t="shared" si="7"/>
        <v>2969.01</v>
      </c>
      <c r="BQ14" s="350">
        <f t="shared" si="7"/>
        <v>3816.74</v>
      </c>
      <c r="BR14" s="350">
        <f t="shared" si="7"/>
        <v>5923.81</v>
      </c>
      <c r="BS14" s="350">
        <f t="shared" si="7"/>
        <v>3783.85</v>
      </c>
      <c r="BT14" s="350">
        <f t="shared" si="7"/>
        <v>3561.87</v>
      </c>
      <c r="BU14" s="350">
        <f t="shared" si="7"/>
        <v>4287.22</v>
      </c>
      <c r="BV14" s="350" t="str">
        <f t="shared" si="7"/>
        <v/>
      </c>
      <c r="BW14" s="350" t="str">
        <f t="shared" si="7"/>
        <v/>
      </c>
      <c r="BX14" s="350" t="str">
        <f t="shared" si="7"/>
        <v/>
      </c>
      <c r="BY14" s="350" t="str">
        <f t="shared" si="7"/>
        <v/>
      </c>
      <c r="BZ14" s="350" t="str">
        <f t="shared" si="7"/>
        <v/>
      </c>
      <c r="CB14" s="367" t="str">
        <v>Saleh Bin Hoiel</v>
      </c>
    </row>
    <row r="15" spans="1:80" x14ac:dyDescent="0.25">
      <c r="A15" s="356" t="str">
        <v>Dammam</v>
      </c>
      <c r="B15" s="356">
        <f t="shared" si="8"/>
        <v>1</v>
      </c>
      <c r="C15" s="356"/>
      <c r="D15" s="357">
        <f t="shared" ca="1" si="9"/>
        <v>0.14387083504730563</v>
      </c>
      <c r="E15" s="357">
        <f t="shared" ca="1" si="10"/>
        <v>0.16333333333333333</v>
      </c>
      <c r="F15" s="357">
        <f t="shared" ca="1" si="11"/>
        <v>0.12367491166077739</v>
      </c>
      <c r="G15" s="357">
        <f t="shared" ca="1" si="12"/>
        <v>0.15759312320916904</v>
      </c>
      <c r="H15" s="357">
        <f t="shared" ca="1" si="13"/>
        <v>0.11479028697571744</v>
      </c>
      <c r="I15" s="357">
        <f t="shared" ca="1" si="14"/>
        <v>0.10107197549770292</v>
      </c>
      <c r="J15" s="357">
        <f t="shared" ca="1" si="15"/>
        <v>0.12086092715231789</v>
      </c>
      <c r="K15" s="357">
        <f t="shared" ca="1" si="16"/>
        <v>0.13098236775818639</v>
      </c>
      <c r="L15" s="357">
        <f t="shared" ca="1" si="17"/>
        <v>0.17699115044247787</v>
      </c>
      <c r="M15" s="357" t="str">
        <f t="shared" si="18"/>
        <v/>
      </c>
      <c r="N15" s="357" t="str">
        <f t="shared" si="19"/>
        <v/>
      </c>
      <c r="O15" s="357" t="str">
        <f t="shared" si="20"/>
        <v/>
      </c>
      <c r="P15" s="357" t="str">
        <f t="shared" si="21"/>
        <v/>
      </c>
      <c r="Q15" s="357" t="str">
        <f t="shared" si="22"/>
        <v/>
      </c>
      <c r="R15" s="358" cm="1">
        <f t="array" aca="1" ref="R15" ca="1">IF(OR($A15="",D15=""),"",IFERROR(LOOKUP(2,1/(E15:Q15&lt;&gt;""),E15:Q15)-D15,""))</f>
        <v>3.312031539517224E-2</v>
      </c>
      <c r="S15" s="349"/>
      <c r="T15" s="362">
        <f t="shared" ca="1" si="23"/>
        <v>155.89564689063619</v>
      </c>
      <c r="U15" s="362">
        <f t="shared" ca="1" si="24"/>
        <v>157.04367346938776</v>
      </c>
      <c r="V15" s="362">
        <f t="shared" ca="1" si="25"/>
        <v>153.31857142857143</v>
      </c>
      <c r="W15" s="362">
        <f t="shared" ca="1" si="26"/>
        <v>178.0210909090909</v>
      </c>
      <c r="X15" s="362">
        <f t="shared" ca="1" si="27"/>
        <v>197.22403846153844</v>
      </c>
      <c r="Y15" s="362">
        <f t="shared" ca="1" si="28"/>
        <v>176.46227272727273</v>
      </c>
      <c r="Z15" s="362">
        <f t="shared" ca="1" si="29"/>
        <v>190.19616438356164</v>
      </c>
      <c r="AA15" s="362">
        <f t="shared" ca="1" si="30"/>
        <v>175.51576923076922</v>
      </c>
      <c r="AB15" s="362">
        <f t="shared" ca="1" si="31"/>
        <v>173.02583333333331</v>
      </c>
      <c r="AC15" s="362" t="str">
        <f t="shared" si="32"/>
        <v/>
      </c>
      <c r="AD15" s="362" t="str">
        <f t="shared" si="33"/>
        <v/>
      </c>
      <c r="AE15" s="362" t="str">
        <f t="shared" si="34"/>
        <v/>
      </c>
      <c r="AF15" s="362" t="str">
        <f t="shared" si="35"/>
        <v/>
      </c>
      <c r="AG15" s="362" t="str">
        <f t="shared" si="36"/>
        <v/>
      </c>
      <c r="AH15" s="363" cm="1">
        <f t="array" aca="1" ref="AH15" ca="1">IF(OR($A15="",T15=""),"",IFERROR(LOOKUP(2,1/(U15:AG15&lt;&gt;""),U15:AG15)-T15,""))</f>
        <v>17.130186442697124</v>
      </c>
      <c r="AI15" s="349"/>
      <c r="AJ15" s="349"/>
      <c r="AK15" s="350">
        <f t="shared" si="37"/>
        <v>9724</v>
      </c>
      <c r="AL15" s="350">
        <f t="shared" si="7"/>
        <v>300</v>
      </c>
      <c r="AM15" s="350">
        <f t="shared" si="7"/>
        <v>283</v>
      </c>
      <c r="AN15" s="350">
        <f t="shared" si="7"/>
        <v>349</v>
      </c>
      <c r="AO15" s="350">
        <f t="shared" si="7"/>
        <v>453</v>
      </c>
      <c r="AP15" s="350">
        <f t="shared" si="7"/>
        <v>653</v>
      </c>
      <c r="AQ15" s="350">
        <f t="shared" si="7"/>
        <v>604</v>
      </c>
      <c r="AR15" s="350">
        <f t="shared" si="7"/>
        <v>397</v>
      </c>
      <c r="AS15" s="350">
        <f t="shared" si="7"/>
        <v>339</v>
      </c>
      <c r="AT15" s="350" t="str">
        <f t="shared" si="7"/>
        <v/>
      </c>
      <c r="AU15" s="350" t="str">
        <f t="shared" si="7"/>
        <v/>
      </c>
      <c r="AV15" s="350" t="str">
        <f t="shared" si="7"/>
        <v/>
      </c>
      <c r="AW15" s="350" t="str">
        <f t="shared" si="7"/>
        <v/>
      </c>
      <c r="AX15" s="350" t="str">
        <f t="shared" si="7"/>
        <v/>
      </c>
      <c r="AY15" s="350">
        <f t="shared" ca="1" si="7"/>
        <v>1399</v>
      </c>
      <c r="AZ15" s="350">
        <f t="shared" ca="1" si="7"/>
        <v>49</v>
      </c>
      <c r="BA15" s="350">
        <f t="shared" ca="1" si="7"/>
        <v>35</v>
      </c>
      <c r="BB15" s="350">
        <f t="shared" ca="1" si="7"/>
        <v>55</v>
      </c>
      <c r="BC15" s="350">
        <f t="shared" ca="1" si="7"/>
        <v>52</v>
      </c>
      <c r="BD15" s="350">
        <f t="shared" ca="1" si="7"/>
        <v>66</v>
      </c>
      <c r="BE15" s="350">
        <f t="shared" ca="1" si="7"/>
        <v>73</v>
      </c>
      <c r="BF15" s="350">
        <f t="shared" ca="1" si="7"/>
        <v>52</v>
      </c>
      <c r="BG15" s="350">
        <f t="shared" ca="1" si="7"/>
        <v>60</v>
      </c>
      <c r="BH15" s="350" t="str">
        <f t="shared" si="7"/>
        <v/>
      </c>
      <c r="BI15" s="350" t="str">
        <f t="shared" si="7"/>
        <v/>
      </c>
      <c r="BJ15" s="350" t="str">
        <f t="shared" si="7"/>
        <v/>
      </c>
      <c r="BK15" s="350" t="str">
        <f t="shared" si="7"/>
        <v/>
      </c>
      <c r="BL15" s="350" t="str">
        <f t="shared" si="7"/>
        <v/>
      </c>
      <c r="BM15" s="350">
        <f t="shared" si="7"/>
        <v>218098.01000000004</v>
      </c>
      <c r="BN15" s="350">
        <f t="shared" si="7"/>
        <v>7695.14</v>
      </c>
      <c r="BO15" s="350">
        <f t="shared" si="7"/>
        <v>5366.15</v>
      </c>
      <c r="BP15" s="350">
        <f t="shared" si="7"/>
        <v>9791.16</v>
      </c>
      <c r="BQ15" s="350">
        <f t="shared" si="7"/>
        <v>10255.65</v>
      </c>
      <c r="BR15" s="350">
        <f t="shared" si="7"/>
        <v>11646.51</v>
      </c>
      <c r="BS15" s="350">
        <f t="shared" si="7"/>
        <v>13884.32</v>
      </c>
      <c r="BT15" s="350">
        <f t="shared" si="7"/>
        <v>9126.82</v>
      </c>
      <c r="BU15" s="350">
        <f t="shared" si="7"/>
        <v>10381.549999999999</v>
      </c>
      <c r="BV15" s="350" t="str">
        <f t="shared" si="7"/>
        <v/>
      </c>
      <c r="BW15" s="350" t="str">
        <f t="shared" si="7"/>
        <v/>
      </c>
      <c r="BX15" s="350" t="str">
        <f t="shared" si="7"/>
        <v/>
      </c>
      <c r="BY15" s="350" t="str">
        <f t="shared" si="7"/>
        <v/>
      </c>
      <c r="BZ15" s="350" t="str">
        <f t="shared" si="7"/>
        <v/>
      </c>
      <c r="CB15" s="367"/>
    </row>
    <row r="16" spans="1:80" x14ac:dyDescent="0.25">
      <c r="A16" s="356" t="str">
        <v>Hafer Al Batin</v>
      </c>
      <c r="B16" s="356">
        <f t="shared" si="8"/>
        <v>1</v>
      </c>
      <c r="C16" s="356"/>
      <c r="D16" s="357">
        <f t="shared" ca="1" si="9"/>
        <v>0.23125768127816468</v>
      </c>
      <c r="E16" s="357">
        <f t="shared" ca="1" si="10"/>
        <v>0.21472392638036811</v>
      </c>
      <c r="F16" s="357">
        <f t="shared" ca="1" si="11"/>
        <v>0.22674418604651161</v>
      </c>
      <c r="G16" s="357">
        <f t="shared" ca="1" si="12"/>
        <v>0.1497326203208556</v>
      </c>
      <c r="H16" s="357">
        <f t="shared" ca="1" si="13"/>
        <v>0.2356020942408377</v>
      </c>
      <c r="I16" s="357">
        <f t="shared" ca="1" si="14"/>
        <v>0.18685121107266436</v>
      </c>
      <c r="J16" s="357">
        <f t="shared" ca="1" si="15"/>
        <v>0.2537313432835821</v>
      </c>
      <c r="K16" s="357">
        <f t="shared" ca="1" si="16"/>
        <v>0.19545454545454546</v>
      </c>
      <c r="L16" s="357">
        <f t="shared" ca="1" si="17"/>
        <v>0.16666666666666666</v>
      </c>
      <c r="M16" s="357" t="str">
        <f t="shared" si="18"/>
        <v/>
      </c>
      <c r="N16" s="357" t="str">
        <f t="shared" si="19"/>
        <v/>
      </c>
      <c r="O16" s="357" t="str">
        <f t="shared" si="20"/>
        <v/>
      </c>
      <c r="P16" s="357" t="str">
        <f t="shared" si="21"/>
        <v/>
      </c>
      <c r="Q16" s="357" t="str">
        <f t="shared" si="22"/>
        <v/>
      </c>
      <c r="R16" s="358" cm="1">
        <f t="array" aca="1" ref="R16" ca="1">IF(OR($A16="",D16=""),"",IFERROR(LOOKUP(2,1/(E16:Q16&lt;&gt;""),E16:Q16)-D16,""))</f>
        <v>-6.4591014611498021E-2</v>
      </c>
      <c r="S16" s="349"/>
      <c r="T16" s="362">
        <f t="shared" ca="1" si="23"/>
        <v>172.31020372010627</v>
      </c>
      <c r="U16" s="362">
        <f t="shared" ca="1" si="24"/>
        <v>141.54542857142857</v>
      </c>
      <c r="V16" s="362">
        <f t="shared" ca="1" si="25"/>
        <v>147.56615384615384</v>
      </c>
      <c r="W16" s="362">
        <f t="shared" ca="1" si="26"/>
        <v>192.07714285714286</v>
      </c>
      <c r="X16" s="362">
        <f t="shared" ca="1" si="27"/>
        <v>187.03555555555556</v>
      </c>
      <c r="Y16" s="362">
        <f t="shared" ca="1" si="28"/>
        <v>249.94685185185185</v>
      </c>
      <c r="Z16" s="362">
        <f t="shared" ca="1" si="29"/>
        <v>227.67705882352942</v>
      </c>
      <c r="AA16" s="362">
        <f t="shared" ca="1" si="30"/>
        <v>217.06116279069767</v>
      </c>
      <c r="AB16" s="362">
        <f t="shared" ca="1" si="31"/>
        <v>151.94258064516129</v>
      </c>
      <c r="AC16" s="362" t="str">
        <f t="shared" si="32"/>
        <v/>
      </c>
      <c r="AD16" s="362" t="str">
        <f t="shared" si="33"/>
        <v/>
      </c>
      <c r="AE16" s="362" t="str">
        <f t="shared" si="34"/>
        <v/>
      </c>
      <c r="AF16" s="362" t="str">
        <f t="shared" si="35"/>
        <v/>
      </c>
      <c r="AG16" s="362" t="str">
        <f t="shared" si="36"/>
        <v/>
      </c>
      <c r="AH16" s="363" cm="1">
        <f t="array" aca="1" ref="AH16" ca="1">IF(OR($A16="",T16=""),"",IFERROR(LOOKUP(2,1/(U16:AG16&lt;&gt;""),U16:AG16)-T16,""))</f>
        <v>-20.367623074944987</v>
      </c>
      <c r="AI16" s="349"/>
      <c r="AJ16" s="349"/>
      <c r="AK16" s="350">
        <f t="shared" si="37"/>
        <v>4882</v>
      </c>
      <c r="AL16" s="350">
        <f t="shared" si="7"/>
        <v>163</v>
      </c>
      <c r="AM16" s="350">
        <f t="shared" si="7"/>
        <v>172</v>
      </c>
      <c r="AN16" s="350">
        <f t="shared" si="7"/>
        <v>187</v>
      </c>
      <c r="AO16" s="350">
        <f t="shared" si="7"/>
        <v>191</v>
      </c>
      <c r="AP16" s="350">
        <f t="shared" si="7"/>
        <v>289</v>
      </c>
      <c r="AQ16" s="350">
        <f t="shared" si="7"/>
        <v>268</v>
      </c>
      <c r="AR16" s="350">
        <f t="shared" si="7"/>
        <v>220</v>
      </c>
      <c r="AS16" s="350">
        <f t="shared" si="7"/>
        <v>186</v>
      </c>
      <c r="AT16" s="350" t="str">
        <f t="shared" si="7"/>
        <v/>
      </c>
      <c r="AU16" s="350" t="str">
        <f t="shared" si="7"/>
        <v/>
      </c>
      <c r="AV16" s="350" t="str">
        <f t="shared" si="7"/>
        <v/>
      </c>
      <c r="AW16" s="350" t="str">
        <f t="shared" si="7"/>
        <v/>
      </c>
      <c r="AX16" s="350" t="str">
        <f t="shared" si="7"/>
        <v/>
      </c>
      <c r="AY16" s="350">
        <f t="shared" ca="1" si="7"/>
        <v>1129</v>
      </c>
      <c r="AZ16" s="350">
        <f t="shared" ca="1" si="7"/>
        <v>35</v>
      </c>
      <c r="BA16" s="350">
        <f t="shared" ca="1" si="7"/>
        <v>39</v>
      </c>
      <c r="BB16" s="350">
        <f t="shared" ca="1" si="7"/>
        <v>28</v>
      </c>
      <c r="BC16" s="350">
        <f t="shared" ca="1" si="7"/>
        <v>45</v>
      </c>
      <c r="BD16" s="350">
        <f t="shared" ca="1" si="7"/>
        <v>54</v>
      </c>
      <c r="BE16" s="350">
        <f t="shared" ca="1" si="7"/>
        <v>68</v>
      </c>
      <c r="BF16" s="350">
        <f t="shared" ca="1" si="7"/>
        <v>43</v>
      </c>
      <c r="BG16" s="350">
        <f t="shared" ca="1" si="7"/>
        <v>31</v>
      </c>
      <c r="BH16" s="350" t="str">
        <f t="shared" si="7"/>
        <v/>
      </c>
      <c r="BI16" s="350" t="str">
        <f t="shared" si="7"/>
        <v/>
      </c>
      <c r="BJ16" s="350" t="str">
        <f t="shared" si="7"/>
        <v/>
      </c>
      <c r="BK16" s="350" t="str">
        <f t="shared" si="7"/>
        <v/>
      </c>
      <c r="BL16" s="350" t="str">
        <f t="shared" si="7"/>
        <v/>
      </c>
      <c r="BM16" s="350">
        <f t="shared" si="7"/>
        <v>194538.21999999997</v>
      </c>
      <c r="BN16" s="350">
        <f t="shared" si="7"/>
        <v>4954.09</v>
      </c>
      <c r="BO16" s="350">
        <f t="shared" si="7"/>
        <v>5755.08</v>
      </c>
      <c r="BP16" s="350">
        <f t="shared" si="7"/>
        <v>5378.16</v>
      </c>
      <c r="BQ16" s="350">
        <f t="shared" si="7"/>
        <v>8416.6</v>
      </c>
      <c r="BR16" s="350">
        <f t="shared" si="7"/>
        <v>13497.13</v>
      </c>
      <c r="BS16" s="350">
        <f t="shared" si="7"/>
        <v>15482.04</v>
      </c>
      <c r="BT16" s="350">
        <f t="shared" si="7"/>
        <v>9333.6299999999992</v>
      </c>
      <c r="BU16" s="350">
        <f t="shared" si="7"/>
        <v>4710.22</v>
      </c>
      <c r="BV16" s="350" t="str">
        <f t="shared" si="7"/>
        <v/>
      </c>
      <c r="BW16" s="350" t="str">
        <f t="shared" si="7"/>
        <v/>
      </c>
      <c r="BX16" s="350" t="str">
        <f t="shared" si="7"/>
        <v/>
      </c>
      <c r="BY16" s="350" t="str">
        <f t="shared" si="7"/>
        <v/>
      </c>
      <c r="BZ16" s="350" t="str">
        <f t="shared" si="7"/>
        <v/>
      </c>
      <c r="CB16" s="367"/>
    </row>
    <row r="17" spans="1:80" x14ac:dyDescent="0.25">
      <c r="A17" s="356" t="str">
        <v>Hail</v>
      </c>
      <c r="B17" s="356">
        <f t="shared" si="8"/>
        <v>1</v>
      </c>
      <c r="C17" s="356"/>
      <c r="D17" s="357">
        <f t="shared" ca="1" si="9"/>
        <v>0.12222746578574799</v>
      </c>
      <c r="E17" s="357">
        <f t="shared" ca="1" si="10"/>
        <v>0.19130434782608696</v>
      </c>
      <c r="F17" s="357">
        <f t="shared" ca="1" si="11"/>
        <v>0.11016949152542373</v>
      </c>
      <c r="G17" s="357">
        <f t="shared" ca="1" si="12"/>
        <v>8.2758620689655171E-2</v>
      </c>
      <c r="H17" s="357">
        <f t="shared" ca="1" si="13"/>
        <v>7.5999999999999998E-2</v>
      </c>
      <c r="I17" s="357">
        <f t="shared" ca="1" si="14"/>
        <v>9.2307692307692313E-2</v>
      </c>
      <c r="J17" s="357">
        <f t="shared" ca="1" si="15"/>
        <v>8.6124401913875603E-2</v>
      </c>
      <c r="K17" s="357">
        <f t="shared" ca="1" si="16"/>
        <v>0.12105263157894737</v>
      </c>
      <c r="L17" s="357">
        <f t="shared" ca="1" si="17"/>
        <v>8.3916083916083919E-2</v>
      </c>
      <c r="M17" s="357" t="str">
        <f t="shared" si="18"/>
        <v/>
      </c>
      <c r="N17" s="357" t="str">
        <f t="shared" si="19"/>
        <v/>
      </c>
      <c r="O17" s="357" t="str">
        <f t="shared" si="20"/>
        <v/>
      </c>
      <c r="P17" s="357" t="str">
        <f t="shared" si="21"/>
        <v/>
      </c>
      <c r="Q17" s="357" t="str">
        <f t="shared" si="22"/>
        <v/>
      </c>
      <c r="R17" s="358" cm="1">
        <f t="array" aca="1" ref="R17" ca="1">IF(OR($A17="",D17=""),"",IFERROR(LOOKUP(2,1/(E17:Q17&lt;&gt;""),E17:Q17)-D17,""))</f>
        <v>-3.8311381869664068E-2</v>
      </c>
      <c r="S17" s="349"/>
      <c r="T17" s="362">
        <f t="shared" ca="1" si="23"/>
        <v>138.88256756756758</v>
      </c>
      <c r="U17" s="362">
        <f t="shared" ca="1" si="24"/>
        <v>157.63863636363638</v>
      </c>
      <c r="V17" s="362">
        <f t="shared" ca="1" si="25"/>
        <v>271.69153846153847</v>
      </c>
      <c r="W17" s="362">
        <f t="shared" ca="1" si="26"/>
        <v>149.58416666666668</v>
      </c>
      <c r="X17" s="362">
        <f t="shared" ca="1" si="27"/>
        <v>217.83</v>
      </c>
      <c r="Y17" s="362">
        <f t="shared" ca="1" si="28"/>
        <v>180.49458333333334</v>
      </c>
      <c r="Z17" s="362">
        <f t="shared" ca="1" si="29"/>
        <v>193.49555555555557</v>
      </c>
      <c r="AA17" s="362">
        <f t="shared" ca="1" si="30"/>
        <v>242.5204347826087</v>
      </c>
      <c r="AB17" s="362">
        <f t="shared" ca="1" si="31"/>
        <v>163.09</v>
      </c>
      <c r="AC17" s="362" t="str">
        <f t="shared" si="32"/>
        <v/>
      </c>
      <c r="AD17" s="362" t="str">
        <f t="shared" si="33"/>
        <v/>
      </c>
      <c r="AE17" s="362" t="str">
        <f t="shared" si="34"/>
        <v/>
      </c>
      <c r="AF17" s="362" t="str">
        <f t="shared" si="35"/>
        <v/>
      </c>
      <c r="AG17" s="362" t="str">
        <f t="shared" si="36"/>
        <v/>
      </c>
      <c r="AH17" s="363" cm="1">
        <f t="array" aca="1" ref="AH17" ca="1">IF(OR($A17="",T17=""),"",IFERROR(LOOKUP(2,1/(U17:AG17&lt;&gt;""),U17:AG17)-T17,""))</f>
        <v>24.207432432432427</v>
      </c>
      <c r="AI17" s="349"/>
      <c r="AJ17" s="349"/>
      <c r="AK17" s="350">
        <f t="shared" si="37"/>
        <v>4238</v>
      </c>
      <c r="AL17" s="350">
        <f t="shared" si="7"/>
        <v>115</v>
      </c>
      <c r="AM17" s="350">
        <f t="shared" si="7"/>
        <v>118</v>
      </c>
      <c r="AN17" s="350">
        <f t="shared" si="7"/>
        <v>145</v>
      </c>
      <c r="AO17" s="350">
        <f t="shared" si="7"/>
        <v>250</v>
      </c>
      <c r="AP17" s="350">
        <f t="shared" si="7"/>
        <v>260</v>
      </c>
      <c r="AQ17" s="350">
        <f t="shared" si="7"/>
        <v>209</v>
      </c>
      <c r="AR17" s="350">
        <f t="shared" si="7"/>
        <v>190</v>
      </c>
      <c r="AS17" s="350">
        <f t="shared" si="7"/>
        <v>143</v>
      </c>
      <c r="AT17" s="350" t="str">
        <f t="shared" si="7"/>
        <v/>
      </c>
      <c r="AU17" s="350" t="str">
        <f t="shared" ref="AU17:BJ40" si="38">IF(OR($A17="",AU$6=""),"",SUMIFS(AU$46:AU$145,$C$46:$C$145,$A17))</f>
        <v/>
      </c>
      <c r="AV17" s="350" t="str">
        <f t="shared" si="38"/>
        <v/>
      </c>
      <c r="AW17" s="350" t="str">
        <f t="shared" si="38"/>
        <v/>
      </c>
      <c r="AX17" s="350" t="str">
        <f t="shared" si="38"/>
        <v/>
      </c>
      <c r="AY17" s="350">
        <f t="shared" ca="1" si="38"/>
        <v>518</v>
      </c>
      <c r="AZ17" s="350">
        <f t="shared" ca="1" si="38"/>
        <v>22</v>
      </c>
      <c r="BA17" s="350">
        <f t="shared" ca="1" si="38"/>
        <v>13</v>
      </c>
      <c r="BB17" s="350">
        <f t="shared" ca="1" si="38"/>
        <v>12</v>
      </c>
      <c r="BC17" s="350">
        <f t="shared" ca="1" si="38"/>
        <v>19</v>
      </c>
      <c r="BD17" s="350">
        <f t="shared" ca="1" si="38"/>
        <v>24</v>
      </c>
      <c r="BE17" s="350">
        <f t="shared" ca="1" si="38"/>
        <v>18</v>
      </c>
      <c r="BF17" s="350">
        <f t="shared" ca="1" si="38"/>
        <v>23</v>
      </c>
      <c r="BG17" s="350">
        <f t="shared" ca="1" si="38"/>
        <v>12</v>
      </c>
      <c r="BH17" s="350" t="str">
        <f t="shared" si="38"/>
        <v/>
      </c>
      <c r="BI17" s="350" t="str">
        <f t="shared" si="38"/>
        <v/>
      </c>
      <c r="BJ17" s="350" t="str">
        <f t="shared" si="38"/>
        <v/>
      </c>
      <c r="BK17" s="350" t="str">
        <f t="shared" ref="BK17:BZ32" si="39">IF(OR($A17="",BK$6=""),"",SUMIFS(BK$46:BK$145,$C$46:$C$145,$A17))</f>
        <v/>
      </c>
      <c r="BL17" s="350" t="str">
        <f t="shared" si="39"/>
        <v/>
      </c>
      <c r="BM17" s="350">
        <f t="shared" si="39"/>
        <v>71941.17</v>
      </c>
      <c r="BN17" s="350">
        <f t="shared" si="39"/>
        <v>3468.05</v>
      </c>
      <c r="BO17" s="350">
        <f t="shared" si="39"/>
        <v>3531.99</v>
      </c>
      <c r="BP17" s="350">
        <f t="shared" si="39"/>
        <v>1795.01</v>
      </c>
      <c r="BQ17" s="350">
        <f t="shared" si="39"/>
        <v>4138.7700000000004</v>
      </c>
      <c r="BR17" s="350">
        <f t="shared" si="39"/>
        <v>4331.87</v>
      </c>
      <c r="BS17" s="350">
        <f t="shared" si="39"/>
        <v>3482.92</v>
      </c>
      <c r="BT17" s="350">
        <f t="shared" si="39"/>
        <v>5577.97</v>
      </c>
      <c r="BU17" s="350">
        <f t="shared" si="39"/>
        <v>1957.08</v>
      </c>
      <c r="BV17" s="350" t="str">
        <f t="shared" si="39"/>
        <v/>
      </c>
      <c r="BW17" s="350" t="str">
        <f t="shared" si="39"/>
        <v/>
      </c>
      <c r="BX17" s="350" t="str">
        <f t="shared" si="39"/>
        <v/>
      </c>
      <c r="BY17" s="350" t="str">
        <f t="shared" si="39"/>
        <v/>
      </c>
      <c r="BZ17" s="350" t="str">
        <f t="shared" si="39"/>
        <v/>
      </c>
      <c r="CB17" s="367"/>
    </row>
    <row r="18" spans="1:80" x14ac:dyDescent="0.25">
      <c r="A18" s="356" t="str">
        <v>Jeddah</v>
      </c>
      <c r="B18" s="356">
        <f t="shared" si="8"/>
        <v>13</v>
      </c>
      <c r="C18" s="356"/>
      <c r="D18" s="357">
        <f t="shared" ca="1" si="9"/>
        <v>0.18538528202386001</v>
      </c>
      <c r="E18" s="357">
        <f t="shared" ca="1" si="10"/>
        <v>0.17138193688792167</v>
      </c>
      <c r="F18" s="357">
        <f t="shared" ca="1" si="11"/>
        <v>0.17026239067055393</v>
      </c>
      <c r="G18" s="357">
        <f t="shared" ca="1" si="12"/>
        <v>0.1494435612082671</v>
      </c>
      <c r="H18" s="357">
        <f t="shared" ca="1" si="13"/>
        <v>0.11687500000000001</v>
      </c>
      <c r="I18" s="357">
        <f t="shared" ca="1" si="14"/>
        <v>0.12792561718499518</v>
      </c>
      <c r="J18" s="357">
        <f t="shared" ca="1" si="15"/>
        <v>0.13870967741935483</v>
      </c>
      <c r="K18" s="357">
        <f t="shared" ca="1" si="16"/>
        <v>0.14379699248120301</v>
      </c>
      <c r="L18" s="357">
        <f t="shared" ca="1" si="17"/>
        <v>0.15135422198619225</v>
      </c>
      <c r="M18" s="357" t="str">
        <f t="shared" si="18"/>
        <v/>
      </c>
      <c r="N18" s="357" t="str">
        <f t="shared" si="19"/>
        <v/>
      </c>
      <c r="O18" s="357" t="str">
        <f t="shared" si="20"/>
        <v/>
      </c>
      <c r="P18" s="357" t="str">
        <f t="shared" si="21"/>
        <v/>
      </c>
      <c r="Q18" s="357" t="str">
        <f t="shared" si="22"/>
        <v/>
      </c>
      <c r="R18" s="358" cm="1">
        <f t="array" aca="1" ref="R18" ca="1">IF(OR($A18="",D18=""),"",IFERROR(LOOKUP(2,1/(E18:Q18&lt;&gt;""),E18:Q18)-D18,""))</f>
        <v>-3.403106003766776E-2</v>
      </c>
      <c r="S18" s="349"/>
      <c r="T18" s="362">
        <f t="shared" ca="1" si="23"/>
        <v>145.72863039586233</v>
      </c>
      <c r="U18" s="362">
        <f t="shared" ca="1" si="24"/>
        <v>138.01222222222219</v>
      </c>
      <c r="V18" s="362">
        <f t="shared" ca="1" si="25"/>
        <v>174.21008670520231</v>
      </c>
      <c r="W18" s="362">
        <f t="shared" ca="1" si="26"/>
        <v>162.30916666666664</v>
      </c>
      <c r="X18" s="362">
        <f t="shared" ca="1" si="27"/>
        <v>150.84171232876713</v>
      </c>
      <c r="Y18" s="362">
        <f t="shared" ca="1" si="28"/>
        <v>158.32171974522296</v>
      </c>
      <c r="Z18" s="362">
        <f t="shared" ca="1" si="29"/>
        <v>181.245</v>
      </c>
      <c r="AA18" s="362">
        <f t="shared" ca="1" si="30"/>
        <v>149.33194366197185</v>
      </c>
      <c r="AB18" s="362">
        <f t="shared" ca="1" si="31"/>
        <v>173.6349696969697</v>
      </c>
      <c r="AC18" s="362" t="str">
        <f t="shared" si="32"/>
        <v/>
      </c>
      <c r="AD18" s="362" t="str">
        <f t="shared" si="33"/>
        <v/>
      </c>
      <c r="AE18" s="362" t="str">
        <f t="shared" si="34"/>
        <v/>
      </c>
      <c r="AF18" s="362" t="str">
        <f t="shared" si="35"/>
        <v/>
      </c>
      <c r="AG18" s="362" t="str">
        <f t="shared" si="36"/>
        <v/>
      </c>
      <c r="AH18" s="363" cm="1">
        <f t="array" aca="1" ref="AH18" ca="1">IF(OR($A18="",T18=""),"",IFERROR(LOOKUP(2,1/(U18:AG18&lt;&gt;""),U18:AG18)-T18,""))</f>
        <v>27.90633930110738</v>
      </c>
      <c r="AI18" s="349"/>
      <c r="AJ18" s="349"/>
      <c r="AK18" s="350">
        <f t="shared" si="37"/>
        <v>54233</v>
      </c>
      <c r="AL18" s="350">
        <f t="shared" si="37"/>
        <v>1838</v>
      </c>
      <c r="AM18" s="350">
        <f t="shared" si="37"/>
        <v>1715</v>
      </c>
      <c r="AN18" s="350">
        <f t="shared" si="37"/>
        <v>1887</v>
      </c>
      <c r="AO18" s="350">
        <f t="shared" si="37"/>
        <v>3200</v>
      </c>
      <c r="AP18" s="350">
        <f t="shared" si="37"/>
        <v>3119</v>
      </c>
      <c r="AQ18" s="350">
        <f t="shared" si="37"/>
        <v>2790</v>
      </c>
      <c r="AR18" s="350">
        <f t="shared" si="37"/>
        <v>2128</v>
      </c>
      <c r="AS18" s="350">
        <f t="shared" si="37"/>
        <v>1883</v>
      </c>
      <c r="AT18" s="350" t="str">
        <f t="shared" si="37"/>
        <v/>
      </c>
      <c r="AU18" s="350" t="str">
        <f t="shared" si="37"/>
        <v/>
      </c>
      <c r="AV18" s="350" t="str">
        <f t="shared" si="37"/>
        <v/>
      </c>
      <c r="AW18" s="350" t="str">
        <f t="shared" si="37"/>
        <v/>
      </c>
      <c r="AX18" s="350" t="str">
        <f t="shared" si="37"/>
        <v/>
      </c>
      <c r="AY18" s="350">
        <f t="shared" ca="1" si="37"/>
        <v>10054</v>
      </c>
      <c r="AZ18" s="350">
        <f t="shared" ca="1" si="37"/>
        <v>315</v>
      </c>
      <c r="BA18" s="350">
        <f t="shared" ca="1" si="38"/>
        <v>346</v>
      </c>
      <c r="BB18" s="350">
        <f t="shared" ca="1" si="38"/>
        <v>336</v>
      </c>
      <c r="BC18" s="350">
        <f t="shared" ca="1" si="38"/>
        <v>438</v>
      </c>
      <c r="BD18" s="350">
        <f t="shared" ca="1" si="38"/>
        <v>471</v>
      </c>
      <c r="BE18" s="350">
        <f t="shared" ca="1" si="38"/>
        <v>442</v>
      </c>
      <c r="BF18" s="350">
        <f t="shared" ca="1" si="38"/>
        <v>355</v>
      </c>
      <c r="BG18" s="350">
        <f t="shared" ca="1" si="38"/>
        <v>330</v>
      </c>
      <c r="BH18" s="350" t="str">
        <f t="shared" si="38"/>
        <v/>
      </c>
      <c r="BI18" s="350" t="str">
        <f t="shared" si="38"/>
        <v/>
      </c>
      <c r="BJ18" s="350" t="str">
        <f t="shared" si="38"/>
        <v/>
      </c>
      <c r="BK18" s="350" t="str">
        <f t="shared" si="39"/>
        <v/>
      </c>
      <c r="BL18" s="350" t="str">
        <f t="shared" si="39"/>
        <v/>
      </c>
      <c r="BM18" s="350">
        <f t="shared" si="39"/>
        <v>1465155.65</v>
      </c>
      <c r="BN18" s="350">
        <f t="shared" si="39"/>
        <v>43473.849999999991</v>
      </c>
      <c r="BO18" s="350">
        <f t="shared" si="39"/>
        <v>60276.69</v>
      </c>
      <c r="BP18" s="350">
        <f t="shared" si="39"/>
        <v>54535.87999999999</v>
      </c>
      <c r="BQ18" s="350">
        <f t="shared" si="39"/>
        <v>66068.67</v>
      </c>
      <c r="BR18" s="350">
        <f t="shared" si="39"/>
        <v>74569.530000000013</v>
      </c>
      <c r="BS18" s="350">
        <f t="shared" si="39"/>
        <v>80110.290000000008</v>
      </c>
      <c r="BT18" s="350">
        <f t="shared" si="39"/>
        <v>53012.840000000011</v>
      </c>
      <c r="BU18" s="350">
        <f t="shared" si="39"/>
        <v>57299.54</v>
      </c>
      <c r="BV18" s="350" t="str">
        <f t="shared" si="39"/>
        <v/>
      </c>
      <c r="BW18" s="350" t="str">
        <f t="shared" si="39"/>
        <v/>
      </c>
      <c r="BX18" s="350" t="str">
        <f t="shared" si="39"/>
        <v/>
      </c>
      <c r="BY18" s="350" t="str">
        <f t="shared" si="39"/>
        <v/>
      </c>
      <c r="BZ18" s="350" t="str">
        <f t="shared" si="39"/>
        <v/>
      </c>
      <c r="CB18" s="367"/>
    </row>
    <row r="19" spans="1:80" x14ac:dyDescent="0.25">
      <c r="A19" s="356" t="str">
        <v>Jizan</v>
      </c>
      <c r="B19" s="356">
        <f t="shared" si="8"/>
        <v>3</v>
      </c>
      <c r="C19" s="356"/>
      <c r="D19" s="357">
        <f t="shared" ca="1" si="9"/>
        <v>0.1689274580840846</v>
      </c>
      <c r="E19" s="357">
        <f t="shared" ca="1" si="10"/>
        <v>0.17027863777089783</v>
      </c>
      <c r="F19" s="357">
        <f t="shared" ca="1" si="11"/>
        <v>0.13238770685579196</v>
      </c>
      <c r="G19" s="357">
        <f t="shared" ca="1" si="12"/>
        <v>0.14888337468982629</v>
      </c>
      <c r="H19" s="357">
        <f t="shared" ca="1" si="13"/>
        <v>0.10859728506787331</v>
      </c>
      <c r="I19" s="357">
        <f t="shared" ca="1" si="14"/>
        <v>0.12005649717514125</v>
      </c>
      <c r="J19" s="357">
        <f t="shared" ca="1" si="15"/>
        <v>0.14228456913827656</v>
      </c>
      <c r="K19" s="357">
        <f t="shared" ca="1" si="16"/>
        <v>0.17231638418079095</v>
      </c>
      <c r="L19" s="357">
        <f t="shared" ca="1" si="17"/>
        <v>0.16480446927374301</v>
      </c>
      <c r="M19" s="357" t="str">
        <f t="shared" si="18"/>
        <v/>
      </c>
      <c r="N19" s="357" t="str">
        <f t="shared" si="19"/>
        <v/>
      </c>
      <c r="O19" s="357" t="str">
        <f t="shared" si="20"/>
        <v/>
      </c>
      <c r="P19" s="357" t="str">
        <f t="shared" si="21"/>
        <v/>
      </c>
      <c r="Q19" s="357" t="str">
        <f t="shared" si="22"/>
        <v/>
      </c>
      <c r="R19" s="358" cm="1">
        <f t="array" aca="1" ref="R19" ca="1">IF(OR($A19="",D19=""),"",IFERROR(LOOKUP(2,1/(E19:Q19&lt;&gt;""),E19:Q19)-D19,""))</f>
        <v>-4.1229888103415935E-3</v>
      </c>
      <c r="S19" s="349"/>
      <c r="T19" s="362">
        <f t="shared" ca="1" si="23"/>
        <v>142.16059850374066</v>
      </c>
      <c r="U19" s="362">
        <f t="shared" ca="1" si="24"/>
        <v>129.27327272727274</v>
      </c>
      <c r="V19" s="362">
        <f t="shared" ca="1" si="25"/>
        <v>166.44785714285715</v>
      </c>
      <c r="W19" s="362">
        <f t="shared" ca="1" si="26"/>
        <v>146.45150000000001</v>
      </c>
      <c r="X19" s="362">
        <f t="shared" ca="1" si="27"/>
        <v>154.20249999999999</v>
      </c>
      <c r="Y19" s="362">
        <f t="shared" ca="1" si="28"/>
        <v>167.0838823529412</v>
      </c>
      <c r="Z19" s="362">
        <f t="shared" ca="1" si="29"/>
        <v>180.11788732394371</v>
      </c>
      <c r="AA19" s="362">
        <f t="shared" ca="1" si="30"/>
        <v>180.61885245901638</v>
      </c>
      <c r="AB19" s="362">
        <f t="shared" ca="1" si="31"/>
        <v>156.46694915254236</v>
      </c>
      <c r="AC19" s="362" t="str">
        <f t="shared" si="32"/>
        <v/>
      </c>
      <c r="AD19" s="362" t="str">
        <f t="shared" si="33"/>
        <v/>
      </c>
      <c r="AE19" s="362" t="str">
        <f t="shared" si="34"/>
        <v/>
      </c>
      <c r="AF19" s="362" t="str">
        <f t="shared" si="35"/>
        <v/>
      </c>
      <c r="AG19" s="362" t="str">
        <f t="shared" si="36"/>
        <v/>
      </c>
      <c r="AH19" s="363" cm="1">
        <f t="array" aca="1" ref="AH19" ca="1">IF(OR($A19="",T19=""),"",IFERROR(LOOKUP(2,1/(U19:AG19&lt;&gt;""),U19:AG19)-T19,""))</f>
        <v>14.306350648801697</v>
      </c>
      <c r="AI19" s="349"/>
      <c r="AJ19" s="349"/>
      <c r="AK19" s="350">
        <f t="shared" si="37"/>
        <v>11869</v>
      </c>
      <c r="AL19" s="350">
        <f t="shared" si="37"/>
        <v>323</v>
      </c>
      <c r="AM19" s="350">
        <f t="shared" si="37"/>
        <v>423</v>
      </c>
      <c r="AN19" s="350">
        <f t="shared" si="37"/>
        <v>403</v>
      </c>
      <c r="AO19" s="350">
        <f t="shared" si="37"/>
        <v>663</v>
      </c>
      <c r="AP19" s="350">
        <f t="shared" si="37"/>
        <v>708</v>
      </c>
      <c r="AQ19" s="350">
        <f t="shared" si="37"/>
        <v>499</v>
      </c>
      <c r="AR19" s="350">
        <f t="shared" si="37"/>
        <v>354</v>
      </c>
      <c r="AS19" s="350">
        <f t="shared" si="37"/>
        <v>358</v>
      </c>
      <c r="AT19" s="350" t="str">
        <f t="shared" si="37"/>
        <v/>
      </c>
      <c r="AU19" s="350" t="str">
        <f t="shared" si="37"/>
        <v/>
      </c>
      <c r="AV19" s="350" t="str">
        <f t="shared" si="37"/>
        <v/>
      </c>
      <c r="AW19" s="350" t="str">
        <f t="shared" si="37"/>
        <v/>
      </c>
      <c r="AX19" s="350" t="str">
        <f t="shared" si="37"/>
        <v/>
      </c>
      <c r="AY19" s="350">
        <f t="shared" ca="1" si="37"/>
        <v>2005</v>
      </c>
      <c r="AZ19" s="350">
        <f t="shared" ca="1" si="37"/>
        <v>55</v>
      </c>
      <c r="BA19" s="350">
        <f t="shared" ca="1" si="38"/>
        <v>56</v>
      </c>
      <c r="BB19" s="350">
        <f t="shared" ca="1" si="38"/>
        <v>60</v>
      </c>
      <c r="BC19" s="350">
        <f t="shared" ca="1" si="38"/>
        <v>72</v>
      </c>
      <c r="BD19" s="350">
        <f t="shared" ca="1" si="38"/>
        <v>85</v>
      </c>
      <c r="BE19" s="350">
        <f t="shared" ca="1" si="38"/>
        <v>71</v>
      </c>
      <c r="BF19" s="350">
        <f t="shared" ca="1" si="38"/>
        <v>61</v>
      </c>
      <c r="BG19" s="350">
        <f t="shared" ca="1" si="38"/>
        <v>59</v>
      </c>
      <c r="BH19" s="350" t="str">
        <f t="shared" si="38"/>
        <v/>
      </c>
      <c r="BI19" s="350" t="str">
        <f t="shared" si="38"/>
        <v/>
      </c>
      <c r="BJ19" s="350" t="str">
        <f t="shared" si="38"/>
        <v/>
      </c>
      <c r="BK19" s="350" t="str">
        <f t="shared" si="39"/>
        <v/>
      </c>
      <c r="BL19" s="350" t="str">
        <f t="shared" si="39"/>
        <v/>
      </c>
      <c r="BM19" s="350">
        <f t="shared" si="39"/>
        <v>285032</v>
      </c>
      <c r="BN19" s="350">
        <f t="shared" si="39"/>
        <v>7110.0300000000007</v>
      </c>
      <c r="BO19" s="350">
        <f t="shared" si="39"/>
        <v>9321.08</v>
      </c>
      <c r="BP19" s="350">
        <f t="shared" si="39"/>
        <v>8787.09</v>
      </c>
      <c r="BQ19" s="350">
        <f t="shared" si="39"/>
        <v>11102.58</v>
      </c>
      <c r="BR19" s="350">
        <f t="shared" si="39"/>
        <v>14202.130000000001</v>
      </c>
      <c r="BS19" s="350">
        <f t="shared" si="39"/>
        <v>12788.370000000003</v>
      </c>
      <c r="BT19" s="350">
        <f t="shared" si="39"/>
        <v>11017.75</v>
      </c>
      <c r="BU19" s="350">
        <f t="shared" si="39"/>
        <v>9231.5499999999993</v>
      </c>
      <c r="BV19" s="350" t="str">
        <f t="shared" si="39"/>
        <v/>
      </c>
      <c r="BW19" s="350" t="str">
        <f t="shared" si="39"/>
        <v/>
      </c>
      <c r="BX19" s="350" t="str">
        <f t="shared" si="39"/>
        <v/>
      </c>
      <c r="BY19" s="350" t="str">
        <f t="shared" si="39"/>
        <v/>
      </c>
      <c r="BZ19" s="350" t="str">
        <f t="shared" si="39"/>
        <v/>
      </c>
      <c r="CB19" s="367"/>
    </row>
    <row r="20" spans="1:80" x14ac:dyDescent="0.25">
      <c r="A20" s="356" t="str">
        <v>Jubail</v>
      </c>
      <c r="B20" s="356">
        <f t="shared" si="8"/>
        <v>2</v>
      </c>
      <c r="C20" s="356"/>
      <c r="D20" s="357">
        <f t="shared" ca="1" si="9"/>
        <v>0.16347804758400786</v>
      </c>
      <c r="E20" s="357">
        <f t="shared" ca="1" si="10"/>
        <v>0.20535714285714285</v>
      </c>
      <c r="F20" s="357">
        <f t="shared" ca="1" si="11"/>
        <v>0.15849056603773584</v>
      </c>
      <c r="G20" s="357">
        <f t="shared" ca="1" si="12"/>
        <v>0.15112540192926044</v>
      </c>
      <c r="H20" s="357">
        <f t="shared" ca="1" si="13"/>
        <v>0.15990453460620524</v>
      </c>
      <c r="I20" s="357">
        <f t="shared" ca="1" si="14"/>
        <v>0.12037037037037036</v>
      </c>
      <c r="J20" s="357">
        <f t="shared" ca="1" si="15"/>
        <v>0.13212435233160622</v>
      </c>
      <c r="K20" s="357">
        <f t="shared" ca="1" si="16"/>
        <v>0.12222222222222222</v>
      </c>
      <c r="L20" s="357">
        <f t="shared" ca="1" si="17"/>
        <v>0.19101123595505617</v>
      </c>
      <c r="M20" s="357" t="str">
        <f t="shared" si="18"/>
        <v/>
      </c>
      <c r="N20" s="357" t="str">
        <f t="shared" si="19"/>
        <v/>
      </c>
      <c r="O20" s="357" t="str">
        <f t="shared" si="20"/>
        <v/>
      </c>
      <c r="P20" s="357" t="str">
        <f t="shared" si="21"/>
        <v/>
      </c>
      <c r="Q20" s="357" t="str">
        <f t="shared" si="22"/>
        <v/>
      </c>
      <c r="R20" s="358" cm="1">
        <f t="array" aca="1" ref="R20" ca="1">IF(OR($A20="",D20=""),"",IFERROR(LOOKUP(2,1/(E20:Q20&lt;&gt;""),E20:Q20)-D20,""))</f>
        <v>2.7533188371048317E-2</v>
      </c>
      <c r="S20" s="349"/>
      <c r="T20" s="362">
        <f t="shared" ca="1" si="23"/>
        <v>134.59203300825206</v>
      </c>
      <c r="U20" s="362">
        <f t="shared" ca="1" si="24"/>
        <v>138.08913043478262</v>
      </c>
      <c r="V20" s="362">
        <f t="shared" ca="1" si="25"/>
        <v>122.66976190476191</v>
      </c>
      <c r="W20" s="362">
        <f t="shared" ca="1" si="26"/>
        <v>134.93787234042554</v>
      </c>
      <c r="X20" s="362">
        <f t="shared" ca="1" si="27"/>
        <v>139.57805970149252</v>
      </c>
      <c r="Y20" s="362">
        <f t="shared" ca="1" si="28"/>
        <v>130.54474358974358</v>
      </c>
      <c r="Z20" s="362">
        <f t="shared" ca="1" si="29"/>
        <v>181.63647058823528</v>
      </c>
      <c r="AA20" s="362">
        <f t="shared" ca="1" si="30"/>
        <v>145.74777777777777</v>
      </c>
      <c r="AB20" s="362">
        <f t="shared" ca="1" si="31"/>
        <v>155.00983050847458</v>
      </c>
      <c r="AC20" s="362" t="str">
        <f t="shared" si="32"/>
        <v/>
      </c>
      <c r="AD20" s="362" t="str">
        <f t="shared" si="33"/>
        <v/>
      </c>
      <c r="AE20" s="362" t="str">
        <f t="shared" si="34"/>
        <v/>
      </c>
      <c r="AF20" s="362" t="str">
        <f t="shared" si="35"/>
        <v/>
      </c>
      <c r="AG20" s="362" t="str">
        <f t="shared" si="36"/>
        <v/>
      </c>
      <c r="AH20" s="363" cm="1">
        <f t="array" aca="1" ref="AH20" ca="1">IF(OR($A20="",T20=""),"",IFERROR(LOOKUP(2,1/(U20:AG20&lt;&gt;""),U20:AG20)-T20,""))</f>
        <v>20.41779750022252</v>
      </c>
      <c r="AI20" s="349"/>
      <c r="AJ20" s="349"/>
      <c r="AK20" s="350">
        <f t="shared" si="37"/>
        <v>8154</v>
      </c>
      <c r="AL20" s="350">
        <f t="shared" si="37"/>
        <v>224</v>
      </c>
      <c r="AM20" s="350">
        <f t="shared" si="37"/>
        <v>265</v>
      </c>
      <c r="AN20" s="350">
        <f t="shared" si="37"/>
        <v>311</v>
      </c>
      <c r="AO20" s="350">
        <f t="shared" si="37"/>
        <v>419</v>
      </c>
      <c r="AP20" s="350">
        <f t="shared" si="37"/>
        <v>648</v>
      </c>
      <c r="AQ20" s="350">
        <f t="shared" si="37"/>
        <v>386</v>
      </c>
      <c r="AR20" s="350">
        <f t="shared" si="37"/>
        <v>90</v>
      </c>
      <c r="AS20" s="350">
        <f t="shared" si="37"/>
        <v>89</v>
      </c>
      <c r="AT20" s="350" t="str">
        <f t="shared" si="37"/>
        <v/>
      </c>
      <c r="AU20" s="350" t="str">
        <f t="shared" si="37"/>
        <v/>
      </c>
      <c r="AV20" s="350" t="str">
        <f t="shared" si="37"/>
        <v/>
      </c>
      <c r="AW20" s="350" t="str">
        <f t="shared" si="37"/>
        <v/>
      </c>
      <c r="AX20" s="350" t="str">
        <f t="shared" si="37"/>
        <v/>
      </c>
      <c r="AY20" s="350">
        <f t="shared" ca="1" si="37"/>
        <v>1333</v>
      </c>
      <c r="AZ20" s="350">
        <f t="shared" ca="1" si="37"/>
        <v>46</v>
      </c>
      <c r="BA20" s="350">
        <f t="shared" ca="1" si="38"/>
        <v>42</v>
      </c>
      <c r="BB20" s="350">
        <f t="shared" ca="1" si="38"/>
        <v>47</v>
      </c>
      <c r="BC20" s="350">
        <f t="shared" ca="1" si="38"/>
        <v>67</v>
      </c>
      <c r="BD20" s="350">
        <f t="shared" ca="1" si="38"/>
        <v>78</v>
      </c>
      <c r="BE20" s="350">
        <f t="shared" ca="1" si="38"/>
        <v>51</v>
      </c>
      <c r="BF20" s="350">
        <f t="shared" ca="1" si="38"/>
        <v>45</v>
      </c>
      <c r="BG20" s="350">
        <f t="shared" ca="1" si="38"/>
        <v>59</v>
      </c>
      <c r="BH20" s="350" t="str">
        <f t="shared" si="38"/>
        <v/>
      </c>
      <c r="BI20" s="350" t="str">
        <f t="shared" si="38"/>
        <v/>
      </c>
      <c r="BJ20" s="350" t="str">
        <f t="shared" si="38"/>
        <v/>
      </c>
      <c r="BK20" s="350" t="str">
        <f t="shared" si="39"/>
        <v/>
      </c>
      <c r="BL20" s="350" t="str">
        <f t="shared" si="39"/>
        <v/>
      </c>
      <c r="BM20" s="350">
        <f t="shared" si="39"/>
        <v>179411.18</v>
      </c>
      <c r="BN20" s="350">
        <f t="shared" si="39"/>
        <v>6352.1</v>
      </c>
      <c r="BO20" s="350">
        <f t="shared" si="39"/>
        <v>5152.13</v>
      </c>
      <c r="BP20" s="350">
        <f t="shared" si="39"/>
        <v>6342.08</v>
      </c>
      <c r="BQ20" s="350">
        <f t="shared" si="39"/>
        <v>9351.73</v>
      </c>
      <c r="BR20" s="350">
        <f t="shared" si="39"/>
        <v>10182.49</v>
      </c>
      <c r="BS20" s="350">
        <f t="shared" si="39"/>
        <v>9263.4599999999991</v>
      </c>
      <c r="BT20" s="350">
        <f t="shared" si="39"/>
        <v>6558.65</v>
      </c>
      <c r="BU20" s="350">
        <f t="shared" si="39"/>
        <v>9145.58</v>
      </c>
      <c r="BV20" s="350" t="str">
        <f t="shared" si="39"/>
        <v/>
      </c>
      <c r="BW20" s="350" t="str">
        <f t="shared" si="39"/>
        <v/>
      </c>
      <c r="BX20" s="350" t="str">
        <f t="shared" si="39"/>
        <v/>
      </c>
      <c r="BY20" s="350" t="str">
        <f t="shared" si="39"/>
        <v/>
      </c>
      <c r="BZ20" s="350" t="str">
        <f t="shared" si="39"/>
        <v/>
      </c>
      <c r="CB20" s="367"/>
    </row>
    <row r="21" spans="1:80" x14ac:dyDescent="0.25">
      <c r="A21" s="356" t="str">
        <v>Khamis meshaet</v>
      </c>
      <c r="B21" s="356">
        <f t="shared" si="8"/>
        <v>3</v>
      </c>
      <c r="C21" s="356"/>
      <c r="D21" s="357">
        <f t="shared" ca="1" si="9"/>
        <v>0.11724571325971811</v>
      </c>
      <c r="E21" s="357">
        <f t="shared" ca="1" si="10"/>
        <v>0.1024390243902439</v>
      </c>
      <c r="F21" s="357">
        <f t="shared" ca="1" si="11"/>
        <v>8.9673913043478257E-2</v>
      </c>
      <c r="G21" s="357">
        <f t="shared" ca="1" si="12"/>
        <v>0.10077519379844961</v>
      </c>
      <c r="H21" s="357">
        <f t="shared" ca="1" si="13"/>
        <v>7.7155824508320731E-2</v>
      </c>
      <c r="I21" s="357">
        <f t="shared" ca="1" si="14"/>
        <v>9.2391304347826081E-2</v>
      </c>
      <c r="J21" s="357">
        <f t="shared" ca="1" si="15"/>
        <v>7.434944237918216E-2</v>
      </c>
      <c r="K21" s="357">
        <f t="shared" ca="1" si="16"/>
        <v>0.12037037037037036</v>
      </c>
      <c r="L21" s="357">
        <f t="shared" ca="1" si="17"/>
        <v>0.11182108626198083</v>
      </c>
      <c r="M21" s="357" t="str">
        <f t="shared" si="18"/>
        <v/>
      </c>
      <c r="N21" s="357" t="str">
        <f t="shared" si="19"/>
        <v/>
      </c>
      <c r="O21" s="357" t="str">
        <f t="shared" si="20"/>
        <v/>
      </c>
      <c r="P21" s="357" t="str">
        <f t="shared" si="21"/>
        <v/>
      </c>
      <c r="Q21" s="357" t="str">
        <f t="shared" si="22"/>
        <v/>
      </c>
      <c r="R21" s="358" cm="1">
        <f t="array" aca="1" ref="R21" ca="1">IF(OR($A21="",D21=""),"",IFERROR(LOOKUP(2,1/(E21:Q21&lt;&gt;""),E21:Q21)-D21,""))</f>
        <v>-5.4246269977372835E-3</v>
      </c>
      <c r="S21" s="349"/>
      <c r="T21" s="362">
        <f t="shared" ca="1" si="23"/>
        <v>153.46668453292494</v>
      </c>
      <c r="U21" s="362">
        <f t="shared" ca="1" si="24"/>
        <v>140.81142857142856</v>
      </c>
      <c r="V21" s="362">
        <f t="shared" ca="1" si="25"/>
        <v>158.88030303030303</v>
      </c>
      <c r="W21" s="362">
        <f t="shared" ca="1" si="26"/>
        <v>154.43692307692311</v>
      </c>
      <c r="X21" s="362">
        <f t="shared" ca="1" si="27"/>
        <v>152.91313725490195</v>
      </c>
      <c r="Y21" s="362">
        <f t="shared" ca="1" si="28"/>
        <v>167.93098039215684</v>
      </c>
      <c r="Z21" s="362">
        <f t="shared" ca="1" si="29"/>
        <v>205.58775</v>
      </c>
      <c r="AA21" s="362">
        <f t="shared" ca="1" si="30"/>
        <v>184.46782608695653</v>
      </c>
      <c r="AB21" s="362">
        <f t="shared" ca="1" si="31"/>
        <v>157.67717948717947</v>
      </c>
      <c r="AC21" s="362" t="str">
        <f t="shared" si="32"/>
        <v/>
      </c>
      <c r="AD21" s="362" t="str">
        <f t="shared" si="33"/>
        <v/>
      </c>
      <c r="AE21" s="362" t="str">
        <f t="shared" si="34"/>
        <v/>
      </c>
      <c r="AF21" s="362" t="str">
        <f t="shared" si="35"/>
        <v/>
      </c>
      <c r="AG21" s="362" t="str">
        <f t="shared" si="36"/>
        <v/>
      </c>
      <c r="AH21" s="363" cm="1">
        <f t="array" aca="1" ref="AH21" ca="1">IF(OR($A21="",T21=""),"",IFERROR(LOOKUP(2,1/(U21:AG21&lt;&gt;""),U21:AG21)-T21,""))</f>
        <v>4.2104949542545285</v>
      </c>
      <c r="AI21" s="349"/>
      <c r="AJ21" s="349"/>
      <c r="AK21" s="350">
        <f t="shared" si="37"/>
        <v>11139</v>
      </c>
      <c r="AL21" s="350">
        <f t="shared" si="37"/>
        <v>410</v>
      </c>
      <c r="AM21" s="350">
        <f t="shared" si="37"/>
        <v>368</v>
      </c>
      <c r="AN21" s="350">
        <f t="shared" si="37"/>
        <v>387</v>
      </c>
      <c r="AO21" s="350">
        <f t="shared" si="37"/>
        <v>661</v>
      </c>
      <c r="AP21" s="350">
        <f t="shared" si="37"/>
        <v>552</v>
      </c>
      <c r="AQ21" s="350">
        <f t="shared" si="37"/>
        <v>538</v>
      </c>
      <c r="AR21" s="350">
        <f t="shared" si="37"/>
        <v>324</v>
      </c>
      <c r="AS21" s="350">
        <f t="shared" si="37"/>
        <v>313</v>
      </c>
      <c r="AT21" s="350" t="str">
        <f t="shared" si="37"/>
        <v/>
      </c>
      <c r="AU21" s="350" t="str">
        <f t="shared" si="37"/>
        <v/>
      </c>
      <c r="AV21" s="350" t="str">
        <f t="shared" si="37"/>
        <v/>
      </c>
      <c r="AW21" s="350" t="str">
        <f t="shared" si="37"/>
        <v/>
      </c>
      <c r="AX21" s="350" t="str">
        <f t="shared" si="37"/>
        <v/>
      </c>
      <c r="AY21" s="350">
        <f t="shared" ca="1" si="37"/>
        <v>1306</v>
      </c>
      <c r="AZ21" s="350">
        <f t="shared" ca="1" si="37"/>
        <v>42</v>
      </c>
      <c r="BA21" s="350">
        <f t="shared" ca="1" si="38"/>
        <v>33</v>
      </c>
      <c r="BB21" s="350">
        <f t="shared" ca="1" si="38"/>
        <v>39</v>
      </c>
      <c r="BC21" s="350">
        <f t="shared" ca="1" si="38"/>
        <v>51</v>
      </c>
      <c r="BD21" s="350">
        <f t="shared" ca="1" si="38"/>
        <v>51</v>
      </c>
      <c r="BE21" s="350">
        <f t="shared" ca="1" si="38"/>
        <v>40</v>
      </c>
      <c r="BF21" s="350">
        <f t="shared" ca="1" si="38"/>
        <v>46</v>
      </c>
      <c r="BG21" s="350">
        <f t="shared" ca="1" si="38"/>
        <v>39</v>
      </c>
      <c r="BH21" s="350" t="str">
        <f t="shared" si="38"/>
        <v/>
      </c>
      <c r="BI21" s="350" t="str">
        <f t="shared" si="38"/>
        <v/>
      </c>
      <c r="BJ21" s="350" t="str">
        <f t="shared" si="38"/>
        <v/>
      </c>
      <c r="BK21" s="350" t="str">
        <f t="shared" si="39"/>
        <v/>
      </c>
      <c r="BL21" s="350" t="str">
        <f t="shared" si="39"/>
        <v/>
      </c>
      <c r="BM21" s="350">
        <f t="shared" si="39"/>
        <v>200427.49</v>
      </c>
      <c r="BN21" s="350">
        <f t="shared" si="39"/>
        <v>5914.08</v>
      </c>
      <c r="BO21" s="350">
        <f t="shared" si="39"/>
        <v>5243.05</v>
      </c>
      <c r="BP21" s="350">
        <f t="shared" si="39"/>
        <v>6023.0400000000009</v>
      </c>
      <c r="BQ21" s="350">
        <f t="shared" si="39"/>
        <v>7798.57</v>
      </c>
      <c r="BR21" s="350">
        <f t="shared" si="39"/>
        <v>8564.48</v>
      </c>
      <c r="BS21" s="350">
        <f t="shared" si="39"/>
        <v>8223.51</v>
      </c>
      <c r="BT21" s="350">
        <f t="shared" si="39"/>
        <v>8485.52</v>
      </c>
      <c r="BU21" s="350">
        <f t="shared" si="39"/>
        <v>6149.41</v>
      </c>
      <c r="BV21" s="350" t="str">
        <f t="shared" si="39"/>
        <v/>
      </c>
      <c r="BW21" s="350" t="str">
        <f t="shared" si="39"/>
        <v/>
      </c>
      <c r="BX21" s="350" t="str">
        <f t="shared" si="39"/>
        <v/>
      </c>
      <c r="BY21" s="350" t="str">
        <f t="shared" si="39"/>
        <v/>
      </c>
      <c r="BZ21" s="350" t="str">
        <f t="shared" si="39"/>
        <v/>
      </c>
      <c r="CB21" s="367"/>
    </row>
    <row r="22" spans="1:80" x14ac:dyDescent="0.25">
      <c r="A22" s="356" t="str">
        <v>Madinah</v>
      </c>
      <c r="B22" s="356">
        <f t="shared" si="8"/>
        <v>6</v>
      </c>
      <c r="C22" s="356"/>
      <c r="D22" s="357">
        <f t="shared" ca="1" si="9"/>
        <v>0.13251173261093518</v>
      </c>
      <c r="E22" s="357">
        <f t="shared" ca="1" si="10"/>
        <v>0.13732394366197184</v>
      </c>
      <c r="F22" s="357">
        <f t="shared" ca="1" si="11"/>
        <v>0.12665406427221171</v>
      </c>
      <c r="G22" s="357">
        <f t="shared" ca="1" si="12"/>
        <v>0.13563605728727884</v>
      </c>
      <c r="H22" s="357">
        <f t="shared" ca="1" si="13"/>
        <v>9.2098377812663529E-2</v>
      </c>
      <c r="I22" s="357">
        <f t="shared" ca="1" si="14"/>
        <v>0.10499359795134443</v>
      </c>
      <c r="J22" s="357">
        <f t="shared" ca="1" si="15"/>
        <v>0.12754029432375613</v>
      </c>
      <c r="K22" s="357">
        <f t="shared" ca="1" si="16"/>
        <v>0.13530655391120508</v>
      </c>
      <c r="L22" s="357">
        <f t="shared" ca="1" si="17"/>
        <v>0.12840043525571274</v>
      </c>
      <c r="M22" s="357" t="str">
        <f t="shared" si="18"/>
        <v/>
      </c>
      <c r="N22" s="357" t="str">
        <f t="shared" si="19"/>
        <v/>
      </c>
      <c r="O22" s="357" t="str">
        <f t="shared" si="20"/>
        <v/>
      </c>
      <c r="P22" s="357" t="str">
        <f t="shared" si="21"/>
        <v/>
      </c>
      <c r="Q22" s="357" t="str">
        <f t="shared" si="22"/>
        <v/>
      </c>
      <c r="R22" s="358" cm="1">
        <f t="array" aca="1" ref="R22" ca="1">IF(OR($A22="",D22=""),"",IFERROR(LOOKUP(2,1/(E22:Q22&lt;&gt;""),E22:Q22)-D22,""))</f>
        <v>-4.1112973552224485E-3</v>
      </c>
      <c r="S22" s="349"/>
      <c r="T22" s="362">
        <f t="shared" ca="1" si="23"/>
        <v>176.77861503023323</v>
      </c>
      <c r="U22" s="362">
        <f t="shared" ca="1" si="24"/>
        <v>182.30217948717947</v>
      </c>
      <c r="V22" s="362">
        <f t="shared" ca="1" si="25"/>
        <v>184.29992537313436</v>
      </c>
      <c r="W22" s="362">
        <f t="shared" ca="1" si="26"/>
        <v>169.93894409937889</v>
      </c>
      <c r="X22" s="362">
        <f t="shared" ca="1" si="27"/>
        <v>225.26630681818179</v>
      </c>
      <c r="Y22" s="362">
        <f t="shared" ca="1" si="28"/>
        <v>197.32524390243904</v>
      </c>
      <c r="Z22" s="362">
        <f t="shared" ca="1" si="29"/>
        <v>199.89626373626376</v>
      </c>
      <c r="AA22" s="362">
        <f t="shared" ca="1" si="30"/>
        <v>196.54530054644809</v>
      </c>
      <c r="AB22" s="362">
        <f t="shared" ca="1" si="31"/>
        <v>219.41931677018636</v>
      </c>
      <c r="AC22" s="362" t="str">
        <f t="shared" si="32"/>
        <v/>
      </c>
      <c r="AD22" s="362" t="str">
        <f t="shared" si="33"/>
        <v/>
      </c>
      <c r="AE22" s="362" t="str">
        <f t="shared" si="34"/>
        <v/>
      </c>
      <c r="AF22" s="362" t="str">
        <f t="shared" si="35"/>
        <v/>
      </c>
      <c r="AG22" s="362" t="str">
        <f t="shared" si="36"/>
        <v/>
      </c>
      <c r="AH22" s="363" cm="1">
        <f t="array" aca="1" ref="AH22" ca="1">IF(OR($A22="",T22=""),"",IFERROR(LOOKUP(2,1/(U22:AG22&lt;&gt;""),U22:AG22)-T22,""))</f>
        <v>42.64070173995313</v>
      </c>
      <c r="AI22" s="349"/>
      <c r="AJ22" s="349"/>
      <c r="AK22" s="350">
        <f t="shared" si="37"/>
        <v>26209</v>
      </c>
      <c r="AL22" s="350">
        <f t="shared" si="37"/>
        <v>1136</v>
      </c>
      <c r="AM22" s="350">
        <f t="shared" si="37"/>
        <v>1058</v>
      </c>
      <c r="AN22" s="350">
        <f t="shared" si="37"/>
        <v>1187</v>
      </c>
      <c r="AO22" s="350">
        <f t="shared" si="37"/>
        <v>1911</v>
      </c>
      <c r="AP22" s="350">
        <f t="shared" si="37"/>
        <v>1562</v>
      </c>
      <c r="AQ22" s="350">
        <f t="shared" si="37"/>
        <v>1427</v>
      </c>
      <c r="AR22" s="350">
        <f t="shared" si="37"/>
        <v>946</v>
      </c>
      <c r="AS22" s="350">
        <f t="shared" si="37"/>
        <v>919</v>
      </c>
      <c r="AT22" s="350" t="str">
        <f t="shared" si="37"/>
        <v/>
      </c>
      <c r="AU22" s="350" t="str">
        <f t="shared" si="37"/>
        <v/>
      </c>
      <c r="AV22" s="350" t="str">
        <f t="shared" si="37"/>
        <v/>
      </c>
      <c r="AW22" s="350" t="str">
        <f t="shared" si="37"/>
        <v/>
      </c>
      <c r="AX22" s="350" t="str">
        <f t="shared" si="37"/>
        <v/>
      </c>
      <c r="AY22" s="350">
        <f t="shared" ca="1" si="37"/>
        <v>3473</v>
      </c>
      <c r="AZ22" s="350">
        <f t="shared" ca="1" si="37"/>
        <v>156</v>
      </c>
      <c r="BA22" s="350">
        <f t="shared" ca="1" si="38"/>
        <v>134</v>
      </c>
      <c r="BB22" s="350">
        <f t="shared" ca="1" si="38"/>
        <v>161</v>
      </c>
      <c r="BC22" s="350">
        <f t="shared" ca="1" si="38"/>
        <v>176</v>
      </c>
      <c r="BD22" s="350">
        <f t="shared" ca="1" si="38"/>
        <v>164</v>
      </c>
      <c r="BE22" s="350">
        <f t="shared" ca="1" si="38"/>
        <v>182</v>
      </c>
      <c r="BF22" s="350">
        <f t="shared" ca="1" si="38"/>
        <v>183</v>
      </c>
      <c r="BG22" s="350">
        <f t="shared" ca="1" si="38"/>
        <v>161</v>
      </c>
      <c r="BH22" s="350" t="str">
        <f t="shared" si="38"/>
        <v/>
      </c>
      <c r="BI22" s="350" t="str">
        <f t="shared" si="38"/>
        <v/>
      </c>
      <c r="BJ22" s="350" t="str">
        <f t="shared" si="38"/>
        <v/>
      </c>
      <c r="BK22" s="350" t="str">
        <f t="shared" si="39"/>
        <v/>
      </c>
      <c r="BL22" s="350" t="str">
        <f t="shared" si="39"/>
        <v/>
      </c>
      <c r="BM22" s="350">
        <f t="shared" si="39"/>
        <v>613952.13</v>
      </c>
      <c r="BN22" s="350">
        <f t="shared" si="39"/>
        <v>28439.14</v>
      </c>
      <c r="BO22" s="350">
        <f t="shared" si="39"/>
        <v>24696.190000000002</v>
      </c>
      <c r="BP22" s="350">
        <f t="shared" si="39"/>
        <v>27360.170000000002</v>
      </c>
      <c r="BQ22" s="350">
        <f t="shared" si="39"/>
        <v>39646.869999999995</v>
      </c>
      <c r="BR22" s="350">
        <f t="shared" si="39"/>
        <v>32361.340000000004</v>
      </c>
      <c r="BS22" s="350">
        <f t="shared" si="39"/>
        <v>36381.120000000003</v>
      </c>
      <c r="BT22" s="350">
        <f t="shared" si="39"/>
        <v>35967.79</v>
      </c>
      <c r="BU22" s="350">
        <f t="shared" si="39"/>
        <v>35326.51</v>
      </c>
      <c r="BV22" s="350" t="str">
        <f t="shared" si="39"/>
        <v/>
      </c>
      <c r="BW22" s="350" t="str">
        <f t="shared" si="39"/>
        <v/>
      </c>
      <c r="BX22" s="350" t="str">
        <f t="shared" si="39"/>
        <v/>
      </c>
      <c r="BY22" s="350" t="str">
        <f t="shared" si="39"/>
        <v/>
      </c>
      <c r="BZ22" s="350" t="str">
        <f t="shared" si="39"/>
        <v/>
      </c>
      <c r="CB22" s="367"/>
    </row>
    <row r="23" spans="1:80" x14ac:dyDescent="0.25">
      <c r="A23" s="356" t="str">
        <v>Makkah</v>
      </c>
      <c r="B23" s="356">
        <f t="shared" si="8"/>
        <v>7</v>
      </c>
      <c r="C23" s="356"/>
      <c r="D23" s="357">
        <f t="shared" ca="1" si="9"/>
        <v>0.16738197424892703</v>
      </c>
      <c r="E23" s="357">
        <f t="shared" ca="1" si="10"/>
        <v>0.1297134238310709</v>
      </c>
      <c r="F23" s="357">
        <f t="shared" ca="1" si="11"/>
        <v>0.15725806451612903</v>
      </c>
      <c r="G23" s="357">
        <f t="shared" ca="1" si="12"/>
        <v>0.14502164502164502</v>
      </c>
      <c r="H23" s="357">
        <f t="shared" ca="1" si="13"/>
        <v>0.1233974358974359</v>
      </c>
      <c r="I23" s="357">
        <f t="shared" ca="1" si="14"/>
        <v>0.13404374649467191</v>
      </c>
      <c r="J23" s="357">
        <f t="shared" ca="1" si="15"/>
        <v>0.12996158770806659</v>
      </c>
      <c r="K23" s="357">
        <f t="shared" ca="1" si="16"/>
        <v>0.12491951062459755</v>
      </c>
      <c r="L23" s="357">
        <f t="shared" ca="1" si="17"/>
        <v>0.11640866873065016</v>
      </c>
      <c r="M23" s="357" t="str">
        <f t="shared" si="18"/>
        <v/>
      </c>
      <c r="N23" s="357" t="str">
        <f t="shared" si="19"/>
        <v/>
      </c>
      <c r="O23" s="357" t="str">
        <f t="shared" si="20"/>
        <v/>
      </c>
      <c r="P23" s="357" t="str">
        <f t="shared" si="21"/>
        <v/>
      </c>
      <c r="Q23" s="357" t="str">
        <f t="shared" si="22"/>
        <v/>
      </c>
      <c r="R23" s="358" cm="1">
        <f t="array" aca="1" ref="R23" ca="1">IF(OR($A23="",D23=""),"",IFERROR(LOOKUP(2,1/(E23:Q23&lt;&gt;""),E23:Q23)-D23,""))</f>
        <v>-5.0973305518276876E-2</v>
      </c>
      <c r="S23" s="349"/>
      <c r="T23" s="362">
        <f t="shared" ca="1" si="23"/>
        <v>166.38546153846153</v>
      </c>
      <c r="U23" s="362">
        <f t="shared" ca="1" si="24"/>
        <v>181.32179104477609</v>
      </c>
      <c r="V23" s="362">
        <f t="shared" ca="1" si="25"/>
        <v>167.50049792531121</v>
      </c>
      <c r="W23" s="362">
        <f t="shared" ca="1" si="26"/>
        <v>162.61570212765957</v>
      </c>
      <c r="X23" s="362">
        <f t="shared" ca="1" si="27"/>
        <v>194.79439516129034</v>
      </c>
      <c r="Y23" s="362">
        <f t="shared" ca="1" si="28"/>
        <v>189.20515789473686</v>
      </c>
      <c r="Z23" s="362">
        <f t="shared" ca="1" si="29"/>
        <v>215.47403361344539</v>
      </c>
      <c r="AA23" s="362">
        <f t="shared" ca="1" si="30"/>
        <v>182.29144329896911</v>
      </c>
      <c r="AB23" s="362">
        <f t="shared" ca="1" si="31"/>
        <v>194.93079787234041</v>
      </c>
      <c r="AC23" s="362" t="str">
        <f t="shared" si="32"/>
        <v/>
      </c>
      <c r="AD23" s="362" t="str">
        <f t="shared" si="33"/>
        <v/>
      </c>
      <c r="AE23" s="362" t="str">
        <f t="shared" si="34"/>
        <v/>
      </c>
      <c r="AF23" s="362" t="str">
        <f t="shared" si="35"/>
        <v/>
      </c>
      <c r="AG23" s="362" t="str">
        <f t="shared" si="36"/>
        <v/>
      </c>
      <c r="AH23" s="363" cm="1">
        <f t="array" aca="1" ref="AH23" ca="1">IF(OR($A23="",T23=""),"",IFERROR(LOOKUP(2,1/(U23:AG23&lt;&gt;""),U23:AG23)-T23,""))</f>
        <v>28.545336333878879</v>
      </c>
      <c r="AI23" s="349"/>
      <c r="AJ23" s="349"/>
      <c r="AK23" s="350">
        <f t="shared" si="37"/>
        <v>37280</v>
      </c>
      <c r="AL23" s="350">
        <f t="shared" si="37"/>
        <v>1326</v>
      </c>
      <c r="AM23" s="350">
        <f t="shared" si="37"/>
        <v>1240</v>
      </c>
      <c r="AN23" s="350">
        <f t="shared" si="37"/>
        <v>1386</v>
      </c>
      <c r="AO23" s="350">
        <f t="shared" si="37"/>
        <v>1872</v>
      </c>
      <c r="AP23" s="350">
        <f t="shared" si="37"/>
        <v>1783</v>
      </c>
      <c r="AQ23" s="350">
        <f t="shared" si="37"/>
        <v>1562</v>
      </c>
      <c r="AR23" s="350">
        <f t="shared" si="37"/>
        <v>1553</v>
      </c>
      <c r="AS23" s="350">
        <f t="shared" si="37"/>
        <v>1615</v>
      </c>
      <c r="AT23" s="350" t="str">
        <f t="shared" si="37"/>
        <v/>
      </c>
      <c r="AU23" s="350" t="str">
        <f t="shared" si="37"/>
        <v/>
      </c>
      <c r="AV23" s="350" t="str">
        <f t="shared" si="37"/>
        <v/>
      </c>
      <c r="AW23" s="350" t="str">
        <f t="shared" si="37"/>
        <v/>
      </c>
      <c r="AX23" s="350" t="str">
        <f t="shared" si="37"/>
        <v/>
      </c>
      <c r="AY23" s="350">
        <f t="shared" ca="1" si="37"/>
        <v>6240</v>
      </c>
      <c r="AZ23" s="350">
        <f t="shared" ca="1" si="37"/>
        <v>201</v>
      </c>
      <c r="BA23" s="350">
        <f t="shared" ca="1" si="38"/>
        <v>241</v>
      </c>
      <c r="BB23" s="350">
        <f t="shared" ca="1" si="38"/>
        <v>235</v>
      </c>
      <c r="BC23" s="350">
        <f t="shared" ca="1" si="38"/>
        <v>248</v>
      </c>
      <c r="BD23" s="350">
        <f t="shared" ca="1" si="38"/>
        <v>285</v>
      </c>
      <c r="BE23" s="350">
        <f t="shared" ca="1" si="38"/>
        <v>238</v>
      </c>
      <c r="BF23" s="350">
        <f t="shared" ca="1" si="38"/>
        <v>194</v>
      </c>
      <c r="BG23" s="350">
        <f t="shared" ca="1" si="38"/>
        <v>188</v>
      </c>
      <c r="BH23" s="350" t="str">
        <f t="shared" si="38"/>
        <v/>
      </c>
      <c r="BI23" s="350" t="str">
        <f t="shared" si="38"/>
        <v/>
      </c>
      <c r="BJ23" s="350" t="str">
        <f t="shared" si="38"/>
        <v/>
      </c>
      <c r="BK23" s="350" t="str">
        <f t="shared" si="39"/>
        <v/>
      </c>
      <c r="BL23" s="350" t="str">
        <f t="shared" si="39"/>
        <v/>
      </c>
      <c r="BM23" s="350">
        <f t="shared" si="39"/>
        <v>1038245.2799999999</v>
      </c>
      <c r="BN23" s="350">
        <f t="shared" si="39"/>
        <v>36445.679999999993</v>
      </c>
      <c r="BO23" s="350">
        <f t="shared" si="39"/>
        <v>40367.620000000003</v>
      </c>
      <c r="BP23" s="350">
        <f t="shared" si="39"/>
        <v>38214.69</v>
      </c>
      <c r="BQ23" s="350">
        <f t="shared" si="39"/>
        <v>48309.01</v>
      </c>
      <c r="BR23" s="350">
        <f t="shared" si="39"/>
        <v>53923.47</v>
      </c>
      <c r="BS23" s="350">
        <f t="shared" si="39"/>
        <v>51282.82</v>
      </c>
      <c r="BT23" s="350">
        <f t="shared" si="39"/>
        <v>35364.540000000008</v>
      </c>
      <c r="BU23" s="350">
        <f t="shared" si="39"/>
        <v>36646.99</v>
      </c>
      <c r="BV23" s="350" t="str">
        <f t="shared" si="39"/>
        <v/>
      </c>
      <c r="BW23" s="350" t="str">
        <f t="shared" si="39"/>
        <v/>
      </c>
      <c r="BX23" s="350" t="str">
        <f t="shared" si="39"/>
        <v/>
      </c>
      <c r="BY23" s="350" t="str">
        <f t="shared" si="39"/>
        <v/>
      </c>
      <c r="BZ23" s="350" t="str">
        <f t="shared" si="39"/>
        <v/>
      </c>
      <c r="CB23" s="367"/>
    </row>
    <row r="24" spans="1:80" x14ac:dyDescent="0.25">
      <c r="A24" s="356" t="str">
        <v>Qatif</v>
      </c>
      <c r="B24" s="356">
        <f t="shared" si="8"/>
        <v>1</v>
      </c>
      <c r="C24" s="356"/>
      <c r="D24" s="357">
        <f t="shared" ca="1" si="9"/>
        <v>0.13009787928221861</v>
      </c>
      <c r="E24" s="357">
        <f t="shared" ca="1" si="10"/>
        <v>9.6153846153846159E-2</v>
      </c>
      <c r="F24" s="357">
        <f t="shared" ca="1" si="11"/>
        <v>0.10126582278481013</v>
      </c>
      <c r="G24" s="357">
        <f t="shared" ca="1" si="12"/>
        <v>0.13253012048192772</v>
      </c>
      <c r="H24" s="357">
        <f t="shared" ca="1" si="13"/>
        <v>5.1724137931034482E-2</v>
      </c>
      <c r="I24" s="357">
        <f t="shared" ca="1" si="14"/>
        <v>0.1</v>
      </c>
      <c r="J24" s="357">
        <f t="shared" ca="1" si="15"/>
        <v>4.7619047619047616E-2</v>
      </c>
      <c r="K24" s="357">
        <f t="shared" ca="1" si="16"/>
        <v>9.3457943925233641E-2</v>
      </c>
      <c r="L24" s="357">
        <f t="shared" ca="1" si="17"/>
        <v>0.08</v>
      </c>
      <c r="M24" s="357" t="str">
        <f t="shared" si="18"/>
        <v/>
      </c>
      <c r="N24" s="357" t="str">
        <f t="shared" si="19"/>
        <v/>
      </c>
      <c r="O24" s="357" t="str">
        <f t="shared" si="20"/>
        <v/>
      </c>
      <c r="P24" s="357" t="str">
        <f t="shared" si="21"/>
        <v/>
      </c>
      <c r="Q24" s="357" t="str">
        <f t="shared" si="22"/>
        <v/>
      </c>
      <c r="R24" s="358" cm="1">
        <f t="array" aca="1" ref="R24" ca="1">IF(OR($A24="",D24=""),"",IFERROR(LOOKUP(2,1/(E24:Q24&lt;&gt;""),E24:Q24)-D24,""))</f>
        <v>-5.0097879282218608E-2</v>
      </c>
      <c r="S24" s="349"/>
      <c r="T24" s="362">
        <f t="shared" ca="1" si="23"/>
        <v>185.39611285266454</v>
      </c>
      <c r="U24" s="362">
        <f t="shared" ca="1" si="24"/>
        <v>168.00299999999999</v>
      </c>
      <c r="V24" s="362">
        <f t="shared" ca="1" si="25"/>
        <v>151.12875</v>
      </c>
      <c r="W24" s="362">
        <f t="shared" ca="1" si="26"/>
        <v>191.18636363636367</v>
      </c>
      <c r="X24" s="362">
        <f t="shared" ca="1" si="27"/>
        <v>130.33111111111111</v>
      </c>
      <c r="Y24" s="362">
        <f t="shared" ca="1" si="28"/>
        <v>184.40705882352941</v>
      </c>
      <c r="Z24" s="362">
        <f t="shared" ca="1" si="29"/>
        <v>145.32666666666668</v>
      </c>
      <c r="AA24" s="362">
        <f t="shared" ca="1" si="30"/>
        <v>319.88299999999998</v>
      </c>
      <c r="AB24" s="362">
        <f t="shared" ca="1" si="31"/>
        <v>277.01499999999999</v>
      </c>
      <c r="AC24" s="362" t="str">
        <f t="shared" si="32"/>
        <v/>
      </c>
      <c r="AD24" s="362" t="str">
        <f t="shared" si="33"/>
        <v/>
      </c>
      <c r="AE24" s="362" t="str">
        <f t="shared" si="34"/>
        <v/>
      </c>
      <c r="AF24" s="362" t="str">
        <f t="shared" si="35"/>
        <v/>
      </c>
      <c r="AG24" s="362" t="str">
        <f t="shared" si="36"/>
        <v/>
      </c>
      <c r="AH24" s="363" cm="1">
        <f t="array" aca="1" ref="AH24" ca="1">IF(OR($A24="",T24=""),"",IFERROR(LOOKUP(2,1/(U24:AG24&lt;&gt;""),U24:AG24)-T24,""))</f>
        <v>91.618887147335442</v>
      </c>
      <c r="AI24" s="349"/>
      <c r="AJ24" s="349"/>
      <c r="AK24" s="350">
        <f t="shared" si="37"/>
        <v>2452</v>
      </c>
      <c r="AL24" s="350">
        <f t="shared" si="37"/>
        <v>104</v>
      </c>
      <c r="AM24" s="350">
        <f t="shared" si="37"/>
        <v>79</v>
      </c>
      <c r="AN24" s="350">
        <f t="shared" si="37"/>
        <v>83</v>
      </c>
      <c r="AO24" s="350">
        <f t="shared" si="37"/>
        <v>174</v>
      </c>
      <c r="AP24" s="350">
        <f t="shared" si="37"/>
        <v>170</v>
      </c>
      <c r="AQ24" s="350">
        <f t="shared" si="37"/>
        <v>63</v>
      </c>
      <c r="AR24" s="350">
        <f t="shared" si="37"/>
        <v>107</v>
      </c>
      <c r="AS24" s="350">
        <f t="shared" si="37"/>
        <v>100</v>
      </c>
      <c r="AT24" s="350" t="str">
        <f t="shared" si="37"/>
        <v/>
      </c>
      <c r="AU24" s="350" t="str">
        <f t="shared" si="37"/>
        <v/>
      </c>
      <c r="AV24" s="350" t="str">
        <f t="shared" si="37"/>
        <v/>
      </c>
      <c r="AW24" s="350" t="str">
        <f t="shared" si="37"/>
        <v/>
      </c>
      <c r="AX24" s="350" t="str">
        <f t="shared" si="37"/>
        <v/>
      </c>
      <c r="AY24" s="350">
        <f t="shared" ca="1" si="37"/>
        <v>319</v>
      </c>
      <c r="AZ24" s="350">
        <f t="shared" ca="1" si="37"/>
        <v>10</v>
      </c>
      <c r="BA24" s="350">
        <f t="shared" ca="1" si="38"/>
        <v>8</v>
      </c>
      <c r="BB24" s="350">
        <f t="shared" ca="1" si="38"/>
        <v>11</v>
      </c>
      <c r="BC24" s="350">
        <f t="shared" ca="1" si="38"/>
        <v>9</v>
      </c>
      <c r="BD24" s="350">
        <f t="shared" ca="1" si="38"/>
        <v>17</v>
      </c>
      <c r="BE24" s="350">
        <f t="shared" ca="1" si="38"/>
        <v>3</v>
      </c>
      <c r="BF24" s="350">
        <f t="shared" ca="1" si="38"/>
        <v>10</v>
      </c>
      <c r="BG24" s="350">
        <f t="shared" ca="1" si="38"/>
        <v>8</v>
      </c>
      <c r="BH24" s="350" t="str">
        <f t="shared" si="38"/>
        <v/>
      </c>
      <c r="BI24" s="350" t="str">
        <f t="shared" si="38"/>
        <v/>
      </c>
      <c r="BJ24" s="350" t="str">
        <f t="shared" si="38"/>
        <v/>
      </c>
      <c r="BK24" s="350" t="str">
        <f t="shared" si="39"/>
        <v/>
      </c>
      <c r="BL24" s="350" t="str">
        <f t="shared" si="39"/>
        <v/>
      </c>
      <c r="BM24" s="350">
        <f t="shared" si="39"/>
        <v>59141.359999999993</v>
      </c>
      <c r="BN24" s="350">
        <f t="shared" si="39"/>
        <v>1680.03</v>
      </c>
      <c r="BO24" s="350">
        <f t="shared" si="39"/>
        <v>1209.03</v>
      </c>
      <c r="BP24" s="350">
        <f t="shared" si="39"/>
        <v>2103.0500000000002</v>
      </c>
      <c r="BQ24" s="350">
        <f t="shared" si="39"/>
        <v>1172.98</v>
      </c>
      <c r="BR24" s="350">
        <f t="shared" si="39"/>
        <v>3134.92</v>
      </c>
      <c r="BS24" s="350">
        <f t="shared" si="39"/>
        <v>435.98</v>
      </c>
      <c r="BT24" s="350">
        <f t="shared" si="39"/>
        <v>3198.83</v>
      </c>
      <c r="BU24" s="350">
        <f t="shared" si="39"/>
        <v>2216.12</v>
      </c>
      <c r="BV24" s="350" t="str">
        <f t="shared" si="39"/>
        <v/>
      </c>
      <c r="BW24" s="350" t="str">
        <f t="shared" si="39"/>
        <v/>
      </c>
      <c r="BX24" s="350" t="str">
        <f t="shared" si="39"/>
        <v/>
      </c>
      <c r="BY24" s="350" t="str">
        <f t="shared" si="39"/>
        <v/>
      </c>
      <c r="BZ24" s="350" t="str">
        <f t="shared" si="39"/>
        <v/>
      </c>
      <c r="CB24" s="367"/>
    </row>
    <row r="25" spans="1:80" x14ac:dyDescent="0.25">
      <c r="A25" s="356" t="str">
        <v>Riyadh</v>
      </c>
      <c r="B25" s="356">
        <f t="shared" si="8"/>
        <v>14</v>
      </c>
      <c r="C25" s="356"/>
      <c r="D25" s="357">
        <f t="shared" ca="1" si="9"/>
        <v>0.2357182918035414</v>
      </c>
      <c r="E25" s="357">
        <f t="shared" ca="1" si="10"/>
        <v>0.21733966745843231</v>
      </c>
      <c r="F25" s="357">
        <f t="shared" ca="1" si="11"/>
        <v>0.22349726775956283</v>
      </c>
      <c r="G25" s="357">
        <f t="shared" ca="1" si="12"/>
        <v>0.20770355923939543</v>
      </c>
      <c r="H25" s="357">
        <f t="shared" ca="1" si="13"/>
        <v>0.19333333333333333</v>
      </c>
      <c r="I25" s="357">
        <f t="shared" ca="1" si="14"/>
        <v>0.20736754966887416</v>
      </c>
      <c r="J25" s="357">
        <f t="shared" ca="1" si="15"/>
        <v>0.20958351992834751</v>
      </c>
      <c r="K25" s="357">
        <f t="shared" ca="1" si="16"/>
        <v>0.18614958448753463</v>
      </c>
      <c r="L25" s="357">
        <f t="shared" ca="1" si="17"/>
        <v>0.22081497797356828</v>
      </c>
      <c r="M25" s="357" t="str">
        <f t="shared" si="18"/>
        <v/>
      </c>
      <c r="N25" s="357" t="str">
        <f t="shared" si="19"/>
        <v/>
      </c>
      <c r="O25" s="357" t="str">
        <f t="shared" si="20"/>
        <v/>
      </c>
      <c r="P25" s="357" t="str">
        <f t="shared" si="21"/>
        <v/>
      </c>
      <c r="Q25" s="357" t="str">
        <f t="shared" si="22"/>
        <v/>
      </c>
      <c r="R25" s="358" cm="1">
        <f t="array" aca="1" ref="R25" ca="1">IF(OR($A25="",D25=""),"",IFERROR(LOOKUP(2,1/(E25:Q25&lt;&gt;""),E25:Q25)-D25,""))</f>
        <v>-1.4903313829973119E-2</v>
      </c>
      <c r="S25" s="349"/>
      <c r="T25" s="362">
        <f t="shared" ca="1" si="23"/>
        <v>154.08122960571038</v>
      </c>
      <c r="U25" s="362">
        <f t="shared" ca="1" si="24"/>
        <v>145.90957783641164</v>
      </c>
      <c r="V25" s="362">
        <f t="shared" ca="1" si="25"/>
        <v>160.47929095354522</v>
      </c>
      <c r="W25" s="362">
        <f t="shared" ca="1" si="26"/>
        <v>157.15035211267602</v>
      </c>
      <c r="X25" s="362">
        <f t="shared" ca="1" si="27"/>
        <v>168.52273662551443</v>
      </c>
      <c r="Y25" s="362">
        <f t="shared" ca="1" si="28"/>
        <v>176.47349809885932</v>
      </c>
      <c r="Z25" s="362">
        <f t="shared" ca="1" si="29"/>
        <v>181.81341880341878</v>
      </c>
      <c r="AA25" s="362">
        <f t="shared" ca="1" si="30"/>
        <v>169.72952380952384</v>
      </c>
      <c r="AB25" s="362">
        <f t="shared" ca="1" si="31"/>
        <v>202.08248226950354</v>
      </c>
      <c r="AC25" s="362" t="str">
        <f t="shared" si="32"/>
        <v/>
      </c>
      <c r="AD25" s="362" t="str">
        <f t="shared" si="33"/>
        <v/>
      </c>
      <c r="AE25" s="362" t="str">
        <f t="shared" si="34"/>
        <v/>
      </c>
      <c r="AF25" s="362" t="str">
        <f t="shared" si="35"/>
        <v/>
      </c>
      <c r="AG25" s="362" t="str">
        <f t="shared" si="36"/>
        <v/>
      </c>
      <c r="AH25" s="363" cm="1">
        <f t="array" aca="1" ref="AH25" ca="1">IF(OR($A25="",T25=""),"",IFERROR(LOOKUP(2,1/(U25:AG25&lt;&gt;""),U25:AG25)-T25,""))</f>
        <v>48.001252663793167</v>
      </c>
      <c r="AI25" s="349"/>
      <c r="AJ25" s="349"/>
      <c r="AK25" s="350">
        <f t="shared" si="37"/>
        <v>49924</v>
      </c>
      <c r="AL25" s="350">
        <f t="shared" si="37"/>
        <v>1684</v>
      </c>
      <c r="AM25" s="350">
        <f t="shared" si="37"/>
        <v>1830</v>
      </c>
      <c r="AN25" s="350">
        <f t="shared" si="37"/>
        <v>2051</v>
      </c>
      <c r="AO25" s="350">
        <f t="shared" si="37"/>
        <v>2400</v>
      </c>
      <c r="AP25" s="350">
        <f t="shared" si="37"/>
        <v>2416</v>
      </c>
      <c r="AQ25" s="350">
        <f t="shared" si="37"/>
        <v>2233</v>
      </c>
      <c r="AR25" s="350">
        <f t="shared" si="37"/>
        <v>1805</v>
      </c>
      <c r="AS25" s="350">
        <f t="shared" si="37"/>
        <v>1816</v>
      </c>
      <c r="AT25" s="350" t="str">
        <f t="shared" si="37"/>
        <v/>
      </c>
      <c r="AU25" s="350" t="str">
        <f t="shared" si="37"/>
        <v/>
      </c>
      <c r="AV25" s="350" t="str">
        <f t="shared" si="37"/>
        <v/>
      </c>
      <c r="AW25" s="350" t="str">
        <f t="shared" si="37"/>
        <v/>
      </c>
      <c r="AX25" s="350" t="str">
        <f t="shared" si="37"/>
        <v/>
      </c>
      <c r="AY25" s="350">
        <f t="shared" ca="1" si="37"/>
        <v>11768</v>
      </c>
      <c r="AZ25" s="350">
        <f t="shared" ca="1" si="37"/>
        <v>379</v>
      </c>
      <c r="BA25" s="350">
        <f t="shared" ca="1" si="38"/>
        <v>409</v>
      </c>
      <c r="BB25" s="350">
        <f t="shared" ca="1" si="38"/>
        <v>426</v>
      </c>
      <c r="BC25" s="350">
        <f t="shared" ca="1" si="38"/>
        <v>486</v>
      </c>
      <c r="BD25" s="350">
        <f t="shared" ca="1" si="38"/>
        <v>526</v>
      </c>
      <c r="BE25" s="350">
        <f t="shared" ca="1" si="38"/>
        <v>468</v>
      </c>
      <c r="BF25" s="350">
        <f t="shared" ca="1" si="38"/>
        <v>357</v>
      </c>
      <c r="BG25" s="350">
        <f t="shared" ca="1" si="38"/>
        <v>423</v>
      </c>
      <c r="BH25" s="350" t="str">
        <f t="shared" si="38"/>
        <v/>
      </c>
      <c r="BI25" s="350" t="str">
        <f t="shared" si="38"/>
        <v/>
      </c>
      <c r="BJ25" s="350" t="str">
        <f t="shared" si="38"/>
        <v/>
      </c>
      <c r="BK25" s="350" t="str">
        <f t="shared" si="39"/>
        <v/>
      </c>
      <c r="BL25" s="350" t="str">
        <f t="shared" si="39"/>
        <v/>
      </c>
      <c r="BM25" s="350">
        <f t="shared" si="39"/>
        <v>1813227.9099999997</v>
      </c>
      <c r="BN25" s="350">
        <f t="shared" si="39"/>
        <v>55299.73000000001</v>
      </c>
      <c r="BO25" s="350">
        <f t="shared" si="39"/>
        <v>65636.03</v>
      </c>
      <c r="BP25" s="350">
        <f t="shared" si="39"/>
        <v>66946.049999999988</v>
      </c>
      <c r="BQ25" s="350">
        <f t="shared" si="39"/>
        <v>81902.050000000017</v>
      </c>
      <c r="BR25" s="350">
        <f t="shared" si="39"/>
        <v>92825.06</v>
      </c>
      <c r="BS25" s="350">
        <f t="shared" si="39"/>
        <v>85088.68</v>
      </c>
      <c r="BT25" s="350">
        <f t="shared" si="39"/>
        <v>60593.44000000001</v>
      </c>
      <c r="BU25" s="350">
        <f t="shared" si="39"/>
        <v>85480.89</v>
      </c>
      <c r="BV25" s="350" t="str">
        <f t="shared" si="39"/>
        <v/>
      </c>
      <c r="BW25" s="350" t="str">
        <f t="shared" si="39"/>
        <v/>
      </c>
      <c r="BX25" s="350" t="str">
        <f t="shared" si="39"/>
        <v/>
      </c>
      <c r="BY25" s="350" t="str">
        <f t="shared" si="39"/>
        <v/>
      </c>
      <c r="BZ25" s="350" t="str">
        <f t="shared" si="39"/>
        <v/>
      </c>
      <c r="CB25" s="367"/>
    </row>
    <row r="26" spans="1:80" x14ac:dyDescent="0.25">
      <c r="A26" s="356" t="str">
        <v>Sabya</v>
      </c>
      <c r="B26" s="356">
        <f t="shared" si="8"/>
        <v>1</v>
      </c>
      <c r="C26" s="356"/>
      <c r="D26" s="357">
        <f t="shared" ca="1" si="9"/>
        <v>0.29045893719806765</v>
      </c>
      <c r="E26" s="357">
        <f t="shared" ca="1" si="10"/>
        <v>0.20238095238095238</v>
      </c>
      <c r="F26" s="357">
        <f t="shared" ca="1" si="11"/>
        <v>0.10606060606060606</v>
      </c>
      <c r="G26" s="357">
        <f t="shared" ca="1" si="12"/>
        <v>0.22916666666666666</v>
      </c>
      <c r="H26" s="357">
        <f t="shared" ca="1" si="13"/>
        <v>0.17499999999999999</v>
      </c>
      <c r="I26" s="357">
        <f t="shared" ca="1" si="14"/>
        <v>0.25675675675675674</v>
      </c>
      <c r="J26" s="357">
        <f t="shared" ca="1" si="15"/>
        <v>0.23333333333333334</v>
      </c>
      <c r="K26" s="357" t="str">
        <f t="shared" si="16"/>
        <v/>
      </c>
      <c r="L26" s="357" t="str">
        <f t="shared" si="17"/>
        <v/>
      </c>
      <c r="M26" s="357" t="str">
        <f t="shared" si="18"/>
        <v/>
      </c>
      <c r="N26" s="357" t="str">
        <f t="shared" si="19"/>
        <v/>
      </c>
      <c r="O26" s="357" t="str">
        <f t="shared" si="20"/>
        <v/>
      </c>
      <c r="P26" s="357" t="str">
        <f t="shared" si="21"/>
        <v/>
      </c>
      <c r="Q26" s="357" t="str">
        <f t="shared" si="22"/>
        <v/>
      </c>
      <c r="R26" s="358" cm="1">
        <f t="array" aca="1" ref="R26" ca="1">IF(OR($A26="",D26=""),"",IFERROR(LOOKUP(2,1/(E26:Q26&lt;&gt;""),E26:Q26)-D26,""))</f>
        <v>-5.7125603864734309E-2</v>
      </c>
      <c r="S26" s="349"/>
      <c r="T26" s="362">
        <f t="shared" ca="1" si="23"/>
        <v>150.92216216216215</v>
      </c>
      <c r="U26" s="362">
        <f t="shared" ca="1" si="24"/>
        <v>138.12058823529412</v>
      </c>
      <c r="V26" s="362">
        <f t="shared" ca="1" si="25"/>
        <v>142.43</v>
      </c>
      <c r="W26" s="362">
        <f t="shared" ca="1" si="26"/>
        <v>103.9559090909091</v>
      </c>
      <c r="X26" s="362">
        <f t="shared" ca="1" si="27"/>
        <v>156.56428571428572</v>
      </c>
      <c r="Y26" s="362">
        <f t="shared" ca="1" si="28"/>
        <v>150.04473684210527</v>
      </c>
      <c r="Z26" s="362">
        <f t="shared" ca="1" si="29"/>
        <v>144.61047619047619</v>
      </c>
      <c r="AA26" s="362">
        <f t="shared" ca="1" si="30"/>
        <v>152.06923076923078</v>
      </c>
      <c r="AB26" s="362">
        <f t="shared" ca="1" si="31"/>
        <v>195.10454545454547</v>
      </c>
      <c r="AC26" s="362" t="str">
        <f t="shared" si="32"/>
        <v/>
      </c>
      <c r="AD26" s="362" t="str">
        <f t="shared" si="33"/>
        <v/>
      </c>
      <c r="AE26" s="362" t="str">
        <f t="shared" si="34"/>
        <v/>
      </c>
      <c r="AF26" s="362" t="str">
        <f t="shared" si="35"/>
        <v/>
      </c>
      <c r="AG26" s="362" t="str">
        <f t="shared" si="36"/>
        <v/>
      </c>
      <c r="AH26" s="363" cm="1">
        <f t="array" aca="1" ref="AH26" ca="1">IF(OR($A26="",T26=""),"",IFERROR(LOOKUP(2,1/(U26:AG26&lt;&gt;""),U26:AG26)-T26,""))</f>
        <v>44.182383292383321</v>
      </c>
      <c r="AI26" s="349"/>
      <c r="AJ26" s="349"/>
      <c r="AK26" s="350">
        <f t="shared" si="37"/>
        <v>1656</v>
      </c>
      <c r="AL26" s="350">
        <f t="shared" si="37"/>
        <v>84</v>
      </c>
      <c r="AM26" s="350">
        <f t="shared" si="37"/>
        <v>132</v>
      </c>
      <c r="AN26" s="350">
        <f t="shared" si="37"/>
        <v>96</v>
      </c>
      <c r="AO26" s="350">
        <f t="shared" si="37"/>
        <v>80</v>
      </c>
      <c r="AP26" s="350">
        <f t="shared" si="37"/>
        <v>74</v>
      </c>
      <c r="AQ26" s="350">
        <f t="shared" si="37"/>
        <v>90</v>
      </c>
      <c r="AR26" s="350">
        <f t="shared" si="37"/>
        <v>0</v>
      </c>
      <c r="AS26" s="350">
        <f t="shared" si="37"/>
        <v>0</v>
      </c>
      <c r="AT26" s="350" t="str">
        <f t="shared" si="37"/>
        <v/>
      </c>
      <c r="AU26" s="350" t="str">
        <f t="shared" si="37"/>
        <v/>
      </c>
      <c r="AV26" s="350" t="str">
        <f t="shared" si="37"/>
        <v/>
      </c>
      <c r="AW26" s="350" t="str">
        <f t="shared" si="37"/>
        <v/>
      </c>
      <c r="AX26" s="350" t="str">
        <f t="shared" si="37"/>
        <v/>
      </c>
      <c r="AY26" s="350">
        <f t="shared" ca="1" si="37"/>
        <v>481</v>
      </c>
      <c r="AZ26" s="350">
        <f t="shared" ca="1" si="37"/>
        <v>17</v>
      </c>
      <c r="BA26" s="350">
        <f t="shared" ca="1" si="38"/>
        <v>14</v>
      </c>
      <c r="BB26" s="350">
        <f t="shared" ca="1" si="38"/>
        <v>22</v>
      </c>
      <c r="BC26" s="350">
        <f t="shared" ca="1" si="38"/>
        <v>14</v>
      </c>
      <c r="BD26" s="350">
        <f t="shared" ca="1" si="38"/>
        <v>19</v>
      </c>
      <c r="BE26" s="350">
        <f t="shared" ca="1" si="38"/>
        <v>21</v>
      </c>
      <c r="BF26" s="350">
        <f t="shared" ca="1" si="38"/>
        <v>13</v>
      </c>
      <c r="BG26" s="350">
        <f t="shared" ca="1" si="38"/>
        <v>11</v>
      </c>
      <c r="BH26" s="350" t="str">
        <f t="shared" si="38"/>
        <v/>
      </c>
      <c r="BI26" s="350" t="str">
        <f t="shared" si="38"/>
        <v/>
      </c>
      <c r="BJ26" s="350" t="str">
        <f t="shared" si="38"/>
        <v/>
      </c>
      <c r="BK26" s="350" t="str">
        <f t="shared" si="39"/>
        <v/>
      </c>
      <c r="BL26" s="350" t="str">
        <f t="shared" si="39"/>
        <v/>
      </c>
      <c r="BM26" s="350">
        <f t="shared" si="39"/>
        <v>72593.56</v>
      </c>
      <c r="BN26" s="350">
        <f t="shared" si="39"/>
        <v>2348.0500000000002</v>
      </c>
      <c r="BO26" s="350">
        <f t="shared" si="39"/>
        <v>1994.02</v>
      </c>
      <c r="BP26" s="350">
        <f t="shared" si="39"/>
        <v>2287.0300000000002</v>
      </c>
      <c r="BQ26" s="350">
        <f t="shared" si="39"/>
        <v>2191.9</v>
      </c>
      <c r="BR26" s="350">
        <f t="shared" si="39"/>
        <v>2850.85</v>
      </c>
      <c r="BS26" s="350">
        <f t="shared" si="39"/>
        <v>3036.82</v>
      </c>
      <c r="BT26" s="350">
        <f t="shared" si="39"/>
        <v>1976.9</v>
      </c>
      <c r="BU26" s="350">
        <f t="shared" si="39"/>
        <v>2146.15</v>
      </c>
      <c r="BV26" s="350" t="str">
        <f t="shared" si="39"/>
        <v/>
      </c>
      <c r="BW26" s="350" t="str">
        <f t="shared" si="39"/>
        <v/>
      </c>
      <c r="BX26" s="350" t="str">
        <f t="shared" si="39"/>
        <v/>
      </c>
      <c r="BY26" s="350" t="str">
        <f t="shared" si="39"/>
        <v/>
      </c>
      <c r="BZ26" s="350" t="str">
        <f t="shared" si="39"/>
        <v/>
      </c>
      <c r="CB26" s="367"/>
    </row>
    <row r="27" spans="1:80" x14ac:dyDescent="0.25">
      <c r="A27" s="356" t="str">
        <v>Samtah</v>
      </c>
      <c r="B27" s="356">
        <f t="shared" si="8"/>
        <v>1</v>
      </c>
      <c r="C27" s="356"/>
      <c r="D27" s="357">
        <f t="shared" ca="1" si="9"/>
        <v>0.17322175732217573</v>
      </c>
      <c r="E27" s="357">
        <f t="shared" ca="1" si="10"/>
        <v>0.10169491525423729</v>
      </c>
      <c r="F27" s="357">
        <f t="shared" ca="1" si="11"/>
        <v>0.13186813186813187</v>
      </c>
      <c r="G27" s="357">
        <f t="shared" ca="1" si="12"/>
        <v>0.12162162162162163</v>
      </c>
      <c r="H27" s="357">
        <f t="shared" ca="1" si="13"/>
        <v>0.26829268292682928</v>
      </c>
      <c r="I27" s="357" t="str">
        <f t="shared" si="14"/>
        <v/>
      </c>
      <c r="J27" s="357" t="str">
        <f t="shared" si="15"/>
        <v/>
      </c>
      <c r="K27" s="357">
        <f t="shared" ca="1" si="16"/>
        <v>0.15294117647058825</v>
      </c>
      <c r="L27" s="357">
        <f t="shared" ca="1" si="17"/>
        <v>0.13513513513513514</v>
      </c>
      <c r="M27" s="357" t="str">
        <f t="shared" si="18"/>
        <v/>
      </c>
      <c r="N27" s="357" t="str">
        <f t="shared" si="19"/>
        <v/>
      </c>
      <c r="O27" s="357" t="str">
        <f t="shared" si="20"/>
        <v/>
      </c>
      <c r="P27" s="357" t="str">
        <f t="shared" si="21"/>
        <v/>
      </c>
      <c r="Q27" s="357" t="str">
        <f t="shared" si="22"/>
        <v/>
      </c>
      <c r="R27" s="358" cm="1">
        <f t="array" aca="1" ref="R27" ca="1">IF(OR($A27="",D27=""),"",IFERROR(LOOKUP(2,1/(E27:Q27&lt;&gt;""),E27:Q27)-D27,""))</f>
        <v>-3.8086622187040592E-2</v>
      </c>
      <c r="S27" s="349"/>
      <c r="T27" s="362">
        <f t="shared" ca="1" si="23"/>
        <v>182.96809178743965</v>
      </c>
      <c r="U27" s="362">
        <f t="shared" ca="1" si="24"/>
        <v>164.33583333333334</v>
      </c>
      <c r="V27" s="362">
        <f t="shared" ca="1" si="25"/>
        <v>154.08416666666668</v>
      </c>
      <c r="W27" s="362">
        <f t="shared" ca="1" si="26"/>
        <v>199.89</v>
      </c>
      <c r="X27" s="362">
        <f t="shared" ca="1" si="27"/>
        <v>174.9881818181818</v>
      </c>
      <c r="Y27" s="362">
        <f t="shared" ca="1" si="28"/>
        <v>231.76222222222225</v>
      </c>
      <c r="Z27" s="362">
        <f t="shared" ca="1" si="29"/>
        <v>185.36625000000001</v>
      </c>
      <c r="AA27" s="362">
        <f t="shared" ca="1" si="30"/>
        <v>194.84076923076921</v>
      </c>
      <c r="AB27" s="362">
        <f t="shared" ca="1" si="31"/>
        <v>207.71599999999998</v>
      </c>
      <c r="AC27" s="362" t="str">
        <f t="shared" si="32"/>
        <v/>
      </c>
      <c r="AD27" s="362" t="str">
        <f t="shared" si="33"/>
        <v/>
      </c>
      <c r="AE27" s="362" t="str">
        <f t="shared" si="34"/>
        <v/>
      </c>
      <c r="AF27" s="362" t="str">
        <f t="shared" si="35"/>
        <v/>
      </c>
      <c r="AG27" s="362" t="str">
        <f t="shared" si="36"/>
        <v/>
      </c>
      <c r="AH27" s="363" cm="1">
        <f t="array" aca="1" ref="AH27" ca="1">IF(OR($A27="",T27=""),"",IFERROR(LOOKUP(2,1/(U27:AG27&lt;&gt;""),U27:AG27)-T27,""))</f>
        <v>24.747908212560333</v>
      </c>
      <c r="AI27" s="349"/>
      <c r="AJ27" s="349"/>
      <c r="AK27" s="350">
        <f t="shared" si="37"/>
        <v>2390</v>
      </c>
      <c r="AL27" s="350">
        <f t="shared" si="37"/>
        <v>118</v>
      </c>
      <c r="AM27" s="350">
        <f t="shared" si="37"/>
        <v>91</v>
      </c>
      <c r="AN27" s="350">
        <f t="shared" si="37"/>
        <v>74</v>
      </c>
      <c r="AO27" s="350">
        <f t="shared" si="37"/>
        <v>41</v>
      </c>
      <c r="AP27" s="350">
        <f t="shared" si="37"/>
        <v>0</v>
      </c>
      <c r="AQ27" s="350">
        <f t="shared" si="37"/>
        <v>0</v>
      </c>
      <c r="AR27" s="350">
        <f t="shared" si="37"/>
        <v>85</v>
      </c>
      <c r="AS27" s="350">
        <f t="shared" si="37"/>
        <v>74</v>
      </c>
      <c r="AT27" s="350" t="str">
        <f t="shared" si="37"/>
        <v/>
      </c>
      <c r="AU27" s="350" t="str">
        <f t="shared" si="37"/>
        <v/>
      </c>
      <c r="AV27" s="350" t="str">
        <f t="shared" si="37"/>
        <v/>
      </c>
      <c r="AW27" s="350" t="str">
        <f t="shared" si="37"/>
        <v/>
      </c>
      <c r="AX27" s="350" t="str">
        <f t="shared" si="37"/>
        <v/>
      </c>
      <c r="AY27" s="350">
        <f t="shared" ca="1" si="37"/>
        <v>414</v>
      </c>
      <c r="AZ27" s="350">
        <f t="shared" ca="1" si="37"/>
        <v>12</v>
      </c>
      <c r="BA27" s="350">
        <f t="shared" ca="1" si="38"/>
        <v>12</v>
      </c>
      <c r="BB27" s="350">
        <f t="shared" ca="1" si="38"/>
        <v>9</v>
      </c>
      <c r="BC27" s="350">
        <f t="shared" ca="1" si="38"/>
        <v>11</v>
      </c>
      <c r="BD27" s="350">
        <f t="shared" ca="1" si="38"/>
        <v>9</v>
      </c>
      <c r="BE27" s="350">
        <f t="shared" ca="1" si="38"/>
        <v>8</v>
      </c>
      <c r="BF27" s="350">
        <f t="shared" ca="1" si="38"/>
        <v>13</v>
      </c>
      <c r="BG27" s="350">
        <f t="shared" ca="1" si="38"/>
        <v>10</v>
      </c>
      <c r="BH27" s="350" t="str">
        <f t="shared" si="38"/>
        <v/>
      </c>
      <c r="BI27" s="350" t="str">
        <f t="shared" si="38"/>
        <v/>
      </c>
      <c r="BJ27" s="350" t="str">
        <f t="shared" si="38"/>
        <v/>
      </c>
      <c r="BK27" s="350" t="str">
        <f t="shared" si="39"/>
        <v/>
      </c>
      <c r="BL27" s="350" t="str">
        <f t="shared" si="39"/>
        <v/>
      </c>
      <c r="BM27" s="350">
        <f t="shared" si="39"/>
        <v>75748.790000000008</v>
      </c>
      <c r="BN27" s="350">
        <f t="shared" si="39"/>
        <v>1972.03</v>
      </c>
      <c r="BO27" s="350">
        <f t="shared" si="39"/>
        <v>1849.01</v>
      </c>
      <c r="BP27" s="350">
        <f t="shared" si="39"/>
        <v>1799.01</v>
      </c>
      <c r="BQ27" s="350">
        <f t="shared" si="39"/>
        <v>1924.87</v>
      </c>
      <c r="BR27" s="350">
        <f t="shared" si="39"/>
        <v>2085.86</v>
      </c>
      <c r="BS27" s="350">
        <f t="shared" si="39"/>
        <v>1482.93</v>
      </c>
      <c r="BT27" s="350">
        <f t="shared" si="39"/>
        <v>2532.9299999999998</v>
      </c>
      <c r="BU27" s="350">
        <f t="shared" si="39"/>
        <v>2077.16</v>
      </c>
      <c r="BV27" s="350" t="str">
        <f t="shared" si="39"/>
        <v/>
      </c>
      <c r="BW27" s="350" t="str">
        <f t="shared" si="39"/>
        <v/>
      </c>
      <c r="BX27" s="350" t="str">
        <f t="shared" si="39"/>
        <v/>
      </c>
      <c r="BY27" s="350" t="str">
        <f t="shared" si="39"/>
        <v/>
      </c>
      <c r="BZ27" s="350" t="str">
        <f t="shared" si="39"/>
        <v/>
      </c>
      <c r="CB27" s="367"/>
    </row>
    <row r="28" spans="1:80" x14ac:dyDescent="0.25">
      <c r="A28" s="356" t="str">
        <v>Tabuk</v>
      </c>
      <c r="B28" s="356">
        <f t="shared" si="8"/>
        <v>2</v>
      </c>
      <c r="C28" s="356"/>
      <c r="D28" s="357">
        <f t="shared" ca="1" si="9"/>
        <v>0.26812045690550362</v>
      </c>
      <c r="E28" s="357">
        <f t="shared" ca="1" si="10"/>
        <v>0.16666666666666666</v>
      </c>
      <c r="F28" s="357">
        <f t="shared" ca="1" si="11"/>
        <v>0.21568627450980393</v>
      </c>
      <c r="G28" s="357">
        <f t="shared" ca="1" si="12"/>
        <v>0.20588235294117646</v>
      </c>
      <c r="H28" s="357">
        <f t="shared" ca="1" si="13"/>
        <v>0.15168539325842698</v>
      </c>
      <c r="I28" s="357">
        <f t="shared" ca="1" si="14"/>
        <v>0.15283842794759825</v>
      </c>
      <c r="J28" s="357">
        <f t="shared" ca="1" si="15"/>
        <v>0.12195121951219512</v>
      </c>
      <c r="K28" s="357">
        <f t="shared" ca="1" si="16"/>
        <v>0.15040650406504066</v>
      </c>
      <c r="L28" s="357">
        <f t="shared" ca="1" si="17"/>
        <v>0.15034965034965034</v>
      </c>
      <c r="M28" s="357" t="str">
        <f t="shared" si="18"/>
        <v/>
      </c>
      <c r="N28" s="357" t="str">
        <f t="shared" si="19"/>
        <v/>
      </c>
      <c r="O28" s="357" t="str">
        <f t="shared" si="20"/>
        <v/>
      </c>
      <c r="P28" s="357" t="str">
        <f t="shared" si="21"/>
        <v/>
      </c>
      <c r="Q28" s="357" t="str">
        <f t="shared" si="22"/>
        <v/>
      </c>
      <c r="R28" s="358" cm="1">
        <f t="array" aca="1" ref="R28" ca="1">IF(OR($A28="",D28=""),"",IFERROR(LOOKUP(2,1/(E28:Q28&lt;&gt;""),E28:Q28)-D28,""))</f>
        <v>-0.11777080655585329</v>
      </c>
      <c r="S28" s="349"/>
      <c r="T28" s="362">
        <f t="shared" ca="1" si="23"/>
        <v>156.49130906274206</v>
      </c>
      <c r="U28" s="362">
        <f t="shared" ca="1" si="24"/>
        <v>123.57933333333332</v>
      </c>
      <c r="V28" s="362">
        <f t="shared" ca="1" si="25"/>
        <v>164.63727272727272</v>
      </c>
      <c r="W28" s="362">
        <f t="shared" ca="1" si="26"/>
        <v>163.78910714285715</v>
      </c>
      <c r="X28" s="362">
        <f t="shared" ca="1" si="27"/>
        <v>166.67981481481479</v>
      </c>
      <c r="Y28" s="362">
        <f t="shared" ca="1" si="28"/>
        <v>160.40557142857142</v>
      </c>
      <c r="Z28" s="362">
        <f t="shared" ca="1" si="29"/>
        <v>165.01000000000002</v>
      </c>
      <c r="AA28" s="362">
        <f t="shared" ca="1" si="30"/>
        <v>151.40189189189189</v>
      </c>
      <c r="AB28" s="362">
        <f t="shared" ca="1" si="31"/>
        <v>149.47441860465116</v>
      </c>
      <c r="AC28" s="362" t="str">
        <f t="shared" si="32"/>
        <v/>
      </c>
      <c r="AD28" s="362" t="str">
        <f t="shared" si="33"/>
        <v/>
      </c>
      <c r="AE28" s="362" t="str">
        <f t="shared" si="34"/>
        <v/>
      </c>
      <c r="AF28" s="362" t="str">
        <f t="shared" si="35"/>
        <v/>
      </c>
      <c r="AG28" s="362" t="str">
        <f t="shared" si="36"/>
        <v/>
      </c>
      <c r="AH28" s="363" cm="1">
        <f t="array" aca="1" ref="AH28" ca="1">IF(OR($A28="",T28=""),"",IFERROR(LOOKUP(2,1/(U28:AG28&lt;&gt;""),U28:AG28)-T28,""))</f>
        <v>-7.0168904580908986</v>
      </c>
      <c r="AI28" s="349"/>
      <c r="AJ28" s="349"/>
      <c r="AK28" s="350">
        <f t="shared" si="37"/>
        <v>4815</v>
      </c>
      <c r="AL28" s="350">
        <f t="shared" si="37"/>
        <v>270</v>
      </c>
      <c r="AM28" s="350">
        <f t="shared" si="37"/>
        <v>204</v>
      </c>
      <c r="AN28" s="350">
        <f t="shared" si="37"/>
        <v>272</v>
      </c>
      <c r="AO28" s="350">
        <f t="shared" si="37"/>
        <v>356</v>
      </c>
      <c r="AP28" s="350">
        <f t="shared" si="37"/>
        <v>458</v>
      </c>
      <c r="AQ28" s="350">
        <f t="shared" si="37"/>
        <v>492</v>
      </c>
      <c r="AR28" s="350">
        <f t="shared" si="37"/>
        <v>246</v>
      </c>
      <c r="AS28" s="350">
        <f t="shared" si="37"/>
        <v>286</v>
      </c>
      <c r="AT28" s="350" t="str">
        <f t="shared" si="37"/>
        <v/>
      </c>
      <c r="AU28" s="350" t="str">
        <f t="shared" si="37"/>
        <v/>
      </c>
      <c r="AV28" s="350" t="str">
        <f t="shared" si="37"/>
        <v/>
      </c>
      <c r="AW28" s="350" t="str">
        <f t="shared" si="37"/>
        <v/>
      </c>
      <c r="AX28" s="350" t="str">
        <f t="shared" si="37"/>
        <v/>
      </c>
      <c r="AY28" s="350">
        <f t="shared" ca="1" si="37"/>
        <v>1291</v>
      </c>
      <c r="AZ28" s="350">
        <f t="shared" ca="1" si="37"/>
        <v>45</v>
      </c>
      <c r="BA28" s="350">
        <f t="shared" ca="1" si="38"/>
        <v>44</v>
      </c>
      <c r="BB28" s="350">
        <f t="shared" ca="1" si="38"/>
        <v>56</v>
      </c>
      <c r="BC28" s="350">
        <f t="shared" ca="1" si="38"/>
        <v>54</v>
      </c>
      <c r="BD28" s="350">
        <f t="shared" ca="1" si="38"/>
        <v>70</v>
      </c>
      <c r="BE28" s="350">
        <f t="shared" ca="1" si="38"/>
        <v>60</v>
      </c>
      <c r="BF28" s="350">
        <f t="shared" ca="1" si="38"/>
        <v>37</v>
      </c>
      <c r="BG28" s="350">
        <f t="shared" ca="1" si="38"/>
        <v>43</v>
      </c>
      <c r="BH28" s="350" t="str">
        <f t="shared" si="38"/>
        <v/>
      </c>
      <c r="BI28" s="350" t="str">
        <f t="shared" si="38"/>
        <v/>
      </c>
      <c r="BJ28" s="350" t="str">
        <f t="shared" si="38"/>
        <v/>
      </c>
      <c r="BK28" s="350" t="str">
        <f t="shared" si="39"/>
        <v/>
      </c>
      <c r="BL28" s="350" t="str">
        <f t="shared" si="39"/>
        <v/>
      </c>
      <c r="BM28" s="350">
        <f t="shared" si="39"/>
        <v>202030.28</v>
      </c>
      <c r="BN28" s="350">
        <f t="shared" si="39"/>
        <v>5561.07</v>
      </c>
      <c r="BO28" s="350">
        <f t="shared" si="39"/>
        <v>7244.04</v>
      </c>
      <c r="BP28" s="350">
        <f t="shared" si="39"/>
        <v>9172.19</v>
      </c>
      <c r="BQ28" s="350">
        <f t="shared" si="39"/>
        <v>9000.7099999999991</v>
      </c>
      <c r="BR28" s="350">
        <f t="shared" si="39"/>
        <v>11228.39</v>
      </c>
      <c r="BS28" s="350">
        <f t="shared" si="39"/>
        <v>9900.6</v>
      </c>
      <c r="BT28" s="350">
        <f t="shared" si="39"/>
        <v>5601.87</v>
      </c>
      <c r="BU28" s="350">
        <f t="shared" si="39"/>
        <v>6427.4</v>
      </c>
      <c r="BV28" s="350" t="str">
        <f t="shared" si="39"/>
        <v/>
      </c>
      <c r="BW28" s="350" t="str">
        <f t="shared" si="39"/>
        <v/>
      </c>
      <c r="BX28" s="350" t="str">
        <f t="shared" si="39"/>
        <v/>
      </c>
      <c r="BY28" s="350" t="str">
        <f t="shared" si="39"/>
        <v/>
      </c>
      <c r="BZ28" s="350" t="str">
        <f t="shared" si="39"/>
        <v/>
      </c>
      <c r="CB28" s="367"/>
    </row>
    <row r="29" spans="1:80" x14ac:dyDescent="0.25">
      <c r="A29" s="356" t="str">
        <v>Taif</v>
      </c>
      <c r="B29" s="356">
        <f t="shared" si="8"/>
        <v>4</v>
      </c>
      <c r="C29" s="356"/>
      <c r="D29" s="357">
        <f t="shared" ca="1" si="9"/>
        <v>0.17849400202341378</v>
      </c>
      <c r="E29" s="357">
        <f t="shared" ca="1" si="10"/>
        <v>0.1064891846921797</v>
      </c>
      <c r="F29" s="357">
        <f t="shared" ca="1" si="11"/>
        <v>0.13690476190476192</v>
      </c>
      <c r="G29" s="357">
        <f t="shared" ca="1" si="12"/>
        <v>0.15094339622641509</v>
      </c>
      <c r="H29" s="357">
        <f t="shared" ca="1" si="13"/>
        <v>0.13642756680731363</v>
      </c>
      <c r="I29" s="357">
        <f t="shared" ca="1" si="14"/>
        <v>0.12875536480686695</v>
      </c>
      <c r="J29" s="357">
        <f t="shared" ca="1" si="15"/>
        <v>0.1512481644640235</v>
      </c>
      <c r="K29" s="357">
        <f t="shared" ca="1" si="16"/>
        <v>0.13270142180094788</v>
      </c>
      <c r="L29" s="357">
        <f t="shared" ca="1" si="17"/>
        <v>0.14871794871794872</v>
      </c>
      <c r="M29" s="357" t="str">
        <f t="shared" si="18"/>
        <v/>
      </c>
      <c r="N29" s="357" t="str">
        <f t="shared" si="19"/>
        <v/>
      </c>
      <c r="O29" s="357" t="str">
        <f t="shared" si="20"/>
        <v/>
      </c>
      <c r="P29" s="357" t="str">
        <f t="shared" si="21"/>
        <v/>
      </c>
      <c r="Q29" s="357" t="str">
        <f t="shared" si="22"/>
        <v/>
      </c>
      <c r="R29" s="358" cm="1">
        <f t="array" aca="1" ref="R29" ca="1">IF(OR($A29="",D29=""),"",IFERROR(LOOKUP(2,1/(E29:Q29&lt;&gt;""),E29:Q29)-D29,""))</f>
        <v>-2.9776053305465067E-2</v>
      </c>
      <c r="S29" s="349"/>
      <c r="T29" s="362">
        <f t="shared" ca="1" si="23"/>
        <v>118.62694736842106</v>
      </c>
      <c r="U29" s="362">
        <f t="shared" ca="1" si="24"/>
        <v>119.36093750000001</v>
      </c>
      <c r="V29" s="362">
        <f t="shared" ca="1" si="25"/>
        <v>130.92855072463772</v>
      </c>
      <c r="W29" s="362">
        <f t="shared" ca="1" si="26"/>
        <v>124.81425000000002</v>
      </c>
      <c r="X29" s="362">
        <f t="shared" ca="1" si="27"/>
        <v>119.39731958762886</v>
      </c>
      <c r="Y29" s="362">
        <f t="shared" ca="1" si="28"/>
        <v>147.11455555555554</v>
      </c>
      <c r="Z29" s="362">
        <f t="shared" ca="1" si="29"/>
        <v>138.85611650485438</v>
      </c>
      <c r="AA29" s="362">
        <f t="shared" ca="1" si="30"/>
        <v>147.36653333333331</v>
      </c>
      <c r="AB29" s="362">
        <f t="shared" ca="1" si="31"/>
        <v>148.40946666666667</v>
      </c>
      <c r="AC29" s="362" t="str">
        <f t="shared" si="32"/>
        <v/>
      </c>
      <c r="AD29" s="362" t="str">
        <f t="shared" si="33"/>
        <v/>
      </c>
      <c r="AE29" s="362" t="str">
        <f t="shared" si="34"/>
        <v/>
      </c>
      <c r="AF29" s="362" t="str">
        <f t="shared" si="35"/>
        <v/>
      </c>
      <c r="AG29" s="362" t="str">
        <f t="shared" si="36"/>
        <v/>
      </c>
      <c r="AH29" s="363" cm="1">
        <f t="array" aca="1" ref="AH29" ca="1">IF(OR($A29="",T29=""),"",IFERROR(LOOKUP(2,1/(U29:AG29&lt;&gt;""),U29:AG29)-T29,""))</f>
        <v>29.782519298245617</v>
      </c>
      <c r="AI29" s="349"/>
      <c r="AJ29" s="349"/>
      <c r="AK29" s="350">
        <f t="shared" si="37"/>
        <v>13838</v>
      </c>
      <c r="AL29" s="350">
        <f t="shared" si="37"/>
        <v>601</v>
      </c>
      <c r="AM29" s="350">
        <f t="shared" si="37"/>
        <v>504</v>
      </c>
      <c r="AN29" s="350">
        <f t="shared" si="37"/>
        <v>530</v>
      </c>
      <c r="AO29" s="350">
        <f t="shared" si="37"/>
        <v>711</v>
      </c>
      <c r="AP29" s="350">
        <f t="shared" si="37"/>
        <v>699</v>
      </c>
      <c r="AQ29" s="350">
        <f t="shared" si="37"/>
        <v>681</v>
      </c>
      <c r="AR29" s="350">
        <f t="shared" si="37"/>
        <v>422</v>
      </c>
      <c r="AS29" s="350">
        <f t="shared" si="37"/>
        <v>390</v>
      </c>
      <c r="AT29" s="350" t="str">
        <f t="shared" si="37"/>
        <v/>
      </c>
      <c r="AU29" s="350" t="str">
        <f t="shared" si="37"/>
        <v/>
      </c>
      <c r="AV29" s="350" t="str">
        <f t="shared" si="37"/>
        <v/>
      </c>
      <c r="AW29" s="350" t="str">
        <f t="shared" si="37"/>
        <v/>
      </c>
      <c r="AX29" s="350" t="str">
        <f t="shared" si="37"/>
        <v/>
      </c>
      <c r="AY29" s="350">
        <f t="shared" ca="1" si="37"/>
        <v>2470</v>
      </c>
      <c r="AZ29" s="350">
        <f t="shared" ca="1" si="37"/>
        <v>64</v>
      </c>
      <c r="BA29" s="350">
        <f t="shared" ca="1" si="38"/>
        <v>69</v>
      </c>
      <c r="BB29" s="350">
        <f t="shared" ca="1" si="38"/>
        <v>80</v>
      </c>
      <c r="BC29" s="350">
        <f t="shared" ca="1" si="38"/>
        <v>97</v>
      </c>
      <c r="BD29" s="350">
        <f t="shared" ca="1" si="38"/>
        <v>90</v>
      </c>
      <c r="BE29" s="350">
        <f t="shared" ca="1" si="38"/>
        <v>103</v>
      </c>
      <c r="BF29" s="350">
        <f t="shared" ca="1" si="38"/>
        <v>75</v>
      </c>
      <c r="BG29" s="350">
        <f t="shared" ca="1" si="38"/>
        <v>75</v>
      </c>
      <c r="BH29" s="350" t="str">
        <f t="shared" si="38"/>
        <v/>
      </c>
      <c r="BI29" s="350" t="str">
        <f t="shared" si="38"/>
        <v/>
      </c>
      <c r="BJ29" s="350" t="str">
        <f t="shared" si="38"/>
        <v/>
      </c>
      <c r="BK29" s="350" t="str">
        <f t="shared" si="39"/>
        <v/>
      </c>
      <c r="BL29" s="350" t="str">
        <f t="shared" si="39"/>
        <v/>
      </c>
      <c r="BM29" s="350">
        <f t="shared" si="39"/>
        <v>293008.56</v>
      </c>
      <c r="BN29" s="350">
        <f t="shared" si="39"/>
        <v>7639.1</v>
      </c>
      <c r="BO29" s="350">
        <f t="shared" si="39"/>
        <v>9034.0700000000015</v>
      </c>
      <c r="BP29" s="350">
        <f t="shared" si="39"/>
        <v>9985.1400000000012</v>
      </c>
      <c r="BQ29" s="350">
        <f t="shared" si="39"/>
        <v>11581.539999999999</v>
      </c>
      <c r="BR29" s="350">
        <f t="shared" si="39"/>
        <v>13240.31</v>
      </c>
      <c r="BS29" s="350">
        <f t="shared" si="39"/>
        <v>14302.18</v>
      </c>
      <c r="BT29" s="350">
        <f t="shared" si="39"/>
        <v>11052.489999999998</v>
      </c>
      <c r="BU29" s="350">
        <f t="shared" si="39"/>
        <v>11130.710000000001</v>
      </c>
      <c r="BV29" s="350" t="str">
        <f t="shared" si="39"/>
        <v/>
      </c>
      <c r="BW29" s="350" t="str">
        <f t="shared" si="39"/>
        <v/>
      </c>
      <c r="BX29" s="350" t="str">
        <f t="shared" si="39"/>
        <v/>
      </c>
      <c r="BY29" s="350" t="str">
        <f t="shared" si="39"/>
        <v/>
      </c>
      <c r="BZ29" s="350" t="str">
        <f t="shared" si="39"/>
        <v/>
      </c>
      <c r="CB29" s="367"/>
    </row>
    <row r="30" spans="1:80" x14ac:dyDescent="0.25">
      <c r="A30" s="356" t="str">
        <v>Yanbu</v>
      </c>
      <c r="B30" s="356">
        <f t="shared" si="8"/>
        <v>1</v>
      </c>
      <c r="C30" s="356"/>
      <c r="D30" s="357">
        <f t="shared" ca="1" si="9"/>
        <v>0.1448128993002738</v>
      </c>
      <c r="E30" s="357">
        <f t="shared" ca="1" si="10"/>
        <v>0.17741935483870969</v>
      </c>
      <c r="F30" s="357">
        <f t="shared" ca="1" si="11"/>
        <v>0.1171875</v>
      </c>
      <c r="G30" s="357">
        <f t="shared" ca="1" si="12"/>
        <v>8.6580086580086577E-2</v>
      </c>
      <c r="H30" s="357">
        <f t="shared" ca="1" si="13"/>
        <v>7.9545454545454544E-2</v>
      </c>
      <c r="I30" s="357">
        <f t="shared" ca="1" si="14"/>
        <v>9.947643979057591E-2</v>
      </c>
      <c r="J30" s="357">
        <f t="shared" ca="1" si="15"/>
        <v>7.5892857142857137E-2</v>
      </c>
      <c r="K30" s="357">
        <f t="shared" ca="1" si="16"/>
        <v>9.9236641221374045E-2</v>
      </c>
      <c r="L30" s="357">
        <f t="shared" ca="1" si="17"/>
        <v>0.1165644171779141</v>
      </c>
      <c r="M30" s="357" t="str">
        <f t="shared" si="18"/>
        <v/>
      </c>
      <c r="N30" s="357" t="str">
        <f t="shared" si="19"/>
        <v/>
      </c>
      <c r="O30" s="357" t="str">
        <f t="shared" si="20"/>
        <v/>
      </c>
      <c r="P30" s="357" t="str">
        <f t="shared" si="21"/>
        <v/>
      </c>
      <c r="Q30" s="357" t="str">
        <f t="shared" si="22"/>
        <v/>
      </c>
      <c r="R30" s="358" cm="1">
        <f t="array" aca="1" ref="R30" ca="1">IF(OR($A30="",D30=""),"",IFERROR(LOOKUP(2,1/(E30:Q30&lt;&gt;""),E30:Q30)-D30,""))</f>
        <v>-2.8248482122359697E-2</v>
      </c>
      <c r="S30" s="349"/>
      <c r="T30" s="362">
        <f t="shared" ca="1" si="23"/>
        <v>149.8198739495798</v>
      </c>
      <c r="U30" s="362">
        <f t="shared" ca="1" si="24"/>
        <v>222.91727272727275</v>
      </c>
      <c r="V30" s="362">
        <f t="shared" ca="1" si="25"/>
        <v>122.26866666666666</v>
      </c>
      <c r="W30" s="362">
        <f t="shared" ca="1" si="26"/>
        <v>162.00150000000002</v>
      </c>
      <c r="X30" s="362">
        <f t="shared" ca="1" si="27"/>
        <v>153.85619047619048</v>
      </c>
      <c r="Y30" s="362">
        <f t="shared" ca="1" si="28"/>
        <v>161.41421052631577</v>
      </c>
      <c r="Z30" s="362">
        <f t="shared" ca="1" si="29"/>
        <v>156.05058823529413</v>
      </c>
      <c r="AA30" s="362">
        <f t="shared" ca="1" si="30"/>
        <v>170.98846153846154</v>
      </c>
      <c r="AB30" s="362">
        <f t="shared" ca="1" si="31"/>
        <v>144.90421052631578</v>
      </c>
      <c r="AC30" s="362" t="str">
        <f t="shared" si="32"/>
        <v/>
      </c>
      <c r="AD30" s="362" t="str">
        <f t="shared" si="33"/>
        <v/>
      </c>
      <c r="AE30" s="362" t="str">
        <f t="shared" si="34"/>
        <v/>
      </c>
      <c r="AF30" s="362" t="str">
        <f t="shared" si="35"/>
        <v/>
      </c>
      <c r="AG30" s="362" t="str">
        <f t="shared" si="36"/>
        <v/>
      </c>
      <c r="AH30" s="363" cm="1">
        <f t="array" aca="1" ref="AH30" ca="1">IF(OR($A30="",T30=""),"",IFERROR(LOOKUP(2,1/(U30:AG30&lt;&gt;""),U30:AG30)-T30,""))</f>
        <v>-4.9156634232640215</v>
      </c>
      <c r="AI30" s="349"/>
      <c r="AJ30" s="349"/>
      <c r="AK30" s="350">
        <f t="shared" si="37"/>
        <v>3287</v>
      </c>
      <c r="AL30" s="350">
        <f t="shared" si="37"/>
        <v>124</v>
      </c>
      <c r="AM30" s="350">
        <f t="shared" si="37"/>
        <v>128</v>
      </c>
      <c r="AN30" s="350">
        <f t="shared" si="37"/>
        <v>231</v>
      </c>
      <c r="AO30" s="350">
        <f t="shared" si="37"/>
        <v>264</v>
      </c>
      <c r="AP30" s="350">
        <f t="shared" si="37"/>
        <v>191</v>
      </c>
      <c r="AQ30" s="350">
        <f t="shared" si="37"/>
        <v>224</v>
      </c>
      <c r="AR30" s="350">
        <f t="shared" si="37"/>
        <v>131</v>
      </c>
      <c r="AS30" s="350">
        <f t="shared" si="37"/>
        <v>163</v>
      </c>
      <c r="AT30" s="350" t="str">
        <f t="shared" si="37"/>
        <v/>
      </c>
      <c r="AU30" s="350" t="str">
        <f t="shared" si="37"/>
        <v/>
      </c>
      <c r="AV30" s="350" t="str">
        <f t="shared" si="37"/>
        <v/>
      </c>
      <c r="AW30" s="350" t="str">
        <f t="shared" si="37"/>
        <v/>
      </c>
      <c r="AX30" s="350" t="str">
        <f t="shared" si="37"/>
        <v/>
      </c>
      <c r="AY30" s="350">
        <f t="shared" ca="1" si="37"/>
        <v>476</v>
      </c>
      <c r="AZ30" s="350">
        <f t="shared" ca="1" si="37"/>
        <v>22</v>
      </c>
      <c r="BA30" s="350">
        <f t="shared" ca="1" si="38"/>
        <v>15</v>
      </c>
      <c r="BB30" s="350">
        <f t="shared" ca="1" si="38"/>
        <v>20</v>
      </c>
      <c r="BC30" s="350">
        <f t="shared" ca="1" si="38"/>
        <v>21</v>
      </c>
      <c r="BD30" s="350">
        <f t="shared" ca="1" si="38"/>
        <v>19</v>
      </c>
      <c r="BE30" s="350">
        <f t="shared" ca="1" si="38"/>
        <v>17</v>
      </c>
      <c r="BF30" s="350">
        <f t="shared" ca="1" si="38"/>
        <v>13</v>
      </c>
      <c r="BG30" s="350">
        <f t="shared" ca="1" si="38"/>
        <v>19</v>
      </c>
      <c r="BH30" s="350" t="str">
        <f t="shared" si="38"/>
        <v/>
      </c>
      <c r="BI30" s="350" t="str">
        <f t="shared" si="38"/>
        <v/>
      </c>
      <c r="BJ30" s="350" t="str">
        <f t="shared" si="38"/>
        <v/>
      </c>
      <c r="BK30" s="350" t="str">
        <f t="shared" si="39"/>
        <v/>
      </c>
      <c r="BL30" s="350" t="str">
        <f t="shared" si="39"/>
        <v/>
      </c>
      <c r="BM30" s="350">
        <f t="shared" si="39"/>
        <v>71314.25999999998</v>
      </c>
      <c r="BN30" s="350">
        <f t="shared" si="39"/>
        <v>4904.18</v>
      </c>
      <c r="BO30" s="350">
        <f t="shared" si="39"/>
        <v>1834.03</v>
      </c>
      <c r="BP30" s="350">
        <f t="shared" si="39"/>
        <v>3240.03</v>
      </c>
      <c r="BQ30" s="350">
        <f t="shared" si="39"/>
        <v>3230.98</v>
      </c>
      <c r="BR30" s="350">
        <f t="shared" si="39"/>
        <v>3066.87</v>
      </c>
      <c r="BS30" s="350">
        <f t="shared" si="39"/>
        <v>2652.86</v>
      </c>
      <c r="BT30" s="350">
        <f t="shared" si="39"/>
        <v>2222.85</v>
      </c>
      <c r="BU30" s="350">
        <f t="shared" si="39"/>
        <v>2753.18</v>
      </c>
      <c r="BV30" s="350" t="str">
        <f t="shared" si="39"/>
        <v/>
      </c>
      <c r="BW30" s="350" t="str">
        <f t="shared" si="39"/>
        <v/>
      </c>
      <c r="BX30" s="350" t="str">
        <f t="shared" si="39"/>
        <v/>
      </c>
      <c r="BY30" s="350" t="str">
        <f t="shared" si="39"/>
        <v/>
      </c>
      <c r="BZ30" s="350" t="str">
        <f t="shared" si="39"/>
        <v/>
      </c>
      <c r="CB30" s="367"/>
    </row>
    <row r="31" spans="1:80" x14ac:dyDescent="0.25">
      <c r="A31" s="356"/>
      <c r="B31" s="356" t="str">
        <f t="shared" si="8"/>
        <v/>
      </c>
      <c r="C31" s="356"/>
      <c r="D31" s="357" t="str">
        <f t="shared" si="9"/>
        <v/>
      </c>
      <c r="E31" s="357" t="str">
        <f t="shared" si="10"/>
        <v/>
      </c>
      <c r="F31" s="357" t="str">
        <f t="shared" si="11"/>
        <v/>
      </c>
      <c r="G31" s="357" t="str">
        <f t="shared" si="12"/>
        <v/>
      </c>
      <c r="H31" s="357" t="str">
        <f t="shared" si="13"/>
        <v/>
      </c>
      <c r="I31" s="357" t="str">
        <f t="shared" si="14"/>
        <v/>
      </c>
      <c r="J31" s="357" t="str">
        <f t="shared" si="15"/>
        <v/>
      </c>
      <c r="K31" s="357" t="str">
        <f t="shared" si="16"/>
        <v/>
      </c>
      <c r="L31" s="357" t="str">
        <f t="shared" si="17"/>
        <v/>
      </c>
      <c r="M31" s="357" t="str">
        <f t="shared" si="18"/>
        <v/>
      </c>
      <c r="N31" s="357" t="str">
        <f t="shared" si="19"/>
        <v/>
      </c>
      <c r="O31" s="357" t="str">
        <f t="shared" si="20"/>
        <v/>
      </c>
      <c r="P31" s="357" t="str">
        <f t="shared" si="21"/>
        <v/>
      </c>
      <c r="Q31" s="357" t="str">
        <f t="shared" si="22"/>
        <v/>
      </c>
      <c r="R31" s="358" t="str" cm="1">
        <f t="array" ref="R31">IF(OR($A31="",D31=""),"",IFERROR(LOOKUP(2,1/(E31:Q31&lt;&gt;""),E31:Q31)-D31,""))</f>
        <v/>
      </c>
      <c r="S31" s="349"/>
      <c r="T31" s="362" t="str">
        <f t="shared" si="23"/>
        <v/>
      </c>
      <c r="U31" s="362" t="str">
        <f t="shared" si="24"/>
        <v/>
      </c>
      <c r="V31" s="362" t="str">
        <f t="shared" si="25"/>
        <v/>
      </c>
      <c r="W31" s="362" t="str">
        <f t="shared" si="26"/>
        <v/>
      </c>
      <c r="X31" s="362" t="str">
        <f t="shared" si="27"/>
        <v/>
      </c>
      <c r="Y31" s="362" t="str">
        <f t="shared" si="28"/>
        <v/>
      </c>
      <c r="Z31" s="362" t="str">
        <f t="shared" si="29"/>
        <v/>
      </c>
      <c r="AA31" s="362" t="str">
        <f t="shared" si="30"/>
        <v/>
      </c>
      <c r="AB31" s="362" t="str">
        <f t="shared" si="31"/>
        <v/>
      </c>
      <c r="AC31" s="362" t="str">
        <f t="shared" si="32"/>
        <v/>
      </c>
      <c r="AD31" s="362" t="str">
        <f t="shared" si="33"/>
        <v/>
      </c>
      <c r="AE31" s="362" t="str">
        <f t="shared" si="34"/>
        <v/>
      </c>
      <c r="AF31" s="362" t="str">
        <f t="shared" si="35"/>
        <v/>
      </c>
      <c r="AG31" s="362" t="str">
        <f t="shared" si="36"/>
        <v/>
      </c>
      <c r="AH31" s="363" t="str" cm="1">
        <f t="array" ref="AH31">IF(OR($A31="",T31=""),"",IFERROR(LOOKUP(2,1/(U31:AG31&lt;&gt;""),U31:AG31)-T31,""))</f>
        <v/>
      </c>
      <c r="AI31" s="349"/>
      <c r="AJ31" s="349"/>
      <c r="AK31" s="350" t="str">
        <f t="shared" si="37"/>
        <v/>
      </c>
      <c r="AL31" s="350" t="str">
        <f t="shared" si="37"/>
        <v/>
      </c>
      <c r="AM31" s="350" t="str">
        <f t="shared" si="37"/>
        <v/>
      </c>
      <c r="AN31" s="350" t="str">
        <f t="shared" si="37"/>
        <v/>
      </c>
      <c r="AO31" s="350" t="str">
        <f t="shared" si="37"/>
        <v/>
      </c>
      <c r="AP31" s="350" t="str">
        <f t="shared" si="37"/>
        <v/>
      </c>
      <c r="AQ31" s="350" t="str">
        <f t="shared" si="37"/>
        <v/>
      </c>
      <c r="AR31" s="350" t="str">
        <f t="shared" si="37"/>
        <v/>
      </c>
      <c r="AS31" s="350" t="str">
        <f t="shared" si="37"/>
        <v/>
      </c>
      <c r="AT31" s="350" t="str">
        <f t="shared" si="37"/>
        <v/>
      </c>
      <c r="AU31" s="350" t="str">
        <f t="shared" si="37"/>
        <v/>
      </c>
      <c r="AV31" s="350" t="str">
        <f t="shared" si="37"/>
        <v/>
      </c>
      <c r="AW31" s="350" t="str">
        <f t="shared" si="37"/>
        <v/>
      </c>
      <c r="AX31" s="350" t="str">
        <f t="shared" si="37"/>
        <v/>
      </c>
      <c r="AY31" s="350" t="str">
        <f t="shared" si="37"/>
        <v/>
      </c>
      <c r="AZ31" s="350" t="str">
        <f t="shared" si="37"/>
        <v/>
      </c>
      <c r="BA31" s="350" t="str">
        <f t="shared" si="38"/>
        <v/>
      </c>
      <c r="BB31" s="350" t="str">
        <f t="shared" si="38"/>
        <v/>
      </c>
      <c r="BC31" s="350" t="str">
        <f t="shared" si="38"/>
        <v/>
      </c>
      <c r="BD31" s="350" t="str">
        <f t="shared" si="38"/>
        <v/>
      </c>
      <c r="BE31" s="350" t="str">
        <f t="shared" si="38"/>
        <v/>
      </c>
      <c r="BF31" s="350" t="str">
        <f t="shared" si="38"/>
        <v/>
      </c>
      <c r="BG31" s="350" t="str">
        <f t="shared" si="38"/>
        <v/>
      </c>
      <c r="BH31" s="350" t="str">
        <f t="shared" si="38"/>
        <v/>
      </c>
      <c r="BI31" s="350" t="str">
        <f t="shared" si="38"/>
        <v/>
      </c>
      <c r="BJ31" s="350" t="str">
        <f t="shared" si="38"/>
        <v/>
      </c>
      <c r="BK31" s="350" t="str">
        <f t="shared" si="39"/>
        <v/>
      </c>
      <c r="BL31" s="350" t="str">
        <f t="shared" si="39"/>
        <v/>
      </c>
      <c r="BM31" s="350" t="str">
        <f t="shared" si="39"/>
        <v/>
      </c>
      <c r="BN31" s="350" t="str">
        <f t="shared" si="39"/>
        <v/>
      </c>
      <c r="BO31" s="350" t="str">
        <f t="shared" si="39"/>
        <v/>
      </c>
      <c r="BP31" s="350" t="str">
        <f t="shared" si="39"/>
        <v/>
      </c>
      <c r="BQ31" s="350" t="str">
        <f t="shared" si="39"/>
        <v/>
      </c>
      <c r="BR31" s="350" t="str">
        <f t="shared" si="39"/>
        <v/>
      </c>
      <c r="BS31" s="350" t="str">
        <f t="shared" si="39"/>
        <v/>
      </c>
      <c r="BT31" s="350" t="str">
        <f t="shared" si="39"/>
        <v/>
      </c>
      <c r="BU31" s="350" t="str">
        <f t="shared" si="39"/>
        <v/>
      </c>
      <c r="BV31" s="350" t="str">
        <f t="shared" si="39"/>
        <v/>
      </c>
      <c r="BW31" s="350" t="str">
        <f t="shared" si="39"/>
        <v/>
      </c>
      <c r="BX31" s="350" t="str">
        <f t="shared" si="39"/>
        <v/>
      </c>
      <c r="BY31" s="350" t="str">
        <f t="shared" si="39"/>
        <v/>
      </c>
      <c r="BZ31" s="350" t="str">
        <f t="shared" si="39"/>
        <v/>
      </c>
      <c r="CB31" s="367"/>
    </row>
    <row r="32" spans="1:80" x14ac:dyDescent="0.25">
      <c r="A32" s="356"/>
      <c r="B32" s="356" t="str">
        <f t="shared" si="8"/>
        <v/>
      </c>
      <c r="C32" s="356"/>
      <c r="D32" s="357" t="str">
        <f t="shared" si="9"/>
        <v/>
      </c>
      <c r="E32" s="357" t="str">
        <f t="shared" si="10"/>
        <v/>
      </c>
      <c r="F32" s="357" t="str">
        <f t="shared" si="11"/>
        <v/>
      </c>
      <c r="G32" s="357" t="str">
        <f t="shared" si="12"/>
        <v/>
      </c>
      <c r="H32" s="357" t="str">
        <f t="shared" si="13"/>
        <v/>
      </c>
      <c r="I32" s="357" t="str">
        <f t="shared" si="14"/>
        <v/>
      </c>
      <c r="J32" s="357" t="str">
        <f t="shared" si="15"/>
        <v/>
      </c>
      <c r="K32" s="357" t="str">
        <f t="shared" si="16"/>
        <v/>
      </c>
      <c r="L32" s="357" t="str">
        <f t="shared" si="17"/>
        <v/>
      </c>
      <c r="M32" s="357" t="str">
        <f t="shared" si="18"/>
        <v/>
      </c>
      <c r="N32" s="357" t="str">
        <f t="shared" si="19"/>
        <v/>
      </c>
      <c r="O32" s="357" t="str">
        <f t="shared" si="20"/>
        <v/>
      </c>
      <c r="P32" s="357" t="str">
        <f t="shared" si="21"/>
        <v/>
      </c>
      <c r="Q32" s="357" t="str">
        <f t="shared" si="22"/>
        <v/>
      </c>
      <c r="R32" s="358" t="str" cm="1">
        <f t="array" ref="R32">IF(OR($A32="",D32=""),"",IFERROR(LOOKUP(2,1/(E32:Q32&lt;&gt;""),E32:Q32)-D32,""))</f>
        <v/>
      </c>
      <c r="S32" s="349"/>
      <c r="T32" s="362" t="str">
        <f t="shared" si="23"/>
        <v/>
      </c>
      <c r="U32" s="362" t="str">
        <f t="shared" si="24"/>
        <v/>
      </c>
      <c r="V32" s="362" t="str">
        <f t="shared" si="25"/>
        <v/>
      </c>
      <c r="W32" s="362" t="str">
        <f t="shared" si="26"/>
        <v/>
      </c>
      <c r="X32" s="362" t="str">
        <f t="shared" si="27"/>
        <v/>
      </c>
      <c r="Y32" s="362" t="str">
        <f t="shared" si="28"/>
        <v/>
      </c>
      <c r="Z32" s="362" t="str">
        <f t="shared" si="29"/>
        <v/>
      </c>
      <c r="AA32" s="362" t="str">
        <f t="shared" si="30"/>
        <v/>
      </c>
      <c r="AB32" s="362" t="str">
        <f t="shared" si="31"/>
        <v/>
      </c>
      <c r="AC32" s="362" t="str">
        <f t="shared" si="32"/>
        <v/>
      </c>
      <c r="AD32" s="362" t="str">
        <f t="shared" si="33"/>
        <v/>
      </c>
      <c r="AE32" s="362" t="str">
        <f t="shared" si="34"/>
        <v/>
      </c>
      <c r="AF32" s="362" t="str">
        <f t="shared" si="35"/>
        <v/>
      </c>
      <c r="AG32" s="362" t="str">
        <f t="shared" si="36"/>
        <v/>
      </c>
      <c r="AH32" s="363" t="str" cm="1">
        <f t="array" ref="AH32">IF(OR($A32="",T32=""),"",IFERROR(LOOKUP(2,1/(U32:AG32&lt;&gt;""),U32:AG32)-T32,""))</f>
        <v/>
      </c>
      <c r="AI32" s="349"/>
      <c r="AJ32" s="349"/>
      <c r="AK32" s="350" t="str">
        <f t="shared" si="37"/>
        <v/>
      </c>
      <c r="AL32" s="350" t="str">
        <f t="shared" si="37"/>
        <v/>
      </c>
      <c r="AM32" s="350" t="str">
        <f t="shared" si="37"/>
        <v/>
      </c>
      <c r="AN32" s="350" t="str">
        <f t="shared" si="37"/>
        <v/>
      </c>
      <c r="AO32" s="350" t="str">
        <f t="shared" si="37"/>
        <v/>
      </c>
      <c r="AP32" s="350" t="str">
        <f t="shared" si="37"/>
        <v/>
      </c>
      <c r="AQ32" s="350" t="str">
        <f t="shared" si="37"/>
        <v/>
      </c>
      <c r="AR32" s="350" t="str">
        <f t="shared" si="37"/>
        <v/>
      </c>
      <c r="AS32" s="350" t="str">
        <f t="shared" si="37"/>
        <v/>
      </c>
      <c r="AT32" s="350" t="str">
        <f t="shared" si="37"/>
        <v/>
      </c>
      <c r="AU32" s="350" t="str">
        <f t="shared" si="37"/>
        <v/>
      </c>
      <c r="AV32" s="350" t="str">
        <f t="shared" si="37"/>
        <v/>
      </c>
      <c r="AW32" s="350" t="str">
        <f t="shared" si="37"/>
        <v/>
      </c>
      <c r="AX32" s="350" t="str">
        <f t="shared" si="37"/>
        <v/>
      </c>
      <c r="AY32" s="350" t="str">
        <f t="shared" si="37"/>
        <v/>
      </c>
      <c r="AZ32" s="350" t="str">
        <f t="shared" si="37"/>
        <v/>
      </c>
      <c r="BA32" s="350" t="str">
        <f t="shared" si="38"/>
        <v/>
      </c>
      <c r="BB32" s="350" t="str">
        <f t="shared" si="38"/>
        <v/>
      </c>
      <c r="BC32" s="350" t="str">
        <f t="shared" si="38"/>
        <v/>
      </c>
      <c r="BD32" s="350" t="str">
        <f t="shared" si="38"/>
        <v/>
      </c>
      <c r="BE32" s="350" t="str">
        <f t="shared" si="38"/>
        <v/>
      </c>
      <c r="BF32" s="350" t="str">
        <f t="shared" si="38"/>
        <v/>
      </c>
      <c r="BG32" s="350" t="str">
        <f t="shared" si="38"/>
        <v/>
      </c>
      <c r="BH32" s="350" t="str">
        <f t="shared" si="38"/>
        <v/>
      </c>
      <c r="BI32" s="350" t="str">
        <f t="shared" si="38"/>
        <v/>
      </c>
      <c r="BJ32" s="350" t="str">
        <f t="shared" si="38"/>
        <v/>
      </c>
      <c r="BK32" s="350" t="str">
        <f t="shared" si="39"/>
        <v/>
      </c>
      <c r="BL32" s="350" t="str">
        <f t="shared" si="39"/>
        <v/>
      </c>
      <c r="BM32" s="350" t="str">
        <f t="shared" si="39"/>
        <v/>
      </c>
      <c r="BN32" s="350" t="str">
        <f t="shared" si="39"/>
        <v/>
      </c>
      <c r="BO32" s="350" t="str">
        <f t="shared" si="39"/>
        <v/>
      </c>
      <c r="BP32" s="350" t="str">
        <f t="shared" si="39"/>
        <v/>
      </c>
      <c r="BQ32" s="350" t="str">
        <f t="shared" si="39"/>
        <v/>
      </c>
      <c r="BR32" s="350" t="str">
        <f t="shared" si="39"/>
        <v/>
      </c>
      <c r="BS32" s="350" t="str">
        <f t="shared" si="39"/>
        <v/>
      </c>
      <c r="BT32" s="350" t="str">
        <f t="shared" si="39"/>
        <v/>
      </c>
      <c r="BU32" s="350" t="str">
        <f t="shared" si="39"/>
        <v/>
      </c>
      <c r="BV32" s="350" t="str">
        <f t="shared" si="39"/>
        <v/>
      </c>
      <c r="BW32" s="350" t="str">
        <f t="shared" si="39"/>
        <v/>
      </c>
      <c r="BX32" s="350" t="str">
        <f t="shared" si="39"/>
        <v/>
      </c>
      <c r="BY32" s="350" t="str">
        <f t="shared" si="39"/>
        <v/>
      </c>
      <c r="BZ32" s="350" t="str">
        <f t="shared" ref="BZ32" si="40">IF(OR($A32="",BZ$6=""),"",SUMIFS(BZ$46:BZ$145,$C$46:$C$145,$A32))</f>
        <v/>
      </c>
      <c r="CB32" s="367"/>
    </row>
    <row r="33" spans="1:80" x14ac:dyDescent="0.25">
      <c r="A33" s="356"/>
      <c r="B33" s="356" t="str">
        <f t="shared" si="8"/>
        <v/>
      </c>
      <c r="C33" s="356"/>
      <c r="D33" s="357" t="str">
        <f t="shared" si="9"/>
        <v/>
      </c>
      <c r="E33" s="357" t="str">
        <f t="shared" si="10"/>
        <v/>
      </c>
      <c r="F33" s="357" t="str">
        <f t="shared" si="11"/>
        <v/>
      </c>
      <c r="G33" s="357" t="str">
        <f t="shared" si="12"/>
        <v/>
      </c>
      <c r="H33" s="357" t="str">
        <f t="shared" si="13"/>
        <v/>
      </c>
      <c r="I33" s="357" t="str">
        <f t="shared" si="14"/>
        <v/>
      </c>
      <c r="J33" s="357" t="str">
        <f t="shared" si="15"/>
        <v/>
      </c>
      <c r="K33" s="357" t="str">
        <f t="shared" si="16"/>
        <v/>
      </c>
      <c r="L33" s="357" t="str">
        <f t="shared" si="17"/>
        <v/>
      </c>
      <c r="M33" s="357" t="str">
        <f t="shared" si="18"/>
        <v/>
      </c>
      <c r="N33" s="357" t="str">
        <f t="shared" si="19"/>
        <v/>
      </c>
      <c r="O33" s="357" t="str">
        <f t="shared" si="20"/>
        <v/>
      </c>
      <c r="P33" s="357" t="str">
        <f t="shared" si="21"/>
        <v/>
      </c>
      <c r="Q33" s="357" t="str">
        <f t="shared" si="22"/>
        <v/>
      </c>
      <c r="R33" s="358" t="str" cm="1">
        <f t="array" ref="R33">IF(OR($A33="",D33=""),"",IFERROR(LOOKUP(2,1/(E33:Q33&lt;&gt;""),E33:Q33)-D33,""))</f>
        <v/>
      </c>
      <c r="S33" s="349"/>
      <c r="T33" s="362" t="str">
        <f t="shared" si="23"/>
        <v/>
      </c>
      <c r="U33" s="362" t="str">
        <f t="shared" si="24"/>
        <v/>
      </c>
      <c r="V33" s="362" t="str">
        <f t="shared" si="25"/>
        <v/>
      </c>
      <c r="W33" s="362" t="str">
        <f t="shared" si="26"/>
        <v/>
      </c>
      <c r="X33" s="362" t="str">
        <f t="shared" si="27"/>
        <v/>
      </c>
      <c r="Y33" s="362" t="str">
        <f t="shared" si="28"/>
        <v/>
      </c>
      <c r="Z33" s="362" t="str">
        <f t="shared" si="29"/>
        <v/>
      </c>
      <c r="AA33" s="362" t="str">
        <f t="shared" si="30"/>
        <v/>
      </c>
      <c r="AB33" s="362" t="str">
        <f t="shared" si="31"/>
        <v/>
      </c>
      <c r="AC33" s="362" t="str">
        <f t="shared" si="32"/>
        <v/>
      </c>
      <c r="AD33" s="362" t="str">
        <f t="shared" si="33"/>
        <v/>
      </c>
      <c r="AE33" s="362" t="str">
        <f t="shared" si="34"/>
        <v/>
      </c>
      <c r="AF33" s="362" t="str">
        <f t="shared" si="35"/>
        <v/>
      </c>
      <c r="AG33" s="362" t="str">
        <f t="shared" si="36"/>
        <v/>
      </c>
      <c r="AH33" s="363" t="str" cm="1">
        <f t="array" ref="AH33">IF(OR($A33="",T33=""),"",IFERROR(LOOKUP(2,1/(U33:AG33&lt;&gt;""),U33:AG33)-T33,""))</f>
        <v/>
      </c>
      <c r="AI33" s="349"/>
      <c r="AJ33" s="349"/>
      <c r="AK33" s="350" t="str">
        <f t="shared" si="37"/>
        <v/>
      </c>
      <c r="AL33" s="350" t="str">
        <f t="shared" si="37"/>
        <v/>
      </c>
      <c r="AM33" s="350" t="str">
        <f t="shared" si="37"/>
        <v/>
      </c>
      <c r="AN33" s="350" t="str">
        <f t="shared" si="37"/>
        <v/>
      </c>
      <c r="AO33" s="350" t="str">
        <f t="shared" si="37"/>
        <v/>
      </c>
      <c r="AP33" s="350" t="str">
        <f t="shared" si="37"/>
        <v/>
      </c>
      <c r="AQ33" s="350" t="str">
        <f t="shared" si="37"/>
        <v/>
      </c>
      <c r="AR33" s="350" t="str">
        <f t="shared" si="37"/>
        <v/>
      </c>
      <c r="AS33" s="350" t="str">
        <f t="shared" si="37"/>
        <v/>
      </c>
      <c r="AT33" s="350" t="str">
        <f t="shared" ref="AT33:BI40" si="41">IF(OR($A33="",AT$6=""),"",SUMIFS(AT$46:AT$145,$C$46:$C$145,$A33))</f>
        <v/>
      </c>
      <c r="AU33" s="350" t="str">
        <f t="shared" si="41"/>
        <v/>
      </c>
      <c r="AV33" s="350" t="str">
        <f t="shared" si="41"/>
        <v/>
      </c>
      <c r="AW33" s="350" t="str">
        <f t="shared" si="41"/>
        <v/>
      </c>
      <c r="AX33" s="350" t="str">
        <f t="shared" si="41"/>
        <v/>
      </c>
      <c r="AY33" s="350" t="str">
        <f t="shared" si="41"/>
        <v/>
      </c>
      <c r="AZ33" s="350" t="str">
        <f t="shared" si="41"/>
        <v/>
      </c>
      <c r="BA33" s="350" t="str">
        <f t="shared" si="41"/>
        <v/>
      </c>
      <c r="BB33" s="350" t="str">
        <f t="shared" si="41"/>
        <v/>
      </c>
      <c r="BC33" s="350" t="str">
        <f t="shared" si="41"/>
        <v/>
      </c>
      <c r="BD33" s="350" t="str">
        <f t="shared" si="41"/>
        <v/>
      </c>
      <c r="BE33" s="350" t="str">
        <f t="shared" si="41"/>
        <v/>
      </c>
      <c r="BF33" s="350" t="str">
        <f t="shared" si="41"/>
        <v/>
      </c>
      <c r="BG33" s="350" t="str">
        <f t="shared" si="41"/>
        <v/>
      </c>
      <c r="BH33" s="350" t="str">
        <f t="shared" si="41"/>
        <v/>
      </c>
      <c r="BI33" s="350" t="str">
        <f t="shared" si="41"/>
        <v/>
      </c>
      <c r="BJ33" s="350" t="str">
        <f t="shared" si="38"/>
        <v/>
      </c>
      <c r="BK33" s="350" t="str">
        <f t="shared" ref="BK33:BZ40" si="42">IF(OR($A33="",BK$6=""),"",SUMIFS(BK$46:BK$145,$C$46:$C$145,$A33))</f>
        <v/>
      </c>
      <c r="BL33" s="350" t="str">
        <f t="shared" si="42"/>
        <v/>
      </c>
      <c r="BM33" s="350" t="str">
        <f t="shared" si="42"/>
        <v/>
      </c>
      <c r="BN33" s="350" t="str">
        <f t="shared" si="42"/>
        <v/>
      </c>
      <c r="BO33" s="350" t="str">
        <f t="shared" si="42"/>
        <v/>
      </c>
      <c r="BP33" s="350" t="str">
        <f t="shared" si="42"/>
        <v/>
      </c>
      <c r="BQ33" s="350" t="str">
        <f t="shared" si="42"/>
        <v/>
      </c>
      <c r="BR33" s="350" t="str">
        <f t="shared" si="42"/>
        <v/>
      </c>
      <c r="BS33" s="350" t="str">
        <f t="shared" si="42"/>
        <v/>
      </c>
      <c r="BT33" s="350" t="str">
        <f t="shared" si="42"/>
        <v/>
      </c>
      <c r="BU33" s="350" t="str">
        <f t="shared" si="42"/>
        <v/>
      </c>
      <c r="BV33" s="350" t="str">
        <f t="shared" si="42"/>
        <v/>
      </c>
      <c r="BW33" s="350" t="str">
        <f t="shared" si="42"/>
        <v/>
      </c>
      <c r="BX33" s="350" t="str">
        <f t="shared" si="42"/>
        <v/>
      </c>
      <c r="BY33" s="350" t="str">
        <f t="shared" si="42"/>
        <v/>
      </c>
      <c r="BZ33" s="350" t="str">
        <f t="shared" si="42"/>
        <v/>
      </c>
      <c r="CB33" s="367"/>
    </row>
    <row r="34" spans="1:80" x14ac:dyDescent="0.25">
      <c r="A34" s="356"/>
      <c r="B34" s="356" t="str">
        <f t="shared" si="8"/>
        <v/>
      </c>
      <c r="C34" s="356"/>
      <c r="D34" s="357" t="str">
        <f t="shared" si="9"/>
        <v/>
      </c>
      <c r="E34" s="357" t="str">
        <f t="shared" si="10"/>
        <v/>
      </c>
      <c r="F34" s="357" t="str">
        <f t="shared" si="11"/>
        <v/>
      </c>
      <c r="G34" s="357" t="str">
        <f t="shared" si="12"/>
        <v/>
      </c>
      <c r="H34" s="357" t="str">
        <f t="shared" si="13"/>
        <v/>
      </c>
      <c r="I34" s="357" t="str">
        <f t="shared" si="14"/>
        <v/>
      </c>
      <c r="J34" s="357" t="str">
        <f t="shared" si="15"/>
        <v/>
      </c>
      <c r="K34" s="357" t="str">
        <f t="shared" si="16"/>
        <v/>
      </c>
      <c r="L34" s="357" t="str">
        <f t="shared" si="17"/>
        <v/>
      </c>
      <c r="M34" s="357" t="str">
        <f t="shared" si="18"/>
        <v/>
      </c>
      <c r="N34" s="357" t="str">
        <f t="shared" si="19"/>
        <v/>
      </c>
      <c r="O34" s="357" t="str">
        <f t="shared" si="20"/>
        <v/>
      </c>
      <c r="P34" s="357" t="str">
        <f t="shared" si="21"/>
        <v/>
      </c>
      <c r="Q34" s="357" t="str">
        <f t="shared" si="22"/>
        <v/>
      </c>
      <c r="R34" s="358" t="str" cm="1">
        <f t="array" ref="R34">IF(OR($A34="",D34=""),"",IFERROR(LOOKUP(2,1/(E34:Q34&lt;&gt;""),E34:Q34)-D34,""))</f>
        <v/>
      </c>
      <c r="S34" s="349"/>
      <c r="T34" s="362" t="str">
        <f t="shared" si="23"/>
        <v/>
      </c>
      <c r="U34" s="362" t="str">
        <f t="shared" si="24"/>
        <v/>
      </c>
      <c r="V34" s="362" t="str">
        <f t="shared" si="25"/>
        <v/>
      </c>
      <c r="W34" s="362" t="str">
        <f t="shared" si="26"/>
        <v/>
      </c>
      <c r="X34" s="362" t="str">
        <f t="shared" si="27"/>
        <v/>
      </c>
      <c r="Y34" s="362" t="str">
        <f t="shared" si="28"/>
        <v/>
      </c>
      <c r="Z34" s="362" t="str">
        <f t="shared" si="29"/>
        <v/>
      </c>
      <c r="AA34" s="362" t="str">
        <f t="shared" si="30"/>
        <v/>
      </c>
      <c r="AB34" s="362" t="str">
        <f t="shared" si="31"/>
        <v/>
      </c>
      <c r="AC34" s="362" t="str">
        <f t="shared" si="32"/>
        <v/>
      </c>
      <c r="AD34" s="362" t="str">
        <f t="shared" si="33"/>
        <v/>
      </c>
      <c r="AE34" s="362" t="str">
        <f t="shared" si="34"/>
        <v/>
      </c>
      <c r="AF34" s="362" t="str">
        <f t="shared" si="35"/>
        <v/>
      </c>
      <c r="AG34" s="362" t="str">
        <f t="shared" si="36"/>
        <v/>
      </c>
      <c r="AH34" s="363" t="str" cm="1">
        <f t="array" ref="AH34">IF(OR($A34="",T34=""),"",IFERROR(LOOKUP(2,1/(U34:AG34&lt;&gt;""),U34:AG34)-T34,""))</f>
        <v/>
      </c>
      <c r="AI34" s="349"/>
      <c r="AJ34" s="349"/>
      <c r="AK34" s="350" t="str">
        <f t="shared" ref="AK34:AZ40" si="43">IF(OR($A34="",AK$6=""),"",SUMIFS(AK$46:AK$145,$C$46:$C$145,$A34))</f>
        <v/>
      </c>
      <c r="AL34" s="350" t="str">
        <f t="shared" si="43"/>
        <v/>
      </c>
      <c r="AM34" s="350" t="str">
        <f t="shared" si="43"/>
        <v/>
      </c>
      <c r="AN34" s="350" t="str">
        <f t="shared" si="43"/>
        <v/>
      </c>
      <c r="AO34" s="350" t="str">
        <f t="shared" si="43"/>
        <v/>
      </c>
      <c r="AP34" s="350" t="str">
        <f t="shared" si="43"/>
        <v/>
      </c>
      <c r="AQ34" s="350" t="str">
        <f t="shared" si="43"/>
        <v/>
      </c>
      <c r="AR34" s="350" t="str">
        <f t="shared" si="43"/>
        <v/>
      </c>
      <c r="AS34" s="350" t="str">
        <f t="shared" si="43"/>
        <v/>
      </c>
      <c r="AT34" s="350" t="str">
        <f t="shared" si="43"/>
        <v/>
      </c>
      <c r="AU34" s="350" t="str">
        <f t="shared" si="43"/>
        <v/>
      </c>
      <c r="AV34" s="350" t="str">
        <f t="shared" si="43"/>
        <v/>
      </c>
      <c r="AW34" s="350" t="str">
        <f t="shared" si="43"/>
        <v/>
      </c>
      <c r="AX34" s="350" t="str">
        <f t="shared" si="43"/>
        <v/>
      </c>
      <c r="AY34" s="350" t="str">
        <f t="shared" si="43"/>
        <v/>
      </c>
      <c r="AZ34" s="350" t="str">
        <f t="shared" si="43"/>
        <v/>
      </c>
      <c r="BA34" s="350" t="str">
        <f t="shared" si="41"/>
        <v/>
      </c>
      <c r="BB34" s="350" t="str">
        <f t="shared" si="41"/>
        <v/>
      </c>
      <c r="BC34" s="350" t="str">
        <f t="shared" si="41"/>
        <v/>
      </c>
      <c r="BD34" s="350" t="str">
        <f t="shared" si="41"/>
        <v/>
      </c>
      <c r="BE34" s="350" t="str">
        <f t="shared" si="41"/>
        <v/>
      </c>
      <c r="BF34" s="350" t="str">
        <f t="shared" si="41"/>
        <v/>
      </c>
      <c r="BG34" s="350" t="str">
        <f t="shared" si="41"/>
        <v/>
      </c>
      <c r="BH34" s="350" t="str">
        <f t="shared" si="41"/>
        <v/>
      </c>
      <c r="BI34" s="350" t="str">
        <f t="shared" si="41"/>
        <v/>
      </c>
      <c r="BJ34" s="350" t="str">
        <f t="shared" si="38"/>
        <v/>
      </c>
      <c r="BK34" s="350" t="str">
        <f t="shared" si="42"/>
        <v/>
      </c>
      <c r="BL34" s="350" t="str">
        <f t="shared" si="42"/>
        <v/>
      </c>
      <c r="BM34" s="350" t="str">
        <f t="shared" si="42"/>
        <v/>
      </c>
      <c r="BN34" s="350" t="str">
        <f t="shared" si="42"/>
        <v/>
      </c>
      <c r="BO34" s="350" t="str">
        <f t="shared" si="42"/>
        <v/>
      </c>
      <c r="BP34" s="350" t="str">
        <f t="shared" si="42"/>
        <v/>
      </c>
      <c r="BQ34" s="350" t="str">
        <f t="shared" si="42"/>
        <v/>
      </c>
      <c r="BR34" s="350" t="str">
        <f t="shared" si="42"/>
        <v/>
      </c>
      <c r="BS34" s="350" t="str">
        <f t="shared" si="42"/>
        <v/>
      </c>
      <c r="BT34" s="350" t="str">
        <f t="shared" si="42"/>
        <v/>
      </c>
      <c r="BU34" s="350" t="str">
        <f t="shared" si="42"/>
        <v/>
      </c>
      <c r="BV34" s="350" t="str">
        <f t="shared" si="42"/>
        <v/>
      </c>
      <c r="BW34" s="350" t="str">
        <f t="shared" si="42"/>
        <v/>
      </c>
      <c r="BX34" s="350" t="str">
        <f t="shared" si="42"/>
        <v/>
      </c>
      <c r="BY34" s="350" t="str">
        <f t="shared" si="42"/>
        <v/>
      </c>
      <c r="BZ34" s="350" t="str">
        <f t="shared" si="42"/>
        <v/>
      </c>
      <c r="CB34" s="367"/>
    </row>
    <row r="35" spans="1:80" x14ac:dyDescent="0.25">
      <c r="A35" s="356"/>
      <c r="B35" s="356" t="str">
        <f t="shared" si="8"/>
        <v/>
      </c>
      <c r="C35" s="356"/>
      <c r="D35" s="357" t="str">
        <f t="shared" si="9"/>
        <v/>
      </c>
      <c r="E35" s="357" t="str">
        <f t="shared" si="10"/>
        <v/>
      </c>
      <c r="F35" s="357" t="str">
        <f t="shared" si="11"/>
        <v/>
      </c>
      <c r="G35" s="357" t="str">
        <f t="shared" si="12"/>
        <v/>
      </c>
      <c r="H35" s="357" t="str">
        <f t="shared" si="13"/>
        <v/>
      </c>
      <c r="I35" s="357" t="str">
        <f t="shared" si="14"/>
        <v/>
      </c>
      <c r="J35" s="357" t="str">
        <f t="shared" si="15"/>
        <v/>
      </c>
      <c r="K35" s="357" t="str">
        <f t="shared" si="16"/>
        <v/>
      </c>
      <c r="L35" s="357" t="str">
        <f t="shared" si="17"/>
        <v/>
      </c>
      <c r="M35" s="357" t="str">
        <f t="shared" si="18"/>
        <v/>
      </c>
      <c r="N35" s="357" t="str">
        <f t="shared" si="19"/>
        <v/>
      </c>
      <c r="O35" s="357" t="str">
        <f t="shared" si="20"/>
        <v/>
      </c>
      <c r="P35" s="357" t="str">
        <f t="shared" si="21"/>
        <v/>
      </c>
      <c r="Q35" s="357" t="str">
        <f t="shared" si="22"/>
        <v/>
      </c>
      <c r="R35" s="358" t="str" cm="1">
        <f t="array" ref="R35">IF(OR($A35="",D35=""),"",IFERROR(LOOKUP(2,1/(E35:Q35&lt;&gt;""),E35:Q35)-D35,""))</f>
        <v/>
      </c>
      <c r="S35" s="349"/>
      <c r="T35" s="362" t="str">
        <f t="shared" si="23"/>
        <v/>
      </c>
      <c r="U35" s="362" t="str">
        <f t="shared" si="24"/>
        <v/>
      </c>
      <c r="V35" s="362" t="str">
        <f t="shared" si="25"/>
        <v/>
      </c>
      <c r="W35" s="362" t="str">
        <f t="shared" si="26"/>
        <v/>
      </c>
      <c r="X35" s="362" t="str">
        <f t="shared" si="27"/>
        <v/>
      </c>
      <c r="Y35" s="362" t="str">
        <f t="shared" si="28"/>
        <v/>
      </c>
      <c r="Z35" s="362" t="str">
        <f t="shared" si="29"/>
        <v/>
      </c>
      <c r="AA35" s="362" t="str">
        <f t="shared" si="30"/>
        <v/>
      </c>
      <c r="AB35" s="362" t="str">
        <f t="shared" si="31"/>
        <v/>
      </c>
      <c r="AC35" s="362" t="str">
        <f t="shared" si="32"/>
        <v/>
      </c>
      <c r="AD35" s="362" t="str">
        <f t="shared" si="33"/>
        <v/>
      </c>
      <c r="AE35" s="362" t="str">
        <f t="shared" si="34"/>
        <v/>
      </c>
      <c r="AF35" s="362" t="str">
        <f t="shared" si="35"/>
        <v/>
      </c>
      <c r="AG35" s="362" t="str">
        <f t="shared" si="36"/>
        <v/>
      </c>
      <c r="AH35" s="363" t="str" cm="1">
        <f t="array" ref="AH35">IF(OR($A35="",T35=""),"",IFERROR(LOOKUP(2,1/(U35:AG35&lt;&gt;""),U35:AG35)-T35,""))</f>
        <v/>
      </c>
      <c r="AI35" s="349"/>
      <c r="AJ35" s="349"/>
      <c r="AK35" s="350" t="str">
        <f t="shared" si="43"/>
        <v/>
      </c>
      <c r="AL35" s="350" t="str">
        <f t="shared" si="43"/>
        <v/>
      </c>
      <c r="AM35" s="350" t="str">
        <f t="shared" si="43"/>
        <v/>
      </c>
      <c r="AN35" s="350" t="str">
        <f t="shared" si="43"/>
        <v/>
      </c>
      <c r="AO35" s="350" t="str">
        <f t="shared" si="43"/>
        <v/>
      </c>
      <c r="AP35" s="350" t="str">
        <f t="shared" si="43"/>
        <v/>
      </c>
      <c r="AQ35" s="350" t="str">
        <f t="shared" si="43"/>
        <v/>
      </c>
      <c r="AR35" s="350" t="str">
        <f t="shared" si="43"/>
        <v/>
      </c>
      <c r="AS35" s="350" t="str">
        <f t="shared" si="43"/>
        <v/>
      </c>
      <c r="AT35" s="350" t="str">
        <f t="shared" si="43"/>
        <v/>
      </c>
      <c r="AU35" s="350" t="str">
        <f t="shared" si="43"/>
        <v/>
      </c>
      <c r="AV35" s="350" t="str">
        <f t="shared" si="43"/>
        <v/>
      </c>
      <c r="AW35" s="350" t="str">
        <f t="shared" si="43"/>
        <v/>
      </c>
      <c r="AX35" s="350" t="str">
        <f t="shared" si="43"/>
        <v/>
      </c>
      <c r="AY35" s="350" t="str">
        <f t="shared" si="43"/>
        <v/>
      </c>
      <c r="AZ35" s="350" t="str">
        <f t="shared" si="43"/>
        <v/>
      </c>
      <c r="BA35" s="350" t="str">
        <f t="shared" si="41"/>
        <v/>
      </c>
      <c r="BB35" s="350" t="str">
        <f t="shared" si="41"/>
        <v/>
      </c>
      <c r="BC35" s="350" t="str">
        <f t="shared" si="41"/>
        <v/>
      </c>
      <c r="BD35" s="350" t="str">
        <f t="shared" si="41"/>
        <v/>
      </c>
      <c r="BE35" s="350" t="str">
        <f t="shared" si="41"/>
        <v/>
      </c>
      <c r="BF35" s="350" t="str">
        <f t="shared" si="41"/>
        <v/>
      </c>
      <c r="BG35" s="350" t="str">
        <f t="shared" si="41"/>
        <v/>
      </c>
      <c r="BH35" s="350" t="str">
        <f t="shared" si="41"/>
        <v/>
      </c>
      <c r="BI35" s="350" t="str">
        <f t="shared" si="41"/>
        <v/>
      </c>
      <c r="BJ35" s="350" t="str">
        <f t="shared" si="38"/>
        <v/>
      </c>
      <c r="BK35" s="350" t="str">
        <f t="shared" si="42"/>
        <v/>
      </c>
      <c r="BL35" s="350" t="str">
        <f t="shared" si="42"/>
        <v/>
      </c>
      <c r="BM35" s="350" t="str">
        <f t="shared" si="42"/>
        <v/>
      </c>
      <c r="BN35" s="350" t="str">
        <f t="shared" si="42"/>
        <v/>
      </c>
      <c r="BO35" s="350" t="str">
        <f t="shared" si="42"/>
        <v/>
      </c>
      <c r="BP35" s="350" t="str">
        <f t="shared" si="42"/>
        <v/>
      </c>
      <c r="BQ35" s="350" t="str">
        <f t="shared" si="42"/>
        <v/>
      </c>
      <c r="BR35" s="350" t="str">
        <f t="shared" si="42"/>
        <v/>
      </c>
      <c r="BS35" s="350" t="str">
        <f t="shared" si="42"/>
        <v/>
      </c>
      <c r="BT35" s="350" t="str">
        <f t="shared" si="42"/>
        <v/>
      </c>
      <c r="BU35" s="350" t="str">
        <f t="shared" si="42"/>
        <v/>
      </c>
      <c r="BV35" s="350" t="str">
        <f t="shared" si="42"/>
        <v/>
      </c>
      <c r="BW35" s="350" t="str">
        <f t="shared" si="42"/>
        <v/>
      </c>
      <c r="BX35" s="350" t="str">
        <f t="shared" si="42"/>
        <v/>
      </c>
      <c r="BY35" s="350" t="str">
        <f t="shared" si="42"/>
        <v/>
      </c>
      <c r="BZ35" s="350" t="str">
        <f t="shared" si="42"/>
        <v/>
      </c>
      <c r="CB35" s="367"/>
    </row>
    <row r="36" spans="1:80" x14ac:dyDescent="0.25">
      <c r="A36" s="356"/>
      <c r="B36" s="356" t="str">
        <f t="shared" si="8"/>
        <v/>
      </c>
      <c r="C36" s="356"/>
      <c r="D36" s="357" t="str">
        <f t="shared" si="9"/>
        <v/>
      </c>
      <c r="E36" s="357" t="str">
        <f t="shared" si="10"/>
        <v/>
      </c>
      <c r="F36" s="357" t="str">
        <f t="shared" si="11"/>
        <v/>
      </c>
      <c r="G36" s="357" t="str">
        <f t="shared" si="12"/>
        <v/>
      </c>
      <c r="H36" s="357" t="str">
        <f t="shared" si="13"/>
        <v/>
      </c>
      <c r="I36" s="357" t="str">
        <f t="shared" si="14"/>
        <v/>
      </c>
      <c r="J36" s="357" t="str">
        <f t="shared" si="15"/>
        <v/>
      </c>
      <c r="K36" s="357" t="str">
        <f t="shared" si="16"/>
        <v/>
      </c>
      <c r="L36" s="357" t="str">
        <f t="shared" si="17"/>
        <v/>
      </c>
      <c r="M36" s="357" t="str">
        <f t="shared" si="18"/>
        <v/>
      </c>
      <c r="N36" s="357" t="str">
        <f t="shared" si="19"/>
        <v/>
      </c>
      <c r="O36" s="357" t="str">
        <f t="shared" si="20"/>
        <v/>
      </c>
      <c r="P36" s="357" t="str">
        <f t="shared" si="21"/>
        <v/>
      </c>
      <c r="Q36" s="357" t="str">
        <f t="shared" si="22"/>
        <v/>
      </c>
      <c r="R36" s="358" t="str" cm="1">
        <f t="array" ref="R36">IF(OR($A36="",D36=""),"",IFERROR(LOOKUP(2,1/(E36:Q36&lt;&gt;""),E36:Q36)-D36,""))</f>
        <v/>
      </c>
      <c r="S36" s="349"/>
      <c r="T36" s="362" t="str">
        <f t="shared" si="23"/>
        <v/>
      </c>
      <c r="U36" s="362" t="str">
        <f t="shared" si="24"/>
        <v/>
      </c>
      <c r="V36" s="362" t="str">
        <f t="shared" si="25"/>
        <v/>
      </c>
      <c r="W36" s="362" t="str">
        <f t="shared" si="26"/>
        <v/>
      </c>
      <c r="X36" s="362" t="str">
        <f t="shared" si="27"/>
        <v/>
      </c>
      <c r="Y36" s="362" t="str">
        <f t="shared" si="28"/>
        <v/>
      </c>
      <c r="Z36" s="362" t="str">
        <f t="shared" si="29"/>
        <v/>
      </c>
      <c r="AA36" s="362" t="str">
        <f t="shared" si="30"/>
        <v/>
      </c>
      <c r="AB36" s="362" t="str">
        <f t="shared" si="31"/>
        <v/>
      </c>
      <c r="AC36" s="362" t="str">
        <f t="shared" si="32"/>
        <v/>
      </c>
      <c r="AD36" s="362" t="str">
        <f t="shared" si="33"/>
        <v/>
      </c>
      <c r="AE36" s="362" t="str">
        <f t="shared" si="34"/>
        <v/>
      </c>
      <c r="AF36" s="362" t="str">
        <f t="shared" si="35"/>
        <v/>
      </c>
      <c r="AG36" s="362" t="str">
        <f t="shared" si="36"/>
        <v/>
      </c>
      <c r="AH36" s="363" t="str" cm="1">
        <f t="array" ref="AH36">IF(OR($A36="",T36=""),"",IFERROR(LOOKUP(2,1/(U36:AG36&lt;&gt;""),U36:AG36)-T36,""))</f>
        <v/>
      </c>
      <c r="AI36" s="349"/>
      <c r="AJ36" s="349"/>
      <c r="AK36" s="350" t="str">
        <f t="shared" si="43"/>
        <v/>
      </c>
      <c r="AL36" s="350" t="str">
        <f t="shared" si="43"/>
        <v/>
      </c>
      <c r="AM36" s="350" t="str">
        <f t="shared" si="43"/>
        <v/>
      </c>
      <c r="AN36" s="350" t="str">
        <f t="shared" si="43"/>
        <v/>
      </c>
      <c r="AO36" s="350" t="str">
        <f t="shared" si="43"/>
        <v/>
      </c>
      <c r="AP36" s="350" t="str">
        <f t="shared" si="43"/>
        <v/>
      </c>
      <c r="AQ36" s="350" t="str">
        <f t="shared" si="43"/>
        <v/>
      </c>
      <c r="AR36" s="350" t="str">
        <f t="shared" si="43"/>
        <v/>
      </c>
      <c r="AS36" s="350" t="str">
        <f t="shared" si="43"/>
        <v/>
      </c>
      <c r="AT36" s="350" t="str">
        <f t="shared" si="43"/>
        <v/>
      </c>
      <c r="AU36" s="350" t="str">
        <f t="shared" si="43"/>
        <v/>
      </c>
      <c r="AV36" s="350" t="str">
        <f t="shared" si="43"/>
        <v/>
      </c>
      <c r="AW36" s="350" t="str">
        <f t="shared" si="43"/>
        <v/>
      </c>
      <c r="AX36" s="350" t="str">
        <f t="shared" si="43"/>
        <v/>
      </c>
      <c r="AY36" s="350" t="str">
        <f t="shared" si="43"/>
        <v/>
      </c>
      <c r="AZ36" s="350" t="str">
        <f t="shared" si="43"/>
        <v/>
      </c>
      <c r="BA36" s="350" t="str">
        <f t="shared" si="41"/>
        <v/>
      </c>
      <c r="BB36" s="350" t="str">
        <f t="shared" si="41"/>
        <v/>
      </c>
      <c r="BC36" s="350" t="str">
        <f t="shared" si="41"/>
        <v/>
      </c>
      <c r="BD36" s="350" t="str">
        <f t="shared" si="41"/>
        <v/>
      </c>
      <c r="BE36" s="350" t="str">
        <f t="shared" si="41"/>
        <v/>
      </c>
      <c r="BF36" s="350" t="str">
        <f t="shared" si="41"/>
        <v/>
      </c>
      <c r="BG36" s="350" t="str">
        <f t="shared" si="41"/>
        <v/>
      </c>
      <c r="BH36" s="350" t="str">
        <f t="shared" si="41"/>
        <v/>
      </c>
      <c r="BI36" s="350" t="str">
        <f t="shared" si="41"/>
        <v/>
      </c>
      <c r="BJ36" s="350" t="str">
        <f t="shared" si="38"/>
        <v/>
      </c>
      <c r="BK36" s="350" t="str">
        <f t="shared" si="42"/>
        <v/>
      </c>
      <c r="BL36" s="350" t="str">
        <f t="shared" si="42"/>
        <v/>
      </c>
      <c r="BM36" s="350" t="str">
        <f t="shared" si="42"/>
        <v/>
      </c>
      <c r="BN36" s="350" t="str">
        <f t="shared" si="42"/>
        <v/>
      </c>
      <c r="BO36" s="350" t="str">
        <f t="shared" si="42"/>
        <v/>
      </c>
      <c r="BP36" s="350" t="str">
        <f t="shared" si="42"/>
        <v/>
      </c>
      <c r="BQ36" s="350" t="str">
        <f t="shared" si="42"/>
        <v/>
      </c>
      <c r="BR36" s="350" t="str">
        <f t="shared" si="42"/>
        <v/>
      </c>
      <c r="BS36" s="350" t="str">
        <f t="shared" si="42"/>
        <v/>
      </c>
      <c r="BT36" s="350" t="str">
        <f t="shared" si="42"/>
        <v/>
      </c>
      <c r="BU36" s="350" t="str">
        <f t="shared" si="42"/>
        <v/>
      </c>
      <c r="BV36" s="350" t="str">
        <f t="shared" si="42"/>
        <v/>
      </c>
      <c r="BW36" s="350" t="str">
        <f t="shared" si="42"/>
        <v/>
      </c>
      <c r="BX36" s="350" t="str">
        <f t="shared" si="42"/>
        <v/>
      </c>
      <c r="BY36" s="350" t="str">
        <f t="shared" si="42"/>
        <v/>
      </c>
      <c r="BZ36" s="350" t="str">
        <f t="shared" si="42"/>
        <v/>
      </c>
      <c r="CB36" s="367"/>
    </row>
    <row r="37" spans="1:80" x14ac:dyDescent="0.25">
      <c r="A37" s="356"/>
      <c r="B37" s="356" t="str">
        <f t="shared" si="8"/>
        <v/>
      </c>
      <c r="C37" s="356"/>
      <c r="D37" s="357" t="str">
        <f t="shared" si="9"/>
        <v/>
      </c>
      <c r="E37" s="357" t="str">
        <f t="shared" si="10"/>
        <v/>
      </c>
      <c r="F37" s="357" t="str">
        <f t="shared" si="11"/>
        <v/>
      </c>
      <c r="G37" s="357" t="str">
        <f t="shared" si="12"/>
        <v/>
      </c>
      <c r="H37" s="357" t="str">
        <f t="shared" si="13"/>
        <v/>
      </c>
      <c r="I37" s="357" t="str">
        <f t="shared" si="14"/>
        <v/>
      </c>
      <c r="J37" s="357" t="str">
        <f t="shared" si="15"/>
        <v/>
      </c>
      <c r="K37" s="357" t="str">
        <f t="shared" si="16"/>
        <v/>
      </c>
      <c r="L37" s="357" t="str">
        <f t="shared" si="17"/>
        <v/>
      </c>
      <c r="M37" s="357" t="str">
        <f t="shared" si="18"/>
        <v/>
      </c>
      <c r="N37" s="357" t="str">
        <f t="shared" si="19"/>
        <v/>
      </c>
      <c r="O37" s="357" t="str">
        <f t="shared" si="20"/>
        <v/>
      </c>
      <c r="P37" s="357" t="str">
        <f t="shared" si="21"/>
        <v/>
      </c>
      <c r="Q37" s="357" t="str">
        <f t="shared" si="22"/>
        <v/>
      </c>
      <c r="R37" s="358" t="str" cm="1">
        <f t="array" ref="R37">IF(OR($A37="",D37=""),"",IFERROR(LOOKUP(2,1/(E37:Q37&lt;&gt;""),E37:Q37)-D37,""))</f>
        <v/>
      </c>
      <c r="S37" s="349"/>
      <c r="T37" s="362" t="str">
        <f t="shared" si="23"/>
        <v/>
      </c>
      <c r="U37" s="362" t="str">
        <f t="shared" si="24"/>
        <v/>
      </c>
      <c r="V37" s="362" t="str">
        <f t="shared" si="25"/>
        <v/>
      </c>
      <c r="W37" s="362" t="str">
        <f t="shared" si="26"/>
        <v/>
      </c>
      <c r="X37" s="362" t="str">
        <f t="shared" si="27"/>
        <v/>
      </c>
      <c r="Y37" s="362" t="str">
        <f t="shared" si="28"/>
        <v/>
      </c>
      <c r="Z37" s="362" t="str">
        <f t="shared" si="29"/>
        <v/>
      </c>
      <c r="AA37" s="362" t="str">
        <f t="shared" si="30"/>
        <v/>
      </c>
      <c r="AB37" s="362" t="str">
        <f t="shared" si="31"/>
        <v/>
      </c>
      <c r="AC37" s="362" t="str">
        <f t="shared" si="32"/>
        <v/>
      </c>
      <c r="AD37" s="362" t="str">
        <f t="shared" si="33"/>
        <v/>
      </c>
      <c r="AE37" s="362" t="str">
        <f t="shared" si="34"/>
        <v/>
      </c>
      <c r="AF37" s="362" t="str">
        <f t="shared" si="35"/>
        <v/>
      </c>
      <c r="AG37" s="362" t="str">
        <f t="shared" si="36"/>
        <v/>
      </c>
      <c r="AH37" s="363" t="str" cm="1">
        <f t="array" ref="AH37">IF(OR($A37="",T37=""),"",IFERROR(LOOKUP(2,1/(U37:AG37&lt;&gt;""),U37:AG37)-T37,""))</f>
        <v/>
      </c>
      <c r="AI37" s="349"/>
      <c r="AJ37" s="349"/>
      <c r="AK37" s="350" t="str">
        <f t="shared" si="43"/>
        <v/>
      </c>
      <c r="AL37" s="350" t="str">
        <f t="shared" si="43"/>
        <v/>
      </c>
      <c r="AM37" s="350" t="str">
        <f t="shared" si="43"/>
        <v/>
      </c>
      <c r="AN37" s="350" t="str">
        <f t="shared" si="43"/>
        <v/>
      </c>
      <c r="AO37" s="350" t="str">
        <f t="shared" si="43"/>
        <v/>
      </c>
      <c r="AP37" s="350" t="str">
        <f t="shared" si="43"/>
        <v/>
      </c>
      <c r="AQ37" s="350" t="str">
        <f t="shared" si="43"/>
        <v/>
      </c>
      <c r="AR37" s="350" t="str">
        <f t="shared" si="43"/>
        <v/>
      </c>
      <c r="AS37" s="350" t="str">
        <f t="shared" si="43"/>
        <v/>
      </c>
      <c r="AT37" s="350" t="str">
        <f t="shared" si="43"/>
        <v/>
      </c>
      <c r="AU37" s="350" t="str">
        <f t="shared" si="43"/>
        <v/>
      </c>
      <c r="AV37" s="350" t="str">
        <f t="shared" si="43"/>
        <v/>
      </c>
      <c r="AW37" s="350" t="str">
        <f t="shared" si="43"/>
        <v/>
      </c>
      <c r="AX37" s="350" t="str">
        <f t="shared" si="43"/>
        <v/>
      </c>
      <c r="AY37" s="350" t="str">
        <f t="shared" si="43"/>
        <v/>
      </c>
      <c r="AZ37" s="350" t="str">
        <f t="shared" si="43"/>
        <v/>
      </c>
      <c r="BA37" s="350" t="str">
        <f t="shared" si="41"/>
        <v/>
      </c>
      <c r="BB37" s="350" t="str">
        <f t="shared" si="41"/>
        <v/>
      </c>
      <c r="BC37" s="350" t="str">
        <f t="shared" si="41"/>
        <v/>
      </c>
      <c r="BD37" s="350" t="str">
        <f t="shared" si="41"/>
        <v/>
      </c>
      <c r="BE37" s="350" t="str">
        <f t="shared" si="41"/>
        <v/>
      </c>
      <c r="BF37" s="350" t="str">
        <f t="shared" si="41"/>
        <v/>
      </c>
      <c r="BG37" s="350" t="str">
        <f t="shared" si="41"/>
        <v/>
      </c>
      <c r="BH37" s="350" t="str">
        <f t="shared" si="41"/>
        <v/>
      </c>
      <c r="BI37" s="350" t="str">
        <f t="shared" si="41"/>
        <v/>
      </c>
      <c r="BJ37" s="350" t="str">
        <f t="shared" si="38"/>
        <v/>
      </c>
      <c r="BK37" s="350" t="str">
        <f t="shared" si="42"/>
        <v/>
      </c>
      <c r="BL37" s="350" t="str">
        <f t="shared" si="42"/>
        <v/>
      </c>
      <c r="BM37" s="350" t="str">
        <f t="shared" si="42"/>
        <v/>
      </c>
      <c r="BN37" s="350" t="str">
        <f t="shared" si="42"/>
        <v/>
      </c>
      <c r="BO37" s="350" t="str">
        <f t="shared" si="42"/>
        <v/>
      </c>
      <c r="BP37" s="350" t="str">
        <f t="shared" si="42"/>
        <v/>
      </c>
      <c r="BQ37" s="350" t="str">
        <f t="shared" si="42"/>
        <v/>
      </c>
      <c r="BR37" s="350" t="str">
        <f t="shared" si="42"/>
        <v/>
      </c>
      <c r="BS37" s="350" t="str">
        <f t="shared" si="42"/>
        <v/>
      </c>
      <c r="BT37" s="350" t="str">
        <f t="shared" si="42"/>
        <v/>
      </c>
      <c r="BU37" s="350" t="str">
        <f t="shared" si="42"/>
        <v/>
      </c>
      <c r="BV37" s="350" t="str">
        <f t="shared" si="42"/>
        <v/>
      </c>
      <c r="BW37" s="350" t="str">
        <f t="shared" si="42"/>
        <v/>
      </c>
      <c r="BX37" s="350" t="str">
        <f t="shared" si="42"/>
        <v/>
      </c>
      <c r="BY37" s="350" t="str">
        <f t="shared" si="42"/>
        <v/>
      </c>
      <c r="BZ37" s="350" t="str">
        <f t="shared" si="42"/>
        <v/>
      </c>
      <c r="CB37" s="367"/>
    </row>
    <row r="38" spans="1:80" x14ac:dyDescent="0.25">
      <c r="A38" s="356"/>
      <c r="B38" s="356" t="str">
        <f t="shared" si="8"/>
        <v/>
      </c>
      <c r="C38" s="356"/>
      <c r="D38" s="357" t="str">
        <f t="shared" si="9"/>
        <v/>
      </c>
      <c r="E38" s="357" t="str">
        <f t="shared" si="10"/>
        <v/>
      </c>
      <c r="F38" s="357" t="str">
        <f t="shared" si="11"/>
        <v/>
      </c>
      <c r="G38" s="357" t="str">
        <f t="shared" si="12"/>
        <v/>
      </c>
      <c r="H38" s="357" t="str">
        <f t="shared" si="13"/>
        <v/>
      </c>
      <c r="I38" s="357" t="str">
        <f t="shared" si="14"/>
        <v/>
      </c>
      <c r="J38" s="357" t="str">
        <f t="shared" si="15"/>
        <v/>
      </c>
      <c r="K38" s="357" t="str">
        <f t="shared" si="16"/>
        <v/>
      </c>
      <c r="L38" s="357" t="str">
        <f t="shared" si="17"/>
        <v/>
      </c>
      <c r="M38" s="357" t="str">
        <f t="shared" si="18"/>
        <v/>
      </c>
      <c r="N38" s="357" t="str">
        <f t="shared" si="19"/>
        <v/>
      </c>
      <c r="O38" s="357" t="str">
        <f t="shared" si="20"/>
        <v/>
      </c>
      <c r="P38" s="357" t="str">
        <f t="shared" si="21"/>
        <v/>
      </c>
      <c r="Q38" s="357" t="str">
        <f t="shared" si="22"/>
        <v/>
      </c>
      <c r="R38" s="358" t="str" cm="1">
        <f t="array" ref="R38">IF(OR($A38="",D38=""),"",IFERROR(LOOKUP(2,1/(E38:Q38&lt;&gt;""),E38:Q38)-D38,""))</f>
        <v/>
      </c>
      <c r="S38" s="349"/>
      <c r="T38" s="362" t="str">
        <f t="shared" si="23"/>
        <v/>
      </c>
      <c r="U38" s="362" t="str">
        <f t="shared" si="24"/>
        <v/>
      </c>
      <c r="V38" s="362" t="str">
        <f t="shared" si="25"/>
        <v/>
      </c>
      <c r="W38" s="362" t="str">
        <f t="shared" si="26"/>
        <v/>
      </c>
      <c r="X38" s="362" t="str">
        <f t="shared" si="27"/>
        <v/>
      </c>
      <c r="Y38" s="362" t="str">
        <f t="shared" si="28"/>
        <v/>
      </c>
      <c r="Z38" s="362" t="str">
        <f t="shared" si="29"/>
        <v/>
      </c>
      <c r="AA38" s="362" t="str">
        <f t="shared" si="30"/>
        <v/>
      </c>
      <c r="AB38" s="362" t="str">
        <f t="shared" si="31"/>
        <v/>
      </c>
      <c r="AC38" s="362" t="str">
        <f t="shared" si="32"/>
        <v/>
      </c>
      <c r="AD38" s="362" t="str">
        <f t="shared" si="33"/>
        <v/>
      </c>
      <c r="AE38" s="362" t="str">
        <f t="shared" si="34"/>
        <v/>
      </c>
      <c r="AF38" s="362" t="str">
        <f t="shared" si="35"/>
        <v/>
      </c>
      <c r="AG38" s="362" t="str">
        <f t="shared" si="36"/>
        <v/>
      </c>
      <c r="AH38" s="363" t="str" cm="1">
        <f t="array" ref="AH38">IF(OR($A38="",T38=""),"",IFERROR(LOOKUP(2,1/(U38:AG38&lt;&gt;""),U38:AG38)-T38,""))</f>
        <v/>
      </c>
      <c r="AI38" s="349"/>
      <c r="AJ38" s="349"/>
      <c r="AK38" s="350" t="str">
        <f t="shared" si="43"/>
        <v/>
      </c>
      <c r="AL38" s="350" t="str">
        <f t="shared" si="43"/>
        <v/>
      </c>
      <c r="AM38" s="350" t="str">
        <f t="shared" si="43"/>
        <v/>
      </c>
      <c r="AN38" s="350" t="str">
        <f t="shared" si="43"/>
        <v/>
      </c>
      <c r="AO38" s="350" t="str">
        <f t="shared" si="43"/>
        <v/>
      </c>
      <c r="AP38" s="350" t="str">
        <f t="shared" si="43"/>
        <v/>
      </c>
      <c r="AQ38" s="350" t="str">
        <f t="shared" si="43"/>
        <v/>
      </c>
      <c r="AR38" s="350" t="str">
        <f t="shared" si="43"/>
        <v/>
      </c>
      <c r="AS38" s="350" t="str">
        <f t="shared" si="43"/>
        <v/>
      </c>
      <c r="AT38" s="350" t="str">
        <f t="shared" si="43"/>
        <v/>
      </c>
      <c r="AU38" s="350" t="str">
        <f t="shared" si="43"/>
        <v/>
      </c>
      <c r="AV38" s="350" t="str">
        <f t="shared" si="43"/>
        <v/>
      </c>
      <c r="AW38" s="350" t="str">
        <f t="shared" si="43"/>
        <v/>
      </c>
      <c r="AX38" s="350" t="str">
        <f t="shared" si="43"/>
        <v/>
      </c>
      <c r="AY38" s="350" t="str">
        <f t="shared" si="43"/>
        <v/>
      </c>
      <c r="AZ38" s="350" t="str">
        <f t="shared" si="43"/>
        <v/>
      </c>
      <c r="BA38" s="350" t="str">
        <f t="shared" si="41"/>
        <v/>
      </c>
      <c r="BB38" s="350" t="str">
        <f t="shared" si="41"/>
        <v/>
      </c>
      <c r="BC38" s="350" t="str">
        <f t="shared" si="41"/>
        <v/>
      </c>
      <c r="BD38" s="350" t="str">
        <f t="shared" si="41"/>
        <v/>
      </c>
      <c r="BE38" s="350" t="str">
        <f t="shared" si="41"/>
        <v/>
      </c>
      <c r="BF38" s="350" t="str">
        <f t="shared" si="41"/>
        <v/>
      </c>
      <c r="BG38" s="350" t="str">
        <f t="shared" si="41"/>
        <v/>
      </c>
      <c r="BH38" s="350" t="str">
        <f t="shared" si="41"/>
        <v/>
      </c>
      <c r="BI38" s="350" t="str">
        <f t="shared" si="41"/>
        <v/>
      </c>
      <c r="BJ38" s="350" t="str">
        <f t="shared" si="38"/>
        <v/>
      </c>
      <c r="BK38" s="350" t="str">
        <f t="shared" si="42"/>
        <v/>
      </c>
      <c r="BL38" s="350" t="str">
        <f t="shared" si="42"/>
        <v/>
      </c>
      <c r="BM38" s="350" t="str">
        <f t="shared" si="42"/>
        <v/>
      </c>
      <c r="BN38" s="350" t="str">
        <f t="shared" si="42"/>
        <v/>
      </c>
      <c r="BO38" s="350" t="str">
        <f t="shared" si="42"/>
        <v/>
      </c>
      <c r="BP38" s="350" t="str">
        <f t="shared" si="42"/>
        <v/>
      </c>
      <c r="BQ38" s="350" t="str">
        <f t="shared" si="42"/>
        <v/>
      </c>
      <c r="BR38" s="350" t="str">
        <f t="shared" si="42"/>
        <v/>
      </c>
      <c r="BS38" s="350" t="str">
        <f t="shared" si="42"/>
        <v/>
      </c>
      <c r="BT38" s="350" t="str">
        <f t="shared" si="42"/>
        <v/>
      </c>
      <c r="BU38" s="350" t="str">
        <f t="shared" si="42"/>
        <v/>
      </c>
      <c r="BV38" s="350" t="str">
        <f t="shared" si="42"/>
        <v/>
      </c>
      <c r="BW38" s="350" t="str">
        <f t="shared" si="42"/>
        <v/>
      </c>
      <c r="BX38" s="350" t="str">
        <f t="shared" si="42"/>
        <v/>
      </c>
      <c r="BY38" s="350" t="str">
        <f t="shared" si="42"/>
        <v/>
      </c>
      <c r="BZ38" s="350" t="str">
        <f t="shared" si="42"/>
        <v/>
      </c>
      <c r="CB38" s="367"/>
    </row>
    <row r="39" spans="1:80" x14ac:dyDescent="0.25">
      <c r="A39" s="356"/>
      <c r="B39" s="356" t="str">
        <f t="shared" si="8"/>
        <v/>
      </c>
      <c r="C39" s="356"/>
      <c r="D39" s="357" t="str">
        <f t="shared" si="9"/>
        <v/>
      </c>
      <c r="E39" s="357" t="str">
        <f t="shared" si="10"/>
        <v/>
      </c>
      <c r="F39" s="357" t="str">
        <f t="shared" si="11"/>
        <v/>
      </c>
      <c r="G39" s="357" t="str">
        <f t="shared" si="12"/>
        <v/>
      </c>
      <c r="H39" s="357" t="str">
        <f t="shared" si="13"/>
        <v/>
      </c>
      <c r="I39" s="357" t="str">
        <f t="shared" si="14"/>
        <v/>
      </c>
      <c r="J39" s="357" t="str">
        <f t="shared" si="15"/>
        <v/>
      </c>
      <c r="K39" s="357" t="str">
        <f t="shared" si="16"/>
        <v/>
      </c>
      <c r="L39" s="357" t="str">
        <f t="shared" si="17"/>
        <v/>
      </c>
      <c r="M39" s="357" t="str">
        <f t="shared" si="18"/>
        <v/>
      </c>
      <c r="N39" s="357" t="str">
        <f t="shared" si="19"/>
        <v/>
      </c>
      <c r="O39" s="357" t="str">
        <f t="shared" si="20"/>
        <v/>
      </c>
      <c r="P39" s="357" t="str">
        <f t="shared" si="21"/>
        <v/>
      </c>
      <c r="Q39" s="357" t="str">
        <f t="shared" si="22"/>
        <v/>
      </c>
      <c r="R39" s="358" t="str" cm="1">
        <f t="array" ref="R39">IF(OR($A39="",D39=""),"",IFERROR(LOOKUP(2,1/(E39:Q39&lt;&gt;""),E39:Q39)-D39,""))</f>
        <v/>
      </c>
      <c r="S39" s="349"/>
      <c r="T39" s="362" t="str">
        <f t="shared" si="23"/>
        <v/>
      </c>
      <c r="U39" s="362" t="str">
        <f t="shared" si="24"/>
        <v/>
      </c>
      <c r="V39" s="362" t="str">
        <f t="shared" si="25"/>
        <v/>
      </c>
      <c r="W39" s="362" t="str">
        <f t="shared" si="26"/>
        <v/>
      </c>
      <c r="X39" s="362" t="str">
        <f t="shared" si="27"/>
        <v/>
      </c>
      <c r="Y39" s="362" t="str">
        <f t="shared" si="28"/>
        <v/>
      </c>
      <c r="Z39" s="362" t="str">
        <f t="shared" si="29"/>
        <v/>
      </c>
      <c r="AA39" s="362" t="str">
        <f t="shared" si="30"/>
        <v/>
      </c>
      <c r="AB39" s="362" t="str">
        <f t="shared" si="31"/>
        <v/>
      </c>
      <c r="AC39" s="362" t="str">
        <f t="shared" si="32"/>
        <v/>
      </c>
      <c r="AD39" s="362" t="str">
        <f t="shared" si="33"/>
        <v/>
      </c>
      <c r="AE39" s="362" t="str">
        <f t="shared" si="34"/>
        <v/>
      </c>
      <c r="AF39" s="362" t="str">
        <f t="shared" si="35"/>
        <v/>
      </c>
      <c r="AG39" s="362" t="str">
        <f t="shared" si="36"/>
        <v/>
      </c>
      <c r="AH39" s="363" t="str" cm="1">
        <f t="array" ref="AH39">IF(OR($A39="",T39=""),"",IFERROR(LOOKUP(2,1/(U39:AG39&lt;&gt;""),U39:AG39)-T39,""))</f>
        <v/>
      </c>
      <c r="AI39" s="349"/>
      <c r="AJ39" s="349"/>
      <c r="AK39" s="350" t="str">
        <f t="shared" si="43"/>
        <v/>
      </c>
      <c r="AL39" s="350" t="str">
        <f t="shared" si="43"/>
        <v/>
      </c>
      <c r="AM39" s="350" t="str">
        <f t="shared" si="43"/>
        <v/>
      </c>
      <c r="AN39" s="350" t="str">
        <f t="shared" si="43"/>
        <v/>
      </c>
      <c r="AO39" s="350" t="str">
        <f t="shared" si="43"/>
        <v/>
      </c>
      <c r="AP39" s="350" t="str">
        <f t="shared" si="43"/>
        <v/>
      </c>
      <c r="AQ39" s="350" t="str">
        <f t="shared" si="43"/>
        <v/>
      </c>
      <c r="AR39" s="350" t="str">
        <f t="shared" si="43"/>
        <v/>
      </c>
      <c r="AS39" s="350" t="str">
        <f t="shared" si="43"/>
        <v/>
      </c>
      <c r="AT39" s="350" t="str">
        <f t="shared" si="43"/>
        <v/>
      </c>
      <c r="AU39" s="350" t="str">
        <f t="shared" si="43"/>
        <v/>
      </c>
      <c r="AV39" s="350" t="str">
        <f t="shared" si="43"/>
        <v/>
      </c>
      <c r="AW39" s="350" t="str">
        <f t="shared" si="43"/>
        <v/>
      </c>
      <c r="AX39" s="350" t="str">
        <f t="shared" si="43"/>
        <v/>
      </c>
      <c r="AY39" s="350" t="str">
        <f t="shared" si="43"/>
        <v/>
      </c>
      <c r="AZ39" s="350" t="str">
        <f t="shared" si="43"/>
        <v/>
      </c>
      <c r="BA39" s="350" t="str">
        <f t="shared" si="41"/>
        <v/>
      </c>
      <c r="BB39" s="350" t="str">
        <f t="shared" si="41"/>
        <v/>
      </c>
      <c r="BC39" s="350" t="str">
        <f t="shared" si="41"/>
        <v/>
      </c>
      <c r="BD39" s="350" t="str">
        <f t="shared" si="41"/>
        <v/>
      </c>
      <c r="BE39" s="350" t="str">
        <f t="shared" si="41"/>
        <v/>
      </c>
      <c r="BF39" s="350" t="str">
        <f t="shared" si="41"/>
        <v/>
      </c>
      <c r="BG39" s="350" t="str">
        <f t="shared" si="41"/>
        <v/>
      </c>
      <c r="BH39" s="350" t="str">
        <f t="shared" si="41"/>
        <v/>
      </c>
      <c r="BI39" s="350" t="str">
        <f t="shared" si="41"/>
        <v/>
      </c>
      <c r="BJ39" s="350" t="str">
        <f t="shared" si="38"/>
        <v/>
      </c>
      <c r="BK39" s="350" t="str">
        <f t="shared" si="42"/>
        <v/>
      </c>
      <c r="BL39" s="350" t="str">
        <f t="shared" si="42"/>
        <v/>
      </c>
      <c r="BM39" s="350" t="str">
        <f t="shared" si="42"/>
        <v/>
      </c>
      <c r="BN39" s="350" t="str">
        <f t="shared" si="42"/>
        <v/>
      </c>
      <c r="BO39" s="350" t="str">
        <f t="shared" si="42"/>
        <v/>
      </c>
      <c r="BP39" s="350" t="str">
        <f t="shared" si="42"/>
        <v/>
      </c>
      <c r="BQ39" s="350" t="str">
        <f t="shared" si="42"/>
        <v/>
      </c>
      <c r="BR39" s="350" t="str">
        <f t="shared" si="42"/>
        <v/>
      </c>
      <c r="BS39" s="350" t="str">
        <f t="shared" si="42"/>
        <v/>
      </c>
      <c r="BT39" s="350" t="str">
        <f t="shared" si="42"/>
        <v/>
      </c>
      <c r="BU39" s="350" t="str">
        <f t="shared" si="42"/>
        <v/>
      </c>
      <c r="BV39" s="350" t="str">
        <f t="shared" si="42"/>
        <v/>
      </c>
      <c r="BW39" s="350" t="str">
        <f t="shared" si="42"/>
        <v/>
      </c>
      <c r="BX39" s="350" t="str">
        <f t="shared" si="42"/>
        <v/>
      </c>
      <c r="BY39" s="350" t="str">
        <f t="shared" si="42"/>
        <v/>
      </c>
      <c r="BZ39" s="350" t="str">
        <f t="shared" si="42"/>
        <v/>
      </c>
      <c r="CB39" s="367"/>
    </row>
    <row r="40" spans="1:80" x14ac:dyDescent="0.25">
      <c r="A40" s="356"/>
      <c r="B40" s="356" t="str">
        <f t="shared" si="8"/>
        <v/>
      </c>
      <c r="C40" s="356"/>
      <c r="D40" s="357" t="str">
        <f t="shared" si="9"/>
        <v/>
      </c>
      <c r="E40" s="357" t="str">
        <f t="shared" si="10"/>
        <v/>
      </c>
      <c r="F40" s="357" t="str">
        <f t="shared" si="11"/>
        <v/>
      </c>
      <c r="G40" s="357" t="str">
        <f t="shared" si="12"/>
        <v/>
      </c>
      <c r="H40" s="357" t="str">
        <f t="shared" si="13"/>
        <v/>
      </c>
      <c r="I40" s="357" t="str">
        <f t="shared" si="14"/>
        <v/>
      </c>
      <c r="J40" s="357" t="str">
        <f t="shared" si="15"/>
        <v/>
      </c>
      <c r="K40" s="357" t="str">
        <f t="shared" si="16"/>
        <v/>
      </c>
      <c r="L40" s="357" t="str">
        <f t="shared" si="17"/>
        <v/>
      </c>
      <c r="M40" s="357" t="str">
        <f t="shared" si="18"/>
        <v/>
      </c>
      <c r="N40" s="357" t="str">
        <f t="shared" si="19"/>
        <v/>
      </c>
      <c r="O40" s="357" t="str">
        <f t="shared" si="20"/>
        <v/>
      </c>
      <c r="P40" s="357" t="str">
        <f t="shared" si="21"/>
        <v/>
      </c>
      <c r="Q40" s="357" t="str">
        <f t="shared" si="22"/>
        <v/>
      </c>
      <c r="R40" s="358" t="str" cm="1">
        <f t="array" ref="R40">IF(OR($A40="",D40=""),"",IFERROR(LOOKUP(2,1/(E40:Q40&lt;&gt;""),E40:Q40)-D40,""))</f>
        <v/>
      </c>
      <c r="S40" s="349"/>
      <c r="T40" s="362" t="str">
        <f t="shared" si="23"/>
        <v/>
      </c>
      <c r="U40" s="362" t="str">
        <f t="shared" si="24"/>
        <v/>
      </c>
      <c r="V40" s="362" t="str">
        <f t="shared" si="25"/>
        <v/>
      </c>
      <c r="W40" s="362" t="str">
        <f t="shared" si="26"/>
        <v/>
      </c>
      <c r="X40" s="362" t="str">
        <f t="shared" si="27"/>
        <v/>
      </c>
      <c r="Y40" s="362" t="str">
        <f t="shared" si="28"/>
        <v/>
      </c>
      <c r="Z40" s="362" t="str">
        <f t="shared" si="29"/>
        <v/>
      </c>
      <c r="AA40" s="362" t="str">
        <f t="shared" si="30"/>
        <v/>
      </c>
      <c r="AB40" s="362" t="str">
        <f t="shared" si="31"/>
        <v/>
      </c>
      <c r="AC40" s="362" t="str">
        <f t="shared" si="32"/>
        <v/>
      </c>
      <c r="AD40" s="362" t="str">
        <f t="shared" si="33"/>
        <v/>
      </c>
      <c r="AE40" s="362" t="str">
        <f t="shared" si="34"/>
        <v/>
      </c>
      <c r="AF40" s="362" t="str">
        <f t="shared" si="35"/>
        <v/>
      </c>
      <c r="AG40" s="362" t="str">
        <f t="shared" si="36"/>
        <v/>
      </c>
      <c r="AH40" s="363" t="str" cm="1">
        <f t="array" ref="AH40">IF(OR($A40="",T40=""),"",IFERROR(LOOKUP(2,1/(U40:AG40&lt;&gt;""),U40:AG40)-T40,""))</f>
        <v/>
      </c>
      <c r="AI40" s="349"/>
      <c r="AJ40" s="349"/>
      <c r="AK40" s="350" t="str">
        <f t="shared" si="43"/>
        <v/>
      </c>
      <c r="AL40" s="350" t="str">
        <f t="shared" si="43"/>
        <v/>
      </c>
      <c r="AM40" s="350" t="str">
        <f t="shared" si="43"/>
        <v/>
      </c>
      <c r="AN40" s="350" t="str">
        <f t="shared" si="43"/>
        <v/>
      </c>
      <c r="AO40" s="350" t="str">
        <f t="shared" si="43"/>
        <v/>
      </c>
      <c r="AP40" s="350" t="str">
        <f t="shared" si="43"/>
        <v/>
      </c>
      <c r="AQ40" s="350" t="str">
        <f t="shared" si="43"/>
        <v/>
      </c>
      <c r="AR40" s="350" t="str">
        <f t="shared" si="43"/>
        <v/>
      </c>
      <c r="AS40" s="350" t="str">
        <f t="shared" si="43"/>
        <v/>
      </c>
      <c r="AT40" s="350" t="str">
        <f t="shared" si="43"/>
        <v/>
      </c>
      <c r="AU40" s="350" t="str">
        <f t="shared" si="43"/>
        <v/>
      </c>
      <c r="AV40" s="350" t="str">
        <f t="shared" si="43"/>
        <v/>
      </c>
      <c r="AW40" s="350" t="str">
        <f t="shared" si="43"/>
        <v/>
      </c>
      <c r="AX40" s="350" t="str">
        <f t="shared" si="43"/>
        <v/>
      </c>
      <c r="AY40" s="350" t="str">
        <f t="shared" si="43"/>
        <v/>
      </c>
      <c r="AZ40" s="350" t="str">
        <f t="shared" si="43"/>
        <v/>
      </c>
      <c r="BA40" s="350" t="str">
        <f t="shared" si="41"/>
        <v/>
      </c>
      <c r="BB40" s="350" t="str">
        <f t="shared" si="41"/>
        <v/>
      </c>
      <c r="BC40" s="350" t="str">
        <f t="shared" si="41"/>
        <v/>
      </c>
      <c r="BD40" s="350" t="str">
        <f t="shared" si="41"/>
        <v/>
      </c>
      <c r="BE40" s="350" t="str">
        <f t="shared" si="41"/>
        <v/>
      </c>
      <c r="BF40" s="350" t="str">
        <f t="shared" si="41"/>
        <v/>
      </c>
      <c r="BG40" s="350" t="str">
        <f t="shared" si="41"/>
        <v/>
      </c>
      <c r="BH40" s="350" t="str">
        <f t="shared" si="41"/>
        <v/>
      </c>
      <c r="BI40" s="350" t="str">
        <f t="shared" si="41"/>
        <v/>
      </c>
      <c r="BJ40" s="350" t="str">
        <f t="shared" si="38"/>
        <v/>
      </c>
      <c r="BK40" s="350" t="str">
        <f t="shared" si="42"/>
        <v/>
      </c>
      <c r="BL40" s="350" t="str">
        <f t="shared" si="42"/>
        <v/>
      </c>
      <c r="BM40" s="350" t="str">
        <f t="shared" si="42"/>
        <v/>
      </c>
      <c r="BN40" s="350" t="str">
        <f t="shared" si="42"/>
        <v/>
      </c>
      <c r="BO40" s="350" t="str">
        <f t="shared" si="42"/>
        <v/>
      </c>
      <c r="BP40" s="350" t="str">
        <f t="shared" si="42"/>
        <v/>
      </c>
      <c r="BQ40" s="350" t="str">
        <f t="shared" si="42"/>
        <v/>
      </c>
      <c r="BR40" s="350" t="str">
        <f t="shared" si="42"/>
        <v/>
      </c>
      <c r="BS40" s="350" t="str">
        <f t="shared" si="42"/>
        <v/>
      </c>
      <c r="BT40" s="350" t="str">
        <f t="shared" si="42"/>
        <v/>
      </c>
      <c r="BU40" s="350" t="str">
        <f t="shared" si="42"/>
        <v/>
      </c>
      <c r="BV40" s="350" t="str">
        <f t="shared" si="42"/>
        <v/>
      </c>
      <c r="BW40" s="350" t="str">
        <f t="shared" si="42"/>
        <v/>
      </c>
      <c r="BX40" s="350" t="str">
        <f t="shared" si="42"/>
        <v/>
      </c>
      <c r="BY40" s="350" t="str">
        <f t="shared" si="42"/>
        <v/>
      </c>
      <c r="BZ40" s="350" t="str">
        <f t="shared" si="42"/>
        <v/>
      </c>
      <c r="CB40" s="367"/>
    </row>
    <row r="41" spans="1:80" x14ac:dyDescent="0.25">
      <c r="A41" s="359" t="s">
        <v>2754</v>
      </c>
      <c r="B41" s="359">
        <f>SUM(B11:B40)</f>
        <v>68</v>
      </c>
      <c r="C41" s="359"/>
      <c r="D41" s="360">
        <f ca="1">IF(OR(AK41="",N(AK41)=0),"",SUMIFS(AY$46:AY$145,AK$46:AK$145,"&gt;0")/AK41)</f>
        <v>0.18184625918180533</v>
      </c>
      <c r="E41" s="360">
        <f t="shared" ref="E41:Q41" ca="1" si="44">IF(OR(AL41="",N(AL41)=0),"",SUMIFS(AZ$46:AZ$145,AL$46:AL$145,"&gt;0")/AL41)</f>
        <v>0.16522928060580563</v>
      </c>
      <c r="F41" s="360">
        <f t="shared" ca="1" si="44"/>
        <v>0.16611295681063123</v>
      </c>
      <c r="G41" s="360">
        <f t="shared" ca="1" si="44"/>
        <v>0.15773470163435957</v>
      </c>
      <c r="H41" s="360">
        <f t="shared" ca="1" si="44"/>
        <v>0.13010825439783491</v>
      </c>
      <c r="I41" s="360">
        <f t="shared" ca="1" si="44"/>
        <v>0.13709514510807352</v>
      </c>
      <c r="J41" s="360">
        <f t="shared" ca="1" si="44"/>
        <v>0.14791603745092116</v>
      </c>
      <c r="K41" s="360">
        <f t="shared" ca="1" si="44"/>
        <v>0.14897226102574337</v>
      </c>
      <c r="L41" s="360">
        <f t="shared" ca="1" si="44"/>
        <v>0.15544309027060524</v>
      </c>
      <c r="M41" s="360" t="str">
        <f t="shared" si="44"/>
        <v/>
      </c>
      <c r="N41" s="360" t="str">
        <f t="shared" si="44"/>
        <v/>
      </c>
      <c r="O41" s="360" t="str">
        <f t="shared" si="44"/>
        <v/>
      </c>
      <c r="P41" s="360" t="str">
        <f t="shared" si="44"/>
        <v/>
      </c>
      <c r="Q41" s="360" t="str">
        <f t="shared" si="44"/>
        <v/>
      </c>
      <c r="R41" s="361" cm="1">
        <f t="array" aca="1" ref="R41" ca="1">IF(OR($A41="",D41=""),"",IFERROR(LOOKUP(2,1/(E41:Q41&lt;&gt;""),E41:Q41)-D41,""))</f>
        <v>-2.6403168911200092E-2</v>
      </c>
      <c r="S41" s="352"/>
      <c r="T41" s="364">
        <f t="shared" ca="1" si="23"/>
        <v>153.38814811025395</v>
      </c>
      <c r="U41" s="364">
        <f t="shared" ca="1" si="24"/>
        <v>151.91601363918164</v>
      </c>
      <c r="V41" s="364">
        <f t="shared" ca="1" si="25"/>
        <v>162.74760000000003</v>
      </c>
      <c r="W41" s="364">
        <f t="shared" ca="1" si="26"/>
        <v>158.29296338672771</v>
      </c>
      <c r="X41" s="364">
        <f t="shared" ca="1" si="27"/>
        <v>168.79686080947684</v>
      </c>
      <c r="Y41" s="364">
        <f t="shared" ca="1" si="28"/>
        <v>173.62340493601462</v>
      </c>
      <c r="Z41" s="364">
        <f t="shared" ca="1" si="29"/>
        <v>184.18443364122507</v>
      </c>
      <c r="AA41" s="364">
        <f t="shared" ca="1" si="30"/>
        <v>173.96073920756947</v>
      </c>
      <c r="AB41" s="364">
        <f t="shared" ca="1" si="31"/>
        <v>182.52078152753111</v>
      </c>
      <c r="AC41" s="364" t="str">
        <f t="shared" si="32"/>
        <v/>
      </c>
      <c r="AD41" s="364" t="str">
        <f t="shared" si="33"/>
        <v/>
      </c>
      <c r="AE41" s="364" t="str">
        <f t="shared" si="34"/>
        <v/>
      </c>
      <c r="AF41" s="364" t="str">
        <f t="shared" si="35"/>
        <v/>
      </c>
      <c r="AG41" s="364" t="str">
        <f t="shared" si="36"/>
        <v/>
      </c>
      <c r="AH41" s="365" cm="1">
        <f t="array" aca="1" ref="AH41" ca="1">IF(OR($A41="",T41=""),"",IFERROR(LOOKUP(2,1/(U41:AG41&lt;&gt;""),U41:AG41)-T41,""))</f>
        <v>29.132633417277162</v>
      </c>
      <c r="AI41" s="352"/>
      <c r="AJ41" s="352"/>
      <c r="AK41" s="353">
        <f>IF(AK$6="","",SUM(AK11:AK40))</f>
        <v>268738</v>
      </c>
      <c r="AL41" s="353">
        <f t="shared" ref="AL41:BZ41" si="45">IF(AL$6="","",SUM(AL11:AL40))</f>
        <v>9508</v>
      </c>
      <c r="AM41" s="353">
        <f t="shared" si="45"/>
        <v>9331</v>
      </c>
      <c r="AN41" s="353">
        <f t="shared" si="45"/>
        <v>10524</v>
      </c>
      <c r="AO41" s="353">
        <f t="shared" si="45"/>
        <v>14780</v>
      </c>
      <c r="AP41" s="353">
        <f t="shared" si="45"/>
        <v>14851</v>
      </c>
      <c r="AQ41" s="353">
        <f t="shared" si="45"/>
        <v>13244</v>
      </c>
      <c r="AR41" s="353">
        <f t="shared" si="45"/>
        <v>10022</v>
      </c>
      <c r="AS41" s="353">
        <f t="shared" si="45"/>
        <v>9682</v>
      </c>
      <c r="AT41" s="353" t="str">
        <f t="shared" si="45"/>
        <v/>
      </c>
      <c r="AU41" s="353" t="str">
        <f t="shared" si="45"/>
        <v/>
      </c>
      <c r="AV41" s="353" t="str">
        <f t="shared" si="45"/>
        <v/>
      </c>
      <c r="AW41" s="353" t="str">
        <f t="shared" si="45"/>
        <v/>
      </c>
      <c r="AX41" s="353" t="str">
        <f t="shared" si="45"/>
        <v/>
      </c>
      <c r="AY41" s="353">
        <f t="shared" ca="1" si="45"/>
        <v>48869</v>
      </c>
      <c r="AZ41" s="353">
        <f t="shared" ca="1" si="45"/>
        <v>1613</v>
      </c>
      <c r="BA41" s="353">
        <f t="shared" ca="1" si="45"/>
        <v>1650</v>
      </c>
      <c r="BB41" s="353">
        <f t="shared" ca="1" si="45"/>
        <v>1748</v>
      </c>
      <c r="BC41" s="353">
        <f t="shared" ca="1" si="45"/>
        <v>2026</v>
      </c>
      <c r="BD41" s="353">
        <f t="shared" ca="1" si="45"/>
        <v>2188</v>
      </c>
      <c r="BE41" s="353">
        <f t="shared" ca="1" si="45"/>
        <v>2057</v>
      </c>
      <c r="BF41" s="353">
        <f t="shared" ca="1" si="45"/>
        <v>1691</v>
      </c>
      <c r="BG41" s="353">
        <f t="shared" ca="1" si="45"/>
        <v>1689</v>
      </c>
      <c r="BH41" s="353" t="str">
        <f t="shared" si="45"/>
        <v/>
      </c>
      <c r="BI41" s="353" t="str">
        <f t="shared" si="45"/>
        <v/>
      </c>
      <c r="BJ41" s="353" t="str">
        <f t="shared" si="45"/>
        <v/>
      </c>
      <c r="BK41" s="353" t="str">
        <f t="shared" si="45"/>
        <v/>
      </c>
      <c r="BL41" s="353" t="str">
        <f t="shared" si="45"/>
        <v/>
      </c>
      <c r="BM41" s="353">
        <f t="shared" si="45"/>
        <v>7495925.4100000001</v>
      </c>
      <c r="BN41" s="353">
        <f t="shared" si="45"/>
        <v>245040.53</v>
      </c>
      <c r="BO41" s="353">
        <f t="shared" si="45"/>
        <v>268533.54000000004</v>
      </c>
      <c r="BP41" s="353">
        <f t="shared" si="45"/>
        <v>276696.10000000003</v>
      </c>
      <c r="BQ41" s="353">
        <f t="shared" si="45"/>
        <v>341982.44000000006</v>
      </c>
      <c r="BR41" s="353">
        <f t="shared" si="45"/>
        <v>379888.01</v>
      </c>
      <c r="BS41" s="353">
        <f t="shared" si="45"/>
        <v>378867.37999999995</v>
      </c>
      <c r="BT41" s="353">
        <f t="shared" si="45"/>
        <v>294167.61</v>
      </c>
      <c r="BU41" s="353">
        <f t="shared" si="45"/>
        <v>308277.60000000003</v>
      </c>
      <c r="BV41" s="353" t="str">
        <f t="shared" si="45"/>
        <v/>
      </c>
      <c r="BW41" s="353" t="str">
        <f t="shared" si="45"/>
        <v/>
      </c>
      <c r="BX41" s="353" t="str">
        <f t="shared" si="45"/>
        <v/>
      </c>
      <c r="BY41" s="353" t="str">
        <f t="shared" si="45"/>
        <v/>
      </c>
      <c r="BZ41" s="353" t="str">
        <f t="shared" si="45"/>
        <v/>
      </c>
    </row>
    <row r="42" spans="1:80" x14ac:dyDescent="0.25"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51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49"/>
      <c r="AE42" s="349"/>
      <c r="AF42" s="349"/>
      <c r="AG42" s="349"/>
      <c r="AH42" s="351"/>
      <c r="AI42" s="349"/>
      <c r="AJ42" s="349"/>
      <c r="AK42" s="350"/>
      <c r="AL42" s="350"/>
      <c r="AM42" s="350"/>
      <c r="AN42" s="350"/>
      <c r="AO42" s="350"/>
      <c r="AP42" s="350"/>
      <c r="AQ42" s="350"/>
      <c r="AR42" s="350"/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350"/>
      <c r="BD42" s="350"/>
      <c r="BE42" s="350"/>
      <c r="BF42" s="350"/>
      <c r="BG42" s="350"/>
      <c r="BH42" s="350"/>
      <c r="BI42" s="350"/>
      <c r="BJ42" s="350"/>
      <c r="BK42" s="350"/>
      <c r="BL42" s="350"/>
      <c r="BM42" s="350"/>
      <c r="BN42" s="350"/>
      <c r="BO42" s="350"/>
      <c r="BP42" s="350"/>
      <c r="BQ42" s="350"/>
      <c r="BR42" s="350"/>
      <c r="BS42" s="350"/>
      <c r="BT42" s="350"/>
      <c r="BU42" s="350"/>
      <c r="BV42" s="350"/>
      <c r="BW42" s="350"/>
      <c r="BX42" s="350"/>
      <c r="BY42" s="350"/>
      <c r="BZ42" s="350"/>
    </row>
    <row r="43" spans="1:80" ht="15.75" x14ac:dyDescent="0.25">
      <c r="A43" s="345" t="s">
        <v>2746</v>
      </c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51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49"/>
      <c r="AE43" s="349"/>
      <c r="AF43" s="349"/>
      <c r="AG43" s="349"/>
      <c r="AH43" s="351"/>
      <c r="AI43" s="349"/>
      <c r="AJ43" s="349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BC43" s="350"/>
      <c r="BD43" s="350"/>
      <c r="BE43" s="350"/>
      <c r="BF43" s="350"/>
      <c r="BG43" s="350"/>
      <c r="BH43" s="350"/>
      <c r="BI43" s="350"/>
      <c r="BJ43" s="350"/>
      <c r="BK43" s="350"/>
      <c r="BL43" s="350"/>
      <c r="BM43" s="350"/>
      <c r="BN43" s="350"/>
      <c r="BO43" s="350"/>
      <c r="BP43" s="350"/>
      <c r="BQ43" s="350"/>
      <c r="BR43" s="350"/>
      <c r="BS43" s="350"/>
      <c r="BT43" s="350"/>
      <c r="BU43" s="350"/>
      <c r="BV43" s="350"/>
      <c r="BW43" s="350"/>
      <c r="BX43" s="350"/>
      <c r="BY43" s="350"/>
      <c r="BZ43" s="350"/>
    </row>
    <row r="44" spans="1:80" x14ac:dyDescent="0.25">
      <c r="D44" s="388" t="s">
        <v>2747</v>
      </c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49"/>
      <c r="T44" s="389" t="s">
        <v>2759</v>
      </c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49"/>
      <c r="AJ44" s="349"/>
      <c r="AK44" s="391" t="s">
        <v>2748</v>
      </c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 t="s">
        <v>2749</v>
      </c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1"/>
      <c r="BK44" s="391"/>
      <c r="BL44" s="391"/>
      <c r="BM44" s="391" t="s">
        <v>2750</v>
      </c>
      <c r="BN44" s="391"/>
      <c r="BO44" s="391"/>
      <c r="BP44" s="391"/>
      <c r="BQ44" s="391"/>
      <c r="BR44" s="391"/>
      <c r="BS44" s="391"/>
      <c r="BT44" s="391"/>
      <c r="BU44" s="391"/>
      <c r="BV44" s="391"/>
      <c r="BW44" s="391"/>
      <c r="BX44" s="391"/>
      <c r="BY44" s="391"/>
      <c r="BZ44" s="391"/>
    </row>
    <row r="45" spans="1:80" ht="30" customHeight="1" x14ac:dyDescent="0.25">
      <c r="A45" s="354" t="s">
        <v>251</v>
      </c>
      <c r="B45" s="354" t="s">
        <v>252</v>
      </c>
      <c r="C45" s="354" t="s">
        <v>135</v>
      </c>
      <c r="D45" s="355" t="str">
        <f>IF(D$6="","",IF(D$6=D$7,TEXT(D$6,"dd mmm"),TEXT(D$6,"d")&amp;"–"&amp;TEXT(D$7,"d mmm")))</f>
        <v>1–18 Oct</v>
      </c>
      <c r="E45" s="355" t="str">
        <f t="shared" ref="E45:Q45" si="46">IF(E$6="","",IF(E$6=E$7,TEXT(E$6,"dd mmm"),TEXT(E$6,"d")&amp;"–"&amp;TEXT(E$7,"d mmm")))</f>
        <v>19 Oct</v>
      </c>
      <c r="F45" s="355" t="str">
        <f t="shared" si="46"/>
        <v>20 Oct</v>
      </c>
      <c r="G45" s="355" t="str">
        <f t="shared" si="46"/>
        <v>21 Oct</v>
      </c>
      <c r="H45" s="355" t="str">
        <f t="shared" si="46"/>
        <v>22 Oct</v>
      </c>
      <c r="I45" s="355" t="str">
        <f t="shared" si="46"/>
        <v>23 Oct</v>
      </c>
      <c r="J45" s="355" t="str">
        <f t="shared" si="46"/>
        <v>24 Oct</v>
      </c>
      <c r="K45" s="355" t="str">
        <f t="shared" si="46"/>
        <v>25 Oct</v>
      </c>
      <c r="L45" s="355" t="str">
        <f t="shared" si="46"/>
        <v>26 Oct</v>
      </c>
      <c r="M45" s="355" t="str">
        <f t="shared" si="46"/>
        <v/>
      </c>
      <c r="N45" s="355" t="str">
        <f t="shared" si="46"/>
        <v/>
      </c>
      <c r="O45" s="355" t="str">
        <f t="shared" si="46"/>
        <v/>
      </c>
      <c r="P45" s="355" t="str">
        <f t="shared" si="46"/>
        <v/>
      </c>
      <c r="Q45" s="355" t="str">
        <f t="shared" si="46"/>
        <v/>
      </c>
      <c r="R45" s="355" t="s">
        <v>2751</v>
      </c>
      <c r="S45" s="347"/>
      <c r="T45" s="355" t="str">
        <f>IF(T$6="","",IF(T$6=T$7,TEXT(T$6,"dd mmm"),TEXT(T$6,"d")&amp;"–"&amp;TEXT(T$7,"d mmm")))</f>
        <v>1–18 Oct</v>
      </c>
      <c r="U45" s="355" t="str">
        <f t="shared" ref="U45:AG45" si="47">IF(U$6="","",IF(U$6=U$7,TEXT(U$6,"dd mmm"),TEXT(U$6,"d")&amp;"–"&amp;TEXT(U$7,"d mmm")))</f>
        <v>19 Oct</v>
      </c>
      <c r="V45" s="355" t="str">
        <f t="shared" si="47"/>
        <v>20 Oct</v>
      </c>
      <c r="W45" s="355" t="str">
        <f t="shared" si="47"/>
        <v>21 Oct</v>
      </c>
      <c r="X45" s="355" t="str">
        <f t="shared" si="47"/>
        <v>22 Oct</v>
      </c>
      <c r="Y45" s="355" t="str">
        <f t="shared" si="47"/>
        <v>23 Oct</v>
      </c>
      <c r="Z45" s="355" t="str">
        <f t="shared" si="47"/>
        <v>24 Oct</v>
      </c>
      <c r="AA45" s="355" t="str">
        <f t="shared" si="47"/>
        <v>25 Oct</v>
      </c>
      <c r="AB45" s="355" t="str">
        <f t="shared" si="47"/>
        <v>26 Oct</v>
      </c>
      <c r="AC45" s="355" t="str">
        <f t="shared" si="47"/>
        <v/>
      </c>
      <c r="AD45" s="355" t="str">
        <f t="shared" si="47"/>
        <v/>
      </c>
      <c r="AE45" s="355" t="str">
        <f t="shared" si="47"/>
        <v/>
      </c>
      <c r="AF45" s="355" t="str">
        <f t="shared" si="47"/>
        <v/>
      </c>
      <c r="AG45" s="355" t="str">
        <f t="shared" si="47"/>
        <v/>
      </c>
      <c r="AH45" s="355" t="s">
        <v>2752</v>
      </c>
      <c r="AI45" s="347"/>
      <c r="AJ45" s="346" t="s">
        <v>2753</v>
      </c>
      <c r="AK45" s="348" t="str">
        <f>IF(AK$6="","",IF(AK$6=AK$7,TEXT(AK$6,"dd mmm"),TEXT(AK$6,"d")&amp;"–"&amp;TEXT(AK$7,"d mmm")))</f>
        <v>1–18 Oct</v>
      </c>
      <c r="AL45" s="348" t="str">
        <f t="shared" ref="AL45:AX45" si="48">IF(AL$6="","",IF(AL$6=AL$7,TEXT(AL$6,"dd mmm"),TEXT(AL$6,"d")&amp;"–"&amp;TEXT(AL$7,"d mmm")))</f>
        <v>19 Oct</v>
      </c>
      <c r="AM45" s="348" t="str">
        <f t="shared" si="48"/>
        <v>20 Oct</v>
      </c>
      <c r="AN45" s="348" t="str">
        <f t="shared" si="48"/>
        <v>21 Oct</v>
      </c>
      <c r="AO45" s="348" t="str">
        <f t="shared" si="48"/>
        <v>22 Oct</v>
      </c>
      <c r="AP45" s="348" t="str">
        <f t="shared" si="48"/>
        <v>23 Oct</v>
      </c>
      <c r="AQ45" s="348" t="str">
        <f t="shared" si="48"/>
        <v>24 Oct</v>
      </c>
      <c r="AR45" s="348" t="str">
        <f t="shared" si="48"/>
        <v>25 Oct</v>
      </c>
      <c r="AS45" s="348" t="str">
        <f t="shared" si="48"/>
        <v>26 Oct</v>
      </c>
      <c r="AT45" s="348" t="str">
        <f t="shared" si="48"/>
        <v/>
      </c>
      <c r="AU45" s="348" t="str">
        <f t="shared" si="48"/>
        <v/>
      </c>
      <c r="AV45" s="348" t="str">
        <f t="shared" si="48"/>
        <v/>
      </c>
      <c r="AW45" s="348" t="str">
        <f t="shared" si="48"/>
        <v/>
      </c>
      <c r="AX45" s="348" t="str">
        <f t="shared" si="48"/>
        <v/>
      </c>
      <c r="AY45" s="348" t="str">
        <f>IF(AY$6="","",IF(AY$6=AY$7,TEXT(AY$6,"dd mmm"),TEXT(AY$6,"d")&amp;"–"&amp;TEXT(AY$7,"d mmm")))</f>
        <v>1–18 Oct</v>
      </c>
      <c r="AZ45" s="348" t="str">
        <f t="shared" ref="AZ45:BL45" si="49">IF(AZ$6="","",IF(AZ$6=AZ$7,TEXT(AZ$6,"dd mmm"),TEXT(AZ$6,"d")&amp;"–"&amp;TEXT(AZ$7,"d mmm")))</f>
        <v>19 Oct</v>
      </c>
      <c r="BA45" s="348" t="str">
        <f t="shared" si="49"/>
        <v>20 Oct</v>
      </c>
      <c r="BB45" s="348" t="str">
        <f t="shared" si="49"/>
        <v>21 Oct</v>
      </c>
      <c r="BC45" s="348" t="str">
        <f t="shared" si="49"/>
        <v>22 Oct</v>
      </c>
      <c r="BD45" s="348" t="str">
        <f t="shared" si="49"/>
        <v>23 Oct</v>
      </c>
      <c r="BE45" s="348" t="str">
        <f t="shared" si="49"/>
        <v>24 Oct</v>
      </c>
      <c r="BF45" s="348" t="str">
        <f t="shared" si="49"/>
        <v>25 Oct</v>
      </c>
      <c r="BG45" s="348" t="str">
        <f t="shared" si="49"/>
        <v>26 Oct</v>
      </c>
      <c r="BH45" s="348" t="str">
        <f t="shared" si="49"/>
        <v/>
      </c>
      <c r="BI45" s="348" t="str">
        <f t="shared" si="49"/>
        <v/>
      </c>
      <c r="BJ45" s="348" t="str">
        <f t="shared" si="49"/>
        <v/>
      </c>
      <c r="BK45" s="348" t="str">
        <f t="shared" si="49"/>
        <v/>
      </c>
      <c r="BL45" s="348" t="str">
        <f t="shared" si="49"/>
        <v/>
      </c>
      <c r="BM45" s="348" t="str">
        <f>IF(BM$6="","",IF(BM$6=BM$7,TEXT(BM$6,"dd mmm"),TEXT(BM$6,"d")&amp;"–"&amp;TEXT(BM$7,"d mmm")))</f>
        <v>1–18 Oct</v>
      </c>
      <c r="BN45" s="348" t="str">
        <f t="shared" ref="BN45:BZ45" si="50">IF(BN$6="","",IF(BN$6=BN$7,TEXT(BN$6,"dd mmm"),TEXT(BN$6,"d")&amp;"–"&amp;TEXT(BN$7,"d mmm")))</f>
        <v>19 Oct</v>
      </c>
      <c r="BO45" s="348" t="str">
        <f t="shared" si="50"/>
        <v>20 Oct</v>
      </c>
      <c r="BP45" s="348" t="str">
        <f t="shared" si="50"/>
        <v>21 Oct</v>
      </c>
      <c r="BQ45" s="348" t="str">
        <f t="shared" si="50"/>
        <v>22 Oct</v>
      </c>
      <c r="BR45" s="348" t="str">
        <f t="shared" si="50"/>
        <v>23 Oct</v>
      </c>
      <c r="BS45" s="348" t="str">
        <f t="shared" si="50"/>
        <v>24 Oct</v>
      </c>
      <c r="BT45" s="348" t="str">
        <f t="shared" si="50"/>
        <v>25 Oct</v>
      </c>
      <c r="BU45" s="348" t="str">
        <f t="shared" si="50"/>
        <v>26 Oct</v>
      </c>
      <c r="BV45" s="348" t="str">
        <f t="shared" si="50"/>
        <v/>
      </c>
      <c r="BW45" s="348" t="str">
        <f t="shared" si="50"/>
        <v/>
      </c>
      <c r="BX45" s="348" t="str">
        <f t="shared" si="50"/>
        <v/>
      </c>
      <c r="BY45" s="348" t="str">
        <f t="shared" si="50"/>
        <v/>
      </c>
      <c r="BZ45" s="348" t="str">
        <f t="shared" si="50"/>
        <v/>
      </c>
    </row>
    <row r="46" spans="1:80" x14ac:dyDescent="0.25">
      <c r="A46" s="356" t="str" cm="1">
        <f t="array" ref="A46:A113">_xlfn.LET(_xlpm.c,TRIM(Footfall!$B$5:$B$301&amp;""),_xlpm.k,_xlfn._xlws.FILTER(_xlpm.c,_xlpm.c&lt;&gt;""),_xlpm.sc,TRIM('Sales and count'!$A$4:$A$300&amp;""),_xlpm.ct,_xlfn.XLOOKUP(_xlpm.k,_xlpm.sc,'Sales and count'!$C$4:$C$300,"Not set"),_xlpm.am,TRIM(_xlfn.XLOOKUP(_xlpm.k,_xlpm.sc,'Sales and count'!$D$4:$D$300,"")&amp;""),_xlpm.m,($B$4="All")+(_xlpm.am=TRIM($B$4)),IFERROR(_xlfn.SORTBY(_xlfn._xlws.FILTER(_xlpm.k,_xlpm.m&gt;0),_xlfn._xlws.FILTER(_xlpm.ct,_xlpm.m&gt;0),1),""))</f>
        <v>ABHATIMESQ</v>
      </c>
      <c r="B46" s="356" t="str" cm="1">
        <f t="array" ref="B46">IF($A46="","",_xlfn.XLOOKUP($A46,TRIM(Footfall!$B$5:$B$301&amp;""),Footfall!$A$5:$A$301,""))</f>
        <v>Abha Square</v>
      </c>
      <c r="C46" s="356" t="str" cm="1">
        <f t="array" ref="C46">IF($A46="","",_xlfn.XLOOKUP($A46,TRIM('Sales and count'!$A$4:$A$300&amp;""),'Sales and count'!$C$4:$C$300,"Not set"))</f>
        <v>Abha</v>
      </c>
      <c r="D46" s="357">
        <f ca="1">IF(OR($A46="",AK46="",N(AK46)=0),"",AY46/AK46)</f>
        <v>0.29285357321339328</v>
      </c>
      <c r="E46" s="357">
        <f t="shared" ref="E46:Q46" ca="1" si="51">IF(OR($A46="",AL46="",N(AL46)=0),"",AZ46/AL46)</f>
        <v>0.35714285714285715</v>
      </c>
      <c r="F46" s="357">
        <f t="shared" ca="1" si="51"/>
        <v>0.31343283582089554</v>
      </c>
      <c r="G46" s="357">
        <f t="shared" ca="1" si="51"/>
        <v>0.24770642201834864</v>
      </c>
      <c r="H46" s="357">
        <f t="shared" ca="1" si="51"/>
        <v>0.20270270270270271</v>
      </c>
      <c r="I46" s="357">
        <f t="shared" ca="1" si="51"/>
        <v>0.27631578947368424</v>
      </c>
      <c r="J46" s="357">
        <f t="shared" ca="1" si="51"/>
        <v>0.33333333333333331</v>
      </c>
      <c r="K46" s="357">
        <f t="shared" ca="1" si="51"/>
        <v>0.25742574257425743</v>
      </c>
      <c r="L46" s="357">
        <f t="shared" ca="1" si="51"/>
        <v>0.16521739130434782</v>
      </c>
      <c r="M46" s="357" t="str">
        <f t="shared" si="51"/>
        <v/>
      </c>
      <c r="N46" s="357" t="str">
        <f t="shared" si="51"/>
        <v/>
      </c>
      <c r="O46" s="357" t="str">
        <f t="shared" si="51"/>
        <v/>
      </c>
      <c r="P46" s="357" t="str">
        <f t="shared" si="51"/>
        <v/>
      </c>
      <c r="Q46" s="357" t="str">
        <f t="shared" si="51"/>
        <v/>
      </c>
      <c r="R46" s="358" cm="1">
        <f t="array" aca="1" ref="R46" ca="1">IF(OR($A46="",D46=""),"",IFERROR(LOOKUP(2,1/(E46:Q46&lt;&gt;""),E46:Q46)-D46,""))</f>
        <v>-0.12763618190904547</v>
      </c>
      <c r="S46" s="349"/>
      <c r="T46" s="362">
        <f ca="1">IF(OR($A46="",AY46="",N(AY46)=0),"",BM46/AY46)</f>
        <v>136.07011945392495</v>
      </c>
      <c r="U46" s="362">
        <f t="shared" ref="U46:AG46" ca="1" si="52">IF(OR($A46="",AZ46="",N(AZ46)=0),"",BN46/AZ46)</f>
        <v>149.8792</v>
      </c>
      <c r="V46" s="362">
        <f t="shared" ca="1" si="52"/>
        <v>110.57238095238095</v>
      </c>
      <c r="W46" s="362">
        <f t="shared" ca="1" si="52"/>
        <v>127.92666666666666</v>
      </c>
      <c r="X46" s="362">
        <f t="shared" ca="1" si="52"/>
        <v>178.72866666666667</v>
      </c>
      <c r="Y46" s="362">
        <f t="shared" ca="1" si="52"/>
        <v>170.75333333333333</v>
      </c>
      <c r="Z46" s="362">
        <f t="shared" ca="1" si="52"/>
        <v>145.90227272727273</v>
      </c>
      <c r="AA46" s="362">
        <f t="shared" ca="1" si="52"/>
        <v>188.60807692307694</v>
      </c>
      <c r="AB46" s="362">
        <f t="shared" ca="1" si="52"/>
        <v>164.43368421052631</v>
      </c>
      <c r="AC46" s="362" t="str">
        <f t="shared" si="52"/>
        <v/>
      </c>
      <c r="AD46" s="362" t="str">
        <f t="shared" si="52"/>
        <v/>
      </c>
      <c r="AE46" s="362" t="str">
        <f t="shared" si="52"/>
        <v/>
      </c>
      <c r="AF46" s="362" t="str">
        <f t="shared" si="52"/>
        <v/>
      </c>
      <c r="AG46" s="362" t="str">
        <f t="shared" si="52"/>
        <v/>
      </c>
      <c r="AH46" s="363" cm="1">
        <f t="array" aca="1" ref="AH46" ca="1">IF(OR($A46="",T46=""),"",IFERROR(LOOKUP(2,1/(U46:AG46&lt;&gt;""),U46:AG46)-T46,""))</f>
        <v>28.363564756601363</v>
      </c>
      <c r="AI46" s="349"/>
      <c r="AJ46" s="349" cm="1">
        <f t="array" ref="AJ46">IF($A46="","",IFERROR(MATCH($A46,TRIM('Sales and count'!$A$4:$A$300&amp;""),0),""))</f>
        <v>110</v>
      </c>
      <c r="AK46" s="350" cm="1">
        <f t="array" ref="AK46">IF(OR($A46="",AK$6=""),"",IFERROR(INDEX(Footfall!$C$5:$BZ$301,MATCH($A46,TRIM(Footfall!$B$5:$B$301&amp;""),0),AK$5),0))</f>
        <v>2001</v>
      </c>
      <c r="AL46" s="350" cm="1">
        <f t="array" ref="AL46">IF(OR($A46="",AL$6=""),"",IFERROR(INDEX(Footfall!$C$5:$BZ$301,MATCH($A46,TRIM(Footfall!$B$5:$B$301&amp;""),0),AL$5),0))</f>
        <v>70</v>
      </c>
      <c r="AM46" s="350" cm="1">
        <f t="array" ref="AM46">IF(OR($A46="",AM$6=""),"",IFERROR(INDEX(Footfall!$C$5:$BZ$301,MATCH($A46,TRIM(Footfall!$B$5:$B$301&amp;""),0),AM$5),0))</f>
        <v>67</v>
      </c>
      <c r="AN46" s="350" cm="1">
        <f t="array" ref="AN46">IF(OR($A46="",AN$6=""),"",IFERROR(INDEX(Footfall!$C$5:$BZ$301,MATCH($A46,TRIM(Footfall!$B$5:$B$301&amp;""),0),AN$5),0))</f>
        <v>109</v>
      </c>
      <c r="AO46" s="350" cm="1">
        <f t="array" ref="AO46">IF(OR($A46="",AO$6=""),"",IFERROR(INDEX(Footfall!$C$5:$BZ$301,MATCH($A46,TRIM(Footfall!$B$5:$B$301&amp;""),0),AO$5),0))</f>
        <v>74</v>
      </c>
      <c r="AP46" s="350" cm="1">
        <f t="array" ref="AP46">IF(OR($A46="",AP$6=""),"",IFERROR(INDEX(Footfall!$C$5:$BZ$301,MATCH($A46,TRIM(Footfall!$B$5:$B$301&amp;""),0),AP$5),0))</f>
        <v>76</v>
      </c>
      <c r="AQ46" s="350" cm="1">
        <f t="array" ref="AQ46">IF(OR($A46="",AQ$6=""),"",IFERROR(INDEX(Footfall!$C$5:$BZ$301,MATCH($A46,TRIM(Footfall!$B$5:$B$301&amp;""),0),AQ$5),0))</f>
        <v>66</v>
      </c>
      <c r="AR46" s="350" cm="1">
        <f t="array" ref="AR46">IF(OR($A46="",AR$6=""),"",IFERROR(INDEX(Footfall!$C$5:$BZ$301,MATCH($A46,TRIM(Footfall!$B$5:$B$301&amp;""),0),AR$5),0))</f>
        <v>101</v>
      </c>
      <c r="AS46" s="350" cm="1">
        <f t="array" ref="AS46">IF(OR($A46="",AS$6=""),"",IFERROR(INDEX(Footfall!$C$5:$BZ$301,MATCH($A46,TRIM(Footfall!$B$5:$B$301&amp;""),0),AS$5),0))</f>
        <v>115</v>
      </c>
      <c r="AT46" s="350" t="str" cm="1">
        <f t="array" ref="AT46">IF(OR($A46="",AT$6=""),"",IFERROR(INDEX(Footfall!$C$5:$BZ$301,MATCH($A46,TRIM(Footfall!$B$5:$B$301&amp;""),0),AT$5),0))</f>
        <v/>
      </c>
      <c r="AU46" s="350" t="str" cm="1">
        <f t="array" ref="AU46">IF(OR($A46="",AU$6=""),"",IFERROR(INDEX(Footfall!$C$5:$BZ$301,MATCH($A46,TRIM(Footfall!$B$5:$B$301&amp;""),0),AU$5),0))</f>
        <v/>
      </c>
      <c r="AV46" s="350" t="str" cm="1">
        <f t="array" ref="AV46">IF(OR($A46="",AV$6=""),"",IFERROR(INDEX(Footfall!$C$5:$BZ$301,MATCH($A46,TRIM(Footfall!$B$5:$B$301&amp;""),0),AV$5),0))</f>
        <v/>
      </c>
      <c r="AW46" s="350" t="str" cm="1">
        <f t="array" ref="AW46">IF(OR($A46="",AW$6=""),"",IFERROR(INDEX(Footfall!$C$5:$BZ$301,MATCH($A46,TRIM(Footfall!$B$5:$B$301&amp;""),0),AW$5),0))</f>
        <v/>
      </c>
      <c r="AX46" s="350" t="str" cm="1">
        <f t="array" ref="AX46">IF(OR($A46="",AX$6=""),"",IFERROR(INDEX(Footfall!$C$5:$BZ$301,MATCH($A46,TRIM(Footfall!$B$5:$B$301&amp;""),0),AX$5),0))</f>
        <v/>
      </c>
      <c r="AY46" s="350" cm="1">
        <f t="array" aca="1" ref="AY46" ca="1">IF(AK46="","",IF($AJ46="",0,_xlfn.LET(_xlpm.d,IFERROR(--'Sales and count'!$F$2:$CB$2,0),SUMPRODUCT(('Sales and count'!$G$3:$CC$3="Transactions")*(_xlpm.d&gt;=AY$6)*(_xlpm.d&lt;=AY$7),INDEX('Sales and count'!$G$4:$CC$300,$AJ46,0)))))</f>
        <v>586</v>
      </c>
      <c r="AZ46" s="350" cm="1">
        <f t="array" aca="1" ref="AZ46" ca="1">IF(AL46="","",IF($AJ46="",0,_xlfn.LET(_xlpm.d,IFERROR(--'Sales and count'!$F$2:$CB$2,0),SUMPRODUCT(('Sales and count'!$G$3:$CC$3="Transactions")*(_xlpm.d&gt;=AZ$6)*(_xlpm.d&lt;=AZ$7),INDEX('Sales and count'!$G$4:$CC$300,$AJ46,0)))))</f>
        <v>25</v>
      </c>
      <c r="BA46" s="350" cm="1">
        <f t="array" aca="1" ref="BA46" ca="1">IF(AM46="","",IF($AJ46="",0,_xlfn.LET(_xlpm.d,IFERROR(--'Sales and count'!$F$2:$CB$2,0),SUMPRODUCT(('Sales and count'!$G$3:$CC$3="Transactions")*(_xlpm.d&gt;=BA$6)*(_xlpm.d&lt;=BA$7),INDEX('Sales and count'!$G$4:$CC$300,$AJ46,0)))))</f>
        <v>21</v>
      </c>
      <c r="BB46" s="350" cm="1">
        <f t="array" aca="1" ref="BB46" ca="1">IF(AN46="","",IF($AJ46="",0,_xlfn.LET(_xlpm.d,IFERROR(--'Sales and count'!$F$2:$CB$2,0),SUMPRODUCT(('Sales and count'!$G$3:$CC$3="Transactions")*(_xlpm.d&gt;=BB$6)*(_xlpm.d&lt;=BB$7),INDEX('Sales and count'!$G$4:$CC$300,$AJ46,0)))))</f>
        <v>27</v>
      </c>
      <c r="BC46" s="350" cm="1">
        <f t="array" aca="1" ref="BC46" ca="1">IF(AO46="","",IF($AJ46="",0,_xlfn.LET(_xlpm.d,IFERROR(--'Sales and count'!$F$2:$CB$2,0),SUMPRODUCT(('Sales and count'!$G$3:$CC$3="Transactions")*(_xlpm.d&gt;=BC$6)*(_xlpm.d&lt;=BC$7),INDEX('Sales and count'!$G$4:$CC$300,$AJ46,0)))))</f>
        <v>15</v>
      </c>
      <c r="BD46" s="350" cm="1">
        <f t="array" aca="1" ref="BD46" ca="1">IF(AP46="","",IF($AJ46="",0,_xlfn.LET(_xlpm.d,IFERROR(--'Sales and count'!$F$2:$CB$2,0),SUMPRODUCT(('Sales and count'!$G$3:$CC$3="Transactions")*(_xlpm.d&gt;=BD$6)*(_xlpm.d&lt;=BD$7),INDEX('Sales and count'!$G$4:$CC$300,$AJ46,0)))))</f>
        <v>21</v>
      </c>
      <c r="BE46" s="350" cm="1">
        <f t="array" aca="1" ref="BE46" ca="1">IF(AQ46="","",IF($AJ46="",0,_xlfn.LET(_xlpm.d,IFERROR(--'Sales and count'!$F$2:$CB$2,0),SUMPRODUCT(('Sales and count'!$G$3:$CC$3="Transactions")*(_xlpm.d&gt;=BE$6)*(_xlpm.d&lt;=BE$7),INDEX('Sales and count'!$G$4:$CC$300,$AJ46,0)))))</f>
        <v>22</v>
      </c>
      <c r="BF46" s="350" cm="1">
        <f t="array" aca="1" ref="BF46" ca="1">IF(AR46="","",IF($AJ46="",0,_xlfn.LET(_xlpm.d,IFERROR(--'Sales and count'!$F$2:$CB$2,0),SUMPRODUCT(('Sales and count'!$G$3:$CC$3="Transactions")*(_xlpm.d&gt;=BF$6)*(_xlpm.d&lt;=BF$7),INDEX('Sales and count'!$G$4:$CC$300,$AJ46,0)))))</f>
        <v>26</v>
      </c>
      <c r="BG46" s="350" cm="1">
        <f t="array" aca="1" ref="BG46" ca="1">IF(AS46="","",IF($AJ46="",0,_xlfn.LET(_xlpm.d,IFERROR(--'Sales and count'!$F$2:$CB$2,0),SUMPRODUCT(('Sales and count'!$G$3:$CC$3="Transactions")*(_xlpm.d&gt;=BG$6)*(_xlpm.d&lt;=BG$7),INDEX('Sales and count'!$G$4:$CC$300,$AJ46,0)))))</f>
        <v>19</v>
      </c>
      <c r="BH46" s="350" t="str" cm="1">
        <f t="array" ref="BH46">IF(AT46="","",IF($AJ46="",0,_xlfn.LET(_xlpm.d,IFERROR(--'Sales and count'!$F$2:$CB$2,0),SUMPRODUCT(('Sales and count'!$G$3:$CC$3="Transactions")*(_xlpm.d&gt;=BH$6)*(_xlpm.d&lt;=BH$7),INDEX('Sales and count'!$G$4:$CC$300,$AJ46,0)))))</f>
        <v/>
      </c>
      <c r="BI46" s="350" t="str" cm="1">
        <f t="array" ref="BI46">IF(AU46="","",IF($AJ46="",0,_xlfn.LET(_xlpm.d,IFERROR(--'Sales and count'!$F$2:$CB$2,0),SUMPRODUCT(('Sales and count'!$G$3:$CC$3="Transactions")*(_xlpm.d&gt;=BI$6)*(_xlpm.d&lt;=BI$7),INDEX('Sales and count'!$G$4:$CC$300,$AJ46,0)))))</f>
        <v/>
      </c>
      <c r="BJ46" s="350" t="str" cm="1">
        <f t="array" ref="BJ46">IF(AV46="","",IF($AJ46="",0,_xlfn.LET(_xlpm.d,IFERROR(--'Sales and count'!$F$2:$CB$2,0),SUMPRODUCT(('Sales and count'!$G$3:$CC$3="Transactions")*(_xlpm.d&gt;=BJ$6)*(_xlpm.d&lt;=BJ$7),INDEX('Sales and count'!$G$4:$CC$300,$AJ46,0)))))</f>
        <v/>
      </c>
      <c r="BK46" s="350" t="str" cm="1">
        <f t="array" ref="BK46">IF(AW46="","",IF($AJ46="",0,_xlfn.LET(_xlpm.d,IFERROR(--'Sales and count'!$F$2:$CB$2,0),SUMPRODUCT(('Sales and count'!$G$3:$CC$3="Transactions")*(_xlpm.d&gt;=BK$6)*(_xlpm.d&lt;=BK$7),INDEX('Sales and count'!$G$4:$CC$300,$AJ46,0)))))</f>
        <v/>
      </c>
      <c r="BL46" s="350" t="str" cm="1">
        <f t="array" ref="BL46">IF(AX46="","",IF($AJ46="",0,_xlfn.LET(_xlpm.d,IFERROR(--'Sales and count'!$F$2:$CB$2,0),SUMPRODUCT(('Sales and count'!$G$3:$CC$3="Transactions")*(_xlpm.d&gt;=BL$6)*(_xlpm.d&lt;=BL$7),INDEX('Sales and count'!$G$4:$CC$300,$AJ46,0)))))</f>
        <v/>
      </c>
      <c r="BM46" s="350" cm="1">
        <f t="array" ref="BM46">IF(AK46="","",IF($AJ46="",0,_xlfn.LET(_xlpm.d,IFERROR(--'Sales and count'!$G$2:$CC$2,0),SUMPRODUCT(('Sales and count'!$G$3:$CC$3="Total")*(_xlpm.d&gt;=BM$6)*(_xlpm.d&lt;=BM$7),INDEX('Sales and count'!$G$4:$CC$300,$AJ46,0)))))</f>
        <v>79737.090000000011</v>
      </c>
      <c r="BN46" s="350" cm="1">
        <f t="array" ref="BN46">IF(AL46="","",IF($AJ46="",0,_xlfn.LET(_xlpm.d,IFERROR(--'Sales and count'!$G$2:$CC$2,0),SUMPRODUCT(('Sales and count'!$G$3:$CC$3="Total")*(_xlpm.d&gt;=BN$6)*(_xlpm.d&lt;=BN$7),INDEX('Sales and count'!$G$4:$CC$300,$AJ46,0)))))</f>
        <v>3746.98</v>
      </c>
      <c r="BO46" s="350" cm="1">
        <f t="array" ref="BO46">IF(AM46="","",IF($AJ46="",0,_xlfn.LET(_xlpm.d,IFERROR(--'Sales and count'!$G$2:$CC$2,0),SUMPRODUCT(('Sales and count'!$G$3:$CC$3="Total")*(_xlpm.d&gt;=BO$6)*(_xlpm.d&lt;=BO$7),INDEX('Sales and count'!$G$4:$CC$300,$AJ46,0)))))</f>
        <v>2322.02</v>
      </c>
      <c r="BP46" s="350" cm="1">
        <f t="array" ref="BP46">IF(AN46="","",IF($AJ46="",0,_xlfn.LET(_xlpm.d,IFERROR(--'Sales and count'!$G$2:$CC$2,0),SUMPRODUCT(('Sales and count'!$G$3:$CC$3="Total")*(_xlpm.d&gt;=BP$6)*(_xlpm.d&lt;=BP$7),INDEX('Sales and count'!$G$4:$CC$300,$AJ46,0)))))</f>
        <v>3454.02</v>
      </c>
      <c r="BQ46" s="350" cm="1">
        <f t="array" ref="BQ46">IF(AO46="","",IF($AJ46="",0,_xlfn.LET(_xlpm.d,IFERROR(--'Sales and count'!$G$2:$CC$2,0),SUMPRODUCT(('Sales and count'!$G$3:$CC$3="Total")*(_xlpm.d&gt;=BQ$6)*(_xlpm.d&lt;=BQ$7),INDEX('Sales and count'!$G$4:$CC$300,$AJ46,0)))))</f>
        <v>2680.93</v>
      </c>
      <c r="BR46" s="350" cm="1">
        <f t="array" ref="BR46">IF(AP46="","",IF($AJ46="",0,_xlfn.LET(_xlpm.d,IFERROR(--'Sales and count'!$G$2:$CC$2,0),SUMPRODUCT(('Sales and count'!$G$3:$CC$3="Total")*(_xlpm.d&gt;=BR$6)*(_xlpm.d&lt;=BR$7),INDEX('Sales and count'!$G$4:$CC$300,$AJ46,0)))))</f>
        <v>3585.82</v>
      </c>
      <c r="BS46" s="350" cm="1">
        <f t="array" ref="BS46">IF(AQ46="","",IF($AJ46="",0,_xlfn.LET(_xlpm.d,IFERROR(--'Sales and count'!$G$2:$CC$2,0),SUMPRODUCT(('Sales and count'!$G$3:$CC$3="Total")*(_xlpm.d&gt;=BS$6)*(_xlpm.d&lt;=BS$7),INDEX('Sales and count'!$G$4:$CC$300,$AJ46,0)))))</f>
        <v>3209.85</v>
      </c>
      <c r="BT46" s="350" cm="1">
        <f t="array" ref="BT46">IF(AR46="","",IF($AJ46="",0,_xlfn.LET(_xlpm.d,IFERROR(--'Sales and count'!$G$2:$CC$2,0),SUMPRODUCT(('Sales and count'!$G$3:$CC$3="Total")*(_xlpm.d&gt;=BT$6)*(_xlpm.d&lt;=BT$7),INDEX('Sales and count'!$G$4:$CC$300,$AJ46,0)))))</f>
        <v>4903.8100000000004</v>
      </c>
      <c r="BU46" s="350" cm="1">
        <f t="array" ref="BU46">IF(AS46="","",IF($AJ46="",0,_xlfn.LET(_xlpm.d,IFERROR(--'Sales and count'!$G$2:$CC$2,0),SUMPRODUCT(('Sales and count'!$G$3:$CC$3="Total")*(_xlpm.d&gt;=BU$6)*(_xlpm.d&lt;=BU$7),INDEX('Sales and count'!$G$4:$CC$300,$AJ46,0)))))</f>
        <v>3124.24</v>
      </c>
      <c r="BV46" s="350" t="str" cm="1">
        <f t="array" ref="BV46">IF(AT46="","",IF($AJ46="",0,_xlfn.LET(_xlpm.d,IFERROR(--'Sales and count'!$G$2:$CC$2,0),SUMPRODUCT(('Sales and count'!$G$3:$CC$3="Total")*(_xlpm.d&gt;=BV$6)*(_xlpm.d&lt;=BV$7),INDEX('Sales and count'!$G$4:$CC$300,$AJ46,0)))))</f>
        <v/>
      </c>
      <c r="BW46" s="350" t="str" cm="1">
        <f t="array" ref="BW46">IF(AU46="","",IF($AJ46="",0,_xlfn.LET(_xlpm.d,IFERROR(--'Sales and count'!$G$2:$CC$2,0),SUMPRODUCT(('Sales and count'!$G$3:$CC$3="Total")*(_xlpm.d&gt;=BW$6)*(_xlpm.d&lt;=BW$7),INDEX('Sales and count'!$G$4:$CC$300,$AJ46,0)))))</f>
        <v/>
      </c>
      <c r="BX46" s="350" t="str" cm="1">
        <f t="array" ref="BX46">IF(AV46="","",IF($AJ46="",0,_xlfn.LET(_xlpm.d,IFERROR(--'Sales and count'!$G$2:$CC$2,0),SUMPRODUCT(('Sales and count'!$G$3:$CC$3="Total")*(_xlpm.d&gt;=BX$6)*(_xlpm.d&lt;=BX$7),INDEX('Sales and count'!$G$4:$CC$300,$AJ46,0)))))</f>
        <v/>
      </c>
      <c r="BY46" s="350" t="str" cm="1">
        <f t="array" ref="BY46">IF(AW46="","",IF($AJ46="",0,_xlfn.LET(_xlpm.d,IFERROR(--'Sales and count'!$G$2:$CC$2,0),SUMPRODUCT(('Sales and count'!$G$3:$CC$3="Total")*(_xlpm.d&gt;=BY$6)*(_xlpm.d&lt;=BY$7),INDEX('Sales and count'!$G$4:$CC$300,$AJ46,0)))))</f>
        <v/>
      </c>
      <c r="BZ46" s="350" t="str" cm="1">
        <f t="array" ref="BZ46">IF(AX46="","",IF($AJ46="",0,_xlfn.LET(_xlpm.d,IFERROR(--'Sales and count'!$G$2:$CC$2,0),SUMPRODUCT(('Sales and count'!$G$3:$CC$3="Total")*(_xlpm.d&gt;=BZ$6)*(_xlpm.d&lt;=BZ$7),INDEX('Sales and count'!$G$4:$CC$300,$AJ46,0)))))</f>
        <v/>
      </c>
    </row>
    <row r="47" spans="1:80" x14ac:dyDescent="0.25">
      <c r="A47" s="356" t="str">
        <v>ALHAZIM</v>
      </c>
      <c r="B47" s="356" t="str" cm="1">
        <f t="array" ref="B47">IF($A47="","",_xlfn.XLOOKUP($A47,TRIM(Footfall!$B$5:$B$301&amp;""),Footfall!$A$5:$A$301,""))</f>
        <v>Al Hizam Abha</v>
      </c>
      <c r="C47" s="356" t="str" cm="1">
        <f t="array" ref="C47">IF($A47="","",_xlfn.XLOOKUP($A47,TRIM('Sales and count'!$A$4:$A$300&amp;""),'Sales and count'!$C$4:$C$300,"Not set"))</f>
        <v>Abha</v>
      </c>
      <c r="D47" s="357">
        <f t="shared" ref="D47:D110" ca="1" si="53">IF(OR($A47="",AK47="",N(AK47)=0),"",AY47/AK47)</f>
        <v>0.29654192325911888</v>
      </c>
      <c r="E47" s="357">
        <f t="shared" ref="E47:E110" ca="1" si="54">IF(OR($A47="",AL47="",N(AL47)=0),"",AZ47/AL47)</f>
        <v>0.31428571428571428</v>
      </c>
      <c r="F47" s="357">
        <f t="shared" ref="F47:F110" ca="1" si="55">IF(OR($A47="",AM47="",N(AM47)=0),"",BA47/AM47)</f>
        <v>0.32098765432098764</v>
      </c>
      <c r="G47" s="357">
        <f t="shared" ref="G47:G110" ca="1" si="56">IF(OR($A47="",AN47="",N(AN47)=0),"",BB47/AN47)</f>
        <v>0.21518987341772153</v>
      </c>
      <c r="H47" s="357">
        <f t="shared" ref="H47:H110" ca="1" si="57">IF(OR($A47="",AO47="",N(AO47)=0),"",BC47/AO47)</f>
        <v>0.23364485981308411</v>
      </c>
      <c r="I47" s="357">
        <f t="shared" ref="I47:I110" ca="1" si="58">IF(OR($A47="",AP47="",N(AP47)=0),"",BD47/AP47)</f>
        <v>0.1951219512195122</v>
      </c>
      <c r="J47" s="357">
        <f t="shared" ref="J47:J110" ca="1" si="59">IF(OR($A47="",AQ47="",N(AQ47)=0),"",BE47/AQ47)</f>
        <v>0.26548672566371684</v>
      </c>
      <c r="K47" s="357">
        <f t="shared" ref="K47:K110" ca="1" si="60">IF(OR($A47="",AR47="",N(AR47)=0),"",BF47/AR47)</f>
        <v>0.24096385542168675</v>
      </c>
      <c r="L47" s="357">
        <f t="shared" ref="L47:L110" ca="1" si="61">IF(OR($A47="",AS47="",N(AS47)=0),"",BG47/AS47)</f>
        <v>0.21621621621621623</v>
      </c>
      <c r="M47" s="357" t="str">
        <f t="shared" ref="M47:M110" si="62">IF(OR($A47="",AT47="",N(AT47)=0),"",BH47/AT47)</f>
        <v/>
      </c>
      <c r="N47" s="357" t="str">
        <f t="shared" ref="N47:N110" si="63">IF(OR($A47="",AU47="",N(AU47)=0),"",BI47/AU47)</f>
        <v/>
      </c>
      <c r="O47" s="357" t="str">
        <f t="shared" ref="O47:O110" si="64">IF(OR($A47="",AV47="",N(AV47)=0),"",BJ47/AV47)</f>
        <v/>
      </c>
      <c r="P47" s="357" t="str">
        <f t="shared" ref="P47:P110" si="65">IF(OR($A47="",AW47="",N(AW47)=0),"",BK47/AW47)</f>
        <v/>
      </c>
      <c r="Q47" s="357" t="str">
        <f t="shared" ref="Q47:Q110" si="66">IF(OR($A47="",AX47="",N(AX47)=0),"",BL47/AX47)</f>
        <v/>
      </c>
      <c r="R47" s="358" cm="1">
        <f t="array" aca="1" ref="R47" ca="1">IF(OR($A47="",D47=""),"",IFERROR(LOOKUP(2,1/(E47:Q47&lt;&gt;""),E47:Q47)-D47,""))</f>
        <v>-8.032570704290265E-2</v>
      </c>
      <c r="S47" s="349"/>
      <c r="T47" s="362">
        <f t="shared" ref="T47:T110" ca="1" si="67">IF(OR($A47="",AY47="",N(AY47)=0),"",BM47/AY47)</f>
        <v>135.21132587859427</v>
      </c>
      <c r="U47" s="362">
        <f t="shared" ref="U47:U110" ca="1" si="68">IF(OR($A47="",AZ47="",N(AZ47)=0),"",BN47/AZ47)</f>
        <v>154.50181818181818</v>
      </c>
      <c r="V47" s="362">
        <f t="shared" ref="V47:V110" ca="1" si="69">IF(OR($A47="",BA47="",N(BA47)=0),"",BO47/BA47)</f>
        <v>146.65692307692308</v>
      </c>
      <c r="W47" s="362">
        <f t="shared" ref="W47:W110" ca="1" si="70">IF(OR($A47="",BB47="",N(BB47)=0),"",BP47/BB47)</f>
        <v>146.7670588235294</v>
      </c>
      <c r="X47" s="362">
        <f t="shared" ref="X47:X110" ca="1" si="71">IF(OR($A47="",BC47="",N(BC47)=0),"",BQ47/BC47)</f>
        <v>153.87440000000001</v>
      </c>
      <c r="Y47" s="362">
        <f t="shared" ref="Y47:Y110" ca="1" si="72">IF(OR($A47="",BD47="",N(BD47)=0),"",BR47/BD47)</f>
        <v>185.299375</v>
      </c>
      <c r="Z47" s="362">
        <f t="shared" ref="Z47:Z110" ca="1" si="73">IF(OR($A47="",BE47="",N(BE47)=0),"",BS47/BE47)</f>
        <v>165.55866666666668</v>
      </c>
      <c r="AA47" s="362">
        <f t="shared" ref="AA47:AA110" ca="1" si="74">IF(OR($A47="",BF47="",N(BF47)=0),"",BT47/BF47)</f>
        <v>164.8415</v>
      </c>
      <c r="AB47" s="362">
        <f t="shared" ref="AB47:AB110" ca="1" si="75">IF(OR($A47="",BG47="",N(BG47)=0),"",BU47/BG47)</f>
        <v>183.05291666666668</v>
      </c>
      <c r="AC47" s="362" t="str">
        <f t="shared" ref="AC47:AC110" si="76">IF(OR($A47="",BH47="",N(BH47)=0),"",BV47/BH47)</f>
        <v/>
      </c>
      <c r="AD47" s="362" t="str">
        <f t="shared" ref="AD47:AD110" si="77">IF(OR($A47="",BI47="",N(BI47)=0),"",BW47/BI47)</f>
        <v/>
      </c>
      <c r="AE47" s="362" t="str">
        <f t="shared" ref="AE47:AE110" si="78">IF(OR($A47="",BJ47="",N(BJ47)=0),"",BX47/BJ47)</f>
        <v/>
      </c>
      <c r="AF47" s="362" t="str">
        <f t="shared" ref="AF47:AF110" si="79">IF(OR($A47="",BK47="",N(BK47)=0),"",BY47/BK47)</f>
        <v/>
      </c>
      <c r="AG47" s="362" t="str">
        <f t="shared" ref="AG47:AG110" si="80">IF(OR($A47="",BL47="",N(BL47)=0),"",BZ47/BL47)</f>
        <v/>
      </c>
      <c r="AH47" s="363" cm="1">
        <f t="array" aca="1" ref="AH47" ca="1">IF(OR($A47="",T47=""),"",IFERROR(LOOKUP(2,1/(U47:AG47&lt;&gt;""),U47:AG47)-T47,""))</f>
        <v>47.841590788072409</v>
      </c>
      <c r="AI47" s="349"/>
      <c r="AJ47" s="349" cm="1">
        <f t="array" ref="AJ47">IF($A47="","",IFERROR(MATCH($A47,TRIM('Sales and count'!$A$4:$A$300&amp;""),0),""))</f>
        <v>104</v>
      </c>
      <c r="AK47" s="350" cm="1">
        <f t="array" ref="AK47">IF(OR($A47="",AK$6=""),"",IFERROR(INDEX(Footfall!$C$5:$BZ$301,MATCH($A47,TRIM(Footfall!$B$5:$B$301&amp;""),0),AK$5),0))</f>
        <v>2111</v>
      </c>
      <c r="AL47" s="350" cm="1">
        <f t="array" ref="AL47">IF(OR($A47="",AL$6=""),"",IFERROR(INDEX(Footfall!$C$5:$BZ$301,MATCH($A47,TRIM(Footfall!$B$5:$B$301&amp;""),0),AL$5),0))</f>
        <v>70</v>
      </c>
      <c r="AM47" s="350" cm="1">
        <f t="array" ref="AM47">IF(OR($A47="",AM$6=""),"",IFERROR(INDEX(Footfall!$C$5:$BZ$301,MATCH($A47,TRIM(Footfall!$B$5:$B$301&amp;""),0),AM$5),0))</f>
        <v>81</v>
      </c>
      <c r="AN47" s="350" cm="1">
        <f t="array" ref="AN47">IF(OR($A47="",AN$6=""),"",IFERROR(INDEX(Footfall!$C$5:$BZ$301,MATCH($A47,TRIM(Footfall!$B$5:$B$301&amp;""),0),AN$5),0))</f>
        <v>79</v>
      </c>
      <c r="AO47" s="350" cm="1">
        <f t="array" ref="AO47">IF(OR($A47="",AO$6=""),"",IFERROR(INDEX(Footfall!$C$5:$BZ$301,MATCH($A47,TRIM(Footfall!$B$5:$B$301&amp;""),0),AO$5),0))</f>
        <v>107</v>
      </c>
      <c r="AP47" s="350" cm="1">
        <f t="array" ref="AP47">IF(OR($A47="",AP$6=""),"",IFERROR(INDEX(Footfall!$C$5:$BZ$301,MATCH($A47,TRIM(Footfall!$B$5:$B$301&amp;""),0),AP$5),0))</f>
        <v>82</v>
      </c>
      <c r="AQ47" s="350" cm="1">
        <f t="array" ref="AQ47">IF(OR($A47="",AQ$6=""),"",IFERROR(INDEX(Footfall!$C$5:$BZ$301,MATCH($A47,TRIM(Footfall!$B$5:$B$301&amp;""),0),AQ$5),0))</f>
        <v>113</v>
      </c>
      <c r="AR47" s="350" cm="1">
        <f t="array" ref="AR47">IF(OR($A47="",AR$6=""),"",IFERROR(INDEX(Footfall!$C$5:$BZ$301,MATCH($A47,TRIM(Footfall!$B$5:$B$301&amp;""),0),AR$5),0))</f>
        <v>83</v>
      </c>
      <c r="AS47" s="350" cm="1">
        <f t="array" ref="AS47">IF(OR($A47="",AS$6=""),"",IFERROR(INDEX(Footfall!$C$5:$BZ$301,MATCH($A47,TRIM(Footfall!$B$5:$B$301&amp;""),0),AS$5),0))</f>
        <v>111</v>
      </c>
      <c r="AT47" s="350" t="str" cm="1">
        <f t="array" ref="AT47">IF(OR($A47="",AT$6=""),"",IFERROR(INDEX(Footfall!$C$5:$BZ$301,MATCH($A47,TRIM(Footfall!$B$5:$B$301&amp;""),0),AT$5),0))</f>
        <v/>
      </c>
      <c r="AU47" s="350" t="str" cm="1">
        <f t="array" ref="AU47">IF(OR($A47="",AU$6=""),"",IFERROR(INDEX(Footfall!$C$5:$BZ$301,MATCH($A47,TRIM(Footfall!$B$5:$B$301&amp;""),0),AU$5),0))</f>
        <v/>
      </c>
      <c r="AV47" s="350" t="str" cm="1">
        <f t="array" ref="AV47">IF(OR($A47="",AV$6=""),"",IFERROR(INDEX(Footfall!$C$5:$BZ$301,MATCH($A47,TRIM(Footfall!$B$5:$B$301&amp;""),0),AV$5),0))</f>
        <v/>
      </c>
      <c r="AW47" s="350" t="str" cm="1">
        <f t="array" ref="AW47">IF(OR($A47="",AW$6=""),"",IFERROR(INDEX(Footfall!$C$5:$BZ$301,MATCH($A47,TRIM(Footfall!$B$5:$B$301&amp;""),0),AW$5),0))</f>
        <v/>
      </c>
      <c r="AX47" s="350" t="str" cm="1">
        <f t="array" ref="AX47">IF(OR($A47="",AX$6=""),"",IFERROR(INDEX(Footfall!$C$5:$BZ$301,MATCH($A47,TRIM(Footfall!$B$5:$B$301&amp;""),0),AX$5),0))</f>
        <v/>
      </c>
      <c r="AY47" s="350" cm="1">
        <f t="array" aca="1" ref="AY47" ca="1">IF(AK47="","",IF($AJ47="",0,_xlfn.LET(_xlpm.d,IFERROR(--'Sales and count'!$F$2:$CB$2,0),SUMPRODUCT(('Sales and count'!$G$3:$CC$3="Transactions")*(_xlpm.d&gt;=AY$6)*(_xlpm.d&lt;=AY$7),INDEX('Sales and count'!$G$4:$CC$300,$AJ47,0)))))</f>
        <v>626</v>
      </c>
      <c r="AZ47" s="350" cm="1">
        <f t="array" aca="1" ref="AZ47" ca="1">IF(AL47="","",IF($AJ47="",0,_xlfn.LET(_xlpm.d,IFERROR(--'Sales and count'!$F$2:$CB$2,0),SUMPRODUCT(('Sales and count'!$G$3:$CC$3="Transactions")*(_xlpm.d&gt;=AZ$6)*(_xlpm.d&lt;=AZ$7),INDEX('Sales and count'!$G$4:$CC$300,$AJ47,0)))))</f>
        <v>22</v>
      </c>
      <c r="BA47" s="350" cm="1">
        <f t="array" aca="1" ref="BA47" ca="1">IF(AM47="","",IF($AJ47="",0,_xlfn.LET(_xlpm.d,IFERROR(--'Sales and count'!$F$2:$CB$2,0),SUMPRODUCT(('Sales and count'!$G$3:$CC$3="Transactions")*(_xlpm.d&gt;=BA$6)*(_xlpm.d&lt;=BA$7),INDEX('Sales and count'!$G$4:$CC$300,$AJ47,0)))))</f>
        <v>26</v>
      </c>
      <c r="BB47" s="350" cm="1">
        <f t="array" aca="1" ref="BB47" ca="1">IF(AN47="","",IF($AJ47="",0,_xlfn.LET(_xlpm.d,IFERROR(--'Sales and count'!$F$2:$CB$2,0),SUMPRODUCT(('Sales and count'!$G$3:$CC$3="Transactions")*(_xlpm.d&gt;=BB$6)*(_xlpm.d&lt;=BB$7),INDEX('Sales and count'!$G$4:$CC$300,$AJ47,0)))))</f>
        <v>17</v>
      </c>
      <c r="BC47" s="350" cm="1">
        <f t="array" aca="1" ref="BC47" ca="1">IF(AO47="","",IF($AJ47="",0,_xlfn.LET(_xlpm.d,IFERROR(--'Sales and count'!$F$2:$CB$2,0),SUMPRODUCT(('Sales and count'!$G$3:$CC$3="Transactions")*(_xlpm.d&gt;=BC$6)*(_xlpm.d&lt;=BC$7),INDEX('Sales and count'!$G$4:$CC$300,$AJ47,0)))))</f>
        <v>25</v>
      </c>
      <c r="BD47" s="350" cm="1">
        <f t="array" aca="1" ref="BD47" ca="1">IF(AP47="","",IF($AJ47="",0,_xlfn.LET(_xlpm.d,IFERROR(--'Sales and count'!$F$2:$CB$2,0),SUMPRODUCT(('Sales and count'!$G$3:$CC$3="Transactions")*(_xlpm.d&gt;=BD$6)*(_xlpm.d&lt;=BD$7),INDEX('Sales and count'!$G$4:$CC$300,$AJ47,0)))))</f>
        <v>16</v>
      </c>
      <c r="BE47" s="350" cm="1">
        <f t="array" aca="1" ref="BE47" ca="1">IF(AQ47="","",IF($AJ47="",0,_xlfn.LET(_xlpm.d,IFERROR(--'Sales and count'!$F$2:$CB$2,0),SUMPRODUCT(('Sales and count'!$G$3:$CC$3="Transactions")*(_xlpm.d&gt;=BE$6)*(_xlpm.d&lt;=BE$7),INDEX('Sales and count'!$G$4:$CC$300,$AJ47,0)))))</f>
        <v>30</v>
      </c>
      <c r="BF47" s="350" cm="1">
        <f t="array" aca="1" ref="BF47" ca="1">IF(AR47="","",IF($AJ47="",0,_xlfn.LET(_xlpm.d,IFERROR(--'Sales and count'!$F$2:$CB$2,0),SUMPRODUCT(('Sales and count'!$G$3:$CC$3="Transactions")*(_xlpm.d&gt;=BF$6)*(_xlpm.d&lt;=BF$7),INDEX('Sales and count'!$G$4:$CC$300,$AJ47,0)))))</f>
        <v>20</v>
      </c>
      <c r="BG47" s="350" cm="1">
        <f t="array" aca="1" ref="BG47" ca="1">IF(AS47="","",IF($AJ47="",0,_xlfn.LET(_xlpm.d,IFERROR(--'Sales and count'!$F$2:$CB$2,0),SUMPRODUCT(('Sales and count'!$G$3:$CC$3="Transactions")*(_xlpm.d&gt;=BG$6)*(_xlpm.d&lt;=BG$7),INDEX('Sales and count'!$G$4:$CC$300,$AJ47,0)))))</f>
        <v>24</v>
      </c>
      <c r="BH47" s="350" t="str" cm="1">
        <f t="array" ref="BH47">IF(AT47="","",IF($AJ47="",0,_xlfn.LET(_xlpm.d,IFERROR(--'Sales and count'!$F$2:$CB$2,0),SUMPRODUCT(('Sales and count'!$G$3:$CC$3="Transactions")*(_xlpm.d&gt;=BH$6)*(_xlpm.d&lt;=BH$7),INDEX('Sales and count'!$G$4:$CC$300,$AJ47,0)))))</f>
        <v/>
      </c>
      <c r="BI47" s="350" t="str" cm="1">
        <f t="array" ref="BI47">IF(AU47="","",IF($AJ47="",0,_xlfn.LET(_xlpm.d,IFERROR(--'Sales and count'!$F$2:$CB$2,0),SUMPRODUCT(('Sales and count'!$G$3:$CC$3="Transactions")*(_xlpm.d&gt;=BI$6)*(_xlpm.d&lt;=BI$7),INDEX('Sales and count'!$G$4:$CC$300,$AJ47,0)))))</f>
        <v/>
      </c>
      <c r="BJ47" s="350" t="str" cm="1">
        <f t="array" ref="BJ47">IF(AV47="","",IF($AJ47="",0,_xlfn.LET(_xlpm.d,IFERROR(--'Sales and count'!$F$2:$CB$2,0),SUMPRODUCT(('Sales and count'!$G$3:$CC$3="Transactions")*(_xlpm.d&gt;=BJ$6)*(_xlpm.d&lt;=BJ$7),INDEX('Sales and count'!$G$4:$CC$300,$AJ47,0)))))</f>
        <v/>
      </c>
      <c r="BK47" s="350" t="str" cm="1">
        <f t="array" ref="BK47">IF(AW47="","",IF($AJ47="",0,_xlfn.LET(_xlpm.d,IFERROR(--'Sales and count'!$F$2:$CB$2,0),SUMPRODUCT(('Sales and count'!$G$3:$CC$3="Transactions")*(_xlpm.d&gt;=BK$6)*(_xlpm.d&lt;=BK$7),INDEX('Sales and count'!$G$4:$CC$300,$AJ47,0)))))</f>
        <v/>
      </c>
      <c r="BL47" s="350" t="str" cm="1">
        <f t="array" ref="BL47">IF(AX47="","",IF($AJ47="",0,_xlfn.LET(_xlpm.d,IFERROR(--'Sales and count'!$F$2:$CB$2,0),SUMPRODUCT(('Sales and count'!$G$3:$CC$3="Transactions")*(_xlpm.d&gt;=BL$6)*(_xlpm.d&lt;=BL$7),INDEX('Sales and count'!$G$4:$CC$300,$AJ47,0)))))</f>
        <v/>
      </c>
      <c r="BM47" s="350" cm="1">
        <f t="array" ref="BM47">IF(AK47="","",IF($AJ47="",0,_xlfn.LET(_xlpm.d,IFERROR(--'Sales and count'!$G$2:$CC$2,0),SUMPRODUCT(('Sales and count'!$G$3:$CC$3="Total")*(_xlpm.d&gt;=BM$6)*(_xlpm.d&lt;=BM$7),INDEX('Sales and count'!$G$4:$CC$300,$AJ47,0)))))</f>
        <v>84642.290000000008</v>
      </c>
      <c r="BN47" s="350" cm="1">
        <f t="array" ref="BN47">IF(AL47="","",IF($AJ47="",0,_xlfn.LET(_xlpm.d,IFERROR(--'Sales and count'!$G$2:$CC$2,0),SUMPRODUCT(('Sales and count'!$G$3:$CC$3="Total")*(_xlpm.d&gt;=BN$6)*(_xlpm.d&lt;=BN$7),INDEX('Sales and count'!$G$4:$CC$300,$AJ47,0)))))</f>
        <v>3399.04</v>
      </c>
      <c r="BO47" s="350" cm="1">
        <f t="array" ref="BO47">IF(AM47="","",IF($AJ47="",0,_xlfn.LET(_xlpm.d,IFERROR(--'Sales and count'!$G$2:$CC$2,0),SUMPRODUCT(('Sales and count'!$G$3:$CC$3="Total")*(_xlpm.d&gt;=BO$6)*(_xlpm.d&lt;=BO$7),INDEX('Sales and count'!$G$4:$CC$300,$AJ47,0)))))</f>
        <v>3813.08</v>
      </c>
      <c r="BP47" s="350" cm="1">
        <f t="array" ref="BP47">IF(AN47="","",IF($AJ47="",0,_xlfn.LET(_xlpm.d,IFERROR(--'Sales and count'!$G$2:$CC$2,0),SUMPRODUCT(('Sales and count'!$G$3:$CC$3="Total")*(_xlpm.d&gt;=BP$6)*(_xlpm.d&lt;=BP$7),INDEX('Sales and count'!$G$4:$CC$300,$AJ47,0)))))</f>
        <v>2495.04</v>
      </c>
      <c r="BQ47" s="350" cm="1">
        <f t="array" ref="BQ47">IF(AO47="","",IF($AJ47="",0,_xlfn.LET(_xlpm.d,IFERROR(--'Sales and count'!$G$2:$CC$2,0),SUMPRODUCT(('Sales and count'!$G$3:$CC$3="Total")*(_xlpm.d&gt;=BQ$6)*(_xlpm.d&lt;=BQ$7),INDEX('Sales and count'!$G$4:$CC$300,$AJ47,0)))))</f>
        <v>3846.86</v>
      </c>
      <c r="BR47" s="350" cm="1">
        <f t="array" ref="BR47">IF(AP47="","",IF($AJ47="",0,_xlfn.LET(_xlpm.d,IFERROR(--'Sales and count'!$G$2:$CC$2,0),SUMPRODUCT(('Sales and count'!$G$3:$CC$3="Total")*(_xlpm.d&gt;=BR$6)*(_xlpm.d&lt;=BR$7),INDEX('Sales and count'!$G$4:$CC$300,$AJ47,0)))))</f>
        <v>2964.79</v>
      </c>
      <c r="BS47" s="350" cm="1">
        <f t="array" ref="BS47">IF(AQ47="","",IF($AJ47="",0,_xlfn.LET(_xlpm.d,IFERROR(--'Sales and count'!$G$2:$CC$2,0),SUMPRODUCT(('Sales and count'!$G$3:$CC$3="Total")*(_xlpm.d&gt;=BS$6)*(_xlpm.d&lt;=BS$7),INDEX('Sales and count'!$G$4:$CC$300,$AJ47,0)))))</f>
        <v>4966.76</v>
      </c>
      <c r="BT47" s="350" cm="1">
        <f t="array" ref="BT47">IF(AR47="","",IF($AJ47="",0,_xlfn.LET(_xlpm.d,IFERROR(--'Sales and count'!$G$2:$CC$2,0),SUMPRODUCT(('Sales and count'!$G$3:$CC$3="Total")*(_xlpm.d&gt;=BT$6)*(_xlpm.d&lt;=BT$7),INDEX('Sales and count'!$G$4:$CC$300,$AJ47,0)))))</f>
        <v>3296.83</v>
      </c>
      <c r="BU47" s="350" cm="1">
        <f t="array" ref="BU47">IF(AS47="","",IF($AJ47="",0,_xlfn.LET(_xlpm.d,IFERROR(--'Sales and count'!$G$2:$CC$2,0),SUMPRODUCT(('Sales and count'!$G$3:$CC$3="Total")*(_xlpm.d&gt;=BU$6)*(_xlpm.d&lt;=BU$7),INDEX('Sales and count'!$G$4:$CC$300,$AJ47,0)))))</f>
        <v>4393.2700000000004</v>
      </c>
      <c r="BV47" s="350" t="str" cm="1">
        <f t="array" ref="BV47">IF(AT47="","",IF($AJ47="",0,_xlfn.LET(_xlpm.d,IFERROR(--'Sales and count'!$G$2:$CC$2,0),SUMPRODUCT(('Sales and count'!$G$3:$CC$3="Total")*(_xlpm.d&gt;=BV$6)*(_xlpm.d&lt;=BV$7),INDEX('Sales and count'!$G$4:$CC$300,$AJ47,0)))))</f>
        <v/>
      </c>
      <c r="BW47" s="350" t="str" cm="1">
        <f t="array" ref="BW47">IF(AU47="","",IF($AJ47="",0,_xlfn.LET(_xlpm.d,IFERROR(--'Sales and count'!$G$2:$CC$2,0),SUMPRODUCT(('Sales and count'!$G$3:$CC$3="Total")*(_xlpm.d&gt;=BW$6)*(_xlpm.d&lt;=BW$7),INDEX('Sales and count'!$G$4:$CC$300,$AJ47,0)))))</f>
        <v/>
      </c>
      <c r="BX47" s="350" t="str" cm="1">
        <f t="array" ref="BX47">IF(AV47="","",IF($AJ47="",0,_xlfn.LET(_xlpm.d,IFERROR(--'Sales and count'!$G$2:$CC$2,0),SUMPRODUCT(('Sales and count'!$G$3:$CC$3="Total")*(_xlpm.d&gt;=BX$6)*(_xlpm.d&lt;=BX$7),INDEX('Sales and count'!$G$4:$CC$300,$AJ47,0)))))</f>
        <v/>
      </c>
      <c r="BY47" s="350" t="str" cm="1">
        <f t="array" ref="BY47">IF(AW47="","",IF($AJ47="",0,_xlfn.LET(_xlpm.d,IFERROR(--'Sales and count'!$G$2:$CC$2,0),SUMPRODUCT(('Sales and count'!$G$3:$CC$3="Total")*(_xlpm.d&gt;=BY$6)*(_xlpm.d&lt;=BY$7),INDEX('Sales and count'!$G$4:$CC$300,$AJ47,0)))))</f>
        <v/>
      </c>
      <c r="BZ47" s="350" t="str" cm="1">
        <f t="array" ref="BZ47">IF(AX47="","",IF($AJ47="",0,_xlfn.LET(_xlpm.d,IFERROR(--'Sales and count'!$G$2:$CC$2,0),SUMPRODUCT(('Sales and count'!$G$3:$CC$3="Total")*(_xlpm.d&gt;=BZ$6)*(_xlpm.d&lt;=BZ$7),INDEX('Sales and count'!$G$4:$CC$300,$AJ47,0)))))</f>
        <v/>
      </c>
    </row>
    <row r="48" spans="1:80" x14ac:dyDescent="0.25">
      <c r="A48" s="356" t="str">
        <v>HASEHSA</v>
      </c>
      <c r="B48" s="356" t="str" cm="1">
        <f t="array" ref="B48">IF($A48="","",_xlfn.XLOOKUP($A48,TRIM(Footfall!$B$5:$B$301&amp;""),Footfall!$A$5:$A$301,""))</f>
        <v>Al Ahsa Mall</v>
      </c>
      <c r="C48" s="356" t="str" cm="1">
        <f t="array" ref="C48">IF($A48="","",_xlfn.XLOOKUP($A48,TRIM('Sales and count'!$A$4:$A$300&amp;""),'Sales and count'!$C$4:$C$300,"Not set"))</f>
        <v>Al Hasa</v>
      </c>
      <c r="D48" s="357">
        <f t="shared" ca="1" si="53"/>
        <v>0.14522821576763487</v>
      </c>
      <c r="E48" s="357">
        <f t="shared" ca="1" si="54"/>
        <v>0.13422818791946309</v>
      </c>
      <c r="F48" s="357">
        <f t="shared" ca="1" si="55"/>
        <v>0.19811320754716982</v>
      </c>
      <c r="G48" s="357">
        <f t="shared" ca="1" si="56"/>
        <v>0.10362694300518134</v>
      </c>
      <c r="H48" s="357">
        <f t="shared" ca="1" si="57"/>
        <v>0.1552346570397112</v>
      </c>
      <c r="I48" s="357">
        <f t="shared" ca="1" si="58"/>
        <v>8.6378737541528236E-2</v>
      </c>
      <c r="J48" s="357">
        <f t="shared" ca="1" si="59"/>
        <v>0.12786885245901639</v>
      </c>
      <c r="K48" s="357">
        <f t="shared" ca="1" si="60"/>
        <v>0.13432835820895522</v>
      </c>
      <c r="L48" s="357">
        <f t="shared" ca="1" si="61"/>
        <v>0.17050691244239632</v>
      </c>
      <c r="M48" s="357" t="str">
        <f t="shared" si="62"/>
        <v/>
      </c>
      <c r="N48" s="357" t="str">
        <f t="shared" si="63"/>
        <v/>
      </c>
      <c r="O48" s="357" t="str">
        <f t="shared" si="64"/>
        <v/>
      </c>
      <c r="P48" s="357" t="str">
        <f t="shared" si="65"/>
        <v/>
      </c>
      <c r="Q48" s="357" t="str">
        <f t="shared" si="66"/>
        <v/>
      </c>
      <c r="R48" s="358" cm="1">
        <f t="array" aca="1" ref="R48" ca="1">IF(OR($A48="",D48=""),"",IFERROR(LOOKUP(2,1/(E48:Q48&lt;&gt;""),E48:Q48)-D48,""))</f>
        <v>2.5278696674761458E-2</v>
      </c>
      <c r="S48" s="349"/>
      <c r="T48" s="362">
        <f t="shared" ca="1" si="67"/>
        <v>159.54372670807456</v>
      </c>
      <c r="U48" s="362">
        <f t="shared" ca="1" si="68"/>
        <v>130.3005</v>
      </c>
      <c r="V48" s="362">
        <f t="shared" ca="1" si="69"/>
        <v>152.14476190476191</v>
      </c>
      <c r="W48" s="362">
        <f t="shared" ca="1" si="70"/>
        <v>251.95500000000001</v>
      </c>
      <c r="X48" s="362">
        <f t="shared" ca="1" si="71"/>
        <v>159.94697674418606</v>
      </c>
      <c r="Y48" s="362">
        <f t="shared" ca="1" si="72"/>
        <v>194.64884615384614</v>
      </c>
      <c r="Z48" s="362">
        <f t="shared" ca="1" si="73"/>
        <v>172.65769230769229</v>
      </c>
      <c r="AA48" s="362">
        <f t="shared" ca="1" si="74"/>
        <v>231.91629629629628</v>
      </c>
      <c r="AB48" s="362">
        <f t="shared" ca="1" si="75"/>
        <v>134.06189189189189</v>
      </c>
      <c r="AC48" s="362" t="str">
        <f t="shared" si="76"/>
        <v/>
      </c>
      <c r="AD48" s="362" t="str">
        <f t="shared" si="77"/>
        <v/>
      </c>
      <c r="AE48" s="362" t="str">
        <f t="shared" si="78"/>
        <v/>
      </c>
      <c r="AF48" s="362" t="str">
        <f t="shared" si="79"/>
        <v/>
      </c>
      <c r="AG48" s="362" t="str">
        <f t="shared" si="80"/>
        <v/>
      </c>
      <c r="AH48" s="363" cm="1">
        <f t="array" aca="1" ref="AH48" ca="1">IF(OR($A48="",T48=""),"",IFERROR(LOOKUP(2,1/(U48:AG48&lt;&gt;""),U48:AG48)-T48,""))</f>
        <v>-25.481834816182669</v>
      </c>
      <c r="AI48" s="349"/>
      <c r="AJ48" s="349" cm="1">
        <f t="array" ref="AJ48">IF($A48="","",IFERROR(MATCH($A48,TRIM('Sales and count'!$A$4:$A$300&amp;""),0),""))</f>
        <v>40</v>
      </c>
      <c r="AK48" s="350" cm="1">
        <f t="array" ref="AK48">IF(OR($A48="",AK$6=""),"",IFERROR(INDEX(Footfall!$C$5:$BZ$301,MATCH($A48,TRIM(Footfall!$B$5:$B$301&amp;""),0),AK$5),0))</f>
        <v>5543</v>
      </c>
      <c r="AL48" s="350" cm="1">
        <f t="array" ref="AL48">IF(OR($A48="",AL$6=""),"",IFERROR(INDEX(Footfall!$C$5:$BZ$301,MATCH($A48,TRIM(Footfall!$B$5:$B$301&amp;""),0),AL$5),0))</f>
        <v>149</v>
      </c>
      <c r="AM48" s="350" cm="1">
        <f t="array" ref="AM48">IF(OR($A48="",AM$6=""),"",IFERROR(INDEX(Footfall!$C$5:$BZ$301,MATCH($A48,TRIM(Footfall!$B$5:$B$301&amp;""),0),AM$5),0))</f>
        <v>106</v>
      </c>
      <c r="AN48" s="350" cm="1">
        <f t="array" ref="AN48">IF(OR($A48="",AN$6=""),"",IFERROR(INDEX(Footfall!$C$5:$BZ$301,MATCH($A48,TRIM(Footfall!$B$5:$B$301&amp;""),0),AN$5),0))</f>
        <v>193</v>
      </c>
      <c r="AO48" s="350" cm="1">
        <f t="array" ref="AO48">IF(OR($A48="",AO$6=""),"",IFERROR(INDEX(Footfall!$C$5:$BZ$301,MATCH($A48,TRIM(Footfall!$B$5:$B$301&amp;""),0),AO$5),0))</f>
        <v>277</v>
      </c>
      <c r="AP48" s="350" cm="1">
        <f t="array" ref="AP48">IF(OR($A48="",AP$6=""),"",IFERROR(INDEX(Footfall!$C$5:$BZ$301,MATCH($A48,TRIM(Footfall!$B$5:$B$301&amp;""),0),AP$5),0))</f>
        <v>301</v>
      </c>
      <c r="AQ48" s="350" cm="1">
        <f t="array" ref="AQ48">IF(OR($A48="",AQ$6=""),"",IFERROR(INDEX(Footfall!$C$5:$BZ$301,MATCH($A48,TRIM(Footfall!$B$5:$B$301&amp;""),0),AQ$5),0))</f>
        <v>305</v>
      </c>
      <c r="AR48" s="350" cm="1">
        <f t="array" ref="AR48">IF(OR($A48="",AR$6=""),"",IFERROR(INDEX(Footfall!$C$5:$BZ$301,MATCH($A48,TRIM(Footfall!$B$5:$B$301&amp;""),0),AR$5),0))</f>
        <v>201</v>
      </c>
      <c r="AS48" s="350" cm="1">
        <f t="array" ref="AS48">IF(OR($A48="",AS$6=""),"",IFERROR(INDEX(Footfall!$C$5:$BZ$301,MATCH($A48,TRIM(Footfall!$B$5:$B$301&amp;""),0),AS$5),0))</f>
        <v>217</v>
      </c>
      <c r="AT48" s="350" t="str" cm="1">
        <f t="array" ref="AT48">IF(OR($A48="",AT$6=""),"",IFERROR(INDEX(Footfall!$C$5:$BZ$301,MATCH($A48,TRIM(Footfall!$B$5:$B$301&amp;""),0),AT$5),0))</f>
        <v/>
      </c>
      <c r="AU48" s="350" t="str" cm="1">
        <f t="array" ref="AU48">IF(OR($A48="",AU$6=""),"",IFERROR(INDEX(Footfall!$C$5:$BZ$301,MATCH($A48,TRIM(Footfall!$B$5:$B$301&amp;""),0),AU$5),0))</f>
        <v/>
      </c>
      <c r="AV48" s="350" t="str" cm="1">
        <f t="array" ref="AV48">IF(OR($A48="",AV$6=""),"",IFERROR(INDEX(Footfall!$C$5:$BZ$301,MATCH($A48,TRIM(Footfall!$B$5:$B$301&amp;""),0),AV$5),0))</f>
        <v/>
      </c>
      <c r="AW48" s="350" t="str" cm="1">
        <f t="array" ref="AW48">IF(OR($A48="",AW$6=""),"",IFERROR(INDEX(Footfall!$C$5:$BZ$301,MATCH($A48,TRIM(Footfall!$B$5:$B$301&amp;""),0),AW$5),0))</f>
        <v/>
      </c>
      <c r="AX48" s="350" t="str" cm="1">
        <f t="array" ref="AX48">IF(OR($A48="",AX$6=""),"",IFERROR(INDEX(Footfall!$C$5:$BZ$301,MATCH($A48,TRIM(Footfall!$B$5:$B$301&amp;""),0),AX$5),0))</f>
        <v/>
      </c>
      <c r="AY48" s="350" cm="1">
        <f t="array" aca="1" ref="AY48" ca="1">IF(AK48="","",IF($AJ48="",0,_xlfn.LET(_xlpm.d,IFERROR(--'Sales and count'!$F$2:$CB$2,0),SUMPRODUCT(('Sales and count'!$G$3:$CC$3="Transactions")*(_xlpm.d&gt;=AY$6)*(_xlpm.d&lt;=AY$7),INDEX('Sales and count'!$G$4:$CC$300,$AJ48,0)))))</f>
        <v>805</v>
      </c>
      <c r="AZ48" s="350" cm="1">
        <f t="array" aca="1" ref="AZ48" ca="1">IF(AL48="","",IF($AJ48="",0,_xlfn.LET(_xlpm.d,IFERROR(--'Sales and count'!$F$2:$CB$2,0),SUMPRODUCT(('Sales and count'!$G$3:$CC$3="Transactions")*(_xlpm.d&gt;=AZ$6)*(_xlpm.d&lt;=AZ$7),INDEX('Sales and count'!$G$4:$CC$300,$AJ48,0)))))</f>
        <v>20</v>
      </c>
      <c r="BA48" s="350" cm="1">
        <f t="array" aca="1" ref="BA48" ca="1">IF(AM48="","",IF($AJ48="",0,_xlfn.LET(_xlpm.d,IFERROR(--'Sales and count'!$F$2:$CB$2,0),SUMPRODUCT(('Sales and count'!$G$3:$CC$3="Transactions")*(_xlpm.d&gt;=BA$6)*(_xlpm.d&lt;=BA$7),INDEX('Sales and count'!$G$4:$CC$300,$AJ48,0)))))</f>
        <v>21</v>
      </c>
      <c r="BB48" s="350" cm="1">
        <f t="array" aca="1" ref="BB48" ca="1">IF(AN48="","",IF($AJ48="",0,_xlfn.LET(_xlpm.d,IFERROR(--'Sales and count'!$F$2:$CB$2,0),SUMPRODUCT(('Sales and count'!$G$3:$CC$3="Transactions")*(_xlpm.d&gt;=BB$6)*(_xlpm.d&lt;=BB$7),INDEX('Sales and count'!$G$4:$CC$300,$AJ48,0)))))</f>
        <v>20</v>
      </c>
      <c r="BC48" s="350" cm="1">
        <f t="array" aca="1" ref="BC48" ca="1">IF(AO48="","",IF($AJ48="",0,_xlfn.LET(_xlpm.d,IFERROR(--'Sales and count'!$F$2:$CB$2,0),SUMPRODUCT(('Sales and count'!$G$3:$CC$3="Transactions")*(_xlpm.d&gt;=BC$6)*(_xlpm.d&lt;=BC$7),INDEX('Sales and count'!$G$4:$CC$300,$AJ48,0)))))</f>
        <v>43</v>
      </c>
      <c r="BD48" s="350" cm="1">
        <f t="array" aca="1" ref="BD48" ca="1">IF(AP48="","",IF($AJ48="",0,_xlfn.LET(_xlpm.d,IFERROR(--'Sales and count'!$F$2:$CB$2,0),SUMPRODUCT(('Sales and count'!$G$3:$CC$3="Transactions")*(_xlpm.d&gt;=BD$6)*(_xlpm.d&lt;=BD$7),INDEX('Sales and count'!$G$4:$CC$300,$AJ48,0)))))</f>
        <v>26</v>
      </c>
      <c r="BE48" s="350" cm="1">
        <f t="array" aca="1" ref="BE48" ca="1">IF(AQ48="","",IF($AJ48="",0,_xlfn.LET(_xlpm.d,IFERROR(--'Sales and count'!$F$2:$CB$2,0),SUMPRODUCT(('Sales and count'!$G$3:$CC$3="Transactions")*(_xlpm.d&gt;=BE$6)*(_xlpm.d&lt;=BE$7),INDEX('Sales and count'!$G$4:$CC$300,$AJ48,0)))))</f>
        <v>39</v>
      </c>
      <c r="BF48" s="350" cm="1">
        <f t="array" aca="1" ref="BF48" ca="1">IF(AR48="","",IF($AJ48="",0,_xlfn.LET(_xlpm.d,IFERROR(--'Sales and count'!$F$2:$CB$2,0),SUMPRODUCT(('Sales and count'!$G$3:$CC$3="Transactions")*(_xlpm.d&gt;=BF$6)*(_xlpm.d&lt;=BF$7),INDEX('Sales and count'!$G$4:$CC$300,$AJ48,0)))))</f>
        <v>27</v>
      </c>
      <c r="BG48" s="350" cm="1">
        <f t="array" aca="1" ref="BG48" ca="1">IF(AS48="","",IF($AJ48="",0,_xlfn.LET(_xlpm.d,IFERROR(--'Sales and count'!$F$2:$CB$2,0),SUMPRODUCT(('Sales and count'!$G$3:$CC$3="Transactions")*(_xlpm.d&gt;=BG$6)*(_xlpm.d&lt;=BG$7),INDEX('Sales and count'!$G$4:$CC$300,$AJ48,0)))))</f>
        <v>37</v>
      </c>
      <c r="BH48" s="350" t="str" cm="1">
        <f t="array" ref="BH48">IF(AT48="","",IF($AJ48="",0,_xlfn.LET(_xlpm.d,IFERROR(--'Sales and count'!$F$2:$CB$2,0),SUMPRODUCT(('Sales and count'!$G$3:$CC$3="Transactions")*(_xlpm.d&gt;=BH$6)*(_xlpm.d&lt;=BH$7),INDEX('Sales and count'!$G$4:$CC$300,$AJ48,0)))))</f>
        <v/>
      </c>
      <c r="BI48" s="350" t="str" cm="1">
        <f t="array" ref="BI48">IF(AU48="","",IF($AJ48="",0,_xlfn.LET(_xlpm.d,IFERROR(--'Sales and count'!$F$2:$CB$2,0),SUMPRODUCT(('Sales and count'!$G$3:$CC$3="Transactions")*(_xlpm.d&gt;=BI$6)*(_xlpm.d&lt;=BI$7),INDEX('Sales and count'!$G$4:$CC$300,$AJ48,0)))))</f>
        <v/>
      </c>
      <c r="BJ48" s="350" t="str" cm="1">
        <f t="array" ref="BJ48">IF(AV48="","",IF($AJ48="",0,_xlfn.LET(_xlpm.d,IFERROR(--'Sales and count'!$F$2:$CB$2,0),SUMPRODUCT(('Sales and count'!$G$3:$CC$3="Transactions")*(_xlpm.d&gt;=BJ$6)*(_xlpm.d&lt;=BJ$7),INDEX('Sales and count'!$G$4:$CC$300,$AJ48,0)))))</f>
        <v/>
      </c>
      <c r="BK48" s="350" t="str" cm="1">
        <f t="array" ref="BK48">IF(AW48="","",IF($AJ48="",0,_xlfn.LET(_xlpm.d,IFERROR(--'Sales and count'!$F$2:$CB$2,0),SUMPRODUCT(('Sales and count'!$G$3:$CC$3="Transactions")*(_xlpm.d&gt;=BK$6)*(_xlpm.d&lt;=BK$7),INDEX('Sales and count'!$G$4:$CC$300,$AJ48,0)))))</f>
        <v/>
      </c>
      <c r="BL48" s="350" t="str" cm="1">
        <f t="array" ref="BL48">IF(AX48="","",IF($AJ48="",0,_xlfn.LET(_xlpm.d,IFERROR(--'Sales and count'!$F$2:$CB$2,0),SUMPRODUCT(('Sales and count'!$G$3:$CC$3="Transactions")*(_xlpm.d&gt;=BL$6)*(_xlpm.d&lt;=BL$7),INDEX('Sales and count'!$G$4:$CC$300,$AJ48,0)))))</f>
        <v/>
      </c>
      <c r="BM48" s="350" cm="1">
        <f t="array" ref="BM48">IF(AK48="","",IF($AJ48="",0,_xlfn.LET(_xlpm.d,IFERROR(--'Sales and count'!$G$2:$CC$2,0),SUMPRODUCT(('Sales and count'!$G$3:$CC$3="Total")*(_xlpm.d&gt;=BM$6)*(_xlpm.d&lt;=BM$7),INDEX('Sales and count'!$G$4:$CC$300,$AJ48,0)))))</f>
        <v>128432.70000000001</v>
      </c>
      <c r="BN48" s="350" cm="1">
        <f t="array" ref="BN48">IF(AL48="","",IF($AJ48="",0,_xlfn.LET(_xlpm.d,IFERROR(--'Sales and count'!$G$2:$CC$2,0),SUMPRODUCT(('Sales and count'!$G$3:$CC$3="Total")*(_xlpm.d&gt;=BN$6)*(_xlpm.d&lt;=BN$7),INDEX('Sales and count'!$G$4:$CC$300,$AJ48,0)))))</f>
        <v>2606.0100000000002</v>
      </c>
      <c r="BO48" s="350" cm="1">
        <f t="array" ref="BO48">IF(AM48="","",IF($AJ48="",0,_xlfn.LET(_xlpm.d,IFERROR(--'Sales and count'!$G$2:$CC$2,0),SUMPRODUCT(('Sales and count'!$G$3:$CC$3="Total")*(_xlpm.d&gt;=BO$6)*(_xlpm.d&lt;=BO$7),INDEX('Sales and count'!$G$4:$CC$300,$AJ48,0)))))</f>
        <v>3195.04</v>
      </c>
      <c r="BP48" s="350" cm="1">
        <f t="array" ref="BP48">IF(AN48="","",IF($AJ48="",0,_xlfn.LET(_xlpm.d,IFERROR(--'Sales and count'!$G$2:$CC$2,0),SUMPRODUCT(('Sales and count'!$G$3:$CC$3="Total")*(_xlpm.d&gt;=BP$6)*(_xlpm.d&lt;=BP$7),INDEX('Sales and count'!$G$4:$CC$300,$AJ48,0)))))</f>
        <v>5039.1000000000004</v>
      </c>
      <c r="BQ48" s="350" cm="1">
        <f t="array" ref="BQ48">IF(AO48="","",IF($AJ48="",0,_xlfn.LET(_xlpm.d,IFERROR(--'Sales and count'!$G$2:$CC$2,0),SUMPRODUCT(('Sales and count'!$G$3:$CC$3="Total")*(_xlpm.d&gt;=BQ$6)*(_xlpm.d&lt;=BQ$7),INDEX('Sales and count'!$G$4:$CC$300,$AJ48,0)))))</f>
        <v>6877.72</v>
      </c>
      <c r="BR48" s="350" cm="1">
        <f t="array" ref="BR48">IF(AP48="","",IF($AJ48="",0,_xlfn.LET(_xlpm.d,IFERROR(--'Sales and count'!$G$2:$CC$2,0),SUMPRODUCT(('Sales and count'!$G$3:$CC$3="Total")*(_xlpm.d&gt;=BR$6)*(_xlpm.d&lt;=BR$7),INDEX('Sales and count'!$G$4:$CC$300,$AJ48,0)))))</f>
        <v>5060.87</v>
      </c>
      <c r="BS48" s="350" cm="1">
        <f t="array" ref="BS48">IF(AQ48="","",IF($AJ48="",0,_xlfn.LET(_xlpm.d,IFERROR(--'Sales and count'!$G$2:$CC$2,0),SUMPRODUCT(('Sales and count'!$G$3:$CC$3="Total")*(_xlpm.d&gt;=BS$6)*(_xlpm.d&lt;=BS$7),INDEX('Sales and count'!$G$4:$CC$300,$AJ48,0)))))</f>
        <v>6733.65</v>
      </c>
      <c r="BT48" s="350" cm="1">
        <f t="array" ref="BT48">IF(AR48="","",IF($AJ48="",0,_xlfn.LET(_xlpm.d,IFERROR(--'Sales and count'!$G$2:$CC$2,0),SUMPRODUCT(('Sales and count'!$G$3:$CC$3="Total")*(_xlpm.d&gt;=BT$6)*(_xlpm.d&lt;=BT$7),INDEX('Sales and count'!$G$4:$CC$300,$AJ48,0)))))</f>
        <v>6261.74</v>
      </c>
      <c r="BU48" s="350" cm="1">
        <f t="array" ref="BU48">IF(AS48="","",IF($AJ48="",0,_xlfn.LET(_xlpm.d,IFERROR(--'Sales and count'!$G$2:$CC$2,0),SUMPRODUCT(('Sales and count'!$G$3:$CC$3="Total")*(_xlpm.d&gt;=BU$6)*(_xlpm.d&lt;=BU$7),INDEX('Sales and count'!$G$4:$CC$300,$AJ48,0)))))</f>
        <v>4960.29</v>
      </c>
      <c r="BV48" s="350" t="str" cm="1">
        <f t="array" ref="BV48">IF(AT48="","",IF($AJ48="",0,_xlfn.LET(_xlpm.d,IFERROR(--'Sales and count'!$G$2:$CC$2,0),SUMPRODUCT(('Sales and count'!$G$3:$CC$3="Total")*(_xlpm.d&gt;=BV$6)*(_xlpm.d&lt;=BV$7),INDEX('Sales and count'!$G$4:$CC$300,$AJ48,0)))))</f>
        <v/>
      </c>
      <c r="BW48" s="350" t="str" cm="1">
        <f t="array" ref="BW48">IF(AU48="","",IF($AJ48="",0,_xlfn.LET(_xlpm.d,IFERROR(--'Sales and count'!$G$2:$CC$2,0),SUMPRODUCT(('Sales and count'!$G$3:$CC$3="Total")*(_xlpm.d&gt;=BW$6)*(_xlpm.d&lt;=BW$7),INDEX('Sales and count'!$G$4:$CC$300,$AJ48,0)))))</f>
        <v/>
      </c>
      <c r="BX48" s="350" t="str" cm="1">
        <f t="array" ref="BX48">IF(AV48="","",IF($AJ48="",0,_xlfn.LET(_xlpm.d,IFERROR(--'Sales and count'!$G$2:$CC$2,0),SUMPRODUCT(('Sales and count'!$G$3:$CC$3="Total")*(_xlpm.d&gt;=BX$6)*(_xlpm.d&lt;=BX$7),INDEX('Sales and count'!$G$4:$CC$300,$AJ48,0)))))</f>
        <v/>
      </c>
      <c r="BY48" s="350" t="str" cm="1">
        <f t="array" ref="BY48">IF(AW48="","",IF($AJ48="",0,_xlfn.LET(_xlpm.d,IFERROR(--'Sales and count'!$G$2:$CC$2,0),SUMPRODUCT(('Sales and count'!$G$3:$CC$3="Total")*(_xlpm.d&gt;=BY$6)*(_xlpm.d&lt;=BY$7),INDEX('Sales and count'!$G$4:$CC$300,$AJ48,0)))))</f>
        <v/>
      </c>
      <c r="BZ48" s="350" t="str" cm="1">
        <f t="array" ref="BZ48">IF(AX48="","",IF($AJ48="",0,_xlfn.LET(_xlpm.d,IFERROR(--'Sales and count'!$G$2:$CC$2,0),SUMPRODUCT(('Sales and count'!$G$3:$CC$3="Total")*(_xlpm.d&gt;=BZ$6)*(_xlpm.d&lt;=BZ$7),INDEX('Sales and count'!$G$4:$CC$300,$AJ48,0)))))</f>
        <v/>
      </c>
    </row>
    <row r="49" spans="1:78" x14ac:dyDescent="0.25">
      <c r="A49" s="356" t="str">
        <v>ALBUSTAN</v>
      </c>
      <c r="B49" s="356" t="str" cm="1">
        <f t="array" ref="B49">IF($A49="","",_xlfn.XLOOKUP($A49,TRIM(Footfall!$B$5:$B$301&amp;""),Footfall!$A$5:$A$301,""))</f>
        <v>Al Bustan Ahsa</v>
      </c>
      <c r="C49" s="356" t="str" cm="1">
        <f t="array" ref="C49">IF($A49="","",_xlfn.XLOOKUP($A49,TRIM('Sales and count'!$A$4:$A$300&amp;""),'Sales and count'!$C$4:$C$300,"Not set"))</f>
        <v>Al Hasa</v>
      </c>
      <c r="D49" s="357">
        <f t="shared" ca="1" si="53"/>
        <v>0.27107887579329104</v>
      </c>
      <c r="E49" s="357">
        <f t="shared" ca="1" si="54"/>
        <v>0.42105263157894735</v>
      </c>
      <c r="F49" s="357">
        <f t="shared" ca="1" si="55"/>
        <v>0.25</v>
      </c>
      <c r="G49" s="357">
        <f t="shared" ca="1" si="56"/>
        <v>0.32038834951456313</v>
      </c>
      <c r="H49" s="357">
        <f t="shared" ca="1" si="57"/>
        <v>0.26732673267326734</v>
      </c>
      <c r="I49" s="357">
        <f t="shared" ca="1" si="58"/>
        <v>0.33035714285714285</v>
      </c>
      <c r="J49" s="357">
        <f t="shared" ca="1" si="59"/>
        <v>0.35398230088495575</v>
      </c>
      <c r="K49" s="357">
        <f t="shared" ca="1" si="60"/>
        <v>0.32432432432432434</v>
      </c>
      <c r="L49" s="357">
        <f t="shared" ca="1" si="61"/>
        <v>0.25688073394495414</v>
      </c>
      <c r="M49" s="357" t="str">
        <f t="shared" si="62"/>
        <v/>
      </c>
      <c r="N49" s="357" t="str">
        <f t="shared" si="63"/>
        <v/>
      </c>
      <c r="O49" s="357" t="str">
        <f t="shared" si="64"/>
        <v/>
      </c>
      <c r="P49" s="357" t="str">
        <f t="shared" si="65"/>
        <v/>
      </c>
      <c r="Q49" s="357" t="str">
        <f t="shared" si="66"/>
        <v/>
      </c>
      <c r="R49" s="358" cm="1">
        <f t="array" aca="1" ref="R49" ca="1">IF(OR($A49="",D49=""),"",IFERROR(LOOKUP(2,1/(E49:Q49&lt;&gt;""),E49:Q49)-D49,""))</f>
        <v>-1.4198141848336898E-2</v>
      </c>
      <c r="S49" s="349"/>
      <c r="T49" s="362">
        <f t="shared" ca="1" si="67"/>
        <v>190.54840579710145</v>
      </c>
      <c r="U49" s="362">
        <f t="shared" ca="1" si="68"/>
        <v>175.6278125</v>
      </c>
      <c r="V49" s="362">
        <f t="shared" ca="1" si="69"/>
        <v>140.47684210526316</v>
      </c>
      <c r="W49" s="362">
        <f t="shared" ca="1" si="70"/>
        <v>160.88121212121212</v>
      </c>
      <c r="X49" s="362">
        <f t="shared" ca="1" si="71"/>
        <v>199.54703703703706</v>
      </c>
      <c r="Y49" s="362">
        <f t="shared" ca="1" si="72"/>
        <v>150.31702702702702</v>
      </c>
      <c r="Z49" s="362">
        <f t="shared" ca="1" si="73"/>
        <v>163.84174999999999</v>
      </c>
      <c r="AA49" s="362">
        <f t="shared" ca="1" si="74"/>
        <v>248.30305555555555</v>
      </c>
      <c r="AB49" s="362">
        <f t="shared" ca="1" si="75"/>
        <v>163.79678571428573</v>
      </c>
      <c r="AC49" s="362" t="str">
        <f t="shared" si="76"/>
        <v/>
      </c>
      <c r="AD49" s="362" t="str">
        <f t="shared" si="77"/>
        <v/>
      </c>
      <c r="AE49" s="362" t="str">
        <f t="shared" si="78"/>
        <v/>
      </c>
      <c r="AF49" s="362" t="str">
        <f t="shared" si="79"/>
        <v/>
      </c>
      <c r="AG49" s="362" t="str">
        <f t="shared" si="80"/>
        <v/>
      </c>
      <c r="AH49" s="363" cm="1">
        <f t="array" aca="1" ref="AH49" ca="1">IF(OR($A49="",T49=""),"",IFERROR(LOOKUP(2,1/(U49:AG49&lt;&gt;""),U49:AG49)-T49,""))</f>
        <v>-26.75162008281572</v>
      </c>
      <c r="AI49" s="349"/>
      <c r="AJ49" s="349" cm="1">
        <f t="array" ref="AJ49">IF($A49="","",IFERROR(MATCH($A49,TRIM('Sales and count'!$A$4:$A$300&amp;""),0),""))</f>
        <v>19</v>
      </c>
      <c r="AK49" s="350" cm="1">
        <f t="array" ref="AK49">IF(OR($A49="",AK$6=""),"",IFERROR(INDEX(Footfall!$C$5:$BZ$301,MATCH($A49,TRIM(Footfall!$B$5:$B$301&amp;""),0),AK$5),0))</f>
        <v>3309</v>
      </c>
      <c r="AL49" s="350" cm="1">
        <f t="array" ref="AL49">IF(OR($A49="",AL$6=""),"",IFERROR(INDEX(Footfall!$C$5:$BZ$301,MATCH($A49,TRIM(Footfall!$B$5:$B$301&amp;""),0),AL$5),0))</f>
        <v>76</v>
      </c>
      <c r="AM49" s="350" cm="1">
        <f t="array" ref="AM49">IF(OR($A49="",AM$6=""),"",IFERROR(INDEX(Footfall!$C$5:$BZ$301,MATCH($A49,TRIM(Footfall!$B$5:$B$301&amp;""),0),AM$5),0))</f>
        <v>76</v>
      </c>
      <c r="AN49" s="350" cm="1">
        <f t="array" ref="AN49">IF(OR($A49="",AN$6=""),"",IFERROR(INDEX(Footfall!$C$5:$BZ$301,MATCH($A49,TRIM(Footfall!$B$5:$B$301&amp;""),0),AN$5),0))</f>
        <v>103</v>
      </c>
      <c r="AO49" s="350" cm="1">
        <f t="array" ref="AO49">IF(OR($A49="",AO$6=""),"",IFERROR(INDEX(Footfall!$C$5:$BZ$301,MATCH($A49,TRIM(Footfall!$B$5:$B$301&amp;""),0),AO$5),0))</f>
        <v>101</v>
      </c>
      <c r="AP49" s="350" cm="1">
        <f t="array" ref="AP49">IF(OR($A49="",AP$6=""),"",IFERROR(INDEX(Footfall!$C$5:$BZ$301,MATCH($A49,TRIM(Footfall!$B$5:$B$301&amp;""),0),AP$5),0))</f>
        <v>112</v>
      </c>
      <c r="AQ49" s="350" cm="1">
        <f t="array" ref="AQ49">IF(OR($A49="",AQ$6=""),"",IFERROR(INDEX(Footfall!$C$5:$BZ$301,MATCH($A49,TRIM(Footfall!$B$5:$B$301&amp;""),0),AQ$5),0))</f>
        <v>113</v>
      </c>
      <c r="AR49" s="350" cm="1">
        <f t="array" ref="AR49">IF(OR($A49="",AR$6=""),"",IFERROR(INDEX(Footfall!$C$5:$BZ$301,MATCH($A49,TRIM(Footfall!$B$5:$B$301&amp;""),0),AR$5),0))</f>
        <v>111</v>
      </c>
      <c r="AS49" s="350" cm="1">
        <f t="array" ref="AS49">IF(OR($A49="",AS$6=""),"",IFERROR(INDEX(Footfall!$C$5:$BZ$301,MATCH($A49,TRIM(Footfall!$B$5:$B$301&amp;""),0),AS$5),0))</f>
        <v>109</v>
      </c>
      <c r="AT49" s="350" t="str" cm="1">
        <f t="array" ref="AT49">IF(OR($A49="",AT$6=""),"",IFERROR(INDEX(Footfall!$C$5:$BZ$301,MATCH($A49,TRIM(Footfall!$B$5:$B$301&amp;""),0),AT$5),0))</f>
        <v/>
      </c>
      <c r="AU49" s="350" t="str" cm="1">
        <f t="array" ref="AU49">IF(OR($A49="",AU$6=""),"",IFERROR(INDEX(Footfall!$C$5:$BZ$301,MATCH($A49,TRIM(Footfall!$B$5:$B$301&amp;""),0),AU$5),0))</f>
        <v/>
      </c>
      <c r="AV49" s="350" t="str" cm="1">
        <f t="array" ref="AV49">IF(OR($A49="",AV$6=""),"",IFERROR(INDEX(Footfall!$C$5:$BZ$301,MATCH($A49,TRIM(Footfall!$B$5:$B$301&amp;""),0),AV$5),0))</f>
        <v/>
      </c>
      <c r="AW49" s="350" t="str" cm="1">
        <f t="array" ref="AW49">IF(OR($A49="",AW$6=""),"",IFERROR(INDEX(Footfall!$C$5:$BZ$301,MATCH($A49,TRIM(Footfall!$B$5:$B$301&amp;""),0),AW$5),0))</f>
        <v/>
      </c>
      <c r="AX49" s="350" t="str" cm="1">
        <f t="array" ref="AX49">IF(OR($A49="",AX$6=""),"",IFERROR(INDEX(Footfall!$C$5:$BZ$301,MATCH($A49,TRIM(Footfall!$B$5:$B$301&amp;""),0),AX$5),0))</f>
        <v/>
      </c>
      <c r="AY49" s="350" cm="1">
        <f t="array" aca="1" ref="AY49" ca="1">IF(AK49="","",IF($AJ49="",0,_xlfn.LET(_xlpm.d,IFERROR(--'Sales and count'!$F$2:$CB$2,0),SUMPRODUCT(('Sales and count'!$G$3:$CC$3="Transactions")*(_xlpm.d&gt;=AY$6)*(_xlpm.d&lt;=AY$7),INDEX('Sales and count'!$G$4:$CC$300,$AJ49,0)))))</f>
        <v>897</v>
      </c>
      <c r="AZ49" s="350" cm="1">
        <f t="array" aca="1" ref="AZ49" ca="1">IF(AL49="","",IF($AJ49="",0,_xlfn.LET(_xlpm.d,IFERROR(--'Sales and count'!$F$2:$CB$2,0),SUMPRODUCT(('Sales and count'!$G$3:$CC$3="Transactions")*(_xlpm.d&gt;=AZ$6)*(_xlpm.d&lt;=AZ$7),INDEX('Sales and count'!$G$4:$CC$300,$AJ49,0)))))</f>
        <v>32</v>
      </c>
      <c r="BA49" s="350" cm="1">
        <f t="array" aca="1" ref="BA49" ca="1">IF(AM49="","",IF($AJ49="",0,_xlfn.LET(_xlpm.d,IFERROR(--'Sales and count'!$F$2:$CB$2,0),SUMPRODUCT(('Sales and count'!$G$3:$CC$3="Transactions")*(_xlpm.d&gt;=BA$6)*(_xlpm.d&lt;=BA$7),INDEX('Sales and count'!$G$4:$CC$300,$AJ49,0)))))</f>
        <v>19</v>
      </c>
      <c r="BB49" s="350" cm="1">
        <f t="array" aca="1" ref="BB49" ca="1">IF(AN49="","",IF($AJ49="",0,_xlfn.LET(_xlpm.d,IFERROR(--'Sales and count'!$F$2:$CB$2,0),SUMPRODUCT(('Sales and count'!$G$3:$CC$3="Transactions")*(_xlpm.d&gt;=BB$6)*(_xlpm.d&lt;=BB$7),INDEX('Sales and count'!$G$4:$CC$300,$AJ49,0)))))</f>
        <v>33</v>
      </c>
      <c r="BC49" s="350" cm="1">
        <f t="array" aca="1" ref="BC49" ca="1">IF(AO49="","",IF($AJ49="",0,_xlfn.LET(_xlpm.d,IFERROR(--'Sales and count'!$F$2:$CB$2,0),SUMPRODUCT(('Sales and count'!$G$3:$CC$3="Transactions")*(_xlpm.d&gt;=BC$6)*(_xlpm.d&lt;=BC$7),INDEX('Sales and count'!$G$4:$CC$300,$AJ49,0)))))</f>
        <v>27</v>
      </c>
      <c r="BD49" s="350" cm="1">
        <f t="array" aca="1" ref="BD49" ca="1">IF(AP49="","",IF($AJ49="",0,_xlfn.LET(_xlpm.d,IFERROR(--'Sales and count'!$F$2:$CB$2,0),SUMPRODUCT(('Sales and count'!$G$3:$CC$3="Transactions")*(_xlpm.d&gt;=BD$6)*(_xlpm.d&lt;=BD$7),INDEX('Sales and count'!$G$4:$CC$300,$AJ49,0)))))</f>
        <v>37</v>
      </c>
      <c r="BE49" s="350" cm="1">
        <f t="array" aca="1" ref="BE49" ca="1">IF(AQ49="","",IF($AJ49="",0,_xlfn.LET(_xlpm.d,IFERROR(--'Sales and count'!$F$2:$CB$2,0),SUMPRODUCT(('Sales and count'!$G$3:$CC$3="Transactions")*(_xlpm.d&gt;=BE$6)*(_xlpm.d&lt;=BE$7),INDEX('Sales and count'!$G$4:$CC$300,$AJ49,0)))))</f>
        <v>40</v>
      </c>
      <c r="BF49" s="350" cm="1">
        <f t="array" aca="1" ref="BF49" ca="1">IF(AR49="","",IF($AJ49="",0,_xlfn.LET(_xlpm.d,IFERROR(--'Sales and count'!$F$2:$CB$2,0),SUMPRODUCT(('Sales and count'!$G$3:$CC$3="Transactions")*(_xlpm.d&gt;=BF$6)*(_xlpm.d&lt;=BF$7),INDEX('Sales and count'!$G$4:$CC$300,$AJ49,0)))))</f>
        <v>36</v>
      </c>
      <c r="BG49" s="350" cm="1">
        <f t="array" aca="1" ref="BG49" ca="1">IF(AS49="","",IF($AJ49="",0,_xlfn.LET(_xlpm.d,IFERROR(--'Sales and count'!$F$2:$CB$2,0),SUMPRODUCT(('Sales and count'!$G$3:$CC$3="Transactions")*(_xlpm.d&gt;=BG$6)*(_xlpm.d&lt;=BG$7),INDEX('Sales and count'!$G$4:$CC$300,$AJ49,0)))))</f>
        <v>28</v>
      </c>
      <c r="BH49" s="350" t="str" cm="1">
        <f t="array" ref="BH49">IF(AT49="","",IF($AJ49="",0,_xlfn.LET(_xlpm.d,IFERROR(--'Sales and count'!$F$2:$CB$2,0),SUMPRODUCT(('Sales and count'!$G$3:$CC$3="Transactions")*(_xlpm.d&gt;=BH$6)*(_xlpm.d&lt;=BH$7),INDEX('Sales and count'!$G$4:$CC$300,$AJ49,0)))))</f>
        <v/>
      </c>
      <c r="BI49" s="350" t="str" cm="1">
        <f t="array" ref="BI49">IF(AU49="","",IF($AJ49="",0,_xlfn.LET(_xlpm.d,IFERROR(--'Sales and count'!$F$2:$CB$2,0),SUMPRODUCT(('Sales and count'!$G$3:$CC$3="Transactions")*(_xlpm.d&gt;=BI$6)*(_xlpm.d&lt;=BI$7),INDEX('Sales and count'!$G$4:$CC$300,$AJ49,0)))))</f>
        <v/>
      </c>
      <c r="BJ49" s="350" t="str" cm="1">
        <f t="array" ref="BJ49">IF(AV49="","",IF($AJ49="",0,_xlfn.LET(_xlpm.d,IFERROR(--'Sales and count'!$F$2:$CB$2,0),SUMPRODUCT(('Sales and count'!$G$3:$CC$3="Transactions")*(_xlpm.d&gt;=BJ$6)*(_xlpm.d&lt;=BJ$7),INDEX('Sales and count'!$G$4:$CC$300,$AJ49,0)))))</f>
        <v/>
      </c>
      <c r="BK49" s="350" t="str" cm="1">
        <f t="array" ref="BK49">IF(AW49="","",IF($AJ49="",0,_xlfn.LET(_xlpm.d,IFERROR(--'Sales and count'!$F$2:$CB$2,0),SUMPRODUCT(('Sales and count'!$G$3:$CC$3="Transactions")*(_xlpm.d&gt;=BK$6)*(_xlpm.d&lt;=BK$7),INDEX('Sales and count'!$G$4:$CC$300,$AJ49,0)))))</f>
        <v/>
      </c>
      <c r="BL49" s="350" t="str" cm="1">
        <f t="array" ref="BL49">IF(AX49="","",IF($AJ49="",0,_xlfn.LET(_xlpm.d,IFERROR(--'Sales and count'!$F$2:$CB$2,0),SUMPRODUCT(('Sales and count'!$G$3:$CC$3="Transactions")*(_xlpm.d&gt;=BL$6)*(_xlpm.d&lt;=BL$7),INDEX('Sales and count'!$G$4:$CC$300,$AJ49,0)))))</f>
        <v/>
      </c>
      <c r="BM49" s="350" cm="1">
        <f t="array" ref="BM49">IF(AK49="","",IF($AJ49="",0,_xlfn.LET(_xlpm.d,IFERROR(--'Sales and count'!$G$2:$CC$2,0),SUMPRODUCT(('Sales and count'!$G$3:$CC$3="Total")*(_xlpm.d&gt;=BM$6)*(_xlpm.d&lt;=BM$7),INDEX('Sales and count'!$G$4:$CC$300,$AJ49,0)))))</f>
        <v>170921.92</v>
      </c>
      <c r="BN49" s="350" cm="1">
        <f t="array" ref="BN49">IF(AL49="","",IF($AJ49="",0,_xlfn.LET(_xlpm.d,IFERROR(--'Sales and count'!$G$2:$CC$2,0),SUMPRODUCT(('Sales and count'!$G$3:$CC$3="Total")*(_xlpm.d&gt;=BN$6)*(_xlpm.d&lt;=BN$7),INDEX('Sales and count'!$G$4:$CC$300,$AJ49,0)))))</f>
        <v>5620.09</v>
      </c>
      <c r="BO49" s="350" cm="1">
        <f t="array" ref="BO49">IF(AM49="","",IF($AJ49="",0,_xlfn.LET(_xlpm.d,IFERROR(--'Sales and count'!$G$2:$CC$2,0),SUMPRODUCT(('Sales and count'!$G$3:$CC$3="Total")*(_xlpm.d&gt;=BO$6)*(_xlpm.d&lt;=BO$7),INDEX('Sales and count'!$G$4:$CC$300,$AJ49,0)))))</f>
        <v>2669.06</v>
      </c>
      <c r="BP49" s="350" cm="1">
        <f t="array" ref="BP49">IF(AN49="","",IF($AJ49="",0,_xlfn.LET(_xlpm.d,IFERROR(--'Sales and count'!$G$2:$CC$2,0),SUMPRODUCT(('Sales and count'!$G$3:$CC$3="Total")*(_xlpm.d&gt;=BP$6)*(_xlpm.d&lt;=BP$7),INDEX('Sales and count'!$G$4:$CC$300,$AJ49,0)))))</f>
        <v>5309.08</v>
      </c>
      <c r="BQ49" s="350" cm="1">
        <f t="array" ref="BQ49">IF(AO49="","",IF($AJ49="",0,_xlfn.LET(_xlpm.d,IFERROR(--'Sales and count'!$G$2:$CC$2,0),SUMPRODUCT(('Sales and count'!$G$3:$CC$3="Total")*(_xlpm.d&gt;=BQ$6)*(_xlpm.d&lt;=BQ$7),INDEX('Sales and count'!$G$4:$CC$300,$AJ49,0)))))</f>
        <v>5387.77</v>
      </c>
      <c r="BR49" s="350" cm="1">
        <f t="array" ref="BR49">IF(AP49="","",IF($AJ49="",0,_xlfn.LET(_xlpm.d,IFERROR(--'Sales and count'!$G$2:$CC$2,0),SUMPRODUCT(('Sales and count'!$G$3:$CC$3="Total")*(_xlpm.d&gt;=BR$6)*(_xlpm.d&lt;=BR$7),INDEX('Sales and count'!$G$4:$CC$300,$AJ49,0)))))</f>
        <v>5561.73</v>
      </c>
      <c r="BS49" s="350" cm="1">
        <f t="array" ref="BS49">IF(AQ49="","",IF($AJ49="",0,_xlfn.LET(_xlpm.d,IFERROR(--'Sales and count'!$G$2:$CC$2,0),SUMPRODUCT(('Sales and count'!$G$3:$CC$3="Total")*(_xlpm.d&gt;=BS$6)*(_xlpm.d&lt;=BS$7),INDEX('Sales and count'!$G$4:$CC$300,$AJ49,0)))))</f>
        <v>6553.67</v>
      </c>
      <c r="BT49" s="350" cm="1">
        <f t="array" ref="BT49">IF(AR49="","",IF($AJ49="",0,_xlfn.LET(_xlpm.d,IFERROR(--'Sales and count'!$G$2:$CC$2,0),SUMPRODUCT(('Sales and count'!$G$3:$CC$3="Total")*(_xlpm.d&gt;=BT$6)*(_xlpm.d&lt;=BT$7),INDEX('Sales and count'!$G$4:$CC$300,$AJ49,0)))))</f>
        <v>8938.91</v>
      </c>
      <c r="BU49" s="350" cm="1">
        <f t="array" ref="BU49">IF(AS49="","",IF($AJ49="",0,_xlfn.LET(_xlpm.d,IFERROR(--'Sales and count'!$G$2:$CC$2,0),SUMPRODUCT(('Sales and count'!$G$3:$CC$3="Total")*(_xlpm.d&gt;=BU$6)*(_xlpm.d&lt;=BU$7),INDEX('Sales and count'!$G$4:$CC$300,$AJ49,0)))))</f>
        <v>4586.3100000000004</v>
      </c>
      <c r="BV49" s="350" t="str" cm="1">
        <f t="array" ref="BV49">IF(AT49="","",IF($AJ49="",0,_xlfn.LET(_xlpm.d,IFERROR(--'Sales and count'!$G$2:$CC$2,0),SUMPRODUCT(('Sales and count'!$G$3:$CC$3="Total")*(_xlpm.d&gt;=BV$6)*(_xlpm.d&lt;=BV$7),INDEX('Sales and count'!$G$4:$CC$300,$AJ49,0)))))</f>
        <v/>
      </c>
      <c r="BW49" s="350" t="str" cm="1">
        <f t="array" ref="BW49">IF(AU49="","",IF($AJ49="",0,_xlfn.LET(_xlpm.d,IFERROR(--'Sales and count'!$G$2:$CC$2,0),SUMPRODUCT(('Sales and count'!$G$3:$CC$3="Total")*(_xlpm.d&gt;=BW$6)*(_xlpm.d&lt;=BW$7),INDEX('Sales and count'!$G$4:$CC$300,$AJ49,0)))))</f>
        <v/>
      </c>
      <c r="BX49" s="350" t="str" cm="1">
        <f t="array" ref="BX49">IF(AV49="","",IF($AJ49="",0,_xlfn.LET(_xlpm.d,IFERROR(--'Sales and count'!$G$2:$CC$2,0),SUMPRODUCT(('Sales and count'!$G$3:$CC$3="Total")*(_xlpm.d&gt;=BX$6)*(_xlpm.d&lt;=BX$7),INDEX('Sales and count'!$G$4:$CC$300,$AJ49,0)))))</f>
        <v/>
      </c>
      <c r="BY49" s="350" t="str" cm="1">
        <f t="array" ref="BY49">IF(AW49="","",IF($AJ49="",0,_xlfn.LET(_xlpm.d,IFERROR(--'Sales and count'!$G$2:$CC$2,0),SUMPRODUCT(('Sales and count'!$G$3:$CC$3="Total")*(_xlpm.d&gt;=BY$6)*(_xlpm.d&lt;=BY$7),INDEX('Sales and count'!$G$4:$CC$300,$AJ49,0)))))</f>
        <v/>
      </c>
      <c r="BZ49" s="350" t="str" cm="1">
        <f t="array" ref="BZ49">IF(AX49="","",IF($AJ49="",0,_xlfn.LET(_xlpm.d,IFERROR(--'Sales and count'!$G$2:$CC$2,0),SUMPRODUCT(('Sales and count'!$G$3:$CC$3="Total")*(_xlpm.d&gt;=BZ$6)*(_xlpm.d&lt;=BZ$7),INDEX('Sales and count'!$G$4:$CC$300,$AJ49,0)))))</f>
        <v/>
      </c>
    </row>
    <row r="50" spans="1:78" x14ac:dyDescent="0.25">
      <c r="A50" s="356" t="str">
        <v>HABAHAML</v>
      </c>
      <c r="B50" s="356" t="str" cm="1">
        <f t="array" ref="B50">IF($A50="","",_xlfn.XLOOKUP($A50,TRIM(Footfall!$B$5:$B$301&amp;""),Footfall!$A$5:$A$301,""))</f>
        <v>AlBaha Mall</v>
      </c>
      <c r="C50" s="356" t="str" cm="1">
        <f t="array" ref="C50">IF($A50="","",_xlfn.XLOOKUP($A50,TRIM('Sales and count'!$A$4:$A$300&amp;""),'Sales and count'!$C$4:$C$300,"Not set"))</f>
        <v>Baha</v>
      </c>
      <c r="D50" s="357">
        <f t="shared" ca="1" si="53"/>
        <v>9.5836324479540561E-2</v>
      </c>
      <c r="E50" s="357">
        <f t="shared" ca="1" si="54"/>
        <v>7.1428571428571425E-2</v>
      </c>
      <c r="F50" s="357">
        <f t="shared" ca="1" si="55"/>
        <v>9.6000000000000002E-2</v>
      </c>
      <c r="G50" s="357">
        <f t="shared" ca="1" si="56"/>
        <v>2.3668639053254437E-2</v>
      </c>
      <c r="H50" s="357">
        <f t="shared" ca="1" si="57"/>
        <v>5.4644808743169397E-2</v>
      </c>
      <c r="I50" s="357">
        <f t="shared" ca="1" si="58"/>
        <v>6.2893081761006289E-2</v>
      </c>
      <c r="J50" s="357">
        <f t="shared" ca="1" si="59"/>
        <v>0.1038961038961039</v>
      </c>
      <c r="K50" s="357">
        <f t="shared" ca="1" si="60"/>
        <v>6.9182389937106917E-2</v>
      </c>
      <c r="L50" s="357">
        <f t="shared" ca="1" si="61"/>
        <v>0.1015625</v>
      </c>
      <c r="M50" s="357" t="str">
        <f t="shared" si="62"/>
        <v/>
      </c>
      <c r="N50" s="357" t="str">
        <f t="shared" si="63"/>
        <v/>
      </c>
      <c r="O50" s="357" t="str">
        <f t="shared" si="64"/>
        <v/>
      </c>
      <c r="P50" s="357" t="str">
        <f t="shared" si="65"/>
        <v/>
      </c>
      <c r="Q50" s="357" t="str">
        <f t="shared" si="66"/>
        <v/>
      </c>
      <c r="R50" s="358" cm="1">
        <f t="array" aca="1" ref="R50" ca="1">IF(OR($A50="",D50=""),"",IFERROR(LOOKUP(2,1/(E50:Q50&lt;&gt;""),E50:Q50)-D50,""))</f>
        <v>5.7261755204594394E-3</v>
      </c>
      <c r="S50" s="349"/>
      <c r="T50" s="362">
        <f t="shared" ca="1" si="67"/>
        <v>147.23460674157303</v>
      </c>
      <c r="U50" s="362">
        <f t="shared" ca="1" si="68"/>
        <v>120.5</v>
      </c>
      <c r="V50" s="362">
        <f t="shared" ca="1" si="69"/>
        <v>160.66833333333332</v>
      </c>
      <c r="W50" s="362">
        <f t="shared" ca="1" si="70"/>
        <v>86</v>
      </c>
      <c r="X50" s="362">
        <f t="shared" ca="1" si="71"/>
        <v>157.39699999999999</v>
      </c>
      <c r="Y50" s="362">
        <f t="shared" ca="1" si="72"/>
        <v>172.64249999999998</v>
      </c>
      <c r="Z50" s="362">
        <f t="shared" ca="1" si="73"/>
        <v>146.99250000000001</v>
      </c>
      <c r="AA50" s="362">
        <f t="shared" ca="1" si="74"/>
        <v>173.35363636363638</v>
      </c>
      <c r="AB50" s="362">
        <f t="shared" ca="1" si="75"/>
        <v>157.77846153846153</v>
      </c>
      <c r="AC50" s="362" t="str">
        <f t="shared" si="76"/>
        <v/>
      </c>
      <c r="AD50" s="362" t="str">
        <f t="shared" si="77"/>
        <v/>
      </c>
      <c r="AE50" s="362" t="str">
        <f t="shared" si="78"/>
        <v/>
      </c>
      <c r="AF50" s="362" t="str">
        <f t="shared" si="79"/>
        <v/>
      </c>
      <c r="AG50" s="362" t="str">
        <f t="shared" si="80"/>
        <v/>
      </c>
      <c r="AH50" s="363" cm="1">
        <f t="array" aca="1" ref="AH50" ca="1">IF(OR($A50="",T50=""),"",IFERROR(LOOKUP(2,1/(U50:AG50&lt;&gt;""),U50:AG50)-T50,""))</f>
        <v>10.543854796888496</v>
      </c>
      <c r="AI50" s="349"/>
      <c r="AJ50" s="349" cm="1">
        <f t="array" ref="AJ50">IF($A50="","",IFERROR(MATCH($A50,TRIM('Sales and count'!$A$4:$A$300&amp;""),0),""))</f>
        <v>108</v>
      </c>
      <c r="AK50" s="350" cm="1">
        <f t="array" ref="AK50">IF(OR($A50="",AK$6=""),"",IFERROR(INDEX(Footfall!$C$5:$BZ$301,MATCH($A50,TRIM(Footfall!$B$5:$B$301&amp;""),0),AK$5),0))</f>
        <v>2786</v>
      </c>
      <c r="AL50" s="350" cm="1">
        <f t="array" ref="AL50">IF(OR($A50="",AL$6=""),"",IFERROR(INDEX(Footfall!$C$5:$BZ$301,MATCH($A50,TRIM(Footfall!$B$5:$B$301&amp;""),0),AL$5),0))</f>
        <v>84</v>
      </c>
      <c r="AM50" s="350" cm="1">
        <f t="array" ref="AM50">IF(OR($A50="",AM$6=""),"",IFERROR(INDEX(Footfall!$C$5:$BZ$301,MATCH($A50,TRIM(Footfall!$B$5:$B$301&amp;""),0),AM$5),0))</f>
        <v>125</v>
      </c>
      <c r="AN50" s="350" cm="1">
        <f t="array" ref="AN50">IF(OR($A50="",AN$6=""),"",IFERROR(INDEX(Footfall!$C$5:$BZ$301,MATCH($A50,TRIM(Footfall!$B$5:$B$301&amp;""),0),AN$5),0))</f>
        <v>169</v>
      </c>
      <c r="AO50" s="350" cm="1">
        <f t="array" ref="AO50">IF(OR($A50="",AO$6=""),"",IFERROR(INDEX(Footfall!$C$5:$BZ$301,MATCH($A50,TRIM(Footfall!$B$5:$B$301&amp;""),0),AO$5),0))</f>
        <v>183</v>
      </c>
      <c r="AP50" s="350" cm="1">
        <f t="array" ref="AP50">IF(OR($A50="",AP$6=""),"",IFERROR(INDEX(Footfall!$C$5:$BZ$301,MATCH($A50,TRIM(Footfall!$B$5:$B$301&amp;""),0),AP$5),0))</f>
        <v>318</v>
      </c>
      <c r="AQ50" s="350" cm="1">
        <f t="array" ref="AQ50">IF(OR($A50="",AQ$6=""),"",IFERROR(INDEX(Footfall!$C$5:$BZ$301,MATCH($A50,TRIM(Footfall!$B$5:$B$301&amp;""),0),AQ$5),0))</f>
        <v>154</v>
      </c>
      <c r="AR50" s="350" cm="1">
        <f t="array" ref="AR50">IF(OR($A50="",AR$6=""),"",IFERROR(INDEX(Footfall!$C$5:$BZ$301,MATCH($A50,TRIM(Footfall!$B$5:$B$301&amp;""),0),AR$5),0))</f>
        <v>159</v>
      </c>
      <c r="AS50" s="350" cm="1">
        <f t="array" ref="AS50">IF(OR($A50="",AS$6=""),"",IFERROR(INDEX(Footfall!$C$5:$BZ$301,MATCH($A50,TRIM(Footfall!$B$5:$B$301&amp;""),0),AS$5),0))</f>
        <v>128</v>
      </c>
      <c r="AT50" s="350" t="str" cm="1">
        <f t="array" ref="AT50">IF(OR($A50="",AT$6=""),"",IFERROR(INDEX(Footfall!$C$5:$BZ$301,MATCH($A50,TRIM(Footfall!$B$5:$B$301&amp;""),0),AT$5),0))</f>
        <v/>
      </c>
      <c r="AU50" s="350" t="str" cm="1">
        <f t="array" ref="AU50">IF(OR($A50="",AU$6=""),"",IFERROR(INDEX(Footfall!$C$5:$BZ$301,MATCH($A50,TRIM(Footfall!$B$5:$B$301&amp;""),0),AU$5),0))</f>
        <v/>
      </c>
      <c r="AV50" s="350" t="str" cm="1">
        <f t="array" ref="AV50">IF(OR($A50="",AV$6=""),"",IFERROR(INDEX(Footfall!$C$5:$BZ$301,MATCH($A50,TRIM(Footfall!$B$5:$B$301&amp;""),0),AV$5),0))</f>
        <v/>
      </c>
      <c r="AW50" s="350" t="str" cm="1">
        <f t="array" ref="AW50">IF(OR($A50="",AW$6=""),"",IFERROR(INDEX(Footfall!$C$5:$BZ$301,MATCH($A50,TRIM(Footfall!$B$5:$B$301&amp;""),0),AW$5),0))</f>
        <v/>
      </c>
      <c r="AX50" s="350" t="str" cm="1">
        <f t="array" ref="AX50">IF(OR($A50="",AX$6=""),"",IFERROR(INDEX(Footfall!$C$5:$BZ$301,MATCH($A50,TRIM(Footfall!$B$5:$B$301&amp;""),0),AX$5),0))</f>
        <v/>
      </c>
      <c r="AY50" s="350" cm="1">
        <f t="array" aca="1" ref="AY50" ca="1">IF(AK50="","",IF($AJ50="",0,_xlfn.LET(_xlpm.d,IFERROR(--'Sales and count'!$F$2:$CB$2,0),SUMPRODUCT(('Sales and count'!$G$3:$CC$3="Transactions")*(_xlpm.d&gt;=AY$6)*(_xlpm.d&lt;=AY$7),INDEX('Sales and count'!$G$4:$CC$300,$AJ50,0)))))</f>
        <v>267</v>
      </c>
      <c r="AZ50" s="350" cm="1">
        <f t="array" aca="1" ref="AZ50" ca="1">IF(AL50="","",IF($AJ50="",0,_xlfn.LET(_xlpm.d,IFERROR(--'Sales and count'!$F$2:$CB$2,0),SUMPRODUCT(('Sales and count'!$G$3:$CC$3="Transactions")*(_xlpm.d&gt;=AZ$6)*(_xlpm.d&lt;=AZ$7),INDEX('Sales and count'!$G$4:$CC$300,$AJ50,0)))))</f>
        <v>6</v>
      </c>
      <c r="BA50" s="350" cm="1">
        <f t="array" aca="1" ref="BA50" ca="1">IF(AM50="","",IF($AJ50="",0,_xlfn.LET(_xlpm.d,IFERROR(--'Sales and count'!$F$2:$CB$2,0),SUMPRODUCT(('Sales and count'!$G$3:$CC$3="Transactions")*(_xlpm.d&gt;=BA$6)*(_xlpm.d&lt;=BA$7),INDEX('Sales and count'!$G$4:$CC$300,$AJ50,0)))))</f>
        <v>12</v>
      </c>
      <c r="BB50" s="350" cm="1">
        <f t="array" aca="1" ref="BB50" ca="1">IF(AN50="","",IF($AJ50="",0,_xlfn.LET(_xlpm.d,IFERROR(--'Sales and count'!$F$2:$CB$2,0),SUMPRODUCT(('Sales and count'!$G$3:$CC$3="Transactions")*(_xlpm.d&gt;=BB$6)*(_xlpm.d&lt;=BB$7),INDEX('Sales and count'!$G$4:$CC$300,$AJ50,0)))))</f>
        <v>4</v>
      </c>
      <c r="BC50" s="350" cm="1">
        <f t="array" aca="1" ref="BC50" ca="1">IF(AO50="","",IF($AJ50="",0,_xlfn.LET(_xlpm.d,IFERROR(--'Sales and count'!$F$2:$CB$2,0),SUMPRODUCT(('Sales and count'!$G$3:$CC$3="Transactions")*(_xlpm.d&gt;=BC$6)*(_xlpm.d&lt;=BC$7),INDEX('Sales and count'!$G$4:$CC$300,$AJ50,0)))))</f>
        <v>10</v>
      </c>
      <c r="BD50" s="350" cm="1">
        <f t="array" aca="1" ref="BD50" ca="1">IF(AP50="","",IF($AJ50="",0,_xlfn.LET(_xlpm.d,IFERROR(--'Sales and count'!$F$2:$CB$2,0),SUMPRODUCT(('Sales and count'!$G$3:$CC$3="Transactions")*(_xlpm.d&gt;=BD$6)*(_xlpm.d&lt;=BD$7),INDEX('Sales and count'!$G$4:$CC$300,$AJ50,0)))))</f>
        <v>20</v>
      </c>
      <c r="BE50" s="350" cm="1">
        <f t="array" aca="1" ref="BE50" ca="1">IF(AQ50="","",IF($AJ50="",0,_xlfn.LET(_xlpm.d,IFERROR(--'Sales and count'!$F$2:$CB$2,0),SUMPRODUCT(('Sales and count'!$G$3:$CC$3="Transactions")*(_xlpm.d&gt;=BE$6)*(_xlpm.d&lt;=BE$7),INDEX('Sales and count'!$G$4:$CC$300,$AJ50,0)))))</f>
        <v>16</v>
      </c>
      <c r="BF50" s="350" cm="1">
        <f t="array" aca="1" ref="BF50" ca="1">IF(AR50="","",IF($AJ50="",0,_xlfn.LET(_xlpm.d,IFERROR(--'Sales and count'!$F$2:$CB$2,0),SUMPRODUCT(('Sales and count'!$G$3:$CC$3="Transactions")*(_xlpm.d&gt;=BF$6)*(_xlpm.d&lt;=BF$7),INDEX('Sales and count'!$G$4:$CC$300,$AJ50,0)))))</f>
        <v>11</v>
      </c>
      <c r="BG50" s="350" cm="1">
        <f t="array" aca="1" ref="BG50" ca="1">IF(AS50="","",IF($AJ50="",0,_xlfn.LET(_xlpm.d,IFERROR(--'Sales and count'!$F$2:$CB$2,0),SUMPRODUCT(('Sales and count'!$G$3:$CC$3="Transactions")*(_xlpm.d&gt;=BG$6)*(_xlpm.d&lt;=BG$7),INDEX('Sales and count'!$G$4:$CC$300,$AJ50,0)))))</f>
        <v>13</v>
      </c>
      <c r="BH50" s="350" t="str" cm="1">
        <f t="array" ref="BH50">IF(AT50="","",IF($AJ50="",0,_xlfn.LET(_xlpm.d,IFERROR(--'Sales and count'!$F$2:$CB$2,0),SUMPRODUCT(('Sales and count'!$G$3:$CC$3="Transactions")*(_xlpm.d&gt;=BH$6)*(_xlpm.d&lt;=BH$7),INDEX('Sales and count'!$G$4:$CC$300,$AJ50,0)))))</f>
        <v/>
      </c>
      <c r="BI50" s="350" t="str" cm="1">
        <f t="array" ref="BI50">IF(AU50="","",IF($AJ50="",0,_xlfn.LET(_xlpm.d,IFERROR(--'Sales and count'!$F$2:$CB$2,0),SUMPRODUCT(('Sales and count'!$G$3:$CC$3="Transactions")*(_xlpm.d&gt;=BI$6)*(_xlpm.d&lt;=BI$7),INDEX('Sales and count'!$G$4:$CC$300,$AJ50,0)))))</f>
        <v/>
      </c>
      <c r="BJ50" s="350" t="str" cm="1">
        <f t="array" ref="BJ50">IF(AV50="","",IF($AJ50="",0,_xlfn.LET(_xlpm.d,IFERROR(--'Sales and count'!$F$2:$CB$2,0),SUMPRODUCT(('Sales and count'!$G$3:$CC$3="Transactions")*(_xlpm.d&gt;=BJ$6)*(_xlpm.d&lt;=BJ$7),INDEX('Sales and count'!$G$4:$CC$300,$AJ50,0)))))</f>
        <v/>
      </c>
      <c r="BK50" s="350" t="str" cm="1">
        <f t="array" ref="BK50">IF(AW50="","",IF($AJ50="",0,_xlfn.LET(_xlpm.d,IFERROR(--'Sales and count'!$F$2:$CB$2,0),SUMPRODUCT(('Sales and count'!$G$3:$CC$3="Transactions")*(_xlpm.d&gt;=BK$6)*(_xlpm.d&lt;=BK$7),INDEX('Sales and count'!$G$4:$CC$300,$AJ50,0)))))</f>
        <v/>
      </c>
      <c r="BL50" s="350" t="str" cm="1">
        <f t="array" ref="BL50">IF(AX50="","",IF($AJ50="",0,_xlfn.LET(_xlpm.d,IFERROR(--'Sales and count'!$F$2:$CB$2,0),SUMPRODUCT(('Sales and count'!$G$3:$CC$3="Transactions")*(_xlpm.d&gt;=BL$6)*(_xlpm.d&lt;=BL$7),INDEX('Sales and count'!$G$4:$CC$300,$AJ50,0)))))</f>
        <v/>
      </c>
      <c r="BM50" s="350" cm="1">
        <f t="array" ref="BM50">IF(AK50="","",IF($AJ50="",0,_xlfn.LET(_xlpm.d,IFERROR(--'Sales and count'!$G$2:$CC$2,0),SUMPRODUCT(('Sales and count'!$G$3:$CC$3="Total")*(_xlpm.d&gt;=BM$6)*(_xlpm.d&lt;=BM$7),INDEX('Sales and count'!$G$4:$CC$300,$AJ50,0)))))</f>
        <v>39311.64</v>
      </c>
      <c r="BN50" s="350" cm="1">
        <f t="array" ref="BN50">IF(AL50="","",IF($AJ50="",0,_xlfn.LET(_xlpm.d,IFERROR(--'Sales and count'!$G$2:$CC$2,0),SUMPRODUCT(('Sales and count'!$G$3:$CC$3="Total")*(_xlpm.d&gt;=BN$6)*(_xlpm.d&lt;=BN$7),INDEX('Sales and count'!$G$4:$CC$300,$AJ50,0)))))</f>
        <v>723</v>
      </c>
      <c r="BO50" s="350" cm="1">
        <f t="array" ref="BO50">IF(AM50="","",IF($AJ50="",0,_xlfn.LET(_xlpm.d,IFERROR(--'Sales and count'!$G$2:$CC$2,0),SUMPRODUCT(('Sales and count'!$G$3:$CC$3="Total")*(_xlpm.d&gt;=BO$6)*(_xlpm.d&lt;=BO$7),INDEX('Sales and count'!$G$4:$CC$300,$AJ50,0)))))</f>
        <v>1928.02</v>
      </c>
      <c r="BP50" s="350" cm="1">
        <f t="array" ref="BP50">IF(AN50="","",IF($AJ50="",0,_xlfn.LET(_xlpm.d,IFERROR(--'Sales and count'!$G$2:$CC$2,0),SUMPRODUCT(('Sales and count'!$G$3:$CC$3="Total")*(_xlpm.d&gt;=BP$6)*(_xlpm.d&lt;=BP$7),INDEX('Sales and count'!$G$4:$CC$300,$AJ50,0)))))</f>
        <v>344</v>
      </c>
      <c r="BQ50" s="350" cm="1">
        <f t="array" ref="BQ50">IF(AO50="","",IF($AJ50="",0,_xlfn.LET(_xlpm.d,IFERROR(--'Sales and count'!$G$2:$CC$2,0),SUMPRODUCT(('Sales and count'!$G$3:$CC$3="Total")*(_xlpm.d&gt;=BQ$6)*(_xlpm.d&lt;=BQ$7),INDEX('Sales and count'!$G$4:$CC$300,$AJ50,0)))))</f>
        <v>1573.97</v>
      </c>
      <c r="BR50" s="350" cm="1">
        <f t="array" ref="BR50">IF(AP50="","",IF($AJ50="",0,_xlfn.LET(_xlpm.d,IFERROR(--'Sales and count'!$G$2:$CC$2,0),SUMPRODUCT(('Sales and count'!$G$3:$CC$3="Total")*(_xlpm.d&gt;=BR$6)*(_xlpm.d&lt;=BR$7),INDEX('Sales and count'!$G$4:$CC$300,$AJ50,0)))))</f>
        <v>3452.85</v>
      </c>
      <c r="BS50" s="350" cm="1">
        <f t="array" ref="BS50">IF(AQ50="","",IF($AJ50="",0,_xlfn.LET(_xlpm.d,IFERROR(--'Sales and count'!$G$2:$CC$2,0),SUMPRODUCT(('Sales and count'!$G$3:$CC$3="Total")*(_xlpm.d&gt;=BS$6)*(_xlpm.d&lt;=BS$7),INDEX('Sales and count'!$G$4:$CC$300,$AJ50,0)))))</f>
        <v>2351.88</v>
      </c>
      <c r="BT50" s="350" cm="1">
        <f t="array" ref="BT50">IF(AR50="","",IF($AJ50="",0,_xlfn.LET(_xlpm.d,IFERROR(--'Sales and count'!$G$2:$CC$2,0),SUMPRODUCT(('Sales and count'!$G$3:$CC$3="Total")*(_xlpm.d&gt;=BT$6)*(_xlpm.d&lt;=BT$7),INDEX('Sales and count'!$G$4:$CC$300,$AJ50,0)))))</f>
        <v>1906.89</v>
      </c>
      <c r="BU50" s="350" cm="1">
        <f t="array" ref="BU50">IF(AS50="","",IF($AJ50="",0,_xlfn.LET(_xlpm.d,IFERROR(--'Sales and count'!$G$2:$CC$2,0),SUMPRODUCT(('Sales and count'!$G$3:$CC$3="Total")*(_xlpm.d&gt;=BU$6)*(_xlpm.d&lt;=BU$7),INDEX('Sales and count'!$G$4:$CC$300,$AJ50,0)))))</f>
        <v>2051.12</v>
      </c>
      <c r="BV50" s="350" t="str" cm="1">
        <f t="array" ref="BV50">IF(AT50="","",IF($AJ50="",0,_xlfn.LET(_xlpm.d,IFERROR(--'Sales and count'!$G$2:$CC$2,0),SUMPRODUCT(('Sales and count'!$G$3:$CC$3="Total")*(_xlpm.d&gt;=BV$6)*(_xlpm.d&lt;=BV$7),INDEX('Sales and count'!$G$4:$CC$300,$AJ50,0)))))</f>
        <v/>
      </c>
      <c r="BW50" s="350" t="str" cm="1">
        <f t="array" ref="BW50">IF(AU50="","",IF($AJ50="",0,_xlfn.LET(_xlpm.d,IFERROR(--'Sales and count'!$G$2:$CC$2,0),SUMPRODUCT(('Sales and count'!$G$3:$CC$3="Total")*(_xlpm.d&gt;=BW$6)*(_xlpm.d&lt;=BW$7),INDEX('Sales and count'!$G$4:$CC$300,$AJ50,0)))))</f>
        <v/>
      </c>
      <c r="BX50" s="350" t="str" cm="1">
        <f t="array" ref="BX50">IF(AV50="","",IF($AJ50="",0,_xlfn.LET(_xlpm.d,IFERROR(--'Sales and count'!$G$2:$CC$2,0),SUMPRODUCT(('Sales and count'!$G$3:$CC$3="Total")*(_xlpm.d&gt;=BX$6)*(_xlpm.d&lt;=BX$7),INDEX('Sales and count'!$G$4:$CC$300,$AJ50,0)))))</f>
        <v/>
      </c>
      <c r="BY50" s="350" t="str" cm="1">
        <f t="array" ref="BY50">IF(AW50="","",IF($AJ50="",0,_xlfn.LET(_xlpm.d,IFERROR(--'Sales and count'!$G$2:$CC$2,0),SUMPRODUCT(('Sales and count'!$G$3:$CC$3="Total")*(_xlpm.d&gt;=BY$6)*(_xlpm.d&lt;=BY$7),INDEX('Sales and count'!$G$4:$CC$300,$AJ50,0)))))</f>
        <v/>
      </c>
      <c r="BZ50" s="350" t="str" cm="1">
        <f t="array" ref="BZ50">IF(AX50="","",IF($AJ50="",0,_xlfn.LET(_xlpm.d,IFERROR(--'Sales and count'!$G$2:$CC$2,0),SUMPRODUCT(('Sales and count'!$G$3:$CC$3="Total")*(_xlpm.d&gt;=BZ$6)*(_xlpm.d&lt;=BZ$7),INDEX('Sales and count'!$G$4:$CC$300,$AJ50,0)))))</f>
        <v/>
      </c>
    </row>
    <row r="51" spans="1:78" x14ac:dyDescent="0.25">
      <c r="A51" s="356" t="str">
        <v>HABAHAB</v>
      </c>
      <c r="B51" s="356" t="str" cm="1">
        <f t="array" ref="B51">IF($A51="","",_xlfn.XLOOKUP($A51,TRIM(Footfall!$B$5:$B$301&amp;""),Footfall!$A$5:$A$301,""))</f>
        <v>Boulevard Al Baha</v>
      </c>
      <c r="C51" s="356" t="str" cm="1">
        <f t="array" ref="C51">IF($A51="","",_xlfn.XLOOKUP($A51,TRIM('Sales and count'!$A$4:$A$300&amp;""),'Sales and count'!$C$4:$C$300,"Not set"))</f>
        <v>Baha</v>
      </c>
      <c r="D51" s="357">
        <f t="shared" ca="1" si="53"/>
        <v>0.12620754129012154</v>
      </c>
      <c r="E51" s="357">
        <f t="shared" ca="1" si="54"/>
        <v>0.15702479338842976</v>
      </c>
      <c r="F51" s="357">
        <f t="shared" ca="1" si="55"/>
        <v>0.11504424778761062</v>
      </c>
      <c r="G51" s="357">
        <f t="shared" ca="1" si="56"/>
        <v>0.16083916083916083</v>
      </c>
      <c r="H51" s="357">
        <f t="shared" ca="1" si="57"/>
        <v>8.1632653061224483E-2</v>
      </c>
      <c r="I51" s="357">
        <f t="shared" ca="1" si="58"/>
        <v>6.5573770491803282E-2</v>
      </c>
      <c r="J51" s="357">
        <f t="shared" ca="1" si="59"/>
        <v>0.11702127659574468</v>
      </c>
      <c r="K51" s="357">
        <f t="shared" ca="1" si="60"/>
        <v>0.11734693877551021</v>
      </c>
      <c r="L51" s="357">
        <f t="shared" ca="1" si="61"/>
        <v>6.8322981366459631E-2</v>
      </c>
      <c r="M51" s="357" t="str">
        <f t="shared" si="62"/>
        <v/>
      </c>
      <c r="N51" s="357" t="str">
        <f t="shared" si="63"/>
        <v/>
      </c>
      <c r="O51" s="357" t="str">
        <f t="shared" si="64"/>
        <v/>
      </c>
      <c r="P51" s="357" t="str">
        <f t="shared" si="65"/>
        <v/>
      </c>
      <c r="Q51" s="357" t="str">
        <f t="shared" si="66"/>
        <v/>
      </c>
      <c r="R51" s="358" cm="1">
        <f t="array" aca="1" ref="R51" ca="1">IF(OR($A51="",D51=""),"",IFERROR(LOOKUP(2,1/(E51:Q51&lt;&gt;""),E51:Q51)-D51,""))</f>
        <v>-5.7884559923661913E-2</v>
      </c>
      <c r="S51" s="349"/>
      <c r="T51" s="362">
        <f t="shared" ca="1" si="67"/>
        <v>151.20469135802472</v>
      </c>
      <c r="U51" s="362">
        <f t="shared" ca="1" si="68"/>
        <v>155.73894736842104</v>
      </c>
      <c r="V51" s="362">
        <f t="shared" ca="1" si="69"/>
        <v>181.30923076923077</v>
      </c>
      <c r="W51" s="362">
        <f t="shared" ca="1" si="70"/>
        <v>144.61173913043478</v>
      </c>
      <c r="X51" s="362">
        <f t="shared" ca="1" si="71"/>
        <v>106.560625</v>
      </c>
      <c r="Y51" s="362">
        <f t="shared" ca="1" si="72"/>
        <v>135.57750000000001</v>
      </c>
      <c r="Z51" s="362">
        <f t="shared" ca="1" si="73"/>
        <v>157.67363636363638</v>
      </c>
      <c r="AA51" s="362">
        <f t="shared" ca="1" si="74"/>
        <v>159.68434782608693</v>
      </c>
      <c r="AB51" s="362">
        <f t="shared" ca="1" si="75"/>
        <v>163.19181818181818</v>
      </c>
      <c r="AC51" s="362" t="str">
        <f t="shared" si="76"/>
        <v/>
      </c>
      <c r="AD51" s="362" t="str">
        <f t="shared" si="77"/>
        <v/>
      </c>
      <c r="AE51" s="362" t="str">
        <f t="shared" si="78"/>
        <v/>
      </c>
      <c r="AF51" s="362" t="str">
        <f t="shared" si="79"/>
        <v/>
      </c>
      <c r="AG51" s="362" t="str">
        <f t="shared" si="80"/>
        <v/>
      </c>
      <c r="AH51" s="363" cm="1">
        <f t="array" aca="1" ref="AH51" ca="1">IF(OR($A51="",T51=""),"",IFERROR(LOOKUP(2,1/(U51:AG51&lt;&gt;""),U51:AG51)-T51,""))</f>
        <v>11.98712682379346</v>
      </c>
      <c r="AI51" s="349"/>
      <c r="AJ51" s="349" cm="1">
        <f t="array" ref="AJ51">IF($A51="","",IFERROR(MATCH($A51,TRIM('Sales and count'!$A$4:$A$300&amp;""),0),""))</f>
        <v>100</v>
      </c>
      <c r="AK51" s="350" cm="1">
        <f t="array" ref="AK51">IF(OR($A51="",AK$6=""),"",IFERROR(INDEX(Footfall!$C$5:$BZ$301,MATCH($A51,TRIM(Footfall!$B$5:$B$301&amp;""),0),AK$5),0))</f>
        <v>3209</v>
      </c>
      <c r="AL51" s="350" cm="1">
        <f t="array" ref="AL51">IF(OR($A51="",AL$6=""),"",IFERROR(INDEX(Footfall!$C$5:$BZ$301,MATCH($A51,TRIM(Footfall!$B$5:$B$301&amp;""),0),AL$5),0))</f>
        <v>121</v>
      </c>
      <c r="AM51" s="350" cm="1">
        <f t="array" ref="AM51">IF(OR($A51="",AM$6=""),"",IFERROR(INDEX(Footfall!$C$5:$BZ$301,MATCH($A51,TRIM(Footfall!$B$5:$B$301&amp;""),0),AM$5),0))</f>
        <v>113</v>
      </c>
      <c r="AN51" s="350" cm="1">
        <f t="array" ref="AN51">IF(OR($A51="",AN$6=""),"",IFERROR(INDEX(Footfall!$C$5:$BZ$301,MATCH($A51,TRIM(Footfall!$B$5:$B$301&amp;""),0),AN$5),0))</f>
        <v>143</v>
      </c>
      <c r="AO51" s="350" cm="1">
        <f t="array" ref="AO51">IF(OR($A51="",AO$6=""),"",IFERROR(INDEX(Footfall!$C$5:$BZ$301,MATCH($A51,TRIM(Footfall!$B$5:$B$301&amp;""),0),AO$5),0))</f>
        <v>196</v>
      </c>
      <c r="AP51" s="350" cm="1">
        <f t="array" ref="AP51">IF(OR($A51="",AP$6=""),"",IFERROR(INDEX(Footfall!$C$5:$BZ$301,MATCH($A51,TRIM(Footfall!$B$5:$B$301&amp;""),0),AP$5),0))</f>
        <v>183</v>
      </c>
      <c r="AQ51" s="350" cm="1">
        <f t="array" ref="AQ51">IF(OR($A51="",AQ$6=""),"",IFERROR(INDEX(Footfall!$C$5:$BZ$301,MATCH($A51,TRIM(Footfall!$B$5:$B$301&amp;""),0),AQ$5),0))</f>
        <v>188</v>
      </c>
      <c r="AR51" s="350" cm="1">
        <f t="array" ref="AR51">IF(OR($A51="",AR$6=""),"",IFERROR(INDEX(Footfall!$C$5:$BZ$301,MATCH($A51,TRIM(Footfall!$B$5:$B$301&amp;""),0),AR$5),0))</f>
        <v>196</v>
      </c>
      <c r="AS51" s="350" cm="1">
        <f t="array" ref="AS51">IF(OR($A51="",AS$6=""),"",IFERROR(INDEX(Footfall!$C$5:$BZ$301,MATCH($A51,TRIM(Footfall!$B$5:$B$301&amp;""),0),AS$5),0))</f>
        <v>161</v>
      </c>
      <c r="AT51" s="350" t="str" cm="1">
        <f t="array" ref="AT51">IF(OR($A51="",AT$6=""),"",IFERROR(INDEX(Footfall!$C$5:$BZ$301,MATCH($A51,TRIM(Footfall!$B$5:$B$301&amp;""),0),AT$5),0))</f>
        <v/>
      </c>
      <c r="AU51" s="350" t="str" cm="1">
        <f t="array" ref="AU51">IF(OR($A51="",AU$6=""),"",IFERROR(INDEX(Footfall!$C$5:$BZ$301,MATCH($A51,TRIM(Footfall!$B$5:$B$301&amp;""),0),AU$5),0))</f>
        <v/>
      </c>
      <c r="AV51" s="350" t="str" cm="1">
        <f t="array" ref="AV51">IF(OR($A51="",AV$6=""),"",IFERROR(INDEX(Footfall!$C$5:$BZ$301,MATCH($A51,TRIM(Footfall!$B$5:$B$301&amp;""),0),AV$5),0))</f>
        <v/>
      </c>
      <c r="AW51" s="350" t="str" cm="1">
        <f t="array" ref="AW51">IF(OR($A51="",AW$6=""),"",IFERROR(INDEX(Footfall!$C$5:$BZ$301,MATCH($A51,TRIM(Footfall!$B$5:$B$301&amp;""),0),AW$5),0))</f>
        <v/>
      </c>
      <c r="AX51" s="350" t="str" cm="1">
        <f t="array" ref="AX51">IF(OR($A51="",AX$6=""),"",IFERROR(INDEX(Footfall!$C$5:$BZ$301,MATCH($A51,TRIM(Footfall!$B$5:$B$301&amp;""),0),AX$5),0))</f>
        <v/>
      </c>
      <c r="AY51" s="350" cm="1">
        <f t="array" aca="1" ref="AY51" ca="1">IF(AK51="","",IF($AJ51="",0,_xlfn.LET(_xlpm.d,IFERROR(--'Sales and count'!$F$2:$CB$2,0),SUMPRODUCT(('Sales and count'!$G$3:$CC$3="Transactions")*(_xlpm.d&gt;=AY$6)*(_xlpm.d&lt;=AY$7),INDEX('Sales and count'!$G$4:$CC$300,$AJ51,0)))))</f>
        <v>405</v>
      </c>
      <c r="AZ51" s="350" cm="1">
        <f t="array" aca="1" ref="AZ51" ca="1">IF(AL51="","",IF($AJ51="",0,_xlfn.LET(_xlpm.d,IFERROR(--'Sales and count'!$F$2:$CB$2,0),SUMPRODUCT(('Sales and count'!$G$3:$CC$3="Transactions")*(_xlpm.d&gt;=AZ$6)*(_xlpm.d&lt;=AZ$7),INDEX('Sales and count'!$G$4:$CC$300,$AJ51,0)))))</f>
        <v>19</v>
      </c>
      <c r="BA51" s="350" cm="1">
        <f t="array" aca="1" ref="BA51" ca="1">IF(AM51="","",IF($AJ51="",0,_xlfn.LET(_xlpm.d,IFERROR(--'Sales and count'!$F$2:$CB$2,0),SUMPRODUCT(('Sales and count'!$G$3:$CC$3="Transactions")*(_xlpm.d&gt;=BA$6)*(_xlpm.d&lt;=BA$7),INDEX('Sales and count'!$G$4:$CC$300,$AJ51,0)))))</f>
        <v>13</v>
      </c>
      <c r="BB51" s="350" cm="1">
        <f t="array" aca="1" ref="BB51" ca="1">IF(AN51="","",IF($AJ51="",0,_xlfn.LET(_xlpm.d,IFERROR(--'Sales and count'!$F$2:$CB$2,0),SUMPRODUCT(('Sales and count'!$G$3:$CC$3="Transactions")*(_xlpm.d&gt;=BB$6)*(_xlpm.d&lt;=BB$7),INDEX('Sales and count'!$G$4:$CC$300,$AJ51,0)))))</f>
        <v>23</v>
      </c>
      <c r="BC51" s="350" cm="1">
        <f t="array" aca="1" ref="BC51" ca="1">IF(AO51="","",IF($AJ51="",0,_xlfn.LET(_xlpm.d,IFERROR(--'Sales and count'!$F$2:$CB$2,0),SUMPRODUCT(('Sales and count'!$G$3:$CC$3="Transactions")*(_xlpm.d&gt;=BC$6)*(_xlpm.d&lt;=BC$7),INDEX('Sales and count'!$G$4:$CC$300,$AJ51,0)))))</f>
        <v>16</v>
      </c>
      <c r="BD51" s="350" cm="1">
        <f t="array" aca="1" ref="BD51" ca="1">IF(AP51="","",IF($AJ51="",0,_xlfn.LET(_xlpm.d,IFERROR(--'Sales and count'!$F$2:$CB$2,0),SUMPRODUCT(('Sales and count'!$G$3:$CC$3="Transactions")*(_xlpm.d&gt;=BD$6)*(_xlpm.d&lt;=BD$7),INDEX('Sales and count'!$G$4:$CC$300,$AJ51,0)))))</f>
        <v>12</v>
      </c>
      <c r="BE51" s="350" cm="1">
        <f t="array" aca="1" ref="BE51" ca="1">IF(AQ51="","",IF($AJ51="",0,_xlfn.LET(_xlpm.d,IFERROR(--'Sales and count'!$F$2:$CB$2,0),SUMPRODUCT(('Sales and count'!$G$3:$CC$3="Transactions")*(_xlpm.d&gt;=BE$6)*(_xlpm.d&lt;=BE$7),INDEX('Sales and count'!$G$4:$CC$300,$AJ51,0)))))</f>
        <v>22</v>
      </c>
      <c r="BF51" s="350" cm="1">
        <f t="array" aca="1" ref="BF51" ca="1">IF(AR51="","",IF($AJ51="",0,_xlfn.LET(_xlpm.d,IFERROR(--'Sales and count'!$F$2:$CB$2,0),SUMPRODUCT(('Sales and count'!$G$3:$CC$3="Transactions")*(_xlpm.d&gt;=BF$6)*(_xlpm.d&lt;=BF$7),INDEX('Sales and count'!$G$4:$CC$300,$AJ51,0)))))</f>
        <v>23</v>
      </c>
      <c r="BG51" s="350" cm="1">
        <f t="array" aca="1" ref="BG51" ca="1">IF(AS51="","",IF($AJ51="",0,_xlfn.LET(_xlpm.d,IFERROR(--'Sales and count'!$F$2:$CB$2,0),SUMPRODUCT(('Sales and count'!$G$3:$CC$3="Transactions")*(_xlpm.d&gt;=BG$6)*(_xlpm.d&lt;=BG$7),INDEX('Sales and count'!$G$4:$CC$300,$AJ51,0)))))</f>
        <v>11</v>
      </c>
      <c r="BH51" s="350" t="str" cm="1">
        <f t="array" ref="BH51">IF(AT51="","",IF($AJ51="",0,_xlfn.LET(_xlpm.d,IFERROR(--'Sales and count'!$F$2:$CB$2,0),SUMPRODUCT(('Sales and count'!$G$3:$CC$3="Transactions")*(_xlpm.d&gt;=BH$6)*(_xlpm.d&lt;=BH$7),INDEX('Sales and count'!$G$4:$CC$300,$AJ51,0)))))</f>
        <v/>
      </c>
      <c r="BI51" s="350" t="str" cm="1">
        <f t="array" ref="BI51">IF(AU51="","",IF($AJ51="",0,_xlfn.LET(_xlpm.d,IFERROR(--'Sales and count'!$F$2:$CB$2,0),SUMPRODUCT(('Sales and count'!$G$3:$CC$3="Transactions")*(_xlpm.d&gt;=BI$6)*(_xlpm.d&lt;=BI$7),INDEX('Sales and count'!$G$4:$CC$300,$AJ51,0)))))</f>
        <v/>
      </c>
      <c r="BJ51" s="350" t="str" cm="1">
        <f t="array" ref="BJ51">IF(AV51="","",IF($AJ51="",0,_xlfn.LET(_xlpm.d,IFERROR(--'Sales and count'!$F$2:$CB$2,0),SUMPRODUCT(('Sales and count'!$G$3:$CC$3="Transactions")*(_xlpm.d&gt;=BJ$6)*(_xlpm.d&lt;=BJ$7),INDEX('Sales and count'!$G$4:$CC$300,$AJ51,0)))))</f>
        <v/>
      </c>
      <c r="BK51" s="350" t="str" cm="1">
        <f t="array" ref="BK51">IF(AW51="","",IF($AJ51="",0,_xlfn.LET(_xlpm.d,IFERROR(--'Sales and count'!$F$2:$CB$2,0),SUMPRODUCT(('Sales and count'!$G$3:$CC$3="Transactions")*(_xlpm.d&gt;=BK$6)*(_xlpm.d&lt;=BK$7),INDEX('Sales and count'!$G$4:$CC$300,$AJ51,0)))))</f>
        <v/>
      </c>
      <c r="BL51" s="350" t="str" cm="1">
        <f t="array" ref="BL51">IF(AX51="","",IF($AJ51="",0,_xlfn.LET(_xlpm.d,IFERROR(--'Sales and count'!$F$2:$CB$2,0),SUMPRODUCT(('Sales and count'!$G$3:$CC$3="Transactions")*(_xlpm.d&gt;=BL$6)*(_xlpm.d&lt;=BL$7),INDEX('Sales and count'!$G$4:$CC$300,$AJ51,0)))))</f>
        <v/>
      </c>
      <c r="BM51" s="350" cm="1">
        <f t="array" ref="BM51">IF(AK51="","",IF($AJ51="",0,_xlfn.LET(_xlpm.d,IFERROR(--'Sales and count'!$G$2:$CC$2,0),SUMPRODUCT(('Sales and count'!$G$3:$CC$3="Total")*(_xlpm.d&gt;=BM$6)*(_xlpm.d&lt;=BM$7),INDEX('Sales and count'!$G$4:$CC$300,$AJ51,0)))))</f>
        <v>61237.900000000009</v>
      </c>
      <c r="BN51" s="350" cm="1">
        <f t="array" ref="BN51">IF(AL51="","",IF($AJ51="",0,_xlfn.LET(_xlpm.d,IFERROR(--'Sales and count'!$G$2:$CC$2,0),SUMPRODUCT(('Sales and count'!$G$3:$CC$3="Total")*(_xlpm.d&gt;=BN$6)*(_xlpm.d&lt;=BN$7),INDEX('Sales and count'!$G$4:$CC$300,$AJ51,0)))))</f>
        <v>2959.04</v>
      </c>
      <c r="BO51" s="350" cm="1">
        <f t="array" ref="BO51">IF(AM51="","",IF($AJ51="",0,_xlfn.LET(_xlpm.d,IFERROR(--'Sales and count'!$G$2:$CC$2,0),SUMPRODUCT(('Sales and count'!$G$3:$CC$3="Total")*(_xlpm.d&gt;=BO$6)*(_xlpm.d&lt;=BO$7),INDEX('Sales and count'!$G$4:$CC$300,$AJ51,0)))))</f>
        <v>2357.02</v>
      </c>
      <c r="BP51" s="350" cm="1">
        <f t="array" ref="BP51">IF(AN51="","",IF($AJ51="",0,_xlfn.LET(_xlpm.d,IFERROR(--'Sales and count'!$G$2:$CC$2,0),SUMPRODUCT(('Sales and count'!$G$3:$CC$3="Total")*(_xlpm.d&gt;=BP$6)*(_xlpm.d&lt;=BP$7),INDEX('Sales and count'!$G$4:$CC$300,$AJ51,0)))))</f>
        <v>3326.07</v>
      </c>
      <c r="BQ51" s="350" cm="1">
        <f t="array" ref="BQ51">IF(AO51="","",IF($AJ51="",0,_xlfn.LET(_xlpm.d,IFERROR(--'Sales and count'!$G$2:$CC$2,0),SUMPRODUCT(('Sales and count'!$G$3:$CC$3="Total")*(_xlpm.d&gt;=BQ$6)*(_xlpm.d&lt;=BQ$7),INDEX('Sales and count'!$G$4:$CC$300,$AJ51,0)))))</f>
        <v>1704.97</v>
      </c>
      <c r="BR51" s="350" cm="1">
        <f t="array" ref="BR51">IF(AP51="","",IF($AJ51="",0,_xlfn.LET(_xlpm.d,IFERROR(--'Sales and count'!$G$2:$CC$2,0),SUMPRODUCT(('Sales and count'!$G$3:$CC$3="Total")*(_xlpm.d&gt;=BR$6)*(_xlpm.d&lt;=BR$7),INDEX('Sales and count'!$G$4:$CC$300,$AJ51,0)))))</f>
        <v>1626.93</v>
      </c>
      <c r="BS51" s="350" cm="1">
        <f t="array" ref="BS51">IF(AQ51="","",IF($AJ51="",0,_xlfn.LET(_xlpm.d,IFERROR(--'Sales and count'!$G$2:$CC$2,0),SUMPRODUCT(('Sales and count'!$G$3:$CC$3="Total")*(_xlpm.d&gt;=BS$6)*(_xlpm.d&lt;=BS$7),INDEX('Sales and count'!$G$4:$CC$300,$AJ51,0)))))</f>
        <v>3468.82</v>
      </c>
      <c r="BT51" s="350" cm="1">
        <f t="array" ref="BT51">IF(AR51="","",IF($AJ51="",0,_xlfn.LET(_xlpm.d,IFERROR(--'Sales and count'!$G$2:$CC$2,0),SUMPRODUCT(('Sales and count'!$G$3:$CC$3="Total")*(_xlpm.d&gt;=BT$6)*(_xlpm.d&lt;=BT$7),INDEX('Sales and count'!$G$4:$CC$300,$AJ51,0)))))</f>
        <v>3672.74</v>
      </c>
      <c r="BU51" s="350" cm="1">
        <f t="array" ref="BU51">IF(AS51="","",IF($AJ51="",0,_xlfn.LET(_xlpm.d,IFERROR(--'Sales and count'!$G$2:$CC$2,0),SUMPRODUCT(('Sales and count'!$G$3:$CC$3="Total")*(_xlpm.d&gt;=BU$6)*(_xlpm.d&lt;=BU$7),INDEX('Sales and count'!$G$4:$CC$300,$AJ51,0)))))</f>
        <v>1795.11</v>
      </c>
      <c r="BV51" s="350" t="str" cm="1">
        <f t="array" ref="BV51">IF(AT51="","",IF($AJ51="",0,_xlfn.LET(_xlpm.d,IFERROR(--'Sales and count'!$G$2:$CC$2,0),SUMPRODUCT(('Sales and count'!$G$3:$CC$3="Total")*(_xlpm.d&gt;=BV$6)*(_xlpm.d&lt;=BV$7),INDEX('Sales and count'!$G$4:$CC$300,$AJ51,0)))))</f>
        <v/>
      </c>
      <c r="BW51" s="350" t="str" cm="1">
        <f t="array" ref="BW51">IF(AU51="","",IF($AJ51="",0,_xlfn.LET(_xlpm.d,IFERROR(--'Sales and count'!$G$2:$CC$2,0),SUMPRODUCT(('Sales and count'!$G$3:$CC$3="Total")*(_xlpm.d&gt;=BW$6)*(_xlpm.d&lt;=BW$7),INDEX('Sales and count'!$G$4:$CC$300,$AJ51,0)))))</f>
        <v/>
      </c>
      <c r="BX51" s="350" t="str" cm="1">
        <f t="array" ref="BX51">IF(AV51="","",IF($AJ51="",0,_xlfn.LET(_xlpm.d,IFERROR(--'Sales and count'!$G$2:$CC$2,0),SUMPRODUCT(('Sales and count'!$G$3:$CC$3="Total")*(_xlpm.d&gt;=BX$6)*(_xlpm.d&lt;=BX$7),INDEX('Sales and count'!$G$4:$CC$300,$AJ51,0)))))</f>
        <v/>
      </c>
      <c r="BY51" s="350" t="str" cm="1">
        <f t="array" ref="BY51">IF(AW51="","",IF($AJ51="",0,_xlfn.LET(_xlpm.d,IFERROR(--'Sales and count'!$G$2:$CC$2,0),SUMPRODUCT(('Sales and count'!$G$3:$CC$3="Total")*(_xlpm.d&gt;=BY$6)*(_xlpm.d&lt;=BY$7),INDEX('Sales and count'!$G$4:$CC$300,$AJ51,0)))))</f>
        <v/>
      </c>
      <c r="BZ51" s="350" t="str" cm="1">
        <f t="array" ref="BZ51">IF(AX51="","",IF($AJ51="",0,_xlfn.LET(_xlpm.d,IFERROR(--'Sales and count'!$G$2:$CC$2,0),SUMPRODUCT(('Sales and count'!$G$3:$CC$3="Total")*(_xlpm.d&gt;=BZ$6)*(_xlpm.d&lt;=BZ$7),INDEX('Sales and count'!$G$4:$CC$300,$AJ51,0)))))</f>
        <v/>
      </c>
    </row>
    <row r="52" spans="1:78" x14ac:dyDescent="0.25">
      <c r="A52" s="356" t="str">
        <v>BURNPLAZ</v>
      </c>
      <c r="B52" s="356" t="str" cm="1">
        <f t="array" ref="B52">IF($A52="","",_xlfn.XLOOKUP($A52,TRIM(Footfall!$B$5:$B$301&amp;""),Footfall!$A$5:$A$301,""))</f>
        <v>Briedah Nakheel Plaza</v>
      </c>
      <c r="C52" s="356" t="str" cm="1">
        <f t="array" ref="C52">IF($A52="","",_xlfn.XLOOKUP($A52,TRIM('Sales and count'!$A$4:$A$300&amp;""),'Sales and count'!$C$4:$C$300,"Not set"))</f>
        <v>Buraidah</v>
      </c>
      <c r="D52" s="357">
        <f t="shared" ca="1" si="53"/>
        <v>0.16454323664949852</v>
      </c>
      <c r="E52" s="357">
        <f t="shared" ca="1" si="54"/>
        <v>0.16101694915254236</v>
      </c>
      <c r="F52" s="357">
        <f t="shared" ca="1" si="55"/>
        <v>0.18300653594771241</v>
      </c>
      <c r="G52" s="357">
        <f t="shared" ca="1" si="56"/>
        <v>0.18120805369127516</v>
      </c>
      <c r="H52" s="357">
        <f t="shared" ca="1" si="57"/>
        <v>0.15306122448979592</v>
      </c>
      <c r="I52" s="357">
        <f t="shared" ca="1" si="58"/>
        <v>0.14213197969543148</v>
      </c>
      <c r="J52" s="357">
        <f t="shared" ca="1" si="59"/>
        <v>0.10460251046025104</v>
      </c>
      <c r="K52" s="357">
        <f t="shared" ca="1" si="60"/>
        <v>0.16184971098265896</v>
      </c>
      <c r="L52" s="357">
        <f t="shared" ca="1" si="61"/>
        <v>0.17365269461077845</v>
      </c>
      <c r="M52" s="357" t="str">
        <f t="shared" si="62"/>
        <v/>
      </c>
      <c r="N52" s="357" t="str">
        <f t="shared" si="63"/>
        <v/>
      </c>
      <c r="O52" s="357" t="str">
        <f t="shared" si="64"/>
        <v/>
      </c>
      <c r="P52" s="357" t="str">
        <f t="shared" si="65"/>
        <v/>
      </c>
      <c r="Q52" s="357" t="str">
        <f t="shared" si="66"/>
        <v/>
      </c>
      <c r="R52" s="358" cm="1">
        <f t="array" aca="1" ref="R52" ca="1">IF(OR($A52="",D52=""),"",IFERROR(LOOKUP(2,1/(E52:Q52&lt;&gt;""),E52:Q52)-D52,""))</f>
        <v>9.109457961279932E-3</v>
      </c>
      <c r="S52" s="349"/>
      <c r="T52" s="362">
        <f t="shared" ca="1" si="67"/>
        <v>128.13182866556838</v>
      </c>
      <c r="U52" s="362">
        <f t="shared" ca="1" si="68"/>
        <v>143.68526315789472</v>
      </c>
      <c r="V52" s="362">
        <f t="shared" ca="1" si="69"/>
        <v>133.53892857142858</v>
      </c>
      <c r="W52" s="362">
        <f t="shared" ca="1" si="70"/>
        <v>109.96333333333334</v>
      </c>
      <c r="X52" s="362">
        <f t="shared" ca="1" si="71"/>
        <v>127.22466666666666</v>
      </c>
      <c r="Y52" s="362">
        <f t="shared" ca="1" si="72"/>
        <v>211.56464285714287</v>
      </c>
      <c r="Z52" s="362">
        <f t="shared" ca="1" si="73"/>
        <v>151.35399999999998</v>
      </c>
      <c r="AA52" s="362">
        <f t="shared" ca="1" si="74"/>
        <v>127.20964285714285</v>
      </c>
      <c r="AB52" s="362">
        <f t="shared" ca="1" si="75"/>
        <v>147.83517241379312</v>
      </c>
      <c r="AC52" s="362" t="str">
        <f t="shared" si="76"/>
        <v/>
      </c>
      <c r="AD52" s="362" t="str">
        <f t="shared" si="77"/>
        <v/>
      </c>
      <c r="AE52" s="362" t="str">
        <f t="shared" si="78"/>
        <v/>
      </c>
      <c r="AF52" s="362" t="str">
        <f t="shared" si="79"/>
        <v/>
      </c>
      <c r="AG52" s="362" t="str">
        <f t="shared" si="80"/>
        <v/>
      </c>
      <c r="AH52" s="363" cm="1">
        <f t="array" aca="1" ref="AH52" ca="1">IF(OR($A52="",T52=""),"",IFERROR(LOOKUP(2,1/(U52:AG52&lt;&gt;""),U52:AG52)-T52,""))</f>
        <v>19.703343748224739</v>
      </c>
      <c r="AI52" s="349"/>
      <c r="AJ52" s="349" cm="1">
        <f t="array" ref="AJ52">IF($A52="","",IFERROR(MATCH($A52,TRIM('Sales and count'!$A$4:$A$300&amp;""),0),""))</f>
        <v>74</v>
      </c>
      <c r="AK52" s="350" cm="1">
        <f t="array" ref="AK52">IF(OR($A52="",AK$6=""),"",IFERROR(INDEX(Footfall!$C$5:$BZ$301,MATCH($A52,TRIM(Footfall!$B$5:$B$301&amp;""),0),AK$5),0))</f>
        <v>3689</v>
      </c>
      <c r="AL52" s="350" cm="1">
        <f t="array" ref="AL52">IF(OR($A52="",AL$6=""),"",IFERROR(INDEX(Footfall!$C$5:$BZ$301,MATCH($A52,TRIM(Footfall!$B$5:$B$301&amp;""),0),AL$5),0))</f>
        <v>118</v>
      </c>
      <c r="AM52" s="350" cm="1">
        <f t="array" ref="AM52">IF(OR($A52="",AM$6=""),"",IFERROR(INDEX(Footfall!$C$5:$BZ$301,MATCH($A52,TRIM(Footfall!$B$5:$B$301&amp;""),0),AM$5),0))</f>
        <v>153</v>
      </c>
      <c r="AN52" s="350" cm="1">
        <f t="array" ref="AN52">IF(OR($A52="",AN$6=""),"",IFERROR(INDEX(Footfall!$C$5:$BZ$301,MATCH($A52,TRIM(Footfall!$B$5:$B$301&amp;""),0),AN$5),0))</f>
        <v>149</v>
      </c>
      <c r="AO52" s="350" cm="1">
        <f t="array" ref="AO52">IF(OR($A52="",AO$6=""),"",IFERROR(INDEX(Footfall!$C$5:$BZ$301,MATCH($A52,TRIM(Footfall!$B$5:$B$301&amp;""),0),AO$5),0))</f>
        <v>196</v>
      </c>
      <c r="AP52" s="350" cm="1">
        <f t="array" ref="AP52">IF(OR($A52="",AP$6=""),"",IFERROR(INDEX(Footfall!$C$5:$BZ$301,MATCH($A52,TRIM(Footfall!$B$5:$B$301&amp;""),0),AP$5),0))</f>
        <v>197</v>
      </c>
      <c r="AQ52" s="350" cm="1">
        <f t="array" ref="AQ52">IF(OR($A52="",AQ$6=""),"",IFERROR(INDEX(Footfall!$C$5:$BZ$301,MATCH($A52,TRIM(Footfall!$B$5:$B$301&amp;""),0),AQ$5),0))</f>
        <v>239</v>
      </c>
      <c r="AR52" s="350" cm="1">
        <f t="array" ref="AR52">IF(OR($A52="",AR$6=""),"",IFERROR(INDEX(Footfall!$C$5:$BZ$301,MATCH($A52,TRIM(Footfall!$B$5:$B$301&amp;""),0),AR$5),0))</f>
        <v>173</v>
      </c>
      <c r="AS52" s="350" cm="1">
        <f t="array" ref="AS52">IF(OR($A52="",AS$6=""),"",IFERROR(INDEX(Footfall!$C$5:$BZ$301,MATCH($A52,TRIM(Footfall!$B$5:$B$301&amp;""),0),AS$5),0))</f>
        <v>167</v>
      </c>
      <c r="AT52" s="350" t="str" cm="1">
        <f t="array" ref="AT52">IF(OR($A52="",AT$6=""),"",IFERROR(INDEX(Footfall!$C$5:$BZ$301,MATCH($A52,TRIM(Footfall!$B$5:$B$301&amp;""),0),AT$5),0))</f>
        <v/>
      </c>
      <c r="AU52" s="350" t="str" cm="1">
        <f t="array" ref="AU52">IF(OR($A52="",AU$6=""),"",IFERROR(INDEX(Footfall!$C$5:$BZ$301,MATCH($A52,TRIM(Footfall!$B$5:$B$301&amp;""),0),AU$5),0))</f>
        <v/>
      </c>
      <c r="AV52" s="350" t="str" cm="1">
        <f t="array" ref="AV52">IF(OR($A52="",AV$6=""),"",IFERROR(INDEX(Footfall!$C$5:$BZ$301,MATCH($A52,TRIM(Footfall!$B$5:$B$301&amp;""),0),AV$5),0))</f>
        <v/>
      </c>
      <c r="AW52" s="350" t="str" cm="1">
        <f t="array" ref="AW52">IF(OR($A52="",AW$6=""),"",IFERROR(INDEX(Footfall!$C$5:$BZ$301,MATCH($A52,TRIM(Footfall!$B$5:$B$301&amp;""),0),AW$5),0))</f>
        <v/>
      </c>
      <c r="AX52" s="350" t="str" cm="1">
        <f t="array" ref="AX52">IF(OR($A52="",AX$6=""),"",IFERROR(INDEX(Footfall!$C$5:$BZ$301,MATCH($A52,TRIM(Footfall!$B$5:$B$301&amp;""),0),AX$5),0))</f>
        <v/>
      </c>
      <c r="AY52" s="350" cm="1">
        <f t="array" aca="1" ref="AY52" ca="1">IF(AK52="","",IF($AJ52="",0,_xlfn.LET(_xlpm.d,IFERROR(--'Sales and count'!$F$2:$CB$2,0),SUMPRODUCT(('Sales and count'!$G$3:$CC$3="Transactions")*(_xlpm.d&gt;=AY$6)*(_xlpm.d&lt;=AY$7),INDEX('Sales and count'!$G$4:$CC$300,$AJ52,0)))))</f>
        <v>607</v>
      </c>
      <c r="AZ52" s="350" cm="1">
        <f t="array" aca="1" ref="AZ52" ca="1">IF(AL52="","",IF($AJ52="",0,_xlfn.LET(_xlpm.d,IFERROR(--'Sales and count'!$F$2:$CB$2,0),SUMPRODUCT(('Sales and count'!$G$3:$CC$3="Transactions")*(_xlpm.d&gt;=AZ$6)*(_xlpm.d&lt;=AZ$7),INDEX('Sales and count'!$G$4:$CC$300,$AJ52,0)))))</f>
        <v>19</v>
      </c>
      <c r="BA52" s="350" cm="1">
        <f t="array" aca="1" ref="BA52" ca="1">IF(AM52="","",IF($AJ52="",0,_xlfn.LET(_xlpm.d,IFERROR(--'Sales and count'!$F$2:$CB$2,0),SUMPRODUCT(('Sales and count'!$G$3:$CC$3="Transactions")*(_xlpm.d&gt;=BA$6)*(_xlpm.d&lt;=BA$7),INDEX('Sales and count'!$G$4:$CC$300,$AJ52,0)))))</f>
        <v>28</v>
      </c>
      <c r="BB52" s="350" cm="1">
        <f t="array" aca="1" ref="BB52" ca="1">IF(AN52="","",IF($AJ52="",0,_xlfn.LET(_xlpm.d,IFERROR(--'Sales and count'!$F$2:$CB$2,0),SUMPRODUCT(('Sales and count'!$G$3:$CC$3="Transactions")*(_xlpm.d&gt;=BB$6)*(_xlpm.d&lt;=BB$7),INDEX('Sales and count'!$G$4:$CC$300,$AJ52,0)))))</f>
        <v>27</v>
      </c>
      <c r="BC52" s="350" cm="1">
        <f t="array" aca="1" ref="BC52" ca="1">IF(AO52="","",IF($AJ52="",0,_xlfn.LET(_xlpm.d,IFERROR(--'Sales and count'!$F$2:$CB$2,0),SUMPRODUCT(('Sales and count'!$G$3:$CC$3="Transactions")*(_xlpm.d&gt;=BC$6)*(_xlpm.d&lt;=BC$7),INDEX('Sales and count'!$G$4:$CC$300,$AJ52,0)))))</f>
        <v>30</v>
      </c>
      <c r="BD52" s="350" cm="1">
        <f t="array" aca="1" ref="BD52" ca="1">IF(AP52="","",IF($AJ52="",0,_xlfn.LET(_xlpm.d,IFERROR(--'Sales and count'!$F$2:$CB$2,0),SUMPRODUCT(('Sales and count'!$G$3:$CC$3="Transactions")*(_xlpm.d&gt;=BD$6)*(_xlpm.d&lt;=BD$7),INDEX('Sales and count'!$G$4:$CC$300,$AJ52,0)))))</f>
        <v>28</v>
      </c>
      <c r="BE52" s="350" cm="1">
        <f t="array" aca="1" ref="BE52" ca="1">IF(AQ52="","",IF($AJ52="",0,_xlfn.LET(_xlpm.d,IFERROR(--'Sales and count'!$F$2:$CB$2,0),SUMPRODUCT(('Sales and count'!$G$3:$CC$3="Transactions")*(_xlpm.d&gt;=BE$6)*(_xlpm.d&lt;=BE$7),INDEX('Sales and count'!$G$4:$CC$300,$AJ52,0)))))</f>
        <v>25</v>
      </c>
      <c r="BF52" s="350" cm="1">
        <f t="array" aca="1" ref="BF52" ca="1">IF(AR52="","",IF($AJ52="",0,_xlfn.LET(_xlpm.d,IFERROR(--'Sales and count'!$F$2:$CB$2,0),SUMPRODUCT(('Sales and count'!$G$3:$CC$3="Transactions")*(_xlpm.d&gt;=BF$6)*(_xlpm.d&lt;=BF$7),INDEX('Sales and count'!$G$4:$CC$300,$AJ52,0)))))</f>
        <v>28</v>
      </c>
      <c r="BG52" s="350" cm="1">
        <f t="array" aca="1" ref="BG52" ca="1">IF(AS52="","",IF($AJ52="",0,_xlfn.LET(_xlpm.d,IFERROR(--'Sales and count'!$F$2:$CB$2,0),SUMPRODUCT(('Sales and count'!$G$3:$CC$3="Transactions")*(_xlpm.d&gt;=BG$6)*(_xlpm.d&lt;=BG$7),INDEX('Sales and count'!$G$4:$CC$300,$AJ52,0)))))</f>
        <v>29</v>
      </c>
      <c r="BH52" s="350" t="str" cm="1">
        <f t="array" ref="BH52">IF(AT52="","",IF($AJ52="",0,_xlfn.LET(_xlpm.d,IFERROR(--'Sales and count'!$F$2:$CB$2,0),SUMPRODUCT(('Sales and count'!$G$3:$CC$3="Transactions")*(_xlpm.d&gt;=BH$6)*(_xlpm.d&lt;=BH$7),INDEX('Sales and count'!$G$4:$CC$300,$AJ52,0)))))</f>
        <v/>
      </c>
      <c r="BI52" s="350" t="str" cm="1">
        <f t="array" ref="BI52">IF(AU52="","",IF($AJ52="",0,_xlfn.LET(_xlpm.d,IFERROR(--'Sales and count'!$F$2:$CB$2,0),SUMPRODUCT(('Sales and count'!$G$3:$CC$3="Transactions")*(_xlpm.d&gt;=BI$6)*(_xlpm.d&lt;=BI$7),INDEX('Sales and count'!$G$4:$CC$300,$AJ52,0)))))</f>
        <v/>
      </c>
      <c r="BJ52" s="350" t="str" cm="1">
        <f t="array" ref="BJ52">IF(AV52="","",IF($AJ52="",0,_xlfn.LET(_xlpm.d,IFERROR(--'Sales and count'!$F$2:$CB$2,0),SUMPRODUCT(('Sales and count'!$G$3:$CC$3="Transactions")*(_xlpm.d&gt;=BJ$6)*(_xlpm.d&lt;=BJ$7),INDEX('Sales and count'!$G$4:$CC$300,$AJ52,0)))))</f>
        <v/>
      </c>
      <c r="BK52" s="350" t="str" cm="1">
        <f t="array" ref="BK52">IF(AW52="","",IF($AJ52="",0,_xlfn.LET(_xlpm.d,IFERROR(--'Sales and count'!$F$2:$CB$2,0),SUMPRODUCT(('Sales and count'!$G$3:$CC$3="Transactions")*(_xlpm.d&gt;=BK$6)*(_xlpm.d&lt;=BK$7),INDEX('Sales and count'!$G$4:$CC$300,$AJ52,0)))))</f>
        <v/>
      </c>
      <c r="BL52" s="350" t="str" cm="1">
        <f t="array" ref="BL52">IF(AX52="","",IF($AJ52="",0,_xlfn.LET(_xlpm.d,IFERROR(--'Sales and count'!$F$2:$CB$2,0),SUMPRODUCT(('Sales and count'!$G$3:$CC$3="Transactions")*(_xlpm.d&gt;=BL$6)*(_xlpm.d&lt;=BL$7),INDEX('Sales and count'!$G$4:$CC$300,$AJ52,0)))))</f>
        <v/>
      </c>
      <c r="BM52" s="350" cm="1">
        <f t="array" ref="BM52">IF(AK52="","",IF($AJ52="",0,_xlfn.LET(_xlpm.d,IFERROR(--'Sales and count'!$G$2:$CC$2,0),SUMPRODUCT(('Sales and count'!$G$3:$CC$3="Total")*(_xlpm.d&gt;=BM$6)*(_xlpm.d&lt;=BM$7),INDEX('Sales and count'!$G$4:$CC$300,$AJ52,0)))))</f>
        <v>77776.02</v>
      </c>
      <c r="BN52" s="350" cm="1">
        <f t="array" ref="BN52">IF(AL52="","",IF($AJ52="",0,_xlfn.LET(_xlpm.d,IFERROR(--'Sales and count'!$G$2:$CC$2,0),SUMPRODUCT(('Sales and count'!$G$3:$CC$3="Total")*(_xlpm.d&gt;=BN$6)*(_xlpm.d&lt;=BN$7),INDEX('Sales and count'!$G$4:$CC$300,$AJ52,0)))))</f>
        <v>2730.02</v>
      </c>
      <c r="BO52" s="350" cm="1">
        <f t="array" ref="BO52">IF(AM52="","",IF($AJ52="",0,_xlfn.LET(_xlpm.d,IFERROR(--'Sales and count'!$G$2:$CC$2,0),SUMPRODUCT(('Sales and count'!$G$3:$CC$3="Total")*(_xlpm.d&gt;=BO$6)*(_xlpm.d&lt;=BO$7),INDEX('Sales and count'!$G$4:$CC$300,$AJ52,0)))))</f>
        <v>3739.09</v>
      </c>
      <c r="BP52" s="350" cm="1">
        <f t="array" ref="BP52">IF(AN52="","",IF($AJ52="",0,_xlfn.LET(_xlpm.d,IFERROR(--'Sales and count'!$G$2:$CC$2,0),SUMPRODUCT(('Sales and count'!$G$3:$CC$3="Total")*(_xlpm.d&gt;=BP$6)*(_xlpm.d&lt;=BP$7),INDEX('Sales and count'!$G$4:$CC$300,$AJ52,0)))))</f>
        <v>2969.01</v>
      </c>
      <c r="BQ52" s="350" cm="1">
        <f t="array" ref="BQ52">IF(AO52="","",IF($AJ52="",0,_xlfn.LET(_xlpm.d,IFERROR(--'Sales and count'!$G$2:$CC$2,0),SUMPRODUCT(('Sales and count'!$G$3:$CC$3="Total")*(_xlpm.d&gt;=BQ$6)*(_xlpm.d&lt;=BQ$7),INDEX('Sales and count'!$G$4:$CC$300,$AJ52,0)))))</f>
        <v>3816.74</v>
      </c>
      <c r="BR52" s="350" cm="1">
        <f t="array" ref="BR52">IF(AP52="","",IF($AJ52="",0,_xlfn.LET(_xlpm.d,IFERROR(--'Sales and count'!$G$2:$CC$2,0),SUMPRODUCT(('Sales and count'!$G$3:$CC$3="Total")*(_xlpm.d&gt;=BR$6)*(_xlpm.d&lt;=BR$7),INDEX('Sales and count'!$G$4:$CC$300,$AJ52,0)))))</f>
        <v>5923.81</v>
      </c>
      <c r="BS52" s="350" cm="1">
        <f t="array" ref="BS52">IF(AQ52="","",IF($AJ52="",0,_xlfn.LET(_xlpm.d,IFERROR(--'Sales and count'!$G$2:$CC$2,0),SUMPRODUCT(('Sales and count'!$G$3:$CC$3="Total")*(_xlpm.d&gt;=BS$6)*(_xlpm.d&lt;=BS$7),INDEX('Sales and count'!$G$4:$CC$300,$AJ52,0)))))</f>
        <v>3783.85</v>
      </c>
      <c r="BT52" s="350" cm="1">
        <f t="array" ref="BT52">IF(AR52="","",IF($AJ52="",0,_xlfn.LET(_xlpm.d,IFERROR(--'Sales and count'!$G$2:$CC$2,0),SUMPRODUCT(('Sales and count'!$G$3:$CC$3="Total")*(_xlpm.d&gt;=BT$6)*(_xlpm.d&lt;=BT$7),INDEX('Sales and count'!$G$4:$CC$300,$AJ52,0)))))</f>
        <v>3561.87</v>
      </c>
      <c r="BU52" s="350" cm="1">
        <f t="array" ref="BU52">IF(AS52="","",IF($AJ52="",0,_xlfn.LET(_xlpm.d,IFERROR(--'Sales and count'!$G$2:$CC$2,0),SUMPRODUCT(('Sales and count'!$G$3:$CC$3="Total")*(_xlpm.d&gt;=BU$6)*(_xlpm.d&lt;=BU$7),INDEX('Sales and count'!$G$4:$CC$300,$AJ52,0)))))</f>
        <v>4287.22</v>
      </c>
      <c r="BV52" s="350" t="str" cm="1">
        <f t="array" ref="BV52">IF(AT52="","",IF($AJ52="",0,_xlfn.LET(_xlpm.d,IFERROR(--'Sales and count'!$G$2:$CC$2,0),SUMPRODUCT(('Sales and count'!$G$3:$CC$3="Total")*(_xlpm.d&gt;=BV$6)*(_xlpm.d&lt;=BV$7),INDEX('Sales and count'!$G$4:$CC$300,$AJ52,0)))))</f>
        <v/>
      </c>
      <c r="BW52" s="350" t="str" cm="1">
        <f t="array" ref="BW52">IF(AU52="","",IF($AJ52="",0,_xlfn.LET(_xlpm.d,IFERROR(--'Sales and count'!$G$2:$CC$2,0),SUMPRODUCT(('Sales and count'!$G$3:$CC$3="Total")*(_xlpm.d&gt;=BW$6)*(_xlpm.d&lt;=BW$7),INDEX('Sales and count'!$G$4:$CC$300,$AJ52,0)))))</f>
        <v/>
      </c>
      <c r="BX52" s="350" t="str" cm="1">
        <f t="array" ref="BX52">IF(AV52="","",IF($AJ52="",0,_xlfn.LET(_xlpm.d,IFERROR(--'Sales and count'!$G$2:$CC$2,0),SUMPRODUCT(('Sales and count'!$G$3:$CC$3="Total")*(_xlpm.d&gt;=BX$6)*(_xlpm.d&lt;=BX$7),INDEX('Sales and count'!$G$4:$CC$300,$AJ52,0)))))</f>
        <v/>
      </c>
      <c r="BY52" s="350" t="str" cm="1">
        <f t="array" ref="BY52">IF(AW52="","",IF($AJ52="",0,_xlfn.LET(_xlpm.d,IFERROR(--'Sales and count'!$G$2:$CC$2,0),SUMPRODUCT(('Sales and count'!$G$3:$CC$3="Total")*(_xlpm.d&gt;=BY$6)*(_xlpm.d&lt;=BY$7),INDEX('Sales and count'!$G$4:$CC$300,$AJ52,0)))))</f>
        <v/>
      </c>
      <c r="BZ52" s="350" t="str" cm="1">
        <f t="array" ref="BZ52">IF(AX52="","",IF($AJ52="",0,_xlfn.LET(_xlpm.d,IFERROR(--'Sales and count'!$G$2:$CC$2,0),SUMPRODUCT(('Sales and count'!$G$3:$CC$3="Total")*(_xlpm.d&gt;=BZ$6)*(_xlpm.d&lt;=BZ$7),INDEX('Sales and count'!$G$4:$CC$300,$AJ52,0)))))</f>
        <v/>
      </c>
    </row>
    <row r="53" spans="1:78" x14ac:dyDescent="0.25">
      <c r="A53" s="356" t="str">
        <v>DAMNAKHL</v>
      </c>
      <c r="B53" s="356" t="str" cm="1">
        <f t="array" ref="B53">IF($A53="","",_xlfn.XLOOKUP($A53,TRIM(Footfall!$B$5:$B$301&amp;""),Footfall!$A$5:$A$301,""))</f>
        <v>Nakheel Mall Dammam</v>
      </c>
      <c r="C53" s="356" t="str" cm="1">
        <f t="array" ref="C53">IF($A53="","",_xlfn.XLOOKUP($A53,TRIM('Sales and count'!$A$4:$A$300&amp;""),'Sales and count'!$C$4:$C$300,"Not set"))</f>
        <v>Dammam</v>
      </c>
      <c r="D53" s="357">
        <f t="shared" ca="1" si="53"/>
        <v>0.14387083504730563</v>
      </c>
      <c r="E53" s="357">
        <f t="shared" ca="1" si="54"/>
        <v>0.16333333333333333</v>
      </c>
      <c r="F53" s="357">
        <f t="shared" ca="1" si="55"/>
        <v>0.12367491166077739</v>
      </c>
      <c r="G53" s="357">
        <f t="shared" ca="1" si="56"/>
        <v>0.15759312320916904</v>
      </c>
      <c r="H53" s="357">
        <f t="shared" ca="1" si="57"/>
        <v>0.11479028697571744</v>
      </c>
      <c r="I53" s="357">
        <f t="shared" ca="1" si="58"/>
        <v>0.10107197549770292</v>
      </c>
      <c r="J53" s="357">
        <f t="shared" ca="1" si="59"/>
        <v>0.12086092715231789</v>
      </c>
      <c r="K53" s="357">
        <f t="shared" ca="1" si="60"/>
        <v>0.13098236775818639</v>
      </c>
      <c r="L53" s="357">
        <f t="shared" ca="1" si="61"/>
        <v>0.17699115044247787</v>
      </c>
      <c r="M53" s="357" t="str">
        <f t="shared" si="62"/>
        <v/>
      </c>
      <c r="N53" s="357" t="str">
        <f t="shared" si="63"/>
        <v/>
      </c>
      <c r="O53" s="357" t="str">
        <f t="shared" si="64"/>
        <v/>
      </c>
      <c r="P53" s="357" t="str">
        <f t="shared" si="65"/>
        <v/>
      </c>
      <c r="Q53" s="357" t="str">
        <f t="shared" si="66"/>
        <v/>
      </c>
      <c r="R53" s="358" cm="1">
        <f t="array" aca="1" ref="R53" ca="1">IF(OR($A53="",D53=""),"",IFERROR(LOOKUP(2,1/(E53:Q53&lt;&gt;""),E53:Q53)-D53,""))</f>
        <v>3.312031539517224E-2</v>
      </c>
      <c r="S53" s="349"/>
      <c r="T53" s="362">
        <f t="shared" ca="1" si="67"/>
        <v>155.89564689063619</v>
      </c>
      <c r="U53" s="362">
        <f t="shared" ca="1" si="68"/>
        <v>157.04367346938776</v>
      </c>
      <c r="V53" s="362">
        <f t="shared" ca="1" si="69"/>
        <v>153.31857142857143</v>
      </c>
      <c r="W53" s="362">
        <f t="shared" ca="1" si="70"/>
        <v>178.0210909090909</v>
      </c>
      <c r="X53" s="362">
        <f t="shared" ca="1" si="71"/>
        <v>197.22403846153844</v>
      </c>
      <c r="Y53" s="362">
        <f t="shared" ca="1" si="72"/>
        <v>176.46227272727273</v>
      </c>
      <c r="Z53" s="362">
        <f t="shared" ca="1" si="73"/>
        <v>190.19616438356164</v>
      </c>
      <c r="AA53" s="362">
        <f t="shared" ca="1" si="74"/>
        <v>175.51576923076922</v>
      </c>
      <c r="AB53" s="362">
        <f t="shared" ca="1" si="75"/>
        <v>173.02583333333331</v>
      </c>
      <c r="AC53" s="362" t="str">
        <f t="shared" si="76"/>
        <v/>
      </c>
      <c r="AD53" s="362" t="str">
        <f t="shared" si="77"/>
        <v/>
      </c>
      <c r="AE53" s="362" t="str">
        <f t="shared" si="78"/>
        <v/>
      </c>
      <c r="AF53" s="362" t="str">
        <f t="shared" si="79"/>
        <v/>
      </c>
      <c r="AG53" s="362" t="str">
        <f t="shared" si="80"/>
        <v/>
      </c>
      <c r="AH53" s="363" cm="1">
        <f t="array" aca="1" ref="AH53" ca="1">IF(OR($A53="",T53=""),"",IFERROR(LOOKUP(2,1/(U53:AG53&lt;&gt;""),U53:AG53)-T53,""))</f>
        <v>17.130186442697124</v>
      </c>
      <c r="AI53" s="349"/>
      <c r="AJ53" s="349" cm="1">
        <f t="array" ref="AJ53">IF($A53="","",IFERROR(MATCH($A53,TRIM('Sales and count'!$A$4:$A$300&amp;""),0),""))</f>
        <v>30</v>
      </c>
      <c r="AK53" s="350" cm="1">
        <f t="array" ref="AK53">IF(OR($A53="",AK$6=""),"",IFERROR(INDEX(Footfall!$C$5:$BZ$301,MATCH($A53,TRIM(Footfall!$B$5:$B$301&amp;""),0),AK$5),0))</f>
        <v>9724</v>
      </c>
      <c r="AL53" s="350" cm="1">
        <f t="array" ref="AL53">IF(OR($A53="",AL$6=""),"",IFERROR(INDEX(Footfall!$C$5:$BZ$301,MATCH($A53,TRIM(Footfall!$B$5:$B$301&amp;""),0),AL$5),0))</f>
        <v>300</v>
      </c>
      <c r="AM53" s="350" cm="1">
        <f t="array" ref="AM53">IF(OR($A53="",AM$6=""),"",IFERROR(INDEX(Footfall!$C$5:$BZ$301,MATCH($A53,TRIM(Footfall!$B$5:$B$301&amp;""),0),AM$5),0))</f>
        <v>283</v>
      </c>
      <c r="AN53" s="350" cm="1">
        <f t="array" ref="AN53">IF(OR($A53="",AN$6=""),"",IFERROR(INDEX(Footfall!$C$5:$BZ$301,MATCH($A53,TRIM(Footfall!$B$5:$B$301&amp;""),0),AN$5),0))</f>
        <v>349</v>
      </c>
      <c r="AO53" s="350" cm="1">
        <f t="array" ref="AO53">IF(OR($A53="",AO$6=""),"",IFERROR(INDEX(Footfall!$C$5:$BZ$301,MATCH($A53,TRIM(Footfall!$B$5:$B$301&amp;""),0),AO$5),0))</f>
        <v>453</v>
      </c>
      <c r="AP53" s="350" cm="1">
        <f t="array" ref="AP53">IF(OR($A53="",AP$6=""),"",IFERROR(INDEX(Footfall!$C$5:$BZ$301,MATCH($A53,TRIM(Footfall!$B$5:$B$301&amp;""),0),AP$5),0))</f>
        <v>653</v>
      </c>
      <c r="AQ53" s="350" cm="1">
        <f t="array" ref="AQ53">IF(OR($A53="",AQ$6=""),"",IFERROR(INDEX(Footfall!$C$5:$BZ$301,MATCH($A53,TRIM(Footfall!$B$5:$B$301&amp;""),0),AQ$5),0))</f>
        <v>604</v>
      </c>
      <c r="AR53" s="350" cm="1">
        <f t="array" ref="AR53">IF(OR($A53="",AR$6=""),"",IFERROR(INDEX(Footfall!$C$5:$BZ$301,MATCH($A53,TRIM(Footfall!$B$5:$B$301&amp;""),0),AR$5),0))</f>
        <v>397</v>
      </c>
      <c r="AS53" s="350" cm="1">
        <f t="array" ref="AS53">IF(OR($A53="",AS$6=""),"",IFERROR(INDEX(Footfall!$C$5:$BZ$301,MATCH($A53,TRIM(Footfall!$B$5:$B$301&amp;""),0),AS$5),0))</f>
        <v>339</v>
      </c>
      <c r="AT53" s="350" t="str" cm="1">
        <f t="array" ref="AT53">IF(OR($A53="",AT$6=""),"",IFERROR(INDEX(Footfall!$C$5:$BZ$301,MATCH($A53,TRIM(Footfall!$B$5:$B$301&amp;""),0),AT$5),0))</f>
        <v/>
      </c>
      <c r="AU53" s="350" t="str" cm="1">
        <f t="array" ref="AU53">IF(OR($A53="",AU$6=""),"",IFERROR(INDEX(Footfall!$C$5:$BZ$301,MATCH($A53,TRIM(Footfall!$B$5:$B$301&amp;""),0),AU$5),0))</f>
        <v/>
      </c>
      <c r="AV53" s="350" t="str" cm="1">
        <f t="array" ref="AV53">IF(OR($A53="",AV$6=""),"",IFERROR(INDEX(Footfall!$C$5:$BZ$301,MATCH($A53,TRIM(Footfall!$B$5:$B$301&amp;""),0),AV$5),0))</f>
        <v/>
      </c>
      <c r="AW53" s="350" t="str" cm="1">
        <f t="array" ref="AW53">IF(OR($A53="",AW$6=""),"",IFERROR(INDEX(Footfall!$C$5:$BZ$301,MATCH($A53,TRIM(Footfall!$B$5:$B$301&amp;""),0),AW$5),0))</f>
        <v/>
      </c>
      <c r="AX53" s="350" t="str" cm="1">
        <f t="array" ref="AX53">IF(OR($A53="",AX$6=""),"",IFERROR(INDEX(Footfall!$C$5:$BZ$301,MATCH($A53,TRIM(Footfall!$B$5:$B$301&amp;""),0),AX$5),0))</f>
        <v/>
      </c>
      <c r="AY53" s="350" cm="1">
        <f t="array" aca="1" ref="AY53" ca="1">IF(AK53="","",IF($AJ53="",0,_xlfn.LET(_xlpm.d,IFERROR(--'Sales and count'!$F$2:$CB$2,0),SUMPRODUCT(('Sales and count'!$G$3:$CC$3="Transactions")*(_xlpm.d&gt;=AY$6)*(_xlpm.d&lt;=AY$7),INDEX('Sales and count'!$G$4:$CC$300,$AJ53,0)))))</f>
        <v>1399</v>
      </c>
      <c r="AZ53" s="350" cm="1">
        <f t="array" aca="1" ref="AZ53" ca="1">IF(AL53="","",IF($AJ53="",0,_xlfn.LET(_xlpm.d,IFERROR(--'Sales and count'!$F$2:$CB$2,0),SUMPRODUCT(('Sales and count'!$G$3:$CC$3="Transactions")*(_xlpm.d&gt;=AZ$6)*(_xlpm.d&lt;=AZ$7),INDEX('Sales and count'!$G$4:$CC$300,$AJ53,0)))))</f>
        <v>49</v>
      </c>
      <c r="BA53" s="350" cm="1">
        <f t="array" aca="1" ref="BA53" ca="1">IF(AM53="","",IF($AJ53="",0,_xlfn.LET(_xlpm.d,IFERROR(--'Sales and count'!$F$2:$CB$2,0),SUMPRODUCT(('Sales and count'!$G$3:$CC$3="Transactions")*(_xlpm.d&gt;=BA$6)*(_xlpm.d&lt;=BA$7),INDEX('Sales and count'!$G$4:$CC$300,$AJ53,0)))))</f>
        <v>35</v>
      </c>
      <c r="BB53" s="350" cm="1">
        <f t="array" aca="1" ref="BB53" ca="1">IF(AN53="","",IF($AJ53="",0,_xlfn.LET(_xlpm.d,IFERROR(--'Sales and count'!$F$2:$CB$2,0),SUMPRODUCT(('Sales and count'!$G$3:$CC$3="Transactions")*(_xlpm.d&gt;=BB$6)*(_xlpm.d&lt;=BB$7),INDEX('Sales and count'!$G$4:$CC$300,$AJ53,0)))))</f>
        <v>55</v>
      </c>
      <c r="BC53" s="350" cm="1">
        <f t="array" aca="1" ref="BC53" ca="1">IF(AO53="","",IF($AJ53="",0,_xlfn.LET(_xlpm.d,IFERROR(--'Sales and count'!$F$2:$CB$2,0),SUMPRODUCT(('Sales and count'!$G$3:$CC$3="Transactions")*(_xlpm.d&gt;=BC$6)*(_xlpm.d&lt;=BC$7),INDEX('Sales and count'!$G$4:$CC$300,$AJ53,0)))))</f>
        <v>52</v>
      </c>
      <c r="BD53" s="350" cm="1">
        <f t="array" aca="1" ref="BD53" ca="1">IF(AP53="","",IF($AJ53="",0,_xlfn.LET(_xlpm.d,IFERROR(--'Sales and count'!$F$2:$CB$2,0),SUMPRODUCT(('Sales and count'!$G$3:$CC$3="Transactions")*(_xlpm.d&gt;=BD$6)*(_xlpm.d&lt;=BD$7),INDEX('Sales and count'!$G$4:$CC$300,$AJ53,0)))))</f>
        <v>66</v>
      </c>
      <c r="BE53" s="350" cm="1">
        <f t="array" aca="1" ref="BE53" ca="1">IF(AQ53="","",IF($AJ53="",0,_xlfn.LET(_xlpm.d,IFERROR(--'Sales and count'!$F$2:$CB$2,0),SUMPRODUCT(('Sales and count'!$G$3:$CC$3="Transactions")*(_xlpm.d&gt;=BE$6)*(_xlpm.d&lt;=BE$7),INDEX('Sales and count'!$G$4:$CC$300,$AJ53,0)))))</f>
        <v>73</v>
      </c>
      <c r="BF53" s="350" cm="1">
        <f t="array" aca="1" ref="BF53" ca="1">IF(AR53="","",IF($AJ53="",0,_xlfn.LET(_xlpm.d,IFERROR(--'Sales and count'!$F$2:$CB$2,0),SUMPRODUCT(('Sales and count'!$G$3:$CC$3="Transactions")*(_xlpm.d&gt;=BF$6)*(_xlpm.d&lt;=BF$7),INDEX('Sales and count'!$G$4:$CC$300,$AJ53,0)))))</f>
        <v>52</v>
      </c>
      <c r="BG53" s="350" cm="1">
        <f t="array" aca="1" ref="BG53" ca="1">IF(AS53="","",IF($AJ53="",0,_xlfn.LET(_xlpm.d,IFERROR(--'Sales and count'!$F$2:$CB$2,0),SUMPRODUCT(('Sales and count'!$G$3:$CC$3="Transactions")*(_xlpm.d&gt;=BG$6)*(_xlpm.d&lt;=BG$7),INDEX('Sales and count'!$G$4:$CC$300,$AJ53,0)))))</f>
        <v>60</v>
      </c>
      <c r="BH53" s="350" t="str" cm="1">
        <f t="array" ref="BH53">IF(AT53="","",IF($AJ53="",0,_xlfn.LET(_xlpm.d,IFERROR(--'Sales and count'!$F$2:$CB$2,0),SUMPRODUCT(('Sales and count'!$G$3:$CC$3="Transactions")*(_xlpm.d&gt;=BH$6)*(_xlpm.d&lt;=BH$7),INDEX('Sales and count'!$G$4:$CC$300,$AJ53,0)))))</f>
        <v/>
      </c>
      <c r="BI53" s="350" t="str" cm="1">
        <f t="array" ref="BI53">IF(AU53="","",IF($AJ53="",0,_xlfn.LET(_xlpm.d,IFERROR(--'Sales and count'!$F$2:$CB$2,0),SUMPRODUCT(('Sales and count'!$G$3:$CC$3="Transactions")*(_xlpm.d&gt;=BI$6)*(_xlpm.d&lt;=BI$7),INDEX('Sales and count'!$G$4:$CC$300,$AJ53,0)))))</f>
        <v/>
      </c>
      <c r="BJ53" s="350" t="str" cm="1">
        <f t="array" ref="BJ53">IF(AV53="","",IF($AJ53="",0,_xlfn.LET(_xlpm.d,IFERROR(--'Sales and count'!$F$2:$CB$2,0),SUMPRODUCT(('Sales and count'!$G$3:$CC$3="Transactions")*(_xlpm.d&gt;=BJ$6)*(_xlpm.d&lt;=BJ$7),INDEX('Sales and count'!$G$4:$CC$300,$AJ53,0)))))</f>
        <v/>
      </c>
      <c r="BK53" s="350" t="str" cm="1">
        <f t="array" ref="BK53">IF(AW53="","",IF($AJ53="",0,_xlfn.LET(_xlpm.d,IFERROR(--'Sales and count'!$F$2:$CB$2,0),SUMPRODUCT(('Sales and count'!$G$3:$CC$3="Transactions")*(_xlpm.d&gt;=BK$6)*(_xlpm.d&lt;=BK$7),INDEX('Sales and count'!$G$4:$CC$300,$AJ53,0)))))</f>
        <v/>
      </c>
      <c r="BL53" s="350" t="str" cm="1">
        <f t="array" ref="BL53">IF(AX53="","",IF($AJ53="",0,_xlfn.LET(_xlpm.d,IFERROR(--'Sales and count'!$F$2:$CB$2,0),SUMPRODUCT(('Sales and count'!$G$3:$CC$3="Transactions")*(_xlpm.d&gt;=BL$6)*(_xlpm.d&lt;=BL$7),INDEX('Sales and count'!$G$4:$CC$300,$AJ53,0)))))</f>
        <v/>
      </c>
      <c r="BM53" s="350" cm="1">
        <f t="array" ref="BM53">IF(AK53="","",IF($AJ53="",0,_xlfn.LET(_xlpm.d,IFERROR(--'Sales and count'!$G$2:$CC$2,0),SUMPRODUCT(('Sales and count'!$G$3:$CC$3="Total")*(_xlpm.d&gt;=BM$6)*(_xlpm.d&lt;=BM$7),INDEX('Sales and count'!$G$4:$CC$300,$AJ53,0)))))</f>
        <v>218098.01000000004</v>
      </c>
      <c r="BN53" s="350" cm="1">
        <f t="array" ref="BN53">IF(AL53="","",IF($AJ53="",0,_xlfn.LET(_xlpm.d,IFERROR(--'Sales and count'!$G$2:$CC$2,0),SUMPRODUCT(('Sales and count'!$G$3:$CC$3="Total")*(_xlpm.d&gt;=BN$6)*(_xlpm.d&lt;=BN$7),INDEX('Sales and count'!$G$4:$CC$300,$AJ53,0)))))</f>
        <v>7695.14</v>
      </c>
      <c r="BO53" s="350" cm="1">
        <f t="array" ref="BO53">IF(AM53="","",IF($AJ53="",0,_xlfn.LET(_xlpm.d,IFERROR(--'Sales and count'!$G$2:$CC$2,0),SUMPRODUCT(('Sales and count'!$G$3:$CC$3="Total")*(_xlpm.d&gt;=BO$6)*(_xlpm.d&lt;=BO$7),INDEX('Sales and count'!$G$4:$CC$300,$AJ53,0)))))</f>
        <v>5366.15</v>
      </c>
      <c r="BP53" s="350" cm="1">
        <f t="array" ref="BP53">IF(AN53="","",IF($AJ53="",0,_xlfn.LET(_xlpm.d,IFERROR(--'Sales and count'!$G$2:$CC$2,0),SUMPRODUCT(('Sales and count'!$G$3:$CC$3="Total")*(_xlpm.d&gt;=BP$6)*(_xlpm.d&lt;=BP$7),INDEX('Sales and count'!$G$4:$CC$300,$AJ53,0)))))</f>
        <v>9791.16</v>
      </c>
      <c r="BQ53" s="350" cm="1">
        <f t="array" ref="BQ53">IF(AO53="","",IF($AJ53="",0,_xlfn.LET(_xlpm.d,IFERROR(--'Sales and count'!$G$2:$CC$2,0),SUMPRODUCT(('Sales and count'!$G$3:$CC$3="Total")*(_xlpm.d&gt;=BQ$6)*(_xlpm.d&lt;=BQ$7),INDEX('Sales and count'!$G$4:$CC$300,$AJ53,0)))))</f>
        <v>10255.65</v>
      </c>
      <c r="BR53" s="350" cm="1">
        <f t="array" ref="BR53">IF(AP53="","",IF($AJ53="",0,_xlfn.LET(_xlpm.d,IFERROR(--'Sales and count'!$G$2:$CC$2,0),SUMPRODUCT(('Sales and count'!$G$3:$CC$3="Total")*(_xlpm.d&gt;=BR$6)*(_xlpm.d&lt;=BR$7),INDEX('Sales and count'!$G$4:$CC$300,$AJ53,0)))))</f>
        <v>11646.51</v>
      </c>
      <c r="BS53" s="350" cm="1">
        <f t="array" ref="BS53">IF(AQ53="","",IF($AJ53="",0,_xlfn.LET(_xlpm.d,IFERROR(--'Sales and count'!$G$2:$CC$2,0),SUMPRODUCT(('Sales and count'!$G$3:$CC$3="Total")*(_xlpm.d&gt;=BS$6)*(_xlpm.d&lt;=BS$7),INDEX('Sales and count'!$G$4:$CC$300,$AJ53,0)))))</f>
        <v>13884.32</v>
      </c>
      <c r="BT53" s="350" cm="1">
        <f t="array" ref="BT53">IF(AR53="","",IF($AJ53="",0,_xlfn.LET(_xlpm.d,IFERROR(--'Sales and count'!$G$2:$CC$2,0),SUMPRODUCT(('Sales and count'!$G$3:$CC$3="Total")*(_xlpm.d&gt;=BT$6)*(_xlpm.d&lt;=BT$7),INDEX('Sales and count'!$G$4:$CC$300,$AJ53,0)))))</f>
        <v>9126.82</v>
      </c>
      <c r="BU53" s="350" cm="1">
        <f t="array" ref="BU53">IF(AS53="","",IF($AJ53="",0,_xlfn.LET(_xlpm.d,IFERROR(--'Sales and count'!$G$2:$CC$2,0),SUMPRODUCT(('Sales and count'!$G$3:$CC$3="Total")*(_xlpm.d&gt;=BU$6)*(_xlpm.d&lt;=BU$7),INDEX('Sales and count'!$G$4:$CC$300,$AJ53,0)))))</f>
        <v>10381.549999999999</v>
      </c>
      <c r="BV53" s="350" t="str" cm="1">
        <f t="array" ref="BV53">IF(AT53="","",IF($AJ53="",0,_xlfn.LET(_xlpm.d,IFERROR(--'Sales and count'!$G$2:$CC$2,0),SUMPRODUCT(('Sales and count'!$G$3:$CC$3="Total")*(_xlpm.d&gt;=BV$6)*(_xlpm.d&lt;=BV$7),INDEX('Sales and count'!$G$4:$CC$300,$AJ53,0)))))</f>
        <v/>
      </c>
      <c r="BW53" s="350" t="str" cm="1">
        <f t="array" ref="BW53">IF(AU53="","",IF($AJ53="",0,_xlfn.LET(_xlpm.d,IFERROR(--'Sales and count'!$G$2:$CC$2,0),SUMPRODUCT(('Sales and count'!$G$3:$CC$3="Total")*(_xlpm.d&gt;=BW$6)*(_xlpm.d&lt;=BW$7),INDEX('Sales and count'!$G$4:$CC$300,$AJ53,0)))))</f>
        <v/>
      </c>
      <c r="BX53" s="350" t="str" cm="1">
        <f t="array" ref="BX53">IF(AV53="","",IF($AJ53="",0,_xlfn.LET(_xlpm.d,IFERROR(--'Sales and count'!$G$2:$CC$2,0),SUMPRODUCT(('Sales and count'!$G$3:$CC$3="Total")*(_xlpm.d&gt;=BX$6)*(_xlpm.d&lt;=BX$7),INDEX('Sales and count'!$G$4:$CC$300,$AJ53,0)))))</f>
        <v/>
      </c>
      <c r="BY53" s="350" t="str" cm="1">
        <f t="array" ref="BY53">IF(AW53="","",IF($AJ53="",0,_xlfn.LET(_xlpm.d,IFERROR(--'Sales and count'!$G$2:$CC$2,0),SUMPRODUCT(('Sales and count'!$G$3:$CC$3="Total")*(_xlpm.d&gt;=BY$6)*(_xlpm.d&lt;=BY$7),INDEX('Sales and count'!$G$4:$CC$300,$AJ53,0)))))</f>
        <v/>
      </c>
      <c r="BZ53" s="350" t="str" cm="1">
        <f t="array" ref="BZ53">IF(AX53="","",IF($AJ53="",0,_xlfn.LET(_xlpm.d,IFERROR(--'Sales and count'!$G$2:$CC$2,0),SUMPRODUCT(('Sales and count'!$G$3:$CC$3="Total")*(_xlpm.d&gt;=BZ$6)*(_xlpm.d&lt;=BZ$7),INDEX('Sales and count'!$G$4:$CC$300,$AJ53,0)))))</f>
        <v/>
      </c>
    </row>
    <row r="54" spans="1:78" x14ac:dyDescent="0.25">
      <c r="A54" s="356" t="str">
        <v>ALWATANIAH</v>
      </c>
      <c r="B54" s="356" t="str" cm="1">
        <f t="array" ref="B54">IF($A54="","",_xlfn.XLOOKUP($A54,TRIM(Footfall!$B$5:$B$301&amp;""),Footfall!$A$5:$A$301,""))</f>
        <v>Hafer AlBatin Wataniyah</v>
      </c>
      <c r="C54" s="356" t="str" cm="1">
        <f t="array" ref="C54">IF($A54="","",_xlfn.XLOOKUP($A54,TRIM('Sales and count'!$A$4:$A$300&amp;""),'Sales and count'!$C$4:$C$300,"Not set"))</f>
        <v>Hafer Al Batin</v>
      </c>
      <c r="D54" s="357">
        <f t="shared" ca="1" si="53"/>
        <v>0.23125768127816468</v>
      </c>
      <c r="E54" s="357">
        <f t="shared" ca="1" si="54"/>
        <v>0.21472392638036811</v>
      </c>
      <c r="F54" s="357">
        <f t="shared" ca="1" si="55"/>
        <v>0.22674418604651161</v>
      </c>
      <c r="G54" s="357">
        <f t="shared" ca="1" si="56"/>
        <v>0.1497326203208556</v>
      </c>
      <c r="H54" s="357">
        <f t="shared" ca="1" si="57"/>
        <v>0.2356020942408377</v>
      </c>
      <c r="I54" s="357">
        <f t="shared" ca="1" si="58"/>
        <v>0.18685121107266436</v>
      </c>
      <c r="J54" s="357">
        <f t="shared" ca="1" si="59"/>
        <v>0.2537313432835821</v>
      </c>
      <c r="K54" s="357">
        <f t="shared" ca="1" si="60"/>
        <v>0.19545454545454546</v>
      </c>
      <c r="L54" s="357">
        <f t="shared" ca="1" si="61"/>
        <v>0.16666666666666666</v>
      </c>
      <c r="M54" s="357" t="str">
        <f t="shared" si="62"/>
        <v/>
      </c>
      <c r="N54" s="357" t="str">
        <f t="shared" si="63"/>
        <v/>
      </c>
      <c r="O54" s="357" t="str">
        <f t="shared" si="64"/>
        <v/>
      </c>
      <c r="P54" s="357" t="str">
        <f t="shared" si="65"/>
        <v/>
      </c>
      <c r="Q54" s="357" t="str">
        <f t="shared" si="66"/>
        <v/>
      </c>
      <c r="R54" s="358" cm="1">
        <f t="array" aca="1" ref="R54" ca="1">IF(OR($A54="",D54=""),"",IFERROR(LOOKUP(2,1/(E54:Q54&lt;&gt;""),E54:Q54)-D54,""))</f>
        <v>-6.4591014611498021E-2</v>
      </c>
      <c r="S54" s="349"/>
      <c r="T54" s="362">
        <f t="shared" ca="1" si="67"/>
        <v>172.31020372010627</v>
      </c>
      <c r="U54" s="362">
        <f t="shared" ca="1" si="68"/>
        <v>141.54542857142857</v>
      </c>
      <c r="V54" s="362">
        <f t="shared" ca="1" si="69"/>
        <v>147.56615384615384</v>
      </c>
      <c r="W54" s="362">
        <f t="shared" ca="1" si="70"/>
        <v>192.07714285714286</v>
      </c>
      <c r="X54" s="362">
        <f t="shared" ca="1" si="71"/>
        <v>187.03555555555556</v>
      </c>
      <c r="Y54" s="362">
        <f t="shared" ca="1" si="72"/>
        <v>249.94685185185185</v>
      </c>
      <c r="Z54" s="362">
        <f t="shared" ca="1" si="73"/>
        <v>227.67705882352942</v>
      </c>
      <c r="AA54" s="362">
        <f t="shared" ca="1" si="74"/>
        <v>217.06116279069767</v>
      </c>
      <c r="AB54" s="362">
        <f t="shared" ca="1" si="75"/>
        <v>151.94258064516129</v>
      </c>
      <c r="AC54" s="362" t="str">
        <f t="shared" si="76"/>
        <v/>
      </c>
      <c r="AD54" s="362" t="str">
        <f t="shared" si="77"/>
        <v/>
      </c>
      <c r="AE54" s="362" t="str">
        <f t="shared" si="78"/>
        <v/>
      </c>
      <c r="AF54" s="362" t="str">
        <f t="shared" si="79"/>
        <v/>
      </c>
      <c r="AG54" s="362" t="str">
        <f t="shared" si="80"/>
        <v/>
      </c>
      <c r="AH54" s="363" cm="1">
        <f t="array" aca="1" ref="AH54" ca="1">IF(OR($A54="",T54=""),"",IFERROR(LOOKUP(2,1/(U54:AG54&lt;&gt;""),U54:AG54)-T54,""))</f>
        <v>-20.367623074944987</v>
      </c>
      <c r="AI54" s="349"/>
      <c r="AJ54" s="349" cm="1">
        <f t="array" ref="AJ54">IF($A54="","",IFERROR(MATCH($A54,TRIM('Sales and count'!$A$4:$A$300&amp;""),0),""))</f>
        <v>66</v>
      </c>
      <c r="AK54" s="350" cm="1">
        <f t="array" ref="AK54">IF(OR($A54="",AK$6=""),"",IFERROR(INDEX(Footfall!$C$5:$BZ$301,MATCH($A54,TRIM(Footfall!$B$5:$B$301&amp;""),0),AK$5),0))</f>
        <v>4882</v>
      </c>
      <c r="AL54" s="350" cm="1">
        <f t="array" ref="AL54">IF(OR($A54="",AL$6=""),"",IFERROR(INDEX(Footfall!$C$5:$BZ$301,MATCH($A54,TRIM(Footfall!$B$5:$B$301&amp;""),0),AL$5),0))</f>
        <v>163</v>
      </c>
      <c r="AM54" s="350" cm="1">
        <f t="array" ref="AM54">IF(OR($A54="",AM$6=""),"",IFERROR(INDEX(Footfall!$C$5:$BZ$301,MATCH($A54,TRIM(Footfall!$B$5:$B$301&amp;""),0),AM$5),0))</f>
        <v>172</v>
      </c>
      <c r="AN54" s="350" cm="1">
        <f t="array" ref="AN54">IF(OR($A54="",AN$6=""),"",IFERROR(INDEX(Footfall!$C$5:$BZ$301,MATCH($A54,TRIM(Footfall!$B$5:$B$301&amp;""),0),AN$5),0))</f>
        <v>187</v>
      </c>
      <c r="AO54" s="350" cm="1">
        <f t="array" ref="AO54">IF(OR($A54="",AO$6=""),"",IFERROR(INDEX(Footfall!$C$5:$BZ$301,MATCH($A54,TRIM(Footfall!$B$5:$B$301&amp;""),0),AO$5),0))</f>
        <v>191</v>
      </c>
      <c r="AP54" s="350" cm="1">
        <f t="array" ref="AP54">IF(OR($A54="",AP$6=""),"",IFERROR(INDEX(Footfall!$C$5:$BZ$301,MATCH($A54,TRIM(Footfall!$B$5:$B$301&amp;""),0),AP$5),0))</f>
        <v>289</v>
      </c>
      <c r="AQ54" s="350" cm="1">
        <f t="array" ref="AQ54">IF(OR($A54="",AQ$6=""),"",IFERROR(INDEX(Footfall!$C$5:$BZ$301,MATCH($A54,TRIM(Footfall!$B$5:$B$301&amp;""),0),AQ$5),0))</f>
        <v>268</v>
      </c>
      <c r="AR54" s="350" cm="1">
        <f t="array" ref="AR54">IF(OR($A54="",AR$6=""),"",IFERROR(INDEX(Footfall!$C$5:$BZ$301,MATCH($A54,TRIM(Footfall!$B$5:$B$301&amp;""),0),AR$5),0))</f>
        <v>220</v>
      </c>
      <c r="AS54" s="350" cm="1">
        <f t="array" ref="AS54">IF(OR($A54="",AS$6=""),"",IFERROR(INDEX(Footfall!$C$5:$BZ$301,MATCH($A54,TRIM(Footfall!$B$5:$B$301&amp;""),0),AS$5),0))</f>
        <v>186</v>
      </c>
      <c r="AT54" s="350" t="str" cm="1">
        <f t="array" ref="AT54">IF(OR($A54="",AT$6=""),"",IFERROR(INDEX(Footfall!$C$5:$BZ$301,MATCH($A54,TRIM(Footfall!$B$5:$B$301&amp;""),0),AT$5),0))</f>
        <v/>
      </c>
      <c r="AU54" s="350" t="str" cm="1">
        <f t="array" ref="AU54">IF(OR($A54="",AU$6=""),"",IFERROR(INDEX(Footfall!$C$5:$BZ$301,MATCH($A54,TRIM(Footfall!$B$5:$B$301&amp;""),0),AU$5),0))</f>
        <v/>
      </c>
      <c r="AV54" s="350" t="str" cm="1">
        <f t="array" ref="AV54">IF(OR($A54="",AV$6=""),"",IFERROR(INDEX(Footfall!$C$5:$BZ$301,MATCH($A54,TRIM(Footfall!$B$5:$B$301&amp;""),0),AV$5),0))</f>
        <v/>
      </c>
      <c r="AW54" s="350" t="str" cm="1">
        <f t="array" ref="AW54">IF(OR($A54="",AW$6=""),"",IFERROR(INDEX(Footfall!$C$5:$BZ$301,MATCH($A54,TRIM(Footfall!$B$5:$B$301&amp;""),0),AW$5),0))</f>
        <v/>
      </c>
      <c r="AX54" s="350" t="str" cm="1">
        <f t="array" ref="AX54">IF(OR($A54="",AX$6=""),"",IFERROR(INDEX(Footfall!$C$5:$BZ$301,MATCH($A54,TRIM(Footfall!$B$5:$B$301&amp;""),0),AX$5),0))</f>
        <v/>
      </c>
      <c r="AY54" s="350" cm="1">
        <f t="array" aca="1" ref="AY54" ca="1">IF(AK54="","",IF($AJ54="",0,_xlfn.LET(_xlpm.d,IFERROR(--'Sales and count'!$F$2:$CB$2,0),SUMPRODUCT(('Sales and count'!$G$3:$CC$3="Transactions")*(_xlpm.d&gt;=AY$6)*(_xlpm.d&lt;=AY$7),INDEX('Sales and count'!$G$4:$CC$300,$AJ54,0)))))</f>
        <v>1129</v>
      </c>
      <c r="AZ54" s="350" cm="1">
        <f t="array" aca="1" ref="AZ54" ca="1">IF(AL54="","",IF($AJ54="",0,_xlfn.LET(_xlpm.d,IFERROR(--'Sales and count'!$F$2:$CB$2,0),SUMPRODUCT(('Sales and count'!$G$3:$CC$3="Transactions")*(_xlpm.d&gt;=AZ$6)*(_xlpm.d&lt;=AZ$7),INDEX('Sales and count'!$G$4:$CC$300,$AJ54,0)))))</f>
        <v>35</v>
      </c>
      <c r="BA54" s="350" cm="1">
        <f t="array" aca="1" ref="BA54" ca="1">IF(AM54="","",IF($AJ54="",0,_xlfn.LET(_xlpm.d,IFERROR(--'Sales and count'!$F$2:$CB$2,0),SUMPRODUCT(('Sales and count'!$G$3:$CC$3="Transactions")*(_xlpm.d&gt;=BA$6)*(_xlpm.d&lt;=BA$7),INDEX('Sales and count'!$G$4:$CC$300,$AJ54,0)))))</f>
        <v>39</v>
      </c>
      <c r="BB54" s="350" cm="1">
        <f t="array" aca="1" ref="BB54" ca="1">IF(AN54="","",IF($AJ54="",0,_xlfn.LET(_xlpm.d,IFERROR(--'Sales and count'!$F$2:$CB$2,0),SUMPRODUCT(('Sales and count'!$G$3:$CC$3="Transactions")*(_xlpm.d&gt;=BB$6)*(_xlpm.d&lt;=BB$7),INDEX('Sales and count'!$G$4:$CC$300,$AJ54,0)))))</f>
        <v>28</v>
      </c>
      <c r="BC54" s="350" cm="1">
        <f t="array" aca="1" ref="BC54" ca="1">IF(AO54="","",IF($AJ54="",0,_xlfn.LET(_xlpm.d,IFERROR(--'Sales and count'!$F$2:$CB$2,0),SUMPRODUCT(('Sales and count'!$G$3:$CC$3="Transactions")*(_xlpm.d&gt;=BC$6)*(_xlpm.d&lt;=BC$7),INDEX('Sales and count'!$G$4:$CC$300,$AJ54,0)))))</f>
        <v>45</v>
      </c>
      <c r="BD54" s="350" cm="1">
        <f t="array" aca="1" ref="BD54" ca="1">IF(AP54="","",IF($AJ54="",0,_xlfn.LET(_xlpm.d,IFERROR(--'Sales and count'!$F$2:$CB$2,0),SUMPRODUCT(('Sales and count'!$G$3:$CC$3="Transactions")*(_xlpm.d&gt;=BD$6)*(_xlpm.d&lt;=BD$7),INDEX('Sales and count'!$G$4:$CC$300,$AJ54,0)))))</f>
        <v>54</v>
      </c>
      <c r="BE54" s="350" cm="1">
        <f t="array" aca="1" ref="BE54" ca="1">IF(AQ54="","",IF($AJ54="",0,_xlfn.LET(_xlpm.d,IFERROR(--'Sales and count'!$F$2:$CB$2,0),SUMPRODUCT(('Sales and count'!$G$3:$CC$3="Transactions")*(_xlpm.d&gt;=BE$6)*(_xlpm.d&lt;=BE$7),INDEX('Sales and count'!$G$4:$CC$300,$AJ54,0)))))</f>
        <v>68</v>
      </c>
      <c r="BF54" s="350" cm="1">
        <f t="array" aca="1" ref="BF54" ca="1">IF(AR54="","",IF($AJ54="",0,_xlfn.LET(_xlpm.d,IFERROR(--'Sales and count'!$F$2:$CB$2,0),SUMPRODUCT(('Sales and count'!$G$3:$CC$3="Transactions")*(_xlpm.d&gt;=BF$6)*(_xlpm.d&lt;=BF$7),INDEX('Sales and count'!$G$4:$CC$300,$AJ54,0)))))</f>
        <v>43</v>
      </c>
      <c r="BG54" s="350" cm="1">
        <f t="array" aca="1" ref="BG54" ca="1">IF(AS54="","",IF($AJ54="",0,_xlfn.LET(_xlpm.d,IFERROR(--'Sales and count'!$F$2:$CB$2,0),SUMPRODUCT(('Sales and count'!$G$3:$CC$3="Transactions")*(_xlpm.d&gt;=BG$6)*(_xlpm.d&lt;=BG$7),INDEX('Sales and count'!$G$4:$CC$300,$AJ54,0)))))</f>
        <v>31</v>
      </c>
      <c r="BH54" s="350" t="str" cm="1">
        <f t="array" ref="BH54">IF(AT54="","",IF($AJ54="",0,_xlfn.LET(_xlpm.d,IFERROR(--'Sales and count'!$F$2:$CB$2,0),SUMPRODUCT(('Sales and count'!$G$3:$CC$3="Transactions")*(_xlpm.d&gt;=BH$6)*(_xlpm.d&lt;=BH$7),INDEX('Sales and count'!$G$4:$CC$300,$AJ54,0)))))</f>
        <v/>
      </c>
      <c r="BI54" s="350" t="str" cm="1">
        <f t="array" ref="BI54">IF(AU54="","",IF($AJ54="",0,_xlfn.LET(_xlpm.d,IFERROR(--'Sales and count'!$F$2:$CB$2,0),SUMPRODUCT(('Sales and count'!$G$3:$CC$3="Transactions")*(_xlpm.d&gt;=BI$6)*(_xlpm.d&lt;=BI$7),INDEX('Sales and count'!$G$4:$CC$300,$AJ54,0)))))</f>
        <v/>
      </c>
      <c r="BJ54" s="350" t="str" cm="1">
        <f t="array" ref="BJ54">IF(AV54="","",IF($AJ54="",0,_xlfn.LET(_xlpm.d,IFERROR(--'Sales and count'!$F$2:$CB$2,0),SUMPRODUCT(('Sales and count'!$G$3:$CC$3="Transactions")*(_xlpm.d&gt;=BJ$6)*(_xlpm.d&lt;=BJ$7),INDEX('Sales and count'!$G$4:$CC$300,$AJ54,0)))))</f>
        <v/>
      </c>
      <c r="BK54" s="350" t="str" cm="1">
        <f t="array" ref="BK54">IF(AW54="","",IF($AJ54="",0,_xlfn.LET(_xlpm.d,IFERROR(--'Sales and count'!$F$2:$CB$2,0),SUMPRODUCT(('Sales and count'!$G$3:$CC$3="Transactions")*(_xlpm.d&gt;=BK$6)*(_xlpm.d&lt;=BK$7),INDEX('Sales and count'!$G$4:$CC$300,$AJ54,0)))))</f>
        <v/>
      </c>
      <c r="BL54" s="350" t="str" cm="1">
        <f t="array" ref="BL54">IF(AX54="","",IF($AJ54="",0,_xlfn.LET(_xlpm.d,IFERROR(--'Sales and count'!$F$2:$CB$2,0),SUMPRODUCT(('Sales and count'!$G$3:$CC$3="Transactions")*(_xlpm.d&gt;=BL$6)*(_xlpm.d&lt;=BL$7),INDEX('Sales and count'!$G$4:$CC$300,$AJ54,0)))))</f>
        <v/>
      </c>
      <c r="BM54" s="350" cm="1">
        <f t="array" ref="BM54">IF(AK54="","",IF($AJ54="",0,_xlfn.LET(_xlpm.d,IFERROR(--'Sales and count'!$G$2:$CC$2,0),SUMPRODUCT(('Sales and count'!$G$3:$CC$3="Total")*(_xlpm.d&gt;=BM$6)*(_xlpm.d&lt;=BM$7),INDEX('Sales and count'!$G$4:$CC$300,$AJ54,0)))))</f>
        <v>194538.21999999997</v>
      </c>
      <c r="BN54" s="350" cm="1">
        <f t="array" ref="BN54">IF(AL54="","",IF($AJ54="",0,_xlfn.LET(_xlpm.d,IFERROR(--'Sales and count'!$G$2:$CC$2,0),SUMPRODUCT(('Sales and count'!$G$3:$CC$3="Total")*(_xlpm.d&gt;=BN$6)*(_xlpm.d&lt;=BN$7),INDEX('Sales and count'!$G$4:$CC$300,$AJ54,0)))))</f>
        <v>4954.09</v>
      </c>
      <c r="BO54" s="350" cm="1">
        <f t="array" ref="BO54">IF(AM54="","",IF($AJ54="",0,_xlfn.LET(_xlpm.d,IFERROR(--'Sales and count'!$G$2:$CC$2,0),SUMPRODUCT(('Sales and count'!$G$3:$CC$3="Total")*(_xlpm.d&gt;=BO$6)*(_xlpm.d&lt;=BO$7),INDEX('Sales and count'!$G$4:$CC$300,$AJ54,0)))))</f>
        <v>5755.08</v>
      </c>
      <c r="BP54" s="350" cm="1">
        <f t="array" ref="BP54">IF(AN54="","",IF($AJ54="",0,_xlfn.LET(_xlpm.d,IFERROR(--'Sales and count'!$G$2:$CC$2,0),SUMPRODUCT(('Sales and count'!$G$3:$CC$3="Total")*(_xlpm.d&gt;=BP$6)*(_xlpm.d&lt;=BP$7),INDEX('Sales and count'!$G$4:$CC$300,$AJ54,0)))))</f>
        <v>5378.16</v>
      </c>
      <c r="BQ54" s="350" cm="1">
        <f t="array" ref="BQ54">IF(AO54="","",IF($AJ54="",0,_xlfn.LET(_xlpm.d,IFERROR(--'Sales and count'!$G$2:$CC$2,0),SUMPRODUCT(('Sales and count'!$G$3:$CC$3="Total")*(_xlpm.d&gt;=BQ$6)*(_xlpm.d&lt;=BQ$7),INDEX('Sales and count'!$G$4:$CC$300,$AJ54,0)))))</f>
        <v>8416.6</v>
      </c>
      <c r="BR54" s="350" cm="1">
        <f t="array" ref="BR54">IF(AP54="","",IF($AJ54="",0,_xlfn.LET(_xlpm.d,IFERROR(--'Sales and count'!$G$2:$CC$2,0),SUMPRODUCT(('Sales and count'!$G$3:$CC$3="Total")*(_xlpm.d&gt;=BR$6)*(_xlpm.d&lt;=BR$7),INDEX('Sales and count'!$G$4:$CC$300,$AJ54,0)))))</f>
        <v>13497.13</v>
      </c>
      <c r="BS54" s="350" cm="1">
        <f t="array" ref="BS54">IF(AQ54="","",IF($AJ54="",0,_xlfn.LET(_xlpm.d,IFERROR(--'Sales and count'!$G$2:$CC$2,0),SUMPRODUCT(('Sales and count'!$G$3:$CC$3="Total")*(_xlpm.d&gt;=BS$6)*(_xlpm.d&lt;=BS$7),INDEX('Sales and count'!$G$4:$CC$300,$AJ54,0)))))</f>
        <v>15482.04</v>
      </c>
      <c r="BT54" s="350" cm="1">
        <f t="array" ref="BT54">IF(AR54="","",IF($AJ54="",0,_xlfn.LET(_xlpm.d,IFERROR(--'Sales and count'!$G$2:$CC$2,0),SUMPRODUCT(('Sales and count'!$G$3:$CC$3="Total")*(_xlpm.d&gt;=BT$6)*(_xlpm.d&lt;=BT$7),INDEX('Sales and count'!$G$4:$CC$300,$AJ54,0)))))</f>
        <v>9333.6299999999992</v>
      </c>
      <c r="BU54" s="350" cm="1">
        <f t="array" ref="BU54">IF(AS54="","",IF($AJ54="",0,_xlfn.LET(_xlpm.d,IFERROR(--'Sales and count'!$G$2:$CC$2,0),SUMPRODUCT(('Sales and count'!$G$3:$CC$3="Total")*(_xlpm.d&gt;=BU$6)*(_xlpm.d&lt;=BU$7),INDEX('Sales and count'!$G$4:$CC$300,$AJ54,0)))))</f>
        <v>4710.22</v>
      </c>
      <c r="BV54" s="350" t="str" cm="1">
        <f t="array" ref="BV54">IF(AT54="","",IF($AJ54="",0,_xlfn.LET(_xlpm.d,IFERROR(--'Sales and count'!$G$2:$CC$2,0),SUMPRODUCT(('Sales and count'!$G$3:$CC$3="Total")*(_xlpm.d&gt;=BV$6)*(_xlpm.d&lt;=BV$7),INDEX('Sales and count'!$G$4:$CC$300,$AJ54,0)))))</f>
        <v/>
      </c>
      <c r="BW54" s="350" t="str" cm="1">
        <f t="array" ref="BW54">IF(AU54="","",IF($AJ54="",0,_xlfn.LET(_xlpm.d,IFERROR(--'Sales and count'!$G$2:$CC$2,0),SUMPRODUCT(('Sales and count'!$G$3:$CC$3="Total")*(_xlpm.d&gt;=BW$6)*(_xlpm.d&lt;=BW$7),INDEX('Sales and count'!$G$4:$CC$300,$AJ54,0)))))</f>
        <v/>
      </c>
      <c r="BX54" s="350" t="str" cm="1">
        <f t="array" ref="BX54">IF(AV54="","",IF($AJ54="",0,_xlfn.LET(_xlpm.d,IFERROR(--'Sales and count'!$G$2:$CC$2,0),SUMPRODUCT(('Sales and count'!$G$3:$CC$3="Total")*(_xlpm.d&gt;=BX$6)*(_xlpm.d&lt;=BX$7),INDEX('Sales and count'!$G$4:$CC$300,$AJ54,0)))))</f>
        <v/>
      </c>
      <c r="BY54" s="350" t="str" cm="1">
        <f t="array" ref="BY54">IF(AW54="","",IF($AJ54="",0,_xlfn.LET(_xlpm.d,IFERROR(--'Sales and count'!$G$2:$CC$2,0),SUMPRODUCT(('Sales and count'!$G$3:$CC$3="Total")*(_xlpm.d&gt;=BY$6)*(_xlpm.d&lt;=BY$7),INDEX('Sales and count'!$G$4:$CC$300,$AJ54,0)))))</f>
        <v/>
      </c>
      <c r="BZ54" s="350" t="str" cm="1">
        <f t="array" ref="BZ54">IF(AX54="","",IF($AJ54="",0,_xlfn.LET(_xlpm.d,IFERROR(--'Sales and count'!$G$2:$CC$2,0),SUMPRODUCT(('Sales and count'!$G$3:$CC$3="Total")*(_xlpm.d&gt;=BZ$6)*(_xlpm.d&lt;=BZ$7),INDEX('Sales and count'!$G$4:$CC$300,$AJ54,0)))))</f>
        <v/>
      </c>
    </row>
    <row r="55" spans="1:78" x14ac:dyDescent="0.25">
      <c r="A55" s="356" t="str">
        <v>HAHAILZONE</v>
      </c>
      <c r="B55" s="356" t="str" cm="1">
        <f t="array" ref="B55">IF($A55="","",_xlfn.XLOOKUP($A55,TRIM(Footfall!$B$5:$B$301&amp;""),Footfall!$A$5:$A$301,""))</f>
        <v>Hail Zone</v>
      </c>
      <c r="C55" s="356" t="str" cm="1">
        <f t="array" ref="C55">IF($A55="","",_xlfn.XLOOKUP($A55,TRIM('Sales and count'!$A$4:$A$300&amp;""),'Sales and count'!$C$4:$C$300,"Not set"))</f>
        <v>Hail</v>
      </c>
      <c r="D55" s="357">
        <f t="shared" ca="1" si="53"/>
        <v>0.12222746578574799</v>
      </c>
      <c r="E55" s="357">
        <f t="shared" ca="1" si="54"/>
        <v>0.19130434782608696</v>
      </c>
      <c r="F55" s="357">
        <f t="shared" ca="1" si="55"/>
        <v>0.11016949152542373</v>
      </c>
      <c r="G55" s="357">
        <f t="shared" ca="1" si="56"/>
        <v>8.2758620689655171E-2</v>
      </c>
      <c r="H55" s="357">
        <f t="shared" ca="1" si="57"/>
        <v>7.5999999999999998E-2</v>
      </c>
      <c r="I55" s="357">
        <f t="shared" ca="1" si="58"/>
        <v>9.2307692307692313E-2</v>
      </c>
      <c r="J55" s="357">
        <f t="shared" ca="1" si="59"/>
        <v>8.6124401913875603E-2</v>
      </c>
      <c r="K55" s="357">
        <f t="shared" ca="1" si="60"/>
        <v>0.12105263157894737</v>
      </c>
      <c r="L55" s="357">
        <f t="shared" ca="1" si="61"/>
        <v>8.3916083916083919E-2</v>
      </c>
      <c r="M55" s="357" t="str">
        <f t="shared" si="62"/>
        <v/>
      </c>
      <c r="N55" s="357" t="str">
        <f t="shared" si="63"/>
        <v/>
      </c>
      <c r="O55" s="357" t="str">
        <f t="shared" si="64"/>
        <v/>
      </c>
      <c r="P55" s="357" t="str">
        <f t="shared" si="65"/>
        <v/>
      </c>
      <c r="Q55" s="357" t="str">
        <f t="shared" si="66"/>
        <v/>
      </c>
      <c r="R55" s="358" cm="1">
        <f t="array" aca="1" ref="R55" ca="1">IF(OR($A55="",D55=""),"",IFERROR(LOOKUP(2,1/(E55:Q55&lt;&gt;""),E55:Q55)-D55,""))</f>
        <v>-3.8311381869664068E-2</v>
      </c>
      <c r="S55" s="349"/>
      <c r="T55" s="362">
        <f t="shared" ca="1" si="67"/>
        <v>138.88256756756758</v>
      </c>
      <c r="U55" s="362">
        <f t="shared" ca="1" si="68"/>
        <v>157.63863636363638</v>
      </c>
      <c r="V55" s="362">
        <f t="shared" ca="1" si="69"/>
        <v>271.69153846153847</v>
      </c>
      <c r="W55" s="362">
        <f t="shared" ca="1" si="70"/>
        <v>149.58416666666668</v>
      </c>
      <c r="X55" s="362">
        <f t="shared" ca="1" si="71"/>
        <v>217.83</v>
      </c>
      <c r="Y55" s="362">
        <f t="shared" ca="1" si="72"/>
        <v>180.49458333333334</v>
      </c>
      <c r="Z55" s="362">
        <f t="shared" ca="1" si="73"/>
        <v>193.49555555555557</v>
      </c>
      <c r="AA55" s="362">
        <f t="shared" ca="1" si="74"/>
        <v>242.5204347826087</v>
      </c>
      <c r="AB55" s="362">
        <f t="shared" ca="1" si="75"/>
        <v>163.09</v>
      </c>
      <c r="AC55" s="362" t="str">
        <f t="shared" si="76"/>
        <v/>
      </c>
      <c r="AD55" s="362" t="str">
        <f t="shared" si="77"/>
        <v/>
      </c>
      <c r="AE55" s="362" t="str">
        <f t="shared" si="78"/>
        <v/>
      </c>
      <c r="AF55" s="362" t="str">
        <f t="shared" si="79"/>
        <v/>
      </c>
      <c r="AG55" s="362" t="str">
        <f t="shared" si="80"/>
        <v/>
      </c>
      <c r="AH55" s="363" cm="1">
        <f t="array" aca="1" ref="AH55" ca="1">IF(OR($A55="",T55=""),"",IFERROR(LOOKUP(2,1/(U55:AG55&lt;&gt;""),U55:AG55)-T55,""))</f>
        <v>24.207432432432427</v>
      </c>
      <c r="AI55" s="349"/>
      <c r="AJ55" s="349" cm="1">
        <f t="array" ref="AJ55">IF($A55="","",IFERROR(MATCH($A55,TRIM('Sales and count'!$A$4:$A$300&amp;""),0),""))</f>
        <v>56</v>
      </c>
      <c r="AK55" s="350" cm="1">
        <f t="array" ref="AK55">IF(OR($A55="",AK$6=""),"",IFERROR(INDEX(Footfall!$C$5:$BZ$301,MATCH($A55,TRIM(Footfall!$B$5:$B$301&amp;""),0),AK$5),0))</f>
        <v>4238</v>
      </c>
      <c r="AL55" s="350" cm="1">
        <f t="array" ref="AL55">IF(OR($A55="",AL$6=""),"",IFERROR(INDEX(Footfall!$C$5:$BZ$301,MATCH($A55,TRIM(Footfall!$B$5:$B$301&amp;""),0),AL$5),0))</f>
        <v>115</v>
      </c>
      <c r="AM55" s="350" cm="1">
        <f t="array" ref="AM55">IF(OR($A55="",AM$6=""),"",IFERROR(INDEX(Footfall!$C$5:$BZ$301,MATCH($A55,TRIM(Footfall!$B$5:$B$301&amp;""),0),AM$5),0))</f>
        <v>118</v>
      </c>
      <c r="AN55" s="350" cm="1">
        <f t="array" ref="AN55">IF(OR($A55="",AN$6=""),"",IFERROR(INDEX(Footfall!$C$5:$BZ$301,MATCH($A55,TRIM(Footfall!$B$5:$B$301&amp;""),0),AN$5),0))</f>
        <v>145</v>
      </c>
      <c r="AO55" s="350" cm="1">
        <f t="array" ref="AO55">IF(OR($A55="",AO$6=""),"",IFERROR(INDEX(Footfall!$C$5:$BZ$301,MATCH($A55,TRIM(Footfall!$B$5:$B$301&amp;""),0),AO$5),0))</f>
        <v>250</v>
      </c>
      <c r="AP55" s="350" cm="1">
        <f t="array" ref="AP55">IF(OR($A55="",AP$6=""),"",IFERROR(INDEX(Footfall!$C$5:$BZ$301,MATCH($A55,TRIM(Footfall!$B$5:$B$301&amp;""),0),AP$5),0))</f>
        <v>260</v>
      </c>
      <c r="AQ55" s="350" cm="1">
        <f t="array" ref="AQ55">IF(OR($A55="",AQ$6=""),"",IFERROR(INDEX(Footfall!$C$5:$BZ$301,MATCH($A55,TRIM(Footfall!$B$5:$B$301&amp;""),0),AQ$5),0))</f>
        <v>209</v>
      </c>
      <c r="AR55" s="350" cm="1">
        <f t="array" ref="AR55">IF(OR($A55="",AR$6=""),"",IFERROR(INDEX(Footfall!$C$5:$BZ$301,MATCH($A55,TRIM(Footfall!$B$5:$B$301&amp;""),0),AR$5),0))</f>
        <v>190</v>
      </c>
      <c r="AS55" s="350" cm="1">
        <f t="array" ref="AS55">IF(OR($A55="",AS$6=""),"",IFERROR(INDEX(Footfall!$C$5:$BZ$301,MATCH($A55,TRIM(Footfall!$B$5:$B$301&amp;""),0),AS$5),0))</f>
        <v>143</v>
      </c>
      <c r="AT55" s="350" t="str" cm="1">
        <f t="array" ref="AT55">IF(OR($A55="",AT$6=""),"",IFERROR(INDEX(Footfall!$C$5:$BZ$301,MATCH($A55,TRIM(Footfall!$B$5:$B$301&amp;""),0),AT$5),0))</f>
        <v/>
      </c>
      <c r="AU55" s="350" t="str" cm="1">
        <f t="array" ref="AU55">IF(OR($A55="",AU$6=""),"",IFERROR(INDEX(Footfall!$C$5:$BZ$301,MATCH($A55,TRIM(Footfall!$B$5:$B$301&amp;""),0),AU$5),0))</f>
        <v/>
      </c>
      <c r="AV55" s="350" t="str" cm="1">
        <f t="array" ref="AV55">IF(OR($A55="",AV$6=""),"",IFERROR(INDEX(Footfall!$C$5:$BZ$301,MATCH($A55,TRIM(Footfall!$B$5:$B$301&amp;""),0),AV$5),0))</f>
        <v/>
      </c>
      <c r="AW55" s="350" t="str" cm="1">
        <f t="array" ref="AW55">IF(OR($A55="",AW$6=""),"",IFERROR(INDEX(Footfall!$C$5:$BZ$301,MATCH($A55,TRIM(Footfall!$B$5:$B$301&amp;""),0),AW$5),0))</f>
        <v/>
      </c>
      <c r="AX55" s="350" t="str" cm="1">
        <f t="array" ref="AX55">IF(OR($A55="",AX$6=""),"",IFERROR(INDEX(Footfall!$C$5:$BZ$301,MATCH($A55,TRIM(Footfall!$B$5:$B$301&amp;""),0),AX$5),0))</f>
        <v/>
      </c>
      <c r="AY55" s="350" cm="1">
        <f t="array" aca="1" ref="AY55" ca="1">IF(AK55="","",IF($AJ55="",0,_xlfn.LET(_xlpm.d,IFERROR(--'Sales and count'!$F$2:$CB$2,0),SUMPRODUCT(('Sales and count'!$G$3:$CC$3="Transactions")*(_xlpm.d&gt;=AY$6)*(_xlpm.d&lt;=AY$7),INDEX('Sales and count'!$G$4:$CC$300,$AJ55,0)))))</f>
        <v>518</v>
      </c>
      <c r="AZ55" s="350" cm="1">
        <f t="array" aca="1" ref="AZ55" ca="1">IF(AL55="","",IF($AJ55="",0,_xlfn.LET(_xlpm.d,IFERROR(--'Sales and count'!$F$2:$CB$2,0),SUMPRODUCT(('Sales and count'!$G$3:$CC$3="Transactions")*(_xlpm.d&gt;=AZ$6)*(_xlpm.d&lt;=AZ$7),INDEX('Sales and count'!$G$4:$CC$300,$AJ55,0)))))</f>
        <v>22</v>
      </c>
      <c r="BA55" s="350" cm="1">
        <f t="array" aca="1" ref="BA55" ca="1">IF(AM55="","",IF($AJ55="",0,_xlfn.LET(_xlpm.d,IFERROR(--'Sales and count'!$F$2:$CB$2,0),SUMPRODUCT(('Sales and count'!$G$3:$CC$3="Transactions")*(_xlpm.d&gt;=BA$6)*(_xlpm.d&lt;=BA$7),INDEX('Sales and count'!$G$4:$CC$300,$AJ55,0)))))</f>
        <v>13</v>
      </c>
      <c r="BB55" s="350" cm="1">
        <f t="array" aca="1" ref="BB55" ca="1">IF(AN55="","",IF($AJ55="",0,_xlfn.LET(_xlpm.d,IFERROR(--'Sales and count'!$F$2:$CB$2,0),SUMPRODUCT(('Sales and count'!$G$3:$CC$3="Transactions")*(_xlpm.d&gt;=BB$6)*(_xlpm.d&lt;=BB$7),INDEX('Sales and count'!$G$4:$CC$300,$AJ55,0)))))</f>
        <v>12</v>
      </c>
      <c r="BC55" s="350" cm="1">
        <f t="array" aca="1" ref="BC55" ca="1">IF(AO55="","",IF($AJ55="",0,_xlfn.LET(_xlpm.d,IFERROR(--'Sales and count'!$F$2:$CB$2,0),SUMPRODUCT(('Sales and count'!$G$3:$CC$3="Transactions")*(_xlpm.d&gt;=BC$6)*(_xlpm.d&lt;=BC$7),INDEX('Sales and count'!$G$4:$CC$300,$AJ55,0)))))</f>
        <v>19</v>
      </c>
      <c r="BD55" s="350" cm="1">
        <f t="array" aca="1" ref="BD55" ca="1">IF(AP55="","",IF($AJ55="",0,_xlfn.LET(_xlpm.d,IFERROR(--'Sales and count'!$F$2:$CB$2,0),SUMPRODUCT(('Sales and count'!$G$3:$CC$3="Transactions")*(_xlpm.d&gt;=BD$6)*(_xlpm.d&lt;=BD$7),INDEX('Sales and count'!$G$4:$CC$300,$AJ55,0)))))</f>
        <v>24</v>
      </c>
      <c r="BE55" s="350" cm="1">
        <f t="array" aca="1" ref="BE55" ca="1">IF(AQ55="","",IF($AJ55="",0,_xlfn.LET(_xlpm.d,IFERROR(--'Sales and count'!$F$2:$CB$2,0),SUMPRODUCT(('Sales and count'!$G$3:$CC$3="Transactions")*(_xlpm.d&gt;=BE$6)*(_xlpm.d&lt;=BE$7),INDEX('Sales and count'!$G$4:$CC$300,$AJ55,0)))))</f>
        <v>18</v>
      </c>
      <c r="BF55" s="350" cm="1">
        <f t="array" aca="1" ref="BF55" ca="1">IF(AR55="","",IF($AJ55="",0,_xlfn.LET(_xlpm.d,IFERROR(--'Sales and count'!$F$2:$CB$2,0),SUMPRODUCT(('Sales and count'!$G$3:$CC$3="Transactions")*(_xlpm.d&gt;=BF$6)*(_xlpm.d&lt;=BF$7),INDEX('Sales and count'!$G$4:$CC$300,$AJ55,0)))))</f>
        <v>23</v>
      </c>
      <c r="BG55" s="350" cm="1">
        <f t="array" aca="1" ref="BG55" ca="1">IF(AS55="","",IF($AJ55="",0,_xlfn.LET(_xlpm.d,IFERROR(--'Sales and count'!$F$2:$CB$2,0),SUMPRODUCT(('Sales and count'!$G$3:$CC$3="Transactions")*(_xlpm.d&gt;=BG$6)*(_xlpm.d&lt;=BG$7),INDEX('Sales and count'!$G$4:$CC$300,$AJ55,0)))))</f>
        <v>12</v>
      </c>
      <c r="BH55" s="350" t="str" cm="1">
        <f t="array" ref="BH55">IF(AT55="","",IF($AJ55="",0,_xlfn.LET(_xlpm.d,IFERROR(--'Sales and count'!$F$2:$CB$2,0),SUMPRODUCT(('Sales and count'!$G$3:$CC$3="Transactions")*(_xlpm.d&gt;=BH$6)*(_xlpm.d&lt;=BH$7),INDEX('Sales and count'!$G$4:$CC$300,$AJ55,0)))))</f>
        <v/>
      </c>
      <c r="BI55" s="350" t="str" cm="1">
        <f t="array" ref="BI55">IF(AU55="","",IF($AJ55="",0,_xlfn.LET(_xlpm.d,IFERROR(--'Sales and count'!$F$2:$CB$2,0),SUMPRODUCT(('Sales and count'!$G$3:$CC$3="Transactions")*(_xlpm.d&gt;=BI$6)*(_xlpm.d&lt;=BI$7),INDEX('Sales and count'!$G$4:$CC$300,$AJ55,0)))))</f>
        <v/>
      </c>
      <c r="BJ55" s="350" t="str" cm="1">
        <f t="array" ref="BJ55">IF(AV55="","",IF($AJ55="",0,_xlfn.LET(_xlpm.d,IFERROR(--'Sales and count'!$F$2:$CB$2,0),SUMPRODUCT(('Sales and count'!$G$3:$CC$3="Transactions")*(_xlpm.d&gt;=BJ$6)*(_xlpm.d&lt;=BJ$7),INDEX('Sales and count'!$G$4:$CC$300,$AJ55,0)))))</f>
        <v/>
      </c>
      <c r="BK55" s="350" t="str" cm="1">
        <f t="array" ref="BK55">IF(AW55="","",IF($AJ55="",0,_xlfn.LET(_xlpm.d,IFERROR(--'Sales and count'!$F$2:$CB$2,0),SUMPRODUCT(('Sales and count'!$G$3:$CC$3="Transactions")*(_xlpm.d&gt;=BK$6)*(_xlpm.d&lt;=BK$7),INDEX('Sales and count'!$G$4:$CC$300,$AJ55,0)))))</f>
        <v/>
      </c>
      <c r="BL55" s="350" t="str" cm="1">
        <f t="array" ref="BL55">IF(AX55="","",IF($AJ55="",0,_xlfn.LET(_xlpm.d,IFERROR(--'Sales and count'!$F$2:$CB$2,0),SUMPRODUCT(('Sales and count'!$G$3:$CC$3="Transactions")*(_xlpm.d&gt;=BL$6)*(_xlpm.d&lt;=BL$7),INDEX('Sales and count'!$G$4:$CC$300,$AJ55,0)))))</f>
        <v/>
      </c>
      <c r="BM55" s="350" cm="1">
        <f t="array" ref="BM55">IF(AK55="","",IF($AJ55="",0,_xlfn.LET(_xlpm.d,IFERROR(--'Sales and count'!$G$2:$CC$2,0),SUMPRODUCT(('Sales and count'!$G$3:$CC$3="Total")*(_xlpm.d&gt;=BM$6)*(_xlpm.d&lt;=BM$7),INDEX('Sales and count'!$G$4:$CC$300,$AJ55,0)))))</f>
        <v>71941.17</v>
      </c>
      <c r="BN55" s="350" cm="1">
        <f t="array" ref="BN55">IF(AL55="","",IF($AJ55="",0,_xlfn.LET(_xlpm.d,IFERROR(--'Sales and count'!$G$2:$CC$2,0),SUMPRODUCT(('Sales and count'!$G$3:$CC$3="Total")*(_xlpm.d&gt;=BN$6)*(_xlpm.d&lt;=BN$7),INDEX('Sales and count'!$G$4:$CC$300,$AJ55,0)))))</f>
        <v>3468.05</v>
      </c>
      <c r="BO55" s="350" cm="1">
        <f t="array" ref="BO55">IF(AM55="","",IF($AJ55="",0,_xlfn.LET(_xlpm.d,IFERROR(--'Sales and count'!$G$2:$CC$2,0),SUMPRODUCT(('Sales and count'!$G$3:$CC$3="Total")*(_xlpm.d&gt;=BO$6)*(_xlpm.d&lt;=BO$7),INDEX('Sales and count'!$G$4:$CC$300,$AJ55,0)))))</f>
        <v>3531.99</v>
      </c>
      <c r="BP55" s="350" cm="1">
        <f t="array" ref="BP55">IF(AN55="","",IF($AJ55="",0,_xlfn.LET(_xlpm.d,IFERROR(--'Sales and count'!$G$2:$CC$2,0),SUMPRODUCT(('Sales and count'!$G$3:$CC$3="Total")*(_xlpm.d&gt;=BP$6)*(_xlpm.d&lt;=BP$7),INDEX('Sales and count'!$G$4:$CC$300,$AJ55,0)))))</f>
        <v>1795.01</v>
      </c>
      <c r="BQ55" s="350" cm="1">
        <f t="array" ref="BQ55">IF(AO55="","",IF($AJ55="",0,_xlfn.LET(_xlpm.d,IFERROR(--'Sales and count'!$G$2:$CC$2,0),SUMPRODUCT(('Sales and count'!$G$3:$CC$3="Total")*(_xlpm.d&gt;=BQ$6)*(_xlpm.d&lt;=BQ$7),INDEX('Sales and count'!$G$4:$CC$300,$AJ55,0)))))</f>
        <v>4138.7700000000004</v>
      </c>
      <c r="BR55" s="350" cm="1">
        <f t="array" ref="BR55">IF(AP55="","",IF($AJ55="",0,_xlfn.LET(_xlpm.d,IFERROR(--'Sales and count'!$G$2:$CC$2,0),SUMPRODUCT(('Sales and count'!$G$3:$CC$3="Total")*(_xlpm.d&gt;=BR$6)*(_xlpm.d&lt;=BR$7),INDEX('Sales and count'!$G$4:$CC$300,$AJ55,0)))))</f>
        <v>4331.87</v>
      </c>
      <c r="BS55" s="350" cm="1">
        <f t="array" ref="BS55">IF(AQ55="","",IF($AJ55="",0,_xlfn.LET(_xlpm.d,IFERROR(--'Sales and count'!$G$2:$CC$2,0),SUMPRODUCT(('Sales and count'!$G$3:$CC$3="Total")*(_xlpm.d&gt;=BS$6)*(_xlpm.d&lt;=BS$7),INDEX('Sales and count'!$G$4:$CC$300,$AJ55,0)))))</f>
        <v>3482.92</v>
      </c>
      <c r="BT55" s="350" cm="1">
        <f t="array" ref="BT55">IF(AR55="","",IF($AJ55="",0,_xlfn.LET(_xlpm.d,IFERROR(--'Sales and count'!$G$2:$CC$2,0),SUMPRODUCT(('Sales and count'!$G$3:$CC$3="Total")*(_xlpm.d&gt;=BT$6)*(_xlpm.d&lt;=BT$7),INDEX('Sales and count'!$G$4:$CC$300,$AJ55,0)))))</f>
        <v>5577.97</v>
      </c>
      <c r="BU55" s="350" cm="1">
        <f t="array" ref="BU55">IF(AS55="","",IF($AJ55="",0,_xlfn.LET(_xlpm.d,IFERROR(--'Sales and count'!$G$2:$CC$2,0),SUMPRODUCT(('Sales and count'!$G$3:$CC$3="Total")*(_xlpm.d&gt;=BU$6)*(_xlpm.d&lt;=BU$7),INDEX('Sales and count'!$G$4:$CC$300,$AJ55,0)))))</f>
        <v>1957.08</v>
      </c>
      <c r="BV55" s="350" t="str" cm="1">
        <f t="array" ref="BV55">IF(AT55="","",IF($AJ55="",0,_xlfn.LET(_xlpm.d,IFERROR(--'Sales and count'!$G$2:$CC$2,0),SUMPRODUCT(('Sales and count'!$G$3:$CC$3="Total")*(_xlpm.d&gt;=BV$6)*(_xlpm.d&lt;=BV$7),INDEX('Sales and count'!$G$4:$CC$300,$AJ55,0)))))</f>
        <v/>
      </c>
      <c r="BW55" s="350" t="str" cm="1">
        <f t="array" ref="BW55">IF(AU55="","",IF($AJ55="",0,_xlfn.LET(_xlpm.d,IFERROR(--'Sales and count'!$G$2:$CC$2,0),SUMPRODUCT(('Sales and count'!$G$3:$CC$3="Total")*(_xlpm.d&gt;=BW$6)*(_xlpm.d&lt;=BW$7),INDEX('Sales and count'!$G$4:$CC$300,$AJ55,0)))))</f>
        <v/>
      </c>
      <c r="BX55" s="350" t="str" cm="1">
        <f t="array" ref="BX55">IF(AV55="","",IF($AJ55="",0,_xlfn.LET(_xlpm.d,IFERROR(--'Sales and count'!$G$2:$CC$2,0),SUMPRODUCT(('Sales and count'!$G$3:$CC$3="Total")*(_xlpm.d&gt;=BX$6)*(_xlpm.d&lt;=BX$7),INDEX('Sales and count'!$G$4:$CC$300,$AJ55,0)))))</f>
        <v/>
      </c>
      <c r="BY55" s="350" t="str" cm="1">
        <f t="array" ref="BY55">IF(AW55="","",IF($AJ55="",0,_xlfn.LET(_xlpm.d,IFERROR(--'Sales and count'!$G$2:$CC$2,0),SUMPRODUCT(('Sales and count'!$G$3:$CC$3="Total")*(_xlpm.d&gt;=BY$6)*(_xlpm.d&lt;=BY$7),INDEX('Sales and count'!$G$4:$CC$300,$AJ55,0)))))</f>
        <v/>
      </c>
      <c r="BZ55" s="350" t="str" cm="1">
        <f t="array" ref="BZ55">IF(AX55="","",IF($AJ55="",0,_xlfn.LET(_xlpm.d,IFERROR(--'Sales and count'!$G$2:$CC$2,0),SUMPRODUCT(('Sales and count'!$G$3:$CC$3="Total")*(_xlpm.d&gt;=BZ$6)*(_xlpm.d&lt;=BZ$7),INDEX('Sales and count'!$G$4:$CC$300,$AJ55,0)))))</f>
        <v/>
      </c>
    </row>
    <row r="56" spans="1:78" x14ac:dyDescent="0.25">
      <c r="A56" s="356" t="str">
        <v>ANDLUSMALL</v>
      </c>
      <c r="B56" s="356" t="str" cm="1">
        <f t="array" ref="B56">IF($A56="","",_xlfn.XLOOKUP($A56,TRIM(Footfall!$B$5:$B$301&amp;""),Footfall!$A$5:$A$301,""))</f>
        <v>Al Andulas Mall Jeddah</v>
      </c>
      <c r="C56" s="356" t="str" cm="1">
        <f t="array" ref="C56">IF($A56="","",_xlfn.XLOOKUP($A56,TRIM('Sales and count'!$A$4:$A$300&amp;""),'Sales and count'!$C$4:$C$300,"Not set"))</f>
        <v>Jeddah</v>
      </c>
      <c r="D56" s="357">
        <f t="shared" ca="1" si="53"/>
        <v>0.14150246305418721</v>
      </c>
      <c r="E56" s="357">
        <f t="shared" ca="1" si="54"/>
        <v>0.12639405204460966</v>
      </c>
      <c r="F56" s="357">
        <f t="shared" ca="1" si="55"/>
        <v>0.13533834586466165</v>
      </c>
      <c r="G56" s="357">
        <f t="shared" ca="1" si="56"/>
        <v>0.14134275618374559</v>
      </c>
      <c r="H56" s="357">
        <f t="shared" ca="1" si="57"/>
        <v>9.5238095238095233E-2</v>
      </c>
      <c r="I56" s="357">
        <f t="shared" ca="1" si="58"/>
        <v>0.12845849802371542</v>
      </c>
      <c r="J56" s="357">
        <f t="shared" ca="1" si="59"/>
        <v>0.14018691588785046</v>
      </c>
      <c r="K56" s="357">
        <f t="shared" ca="1" si="60"/>
        <v>0.1609907120743034</v>
      </c>
      <c r="L56" s="357">
        <f t="shared" ca="1" si="61"/>
        <v>0.12121212121212122</v>
      </c>
      <c r="M56" s="357" t="str">
        <f t="shared" si="62"/>
        <v/>
      </c>
      <c r="N56" s="357" t="str">
        <f t="shared" si="63"/>
        <v/>
      </c>
      <c r="O56" s="357" t="str">
        <f t="shared" si="64"/>
        <v/>
      </c>
      <c r="P56" s="357" t="str">
        <f t="shared" si="65"/>
        <v/>
      </c>
      <c r="Q56" s="357" t="str">
        <f t="shared" si="66"/>
        <v/>
      </c>
      <c r="R56" s="358" cm="1">
        <f t="array" aca="1" ref="R56" ca="1">IF(OR($A56="",D56=""),"",IFERROR(LOOKUP(2,1/(E56:Q56&lt;&gt;""),E56:Q56)-D56,""))</f>
        <v>-2.029034184206599E-2</v>
      </c>
      <c r="S56" s="349"/>
      <c r="T56" s="362">
        <f t="shared" ca="1" si="67"/>
        <v>126.74206266318538</v>
      </c>
      <c r="U56" s="362">
        <f t="shared" ca="1" si="68"/>
        <v>115.91264705882354</v>
      </c>
      <c r="V56" s="362">
        <f t="shared" ca="1" si="69"/>
        <v>119.8613888888889</v>
      </c>
      <c r="W56" s="362">
        <f t="shared" ca="1" si="70"/>
        <v>113.12674999999999</v>
      </c>
      <c r="X56" s="362">
        <f t="shared" ca="1" si="71"/>
        <v>104.63545454545455</v>
      </c>
      <c r="Y56" s="362">
        <f t="shared" ca="1" si="72"/>
        <v>145.76400000000001</v>
      </c>
      <c r="Z56" s="362">
        <f t="shared" ca="1" si="73"/>
        <v>117.62899999999999</v>
      </c>
      <c r="AA56" s="362">
        <f t="shared" ca="1" si="74"/>
        <v>121.45961538461538</v>
      </c>
      <c r="AB56" s="362">
        <f t="shared" ca="1" si="75"/>
        <v>167.54791666666668</v>
      </c>
      <c r="AC56" s="362" t="str">
        <f t="shared" si="76"/>
        <v/>
      </c>
      <c r="AD56" s="362" t="str">
        <f t="shared" si="77"/>
        <v/>
      </c>
      <c r="AE56" s="362" t="str">
        <f t="shared" si="78"/>
        <v/>
      </c>
      <c r="AF56" s="362" t="str">
        <f t="shared" si="79"/>
        <v/>
      </c>
      <c r="AG56" s="362" t="str">
        <f t="shared" si="80"/>
        <v/>
      </c>
      <c r="AH56" s="363" cm="1">
        <f t="array" aca="1" ref="AH56" ca="1">IF(OR($A56="",T56=""),"",IFERROR(LOOKUP(2,1/(U56:AG56&lt;&gt;""),U56:AG56)-T56,""))</f>
        <v>40.805854003481301</v>
      </c>
      <c r="AI56" s="349"/>
      <c r="AJ56" s="349" cm="1">
        <f t="array" ref="AJ56">IF($A56="","",IFERROR(MATCH($A56,TRIM('Sales and count'!$A$4:$A$300&amp;""),0),""))</f>
        <v>27</v>
      </c>
      <c r="AK56" s="350" cm="1">
        <f t="array" ref="AK56">IF(OR($A56="",AK$6=""),"",IFERROR(INDEX(Footfall!$C$5:$BZ$301,MATCH($A56,TRIM(Footfall!$B$5:$B$301&amp;""),0),AK$5),0))</f>
        <v>8120</v>
      </c>
      <c r="AL56" s="350" cm="1">
        <f t="array" ref="AL56">IF(OR($A56="",AL$6=""),"",IFERROR(INDEX(Footfall!$C$5:$BZ$301,MATCH($A56,TRIM(Footfall!$B$5:$B$301&amp;""),0),AL$5),0))</f>
        <v>269</v>
      </c>
      <c r="AM56" s="350" cm="1">
        <f t="array" ref="AM56">IF(OR($A56="",AM$6=""),"",IFERROR(INDEX(Footfall!$C$5:$BZ$301,MATCH($A56,TRIM(Footfall!$B$5:$B$301&amp;""),0),AM$5),0))</f>
        <v>266</v>
      </c>
      <c r="AN56" s="350" cm="1">
        <f t="array" ref="AN56">IF(OR($A56="",AN$6=""),"",IFERROR(INDEX(Footfall!$C$5:$BZ$301,MATCH($A56,TRIM(Footfall!$B$5:$B$301&amp;""),0),AN$5),0))</f>
        <v>283</v>
      </c>
      <c r="AO56" s="350" cm="1">
        <f t="array" ref="AO56">IF(OR($A56="",AO$6=""),"",IFERROR(INDEX(Footfall!$C$5:$BZ$301,MATCH($A56,TRIM(Footfall!$B$5:$B$301&amp;""),0),AO$5),0))</f>
        <v>462</v>
      </c>
      <c r="AP56" s="350" cm="1">
        <f t="array" ref="AP56">IF(OR($A56="",AP$6=""),"",IFERROR(INDEX(Footfall!$C$5:$BZ$301,MATCH($A56,TRIM(Footfall!$B$5:$B$301&amp;""),0),AP$5),0))</f>
        <v>506</v>
      </c>
      <c r="AQ56" s="350" cm="1">
        <f t="array" ref="AQ56">IF(OR($A56="",AQ$6=""),"",IFERROR(INDEX(Footfall!$C$5:$BZ$301,MATCH($A56,TRIM(Footfall!$B$5:$B$301&amp;""),0),AQ$5),0))</f>
        <v>428</v>
      </c>
      <c r="AR56" s="350" cm="1">
        <f t="array" ref="AR56">IF(OR($A56="",AR$6=""),"",IFERROR(INDEX(Footfall!$C$5:$BZ$301,MATCH($A56,TRIM(Footfall!$B$5:$B$301&amp;""),0),AR$5),0))</f>
        <v>323</v>
      </c>
      <c r="AS56" s="350" cm="1">
        <f t="array" ref="AS56">IF(OR($A56="",AS$6=""),"",IFERROR(INDEX(Footfall!$C$5:$BZ$301,MATCH($A56,TRIM(Footfall!$B$5:$B$301&amp;""),0),AS$5),0))</f>
        <v>198</v>
      </c>
      <c r="AT56" s="350" t="str" cm="1">
        <f t="array" ref="AT56">IF(OR($A56="",AT$6=""),"",IFERROR(INDEX(Footfall!$C$5:$BZ$301,MATCH($A56,TRIM(Footfall!$B$5:$B$301&amp;""),0),AT$5),0))</f>
        <v/>
      </c>
      <c r="AU56" s="350" t="str" cm="1">
        <f t="array" ref="AU56">IF(OR($A56="",AU$6=""),"",IFERROR(INDEX(Footfall!$C$5:$BZ$301,MATCH($A56,TRIM(Footfall!$B$5:$B$301&amp;""),0),AU$5),0))</f>
        <v/>
      </c>
      <c r="AV56" s="350" t="str" cm="1">
        <f t="array" ref="AV56">IF(OR($A56="",AV$6=""),"",IFERROR(INDEX(Footfall!$C$5:$BZ$301,MATCH($A56,TRIM(Footfall!$B$5:$B$301&amp;""),0),AV$5),0))</f>
        <v/>
      </c>
      <c r="AW56" s="350" t="str" cm="1">
        <f t="array" ref="AW56">IF(OR($A56="",AW$6=""),"",IFERROR(INDEX(Footfall!$C$5:$BZ$301,MATCH($A56,TRIM(Footfall!$B$5:$B$301&amp;""),0),AW$5),0))</f>
        <v/>
      </c>
      <c r="AX56" s="350" t="str" cm="1">
        <f t="array" ref="AX56">IF(OR($A56="",AX$6=""),"",IFERROR(INDEX(Footfall!$C$5:$BZ$301,MATCH($A56,TRIM(Footfall!$B$5:$B$301&amp;""),0),AX$5),0))</f>
        <v/>
      </c>
      <c r="AY56" s="350" cm="1">
        <f t="array" aca="1" ref="AY56" ca="1">IF(AK56="","",IF($AJ56="",0,_xlfn.LET(_xlpm.d,IFERROR(--'Sales and count'!$F$2:$CB$2,0),SUMPRODUCT(('Sales and count'!$G$3:$CC$3="Transactions")*(_xlpm.d&gt;=AY$6)*(_xlpm.d&lt;=AY$7),INDEX('Sales and count'!$G$4:$CC$300,$AJ56,0)))))</f>
        <v>1149</v>
      </c>
      <c r="AZ56" s="350" cm="1">
        <f t="array" aca="1" ref="AZ56" ca="1">IF(AL56="","",IF($AJ56="",0,_xlfn.LET(_xlpm.d,IFERROR(--'Sales and count'!$F$2:$CB$2,0),SUMPRODUCT(('Sales and count'!$G$3:$CC$3="Transactions")*(_xlpm.d&gt;=AZ$6)*(_xlpm.d&lt;=AZ$7),INDEX('Sales and count'!$G$4:$CC$300,$AJ56,0)))))</f>
        <v>34</v>
      </c>
      <c r="BA56" s="350" cm="1">
        <f t="array" aca="1" ref="BA56" ca="1">IF(AM56="","",IF($AJ56="",0,_xlfn.LET(_xlpm.d,IFERROR(--'Sales and count'!$F$2:$CB$2,0),SUMPRODUCT(('Sales and count'!$G$3:$CC$3="Transactions")*(_xlpm.d&gt;=BA$6)*(_xlpm.d&lt;=BA$7),INDEX('Sales and count'!$G$4:$CC$300,$AJ56,0)))))</f>
        <v>36</v>
      </c>
      <c r="BB56" s="350" cm="1">
        <f t="array" aca="1" ref="BB56" ca="1">IF(AN56="","",IF($AJ56="",0,_xlfn.LET(_xlpm.d,IFERROR(--'Sales and count'!$F$2:$CB$2,0),SUMPRODUCT(('Sales and count'!$G$3:$CC$3="Transactions")*(_xlpm.d&gt;=BB$6)*(_xlpm.d&lt;=BB$7),INDEX('Sales and count'!$G$4:$CC$300,$AJ56,0)))))</f>
        <v>40</v>
      </c>
      <c r="BC56" s="350" cm="1">
        <f t="array" aca="1" ref="BC56" ca="1">IF(AO56="","",IF($AJ56="",0,_xlfn.LET(_xlpm.d,IFERROR(--'Sales and count'!$F$2:$CB$2,0),SUMPRODUCT(('Sales and count'!$G$3:$CC$3="Transactions")*(_xlpm.d&gt;=BC$6)*(_xlpm.d&lt;=BC$7),INDEX('Sales and count'!$G$4:$CC$300,$AJ56,0)))))</f>
        <v>44</v>
      </c>
      <c r="BD56" s="350" cm="1">
        <f t="array" aca="1" ref="BD56" ca="1">IF(AP56="","",IF($AJ56="",0,_xlfn.LET(_xlpm.d,IFERROR(--'Sales and count'!$F$2:$CB$2,0),SUMPRODUCT(('Sales and count'!$G$3:$CC$3="Transactions")*(_xlpm.d&gt;=BD$6)*(_xlpm.d&lt;=BD$7),INDEX('Sales and count'!$G$4:$CC$300,$AJ56,0)))))</f>
        <v>65</v>
      </c>
      <c r="BE56" s="350" cm="1">
        <f t="array" aca="1" ref="BE56" ca="1">IF(AQ56="","",IF($AJ56="",0,_xlfn.LET(_xlpm.d,IFERROR(--'Sales and count'!$F$2:$CB$2,0),SUMPRODUCT(('Sales and count'!$G$3:$CC$3="Transactions")*(_xlpm.d&gt;=BE$6)*(_xlpm.d&lt;=BE$7),INDEX('Sales and count'!$G$4:$CC$300,$AJ56,0)))))</f>
        <v>60</v>
      </c>
      <c r="BF56" s="350" cm="1">
        <f t="array" aca="1" ref="BF56" ca="1">IF(AR56="","",IF($AJ56="",0,_xlfn.LET(_xlpm.d,IFERROR(--'Sales and count'!$F$2:$CB$2,0),SUMPRODUCT(('Sales and count'!$G$3:$CC$3="Transactions")*(_xlpm.d&gt;=BF$6)*(_xlpm.d&lt;=BF$7),INDEX('Sales and count'!$G$4:$CC$300,$AJ56,0)))))</f>
        <v>52</v>
      </c>
      <c r="BG56" s="350" cm="1">
        <f t="array" aca="1" ref="BG56" ca="1">IF(AS56="","",IF($AJ56="",0,_xlfn.LET(_xlpm.d,IFERROR(--'Sales and count'!$F$2:$CB$2,0),SUMPRODUCT(('Sales and count'!$G$3:$CC$3="Transactions")*(_xlpm.d&gt;=BG$6)*(_xlpm.d&lt;=BG$7),INDEX('Sales and count'!$G$4:$CC$300,$AJ56,0)))))</f>
        <v>24</v>
      </c>
      <c r="BH56" s="350" t="str" cm="1">
        <f t="array" ref="BH56">IF(AT56="","",IF($AJ56="",0,_xlfn.LET(_xlpm.d,IFERROR(--'Sales and count'!$F$2:$CB$2,0),SUMPRODUCT(('Sales and count'!$G$3:$CC$3="Transactions")*(_xlpm.d&gt;=BH$6)*(_xlpm.d&lt;=BH$7),INDEX('Sales and count'!$G$4:$CC$300,$AJ56,0)))))</f>
        <v/>
      </c>
      <c r="BI56" s="350" t="str" cm="1">
        <f t="array" ref="BI56">IF(AU56="","",IF($AJ56="",0,_xlfn.LET(_xlpm.d,IFERROR(--'Sales and count'!$F$2:$CB$2,0),SUMPRODUCT(('Sales and count'!$G$3:$CC$3="Transactions")*(_xlpm.d&gt;=BI$6)*(_xlpm.d&lt;=BI$7),INDEX('Sales and count'!$G$4:$CC$300,$AJ56,0)))))</f>
        <v/>
      </c>
      <c r="BJ56" s="350" t="str" cm="1">
        <f t="array" ref="BJ56">IF(AV56="","",IF($AJ56="",0,_xlfn.LET(_xlpm.d,IFERROR(--'Sales and count'!$F$2:$CB$2,0),SUMPRODUCT(('Sales and count'!$G$3:$CC$3="Transactions")*(_xlpm.d&gt;=BJ$6)*(_xlpm.d&lt;=BJ$7),INDEX('Sales and count'!$G$4:$CC$300,$AJ56,0)))))</f>
        <v/>
      </c>
      <c r="BK56" s="350" t="str" cm="1">
        <f t="array" ref="BK56">IF(AW56="","",IF($AJ56="",0,_xlfn.LET(_xlpm.d,IFERROR(--'Sales and count'!$F$2:$CB$2,0),SUMPRODUCT(('Sales and count'!$G$3:$CC$3="Transactions")*(_xlpm.d&gt;=BK$6)*(_xlpm.d&lt;=BK$7),INDEX('Sales and count'!$G$4:$CC$300,$AJ56,0)))))</f>
        <v/>
      </c>
      <c r="BL56" s="350" t="str" cm="1">
        <f t="array" ref="BL56">IF(AX56="","",IF($AJ56="",0,_xlfn.LET(_xlpm.d,IFERROR(--'Sales and count'!$F$2:$CB$2,0),SUMPRODUCT(('Sales and count'!$G$3:$CC$3="Transactions")*(_xlpm.d&gt;=BL$6)*(_xlpm.d&lt;=BL$7),INDEX('Sales and count'!$G$4:$CC$300,$AJ56,0)))))</f>
        <v/>
      </c>
      <c r="BM56" s="350" cm="1">
        <f t="array" ref="BM56">IF(AK56="","",IF($AJ56="",0,_xlfn.LET(_xlpm.d,IFERROR(--'Sales and count'!$G$2:$CC$2,0),SUMPRODUCT(('Sales and count'!$G$3:$CC$3="Total")*(_xlpm.d&gt;=BM$6)*(_xlpm.d&lt;=BM$7),INDEX('Sales and count'!$G$4:$CC$300,$AJ56,0)))))</f>
        <v>145626.63</v>
      </c>
      <c r="BN56" s="350" cm="1">
        <f t="array" ref="BN56">IF(AL56="","",IF($AJ56="",0,_xlfn.LET(_xlpm.d,IFERROR(--'Sales and count'!$G$2:$CC$2,0),SUMPRODUCT(('Sales and count'!$G$3:$CC$3="Total")*(_xlpm.d&gt;=BN$6)*(_xlpm.d&lt;=BN$7),INDEX('Sales and count'!$G$4:$CC$300,$AJ56,0)))))</f>
        <v>3941.03</v>
      </c>
      <c r="BO56" s="350" cm="1">
        <f t="array" ref="BO56">IF(AM56="","",IF($AJ56="",0,_xlfn.LET(_xlpm.d,IFERROR(--'Sales and count'!$G$2:$CC$2,0),SUMPRODUCT(('Sales and count'!$G$3:$CC$3="Total")*(_xlpm.d&gt;=BO$6)*(_xlpm.d&lt;=BO$7),INDEX('Sales and count'!$G$4:$CC$300,$AJ56,0)))))</f>
        <v>4315.01</v>
      </c>
      <c r="BP56" s="350" cm="1">
        <f t="array" ref="BP56">IF(AN56="","",IF($AJ56="",0,_xlfn.LET(_xlpm.d,IFERROR(--'Sales and count'!$G$2:$CC$2,0),SUMPRODUCT(('Sales and count'!$G$3:$CC$3="Total")*(_xlpm.d&gt;=BP$6)*(_xlpm.d&lt;=BP$7),INDEX('Sales and count'!$G$4:$CC$300,$AJ56,0)))))</f>
        <v>4525.07</v>
      </c>
      <c r="BQ56" s="350" cm="1">
        <f t="array" ref="BQ56">IF(AO56="","",IF($AJ56="",0,_xlfn.LET(_xlpm.d,IFERROR(--'Sales and count'!$G$2:$CC$2,0),SUMPRODUCT(('Sales and count'!$G$3:$CC$3="Total")*(_xlpm.d&gt;=BQ$6)*(_xlpm.d&lt;=BQ$7),INDEX('Sales and count'!$G$4:$CC$300,$AJ56,0)))))</f>
        <v>4603.96</v>
      </c>
      <c r="BR56" s="350" cm="1">
        <f t="array" ref="BR56">IF(AP56="","",IF($AJ56="",0,_xlfn.LET(_xlpm.d,IFERROR(--'Sales and count'!$G$2:$CC$2,0),SUMPRODUCT(('Sales and count'!$G$3:$CC$3="Total")*(_xlpm.d&gt;=BR$6)*(_xlpm.d&lt;=BR$7),INDEX('Sales and count'!$G$4:$CC$300,$AJ56,0)))))</f>
        <v>9474.66</v>
      </c>
      <c r="BS56" s="350" cm="1">
        <f t="array" ref="BS56">IF(AQ56="","",IF($AJ56="",0,_xlfn.LET(_xlpm.d,IFERROR(--'Sales and count'!$G$2:$CC$2,0),SUMPRODUCT(('Sales and count'!$G$3:$CC$3="Total")*(_xlpm.d&gt;=BS$6)*(_xlpm.d&lt;=BS$7),INDEX('Sales and count'!$G$4:$CC$300,$AJ56,0)))))</f>
        <v>7057.74</v>
      </c>
      <c r="BT56" s="350" cm="1">
        <f t="array" ref="BT56">IF(AR56="","",IF($AJ56="",0,_xlfn.LET(_xlpm.d,IFERROR(--'Sales and count'!$G$2:$CC$2,0),SUMPRODUCT(('Sales and count'!$G$3:$CC$3="Total")*(_xlpm.d&gt;=BT$6)*(_xlpm.d&lt;=BT$7),INDEX('Sales and count'!$G$4:$CC$300,$AJ56,0)))))</f>
        <v>6315.9</v>
      </c>
      <c r="BU56" s="350" cm="1">
        <f t="array" ref="BU56">IF(AS56="","",IF($AJ56="",0,_xlfn.LET(_xlpm.d,IFERROR(--'Sales and count'!$G$2:$CC$2,0),SUMPRODUCT(('Sales and count'!$G$3:$CC$3="Total")*(_xlpm.d&gt;=BU$6)*(_xlpm.d&lt;=BU$7),INDEX('Sales and count'!$G$4:$CC$300,$AJ56,0)))))</f>
        <v>4021.15</v>
      </c>
      <c r="BV56" s="350" t="str" cm="1">
        <f t="array" ref="BV56">IF(AT56="","",IF($AJ56="",0,_xlfn.LET(_xlpm.d,IFERROR(--'Sales and count'!$G$2:$CC$2,0),SUMPRODUCT(('Sales and count'!$G$3:$CC$3="Total")*(_xlpm.d&gt;=BV$6)*(_xlpm.d&lt;=BV$7),INDEX('Sales and count'!$G$4:$CC$300,$AJ56,0)))))</f>
        <v/>
      </c>
      <c r="BW56" s="350" t="str" cm="1">
        <f t="array" ref="BW56">IF(AU56="","",IF($AJ56="",0,_xlfn.LET(_xlpm.d,IFERROR(--'Sales and count'!$G$2:$CC$2,0),SUMPRODUCT(('Sales and count'!$G$3:$CC$3="Total")*(_xlpm.d&gt;=BW$6)*(_xlpm.d&lt;=BW$7),INDEX('Sales and count'!$G$4:$CC$300,$AJ56,0)))))</f>
        <v/>
      </c>
      <c r="BX56" s="350" t="str" cm="1">
        <f t="array" ref="BX56">IF(AV56="","",IF($AJ56="",0,_xlfn.LET(_xlpm.d,IFERROR(--'Sales and count'!$G$2:$CC$2,0),SUMPRODUCT(('Sales and count'!$G$3:$CC$3="Total")*(_xlpm.d&gt;=BX$6)*(_xlpm.d&lt;=BX$7),INDEX('Sales and count'!$G$4:$CC$300,$AJ56,0)))))</f>
        <v/>
      </c>
      <c r="BY56" s="350" t="str" cm="1">
        <f t="array" ref="BY56">IF(AW56="","",IF($AJ56="",0,_xlfn.LET(_xlpm.d,IFERROR(--'Sales and count'!$G$2:$CC$2,0),SUMPRODUCT(('Sales and count'!$G$3:$CC$3="Total")*(_xlpm.d&gt;=BY$6)*(_xlpm.d&lt;=BY$7),INDEX('Sales and count'!$G$4:$CC$300,$AJ56,0)))))</f>
        <v/>
      </c>
      <c r="BZ56" s="350" t="str" cm="1">
        <f t="array" ref="BZ56">IF(AX56="","",IF($AJ56="",0,_xlfn.LET(_xlpm.d,IFERROR(--'Sales and count'!$G$2:$CC$2,0),SUMPRODUCT(('Sales and count'!$G$3:$CC$3="Total")*(_xlpm.d&gt;=BZ$6)*(_xlpm.d&lt;=BZ$7),INDEX('Sales and count'!$G$4:$CC$300,$AJ56,0)))))</f>
        <v/>
      </c>
    </row>
    <row r="57" spans="1:78" x14ac:dyDescent="0.25">
      <c r="A57" s="356" t="str">
        <v>HAWAHABLVD</v>
      </c>
      <c r="B57" s="356" t="str" cm="1">
        <f t="array" ref="B57">IF($A57="","",_xlfn.XLOOKUP($A57,TRIM(Footfall!$B$5:$B$301&amp;""),Footfall!$A$5:$A$301,""))</f>
        <v>Alwaha boulevard Jed</v>
      </c>
      <c r="C57" s="356" t="str" cm="1">
        <f t="array" ref="C57">IF($A57="","",_xlfn.XLOOKUP($A57,TRIM('Sales and count'!$A$4:$A$300&amp;""),'Sales and count'!$C$4:$C$300,"Not set"))</f>
        <v>Jeddah</v>
      </c>
      <c r="D57" s="357">
        <f t="shared" ca="1" si="53"/>
        <v>0.20828905419766205</v>
      </c>
      <c r="E57" s="357">
        <f t="shared" ca="1" si="54"/>
        <v>0.25</v>
      </c>
      <c r="F57" s="357">
        <f t="shared" ca="1" si="55"/>
        <v>0.19801980198019803</v>
      </c>
      <c r="G57" s="357">
        <f t="shared" ca="1" si="56"/>
        <v>0.12264150943396226</v>
      </c>
      <c r="H57" s="357">
        <f t="shared" ca="1" si="57"/>
        <v>0.1484375</v>
      </c>
      <c r="I57" s="357">
        <f t="shared" ca="1" si="58"/>
        <v>0.21666666666666667</v>
      </c>
      <c r="J57" s="357">
        <f t="shared" ca="1" si="59"/>
        <v>0.14084507042253522</v>
      </c>
      <c r="K57" s="357">
        <f t="shared" ca="1" si="60"/>
        <v>0.16911764705882354</v>
      </c>
      <c r="L57" s="357">
        <f t="shared" ca="1" si="61"/>
        <v>0.1834862385321101</v>
      </c>
      <c r="M57" s="357" t="str">
        <f t="shared" si="62"/>
        <v/>
      </c>
      <c r="N57" s="357" t="str">
        <f t="shared" si="63"/>
        <v/>
      </c>
      <c r="O57" s="357" t="str">
        <f t="shared" si="64"/>
        <v/>
      </c>
      <c r="P57" s="357" t="str">
        <f t="shared" si="65"/>
        <v/>
      </c>
      <c r="Q57" s="357" t="str">
        <f t="shared" si="66"/>
        <v/>
      </c>
      <c r="R57" s="358" cm="1">
        <f t="array" aca="1" ref="R57" ca="1">IF(OR($A57="",D57=""),"",IFERROR(LOOKUP(2,1/(E57:Q57&lt;&gt;""),E57:Q57)-D57,""))</f>
        <v>-2.4802815665551953E-2</v>
      </c>
      <c r="S57" s="349"/>
      <c r="T57" s="362">
        <f t="shared" ca="1" si="67"/>
        <v>139.31865646258504</v>
      </c>
      <c r="U57" s="362">
        <f t="shared" ca="1" si="68"/>
        <v>124.3495652173913</v>
      </c>
      <c r="V57" s="362">
        <f t="shared" ca="1" si="69"/>
        <v>163.95250000000001</v>
      </c>
      <c r="W57" s="362">
        <f t="shared" ca="1" si="70"/>
        <v>141.92461538461538</v>
      </c>
      <c r="X57" s="362">
        <f t="shared" ca="1" si="71"/>
        <v>143.20526315789473</v>
      </c>
      <c r="Y57" s="362">
        <f t="shared" ca="1" si="72"/>
        <v>152.99115384615385</v>
      </c>
      <c r="Z57" s="362">
        <f t="shared" ca="1" si="73"/>
        <v>163.191</v>
      </c>
      <c r="AA57" s="362">
        <f t="shared" ca="1" si="74"/>
        <v>126.77739130434783</v>
      </c>
      <c r="AB57" s="362">
        <f t="shared" ca="1" si="75"/>
        <v>136.90799999999999</v>
      </c>
      <c r="AC57" s="362" t="str">
        <f t="shared" si="76"/>
        <v/>
      </c>
      <c r="AD57" s="362" t="str">
        <f t="shared" si="77"/>
        <v/>
      </c>
      <c r="AE57" s="362" t="str">
        <f t="shared" si="78"/>
        <v/>
      </c>
      <c r="AF57" s="362" t="str">
        <f t="shared" si="79"/>
        <v/>
      </c>
      <c r="AG57" s="362" t="str">
        <f t="shared" si="80"/>
        <v/>
      </c>
      <c r="AH57" s="363" cm="1">
        <f t="array" aca="1" ref="AH57" ca="1">IF(OR($A57="",T57=""),"",IFERROR(LOOKUP(2,1/(U57:AG57&lt;&gt;""),U57:AG57)-T57,""))</f>
        <v>-2.4106564625850524</v>
      </c>
      <c r="AI57" s="349"/>
      <c r="AJ57" s="349" cm="1">
        <f t="array" ref="AJ57">IF($A57="","",IFERROR(MATCH($A57,TRIM('Sales and count'!$A$4:$A$300&amp;""),0),""))</f>
        <v>10</v>
      </c>
      <c r="AK57" s="350" cm="1">
        <f t="array" ref="AK57">IF(OR($A57="",AK$6=""),"",IFERROR(INDEX(Footfall!$C$5:$BZ$301,MATCH($A57,TRIM(Footfall!$B$5:$B$301&amp;""),0),AK$5),0))</f>
        <v>2823</v>
      </c>
      <c r="AL57" s="350" cm="1">
        <f t="array" ref="AL57">IF(OR($A57="",AL$6=""),"",IFERROR(INDEX(Footfall!$C$5:$BZ$301,MATCH($A57,TRIM(Footfall!$B$5:$B$301&amp;""),0),AL$5),0))</f>
        <v>92</v>
      </c>
      <c r="AM57" s="350" cm="1">
        <f t="array" ref="AM57">IF(OR($A57="",AM$6=""),"",IFERROR(INDEX(Footfall!$C$5:$BZ$301,MATCH($A57,TRIM(Footfall!$B$5:$B$301&amp;""),0),AM$5),0))</f>
        <v>101</v>
      </c>
      <c r="AN57" s="350" cm="1">
        <f t="array" ref="AN57">IF(OR($A57="",AN$6=""),"",IFERROR(INDEX(Footfall!$C$5:$BZ$301,MATCH($A57,TRIM(Footfall!$B$5:$B$301&amp;""),0),AN$5),0))</f>
        <v>106</v>
      </c>
      <c r="AO57" s="350" cm="1">
        <f t="array" ref="AO57">IF(OR($A57="",AO$6=""),"",IFERROR(INDEX(Footfall!$C$5:$BZ$301,MATCH($A57,TRIM(Footfall!$B$5:$B$301&amp;""),0),AO$5),0))</f>
        <v>128</v>
      </c>
      <c r="AP57" s="350" cm="1">
        <f t="array" ref="AP57">IF(OR($A57="",AP$6=""),"",IFERROR(INDEX(Footfall!$C$5:$BZ$301,MATCH($A57,TRIM(Footfall!$B$5:$B$301&amp;""),0),AP$5),0))</f>
        <v>120</v>
      </c>
      <c r="AQ57" s="350" cm="1">
        <f t="array" ref="AQ57">IF(OR($A57="",AQ$6=""),"",IFERROR(INDEX(Footfall!$C$5:$BZ$301,MATCH($A57,TRIM(Footfall!$B$5:$B$301&amp;""),0),AQ$5),0))</f>
        <v>142</v>
      </c>
      <c r="AR57" s="350" cm="1">
        <f t="array" ref="AR57">IF(OR($A57="",AR$6=""),"",IFERROR(INDEX(Footfall!$C$5:$BZ$301,MATCH($A57,TRIM(Footfall!$B$5:$B$301&amp;""),0),AR$5),0))</f>
        <v>136</v>
      </c>
      <c r="AS57" s="350" cm="1">
        <f t="array" ref="AS57">IF(OR($A57="",AS$6=""),"",IFERROR(INDEX(Footfall!$C$5:$BZ$301,MATCH($A57,TRIM(Footfall!$B$5:$B$301&amp;""),0),AS$5),0))</f>
        <v>109</v>
      </c>
      <c r="AT57" s="350" t="str" cm="1">
        <f t="array" ref="AT57">IF(OR($A57="",AT$6=""),"",IFERROR(INDEX(Footfall!$C$5:$BZ$301,MATCH($A57,TRIM(Footfall!$B$5:$B$301&amp;""),0),AT$5),0))</f>
        <v/>
      </c>
      <c r="AU57" s="350" t="str" cm="1">
        <f t="array" ref="AU57">IF(OR($A57="",AU$6=""),"",IFERROR(INDEX(Footfall!$C$5:$BZ$301,MATCH($A57,TRIM(Footfall!$B$5:$B$301&amp;""),0),AU$5),0))</f>
        <v/>
      </c>
      <c r="AV57" s="350" t="str" cm="1">
        <f t="array" ref="AV57">IF(OR($A57="",AV$6=""),"",IFERROR(INDEX(Footfall!$C$5:$BZ$301,MATCH($A57,TRIM(Footfall!$B$5:$B$301&amp;""),0),AV$5),0))</f>
        <v/>
      </c>
      <c r="AW57" s="350" t="str" cm="1">
        <f t="array" ref="AW57">IF(OR($A57="",AW$6=""),"",IFERROR(INDEX(Footfall!$C$5:$BZ$301,MATCH($A57,TRIM(Footfall!$B$5:$B$301&amp;""),0),AW$5),0))</f>
        <v/>
      </c>
      <c r="AX57" s="350" t="str" cm="1">
        <f t="array" ref="AX57">IF(OR($A57="",AX$6=""),"",IFERROR(INDEX(Footfall!$C$5:$BZ$301,MATCH($A57,TRIM(Footfall!$B$5:$B$301&amp;""),0),AX$5),0))</f>
        <v/>
      </c>
      <c r="AY57" s="350" cm="1">
        <f t="array" aca="1" ref="AY57" ca="1">IF(AK57="","",IF($AJ57="",0,_xlfn.LET(_xlpm.d,IFERROR(--'Sales and count'!$F$2:$CB$2,0),SUMPRODUCT(('Sales and count'!$G$3:$CC$3="Transactions")*(_xlpm.d&gt;=AY$6)*(_xlpm.d&lt;=AY$7),INDEX('Sales and count'!$G$4:$CC$300,$AJ57,0)))))</f>
        <v>588</v>
      </c>
      <c r="AZ57" s="350" cm="1">
        <f t="array" aca="1" ref="AZ57" ca="1">IF(AL57="","",IF($AJ57="",0,_xlfn.LET(_xlpm.d,IFERROR(--'Sales and count'!$F$2:$CB$2,0),SUMPRODUCT(('Sales and count'!$G$3:$CC$3="Transactions")*(_xlpm.d&gt;=AZ$6)*(_xlpm.d&lt;=AZ$7),INDEX('Sales and count'!$G$4:$CC$300,$AJ57,0)))))</f>
        <v>23</v>
      </c>
      <c r="BA57" s="350" cm="1">
        <f t="array" aca="1" ref="BA57" ca="1">IF(AM57="","",IF($AJ57="",0,_xlfn.LET(_xlpm.d,IFERROR(--'Sales and count'!$F$2:$CB$2,0),SUMPRODUCT(('Sales and count'!$G$3:$CC$3="Transactions")*(_xlpm.d&gt;=BA$6)*(_xlpm.d&lt;=BA$7),INDEX('Sales and count'!$G$4:$CC$300,$AJ57,0)))))</f>
        <v>20</v>
      </c>
      <c r="BB57" s="350" cm="1">
        <f t="array" aca="1" ref="BB57" ca="1">IF(AN57="","",IF($AJ57="",0,_xlfn.LET(_xlpm.d,IFERROR(--'Sales and count'!$F$2:$CB$2,0),SUMPRODUCT(('Sales and count'!$G$3:$CC$3="Transactions")*(_xlpm.d&gt;=BB$6)*(_xlpm.d&lt;=BB$7),INDEX('Sales and count'!$G$4:$CC$300,$AJ57,0)))))</f>
        <v>13</v>
      </c>
      <c r="BC57" s="350" cm="1">
        <f t="array" aca="1" ref="BC57" ca="1">IF(AO57="","",IF($AJ57="",0,_xlfn.LET(_xlpm.d,IFERROR(--'Sales and count'!$F$2:$CB$2,0),SUMPRODUCT(('Sales and count'!$G$3:$CC$3="Transactions")*(_xlpm.d&gt;=BC$6)*(_xlpm.d&lt;=BC$7),INDEX('Sales and count'!$G$4:$CC$300,$AJ57,0)))))</f>
        <v>19</v>
      </c>
      <c r="BD57" s="350" cm="1">
        <f t="array" aca="1" ref="BD57" ca="1">IF(AP57="","",IF($AJ57="",0,_xlfn.LET(_xlpm.d,IFERROR(--'Sales and count'!$F$2:$CB$2,0),SUMPRODUCT(('Sales and count'!$G$3:$CC$3="Transactions")*(_xlpm.d&gt;=BD$6)*(_xlpm.d&lt;=BD$7),INDEX('Sales and count'!$G$4:$CC$300,$AJ57,0)))))</f>
        <v>26</v>
      </c>
      <c r="BE57" s="350" cm="1">
        <f t="array" aca="1" ref="BE57" ca="1">IF(AQ57="","",IF($AJ57="",0,_xlfn.LET(_xlpm.d,IFERROR(--'Sales and count'!$F$2:$CB$2,0),SUMPRODUCT(('Sales and count'!$G$3:$CC$3="Transactions")*(_xlpm.d&gt;=BE$6)*(_xlpm.d&lt;=BE$7),INDEX('Sales and count'!$G$4:$CC$300,$AJ57,0)))))</f>
        <v>20</v>
      </c>
      <c r="BF57" s="350" cm="1">
        <f t="array" aca="1" ref="BF57" ca="1">IF(AR57="","",IF($AJ57="",0,_xlfn.LET(_xlpm.d,IFERROR(--'Sales and count'!$F$2:$CB$2,0),SUMPRODUCT(('Sales and count'!$G$3:$CC$3="Transactions")*(_xlpm.d&gt;=BF$6)*(_xlpm.d&lt;=BF$7),INDEX('Sales and count'!$G$4:$CC$300,$AJ57,0)))))</f>
        <v>23</v>
      </c>
      <c r="BG57" s="350" cm="1">
        <f t="array" aca="1" ref="BG57" ca="1">IF(AS57="","",IF($AJ57="",0,_xlfn.LET(_xlpm.d,IFERROR(--'Sales and count'!$F$2:$CB$2,0),SUMPRODUCT(('Sales and count'!$G$3:$CC$3="Transactions")*(_xlpm.d&gt;=BG$6)*(_xlpm.d&lt;=BG$7),INDEX('Sales and count'!$G$4:$CC$300,$AJ57,0)))))</f>
        <v>20</v>
      </c>
      <c r="BH57" s="350" t="str" cm="1">
        <f t="array" ref="BH57">IF(AT57="","",IF($AJ57="",0,_xlfn.LET(_xlpm.d,IFERROR(--'Sales and count'!$F$2:$CB$2,0),SUMPRODUCT(('Sales and count'!$G$3:$CC$3="Transactions")*(_xlpm.d&gt;=BH$6)*(_xlpm.d&lt;=BH$7),INDEX('Sales and count'!$G$4:$CC$300,$AJ57,0)))))</f>
        <v/>
      </c>
      <c r="BI57" s="350" t="str" cm="1">
        <f t="array" ref="BI57">IF(AU57="","",IF($AJ57="",0,_xlfn.LET(_xlpm.d,IFERROR(--'Sales and count'!$F$2:$CB$2,0),SUMPRODUCT(('Sales and count'!$G$3:$CC$3="Transactions")*(_xlpm.d&gt;=BI$6)*(_xlpm.d&lt;=BI$7),INDEX('Sales and count'!$G$4:$CC$300,$AJ57,0)))))</f>
        <v/>
      </c>
      <c r="BJ57" s="350" t="str" cm="1">
        <f t="array" ref="BJ57">IF(AV57="","",IF($AJ57="",0,_xlfn.LET(_xlpm.d,IFERROR(--'Sales and count'!$F$2:$CB$2,0),SUMPRODUCT(('Sales and count'!$G$3:$CC$3="Transactions")*(_xlpm.d&gt;=BJ$6)*(_xlpm.d&lt;=BJ$7),INDEX('Sales and count'!$G$4:$CC$300,$AJ57,0)))))</f>
        <v/>
      </c>
      <c r="BK57" s="350" t="str" cm="1">
        <f t="array" ref="BK57">IF(AW57="","",IF($AJ57="",0,_xlfn.LET(_xlpm.d,IFERROR(--'Sales and count'!$F$2:$CB$2,0),SUMPRODUCT(('Sales and count'!$G$3:$CC$3="Transactions")*(_xlpm.d&gt;=BK$6)*(_xlpm.d&lt;=BK$7),INDEX('Sales and count'!$G$4:$CC$300,$AJ57,0)))))</f>
        <v/>
      </c>
      <c r="BL57" s="350" t="str" cm="1">
        <f t="array" ref="BL57">IF(AX57="","",IF($AJ57="",0,_xlfn.LET(_xlpm.d,IFERROR(--'Sales and count'!$F$2:$CB$2,0),SUMPRODUCT(('Sales and count'!$G$3:$CC$3="Transactions")*(_xlpm.d&gt;=BL$6)*(_xlpm.d&lt;=BL$7),INDEX('Sales and count'!$G$4:$CC$300,$AJ57,0)))))</f>
        <v/>
      </c>
      <c r="BM57" s="350" cm="1">
        <f t="array" ref="BM57">IF(AK57="","",IF($AJ57="",0,_xlfn.LET(_xlpm.d,IFERROR(--'Sales and count'!$G$2:$CC$2,0),SUMPRODUCT(('Sales and count'!$G$3:$CC$3="Total")*(_xlpm.d&gt;=BM$6)*(_xlpm.d&lt;=BM$7),INDEX('Sales and count'!$G$4:$CC$300,$AJ57,0)))))</f>
        <v>81919.37</v>
      </c>
      <c r="BN57" s="350" cm="1">
        <f t="array" ref="BN57">IF(AL57="","",IF($AJ57="",0,_xlfn.LET(_xlpm.d,IFERROR(--'Sales and count'!$G$2:$CC$2,0),SUMPRODUCT(('Sales and count'!$G$3:$CC$3="Total")*(_xlpm.d&gt;=BN$6)*(_xlpm.d&lt;=BN$7),INDEX('Sales and count'!$G$4:$CC$300,$AJ57,0)))))</f>
        <v>2860.04</v>
      </c>
      <c r="BO57" s="350" cm="1">
        <f t="array" ref="BO57">IF(AM57="","",IF($AJ57="",0,_xlfn.LET(_xlpm.d,IFERROR(--'Sales and count'!$G$2:$CC$2,0),SUMPRODUCT(('Sales and count'!$G$3:$CC$3="Total")*(_xlpm.d&gt;=BO$6)*(_xlpm.d&lt;=BO$7),INDEX('Sales and count'!$G$4:$CC$300,$AJ57,0)))))</f>
        <v>3279.05</v>
      </c>
      <c r="BP57" s="350" cm="1">
        <f t="array" ref="BP57">IF(AN57="","",IF($AJ57="",0,_xlfn.LET(_xlpm.d,IFERROR(--'Sales and count'!$G$2:$CC$2,0),SUMPRODUCT(('Sales and count'!$G$3:$CC$3="Total")*(_xlpm.d&gt;=BP$6)*(_xlpm.d&lt;=BP$7),INDEX('Sales and count'!$G$4:$CC$300,$AJ57,0)))))</f>
        <v>1845.02</v>
      </c>
      <c r="BQ57" s="350" cm="1">
        <f t="array" ref="BQ57">IF(AO57="","",IF($AJ57="",0,_xlfn.LET(_xlpm.d,IFERROR(--'Sales and count'!$G$2:$CC$2,0),SUMPRODUCT(('Sales and count'!$G$3:$CC$3="Total")*(_xlpm.d&gt;=BQ$6)*(_xlpm.d&lt;=BQ$7),INDEX('Sales and count'!$G$4:$CC$300,$AJ57,0)))))</f>
        <v>2720.9</v>
      </c>
      <c r="BR57" s="350" cm="1">
        <f t="array" ref="BR57">IF(AP57="","",IF($AJ57="",0,_xlfn.LET(_xlpm.d,IFERROR(--'Sales and count'!$G$2:$CC$2,0),SUMPRODUCT(('Sales and count'!$G$3:$CC$3="Total")*(_xlpm.d&gt;=BR$6)*(_xlpm.d&lt;=BR$7),INDEX('Sales and count'!$G$4:$CC$300,$AJ57,0)))))</f>
        <v>3977.77</v>
      </c>
      <c r="BS57" s="350" cm="1">
        <f t="array" ref="BS57">IF(AQ57="","",IF($AJ57="",0,_xlfn.LET(_xlpm.d,IFERROR(--'Sales and count'!$G$2:$CC$2,0),SUMPRODUCT(('Sales and count'!$G$3:$CC$3="Total")*(_xlpm.d&gt;=BS$6)*(_xlpm.d&lt;=BS$7),INDEX('Sales and count'!$G$4:$CC$300,$AJ57,0)))))</f>
        <v>3263.82</v>
      </c>
      <c r="BT57" s="350" cm="1">
        <f t="array" ref="BT57">IF(AR57="","",IF($AJ57="",0,_xlfn.LET(_xlpm.d,IFERROR(--'Sales and count'!$G$2:$CC$2,0),SUMPRODUCT(('Sales and count'!$G$3:$CC$3="Total")*(_xlpm.d&gt;=BT$6)*(_xlpm.d&lt;=BT$7),INDEX('Sales and count'!$G$4:$CC$300,$AJ57,0)))))</f>
        <v>2915.88</v>
      </c>
      <c r="BU57" s="350" cm="1">
        <f t="array" ref="BU57">IF(AS57="","",IF($AJ57="",0,_xlfn.LET(_xlpm.d,IFERROR(--'Sales and count'!$G$2:$CC$2,0),SUMPRODUCT(('Sales and count'!$G$3:$CC$3="Total")*(_xlpm.d&gt;=BU$6)*(_xlpm.d&lt;=BU$7),INDEX('Sales and count'!$G$4:$CC$300,$AJ57,0)))))</f>
        <v>2738.16</v>
      </c>
      <c r="BV57" s="350" t="str" cm="1">
        <f t="array" ref="BV57">IF(AT57="","",IF($AJ57="",0,_xlfn.LET(_xlpm.d,IFERROR(--'Sales and count'!$G$2:$CC$2,0),SUMPRODUCT(('Sales and count'!$G$3:$CC$3="Total")*(_xlpm.d&gt;=BV$6)*(_xlpm.d&lt;=BV$7),INDEX('Sales and count'!$G$4:$CC$300,$AJ57,0)))))</f>
        <v/>
      </c>
      <c r="BW57" s="350" t="str" cm="1">
        <f t="array" ref="BW57">IF(AU57="","",IF($AJ57="",0,_xlfn.LET(_xlpm.d,IFERROR(--'Sales and count'!$G$2:$CC$2,0),SUMPRODUCT(('Sales and count'!$G$3:$CC$3="Total")*(_xlpm.d&gt;=BW$6)*(_xlpm.d&lt;=BW$7),INDEX('Sales and count'!$G$4:$CC$300,$AJ57,0)))))</f>
        <v/>
      </c>
      <c r="BX57" s="350" t="str" cm="1">
        <f t="array" ref="BX57">IF(AV57="","",IF($AJ57="",0,_xlfn.LET(_xlpm.d,IFERROR(--'Sales and count'!$G$2:$CC$2,0),SUMPRODUCT(('Sales and count'!$G$3:$CC$3="Total")*(_xlpm.d&gt;=BX$6)*(_xlpm.d&lt;=BX$7),INDEX('Sales and count'!$G$4:$CC$300,$AJ57,0)))))</f>
        <v/>
      </c>
      <c r="BY57" s="350" t="str" cm="1">
        <f t="array" ref="BY57">IF(AW57="","",IF($AJ57="",0,_xlfn.LET(_xlpm.d,IFERROR(--'Sales and count'!$G$2:$CC$2,0),SUMPRODUCT(('Sales and count'!$G$3:$CC$3="Total")*(_xlpm.d&gt;=BY$6)*(_xlpm.d&lt;=BY$7),INDEX('Sales and count'!$G$4:$CC$300,$AJ57,0)))))</f>
        <v/>
      </c>
      <c r="BZ57" s="350" t="str" cm="1">
        <f t="array" ref="BZ57">IF(AX57="","",IF($AJ57="",0,_xlfn.LET(_xlpm.d,IFERROR(--'Sales and count'!$G$2:$CC$2,0),SUMPRODUCT(('Sales and count'!$G$3:$CC$3="Total")*(_xlpm.d&gt;=BZ$6)*(_xlpm.d&lt;=BZ$7),INDEX('Sales and count'!$G$4:$CC$300,$AJ57,0)))))</f>
        <v/>
      </c>
    </row>
    <row r="58" spans="1:78" x14ac:dyDescent="0.25">
      <c r="A58" s="356" t="str">
        <v>JEDDARAB</v>
      </c>
      <c r="B58" s="356" t="str" cm="1">
        <f t="array" ref="B58">IF($A58="","",_xlfn.XLOOKUP($A58,TRIM(Footfall!$B$5:$B$301&amp;""),Footfall!$A$5:$A$301,""))</f>
        <v>Arab Mall Jeddah</v>
      </c>
      <c r="C58" s="356" t="str" cm="1">
        <f t="array" ref="C58">IF($A58="","",_xlfn.XLOOKUP($A58,TRIM('Sales and count'!$A$4:$A$300&amp;""),'Sales and count'!$C$4:$C$300,"Not set"))</f>
        <v>Jeddah</v>
      </c>
      <c r="D58" s="357">
        <f t="shared" ca="1" si="53"/>
        <v>0.16913050389445239</v>
      </c>
      <c r="E58" s="357">
        <f t="shared" ca="1" si="54"/>
        <v>0.16666666666666666</v>
      </c>
      <c r="F58" s="357">
        <f t="shared" ca="1" si="55"/>
        <v>0.14000000000000001</v>
      </c>
      <c r="G58" s="357">
        <f t="shared" ca="1" si="56"/>
        <v>0.15315315315315314</v>
      </c>
      <c r="H58" s="357">
        <f t="shared" ca="1" si="57"/>
        <v>0.12536443148688048</v>
      </c>
      <c r="I58" s="357">
        <f t="shared" ca="1" si="58"/>
        <v>0.1440329218106996</v>
      </c>
      <c r="J58" s="357">
        <f t="shared" ca="1" si="59"/>
        <v>0.11221945137157108</v>
      </c>
      <c r="K58" s="357">
        <f t="shared" ca="1" si="60"/>
        <v>0.1652542372881356</v>
      </c>
      <c r="L58" s="357">
        <f t="shared" ca="1" si="61"/>
        <v>0.15044247787610621</v>
      </c>
      <c r="M58" s="357" t="str">
        <f t="shared" si="62"/>
        <v/>
      </c>
      <c r="N58" s="357" t="str">
        <f t="shared" si="63"/>
        <v/>
      </c>
      <c r="O58" s="357" t="str">
        <f t="shared" si="64"/>
        <v/>
      </c>
      <c r="P58" s="357" t="str">
        <f t="shared" si="65"/>
        <v/>
      </c>
      <c r="Q58" s="357" t="str">
        <f t="shared" si="66"/>
        <v/>
      </c>
      <c r="R58" s="358" cm="1">
        <f t="array" aca="1" ref="R58" ca="1">IF(OR($A58="",D58=""),"",IFERROR(LOOKUP(2,1/(E58:Q58&lt;&gt;""),E58:Q58)-D58,""))</f>
        <v>-1.8688026018346182E-2</v>
      </c>
      <c r="S58" s="349"/>
      <c r="T58" s="362">
        <f t="shared" ca="1" si="67"/>
        <v>135.39619360902256</v>
      </c>
      <c r="U58" s="362">
        <f t="shared" ca="1" si="68"/>
        <v>130.45068965517243</v>
      </c>
      <c r="V58" s="362">
        <f t="shared" ca="1" si="69"/>
        <v>116.96678571428572</v>
      </c>
      <c r="W58" s="362">
        <f t="shared" ca="1" si="70"/>
        <v>177.38411764705884</v>
      </c>
      <c r="X58" s="362">
        <f t="shared" ca="1" si="71"/>
        <v>122.18325581395349</v>
      </c>
      <c r="Y58" s="362">
        <f t="shared" ca="1" si="72"/>
        <v>160.63614285714286</v>
      </c>
      <c r="Z58" s="362">
        <f t="shared" ca="1" si="73"/>
        <v>142.10266666666666</v>
      </c>
      <c r="AA58" s="362">
        <f t="shared" ca="1" si="74"/>
        <v>187.99205128205128</v>
      </c>
      <c r="AB58" s="362">
        <f t="shared" ca="1" si="75"/>
        <v>165.7464705882353</v>
      </c>
      <c r="AC58" s="362" t="str">
        <f t="shared" si="76"/>
        <v/>
      </c>
      <c r="AD58" s="362" t="str">
        <f t="shared" si="77"/>
        <v/>
      </c>
      <c r="AE58" s="362" t="str">
        <f t="shared" si="78"/>
        <v/>
      </c>
      <c r="AF58" s="362" t="str">
        <f t="shared" si="79"/>
        <v/>
      </c>
      <c r="AG58" s="362" t="str">
        <f t="shared" si="80"/>
        <v/>
      </c>
      <c r="AH58" s="363" cm="1">
        <f t="array" aca="1" ref="AH58" ca="1">IF(OR($A58="",T58=""),"",IFERROR(LOOKUP(2,1/(U58:AG58&lt;&gt;""),U58:AG58)-T58,""))</f>
        <v>30.350276979212737</v>
      </c>
      <c r="AI58" s="349"/>
      <c r="AJ58" s="349" cm="1">
        <f t="array" ref="AJ58">IF($A58="","",IFERROR(MATCH($A58,TRIM('Sales and count'!$A$4:$A$300&amp;""),0),""))</f>
        <v>42</v>
      </c>
      <c r="AK58" s="350" cm="1">
        <f t="array" ref="AK58">IF(OR($A58="",AK$6=""),"",IFERROR(INDEX(Footfall!$C$5:$BZ$301,MATCH($A58,TRIM(Footfall!$B$5:$B$301&amp;""),0),AK$5),0))</f>
        <v>6291</v>
      </c>
      <c r="AL58" s="350" cm="1">
        <f t="array" ref="AL58">IF(OR($A58="",AL$6=""),"",IFERROR(INDEX(Footfall!$C$5:$BZ$301,MATCH($A58,TRIM(Footfall!$B$5:$B$301&amp;""),0),AL$5),0))</f>
        <v>174</v>
      </c>
      <c r="AM58" s="350" cm="1">
        <f t="array" ref="AM58">IF(OR($A58="",AM$6=""),"",IFERROR(INDEX(Footfall!$C$5:$BZ$301,MATCH($A58,TRIM(Footfall!$B$5:$B$301&amp;""),0),AM$5),0))</f>
        <v>200</v>
      </c>
      <c r="AN58" s="350" cm="1">
        <f t="array" ref="AN58">IF(OR($A58="",AN$6=""),"",IFERROR(INDEX(Footfall!$C$5:$BZ$301,MATCH($A58,TRIM(Footfall!$B$5:$B$301&amp;""),0),AN$5),0))</f>
        <v>222</v>
      </c>
      <c r="AO58" s="350" cm="1">
        <f t="array" ref="AO58">IF(OR($A58="",AO$6=""),"",IFERROR(INDEX(Footfall!$C$5:$BZ$301,MATCH($A58,TRIM(Footfall!$B$5:$B$301&amp;""),0),AO$5),0))</f>
        <v>343</v>
      </c>
      <c r="AP58" s="350" cm="1">
        <f t="array" ref="AP58">IF(OR($A58="",AP$6=""),"",IFERROR(INDEX(Footfall!$C$5:$BZ$301,MATCH($A58,TRIM(Footfall!$B$5:$B$301&amp;""),0),AP$5),0))</f>
        <v>486</v>
      </c>
      <c r="AQ58" s="350" cm="1">
        <f t="array" ref="AQ58">IF(OR($A58="",AQ$6=""),"",IFERROR(INDEX(Footfall!$C$5:$BZ$301,MATCH($A58,TRIM(Footfall!$B$5:$B$301&amp;""),0),AQ$5),0))</f>
        <v>401</v>
      </c>
      <c r="AR58" s="350" cm="1">
        <f t="array" ref="AR58">IF(OR($A58="",AR$6=""),"",IFERROR(INDEX(Footfall!$C$5:$BZ$301,MATCH($A58,TRIM(Footfall!$B$5:$B$301&amp;""),0),AR$5),0))</f>
        <v>236</v>
      </c>
      <c r="AS58" s="350" cm="1">
        <f t="array" ref="AS58">IF(OR($A58="",AS$6=""),"",IFERROR(INDEX(Footfall!$C$5:$BZ$301,MATCH($A58,TRIM(Footfall!$B$5:$B$301&amp;""),0),AS$5),0))</f>
        <v>226</v>
      </c>
      <c r="AT58" s="350" t="str" cm="1">
        <f t="array" ref="AT58">IF(OR($A58="",AT$6=""),"",IFERROR(INDEX(Footfall!$C$5:$BZ$301,MATCH($A58,TRIM(Footfall!$B$5:$B$301&amp;""),0),AT$5),0))</f>
        <v/>
      </c>
      <c r="AU58" s="350" t="str" cm="1">
        <f t="array" ref="AU58">IF(OR($A58="",AU$6=""),"",IFERROR(INDEX(Footfall!$C$5:$BZ$301,MATCH($A58,TRIM(Footfall!$B$5:$B$301&amp;""),0),AU$5),0))</f>
        <v/>
      </c>
      <c r="AV58" s="350" t="str" cm="1">
        <f t="array" ref="AV58">IF(OR($A58="",AV$6=""),"",IFERROR(INDEX(Footfall!$C$5:$BZ$301,MATCH($A58,TRIM(Footfall!$B$5:$B$301&amp;""),0),AV$5),0))</f>
        <v/>
      </c>
      <c r="AW58" s="350" t="str" cm="1">
        <f t="array" ref="AW58">IF(OR($A58="",AW$6=""),"",IFERROR(INDEX(Footfall!$C$5:$BZ$301,MATCH($A58,TRIM(Footfall!$B$5:$B$301&amp;""),0),AW$5),0))</f>
        <v/>
      </c>
      <c r="AX58" s="350" t="str" cm="1">
        <f t="array" ref="AX58">IF(OR($A58="",AX$6=""),"",IFERROR(INDEX(Footfall!$C$5:$BZ$301,MATCH($A58,TRIM(Footfall!$B$5:$B$301&amp;""),0),AX$5),0))</f>
        <v/>
      </c>
      <c r="AY58" s="350" cm="1">
        <f t="array" aca="1" ref="AY58" ca="1">IF(AK58="","",IF($AJ58="",0,_xlfn.LET(_xlpm.d,IFERROR(--'Sales and count'!$F$2:$CB$2,0),SUMPRODUCT(('Sales and count'!$G$3:$CC$3="Transactions")*(_xlpm.d&gt;=AY$6)*(_xlpm.d&lt;=AY$7),INDEX('Sales and count'!$G$4:$CC$300,$AJ58,0)))))</f>
        <v>1064</v>
      </c>
      <c r="AZ58" s="350" cm="1">
        <f t="array" aca="1" ref="AZ58" ca="1">IF(AL58="","",IF($AJ58="",0,_xlfn.LET(_xlpm.d,IFERROR(--'Sales and count'!$F$2:$CB$2,0),SUMPRODUCT(('Sales and count'!$G$3:$CC$3="Transactions")*(_xlpm.d&gt;=AZ$6)*(_xlpm.d&lt;=AZ$7),INDEX('Sales and count'!$G$4:$CC$300,$AJ58,0)))))</f>
        <v>29</v>
      </c>
      <c r="BA58" s="350" cm="1">
        <f t="array" aca="1" ref="BA58" ca="1">IF(AM58="","",IF($AJ58="",0,_xlfn.LET(_xlpm.d,IFERROR(--'Sales and count'!$F$2:$CB$2,0),SUMPRODUCT(('Sales and count'!$G$3:$CC$3="Transactions")*(_xlpm.d&gt;=BA$6)*(_xlpm.d&lt;=BA$7),INDEX('Sales and count'!$G$4:$CC$300,$AJ58,0)))))</f>
        <v>28</v>
      </c>
      <c r="BB58" s="350" cm="1">
        <f t="array" aca="1" ref="BB58" ca="1">IF(AN58="","",IF($AJ58="",0,_xlfn.LET(_xlpm.d,IFERROR(--'Sales and count'!$F$2:$CB$2,0),SUMPRODUCT(('Sales and count'!$G$3:$CC$3="Transactions")*(_xlpm.d&gt;=BB$6)*(_xlpm.d&lt;=BB$7),INDEX('Sales and count'!$G$4:$CC$300,$AJ58,0)))))</f>
        <v>34</v>
      </c>
      <c r="BC58" s="350" cm="1">
        <f t="array" aca="1" ref="BC58" ca="1">IF(AO58="","",IF($AJ58="",0,_xlfn.LET(_xlpm.d,IFERROR(--'Sales and count'!$F$2:$CB$2,0),SUMPRODUCT(('Sales and count'!$G$3:$CC$3="Transactions")*(_xlpm.d&gt;=BC$6)*(_xlpm.d&lt;=BC$7),INDEX('Sales and count'!$G$4:$CC$300,$AJ58,0)))))</f>
        <v>43</v>
      </c>
      <c r="BD58" s="350" cm="1">
        <f t="array" aca="1" ref="BD58" ca="1">IF(AP58="","",IF($AJ58="",0,_xlfn.LET(_xlpm.d,IFERROR(--'Sales and count'!$F$2:$CB$2,0),SUMPRODUCT(('Sales and count'!$G$3:$CC$3="Transactions")*(_xlpm.d&gt;=BD$6)*(_xlpm.d&lt;=BD$7),INDEX('Sales and count'!$G$4:$CC$300,$AJ58,0)))))</f>
        <v>70</v>
      </c>
      <c r="BE58" s="350" cm="1">
        <f t="array" aca="1" ref="BE58" ca="1">IF(AQ58="","",IF($AJ58="",0,_xlfn.LET(_xlpm.d,IFERROR(--'Sales and count'!$F$2:$CB$2,0),SUMPRODUCT(('Sales and count'!$G$3:$CC$3="Transactions")*(_xlpm.d&gt;=BE$6)*(_xlpm.d&lt;=BE$7),INDEX('Sales and count'!$G$4:$CC$300,$AJ58,0)))))</f>
        <v>45</v>
      </c>
      <c r="BF58" s="350" cm="1">
        <f t="array" aca="1" ref="BF58" ca="1">IF(AR58="","",IF($AJ58="",0,_xlfn.LET(_xlpm.d,IFERROR(--'Sales and count'!$F$2:$CB$2,0),SUMPRODUCT(('Sales and count'!$G$3:$CC$3="Transactions")*(_xlpm.d&gt;=BF$6)*(_xlpm.d&lt;=BF$7),INDEX('Sales and count'!$G$4:$CC$300,$AJ58,0)))))</f>
        <v>39</v>
      </c>
      <c r="BG58" s="350" cm="1">
        <f t="array" aca="1" ref="BG58" ca="1">IF(AS58="","",IF($AJ58="",0,_xlfn.LET(_xlpm.d,IFERROR(--'Sales and count'!$F$2:$CB$2,0),SUMPRODUCT(('Sales and count'!$G$3:$CC$3="Transactions")*(_xlpm.d&gt;=BG$6)*(_xlpm.d&lt;=BG$7),INDEX('Sales and count'!$G$4:$CC$300,$AJ58,0)))))</f>
        <v>34</v>
      </c>
      <c r="BH58" s="350" t="str" cm="1">
        <f t="array" ref="BH58">IF(AT58="","",IF($AJ58="",0,_xlfn.LET(_xlpm.d,IFERROR(--'Sales and count'!$F$2:$CB$2,0),SUMPRODUCT(('Sales and count'!$G$3:$CC$3="Transactions")*(_xlpm.d&gt;=BH$6)*(_xlpm.d&lt;=BH$7),INDEX('Sales and count'!$G$4:$CC$300,$AJ58,0)))))</f>
        <v/>
      </c>
      <c r="BI58" s="350" t="str" cm="1">
        <f t="array" ref="BI58">IF(AU58="","",IF($AJ58="",0,_xlfn.LET(_xlpm.d,IFERROR(--'Sales and count'!$F$2:$CB$2,0),SUMPRODUCT(('Sales and count'!$G$3:$CC$3="Transactions")*(_xlpm.d&gt;=BI$6)*(_xlpm.d&lt;=BI$7),INDEX('Sales and count'!$G$4:$CC$300,$AJ58,0)))))</f>
        <v/>
      </c>
      <c r="BJ58" s="350" t="str" cm="1">
        <f t="array" ref="BJ58">IF(AV58="","",IF($AJ58="",0,_xlfn.LET(_xlpm.d,IFERROR(--'Sales and count'!$F$2:$CB$2,0),SUMPRODUCT(('Sales and count'!$G$3:$CC$3="Transactions")*(_xlpm.d&gt;=BJ$6)*(_xlpm.d&lt;=BJ$7),INDEX('Sales and count'!$G$4:$CC$300,$AJ58,0)))))</f>
        <v/>
      </c>
      <c r="BK58" s="350" t="str" cm="1">
        <f t="array" ref="BK58">IF(AW58="","",IF($AJ58="",0,_xlfn.LET(_xlpm.d,IFERROR(--'Sales and count'!$F$2:$CB$2,0),SUMPRODUCT(('Sales and count'!$G$3:$CC$3="Transactions")*(_xlpm.d&gt;=BK$6)*(_xlpm.d&lt;=BK$7),INDEX('Sales and count'!$G$4:$CC$300,$AJ58,0)))))</f>
        <v/>
      </c>
      <c r="BL58" s="350" t="str" cm="1">
        <f t="array" ref="BL58">IF(AX58="","",IF($AJ58="",0,_xlfn.LET(_xlpm.d,IFERROR(--'Sales and count'!$F$2:$CB$2,0),SUMPRODUCT(('Sales and count'!$G$3:$CC$3="Transactions")*(_xlpm.d&gt;=BL$6)*(_xlpm.d&lt;=BL$7),INDEX('Sales and count'!$G$4:$CC$300,$AJ58,0)))))</f>
        <v/>
      </c>
      <c r="BM58" s="350" cm="1">
        <f t="array" ref="BM58">IF(AK58="","",IF($AJ58="",0,_xlfn.LET(_xlpm.d,IFERROR(--'Sales and count'!$G$2:$CC$2,0),SUMPRODUCT(('Sales and count'!$G$3:$CC$3="Total")*(_xlpm.d&gt;=BM$6)*(_xlpm.d&lt;=BM$7),INDEX('Sales and count'!$G$4:$CC$300,$AJ58,0)))))</f>
        <v>144061.55000000002</v>
      </c>
      <c r="BN58" s="350" cm="1">
        <f t="array" ref="BN58">IF(AL58="","",IF($AJ58="",0,_xlfn.LET(_xlpm.d,IFERROR(--'Sales and count'!$G$2:$CC$2,0),SUMPRODUCT(('Sales and count'!$G$3:$CC$3="Total")*(_xlpm.d&gt;=BN$6)*(_xlpm.d&lt;=BN$7),INDEX('Sales and count'!$G$4:$CC$300,$AJ58,0)))))</f>
        <v>3783.07</v>
      </c>
      <c r="BO58" s="350" cm="1">
        <f t="array" ref="BO58">IF(AM58="","",IF($AJ58="",0,_xlfn.LET(_xlpm.d,IFERROR(--'Sales and count'!$G$2:$CC$2,0),SUMPRODUCT(('Sales and count'!$G$3:$CC$3="Total")*(_xlpm.d&gt;=BO$6)*(_xlpm.d&lt;=BO$7),INDEX('Sales and count'!$G$4:$CC$300,$AJ58,0)))))</f>
        <v>3275.07</v>
      </c>
      <c r="BP58" s="350" cm="1">
        <f t="array" ref="BP58">IF(AN58="","",IF($AJ58="",0,_xlfn.LET(_xlpm.d,IFERROR(--'Sales and count'!$G$2:$CC$2,0),SUMPRODUCT(('Sales and count'!$G$3:$CC$3="Total")*(_xlpm.d&gt;=BP$6)*(_xlpm.d&lt;=BP$7),INDEX('Sales and count'!$G$4:$CC$300,$AJ58,0)))))</f>
        <v>6031.06</v>
      </c>
      <c r="BQ58" s="350" cm="1">
        <f t="array" ref="BQ58">IF(AO58="","",IF($AJ58="",0,_xlfn.LET(_xlpm.d,IFERROR(--'Sales and count'!$G$2:$CC$2,0),SUMPRODUCT(('Sales and count'!$G$3:$CC$3="Total")*(_xlpm.d&gt;=BQ$6)*(_xlpm.d&lt;=BQ$7),INDEX('Sales and count'!$G$4:$CC$300,$AJ58,0)))))</f>
        <v>5253.88</v>
      </c>
      <c r="BR58" s="350" cm="1">
        <f t="array" ref="BR58">IF(AP58="","",IF($AJ58="",0,_xlfn.LET(_xlpm.d,IFERROR(--'Sales and count'!$G$2:$CC$2,0),SUMPRODUCT(('Sales and count'!$G$3:$CC$3="Total")*(_xlpm.d&gt;=BR$6)*(_xlpm.d&lt;=BR$7),INDEX('Sales and count'!$G$4:$CC$300,$AJ58,0)))))</f>
        <v>11244.53</v>
      </c>
      <c r="BS58" s="350" cm="1">
        <f t="array" ref="BS58">IF(AQ58="","",IF($AJ58="",0,_xlfn.LET(_xlpm.d,IFERROR(--'Sales and count'!$G$2:$CC$2,0),SUMPRODUCT(('Sales and count'!$G$3:$CC$3="Total")*(_xlpm.d&gt;=BS$6)*(_xlpm.d&lt;=BS$7),INDEX('Sales and count'!$G$4:$CC$300,$AJ58,0)))))</f>
        <v>6394.62</v>
      </c>
      <c r="BT58" s="350" cm="1">
        <f t="array" ref="BT58">IF(AR58="","",IF($AJ58="",0,_xlfn.LET(_xlpm.d,IFERROR(--'Sales and count'!$G$2:$CC$2,0),SUMPRODUCT(('Sales and count'!$G$3:$CC$3="Total")*(_xlpm.d&gt;=BT$6)*(_xlpm.d&lt;=BT$7),INDEX('Sales and count'!$G$4:$CC$300,$AJ58,0)))))</f>
        <v>7331.69</v>
      </c>
      <c r="BU58" s="350" cm="1">
        <f t="array" ref="BU58">IF(AS58="","",IF($AJ58="",0,_xlfn.LET(_xlpm.d,IFERROR(--'Sales and count'!$G$2:$CC$2,0),SUMPRODUCT(('Sales and count'!$G$3:$CC$3="Total")*(_xlpm.d&gt;=BU$6)*(_xlpm.d&lt;=BU$7),INDEX('Sales and count'!$G$4:$CC$300,$AJ58,0)))))</f>
        <v>5635.38</v>
      </c>
      <c r="BV58" s="350" t="str" cm="1">
        <f t="array" ref="BV58">IF(AT58="","",IF($AJ58="",0,_xlfn.LET(_xlpm.d,IFERROR(--'Sales and count'!$G$2:$CC$2,0),SUMPRODUCT(('Sales and count'!$G$3:$CC$3="Total")*(_xlpm.d&gt;=BV$6)*(_xlpm.d&lt;=BV$7),INDEX('Sales and count'!$G$4:$CC$300,$AJ58,0)))))</f>
        <v/>
      </c>
      <c r="BW58" s="350" t="str" cm="1">
        <f t="array" ref="BW58">IF(AU58="","",IF($AJ58="",0,_xlfn.LET(_xlpm.d,IFERROR(--'Sales and count'!$G$2:$CC$2,0),SUMPRODUCT(('Sales and count'!$G$3:$CC$3="Total")*(_xlpm.d&gt;=BW$6)*(_xlpm.d&lt;=BW$7),INDEX('Sales and count'!$G$4:$CC$300,$AJ58,0)))))</f>
        <v/>
      </c>
      <c r="BX58" s="350" t="str" cm="1">
        <f t="array" ref="BX58">IF(AV58="","",IF($AJ58="",0,_xlfn.LET(_xlpm.d,IFERROR(--'Sales and count'!$G$2:$CC$2,0),SUMPRODUCT(('Sales and count'!$G$3:$CC$3="Total")*(_xlpm.d&gt;=BX$6)*(_xlpm.d&lt;=BX$7),INDEX('Sales and count'!$G$4:$CC$300,$AJ58,0)))))</f>
        <v/>
      </c>
      <c r="BY58" s="350" t="str" cm="1">
        <f t="array" ref="BY58">IF(AW58="","",IF($AJ58="",0,_xlfn.LET(_xlpm.d,IFERROR(--'Sales and count'!$G$2:$CC$2,0),SUMPRODUCT(('Sales and count'!$G$3:$CC$3="Total")*(_xlpm.d&gt;=BY$6)*(_xlpm.d&lt;=BY$7),INDEX('Sales and count'!$G$4:$CC$300,$AJ58,0)))))</f>
        <v/>
      </c>
      <c r="BZ58" s="350" t="str" cm="1">
        <f t="array" ref="BZ58">IF(AX58="","",IF($AJ58="",0,_xlfn.LET(_xlpm.d,IFERROR(--'Sales and count'!$G$2:$CC$2,0),SUMPRODUCT(('Sales and count'!$G$3:$CC$3="Total")*(_xlpm.d&gt;=BZ$6)*(_xlpm.d&lt;=BZ$7),INDEX('Sales and count'!$G$4:$CC$300,$AJ58,0)))))</f>
        <v/>
      </c>
    </row>
    <row r="59" spans="1:78" x14ac:dyDescent="0.25">
      <c r="A59" s="356" t="str">
        <v>JEDDAZIZ</v>
      </c>
      <c r="B59" s="356" t="str" cm="1">
        <f t="array" ref="B59">IF($A59="","",_xlfn.XLOOKUP($A59,TRIM(Footfall!$B$5:$B$301&amp;""),Footfall!$A$5:$A$301,""))</f>
        <v>Aziz Mall Jeddah</v>
      </c>
      <c r="C59" s="356" t="str" cm="1">
        <f t="array" ref="C59">IF($A59="","",_xlfn.XLOOKUP($A59,TRIM('Sales and count'!$A$4:$A$300&amp;""),'Sales and count'!$C$4:$C$300,"Not set"))</f>
        <v>Jeddah</v>
      </c>
      <c r="D59" s="357">
        <f t="shared" ca="1" si="53"/>
        <v>0.1378610108303249</v>
      </c>
      <c r="E59" s="357">
        <f t="shared" ca="1" si="54"/>
        <v>0.14685314685314685</v>
      </c>
      <c r="F59" s="357">
        <f t="shared" ca="1" si="55"/>
        <v>0.15555555555555556</v>
      </c>
      <c r="G59" s="357">
        <f t="shared" ca="1" si="56"/>
        <v>0.11165048543689321</v>
      </c>
      <c r="H59" s="357">
        <f t="shared" ca="1" si="57"/>
        <v>0.13461538461538461</v>
      </c>
      <c r="I59" s="357">
        <f t="shared" ca="1" si="58"/>
        <v>7.6696165191740412E-2</v>
      </c>
      <c r="J59" s="357">
        <f t="shared" ca="1" si="59"/>
        <v>6.093189964157706E-2</v>
      </c>
      <c r="K59" s="357">
        <f t="shared" ca="1" si="60"/>
        <v>9.5238095238095233E-2</v>
      </c>
      <c r="L59" s="357">
        <f t="shared" ca="1" si="61"/>
        <v>0.13756613756613756</v>
      </c>
      <c r="M59" s="357" t="str">
        <f t="shared" si="62"/>
        <v/>
      </c>
      <c r="N59" s="357" t="str">
        <f t="shared" si="63"/>
        <v/>
      </c>
      <c r="O59" s="357" t="str">
        <f t="shared" si="64"/>
        <v/>
      </c>
      <c r="P59" s="357" t="str">
        <f t="shared" si="65"/>
        <v/>
      </c>
      <c r="Q59" s="357" t="str">
        <f t="shared" si="66"/>
        <v/>
      </c>
      <c r="R59" s="358" cm="1">
        <f t="array" aca="1" ref="R59" ca="1">IF(OR($A59="",D59=""),"",IFERROR(LOOKUP(2,1/(E59:Q59&lt;&gt;""),E59:Q59)-D59,""))</f>
        <v>-2.9487326418733972E-4</v>
      </c>
      <c r="S59" s="349"/>
      <c r="T59" s="362">
        <f t="shared" ca="1" si="67"/>
        <v>136.78022913256959</v>
      </c>
      <c r="U59" s="362">
        <f t="shared" ca="1" si="68"/>
        <v>101.00285714285714</v>
      </c>
      <c r="V59" s="362">
        <f t="shared" ca="1" si="69"/>
        <v>140.85904761904763</v>
      </c>
      <c r="W59" s="362">
        <f t="shared" ca="1" si="70"/>
        <v>119.30652173913045</v>
      </c>
      <c r="X59" s="362">
        <f t="shared" ca="1" si="71"/>
        <v>131.23261904761907</v>
      </c>
      <c r="Y59" s="362">
        <f t="shared" ca="1" si="72"/>
        <v>136.53423076923076</v>
      </c>
      <c r="Z59" s="362">
        <f t="shared" ca="1" si="73"/>
        <v>140.58176470588234</v>
      </c>
      <c r="AA59" s="362">
        <f t="shared" ca="1" si="74"/>
        <v>145.36750000000001</v>
      </c>
      <c r="AB59" s="362">
        <f t="shared" ca="1" si="75"/>
        <v>175.12846153846155</v>
      </c>
      <c r="AC59" s="362" t="str">
        <f t="shared" si="76"/>
        <v/>
      </c>
      <c r="AD59" s="362" t="str">
        <f t="shared" si="77"/>
        <v/>
      </c>
      <c r="AE59" s="362" t="str">
        <f t="shared" si="78"/>
        <v/>
      </c>
      <c r="AF59" s="362" t="str">
        <f t="shared" si="79"/>
        <v/>
      </c>
      <c r="AG59" s="362" t="str">
        <f t="shared" si="80"/>
        <v/>
      </c>
      <c r="AH59" s="363" cm="1">
        <f t="array" aca="1" ref="AH59" ca="1">IF(OR($A59="",T59=""),"",IFERROR(LOOKUP(2,1/(U59:AG59&lt;&gt;""),U59:AG59)-T59,""))</f>
        <v>38.348232405891963</v>
      </c>
      <c r="AI59" s="349"/>
      <c r="AJ59" s="349" cm="1">
        <f t="array" ref="AJ59">IF($A59="","",IFERROR(MATCH($A59,TRIM('Sales and count'!$A$4:$A$300&amp;""),0),""))</f>
        <v>29</v>
      </c>
      <c r="AK59" s="350" cm="1">
        <f t="array" ref="AK59">IF(OR($A59="",AK$6=""),"",IFERROR(INDEX(Footfall!$C$5:$BZ$301,MATCH($A59,TRIM(Footfall!$B$5:$B$301&amp;""),0),AK$5),0))</f>
        <v>4432</v>
      </c>
      <c r="AL59" s="350" cm="1">
        <f t="array" ref="AL59">IF(OR($A59="",AL$6=""),"",IFERROR(INDEX(Footfall!$C$5:$BZ$301,MATCH($A59,TRIM(Footfall!$B$5:$B$301&amp;""),0),AL$5),0))</f>
        <v>143</v>
      </c>
      <c r="AM59" s="350" cm="1">
        <f t="array" ref="AM59">IF(OR($A59="",AM$6=""),"",IFERROR(INDEX(Footfall!$C$5:$BZ$301,MATCH($A59,TRIM(Footfall!$B$5:$B$301&amp;""),0),AM$5),0))</f>
        <v>135</v>
      </c>
      <c r="AN59" s="350" cm="1">
        <f t="array" ref="AN59">IF(OR($A59="",AN$6=""),"",IFERROR(INDEX(Footfall!$C$5:$BZ$301,MATCH($A59,TRIM(Footfall!$B$5:$B$301&amp;""),0),AN$5),0))</f>
        <v>206</v>
      </c>
      <c r="AO59" s="350" cm="1">
        <f t="array" ref="AO59">IF(OR($A59="",AO$6=""),"",IFERROR(INDEX(Footfall!$C$5:$BZ$301,MATCH($A59,TRIM(Footfall!$B$5:$B$301&amp;""),0),AO$5),0))</f>
        <v>312</v>
      </c>
      <c r="AP59" s="350" cm="1">
        <f t="array" ref="AP59">IF(OR($A59="",AP$6=""),"",IFERROR(INDEX(Footfall!$C$5:$BZ$301,MATCH($A59,TRIM(Footfall!$B$5:$B$301&amp;""),0),AP$5),0))</f>
        <v>339</v>
      </c>
      <c r="AQ59" s="350" cm="1">
        <f t="array" ref="AQ59">IF(OR($A59="",AQ$6=""),"",IFERROR(INDEX(Footfall!$C$5:$BZ$301,MATCH($A59,TRIM(Footfall!$B$5:$B$301&amp;""),0),AQ$5),0))</f>
        <v>279</v>
      </c>
      <c r="AR59" s="350" cm="1">
        <f t="array" ref="AR59">IF(OR($A59="",AR$6=""),"",IFERROR(INDEX(Footfall!$C$5:$BZ$301,MATCH($A59,TRIM(Footfall!$B$5:$B$301&amp;""),0),AR$5),0))</f>
        <v>168</v>
      </c>
      <c r="AS59" s="350" cm="1">
        <f t="array" ref="AS59">IF(OR($A59="",AS$6=""),"",IFERROR(INDEX(Footfall!$C$5:$BZ$301,MATCH($A59,TRIM(Footfall!$B$5:$B$301&amp;""),0),AS$5),0))</f>
        <v>189</v>
      </c>
      <c r="AT59" s="350" t="str" cm="1">
        <f t="array" ref="AT59">IF(OR($A59="",AT$6=""),"",IFERROR(INDEX(Footfall!$C$5:$BZ$301,MATCH($A59,TRIM(Footfall!$B$5:$B$301&amp;""),0),AT$5),0))</f>
        <v/>
      </c>
      <c r="AU59" s="350" t="str" cm="1">
        <f t="array" ref="AU59">IF(OR($A59="",AU$6=""),"",IFERROR(INDEX(Footfall!$C$5:$BZ$301,MATCH($A59,TRIM(Footfall!$B$5:$B$301&amp;""),0),AU$5),0))</f>
        <v/>
      </c>
      <c r="AV59" s="350" t="str" cm="1">
        <f t="array" ref="AV59">IF(OR($A59="",AV$6=""),"",IFERROR(INDEX(Footfall!$C$5:$BZ$301,MATCH($A59,TRIM(Footfall!$B$5:$B$301&amp;""),0),AV$5),0))</f>
        <v/>
      </c>
      <c r="AW59" s="350" t="str" cm="1">
        <f t="array" ref="AW59">IF(OR($A59="",AW$6=""),"",IFERROR(INDEX(Footfall!$C$5:$BZ$301,MATCH($A59,TRIM(Footfall!$B$5:$B$301&amp;""),0),AW$5),0))</f>
        <v/>
      </c>
      <c r="AX59" s="350" t="str" cm="1">
        <f t="array" ref="AX59">IF(OR($A59="",AX$6=""),"",IFERROR(INDEX(Footfall!$C$5:$BZ$301,MATCH($A59,TRIM(Footfall!$B$5:$B$301&amp;""),0),AX$5),0))</f>
        <v/>
      </c>
      <c r="AY59" s="350" cm="1">
        <f t="array" aca="1" ref="AY59" ca="1">IF(AK59="","",IF($AJ59="",0,_xlfn.LET(_xlpm.d,IFERROR(--'Sales and count'!$F$2:$CB$2,0),SUMPRODUCT(('Sales and count'!$G$3:$CC$3="Transactions")*(_xlpm.d&gt;=AY$6)*(_xlpm.d&lt;=AY$7),INDEX('Sales and count'!$G$4:$CC$300,$AJ59,0)))))</f>
        <v>611</v>
      </c>
      <c r="AZ59" s="350" cm="1">
        <f t="array" aca="1" ref="AZ59" ca="1">IF(AL59="","",IF($AJ59="",0,_xlfn.LET(_xlpm.d,IFERROR(--'Sales and count'!$F$2:$CB$2,0),SUMPRODUCT(('Sales and count'!$G$3:$CC$3="Transactions")*(_xlpm.d&gt;=AZ$6)*(_xlpm.d&lt;=AZ$7),INDEX('Sales and count'!$G$4:$CC$300,$AJ59,0)))))</f>
        <v>21</v>
      </c>
      <c r="BA59" s="350" cm="1">
        <f t="array" aca="1" ref="BA59" ca="1">IF(AM59="","",IF($AJ59="",0,_xlfn.LET(_xlpm.d,IFERROR(--'Sales and count'!$F$2:$CB$2,0),SUMPRODUCT(('Sales and count'!$G$3:$CC$3="Transactions")*(_xlpm.d&gt;=BA$6)*(_xlpm.d&lt;=BA$7),INDEX('Sales and count'!$G$4:$CC$300,$AJ59,0)))))</f>
        <v>21</v>
      </c>
      <c r="BB59" s="350" cm="1">
        <f t="array" aca="1" ref="BB59" ca="1">IF(AN59="","",IF($AJ59="",0,_xlfn.LET(_xlpm.d,IFERROR(--'Sales and count'!$F$2:$CB$2,0),SUMPRODUCT(('Sales and count'!$G$3:$CC$3="Transactions")*(_xlpm.d&gt;=BB$6)*(_xlpm.d&lt;=BB$7),INDEX('Sales and count'!$G$4:$CC$300,$AJ59,0)))))</f>
        <v>23</v>
      </c>
      <c r="BC59" s="350" cm="1">
        <f t="array" aca="1" ref="BC59" ca="1">IF(AO59="","",IF($AJ59="",0,_xlfn.LET(_xlpm.d,IFERROR(--'Sales and count'!$F$2:$CB$2,0),SUMPRODUCT(('Sales and count'!$G$3:$CC$3="Transactions")*(_xlpm.d&gt;=BC$6)*(_xlpm.d&lt;=BC$7),INDEX('Sales and count'!$G$4:$CC$300,$AJ59,0)))))</f>
        <v>42</v>
      </c>
      <c r="BD59" s="350" cm="1">
        <f t="array" aca="1" ref="BD59" ca="1">IF(AP59="","",IF($AJ59="",0,_xlfn.LET(_xlpm.d,IFERROR(--'Sales and count'!$F$2:$CB$2,0),SUMPRODUCT(('Sales and count'!$G$3:$CC$3="Transactions")*(_xlpm.d&gt;=BD$6)*(_xlpm.d&lt;=BD$7),INDEX('Sales and count'!$G$4:$CC$300,$AJ59,0)))))</f>
        <v>26</v>
      </c>
      <c r="BE59" s="350" cm="1">
        <f t="array" aca="1" ref="BE59" ca="1">IF(AQ59="","",IF($AJ59="",0,_xlfn.LET(_xlpm.d,IFERROR(--'Sales and count'!$F$2:$CB$2,0),SUMPRODUCT(('Sales and count'!$G$3:$CC$3="Transactions")*(_xlpm.d&gt;=BE$6)*(_xlpm.d&lt;=BE$7),INDEX('Sales and count'!$G$4:$CC$300,$AJ59,0)))))</f>
        <v>17</v>
      </c>
      <c r="BF59" s="350" cm="1">
        <f t="array" aca="1" ref="BF59" ca="1">IF(AR59="","",IF($AJ59="",0,_xlfn.LET(_xlpm.d,IFERROR(--'Sales and count'!$F$2:$CB$2,0),SUMPRODUCT(('Sales and count'!$G$3:$CC$3="Transactions")*(_xlpm.d&gt;=BF$6)*(_xlpm.d&lt;=BF$7),INDEX('Sales and count'!$G$4:$CC$300,$AJ59,0)))))</f>
        <v>16</v>
      </c>
      <c r="BG59" s="350" cm="1">
        <f t="array" aca="1" ref="BG59" ca="1">IF(AS59="","",IF($AJ59="",0,_xlfn.LET(_xlpm.d,IFERROR(--'Sales and count'!$F$2:$CB$2,0),SUMPRODUCT(('Sales and count'!$G$3:$CC$3="Transactions")*(_xlpm.d&gt;=BG$6)*(_xlpm.d&lt;=BG$7),INDEX('Sales and count'!$G$4:$CC$300,$AJ59,0)))))</f>
        <v>26</v>
      </c>
      <c r="BH59" s="350" t="str" cm="1">
        <f t="array" ref="BH59">IF(AT59="","",IF($AJ59="",0,_xlfn.LET(_xlpm.d,IFERROR(--'Sales and count'!$F$2:$CB$2,0),SUMPRODUCT(('Sales and count'!$G$3:$CC$3="Transactions")*(_xlpm.d&gt;=BH$6)*(_xlpm.d&lt;=BH$7),INDEX('Sales and count'!$G$4:$CC$300,$AJ59,0)))))</f>
        <v/>
      </c>
      <c r="BI59" s="350" t="str" cm="1">
        <f t="array" ref="BI59">IF(AU59="","",IF($AJ59="",0,_xlfn.LET(_xlpm.d,IFERROR(--'Sales and count'!$F$2:$CB$2,0),SUMPRODUCT(('Sales and count'!$G$3:$CC$3="Transactions")*(_xlpm.d&gt;=BI$6)*(_xlpm.d&lt;=BI$7),INDEX('Sales and count'!$G$4:$CC$300,$AJ59,0)))))</f>
        <v/>
      </c>
      <c r="BJ59" s="350" t="str" cm="1">
        <f t="array" ref="BJ59">IF(AV59="","",IF($AJ59="",0,_xlfn.LET(_xlpm.d,IFERROR(--'Sales and count'!$F$2:$CB$2,0),SUMPRODUCT(('Sales and count'!$G$3:$CC$3="Transactions")*(_xlpm.d&gt;=BJ$6)*(_xlpm.d&lt;=BJ$7),INDEX('Sales and count'!$G$4:$CC$300,$AJ59,0)))))</f>
        <v/>
      </c>
      <c r="BK59" s="350" t="str" cm="1">
        <f t="array" ref="BK59">IF(AW59="","",IF($AJ59="",0,_xlfn.LET(_xlpm.d,IFERROR(--'Sales and count'!$F$2:$CB$2,0),SUMPRODUCT(('Sales and count'!$G$3:$CC$3="Transactions")*(_xlpm.d&gt;=BK$6)*(_xlpm.d&lt;=BK$7),INDEX('Sales and count'!$G$4:$CC$300,$AJ59,0)))))</f>
        <v/>
      </c>
      <c r="BL59" s="350" t="str" cm="1">
        <f t="array" ref="BL59">IF(AX59="","",IF($AJ59="",0,_xlfn.LET(_xlpm.d,IFERROR(--'Sales and count'!$F$2:$CB$2,0),SUMPRODUCT(('Sales and count'!$G$3:$CC$3="Transactions")*(_xlpm.d&gt;=BL$6)*(_xlpm.d&lt;=BL$7),INDEX('Sales and count'!$G$4:$CC$300,$AJ59,0)))))</f>
        <v/>
      </c>
      <c r="BM59" s="350" cm="1">
        <f t="array" ref="BM59">IF(AK59="","",IF($AJ59="",0,_xlfn.LET(_xlpm.d,IFERROR(--'Sales and count'!$G$2:$CC$2,0),SUMPRODUCT(('Sales and count'!$G$3:$CC$3="Total")*(_xlpm.d&gt;=BM$6)*(_xlpm.d&lt;=BM$7),INDEX('Sales and count'!$G$4:$CC$300,$AJ59,0)))))</f>
        <v>83572.720000000016</v>
      </c>
      <c r="BN59" s="350" cm="1">
        <f t="array" ref="BN59">IF(AL59="","",IF($AJ59="",0,_xlfn.LET(_xlpm.d,IFERROR(--'Sales and count'!$G$2:$CC$2,0),SUMPRODUCT(('Sales and count'!$G$3:$CC$3="Total")*(_xlpm.d&gt;=BN$6)*(_xlpm.d&lt;=BN$7),INDEX('Sales and count'!$G$4:$CC$300,$AJ59,0)))))</f>
        <v>2121.06</v>
      </c>
      <c r="BO59" s="350" cm="1">
        <f t="array" ref="BO59">IF(AM59="","",IF($AJ59="",0,_xlfn.LET(_xlpm.d,IFERROR(--'Sales and count'!$G$2:$CC$2,0),SUMPRODUCT(('Sales and count'!$G$3:$CC$3="Total")*(_xlpm.d&gt;=BO$6)*(_xlpm.d&lt;=BO$7),INDEX('Sales and count'!$G$4:$CC$300,$AJ59,0)))))</f>
        <v>2958.04</v>
      </c>
      <c r="BP59" s="350" cm="1">
        <f t="array" ref="BP59">IF(AN59="","",IF($AJ59="",0,_xlfn.LET(_xlpm.d,IFERROR(--'Sales and count'!$G$2:$CC$2,0),SUMPRODUCT(('Sales and count'!$G$3:$CC$3="Total")*(_xlpm.d&gt;=BP$6)*(_xlpm.d&lt;=BP$7),INDEX('Sales and count'!$G$4:$CC$300,$AJ59,0)))))</f>
        <v>2744.05</v>
      </c>
      <c r="BQ59" s="350" cm="1">
        <f t="array" ref="BQ59">IF(AO59="","",IF($AJ59="",0,_xlfn.LET(_xlpm.d,IFERROR(--'Sales and count'!$G$2:$CC$2,0),SUMPRODUCT(('Sales and count'!$G$3:$CC$3="Total")*(_xlpm.d&gt;=BQ$6)*(_xlpm.d&lt;=BQ$7),INDEX('Sales and count'!$G$4:$CC$300,$AJ59,0)))))</f>
        <v>5511.77</v>
      </c>
      <c r="BR59" s="350" cm="1">
        <f t="array" ref="BR59">IF(AP59="","",IF($AJ59="",0,_xlfn.LET(_xlpm.d,IFERROR(--'Sales and count'!$G$2:$CC$2,0),SUMPRODUCT(('Sales and count'!$G$3:$CC$3="Total")*(_xlpm.d&gt;=BR$6)*(_xlpm.d&lt;=BR$7),INDEX('Sales and count'!$G$4:$CC$300,$AJ59,0)))))</f>
        <v>3549.89</v>
      </c>
      <c r="BS59" s="350" cm="1">
        <f t="array" ref="BS59">IF(AQ59="","",IF($AJ59="",0,_xlfn.LET(_xlpm.d,IFERROR(--'Sales and count'!$G$2:$CC$2,0),SUMPRODUCT(('Sales and count'!$G$3:$CC$3="Total")*(_xlpm.d&gt;=BS$6)*(_xlpm.d&lt;=BS$7),INDEX('Sales and count'!$G$4:$CC$300,$AJ59,0)))))</f>
        <v>2389.89</v>
      </c>
      <c r="BT59" s="350" cm="1">
        <f t="array" ref="BT59">IF(AR59="","",IF($AJ59="",0,_xlfn.LET(_xlpm.d,IFERROR(--'Sales and count'!$G$2:$CC$2,0),SUMPRODUCT(('Sales and count'!$G$3:$CC$3="Total")*(_xlpm.d&gt;=BT$6)*(_xlpm.d&lt;=BT$7),INDEX('Sales and count'!$G$4:$CC$300,$AJ59,0)))))</f>
        <v>2325.88</v>
      </c>
      <c r="BU59" s="350" cm="1">
        <f t="array" ref="BU59">IF(AS59="","",IF($AJ59="",0,_xlfn.LET(_xlpm.d,IFERROR(--'Sales and count'!$G$2:$CC$2,0),SUMPRODUCT(('Sales and count'!$G$3:$CC$3="Total")*(_xlpm.d&gt;=BU$6)*(_xlpm.d&lt;=BU$7),INDEX('Sales and count'!$G$4:$CC$300,$AJ59,0)))))</f>
        <v>4553.34</v>
      </c>
      <c r="BV59" s="350" t="str" cm="1">
        <f t="array" ref="BV59">IF(AT59="","",IF($AJ59="",0,_xlfn.LET(_xlpm.d,IFERROR(--'Sales and count'!$G$2:$CC$2,0),SUMPRODUCT(('Sales and count'!$G$3:$CC$3="Total")*(_xlpm.d&gt;=BV$6)*(_xlpm.d&lt;=BV$7),INDEX('Sales and count'!$G$4:$CC$300,$AJ59,0)))))</f>
        <v/>
      </c>
      <c r="BW59" s="350" t="str" cm="1">
        <f t="array" ref="BW59">IF(AU59="","",IF($AJ59="",0,_xlfn.LET(_xlpm.d,IFERROR(--'Sales and count'!$G$2:$CC$2,0),SUMPRODUCT(('Sales and count'!$G$3:$CC$3="Total")*(_xlpm.d&gt;=BW$6)*(_xlpm.d&lt;=BW$7),INDEX('Sales and count'!$G$4:$CC$300,$AJ59,0)))))</f>
        <v/>
      </c>
      <c r="BX59" s="350" t="str" cm="1">
        <f t="array" ref="BX59">IF(AV59="","",IF($AJ59="",0,_xlfn.LET(_xlpm.d,IFERROR(--'Sales and count'!$G$2:$CC$2,0),SUMPRODUCT(('Sales and count'!$G$3:$CC$3="Total")*(_xlpm.d&gt;=BX$6)*(_xlpm.d&lt;=BX$7),INDEX('Sales and count'!$G$4:$CC$300,$AJ59,0)))))</f>
        <v/>
      </c>
      <c r="BY59" s="350" t="str" cm="1">
        <f t="array" ref="BY59">IF(AW59="","",IF($AJ59="",0,_xlfn.LET(_xlpm.d,IFERROR(--'Sales and count'!$G$2:$CC$2,0),SUMPRODUCT(('Sales and count'!$G$3:$CC$3="Total")*(_xlpm.d&gt;=BY$6)*(_xlpm.d&lt;=BY$7),INDEX('Sales and count'!$G$4:$CC$300,$AJ59,0)))))</f>
        <v/>
      </c>
      <c r="BZ59" s="350" t="str" cm="1">
        <f t="array" ref="BZ59">IF(AX59="","",IF($AJ59="",0,_xlfn.LET(_xlpm.d,IFERROR(--'Sales and count'!$G$2:$CC$2,0),SUMPRODUCT(('Sales and count'!$G$3:$CC$3="Total")*(_xlpm.d&gt;=BZ$6)*(_xlpm.d&lt;=BZ$7),INDEX('Sales and count'!$G$4:$CC$300,$AJ59,0)))))</f>
        <v/>
      </c>
    </row>
    <row r="60" spans="1:78" x14ac:dyDescent="0.25">
      <c r="A60" s="356" t="str">
        <v>JEDDHAIFA</v>
      </c>
      <c r="B60" s="356" t="str" cm="1">
        <f t="array" ref="B60">IF($A60="","",_xlfn.XLOOKUP($A60,TRIM(Footfall!$B$5:$B$301&amp;""),Footfall!$A$5:$A$301,""))</f>
        <v>Haifa Mall Jeddah</v>
      </c>
      <c r="C60" s="356" t="str" cm="1">
        <f t="array" ref="C60">IF($A60="","",_xlfn.XLOOKUP($A60,TRIM('Sales and count'!$A$4:$A$300&amp;""),'Sales and count'!$C$4:$C$300,"Not set"))</f>
        <v>Jeddah</v>
      </c>
      <c r="D60" s="357">
        <f t="shared" ca="1" si="53"/>
        <v>0.11680911680911681</v>
      </c>
      <c r="E60" s="357">
        <f t="shared" ca="1" si="54"/>
        <v>7.0588235294117646E-2</v>
      </c>
      <c r="F60" s="357">
        <f t="shared" ca="1" si="55"/>
        <v>0.10429447852760736</v>
      </c>
      <c r="G60" s="357">
        <f t="shared" ca="1" si="56"/>
        <v>0.11353711790393013</v>
      </c>
      <c r="H60" s="357">
        <f t="shared" ca="1" si="57"/>
        <v>5.9649122807017542E-2</v>
      </c>
      <c r="I60" s="357">
        <f t="shared" ca="1" si="58"/>
        <v>0.14173228346456693</v>
      </c>
      <c r="J60" s="357">
        <f t="shared" ca="1" si="59"/>
        <v>0.1031390134529148</v>
      </c>
      <c r="K60" s="357">
        <f t="shared" ca="1" si="60"/>
        <v>0.11702127659574468</v>
      </c>
      <c r="L60" s="357">
        <f t="shared" ca="1" si="61"/>
        <v>0.12060301507537688</v>
      </c>
      <c r="M60" s="357" t="str">
        <f t="shared" si="62"/>
        <v/>
      </c>
      <c r="N60" s="357" t="str">
        <f t="shared" si="63"/>
        <v/>
      </c>
      <c r="O60" s="357" t="str">
        <f t="shared" si="64"/>
        <v/>
      </c>
      <c r="P60" s="357" t="str">
        <f t="shared" si="65"/>
        <v/>
      </c>
      <c r="Q60" s="357" t="str">
        <f t="shared" si="66"/>
        <v/>
      </c>
      <c r="R60" s="358" cm="1">
        <f t="array" aca="1" ref="R60" ca="1">IF(OR($A60="",D60=""),"",IFERROR(LOOKUP(2,1/(E60:Q60&lt;&gt;""),E60:Q60)-D60,""))</f>
        <v>3.7938982662600734E-3</v>
      </c>
      <c r="S60" s="349"/>
      <c r="T60" s="362">
        <f t="shared" ca="1" si="67"/>
        <v>159.96980836236932</v>
      </c>
      <c r="U60" s="362">
        <f t="shared" ca="1" si="68"/>
        <v>188.75583333333336</v>
      </c>
      <c r="V60" s="362">
        <f t="shared" ca="1" si="69"/>
        <v>148.94470588235293</v>
      </c>
      <c r="W60" s="362">
        <f t="shared" ca="1" si="70"/>
        <v>214.3876923076923</v>
      </c>
      <c r="X60" s="362">
        <f t="shared" ca="1" si="71"/>
        <v>198.34411764705882</v>
      </c>
      <c r="Y60" s="362">
        <f t="shared" ca="1" si="72"/>
        <v>113.82916666666668</v>
      </c>
      <c r="Z60" s="362">
        <f t="shared" ca="1" si="73"/>
        <v>176.42739130434782</v>
      </c>
      <c r="AA60" s="362">
        <f t="shared" ca="1" si="74"/>
        <v>145.26818181818183</v>
      </c>
      <c r="AB60" s="362">
        <f t="shared" ca="1" si="75"/>
        <v>189.76750000000001</v>
      </c>
      <c r="AC60" s="362" t="str">
        <f t="shared" si="76"/>
        <v/>
      </c>
      <c r="AD60" s="362" t="str">
        <f t="shared" si="77"/>
        <v/>
      </c>
      <c r="AE60" s="362" t="str">
        <f t="shared" si="78"/>
        <v/>
      </c>
      <c r="AF60" s="362" t="str">
        <f t="shared" si="79"/>
        <v/>
      </c>
      <c r="AG60" s="362" t="str">
        <f t="shared" si="80"/>
        <v/>
      </c>
      <c r="AH60" s="363" cm="1">
        <f t="array" aca="1" ref="AH60" ca="1">IF(OR($A60="",T60=""),"",IFERROR(LOOKUP(2,1/(U60:AG60&lt;&gt;""),U60:AG60)-T60,""))</f>
        <v>29.797691637630692</v>
      </c>
      <c r="AI60" s="349"/>
      <c r="AJ60" s="349" cm="1">
        <f t="array" ref="AJ60">IF($A60="","",IFERROR(MATCH($A60,TRIM('Sales and count'!$A$4:$A$300&amp;""),0),""))</f>
        <v>26</v>
      </c>
      <c r="AK60" s="350" cm="1">
        <f t="array" ref="AK60">IF(OR($A60="",AK$6=""),"",IFERROR(INDEX(Footfall!$C$5:$BZ$301,MATCH($A60,TRIM(Footfall!$B$5:$B$301&amp;""),0),AK$5),0))</f>
        <v>4914</v>
      </c>
      <c r="AL60" s="350" cm="1">
        <f t="array" ref="AL60">IF(OR($A60="",AL$6=""),"",IFERROR(INDEX(Footfall!$C$5:$BZ$301,MATCH($A60,TRIM(Footfall!$B$5:$B$301&amp;""),0),AL$5),0))</f>
        <v>170</v>
      </c>
      <c r="AM60" s="350" cm="1">
        <f t="array" ref="AM60">IF(OR($A60="",AM$6=""),"",IFERROR(INDEX(Footfall!$C$5:$BZ$301,MATCH($A60,TRIM(Footfall!$B$5:$B$301&amp;""),0),AM$5),0))</f>
        <v>163</v>
      </c>
      <c r="AN60" s="350" cm="1">
        <f t="array" ref="AN60">IF(OR($A60="",AN$6=""),"",IFERROR(INDEX(Footfall!$C$5:$BZ$301,MATCH($A60,TRIM(Footfall!$B$5:$B$301&amp;""),0),AN$5),0))</f>
        <v>229</v>
      </c>
      <c r="AO60" s="350" cm="1">
        <f t="array" ref="AO60">IF(OR($A60="",AO$6=""),"",IFERROR(INDEX(Footfall!$C$5:$BZ$301,MATCH($A60,TRIM(Footfall!$B$5:$B$301&amp;""),0),AO$5),0))</f>
        <v>285</v>
      </c>
      <c r="AP60" s="350" cm="1">
        <f t="array" ref="AP60">IF(OR($A60="",AP$6=""),"",IFERROR(INDEX(Footfall!$C$5:$BZ$301,MATCH($A60,TRIM(Footfall!$B$5:$B$301&amp;""),0),AP$5),0))</f>
        <v>254</v>
      </c>
      <c r="AQ60" s="350" cm="1">
        <f t="array" ref="AQ60">IF(OR($A60="",AQ$6=""),"",IFERROR(INDEX(Footfall!$C$5:$BZ$301,MATCH($A60,TRIM(Footfall!$B$5:$B$301&amp;""),0),AQ$5),0))</f>
        <v>223</v>
      </c>
      <c r="AR60" s="350" cm="1">
        <f t="array" ref="AR60">IF(OR($A60="",AR$6=""),"",IFERROR(INDEX(Footfall!$C$5:$BZ$301,MATCH($A60,TRIM(Footfall!$B$5:$B$301&amp;""),0),AR$5),0))</f>
        <v>188</v>
      </c>
      <c r="AS60" s="350" cm="1">
        <f t="array" ref="AS60">IF(OR($A60="",AS$6=""),"",IFERROR(INDEX(Footfall!$C$5:$BZ$301,MATCH($A60,TRIM(Footfall!$B$5:$B$301&amp;""),0),AS$5),0))</f>
        <v>199</v>
      </c>
      <c r="AT60" s="350" t="str" cm="1">
        <f t="array" ref="AT60">IF(OR($A60="",AT$6=""),"",IFERROR(INDEX(Footfall!$C$5:$BZ$301,MATCH($A60,TRIM(Footfall!$B$5:$B$301&amp;""),0),AT$5),0))</f>
        <v/>
      </c>
      <c r="AU60" s="350" t="str" cm="1">
        <f t="array" ref="AU60">IF(OR($A60="",AU$6=""),"",IFERROR(INDEX(Footfall!$C$5:$BZ$301,MATCH($A60,TRIM(Footfall!$B$5:$B$301&amp;""),0),AU$5),0))</f>
        <v/>
      </c>
      <c r="AV60" s="350" t="str" cm="1">
        <f t="array" ref="AV60">IF(OR($A60="",AV$6=""),"",IFERROR(INDEX(Footfall!$C$5:$BZ$301,MATCH($A60,TRIM(Footfall!$B$5:$B$301&amp;""),0),AV$5),0))</f>
        <v/>
      </c>
      <c r="AW60" s="350" t="str" cm="1">
        <f t="array" ref="AW60">IF(OR($A60="",AW$6=""),"",IFERROR(INDEX(Footfall!$C$5:$BZ$301,MATCH($A60,TRIM(Footfall!$B$5:$B$301&amp;""),0),AW$5),0))</f>
        <v/>
      </c>
      <c r="AX60" s="350" t="str" cm="1">
        <f t="array" ref="AX60">IF(OR($A60="",AX$6=""),"",IFERROR(INDEX(Footfall!$C$5:$BZ$301,MATCH($A60,TRIM(Footfall!$B$5:$B$301&amp;""),0),AX$5),0))</f>
        <v/>
      </c>
      <c r="AY60" s="350" cm="1">
        <f t="array" aca="1" ref="AY60" ca="1">IF(AK60="","",IF($AJ60="",0,_xlfn.LET(_xlpm.d,IFERROR(--'Sales and count'!$F$2:$CB$2,0),SUMPRODUCT(('Sales and count'!$G$3:$CC$3="Transactions")*(_xlpm.d&gt;=AY$6)*(_xlpm.d&lt;=AY$7),INDEX('Sales and count'!$G$4:$CC$300,$AJ60,0)))))</f>
        <v>574</v>
      </c>
      <c r="AZ60" s="350" cm="1">
        <f t="array" aca="1" ref="AZ60" ca="1">IF(AL60="","",IF($AJ60="",0,_xlfn.LET(_xlpm.d,IFERROR(--'Sales and count'!$F$2:$CB$2,0),SUMPRODUCT(('Sales and count'!$G$3:$CC$3="Transactions")*(_xlpm.d&gt;=AZ$6)*(_xlpm.d&lt;=AZ$7),INDEX('Sales and count'!$G$4:$CC$300,$AJ60,0)))))</f>
        <v>12</v>
      </c>
      <c r="BA60" s="350" cm="1">
        <f t="array" aca="1" ref="BA60" ca="1">IF(AM60="","",IF($AJ60="",0,_xlfn.LET(_xlpm.d,IFERROR(--'Sales and count'!$F$2:$CB$2,0),SUMPRODUCT(('Sales and count'!$G$3:$CC$3="Transactions")*(_xlpm.d&gt;=BA$6)*(_xlpm.d&lt;=BA$7),INDEX('Sales and count'!$G$4:$CC$300,$AJ60,0)))))</f>
        <v>17</v>
      </c>
      <c r="BB60" s="350" cm="1">
        <f t="array" aca="1" ref="BB60" ca="1">IF(AN60="","",IF($AJ60="",0,_xlfn.LET(_xlpm.d,IFERROR(--'Sales and count'!$F$2:$CB$2,0),SUMPRODUCT(('Sales and count'!$G$3:$CC$3="Transactions")*(_xlpm.d&gt;=BB$6)*(_xlpm.d&lt;=BB$7),INDEX('Sales and count'!$G$4:$CC$300,$AJ60,0)))))</f>
        <v>26</v>
      </c>
      <c r="BC60" s="350" cm="1">
        <f t="array" aca="1" ref="BC60" ca="1">IF(AO60="","",IF($AJ60="",0,_xlfn.LET(_xlpm.d,IFERROR(--'Sales and count'!$F$2:$CB$2,0),SUMPRODUCT(('Sales and count'!$G$3:$CC$3="Transactions")*(_xlpm.d&gt;=BC$6)*(_xlpm.d&lt;=BC$7),INDEX('Sales and count'!$G$4:$CC$300,$AJ60,0)))))</f>
        <v>17</v>
      </c>
      <c r="BD60" s="350" cm="1">
        <f t="array" aca="1" ref="BD60" ca="1">IF(AP60="","",IF($AJ60="",0,_xlfn.LET(_xlpm.d,IFERROR(--'Sales and count'!$F$2:$CB$2,0),SUMPRODUCT(('Sales and count'!$G$3:$CC$3="Transactions")*(_xlpm.d&gt;=BD$6)*(_xlpm.d&lt;=BD$7),INDEX('Sales and count'!$G$4:$CC$300,$AJ60,0)))))</f>
        <v>36</v>
      </c>
      <c r="BE60" s="350" cm="1">
        <f t="array" aca="1" ref="BE60" ca="1">IF(AQ60="","",IF($AJ60="",0,_xlfn.LET(_xlpm.d,IFERROR(--'Sales and count'!$F$2:$CB$2,0),SUMPRODUCT(('Sales and count'!$G$3:$CC$3="Transactions")*(_xlpm.d&gt;=BE$6)*(_xlpm.d&lt;=BE$7),INDEX('Sales and count'!$G$4:$CC$300,$AJ60,0)))))</f>
        <v>23</v>
      </c>
      <c r="BF60" s="350" cm="1">
        <f t="array" aca="1" ref="BF60" ca="1">IF(AR60="","",IF($AJ60="",0,_xlfn.LET(_xlpm.d,IFERROR(--'Sales and count'!$F$2:$CB$2,0),SUMPRODUCT(('Sales and count'!$G$3:$CC$3="Transactions")*(_xlpm.d&gt;=BF$6)*(_xlpm.d&lt;=BF$7),INDEX('Sales and count'!$G$4:$CC$300,$AJ60,0)))))</f>
        <v>22</v>
      </c>
      <c r="BG60" s="350" cm="1">
        <f t="array" aca="1" ref="BG60" ca="1">IF(AS60="","",IF($AJ60="",0,_xlfn.LET(_xlpm.d,IFERROR(--'Sales and count'!$F$2:$CB$2,0),SUMPRODUCT(('Sales and count'!$G$3:$CC$3="Transactions")*(_xlpm.d&gt;=BG$6)*(_xlpm.d&lt;=BG$7),INDEX('Sales and count'!$G$4:$CC$300,$AJ60,0)))))</f>
        <v>24</v>
      </c>
      <c r="BH60" s="350" t="str" cm="1">
        <f t="array" ref="BH60">IF(AT60="","",IF($AJ60="",0,_xlfn.LET(_xlpm.d,IFERROR(--'Sales and count'!$F$2:$CB$2,0),SUMPRODUCT(('Sales and count'!$G$3:$CC$3="Transactions")*(_xlpm.d&gt;=BH$6)*(_xlpm.d&lt;=BH$7),INDEX('Sales and count'!$G$4:$CC$300,$AJ60,0)))))</f>
        <v/>
      </c>
      <c r="BI60" s="350" t="str" cm="1">
        <f t="array" ref="BI60">IF(AU60="","",IF($AJ60="",0,_xlfn.LET(_xlpm.d,IFERROR(--'Sales and count'!$F$2:$CB$2,0),SUMPRODUCT(('Sales and count'!$G$3:$CC$3="Transactions")*(_xlpm.d&gt;=BI$6)*(_xlpm.d&lt;=BI$7),INDEX('Sales and count'!$G$4:$CC$300,$AJ60,0)))))</f>
        <v/>
      </c>
      <c r="BJ60" s="350" t="str" cm="1">
        <f t="array" ref="BJ60">IF(AV60="","",IF($AJ60="",0,_xlfn.LET(_xlpm.d,IFERROR(--'Sales and count'!$F$2:$CB$2,0),SUMPRODUCT(('Sales and count'!$G$3:$CC$3="Transactions")*(_xlpm.d&gt;=BJ$6)*(_xlpm.d&lt;=BJ$7),INDEX('Sales and count'!$G$4:$CC$300,$AJ60,0)))))</f>
        <v/>
      </c>
      <c r="BK60" s="350" t="str" cm="1">
        <f t="array" ref="BK60">IF(AW60="","",IF($AJ60="",0,_xlfn.LET(_xlpm.d,IFERROR(--'Sales and count'!$F$2:$CB$2,0),SUMPRODUCT(('Sales and count'!$G$3:$CC$3="Transactions")*(_xlpm.d&gt;=BK$6)*(_xlpm.d&lt;=BK$7),INDEX('Sales and count'!$G$4:$CC$300,$AJ60,0)))))</f>
        <v/>
      </c>
      <c r="BL60" s="350" t="str" cm="1">
        <f t="array" ref="BL60">IF(AX60="","",IF($AJ60="",0,_xlfn.LET(_xlpm.d,IFERROR(--'Sales and count'!$F$2:$CB$2,0),SUMPRODUCT(('Sales and count'!$G$3:$CC$3="Transactions")*(_xlpm.d&gt;=BL$6)*(_xlpm.d&lt;=BL$7),INDEX('Sales and count'!$G$4:$CC$300,$AJ60,0)))))</f>
        <v/>
      </c>
      <c r="BM60" s="350" cm="1">
        <f t="array" ref="BM60">IF(AK60="","",IF($AJ60="",0,_xlfn.LET(_xlpm.d,IFERROR(--'Sales and count'!$G$2:$CC$2,0),SUMPRODUCT(('Sales and count'!$G$3:$CC$3="Total")*(_xlpm.d&gt;=BM$6)*(_xlpm.d&lt;=BM$7),INDEX('Sales and count'!$G$4:$CC$300,$AJ60,0)))))</f>
        <v>91822.669999999984</v>
      </c>
      <c r="BN60" s="350" cm="1">
        <f t="array" ref="BN60">IF(AL60="","",IF($AJ60="",0,_xlfn.LET(_xlpm.d,IFERROR(--'Sales and count'!$G$2:$CC$2,0),SUMPRODUCT(('Sales and count'!$G$3:$CC$3="Total")*(_xlpm.d&gt;=BN$6)*(_xlpm.d&lt;=BN$7),INDEX('Sales and count'!$G$4:$CC$300,$AJ60,0)))))</f>
        <v>2265.0700000000002</v>
      </c>
      <c r="BO60" s="350" cm="1">
        <f t="array" ref="BO60">IF(AM60="","",IF($AJ60="",0,_xlfn.LET(_xlpm.d,IFERROR(--'Sales and count'!$G$2:$CC$2,0),SUMPRODUCT(('Sales and count'!$G$3:$CC$3="Total")*(_xlpm.d&gt;=BO$6)*(_xlpm.d&lt;=BO$7),INDEX('Sales and count'!$G$4:$CC$300,$AJ60,0)))))</f>
        <v>2532.06</v>
      </c>
      <c r="BP60" s="350" cm="1">
        <f t="array" ref="BP60">IF(AN60="","",IF($AJ60="",0,_xlfn.LET(_xlpm.d,IFERROR(--'Sales and count'!$G$2:$CC$2,0),SUMPRODUCT(('Sales and count'!$G$3:$CC$3="Total")*(_xlpm.d&gt;=BP$6)*(_xlpm.d&lt;=BP$7),INDEX('Sales and count'!$G$4:$CC$300,$AJ60,0)))))</f>
        <v>5574.08</v>
      </c>
      <c r="BQ60" s="350" cm="1">
        <f t="array" ref="BQ60">IF(AO60="","",IF($AJ60="",0,_xlfn.LET(_xlpm.d,IFERROR(--'Sales and count'!$G$2:$CC$2,0),SUMPRODUCT(('Sales and count'!$G$3:$CC$3="Total")*(_xlpm.d&gt;=BQ$6)*(_xlpm.d&lt;=BQ$7),INDEX('Sales and count'!$G$4:$CC$300,$AJ60,0)))))</f>
        <v>3371.85</v>
      </c>
      <c r="BR60" s="350" cm="1">
        <f t="array" ref="BR60">IF(AP60="","",IF($AJ60="",0,_xlfn.LET(_xlpm.d,IFERROR(--'Sales and count'!$G$2:$CC$2,0),SUMPRODUCT(('Sales and count'!$G$3:$CC$3="Total")*(_xlpm.d&gt;=BR$6)*(_xlpm.d&lt;=BR$7),INDEX('Sales and count'!$G$4:$CC$300,$AJ60,0)))))</f>
        <v>4097.8500000000004</v>
      </c>
      <c r="BS60" s="350" cm="1">
        <f t="array" ref="BS60">IF(AQ60="","",IF($AJ60="",0,_xlfn.LET(_xlpm.d,IFERROR(--'Sales and count'!$G$2:$CC$2,0),SUMPRODUCT(('Sales and count'!$G$3:$CC$3="Total")*(_xlpm.d&gt;=BS$6)*(_xlpm.d&lt;=BS$7),INDEX('Sales and count'!$G$4:$CC$300,$AJ60,0)))))</f>
        <v>4057.83</v>
      </c>
      <c r="BT60" s="350" cm="1">
        <f t="array" ref="BT60">IF(AR60="","",IF($AJ60="",0,_xlfn.LET(_xlpm.d,IFERROR(--'Sales and count'!$G$2:$CC$2,0),SUMPRODUCT(('Sales and count'!$G$3:$CC$3="Total")*(_xlpm.d&gt;=BT$6)*(_xlpm.d&lt;=BT$7),INDEX('Sales and count'!$G$4:$CC$300,$AJ60,0)))))</f>
        <v>3195.9</v>
      </c>
      <c r="BU60" s="350" cm="1">
        <f t="array" ref="BU60">IF(AS60="","",IF($AJ60="",0,_xlfn.LET(_xlpm.d,IFERROR(--'Sales and count'!$G$2:$CC$2,0),SUMPRODUCT(('Sales and count'!$G$3:$CC$3="Total")*(_xlpm.d&gt;=BU$6)*(_xlpm.d&lt;=BU$7),INDEX('Sales and count'!$G$4:$CC$300,$AJ60,0)))))</f>
        <v>4554.42</v>
      </c>
      <c r="BV60" s="350" t="str" cm="1">
        <f t="array" ref="BV60">IF(AT60="","",IF($AJ60="",0,_xlfn.LET(_xlpm.d,IFERROR(--'Sales and count'!$G$2:$CC$2,0),SUMPRODUCT(('Sales and count'!$G$3:$CC$3="Total")*(_xlpm.d&gt;=BV$6)*(_xlpm.d&lt;=BV$7),INDEX('Sales and count'!$G$4:$CC$300,$AJ60,0)))))</f>
        <v/>
      </c>
      <c r="BW60" s="350" t="str" cm="1">
        <f t="array" ref="BW60">IF(AU60="","",IF($AJ60="",0,_xlfn.LET(_xlpm.d,IFERROR(--'Sales and count'!$G$2:$CC$2,0),SUMPRODUCT(('Sales and count'!$G$3:$CC$3="Total")*(_xlpm.d&gt;=BW$6)*(_xlpm.d&lt;=BW$7),INDEX('Sales and count'!$G$4:$CC$300,$AJ60,0)))))</f>
        <v/>
      </c>
      <c r="BX60" s="350" t="str" cm="1">
        <f t="array" ref="BX60">IF(AV60="","",IF($AJ60="",0,_xlfn.LET(_xlpm.d,IFERROR(--'Sales and count'!$G$2:$CC$2,0),SUMPRODUCT(('Sales and count'!$G$3:$CC$3="Total")*(_xlpm.d&gt;=BX$6)*(_xlpm.d&lt;=BX$7),INDEX('Sales and count'!$G$4:$CC$300,$AJ60,0)))))</f>
        <v/>
      </c>
      <c r="BY60" s="350" t="str" cm="1">
        <f t="array" ref="BY60">IF(AW60="","",IF($AJ60="",0,_xlfn.LET(_xlpm.d,IFERROR(--'Sales and count'!$G$2:$CC$2,0),SUMPRODUCT(('Sales and count'!$G$3:$CC$3="Total")*(_xlpm.d&gt;=BY$6)*(_xlpm.d&lt;=BY$7),INDEX('Sales and count'!$G$4:$CC$300,$AJ60,0)))))</f>
        <v/>
      </c>
      <c r="BZ60" s="350" t="str" cm="1">
        <f t="array" ref="BZ60">IF(AX60="","",IF($AJ60="",0,_xlfn.LET(_xlpm.d,IFERROR(--'Sales and count'!$G$2:$CC$2,0),SUMPRODUCT(('Sales and count'!$G$3:$CC$3="Total")*(_xlpm.d&gt;=BZ$6)*(_xlpm.d&lt;=BZ$7),INDEX('Sales and count'!$G$4:$CC$300,$AJ60,0)))))</f>
        <v/>
      </c>
    </row>
    <row r="61" spans="1:78" x14ac:dyDescent="0.25">
      <c r="A61" s="356" t="str">
        <v>HAMDANYA</v>
      </c>
      <c r="B61" s="356" t="str" cm="1">
        <f t="array" ref="B61">IF($A61="","",_xlfn.XLOOKUP($A61,TRIM(Footfall!$B$5:$B$301&amp;""),Footfall!$A$5:$A$301,""))</f>
        <v>Hamadaniyah Jeddah</v>
      </c>
      <c r="C61" s="356" t="str" cm="1">
        <f t="array" ref="C61">IF($A61="","",_xlfn.XLOOKUP($A61,TRIM('Sales and count'!$A$4:$A$300&amp;""),'Sales and count'!$C$4:$C$300,"Not set"))</f>
        <v>Jeddah</v>
      </c>
      <c r="D61" s="357">
        <f t="shared" ca="1" si="53"/>
        <v>0.39080459770114945</v>
      </c>
      <c r="E61" s="357">
        <f t="shared" ca="1" si="54"/>
        <v>0.47692307692307695</v>
      </c>
      <c r="F61" s="357">
        <f t="shared" ca="1" si="55"/>
        <v>0.40217391304347827</v>
      </c>
      <c r="G61" s="357">
        <f t="shared" ca="1" si="56"/>
        <v>0.3411764705882353</v>
      </c>
      <c r="H61" s="357">
        <f t="shared" ca="1" si="57"/>
        <v>0.3364485981308411</v>
      </c>
      <c r="I61" s="357">
        <f t="shared" ca="1" si="58"/>
        <v>0.28925619834710742</v>
      </c>
      <c r="J61" s="357">
        <f t="shared" ca="1" si="59"/>
        <v>0.36559139784946237</v>
      </c>
      <c r="K61" s="357">
        <f t="shared" ca="1" si="60"/>
        <v>0.28440366972477066</v>
      </c>
      <c r="L61" s="357">
        <f t="shared" ca="1" si="61"/>
        <v>0.39047619047619048</v>
      </c>
      <c r="M61" s="357" t="str">
        <f t="shared" si="62"/>
        <v/>
      </c>
      <c r="N61" s="357" t="str">
        <f t="shared" si="63"/>
        <v/>
      </c>
      <c r="O61" s="357" t="str">
        <f t="shared" si="64"/>
        <v/>
      </c>
      <c r="P61" s="357" t="str">
        <f t="shared" si="65"/>
        <v/>
      </c>
      <c r="Q61" s="357" t="str">
        <f t="shared" si="66"/>
        <v/>
      </c>
      <c r="R61" s="358" cm="1">
        <f t="array" aca="1" ref="R61" ca="1">IF(OR($A61="",D61=""),"",IFERROR(LOOKUP(2,1/(E61:Q61&lt;&gt;""),E61:Q61)-D61,""))</f>
        <v>-3.284072249589709E-4</v>
      </c>
      <c r="S61" s="349"/>
      <c r="T61" s="362">
        <f t="shared" ca="1" si="67"/>
        <v>148.81221176470586</v>
      </c>
      <c r="U61" s="362">
        <f t="shared" ca="1" si="68"/>
        <v>134.77612903225807</v>
      </c>
      <c r="V61" s="362">
        <f t="shared" ca="1" si="69"/>
        <v>160.13972972972974</v>
      </c>
      <c r="W61" s="362">
        <f t="shared" ca="1" si="70"/>
        <v>164.31310344827585</v>
      </c>
      <c r="X61" s="362">
        <f t="shared" ca="1" si="71"/>
        <v>153.49305555555554</v>
      </c>
      <c r="Y61" s="362">
        <f t="shared" ca="1" si="72"/>
        <v>162.1922857142857</v>
      </c>
      <c r="Z61" s="362">
        <f t="shared" ca="1" si="73"/>
        <v>163.31705882352941</v>
      </c>
      <c r="AA61" s="362">
        <f t="shared" ca="1" si="74"/>
        <v>154.7667741935484</v>
      </c>
      <c r="AB61" s="362">
        <f t="shared" ca="1" si="75"/>
        <v>169.74219512195123</v>
      </c>
      <c r="AC61" s="362" t="str">
        <f t="shared" si="76"/>
        <v/>
      </c>
      <c r="AD61" s="362" t="str">
        <f t="shared" si="77"/>
        <v/>
      </c>
      <c r="AE61" s="362" t="str">
        <f t="shared" si="78"/>
        <v/>
      </c>
      <c r="AF61" s="362" t="str">
        <f t="shared" si="79"/>
        <v/>
      </c>
      <c r="AG61" s="362" t="str">
        <f t="shared" si="80"/>
        <v/>
      </c>
      <c r="AH61" s="363" cm="1">
        <f t="array" aca="1" ref="AH61" ca="1">IF(OR($A61="",T61=""),"",IFERROR(LOOKUP(2,1/(U61:AG61&lt;&gt;""),U61:AG61)-T61,""))</f>
        <v>20.929983357245362</v>
      </c>
      <c r="AI61" s="349"/>
      <c r="AJ61" s="349" cm="1">
        <f t="array" ref="AJ61">IF($A61="","",IFERROR(MATCH($A61,TRIM('Sales and count'!$A$4:$A$300&amp;""),0),""))</f>
        <v>54</v>
      </c>
      <c r="AK61" s="350" cm="1">
        <f t="array" ref="AK61">IF(OR($A61="",AK$6=""),"",IFERROR(INDEX(Footfall!$C$5:$BZ$301,MATCH($A61,TRIM(Footfall!$B$5:$B$301&amp;""),0),AK$5),0))</f>
        <v>2175</v>
      </c>
      <c r="AL61" s="350" cm="1">
        <f t="array" ref="AL61">IF(OR($A61="",AL$6=""),"",IFERROR(INDEX(Footfall!$C$5:$BZ$301,MATCH($A61,TRIM(Footfall!$B$5:$B$301&amp;""),0),AL$5),0))</f>
        <v>65</v>
      </c>
      <c r="AM61" s="350" cm="1">
        <f t="array" ref="AM61">IF(OR($A61="",AM$6=""),"",IFERROR(INDEX(Footfall!$C$5:$BZ$301,MATCH($A61,TRIM(Footfall!$B$5:$B$301&amp;""),0),AM$5),0))</f>
        <v>92</v>
      </c>
      <c r="AN61" s="350" cm="1">
        <f t="array" ref="AN61">IF(OR($A61="",AN$6=""),"",IFERROR(INDEX(Footfall!$C$5:$BZ$301,MATCH($A61,TRIM(Footfall!$B$5:$B$301&amp;""),0),AN$5),0))</f>
        <v>85</v>
      </c>
      <c r="AO61" s="350" cm="1">
        <f t="array" ref="AO61">IF(OR($A61="",AO$6=""),"",IFERROR(INDEX(Footfall!$C$5:$BZ$301,MATCH($A61,TRIM(Footfall!$B$5:$B$301&amp;""),0),AO$5),0))</f>
        <v>107</v>
      </c>
      <c r="AP61" s="350" cm="1">
        <f t="array" ref="AP61">IF(OR($A61="",AP$6=""),"",IFERROR(INDEX(Footfall!$C$5:$BZ$301,MATCH($A61,TRIM(Footfall!$B$5:$B$301&amp;""),0),AP$5),0))</f>
        <v>121</v>
      </c>
      <c r="AQ61" s="350" cm="1">
        <f t="array" ref="AQ61">IF(OR($A61="",AQ$6=""),"",IFERROR(INDEX(Footfall!$C$5:$BZ$301,MATCH($A61,TRIM(Footfall!$B$5:$B$301&amp;""),0),AQ$5),0))</f>
        <v>93</v>
      </c>
      <c r="AR61" s="350" cm="1">
        <f t="array" ref="AR61">IF(OR($A61="",AR$6=""),"",IFERROR(INDEX(Footfall!$C$5:$BZ$301,MATCH($A61,TRIM(Footfall!$B$5:$B$301&amp;""),0),AR$5),0))</f>
        <v>109</v>
      </c>
      <c r="AS61" s="350" cm="1">
        <f t="array" ref="AS61">IF(OR($A61="",AS$6=""),"",IFERROR(INDEX(Footfall!$C$5:$BZ$301,MATCH($A61,TRIM(Footfall!$B$5:$B$301&amp;""),0),AS$5),0))</f>
        <v>105</v>
      </c>
      <c r="AT61" s="350" t="str" cm="1">
        <f t="array" ref="AT61">IF(OR($A61="",AT$6=""),"",IFERROR(INDEX(Footfall!$C$5:$BZ$301,MATCH($A61,TRIM(Footfall!$B$5:$B$301&amp;""),0),AT$5),0))</f>
        <v/>
      </c>
      <c r="AU61" s="350" t="str" cm="1">
        <f t="array" ref="AU61">IF(OR($A61="",AU$6=""),"",IFERROR(INDEX(Footfall!$C$5:$BZ$301,MATCH($A61,TRIM(Footfall!$B$5:$B$301&amp;""),0),AU$5),0))</f>
        <v/>
      </c>
      <c r="AV61" s="350" t="str" cm="1">
        <f t="array" ref="AV61">IF(OR($A61="",AV$6=""),"",IFERROR(INDEX(Footfall!$C$5:$BZ$301,MATCH($A61,TRIM(Footfall!$B$5:$B$301&amp;""),0),AV$5),0))</f>
        <v/>
      </c>
      <c r="AW61" s="350" t="str" cm="1">
        <f t="array" ref="AW61">IF(OR($A61="",AW$6=""),"",IFERROR(INDEX(Footfall!$C$5:$BZ$301,MATCH($A61,TRIM(Footfall!$B$5:$B$301&amp;""),0),AW$5),0))</f>
        <v/>
      </c>
      <c r="AX61" s="350" t="str" cm="1">
        <f t="array" ref="AX61">IF(OR($A61="",AX$6=""),"",IFERROR(INDEX(Footfall!$C$5:$BZ$301,MATCH($A61,TRIM(Footfall!$B$5:$B$301&amp;""),0),AX$5),0))</f>
        <v/>
      </c>
      <c r="AY61" s="350" cm="1">
        <f t="array" aca="1" ref="AY61" ca="1">IF(AK61="","",IF($AJ61="",0,_xlfn.LET(_xlpm.d,IFERROR(--'Sales and count'!$F$2:$CB$2,0),SUMPRODUCT(('Sales and count'!$G$3:$CC$3="Transactions")*(_xlpm.d&gt;=AY$6)*(_xlpm.d&lt;=AY$7),INDEX('Sales and count'!$G$4:$CC$300,$AJ61,0)))))</f>
        <v>850</v>
      </c>
      <c r="AZ61" s="350" cm="1">
        <f t="array" aca="1" ref="AZ61" ca="1">IF(AL61="","",IF($AJ61="",0,_xlfn.LET(_xlpm.d,IFERROR(--'Sales and count'!$F$2:$CB$2,0),SUMPRODUCT(('Sales and count'!$G$3:$CC$3="Transactions")*(_xlpm.d&gt;=AZ$6)*(_xlpm.d&lt;=AZ$7),INDEX('Sales and count'!$G$4:$CC$300,$AJ61,0)))))</f>
        <v>31</v>
      </c>
      <c r="BA61" s="350" cm="1">
        <f t="array" aca="1" ref="BA61" ca="1">IF(AM61="","",IF($AJ61="",0,_xlfn.LET(_xlpm.d,IFERROR(--'Sales and count'!$F$2:$CB$2,0),SUMPRODUCT(('Sales and count'!$G$3:$CC$3="Transactions")*(_xlpm.d&gt;=BA$6)*(_xlpm.d&lt;=BA$7),INDEX('Sales and count'!$G$4:$CC$300,$AJ61,0)))))</f>
        <v>37</v>
      </c>
      <c r="BB61" s="350" cm="1">
        <f t="array" aca="1" ref="BB61" ca="1">IF(AN61="","",IF($AJ61="",0,_xlfn.LET(_xlpm.d,IFERROR(--'Sales and count'!$F$2:$CB$2,0),SUMPRODUCT(('Sales and count'!$G$3:$CC$3="Transactions")*(_xlpm.d&gt;=BB$6)*(_xlpm.d&lt;=BB$7),INDEX('Sales and count'!$G$4:$CC$300,$AJ61,0)))))</f>
        <v>29</v>
      </c>
      <c r="BC61" s="350" cm="1">
        <f t="array" aca="1" ref="BC61" ca="1">IF(AO61="","",IF($AJ61="",0,_xlfn.LET(_xlpm.d,IFERROR(--'Sales and count'!$F$2:$CB$2,0),SUMPRODUCT(('Sales and count'!$G$3:$CC$3="Transactions")*(_xlpm.d&gt;=BC$6)*(_xlpm.d&lt;=BC$7),INDEX('Sales and count'!$G$4:$CC$300,$AJ61,0)))))</f>
        <v>36</v>
      </c>
      <c r="BD61" s="350" cm="1">
        <f t="array" aca="1" ref="BD61" ca="1">IF(AP61="","",IF($AJ61="",0,_xlfn.LET(_xlpm.d,IFERROR(--'Sales and count'!$F$2:$CB$2,0),SUMPRODUCT(('Sales and count'!$G$3:$CC$3="Transactions")*(_xlpm.d&gt;=BD$6)*(_xlpm.d&lt;=BD$7),INDEX('Sales and count'!$G$4:$CC$300,$AJ61,0)))))</f>
        <v>35</v>
      </c>
      <c r="BE61" s="350" cm="1">
        <f t="array" aca="1" ref="BE61" ca="1">IF(AQ61="","",IF($AJ61="",0,_xlfn.LET(_xlpm.d,IFERROR(--'Sales and count'!$F$2:$CB$2,0),SUMPRODUCT(('Sales and count'!$G$3:$CC$3="Transactions")*(_xlpm.d&gt;=BE$6)*(_xlpm.d&lt;=BE$7),INDEX('Sales and count'!$G$4:$CC$300,$AJ61,0)))))</f>
        <v>34</v>
      </c>
      <c r="BF61" s="350" cm="1">
        <f t="array" aca="1" ref="BF61" ca="1">IF(AR61="","",IF($AJ61="",0,_xlfn.LET(_xlpm.d,IFERROR(--'Sales and count'!$F$2:$CB$2,0),SUMPRODUCT(('Sales and count'!$G$3:$CC$3="Transactions")*(_xlpm.d&gt;=BF$6)*(_xlpm.d&lt;=BF$7),INDEX('Sales and count'!$G$4:$CC$300,$AJ61,0)))))</f>
        <v>31</v>
      </c>
      <c r="BG61" s="350" cm="1">
        <f t="array" aca="1" ref="BG61" ca="1">IF(AS61="","",IF($AJ61="",0,_xlfn.LET(_xlpm.d,IFERROR(--'Sales and count'!$F$2:$CB$2,0),SUMPRODUCT(('Sales and count'!$G$3:$CC$3="Transactions")*(_xlpm.d&gt;=BG$6)*(_xlpm.d&lt;=BG$7),INDEX('Sales and count'!$G$4:$CC$300,$AJ61,0)))))</f>
        <v>41</v>
      </c>
      <c r="BH61" s="350" t="str" cm="1">
        <f t="array" ref="BH61">IF(AT61="","",IF($AJ61="",0,_xlfn.LET(_xlpm.d,IFERROR(--'Sales and count'!$F$2:$CB$2,0),SUMPRODUCT(('Sales and count'!$G$3:$CC$3="Transactions")*(_xlpm.d&gt;=BH$6)*(_xlpm.d&lt;=BH$7),INDEX('Sales and count'!$G$4:$CC$300,$AJ61,0)))))</f>
        <v/>
      </c>
      <c r="BI61" s="350" t="str" cm="1">
        <f t="array" ref="BI61">IF(AU61="","",IF($AJ61="",0,_xlfn.LET(_xlpm.d,IFERROR(--'Sales and count'!$F$2:$CB$2,0),SUMPRODUCT(('Sales and count'!$G$3:$CC$3="Transactions")*(_xlpm.d&gt;=BI$6)*(_xlpm.d&lt;=BI$7),INDEX('Sales and count'!$G$4:$CC$300,$AJ61,0)))))</f>
        <v/>
      </c>
      <c r="BJ61" s="350" t="str" cm="1">
        <f t="array" ref="BJ61">IF(AV61="","",IF($AJ61="",0,_xlfn.LET(_xlpm.d,IFERROR(--'Sales and count'!$F$2:$CB$2,0),SUMPRODUCT(('Sales and count'!$G$3:$CC$3="Transactions")*(_xlpm.d&gt;=BJ$6)*(_xlpm.d&lt;=BJ$7),INDEX('Sales and count'!$G$4:$CC$300,$AJ61,0)))))</f>
        <v/>
      </c>
      <c r="BK61" s="350" t="str" cm="1">
        <f t="array" ref="BK61">IF(AW61="","",IF($AJ61="",0,_xlfn.LET(_xlpm.d,IFERROR(--'Sales and count'!$F$2:$CB$2,0),SUMPRODUCT(('Sales and count'!$G$3:$CC$3="Transactions")*(_xlpm.d&gt;=BK$6)*(_xlpm.d&lt;=BK$7),INDEX('Sales and count'!$G$4:$CC$300,$AJ61,0)))))</f>
        <v/>
      </c>
      <c r="BL61" s="350" t="str" cm="1">
        <f t="array" ref="BL61">IF(AX61="","",IF($AJ61="",0,_xlfn.LET(_xlpm.d,IFERROR(--'Sales and count'!$F$2:$CB$2,0),SUMPRODUCT(('Sales and count'!$G$3:$CC$3="Transactions")*(_xlpm.d&gt;=BL$6)*(_xlpm.d&lt;=BL$7),INDEX('Sales and count'!$G$4:$CC$300,$AJ61,0)))))</f>
        <v/>
      </c>
      <c r="BM61" s="350" cm="1">
        <f t="array" ref="BM61">IF(AK61="","",IF($AJ61="",0,_xlfn.LET(_xlpm.d,IFERROR(--'Sales and count'!$G$2:$CC$2,0),SUMPRODUCT(('Sales and count'!$G$3:$CC$3="Total")*(_xlpm.d&gt;=BM$6)*(_xlpm.d&lt;=BM$7),INDEX('Sales and count'!$G$4:$CC$300,$AJ61,0)))))</f>
        <v>126490.37999999998</v>
      </c>
      <c r="BN61" s="350" cm="1">
        <f t="array" ref="BN61">IF(AL61="","",IF($AJ61="",0,_xlfn.LET(_xlpm.d,IFERROR(--'Sales and count'!$G$2:$CC$2,0),SUMPRODUCT(('Sales and count'!$G$3:$CC$3="Total")*(_xlpm.d&gt;=BN$6)*(_xlpm.d&lt;=BN$7),INDEX('Sales and count'!$G$4:$CC$300,$AJ61,0)))))</f>
        <v>4178.0600000000004</v>
      </c>
      <c r="BO61" s="350" cm="1">
        <f t="array" ref="BO61">IF(AM61="","",IF($AJ61="",0,_xlfn.LET(_xlpm.d,IFERROR(--'Sales and count'!$G$2:$CC$2,0),SUMPRODUCT(('Sales and count'!$G$3:$CC$3="Total")*(_xlpm.d&gt;=BO$6)*(_xlpm.d&lt;=BO$7),INDEX('Sales and count'!$G$4:$CC$300,$AJ61,0)))))</f>
        <v>5925.17</v>
      </c>
      <c r="BP61" s="350" cm="1">
        <f t="array" ref="BP61">IF(AN61="","",IF($AJ61="",0,_xlfn.LET(_xlpm.d,IFERROR(--'Sales and count'!$G$2:$CC$2,0),SUMPRODUCT(('Sales and count'!$G$3:$CC$3="Total")*(_xlpm.d&gt;=BP$6)*(_xlpm.d&lt;=BP$7),INDEX('Sales and count'!$G$4:$CC$300,$AJ61,0)))))</f>
        <v>4765.08</v>
      </c>
      <c r="BQ61" s="350" cm="1">
        <f t="array" ref="BQ61">IF(AO61="","",IF($AJ61="",0,_xlfn.LET(_xlpm.d,IFERROR(--'Sales and count'!$G$2:$CC$2,0),SUMPRODUCT(('Sales and count'!$G$3:$CC$3="Total")*(_xlpm.d&gt;=BQ$6)*(_xlpm.d&lt;=BQ$7),INDEX('Sales and count'!$G$4:$CC$300,$AJ61,0)))))</f>
        <v>5525.75</v>
      </c>
      <c r="BR61" s="350" cm="1">
        <f t="array" ref="BR61">IF(AP61="","",IF($AJ61="",0,_xlfn.LET(_xlpm.d,IFERROR(--'Sales and count'!$G$2:$CC$2,0),SUMPRODUCT(('Sales and count'!$G$3:$CC$3="Total")*(_xlpm.d&gt;=BR$6)*(_xlpm.d&lt;=BR$7),INDEX('Sales and count'!$G$4:$CC$300,$AJ61,0)))))</f>
        <v>5676.73</v>
      </c>
      <c r="BS61" s="350" cm="1">
        <f t="array" ref="BS61">IF(AQ61="","",IF($AJ61="",0,_xlfn.LET(_xlpm.d,IFERROR(--'Sales and count'!$G$2:$CC$2,0),SUMPRODUCT(('Sales and count'!$G$3:$CC$3="Total")*(_xlpm.d&gt;=BS$6)*(_xlpm.d&lt;=BS$7),INDEX('Sales and count'!$G$4:$CC$300,$AJ61,0)))))</f>
        <v>5552.78</v>
      </c>
      <c r="BT61" s="350" cm="1">
        <f t="array" ref="BT61">IF(AR61="","",IF($AJ61="",0,_xlfn.LET(_xlpm.d,IFERROR(--'Sales and count'!$G$2:$CC$2,0),SUMPRODUCT(('Sales and count'!$G$3:$CC$3="Total")*(_xlpm.d&gt;=BT$6)*(_xlpm.d&lt;=BT$7),INDEX('Sales and count'!$G$4:$CC$300,$AJ61,0)))))</f>
        <v>4797.7700000000004</v>
      </c>
      <c r="BU61" s="350" cm="1">
        <f t="array" ref="BU61">IF(AS61="","",IF($AJ61="",0,_xlfn.LET(_xlpm.d,IFERROR(--'Sales and count'!$G$2:$CC$2,0),SUMPRODUCT(('Sales and count'!$G$3:$CC$3="Total")*(_xlpm.d&gt;=BU$6)*(_xlpm.d&lt;=BU$7),INDEX('Sales and count'!$G$4:$CC$300,$AJ61,0)))))</f>
        <v>6959.43</v>
      </c>
      <c r="BV61" s="350" t="str" cm="1">
        <f t="array" ref="BV61">IF(AT61="","",IF($AJ61="",0,_xlfn.LET(_xlpm.d,IFERROR(--'Sales and count'!$G$2:$CC$2,0),SUMPRODUCT(('Sales and count'!$G$3:$CC$3="Total")*(_xlpm.d&gt;=BV$6)*(_xlpm.d&lt;=BV$7),INDEX('Sales and count'!$G$4:$CC$300,$AJ61,0)))))</f>
        <v/>
      </c>
      <c r="BW61" s="350" t="str" cm="1">
        <f t="array" ref="BW61">IF(AU61="","",IF($AJ61="",0,_xlfn.LET(_xlpm.d,IFERROR(--'Sales and count'!$G$2:$CC$2,0),SUMPRODUCT(('Sales and count'!$G$3:$CC$3="Total")*(_xlpm.d&gt;=BW$6)*(_xlpm.d&lt;=BW$7),INDEX('Sales and count'!$G$4:$CC$300,$AJ61,0)))))</f>
        <v/>
      </c>
      <c r="BX61" s="350" t="str" cm="1">
        <f t="array" ref="BX61">IF(AV61="","",IF($AJ61="",0,_xlfn.LET(_xlpm.d,IFERROR(--'Sales and count'!$G$2:$CC$2,0),SUMPRODUCT(('Sales and count'!$G$3:$CC$3="Total")*(_xlpm.d&gt;=BX$6)*(_xlpm.d&lt;=BX$7),INDEX('Sales and count'!$G$4:$CC$300,$AJ61,0)))))</f>
        <v/>
      </c>
      <c r="BY61" s="350" t="str" cm="1">
        <f t="array" ref="BY61">IF(AW61="","",IF($AJ61="",0,_xlfn.LET(_xlpm.d,IFERROR(--'Sales and count'!$G$2:$CC$2,0),SUMPRODUCT(('Sales and count'!$G$3:$CC$3="Total")*(_xlpm.d&gt;=BY$6)*(_xlpm.d&lt;=BY$7),INDEX('Sales and count'!$G$4:$CC$300,$AJ61,0)))))</f>
        <v/>
      </c>
      <c r="BZ61" s="350" t="str" cm="1">
        <f t="array" ref="BZ61">IF(AX61="","",IF($AJ61="",0,_xlfn.LET(_xlpm.d,IFERROR(--'Sales and count'!$G$2:$CC$2,0),SUMPRODUCT(('Sales and count'!$G$3:$CC$3="Total")*(_xlpm.d&gt;=BZ$6)*(_xlpm.d&lt;=BZ$7),INDEX('Sales and count'!$G$4:$CC$300,$AJ61,0)))))</f>
        <v/>
      </c>
    </row>
    <row r="62" spans="1:78" x14ac:dyDescent="0.25">
      <c r="A62" s="356" t="str">
        <v>JEDDPARK</v>
      </c>
      <c r="B62" s="356" t="str" cm="1">
        <f t="array" ref="B62">IF($A62="","",_xlfn.XLOOKUP($A62,TRIM(Footfall!$B$5:$B$301&amp;""),Footfall!$A$5:$A$301,""))</f>
        <v>Jeddah Park</v>
      </c>
      <c r="C62" s="356" t="str" cm="1">
        <f t="array" ref="C62">IF($A62="","",_xlfn.XLOOKUP($A62,TRIM('Sales and count'!$A$4:$A$300&amp;""),'Sales and count'!$C$4:$C$300,"Not set"))</f>
        <v>Jeddah</v>
      </c>
      <c r="D62" s="357">
        <f t="shared" ca="1" si="53"/>
        <v>0.1384282624369142</v>
      </c>
      <c r="E62" s="357">
        <f t="shared" ca="1" si="54"/>
        <v>0.16591928251121077</v>
      </c>
      <c r="F62" s="357">
        <f t="shared" ca="1" si="55"/>
        <v>0.140625</v>
      </c>
      <c r="G62" s="357">
        <f t="shared" ca="1" si="56"/>
        <v>0.13333333333333333</v>
      </c>
      <c r="H62" s="357">
        <f t="shared" ca="1" si="57"/>
        <v>7.3394495412844041E-2</v>
      </c>
      <c r="I62" s="357">
        <f t="shared" ca="1" si="58"/>
        <v>0.10789980732177264</v>
      </c>
      <c r="J62" s="357">
        <f t="shared" ca="1" si="59"/>
        <v>0.13153456998313659</v>
      </c>
      <c r="K62" s="357">
        <f t="shared" ca="1" si="60"/>
        <v>9.1836734693877556E-2</v>
      </c>
      <c r="L62" s="357">
        <f t="shared" ca="1" si="61"/>
        <v>0.15384615384615385</v>
      </c>
      <c r="M62" s="357" t="str">
        <f t="shared" si="62"/>
        <v/>
      </c>
      <c r="N62" s="357" t="str">
        <f t="shared" si="63"/>
        <v/>
      </c>
      <c r="O62" s="357" t="str">
        <f t="shared" si="64"/>
        <v/>
      </c>
      <c r="P62" s="357" t="str">
        <f t="shared" si="65"/>
        <v/>
      </c>
      <c r="Q62" s="357" t="str">
        <f t="shared" si="66"/>
        <v/>
      </c>
      <c r="R62" s="358" cm="1">
        <f t="array" aca="1" ref="R62" ca="1">IF(OR($A62="",D62=""),"",IFERROR(LOOKUP(2,1/(E62:Q62&lt;&gt;""),E62:Q62)-D62,""))</f>
        <v>1.5417891409239659E-2</v>
      </c>
      <c r="S62" s="349"/>
      <c r="T62" s="362">
        <f t="shared" ca="1" si="67"/>
        <v>136.64394965277776</v>
      </c>
      <c r="U62" s="362">
        <f t="shared" ca="1" si="68"/>
        <v>136.40810810810811</v>
      </c>
      <c r="V62" s="362">
        <f t="shared" ca="1" si="69"/>
        <v>146.61277777777778</v>
      </c>
      <c r="W62" s="362">
        <f t="shared" ca="1" si="70"/>
        <v>145.24047619047619</v>
      </c>
      <c r="X62" s="362">
        <f t="shared" ca="1" si="71"/>
        <v>179.49520833333335</v>
      </c>
      <c r="Y62" s="362">
        <f t="shared" ca="1" si="72"/>
        <v>162.22339285714287</v>
      </c>
      <c r="Z62" s="362">
        <f t="shared" ca="1" si="73"/>
        <v>133.80217948717947</v>
      </c>
      <c r="AA62" s="362">
        <f t="shared" ca="1" si="74"/>
        <v>130.91888888888889</v>
      </c>
      <c r="AB62" s="362">
        <f t="shared" ca="1" si="75"/>
        <v>206.42147058823528</v>
      </c>
      <c r="AC62" s="362" t="str">
        <f t="shared" si="76"/>
        <v/>
      </c>
      <c r="AD62" s="362" t="str">
        <f t="shared" si="77"/>
        <v/>
      </c>
      <c r="AE62" s="362" t="str">
        <f t="shared" si="78"/>
        <v/>
      </c>
      <c r="AF62" s="362" t="str">
        <f t="shared" si="79"/>
        <v/>
      </c>
      <c r="AG62" s="362" t="str">
        <f t="shared" si="80"/>
        <v/>
      </c>
      <c r="AH62" s="363" cm="1">
        <f t="array" aca="1" ref="AH62" ca="1">IF(OR($A62="",T62=""),"",IFERROR(LOOKUP(2,1/(U62:AG62&lt;&gt;""),U62:AG62)-T62,""))</f>
        <v>69.777520935457517</v>
      </c>
      <c r="AI62" s="349"/>
      <c r="AJ62" s="349" cm="1">
        <f t="array" ref="AJ62">IF($A62="","",IFERROR(MATCH($A62,TRIM('Sales and count'!$A$4:$A$300&amp;""),0),""))</f>
        <v>22</v>
      </c>
      <c r="AK62" s="350" cm="1">
        <f t="array" ref="AK62">IF(OR($A62="",AK$6=""),"",IFERROR(INDEX(Footfall!$C$5:$BZ$301,MATCH($A62,TRIM(Footfall!$B$5:$B$301&amp;""),0),AK$5),0))</f>
        <v>8322</v>
      </c>
      <c r="AL62" s="350" cm="1">
        <f t="array" ref="AL62">IF(OR($A62="",AL$6=""),"",IFERROR(INDEX(Footfall!$C$5:$BZ$301,MATCH($A62,TRIM(Footfall!$B$5:$B$301&amp;""),0),AL$5),0))</f>
        <v>223</v>
      </c>
      <c r="AM62" s="350" cm="1">
        <f t="array" ref="AM62">IF(OR($A62="",AM$6=""),"",IFERROR(INDEX(Footfall!$C$5:$BZ$301,MATCH($A62,TRIM(Footfall!$B$5:$B$301&amp;""),0),AM$5),0))</f>
        <v>256</v>
      </c>
      <c r="AN62" s="350" cm="1">
        <f t="array" ref="AN62">IF(OR($A62="",AN$6=""),"",IFERROR(INDEX(Footfall!$C$5:$BZ$301,MATCH($A62,TRIM(Footfall!$B$5:$B$301&amp;""),0),AN$5),0))</f>
        <v>315</v>
      </c>
      <c r="AO62" s="350" cm="1">
        <f t="array" ref="AO62">IF(OR($A62="",AO$6=""),"",IFERROR(INDEX(Footfall!$C$5:$BZ$301,MATCH($A62,TRIM(Footfall!$B$5:$B$301&amp;""),0),AO$5),0))</f>
        <v>654</v>
      </c>
      <c r="AP62" s="350" cm="1">
        <f t="array" ref="AP62">IF(OR($A62="",AP$6=""),"",IFERROR(INDEX(Footfall!$C$5:$BZ$301,MATCH($A62,TRIM(Footfall!$B$5:$B$301&amp;""),0),AP$5),0))</f>
        <v>519</v>
      </c>
      <c r="AQ62" s="350" cm="1">
        <f t="array" ref="AQ62">IF(OR($A62="",AQ$6=""),"",IFERROR(INDEX(Footfall!$C$5:$BZ$301,MATCH($A62,TRIM(Footfall!$B$5:$B$301&amp;""),0),AQ$5),0))</f>
        <v>593</v>
      </c>
      <c r="AR62" s="350" cm="1">
        <f t="array" ref="AR62">IF(OR($A62="",AR$6=""),"",IFERROR(INDEX(Footfall!$C$5:$BZ$301,MATCH($A62,TRIM(Footfall!$B$5:$B$301&amp;""),0),AR$5),0))</f>
        <v>294</v>
      </c>
      <c r="AS62" s="350" cm="1">
        <f t="array" ref="AS62">IF(OR($A62="",AS$6=""),"",IFERROR(INDEX(Footfall!$C$5:$BZ$301,MATCH($A62,TRIM(Footfall!$B$5:$B$301&amp;""),0),AS$5),0))</f>
        <v>221</v>
      </c>
      <c r="AT62" s="350" t="str" cm="1">
        <f t="array" ref="AT62">IF(OR($A62="",AT$6=""),"",IFERROR(INDEX(Footfall!$C$5:$BZ$301,MATCH($A62,TRIM(Footfall!$B$5:$B$301&amp;""),0),AT$5),0))</f>
        <v/>
      </c>
      <c r="AU62" s="350" t="str" cm="1">
        <f t="array" ref="AU62">IF(OR($A62="",AU$6=""),"",IFERROR(INDEX(Footfall!$C$5:$BZ$301,MATCH($A62,TRIM(Footfall!$B$5:$B$301&amp;""),0),AU$5),0))</f>
        <v/>
      </c>
      <c r="AV62" s="350" t="str" cm="1">
        <f t="array" ref="AV62">IF(OR($A62="",AV$6=""),"",IFERROR(INDEX(Footfall!$C$5:$BZ$301,MATCH($A62,TRIM(Footfall!$B$5:$B$301&amp;""),0),AV$5),0))</f>
        <v/>
      </c>
      <c r="AW62" s="350" t="str" cm="1">
        <f t="array" ref="AW62">IF(OR($A62="",AW$6=""),"",IFERROR(INDEX(Footfall!$C$5:$BZ$301,MATCH($A62,TRIM(Footfall!$B$5:$B$301&amp;""),0),AW$5),0))</f>
        <v/>
      </c>
      <c r="AX62" s="350" t="str" cm="1">
        <f t="array" ref="AX62">IF(OR($A62="",AX$6=""),"",IFERROR(INDEX(Footfall!$C$5:$BZ$301,MATCH($A62,TRIM(Footfall!$B$5:$B$301&amp;""),0),AX$5),0))</f>
        <v/>
      </c>
      <c r="AY62" s="350" cm="1">
        <f t="array" aca="1" ref="AY62" ca="1">IF(AK62="","",IF($AJ62="",0,_xlfn.LET(_xlpm.d,IFERROR(--'Sales and count'!$F$2:$CB$2,0),SUMPRODUCT(('Sales and count'!$G$3:$CC$3="Transactions")*(_xlpm.d&gt;=AY$6)*(_xlpm.d&lt;=AY$7),INDEX('Sales and count'!$G$4:$CC$300,$AJ62,0)))))</f>
        <v>1152</v>
      </c>
      <c r="AZ62" s="350" cm="1">
        <f t="array" aca="1" ref="AZ62" ca="1">IF(AL62="","",IF($AJ62="",0,_xlfn.LET(_xlpm.d,IFERROR(--'Sales and count'!$F$2:$CB$2,0),SUMPRODUCT(('Sales and count'!$G$3:$CC$3="Transactions")*(_xlpm.d&gt;=AZ$6)*(_xlpm.d&lt;=AZ$7),INDEX('Sales and count'!$G$4:$CC$300,$AJ62,0)))))</f>
        <v>37</v>
      </c>
      <c r="BA62" s="350" cm="1">
        <f t="array" aca="1" ref="BA62" ca="1">IF(AM62="","",IF($AJ62="",0,_xlfn.LET(_xlpm.d,IFERROR(--'Sales and count'!$F$2:$CB$2,0),SUMPRODUCT(('Sales and count'!$G$3:$CC$3="Transactions")*(_xlpm.d&gt;=BA$6)*(_xlpm.d&lt;=BA$7),INDEX('Sales and count'!$G$4:$CC$300,$AJ62,0)))))</f>
        <v>36</v>
      </c>
      <c r="BB62" s="350" cm="1">
        <f t="array" aca="1" ref="BB62" ca="1">IF(AN62="","",IF($AJ62="",0,_xlfn.LET(_xlpm.d,IFERROR(--'Sales and count'!$F$2:$CB$2,0),SUMPRODUCT(('Sales and count'!$G$3:$CC$3="Transactions")*(_xlpm.d&gt;=BB$6)*(_xlpm.d&lt;=BB$7),INDEX('Sales and count'!$G$4:$CC$300,$AJ62,0)))))</f>
        <v>42</v>
      </c>
      <c r="BC62" s="350" cm="1">
        <f t="array" aca="1" ref="BC62" ca="1">IF(AO62="","",IF($AJ62="",0,_xlfn.LET(_xlpm.d,IFERROR(--'Sales and count'!$F$2:$CB$2,0),SUMPRODUCT(('Sales and count'!$G$3:$CC$3="Transactions")*(_xlpm.d&gt;=BC$6)*(_xlpm.d&lt;=BC$7),INDEX('Sales and count'!$G$4:$CC$300,$AJ62,0)))))</f>
        <v>48</v>
      </c>
      <c r="BD62" s="350" cm="1">
        <f t="array" aca="1" ref="BD62" ca="1">IF(AP62="","",IF($AJ62="",0,_xlfn.LET(_xlpm.d,IFERROR(--'Sales and count'!$F$2:$CB$2,0),SUMPRODUCT(('Sales and count'!$G$3:$CC$3="Transactions")*(_xlpm.d&gt;=BD$6)*(_xlpm.d&lt;=BD$7),INDEX('Sales and count'!$G$4:$CC$300,$AJ62,0)))))</f>
        <v>56</v>
      </c>
      <c r="BE62" s="350" cm="1">
        <f t="array" aca="1" ref="BE62" ca="1">IF(AQ62="","",IF($AJ62="",0,_xlfn.LET(_xlpm.d,IFERROR(--'Sales and count'!$F$2:$CB$2,0),SUMPRODUCT(('Sales and count'!$G$3:$CC$3="Transactions")*(_xlpm.d&gt;=BE$6)*(_xlpm.d&lt;=BE$7),INDEX('Sales and count'!$G$4:$CC$300,$AJ62,0)))))</f>
        <v>78</v>
      </c>
      <c r="BF62" s="350" cm="1">
        <f t="array" aca="1" ref="BF62" ca="1">IF(AR62="","",IF($AJ62="",0,_xlfn.LET(_xlpm.d,IFERROR(--'Sales and count'!$F$2:$CB$2,0),SUMPRODUCT(('Sales and count'!$G$3:$CC$3="Transactions")*(_xlpm.d&gt;=BF$6)*(_xlpm.d&lt;=BF$7),INDEX('Sales and count'!$G$4:$CC$300,$AJ62,0)))))</f>
        <v>27</v>
      </c>
      <c r="BG62" s="350" cm="1">
        <f t="array" aca="1" ref="BG62" ca="1">IF(AS62="","",IF($AJ62="",0,_xlfn.LET(_xlpm.d,IFERROR(--'Sales and count'!$F$2:$CB$2,0),SUMPRODUCT(('Sales and count'!$G$3:$CC$3="Transactions")*(_xlpm.d&gt;=BG$6)*(_xlpm.d&lt;=BG$7),INDEX('Sales and count'!$G$4:$CC$300,$AJ62,0)))))</f>
        <v>34</v>
      </c>
      <c r="BH62" s="350" t="str" cm="1">
        <f t="array" ref="BH62">IF(AT62="","",IF($AJ62="",0,_xlfn.LET(_xlpm.d,IFERROR(--'Sales and count'!$F$2:$CB$2,0),SUMPRODUCT(('Sales and count'!$G$3:$CC$3="Transactions")*(_xlpm.d&gt;=BH$6)*(_xlpm.d&lt;=BH$7),INDEX('Sales and count'!$G$4:$CC$300,$AJ62,0)))))</f>
        <v/>
      </c>
      <c r="BI62" s="350" t="str" cm="1">
        <f t="array" ref="BI62">IF(AU62="","",IF($AJ62="",0,_xlfn.LET(_xlpm.d,IFERROR(--'Sales and count'!$F$2:$CB$2,0),SUMPRODUCT(('Sales and count'!$G$3:$CC$3="Transactions")*(_xlpm.d&gt;=BI$6)*(_xlpm.d&lt;=BI$7),INDEX('Sales and count'!$G$4:$CC$300,$AJ62,0)))))</f>
        <v/>
      </c>
      <c r="BJ62" s="350" t="str" cm="1">
        <f t="array" ref="BJ62">IF(AV62="","",IF($AJ62="",0,_xlfn.LET(_xlpm.d,IFERROR(--'Sales and count'!$F$2:$CB$2,0),SUMPRODUCT(('Sales and count'!$G$3:$CC$3="Transactions")*(_xlpm.d&gt;=BJ$6)*(_xlpm.d&lt;=BJ$7),INDEX('Sales and count'!$G$4:$CC$300,$AJ62,0)))))</f>
        <v/>
      </c>
      <c r="BK62" s="350" t="str" cm="1">
        <f t="array" ref="BK62">IF(AW62="","",IF($AJ62="",0,_xlfn.LET(_xlpm.d,IFERROR(--'Sales and count'!$F$2:$CB$2,0),SUMPRODUCT(('Sales and count'!$G$3:$CC$3="Transactions")*(_xlpm.d&gt;=BK$6)*(_xlpm.d&lt;=BK$7),INDEX('Sales and count'!$G$4:$CC$300,$AJ62,0)))))</f>
        <v/>
      </c>
      <c r="BL62" s="350" t="str" cm="1">
        <f t="array" ref="BL62">IF(AX62="","",IF($AJ62="",0,_xlfn.LET(_xlpm.d,IFERROR(--'Sales and count'!$F$2:$CB$2,0),SUMPRODUCT(('Sales and count'!$G$3:$CC$3="Transactions")*(_xlpm.d&gt;=BL$6)*(_xlpm.d&lt;=BL$7),INDEX('Sales and count'!$G$4:$CC$300,$AJ62,0)))))</f>
        <v/>
      </c>
      <c r="BM62" s="350" cm="1">
        <f t="array" ref="BM62">IF(AK62="","",IF($AJ62="",0,_xlfn.LET(_xlpm.d,IFERROR(--'Sales and count'!$G$2:$CC$2,0),SUMPRODUCT(('Sales and count'!$G$3:$CC$3="Total")*(_xlpm.d&gt;=BM$6)*(_xlpm.d&lt;=BM$7),INDEX('Sales and count'!$G$4:$CC$300,$AJ62,0)))))</f>
        <v>157413.82999999999</v>
      </c>
      <c r="BN62" s="350" cm="1">
        <f t="array" ref="BN62">IF(AL62="","",IF($AJ62="",0,_xlfn.LET(_xlpm.d,IFERROR(--'Sales and count'!$G$2:$CC$2,0),SUMPRODUCT(('Sales and count'!$G$3:$CC$3="Total")*(_xlpm.d&gt;=BN$6)*(_xlpm.d&lt;=BN$7),INDEX('Sales and count'!$G$4:$CC$300,$AJ62,0)))))</f>
        <v>5047.1000000000004</v>
      </c>
      <c r="BO62" s="350" cm="1">
        <f t="array" ref="BO62">IF(AM62="","",IF($AJ62="",0,_xlfn.LET(_xlpm.d,IFERROR(--'Sales and count'!$G$2:$CC$2,0),SUMPRODUCT(('Sales and count'!$G$3:$CC$3="Total")*(_xlpm.d&gt;=BO$6)*(_xlpm.d&lt;=BO$7),INDEX('Sales and count'!$G$4:$CC$300,$AJ62,0)))))</f>
        <v>5278.06</v>
      </c>
      <c r="BP62" s="350" cm="1">
        <f t="array" ref="BP62">IF(AN62="","",IF($AJ62="",0,_xlfn.LET(_xlpm.d,IFERROR(--'Sales and count'!$G$2:$CC$2,0),SUMPRODUCT(('Sales and count'!$G$3:$CC$3="Total")*(_xlpm.d&gt;=BP$6)*(_xlpm.d&lt;=BP$7),INDEX('Sales and count'!$G$4:$CC$300,$AJ62,0)))))</f>
        <v>6100.1</v>
      </c>
      <c r="BQ62" s="350" cm="1">
        <f t="array" ref="BQ62">IF(AO62="","",IF($AJ62="",0,_xlfn.LET(_xlpm.d,IFERROR(--'Sales and count'!$G$2:$CC$2,0),SUMPRODUCT(('Sales and count'!$G$3:$CC$3="Total")*(_xlpm.d&gt;=BQ$6)*(_xlpm.d&lt;=BQ$7),INDEX('Sales and count'!$G$4:$CC$300,$AJ62,0)))))</f>
        <v>8615.77</v>
      </c>
      <c r="BR62" s="350" cm="1">
        <f t="array" ref="BR62">IF(AP62="","",IF($AJ62="",0,_xlfn.LET(_xlpm.d,IFERROR(--'Sales and count'!$G$2:$CC$2,0),SUMPRODUCT(('Sales and count'!$G$3:$CC$3="Total")*(_xlpm.d&gt;=BR$6)*(_xlpm.d&lt;=BR$7),INDEX('Sales and count'!$G$4:$CC$300,$AJ62,0)))))</f>
        <v>9084.51</v>
      </c>
      <c r="BS62" s="350" cm="1">
        <f t="array" ref="BS62">IF(AQ62="","",IF($AJ62="",0,_xlfn.LET(_xlpm.d,IFERROR(--'Sales and count'!$G$2:$CC$2,0),SUMPRODUCT(('Sales and count'!$G$3:$CC$3="Total")*(_xlpm.d&gt;=BS$6)*(_xlpm.d&lt;=BS$7),INDEX('Sales and count'!$G$4:$CC$300,$AJ62,0)))))</f>
        <v>10436.57</v>
      </c>
      <c r="BT62" s="350" cm="1">
        <f t="array" ref="BT62">IF(AR62="","",IF($AJ62="",0,_xlfn.LET(_xlpm.d,IFERROR(--'Sales and count'!$G$2:$CC$2,0),SUMPRODUCT(('Sales and count'!$G$3:$CC$3="Total")*(_xlpm.d&gt;=BT$6)*(_xlpm.d&lt;=BT$7),INDEX('Sales and count'!$G$4:$CC$300,$AJ62,0)))))</f>
        <v>3534.81</v>
      </c>
      <c r="BU62" s="350" cm="1">
        <f t="array" ref="BU62">IF(AS62="","",IF($AJ62="",0,_xlfn.LET(_xlpm.d,IFERROR(--'Sales and count'!$G$2:$CC$2,0),SUMPRODUCT(('Sales and count'!$G$3:$CC$3="Total")*(_xlpm.d&gt;=BU$6)*(_xlpm.d&lt;=BU$7),INDEX('Sales and count'!$G$4:$CC$300,$AJ62,0)))))</f>
        <v>7018.33</v>
      </c>
      <c r="BV62" s="350" t="str" cm="1">
        <f t="array" ref="BV62">IF(AT62="","",IF($AJ62="",0,_xlfn.LET(_xlpm.d,IFERROR(--'Sales and count'!$G$2:$CC$2,0),SUMPRODUCT(('Sales and count'!$G$3:$CC$3="Total")*(_xlpm.d&gt;=BV$6)*(_xlpm.d&lt;=BV$7),INDEX('Sales and count'!$G$4:$CC$300,$AJ62,0)))))</f>
        <v/>
      </c>
      <c r="BW62" s="350" t="str" cm="1">
        <f t="array" ref="BW62">IF(AU62="","",IF($AJ62="",0,_xlfn.LET(_xlpm.d,IFERROR(--'Sales and count'!$G$2:$CC$2,0),SUMPRODUCT(('Sales and count'!$G$3:$CC$3="Total")*(_xlpm.d&gt;=BW$6)*(_xlpm.d&lt;=BW$7),INDEX('Sales and count'!$G$4:$CC$300,$AJ62,0)))))</f>
        <v/>
      </c>
      <c r="BX62" s="350" t="str" cm="1">
        <f t="array" ref="BX62">IF(AV62="","",IF($AJ62="",0,_xlfn.LET(_xlpm.d,IFERROR(--'Sales and count'!$G$2:$CC$2,0),SUMPRODUCT(('Sales and count'!$G$3:$CC$3="Total")*(_xlpm.d&gt;=BX$6)*(_xlpm.d&lt;=BX$7),INDEX('Sales and count'!$G$4:$CC$300,$AJ62,0)))))</f>
        <v/>
      </c>
      <c r="BY62" s="350" t="str" cm="1">
        <f t="array" ref="BY62">IF(AW62="","",IF($AJ62="",0,_xlfn.LET(_xlpm.d,IFERROR(--'Sales and count'!$G$2:$CC$2,0),SUMPRODUCT(('Sales and count'!$G$3:$CC$3="Total")*(_xlpm.d&gt;=BY$6)*(_xlpm.d&lt;=BY$7),INDEX('Sales and count'!$G$4:$CC$300,$AJ62,0)))))</f>
        <v/>
      </c>
      <c r="BZ62" s="350" t="str" cm="1">
        <f t="array" ref="BZ62">IF(AX62="","",IF($AJ62="",0,_xlfn.LET(_xlpm.d,IFERROR(--'Sales and count'!$G$2:$CC$2,0),SUMPRODUCT(('Sales and count'!$G$3:$CC$3="Total")*(_xlpm.d&gt;=BZ$6)*(_xlpm.d&lt;=BZ$7),INDEX('Sales and count'!$G$4:$CC$300,$AJ62,0)))))</f>
        <v/>
      </c>
    </row>
    <row r="63" spans="1:78" x14ac:dyDescent="0.25">
      <c r="A63" s="356" t="str">
        <v>SALAMA</v>
      </c>
      <c r="B63" s="356" t="str" cm="1">
        <f t="array" ref="B63">IF($A63="","",_xlfn.XLOOKUP($A63,TRIM(Footfall!$B$5:$B$301&amp;""),Footfall!$A$5:$A$301,""))</f>
        <v>Jeddah Salama Center</v>
      </c>
      <c r="C63" s="356" t="str" cm="1">
        <f t="array" ref="C63">IF($A63="","",_xlfn.XLOOKUP($A63,TRIM('Sales and count'!$A$4:$A$300&amp;""),'Sales and count'!$C$4:$C$300,"Not set"))</f>
        <v>Jeddah</v>
      </c>
      <c r="D63" s="357">
        <f t="shared" ca="1" si="53"/>
        <v>0.31772653156300956</v>
      </c>
      <c r="E63" s="357">
        <f t="shared" ca="1" si="54"/>
        <v>0.2978723404255319</v>
      </c>
      <c r="F63" s="357" t="str">
        <f t="shared" si="55"/>
        <v/>
      </c>
      <c r="G63" s="357" t="str">
        <f t="shared" si="56"/>
        <v/>
      </c>
      <c r="H63" s="357" t="str">
        <f t="shared" si="57"/>
        <v/>
      </c>
      <c r="I63" s="357" t="str">
        <f t="shared" si="58"/>
        <v/>
      </c>
      <c r="J63" s="357" t="str">
        <f t="shared" si="59"/>
        <v/>
      </c>
      <c r="K63" s="357" t="str">
        <f t="shared" si="60"/>
        <v/>
      </c>
      <c r="L63" s="357" t="str">
        <f t="shared" si="61"/>
        <v/>
      </c>
      <c r="M63" s="357" t="str">
        <f t="shared" si="62"/>
        <v/>
      </c>
      <c r="N63" s="357" t="str">
        <f t="shared" si="63"/>
        <v/>
      </c>
      <c r="O63" s="357" t="str">
        <f t="shared" si="64"/>
        <v/>
      </c>
      <c r="P63" s="357" t="str">
        <f t="shared" si="65"/>
        <v/>
      </c>
      <c r="Q63" s="357" t="str">
        <f t="shared" si="66"/>
        <v/>
      </c>
      <c r="R63" s="358" cm="1">
        <f t="array" aca="1" ref="R63" ca="1">IF(OR($A63="",D63=""),"",IFERROR(LOOKUP(2,1/(E63:Q63&lt;&gt;""),E63:Q63)-D63,""))</f>
        <v>-1.9854191137477661E-2</v>
      </c>
      <c r="S63" s="349"/>
      <c r="T63" s="362">
        <f t="shared" ca="1" si="67"/>
        <v>159.30274193548388</v>
      </c>
      <c r="U63" s="362">
        <f t="shared" ca="1" si="68"/>
        <v>154.86089285714289</v>
      </c>
      <c r="V63" s="362">
        <f t="shared" ca="1" si="69"/>
        <v>282.44574074074075</v>
      </c>
      <c r="W63" s="362">
        <f t="shared" ca="1" si="70"/>
        <v>216.6337037037037</v>
      </c>
      <c r="X63" s="362">
        <f t="shared" ca="1" si="71"/>
        <v>144.11984375</v>
      </c>
      <c r="Y63" s="362">
        <f t="shared" ca="1" si="72"/>
        <v>168.4073611111111</v>
      </c>
      <c r="Z63" s="362">
        <f t="shared" ca="1" si="73"/>
        <v>392.08963636363637</v>
      </c>
      <c r="AA63" s="362">
        <f t="shared" ca="1" si="74"/>
        <v>166.78510204081633</v>
      </c>
      <c r="AB63" s="362">
        <f t="shared" ca="1" si="75"/>
        <v>177.59</v>
      </c>
      <c r="AC63" s="362" t="str">
        <f t="shared" si="76"/>
        <v/>
      </c>
      <c r="AD63" s="362" t="str">
        <f t="shared" si="77"/>
        <v/>
      </c>
      <c r="AE63" s="362" t="str">
        <f t="shared" si="78"/>
        <v/>
      </c>
      <c r="AF63" s="362" t="str">
        <f t="shared" si="79"/>
        <v/>
      </c>
      <c r="AG63" s="362" t="str">
        <f t="shared" si="80"/>
        <v/>
      </c>
      <c r="AH63" s="363" cm="1">
        <f t="array" aca="1" ref="AH63" ca="1">IF(OR($A63="",T63=""),"",IFERROR(LOOKUP(2,1/(U63:AG63&lt;&gt;""),U63:AG63)-T63,""))</f>
        <v>18.287258064516124</v>
      </c>
      <c r="AI63" s="349"/>
      <c r="AJ63" s="349" cm="1">
        <f t="array" ref="AJ63">IF($A63="","",IFERROR(MATCH($A63,TRIM('Sales and count'!$A$4:$A$300&amp;""),0),""))</f>
        <v>78</v>
      </c>
      <c r="AK63" s="350" cm="1">
        <f t="array" ref="AK63">IF(OR($A63="",AK$6=""),"",IFERROR(INDEX(Footfall!$C$5:$BZ$301,MATCH($A63,TRIM(Footfall!$B$5:$B$301&amp;""),0),AK$5),0))</f>
        <v>4293</v>
      </c>
      <c r="AL63" s="350" cm="1">
        <f t="array" ref="AL63">IF(OR($A63="",AL$6=""),"",IFERROR(INDEX(Footfall!$C$5:$BZ$301,MATCH($A63,TRIM(Footfall!$B$5:$B$301&amp;""),0),AL$5),0))</f>
        <v>188</v>
      </c>
      <c r="AM63" s="350" cm="1">
        <f t="array" ref="AM63">IF(OR($A63="",AM$6=""),"",IFERROR(INDEX(Footfall!$C$5:$BZ$301,MATCH($A63,TRIM(Footfall!$B$5:$B$301&amp;""),0),AM$5),0))</f>
        <v>0</v>
      </c>
      <c r="AN63" s="350" cm="1">
        <f t="array" ref="AN63">IF(OR($A63="",AN$6=""),"",IFERROR(INDEX(Footfall!$C$5:$BZ$301,MATCH($A63,TRIM(Footfall!$B$5:$B$301&amp;""),0),AN$5),0))</f>
        <v>0</v>
      </c>
      <c r="AO63" s="350" cm="1">
        <f t="array" ref="AO63">IF(OR($A63="",AO$6=""),"",IFERROR(INDEX(Footfall!$C$5:$BZ$301,MATCH($A63,TRIM(Footfall!$B$5:$B$301&amp;""),0),AO$5),0))</f>
        <v>0</v>
      </c>
      <c r="AP63" s="350" cm="1">
        <f t="array" ref="AP63">IF(OR($A63="",AP$6=""),"",IFERROR(INDEX(Footfall!$C$5:$BZ$301,MATCH($A63,TRIM(Footfall!$B$5:$B$301&amp;""),0),AP$5),0))</f>
        <v>0</v>
      </c>
      <c r="AQ63" s="350" cm="1">
        <f t="array" ref="AQ63">IF(OR($A63="",AQ$6=""),"",IFERROR(INDEX(Footfall!$C$5:$BZ$301,MATCH($A63,TRIM(Footfall!$B$5:$B$301&amp;""),0),AQ$5),0))</f>
        <v>0</v>
      </c>
      <c r="AR63" s="350" cm="1">
        <f t="array" ref="AR63">IF(OR($A63="",AR$6=""),"",IFERROR(INDEX(Footfall!$C$5:$BZ$301,MATCH($A63,TRIM(Footfall!$B$5:$B$301&amp;""),0),AR$5),0))</f>
        <v>0</v>
      </c>
      <c r="AS63" s="350" cm="1">
        <f t="array" ref="AS63">IF(OR($A63="",AS$6=""),"",IFERROR(INDEX(Footfall!$C$5:$BZ$301,MATCH($A63,TRIM(Footfall!$B$5:$B$301&amp;""),0),AS$5),0))</f>
        <v>0</v>
      </c>
      <c r="AT63" s="350" t="str" cm="1">
        <f t="array" ref="AT63">IF(OR($A63="",AT$6=""),"",IFERROR(INDEX(Footfall!$C$5:$BZ$301,MATCH($A63,TRIM(Footfall!$B$5:$B$301&amp;""),0),AT$5),0))</f>
        <v/>
      </c>
      <c r="AU63" s="350" t="str" cm="1">
        <f t="array" ref="AU63">IF(OR($A63="",AU$6=""),"",IFERROR(INDEX(Footfall!$C$5:$BZ$301,MATCH($A63,TRIM(Footfall!$B$5:$B$301&amp;""),0),AU$5),0))</f>
        <v/>
      </c>
      <c r="AV63" s="350" t="str" cm="1">
        <f t="array" ref="AV63">IF(OR($A63="",AV$6=""),"",IFERROR(INDEX(Footfall!$C$5:$BZ$301,MATCH($A63,TRIM(Footfall!$B$5:$B$301&amp;""),0),AV$5),0))</f>
        <v/>
      </c>
      <c r="AW63" s="350" t="str" cm="1">
        <f t="array" ref="AW63">IF(OR($A63="",AW$6=""),"",IFERROR(INDEX(Footfall!$C$5:$BZ$301,MATCH($A63,TRIM(Footfall!$B$5:$B$301&amp;""),0),AW$5),0))</f>
        <v/>
      </c>
      <c r="AX63" s="350" t="str" cm="1">
        <f t="array" ref="AX63">IF(OR($A63="",AX$6=""),"",IFERROR(INDEX(Footfall!$C$5:$BZ$301,MATCH($A63,TRIM(Footfall!$B$5:$B$301&amp;""),0),AX$5),0))</f>
        <v/>
      </c>
      <c r="AY63" s="350" cm="1">
        <f t="array" aca="1" ref="AY63" ca="1">IF(AK63="","",IF($AJ63="",0,_xlfn.LET(_xlpm.d,IFERROR(--'Sales and count'!$F$2:$CB$2,0),SUMPRODUCT(('Sales and count'!$G$3:$CC$3="Transactions")*(_xlpm.d&gt;=AY$6)*(_xlpm.d&lt;=AY$7),INDEX('Sales and count'!$G$4:$CC$300,$AJ63,0)))))</f>
        <v>1364</v>
      </c>
      <c r="AZ63" s="350" cm="1">
        <f t="array" aca="1" ref="AZ63" ca="1">IF(AL63="","",IF($AJ63="",0,_xlfn.LET(_xlpm.d,IFERROR(--'Sales and count'!$F$2:$CB$2,0),SUMPRODUCT(('Sales and count'!$G$3:$CC$3="Transactions")*(_xlpm.d&gt;=AZ$6)*(_xlpm.d&lt;=AZ$7),INDEX('Sales and count'!$G$4:$CC$300,$AJ63,0)))))</f>
        <v>56</v>
      </c>
      <c r="BA63" s="350" cm="1">
        <f t="array" aca="1" ref="BA63" ca="1">IF(AM63="","",IF($AJ63="",0,_xlfn.LET(_xlpm.d,IFERROR(--'Sales and count'!$F$2:$CB$2,0),SUMPRODUCT(('Sales and count'!$G$3:$CC$3="Transactions")*(_xlpm.d&gt;=BA$6)*(_xlpm.d&lt;=BA$7),INDEX('Sales and count'!$G$4:$CC$300,$AJ63,0)))))</f>
        <v>54</v>
      </c>
      <c r="BB63" s="350" cm="1">
        <f t="array" aca="1" ref="BB63" ca="1">IF(AN63="","",IF($AJ63="",0,_xlfn.LET(_xlpm.d,IFERROR(--'Sales and count'!$F$2:$CB$2,0),SUMPRODUCT(('Sales and count'!$G$3:$CC$3="Transactions")*(_xlpm.d&gt;=BB$6)*(_xlpm.d&lt;=BB$7),INDEX('Sales and count'!$G$4:$CC$300,$AJ63,0)))))</f>
        <v>54</v>
      </c>
      <c r="BC63" s="350" cm="1">
        <f t="array" aca="1" ref="BC63" ca="1">IF(AO63="","",IF($AJ63="",0,_xlfn.LET(_xlpm.d,IFERROR(--'Sales and count'!$F$2:$CB$2,0),SUMPRODUCT(('Sales and count'!$G$3:$CC$3="Transactions")*(_xlpm.d&gt;=BC$6)*(_xlpm.d&lt;=BC$7),INDEX('Sales and count'!$G$4:$CC$300,$AJ63,0)))))</f>
        <v>64</v>
      </c>
      <c r="BD63" s="350" cm="1">
        <f t="array" aca="1" ref="BD63" ca="1">IF(AP63="","",IF($AJ63="",0,_xlfn.LET(_xlpm.d,IFERROR(--'Sales and count'!$F$2:$CB$2,0),SUMPRODUCT(('Sales and count'!$G$3:$CC$3="Transactions")*(_xlpm.d&gt;=BD$6)*(_xlpm.d&lt;=BD$7),INDEX('Sales and count'!$G$4:$CC$300,$AJ63,0)))))</f>
        <v>72</v>
      </c>
      <c r="BE63" s="350" cm="1">
        <f t="array" aca="1" ref="BE63" ca="1">IF(AQ63="","",IF($AJ63="",0,_xlfn.LET(_xlpm.d,IFERROR(--'Sales and count'!$F$2:$CB$2,0),SUMPRODUCT(('Sales and count'!$G$3:$CC$3="Transactions")*(_xlpm.d&gt;=BE$6)*(_xlpm.d&lt;=BE$7),INDEX('Sales and count'!$G$4:$CC$300,$AJ63,0)))))</f>
        <v>55</v>
      </c>
      <c r="BF63" s="350" cm="1">
        <f t="array" aca="1" ref="BF63" ca="1">IF(AR63="","",IF($AJ63="",0,_xlfn.LET(_xlpm.d,IFERROR(--'Sales and count'!$F$2:$CB$2,0),SUMPRODUCT(('Sales and count'!$G$3:$CC$3="Transactions")*(_xlpm.d&gt;=BF$6)*(_xlpm.d&lt;=BF$7),INDEX('Sales and count'!$G$4:$CC$300,$AJ63,0)))))</f>
        <v>49</v>
      </c>
      <c r="BG63" s="350" cm="1">
        <f t="array" aca="1" ref="BG63" ca="1">IF(AS63="","",IF($AJ63="",0,_xlfn.LET(_xlpm.d,IFERROR(--'Sales and count'!$F$2:$CB$2,0),SUMPRODUCT(('Sales and count'!$G$3:$CC$3="Transactions")*(_xlpm.d&gt;=BG$6)*(_xlpm.d&lt;=BG$7),INDEX('Sales and count'!$G$4:$CC$300,$AJ63,0)))))</f>
        <v>45</v>
      </c>
      <c r="BH63" s="350" t="str" cm="1">
        <f t="array" ref="BH63">IF(AT63="","",IF($AJ63="",0,_xlfn.LET(_xlpm.d,IFERROR(--'Sales and count'!$F$2:$CB$2,0),SUMPRODUCT(('Sales and count'!$G$3:$CC$3="Transactions")*(_xlpm.d&gt;=BH$6)*(_xlpm.d&lt;=BH$7),INDEX('Sales and count'!$G$4:$CC$300,$AJ63,0)))))</f>
        <v/>
      </c>
      <c r="BI63" s="350" t="str" cm="1">
        <f t="array" ref="BI63">IF(AU63="","",IF($AJ63="",0,_xlfn.LET(_xlpm.d,IFERROR(--'Sales and count'!$F$2:$CB$2,0),SUMPRODUCT(('Sales and count'!$G$3:$CC$3="Transactions")*(_xlpm.d&gt;=BI$6)*(_xlpm.d&lt;=BI$7),INDEX('Sales and count'!$G$4:$CC$300,$AJ63,0)))))</f>
        <v/>
      </c>
      <c r="BJ63" s="350" t="str" cm="1">
        <f t="array" ref="BJ63">IF(AV63="","",IF($AJ63="",0,_xlfn.LET(_xlpm.d,IFERROR(--'Sales and count'!$F$2:$CB$2,0),SUMPRODUCT(('Sales and count'!$G$3:$CC$3="Transactions")*(_xlpm.d&gt;=BJ$6)*(_xlpm.d&lt;=BJ$7),INDEX('Sales and count'!$G$4:$CC$300,$AJ63,0)))))</f>
        <v/>
      </c>
      <c r="BK63" s="350" t="str" cm="1">
        <f t="array" ref="BK63">IF(AW63="","",IF($AJ63="",0,_xlfn.LET(_xlpm.d,IFERROR(--'Sales and count'!$F$2:$CB$2,0),SUMPRODUCT(('Sales and count'!$G$3:$CC$3="Transactions")*(_xlpm.d&gt;=BK$6)*(_xlpm.d&lt;=BK$7),INDEX('Sales and count'!$G$4:$CC$300,$AJ63,0)))))</f>
        <v/>
      </c>
      <c r="BL63" s="350" t="str" cm="1">
        <f t="array" ref="BL63">IF(AX63="","",IF($AJ63="",0,_xlfn.LET(_xlpm.d,IFERROR(--'Sales and count'!$F$2:$CB$2,0),SUMPRODUCT(('Sales and count'!$G$3:$CC$3="Transactions")*(_xlpm.d&gt;=BL$6)*(_xlpm.d&lt;=BL$7),INDEX('Sales and count'!$G$4:$CC$300,$AJ63,0)))))</f>
        <v/>
      </c>
      <c r="BM63" s="350" cm="1">
        <f t="array" ref="BM63">IF(AK63="","",IF($AJ63="",0,_xlfn.LET(_xlpm.d,IFERROR(--'Sales and count'!$G$2:$CC$2,0),SUMPRODUCT(('Sales and count'!$G$3:$CC$3="Total")*(_xlpm.d&gt;=BM$6)*(_xlpm.d&lt;=BM$7),INDEX('Sales and count'!$G$4:$CC$300,$AJ63,0)))))</f>
        <v>217288.94</v>
      </c>
      <c r="BN63" s="350" cm="1">
        <f t="array" ref="BN63">IF(AL63="","",IF($AJ63="",0,_xlfn.LET(_xlpm.d,IFERROR(--'Sales and count'!$G$2:$CC$2,0),SUMPRODUCT(('Sales and count'!$G$3:$CC$3="Total")*(_xlpm.d&gt;=BN$6)*(_xlpm.d&lt;=BN$7),INDEX('Sales and count'!$G$4:$CC$300,$AJ63,0)))))</f>
        <v>8672.2100000000009</v>
      </c>
      <c r="BO63" s="350" cm="1">
        <f t="array" ref="BO63">IF(AM63="","",IF($AJ63="",0,_xlfn.LET(_xlpm.d,IFERROR(--'Sales and count'!$G$2:$CC$2,0),SUMPRODUCT(('Sales and count'!$G$3:$CC$3="Total")*(_xlpm.d&gt;=BO$6)*(_xlpm.d&lt;=BO$7),INDEX('Sales and count'!$G$4:$CC$300,$AJ63,0)))))</f>
        <v>15252.07</v>
      </c>
      <c r="BP63" s="350" cm="1">
        <f t="array" ref="BP63">IF(AN63="","",IF($AJ63="",0,_xlfn.LET(_xlpm.d,IFERROR(--'Sales and count'!$G$2:$CC$2,0),SUMPRODUCT(('Sales and count'!$G$3:$CC$3="Total")*(_xlpm.d&gt;=BP$6)*(_xlpm.d&lt;=BP$7),INDEX('Sales and count'!$G$4:$CC$300,$AJ63,0)))))</f>
        <v>11698.22</v>
      </c>
      <c r="BQ63" s="350" cm="1">
        <f t="array" ref="BQ63">IF(AO63="","",IF($AJ63="",0,_xlfn.LET(_xlpm.d,IFERROR(--'Sales and count'!$G$2:$CC$2,0),SUMPRODUCT(('Sales and count'!$G$3:$CC$3="Total")*(_xlpm.d&gt;=BQ$6)*(_xlpm.d&lt;=BQ$7),INDEX('Sales and count'!$G$4:$CC$300,$AJ63,0)))))</f>
        <v>9223.67</v>
      </c>
      <c r="BR63" s="350" cm="1">
        <f t="array" ref="BR63">IF(AP63="","",IF($AJ63="",0,_xlfn.LET(_xlpm.d,IFERROR(--'Sales and count'!$G$2:$CC$2,0),SUMPRODUCT(('Sales and count'!$G$3:$CC$3="Total")*(_xlpm.d&gt;=BR$6)*(_xlpm.d&lt;=BR$7),INDEX('Sales and count'!$G$4:$CC$300,$AJ63,0)))))</f>
        <v>12125.33</v>
      </c>
      <c r="BS63" s="350" cm="1">
        <f t="array" ref="BS63">IF(AQ63="","",IF($AJ63="",0,_xlfn.LET(_xlpm.d,IFERROR(--'Sales and count'!$G$2:$CC$2,0),SUMPRODUCT(('Sales and count'!$G$3:$CC$3="Total")*(_xlpm.d&gt;=BS$6)*(_xlpm.d&lt;=BS$7),INDEX('Sales and count'!$G$4:$CC$300,$AJ63,0)))))</f>
        <v>21564.93</v>
      </c>
      <c r="BT63" s="350" cm="1">
        <f t="array" ref="BT63">IF(AR63="","",IF($AJ63="",0,_xlfn.LET(_xlpm.d,IFERROR(--'Sales and count'!$G$2:$CC$2,0),SUMPRODUCT(('Sales and count'!$G$3:$CC$3="Total")*(_xlpm.d&gt;=BT$6)*(_xlpm.d&lt;=BT$7),INDEX('Sales and count'!$G$4:$CC$300,$AJ63,0)))))</f>
        <v>8172.47</v>
      </c>
      <c r="BU63" s="350" cm="1">
        <f t="array" ref="BU63">IF(AS63="","",IF($AJ63="",0,_xlfn.LET(_xlpm.d,IFERROR(--'Sales and count'!$G$2:$CC$2,0),SUMPRODUCT(('Sales and count'!$G$3:$CC$3="Total")*(_xlpm.d&gt;=BU$6)*(_xlpm.d&lt;=BU$7),INDEX('Sales and count'!$G$4:$CC$300,$AJ63,0)))))</f>
        <v>7991.55</v>
      </c>
      <c r="BV63" s="350" t="str" cm="1">
        <f t="array" ref="BV63">IF(AT63="","",IF($AJ63="",0,_xlfn.LET(_xlpm.d,IFERROR(--'Sales and count'!$G$2:$CC$2,0),SUMPRODUCT(('Sales and count'!$G$3:$CC$3="Total")*(_xlpm.d&gt;=BV$6)*(_xlpm.d&lt;=BV$7),INDEX('Sales and count'!$G$4:$CC$300,$AJ63,0)))))</f>
        <v/>
      </c>
      <c r="BW63" s="350" t="str" cm="1">
        <f t="array" ref="BW63">IF(AU63="","",IF($AJ63="",0,_xlfn.LET(_xlpm.d,IFERROR(--'Sales and count'!$G$2:$CC$2,0),SUMPRODUCT(('Sales and count'!$G$3:$CC$3="Total")*(_xlpm.d&gt;=BW$6)*(_xlpm.d&lt;=BW$7),INDEX('Sales and count'!$G$4:$CC$300,$AJ63,0)))))</f>
        <v/>
      </c>
      <c r="BX63" s="350" t="str" cm="1">
        <f t="array" ref="BX63">IF(AV63="","",IF($AJ63="",0,_xlfn.LET(_xlpm.d,IFERROR(--'Sales and count'!$G$2:$CC$2,0),SUMPRODUCT(('Sales and count'!$G$3:$CC$3="Total")*(_xlpm.d&gt;=BX$6)*(_xlpm.d&lt;=BX$7),INDEX('Sales and count'!$G$4:$CC$300,$AJ63,0)))))</f>
        <v/>
      </c>
      <c r="BY63" s="350" t="str" cm="1">
        <f t="array" ref="BY63">IF(AW63="","",IF($AJ63="",0,_xlfn.LET(_xlpm.d,IFERROR(--'Sales and count'!$G$2:$CC$2,0),SUMPRODUCT(('Sales and count'!$G$3:$CC$3="Total")*(_xlpm.d&gt;=BY$6)*(_xlpm.d&lt;=BY$7),INDEX('Sales and count'!$G$4:$CC$300,$AJ63,0)))))</f>
        <v/>
      </c>
      <c r="BZ63" s="350" t="str" cm="1">
        <f t="array" ref="BZ63">IF(AX63="","",IF($AJ63="",0,_xlfn.LET(_xlpm.d,IFERROR(--'Sales and count'!$G$2:$CC$2,0),SUMPRODUCT(('Sales and count'!$G$3:$CC$3="Total")*(_xlpm.d&gt;=BZ$6)*(_xlpm.d&lt;=BZ$7),INDEX('Sales and count'!$G$4:$CC$300,$AJ63,0)))))</f>
        <v/>
      </c>
    </row>
    <row r="64" spans="1:78" x14ac:dyDescent="0.25">
      <c r="A64" s="356" t="str">
        <v>ALSHATEA</v>
      </c>
      <c r="B64" s="356" t="str" cm="1">
        <f t="array" ref="B64">IF($A64="","",_xlfn.XLOOKUP($A64,TRIM(Footfall!$B$5:$B$301&amp;""),Footfall!$A$5:$A$301,""))</f>
        <v>Jeddah Shatea</v>
      </c>
      <c r="C64" s="356" t="str" cm="1">
        <f t="array" ref="C64">IF($A64="","",_xlfn.XLOOKUP($A64,TRIM('Sales and count'!$A$4:$A$300&amp;""),'Sales and count'!$C$4:$C$300,"Not set"))</f>
        <v>Jeddah</v>
      </c>
      <c r="D64" s="357">
        <f t="shared" ca="1" si="53"/>
        <v>0.29335410176531673</v>
      </c>
      <c r="E64" s="357">
        <f t="shared" ca="1" si="54"/>
        <v>0.18055555555555555</v>
      </c>
      <c r="F64" s="357">
        <f t="shared" ca="1" si="55"/>
        <v>0.3728813559322034</v>
      </c>
      <c r="G64" s="357">
        <f t="shared" ca="1" si="56"/>
        <v>0.23333333333333334</v>
      </c>
      <c r="H64" s="357">
        <f t="shared" ca="1" si="57"/>
        <v>9.5238095238095233E-2</v>
      </c>
      <c r="I64" s="357">
        <f t="shared" ca="1" si="58"/>
        <v>6.2271062271062272E-2</v>
      </c>
      <c r="J64" s="357">
        <f t="shared" ca="1" si="59"/>
        <v>0.22368421052631579</v>
      </c>
      <c r="K64" s="357">
        <f t="shared" ca="1" si="60"/>
        <v>7.4999999999999997E-2</v>
      </c>
      <c r="L64" s="357">
        <f t="shared" ca="1" si="61"/>
        <v>5.0387596899224806E-2</v>
      </c>
      <c r="M64" s="357" t="str">
        <f t="shared" si="62"/>
        <v/>
      </c>
      <c r="N64" s="357" t="str">
        <f t="shared" si="63"/>
        <v/>
      </c>
      <c r="O64" s="357" t="str">
        <f t="shared" si="64"/>
        <v/>
      </c>
      <c r="P64" s="357" t="str">
        <f t="shared" si="65"/>
        <v/>
      </c>
      <c r="Q64" s="357" t="str">
        <f t="shared" si="66"/>
        <v/>
      </c>
      <c r="R64" s="358" cm="1">
        <f t="array" aca="1" ref="R64" ca="1">IF(OR($A64="",D64=""),"",IFERROR(LOOKUP(2,1/(E64:Q64&lt;&gt;""),E64:Q64)-D64,""))</f>
        <v>-0.24296650486609192</v>
      </c>
      <c r="S64" s="349"/>
      <c r="T64" s="362">
        <f t="shared" ca="1" si="67"/>
        <v>163.05405309734516</v>
      </c>
      <c r="U64" s="362">
        <f t="shared" ca="1" si="68"/>
        <v>141.15615384615384</v>
      </c>
      <c r="V64" s="362">
        <f t="shared" ca="1" si="69"/>
        <v>160.27454545454546</v>
      </c>
      <c r="W64" s="362">
        <f t="shared" ca="1" si="70"/>
        <v>164.215</v>
      </c>
      <c r="X64" s="362">
        <f t="shared" ca="1" si="71"/>
        <v>155.65966666666665</v>
      </c>
      <c r="Y64" s="362">
        <f t="shared" ca="1" si="72"/>
        <v>201.46176470588236</v>
      </c>
      <c r="Z64" s="362">
        <f t="shared" ca="1" si="73"/>
        <v>218.98470588235293</v>
      </c>
      <c r="AA64" s="362">
        <f t="shared" ca="1" si="74"/>
        <v>147.93555555555557</v>
      </c>
      <c r="AB64" s="362">
        <f t="shared" ca="1" si="75"/>
        <v>209.47230769230768</v>
      </c>
      <c r="AC64" s="362" t="str">
        <f t="shared" si="76"/>
        <v/>
      </c>
      <c r="AD64" s="362" t="str">
        <f t="shared" si="77"/>
        <v/>
      </c>
      <c r="AE64" s="362" t="str">
        <f t="shared" si="78"/>
        <v/>
      </c>
      <c r="AF64" s="362" t="str">
        <f t="shared" si="79"/>
        <v/>
      </c>
      <c r="AG64" s="362" t="str">
        <f t="shared" si="80"/>
        <v/>
      </c>
      <c r="AH64" s="363" cm="1">
        <f t="array" aca="1" ref="AH64" ca="1">IF(OR($A64="",T64=""),"",IFERROR(LOOKUP(2,1/(U64:AG64&lt;&gt;""),U64:AG64)-T64,""))</f>
        <v>46.418254594962519</v>
      </c>
      <c r="AI64" s="349"/>
      <c r="AJ64" s="349" cm="1">
        <f t="array" ref="AJ64">IF($A64="","",IFERROR(MATCH($A64,TRIM('Sales and count'!$A$4:$A$300&amp;""),0),""))</f>
        <v>76</v>
      </c>
      <c r="AK64" s="350" cm="1">
        <f t="array" ref="AK64">IF(OR($A64="",AK$6=""),"",IFERROR(INDEX(Footfall!$C$5:$BZ$301,MATCH($A64,TRIM(Footfall!$B$5:$B$301&amp;""),0),AK$5),0))</f>
        <v>1926</v>
      </c>
      <c r="AL64" s="350" cm="1">
        <f t="array" ref="AL64">IF(OR($A64="",AL$6=""),"",IFERROR(INDEX(Footfall!$C$5:$BZ$301,MATCH($A64,TRIM(Footfall!$B$5:$B$301&amp;""),0),AL$5),0))</f>
        <v>72</v>
      </c>
      <c r="AM64" s="350" cm="1">
        <f t="array" ref="AM64">IF(OR($A64="",AM$6=""),"",IFERROR(INDEX(Footfall!$C$5:$BZ$301,MATCH($A64,TRIM(Footfall!$B$5:$B$301&amp;""),0),AM$5),0))</f>
        <v>59</v>
      </c>
      <c r="AN64" s="350" cm="1">
        <f t="array" ref="AN64">IF(OR($A64="",AN$6=""),"",IFERROR(INDEX(Footfall!$C$5:$BZ$301,MATCH($A64,TRIM(Footfall!$B$5:$B$301&amp;""),0),AN$5),0))</f>
        <v>60</v>
      </c>
      <c r="AO64" s="350" cm="1">
        <f t="array" ref="AO64">IF(OR($A64="",AO$6=""),"",IFERROR(INDEX(Footfall!$C$5:$BZ$301,MATCH($A64,TRIM(Footfall!$B$5:$B$301&amp;""),0),AO$5),0))</f>
        <v>315</v>
      </c>
      <c r="AP64" s="350" cm="1">
        <f t="array" ref="AP64">IF(OR($A64="",AP$6=""),"",IFERROR(INDEX(Footfall!$C$5:$BZ$301,MATCH($A64,TRIM(Footfall!$B$5:$B$301&amp;""),0),AP$5),0))</f>
        <v>273</v>
      </c>
      <c r="AQ64" s="350" cm="1">
        <f t="array" ref="AQ64">IF(OR($A64="",AQ$6=""),"",IFERROR(INDEX(Footfall!$C$5:$BZ$301,MATCH($A64,TRIM(Footfall!$B$5:$B$301&amp;""),0),AQ$5),0))</f>
        <v>76</v>
      </c>
      <c r="AR64" s="350" cm="1">
        <f t="array" ref="AR64">IF(OR($A64="",AR$6=""),"",IFERROR(INDEX(Footfall!$C$5:$BZ$301,MATCH($A64,TRIM(Footfall!$B$5:$B$301&amp;""),0),AR$5),0))</f>
        <v>240</v>
      </c>
      <c r="AS64" s="350" cm="1">
        <f t="array" ref="AS64">IF(OR($A64="",AS$6=""),"",IFERROR(INDEX(Footfall!$C$5:$BZ$301,MATCH($A64,TRIM(Footfall!$B$5:$B$301&amp;""),0),AS$5),0))</f>
        <v>258</v>
      </c>
      <c r="AT64" s="350" t="str" cm="1">
        <f t="array" ref="AT64">IF(OR($A64="",AT$6=""),"",IFERROR(INDEX(Footfall!$C$5:$BZ$301,MATCH($A64,TRIM(Footfall!$B$5:$B$301&amp;""),0),AT$5),0))</f>
        <v/>
      </c>
      <c r="AU64" s="350" t="str" cm="1">
        <f t="array" ref="AU64">IF(OR($A64="",AU$6=""),"",IFERROR(INDEX(Footfall!$C$5:$BZ$301,MATCH($A64,TRIM(Footfall!$B$5:$B$301&amp;""),0),AU$5),0))</f>
        <v/>
      </c>
      <c r="AV64" s="350" t="str" cm="1">
        <f t="array" ref="AV64">IF(OR($A64="",AV$6=""),"",IFERROR(INDEX(Footfall!$C$5:$BZ$301,MATCH($A64,TRIM(Footfall!$B$5:$B$301&amp;""),0),AV$5),0))</f>
        <v/>
      </c>
      <c r="AW64" s="350" t="str" cm="1">
        <f t="array" ref="AW64">IF(OR($A64="",AW$6=""),"",IFERROR(INDEX(Footfall!$C$5:$BZ$301,MATCH($A64,TRIM(Footfall!$B$5:$B$301&amp;""),0),AW$5),0))</f>
        <v/>
      </c>
      <c r="AX64" s="350" t="str" cm="1">
        <f t="array" ref="AX64">IF(OR($A64="",AX$6=""),"",IFERROR(INDEX(Footfall!$C$5:$BZ$301,MATCH($A64,TRIM(Footfall!$B$5:$B$301&amp;""),0),AX$5),0))</f>
        <v/>
      </c>
      <c r="AY64" s="350" cm="1">
        <f t="array" aca="1" ref="AY64" ca="1">IF(AK64="","",IF($AJ64="",0,_xlfn.LET(_xlpm.d,IFERROR(--'Sales and count'!$F$2:$CB$2,0),SUMPRODUCT(('Sales and count'!$G$3:$CC$3="Transactions")*(_xlpm.d&gt;=AY$6)*(_xlpm.d&lt;=AY$7),INDEX('Sales and count'!$G$4:$CC$300,$AJ64,0)))))</f>
        <v>565</v>
      </c>
      <c r="AZ64" s="350" cm="1">
        <f t="array" aca="1" ref="AZ64" ca="1">IF(AL64="","",IF($AJ64="",0,_xlfn.LET(_xlpm.d,IFERROR(--'Sales and count'!$F$2:$CB$2,0),SUMPRODUCT(('Sales and count'!$G$3:$CC$3="Transactions")*(_xlpm.d&gt;=AZ$6)*(_xlpm.d&lt;=AZ$7),INDEX('Sales and count'!$G$4:$CC$300,$AJ64,0)))))</f>
        <v>13</v>
      </c>
      <c r="BA64" s="350" cm="1">
        <f t="array" aca="1" ref="BA64" ca="1">IF(AM64="","",IF($AJ64="",0,_xlfn.LET(_xlpm.d,IFERROR(--'Sales and count'!$F$2:$CB$2,0),SUMPRODUCT(('Sales and count'!$G$3:$CC$3="Transactions")*(_xlpm.d&gt;=BA$6)*(_xlpm.d&lt;=BA$7),INDEX('Sales and count'!$G$4:$CC$300,$AJ64,0)))))</f>
        <v>22</v>
      </c>
      <c r="BB64" s="350" cm="1">
        <f t="array" aca="1" ref="BB64" ca="1">IF(AN64="","",IF($AJ64="",0,_xlfn.LET(_xlpm.d,IFERROR(--'Sales and count'!$F$2:$CB$2,0),SUMPRODUCT(('Sales and count'!$G$3:$CC$3="Transactions")*(_xlpm.d&gt;=BB$6)*(_xlpm.d&lt;=BB$7),INDEX('Sales and count'!$G$4:$CC$300,$AJ64,0)))))</f>
        <v>14</v>
      </c>
      <c r="BC64" s="350" cm="1">
        <f t="array" aca="1" ref="BC64" ca="1">IF(AO64="","",IF($AJ64="",0,_xlfn.LET(_xlpm.d,IFERROR(--'Sales and count'!$F$2:$CB$2,0),SUMPRODUCT(('Sales and count'!$G$3:$CC$3="Transactions")*(_xlpm.d&gt;=BC$6)*(_xlpm.d&lt;=BC$7),INDEX('Sales and count'!$G$4:$CC$300,$AJ64,0)))))</f>
        <v>30</v>
      </c>
      <c r="BD64" s="350" cm="1">
        <f t="array" aca="1" ref="BD64" ca="1">IF(AP64="","",IF($AJ64="",0,_xlfn.LET(_xlpm.d,IFERROR(--'Sales and count'!$F$2:$CB$2,0),SUMPRODUCT(('Sales and count'!$G$3:$CC$3="Transactions")*(_xlpm.d&gt;=BD$6)*(_xlpm.d&lt;=BD$7),INDEX('Sales and count'!$G$4:$CC$300,$AJ64,0)))))</f>
        <v>17</v>
      </c>
      <c r="BE64" s="350" cm="1">
        <f t="array" aca="1" ref="BE64" ca="1">IF(AQ64="","",IF($AJ64="",0,_xlfn.LET(_xlpm.d,IFERROR(--'Sales and count'!$F$2:$CB$2,0),SUMPRODUCT(('Sales and count'!$G$3:$CC$3="Transactions")*(_xlpm.d&gt;=BE$6)*(_xlpm.d&lt;=BE$7),INDEX('Sales and count'!$G$4:$CC$300,$AJ64,0)))))</f>
        <v>17</v>
      </c>
      <c r="BF64" s="350" cm="1">
        <f t="array" aca="1" ref="BF64" ca="1">IF(AR64="","",IF($AJ64="",0,_xlfn.LET(_xlpm.d,IFERROR(--'Sales and count'!$F$2:$CB$2,0),SUMPRODUCT(('Sales and count'!$G$3:$CC$3="Transactions")*(_xlpm.d&gt;=BF$6)*(_xlpm.d&lt;=BF$7),INDEX('Sales and count'!$G$4:$CC$300,$AJ64,0)))))</f>
        <v>18</v>
      </c>
      <c r="BG64" s="350" cm="1">
        <f t="array" aca="1" ref="BG64" ca="1">IF(AS64="","",IF($AJ64="",0,_xlfn.LET(_xlpm.d,IFERROR(--'Sales and count'!$F$2:$CB$2,0),SUMPRODUCT(('Sales and count'!$G$3:$CC$3="Transactions")*(_xlpm.d&gt;=BG$6)*(_xlpm.d&lt;=BG$7),INDEX('Sales and count'!$G$4:$CC$300,$AJ64,0)))))</f>
        <v>13</v>
      </c>
      <c r="BH64" s="350" t="str" cm="1">
        <f t="array" ref="BH64">IF(AT64="","",IF($AJ64="",0,_xlfn.LET(_xlpm.d,IFERROR(--'Sales and count'!$F$2:$CB$2,0),SUMPRODUCT(('Sales and count'!$G$3:$CC$3="Transactions")*(_xlpm.d&gt;=BH$6)*(_xlpm.d&lt;=BH$7),INDEX('Sales and count'!$G$4:$CC$300,$AJ64,0)))))</f>
        <v/>
      </c>
      <c r="BI64" s="350" t="str" cm="1">
        <f t="array" ref="BI64">IF(AU64="","",IF($AJ64="",0,_xlfn.LET(_xlpm.d,IFERROR(--'Sales and count'!$F$2:$CB$2,0),SUMPRODUCT(('Sales and count'!$G$3:$CC$3="Transactions")*(_xlpm.d&gt;=BI$6)*(_xlpm.d&lt;=BI$7),INDEX('Sales and count'!$G$4:$CC$300,$AJ64,0)))))</f>
        <v/>
      </c>
      <c r="BJ64" s="350" t="str" cm="1">
        <f t="array" ref="BJ64">IF(AV64="","",IF($AJ64="",0,_xlfn.LET(_xlpm.d,IFERROR(--'Sales and count'!$F$2:$CB$2,0),SUMPRODUCT(('Sales and count'!$G$3:$CC$3="Transactions")*(_xlpm.d&gt;=BJ$6)*(_xlpm.d&lt;=BJ$7),INDEX('Sales and count'!$G$4:$CC$300,$AJ64,0)))))</f>
        <v/>
      </c>
      <c r="BK64" s="350" t="str" cm="1">
        <f t="array" ref="BK64">IF(AW64="","",IF($AJ64="",0,_xlfn.LET(_xlpm.d,IFERROR(--'Sales and count'!$F$2:$CB$2,0),SUMPRODUCT(('Sales and count'!$G$3:$CC$3="Transactions")*(_xlpm.d&gt;=BK$6)*(_xlpm.d&lt;=BK$7),INDEX('Sales and count'!$G$4:$CC$300,$AJ64,0)))))</f>
        <v/>
      </c>
      <c r="BL64" s="350" t="str" cm="1">
        <f t="array" ref="BL64">IF(AX64="","",IF($AJ64="",0,_xlfn.LET(_xlpm.d,IFERROR(--'Sales and count'!$F$2:$CB$2,0),SUMPRODUCT(('Sales and count'!$G$3:$CC$3="Transactions")*(_xlpm.d&gt;=BL$6)*(_xlpm.d&lt;=BL$7),INDEX('Sales and count'!$G$4:$CC$300,$AJ64,0)))))</f>
        <v/>
      </c>
      <c r="BM64" s="350" cm="1">
        <f t="array" ref="BM64">IF(AK64="","",IF($AJ64="",0,_xlfn.LET(_xlpm.d,IFERROR(--'Sales and count'!$G$2:$CC$2,0),SUMPRODUCT(('Sales and count'!$G$3:$CC$3="Total")*(_xlpm.d&gt;=BM$6)*(_xlpm.d&lt;=BM$7),INDEX('Sales and count'!$G$4:$CC$300,$AJ64,0)))))</f>
        <v>92125.540000000023</v>
      </c>
      <c r="BN64" s="350" cm="1">
        <f t="array" ref="BN64">IF(AL64="","",IF($AJ64="",0,_xlfn.LET(_xlpm.d,IFERROR(--'Sales and count'!$G$2:$CC$2,0),SUMPRODUCT(('Sales and count'!$G$3:$CC$3="Total")*(_xlpm.d&gt;=BN$6)*(_xlpm.d&lt;=BN$7),INDEX('Sales and count'!$G$4:$CC$300,$AJ64,0)))))</f>
        <v>1835.03</v>
      </c>
      <c r="BO64" s="350" cm="1">
        <f t="array" ref="BO64">IF(AM64="","",IF($AJ64="",0,_xlfn.LET(_xlpm.d,IFERROR(--'Sales and count'!$G$2:$CC$2,0),SUMPRODUCT(('Sales and count'!$G$3:$CC$3="Total")*(_xlpm.d&gt;=BO$6)*(_xlpm.d&lt;=BO$7),INDEX('Sales and count'!$G$4:$CC$300,$AJ64,0)))))</f>
        <v>3526.04</v>
      </c>
      <c r="BP64" s="350" cm="1">
        <f t="array" ref="BP64">IF(AN64="","",IF($AJ64="",0,_xlfn.LET(_xlpm.d,IFERROR(--'Sales and count'!$G$2:$CC$2,0),SUMPRODUCT(('Sales and count'!$G$3:$CC$3="Total")*(_xlpm.d&gt;=BP$6)*(_xlpm.d&lt;=BP$7),INDEX('Sales and count'!$G$4:$CC$300,$AJ64,0)))))</f>
        <v>2299.0100000000002</v>
      </c>
      <c r="BQ64" s="350" cm="1">
        <f t="array" ref="BQ64">IF(AO64="","",IF($AJ64="",0,_xlfn.LET(_xlpm.d,IFERROR(--'Sales and count'!$G$2:$CC$2,0),SUMPRODUCT(('Sales and count'!$G$3:$CC$3="Total")*(_xlpm.d&gt;=BQ$6)*(_xlpm.d&lt;=BQ$7),INDEX('Sales and count'!$G$4:$CC$300,$AJ64,0)))))</f>
        <v>4669.79</v>
      </c>
      <c r="BR64" s="350" cm="1">
        <f t="array" ref="BR64">IF(AP64="","",IF($AJ64="",0,_xlfn.LET(_xlpm.d,IFERROR(--'Sales and count'!$G$2:$CC$2,0),SUMPRODUCT(('Sales and count'!$G$3:$CC$3="Total")*(_xlpm.d&gt;=BR$6)*(_xlpm.d&lt;=BR$7),INDEX('Sales and count'!$G$4:$CC$300,$AJ64,0)))))</f>
        <v>3424.85</v>
      </c>
      <c r="BS64" s="350" cm="1">
        <f t="array" ref="BS64">IF(AQ64="","",IF($AJ64="",0,_xlfn.LET(_xlpm.d,IFERROR(--'Sales and count'!$G$2:$CC$2,0),SUMPRODUCT(('Sales and count'!$G$3:$CC$3="Total")*(_xlpm.d&gt;=BS$6)*(_xlpm.d&lt;=BS$7),INDEX('Sales and count'!$G$4:$CC$300,$AJ64,0)))))</f>
        <v>3722.74</v>
      </c>
      <c r="BT64" s="350" cm="1">
        <f t="array" ref="BT64">IF(AR64="","",IF($AJ64="",0,_xlfn.LET(_xlpm.d,IFERROR(--'Sales and count'!$G$2:$CC$2,0),SUMPRODUCT(('Sales and count'!$G$3:$CC$3="Total")*(_xlpm.d&gt;=BT$6)*(_xlpm.d&lt;=BT$7),INDEX('Sales and count'!$G$4:$CC$300,$AJ64,0)))))</f>
        <v>2662.84</v>
      </c>
      <c r="BU64" s="350" cm="1">
        <f t="array" ref="BU64">IF(AS64="","",IF($AJ64="",0,_xlfn.LET(_xlpm.d,IFERROR(--'Sales and count'!$G$2:$CC$2,0),SUMPRODUCT(('Sales and count'!$G$3:$CC$3="Total")*(_xlpm.d&gt;=BU$6)*(_xlpm.d&lt;=BU$7),INDEX('Sales and count'!$G$4:$CC$300,$AJ64,0)))))</f>
        <v>2723.14</v>
      </c>
      <c r="BV64" s="350" t="str" cm="1">
        <f t="array" ref="BV64">IF(AT64="","",IF($AJ64="",0,_xlfn.LET(_xlpm.d,IFERROR(--'Sales and count'!$G$2:$CC$2,0),SUMPRODUCT(('Sales and count'!$G$3:$CC$3="Total")*(_xlpm.d&gt;=BV$6)*(_xlpm.d&lt;=BV$7),INDEX('Sales and count'!$G$4:$CC$300,$AJ64,0)))))</f>
        <v/>
      </c>
      <c r="BW64" s="350" t="str" cm="1">
        <f t="array" ref="BW64">IF(AU64="","",IF($AJ64="",0,_xlfn.LET(_xlpm.d,IFERROR(--'Sales and count'!$G$2:$CC$2,0),SUMPRODUCT(('Sales and count'!$G$3:$CC$3="Total")*(_xlpm.d&gt;=BW$6)*(_xlpm.d&lt;=BW$7),INDEX('Sales and count'!$G$4:$CC$300,$AJ64,0)))))</f>
        <v/>
      </c>
      <c r="BX64" s="350" t="str" cm="1">
        <f t="array" ref="BX64">IF(AV64="","",IF($AJ64="",0,_xlfn.LET(_xlpm.d,IFERROR(--'Sales and count'!$G$2:$CC$2,0),SUMPRODUCT(('Sales and count'!$G$3:$CC$3="Total")*(_xlpm.d&gt;=BX$6)*(_xlpm.d&lt;=BX$7),INDEX('Sales and count'!$G$4:$CC$300,$AJ64,0)))))</f>
        <v/>
      </c>
      <c r="BY64" s="350" t="str" cm="1">
        <f t="array" ref="BY64">IF(AW64="","",IF($AJ64="",0,_xlfn.LET(_xlpm.d,IFERROR(--'Sales and count'!$G$2:$CC$2,0),SUMPRODUCT(('Sales and count'!$G$3:$CC$3="Total")*(_xlpm.d&gt;=BY$6)*(_xlpm.d&lt;=BY$7),INDEX('Sales and count'!$G$4:$CC$300,$AJ64,0)))))</f>
        <v/>
      </c>
      <c r="BZ64" s="350" t="str" cm="1">
        <f t="array" ref="BZ64">IF(AX64="","",IF($AJ64="",0,_xlfn.LET(_xlpm.d,IFERROR(--'Sales and count'!$G$2:$CC$2,0),SUMPRODUCT(('Sales and count'!$G$3:$CC$3="Total")*(_xlpm.d&gt;=BZ$6)*(_xlpm.d&lt;=BZ$7),INDEX('Sales and count'!$G$4:$CC$300,$AJ64,0)))))</f>
        <v/>
      </c>
    </row>
    <row r="65" spans="1:78" x14ac:dyDescent="0.25">
      <c r="A65" s="356" t="str">
        <v>TAHLIAST</v>
      </c>
      <c r="B65" s="356" t="str" cm="1">
        <f t="array" ref="B65">IF($A65="","",_xlfn.XLOOKUP($A65,TRIM(Footfall!$B$5:$B$301&amp;""),Footfall!$A$5:$A$301,""))</f>
        <v>Jeddah Tahlia</v>
      </c>
      <c r="C65" s="356" t="str" cm="1">
        <f t="array" ref="C65">IF($A65="","",_xlfn.XLOOKUP($A65,TRIM('Sales and count'!$A$4:$A$300&amp;""),'Sales and count'!$C$4:$C$300,"Not set"))</f>
        <v>Jeddah</v>
      </c>
      <c r="D65" s="357">
        <f t="shared" ca="1" si="53"/>
        <v>0.28526924788607033</v>
      </c>
      <c r="E65" s="357">
        <f t="shared" ca="1" si="54"/>
        <v>0.13114754098360656</v>
      </c>
      <c r="F65" s="357">
        <f t="shared" ca="1" si="55"/>
        <v>0.30263157894736842</v>
      </c>
      <c r="G65" s="357">
        <f t="shared" ca="1" si="56"/>
        <v>0.20512820512820512</v>
      </c>
      <c r="H65" s="357">
        <f t="shared" ca="1" si="57"/>
        <v>0.25862068965517243</v>
      </c>
      <c r="I65" s="357">
        <f t="shared" ca="1" si="58"/>
        <v>0.25882352941176473</v>
      </c>
      <c r="J65" s="357">
        <f t="shared" ca="1" si="59"/>
        <v>0.26589595375722541</v>
      </c>
      <c r="K65" s="357">
        <f t="shared" ca="1" si="60"/>
        <v>0.18518518518518517</v>
      </c>
      <c r="L65" s="357">
        <f t="shared" ca="1" si="61"/>
        <v>0.17857142857142858</v>
      </c>
      <c r="M65" s="357" t="str">
        <f t="shared" si="62"/>
        <v/>
      </c>
      <c r="N65" s="357" t="str">
        <f t="shared" si="63"/>
        <v/>
      </c>
      <c r="O65" s="357" t="str">
        <f t="shared" si="64"/>
        <v/>
      </c>
      <c r="P65" s="357" t="str">
        <f t="shared" si="65"/>
        <v/>
      </c>
      <c r="Q65" s="357" t="str">
        <f t="shared" si="66"/>
        <v/>
      </c>
      <c r="R65" s="358" cm="1">
        <f t="array" aca="1" ref="R65" ca="1">IF(OR($A65="",D65=""),"",IFERROR(LOOKUP(2,1/(E65:Q65&lt;&gt;""),E65:Q65)-D65,""))</f>
        <v>-0.10669781931464176</v>
      </c>
      <c r="S65" s="349"/>
      <c r="T65" s="362">
        <f t="shared" ca="1" si="67"/>
        <v>176.09695787831515</v>
      </c>
      <c r="U65" s="362">
        <f t="shared" ca="1" si="68"/>
        <v>145.755</v>
      </c>
      <c r="V65" s="362">
        <f t="shared" ca="1" si="69"/>
        <v>307.26217391304345</v>
      </c>
      <c r="W65" s="362">
        <f t="shared" ca="1" si="70"/>
        <v>189.19312500000001</v>
      </c>
      <c r="X65" s="362">
        <f t="shared" ca="1" si="71"/>
        <v>221.624</v>
      </c>
      <c r="Y65" s="362">
        <f t="shared" ca="1" si="72"/>
        <v>206.76090909090908</v>
      </c>
      <c r="Z65" s="362">
        <f t="shared" ca="1" si="73"/>
        <v>166.58021739130433</v>
      </c>
      <c r="AA65" s="362">
        <f t="shared" ca="1" si="74"/>
        <v>189.32933333333332</v>
      </c>
      <c r="AB65" s="362">
        <f t="shared" ca="1" si="75"/>
        <v>176.10999999999999</v>
      </c>
      <c r="AC65" s="362" t="str">
        <f t="shared" si="76"/>
        <v/>
      </c>
      <c r="AD65" s="362" t="str">
        <f t="shared" si="77"/>
        <v/>
      </c>
      <c r="AE65" s="362" t="str">
        <f t="shared" si="78"/>
        <v/>
      </c>
      <c r="AF65" s="362" t="str">
        <f t="shared" si="79"/>
        <v/>
      </c>
      <c r="AG65" s="362" t="str">
        <f t="shared" si="80"/>
        <v/>
      </c>
      <c r="AH65" s="363" cm="1">
        <f t="array" aca="1" ref="AH65" ca="1">IF(OR($A65="",T65=""),"",IFERROR(LOOKUP(2,1/(U65:AG65&lt;&gt;""),U65:AG65)-T65,""))</f>
        <v>1.3042121684833319E-2</v>
      </c>
      <c r="AI65" s="349"/>
      <c r="AJ65" s="349" cm="1">
        <f t="array" ref="AJ65">IF($A65="","",IFERROR(MATCH($A65,TRIM('Sales and count'!$A$4:$A$300&amp;""),0),""))</f>
        <v>4</v>
      </c>
      <c r="AK65" s="350" cm="1">
        <f t="array" ref="AK65">IF(OR($A65="",AK$6=""),"",IFERROR(INDEX(Footfall!$C$5:$BZ$301,MATCH($A65,TRIM(Footfall!$B$5:$B$301&amp;""),0),AK$5),0))</f>
        <v>2247</v>
      </c>
      <c r="AL65" s="350" cm="1">
        <f t="array" ref="AL65">IF(OR($A65="",AL$6=""),"",IFERROR(INDEX(Footfall!$C$5:$BZ$301,MATCH($A65,TRIM(Footfall!$B$5:$B$301&amp;""),0),AL$5),0))</f>
        <v>122</v>
      </c>
      <c r="AM65" s="350" cm="1">
        <f t="array" ref="AM65">IF(OR($A65="",AM$6=""),"",IFERROR(INDEX(Footfall!$C$5:$BZ$301,MATCH($A65,TRIM(Footfall!$B$5:$B$301&amp;""),0),AM$5),0))</f>
        <v>76</v>
      </c>
      <c r="AN65" s="350" cm="1">
        <f t="array" ref="AN65">IF(OR($A65="",AN$6=""),"",IFERROR(INDEX(Footfall!$C$5:$BZ$301,MATCH($A65,TRIM(Footfall!$B$5:$B$301&amp;""),0),AN$5),0))</f>
        <v>78</v>
      </c>
      <c r="AO65" s="350" cm="1">
        <f t="array" ref="AO65">IF(OR($A65="",AO$6=""),"",IFERROR(INDEX(Footfall!$C$5:$BZ$301,MATCH($A65,TRIM(Footfall!$B$5:$B$301&amp;""),0),AO$5),0))</f>
        <v>116</v>
      </c>
      <c r="AP65" s="350" cm="1">
        <f t="array" ref="AP65">IF(OR($A65="",AP$6=""),"",IFERROR(INDEX(Footfall!$C$5:$BZ$301,MATCH($A65,TRIM(Footfall!$B$5:$B$301&amp;""),0),AP$5),0))</f>
        <v>85</v>
      </c>
      <c r="AQ65" s="350" cm="1">
        <f t="array" ref="AQ65">IF(OR($A65="",AQ$6=""),"",IFERROR(INDEX(Footfall!$C$5:$BZ$301,MATCH($A65,TRIM(Footfall!$B$5:$B$301&amp;""),0),AQ$5),0))</f>
        <v>173</v>
      </c>
      <c r="AR65" s="350" cm="1">
        <f t="array" ref="AR65">IF(OR($A65="",AR$6=""),"",IFERROR(INDEX(Footfall!$C$5:$BZ$301,MATCH($A65,TRIM(Footfall!$B$5:$B$301&amp;""),0),AR$5),0))</f>
        <v>81</v>
      </c>
      <c r="AS65" s="350" cm="1">
        <f t="array" ref="AS65">IF(OR($A65="",AS$6=""),"",IFERROR(INDEX(Footfall!$C$5:$BZ$301,MATCH($A65,TRIM(Footfall!$B$5:$B$301&amp;""),0),AS$5),0))</f>
        <v>112</v>
      </c>
      <c r="AT65" s="350" t="str" cm="1">
        <f t="array" ref="AT65">IF(OR($A65="",AT$6=""),"",IFERROR(INDEX(Footfall!$C$5:$BZ$301,MATCH($A65,TRIM(Footfall!$B$5:$B$301&amp;""),0),AT$5),0))</f>
        <v/>
      </c>
      <c r="AU65" s="350" t="str" cm="1">
        <f t="array" ref="AU65">IF(OR($A65="",AU$6=""),"",IFERROR(INDEX(Footfall!$C$5:$BZ$301,MATCH($A65,TRIM(Footfall!$B$5:$B$301&amp;""),0),AU$5),0))</f>
        <v/>
      </c>
      <c r="AV65" s="350" t="str" cm="1">
        <f t="array" ref="AV65">IF(OR($A65="",AV$6=""),"",IFERROR(INDEX(Footfall!$C$5:$BZ$301,MATCH($A65,TRIM(Footfall!$B$5:$B$301&amp;""),0),AV$5),0))</f>
        <v/>
      </c>
      <c r="AW65" s="350" t="str" cm="1">
        <f t="array" ref="AW65">IF(OR($A65="",AW$6=""),"",IFERROR(INDEX(Footfall!$C$5:$BZ$301,MATCH($A65,TRIM(Footfall!$B$5:$B$301&amp;""),0),AW$5),0))</f>
        <v/>
      </c>
      <c r="AX65" s="350" t="str" cm="1">
        <f t="array" ref="AX65">IF(OR($A65="",AX$6=""),"",IFERROR(INDEX(Footfall!$C$5:$BZ$301,MATCH($A65,TRIM(Footfall!$B$5:$B$301&amp;""),0),AX$5),0))</f>
        <v/>
      </c>
      <c r="AY65" s="350" cm="1">
        <f t="array" aca="1" ref="AY65" ca="1">IF(AK65="","",IF($AJ65="",0,_xlfn.LET(_xlpm.d,IFERROR(--'Sales and count'!$F$2:$CB$2,0),SUMPRODUCT(('Sales and count'!$G$3:$CC$3="Transactions")*(_xlpm.d&gt;=AY$6)*(_xlpm.d&lt;=AY$7),INDEX('Sales and count'!$G$4:$CC$300,$AJ65,0)))))</f>
        <v>641</v>
      </c>
      <c r="AZ65" s="350" cm="1">
        <f t="array" aca="1" ref="AZ65" ca="1">IF(AL65="","",IF($AJ65="",0,_xlfn.LET(_xlpm.d,IFERROR(--'Sales and count'!$F$2:$CB$2,0),SUMPRODUCT(('Sales and count'!$G$3:$CC$3="Transactions")*(_xlpm.d&gt;=AZ$6)*(_xlpm.d&lt;=AZ$7),INDEX('Sales and count'!$G$4:$CC$300,$AJ65,0)))))</f>
        <v>16</v>
      </c>
      <c r="BA65" s="350" cm="1">
        <f t="array" aca="1" ref="BA65" ca="1">IF(AM65="","",IF($AJ65="",0,_xlfn.LET(_xlpm.d,IFERROR(--'Sales and count'!$F$2:$CB$2,0),SUMPRODUCT(('Sales and count'!$G$3:$CC$3="Transactions")*(_xlpm.d&gt;=BA$6)*(_xlpm.d&lt;=BA$7),INDEX('Sales and count'!$G$4:$CC$300,$AJ65,0)))))</f>
        <v>23</v>
      </c>
      <c r="BB65" s="350" cm="1">
        <f t="array" aca="1" ref="BB65" ca="1">IF(AN65="","",IF($AJ65="",0,_xlfn.LET(_xlpm.d,IFERROR(--'Sales and count'!$F$2:$CB$2,0),SUMPRODUCT(('Sales and count'!$G$3:$CC$3="Transactions")*(_xlpm.d&gt;=BB$6)*(_xlpm.d&lt;=BB$7),INDEX('Sales and count'!$G$4:$CC$300,$AJ65,0)))))</f>
        <v>16</v>
      </c>
      <c r="BC65" s="350" cm="1">
        <f t="array" aca="1" ref="BC65" ca="1">IF(AO65="","",IF($AJ65="",0,_xlfn.LET(_xlpm.d,IFERROR(--'Sales and count'!$F$2:$CB$2,0),SUMPRODUCT(('Sales and count'!$G$3:$CC$3="Transactions")*(_xlpm.d&gt;=BC$6)*(_xlpm.d&lt;=BC$7),INDEX('Sales and count'!$G$4:$CC$300,$AJ65,0)))))</f>
        <v>30</v>
      </c>
      <c r="BD65" s="350" cm="1">
        <f t="array" aca="1" ref="BD65" ca="1">IF(AP65="","",IF($AJ65="",0,_xlfn.LET(_xlpm.d,IFERROR(--'Sales and count'!$F$2:$CB$2,0),SUMPRODUCT(('Sales and count'!$G$3:$CC$3="Transactions")*(_xlpm.d&gt;=BD$6)*(_xlpm.d&lt;=BD$7),INDEX('Sales and count'!$G$4:$CC$300,$AJ65,0)))))</f>
        <v>22</v>
      </c>
      <c r="BE65" s="350" cm="1">
        <f t="array" aca="1" ref="BE65" ca="1">IF(AQ65="","",IF($AJ65="",0,_xlfn.LET(_xlpm.d,IFERROR(--'Sales and count'!$F$2:$CB$2,0),SUMPRODUCT(('Sales and count'!$G$3:$CC$3="Transactions")*(_xlpm.d&gt;=BE$6)*(_xlpm.d&lt;=BE$7),INDEX('Sales and count'!$G$4:$CC$300,$AJ65,0)))))</f>
        <v>46</v>
      </c>
      <c r="BF65" s="350" cm="1">
        <f t="array" aca="1" ref="BF65" ca="1">IF(AR65="","",IF($AJ65="",0,_xlfn.LET(_xlpm.d,IFERROR(--'Sales and count'!$F$2:$CB$2,0),SUMPRODUCT(('Sales and count'!$G$3:$CC$3="Transactions")*(_xlpm.d&gt;=BF$6)*(_xlpm.d&lt;=BF$7),INDEX('Sales and count'!$G$4:$CC$300,$AJ65,0)))))</f>
        <v>15</v>
      </c>
      <c r="BG65" s="350" cm="1">
        <f t="array" aca="1" ref="BG65" ca="1">IF(AS65="","",IF($AJ65="",0,_xlfn.LET(_xlpm.d,IFERROR(--'Sales and count'!$F$2:$CB$2,0),SUMPRODUCT(('Sales and count'!$G$3:$CC$3="Transactions")*(_xlpm.d&gt;=BG$6)*(_xlpm.d&lt;=BG$7),INDEX('Sales and count'!$G$4:$CC$300,$AJ65,0)))))</f>
        <v>20</v>
      </c>
      <c r="BH65" s="350" t="str" cm="1">
        <f t="array" ref="BH65">IF(AT65="","",IF($AJ65="",0,_xlfn.LET(_xlpm.d,IFERROR(--'Sales and count'!$F$2:$CB$2,0),SUMPRODUCT(('Sales and count'!$G$3:$CC$3="Transactions")*(_xlpm.d&gt;=BH$6)*(_xlpm.d&lt;=BH$7),INDEX('Sales and count'!$G$4:$CC$300,$AJ65,0)))))</f>
        <v/>
      </c>
      <c r="BI65" s="350" t="str" cm="1">
        <f t="array" ref="BI65">IF(AU65="","",IF($AJ65="",0,_xlfn.LET(_xlpm.d,IFERROR(--'Sales and count'!$F$2:$CB$2,0),SUMPRODUCT(('Sales and count'!$G$3:$CC$3="Transactions")*(_xlpm.d&gt;=BI$6)*(_xlpm.d&lt;=BI$7),INDEX('Sales and count'!$G$4:$CC$300,$AJ65,0)))))</f>
        <v/>
      </c>
      <c r="BJ65" s="350" t="str" cm="1">
        <f t="array" ref="BJ65">IF(AV65="","",IF($AJ65="",0,_xlfn.LET(_xlpm.d,IFERROR(--'Sales and count'!$F$2:$CB$2,0),SUMPRODUCT(('Sales and count'!$G$3:$CC$3="Transactions")*(_xlpm.d&gt;=BJ$6)*(_xlpm.d&lt;=BJ$7),INDEX('Sales and count'!$G$4:$CC$300,$AJ65,0)))))</f>
        <v/>
      </c>
      <c r="BK65" s="350" t="str" cm="1">
        <f t="array" ref="BK65">IF(AW65="","",IF($AJ65="",0,_xlfn.LET(_xlpm.d,IFERROR(--'Sales and count'!$F$2:$CB$2,0),SUMPRODUCT(('Sales and count'!$G$3:$CC$3="Transactions")*(_xlpm.d&gt;=BK$6)*(_xlpm.d&lt;=BK$7),INDEX('Sales and count'!$G$4:$CC$300,$AJ65,0)))))</f>
        <v/>
      </c>
      <c r="BL65" s="350" t="str" cm="1">
        <f t="array" ref="BL65">IF(AX65="","",IF($AJ65="",0,_xlfn.LET(_xlpm.d,IFERROR(--'Sales and count'!$F$2:$CB$2,0),SUMPRODUCT(('Sales and count'!$G$3:$CC$3="Transactions")*(_xlpm.d&gt;=BL$6)*(_xlpm.d&lt;=BL$7),INDEX('Sales and count'!$G$4:$CC$300,$AJ65,0)))))</f>
        <v/>
      </c>
      <c r="BM65" s="350" cm="1">
        <f t="array" ref="BM65">IF(AK65="","",IF($AJ65="",0,_xlfn.LET(_xlpm.d,IFERROR(--'Sales and count'!$G$2:$CC$2,0),SUMPRODUCT(('Sales and count'!$G$3:$CC$3="Total")*(_xlpm.d&gt;=BM$6)*(_xlpm.d&lt;=BM$7),INDEX('Sales and count'!$G$4:$CC$300,$AJ65,0)))))</f>
        <v>112878.15000000001</v>
      </c>
      <c r="BN65" s="350" cm="1">
        <f t="array" ref="BN65">IF(AL65="","",IF($AJ65="",0,_xlfn.LET(_xlpm.d,IFERROR(--'Sales and count'!$G$2:$CC$2,0),SUMPRODUCT(('Sales and count'!$G$3:$CC$3="Total")*(_xlpm.d&gt;=BN$6)*(_xlpm.d&lt;=BN$7),INDEX('Sales and count'!$G$4:$CC$300,$AJ65,0)))))</f>
        <v>2332.08</v>
      </c>
      <c r="BO65" s="350" cm="1">
        <f t="array" ref="BO65">IF(AM65="","",IF($AJ65="",0,_xlfn.LET(_xlpm.d,IFERROR(--'Sales and count'!$G$2:$CC$2,0),SUMPRODUCT(('Sales and count'!$G$3:$CC$3="Total")*(_xlpm.d&gt;=BO$6)*(_xlpm.d&lt;=BO$7),INDEX('Sales and count'!$G$4:$CC$300,$AJ65,0)))))</f>
        <v>7067.03</v>
      </c>
      <c r="BP65" s="350" cm="1">
        <f t="array" ref="BP65">IF(AN65="","",IF($AJ65="",0,_xlfn.LET(_xlpm.d,IFERROR(--'Sales and count'!$G$2:$CC$2,0),SUMPRODUCT(('Sales and count'!$G$3:$CC$3="Total")*(_xlpm.d&gt;=BP$6)*(_xlpm.d&lt;=BP$7),INDEX('Sales and count'!$G$4:$CC$300,$AJ65,0)))))</f>
        <v>3027.09</v>
      </c>
      <c r="BQ65" s="350" cm="1">
        <f t="array" ref="BQ65">IF(AO65="","",IF($AJ65="",0,_xlfn.LET(_xlpm.d,IFERROR(--'Sales and count'!$G$2:$CC$2,0),SUMPRODUCT(('Sales and count'!$G$3:$CC$3="Total")*(_xlpm.d&gt;=BQ$6)*(_xlpm.d&lt;=BQ$7),INDEX('Sales and count'!$G$4:$CC$300,$AJ65,0)))))</f>
        <v>6648.72</v>
      </c>
      <c r="BR65" s="350" cm="1">
        <f t="array" ref="BR65">IF(AP65="","",IF($AJ65="",0,_xlfn.LET(_xlpm.d,IFERROR(--'Sales and count'!$G$2:$CC$2,0),SUMPRODUCT(('Sales and count'!$G$3:$CC$3="Total")*(_xlpm.d&gt;=BR$6)*(_xlpm.d&lt;=BR$7),INDEX('Sales and count'!$G$4:$CC$300,$AJ65,0)))))</f>
        <v>4548.74</v>
      </c>
      <c r="BS65" s="350" cm="1">
        <f t="array" ref="BS65">IF(AQ65="","",IF($AJ65="",0,_xlfn.LET(_xlpm.d,IFERROR(--'Sales and count'!$G$2:$CC$2,0),SUMPRODUCT(('Sales and count'!$G$3:$CC$3="Total")*(_xlpm.d&gt;=BS$6)*(_xlpm.d&lt;=BS$7),INDEX('Sales and count'!$G$4:$CC$300,$AJ65,0)))))</f>
        <v>7662.69</v>
      </c>
      <c r="BT65" s="350" cm="1">
        <f t="array" ref="BT65">IF(AR65="","",IF($AJ65="",0,_xlfn.LET(_xlpm.d,IFERROR(--'Sales and count'!$G$2:$CC$2,0),SUMPRODUCT(('Sales and count'!$G$3:$CC$3="Total")*(_xlpm.d&gt;=BT$6)*(_xlpm.d&lt;=BT$7),INDEX('Sales and count'!$G$4:$CC$300,$AJ65,0)))))</f>
        <v>2839.94</v>
      </c>
      <c r="BU65" s="350" cm="1">
        <f t="array" ref="BU65">IF(AS65="","",IF($AJ65="",0,_xlfn.LET(_xlpm.d,IFERROR(--'Sales and count'!$G$2:$CC$2,0),SUMPRODUCT(('Sales and count'!$G$3:$CC$3="Total")*(_xlpm.d&gt;=BU$6)*(_xlpm.d&lt;=BU$7),INDEX('Sales and count'!$G$4:$CC$300,$AJ65,0)))))</f>
        <v>3522.2</v>
      </c>
      <c r="BV65" s="350" t="str" cm="1">
        <f t="array" ref="BV65">IF(AT65="","",IF($AJ65="",0,_xlfn.LET(_xlpm.d,IFERROR(--'Sales and count'!$G$2:$CC$2,0),SUMPRODUCT(('Sales and count'!$G$3:$CC$3="Total")*(_xlpm.d&gt;=BV$6)*(_xlpm.d&lt;=BV$7),INDEX('Sales and count'!$G$4:$CC$300,$AJ65,0)))))</f>
        <v/>
      </c>
      <c r="BW65" s="350" t="str" cm="1">
        <f t="array" ref="BW65">IF(AU65="","",IF($AJ65="",0,_xlfn.LET(_xlpm.d,IFERROR(--'Sales and count'!$G$2:$CC$2,0),SUMPRODUCT(('Sales and count'!$G$3:$CC$3="Total")*(_xlpm.d&gt;=BW$6)*(_xlpm.d&lt;=BW$7),INDEX('Sales and count'!$G$4:$CC$300,$AJ65,0)))))</f>
        <v/>
      </c>
      <c r="BX65" s="350" t="str" cm="1">
        <f t="array" ref="BX65">IF(AV65="","",IF($AJ65="",0,_xlfn.LET(_xlpm.d,IFERROR(--'Sales and count'!$G$2:$CC$2,0),SUMPRODUCT(('Sales and count'!$G$3:$CC$3="Total")*(_xlpm.d&gt;=BX$6)*(_xlpm.d&lt;=BX$7),INDEX('Sales and count'!$G$4:$CC$300,$AJ65,0)))))</f>
        <v/>
      </c>
      <c r="BY65" s="350" t="str" cm="1">
        <f t="array" ref="BY65">IF(AW65="","",IF($AJ65="",0,_xlfn.LET(_xlpm.d,IFERROR(--'Sales and count'!$G$2:$CC$2,0),SUMPRODUCT(('Sales and count'!$G$3:$CC$3="Total")*(_xlpm.d&gt;=BY$6)*(_xlpm.d&lt;=BY$7),INDEX('Sales and count'!$G$4:$CC$300,$AJ65,0)))))</f>
        <v/>
      </c>
      <c r="BZ65" s="350" t="str" cm="1">
        <f t="array" ref="BZ65">IF(AX65="","",IF($AJ65="",0,_xlfn.LET(_xlpm.d,IFERROR(--'Sales and count'!$G$2:$CC$2,0),SUMPRODUCT(('Sales and count'!$G$3:$CC$3="Total")*(_xlpm.d&gt;=BZ$6)*(_xlpm.d&lt;=BZ$7),INDEX('Sales and count'!$G$4:$CC$300,$AJ65,0)))))</f>
        <v/>
      </c>
    </row>
    <row r="66" spans="1:78" x14ac:dyDescent="0.25">
      <c r="A66" s="356" t="str">
        <v>HAOBHRPLZ</v>
      </c>
      <c r="B66" s="356" t="str" cm="1">
        <f t="array" ref="B66">IF($A66="","",_xlfn.XLOOKUP($A66,TRIM(Footfall!$B$5:$B$301&amp;""),Footfall!$A$5:$A$301,""))</f>
        <v>Obhur Plaza Jeddah</v>
      </c>
      <c r="C66" s="356" t="str" cm="1">
        <f t="array" ref="C66">IF($A66="","",_xlfn.XLOOKUP($A66,TRIM('Sales and count'!$A$4:$A$300&amp;""),'Sales and count'!$C$4:$C$300,"Not set"))</f>
        <v>Jeddah</v>
      </c>
      <c r="D66" s="357">
        <f t="shared" ca="1" si="53"/>
        <v>0.22229423201555412</v>
      </c>
      <c r="E66" s="357">
        <f t="shared" ca="1" si="54"/>
        <v>7.9545454545454544E-2</v>
      </c>
      <c r="F66" s="357">
        <f t="shared" ca="1" si="55"/>
        <v>0.17045454545454544</v>
      </c>
      <c r="G66" s="357">
        <f t="shared" ca="1" si="56"/>
        <v>0.16326530612244897</v>
      </c>
      <c r="H66" s="357">
        <f t="shared" ca="1" si="57"/>
        <v>0.16666666666666666</v>
      </c>
      <c r="I66" s="357">
        <f t="shared" ca="1" si="58"/>
        <v>0.15384615384615385</v>
      </c>
      <c r="J66" s="357">
        <f t="shared" ca="1" si="59"/>
        <v>0.19148936170212766</v>
      </c>
      <c r="K66" s="357">
        <f t="shared" ca="1" si="60"/>
        <v>0.16216216216216217</v>
      </c>
      <c r="L66" s="357">
        <f t="shared" ca="1" si="61"/>
        <v>8.8888888888888892E-2</v>
      </c>
      <c r="M66" s="357" t="str">
        <f t="shared" si="62"/>
        <v/>
      </c>
      <c r="N66" s="357" t="str">
        <f t="shared" si="63"/>
        <v/>
      </c>
      <c r="O66" s="357" t="str">
        <f t="shared" si="64"/>
        <v/>
      </c>
      <c r="P66" s="357" t="str">
        <f t="shared" si="65"/>
        <v/>
      </c>
      <c r="Q66" s="357" t="str">
        <f t="shared" si="66"/>
        <v/>
      </c>
      <c r="R66" s="358" cm="1">
        <f t="array" aca="1" ref="R66" ca="1">IF(OR($A66="",D66=""),"",IFERROR(LOOKUP(2,1/(E66:Q66&lt;&gt;""),E66:Q66)-D66,""))</f>
        <v>-0.13340534312666524</v>
      </c>
      <c r="S66" s="349"/>
      <c r="T66" s="362">
        <f t="shared" ca="1" si="67"/>
        <v>148.72533527696797</v>
      </c>
      <c r="U66" s="362">
        <f t="shared" ca="1" si="68"/>
        <v>191.85999999999999</v>
      </c>
      <c r="V66" s="362">
        <f t="shared" ca="1" si="69"/>
        <v>104.80066666666667</v>
      </c>
      <c r="W66" s="362">
        <f t="shared" ca="1" si="70"/>
        <v>154.6275</v>
      </c>
      <c r="X66" s="362">
        <f t="shared" ca="1" si="71"/>
        <v>138.6</v>
      </c>
      <c r="Y66" s="362">
        <f t="shared" ca="1" si="72"/>
        <v>217.08800000000002</v>
      </c>
      <c r="Z66" s="362">
        <f t="shared" ca="1" si="73"/>
        <v>180.43444444444447</v>
      </c>
      <c r="AA66" s="362">
        <f t="shared" ca="1" si="74"/>
        <v>177.83166666666668</v>
      </c>
      <c r="AB66" s="362">
        <f t="shared" ca="1" si="75"/>
        <v>69.25</v>
      </c>
      <c r="AC66" s="362" t="str">
        <f t="shared" si="76"/>
        <v/>
      </c>
      <c r="AD66" s="362" t="str">
        <f t="shared" si="77"/>
        <v/>
      </c>
      <c r="AE66" s="362" t="str">
        <f t="shared" si="78"/>
        <v/>
      </c>
      <c r="AF66" s="362" t="str">
        <f t="shared" si="79"/>
        <v/>
      </c>
      <c r="AG66" s="362" t="str">
        <f t="shared" si="80"/>
        <v/>
      </c>
      <c r="AH66" s="363" cm="1">
        <f t="array" aca="1" ref="AH66" ca="1">IF(OR($A66="",T66=""),"",IFERROR(LOOKUP(2,1/(U66:AG66&lt;&gt;""),U66:AG66)-T66,""))</f>
        <v>-79.475335276967968</v>
      </c>
      <c r="AI66" s="349"/>
      <c r="AJ66" s="349" cm="1">
        <f t="array" ref="AJ66">IF($A66="","",IFERROR(MATCH($A66,TRIM('Sales and count'!$A$4:$A$300&amp;""),0),""))</f>
        <v>91</v>
      </c>
      <c r="AK66" s="350" cm="1">
        <f t="array" ref="AK66">IF(OR($A66="",AK$6=""),"",IFERROR(INDEX(Footfall!$C$5:$BZ$301,MATCH($A66,TRIM(Footfall!$B$5:$B$301&amp;""),0),AK$5),0))</f>
        <v>1543</v>
      </c>
      <c r="AL66" s="350" cm="1">
        <f t="array" ref="AL66">IF(OR($A66="",AL$6=""),"",IFERROR(INDEX(Footfall!$C$5:$BZ$301,MATCH($A66,TRIM(Footfall!$B$5:$B$301&amp;""),0),AL$5),0))</f>
        <v>88</v>
      </c>
      <c r="AM66" s="350" cm="1">
        <f t="array" ref="AM66">IF(OR($A66="",AM$6=""),"",IFERROR(INDEX(Footfall!$C$5:$BZ$301,MATCH($A66,TRIM(Footfall!$B$5:$B$301&amp;""),0),AM$5),0))</f>
        <v>88</v>
      </c>
      <c r="AN66" s="350" cm="1">
        <f t="array" ref="AN66">IF(OR($A66="",AN$6=""),"",IFERROR(INDEX(Footfall!$C$5:$BZ$301,MATCH($A66,TRIM(Footfall!$B$5:$B$301&amp;""),0),AN$5),0))</f>
        <v>49</v>
      </c>
      <c r="AO66" s="350" cm="1">
        <f t="array" ref="AO66">IF(OR($A66="",AO$6=""),"",IFERROR(INDEX(Footfall!$C$5:$BZ$301,MATCH($A66,TRIM(Footfall!$B$5:$B$301&amp;""),0),AO$5),0))</f>
        <v>60</v>
      </c>
      <c r="AP66" s="350" cm="1">
        <f t="array" ref="AP66">IF(OR($A66="",AP$6=""),"",IFERROR(INDEX(Footfall!$C$5:$BZ$301,MATCH($A66,TRIM(Footfall!$B$5:$B$301&amp;""),0),AP$5),0))</f>
        <v>65</v>
      </c>
      <c r="AQ66" s="350" cm="1">
        <f t="array" ref="AQ66">IF(OR($A66="",AQ$6=""),"",IFERROR(INDEX(Footfall!$C$5:$BZ$301,MATCH($A66,TRIM(Footfall!$B$5:$B$301&amp;""),0),AQ$5),0))</f>
        <v>47</v>
      </c>
      <c r="AR66" s="350" cm="1">
        <f t="array" ref="AR66">IF(OR($A66="",AR$6=""),"",IFERROR(INDEX(Footfall!$C$5:$BZ$301,MATCH($A66,TRIM(Footfall!$B$5:$B$301&amp;""),0),AR$5),0))</f>
        <v>74</v>
      </c>
      <c r="AS66" s="350" cm="1">
        <f t="array" ref="AS66">IF(OR($A66="",AS$6=""),"",IFERROR(INDEX(Footfall!$C$5:$BZ$301,MATCH($A66,TRIM(Footfall!$B$5:$B$301&amp;""),0),AS$5),0))</f>
        <v>45</v>
      </c>
      <c r="AT66" s="350" t="str" cm="1">
        <f t="array" ref="AT66">IF(OR($A66="",AT$6=""),"",IFERROR(INDEX(Footfall!$C$5:$BZ$301,MATCH($A66,TRIM(Footfall!$B$5:$B$301&amp;""),0),AT$5),0))</f>
        <v/>
      </c>
      <c r="AU66" s="350" t="str" cm="1">
        <f t="array" ref="AU66">IF(OR($A66="",AU$6=""),"",IFERROR(INDEX(Footfall!$C$5:$BZ$301,MATCH($A66,TRIM(Footfall!$B$5:$B$301&amp;""),0),AU$5),0))</f>
        <v/>
      </c>
      <c r="AV66" s="350" t="str" cm="1">
        <f t="array" ref="AV66">IF(OR($A66="",AV$6=""),"",IFERROR(INDEX(Footfall!$C$5:$BZ$301,MATCH($A66,TRIM(Footfall!$B$5:$B$301&amp;""),0),AV$5),0))</f>
        <v/>
      </c>
      <c r="AW66" s="350" t="str" cm="1">
        <f t="array" ref="AW66">IF(OR($A66="",AW$6=""),"",IFERROR(INDEX(Footfall!$C$5:$BZ$301,MATCH($A66,TRIM(Footfall!$B$5:$B$301&amp;""),0),AW$5),0))</f>
        <v/>
      </c>
      <c r="AX66" s="350" t="str" cm="1">
        <f t="array" ref="AX66">IF(OR($A66="",AX$6=""),"",IFERROR(INDEX(Footfall!$C$5:$BZ$301,MATCH($A66,TRIM(Footfall!$B$5:$B$301&amp;""),0),AX$5),0))</f>
        <v/>
      </c>
      <c r="AY66" s="350" cm="1">
        <f t="array" aca="1" ref="AY66" ca="1">IF(AK66="","",IF($AJ66="",0,_xlfn.LET(_xlpm.d,IFERROR(--'Sales and count'!$F$2:$CB$2,0),SUMPRODUCT(('Sales and count'!$G$3:$CC$3="Transactions")*(_xlpm.d&gt;=AY$6)*(_xlpm.d&lt;=AY$7),INDEX('Sales and count'!$G$4:$CC$300,$AJ66,0)))))</f>
        <v>343</v>
      </c>
      <c r="AZ66" s="350" cm="1">
        <f t="array" aca="1" ref="AZ66" ca="1">IF(AL66="","",IF($AJ66="",0,_xlfn.LET(_xlpm.d,IFERROR(--'Sales and count'!$F$2:$CB$2,0),SUMPRODUCT(('Sales and count'!$G$3:$CC$3="Transactions")*(_xlpm.d&gt;=AZ$6)*(_xlpm.d&lt;=AZ$7),INDEX('Sales and count'!$G$4:$CC$300,$AJ66,0)))))</f>
        <v>7</v>
      </c>
      <c r="BA66" s="350" cm="1">
        <f t="array" aca="1" ref="BA66" ca="1">IF(AM66="","",IF($AJ66="",0,_xlfn.LET(_xlpm.d,IFERROR(--'Sales and count'!$F$2:$CB$2,0),SUMPRODUCT(('Sales and count'!$G$3:$CC$3="Transactions")*(_xlpm.d&gt;=BA$6)*(_xlpm.d&lt;=BA$7),INDEX('Sales and count'!$G$4:$CC$300,$AJ66,0)))))</f>
        <v>15</v>
      </c>
      <c r="BB66" s="350" cm="1">
        <f t="array" aca="1" ref="BB66" ca="1">IF(AN66="","",IF($AJ66="",0,_xlfn.LET(_xlpm.d,IFERROR(--'Sales and count'!$F$2:$CB$2,0),SUMPRODUCT(('Sales and count'!$G$3:$CC$3="Transactions")*(_xlpm.d&gt;=BB$6)*(_xlpm.d&lt;=BB$7),INDEX('Sales and count'!$G$4:$CC$300,$AJ66,0)))))</f>
        <v>8</v>
      </c>
      <c r="BC66" s="350" cm="1">
        <f t="array" aca="1" ref="BC66" ca="1">IF(AO66="","",IF($AJ66="",0,_xlfn.LET(_xlpm.d,IFERROR(--'Sales and count'!$F$2:$CB$2,0),SUMPRODUCT(('Sales and count'!$G$3:$CC$3="Transactions")*(_xlpm.d&gt;=BC$6)*(_xlpm.d&lt;=BC$7),INDEX('Sales and count'!$G$4:$CC$300,$AJ66,0)))))</f>
        <v>10</v>
      </c>
      <c r="BD66" s="350" cm="1">
        <f t="array" aca="1" ref="BD66" ca="1">IF(AP66="","",IF($AJ66="",0,_xlfn.LET(_xlpm.d,IFERROR(--'Sales and count'!$F$2:$CB$2,0),SUMPRODUCT(('Sales and count'!$G$3:$CC$3="Transactions")*(_xlpm.d&gt;=BD$6)*(_xlpm.d&lt;=BD$7),INDEX('Sales and count'!$G$4:$CC$300,$AJ66,0)))))</f>
        <v>10</v>
      </c>
      <c r="BE66" s="350" cm="1">
        <f t="array" aca="1" ref="BE66" ca="1">IF(AQ66="","",IF($AJ66="",0,_xlfn.LET(_xlpm.d,IFERROR(--'Sales and count'!$F$2:$CB$2,0),SUMPRODUCT(('Sales and count'!$G$3:$CC$3="Transactions")*(_xlpm.d&gt;=BE$6)*(_xlpm.d&lt;=BE$7),INDEX('Sales and count'!$G$4:$CC$300,$AJ66,0)))))</f>
        <v>9</v>
      </c>
      <c r="BF66" s="350" cm="1">
        <f t="array" aca="1" ref="BF66" ca="1">IF(AR66="","",IF($AJ66="",0,_xlfn.LET(_xlpm.d,IFERROR(--'Sales and count'!$F$2:$CB$2,0),SUMPRODUCT(('Sales and count'!$G$3:$CC$3="Transactions")*(_xlpm.d&gt;=BF$6)*(_xlpm.d&lt;=BF$7),INDEX('Sales and count'!$G$4:$CC$300,$AJ66,0)))))</f>
        <v>12</v>
      </c>
      <c r="BG66" s="350" cm="1">
        <f t="array" aca="1" ref="BG66" ca="1">IF(AS66="","",IF($AJ66="",0,_xlfn.LET(_xlpm.d,IFERROR(--'Sales and count'!$F$2:$CB$2,0),SUMPRODUCT(('Sales and count'!$G$3:$CC$3="Transactions")*(_xlpm.d&gt;=BG$6)*(_xlpm.d&lt;=BG$7),INDEX('Sales and count'!$G$4:$CC$300,$AJ66,0)))))</f>
        <v>4</v>
      </c>
      <c r="BH66" s="350" t="str" cm="1">
        <f t="array" ref="BH66">IF(AT66="","",IF($AJ66="",0,_xlfn.LET(_xlpm.d,IFERROR(--'Sales and count'!$F$2:$CB$2,0),SUMPRODUCT(('Sales and count'!$G$3:$CC$3="Transactions")*(_xlpm.d&gt;=BH$6)*(_xlpm.d&lt;=BH$7),INDEX('Sales and count'!$G$4:$CC$300,$AJ66,0)))))</f>
        <v/>
      </c>
      <c r="BI66" s="350" t="str" cm="1">
        <f t="array" ref="BI66">IF(AU66="","",IF($AJ66="",0,_xlfn.LET(_xlpm.d,IFERROR(--'Sales and count'!$F$2:$CB$2,0),SUMPRODUCT(('Sales and count'!$G$3:$CC$3="Transactions")*(_xlpm.d&gt;=BI$6)*(_xlpm.d&lt;=BI$7),INDEX('Sales and count'!$G$4:$CC$300,$AJ66,0)))))</f>
        <v/>
      </c>
      <c r="BJ66" s="350" t="str" cm="1">
        <f t="array" ref="BJ66">IF(AV66="","",IF($AJ66="",0,_xlfn.LET(_xlpm.d,IFERROR(--'Sales and count'!$F$2:$CB$2,0),SUMPRODUCT(('Sales and count'!$G$3:$CC$3="Transactions")*(_xlpm.d&gt;=BJ$6)*(_xlpm.d&lt;=BJ$7),INDEX('Sales and count'!$G$4:$CC$300,$AJ66,0)))))</f>
        <v/>
      </c>
      <c r="BK66" s="350" t="str" cm="1">
        <f t="array" ref="BK66">IF(AW66="","",IF($AJ66="",0,_xlfn.LET(_xlpm.d,IFERROR(--'Sales and count'!$F$2:$CB$2,0),SUMPRODUCT(('Sales and count'!$G$3:$CC$3="Transactions")*(_xlpm.d&gt;=BK$6)*(_xlpm.d&lt;=BK$7),INDEX('Sales and count'!$G$4:$CC$300,$AJ66,0)))))</f>
        <v/>
      </c>
      <c r="BL66" s="350" t="str" cm="1">
        <f t="array" ref="BL66">IF(AX66="","",IF($AJ66="",0,_xlfn.LET(_xlpm.d,IFERROR(--'Sales and count'!$F$2:$CB$2,0),SUMPRODUCT(('Sales and count'!$G$3:$CC$3="Transactions")*(_xlpm.d&gt;=BL$6)*(_xlpm.d&lt;=BL$7),INDEX('Sales and count'!$G$4:$CC$300,$AJ66,0)))))</f>
        <v/>
      </c>
      <c r="BM66" s="350" cm="1">
        <f t="array" ref="BM66">IF(AK66="","",IF($AJ66="",0,_xlfn.LET(_xlpm.d,IFERROR(--'Sales and count'!$G$2:$CC$2,0),SUMPRODUCT(('Sales and count'!$G$3:$CC$3="Total")*(_xlpm.d&gt;=BM$6)*(_xlpm.d&lt;=BM$7),INDEX('Sales and count'!$G$4:$CC$300,$AJ66,0)))))</f>
        <v>51012.790000000008</v>
      </c>
      <c r="BN66" s="350" cm="1">
        <f t="array" ref="BN66">IF(AL66="","",IF($AJ66="",0,_xlfn.LET(_xlpm.d,IFERROR(--'Sales and count'!$G$2:$CC$2,0),SUMPRODUCT(('Sales and count'!$G$3:$CC$3="Total")*(_xlpm.d&gt;=BN$6)*(_xlpm.d&lt;=BN$7),INDEX('Sales and count'!$G$4:$CC$300,$AJ66,0)))))</f>
        <v>1343.02</v>
      </c>
      <c r="BO66" s="350" cm="1">
        <f t="array" ref="BO66">IF(AM66="","",IF($AJ66="",0,_xlfn.LET(_xlpm.d,IFERROR(--'Sales and count'!$G$2:$CC$2,0),SUMPRODUCT(('Sales and count'!$G$3:$CC$3="Total")*(_xlpm.d&gt;=BO$6)*(_xlpm.d&lt;=BO$7),INDEX('Sales and count'!$G$4:$CC$300,$AJ66,0)))))</f>
        <v>1572.01</v>
      </c>
      <c r="BP66" s="350" cm="1">
        <f t="array" ref="BP66">IF(AN66="","",IF($AJ66="",0,_xlfn.LET(_xlpm.d,IFERROR(--'Sales and count'!$G$2:$CC$2,0),SUMPRODUCT(('Sales and count'!$G$3:$CC$3="Total")*(_xlpm.d&gt;=BP$6)*(_xlpm.d&lt;=BP$7),INDEX('Sales and count'!$G$4:$CC$300,$AJ66,0)))))</f>
        <v>1237.02</v>
      </c>
      <c r="BQ66" s="350" cm="1">
        <f t="array" ref="BQ66">IF(AO66="","",IF($AJ66="",0,_xlfn.LET(_xlpm.d,IFERROR(--'Sales and count'!$G$2:$CC$2,0),SUMPRODUCT(('Sales and count'!$G$3:$CC$3="Total")*(_xlpm.d&gt;=BQ$6)*(_xlpm.d&lt;=BQ$7),INDEX('Sales and count'!$G$4:$CC$300,$AJ66,0)))))</f>
        <v>1386</v>
      </c>
      <c r="BR66" s="350" cm="1">
        <f t="array" ref="BR66">IF(AP66="","",IF($AJ66="",0,_xlfn.LET(_xlpm.d,IFERROR(--'Sales and count'!$G$2:$CC$2,0),SUMPRODUCT(('Sales and count'!$G$3:$CC$3="Total")*(_xlpm.d&gt;=BR$6)*(_xlpm.d&lt;=BR$7),INDEX('Sales and count'!$G$4:$CC$300,$AJ66,0)))))</f>
        <v>2170.88</v>
      </c>
      <c r="BS66" s="350" cm="1">
        <f t="array" ref="BS66">IF(AQ66="","",IF($AJ66="",0,_xlfn.LET(_xlpm.d,IFERROR(--'Sales and count'!$G$2:$CC$2,0),SUMPRODUCT(('Sales and count'!$G$3:$CC$3="Total")*(_xlpm.d&gt;=BS$6)*(_xlpm.d&lt;=BS$7),INDEX('Sales and count'!$G$4:$CC$300,$AJ66,0)))))</f>
        <v>1623.91</v>
      </c>
      <c r="BT66" s="350" cm="1">
        <f t="array" ref="BT66">IF(AR66="","",IF($AJ66="",0,_xlfn.LET(_xlpm.d,IFERROR(--'Sales and count'!$G$2:$CC$2,0),SUMPRODUCT(('Sales and count'!$G$3:$CC$3="Total")*(_xlpm.d&gt;=BT$6)*(_xlpm.d&lt;=BT$7),INDEX('Sales and count'!$G$4:$CC$300,$AJ66,0)))))</f>
        <v>2133.98</v>
      </c>
      <c r="BU66" s="350" cm="1">
        <f t="array" ref="BU66">IF(AS66="","",IF($AJ66="",0,_xlfn.LET(_xlpm.d,IFERROR(--'Sales and count'!$G$2:$CC$2,0),SUMPRODUCT(('Sales and count'!$G$3:$CC$3="Total")*(_xlpm.d&gt;=BU$6)*(_xlpm.d&lt;=BU$7),INDEX('Sales and count'!$G$4:$CC$300,$AJ66,0)))))</f>
        <v>277</v>
      </c>
      <c r="BV66" s="350" t="str" cm="1">
        <f t="array" ref="BV66">IF(AT66="","",IF($AJ66="",0,_xlfn.LET(_xlpm.d,IFERROR(--'Sales and count'!$G$2:$CC$2,0),SUMPRODUCT(('Sales and count'!$G$3:$CC$3="Total")*(_xlpm.d&gt;=BV$6)*(_xlpm.d&lt;=BV$7),INDEX('Sales and count'!$G$4:$CC$300,$AJ66,0)))))</f>
        <v/>
      </c>
      <c r="BW66" s="350" t="str" cm="1">
        <f t="array" ref="BW66">IF(AU66="","",IF($AJ66="",0,_xlfn.LET(_xlpm.d,IFERROR(--'Sales and count'!$G$2:$CC$2,0),SUMPRODUCT(('Sales and count'!$G$3:$CC$3="Total")*(_xlpm.d&gt;=BW$6)*(_xlpm.d&lt;=BW$7),INDEX('Sales and count'!$G$4:$CC$300,$AJ66,0)))))</f>
        <v/>
      </c>
      <c r="BX66" s="350" t="str" cm="1">
        <f t="array" ref="BX66">IF(AV66="","",IF($AJ66="",0,_xlfn.LET(_xlpm.d,IFERROR(--'Sales and count'!$G$2:$CC$2,0),SUMPRODUCT(('Sales and count'!$G$3:$CC$3="Total")*(_xlpm.d&gt;=BX$6)*(_xlpm.d&lt;=BX$7),INDEX('Sales and count'!$G$4:$CC$300,$AJ66,0)))))</f>
        <v/>
      </c>
      <c r="BY66" s="350" t="str" cm="1">
        <f t="array" ref="BY66">IF(AW66="","",IF($AJ66="",0,_xlfn.LET(_xlpm.d,IFERROR(--'Sales and count'!$G$2:$CC$2,0),SUMPRODUCT(('Sales and count'!$G$3:$CC$3="Total")*(_xlpm.d&gt;=BY$6)*(_xlpm.d&lt;=BY$7),INDEX('Sales and count'!$G$4:$CC$300,$AJ66,0)))))</f>
        <v/>
      </c>
      <c r="BZ66" s="350" t="str" cm="1">
        <f t="array" ref="BZ66">IF(AX66="","",IF($AJ66="",0,_xlfn.LET(_xlpm.d,IFERROR(--'Sales and count'!$G$2:$CC$2,0),SUMPRODUCT(('Sales and count'!$G$3:$CC$3="Total")*(_xlpm.d&gt;=BZ$6)*(_xlpm.d&lt;=BZ$7),INDEX('Sales and count'!$G$4:$CC$300,$AJ66,0)))))</f>
        <v/>
      </c>
    </row>
    <row r="67" spans="1:78" x14ac:dyDescent="0.25">
      <c r="A67" s="356" t="str">
        <v>JEDDSALAM</v>
      </c>
      <c r="B67" s="356" t="str" cm="1">
        <f t="array" ref="B67">IF($A67="","",_xlfn.XLOOKUP($A67,TRIM(Footfall!$B$5:$B$301&amp;""),Footfall!$A$5:$A$301,""))</f>
        <v>Salam Mall Jeddah</v>
      </c>
      <c r="C67" s="356" t="str" cm="1">
        <f t="array" ref="C67">IF($A67="","",_xlfn.XLOOKUP($A67,TRIM('Sales and count'!$A$4:$A$300&amp;""),'Sales and count'!$C$4:$C$300,"Not set"))</f>
        <v>Jeddah</v>
      </c>
      <c r="D67" s="357">
        <f t="shared" ca="1" si="53"/>
        <v>0.1590465025400547</v>
      </c>
      <c r="E67" s="357">
        <f t="shared" ca="1" si="54"/>
        <v>0.25333333333333335</v>
      </c>
      <c r="F67" s="357">
        <f t="shared" ca="1" si="55"/>
        <v>0.14130434782608695</v>
      </c>
      <c r="G67" s="357">
        <f t="shared" ca="1" si="56"/>
        <v>0.14457831325301204</v>
      </c>
      <c r="H67" s="357">
        <f t="shared" ca="1" si="57"/>
        <v>0.10828025477707007</v>
      </c>
      <c r="I67" s="357">
        <f t="shared" ca="1" si="58"/>
        <v>8.2706766917293228E-2</v>
      </c>
      <c r="J67" s="357">
        <f t="shared" ca="1" si="59"/>
        <v>0.11009174311926606</v>
      </c>
      <c r="K67" s="357">
        <f t="shared" ca="1" si="60"/>
        <v>0.13793103448275862</v>
      </c>
      <c r="L67" s="357">
        <f t="shared" ca="1" si="61"/>
        <v>0.23711340206185566</v>
      </c>
      <c r="M67" s="357" t="str">
        <f t="shared" si="62"/>
        <v/>
      </c>
      <c r="N67" s="357" t="str">
        <f t="shared" si="63"/>
        <v/>
      </c>
      <c r="O67" s="357" t="str">
        <f t="shared" si="64"/>
        <v/>
      </c>
      <c r="P67" s="357" t="str">
        <f t="shared" si="65"/>
        <v/>
      </c>
      <c r="Q67" s="357" t="str">
        <f t="shared" si="66"/>
        <v/>
      </c>
      <c r="R67" s="358" cm="1">
        <f t="array" aca="1" ref="R67" ca="1">IF(OR($A67="",D67=""),"",IFERROR(LOOKUP(2,1/(E67:Q67&lt;&gt;""),E67:Q67)-D67,""))</f>
        <v>7.8066899521800959E-2</v>
      </c>
      <c r="S67" s="349"/>
      <c r="T67" s="362">
        <f t="shared" ca="1" si="67"/>
        <v>143.99557739557739</v>
      </c>
      <c r="U67" s="362">
        <f t="shared" ca="1" si="68"/>
        <v>140.63473684210527</v>
      </c>
      <c r="V67" s="362">
        <f t="shared" ca="1" si="69"/>
        <v>168.23461538461541</v>
      </c>
      <c r="W67" s="362">
        <f t="shared" ca="1" si="70"/>
        <v>111.91833333333334</v>
      </c>
      <c r="X67" s="362">
        <f t="shared" ca="1" si="71"/>
        <v>207.98705882352942</v>
      </c>
      <c r="Y67" s="362">
        <f t="shared" ca="1" si="72"/>
        <v>120.27</v>
      </c>
      <c r="Z67" s="362">
        <f t="shared" ca="1" si="73"/>
        <v>180.90916666666666</v>
      </c>
      <c r="AA67" s="362">
        <f t="shared" ca="1" si="74"/>
        <v>146.43625</v>
      </c>
      <c r="AB67" s="362">
        <f t="shared" ca="1" si="75"/>
        <v>191.14478260869564</v>
      </c>
      <c r="AC67" s="362" t="str">
        <f t="shared" si="76"/>
        <v/>
      </c>
      <c r="AD67" s="362" t="str">
        <f t="shared" si="77"/>
        <v/>
      </c>
      <c r="AE67" s="362" t="str">
        <f t="shared" si="78"/>
        <v/>
      </c>
      <c r="AF67" s="362" t="str">
        <f t="shared" si="79"/>
        <v/>
      </c>
      <c r="AG67" s="362" t="str">
        <f t="shared" si="80"/>
        <v/>
      </c>
      <c r="AH67" s="363" cm="1">
        <f t="array" aca="1" ref="AH67" ca="1">IF(OR($A67="",T67=""),"",IFERROR(LOOKUP(2,1/(U67:AG67&lt;&gt;""),U67:AG67)-T67,""))</f>
        <v>47.14920521311825</v>
      </c>
      <c r="AI67" s="349"/>
      <c r="AJ67" s="349" cm="1">
        <f t="array" ref="AJ67">IF($A67="","",IFERROR(MATCH($A67,TRIM('Sales and count'!$A$4:$A$300&amp;""),0),""))</f>
        <v>32</v>
      </c>
      <c r="AK67" s="350" cm="1">
        <f t="array" ref="AK67">IF(OR($A67="",AK$6=""),"",IFERROR(INDEX(Footfall!$C$5:$BZ$301,MATCH($A67,TRIM(Footfall!$B$5:$B$301&amp;""),0),AK$5),0))</f>
        <v>2559</v>
      </c>
      <c r="AL67" s="350" cm="1">
        <f t="array" ref="AL67">IF(OR($A67="",AL$6=""),"",IFERROR(INDEX(Footfall!$C$5:$BZ$301,MATCH($A67,TRIM(Footfall!$B$5:$B$301&amp;""),0),AL$5),0))</f>
        <v>75</v>
      </c>
      <c r="AM67" s="350" cm="1">
        <f t="array" ref="AM67">IF(OR($A67="",AM$6=""),"",IFERROR(INDEX(Footfall!$C$5:$BZ$301,MATCH($A67,TRIM(Footfall!$B$5:$B$301&amp;""),0),AM$5),0))</f>
        <v>92</v>
      </c>
      <c r="AN67" s="350" cm="1">
        <f t="array" ref="AN67">IF(OR($A67="",AN$6=""),"",IFERROR(INDEX(Footfall!$C$5:$BZ$301,MATCH($A67,TRIM(Footfall!$B$5:$B$301&amp;""),0),AN$5),0))</f>
        <v>83</v>
      </c>
      <c r="AO67" s="350" cm="1">
        <f t="array" ref="AO67">IF(OR($A67="",AO$6=""),"",IFERROR(INDEX(Footfall!$C$5:$BZ$301,MATCH($A67,TRIM(Footfall!$B$5:$B$301&amp;""),0),AO$5),0))</f>
        <v>157</v>
      </c>
      <c r="AP67" s="350" cm="1">
        <f t="array" ref="AP67">IF(OR($A67="",AP$6=""),"",IFERROR(INDEX(Footfall!$C$5:$BZ$301,MATCH($A67,TRIM(Footfall!$B$5:$B$301&amp;""),0),AP$5),0))</f>
        <v>133</v>
      </c>
      <c r="AQ67" s="350" cm="1">
        <f t="array" ref="AQ67">IF(OR($A67="",AQ$6=""),"",IFERROR(INDEX(Footfall!$C$5:$BZ$301,MATCH($A67,TRIM(Footfall!$B$5:$B$301&amp;""),0),AQ$5),0))</f>
        <v>109</v>
      </c>
      <c r="AR67" s="350" cm="1">
        <f t="array" ref="AR67">IF(OR($A67="",AR$6=""),"",IFERROR(INDEX(Footfall!$C$5:$BZ$301,MATCH($A67,TRIM(Footfall!$B$5:$B$301&amp;""),0),AR$5),0))</f>
        <v>116</v>
      </c>
      <c r="AS67" s="350" cm="1">
        <f t="array" ref="AS67">IF(OR($A67="",AS$6=""),"",IFERROR(INDEX(Footfall!$C$5:$BZ$301,MATCH($A67,TRIM(Footfall!$B$5:$B$301&amp;""),0),AS$5),0))</f>
        <v>97</v>
      </c>
      <c r="AT67" s="350" t="str" cm="1">
        <f t="array" ref="AT67">IF(OR($A67="",AT$6=""),"",IFERROR(INDEX(Footfall!$C$5:$BZ$301,MATCH($A67,TRIM(Footfall!$B$5:$B$301&amp;""),0),AT$5),0))</f>
        <v/>
      </c>
      <c r="AU67" s="350" t="str" cm="1">
        <f t="array" ref="AU67">IF(OR($A67="",AU$6=""),"",IFERROR(INDEX(Footfall!$C$5:$BZ$301,MATCH($A67,TRIM(Footfall!$B$5:$B$301&amp;""),0),AU$5),0))</f>
        <v/>
      </c>
      <c r="AV67" s="350" t="str" cm="1">
        <f t="array" ref="AV67">IF(OR($A67="",AV$6=""),"",IFERROR(INDEX(Footfall!$C$5:$BZ$301,MATCH($A67,TRIM(Footfall!$B$5:$B$301&amp;""),0),AV$5),0))</f>
        <v/>
      </c>
      <c r="AW67" s="350" t="str" cm="1">
        <f t="array" ref="AW67">IF(OR($A67="",AW$6=""),"",IFERROR(INDEX(Footfall!$C$5:$BZ$301,MATCH($A67,TRIM(Footfall!$B$5:$B$301&amp;""),0),AW$5),0))</f>
        <v/>
      </c>
      <c r="AX67" s="350" t="str" cm="1">
        <f t="array" ref="AX67">IF(OR($A67="",AX$6=""),"",IFERROR(INDEX(Footfall!$C$5:$BZ$301,MATCH($A67,TRIM(Footfall!$B$5:$B$301&amp;""),0),AX$5),0))</f>
        <v/>
      </c>
      <c r="AY67" s="350" cm="1">
        <f t="array" aca="1" ref="AY67" ca="1">IF(AK67="","",IF($AJ67="",0,_xlfn.LET(_xlpm.d,IFERROR(--'Sales and count'!$F$2:$CB$2,0),SUMPRODUCT(('Sales and count'!$G$3:$CC$3="Transactions")*(_xlpm.d&gt;=AY$6)*(_xlpm.d&lt;=AY$7),INDEX('Sales and count'!$G$4:$CC$300,$AJ67,0)))))</f>
        <v>407</v>
      </c>
      <c r="AZ67" s="350" cm="1">
        <f t="array" aca="1" ref="AZ67" ca="1">IF(AL67="","",IF($AJ67="",0,_xlfn.LET(_xlpm.d,IFERROR(--'Sales and count'!$F$2:$CB$2,0),SUMPRODUCT(('Sales and count'!$G$3:$CC$3="Transactions")*(_xlpm.d&gt;=AZ$6)*(_xlpm.d&lt;=AZ$7),INDEX('Sales and count'!$G$4:$CC$300,$AJ67,0)))))</f>
        <v>19</v>
      </c>
      <c r="BA67" s="350" cm="1">
        <f t="array" aca="1" ref="BA67" ca="1">IF(AM67="","",IF($AJ67="",0,_xlfn.LET(_xlpm.d,IFERROR(--'Sales and count'!$F$2:$CB$2,0),SUMPRODUCT(('Sales and count'!$G$3:$CC$3="Transactions")*(_xlpm.d&gt;=BA$6)*(_xlpm.d&lt;=BA$7),INDEX('Sales and count'!$G$4:$CC$300,$AJ67,0)))))</f>
        <v>13</v>
      </c>
      <c r="BB67" s="350" cm="1">
        <f t="array" aca="1" ref="BB67" ca="1">IF(AN67="","",IF($AJ67="",0,_xlfn.LET(_xlpm.d,IFERROR(--'Sales and count'!$F$2:$CB$2,0),SUMPRODUCT(('Sales and count'!$G$3:$CC$3="Transactions")*(_xlpm.d&gt;=BB$6)*(_xlpm.d&lt;=BB$7),INDEX('Sales and count'!$G$4:$CC$300,$AJ67,0)))))</f>
        <v>12</v>
      </c>
      <c r="BC67" s="350" cm="1">
        <f t="array" aca="1" ref="BC67" ca="1">IF(AO67="","",IF($AJ67="",0,_xlfn.LET(_xlpm.d,IFERROR(--'Sales and count'!$F$2:$CB$2,0),SUMPRODUCT(('Sales and count'!$G$3:$CC$3="Transactions")*(_xlpm.d&gt;=BC$6)*(_xlpm.d&lt;=BC$7),INDEX('Sales and count'!$G$4:$CC$300,$AJ67,0)))))</f>
        <v>17</v>
      </c>
      <c r="BD67" s="350" cm="1">
        <f t="array" aca="1" ref="BD67" ca="1">IF(AP67="","",IF($AJ67="",0,_xlfn.LET(_xlpm.d,IFERROR(--'Sales and count'!$F$2:$CB$2,0),SUMPRODUCT(('Sales and count'!$G$3:$CC$3="Transactions")*(_xlpm.d&gt;=BD$6)*(_xlpm.d&lt;=BD$7),INDEX('Sales and count'!$G$4:$CC$300,$AJ67,0)))))</f>
        <v>11</v>
      </c>
      <c r="BE67" s="350" cm="1">
        <f t="array" aca="1" ref="BE67" ca="1">IF(AQ67="","",IF($AJ67="",0,_xlfn.LET(_xlpm.d,IFERROR(--'Sales and count'!$F$2:$CB$2,0),SUMPRODUCT(('Sales and count'!$G$3:$CC$3="Transactions")*(_xlpm.d&gt;=BE$6)*(_xlpm.d&lt;=BE$7),INDEX('Sales and count'!$G$4:$CC$300,$AJ67,0)))))</f>
        <v>12</v>
      </c>
      <c r="BF67" s="350" cm="1">
        <f t="array" aca="1" ref="BF67" ca="1">IF(AR67="","",IF($AJ67="",0,_xlfn.LET(_xlpm.d,IFERROR(--'Sales and count'!$F$2:$CB$2,0),SUMPRODUCT(('Sales and count'!$G$3:$CC$3="Transactions")*(_xlpm.d&gt;=BF$6)*(_xlpm.d&lt;=BF$7),INDEX('Sales and count'!$G$4:$CC$300,$AJ67,0)))))</f>
        <v>16</v>
      </c>
      <c r="BG67" s="350" cm="1">
        <f t="array" aca="1" ref="BG67" ca="1">IF(AS67="","",IF($AJ67="",0,_xlfn.LET(_xlpm.d,IFERROR(--'Sales and count'!$F$2:$CB$2,0),SUMPRODUCT(('Sales and count'!$G$3:$CC$3="Transactions")*(_xlpm.d&gt;=BG$6)*(_xlpm.d&lt;=BG$7),INDEX('Sales and count'!$G$4:$CC$300,$AJ67,0)))))</f>
        <v>23</v>
      </c>
      <c r="BH67" s="350" t="str" cm="1">
        <f t="array" ref="BH67">IF(AT67="","",IF($AJ67="",0,_xlfn.LET(_xlpm.d,IFERROR(--'Sales and count'!$F$2:$CB$2,0),SUMPRODUCT(('Sales and count'!$G$3:$CC$3="Transactions")*(_xlpm.d&gt;=BH$6)*(_xlpm.d&lt;=BH$7),INDEX('Sales and count'!$G$4:$CC$300,$AJ67,0)))))</f>
        <v/>
      </c>
      <c r="BI67" s="350" t="str" cm="1">
        <f t="array" ref="BI67">IF(AU67="","",IF($AJ67="",0,_xlfn.LET(_xlpm.d,IFERROR(--'Sales and count'!$F$2:$CB$2,0),SUMPRODUCT(('Sales and count'!$G$3:$CC$3="Transactions")*(_xlpm.d&gt;=BI$6)*(_xlpm.d&lt;=BI$7),INDEX('Sales and count'!$G$4:$CC$300,$AJ67,0)))))</f>
        <v/>
      </c>
      <c r="BJ67" s="350" t="str" cm="1">
        <f t="array" ref="BJ67">IF(AV67="","",IF($AJ67="",0,_xlfn.LET(_xlpm.d,IFERROR(--'Sales and count'!$F$2:$CB$2,0),SUMPRODUCT(('Sales and count'!$G$3:$CC$3="Transactions")*(_xlpm.d&gt;=BJ$6)*(_xlpm.d&lt;=BJ$7),INDEX('Sales and count'!$G$4:$CC$300,$AJ67,0)))))</f>
        <v/>
      </c>
      <c r="BK67" s="350" t="str" cm="1">
        <f t="array" ref="BK67">IF(AW67="","",IF($AJ67="",0,_xlfn.LET(_xlpm.d,IFERROR(--'Sales and count'!$F$2:$CB$2,0),SUMPRODUCT(('Sales and count'!$G$3:$CC$3="Transactions")*(_xlpm.d&gt;=BK$6)*(_xlpm.d&lt;=BK$7),INDEX('Sales and count'!$G$4:$CC$300,$AJ67,0)))))</f>
        <v/>
      </c>
      <c r="BL67" s="350" t="str" cm="1">
        <f t="array" ref="BL67">IF(AX67="","",IF($AJ67="",0,_xlfn.LET(_xlpm.d,IFERROR(--'Sales and count'!$F$2:$CB$2,0),SUMPRODUCT(('Sales and count'!$G$3:$CC$3="Transactions")*(_xlpm.d&gt;=BL$6)*(_xlpm.d&lt;=BL$7),INDEX('Sales and count'!$G$4:$CC$300,$AJ67,0)))))</f>
        <v/>
      </c>
      <c r="BM67" s="350" cm="1">
        <f t="array" ref="BM67">IF(AK67="","",IF($AJ67="",0,_xlfn.LET(_xlpm.d,IFERROR(--'Sales and count'!$G$2:$CC$2,0),SUMPRODUCT(('Sales and count'!$G$3:$CC$3="Total")*(_xlpm.d&gt;=BM$6)*(_xlpm.d&lt;=BM$7),INDEX('Sales and count'!$G$4:$CC$300,$AJ67,0)))))</f>
        <v>58606.2</v>
      </c>
      <c r="BN67" s="350" cm="1">
        <f t="array" ref="BN67">IF(AL67="","",IF($AJ67="",0,_xlfn.LET(_xlpm.d,IFERROR(--'Sales and count'!$G$2:$CC$2,0),SUMPRODUCT(('Sales and count'!$G$3:$CC$3="Total")*(_xlpm.d&gt;=BN$6)*(_xlpm.d&lt;=BN$7),INDEX('Sales and count'!$G$4:$CC$300,$AJ67,0)))))</f>
        <v>2672.06</v>
      </c>
      <c r="BO67" s="350" cm="1">
        <f t="array" ref="BO67">IF(AM67="","",IF($AJ67="",0,_xlfn.LET(_xlpm.d,IFERROR(--'Sales and count'!$G$2:$CC$2,0),SUMPRODUCT(('Sales and count'!$G$3:$CC$3="Total")*(_xlpm.d&gt;=BO$6)*(_xlpm.d&lt;=BO$7),INDEX('Sales and count'!$G$4:$CC$300,$AJ67,0)))))</f>
        <v>2187.0500000000002</v>
      </c>
      <c r="BP67" s="350" cm="1">
        <f t="array" ref="BP67">IF(AN67="","",IF($AJ67="",0,_xlfn.LET(_xlpm.d,IFERROR(--'Sales and count'!$G$2:$CC$2,0),SUMPRODUCT(('Sales and count'!$G$3:$CC$3="Total")*(_xlpm.d&gt;=BP$6)*(_xlpm.d&lt;=BP$7),INDEX('Sales and count'!$G$4:$CC$300,$AJ67,0)))))</f>
        <v>1343.02</v>
      </c>
      <c r="BQ67" s="350" cm="1">
        <f t="array" ref="BQ67">IF(AO67="","",IF($AJ67="",0,_xlfn.LET(_xlpm.d,IFERROR(--'Sales and count'!$G$2:$CC$2,0),SUMPRODUCT(('Sales and count'!$G$3:$CC$3="Total")*(_xlpm.d&gt;=BQ$6)*(_xlpm.d&lt;=BQ$7),INDEX('Sales and count'!$G$4:$CC$300,$AJ67,0)))))</f>
        <v>3535.78</v>
      </c>
      <c r="BR67" s="350" cm="1">
        <f t="array" ref="BR67">IF(AP67="","",IF($AJ67="",0,_xlfn.LET(_xlpm.d,IFERROR(--'Sales and count'!$G$2:$CC$2,0),SUMPRODUCT(('Sales and count'!$G$3:$CC$3="Total")*(_xlpm.d&gt;=BR$6)*(_xlpm.d&lt;=BR$7),INDEX('Sales and count'!$G$4:$CC$300,$AJ67,0)))))</f>
        <v>1322.97</v>
      </c>
      <c r="BS67" s="350" cm="1">
        <f t="array" ref="BS67">IF(AQ67="","",IF($AJ67="",0,_xlfn.LET(_xlpm.d,IFERROR(--'Sales and count'!$G$2:$CC$2,0),SUMPRODUCT(('Sales and count'!$G$3:$CC$3="Total")*(_xlpm.d&gt;=BS$6)*(_xlpm.d&lt;=BS$7),INDEX('Sales and count'!$G$4:$CC$300,$AJ67,0)))))</f>
        <v>2170.91</v>
      </c>
      <c r="BT67" s="350" cm="1">
        <f t="array" ref="BT67">IF(AR67="","",IF($AJ67="",0,_xlfn.LET(_xlpm.d,IFERROR(--'Sales and count'!$G$2:$CC$2,0),SUMPRODUCT(('Sales and count'!$G$3:$CC$3="Total")*(_xlpm.d&gt;=BT$6)*(_xlpm.d&lt;=BT$7),INDEX('Sales and count'!$G$4:$CC$300,$AJ67,0)))))</f>
        <v>2342.98</v>
      </c>
      <c r="BU67" s="350" cm="1">
        <f t="array" ref="BU67">IF(AS67="","",IF($AJ67="",0,_xlfn.LET(_xlpm.d,IFERROR(--'Sales and count'!$G$2:$CC$2,0),SUMPRODUCT(('Sales and count'!$G$3:$CC$3="Total")*(_xlpm.d&gt;=BU$6)*(_xlpm.d&lt;=BU$7),INDEX('Sales and count'!$G$4:$CC$300,$AJ67,0)))))</f>
        <v>4396.33</v>
      </c>
      <c r="BV67" s="350" t="str" cm="1">
        <f t="array" ref="BV67">IF(AT67="","",IF($AJ67="",0,_xlfn.LET(_xlpm.d,IFERROR(--'Sales and count'!$G$2:$CC$2,0),SUMPRODUCT(('Sales and count'!$G$3:$CC$3="Total")*(_xlpm.d&gt;=BV$6)*(_xlpm.d&lt;=BV$7),INDEX('Sales and count'!$G$4:$CC$300,$AJ67,0)))))</f>
        <v/>
      </c>
      <c r="BW67" s="350" t="str" cm="1">
        <f t="array" ref="BW67">IF(AU67="","",IF($AJ67="",0,_xlfn.LET(_xlpm.d,IFERROR(--'Sales and count'!$G$2:$CC$2,0),SUMPRODUCT(('Sales and count'!$G$3:$CC$3="Total")*(_xlpm.d&gt;=BW$6)*(_xlpm.d&lt;=BW$7),INDEX('Sales and count'!$G$4:$CC$300,$AJ67,0)))))</f>
        <v/>
      </c>
      <c r="BX67" s="350" t="str" cm="1">
        <f t="array" ref="BX67">IF(AV67="","",IF($AJ67="",0,_xlfn.LET(_xlpm.d,IFERROR(--'Sales and count'!$G$2:$CC$2,0),SUMPRODUCT(('Sales and count'!$G$3:$CC$3="Total")*(_xlpm.d&gt;=BX$6)*(_xlpm.d&lt;=BX$7),INDEX('Sales and count'!$G$4:$CC$300,$AJ67,0)))))</f>
        <v/>
      </c>
      <c r="BY67" s="350" t="str" cm="1">
        <f t="array" ref="BY67">IF(AW67="","",IF($AJ67="",0,_xlfn.LET(_xlpm.d,IFERROR(--'Sales and count'!$G$2:$CC$2,0),SUMPRODUCT(('Sales and count'!$G$3:$CC$3="Total")*(_xlpm.d&gt;=BY$6)*(_xlpm.d&lt;=BY$7),INDEX('Sales and count'!$G$4:$CC$300,$AJ67,0)))))</f>
        <v/>
      </c>
      <c r="BZ67" s="350" t="str" cm="1">
        <f t="array" ref="BZ67">IF(AX67="","",IF($AJ67="",0,_xlfn.LET(_xlpm.d,IFERROR(--'Sales and count'!$G$2:$CC$2,0),SUMPRODUCT(('Sales and count'!$G$3:$CC$3="Total")*(_xlpm.d&gt;=BZ$6)*(_xlpm.d&lt;=BZ$7),INDEX('Sales and count'!$G$4:$CC$300,$AJ67,0)))))</f>
        <v/>
      </c>
    </row>
    <row r="68" spans="1:78" x14ac:dyDescent="0.25">
      <c r="A68" s="356" t="str">
        <v>JEDDYASMN</v>
      </c>
      <c r="B68" s="356" t="str" cm="1">
        <f t="array" ref="B68">IF($A68="","",_xlfn.XLOOKUP($A68,TRIM(Footfall!$B$5:$B$301&amp;""),Footfall!$A$5:$A$301,""))</f>
        <v>Yasmin Mall Jeddah</v>
      </c>
      <c r="C68" s="356" t="str" cm="1">
        <f t="array" ref="C68">IF($A68="","",_xlfn.XLOOKUP($A68,TRIM('Sales and count'!$A$4:$A$300&amp;""),'Sales and count'!$C$4:$C$300,"Not set"))</f>
        <v>Jeddah</v>
      </c>
      <c r="D68" s="357">
        <f t="shared" ca="1" si="53"/>
        <v>0.16259808195292066</v>
      </c>
      <c r="E68" s="357">
        <f t="shared" ca="1" si="54"/>
        <v>0.10828025477707007</v>
      </c>
      <c r="F68" s="357">
        <f t="shared" ca="1" si="55"/>
        <v>0.12834224598930483</v>
      </c>
      <c r="G68" s="357">
        <f t="shared" ca="1" si="56"/>
        <v>0.14619883040935672</v>
      </c>
      <c r="H68" s="357">
        <f t="shared" ca="1" si="57"/>
        <v>0.14559386973180077</v>
      </c>
      <c r="I68" s="357">
        <f t="shared" ca="1" si="58"/>
        <v>0.11467889908256881</v>
      </c>
      <c r="J68" s="357">
        <f t="shared" ca="1" si="59"/>
        <v>0.11504424778761062</v>
      </c>
      <c r="K68" s="357">
        <f t="shared" ca="1" si="60"/>
        <v>0.21472392638036811</v>
      </c>
      <c r="L68" s="357">
        <f t="shared" ca="1" si="61"/>
        <v>0.17741935483870969</v>
      </c>
      <c r="M68" s="357" t="str">
        <f t="shared" si="62"/>
        <v/>
      </c>
      <c r="N68" s="357" t="str">
        <f t="shared" si="63"/>
        <v/>
      </c>
      <c r="O68" s="357" t="str">
        <f t="shared" si="64"/>
        <v/>
      </c>
      <c r="P68" s="357" t="str">
        <f t="shared" si="65"/>
        <v/>
      </c>
      <c r="Q68" s="357" t="str">
        <f t="shared" si="66"/>
        <v/>
      </c>
      <c r="R68" s="358" cm="1">
        <f t="array" aca="1" ref="R68" ca="1">IF(OR($A68="",D68=""),"",IFERROR(LOOKUP(2,1/(E68:Q68&lt;&gt;""),E68:Q68)-D68,""))</f>
        <v>1.4821272885789022E-2</v>
      </c>
      <c r="S68" s="349"/>
      <c r="T68" s="362">
        <f t="shared" ca="1" si="67"/>
        <v>137.18080428954426</v>
      </c>
      <c r="U68" s="362">
        <f t="shared" ca="1" si="68"/>
        <v>142.58941176470589</v>
      </c>
      <c r="V68" s="362">
        <f t="shared" ca="1" si="69"/>
        <v>129.58458333333334</v>
      </c>
      <c r="W68" s="362">
        <f t="shared" ca="1" si="70"/>
        <v>133.88239999999999</v>
      </c>
      <c r="X68" s="362">
        <f t="shared" ca="1" si="71"/>
        <v>131.60078947368422</v>
      </c>
      <c r="Y68" s="362">
        <f t="shared" ca="1" si="72"/>
        <v>154.83280000000002</v>
      </c>
      <c r="Z68" s="362">
        <f t="shared" ca="1" si="73"/>
        <v>161.99461538461537</v>
      </c>
      <c r="AA68" s="362">
        <f t="shared" ca="1" si="74"/>
        <v>126.93714285714286</v>
      </c>
      <c r="AB68" s="362">
        <f t="shared" ca="1" si="75"/>
        <v>132.23227272727274</v>
      </c>
      <c r="AC68" s="362" t="str">
        <f t="shared" si="76"/>
        <v/>
      </c>
      <c r="AD68" s="362" t="str">
        <f t="shared" si="77"/>
        <v/>
      </c>
      <c r="AE68" s="362" t="str">
        <f t="shared" si="78"/>
        <v/>
      </c>
      <c r="AF68" s="362" t="str">
        <f t="shared" si="79"/>
        <v/>
      </c>
      <c r="AG68" s="362" t="str">
        <f t="shared" si="80"/>
        <v/>
      </c>
      <c r="AH68" s="363" cm="1">
        <f t="array" aca="1" ref="AH68" ca="1">IF(OR($A68="",T68=""),"",IFERROR(LOOKUP(2,1/(U68:AG68&lt;&gt;""),U68:AG68)-T68,""))</f>
        <v>-4.948531562271512</v>
      </c>
      <c r="AI68" s="349"/>
      <c r="AJ68" s="349" cm="1">
        <f t="array" ref="AJ68">IF($A68="","",IFERROR(MATCH($A68,TRIM('Sales and count'!$A$4:$A$300&amp;""),0),""))</f>
        <v>75</v>
      </c>
      <c r="AK68" s="350" cm="1">
        <f t="array" ref="AK68">IF(OR($A68="",AK$6=""),"",IFERROR(INDEX(Footfall!$C$5:$BZ$301,MATCH($A68,TRIM(Footfall!$B$5:$B$301&amp;""),0),AK$5),0))</f>
        <v>4588</v>
      </c>
      <c r="AL68" s="350" cm="1">
        <f t="array" ref="AL68">IF(OR($A68="",AL$6=""),"",IFERROR(INDEX(Footfall!$C$5:$BZ$301,MATCH($A68,TRIM(Footfall!$B$5:$B$301&amp;""),0),AL$5),0))</f>
        <v>157</v>
      </c>
      <c r="AM68" s="350" cm="1">
        <f t="array" ref="AM68">IF(OR($A68="",AM$6=""),"",IFERROR(INDEX(Footfall!$C$5:$BZ$301,MATCH($A68,TRIM(Footfall!$B$5:$B$301&amp;""),0),AM$5),0))</f>
        <v>187</v>
      </c>
      <c r="AN68" s="350" cm="1">
        <f t="array" ref="AN68">IF(OR($A68="",AN$6=""),"",IFERROR(INDEX(Footfall!$C$5:$BZ$301,MATCH($A68,TRIM(Footfall!$B$5:$B$301&amp;""),0),AN$5),0))</f>
        <v>171</v>
      </c>
      <c r="AO68" s="350" cm="1">
        <f t="array" ref="AO68">IF(OR($A68="",AO$6=""),"",IFERROR(INDEX(Footfall!$C$5:$BZ$301,MATCH($A68,TRIM(Footfall!$B$5:$B$301&amp;""),0),AO$5),0))</f>
        <v>261</v>
      </c>
      <c r="AP68" s="350" cm="1">
        <f t="array" ref="AP68">IF(OR($A68="",AP$6=""),"",IFERROR(INDEX(Footfall!$C$5:$BZ$301,MATCH($A68,TRIM(Footfall!$B$5:$B$301&amp;""),0),AP$5),0))</f>
        <v>218</v>
      </c>
      <c r="AQ68" s="350" cm="1">
        <f t="array" ref="AQ68">IF(OR($A68="",AQ$6=""),"",IFERROR(INDEX(Footfall!$C$5:$BZ$301,MATCH($A68,TRIM(Footfall!$B$5:$B$301&amp;""),0),AQ$5),0))</f>
        <v>226</v>
      </c>
      <c r="AR68" s="350" cm="1">
        <f t="array" ref="AR68">IF(OR($A68="",AR$6=""),"",IFERROR(INDEX(Footfall!$C$5:$BZ$301,MATCH($A68,TRIM(Footfall!$B$5:$B$301&amp;""),0),AR$5),0))</f>
        <v>163</v>
      </c>
      <c r="AS68" s="350" cm="1">
        <f t="array" ref="AS68">IF(OR($A68="",AS$6=""),"",IFERROR(INDEX(Footfall!$C$5:$BZ$301,MATCH($A68,TRIM(Footfall!$B$5:$B$301&amp;""),0),AS$5),0))</f>
        <v>124</v>
      </c>
      <c r="AT68" s="350" t="str" cm="1">
        <f t="array" ref="AT68">IF(OR($A68="",AT$6=""),"",IFERROR(INDEX(Footfall!$C$5:$BZ$301,MATCH($A68,TRIM(Footfall!$B$5:$B$301&amp;""),0),AT$5),0))</f>
        <v/>
      </c>
      <c r="AU68" s="350" t="str" cm="1">
        <f t="array" ref="AU68">IF(OR($A68="",AU$6=""),"",IFERROR(INDEX(Footfall!$C$5:$BZ$301,MATCH($A68,TRIM(Footfall!$B$5:$B$301&amp;""),0),AU$5),0))</f>
        <v/>
      </c>
      <c r="AV68" s="350" t="str" cm="1">
        <f t="array" ref="AV68">IF(OR($A68="",AV$6=""),"",IFERROR(INDEX(Footfall!$C$5:$BZ$301,MATCH($A68,TRIM(Footfall!$B$5:$B$301&amp;""),0),AV$5),0))</f>
        <v/>
      </c>
      <c r="AW68" s="350" t="str" cm="1">
        <f t="array" ref="AW68">IF(OR($A68="",AW$6=""),"",IFERROR(INDEX(Footfall!$C$5:$BZ$301,MATCH($A68,TRIM(Footfall!$B$5:$B$301&amp;""),0),AW$5),0))</f>
        <v/>
      </c>
      <c r="AX68" s="350" t="str" cm="1">
        <f t="array" ref="AX68">IF(OR($A68="",AX$6=""),"",IFERROR(INDEX(Footfall!$C$5:$BZ$301,MATCH($A68,TRIM(Footfall!$B$5:$B$301&amp;""),0),AX$5),0))</f>
        <v/>
      </c>
      <c r="AY68" s="350" cm="1">
        <f t="array" aca="1" ref="AY68" ca="1">IF(AK68="","",IF($AJ68="",0,_xlfn.LET(_xlpm.d,IFERROR(--'Sales and count'!$F$2:$CB$2,0),SUMPRODUCT(('Sales and count'!$G$3:$CC$3="Transactions")*(_xlpm.d&gt;=AY$6)*(_xlpm.d&lt;=AY$7),INDEX('Sales and count'!$G$4:$CC$300,$AJ68,0)))))</f>
        <v>746</v>
      </c>
      <c r="AZ68" s="350" cm="1">
        <f t="array" aca="1" ref="AZ68" ca="1">IF(AL68="","",IF($AJ68="",0,_xlfn.LET(_xlpm.d,IFERROR(--'Sales and count'!$F$2:$CB$2,0),SUMPRODUCT(('Sales and count'!$G$3:$CC$3="Transactions")*(_xlpm.d&gt;=AZ$6)*(_xlpm.d&lt;=AZ$7),INDEX('Sales and count'!$G$4:$CC$300,$AJ68,0)))))</f>
        <v>17</v>
      </c>
      <c r="BA68" s="350" cm="1">
        <f t="array" aca="1" ref="BA68" ca="1">IF(AM68="","",IF($AJ68="",0,_xlfn.LET(_xlpm.d,IFERROR(--'Sales and count'!$F$2:$CB$2,0),SUMPRODUCT(('Sales and count'!$G$3:$CC$3="Transactions")*(_xlpm.d&gt;=BA$6)*(_xlpm.d&lt;=BA$7),INDEX('Sales and count'!$G$4:$CC$300,$AJ68,0)))))</f>
        <v>24</v>
      </c>
      <c r="BB68" s="350" cm="1">
        <f t="array" aca="1" ref="BB68" ca="1">IF(AN68="","",IF($AJ68="",0,_xlfn.LET(_xlpm.d,IFERROR(--'Sales and count'!$F$2:$CB$2,0),SUMPRODUCT(('Sales and count'!$G$3:$CC$3="Transactions")*(_xlpm.d&gt;=BB$6)*(_xlpm.d&lt;=BB$7),INDEX('Sales and count'!$G$4:$CC$300,$AJ68,0)))))</f>
        <v>25</v>
      </c>
      <c r="BC68" s="350" cm="1">
        <f t="array" aca="1" ref="BC68" ca="1">IF(AO68="","",IF($AJ68="",0,_xlfn.LET(_xlpm.d,IFERROR(--'Sales and count'!$F$2:$CB$2,0),SUMPRODUCT(('Sales and count'!$G$3:$CC$3="Transactions")*(_xlpm.d&gt;=BC$6)*(_xlpm.d&lt;=BC$7),INDEX('Sales and count'!$G$4:$CC$300,$AJ68,0)))))</f>
        <v>38</v>
      </c>
      <c r="BD68" s="350" cm="1">
        <f t="array" aca="1" ref="BD68" ca="1">IF(AP68="","",IF($AJ68="",0,_xlfn.LET(_xlpm.d,IFERROR(--'Sales and count'!$F$2:$CB$2,0),SUMPRODUCT(('Sales and count'!$G$3:$CC$3="Transactions")*(_xlpm.d&gt;=BD$6)*(_xlpm.d&lt;=BD$7),INDEX('Sales and count'!$G$4:$CC$300,$AJ68,0)))))</f>
        <v>25</v>
      </c>
      <c r="BE68" s="350" cm="1">
        <f t="array" aca="1" ref="BE68" ca="1">IF(AQ68="","",IF($AJ68="",0,_xlfn.LET(_xlpm.d,IFERROR(--'Sales and count'!$F$2:$CB$2,0),SUMPRODUCT(('Sales and count'!$G$3:$CC$3="Transactions")*(_xlpm.d&gt;=BE$6)*(_xlpm.d&lt;=BE$7),INDEX('Sales and count'!$G$4:$CC$300,$AJ68,0)))))</f>
        <v>26</v>
      </c>
      <c r="BF68" s="350" cm="1">
        <f t="array" aca="1" ref="BF68" ca="1">IF(AR68="","",IF($AJ68="",0,_xlfn.LET(_xlpm.d,IFERROR(--'Sales and count'!$F$2:$CB$2,0),SUMPRODUCT(('Sales and count'!$G$3:$CC$3="Transactions")*(_xlpm.d&gt;=BF$6)*(_xlpm.d&lt;=BF$7),INDEX('Sales and count'!$G$4:$CC$300,$AJ68,0)))))</f>
        <v>35</v>
      </c>
      <c r="BG68" s="350" cm="1">
        <f t="array" aca="1" ref="BG68" ca="1">IF(AS68="","",IF($AJ68="",0,_xlfn.LET(_xlpm.d,IFERROR(--'Sales and count'!$F$2:$CB$2,0),SUMPRODUCT(('Sales and count'!$G$3:$CC$3="Transactions")*(_xlpm.d&gt;=BG$6)*(_xlpm.d&lt;=BG$7),INDEX('Sales and count'!$G$4:$CC$300,$AJ68,0)))))</f>
        <v>22</v>
      </c>
      <c r="BH68" s="350" t="str" cm="1">
        <f t="array" ref="BH68">IF(AT68="","",IF($AJ68="",0,_xlfn.LET(_xlpm.d,IFERROR(--'Sales and count'!$F$2:$CB$2,0),SUMPRODUCT(('Sales and count'!$G$3:$CC$3="Transactions")*(_xlpm.d&gt;=BH$6)*(_xlpm.d&lt;=BH$7),INDEX('Sales and count'!$G$4:$CC$300,$AJ68,0)))))</f>
        <v/>
      </c>
      <c r="BI68" s="350" t="str" cm="1">
        <f t="array" ref="BI68">IF(AU68="","",IF($AJ68="",0,_xlfn.LET(_xlpm.d,IFERROR(--'Sales and count'!$F$2:$CB$2,0),SUMPRODUCT(('Sales and count'!$G$3:$CC$3="Transactions")*(_xlpm.d&gt;=BI$6)*(_xlpm.d&lt;=BI$7),INDEX('Sales and count'!$G$4:$CC$300,$AJ68,0)))))</f>
        <v/>
      </c>
      <c r="BJ68" s="350" t="str" cm="1">
        <f t="array" ref="BJ68">IF(AV68="","",IF($AJ68="",0,_xlfn.LET(_xlpm.d,IFERROR(--'Sales and count'!$F$2:$CB$2,0),SUMPRODUCT(('Sales and count'!$G$3:$CC$3="Transactions")*(_xlpm.d&gt;=BJ$6)*(_xlpm.d&lt;=BJ$7),INDEX('Sales and count'!$G$4:$CC$300,$AJ68,0)))))</f>
        <v/>
      </c>
      <c r="BK68" s="350" t="str" cm="1">
        <f t="array" ref="BK68">IF(AW68="","",IF($AJ68="",0,_xlfn.LET(_xlpm.d,IFERROR(--'Sales and count'!$F$2:$CB$2,0),SUMPRODUCT(('Sales and count'!$G$3:$CC$3="Transactions")*(_xlpm.d&gt;=BK$6)*(_xlpm.d&lt;=BK$7),INDEX('Sales and count'!$G$4:$CC$300,$AJ68,0)))))</f>
        <v/>
      </c>
      <c r="BL68" s="350" t="str" cm="1">
        <f t="array" ref="BL68">IF(AX68="","",IF($AJ68="",0,_xlfn.LET(_xlpm.d,IFERROR(--'Sales and count'!$F$2:$CB$2,0),SUMPRODUCT(('Sales and count'!$G$3:$CC$3="Transactions")*(_xlpm.d&gt;=BL$6)*(_xlpm.d&lt;=BL$7),INDEX('Sales and count'!$G$4:$CC$300,$AJ68,0)))))</f>
        <v/>
      </c>
      <c r="BM68" s="350" cm="1">
        <f t="array" ref="BM68">IF(AK68="","",IF($AJ68="",0,_xlfn.LET(_xlpm.d,IFERROR(--'Sales and count'!$G$2:$CC$2,0),SUMPRODUCT(('Sales and count'!$G$3:$CC$3="Total")*(_xlpm.d&gt;=BM$6)*(_xlpm.d&lt;=BM$7),INDEX('Sales and count'!$G$4:$CC$300,$AJ68,0)))))</f>
        <v>102336.88</v>
      </c>
      <c r="BN68" s="350" cm="1">
        <f t="array" ref="BN68">IF(AL68="","",IF($AJ68="",0,_xlfn.LET(_xlpm.d,IFERROR(--'Sales and count'!$G$2:$CC$2,0),SUMPRODUCT(('Sales and count'!$G$3:$CC$3="Total")*(_xlpm.d&gt;=BN$6)*(_xlpm.d&lt;=BN$7),INDEX('Sales and count'!$G$4:$CC$300,$AJ68,0)))))</f>
        <v>2424.02</v>
      </c>
      <c r="BO68" s="350" cm="1">
        <f t="array" ref="BO68">IF(AM68="","",IF($AJ68="",0,_xlfn.LET(_xlpm.d,IFERROR(--'Sales and count'!$G$2:$CC$2,0),SUMPRODUCT(('Sales and count'!$G$3:$CC$3="Total")*(_xlpm.d&gt;=BO$6)*(_xlpm.d&lt;=BO$7),INDEX('Sales and count'!$G$4:$CC$300,$AJ68,0)))))</f>
        <v>3110.03</v>
      </c>
      <c r="BP68" s="350" cm="1">
        <f t="array" ref="BP68">IF(AN68="","",IF($AJ68="",0,_xlfn.LET(_xlpm.d,IFERROR(--'Sales and count'!$G$2:$CC$2,0),SUMPRODUCT(('Sales and count'!$G$3:$CC$3="Total")*(_xlpm.d&gt;=BP$6)*(_xlpm.d&lt;=BP$7),INDEX('Sales and count'!$G$4:$CC$300,$AJ68,0)))))</f>
        <v>3347.06</v>
      </c>
      <c r="BQ68" s="350" cm="1">
        <f t="array" ref="BQ68">IF(AO68="","",IF($AJ68="",0,_xlfn.LET(_xlpm.d,IFERROR(--'Sales and count'!$G$2:$CC$2,0),SUMPRODUCT(('Sales and count'!$G$3:$CC$3="Total")*(_xlpm.d&gt;=BQ$6)*(_xlpm.d&lt;=BQ$7),INDEX('Sales and count'!$G$4:$CC$300,$AJ68,0)))))</f>
        <v>5000.83</v>
      </c>
      <c r="BR68" s="350" cm="1">
        <f t="array" ref="BR68">IF(AP68="","",IF($AJ68="",0,_xlfn.LET(_xlpm.d,IFERROR(--'Sales and count'!$G$2:$CC$2,0),SUMPRODUCT(('Sales and count'!$G$3:$CC$3="Total")*(_xlpm.d&gt;=BR$6)*(_xlpm.d&lt;=BR$7),INDEX('Sales and count'!$G$4:$CC$300,$AJ68,0)))))</f>
        <v>3870.82</v>
      </c>
      <c r="BS68" s="350" cm="1">
        <f t="array" ref="BS68">IF(AQ68="","",IF($AJ68="",0,_xlfn.LET(_xlpm.d,IFERROR(--'Sales and count'!$G$2:$CC$2,0),SUMPRODUCT(('Sales and count'!$G$3:$CC$3="Total")*(_xlpm.d&gt;=BS$6)*(_xlpm.d&lt;=BS$7),INDEX('Sales and count'!$G$4:$CC$300,$AJ68,0)))))</f>
        <v>4211.8599999999997</v>
      </c>
      <c r="BT68" s="350" cm="1">
        <f t="array" ref="BT68">IF(AR68="","",IF($AJ68="",0,_xlfn.LET(_xlpm.d,IFERROR(--'Sales and count'!$G$2:$CC$2,0),SUMPRODUCT(('Sales and count'!$G$3:$CC$3="Total")*(_xlpm.d&gt;=BT$6)*(_xlpm.d&lt;=BT$7),INDEX('Sales and count'!$G$4:$CC$300,$AJ68,0)))))</f>
        <v>4442.8</v>
      </c>
      <c r="BU68" s="350" cm="1">
        <f t="array" ref="BU68">IF(AS68="","",IF($AJ68="",0,_xlfn.LET(_xlpm.d,IFERROR(--'Sales and count'!$G$2:$CC$2,0),SUMPRODUCT(('Sales and count'!$G$3:$CC$3="Total")*(_xlpm.d&gt;=BU$6)*(_xlpm.d&lt;=BU$7),INDEX('Sales and count'!$G$4:$CC$300,$AJ68,0)))))</f>
        <v>2909.11</v>
      </c>
      <c r="BV68" s="350" t="str" cm="1">
        <f t="array" ref="BV68">IF(AT68="","",IF($AJ68="",0,_xlfn.LET(_xlpm.d,IFERROR(--'Sales and count'!$G$2:$CC$2,0),SUMPRODUCT(('Sales and count'!$G$3:$CC$3="Total")*(_xlpm.d&gt;=BV$6)*(_xlpm.d&lt;=BV$7),INDEX('Sales and count'!$G$4:$CC$300,$AJ68,0)))))</f>
        <v/>
      </c>
      <c r="BW68" s="350" t="str" cm="1">
        <f t="array" ref="BW68">IF(AU68="","",IF($AJ68="",0,_xlfn.LET(_xlpm.d,IFERROR(--'Sales and count'!$G$2:$CC$2,0),SUMPRODUCT(('Sales and count'!$G$3:$CC$3="Total")*(_xlpm.d&gt;=BW$6)*(_xlpm.d&lt;=BW$7),INDEX('Sales and count'!$G$4:$CC$300,$AJ68,0)))))</f>
        <v/>
      </c>
      <c r="BX68" s="350" t="str" cm="1">
        <f t="array" ref="BX68">IF(AV68="","",IF($AJ68="",0,_xlfn.LET(_xlpm.d,IFERROR(--'Sales and count'!$G$2:$CC$2,0),SUMPRODUCT(('Sales and count'!$G$3:$CC$3="Total")*(_xlpm.d&gt;=BX$6)*(_xlpm.d&lt;=BX$7),INDEX('Sales and count'!$G$4:$CC$300,$AJ68,0)))))</f>
        <v/>
      </c>
      <c r="BY68" s="350" t="str" cm="1">
        <f t="array" ref="BY68">IF(AW68="","",IF($AJ68="",0,_xlfn.LET(_xlpm.d,IFERROR(--'Sales and count'!$G$2:$CC$2,0),SUMPRODUCT(('Sales and count'!$G$3:$CC$3="Total")*(_xlpm.d&gt;=BY$6)*(_xlpm.d&lt;=BY$7),INDEX('Sales and count'!$G$4:$CC$300,$AJ68,0)))))</f>
        <v/>
      </c>
      <c r="BZ68" s="350" t="str" cm="1">
        <f t="array" ref="BZ68">IF(AX68="","",IF($AJ68="",0,_xlfn.LET(_xlpm.d,IFERROR(--'Sales and count'!$G$2:$CC$2,0),SUMPRODUCT(('Sales and count'!$G$3:$CC$3="Total")*(_xlpm.d&gt;=BZ$6)*(_xlpm.d&lt;=BZ$7),INDEX('Sales and count'!$G$4:$CC$300,$AJ68,0)))))</f>
        <v/>
      </c>
    </row>
    <row r="69" spans="1:78" x14ac:dyDescent="0.25">
      <c r="A69" s="356" t="str">
        <v>HAKADIMALL</v>
      </c>
      <c r="B69" s="356" t="str" cm="1">
        <f t="array" ref="B69">IF($A69="","",_xlfn.XLOOKUP($A69,TRIM(Footfall!$B$5:$B$301&amp;""),Footfall!$A$5:$A$301,""))</f>
        <v>Kadi mall Jizan</v>
      </c>
      <c r="C69" s="356" t="str" cm="1">
        <f t="array" ref="C69">IF($A69="","",_xlfn.XLOOKUP($A69,TRIM('Sales and count'!$A$4:$A$300&amp;""),'Sales and count'!$C$4:$C$300,"Not set"))</f>
        <v>Jizan</v>
      </c>
      <c r="D69" s="357">
        <f t="shared" ca="1" si="53"/>
        <v>0.14933993399339934</v>
      </c>
      <c r="E69" s="357">
        <f t="shared" ca="1" si="54"/>
        <v>0.12307692307692308</v>
      </c>
      <c r="F69" s="357">
        <f t="shared" ca="1" si="55"/>
        <v>0.11450381679389313</v>
      </c>
      <c r="G69" s="357">
        <f t="shared" ca="1" si="56"/>
        <v>0.10309278350515463</v>
      </c>
      <c r="H69" s="357">
        <f t="shared" ca="1" si="57"/>
        <v>8.4507042253521125E-2</v>
      </c>
      <c r="I69" s="357">
        <f t="shared" ca="1" si="58"/>
        <v>8.9622641509433956E-2</v>
      </c>
      <c r="J69" s="357">
        <f t="shared" ca="1" si="59"/>
        <v>0.15068493150684931</v>
      </c>
      <c r="K69" s="357">
        <f t="shared" ca="1" si="60"/>
        <v>0.16279069767441862</v>
      </c>
      <c r="L69" s="357">
        <f t="shared" ca="1" si="61"/>
        <v>0.11538461538461539</v>
      </c>
      <c r="M69" s="357" t="str">
        <f t="shared" si="62"/>
        <v/>
      </c>
      <c r="N69" s="357" t="str">
        <f t="shared" si="63"/>
        <v/>
      </c>
      <c r="O69" s="357" t="str">
        <f t="shared" si="64"/>
        <v/>
      </c>
      <c r="P69" s="357" t="str">
        <f t="shared" si="65"/>
        <v/>
      </c>
      <c r="Q69" s="357" t="str">
        <f t="shared" si="66"/>
        <v/>
      </c>
      <c r="R69" s="358" cm="1">
        <f t="array" aca="1" ref="R69" ca="1">IF(OR($A69="",D69=""),"",IFERROR(LOOKUP(2,1/(E69:Q69&lt;&gt;""),E69:Q69)-D69,""))</f>
        <v>-3.3955318608783952E-2</v>
      </c>
      <c r="S69" s="349"/>
      <c r="T69" s="362">
        <f t="shared" ca="1" si="67"/>
        <v>139.6302762430939</v>
      </c>
      <c r="U69" s="362">
        <f t="shared" ca="1" si="68"/>
        <v>145.31312500000001</v>
      </c>
      <c r="V69" s="362">
        <f t="shared" ca="1" si="69"/>
        <v>168.20066666666668</v>
      </c>
      <c r="W69" s="362">
        <f t="shared" ca="1" si="70"/>
        <v>127.1</v>
      </c>
      <c r="X69" s="362">
        <f t="shared" ca="1" si="71"/>
        <v>155.60499999999999</v>
      </c>
      <c r="Y69" s="362">
        <f t="shared" ca="1" si="72"/>
        <v>165.94105263157894</v>
      </c>
      <c r="Z69" s="362">
        <f t="shared" ca="1" si="73"/>
        <v>162.58136363636365</v>
      </c>
      <c r="AA69" s="362">
        <f t="shared" ca="1" si="74"/>
        <v>161.42000000000002</v>
      </c>
      <c r="AB69" s="362">
        <f t="shared" ca="1" si="75"/>
        <v>167.51083333333335</v>
      </c>
      <c r="AC69" s="362" t="str">
        <f t="shared" si="76"/>
        <v/>
      </c>
      <c r="AD69" s="362" t="str">
        <f t="shared" si="77"/>
        <v/>
      </c>
      <c r="AE69" s="362" t="str">
        <f t="shared" si="78"/>
        <v/>
      </c>
      <c r="AF69" s="362" t="str">
        <f t="shared" si="79"/>
        <v/>
      </c>
      <c r="AG69" s="362" t="str">
        <f t="shared" si="80"/>
        <v/>
      </c>
      <c r="AH69" s="363" cm="1">
        <f t="array" aca="1" ref="AH69" ca="1">IF(OR($A69="",T69=""),"",IFERROR(LOOKUP(2,1/(U69:AG69&lt;&gt;""),U69:AG69)-T69,""))</f>
        <v>27.880557090239449</v>
      </c>
      <c r="AI69" s="349"/>
      <c r="AJ69" s="349" cm="1">
        <f t="array" ref="AJ69">IF($A69="","",IFERROR(MATCH($A69,TRIM('Sales and count'!$A$4:$A$300&amp;""),0),""))</f>
        <v>68</v>
      </c>
      <c r="AK69" s="350" cm="1">
        <f t="array" ref="AK69">IF(OR($A69="",AK$6=""),"",IFERROR(INDEX(Footfall!$C$5:$BZ$301,MATCH($A69,TRIM(Footfall!$B$5:$B$301&amp;""),0),AK$5),0))</f>
        <v>3636</v>
      </c>
      <c r="AL69" s="350" cm="1">
        <f t="array" ref="AL69">IF(OR($A69="",AL$6=""),"",IFERROR(INDEX(Footfall!$C$5:$BZ$301,MATCH($A69,TRIM(Footfall!$B$5:$B$301&amp;""),0),AL$5),0))</f>
        <v>130</v>
      </c>
      <c r="AM69" s="350" cm="1">
        <f t="array" ref="AM69">IF(OR($A69="",AM$6=""),"",IFERROR(INDEX(Footfall!$C$5:$BZ$301,MATCH($A69,TRIM(Footfall!$B$5:$B$301&amp;""),0),AM$5),0))</f>
        <v>131</v>
      </c>
      <c r="AN69" s="350" cm="1">
        <f t="array" ref="AN69">IF(OR($A69="",AN$6=""),"",IFERROR(INDEX(Footfall!$C$5:$BZ$301,MATCH($A69,TRIM(Footfall!$B$5:$B$301&amp;""),0),AN$5),0))</f>
        <v>97</v>
      </c>
      <c r="AO69" s="350" cm="1">
        <f t="array" ref="AO69">IF(OR($A69="",AO$6=""),"",IFERROR(INDEX(Footfall!$C$5:$BZ$301,MATCH($A69,TRIM(Footfall!$B$5:$B$301&amp;""),0),AO$5),0))</f>
        <v>213</v>
      </c>
      <c r="AP69" s="350" cm="1">
        <f t="array" ref="AP69">IF(OR($A69="",AP$6=""),"",IFERROR(INDEX(Footfall!$C$5:$BZ$301,MATCH($A69,TRIM(Footfall!$B$5:$B$301&amp;""),0),AP$5),0))</f>
        <v>212</v>
      </c>
      <c r="AQ69" s="350" cm="1">
        <f t="array" ref="AQ69">IF(OR($A69="",AQ$6=""),"",IFERROR(INDEX(Footfall!$C$5:$BZ$301,MATCH($A69,TRIM(Footfall!$B$5:$B$301&amp;""),0),AQ$5),0))</f>
        <v>146</v>
      </c>
      <c r="AR69" s="350" cm="1">
        <f t="array" ref="AR69">IF(OR($A69="",AR$6=""),"",IFERROR(INDEX(Footfall!$C$5:$BZ$301,MATCH($A69,TRIM(Footfall!$B$5:$B$301&amp;""),0),AR$5),0))</f>
        <v>86</v>
      </c>
      <c r="AS69" s="350" cm="1">
        <f t="array" ref="AS69">IF(OR($A69="",AS$6=""),"",IFERROR(INDEX(Footfall!$C$5:$BZ$301,MATCH($A69,TRIM(Footfall!$B$5:$B$301&amp;""),0),AS$5),0))</f>
        <v>104</v>
      </c>
      <c r="AT69" s="350" t="str" cm="1">
        <f t="array" ref="AT69">IF(OR($A69="",AT$6=""),"",IFERROR(INDEX(Footfall!$C$5:$BZ$301,MATCH($A69,TRIM(Footfall!$B$5:$B$301&amp;""),0),AT$5),0))</f>
        <v/>
      </c>
      <c r="AU69" s="350" t="str" cm="1">
        <f t="array" ref="AU69">IF(OR($A69="",AU$6=""),"",IFERROR(INDEX(Footfall!$C$5:$BZ$301,MATCH($A69,TRIM(Footfall!$B$5:$B$301&amp;""),0),AU$5),0))</f>
        <v/>
      </c>
      <c r="AV69" s="350" t="str" cm="1">
        <f t="array" ref="AV69">IF(OR($A69="",AV$6=""),"",IFERROR(INDEX(Footfall!$C$5:$BZ$301,MATCH($A69,TRIM(Footfall!$B$5:$B$301&amp;""),0),AV$5),0))</f>
        <v/>
      </c>
      <c r="AW69" s="350" t="str" cm="1">
        <f t="array" ref="AW69">IF(OR($A69="",AW$6=""),"",IFERROR(INDEX(Footfall!$C$5:$BZ$301,MATCH($A69,TRIM(Footfall!$B$5:$B$301&amp;""),0),AW$5),0))</f>
        <v/>
      </c>
      <c r="AX69" s="350" t="str" cm="1">
        <f t="array" ref="AX69">IF(OR($A69="",AX$6=""),"",IFERROR(INDEX(Footfall!$C$5:$BZ$301,MATCH($A69,TRIM(Footfall!$B$5:$B$301&amp;""),0),AX$5),0))</f>
        <v/>
      </c>
      <c r="AY69" s="350" cm="1">
        <f t="array" aca="1" ref="AY69" ca="1">IF(AK69="","",IF($AJ69="",0,_xlfn.LET(_xlpm.d,IFERROR(--'Sales and count'!$F$2:$CB$2,0),SUMPRODUCT(('Sales and count'!$G$3:$CC$3="Transactions")*(_xlpm.d&gt;=AY$6)*(_xlpm.d&lt;=AY$7),INDEX('Sales and count'!$G$4:$CC$300,$AJ69,0)))))</f>
        <v>543</v>
      </c>
      <c r="AZ69" s="350" cm="1">
        <f t="array" aca="1" ref="AZ69" ca="1">IF(AL69="","",IF($AJ69="",0,_xlfn.LET(_xlpm.d,IFERROR(--'Sales and count'!$F$2:$CB$2,0),SUMPRODUCT(('Sales and count'!$G$3:$CC$3="Transactions")*(_xlpm.d&gt;=AZ$6)*(_xlpm.d&lt;=AZ$7),INDEX('Sales and count'!$G$4:$CC$300,$AJ69,0)))))</f>
        <v>16</v>
      </c>
      <c r="BA69" s="350" cm="1">
        <f t="array" aca="1" ref="BA69" ca="1">IF(AM69="","",IF($AJ69="",0,_xlfn.LET(_xlpm.d,IFERROR(--'Sales and count'!$F$2:$CB$2,0),SUMPRODUCT(('Sales and count'!$G$3:$CC$3="Transactions")*(_xlpm.d&gt;=BA$6)*(_xlpm.d&lt;=BA$7),INDEX('Sales and count'!$G$4:$CC$300,$AJ69,0)))))</f>
        <v>15</v>
      </c>
      <c r="BB69" s="350" cm="1">
        <f t="array" aca="1" ref="BB69" ca="1">IF(AN69="","",IF($AJ69="",0,_xlfn.LET(_xlpm.d,IFERROR(--'Sales and count'!$F$2:$CB$2,0),SUMPRODUCT(('Sales and count'!$G$3:$CC$3="Transactions")*(_xlpm.d&gt;=BB$6)*(_xlpm.d&lt;=BB$7),INDEX('Sales and count'!$G$4:$CC$300,$AJ69,0)))))</f>
        <v>10</v>
      </c>
      <c r="BC69" s="350" cm="1">
        <f t="array" aca="1" ref="BC69" ca="1">IF(AO69="","",IF($AJ69="",0,_xlfn.LET(_xlpm.d,IFERROR(--'Sales and count'!$F$2:$CB$2,0),SUMPRODUCT(('Sales and count'!$G$3:$CC$3="Transactions")*(_xlpm.d&gt;=BC$6)*(_xlpm.d&lt;=BC$7),INDEX('Sales and count'!$G$4:$CC$300,$AJ69,0)))))</f>
        <v>18</v>
      </c>
      <c r="BD69" s="350" cm="1">
        <f t="array" aca="1" ref="BD69" ca="1">IF(AP69="","",IF($AJ69="",0,_xlfn.LET(_xlpm.d,IFERROR(--'Sales and count'!$F$2:$CB$2,0),SUMPRODUCT(('Sales and count'!$G$3:$CC$3="Transactions")*(_xlpm.d&gt;=BD$6)*(_xlpm.d&lt;=BD$7),INDEX('Sales and count'!$G$4:$CC$300,$AJ69,0)))))</f>
        <v>19</v>
      </c>
      <c r="BE69" s="350" cm="1">
        <f t="array" aca="1" ref="BE69" ca="1">IF(AQ69="","",IF($AJ69="",0,_xlfn.LET(_xlpm.d,IFERROR(--'Sales and count'!$F$2:$CB$2,0),SUMPRODUCT(('Sales and count'!$G$3:$CC$3="Transactions")*(_xlpm.d&gt;=BE$6)*(_xlpm.d&lt;=BE$7),INDEX('Sales and count'!$G$4:$CC$300,$AJ69,0)))))</f>
        <v>22</v>
      </c>
      <c r="BF69" s="350" cm="1">
        <f t="array" aca="1" ref="BF69" ca="1">IF(AR69="","",IF($AJ69="",0,_xlfn.LET(_xlpm.d,IFERROR(--'Sales and count'!$F$2:$CB$2,0),SUMPRODUCT(('Sales and count'!$G$3:$CC$3="Transactions")*(_xlpm.d&gt;=BF$6)*(_xlpm.d&lt;=BF$7),INDEX('Sales and count'!$G$4:$CC$300,$AJ69,0)))))</f>
        <v>14</v>
      </c>
      <c r="BG69" s="350" cm="1">
        <f t="array" aca="1" ref="BG69" ca="1">IF(AS69="","",IF($AJ69="",0,_xlfn.LET(_xlpm.d,IFERROR(--'Sales and count'!$F$2:$CB$2,0),SUMPRODUCT(('Sales and count'!$G$3:$CC$3="Transactions")*(_xlpm.d&gt;=BG$6)*(_xlpm.d&lt;=BG$7),INDEX('Sales and count'!$G$4:$CC$300,$AJ69,0)))))</f>
        <v>12</v>
      </c>
      <c r="BH69" s="350" t="str" cm="1">
        <f t="array" ref="BH69">IF(AT69="","",IF($AJ69="",0,_xlfn.LET(_xlpm.d,IFERROR(--'Sales and count'!$F$2:$CB$2,0),SUMPRODUCT(('Sales and count'!$G$3:$CC$3="Transactions")*(_xlpm.d&gt;=BH$6)*(_xlpm.d&lt;=BH$7),INDEX('Sales and count'!$G$4:$CC$300,$AJ69,0)))))</f>
        <v/>
      </c>
      <c r="BI69" s="350" t="str" cm="1">
        <f t="array" ref="BI69">IF(AU69="","",IF($AJ69="",0,_xlfn.LET(_xlpm.d,IFERROR(--'Sales and count'!$F$2:$CB$2,0),SUMPRODUCT(('Sales and count'!$G$3:$CC$3="Transactions")*(_xlpm.d&gt;=BI$6)*(_xlpm.d&lt;=BI$7),INDEX('Sales and count'!$G$4:$CC$300,$AJ69,0)))))</f>
        <v/>
      </c>
      <c r="BJ69" s="350" t="str" cm="1">
        <f t="array" ref="BJ69">IF(AV69="","",IF($AJ69="",0,_xlfn.LET(_xlpm.d,IFERROR(--'Sales and count'!$F$2:$CB$2,0),SUMPRODUCT(('Sales and count'!$G$3:$CC$3="Transactions")*(_xlpm.d&gt;=BJ$6)*(_xlpm.d&lt;=BJ$7),INDEX('Sales and count'!$G$4:$CC$300,$AJ69,0)))))</f>
        <v/>
      </c>
      <c r="BK69" s="350" t="str" cm="1">
        <f t="array" ref="BK69">IF(AW69="","",IF($AJ69="",0,_xlfn.LET(_xlpm.d,IFERROR(--'Sales and count'!$F$2:$CB$2,0),SUMPRODUCT(('Sales and count'!$G$3:$CC$3="Transactions")*(_xlpm.d&gt;=BK$6)*(_xlpm.d&lt;=BK$7),INDEX('Sales and count'!$G$4:$CC$300,$AJ69,0)))))</f>
        <v/>
      </c>
      <c r="BL69" s="350" t="str" cm="1">
        <f t="array" ref="BL69">IF(AX69="","",IF($AJ69="",0,_xlfn.LET(_xlpm.d,IFERROR(--'Sales and count'!$F$2:$CB$2,0),SUMPRODUCT(('Sales and count'!$G$3:$CC$3="Transactions")*(_xlpm.d&gt;=BL$6)*(_xlpm.d&lt;=BL$7),INDEX('Sales and count'!$G$4:$CC$300,$AJ69,0)))))</f>
        <v/>
      </c>
      <c r="BM69" s="350" cm="1">
        <f t="array" ref="BM69">IF(AK69="","",IF($AJ69="",0,_xlfn.LET(_xlpm.d,IFERROR(--'Sales and count'!$G$2:$CC$2,0),SUMPRODUCT(('Sales and count'!$G$3:$CC$3="Total")*(_xlpm.d&gt;=BM$6)*(_xlpm.d&lt;=BM$7),INDEX('Sales and count'!$G$4:$CC$300,$AJ69,0)))))</f>
        <v>75819.239999999991</v>
      </c>
      <c r="BN69" s="350" cm="1">
        <f t="array" ref="BN69">IF(AL69="","",IF($AJ69="",0,_xlfn.LET(_xlpm.d,IFERROR(--'Sales and count'!$G$2:$CC$2,0),SUMPRODUCT(('Sales and count'!$G$3:$CC$3="Total")*(_xlpm.d&gt;=BN$6)*(_xlpm.d&lt;=BN$7),INDEX('Sales and count'!$G$4:$CC$300,$AJ69,0)))))</f>
        <v>2325.0100000000002</v>
      </c>
      <c r="BO69" s="350" cm="1">
        <f t="array" ref="BO69">IF(AM69="","",IF($AJ69="",0,_xlfn.LET(_xlpm.d,IFERROR(--'Sales and count'!$G$2:$CC$2,0),SUMPRODUCT(('Sales and count'!$G$3:$CC$3="Total")*(_xlpm.d&gt;=BO$6)*(_xlpm.d&lt;=BO$7),INDEX('Sales and count'!$G$4:$CC$300,$AJ69,0)))))</f>
        <v>2523.0100000000002</v>
      </c>
      <c r="BP69" s="350" cm="1">
        <f t="array" ref="BP69">IF(AN69="","",IF($AJ69="",0,_xlfn.LET(_xlpm.d,IFERROR(--'Sales and count'!$G$2:$CC$2,0),SUMPRODUCT(('Sales and count'!$G$3:$CC$3="Total")*(_xlpm.d&gt;=BP$6)*(_xlpm.d&lt;=BP$7),INDEX('Sales and count'!$G$4:$CC$300,$AJ69,0)))))</f>
        <v>1271</v>
      </c>
      <c r="BQ69" s="350" cm="1">
        <f t="array" ref="BQ69">IF(AO69="","",IF($AJ69="",0,_xlfn.LET(_xlpm.d,IFERROR(--'Sales and count'!$G$2:$CC$2,0),SUMPRODUCT(('Sales and count'!$G$3:$CC$3="Total")*(_xlpm.d&gt;=BQ$6)*(_xlpm.d&lt;=BQ$7),INDEX('Sales and count'!$G$4:$CC$300,$AJ69,0)))))</f>
        <v>2800.89</v>
      </c>
      <c r="BR69" s="350" cm="1">
        <f t="array" ref="BR69">IF(AP69="","",IF($AJ69="",0,_xlfn.LET(_xlpm.d,IFERROR(--'Sales and count'!$G$2:$CC$2,0),SUMPRODUCT(('Sales and count'!$G$3:$CC$3="Total")*(_xlpm.d&gt;=BR$6)*(_xlpm.d&lt;=BR$7),INDEX('Sales and count'!$G$4:$CC$300,$AJ69,0)))))</f>
        <v>3152.88</v>
      </c>
      <c r="BS69" s="350" cm="1">
        <f t="array" ref="BS69">IF(AQ69="","",IF($AJ69="",0,_xlfn.LET(_xlpm.d,IFERROR(--'Sales and count'!$G$2:$CC$2,0),SUMPRODUCT(('Sales and count'!$G$3:$CC$3="Total")*(_xlpm.d&gt;=BS$6)*(_xlpm.d&lt;=BS$7),INDEX('Sales and count'!$G$4:$CC$300,$AJ69,0)))))</f>
        <v>3576.79</v>
      </c>
      <c r="BT69" s="350" cm="1">
        <f t="array" ref="BT69">IF(AR69="","",IF($AJ69="",0,_xlfn.LET(_xlpm.d,IFERROR(--'Sales and count'!$G$2:$CC$2,0),SUMPRODUCT(('Sales and count'!$G$3:$CC$3="Total")*(_xlpm.d&gt;=BT$6)*(_xlpm.d&lt;=BT$7),INDEX('Sales and count'!$G$4:$CC$300,$AJ69,0)))))</f>
        <v>2259.88</v>
      </c>
      <c r="BU69" s="350" cm="1">
        <f t="array" ref="BU69">IF(AS69="","",IF($AJ69="",0,_xlfn.LET(_xlpm.d,IFERROR(--'Sales and count'!$G$2:$CC$2,0),SUMPRODUCT(('Sales and count'!$G$3:$CC$3="Total")*(_xlpm.d&gt;=BU$6)*(_xlpm.d&lt;=BU$7),INDEX('Sales and count'!$G$4:$CC$300,$AJ69,0)))))</f>
        <v>2010.13</v>
      </c>
      <c r="BV69" s="350" t="str" cm="1">
        <f t="array" ref="BV69">IF(AT69="","",IF($AJ69="",0,_xlfn.LET(_xlpm.d,IFERROR(--'Sales and count'!$G$2:$CC$2,0),SUMPRODUCT(('Sales and count'!$G$3:$CC$3="Total")*(_xlpm.d&gt;=BV$6)*(_xlpm.d&lt;=BV$7),INDEX('Sales and count'!$G$4:$CC$300,$AJ69,0)))))</f>
        <v/>
      </c>
      <c r="BW69" s="350" t="str" cm="1">
        <f t="array" ref="BW69">IF(AU69="","",IF($AJ69="",0,_xlfn.LET(_xlpm.d,IFERROR(--'Sales and count'!$G$2:$CC$2,0),SUMPRODUCT(('Sales and count'!$G$3:$CC$3="Total")*(_xlpm.d&gt;=BW$6)*(_xlpm.d&lt;=BW$7),INDEX('Sales and count'!$G$4:$CC$300,$AJ69,0)))))</f>
        <v/>
      </c>
      <c r="BX69" s="350" t="str" cm="1">
        <f t="array" ref="BX69">IF(AV69="","",IF($AJ69="",0,_xlfn.LET(_xlpm.d,IFERROR(--'Sales and count'!$G$2:$CC$2,0),SUMPRODUCT(('Sales and count'!$G$3:$CC$3="Total")*(_xlpm.d&gt;=BX$6)*(_xlpm.d&lt;=BX$7),INDEX('Sales and count'!$G$4:$CC$300,$AJ69,0)))))</f>
        <v/>
      </c>
      <c r="BY69" s="350" t="str" cm="1">
        <f t="array" ref="BY69">IF(AW69="","",IF($AJ69="",0,_xlfn.LET(_xlpm.d,IFERROR(--'Sales and count'!$G$2:$CC$2,0),SUMPRODUCT(('Sales and count'!$G$3:$CC$3="Total")*(_xlpm.d&gt;=BY$6)*(_xlpm.d&lt;=BY$7),INDEX('Sales and count'!$G$4:$CC$300,$AJ69,0)))))</f>
        <v/>
      </c>
      <c r="BZ69" s="350" t="str" cm="1">
        <f t="array" ref="BZ69">IF(AX69="","",IF($AJ69="",0,_xlfn.LET(_xlpm.d,IFERROR(--'Sales and count'!$G$2:$CC$2,0),SUMPRODUCT(('Sales and count'!$G$3:$CC$3="Total")*(_xlpm.d&gt;=BZ$6)*(_xlpm.d&lt;=BZ$7),INDEX('Sales and count'!$G$4:$CC$300,$AJ69,0)))))</f>
        <v/>
      </c>
    </row>
    <row r="70" spans="1:78" x14ac:dyDescent="0.25">
      <c r="A70" s="356" t="str">
        <v>HARASHJIZ</v>
      </c>
      <c r="B70" s="356" t="str" cm="1">
        <f t="array" ref="B70">IF($A70="","",_xlfn.XLOOKUP($A70,TRIM(Footfall!$B$5:$B$301&amp;""),Footfall!$A$5:$A$301,""))</f>
        <v>Rashid Mall Jizan</v>
      </c>
      <c r="C70" s="356" t="str" cm="1">
        <f t="array" ref="C70">IF($A70="","",_xlfn.XLOOKUP($A70,TRIM('Sales and count'!$A$4:$A$300&amp;""),'Sales and count'!$C$4:$C$300,"Not set"))</f>
        <v>Jizan</v>
      </c>
      <c r="D70" s="357">
        <f t="shared" ca="1" si="53"/>
        <v>6.8095838587641871E-2</v>
      </c>
      <c r="E70" s="357">
        <f t="shared" ca="1" si="54"/>
        <v>9.6491228070175433E-2</v>
      </c>
      <c r="F70" s="357">
        <f t="shared" ca="1" si="55"/>
        <v>3.7383177570093455E-2</v>
      </c>
      <c r="G70" s="357">
        <f t="shared" ca="1" si="56"/>
        <v>4.8309178743961352E-2</v>
      </c>
      <c r="H70" s="357">
        <f t="shared" ca="1" si="57"/>
        <v>2.9197080291970802E-2</v>
      </c>
      <c r="I70" s="357">
        <f t="shared" ca="1" si="58"/>
        <v>4.8701298701298704E-2</v>
      </c>
      <c r="J70" s="357">
        <f t="shared" ca="1" si="59"/>
        <v>4.5871559633027525E-2</v>
      </c>
      <c r="K70" s="357">
        <f t="shared" ca="1" si="60"/>
        <v>4.9382716049382713E-2</v>
      </c>
      <c r="L70" s="357">
        <f t="shared" ca="1" si="61"/>
        <v>6.4748201438848921E-2</v>
      </c>
      <c r="M70" s="357" t="str">
        <f t="shared" si="62"/>
        <v/>
      </c>
      <c r="N70" s="357" t="str">
        <f t="shared" si="63"/>
        <v/>
      </c>
      <c r="O70" s="357" t="str">
        <f t="shared" si="64"/>
        <v/>
      </c>
      <c r="P70" s="357" t="str">
        <f t="shared" si="65"/>
        <v/>
      </c>
      <c r="Q70" s="357" t="str">
        <f t="shared" si="66"/>
        <v/>
      </c>
      <c r="R70" s="358" cm="1">
        <f t="array" aca="1" ref="R70" ca="1">IF(OR($A70="",D70=""),"",IFERROR(LOOKUP(2,1/(E70:Q70&lt;&gt;""),E70:Q70)-D70,""))</f>
        <v>-3.3476371487929507E-3</v>
      </c>
      <c r="S70" s="349"/>
      <c r="T70" s="362">
        <f t="shared" ca="1" si="67"/>
        <v>138.77385802469138</v>
      </c>
      <c r="U70" s="362">
        <f t="shared" ca="1" si="68"/>
        <v>115.54545454545455</v>
      </c>
      <c r="V70" s="362">
        <f t="shared" ca="1" si="69"/>
        <v>175.37875</v>
      </c>
      <c r="W70" s="362">
        <f t="shared" ca="1" si="70"/>
        <v>178.4</v>
      </c>
      <c r="X70" s="362">
        <f t="shared" ca="1" si="71"/>
        <v>212.74250000000001</v>
      </c>
      <c r="Y70" s="362">
        <f t="shared" ca="1" si="72"/>
        <v>197.38800000000001</v>
      </c>
      <c r="Z70" s="362">
        <f t="shared" ca="1" si="73"/>
        <v>180.589</v>
      </c>
      <c r="AA70" s="362">
        <f t="shared" ca="1" si="74"/>
        <v>154.11750000000001</v>
      </c>
      <c r="AB70" s="362">
        <f t="shared" ca="1" si="75"/>
        <v>192.67333333333332</v>
      </c>
      <c r="AC70" s="362" t="str">
        <f t="shared" si="76"/>
        <v/>
      </c>
      <c r="AD70" s="362" t="str">
        <f t="shared" si="77"/>
        <v/>
      </c>
      <c r="AE70" s="362" t="str">
        <f t="shared" si="78"/>
        <v/>
      </c>
      <c r="AF70" s="362" t="str">
        <f t="shared" si="79"/>
        <v/>
      </c>
      <c r="AG70" s="362" t="str">
        <f t="shared" si="80"/>
        <v/>
      </c>
      <c r="AH70" s="363" cm="1">
        <f t="array" aca="1" ref="AH70" ca="1">IF(OR($A70="",T70=""),"",IFERROR(LOOKUP(2,1/(U70:AG70&lt;&gt;""),U70:AG70)-T70,""))</f>
        <v>53.899475308641939</v>
      </c>
      <c r="AI70" s="349"/>
      <c r="AJ70" s="349" cm="1">
        <f t="array" ref="AJ70">IF($A70="","",IFERROR(MATCH($A70,TRIM('Sales and count'!$A$4:$A$300&amp;""),0),""))</f>
        <v>96</v>
      </c>
      <c r="AK70" s="350" cm="1">
        <f t="array" ref="AK70">IF(OR($A70="",AK$6=""),"",IFERROR(INDEX(Footfall!$C$5:$BZ$301,MATCH($A70,TRIM(Footfall!$B$5:$B$301&amp;""),0),AK$5),0))</f>
        <v>4758</v>
      </c>
      <c r="AL70" s="350" cm="1">
        <f t="array" ref="AL70">IF(OR($A70="",AL$6=""),"",IFERROR(INDEX(Footfall!$C$5:$BZ$301,MATCH($A70,TRIM(Footfall!$B$5:$B$301&amp;""),0),AL$5),0))</f>
        <v>114</v>
      </c>
      <c r="AM70" s="350" cm="1">
        <f t="array" ref="AM70">IF(OR($A70="",AM$6=""),"",IFERROR(INDEX(Footfall!$C$5:$BZ$301,MATCH($A70,TRIM(Footfall!$B$5:$B$301&amp;""),0),AM$5),0))</f>
        <v>214</v>
      </c>
      <c r="AN70" s="350" cm="1">
        <f t="array" ref="AN70">IF(OR($A70="",AN$6=""),"",IFERROR(INDEX(Footfall!$C$5:$BZ$301,MATCH($A70,TRIM(Footfall!$B$5:$B$301&amp;""),0),AN$5),0))</f>
        <v>207</v>
      </c>
      <c r="AO70" s="350" cm="1">
        <f t="array" ref="AO70">IF(OR($A70="",AO$6=""),"",IFERROR(INDEX(Footfall!$C$5:$BZ$301,MATCH($A70,TRIM(Footfall!$B$5:$B$301&amp;""),0),AO$5),0))</f>
        <v>274</v>
      </c>
      <c r="AP70" s="350" cm="1">
        <f t="array" ref="AP70">IF(OR($A70="",AP$6=""),"",IFERROR(INDEX(Footfall!$C$5:$BZ$301,MATCH($A70,TRIM(Footfall!$B$5:$B$301&amp;""),0),AP$5),0))</f>
        <v>308</v>
      </c>
      <c r="AQ70" s="350" cm="1">
        <f t="array" ref="AQ70">IF(OR($A70="",AQ$6=""),"",IFERROR(INDEX(Footfall!$C$5:$BZ$301,MATCH($A70,TRIM(Footfall!$B$5:$B$301&amp;""),0),AQ$5),0))</f>
        <v>218</v>
      </c>
      <c r="AR70" s="350" cm="1">
        <f t="array" ref="AR70">IF(OR($A70="",AR$6=""),"",IFERROR(INDEX(Footfall!$C$5:$BZ$301,MATCH($A70,TRIM(Footfall!$B$5:$B$301&amp;""),0),AR$5),0))</f>
        <v>162</v>
      </c>
      <c r="AS70" s="350" cm="1">
        <f t="array" ref="AS70">IF(OR($A70="",AS$6=""),"",IFERROR(INDEX(Footfall!$C$5:$BZ$301,MATCH($A70,TRIM(Footfall!$B$5:$B$301&amp;""),0),AS$5),0))</f>
        <v>139</v>
      </c>
      <c r="AT70" s="350" t="str" cm="1">
        <f t="array" ref="AT70">IF(OR($A70="",AT$6=""),"",IFERROR(INDEX(Footfall!$C$5:$BZ$301,MATCH($A70,TRIM(Footfall!$B$5:$B$301&amp;""),0),AT$5),0))</f>
        <v/>
      </c>
      <c r="AU70" s="350" t="str" cm="1">
        <f t="array" ref="AU70">IF(OR($A70="",AU$6=""),"",IFERROR(INDEX(Footfall!$C$5:$BZ$301,MATCH($A70,TRIM(Footfall!$B$5:$B$301&amp;""),0),AU$5),0))</f>
        <v/>
      </c>
      <c r="AV70" s="350" t="str" cm="1">
        <f t="array" ref="AV70">IF(OR($A70="",AV$6=""),"",IFERROR(INDEX(Footfall!$C$5:$BZ$301,MATCH($A70,TRIM(Footfall!$B$5:$B$301&amp;""),0),AV$5),0))</f>
        <v/>
      </c>
      <c r="AW70" s="350" t="str" cm="1">
        <f t="array" ref="AW70">IF(OR($A70="",AW$6=""),"",IFERROR(INDEX(Footfall!$C$5:$BZ$301,MATCH($A70,TRIM(Footfall!$B$5:$B$301&amp;""),0),AW$5),0))</f>
        <v/>
      </c>
      <c r="AX70" s="350" t="str" cm="1">
        <f t="array" ref="AX70">IF(OR($A70="",AX$6=""),"",IFERROR(INDEX(Footfall!$C$5:$BZ$301,MATCH($A70,TRIM(Footfall!$B$5:$B$301&amp;""),0),AX$5),0))</f>
        <v/>
      </c>
      <c r="AY70" s="350" cm="1">
        <f t="array" aca="1" ref="AY70" ca="1">IF(AK70="","",IF($AJ70="",0,_xlfn.LET(_xlpm.d,IFERROR(--'Sales and count'!$F$2:$CB$2,0),SUMPRODUCT(('Sales and count'!$G$3:$CC$3="Transactions")*(_xlpm.d&gt;=AY$6)*(_xlpm.d&lt;=AY$7),INDEX('Sales and count'!$G$4:$CC$300,$AJ70,0)))))</f>
        <v>324</v>
      </c>
      <c r="AZ70" s="350" cm="1">
        <f t="array" aca="1" ref="AZ70" ca="1">IF(AL70="","",IF($AJ70="",0,_xlfn.LET(_xlpm.d,IFERROR(--'Sales and count'!$F$2:$CB$2,0),SUMPRODUCT(('Sales and count'!$G$3:$CC$3="Transactions")*(_xlpm.d&gt;=AZ$6)*(_xlpm.d&lt;=AZ$7),INDEX('Sales and count'!$G$4:$CC$300,$AJ70,0)))))</f>
        <v>11</v>
      </c>
      <c r="BA70" s="350" cm="1">
        <f t="array" aca="1" ref="BA70" ca="1">IF(AM70="","",IF($AJ70="",0,_xlfn.LET(_xlpm.d,IFERROR(--'Sales and count'!$F$2:$CB$2,0),SUMPRODUCT(('Sales and count'!$G$3:$CC$3="Transactions")*(_xlpm.d&gt;=BA$6)*(_xlpm.d&lt;=BA$7),INDEX('Sales and count'!$G$4:$CC$300,$AJ70,0)))))</f>
        <v>8</v>
      </c>
      <c r="BB70" s="350" cm="1">
        <f t="array" aca="1" ref="BB70" ca="1">IF(AN70="","",IF($AJ70="",0,_xlfn.LET(_xlpm.d,IFERROR(--'Sales and count'!$F$2:$CB$2,0),SUMPRODUCT(('Sales and count'!$G$3:$CC$3="Transactions")*(_xlpm.d&gt;=BB$6)*(_xlpm.d&lt;=BB$7),INDEX('Sales and count'!$G$4:$CC$300,$AJ70,0)))))</f>
        <v>10</v>
      </c>
      <c r="BC70" s="350" cm="1">
        <f t="array" aca="1" ref="BC70" ca="1">IF(AO70="","",IF($AJ70="",0,_xlfn.LET(_xlpm.d,IFERROR(--'Sales and count'!$F$2:$CB$2,0),SUMPRODUCT(('Sales and count'!$G$3:$CC$3="Transactions")*(_xlpm.d&gt;=BC$6)*(_xlpm.d&lt;=BC$7),INDEX('Sales and count'!$G$4:$CC$300,$AJ70,0)))))</f>
        <v>8</v>
      </c>
      <c r="BD70" s="350" cm="1">
        <f t="array" aca="1" ref="BD70" ca="1">IF(AP70="","",IF($AJ70="",0,_xlfn.LET(_xlpm.d,IFERROR(--'Sales and count'!$F$2:$CB$2,0),SUMPRODUCT(('Sales and count'!$G$3:$CC$3="Transactions")*(_xlpm.d&gt;=BD$6)*(_xlpm.d&lt;=BD$7),INDEX('Sales and count'!$G$4:$CC$300,$AJ70,0)))))</f>
        <v>15</v>
      </c>
      <c r="BE70" s="350" cm="1">
        <f t="array" aca="1" ref="BE70" ca="1">IF(AQ70="","",IF($AJ70="",0,_xlfn.LET(_xlpm.d,IFERROR(--'Sales and count'!$F$2:$CB$2,0),SUMPRODUCT(('Sales and count'!$G$3:$CC$3="Transactions")*(_xlpm.d&gt;=BE$6)*(_xlpm.d&lt;=BE$7),INDEX('Sales and count'!$G$4:$CC$300,$AJ70,0)))))</f>
        <v>10</v>
      </c>
      <c r="BF70" s="350" cm="1">
        <f t="array" aca="1" ref="BF70" ca="1">IF(AR70="","",IF($AJ70="",0,_xlfn.LET(_xlpm.d,IFERROR(--'Sales and count'!$F$2:$CB$2,0),SUMPRODUCT(('Sales and count'!$G$3:$CC$3="Transactions")*(_xlpm.d&gt;=BF$6)*(_xlpm.d&lt;=BF$7),INDEX('Sales and count'!$G$4:$CC$300,$AJ70,0)))))</f>
        <v>8</v>
      </c>
      <c r="BG70" s="350" cm="1">
        <f t="array" aca="1" ref="BG70" ca="1">IF(AS70="","",IF($AJ70="",0,_xlfn.LET(_xlpm.d,IFERROR(--'Sales and count'!$F$2:$CB$2,0),SUMPRODUCT(('Sales and count'!$G$3:$CC$3="Transactions")*(_xlpm.d&gt;=BG$6)*(_xlpm.d&lt;=BG$7),INDEX('Sales and count'!$G$4:$CC$300,$AJ70,0)))))</f>
        <v>9</v>
      </c>
      <c r="BH70" s="350" t="str" cm="1">
        <f t="array" ref="BH70">IF(AT70="","",IF($AJ70="",0,_xlfn.LET(_xlpm.d,IFERROR(--'Sales and count'!$F$2:$CB$2,0),SUMPRODUCT(('Sales and count'!$G$3:$CC$3="Transactions")*(_xlpm.d&gt;=BH$6)*(_xlpm.d&lt;=BH$7),INDEX('Sales and count'!$G$4:$CC$300,$AJ70,0)))))</f>
        <v/>
      </c>
      <c r="BI70" s="350" t="str" cm="1">
        <f t="array" ref="BI70">IF(AU70="","",IF($AJ70="",0,_xlfn.LET(_xlpm.d,IFERROR(--'Sales and count'!$F$2:$CB$2,0),SUMPRODUCT(('Sales and count'!$G$3:$CC$3="Transactions")*(_xlpm.d&gt;=BI$6)*(_xlpm.d&lt;=BI$7),INDEX('Sales and count'!$G$4:$CC$300,$AJ70,0)))))</f>
        <v/>
      </c>
      <c r="BJ70" s="350" t="str" cm="1">
        <f t="array" ref="BJ70">IF(AV70="","",IF($AJ70="",0,_xlfn.LET(_xlpm.d,IFERROR(--'Sales and count'!$F$2:$CB$2,0),SUMPRODUCT(('Sales and count'!$G$3:$CC$3="Transactions")*(_xlpm.d&gt;=BJ$6)*(_xlpm.d&lt;=BJ$7),INDEX('Sales and count'!$G$4:$CC$300,$AJ70,0)))))</f>
        <v/>
      </c>
      <c r="BK70" s="350" t="str" cm="1">
        <f t="array" ref="BK70">IF(AW70="","",IF($AJ70="",0,_xlfn.LET(_xlpm.d,IFERROR(--'Sales and count'!$F$2:$CB$2,0),SUMPRODUCT(('Sales and count'!$G$3:$CC$3="Transactions")*(_xlpm.d&gt;=BK$6)*(_xlpm.d&lt;=BK$7),INDEX('Sales and count'!$G$4:$CC$300,$AJ70,0)))))</f>
        <v/>
      </c>
      <c r="BL70" s="350" t="str" cm="1">
        <f t="array" ref="BL70">IF(AX70="","",IF($AJ70="",0,_xlfn.LET(_xlpm.d,IFERROR(--'Sales and count'!$F$2:$CB$2,0),SUMPRODUCT(('Sales and count'!$G$3:$CC$3="Transactions")*(_xlpm.d&gt;=BL$6)*(_xlpm.d&lt;=BL$7),INDEX('Sales and count'!$G$4:$CC$300,$AJ70,0)))))</f>
        <v/>
      </c>
      <c r="BM70" s="350" cm="1">
        <f t="array" ref="BM70">IF(AK70="","",IF($AJ70="",0,_xlfn.LET(_xlpm.d,IFERROR(--'Sales and count'!$G$2:$CC$2,0),SUMPRODUCT(('Sales and count'!$G$3:$CC$3="Total")*(_xlpm.d&gt;=BM$6)*(_xlpm.d&lt;=BM$7),INDEX('Sales and count'!$G$4:$CC$300,$AJ70,0)))))</f>
        <v>44962.73000000001</v>
      </c>
      <c r="BN70" s="350" cm="1">
        <f t="array" ref="BN70">IF(AL70="","",IF($AJ70="",0,_xlfn.LET(_xlpm.d,IFERROR(--'Sales and count'!$G$2:$CC$2,0),SUMPRODUCT(('Sales and count'!$G$3:$CC$3="Total")*(_xlpm.d&gt;=BN$6)*(_xlpm.d&lt;=BN$7),INDEX('Sales and count'!$G$4:$CC$300,$AJ70,0)))))</f>
        <v>1271</v>
      </c>
      <c r="BO70" s="350" cm="1">
        <f t="array" ref="BO70">IF(AM70="","",IF($AJ70="",0,_xlfn.LET(_xlpm.d,IFERROR(--'Sales and count'!$G$2:$CC$2,0),SUMPRODUCT(('Sales and count'!$G$3:$CC$3="Total")*(_xlpm.d&gt;=BO$6)*(_xlpm.d&lt;=BO$7),INDEX('Sales and count'!$G$4:$CC$300,$AJ70,0)))))</f>
        <v>1403.03</v>
      </c>
      <c r="BP70" s="350" cm="1">
        <f t="array" ref="BP70">IF(AN70="","",IF($AJ70="",0,_xlfn.LET(_xlpm.d,IFERROR(--'Sales and count'!$G$2:$CC$2,0),SUMPRODUCT(('Sales and count'!$G$3:$CC$3="Total")*(_xlpm.d&gt;=BP$6)*(_xlpm.d&lt;=BP$7),INDEX('Sales and count'!$G$4:$CC$300,$AJ70,0)))))</f>
        <v>1784</v>
      </c>
      <c r="BQ70" s="350" cm="1">
        <f t="array" ref="BQ70">IF(AO70="","",IF($AJ70="",0,_xlfn.LET(_xlpm.d,IFERROR(--'Sales and count'!$G$2:$CC$2,0),SUMPRODUCT(('Sales and count'!$G$3:$CC$3="Total")*(_xlpm.d&gt;=BQ$6)*(_xlpm.d&lt;=BQ$7),INDEX('Sales and count'!$G$4:$CC$300,$AJ70,0)))))</f>
        <v>1701.94</v>
      </c>
      <c r="BR70" s="350" cm="1">
        <f t="array" ref="BR70">IF(AP70="","",IF($AJ70="",0,_xlfn.LET(_xlpm.d,IFERROR(--'Sales and count'!$G$2:$CC$2,0),SUMPRODUCT(('Sales and count'!$G$3:$CC$3="Total")*(_xlpm.d&gt;=BR$6)*(_xlpm.d&lt;=BR$7),INDEX('Sales and count'!$G$4:$CC$300,$AJ70,0)))))</f>
        <v>2960.82</v>
      </c>
      <c r="BS70" s="350" cm="1">
        <f t="array" ref="BS70">IF(AQ70="","",IF($AJ70="",0,_xlfn.LET(_xlpm.d,IFERROR(--'Sales and count'!$G$2:$CC$2,0),SUMPRODUCT(('Sales and count'!$G$3:$CC$3="Total")*(_xlpm.d&gt;=BS$6)*(_xlpm.d&lt;=BS$7),INDEX('Sales and count'!$G$4:$CC$300,$AJ70,0)))))</f>
        <v>1805.89</v>
      </c>
      <c r="BT70" s="350" cm="1">
        <f t="array" ref="BT70">IF(AR70="","",IF($AJ70="",0,_xlfn.LET(_xlpm.d,IFERROR(--'Sales and count'!$G$2:$CC$2,0),SUMPRODUCT(('Sales and count'!$G$3:$CC$3="Total")*(_xlpm.d&gt;=BT$6)*(_xlpm.d&lt;=BT$7),INDEX('Sales and count'!$G$4:$CC$300,$AJ70,0)))))</f>
        <v>1232.94</v>
      </c>
      <c r="BU70" s="350" cm="1">
        <f t="array" ref="BU70">IF(AS70="","",IF($AJ70="",0,_xlfn.LET(_xlpm.d,IFERROR(--'Sales and count'!$G$2:$CC$2,0),SUMPRODUCT(('Sales and count'!$G$3:$CC$3="Total")*(_xlpm.d&gt;=BU$6)*(_xlpm.d&lt;=BU$7),INDEX('Sales and count'!$G$4:$CC$300,$AJ70,0)))))</f>
        <v>1734.06</v>
      </c>
      <c r="BV70" s="350" t="str" cm="1">
        <f t="array" ref="BV70">IF(AT70="","",IF($AJ70="",0,_xlfn.LET(_xlpm.d,IFERROR(--'Sales and count'!$G$2:$CC$2,0),SUMPRODUCT(('Sales and count'!$G$3:$CC$3="Total")*(_xlpm.d&gt;=BV$6)*(_xlpm.d&lt;=BV$7),INDEX('Sales and count'!$G$4:$CC$300,$AJ70,0)))))</f>
        <v/>
      </c>
      <c r="BW70" s="350" t="str" cm="1">
        <f t="array" ref="BW70">IF(AU70="","",IF($AJ70="",0,_xlfn.LET(_xlpm.d,IFERROR(--'Sales and count'!$G$2:$CC$2,0),SUMPRODUCT(('Sales and count'!$G$3:$CC$3="Total")*(_xlpm.d&gt;=BW$6)*(_xlpm.d&lt;=BW$7),INDEX('Sales and count'!$G$4:$CC$300,$AJ70,0)))))</f>
        <v/>
      </c>
      <c r="BX70" s="350" t="str" cm="1">
        <f t="array" ref="BX70">IF(AV70="","",IF($AJ70="",0,_xlfn.LET(_xlpm.d,IFERROR(--'Sales and count'!$G$2:$CC$2,0),SUMPRODUCT(('Sales and count'!$G$3:$CC$3="Total")*(_xlpm.d&gt;=BX$6)*(_xlpm.d&lt;=BX$7),INDEX('Sales and count'!$G$4:$CC$300,$AJ70,0)))))</f>
        <v/>
      </c>
      <c r="BY70" s="350" t="str" cm="1">
        <f t="array" ref="BY70">IF(AW70="","",IF($AJ70="",0,_xlfn.LET(_xlpm.d,IFERROR(--'Sales and count'!$G$2:$CC$2,0),SUMPRODUCT(('Sales and count'!$G$3:$CC$3="Total")*(_xlpm.d&gt;=BY$6)*(_xlpm.d&lt;=BY$7),INDEX('Sales and count'!$G$4:$CC$300,$AJ70,0)))))</f>
        <v/>
      </c>
      <c r="BZ70" s="350" t="str" cm="1">
        <f t="array" ref="BZ70">IF(AX70="","",IF($AJ70="",0,_xlfn.LET(_xlpm.d,IFERROR(--'Sales and count'!$G$2:$CC$2,0),SUMPRODUCT(('Sales and count'!$G$3:$CC$3="Total")*(_xlpm.d&gt;=BZ$6)*(_xlpm.d&lt;=BZ$7),INDEX('Sales and count'!$G$4:$CC$300,$AJ70,0)))))</f>
        <v/>
      </c>
    </row>
    <row r="71" spans="1:78" x14ac:dyDescent="0.25">
      <c r="A71" s="356" t="str">
        <v>JIZWFPLZ</v>
      </c>
      <c r="B71" s="356" t="str" cm="1">
        <f t="array" ref="B71">IF($A71="","",_xlfn.XLOOKUP($A71,TRIM(Footfall!$B$5:$B$301&amp;""),Footfall!$A$5:$A$301,""))</f>
        <v>Water front Jizan</v>
      </c>
      <c r="C71" s="356" t="str" cm="1">
        <f t="array" ref="C71">IF($A71="","",_xlfn.XLOOKUP($A71,TRIM('Sales and count'!$A$4:$A$300&amp;""),'Sales and count'!$C$4:$C$300,"Not set"))</f>
        <v>Jizan</v>
      </c>
      <c r="D71" s="357">
        <f t="shared" ca="1" si="53"/>
        <v>0.32748201438848923</v>
      </c>
      <c r="E71" s="357">
        <f t="shared" ca="1" si="54"/>
        <v>0.35443037974683544</v>
      </c>
      <c r="F71" s="357">
        <f t="shared" ca="1" si="55"/>
        <v>0.42307692307692307</v>
      </c>
      <c r="G71" s="357">
        <f t="shared" ca="1" si="56"/>
        <v>0.40404040404040403</v>
      </c>
      <c r="H71" s="357">
        <f t="shared" ca="1" si="57"/>
        <v>0.26136363636363635</v>
      </c>
      <c r="I71" s="357">
        <f t="shared" ca="1" si="58"/>
        <v>0.27127659574468083</v>
      </c>
      <c r="J71" s="357">
        <f t="shared" ca="1" si="59"/>
        <v>0.28888888888888886</v>
      </c>
      <c r="K71" s="357">
        <f t="shared" ca="1" si="60"/>
        <v>0.36792452830188677</v>
      </c>
      <c r="L71" s="357">
        <f t="shared" ca="1" si="61"/>
        <v>0.33043478260869563</v>
      </c>
      <c r="M71" s="357" t="str">
        <f t="shared" si="62"/>
        <v/>
      </c>
      <c r="N71" s="357" t="str">
        <f t="shared" si="63"/>
        <v/>
      </c>
      <c r="O71" s="357" t="str">
        <f t="shared" si="64"/>
        <v/>
      </c>
      <c r="P71" s="357" t="str">
        <f t="shared" si="65"/>
        <v/>
      </c>
      <c r="Q71" s="357" t="str">
        <f t="shared" si="66"/>
        <v/>
      </c>
      <c r="R71" s="358" cm="1">
        <f t="array" aca="1" ref="R71" ca="1">IF(OR($A71="",D71=""),"",IFERROR(LOOKUP(2,1/(E71:Q71&lt;&gt;""),E71:Q71)-D71,""))</f>
        <v>2.9527682202064032E-3</v>
      </c>
      <c r="S71" s="349"/>
      <c r="T71" s="362">
        <f t="shared" ca="1" si="67"/>
        <v>144.33218804920915</v>
      </c>
      <c r="U71" s="362">
        <f t="shared" ca="1" si="68"/>
        <v>125.50071428571428</v>
      </c>
      <c r="V71" s="362">
        <f t="shared" ca="1" si="69"/>
        <v>163.48606060606062</v>
      </c>
      <c r="W71" s="362">
        <f t="shared" ca="1" si="70"/>
        <v>143.30225000000002</v>
      </c>
      <c r="X71" s="362">
        <f t="shared" ca="1" si="71"/>
        <v>143.47282608695653</v>
      </c>
      <c r="Y71" s="362">
        <f t="shared" ca="1" si="72"/>
        <v>158.59666666666666</v>
      </c>
      <c r="Z71" s="362">
        <f t="shared" ca="1" si="73"/>
        <v>189.88948717948722</v>
      </c>
      <c r="AA71" s="362">
        <f t="shared" ca="1" si="74"/>
        <v>192.94692307692307</v>
      </c>
      <c r="AB71" s="362">
        <f t="shared" ca="1" si="75"/>
        <v>144.40421052631578</v>
      </c>
      <c r="AC71" s="362" t="str">
        <f t="shared" si="76"/>
        <v/>
      </c>
      <c r="AD71" s="362" t="str">
        <f t="shared" si="77"/>
        <v/>
      </c>
      <c r="AE71" s="362" t="str">
        <f t="shared" si="78"/>
        <v/>
      </c>
      <c r="AF71" s="362" t="str">
        <f t="shared" si="79"/>
        <v/>
      </c>
      <c r="AG71" s="362" t="str">
        <f t="shared" si="80"/>
        <v/>
      </c>
      <c r="AH71" s="363" cm="1">
        <f t="array" aca="1" ref="AH71" ca="1">IF(OR($A71="",T71=""),"",IFERROR(LOOKUP(2,1/(U71:AG71&lt;&gt;""),U71:AG71)-T71,""))</f>
        <v>7.2022477106628457E-2</v>
      </c>
      <c r="AI71" s="349"/>
      <c r="AJ71" s="349" cm="1">
        <f t="array" ref="AJ71">IF($A71="","",IFERROR(MATCH($A71,TRIM('Sales and count'!$A$4:$A$300&amp;""),0),""))</f>
        <v>46</v>
      </c>
      <c r="AK71" s="350" cm="1">
        <f t="array" ref="AK71">IF(OR($A71="",AK$6=""),"",IFERROR(INDEX(Footfall!$C$5:$BZ$301,MATCH($A71,TRIM(Footfall!$B$5:$B$301&amp;""),0),AK$5),0))</f>
        <v>3475</v>
      </c>
      <c r="AL71" s="350" cm="1">
        <f t="array" ref="AL71">IF(OR($A71="",AL$6=""),"",IFERROR(INDEX(Footfall!$C$5:$BZ$301,MATCH($A71,TRIM(Footfall!$B$5:$B$301&amp;""),0),AL$5),0))</f>
        <v>79</v>
      </c>
      <c r="AM71" s="350" cm="1">
        <f t="array" ref="AM71">IF(OR($A71="",AM$6=""),"",IFERROR(INDEX(Footfall!$C$5:$BZ$301,MATCH($A71,TRIM(Footfall!$B$5:$B$301&amp;""),0),AM$5),0))</f>
        <v>78</v>
      </c>
      <c r="AN71" s="350" cm="1">
        <f t="array" ref="AN71">IF(OR($A71="",AN$6=""),"",IFERROR(INDEX(Footfall!$C$5:$BZ$301,MATCH($A71,TRIM(Footfall!$B$5:$B$301&amp;""),0),AN$5),0))</f>
        <v>99</v>
      </c>
      <c r="AO71" s="350" cm="1">
        <f t="array" ref="AO71">IF(OR($A71="",AO$6=""),"",IFERROR(INDEX(Footfall!$C$5:$BZ$301,MATCH($A71,TRIM(Footfall!$B$5:$B$301&amp;""),0),AO$5),0))</f>
        <v>176</v>
      </c>
      <c r="AP71" s="350" cm="1">
        <f t="array" ref="AP71">IF(OR($A71="",AP$6=""),"",IFERROR(INDEX(Footfall!$C$5:$BZ$301,MATCH($A71,TRIM(Footfall!$B$5:$B$301&amp;""),0),AP$5),0))</f>
        <v>188</v>
      </c>
      <c r="AQ71" s="350" cm="1">
        <f t="array" ref="AQ71">IF(OR($A71="",AQ$6=""),"",IFERROR(INDEX(Footfall!$C$5:$BZ$301,MATCH($A71,TRIM(Footfall!$B$5:$B$301&amp;""),0),AQ$5),0))</f>
        <v>135</v>
      </c>
      <c r="AR71" s="350" cm="1">
        <f t="array" ref="AR71">IF(OR($A71="",AR$6=""),"",IFERROR(INDEX(Footfall!$C$5:$BZ$301,MATCH($A71,TRIM(Footfall!$B$5:$B$301&amp;""),0),AR$5),0))</f>
        <v>106</v>
      </c>
      <c r="AS71" s="350" cm="1">
        <f t="array" ref="AS71">IF(OR($A71="",AS$6=""),"",IFERROR(INDEX(Footfall!$C$5:$BZ$301,MATCH($A71,TRIM(Footfall!$B$5:$B$301&amp;""),0),AS$5),0))</f>
        <v>115</v>
      </c>
      <c r="AT71" s="350" t="str" cm="1">
        <f t="array" ref="AT71">IF(OR($A71="",AT$6=""),"",IFERROR(INDEX(Footfall!$C$5:$BZ$301,MATCH($A71,TRIM(Footfall!$B$5:$B$301&amp;""),0),AT$5),0))</f>
        <v/>
      </c>
      <c r="AU71" s="350" t="str" cm="1">
        <f t="array" ref="AU71">IF(OR($A71="",AU$6=""),"",IFERROR(INDEX(Footfall!$C$5:$BZ$301,MATCH($A71,TRIM(Footfall!$B$5:$B$301&amp;""),0),AU$5),0))</f>
        <v/>
      </c>
      <c r="AV71" s="350" t="str" cm="1">
        <f t="array" ref="AV71">IF(OR($A71="",AV$6=""),"",IFERROR(INDEX(Footfall!$C$5:$BZ$301,MATCH($A71,TRIM(Footfall!$B$5:$B$301&amp;""),0),AV$5),0))</f>
        <v/>
      </c>
      <c r="AW71" s="350" t="str" cm="1">
        <f t="array" ref="AW71">IF(OR($A71="",AW$6=""),"",IFERROR(INDEX(Footfall!$C$5:$BZ$301,MATCH($A71,TRIM(Footfall!$B$5:$B$301&amp;""),0),AW$5),0))</f>
        <v/>
      </c>
      <c r="AX71" s="350" t="str" cm="1">
        <f t="array" ref="AX71">IF(OR($A71="",AX$6=""),"",IFERROR(INDEX(Footfall!$C$5:$BZ$301,MATCH($A71,TRIM(Footfall!$B$5:$B$301&amp;""),0),AX$5),0))</f>
        <v/>
      </c>
      <c r="AY71" s="350" cm="1">
        <f t="array" aca="1" ref="AY71" ca="1">IF(AK71="","",IF($AJ71="",0,_xlfn.LET(_xlpm.d,IFERROR(--'Sales and count'!$F$2:$CB$2,0),SUMPRODUCT(('Sales and count'!$G$3:$CC$3="Transactions")*(_xlpm.d&gt;=AY$6)*(_xlpm.d&lt;=AY$7),INDEX('Sales and count'!$G$4:$CC$300,$AJ71,0)))))</f>
        <v>1138</v>
      </c>
      <c r="AZ71" s="350" cm="1">
        <f t="array" aca="1" ref="AZ71" ca="1">IF(AL71="","",IF($AJ71="",0,_xlfn.LET(_xlpm.d,IFERROR(--'Sales and count'!$F$2:$CB$2,0),SUMPRODUCT(('Sales and count'!$G$3:$CC$3="Transactions")*(_xlpm.d&gt;=AZ$6)*(_xlpm.d&lt;=AZ$7),INDEX('Sales and count'!$G$4:$CC$300,$AJ71,0)))))</f>
        <v>28</v>
      </c>
      <c r="BA71" s="350" cm="1">
        <f t="array" aca="1" ref="BA71" ca="1">IF(AM71="","",IF($AJ71="",0,_xlfn.LET(_xlpm.d,IFERROR(--'Sales and count'!$F$2:$CB$2,0),SUMPRODUCT(('Sales and count'!$G$3:$CC$3="Transactions")*(_xlpm.d&gt;=BA$6)*(_xlpm.d&lt;=BA$7),INDEX('Sales and count'!$G$4:$CC$300,$AJ71,0)))))</f>
        <v>33</v>
      </c>
      <c r="BB71" s="350" cm="1">
        <f t="array" aca="1" ref="BB71" ca="1">IF(AN71="","",IF($AJ71="",0,_xlfn.LET(_xlpm.d,IFERROR(--'Sales and count'!$F$2:$CB$2,0),SUMPRODUCT(('Sales and count'!$G$3:$CC$3="Transactions")*(_xlpm.d&gt;=BB$6)*(_xlpm.d&lt;=BB$7),INDEX('Sales and count'!$G$4:$CC$300,$AJ71,0)))))</f>
        <v>40</v>
      </c>
      <c r="BC71" s="350" cm="1">
        <f t="array" aca="1" ref="BC71" ca="1">IF(AO71="","",IF($AJ71="",0,_xlfn.LET(_xlpm.d,IFERROR(--'Sales and count'!$F$2:$CB$2,0),SUMPRODUCT(('Sales and count'!$G$3:$CC$3="Transactions")*(_xlpm.d&gt;=BC$6)*(_xlpm.d&lt;=BC$7),INDEX('Sales and count'!$G$4:$CC$300,$AJ71,0)))))</f>
        <v>46</v>
      </c>
      <c r="BD71" s="350" cm="1">
        <f t="array" aca="1" ref="BD71" ca="1">IF(AP71="","",IF($AJ71="",0,_xlfn.LET(_xlpm.d,IFERROR(--'Sales and count'!$F$2:$CB$2,0),SUMPRODUCT(('Sales and count'!$G$3:$CC$3="Transactions")*(_xlpm.d&gt;=BD$6)*(_xlpm.d&lt;=BD$7),INDEX('Sales and count'!$G$4:$CC$300,$AJ71,0)))))</f>
        <v>51</v>
      </c>
      <c r="BE71" s="350" cm="1">
        <f t="array" aca="1" ref="BE71" ca="1">IF(AQ71="","",IF($AJ71="",0,_xlfn.LET(_xlpm.d,IFERROR(--'Sales and count'!$F$2:$CB$2,0),SUMPRODUCT(('Sales and count'!$G$3:$CC$3="Transactions")*(_xlpm.d&gt;=BE$6)*(_xlpm.d&lt;=BE$7),INDEX('Sales and count'!$G$4:$CC$300,$AJ71,0)))))</f>
        <v>39</v>
      </c>
      <c r="BF71" s="350" cm="1">
        <f t="array" aca="1" ref="BF71" ca="1">IF(AR71="","",IF($AJ71="",0,_xlfn.LET(_xlpm.d,IFERROR(--'Sales and count'!$F$2:$CB$2,0),SUMPRODUCT(('Sales and count'!$G$3:$CC$3="Transactions")*(_xlpm.d&gt;=BF$6)*(_xlpm.d&lt;=BF$7),INDEX('Sales and count'!$G$4:$CC$300,$AJ71,0)))))</f>
        <v>39</v>
      </c>
      <c r="BG71" s="350" cm="1">
        <f t="array" aca="1" ref="BG71" ca="1">IF(AS71="","",IF($AJ71="",0,_xlfn.LET(_xlpm.d,IFERROR(--'Sales and count'!$F$2:$CB$2,0),SUMPRODUCT(('Sales and count'!$G$3:$CC$3="Transactions")*(_xlpm.d&gt;=BG$6)*(_xlpm.d&lt;=BG$7),INDEX('Sales and count'!$G$4:$CC$300,$AJ71,0)))))</f>
        <v>38</v>
      </c>
      <c r="BH71" s="350" t="str" cm="1">
        <f t="array" ref="BH71">IF(AT71="","",IF($AJ71="",0,_xlfn.LET(_xlpm.d,IFERROR(--'Sales and count'!$F$2:$CB$2,0),SUMPRODUCT(('Sales and count'!$G$3:$CC$3="Transactions")*(_xlpm.d&gt;=BH$6)*(_xlpm.d&lt;=BH$7),INDEX('Sales and count'!$G$4:$CC$300,$AJ71,0)))))</f>
        <v/>
      </c>
      <c r="BI71" s="350" t="str" cm="1">
        <f t="array" ref="BI71">IF(AU71="","",IF($AJ71="",0,_xlfn.LET(_xlpm.d,IFERROR(--'Sales and count'!$F$2:$CB$2,0),SUMPRODUCT(('Sales and count'!$G$3:$CC$3="Transactions")*(_xlpm.d&gt;=BI$6)*(_xlpm.d&lt;=BI$7),INDEX('Sales and count'!$G$4:$CC$300,$AJ71,0)))))</f>
        <v/>
      </c>
      <c r="BJ71" s="350" t="str" cm="1">
        <f t="array" ref="BJ71">IF(AV71="","",IF($AJ71="",0,_xlfn.LET(_xlpm.d,IFERROR(--'Sales and count'!$F$2:$CB$2,0),SUMPRODUCT(('Sales and count'!$G$3:$CC$3="Transactions")*(_xlpm.d&gt;=BJ$6)*(_xlpm.d&lt;=BJ$7),INDEX('Sales and count'!$G$4:$CC$300,$AJ71,0)))))</f>
        <v/>
      </c>
      <c r="BK71" s="350" t="str" cm="1">
        <f t="array" ref="BK71">IF(AW71="","",IF($AJ71="",0,_xlfn.LET(_xlpm.d,IFERROR(--'Sales and count'!$F$2:$CB$2,0),SUMPRODUCT(('Sales and count'!$G$3:$CC$3="Transactions")*(_xlpm.d&gt;=BK$6)*(_xlpm.d&lt;=BK$7),INDEX('Sales and count'!$G$4:$CC$300,$AJ71,0)))))</f>
        <v/>
      </c>
      <c r="BL71" s="350" t="str" cm="1">
        <f t="array" ref="BL71">IF(AX71="","",IF($AJ71="",0,_xlfn.LET(_xlpm.d,IFERROR(--'Sales and count'!$F$2:$CB$2,0),SUMPRODUCT(('Sales and count'!$G$3:$CC$3="Transactions")*(_xlpm.d&gt;=BL$6)*(_xlpm.d&lt;=BL$7),INDEX('Sales and count'!$G$4:$CC$300,$AJ71,0)))))</f>
        <v/>
      </c>
      <c r="BM71" s="350" cm="1">
        <f t="array" ref="BM71">IF(AK71="","",IF($AJ71="",0,_xlfn.LET(_xlpm.d,IFERROR(--'Sales and count'!$G$2:$CC$2,0),SUMPRODUCT(('Sales and count'!$G$3:$CC$3="Total")*(_xlpm.d&gt;=BM$6)*(_xlpm.d&lt;=BM$7),INDEX('Sales and count'!$G$4:$CC$300,$AJ71,0)))))</f>
        <v>164250.03</v>
      </c>
      <c r="BN71" s="350" cm="1">
        <f t="array" ref="BN71">IF(AL71="","",IF($AJ71="",0,_xlfn.LET(_xlpm.d,IFERROR(--'Sales and count'!$G$2:$CC$2,0),SUMPRODUCT(('Sales and count'!$G$3:$CC$3="Total")*(_xlpm.d&gt;=BN$6)*(_xlpm.d&lt;=BN$7),INDEX('Sales and count'!$G$4:$CC$300,$AJ71,0)))))</f>
        <v>3514.02</v>
      </c>
      <c r="BO71" s="350" cm="1">
        <f t="array" ref="BO71">IF(AM71="","",IF($AJ71="",0,_xlfn.LET(_xlpm.d,IFERROR(--'Sales and count'!$G$2:$CC$2,0),SUMPRODUCT(('Sales and count'!$G$3:$CC$3="Total")*(_xlpm.d&gt;=BO$6)*(_xlpm.d&lt;=BO$7),INDEX('Sales and count'!$G$4:$CC$300,$AJ71,0)))))</f>
        <v>5395.04</v>
      </c>
      <c r="BP71" s="350" cm="1">
        <f t="array" ref="BP71">IF(AN71="","",IF($AJ71="",0,_xlfn.LET(_xlpm.d,IFERROR(--'Sales and count'!$G$2:$CC$2,0),SUMPRODUCT(('Sales and count'!$G$3:$CC$3="Total")*(_xlpm.d&gt;=BP$6)*(_xlpm.d&lt;=BP$7),INDEX('Sales and count'!$G$4:$CC$300,$AJ71,0)))))</f>
        <v>5732.09</v>
      </c>
      <c r="BQ71" s="350" cm="1">
        <f t="array" ref="BQ71">IF(AO71="","",IF($AJ71="",0,_xlfn.LET(_xlpm.d,IFERROR(--'Sales and count'!$G$2:$CC$2,0),SUMPRODUCT(('Sales and count'!$G$3:$CC$3="Total")*(_xlpm.d&gt;=BQ$6)*(_xlpm.d&lt;=BQ$7),INDEX('Sales and count'!$G$4:$CC$300,$AJ71,0)))))</f>
        <v>6599.75</v>
      </c>
      <c r="BR71" s="350" cm="1">
        <f t="array" ref="BR71">IF(AP71="","",IF($AJ71="",0,_xlfn.LET(_xlpm.d,IFERROR(--'Sales and count'!$G$2:$CC$2,0),SUMPRODUCT(('Sales and count'!$G$3:$CC$3="Total")*(_xlpm.d&gt;=BR$6)*(_xlpm.d&lt;=BR$7),INDEX('Sales and count'!$G$4:$CC$300,$AJ71,0)))))</f>
        <v>8088.43</v>
      </c>
      <c r="BS71" s="350" cm="1">
        <f t="array" ref="BS71">IF(AQ71="","",IF($AJ71="",0,_xlfn.LET(_xlpm.d,IFERROR(--'Sales and count'!$G$2:$CC$2,0),SUMPRODUCT(('Sales and count'!$G$3:$CC$3="Total")*(_xlpm.d&gt;=BS$6)*(_xlpm.d&lt;=BS$7),INDEX('Sales and count'!$G$4:$CC$300,$AJ71,0)))))</f>
        <v>7405.6900000000014</v>
      </c>
      <c r="BT71" s="350" cm="1">
        <f t="array" ref="BT71">IF(AR71="","",IF($AJ71="",0,_xlfn.LET(_xlpm.d,IFERROR(--'Sales and count'!$G$2:$CC$2,0),SUMPRODUCT(('Sales and count'!$G$3:$CC$3="Total")*(_xlpm.d&gt;=BT$6)*(_xlpm.d&lt;=BT$7),INDEX('Sales and count'!$G$4:$CC$300,$AJ71,0)))))</f>
        <v>7524.93</v>
      </c>
      <c r="BU71" s="350" cm="1">
        <f t="array" ref="BU71">IF(AS71="","",IF($AJ71="",0,_xlfn.LET(_xlpm.d,IFERROR(--'Sales and count'!$G$2:$CC$2,0),SUMPRODUCT(('Sales and count'!$G$3:$CC$3="Total")*(_xlpm.d&gt;=BU$6)*(_xlpm.d&lt;=BU$7),INDEX('Sales and count'!$G$4:$CC$300,$AJ71,0)))))</f>
        <v>5487.36</v>
      </c>
      <c r="BV71" s="350" t="str" cm="1">
        <f t="array" ref="BV71">IF(AT71="","",IF($AJ71="",0,_xlfn.LET(_xlpm.d,IFERROR(--'Sales and count'!$G$2:$CC$2,0),SUMPRODUCT(('Sales and count'!$G$3:$CC$3="Total")*(_xlpm.d&gt;=BV$6)*(_xlpm.d&lt;=BV$7),INDEX('Sales and count'!$G$4:$CC$300,$AJ71,0)))))</f>
        <v/>
      </c>
      <c r="BW71" s="350" t="str" cm="1">
        <f t="array" ref="BW71">IF(AU71="","",IF($AJ71="",0,_xlfn.LET(_xlpm.d,IFERROR(--'Sales and count'!$G$2:$CC$2,0),SUMPRODUCT(('Sales and count'!$G$3:$CC$3="Total")*(_xlpm.d&gt;=BW$6)*(_xlpm.d&lt;=BW$7),INDEX('Sales and count'!$G$4:$CC$300,$AJ71,0)))))</f>
        <v/>
      </c>
      <c r="BX71" s="350" t="str" cm="1">
        <f t="array" ref="BX71">IF(AV71="","",IF($AJ71="",0,_xlfn.LET(_xlpm.d,IFERROR(--'Sales and count'!$G$2:$CC$2,0),SUMPRODUCT(('Sales and count'!$G$3:$CC$3="Total")*(_xlpm.d&gt;=BX$6)*(_xlpm.d&lt;=BX$7),INDEX('Sales and count'!$G$4:$CC$300,$AJ71,0)))))</f>
        <v/>
      </c>
      <c r="BY71" s="350" t="str" cm="1">
        <f t="array" ref="BY71">IF(AW71="","",IF($AJ71="",0,_xlfn.LET(_xlpm.d,IFERROR(--'Sales and count'!$G$2:$CC$2,0),SUMPRODUCT(('Sales and count'!$G$3:$CC$3="Total")*(_xlpm.d&gt;=BY$6)*(_xlpm.d&lt;=BY$7),INDEX('Sales and count'!$G$4:$CC$300,$AJ71,0)))))</f>
        <v/>
      </c>
      <c r="BZ71" s="350" t="str" cm="1">
        <f t="array" ref="BZ71">IF(AX71="","",IF($AJ71="",0,_xlfn.LET(_xlpm.d,IFERROR(--'Sales and count'!$G$2:$CC$2,0),SUMPRODUCT(('Sales and count'!$G$3:$CC$3="Total")*(_xlpm.d&gt;=BZ$6)*(_xlpm.d&lt;=BZ$7),INDEX('Sales and count'!$G$4:$CC$300,$AJ71,0)))))</f>
        <v/>
      </c>
    </row>
    <row r="72" spans="1:78" x14ac:dyDescent="0.25">
      <c r="A72" s="356" t="str">
        <v>JUBGALRY</v>
      </c>
      <c r="B72" s="356" t="str" cm="1">
        <f t="array" ref="B72">IF($A72="","",_xlfn.XLOOKUP($A72,TRIM(Footfall!$B$5:$B$301&amp;""),Footfall!$A$5:$A$301,""))</f>
        <v>Gallery Mall Jubail</v>
      </c>
      <c r="C72" s="356" t="str" cm="1">
        <f t="array" ref="C72">IF($A72="","",_xlfn.XLOOKUP($A72,TRIM('Sales and count'!$A$4:$A$300&amp;""),'Sales and count'!$C$4:$C$300,"Not set"))</f>
        <v>Jubail</v>
      </c>
      <c r="D72" s="357">
        <f t="shared" ca="1" si="53"/>
        <v>0.17634408602150536</v>
      </c>
      <c r="E72" s="357">
        <f t="shared" ca="1" si="54"/>
        <v>0.23021582733812951</v>
      </c>
      <c r="F72" s="357">
        <f t="shared" ca="1" si="55"/>
        <v>0.17766497461928935</v>
      </c>
      <c r="G72" s="357">
        <f t="shared" ca="1" si="56"/>
        <v>0.15</v>
      </c>
      <c r="H72" s="357">
        <f t="shared" ca="1" si="57"/>
        <v>0.15360501567398119</v>
      </c>
      <c r="I72" s="357">
        <f t="shared" ca="1" si="58"/>
        <v>0.12303664921465969</v>
      </c>
      <c r="J72" s="357">
        <f t="shared" ca="1" si="59"/>
        <v>0.14130434782608695</v>
      </c>
      <c r="K72" s="357" t="str">
        <f t="shared" si="60"/>
        <v/>
      </c>
      <c r="L72" s="357" t="str">
        <f t="shared" si="61"/>
        <v/>
      </c>
      <c r="M72" s="357" t="str">
        <f t="shared" si="62"/>
        <v/>
      </c>
      <c r="N72" s="357" t="str">
        <f t="shared" si="63"/>
        <v/>
      </c>
      <c r="O72" s="357" t="str">
        <f t="shared" si="64"/>
        <v/>
      </c>
      <c r="P72" s="357" t="str">
        <f t="shared" si="65"/>
        <v/>
      </c>
      <c r="Q72" s="357" t="str">
        <f t="shared" si="66"/>
        <v/>
      </c>
      <c r="R72" s="358" cm="1">
        <f t="array" aca="1" ref="R72" ca="1">IF(OR($A72="",D72=""),"",IFERROR(LOOKUP(2,1/(E72:Q72&lt;&gt;""),E72:Q72)-D72,""))</f>
        <v>-3.5039738195418418E-2</v>
      </c>
      <c r="S72" s="349"/>
      <c r="T72" s="362">
        <f t="shared" ca="1" si="67"/>
        <v>134.51005543237252</v>
      </c>
      <c r="U72" s="362">
        <f t="shared" ca="1" si="68"/>
        <v>136.65812500000001</v>
      </c>
      <c r="V72" s="362">
        <f t="shared" ca="1" si="69"/>
        <v>134.34657142857142</v>
      </c>
      <c r="W72" s="362">
        <f t="shared" ca="1" si="70"/>
        <v>132.15363636363637</v>
      </c>
      <c r="X72" s="362">
        <f t="shared" ca="1" si="71"/>
        <v>140.0169387755102</v>
      </c>
      <c r="Y72" s="362">
        <f t="shared" ca="1" si="72"/>
        <v>134.39872340425532</v>
      </c>
      <c r="Z72" s="362">
        <f t="shared" ca="1" si="73"/>
        <v>198.1151282051282</v>
      </c>
      <c r="AA72" s="362">
        <f t="shared" ca="1" si="74"/>
        <v>152.72647058823529</v>
      </c>
      <c r="AB72" s="362">
        <f t="shared" ca="1" si="75"/>
        <v>146.93761904761905</v>
      </c>
      <c r="AC72" s="362" t="str">
        <f t="shared" si="76"/>
        <v/>
      </c>
      <c r="AD72" s="362" t="str">
        <f t="shared" si="77"/>
        <v/>
      </c>
      <c r="AE72" s="362" t="str">
        <f t="shared" si="78"/>
        <v/>
      </c>
      <c r="AF72" s="362" t="str">
        <f t="shared" si="79"/>
        <v/>
      </c>
      <c r="AG72" s="362" t="str">
        <f t="shared" si="80"/>
        <v/>
      </c>
      <c r="AH72" s="363" cm="1">
        <f t="array" aca="1" ref="AH72" ca="1">IF(OR($A72="",T72=""),"",IFERROR(LOOKUP(2,1/(U72:AG72&lt;&gt;""),U72:AG72)-T72,""))</f>
        <v>12.427563615246527</v>
      </c>
      <c r="AI72" s="349"/>
      <c r="AJ72" s="349" cm="1">
        <f t="array" ref="AJ72">IF($A72="","",IFERROR(MATCH($A72,TRIM('Sales and count'!$A$4:$A$300&amp;""),0),""))</f>
        <v>49</v>
      </c>
      <c r="AK72" s="350" cm="1">
        <f t="array" ref="AK72">IF(OR($A72="",AK$6=""),"",IFERROR(INDEX(Footfall!$C$5:$BZ$301,MATCH($A72,TRIM(Footfall!$B$5:$B$301&amp;""),0),AK$5),0))</f>
        <v>5115</v>
      </c>
      <c r="AL72" s="350" cm="1">
        <f t="array" ref="AL72">IF(OR($A72="",AL$6=""),"",IFERROR(INDEX(Footfall!$C$5:$BZ$301,MATCH($A72,TRIM(Footfall!$B$5:$B$301&amp;""),0),AL$5),0))</f>
        <v>139</v>
      </c>
      <c r="AM72" s="350" cm="1">
        <f t="array" ref="AM72">IF(OR($A72="",AM$6=""),"",IFERROR(INDEX(Footfall!$C$5:$BZ$301,MATCH($A72,TRIM(Footfall!$B$5:$B$301&amp;""),0),AM$5),0))</f>
        <v>197</v>
      </c>
      <c r="AN72" s="350" cm="1">
        <f t="array" ref="AN72">IF(OR($A72="",AN$6=""),"",IFERROR(INDEX(Footfall!$C$5:$BZ$301,MATCH($A72,TRIM(Footfall!$B$5:$B$301&amp;""),0),AN$5),0))</f>
        <v>220</v>
      </c>
      <c r="AO72" s="350" cm="1">
        <f t="array" ref="AO72">IF(OR($A72="",AO$6=""),"",IFERROR(INDEX(Footfall!$C$5:$BZ$301,MATCH($A72,TRIM(Footfall!$B$5:$B$301&amp;""),0),AO$5),0))</f>
        <v>319</v>
      </c>
      <c r="AP72" s="350" cm="1">
        <f t="array" ref="AP72">IF(OR($A72="",AP$6=""),"",IFERROR(INDEX(Footfall!$C$5:$BZ$301,MATCH($A72,TRIM(Footfall!$B$5:$B$301&amp;""),0),AP$5),0))</f>
        <v>382</v>
      </c>
      <c r="AQ72" s="350" cm="1">
        <f t="array" ref="AQ72">IF(OR($A72="",AQ$6=""),"",IFERROR(INDEX(Footfall!$C$5:$BZ$301,MATCH($A72,TRIM(Footfall!$B$5:$B$301&amp;""),0),AQ$5),0))</f>
        <v>276</v>
      </c>
      <c r="AR72" s="350" cm="1">
        <f t="array" ref="AR72">IF(OR($A72="",AR$6=""),"",IFERROR(INDEX(Footfall!$C$5:$BZ$301,MATCH($A72,TRIM(Footfall!$B$5:$B$301&amp;""),0),AR$5),0))</f>
        <v>0</v>
      </c>
      <c r="AS72" s="350" cm="1">
        <f t="array" ref="AS72">IF(OR($A72="",AS$6=""),"",IFERROR(INDEX(Footfall!$C$5:$BZ$301,MATCH($A72,TRIM(Footfall!$B$5:$B$301&amp;""),0),AS$5),0))</f>
        <v>0</v>
      </c>
      <c r="AT72" s="350" t="str" cm="1">
        <f t="array" ref="AT72">IF(OR($A72="",AT$6=""),"",IFERROR(INDEX(Footfall!$C$5:$BZ$301,MATCH($A72,TRIM(Footfall!$B$5:$B$301&amp;""),0),AT$5),0))</f>
        <v/>
      </c>
      <c r="AU72" s="350" t="str" cm="1">
        <f t="array" ref="AU72">IF(OR($A72="",AU$6=""),"",IFERROR(INDEX(Footfall!$C$5:$BZ$301,MATCH($A72,TRIM(Footfall!$B$5:$B$301&amp;""),0),AU$5),0))</f>
        <v/>
      </c>
      <c r="AV72" s="350" t="str" cm="1">
        <f t="array" ref="AV72">IF(OR($A72="",AV$6=""),"",IFERROR(INDEX(Footfall!$C$5:$BZ$301,MATCH($A72,TRIM(Footfall!$B$5:$B$301&amp;""),0),AV$5),0))</f>
        <v/>
      </c>
      <c r="AW72" s="350" t="str" cm="1">
        <f t="array" ref="AW72">IF(OR($A72="",AW$6=""),"",IFERROR(INDEX(Footfall!$C$5:$BZ$301,MATCH($A72,TRIM(Footfall!$B$5:$B$301&amp;""),0),AW$5),0))</f>
        <v/>
      </c>
      <c r="AX72" s="350" t="str" cm="1">
        <f t="array" ref="AX72">IF(OR($A72="",AX$6=""),"",IFERROR(INDEX(Footfall!$C$5:$BZ$301,MATCH($A72,TRIM(Footfall!$B$5:$B$301&amp;""),0),AX$5),0))</f>
        <v/>
      </c>
      <c r="AY72" s="350" cm="1">
        <f t="array" aca="1" ref="AY72" ca="1">IF(AK72="","",IF($AJ72="",0,_xlfn.LET(_xlpm.d,IFERROR(--'Sales and count'!$F$2:$CB$2,0),SUMPRODUCT(('Sales and count'!$G$3:$CC$3="Transactions")*(_xlpm.d&gt;=AY$6)*(_xlpm.d&lt;=AY$7),INDEX('Sales and count'!$G$4:$CC$300,$AJ72,0)))))</f>
        <v>902</v>
      </c>
      <c r="AZ72" s="350" cm="1">
        <f t="array" aca="1" ref="AZ72" ca="1">IF(AL72="","",IF($AJ72="",0,_xlfn.LET(_xlpm.d,IFERROR(--'Sales and count'!$F$2:$CB$2,0),SUMPRODUCT(('Sales and count'!$G$3:$CC$3="Transactions")*(_xlpm.d&gt;=AZ$6)*(_xlpm.d&lt;=AZ$7),INDEX('Sales and count'!$G$4:$CC$300,$AJ72,0)))))</f>
        <v>32</v>
      </c>
      <c r="BA72" s="350" cm="1">
        <f t="array" aca="1" ref="BA72" ca="1">IF(AM72="","",IF($AJ72="",0,_xlfn.LET(_xlpm.d,IFERROR(--'Sales and count'!$F$2:$CB$2,0),SUMPRODUCT(('Sales and count'!$G$3:$CC$3="Transactions")*(_xlpm.d&gt;=BA$6)*(_xlpm.d&lt;=BA$7),INDEX('Sales and count'!$G$4:$CC$300,$AJ72,0)))))</f>
        <v>35</v>
      </c>
      <c r="BB72" s="350" cm="1">
        <f t="array" aca="1" ref="BB72" ca="1">IF(AN72="","",IF($AJ72="",0,_xlfn.LET(_xlpm.d,IFERROR(--'Sales and count'!$F$2:$CB$2,0),SUMPRODUCT(('Sales and count'!$G$3:$CC$3="Transactions")*(_xlpm.d&gt;=BB$6)*(_xlpm.d&lt;=BB$7),INDEX('Sales and count'!$G$4:$CC$300,$AJ72,0)))))</f>
        <v>33</v>
      </c>
      <c r="BC72" s="350" cm="1">
        <f t="array" aca="1" ref="BC72" ca="1">IF(AO72="","",IF($AJ72="",0,_xlfn.LET(_xlpm.d,IFERROR(--'Sales and count'!$F$2:$CB$2,0),SUMPRODUCT(('Sales and count'!$G$3:$CC$3="Transactions")*(_xlpm.d&gt;=BC$6)*(_xlpm.d&lt;=BC$7),INDEX('Sales and count'!$G$4:$CC$300,$AJ72,0)))))</f>
        <v>49</v>
      </c>
      <c r="BD72" s="350" cm="1">
        <f t="array" aca="1" ref="BD72" ca="1">IF(AP72="","",IF($AJ72="",0,_xlfn.LET(_xlpm.d,IFERROR(--'Sales and count'!$F$2:$CB$2,0),SUMPRODUCT(('Sales and count'!$G$3:$CC$3="Transactions")*(_xlpm.d&gt;=BD$6)*(_xlpm.d&lt;=BD$7),INDEX('Sales and count'!$G$4:$CC$300,$AJ72,0)))))</f>
        <v>47</v>
      </c>
      <c r="BE72" s="350" cm="1">
        <f t="array" aca="1" ref="BE72" ca="1">IF(AQ72="","",IF($AJ72="",0,_xlfn.LET(_xlpm.d,IFERROR(--'Sales and count'!$F$2:$CB$2,0),SUMPRODUCT(('Sales and count'!$G$3:$CC$3="Transactions")*(_xlpm.d&gt;=BE$6)*(_xlpm.d&lt;=BE$7),INDEX('Sales and count'!$G$4:$CC$300,$AJ72,0)))))</f>
        <v>39</v>
      </c>
      <c r="BF72" s="350" cm="1">
        <f t="array" aca="1" ref="BF72" ca="1">IF(AR72="","",IF($AJ72="",0,_xlfn.LET(_xlpm.d,IFERROR(--'Sales and count'!$F$2:$CB$2,0),SUMPRODUCT(('Sales and count'!$G$3:$CC$3="Transactions")*(_xlpm.d&gt;=BF$6)*(_xlpm.d&lt;=BF$7),INDEX('Sales and count'!$G$4:$CC$300,$AJ72,0)))))</f>
        <v>34</v>
      </c>
      <c r="BG72" s="350" cm="1">
        <f t="array" aca="1" ref="BG72" ca="1">IF(AS72="","",IF($AJ72="",0,_xlfn.LET(_xlpm.d,IFERROR(--'Sales and count'!$F$2:$CB$2,0),SUMPRODUCT(('Sales and count'!$G$3:$CC$3="Transactions")*(_xlpm.d&gt;=BG$6)*(_xlpm.d&lt;=BG$7),INDEX('Sales and count'!$G$4:$CC$300,$AJ72,0)))))</f>
        <v>42</v>
      </c>
      <c r="BH72" s="350" t="str" cm="1">
        <f t="array" ref="BH72">IF(AT72="","",IF($AJ72="",0,_xlfn.LET(_xlpm.d,IFERROR(--'Sales and count'!$F$2:$CB$2,0),SUMPRODUCT(('Sales and count'!$G$3:$CC$3="Transactions")*(_xlpm.d&gt;=BH$6)*(_xlpm.d&lt;=BH$7),INDEX('Sales and count'!$G$4:$CC$300,$AJ72,0)))))</f>
        <v/>
      </c>
      <c r="BI72" s="350" t="str" cm="1">
        <f t="array" ref="BI72">IF(AU72="","",IF($AJ72="",0,_xlfn.LET(_xlpm.d,IFERROR(--'Sales and count'!$F$2:$CB$2,0),SUMPRODUCT(('Sales and count'!$G$3:$CC$3="Transactions")*(_xlpm.d&gt;=BI$6)*(_xlpm.d&lt;=BI$7),INDEX('Sales and count'!$G$4:$CC$300,$AJ72,0)))))</f>
        <v/>
      </c>
      <c r="BJ72" s="350" t="str" cm="1">
        <f t="array" ref="BJ72">IF(AV72="","",IF($AJ72="",0,_xlfn.LET(_xlpm.d,IFERROR(--'Sales and count'!$F$2:$CB$2,0),SUMPRODUCT(('Sales and count'!$G$3:$CC$3="Transactions")*(_xlpm.d&gt;=BJ$6)*(_xlpm.d&lt;=BJ$7),INDEX('Sales and count'!$G$4:$CC$300,$AJ72,0)))))</f>
        <v/>
      </c>
      <c r="BK72" s="350" t="str" cm="1">
        <f t="array" ref="BK72">IF(AW72="","",IF($AJ72="",0,_xlfn.LET(_xlpm.d,IFERROR(--'Sales and count'!$F$2:$CB$2,0),SUMPRODUCT(('Sales and count'!$G$3:$CC$3="Transactions")*(_xlpm.d&gt;=BK$6)*(_xlpm.d&lt;=BK$7),INDEX('Sales and count'!$G$4:$CC$300,$AJ72,0)))))</f>
        <v/>
      </c>
      <c r="BL72" s="350" t="str" cm="1">
        <f t="array" ref="BL72">IF(AX72="","",IF($AJ72="",0,_xlfn.LET(_xlpm.d,IFERROR(--'Sales and count'!$F$2:$CB$2,0),SUMPRODUCT(('Sales and count'!$G$3:$CC$3="Transactions")*(_xlpm.d&gt;=BL$6)*(_xlpm.d&lt;=BL$7),INDEX('Sales and count'!$G$4:$CC$300,$AJ72,0)))))</f>
        <v/>
      </c>
      <c r="BM72" s="350" cm="1">
        <f t="array" ref="BM72">IF(AK72="","",IF($AJ72="",0,_xlfn.LET(_xlpm.d,IFERROR(--'Sales and count'!$G$2:$CC$2,0),SUMPRODUCT(('Sales and count'!$G$3:$CC$3="Total")*(_xlpm.d&gt;=BM$6)*(_xlpm.d&lt;=BM$7),INDEX('Sales and count'!$G$4:$CC$300,$AJ72,0)))))</f>
        <v>121328.07</v>
      </c>
      <c r="BN72" s="350" cm="1">
        <f t="array" ref="BN72">IF(AL72="","",IF($AJ72="",0,_xlfn.LET(_xlpm.d,IFERROR(--'Sales and count'!$G$2:$CC$2,0),SUMPRODUCT(('Sales and count'!$G$3:$CC$3="Total")*(_xlpm.d&gt;=BN$6)*(_xlpm.d&lt;=BN$7),INDEX('Sales and count'!$G$4:$CC$300,$AJ72,0)))))</f>
        <v>4373.0600000000004</v>
      </c>
      <c r="BO72" s="350" cm="1">
        <f t="array" ref="BO72">IF(AM72="","",IF($AJ72="",0,_xlfn.LET(_xlpm.d,IFERROR(--'Sales and count'!$G$2:$CC$2,0),SUMPRODUCT(('Sales and count'!$G$3:$CC$3="Total")*(_xlpm.d&gt;=BO$6)*(_xlpm.d&lt;=BO$7),INDEX('Sales and count'!$G$4:$CC$300,$AJ72,0)))))</f>
        <v>4702.13</v>
      </c>
      <c r="BP72" s="350" cm="1">
        <f t="array" ref="BP72">IF(AN72="","",IF($AJ72="",0,_xlfn.LET(_xlpm.d,IFERROR(--'Sales and count'!$G$2:$CC$2,0),SUMPRODUCT(('Sales and count'!$G$3:$CC$3="Total")*(_xlpm.d&gt;=BP$6)*(_xlpm.d&lt;=BP$7),INDEX('Sales and count'!$G$4:$CC$300,$AJ72,0)))))</f>
        <v>4361.07</v>
      </c>
      <c r="BQ72" s="350" cm="1">
        <f t="array" ref="BQ72">IF(AO72="","",IF($AJ72="",0,_xlfn.LET(_xlpm.d,IFERROR(--'Sales and count'!$G$2:$CC$2,0),SUMPRODUCT(('Sales and count'!$G$3:$CC$3="Total")*(_xlpm.d&gt;=BQ$6)*(_xlpm.d&lt;=BQ$7),INDEX('Sales and count'!$G$4:$CC$300,$AJ72,0)))))</f>
        <v>6860.83</v>
      </c>
      <c r="BR72" s="350" cm="1">
        <f t="array" ref="BR72">IF(AP72="","",IF($AJ72="",0,_xlfn.LET(_xlpm.d,IFERROR(--'Sales and count'!$G$2:$CC$2,0),SUMPRODUCT(('Sales and count'!$G$3:$CC$3="Total")*(_xlpm.d&gt;=BR$6)*(_xlpm.d&lt;=BR$7),INDEX('Sales and count'!$G$4:$CC$300,$AJ72,0)))))</f>
        <v>6316.74</v>
      </c>
      <c r="BS72" s="350" cm="1">
        <f t="array" ref="BS72">IF(AQ72="","",IF($AJ72="",0,_xlfn.LET(_xlpm.d,IFERROR(--'Sales and count'!$G$2:$CC$2,0),SUMPRODUCT(('Sales and count'!$G$3:$CC$3="Total")*(_xlpm.d&gt;=BS$6)*(_xlpm.d&lt;=BS$7),INDEX('Sales and count'!$G$4:$CC$300,$AJ72,0)))))</f>
        <v>7726.49</v>
      </c>
      <c r="BT72" s="350" cm="1">
        <f t="array" ref="BT72">IF(AR72="","",IF($AJ72="",0,_xlfn.LET(_xlpm.d,IFERROR(--'Sales and count'!$G$2:$CC$2,0),SUMPRODUCT(('Sales and count'!$G$3:$CC$3="Total")*(_xlpm.d&gt;=BT$6)*(_xlpm.d&lt;=BT$7),INDEX('Sales and count'!$G$4:$CC$300,$AJ72,0)))))</f>
        <v>5192.7</v>
      </c>
      <c r="BU72" s="350" cm="1">
        <f t="array" ref="BU72">IF(AS72="","",IF($AJ72="",0,_xlfn.LET(_xlpm.d,IFERROR(--'Sales and count'!$G$2:$CC$2,0),SUMPRODUCT(('Sales and count'!$G$3:$CC$3="Total")*(_xlpm.d&gt;=BU$6)*(_xlpm.d&lt;=BU$7),INDEX('Sales and count'!$G$4:$CC$300,$AJ72,0)))))</f>
        <v>6171.38</v>
      </c>
      <c r="BV72" s="350" t="str" cm="1">
        <f t="array" ref="BV72">IF(AT72="","",IF($AJ72="",0,_xlfn.LET(_xlpm.d,IFERROR(--'Sales and count'!$G$2:$CC$2,0),SUMPRODUCT(('Sales and count'!$G$3:$CC$3="Total")*(_xlpm.d&gt;=BV$6)*(_xlpm.d&lt;=BV$7),INDEX('Sales and count'!$G$4:$CC$300,$AJ72,0)))))</f>
        <v/>
      </c>
      <c r="BW72" s="350" t="str" cm="1">
        <f t="array" ref="BW72">IF(AU72="","",IF($AJ72="",0,_xlfn.LET(_xlpm.d,IFERROR(--'Sales and count'!$G$2:$CC$2,0),SUMPRODUCT(('Sales and count'!$G$3:$CC$3="Total")*(_xlpm.d&gt;=BW$6)*(_xlpm.d&lt;=BW$7),INDEX('Sales and count'!$G$4:$CC$300,$AJ72,0)))))</f>
        <v/>
      </c>
      <c r="BX72" s="350" t="str" cm="1">
        <f t="array" ref="BX72">IF(AV72="","",IF($AJ72="",0,_xlfn.LET(_xlpm.d,IFERROR(--'Sales and count'!$G$2:$CC$2,0),SUMPRODUCT(('Sales and count'!$G$3:$CC$3="Total")*(_xlpm.d&gt;=BX$6)*(_xlpm.d&lt;=BX$7),INDEX('Sales and count'!$G$4:$CC$300,$AJ72,0)))))</f>
        <v/>
      </c>
      <c r="BY72" s="350" t="str" cm="1">
        <f t="array" ref="BY72">IF(AW72="","",IF($AJ72="",0,_xlfn.LET(_xlpm.d,IFERROR(--'Sales and count'!$G$2:$CC$2,0),SUMPRODUCT(('Sales and count'!$G$3:$CC$3="Total")*(_xlpm.d&gt;=BY$6)*(_xlpm.d&lt;=BY$7),INDEX('Sales and count'!$G$4:$CC$300,$AJ72,0)))))</f>
        <v/>
      </c>
      <c r="BZ72" s="350" t="str" cm="1">
        <f t="array" ref="BZ72">IF(AX72="","",IF($AJ72="",0,_xlfn.LET(_xlpm.d,IFERROR(--'Sales and count'!$G$2:$CC$2,0),SUMPRODUCT(('Sales and count'!$G$3:$CC$3="Total")*(_xlpm.d&gt;=BZ$6)*(_xlpm.d&lt;=BZ$7),INDEX('Sales and count'!$G$4:$CC$300,$AJ72,0)))))</f>
        <v/>
      </c>
    </row>
    <row r="73" spans="1:78" x14ac:dyDescent="0.25">
      <c r="A73" s="356" t="str">
        <v>HAJUBAILML</v>
      </c>
      <c r="B73" s="356" t="str" cm="1">
        <f t="array" ref="B73">IF($A73="","",_xlfn.XLOOKUP($A73,TRIM(Footfall!$B$5:$B$301&amp;""),Footfall!$A$5:$A$301,""))</f>
        <v>Jubail Mall</v>
      </c>
      <c r="C73" s="356" t="str" cm="1">
        <f t="array" ref="C73">IF($A73="","",_xlfn.XLOOKUP($A73,TRIM('Sales and count'!$A$4:$A$300&amp;""),'Sales and count'!$C$4:$C$300,"Not set"))</f>
        <v>Jubail</v>
      </c>
      <c r="D73" s="357">
        <f t="shared" ca="1" si="53"/>
        <v>0.1418229680816058</v>
      </c>
      <c r="E73" s="357">
        <f t="shared" ca="1" si="54"/>
        <v>0.16470588235294117</v>
      </c>
      <c r="F73" s="357">
        <f t="shared" ca="1" si="55"/>
        <v>0.10294117647058823</v>
      </c>
      <c r="G73" s="357">
        <f t="shared" ca="1" si="56"/>
        <v>0.15384615384615385</v>
      </c>
      <c r="H73" s="357">
        <f t="shared" ca="1" si="57"/>
        <v>0.18</v>
      </c>
      <c r="I73" s="357">
        <f t="shared" ca="1" si="58"/>
        <v>0.11654135338345864</v>
      </c>
      <c r="J73" s="357">
        <f t="shared" ca="1" si="59"/>
        <v>0.10909090909090909</v>
      </c>
      <c r="K73" s="357">
        <f t="shared" ca="1" si="60"/>
        <v>0.12222222222222222</v>
      </c>
      <c r="L73" s="357">
        <f t="shared" ca="1" si="61"/>
        <v>0.19101123595505617</v>
      </c>
      <c r="M73" s="357" t="str">
        <f t="shared" si="62"/>
        <v/>
      </c>
      <c r="N73" s="357" t="str">
        <f t="shared" si="63"/>
        <v/>
      </c>
      <c r="O73" s="357" t="str">
        <f t="shared" si="64"/>
        <v/>
      </c>
      <c r="P73" s="357" t="str">
        <f t="shared" si="65"/>
        <v/>
      </c>
      <c r="Q73" s="357" t="str">
        <f t="shared" si="66"/>
        <v/>
      </c>
      <c r="R73" s="358" cm="1">
        <f t="array" aca="1" ref="R73" ca="1">IF(OR($A73="",D73=""),"",IFERROR(LOOKUP(2,1/(E73:Q73&lt;&gt;""),E73:Q73)-D73,""))</f>
        <v>4.9188267873450375E-2</v>
      </c>
      <c r="S73" s="349"/>
      <c r="T73" s="362">
        <f t="shared" ca="1" si="67"/>
        <v>134.76359628770302</v>
      </c>
      <c r="U73" s="362">
        <f t="shared" ca="1" si="68"/>
        <v>141.35999999999999</v>
      </c>
      <c r="V73" s="362">
        <f t="shared" ca="1" si="69"/>
        <v>64.285714285714292</v>
      </c>
      <c r="W73" s="362">
        <f t="shared" ca="1" si="70"/>
        <v>141.50071428571428</v>
      </c>
      <c r="X73" s="362">
        <f t="shared" ca="1" si="71"/>
        <v>138.38333333333333</v>
      </c>
      <c r="Y73" s="362">
        <f t="shared" ca="1" si="72"/>
        <v>124.70161290322581</v>
      </c>
      <c r="Z73" s="362">
        <f t="shared" ca="1" si="73"/>
        <v>128.08083333333335</v>
      </c>
      <c r="AA73" s="362">
        <f t="shared" ca="1" si="74"/>
        <v>124.17727272727274</v>
      </c>
      <c r="AB73" s="362">
        <f t="shared" ca="1" si="75"/>
        <v>174.95294117647057</v>
      </c>
      <c r="AC73" s="362" t="str">
        <f t="shared" si="76"/>
        <v/>
      </c>
      <c r="AD73" s="362" t="str">
        <f t="shared" si="77"/>
        <v/>
      </c>
      <c r="AE73" s="362" t="str">
        <f t="shared" si="78"/>
        <v/>
      </c>
      <c r="AF73" s="362" t="str">
        <f t="shared" si="79"/>
        <v/>
      </c>
      <c r="AG73" s="362" t="str">
        <f t="shared" si="80"/>
        <v/>
      </c>
      <c r="AH73" s="363" cm="1">
        <f t="array" aca="1" ref="AH73" ca="1">IF(OR($A73="",T73=""),"",IFERROR(LOOKUP(2,1/(U73:AG73&lt;&gt;""),U73:AG73)-T73,""))</f>
        <v>40.18934488876755</v>
      </c>
      <c r="AI73" s="349"/>
      <c r="AJ73" s="349" cm="1">
        <f t="array" ref="AJ73">IF($A73="","",IFERROR(MATCH($A73,TRIM('Sales and count'!$A$4:$A$300&amp;""),0),""))</f>
        <v>36</v>
      </c>
      <c r="AK73" s="350" cm="1">
        <f t="array" ref="AK73">IF(OR($A73="",AK$6=""),"",IFERROR(INDEX(Footfall!$C$5:$BZ$301,MATCH($A73,TRIM(Footfall!$B$5:$B$301&amp;""),0),AK$5),0))</f>
        <v>3039</v>
      </c>
      <c r="AL73" s="350" cm="1">
        <f t="array" ref="AL73">IF(OR($A73="",AL$6=""),"",IFERROR(INDEX(Footfall!$C$5:$BZ$301,MATCH($A73,TRIM(Footfall!$B$5:$B$301&amp;""),0),AL$5),0))</f>
        <v>85</v>
      </c>
      <c r="AM73" s="350" cm="1">
        <f t="array" ref="AM73">IF(OR($A73="",AM$6=""),"",IFERROR(INDEX(Footfall!$C$5:$BZ$301,MATCH($A73,TRIM(Footfall!$B$5:$B$301&amp;""),0),AM$5),0))</f>
        <v>68</v>
      </c>
      <c r="AN73" s="350" cm="1">
        <f t="array" ref="AN73">IF(OR($A73="",AN$6=""),"",IFERROR(INDEX(Footfall!$C$5:$BZ$301,MATCH($A73,TRIM(Footfall!$B$5:$B$301&amp;""),0),AN$5),0))</f>
        <v>91</v>
      </c>
      <c r="AO73" s="350" cm="1">
        <f t="array" ref="AO73">IF(OR($A73="",AO$6=""),"",IFERROR(INDEX(Footfall!$C$5:$BZ$301,MATCH($A73,TRIM(Footfall!$B$5:$B$301&amp;""),0),AO$5),0))</f>
        <v>100</v>
      </c>
      <c r="AP73" s="350" cm="1">
        <f t="array" ref="AP73">IF(OR($A73="",AP$6=""),"",IFERROR(INDEX(Footfall!$C$5:$BZ$301,MATCH($A73,TRIM(Footfall!$B$5:$B$301&amp;""),0),AP$5),0))</f>
        <v>266</v>
      </c>
      <c r="AQ73" s="350" cm="1">
        <f t="array" ref="AQ73">IF(OR($A73="",AQ$6=""),"",IFERROR(INDEX(Footfall!$C$5:$BZ$301,MATCH($A73,TRIM(Footfall!$B$5:$B$301&amp;""),0),AQ$5),0))</f>
        <v>110</v>
      </c>
      <c r="AR73" s="350" cm="1">
        <f t="array" ref="AR73">IF(OR($A73="",AR$6=""),"",IFERROR(INDEX(Footfall!$C$5:$BZ$301,MATCH($A73,TRIM(Footfall!$B$5:$B$301&amp;""),0),AR$5),0))</f>
        <v>90</v>
      </c>
      <c r="AS73" s="350" cm="1">
        <f t="array" ref="AS73">IF(OR($A73="",AS$6=""),"",IFERROR(INDEX(Footfall!$C$5:$BZ$301,MATCH($A73,TRIM(Footfall!$B$5:$B$301&amp;""),0),AS$5),0))</f>
        <v>89</v>
      </c>
      <c r="AT73" s="350" t="str" cm="1">
        <f t="array" ref="AT73">IF(OR($A73="",AT$6=""),"",IFERROR(INDEX(Footfall!$C$5:$BZ$301,MATCH($A73,TRIM(Footfall!$B$5:$B$301&amp;""),0),AT$5),0))</f>
        <v/>
      </c>
      <c r="AU73" s="350" t="str" cm="1">
        <f t="array" ref="AU73">IF(OR($A73="",AU$6=""),"",IFERROR(INDEX(Footfall!$C$5:$BZ$301,MATCH($A73,TRIM(Footfall!$B$5:$B$301&amp;""),0),AU$5),0))</f>
        <v/>
      </c>
      <c r="AV73" s="350" t="str" cm="1">
        <f t="array" ref="AV73">IF(OR($A73="",AV$6=""),"",IFERROR(INDEX(Footfall!$C$5:$BZ$301,MATCH($A73,TRIM(Footfall!$B$5:$B$301&amp;""),0),AV$5),0))</f>
        <v/>
      </c>
      <c r="AW73" s="350" t="str" cm="1">
        <f t="array" ref="AW73">IF(OR($A73="",AW$6=""),"",IFERROR(INDEX(Footfall!$C$5:$BZ$301,MATCH($A73,TRIM(Footfall!$B$5:$B$301&amp;""),0),AW$5),0))</f>
        <v/>
      </c>
      <c r="AX73" s="350" t="str" cm="1">
        <f t="array" ref="AX73">IF(OR($A73="",AX$6=""),"",IFERROR(INDEX(Footfall!$C$5:$BZ$301,MATCH($A73,TRIM(Footfall!$B$5:$B$301&amp;""),0),AX$5),0))</f>
        <v/>
      </c>
      <c r="AY73" s="350" cm="1">
        <f t="array" aca="1" ref="AY73" ca="1">IF(AK73="","",IF($AJ73="",0,_xlfn.LET(_xlpm.d,IFERROR(--'Sales and count'!$F$2:$CB$2,0),SUMPRODUCT(('Sales and count'!$G$3:$CC$3="Transactions")*(_xlpm.d&gt;=AY$6)*(_xlpm.d&lt;=AY$7),INDEX('Sales and count'!$G$4:$CC$300,$AJ73,0)))))</f>
        <v>431</v>
      </c>
      <c r="AZ73" s="350" cm="1">
        <f t="array" aca="1" ref="AZ73" ca="1">IF(AL73="","",IF($AJ73="",0,_xlfn.LET(_xlpm.d,IFERROR(--'Sales and count'!$F$2:$CB$2,0),SUMPRODUCT(('Sales and count'!$G$3:$CC$3="Transactions")*(_xlpm.d&gt;=AZ$6)*(_xlpm.d&lt;=AZ$7),INDEX('Sales and count'!$G$4:$CC$300,$AJ73,0)))))</f>
        <v>14</v>
      </c>
      <c r="BA73" s="350" cm="1">
        <f t="array" aca="1" ref="BA73" ca="1">IF(AM73="","",IF($AJ73="",0,_xlfn.LET(_xlpm.d,IFERROR(--'Sales and count'!$F$2:$CB$2,0),SUMPRODUCT(('Sales and count'!$G$3:$CC$3="Transactions")*(_xlpm.d&gt;=BA$6)*(_xlpm.d&lt;=BA$7),INDEX('Sales and count'!$G$4:$CC$300,$AJ73,0)))))</f>
        <v>7</v>
      </c>
      <c r="BB73" s="350" cm="1">
        <f t="array" aca="1" ref="BB73" ca="1">IF(AN73="","",IF($AJ73="",0,_xlfn.LET(_xlpm.d,IFERROR(--'Sales and count'!$F$2:$CB$2,0),SUMPRODUCT(('Sales and count'!$G$3:$CC$3="Transactions")*(_xlpm.d&gt;=BB$6)*(_xlpm.d&lt;=BB$7),INDEX('Sales and count'!$G$4:$CC$300,$AJ73,0)))))</f>
        <v>14</v>
      </c>
      <c r="BC73" s="350" cm="1">
        <f t="array" aca="1" ref="BC73" ca="1">IF(AO73="","",IF($AJ73="",0,_xlfn.LET(_xlpm.d,IFERROR(--'Sales and count'!$F$2:$CB$2,0),SUMPRODUCT(('Sales and count'!$G$3:$CC$3="Transactions")*(_xlpm.d&gt;=BC$6)*(_xlpm.d&lt;=BC$7),INDEX('Sales and count'!$G$4:$CC$300,$AJ73,0)))))</f>
        <v>18</v>
      </c>
      <c r="BD73" s="350" cm="1">
        <f t="array" aca="1" ref="BD73" ca="1">IF(AP73="","",IF($AJ73="",0,_xlfn.LET(_xlpm.d,IFERROR(--'Sales and count'!$F$2:$CB$2,0),SUMPRODUCT(('Sales and count'!$G$3:$CC$3="Transactions")*(_xlpm.d&gt;=BD$6)*(_xlpm.d&lt;=BD$7),INDEX('Sales and count'!$G$4:$CC$300,$AJ73,0)))))</f>
        <v>31</v>
      </c>
      <c r="BE73" s="350" cm="1">
        <f t="array" aca="1" ref="BE73" ca="1">IF(AQ73="","",IF($AJ73="",0,_xlfn.LET(_xlpm.d,IFERROR(--'Sales and count'!$F$2:$CB$2,0),SUMPRODUCT(('Sales and count'!$G$3:$CC$3="Transactions")*(_xlpm.d&gt;=BE$6)*(_xlpm.d&lt;=BE$7),INDEX('Sales and count'!$G$4:$CC$300,$AJ73,0)))))</f>
        <v>12</v>
      </c>
      <c r="BF73" s="350" cm="1">
        <f t="array" aca="1" ref="BF73" ca="1">IF(AR73="","",IF($AJ73="",0,_xlfn.LET(_xlpm.d,IFERROR(--'Sales and count'!$F$2:$CB$2,0),SUMPRODUCT(('Sales and count'!$G$3:$CC$3="Transactions")*(_xlpm.d&gt;=BF$6)*(_xlpm.d&lt;=BF$7),INDEX('Sales and count'!$G$4:$CC$300,$AJ73,0)))))</f>
        <v>11</v>
      </c>
      <c r="BG73" s="350" cm="1">
        <f t="array" aca="1" ref="BG73" ca="1">IF(AS73="","",IF($AJ73="",0,_xlfn.LET(_xlpm.d,IFERROR(--'Sales and count'!$F$2:$CB$2,0),SUMPRODUCT(('Sales and count'!$G$3:$CC$3="Transactions")*(_xlpm.d&gt;=BG$6)*(_xlpm.d&lt;=BG$7),INDEX('Sales and count'!$G$4:$CC$300,$AJ73,0)))))</f>
        <v>17</v>
      </c>
      <c r="BH73" s="350" t="str" cm="1">
        <f t="array" ref="BH73">IF(AT73="","",IF($AJ73="",0,_xlfn.LET(_xlpm.d,IFERROR(--'Sales and count'!$F$2:$CB$2,0),SUMPRODUCT(('Sales and count'!$G$3:$CC$3="Transactions")*(_xlpm.d&gt;=BH$6)*(_xlpm.d&lt;=BH$7),INDEX('Sales and count'!$G$4:$CC$300,$AJ73,0)))))</f>
        <v/>
      </c>
      <c r="BI73" s="350" t="str" cm="1">
        <f t="array" ref="BI73">IF(AU73="","",IF($AJ73="",0,_xlfn.LET(_xlpm.d,IFERROR(--'Sales and count'!$F$2:$CB$2,0),SUMPRODUCT(('Sales and count'!$G$3:$CC$3="Transactions")*(_xlpm.d&gt;=BI$6)*(_xlpm.d&lt;=BI$7),INDEX('Sales and count'!$G$4:$CC$300,$AJ73,0)))))</f>
        <v/>
      </c>
      <c r="BJ73" s="350" t="str" cm="1">
        <f t="array" ref="BJ73">IF(AV73="","",IF($AJ73="",0,_xlfn.LET(_xlpm.d,IFERROR(--'Sales and count'!$F$2:$CB$2,0),SUMPRODUCT(('Sales and count'!$G$3:$CC$3="Transactions")*(_xlpm.d&gt;=BJ$6)*(_xlpm.d&lt;=BJ$7),INDEX('Sales and count'!$G$4:$CC$300,$AJ73,0)))))</f>
        <v/>
      </c>
      <c r="BK73" s="350" t="str" cm="1">
        <f t="array" ref="BK73">IF(AW73="","",IF($AJ73="",0,_xlfn.LET(_xlpm.d,IFERROR(--'Sales and count'!$F$2:$CB$2,0),SUMPRODUCT(('Sales and count'!$G$3:$CC$3="Transactions")*(_xlpm.d&gt;=BK$6)*(_xlpm.d&lt;=BK$7),INDEX('Sales and count'!$G$4:$CC$300,$AJ73,0)))))</f>
        <v/>
      </c>
      <c r="BL73" s="350" t="str" cm="1">
        <f t="array" ref="BL73">IF(AX73="","",IF($AJ73="",0,_xlfn.LET(_xlpm.d,IFERROR(--'Sales and count'!$F$2:$CB$2,0),SUMPRODUCT(('Sales and count'!$G$3:$CC$3="Transactions")*(_xlpm.d&gt;=BL$6)*(_xlpm.d&lt;=BL$7),INDEX('Sales and count'!$G$4:$CC$300,$AJ73,0)))))</f>
        <v/>
      </c>
      <c r="BM73" s="350" cm="1">
        <f t="array" ref="BM73">IF(AK73="","",IF($AJ73="",0,_xlfn.LET(_xlpm.d,IFERROR(--'Sales and count'!$G$2:$CC$2,0),SUMPRODUCT(('Sales and count'!$G$3:$CC$3="Total")*(_xlpm.d&gt;=BM$6)*(_xlpm.d&lt;=BM$7),INDEX('Sales and count'!$G$4:$CC$300,$AJ73,0)))))</f>
        <v>58083.11</v>
      </c>
      <c r="BN73" s="350" cm="1">
        <f t="array" ref="BN73">IF(AL73="","",IF($AJ73="",0,_xlfn.LET(_xlpm.d,IFERROR(--'Sales and count'!$G$2:$CC$2,0),SUMPRODUCT(('Sales and count'!$G$3:$CC$3="Total")*(_xlpm.d&gt;=BN$6)*(_xlpm.d&lt;=BN$7),INDEX('Sales and count'!$G$4:$CC$300,$AJ73,0)))))</f>
        <v>1979.04</v>
      </c>
      <c r="BO73" s="350" cm="1">
        <f t="array" ref="BO73">IF(AM73="","",IF($AJ73="",0,_xlfn.LET(_xlpm.d,IFERROR(--'Sales and count'!$G$2:$CC$2,0),SUMPRODUCT(('Sales and count'!$G$3:$CC$3="Total")*(_xlpm.d&gt;=BO$6)*(_xlpm.d&lt;=BO$7),INDEX('Sales and count'!$G$4:$CC$300,$AJ73,0)))))</f>
        <v>450</v>
      </c>
      <c r="BP73" s="350" cm="1">
        <f t="array" ref="BP73">IF(AN73="","",IF($AJ73="",0,_xlfn.LET(_xlpm.d,IFERROR(--'Sales and count'!$G$2:$CC$2,0),SUMPRODUCT(('Sales and count'!$G$3:$CC$3="Total")*(_xlpm.d&gt;=BP$6)*(_xlpm.d&lt;=BP$7),INDEX('Sales and count'!$G$4:$CC$300,$AJ73,0)))))</f>
        <v>1981.01</v>
      </c>
      <c r="BQ73" s="350" cm="1">
        <f t="array" ref="BQ73">IF(AO73="","",IF($AJ73="",0,_xlfn.LET(_xlpm.d,IFERROR(--'Sales and count'!$G$2:$CC$2,0),SUMPRODUCT(('Sales and count'!$G$3:$CC$3="Total")*(_xlpm.d&gt;=BQ$6)*(_xlpm.d&lt;=BQ$7),INDEX('Sales and count'!$G$4:$CC$300,$AJ73,0)))))</f>
        <v>2490.9</v>
      </c>
      <c r="BR73" s="350" cm="1">
        <f t="array" ref="BR73">IF(AP73="","",IF($AJ73="",0,_xlfn.LET(_xlpm.d,IFERROR(--'Sales and count'!$G$2:$CC$2,0),SUMPRODUCT(('Sales and count'!$G$3:$CC$3="Total")*(_xlpm.d&gt;=BR$6)*(_xlpm.d&lt;=BR$7),INDEX('Sales and count'!$G$4:$CC$300,$AJ73,0)))))</f>
        <v>3865.75</v>
      </c>
      <c r="BS73" s="350" cm="1">
        <f t="array" ref="BS73">IF(AQ73="","",IF($AJ73="",0,_xlfn.LET(_xlpm.d,IFERROR(--'Sales and count'!$G$2:$CC$2,0),SUMPRODUCT(('Sales and count'!$G$3:$CC$3="Total")*(_xlpm.d&gt;=BS$6)*(_xlpm.d&lt;=BS$7),INDEX('Sales and count'!$G$4:$CC$300,$AJ73,0)))))</f>
        <v>1536.97</v>
      </c>
      <c r="BT73" s="350" cm="1">
        <f t="array" ref="BT73">IF(AR73="","",IF($AJ73="",0,_xlfn.LET(_xlpm.d,IFERROR(--'Sales and count'!$G$2:$CC$2,0),SUMPRODUCT(('Sales and count'!$G$3:$CC$3="Total")*(_xlpm.d&gt;=BT$6)*(_xlpm.d&lt;=BT$7),INDEX('Sales and count'!$G$4:$CC$300,$AJ73,0)))))</f>
        <v>1365.95</v>
      </c>
      <c r="BU73" s="350" cm="1">
        <f t="array" ref="BU73">IF(AS73="","",IF($AJ73="",0,_xlfn.LET(_xlpm.d,IFERROR(--'Sales and count'!$G$2:$CC$2,0),SUMPRODUCT(('Sales and count'!$G$3:$CC$3="Total")*(_xlpm.d&gt;=BU$6)*(_xlpm.d&lt;=BU$7),INDEX('Sales and count'!$G$4:$CC$300,$AJ73,0)))))</f>
        <v>2974.2</v>
      </c>
      <c r="BV73" s="350" t="str" cm="1">
        <f t="array" ref="BV73">IF(AT73="","",IF($AJ73="",0,_xlfn.LET(_xlpm.d,IFERROR(--'Sales and count'!$G$2:$CC$2,0),SUMPRODUCT(('Sales and count'!$G$3:$CC$3="Total")*(_xlpm.d&gt;=BV$6)*(_xlpm.d&lt;=BV$7),INDEX('Sales and count'!$G$4:$CC$300,$AJ73,0)))))</f>
        <v/>
      </c>
      <c r="BW73" s="350" t="str" cm="1">
        <f t="array" ref="BW73">IF(AU73="","",IF($AJ73="",0,_xlfn.LET(_xlpm.d,IFERROR(--'Sales and count'!$G$2:$CC$2,0),SUMPRODUCT(('Sales and count'!$G$3:$CC$3="Total")*(_xlpm.d&gt;=BW$6)*(_xlpm.d&lt;=BW$7),INDEX('Sales and count'!$G$4:$CC$300,$AJ73,0)))))</f>
        <v/>
      </c>
      <c r="BX73" s="350" t="str" cm="1">
        <f t="array" ref="BX73">IF(AV73="","",IF($AJ73="",0,_xlfn.LET(_xlpm.d,IFERROR(--'Sales and count'!$G$2:$CC$2,0),SUMPRODUCT(('Sales and count'!$G$3:$CC$3="Total")*(_xlpm.d&gt;=BX$6)*(_xlpm.d&lt;=BX$7),INDEX('Sales and count'!$G$4:$CC$300,$AJ73,0)))))</f>
        <v/>
      </c>
      <c r="BY73" s="350" t="str" cm="1">
        <f t="array" ref="BY73">IF(AW73="","",IF($AJ73="",0,_xlfn.LET(_xlpm.d,IFERROR(--'Sales and count'!$G$2:$CC$2,0),SUMPRODUCT(('Sales and count'!$G$3:$CC$3="Total")*(_xlpm.d&gt;=BY$6)*(_xlpm.d&lt;=BY$7),INDEX('Sales and count'!$G$4:$CC$300,$AJ73,0)))))</f>
        <v/>
      </c>
      <c r="BZ73" s="350" t="str" cm="1">
        <f t="array" ref="BZ73">IF(AX73="","",IF($AJ73="",0,_xlfn.LET(_xlpm.d,IFERROR(--'Sales and count'!$G$2:$CC$2,0),SUMPRODUCT(('Sales and count'!$G$3:$CC$3="Total")*(_xlpm.d&gt;=BZ$6)*(_xlpm.d&lt;=BZ$7),INDEX('Sales and count'!$G$4:$CC$300,$AJ73,0)))))</f>
        <v/>
      </c>
    </row>
    <row r="74" spans="1:78" x14ac:dyDescent="0.25">
      <c r="A74" s="356" t="str">
        <v>HAKHAMBLV</v>
      </c>
      <c r="B74" s="356" t="str" cm="1">
        <f t="array" ref="B74">IF($A74="","",_xlfn.XLOOKUP($A74,TRIM(Footfall!$B$5:$B$301&amp;""),Footfall!$A$5:$A$301,""))</f>
        <v>Al Khamis Boulevard</v>
      </c>
      <c r="C74" s="356" t="str" cm="1">
        <f t="array" ref="C74">IF($A74="","",_xlfn.XLOOKUP($A74,TRIM('Sales and count'!$A$4:$A$300&amp;""),'Sales and count'!$C$4:$C$300,"Not set"))</f>
        <v>Khamis meshaet</v>
      </c>
      <c r="D74" s="357">
        <f t="shared" ca="1" si="53"/>
        <v>0.14000000000000001</v>
      </c>
      <c r="E74" s="357">
        <f t="shared" ca="1" si="54"/>
        <v>0.17699115044247787</v>
      </c>
      <c r="F74" s="357">
        <f t="shared" ca="1" si="55"/>
        <v>0.12307692307692308</v>
      </c>
      <c r="G74" s="357">
        <f t="shared" ca="1" si="56"/>
        <v>8.771929824561403E-2</v>
      </c>
      <c r="H74" s="357">
        <f t="shared" ca="1" si="57"/>
        <v>0.12637362637362637</v>
      </c>
      <c r="I74" s="357">
        <f t="shared" ca="1" si="58"/>
        <v>0.15753424657534246</v>
      </c>
      <c r="J74" s="357">
        <f t="shared" ca="1" si="59"/>
        <v>0.10218978102189781</v>
      </c>
      <c r="K74" s="357">
        <f t="shared" ca="1" si="60"/>
        <v>0.14393939393939395</v>
      </c>
      <c r="L74" s="357">
        <f t="shared" ca="1" si="61"/>
        <v>0.11347517730496454</v>
      </c>
      <c r="M74" s="357" t="str">
        <f t="shared" si="62"/>
        <v/>
      </c>
      <c r="N74" s="357" t="str">
        <f t="shared" si="63"/>
        <v/>
      </c>
      <c r="O74" s="357" t="str">
        <f t="shared" si="64"/>
        <v/>
      </c>
      <c r="P74" s="357" t="str">
        <f t="shared" si="65"/>
        <v/>
      </c>
      <c r="Q74" s="357" t="str">
        <f t="shared" si="66"/>
        <v/>
      </c>
      <c r="R74" s="358" cm="1">
        <f t="array" aca="1" ref="R74" ca="1">IF(OR($A74="",D74=""),"",IFERROR(LOOKUP(2,1/(E74:Q74&lt;&gt;""),E74:Q74)-D74,""))</f>
        <v>-2.6524822695035477E-2</v>
      </c>
      <c r="S74" s="349"/>
      <c r="T74" s="362">
        <f t="shared" ca="1" si="67"/>
        <v>148.03866213151929</v>
      </c>
      <c r="U74" s="362">
        <f t="shared" ca="1" si="68"/>
        <v>129.9025</v>
      </c>
      <c r="V74" s="362">
        <f t="shared" ca="1" si="69"/>
        <v>136.315</v>
      </c>
      <c r="W74" s="362">
        <f t="shared" ca="1" si="70"/>
        <v>140</v>
      </c>
      <c r="X74" s="362">
        <f t="shared" ca="1" si="71"/>
        <v>124.3408695652174</v>
      </c>
      <c r="Y74" s="362">
        <f t="shared" ca="1" si="72"/>
        <v>114.95304347826087</v>
      </c>
      <c r="Z74" s="362">
        <f t="shared" ca="1" si="73"/>
        <v>158.20642857142857</v>
      </c>
      <c r="AA74" s="362">
        <f t="shared" ca="1" si="74"/>
        <v>207.72263157894736</v>
      </c>
      <c r="AB74" s="362">
        <f t="shared" ca="1" si="75"/>
        <v>158.82124999999999</v>
      </c>
      <c r="AC74" s="362" t="str">
        <f t="shared" si="76"/>
        <v/>
      </c>
      <c r="AD74" s="362" t="str">
        <f t="shared" si="77"/>
        <v/>
      </c>
      <c r="AE74" s="362" t="str">
        <f t="shared" si="78"/>
        <v/>
      </c>
      <c r="AF74" s="362" t="str">
        <f t="shared" si="79"/>
        <v/>
      </c>
      <c r="AG74" s="362" t="str">
        <f t="shared" si="80"/>
        <v/>
      </c>
      <c r="AH74" s="363" cm="1">
        <f t="array" aca="1" ref="AH74" ca="1">IF(OR($A74="",T74=""),"",IFERROR(LOOKUP(2,1/(U74:AG74&lt;&gt;""),U74:AG74)-T74,""))</f>
        <v>10.782587868480704</v>
      </c>
      <c r="AI74" s="349"/>
      <c r="AJ74" s="349" cm="1">
        <f t="array" ref="AJ74">IF($A74="","",IFERROR(MATCH($A74,TRIM('Sales and count'!$A$4:$A$300&amp;""),0),""))</f>
        <v>111</v>
      </c>
      <c r="AK74" s="350" cm="1">
        <f t="array" ref="AK74">IF(OR($A74="",AK$6=""),"",IFERROR(INDEX(Footfall!$C$5:$BZ$301,MATCH($A74,TRIM(Footfall!$B$5:$B$301&amp;""),0),AK$5),0))</f>
        <v>3150</v>
      </c>
      <c r="AL74" s="350" cm="1">
        <f t="array" ref="AL74">IF(OR($A74="",AL$6=""),"",IFERROR(INDEX(Footfall!$C$5:$BZ$301,MATCH($A74,TRIM(Footfall!$B$5:$B$301&amp;""),0),AL$5),0))</f>
        <v>113</v>
      </c>
      <c r="AM74" s="350" cm="1">
        <f t="array" ref="AM74">IF(OR($A74="",AM$6=""),"",IFERROR(INDEX(Footfall!$C$5:$BZ$301,MATCH($A74,TRIM(Footfall!$B$5:$B$301&amp;""),0),AM$5),0))</f>
        <v>130</v>
      </c>
      <c r="AN74" s="350" cm="1">
        <f t="array" ref="AN74">IF(OR($A74="",AN$6=""),"",IFERROR(INDEX(Footfall!$C$5:$BZ$301,MATCH($A74,TRIM(Footfall!$B$5:$B$301&amp;""),0),AN$5),0))</f>
        <v>114</v>
      </c>
      <c r="AO74" s="350" cm="1">
        <f t="array" ref="AO74">IF(OR($A74="",AO$6=""),"",IFERROR(INDEX(Footfall!$C$5:$BZ$301,MATCH($A74,TRIM(Footfall!$B$5:$B$301&amp;""),0),AO$5),0))</f>
        <v>182</v>
      </c>
      <c r="AP74" s="350" cm="1">
        <f t="array" ref="AP74">IF(OR($A74="",AP$6=""),"",IFERROR(INDEX(Footfall!$C$5:$BZ$301,MATCH($A74,TRIM(Footfall!$B$5:$B$301&amp;""),0),AP$5),0))</f>
        <v>146</v>
      </c>
      <c r="AQ74" s="350" cm="1">
        <f t="array" ref="AQ74">IF(OR($A74="",AQ$6=""),"",IFERROR(INDEX(Footfall!$C$5:$BZ$301,MATCH($A74,TRIM(Footfall!$B$5:$B$301&amp;""),0),AQ$5),0))</f>
        <v>137</v>
      </c>
      <c r="AR74" s="350" cm="1">
        <f t="array" ref="AR74">IF(OR($A74="",AR$6=""),"",IFERROR(INDEX(Footfall!$C$5:$BZ$301,MATCH($A74,TRIM(Footfall!$B$5:$B$301&amp;""),0),AR$5),0))</f>
        <v>132</v>
      </c>
      <c r="AS74" s="350" cm="1">
        <f t="array" ref="AS74">IF(OR($A74="",AS$6=""),"",IFERROR(INDEX(Footfall!$C$5:$BZ$301,MATCH($A74,TRIM(Footfall!$B$5:$B$301&amp;""),0),AS$5),0))</f>
        <v>141</v>
      </c>
      <c r="AT74" s="350" t="str" cm="1">
        <f t="array" ref="AT74">IF(OR($A74="",AT$6=""),"",IFERROR(INDEX(Footfall!$C$5:$BZ$301,MATCH($A74,TRIM(Footfall!$B$5:$B$301&amp;""),0),AT$5),0))</f>
        <v/>
      </c>
      <c r="AU74" s="350" t="str" cm="1">
        <f t="array" ref="AU74">IF(OR($A74="",AU$6=""),"",IFERROR(INDEX(Footfall!$C$5:$BZ$301,MATCH($A74,TRIM(Footfall!$B$5:$B$301&amp;""),0),AU$5),0))</f>
        <v/>
      </c>
      <c r="AV74" s="350" t="str" cm="1">
        <f t="array" ref="AV74">IF(OR($A74="",AV$6=""),"",IFERROR(INDEX(Footfall!$C$5:$BZ$301,MATCH($A74,TRIM(Footfall!$B$5:$B$301&amp;""),0),AV$5),0))</f>
        <v/>
      </c>
      <c r="AW74" s="350" t="str" cm="1">
        <f t="array" ref="AW74">IF(OR($A74="",AW$6=""),"",IFERROR(INDEX(Footfall!$C$5:$BZ$301,MATCH($A74,TRIM(Footfall!$B$5:$B$301&amp;""),0),AW$5),0))</f>
        <v/>
      </c>
      <c r="AX74" s="350" t="str" cm="1">
        <f t="array" ref="AX74">IF(OR($A74="",AX$6=""),"",IFERROR(INDEX(Footfall!$C$5:$BZ$301,MATCH($A74,TRIM(Footfall!$B$5:$B$301&amp;""),0),AX$5),0))</f>
        <v/>
      </c>
      <c r="AY74" s="350" cm="1">
        <f t="array" aca="1" ref="AY74" ca="1">IF(AK74="","",IF($AJ74="",0,_xlfn.LET(_xlpm.d,IFERROR(--'Sales and count'!$F$2:$CB$2,0),SUMPRODUCT(('Sales and count'!$G$3:$CC$3="Transactions")*(_xlpm.d&gt;=AY$6)*(_xlpm.d&lt;=AY$7),INDEX('Sales and count'!$G$4:$CC$300,$AJ74,0)))))</f>
        <v>441</v>
      </c>
      <c r="AZ74" s="350" cm="1">
        <f t="array" aca="1" ref="AZ74" ca="1">IF(AL74="","",IF($AJ74="",0,_xlfn.LET(_xlpm.d,IFERROR(--'Sales and count'!$F$2:$CB$2,0),SUMPRODUCT(('Sales and count'!$G$3:$CC$3="Transactions")*(_xlpm.d&gt;=AZ$6)*(_xlpm.d&lt;=AZ$7),INDEX('Sales and count'!$G$4:$CC$300,$AJ74,0)))))</f>
        <v>20</v>
      </c>
      <c r="BA74" s="350" cm="1">
        <f t="array" aca="1" ref="BA74" ca="1">IF(AM74="","",IF($AJ74="",0,_xlfn.LET(_xlpm.d,IFERROR(--'Sales and count'!$F$2:$CB$2,0),SUMPRODUCT(('Sales and count'!$G$3:$CC$3="Transactions")*(_xlpm.d&gt;=BA$6)*(_xlpm.d&lt;=BA$7),INDEX('Sales and count'!$G$4:$CC$300,$AJ74,0)))))</f>
        <v>16</v>
      </c>
      <c r="BB74" s="350" cm="1">
        <f t="array" aca="1" ref="BB74" ca="1">IF(AN74="","",IF($AJ74="",0,_xlfn.LET(_xlpm.d,IFERROR(--'Sales and count'!$F$2:$CB$2,0),SUMPRODUCT(('Sales and count'!$G$3:$CC$3="Transactions")*(_xlpm.d&gt;=BB$6)*(_xlpm.d&lt;=BB$7),INDEX('Sales and count'!$G$4:$CC$300,$AJ74,0)))))</f>
        <v>10</v>
      </c>
      <c r="BC74" s="350" cm="1">
        <f t="array" aca="1" ref="BC74" ca="1">IF(AO74="","",IF($AJ74="",0,_xlfn.LET(_xlpm.d,IFERROR(--'Sales and count'!$F$2:$CB$2,0),SUMPRODUCT(('Sales and count'!$G$3:$CC$3="Transactions")*(_xlpm.d&gt;=BC$6)*(_xlpm.d&lt;=BC$7),INDEX('Sales and count'!$G$4:$CC$300,$AJ74,0)))))</f>
        <v>23</v>
      </c>
      <c r="BD74" s="350" cm="1">
        <f t="array" aca="1" ref="BD74" ca="1">IF(AP74="","",IF($AJ74="",0,_xlfn.LET(_xlpm.d,IFERROR(--'Sales and count'!$F$2:$CB$2,0),SUMPRODUCT(('Sales and count'!$G$3:$CC$3="Transactions")*(_xlpm.d&gt;=BD$6)*(_xlpm.d&lt;=BD$7),INDEX('Sales and count'!$G$4:$CC$300,$AJ74,0)))))</f>
        <v>23</v>
      </c>
      <c r="BE74" s="350" cm="1">
        <f t="array" aca="1" ref="BE74" ca="1">IF(AQ74="","",IF($AJ74="",0,_xlfn.LET(_xlpm.d,IFERROR(--'Sales and count'!$F$2:$CB$2,0),SUMPRODUCT(('Sales and count'!$G$3:$CC$3="Transactions")*(_xlpm.d&gt;=BE$6)*(_xlpm.d&lt;=BE$7),INDEX('Sales and count'!$G$4:$CC$300,$AJ74,0)))))</f>
        <v>14</v>
      </c>
      <c r="BF74" s="350" cm="1">
        <f t="array" aca="1" ref="BF74" ca="1">IF(AR74="","",IF($AJ74="",0,_xlfn.LET(_xlpm.d,IFERROR(--'Sales and count'!$F$2:$CB$2,0),SUMPRODUCT(('Sales and count'!$G$3:$CC$3="Transactions")*(_xlpm.d&gt;=BF$6)*(_xlpm.d&lt;=BF$7),INDEX('Sales and count'!$G$4:$CC$300,$AJ74,0)))))</f>
        <v>19</v>
      </c>
      <c r="BG74" s="350" cm="1">
        <f t="array" aca="1" ref="BG74" ca="1">IF(AS74="","",IF($AJ74="",0,_xlfn.LET(_xlpm.d,IFERROR(--'Sales and count'!$F$2:$CB$2,0),SUMPRODUCT(('Sales and count'!$G$3:$CC$3="Transactions")*(_xlpm.d&gt;=BG$6)*(_xlpm.d&lt;=BG$7),INDEX('Sales and count'!$G$4:$CC$300,$AJ74,0)))))</f>
        <v>16</v>
      </c>
      <c r="BH74" s="350" t="str" cm="1">
        <f t="array" ref="BH74">IF(AT74="","",IF($AJ74="",0,_xlfn.LET(_xlpm.d,IFERROR(--'Sales and count'!$F$2:$CB$2,0),SUMPRODUCT(('Sales and count'!$G$3:$CC$3="Transactions")*(_xlpm.d&gt;=BH$6)*(_xlpm.d&lt;=BH$7),INDEX('Sales and count'!$G$4:$CC$300,$AJ74,0)))))</f>
        <v/>
      </c>
      <c r="BI74" s="350" t="str" cm="1">
        <f t="array" ref="BI74">IF(AU74="","",IF($AJ74="",0,_xlfn.LET(_xlpm.d,IFERROR(--'Sales and count'!$F$2:$CB$2,0),SUMPRODUCT(('Sales and count'!$G$3:$CC$3="Transactions")*(_xlpm.d&gt;=BI$6)*(_xlpm.d&lt;=BI$7),INDEX('Sales and count'!$G$4:$CC$300,$AJ74,0)))))</f>
        <v/>
      </c>
      <c r="BJ74" s="350" t="str" cm="1">
        <f t="array" ref="BJ74">IF(AV74="","",IF($AJ74="",0,_xlfn.LET(_xlpm.d,IFERROR(--'Sales and count'!$F$2:$CB$2,0),SUMPRODUCT(('Sales and count'!$G$3:$CC$3="Transactions")*(_xlpm.d&gt;=BJ$6)*(_xlpm.d&lt;=BJ$7),INDEX('Sales and count'!$G$4:$CC$300,$AJ74,0)))))</f>
        <v/>
      </c>
      <c r="BK74" s="350" t="str" cm="1">
        <f t="array" ref="BK74">IF(AW74="","",IF($AJ74="",0,_xlfn.LET(_xlpm.d,IFERROR(--'Sales and count'!$F$2:$CB$2,0),SUMPRODUCT(('Sales and count'!$G$3:$CC$3="Transactions")*(_xlpm.d&gt;=BK$6)*(_xlpm.d&lt;=BK$7),INDEX('Sales and count'!$G$4:$CC$300,$AJ74,0)))))</f>
        <v/>
      </c>
      <c r="BL74" s="350" t="str" cm="1">
        <f t="array" ref="BL74">IF(AX74="","",IF($AJ74="",0,_xlfn.LET(_xlpm.d,IFERROR(--'Sales and count'!$F$2:$CB$2,0),SUMPRODUCT(('Sales and count'!$G$3:$CC$3="Transactions")*(_xlpm.d&gt;=BL$6)*(_xlpm.d&lt;=BL$7),INDEX('Sales and count'!$G$4:$CC$300,$AJ74,0)))))</f>
        <v/>
      </c>
      <c r="BM74" s="350" cm="1">
        <f t="array" ref="BM74">IF(AK74="","",IF($AJ74="",0,_xlfn.LET(_xlpm.d,IFERROR(--'Sales and count'!$G$2:$CC$2,0),SUMPRODUCT(('Sales and count'!$G$3:$CC$3="Total")*(_xlpm.d&gt;=BM$6)*(_xlpm.d&lt;=BM$7),INDEX('Sales and count'!$G$4:$CC$300,$AJ74,0)))))</f>
        <v>65285.05</v>
      </c>
      <c r="BN74" s="350" cm="1">
        <f t="array" ref="BN74">IF(AL74="","",IF($AJ74="",0,_xlfn.LET(_xlpm.d,IFERROR(--'Sales and count'!$G$2:$CC$2,0),SUMPRODUCT(('Sales and count'!$G$3:$CC$3="Total")*(_xlpm.d&gt;=BN$6)*(_xlpm.d&lt;=BN$7),INDEX('Sales and count'!$G$4:$CC$300,$AJ74,0)))))</f>
        <v>2598.0500000000002</v>
      </c>
      <c r="BO74" s="350" cm="1">
        <f t="array" ref="BO74">IF(AM74="","",IF($AJ74="",0,_xlfn.LET(_xlpm.d,IFERROR(--'Sales and count'!$G$2:$CC$2,0),SUMPRODUCT(('Sales and count'!$G$3:$CC$3="Total")*(_xlpm.d&gt;=BO$6)*(_xlpm.d&lt;=BO$7),INDEX('Sales and count'!$G$4:$CC$300,$AJ74,0)))))</f>
        <v>2181.04</v>
      </c>
      <c r="BP74" s="350" cm="1">
        <f t="array" ref="BP74">IF(AN74="","",IF($AJ74="",0,_xlfn.LET(_xlpm.d,IFERROR(--'Sales and count'!$G$2:$CC$2,0),SUMPRODUCT(('Sales and count'!$G$3:$CC$3="Total")*(_xlpm.d&gt;=BP$6)*(_xlpm.d&lt;=BP$7),INDEX('Sales and count'!$G$4:$CC$300,$AJ74,0)))))</f>
        <v>1400</v>
      </c>
      <c r="BQ74" s="350" cm="1">
        <f t="array" ref="BQ74">IF(AO74="","",IF($AJ74="",0,_xlfn.LET(_xlpm.d,IFERROR(--'Sales and count'!$G$2:$CC$2,0),SUMPRODUCT(('Sales and count'!$G$3:$CC$3="Total")*(_xlpm.d&gt;=BQ$6)*(_xlpm.d&lt;=BQ$7),INDEX('Sales and count'!$G$4:$CC$300,$AJ74,0)))))</f>
        <v>2859.84</v>
      </c>
      <c r="BR74" s="350" cm="1">
        <f t="array" ref="BR74">IF(AP74="","",IF($AJ74="",0,_xlfn.LET(_xlpm.d,IFERROR(--'Sales and count'!$G$2:$CC$2,0),SUMPRODUCT(('Sales and count'!$G$3:$CC$3="Total")*(_xlpm.d&gt;=BR$6)*(_xlpm.d&lt;=BR$7),INDEX('Sales and count'!$G$4:$CC$300,$AJ74,0)))))</f>
        <v>2643.92</v>
      </c>
      <c r="BS74" s="350" cm="1">
        <f t="array" ref="BS74">IF(AQ74="","",IF($AJ74="",0,_xlfn.LET(_xlpm.d,IFERROR(--'Sales and count'!$G$2:$CC$2,0),SUMPRODUCT(('Sales and count'!$G$3:$CC$3="Total")*(_xlpm.d&gt;=BS$6)*(_xlpm.d&lt;=BS$7),INDEX('Sales and count'!$G$4:$CC$300,$AJ74,0)))))</f>
        <v>2214.89</v>
      </c>
      <c r="BT74" s="350" cm="1">
        <f t="array" ref="BT74">IF(AR74="","",IF($AJ74="",0,_xlfn.LET(_xlpm.d,IFERROR(--'Sales and count'!$G$2:$CC$2,0),SUMPRODUCT(('Sales and count'!$G$3:$CC$3="Total")*(_xlpm.d&gt;=BT$6)*(_xlpm.d&lt;=BT$7),INDEX('Sales and count'!$G$4:$CC$300,$AJ74,0)))))</f>
        <v>3946.73</v>
      </c>
      <c r="BU74" s="350" cm="1">
        <f t="array" ref="BU74">IF(AS74="","",IF($AJ74="",0,_xlfn.LET(_xlpm.d,IFERROR(--'Sales and count'!$G$2:$CC$2,0),SUMPRODUCT(('Sales and count'!$G$3:$CC$3="Total")*(_xlpm.d&gt;=BU$6)*(_xlpm.d&lt;=BU$7),INDEX('Sales and count'!$G$4:$CC$300,$AJ74,0)))))</f>
        <v>2541.14</v>
      </c>
      <c r="BV74" s="350" t="str" cm="1">
        <f t="array" ref="BV74">IF(AT74="","",IF($AJ74="",0,_xlfn.LET(_xlpm.d,IFERROR(--'Sales and count'!$G$2:$CC$2,0),SUMPRODUCT(('Sales and count'!$G$3:$CC$3="Total")*(_xlpm.d&gt;=BV$6)*(_xlpm.d&lt;=BV$7),INDEX('Sales and count'!$G$4:$CC$300,$AJ74,0)))))</f>
        <v/>
      </c>
      <c r="BW74" s="350" t="str" cm="1">
        <f t="array" ref="BW74">IF(AU74="","",IF($AJ74="",0,_xlfn.LET(_xlpm.d,IFERROR(--'Sales and count'!$G$2:$CC$2,0),SUMPRODUCT(('Sales and count'!$G$3:$CC$3="Total")*(_xlpm.d&gt;=BW$6)*(_xlpm.d&lt;=BW$7),INDEX('Sales and count'!$G$4:$CC$300,$AJ74,0)))))</f>
        <v/>
      </c>
      <c r="BX74" s="350" t="str" cm="1">
        <f t="array" ref="BX74">IF(AV74="","",IF($AJ74="",0,_xlfn.LET(_xlpm.d,IFERROR(--'Sales and count'!$G$2:$CC$2,0),SUMPRODUCT(('Sales and count'!$G$3:$CC$3="Total")*(_xlpm.d&gt;=BX$6)*(_xlpm.d&lt;=BX$7),INDEX('Sales and count'!$G$4:$CC$300,$AJ74,0)))))</f>
        <v/>
      </c>
      <c r="BY74" s="350" t="str" cm="1">
        <f t="array" ref="BY74">IF(AW74="","",IF($AJ74="",0,_xlfn.LET(_xlpm.d,IFERROR(--'Sales and count'!$G$2:$CC$2,0),SUMPRODUCT(('Sales and count'!$G$3:$CC$3="Total")*(_xlpm.d&gt;=BY$6)*(_xlpm.d&lt;=BY$7),INDEX('Sales and count'!$G$4:$CC$300,$AJ74,0)))))</f>
        <v/>
      </c>
      <c r="BZ74" s="350" t="str" cm="1">
        <f t="array" ref="BZ74">IF(AX74="","",IF($AJ74="",0,_xlfn.LET(_xlpm.d,IFERROR(--'Sales and count'!$G$2:$CC$2,0),SUMPRODUCT(('Sales and count'!$G$3:$CC$3="Total")*(_xlpm.d&gt;=BZ$6)*(_xlpm.d&lt;=BZ$7),INDEX('Sales and count'!$G$4:$CC$300,$AJ74,0)))))</f>
        <v/>
      </c>
    </row>
    <row r="75" spans="1:78" x14ac:dyDescent="0.25">
      <c r="A75" s="356" t="str">
        <v>HAKHMAVE</v>
      </c>
      <c r="B75" s="356" t="str" cm="1">
        <f t="array" ref="B75">IF($A75="","",_xlfn.XLOOKUP($A75,TRIM(Footfall!$B$5:$B$301&amp;""),Footfall!$A$5:$A$301,""))</f>
        <v>Khamis Avenue</v>
      </c>
      <c r="C75" s="356" t="str" cm="1">
        <f t="array" ref="C75">IF($A75="","",_xlfn.XLOOKUP($A75,TRIM('Sales and count'!$A$4:$A$300&amp;""),'Sales and count'!$C$4:$C$300,"Not set"))</f>
        <v>Khamis meshaet</v>
      </c>
      <c r="D75" s="357">
        <f t="shared" ca="1" si="53"/>
        <v>0.10482758620689656</v>
      </c>
      <c r="E75" s="357">
        <f t="shared" ca="1" si="54"/>
        <v>8.5106382978723402E-2</v>
      </c>
      <c r="F75" s="357">
        <f t="shared" ca="1" si="55"/>
        <v>5.4545454545454543E-2</v>
      </c>
      <c r="G75" s="357">
        <f t="shared" ca="1" si="56"/>
        <v>9.375E-2</v>
      </c>
      <c r="H75" s="357">
        <f t="shared" ca="1" si="57"/>
        <v>5.8333333333333334E-2</v>
      </c>
      <c r="I75" s="357">
        <f t="shared" ca="1" si="58"/>
        <v>6.1946902654867256E-2</v>
      </c>
      <c r="J75" s="357">
        <f t="shared" ca="1" si="59"/>
        <v>6.7164179104477612E-2</v>
      </c>
      <c r="K75" s="357" t="str">
        <f t="shared" si="60"/>
        <v/>
      </c>
      <c r="L75" s="357" t="str">
        <f t="shared" si="61"/>
        <v/>
      </c>
      <c r="M75" s="357" t="str">
        <f t="shared" si="62"/>
        <v/>
      </c>
      <c r="N75" s="357" t="str">
        <f t="shared" si="63"/>
        <v/>
      </c>
      <c r="O75" s="357" t="str">
        <f t="shared" si="64"/>
        <v/>
      </c>
      <c r="P75" s="357" t="str">
        <f t="shared" si="65"/>
        <v/>
      </c>
      <c r="Q75" s="357" t="str">
        <f t="shared" si="66"/>
        <v/>
      </c>
      <c r="R75" s="358" cm="1">
        <f t="array" aca="1" ref="R75" ca="1">IF(OR($A75="",D75=""),"",IFERROR(LOOKUP(2,1/(E75:Q75&lt;&gt;""),E75:Q75)-D75,""))</f>
        <v>-3.7663407102418944E-2</v>
      </c>
      <c r="S75" s="349"/>
      <c r="T75" s="362">
        <f t="shared" ca="1" si="67"/>
        <v>138.4852192982456</v>
      </c>
      <c r="U75" s="362">
        <f t="shared" ca="1" si="68"/>
        <v>142.25</v>
      </c>
      <c r="V75" s="362">
        <f t="shared" ca="1" si="69"/>
        <v>190.33333333333334</v>
      </c>
      <c r="W75" s="362">
        <f t="shared" ca="1" si="70"/>
        <v>126.00111111111111</v>
      </c>
      <c r="X75" s="362">
        <f t="shared" ca="1" si="71"/>
        <v>174.27142857142857</v>
      </c>
      <c r="Y75" s="362">
        <f t="shared" ca="1" si="72"/>
        <v>143.99142857142857</v>
      </c>
      <c r="Z75" s="362">
        <f t="shared" ca="1" si="73"/>
        <v>285.98</v>
      </c>
      <c r="AA75" s="362">
        <f t="shared" ca="1" si="74"/>
        <v>137.8557142857143</v>
      </c>
      <c r="AB75" s="362">
        <f t="shared" ca="1" si="75"/>
        <v>195.76499999999999</v>
      </c>
      <c r="AC75" s="362" t="str">
        <f t="shared" si="76"/>
        <v/>
      </c>
      <c r="AD75" s="362" t="str">
        <f t="shared" si="77"/>
        <v/>
      </c>
      <c r="AE75" s="362" t="str">
        <f t="shared" si="78"/>
        <v/>
      </c>
      <c r="AF75" s="362" t="str">
        <f t="shared" si="79"/>
        <v/>
      </c>
      <c r="AG75" s="362" t="str">
        <f t="shared" si="80"/>
        <v/>
      </c>
      <c r="AH75" s="363" cm="1">
        <f t="array" aca="1" ref="AH75" ca="1">IF(OR($A75="",T75=""),"",IFERROR(LOOKUP(2,1/(U75:AG75&lt;&gt;""),U75:AG75)-T75,""))</f>
        <v>57.27978070175439</v>
      </c>
      <c r="AI75" s="349"/>
      <c r="AJ75" s="349" cm="1">
        <f t="array" ref="AJ75">IF($A75="","",IFERROR(MATCH($A75,TRIM('Sales and count'!$A$4:$A$300&amp;""),0),""))</f>
        <v>113</v>
      </c>
      <c r="AK75" s="350" cm="1">
        <f t="array" ref="AK75">IF(OR($A75="",AK$6=""),"",IFERROR(INDEX(Footfall!$C$5:$BZ$301,MATCH($A75,TRIM(Footfall!$B$5:$B$301&amp;""),0),AK$5),0))</f>
        <v>2175</v>
      </c>
      <c r="AL75" s="350" cm="1">
        <f t="array" ref="AL75">IF(OR($A75="",AL$6=""),"",IFERROR(INDEX(Footfall!$C$5:$BZ$301,MATCH($A75,TRIM(Footfall!$B$5:$B$301&amp;""),0),AL$5),0))</f>
        <v>94</v>
      </c>
      <c r="AM75" s="350" cm="1">
        <f t="array" ref="AM75">IF(OR($A75="",AM$6=""),"",IFERROR(INDEX(Footfall!$C$5:$BZ$301,MATCH($A75,TRIM(Footfall!$B$5:$B$301&amp;""),0),AM$5),0))</f>
        <v>55</v>
      </c>
      <c r="AN75" s="350" cm="1">
        <f t="array" ref="AN75">IF(OR($A75="",AN$6=""),"",IFERROR(INDEX(Footfall!$C$5:$BZ$301,MATCH($A75,TRIM(Footfall!$B$5:$B$301&amp;""),0),AN$5),0))</f>
        <v>96</v>
      </c>
      <c r="AO75" s="350" cm="1">
        <f t="array" ref="AO75">IF(OR($A75="",AO$6=""),"",IFERROR(INDEX(Footfall!$C$5:$BZ$301,MATCH($A75,TRIM(Footfall!$B$5:$B$301&amp;""),0),AO$5),0))</f>
        <v>120</v>
      </c>
      <c r="AP75" s="350" cm="1">
        <f t="array" ref="AP75">IF(OR($A75="",AP$6=""),"",IFERROR(INDEX(Footfall!$C$5:$BZ$301,MATCH($A75,TRIM(Footfall!$B$5:$B$301&amp;""),0),AP$5),0))</f>
        <v>113</v>
      </c>
      <c r="AQ75" s="350" cm="1">
        <f t="array" ref="AQ75">IF(OR($A75="",AQ$6=""),"",IFERROR(INDEX(Footfall!$C$5:$BZ$301,MATCH($A75,TRIM(Footfall!$B$5:$B$301&amp;""),0),AQ$5),0))</f>
        <v>134</v>
      </c>
      <c r="AR75" s="350" cm="1">
        <f t="array" ref="AR75">IF(OR($A75="",AR$6=""),"",IFERROR(INDEX(Footfall!$C$5:$BZ$301,MATCH($A75,TRIM(Footfall!$B$5:$B$301&amp;""),0),AR$5),0))</f>
        <v>0</v>
      </c>
      <c r="AS75" s="350" cm="1">
        <f t="array" ref="AS75">IF(OR($A75="",AS$6=""),"",IFERROR(INDEX(Footfall!$C$5:$BZ$301,MATCH($A75,TRIM(Footfall!$B$5:$B$301&amp;""),0),AS$5),0))</f>
        <v>0</v>
      </c>
      <c r="AT75" s="350" t="str" cm="1">
        <f t="array" ref="AT75">IF(OR($A75="",AT$6=""),"",IFERROR(INDEX(Footfall!$C$5:$BZ$301,MATCH($A75,TRIM(Footfall!$B$5:$B$301&amp;""),0),AT$5),0))</f>
        <v/>
      </c>
      <c r="AU75" s="350" t="str" cm="1">
        <f t="array" ref="AU75">IF(OR($A75="",AU$6=""),"",IFERROR(INDEX(Footfall!$C$5:$BZ$301,MATCH($A75,TRIM(Footfall!$B$5:$B$301&amp;""),0),AU$5),0))</f>
        <v/>
      </c>
      <c r="AV75" s="350" t="str" cm="1">
        <f t="array" ref="AV75">IF(OR($A75="",AV$6=""),"",IFERROR(INDEX(Footfall!$C$5:$BZ$301,MATCH($A75,TRIM(Footfall!$B$5:$B$301&amp;""),0),AV$5),0))</f>
        <v/>
      </c>
      <c r="AW75" s="350" t="str" cm="1">
        <f t="array" ref="AW75">IF(OR($A75="",AW$6=""),"",IFERROR(INDEX(Footfall!$C$5:$BZ$301,MATCH($A75,TRIM(Footfall!$B$5:$B$301&amp;""),0),AW$5),0))</f>
        <v/>
      </c>
      <c r="AX75" s="350" t="str" cm="1">
        <f t="array" ref="AX75">IF(OR($A75="",AX$6=""),"",IFERROR(INDEX(Footfall!$C$5:$BZ$301,MATCH($A75,TRIM(Footfall!$B$5:$B$301&amp;""),0),AX$5),0))</f>
        <v/>
      </c>
      <c r="AY75" s="350" cm="1">
        <f t="array" aca="1" ref="AY75" ca="1">IF(AK75="","",IF($AJ75="",0,_xlfn.LET(_xlpm.d,IFERROR(--'Sales and count'!$F$2:$CB$2,0),SUMPRODUCT(('Sales and count'!$G$3:$CC$3="Transactions")*(_xlpm.d&gt;=AY$6)*(_xlpm.d&lt;=AY$7),INDEX('Sales and count'!$G$4:$CC$300,$AJ75,0)))))</f>
        <v>228</v>
      </c>
      <c r="AZ75" s="350" cm="1">
        <f t="array" aca="1" ref="AZ75" ca="1">IF(AL75="","",IF($AJ75="",0,_xlfn.LET(_xlpm.d,IFERROR(--'Sales and count'!$F$2:$CB$2,0),SUMPRODUCT(('Sales and count'!$G$3:$CC$3="Transactions")*(_xlpm.d&gt;=AZ$6)*(_xlpm.d&lt;=AZ$7),INDEX('Sales and count'!$G$4:$CC$300,$AJ75,0)))))</f>
        <v>8</v>
      </c>
      <c r="BA75" s="350" cm="1">
        <f t="array" aca="1" ref="BA75" ca="1">IF(AM75="","",IF($AJ75="",0,_xlfn.LET(_xlpm.d,IFERROR(--'Sales and count'!$F$2:$CB$2,0),SUMPRODUCT(('Sales and count'!$G$3:$CC$3="Transactions")*(_xlpm.d&gt;=BA$6)*(_xlpm.d&lt;=BA$7),INDEX('Sales and count'!$G$4:$CC$300,$AJ75,0)))))</f>
        <v>3</v>
      </c>
      <c r="BB75" s="350" cm="1">
        <f t="array" aca="1" ref="BB75" ca="1">IF(AN75="","",IF($AJ75="",0,_xlfn.LET(_xlpm.d,IFERROR(--'Sales and count'!$F$2:$CB$2,0),SUMPRODUCT(('Sales and count'!$G$3:$CC$3="Transactions")*(_xlpm.d&gt;=BB$6)*(_xlpm.d&lt;=BB$7),INDEX('Sales and count'!$G$4:$CC$300,$AJ75,0)))))</f>
        <v>9</v>
      </c>
      <c r="BC75" s="350" cm="1">
        <f t="array" aca="1" ref="BC75" ca="1">IF(AO75="","",IF($AJ75="",0,_xlfn.LET(_xlpm.d,IFERROR(--'Sales and count'!$F$2:$CB$2,0),SUMPRODUCT(('Sales and count'!$G$3:$CC$3="Transactions")*(_xlpm.d&gt;=BC$6)*(_xlpm.d&lt;=BC$7),INDEX('Sales and count'!$G$4:$CC$300,$AJ75,0)))))</f>
        <v>7</v>
      </c>
      <c r="BD75" s="350" cm="1">
        <f t="array" aca="1" ref="BD75" ca="1">IF(AP75="","",IF($AJ75="",0,_xlfn.LET(_xlpm.d,IFERROR(--'Sales and count'!$F$2:$CB$2,0),SUMPRODUCT(('Sales and count'!$G$3:$CC$3="Transactions")*(_xlpm.d&gt;=BD$6)*(_xlpm.d&lt;=BD$7),INDEX('Sales and count'!$G$4:$CC$300,$AJ75,0)))))</f>
        <v>7</v>
      </c>
      <c r="BE75" s="350" cm="1">
        <f t="array" aca="1" ref="BE75" ca="1">IF(AQ75="","",IF($AJ75="",0,_xlfn.LET(_xlpm.d,IFERROR(--'Sales and count'!$F$2:$CB$2,0),SUMPRODUCT(('Sales and count'!$G$3:$CC$3="Transactions")*(_xlpm.d&gt;=BE$6)*(_xlpm.d&lt;=BE$7),INDEX('Sales and count'!$G$4:$CC$300,$AJ75,0)))))</f>
        <v>9</v>
      </c>
      <c r="BF75" s="350" cm="1">
        <f t="array" aca="1" ref="BF75" ca="1">IF(AR75="","",IF($AJ75="",0,_xlfn.LET(_xlpm.d,IFERROR(--'Sales and count'!$F$2:$CB$2,0),SUMPRODUCT(('Sales and count'!$G$3:$CC$3="Transactions")*(_xlpm.d&gt;=BF$6)*(_xlpm.d&lt;=BF$7),INDEX('Sales and count'!$G$4:$CC$300,$AJ75,0)))))</f>
        <v>7</v>
      </c>
      <c r="BG75" s="350" cm="1">
        <f t="array" aca="1" ref="BG75" ca="1">IF(AS75="","",IF($AJ75="",0,_xlfn.LET(_xlpm.d,IFERROR(--'Sales and count'!$F$2:$CB$2,0),SUMPRODUCT(('Sales and count'!$G$3:$CC$3="Transactions")*(_xlpm.d&gt;=BG$6)*(_xlpm.d&lt;=BG$7),INDEX('Sales and count'!$G$4:$CC$300,$AJ75,0)))))</f>
        <v>4</v>
      </c>
      <c r="BH75" s="350" t="str" cm="1">
        <f t="array" ref="BH75">IF(AT75="","",IF($AJ75="",0,_xlfn.LET(_xlpm.d,IFERROR(--'Sales and count'!$F$2:$CB$2,0),SUMPRODUCT(('Sales and count'!$G$3:$CC$3="Transactions")*(_xlpm.d&gt;=BH$6)*(_xlpm.d&lt;=BH$7),INDEX('Sales and count'!$G$4:$CC$300,$AJ75,0)))))</f>
        <v/>
      </c>
      <c r="BI75" s="350" t="str" cm="1">
        <f t="array" ref="BI75">IF(AU75="","",IF($AJ75="",0,_xlfn.LET(_xlpm.d,IFERROR(--'Sales and count'!$F$2:$CB$2,0),SUMPRODUCT(('Sales and count'!$G$3:$CC$3="Transactions")*(_xlpm.d&gt;=BI$6)*(_xlpm.d&lt;=BI$7),INDEX('Sales and count'!$G$4:$CC$300,$AJ75,0)))))</f>
        <v/>
      </c>
      <c r="BJ75" s="350" t="str" cm="1">
        <f t="array" ref="BJ75">IF(AV75="","",IF($AJ75="",0,_xlfn.LET(_xlpm.d,IFERROR(--'Sales and count'!$F$2:$CB$2,0),SUMPRODUCT(('Sales and count'!$G$3:$CC$3="Transactions")*(_xlpm.d&gt;=BJ$6)*(_xlpm.d&lt;=BJ$7),INDEX('Sales and count'!$G$4:$CC$300,$AJ75,0)))))</f>
        <v/>
      </c>
      <c r="BK75" s="350" t="str" cm="1">
        <f t="array" ref="BK75">IF(AW75="","",IF($AJ75="",0,_xlfn.LET(_xlpm.d,IFERROR(--'Sales and count'!$F$2:$CB$2,0),SUMPRODUCT(('Sales and count'!$G$3:$CC$3="Transactions")*(_xlpm.d&gt;=BK$6)*(_xlpm.d&lt;=BK$7),INDEX('Sales and count'!$G$4:$CC$300,$AJ75,0)))))</f>
        <v/>
      </c>
      <c r="BL75" s="350" t="str" cm="1">
        <f t="array" ref="BL75">IF(AX75="","",IF($AJ75="",0,_xlfn.LET(_xlpm.d,IFERROR(--'Sales and count'!$F$2:$CB$2,0),SUMPRODUCT(('Sales and count'!$G$3:$CC$3="Transactions")*(_xlpm.d&gt;=BL$6)*(_xlpm.d&lt;=BL$7),INDEX('Sales and count'!$G$4:$CC$300,$AJ75,0)))))</f>
        <v/>
      </c>
      <c r="BM75" s="350" cm="1">
        <f t="array" ref="BM75">IF(AK75="","",IF($AJ75="",0,_xlfn.LET(_xlpm.d,IFERROR(--'Sales and count'!$G$2:$CC$2,0),SUMPRODUCT(('Sales and count'!$G$3:$CC$3="Total")*(_xlpm.d&gt;=BM$6)*(_xlpm.d&lt;=BM$7),INDEX('Sales and count'!$G$4:$CC$300,$AJ75,0)))))</f>
        <v>31574.629999999997</v>
      </c>
      <c r="BN75" s="350" cm="1">
        <f t="array" ref="BN75">IF(AL75="","",IF($AJ75="",0,_xlfn.LET(_xlpm.d,IFERROR(--'Sales and count'!$G$2:$CC$2,0),SUMPRODUCT(('Sales and count'!$G$3:$CC$3="Total")*(_xlpm.d&gt;=BN$6)*(_xlpm.d&lt;=BN$7),INDEX('Sales and count'!$G$4:$CC$300,$AJ75,0)))))</f>
        <v>1138</v>
      </c>
      <c r="BO75" s="350" cm="1">
        <f t="array" ref="BO75">IF(AM75="","",IF($AJ75="",0,_xlfn.LET(_xlpm.d,IFERROR(--'Sales and count'!$G$2:$CC$2,0),SUMPRODUCT(('Sales and count'!$G$3:$CC$3="Total")*(_xlpm.d&gt;=BO$6)*(_xlpm.d&lt;=BO$7),INDEX('Sales and count'!$G$4:$CC$300,$AJ75,0)))))</f>
        <v>571</v>
      </c>
      <c r="BP75" s="350" cm="1">
        <f t="array" ref="BP75">IF(AN75="","",IF($AJ75="",0,_xlfn.LET(_xlpm.d,IFERROR(--'Sales and count'!$G$2:$CC$2,0),SUMPRODUCT(('Sales and count'!$G$3:$CC$3="Total")*(_xlpm.d&gt;=BP$6)*(_xlpm.d&lt;=BP$7),INDEX('Sales and count'!$G$4:$CC$300,$AJ75,0)))))</f>
        <v>1134.01</v>
      </c>
      <c r="BQ75" s="350" cm="1">
        <f t="array" ref="BQ75">IF(AO75="","",IF($AJ75="",0,_xlfn.LET(_xlpm.d,IFERROR(--'Sales and count'!$G$2:$CC$2,0),SUMPRODUCT(('Sales and count'!$G$3:$CC$3="Total")*(_xlpm.d&gt;=BQ$6)*(_xlpm.d&lt;=BQ$7),INDEX('Sales and count'!$G$4:$CC$300,$AJ75,0)))))</f>
        <v>1219.9000000000001</v>
      </c>
      <c r="BR75" s="350" cm="1">
        <f t="array" ref="BR75">IF(AP75="","",IF($AJ75="",0,_xlfn.LET(_xlpm.d,IFERROR(--'Sales and count'!$G$2:$CC$2,0),SUMPRODUCT(('Sales and count'!$G$3:$CC$3="Total")*(_xlpm.d&gt;=BR$6)*(_xlpm.d&lt;=BR$7),INDEX('Sales and count'!$G$4:$CC$300,$AJ75,0)))))</f>
        <v>1007.94</v>
      </c>
      <c r="BS75" s="350" cm="1">
        <f t="array" ref="BS75">IF(AQ75="","",IF($AJ75="",0,_xlfn.LET(_xlpm.d,IFERROR(--'Sales and count'!$G$2:$CC$2,0),SUMPRODUCT(('Sales and count'!$G$3:$CC$3="Total")*(_xlpm.d&gt;=BS$6)*(_xlpm.d&lt;=BS$7),INDEX('Sales and count'!$G$4:$CC$300,$AJ75,0)))))</f>
        <v>2573.8200000000002</v>
      </c>
      <c r="BT75" s="350" cm="1">
        <f t="array" ref="BT75">IF(AR75="","",IF($AJ75="",0,_xlfn.LET(_xlpm.d,IFERROR(--'Sales and count'!$G$2:$CC$2,0),SUMPRODUCT(('Sales and count'!$G$3:$CC$3="Total")*(_xlpm.d&gt;=BT$6)*(_xlpm.d&lt;=BT$7),INDEX('Sales and count'!$G$4:$CC$300,$AJ75,0)))))</f>
        <v>964.99</v>
      </c>
      <c r="BU75" s="350" cm="1">
        <f t="array" ref="BU75">IF(AS75="","",IF($AJ75="",0,_xlfn.LET(_xlpm.d,IFERROR(--'Sales and count'!$G$2:$CC$2,0),SUMPRODUCT(('Sales and count'!$G$3:$CC$3="Total")*(_xlpm.d&gt;=BU$6)*(_xlpm.d&lt;=BU$7),INDEX('Sales and count'!$G$4:$CC$300,$AJ75,0)))))</f>
        <v>783.06</v>
      </c>
      <c r="BV75" s="350" t="str" cm="1">
        <f t="array" ref="BV75">IF(AT75="","",IF($AJ75="",0,_xlfn.LET(_xlpm.d,IFERROR(--'Sales and count'!$G$2:$CC$2,0),SUMPRODUCT(('Sales and count'!$G$3:$CC$3="Total")*(_xlpm.d&gt;=BV$6)*(_xlpm.d&lt;=BV$7),INDEX('Sales and count'!$G$4:$CC$300,$AJ75,0)))))</f>
        <v/>
      </c>
      <c r="BW75" s="350" t="str" cm="1">
        <f t="array" ref="BW75">IF(AU75="","",IF($AJ75="",0,_xlfn.LET(_xlpm.d,IFERROR(--'Sales and count'!$G$2:$CC$2,0),SUMPRODUCT(('Sales and count'!$G$3:$CC$3="Total")*(_xlpm.d&gt;=BW$6)*(_xlpm.d&lt;=BW$7),INDEX('Sales and count'!$G$4:$CC$300,$AJ75,0)))))</f>
        <v/>
      </c>
      <c r="BX75" s="350" t="str" cm="1">
        <f t="array" ref="BX75">IF(AV75="","",IF($AJ75="",0,_xlfn.LET(_xlpm.d,IFERROR(--'Sales and count'!$G$2:$CC$2,0),SUMPRODUCT(('Sales and count'!$G$3:$CC$3="Total")*(_xlpm.d&gt;=BX$6)*(_xlpm.d&lt;=BX$7),INDEX('Sales and count'!$G$4:$CC$300,$AJ75,0)))))</f>
        <v/>
      </c>
      <c r="BY75" s="350" t="str" cm="1">
        <f t="array" ref="BY75">IF(AW75="","",IF($AJ75="",0,_xlfn.LET(_xlpm.d,IFERROR(--'Sales and count'!$G$2:$CC$2,0),SUMPRODUCT(('Sales and count'!$G$3:$CC$3="Total")*(_xlpm.d&gt;=BY$6)*(_xlpm.d&lt;=BY$7),INDEX('Sales and count'!$G$4:$CC$300,$AJ75,0)))))</f>
        <v/>
      </c>
      <c r="BZ75" s="350" t="str" cm="1">
        <f t="array" ref="BZ75">IF(AX75="","",IF($AJ75="",0,_xlfn.LET(_xlpm.d,IFERROR(--'Sales and count'!$G$2:$CC$2,0),SUMPRODUCT(('Sales and count'!$G$3:$CC$3="Total")*(_xlpm.d&gt;=BZ$6)*(_xlpm.d&lt;=BZ$7),INDEX('Sales and count'!$G$4:$CC$300,$AJ75,0)))))</f>
        <v/>
      </c>
    </row>
    <row r="76" spans="1:78" x14ac:dyDescent="0.25">
      <c r="A76" s="356" t="str">
        <v>HAMUJANPRK</v>
      </c>
      <c r="B76" s="356" t="str" cm="1">
        <f t="array" ref="B76">IF($A76="","",_xlfn.XLOOKUP($A76,TRIM(Footfall!$B$5:$B$301&amp;""),Footfall!$A$5:$A$301,""))</f>
        <v>Mujan Park Khamis</v>
      </c>
      <c r="C76" s="356" t="str" cm="1">
        <f t="array" ref="C76">IF($A76="","",_xlfn.XLOOKUP($A76,TRIM('Sales and count'!$A$4:$A$300&amp;""),'Sales and count'!$C$4:$C$300,"Not set"))</f>
        <v>Khamis meshaet</v>
      </c>
      <c r="D76" s="357">
        <f t="shared" ca="1" si="53"/>
        <v>0.10956312349501204</v>
      </c>
      <c r="E76" s="357">
        <f t="shared" ca="1" si="54"/>
        <v>6.8965517241379309E-2</v>
      </c>
      <c r="F76" s="357">
        <f t="shared" ca="1" si="55"/>
        <v>7.650273224043716E-2</v>
      </c>
      <c r="G76" s="357">
        <f t="shared" ca="1" si="56"/>
        <v>0.11299435028248588</v>
      </c>
      <c r="H76" s="357">
        <f t="shared" ca="1" si="57"/>
        <v>5.8495821727019497E-2</v>
      </c>
      <c r="I76" s="357">
        <f t="shared" ca="1" si="58"/>
        <v>7.1672354948805458E-2</v>
      </c>
      <c r="J76" s="357">
        <f t="shared" ca="1" si="59"/>
        <v>6.3670411985018729E-2</v>
      </c>
      <c r="K76" s="357">
        <f t="shared" ca="1" si="60"/>
        <v>0.10416666666666667</v>
      </c>
      <c r="L76" s="357">
        <f t="shared" ca="1" si="61"/>
        <v>0.11046511627906977</v>
      </c>
      <c r="M76" s="357" t="str">
        <f t="shared" si="62"/>
        <v/>
      </c>
      <c r="N76" s="357" t="str">
        <f t="shared" si="63"/>
        <v/>
      </c>
      <c r="O76" s="357" t="str">
        <f t="shared" si="64"/>
        <v/>
      </c>
      <c r="P76" s="357" t="str">
        <f t="shared" si="65"/>
        <v/>
      </c>
      <c r="Q76" s="357" t="str">
        <f t="shared" si="66"/>
        <v/>
      </c>
      <c r="R76" s="358" cm="1">
        <f t="array" aca="1" ref="R76" ca="1">IF(OR($A76="",D76=""),"",IFERROR(LOOKUP(2,1/(E76:Q76&lt;&gt;""),E76:Q76)-D76,""))</f>
        <v>9.0199278405772576E-4</v>
      </c>
      <c r="S76" s="349"/>
      <c r="T76" s="362">
        <f t="shared" ca="1" si="67"/>
        <v>162.58682888540031</v>
      </c>
      <c r="U76" s="362">
        <f t="shared" ca="1" si="68"/>
        <v>155.57357142857146</v>
      </c>
      <c r="V76" s="362">
        <f t="shared" ca="1" si="69"/>
        <v>177.92928571428573</v>
      </c>
      <c r="W76" s="362">
        <f t="shared" ca="1" si="70"/>
        <v>174.45150000000001</v>
      </c>
      <c r="X76" s="362">
        <f t="shared" ca="1" si="71"/>
        <v>177.08714285714285</v>
      </c>
      <c r="Y76" s="362">
        <f t="shared" ca="1" si="72"/>
        <v>233.93428571428572</v>
      </c>
      <c r="Z76" s="362">
        <f t="shared" ca="1" si="73"/>
        <v>202.04705882352943</v>
      </c>
      <c r="AA76" s="362">
        <f t="shared" ca="1" si="74"/>
        <v>178.69</v>
      </c>
      <c r="AB76" s="362">
        <f t="shared" ca="1" si="75"/>
        <v>148.69526315789474</v>
      </c>
      <c r="AC76" s="362" t="str">
        <f t="shared" si="76"/>
        <v/>
      </c>
      <c r="AD76" s="362" t="str">
        <f t="shared" si="77"/>
        <v/>
      </c>
      <c r="AE76" s="362" t="str">
        <f t="shared" si="78"/>
        <v/>
      </c>
      <c r="AF76" s="362" t="str">
        <f t="shared" si="79"/>
        <v/>
      </c>
      <c r="AG76" s="362" t="str">
        <f t="shared" si="80"/>
        <v/>
      </c>
      <c r="AH76" s="363" cm="1">
        <f t="array" aca="1" ref="AH76" ca="1">IF(OR($A76="",T76=""),"",IFERROR(LOOKUP(2,1/(U76:AG76&lt;&gt;""),U76:AG76)-T76,""))</f>
        <v>-13.891565727505565</v>
      </c>
      <c r="AI76" s="349"/>
      <c r="AJ76" s="349" cm="1">
        <f t="array" ref="AJ76">IF($A76="","",IFERROR(MATCH($A76,TRIM('Sales and count'!$A$4:$A$300&amp;""),0),""))</f>
        <v>93</v>
      </c>
      <c r="AK76" s="350" cm="1">
        <f t="array" ref="AK76">IF(OR($A76="",AK$6=""),"",IFERROR(INDEX(Footfall!$C$5:$BZ$301,MATCH($A76,TRIM(Footfall!$B$5:$B$301&amp;""),0),AK$5),0))</f>
        <v>5814</v>
      </c>
      <c r="AL76" s="350" cm="1">
        <f t="array" ref="AL76">IF(OR($A76="",AL$6=""),"",IFERROR(INDEX(Footfall!$C$5:$BZ$301,MATCH($A76,TRIM(Footfall!$B$5:$B$301&amp;""),0),AL$5),0))</f>
        <v>203</v>
      </c>
      <c r="AM76" s="350" cm="1">
        <f t="array" ref="AM76">IF(OR($A76="",AM$6=""),"",IFERROR(INDEX(Footfall!$C$5:$BZ$301,MATCH($A76,TRIM(Footfall!$B$5:$B$301&amp;""),0),AM$5),0))</f>
        <v>183</v>
      </c>
      <c r="AN76" s="350" cm="1">
        <f t="array" ref="AN76">IF(OR($A76="",AN$6=""),"",IFERROR(INDEX(Footfall!$C$5:$BZ$301,MATCH($A76,TRIM(Footfall!$B$5:$B$301&amp;""),0),AN$5),0))</f>
        <v>177</v>
      </c>
      <c r="AO76" s="350" cm="1">
        <f t="array" ref="AO76">IF(OR($A76="",AO$6=""),"",IFERROR(INDEX(Footfall!$C$5:$BZ$301,MATCH($A76,TRIM(Footfall!$B$5:$B$301&amp;""),0),AO$5),0))</f>
        <v>359</v>
      </c>
      <c r="AP76" s="350" cm="1">
        <f t="array" ref="AP76">IF(OR($A76="",AP$6=""),"",IFERROR(INDEX(Footfall!$C$5:$BZ$301,MATCH($A76,TRIM(Footfall!$B$5:$B$301&amp;""),0),AP$5),0))</f>
        <v>293</v>
      </c>
      <c r="AQ76" s="350" cm="1">
        <f t="array" ref="AQ76">IF(OR($A76="",AQ$6=""),"",IFERROR(INDEX(Footfall!$C$5:$BZ$301,MATCH($A76,TRIM(Footfall!$B$5:$B$301&amp;""),0),AQ$5),0))</f>
        <v>267</v>
      </c>
      <c r="AR76" s="350" cm="1">
        <f t="array" ref="AR76">IF(OR($A76="",AR$6=""),"",IFERROR(INDEX(Footfall!$C$5:$BZ$301,MATCH($A76,TRIM(Footfall!$B$5:$B$301&amp;""),0),AR$5),0))</f>
        <v>192</v>
      </c>
      <c r="AS76" s="350" cm="1">
        <f t="array" ref="AS76">IF(OR($A76="",AS$6=""),"",IFERROR(INDEX(Footfall!$C$5:$BZ$301,MATCH($A76,TRIM(Footfall!$B$5:$B$301&amp;""),0),AS$5),0))</f>
        <v>172</v>
      </c>
      <c r="AT76" s="350" t="str" cm="1">
        <f t="array" ref="AT76">IF(OR($A76="",AT$6=""),"",IFERROR(INDEX(Footfall!$C$5:$BZ$301,MATCH($A76,TRIM(Footfall!$B$5:$B$301&amp;""),0),AT$5),0))</f>
        <v/>
      </c>
      <c r="AU76" s="350" t="str" cm="1">
        <f t="array" ref="AU76">IF(OR($A76="",AU$6=""),"",IFERROR(INDEX(Footfall!$C$5:$BZ$301,MATCH($A76,TRIM(Footfall!$B$5:$B$301&amp;""),0),AU$5),0))</f>
        <v/>
      </c>
      <c r="AV76" s="350" t="str" cm="1">
        <f t="array" ref="AV76">IF(OR($A76="",AV$6=""),"",IFERROR(INDEX(Footfall!$C$5:$BZ$301,MATCH($A76,TRIM(Footfall!$B$5:$B$301&amp;""),0),AV$5),0))</f>
        <v/>
      </c>
      <c r="AW76" s="350" t="str" cm="1">
        <f t="array" ref="AW76">IF(OR($A76="",AW$6=""),"",IFERROR(INDEX(Footfall!$C$5:$BZ$301,MATCH($A76,TRIM(Footfall!$B$5:$B$301&amp;""),0),AW$5),0))</f>
        <v/>
      </c>
      <c r="AX76" s="350" t="str" cm="1">
        <f t="array" ref="AX76">IF(OR($A76="",AX$6=""),"",IFERROR(INDEX(Footfall!$C$5:$BZ$301,MATCH($A76,TRIM(Footfall!$B$5:$B$301&amp;""),0),AX$5),0))</f>
        <v/>
      </c>
      <c r="AY76" s="350" cm="1">
        <f t="array" aca="1" ref="AY76" ca="1">IF(AK76="","",IF($AJ76="",0,_xlfn.LET(_xlpm.d,IFERROR(--'Sales and count'!$F$2:$CB$2,0),SUMPRODUCT(('Sales and count'!$G$3:$CC$3="Transactions")*(_xlpm.d&gt;=AY$6)*(_xlpm.d&lt;=AY$7),INDEX('Sales and count'!$G$4:$CC$300,$AJ76,0)))))</f>
        <v>637</v>
      </c>
      <c r="AZ76" s="350" cm="1">
        <f t="array" aca="1" ref="AZ76" ca="1">IF(AL76="","",IF($AJ76="",0,_xlfn.LET(_xlpm.d,IFERROR(--'Sales and count'!$F$2:$CB$2,0),SUMPRODUCT(('Sales and count'!$G$3:$CC$3="Transactions")*(_xlpm.d&gt;=AZ$6)*(_xlpm.d&lt;=AZ$7),INDEX('Sales and count'!$G$4:$CC$300,$AJ76,0)))))</f>
        <v>14</v>
      </c>
      <c r="BA76" s="350" cm="1">
        <f t="array" aca="1" ref="BA76" ca="1">IF(AM76="","",IF($AJ76="",0,_xlfn.LET(_xlpm.d,IFERROR(--'Sales and count'!$F$2:$CB$2,0),SUMPRODUCT(('Sales and count'!$G$3:$CC$3="Transactions")*(_xlpm.d&gt;=BA$6)*(_xlpm.d&lt;=BA$7),INDEX('Sales and count'!$G$4:$CC$300,$AJ76,0)))))</f>
        <v>14</v>
      </c>
      <c r="BB76" s="350" cm="1">
        <f t="array" aca="1" ref="BB76" ca="1">IF(AN76="","",IF($AJ76="",0,_xlfn.LET(_xlpm.d,IFERROR(--'Sales and count'!$F$2:$CB$2,0),SUMPRODUCT(('Sales and count'!$G$3:$CC$3="Transactions")*(_xlpm.d&gt;=BB$6)*(_xlpm.d&lt;=BB$7),INDEX('Sales and count'!$G$4:$CC$300,$AJ76,0)))))</f>
        <v>20</v>
      </c>
      <c r="BC76" s="350" cm="1">
        <f t="array" aca="1" ref="BC76" ca="1">IF(AO76="","",IF($AJ76="",0,_xlfn.LET(_xlpm.d,IFERROR(--'Sales and count'!$F$2:$CB$2,0),SUMPRODUCT(('Sales and count'!$G$3:$CC$3="Transactions")*(_xlpm.d&gt;=BC$6)*(_xlpm.d&lt;=BC$7),INDEX('Sales and count'!$G$4:$CC$300,$AJ76,0)))))</f>
        <v>21</v>
      </c>
      <c r="BD76" s="350" cm="1">
        <f t="array" aca="1" ref="BD76" ca="1">IF(AP76="","",IF($AJ76="",0,_xlfn.LET(_xlpm.d,IFERROR(--'Sales and count'!$F$2:$CB$2,0),SUMPRODUCT(('Sales and count'!$G$3:$CC$3="Transactions")*(_xlpm.d&gt;=BD$6)*(_xlpm.d&lt;=BD$7),INDEX('Sales and count'!$G$4:$CC$300,$AJ76,0)))))</f>
        <v>21</v>
      </c>
      <c r="BE76" s="350" cm="1">
        <f t="array" aca="1" ref="BE76" ca="1">IF(AQ76="","",IF($AJ76="",0,_xlfn.LET(_xlpm.d,IFERROR(--'Sales and count'!$F$2:$CB$2,0),SUMPRODUCT(('Sales and count'!$G$3:$CC$3="Transactions")*(_xlpm.d&gt;=BE$6)*(_xlpm.d&lt;=BE$7),INDEX('Sales and count'!$G$4:$CC$300,$AJ76,0)))))</f>
        <v>17</v>
      </c>
      <c r="BF76" s="350" cm="1">
        <f t="array" aca="1" ref="BF76" ca="1">IF(AR76="","",IF($AJ76="",0,_xlfn.LET(_xlpm.d,IFERROR(--'Sales and count'!$F$2:$CB$2,0),SUMPRODUCT(('Sales and count'!$G$3:$CC$3="Transactions")*(_xlpm.d&gt;=BF$6)*(_xlpm.d&lt;=BF$7),INDEX('Sales and count'!$G$4:$CC$300,$AJ76,0)))))</f>
        <v>20</v>
      </c>
      <c r="BG76" s="350" cm="1">
        <f t="array" aca="1" ref="BG76" ca="1">IF(AS76="","",IF($AJ76="",0,_xlfn.LET(_xlpm.d,IFERROR(--'Sales and count'!$F$2:$CB$2,0),SUMPRODUCT(('Sales and count'!$G$3:$CC$3="Transactions")*(_xlpm.d&gt;=BG$6)*(_xlpm.d&lt;=BG$7),INDEX('Sales and count'!$G$4:$CC$300,$AJ76,0)))))</f>
        <v>19</v>
      </c>
      <c r="BH76" s="350" t="str" cm="1">
        <f t="array" ref="BH76">IF(AT76="","",IF($AJ76="",0,_xlfn.LET(_xlpm.d,IFERROR(--'Sales and count'!$F$2:$CB$2,0),SUMPRODUCT(('Sales and count'!$G$3:$CC$3="Transactions")*(_xlpm.d&gt;=BH$6)*(_xlpm.d&lt;=BH$7),INDEX('Sales and count'!$G$4:$CC$300,$AJ76,0)))))</f>
        <v/>
      </c>
      <c r="BI76" s="350" t="str" cm="1">
        <f t="array" ref="BI76">IF(AU76="","",IF($AJ76="",0,_xlfn.LET(_xlpm.d,IFERROR(--'Sales and count'!$F$2:$CB$2,0),SUMPRODUCT(('Sales and count'!$G$3:$CC$3="Transactions")*(_xlpm.d&gt;=BI$6)*(_xlpm.d&lt;=BI$7),INDEX('Sales and count'!$G$4:$CC$300,$AJ76,0)))))</f>
        <v/>
      </c>
      <c r="BJ76" s="350" t="str" cm="1">
        <f t="array" ref="BJ76">IF(AV76="","",IF($AJ76="",0,_xlfn.LET(_xlpm.d,IFERROR(--'Sales and count'!$F$2:$CB$2,0),SUMPRODUCT(('Sales and count'!$G$3:$CC$3="Transactions")*(_xlpm.d&gt;=BJ$6)*(_xlpm.d&lt;=BJ$7),INDEX('Sales and count'!$G$4:$CC$300,$AJ76,0)))))</f>
        <v/>
      </c>
      <c r="BK76" s="350" t="str" cm="1">
        <f t="array" ref="BK76">IF(AW76="","",IF($AJ76="",0,_xlfn.LET(_xlpm.d,IFERROR(--'Sales and count'!$F$2:$CB$2,0),SUMPRODUCT(('Sales and count'!$G$3:$CC$3="Transactions")*(_xlpm.d&gt;=BK$6)*(_xlpm.d&lt;=BK$7),INDEX('Sales and count'!$G$4:$CC$300,$AJ76,0)))))</f>
        <v/>
      </c>
      <c r="BL76" s="350" t="str" cm="1">
        <f t="array" ref="BL76">IF(AX76="","",IF($AJ76="",0,_xlfn.LET(_xlpm.d,IFERROR(--'Sales and count'!$F$2:$CB$2,0),SUMPRODUCT(('Sales and count'!$G$3:$CC$3="Transactions")*(_xlpm.d&gt;=BL$6)*(_xlpm.d&lt;=BL$7),INDEX('Sales and count'!$G$4:$CC$300,$AJ76,0)))))</f>
        <v/>
      </c>
      <c r="BM76" s="350" cm="1">
        <f t="array" ref="BM76">IF(AK76="","",IF($AJ76="",0,_xlfn.LET(_xlpm.d,IFERROR(--'Sales and count'!$G$2:$CC$2,0),SUMPRODUCT(('Sales and count'!$G$3:$CC$3="Total")*(_xlpm.d&gt;=BM$6)*(_xlpm.d&lt;=BM$7),INDEX('Sales and count'!$G$4:$CC$300,$AJ76,0)))))</f>
        <v>103567.81</v>
      </c>
      <c r="BN76" s="350" cm="1">
        <f t="array" ref="BN76">IF(AL76="","",IF($AJ76="",0,_xlfn.LET(_xlpm.d,IFERROR(--'Sales and count'!$G$2:$CC$2,0),SUMPRODUCT(('Sales and count'!$G$3:$CC$3="Total")*(_xlpm.d&gt;=BN$6)*(_xlpm.d&lt;=BN$7),INDEX('Sales and count'!$G$4:$CC$300,$AJ76,0)))))</f>
        <v>2178.0300000000002</v>
      </c>
      <c r="BO76" s="350" cm="1">
        <f t="array" ref="BO76">IF(AM76="","",IF($AJ76="",0,_xlfn.LET(_xlpm.d,IFERROR(--'Sales and count'!$G$2:$CC$2,0),SUMPRODUCT(('Sales and count'!$G$3:$CC$3="Total")*(_xlpm.d&gt;=BO$6)*(_xlpm.d&lt;=BO$7),INDEX('Sales and count'!$G$4:$CC$300,$AJ76,0)))))</f>
        <v>2491.0100000000002</v>
      </c>
      <c r="BP76" s="350" cm="1">
        <f t="array" ref="BP76">IF(AN76="","",IF($AJ76="",0,_xlfn.LET(_xlpm.d,IFERROR(--'Sales and count'!$G$2:$CC$2,0),SUMPRODUCT(('Sales and count'!$G$3:$CC$3="Total")*(_xlpm.d&gt;=BP$6)*(_xlpm.d&lt;=BP$7),INDEX('Sales and count'!$G$4:$CC$300,$AJ76,0)))))</f>
        <v>3489.03</v>
      </c>
      <c r="BQ76" s="350" cm="1">
        <f t="array" ref="BQ76">IF(AO76="","",IF($AJ76="",0,_xlfn.LET(_xlpm.d,IFERROR(--'Sales and count'!$G$2:$CC$2,0),SUMPRODUCT(('Sales and count'!$G$3:$CC$3="Total")*(_xlpm.d&gt;=BQ$6)*(_xlpm.d&lt;=BQ$7),INDEX('Sales and count'!$G$4:$CC$300,$AJ76,0)))))</f>
        <v>3718.83</v>
      </c>
      <c r="BR76" s="350" cm="1">
        <f t="array" ref="BR76">IF(AP76="","",IF($AJ76="",0,_xlfn.LET(_xlpm.d,IFERROR(--'Sales and count'!$G$2:$CC$2,0),SUMPRODUCT(('Sales and count'!$G$3:$CC$3="Total")*(_xlpm.d&gt;=BR$6)*(_xlpm.d&lt;=BR$7),INDEX('Sales and count'!$G$4:$CC$300,$AJ76,0)))))</f>
        <v>4912.62</v>
      </c>
      <c r="BS76" s="350" cm="1">
        <f t="array" ref="BS76">IF(AQ76="","",IF($AJ76="",0,_xlfn.LET(_xlpm.d,IFERROR(--'Sales and count'!$G$2:$CC$2,0),SUMPRODUCT(('Sales and count'!$G$3:$CC$3="Total")*(_xlpm.d&gt;=BS$6)*(_xlpm.d&lt;=BS$7),INDEX('Sales and count'!$G$4:$CC$300,$AJ76,0)))))</f>
        <v>3434.8</v>
      </c>
      <c r="BT76" s="350" cm="1">
        <f t="array" ref="BT76">IF(AR76="","",IF($AJ76="",0,_xlfn.LET(_xlpm.d,IFERROR(--'Sales and count'!$G$2:$CC$2,0),SUMPRODUCT(('Sales and count'!$G$3:$CC$3="Total")*(_xlpm.d&gt;=BT$6)*(_xlpm.d&lt;=BT$7),INDEX('Sales and count'!$G$4:$CC$300,$AJ76,0)))))</f>
        <v>3573.8</v>
      </c>
      <c r="BU76" s="350" cm="1">
        <f t="array" ref="BU76">IF(AS76="","",IF($AJ76="",0,_xlfn.LET(_xlpm.d,IFERROR(--'Sales and count'!$G$2:$CC$2,0),SUMPRODUCT(('Sales and count'!$G$3:$CC$3="Total")*(_xlpm.d&gt;=BU$6)*(_xlpm.d&lt;=BU$7),INDEX('Sales and count'!$G$4:$CC$300,$AJ76,0)))))</f>
        <v>2825.21</v>
      </c>
      <c r="BV76" s="350" t="str" cm="1">
        <f t="array" ref="BV76">IF(AT76="","",IF($AJ76="",0,_xlfn.LET(_xlpm.d,IFERROR(--'Sales and count'!$G$2:$CC$2,0),SUMPRODUCT(('Sales and count'!$G$3:$CC$3="Total")*(_xlpm.d&gt;=BV$6)*(_xlpm.d&lt;=BV$7),INDEX('Sales and count'!$G$4:$CC$300,$AJ76,0)))))</f>
        <v/>
      </c>
      <c r="BW76" s="350" t="str" cm="1">
        <f t="array" ref="BW76">IF(AU76="","",IF($AJ76="",0,_xlfn.LET(_xlpm.d,IFERROR(--'Sales and count'!$G$2:$CC$2,0),SUMPRODUCT(('Sales and count'!$G$3:$CC$3="Total")*(_xlpm.d&gt;=BW$6)*(_xlpm.d&lt;=BW$7),INDEX('Sales and count'!$G$4:$CC$300,$AJ76,0)))))</f>
        <v/>
      </c>
      <c r="BX76" s="350" t="str" cm="1">
        <f t="array" ref="BX76">IF(AV76="","",IF($AJ76="",0,_xlfn.LET(_xlpm.d,IFERROR(--'Sales and count'!$G$2:$CC$2,0),SUMPRODUCT(('Sales and count'!$G$3:$CC$3="Total")*(_xlpm.d&gt;=BX$6)*(_xlpm.d&lt;=BX$7),INDEX('Sales and count'!$G$4:$CC$300,$AJ76,0)))))</f>
        <v/>
      </c>
      <c r="BY76" s="350" t="str" cm="1">
        <f t="array" ref="BY76">IF(AW76="","",IF($AJ76="",0,_xlfn.LET(_xlpm.d,IFERROR(--'Sales and count'!$G$2:$CC$2,0),SUMPRODUCT(('Sales and count'!$G$3:$CC$3="Total")*(_xlpm.d&gt;=BY$6)*(_xlpm.d&lt;=BY$7),INDEX('Sales and count'!$G$4:$CC$300,$AJ76,0)))))</f>
        <v/>
      </c>
      <c r="BZ76" s="350" t="str" cm="1">
        <f t="array" ref="BZ76">IF(AX76="","",IF($AJ76="",0,_xlfn.LET(_xlpm.d,IFERROR(--'Sales and count'!$G$2:$CC$2,0),SUMPRODUCT(('Sales and count'!$G$3:$CC$3="Total")*(_xlpm.d&gt;=BZ$6)*(_xlpm.d&lt;=BZ$7),INDEX('Sales and count'!$G$4:$CC$300,$AJ76,0)))))</f>
        <v/>
      </c>
    </row>
    <row r="77" spans="1:78" x14ac:dyDescent="0.25">
      <c r="A77" s="356" t="str">
        <v>MADNOOR</v>
      </c>
      <c r="B77" s="356" t="str" cm="1">
        <f t="array" ref="B77">IF($A77="","",_xlfn.XLOOKUP($A77,TRIM(Footfall!$B$5:$B$301&amp;""),Footfall!$A$5:$A$301,""))</f>
        <v>Al Noor Mall Madinah</v>
      </c>
      <c r="C77" s="356" t="str" cm="1">
        <f t="array" ref="C77">IF($A77="","",_xlfn.XLOOKUP($A77,TRIM('Sales and count'!$A$4:$A$300&amp;""),'Sales and count'!$C$4:$C$300,"Not set"))</f>
        <v>Madinah</v>
      </c>
      <c r="D77" s="357">
        <f t="shared" ca="1" si="53"/>
        <v>0.14297658862876253</v>
      </c>
      <c r="E77" s="357">
        <f t="shared" ca="1" si="54"/>
        <v>0.15</v>
      </c>
      <c r="F77" s="357">
        <f t="shared" ca="1" si="55"/>
        <v>0.14545454545454545</v>
      </c>
      <c r="G77" s="357">
        <f t="shared" ca="1" si="56"/>
        <v>0.10429447852760736</v>
      </c>
      <c r="H77" s="357">
        <f t="shared" ca="1" si="57"/>
        <v>9.4240837696335081E-2</v>
      </c>
      <c r="I77" s="357">
        <f t="shared" ca="1" si="58"/>
        <v>9.1286307053941904E-2</v>
      </c>
      <c r="J77" s="357">
        <f t="shared" ca="1" si="59"/>
        <v>0.11818181818181818</v>
      </c>
      <c r="K77" s="357">
        <f t="shared" ca="1" si="60"/>
        <v>0.14814814814814814</v>
      </c>
      <c r="L77" s="357">
        <f t="shared" ca="1" si="61"/>
        <v>0.16551724137931034</v>
      </c>
      <c r="M77" s="357" t="str">
        <f t="shared" si="62"/>
        <v/>
      </c>
      <c r="N77" s="357" t="str">
        <f t="shared" si="63"/>
        <v/>
      </c>
      <c r="O77" s="357" t="str">
        <f t="shared" si="64"/>
        <v/>
      </c>
      <c r="P77" s="357" t="str">
        <f t="shared" si="65"/>
        <v/>
      </c>
      <c r="Q77" s="357" t="str">
        <f t="shared" si="66"/>
        <v/>
      </c>
      <c r="R77" s="358" cm="1">
        <f t="array" aca="1" ref="R77" ca="1">IF(OR($A77="",D77=""),"",IFERROR(LOOKUP(2,1/(E77:Q77&lt;&gt;""),E77:Q77)-D77,""))</f>
        <v>2.2540652750547813E-2</v>
      </c>
      <c r="S77" s="349"/>
      <c r="T77" s="362">
        <f t="shared" ca="1" si="67"/>
        <v>164.78161793372314</v>
      </c>
      <c r="U77" s="362">
        <f t="shared" ca="1" si="68"/>
        <v>183.4988888888889</v>
      </c>
      <c r="V77" s="362">
        <f t="shared" ca="1" si="69"/>
        <v>165.81312500000001</v>
      </c>
      <c r="W77" s="362">
        <f t="shared" ca="1" si="70"/>
        <v>178.52823529411765</v>
      </c>
      <c r="X77" s="362">
        <f t="shared" ca="1" si="71"/>
        <v>206.32277777777779</v>
      </c>
      <c r="Y77" s="362">
        <f t="shared" ca="1" si="72"/>
        <v>138.94954545454544</v>
      </c>
      <c r="Z77" s="362">
        <f t="shared" ca="1" si="73"/>
        <v>182.75807692307691</v>
      </c>
      <c r="AA77" s="362">
        <f t="shared" ca="1" si="74"/>
        <v>253.32208333333332</v>
      </c>
      <c r="AB77" s="362">
        <f t="shared" ca="1" si="75"/>
        <v>232.26874999999998</v>
      </c>
      <c r="AC77" s="362" t="str">
        <f t="shared" si="76"/>
        <v/>
      </c>
      <c r="AD77" s="362" t="str">
        <f t="shared" si="77"/>
        <v/>
      </c>
      <c r="AE77" s="362" t="str">
        <f t="shared" si="78"/>
        <v/>
      </c>
      <c r="AF77" s="362" t="str">
        <f t="shared" si="79"/>
        <v/>
      </c>
      <c r="AG77" s="362" t="str">
        <f t="shared" si="80"/>
        <v/>
      </c>
      <c r="AH77" s="363" cm="1">
        <f t="array" aca="1" ref="AH77" ca="1">IF(OR($A77="",T77=""),"",IFERROR(LOOKUP(2,1/(U77:AG77&lt;&gt;""),U77:AG77)-T77,""))</f>
        <v>67.487132066276843</v>
      </c>
      <c r="AI77" s="349"/>
      <c r="AJ77" s="349" cm="1">
        <f t="array" ref="AJ77">IF($A77="","",IFERROR(MATCH($A77,TRIM('Sales and count'!$A$4:$A$300&amp;""),0),""))</f>
        <v>81</v>
      </c>
      <c r="AK77" s="350" cm="1">
        <f t="array" ref="AK77">IF(OR($A77="",AK$6=""),"",IFERROR(INDEX(Footfall!$C$5:$BZ$301,MATCH($A77,TRIM(Footfall!$B$5:$B$301&amp;""),0),AK$5),0))</f>
        <v>3588</v>
      </c>
      <c r="AL77" s="350" cm="1">
        <f t="array" ref="AL77">IF(OR($A77="",AL$6=""),"",IFERROR(INDEX(Footfall!$C$5:$BZ$301,MATCH($A77,TRIM(Footfall!$B$5:$B$301&amp;""),0),AL$5),0))</f>
        <v>120</v>
      </c>
      <c r="AM77" s="350" cm="1">
        <f t="array" ref="AM77">IF(OR($A77="",AM$6=""),"",IFERROR(INDEX(Footfall!$C$5:$BZ$301,MATCH($A77,TRIM(Footfall!$B$5:$B$301&amp;""),0),AM$5),0))</f>
        <v>110</v>
      </c>
      <c r="AN77" s="350" cm="1">
        <f t="array" ref="AN77">IF(OR($A77="",AN$6=""),"",IFERROR(INDEX(Footfall!$C$5:$BZ$301,MATCH($A77,TRIM(Footfall!$B$5:$B$301&amp;""),0),AN$5),0))</f>
        <v>163</v>
      </c>
      <c r="AO77" s="350" cm="1">
        <f t="array" ref="AO77">IF(OR($A77="",AO$6=""),"",IFERROR(INDEX(Footfall!$C$5:$BZ$301,MATCH($A77,TRIM(Footfall!$B$5:$B$301&amp;""),0),AO$5),0))</f>
        <v>191</v>
      </c>
      <c r="AP77" s="350" cm="1">
        <f t="array" ref="AP77">IF(OR($A77="",AP$6=""),"",IFERROR(INDEX(Footfall!$C$5:$BZ$301,MATCH($A77,TRIM(Footfall!$B$5:$B$301&amp;""),0),AP$5),0))</f>
        <v>241</v>
      </c>
      <c r="AQ77" s="350" cm="1">
        <f t="array" ref="AQ77">IF(OR($A77="",AQ$6=""),"",IFERROR(INDEX(Footfall!$C$5:$BZ$301,MATCH($A77,TRIM(Footfall!$B$5:$B$301&amp;""),0),AQ$5),0))</f>
        <v>220</v>
      </c>
      <c r="AR77" s="350" cm="1">
        <f t="array" ref="AR77">IF(OR($A77="",AR$6=""),"",IFERROR(INDEX(Footfall!$C$5:$BZ$301,MATCH($A77,TRIM(Footfall!$B$5:$B$301&amp;""),0),AR$5),0))</f>
        <v>162</v>
      </c>
      <c r="AS77" s="350" cm="1">
        <f t="array" ref="AS77">IF(OR($A77="",AS$6=""),"",IFERROR(INDEX(Footfall!$C$5:$BZ$301,MATCH($A77,TRIM(Footfall!$B$5:$B$301&amp;""),0),AS$5),0))</f>
        <v>145</v>
      </c>
      <c r="AT77" s="350" t="str" cm="1">
        <f t="array" ref="AT77">IF(OR($A77="",AT$6=""),"",IFERROR(INDEX(Footfall!$C$5:$BZ$301,MATCH($A77,TRIM(Footfall!$B$5:$B$301&amp;""),0),AT$5),0))</f>
        <v/>
      </c>
      <c r="AU77" s="350" t="str" cm="1">
        <f t="array" ref="AU77">IF(OR($A77="",AU$6=""),"",IFERROR(INDEX(Footfall!$C$5:$BZ$301,MATCH($A77,TRIM(Footfall!$B$5:$B$301&amp;""),0),AU$5),0))</f>
        <v/>
      </c>
      <c r="AV77" s="350" t="str" cm="1">
        <f t="array" ref="AV77">IF(OR($A77="",AV$6=""),"",IFERROR(INDEX(Footfall!$C$5:$BZ$301,MATCH($A77,TRIM(Footfall!$B$5:$B$301&amp;""),0),AV$5),0))</f>
        <v/>
      </c>
      <c r="AW77" s="350" t="str" cm="1">
        <f t="array" ref="AW77">IF(OR($A77="",AW$6=""),"",IFERROR(INDEX(Footfall!$C$5:$BZ$301,MATCH($A77,TRIM(Footfall!$B$5:$B$301&amp;""),0),AW$5),0))</f>
        <v/>
      </c>
      <c r="AX77" s="350" t="str" cm="1">
        <f t="array" ref="AX77">IF(OR($A77="",AX$6=""),"",IFERROR(INDEX(Footfall!$C$5:$BZ$301,MATCH($A77,TRIM(Footfall!$B$5:$B$301&amp;""),0),AX$5),0))</f>
        <v/>
      </c>
      <c r="AY77" s="350" cm="1">
        <f t="array" aca="1" ref="AY77" ca="1">IF(AK77="","",IF($AJ77="",0,_xlfn.LET(_xlpm.d,IFERROR(--'Sales and count'!$F$2:$CB$2,0),SUMPRODUCT(('Sales and count'!$G$3:$CC$3="Transactions")*(_xlpm.d&gt;=AY$6)*(_xlpm.d&lt;=AY$7),INDEX('Sales and count'!$G$4:$CC$300,$AJ77,0)))))</f>
        <v>513</v>
      </c>
      <c r="AZ77" s="350" cm="1">
        <f t="array" aca="1" ref="AZ77" ca="1">IF(AL77="","",IF($AJ77="",0,_xlfn.LET(_xlpm.d,IFERROR(--'Sales and count'!$F$2:$CB$2,0),SUMPRODUCT(('Sales and count'!$G$3:$CC$3="Transactions")*(_xlpm.d&gt;=AZ$6)*(_xlpm.d&lt;=AZ$7),INDEX('Sales and count'!$G$4:$CC$300,$AJ77,0)))))</f>
        <v>18</v>
      </c>
      <c r="BA77" s="350" cm="1">
        <f t="array" aca="1" ref="BA77" ca="1">IF(AM77="","",IF($AJ77="",0,_xlfn.LET(_xlpm.d,IFERROR(--'Sales and count'!$F$2:$CB$2,0),SUMPRODUCT(('Sales and count'!$G$3:$CC$3="Transactions")*(_xlpm.d&gt;=BA$6)*(_xlpm.d&lt;=BA$7),INDEX('Sales and count'!$G$4:$CC$300,$AJ77,0)))))</f>
        <v>16</v>
      </c>
      <c r="BB77" s="350" cm="1">
        <f t="array" aca="1" ref="BB77" ca="1">IF(AN77="","",IF($AJ77="",0,_xlfn.LET(_xlpm.d,IFERROR(--'Sales and count'!$F$2:$CB$2,0),SUMPRODUCT(('Sales and count'!$G$3:$CC$3="Transactions")*(_xlpm.d&gt;=BB$6)*(_xlpm.d&lt;=BB$7),INDEX('Sales and count'!$G$4:$CC$300,$AJ77,0)))))</f>
        <v>17</v>
      </c>
      <c r="BC77" s="350" cm="1">
        <f t="array" aca="1" ref="BC77" ca="1">IF(AO77="","",IF($AJ77="",0,_xlfn.LET(_xlpm.d,IFERROR(--'Sales and count'!$F$2:$CB$2,0),SUMPRODUCT(('Sales and count'!$G$3:$CC$3="Transactions")*(_xlpm.d&gt;=BC$6)*(_xlpm.d&lt;=BC$7),INDEX('Sales and count'!$G$4:$CC$300,$AJ77,0)))))</f>
        <v>18</v>
      </c>
      <c r="BD77" s="350" cm="1">
        <f t="array" aca="1" ref="BD77" ca="1">IF(AP77="","",IF($AJ77="",0,_xlfn.LET(_xlpm.d,IFERROR(--'Sales and count'!$F$2:$CB$2,0),SUMPRODUCT(('Sales and count'!$G$3:$CC$3="Transactions")*(_xlpm.d&gt;=BD$6)*(_xlpm.d&lt;=BD$7),INDEX('Sales and count'!$G$4:$CC$300,$AJ77,0)))))</f>
        <v>22</v>
      </c>
      <c r="BE77" s="350" cm="1">
        <f t="array" aca="1" ref="BE77" ca="1">IF(AQ77="","",IF($AJ77="",0,_xlfn.LET(_xlpm.d,IFERROR(--'Sales and count'!$F$2:$CB$2,0),SUMPRODUCT(('Sales and count'!$G$3:$CC$3="Transactions")*(_xlpm.d&gt;=BE$6)*(_xlpm.d&lt;=BE$7),INDEX('Sales and count'!$G$4:$CC$300,$AJ77,0)))))</f>
        <v>26</v>
      </c>
      <c r="BF77" s="350" cm="1">
        <f t="array" aca="1" ref="BF77" ca="1">IF(AR77="","",IF($AJ77="",0,_xlfn.LET(_xlpm.d,IFERROR(--'Sales and count'!$F$2:$CB$2,0),SUMPRODUCT(('Sales and count'!$G$3:$CC$3="Transactions")*(_xlpm.d&gt;=BF$6)*(_xlpm.d&lt;=BF$7),INDEX('Sales and count'!$G$4:$CC$300,$AJ77,0)))))</f>
        <v>24</v>
      </c>
      <c r="BG77" s="350" cm="1">
        <f t="array" aca="1" ref="BG77" ca="1">IF(AS77="","",IF($AJ77="",0,_xlfn.LET(_xlpm.d,IFERROR(--'Sales and count'!$F$2:$CB$2,0),SUMPRODUCT(('Sales and count'!$G$3:$CC$3="Transactions")*(_xlpm.d&gt;=BG$6)*(_xlpm.d&lt;=BG$7),INDEX('Sales and count'!$G$4:$CC$300,$AJ77,0)))))</f>
        <v>24</v>
      </c>
      <c r="BH77" s="350" t="str" cm="1">
        <f t="array" ref="BH77">IF(AT77="","",IF($AJ77="",0,_xlfn.LET(_xlpm.d,IFERROR(--'Sales and count'!$F$2:$CB$2,0),SUMPRODUCT(('Sales and count'!$G$3:$CC$3="Transactions")*(_xlpm.d&gt;=BH$6)*(_xlpm.d&lt;=BH$7),INDEX('Sales and count'!$G$4:$CC$300,$AJ77,0)))))</f>
        <v/>
      </c>
      <c r="BI77" s="350" t="str" cm="1">
        <f t="array" ref="BI77">IF(AU77="","",IF($AJ77="",0,_xlfn.LET(_xlpm.d,IFERROR(--'Sales and count'!$F$2:$CB$2,0),SUMPRODUCT(('Sales and count'!$G$3:$CC$3="Transactions")*(_xlpm.d&gt;=BI$6)*(_xlpm.d&lt;=BI$7),INDEX('Sales and count'!$G$4:$CC$300,$AJ77,0)))))</f>
        <v/>
      </c>
      <c r="BJ77" s="350" t="str" cm="1">
        <f t="array" ref="BJ77">IF(AV77="","",IF($AJ77="",0,_xlfn.LET(_xlpm.d,IFERROR(--'Sales and count'!$F$2:$CB$2,0),SUMPRODUCT(('Sales and count'!$G$3:$CC$3="Transactions")*(_xlpm.d&gt;=BJ$6)*(_xlpm.d&lt;=BJ$7),INDEX('Sales and count'!$G$4:$CC$300,$AJ77,0)))))</f>
        <v/>
      </c>
      <c r="BK77" s="350" t="str" cm="1">
        <f t="array" ref="BK77">IF(AW77="","",IF($AJ77="",0,_xlfn.LET(_xlpm.d,IFERROR(--'Sales and count'!$F$2:$CB$2,0),SUMPRODUCT(('Sales and count'!$G$3:$CC$3="Transactions")*(_xlpm.d&gt;=BK$6)*(_xlpm.d&lt;=BK$7),INDEX('Sales and count'!$G$4:$CC$300,$AJ77,0)))))</f>
        <v/>
      </c>
      <c r="BL77" s="350" t="str" cm="1">
        <f t="array" ref="BL77">IF(AX77="","",IF($AJ77="",0,_xlfn.LET(_xlpm.d,IFERROR(--'Sales and count'!$F$2:$CB$2,0),SUMPRODUCT(('Sales and count'!$G$3:$CC$3="Transactions")*(_xlpm.d&gt;=BL$6)*(_xlpm.d&lt;=BL$7),INDEX('Sales and count'!$G$4:$CC$300,$AJ77,0)))))</f>
        <v/>
      </c>
      <c r="BM77" s="350" cm="1">
        <f t="array" ref="BM77">IF(AK77="","",IF($AJ77="",0,_xlfn.LET(_xlpm.d,IFERROR(--'Sales and count'!$G$2:$CC$2,0),SUMPRODUCT(('Sales and count'!$G$3:$CC$3="Total")*(_xlpm.d&gt;=BM$6)*(_xlpm.d&lt;=BM$7),INDEX('Sales and count'!$G$4:$CC$300,$AJ77,0)))))</f>
        <v>84532.969999999972</v>
      </c>
      <c r="BN77" s="350" cm="1">
        <f t="array" ref="BN77">IF(AL77="","",IF($AJ77="",0,_xlfn.LET(_xlpm.d,IFERROR(--'Sales and count'!$G$2:$CC$2,0),SUMPRODUCT(('Sales and count'!$G$3:$CC$3="Total")*(_xlpm.d&gt;=BN$6)*(_xlpm.d&lt;=BN$7),INDEX('Sales and count'!$G$4:$CC$300,$AJ77,0)))))</f>
        <v>3302.98</v>
      </c>
      <c r="BO77" s="350" cm="1">
        <f t="array" ref="BO77">IF(AM77="","",IF($AJ77="",0,_xlfn.LET(_xlpm.d,IFERROR(--'Sales and count'!$G$2:$CC$2,0),SUMPRODUCT(('Sales and count'!$G$3:$CC$3="Total")*(_xlpm.d&gt;=BO$6)*(_xlpm.d&lt;=BO$7),INDEX('Sales and count'!$G$4:$CC$300,$AJ77,0)))))</f>
        <v>2653.01</v>
      </c>
      <c r="BP77" s="350" cm="1">
        <f t="array" ref="BP77">IF(AN77="","",IF($AJ77="",0,_xlfn.LET(_xlpm.d,IFERROR(--'Sales and count'!$G$2:$CC$2,0),SUMPRODUCT(('Sales and count'!$G$3:$CC$3="Total")*(_xlpm.d&gt;=BP$6)*(_xlpm.d&lt;=BP$7),INDEX('Sales and count'!$G$4:$CC$300,$AJ77,0)))))</f>
        <v>3034.98</v>
      </c>
      <c r="BQ77" s="350" cm="1">
        <f t="array" ref="BQ77">IF(AO77="","",IF($AJ77="",0,_xlfn.LET(_xlpm.d,IFERROR(--'Sales and count'!$G$2:$CC$2,0),SUMPRODUCT(('Sales and count'!$G$3:$CC$3="Total")*(_xlpm.d&gt;=BQ$6)*(_xlpm.d&lt;=BQ$7),INDEX('Sales and count'!$G$4:$CC$300,$AJ77,0)))))</f>
        <v>3713.81</v>
      </c>
      <c r="BR77" s="350" cm="1">
        <f t="array" ref="BR77">IF(AP77="","",IF($AJ77="",0,_xlfn.LET(_xlpm.d,IFERROR(--'Sales and count'!$G$2:$CC$2,0),SUMPRODUCT(('Sales and count'!$G$3:$CC$3="Total")*(_xlpm.d&gt;=BR$6)*(_xlpm.d&lt;=BR$7),INDEX('Sales and count'!$G$4:$CC$300,$AJ77,0)))))</f>
        <v>3056.89</v>
      </c>
      <c r="BS77" s="350" cm="1">
        <f t="array" ref="BS77">IF(AQ77="","",IF($AJ77="",0,_xlfn.LET(_xlpm.d,IFERROR(--'Sales and count'!$G$2:$CC$2,0),SUMPRODUCT(('Sales and count'!$G$3:$CC$3="Total")*(_xlpm.d&gt;=BS$6)*(_xlpm.d&lt;=BS$7),INDEX('Sales and count'!$G$4:$CC$300,$AJ77,0)))))</f>
        <v>4751.71</v>
      </c>
      <c r="BT77" s="350" cm="1">
        <f t="array" ref="BT77">IF(AR77="","",IF($AJ77="",0,_xlfn.LET(_xlpm.d,IFERROR(--'Sales and count'!$G$2:$CC$2,0),SUMPRODUCT(('Sales and count'!$G$3:$CC$3="Total")*(_xlpm.d&gt;=BT$6)*(_xlpm.d&lt;=BT$7),INDEX('Sales and count'!$G$4:$CC$300,$AJ77,0)))))</f>
        <v>6079.73</v>
      </c>
      <c r="BU77" s="350" cm="1">
        <f t="array" ref="BU77">IF(AS77="","",IF($AJ77="",0,_xlfn.LET(_xlpm.d,IFERROR(--'Sales and count'!$G$2:$CC$2,0),SUMPRODUCT(('Sales and count'!$G$3:$CC$3="Total")*(_xlpm.d&gt;=BU$6)*(_xlpm.d&lt;=BU$7),INDEX('Sales and count'!$G$4:$CC$300,$AJ77,0)))))</f>
        <v>5574.45</v>
      </c>
      <c r="BV77" s="350" t="str" cm="1">
        <f t="array" ref="BV77">IF(AT77="","",IF($AJ77="",0,_xlfn.LET(_xlpm.d,IFERROR(--'Sales and count'!$G$2:$CC$2,0),SUMPRODUCT(('Sales and count'!$G$3:$CC$3="Total")*(_xlpm.d&gt;=BV$6)*(_xlpm.d&lt;=BV$7),INDEX('Sales and count'!$G$4:$CC$300,$AJ77,0)))))</f>
        <v/>
      </c>
      <c r="BW77" s="350" t="str" cm="1">
        <f t="array" ref="BW77">IF(AU77="","",IF($AJ77="",0,_xlfn.LET(_xlpm.d,IFERROR(--'Sales and count'!$G$2:$CC$2,0),SUMPRODUCT(('Sales and count'!$G$3:$CC$3="Total")*(_xlpm.d&gt;=BW$6)*(_xlpm.d&lt;=BW$7),INDEX('Sales and count'!$G$4:$CC$300,$AJ77,0)))))</f>
        <v/>
      </c>
      <c r="BX77" s="350" t="str" cm="1">
        <f t="array" ref="BX77">IF(AV77="","",IF($AJ77="",0,_xlfn.LET(_xlpm.d,IFERROR(--'Sales and count'!$G$2:$CC$2,0),SUMPRODUCT(('Sales and count'!$G$3:$CC$3="Total")*(_xlpm.d&gt;=BX$6)*(_xlpm.d&lt;=BX$7),INDEX('Sales and count'!$G$4:$CC$300,$AJ77,0)))))</f>
        <v/>
      </c>
      <c r="BY77" s="350" t="str" cm="1">
        <f t="array" ref="BY77">IF(AW77="","",IF($AJ77="",0,_xlfn.LET(_xlpm.d,IFERROR(--'Sales and count'!$G$2:$CC$2,0),SUMPRODUCT(('Sales and count'!$G$3:$CC$3="Total")*(_xlpm.d&gt;=BY$6)*(_xlpm.d&lt;=BY$7),INDEX('Sales and count'!$G$4:$CC$300,$AJ77,0)))))</f>
        <v/>
      </c>
      <c r="BZ77" s="350" t="str" cm="1">
        <f t="array" ref="BZ77">IF(AX77="","",IF($AJ77="",0,_xlfn.LET(_xlpm.d,IFERROR(--'Sales and count'!$G$2:$CC$2,0),SUMPRODUCT(('Sales and count'!$G$3:$CC$3="Total")*(_xlpm.d&gt;=BZ$6)*(_xlpm.d&lt;=BZ$7),INDEX('Sales and count'!$G$4:$CC$300,$AJ77,0)))))</f>
        <v/>
      </c>
    </row>
    <row r="78" spans="1:78" x14ac:dyDescent="0.25">
      <c r="A78" s="356" t="str">
        <v>HADLHTBHHT</v>
      </c>
      <c r="B78" s="356" t="str" cm="1">
        <f t="array" ref="B78">IF($A78="","",_xlfn.XLOOKUP($A78,TRIM(Footfall!$B$5:$B$301&amp;""),Footfall!$A$5:$A$301,""))</f>
        <v>Dallah Taibah Madinah</v>
      </c>
      <c r="C78" s="356" t="str" cm="1">
        <f t="array" ref="C78">IF($A78="","",_xlfn.XLOOKUP($A78,TRIM('Sales and count'!$A$4:$A$300&amp;""),'Sales and count'!$C$4:$C$300,"Not set"))</f>
        <v>Madinah</v>
      </c>
      <c r="D78" s="357">
        <f t="shared" ca="1" si="53"/>
        <v>0.12022397891963109</v>
      </c>
      <c r="E78" s="357">
        <f t="shared" ca="1" si="54"/>
        <v>0.13970588235294118</v>
      </c>
      <c r="F78" s="357">
        <f t="shared" ca="1" si="55"/>
        <v>0.10984848484848485</v>
      </c>
      <c r="G78" s="357">
        <f t="shared" ca="1" si="56"/>
        <v>8.8135593220338981E-2</v>
      </c>
      <c r="H78" s="357">
        <f t="shared" ca="1" si="57"/>
        <v>0.12339331619537275</v>
      </c>
      <c r="I78" s="357">
        <f t="shared" ca="1" si="58"/>
        <v>0.12941176470588237</v>
      </c>
      <c r="J78" s="357">
        <f t="shared" ca="1" si="59"/>
        <v>0.16298342541436464</v>
      </c>
      <c r="K78" s="357" t="str">
        <f t="shared" si="60"/>
        <v/>
      </c>
      <c r="L78" s="357" t="str">
        <f t="shared" si="61"/>
        <v/>
      </c>
      <c r="M78" s="357" t="str">
        <f t="shared" si="62"/>
        <v/>
      </c>
      <c r="N78" s="357" t="str">
        <f t="shared" si="63"/>
        <v/>
      </c>
      <c r="O78" s="357" t="str">
        <f t="shared" si="64"/>
        <v/>
      </c>
      <c r="P78" s="357" t="str">
        <f t="shared" si="65"/>
        <v/>
      </c>
      <c r="Q78" s="357" t="str">
        <f t="shared" si="66"/>
        <v/>
      </c>
      <c r="R78" s="358" cm="1">
        <f t="array" aca="1" ref="R78" ca="1">IF(OR($A78="",D78=""),"",IFERROR(LOOKUP(2,1/(E78:Q78&lt;&gt;""),E78:Q78)-D78,""))</f>
        <v>4.2759446494733552E-2</v>
      </c>
      <c r="S78" s="349"/>
      <c r="T78" s="362">
        <f t="shared" ca="1" si="67"/>
        <v>183.13056164383562</v>
      </c>
      <c r="U78" s="362">
        <f t="shared" ca="1" si="68"/>
        <v>184.31631578947369</v>
      </c>
      <c r="V78" s="362">
        <f t="shared" ca="1" si="69"/>
        <v>186.58758620689656</v>
      </c>
      <c r="W78" s="362">
        <f t="shared" ca="1" si="70"/>
        <v>184.92461538461538</v>
      </c>
      <c r="X78" s="362">
        <f t="shared" ca="1" si="71"/>
        <v>208.00916666666669</v>
      </c>
      <c r="Y78" s="362">
        <f t="shared" ca="1" si="72"/>
        <v>181.92522727272728</v>
      </c>
      <c r="Z78" s="362">
        <f t="shared" ca="1" si="73"/>
        <v>181.87423728813559</v>
      </c>
      <c r="AA78" s="362">
        <f t="shared" ca="1" si="74"/>
        <v>190.32036363636365</v>
      </c>
      <c r="AB78" s="362">
        <f t="shared" ca="1" si="75"/>
        <v>217.50279069767444</v>
      </c>
      <c r="AC78" s="362" t="str">
        <f t="shared" si="76"/>
        <v/>
      </c>
      <c r="AD78" s="362" t="str">
        <f t="shared" si="77"/>
        <v/>
      </c>
      <c r="AE78" s="362" t="str">
        <f t="shared" si="78"/>
        <v/>
      </c>
      <c r="AF78" s="362" t="str">
        <f t="shared" si="79"/>
        <v/>
      </c>
      <c r="AG78" s="362" t="str">
        <f t="shared" si="80"/>
        <v/>
      </c>
      <c r="AH78" s="363" cm="1">
        <f t="array" aca="1" ref="AH78" ca="1">IF(OR($A78="",T78=""),"",IFERROR(LOOKUP(2,1/(U78:AG78&lt;&gt;""),U78:AG78)-T78,""))</f>
        <v>34.372229053838822</v>
      </c>
      <c r="AI78" s="349"/>
      <c r="AJ78" s="349" cm="1">
        <f t="array" ref="AJ78">IF($A78="","",IFERROR(MATCH($A78,TRIM('Sales and count'!$A$4:$A$300&amp;""),0),""))</f>
        <v>31</v>
      </c>
      <c r="AK78" s="350" cm="1">
        <f t="array" ref="AK78">IF(OR($A78="",AK$6=""),"",IFERROR(INDEX(Footfall!$C$5:$BZ$301,MATCH($A78,TRIM(Footfall!$B$5:$B$301&amp;""),0),AK$5),0))</f>
        <v>6072</v>
      </c>
      <c r="AL78" s="350" cm="1">
        <f t="array" ref="AL78">IF(OR($A78="",AL$6=""),"",IFERROR(INDEX(Footfall!$C$5:$BZ$301,MATCH($A78,TRIM(Footfall!$B$5:$B$301&amp;""),0),AL$5),0))</f>
        <v>272</v>
      </c>
      <c r="AM78" s="350" cm="1">
        <f t="array" ref="AM78">IF(OR($A78="",AM$6=""),"",IFERROR(INDEX(Footfall!$C$5:$BZ$301,MATCH($A78,TRIM(Footfall!$B$5:$B$301&amp;""),0),AM$5),0))</f>
        <v>264</v>
      </c>
      <c r="AN78" s="350" cm="1">
        <f t="array" ref="AN78">IF(OR($A78="",AN$6=""),"",IFERROR(INDEX(Footfall!$C$5:$BZ$301,MATCH($A78,TRIM(Footfall!$B$5:$B$301&amp;""),0),AN$5),0))</f>
        <v>295</v>
      </c>
      <c r="AO78" s="350" cm="1">
        <f t="array" ref="AO78">IF(OR($A78="",AO$6=""),"",IFERROR(INDEX(Footfall!$C$5:$BZ$301,MATCH($A78,TRIM(Footfall!$B$5:$B$301&amp;""),0),AO$5),0))</f>
        <v>389</v>
      </c>
      <c r="AP78" s="350" cm="1">
        <f t="array" ref="AP78">IF(OR($A78="",AP$6=""),"",IFERROR(INDEX(Footfall!$C$5:$BZ$301,MATCH($A78,TRIM(Footfall!$B$5:$B$301&amp;""),0),AP$5),0))</f>
        <v>340</v>
      </c>
      <c r="AQ78" s="350" cm="1">
        <f t="array" ref="AQ78">IF(OR($A78="",AQ$6=""),"",IFERROR(INDEX(Footfall!$C$5:$BZ$301,MATCH($A78,TRIM(Footfall!$B$5:$B$301&amp;""),0),AQ$5),0))</f>
        <v>362</v>
      </c>
      <c r="AR78" s="350" cm="1">
        <f t="array" ref="AR78">IF(OR($A78="",AR$6=""),"",IFERROR(INDEX(Footfall!$C$5:$BZ$301,MATCH($A78,TRIM(Footfall!$B$5:$B$301&amp;""),0),AR$5),0))</f>
        <v>0</v>
      </c>
      <c r="AS78" s="350" cm="1">
        <f t="array" ref="AS78">IF(OR($A78="",AS$6=""),"",IFERROR(INDEX(Footfall!$C$5:$BZ$301,MATCH($A78,TRIM(Footfall!$B$5:$B$301&amp;""),0),AS$5),0))</f>
        <v>0</v>
      </c>
      <c r="AT78" s="350" t="str" cm="1">
        <f t="array" ref="AT78">IF(OR($A78="",AT$6=""),"",IFERROR(INDEX(Footfall!$C$5:$BZ$301,MATCH($A78,TRIM(Footfall!$B$5:$B$301&amp;""),0),AT$5),0))</f>
        <v/>
      </c>
      <c r="AU78" s="350" t="str" cm="1">
        <f t="array" ref="AU78">IF(OR($A78="",AU$6=""),"",IFERROR(INDEX(Footfall!$C$5:$BZ$301,MATCH($A78,TRIM(Footfall!$B$5:$B$301&amp;""),0),AU$5),0))</f>
        <v/>
      </c>
      <c r="AV78" s="350" t="str" cm="1">
        <f t="array" ref="AV78">IF(OR($A78="",AV$6=""),"",IFERROR(INDEX(Footfall!$C$5:$BZ$301,MATCH($A78,TRIM(Footfall!$B$5:$B$301&amp;""),0),AV$5),0))</f>
        <v/>
      </c>
      <c r="AW78" s="350" t="str" cm="1">
        <f t="array" ref="AW78">IF(OR($A78="",AW$6=""),"",IFERROR(INDEX(Footfall!$C$5:$BZ$301,MATCH($A78,TRIM(Footfall!$B$5:$B$301&amp;""),0),AW$5),0))</f>
        <v/>
      </c>
      <c r="AX78" s="350" t="str" cm="1">
        <f t="array" ref="AX78">IF(OR($A78="",AX$6=""),"",IFERROR(INDEX(Footfall!$C$5:$BZ$301,MATCH($A78,TRIM(Footfall!$B$5:$B$301&amp;""),0),AX$5),0))</f>
        <v/>
      </c>
      <c r="AY78" s="350" cm="1">
        <f t="array" aca="1" ref="AY78" ca="1">IF(AK78="","",IF($AJ78="",0,_xlfn.LET(_xlpm.d,IFERROR(--'Sales and count'!$F$2:$CB$2,0),SUMPRODUCT(('Sales and count'!$G$3:$CC$3="Transactions")*(_xlpm.d&gt;=AY$6)*(_xlpm.d&lt;=AY$7),INDEX('Sales and count'!$G$4:$CC$300,$AJ78,0)))))</f>
        <v>730</v>
      </c>
      <c r="AZ78" s="350" cm="1">
        <f t="array" aca="1" ref="AZ78" ca="1">IF(AL78="","",IF($AJ78="",0,_xlfn.LET(_xlpm.d,IFERROR(--'Sales and count'!$F$2:$CB$2,0),SUMPRODUCT(('Sales and count'!$G$3:$CC$3="Transactions")*(_xlpm.d&gt;=AZ$6)*(_xlpm.d&lt;=AZ$7),INDEX('Sales and count'!$G$4:$CC$300,$AJ78,0)))))</f>
        <v>38</v>
      </c>
      <c r="BA78" s="350" cm="1">
        <f t="array" aca="1" ref="BA78" ca="1">IF(AM78="","",IF($AJ78="",0,_xlfn.LET(_xlpm.d,IFERROR(--'Sales and count'!$F$2:$CB$2,0),SUMPRODUCT(('Sales and count'!$G$3:$CC$3="Transactions")*(_xlpm.d&gt;=BA$6)*(_xlpm.d&lt;=BA$7),INDEX('Sales and count'!$G$4:$CC$300,$AJ78,0)))))</f>
        <v>29</v>
      </c>
      <c r="BB78" s="350" cm="1">
        <f t="array" aca="1" ref="BB78" ca="1">IF(AN78="","",IF($AJ78="",0,_xlfn.LET(_xlpm.d,IFERROR(--'Sales and count'!$F$2:$CB$2,0),SUMPRODUCT(('Sales and count'!$G$3:$CC$3="Transactions")*(_xlpm.d&gt;=BB$6)*(_xlpm.d&lt;=BB$7),INDEX('Sales and count'!$G$4:$CC$300,$AJ78,0)))))</f>
        <v>26</v>
      </c>
      <c r="BC78" s="350" cm="1">
        <f t="array" aca="1" ref="BC78" ca="1">IF(AO78="","",IF($AJ78="",0,_xlfn.LET(_xlpm.d,IFERROR(--'Sales and count'!$F$2:$CB$2,0),SUMPRODUCT(('Sales and count'!$G$3:$CC$3="Transactions")*(_xlpm.d&gt;=BC$6)*(_xlpm.d&lt;=BC$7),INDEX('Sales and count'!$G$4:$CC$300,$AJ78,0)))))</f>
        <v>48</v>
      </c>
      <c r="BD78" s="350" cm="1">
        <f t="array" aca="1" ref="BD78" ca="1">IF(AP78="","",IF($AJ78="",0,_xlfn.LET(_xlpm.d,IFERROR(--'Sales and count'!$F$2:$CB$2,0),SUMPRODUCT(('Sales and count'!$G$3:$CC$3="Transactions")*(_xlpm.d&gt;=BD$6)*(_xlpm.d&lt;=BD$7),INDEX('Sales and count'!$G$4:$CC$300,$AJ78,0)))))</f>
        <v>44</v>
      </c>
      <c r="BE78" s="350" cm="1">
        <f t="array" aca="1" ref="BE78" ca="1">IF(AQ78="","",IF($AJ78="",0,_xlfn.LET(_xlpm.d,IFERROR(--'Sales and count'!$F$2:$CB$2,0),SUMPRODUCT(('Sales and count'!$G$3:$CC$3="Transactions")*(_xlpm.d&gt;=BE$6)*(_xlpm.d&lt;=BE$7),INDEX('Sales and count'!$G$4:$CC$300,$AJ78,0)))))</f>
        <v>59</v>
      </c>
      <c r="BF78" s="350" cm="1">
        <f t="array" aca="1" ref="BF78" ca="1">IF(AR78="","",IF($AJ78="",0,_xlfn.LET(_xlpm.d,IFERROR(--'Sales and count'!$F$2:$CB$2,0),SUMPRODUCT(('Sales and count'!$G$3:$CC$3="Transactions")*(_xlpm.d&gt;=BF$6)*(_xlpm.d&lt;=BF$7),INDEX('Sales and count'!$G$4:$CC$300,$AJ78,0)))))</f>
        <v>55</v>
      </c>
      <c r="BG78" s="350" cm="1">
        <f t="array" aca="1" ref="BG78" ca="1">IF(AS78="","",IF($AJ78="",0,_xlfn.LET(_xlpm.d,IFERROR(--'Sales and count'!$F$2:$CB$2,0),SUMPRODUCT(('Sales and count'!$G$3:$CC$3="Transactions")*(_xlpm.d&gt;=BG$6)*(_xlpm.d&lt;=BG$7),INDEX('Sales and count'!$G$4:$CC$300,$AJ78,0)))))</f>
        <v>43</v>
      </c>
      <c r="BH78" s="350" t="str" cm="1">
        <f t="array" ref="BH78">IF(AT78="","",IF($AJ78="",0,_xlfn.LET(_xlpm.d,IFERROR(--'Sales and count'!$F$2:$CB$2,0),SUMPRODUCT(('Sales and count'!$G$3:$CC$3="Transactions")*(_xlpm.d&gt;=BH$6)*(_xlpm.d&lt;=BH$7),INDEX('Sales and count'!$G$4:$CC$300,$AJ78,0)))))</f>
        <v/>
      </c>
      <c r="BI78" s="350" t="str" cm="1">
        <f t="array" ref="BI78">IF(AU78="","",IF($AJ78="",0,_xlfn.LET(_xlpm.d,IFERROR(--'Sales and count'!$F$2:$CB$2,0),SUMPRODUCT(('Sales and count'!$G$3:$CC$3="Transactions")*(_xlpm.d&gt;=BI$6)*(_xlpm.d&lt;=BI$7),INDEX('Sales and count'!$G$4:$CC$300,$AJ78,0)))))</f>
        <v/>
      </c>
      <c r="BJ78" s="350" t="str" cm="1">
        <f t="array" ref="BJ78">IF(AV78="","",IF($AJ78="",0,_xlfn.LET(_xlpm.d,IFERROR(--'Sales and count'!$F$2:$CB$2,0),SUMPRODUCT(('Sales and count'!$G$3:$CC$3="Transactions")*(_xlpm.d&gt;=BJ$6)*(_xlpm.d&lt;=BJ$7),INDEX('Sales and count'!$G$4:$CC$300,$AJ78,0)))))</f>
        <v/>
      </c>
      <c r="BK78" s="350" t="str" cm="1">
        <f t="array" ref="BK78">IF(AW78="","",IF($AJ78="",0,_xlfn.LET(_xlpm.d,IFERROR(--'Sales and count'!$F$2:$CB$2,0),SUMPRODUCT(('Sales and count'!$G$3:$CC$3="Transactions")*(_xlpm.d&gt;=BK$6)*(_xlpm.d&lt;=BK$7),INDEX('Sales and count'!$G$4:$CC$300,$AJ78,0)))))</f>
        <v/>
      </c>
      <c r="BL78" s="350" t="str" cm="1">
        <f t="array" ref="BL78">IF(AX78="","",IF($AJ78="",0,_xlfn.LET(_xlpm.d,IFERROR(--'Sales and count'!$F$2:$CB$2,0),SUMPRODUCT(('Sales and count'!$G$3:$CC$3="Transactions")*(_xlpm.d&gt;=BL$6)*(_xlpm.d&lt;=BL$7),INDEX('Sales and count'!$G$4:$CC$300,$AJ78,0)))))</f>
        <v/>
      </c>
      <c r="BM78" s="350" cm="1">
        <f t="array" ref="BM78">IF(AK78="","",IF($AJ78="",0,_xlfn.LET(_xlpm.d,IFERROR(--'Sales and count'!$G$2:$CC$2,0),SUMPRODUCT(('Sales and count'!$G$3:$CC$3="Total")*(_xlpm.d&gt;=BM$6)*(_xlpm.d&lt;=BM$7),INDEX('Sales and count'!$G$4:$CC$300,$AJ78,0)))))</f>
        <v>133685.31</v>
      </c>
      <c r="BN78" s="350" cm="1">
        <f t="array" ref="BN78">IF(AL78="","",IF($AJ78="",0,_xlfn.LET(_xlpm.d,IFERROR(--'Sales and count'!$G$2:$CC$2,0),SUMPRODUCT(('Sales and count'!$G$3:$CC$3="Total")*(_xlpm.d&gt;=BN$6)*(_xlpm.d&lt;=BN$7),INDEX('Sales and count'!$G$4:$CC$300,$AJ78,0)))))</f>
        <v>7004.02</v>
      </c>
      <c r="BO78" s="350" cm="1">
        <f t="array" ref="BO78">IF(AM78="","",IF($AJ78="",0,_xlfn.LET(_xlpm.d,IFERROR(--'Sales and count'!$G$2:$CC$2,0),SUMPRODUCT(('Sales and count'!$G$3:$CC$3="Total")*(_xlpm.d&gt;=BO$6)*(_xlpm.d&lt;=BO$7),INDEX('Sales and count'!$G$4:$CC$300,$AJ78,0)))))</f>
        <v>5411.04</v>
      </c>
      <c r="BP78" s="350" cm="1">
        <f t="array" ref="BP78">IF(AN78="","",IF($AJ78="",0,_xlfn.LET(_xlpm.d,IFERROR(--'Sales and count'!$G$2:$CC$2,0),SUMPRODUCT(('Sales and count'!$G$3:$CC$3="Total")*(_xlpm.d&gt;=BP$6)*(_xlpm.d&lt;=BP$7),INDEX('Sales and count'!$G$4:$CC$300,$AJ78,0)))))</f>
        <v>4808.04</v>
      </c>
      <c r="BQ78" s="350" cm="1">
        <f t="array" ref="BQ78">IF(AO78="","",IF($AJ78="",0,_xlfn.LET(_xlpm.d,IFERROR(--'Sales and count'!$G$2:$CC$2,0),SUMPRODUCT(('Sales and count'!$G$3:$CC$3="Total")*(_xlpm.d&gt;=BQ$6)*(_xlpm.d&lt;=BQ$7),INDEX('Sales and count'!$G$4:$CC$300,$AJ78,0)))))</f>
        <v>9984.44</v>
      </c>
      <c r="BR78" s="350" cm="1">
        <f t="array" ref="BR78">IF(AP78="","",IF($AJ78="",0,_xlfn.LET(_xlpm.d,IFERROR(--'Sales and count'!$G$2:$CC$2,0),SUMPRODUCT(('Sales and count'!$G$3:$CC$3="Total")*(_xlpm.d&gt;=BR$6)*(_xlpm.d&lt;=BR$7),INDEX('Sales and count'!$G$4:$CC$300,$AJ78,0)))))</f>
        <v>8004.71</v>
      </c>
      <c r="BS78" s="350" cm="1">
        <f t="array" ref="BS78">IF(AQ78="","",IF($AJ78="",0,_xlfn.LET(_xlpm.d,IFERROR(--'Sales and count'!$G$2:$CC$2,0),SUMPRODUCT(('Sales and count'!$G$3:$CC$3="Total")*(_xlpm.d&gt;=BS$6)*(_xlpm.d&lt;=BS$7),INDEX('Sales and count'!$G$4:$CC$300,$AJ78,0)))))</f>
        <v>10730.58</v>
      </c>
      <c r="BT78" s="350" cm="1">
        <f t="array" ref="BT78">IF(AR78="","",IF($AJ78="",0,_xlfn.LET(_xlpm.d,IFERROR(--'Sales and count'!$G$2:$CC$2,0),SUMPRODUCT(('Sales and count'!$G$3:$CC$3="Total")*(_xlpm.d&gt;=BT$6)*(_xlpm.d&lt;=BT$7),INDEX('Sales and count'!$G$4:$CC$300,$AJ78,0)))))</f>
        <v>10467.620000000001</v>
      </c>
      <c r="BU78" s="350" cm="1">
        <f t="array" ref="BU78">IF(AS78="","",IF($AJ78="",0,_xlfn.LET(_xlpm.d,IFERROR(--'Sales and count'!$G$2:$CC$2,0),SUMPRODUCT(('Sales and count'!$G$3:$CC$3="Total")*(_xlpm.d&gt;=BU$6)*(_xlpm.d&lt;=BU$7),INDEX('Sales and count'!$G$4:$CC$300,$AJ78,0)))))</f>
        <v>9352.6200000000008</v>
      </c>
      <c r="BV78" s="350" t="str" cm="1">
        <f t="array" ref="BV78">IF(AT78="","",IF($AJ78="",0,_xlfn.LET(_xlpm.d,IFERROR(--'Sales and count'!$G$2:$CC$2,0),SUMPRODUCT(('Sales and count'!$G$3:$CC$3="Total")*(_xlpm.d&gt;=BV$6)*(_xlpm.d&lt;=BV$7),INDEX('Sales and count'!$G$4:$CC$300,$AJ78,0)))))</f>
        <v/>
      </c>
      <c r="BW78" s="350" t="str" cm="1">
        <f t="array" ref="BW78">IF(AU78="","",IF($AJ78="",0,_xlfn.LET(_xlpm.d,IFERROR(--'Sales and count'!$G$2:$CC$2,0),SUMPRODUCT(('Sales and count'!$G$3:$CC$3="Total")*(_xlpm.d&gt;=BW$6)*(_xlpm.d&lt;=BW$7),INDEX('Sales and count'!$G$4:$CC$300,$AJ78,0)))))</f>
        <v/>
      </c>
      <c r="BX78" s="350" t="str" cm="1">
        <f t="array" ref="BX78">IF(AV78="","",IF($AJ78="",0,_xlfn.LET(_xlpm.d,IFERROR(--'Sales and count'!$G$2:$CC$2,0),SUMPRODUCT(('Sales and count'!$G$3:$CC$3="Total")*(_xlpm.d&gt;=BX$6)*(_xlpm.d&lt;=BX$7),INDEX('Sales and count'!$G$4:$CC$300,$AJ78,0)))))</f>
        <v/>
      </c>
      <c r="BY78" s="350" t="str" cm="1">
        <f t="array" ref="BY78">IF(AW78="","",IF($AJ78="",0,_xlfn.LET(_xlpm.d,IFERROR(--'Sales and count'!$G$2:$CC$2,0),SUMPRODUCT(('Sales and count'!$G$3:$CC$3="Total")*(_xlpm.d&gt;=BY$6)*(_xlpm.d&lt;=BY$7),INDEX('Sales and count'!$G$4:$CC$300,$AJ78,0)))))</f>
        <v/>
      </c>
      <c r="BZ78" s="350" t="str" cm="1">
        <f t="array" ref="BZ78">IF(AX78="","",IF($AJ78="",0,_xlfn.LET(_xlpm.d,IFERROR(--'Sales and count'!$G$2:$CC$2,0),SUMPRODUCT(('Sales and count'!$G$3:$CC$3="Total")*(_xlpm.d&gt;=BZ$6)*(_xlpm.d&lt;=BZ$7),INDEX('Sales and count'!$G$4:$CC$300,$AJ78,0)))))</f>
        <v/>
      </c>
    </row>
    <row r="79" spans="1:78" x14ac:dyDescent="0.25">
      <c r="A79" s="356" t="str">
        <v>HADARALEMN</v>
      </c>
      <c r="B79" s="356" t="str" cm="1">
        <f t="array" ref="B79">IF($A79="","",_xlfn.XLOOKUP($A79,TRIM(Footfall!$B$5:$B$301&amp;""),Footfall!$A$5:$A$301,""))</f>
        <v>Dar Ul Eman Madinah</v>
      </c>
      <c r="C79" s="356" t="str" cm="1">
        <f t="array" ref="C79">IF($A79="","",_xlfn.XLOOKUP($A79,TRIM('Sales and count'!$A$4:$A$300&amp;""),'Sales and count'!$C$4:$C$300,"Not set"))</f>
        <v>Madinah</v>
      </c>
      <c r="D79" s="357">
        <f t="shared" ca="1" si="53"/>
        <v>9.6918318249513122E-2</v>
      </c>
      <c r="E79" s="357">
        <f t="shared" ca="1" si="54"/>
        <v>0.11920529801324503</v>
      </c>
      <c r="F79" s="357">
        <f t="shared" ca="1" si="55"/>
        <v>9.2544987146529561E-2</v>
      </c>
      <c r="G79" s="357">
        <f t="shared" ca="1" si="56"/>
        <v>0.11138014527845036</v>
      </c>
      <c r="H79" s="357">
        <f t="shared" ca="1" si="57"/>
        <v>7.5721153846153841E-2</v>
      </c>
      <c r="I79" s="357">
        <f t="shared" ca="1" si="58"/>
        <v>0.10038610038610038</v>
      </c>
      <c r="J79" s="357">
        <f t="shared" ca="1" si="59"/>
        <v>0.13776722090261281</v>
      </c>
      <c r="K79" s="357">
        <f t="shared" ca="1" si="60"/>
        <v>0.11436170212765957</v>
      </c>
      <c r="L79" s="357">
        <f t="shared" ca="1" si="61"/>
        <v>0.1075</v>
      </c>
      <c r="M79" s="357" t="str">
        <f t="shared" si="62"/>
        <v/>
      </c>
      <c r="N79" s="357" t="str">
        <f t="shared" si="63"/>
        <v/>
      </c>
      <c r="O79" s="357" t="str">
        <f t="shared" si="64"/>
        <v/>
      </c>
      <c r="P79" s="357" t="str">
        <f t="shared" si="65"/>
        <v/>
      </c>
      <c r="Q79" s="357" t="str">
        <f t="shared" si="66"/>
        <v/>
      </c>
      <c r="R79" s="358" cm="1">
        <f t="array" aca="1" ref="R79" ca="1">IF(OR($A79="",D79=""),"",IFERROR(LOOKUP(2,1/(E79:Q79&lt;&gt;""),E79:Q79)-D79,""))</f>
        <v>1.0581681750486877E-2</v>
      </c>
      <c r="S79" s="349"/>
      <c r="T79" s="362">
        <f t="shared" ca="1" si="67"/>
        <v>194.67108747044915</v>
      </c>
      <c r="U79" s="362">
        <f t="shared" ca="1" si="68"/>
        <v>195.35314814814814</v>
      </c>
      <c r="V79" s="362">
        <f t="shared" ca="1" si="69"/>
        <v>246.86194444444448</v>
      </c>
      <c r="W79" s="362">
        <f t="shared" ca="1" si="70"/>
        <v>189.06652173913042</v>
      </c>
      <c r="X79" s="362">
        <f t="shared" ca="1" si="71"/>
        <v>247.07984126984127</v>
      </c>
      <c r="Y79" s="362">
        <f t="shared" ca="1" si="72"/>
        <v>195.50653846153847</v>
      </c>
      <c r="Z79" s="362">
        <f t="shared" ca="1" si="73"/>
        <v>220.55413793103446</v>
      </c>
      <c r="AA79" s="362">
        <f t="shared" ca="1" si="74"/>
        <v>189.1753488372093</v>
      </c>
      <c r="AB79" s="362">
        <f t="shared" ca="1" si="75"/>
        <v>237.99279069767442</v>
      </c>
      <c r="AC79" s="362" t="str">
        <f t="shared" si="76"/>
        <v/>
      </c>
      <c r="AD79" s="362" t="str">
        <f t="shared" si="77"/>
        <v/>
      </c>
      <c r="AE79" s="362" t="str">
        <f t="shared" si="78"/>
        <v/>
      </c>
      <c r="AF79" s="362" t="str">
        <f t="shared" si="79"/>
        <v/>
      </c>
      <c r="AG79" s="362" t="str">
        <f t="shared" si="80"/>
        <v/>
      </c>
      <c r="AH79" s="363" cm="1">
        <f t="array" aca="1" ref="AH79" ca="1">IF(OR($A79="",T79=""),"",IFERROR(LOOKUP(2,1/(U79:AG79&lt;&gt;""),U79:AG79)-T79,""))</f>
        <v>43.321703227225271</v>
      </c>
      <c r="AI79" s="349"/>
      <c r="AJ79" s="349" cm="1">
        <f t="array" ref="AJ79">IF($A79="","",IFERROR(MATCH($A79,TRIM('Sales and count'!$A$4:$A$300&amp;""),0),""))</f>
        <v>15</v>
      </c>
      <c r="AK79" s="350" cm="1">
        <f t="array" ref="AK79">IF(OR($A79="",AK$6=""),"",IFERROR(INDEX(Footfall!$C$5:$BZ$301,MATCH($A79,TRIM(Footfall!$B$5:$B$301&amp;""),0),AK$5),0))</f>
        <v>8729</v>
      </c>
      <c r="AL79" s="350" cm="1">
        <f t="array" ref="AL79">IF(OR($A79="",AL$6=""),"",IFERROR(INDEX(Footfall!$C$5:$BZ$301,MATCH($A79,TRIM(Footfall!$B$5:$B$301&amp;""),0),AL$5),0))</f>
        <v>453</v>
      </c>
      <c r="AM79" s="350" cm="1">
        <f t="array" ref="AM79">IF(OR($A79="",AM$6=""),"",IFERROR(INDEX(Footfall!$C$5:$BZ$301,MATCH($A79,TRIM(Footfall!$B$5:$B$301&amp;""),0),AM$5),0))</f>
        <v>389</v>
      </c>
      <c r="AN79" s="350" cm="1">
        <f t="array" ref="AN79">IF(OR($A79="",AN$6=""),"",IFERROR(INDEX(Footfall!$C$5:$BZ$301,MATCH($A79,TRIM(Footfall!$B$5:$B$301&amp;""),0),AN$5),0))</f>
        <v>413</v>
      </c>
      <c r="AO79" s="350" cm="1">
        <f t="array" ref="AO79">IF(OR($A79="",AO$6=""),"",IFERROR(INDEX(Footfall!$C$5:$BZ$301,MATCH($A79,TRIM(Footfall!$B$5:$B$301&amp;""),0),AO$5),0))</f>
        <v>832</v>
      </c>
      <c r="AP79" s="350" cm="1">
        <f t="array" ref="AP79">IF(OR($A79="",AP$6=""),"",IFERROR(INDEX(Footfall!$C$5:$BZ$301,MATCH($A79,TRIM(Footfall!$B$5:$B$301&amp;""),0),AP$5),0))</f>
        <v>518</v>
      </c>
      <c r="AQ79" s="350" cm="1">
        <f t="array" ref="AQ79">IF(OR($A79="",AQ$6=""),"",IFERROR(INDEX(Footfall!$C$5:$BZ$301,MATCH($A79,TRIM(Footfall!$B$5:$B$301&amp;""),0),AQ$5),0))</f>
        <v>421</v>
      </c>
      <c r="AR79" s="350" cm="1">
        <f t="array" ref="AR79">IF(OR($A79="",AR$6=""),"",IFERROR(INDEX(Footfall!$C$5:$BZ$301,MATCH($A79,TRIM(Footfall!$B$5:$B$301&amp;""),0),AR$5),0))</f>
        <v>376</v>
      </c>
      <c r="AS79" s="350" cm="1">
        <f t="array" ref="AS79">IF(OR($A79="",AS$6=""),"",IFERROR(INDEX(Footfall!$C$5:$BZ$301,MATCH($A79,TRIM(Footfall!$B$5:$B$301&amp;""),0),AS$5),0))</f>
        <v>400</v>
      </c>
      <c r="AT79" s="350" t="str" cm="1">
        <f t="array" ref="AT79">IF(OR($A79="",AT$6=""),"",IFERROR(INDEX(Footfall!$C$5:$BZ$301,MATCH($A79,TRIM(Footfall!$B$5:$B$301&amp;""),0),AT$5),0))</f>
        <v/>
      </c>
      <c r="AU79" s="350" t="str" cm="1">
        <f t="array" ref="AU79">IF(OR($A79="",AU$6=""),"",IFERROR(INDEX(Footfall!$C$5:$BZ$301,MATCH($A79,TRIM(Footfall!$B$5:$B$301&amp;""),0),AU$5),0))</f>
        <v/>
      </c>
      <c r="AV79" s="350" t="str" cm="1">
        <f t="array" ref="AV79">IF(OR($A79="",AV$6=""),"",IFERROR(INDEX(Footfall!$C$5:$BZ$301,MATCH($A79,TRIM(Footfall!$B$5:$B$301&amp;""),0),AV$5),0))</f>
        <v/>
      </c>
      <c r="AW79" s="350" t="str" cm="1">
        <f t="array" ref="AW79">IF(OR($A79="",AW$6=""),"",IFERROR(INDEX(Footfall!$C$5:$BZ$301,MATCH($A79,TRIM(Footfall!$B$5:$B$301&amp;""),0),AW$5),0))</f>
        <v/>
      </c>
      <c r="AX79" s="350" t="str" cm="1">
        <f t="array" ref="AX79">IF(OR($A79="",AX$6=""),"",IFERROR(INDEX(Footfall!$C$5:$BZ$301,MATCH($A79,TRIM(Footfall!$B$5:$B$301&amp;""),0),AX$5),0))</f>
        <v/>
      </c>
      <c r="AY79" s="350" cm="1">
        <f t="array" aca="1" ref="AY79" ca="1">IF(AK79="","",IF($AJ79="",0,_xlfn.LET(_xlpm.d,IFERROR(--'Sales and count'!$F$2:$CB$2,0),SUMPRODUCT(('Sales and count'!$G$3:$CC$3="Transactions")*(_xlpm.d&gt;=AY$6)*(_xlpm.d&lt;=AY$7),INDEX('Sales and count'!$G$4:$CC$300,$AJ79,0)))))</f>
        <v>846</v>
      </c>
      <c r="AZ79" s="350" cm="1">
        <f t="array" aca="1" ref="AZ79" ca="1">IF(AL79="","",IF($AJ79="",0,_xlfn.LET(_xlpm.d,IFERROR(--'Sales and count'!$F$2:$CB$2,0),SUMPRODUCT(('Sales and count'!$G$3:$CC$3="Transactions")*(_xlpm.d&gt;=AZ$6)*(_xlpm.d&lt;=AZ$7),INDEX('Sales and count'!$G$4:$CC$300,$AJ79,0)))))</f>
        <v>54</v>
      </c>
      <c r="BA79" s="350" cm="1">
        <f t="array" aca="1" ref="BA79" ca="1">IF(AM79="","",IF($AJ79="",0,_xlfn.LET(_xlpm.d,IFERROR(--'Sales and count'!$F$2:$CB$2,0),SUMPRODUCT(('Sales and count'!$G$3:$CC$3="Transactions")*(_xlpm.d&gt;=BA$6)*(_xlpm.d&lt;=BA$7),INDEX('Sales and count'!$G$4:$CC$300,$AJ79,0)))))</f>
        <v>36</v>
      </c>
      <c r="BB79" s="350" cm="1">
        <f t="array" aca="1" ref="BB79" ca="1">IF(AN79="","",IF($AJ79="",0,_xlfn.LET(_xlpm.d,IFERROR(--'Sales and count'!$F$2:$CB$2,0),SUMPRODUCT(('Sales and count'!$G$3:$CC$3="Transactions")*(_xlpm.d&gt;=BB$6)*(_xlpm.d&lt;=BB$7),INDEX('Sales and count'!$G$4:$CC$300,$AJ79,0)))))</f>
        <v>46</v>
      </c>
      <c r="BC79" s="350" cm="1">
        <f t="array" aca="1" ref="BC79" ca="1">IF(AO79="","",IF($AJ79="",0,_xlfn.LET(_xlpm.d,IFERROR(--'Sales and count'!$F$2:$CB$2,0),SUMPRODUCT(('Sales and count'!$G$3:$CC$3="Transactions")*(_xlpm.d&gt;=BC$6)*(_xlpm.d&lt;=BC$7),INDEX('Sales and count'!$G$4:$CC$300,$AJ79,0)))))</f>
        <v>63</v>
      </c>
      <c r="BD79" s="350" cm="1">
        <f t="array" aca="1" ref="BD79" ca="1">IF(AP79="","",IF($AJ79="",0,_xlfn.LET(_xlpm.d,IFERROR(--'Sales and count'!$F$2:$CB$2,0),SUMPRODUCT(('Sales and count'!$G$3:$CC$3="Transactions")*(_xlpm.d&gt;=BD$6)*(_xlpm.d&lt;=BD$7),INDEX('Sales and count'!$G$4:$CC$300,$AJ79,0)))))</f>
        <v>52</v>
      </c>
      <c r="BE79" s="350" cm="1">
        <f t="array" aca="1" ref="BE79" ca="1">IF(AQ79="","",IF($AJ79="",0,_xlfn.LET(_xlpm.d,IFERROR(--'Sales and count'!$F$2:$CB$2,0),SUMPRODUCT(('Sales and count'!$G$3:$CC$3="Transactions")*(_xlpm.d&gt;=BE$6)*(_xlpm.d&lt;=BE$7),INDEX('Sales and count'!$G$4:$CC$300,$AJ79,0)))))</f>
        <v>58</v>
      </c>
      <c r="BF79" s="350" cm="1">
        <f t="array" aca="1" ref="BF79" ca="1">IF(AR79="","",IF($AJ79="",0,_xlfn.LET(_xlpm.d,IFERROR(--'Sales and count'!$F$2:$CB$2,0),SUMPRODUCT(('Sales and count'!$G$3:$CC$3="Transactions")*(_xlpm.d&gt;=BF$6)*(_xlpm.d&lt;=BF$7),INDEX('Sales and count'!$G$4:$CC$300,$AJ79,0)))))</f>
        <v>43</v>
      </c>
      <c r="BG79" s="350" cm="1">
        <f t="array" aca="1" ref="BG79" ca="1">IF(AS79="","",IF($AJ79="",0,_xlfn.LET(_xlpm.d,IFERROR(--'Sales and count'!$F$2:$CB$2,0),SUMPRODUCT(('Sales and count'!$G$3:$CC$3="Transactions")*(_xlpm.d&gt;=BG$6)*(_xlpm.d&lt;=BG$7),INDEX('Sales and count'!$G$4:$CC$300,$AJ79,0)))))</f>
        <v>43</v>
      </c>
      <c r="BH79" s="350" t="str" cm="1">
        <f t="array" ref="BH79">IF(AT79="","",IF($AJ79="",0,_xlfn.LET(_xlpm.d,IFERROR(--'Sales and count'!$F$2:$CB$2,0),SUMPRODUCT(('Sales and count'!$G$3:$CC$3="Transactions")*(_xlpm.d&gt;=BH$6)*(_xlpm.d&lt;=BH$7),INDEX('Sales and count'!$G$4:$CC$300,$AJ79,0)))))</f>
        <v/>
      </c>
      <c r="BI79" s="350" t="str" cm="1">
        <f t="array" ref="BI79">IF(AU79="","",IF($AJ79="",0,_xlfn.LET(_xlpm.d,IFERROR(--'Sales and count'!$F$2:$CB$2,0),SUMPRODUCT(('Sales and count'!$G$3:$CC$3="Transactions")*(_xlpm.d&gt;=BI$6)*(_xlpm.d&lt;=BI$7),INDEX('Sales and count'!$G$4:$CC$300,$AJ79,0)))))</f>
        <v/>
      </c>
      <c r="BJ79" s="350" t="str" cm="1">
        <f t="array" ref="BJ79">IF(AV79="","",IF($AJ79="",0,_xlfn.LET(_xlpm.d,IFERROR(--'Sales and count'!$F$2:$CB$2,0),SUMPRODUCT(('Sales and count'!$G$3:$CC$3="Transactions")*(_xlpm.d&gt;=BJ$6)*(_xlpm.d&lt;=BJ$7),INDEX('Sales and count'!$G$4:$CC$300,$AJ79,0)))))</f>
        <v/>
      </c>
      <c r="BK79" s="350" t="str" cm="1">
        <f t="array" ref="BK79">IF(AW79="","",IF($AJ79="",0,_xlfn.LET(_xlpm.d,IFERROR(--'Sales and count'!$F$2:$CB$2,0),SUMPRODUCT(('Sales and count'!$G$3:$CC$3="Transactions")*(_xlpm.d&gt;=BK$6)*(_xlpm.d&lt;=BK$7),INDEX('Sales and count'!$G$4:$CC$300,$AJ79,0)))))</f>
        <v/>
      </c>
      <c r="BL79" s="350" t="str" cm="1">
        <f t="array" ref="BL79">IF(AX79="","",IF($AJ79="",0,_xlfn.LET(_xlpm.d,IFERROR(--'Sales and count'!$F$2:$CB$2,0),SUMPRODUCT(('Sales and count'!$G$3:$CC$3="Transactions")*(_xlpm.d&gt;=BL$6)*(_xlpm.d&lt;=BL$7),INDEX('Sales and count'!$G$4:$CC$300,$AJ79,0)))))</f>
        <v/>
      </c>
      <c r="BM79" s="350" cm="1">
        <f t="array" ref="BM79">IF(AK79="","",IF($AJ79="",0,_xlfn.LET(_xlpm.d,IFERROR(--'Sales and count'!$G$2:$CC$2,0),SUMPRODUCT(('Sales and count'!$G$3:$CC$3="Total")*(_xlpm.d&gt;=BM$6)*(_xlpm.d&lt;=BM$7),INDEX('Sales and count'!$G$4:$CC$300,$AJ79,0)))))</f>
        <v>164691.74</v>
      </c>
      <c r="BN79" s="350" cm="1">
        <f t="array" ref="BN79">IF(AL79="","",IF($AJ79="",0,_xlfn.LET(_xlpm.d,IFERROR(--'Sales and count'!$G$2:$CC$2,0),SUMPRODUCT(('Sales and count'!$G$3:$CC$3="Total")*(_xlpm.d&gt;=BN$6)*(_xlpm.d&lt;=BN$7),INDEX('Sales and count'!$G$4:$CC$300,$AJ79,0)))))</f>
        <v>10549.07</v>
      </c>
      <c r="BO79" s="350" cm="1">
        <f t="array" ref="BO79">IF(AM79="","",IF($AJ79="",0,_xlfn.LET(_xlpm.d,IFERROR(--'Sales and count'!$G$2:$CC$2,0),SUMPRODUCT(('Sales and count'!$G$3:$CC$3="Total")*(_xlpm.d&gt;=BO$6)*(_xlpm.d&lt;=BO$7),INDEX('Sales and count'!$G$4:$CC$300,$AJ79,0)))))</f>
        <v>8887.0300000000007</v>
      </c>
      <c r="BP79" s="350" cm="1">
        <f t="array" ref="BP79">IF(AN79="","",IF($AJ79="",0,_xlfn.LET(_xlpm.d,IFERROR(--'Sales and count'!$G$2:$CC$2,0),SUMPRODUCT(('Sales and count'!$G$3:$CC$3="Total")*(_xlpm.d&gt;=BP$6)*(_xlpm.d&lt;=BP$7),INDEX('Sales and count'!$G$4:$CC$300,$AJ79,0)))))</f>
        <v>8697.06</v>
      </c>
      <c r="BQ79" s="350" cm="1">
        <f t="array" ref="BQ79">IF(AO79="","",IF($AJ79="",0,_xlfn.LET(_xlpm.d,IFERROR(--'Sales and count'!$G$2:$CC$2,0),SUMPRODUCT(('Sales and count'!$G$3:$CC$3="Total")*(_xlpm.d&gt;=BQ$6)*(_xlpm.d&lt;=BQ$7),INDEX('Sales and count'!$G$4:$CC$300,$AJ79,0)))))</f>
        <v>15566.03</v>
      </c>
      <c r="BR79" s="350" cm="1">
        <f t="array" ref="BR79">IF(AP79="","",IF($AJ79="",0,_xlfn.LET(_xlpm.d,IFERROR(--'Sales and count'!$G$2:$CC$2,0),SUMPRODUCT(('Sales and count'!$G$3:$CC$3="Total")*(_xlpm.d&gt;=BR$6)*(_xlpm.d&lt;=BR$7),INDEX('Sales and count'!$G$4:$CC$300,$AJ79,0)))))</f>
        <v>10166.34</v>
      </c>
      <c r="BS79" s="350" cm="1">
        <f t="array" ref="BS79">IF(AQ79="","",IF($AJ79="",0,_xlfn.LET(_xlpm.d,IFERROR(--'Sales and count'!$G$2:$CC$2,0),SUMPRODUCT(('Sales and count'!$G$3:$CC$3="Total")*(_xlpm.d&gt;=BS$6)*(_xlpm.d&lt;=BS$7),INDEX('Sales and count'!$G$4:$CC$300,$AJ79,0)))))</f>
        <v>12792.14</v>
      </c>
      <c r="BT79" s="350" cm="1">
        <f t="array" ref="BT79">IF(AR79="","",IF($AJ79="",0,_xlfn.LET(_xlpm.d,IFERROR(--'Sales and count'!$G$2:$CC$2,0),SUMPRODUCT(('Sales and count'!$G$3:$CC$3="Total")*(_xlpm.d&gt;=BT$6)*(_xlpm.d&lt;=BT$7),INDEX('Sales and count'!$G$4:$CC$300,$AJ79,0)))))</f>
        <v>8134.54</v>
      </c>
      <c r="BU79" s="350" cm="1">
        <f t="array" ref="BU79">IF(AS79="","",IF($AJ79="",0,_xlfn.LET(_xlpm.d,IFERROR(--'Sales and count'!$G$2:$CC$2,0),SUMPRODUCT(('Sales and count'!$G$3:$CC$3="Total")*(_xlpm.d&gt;=BU$6)*(_xlpm.d&lt;=BU$7),INDEX('Sales and count'!$G$4:$CC$300,$AJ79,0)))))</f>
        <v>10233.69</v>
      </c>
      <c r="BV79" s="350" t="str" cm="1">
        <f t="array" ref="BV79">IF(AT79="","",IF($AJ79="",0,_xlfn.LET(_xlpm.d,IFERROR(--'Sales and count'!$G$2:$CC$2,0),SUMPRODUCT(('Sales and count'!$G$3:$CC$3="Total")*(_xlpm.d&gt;=BV$6)*(_xlpm.d&lt;=BV$7),INDEX('Sales and count'!$G$4:$CC$300,$AJ79,0)))))</f>
        <v/>
      </c>
      <c r="BW79" s="350" t="str" cm="1">
        <f t="array" ref="BW79">IF(AU79="","",IF($AJ79="",0,_xlfn.LET(_xlpm.d,IFERROR(--'Sales and count'!$G$2:$CC$2,0),SUMPRODUCT(('Sales and count'!$G$3:$CC$3="Total")*(_xlpm.d&gt;=BW$6)*(_xlpm.d&lt;=BW$7),INDEX('Sales and count'!$G$4:$CC$300,$AJ79,0)))))</f>
        <v/>
      </c>
      <c r="BX79" s="350" t="str" cm="1">
        <f t="array" ref="BX79">IF(AV79="","",IF($AJ79="",0,_xlfn.LET(_xlpm.d,IFERROR(--'Sales and count'!$G$2:$CC$2,0),SUMPRODUCT(('Sales and count'!$G$3:$CC$3="Total")*(_xlpm.d&gt;=BX$6)*(_xlpm.d&lt;=BX$7),INDEX('Sales and count'!$G$4:$CC$300,$AJ79,0)))))</f>
        <v/>
      </c>
      <c r="BY79" s="350" t="str" cm="1">
        <f t="array" ref="BY79">IF(AW79="","",IF($AJ79="",0,_xlfn.LET(_xlpm.d,IFERROR(--'Sales and count'!$G$2:$CC$2,0),SUMPRODUCT(('Sales and count'!$G$3:$CC$3="Total")*(_xlpm.d&gt;=BY$6)*(_xlpm.d&lt;=BY$7),INDEX('Sales and count'!$G$4:$CC$300,$AJ79,0)))))</f>
        <v/>
      </c>
      <c r="BZ79" s="350" t="str" cm="1">
        <f t="array" ref="BZ79">IF(AX79="","",IF($AJ79="",0,_xlfn.LET(_xlpm.d,IFERROR(--'Sales and count'!$G$2:$CC$2,0),SUMPRODUCT(('Sales and count'!$G$3:$CC$3="Total")*(_xlpm.d&gt;=BZ$6)*(_xlpm.d&lt;=BZ$7),INDEX('Sales and count'!$G$4:$CC$300,$AJ79,0)))))</f>
        <v/>
      </c>
    </row>
    <row r="80" spans="1:78" x14ac:dyDescent="0.25">
      <c r="A80" s="356" t="str">
        <v>HAJWALK</v>
      </c>
      <c r="B80" s="356" t="str" cm="1">
        <f t="array" ref="B80">IF($A80="","",_xlfn.XLOOKUP($A80,TRIM(Footfall!$B$5:$B$301&amp;""),Footfall!$A$5:$A$301,""))</f>
        <v>J Walk Madinah</v>
      </c>
      <c r="C80" s="356" t="str" cm="1">
        <f t="array" ref="C80">IF($A80="","",_xlfn.XLOOKUP($A80,TRIM('Sales and count'!$A$4:$A$300&amp;""),'Sales and count'!$C$4:$C$300,"Not set"))</f>
        <v>Madinah</v>
      </c>
      <c r="D80" s="357">
        <f t="shared" ca="1" si="53"/>
        <v>0.1419370819915779</v>
      </c>
      <c r="E80" s="357">
        <f t="shared" ca="1" si="54"/>
        <v>0.11764705882352941</v>
      </c>
      <c r="F80" s="357">
        <f t="shared" ca="1" si="55"/>
        <v>0.2032520325203252</v>
      </c>
      <c r="G80" s="357">
        <f t="shared" ca="1" si="56"/>
        <v>0.21232876712328766</v>
      </c>
      <c r="H80" s="357">
        <f t="shared" ca="1" si="57"/>
        <v>7.1174377224199295E-2</v>
      </c>
      <c r="I80" s="357">
        <f t="shared" ca="1" si="58"/>
        <v>0.06</v>
      </c>
      <c r="J80" s="357">
        <f t="shared" ca="1" si="59"/>
        <v>9.4017094017094016E-2</v>
      </c>
      <c r="K80" s="357">
        <f t="shared" ca="1" si="60"/>
        <v>0.13445378151260504</v>
      </c>
      <c r="L80" s="357">
        <f t="shared" ca="1" si="61"/>
        <v>0.15656565656565657</v>
      </c>
      <c r="M80" s="357" t="str">
        <f t="shared" si="62"/>
        <v/>
      </c>
      <c r="N80" s="357" t="str">
        <f t="shared" si="63"/>
        <v/>
      </c>
      <c r="O80" s="357" t="str">
        <f t="shared" si="64"/>
        <v/>
      </c>
      <c r="P80" s="357" t="str">
        <f t="shared" si="65"/>
        <v/>
      </c>
      <c r="Q80" s="357" t="str">
        <f t="shared" si="66"/>
        <v/>
      </c>
      <c r="R80" s="358" cm="1">
        <f t="array" aca="1" ref="R80" ca="1">IF(OR($A80="",D80=""),"",IFERROR(LOOKUP(2,1/(E80:Q80&lt;&gt;""),E80:Q80)-D80,""))</f>
        <v>1.4628574574078679E-2</v>
      </c>
      <c r="S80" s="349"/>
      <c r="T80" s="362">
        <f t="shared" ca="1" si="67"/>
        <v>174.05596858638742</v>
      </c>
      <c r="U80" s="362">
        <f t="shared" ca="1" si="68"/>
        <v>156.18812500000001</v>
      </c>
      <c r="V80" s="362">
        <f t="shared" ca="1" si="69"/>
        <v>175.84279999999998</v>
      </c>
      <c r="W80" s="362">
        <f t="shared" ca="1" si="70"/>
        <v>144.51741935483872</v>
      </c>
      <c r="X80" s="362">
        <f t="shared" ca="1" si="71"/>
        <v>250.34250000000003</v>
      </c>
      <c r="Y80" s="362">
        <f t="shared" ca="1" si="72"/>
        <v>190.45333333333335</v>
      </c>
      <c r="Z80" s="362">
        <f t="shared" ca="1" si="73"/>
        <v>187.03772727272727</v>
      </c>
      <c r="AA80" s="362">
        <f t="shared" ca="1" si="74"/>
        <v>152.77906250000001</v>
      </c>
      <c r="AB80" s="362">
        <f t="shared" ca="1" si="75"/>
        <v>164.30225806451614</v>
      </c>
      <c r="AC80" s="362" t="str">
        <f t="shared" si="76"/>
        <v/>
      </c>
      <c r="AD80" s="362" t="str">
        <f t="shared" si="77"/>
        <v/>
      </c>
      <c r="AE80" s="362" t="str">
        <f t="shared" si="78"/>
        <v/>
      </c>
      <c r="AF80" s="362" t="str">
        <f t="shared" si="79"/>
        <v/>
      </c>
      <c r="AG80" s="362" t="str">
        <f t="shared" si="80"/>
        <v/>
      </c>
      <c r="AH80" s="363" cm="1">
        <f t="array" aca="1" ref="AH80" ca="1">IF(OR($A80="",T80=""),"",IFERROR(LOOKUP(2,1/(U80:AG80&lt;&gt;""),U80:AG80)-T80,""))</f>
        <v>-9.7537105218712838</v>
      </c>
      <c r="AI80" s="349"/>
      <c r="AJ80" s="349" cm="1">
        <f t="array" ref="AJ80">IF($A80="","",IFERROR(MATCH($A80,TRIM('Sales and count'!$A$4:$A$300&amp;""),0),""))</f>
        <v>28</v>
      </c>
      <c r="AK80" s="350" cm="1">
        <f t="array" ref="AK80">IF(OR($A80="",AK$6=""),"",IFERROR(INDEX(Footfall!$C$5:$BZ$301,MATCH($A80,TRIM(Footfall!$B$5:$B$301&amp;""),0),AK$5),0))</f>
        <v>4037</v>
      </c>
      <c r="AL80" s="350" cm="1">
        <f t="array" ref="AL80">IF(OR($A80="",AL$6=""),"",IFERROR(INDEX(Footfall!$C$5:$BZ$301,MATCH($A80,TRIM(Footfall!$B$5:$B$301&amp;""),0),AL$5),0))</f>
        <v>136</v>
      </c>
      <c r="AM80" s="350" cm="1">
        <f t="array" ref="AM80">IF(OR($A80="",AM$6=""),"",IFERROR(INDEX(Footfall!$C$5:$BZ$301,MATCH($A80,TRIM(Footfall!$B$5:$B$301&amp;""),0),AM$5),0))</f>
        <v>123</v>
      </c>
      <c r="AN80" s="350" cm="1">
        <f t="array" ref="AN80">IF(OR($A80="",AN$6=""),"",IFERROR(INDEX(Footfall!$C$5:$BZ$301,MATCH($A80,TRIM(Footfall!$B$5:$B$301&amp;""),0),AN$5),0))</f>
        <v>146</v>
      </c>
      <c r="AO80" s="350" cm="1">
        <f t="array" ref="AO80">IF(OR($A80="",AO$6=""),"",IFERROR(INDEX(Footfall!$C$5:$BZ$301,MATCH($A80,TRIM(Footfall!$B$5:$B$301&amp;""),0),AO$5),0))</f>
        <v>281</v>
      </c>
      <c r="AP80" s="350" cm="1">
        <f t="array" ref="AP80">IF(OR($A80="",AP$6=""),"",IFERROR(INDEX(Footfall!$C$5:$BZ$301,MATCH($A80,TRIM(Footfall!$B$5:$B$301&amp;""),0),AP$5),0))</f>
        <v>250</v>
      </c>
      <c r="AQ80" s="350" cm="1">
        <f t="array" ref="AQ80">IF(OR($A80="",AQ$6=""),"",IFERROR(INDEX(Footfall!$C$5:$BZ$301,MATCH($A80,TRIM(Footfall!$B$5:$B$301&amp;""),0),AQ$5),0))</f>
        <v>234</v>
      </c>
      <c r="AR80" s="350" cm="1">
        <f t="array" ref="AR80">IF(OR($A80="",AR$6=""),"",IFERROR(INDEX(Footfall!$C$5:$BZ$301,MATCH($A80,TRIM(Footfall!$B$5:$B$301&amp;""),0),AR$5),0))</f>
        <v>238</v>
      </c>
      <c r="AS80" s="350" cm="1">
        <f t="array" ref="AS80">IF(OR($A80="",AS$6=""),"",IFERROR(INDEX(Footfall!$C$5:$BZ$301,MATCH($A80,TRIM(Footfall!$B$5:$B$301&amp;""),0),AS$5),0))</f>
        <v>198</v>
      </c>
      <c r="AT80" s="350" t="str" cm="1">
        <f t="array" ref="AT80">IF(OR($A80="",AT$6=""),"",IFERROR(INDEX(Footfall!$C$5:$BZ$301,MATCH($A80,TRIM(Footfall!$B$5:$B$301&amp;""),0),AT$5),0))</f>
        <v/>
      </c>
      <c r="AU80" s="350" t="str" cm="1">
        <f t="array" ref="AU80">IF(OR($A80="",AU$6=""),"",IFERROR(INDEX(Footfall!$C$5:$BZ$301,MATCH($A80,TRIM(Footfall!$B$5:$B$301&amp;""),0),AU$5),0))</f>
        <v/>
      </c>
      <c r="AV80" s="350" t="str" cm="1">
        <f t="array" ref="AV80">IF(OR($A80="",AV$6=""),"",IFERROR(INDEX(Footfall!$C$5:$BZ$301,MATCH($A80,TRIM(Footfall!$B$5:$B$301&amp;""),0),AV$5),0))</f>
        <v/>
      </c>
      <c r="AW80" s="350" t="str" cm="1">
        <f t="array" ref="AW80">IF(OR($A80="",AW$6=""),"",IFERROR(INDEX(Footfall!$C$5:$BZ$301,MATCH($A80,TRIM(Footfall!$B$5:$B$301&amp;""),0),AW$5),0))</f>
        <v/>
      </c>
      <c r="AX80" s="350" t="str" cm="1">
        <f t="array" ref="AX80">IF(OR($A80="",AX$6=""),"",IFERROR(INDEX(Footfall!$C$5:$BZ$301,MATCH($A80,TRIM(Footfall!$B$5:$B$301&amp;""),0),AX$5),0))</f>
        <v/>
      </c>
      <c r="AY80" s="350" cm="1">
        <f t="array" aca="1" ref="AY80" ca="1">IF(AK80="","",IF($AJ80="",0,_xlfn.LET(_xlpm.d,IFERROR(--'Sales and count'!$F$2:$CB$2,0),SUMPRODUCT(('Sales and count'!$G$3:$CC$3="Transactions")*(_xlpm.d&gt;=AY$6)*(_xlpm.d&lt;=AY$7),INDEX('Sales and count'!$G$4:$CC$300,$AJ80,0)))))</f>
        <v>573</v>
      </c>
      <c r="AZ80" s="350" cm="1">
        <f t="array" aca="1" ref="AZ80" ca="1">IF(AL80="","",IF($AJ80="",0,_xlfn.LET(_xlpm.d,IFERROR(--'Sales and count'!$F$2:$CB$2,0),SUMPRODUCT(('Sales and count'!$G$3:$CC$3="Transactions")*(_xlpm.d&gt;=AZ$6)*(_xlpm.d&lt;=AZ$7),INDEX('Sales and count'!$G$4:$CC$300,$AJ80,0)))))</f>
        <v>16</v>
      </c>
      <c r="BA80" s="350" cm="1">
        <f t="array" aca="1" ref="BA80" ca="1">IF(AM80="","",IF($AJ80="",0,_xlfn.LET(_xlpm.d,IFERROR(--'Sales and count'!$F$2:$CB$2,0),SUMPRODUCT(('Sales and count'!$G$3:$CC$3="Transactions")*(_xlpm.d&gt;=BA$6)*(_xlpm.d&lt;=BA$7),INDEX('Sales and count'!$G$4:$CC$300,$AJ80,0)))))</f>
        <v>25</v>
      </c>
      <c r="BB80" s="350" cm="1">
        <f t="array" aca="1" ref="BB80" ca="1">IF(AN80="","",IF($AJ80="",0,_xlfn.LET(_xlpm.d,IFERROR(--'Sales and count'!$F$2:$CB$2,0),SUMPRODUCT(('Sales and count'!$G$3:$CC$3="Transactions")*(_xlpm.d&gt;=BB$6)*(_xlpm.d&lt;=BB$7),INDEX('Sales and count'!$G$4:$CC$300,$AJ80,0)))))</f>
        <v>31</v>
      </c>
      <c r="BC80" s="350" cm="1">
        <f t="array" aca="1" ref="BC80" ca="1">IF(AO80="","",IF($AJ80="",0,_xlfn.LET(_xlpm.d,IFERROR(--'Sales and count'!$F$2:$CB$2,0),SUMPRODUCT(('Sales and count'!$G$3:$CC$3="Transactions")*(_xlpm.d&gt;=BC$6)*(_xlpm.d&lt;=BC$7),INDEX('Sales and count'!$G$4:$CC$300,$AJ80,0)))))</f>
        <v>20</v>
      </c>
      <c r="BD80" s="350" cm="1">
        <f t="array" aca="1" ref="BD80" ca="1">IF(AP80="","",IF($AJ80="",0,_xlfn.LET(_xlpm.d,IFERROR(--'Sales and count'!$F$2:$CB$2,0),SUMPRODUCT(('Sales and count'!$G$3:$CC$3="Transactions")*(_xlpm.d&gt;=BD$6)*(_xlpm.d&lt;=BD$7),INDEX('Sales and count'!$G$4:$CC$300,$AJ80,0)))))</f>
        <v>15</v>
      </c>
      <c r="BE80" s="350" cm="1">
        <f t="array" aca="1" ref="BE80" ca="1">IF(AQ80="","",IF($AJ80="",0,_xlfn.LET(_xlpm.d,IFERROR(--'Sales and count'!$F$2:$CB$2,0),SUMPRODUCT(('Sales and count'!$G$3:$CC$3="Transactions")*(_xlpm.d&gt;=BE$6)*(_xlpm.d&lt;=BE$7),INDEX('Sales and count'!$G$4:$CC$300,$AJ80,0)))))</f>
        <v>22</v>
      </c>
      <c r="BF80" s="350" cm="1">
        <f t="array" aca="1" ref="BF80" ca="1">IF(AR80="","",IF($AJ80="",0,_xlfn.LET(_xlpm.d,IFERROR(--'Sales and count'!$F$2:$CB$2,0),SUMPRODUCT(('Sales and count'!$G$3:$CC$3="Transactions")*(_xlpm.d&gt;=BF$6)*(_xlpm.d&lt;=BF$7),INDEX('Sales and count'!$G$4:$CC$300,$AJ80,0)))))</f>
        <v>32</v>
      </c>
      <c r="BG80" s="350" cm="1">
        <f t="array" aca="1" ref="BG80" ca="1">IF(AS80="","",IF($AJ80="",0,_xlfn.LET(_xlpm.d,IFERROR(--'Sales and count'!$F$2:$CB$2,0),SUMPRODUCT(('Sales and count'!$G$3:$CC$3="Transactions")*(_xlpm.d&gt;=BG$6)*(_xlpm.d&lt;=BG$7),INDEX('Sales and count'!$G$4:$CC$300,$AJ80,0)))))</f>
        <v>31</v>
      </c>
      <c r="BH80" s="350" t="str" cm="1">
        <f t="array" ref="BH80">IF(AT80="","",IF($AJ80="",0,_xlfn.LET(_xlpm.d,IFERROR(--'Sales and count'!$F$2:$CB$2,0),SUMPRODUCT(('Sales and count'!$G$3:$CC$3="Transactions")*(_xlpm.d&gt;=BH$6)*(_xlpm.d&lt;=BH$7),INDEX('Sales and count'!$G$4:$CC$300,$AJ80,0)))))</f>
        <v/>
      </c>
      <c r="BI80" s="350" t="str" cm="1">
        <f t="array" ref="BI80">IF(AU80="","",IF($AJ80="",0,_xlfn.LET(_xlpm.d,IFERROR(--'Sales and count'!$F$2:$CB$2,0),SUMPRODUCT(('Sales and count'!$G$3:$CC$3="Transactions")*(_xlpm.d&gt;=BI$6)*(_xlpm.d&lt;=BI$7),INDEX('Sales and count'!$G$4:$CC$300,$AJ80,0)))))</f>
        <v/>
      </c>
      <c r="BJ80" s="350" t="str" cm="1">
        <f t="array" ref="BJ80">IF(AV80="","",IF($AJ80="",0,_xlfn.LET(_xlpm.d,IFERROR(--'Sales and count'!$F$2:$CB$2,0),SUMPRODUCT(('Sales and count'!$G$3:$CC$3="Transactions")*(_xlpm.d&gt;=BJ$6)*(_xlpm.d&lt;=BJ$7),INDEX('Sales and count'!$G$4:$CC$300,$AJ80,0)))))</f>
        <v/>
      </c>
      <c r="BK80" s="350" t="str" cm="1">
        <f t="array" ref="BK80">IF(AW80="","",IF($AJ80="",0,_xlfn.LET(_xlpm.d,IFERROR(--'Sales and count'!$F$2:$CB$2,0),SUMPRODUCT(('Sales and count'!$G$3:$CC$3="Transactions")*(_xlpm.d&gt;=BK$6)*(_xlpm.d&lt;=BK$7),INDEX('Sales and count'!$G$4:$CC$300,$AJ80,0)))))</f>
        <v/>
      </c>
      <c r="BL80" s="350" t="str" cm="1">
        <f t="array" ref="BL80">IF(AX80="","",IF($AJ80="",0,_xlfn.LET(_xlpm.d,IFERROR(--'Sales and count'!$F$2:$CB$2,0),SUMPRODUCT(('Sales and count'!$G$3:$CC$3="Transactions")*(_xlpm.d&gt;=BL$6)*(_xlpm.d&lt;=BL$7),INDEX('Sales and count'!$G$4:$CC$300,$AJ80,0)))))</f>
        <v/>
      </c>
      <c r="BM80" s="350" cm="1">
        <f t="array" ref="BM80">IF(AK80="","",IF($AJ80="",0,_xlfn.LET(_xlpm.d,IFERROR(--'Sales and count'!$G$2:$CC$2,0),SUMPRODUCT(('Sales and count'!$G$3:$CC$3="Total")*(_xlpm.d&gt;=BM$6)*(_xlpm.d&lt;=BM$7),INDEX('Sales and count'!$G$4:$CC$300,$AJ80,0)))))</f>
        <v>99734.069999999992</v>
      </c>
      <c r="BN80" s="350" cm="1">
        <f t="array" ref="BN80">IF(AL80="","",IF($AJ80="",0,_xlfn.LET(_xlpm.d,IFERROR(--'Sales and count'!$G$2:$CC$2,0),SUMPRODUCT(('Sales and count'!$G$3:$CC$3="Total")*(_xlpm.d&gt;=BN$6)*(_xlpm.d&lt;=BN$7),INDEX('Sales and count'!$G$4:$CC$300,$AJ80,0)))))</f>
        <v>2499.0100000000002</v>
      </c>
      <c r="BO80" s="350" cm="1">
        <f t="array" ref="BO80">IF(AM80="","",IF($AJ80="",0,_xlfn.LET(_xlpm.d,IFERROR(--'Sales and count'!$G$2:$CC$2,0),SUMPRODUCT(('Sales and count'!$G$3:$CC$3="Total")*(_xlpm.d&gt;=BO$6)*(_xlpm.d&lt;=BO$7),INDEX('Sales and count'!$G$4:$CC$300,$AJ80,0)))))</f>
        <v>4396.07</v>
      </c>
      <c r="BP80" s="350" cm="1">
        <f t="array" ref="BP80">IF(AN80="","",IF($AJ80="",0,_xlfn.LET(_xlpm.d,IFERROR(--'Sales and count'!$G$2:$CC$2,0),SUMPRODUCT(('Sales and count'!$G$3:$CC$3="Total")*(_xlpm.d&gt;=BP$6)*(_xlpm.d&lt;=BP$7),INDEX('Sales and count'!$G$4:$CC$300,$AJ80,0)))))</f>
        <v>4480.04</v>
      </c>
      <c r="BQ80" s="350" cm="1">
        <f t="array" ref="BQ80">IF(AO80="","",IF($AJ80="",0,_xlfn.LET(_xlpm.d,IFERROR(--'Sales and count'!$G$2:$CC$2,0),SUMPRODUCT(('Sales and count'!$G$3:$CC$3="Total")*(_xlpm.d&gt;=BQ$6)*(_xlpm.d&lt;=BQ$7),INDEX('Sales and count'!$G$4:$CC$300,$AJ80,0)))))</f>
        <v>5006.8500000000004</v>
      </c>
      <c r="BR80" s="350" cm="1">
        <f t="array" ref="BR80">IF(AP80="","",IF($AJ80="",0,_xlfn.LET(_xlpm.d,IFERROR(--'Sales and count'!$G$2:$CC$2,0),SUMPRODUCT(('Sales and count'!$G$3:$CC$3="Total")*(_xlpm.d&gt;=BR$6)*(_xlpm.d&lt;=BR$7),INDEX('Sales and count'!$G$4:$CC$300,$AJ80,0)))))</f>
        <v>2856.8</v>
      </c>
      <c r="BS80" s="350" cm="1">
        <f t="array" ref="BS80">IF(AQ80="","",IF($AJ80="",0,_xlfn.LET(_xlpm.d,IFERROR(--'Sales and count'!$G$2:$CC$2,0),SUMPRODUCT(('Sales and count'!$G$3:$CC$3="Total")*(_xlpm.d&gt;=BS$6)*(_xlpm.d&lt;=BS$7),INDEX('Sales and count'!$G$4:$CC$300,$AJ80,0)))))</f>
        <v>4114.83</v>
      </c>
      <c r="BT80" s="350" cm="1">
        <f t="array" ref="BT80">IF(AR80="","",IF($AJ80="",0,_xlfn.LET(_xlpm.d,IFERROR(--'Sales and count'!$G$2:$CC$2,0),SUMPRODUCT(('Sales and count'!$G$3:$CC$3="Total")*(_xlpm.d&gt;=BT$6)*(_xlpm.d&lt;=BT$7),INDEX('Sales and count'!$G$4:$CC$300,$AJ80,0)))))</f>
        <v>4888.93</v>
      </c>
      <c r="BU80" s="350" cm="1">
        <f t="array" ref="BU80">IF(AS80="","",IF($AJ80="",0,_xlfn.LET(_xlpm.d,IFERROR(--'Sales and count'!$G$2:$CC$2,0),SUMPRODUCT(('Sales and count'!$G$3:$CC$3="Total")*(_xlpm.d&gt;=BU$6)*(_xlpm.d&lt;=BU$7),INDEX('Sales and count'!$G$4:$CC$300,$AJ80,0)))))</f>
        <v>5093.37</v>
      </c>
      <c r="BV80" s="350" t="str" cm="1">
        <f t="array" ref="BV80">IF(AT80="","",IF($AJ80="",0,_xlfn.LET(_xlpm.d,IFERROR(--'Sales and count'!$G$2:$CC$2,0),SUMPRODUCT(('Sales and count'!$G$3:$CC$3="Total")*(_xlpm.d&gt;=BV$6)*(_xlpm.d&lt;=BV$7),INDEX('Sales and count'!$G$4:$CC$300,$AJ80,0)))))</f>
        <v/>
      </c>
      <c r="BW80" s="350" t="str" cm="1">
        <f t="array" ref="BW80">IF(AU80="","",IF($AJ80="",0,_xlfn.LET(_xlpm.d,IFERROR(--'Sales and count'!$G$2:$CC$2,0),SUMPRODUCT(('Sales and count'!$G$3:$CC$3="Total")*(_xlpm.d&gt;=BW$6)*(_xlpm.d&lt;=BW$7),INDEX('Sales and count'!$G$4:$CC$300,$AJ80,0)))))</f>
        <v/>
      </c>
      <c r="BX80" s="350" t="str" cm="1">
        <f t="array" ref="BX80">IF(AV80="","",IF($AJ80="",0,_xlfn.LET(_xlpm.d,IFERROR(--'Sales and count'!$G$2:$CC$2,0),SUMPRODUCT(('Sales and count'!$G$3:$CC$3="Total")*(_xlpm.d&gt;=BX$6)*(_xlpm.d&lt;=BX$7),INDEX('Sales and count'!$G$4:$CC$300,$AJ80,0)))))</f>
        <v/>
      </c>
      <c r="BY80" s="350" t="str" cm="1">
        <f t="array" ref="BY80">IF(AW80="","",IF($AJ80="",0,_xlfn.LET(_xlpm.d,IFERROR(--'Sales and count'!$G$2:$CC$2,0),SUMPRODUCT(('Sales and count'!$G$3:$CC$3="Total")*(_xlpm.d&gt;=BY$6)*(_xlpm.d&lt;=BY$7),INDEX('Sales and count'!$G$4:$CC$300,$AJ80,0)))))</f>
        <v/>
      </c>
      <c r="BZ80" s="350" t="str" cm="1">
        <f t="array" ref="BZ80">IF(AX80="","",IF($AJ80="",0,_xlfn.LET(_xlpm.d,IFERROR(--'Sales and count'!$G$2:$CC$2,0),SUMPRODUCT(('Sales and count'!$G$3:$CC$3="Total")*(_xlpm.d&gt;=BZ$6)*(_xlpm.d&lt;=BZ$7),INDEX('Sales and count'!$G$4:$CC$300,$AJ80,0)))))</f>
        <v/>
      </c>
    </row>
    <row r="81" spans="1:78" x14ac:dyDescent="0.25">
      <c r="A81" s="356" t="str">
        <v>HARASHMAD</v>
      </c>
      <c r="B81" s="356" t="str" cm="1">
        <f t="array" ref="B81">IF($A81="","",_xlfn.XLOOKUP($A81,TRIM(Footfall!$B$5:$B$301&amp;""),Footfall!$A$5:$A$301,""))</f>
        <v>Rashid Mall Madinah</v>
      </c>
      <c r="C81" s="356" t="str" cm="1">
        <f t="array" ref="C81">IF($A81="","",_xlfn.XLOOKUP($A81,TRIM('Sales and count'!$A$4:$A$300&amp;""),'Sales and count'!$C$4:$C$300,"Not set"))</f>
        <v>Madinah</v>
      </c>
      <c r="D81" s="357">
        <f t="shared" ca="1" si="53"/>
        <v>0.20794192997438088</v>
      </c>
      <c r="E81" s="357">
        <f t="shared" ca="1" si="54"/>
        <v>0.22368421052631579</v>
      </c>
      <c r="F81" s="357">
        <f t="shared" ca="1" si="55"/>
        <v>0.20238095238095238</v>
      </c>
      <c r="G81" s="357">
        <f t="shared" ca="1" si="56"/>
        <v>0.2</v>
      </c>
      <c r="H81" s="357">
        <f t="shared" ca="1" si="57"/>
        <v>0.14049586776859505</v>
      </c>
      <c r="I81" s="357">
        <f t="shared" ca="1" si="58"/>
        <v>0.18518518518518517</v>
      </c>
      <c r="J81" s="357">
        <f t="shared" ca="1" si="59"/>
        <v>9.0090090090090086E-2</v>
      </c>
      <c r="K81" s="357">
        <f t="shared" ca="1" si="60"/>
        <v>0.20652173913043478</v>
      </c>
      <c r="L81" s="357">
        <f t="shared" ca="1" si="61"/>
        <v>0.16</v>
      </c>
      <c r="M81" s="357" t="str">
        <f t="shared" si="62"/>
        <v/>
      </c>
      <c r="N81" s="357" t="str">
        <f t="shared" si="63"/>
        <v/>
      </c>
      <c r="O81" s="357" t="str">
        <f t="shared" si="64"/>
        <v/>
      </c>
      <c r="P81" s="357" t="str">
        <f t="shared" si="65"/>
        <v/>
      </c>
      <c r="Q81" s="357" t="str">
        <f t="shared" si="66"/>
        <v/>
      </c>
      <c r="R81" s="358" cm="1">
        <f t="array" aca="1" ref="R81" ca="1">IF(OR($A81="",D81=""),"",IFERROR(LOOKUP(2,1/(E81:Q81&lt;&gt;""),E81:Q81)-D81,""))</f>
        <v>-4.7941929974380876E-2</v>
      </c>
      <c r="S81" s="349"/>
      <c r="T81" s="362">
        <f t="shared" ca="1" si="67"/>
        <v>154.58595482546201</v>
      </c>
      <c r="U81" s="362">
        <f t="shared" ca="1" si="68"/>
        <v>176.29588235294119</v>
      </c>
      <c r="V81" s="362">
        <f t="shared" ca="1" si="69"/>
        <v>103.8835294117647</v>
      </c>
      <c r="W81" s="362">
        <f t="shared" ca="1" si="70"/>
        <v>159.5515</v>
      </c>
      <c r="X81" s="362">
        <f t="shared" ca="1" si="71"/>
        <v>173.45941176470589</v>
      </c>
      <c r="Y81" s="362">
        <f t="shared" ca="1" si="72"/>
        <v>266.26799999999997</v>
      </c>
      <c r="Z81" s="362">
        <f t="shared" ca="1" si="73"/>
        <v>163.69400000000002</v>
      </c>
      <c r="AA81" s="362">
        <f t="shared" ca="1" si="74"/>
        <v>195.20894736842104</v>
      </c>
      <c r="AB81" s="362">
        <f t="shared" ca="1" si="75"/>
        <v>202.51625000000001</v>
      </c>
      <c r="AC81" s="362" t="str">
        <f t="shared" si="76"/>
        <v/>
      </c>
      <c r="AD81" s="362" t="str">
        <f t="shared" si="77"/>
        <v/>
      </c>
      <c r="AE81" s="362" t="str">
        <f t="shared" si="78"/>
        <v/>
      </c>
      <c r="AF81" s="362" t="str">
        <f t="shared" si="79"/>
        <v/>
      </c>
      <c r="AG81" s="362" t="str">
        <f t="shared" si="80"/>
        <v/>
      </c>
      <c r="AH81" s="363" cm="1">
        <f t="array" aca="1" ref="AH81" ca="1">IF(OR($A81="",T81=""),"",IFERROR(LOOKUP(2,1/(U81:AG81&lt;&gt;""),U81:AG81)-T81,""))</f>
        <v>47.930295174538003</v>
      </c>
      <c r="AI81" s="349"/>
      <c r="AJ81" s="349" cm="1">
        <f t="array" ref="AJ81">IF($A81="","",IFERROR(MATCH($A81,TRIM('Sales and count'!$A$4:$A$300&amp;""),0),""))</f>
        <v>63</v>
      </c>
      <c r="AK81" s="350" cm="1">
        <f t="array" ref="AK81">IF(OR($A81="",AK$6=""),"",IFERROR(INDEX(Footfall!$C$5:$BZ$301,MATCH($A81,TRIM(Footfall!$B$5:$B$301&amp;""),0),AK$5),0))</f>
        <v>2342</v>
      </c>
      <c r="AL81" s="350" cm="1">
        <f t="array" ref="AL81">IF(OR($A81="",AL$6=""),"",IFERROR(INDEX(Footfall!$C$5:$BZ$301,MATCH($A81,TRIM(Footfall!$B$5:$B$301&amp;""),0),AL$5),0))</f>
        <v>76</v>
      </c>
      <c r="AM81" s="350" cm="1">
        <f t="array" ref="AM81">IF(OR($A81="",AM$6=""),"",IFERROR(INDEX(Footfall!$C$5:$BZ$301,MATCH($A81,TRIM(Footfall!$B$5:$B$301&amp;""),0),AM$5),0))</f>
        <v>84</v>
      </c>
      <c r="AN81" s="350" cm="1">
        <f t="array" ref="AN81">IF(OR($A81="",AN$6=""),"",IFERROR(INDEX(Footfall!$C$5:$BZ$301,MATCH($A81,TRIM(Footfall!$B$5:$B$301&amp;""),0),AN$5),0))</f>
        <v>100</v>
      </c>
      <c r="AO81" s="350" cm="1">
        <f t="array" ref="AO81">IF(OR($A81="",AO$6=""),"",IFERROR(INDEX(Footfall!$C$5:$BZ$301,MATCH($A81,TRIM(Footfall!$B$5:$B$301&amp;""),0),AO$5),0))</f>
        <v>121</v>
      </c>
      <c r="AP81" s="350" cm="1">
        <f t="array" ref="AP81">IF(OR($A81="",AP$6=""),"",IFERROR(INDEX(Footfall!$C$5:$BZ$301,MATCH($A81,TRIM(Footfall!$B$5:$B$301&amp;""),0),AP$5),0))</f>
        <v>135</v>
      </c>
      <c r="AQ81" s="350" cm="1">
        <f t="array" ref="AQ81">IF(OR($A81="",AQ$6=""),"",IFERROR(INDEX(Footfall!$C$5:$BZ$301,MATCH($A81,TRIM(Footfall!$B$5:$B$301&amp;""),0),AQ$5),0))</f>
        <v>111</v>
      </c>
      <c r="AR81" s="350" cm="1">
        <f t="array" ref="AR81">IF(OR($A81="",AR$6=""),"",IFERROR(INDEX(Footfall!$C$5:$BZ$301,MATCH($A81,TRIM(Footfall!$B$5:$B$301&amp;""),0),AR$5),0))</f>
        <v>92</v>
      </c>
      <c r="AS81" s="350" cm="1">
        <f t="array" ref="AS81">IF(OR($A81="",AS$6=""),"",IFERROR(INDEX(Footfall!$C$5:$BZ$301,MATCH($A81,TRIM(Footfall!$B$5:$B$301&amp;""),0),AS$5),0))</f>
        <v>100</v>
      </c>
      <c r="AT81" s="350" t="str" cm="1">
        <f t="array" ref="AT81">IF(OR($A81="",AT$6=""),"",IFERROR(INDEX(Footfall!$C$5:$BZ$301,MATCH($A81,TRIM(Footfall!$B$5:$B$301&amp;""),0),AT$5),0))</f>
        <v/>
      </c>
      <c r="AU81" s="350" t="str" cm="1">
        <f t="array" ref="AU81">IF(OR($A81="",AU$6=""),"",IFERROR(INDEX(Footfall!$C$5:$BZ$301,MATCH($A81,TRIM(Footfall!$B$5:$B$301&amp;""),0),AU$5),0))</f>
        <v/>
      </c>
      <c r="AV81" s="350" t="str" cm="1">
        <f t="array" ref="AV81">IF(OR($A81="",AV$6=""),"",IFERROR(INDEX(Footfall!$C$5:$BZ$301,MATCH($A81,TRIM(Footfall!$B$5:$B$301&amp;""),0),AV$5),0))</f>
        <v/>
      </c>
      <c r="AW81" s="350" t="str" cm="1">
        <f t="array" ref="AW81">IF(OR($A81="",AW$6=""),"",IFERROR(INDEX(Footfall!$C$5:$BZ$301,MATCH($A81,TRIM(Footfall!$B$5:$B$301&amp;""),0),AW$5),0))</f>
        <v/>
      </c>
      <c r="AX81" s="350" t="str" cm="1">
        <f t="array" ref="AX81">IF(OR($A81="",AX$6=""),"",IFERROR(INDEX(Footfall!$C$5:$BZ$301,MATCH($A81,TRIM(Footfall!$B$5:$B$301&amp;""),0),AX$5),0))</f>
        <v/>
      </c>
      <c r="AY81" s="350" cm="1">
        <f t="array" aca="1" ref="AY81" ca="1">IF(AK81="","",IF($AJ81="",0,_xlfn.LET(_xlpm.d,IFERROR(--'Sales and count'!$F$2:$CB$2,0),SUMPRODUCT(('Sales and count'!$G$3:$CC$3="Transactions")*(_xlpm.d&gt;=AY$6)*(_xlpm.d&lt;=AY$7),INDEX('Sales and count'!$G$4:$CC$300,$AJ81,0)))))</f>
        <v>487</v>
      </c>
      <c r="AZ81" s="350" cm="1">
        <f t="array" aca="1" ref="AZ81" ca="1">IF(AL81="","",IF($AJ81="",0,_xlfn.LET(_xlpm.d,IFERROR(--'Sales and count'!$F$2:$CB$2,0),SUMPRODUCT(('Sales and count'!$G$3:$CC$3="Transactions")*(_xlpm.d&gt;=AZ$6)*(_xlpm.d&lt;=AZ$7),INDEX('Sales and count'!$G$4:$CC$300,$AJ81,0)))))</f>
        <v>17</v>
      </c>
      <c r="BA81" s="350" cm="1">
        <f t="array" aca="1" ref="BA81" ca="1">IF(AM81="","",IF($AJ81="",0,_xlfn.LET(_xlpm.d,IFERROR(--'Sales and count'!$F$2:$CB$2,0),SUMPRODUCT(('Sales and count'!$G$3:$CC$3="Transactions")*(_xlpm.d&gt;=BA$6)*(_xlpm.d&lt;=BA$7),INDEX('Sales and count'!$G$4:$CC$300,$AJ81,0)))))</f>
        <v>17</v>
      </c>
      <c r="BB81" s="350" cm="1">
        <f t="array" aca="1" ref="BB81" ca="1">IF(AN81="","",IF($AJ81="",0,_xlfn.LET(_xlpm.d,IFERROR(--'Sales and count'!$F$2:$CB$2,0),SUMPRODUCT(('Sales and count'!$G$3:$CC$3="Transactions")*(_xlpm.d&gt;=BB$6)*(_xlpm.d&lt;=BB$7),INDEX('Sales and count'!$G$4:$CC$300,$AJ81,0)))))</f>
        <v>20</v>
      </c>
      <c r="BC81" s="350" cm="1">
        <f t="array" aca="1" ref="BC81" ca="1">IF(AO81="","",IF($AJ81="",0,_xlfn.LET(_xlpm.d,IFERROR(--'Sales and count'!$F$2:$CB$2,0),SUMPRODUCT(('Sales and count'!$G$3:$CC$3="Transactions")*(_xlpm.d&gt;=BC$6)*(_xlpm.d&lt;=BC$7),INDEX('Sales and count'!$G$4:$CC$300,$AJ81,0)))))</f>
        <v>17</v>
      </c>
      <c r="BD81" s="350" cm="1">
        <f t="array" aca="1" ref="BD81" ca="1">IF(AP81="","",IF($AJ81="",0,_xlfn.LET(_xlpm.d,IFERROR(--'Sales and count'!$F$2:$CB$2,0),SUMPRODUCT(('Sales and count'!$G$3:$CC$3="Transactions")*(_xlpm.d&gt;=BD$6)*(_xlpm.d&lt;=BD$7),INDEX('Sales and count'!$G$4:$CC$300,$AJ81,0)))))</f>
        <v>25</v>
      </c>
      <c r="BE81" s="350" cm="1">
        <f t="array" aca="1" ref="BE81" ca="1">IF(AQ81="","",IF($AJ81="",0,_xlfn.LET(_xlpm.d,IFERROR(--'Sales and count'!$F$2:$CB$2,0),SUMPRODUCT(('Sales and count'!$G$3:$CC$3="Transactions")*(_xlpm.d&gt;=BE$6)*(_xlpm.d&lt;=BE$7),INDEX('Sales and count'!$G$4:$CC$300,$AJ81,0)))))</f>
        <v>10</v>
      </c>
      <c r="BF81" s="350" cm="1">
        <f t="array" aca="1" ref="BF81" ca="1">IF(AR81="","",IF($AJ81="",0,_xlfn.LET(_xlpm.d,IFERROR(--'Sales and count'!$F$2:$CB$2,0),SUMPRODUCT(('Sales and count'!$G$3:$CC$3="Transactions")*(_xlpm.d&gt;=BF$6)*(_xlpm.d&lt;=BF$7),INDEX('Sales and count'!$G$4:$CC$300,$AJ81,0)))))</f>
        <v>19</v>
      </c>
      <c r="BG81" s="350" cm="1">
        <f t="array" aca="1" ref="BG81" ca="1">IF(AS81="","",IF($AJ81="",0,_xlfn.LET(_xlpm.d,IFERROR(--'Sales and count'!$F$2:$CB$2,0),SUMPRODUCT(('Sales and count'!$G$3:$CC$3="Transactions")*(_xlpm.d&gt;=BG$6)*(_xlpm.d&lt;=BG$7),INDEX('Sales and count'!$G$4:$CC$300,$AJ81,0)))))</f>
        <v>16</v>
      </c>
      <c r="BH81" s="350" t="str" cm="1">
        <f t="array" ref="BH81">IF(AT81="","",IF($AJ81="",0,_xlfn.LET(_xlpm.d,IFERROR(--'Sales and count'!$F$2:$CB$2,0),SUMPRODUCT(('Sales and count'!$G$3:$CC$3="Transactions")*(_xlpm.d&gt;=BH$6)*(_xlpm.d&lt;=BH$7),INDEX('Sales and count'!$G$4:$CC$300,$AJ81,0)))))</f>
        <v/>
      </c>
      <c r="BI81" s="350" t="str" cm="1">
        <f t="array" ref="BI81">IF(AU81="","",IF($AJ81="",0,_xlfn.LET(_xlpm.d,IFERROR(--'Sales and count'!$F$2:$CB$2,0),SUMPRODUCT(('Sales and count'!$G$3:$CC$3="Transactions")*(_xlpm.d&gt;=BI$6)*(_xlpm.d&lt;=BI$7),INDEX('Sales and count'!$G$4:$CC$300,$AJ81,0)))))</f>
        <v/>
      </c>
      <c r="BJ81" s="350" t="str" cm="1">
        <f t="array" ref="BJ81">IF(AV81="","",IF($AJ81="",0,_xlfn.LET(_xlpm.d,IFERROR(--'Sales and count'!$F$2:$CB$2,0),SUMPRODUCT(('Sales and count'!$G$3:$CC$3="Transactions")*(_xlpm.d&gt;=BJ$6)*(_xlpm.d&lt;=BJ$7),INDEX('Sales and count'!$G$4:$CC$300,$AJ81,0)))))</f>
        <v/>
      </c>
      <c r="BK81" s="350" t="str" cm="1">
        <f t="array" ref="BK81">IF(AW81="","",IF($AJ81="",0,_xlfn.LET(_xlpm.d,IFERROR(--'Sales and count'!$F$2:$CB$2,0),SUMPRODUCT(('Sales and count'!$G$3:$CC$3="Transactions")*(_xlpm.d&gt;=BK$6)*(_xlpm.d&lt;=BK$7),INDEX('Sales and count'!$G$4:$CC$300,$AJ81,0)))))</f>
        <v/>
      </c>
      <c r="BL81" s="350" t="str" cm="1">
        <f t="array" ref="BL81">IF(AX81="","",IF($AJ81="",0,_xlfn.LET(_xlpm.d,IFERROR(--'Sales and count'!$F$2:$CB$2,0),SUMPRODUCT(('Sales and count'!$G$3:$CC$3="Transactions")*(_xlpm.d&gt;=BL$6)*(_xlpm.d&lt;=BL$7),INDEX('Sales and count'!$G$4:$CC$300,$AJ81,0)))))</f>
        <v/>
      </c>
      <c r="BM81" s="350" cm="1">
        <f t="array" ref="BM81">IF(AK81="","",IF($AJ81="",0,_xlfn.LET(_xlpm.d,IFERROR(--'Sales and count'!$G$2:$CC$2,0),SUMPRODUCT(('Sales and count'!$G$3:$CC$3="Total")*(_xlpm.d&gt;=BM$6)*(_xlpm.d&lt;=BM$7),INDEX('Sales and count'!$G$4:$CC$300,$AJ81,0)))))</f>
        <v>75283.360000000001</v>
      </c>
      <c r="BN81" s="350" cm="1">
        <f t="array" ref="BN81">IF(AL81="","",IF($AJ81="",0,_xlfn.LET(_xlpm.d,IFERROR(--'Sales and count'!$G$2:$CC$2,0),SUMPRODUCT(('Sales and count'!$G$3:$CC$3="Total")*(_xlpm.d&gt;=BN$6)*(_xlpm.d&lt;=BN$7),INDEX('Sales and count'!$G$4:$CC$300,$AJ81,0)))))</f>
        <v>2997.03</v>
      </c>
      <c r="BO81" s="350" cm="1">
        <f t="array" ref="BO81">IF(AM81="","",IF($AJ81="",0,_xlfn.LET(_xlpm.d,IFERROR(--'Sales and count'!$G$2:$CC$2,0),SUMPRODUCT(('Sales and count'!$G$3:$CC$3="Total")*(_xlpm.d&gt;=BO$6)*(_xlpm.d&lt;=BO$7),INDEX('Sales and count'!$G$4:$CC$300,$AJ81,0)))))</f>
        <v>1766.02</v>
      </c>
      <c r="BP81" s="350" cm="1">
        <f t="array" ref="BP81">IF(AN81="","",IF($AJ81="",0,_xlfn.LET(_xlpm.d,IFERROR(--'Sales and count'!$G$2:$CC$2,0),SUMPRODUCT(('Sales and count'!$G$3:$CC$3="Total")*(_xlpm.d&gt;=BP$6)*(_xlpm.d&lt;=BP$7),INDEX('Sales and count'!$G$4:$CC$300,$AJ81,0)))))</f>
        <v>3191.03</v>
      </c>
      <c r="BQ81" s="350" cm="1">
        <f t="array" ref="BQ81">IF(AO81="","",IF($AJ81="",0,_xlfn.LET(_xlpm.d,IFERROR(--'Sales and count'!$G$2:$CC$2,0),SUMPRODUCT(('Sales and count'!$G$3:$CC$3="Total")*(_xlpm.d&gt;=BQ$6)*(_xlpm.d&lt;=BQ$7),INDEX('Sales and count'!$G$4:$CC$300,$AJ81,0)))))</f>
        <v>2948.81</v>
      </c>
      <c r="BR81" s="350" cm="1">
        <f t="array" ref="BR81">IF(AP81="","",IF($AJ81="",0,_xlfn.LET(_xlpm.d,IFERROR(--'Sales and count'!$G$2:$CC$2,0),SUMPRODUCT(('Sales and count'!$G$3:$CC$3="Total")*(_xlpm.d&gt;=BR$6)*(_xlpm.d&lt;=BR$7),INDEX('Sales and count'!$G$4:$CC$300,$AJ81,0)))))</f>
        <v>6656.7</v>
      </c>
      <c r="BS81" s="350" cm="1">
        <f t="array" ref="BS81">IF(AQ81="","",IF($AJ81="",0,_xlfn.LET(_xlpm.d,IFERROR(--'Sales and count'!$G$2:$CC$2,0),SUMPRODUCT(('Sales and count'!$G$3:$CC$3="Total")*(_xlpm.d&gt;=BS$6)*(_xlpm.d&lt;=BS$7),INDEX('Sales and count'!$G$4:$CC$300,$AJ81,0)))))</f>
        <v>1636.94</v>
      </c>
      <c r="BT81" s="350" cm="1">
        <f t="array" ref="BT81">IF(AR81="","",IF($AJ81="",0,_xlfn.LET(_xlpm.d,IFERROR(--'Sales and count'!$G$2:$CC$2,0),SUMPRODUCT(('Sales and count'!$G$3:$CC$3="Total")*(_xlpm.d&gt;=BT$6)*(_xlpm.d&lt;=BT$7),INDEX('Sales and count'!$G$4:$CC$300,$AJ81,0)))))</f>
        <v>3708.97</v>
      </c>
      <c r="BU81" s="350" cm="1">
        <f t="array" ref="BU81">IF(AS81="","",IF($AJ81="",0,_xlfn.LET(_xlpm.d,IFERROR(--'Sales and count'!$G$2:$CC$2,0),SUMPRODUCT(('Sales and count'!$G$3:$CC$3="Total")*(_xlpm.d&gt;=BU$6)*(_xlpm.d&lt;=BU$7),INDEX('Sales and count'!$G$4:$CC$300,$AJ81,0)))))</f>
        <v>3240.26</v>
      </c>
      <c r="BV81" s="350" t="str" cm="1">
        <f t="array" ref="BV81">IF(AT81="","",IF($AJ81="",0,_xlfn.LET(_xlpm.d,IFERROR(--'Sales and count'!$G$2:$CC$2,0),SUMPRODUCT(('Sales and count'!$G$3:$CC$3="Total")*(_xlpm.d&gt;=BV$6)*(_xlpm.d&lt;=BV$7),INDEX('Sales and count'!$G$4:$CC$300,$AJ81,0)))))</f>
        <v/>
      </c>
      <c r="BW81" s="350" t="str" cm="1">
        <f t="array" ref="BW81">IF(AU81="","",IF($AJ81="",0,_xlfn.LET(_xlpm.d,IFERROR(--'Sales and count'!$G$2:$CC$2,0),SUMPRODUCT(('Sales and count'!$G$3:$CC$3="Total")*(_xlpm.d&gt;=BW$6)*(_xlpm.d&lt;=BW$7),INDEX('Sales and count'!$G$4:$CC$300,$AJ81,0)))))</f>
        <v/>
      </c>
      <c r="BX81" s="350" t="str" cm="1">
        <f t="array" ref="BX81">IF(AV81="","",IF($AJ81="",0,_xlfn.LET(_xlpm.d,IFERROR(--'Sales and count'!$G$2:$CC$2,0),SUMPRODUCT(('Sales and count'!$G$3:$CC$3="Total")*(_xlpm.d&gt;=BX$6)*(_xlpm.d&lt;=BX$7),INDEX('Sales and count'!$G$4:$CC$300,$AJ81,0)))))</f>
        <v/>
      </c>
      <c r="BY81" s="350" t="str" cm="1">
        <f t="array" ref="BY81">IF(AW81="","",IF($AJ81="",0,_xlfn.LET(_xlpm.d,IFERROR(--'Sales and count'!$G$2:$CC$2,0),SUMPRODUCT(('Sales and count'!$G$3:$CC$3="Total")*(_xlpm.d&gt;=BY$6)*(_xlpm.d&lt;=BY$7),INDEX('Sales and count'!$G$4:$CC$300,$AJ81,0)))))</f>
        <v/>
      </c>
      <c r="BZ81" s="350" t="str" cm="1">
        <f t="array" ref="BZ81">IF(AX81="","",IF($AJ81="",0,_xlfn.LET(_xlpm.d,IFERROR(--'Sales and count'!$G$2:$CC$2,0),SUMPRODUCT(('Sales and count'!$G$3:$CC$3="Total")*(_xlpm.d&gt;=BZ$6)*(_xlpm.d&lt;=BZ$7),INDEX('Sales and count'!$G$4:$CC$300,$AJ81,0)))))</f>
        <v/>
      </c>
    </row>
    <row r="82" spans="1:78" x14ac:dyDescent="0.25">
      <c r="A82" s="356" t="str">
        <v>HASULTANA</v>
      </c>
      <c r="B82" s="356" t="str" cm="1">
        <f t="array" ref="B82">IF($A82="","",_xlfn.XLOOKUP($A82,TRIM(Footfall!$B$5:$B$301&amp;""),Footfall!$A$5:$A$301,""))</f>
        <v>Sultana street Madinah</v>
      </c>
      <c r="C82" s="356" t="str" cm="1">
        <f t="array" ref="C82">IF($A82="","",_xlfn.XLOOKUP($A82,TRIM('Sales and count'!$A$4:$A$300&amp;""),'Sales and count'!$C$4:$C$300,"Not set"))</f>
        <v>Madinah</v>
      </c>
      <c r="D82" s="357">
        <f t="shared" ca="1" si="53"/>
        <v>0.2248438584316447</v>
      </c>
      <c r="E82" s="357">
        <f t="shared" ca="1" si="54"/>
        <v>0.16455696202531644</v>
      </c>
      <c r="F82" s="357">
        <f t="shared" ca="1" si="55"/>
        <v>0.125</v>
      </c>
      <c r="G82" s="357">
        <f t="shared" ca="1" si="56"/>
        <v>0.3</v>
      </c>
      <c r="H82" s="357">
        <f t="shared" ca="1" si="57"/>
        <v>0.10309278350515463</v>
      </c>
      <c r="I82" s="357">
        <f t="shared" ca="1" si="58"/>
        <v>7.6923076923076927E-2</v>
      </c>
      <c r="J82" s="357">
        <f t="shared" ca="1" si="59"/>
        <v>8.8607594936708861E-2</v>
      </c>
      <c r="K82" s="357">
        <f t="shared" ca="1" si="60"/>
        <v>0.12820512820512819</v>
      </c>
      <c r="L82" s="357">
        <f t="shared" ca="1" si="61"/>
        <v>5.2631578947368418E-2</v>
      </c>
      <c r="M82" s="357" t="str">
        <f t="shared" si="62"/>
        <v/>
      </c>
      <c r="N82" s="357" t="str">
        <f t="shared" si="63"/>
        <v/>
      </c>
      <c r="O82" s="357" t="str">
        <f t="shared" si="64"/>
        <v/>
      </c>
      <c r="P82" s="357" t="str">
        <f t="shared" si="65"/>
        <v/>
      </c>
      <c r="Q82" s="357" t="str">
        <f t="shared" si="66"/>
        <v/>
      </c>
      <c r="R82" s="358" cm="1">
        <f t="array" aca="1" ref="R82" ca="1">IF(OR($A82="",D82=""),"",IFERROR(LOOKUP(2,1/(E82:Q82&lt;&gt;""),E82:Q82)-D82,""))</f>
        <v>-0.17221227948427628</v>
      </c>
      <c r="S82" s="349"/>
      <c r="T82" s="362">
        <f t="shared" ca="1" si="67"/>
        <v>172.91567901234569</v>
      </c>
      <c r="U82" s="362">
        <f t="shared" ca="1" si="68"/>
        <v>160.54076923076926</v>
      </c>
      <c r="V82" s="362">
        <f t="shared" ca="1" si="69"/>
        <v>143.91090909090909</v>
      </c>
      <c r="W82" s="362">
        <f t="shared" ca="1" si="70"/>
        <v>149.95333333333332</v>
      </c>
      <c r="X82" s="362">
        <f t="shared" ca="1" si="71"/>
        <v>242.69299999999998</v>
      </c>
      <c r="Y82" s="362">
        <f t="shared" ca="1" si="72"/>
        <v>269.98333333333335</v>
      </c>
      <c r="Z82" s="362">
        <f t="shared" ca="1" si="73"/>
        <v>336.41714285714289</v>
      </c>
      <c r="AA82" s="362">
        <f t="shared" ca="1" si="74"/>
        <v>268.8</v>
      </c>
      <c r="AB82" s="362">
        <f t="shared" ca="1" si="75"/>
        <v>458.03</v>
      </c>
      <c r="AC82" s="362" t="str">
        <f t="shared" si="76"/>
        <v/>
      </c>
      <c r="AD82" s="362" t="str">
        <f t="shared" si="77"/>
        <v/>
      </c>
      <c r="AE82" s="362" t="str">
        <f t="shared" si="78"/>
        <v/>
      </c>
      <c r="AF82" s="362" t="str">
        <f t="shared" si="79"/>
        <v/>
      </c>
      <c r="AG82" s="362" t="str">
        <f t="shared" si="80"/>
        <v/>
      </c>
      <c r="AH82" s="363" cm="1">
        <f t="array" aca="1" ref="AH82" ca="1">IF(OR($A82="",T82=""),"",IFERROR(LOOKUP(2,1/(U82:AG82&lt;&gt;""),U82:AG82)-T82,""))</f>
        <v>285.11432098765431</v>
      </c>
      <c r="AI82" s="349"/>
      <c r="AJ82" s="349" cm="1">
        <f t="array" ref="AJ82">IF($A82="","",IFERROR(MATCH($A82,TRIM('Sales and count'!$A$4:$A$300&amp;""),0),""))</f>
        <v>44</v>
      </c>
      <c r="AK82" s="350" cm="1">
        <f t="array" ref="AK82">IF(OR($A82="",AK$6=""),"",IFERROR(INDEX(Footfall!$C$5:$BZ$301,MATCH($A82,TRIM(Footfall!$B$5:$B$301&amp;""),0),AK$5),0))</f>
        <v>1441</v>
      </c>
      <c r="AL82" s="350" cm="1">
        <f t="array" ref="AL82">IF(OR($A82="",AL$6=""),"",IFERROR(INDEX(Footfall!$C$5:$BZ$301,MATCH($A82,TRIM(Footfall!$B$5:$B$301&amp;""),0),AL$5),0))</f>
        <v>79</v>
      </c>
      <c r="AM82" s="350" cm="1">
        <f t="array" ref="AM82">IF(OR($A82="",AM$6=""),"",IFERROR(INDEX(Footfall!$C$5:$BZ$301,MATCH($A82,TRIM(Footfall!$B$5:$B$301&amp;""),0),AM$5),0))</f>
        <v>88</v>
      </c>
      <c r="AN82" s="350" cm="1">
        <f t="array" ref="AN82">IF(OR($A82="",AN$6=""),"",IFERROR(INDEX(Footfall!$C$5:$BZ$301,MATCH($A82,TRIM(Footfall!$B$5:$B$301&amp;""),0),AN$5),0))</f>
        <v>70</v>
      </c>
      <c r="AO82" s="350" cm="1">
        <f t="array" ref="AO82">IF(OR($A82="",AO$6=""),"",IFERROR(INDEX(Footfall!$C$5:$BZ$301,MATCH($A82,TRIM(Footfall!$B$5:$B$301&amp;""),0),AO$5),0))</f>
        <v>97</v>
      </c>
      <c r="AP82" s="350" cm="1">
        <f t="array" ref="AP82">IF(OR($A82="",AP$6=""),"",IFERROR(INDEX(Footfall!$C$5:$BZ$301,MATCH($A82,TRIM(Footfall!$B$5:$B$301&amp;""),0),AP$5),0))</f>
        <v>78</v>
      </c>
      <c r="AQ82" s="350" cm="1">
        <f t="array" ref="AQ82">IF(OR($A82="",AQ$6=""),"",IFERROR(INDEX(Footfall!$C$5:$BZ$301,MATCH($A82,TRIM(Footfall!$B$5:$B$301&amp;""),0),AQ$5),0))</f>
        <v>79</v>
      </c>
      <c r="AR82" s="350" cm="1">
        <f t="array" ref="AR82">IF(OR($A82="",AR$6=""),"",IFERROR(INDEX(Footfall!$C$5:$BZ$301,MATCH($A82,TRIM(Footfall!$B$5:$B$301&amp;""),0),AR$5),0))</f>
        <v>78</v>
      </c>
      <c r="AS82" s="350" cm="1">
        <f t="array" ref="AS82">IF(OR($A82="",AS$6=""),"",IFERROR(INDEX(Footfall!$C$5:$BZ$301,MATCH($A82,TRIM(Footfall!$B$5:$B$301&amp;""),0),AS$5),0))</f>
        <v>76</v>
      </c>
      <c r="AT82" s="350" t="str" cm="1">
        <f t="array" ref="AT82">IF(OR($A82="",AT$6=""),"",IFERROR(INDEX(Footfall!$C$5:$BZ$301,MATCH($A82,TRIM(Footfall!$B$5:$B$301&amp;""),0),AT$5),0))</f>
        <v/>
      </c>
      <c r="AU82" s="350" t="str" cm="1">
        <f t="array" ref="AU82">IF(OR($A82="",AU$6=""),"",IFERROR(INDEX(Footfall!$C$5:$BZ$301,MATCH($A82,TRIM(Footfall!$B$5:$B$301&amp;""),0),AU$5),0))</f>
        <v/>
      </c>
      <c r="AV82" s="350" t="str" cm="1">
        <f t="array" ref="AV82">IF(OR($A82="",AV$6=""),"",IFERROR(INDEX(Footfall!$C$5:$BZ$301,MATCH($A82,TRIM(Footfall!$B$5:$B$301&amp;""),0),AV$5),0))</f>
        <v/>
      </c>
      <c r="AW82" s="350" t="str" cm="1">
        <f t="array" ref="AW82">IF(OR($A82="",AW$6=""),"",IFERROR(INDEX(Footfall!$C$5:$BZ$301,MATCH($A82,TRIM(Footfall!$B$5:$B$301&amp;""),0),AW$5),0))</f>
        <v/>
      </c>
      <c r="AX82" s="350" t="str" cm="1">
        <f t="array" ref="AX82">IF(OR($A82="",AX$6=""),"",IFERROR(INDEX(Footfall!$C$5:$BZ$301,MATCH($A82,TRIM(Footfall!$B$5:$B$301&amp;""),0),AX$5),0))</f>
        <v/>
      </c>
      <c r="AY82" s="350" cm="1">
        <f t="array" aca="1" ref="AY82" ca="1">IF(AK82="","",IF($AJ82="",0,_xlfn.LET(_xlpm.d,IFERROR(--'Sales and count'!$F$2:$CB$2,0),SUMPRODUCT(('Sales and count'!$G$3:$CC$3="Transactions")*(_xlpm.d&gt;=AY$6)*(_xlpm.d&lt;=AY$7),INDEX('Sales and count'!$G$4:$CC$300,$AJ82,0)))))</f>
        <v>324</v>
      </c>
      <c r="AZ82" s="350" cm="1">
        <f t="array" aca="1" ref="AZ82" ca="1">IF(AL82="","",IF($AJ82="",0,_xlfn.LET(_xlpm.d,IFERROR(--'Sales and count'!$F$2:$CB$2,0),SUMPRODUCT(('Sales and count'!$G$3:$CC$3="Transactions")*(_xlpm.d&gt;=AZ$6)*(_xlpm.d&lt;=AZ$7),INDEX('Sales and count'!$G$4:$CC$300,$AJ82,0)))))</f>
        <v>13</v>
      </c>
      <c r="BA82" s="350" cm="1">
        <f t="array" aca="1" ref="BA82" ca="1">IF(AM82="","",IF($AJ82="",0,_xlfn.LET(_xlpm.d,IFERROR(--'Sales and count'!$F$2:$CB$2,0),SUMPRODUCT(('Sales and count'!$G$3:$CC$3="Transactions")*(_xlpm.d&gt;=BA$6)*(_xlpm.d&lt;=BA$7),INDEX('Sales and count'!$G$4:$CC$300,$AJ82,0)))))</f>
        <v>11</v>
      </c>
      <c r="BB82" s="350" cm="1">
        <f t="array" aca="1" ref="BB82" ca="1">IF(AN82="","",IF($AJ82="",0,_xlfn.LET(_xlpm.d,IFERROR(--'Sales and count'!$F$2:$CB$2,0),SUMPRODUCT(('Sales and count'!$G$3:$CC$3="Transactions")*(_xlpm.d&gt;=BB$6)*(_xlpm.d&lt;=BB$7),INDEX('Sales and count'!$G$4:$CC$300,$AJ82,0)))))</f>
        <v>21</v>
      </c>
      <c r="BC82" s="350" cm="1">
        <f t="array" aca="1" ref="BC82" ca="1">IF(AO82="","",IF($AJ82="",0,_xlfn.LET(_xlpm.d,IFERROR(--'Sales and count'!$F$2:$CB$2,0),SUMPRODUCT(('Sales and count'!$G$3:$CC$3="Transactions")*(_xlpm.d&gt;=BC$6)*(_xlpm.d&lt;=BC$7),INDEX('Sales and count'!$G$4:$CC$300,$AJ82,0)))))</f>
        <v>10</v>
      </c>
      <c r="BD82" s="350" cm="1">
        <f t="array" aca="1" ref="BD82" ca="1">IF(AP82="","",IF($AJ82="",0,_xlfn.LET(_xlpm.d,IFERROR(--'Sales and count'!$F$2:$CB$2,0),SUMPRODUCT(('Sales and count'!$G$3:$CC$3="Transactions")*(_xlpm.d&gt;=BD$6)*(_xlpm.d&lt;=BD$7),INDEX('Sales and count'!$G$4:$CC$300,$AJ82,0)))))</f>
        <v>6</v>
      </c>
      <c r="BE82" s="350" cm="1">
        <f t="array" aca="1" ref="BE82" ca="1">IF(AQ82="","",IF($AJ82="",0,_xlfn.LET(_xlpm.d,IFERROR(--'Sales and count'!$F$2:$CB$2,0),SUMPRODUCT(('Sales and count'!$G$3:$CC$3="Transactions")*(_xlpm.d&gt;=BE$6)*(_xlpm.d&lt;=BE$7),INDEX('Sales and count'!$G$4:$CC$300,$AJ82,0)))))</f>
        <v>7</v>
      </c>
      <c r="BF82" s="350" cm="1">
        <f t="array" aca="1" ref="BF82" ca="1">IF(AR82="","",IF($AJ82="",0,_xlfn.LET(_xlpm.d,IFERROR(--'Sales and count'!$F$2:$CB$2,0),SUMPRODUCT(('Sales and count'!$G$3:$CC$3="Transactions")*(_xlpm.d&gt;=BF$6)*(_xlpm.d&lt;=BF$7),INDEX('Sales and count'!$G$4:$CC$300,$AJ82,0)))))</f>
        <v>10</v>
      </c>
      <c r="BG82" s="350" cm="1">
        <f t="array" aca="1" ref="BG82" ca="1">IF(AS82="","",IF($AJ82="",0,_xlfn.LET(_xlpm.d,IFERROR(--'Sales and count'!$F$2:$CB$2,0),SUMPRODUCT(('Sales and count'!$G$3:$CC$3="Transactions")*(_xlpm.d&gt;=BG$6)*(_xlpm.d&lt;=BG$7),INDEX('Sales and count'!$G$4:$CC$300,$AJ82,0)))))</f>
        <v>4</v>
      </c>
      <c r="BH82" s="350" t="str" cm="1">
        <f t="array" ref="BH82">IF(AT82="","",IF($AJ82="",0,_xlfn.LET(_xlpm.d,IFERROR(--'Sales and count'!$F$2:$CB$2,0),SUMPRODUCT(('Sales and count'!$G$3:$CC$3="Transactions")*(_xlpm.d&gt;=BH$6)*(_xlpm.d&lt;=BH$7),INDEX('Sales and count'!$G$4:$CC$300,$AJ82,0)))))</f>
        <v/>
      </c>
      <c r="BI82" s="350" t="str" cm="1">
        <f t="array" ref="BI82">IF(AU82="","",IF($AJ82="",0,_xlfn.LET(_xlpm.d,IFERROR(--'Sales and count'!$F$2:$CB$2,0),SUMPRODUCT(('Sales and count'!$G$3:$CC$3="Transactions")*(_xlpm.d&gt;=BI$6)*(_xlpm.d&lt;=BI$7),INDEX('Sales and count'!$G$4:$CC$300,$AJ82,0)))))</f>
        <v/>
      </c>
      <c r="BJ82" s="350" t="str" cm="1">
        <f t="array" ref="BJ82">IF(AV82="","",IF($AJ82="",0,_xlfn.LET(_xlpm.d,IFERROR(--'Sales and count'!$F$2:$CB$2,0),SUMPRODUCT(('Sales and count'!$G$3:$CC$3="Transactions")*(_xlpm.d&gt;=BJ$6)*(_xlpm.d&lt;=BJ$7),INDEX('Sales and count'!$G$4:$CC$300,$AJ82,0)))))</f>
        <v/>
      </c>
      <c r="BK82" s="350" t="str" cm="1">
        <f t="array" ref="BK82">IF(AW82="","",IF($AJ82="",0,_xlfn.LET(_xlpm.d,IFERROR(--'Sales and count'!$F$2:$CB$2,0),SUMPRODUCT(('Sales and count'!$G$3:$CC$3="Transactions")*(_xlpm.d&gt;=BK$6)*(_xlpm.d&lt;=BK$7),INDEX('Sales and count'!$G$4:$CC$300,$AJ82,0)))))</f>
        <v/>
      </c>
      <c r="BL82" s="350" t="str" cm="1">
        <f t="array" ref="BL82">IF(AX82="","",IF($AJ82="",0,_xlfn.LET(_xlpm.d,IFERROR(--'Sales and count'!$F$2:$CB$2,0),SUMPRODUCT(('Sales and count'!$G$3:$CC$3="Transactions")*(_xlpm.d&gt;=BL$6)*(_xlpm.d&lt;=BL$7),INDEX('Sales and count'!$G$4:$CC$300,$AJ82,0)))))</f>
        <v/>
      </c>
      <c r="BM82" s="350" cm="1">
        <f t="array" ref="BM82">IF(AK82="","",IF($AJ82="",0,_xlfn.LET(_xlpm.d,IFERROR(--'Sales and count'!$G$2:$CC$2,0),SUMPRODUCT(('Sales and count'!$G$3:$CC$3="Total")*(_xlpm.d&gt;=BM$6)*(_xlpm.d&lt;=BM$7),INDEX('Sales and count'!$G$4:$CC$300,$AJ82,0)))))</f>
        <v>56024.68</v>
      </c>
      <c r="BN82" s="350" cm="1">
        <f t="array" ref="BN82">IF(AL82="","",IF($AJ82="",0,_xlfn.LET(_xlpm.d,IFERROR(--'Sales and count'!$G$2:$CC$2,0),SUMPRODUCT(('Sales and count'!$G$3:$CC$3="Total")*(_xlpm.d&gt;=BN$6)*(_xlpm.d&lt;=BN$7),INDEX('Sales and count'!$G$4:$CC$300,$AJ82,0)))))</f>
        <v>2087.0300000000002</v>
      </c>
      <c r="BO82" s="350" cm="1">
        <f t="array" ref="BO82">IF(AM82="","",IF($AJ82="",0,_xlfn.LET(_xlpm.d,IFERROR(--'Sales and count'!$G$2:$CC$2,0),SUMPRODUCT(('Sales and count'!$G$3:$CC$3="Total")*(_xlpm.d&gt;=BO$6)*(_xlpm.d&lt;=BO$7),INDEX('Sales and count'!$G$4:$CC$300,$AJ82,0)))))</f>
        <v>1583.02</v>
      </c>
      <c r="BP82" s="350" cm="1">
        <f t="array" ref="BP82">IF(AN82="","",IF($AJ82="",0,_xlfn.LET(_xlpm.d,IFERROR(--'Sales and count'!$G$2:$CC$2,0),SUMPRODUCT(('Sales and count'!$G$3:$CC$3="Total")*(_xlpm.d&gt;=BP$6)*(_xlpm.d&lt;=BP$7),INDEX('Sales and count'!$G$4:$CC$300,$AJ82,0)))))</f>
        <v>3149.02</v>
      </c>
      <c r="BQ82" s="350" cm="1">
        <f t="array" ref="BQ82">IF(AO82="","",IF($AJ82="",0,_xlfn.LET(_xlpm.d,IFERROR(--'Sales and count'!$G$2:$CC$2,0),SUMPRODUCT(('Sales and count'!$G$3:$CC$3="Total")*(_xlpm.d&gt;=BQ$6)*(_xlpm.d&lt;=BQ$7),INDEX('Sales and count'!$G$4:$CC$300,$AJ82,0)))))</f>
        <v>2426.9299999999998</v>
      </c>
      <c r="BR82" s="350" cm="1">
        <f t="array" ref="BR82">IF(AP82="","",IF($AJ82="",0,_xlfn.LET(_xlpm.d,IFERROR(--'Sales and count'!$G$2:$CC$2,0),SUMPRODUCT(('Sales and count'!$G$3:$CC$3="Total")*(_xlpm.d&gt;=BR$6)*(_xlpm.d&lt;=BR$7),INDEX('Sales and count'!$G$4:$CC$300,$AJ82,0)))))</f>
        <v>1619.9</v>
      </c>
      <c r="BS82" s="350" cm="1">
        <f t="array" ref="BS82">IF(AQ82="","",IF($AJ82="",0,_xlfn.LET(_xlpm.d,IFERROR(--'Sales and count'!$G$2:$CC$2,0),SUMPRODUCT(('Sales and count'!$G$3:$CC$3="Total")*(_xlpm.d&gt;=BS$6)*(_xlpm.d&lt;=BS$7),INDEX('Sales and count'!$G$4:$CC$300,$AJ82,0)))))</f>
        <v>2354.92</v>
      </c>
      <c r="BT82" s="350" cm="1">
        <f t="array" ref="BT82">IF(AR82="","",IF($AJ82="",0,_xlfn.LET(_xlpm.d,IFERROR(--'Sales and count'!$G$2:$CC$2,0),SUMPRODUCT(('Sales and count'!$G$3:$CC$3="Total")*(_xlpm.d&gt;=BT$6)*(_xlpm.d&lt;=BT$7),INDEX('Sales and count'!$G$4:$CC$300,$AJ82,0)))))</f>
        <v>2688</v>
      </c>
      <c r="BU82" s="350" cm="1">
        <f t="array" ref="BU82">IF(AS82="","",IF($AJ82="",0,_xlfn.LET(_xlpm.d,IFERROR(--'Sales and count'!$G$2:$CC$2,0),SUMPRODUCT(('Sales and count'!$G$3:$CC$3="Total")*(_xlpm.d&gt;=BU$6)*(_xlpm.d&lt;=BU$7),INDEX('Sales and count'!$G$4:$CC$300,$AJ82,0)))))</f>
        <v>1832.12</v>
      </c>
      <c r="BV82" s="350" t="str" cm="1">
        <f t="array" ref="BV82">IF(AT82="","",IF($AJ82="",0,_xlfn.LET(_xlpm.d,IFERROR(--'Sales and count'!$G$2:$CC$2,0),SUMPRODUCT(('Sales and count'!$G$3:$CC$3="Total")*(_xlpm.d&gt;=BV$6)*(_xlpm.d&lt;=BV$7),INDEX('Sales and count'!$G$4:$CC$300,$AJ82,0)))))</f>
        <v/>
      </c>
      <c r="BW82" s="350" t="str" cm="1">
        <f t="array" ref="BW82">IF(AU82="","",IF($AJ82="",0,_xlfn.LET(_xlpm.d,IFERROR(--'Sales and count'!$G$2:$CC$2,0),SUMPRODUCT(('Sales and count'!$G$3:$CC$3="Total")*(_xlpm.d&gt;=BW$6)*(_xlpm.d&lt;=BW$7),INDEX('Sales and count'!$G$4:$CC$300,$AJ82,0)))))</f>
        <v/>
      </c>
      <c r="BX82" s="350" t="str" cm="1">
        <f t="array" ref="BX82">IF(AV82="","",IF($AJ82="",0,_xlfn.LET(_xlpm.d,IFERROR(--'Sales and count'!$G$2:$CC$2,0),SUMPRODUCT(('Sales and count'!$G$3:$CC$3="Total")*(_xlpm.d&gt;=BX$6)*(_xlpm.d&lt;=BX$7),INDEX('Sales and count'!$G$4:$CC$300,$AJ82,0)))))</f>
        <v/>
      </c>
      <c r="BY82" s="350" t="str" cm="1">
        <f t="array" ref="BY82">IF(AW82="","",IF($AJ82="",0,_xlfn.LET(_xlpm.d,IFERROR(--'Sales and count'!$G$2:$CC$2,0),SUMPRODUCT(('Sales and count'!$G$3:$CC$3="Total")*(_xlpm.d&gt;=BY$6)*(_xlpm.d&lt;=BY$7),INDEX('Sales and count'!$G$4:$CC$300,$AJ82,0)))))</f>
        <v/>
      </c>
      <c r="BZ82" s="350" t="str" cm="1">
        <f t="array" ref="BZ82">IF(AX82="","",IF($AJ82="",0,_xlfn.LET(_xlpm.d,IFERROR(--'Sales and count'!$G$2:$CC$2,0),SUMPRODUCT(('Sales and count'!$G$3:$CC$3="Total")*(_xlpm.d&gt;=BZ$6)*(_xlpm.d&lt;=BZ$7),INDEX('Sales and count'!$G$4:$CC$300,$AJ82,0)))))</f>
        <v/>
      </c>
    </row>
    <row r="83" spans="1:78" x14ac:dyDescent="0.25">
      <c r="A83" s="356" t="str">
        <v>HADIYAFAML</v>
      </c>
      <c r="B83" s="356" t="str" cm="1">
        <f t="array" ref="B83">IF($A83="","",_xlfn.XLOOKUP($A83,TRIM(Footfall!$B$5:$B$301&amp;""),Footfall!$A$5:$A$301,""))</f>
        <v>Daifah Mall Makkah</v>
      </c>
      <c r="C83" s="356" t="str" cm="1">
        <f t="array" ref="C83">IF($A83="","",_xlfn.XLOOKUP($A83,TRIM('Sales and count'!$A$4:$A$300&amp;""),'Sales and count'!$C$4:$C$300,"Not set"))</f>
        <v>Makkah</v>
      </c>
      <c r="D83" s="357">
        <f t="shared" ca="1" si="53"/>
        <v>9.7421981004070554E-2</v>
      </c>
      <c r="E83" s="357">
        <f t="shared" ca="1" si="54"/>
        <v>5.128205128205128E-2</v>
      </c>
      <c r="F83" s="357">
        <f t="shared" ca="1" si="55"/>
        <v>8.4967320261437912E-2</v>
      </c>
      <c r="G83" s="357">
        <f t="shared" ca="1" si="56"/>
        <v>0.12931034482758622</v>
      </c>
      <c r="H83" s="357">
        <f t="shared" ca="1" si="57"/>
        <v>7.7294685990338161E-2</v>
      </c>
      <c r="I83" s="357">
        <f t="shared" ca="1" si="58"/>
        <v>1.9900497512437811E-2</v>
      </c>
      <c r="J83" s="357">
        <f t="shared" ca="1" si="59"/>
        <v>7.5342465753424653E-2</v>
      </c>
      <c r="K83" s="357">
        <f t="shared" ca="1" si="60"/>
        <v>2.0618556701030927E-2</v>
      </c>
      <c r="L83" s="357">
        <f t="shared" ca="1" si="61"/>
        <v>3.3816425120772944E-2</v>
      </c>
      <c r="M83" s="357" t="str">
        <f t="shared" si="62"/>
        <v/>
      </c>
      <c r="N83" s="357" t="str">
        <f t="shared" si="63"/>
        <v/>
      </c>
      <c r="O83" s="357" t="str">
        <f t="shared" si="64"/>
        <v/>
      </c>
      <c r="P83" s="357" t="str">
        <f t="shared" si="65"/>
        <v/>
      </c>
      <c r="Q83" s="357" t="str">
        <f t="shared" si="66"/>
        <v/>
      </c>
      <c r="R83" s="358" cm="1">
        <f t="array" aca="1" ref="R83" ca="1">IF(OR($A83="",D83=""),"",IFERROR(LOOKUP(2,1/(E83:Q83&lt;&gt;""),E83:Q83)-D83,""))</f>
        <v>-6.360555588329761E-2</v>
      </c>
      <c r="S83" s="349"/>
      <c r="T83" s="362">
        <f t="shared" ca="1" si="67"/>
        <v>117.68420612813372</v>
      </c>
      <c r="U83" s="362">
        <f t="shared" ca="1" si="68"/>
        <v>113</v>
      </c>
      <c r="V83" s="362">
        <f t="shared" ca="1" si="69"/>
        <v>151.69384615384615</v>
      </c>
      <c r="W83" s="362">
        <f t="shared" ca="1" si="70"/>
        <v>115</v>
      </c>
      <c r="X83" s="362">
        <f t="shared" ca="1" si="71"/>
        <v>110.68625</v>
      </c>
      <c r="Y83" s="362">
        <f t="shared" ca="1" si="72"/>
        <v>101.7525</v>
      </c>
      <c r="Z83" s="362">
        <f t="shared" ca="1" si="73"/>
        <v>130.63818181818181</v>
      </c>
      <c r="AA83" s="362">
        <f t="shared" ca="1" si="74"/>
        <v>192.99</v>
      </c>
      <c r="AB83" s="362">
        <f t="shared" ca="1" si="75"/>
        <v>136.57714285714286</v>
      </c>
      <c r="AC83" s="362" t="str">
        <f t="shared" si="76"/>
        <v/>
      </c>
      <c r="AD83" s="362" t="str">
        <f t="shared" si="77"/>
        <v/>
      </c>
      <c r="AE83" s="362" t="str">
        <f t="shared" si="78"/>
        <v/>
      </c>
      <c r="AF83" s="362" t="str">
        <f t="shared" si="79"/>
        <v/>
      </c>
      <c r="AG83" s="362" t="str">
        <f t="shared" si="80"/>
        <v/>
      </c>
      <c r="AH83" s="363" cm="1">
        <f t="array" aca="1" ref="AH83" ca="1">IF(OR($A83="",T83=""),"",IFERROR(LOOKUP(2,1/(U83:AG83&lt;&gt;""),U83:AG83)-T83,""))</f>
        <v>18.892936729009136</v>
      </c>
      <c r="AI83" s="349"/>
      <c r="AJ83" s="349" cm="1">
        <f t="array" ref="AJ83">IF($A83="","",IFERROR(MATCH($A83,TRIM('Sales and count'!$A$4:$A$300&amp;""),0),""))</f>
        <v>77</v>
      </c>
      <c r="AK83" s="350" cm="1">
        <f t="array" ref="AK83">IF(OR($A83="",AK$6=""),"",IFERROR(INDEX(Footfall!$C$5:$BZ$301,MATCH($A83,TRIM(Footfall!$B$5:$B$301&amp;""),0),AK$5),0))</f>
        <v>3685</v>
      </c>
      <c r="AL83" s="350" cm="1">
        <f t="array" ref="AL83">IF(OR($A83="",AL$6=""),"",IFERROR(INDEX(Footfall!$C$5:$BZ$301,MATCH($A83,TRIM(Footfall!$B$5:$B$301&amp;""),0),AL$5),0))</f>
        <v>117</v>
      </c>
      <c r="AM83" s="350" cm="1">
        <f t="array" ref="AM83">IF(OR($A83="",AM$6=""),"",IFERROR(INDEX(Footfall!$C$5:$BZ$301,MATCH($A83,TRIM(Footfall!$B$5:$B$301&amp;""),0),AM$5),0))</f>
        <v>153</v>
      </c>
      <c r="AN83" s="350" cm="1">
        <f t="array" ref="AN83">IF(OR($A83="",AN$6=""),"",IFERROR(INDEX(Footfall!$C$5:$BZ$301,MATCH($A83,TRIM(Footfall!$B$5:$B$301&amp;""),0),AN$5),0))</f>
        <v>116</v>
      </c>
      <c r="AO83" s="350" cm="1">
        <f t="array" ref="AO83">IF(OR($A83="",AO$6=""),"",IFERROR(INDEX(Footfall!$C$5:$BZ$301,MATCH($A83,TRIM(Footfall!$B$5:$B$301&amp;""),0),AO$5),0))</f>
        <v>207</v>
      </c>
      <c r="AP83" s="350" cm="1">
        <f t="array" ref="AP83">IF(OR($A83="",AP$6=""),"",IFERROR(INDEX(Footfall!$C$5:$BZ$301,MATCH($A83,TRIM(Footfall!$B$5:$B$301&amp;""),0),AP$5),0))</f>
        <v>201</v>
      </c>
      <c r="AQ83" s="350" cm="1">
        <f t="array" ref="AQ83">IF(OR($A83="",AQ$6=""),"",IFERROR(INDEX(Footfall!$C$5:$BZ$301,MATCH($A83,TRIM(Footfall!$B$5:$B$301&amp;""),0),AQ$5),0))</f>
        <v>146</v>
      </c>
      <c r="AR83" s="350" cm="1">
        <f t="array" ref="AR83">IF(OR($A83="",AR$6=""),"",IFERROR(INDEX(Footfall!$C$5:$BZ$301,MATCH($A83,TRIM(Footfall!$B$5:$B$301&amp;""),0),AR$5),0))</f>
        <v>97</v>
      </c>
      <c r="AS83" s="350" cm="1">
        <f t="array" ref="AS83">IF(OR($A83="",AS$6=""),"",IFERROR(INDEX(Footfall!$C$5:$BZ$301,MATCH($A83,TRIM(Footfall!$B$5:$B$301&amp;""),0),AS$5),0))</f>
        <v>207</v>
      </c>
      <c r="AT83" s="350" t="str" cm="1">
        <f t="array" ref="AT83">IF(OR($A83="",AT$6=""),"",IFERROR(INDEX(Footfall!$C$5:$BZ$301,MATCH($A83,TRIM(Footfall!$B$5:$B$301&amp;""),0),AT$5),0))</f>
        <v/>
      </c>
      <c r="AU83" s="350" t="str" cm="1">
        <f t="array" ref="AU83">IF(OR($A83="",AU$6=""),"",IFERROR(INDEX(Footfall!$C$5:$BZ$301,MATCH($A83,TRIM(Footfall!$B$5:$B$301&amp;""),0),AU$5),0))</f>
        <v/>
      </c>
      <c r="AV83" s="350" t="str" cm="1">
        <f t="array" ref="AV83">IF(OR($A83="",AV$6=""),"",IFERROR(INDEX(Footfall!$C$5:$BZ$301,MATCH($A83,TRIM(Footfall!$B$5:$B$301&amp;""),0),AV$5),0))</f>
        <v/>
      </c>
      <c r="AW83" s="350" t="str" cm="1">
        <f t="array" ref="AW83">IF(OR($A83="",AW$6=""),"",IFERROR(INDEX(Footfall!$C$5:$BZ$301,MATCH($A83,TRIM(Footfall!$B$5:$B$301&amp;""),0),AW$5),0))</f>
        <v/>
      </c>
      <c r="AX83" s="350" t="str" cm="1">
        <f t="array" ref="AX83">IF(OR($A83="",AX$6=""),"",IFERROR(INDEX(Footfall!$C$5:$BZ$301,MATCH($A83,TRIM(Footfall!$B$5:$B$301&amp;""),0),AX$5),0))</f>
        <v/>
      </c>
      <c r="AY83" s="350" cm="1">
        <f t="array" aca="1" ref="AY83" ca="1">IF(AK83="","",IF($AJ83="",0,_xlfn.LET(_xlpm.d,IFERROR(--'Sales and count'!$F$2:$CB$2,0),SUMPRODUCT(('Sales and count'!$G$3:$CC$3="Transactions")*(_xlpm.d&gt;=AY$6)*(_xlpm.d&lt;=AY$7),INDEX('Sales and count'!$G$4:$CC$300,$AJ83,0)))))</f>
        <v>359</v>
      </c>
      <c r="AZ83" s="350" cm="1">
        <f t="array" aca="1" ref="AZ83" ca="1">IF(AL83="","",IF($AJ83="",0,_xlfn.LET(_xlpm.d,IFERROR(--'Sales and count'!$F$2:$CB$2,0),SUMPRODUCT(('Sales and count'!$G$3:$CC$3="Transactions")*(_xlpm.d&gt;=AZ$6)*(_xlpm.d&lt;=AZ$7),INDEX('Sales and count'!$G$4:$CC$300,$AJ83,0)))))</f>
        <v>6</v>
      </c>
      <c r="BA83" s="350" cm="1">
        <f t="array" aca="1" ref="BA83" ca="1">IF(AM83="","",IF($AJ83="",0,_xlfn.LET(_xlpm.d,IFERROR(--'Sales and count'!$F$2:$CB$2,0),SUMPRODUCT(('Sales and count'!$G$3:$CC$3="Transactions")*(_xlpm.d&gt;=BA$6)*(_xlpm.d&lt;=BA$7),INDEX('Sales and count'!$G$4:$CC$300,$AJ83,0)))))</f>
        <v>13</v>
      </c>
      <c r="BB83" s="350" cm="1">
        <f t="array" aca="1" ref="BB83" ca="1">IF(AN83="","",IF($AJ83="",0,_xlfn.LET(_xlpm.d,IFERROR(--'Sales and count'!$F$2:$CB$2,0),SUMPRODUCT(('Sales and count'!$G$3:$CC$3="Transactions")*(_xlpm.d&gt;=BB$6)*(_xlpm.d&lt;=BB$7),INDEX('Sales and count'!$G$4:$CC$300,$AJ83,0)))))</f>
        <v>15</v>
      </c>
      <c r="BC83" s="350" cm="1">
        <f t="array" aca="1" ref="BC83" ca="1">IF(AO83="","",IF($AJ83="",0,_xlfn.LET(_xlpm.d,IFERROR(--'Sales and count'!$F$2:$CB$2,0),SUMPRODUCT(('Sales and count'!$G$3:$CC$3="Transactions")*(_xlpm.d&gt;=BC$6)*(_xlpm.d&lt;=BC$7),INDEX('Sales and count'!$G$4:$CC$300,$AJ83,0)))))</f>
        <v>16</v>
      </c>
      <c r="BD83" s="350" cm="1">
        <f t="array" aca="1" ref="BD83" ca="1">IF(AP83="","",IF($AJ83="",0,_xlfn.LET(_xlpm.d,IFERROR(--'Sales and count'!$F$2:$CB$2,0),SUMPRODUCT(('Sales and count'!$G$3:$CC$3="Transactions")*(_xlpm.d&gt;=BD$6)*(_xlpm.d&lt;=BD$7),INDEX('Sales and count'!$G$4:$CC$300,$AJ83,0)))))</f>
        <v>4</v>
      </c>
      <c r="BE83" s="350" cm="1">
        <f t="array" aca="1" ref="BE83" ca="1">IF(AQ83="","",IF($AJ83="",0,_xlfn.LET(_xlpm.d,IFERROR(--'Sales and count'!$F$2:$CB$2,0),SUMPRODUCT(('Sales and count'!$G$3:$CC$3="Transactions")*(_xlpm.d&gt;=BE$6)*(_xlpm.d&lt;=BE$7),INDEX('Sales and count'!$G$4:$CC$300,$AJ83,0)))))</f>
        <v>11</v>
      </c>
      <c r="BF83" s="350" cm="1">
        <f t="array" aca="1" ref="BF83" ca="1">IF(AR83="","",IF($AJ83="",0,_xlfn.LET(_xlpm.d,IFERROR(--'Sales and count'!$F$2:$CB$2,0),SUMPRODUCT(('Sales and count'!$G$3:$CC$3="Transactions")*(_xlpm.d&gt;=BF$6)*(_xlpm.d&lt;=BF$7),INDEX('Sales and count'!$G$4:$CC$300,$AJ83,0)))))</f>
        <v>2</v>
      </c>
      <c r="BG83" s="350" cm="1">
        <f t="array" aca="1" ref="BG83" ca="1">IF(AS83="","",IF($AJ83="",0,_xlfn.LET(_xlpm.d,IFERROR(--'Sales and count'!$F$2:$CB$2,0),SUMPRODUCT(('Sales and count'!$G$3:$CC$3="Transactions")*(_xlpm.d&gt;=BG$6)*(_xlpm.d&lt;=BG$7),INDEX('Sales and count'!$G$4:$CC$300,$AJ83,0)))))</f>
        <v>7</v>
      </c>
      <c r="BH83" s="350" t="str" cm="1">
        <f t="array" ref="BH83">IF(AT83="","",IF($AJ83="",0,_xlfn.LET(_xlpm.d,IFERROR(--'Sales and count'!$F$2:$CB$2,0),SUMPRODUCT(('Sales and count'!$G$3:$CC$3="Transactions")*(_xlpm.d&gt;=BH$6)*(_xlpm.d&lt;=BH$7),INDEX('Sales and count'!$G$4:$CC$300,$AJ83,0)))))</f>
        <v/>
      </c>
      <c r="BI83" s="350" t="str" cm="1">
        <f t="array" ref="BI83">IF(AU83="","",IF($AJ83="",0,_xlfn.LET(_xlpm.d,IFERROR(--'Sales and count'!$F$2:$CB$2,0),SUMPRODUCT(('Sales and count'!$G$3:$CC$3="Transactions")*(_xlpm.d&gt;=BI$6)*(_xlpm.d&lt;=BI$7),INDEX('Sales and count'!$G$4:$CC$300,$AJ83,0)))))</f>
        <v/>
      </c>
      <c r="BJ83" s="350" t="str" cm="1">
        <f t="array" ref="BJ83">IF(AV83="","",IF($AJ83="",0,_xlfn.LET(_xlpm.d,IFERROR(--'Sales and count'!$F$2:$CB$2,0),SUMPRODUCT(('Sales and count'!$G$3:$CC$3="Transactions")*(_xlpm.d&gt;=BJ$6)*(_xlpm.d&lt;=BJ$7),INDEX('Sales and count'!$G$4:$CC$300,$AJ83,0)))))</f>
        <v/>
      </c>
      <c r="BK83" s="350" t="str" cm="1">
        <f t="array" ref="BK83">IF(AW83="","",IF($AJ83="",0,_xlfn.LET(_xlpm.d,IFERROR(--'Sales and count'!$F$2:$CB$2,0),SUMPRODUCT(('Sales and count'!$G$3:$CC$3="Transactions")*(_xlpm.d&gt;=BK$6)*(_xlpm.d&lt;=BK$7),INDEX('Sales and count'!$G$4:$CC$300,$AJ83,0)))))</f>
        <v/>
      </c>
      <c r="BL83" s="350" t="str" cm="1">
        <f t="array" ref="BL83">IF(AX83="","",IF($AJ83="",0,_xlfn.LET(_xlpm.d,IFERROR(--'Sales and count'!$F$2:$CB$2,0),SUMPRODUCT(('Sales and count'!$G$3:$CC$3="Transactions")*(_xlpm.d&gt;=BL$6)*(_xlpm.d&lt;=BL$7),INDEX('Sales and count'!$G$4:$CC$300,$AJ83,0)))))</f>
        <v/>
      </c>
      <c r="BM83" s="350" cm="1">
        <f t="array" ref="BM83">IF(AK83="","",IF($AJ83="",0,_xlfn.LET(_xlpm.d,IFERROR(--'Sales and count'!$G$2:$CC$2,0),SUMPRODUCT(('Sales and count'!$G$3:$CC$3="Total")*(_xlpm.d&gt;=BM$6)*(_xlpm.d&lt;=BM$7),INDEX('Sales and count'!$G$4:$CC$300,$AJ83,0)))))</f>
        <v>42248.630000000005</v>
      </c>
      <c r="BN83" s="350" cm="1">
        <f t="array" ref="BN83">IF(AL83="","",IF($AJ83="",0,_xlfn.LET(_xlpm.d,IFERROR(--'Sales and count'!$G$2:$CC$2,0),SUMPRODUCT(('Sales and count'!$G$3:$CC$3="Total")*(_xlpm.d&gt;=BN$6)*(_xlpm.d&lt;=BN$7),INDEX('Sales and count'!$G$4:$CC$300,$AJ83,0)))))</f>
        <v>678</v>
      </c>
      <c r="BO83" s="350" cm="1">
        <f t="array" ref="BO83">IF(AM83="","",IF($AJ83="",0,_xlfn.LET(_xlpm.d,IFERROR(--'Sales and count'!$G$2:$CC$2,0),SUMPRODUCT(('Sales and count'!$G$3:$CC$3="Total")*(_xlpm.d&gt;=BO$6)*(_xlpm.d&lt;=BO$7),INDEX('Sales and count'!$G$4:$CC$300,$AJ83,0)))))</f>
        <v>1972.02</v>
      </c>
      <c r="BP83" s="350" cm="1">
        <f t="array" ref="BP83">IF(AN83="","",IF($AJ83="",0,_xlfn.LET(_xlpm.d,IFERROR(--'Sales and count'!$G$2:$CC$2,0),SUMPRODUCT(('Sales and count'!$G$3:$CC$3="Total")*(_xlpm.d&gt;=BP$6)*(_xlpm.d&lt;=BP$7),INDEX('Sales and count'!$G$4:$CC$300,$AJ83,0)))))</f>
        <v>1725</v>
      </c>
      <c r="BQ83" s="350" cm="1">
        <f t="array" ref="BQ83">IF(AO83="","",IF($AJ83="",0,_xlfn.LET(_xlpm.d,IFERROR(--'Sales and count'!$G$2:$CC$2,0),SUMPRODUCT(('Sales and count'!$G$3:$CC$3="Total")*(_xlpm.d&gt;=BQ$6)*(_xlpm.d&lt;=BQ$7),INDEX('Sales and count'!$G$4:$CC$300,$AJ83,0)))))</f>
        <v>1770.98</v>
      </c>
      <c r="BR83" s="350" cm="1">
        <f t="array" ref="BR83">IF(AP83="","",IF($AJ83="",0,_xlfn.LET(_xlpm.d,IFERROR(--'Sales and count'!$G$2:$CC$2,0),SUMPRODUCT(('Sales and count'!$G$3:$CC$3="Total")*(_xlpm.d&gt;=BR$6)*(_xlpm.d&lt;=BR$7),INDEX('Sales and count'!$G$4:$CC$300,$AJ83,0)))))</f>
        <v>407.01</v>
      </c>
      <c r="BS83" s="350" cm="1">
        <f t="array" ref="BS83">IF(AQ83="","",IF($AJ83="",0,_xlfn.LET(_xlpm.d,IFERROR(--'Sales and count'!$G$2:$CC$2,0),SUMPRODUCT(('Sales and count'!$G$3:$CC$3="Total")*(_xlpm.d&gt;=BS$6)*(_xlpm.d&lt;=BS$7),INDEX('Sales and count'!$G$4:$CC$300,$AJ83,0)))))</f>
        <v>1437.02</v>
      </c>
      <c r="BT83" s="350" cm="1">
        <f t="array" ref="BT83">IF(AR83="","",IF($AJ83="",0,_xlfn.LET(_xlpm.d,IFERROR(--'Sales and count'!$G$2:$CC$2,0),SUMPRODUCT(('Sales and count'!$G$3:$CC$3="Total")*(_xlpm.d&gt;=BT$6)*(_xlpm.d&lt;=BT$7),INDEX('Sales and count'!$G$4:$CC$300,$AJ83,0)))))</f>
        <v>385.98</v>
      </c>
      <c r="BU83" s="350" cm="1">
        <f t="array" ref="BU83">IF(AS83="","",IF($AJ83="",0,_xlfn.LET(_xlpm.d,IFERROR(--'Sales and count'!$G$2:$CC$2,0),SUMPRODUCT(('Sales and count'!$G$3:$CC$3="Total")*(_xlpm.d&gt;=BU$6)*(_xlpm.d&lt;=BU$7),INDEX('Sales and count'!$G$4:$CC$300,$AJ83,0)))))</f>
        <v>956.04</v>
      </c>
      <c r="BV83" s="350" t="str" cm="1">
        <f t="array" ref="BV83">IF(AT83="","",IF($AJ83="",0,_xlfn.LET(_xlpm.d,IFERROR(--'Sales and count'!$G$2:$CC$2,0),SUMPRODUCT(('Sales and count'!$G$3:$CC$3="Total")*(_xlpm.d&gt;=BV$6)*(_xlpm.d&lt;=BV$7),INDEX('Sales and count'!$G$4:$CC$300,$AJ83,0)))))</f>
        <v/>
      </c>
      <c r="BW83" s="350" t="str" cm="1">
        <f t="array" ref="BW83">IF(AU83="","",IF($AJ83="",0,_xlfn.LET(_xlpm.d,IFERROR(--'Sales and count'!$G$2:$CC$2,0),SUMPRODUCT(('Sales and count'!$G$3:$CC$3="Total")*(_xlpm.d&gt;=BW$6)*(_xlpm.d&lt;=BW$7),INDEX('Sales and count'!$G$4:$CC$300,$AJ83,0)))))</f>
        <v/>
      </c>
      <c r="BX83" s="350" t="str" cm="1">
        <f t="array" ref="BX83">IF(AV83="","",IF($AJ83="",0,_xlfn.LET(_xlpm.d,IFERROR(--'Sales and count'!$G$2:$CC$2,0),SUMPRODUCT(('Sales and count'!$G$3:$CC$3="Total")*(_xlpm.d&gt;=BX$6)*(_xlpm.d&lt;=BX$7),INDEX('Sales and count'!$G$4:$CC$300,$AJ83,0)))))</f>
        <v/>
      </c>
      <c r="BY83" s="350" t="str" cm="1">
        <f t="array" ref="BY83">IF(AW83="","",IF($AJ83="",0,_xlfn.LET(_xlpm.d,IFERROR(--'Sales and count'!$G$2:$CC$2,0),SUMPRODUCT(('Sales and count'!$G$3:$CC$3="Total")*(_xlpm.d&gt;=BY$6)*(_xlpm.d&lt;=BY$7),INDEX('Sales and count'!$G$4:$CC$300,$AJ83,0)))))</f>
        <v/>
      </c>
      <c r="BZ83" s="350" t="str" cm="1">
        <f t="array" ref="BZ83">IF(AX83="","",IF($AJ83="",0,_xlfn.LET(_xlpm.d,IFERROR(--'Sales and count'!$G$2:$CC$2,0),SUMPRODUCT(('Sales and count'!$G$3:$CC$3="Total")*(_xlpm.d&gt;=BZ$6)*(_xlpm.d&lt;=BZ$7),INDEX('Sales and count'!$G$4:$CC$300,$AJ83,0)))))</f>
        <v/>
      </c>
    </row>
    <row r="84" spans="1:78" x14ac:dyDescent="0.25">
      <c r="A84" s="356" t="str">
        <v>HADANAMAK</v>
      </c>
      <c r="B84" s="356" t="str" cm="1">
        <f t="array" ref="B84">IF($A84="","",_xlfn.XLOOKUP($A84,TRIM(Footfall!$B$5:$B$301&amp;""),Footfall!$A$5:$A$301,""))</f>
        <v>Dan Plaza Makkah</v>
      </c>
      <c r="C84" s="356" t="str" cm="1">
        <f t="array" ref="C84">IF($A84="","",_xlfn.XLOOKUP($A84,TRIM('Sales and count'!$A$4:$A$300&amp;""),'Sales and count'!$C$4:$C$300,"Not set"))</f>
        <v>Makkah</v>
      </c>
      <c r="D84" s="357">
        <f t="shared" ca="1" si="53"/>
        <v>0.12969825304393859</v>
      </c>
      <c r="E84" s="357">
        <f t="shared" ca="1" si="54"/>
        <v>0.10119047619047619</v>
      </c>
      <c r="F84" s="357">
        <f t="shared" ca="1" si="55"/>
        <v>0.1419753086419753</v>
      </c>
      <c r="G84" s="357">
        <f t="shared" ca="1" si="56"/>
        <v>8.7179487179487175E-2</v>
      </c>
      <c r="H84" s="357">
        <f t="shared" ca="1" si="57"/>
        <v>0.11486486486486487</v>
      </c>
      <c r="I84" s="357">
        <f t="shared" ca="1" si="58"/>
        <v>5.1643192488262914E-2</v>
      </c>
      <c r="J84" s="357">
        <f t="shared" ca="1" si="59"/>
        <v>6.5934065934065936E-2</v>
      </c>
      <c r="K84" s="357">
        <f t="shared" ca="1" si="60"/>
        <v>0.10067114093959731</v>
      </c>
      <c r="L84" s="357">
        <f t="shared" ca="1" si="61"/>
        <v>9.3959731543624164E-2</v>
      </c>
      <c r="M84" s="357" t="str">
        <f t="shared" si="62"/>
        <v/>
      </c>
      <c r="N84" s="357" t="str">
        <f t="shared" si="63"/>
        <v/>
      </c>
      <c r="O84" s="357" t="str">
        <f t="shared" si="64"/>
        <v/>
      </c>
      <c r="P84" s="357" t="str">
        <f t="shared" si="65"/>
        <v/>
      </c>
      <c r="Q84" s="357" t="str">
        <f t="shared" si="66"/>
        <v/>
      </c>
      <c r="R84" s="358" cm="1">
        <f t="array" aca="1" ref="R84" ca="1">IF(OR($A84="",D84=""),"",IFERROR(LOOKUP(2,1/(E84:Q84&lt;&gt;""),E84:Q84)-D84,""))</f>
        <v>-3.5738521500314424E-2</v>
      </c>
      <c r="S84" s="349"/>
      <c r="T84" s="362">
        <f t="shared" ca="1" si="67"/>
        <v>153.75546938775508</v>
      </c>
      <c r="U84" s="362">
        <f t="shared" ca="1" si="68"/>
        <v>130.76764705882354</v>
      </c>
      <c r="V84" s="362">
        <f t="shared" ca="1" si="69"/>
        <v>161.04565217391306</v>
      </c>
      <c r="W84" s="362">
        <f t="shared" ca="1" si="70"/>
        <v>100.82352941176471</v>
      </c>
      <c r="X84" s="362">
        <f t="shared" ca="1" si="71"/>
        <v>205.52</v>
      </c>
      <c r="Y84" s="362">
        <f t="shared" ca="1" si="72"/>
        <v>245.08</v>
      </c>
      <c r="Z84" s="362">
        <f t="shared" ca="1" si="73"/>
        <v>300.65500000000003</v>
      </c>
      <c r="AA84" s="362">
        <f t="shared" ca="1" si="74"/>
        <v>177.39933333333332</v>
      </c>
      <c r="AB84" s="362">
        <f t="shared" ca="1" si="75"/>
        <v>247.87357142857144</v>
      </c>
      <c r="AC84" s="362" t="str">
        <f t="shared" si="76"/>
        <v/>
      </c>
      <c r="AD84" s="362" t="str">
        <f t="shared" si="77"/>
        <v/>
      </c>
      <c r="AE84" s="362" t="str">
        <f t="shared" si="78"/>
        <v/>
      </c>
      <c r="AF84" s="362" t="str">
        <f t="shared" si="79"/>
        <v/>
      </c>
      <c r="AG84" s="362" t="str">
        <f t="shared" si="80"/>
        <v/>
      </c>
      <c r="AH84" s="363" cm="1">
        <f t="array" aca="1" ref="AH84" ca="1">IF(OR($A84="",T84=""),"",IFERROR(LOOKUP(2,1/(U84:AG84&lt;&gt;""),U84:AG84)-T84,""))</f>
        <v>94.118102040816353</v>
      </c>
      <c r="AI84" s="349"/>
      <c r="AJ84" s="349" cm="1">
        <f t="array" ref="AJ84">IF($A84="","",IFERROR(MATCH($A84,TRIM('Sales and count'!$A$4:$A$300&amp;""),0),""))</f>
        <v>70</v>
      </c>
      <c r="AK84" s="350" cm="1">
        <f t="array" ref="AK84">IF(OR($A84="",AK$6=""),"",IFERROR(INDEX(Footfall!$C$5:$BZ$301,MATCH($A84,TRIM(Footfall!$B$5:$B$301&amp;""),0),AK$5),0))</f>
        <v>3778</v>
      </c>
      <c r="AL84" s="350" cm="1">
        <f t="array" ref="AL84">IF(OR($A84="",AL$6=""),"",IFERROR(INDEX(Footfall!$C$5:$BZ$301,MATCH($A84,TRIM(Footfall!$B$5:$B$301&amp;""),0),AL$5),0))</f>
        <v>168</v>
      </c>
      <c r="AM84" s="350" cm="1">
        <f t="array" ref="AM84">IF(OR($A84="",AM$6=""),"",IFERROR(INDEX(Footfall!$C$5:$BZ$301,MATCH($A84,TRIM(Footfall!$B$5:$B$301&amp;""),0),AM$5),0))</f>
        <v>162</v>
      </c>
      <c r="AN84" s="350" cm="1">
        <f t="array" ref="AN84">IF(OR($A84="",AN$6=""),"",IFERROR(INDEX(Footfall!$C$5:$BZ$301,MATCH($A84,TRIM(Footfall!$B$5:$B$301&amp;""),0),AN$5),0))</f>
        <v>195</v>
      </c>
      <c r="AO84" s="350" cm="1">
        <f t="array" ref="AO84">IF(OR($A84="",AO$6=""),"",IFERROR(INDEX(Footfall!$C$5:$BZ$301,MATCH($A84,TRIM(Footfall!$B$5:$B$301&amp;""),0),AO$5),0))</f>
        <v>148</v>
      </c>
      <c r="AP84" s="350" cm="1">
        <f t="array" ref="AP84">IF(OR($A84="",AP$6=""),"",IFERROR(INDEX(Footfall!$C$5:$BZ$301,MATCH($A84,TRIM(Footfall!$B$5:$B$301&amp;""),0),AP$5),0))</f>
        <v>213</v>
      </c>
      <c r="AQ84" s="350" cm="1">
        <f t="array" ref="AQ84">IF(OR($A84="",AQ$6=""),"",IFERROR(INDEX(Footfall!$C$5:$BZ$301,MATCH($A84,TRIM(Footfall!$B$5:$B$301&amp;""),0),AQ$5),0))</f>
        <v>182</v>
      </c>
      <c r="AR84" s="350" cm="1">
        <f t="array" ref="AR84">IF(OR($A84="",AR$6=""),"",IFERROR(INDEX(Footfall!$C$5:$BZ$301,MATCH($A84,TRIM(Footfall!$B$5:$B$301&amp;""),0),AR$5),0))</f>
        <v>149</v>
      </c>
      <c r="AS84" s="350" cm="1">
        <f t="array" ref="AS84">IF(OR($A84="",AS$6=""),"",IFERROR(INDEX(Footfall!$C$5:$BZ$301,MATCH($A84,TRIM(Footfall!$B$5:$B$301&amp;""),0),AS$5),0))</f>
        <v>149</v>
      </c>
      <c r="AT84" s="350" t="str" cm="1">
        <f t="array" ref="AT84">IF(OR($A84="",AT$6=""),"",IFERROR(INDEX(Footfall!$C$5:$BZ$301,MATCH($A84,TRIM(Footfall!$B$5:$B$301&amp;""),0),AT$5),0))</f>
        <v/>
      </c>
      <c r="AU84" s="350" t="str" cm="1">
        <f t="array" ref="AU84">IF(OR($A84="",AU$6=""),"",IFERROR(INDEX(Footfall!$C$5:$BZ$301,MATCH($A84,TRIM(Footfall!$B$5:$B$301&amp;""),0),AU$5),0))</f>
        <v/>
      </c>
      <c r="AV84" s="350" t="str" cm="1">
        <f t="array" ref="AV84">IF(OR($A84="",AV$6=""),"",IFERROR(INDEX(Footfall!$C$5:$BZ$301,MATCH($A84,TRIM(Footfall!$B$5:$B$301&amp;""),0),AV$5),0))</f>
        <v/>
      </c>
      <c r="AW84" s="350" t="str" cm="1">
        <f t="array" ref="AW84">IF(OR($A84="",AW$6=""),"",IFERROR(INDEX(Footfall!$C$5:$BZ$301,MATCH($A84,TRIM(Footfall!$B$5:$B$301&amp;""),0),AW$5),0))</f>
        <v/>
      </c>
      <c r="AX84" s="350" t="str" cm="1">
        <f t="array" ref="AX84">IF(OR($A84="",AX$6=""),"",IFERROR(INDEX(Footfall!$C$5:$BZ$301,MATCH($A84,TRIM(Footfall!$B$5:$B$301&amp;""),0),AX$5),0))</f>
        <v/>
      </c>
      <c r="AY84" s="350" cm="1">
        <f t="array" aca="1" ref="AY84" ca="1">IF(AK84="","",IF($AJ84="",0,_xlfn.LET(_xlpm.d,IFERROR(--'Sales and count'!$F$2:$CB$2,0),SUMPRODUCT(('Sales and count'!$G$3:$CC$3="Transactions")*(_xlpm.d&gt;=AY$6)*(_xlpm.d&lt;=AY$7),INDEX('Sales and count'!$G$4:$CC$300,$AJ84,0)))))</f>
        <v>490</v>
      </c>
      <c r="AZ84" s="350" cm="1">
        <f t="array" aca="1" ref="AZ84" ca="1">IF(AL84="","",IF($AJ84="",0,_xlfn.LET(_xlpm.d,IFERROR(--'Sales and count'!$F$2:$CB$2,0),SUMPRODUCT(('Sales and count'!$G$3:$CC$3="Transactions")*(_xlpm.d&gt;=AZ$6)*(_xlpm.d&lt;=AZ$7),INDEX('Sales and count'!$G$4:$CC$300,$AJ84,0)))))</f>
        <v>17</v>
      </c>
      <c r="BA84" s="350" cm="1">
        <f t="array" aca="1" ref="BA84" ca="1">IF(AM84="","",IF($AJ84="",0,_xlfn.LET(_xlpm.d,IFERROR(--'Sales and count'!$F$2:$CB$2,0),SUMPRODUCT(('Sales and count'!$G$3:$CC$3="Transactions")*(_xlpm.d&gt;=BA$6)*(_xlpm.d&lt;=BA$7),INDEX('Sales and count'!$G$4:$CC$300,$AJ84,0)))))</f>
        <v>23</v>
      </c>
      <c r="BB84" s="350" cm="1">
        <f t="array" aca="1" ref="BB84" ca="1">IF(AN84="","",IF($AJ84="",0,_xlfn.LET(_xlpm.d,IFERROR(--'Sales and count'!$F$2:$CB$2,0),SUMPRODUCT(('Sales and count'!$G$3:$CC$3="Transactions")*(_xlpm.d&gt;=BB$6)*(_xlpm.d&lt;=BB$7),INDEX('Sales and count'!$G$4:$CC$300,$AJ84,0)))))</f>
        <v>17</v>
      </c>
      <c r="BC84" s="350" cm="1">
        <f t="array" aca="1" ref="BC84" ca="1">IF(AO84="","",IF($AJ84="",0,_xlfn.LET(_xlpm.d,IFERROR(--'Sales and count'!$F$2:$CB$2,0),SUMPRODUCT(('Sales and count'!$G$3:$CC$3="Transactions")*(_xlpm.d&gt;=BC$6)*(_xlpm.d&lt;=BC$7),INDEX('Sales and count'!$G$4:$CC$300,$AJ84,0)))))</f>
        <v>17</v>
      </c>
      <c r="BD84" s="350" cm="1">
        <f t="array" aca="1" ref="BD84" ca="1">IF(AP84="","",IF($AJ84="",0,_xlfn.LET(_xlpm.d,IFERROR(--'Sales and count'!$F$2:$CB$2,0),SUMPRODUCT(('Sales and count'!$G$3:$CC$3="Transactions")*(_xlpm.d&gt;=BD$6)*(_xlpm.d&lt;=BD$7),INDEX('Sales and count'!$G$4:$CC$300,$AJ84,0)))))</f>
        <v>11</v>
      </c>
      <c r="BE84" s="350" cm="1">
        <f t="array" aca="1" ref="BE84" ca="1">IF(AQ84="","",IF($AJ84="",0,_xlfn.LET(_xlpm.d,IFERROR(--'Sales and count'!$F$2:$CB$2,0),SUMPRODUCT(('Sales and count'!$G$3:$CC$3="Transactions")*(_xlpm.d&gt;=BE$6)*(_xlpm.d&lt;=BE$7),INDEX('Sales and count'!$G$4:$CC$300,$AJ84,0)))))</f>
        <v>12</v>
      </c>
      <c r="BF84" s="350" cm="1">
        <f t="array" aca="1" ref="BF84" ca="1">IF(AR84="","",IF($AJ84="",0,_xlfn.LET(_xlpm.d,IFERROR(--'Sales and count'!$F$2:$CB$2,0),SUMPRODUCT(('Sales and count'!$G$3:$CC$3="Transactions")*(_xlpm.d&gt;=BF$6)*(_xlpm.d&lt;=BF$7),INDEX('Sales and count'!$G$4:$CC$300,$AJ84,0)))))</f>
        <v>15</v>
      </c>
      <c r="BG84" s="350" cm="1">
        <f t="array" aca="1" ref="BG84" ca="1">IF(AS84="","",IF($AJ84="",0,_xlfn.LET(_xlpm.d,IFERROR(--'Sales and count'!$F$2:$CB$2,0),SUMPRODUCT(('Sales and count'!$G$3:$CC$3="Transactions")*(_xlpm.d&gt;=BG$6)*(_xlpm.d&lt;=BG$7),INDEX('Sales and count'!$G$4:$CC$300,$AJ84,0)))))</f>
        <v>14</v>
      </c>
      <c r="BH84" s="350" t="str" cm="1">
        <f t="array" ref="BH84">IF(AT84="","",IF($AJ84="",0,_xlfn.LET(_xlpm.d,IFERROR(--'Sales and count'!$F$2:$CB$2,0),SUMPRODUCT(('Sales and count'!$G$3:$CC$3="Transactions")*(_xlpm.d&gt;=BH$6)*(_xlpm.d&lt;=BH$7),INDEX('Sales and count'!$G$4:$CC$300,$AJ84,0)))))</f>
        <v/>
      </c>
      <c r="BI84" s="350" t="str" cm="1">
        <f t="array" ref="BI84">IF(AU84="","",IF($AJ84="",0,_xlfn.LET(_xlpm.d,IFERROR(--'Sales and count'!$F$2:$CB$2,0),SUMPRODUCT(('Sales and count'!$G$3:$CC$3="Transactions")*(_xlpm.d&gt;=BI$6)*(_xlpm.d&lt;=BI$7),INDEX('Sales and count'!$G$4:$CC$300,$AJ84,0)))))</f>
        <v/>
      </c>
      <c r="BJ84" s="350" t="str" cm="1">
        <f t="array" ref="BJ84">IF(AV84="","",IF($AJ84="",0,_xlfn.LET(_xlpm.d,IFERROR(--'Sales and count'!$F$2:$CB$2,0),SUMPRODUCT(('Sales and count'!$G$3:$CC$3="Transactions")*(_xlpm.d&gt;=BJ$6)*(_xlpm.d&lt;=BJ$7),INDEX('Sales and count'!$G$4:$CC$300,$AJ84,0)))))</f>
        <v/>
      </c>
      <c r="BK84" s="350" t="str" cm="1">
        <f t="array" ref="BK84">IF(AW84="","",IF($AJ84="",0,_xlfn.LET(_xlpm.d,IFERROR(--'Sales and count'!$F$2:$CB$2,0),SUMPRODUCT(('Sales and count'!$G$3:$CC$3="Transactions")*(_xlpm.d&gt;=BK$6)*(_xlpm.d&lt;=BK$7),INDEX('Sales and count'!$G$4:$CC$300,$AJ84,0)))))</f>
        <v/>
      </c>
      <c r="BL84" s="350" t="str" cm="1">
        <f t="array" ref="BL84">IF(AX84="","",IF($AJ84="",0,_xlfn.LET(_xlpm.d,IFERROR(--'Sales and count'!$F$2:$CB$2,0),SUMPRODUCT(('Sales and count'!$G$3:$CC$3="Transactions")*(_xlpm.d&gt;=BL$6)*(_xlpm.d&lt;=BL$7),INDEX('Sales and count'!$G$4:$CC$300,$AJ84,0)))))</f>
        <v/>
      </c>
      <c r="BM84" s="350" cm="1">
        <f t="array" ref="BM84">IF(AK84="","",IF($AJ84="",0,_xlfn.LET(_xlpm.d,IFERROR(--'Sales and count'!$G$2:$CC$2,0),SUMPRODUCT(('Sales and count'!$G$3:$CC$3="Total")*(_xlpm.d&gt;=BM$6)*(_xlpm.d&lt;=BM$7),INDEX('Sales and count'!$G$4:$CC$300,$AJ84,0)))))</f>
        <v>75340.179999999993</v>
      </c>
      <c r="BN84" s="350" cm="1">
        <f t="array" ref="BN84">IF(AL84="","",IF($AJ84="",0,_xlfn.LET(_xlpm.d,IFERROR(--'Sales and count'!$G$2:$CC$2,0),SUMPRODUCT(('Sales and count'!$G$3:$CC$3="Total")*(_xlpm.d&gt;=BN$6)*(_xlpm.d&lt;=BN$7),INDEX('Sales and count'!$G$4:$CC$300,$AJ84,0)))))</f>
        <v>2223.0500000000002</v>
      </c>
      <c r="BO84" s="350" cm="1">
        <f t="array" ref="BO84">IF(AM84="","",IF($AJ84="",0,_xlfn.LET(_xlpm.d,IFERROR(--'Sales and count'!$G$2:$CC$2,0),SUMPRODUCT(('Sales and count'!$G$3:$CC$3="Total")*(_xlpm.d&gt;=BO$6)*(_xlpm.d&lt;=BO$7),INDEX('Sales and count'!$G$4:$CC$300,$AJ84,0)))))</f>
        <v>3704.05</v>
      </c>
      <c r="BP84" s="350" cm="1">
        <f t="array" ref="BP84">IF(AN84="","",IF($AJ84="",0,_xlfn.LET(_xlpm.d,IFERROR(--'Sales and count'!$G$2:$CC$2,0),SUMPRODUCT(('Sales and count'!$G$3:$CC$3="Total")*(_xlpm.d&gt;=BP$6)*(_xlpm.d&lt;=BP$7),INDEX('Sales and count'!$G$4:$CC$300,$AJ84,0)))))</f>
        <v>1714</v>
      </c>
      <c r="BQ84" s="350" cm="1">
        <f t="array" ref="BQ84">IF(AO84="","",IF($AJ84="",0,_xlfn.LET(_xlpm.d,IFERROR(--'Sales and count'!$G$2:$CC$2,0),SUMPRODUCT(('Sales and count'!$G$3:$CC$3="Total")*(_xlpm.d&gt;=BQ$6)*(_xlpm.d&lt;=BQ$7),INDEX('Sales and count'!$G$4:$CC$300,$AJ84,0)))))</f>
        <v>3493.84</v>
      </c>
      <c r="BR84" s="350" cm="1">
        <f t="array" ref="BR84">IF(AP84="","",IF($AJ84="",0,_xlfn.LET(_xlpm.d,IFERROR(--'Sales and count'!$G$2:$CC$2,0),SUMPRODUCT(('Sales and count'!$G$3:$CC$3="Total")*(_xlpm.d&gt;=BR$6)*(_xlpm.d&lt;=BR$7),INDEX('Sales and count'!$G$4:$CC$300,$AJ84,0)))))</f>
        <v>2695.88</v>
      </c>
      <c r="BS84" s="350" cm="1">
        <f t="array" ref="BS84">IF(AQ84="","",IF($AJ84="",0,_xlfn.LET(_xlpm.d,IFERROR(--'Sales and count'!$G$2:$CC$2,0),SUMPRODUCT(('Sales and count'!$G$3:$CC$3="Total")*(_xlpm.d&gt;=BS$6)*(_xlpm.d&lt;=BS$7),INDEX('Sales and count'!$G$4:$CC$300,$AJ84,0)))))</f>
        <v>3607.86</v>
      </c>
      <c r="BT84" s="350" cm="1">
        <f t="array" ref="BT84">IF(AR84="","",IF($AJ84="",0,_xlfn.LET(_xlpm.d,IFERROR(--'Sales and count'!$G$2:$CC$2,0),SUMPRODUCT(('Sales and count'!$G$3:$CC$3="Total")*(_xlpm.d&gt;=BT$6)*(_xlpm.d&lt;=BT$7),INDEX('Sales and count'!$G$4:$CC$300,$AJ84,0)))))</f>
        <v>2660.99</v>
      </c>
      <c r="BU84" s="350" cm="1">
        <f t="array" ref="BU84">IF(AS84="","",IF($AJ84="",0,_xlfn.LET(_xlpm.d,IFERROR(--'Sales and count'!$G$2:$CC$2,0),SUMPRODUCT(('Sales and count'!$G$3:$CC$3="Total")*(_xlpm.d&gt;=BU$6)*(_xlpm.d&lt;=BU$7),INDEX('Sales and count'!$G$4:$CC$300,$AJ84,0)))))</f>
        <v>3470.23</v>
      </c>
      <c r="BV84" s="350" t="str" cm="1">
        <f t="array" ref="BV84">IF(AT84="","",IF($AJ84="",0,_xlfn.LET(_xlpm.d,IFERROR(--'Sales and count'!$G$2:$CC$2,0),SUMPRODUCT(('Sales and count'!$G$3:$CC$3="Total")*(_xlpm.d&gt;=BV$6)*(_xlpm.d&lt;=BV$7),INDEX('Sales and count'!$G$4:$CC$300,$AJ84,0)))))</f>
        <v/>
      </c>
      <c r="BW84" s="350" t="str" cm="1">
        <f t="array" ref="BW84">IF(AU84="","",IF($AJ84="",0,_xlfn.LET(_xlpm.d,IFERROR(--'Sales and count'!$G$2:$CC$2,0),SUMPRODUCT(('Sales and count'!$G$3:$CC$3="Total")*(_xlpm.d&gt;=BW$6)*(_xlpm.d&lt;=BW$7),INDEX('Sales and count'!$G$4:$CC$300,$AJ84,0)))))</f>
        <v/>
      </c>
      <c r="BX84" s="350" t="str" cm="1">
        <f t="array" ref="BX84">IF(AV84="","",IF($AJ84="",0,_xlfn.LET(_xlpm.d,IFERROR(--'Sales and count'!$G$2:$CC$2,0),SUMPRODUCT(('Sales and count'!$G$3:$CC$3="Total")*(_xlpm.d&gt;=BX$6)*(_xlpm.d&lt;=BX$7),INDEX('Sales and count'!$G$4:$CC$300,$AJ84,0)))))</f>
        <v/>
      </c>
      <c r="BY84" s="350" t="str" cm="1">
        <f t="array" ref="BY84">IF(AW84="","",IF($AJ84="",0,_xlfn.LET(_xlpm.d,IFERROR(--'Sales and count'!$G$2:$CC$2,0),SUMPRODUCT(('Sales and count'!$G$3:$CC$3="Total")*(_xlpm.d&gt;=BY$6)*(_xlpm.d&lt;=BY$7),INDEX('Sales and count'!$G$4:$CC$300,$AJ84,0)))))</f>
        <v/>
      </c>
      <c r="BZ84" s="350" t="str" cm="1">
        <f t="array" ref="BZ84">IF(AX84="","",IF($AJ84="",0,_xlfn.LET(_xlpm.d,IFERROR(--'Sales and count'!$G$2:$CC$2,0),SUMPRODUCT(('Sales and count'!$G$3:$CC$3="Total")*(_xlpm.d&gt;=BZ$6)*(_xlpm.d&lt;=BZ$7),INDEX('Sales and count'!$G$4:$CC$300,$AJ84,0)))))</f>
        <v/>
      </c>
    </row>
    <row r="85" spans="1:78" x14ac:dyDescent="0.25">
      <c r="A85" s="356" t="str">
        <v>HADARTAW2</v>
      </c>
      <c r="B85" s="356" t="str" cm="1">
        <f t="array" ref="B85">IF($A85="","",_xlfn.XLOOKUP($A85,TRIM(Footfall!$B$5:$B$301&amp;""),Footfall!$A$5:$A$301,""))</f>
        <v>Dar altawhid Makkah</v>
      </c>
      <c r="C85" s="356" t="str" cm="1">
        <f t="array" ref="C85">IF($A85="","",_xlfn.XLOOKUP($A85,TRIM('Sales and count'!$A$4:$A$300&amp;""),'Sales and count'!$C$4:$C$300,"Not set"))</f>
        <v>Makkah</v>
      </c>
      <c r="D85" s="357">
        <f t="shared" ca="1" si="53"/>
        <v>0.16196127013105563</v>
      </c>
      <c r="E85" s="357">
        <f t="shared" ca="1" si="54"/>
        <v>0.12700729927007298</v>
      </c>
      <c r="F85" s="357">
        <f t="shared" ca="1" si="55"/>
        <v>0.15629984051036683</v>
      </c>
      <c r="G85" s="357">
        <f t="shared" ca="1" si="56"/>
        <v>0.14168937329700274</v>
      </c>
      <c r="H85" s="357">
        <f t="shared" ca="1" si="57"/>
        <v>0.11035818005808325</v>
      </c>
      <c r="I85" s="357">
        <f t="shared" ca="1" si="58"/>
        <v>0.15799803729146222</v>
      </c>
      <c r="J85" s="357">
        <f t="shared" ca="1" si="59"/>
        <v>0.12575574365175332</v>
      </c>
      <c r="K85" s="357">
        <f t="shared" ca="1" si="60"/>
        <v>0.13138686131386862</v>
      </c>
      <c r="L85" s="357">
        <f t="shared" ca="1" si="61"/>
        <v>0.12569060773480664</v>
      </c>
      <c r="M85" s="357" t="str">
        <f t="shared" si="62"/>
        <v/>
      </c>
      <c r="N85" s="357" t="str">
        <f t="shared" si="63"/>
        <v/>
      </c>
      <c r="O85" s="357" t="str">
        <f t="shared" si="64"/>
        <v/>
      </c>
      <c r="P85" s="357" t="str">
        <f t="shared" si="65"/>
        <v/>
      </c>
      <c r="Q85" s="357" t="str">
        <f t="shared" si="66"/>
        <v/>
      </c>
      <c r="R85" s="358" cm="1">
        <f t="array" aca="1" ref="R85" ca="1">IF(OR($A85="",D85=""),"",IFERROR(LOOKUP(2,1/(E85:Q85&lt;&gt;""),E85:Q85)-D85,""))</f>
        <v>-3.6270662396248987E-2</v>
      </c>
      <c r="S85" s="349"/>
      <c r="T85" s="362">
        <f t="shared" ca="1" si="67"/>
        <v>199.48102254428338</v>
      </c>
      <c r="U85" s="362">
        <f t="shared" ca="1" si="68"/>
        <v>198.64781609195404</v>
      </c>
      <c r="V85" s="362">
        <f t="shared" ca="1" si="69"/>
        <v>174.08387755102041</v>
      </c>
      <c r="W85" s="362">
        <f t="shared" ca="1" si="70"/>
        <v>184.45509615384617</v>
      </c>
      <c r="X85" s="362">
        <f t="shared" ca="1" si="71"/>
        <v>236.58552631578948</v>
      </c>
      <c r="Y85" s="362">
        <f t="shared" ca="1" si="72"/>
        <v>208.61683229813664</v>
      </c>
      <c r="Z85" s="362">
        <f t="shared" ca="1" si="73"/>
        <v>241.99038461538461</v>
      </c>
      <c r="AA85" s="362">
        <f t="shared" ca="1" si="74"/>
        <v>187.87066666666666</v>
      </c>
      <c r="AB85" s="362">
        <f t="shared" ca="1" si="75"/>
        <v>217.37417582417581</v>
      </c>
      <c r="AC85" s="362" t="str">
        <f t="shared" si="76"/>
        <v/>
      </c>
      <c r="AD85" s="362" t="str">
        <f t="shared" si="77"/>
        <v/>
      </c>
      <c r="AE85" s="362" t="str">
        <f t="shared" si="78"/>
        <v/>
      </c>
      <c r="AF85" s="362" t="str">
        <f t="shared" si="79"/>
        <v/>
      </c>
      <c r="AG85" s="362" t="str">
        <f t="shared" si="80"/>
        <v/>
      </c>
      <c r="AH85" s="363" cm="1">
        <f t="array" aca="1" ref="AH85" ca="1">IF(OR($A85="",T85=""),"",IFERROR(LOOKUP(2,1/(U85:AG85&lt;&gt;""),U85:AG85)-T85,""))</f>
        <v>17.893153279892431</v>
      </c>
      <c r="AI85" s="349"/>
      <c r="AJ85" s="349" cm="1">
        <f t="array" ref="AJ85">IF($A85="","",IFERROR(MATCH($A85,TRIM('Sales and count'!$A$4:$A$300&amp;""),0),""))</f>
        <v>9</v>
      </c>
      <c r="AK85" s="350" cm="1">
        <f t="array" ref="AK85">IF(OR($A85="",AK$6=""),"",IFERROR(INDEX(Footfall!$C$5:$BZ$301,MATCH($A85,TRIM(Footfall!$B$5:$B$301&amp;""),0),AK$5),0))</f>
        <v>15337</v>
      </c>
      <c r="AL85" s="350" cm="1">
        <f t="array" ref="AL85">IF(OR($A85="",AL$6=""),"",IFERROR(INDEX(Footfall!$C$5:$BZ$301,MATCH($A85,TRIM(Footfall!$B$5:$B$301&amp;""),0),AL$5),0))</f>
        <v>685</v>
      </c>
      <c r="AM85" s="350" cm="1">
        <f t="array" ref="AM85">IF(OR($A85="",AM$6=""),"",IFERROR(INDEX(Footfall!$C$5:$BZ$301,MATCH($A85,TRIM(Footfall!$B$5:$B$301&amp;""),0),AM$5),0))</f>
        <v>627</v>
      </c>
      <c r="AN85" s="350" cm="1">
        <f t="array" ref="AN85">IF(OR($A85="",AN$6=""),"",IFERROR(INDEX(Footfall!$C$5:$BZ$301,MATCH($A85,TRIM(Footfall!$B$5:$B$301&amp;""),0),AN$5),0))</f>
        <v>734</v>
      </c>
      <c r="AO85" s="350" cm="1">
        <f t="array" ref="AO85">IF(OR($A85="",AO$6=""),"",IFERROR(INDEX(Footfall!$C$5:$BZ$301,MATCH($A85,TRIM(Footfall!$B$5:$B$301&amp;""),0),AO$5),0))</f>
        <v>1033</v>
      </c>
      <c r="AP85" s="350" cm="1">
        <f t="array" ref="AP85">IF(OR($A85="",AP$6=""),"",IFERROR(INDEX(Footfall!$C$5:$BZ$301,MATCH($A85,TRIM(Footfall!$B$5:$B$301&amp;""),0),AP$5),0))</f>
        <v>1019</v>
      </c>
      <c r="AQ85" s="350" cm="1">
        <f t="array" ref="AQ85">IF(OR($A85="",AQ$6=""),"",IFERROR(INDEX(Footfall!$C$5:$BZ$301,MATCH($A85,TRIM(Footfall!$B$5:$B$301&amp;""),0),AQ$5),0))</f>
        <v>827</v>
      </c>
      <c r="AR85" s="350" cm="1">
        <f t="array" ref="AR85">IF(OR($A85="",AR$6=""),"",IFERROR(INDEX(Footfall!$C$5:$BZ$301,MATCH($A85,TRIM(Footfall!$B$5:$B$301&amp;""),0),AR$5),0))</f>
        <v>685</v>
      </c>
      <c r="AS85" s="350" cm="1">
        <f t="array" ref="AS85">IF(OR($A85="",AS$6=""),"",IFERROR(INDEX(Footfall!$C$5:$BZ$301,MATCH($A85,TRIM(Footfall!$B$5:$B$301&amp;""),0),AS$5),0))</f>
        <v>724</v>
      </c>
      <c r="AT85" s="350" t="str" cm="1">
        <f t="array" ref="AT85">IF(OR($A85="",AT$6=""),"",IFERROR(INDEX(Footfall!$C$5:$BZ$301,MATCH($A85,TRIM(Footfall!$B$5:$B$301&amp;""),0),AT$5),0))</f>
        <v/>
      </c>
      <c r="AU85" s="350" t="str" cm="1">
        <f t="array" ref="AU85">IF(OR($A85="",AU$6=""),"",IFERROR(INDEX(Footfall!$C$5:$BZ$301,MATCH($A85,TRIM(Footfall!$B$5:$B$301&amp;""),0),AU$5),0))</f>
        <v/>
      </c>
      <c r="AV85" s="350" t="str" cm="1">
        <f t="array" ref="AV85">IF(OR($A85="",AV$6=""),"",IFERROR(INDEX(Footfall!$C$5:$BZ$301,MATCH($A85,TRIM(Footfall!$B$5:$B$301&amp;""),0),AV$5),0))</f>
        <v/>
      </c>
      <c r="AW85" s="350" t="str" cm="1">
        <f t="array" ref="AW85">IF(OR($A85="",AW$6=""),"",IFERROR(INDEX(Footfall!$C$5:$BZ$301,MATCH($A85,TRIM(Footfall!$B$5:$B$301&amp;""),0),AW$5),0))</f>
        <v/>
      </c>
      <c r="AX85" s="350" t="str" cm="1">
        <f t="array" ref="AX85">IF(OR($A85="",AX$6=""),"",IFERROR(INDEX(Footfall!$C$5:$BZ$301,MATCH($A85,TRIM(Footfall!$B$5:$B$301&amp;""),0),AX$5),0))</f>
        <v/>
      </c>
      <c r="AY85" s="350" cm="1">
        <f t="array" aca="1" ref="AY85" ca="1">IF(AK85="","",IF($AJ85="",0,_xlfn.LET(_xlpm.d,IFERROR(--'Sales and count'!$F$2:$CB$2,0),SUMPRODUCT(('Sales and count'!$G$3:$CC$3="Transactions")*(_xlpm.d&gt;=AY$6)*(_xlpm.d&lt;=AY$7),INDEX('Sales and count'!$G$4:$CC$300,$AJ85,0)))))</f>
        <v>2484</v>
      </c>
      <c r="AZ85" s="350" cm="1">
        <f t="array" aca="1" ref="AZ85" ca="1">IF(AL85="","",IF($AJ85="",0,_xlfn.LET(_xlpm.d,IFERROR(--'Sales and count'!$F$2:$CB$2,0),SUMPRODUCT(('Sales and count'!$G$3:$CC$3="Transactions")*(_xlpm.d&gt;=AZ$6)*(_xlpm.d&lt;=AZ$7),INDEX('Sales and count'!$G$4:$CC$300,$AJ85,0)))))</f>
        <v>87</v>
      </c>
      <c r="BA85" s="350" cm="1">
        <f t="array" aca="1" ref="BA85" ca="1">IF(AM85="","",IF($AJ85="",0,_xlfn.LET(_xlpm.d,IFERROR(--'Sales and count'!$F$2:$CB$2,0),SUMPRODUCT(('Sales and count'!$G$3:$CC$3="Transactions")*(_xlpm.d&gt;=BA$6)*(_xlpm.d&lt;=BA$7),INDEX('Sales and count'!$G$4:$CC$300,$AJ85,0)))))</f>
        <v>98</v>
      </c>
      <c r="BB85" s="350" cm="1">
        <f t="array" aca="1" ref="BB85" ca="1">IF(AN85="","",IF($AJ85="",0,_xlfn.LET(_xlpm.d,IFERROR(--'Sales and count'!$F$2:$CB$2,0),SUMPRODUCT(('Sales and count'!$G$3:$CC$3="Transactions")*(_xlpm.d&gt;=BB$6)*(_xlpm.d&lt;=BB$7),INDEX('Sales and count'!$G$4:$CC$300,$AJ85,0)))))</f>
        <v>104</v>
      </c>
      <c r="BC85" s="350" cm="1">
        <f t="array" aca="1" ref="BC85" ca="1">IF(AO85="","",IF($AJ85="",0,_xlfn.LET(_xlpm.d,IFERROR(--'Sales and count'!$F$2:$CB$2,0),SUMPRODUCT(('Sales and count'!$G$3:$CC$3="Transactions")*(_xlpm.d&gt;=BC$6)*(_xlpm.d&lt;=BC$7),INDEX('Sales and count'!$G$4:$CC$300,$AJ85,0)))))</f>
        <v>114</v>
      </c>
      <c r="BD85" s="350" cm="1">
        <f t="array" aca="1" ref="BD85" ca="1">IF(AP85="","",IF($AJ85="",0,_xlfn.LET(_xlpm.d,IFERROR(--'Sales and count'!$F$2:$CB$2,0),SUMPRODUCT(('Sales and count'!$G$3:$CC$3="Transactions")*(_xlpm.d&gt;=BD$6)*(_xlpm.d&lt;=BD$7),INDEX('Sales and count'!$G$4:$CC$300,$AJ85,0)))))</f>
        <v>161</v>
      </c>
      <c r="BE85" s="350" cm="1">
        <f t="array" aca="1" ref="BE85" ca="1">IF(AQ85="","",IF($AJ85="",0,_xlfn.LET(_xlpm.d,IFERROR(--'Sales and count'!$F$2:$CB$2,0),SUMPRODUCT(('Sales and count'!$G$3:$CC$3="Transactions")*(_xlpm.d&gt;=BE$6)*(_xlpm.d&lt;=BE$7),INDEX('Sales and count'!$G$4:$CC$300,$AJ85,0)))))</f>
        <v>104</v>
      </c>
      <c r="BF85" s="350" cm="1">
        <f t="array" aca="1" ref="BF85" ca="1">IF(AR85="","",IF($AJ85="",0,_xlfn.LET(_xlpm.d,IFERROR(--'Sales and count'!$F$2:$CB$2,0),SUMPRODUCT(('Sales and count'!$G$3:$CC$3="Transactions")*(_xlpm.d&gt;=BF$6)*(_xlpm.d&lt;=BF$7),INDEX('Sales and count'!$G$4:$CC$300,$AJ85,0)))))</f>
        <v>90</v>
      </c>
      <c r="BG85" s="350" cm="1">
        <f t="array" aca="1" ref="BG85" ca="1">IF(AS85="","",IF($AJ85="",0,_xlfn.LET(_xlpm.d,IFERROR(--'Sales and count'!$F$2:$CB$2,0),SUMPRODUCT(('Sales and count'!$G$3:$CC$3="Transactions")*(_xlpm.d&gt;=BG$6)*(_xlpm.d&lt;=BG$7),INDEX('Sales and count'!$G$4:$CC$300,$AJ85,0)))))</f>
        <v>91</v>
      </c>
      <c r="BH85" s="350" t="str" cm="1">
        <f t="array" ref="BH85">IF(AT85="","",IF($AJ85="",0,_xlfn.LET(_xlpm.d,IFERROR(--'Sales and count'!$F$2:$CB$2,0),SUMPRODUCT(('Sales and count'!$G$3:$CC$3="Transactions")*(_xlpm.d&gt;=BH$6)*(_xlpm.d&lt;=BH$7),INDEX('Sales and count'!$G$4:$CC$300,$AJ85,0)))))</f>
        <v/>
      </c>
      <c r="BI85" s="350" t="str" cm="1">
        <f t="array" ref="BI85">IF(AU85="","",IF($AJ85="",0,_xlfn.LET(_xlpm.d,IFERROR(--'Sales and count'!$F$2:$CB$2,0),SUMPRODUCT(('Sales and count'!$G$3:$CC$3="Transactions")*(_xlpm.d&gt;=BI$6)*(_xlpm.d&lt;=BI$7),INDEX('Sales and count'!$G$4:$CC$300,$AJ85,0)))))</f>
        <v/>
      </c>
      <c r="BJ85" s="350" t="str" cm="1">
        <f t="array" ref="BJ85">IF(AV85="","",IF($AJ85="",0,_xlfn.LET(_xlpm.d,IFERROR(--'Sales and count'!$F$2:$CB$2,0),SUMPRODUCT(('Sales and count'!$G$3:$CC$3="Transactions")*(_xlpm.d&gt;=BJ$6)*(_xlpm.d&lt;=BJ$7),INDEX('Sales and count'!$G$4:$CC$300,$AJ85,0)))))</f>
        <v/>
      </c>
      <c r="BK85" s="350" t="str" cm="1">
        <f t="array" ref="BK85">IF(AW85="","",IF($AJ85="",0,_xlfn.LET(_xlpm.d,IFERROR(--'Sales and count'!$F$2:$CB$2,0),SUMPRODUCT(('Sales and count'!$G$3:$CC$3="Transactions")*(_xlpm.d&gt;=BK$6)*(_xlpm.d&lt;=BK$7),INDEX('Sales and count'!$G$4:$CC$300,$AJ85,0)))))</f>
        <v/>
      </c>
      <c r="BL85" s="350" t="str" cm="1">
        <f t="array" ref="BL85">IF(AX85="","",IF($AJ85="",0,_xlfn.LET(_xlpm.d,IFERROR(--'Sales and count'!$F$2:$CB$2,0),SUMPRODUCT(('Sales and count'!$G$3:$CC$3="Transactions")*(_xlpm.d&gt;=BL$6)*(_xlpm.d&lt;=BL$7),INDEX('Sales and count'!$G$4:$CC$300,$AJ85,0)))))</f>
        <v/>
      </c>
      <c r="BM85" s="350" cm="1">
        <f t="array" ref="BM85">IF(AK85="","",IF($AJ85="",0,_xlfn.LET(_xlpm.d,IFERROR(--'Sales and count'!$G$2:$CC$2,0),SUMPRODUCT(('Sales and count'!$G$3:$CC$3="Total")*(_xlpm.d&gt;=BM$6)*(_xlpm.d&lt;=BM$7),INDEX('Sales and count'!$G$4:$CC$300,$AJ85,0)))))</f>
        <v>495510.85999999993</v>
      </c>
      <c r="BN85" s="350" cm="1">
        <f t="array" ref="BN85">IF(AL85="","",IF($AJ85="",0,_xlfn.LET(_xlpm.d,IFERROR(--'Sales and count'!$G$2:$CC$2,0),SUMPRODUCT(('Sales and count'!$G$3:$CC$3="Total")*(_xlpm.d&gt;=BN$6)*(_xlpm.d&lt;=BN$7),INDEX('Sales and count'!$G$4:$CC$300,$AJ85,0)))))</f>
        <v>17282.36</v>
      </c>
      <c r="BO85" s="350" cm="1">
        <f t="array" ref="BO85">IF(AM85="","",IF($AJ85="",0,_xlfn.LET(_xlpm.d,IFERROR(--'Sales and count'!$G$2:$CC$2,0),SUMPRODUCT(('Sales and count'!$G$3:$CC$3="Total")*(_xlpm.d&gt;=BO$6)*(_xlpm.d&lt;=BO$7),INDEX('Sales and count'!$G$4:$CC$300,$AJ85,0)))))</f>
        <v>17060.22</v>
      </c>
      <c r="BP85" s="350" cm="1">
        <f t="array" ref="BP85">IF(AN85="","",IF($AJ85="",0,_xlfn.LET(_xlpm.d,IFERROR(--'Sales and count'!$G$2:$CC$2,0),SUMPRODUCT(('Sales and count'!$G$3:$CC$3="Total")*(_xlpm.d&gt;=BP$6)*(_xlpm.d&lt;=BP$7),INDEX('Sales and count'!$G$4:$CC$300,$AJ85,0)))))</f>
        <v>19183.330000000002</v>
      </c>
      <c r="BQ85" s="350" cm="1">
        <f t="array" ref="BQ85">IF(AO85="","",IF($AJ85="",0,_xlfn.LET(_xlpm.d,IFERROR(--'Sales and count'!$G$2:$CC$2,0),SUMPRODUCT(('Sales and count'!$G$3:$CC$3="Total")*(_xlpm.d&gt;=BQ$6)*(_xlpm.d&lt;=BQ$7),INDEX('Sales and count'!$G$4:$CC$300,$AJ85,0)))))</f>
        <v>26970.75</v>
      </c>
      <c r="BR85" s="350" cm="1">
        <f t="array" ref="BR85">IF(AP85="","",IF($AJ85="",0,_xlfn.LET(_xlpm.d,IFERROR(--'Sales and count'!$G$2:$CC$2,0),SUMPRODUCT(('Sales and count'!$G$3:$CC$3="Total")*(_xlpm.d&gt;=BR$6)*(_xlpm.d&lt;=BR$7),INDEX('Sales and count'!$G$4:$CC$300,$AJ85,0)))))</f>
        <v>33587.31</v>
      </c>
      <c r="BS85" s="350" cm="1">
        <f t="array" ref="BS85">IF(AQ85="","",IF($AJ85="",0,_xlfn.LET(_xlpm.d,IFERROR(--'Sales and count'!$G$2:$CC$2,0),SUMPRODUCT(('Sales and count'!$G$3:$CC$3="Total")*(_xlpm.d&gt;=BS$6)*(_xlpm.d&lt;=BS$7),INDEX('Sales and count'!$G$4:$CC$300,$AJ85,0)))))</f>
        <v>25167</v>
      </c>
      <c r="BT85" s="350" cm="1">
        <f t="array" ref="BT85">IF(AR85="","",IF($AJ85="",0,_xlfn.LET(_xlpm.d,IFERROR(--'Sales and count'!$G$2:$CC$2,0),SUMPRODUCT(('Sales and count'!$G$3:$CC$3="Total")*(_xlpm.d&gt;=BT$6)*(_xlpm.d&lt;=BT$7),INDEX('Sales and count'!$G$4:$CC$300,$AJ85,0)))))</f>
        <v>16908.36</v>
      </c>
      <c r="BU85" s="350" cm="1">
        <f t="array" ref="BU85">IF(AS85="","",IF($AJ85="",0,_xlfn.LET(_xlpm.d,IFERROR(--'Sales and count'!$G$2:$CC$2,0),SUMPRODUCT(('Sales and count'!$G$3:$CC$3="Total")*(_xlpm.d&gt;=BU$6)*(_xlpm.d&lt;=BU$7),INDEX('Sales and count'!$G$4:$CC$300,$AJ85,0)))))</f>
        <v>19781.05</v>
      </c>
      <c r="BV85" s="350" t="str" cm="1">
        <f t="array" ref="BV85">IF(AT85="","",IF($AJ85="",0,_xlfn.LET(_xlpm.d,IFERROR(--'Sales and count'!$G$2:$CC$2,0),SUMPRODUCT(('Sales and count'!$G$3:$CC$3="Total")*(_xlpm.d&gt;=BV$6)*(_xlpm.d&lt;=BV$7),INDEX('Sales and count'!$G$4:$CC$300,$AJ85,0)))))</f>
        <v/>
      </c>
      <c r="BW85" s="350" t="str" cm="1">
        <f t="array" ref="BW85">IF(AU85="","",IF($AJ85="",0,_xlfn.LET(_xlpm.d,IFERROR(--'Sales and count'!$G$2:$CC$2,0),SUMPRODUCT(('Sales and count'!$G$3:$CC$3="Total")*(_xlpm.d&gt;=BW$6)*(_xlpm.d&lt;=BW$7),INDEX('Sales and count'!$G$4:$CC$300,$AJ85,0)))))</f>
        <v/>
      </c>
      <c r="BX85" s="350" t="str" cm="1">
        <f t="array" ref="BX85">IF(AV85="","",IF($AJ85="",0,_xlfn.LET(_xlpm.d,IFERROR(--'Sales and count'!$G$2:$CC$2,0),SUMPRODUCT(('Sales and count'!$G$3:$CC$3="Total")*(_xlpm.d&gt;=BX$6)*(_xlpm.d&lt;=BX$7),INDEX('Sales and count'!$G$4:$CC$300,$AJ85,0)))))</f>
        <v/>
      </c>
      <c r="BY85" s="350" t="str" cm="1">
        <f t="array" ref="BY85">IF(AW85="","",IF($AJ85="",0,_xlfn.LET(_xlpm.d,IFERROR(--'Sales and count'!$G$2:$CC$2,0),SUMPRODUCT(('Sales and count'!$G$3:$CC$3="Total")*(_xlpm.d&gt;=BY$6)*(_xlpm.d&lt;=BY$7),INDEX('Sales and count'!$G$4:$CC$300,$AJ85,0)))))</f>
        <v/>
      </c>
      <c r="BZ85" s="350" t="str" cm="1">
        <f t="array" ref="BZ85">IF(AX85="","",IF($AJ85="",0,_xlfn.LET(_xlpm.d,IFERROR(--'Sales and count'!$G$2:$CC$2,0),SUMPRODUCT(('Sales and count'!$G$3:$CC$3="Total")*(_xlpm.d&gt;=BZ$6)*(_xlpm.d&lt;=BZ$7),INDEX('Sales and count'!$G$4:$CC$300,$AJ85,0)))))</f>
        <v/>
      </c>
    </row>
    <row r="86" spans="1:78" x14ac:dyDescent="0.25">
      <c r="A86" s="356" t="str">
        <v>HAMAKKMAL</v>
      </c>
      <c r="B86" s="356" t="str" cm="1">
        <f t="array" ref="B86">IF($A86="","",_xlfn.XLOOKUP($A86,TRIM(Footfall!$B$5:$B$301&amp;""),Footfall!$A$5:$A$301,""))</f>
        <v>Makkah Mall</v>
      </c>
      <c r="C86" s="356" t="str" cm="1">
        <f t="array" ref="C86">IF($A86="","",_xlfn.XLOOKUP($A86,TRIM('Sales and count'!$A$4:$A$300&amp;""),'Sales and count'!$C$4:$C$300,"Not set"))</f>
        <v>Makkah</v>
      </c>
      <c r="D86" s="357">
        <f t="shared" ca="1" si="53"/>
        <v>0.20262738853503184</v>
      </c>
      <c r="E86" s="357" t="str">
        <f t="shared" si="54"/>
        <v/>
      </c>
      <c r="F86" s="357" t="str">
        <f t="shared" si="55"/>
        <v/>
      </c>
      <c r="G86" s="357" t="str">
        <f t="shared" si="56"/>
        <v/>
      </c>
      <c r="H86" s="357" t="str">
        <f t="shared" si="57"/>
        <v/>
      </c>
      <c r="I86" s="357" t="str">
        <f t="shared" si="58"/>
        <v/>
      </c>
      <c r="J86" s="357" t="str">
        <f t="shared" si="59"/>
        <v/>
      </c>
      <c r="K86" s="357">
        <f t="shared" ca="1" si="60"/>
        <v>0.10330578512396695</v>
      </c>
      <c r="L86" s="357">
        <f t="shared" ca="1" si="61"/>
        <v>0.12376237623762376</v>
      </c>
      <c r="M86" s="357" t="str">
        <f t="shared" si="62"/>
        <v/>
      </c>
      <c r="N86" s="357" t="str">
        <f t="shared" si="63"/>
        <v/>
      </c>
      <c r="O86" s="357" t="str">
        <f t="shared" si="64"/>
        <v/>
      </c>
      <c r="P86" s="357" t="str">
        <f t="shared" si="65"/>
        <v/>
      </c>
      <c r="Q86" s="357" t="str">
        <f t="shared" si="66"/>
        <v/>
      </c>
      <c r="R86" s="358" cm="1">
        <f t="array" aca="1" ref="R86" ca="1">IF(OR($A86="",D86=""),"",IFERROR(LOOKUP(2,1/(E86:Q86&lt;&gt;""),E86:Q86)-D86,""))</f>
        <v>-7.8865012297408082E-2</v>
      </c>
      <c r="S86" s="349"/>
      <c r="T86" s="362">
        <f t="shared" ca="1" si="67"/>
        <v>136.2930648330059</v>
      </c>
      <c r="U86" s="362">
        <f t="shared" ca="1" si="68"/>
        <v>161.20793103448275</v>
      </c>
      <c r="V86" s="362">
        <f t="shared" ca="1" si="69"/>
        <v>153.39413043478262</v>
      </c>
      <c r="W86" s="362">
        <f t="shared" ca="1" si="70"/>
        <v>132.9723529411765</v>
      </c>
      <c r="X86" s="362">
        <f t="shared" ca="1" si="71"/>
        <v>140.87823529411764</v>
      </c>
      <c r="Y86" s="362">
        <f t="shared" ca="1" si="72"/>
        <v>137.99521739130435</v>
      </c>
      <c r="Z86" s="362">
        <f t="shared" ca="1" si="73"/>
        <v>209.64542857142857</v>
      </c>
      <c r="AA86" s="362">
        <f t="shared" ca="1" si="74"/>
        <v>196.7132</v>
      </c>
      <c r="AB86" s="362">
        <f t="shared" ca="1" si="75"/>
        <v>134.88679999999999</v>
      </c>
      <c r="AC86" s="362" t="str">
        <f t="shared" si="76"/>
        <v/>
      </c>
      <c r="AD86" s="362" t="str">
        <f t="shared" si="77"/>
        <v/>
      </c>
      <c r="AE86" s="362" t="str">
        <f t="shared" si="78"/>
        <v/>
      </c>
      <c r="AF86" s="362" t="str">
        <f t="shared" si="79"/>
        <v/>
      </c>
      <c r="AG86" s="362" t="str">
        <f t="shared" si="80"/>
        <v/>
      </c>
      <c r="AH86" s="363" cm="1">
        <f t="array" aca="1" ref="AH86" ca="1">IF(OR($A86="",T86=""),"",IFERROR(LOOKUP(2,1/(U86:AG86&lt;&gt;""),U86:AG86)-T86,""))</f>
        <v>-1.4062648330059062</v>
      </c>
      <c r="AI86" s="349"/>
      <c r="AJ86" s="349" cm="1">
        <f t="array" ref="AJ86">IF($A86="","",IFERROR(MATCH($A86,TRIM('Sales and count'!$A$4:$A$300&amp;""),0),""))</f>
        <v>72</v>
      </c>
      <c r="AK86" s="350" cm="1">
        <f t="array" ref="AK86">IF(OR($A86="",AK$6=""),"",IFERROR(INDEX(Footfall!$C$5:$BZ$301,MATCH($A86,TRIM(Footfall!$B$5:$B$301&amp;""),0),AK$5),0))</f>
        <v>5024</v>
      </c>
      <c r="AL86" s="350" cm="1">
        <f t="array" ref="AL86">IF(OR($A86="",AL$6=""),"",IFERROR(INDEX(Footfall!$C$5:$BZ$301,MATCH($A86,TRIM(Footfall!$B$5:$B$301&amp;""),0),AL$5),0))</f>
        <v>0</v>
      </c>
      <c r="AM86" s="350" cm="1">
        <f t="array" ref="AM86">IF(OR($A86="",AM$6=""),"",IFERROR(INDEX(Footfall!$C$5:$BZ$301,MATCH($A86,TRIM(Footfall!$B$5:$B$301&amp;""),0),AM$5),0))</f>
        <v>0</v>
      </c>
      <c r="AN86" s="350" cm="1">
        <f t="array" ref="AN86">IF(OR($A86="",AN$6=""),"",IFERROR(INDEX(Footfall!$C$5:$BZ$301,MATCH($A86,TRIM(Footfall!$B$5:$B$301&amp;""),0),AN$5),0))</f>
        <v>0</v>
      </c>
      <c r="AO86" s="350" cm="1">
        <f t="array" ref="AO86">IF(OR($A86="",AO$6=""),"",IFERROR(INDEX(Footfall!$C$5:$BZ$301,MATCH($A86,TRIM(Footfall!$B$5:$B$301&amp;""),0),AO$5),0))</f>
        <v>0</v>
      </c>
      <c r="AP86" s="350" cm="1">
        <f t="array" ref="AP86">IF(OR($A86="",AP$6=""),"",IFERROR(INDEX(Footfall!$C$5:$BZ$301,MATCH($A86,TRIM(Footfall!$B$5:$B$301&amp;""),0),AP$5),0))</f>
        <v>0</v>
      </c>
      <c r="AQ86" s="350" cm="1">
        <f t="array" ref="AQ86">IF(OR($A86="",AQ$6=""),"",IFERROR(INDEX(Footfall!$C$5:$BZ$301,MATCH($A86,TRIM(Footfall!$B$5:$B$301&amp;""),0),AQ$5),0))</f>
        <v>0</v>
      </c>
      <c r="AR86" s="350" cm="1">
        <f t="array" ref="AR86">IF(OR($A86="",AR$6=""),"",IFERROR(INDEX(Footfall!$C$5:$BZ$301,MATCH($A86,TRIM(Footfall!$B$5:$B$301&amp;""),0),AR$5),0))</f>
        <v>242</v>
      </c>
      <c r="AS86" s="350" cm="1">
        <f t="array" ref="AS86">IF(OR($A86="",AS$6=""),"",IFERROR(INDEX(Footfall!$C$5:$BZ$301,MATCH($A86,TRIM(Footfall!$B$5:$B$301&amp;""),0),AS$5),0))</f>
        <v>202</v>
      </c>
      <c r="AT86" s="350" t="str" cm="1">
        <f t="array" ref="AT86">IF(OR($A86="",AT$6=""),"",IFERROR(INDEX(Footfall!$C$5:$BZ$301,MATCH($A86,TRIM(Footfall!$B$5:$B$301&amp;""),0),AT$5),0))</f>
        <v/>
      </c>
      <c r="AU86" s="350" t="str" cm="1">
        <f t="array" ref="AU86">IF(OR($A86="",AU$6=""),"",IFERROR(INDEX(Footfall!$C$5:$BZ$301,MATCH($A86,TRIM(Footfall!$B$5:$B$301&amp;""),0),AU$5),0))</f>
        <v/>
      </c>
      <c r="AV86" s="350" t="str" cm="1">
        <f t="array" ref="AV86">IF(OR($A86="",AV$6=""),"",IFERROR(INDEX(Footfall!$C$5:$BZ$301,MATCH($A86,TRIM(Footfall!$B$5:$B$301&amp;""),0),AV$5),0))</f>
        <v/>
      </c>
      <c r="AW86" s="350" t="str" cm="1">
        <f t="array" ref="AW86">IF(OR($A86="",AW$6=""),"",IFERROR(INDEX(Footfall!$C$5:$BZ$301,MATCH($A86,TRIM(Footfall!$B$5:$B$301&amp;""),0),AW$5),0))</f>
        <v/>
      </c>
      <c r="AX86" s="350" t="str" cm="1">
        <f t="array" ref="AX86">IF(OR($A86="",AX$6=""),"",IFERROR(INDEX(Footfall!$C$5:$BZ$301,MATCH($A86,TRIM(Footfall!$B$5:$B$301&amp;""),0),AX$5),0))</f>
        <v/>
      </c>
      <c r="AY86" s="350" cm="1">
        <f t="array" aca="1" ref="AY86" ca="1">IF(AK86="","",IF($AJ86="",0,_xlfn.LET(_xlpm.d,IFERROR(--'Sales and count'!$F$2:$CB$2,0),SUMPRODUCT(('Sales and count'!$G$3:$CC$3="Transactions")*(_xlpm.d&gt;=AY$6)*(_xlpm.d&lt;=AY$7),INDEX('Sales and count'!$G$4:$CC$300,$AJ86,0)))))</f>
        <v>1018</v>
      </c>
      <c r="AZ86" s="350" cm="1">
        <f t="array" aca="1" ref="AZ86" ca="1">IF(AL86="","",IF($AJ86="",0,_xlfn.LET(_xlpm.d,IFERROR(--'Sales and count'!$F$2:$CB$2,0),SUMPRODUCT(('Sales and count'!$G$3:$CC$3="Transactions")*(_xlpm.d&gt;=AZ$6)*(_xlpm.d&lt;=AZ$7),INDEX('Sales and count'!$G$4:$CC$300,$AJ86,0)))))</f>
        <v>29</v>
      </c>
      <c r="BA86" s="350" cm="1">
        <f t="array" aca="1" ref="BA86" ca="1">IF(AM86="","",IF($AJ86="",0,_xlfn.LET(_xlpm.d,IFERROR(--'Sales and count'!$F$2:$CB$2,0),SUMPRODUCT(('Sales and count'!$G$3:$CC$3="Transactions")*(_xlpm.d&gt;=BA$6)*(_xlpm.d&lt;=BA$7),INDEX('Sales and count'!$G$4:$CC$300,$AJ86,0)))))</f>
        <v>46</v>
      </c>
      <c r="BB86" s="350" cm="1">
        <f t="array" aca="1" ref="BB86" ca="1">IF(AN86="","",IF($AJ86="",0,_xlfn.LET(_xlpm.d,IFERROR(--'Sales and count'!$F$2:$CB$2,0),SUMPRODUCT(('Sales and count'!$G$3:$CC$3="Transactions")*(_xlpm.d&gt;=BB$6)*(_xlpm.d&lt;=BB$7),INDEX('Sales and count'!$G$4:$CC$300,$AJ86,0)))))</f>
        <v>34</v>
      </c>
      <c r="BC86" s="350" cm="1">
        <f t="array" aca="1" ref="BC86" ca="1">IF(AO86="","",IF($AJ86="",0,_xlfn.LET(_xlpm.d,IFERROR(--'Sales and count'!$F$2:$CB$2,0),SUMPRODUCT(('Sales and count'!$G$3:$CC$3="Transactions")*(_xlpm.d&gt;=BC$6)*(_xlpm.d&lt;=BC$7),INDEX('Sales and count'!$G$4:$CC$300,$AJ86,0)))))</f>
        <v>17</v>
      </c>
      <c r="BD86" s="350" cm="1">
        <f t="array" aca="1" ref="BD86" ca="1">IF(AP86="","",IF($AJ86="",0,_xlfn.LET(_xlpm.d,IFERROR(--'Sales and count'!$F$2:$CB$2,0),SUMPRODUCT(('Sales and count'!$G$3:$CC$3="Transactions")*(_xlpm.d&gt;=BD$6)*(_xlpm.d&lt;=BD$7),INDEX('Sales and count'!$G$4:$CC$300,$AJ86,0)))))</f>
        <v>46</v>
      </c>
      <c r="BE86" s="350" cm="1">
        <f t="array" aca="1" ref="BE86" ca="1">IF(AQ86="","",IF($AJ86="",0,_xlfn.LET(_xlpm.d,IFERROR(--'Sales and count'!$F$2:$CB$2,0),SUMPRODUCT(('Sales and count'!$G$3:$CC$3="Transactions")*(_xlpm.d&gt;=BE$6)*(_xlpm.d&lt;=BE$7),INDEX('Sales and count'!$G$4:$CC$300,$AJ86,0)))))</f>
        <v>35</v>
      </c>
      <c r="BF86" s="350" cm="1">
        <f t="array" aca="1" ref="BF86" ca="1">IF(AR86="","",IF($AJ86="",0,_xlfn.LET(_xlpm.d,IFERROR(--'Sales and count'!$F$2:$CB$2,0),SUMPRODUCT(('Sales and count'!$G$3:$CC$3="Transactions")*(_xlpm.d&gt;=BF$6)*(_xlpm.d&lt;=BF$7),INDEX('Sales and count'!$G$4:$CC$300,$AJ86,0)))))</f>
        <v>25</v>
      </c>
      <c r="BG86" s="350" cm="1">
        <f t="array" aca="1" ref="BG86" ca="1">IF(AS86="","",IF($AJ86="",0,_xlfn.LET(_xlpm.d,IFERROR(--'Sales and count'!$F$2:$CB$2,0),SUMPRODUCT(('Sales and count'!$G$3:$CC$3="Transactions")*(_xlpm.d&gt;=BG$6)*(_xlpm.d&lt;=BG$7),INDEX('Sales and count'!$G$4:$CC$300,$AJ86,0)))))</f>
        <v>25</v>
      </c>
      <c r="BH86" s="350" t="str" cm="1">
        <f t="array" ref="BH86">IF(AT86="","",IF($AJ86="",0,_xlfn.LET(_xlpm.d,IFERROR(--'Sales and count'!$F$2:$CB$2,0),SUMPRODUCT(('Sales and count'!$G$3:$CC$3="Transactions")*(_xlpm.d&gt;=BH$6)*(_xlpm.d&lt;=BH$7),INDEX('Sales and count'!$G$4:$CC$300,$AJ86,0)))))</f>
        <v/>
      </c>
      <c r="BI86" s="350" t="str" cm="1">
        <f t="array" ref="BI86">IF(AU86="","",IF($AJ86="",0,_xlfn.LET(_xlpm.d,IFERROR(--'Sales and count'!$F$2:$CB$2,0),SUMPRODUCT(('Sales and count'!$G$3:$CC$3="Transactions")*(_xlpm.d&gt;=BI$6)*(_xlpm.d&lt;=BI$7),INDEX('Sales and count'!$G$4:$CC$300,$AJ86,0)))))</f>
        <v/>
      </c>
      <c r="BJ86" s="350" t="str" cm="1">
        <f t="array" ref="BJ86">IF(AV86="","",IF($AJ86="",0,_xlfn.LET(_xlpm.d,IFERROR(--'Sales and count'!$F$2:$CB$2,0),SUMPRODUCT(('Sales and count'!$G$3:$CC$3="Transactions")*(_xlpm.d&gt;=BJ$6)*(_xlpm.d&lt;=BJ$7),INDEX('Sales and count'!$G$4:$CC$300,$AJ86,0)))))</f>
        <v/>
      </c>
      <c r="BK86" s="350" t="str" cm="1">
        <f t="array" ref="BK86">IF(AW86="","",IF($AJ86="",0,_xlfn.LET(_xlpm.d,IFERROR(--'Sales and count'!$F$2:$CB$2,0),SUMPRODUCT(('Sales and count'!$G$3:$CC$3="Transactions")*(_xlpm.d&gt;=BK$6)*(_xlpm.d&lt;=BK$7),INDEX('Sales and count'!$G$4:$CC$300,$AJ86,0)))))</f>
        <v/>
      </c>
      <c r="BL86" s="350" t="str" cm="1">
        <f t="array" ref="BL86">IF(AX86="","",IF($AJ86="",0,_xlfn.LET(_xlpm.d,IFERROR(--'Sales and count'!$F$2:$CB$2,0),SUMPRODUCT(('Sales and count'!$G$3:$CC$3="Transactions")*(_xlpm.d&gt;=BL$6)*(_xlpm.d&lt;=BL$7),INDEX('Sales and count'!$G$4:$CC$300,$AJ86,0)))))</f>
        <v/>
      </c>
      <c r="BM86" s="350" cm="1">
        <f t="array" ref="BM86">IF(AK86="","",IF($AJ86="",0,_xlfn.LET(_xlpm.d,IFERROR(--'Sales and count'!$G$2:$CC$2,0),SUMPRODUCT(('Sales and count'!$G$3:$CC$3="Total")*(_xlpm.d&gt;=BM$6)*(_xlpm.d&lt;=BM$7),INDEX('Sales and count'!$G$4:$CC$300,$AJ86,0)))))</f>
        <v>138746.34</v>
      </c>
      <c r="BN86" s="350" cm="1">
        <f t="array" ref="BN86">IF(AL86="","",IF($AJ86="",0,_xlfn.LET(_xlpm.d,IFERROR(--'Sales and count'!$G$2:$CC$2,0),SUMPRODUCT(('Sales and count'!$G$3:$CC$3="Total")*(_xlpm.d&gt;=BN$6)*(_xlpm.d&lt;=BN$7),INDEX('Sales and count'!$G$4:$CC$300,$AJ86,0)))))</f>
        <v>4675.03</v>
      </c>
      <c r="BO86" s="350" cm="1">
        <f t="array" ref="BO86">IF(AM86="","",IF($AJ86="",0,_xlfn.LET(_xlpm.d,IFERROR(--'Sales and count'!$G$2:$CC$2,0),SUMPRODUCT(('Sales and count'!$G$3:$CC$3="Total")*(_xlpm.d&gt;=BO$6)*(_xlpm.d&lt;=BO$7),INDEX('Sales and count'!$G$4:$CC$300,$AJ86,0)))))</f>
        <v>7056.13</v>
      </c>
      <c r="BP86" s="350" cm="1">
        <f t="array" ref="BP86">IF(AN86="","",IF($AJ86="",0,_xlfn.LET(_xlpm.d,IFERROR(--'Sales and count'!$G$2:$CC$2,0),SUMPRODUCT(('Sales and count'!$G$3:$CC$3="Total")*(_xlpm.d&gt;=BP$6)*(_xlpm.d&lt;=BP$7),INDEX('Sales and count'!$G$4:$CC$300,$AJ86,0)))))</f>
        <v>4521.0600000000004</v>
      </c>
      <c r="BQ86" s="350" cm="1">
        <f t="array" ref="BQ86">IF(AO86="","",IF($AJ86="",0,_xlfn.LET(_xlpm.d,IFERROR(--'Sales and count'!$G$2:$CC$2,0),SUMPRODUCT(('Sales and count'!$G$3:$CC$3="Total")*(_xlpm.d&gt;=BQ$6)*(_xlpm.d&lt;=BQ$7),INDEX('Sales and count'!$G$4:$CC$300,$AJ86,0)))))</f>
        <v>2394.9299999999998</v>
      </c>
      <c r="BR86" s="350" cm="1">
        <f t="array" ref="BR86">IF(AP86="","",IF($AJ86="",0,_xlfn.LET(_xlpm.d,IFERROR(--'Sales and count'!$G$2:$CC$2,0),SUMPRODUCT(('Sales and count'!$G$3:$CC$3="Total")*(_xlpm.d&gt;=BR$6)*(_xlpm.d&lt;=BR$7),INDEX('Sales and count'!$G$4:$CC$300,$AJ86,0)))))</f>
        <v>6347.78</v>
      </c>
      <c r="BS86" s="350" cm="1">
        <f t="array" ref="BS86">IF(AQ86="","",IF($AJ86="",0,_xlfn.LET(_xlpm.d,IFERROR(--'Sales and count'!$G$2:$CC$2,0),SUMPRODUCT(('Sales and count'!$G$3:$CC$3="Total")*(_xlpm.d&gt;=BS$6)*(_xlpm.d&lt;=BS$7),INDEX('Sales and count'!$G$4:$CC$300,$AJ86,0)))))</f>
        <v>7337.59</v>
      </c>
      <c r="BT86" s="350" cm="1">
        <f t="array" ref="BT86">IF(AR86="","",IF($AJ86="",0,_xlfn.LET(_xlpm.d,IFERROR(--'Sales and count'!$G$2:$CC$2,0),SUMPRODUCT(('Sales and count'!$G$3:$CC$3="Total")*(_xlpm.d&gt;=BT$6)*(_xlpm.d&lt;=BT$7),INDEX('Sales and count'!$G$4:$CC$300,$AJ86,0)))))</f>
        <v>4917.83</v>
      </c>
      <c r="BU86" s="350" cm="1">
        <f t="array" ref="BU86">IF(AS86="","",IF($AJ86="",0,_xlfn.LET(_xlpm.d,IFERROR(--'Sales and count'!$G$2:$CC$2,0),SUMPRODUCT(('Sales and count'!$G$3:$CC$3="Total")*(_xlpm.d&gt;=BU$6)*(_xlpm.d&lt;=BU$7),INDEX('Sales and count'!$G$4:$CC$300,$AJ86,0)))))</f>
        <v>3372.17</v>
      </c>
      <c r="BV86" s="350" t="str" cm="1">
        <f t="array" ref="BV86">IF(AT86="","",IF($AJ86="",0,_xlfn.LET(_xlpm.d,IFERROR(--'Sales and count'!$G$2:$CC$2,0),SUMPRODUCT(('Sales and count'!$G$3:$CC$3="Total")*(_xlpm.d&gt;=BV$6)*(_xlpm.d&lt;=BV$7),INDEX('Sales and count'!$G$4:$CC$300,$AJ86,0)))))</f>
        <v/>
      </c>
      <c r="BW86" s="350" t="str" cm="1">
        <f t="array" ref="BW86">IF(AU86="","",IF($AJ86="",0,_xlfn.LET(_xlpm.d,IFERROR(--'Sales and count'!$G$2:$CC$2,0),SUMPRODUCT(('Sales and count'!$G$3:$CC$3="Total")*(_xlpm.d&gt;=BW$6)*(_xlpm.d&lt;=BW$7),INDEX('Sales and count'!$G$4:$CC$300,$AJ86,0)))))</f>
        <v/>
      </c>
      <c r="BX86" s="350" t="str" cm="1">
        <f t="array" ref="BX86">IF(AV86="","",IF($AJ86="",0,_xlfn.LET(_xlpm.d,IFERROR(--'Sales and count'!$G$2:$CC$2,0),SUMPRODUCT(('Sales and count'!$G$3:$CC$3="Total")*(_xlpm.d&gt;=BX$6)*(_xlpm.d&lt;=BX$7),INDEX('Sales and count'!$G$4:$CC$300,$AJ86,0)))))</f>
        <v/>
      </c>
      <c r="BY86" s="350" t="str" cm="1">
        <f t="array" ref="BY86">IF(AW86="","",IF($AJ86="",0,_xlfn.LET(_xlpm.d,IFERROR(--'Sales and count'!$G$2:$CC$2,0),SUMPRODUCT(('Sales and count'!$G$3:$CC$3="Total")*(_xlpm.d&gt;=BY$6)*(_xlpm.d&lt;=BY$7),INDEX('Sales and count'!$G$4:$CC$300,$AJ86,0)))))</f>
        <v/>
      </c>
      <c r="BZ86" s="350" t="str" cm="1">
        <f t="array" ref="BZ86">IF(AX86="","",IF($AJ86="",0,_xlfn.LET(_xlpm.d,IFERROR(--'Sales and count'!$G$2:$CC$2,0),SUMPRODUCT(('Sales and count'!$G$3:$CC$3="Total")*(_xlpm.d&gt;=BZ$6)*(_xlpm.d&lt;=BZ$7),INDEX('Sales and count'!$G$4:$CC$300,$AJ86,0)))))</f>
        <v/>
      </c>
    </row>
    <row r="87" spans="1:78" x14ac:dyDescent="0.25">
      <c r="A87" s="356" t="str">
        <v>HAMYANYARD</v>
      </c>
      <c r="B87" s="356" t="str" cm="1">
        <f t="array" ref="B87">IF($A87="","",_xlfn.XLOOKUP($A87,TRIM(Footfall!$B$5:$B$301&amp;""),Footfall!$A$5:$A$301,""))</f>
        <v>Myan Yard Makkah</v>
      </c>
      <c r="C87" s="356" t="str" cm="1">
        <f t="array" ref="C87">IF($A87="","",_xlfn.XLOOKUP($A87,TRIM('Sales and count'!$A$4:$A$300&amp;""),'Sales and count'!$C$4:$C$300,"Not set"))</f>
        <v>Makkah</v>
      </c>
      <c r="D87" s="357">
        <f t="shared" ca="1" si="53"/>
        <v>0.13967159943239407</v>
      </c>
      <c r="E87" s="357">
        <f t="shared" ca="1" si="54"/>
        <v>0.12337662337662338</v>
      </c>
      <c r="F87" s="357">
        <f t="shared" ca="1" si="55"/>
        <v>0.14814814814814814</v>
      </c>
      <c r="G87" s="357">
        <f t="shared" ca="1" si="56"/>
        <v>0.11564625850340136</v>
      </c>
      <c r="H87" s="357">
        <f t="shared" ca="1" si="57"/>
        <v>0.12295081967213115</v>
      </c>
      <c r="I87" s="357">
        <f t="shared" ca="1" si="58"/>
        <v>0.14880952380952381</v>
      </c>
      <c r="J87" s="357">
        <f t="shared" ca="1" si="59"/>
        <v>0.14795918367346939</v>
      </c>
      <c r="K87" s="357">
        <f t="shared" ca="1" si="60"/>
        <v>0.12698412698412698</v>
      </c>
      <c r="L87" s="357">
        <f t="shared" ca="1" si="61"/>
        <v>0.1103448275862069</v>
      </c>
      <c r="M87" s="357" t="str">
        <f t="shared" si="62"/>
        <v/>
      </c>
      <c r="N87" s="357" t="str">
        <f t="shared" si="63"/>
        <v/>
      </c>
      <c r="O87" s="357" t="str">
        <f t="shared" si="64"/>
        <v/>
      </c>
      <c r="P87" s="357" t="str">
        <f t="shared" si="65"/>
        <v/>
      </c>
      <c r="Q87" s="357" t="str">
        <f t="shared" si="66"/>
        <v/>
      </c>
      <c r="R87" s="358" cm="1">
        <f t="array" aca="1" ref="R87" ca="1">IF(OR($A87="",D87=""),"",IFERROR(LOOKUP(2,1/(E87:Q87&lt;&gt;""),E87:Q87)-D87,""))</f>
        <v>-2.9326771846187177E-2</v>
      </c>
      <c r="S87" s="349"/>
      <c r="T87" s="362">
        <f t="shared" ca="1" si="67"/>
        <v>133.55417997097246</v>
      </c>
      <c r="U87" s="362">
        <f t="shared" ca="1" si="68"/>
        <v>182.21526315789475</v>
      </c>
      <c r="V87" s="362">
        <f t="shared" ca="1" si="69"/>
        <v>130.35399999999998</v>
      </c>
      <c r="W87" s="362">
        <f t="shared" ca="1" si="70"/>
        <v>132.64941176470589</v>
      </c>
      <c r="X87" s="362">
        <f t="shared" ca="1" si="71"/>
        <v>147.86166666666668</v>
      </c>
      <c r="Y87" s="362">
        <f t="shared" ca="1" si="72"/>
        <v>171.71080000000001</v>
      </c>
      <c r="Z87" s="362">
        <f t="shared" ca="1" si="73"/>
        <v>156.78275862068966</v>
      </c>
      <c r="AA87" s="362">
        <f t="shared" ca="1" si="74"/>
        <v>175.69708333333332</v>
      </c>
      <c r="AB87" s="362">
        <f t="shared" ca="1" si="75"/>
        <v>212.88874999999999</v>
      </c>
      <c r="AC87" s="362" t="str">
        <f t="shared" si="76"/>
        <v/>
      </c>
      <c r="AD87" s="362" t="str">
        <f t="shared" si="77"/>
        <v/>
      </c>
      <c r="AE87" s="362" t="str">
        <f t="shared" si="78"/>
        <v/>
      </c>
      <c r="AF87" s="362" t="str">
        <f t="shared" si="79"/>
        <v/>
      </c>
      <c r="AG87" s="362" t="str">
        <f t="shared" si="80"/>
        <v/>
      </c>
      <c r="AH87" s="363" cm="1">
        <f t="array" aca="1" ref="AH87" ca="1">IF(OR($A87="",T87=""),"",IFERROR(LOOKUP(2,1/(U87:AG87&lt;&gt;""),U87:AG87)-T87,""))</f>
        <v>79.334570029027532</v>
      </c>
      <c r="AI87" s="349"/>
      <c r="AJ87" s="349" cm="1">
        <f t="array" ref="AJ87">IF($A87="","",IFERROR(MATCH($A87,TRIM('Sales and count'!$A$4:$A$300&amp;""),0),""))</f>
        <v>5</v>
      </c>
      <c r="AK87" s="350" cm="1">
        <f t="array" ref="AK87">IF(OR($A87="",AK$6=""),"",IFERROR(INDEX(Footfall!$C$5:$BZ$301,MATCH($A87,TRIM(Footfall!$B$5:$B$301&amp;""),0),AK$5),0))</f>
        <v>4933</v>
      </c>
      <c r="AL87" s="350" cm="1">
        <f t="array" ref="AL87">IF(OR($A87="",AL$6=""),"",IFERROR(INDEX(Footfall!$C$5:$BZ$301,MATCH($A87,TRIM(Footfall!$B$5:$B$301&amp;""),0),AL$5),0))</f>
        <v>154</v>
      </c>
      <c r="AM87" s="350" cm="1">
        <f t="array" ref="AM87">IF(OR($A87="",AM$6=""),"",IFERROR(INDEX(Footfall!$C$5:$BZ$301,MATCH($A87,TRIM(Footfall!$B$5:$B$301&amp;""),0),AM$5),0))</f>
        <v>135</v>
      </c>
      <c r="AN87" s="350" cm="1">
        <f t="array" ref="AN87">IF(OR($A87="",AN$6=""),"",IFERROR(INDEX(Footfall!$C$5:$BZ$301,MATCH($A87,TRIM(Footfall!$B$5:$B$301&amp;""),0),AN$5),0))</f>
        <v>147</v>
      </c>
      <c r="AO87" s="350" cm="1">
        <f t="array" ref="AO87">IF(OR($A87="",AO$6=""),"",IFERROR(INDEX(Footfall!$C$5:$BZ$301,MATCH($A87,TRIM(Footfall!$B$5:$B$301&amp;""),0),AO$5),0))</f>
        <v>244</v>
      </c>
      <c r="AP87" s="350" cm="1">
        <f t="array" ref="AP87">IF(OR($A87="",AP$6=""),"",IFERROR(INDEX(Footfall!$C$5:$BZ$301,MATCH($A87,TRIM(Footfall!$B$5:$B$301&amp;""),0),AP$5),0))</f>
        <v>168</v>
      </c>
      <c r="AQ87" s="350" cm="1">
        <f t="array" ref="AQ87">IF(OR($A87="",AQ$6=""),"",IFERROR(INDEX(Footfall!$C$5:$BZ$301,MATCH($A87,TRIM(Footfall!$B$5:$B$301&amp;""),0),AQ$5),0))</f>
        <v>196</v>
      </c>
      <c r="AR87" s="350" cm="1">
        <f t="array" ref="AR87">IF(OR($A87="",AR$6=""),"",IFERROR(INDEX(Footfall!$C$5:$BZ$301,MATCH($A87,TRIM(Footfall!$B$5:$B$301&amp;""),0),AR$5),0))</f>
        <v>189</v>
      </c>
      <c r="AS87" s="350" cm="1">
        <f t="array" ref="AS87">IF(OR($A87="",AS$6=""),"",IFERROR(INDEX(Footfall!$C$5:$BZ$301,MATCH($A87,TRIM(Footfall!$B$5:$B$301&amp;""),0),AS$5),0))</f>
        <v>145</v>
      </c>
      <c r="AT87" s="350" t="str" cm="1">
        <f t="array" ref="AT87">IF(OR($A87="",AT$6=""),"",IFERROR(INDEX(Footfall!$C$5:$BZ$301,MATCH($A87,TRIM(Footfall!$B$5:$B$301&amp;""),0),AT$5),0))</f>
        <v/>
      </c>
      <c r="AU87" s="350" t="str" cm="1">
        <f t="array" ref="AU87">IF(OR($A87="",AU$6=""),"",IFERROR(INDEX(Footfall!$C$5:$BZ$301,MATCH($A87,TRIM(Footfall!$B$5:$B$301&amp;""),0),AU$5),0))</f>
        <v/>
      </c>
      <c r="AV87" s="350" t="str" cm="1">
        <f t="array" ref="AV87">IF(OR($A87="",AV$6=""),"",IFERROR(INDEX(Footfall!$C$5:$BZ$301,MATCH($A87,TRIM(Footfall!$B$5:$B$301&amp;""),0),AV$5),0))</f>
        <v/>
      </c>
      <c r="AW87" s="350" t="str" cm="1">
        <f t="array" ref="AW87">IF(OR($A87="",AW$6=""),"",IFERROR(INDEX(Footfall!$C$5:$BZ$301,MATCH($A87,TRIM(Footfall!$B$5:$B$301&amp;""),0),AW$5),0))</f>
        <v/>
      </c>
      <c r="AX87" s="350" t="str" cm="1">
        <f t="array" ref="AX87">IF(OR($A87="",AX$6=""),"",IFERROR(INDEX(Footfall!$C$5:$BZ$301,MATCH($A87,TRIM(Footfall!$B$5:$B$301&amp;""),0),AX$5),0))</f>
        <v/>
      </c>
      <c r="AY87" s="350" cm="1">
        <f t="array" aca="1" ref="AY87" ca="1">IF(AK87="","",IF($AJ87="",0,_xlfn.LET(_xlpm.d,IFERROR(--'Sales and count'!$F$2:$CB$2,0),SUMPRODUCT(('Sales and count'!$G$3:$CC$3="Transactions")*(_xlpm.d&gt;=AY$6)*(_xlpm.d&lt;=AY$7),INDEX('Sales and count'!$G$4:$CC$300,$AJ87,0)))))</f>
        <v>689</v>
      </c>
      <c r="AZ87" s="350" cm="1">
        <f t="array" aca="1" ref="AZ87" ca="1">IF(AL87="","",IF($AJ87="",0,_xlfn.LET(_xlpm.d,IFERROR(--'Sales and count'!$F$2:$CB$2,0),SUMPRODUCT(('Sales and count'!$G$3:$CC$3="Transactions")*(_xlpm.d&gt;=AZ$6)*(_xlpm.d&lt;=AZ$7),INDEX('Sales and count'!$G$4:$CC$300,$AJ87,0)))))</f>
        <v>19</v>
      </c>
      <c r="BA87" s="350" cm="1">
        <f t="array" aca="1" ref="BA87" ca="1">IF(AM87="","",IF($AJ87="",0,_xlfn.LET(_xlpm.d,IFERROR(--'Sales and count'!$F$2:$CB$2,0),SUMPRODUCT(('Sales and count'!$G$3:$CC$3="Transactions")*(_xlpm.d&gt;=BA$6)*(_xlpm.d&lt;=BA$7),INDEX('Sales and count'!$G$4:$CC$300,$AJ87,0)))))</f>
        <v>20</v>
      </c>
      <c r="BB87" s="350" cm="1">
        <f t="array" aca="1" ref="BB87" ca="1">IF(AN87="","",IF($AJ87="",0,_xlfn.LET(_xlpm.d,IFERROR(--'Sales and count'!$F$2:$CB$2,0),SUMPRODUCT(('Sales and count'!$G$3:$CC$3="Transactions")*(_xlpm.d&gt;=BB$6)*(_xlpm.d&lt;=BB$7),INDEX('Sales and count'!$G$4:$CC$300,$AJ87,0)))))</f>
        <v>17</v>
      </c>
      <c r="BC87" s="350" cm="1">
        <f t="array" aca="1" ref="BC87" ca="1">IF(AO87="","",IF($AJ87="",0,_xlfn.LET(_xlpm.d,IFERROR(--'Sales and count'!$F$2:$CB$2,0),SUMPRODUCT(('Sales and count'!$G$3:$CC$3="Transactions")*(_xlpm.d&gt;=BC$6)*(_xlpm.d&lt;=BC$7),INDEX('Sales and count'!$G$4:$CC$300,$AJ87,0)))))</f>
        <v>30</v>
      </c>
      <c r="BD87" s="350" cm="1">
        <f t="array" aca="1" ref="BD87" ca="1">IF(AP87="","",IF($AJ87="",0,_xlfn.LET(_xlpm.d,IFERROR(--'Sales and count'!$F$2:$CB$2,0),SUMPRODUCT(('Sales and count'!$G$3:$CC$3="Transactions")*(_xlpm.d&gt;=BD$6)*(_xlpm.d&lt;=BD$7),INDEX('Sales and count'!$G$4:$CC$300,$AJ87,0)))))</f>
        <v>25</v>
      </c>
      <c r="BE87" s="350" cm="1">
        <f t="array" aca="1" ref="BE87" ca="1">IF(AQ87="","",IF($AJ87="",0,_xlfn.LET(_xlpm.d,IFERROR(--'Sales and count'!$F$2:$CB$2,0),SUMPRODUCT(('Sales and count'!$G$3:$CC$3="Transactions")*(_xlpm.d&gt;=BE$6)*(_xlpm.d&lt;=BE$7),INDEX('Sales and count'!$G$4:$CC$300,$AJ87,0)))))</f>
        <v>29</v>
      </c>
      <c r="BF87" s="350" cm="1">
        <f t="array" aca="1" ref="BF87" ca="1">IF(AR87="","",IF($AJ87="",0,_xlfn.LET(_xlpm.d,IFERROR(--'Sales and count'!$F$2:$CB$2,0),SUMPRODUCT(('Sales and count'!$G$3:$CC$3="Transactions")*(_xlpm.d&gt;=BF$6)*(_xlpm.d&lt;=BF$7),INDEX('Sales and count'!$G$4:$CC$300,$AJ87,0)))))</f>
        <v>24</v>
      </c>
      <c r="BG87" s="350" cm="1">
        <f t="array" aca="1" ref="BG87" ca="1">IF(AS87="","",IF($AJ87="",0,_xlfn.LET(_xlpm.d,IFERROR(--'Sales and count'!$F$2:$CB$2,0),SUMPRODUCT(('Sales and count'!$G$3:$CC$3="Transactions")*(_xlpm.d&gt;=BG$6)*(_xlpm.d&lt;=BG$7),INDEX('Sales and count'!$G$4:$CC$300,$AJ87,0)))))</f>
        <v>16</v>
      </c>
      <c r="BH87" s="350" t="str" cm="1">
        <f t="array" ref="BH87">IF(AT87="","",IF($AJ87="",0,_xlfn.LET(_xlpm.d,IFERROR(--'Sales and count'!$F$2:$CB$2,0),SUMPRODUCT(('Sales and count'!$G$3:$CC$3="Transactions")*(_xlpm.d&gt;=BH$6)*(_xlpm.d&lt;=BH$7),INDEX('Sales and count'!$G$4:$CC$300,$AJ87,0)))))</f>
        <v/>
      </c>
      <c r="BI87" s="350" t="str" cm="1">
        <f t="array" ref="BI87">IF(AU87="","",IF($AJ87="",0,_xlfn.LET(_xlpm.d,IFERROR(--'Sales and count'!$F$2:$CB$2,0),SUMPRODUCT(('Sales and count'!$G$3:$CC$3="Transactions")*(_xlpm.d&gt;=BI$6)*(_xlpm.d&lt;=BI$7),INDEX('Sales and count'!$G$4:$CC$300,$AJ87,0)))))</f>
        <v/>
      </c>
      <c r="BJ87" s="350" t="str" cm="1">
        <f t="array" ref="BJ87">IF(AV87="","",IF($AJ87="",0,_xlfn.LET(_xlpm.d,IFERROR(--'Sales and count'!$F$2:$CB$2,0),SUMPRODUCT(('Sales and count'!$G$3:$CC$3="Transactions")*(_xlpm.d&gt;=BJ$6)*(_xlpm.d&lt;=BJ$7),INDEX('Sales and count'!$G$4:$CC$300,$AJ87,0)))))</f>
        <v/>
      </c>
      <c r="BK87" s="350" t="str" cm="1">
        <f t="array" ref="BK87">IF(AW87="","",IF($AJ87="",0,_xlfn.LET(_xlpm.d,IFERROR(--'Sales and count'!$F$2:$CB$2,0),SUMPRODUCT(('Sales and count'!$G$3:$CC$3="Transactions")*(_xlpm.d&gt;=BK$6)*(_xlpm.d&lt;=BK$7),INDEX('Sales and count'!$G$4:$CC$300,$AJ87,0)))))</f>
        <v/>
      </c>
      <c r="BL87" s="350" t="str" cm="1">
        <f t="array" ref="BL87">IF(AX87="","",IF($AJ87="",0,_xlfn.LET(_xlpm.d,IFERROR(--'Sales and count'!$F$2:$CB$2,0),SUMPRODUCT(('Sales and count'!$G$3:$CC$3="Transactions")*(_xlpm.d&gt;=BL$6)*(_xlpm.d&lt;=BL$7),INDEX('Sales and count'!$G$4:$CC$300,$AJ87,0)))))</f>
        <v/>
      </c>
      <c r="BM87" s="350" cm="1">
        <f t="array" ref="BM87">IF(AK87="","",IF($AJ87="",0,_xlfn.LET(_xlpm.d,IFERROR(--'Sales and count'!$G$2:$CC$2,0),SUMPRODUCT(('Sales and count'!$G$3:$CC$3="Total")*(_xlpm.d&gt;=BM$6)*(_xlpm.d&lt;=BM$7),INDEX('Sales and count'!$G$4:$CC$300,$AJ87,0)))))</f>
        <v>92018.830000000016</v>
      </c>
      <c r="BN87" s="350" cm="1">
        <f t="array" ref="BN87">IF(AL87="","",IF($AJ87="",0,_xlfn.LET(_xlpm.d,IFERROR(--'Sales and count'!$G$2:$CC$2,0),SUMPRODUCT(('Sales and count'!$G$3:$CC$3="Total")*(_xlpm.d&gt;=BN$6)*(_xlpm.d&lt;=BN$7),INDEX('Sales and count'!$G$4:$CC$300,$AJ87,0)))))</f>
        <v>3462.09</v>
      </c>
      <c r="BO87" s="350" cm="1">
        <f t="array" ref="BO87">IF(AM87="","",IF($AJ87="",0,_xlfn.LET(_xlpm.d,IFERROR(--'Sales and count'!$G$2:$CC$2,0),SUMPRODUCT(('Sales and count'!$G$3:$CC$3="Total")*(_xlpm.d&gt;=BO$6)*(_xlpm.d&lt;=BO$7),INDEX('Sales and count'!$G$4:$CC$300,$AJ87,0)))))</f>
        <v>2607.08</v>
      </c>
      <c r="BP87" s="350" cm="1">
        <f t="array" ref="BP87">IF(AN87="","",IF($AJ87="",0,_xlfn.LET(_xlpm.d,IFERROR(--'Sales and count'!$G$2:$CC$2,0),SUMPRODUCT(('Sales and count'!$G$3:$CC$3="Total")*(_xlpm.d&gt;=BP$6)*(_xlpm.d&lt;=BP$7),INDEX('Sales and count'!$G$4:$CC$300,$AJ87,0)))))</f>
        <v>2255.04</v>
      </c>
      <c r="BQ87" s="350" cm="1">
        <f t="array" ref="BQ87">IF(AO87="","",IF($AJ87="",0,_xlfn.LET(_xlpm.d,IFERROR(--'Sales and count'!$G$2:$CC$2,0),SUMPRODUCT(('Sales and count'!$G$3:$CC$3="Total")*(_xlpm.d&gt;=BQ$6)*(_xlpm.d&lt;=BQ$7),INDEX('Sales and count'!$G$4:$CC$300,$AJ87,0)))))</f>
        <v>4435.8500000000004</v>
      </c>
      <c r="BR87" s="350" cm="1">
        <f t="array" ref="BR87">IF(AP87="","",IF($AJ87="",0,_xlfn.LET(_xlpm.d,IFERROR(--'Sales and count'!$G$2:$CC$2,0),SUMPRODUCT(('Sales and count'!$G$3:$CC$3="Total")*(_xlpm.d&gt;=BR$6)*(_xlpm.d&lt;=BR$7),INDEX('Sales and count'!$G$4:$CC$300,$AJ87,0)))))</f>
        <v>4292.7700000000004</v>
      </c>
      <c r="BS87" s="350" cm="1">
        <f t="array" ref="BS87">IF(AQ87="","",IF($AJ87="",0,_xlfn.LET(_xlpm.d,IFERROR(--'Sales and count'!$G$2:$CC$2,0),SUMPRODUCT(('Sales and count'!$G$3:$CC$3="Total")*(_xlpm.d&gt;=BS$6)*(_xlpm.d&lt;=BS$7),INDEX('Sales and count'!$G$4:$CC$300,$AJ87,0)))))</f>
        <v>4546.7</v>
      </c>
      <c r="BT87" s="350" cm="1">
        <f t="array" ref="BT87">IF(AR87="","",IF($AJ87="",0,_xlfn.LET(_xlpm.d,IFERROR(--'Sales and count'!$G$2:$CC$2,0),SUMPRODUCT(('Sales and count'!$G$3:$CC$3="Total")*(_xlpm.d&gt;=BT$6)*(_xlpm.d&lt;=BT$7),INDEX('Sales and count'!$G$4:$CC$300,$AJ87,0)))))</f>
        <v>4216.7299999999996</v>
      </c>
      <c r="BU87" s="350" cm="1">
        <f t="array" ref="BU87">IF(AS87="","",IF($AJ87="",0,_xlfn.LET(_xlpm.d,IFERROR(--'Sales and count'!$G$2:$CC$2,0),SUMPRODUCT(('Sales and count'!$G$3:$CC$3="Total")*(_xlpm.d&gt;=BU$6)*(_xlpm.d&lt;=BU$7),INDEX('Sales and count'!$G$4:$CC$300,$AJ87,0)))))</f>
        <v>3406.22</v>
      </c>
      <c r="BV87" s="350" t="str" cm="1">
        <f t="array" ref="BV87">IF(AT87="","",IF($AJ87="",0,_xlfn.LET(_xlpm.d,IFERROR(--'Sales and count'!$G$2:$CC$2,0),SUMPRODUCT(('Sales and count'!$G$3:$CC$3="Total")*(_xlpm.d&gt;=BV$6)*(_xlpm.d&lt;=BV$7),INDEX('Sales and count'!$G$4:$CC$300,$AJ87,0)))))</f>
        <v/>
      </c>
      <c r="BW87" s="350" t="str" cm="1">
        <f t="array" ref="BW87">IF(AU87="","",IF($AJ87="",0,_xlfn.LET(_xlpm.d,IFERROR(--'Sales and count'!$G$2:$CC$2,0),SUMPRODUCT(('Sales and count'!$G$3:$CC$3="Total")*(_xlpm.d&gt;=BW$6)*(_xlpm.d&lt;=BW$7),INDEX('Sales and count'!$G$4:$CC$300,$AJ87,0)))))</f>
        <v/>
      </c>
      <c r="BX87" s="350" t="str" cm="1">
        <f t="array" ref="BX87">IF(AV87="","",IF($AJ87="",0,_xlfn.LET(_xlpm.d,IFERROR(--'Sales and count'!$G$2:$CC$2,0),SUMPRODUCT(('Sales and count'!$G$3:$CC$3="Total")*(_xlpm.d&gt;=BX$6)*(_xlpm.d&lt;=BX$7),INDEX('Sales and count'!$G$4:$CC$300,$AJ87,0)))))</f>
        <v/>
      </c>
      <c r="BY87" s="350" t="str" cm="1">
        <f t="array" ref="BY87">IF(AW87="","",IF($AJ87="",0,_xlfn.LET(_xlpm.d,IFERROR(--'Sales and count'!$G$2:$CC$2,0),SUMPRODUCT(('Sales and count'!$G$3:$CC$3="Total")*(_xlpm.d&gt;=BY$6)*(_xlpm.d&lt;=BY$7),INDEX('Sales and count'!$G$4:$CC$300,$AJ87,0)))))</f>
        <v/>
      </c>
      <c r="BZ87" s="350" t="str" cm="1">
        <f t="array" ref="BZ87">IF(AX87="","",IF($AJ87="",0,_xlfn.LET(_xlpm.d,IFERROR(--'Sales and count'!$G$2:$CC$2,0),SUMPRODUCT(('Sales and count'!$G$3:$CC$3="Total")*(_xlpm.d&gt;=BZ$6)*(_xlpm.d&lt;=BZ$7),INDEX('Sales and count'!$G$4:$CC$300,$AJ87,0)))))</f>
        <v/>
      </c>
    </row>
    <row r="88" spans="1:78" x14ac:dyDescent="0.25">
      <c r="A88" s="356" t="str">
        <v>ALSHAWGIYAH</v>
      </c>
      <c r="B88" s="356" t="str" cm="1">
        <f t="array" ref="B88">IF($A88="","",_xlfn.XLOOKUP($A88,TRIM(Footfall!$B$5:$B$301&amp;""),Footfall!$A$5:$A$301,""))</f>
        <v>Shawgiah Makkah</v>
      </c>
      <c r="C88" s="356" t="str" cm="1">
        <f t="array" ref="C88">IF($A88="","",_xlfn.XLOOKUP($A88,TRIM('Sales and count'!$A$4:$A$300&amp;""),'Sales and count'!$C$4:$C$300,"Not set"))</f>
        <v>Makkah</v>
      </c>
      <c r="D88" s="357">
        <f t="shared" ca="1" si="53"/>
        <v>0.27859669811320753</v>
      </c>
      <c r="E88" s="357">
        <f t="shared" ca="1" si="54"/>
        <v>0.22297297297297297</v>
      </c>
      <c r="F88" s="357">
        <f t="shared" ca="1" si="55"/>
        <v>0.256198347107438</v>
      </c>
      <c r="G88" s="357">
        <f t="shared" ca="1" si="56"/>
        <v>0.26153846153846155</v>
      </c>
      <c r="H88" s="357">
        <f t="shared" ca="1" si="57"/>
        <v>0.21739130434782608</v>
      </c>
      <c r="I88" s="357">
        <f t="shared" ca="1" si="58"/>
        <v>0.19847328244274809</v>
      </c>
      <c r="J88" s="357">
        <f t="shared" ca="1" si="59"/>
        <v>0.22929936305732485</v>
      </c>
      <c r="K88" s="357">
        <f t="shared" ca="1" si="60"/>
        <v>0.1984126984126984</v>
      </c>
      <c r="L88" s="357">
        <f t="shared" ca="1" si="61"/>
        <v>0.21052631578947367</v>
      </c>
      <c r="M88" s="357" t="str">
        <f t="shared" si="62"/>
        <v/>
      </c>
      <c r="N88" s="357" t="str">
        <f t="shared" si="63"/>
        <v/>
      </c>
      <c r="O88" s="357" t="str">
        <f t="shared" si="64"/>
        <v/>
      </c>
      <c r="P88" s="357" t="str">
        <f t="shared" si="65"/>
        <v/>
      </c>
      <c r="Q88" s="357" t="str">
        <f t="shared" si="66"/>
        <v/>
      </c>
      <c r="R88" s="358" cm="1">
        <f t="array" aca="1" ref="R88" ca="1">IF(OR($A88="",D88=""),"",IFERROR(LOOKUP(2,1/(E88:Q88&lt;&gt;""),E88:Q88)-D88,""))</f>
        <v>-6.8070382323733858E-2</v>
      </c>
      <c r="S88" s="349"/>
      <c r="T88" s="362">
        <f t="shared" ca="1" si="67"/>
        <v>152.01629629629636</v>
      </c>
      <c r="U88" s="362">
        <f t="shared" ca="1" si="68"/>
        <v>189.82090909090908</v>
      </c>
      <c r="V88" s="362">
        <f t="shared" ca="1" si="69"/>
        <v>186.48741935483869</v>
      </c>
      <c r="W88" s="362">
        <f t="shared" ca="1" si="70"/>
        <v>186.27</v>
      </c>
      <c r="X88" s="362">
        <f t="shared" ca="1" si="71"/>
        <v>153.56771428571429</v>
      </c>
      <c r="Y88" s="362">
        <f t="shared" ca="1" si="72"/>
        <v>159.33730769230772</v>
      </c>
      <c r="Z88" s="362">
        <f t="shared" ca="1" si="73"/>
        <v>195.49388888888888</v>
      </c>
      <c r="AA88" s="362">
        <f t="shared" ca="1" si="74"/>
        <v>156.91239999999999</v>
      </c>
      <c r="AB88" s="362">
        <f t="shared" ca="1" si="75"/>
        <v>164.88374999999999</v>
      </c>
      <c r="AC88" s="362" t="str">
        <f t="shared" si="76"/>
        <v/>
      </c>
      <c r="AD88" s="362" t="str">
        <f t="shared" si="77"/>
        <v/>
      </c>
      <c r="AE88" s="362" t="str">
        <f t="shared" si="78"/>
        <v/>
      </c>
      <c r="AF88" s="362" t="str">
        <f t="shared" si="79"/>
        <v/>
      </c>
      <c r="AG88" s="362" t="str">
        <f t="shared" si="80"/>
        <v/>
      </c>
      <c r="AH88" s="363" cm="1">
        <f t="array" aca="1" ref="AH88" ca="1">IF(OR($A88="",T88=""),"",IFERROR(LOOKUP(2,1/(U88:AG88&lt;&gt;""),U88:AG88)-T88,""))</f>
        <v>12.867453703703632</v>
      </c>
      <c r="AI88" s="349"/>
      <c r="AJ88" s="349" cm="1">
        <f t="array" ref="AJ88">IF($A88="","",IFERROR(MATCH($A88,TRIM('Sales and count'!$A$4:$A$300&amp;""),0),""))</f>
        <v>62</v>
      </c>
      <c r="AK88" s="350" cm="1">
        <f t="array" ref="AK88">IF(OR($A88="",AK$6=""),"",IFERROR(INDEX(Footfall!$C$5:$BZ$301,MATCH($A88,TRIM(Footfall!$B$5:$B$301&amp;""),0),AK$5),0))</f>
        <v>3392</v>
      </c>
      <c r="AL88" s="350" cm="1">
        <f t="array" ref="AL88">IF(OR($A88="",AL$6=""),"",IFERROR(INDEX(Footfall!$C$5:$BZ$301,MATCH($A88,TRIM(Footfall!$B$5:$B$301&amp;""),0),AL$5),0))</f>
        <v>148</v>
      </c>
      <c r="AM88" s="350" cm="1">
        <f t="array" ref="AM88">IF(OR($A88="",AM$6=""),"",IFERROR(INDEX(Footfall!$C$5:$BZ$301,MATCH($A88,TRIM(Footfall!$B$5:$B$301&amp;""),0),AM$5),0))</f>
        <v>121</v>
      </c>
      <c r="AN88" s="350" cm="1">
        <f t="array" ref="AN88">IF(OR($A88="",AN$6=""),"",IFERROR(INDEX(Footfall!$C$5:$BZ$301,MATCH($A88,TRIM(Footfall!$B$5:$B$301&amp;""),0),AN$5),0))</f>
        <v>130</v>
      </c>
      <c r="AO88" s="350" cm="1">
        <f t="array" ref="AO88">IF(OR($A88="",AO$6=""),"",IFERROR(INDEX(Footfall!$C$5:$BZ$301,MATCH($A88,TRIM(Footfall!$B$5:$B$301&amp;""),0),AO$5),0))</f>
        <v>161</v>
      </c>
      <c r="AP88" s="350" cm="1">
        <f t="array" ref="AP88">IF(OR($A88="",AP$6=""),"",IFERROR(INDEX(Footfall!$C$5:$BZ$301,MATCH($A88,TRIM(Footfall!$B$5:$B$301&amp;""),0),AP$5),0))</f>
        <v>131</v>
      </c>
      <c r="AQ88" s="350" cm="1">
        <f t="array" ref="AQ88">IF(OR($A88="",AQ$6=""),"",IFERROR(INDEX(Footfall!$C$5:$BZ$301,MATCH($A88,TRIM(Footfall!$B$5:$B$301&amp;""),0),AQ$5),0))</f>
        <v>157</v>
      </c>
      <c r="AR88" s="350" cm="1">
        <f t="array" ref="AR88">IF(OR($A88="",AR$6=""),"",IFERROR(INDEX(Footfall!$C$5:$BZ$301,MATCH($A88,TRIM(Footfall!$B$5:$B$301&amp;""),0),AR$5),0))</f>
        <v>126</v>
      </c>
      <c r="AS88" s="350" cm="1">
        <f t="array" ref="AS88">IF(OR($A88="",AS$6=""),"",IFERROR(INDEX(Footfall!$C$5:$BZ$301,MATCH($A88,TRIM(Footfall!$B$5:$B$301&amp;""),0),AS$5),0))</f>
        <v>152</v>
      </c>
      <c r="AT88" s="350" t="str" cm="1">
        <f t="array" ref="AT88">IF(OR($A88="",AT$6=""),"",IFERROR(INDEX(Footfall!$C$5:$BZ$301,MATCH($A88,TRIM(Footfall!$B$5:$B$301&amp;""),0),AT$5),0))</f>
        <v/>
      </c>
      <c r="AU88" s="350" t="str" cm="1">
        <f t="array" ref="AU88">IF(OR($A88="",AU$6=""),"",IFERROR(INDEX(Footfall!$C$5:$BZ$301,MATCH($A88,TRIM(Footfall!$B$5:$B$301&amp;""),0),AU$5),0))</f>
        <v/>
      </c>
      <c r="AV88" s="350" t="str" cm="1">
        <f t="array" ref="AV88">IF(OR($A88="",AV$6=""),"",IFERROR(INDEX(Footfall!$C$5:$BZ$301,MATCH($A88,TRIM(Footfall!$B$5:$B$301&amp;""),0),AV$5),0))</f>
        <v/>
      </c>
      <c r="AW88" s="350" t="str" cm="1">
        <f t="array" ref="AW88">IF(OR($A88="",AW$6=""),"",IFERROR(INDEX(Footfall!$C$5:$BZ$301,MATCH($A88,TRIM(Footfall!$B$5:$B$301&amp;""),0),AW$5),0))</f>
        <v/>
      </c>
      <c r="AX88" s="350" t="str" cm="1">
        <f t="array" ref="AX88">IF(OR($A88="",AX$6=""),"",IFERROR(INDEX(Footfall!$C$5:$BZ$301,MATCH($A88,TRIM(Footfall!$B$5:$B$301&amp;""),0),AX$5),0))</f>
        <v/>
      </c>
      <c r="AY88" s="350" cm="1">
        <f t="array" aca="1" ref="AY88" ca="1">IF(AK88="","",IF($AJ88="",0,_xlfn.LET(_xlpm.d,IFERROR(--'Sales and count'!$F$2:$CB$2,0),SUMPRODUCT(('Sales and count'!$G$3:$CC$3="Transactions")*(_xlpm.d&gt;=AY$6)*(_xlpm.d&lt;=AY$7),INDEX('Sales and count'!$G$4:$CC$300,$AJ88,0)))))</f>
        <v>945</v>
      </c>
      <c r="AZ88" s="350" cm="1">
        <f t="array" aca="1" ref="AZ88" ca="1">IF(AL88="","",IF($AJ88="",0,_xlfn.LET(_xlpm.d,IFERROR(--'Sales and count'!$F$2:$CB$2,0),SUMPRODUCT(('Sales and count'!$G$3:$CC$3="Transactions")*(_xlpm.d&gt;=AZ$6)*(_xlpm.d&lt;=AZ$7),INDEX('Sales and count'!$G$4:$CC$300,$AJ88,0)))))</f>
        <v>33</v>
      </c>
      <c r="BA88" s="350" cm="1">
        <f t="array" aca="1" ref="BA88" ca="1">IF(AM88="","",IF($AJ88="",0,_xlfn.LET(_xlpm.d,IFERROR(--'Sales and count'!$F$2:$CB$2,0),SUMPRODUCT(('Sales and count'!$G$3:$CC$3="Transactions")*(_xlpm.d&gt;=BA$6)*(_xlpm.d&lt;=BA$7),INDEX('Sales and count'!$G$4:$CC$300,$AJ88,0)))))</f>
        <v>31</v>
      </c>
      <c r="BB88" s="350" cm="1">
        <f t="array" aca="1" ref="BB88" ca="1">IF(AN88="","",IF($AJ88="",0,_xlfn.LET(_xlpm.d,IFERROR(--'Sales and count'!$F$2:$CB$2,0),SUMPRODUCT(('Sales and count'!$G$3:$CC$3="Transactions")*(_xlpm.d&gt;=BB$6)*(_xlpm.d&lt;=BB$7),INDEX('Sales and count'!$G$4:$CC$300,$AJ88,0)))))</f>
        <v>34</v>
      </c>
      <c r="BC88" s="350" cm="1">
        <f t="array" aca="1" ref="BC88" ca="1">IF(AO88="","",IF($AJ88="",0,_xlfn.LET(_xlpm.d,IFERROR(--'Sales and count'!$F$2:$CB$2,0),SUMPRODUCT(('Sales and count'!$G$3:$CC$3="Transactions")*(_xlpm.d&gt;=BC$6)*(_xlpm.d&lt;=BC$7),INDEX('Sales and count'!$G$4:$CC$300,$AJ88,0)))))</f>
        <v>35</v>
      </c>
      <c r="BD88" s="350" cm="1">
        <f t="array" aca="1" ref="BD88" ca="1">IF(AP88="","",IF($AJ88="",0,_xlfn.LET(_xlpm.d,IFERROR(--'Sales and count'!$F$2:$CB$2,0),SUMPRODUCT(('Sales and count'!$G$3:$CC$3="Transactions")*(_xlpm.d&gt;=BD$6)*(_xlpm.d&lt;=BD$7),INDEX('Sales and count'!$G$4:$CC$300,$AJ88,0)))))</f>
        <v>26</v>
      </c>
      <c r="BE88" s="350" cm="1">
        <f t="array" aca="1" ref="BE88" ca="1">IF(AQ88="","",IF($AJ88="",0,_xlfn.LET(_xlpm.d,IFERROR(--'Sales and count'!$F$2:$CB$2,0),SUMPRODUCT(('Sales and count'!$G$3:$CC$3="Transactions")*(_xlpm.d&gt;=BE$6)*(_xlpm.d&lt;=BE$7),INDEX('Sales and count'!$G$4:$CC$300,$AJ88,0)))))</f>
        <v>36</v>
      </c>
      <c r="BF88" s="350" cm="1">
        <f t="array" aca="1" ref="BF88" ca="1">IF(AR88="","",IF($AJ88="",0,_xlfn.LET(_xlpm.d,IFERROR(--'Sales and count'!$F$2:$CB$2,0),SUMPRODUCT(('Sales and count'!$G$3:$CC$3="Transactions")*(_xlpm.d&gt;=BF$6)*(_xlpm.d&lt;=BF$7),INDEX('Sales and count'!$G$4:$CC$300,$AJ88,0)))))</f>
        <v>25</v>
      </c>
      <c r="BG88" s="350" cm="1">
        <f t="array" aca="1" ref="BG88" ca="1">IF(AS88="","",IF($AJ88="",0,_xlfn.LET(_xlpm.d,IFERROR(--'Sales and count'!$F$2:$CB$2,0),SUMPRODUCT(('Sales and count'!$G$3:$CC$3="Transactions")*(_xlpm.d&gt;=BG$6)*(_xlpm.d&lt;=BG$7),INDEX('Sales and count'!$G$4:$CC$300,$AJ88,0)))))</f>
        <v>32</v>
      </c>
      <c r="BH88" s="350" t="str" cm="1">
        <f t="array" ref="BH88">IF(AT88="","",IF($AJ88="",0,_xlfn.LET(_xlpm.d,IFERROR(--'Sales and count'!$F$2:$CB$2,0),SUMPRODUCT(('Sales and count'!$G$3:$CC$3="Transactions")*(_xlpm.d&gt;=BH$6)*(_xlpm.d&lt;=BH$7),INDEX('Sales and count'!$G$4:$CC$300,$AJ88,0)))))</f>
        <v/>
      </c>
      <c r="BI88" s="350" t="str" cm="1">
        <f t="array" ref="BI88">IF(AU88="","",IF($AJ88="",0,_xlfn.LET(_xlpm.d,IFERROR(--'Sales and count'!$F$2:$CB$2,0),SUMPRODUCT(('Sales and count'!$G$3:$CC$3="Transactions")*(_xlpm.d&gt;=BI$6)*(_xlpm.d&lt;=BI$7),INDEX('Sales and count'!$G$4:$CC$300,$AJ88,0)))))</f>
        <v/>
      </c>
      <c r="BJ88" s="350" t="str" cm="1">
        <f t="array" ref="BJ88">IF(AV88="","",IF($AJ88="",0,_xlfn.LET(_xlpm.d,IFERROR(--'Sales and count'!$F$2:$CB$2,0),SUMPRODUCT(('Sales and count'!$G$3:$CC$3="Transactions")*(_xlpm.d&gt;=BJ$6)*(_xlpm.d&lt;=BJ$7),INDEX('Sales and count'!$G$4:$CC$300,$AJ88,0)))))</f>
        <v/>
      </c>
      <c r="BK88" s="350" t="str" cm="1">
        <f t="array" ref="BK88">IF(AW88="","",IF($AJ88="",0,_xlfn.LET(_xlpm.d,IFERROR(--'Sales and count'!$F$2:$CB$2,0),SUMPRODUCT(('Sales and count'!$G$3:$CC$3="Transactions")*(_xlpm.d&gt;=BK$6)*(_xlpm.d&lt;=BK$7),INDEX('Sales and count'!$G$4:$CC$300,$AJ88,0)))))</f>
        <v/>
      </c>
      <c r="BL88" s="350" t="str" cm="1">
        <f t="array" ref="BL88">IF(AX88="","",IF($AJ88="",0,_xlfn.LET(_xlpm.d,IFERROR(--'Sales and count'!$F$2:$CB$2,0),SUMPRODUCT(('Sales and count'!$G$3:$CC$3="Transactions")*(_xlpm.d&gt;=BL$6)*(_xlpm.d&lt;=BL$7),INDEX('Sales and count'!$G$4:$CC$300,$AJ88,0)))))</f>
        <v/>
      </c>
      <c r="BM88" s="350" cm="1">
        <f t="array" ref="BM88">IF(AK88="","",IF($AJ88="",0,_xlfn.LET(_xlpm.d,IFERROR(--'Sales and count'!$G$2:$CC$2,0),SUMPRODUCT(('Sales and count'!$G$3:$CC$3="Total")*(_xlpm.d&gt;=BM$6)*(_xlpm.d&lt;=BM$7),INDEX('Sales and count'!$G$4:$CC$300,$AJ88,0)))))</f>
        <v>143655.40000000005</v>
      </c>
      <c r="BN88" s="350" cm="1">
        <f t="array" ref="BN88">IF(AL88="","",IF($AJ88="",0,_xlfn.LET(_xlpm.d,IFERROR(--'Sales and count'!$G$2:$CC$2,0),SUMPRODUCT(('Sales and count'!$G$3:$CC$3="Total")*(_xlpm.d&gt;=BN$6)*(_xlpm.d&lt;=BN$7),INDEX('Sales and count'!$G$4:$CC$300,$AJ88,0)))))</f>
        <v>6264.09</v>
      </c>
      <c r="BO88" s="350" cm="1">
        <f t="array" ref="BO88">IF(AM88="","",IF($AJ88="",0,_xlfn.LET(_xlpm.d,IFERROR(--'Sales and count'!$G$2:$CC$2,0),SUMPRODUCT(('Sales and count'!$G$3:$CC$3="Total")*(_xlpm.d&gt;=BO$6)*(_xlpm.d&lt;=BO$7),INDEX('Sales and count'!$G$4:$CC$300,$AJ88,0)))))</f>
        <v>5781.11</v>
      </c>
      <c r="BP88" s="350" cm="1">
        <f t="array" ref="BP88">IF(AN88="","",IF($AJ88="",0,_xlfn.LET(_xlpm.d,IFERROR(--'Sales and count'!$G$2:$CC$2,0),SUMPRODUCT(('Sales and count'!$G$3:$CC$3="Total")*(_xlpm.d&gt;=BP$6)*(_xlpm.d&lt;=BP$7),INDEX('Sales and count'!$G$4:$CC$300,$AJ88,0)))))</f>
        <v>6333.18</v>
      </c>
      <c r="BQ88" s="350" cm="1">
        <f t="array" ref="BQ88">IF(AO88="","",IF($AJ88="",0,_xlfn.LET(_xlpm.d,IFERROR(--'Sales and count'!$G$2:$CC$2,0),SUMPRODUCT(('Sales and count'!$G$3:$CC$3="Total")*(_xlpm.d&gt;=BQ$6)*(_xlpm.d&lt;=BQ$7),INDEX('Sales and count'!$G$4:$CC$300,$AJ88,0)))))</f>
        <v>5374.87</v>
      </c>
      <c r="BR88" s="350" cm="1">
        <f t="array" ref="BR88">IF(AP88="","",IF($AJ88="",0,_xlfn.LET(_xlpm.d,IFERROR(--'Sales and count'!$G$2:$CC$2,0),SUMPRODUCT(('Sales and count'!$G$3:$CC$3="Total")*(_xlpm.d&gt;=BR$6)*(_xlpm.d&lt;=BR$7),INDEX('Sales and count'!$G$4:$CC$300,$AJ88,0)))))</f>
        <v>4142.7700000000004</v>
      </c>
      <c r="BS88" s="350" cm="1">
        <f t="array" ref="BS88">IF(AQ88="","",IF($AJ88="",0,_xlfn.LET(_xlpm.d,IFERROR(--'Sales and count'!$G$2:$CC$2,0),SUMPRODUCT(('Sales and count'!$G$3:$CC$3="Total")*(_xlpm.d&gt;=BS$6)*(_xlpm.d&lt;=BS$7),INDEX('Sales and count'!$G$4:$CC$300,$AJ88,0)))))</f>
        <v>7037.78</v>
      </c>
      <c r="BT88" s="350" cm="1">
        <f t="array" ref="BT88">IF(AR88="","",IF($AJ88="",0,_xlfn.LET(_xlpm.d,IFERROR(--'Sales and count'!$G$2:$CC$2,0),SUMPRODUCT(('Sales and count'!$G$3:$CC$3="Total")*(_xlpm.d&gt;=BT$6)*(_xlpm.d&lt;=BT$7),INDEX('Sales and count'!$G$4:$CC$300,$AJ88,0)))))</f>
        <v>3922.81</v>
      </c>
      <c r="BU88" s="350" cm="1">
        <f t="array" ref="BU88">IF(AS88="","",IF($AJ88="",0,_xlfn.LET(_xlpm.d,IFERROR(--'Sales and count'!$G$2:$CC$2,0),SUMPRODUCT(('Sales and count'!$G$3:$CC$3="Total")*(_xlpm.d&gt;=BU$6)*(_xlpm.d&lt;=BU$7),INDEX('Sales and count'!$G$4:$CC$300,$AJ88,0)))))</f>
        <v>5276.28</v>
      </c>
      <c r="BV88" s="350" t="str" cm="1">
        <f t="array" ref="BV88">IF(AT88="","",IF($AJ88="",0,_xlfn.LET(_xlpm.d,IFERROR(--'Sales and count'!$G$2:$CC$2,0),SUMPRODUCT(('Sales and count'!$G$3:$CC$3="Total")*(_xlpm.d&gt;=BV$6)*(_xlpm.d&lt;=BV$7),INDEX('Sales and count'!$G$4:$CC$300,$AJ88,0)))))</f>
        <v/>
      </c>
      <c r="BW88" s="350" t="str" cm="1">
        <f t="array" ref="BW88">IF(AU88="","",IF($AJ88="",0,_xlfn.LET(_xlpm.d,IFERROR(--'Sales and count'!$G$2:$CC$2,0),SUMPRODUCT(('Sales and count'!$G$3:$CC$3="Total")*(_xlpm.d&gt;=BW$6)*(_xlpm.d&lt;=BW$7),INDEX('Sales and count'!$G$4:$CC$300,$AJ88,0)))))</f>
        <v/>
      </c>
      <c r="BX88" s="350" t="str" cm="1">
        <f t="array" ref="BX88">IF(AV88="","",IF($AJ88="",0,_xlfn.LET(_xlpm.d,IFERROR(--'Sales and count'!$G$2:$CC$2,0),SUMPRODUCT(('Sales and count'!$G$3:$CC$3="Total")*(_xlpm.d&gt;=BX$6)*(_xlpm.d&lt;=BX$7),INDEX('Sales and count'!$G$4:$CC$300,$AJ88,0)))))</f>
        <v/>
      </c>
      <c r="BY88" s="350" t="str" cm="1">
        <f t="array" ref="BY88">IF(AW88="","",IF($AJ88="",0,_xlfn.LET(_xlpm.d,IFERROR(--'Sales and count'!$G$2:$CC$2,0),SUMPRODUCT(('Sales and count'!$G$3:$CC$3="Total")*(_xlpm.d&gt;=BY$6)*(_xlpm.d&lt;=BY$7),INDEX('Sales and count'!$G$4:$CC$300,$AJ88,0)))))</f>
        <v/>
      </c>
      <c r="BZ88" s="350" t="str" cm="1">
        <f t="array" ref="BZ88">IF(AX88="","",IF($AJ88="",0,_xlfn.LET(_xlpm.d,IFERROR(--'Sales and count'!$G$2:$CC$2,0),SUMPRODUCT(('Sales and count'!$G$3:$CC$3="Total")*(_xlpm.d&gt;=BZ$6)*(_xlpm.d&lt;=BZ$7),INDEX('Sales and count'!$G$4:$CC$300,$AJ88,0)))))</f>
        <v/>
      </c>
    </row>
    <row r="89" spans="1:78" x14ac:dyDescent="0.25">
      <c r="A89" s="356" t="str">
        <v>HATASSPLZ</v>
      </c>
      <c r="B89" s="356" t="str" cm="1">
        <f t="array" ref="B89">IF($A89="","",_xlfn.XLOOKUP($A89,TRIM(Footfall!$B$5:$B$301&amp;""),Footfall!$A$5:$A$301,""))</f>
        <v>TASAN plaza Makkah</v>
      </c>
      <c r="C89" s="356" t="str" cm="1">
        <f t="array" ref="C89">IF($A89="","",_xlfn.XLOOKUP($A89,TRIM('Sales and count'!$A$4:$A$300&amp;""),'Sales and count'!$C$4:$C$300,"Not set"))</f>
        <v>Makkah</v>
      </c>
      <c r="D89" s="357">
        <f t="shared" ca="1" si="53"/>
        <v>0.22546419098143236</v>
      </c>
      <c r="E89" s="357">
        <f t="shared" ca="1" si="54"/>
        <v>0.18518518518518517</v>
      </c>
      <c r="F89" s="357">
        <f t="shared" ca="1" si="55"/>
        <v>0.23809523809523808</v>
      </c>
      <c r="G89" s="357">
        <f t="shared" ca="1" si="56"/>
        <v>0.21875</v>
      </c>
      <c r="H89" s="357">
        <f t="shared" ca="1" si="57"/>
        <v>0.24050632911392406</v>
      </c>
      <c r="I89" s="357">
        <f t="shared" ca="1" si="58"/>
        <v>0.23529411764705882</v>
      </c>
      <c r="J89" s="357">
        <f t="shared" ca="1" si="59"/>
        <v>0.20370370370370369</v>
      </c>
      <c r="K89" s="357">
        <f t="shared" ca="1" si="60"/>
        <v>0.2</v>
      </c>
      <c r="L89" s="357">
        <f t="shared" ca="1" si="61"/>
        <v>8.3333333333333329E-2</v>
      </c>
      <c r="M89" s="357" t="str">
        <f t="shared" si="62"/>
        <v/>
      </c>
      <c r="N89" s="357" t="str">
        <f t="shared" si="63"/>
        <v/>
      </c>
      <c r="O89" s="357" t="str">
        <f t="shared" si="64"/>
        <v/>
      </c>
      <c r="P89" s="357" t="str">
        <f t="shared" si="65"/>
        <v/>
      </c>
      <c r="Q89" s="357" t="str">
        <f t="shared" si="66"/>
        <v/>
      </c>
      <c r="R89" s="358" cm="1">
        <f t="array" aca="1" ref="R89" ca="1">IF(OR($A89="",D89=""),"",IFERROR(LOOKUP(2,1/(E89:Q89&lt;&gt;""),E89:Q89)-D89,""))</f>
        <v>-0.14213085764809902</v>
      </c>
      <c r="S89" s="349"/>
      <c r="T89" s="362">
        <f t="shared" ca="1" si="67"/>
        <v>198.92172549019608</v>
      </c>
      <c r="U89" s="362">
        <f t="shared" ca="1" si="68"/>
        <v>186.10599999999999</v>
      </c>
      <c r="V89" s="362">
        <f t="shared" ca="1" si="69"/>
        <v>218.70100000000002</v>
      </c>
      <c r="W89" s="362">
        <f t="shared" ca="1" si="70"/>
        <v>177.36285714285714</v>
      </c>
      <c r="X89" s="362">
        <f t="shared" ca="1" si="71"/>
        <v>203.56789473684211</v>
      </c>
      <c r="Y89" s="362">
        <f t="shared" ca="1" si="72"/>
        <v>204.16249999999999</v>
      </c>
      <c r="Z89" s="362">
        <f t="shared" ca="1" si="73"/>
        <v>195.35181818181817</v>
      </c>
      <c r="AA89" s="362">
        <f t="shared" ca="1" si="74"/>
        <v>180.91076923076923</v>
      </c>
      <c r="AB89" s="362">
        <f t="shared" ca="1" si="75"/>
        <v>128.33333333333334</v>
      </c>
      <c r="AC89" s="362" t="str">
        <f t="shared" si="76"/>
        <v/>
      </c>
      <c r="AD89" s="362" t="str">
        <f t="shared" si="77"/>
        <v/>
      </c>
      <c r="AE89" s="362" t="str">
        <f t="shared" si="78"/>
        <v/>
      </c>
      <c r="AF89" s="362" t="str">
        <f t="shared" si="79"/>
        <v/>
      </c>
      <c r="AG89" s="362" t="str">
        <f t="shared" si="80"/>
        <v/>
      </c>
      <c r="AH89" s="363" cm="1">
        <f t="array" aca="1" ref="AH89" ca="1">IF(OR($A89="",T89=""),"",IFERROR(LOOKUP(2,1/(U89:AG89&lt;&gt;""),U89:AG89)-T89,""))</f>
        <v>-70.588392156862739</v>
      </c>
      <c r="AI89" s="349"/>
      <c r="AJ89" s="349" cm="1">
        <f t="array" ref="AJ89">IF($A89="","",IFERROR(MATCH($A89,TRIM('Sales and count'!$A$4:$A$300&amp;""),0),""))</f>
        <v>67</v>
      </c>
      <c r="AK89" s="350" cm="1">
        <f t="array" ref="AK89">IF(OR($A89="",AK$6=""),"",IFERROR(INDEX(Footfall!$C$5:$BZ$301,MATCH($A89,TRIM(Footfall!$B$5:$B$301&amp;""),0),AK$5),0))</f>
        <v>1131</v>
      </c>
      <c r="AL89" s="350" cm="1">
        <f t="array" ref="AL89">IF(OR($A89="",AL$6=""),"",IFERROR(INDEX(Footfall!$C$5:$BZ$301,MATCH($A89,TRIM(Footfall!$B$5:$B$301&amp;""),0),AL$5),0))</f>
        <v>54</v>
      </c>
      <c r="AM89" s="350" cm="1">
        <f t="array" ref="AM89">IF(OR($A89="",AM$6=""),"",IFERROR(INDEX(Footfall!$C$5:$BZ$301,MATCH($A89,TRIM(Footfall!$B$5:$B$301&amp;""),0),AM$5),0))</f>
        <v>42</v>
      </c>
      <c r="AN89" s="350" cm="1">
        <f t="array" ref="AN89">IF(OR($A89="",AN$6=""),"",IFERROR(INDEX(Footfall!$C$5:$BZ$301,MATCH($A89,TRIM(Footfall!$B$5:$B$301&amp;""),0),AN$5),0))</f>
        <v>64</v>
      </c>
      <c r="AO89" s="350" cm="1">
        <f t="array" ref="AO89">IF(OR($A89="",AO$6=""),"",IFERROR(INDEX(Footfall!$C$5:$BZ$301,MATCH($A89,TRIM(Footfall!$B$5:$B$301&amp;""),0),AO$5),0))</f>
        <v>79</v>
      </c>
      <c r="AP89" s="350" cm="1">
        <f t="array" ref="AP89">IF(OR($A89="",AP$6=""),"",IFERROR(INDEX(Footfall!$C$5:$BZ$301,MATCH($A89,TRIM(Footfall!$B$5:$B$301&amp;""),0),AP$5),0))</f>
        <v>51</v>
      </c>
      <c r="AQ89" s="350" cm="1">
        <f t="array" ref="AQ89">IF(OR($A89="",AQ$6=""),"",IFERROR(INDEX(Footfall!$C$5:$BZ$301,MATCH($A89,TRIM(Footfall!$B$5:$B$301&amp;""),0),AQ$5),0))</f>
        <v>54</v>
      </c>
      <c r="AR89" s="350" cm="1">
        <f t="array" ref="AR89">IF(OR($A89="",AR$6=""),"",IFERROR(INDEX(Footfall!$C$5:$BZ$301,MATCH($A89,TRIM(Footfall!$B$5:$B$301&amp;""),0),AR$5),0))</f>
        <v>65</v>
      </c>
      <c r="AS89" s="350" cm="1">
        <f t="array" ref="AS89">IF(OR($A89="",AS$6=""),"",IFERROR(INDEX(Footfall!$C$5:$BZ$301,MATCH($A89,TRIM(Footfall!$B$5:$B$301&amp;""),0),AS$5),0))</f>
        <v>36</v>
      </c>
      <c r="AT89" s="350" t="str" cm="1">
        <f t="array" ref="AT89">IF(OR($A89="",AT$6=""),"",IFERROR(INDEX(Footfall!$C$5:$BZ$301,MATCH($A89,TRIM(Footfall!$B$5:$B$301&amp;""),0),AT$5),0))</f>
        <v/>
      </c>
      <c r="AU89" s="350" t="str" cm="1">
        <f t="array" ref="AU89">IF(OR($A89="",AU$6=""),"",IFERROR(INDEX(Footfall!$C$5:$BZ$301,MATCH($A89,TRIM(Footfall!$B$5:$B$301&amp;""),0),AU$5),0))</f>
        <v/>
      </c>
      <c r="AV89" s="350" t="str" cm="1">
        <f t="array" ref="AV89">IF(OR($A89="",AV$6=""),"",IFERROR(INDEX(Footfall!$C$5:$BZ$301,MATCH($A89,TRIM(Footfall!$B$5:$B$301&amp;""),0),AV$5),0))</f>
        <v/>
      </c>
      <c r="AW89" s="350" t="str" cm="1">
        <f t="array" ref="AW89">IF(OR($A89="",AW$6=""),"",IFERROR(INDEX(Footfall!$C$5:$BZ$301,MATCH($A89,TRIM(Footfall!$B$5:$B$301&amp;""),0),AW$5),0))</f>
        <v/>
      </c>
      <c r="AX89" s="350" t="str" cm="1">
        <f t="array" ref="AX89">IF(OR($A89="",AX$6=""),"",IFERROR(INDEX(Footfall!$C$5:$BZ$301,MATCH($A89,TRIM(Footfall!$B$5:$B$301&amp;""),0),AX$5),0))</f>
        <v/>
      </c>
      <c r="AY89" s="350" cm="1">
        <f t="array" aca="1" ref="AY89" ca="1">IF(AK89="","",IF($AJ89="",0,_xlfn.LET(_xlpm.d,IFERROR(--'Sales and count'!$F$2:$CB$2,0),SUMPRODUCT(('Sales and count'!$G$3:$CC$3="Transactions")*(_xlpm.d&gt;=AY$6)*(_xlpm.d&lt;=AY$7),INDEX('Sales and count'!$G$4:$CC$300,$AJ89,0)))))</f>
        <v>255</v>
      </c>
      <c r="AZ89" s="350" cm="1">
        <f t="array" aca="1" ref="AZ89" ca="1">IF(AL89="","",IF($AJ89="",0,_xlfn.LET(_xlpm.d,IFERROR(--'Sales and count'!$F$2:$CB$2,0),SUMPRODUCT(('Sales and count'!$G$3:$CC$3="Transactions")*(_xlpm.d&gt;=AZ$6)*(_xlpm.d&lt;=AZ$7),INDEX('Sales and count'!$G$4:$CC$300,$AJ89,0)))))</f>
        <v>10</v>
      </c>
      <c r="BA89" s="350" cm="1">
        <f t="array" aca="1" ref="BA89" ca="1">IF(AM89="","",IF($AJ89="",0,_xlfn.LET(_xlpm.d,IFERROR(--'Sales and count'!$F$2:$CB$2,0),SUMPRODUCT(('Sales and count'!$G$3:$CC$3="Transactions")*(_xlpm.d&gt;=BA$6)*(_xlpm.d&lt;=BA$7),INDEX('Sales and count'!$G$4:$CC$300,$AJ89,0)))))</f>
        <v>10</v>
      </c>
      <c r="BB89" s="350" cm="1">
        <f t="array" aca="1" ref="BB89" ca="1">IF(AN89="","",IF($AJ89="",0,_xlfn.LET(_xlpm.d,IFERROR(--'Sales and count'!$F$2:$CB$2,0),SUMPRODUCT(('Sales and count'!$G$3:$CC$3="Transactions")*(_xlpm.d&gt;=BB$6)*(_xlpm.d&lt;=BB$7),INDEX('Sales and count'!$G$4:$CC$300,$AJ89,0)))))</f>
        <v>14</v>
      </c>
      <c r="BC89" s="350" cm="1">
        <f t="array" aca="1" ref="BC89" ca="1">IF(AO89="","",IF($AJ89="",0,_xlfn.LET(_xlpm.d,IFERROR(--'Sales and count'!$F$2:$CB$2,0),SUMPRODUCT(('Sales and count'!$G$3:$CC$3="Transactions")*(_xlpm.d&gt;=BC$6)*(_xlpm.d&lt;=BC$7),INDEX('Sales and count'!$G$4:$CC$300,$AJ89,0)))))</f>
        <v>19</v>
      </c>
      <c r="BD89" s="350" cm="1">
        <f t="array" aca="1" ref="BD89" ca="1">IF(AP89="","",IF($AJ89="",0,_xlfn.LET(_xlpm.d,IFERROR(--'Sales and count'!$F$2:$CB$2,0),SUMPRODUCT(('Sales and count'!$G$3:$CC$3="Transactions")*(_xlpm.d&gt;=BD$6)*(_xlpm.d&lt;=BD$7),INDEX('Sales and count'!$G$4:$CC$300,$AJ89,0)))))</f>
        <v>12</v>
      </c>
      <c r="BE89" s="350" cm="1">
        <f t="array" aca="1" ref="BE89" ca="1">IF(AQ89="","",IF($AJ89="",0,_xlfn.LET(_xlpm.d,IFERROR(--'Sales and count'!$F$2:$CB$2,0),SUMPRODUCT(('Sales and count'!$G$3:$CC$3="Transactions")*(_xlpm.d&gt;=BE$6)*(_xlpm.d&lt;=BE$7),INDEX('Sales and count'!$G$4:$CC$300,$AJ89,0)))))</f>
        <v>11</v>
      </c>
      <c r="BF89" s="350" cm="1">
        <f t="array" aca="1" ref="BF89" ca="1">IF(AR89="","",IF($AJ89="",0,_xlfn.LET(_xlpm.d,IFERROR(--'Sales and count'!$F$2:$CB$2,0),SUMPRODUCT(('Sales and count'!$G$3:$CC$3="Transactions")*(_xlpm.d&gt;=BF$6)*(_xlpm.d&lt;=BF$7),INDEX('Sales and count'!$G$4:$CC$300,$AJ89,0)))))</f>
        <v>13</v>
      </c>
      <c r="BG89" s="350" cm="1">
        <f t="array" aca="1" ref="BG89" ca="1">IF(AS89="","",IF($AJ89="",0,_xlfn.LET(_xlpm.d,IFERROR(--'Sales and count'!$F$2:$CB$2,0),SUMPRODUCT(('Sales and count'!$G$3:$CC$3="Transactions")*(_xlpm.d&gt;=BG$6)*(_xlpm.d&lt;=BG$7),INDEX('Sales and count'!$G$4:$CC$300,$AJ89,0)))))</f>
        <v>3</v>
      </c>
      <c r="BH89" s="350" t="str" cm="1">
        <f t="array" ref="BH89">IF(AT89="","",IF($AJ89="",0,_xlfn.LET(_xlpm.d,IFERROR(--'Sales and count'!$F$2:$CB$2,0),SUMPRODUCT(('Sales and count'!$G$3:$CC$3="Transactions")*(_xlpm.d&gt;=BH$6)*(_xlpm.d&lt;=BH$7),INDEX('Sales and count'!$G$4:$CC$300,$AJ89,0)))))</f>
        <v/>
      </c>
      <c r="BI89" s="350" t="str" cm="1">
        <f t="array" ref="BI89">IF(AU89="","",IF($AJ89="",0,_xlfn.LET(_xlpm.d,IFERROR(--'Sales and count'!$F$2:$CB$2,0),SUMPRODUCT(('Sales and count'!$G$3:$CC$3="Transactions")*(_xlpm.d&gt;=BI$6)*(_xlpm.d&lt;=BI$7),INDEX('Sales and count'!$G$4:$CC$300,$AJ89,0)))))</f>
        <v/>
      </c>
      <c r="BJ89" s="350" t="str" cm="1">
        <f t="array" ref="BJ89">IF(AV89="","",IF($AJ89="",0,_xlfn.LET(_xlpm.d,IFERROR(--'Sales and count'!$F$2:$CB$2,0),SUMPRODUCT(('Sales and count'!$G$3:$CC$3="Transactions")*(_xlpm.d&gt;=BJ$6)*(_xlpm.d&lt;=BJ$7),INDEX('Sales and count'!$G$4:$CC$300,$AJ89,0)))))</f>
        <v/>
      </c>
      <c r="BK89" s="350" t="str" cm="1">
        <f t="array" ref="BK89">IF(AW89="","",IF($AJ89="",0,_xlfn.LET(_xlpm.d,IFERROR(--'Sales and count'!$F$2:$CB$2,0),SUMPRODUCT(('Sales and count'!$G$3:$CC$3="Transactions")*(_xlpm.d&gt;=BK$6)*(_xlpm.d&lt;=BK$7),INDEX('Sales and count'!$G$4:$CC$300,$AJ89,0)))))</f>
        <v/>
      </c>
      <c r="BL89" s="350" t="str" cm="1">
        <f t="array" ref="BL89">IF(AX89="","",IF($AJ89="",0,_xlfn.LET(_xlpm.d,IFERROR(--'Sales and count'!$F$2:$CB$2,0),SUMPRODUCT(('Sales and count'!$G$3:$CC$3="Transactions")*(_xlpm.d&gt;=BL$6)*(_xlpm.d&lt;=BL$7),INDEX('Sales and count'!$G$4:$CC$300,$AJ89,0)))))</f>
        <v/>
      </c>
      <c r="BM89" s="350" cm="1">
        <f t="array" ref="BM89">IF(AK89="","",IF($AJ89="",0,_xlfn.LET(_xlpm.d,IFERROR(--'Sales and count'!$G$2:$CC$2,0),SUMPRODUCT(('Sales and count'!$G$3:$CC$3="Total")*(_xlpm.d&gt;=BM$6)*(_xlpm.d&lt;=BM$7),INDEX('Sales and count'!$G$4:$CC$300,$AJ89,0)))))</f>
        <v>50725.04</v>
      </c>
      <c r="BN89" s="350" cm="1">
        <f t="array" ref="BN89">IF(AL89="","",IF($AJ89="",0,_xlfn.LET(_xlpm.d,IFERROR(--'Sales and count'!$G$2:$CC$2,0),SUMPRODUCT(('Sales and count'!$G$3:$CC$3="Total")*(_xlpm.d&gt;=BN$6)*(_xlpm.d&lt;=BN$7),INDEX('Sales and count'!$G$4:$CC$300,$AJ89,0)))))</f>
        <v>1861.06</v>
      </c>
      <c r="BO89" s="350" cm="1">
        <f t="array" ref="BO89">IF(AM89="","",IF($AJ89="",0,_xlfn.LET(_xlpm.d,IFERROR(--'Sales and count'!$G$2:$CC$2,0),SUMPRODUCT(('Sales and count'!$G$3:$CC$3="Total")*(_xlpm.d&gt;=BO$6)*(_xlpm.d&lt;=BO$7),INDEX('Sales and count'!$G$4:$CC$300,$AJ89,0)))))</f>
        <v>2187.0100000000002</v>
      </c>
      <c r="BP89" s="350" cm="1">
        <f t="array" ref="BP89">IF(AN89="","",IF($AJ89="",0,_xlfn.LET(_xlpm.d,IFERROR(--'Sales and count'!$G$2:$CC$2,0),SUMPRODUCT(('Sales and count'!$G$3:$CC$3="Total")*(_xlpm.d&gt;=BP$6)*(_xlpm.d&lt;=BP$7),INDEX('Sales and count'!$G$4:$CC$300,$AJ89,0)))))</f>
        <v>2483.08</v>
      </c>
      <c r="BQ89" s="350" cm="1">
        <f t="array" ref="BQ89">IF(AO89="","",IF($AJ89="",0,_xlfn.LET(_xlpm.d,IFERROR(--'Sales and count'!$G$2:$CC$2,0),SUMPRODUCT(('Sales and count'!$G$3:$CC$3="Total")*(_xlpm.d&gt;=BQ$6)*(_xlpm.d&lt;=BQ$7),INDEX('Sales and count'!$G$4:$CC$300,$AJ89,0)))))</f>
        <v>3867.79</v>
      </c>
      <c r="BR89" s="350" cm="1">
        <f t="array" ref="BR89">IF(AP89="","",IF($AJ89="",0,_xlfn.LET(_xlpm.d,IFERROR(--'Sales and count'!$G$2:$CC$2,0),SUMPRODUCT(('Sales and count'!$G$3:$CC$3="Total")*(_xlpm.d&gt;=BR$6)*(_xlpm.d&lt;=BR$7),INDEX('Sales and count'!$G$4:$CC$300,$AJ89,0)))))</f>
        <v>2449.9499999999998</v>
      </c>
      <c r="BS89" s="350" cm="1">
        <f t="array" ref="BS89">IF(AQ89="","",IF($AJ89="",0,_xlfn.LET(_xlpm.d,IFERROR(--'Sales and count'!$G$2:$CC$2,0),SUMPRODUCT(('Sales and count'!$G$3:$CC$3="Total")*(_xlpm.d&gt;=BS$6)*(_xlpm.d&lt;=BS$7),INDEX('Sales and count'!$G$4:$CC$300,$AJ89,0)))))</f>
        <v>2148.87</v>
      </c>
      <c r="BT89" s="350" cm="1">
        <f t="array" ref="BT89">IF(AR89="","",IF($AJ89="",0,_xlfn.LET(_xlpm.d,IFERROR(--'Sales and count'!$G$2:$CC$2,0),SUMPRODUCT(('Sales and count'!$G$3:$CC$3="Total")*(_xlpm.d&gt;=BT$6)*(_xlpm.d&lt;=BT$7),INDEX('Sales and count'!$G$4:$CC$300,$AJ89,0)))))</f>
        <v>2351.84</v>
      </c>
      <c r="BU89" s="350" cm="1">
        <f t="array" ref="BU89">IF(AS89="","",IF($AJ89="",0,_xlfn.LET(_xlpm.d,IFERROR(--'Sales and count'!$G$2:$CC$2,0),SUMPRODUCT(('Sales and count'!$G$3:$CC$3="Total")*(_xlpm.d&gt;=BU$6)*(_xlpm.d&lt;=BU$7),INDEX('Sales and count'!$G$4:$CC$300,$AJ89,0)))))</f>
        <v>385</v>
      </c>
      <c r="BV89" s="350" t="str" cm="1">
        <f t="array" ref="BV89">IF(AT89="","",IF($AJ89="",0,_xlfn.LET(_xlpm.d,IFERROR(--'Sales and count'!$G$2:$CC$2,0),SUMPRODUCT(('Sales and count'!$G$3:$CC$3="Total")*(_xlpm.d&gt;=BV$6)*(_xlpm.d&lt;=BV$7),INDEX('Sales and count'!$G$4:$CC$300,$AJ89,0)))))</f>
        <v/>
      </c>
      <c r="BW89" s="350" t="str" cm="1">
        <f t="array" ref="BW89">IF(AU89="","",IF($AJ89="",0,_xlfn.LET(_xlpm.d,IFERROR(--'Sales and count'!$G$2:$CC$2,0),SUMPRODUCT(('Sales and count'!$G$3:$CC$3="Total")*(_xlpm.d&gt;=BW$6)*(_xlpm.d&lt;=BW$7),INDEX('Sales and count'!$G$4:$CC$300,$AJ89,0)))))</f>
        <v/>
      </c>
      <c r="BX89" s="350" t="str" cm="1">
        <f t="array" ref="BX89">IF(AV89="","",IF($AJ89="",0,_xlfn.LET(_xlpm.d,IFERROR(--'Sales and count'!$G$2:$CC$2,0),SUMPRODUCT(('Sales and count'!$G$3:$CC$3="Total")*(_xlpm.d&gt;=BX$6)*(_xlpm.d&lt;=BX$7),INDEX('Sales and count'!$G$4:$CC$300,$AJ89,0)))))</f>
        <v/>
      </c>
      <c r="BY89" s="350" t="str" cm="1">
        <f t="array" ref="BY89">IF(AW89="","",IF($AJ89="",0,_xlfn.LET(_xlpm.d,IFERROR(--'Sales and count'!$G$2:$CC$2,0),SUMPRODUCT(('Sales and count'!$G$3:$CC$3="Total")*(_xlpm.d&gt;=BY$6)*(_xlpm.d&lt;=BY$7),INDEX('Sales and count'!$G$4:$CC$300,$AJ89,0)))))</f>
        <v/>
      </c>
      <c r="BZ89" s="350" t="str" cm="1">
        <f t="array" ref="BZ89">IF(AX89="","",IF($AJ89="",0,_xlfn.LET(_xlpm.d,IFERROR(--'Sales and count'!$G$2:$CC$2,0),SUMPRODUCT(('Sales and count'!$G$3:$CC$3="Total")*(_xlpm.d&gt;=BZ$6)*(_xlpm.d&lt;=BZ$7),INDEX('Sales and count'!$G$4:$CC$300,$AJ89,0)))))</f>
        <v/>
      </c>
    </row>
    <row r="90" spans="1:78" x14ac:dyDescent="0.25">
      <c r="A90" s="356" t="str">
        <v>HAQATIFCC</v>
      </c>
      <c r="B90" s="356" t="str" cm="1">
        <f t="array" ref="B90">IF($A90="","",_xlfn.XLOOKUP($A90,TRIM(Footfall!$B$5:$B$301&amp;""),Footfall!$A$5:$A$301,""))</f>
        <v>Qatif Center</v>
      </c>
      <c r="C90" s="356" t="str" cm="1">
        <f t="array" ref="C90">IF($A90="","",_xlfn.XLOOKUP($A90,TRIM('Sales and count'!$A$4:$A$300&amp;""),'Sales and count'!$C$4:$C$300,"Not set"))</f>
        <v>Qatif</v>
      </c>
      <c r="D90" s="357">
        <f t="shared" ca="1" si="53"/>
        <v>0.13009787928221861</v>
      </c>
      <c r="E90" s="357">
        <f t="shared" ca="1" si="54"/>
        <v>9.6153846153846159E-2</v>
      </c>
      <c r="F90" s="357">
        <f t="shared" ca="1" si="55"/>
        <v>0.10126582278481013</v>
      </c>
      <c r="G90" s="357">
        <f t="shared" ca="1" si="56"/>
        <v>0.13253012048192772</v>
      </c>
      <c r="H90" s="357">
        <f t="shared" ca="1" si="57"/>
        <v>5.1724137931034482E-2</v>
      </c>
      <c r="I90" s="357">
        <f t="shared" ca="1" si="58"/>
        <v>0.1</v>
      </c>
      <c r="J90" s="357">
        <f t="shared" ca="1" si="59"/>
        <v>4.7619047619047616E-2</v>
      </c>
      <c r="K90" s="357">
        <f t="shared" ca="1" si="60"/>
        <v>9.3457943925233641E-2</v>
      </c>
      <c r="L90" s="357">
        <f t="shared" ca="1" si="61"/>
        <v>0.08</v>
      </c>
      <c r="M90" s="357" t="str">
        <f t="shared" si="62"/>
        <v/>
      </c>
      <c r="N90" s="357" t="str">
        <f t="shared" si="63"/>
        <v/>
      </c>
      <c r="O90" s="357" t="str">
        <f t="shared" si="64"/>
        <v/>
      </c>
      <c r="P90" s="357" t="str">
        <f t="shared" si="65"/>
        <v/>
      </c>
      <c r="Q90" s="357" t="str">
        <f t="shared" si="66"/>
        <v/>
      </c>
      <c r="R90" s="358" cm="1">
        <f t="array" aca="1" ref="R90" ca="1">IF(OR($A90="",D90=""),"",IFERROR(LOOKUP(2,1/(E90:Q90&lt;&gt;""),E90:Q90)-D90,""))</f>
        <v>-5.0097879282218608E-2</v>
      </c>
      <c r="S90" s="349"/>
      <c r="T90" s="362">
        <f t="shared" ca="1" si="67"/>
        <v>185.39611285266454</v>
      </c>
      <c r="U90" s="362">
        <f t="shared" ca="1" si="68"/>
        <v>168.00299999999999</v>
      </c>
      <c r="V90" s="362">
        <f t="shared" ca="1" si="69"/>
        <v>151.12875</v>
      </c>
      <c r="W90" s="362">
        <f t="shared" ca="1" si="70"/>
        <v>191.18636363636367</v>
      </c>
      <c r="X90" s="362">
        <f t="shared" ca="1" si="71"/>
        <v>130.33111111111111</v>
      </c>
      <c r="Y90" s="362">
        <f t="shared" ca="1" si="72"/>
        <v>184.40705882352941</v>
      </c>
      <c r="Z90" s="362">
        <f t="shared" ca="1" si="73"/>
        <v>145.32666666666668</v>
      </c>
      <c r="AA90" s="362">
        <f t="shared" ca="1" si="74"/>
        <v>319.88299999999998</v>
      </c>
      <c r="AB90" s="362">
        <f t="shared" ca="1" si="75"/>
        <v>277.01499999999999</v>
      </c>
      <c r="AC90" s="362" t="str">
        <f t="shared" si="76"/>
        <v/>
      </c>
      <c r="AD90" s="362" t="str">
        <f t="shared" si="77"/>
        <v/>
      </c>
      <c r="AE90" s="362" t="str">
        <f t="shared" si="78"/>
        <v/>
      </c>
      <c r="AF90" s="362" t="str">
        <f t="shared" si="79"/>
        <v/>
      </c>
      <c r="AG90" s="362" t="str">
        <f t="shared" si="80"/>
        <v/>
      </c>
      <c r="AH90" s="363" cm="1">
        <f t="array" aca="1" ref="AH90" ca="1">IF(OR($A90="",T90=""),"",IFERROR(LOOKUP(2,1/(U90:AG90&lt;&gt;""),U90:AG90)-T90,""))</f>
        <v>91.618887147335442</v>
      </c>
      <c r="AI90" s="349"/>
      <c r="AJ90" s="349" cm="1">
        <f t="array" ref="AJ90">IF($A90="","",IFERROR(MATCH($A90,TRIM('Sales and count'!$A$4:$A$300&amp;""),0),""))</f>
        <v>53</v>
      </c>
      <c r="AK90" s="350" cm="1">
        <f t="array" ref="AK90">IF(OR($A90="",AK$6=""),"",IFERROR(INDEX(Footfall!$C$5:$BZ$301,MATCH($A90,TRIM(Footfall!$B$5:$B$301&amp;""),0),AK$5),0))</f>
        <v>2452</v>
      </c>
      <c r="AL90" s="350" cm="1">
        <f t="array" ref="AL90">IF(OR($A90="",AL$6=""),"",IFERROR(INDEX(Footfall!$C$5:$BZ$301,MATCH($A90,TRIM(Footfall!$B$5:$B$301&amp;""),0),AL$5),0))</f>
        <v>104</v>
      </c>
      <c r="AM90" s="350" cm="1">
        <f t="array" ref="AM90">IF(OR($A90="",AM$6=""),"",IFERROR(INDEX(Footfall!$C$5:$BZ$301,MATCH($A90,TRIM(Footfall!$B$5:$B$301&amp;""),0),AM$5),0))</f>
        <v>79</v>
      </c>
      <c r="AN90" s="350" cm="1">
        <f t="array" ref="AN90">IF(OR($A90="",AN$6=""),"",IFERROR(INDEX(Footfall!$C$5:$BZ$301,MATCH($A90,TRIM(Footfall!$B$5:$B$301&amp;""),0),AN$5),0))</f>
        <v>83</v>
      </c>
      <c r="AO90" s="350" cm="1">
        <f t="array" ref="AO90">IF(OR($A90="",AO$6=""),"",IFERROR(INDEX(Footfall!$C$5:$BZ$301,MATCH($A90,TRIM(Footfall!$B$5:$B$301&amp;""),0),AO$5),0))</f>
        <v>174</v>
      </c>
      <c r="AP90" s="350" cm="1">
        <f t="array" ref="AP90">IF(OR($A90="",AP$6=""),"",IFERROR(INDEX(Footfall!$C$5:$BZ$301,MATCH($A90,TRIM(Footfall!$B$5:$B$301&amp;""),0),AP$5),0))</f>
        <v>170</v>
      </c>
      <c r="AQ90" s="350" cm="1">
        <f t="array" ref="AQ90">IF(OR($A90="",AQ$6=""),"",IFERROR(INDEX(Footfall!$C$5:$BZ$301,MATCH($A90,TRIM(Footfall!$B$5:$B$301&amp;""),0),AQ$5),0))</f>
        <v>63</v>
      </c>
      <c r="AR90" s="350" cm="1">
        <f t="array" ref="AR90">IF(OR($A90="",AR$6=""),"",IFERROR(INDEX(Footfall!$C$5:$BZ$301,MATCH($A90,TRIM(Footfall!$B$5:$B$301&amp;""),0),AR$5),0))</f>
        <v>107</v>
      </c>
      <c r="AS90" s="350" cm="1">
        <f t="array" ref="AS90">IF(OR($A90="",AS$6=""),"",IFERROR(INDEX(Footfall!$C$5:$BZ$301,MATCH($A90,TRIM(Footfall!$B$5:$B$301&amp;""),0),AS$5),0))</f>
        <v>100</v>
      </c>
      <c r="AT90" s="350" t="str" cm="1">
        <f t="array" ref="AT90">IF(OR($A90="",AT$6=""),"",IFERROR(INDEX(Footfall!$C$5:$BZ$301,MATCH($A90,TRIM(Footfall!$B$5:$B$301&amp;""),0),AT$5),0))</f>
        <v/>
      </c>
      <c r="AU90" s="350" t="str" cm="1">
        <f t="array" ref="AU90">IF(OR($A90="",AU$6=""),"",IFERROR(INDEX(Footfall!$C$5:$BZ$301,MATCH($A90,TRIM(Footfall!$B$5:$B$301&amp;""),0),AU$5),0))</f>
        <v/>
      </c>
      <c r="AV90" s="350" t="str" cm="1">
        <f t="array" ref="AV90">IF(OR($A90="",AV$6=""),"",IFERROR(INDEX(Footfall!$C$5:$BZ$301,MATCH($A90,TRIM(Footfall!$B$5:$B$301&amp;""),0),AV$5),0))</f>
        <v/>
      </c>
      <c r="AW90" s="350" t="str" cm="1">
        <f t="array" ref="AW90">IF(OR($A90="",AW$6=""),"",IFERROR(INDEX(Footfall!$C$5:$BZ$301,MATCH($A90,TRIM(Footfall!$B$5:$B$301&amp;""),0),AW$5),0))</f>
        <v/>
      </c>
      <c r="AX90" s="350" t="str" cm="1">
        <f t="array" ref="AX90">IF(OR($A90="",AX$6=""),"",IFERROR(INDEX(Footfall!$C$5:$BZ$301,MATCH($A90,TRIM(Footfall!$B$5:$B$301&amp;""),0),AX$5),0))</f>
        <v/>
      </c>
      <c r="AY90" s="350" cm="1">
        <f t="array" aca="1" ref="AY90" ca="1">IF(AK90="","",IF($AJ90="",0,_xlfn.LET(_xlpm.d,IFERROR(--'Sales and count'!$F$2:$CB$2,0),SUMPRODUCT(('Sales and count'!$G$3:$CC$3="Transactions")*(_xlpm.d&gt;=AY$6)*(_xlpm.d&lt;=AY$7),INDEX('Sales and count'!$G$4:$CC$300,$AJ90,0)))))</f>
        <v>319</v>
      </c>
      <c r="AZ90" s="350" cm="1">
        <f t="array" aca="1" ref="AZ90" ca="1">IF(AL90="","",IF($AJ90="",0,_xlfn.LET(_xlpm.d,IFERROR(--'Sales and count'!$F$2:$CB$2,0),SUMPRODUCT(('Sales and count'!$G$3:$CC$3="Transactions")*(_xlpm.d&gt;=AZ$6)*(_xlpm.d&lt;=AZ$7),INDEX('Sales and count'!$G$4:$CC$300,$AJ90,0)))))</f>
        <v>10</v>
      </c>
      <c r="BA90" s="350" cm="1">
        <f t="array" aca="1" ref="BA90" ca="1">IF(AM90="","",IF($AJ90="",0,_xlfn.LET(_xlpm.d,IFERROR(--'Sales and count'!$F$2:$CB$2,0),SUMPRODUCT(('Sales and count'!$G$3:$CC$3="Transactions")*(_xlpm.d&gt;=BA$6)*(_xlpm.d&lt;=BA$7),INDEX('Sales and count'!$G$4:$CC$300,$AJ90,0)))))</f>
        <v>8</v>
      </c>
      <c r="BB90" s="350" cm="1">
        <f t="array" aca="1" ref="BB90" ca="1">IF(AN90="","",IF($AJ90="",0,_xlfn.LET(_xlpm.d,IFERROR(--'Sales and count'!$F$2:$CB$2,0),SUMPRODUCT(('Sales and count'!$G$3:$CC$3="Transactions")*(_xlpm.d&gt;=BB$6)*(_xlpm.d&lt;=BB$7),INDEX('Sales and count'!$G$4:$CC$300,$AJ90,0)))))</f>
        <v>11</v>
      </c>
      <c r="BC90" s="350" cm="1">
        <f t="array" aca="1" ref="BC90" ca="1">IF(AO90="","",IF($AJ90="",0,_xlfn.LET(_xlpm.d,IFERROR(--'Sales and count'!$F$2:$CB$2,0),SUMPRODUCT(('Sales and count'!$G$3:$CC$3="Transactions")*(_xlpm.d&gt;=BC$6)*(_xlpm.d&lt;=BC$7),INDEX('Sales and count'!$G$4:$CC$300,$AJ90,0)))))</f>
        <v>9</v>
      </c>
      <c r="BD90" s="350" cm="1">
        <f t="array" aca="1" ref="BD90" ca="1">IF(AP90="","",IF($AJ90="",0,_xlfn.LET(_xlpm.d,IFERROR(--'Sales and count'!$F$2:$CB$2,0),SUMPRODUCT(('Sales and count'!$G$3:$CC$3="Transactions")*(_xlpm.d&gt;=BD$6)*(_xlpm.d&lt;=BD$7),INDEX('Sales and count'!$G$4:$CC$300,$AJ90,0)))))</f>
        <v>17</v>
      </c>
      <c r="BE90" s="350" cm="1">
        <f t="array" aca="1" ref="BE90" ca="1">IF(AQ90="","",IF($AJ90="",0,_xlfn.LET(_xlpm.d,IFERROR(--'Sales and count'!$F$2:$CB$2,0),SUMPRODUCT(('Sales and count'!$G$3:$CC$3="Transactions")*(_xlpm.d&gt;=BE$6)*(_xlpm.d&lt;=BE$7),INDEX('Sales and count'!$G$4:$CC$300,$AJ90,0)))))</f>
        <v>3</v>
      </c>
      <c r="BF90" s="350" cm="1">
        <f t="array" aca="1" ref="BF90" ca="1">IF(AR90="","",IF($AJ90="",0,_xlfn.LET(_xlpm.d,IFERROR(--'Sales and count'!$F$2:$CB$2,0),SUMPRODUCT(('Sales and count'!$G$3:$CC$3="Transactions")*(_xlpm.d&gt;=BF$6)*(_xlpm.d&lt;=BF$7),INDEX('Sales and count'!$G$4:$CC$300,$AJ90,0)))))</f>
        <v>10</v>
      </c>
      <c r="BG90" s="350" cm="1">
        <f t="array" aca="1" ref="BG90" ca="1">IF(AS90="","",IF($AJ90="",0,_xlfn.LET(_xlpm.d,IFERROR(--'Sales and count'!$F$2:$CB$2,0),SUMPRODUCT(('Sales and count'!$G$3:$CC$3="Transactions")*(_xlpm.d&gt;=BG$6)*(_xlpm.d&lt;=BG$7),INDEX('Sales and count'!$G$4:$CC$300,$AJ90,0)))))</f>
        <v>8</v>
      </c>
      <c r="BH90" s="350" t="str" cm="1">
        <f t="array" ref="BH90">IF(AT90="","",IF($AJ90="",0,_xlfn.LET(_xlpm.d,IFERROR(--'Sales and count'!$F$2:$CB$2,0),SUMPRODUCT(('Sales and count'!$G$3:$CC$3="Transactions")*(_xlpm.d&gt;=BH$6)*(_xlpm.d&lt;=BH$7),INDEX('Sales and count'!$G$4:$CC$300,$AJ90,0)))))</f>
        <v/>
      </c>
      <c r="BI90" s="350" t="str" cm="1">
        <f t="array" ref="BI90">IF(AU90="","",IF($AJ90="",0,_xlfn.LET(_xlpm.d,IFERROR(--'Sales and count'!$F$2:$CB$2,0),SUMPRODUCT(('Sales and count'!$G$3:$CC$3="Transactions")*(_xlpm.d&gt;=BI$6)*(_xlpm.d&lt;=BI$7),INDEX('Sales and count'!$G$4:$CC$300,$AJ90,0)))))</f>
        <v/>
      </c>
      <c r="BJ90" s="350" t="str" cm="1">
        <f t="array" ref="BJ90">IF(AV90="","",IF($AJ90="",0,_xlfn.LET(_xlpm.d,IFERROR(--'Sales and count'!$F$2:$CB$2,0),SUMPRODUCT(('Sales and count'!$G$3:$CC$3="Transactions")*(_xlpm.d&gt;=BJ$6)*(_xlpm.d&lt;=BJ$7),INDEX('Sales and count'!$G$4:$CC$300,$AJ90,0)))))</f>
        <v/>
      </c>
      <c r="BK90" s="350" t="str" cm="1">
        <f t="array" ref="BK90">IF(AW90="","",IF($AJ90="",0,_xlfn.LET(_xlpm.d,IFERROR(--'Sales and count'!$F$2:$CB$2,0),SUMPRODUCT(('Sales and count'!$G$3:$CC$3="Transactions")*(_xlpm.d&gt;=BK$6)*(_xlpm.d&lt;=BK$7),INDEX('Sales and count'!$G$4:$CC$300,$AJ90,0)))))</f>
        <v/>
      </c>
      <c r="BL90" s="350" t="str" cm="1">
        <f t="array" ref="BL90">IF(AX90="","",IF($AJ90="",0,_xlfn.LET(_xlpm.d,IFERROR(--'Sales and count'!$F$2:$CB$2,0),SUMPRODUCT(('Sales and count'!$G$3:$CC$3="Transactions")*(_xlpm.d&gt;=BL$6)*(_xlpm.d&lt;=BL$7),INDEX('Sales and count'!$G$4:$CC$300,$AJ90,0)))))</f>
        <v/>
      </c>
      <c r="BM90" s="350" cm="1">
        <f t="array" ref="BM90">IF(AK90="","",IF($AJ90="",0,_xlfn.LET(_xlpm.d,IFERROR(--'Sales and count'!$G$2:$CC$2,0),SUMPRODUCT(('Sales and count'!$G$3:$CC$3="Total")*(_xlpm.d&gt;=BM$6)*(_xlpm.d&lt;=BM$7),INDEX('Sales and count'!$G$4:$CC$300,$AJ90,0)))))</f>
        <v>59141.359999999993</v>
      </c>
      <c r="BN90" s="350" cm="1">
        <f t="array" ref="BN90">IF(AL90="","",IF($AJ90="",0,_xlfn.LET(_xlpm.d,IFERROR(--'Sales and count'!$G$2:$CC$2,0),SUMPRODUCT(('Sales and count'!$G$3:$CC$3="Total")*(_xlpm.d&gt;=BN$6)*(_xlpm.d&lt;=BN$7),INDEX('Sales and count'!$G$4:$CC$300,$AJ90,0)))))</f>
        <v>1680.03</v>
      </c>
      <c r="BO90" s="350" cm="1">
        <f t="array" ref="BO90">IF(AM90="","",IF($AJ90="",0,_xlfn.LET(_xlpm.d,IFERROR(--'Sales and count'!$G$2:$CC$2,0),SUMPRODUCT(('Sales and count'!$G$3:$CC$3="Total")*(_xlpm.d&gt;=BO$6)*(_xlpm.d&lt;=BO$7),INDEX('Sales and count'!$G$4:$CC$300,$AJ90,0)))))</f>
        <v>1209.03</v>
      </c>
      <c r="BP90" s="350" cm="1">
        <f t="array" ref="BP90">IF(AN90="","",IF($AJ90="",0,_xlfn.LET(_xlpm.d,IFERROR(--'Sales and count'!$G$2:$CC$2,0),SUMPRODUCT(('Sales and count'!$G$3:$CC$3="Total")*(_xlpm.d&gt;=BP$6)*(_xlpm.d&lt;=BP$7),INDEX('Sales and count'!$G$4:$CC$300,$AJ90,0)))))</f>
        <v>2103.0500000000002</v>
      </c>
      <c r="BQ90" s="350" cm="1">
        <f t="array" ref="BQ90">IF(AO90="","",IF($AJ90="",0,_xlfn.LET(_xlpm.d,IFERROR(--'Sales and count'!$G$2:$CC$2,0),SUMPRODUCT(('Sales and count'!$G$3:$CC$3="Total")*(_xlpm.d&gt;=BQ$6)*(_xlpm.d&lt;=BQ$7),INDEX('Sales and count'!$G$4:$CC$300,$AJ90,0)))))</f>
        <v>1172.98</v>
      </c>
      <c r="BR90" s="350" cm="1">
        <f t="array" ref="BR90">IF(AP90="","",IF($AJ90="",0,_xlfn.LET(_xlpm.d,IFERROR(--'Sales and count'!$G$2:$CC$2,0),SUMPRODUCT(('Sales and count'!$G$3:$CC$3="Total")*(_xlpm.d&gt;=BR$6)*(_xlpm.d&lt;=BR$7),INDEX('Sales and count'!$G$4:$CC$300,$AJ90,0)))))</f>
        <v>3134.92</v>
      </c>
      <c r="BS90" s="350" cm="1">
        <f t="array" ref="BS90">IF(AQ90="","",IF($AJ90="",0,_xlfn.LET(_xlpm.d,IFERROR(--'Sales and count'!$G$2:$CC$2,0),SUMPRODUCT(('Sales and count'!$G$3:$CC$3="Total")*(_xlpm.d&gt;=BS$6)*(_xlpm.d&lt;=BS$7),INDEX('Sales and count'!$G$4:$CC$300,$AJ90,0)))))</f>
        <v>435.98</v>
      </c>
      <c r="BT90" s="350" cm="1">
        <f t="array" ref="BT90">IF(AR90="","",IF($AJ90="",0,_xlfn.LET(_xlpm.d,IFERROR(--'Sales and count'!$G$2:$CC$2,0),SUMPRODUCT(('Sales and count'!$G$3:$CC$3="Total")*(_xlpm.d&gt;=BT$6)*(_xlpm.d&lt;=BT$7),INDEX('Sales and count'!$G$4:$CC$300,$AJ90,0)))))</f>
        <v>3198.83</v>
      </c>
      <c r="BU90" s="350" cm="1">
        <f t="array" ref="BU90">IF(AS90="","",IF($AJ90="",0,_xlfn.LET(_xlpm.d,IFERROR(--'Sales and count'!$G$2:$CC$2,0),SUMPRODUCT(('Sales and count'!$G$3:$CC$3="Total")*(_xlpm.d&gt;=BU$6)*(_xlpm.d&lt;=BU$7),INDEX('Sales and count'!$G$4:$CC$300,$AJ90,0)))))</f>
        <v>2216.12</v>
      </c>
      <c r="BV90" s="350" t="str" cm="1">
        <f t="array" ref="BV90">IF(AT90="","",IF($AJ90="",0,_xlfn.LET(_xlpm.d,IFERROR(--'Sales and count'!$G$2:$CC$2,0),SUMPRODUCT(('Sales and count'!$G$3:$CC$3="Total")*(_xlpm.d&gt;=BV$6)*(_xlpm.d&lt;=BV$7),INDEX('Sales and count'!$G$4:$CC$300,$AJ90,0)))))</f>
        <v/>
      </c>
      <c r="BW90" s="350" t="str" cm="1">
        <f t="array" ref="BW90">IF(AU90="","",IF($AJ90="",0,_xlfn.LET(_xlpm.d,IFERROR(--'Sales and count'!$G$2:$CC$2,0),SUMPRODUCT(('Sales and count'!$G$3:$CC$3="Total")*(_xlpm.d&gt;=BW$6)*(_xlpm.d&lt;=BW$7),INDEX('Sales and count'!$G$4:$CC$300,$AJ90,0)))))</f>
        <v/>
      </c>
      <c r="BX90" s="350" t="str" cm="1">
        <f t="array" ref="BX90">IF(AV90="","",IF($AJ90="",0,_xlfn.LET(_xlpm.d,IFERROR(--'Sales and count'!$G$2:$CC$2,0),SUMPRODUCT(('Sales and count'!$G$3:$CC$3="Total")*(_xlpm.d&gt;=BX$6)*(_xlpm.d&lt;=BX$7),INDEX('Sales and count'!$G$4:$CC$300,$AJ90,0)))))</f>
        <v/>
      </c>
      <c r="BY90" s="350" t="str" cm="1">
        <f t="array" ref="BY90">IF(AW90="","",IF($AJ90="",0,_xlfn.LET(_xlpm.d,IFERROR(--'Sales and count'!$G$2:$CC$2,0),SUMPRODUCT(('Sales and count'!$G$3:$CC$3="Total")*(_xlpm.d&gt;=BY$6)*(_xlpm.d&lt;=BY$7),INDEX('Sales and count'!$G$4:$CC$300,$AJ90,0)))))</f>
        <v/>
      </c>
      <c r="BZ90" s="350" t="str" cm="1">
        <f t="array" ref="BZ90">IF(AX90="","",IF($AJ90="",0,_xlfn.LET(_xlpm.d,IFERROR(--'Sales and count'!$G$2:$CC$2,0),SUMPRODUCT(('Sales and count'!$G$3:$CC$3="Total")*(_xlpm.d&gt;=BZ$6)*(_xlpm.d&lt;=BZ$7),INDEX('Sales and count'!$G$4:$CC$300,$AJ90,0)))))</f>
        <v/>
      </c>
    </row>
    <row r="91" spans="1:78" x14ac:dyDescent="0.25">
      <c r="A91" s="356" t="str">
        <v>KFAHADRD</v>
      </c>
      <c r="B91" s="356" t="str" cm="1">
        <f t="array" ref="B91">IF($A91="","",_xlfn.XLOOKUP($A91,TRIM(Footfall!$B$5:$B$301&amp;""),Footfall!$A$5:$A$301,""))</f>
        <v>Ajlan plaza</v>
      </c>
      <c r="C91" s="356" t="str" cm="1">
        <f t="array" ref="C91">IF($A91="","",_xlfn.XLOOKUP($A91,TRIM('Sales and count'!$A$4:$A$300&amp;""),'Sales and count'!$C$4:$C$300,"Not set"))</f>
        <v>Riyadh</v>
      </c>
      <c r="D91" s="357">
        <f t="shared" ca="1" si="53"/>
        <v>0.4577634754625905</v>
      </c>
      <c r="E91" s="357">
        <f t="shared" ca="1" si="54"/>
        <v>0.26436781609195403</v>
      </c>
      <c r="F91" s="357">
        <f t="shared" ca="1" si="55"/>
        <v>0.45569620253164556</v>
      </c>
      <c r="G91" s="357">
        <f t="shared" ca="1" si="56"/>
        <v>0.45882352941176469</v>
      </c>
      <c r="H91" s="357">
        <f t="shared" ca="1" si="57"/>
        <v>0.36283185840707965</v>
      </c>
      <c r="I91" s="357">
        <f t="shared" ca="1" si="58"/>
        <v>0.37815126050420167</v>
      </c>
      <c r="J91" s="357">
        <f t="shared" ca="1" si="59"/>
        <v>0.45</v>
      </c>
      <c r="K91" s="357">
        <f t="shared" ca="1" si="60"/>
        <v>0.37234042553191488</v>
      </c>
      <c r="L91" s="357">
        <f t="shared" ca="1" si="61"/>
        <v>0.47474747474747475</v>
      </c>
      <c r="M91" s="357" t="str">
        <f t="shared" si="62"/>
        <v/>
      </c>
      <c r="N91" s="357" t="str">
        <f t="shared" si="63"/>
        <v/>
      </c>
      <c r="O91" s="357" t="str">
        <f t="shared" si="64"/>
        <v/>
      </c>
      <c r="P91" s="357" t="str">
        <f t="shared" si="65"/>
        <v/>
      </c>
      <c r="Q91" s="357" t="str">
        <f t="shared" si="66"/>
        <v/>
      </c>
      <c r="R91" s="358" cm="1">
        <f t="array" aca="1" ref="R91" ca="1">IF(OR($A91="",D91=""),"",IFERROR(LOOKUP(2,1/(E91:Q91&lt;&gt;""),E91:Q91)-D91,""))</f>
        <v>1.6983999284884255E-2</v>
      </c>
      <c r="S91" s="349"/>
      <c r="T91" s="362">
        <f t="shared" ca="1" si="67"/>
        <v>176.61387521968365</v>
      </c>
      <c r="U91" s="362">
        <f t="shared" ca="1" si="68"/>
        <v>252.61391304347825</v>
      </c>
      <c r="V91" s="362">
        <f t="shared" ca="1" si="69"/>
        <v>183.30777777777777</v>
      </c>
      <c r="W91" s="362">
        <f t="shared" ca="1" si="70"/>
        <v>159.90128205128204</v>
      </c>
      <c r="X91" s="362">
        <f t="shared" ca="1" si="71"/>
        <v>199.30243902439022</v>
      </c>
      <c r="Y91" s="362">
        <f t="shared" ca="1" si="72"/>
        <v>215.96711111111111</v>
      </c>
      <c r="Z91" s="362">
        <f t="shared" ca="1" si="73"/>
        <v>187.10074074074075</v>
      </c>
      <c r="AA91" s="362">
        <f t="shared" ca="1" si="74"/>
        <v>176.01999999999998</v>
      </c>
      <c r="AB91" s="362">
        <f t="shared" ca="1" si="75"/>
        <v>323.7846808510638</v>
      </c>
      <c r="AC91" s="362" t="str">
        <f t="shared" si="76"/>
        <v/>
      </c>
      <c r="AD91" s="362" t="str">
        <f t="shared" si="77"/>
        <v/>
      </c>
      <c r="AE91" s="362" t="str">
        <f t="shared" si="78"/>
        <v/>
      </c>
      <c r="AF91" s="362" t="str">
        <f t="shared" si="79"/>
        <v/>
      </c>
      <c r="AG91" s="362" t="str">
        <f t="shared" si="80"/>
        <v/>
      </c>
      <c r="AH91" s="363" cm="1">
        <f t="array" aca="1" ref="AH91" ca="1">IF(OR($A91="",T91=""),"",IFERROR(LOOKUP(2,1/(U91:AG91&lt;&gt;""),U91:AG91)-T91,""))</f>
        <v>147.17080563138015</v>
      </c>
      <c r="AI91" s="349"/>
      <c r="AJ91" s="349" cm="1">
        <f t="array" ref="AJ91">IF($A91="","",IFERROR(MATCH($A91,TRIM('Sales and count'!$A$4:$A$300&amp;""),0),""))</f>
        <v>55</v>
      </c>
      <c r="AK91" s="350" cm="1">
        <f t="array" ref="AK91">IF(OR($A91="",AK$6=""),"",IFERROR(INDEX(Footfall!$C$5:$BZ$301,MATCH($A91,TRIM(Footfall!$B$5:$B$301&amp;""),0),AK$5),0))</f>
        <v>2486</v>
      </c>
      <c r="AL91" s="350" cm="1">
        <f t="array" ref="AL91">IF(OR($A91="",AL$6=""),"",IFERROR(INDEX(Footfall!$C$5:$BZ$301,MATCH($A91,TRIM(Footfall!$B$5:$B$301&amp;""),0),AL$5),0))</f>
        <v>87</v>
      </c>
      <c r="AM91" s="350" cm="1">
        <f t="array" ref="AM91">IF(OR($A91="",AM$6=""),"",IFERROR(INDEX(Footfall!$C$5:$BZ$301,MATCH($A91,TRIM(Footfall!$B$5:$B$301&amp;""),0),AM$5),0))</f>
        <v>79</v>
      </c>
      <c r="AN91" s="350" cm="1">
        <f t="array" ref="AN91">IF(OR($A91="",AN$6=""),"",IFERROR(INDEX(Footfall!$C$5:$BZ$301,MATCH($A91,TRIM(Footfall!$B$5:$B$301&amp;""),0),AN$5),0))</f>
        <v>85</v>
      </c>
      <c r="AO91" s="350" cm="1">
        <f t="array" ref="AO91">IF(OR($A91="",AO$6=""),"",IFERROR(INDEX(Footfall!$C$5:$BZ$301,MATCH($A91,TRIM(Footfall!$B$5:$B$301&amp;""),0),AO$5),0))</f>
        <v>113</v>
      </c>
      <c r="AP91" s="350" cm="1">
        <f t="array" ref="AP91">IF(OR($A91="",AP$6=""),"",IFERROR(INDEX(Footfall!$C$5:$BZ$301,MATCH($A91,TRIM(Footfall!$B$5:$B$301&amp;""),0),AP$5),0))</f>
        <v>119</v>
      </c>
      <c r="AQ91" s="350" cm="1">
        <f t="array" ref="AQ91">IF(OR($A91="",AQ$6=""),"",IFERROR(INDEX(Footfall!$C$5:$BZ$301,MATCH($A91,TRIM(Footfall!$B$5:$B$301&amp;""),0),AQ$5),0))</f>
        <v>120</v>
      </c>
      <c r="AR91" s="350" cm="1">
        <f t="array" ref="AR91">IF(OR($A91="",AR$6=""),"",IFERROR(INDEX(Footfall!$C$5:$BZ$301,MATCH($A91,TRIM(Footfall!$B$5:$B$301&amp;""),0),AR$5),0))</f>
        <v>94</v>
      </c>
      <c r="AS91" s="350" cm="1">
        <f t="array" ref="AS91">IF(OR($A91="",AS$6=""),"",IFERROR(INDEX(Footfall!$C$5:$BZ$301,MATCH($A91,TRIM(Footfall!$B$5:$B$301&amp;""),0),AS$5),0))</f>
        <v>99</v>
      </c>
      <c r="AT91" s="350" t="str" cm="1">
        <f t="array" ref="AT91">IF(OR($A91="",AT$6=""),"",IFERROR(INDEX(Footfall!$C$5:$BZ$301,MATCH($A91,TRIM(Footfall!$B$5:$B$301&amp;""),0),AT$5),0))</f>
        <v/>
      </c>
      <c r="AU91" s="350" t="str" cm="1">
        <f t="array" ref="AU91">IF(OR($A91="",AU$6=""),"",IFERROR(INDEX(Footfall!$C$5:$BZ$301,MATCH($A91,TRIM(Footfall!$B$5:$B$301&amp;""),0),AU$5),0))</f>
        <v/>
      </c>
      <c r="AV91" s="350" t="str" cm="1">
        <f t="array" ref="AV91">IF(OR($A91="",AV$6=""),"",IFERROR(INDEX(Footfall!$C$5:$BZ$301,MATCH($A91,TRIM(Footfall!$B$5:$B$301&amp;""),0),AV$5),0))</f>
        <v/>
      </c>
      <c r="AW91" s="350" t="str" cm="1">
        <f t="array" ref="AW91">IF(OR($A91="",AW$6=""),"",IFERROR(INDEX(Footfall!$C$5:$BZ$301,MATCH($A91,TRIM(Footfall!$B$5:$B$301&amp;""),0),AW$5),0))</f>
        <v/>
      </c>
      <c r="AX91" s="350" t="str" cm="1">
        <f t="array" ref="AX91">IF(OR($A91="",AX$6=""),"",IFERROR(INDEX(Footfall!$C$5:$BZ$301,MATCH($A91,TRIM(Footfall!$B$5:$B$301&amp;""),0),AX$5),0))</f>
        <v/>
      </c>
      <c r="AY91" s="350" cm="1">
        <f t="array" aca="1" ref="AY91" ca="1">IF(AK91="","",IF($AJ91="",0,_xlfn.LET(_xlpm.d,IFERROR(--'Sales and count'!$F$2:$CB$2,0),SUMPRODUCT(('Sales and count'!$G$3:$CC$3="Transactions")*(_xlpm.d&gt;=AY$6)*(_xlpm.d&lt;=AY$7),INDEX('Sales and count'!$G$4:$CC$300,$AJ91,0)))))</f>
        <v>1138</v>
      </c>
      <c r="AZ91" s="350" cm="1">
        <f t="array" aca="1" ref="AZ91" ca="1">IF(AL91="","",IF($AJ91="",0,_xlfn.LET(_xlpm.d,IFERROR(--'Sales and count'!$F$2:$CB$2,0),SUMPRODUCT(('Sales and count'!$G$3:$CC$3="Transactions")*(_xlpm.d&gt;=AZ$6)*(_xlpm.d&lt;=AZ$7),INDEX('Sales and count'!$G$4:$CC$300,$AJ91,0)))))</f>
        <v>23</v>
      </c>
      <c r="BA91" s="350" cm="1">
        <f t="array" aca="1" ref="BA91" ca="1">IF(AM91="","",IF($AJ91="",0,_xlfn.LET(_xlpm.d,IFERROR(--'Sales and count'!$F$2:$CB$2,0),SUMPRODUCT(('Sales and count'!$G$3:$CC$3="Transactions")*(_xlpm.d&gt;=BA$6)*(_xlpm.d&lt;=BA$7),INDEX('Sales and count'!$G$4:$CC$300,$AJ91,0)))))</f>
        <v>36</v>
      </c>
      <c r="BB91" s="350" cm="1">
        <f t="array" aca="1" ref="BB91" ca="1">IF(AN91="","",IF($AJ91="",0,_xlfn.LET(_xlpm.d,IFERROR(--'Sales and count'!$F$2:$CB$2,0),SUMPRODUCT(('Sales and count'!$G$3:$CC$3="Transactions")*(_xlpm.d&gt;=BB$6)*(_xlpm.d&lt;=BB$7),INDEX('Sales and count'!$G$4:$CC$300,$AJ91,0)))))</f>
        <v>39</v>
      </c>
      <c r="BC91" s="350" cm="1">
        <f t="array" aca="1" ref="BC91" ca="1">IF(AO91="","",IF($AJ91="",0,_xlfn.LET(_xlpm.d,IFERROR(--'Sales and count'!$F$2:$CB$2,0),SUMPRODUCT(('Sales and count'!$G$3:$CC$3="Transactions")*(_xlpm.d&gt;=BC$6)*(_xlpm.d&lt;=BC$7),INDEX('Sales and count'!$G$4:$CC$300,$AJ91,0)))))</f>
        <v>41</v>
      </c>
      <c r="BD91" s="350" cm="1">
        <f t="array" aca="1" ref="BD91" ca="1">IF(AP91="","",IF($AJ91="",0,_xlfn.LET(_xlpm.d,IFERROR(--'Sales and count'!$F$2:$CB$2,0),SUMPRODUCT(('Sales and count'!$G$3:$CC$3="Transactions")*(_xlpm.d&gt;=BD$6)*(_xlpm.d&lt;=BD$7),INDEX('Sales and count'!$G$4:$CC$300,$AJ91,0)))))</f>
        <v>45</v>
      </c>
      <c r="BE91" s="350" cm="1">
        <f t="array" aca="1" ref="BE91" ca="1">IF(AQ91="","",IF($AJ91="",0,_xlfn.LET(_xlpm.d,IFERROR(--'Sales and count'!$F$2:$CB$2,0),SUMPRODUCT(('Sales and count'!$G$3:$CC$3="Transactions")*(_xlpm.d&gt;=BE$6)*(_xlpm.d&lt;=BE$7),INDEX('Sales and count'!$G$4:$CC$300,$AJ91,0)))))</f>
        <v>54</v>
      </c>
      <c r="BF91" s="350" cm="1">
        <f t="array" aca="1" ref="BF91" ca="1">IF(AR91="","",IF($AJ91="",0,_xlfn.LET(_xlpm.d,IFERROR(--'Sales and count'!$F$2:$CB$2,0),SUMPRODUCT(('Sales and count'!$G$3:$CC$3="Transactions")*(_xlpm.d&gt;=BF$6)*(_xlpm.d&lt;=BF$7),INDEX('Sales and count'!$G$4:$CC$300,$AJ91,0)))))</f>
        <v>35</v>
      </c>
      <c r="BG91" s="350" cm="1">
        <f t="array" aca="1" ref="BG91" ca="1">IF(AS91="","",IF($AJ91="",0,_xlfn.LET(_xlpm.d,IFERROR(--'Sales and count'!$F$2:$CB$2,0),SUMPRODUCT(('Sales and count'!$G$3:$CC$3="Transactions")*(_xlpm.d&gt;=BG$6)*(_xlpm.d&lt;=BG$7),INDEX('Sales and count'!$G$4:$CC$300,$AJ91,0)))))</f>
        <v>47</v>
      </c>
      <c r="BH91" s="350" t="str" cm="1">
        <f t="array" ref="BH91">IF(AT91="","",IF($AJ91="",0,_xlfn.LET(_xlpm.d,IFERROR(--'Sales and count'!$F$2:$CB$2,0),SUMPRODUCT(('Sales and count'!$G$3:$CC$3="Transactions")*(_xlpm.d&gt;=BH$6)*(_xlpm.d&lt;=BH$7),INDEX('Sales and count'!$G$4:$CC$300,$AJ91,0)))))</f>
        <v/>
      </c>
      <c r="BI91" s="350" t="str" cm="1">
        <f t="array" ref="BI91">IF(AU91="","",IF($AJ91="",0,_xlfn.LET(_xlpm.d,IFERROR(--'Sales and count'!$F$2:$CB$2,0),SUMPRODUCT(('Sales and count'!$G$3:$CC$3="Transactions")*(_xlpm.d&gt;=BI$6)*(_xlpm.d&lt;=BI$7),INDEX('Sales and count'!$G$4:$CC$300,$AJ91,0)))))</f>
        <v/>
      </c>
      <c r="BJ91" s="350" t="str" cm="1">
        <f t="array" ref="BJ91">IF(AV91="","",IF($AJ91="",0,_xlfn.LET(_xlpm.d,IFERROR(--'Sales and count'!$F$2:$CB$2,0),SUMPRODUCT(('Sales and count'!$G$3:$CC$3="Transactions")*(_xlpm.d&gt;=BJ$6)*(_xlpm.d&lt;=BJ$7),INDEX('Sales and count'!$G$4:$CC$300,$AJ91,0)))))</f>
        <v/>
      </c>
      <c r="BK91" s="350" t="str" cm="1">
        <f t="array" ref="BK91">IF(AW91="","",IF($AJ91="",0,_xlfn.LET(_xlpm.d,IFERROR(--'Sales and count'!$F$2:$CB$2,0),SUMPRODUCT(('Sales and count'!$G$3:$CC$3="Transactions")*(_xlpm.d&gt;=BK$6)*(_xlpm.d&lt;=BK$7),INDEX('Sales and count'!$G$4:$CC$300,$AJ91,0)))))</f>
        <v/>
      </c>
      <c r="BL91" s="350" t="str" cm="1">
        <f t="array" ref="BL91">IF(AX91="","",IF($AJ91="",0,_xlfn.LET(_xlpm.d,IFERROR(--'Sales and count'!$F$2:$CB$2,0),SUMPRODUCT(('Sales and count'!$G$3:$CC$3="Transactions")*(_xlpm.d&gt;=BL$6)*(_xlpm.d&lt;=BL$7),INDEX('Sales and count'!$G$4:$CC$300,$AJ91,0)))))</f>
        <v/>
      </c>
      <c r="BM91" s="350" cm="1">
        <f t="array" ref="BM91">IF(AK91="","",IF($AJ91="",0,_xlfn.LET(_xlpm.d,IFERROR(--'Sales and count'!$G$2:$CC$2,0),SUMPRODUCT(('Sales and count'!$G$3:$CC$3="Total")*(_xlpm.d&gt;=BM$6)*(_xlpm.d&lt;=BM$7),INDEX('Sales and count'!$G$4:$CC$300,$AJ91,0)))))</f>
        <v>200986.59</v>
      </c>
      <c r="BN91" s="350" cm="1">
        <f t="array" ref="BN91">IF(AL91="","",IF($AJ91="",0,_xlfn.LET(_xlpm.d,IFERROR(--'Sales and count'!$G$2:$CC$2,0),SUMPRODUCT(('Sales and count'!$G$3:$CC$3="Total")*(_xlpm.d&gt;=BN$6)*(_xlpm.d&lt;=BN$7),INDEX('Sales and count'!$G$4:$CC$300,$AJ91,0)))))</f>
        <v>5810.12</v>
      </c>
      <c r="BO91" s="350" cm="1">
        <f t="array" ref="BO91">IF(AM91="","",IF($AJ91="",0,_xlfn.LET(_xlpm.d,IFERROR(--'Sales and count'!$G$2:$CC$2,0),SUMPRODUCT(('Sales and count'!$G$3:$CC$3="Total")*(_xlpm.d&gt;=BO$6)*(_xlpm.d&lt;=BO$7),INDEX('Sales and count'!$G$4:$CC$300,$AJ91,0)))))</f>
        <v>6599.08</v>
      </c>
      <c r="BP91" s="350" cm="1">
        <f t="array" ref="BP91">IF(AN91="","",IF($AJ91="",0,_xlfn.LET(_xlpm.d,IFERROR(--'Sales and count'!$G$2:$CC$2,0),SUMPRODUCT(('Sales and count'!$G$3:$CC$3="Total")*(_xlpm.d&gt;=BP$6)*(_xlpm.d&lt;=BP$7),INDEX('Sales and count'!$G$4:$CC$300,$AJ91,0)))))</f>
        <v>6236.15</v>
      </c>
      <c r="BQ91" s="350" cm="1">
        <f t="array" ref="BQ91">IF(AO91="","",IF($AJ91="",0,_xlfn.LET(_xlpm.d,IFERROR(--'Sales and count'!$G$2:$CC$2,0),SUMPRODUCT(('Sales and count'!$G$3:$CC$3="Total")*(_xlpm.d&gt;=BQ$6)*(_xlpm.d&lt;=BQ$7),INDEX('Sales and count'!$G$4:$CC$300,$AJ91,0)))))</f>
        <v>8171.4</v>
      </c>
      <c r="BR91" s="350" cm="1">
        <f t="array" ref="BR91">IF(AP91="","",IF($AJ91="",0,_xlfn.LET(_xlpm.d,IFERROR(--'Sales and count'!$G$2:$CC$2,0),SUMPRODUCT(('Sales and count'!$G$3:$CC$3="Total")*(_xlpm.d&gt;=BR$6)*(_xlpm.d&lt;=BR$7),INDEX('Sales and count'!$G$4:$CC$300,$AJ91,0)))))</f>
        <v>9718.52</v>
      </c>
      <c r="BS91" s="350" cm="1">
        <f t="array" ref="BS91">IF(AQ91="","",IF($AJ91="",0,_xlfn.LET(_xlpm.d,IFERROR(--'Sales and count'!$G$2:$CC$2,0),SUMPRODUCT(('Sales and count'!$G$3:$CC$3="Total")*(_xlpm.d&gt;=BS$6)*(_xlpm.d&lt;=BS$7),INDEX('Sales and count'!$G$4:$CC$300,$AJ91,0)))))</f>
        <v>10103.44</v>
      </c>
      <c r="BT91" s="350" cm="1">
        <f t="array" ref="BT91">IF(AR91="","",IF($AJ91="",0,_xlfn.LET(_xlpm.d,IFERROR(--'Sales and count'!$G$2:$CC$2,0),SUMPRODUCT(('Sales and count'!$G$3:$CC$3="Total")*(_xlpm.d&gt;=BT$6)*(_xlpm.d&lt;=BT$7),INDEX('Sales and count'!$G$4:$CC$300,$AJ91,0)))))</f>
        <v>6160.7</v>
      </c>
      <c r="BU91" s="350" cm="1">
        <f t="array" ref="BU91">IF(AS91="","",IF($AJ91="",0,_xlfn.LET(_xlpm.d,IFERROR(--'Sales and count'!$G$2:$CC$2,0),SUMPRODUCT(('Sales and count'!$G$3:$CC$3="Total")*(_xlpm.d&gt;=BU$6)*(_xlpm.d&lt;=BU$7),INDEX('Sales and count'!$G$4:$CC$300,$AJ91,0)))))</f>
        <v>15217.88</v>
      </c>
      <c r="BV91" s="350" t="str" cm="1">
        <f t="array" ref="BV91">IF(AT91="","",IF($AJ91="",0,_xlfn.LET(_xlpm.d,IFERROR(--'Sales and count'!$G$2:$CC$2,0),SUMPRODUCT(('Sales and count'!$G$3:$CC$3="Total")*(_xlpm.d&gt;=BV$6)*(_xlpm.d&lt;=BV$7),INDEX('Sales and count'!$G$4:$CC$300,$AJ91,0)))))</f>
        <v/>
      </c>
      <c r="BW91" s="350" t="str" cm="1">
        <f t="array" ref="BW91">IF(AU91="","",IF($AJ91="",0,_xlfn.LET(_xlpm.d,IFERROR(--'Sales and count'!$G$2:$CC$2,0),SUMPRODUCT(('Sales and count'!$G$3:$CC$3="Total")*(_xlpm.d&gt;=BW$6)*(_xlpm.d&lt;=BW$7),INDEX('Sales and count'!$G$4:$CC$300,$AJ91,0)))))</f>
        <v/>
      </c>
      <c r="BX91" s="350" t="str" cm="1">
        <f t="array" ref="BX91">IF(AV91="","",IF($AJ91="",0,_xlfn.LET(_xlpm.d,IFERROR(--'Sales and count'!$G$2:$CC$2,0),SUMPRODUCT(('Sales and count'!$G$3:$CC$3="Total")*(_xlpm.d&gt;=BX$6)*(_xlpm.d&lt;=BX$7),INDEX('Sales and count'!$G$4:$CC$300,$AJ91,0)))))</f>
        <v/>
      </c>
      <c r="BY91" s="350" t="str" cm="1">
        <f t="array" ref="BY91">IF(AW91="","",IF($AJ91="",0,_xlfn.LET(_xlpm.d,IFERROR(--'Sales and count'!$G$2:$CC$2,0),SUMPRODUCT(('Sales and count'!$G$3:$CC$3="Total")*(_xlpm.d&gt;=BY$6)*(_xlpm.d&lt;=BY$7),INDEX('Sales and count'!$G$4:$CC$300,$AJ91,0)))))</f>
        <v/>
      </c>
      <c r="BZ91" s="350" t="str" cm="1">
        <f t="array" ref="BZ91">IF(AX91="","",IF($AJ91="",0,_xlfn.LET(_xlpm.d,IFERROR(--'Sales and count'!$G$2:$CC$2,0),SUMPRODUCT(('Sales and count'!$G$3:$CC$3="Total")*(_xlpm.d&gt;=BZ$6)*(_xlpm.d&lt;=BZ$7),INDEX('Sales and count'!$G$4:$CC$300,$AJ91,0)))))</f>
        <v/>
      </c>
    </row>
    <row r="92" spans="1:78" x14ac:dyDescent="0.25">
      <c r="A92" s="356" t="str">
        <v>HAMALQARYD</v>
      </c>
      <c r="B92" s="356" t="str" cm="1">
        <f t="array" ref="B92">IF($A92="","",_xlfn.XLOOKUP($A92,TRIM(Footfall!$B$5:$B$301&amp;""),Footfall!$A$5:$A$301,""))</f>
        <v>Al Malqa Riyadh</v>
      </c>
      <c r="C92" s="356" t="str" cm="1">
        <f t="array" ref="C92">IF($A92="","",_xlfn.XLOOKUP($A92,TRIM('Sales and count'!$A$4:$A$300&amp;""),'Sales and count'!$C$4:$C$300,"Not set"))</f>
        <v>Riyadh</v>
      </c>
      <c r="D92" s="357">
        <f t="shared" ca="1" si="53"/>
        <v>0.29248768472906406</v>
      </c>
      <c r="E92" s="357" t="str">
        <f t="shared" si="54"/>
        <v/>
      </c>
      <c r="F92" s="357">
        <f t="shared" ca="1" si="55"/>
        <v>0.30909090909090908</v>
      </c>
      <c r="G92" s="357">
        <f t="shared" ca="1" si="56"/>
        <v>0.33962264150943394</v>
      </c>
      <c r="H92" s="357" t="str">
        <f t="shared" si="57"/>
        <v/>
      </c>
      <c r="I92" s="357" t="str">
        <f t="shared" si="58"/>
        <v/>
      </c>
      <c r="J92" s="357">
        <f t="shared" ca="1" si="59"/>
        <v>0.38235294117647056</v>
      </c>
      <c r="K92" s="357" t="str">
        <f t="shared" si="60"/>
        <v/>
      </c>
      <c r="L92" s="357" t="str">
        <f t="shared" si="61"/>
        <v/>
      </c>
      <c r="M92" s="357" t="str">
        <f t="shared" si="62"/>
        <v/>
      </c>
      <c r="N92" s="357" t="str">
        <f t="shared" si="63"/>
        <v/>
      </c>
      <c r="O92" s="357" t="str">
        <f t="shared" si="64"/>
        <v/>
      </c>
      <c r="P92" s="357" t="str">
        <f t="shared" si="65"/>
        <v/>
      </c>
      <c r="Q92" s="357" t="str">
        <f t="shared" si="66"/>
        <v/>
      </c>
      <c r="R92" s="358" cm="1">
        <f t="array" aca="1" ref="R92" ca="1">IF(OR($A92="",D92=""),"",IFERROR(LOOKUP(2,1/(E92:Q92&lt;&gt;""),E92:Q92)-D92,""))</f>
        <v>8.9865256447406505E-2</v>
      </c>
      <c r="S92" s="349"/>
      <c r="T92" s="362">
        <f t="shared" ca="1" si="67"/>
        <v>190.36966315789476</v>
      </c>
      <c r="U92" s="362">
        <f t="shared" ca="1" si="68"/>
        <v>109.07692307692308</v>
      </c>
      <c r="V92" s="362">
        <f t="shared" ca="1" si="69"/>
        <v>149.35352941176473</v>
      </c>
      <c r="W92" s="362">
        <f t="shared" ca="1" si="70"/>
        <v>182.83666666666667</v>
      </c>
      <c r="X92" s="362">
        <f t="shared" ca="1" si="71"/>
        <v>192.71363636363637</v>
      </c>
      <c r="Y92" s="362">
        <f t="shared" ca="1" si="72"/>
        <v>185.5864</v>
      </c>
      <c r="Z92" s="362">
        <f t="shared" ca="1" si="73"/>
        <v>207.9880769230769</v>
      </c>
      <c r="AA92" s="362">
        <f t="shared" ca="1" si="74"/>
        <v>172.89190476190475</v>
      </c>
      <c r="AB92" s="362">
        <f t="shared" ca="1" si="75"/>
        <v>224.32681818181817</v>
      </c>
      <c r="AC92" s="362" t="str">
        <f t="shared" si="76"/>
        <v/>
      </c>
      <c r="AD92" s="362" t="str">
        <f t="shared" si="77"/>
        <v/>
      </c>
      <c r="AE92" s="362" t="str">
        <f t="shared" si="78"/>
        <v/>
      </c>
      <c r="AF92" s="362" t="str">
        <f t="shared" si="79"/>
        <v/>
      </c>
      <c r="AG92" s="362" t="str">
        <f t="shared" si="80"/>
        <v/>
      </c>
      <c r="AH92" s="363" cm="1">
        <f t="array" aca="1" ref="AH92" ca="1">IF(OR($A92="",T92=""),"",IFERROR(LOOKUP(2,1/(U92:AG92&lt;&gt;""),U92:AG92)-T92,""))</f>
        <v>33.957155023923406</v>
      </c>
      <c r="AI92" s="349"/>
      <c r="AJ92" s="349" cm="1">
        <f t="array" ref="AJ92">IF($A92="","",IFERROR(MATCH($A92,TRIM('Sales and count'!$A$4:$A$300&amp;""),0),""))</f>
        <v>21</v>
      </c>
      <c r="AK92" s="350" cm="1">
        <f t="array" ref="AK92">IF(OR($A92="",AK$6=""),"",IFERROR(INDEX(Footfall!$C$5:$BZ$301,MATCH($A92,TRIM(Footfall!$B$5:$B$301&amp;""),0),AK$5),0))</f>
        <v>1624</v>
      </c>
      <c r="AL92" s="350" cm="1">
        <f t="array" ref="AL92">IF(OR($A92="",AL$6=""),"",IFERROR(INDEX(Footfall!$C$5:$BZ$301,MATCH($A92,TRIM(Footfall!$B$5:$B$301&amp;""),0),AL$5),0))</f>
        <v>0</v>
      </c>
      <c r="AM92" s="350" cm="1">
        <f t="array" ref="AM92">IF(OR($A92="",AM$6=""),"",IFERROR(INDEX(Footfall!$C$5:$BZ$301,MATCH($A92,TRIM(Footfall!$B$5:$B$301&amp;""),0),AM$5),0))</f>
        <v>55</v>
      </c>
      <c r="AN92" s="350" cm="1">
        <f t="array" ref="AN92">IF(OR($A92="",AN$6=""),"",IFERROR(INDEX(Footfall!$C$5:$BZ$301,MATCH($A92,TRIM(Footfall!$B$5:$B$301&amp;""),0),AN$5),0))</f>
        <v>53</v>
      </c>
      <c r="AO92" s="350" cm="1">
        <f t="array" ref="AO92">IF(OR($A92="",AO$6=""),"",IFERROR(INDEX(Footfall!$C$5:$BZ$301,MATCH($A92,TRIM(Footfall!$B$5:$B$301&amp;""),0),AO$5),0))</f>
        <v>0</v>
      </c>
      <c r="AP92" s="350" cm="1">
        <f t="array" ref="AP92">IF(OR($A92="",AP$6=""),"",IFERROR(INDEX(Footfall!$C$5:$BZ$301,MATCH($A92,TRIM(Footfall!$B$5:$B$301&amp;""),0),AP$5),0))</f>
        <v>0</v>
      </c>
      <c r="AQ92" s="350" cm="1">
        <f t="array" ref="AQ92">IF(OR($A92="",AQ$6=""),"",IFERROR(INDEX(Footfall!$C$5:$BZ$301,MATCH($A92,TRIM(Footfall!$B$5:$B$301&amp;""),0),AQ$5),0))</f>
        <v>68</v>
      </c>
      <c r="AR92" s="350" cm="1">
        <f t="array" ref="AR92">IF(OR($A92="",AR$6=""),"",IFERROR(INDEX(Footfall!$C$5:$BZ$301,MATCH($A92,TRIM(Footfall!$B$5:$B$301&amp;""),0),AR$5),0))</f>
        <v>0</v>
      </c>
      <c r="AS92" s="350" cm="1">
        <f t="array" ref="AS92">IF(OR($A92="",AS$6=""),"",IFERROR(INDEX(Footfall!$C$5:$BZ$301,MATCH($A92,TRIM(Footfall!$B$5:$B$301&amp;""),0),AS$5),0))</f>
        <v>0</v>
      </c>
      <c r="AT92" s="350" t="str" cm="1">
        <f t="array" ref="AT92">IF(OR($A92="",AT$6=""),"",IFERROR(INDEX(Footfall!$C$5:$BZ$301,MATCH($A92,TRIM(Footfall!$B$5:$B$301&amp;""),0),AT$5),0))</f>
        <v/>
      </c>
      <c r="AU92" s="350" t="str" cm="1">
        <f t="array" ref="AU92">IF(OR($A92="",AU$6=""),"",IFERROR(INDEX(Footfall!$C$5:$BZ$301,MATCH($A92,TRIM(Footfall!$B$5:$B$301&amp;""),0),AU$5),0))</f>
        <v/>
      </c>
      <c r="AV92" s="350" t="str" cm="1">
        <f t="array" ref="AV92">IF(OR($A92="",AV$6=""),"",IFERROR(INDEX(Footfall!$C$5:$BZ$301,MATCH($A92,TRIM(Footfall!$B$5:$B$301&amp;""),0),AV$5),0))</f>
        <v/>
      </c>
      <c r="AW92" s="350" t="str" cm="1">
        <f t="array" ref="AW92">IF(OR($A92="",AW$6=""),"",IFERROR(INDEX(Footfall!$C$5:$BZ$301,MATCH($A92,TRIM(Footfall!$B$5:$B$301&amp;""),0),AW$5),0))</f>
        <v/>
      </c>
      <c r="AX92" s="350" t="str" cm="1">
        <f t="array" ref="AX92">IF(OR($A92="",AX$6=""),"",IFERROR(INDEX(Footfall!$C$5:$BZ$301,MATCH($A92,TRIM(Footfall!$B$5:$B$301&amp;""),0),AX$5),0))</f>
        <v/>
      </c>
      <c r="AY92" s="350" cm="1">
        <f t="array" aca="1" ref="AY92" ca="1">IF(AK92="","",IF($AJ92="",0,_xlfn.LET(_xlpm.d,IFERROR(--'Sales and count'!$F$2:$CB$2,0),SUMPRODUCT(('Sales and count'!$G$3:$CC$3="Transactions")*(_xlpm.d&gt;=AY$6)*(_xlpm.d&lt;=AY$7),INDEX('Sales and count'!$G$4:$CC$300,$AJ92,0)))))</f>
        <v>475</v>
      </c>
      <c r="AZ92" s="350" cm="1">
        <f t="array" aca="1" ref="AZ92" ca="1">IF(AL92="","",IF($AJ92="",0,_xlfn.LET(_xlpm.d,IFERROR(--'Sales and count'!$F$2:$CB$2,0),SUMPRODUCT(('Sales and count'!$G$3:$CC$3="Transactions")*(_xlpm.d&gt;=AZ$6)*(_xlpm.d&lt;=AZ$7),INDEX('Sales and count'!$G$4:$CC$300,$AJ92,0)))))</f>
        <v>13</v>
      </c>
      <c r="BA92" s="350" cm="1">
        <f t="array" aca="1" ref="BA92" ca="1">IF(AM92="","",IF($AJ92="",0,_xlfn.LET(_xlpm.d,IFERROR(--'Sales and count'!$F$2:$CB$2,0),SUMPRODUCT(('Sales and count'!$G$3:$CC$3="Transactions")*(_xlpm.d&gt;=BA$6)*(_xlpm.d&lt;=BA$7),INDEX('Sales and count'!$G$4:$CC$300,$AJ92,0)))))</f>
        <v>17</v>
      </c>
      <c r="BB92" s="350" cm="1">
        <f t="array" aca="1" ref="BB92" ca="1">IF(AN92="","",IF($AJ92="",0,_xlfn.LET(_xlpm.d,IFERROR(--'Sales and count'!$F$2:$CB$2,0),SUMPRODUCT(('Sales and count'!$G$3:$CC$3="Transactions")*(_xlpm.d&gt;=BB$6)*(_xlpm.d&lt;=BB$7),INDEX('Sales and count'!$G$4:$CC$300,$AJ92,0)))))</f>
        <v>18</v>
      </c>
      <c r="BC92" s="350" cm="1">
        <f t="array" aca="1" ref="BC92" ca="1">IF(AO92="","",IF($AJ92="",0,_xlfn.LET(_xlpm.d,IFERROR(--'Sales and count'!$F$2:$CB$2,0),SUMPRODUCT(('Sales and count'!$G$3:$CC$3="Transactions")*(_xlpm.d&gt;=BC$6)*(_xlpm.d&lt;=BC$7),INDEX('Sales and count'!$G$4:$CC$300,$AJ92,0)))))</f>
        <v>22</v>
      </c>
      <c r="BD92" s="350" cm="1">
        <f t="array" aca="1" ref="BD92" ca="1">IF(AP92="","",IF($AJ92="",0,_xlfn.LET(_xlpm.d,IFERROR(--'Sales and count'!$F$2:$CB$2,0),SUMPRODUCT(('Sales and count'!$G$3:$CC$3="Transactions")*(_xlpm.d&gt;=BD$6)*(_xlpm.d&lt;=BD$7),INDEX('Sales and count'!$G$4:$CC$300,$AJ92,0)))))</f>
        <v>25</v>
      </c>
      <c r="BE92" s="350" cm="1">
        <f t="array" aca="1" ref="BE92" ca="1">IF(AQ92="","",IF($AJ92="",0,_xlfn.LET(_xlpm.d,IFERROR(--'Sales and count'!$F$2:$CB$2,0),SUMPRODUCT(('Sales and count'!$G$3:$CC$3="Transactions")*(_xlpm.d&gt;=BE$6)*(_xlpm.d&lt;=BE$7),INDEX('Sales and count'!$G$4:$CC$300,$AJ92,0)))))</f>
        <v>26</v>
      </c>
      <c r="BF92" s="350" cm="1">
        <f t="array" aca="1" ref="BF92" ca="1">IF(AR92="","",IF($AJ92="",0,_xlfn.LET(_xlpm.d,IFERROR(--'Sales and count'!$F$2:$CB$2,0),SUMPRODUCT(('Sales and count'!$G$3:$CC$3="Transactions")*(_xlpm.d&gt;=BF$6)*(_xlpm.d&lt;=BF$7),INDEX('Sales and count'!$G$4:$CC$300,$AJ92,0)))))</f>
        <v>21</v>
      </c>
      <c r="BG92" s="350" cm="1">
        <f t="array" aca="1" ref="BG92" ca="1">IF(AS92="","",IF($AJ92="",0,_xlfn.LET(_xlpm.d,IFERROR(--'Sales and count'!$F$2:$CB$2,0),SUMPRODUCT(('Sales and count'!$G$3:$CC$3="Transactions")*(_xlpm.d&gt;=BG$6)*(_xlpm.d&lt;=BG$7),INDEX('Sales and count'!$G$4:$CC$300,$AJ92,0)))))</f>
        <v>22</v>
      </c>
      <c r="BH92" s="350" t="str" cm="1">
        <f t="array" ref="BH92">IF(AT92="","",IF($AJ92="",0,_xlfn.LET(_xlpm.d,IFERROR(--'Sales and count'!$F$2:$CB$2,0),SUMPRODUCT(('Sales and count'!$G$3:$CC$3="Transactions")*(_xlpm.d&gt;=BH$6)*(_xlpm.d&lt;=BH$7),INDEX('Sales and count'!$G$4:$CC$300,$AJ92,0)))))</f>
        <v/>
      </c>
      <c r="BI92" s="350" t="str" cm="1">
        <f t="array" ref="BI92">IF(AU92="","",IF($AJ92="",0,_xlfn.LET(_xlpm.d,IFERROR(--'Sales and count'!$F$2:$CB$2,0),SUMPRODUCT(('Sales and count'!$G$3:$CC$3="Transactions")*(_xlpm.d&gt;=BI$6)*(_xlpm.d&lt;=BI$7),INDEX('Sales and count'!$G$4:$CC$300,$AJ92,0)))))</f>
        <v/>
      </c>
      <c r="BJ92" s="350" t="str" cm="1">
        <f t="array" ref="BJ92">IF(AV92="","",IF($AJ92="",0,_xlfn.LET(_xlpm.d,IFERROR(--'Sales and count'!$F$2:$CB$2,0),SUMPRODUCT(('Sales and count'!$G$3:$CC$3="Transactions")*(_xlpm.d&gt;=BJ$6)*(_xlpm.d&lt;=BJ$7),INDEX('Sales and count'!$G$4:$CC$300,$AJ92,0)))))</f>
        <v/>
      </c>
      <c r="BK92" s="350" t="str" cm="1">
        <f t="array" ref="BK92">IF(AW92="","",IF($AJ92="",0,_xlfn.LET(_xlpm.d,IFERROR(--'Sales and count'!$F$2:$CB$2,0),SUMPRODUCT(('Sales and count'!$G$3:$CC$3="Transactions")*(_xlpm.d&gt;=BK$6)*(_xlpm.d&lt;=BK$7),INDEX('Sales and count'!$G$4:$CC$300,$AJ92,0)))))</f>
        <v/>
      </c>
      <c r="BL92" s="350" t="str" cm="1">
        <f t="array" ref="BL92">IF(AX92="","",IF($AJ92="",0,_xlfn.LET(_xlpm.d,IFERROR(--'Sales and count'!$F$2:$CB$2,0),SUMPRODUCT(('Sales and count'!$G$3:$CC$3="Transactions")*(_xlpm.d&gt;=BL$6)*(_xlpm.d&lt;=BL$7),INDEX('Sales and count'!$G$4:$CC$300,$AJ92,0)))))</f>
        <v/>
      </c>
      <c r="BM92" s="350" cm="1">
        <f t="array" ref="BM92">IF(AK92="","",IF($AJ92="",0,_xlfn.LET(_xlpm.d,IFERROR(--'Sales and count'!$G$2:$CC$2,0),SUMPRODUCT(('Sales and count'!$G$3:$CC$3="Total")*(_xlpm.d&gt;=BM$6)*(_xlpm.d&lt;=BM$7),INDEX('Sales and count'!$G$4:$CC$300,$AJ92,0)))))</f>
        <v>90425.590000000011</v>
      </c>
      <c r="BN92" s="350" cm="1">
        <f t="array" ref="BN92">IF(AL92="","",IF($AJ92="",0,_xlfn.LET(_xlpm.d,IFERROR(--'Sales and count'!$G$2:$CC$2,0),SUMPRODUCT(('Sales and count'!$G$3:$CC$3="Total")*(_xlpm.d&gt;=BN$6)*(_xlpm.d&lt;=BN$7),INDEX('Sales and count'!$G$4:$CC$300,$AJ92,0)))))</f>
        <v>1418</v>
      </c>
      <c r="BO92" s="350" cm="1">
        <f t="array" ref="BO92">IF(AM92="","",IF($AJ92="",0,_xlfn.LET(_xlpm.d,IFERROR(--'Sales and count'!$G$2:$CC$2,0),SUMPRODUCT(('Sales and count'!$G$3:$CC$3="Total")*(_xlpm.d&gt;=BO$6)*(_xlpm.d&lt;=BO$7),INDEX('Sales and count'!$G$4:$CC$300,$AJ92,0)))))</f>
        <v>2539.0100000000002</v>
      </c>
      <c r="BP92" s="350" cm="1">
        <f t="array" ref="BP92">IF(AN92="","",IF($AJ92="",0,_xlfn.LET(_xlpm.d,IFERROR(--'Sales and count'!$G$2:$CC$2,0),SUMPRODUCT(('Sales and count'!$G$3:$CC$3="Total")*(_xlpm.d&gt;=BP$6)*(_xlpm.d&lt;=BP$7),INDEX('Sales and count'!$G$4:$CC$300,$AJ92,0)))))</f>
        <v>3291.06</v>
      </c>
      <c r="BQ92" s="350" cm="1">
        <f t="array" ref="BQ92">IF(AO92="","",IF($AJ92="",0,_xlfn.LET(_xlpm.d,IFERROR(--'Sales and count'!$G$2:$CC$2,0),SUMPRODUCT(('Sales and count'!$G$3:$CC$3="Total")*(_xlpm.d&gt;=BQ$6)*(_xlpm.d&lt;=BQ$7),INDEX('Sales and count'!$G$4:$CC$300,$AJ92,0)))))</f>
        <v>4239.7</v>
      </c>
      <c r="BR92" s="350" cm="1">
        <f t="array" ref="BR92">IF(AP92="","",IF($AJ92="",0,_xlfn.LET(_xlpm.d,IFERROR(--'Sales and count'!$G$2:$CC$2,0),SUMPRODUCT(('Sales and count'!$G$3:$CC$3="Total")*(_xlpm.d&gt;=BR$6)*(_xlpm.d&lt;=BR$7),INDEX('Sales and count'!$G$4:$CC$300,$AJ92,0)))))</f>
        <v>4639.66</v>
      </c>
      <c r="BS92" s="350" cm="1">
        <f t="array" ref="BS92">IF(AQ92="","",IF($AJ92="",0,_xlfn.LET(_xlpm.d,IFERROR(--'Sales and count'!$G$2:$CC$2,0),SUMPRODUCT(('Sales and count'!$G$3:$CC$3="Total")*(_xlpm.d&gt;=BS$6)*(_xlpm.d&lt;=BS$7),INDEX('Sales and count'!$G$4:$CC$300,$AJ92,0)))))</f>
        <v>5407.69</v>
      </c>
      <c r="BT92" s="350" cm="1">
        <f t="array" ref="BT92">IF(AR92="","",IF($AJ92="",0,_xlfn.LET(_xlpm.d,IFERROR(--'Sales and count'!$G$2:$CC$2,0),SUMPRODUCT(('Sales and count'!$G$3:$CC$3="Total")*(_xlpm.d&gt;=BT$6)*(_xlpm.d&lt;=BT$7),INDEX('Sales and count'!$G$4:$CC$300,$AJ92,0)))))</f>
        <v>3630.73</v>
      </c>
      <c r="BU92" s="350" cm="1">
        <f t="array" ref="BU92">IF(AS92="","",IF($AJ92="",0,_xlfn.LET(_xlpm.d,IFERROR(--'Sales and count'!$G$2:$CC$2,0),SUMPRODUCT(('Sales and count'!$G$3:$CC$3="Total")*(_xlpm.d&gt;=BU$6)*(_xlpm.d&lt;=BU$7),INDEX('Sales and count'!$G$4:$CC$300,$AJ92,0)))))</f>
        <v>4935.1899999999996</v>
      </c>
      <c r="BV92" s="350" t="str" cm="1">
        <f t="array" ref="BV92">IF(AT92="","",IF($AJ92="",0,_xlfn.LET(_xlpm.d,IFERROR(--'Sales and count'!$G$2:$CC$2,0),SUMPRODUCT(('Sales and count'!$G$3:$CC$3="Total")*(_xlpm.d&gt;=BV$6)*(_xlpm.d&lt;=BV$7),INDEX('Sales and count'!$G$4:$CC$300,$AJ92,0)))))</f>
        <v/>
      </c>
      <c r="BW92" s="350" t="str" cm="1">
        <f t="array" ref="BW92">IF(AU92="","",IF($AJ92="",0,_xlfn.LET(_xlpm.d,IFERROR(--'Sales and count'!$G$2:$CC$2,0),SUMPRODUCT(('Sales and count'!$G$3:$CC$3="Total")*(_xlpm.d&gt;=BW$6)*(_xlpm.d&lt;=BW$7),INDEX('Sales and count'!$G$4:$CC$300,$AJ92,0)))))</f>
        <v/>
      </c>
      <c r="BX92" s="350" t="str" cm="1">
        <f t="array" ref="BX92">IF(AV92="","",IF($AJ92="",0,_xlfn.LET(_xlpm.d,IFERROR(--'Sales and count'!$G$2:$CC$2,0),SUMPRODUCT(('Sales and count'!$G$3:$CC$3="Total")*(_xlpm.d&gt;=BX$6)*(_xlpm.d&lt;=BX$7),INDEX('Sales and count'!$G$4:$CC$300,$AJ92,0)))))</f>
        <v/>
      </c>
      <c r="BY92" s="350" t="str" cm="1">
        <f t="array" ref="BY92">IF(AW92="","",IF($AJ92="",0,_xlfn.LET(_xlpm.d,IFERROR(--'Sales and count'!$G$2:$CC$2,0),SUMPRODUCT(('Sales and count'!$G$3:$CC$3="Total")*(_xlpm.d&gt;=BY$6)*(_xlpm.d&lt;=BY$7),INDEX('Sales and count'!$G$4:$CC$300,$AJ92,0)))))</f>
        <v/>
      </c>
      <c r="BZ92" s="350" t="str" cm="1">
        <f t="array" ref="BZ92">IF(AX92="","",IF($AJ92="",0,_xlfn.LET(_xlpm.d,IFERROR(--'Sales and count'!$G$2:$CC$2,0),SUMPRODUCT(('Sales and count'!$G$3:$CC$3="Total")*(_xlpm.d&gt;=BZ$6)*(_xlpm.d&lt;=BZ$7),INDEX('Sales and count'!$G$4:$CC$300,$AJ92,0)))))</f>
        <v/>
      </c>
    </row>
    <row r="93" spans="1:78" x14ac:dyDescent="0.25">
      <c r="A93" s="356" t="str">
        <v>HACOMPLZ</v>
      </c>
      <c r="B93" s="356" t="str" cm="1">
        <f t="array" ref="B93">IF($A93="","",_xlfn.XLOOKUP($A93,TRIM(Footfall!$B$5:$B$301&amp;""),Footfall!$A$5:$A$301,""))</f>
        <v>Compass plaza Ryd</v>
      </c>
      <c r="C93" s="356" t="str" cm="1">
        <f t="array" ref="C93">IF($A93="","",_xlfn.XLOOKUP($A93,TRIM('Sales and count'!$A$4:$A$300&amp;""),'Sales and count'!$C$4:$C$300,"Not set"))</f>
        <v>Riyadh</v>
      </c>
      <c r="D93" s="357">
        <f t="shared" ca="1" si="53"/>
        <v>0.47827436374922411</v>
      </c>
      <c r="E93" s="357">
        <f t="shared" ca="1" si="54"/>
        <v>0.43396226415094341</v>
      </c>
      <c r="F93" s="357">
        <f t="shared" ca="1" si="55"/>
        <v>0.43902439024390244</v>
      </c>
      <c r="G93" s="357">
        <f t="shared" ca="1" si="56"/>
        <v>0.43046357615894038</v>
      </c>
      <c r="H93" s="357">
        <f t="shared" ca="1" si="57"/>
        <v>0.50354609929078009</v>
      </c>
      <c r="I93" s="357">
        <f t="shared" ca="1" si="58"/>
        <v>0.51127819548872178</v>
      </c>
      <c r="J93" s="357">
        <f t="shared" ca="1" si="59"/>
        <v>0.5</v>
      </c>
      <c r="K93" s="357">
        <f t="shared" ca="1" si="60"/>
        <v>0.39189189189189189</v>
      </c>
      <c r="L93" s="357">
        <f t="shared" ca="1" si="61"/>
        <v>0.5043478260869565</v>
      </c>
      <c r="M93" s="357" t="str">
        <f t="shared" si="62"/>
        <v/>
      </c>
      <c r="N93" s="357" t="str">
        <f t="shared" si="63"/>
        <v/>
      </c>
      <c r="O93" s="357" t="str">
        <f t="shared" si="64"/>
        <v/>
      </c>
      <c r="P93" s="357" t="str">
        <f t="shared" si="65"/>
        <v/>
      </c>
      <c r="Q93" s="357" t="str">
        <f t="shared" si="66"/>
        <v/>
      </c>
      <c r="R93" s="358" cm="1">
        <f t="array" aca="1" ref="R93" ca="1">IF(OR($A93="",D93=""),"",IFERROR(LOOKUP(2,1/(E93:Q93&lt;&gt;""),E93:Q93)-D93,""))</f>
        <v>2.6073462337732389E-2</v>
      </c>
      <c r="S93" s="349"/>
      <c r="T93" s="362">
        <f t="shared" ca="1" si="67"/>
        <v>157.84312134977284</v>
      </c>
      <c r="U93" s="362">
        <f t="shared" ca="1" si="68"/>
        <v>149.17521739130436</v>
      </c>
      <c r="V93" s="362">
        <f t="shared" ca="1" si="69"/>
        <v>149.44666666666666</v>
      </c>
      <c r="W93" s="362">
        <f t="shared" ca="1" si="70"/>
        <v>151.30907692307693</v>
      </c>
      <c r="X93" s="362">
        <f t="shared" ca="1" si="71"/>
        <v>206.99352112676058</v>
      </c>
      <c r="Y93" s="362">
        <f t="shared" ca="1" si="72"/>
        <v>173.77264705882354</v>
      </c>
      <c r="Z93" s="362">
        <f t="shared" ca="1" si="73"/>
        <v>172.07174603174604</v>
      </c>
      <c r="AA93" s="362">
        <f t="shared" ca="1" si="74"/>
        <v>175.47155172413792</v>
      </c>
      <c r="AB93" s="362">
        <f t="shared" ca="1" si="75"/>
        <v>214.69948275862069</v>
      </c>
      <c r="AC93" s="362" t="str">
        <f t="shared" si="76"/>
        <v/>
      </c>
      <c r="AD93" s="362" t="str">
        <f t="shared" si="77"/>
        <v/>
      </c>
      <c r="AE93" s="362" t="str">
        <f t="shared" si="78"/>
        <v/>
      </c>
      <c r="AF93" s="362" t="str">
        <f t="shared" si="79"/>
        <v/>
      </c>
      <c r="AG93" s="362" t="str">
        <f t="shared" si="80"/>
        <v/>
      </c>
      <c r="AH93" s="363" cm="1">
        <f t="array" aca="1" ref="AH93" ca="1">IF(OR($A93="",T93=""),"",IFERROR(LOOKUP(2,1/(U93:AG93&lt;&gt;""),U93:AG93)-T93,""))</f>
        <v>56.856361408847846</v>
      </c>
      <c r="AI93" s="349"/>
      <c r="AJ93" s="349" cm="1">
        <f t="array" ref="AJ93">IF($A93="","",IFERROR(MATCH($A93,TRIM('Sales and count'!$A$4:$A$300&amp;""),0),""))</f>
        <v>37</v>
      </c>
      <c r="AK93" s="350" cm="1">
        <f t="array" ref="AK93">IF(OR($A93="",AK$6=""),"",IFERROR(INDEX(Footfall!$C$5:$BZ$301,MATCH($A93,TRIM(Footfall!$B$5:$B$301&amp;""),0),AK$5),0))</f>
        <v>3222</v>
      </c>
      <c r="AL93" s="350" cm="1">
        <f t="array" ref="AL93">IF(OR($A93="",AL$6=""),"",IFERROR(INDEX(Footfall!$C$5:$BZ$301,MATCH($A93,TRIM(Footfall!$B$5:$B$301&amp;""),0),AL$5),0))</f>
        <v>106</v>
      </c>
      <c r="AM93" s="350" cm="1">
        <f t="array" ref="AM93">IF(OR($A93="",AM$6=""),"",IFERROR(INDEX(Footfall!$C$5:$BZ$301,MATCH($A93,TRIM(Footfall!$B$5:$B$301&amp;""),0),AM$5),0))</f>
        <v>123</v>
      </c>
      <c r="AN93" s="350" cm="1">
        <f t="array" ref="AN93">IF(OR($A93="",AN$6=""),"",IFERROR(INDEX(Footfall!$C$5:$BZ$301,MATCH($A93,TRIM(Footfall!$B$5:$B$301&amp;""),0),AN$5),0))</f>
        <v>151</v>
      </c>
      <c r="AO93" s="350" cm="1">
        <f t="array" ref="AO93">IF(OR($A93="",AO$6=""),"",IFERROR(INDEX(Footfall!$C$5:$BZ$301,MATCH($A93,TRIM(Footfall!$B$5:$B$301&amp;""),0),AO$5),0))</f>
        <v>141</v>
      </c>
      <c r="AP93" s="350" cm="1">
        <f t="array" ref="AP93">IF(OR($A93="",AP$6=""),"",IFERROR(INDEX(Footfall!$C$5:$BZ$301,MATCH($A93,TRIM(Footfall!$B$5:$B$301&amp;""),0),AP$5),0))</f>
        <v>133</v>
      </c>
      <c r="AQ93" s="350" cm="1">
        <f t="array" ref="AQ93">IF(OR($A93="",AQ$6=""),"",IFERROR(INDEX(Footfall!$C$5:$BZ$301,MATCH($A93,TRIM(Footfall!$B$5:$B$301&amp;""),0),AQ$5),0))</f>
        <v>126</v>
      </c>
      <c r="AR93" s="350" cm="1">
        <f t="array" ref="AR93">IF(OR($A93="",AR$6=""),"",IFERROR(INDEX(Footfall!$C$5:$BZ$301,MATCH($A93,TRIM(Footfall!$B$5:$B$301&amp;""),0),AR$5),0))</f>
        <v>148</v>
      </c>
      <c r="AS93" s="350" cm="1">
        <f t="array" ref="AS93">IF(OR($A93="",AS$6=""),"",IFERROR(INDEX(Footfall!$C$5:$BZ$301,MATCH($A93,TRIM(Footfall!$B$5:$B$301&amp;""),0),AS$5),0))</f>
        <v>115</v>
      </c>
      <c r="AT93" s="350" t="str" cm="1">
        <f t="array" ref="AT93">IF(OR($A93="",AT$6=""),"",IFERROR(INDEX(Footfall!$C$5:$BZ$301,MATCH($A93,TRIM(Footfall!$B$5:$B$301&amp;""),0),AT$5),0))</f>
        <v/>
      </c>
      <c r="AU93" s="350" t="str" cm="1">
        <f t="array" ref="AU93">IF(OR($A93="",AU$6=""),"",IFERROR(INDEX(Footfall!$C$5:$BZ$301,MATCH($A93,TRIM(Footfall!$B$5:$B$301&amp;""),0),AU$5),0))</f>
        <v/>
      </c>
      <c r="AV93" s="350" t="str" cm="1">
        <f t="array" ref="AV93">IF(OR($A93="",AV$6=""),"",IFERROR(INDEX(Footfall!$C$5:$BZ$301,MATCH($A93,TRIM(Footfall!$B$5:$B$301&amp;""),0),AV$5),0))</f>
        <v/>
      </c>
      <c r="AW93" s="350" t="str" cm="1">
        <f t="array" ref="AW93">IF(OR($A93="",AW$6=""),"",IFERROR(INDEX(Footfall!$C$5:$BZ$301,MATCH($A93,TRIM(Footfall!$B$5:$B$301&amp;""),0),AW$5),0))</f>
        <v/>
      </c>
      <c r="AX93" s="350" t="str" cm="1">
        <f t="array" ref="AX93">IF(OR($A93="",AX$6=""),"",IFERROR(INDEX(Footfall!$C$5:$BZ$301,MATCH($A93,TRIM(Footfall!$B$5:$B$301&amp;""),0),AX$5),0))</f>
        <v/>
      </c>
      <c r="AY93" s="350" cm="1">
        <f t="array" aca="1" ref="AY93" ca="1">IF(AK93="","",IF($AJ93="",0,_xlfn.LET(_xlpm.d,IFERROR(--'Sales and count'!$F$2:$CB$2,0),SUMPRODUCT(('Sales and count'!$G$3:$CC$3="Transactions")*(_xlpm.d&gt;=AY$6)*(_xlpm.d&lt;=AY$7),INDEX('Sales and count'!$G$4:$CC$300,$AJ93,0)))))</f>
        <v>1541</v>
      </c>
      <c r="AZ93" s="350" cm="1">
        <f t="array" aca="1" ref="AZ93" ca="1">IF(AL93="","",IF($AJ93="",0,_xlfn.LET(_xlpm.d,IFERROR(--'Sales and count'!$F$2:$CB$2,0),SUMPRODUCT(('Sales and count'!$G$3:$CC$3="Transactions")*(_xlpm.d&gt;=AZ$6)*(_xlpm.d&lt;=AZ$7),INDEX('Sales and count'!$G$4:$CC$300,$AJ93,0)))))</f>
        <v>46</v>
      </c>
      <c r="BA93" s="350" cm="1">
        <f t="array" aca="1" ref="BA93" ca="1">IF(AM93="","",IF($AJ93="",0,_xlfn.LET(_xlpm.d,IFERROR(--'Sales and count'!$F$2:$CB$2,0),SUMPRODUCT(('Sales and count'!$G$3:$CC$3="Transactions")*(_xlpm.d&gt;=BA$6)*(_xlpm.d&lt;=BA$7),INDEX('Sales and count'!$G$4:$CC$300,$AJ93,0)))))</f>
        <v>54</v>
      </c>
      <c r="BB93" s="350" cm="1">
        <f t="array" aca="1" ref="BB93" ca="1">IF(AN93="","",IF($AJ93="",0,_xlfn.LET(_xlpm.d,IFERROR(--'Sales and count'!$F$2:$CB$2,0),SUMPRODUCT(('Sales and count'!$G$3:$CC$3="Transactions")*(_xlpm.d&gt;=BB$6)*(_xlpm.d&lt;=BB$7),INDEX('Sales and count'!$G$4:$CC$300,$AJ93,0)))))</f>
        <v>65</v>
      </c>
      <c r="BC93" s="350" cm="1">
        <f t="array" aca="1" ref="BC93" ca="1">IF(AO93="","",IF($AJ93="",0,_xlfn.LET(_xlpm.d,IFERROR(--'Sales and count'!$F$2:$CB$2,0),SUMPRODUCT(('Sales and count'!$G$3:$CC$3="Transactions")*(_xlpm.d&gt;=BC$6)*(_xlpm.d&lt;=BC$7),INDEX('Sales and count'!$G$4:$CC$300,$AJ93,0)))))</f>
        <v>71</v>
      </c>
      <c r="BD93" s="350" cm="1">
        <f t="array" aca="1" ref="BD93" ca="1">IF(AP93="","",IF($AJ93="",0,_xlfn.LET(_xlpm.d,IFERROR(--'Sales and count'!$F$2:$CB$2,0),SUMPRODUCT(('Sales and count'!$G$3:$CC$3="Transactions")*(_xlpm.d&gt;=BD$6)*(_xlpm.d&lt;=BD$7),INDEX('Sales and count'!$G$4:$CC$300,$AJ93,0)))))</f>
        <v>68</v>
      </c>
      <c r="BE93" s="350" cm="1">
        <f t="array" aca="1" ref="BE93" ca="1">IF(AQ93="","",IF($AJ93="",0,_xlfn.LET(_xlpm.d,IFERROR(--'Sales and count'!$F$2:$CB$2,0),SUMPRODUCT(('Sales and count'!$G$3:$CC$3="Transactions")*(_xlpm.d&gt;=BE$6)*(_xlpm.d&lt;=BE$7),INDEX('Sales and count'!$G$4:$CC$300,$AJ93,0)))))</f>
        <v>63</v>
      </c>
      <c r="BF93" s="350" cm="1">
        <f t="array" aca="1" ref="BF93" ca="1">IF(AR93="","",IF($AJ93="",0,_xlfn.LET(_xlpm.d,IFERROR(--'Sales and count'!$F$2:$CB$2,0),SUMPRODUCT(('Sales and count'!$G$3:$CC$3="Transactions")*(_xlpm.d&gt;=BF$6)*(_xlpm.d&lt;=BF$7),INDEX('Sales and count'!$G$4:$CC$300,$AJ93,0)))))</f>
        <v>58</v>
      </c>
      <c r="BG93" s="350" cm="1">
        <f t="array" aca="1" ref="BG93" ca="1">IF(AS93="","",IF($AJ93="",0,_xlfn.LET(_xlpm.d,IFERROR(--'Sales and count'!$F$2:$CB$2,0),SUMPRODUCT(('Sales and count'!$G$3:$CC$3="Transactions")*(_xlpm.d&gt;=BG$6)*(_xlpm.d&lt;=BG$7),INDEX('Sales and count'!$G$4:$CC$300,$AJ93,0)))))</f>
        <v>58</v>
      </c>
      <c r="BH93" s="350" t="str" cm="1">
        <f t="array" ref="BH93">IF(AT93="","",IF($AJ93="",0,_xlfn.LET(_xlpm.d,IFERROR(--'Sales and count'!$F$2:$CB$2,0),SUMPRODUCT(('Sales and count'!$G$3:$CC$3="Transactions")*(_xlpm.d&gt;=BH$6)*(_xlpm.d&lt;=BH$7),INDEX('Sales and count'!$G$4:$CC$300,$AJ93,0)))))</f>
        <v/>
      </c>
      <c r="BI93" s="350" t="str" cm="1">
        <f t="array" ref="BI93">IF(AU93="","",IF($AJ93="",0,_xlfn.LET(_xlpm.d,IFERROR(--'Sales and count'!$F$2:$CB$2,0),SUMPRODUCT(('Sales and count'!$G$3:$CC$3="Transactions")*(_xlpm.d&gt;=BI$6)*(_xlpm.d&lt;=BI$7),INDEX('Sales and count'!$G$4:$CC$300,$AJ93,0)))))</f>
        <v/>
      </c>
      <c r="BJ93" s="350" t="str" cm="1">
        <f t="array" ref="BJ93">IF(AV93="","",IF($AJ93="",0,_xlfn.LET(_xlpm.d,IFERROR(--'Sales and count'!$F$2:$CB$2,0),SUMPRODUCT(('Sales and count'!$G$3:$CC$3="Transactions")*(_xlpm.d&gt;=BJ$6)*(_xlpm.d&lt;=BJ$7),INDEX('Sales and count'!$G$4:$CC$300,$AJ93,0)))))</f>
        <v/>
      </c>
      <c r="BK93" s="350" t="str" cm="1">
        <f t="array" ref="BK93">IF(AW93="","",IF($AJ93="",0,_xlfn.LET(_xlpm.d,IFERROR(--'Sales and count'!$F$2:$CB$2,0),SUMPRODUCT(('Sales and count'!$G$3:$CC$3="Transactions")*(_xlpm.d&gt;=BK$6)*(_xlpm.d&lt;=BK$7),INDEX('Sales and count'!$G$4:$CC$300,$AJ93,0)))))</f>
        <v/>
      </c>
      <c r="BL93" s="350" t="str" cm="1">
        <f t="array" ref="BL93">IF(AX93="","",IF($AJ93="",0,_xlfn.LET(_xlpm.d,IFERROR(--'Sales and count'!$F$2:$CB$2,0),SUMPRODUCT(('Sales and count'!$G$3:$CC$3="Transactions")*(_xlpm.d&gt;=BL$6)*(_xlpm.d&lt;=BL$7),INDEX('Sales and count'!$G$4:$CC$300,$AJ93,0)))))</f>
        <v/>
      </c>
      <c r="BM93" s="350" cm="1">
        <f t="array" ref="BM93">IF(AK93="","",IF($AJ93="",0,_xlfn.LET(_xlpm.d,IFERROR(--'Sales and count'!$G$2:$CC$2,0),SUMPRODUCT(('Sales and count'!$G$3:$CC$3="Total")*(_xlpm.d&gt;=BM$6)*(_xlpm.d&lt;=BM$7),INDEX('Sales and count'!$G$4:$CC$300,$AJ93,0)))))</f>
        <v>243236.24999999994</v>
      </c>
      <c r="BN93" s="350" cm="1">
        <f t="array" ref="BN93">IF(AL93="","",IF($AJ93="",0,_xlfn.LET(_xlpm.d,IFERROR(--'Sales and count'!$G$2:$CC$2,0),SUMPRODUCT(('Sales and count'!$G$3:$CC$3="Total")*(_xlpm.d&gt;=BN$6)*(_xlpm.d&lt;=BN$7),INDEX('Sales and count'!$G$4:$CC$300,$AJ93,0)))))</f>
        <v>6862.06</v>
      </c>
      <c r="BO93" s="350" cm="1">
        <f t="array" ref="BO93">IF(AM93="","",IF($AJ93="",0,_xlfn.LET(_xlpm.d,IFERROR(--'Sales and count'!$G$2:$CC$2,0),SUMPRODUCT(('Sales and count'!$G$3:$CC$3="Total")*(_xlpm.d&gt;=BO$6)*(_xlpm.d&lt;=BO$7),INDEX('Sales and count'!$G$4:$CC$300,$AJ93,0)))))</f>
        <v>8070.12</v>
      </c>
      <c r="BP93" s="350" cm="1">
        <f t="array" ref="BP93">IF(AN93="","",IF($AJ93="",0,_xlfn.LET(_xlpm.d,IFERROR(--'Sales and count'!$G$2:$CC$2,0),SUMPRODUCT(('Sales and count'!$G$3:$CC$3="Total")*(_xlpm.d&gt;=BP$6)*(_xlpm.d&lt;=BP$7),INDEX('Sales and count'!$G$4:$CC$300,$AJ93,0)))))</f>
        <v>9835.09</v>
      </c>
      <c r="BQ93" s="350" cm="1">
        <f t="array" ref="BQ93">IF(AO93="","",IF($AJ93="",0,_xlfn.LET(_xlpm.d,IFERROR(--'Sales and count'!$G$2:$CC$2,0),SUMPRODUCT(('Sales and count'!$G$3:$CC$3="Total")*(_xlpm.d&gt;=BQ$6)*(_xlpm.d&lt;=BQ$7),INDEX('Sales and count'!$G$4:$CC$300,$AJ93,0)))))</f>
        <v>14696.54</v>
      </c>
      <c r="BR93" s="350" cm="1">
        <f t="array" ref="BR93">IF(AP93="","",IF($AJ93="",0,_xlfn.LET(_xlpm.d,IFERROR(--'Sales and count'!$G$2:$CC$2,0),SUMPRODUCT(('Sales and count'!$G$3:$CC$3="Total")*(_xlpm.d&gt;=BR$6)*(_xlpm.d&lt;=BR$7),INDEX('Sales and count'!$G$4:$CC$300,$AJ93,0)))))</f>
        <v>11816.54</v>
      </c>
      <c r="BS93" s="350" cm="1">
        <f t="array" ref="BS93">IF(AQ93="","",IF($AJ93="",0,_xlfn.LET(_xlpm.d,IFERROR(--'Sales and count'!$G$2:$CC$2,0),SUMPRODUCT(('Sales and count'!$G$3:$CC$3="Total")*(_xlpm.d&gt;=BS$6)*(_xlpm.d&lt;=BS$7),INDEX('Sales and count'!$G$4:$CC$300,$AJ93,0)))))</f>
        <v>10840.52</v>
      </c>
      <c r="BT93" s="350" cm="1">
        <f t="array" ref="BT93">IF(AR93="","",IF($AJ93="",0,_xlfn.LET(_xlpm.d,IFERROR(--'Sales and count'!$G$2:$CC$2,0),SUMPRODUCT(('Sales and count'!$G$3:$CC$3="Total")*(_xlpm.d&gt;=BT$6)*(_xlpm.d&lt;=BT$7),INDEX('Sales and count'!$G$4:$CC$300,$AJ93,0)))))</f>
        <v>10177.35</v>
      </c>
      <c r="BU93" s="350" cm="1">
        <f t="array" ref="BU93">IF(AS93="","",IF($AJ93="",0,_xlfn.LET(_xlpm.d,IFERROR(--'Sales and count'!$G$2:$CC$2,0),SUMPRODUCT(('Sales and count'!$G$3:$CC$3="Total")*(_xlpm.d&gt;=BU$6)*(_xlpm.d&lt;=BU$7),INDEX('Sales and count'!$G$4:$CC$300,$AJ93,0)))))</f>
        <v>12452.57</v>
      </c>
      <c r="BV93" s="350" t="str" cm="1">
        <f t="array" ref="BV93">IF(AT93="","",IF($AJ93="",0,_xlfn.LET(_xlpm.d,IFERROR(--'Sales and count'!$G$2:$CC$2,0),SUMPRODUCT(('Sales and count'!$G$3:$CC$3="Total")*(_xlpm.d&gt;=BV$6)*(_xlpm.d&lt;=BV$7),INDEX('Sales and count'!$G$4:$CC$300,$AJ93,0)))))</f>
        <v/>
      </c>
      <c r="BW93" s="350" t="str" cm="1">
        <f t="array" ref="BW93">IF(AU93="","",IF($AJ93="",0,_xlfn.LET(_xlpm.d,IFERROR(--'Sales and count'!$G$2:$CC$2,0),SUMPRODUCT(('Sales and count'!$G$3:$CC$3="Total")*(_xlpm.d&gt;=BW$6)*(_xlpm.d&lt;=BW$7),INDEX('Sales and count'!$G$4:$CC$300,$AJ93,0)))))</f>
        <v/>
      </c>
      <c r="BX93" s="350" t="str" cm="1">
        <f t="array" ref="BX93">IF(AV93="","",IF($AJ93="",0,_xlfn.LET(_xlpm.d,IFERROR(--'Sales and count'!$G$2:$CC$2,0),SUMPRODUCT(('Sales and count'!$G$3:$CC$3="Total")*(_xlpm.d&gt;=BX$6)*(_xlpm.d&lt;=BX$7),INDEX('Sales and count'!$G$4:$CC$300,$AJ93,0)))))</f>
        <v/>
      </c>
      <c r="BY93" s="350" t="str" cm="1">
        <f t="array" ref="BY93">IF(AW93="","",IF($AJ93="",0,_xlfn.LET(_xlpm.d,IFERROR(--'Sales and count'!$G$2:$CC$2,0),SUMPRODUCT(('Sales and count'!$G$3:$CC$3="Total")*(_xlpm.d&gt;=BY$6)*(_xlpm.d&lt;=BY$7),INDEX('Sales and count'!$G$4:$CC$300,$AJ93,0)))))</f>
        <v/>
      </c>
      <c r="BZ93" s="350" t="str" cm="1">
        <f t="array" ref="BZ93">IF(AX93="","",IF($AJ93="",0,_xlfn.LET(_xlpm.d,IFERROR(--'Sales and count'!$G$2:$CC$2,0),SUMPRODUCT(('Sales and count'!$G$3:$CC$3="Total")*(_xlpm.d&gt;=BZ$6)*(_xlpm.d&lt;=BZ$7),INDEX('Sales and count'!$G$4:$CC$300,$AJ93,0)))))</f>
        <v/>
      </c>
    </row>
    <row r="94" spans="1:78" x14ac:dyDescent="0.25">
      <c r="A94" s="356" t="str">
        <v>MEDAD</v>
      </c>
      <c r="B94" s="356" t="str" cm="1">
        <f t="array" ref="B94">IF($A94="","",_xlfn.XLOOKUP($A94,TRIM(Footfall!$B$5:$B$301&amp;""),Footfall!$A$5:$A$301,""))</f>
        <v>Medad Riyadh</v>
      </c>
      <c r="C94" s="356" t="str" cm="1">
        <f t="array" ref="C94">IF($A94="","",_xlfn.XLOOKUP($A94,TRIM('Sales and count'!$A$4:$A$300&amp;""),'Sales and count'!$C$4:$C$300,"Not set"))</f>
        <v>Riyadh</v>
      </c>
      <c r="D94" s="357">
        <f t="shared" ca="1" si="53"/>
        <v>0.33316430020283977</v>
      </c>
      <c r="E94" s="357">
        <f t="shared" ca="1" si="54"/>
        <v>0.37333333333333335</v>
      </c>
      <c r="F94" s="357">
        <f t="shared" ca="1" si="55"/>
        <v>0.36363636363636365</v>
      </c>
      <c r="G94" s="357">
        <f t="shared" ca="1" si="56"/>
        <v>0.25</v>
      </c>
      <c r="H94" s="357">
        <f t="shared" ca="1" si="57"/>
        <v>0.30569948186528495</v>
      </c>
      <c r="I94" s="357">
        <f t="shared" ca="1" si="58"/>
        <v>0.27927927927927926</v>
      </c>
      <c r="J94" s="357">
        <f t="shared" ca="1" si="59"/>
        <v>0.29378531073446329</v>
      </c>
      <c r="K94" s="357">
        <f t="shared" ca="1" si="60"/>
        <v>0.27272727272727271</v>
      </c>
      <c r="L94" s="357">
        <f t="shared" ca="1" si="61"/>
        <v>0.33986928104575165</v>
      </c>
      <c r="M94" s="357" t="str">
        <f t="shared" si="62"/>
        <v/>
      </c>
      <c r="N94" s="357" t="str">
        <f t="shared" si="63"/>
        <v/>
      </c>
      <c r="O94" s="357" t="str">
        <f t="shared" si="64"/>
        <v/>
      </c>
      <c r="P94" s="357" t="str">
        <f t="shared" si="65"/>
        <v/>
      </c>
      <c r="Q94" s="357" t="str">
        <f t="shared" si="66"/>
        <v/>
      </c>
      <c r="R94" s="358" cm="1">
        <f t="array" aca="1" ref="R94" ca="1">IF(OR($A94="",D94=""),"",IFERROR(LOOKUP(2,1/(E94:Q94&lt;&gt;""),E94:Q94)-D94,""))</f>
        <v>6.7049808429118785E-3</v>
      </c>
      <c r="S94" s="349"/>
      <c r="T94" s="362">
        <f t="shared" ca="1" si="67"/>
        <v>156.4075875190259</v>
      </c>
      <c r="U94" s="362">
        <f t="shared" ca="1" si="68"/>
        <v>173.16267857142859</v>
      </c>
      <c r="V94" s="362">
        <f t="shared" ca="1" si="69"/>
        <v>172.23346153846154</v>
      </c>
      <c r="W94" s="362">
        <f t="shared" ca="1" si="70"/>
        <v>153.86411764705881</v>
      </c>
      <c r="X94" s="362">
        <f t="shared" ca="1" si="71"/>
        <v>166.31237288135594</v>
      </c>
      <c r="Y94" s="362">
        <f t="shared" ca="1" si="72"/>
        <v>177.9416129032258</v>
      </c>
      <c r="Z94" s="362">
        <f t="shared" ca="1" si="73"/>
        <v>172.27923076923076</v>
      </c>
      <c r="AA94" s="362">
        <f t="shared" ca="1" si="74"/>
        <v>171.39022222222223</v>
      </c>
      <c r="AB94" s="362">
        <f t="shared" ca="1" si="75"/>
        <v>207.78134615384613</v>
      </c>
      <c r="AC94" s="362" t="str">
        <f t="shared" si="76"/>
        <v/>
      </c>
      <c r="AD94" s="362" t="str">
        <f t="shared" si="77"/>
        <v/>
      </c>
      <c r="AE94" s="362" t="str">
        <f t="shared" si="78"/>
        <v/>
      </c>
      <c r="AF94" s="362" t="str">
        <f t="shared" si="79"/>
        <v/>
      </c>
      <c r="AG94" s="362" t="str">
        <f t="shared" si="80"/>
        <v/>
      </c>
      <c r="AH94" s="363" cm="1">
        <f t="array" aca="1" ref="AH94" ca="1">IF(OR($A94="",T94=""),"",IFERROR(LOOKUP(2,1/(U94:AG94&lt;&gt;""),U94:AG94)-T94,""))</f>
        <v>51.373758634820234</v>
      </c>
      <c r="AI94" s="349"/>
      <c r="AJ94" s="349" cm="1">
        <f t="array" ref="AJ94">IF($A94="","",IFERROR(MATCH($A94,TRIM('Sales and count'!$A$4:$A$300&amp;""),0),""))</f>
        <v>25</v>
      </c>
      <c r="AK94" s="350" cm="1">
        <f t="array" ref="AK94">IF(OR($A94="",AK$6=""),"",IFERROR(INDEX(Footfall!$C$5:$BZ$301,MATCH($A94,TRIM(Footfall!$B$5:$B$301&amp;""),0),AK$5),0))</f>
        <v>3944</v>
      </c>
      <c r="AL94" s="350" cm="1">
        <f t="array" ref="AL94">IF(OR($A94="",AL$6=""),"",IFERROR(INDEX(Footfall!$C$5:$BZ$301,MATCH($A94,TRIM(Footfall!$B$5:$B$301&amp;""),0),AL$5),0))</f>
        <v>150</v>
      </c>
      <c r="AM94" s="350" cm="1">
        <f t="array" ref="AM94">IF(OR($A94="",AM$6=""),"",IFERROR(INDEX(Footfall!$C$5:$BZ$301,MATCH($A94,TRIM(Footfall!$B$5:$B$301&amp;""),0),AM$5),0))</f>
        <v>143</v>
      </c>
      <c r="AN94" s="350" cm="1">
        <f t="array" ref="AN94">IF(OR($A94="",AN$6=""),"",IFERROR(INDEX(Footfall!$C$5:$BZ$301,MATCH($A94,TRIM(Footfall!$B$5:$B$301&amp;""),0),AN$5),0))</f>
        <v>204</v>
      </c>
      <c r="AO94" s="350" cm="1">
        <f t="array" ref="AO94">IF(OR($A94="",AO$6=""),"",IFERROR(INDEX(Footfall!$C$5:$BZ$301,MATCH($A94,TRIM(Footfall!$B$5:$B$301&amp;""),0),AO$5),0))</f>
        <v>193</v>
      </c>
      <c r="AP94" s="350" cm="1">
        <f t="array" ref="AP94">IF(OR($A94="",AP$6=""),"",IFERROR(INDEX(Footfall!$C$5:$BZ$301,MATCH($A94,TRIM(Footfall!$B$5:$B$301&amp;""),0),AP$5),0))</f>
        <v>222</v>
      </c>
      <c r="AQ94" s="350" cm="1">
        <f t="array" ref="AQ94">IF(OR($A94="",AQ$6=""),"",IFERROR(INDEX(Footfall!$C$5:$BZ$301,MATCH($A94,TRIM(Footfall!$B$5:$B$301&amp;""),0),AQ$5),0))</f>
        <v>177</v>
      </c>
      <c r="AR94" s="350" cm="1">
        <f t="array" ref="AR94">IF(OR($A94="",AR$6=""),"",IFERROR(INDEX(Footfall!$C$5:$BZ$301,MATCH($A94,TRIM(Footfall!$B$5:$B$301&amp;""),0),AR$5),0))</f>
        <v>165</v>
      </c>
      <c r="AS94" s="350" cm="1">
        <f t="array" ref="AS94">IF(OR($A94="",AS$6=""),"",IFERROR(INDEX(Footfall!$C$5:$BZ$301,MATCH($A94,TRIM(Footfall!$B$5:$B$301&amp;""),0),AS$5),0))</f>
        <v>153</v>
      </c>
      <c r="AT94" s="350" t="str" cm="1">
        <f t="array" ref="AT94">IF(OR($A94="",AT$6=""),"",IFERROR(INDEX(Footfall!$C$5:$BZ$301,MATCH($A94,TRIM(Footfall!$B$5:$B$301&amp;""),0),AT$5),0))</f>
        <v/>
      </c>
      <c r="AU94" s="350" t="str" cm="1">
        <f t="array" ref="AU94">IF(OR($A94="",AU$6=""),"",IFERROR(INDEX(Footfall!$C$5:$BZ$301,MATCH($A94,TRIM(Footfall!$B$5:$B$301&amp;""),0),AU$5),0))</f>
        <v/>
      </c>
      <c r="AV94" s="350" t="str" cm="1">
        <f t="array" ref="AV94">IF(OR($A94="",AV$6=""),"",IFERROR(INDEX(Footfall!$C$5:$BZ$301,MATCH($A94,TRIM(Footfall!$B$5:$B$301&amp;""),0),AV$5),0))</f>
        <v/>
      </c>
      <c r="AW94" s="350" t="str" cm="1">
        <f t="array" ref="AW94">IF(OR($A94="",AW$6=""),"",IFERROR(INDEX(Footfall!$C$5:$BZ$301,MATCH($A94,TRIM(Footfall!$B$5:$B$301&amp;""),0),AW$5),0))</f>
        <v/>
      </c>
      <c r="AX94" s="350" t="str" cm="1">
        <f t="array" ref="AX94">IF(OR($A94="",AX$6=""),"",IFERROR(INDEX(Footfall!$C$5:$BZ$301,MATCH($A94,TRIM(Footfall!$B$5:$B$301&amp;""),0),AX$5),0))</f>
        <v/>
      </c>
      <c r="AY94" s="350" cm="1">
        <f t="array" aca="1" ref="AY94" ca="1">IF(AK94="","",IF($AJ94="",0,_xlfn.LET(_xlpm.d,IFERROR(--'Sales and count'!$F$2:$CB$2,0),SUMPRODUCT(('Sales and count'!$G$3:$CC$3="Transactions")*(_xlpm.d&gt;=AY$6)*(_xlpm.d&lt;=AY$7),INDEX('Sales and count'!$G$4:$CC$300,$AJ94,0)))))</f>
        <v>1314</v>
      </c>
      <c r="AZ94" s="350" cm="1">
        <f t="array" aca="1" ref="AZ94" ca="1">IF(AL94="","",IF($AJ94="",0,_xlfn.LET(_xlpm.d,IFERROR(--'Sales and count'!$F$2:$CB$2,0),SUMPRODUCT(('Sales and count'!$G$3:$CC$3="Transactions")*(_xlpm.d&gt;=AZ$6)*(_xlpm.d&lt;=AZ$7),INDEX('Sales and count'!$G$4:$CC$300,$AJ94,0)))))</f>
        <v>56</v>
      </c>
      <c r="BA94" s="350" cm="1">
        <f t="array" aca="1" ref="BA94" ca="1">IF(AM94="","",IF($AJ94="",0,_xlfn.LET(_xlpm.d,IFERROR(--'Sales and count'!$F$2:$CB$2,0),SUMPRODUCT(('Sales and count'!$G$3:$CC$3="Transactions")*(_xlpm.d&gt;=BA$6)*(_xlpm.d&lt;=BA$7),INDEX('Sales and count'!$G$4:$CC$300,$AJ94,0)))))</f>
        <v>52</v>
      </c>
      <c r="BB94" s="350" cm="1">
        <f t="array" aca="1" ref="BB94" ca="1">IF(AN94="","",IF($AJ94="",0,_xlfn.LET(_xlpm.d,IFERROR(--'Sales and count'!$F$2:$CB$2,0),SUMPRODUCT(('Sales and count'!$G$3:$CC$3="Transactions")*(_xlpm.d&gt;=BB$6)*(_xlpm.d&lt;=BB$7),INDEX('Sales and count'!$G$4:$CC$300,$AJ94,0)))))</f>
        <v>51</v>
      </c>
      <c r="BC94" s="350" cm="1">
        <f t="array" aca="1" ref="BC94" ca="1">IF(AO94="","",IF($AJ94="",0,_xlfn.LET(_xlpm.d,IFERROR(--'Sales and count'!$F$2:$CB$2,0),SUMPRODUCT(('Sales and count'!$G$3:$CC$3="Transactions")*(_xlpm.d&gt;=BC$6)*(_xlpm.d&lt;=BC$7),INDEX('Sales and count'!$G$4:$CC$300,$AJ94,0)))))</f>
        <v>59</v>
      </c>
      <c r="BD94" s="350" cm="1">
        <f t="array" aca="1" ref="BD94" ca="1">IF(AP94="","",IF($AJ94="",0,_xlfn.LET(_xlpm.d,IFERROR(--'Sales and count'!$F$2:$CB$2,0),SUMPRODUCT(('Sales and count'!$G$3:$CC$3="Transactions")*(_xlpm.d&gt;=BD$6)*(_xlpm.d&lt;=BD$7),INDEX('Sales and count'!$G$4:$CC$300,$AJ94,0)))))</f>
        <v>62</v>
      </c>
      <c r="BE94" s="350" cm="1">
        <f t="array" aca="1" ref="BE94" ca="1">IF(AQ94="","",IF($AJ94="",0,_xlfn.LET(_xlpm.d,IFERROR(--'Sales and count'!$F$2:$CB$2,0),SUMPRODUCT(('Sales and count'!$G$3:$CC$3="Transactions")*(_xlpm.d&gt;=BE$6)*(_xlpm.d&lt;=BE$7),INDEX('Sales and count'!$G$4:$CC$300,$AJ94,0)))))</f>
        <v>52</v>
      </c>
      <c r="BF94" s="350" cm="1">
        <f t="array" aca="1" ref="BF94" ca="1">IF(AR94="","",IF($AJ94="",0,_xlfn.LET(_xlpm.d,IFERROR(--'Sales and count'!$F$2:$CB$2,0),SUMPRODUCT(('Sales and count'!$G$3:$CC$3="Transactions")*(_xlpm.d&gt;=BF$6)*(_xlpm.d&lt;=BF$7),INDEX('Sales and count'!$G$4:$CC$300,$AJ94,0)))))</f>
        <v>45</v>
      </c>
      <c r="BG94" s="350" cm="1">
        <f t="array" aca="1" ref="BG94" ca="1">IF(AS94="","",IF($AJ94="",0,_xlfn.LET(_xlpm.d,IFERROR(--'Sales and count'!$F$2:$CB$2,0),SUMPRODUCT(('Sales and count'!$G$3:$CC$3="Transactions")*(_xlpm.d&gt;=BG$6)*(_xlpm.d&lt;=BG$7),INDEX('Sales and count'!$G$4:$CC$300,$AJ94,0)))))</f>
        <v>52</v>
      </c>
      <c r="BH94" s="350" t="str" cm="1">
        <f t="array" ref="BH94">IF(AT94="","",IF($AJ94="",0,_xlfn.LET(_xlpm.d,IFERROR(--'Sales and count'!$F$2:$CB$2,0),SUMPRODUCT(('Sales and count'!$G$3:$CC$3="Transactions")*(_xlpm.d&gt;=BH$6)*(_xlpm.d&lt;=BH$7),INDEX('Sales and count'!$G$4:$CC$300,$AJ94,0)))))</f>
        <v/>
      </c>
      <c r="BI94" s="350" t="str" cm="1">
        <f t="array" ref="BI94">IF(AU94="","",IF($AJ94="",0,_xlfn.LET(_xlpm.d,IFERROR(--'Sales and count'!$F$2:$CB$2,0),SUMPRODUCT(('Sales and count'!$G$3:$CC$3="Transactions")*(_xlpm.d&gt;=BI$6)*(_xlpm.d&lt;=BI$7),INDEX('Sales and count'!$G$4:$CC$300,$AJ94,0)))))</f>
        <v/>
      </c>
      <c r="BJ94" s="350" t="str" cm="1">
        <f t="array" ref="BJ94">IF(AV94="","",IF($AJ94="",0,_xlfn.LET(_xlpm.d,IFERROR(--'Sales and count'!$F$2:$CB$2,0),SUMPRODUCT(('Sales and count'!$G$3:$CC$3="Transactions")*(_xlpm.d&gt;=BJ$6)*(_xlpm.d&lt;=BJ$7),INDEX('Sales and count'!$G$4:$CC$300,$AJ94,0)))))</f>
        <v/>
      </c>
      <c r="BK94" s="350" t="str" cm="1">
        <f t="array" ref="BK94">IF(AW94="","",IF($AJ94="",0,_xlfn.LET(_xlpm.d,IFERROR(--'Sales and count'!$F$2:$CB$2,0),SUMPRODUCT(('Sales and count'!$G$3:$CC$3="Transactions")*(_xlpm.d&gt;=BK$6)*(_xlpm.d&lt;=BK$7),INDEX('Sales and count'!$G$4:$CC$300,$AJ94,0)))))</f>
        <v/>
      </c>
      <c r="BL94" s="350" t="str" cm="1">
        <f t="array" ref="BL94">IF(AX94="","",IF($AJ94="",0,_xlfn.LET(_xlpm.d,IFERROR(--'Sales and count'!$F$2:$CB$2,0),SUMPRODUCT(('Sales and count'!$G$3:$CC$3="Transactions")*(_xlpm.d&gt;=BL$6)*(_xlpm.d&lt;=BL$7),INDEX('Sales and count'!$G$4:$CC$300,$AJ94,0)))))</f>
        <v/>
      </c>
      <c r="BM94" s="350" cm="1">
        <f t="array" ref="BM94">IF(AK94="","",IF($AJ94="",0,_xlfn.LET(_xlpm.d,IFERROR(--'Sales and count'!$G$2:$CC$2,0),SUMPRODUCT(('Sales and count'!$G$3:$CC$3="Total")*(_xlpm.d&gt;=BM$6)*(_xlpm.d&lt;=BM$7),INDEX('Sales and count'!$G$4:$CC$300,$AJ94,0)))))</f>
        <v>205519.57000000004</v>
      </c>
      <c r="BN94" s="350" cm="1">
        <f t="array" ref="BN94">IF(AL94="","",IF($AJ94="",0,_xlfn.LET(_xlpm.d,IFERROR(--'Sales and count'!$G$2:$CC$2,0),SUMPRODUCT(('Sales and count'!$G$3:$CC$3="Total")*(_xlpm.d&gt;=BN$6)*(_xlpm.d&lt;=BN$7),INDEX('Sales and count'!$G$4:$CC$300,$AJ94,0)))))</f>
        <v>9697.11</v>
      </c>
      <c r="BO94" s="350" cm="1">
        <f t="array" ref="BO94">IF(AM94="","",IF($AJ94="",0,_xlfn.LET(_xlpm.d,IFERROR(--'Sales and count'!$G$2:$CC$2,0),SUMPRODUCT(('Sales and count'!$G$3:$CC$3="Total")*(_xlpm.d&gt;=BO$6)*(_xlpm.d&lt;=BO$7),INDEX('Sales and count'!$G$4:$CC$300,$AJ94,0)))))</f>
        <v>8956.14</v>
      </c>
      <c r="BP94" s="350" cm="1">
        <f t="array" ref="BP94">IF(AN94="","",IF($AJ94="",0,_xlfn.LET(_xlpm.d,IFERROR(--'Sales and count'!$G$2:$CC$2,0),SUMPRODUCT(('Sales and count'!$G$3:$CC$3="Total")*(_xlpm.d&gt;=BP$6)*(_xlpm.d&lt;=BP$7),INDEX('Sales and count'!$G$4:$CC$300,$AJ94,0)))))</f>
        <v>7847.07</v>
      </c>
      <c r="BQ94" s="350" cm="1">
        <f t="array" ref="BQ94">IF(AO94="","",IF($AJ94="",0,_xlfn.LET(_xlpm.d,IFERROR(--'Sales and count'!$G$2:$CC$2,0),SUMPRODUCT(('Sales and count'!$G$3:$CC$3="Total")*(_xlpm.d&gt;=BQ$6)*(_xlpm.d&lt;=BQ$7),INDEX('Sales and count'!$G$4:$CC$300,$AJ94,0)))))</f>
        <v>9812.43</v>
      </c>
      <c r="BR94" s="350" cm="1">
        <f t="array" ref="BR94">IF(AP94="","",IF($AJ94="",0,_xlfn.LET(_xlpm.d,IFERROR(--'Sales and count'!$G$2:$CC$2,0),SUMPRODUCT(('Sales and count'!$G$3:$CC$3="Total")*(_xlpm.d&gt;=BR$6)*(_xlpm.d&lt;=BR$7),INDEX('Sales and count'!$G$4:$CC$300,$AJ94,0)))))</f>
        <v>11032.38</v>
      </c>
      <c r="BS94" s="350" cm="1">
        <f t="array" ref="BS94">IF(AQ94="","",IF($AJ94="",0,_xlfn.LET(_xlpm.d,IFERROR(--'Sales and count'!$G$2:$CC$2,0),SUMPRODUCT(('Sales and count'!$G$3:$CC$3="Total")*(_xlpm.d&gt;=BS$6)*(_xlpm.d&lt;=BS$7),INDEX('Sales and count'!$G$4:$CC$300,$AJ94,0)))))</f>
        <v>8958.52</v>
      </c>
      <c r="BT94" s="350" cm="1">
        <f t="array" ref="BT94">IF(AR94="","",IF($AJ94="",0,_xlfn.LET(_xlpm.d,IFERROR(--'Sales and count'!$G$2:$CC$2,0),SUMPRODUCT(('Sales and count'!$G$3:$CC$3="Total")*(_xlpm.d&gt;=BT$6)*(_xlpm.d&lt;=BT$7),INDEX('Sales and count'!$G$4:$CC$300,$AJ94,0)))))</f>
        <v>7712.56</v>
      </c>
      <c r="BU94" s="350" cm="1">
        <f t="array" ref="BU94">IF(AS94="","",IF($AJ94="",0,_xlfn.LET(_xlpm.d,IFERROR(--'Sales and count'!$G$2:$CC$2,0),SUMPRODUCT(('Sales and count'!$G$3:$CC$3="Total")*(_xlpm.d&gt;=BU$6)*(_xlpm.d&lt;=BU$7),INDEX('Sales and count'!$G$4:$CC$300,$AJ94,0)))))</f>
        <v>10804.63</v>
      </c>
      <c r="BV94" s="350" t="str" cm="1">
        <f t="array" ref="BV94">IF(AT94="","",IF($AJ94="",0,_xlfn.LET(_xlpm.d,IFERROR(--'Sales and count'!$G$2:$CC$2,0),SUMPRODUCT(('Sales and count'!$G$3:$CC$3="Total")*(_xlpm.d&gt;=BV$6)*(_xlpm.d&lt;=BV$7),INDEX('Sales and count'!$G$4:$CC$300,$AJ94,0)))))</f>
        <v/>
      </c>
      <c r="BW94" s="350" t="str" cm="1">
        <f t="array" ref="BW94">IF(AU94="","",IF($AJ94="",0,_xlfn.LET(_xlpm.d,IFERROR(--'Sales and count'!$G$2:$CC$2,0),SUMPRODUCT(('Sales and count'!$G$3:$CC$3="Total")*(_xlpm.d&gt;=BW$6)*(_xlpm.d&lt;=BW$7),INDEX('Sales and count'!$G$4:$CC$300,$AJ94,0)))))</f>
        <v/>
      </c>
      <c r="BX94" s="350" t="str" cm="1">
        <f t="array" ref="BX94">IF(AV94="","",IF($AJ94="",0,_xlfn.LET(_xlpm.d,IFERROR(--'Sales and count'!$G$2:$CC$2,0),SUMPRODUCT(('Sales and count'!$G$3:$CC$3="Total")*(_xlpm.d&gt;=BX$6)*(_xlpm.d&lt;=BX$7),INDEX('Sales and count'!$G$4:$CC$300,$AJ94,0)))))</f>
        <v/>
      </c>
      <c r="BY94" s="350" t="str" cm="1">
        <f t="array" ref="BY94">IF(AW94="","",IF($AJ94="",0,_xlfn.LET(_xlpm.d,IFERROR(--'Sales and count'!$G$2:$CC$2,0),SUMPRODUCT(('Sales and count'!$G$3:$CC$3="Total")*(_xlpm.d&gt;=BY$6)*(_xlpm.d&lt;=BY$7),INDEX('Sales and count'!$G$4:$CC$300,$AJ94,0)))))</f>
        <v/>
      </c>
      <c r="BZ94" s="350" t="str" cm="1">
        <f t="array" ref="BZ94">IF(AX94="","",IF($AJ94="",0,_xlfn.LET(_xlpm.d,IFERROR(--'Sales and count'!$G$2:$CC$2,0),SUMPRODUCT(('Sales and count'!$G$3:$CC$3="Total")*(_xlpm.d&gt;=BZ$6)*(_xlpm.d&lt;=BZ$7),INDEX('Sales and count'!$G$4:$CC$300,$AJ94,0)))))</f>
        <v/>
      </c>
    </row>
    <row r="95" spans="1:78" x14ac:dyDescent="0.25">
      <c r="A95" s="356" t="str">
        <v>RYDNAKHL</v>
      </c>
      <c r="B95" s="356" t="str" cm="1">
        <f t="array" ref="B95">IF($A95="","",_xlfn.XLOOKUP($A95,TRIM(Footfall!$B$5:$B$301&amp;""),Footfall!$A$5:$A$301,""))</f>
        <v>Nakheel Mall Riyadh</v>
      </c>
      <c r="C95" s="356" t="str" cm="1">
        <f t="array" ref="C95">IF($A95="","",_xlfn.XLOOKUP($A95,TRIM('Sales and count'!$A$4:$A$300&amp;""),'Sales and count'!$C$4:$C$300,"Not set"))</f>
        <v>Riyadh</v>
      </c>
      <c r="D95" s="357">
        <f t="shared" ca="1" si="53"/>
        <v>0.175625</v>
      </c>
      <c r="E95" s="357">
        <f t="shared" ca="1" si="54"/>
        <v>0.14594594594594595</v>
      </c>
      <c r="F95" s="357">
        <f t="shared" ca="1" si="55"/>
        <v>0.14410480349344978</v>
      </c>
      <c r="G95" s="357">
        <f t="shared" ca="1" si="56"/>
        <v>0.17916666666666667</v>
      </c>
      <c r="H95" s="357">
        <f t="shared" ca="1" si="57"/>
        <v>0.16738197424892703</v>
      </c>
      <c r="I95" s="357">
        <f t="shared" ca="1" si="58"/>
        <v>0.13333333333333333</v>
      </c>
      <c r="J95" s="357">
        <f t="shared" ca="1" si="59"/>
        <v>0.18055555555555555</v>
      </c>
      <c r="K95" s="357">
        <f t="shared" ca="1" si="60"/>
        <v>0.12</v>
      </c>
      <c r="L95" s="357">
        <f t="shared" ca="1" si="61"/>
        <v>0.15976331360946747</v>
      </c>
      <c r="M95" s="357" t="str">
        <f t="shared" si="62"/>
        <v/>
      </c>
      <c r="N95" s="357" t="str">
        <f t="shared" si="63"/>
        <v/>
      </c>
      <c r="O95" s="357" t="str">
        <f t="shared" si="64"/>
        <v/>
      </c>
      <c r="P95" s="357" t="str">
        <f t="shared" si="65"/>
        <v/>
      </c>
      <c r="Q95" s="357" t="str">
        <f t="shared" si="66"/>
        <v/>
      </c>
      <c r="R95" s="358" cm="1">
        <f t="array" aca="1" ref="R95" ca="1">IF(OR($A95="",D95=""),"",IFERROR(LOOKUP(2,1/(E95:Q95&lt;&gt;""),E95:Q95)-D95,""))</f>
        <v>-1.5861686390532537E-2</v>
      </c>
      <c r="S95" s="349"/>
      <c r="T95" s="362">
        <f t="shared" ca="1" si="67"/>
        <v>145.89121886120998</v>
      </c>
      <c r="U95" s="362">
        <f t="shared" ca="1" si="68"/>
        <v>159.81629629629629</v>
      </c>
      <c r="V95" s="362">
        <f t="shared" ca="1" si="69"/>
        <v>163.85151515151517</v>
      </c>
      <c r="W95" s="362">
        <f t="shared" ca="1" si="70"/>
        <v>174.56</v>
      </c>
      <c r="X95" s="362">
        <f t="shared" ca="1" si="71"/>
        <v>143.66205128205127</v>
      </c>
      <c r="Y95" s="362">
        <f t="shared" ca="1" si="72"/>
        <v>159.50833333333335</v>
      </c>
      <c r="Z95" s="362">
        <f t="shared" ca="1" si="73"/>
        <v>189.62615384615384</v>
      </c>
      <c r="AA95" s="362">
        <f t="shared" ca="1" si="74"/>
        <v>171.488</v>
      </c>
      <c r="AB95" s="362">
        <f t="shared" ca="1" si="75"/>
        <v>145.23222222222222</v>
      </c>
      <c r="AC95" s="362" t="str">
        <f t="shared" si="76"/>
        <v/>
      </c>
      <c r="AD95" s="362" t="str">
        <f t="shared" si="77"/>
        <v/>
      </c>
      <c r="AE95" s="362" t="str">
        <f t="shared" si="78"/>
        <v/>
      </c>
      <c r="AF95" s="362" t="str">
        <f t="shared" si="79"/>
        <v/>
      </c>
      <c r="AG95" s="362" t="str">
        <f t="shared" si="80"/>
        <v/>
      </c>
      <c r="AH95" s="363" cm="1">
        <f t="array" aca="1" ref="AH95" ca="1">IF(OR($A95="",T95=""),"",IFERROR(LOOKUP(2,1/(U95:AG95&lt;&gt;""),U95:AG95)-T95,""))</f>
        <v>-0.65899663898775884</v>
      </c>
      <c r="AI95" s="349"/>
      <c r="AJ95" s="349" cm="1">
        <f t="array" ref="AJ95">IF($A95="","",IFERROR(MATCH($A95,TRIM('Sales and count'!$A$4:$A$300&amp;""),0),""))</f>
        <v>58</v>
      </c>
      <c r="AK95" s="350" cm="1">
        <f t="array" ref="AK95">IF(OR($A95="",AK$6=""),"",IFERROR(INDEX(Footfall!$C$5:$BZ$301,MATCH($A95,TRIM(Footfall!$B$5:$B$301&amp;""),0),AK$5),0))</f>
        <v>6400</v>
      </c>
      <c r="AL95" s="350" cm="1">
        <f t="array" ref="AL95">IF(OR($A95="",AL$6=""),"",IFERROR(INDEX(Footfall!$C$5:$BZ$301,MATCH($A95,TRIM(Footfall!$B$5:$B$301&amp;""),0),AL$5),0))</f>
        <v>185</v>
      </c>
      <c r="AM95" s="350" cm="1">
        <f t="array" ref="AM95">IF(OR($A95="",AM$6=""),"",IFERROR(INDEX(Footfall!$C$5:$BZ$301,MATCH($A95,TRIM(Footfall!$B$5:$B$301&amp;""),0),AM$5),0))</f>
        <v>229</v>
      </c>
      <c r="AN95" s="350" cm="1">
        <f t="array" ref="AN95">IF(OR($A95="",AN$6=""),"",IFERROR(INDEX(Footfall!$C$5:$BZ$301,MATCH($A95,TRIM(Footfall!$B$5:$B$301&amp;""),0),AN$5),0))</f>
        <v>240</v>
      </c>
      <c r="AO95" s="350" cm="1">
        <f t="array" ref="AO95">IF(OR($A95="",AO$6=""),"",IFERROR(INDEX(Footfall!$C$5:$BZ$301,MATCH($A95,TRIM(Footfall!$B$5:$B$301&amp;""),0),AO$5),0))</f>
        <v>233</v>
      </c>
      <c r="AP95" s="350" cm="1">
        <f t="array" ref="AP95">IF(OR($A95="",AP$6=""),"",IFERROR(INDEX(Footfall!$C$5:$BZ$301,MATCH($A95,TRIM(Footfall!$B$5:$B$301&amp;""),0),AP$5),0))</f>
        <v>405</v>
      </c>
      <c r="AQ95" s="350" cm="1">
        <f t="array" ref="AQ95">IF(OR($A95="",AQ$6=""),"",IFERROR(INDEX(Footfall!$C$5:$BZ$301,MATCH($A95,TRIM(Footfall!$B$5:$B$301&amp;""),0),AQ$5),0))</f>
        <v>288</v>
      </c>
      <c r="AR95" s="350" cm="1">
        <f t="array" ref="AR95">IF(OR($A95="",AR$6=""),"",IFERROR(INDEX(Footfall!$C$5:$BZ$301,MATCH($A95,TRIM(Footfall!$B$5:$B$301&amp;""),0),AR$5),0))</f>
        <v>250</v>
      </c>
      <c r="AS95" s="350" cm="1">
        <f t="array" ref="AS95">IF(OR($A95="",AS$6=""),"",IFERROR(INDEX(Footfall!$C$5:$BZ$301,MATCH($A95,TRIM(Footfall!$B$5:$B$301&amp;""),0),AS$5),0))</f>
        <v>169</v>
      </c>
      <c r="AT95" s="350" t="str" cm="1">
        <f t="array" ref="AT95">IF(OR($A95="",AT$6=""),"",IFERROR(INDEX(Footfall!$C$5:$BZ$301,MATCH($A95,TRIM(Footfall!$B$5:$B$301&amp;""),0),AT$5),0))</f>
        <v/>
      </c>
      <c r="AU95" s="350" t="str" cm="1">
        <f t="array" ref="AU95">IF(OR($A95="",AU$6=""),"",IFERROR(INDEX(Footfall!$C$5:$BZ$301,MATCH($A95,TRIM(Footfall!$B$5:$B$301&amp;""),0),AU$5),0))</f>
        <v/>
      </c>
      <c r="AV95" s="350" t="str" cm="1">
        <f t="array" ref="AV95">IF(OR($A95="",AV$6=""),"",IFERROR(INDEX(Footfall!$C$5:$BZ$301,MATCH($A95,TRIM(Footfall!$B$5:$B$301&amp;""),0),AV$5),0))</f>
        <v/>
      </c>
      <c r="AW95" s="350" t="str" cm="1">
        <f t="array" ref="AW95">IF(OR($A95="",AW$6=""),"",IFERROR(INDEX(Footfall!$C$5:$BZ$301,MATCH($A95,TRIM(Footfall!$B$5:$B$301&amp;""),0),AW$5),0))</f>
        <v/>
      </c>
      <c r="AX95" s="350" t="str" cm="1">
        <f t="array" ref="AX95">IF(OR($A95="",AX$6=""),"",IFERROR(INDEX(Footfall!$C$5:$BZ$301,MATCH($A95,TRIM(Footfall!$B$5:$B$301&amp;""),0),AX$5),0))</f>
        <v/>
      </c>
      <c r="AY95" s="350" cm="1">
        <f t="array" aca="1" ref="AY95" ca="1">IF(AK95="","",IF($AJ95="",0,_xlfn.LET(_xlpm.d,IFERROR(--'Sales and count'!$F$2:$CB$2,0),SUMPRODUCT(('Sales and count'!$G$3:$CC$3="Transactions")*(_xlpm.d&gt;=AY$6)*(_xlpm.d&lt;=AY$7),INDEX('Sales and count'!$G$4:$CC$300,$AJ95,0)))))</f>
        <v>1124</v>
      </c>
      <c r="AZ95" s="350" cm="1">
        <f t="array" aca="1" ref="AZ95" ca="1">IF(AL95="","",IF($AJ95="",0,_xlfn.LET(_xlpm.d,IFERROR(--'Sales and count'!$F$2:$CB$2,0),SUMPRODUCT(('Sales and count'!$G$3:$CC$3="Transactions")*(_xlpm.d&gt;=AZ$6)*(_xlpm.d&lt;=AZ$7),INDEX('Sales and count'!$G$4:$CC$300,$AJ95,0)))))</f>
        <v>27</v>
      </c>
      <c r="BA95" s="350" cm="1">
        <f t="array" aca="1" ref="BA95" ca="1">IF(AM95="","",IF($AJ95="",0,_xlfn.LET(_xlpm.d,IFERROR(--'Sales and count'!$F$2:$CB$2,0),SUMPRODUCT(('Sales and count'!$G$3:$CC$3="Transactions")*(_xlpm.d&gt;=BA$6)*(_xlpm.d&lt;=BA$7),INDEX('Sales and count'!$G$4:$CC$300,$AJ95,0)))))</f>
        <v>33</v>
      </c>
      <c r="BB95" s="350" cm="1">
        <f t="array" aca="1" ref="BB95" ca="1">IF(AN95="","",IF($AJ95="",0,_xlfn.LET(_xlpm.d,IFERROR(--'Sales and count'!$F$2:$CB$2,0),SUMPRODUCT(('Sales and count'!$G$3:$CC$3="Transactions")*(_xlpm.d&gt;=BB$6)*(_xlpm.d&lt;=BB$7),INDEX('Sales and count'!$G$4:$CC$300,$AJ95,0)))))</f>
        <v>43</v>
      </c>
      <c r="BC95" s="350" cm="1">
        <f t="array" aca="1" ref="BC95" ca="1">IF(AO95="","",IF($AJ95="",0,_xlfn.LET(_xlpm.d,IFERROR(--'Sales and count'!$F$2:$CB$2,0),SUMPRODUCT(('Sales and count'!$G$3:$CC$3="Transactions")*(_xlpm.d&gt;=BC$6)*(_xlpm.d&lt;=BC$7),INDEX('Sales and count'!$G$4:$CC$300,$AJ95,0)))))</f>
        <v>39</v>
      </c>
      <c r="BD95" s="350" cm="1">
        <f t="array" aca="1" ref="BD95" ca="1">IF(AP95="","",IF($AJ95="",0,_xlfn.LET(_xlpm.d,IFERROR(--'Sales and count'!$F$2:$CB$2,0),SUMPRODUCT(('Sales and count'!$G$3:$CC$3="Transactions")*(_xlpm.d&gt;=BD$6)*(_xlpm.d&lt;=BD$7),INDEX('Sales and count'!$G$4:$CC$300,$AJ95,0)))))</f>
        <v>54</v>
      </c>
      <c r="BE95" s="350" cm="1">
        <f t="array" aca="1" ref="BE95" ca="1">IF(AQ95="","",IF($AJ95="",0,_xlfn.LET(_xlpm.d,IFERROR(--'Sales and count'!$F$2:$CB$2,0),SUMPRODUCT(('Sales and count'!$G$3:$CC$3="Transactions")*(_xlpm.d&gt;=BE$6)*(_xlpm.d&lt;=BE$7),INDEX('Sales and count'!$G$4:$CC$300,$AJ95,0)))))</f>
        <v>52</v>
      </c>
      <c r="BF95" s="350" cm="1">
        <f t="array" aca="1" ref="BF95" ca="1">IF(AR95="","",IF($AJ95="",0,_xlfn.LET(_xlpm.d,IFERROR(--'Sales and count'!$F$2:$CB$2,0),SUMPRODUCT(('Sales and count'!$G$3:$CC$3="Transactions")*(_xlpm.d&gt;=BF$6)*(_xlpm.d&lt;=BF$7),INDEX('Sales and count'!$G$4:$CC$300,$AJ95,0)))))</f>
        <v>30</v>
      </c>
      <c r="BG95" s="350" cm="1">
        <f t="array" aca="1" ref="BG95" ca="1">IF(AS95="","",IF($AJ95="",0,_xlfn.LET(_xlpm.d,IFERROR(--'Sales and count'!$F$2:$CB$2,0),SUMPRODUCT(('Sales and count'!$G$3:$CC$3="Transactions")*(_xlpm.d&gt;=BG$6)*(_xlpm.d&lt;=BG$7),INDEX('Sales and count'!$G$4:$CC$300,$AJ95,0)))))</f>
        <v>27</v>
      </c>
      <c r="BH95" s="350" t="str" cm="1">
        <f t="array" ref="BH95">IF(AT95="","",IF($AJ95="",0,_xlfn.LET(_xlpm.d,IFERROR(--'Sales and count'!$F$2:$CB$2,0),SUMPRODUCT(('Sales and count'!$G$3:$CC$3="Transactions")*(_xlpm.d&gt;=BH$6)*(_xlpm.d&lt;=BH$7),INDEX('Sales and count'!$G$4:$CC$300,$AJ95,0)))))</f>
        <v/>
      </c>
      <c r="BI95" s="350" t="str" cm="1">
        <f t="array" ref="BI95">IF(AU95="","",IF($AJ95="",0,_xlfn.LET(_xlpm.d,IFERROR(--'Sales and count'!$F$2:$CB$2,0),SUMPRODUCT(('Sales and count'!$G$3:$CC$3="Transactions")*(_xlpm.d&gt;=BI$6)*(_xlpm.d&lt;=BI$7),INDEX('Sales and count'!$G$4:$CC$300,$AJ95,0)))))</f>
        <v/>
      </c>
      <c r="BJ95" s="350" t="str" cm="1">
        <f t="array" ref="BJ95">IF(AV95="","",IF($AJ95="",0,_xlfn.LET(_xlpm.d,IFERROR(--'Sales and count'!$F$2:$CB$2,0),SUMPRODUCT(('Sales and count'!$G$3:$CC$3="Transactions")*(_xlpm.d&gt;=BJ$6)*(_xlpm.d&lt;=BJ$7),INDEX('Sales and count'!$G$4:$CC$300,$AJ95,0)))))</f>
        <v/>
      </c>
      <c r="BK95" s="350" t="str" cm="1">
        <f t="array" ref="BK95">IF(AW95="","",IF($AJ95="",0,_xlfn.LET(_xlpm.d,IFERROR(--'Sales and count'!$F$2:$CB$2,0),SUMPRODUCT(('Sales and count'!$G$3:$CC$3="Transactions")*(_xlpm.d&gt;=BK$6)*(_xlpm.d&lt;=BK$7),INDEX('Sales and count'!$G$4:$CC$300,$AJ95,0)))))</f>
        <v/>
      </c>
      <c r="BL95" s="350" t="str" cm="1">
        <f t="array" ref="BL95">IF(AX95="","",IF($AJ95="",0,_xlfn.LET(_xlpm.d,IFERROR(--'Sales and count'!$F$2:$CB$2,0),SUMPRODUCT(('Sales and count'!$G$3:$CC$3="Transactions")*(_xlpm.d&gt;=BL$6)*(_xlpm.d&lt;=BL$7),INDEX('Sales and count'!$G$4:$CC$300,$AJ95,0)))))</f>
        <v/>
      </c>
      <c r="BM95" s="350" cm="1">
        <f t="array" ref="BM95">IF(AK95="","",IF($AJ95="",0,_xlfn.LET(_xlpm.d,IFERROR(--'Sales and count'!$G$2:$CC$2,0),SUMPRODUCT(('Sales and count'!$G$3:$CC$3="Total")*(_xlpm.d&gt;=BM$6)*(_xlpm.d&lt;=BM$7),INDEX('Sales and count'!$G$4:$CC$300,$AJ95,0)))))</f>
        <v>163981.73000000001</v>
      </c>
      <c r="BN95" s="350" cm="1">
        <f t="array" ref="BN95">IF(AL95="","",IF($AJ95="",0,_xlfn.LET(_xlpm.d,IFERROR(--'Sales and count'!$G$2:$CC$2,0),SUMPRODUCT(('Sales and count'!$G$3:$CC$3="Total")*(_xlpm.d&gt;=BN$6)*(_xlpm.d&lt;=BN$7),INDEX('Sales and count'!$G$4:$CC$300,$AJ95,0)))))</f>
        <v>4315.04</v>
      </c>
      <c r="BO95" s="350" cm="1">
        <f t="array" ref="BO95">IF(AM95="","",IF($AJ95="",0,_xlfn.LET(_xlpm.d,IFERROR(--'Sales and count'!$G$2:$CC$2,0),SUMPRODUCT(('Sales and count'!$G$3:$CC$3="Total")*(_xlpm.d&gt;=BO$6)*(_xlpm.d&lt;=BO$7),INDEX('Sales and count'!$G$4:$CC$300,$AJ95,0)))))</f>
        <v>5407.1</v>
      </c>
      <c r="BP95" s="350" cm="1">
        <f t="array" ref="BP95">IF(AN95="","",IF($AJ95="",0,_xlfn.LET(_xlpm.d,IFERROR(--'Sales and count'!$G$2:$CC$2,0),SUMPRODUCT(('Sales and count'!$G$3:$CC$3="Total")*(_xlpm.d&gt;=BP$6)*(_xlpm.d&lt;=BP$7),INDEX('Sales and count'!$G$4:$CC$300,$AJ95,0)))))</f>
        <v>7506.08</v>
      </c>
      <c r="BQ95" s="350" cm="1">
        <f t="array" ref="BQ95">IF(AO95="","",IF($AJ95="",0,_xlfn.LET(_xlpm.d,IFERROR(--'Sales and count'!$G$2:$CC$2,0),SUMPRODUCT(('Sales and count'!$G$3:$CC$3="Total")*(_xlpm.d&gt;=BQ$6)*(_xlpm.d&lt;=BQ$7),INDEX('Sales and count'!$G$4:$CC$300,$AJ95,0)))))</f>
        <v>5602.82</v>
      </c>
      <c r="BR95" s="350" cm="1">
        <f t="array" ref="BR95">IF(AP95="","",IF($AJ95="",0,_xlfn.LET(_xlpm.d,IFERROR(--'Sales and count'!$G$2:$CC$2,0),SUMPRODUCT(('Sales and count'!$G$3:$CC$3="Total")*(_xlpm.d&gt;=BR$6)*(_xlpm.d&lt;=BR$7),INDEX('Sales and count'!$G$4:$CC$300,$AJ95,0)))))</f>
        <v>8613.4500000000007</v>
      </c>
      <c r="BS95" s="350" cm="1">
        <f t="array" ref="BS95">IF(AQ95="","",IF($AJ95="",0,_xlfn.LET(_xlpm.d,IFERROR(--'Sales and count'!$G$2:$CC$2,0),SUMPRODUCT(('Sales and count'!$G$3:$CC$3="Total")*(_xlpm.d&gt;=BS$6)*(_xlpm.d&lt;=BS$7),INDEX('Sales and count'!$G$4:$CC$300,$AJ95,0)))))</f>
        <v>9860.56</v>
      </c>
      <c r="BT95" s="350" cm="1">
        <f t="array" ref="BT95">IF(AR95="","",IF($AJ95="",0,_xlfn.LET(_xlpm.d,IFERROR(--'Sales and count'!$G$2:$CC$2,0),SUMPRODUCT(('Sales and count'!$G$3:$CC$3="Total")*(_xlpm.d&gt;=BT$6)*(_xlpm.d&lt;=BT$7),INDEX('Sales and count'!$G$4:$CC$300,$AJ95,0)))))</f>
        <v>5144.6400000000003</v>
      </c>
      <c r="BU95" s="350" cm="1">
        <f t="array" ref="BU95">IF(AS95="","",IF($AJ95="",0,_xlfn.LET(_xlpm.d,IFERROR(--'Sales and count'!$G$2:$CC$2,0),SUMPRODUCT(('Sales and count'!$G$3:$CC$3="Total")*(_xlpm.d&gt;=BU$6)*(_xlpm.d&lt;=BU$7),INDEX('Sales and count'!$G$4:$CC$300,$AJ95,0)))))</f>
        <v>3921.27</v>
      </c>
      <c r="BV95" s="350" t="str" cm="1">
        <f t="array" ref="BV95">IF(AT95="","",IF($AJ95="",0,_xlfn.LET(_xlpm.d,IFERROR(--'Sales and count'!$G$2:$CC$2,0),SUMPRODUCT(('Sales and count'!$G$3:$CC$3="Total")*(_xlpm.d&gt;=BV$6)*(_xlpm.d&lt;=BV$7),INDEX('Sales and count'!$G$4:$CC$300,$AJ95,0)))))</f>
        <v/>
      </c>
      <c r="BW95" s="350" t="str" cm="1">
        <f t="array" ref="BW95">IF(AU95="","",IF($AJ95="",0,_xlfn.LET(_xlpm.d,IFERROR(--'Sales and count'!$G$2:$CC$2,0),SUMPRODUCT(('Sales and count'!$G$3:$CC$3="Total")*(_xlpm.d&gt;=BW$6)*(_xlpm.d&lt;=BW$7),INDEX('Sales and count'!$G$4:$CC$300,$AJ95,0)))))</f>
        <v/>
      </c>
      <c r="BX95" s="350" t="str" cm="1">
        <f t="array" ref="BX95">IF(AV95="","",IF($AJ95="",0,_xlfn.LET(_xlpm.d,IFERROR(--'Sales and count'!$G$2:$CC$2,0),SUMPRODUCT(('Sales and count'!$G$3:$CC$3="Total")*(_xlpm.d&gt;=BX$6)*(_xlpm.d&lt;=BX$7),INDEX('Sales and count'!$G$4:$CC$300,$AJ95,0)))))</f>
        <v/>
      </c>
      <c r="BY95" s="350" t="str" cm="1">
        <f t="array" ref="BY95">IF(AW95="","",IF($AJ95="",0,_xlfn.LET(_xlpm.d,IFERROR(--'Sales and count'!$G$2:$CC$2,0),SUMPRODUCT(('Sales and count'!$G$3:$CC$3="Total")*(_xlpm.d&gt;=BY$6)*(_xlpm.d&lt;=BY$7),INDEX('Sales and count'!$G$4:$CC$300,$AJ95,0)))))</f>
        <v/>
      </c>
      <c r="BZ95" s="350" t="str" cm="1">
        <f t="array" ref="BZ95">IF(AX95="","",IF($AJ95="",0,_xlfn.LET(_xlpm.d,IFERROR(--'Sales and count'!$G$2:$CC$2,0),SUMPRODUCT(('Sales and count'!$G$3:$CC$3="Total")*(_xlpm.d&gt;=BZ$6)*(_xlpm.d&lt;=BZ$7),INDEX('Sales and count'!$G$4:$CC$300,$AJ95,0)))))</f>
        <v/>
      </c>
    </row>
    <row r="96" spans="1:78" x14ac:dyDescent="0.25">
      <c r="A96" s="356" t="str">
        <v>HAKHURAIS</v>
      </c>
      <c r="B96" s="356" t="str" cm="1">
        <f t="array" ref="B96">IF($A96="","",_xlfn.XLOOKUP($A96,TRIM(Footfall!$B$5:$B$301&amp;""),Footfall!$A$5:$A$301,""))</f>
        <v>Othaim Khuraish Riyadh</v>
      </c>
      <c r="C96" s="356" t="str" cm="1">
        <f t="array" ref="C96">IF($A96="","",_xlfn.XLOOKUP($A96,TRIM('Sales and count'!$A$4:$A$300&amp;""),'Sales and count'!$C$4:$C$300,"Not set"))</f>
        <v>Riyadh</v>
      </c>
      <c r="D96" s="357">
        <f t="shared" ca="1" si="53"/>
        <v>0.12160199211454659</v>
      </c>
      <c r="E96" s="357">
        <f t="shared" ca="1" si="54"/>
        <v>0.13775510204081631</v>
      </c>
      <c r="F96" s="357">
        <f t="shared" ca="1" si="55"/>
        <v>0.14457831325301204</v>
      </c>
      <c r="G96" s="357">
        <f t="shared" ca="1" si="56"/>
        <v>9.125475285171103E-2</v>
      </c>
      <c r="H96" s="357">
        <f t="shared" ca="1" si="57"/>
        <v>9.4488188976377951E-2</v>
      </c>
      <c r="I96" s="357">
        <f t="shared" ca="1" si="58"/>
        <v>0.1111111111111111</v>
      </c>
      <c r="J96" s="357">
        <f t="shared" ca="1" si="59"/>
        <v>8.7628865979381437E-2</v>
      </c>
      <c r="K96" s="357">
        <f t="shared" ca="1" si="60"/>
        <v>0.10497237569060773</v>
      </c>
      <c r="L96" s="357">
        <f t="shared" ca="1" si="61"/>
        <v>0.11188811188811189</v>
      </c>
      <c r="M96" s="357" t="str">
        <f t="shared" si="62"/>
        <v/>
      </c>
      <c r="N96" s="357" t="str">
        <f t="shared" si="63"/>
        <v/>
      </c>
      <c r="O96" s="357" t="str">
        <f t="shared" si="64"/>
        <v/>
      </c>
      <c r="P96" s="357" t="str">
        <f t="shared" si="65"/>
        <v/>
      </c>
      <c r="Q96" s="357" t="str">
        <f t="shared" si="66"/>
        <v/>
      </c>
      <c r="R96" s="358" cm="1">
        <f t="array" aca="1" ref="R96" ca="1">IF(OR($A96="",D96=""),"",IFERROR(LOOKUP(2,1/(E96:Q96&lt;&gt;""),E96:Q96)-D96,""))</f>
        <v>-9.7138802264346985E-3</v>
      </c>
      <c r="S96" s="349"/>
      <c r="T96" s="362">
        <f t="shared" ca="1" si="67"/>
        <v>125.264795221843</v>
      </c>
      <c r="U96" s="362">
        <f t="shared" ca="1" si="68"/>
        <v>125.74222222222222</v>
      </c>
      <c r="V96" s="362">
        <f t="shared" ca="1" si="69"/>
        <v>135.54333333333332</v>
      </c>
      <c r="W96" s="362">
        <f t="shared" ca="1" si="70"/>
        <v>156.0025</v>
      </c>
      <c r="X96" s="362">
        <f t="shared" ca="1" si="71"/>
        <v>155.82666666666668</v>
      </c>
      <c r="Y96" s="362">
        <f t="shared" ca="1" si="72"/>
        <v>166.67896551724135</v>
      </c>
      <c r="Z96" s="362">
        <f t="shared" ca="1" si="73"/>
        <v>183.1658823529412</v>
      </c>
      <c r="AA96" s="362">
        <f t="shared" ca="1" si="74"/>
        <v>146.73052631578949</v>
      </c>
      <c r="AB96" s="362">
        <f t="shared" ca="1" si="75"/>
        <v>136.88249999999999</v>
      </c>
      <c r="AC96" s="362" t="str">
        <f t="shared" si="76"/>
        <v/>
      </c>
      <c r="AD96" s="362" t="str">
        <f t="shared" si="77"/>
        <v/>
      </c>
      <c r="AE96" s="362" t="str">
        <f t="shared" si="78"/>
        <v/>
      </c>
      <c r="AF96" s="362" t="str">
        <f t="shared" si="79"/>
        <v/>
      </c>
      <c r="AG96" s="362" t="str">
        <f t="shared" si="80"/>
        <v/>
      </c>
      <c r="AH96" s="363" cm="1">
        <f t="array" aca="1" ref="AH96" ca="1">IF(OR($A96="",T96=""),"",IFERROR(LOOKUP(2,1/(U96:AG96&lt;&gt;""),U96:AG96)-T96,""))</f>
        <v>11.617704778156991</v>
      </c>
      <c r="AI96" s="349"/>
      <c r="AJ96" s="349" cm="1">
        <f t="array" ref="AJ96">IF($A96="","",IFERROR(MATCH($A96,TRIM('Sales and count'!$A$4:$A$300&amp;""),0),""))</f>
        <v>102</v>
      </c>
      <c r="AK96" s="350" cm="1">
        <f t="array" ref="AK96">IF(OR($A96="",AK$6=""),"",IFERROR(INDEX(Footfall!$C$5:$BZ$301,MATCH($A96,TRIM(Footfall!$B$5:$B$301&amp;""),0),AK$5),0))</f>
        <v>4819</v>
      </c>
      <c r="AL96" s="350" cm="1">
        <f t="array" ref="AL96">IF(OR($A96="",AL$6=""),"",IFERROR(INDEX(Footfall!$C$5:$BZ$301,MATCH($A96,TRIM(Footfall!$B$5:$B$301&amp;""),0),AL$5),0))</f>
        <v>196</v>
      </c>
      <c r="AM96" s="350" cm="1">
        <f t="array" ref="AM96">IF(OR($A96="",AM$6=""),"",IFERROR(INDEX(Footfall!$C$5:$BZ$301,MATCH($A96,TRIM(Footfall!$B$5:$B$301&amp;""),0),AM$5),0))</f>
        <v>166</v>
      </c>
      <c r="AN96" s="350" cm="1">
        <f t="array" ref="AN96">IF(OR($A96="",AN$6=""),"",IFERROR(INDEX(Footfall!$C$5:$BZ$301,MATCH($A96,TRIM(Footfall!$B$5:$B$301&amp;""),0),AN$5),0))</f>
        <v>263</v>
      </c>
      <c r="AO96" s="350" cm="1">
        <f t="array" ref="AO96">IF(OR($A96="",AO$6=""),"",IFERROR(INDEX(Footfall!$C$5:$BZ$301,MATCH($A96,TRIM(Footfall!$B$5:$B$301&amp;""),0),AO$5),0))</f>
        <v>254</v>
      </c>
      <c r="AP96" s="350" cm="1">
        <f t="array" ref="AP96">IF(OR($A96="",AP$6=""),"",IFERROR(INDEX(Footfall!$C$5:$BZ$301,MATCH($A96,TRIM(Footfall!$B$5:$B$301&amp;""),0),AP$5),0))</f>
        <v>261</v>
      </c>
      <c r="AQ96" s="350" cm="1">
        <f t="array" ref="AQ96">IF(OR($A96="",AQ$6=""),"",IFERROR(INDEX(Footfall!$C$5:$BZ$301,MATCH($A96,TRIM(Footfall!$B$5:$B$301&amp;""),0),AQ$5),0))</f>
        <v>194</v>
      </c>
      <c r="AR96" s="350" cm="1">
        <f t="array" ref="AR96">IF(OR($A96="",AR$6=""),"",IFERROR(INDEX(Footfall!$C$5:$BZ$301,MATCH($A96,TRIM(Footfall!$B$5:$B$301&amp;""),0),AR$5),0))</f>
        <v>181</v>
      </c>
      <c r="AS96" s="350" cm="1">
        <f t="array" ref="AS96">IF(OR($A96="",AS$6=""),"",IFERROR(INDEX(Footfall!$C$5:$BZ$301,MATCH($A96,TRIM(Footfall!$B$5:$B$301&amp;""),0),AS$5),0))</f>
        <v>143</v>
      </c>
      <c r="AT96" s="350" t="str" cm="1">
        <f t="array" ref="AT96">IF(OR($A96="",AT$6=""),"",IFERROR(INDEX(Footfall!$C$5:$BZ$301,MATCH($A96,TRIM(Footfall!$B$5:$B$301&amp;""),0),AT$5),0))</f>
        <v/>
      </c>
      <c r="AU96" s="350" t="str" cm="1">
        <f t="array" ref="AU96">IF(OR($A96="",AU$6=""),"",IFERROR(INDEX(Footfall!$C$5:$BZ$301,MATCH($A96,TRIM(Footfall!$B$5:$B$301&amp;""),0),AU$5),0))</f>
        <v/>
      </c>
      <c r="AV96" s="350" t="str" cm="1">
        <f t="array" ref="AV96">IF(OR($A96="",AV$6=""),"",IFERROR(INDEX(Footfall!$C$5:$BZ$301,MATCH($A96,TRIM(Footfall!$B$5:$B$301&amp;""),0),AV$5),0))</f>
        <v/>
      </c>
      <c r="AW96" s="350" t="str" cm="1">
        <f t="array" ref="AW96">IF(OR($A96="",AW$6=""),"",IFERROR(INDEX(Footfall!$C$5:$BZ$301,MATCH($A96,TRIM(Footfall!$B$5:$B$301&amp;""),0),AW$5),0))</f>
        <v/>
      </c>
      <c r="AX96" s="350" t="str" cm="1">
        <f t="array" ref="AX96">IF(OR($A96="",AX$6=""),"",IFERROR(INDEX(Footfall!$C$5:$BZ$301,MATCH($A96,TRIM(Footfall!$B$5:$B$301&amp;""),0),AX$5),0))</f>
        <v/>
      </c>
      <c r="AY96" s="350" cm="1">
        <f t="array" aca="1" ref="AY96" ca="1">IF(AK96="","",IF($AJ96="",0,_xlfn.LET(_xlpm.d,IFERROR(--'Sales and count'!$F$2:$CB$2,0),SUMPRODUCT(('Sales and count'!$G$3:$CC$3="Transactions")*(_xlpm.d&gt;=AY$6)*(_xlpm.d&lt;=AY$7),INDEX('Sales and count'!$G$4:$CC$300,$AJ96,0)))))</f>
        <v>586</v>
      </c>
      <c r="AZ96" s="350" cm="1">
        <f t="array" aca="1" ref="AZ96" ca="1">IF(AL96="","",IF($AJ96="",0,_xlfn.LET(_xlpm.d,IFERROR(--'Sales and count'!$F$2:$CB$2,0),SUMPRODUCT(('Sales and count'!$G$3:$CC$3="Transactions")*(_xlpm.d&gt;=AZ$6)*(_xlpm.d&lt;=AZ$7),INDEX('Sales and count'!$G$4:$CC$300,$AJ96,0)))))</f>
        <v>27</v>
      </c>
      <c r="BA96" s="350" cm="1">
        <f t="array" aca="1" ref="BA96" ca="1">IF(AM96="","",IF($AJ96="",0,_xlfn.LET(_xlpm.d,IFERROR(--'Sales and count'!$F$2:$CB$2,0),SUMPRODUCT(('Sales and count'!$G$3:$CC$3="Transactions")*(_xlpm.d&gt;=BA$6)*(_xlpm.d&lt;=BA$7),INDEX('Sales and count'!$G$4:$CC$300,$AJ96,0)))))</f>
        <v>24</v>
      </c>
      <c r="BB96" s="350" cm="1">
        <f t="array" aca="1" ref="BB96" ca="1">IF(AN96="","",IF($AJ96="",0,_xlfn.LET(_xlpm.d,IFERROR(--'Sales and count'!$F$2:$CB$2,0),SUMPRODUCT(('Sales and count'!$G$3:$CC$3="Transactions")*(_xlpm.d&gt;=BB$6)*(_xlpm.d&lt;=BB$7),INDEX('Sales and count'!$G$4:$CC$300,$AJ96,0)))))</f>
        <v>24</v>
      </c>
      <c r="BC96" s="350" cm="1">
        <f t="array" aca="1" ref="BC96" ca="1">IF(AO96="","",IF($AJ96="",0,_xlfn.LET(_xlpm.d,IFERROR(--'Sales and count'!$F$2:$CB$2,0),SUMPRODUCT(('Sales and count'!$G$3:$CC$3="Transactions")*(_xlpm.d&gt;=BC$6)*(_xlpm.d&lt;=BC$7),INDEX('Sales and count'!$G$4:$CC$300,$AJ96,0)))))</f>
        <v>24</v>
      </c>
      <c r="BD96" s="350" cm="1">
        <f t="array" aca="1" ref="BD96" ca="1">IF(AP96="","",IF($AJ96="",0,_xlfn.LET(_xlpm.d,IFERROR(--'Sales and count'!$F$2:$CB$2,0),SUMPRODUCT(('Sales and count'!$G$3:$CC$3="Transactions")*(_xlpm.d&gt;=BD$6)*(_xlpm.d&lt;=BD$7),INDEX('Sales and count'!$G$4:$CC$300,$AJ96,0)))))</f>
        <v>29</v>
      </c>
      <c r="BE96" s="350" cm="1">
        <f t="array" aca="1" ref="BE96" ca="1">IF(AQ96="","",IF($AJ96="",0,_xlfn.LET(_xlpm.d,IFERROR(--'Sales and count'!$F$2:$CB$2,0),SUMPRODUCT(('Sales and count'!$G$3:$CC$3="Transactions")*(_xlpm.d&gt;=BE$6)*(_xlpm.d&lt;=BE$7),INDEX('Sales and count'!$G$4:$CC$300,$AJ96,0)))))</f>
        <v>17</v>
      </c>
      <c r="BF96" s="350" cm="1">
        <f t="array" aca="1" ref="BF96" ca="1">IF(AR96="","",IF($AJ96="",0,_xlfn.LET(_xlpm.d,IFERROR(--'Sales and count'!$F$2:$CB$2,0),SUMPRODUCT(('Sales and count'!$G$3:$CC$3="Transactions")*(_xlpm.d&gt;=BF$6)*(_xlpm.d&lt;=BF$7),INDEX('Sales and count'!$G$4:$CC$300,$AJ96,0)))))</f>
        <v>19</v>
      </c>
      <c r="BG96" s="350" cm="1">
        <f t="array" aca="1" ref="BG96" ca="1">IF(AS96="","",IF($AJ96="",0,_xlfn.LET(_xlpm.d,IFERROR(--'Sales and count'!$F$2:$CB$2,0),SUMPRODUCT(('Sales and count'!$G$3:$CC$3="Transactions")*(_xlpm.d&gt;=BG$6)*(_xlpm.d&lt;=BG$7),INDEX('Sales and count'!$G$4:$CC$300,$AJ96,0)))))</f>
        <v>16</v>
      </c>
      <c r="BH96" s="350" t="str" cm="1">
        <f t="array" ref="BH96">IF(AT96="","",IF($AJ96="",0,_xlfn.LET(_xlpm.d,IFERROR(--'Sales and count'!$F$2:$CB$2,0),SUMPRODUCT(('Sales and count'!$G$3:$CC$3="Transactions")*(_xlpm.d&gt;=BH$6)*(_xlpm.d&lt;=BH$7),INDEX('Sales and count'!$G$4:$CC$300,$AJ96,0)))))</f>
        <v/>
      </c>
      <c r="BI96" s="350" t="str" cm="1">
        <f t="array" ref="BI96">IF(AU96="","",IF($AJ96="",0,_xlfn.LET(_xlpm.d,IFERROR(--'Sales and count'!$F$2:$CB$2,0),SUMPRODUCT(('Sales and count'!$G$3:$CC$3="Transactions")*(_xlpm.d&gt;=BI$6)*(_xlpm.d&lt;=BI$7),INDEX('Sales and count'!$G$4:$CC$300,$AJ96,0)))))</f>
        <v/>
      </c>
      <c r="BJ96" s="350" t="str" cm="1">
        <f t="array" ref="BJ96">IF(AV96="","",IF($AJ96="",0,_xlfn.LET(_xlpm.d,IFERROR(--'Sales and count'!$F$2:$CB$2,0),SUMPRODUCT(('Sales and count'!$G$3:$CC$3="Transactions")*(_xlpm.d&gt;=BJ$6)*(_xlpm.d&lt;=BJ$7),INDEX('Sales and count'!$G$4:$CC$300,$AJ96,0)))))</f>
        <v/>
      </c>
      <c r="BK96" s="350" t="str" cm="1">
        <f t="array" ref="BK96">IF(AW96="","",IF($AJ96="",0,_xlfn.LET(_xlpm.d,IFERROR(--'Sales and count'!$F$2:$CB$2,0),SUMPRODUCT(('Sales and count'!$G$3:$CC$3="Transactions")*(_xlpm.d&gt;=BK$6)*(_xlpm.d&lt;=BK$7),INDEX('Sales and count'!$G$4:$CC$300,$AJ96,0)))))</f>
        <v/>
      </c>
      <c r="BL96" s="350" t="str" cm="1">
        <f t="array" ref="BL96">IF(AX96="","",IF($AJ96="",0,_xlfn.LET(_xlpm.d,IFERROR(--'Sales and count'!$F$2:$CB$2,0),SUMPRODUCT(('Sales and count'!$G$3:$CC$3="Transactions")*(_xlpm.d&gt;=BL$6)*(_xlpm.d&lt;=BL$7),INDEX('Sales and count'!$G$4:$CC$300,$AJ96,0)))))</f>
        <v/>
      </c>
      <c r="BM96" s="350" cm="1">
        <f t="array" ref="BM96">IF(AK96="","",IF($AJ96="",0,_xlfn.LET(_xlpm.d,IFERROR(--'Sales and count'!$G$2:$CC$2,0),SUMPRODUCT(('Sales and count'!$G$3:$CC$3="Total")*(_xlpm.d&gt;=BM$6)*(_xlpm.d&lt;=BM$7),INDEX('Sales and count'!$G$4:$CC$300,$AJ96,0)))))</f>
        <v>73405.17</v>
      </c>
      <c r="BN96" s="350" cm="1">
        <f t="array" ref="BN96">IF(AL96="","",IF($AJ96="",0,_xlfn.LET(_xlpm.d,IFERROR(--'Sales and count'!$G$2:$CC$2,0),SUMPRODUCT(('Sales and count'!$G$3:$CC$3="Total")*(_xlpm.d&gt;=BN$6)*(_xlpm.d&lt;=BN$7),INDEX('Sales and count'!$G$4:$CC$300,$AJ96,0)))))</f>
        <v>3395.04</v>
      </c>
      <c r="BO96" s="350" cm="1">
        <f t="array" ref="BO96">IF(AM96="","",IF($AJ96="",0,_xlfn.LET(_xlpm.d,IFERROR(--'Sales and count'!$G$2:$CC$2,0),SUMPRODUCT(('Sales and count'!$G$3:$CC$3="Total")*(_xlpm.d&gt;=BO$6)*(_xlpm.d&lt;=BO$7),INDEX('Sales and count'!$G$4:$CC$300,$AJ96,0)))))</f>
        <v>3253.04</v>
      </c>
      <c r="BP96" s="350" cm="1">
        <f t="array" ref="BP96">IF(AN96="","",IF($AJ96="",0,_xlfn.LET(_xlpm.d,IFERROR(--'Sales and count'!$G$2:$CC$2,0),SUMPRODUCT(('Sales and count'!$G$3:$CC$3="Total")*(_xlpm.d&gt;=BP$6)*(_xlpm.d&lt;=BP$7),INDEX('Sales and count'!$G$4:$CC$300,$AJ96,0)))))</f>
        <v>3744.06</v>
      </c>
      <c r="BQ96" s="350" cm="1">
        <f t="array" ref="BQ96">IF(AO96="","",IF($AJ96="",0,_xlfn.LET(_xlpm.d,IFERROR(--'Sales and count'!$G$2:$CC$2,0),SUMPRODUCT(('Sales and count'!$G$3:$CC$3="Total")*(_xlpm.d&gt;=BQ$6)*(_xlpm.d&lt;=BQ$7),INDEX('Sales and count'!$G$4:$CC$300,$AJ96,0)))))</f>
        <v>3739.84</v>
      </c>
      <c r="BR96" s="350" cm="1">
        <f t="array" ref="BR96">IF(AP96="","",IF($AJ96="",0,_xlfn.LET(_xlpm.d,IFERROR(--'Sales and count'!$G$2:$CC$2,0),SUMPRODUCT(('Sales and count'!$G$3:$CC$3="Total")*(_xlpm.d&gt;=BR$6)*(_xlpm.d&lt;=BR$7),INDEX('Sales and count'!$G$4:$CC$300,$AJ96,0)))))</f>
        <v>4833.6899999999996</v>
      </c>
      <c r="BS96" s="350" cm="1">
        <f t="array" ref="BS96">IF(AQ96="","",IF($AJ96="",0,_xlfn.LET(_xlpm.d,IFERROR(--'Sales and count'!$G$2:$CC$2,0),SUMPRODUCT(('Sales and count'!$G$3:$CC$3="Total")*(_xlpm.d&gt;=BS$6)*(_xlpm.d&lt;=BS$7),INDEX('Sales and count'!$G$4:$CC$300,$AJ96,0)))))</f>
        <v>3113.82</v>
      </c>
      <c r="BT96" s="350" cm="1">
        <f t="array" ref="BT96">IF(AR96="","",IF($AJ96="",0,_xlfn.LET(_xlpm.d,IFERROR(--'Sales and count'!$G$2:$CC$2,0),SUMPRODUCT(('Sales and count'!$G$3:$CC$3="Total")*(_xlpm.d&gt;=BT$6)*(_xlpm.d&lt;=BT$7),INDEX('Sales and count'!$G$4:$CC$300,$AJ96,0)))))</f>
        <v>2787.88</v>
      </c>
      <c r="BU96" s="350" cm="1">
        <f t="array" ref="BU96">IF(AS96="","",IF($AJ96="",0,_xlfn.LET(_xlpm.d,IFERROR(--'Sales and count'!$G$2:$CC$2,0),SUMPRODUCT(('Sales and count'!$G$3:$CC$3="Total")*(_xlpm.d&gt;=BU$6)*(_xlpm.d&lt;=BU$7),INDEX('Sales and count'!$G$4:$CC$300,$AJ96,0)))))</f>
        <v>2190.12</v>
      </c>
      <c r="BV96" s="350" t="str" cm="1">
        <f t="array" ref="BV96">IF(AT96="","",IF($AJ96="",0,_xlfn.LET(_xlpm.d,IFERROR(--'Sales and count'!$G$2:$CC$2,0),SUMPRODUCT(('Sales and count'!$G$3:$CC$3="Total")*(_xlpm.d&gt;=BV$6)*(_xlpm.d&lt;=BV$7),INDEX('Sales and count'!$G$4:$CC$300,$AJ96,0)))))</f>
        <v/>
      </c>
      <c r="BW96" s="350" t="str" cm="1">
        <f t="array" ref="BW96">IF(AU96="","",IF($AJ96="",0,_xlfn.LET(_xlpm.d,IFERROR(--'Sales and count'!$G$2:$CC$2,0),SUMPRODUCT(('Sales and count'!$G$3:$CC$3="Total")*(_xlpm.d&gt;=BW$6)*(_xlpm.d&lt;=BW$7),INDEX('Sales and count'!$G$4:$CC$300,$AJ96,0)))))</f>
        <v/>
      </c>
      <c r="BX96" s="350" t="str" cm="1">
        <f t="array" ref="BX96">IF(AV96="","",IF($AJ96="",0,_xlfn.LET(_xlpm.d,IFERROR(--'Sales and count'!$G$2:$CC$2,0),SUMPRODUCT(('Sales and count'!$G$3:$CC$3="Total")*(_xlpm.d&gt;=BX$6)*(_xlpm.d&lt;=BX$7),INDEX('Sales and count'!$G$4:$CC$300,$AJ96,0)))))</f>
        <v/>
      </c>
      <c r="BY96" s="350" t="str" cm="1">
        <f t="array" ref="BY96">IF(AW96="","",IF($AJ96="",0,_xlfn.LET(_xlpm.d,IFERROR(--'Sales and count'!$G$2:$CC$2,0),SUMPRODUCT(('Sales and count'!$G$3:$CC$3="Total")*(_xlpm.d&gt;=BY$6)*(_xlpm.d&lt;=BY$7),INDEX('Sales and count'!$G$4:$CC$300,$AJ96,0)))))</f>
        <v/>
      </c>
      <c r="BZ96" s="350" t="str" cm="1">
        <f t="array" ref="BZ96">IF(AX96="","",IF($AJ96="",0,_xlfn.LET(_xlpm.d,IFERROR(--'Sales and count'!$G$2:$CC$2,0),SUMPRODUCT(('Sales and count'!$G$3:$CC$3="Total")*(_xlpm.d&gt;=BZ$6)*(_xlpm.d&lt;=BZ$7),INDEX('Sales and count'!$G$4:$CC$300,$AJ96,0)))))</f>
        <v/>
      </c>
    </row>
    <row r="97" spans="1:78" x14ac:dyDescent="0.25">
      <c r="A97" s="356" t="str">
        <v>OTHAFAN</v>
      </c>
      <c r="B97" s="356" t="str" cm="1">
        <f t="array" ref="B97">IF($A97="","",_xlfn.XLOOKUP($A97,TRIM(Footfall!$B$5:$B$301&amp;""),Footfall!$A$5:$A$301,""))</f>
        <v>Othman Bin Afan Riyadh</v>
      </c>
      <c r="C97" s="356" t="str" cm="1">
        <f t="array" ref="C97">IF($A97="","",_xlfn.XLOOKUP($A97,TRIM('Sales and count'!$A$4:$A$300&amp;""),'Sales and count'!$C$4:$C$300,"Not set"))</f>
        <v>Riyadh</v>
      </c>
      <c r="D97" s="357">
        <f t="shared" ca="1" si="53"/>
        <v>0.32102272727272729</v>
      </c>
      <c r="E97" s="357">
        <f t="shared" ca="1" si="54"/>
        <v>0.19811320754716982</v>
      </c>
      <c r="F97" s="357">
        <f t="shared" ca="1" si="55"/>
        <v>0.32142857142857145</v>
      </c>
      <c r="G97" s="357">
        <f t="shared" ca="1" si="56"/>
        <v>0.29577464788732394</v>
      </c>
      <c r="H97" s="357">
        <f t="shared" ca="1" si="57"/>
        <v>0.19463087248322147</v>
      </c>
      <c r="I97" s="357">
        <f t="shared" ca="1" si="58"/>
        <v>0.27472527472527475</v>
      </c>
      <c r="J97" s="357">
        <f t="shared" ca="1" si="59"/>
        <v>0.29032258064516131</v>
      </c>
      <c r="K97" s="357">
        <f t="shared" ca="1" si="60"/>
        <v>0.24705882352941178</v>
      </c>
      <c r="L97" s="357">
        <f t="shared" ca="1" si="61"/>
        <v>0.28333333333333333</v>
      </c>
      <c r="M97" s="357" t="str">
        <f t="shared" si="62"/>
        <v/>
      </c>
      <c r="N97" s="357" t="str">
        <f t="shared" si="63"/>
        <v/>
      </c>
      <c r="O97" s="357" t="str">
        <f t="shared" si="64"/>
        <v/>
      </c>
      <c r="P97" s="357" t="str">
        <f t="shared" si="65"/>
        <v/>
      </c>
      <c r="Q97" s="357" t="str">
        <f t="shared" si="66"/>
        <v/>
      </c>
      <c r="R97" s="358" cm="1">
        <f t="array" aca="1" ref="R97" ca="1">IF(OR($A97="",D97=""),"",IFERROR(LOOKUP(2,1/(E97:Q97&lt;&gt;""),E97:Q97)-D97,""))</f>
        <v>-3.7689393939393967E-2</v>
      </c>
      <c r="S97" s="349"/>
      <c r="T97" s="362">
        <f t="shared" ca="1" si="67"/>
        <v>163.03836283185839</v>
      </c>
      <c r="U97" s="362">
        <f t="shared" ca="1" si="68"/>
        <v>148.61904761904762</v>
      </c>
      <c r="V97" s="362">
        <f t="shared" ca="1" si="69"/>
        <v>163.11388888888891</v>
      </c>
      <c r="W97" s="362">
        <f t="shared" ca="1" si="70"/>
        <v>156.95476190476191</v>
      </c>
      <c r="X97" s="362">
        <f t="shared" ca="1" si="71"/>
        <v>162.40655172413793</v>
      </c>
      <c r="Y97" s="362">
        <f t="shared" ca="1" si="72"/>
        <v>186.90639999999999</v>
      </c>
      <c r="Z97" s="362">
        <f t="shared" ca="1" si="73"/>
        <v>199.69370370370368</v>
      </c>
      <c r="AA97" s="362">
        <f t="shared" ca="1" si="74"/>
        <v>173.5595238095238</v>
      </c>
      <c r="AB97" s="362">
        <f t="shared" ca="1" si="75"/>
        <v>204.77970588235294</v>
      </c>
      <c r="AC97" s="362" t="str">
        <f t="shared" si="76"/>
        <v/>
      </c>
      <c r="AD97" s="362" t="str">
        <f t="shared" si="77"/>
        <v/>
      </c>
      <c r="AE97" s="362" t="str">
        <f t="shared" si="78"/>
        <v/>
      </c>
      <c r="AF97" s="362" t="str">
        <f t="shared" si="79"/>
        <v/>
      </c>
      <c r="AG97" s="362" t="str">
        <f t="shared" si="80"/>
        <v/>
      </c>
      <c r="AH97" s="363" cm="1">
        <f t="array" aca="1" ref="AH97" ca="1">IF(OR($A97="",T97=""),"",IFERROR(LOOKUP(2,1/(U97:AG97&lt;&gt;""),U97:AG97)-T97,""))</f>
        <v>41.74134305049455</v>
      </c>
      <c r="AI97" s="349"/>
      <c r="AJ97" s="349" cm="1">
        <f t="array" ref="AJ97">IF($A97="","",IFERROR(MATCH($A97,TRIM('Sales and count'!$A$4:$A$300&amp;""),0),""))</f>
        <v>38</v>
      </c>
      <c r="AK97" s="350" cm="1">
        <f t="array" ref="AK97">IF(OR($A97="",AK$6=""),"",IFERROR(INDEX(Footfall!$C$5:$BZ$301,MATCH($A97,TRIM(Footfall!$B$5:$B$301&amp;""),0),AK$5),0))</f>
        <v>2112</v>
      </c>
      <c r="AL97" s="350" cm="1">
        <f t="array" ref="AL97">IF(OR($A97="",AL$6=""),"",IFERROR(INDEX(Footfall!$C$5:$BZ$301,MATCH($A97,TRIM(Footfall!$B$5:$B$301&amp;""),0),AL$5),0))</f>
        <v>106</v>
      </c>
      <c r="AM97" s="350" cm="1">
        <f t="array" ref="AM97">IF(OR($A97="",AM$6=""),"",IFERROR(INDEX(Footfall!$C$5:$BZ$301,MATCH($A97,TRIM(Footfall!$B$5:$B$301&amp;""),0),AM$5),0))</f>
        <v>112</v>
      </c>
      <c r="AN97" s="350" cm="1">
        <f t="array" ref="AN97">IF(OR($A97="",AN$6=""),"",IFERROR(INDEX(Footfall!$C$5:$BZ$301,MATCH($A97,TRIM(Footfall!$B$5:$B$301&amp;""),0),AN$5),0))</f>
        <v>71</v>
      </c>
      <c r="AO97" s="350" cm="1">
        <f t="array" ref="AO97">IF(OR($A97="",AO$6=""),"",IFERROR(INDEX(Footfall!$C$5:$BZ$301,MATCH($A97,TRIM(Footfall!$B$5:$B$301&amp;""),0),AO$5),0))</f>
        <v>149</v>
      </c>
      <c r="AP97" s="350" cm="1">
        <f t="array" ref="AP97">IF(OR($A97="",AP$6=""),"",IFERROR(INDEX(Footfall!$C$5:$BZ$301,MATCH($A97,TRIM(Footfall!$B$5:$B$301&amp;""),0),AP$5),0))</f>
        <v>91</v>
      </c>
      <c r="AQ97" s="350" cm="1">
        <f t="array" ref="AQ97">IF(OR($A97="",AQ$6=""),"",IFERROR(INDEX(Footfall!$C$5:$BZ$301,MATCH($A97,TRIM(Footfall!$B$5:$B$301&amp;""),0),AQ$5),0))</f>
        <v>93</v>
      </c>
      <c r="AR97" s="350" cm="1">
        <f t="array" ref="AR97">IF(OR($A97="",AR$6=""),"",IFERROR(INDEX(Footfall!$C$5:$BZ$301,MATCH($A97,TRIM(Footfall!$B$5:$B$301&amp;""),0),AR$5),0))</f>
        <v>85</v>
      </c>
      <c r="AS97" s="350" cm="1">
        <f t="array" ref="AS97">IF(OR($A97="",AS$6=""),"",IFERROR(INDEX(Footfall!$C$5:$BZ$301,MATCH($A97,TRIM(Footfall!$B$5:$B$301&amp;""),0),AS$5),0))</f>
        <v>120</v>
      </c>
      <c r="AT97" s="350" t="str" cm="1">
        <f t="array" ref="AT97">IF(OR($A97="",AT$6=""),"",IFERROR(INDEX(Footfall!$C$5:$BZ$301,MATCH($A97,TRIM(Footfall!$B$5:$B$301&amp;""),0),AT$5),0))</f>
        <v/>
      </c>
      <c r="AU97" s="350" t="str" cm="1">
        <f t="array" ref="AU97">IF(OR($A97="",AU$6=""),"",IFERROR(INDEX(Footfall!$C$5:$BZ$301,MATCH($A97,TRIM(Footfall!$B$5:$B$301&amp;""),0),AU$5),0))</f>
        <v/>
      </c>
      <c r="AV97" s="350" t="str" cm="1">
        <f t="array" ref="AV97">IF(OR($A97="",AV$6=""),"",IFERROR(INDEX(Footfall!$C$5:$BZ$301,MATCH($A97,TRIM(Footfall!$B$5:$B$301&amp;""),0),AV$5),0))</f>
        <v/>
      </c>
      <c r="AW97" s="350" t="str" cm="1">
        <f t="array" ref="AW97">IF(OR($A97="",AW$6=""),"",IFERROR(INDEX(Footfall!$C$5:$BZ$301,MATCH($A97,TRIM(Footfall!$B$5:$B$301&amp;""),0),AW$5),0))</f>
        <v/>
      </c>
      <c r="AX97" s="350" t="str" cm="1">
        <f t="array" ref="AX97">IF(OR($A97="",AX$6=""),"",IFERROR(INDEX(Footfall!$C$5:$BZ$301,MATCH($A97,TRIM(Footfall!$B$5:$B$301&amp;""),0),AX$5),0))</f>
        <v/>
      </c>
      <c r="AY97" s="350" cm="1">
        <f t="array" aca="1" ref="AY97" ca="1">IF(AK97="","",IF($AJ97="",0,_xlfn.LET(_xlpm.d,IFERROR(--'Sales and count'!$F$2:$CB$2,0),SUMPRODUCT(('Sales and count'!$G$3:$CC$3="Transactions")*(_xlpm.d&gt;=AY$6)*(_xlpm.d&lt;=AY$7),INDEX('Sales and count'!$G$4:$CC$300,$AJ97,0)))))</f>
        <v>678</v>
      </c>
      <c r="AZ97" s="350" cm="1">
        <f t="array" aca="1" ref="AZ97" ca="1">IF(AL97="","",IF($AJ97="",0,_xlfn.LET(_xlpm.d,IFERROR(--'Sales and count'!$F$2:$CB$2,0),SUMPRODUCT(('Sales and count'!$G$3:$CC$3="Transactions")*(_xlpm.d&gt;=AZ$6)*(_xlpm.d&lt;=AZ$7),INDEX('Sales and count'!$G$4:$CC$300,$AJ97,0)))))</f>
        <v>21</v>
      </c>
      <c r="BA97" s="350" cm="1">
        <f t="array" aca="1" ref="BA97" ca="1">IF(AM97="","",IF($AJ97="",0,_xlfn.LET(_xlpm.d,IFERROR(--'Sales and count'!$F$2:$CB$2,0),SUMPRODUCT(('Sales and count'!$G$3:$CC$3="Transactions")*(_xlpm.d&gt;=BA$6)*(_xlpm.d&lt;=BA$7),INDEX('Sales and count'!$G$4:$CC$300,$AJ97,0)))))</f>
        <v>36</v>
      </c>
      <c r="BB97" s="350" cm="1">
        <f t="array" aca="1" ref="BB97" ca="1">IF(AN97="","",IF($AJ97="",0,_xlfn.LET(_xlpm.d,IFERROR(--'Sales and count'!$F$2:$CB$2,0),SUMPRODUCT(('Sales and count'!$G$3:$CC$3="Transactions")*(_xlpm.d&gt;=BB$6)*(_xlpm.d&lt;=BB$7),INDEX('Sales and count'!$G$4:$CC$300,$AJ97,0)))))</f>
        <v>21</v>
      </c>
      <c r="BC97" s="350" cm="1">
        <f t="array" aca="1" ref="BC97" ca="1">IF(AO97="","",IF($AJ97="",0,_xlfn.LET(_xlpm.d,IFERROR(--'Sales and count'!$F$2:$CB$2,0),SUMPRODUCT(('Sales and count'!$G$3:$CC$3="Transactions")*(_xlpm.d&gt;=BC$6)*(_xlpm.d&lt;=BC$7),INDEX('Sales and count'!$G$4:$CC$300,$AJ97,0)))))</f>
        <v>29</v>
      </c>
      <c r="BD97" s="350" cm="1">
        <f t="array" aca="1" ref="BD97" ca="1">IF(AP97="","",IF($AJ97="",0,_xlfn.LET(_xlpm.d,IFERROR(--'Sales and count'!$F$2:$CB$2,0),SUMPRODUCT(('Sales and count'!$G$3:$CC$3="Transactions")*(_xlpm.d&gt;=BD$6)*(_xlpm.d&lt;=BD$7),INDEX('Sales and count'!$G$4:$CC$300,$AJ97,0)))))</f>
        <v>25</v>
      </c>
      <c r="BE97" s="350" cm="1">
        <f t="array" aca="1" ref="BE97" ca="1">IF(AQ97="","",IF($AJ97="",0,_xlfn.LET(_xlpm.d,IFERROR(--'Sales and count'!$F$2:$CB$2,0),SUMPRODUCT(('Sales and count'!$G$3:$CC$3="Transactions")*(_xlpm.d&gt;=BE$6)*(_xlpm.d&lt;=BE$7),INDEX('Sales and count'!$G$4:$CC$300,$AJ97,0)))))</f>
        <v>27</v>
      </c>
      <c r="BF97" s="350" cm="1">
        <f t="array" aca="1" ref="BF97" ca="1">IF(AR97="","",IF($AJ97="",0,_xlfn.LET(_xlpm.d,IFERROR(--'Sales and count'!$F$2:$CB$2,0),SUMPRODUCT(('Sales and count'!$G$3:$CC$3="Transactions")*(_xlpm.d&gt;=BF$6)*(_xlpm.d&lt;=BF$7),INDEX('Sales and count'!$G$4:$CC$300,$AJ97,0)))))</f>
        <v>21</v>
      </c>
      <c r="BG97" s="350" cm="1">
        <f t="array" aca="1" ref="BG97" ca="1">IF(AS97="","",IF($AJ97="",0,_xlfn.LET(_xlpm.d,IFERROR(--'Sales and count'!$F$2:$CB$2,0),SUMPRODUCT(('Sales and count'!$G$3:$CC$3="Transactions")*(_xlpm.d&gt;=BG$6)*(_xlpm.d&lt;=BG$7),INDEX('Sales and count'!$G$4:$CC$300,$AJ97,0)))))</f>
        <v>34</v>
      </c>
      <c r="BH97" s="350" t="str" cm="1">
        <f t="array" ref="BH97">IF(AT97="","",IF($AJ97="",0,_xlfn.LET(_xlpm.d,IFERROR(--'Sales and count'!$F$2:$CB$2,0),SUMPRODUCT(('Sales and count'!$G$3:$CC$3="Transactions")*(_xlpm.d&gt;=BH$6)*(_xlpm.d&lt;=BH$7),INDEX('Sales and count'!$G$4:$CC$300,$AJ97,0)))))</f>
        <v/>
      </c>
      <c r="BI97" s="350" t="str" cm="1">
        <f t="array" ref="BI97">IF(AU97="","",IF($AJ97="",0,_xlfn.LET(_xlpm.d,IFERROR(--'Sales and count'!$F$2:$CB$2,0),SUMPRODUCT(('Sales and count'!$G$3:$CC$3="Transactions")*(_xlpm.d&gt;=BI$6)*(_xlpm.d&lt;=BI$7),INDEX('Sales and count'!$G$4:$CC$300,$AJ97,0)))))</f>
        <v/>
      </c>
      <c r="BJ97" s="350" t="str" cm="1">
        <f t="array" ref="BJ97">IF(AV97="","",IF($AJ97="",0,_xlfn.LET(_xlpm.d,IFERROR(--'Sales and count'!$F$2:$CB$2,0),SUMPRODUCT(('Sales and count'!$G$3:$CC$3="Transactions")*(_xlpm.d&gt;=BJ$6)*(_xlpm.d&lt;=BJ$7),INDEX('Sales and count'!$G$4:$CC$300,$AJ97,0)))))</f>
        <v/>
      </c>
      <c r="BK97" s="350" t="str" cm="1">
        <f t="array" ref="BK97">IF(AW97="","",IF($AJ97="",0,_xlfn.LET(_xlpm.d,IFERROR(--'Sales and count'!$F$2:$CB$2,0),SUMPRODUCT(('Sales and count'!$G$3:$CC$3="Transactions")*(_xlpm.d&gt;=BK$6)*(_xlpm.d&lt;=BK$7),INDEX('Sales and count'!$G$4:$CC$300,$AJ97,0)))))</f>
        <v/>
      </c>
      <c r="BL97" s="350" t="str" cm="1">
        <f t="array" ref="BL97">IF(AX97="","",IF($AJ97="",0,_xlfn.LET(_xlpm.d,IFERROR(--'Sales and count'!$F$2:$CB$2,0),SUMPRODUCT(('Sales and count'!$G$3:$CC$3="Transactions")*(_xlpm.d&gt;=BL$6)*(_xlpm.d&lt;=BL$7),INDEX('Sales and count'!$G$4:$CC$300,$AJ97,0)))))</f>
        <v/>
      </c>
      <c r="BM97" s="350" cm="1">
        <f t="array" ref="BM97">IF(AK97="","",IF($AJ97="",0,_xlfn.LET(_xlpm.d,IFERROR(--'Sales and count'!$G$2:$CC$2,0),SUMPRODUCT(('Sales and count'!$G$3:$CC$3="Total")*(_xlpm.d&gt;=BM$6)*(_xlpm.d&lt;=BM$7),INDEX('Sales and count'!$G$4:$CC$300,$AJ97,0)))))</f>
        <v>110540.01</v>
      </c>
      <c r="BN97" s="350" cm="1">
        <f t="array" ref="BN97">IF(AL97="","",IF($AJ97="",0,_xlfn.LET(_xlpm.d,IFERROR(--'Sales and count'!$G$2:$CC$2,0),SUMPRODUCT(('Sales and count'!$G$3:$CC$3="Total")*(_xlpm.d&gt;=BN$6)*(_xlpm.d&lt;=BN$7),INDEX('Sales and count'!$G$4:$CC$300,$AJ97,0)))))</f>
        <v>3121</v>
      </c>
      <c r="BO97" s="350" cm="1">
        <f t="array" ref="BO97">IF(AM97="","",IF($AJ97="",0,_xlfn.LET(_xlpm.d,IFERROR(--'Sales and count'!$G$2:$CC$2,0),SUMPRODUCT(('Sales and count'!$G$3:$CC$3="Total")*(_xlpm.d&gt;=BO$6)*(_xlpm.d&lt;=BO$7),INDEX('Sales and count'!$G$4:$CC$300,$AJ97,0)))))</f>
        <v>5872.1</v>
      </c>
      <c r="BP97" s="350" cm="1">
        <f t="array" ref="BP97">IF(AN97="","",IF($AJ97="",0,_xlfn.LET(_xlpm.d,IFERROR(--'Sales and count'!$G$2:$CC$2,0),SUMPRODUCT(('Sales and count'!$G$3:$CC$3="Total")*(_xlpm.d&gt;=BP$6)*(_xlpm.d&lt;=BP$7),INDEX('Sales and count'!$G$4:$CC$300,$AJ97,0)))))</f>
        <v>3296.05</v>
      </c>
      <c r="BQ97" s="350" cm="1">
        <f t="array" ref="BQ97">IF(AO97="","",IF($AJ97="",0,_xlfn.LET(_xlpm.d,IFERROR(--'Sales and count'!$G$2:$CC$2,0),SUMPRODUCT(('Sales and count'!$G$3:$CC$3="Total")*(_xlpm.d&gt;=BQ$6)*(_xlpm.d&lt;=BQ$7),INDEX('Sales and count'!$G$4:$CC$300,$AJ97,0)))))</f>
        <v>4709.79</v>
      </c>
      <c r="BR97" s="350" cm="1">
        <f t="array" ref="BR97">IF(AP97="","",IF($AJ97="",0,_xlfn.LET(_xlpm.d,IFERROR(--'Sales and count'!$G$2:$CC$2,0),SUMPRODUCT(('Sales and count'!$G$3:$CC$3="Total")*(_xlpm.d&gt;=BR$6)*(_xlpm.d&lt;=BR$7),INDEX('Sales and count'!$G$4:$CC$300,$AJ97,0)))))</f>
        <v>4672.66</v>
      </c>
      <c r="BS97" s="350" cm="1">
        <f t="array" ref="BS97">IF(AQ97="","",IF($AJ97="",0,_xlfn.LET(_xlpm.d,IFERROR(--'Sales and count'!$G$2:$CC$2,0),SUMPRODUCT(('Sales and count'!$G$3:$CC$3="Total")*(_xlpm.d&gt;=BS$6)*(_xlpm.d&lt;=BS$7),INDEX('Sales and count'!$G$4:$CC$300,$AJ97,0)))))</f>
        <v>5391.73</v>
      </c>
      <c r="BT97" s="350" cm="1">
        <f t="array" ref="BT97">IF(AR97="","",IF($AJ97="",0,_xlfn.LET(_xlpm.d,IFERROR(--'Sales and count'!$G$2:$CC$2,0),SUMPRODUCT(('Sales and count'!$G$3:$CC$3="Total")*(_xlpm.d&gt;=BT$6)*(_xlpm.d&lt;=BT$7),INDEX('Sales and count'!$G$4:$CC$300,$AJ97,0)))))</f>
        <v>3644.75</v>
      </c>
      <c r="BU97" s="350" cm="1">
        <f t="array" ref="BU97">IF(AS97="","",IF($AJ97="",0,_xlfn.LET(_xlpm.d,IFERROR(--'Sales and count'!$G$2:$CC$2,0),SUMPRODUCT(('Sales and count'!$G$3:$CC$3="Total")*(_xlpm.d&gt;=BU$6)*(_xlpm.d&lt;=BU$7),INDEX('Sales and count'!$G$4:$CC$300,$AJ97,0)))))</f>
        <v>6962.51</v>
      </c>
      <c r="BV97" s="350" t="str" cm="1">
        <f t="array" ref="BV97">IF(AT97="","",IF($AJ97="",0,_xlfn.LET(_xlpm.d,IFERROR(--'Sales and count'!$G$2:$CC$2,0),SUMPRODUCT(('Sales and count'!$G$3:$CC$3="Total")*(_xlpm.d&gt;=BV$6)*(_xlpm.d&lt;=BV$7),INDEX('Sales and count'!$G$4:$CC$300,$AJ97,0)))))</f>
        <v/>
      </c>
      <c r="BW97" s="350" t="str" cm="1">
        <f t="array" ref="BW97">IF(AU97="","",IF($AJ97="",0,_xlfn.LET(_xlpm.d,IFERROR(--'Sales and count'!$G$2:$CC$2,0),SUMPRODUCT(('Sales and count'!$G$3:$CC$3="Total")*(_xlpm.d&gt;=BW$6)*(_xlpm.d&lt;=BW$7),INDEX('Sales and count'!$G$4:$CC$300,$AJ97,0)))))</f>
        <v/>
      </c>
      <c r="BX97" s="350" t="str" cm="1">
        <f t="array" ref="BX97">IF(AV97="","",IF($AJ97="",0,_xlfn.LET(_xlpm.d,IFERROR(--'Sales and count'!$G$2:$CC$2,0),SUMPRODUCT(('Sales and count'!$G$3:$CC$3="Total")*(_xlpm.d&gt;=BX$6)*(_xlpm.d&lt;=BX$7),INDEX('Sales and count'!$G$4:$CC$300,$AJ97,0)))))</f>
        <v/>
      </c>
      <c r="BY97" s="350" t="str" cm="1">
        <f t="array" ref="BY97">IF(AW97="","",IF($AJ97="",0,_xlfn.LET(_xlpm.d,IFERROR(--'Sales and count'!$G$2:$CC$2,0),SUMPRODUCT(('Sales and count'!$G$3:$CC$3="Total")*(_xlpm.d&gt;=BY$6)*(_xlpm.d&lt;=BY$7),INDEX('Sales and count'!$G$4:$CC$300,$AJ97,0)))))</f>
        <v/>
      </c>
      <c r="BZ97" s="350" t="str" cm="1">
        <f t="array" ref="BZ97">IF(AX97="","",IF($AJ97="",0,_xlfn.LET(_xlpm.d,IFERROR(--'Sales and count'!$G$2:$CC$2,0),SUMPRODUCT(('Sales and count'!$G$3:$CC$3="Total")*(_xlpm.d&gt;=BZ$6)*(_xlpm.d&lt;=BZ$7),INDEX('Sales and count'!$G$4:$CC$300,$AJ97,0)))))</f>
        <v/>
      </c>
    </row>
    <row r="98" spans="1:78" x14ac:dyDescent="0.25">
      <c r="A98" s="356" t="str">
        <v>ALAQUEQ</v>
      </c>
      <c r="B98" s="356" t="str" cm="1">
        <f t="array" ref="B98">IF($A98="","",_xlfn.XLOOKUP($A98,TRIM(Footfall!$B$5:$B$301&amp;""),Footfall!$A$5:$A$301,""))</f>
        <v>Riyadh Aqeeq</v>
      </c>
      <c r="C98" s="356" t="str" cm="1">
        <f t="array" ref="C98">IF($A98="","",_xlfn.XLOOKUP($A98,TRIM('Sales and count'!$A$4:$A$300&amp;""),'Sales and count'!$C$4:$C$300,"Not set"))</f>
        <v>Riyadh</v>
      </c>
      <c r="D98" s="357">
        <f t="shared" ca="1" si="53"/>
        <v>0.30929946743138059</v>
      </c>
      <c r="E98" s="357">
        <f t="shared" ca="1" si="54"/>
        <v>0.31221719457013575</v>
      </c>
      <c r="F98" s="357">
        <f t="shared" ca="1" si="55"/>
        <v>0.26717557251908397</v>
      </c>
      <c r="G98" s="357">
        <f t="shared" ca="1" si="56"/>
        <v>0.30219780219780218</v>
      </c>
      <c r="H98" s="357">
        <f t="shared" ca="1" si="57"/>
        <v>0.24215246636771301</v>
      </c>
      <c r="I98" s="357">
        <f t="shared" ca="1" si="58"/>
        <v>0.27307692307692305</v>
      </c>
      <c r="J98" s="357">
        <f t="shared" ca="1" si="59"/>
        <v>0.30049261083743845</v>
      </c>
      <c r="K98" s="357">
        <f t="shared" ca="1" si="60"/>
        <v>0.27167630057803466</v>
      </c>
      <c r="L98" s="357">
        <f t="shared" ca="1" si="61"/>
        <v>0.36734693877551022</v>
      </c>
      <c r="M98" s="357" t="str">
        <f t="shared" si="62"/>
        <v/>
      </c>
      <c r="N98" s="357" t="str">
        <f t="shared" si="63"/>
        <v/>
      </c>
      <c r="O98" s="357" t="str">
        <f t="shared" si="64"/>
        <v/>
      </c>
      <c r="P98" s="357" t="str">
        <f t="shared" si="65"/>
        <v/>
      </c>
      <c r="Q98" s="357" t="str">
        <f t="shared" si="66"/>
        <v/>
      </c>
      <c r="R98" s="358" cm="1">
        <f t="array" aca="1" ref="R98" ca="1">IF(OR($A98="",D98=""),"",IFERROR(LOOKUP(2,1/(E98:Q98&lt;&gt;""),E98:Q98)-D98,""))</f>
        <v>5.8047471344129631E-2</v>
      </c>
      <c r="S98" s="349"/>
      <c r="T98" s="362">
        <f t="shared" ca="1" si="67"/>
        <v>175.61868874172188</v>
      </c>
      <c r="U98" s="362">
        <f t="shared" ca="1" si="68"/>
        <v>117.14797101449275</v>
      </c>
      <c r="V98" s="362">
        <f t="shared" ca="1" si="69"/>
        <v>189.94628571428572</v>
      </c>
      <c r="W98" s="362">
        <f t="shared" ca="1" si="70"/>
        <v>153.2018181818182</v>
      </c>
      <c r="X98" s="362">
        <f t="shared" ca="1" si="71"/>
        <v>178.15444444444444</v>
      </c>
      <c r="Y98" s="362">
        <f t="shared" ca="1" si="72"/>
        <v>208.05901408450706</v>
      </c>
      <c r="Z98" s="362">
        <f t="shared" ca="1" si="73"/>
        <v>240.31196721311477</v>
      </c>
      <c r="AA98" s="362">
        <f t="shared" ca="1" si="74"/>
        <v>180.58382978723407</v>
      </c>
      <c r="AB98" s="362">
        <f t="shared" ca="1" si="75"/>
        <v>221.83074074074077</v>
      </c>
      <c r="AC98" s="362" t="str">
        <f t="shared" si="76"/>
        <v/>
      </c>
      <c r="AD98" s="362" t="str">
        <f t="shared" si="77"/>
        <v/>
      </c>
      <c r="AE98" s="362" t="str">
        <f t="shared" si="78"/>
        <v/>
      </c>
      <c r="AF98" s="362" t="str">
        <f t="shared" si="79"/>
        <v/>
      </c>
      <c r="AG98" s="362" t="str">
        <f t="shared" si="80"/>
        <v/>
      </c>
      <c r="AH98" s="363" cm="1">
        <f t="array" aca="1" ref="AH98" ca="1">IF(OR($A98="",T98=""),"",IFERROR(LOOKUP(2,1/(U98:AG98&lt;&gt;""),U98:AG98)-T98,""))</f>
        <v>46.212051999018882</v>
      </c>
      <c r="AI98" s="349"/>
      <c r="AJ98" s="349" cm="1">
        <f t="array" ref="AJ98">IF($A98="","",IFERROR(MATCH($A98,TRIM('Sales and count'!$A$4:$A$300&amp;""),0),""))</f>
        <v>50</v>
      </c>
      <c r="AK98" s="350" cm="1">
        <f t="array" ref="AK98">IF(OR($A98="",AK$6=""),"",IFERROR(INDEX(Footfall!$C$5:$BZ$301,MATCH($A98,TRIM(Footfall!$B$5:$B$301&amp;""),0),AK$5),0))</f>
        <v>4882</v>
      </c>
      <c r="AL98" s="350" cm="1">
        <f t="array" ref="AL98">IF(OR($A98="",AL$6=""),"",IFERROR(INDEX(Footfall!$C$5:$BZ$301,MATCH($A98,TRIM(Footfall!$B$5:$B$301&amp;""),0),AL$5),0))</f>
        <v>221</v>
      </c>
      <c r="AM98" s="350" cm="1">
        <f t="array" ref="AM98">IF(OR($A98="",AM$6=""),"",IFERROR(INDEX(Footfall!$C$5:$BZ$301,MATCH($A98,TRIM(Footfall!$B$5:$B$301&amp;""),0),AM$5),0))</f>
        <v>131</v>
      </c>
      <c r="AN98" s="350" cm="1">
        <f t="array" ref="AN98">IF(OR($A98="",AN$6=""),"",IFERROR(INDEX(Footfall!$C$5:$BZ$301,MATCH($A98,TRIM(Footfall!$B$5:$B$301&amp;""),0),AN$5),0))</f>
        <v>182</v>
      </c>
      <c r="AO98" s="350" cm="1">
        <f t="array" ref="AO98">IF(OR($A98="",AO$6=""),"",IFERROR(INDEX(Footfall!$C$5:$BZ$301,MATCH($A98,TRIM(Footfall!$B$5:$B$301&amp;""),0),AO$5),0))</f>
        <v>223</v>
      </c>
      <c r="AP98" s="350" cm="1">
        <f t="array" ref="AP98">IF(OR($A98="",AP$6=""),"",IFERROR(INDEX(Footfall!$C$5:$BZ$301,MATCH($A98,TRIM(Footfall!$B$5:$B$301&amp;""),0),AP$5),0))</f>
        <v>260</v>
      </c>
      <c r="AQ98" s="350" cm="1">
        <f t="array" ref="AQ98">IF(OR($A98="",AQ$6=""),"",IFERROR(INDEX(Footfall!$C$5:$BZ$301,MATCH($A98,TRIM(Footfall!$B$5:$B$301&amp;""),0),AQ$5),0))</f>
        <v>203</v>
      </c>
      <c r="AR98" s="350" cm="1">
        <f t="array" ref="AR98">IF(OR($A98="",AR$6=""),"",IFERROR(INDEX(Footfall!$C$5:$BZ$301,MATCH($A98,TRIM(Footfall!$B$5:$B$301&amp;""),0),AR$5),0))</f>
        <v>173</v>
      </c>
      <c r="AS98" s="350" cm="1">
        <f t="array" ref="AS98">IF(OR($A98="",AS$6=""),"",IFERROR(INDEX(Footfall!$C$5:$BZ$301,MATCH($A98,TRIM(Footfall!$B$5:$B$301&amp;""),0),AS$5),0))</f>
        <v>147</v>
      </c>
      <c r="AT98" s="350" t="str" cm="1">
        <f t="array" ref="AT98">IF(OR($A98="",AT$6=""),"",IFERROR(INDEX(Footfall!$C$5:$BZ$301,MATCH($A98,TRIM(Footfall!$B$5:$B$301&amp;""),0),AT$5),0))</f>
        <v/>
      </c>
      <c r="AU98" s="350" t="str" cm="1">
        <f t="array" ref="AU98">IF(OR($A98="",AU$6=""),"",IFERROR(INDEX(Footfall!$C$5:$BZ$301,MATCH($A98,TRIM(Footfall!$B$5:$B$301&amp;""),0),AU$5),0))</f>
        <v/>
      </c>
      <c r="AV98" s="350" t="str" cm="1">
        <f t="array" ref="AV98">IF(OR($A98="",AV$6=""),"",IFERROR(INDEX(Footfall!$C$5:$BZ$301,MATCH($A98,TRIM(Footfall!$B$5:$B$301&amp;""),0),AV$5),0))</f>
        <v/>
      </c>
      <c r="AW98" s="350" t="str" cm="1">
        <f t="array" ref="AW98">IF(OR($A98="",AW$6=""),"",IFERROR(INDEX(Footfall!$C$5:$BZ$301,MATCH($A98,TRIM(Footfall!$B$5:$B$301&amp;""),0),AW$5),0))</f>
        <v/>
      </c>
      <c r="AX98" s="350" t="str" cm="1">
        <f t="array" ref="AX98">IF(OR($A98="",AX$6=""),"",IFERROR(INDEX(Footfall!$C$5:$BZ$301,MATCH($A98,TRIM(Footfall!$B$5:$B$301&amp;""),0),AX$5),0))</f>
        <v/>
      </c>
      <c r="AY98" s="350" cm="1">
        <f t="array" aca="1" ref="AY98" ca="1">IF(AK98="","",IF($AJ98="",0,_xlfn.LET(_xlpm.d,IFERROR(--'Sales and count'!$F$2:$CB$2,0),SUMPRODUCT(('Sales and count'!$G$3:$CC$3="Transactions")*(_xlpm.d&gt;=AY$6)*(_xlpm.d&lt;=AY$7),INDEX('Sales and count'!$G$4:$CC$300,$AJ98,0)))))</f>
        <v>1510</v>
      </c>
      <c r="AZ98" s="350" cm="1">
        <f t="array" aca="1" ref="AZ98" ca="1">IF(AL98="","",IF($AJ98="",0,_xlfn.LET(_xlpm.d,IFERROR(--'Sales and count'!$F$2:$CB$2,0),SUMPRODUCT(('Sales and count'!$G$3:$CC$3="Transactions")*(_xlpm.d&gt;=AZ$6)*(_xlpm.d&lt;=AZ$7),INDEX('Sales and count'!$G$4:$CC$300,$AJ98,0)))))</f>
        <v>69</v>
      </c>
      <c r="BA98" s="350" cm="1">
        <f t="array" aca="1" ref="BA98" ca="1">IF(AM98="","",IF($AJ98="",0,_xlfn.LET(_xlpm.d,IFERROR(--'Sales and count'!$F$2:$CB$2,0),SUMPRODUCT(('Sales and count'!$G$3:$CC$3="Transactions")*(_xlpm.d&gt;=BA$6)*(_xlpm.d&lt;=BA$7),INDEX('Sales and count'!$G$4:$CC$300,$AJ98,0)))))</f>
        <v>35</v>
      </c>
      <c r="BB98" s="350" cm="1">
        <f t="array" aca="1" ref="BB98" ca="1">IF(AN98="","",IF($AJ98="",0,_xlfn.LET(_xlpm.d,IFERROR(--'Sales and count'!$F$2:$CB$2,0),SUMPRODUCT(('Sales and count'!$G$3:$CC$3="Transactions")*(_xlpm.d&gt;=BB$6)*(_xlpm.d&lt;=BB$7),INDEX('Sales and count'!$G$4:$CC$300,$AJ98,0)))))</f>
        <v>55</v>
      </c>
      <c r="BC98" s="350" cm="1">
        <f t="array" aca="1" ref="BC98" ca="1">IF(AO98="","",IF($AJ98="",0,_xlfn.LET(_xlpm.d,IFERROR(--'Sales and count'!$F$2:$CB$2,0),SUMPRODUCT(('Sales and count'!$G$3:$CC$3="Transactions")*(_xlpm.d&gt;=BC$6)*(_xlpm.d&lt;=BC$7),INDEX('Sales and count'!$G$4:$CC$300,$AJ98,0)))))</f>
        <v>54</v>
      </c>
      <c r="BD98" s="350" cm="1">
        <f t="array" aca="1" ref="BD98" ca="1">IF(AP98="","",IF($AJ98="",0,_xlfn.LET(_xlpm.d,IFERROR(--'Sales and count'!$F$2:$CB$2,0),SUMPRODUCT(('Sales and count'!$G$3:$CC$3="Transactions")*(_xlpm.d&gt;=BD$6)*(_xlpm.d&lt;=BD$7),INDEX('Sales and count'!$G$4:$CC$300,$AJ98,0)))))</f>
        <v>71</v>
      </c>
      <c r="BE98" s="350" cm="1">
        <f t="array" aca="1" ref="BE98" ca="1">IF(AQ98="","",IF($AJ98="",0,_xlfn.LET(_xlpm.d,IFERROR(--'Sales and count'!$F$2:$CB$2,0),SUMPRODUCT(('Sales and count'!$G$3:$CC$3="Transactions")*(_xlpm.d&gt;=BE$6)*(_xlpm.d&lt;=BE$7),INDEX('Sales and count'!$G$4:$CC$300,$AJ98,0)))))</f>
        <v>61</v>
      </c>
      <c r="BF98" s="350" cm="1">
        <f t="array" aca="1" ref="BF98" ca="1">IF(AR98="","",IF($AJ98="",0,_xlfn.LET(_xlpm.d,IFERROR(--'Sales and count'!$F$2:$CB$2,0),SUMPRODUCT(('Sales and count'!$G$3:$CC$3="Transactions")*(_xlpm.d&gt;=BF$6)*(_xlpm.d&lt;=BF$7),INDEX('Sales and count'!$G$4:$CC$300,$AJ98,0)))))</f>
        <v>47</v>
      </c>
      <c r="BG98" s="350" cm="1">
        <f t="array" aca="1" ref="BG98" ca="1">IF(AS98="","",IF($AJ98="",0,_xlfn.LET(_xlpm.d,IFERROR(--'Sales and count'!$F$2:$CB$2,0),SUMPRODUCT(('Sales and count'!$G$3:$CC$3="Transactions")*(_xlpm.d&gt;=BG$6)*(_xlpm.d&lt;=BG$7),INDEX('Sales and count'!$G$4:$CC$300,$AJ98,0)))))</f>
        <v>54</v>
      </c>
      <c r="BH98" s="350" t="str" cm="1">
        <f t="array" ref="BH98">IF(AT98="","",IF($AJ98="",0,_xlfn.LET(_xlpm.d,IFERROR(--'Sales and count'!$F$2:$CB$2,0),SUMPRODUCT(('Sales and count'!$G$3:$CC$3="Transactions")*(_xlpm.d&gt;=BH$6)*(_xlpm.d&lt;=BH$7),INDEX('Sales and count'!$G$4:$CC$300,$AJ98,0)))))</f>
        <v/>
      </c>
      <c r="BI98" s="350" t="str" cm="1">
        <f t="array" ref="BI98">IF(AU98="","",IF($AJ98="",0,_xlfn.LET(_xlpm.d,IFERROR(--'Sales and count'!$F$2:$CB$2,0),SUMPRODUCT(('Sales and count'!$G$3:$CC$3="Transactions")*(_xlpm.d&gt;=BI$6)*(_xlpm.d&lt;=BI$7),INDEX('Sales and count'!$G$4:$CC$300,$AJ98,0)))))</f>
        <v/>
      </c>
      <c r="BJ98" s="350" t="str" cm="1">
        <f t="array" ref="BJ98">IF(AV98="","",IF($AJ98="",0,_xlfn.LET(_xlpm.d,IFERROR(--'Sales and count'!$F$2:$CB$2,0),SUMPRODUCT(('Sales and count'!$G$3:$CC$3="Transactions")*(_xlpm.d&gt;=BJ$6)*(_xlpm.d&lt;=BJ$7),INDEX('Sales and count'!$G$4:$CC$300,$AJ98,0)))))</f>
        <v/>
      </c>
      <c r="BK98" s="350" t="str" cm="1">
        <f t="array" ref="BK98">IF(AW98="","",IF($AJ98="",0,_xlfn.LET(_xlpm.d,IFERROR(--'Sales and count'!$F$2:$CB$2,0),SUMPRODUCT(('Sales and count'!$G$3:$CC$3="Transactions")*(_xlpm.d&gt;=BK$6)*(_xlpm.d&lt;=BK$7),INDEX('Sales and count'!$G$4:$CC$300,$AJ98,0)))))</f>
        <v/>
      </c>
      <c r="BL98" s="350" t="str" cm="1">
        <f t="array" ref="BL98">IF(AX98="","",IF($AJ98="",0,_xlfn.LET(_xlpm.d,IFERROR(--'Sales and count'!$F$2:$CB$2,0),SUMPRODUCT(('Sales and count'!$G$3:$CC$3="Transactions")*(_xlpm.d&gt;=BL$6)*(_xlpm.d&lt;=BL$7),INDEX('Sales and count'!$G$4:$CC$300,$AJ98,0)))))</f>
        <v/>
      </c>
      <c r="BM98" s="350" cm="1">
        <f t="array" ref="BM98">IF(AK98="","",IF($AJ98="",0,_xlfn.LET(_xlpm.d,IFERROR(--'Sales and count'!$G$2:$CC$2,0),SUMPRODUCT(('Sales and count'!$G$3:$CC$3="Total")*(_xlpm.d&gt;=BM$6)*(_xlpm.d&lt;=BM$7),INDEX('Sales and count'!$G$4:$CC$300,$AJ98,0)))))</f>
        <v>265184.22000000003</v>
      </c>
      <c r="BN98" s="350" cm="1">
        <f t="array" ref="BN98">IF(AL98="","",IF($AJ98="",0,_xlfn.LET(_xlpm.d,IFERROR(--'Sales and count'!$G$2:$CC$2,0),SUMPRODUCT(('Sales and count'!$G$3:$CC$3="Total")*(_xlpm.d&gt;=BN$6)*(_xlpm.d&lt;=BN$7),INDEX('Sales and count'!$G$4:$CC$300,$AJ98,0)))))</f>
        <v>8083.21</v>
      </c>
      <c r="BO98" s="350" cm="1">
        <f t="array" ref="BO98">IF(AM98="","",IF($AJ98="",0,_xlfn.LET(_xlpm.d,IFERROR(--'Sales and count'!$G$2:$CC$2,0),SUMPRODUCT(('Sales and count'!$G$3:$CC$3="Total")*(_xlpm.d&gt;=BO$6)*(_xlpm.d&lt;=BO$7),INDEX('Sales and count'!$G$4:$CC$300,$AJ98,0)))))</f>
        <v>6648.12</v>
      </c>
      <c r="BP98" s="350" cm="1">
        <f t="array" ref="BP98">IF(AN98="","",IF($AJ98="",0,_xlfn.LET(_xlpm.d,IFERROR(--'Sales and count'!$G$2:$CC$2,0),SUMPRODUCT(('Sales and count'!$G$3:$CC$3="Total")*(_xlpm.d&gt;=BP$6)*(_xlpm.d&lt;=BP$7),INDEX('Sales and count'!$G$4:$CC$300,$AJ98,0)))))</f>
        <v>8426.1</v>
      </c>
      <c r="BQ98" s="350" cm="1">
        <f t="array" ref="BQ98">IF(AO98="","",IF($AJ98="",0,_xlfn.LET(_xlpm.d,IFERROR(--'Sales and count'!$G$2:$CC$2,0),SUMPRODUCT(('Sales and count'!$G$3:$CC$3="Total")*(_xlpm.d&gt;=BQ$6)*(_xlpm.d&lt;=BQ$7),INDEX('Sales and count'!$G$4:$CC$300,$AJ98,0)))))</f>
        <v>9620.34</v>
      </c>
      <c r="BR98" s="350" cm="1">
        <f t="array" ref="BR98">IF(AP98="","",IF($AJ98="",0,_xlfn.LET(_xlpm.d,IFERROR(--'Sales and count'!$G$2:$CC$2,0),SUMPRODUCT(('Sales and count'!$G$3:$CC$3="Total")*(_xlpm.d&gt;=BR$6)*(_xlpm.d&lt;=BR$7),INDEX('Sales and count'!$G$4:$CC$300,$AJ98,0)))))</f>
        <v>14772.19</v>
      </c>
      <c r="BS98" s="350" cm="1">
        <f t="array" ref="BS98">IF(AQ98="","",IF($AJ98="",0,_xlfn.LET(_xlpm.d,IFERROR(--'Sales and count'!$G$2:$CC$2,0),SUMPRODUCT(('Sales and count'!$G$3:$CC$3="Total")*(_xlpm.d&gt;=BS$6)*(_xlpm.d&lt;=BS$7),INDEX('Sales and count'!$G$4:$CC$300,$AJ98,0)))))</f>
        <v>14659.03</v>
      </c>
      <c r="BT98" s="350" cm="1">
        <f t="array" ref="BT98">IF(AR98="","",IF($AJ98="",0,_xlfn.LET(_xlpm.d,IFERROR(--'Sales and count'!$G$2:$CC$2,0),SUMPRODUCT(('Sales and count'!$G$3:$CC$3="Total")*(_xlpm.d&gt;=BT$6)*(_xlpm.d&lt;=BT$7),INDEX('Sales and count'!$G$4:$CC$300,$AJ98,0)))))</f>
        <v>8487.44</v>
      </c>
      <c r="BU98" s="350" cm="1">
        <f t="array" ref="BU98">IF(AS98="","",IF($AJ98="",0,_xlfn.LET(_xlpm.d,IFERROR(--'Sales and count'!$G$2:$CC$2,0),SUMPRODUCT(('Sales and count'!$G$3:$CC$3="Total")*(_xlpm.d&gt;=BU$6)*(_xlpm.d&lt;=BU$7),INDEX('Sales and count'!$G$4:$CC$300,$AJ98,0)))))</f>
        <v>11978.86</v>
      </c>
      <c r="BV98" s="350" t="str" cm="1">
        <f t="array" ref="BV98">IF(AT98="","",IF($AJ98="",0,_xlfn.LET(_xlpm.d,IFERROR(--'Sales and count'!$G$2:$CC$2,0),SUMPRODUCT(('Sales and count'!$G$3:$CC$3="Total")*(_xlpm.d&gt;=BV$6)*(_xlpm.d&lt;=BV$7),INDEX('Sales and count'!$G$4:$CC$300,$AJ98,0)))))</f>
        <v/>
      </c>
      <c r="BW98" s="350" t="str" cm="1">
        <f t="array" ref="BW98">IF(AU98="","",IF($AJ98="",0,_xlfn.LET(_xlpm.d,IFERROR(--'Sales and count'!$G$2:$CC$2,0),SUMPRODUCT(('Sales and count'!$G$3:$CC$3="Total")*(_xlpm.d&gt;=BW$6)*(_xlpm.d&lt;=BW$7),INDEX('Sales and count'!$G$4:$CC$300,$AJ98,0)))))</f>
        <v/>
      </c>
      <c r="BX98" s="350" t="str" cm="1">
        <f t="array" ref="BX98">IF(AV98="","",IF($AJ98="",0,_xlfn.LET(_xlpm.d,IFERROR(--'Sales and count'!$G$2:$CC$2,0),SUMPRODUCT(('Sales and count'!$G$3:$CC$3="Total")*(_xlpm.d&gt;=BX$6)*(_xlpm.d&lt;=BX$7),INDEX('Sales and count'!$G$4:$CC$300,$AJ98,0)))))</f>
        <v/>
      </c>
      <c r="BY98" s="350" t="str" cm="1">
        <f t="array" ref="BY98">IF(AW98="","",IF($AJ98="",0,_xlfn.LET(_xlpm.d,IFERROR(--'Sales and count'!$G$2:$CC$2,0),SUMPRODUCT(('Sales and count'!$G$3:$CC$3="Total")*(_xlpm.d&gt;=BY$6)*(_xlpm.d&lt;=BY$7),INDEX('Sales and count'!$G$4:$CC$300,$AJ98,0)))))</f>
        <v/>
      </c>
      <c r="BZ98" s="350" t="str" cm="1">
        <f t="array" ref="BZ98">IF(AX98="","",IF($AJ98="",0,_xlfn.LET(_xlpm.d,IFERROR(--'Sales and count'!$G$2:$CC$2,0),SUMPRODUCT(('Sales and count'!$G$3:$CC$3="Total")*(_xlpm.d&gt;=BZ$6)*(_xlpm.d&lt;=BZ$7),INDEX('Sales and count'!$G$4:$CC$300,$AJ98,0)))))</f>
        <v/>
      </c>
    </row>
    <row r="99" spans="1:78" x14ac:dyDescent="0.25">
      <c r="A99" s="356" t="str">
        <v>ALAZIZIYAH</v>
      </c>
      <c r="B99" s="356" t="str" cm="1">
        <f t="array" ref="B99">IF($A99="","",_xlfn.XLOOKUP($A99,TRIM(Footfall!$B$5:$B$301&amp;""),Footfall!$A$5:$A$301,""))</f>
        <v>Riyadh Aziziyah</v>
      </c>
      <c r="C99" s="356" t="str" cm="1">
        <f t="array" ref="C99">IF($A99="","",_xlfn.XLOOKUP($A99,TRIM('Sales and count'!$A$4:$A$300&amp;""),'Sales and count'!$C$4:$C$300,"Not set"))</f>
        <v>Riyadh</v>
      </c>
      <c r="D99" s="357">
        <f t="shared" ca="1" si="53"/>
        <v>0.27815256875973016</v>
      </c>
      <c r="E99" s="357">
        <f t="shared" ca="1" si="54"/>
        <v>0.63636363636363635</v>
      </c>
      <c r="F99" s="357">
        <f t="shared" ca="1" si="55"/>
        <v>0.25757575757575757</v>
      </c>
      <c r="G99" s="357">
        <f t="shared" ca="1" si="56"/>
        <v>0.29545454545454547</v>
      </c>
      <c r="H99" s="357">
        <f t="shared" ca="1" si="57"/>
        <v>0.2839506172839506</v>
      </c>
      <c r="I99" s="357">
        <f t="shared" ca="1" si="58"/>
        <v>0.27950310559006208</v>
      </c>
      <c r="J99" s="357">
        <f t="shared" ca="1" si="59"/>
        <v>0.27210884353741499</v>
      </c>
      <c r="K99" s="357">
        <f t="shared" ca="1" si="60"/>
        <v>0.1317365269461078</v>
      </c>
      <c r="L99" s="357">
        <f t="shared" ca="1" si="61"/>
        <v>0.25384615384615383</v>
      </c>
      <c r="M99" s="357" t="str">
        <f t="shared" si="62"/>
        <v/>
      </c>
      <c r="N99" s="357" t="str">
        <f t="shared" si="63"/>
        <v/>
      </c>
      <c r="O99" s="357" t="str">
        <f t="shared" si="64"/>
        <v/>
      </c>
      <c r="P99" s="357" t="str">
        <f t="shared" si="65"/>
        <v/>
      </c>
      <c r="Q99" s="357" t="str">
        <f t="shared" si="66"/>
        <v/>
      </c>
      <c r="R99" s="358" cm="1">
        <f t="array" aca="1" ref="R99" ca="1">IF(OR($A99="",D99=""),"",IFERROR(LOOKUP(2,1/(E99:Q99&lt;&gt;""),E99:Q99)-D99,""))</f>
        <v>-2.4306414913576324E-2</v>
      </c>
      <c r="S99" s="349"/>
      <c r="T99" s="362">
        <f t="shared" ca="1" si="67"/>
        <v>146.12744402985075</v>
      </c>
      <c r="U99" s="362">
        <f t="shared" ca="1" si="68"/>
        <v>120.03714285714285</v>
      </c>
      <c r="V99" s="362">
        <f t="shared" ca="1" si="69"/>
        <v>174.7979411764706</v>
      </c>
      <c r="W99" s="362">
        <f t="shared" ca="1" si="70"/>
        <v>165.18435897435901</v>
      </c>
      <c r="X99" s="362">
        <f t="shared" ca="1" si="71"/>
        <v>166.55891304347827</v>
      </c>
      <c r="Y99" s="362">
        <f t="shared" ca="1" si="72"/>
        <v>135.79444444444445</v>
      </c>
      <c r="Z99" s="362">
        <f t="shared" ca="1" si="73"/>
        <v>145.09525000000002</v>
      </c>
      <c r="AA99" s="362">
        <f t="shared" ca="1" si="74"/>
        <v>165.30909090909091</v>
      </c>
      <c r="AB99" s="362">
        <f t="shared" ca="1" si="75"/>
        <v>181.79636363636362</v>
      </c>
      <c r="AC99" s="362" t="str">
        <f t="shared" si="76"/>
        <v/>
      </c>
      <c r="AD99" s="362" t="str">
        <f t="shared" si="77"/>
        <v/>
      </c>
      <c r="AE99" s="362" t="str">
        <f t="shared" si="78"/>
        <v/>
      </c>
      <c r="AF99" s="362" t="str">
        <f t="shared" si="79"/>
        <v/>
      </c>
      <c r="AG99" s="362" t="str">
        <f t="shared" si="80"/>
        <v/>
      </c>
      <c r="AH99" s="363" cm="1">
        <f t="array" aca="1" ref="AH99" ca="1">IF(OR($A99="",T99=""),"",IFERROR(LOOKUP(2,1/(U99:AG99&lt;&gt;""),U99:AG99)-T99,""))</f>
        <v>35.668919606512873</v>
      </c>
      <c r="AI99" s="349"/>
      <c r="AJ99" s="349" cm="1">
        <f t="array" ref="AJ99">IF($A99="","",IFERROR(MATCH($A99,TRIM('Sales and count'!$A$4:$A$300&amp;""),0),""))</f>
        <v>59</v>
      </c>
      <c r="AK99" s="350" cm="1">
        <f t="array" ref="AK99">IF(OR($A99="",AK$6=""),"",IFERROR(INDEX(Footfall!$C$5:$BZ$301,MATCH($A99,TRIM(Footfall!$B$5:$B$301&amp;""),0),AK$5),0))</f>
        <v>3854</v>
      </c>
      <c r="AL99" s="350" cm="1">
        <f t="array" ref="AL99">IF(OR($A99="",AL$6=""),"",IFERROR(INDEX(Footfall!$C$5:$BZ$301,MATCH($A99,TRIM(Footfall!$B$5:$B$301&amp;""),0),AL$5),0))</f>
        <v>44</v>
      </c>
      <c r="AM99" s="350" cm="1">
        <f t="array" ref="AM99">IF(OR($A99="",AM$6=""),"",IFERROR(INDEX(Footfall!$C$5:$BZ$301,MATCH($A99,TRIM(Footfall!$B$5:$B$301&amp;""),0),AM$5),0))</f>
        <v>132</v>
      </c>
      <c r="AN99" s="350" cm="1">
        <f t="array" ref="AN99">IF(OR($A99="",AN$6=""),"",IFERROR(INDEX(Footfall!$C$5:$BZ$301,MATCH($A99,TRIM(Footfall!$B$5:$B$301&amp;""),0),AN$5),0))</f>
        <v>132</v>
      </c>
      <c r="AO99" s="350" cm="1">
        <f t="array" ref="AO99">IF(OR($A99="",AO$6=""),"",IFERROR(INDEX(Footfall!$C$5:$BZ$301,MATCH($A99,TRIM(Footfall!$B$5:$B$301&amp;""),0),AO$5),0))</f>
        <v>162</v>
      </c>
      <c r="AP99" s="350" cm="1">
        <f t="array" ref="AP99">IF(OR($A99="",AP$6=""),"",IFERROR(INDEX(Footfall!$C$5:$BZ$301,MATCH($A99,TRIM(Footfall!$B$5:$B$301&amp;""),0),AP$5),0))</f>
        <v>161</v>
      </c>
      <c r="AQ99" s="350" cm="1">
        <f t="array" ref="AQ99">IF(OR($A99="",AQ$6=""),"",IFERROR(INDEX(Footfall!$C$5:$BZ$301,MATCH($A99,TRIM(Footfall!$B$5:$B$301&amp;""),0),AQ$5),0))</f>
        <v>147</v>
      </c>
      <c r="AR99" s="350" cm="1">
        <f t="array" ref="AR99">IF(OR($A99="",AR$6=""),"",IFERROR(INDEX(Footfall!$C$5:$BZ$301,MATCH($A99,TRIM(Footfall!$B$5:$B$301&amp;""),0),AR$5),0))</f>
        <v>167</v>
      </c>
      <c r="AS99" s="350" cm="1">
        <f t="array" ref="AS99">IF(OR($A99="",AS$6=""),"",IFERROR(INDEX(Footfall!$C$5:$BZ$301,MATCH($A99,TRIM(Footfall!$B$5:$B$301&amp;""),0),AS$5),0))</f>
        <v>130</v>
      </c>
      <c r="AT99" s="350" t="str" cm="1">
        <f t="array" ref="AT99">IF(OR($A99="",AT$6=""),"",IFERROR(INDEX(Footfall!$C$5:$BZ$301,MATCH($A99,TRIM(Footfall!$B$5:$B$301&amp;""),0),AT$5),0))</f>
        <v/>
      </c>
      <c r="AU99" s="350" t="str" cm="1">
        <f t="array" ref="AU99">IF(OR($A99="",AU$6=""),"",IFERROR(INDEX(Footfall!$C$5:$BZ$301,MATCH($A99,TRIM(Footfall!$B$5:$B$301&amp;""),0),AU$5),0))</f>
        <v/>
      </c>
      <c r="AV99" s="350" t="str" cm="1">
        <f t="array" ref="AV99">IF(OR($A99="",AV$6=""),"",IFERROR(INDEX(Footfall!$C$5:$BZ$301,MATCH($A99,TRIM(Footfall!$B$5:$B$301&amp;""),0),AV$5),0))</f>
        <v/>
      </c>
      <c r="AW99" s="350" t="str" cm="1">
        <f t="array" ref="AW99">IF(OR($A99="",AW$6=""),"",IFERROR(INDEX(Footfall!$C$5:$BZ$301,MATCH($A99,TRIM(Footfall!$B$5:$B$301&amp;""),0),AW$5),0))</f>
        <v/>
      </c>
      <c r="AX99" s="350" t="str" cm="1">
        <f t="array" ref="AX99">IF(OR($A99="",AX$6=""),"",IFERROR(INDEX(Footfall!$C$5:$BZ$301,MATCH($A99,TRIM(Footfall!$B$5:$B$301&amp;""),0),AX$5),0))</f>
        <v/>
      </c>
      <c r="AY99" s="350" cm="1">
        <f t="array" aca="1" ref="AY99" ca="1">IF(AK99="","",IF($AJ99="",0,_xlfn.LET(_xlpm.d,IFERROR(--'Sales and count'!$F$2:$CB$2,0),SUMPRODUCT(('Sales and count'!$G$3:$CC$3="Transactions")*(_xlpm.d&gt;=AY$6)*(_xlpm.d&lt;=AY$7),INDEX('Sales and count'!$G$4:$CC$300,$AJ99,0)))))</f>
        <v>1072</v>
      </c>
      <c r="AZ99" s="350" cm="1">
        <f t="array" aca="1" ref="AZ99" ca="1">IF(AL99="","",IF($AJ99="",0,_xlfn.LET(_xlpm.d,IFERROR(--'Sales and count'!$F$2:$CB$2,0),SUMPRODUCT(('Sales and count'!$G$3:$CC$3="Transactions")*(_xlpm.d&gt;=AZ$6)*(_xlpm.d&lt;=AZ$7),INDEX('Sales and count'!$G$4:$CC$300,$AJ99,0)))))</f>
        <v>28</v>
      </c>
      <c r="BA99" s="350" cm="1">
        <f t="array" aca="1" ref="BA99" ca="1">IF(AM99="","",IF($AJ99="",0,_xlfn.LET(_xlpm.d,IFERROR(--'Sales and count'!$F$2:$CB$2,0),SUMPRODUCT(('Sales and count'!$G$3:$CC$3="Transactions")*(_xlpm.d&gt;=BA$6)*(_xlpm.d&lt;=BA$7),INDEX('Sales and count'!$G$4:$CC$300,$AJ99,0)))))</f>
        <v>34</v>
      </c>
      <c r="BB99" s="350" cm="1">
        <f t="array" aca="1" ref="BB99" ca="1">IF(AN99="","",IF($AJ99="",0,_xlfn.LET(_xlpm.d,IFERROR(--'Sales and count'!$F$2:$CB$2,0),SUMPRODUCT(('Sales and count'!$G$3:$CC$3="Transactions")*(_xlpm.d&gt;=BB$6)*(_xlpm.d&lt;=BB$7),INDEX('Sales and count'!$G$4:$CC$300,$AJ99,0)))))</f>
        <v>39</v>
      </c>
      <c r="BC99" s="350" cm="1">
        <f t="array" aca="1" ref="BC99" ca="1">IF(AO99="","",IF($AJ99="",0,_xlfn.LET(_xlpm.d,IFERROR(--'Sales and count'!$F$2:$CB$2,0),SUMPRODUCT(('Sales and count'!$G$3:$CC$3="Transactions")*(_xlpm.d&gt;=BC$6)*(_xlpm.d&lt;=BC$7),INDEX('Sales and count'!$G$4:$CC$300,$AJ99,0)))))</f>
        <v>46</v>
      </c>
      <c r="BD99" s="350" cm="1">
        <f t="array" aca="1" ref="BD99" ca="1">IF(AP99="","",IF($AJ99="",0,_xlfn.LET(_xlpm.d,IFERROR(--'Sales and count'!$F$2:$CB$2,0),SUMPRODUCT(('Sales and count'!$G$3:$CC$3="Transactions")*(_xlpm.d&gt;=BD$6)*(_xlpm.d&lt;=BD$7),INDEX('Sales and count'!$G$4:$CC$300,$AJ99,0)))))</f>
        <v>45</v>
      </c>
      <c r="BE99" s="350" cm="1">
        <f t="array" aca="1" ref="BE99" ca="1">IF(AQ99="","",IF($AJ99="",0,_xlfn.LET(_xlpm.d,IFERROR(--'Sales and count'!$F$2:$CB$2,0),SUMPRODUCT(('Sales and count'!$G$3:$CC$3="Transactions")*(_xlpm.d&gt;=BE$6)*(_xlpm.d&lt;=BE$7),INDEX('Sales and count'!$G$4:$CC$300,$AJ99,0)))))</f>
        <v>40</v>
      </c>
      <c r="BF99" s="350" cm="1">
        <f t="array" aca="1" ref="BF99" ca="1">IF(AR99="","",IF($AJ99="",0,_xlfn.LET(_xlpm.d,IFERROR(--'Sales and count'!$F$2:$CB$2,0),SUMPRODUCT(('Sales and count'!$G$3:$CC$3="Transactions")*(_xlpm.d&gt;=BF$6)*(_xlpm.d&lt;=BF$7),INDEX('Sales and count'!$G$4:$CC$300,$AJ99,0)))))</f>
        <v>22</v>
      </c>
      <c r="BG99" s="350" cm="1">
        <f t="array" aca="1" ref="BG99" ca="1">IF(AS99="","",IF($AJ99="",0,_xlfn.LET(_xlpm.d,IFERROR(--'Sales and count'!$F$2:$CB$2,0),SUMPRODUCT(('Sales and count'!$G$3:$CC$3="Transactions")*(_xlpm.d&gt;=BG$6)*(_xlpm.d&lt;=BG$7),INDEX('Sales and count'!$G$4:$CC$300,$AJ99,0)))))</f>
        <v>33</v>
      </c>
      <c r="BH99" s="350" t="str" cm="1">
        <f t="array" ref="BH99">IF(AT99="","",IF($AJ99="",0,_xlfn.LET(_xlpm.d,IFERROR(--'Sales and count'!$F$2:$CB$2,0),SUMPRODUCT(('Sales and count'!$G$3:$CC$3="Transactions")*(_xlpm.d&gt;=BH$6)*(_xlpm.d&lt;=BH$7),INDEX('Sales and count'!$G$4:$CC$300,$AJ99,0)))))</f>
        <v/>
      </c>
      <c r="BI99" s="350" t="str" cm="1">
        <f t="array" ref="BI99">IF(AU99="","",IF($AJ99="",0,_xlfn.LET(_xlpm.d,IFERROR(--'Sales and count'!$F$2:$CB$2,0),SUMPRODUCT(('Sales and count'!$G$3:$CC$3="Transactions")*(_xlpm.d&gt;=BI$6)*(_xlpm.d&lt;=BI$7),INDEX('Sales and count'!$G$4:$CC$300,$AJ99,0)))))</f>
        <v/>
      </c>
      <c r="BJ99" s="350" t="str" cm="1">
        <f t="array" ref="BJ99">IF(AV99="","",IF($AJ99="",0,_xlfn.LET(_xlpm.d,IFERROR(--'Sales and count'!$F$2:$CB$2,0),SUMPRODUCT(('Sales and count'!$G$3:$CC$3="Transactions")*(_xlpm.d&gt;=BJ$6)*(_xlpm.d&lt;=BJ$7),INDEX('Sales and count'!$G$4:$CC$300,$AJ99,0)))))</f>
        <v/>
      </c>
      <c r="BK99" s="350" t="str" cm="1">
        <f t="array" ref="BK99">IF(AW99="","",IF($AJ99="",0,_xlfn.LET(_xlpm.d,IFERROR(--'Sales and count'!$F$2:$CB$2,0),SUMPRODUCT(('Sales and count'!$G$3:$CC$3="Transactions")*(_xlpm.d&gt;=BK$6)*(_xlpm.d&lt;=BK$7),INDEX('Sales and count'!$G$4:$CC$300,$AJ99,0)))))</f>
        <v/>
      </c>
      <c r="BL99" s="350" t="str" cm="1">
        <f t="array" ref="BL99">IF(AX99="","",IF($AJ99="",0,_xlfn.LET(_xlpm.d,IFERROR(--'Sales and count'!$F$2:$CB$2,0),SUMPRODUCT(('Sales and count'!$G$3:$CC$3="Transactions")*(_xlpm.d&gt;=BL$6)*(_xlpm.d&lt;=BL$7),INDEX('Sales and count'!$G$4:$CC$300,$AJ99,0)))))</f>
        <v/>
      </c>
      <c r="BM99" s="350" cm="1">
        <f t="array" ref="BM99">IF(AK99="","",IF($AJ99="",0,_xlfn.LET(_xlpm.d,IFERROR(--'Sales and count'!$G$2:$CC$2,0),SUMPRODUCT(('Sales and count'!$G$3:$CC$3="Total")*(_xlpm.d&gt;=BM$6)*(_xlpm.d&lt;=BM$7),INDEX('Sales and count'!$G$4:$CC$300,$AJ99,0)))))</f>
        <v>156648.62</v>
      </c>
      <c r="BN99" s="350" cm="1">
        <f t="array" ref="BN99">IF(AL99="","",IF($AJ99="",0,_xlfn.LET(_xlpm.d,IFERROR(--'Sales and count'!$G$2:$CC$2,0),SUMPRODUCT(('Sales and count'!$G$3:$CC$3="Total")*(_xlpm.d&gt;=BN$6)*(_xlpm.d&lt;=BN$7),INDEX('Sales and count'!$G$4:$CC$300,$AJ99,0)))))</f>
        <v>3361.04</v>
      </c>
      <c r="BO99" s="350" cm="1">
        <f t="array" ref="BO99">IF(AM99="","",IF($AJ99="",0,_xlfn.LET(_xlpm.d,IFERROR(--'Sales and count'!$G$2:$CC$2,0),SUMPRODUCT(('Sales and count'!$G$3:$CC$3="Total")*(_xlpm.d&gt;=BO$6)*(_xlpm.d&lt;=BO$7),INDEX('Sales and count'!$G$4:$CC$300,$AJ99,0)))))</f>
        <v>5943.13</v>
      </c>
      <c r="BP99" s="350" cm="1">
        <f t="array" ref="BP99">IF(AN99="","",IF($AJ99="",0,_xlfn.LET(_xlpm.d,IFERROR(--'Sales and count'!$G$2:$CC$2,0),SUMPRODUCT(('Sales and count'!$G$3:$CC$3="Total")*(_xlpm.d&gt;=BP$6)*(_xlpm.d&lt;=BP$7),INDEX('Sales and count'!$G$4:$CC$300,$AJ99,0)))))</f>
        <v>6442.1900000000014</v>
      </c>
      <c r="BQ99" s="350" cm="1">
        <f t="array" ref="BQ99">IF(AO99="","",IF($AJ99="",0,_xlfn.LET(_xlpm.d,IFERROR(--'Sales and count'!$G$2:$CC$2,0),SUMPRODUCT(('Sales and count'!$G$3:$CC$3="Total")*(_xlpm.d&gt;=BQ$6)*(_xlpm.d&lt;=BQ$7),INDEX('Sales and count'!$G$4:$CC$300,$AJ99,0)))))</f>
        <v>7661.71</v>
      </c>
      <c r="BR99" s="350" cm="1">
        <f t="array" ref="BR99">IF(AP99="","",IF($AJ99="",0,_xlfn.LET(_xlpm.d,IFERROR(--'Sales and count'!$G$2:$CC$2,0),SUMPRODUCT(('Sales and count'!$G$3:$CC$3="Total")*(_xlpm.d&gt;=BR$6)*(_xlpm.d&lt;=BR$7),INDEX('Sales and count'!$G$4:$CC$300,$AJ99,0)))))</f>
        <v>6110.75</v>
      </c>
      <c r="BS99" s="350" cm="1">
        <f t="array" ref="BS99">IF(AQ99="","",IF($AJ99="",0,_xlfn.LET(_xlpm.d,IFERROR(--'Sales and count'!$G$2:$CC$2,0),SUMPRODUCT(('Sales and count'!$G$3:$CC$3="Total")*(_xlpm.d&gt;=BS$6)*(_xlpm.d&lt;=BS$7),INDEX('Sales and count'!$G$4:$CC$300,$AJ99,0)))))</f>
        <v>5803.81</v>
      </c>
      <c r="BT99" s="350" cm="1">
        <f t="array" ref="BT99">IF(AR99="","",IF($AJ99="",0,_xlfn.LET(_xlpm.d,IFERROR(--'Sales and count'!$G$2:$CC$2,0),SUMPRODUCT(('Sales and count'!$G$3:$CC$3="Total")*(_xlpm.d&gt;=BT$6)*(_xlpm.d&lt;=BT$7),INDEX('Sales and count'!$G$4:$CC$300,$AJ99,0)))))</f>
        <v>3636.8</v>
      </c>
      <c r="BU99" s="350" cm="1">
        <f t="array" ref="BU99">IF(AS99="","",IF($AJ99="",0,_xlfn.LET(_xlpm.d,IFERROR(--'Sales and count'!$G$2:$CC$2,0),SUMPRODUCT(('Sales and count'!$G$3:$CC$3="Total")*(_xlpm.d&gt;=BU$6)*(_xlpm.d&lt;=BU$7),INDEX('Sales and count'!$G$4:$CC$300,$AJ99,0)))))</f>
        <v>5999.28</v>
      </c>
      <c r="BV99" s="350" t="str" cm="1">
        <f t="array" ref="BV99">IF(AT99="","",IF($AJ99="",0,_xlfn.LET(_xlpm.d,IFERROR(--'Sales and count'!$G$2:$CC$2,0),SUMPRODUCT(('Sales and count'!$G$3:$CC$3="Total")*(_xlpm.d&gt;=BV$6)*(_xlpm.d&lt;=BV$7),INDEX('Sales and count'!$G$4:$CC$300,$AJ99,0)))))</f>
        <v/>
      </c>
      <c r="BW99" s="350" t="str" cm="1">
        <f t="array" ref="BW99">IF(AU99="","",IF($AJ99="",0,_xlfn.LET(_xlpm.d,IFERROR(--'Sales and count'!$G$2:$CC$2,0),SUMPRODUCT(('Sales and count'!$G$3:$CC$3="Total")*(_xlpm.d&gt;=BW$6)*(_xlpm.d&lt;=BW$7),INDEX('Sales and count'!$G$4:$CC$300,$AJ99,0)))))</f>
        <v/>
      </c>
      <c r="BX99" s="350" t="str" cm="1">
        <f t="array" ref="BX99">IF(AV99="","",IF($AJ99="",0,_xlfn.LET(_xlpm.d,IFERROR(--'Sales and count'!$G$2:$CC$2,0),SUMPRODUCT(('Sales and count'!$G$3:$CC$3="Total")*(_xlpm.d&gt;=BX$6)*(_xlpm.d&lt;=BX$7),INDEX('Sales and count'!$G$4:$CC$300,$AJ99,0)))))</f>
        <v/>
      </c>
      <c r="BY99" s="350" t="str" cm="1">
        <f t="array" ref="BY99">IF(AW99="","",IF($AJ99="",0,_xlfn.LET(_xlpm.d,IFERROR(--'Sales and count'!$G$2:$CC$2,0),SUMPRODUCT(('Sales and count'!$G$3:$CC$3="Total")*(_xlpm.d&gt;=BY$6)*(_xlpm.d&lt;=BY$7),INDEX('Sales and count'!$G$4:$CC$300,$AJ99,0)))))</f>
        <v/>
      </c>
      <c r="BZ99" s="350" t="str" cm="1">
        <f t="array" ref="BZ99">IF(AX99="","",IF($AJ99="",0,_xlfn.LET(_xlpm.d,IFERROR(--'Sales and count'!$G$2:$CC$2,0),SUMPRODUCT(('Sales and count'!$G$3:$CC$3="Total")*(_xlpm.d&gt;=BZ$6)*(_xlpm.d&lt;=BZ$7),INDEX('Sales and count'!$G$4:$CC$300,$AJ99,0)))))</f>
        <v/>
      </c>
    </row>
    <row r="100" spans="1:78" x14ac:dyDescent="0.25">
      <c r="A100" s="356" t="str">
        <v>RYDTALA</v>
      </c>
      <c r="B100" s="356" t="str" cm="1">
        <f t="array" ref="B100">IF($A100="","",_xlfn.XLOOKUP($A100,TRIM(Footfall!$B$5:$B$301&amp;""),Footfall!$A$5:$A$301,""))</f>
        <v>Riyadh Tala Mall</v>
      </c>
      <c r="C100" s="356" t="str" cm="1">
        <f t="array" ref="C100">IF($A100="","",_xlfn.XLOOKUP($A100,TRIM('Sales and count'!$A$4:$A$300&amp;""),'Sales and count'!$C$4:$C$300,"Not set"))</f>
        <v>Riyadh</v>
      </c>
      <c r="D100" s="357">
        <f t="shared" ca="1" si="53"/>
        <v>0.15117014547754587</v>
      </c>
      <c r="E100" s="357">
        <f t="shared" ca="1" si="54"/>
        <v>0.23255813953488372</v>
      </c>
      <c r="F100" s="357">
        <f t="shared" ca="1" si="55"/>
        <v>0.15384615384615385</v>
      </c>
      <c r="G100" s="357">
        <f t="shared" ca="1" si="56"/>
        <v>5.7971014492753624E-2</v>
      </c>
      <c r="H100" s="357">
        <f t="shared" ca="1" si="57"/>
        <v>0.16455696202531644</v>
      </c>
      <c r="I100" s="357">
        <f t="shared" ca="1" si="58"/>
        <v>0.19607843137254902</v>
      </c>
      <c r="J100" s="357">
        <f t="shared" ca="1" si="59"/>
        <v>5.8823529411764705E-2</v>
      </c>
      <c r="K100" s="357">
        <f t="shared" ca="1" si="60"/>
        <v>5.2631578947368418E-2</v>
      </c>
      <c r="L100" s="357">
        <f t="shared" ca="1" si="61"/>
        <v>9.9236641221374045E-2</v>
      </c>
      <c r="M100" s="357" t="str">
        <f t="shared" si="62"/>
        <v/>
      </c>
      <c r="N100" s="357" t="str">
        <f t="shared" si="63"/>
        <v/>
      </c>
      <c r="O100" s="357" t="str">
        <f t="shared" si="64"/>
        <v/>
      </c>
      <c r="P100" s="357" t="str">
        <f t="shared" si="65"/>
        <v/>
      </c>
      <c r="Q100" s="357" t="str">
        <f t="shared" si="66"/>
        <v/>
      </c>
      <c r="R100" s="358" cm="1">
        <f t="array" aca="1" ref="R100" ca="1">IF(OR($A100="",D100=""),"",IFERROR(LOOKUP(2,1/(E100:Q100&lt;&gt;""),E100:Q100)-D100,""))</f>
        <v>-5.1933504256171825E-2</v>
      </c>
      <c r="S100" s="349"/>
      <c r="T100" s="362">
        <f t="shared" ca="1" si="67"/>
        <v>130.70083682008371</v>
      </c>
      <c r="U100" s="362">
        <f t="shared" ca="1" si="68"/>
        <v>94.001000000000005</v>
      </c>
      <c r="V100" s="362">
        <f t="shared" ca="1" si="69"/>
        <v>125.22611111111112</v>
      </c>
      <c r="W100" s="362">
        <f t="shared" ca="1" si="70"/>
        <v>140.63</v>
      </c>
      <c r="X100" s="362">
        <f t="shared" ca="1" si="71"/>
        <v>142.45923076923077</v>
      </c>
      <c r="Y100" s="362">
        <f t="shared" ca="1" si="72"/>
        <v>120.494</v>
      </c>
      <c r="Z100" s="362">
        <f t="shared" ca="1" si="73"/>
        <v>166.82666666666668</v>
      </c>
      <c r="AA100" s="362">
        <f t="shared" ca="1" si="74"/>
        <v>187</v>
      </c>
      <c r="AB100" s="362">
        <f t="shared" ca="1" si="75"/>
        <v>138.08461538461538</v>
      </c>
      <c r="AC100" s="362" t="str">
        <f t="shared" si="76"/>
        <v/>
      </c>
      <c r="AD100" s="362" t="str">
        <f t="shared" si="77"/>
        <v/>
      </c>
      <c r="AE100" s="362" t="str">
        <f t="shared" si="78"/>
        <v/>
      </c>
      <c r="AF100" s="362" t="str">
        <f t="shared" si="79"/>
        <v/>
      </c>
      <c r="AG100" s="362" t="str">
        <f t="shared" si="80"/>
        <v/>
      </c>
      <c r="AH100" s="363" cm="1">
        <f t="array" aca="1" ref="AH100" ca="1">IF(OR($A100="",T100=""),"",IFERROR(LOOKUP(2,1/(U100:AG100&lt;&gt;""),U100:AG100)-T100,""))</f>
        <v>7.3837785645316671</v>
      </c>
      <c r="AI100" s="349"/>
      <c r="AJ100" s="349" cm="1">
        <f t="array" ref="AJ100">IF($A100="","",IFERROR(MATCH($A100,TRIM('Sales and count'!$A$4:$A$300&amp;""),0),""))</f>
        <v>107</v>
      </c>
      <c r="AK100" s="350" cm="1">
        <f t="array" ref="AK100">IF(OR($A100="",AK$6=""),"",IFERROR(INDEX(Footfall!$C$5:$BZ$301,MATCH($A100,TRIM(Footfall!$B$5:$B$301&amp;""),0),AK$5),0))</f>
        <v>1581</v>
      </c>
      <c r="AL100" s="350" cm="1">
        <f t="array" ref="AL100">IF(OR($A100="",AL$6=""),"",IFERROR(INDEX(Footfall!$C$5:$BZ$301,MATCH($A100,TRIM(Footfall!$B$5:$B$301&amp;""),0),AL$5),0))</f>
        <v>43</v>
      </c>
      <c r="AM100" s="350" cm="1">
        <f t="array" ref="AM100">IF(OR($A100="",AM$6=""),"",IFERROR(INDEX(Footfall!$C$5:$BZ$301,MATCH($A100,TRIM(Footfall!$B$5:$B$301&amp;""),0),AM$5),0))</f>
        <v>117</v>
      </c>
      <c r="AN100" s="350" cm="1">
        <f t="array" ref="AN100">IF(OR($A100="",AN$6=""),"",IFERROR(INDEX(Footfall!$C$5:$BZ$301,MATCH($A100,TRIM(Footfall!$B$5:$B$301&amp;""),0),AN$5),0))</f>
        <v>138</v>
      </c>
      <c r="AO100" s="350" cm="1">
        <f t="array" ref="AO100">IF(OR($A100="",AO$6=""),"",IFERROR(INDEX(Footfall!$C$5:$BZ$301,MATCH($A100,TRIM(Footfall!$B$5:$B$301&amp;""),0),AO$5),0))</f>
        <v>79</v>
      </c>
      <c r="AP100" s="350" cm="1">
        <f t="array" ref="AP100">IF(OR($A100="",AP$6=""),"",IFERROR(INDEX(Footfall!$C$5:$BZ$301,MATCH($A100,TRIM(Footfall!$B$5:$B$301&amp;""),0),AP$5),0))</f>
        <v>51</v>
      </c>
      <c r="AQ100" s="350" cm="1">
        <f t="array" ref="AQ100">IF(OR($A100="",AQ$6=""),"",IFERROR(INDEX(Footfall!$C$5:$BZ$301,MATCH($A100,TRIM(Footfall!$B$5:$B$301&amp;""),0),AQ$5),0))</f>
        <v>102</v>
      </c>
      <c r="AR100" s="350" cm="1">
        <f t="array" ref="AR100">IF(OR($A100="",AR$6=""),"",IFERROR(INDEX(Footfall!$C$5:$BZ$301,MATCH($A100,TRIM(Footfall!$B$5:$B$301&amp;""),0),AR$5),0))</f>
        <v>95</v>
      </c>
      <c r="AS100" s="350" cm="1">
        <f t="array" ref="AS100">IF(OR($A100="",AS$6=""),"",IFERROR(INDEX(Footfall!$C$5:$BZ$301,MATCH($A100,TRIM(Footfall!$B$5:$B$301&amp;""),0),AS$5),0))</f>
        <v>131</v>
      </c>
      <c r="AT100" s="350" t="str" cm="1">
        <f t="array" ref="AT100">IF(OR($A100="",AT$6=""),"",IFERROR(INDEX(Footfall!$C$5:$BZ$301,MATCH($A100,TRIM(Footfall!$B$5:$B$301&amp;""),0),AT$5),0))</f>
        <v/>
      </c>
      <c r="AU100" s="350" t="str" cm="1">
        <f t="array" ref="AU100">IF(OR($A100="",AU$6=""),"",IFERROR(INDEX(Footfall!$C$5:$BZ$301,MATCH($A100,TRIM(Footfall!$B$5:$B$301&amp;""),0),AU$5),0))</f>
        <v/>
      </c>
      <c r="AV100" s="350" t="str" cm="1">
        <f t="array" ref="AV100">IF(OR($A100="",AV$6=""),"",IFERROR(INDEX(Footfall!$C$5:$BZ$301,MATCH($A100,TRIM(Footfall!$B$5:$B$301&amp;""),0),AV$5),0))</f>
        <v/>
      </c>
      <c r="AW100" s="350" t="str" cm="1">
        <f t="array" ref="AW100">IF(OR($A100="",AW$6=""),"",IFERROR(INDEX(Footfall!$C$5:$BZ$301,MATCH($A100,TRIM(Footfall!$B$5:$B$301&amp;""),0),AW$5),0))</f>
        <v/>
      </c>
      <c r="AX100" s="350" t="str" cm="1">
        <f t="array" ref="AX100">IF(OR($A100="",AX$6=""),"",IFERROR(INDEX(Footfall!$C$5:$BZ$301,MATCH($A100,TRIM(Footfall!$B$5:$B$301&amp;""),0),AX$5),0))</f>
        <v/>
      </c>
      <c r="AY100" s="350" cm="1">
        <f t="array" aca="1" ref="AY100" ca="1">IF(AK100="","",IF($AJ100="",0,_xlfn.LET(_xlpm.d,IFERROR(--'Sales and count'!$F$2:$CB$2,0),SUMPRODUCT(('Sales and count'!$G$3:$CC$3="Transactions")*(_xlpm.d&gt;=AY$6)*(_xlpm.d&lt;=AY$7),INDEX('Sales and count'!$G$4:$CC$300,$AJ100,0)))))</f>
        <v>239</v>
      </c>
      <c r="AZ100" s="350" cm="1">
        <f t="array" aca="1" ref="AZ100" ca="1">IF(AL100="","",IF($AJ100="",0,_xlfn.LET(_xlpm.d,IFERROR(--'Sales and count'!$F$2:$CB$2,0),SUMPRODUCT(('Sales and count'!$G$3:$CC$3="Transactions")*(_xlpm.d&gt;=AZ$6)*(_xlpm.d&lt;=AZ$7),INDEX('Sales and count'!$G$4:$CC$300,$AJ100,0)))))</f>
        <v>10</v>
      </c>
      <c r="BA100" s="350" cm="1">
        <f t="array" aca="1" ref="BA100" ca="1">IF(AM100="","",IF($AJ100="",0,_xlfn.LET(_xlpm.d,IFERROR(--'Sales and count'!$F$2:$CB$2,0),SUMPRODUCT(('Sales and count'!$G$3:$CC$3="Transactions")*(_xlpm.d&gt;=BA$6)*(_xlpm.d&lt;=BA$7),INDEX('Sales and count'!$G$4:$CC$300,$AJ100,0)))))</f>
        <v>18</v>
      </c>
      <c r="BB100" s="350" cm="1">
        <f t="array" aca="1" ref="BB100" ca="1">IF(AN100="","",IF($AJ100="",0,_xlfn.LET(_xlpm.d,IFERROR(--'Sales and count'!$F$2:$CB$2,0),SUMPRODUCT(('Sales and count'!$G$3:$CC$3="Transactions")*(_xlpm.d&gt;=BB$6)*(_xlpm.d&lt;=BB$7),INDEX('Sales and count'!$G$4:$CC$300,$AJ100,0)))))</f>
        <v>8</v>
      </c>
      <c r="BC100" s="350" cm="1">
        <f t="array" aca="1" ref="BC100" ca="1">IF(AO100="","",IF($AJ100="",0,_xlfn.LET(_xlpm.d,IFERROR(--'Sales and count'!$F$2:$CB$2,0),SUMPRODUCT(('Sales and count'!$G$3:$CC$3="Transactions")*(_xlpm.d&gt;=BC$6)*(_xlpm.d&lt;=BC$7),INDEX('Sales and count'!$G$4:$CC$300,$AJ100,0)))))</f>
        <v>13</v>
      </c>
      <c r="BD100" s="350" cm="1">
        <f t="array" aca="1" ref="BD100" ca="1">IF(AP100="","",IF($AJ100="",0,_xlfn.LET(_xlpm.d,IFERROR(--'Sales and count'!$F$2:$CB$2,0),SUMPRODUCT(('Sales and count'!$G$3:$CC$3="Transactions")*(_xlpm.d&gt;=BD$6)*(_xlpm.d&lt;=BD$7),INDEX('Sales and count'!$G$4:$CC$300,$AJ100,0)))))</f>
        <v>10</v>
      </c>
      <c r="BE100" s="350" cm="1">
        <f t="array" aca="1" ref="BE100" ca="1">IF(AQ100="","",IF($AJ100="",0,_xlfn.LET(_xlpm.d,IFERROR(--'Sales and count'!$F$2:$CB$2,0),SUMPRODUCT(('Sales and count'!$G$3:$CC$3="Transactions")*(_xlpm.d&gt;=BE$6)*(_xlpm.d&lt;=BE$7),INDEX('Sales and count'!$G$4:$CC$300,$AJ100,0)))))</f>
        <v>6</v>
      </c>
      <c r="BF100" s="350" cm="1">
        <f t="array" aca="1" ref="BF100" ca="1">IF(AR100="","",IF($AJ100="",0,_xlfn.LET(_xlpm.d,IFERROR(--'Sales and count'!$F$2:$CB$2,0),SUMPRODUCT(('Sales and count'!$G$3:$CC$3="Transactions")*(_xlpm.d&gt;=BF$6)*(_xlpm.d&lt;=BF$7),INDEX('Sales and count'!$G$4:$CC$300,$AJ100,0)))))</f>
        <v>5</v>
      </c>
      <c r="BG100" s="350" cm="1">
        <f t="array" aca="1" ref="BG100" ca="1">IF(AS100="","",IF($AJ100="",0,_xlfn.LET(_xlpm.d,IFERROR(--'Sales and count'!$F$2:$CB$2,0),SUMPRODUCT(('Sales and count'!$G$3:$CC$3="Transactions")*(_xlpm.d&gt;=BG$6)*(_xlpm.d&lt;=BG$7),INDEX('Sales and count'!$G$4:$CC$300,$AJ100,0)))))</f>
        <v>13</v>
      </c>
      <c r="BH100" s="350" t="str" cm="1">
        <f t="array" ref="BH100">IF(AT100="","",IF($AJ100="",0,_xlfn.LET(_xlpm.d,IFERROR(--'Sales and count'!$F$2:$CB$2,0),SUMPRODUCT(('Sales and count'!$G$3:$CC$3="Transactions")*(_xlpm.d&gt;=BH$6)*(_xlpm.d&lt;=BH$7),INDEX('Sales and count'!$G$4:$CC$300,$AJ100,0)))))</f>
        <v/>
      </c>
      <c r="BI100" s="350" t="str" cm="1">
        <f t="array" ref="BI100">IF(AU100="","",IF($AJ100="",0,_xlfn.LET(_xlpm.d,IFERROR(--'Sales and count'!$F$2:$CB$2,0),SUMPRODUCT(('Sales and count'!$G$3:$CC$3="Transactions")*(_xlpm.d&gt;=BI$6)*(_xlpm.d&lt;=BI$7),INDEX('Sales and count'!$G$4:$CC$300,$AJ100,0)))))</f>
        <v/>
      </c>
      <c r="BJ100" s="350" t="str" cm="1">
        <f t="array" ref="BJ100">IF(AV100="","",IF($AJ100="",0,_xlfn.LET(_xlpm.d,IFERROR(--'Sales and count'!$F$2:$CB$2,0),SUMPRODUCT(('Sales and count'!$G$3:$CC$3="Transactions")*(_xlpm.d&gt;=BJ$6)*(_xlpm.d&lt;=BJ$7),INDEX('Sales and count'!$G$4:$CC$300,$AJ100,0)))))</f>
        <v/>
      </c>
      <c r="BK100" s="350" t="str" cm="1">
        <f t="array" ref="BK100">IF(AW100="","",IF($AJ100="",0,_xlfn.LET(_xlpm.d,IFERROR(--'Sales and count'!$F$2:$CB$2,0),SUMPRODUCT(('Sales and count'!$G$3:$CC$3="Transactions")*(_xlpm.d&gt;=BK$6)*(_xlpm.d&lt;=BK$7),INDEX('Sales and count'!$G$4:$CC$300,$AJ100,0)))))</f>
        <v/>
      </c>
      <c r="BL100" s="350" t="str" cm="1">
        <f t="array" ref="BL100">IF(AX100="","",IF($AJ100="",0,_xlfn.LET(_xlpm.d,IFERROR(--'Sales and count'!$F$2:$CB$2,0),SUMPRODUCT(('Sales and count'!$G$3:$CC$3="Transactions")*(_xlpm.d&gt;=BL$6)*(_xlpm.d&lt;=BL$7),INDEX('Sales and count'!$G$4:$CC$300,$AJ100,0)))))</f>
        <v/>
      </c>
      <c r="BM100" s="350" cm="1">
        <f t="array" ref="BM100">IF(AK100="","",IF($AJ100="",0,_xlfn.LET(_xlpm.d,IFERROR(--'Sales and count'!$G$2:$CC$2,0),SUMPRODUCT(('Sales and count'!$G$3:$CC$3="Total")*(_xlpm.d&gt;=BM$6)*(_xlpm.d&lt;=BM$7),INDEX('Sales and count'!$G$4:$CC$300,$AJ100,0)))))</f>
        <v>31237.500000000004</v>
      </c>
      <c r="BN100" s="350" cm="1">
        <f t="array" ref="BN100">IF(AL100="","",IF($AJ100="",0,_xlfn.LET(_xlpm.d,IFERROR(--'Sales and count'!$G$2:$CC$2,0),SUMPRODUCT(('Sales and count'!$G$3:$CC$3="Total")*(_xlpm.d&gt;=BN$6)*(_xlpm.d&lt;=BN$7),INDEX('Sales and count'!$G$4:$CC$300,$AJ100,0)))))</f>
        <v>940.01</v>
      </c>
      <c r="BO100" s="350" cm="1">
        <f t="array" ref="BO100">IF(AM100="","",IF($AJ100="",0,_xlfn.LET(_xlpm.d,IFERROR(--'Sales and count'!$G$2:$CC$2,0),SUMPRODUCT(('Sales and count'!$G$3:$CC$3="Total")*(_xlpm.d&gt;=BO$6)*(_xlpm.d&lt;=BO$7),INDEX('Sales and count'!$G$4:$CC$300,$AJ100,0)))))</f>
        <v>2254.0700000000002</v>
      </c>
      <c r="BP100" s="350" cm="1">
        <f t="array" ref="BP100">IF(AN100="","",IF($AJ100="",0,_xlfn.LET(_xlpm.d,IFERROR(--'Sales and count'!$G$2:$CC$2,0),SUMPRODUCT(('Sales and count'!$G$3:$CC$3="Total")*(_xlpm.d&gt;=BP$6)*(_xlpm.d&lt;=BP$7),INDEX('Sales and count'!$G$4:$CC$300,$AJ100,0)))))</f>
        <v>1125.04</v>
      </c>
      <c r="BQ100" s="350" cm="1">
        <f t="array" ref="BQ100">IF(AO100="","",IF($AJ100="",0,_xlfn.LET(_xlpm.d,IFERROR(--'Sales and count'!$G$2:$CC$2,0),SUMPRODUCT(('Sales and count'!$G$3:$CC$3="Total")*(_xlpm.d&gt;=BQ$6)*(_xlpm.d&lt;=BQ$7),INDEX('Sales and count'!$G$4:$CC$300,$AJ100,0)))))</f>
        <v>1851.97</v>
      </c>
      <c r="BR100" s="350" cm="1">
        <f t="array" ref="BR100">IF(AP100="","",IF($AJ100="",0,_xlfn.LET(_xlpm.d,IFERROR(--'Sales and count'!$G$2:$CC$2,0),SUMPRODUCT(('Sales and count'!$G$3:$CC$3="Total")*(_xlpm.d&gt;=BR$6)*(_xlpm.d&lt;=BR$7),INDEX('Sales and count'!$G$4:$CC$300,$AJ100,0)))))</f>
        <v>1204.94</v>
      </c>
      <c r="BS100" s="350" cm="1">
        <f t="array" ref="BS100">IF(AQ100="","",IF($AJ100="",0,_xlfn.LET(_xlpm.d,IFERROR(--'Sales and count'!$G$2:$CC$2,0),SUMPRODUCT(('Sales and count'!$G$3:$CC$3="Total")*(_xlpm.d&gt;=BS$6)*(_xlpm.d&lt;=BS$7),INDEX('Sales and count'!$G$4:$CC$300,$AJ100,0)))))</f>
        <v>1000.96</v>
      </c>
      <c r="BT100" s="350" cm="1">
        <f t="array" ref="BT100">IF(AR100="","",IF($AJ100="",0,_xlfn.LET(_xlpm.d,IFERROR(--'Sales and count'!$G$2:$CC$2,0),SUMPRODUCT(('Sales and count'!$G$3:$CC$3="Total")*(_xlpm.d&gt;=BT$6)*(_xlpm.d&lt;=BT$7),INDEX('Sales and count'!$G$4:$CC$300,$AJ100,0)))))</f>
        <v>935</v>
      </c>
      <c r="BU100" s="350" cm="1">
        <f t="array" ref="BU100">IF(AS100="","",IF($AJ100="",0,_xlfn.LET(_xlpm.d,IFERROR(--'Sales and count'!$G$2:$CC$2,0),SUMPRODUCT(('Sales and count'!$G$3:$CC$3="Total")*(_xlpm.d&gt;=BU$6)*(_xlpm.d&lt;=BU$7),INDEX('Sales and count'!$G$4:$CC$300,$AJ100,0)))))</f>
        <v>1795.1</v>
      </c>
      <c r="BV100" s="350" t="str" cm="1">
        <f t="array" ref="BV100">IF(AT100="","",IF($AJ100="",0,_xlfn.LET(_xlpm.d,IFERROR(--'Sales and count'!$G$2:$CC$2,0),SUMPRODUCT(('Sales and count'!$G$3:$CC$3="Total")*(_xlpm.d&gt;=BV$6)*(_xlpm.d&lt;=BV$7),INDEX('Sales and count'!$G$4:$CC$300,$AJ100,0)))))</f>
        <v/>
      </c>
      <c r="BW100" s="350" t="str" cm="1">
        <f t="array" ref="BW100">IF(AU100="","",IF($AJ100="",0,_xlfn.LET(_xlpm.d,IFERROR(--'Sales and count'!$G$2:$CC$2,0),SUMPRODUCT(('Sales and count'!$G$3:$CC$3="Total")*(_xlpm.d&gt;=BW$6)*(_xlpm.d&lt;=BW$7),INDEX('Sales and count'!$G$4:$CC$300,$AJ100,0)))))</f>
        <v/>
      </c>
      <c r="BX100" s="350" t="str" cm="1">
        <f t="array" ref="BX100">IF(AV100="","",IF($AJ100="",0,_xlfn.LET(_xlpm.d,IFERROR(--'Sales and count'!$G$2:$CC$2,0),SUMPRODUCT(('Sales and count'!$G$3:$CC$3="Total")*(_xlpm.d&gt;=BX$6)*(_xlpm.d&lt;=BX$7),INDEX('Sales and count'!$G$4:$CC$300,$AJ100,0)))))</f>
        <v/>
      </c>
      <c r="BY100" s="350" t="str" cm="1">
        <f t="array" ref="BY100">IF(AW100="","",IF($AJ100="",0,_xlfn.LET(_xlpm.d,IFERROR(--'Sales and count'!$G$2:$CC$2,0),SUMPRODUCT(('Sales and count'!$G$3:$CC$3="Total")*(_xlpm.d&gt;=BY$6)*(_xlpm.d&lt;=BY$7),INDEX('Sales and count'!$G$4:$CC$300,$AJ100,0)))))</f>
        <v/>
      </c>
      <c r="BZ100" s="350" t="str" cm="1">
        <f t="array" ref="BZ100">IF(AX100="","",IF($AJ100="",0,_xlfn.LET(_xlpm.d,IFERROR(--'Sales and count'!$G$2:$CC$2,0),SUMPRODUCT(('Sales and count'!$G$3:$CC$3="Total")*(_xlpm.d&gt;=BZ$6)*(_xlpm.d&lt;=BZ$7),INDEX('Sales and count'!$G$4:$CC$300,$AJ100,0)))))</f>
        <v/>
      </c>
    </row>
    <row r="101" spans="1:78" x14ac:dyDescent="0.25">
      <c r="A101" s="356" t="str">
        <v>RYDVIEW</v>
      </c>
      <c r="B101" s="356" t="str" cm="1">
        <f t="array" ref="B101">IF($A101="","",_xlfn.XLOOKUP($A101,TRIM(Footfall!$B$5:$B$301&amp;""),Footfall!$A$5:$A$301,""))</f>
        <v>Riyadh The View Mall</v>
      </c>
      <c r="C101" s="356" t="str" cm="1">
        <f t="array" ref="C101">IF($A101="","",_xlfn.XLOOKUP($A101,TRIM('Sales and count'!$A$4:$A$300&amp;""),'Sales and count'!$C$4:$C$300,"Not set"))</f>
        <v>Riyadh</v>
      </c>
      <c r="D101" s="357">
        <f t="shared" ca="1" si="53"/>
        <v>9.4559585492227982E-2</v>
      </c>
      <c r="E101" s="357">
        <f t="shared" ca="1" si="54"/>
        <v>7.28744939271255E-2</v>
      </c>
      <c r="F101" s="357">
        <f t="shared" ca="1" si="55"/>
        <v>5.9139784946236562E-2</v>
      </c>
      <c r="G101" s="357">
        <f t="shared" ca="1" si="56"/>
        <v>0.09</v>
      </c>
      <c r="H101" s="357">
        <f t="shared" ca="1" si="57"/>
        <v>6.1452513966480445E-2</v>
      </c>
      <c r="I101" s="357">
        <f t="shared" ca="1" si="58"/>
        <v>0.11363636363636363</v>
      </c>
      <c r="J101" s="357">
        <f t="shared" ca="1" si="59"/>
        <v>6.2992125984251968E-2</v>
      </c>
      <c r="K101" s="357">
        <f t="shared" ca="1" si="60"/>
        <v>9.202453987730061E-2</v>
      </c>
      <c r="L101" s="357">
        <f t="shared" ca="1" si="61"/>
        <v>9.0614886731391592E-2</v>
      </c>
      <c r="M101" s="357" t="str">
        <f t="shared" si="62"/>
        <v/>
      </c>
      <c r="N101" s="357" t="str">
        <f t="shared" si="63"/>
        <v/>
      </c>
      <c r="O101" s="357" t="str">
        <f t="shared" si="64"/>
        <v/>
      </c>
      <c r="P101" s="357" t="str">
        <f t="shared" si="65"/>
        <v/>
      </c>
      <c r="Q101" s="357" t="str">
        <f t="shared" si="66"/>
        <v/>
      </c>
      <c r="R101" s="358" cm="1">
        <f t="array" aca="1" ref="R101" ca="1">IF(OR($A101="",D101=""),"",IFERROR(LOOKUP(2,1/(E101:Q101&lt;&gt;""),E101:Q101)-D101,""))</f>
        <v>-3.9446987608363904E-3</v>
      </c>
      <c r="S101" s="349"/>
      <c r="T101" s="362">
        <f t="shared" ca="1" si="67"/>
        <v>131.44256360078276</v>
      </c>
      <c r="U101" s="362">
        <f t="shared" ca="1" si="68"/>
        <v>155.83388888888891</v>
      </c>
      <c r="V101" s="362">
        <f t="shared" ca="1" si="69"/>
        <v>124.54727272727273</v>
      </c>
      <c r="W101" s="362">
        <f t="shared" ca="1" si="70"/>
        <v>143.78</v>
      </c>
      <c r="X101" s="362">
        <f t="shared" ca="1" si="71"/>
        <v>144.71954545454545</v>
      </c>
      <c r="Y101" s="362">
        <f t="shared" ca="1" si="72"/>
        <v>163.24914285714286</v>
      </c>
      <c r="Z101" s="362">
        <f t="shared" ca="1" si="73"/>
        <v>127.05875</v>
      </c>
      <c r="AA101" s="362">
        <f t="shared" ca="1" si="74"/>
        <v>169.98999999999998</v>
      </c>
      <c r="AB101" s="362">
        <f t="shared" ca="1" si="75"/>
        <v>102.43285714285715</v>
      </c>
      <c r="AC101" s="362" t="str">
        <f t="shared" si="76"/>
        <v/>
      </c>
      <c r="AD101" s="362" t="str">
        <f t="shared" si="77"/>
        <v/>
      </c>
      <c r="AE101" s="362" t="str">
        <f t="shared" si="78"/>
        <v/>
      </c>
      <c r="AF101" s="362" t="str">
        <f t="shared" si="79"/>
        <v/>
      </c>
      <c r="AG101" s="362" t="str">
        <f t="shared" si="80"/>
        <v/>
      </c>
      <c r="AH101" s="363" cm="1">
        <f t="array" aca="1" ref="AH101" ca="1">IF(OR($A101="",T101=""),"",IFERROR(LOOKUP(2,1/(U101:AG101&lt;&gt;""),U101:AG101)-T101,""))</f>
        <v>-29.009706457925617</v>
      </c>
      <c r="AI101" s="349"/>
      <c r="AJ101" s="349" cm="1">
        <f t="array" ref="AJ101">IF($A101="","",IFERROR(MATCH($A101,TRIM('Sales and count'!$A$4:$A$300&amp;""),0),""))</f>
        <v>69</v>
      </c>
      <c r="AK101" s="350" cm="1">
        <f t="array" ref="AK101">IF(OR($A101="",AK$6=""),"",IFERROR(INDEX(Footfall!$C$5:$BZ$301,MATCH($A101,TRIM(Footfall!$B$5:$B$301&amp;""),0),AK$5),0))</f>
        <v>5404</v>
      </c>
      <c r="AL101" s="350" cm="1">
        <f t="array" ref="AL101">IF(OR($A101="",AL$6=""),"",IFERROR(INDEX(Footfall!$C$5:$BZ$301,MATCH($A101,TRIM(Footfall!$B$5:$B$301&amp;""),0),AL$5),0))</f>
        <v>247</v>
      </c>
      <c r="AM101" s="350" cm="1">
        <f t="array" ref="AM101">IF(OR($A101="",AM$6=""),"",IFERROR(INDEX(Footfall!$C$5:$BZ$301,MATCH($A101,TRIM(Footfall!$B$5:$B$301&amp;""),0),AM$5),0))</f>
        <v>186</v>
      </c>
      <c r="AN101" s="350" cm="1">
        <f t="array" ref="AN101">IF(OR($A101="",AN$6=""),"",IFERROR(INDEX(Footfall!$C$5:$BZ$301,MATCH($A101,TRIM(Footfall!$B$5:$B$301&amp;""),0),AN$5),0))</f>
        <v>200</v>
      </c>
      <c r="AO101" s="350" cm="1">
        <f t="array" ref="AO101">IF(OR($A101="",AO$6=""),"",IFERROR(INDEX(Footfall!$C$5:$BZ$301,MATCH($A101,TRIM(Footfall!$B$5:$B$301&amp;""),0),AO$5),0))</f>
        <v>358</v>
      </c>
      <c r="AP101" s="350" cm="1">
        <f t="array" ref="AP101">IF(OR($A101="",AP$6=""),"",IFERROR(INDEX(Footfall!$C$5:$BZ$301,MATCH($A101,TRIM(Footfall!$B$5:$B$301&amp;""),0),AP$5),0))</f>
        <v>308</v>
      </c>
      <c r="AQ101" s="350" cm="1">
        <f t="array" ref="AQ101">IF(OR($A101="",AQ$6=""),"",IFERROR(INDEX(Footfall!$C$5:$BZ$301,MATCH($A101,TRIM(Footfall!$B$5:$B$301&amp;""),0),AQ$5),0))</f>
        <v>254</v>
      </c>
      <c r="AR101" s="350" cm="1">
        <f t="array" ref="AR101">IF(OR($A101="",AR$6=""),"",IFERROR(INDEX(Footfall!$C$5:$BZ$301,MATCH($A101,TRIM(Footfall!$B$5:$B$301&amp;""),0),AR$5),0))</f>
        <v>163</v>
      </c>
      <c r="AS101" s="350" cm="1">
        <f t="array" ref="AS101">IF(OR($A101="",AS$6=""),"",IFERROR(INDEX(Footfall!$C$5:$BZ$301,MATCH($A101,TRIM(Footfall!$B$5:$B$301&amp;""),0),AS$5),0))</f>
        <v>309</v>
      </c>
      <c r="AT101" s="350" t="str" cm="1">
        <f t="array" ref="AT101">IF(OR($A101="",AT$6=""),"",IFERROR(INDEX(Footfall!$C$5:$BZ$301,MATCH($A101,TRIM(Footfall!$B$5:$B$301&amp;""),0),AT$5),0))</f>
        <v/>
      </c>
      <c r="AU101" s="350" t="str" cm="1">
        <f t="array" ref="AU101">IF(OR($A101="",AU$6=""),"",IFERROR(INDEX(Footfall!$C$5:$BZ$301,MATCH($A101,TRIM(Footfall!$B$5:$B$301&amp;""),0),AU$5),0))</f>
        <v/>
      </c>
      <c r="AV101" s="350" t="str" cm="1">
        <f t="array" ref="AV101">IF(OR($A101="",AV$6=""),"",IFERROR(INDEX(Footfall!$C$5:$BZ$301,MATCH($A101,TRIM(Footfall!$B$5:$B$301&amp;""),0),AV$5),0))</f>
        <v/>
      </c>
      <c r="AW101" s="350" t="str" cm="1">
        <f t="array" ref="AW101">IF(OR($A101="",AW$6=""),"",IFERROR(INDEX(Footfall!$C$5:$BZ$301,MATCH($A101,TRIM(Footfall!$B$5:$B$301&amp;""),0),AW$5),0))</f>
        <v/>
      </c>
      <c r="AX101" s="350" t="str" cm="1">
        <f t="array" ref="AX101">IF(OR($A101="",AX$6=""),"",IFERROR(INDEX(Footfall!$C$5:$BZ$301,MATCH($A101,TRIM(Footfall!$B$5:$B$301&amp;""),0),AX$5),0))</f>
        <v/>
      </c>
      <c r="AY101" s="350" cm="1">
        <f t="array" aca="1" ref="AY101" ca="1">IF(AK101="","",IF($AJ101="",0,_xlfn.LET(_xlpm.d,IFERROR(--'Sales and count'!$F$2:$CB$2,0),SUMPRODUCT(('Sales and count'!$G$3:$CC$3="Transactions")*(_xlpm.d&gt;=AY$6)*(_xlpm.d&lt;=AY$7),INDEX('Sales and count'!$G$4:$CC$300,$AJ101,0)))))</f>
        <v>511</v>
      </c>
      <c r="AZ101" s="350" cm="1">
        <f t="array" aca="1" ref="AZ101" ca="1">IF(AL101="","",IF($AJ101="",0,_xlfn.LET(_xlpm.d,IFERROR(--'Sales and count'!$F$2:$CB$2,0),SUMPRODUCT(('Sales and count'!$G$3:$CC$3="Transactions")*(_xlpm.d&gt;=AZ$6)*(_xlpm.d&lt;=AZ$7),INDEX('Sales and count'!$G$4:$CC$300,$AJ101,0)))))</f>
        <v>18</v>
      </c>
      <c r="BA101" s="350" cm="1">
        <f t="array" aca="1" ref="BA101" ca="1">IF(AM101="","",IF($AJ101="",0,_xlfn.LET(_xlpm.d,IFERROR(--'Sales and count'!$F$2:$CB$2,0),SUMPRODUCT(('Sales and count'!$G$3:$CC$3="Transactions")*(_xlpm.d&gt;=BA$6)*(_xlpm.d&lt;=BA$7),INDEX('Sales and count'!$G$4:$CC$300,$AJ101,0)))))</f>
        <v>11</v>
      </c>
      <c r="BB101" s="350" cm="1">
        <f t="array" aca="1" ref="BB101" ca="1">IF(AN101="","",IF($AJ101="",0,_xlfn.LET(_xlpm.d,IFERROR(--'Sales and count'!$F$2:$CB$2,0),SUMPRODUCT(('Sales and count'!$G$3:$CC$3="Transactions")*(_xlpm.d&gt;=BB$6)*(_xlpm.d&lt;=BB$7),INDEX('Sales and count'!$G$4:$CC$300,$AJ101,0)))))</f>
        <v>18</v>
      </c>
      <c r="BC101" s="350" cm="1">
        <f t="array" aca="1" ref="BC101" ca="1">IF(AO101="","",IF($AJ101="",0,_xlfn.LET(_xlpm.d,IFERROR(--'Sales and count'!$F$2:$CB$2,0),SUMPRODUCT(('Sales and count'!$G$3:$CC$3="Transactions")*(_xlpm.d&gt;=BC$6)*(_xlpm.d&lt;=BC$7),INDEX('Sales and count'!$G$4:$CC$300,$AJ101,0)))))</f>
        <v>22</v>
      </c>
      <c r="BD101" s="350" cm="1">
        <f t="array" aca="1" ref="BD101" ca="1">IF(AP101="","",IF($AJ101="",0,_xlfn.LET(_xlpm.d,IFERROR(--'Sales and count'!$F$2:$CB$2,0),SUMPRODUCT(('Sales and count'!$G$3:$CC$3="Transactions")*(_xlpm.d&gt;=BD$6)*(_xlpm.d&lt;=BD$7),INDEX('Sales and count'!$G$4:$CC$300,$AJ101,0)))))</f>
        <v>35</v>
      </c>
      <c r="BE101" s="350" cm="1">
        <f t="array" aca="1" ref="BE101" ca="1">IF(AQ101="","",IF($AJ101="",0,_xlfn.LET(_xlpm.d,IFERROR(--'Sales and count'!$F$2:$CB$2,0),SUMPRODUCT(('Sales and count'!$G$3:$CC$3="Transactions")*(_xlpm.d&gt;=BE$6)*(_xlpm.d&lt;=BE$7),INDEX('Sales and count'!$G$4:$CC$300,$AJ101,0)))))</f>
        <v>16</v>
      </c>
      <c r="BF101" s="350" cm="1">
        <f t="array" aca="1" ref="BF101" ca="1">IF(AR101="","",IF($AJ101="",0,_xlfn.LET(_xlpm.d,IFERROR(--'Sales and count'!$F$2:$CB$2,0),SUMPRODUCT(('Sales and count'!$G$3:$CC$3="Transactions")*(_xlpm.d&gt;=BF$6)*(_xlpm.d&lt;=BF$7),INDEX('Sales and count'!$G$4:$CC$300,$AJ101,0)))))</f>
        <v>15</v>
      </c>
      <c r="BG101" s="350" cm="1">
        <f t="array" aca="1" ref="BG101" ca="1">IF(AS101="","",IF($AJ101="",0,_xlfn.LET(_xlpm.d,IFERROR(--'Sales and count'!$F$2:$CB$2,0),SUMPRODUCT(('Sales and count'!$G$3:$CC$3="Transactions")*(_xlpm.d&gt;=BG$6)*(_xlpm.d&lt;=BG$7),INDEX('Sales and count'!$G$4:$CC$300,$AJ101,0)))))</f>
        <v>28</v>
      </c>
      <c r="BH101" s="350" t="str" cm="1">
        <f t="array" ref="BH101">IF(AT101="","",IF($AJ101="",0,_xlfn.LET(_xlpm.d,IFERROR(--'Sales and count'!$F$2:$CB$2,0),SUMPRODUCT(('Sales and count'!$G$3:$CC$3="Transactions")*(_xlpm.d&gt;=BH$6)*(_xlpm.d&lt;=BH$7),INDEX('Sales and count'!$G$4:$CC$300,$AJ101,0)))))</f>
        <v/>
      </c>
      <c r="BI101" s="350" t="str" cm="1">
        <f t="array" ref="BI101">IF(AU101="","",IF($AJ101="",0,_xlfn.LET(_xlpm.d,IFERROR(--'Sales and count'!$F$2:$CB$2,0),SUMPRODUCT(('Sales and count'!$G$3:$CC$3="Transactions")*(_xlpm.d&gt;=BI$6)*(_xlpm.d&lt;=BI$7),INDEX('Sales and count'!$G$4:$CC$300,$AJ101,0)))))</f>
        <v/>
      </c>
      <c r="BJ101" s="350" t="str" cm="1">
        <f t="array" ref="BJ101">IF(AV101="","",IF($AJ101="",0,_xlfn.LET(_xlpm.d,IFERROR(--'Sales and count'!$F$2:$CB$2,0),SUMPRODUCT(('Sales and count'!$G$3:$CC$3="Transactions")*(_xlpm.d&gt;=BJ$6)*(_xlpm.d&lt;=BJ$7),INDEX('Sales and count'!$G$4:$CC$300,$AJ101,0)))))</f>
        <v/>
      </c>
      <c r="BK101" s="350" t="str" cm="1">
        <f t="array" ref="BK101">IF(AW101="","",IF($AJ101="",0,_xlfn.LET(_xlpm.d,IFERROR(--'Sales and count'!$F$2:$CB$2,0),SUMPRODUCT(('Sales and count'!$G$3:$CC$3="Transactions")*(_xlpm.d&gt;=BK$6)*(_xlpm.d&lt;=BK$7),INDEX('Sales and count'!$G$4:$CC$300,$AJ101,0)))))</f>
        <v/>
      </c>
      <c r="BL101" s="350" t="str" cm="1">
        <f t="array" ref="BL101">IF(AX101="","",IF($AJ101="",0,_xlfn.LET(_xlpm.d,IFERROR(--'Sales and count'!$F$2:$CB$2,0),SUMPRODUCT(('Sales and count'!$G$3:$CC$3="Transactions")*(_xlpm.d&gt;=BL$6)*(_xlpm.d&lt;=BL$7),INDEX('Sales and count'!$G$4:$CC$300,$AJ101,0)))))</f>
        <v/>
      </c>
      <c r="BM101" s="350" cm="1">
        <f t="array" ref="BM101">IF(AK101="","",IF($AJ101="",0,_xlfn.LET(_xlpm.d,IFERROR(--'Sales and count'!$G$2:$CC$2,0),SUMPRODUCT(('Sales and count'!$G$3:$CC$3="Total")*(_xlpm.d&gt;=BM$6)*(_xlpm.d&lt;=BM$7),INDEX('Sales and count'!$G$4:$CC$300,$AJ101,0)))))</f>
        <v>67167.149999999994</v>
      </c>
      <c r="BN101" s="350" cm="1">
        <f t="array" ref="BN101">IF(AL101="","",IF($AJ101="",0,_xlfn.LET(_xlpm.d,IFERROR(--'Sales and count'!$G$2:$CC$2,0),SUMPRODUCT(('Sales and count'!$G$3:$CC$3="Total")*(_xlpm.d&gt;=BN$6)*(_xlpm.d&lt;=BN$7),INDEX('Sales and count'!$G$4:$CC$300,$AJ101,0)))))</f>
        <v>2805.01</v>
      </c>
      <c r="BO101" s="350" cm="1">
        <f t="array" ref="BO101">IF(AM101="","",IF($AJ101="",0,_xlfn.LET(_xlpm.d,IFERROR(--'Sales and count'!$G$2:$CC$2,0),SUMPRODUCT(('Sales and count'!$G$3:$CC$3="Total")*(_xlpm.d&gt;=BO$6)*(_xlpm.d&lt;=BO$7),INDEX('Sales and count'!$G$4:$CC$300,$AJ101,0)))))</f>
        <v>1370.02</v>
      </c>
      <c r="BP101" s="350" cm="1">
        <f t="array" ref="BP101">IF(AN101="","",IF($AJ101="",0,_xlfn.LET(_xlpm.d,IFERROR(--'Sales and count'!$G$2:$CC$2,0),SUMPRODUCT(('Sales and count'!$G$3:$CC$3="Total")*(_xlpm.d&gt;=BP$6)*(_xlpm.d&lt;=BP$7),INDEX('Sales and count'!$G$4:$CC$300,$AJ101,0)))))</f>
        <v>2588.04</v>
      </c>
      <c r="BQ101" s="350" cm="1">
        <f t="array" ref="BQ101">IF(AO101="","",IF($AJ101="",0,_xlfn.LET(_xlpm.d,IFERROR(--'Sales and count'!$G$2:$CC$2,0),SUMPRODUCT(('Sales and count'!$G$3:$CC$3="Total")*(_xlpm.d&gt;=BQ$6)*(_xlpm.d&lt;=BQ$7),INDEX('Sales and count'!$G$4:$CC$300,$AJ101,0)))))</f>
        <v>3183.83</v>
      </c>
      <c r="BR101" s="350" cm="1">
        <f t="array" ref="BR101">IF(AP101="","",IF($AJ101="",0,_xlfn.LET(_xlpm.d,IFERROR(--'Sales and count'!$G$2:$CC$2,0),SUMPRODUCT(('Sales and count'!$G$3:$CC$3="Total")*(_xlpm.d&gt;=BR$6)*(_xlpm.d&lt;=BR$7),INDEX('Sales and count'!$G$4:$CC$300,$AJ101,0)))))</f>
        <v>5713.72</v>
      </c>
      <c r="BS101" s="350" cm="1">
        <f t="array" ref="BS101">IF(AQ101="","",IF($AJ101="",0,_xlfn.LET(_xlpm.d,IFERROR(--'Sales and count'!$G$2:$CC$2,0),SUMPRODUCT(('Sales and count'!$G$3:$CC$3="Total")*(_xlpm.d&gt;=BS$6)*(_xlpm.d&lt;=BS$7),INDEX('Sales and count'!$G$4:$CC$300,$AJ101,0)))))</f>
        <v>2032.94</v>
      </c>
      <c r="BT101" s="350" cm="1">
        <f t="array" ref="BT101">IF(AR101="","",IF($AJ101="",0,_xlfn.LET(_xlpm.d,IFERROR(--'Sales and count'!$G$2:$CC$2,0),SUMPRODUCT(('Sales and count'!$G$3:$CC$3="Total")*(_xlpm.d&gt;=BT$6)*(_xlpm.d&lt;=BT$7),INDEX('Sales and count'!$G$4:$CC$300,$AJ101,0)))))</f>
        <v>2549.85</v>
      </c>
      <c r="BU101" s="350" cm="1">
        <f t="array" ref="BU101">IF(AS101="","",IF($AJ101="",0,_xlfn.LET(_xlpm.d,IFERROR(--'Sales and count'!$G$2:$CC$2,0),SUMPRODUCT(('Sales and count'!$G$3:$CC$3="Total")*(_xlpm.d&gt;=BU$6)*(_xlpm.d&lt;=BU$7),INDEX('Sales and count'!$G$4:$CC$300,$AJ101,0)))))</f>
        <v>2868.12</v>
      </c>
      <c r="BV101" s="350" t="str" cm="1">
        <f t="array" ref="BV101">IF(AT101="","",IF($AJ101="",0,_xlfn.LET(_xlpm.d,IFERROR(--'Sales and count'!$G$2:$CC$2,0),SUMPRODUCT(('Sales and count'!$G$3:$CC$3="Total")*(_xlpm.d&gt;=BV$6)*(_xlpm.d&lt;=BV$7),INDEX('Sales and count'!$G$4:$CC$300,$AJ101,0)))))</f>
        <v/>
      </c>
      <c r="BW101" s="350" t="str" cm="1">
        <f t="array" ref="BW101">IF(AU101="","",IF($AJ101="",0,_xlfn.LET(_xlpm.d,IFERROR(--'Sales and count'!$G$2:$CC$2,0),SUMPRODUCT(('Sales and count'!$G$3:$CC$3="Total")*(_xlpm.d&gt;=BW$6)*(_xlpm.d&lt;=BW$7),INDEX('Sales and count'!$G$4:$CC$300,$AJ101,0)))))</f>
        <v/>
      </c>
      <c r="BX101" s="350" t="str" cm="1">
        <f t="array" ref="BX101">IF(AV101="","",IF($AJ101="",0,_xlfn.LET(_xlpm.d,IFERROR(--'Sales and count'!$G$2:$CC$2,0),SUMPRODUCT(('Sales and count'!$G$3:$CC$3="Total")*(_xlpm.d&gt;=BX$6)*(_xlpm.d&lt;=BX$7),INDEX('Sales and count'!$G$4:$CC$300,$AJ101,0)))))</f>
        <v/>
      </c>
      <c r="BY101" s="350" t="str" cm="1">
        <f t="array" ref="BY101">IF(AW101="","",IF($AJ101="",0,_xlfn.LET(_xlpm.d,IFERROR(--'Sales and count'!$G$2:$CC$2,0),SUMPRODUCT(('Sales and count'!$G$3:$CC$3="Total")*(_xlpm.d&gt;=BY$6)*(_xlpm.d&lt;=BY$7),INDEX('Sales and count'!$G$4:$CC$300,$AJ101,0)))))</f>
        <v/>
      </c>
      <c r="BZ101" s="350" t="str" cm="1">
        <f t="array" ref="BZ101">IF(AX101="","",IF($AJ101="",0,_xlfn.LET(_xlpm.d,IFERROR(--'Sales and count'!$G$2:$CC$2,0),SUMPRODUCT(('Sales and count'!$G$3:$CC$3="Total")*(_xlpm.d&gt;=BZ$6)*(_xlpm.d&lt;=BZ$7),INDEX('Sales and count'!$G$4:$CC$300,$AJ101,0)))))</f>
        <v/>
      </c>
    </row>
    <row r="102" spans="1:78" x14ac:dyDescent="0.25">
      <c r="A102" s="356" t="str">
        <v>HASALMMAL</v>
      </c>
      <c r="B102" s="356" t="str" cm="1">
        <f t="array" ref="B102">IF($A102="","",_xlfn.XLOOKUP($A102,TRIM(Footfall!$B$5:$B$301&amp;""),Footfall!$A$5:$A$301,""))</f>
        <v>Salam Mall Riyadh</v>
      </c>
      <c r="C102" s="356" t="str" cm="1">
        <f t="array" ref="C102">IF($A102="","",_xlfn.XLOOKUP($A102,TRIM('Sales and count'!$A$4:$A$300&amp;""),'Sales and count'!$C$4:$C$300,"Not set"))</f>
        <v>Riyadh</v>
      </c>
      <c r="D102" s="357">
        <f t="shared" ca="1" si="53"/>
        <v>0.14714908738491358</v>
      </c>
      <c r="E102" s="357">
        <f t="shared" ca="1" si="54"/>
        <v>0.10695187165775401</v>
      </c>
      <c r="F102" s="357">
        <f t="shared" ca="1" si="55"/>
        <v>0.16157205240174671</v>
      </c>
      <c r="G102" s="357">
        <f t="shared" ca="1" si="56"/>
        <v>0.12552301255230125</v>
      </c>
      <c r="H102" s="357">
        <f t="shared" ca="1" si="57"/>
        <v>0.12881355932203389</v>
      </c>
      <c r="I102" s="357">
        <f t="shared" ca="1" si="58"/>
        <v>0.13765182186234817</v>
      </c>
      <c r="J102" s="357">
        <f t="shared" ca="1" si="59"/>
        <v>8.7662337662337664E-2</v>
      </c>
      <c r="K102" s="357">
        <f t="shared" ca="1" si="60"/>
        <v>0.13636363636363635</v>
      </c>
      <c r="L102" s="357">
        <f t="shared" ca="1" si="61"/>
        <v>0.12698412698412698</v>
      </c>
      <c r="M102" s="357" t="str">
        <f t="shared" si="62"/>
        <v/>
      </c>
      <c r="N102" s="357" t="str">
        <f t="shared" si="63"/>
        <v/>
      </c>
      <c r="O102" s="357" t="str">
        <f t="shared" si="64"/>
        <v/>
      </c>
      <c r="P102" s="357" t="str">
        <f t="shared" si="65"/>
        <v/>
      </c>
      <c r="Q102" s="357" t="str">
        <f t="shared" si="66"/>
        <v/>
      </c>
      <c r="R102" s="358" cm="1">
        <f t="array" aca="1" ref="R102" ca="1">IF(OR($A102="",D102=""),"",IFERROR(LOOKUP(2,1/(E102:Q102&lt;&gt;""),E102:Q102)-D102,""))</f>
        <v>-2.0164960400786608E-2</v>
      </c>
      <c r="S102" s="349"/>
      <c r="T102" s="362">
        <f t="shared" ca="1" si="67"/>
        <v>118.45849615806806</v>
      </c>
      <c r="U102" s="362">
        <f t="shared" ca="1" si="68"/>
        <v>139.35150000000002</v>
      </c>
      <c r="V102" s="362">
        <f t="shared" ca="1" si="69"/>
        <v>143.35351351351352</v>
      </c>
      <c r="W102" s="362">
        <f t="shared" ca="1" si="70"/>
        <v>119.23399999999999</v>
      </c>
      <c r="X102" s="362">
        <f t="shared" ca="1" si="71"/>
        <v>95.788421052631577</v>
      </c>
      <c r="Y102" s="362">
        <f t="shared" ca="1" si="72"/>
        <v>150.99205882352939</v>
      </c>
      <c r="Z102" s="362">
        <f t="shared" ca="1" si="73"/>
        <v>111.03333333333333</v>
      </c>
      <c r="AA102" s="362">
        <f t="shared" ca="1" si="74"/>
        <v>146.95166666666668</v>
      </c>
      <c r="AB102" s="362">
        <f t="shared" ca="1" si="75"/>
        <v>136.25749999999999</v>
      </c>
      <c r="AC102" s="362" t="str">
        <f t="shared" si="76"/>
        <v/>
      </c>
      <c r="AD102" s="362" t="str">
        <f t="shared" si="77"/>
        <v/>
      </c>
      <c r="AE102" s="362" t="str">
        <f t="shared" si="78"/>
        <v/>
      </c>
      <c r="AF102" s="362" t="str">
        <f t="shared" si="79"/>
        <v/>
      </c>
      <c r="AG102" s="362" t="str">
        <f t="shared" si="80"/>
        <v/>
      </c>
      <c r="AH102" s="363" cm="1">
        <f t="array" aca="1" ref="AH102" ca="1">IF(OR($A102="",T102=""),"",IFERROR(LOOKUP(2,1/(U102:AG102&lt;&gt;""),U102:AG102)-T102,""))</f>
        <v>17.799003841931935</v>
      </c>
      <c r="AI102" s="349"/>
      <c r="AJ102" s="349" cm="1">
        <f t="array" ref="AJ102">IF($A102="","",IFERROR(MATCH($A102,TRIM('Sales and count'!$A$4:$A$300&amp;""),0),""))</f>
        <v>34</v>
      </c>
      <c r="AK102" s="350" cm="1">
        <f t="array" ref="AK102">IF(OR($A102="",AK$6=""),"",IFERROR(INDEX(Footfall!$C$5:$BZ$301,MATCH($A102,TRIM(Footfall!$B$5:$B$301&amp;""),0),AK$5),0))</f>
        <v>6191</v>
      </c>
      <c r="AL102" s="350" cm="1">
        <f t="array" ref="AL102">IF(OR($A102="",AL$6=""),"",IFERROR(INDEX(Footfall!$C$5:$BZ$301,MATCH($A102,TRIM(Footfall!$B$5:$B$301&amp;""),0),AL$5),0))</f>
        <v>187</v>
      </c>
      <c r="AM102" s="350" cm="1">
        <f t="array" ref="AM102">IF(OR($A102="",AM$6=""),"",IFERROR(INDEX(Footfall!$C$5:$BZ$301,MATCH($A102,TRIM(Footfall!$B$5:$B$301&amp;""),0),AM$5),0))</f>
        <v>229</v>
      </c>
      <c r="AN102" s="350" cm="1">
        <f t="array" ref="AN102">IF(OR($A102="",AN$6=""),"",IFERROR(INDEX(Footfall!$C$5:$BZ$301,MATCH($A102,TRIM(Footfall!$B$5:$B$301&amp;""),0),AN$5),0))</f>
        <v>239</v>
      </c>
      <c r="AO102" s="350" cm="1">
        <f t="array" ref="AO102">IF(OR($A102="",AO$6=""),"",IFERROR(INDEX(Footfall!$C$5:$BZ$301,MATCH($A102,TRIM(Footfall!$B$5:$B$301&amp;""),0),AO$5),0))</f>
        <v>295</v>
      </c>
      <c r="AP102" s="350" cm="1">
        <f t="array" ref="AP102">IF(OR($A102="",AP$6=""),"",IFERROR(INDEX(Footfall!$C$5:$BZ$301,MATCH($A102,TRIM(Footfall!$B$5:$B$301&amp;""),0),AP$5),0))</f>
        <v>247</v>
      </c>
      <c r="AQ102" s="350" cm="1">
        <f t="array" ref="AQ102">IF(OR($A102="",AQ$6=""),"",IFERROR(INDEX(Footfall!$C$5:$BZ$301,MATCH($A102,TRIM(Footfall!$B$5:$B$301&amp;""),0),AQ$5),0))</f>
        <v>308</v>
      </c>
      <c r="AR102" s="350" cm="1">
        <f t="array" ref="AR102">IF(OR($A102="",AR$6=""),"",IFERROR(INDEX(Footfall!$C$5:$BZ$301,MATCH($A102,TRIM(Footfall!$B$5:$B$301&amp;""),0),AR$5),0))</f>
        <v>176</v>
      </c>
      <c r="AS102" s="350" cm="1">
        <f t="array" ref="AS102">IF(OR($A102="",AS$6=""),"",IFERROR(INDEX(Footfall!$C$5:$BZ$301,MATCH($A102,TRIM(Footfall!$B$5:$B$301&amp;""),0),AS$5),0))</f>
        <v>189</v>
      </c>
      <c r="AT102" s="350" t="str" cm="1">
        <f t="array" ref="AT102">IF(OR($A102="",AT$6=""),"",IFERROR(INDEX(Footfall!$C$5:$BZ$301,MATCH($A102,TRIM(Footfall!$B$5:$B$301&amp;""),0),AT$5),0))</f>
        <v/>
      </c>
      <c r="AU102" s="350" t="str" cm="1">
        <f t="array" ref="AU102">IF(OR($A102="",AU$6=""),"",IFERROR(INDEX(Footfall!$C$5:$BZ$301,MATCH($A102,TRIM(Footfall!$B$5:$B$301&amp;""),0),AU$5),0))</f>
        <v/>
      </c>
      <c r="AV102" s="350" t="str" cm="1">
        <f t="array" ref="AV102">IF(OR($A102="",AV$6=""),"",IFERROR(INDEX(Footfall!$C$5:$BZ$301,MATCH($A102,TRIM(Footfall!$B$5:$B$301&amp;""),0),AV$5),0))</f>
        <v/>
      </c>
      <c r="AW102" s="350" t="str" cm="1">
        <f t="array" ref="AW102">IF(OR($A102="",AW$6=""),"",IFERROR(INDEX(Footfall!$C$5:$BZ$301,MATCH($A102,TRIM(Footfall!$B$5:$B$301&amp;""),0),AW$5),0))</f>
        <v/>
      </c>
      <c r="AX102" s="350" t="str" cm="1">
        <f t="array" ref="AX102">IF(OR($A102="",AX$6=""),"",IFERROR(INDEX(Footfall!$C$5:$BZ$301,MATCH($A102,TRIM(Footfall!$B$5:$B$301&amp;""),0),AX$5),0))</f>
        <v/>
      </c>
      <c r="AY102" s="350" cm="1">
        <f t="array" aca="1" ref="AY102" ca="1">IF(AK102="","",IF($AJ102="",0,_xlfn.LET(_xlpm.d,IFERROR(--'Sales and count'!$F$2:$CB$2,0),SUMPRODUCT(('Sales and count'!$G$3:$CC$3="Transactions")*(_xlpm.d&gt;=AY$6)*(_xlpm.d&lt;=AY$7),INDEX('Sales and count'!$G$4:$CC$300,$AJ102,0)))))</f>
        <v>911</v>
      </c>
      <c r="AZ102" s="350" cm="1">
        <f t="array" aca="1" ref="AZ102" ca="1">IF(AL102="","",IF($AJ102="",0,_xlfn.LET(_xlpm.d,IFERROR(--'Sales and count'!$F$2:$CB$2,0),SUMPRODUCT(('Sales and count'!$G$3:$CC$3="Transactions")*(_xlpm.d&gt;=AZ$6)*(_xlpm.d&lt;=AZ$7),INDEX('Sales and count'!$G$4:$CC$300,$AJ102,0)))))</f>
        <v>20</v>
      </c>
      <c r="BA102" s="350" cm="1">
        <f t="array" aca="1" ref="BA102" ca="1">IF(AM102="","",IF($AJ102="",0,_xlfn.LET(_xlpm.d,IFERROR(--'Sales and count'!$F$2:$CB$2,0),SUMPRODUCT(('Sales and count'!$G$3:$CC$3="Transactions")*(_xlpm.d&gt;=BA$6)*(_xlpm.d&lt;=BA$7),INDEX('Sales and count'!$G$4:$CC$300,$AJ102,0)))))</f>
        <v>37</v>
      </c>
      <c r="BB102" s="350" cm="1">
        <f t="array" aca="1" ref="BB102" ca="1">IF(AN102="","",IF($AJ102="",0,_xlfn.LET(_xlpm.d,IFERROR(--'Sales and count'!$F$2:$CB$2,0),SUMPRODUCT(('Sales and count'!$G$3:$CC$3="Transactions")*(_xlpm.d&gt;=BB$6)*(_xlpm.d&lt;=BB$7),INDEX('Sales and count'!$G$4:$CC$300,$AJ102,0)))))</f>
        <v>30</v>
      </c>
      <c r="BC102" s="350" cm="1">
        <f t="array" aca="1" ref="BC102" ca="1">IF(AO102="","",IF($AJ102="",0,_xlfn.LET(_xlpm.d,IFERROR(--'Sales and count'!$F$2:$CB$2,0),SUMPRODUCT(('Sales and count'!$G$3:$CC$3="Transactions")*(_xlpm.d&gt;=BC$6)*(_xlpm.d&lt;=BC$7),INDEX('Sales and count'!$G$4:$CC$300,$AJ102,0)))))</f>
        <v>38</v>
      </c>
      <c r="BD102" s="350" cm="1">
        <f t="array" aca="1" ref="BD102" ca="1">IF(AP102="","",IF($AJ102="",0,_xlfn.LET(_xlpm.d,IFERROR(--'Sales and count'!$F$2:$CB$2,0),SUMPRODUCT(('Sales and count'!$G$3:$CC$3="Transactions")*(_xlpm.d&gt;=BD$6)*(_xlpm.d&lt;=BD$7),INDEX('Sales and count'!$G$4:$CC$300,$AJ102,0)))))</f>
        <v>34</v>
      </c>
      <c r="BE102" s="350" cm="1">
        <f t="array" aca="1" ref="BE102" ca="1">IF(AQ102="","",IF($AJ102="",0,_xlfn.LET(_xlpm.d,IFERROR(--'Sales and count'!$F$2:$CB$2,0),SUMPRODUCT(('Sales and count'!$G$3:$CC$3="Transactions")*(_xlpm.d&gt;=BE$6)*(_xlpm.d&lt;=BE$7),INDEX('Sales and count'!$G$4:$CC$300,$AJ102,0)))))</f>
        <v>27</v>
      </c>
      <c r="BF102" s="350" cm="1">
        <f t="array" aca="1" ref="BF102" ca="1">IF(AR102="","",IF($AJ102="",0,_xlfn.LET(_xlpm.d,IFERROR(--'Sales and count'!$F$2:$CB$2,0),SUMPRODUCT(('Sales and count'!$G$3:$CC$3="Transactions")*(_xlpm.d&gt;=BF$6)*(_xlpm.d&lt;=BF$7),INDEX('Sales and count'!$G$4:$CC$300,$AJ102,0)))))</f>
        <v>24</v>
      </c>
      <c r="BG102" s="350" cm="1">
        <f t="array" aca="1" ref="BG102" ca="1">IF(AS102="","",IF($AJ102="",0,_xlfn.LET(_xlpm.d,IFERROR(--'Sales and count'!$F$2:$CB$2,0),SUMPRODUCT(('Sales and count'!$G$3:$CC$3="Transactions")*(_xlpm.d&gt;=BG$6)*(_xlpm.d&lt;=BG$7),INDEX('Sales and count'!$G$4:$CC$300,$AJ102,0)))))</f>
        <v>24</v>
      </c>
      <c r="BH102" s="350" t="str" cm="1">
        <f t="array" ref="BH102">IF(AT102="","",IF($AJ102="",0,_xlfn.LET(_xlpm.d,IFERROR(--'Sales and count'!$F$2:$CB$2,0),SUMPRODUCT(('Sales and count'!$G$3:$CC$3="Transactions")*(_xlpm.d&gt;=BH$6)*(_xlpm.d&lt;=BH$7),INDEX('Sales and count'!$G$4:$CC$300,$AJ102,0)))))</f>
        <v/>
      </c>
      <c r="BI102" s="350" t="str" cm="1">
        <f t="array" ref="BI102">IF(AU102="","",IF($AJ102="",0,_xlfn.LET(_xlpm.d,IFERROR(--'Sales and count'!$F$2:$CB$2,0),SUMPRODUCT(('Sales and count'!$G$3:$CC$3="Transactions")*(_xlpm.d&gt;=BI$6)*(_xlpm.d&lt;=BI$7),INDEX('Sales and count'!$G$4:$CC$300,$AJ102,0)))))</f>
        <v/>
      </c>
      <c r="BJ102" s="350" t="str" cm="1">
        <f t="array" ref="BJ102">IF(AV102="","",IF($AJ102="",0,_xlfn.LET(_xlpm.d,IFERROR(--'Sales and count'!$F$2:$CB$2,0),SUMPRODUCT(('Sales and count'!$G$3:$CC$3="Transactions")*(_xlpm.d&gt;=BJ$6)*(_xlpm.d&lt;=BJ$7),INDEX('Sales and count'!$G$4:$CC$300,$AJ102,0)))))</f>
        <v/>
      </c>
      <c r="BK102" s="350" t="str" cm="1">
        <f t="array" ref="BK102">IF(AW102="","",IF($AJ102="",0,_xlfn.LET(_xlpm.d,IFERROR(--'Sales and count'!$F$2:$CB$2,0),SUMPRODUCT(('Sales and count'!$G$3:$CC$3="Transactions")*(_xlpm.d&gt;=BK$6)*(_xlpm.d&lt;=BK$7),INDEX('Sales and count'!$G$4:$CC$300,$AJ102,0)))))</f>
        <v/>
      </c>
      <c r="BL102" s="350" t="str" cm="1">
        <f t="array" ref="BL102">IF(AX102="","",IF($AJ102="",0,_xlfn.LET(_xlpm.d,IFERROR(--'Sales and count'!$F$2:$CB$2,0),SUMPRODUCT(('Sales and count'!$G$3:$CC$3="Transactions")*(_xlpm.d&gt;=BL$6)*(_xlpm.d&lt;=BL$7),INDEX('Sales and count'!$G$4:$CC$300,$AJ102,0)))))</f>
        <v/>
      </c>
      <c r="BM102" s="350" cm="1">
        <f t="array" ref="BM102">IF(AK102="","",IF($AJ102="",0,_xlfn.LET(_xlpm.d,IFERROR(--'Sales and count'!$G$2:$CC$2,0),SUMPRODUCT(('Sales and count'!$G$3:$CC$3="Total")*(_xlpm.d&gt;=BM$6)*(_xlpm.d&lt;=BM$7),INDEX('Sales and count'!$G$4:$CC$300,$AJ102,0)))))</f>
        <v>107915.69</v>
      </c>
      <c r="BN102" s="350" cm="1">
        <f t="array" ref="BN102">IF(AL102="","",IF($AJ102="",0,_xlfn.LET(_xlpm.d,IFERROR(--'Sales and count'!$G$2:$CC$2,0),SUMPRODUCT(('Sales and count'!$G$3:$CC$3="Total")*(_xlpm.d&gt;=BN$6)*(_xlpm.d&lt;=BN$7),INDEX('Sales and count'!$G$4:$CC$300,$AJ102,0)))))</f>
        <v>2787.03</v>
      </c>
      <c r="BO102" s="350" cm="1">
        <f t="array" ref="BO102">IF(AM102="","",IF($AJ102="",0,_xlfn.LET(_xlpm.d,IFERROR(--'Sales and count'!$G$2:$CC$2,0),SUMPRODUCT(('Sales and count'!$G$3:$CC$3="Total")*(_xlpm.d&gt;=BO$6)*(_xlpm.d&lt;=BO$7),INDEX('Sales and count'!$G$4:$CC$300,$AJ102,0)))))</f>
        <v>5304.08</v>
      </c>
      <c r="BP102" s="350" cm="1">
        <f t="array" ref="BP102">IF(AN102="","",IF($AJ102="",0,_xlfn.LET(_xlpm.d,IFERROR(--'Sales and count'!$G$2:$CC$2,0),SUMPRODUCT(('Sales and count'!$G$3:$CC$3="Total")*(_xlpm.d&gt;=BP$6)*(_xlpm.d&lt;=BP$7),INDEX('Sales and count'!$G$4:$CC$300,$AJ102,0)))))</f>
        <v>3577.02</v>
      </c>
      <c r="BQ102" s="350" cm="1">
        <f t="array" ref="BQ102">IF(AO102="","",IF($AJ102="",0,_xlfn.LET(_xlpm.d,IFERROR(--'Sales and count'!$G$2:$CC$2,0),SUMPRODUCT(('Sales and count'!$G$3:$CC$3="Total")*(_xlpm.d&gt;=BQ$6)*(_xlpm.d&lt;=BQ$7),INDEX('Sales and count'!$G$4:$CC$300,$AJ102,0)))))</f>
        <v>3639.96</v>
      </c>
      <c r="BR102" s="350" cm="1">
        <f t="array" ref="BR102">IF(AP102="","",IF($AJ102="",0,_xlfn.LET(_xlpm.d,IFERROR(--'Sales and count'!$G$2:$CC$2,0),SUMPRODUCT(('Sales and count'!$G$3:$CC$3="Total")*(_xlpm.d&gt;=BR$6)*(_xlpm.d&lt;=BR$7),INDEX('Sales and count'!$G$4:$CC$300,$AJ102,0)))))</f>
        <v>5133.7299999999996</v>
      </c>
      <c r="BS102" s="350" cm="1">
        <f t="array" ref="BS102">IF(AQ102="","",IF($AJ102="",0,_xlfn.LET(_xlpm.d,IFERROR(--'Sales and count'!$G$2:$CC$2,0),SUMPRODUCT(('Sales and count'!$G$3:$CC$3="Total")*(_xlpm.d&gt;=BS$6)*(_xlpm.d&lt;=BS$7),INDEX('Sales and count'!$G$4:$CC$300,$AJ102,0)))))</f>
        <v>2997.9</v>
      </c>
      <c r="BT102" s="350" cm="1">
        <f t="array" ref="BT102">IF(AR102="","",IF($AJ102="",0,_xlfn.LET(_xlpm.d,IFERROR(--'Sales and count'!$G$2:$CC$2,0),SUMPRODUCT(('Sales and count'!$G$3:$CC$3="Total")*(_xlpm.d&gt;=BT$6)*(_xlpm.d&lt;=BT$7),INDEX('Sales and count'!$G$4:$CC$300,$AJ102,0)))))</f>
        <v>3526.84</v>
      </c>
      <c r="BU102" s="350" cm="1">
        <f t="array" ref="BU102">IF(AS102="","",IF($AJ102="",0,_xlfn.LET(_xlpm.d,IFERROR(--'Sales and count'!$G$2:$CC$2,0),SUMPRODUCT(('Sales and count'!$G$3:$CC$3="Total")*(_xlpm.d&gt;=BU$6)*(_xlpm.d&lt;=BU$7),INDEX('Sales and count'!$G$4:$CC$300,$AJ102,0)))))</f>
        <v>3270.18</v>
      </c>
      <c r="BV102" s="350" t="str" cm="1">
        <f t="array" ref="BV102">IF(AT102="","",IF($AJ102="",0,_xlfn.LET(_xlpm.d,IFERROR(--'Sales and count'!$G$2:$CC$2,0),SUMPRODUCT(('Sales and count'!$G$3:$CC$3="Total")*(_xlpm.d&gt;=BV$6)*(_xlpm.d&lt;=BV$7),INDEX('Sales and count'!$G$4:$CC$300,$AJ102,0)))))</f>
        <v/>
      </c>
      <c r="BW102" s="350" t="str" cm="1">
        <f t="array" ref="BW102">IF(AU102="","",IF($AJ102="",0,_xlfn.LET(_xlpm.d,IFERROR(--'Sales and count'!$G$2:$CC$2,0),SUMPRODUCT(('Sales and count'!$G$3:$CC$3="Total")*(_xlpm.d&gt;=BW$6)*(_xlpm.d&lt;=BW$7),INDEX('Sales and count'!$G$4:$CC$300,$AJ102,0)))))</f>
        <v/>
      </c>
      <c r="BX102" s="350" t="str" cm="1">
        <f t="array" ref="BX102">IF(AV102="","",IF($AJ102="",0,_xlfn.LET(_xlpm.d,IFERROR(--'Sales and count'!$G$2:$CC$2,0),SUMPRODUCT(('Sales and count'!$G$3:$CC$3="Total")*(_xlpm.d&gt;=BX$6)*(_xlpm.d&lt;=BX$7),INDEX('Sales and count'!$G$4:$CC$300,$AJ102,0)))))</f>
        <v/>
      </c>
      <c r="BY102" s="350" t="str" cm="1">
        <f t="array" ref="BY102">IF(AW102="","",IF($AJ102="",0,_xlfn.LET(_xlpm.d,IFERROR(--'Sales and count'!$G$2:$CC$2,0),SUMPRODUCT(('Sales and count'!$G$3:$CC$3="Total")*(_xlpm.d&gt;=BY$6)*(_xlpm.d&lt;=BY$7),INDEX('Sales and count'!$G$4:$CC$300,$AJ102,0)))))</f>
        <v/>
      </c>
      <c r="BZ102" s="350" t="str" cm="1">
        <f t="array" ref="BZ102">IF(AX102="","",IF($AJ102="",0,_xlfn.LET(_xlpm.d,IFERROR(--'Sales and count'!$G$2:$CC$2,0),SUMPRODUCT(('Sales and count'!$G$3:$CC$3="Total")*(_xlpm.d&gt;=BZ$6)*(_xlpm.d&lt;=BZ$7),INDEX('Sales and count'!$G$4:$CC$300,$AJ102,0)))))</f>
        <v/>
      </c>
    </row>
    <row r="103" spans="1:78" x14ac:dyDescent="0.25">
      <c r="A103" s="356" t="str">
        <v>SMARTSH</v>
      </c>
      <c r="B103" s="356" t="str" cm="1">
        <f t="array" ref="B103">IF($A103="","",_xlfn.XLOOKUP($A103,TRIM(Footfall!$B$5:$B$301&amp;""),Footfall!$A$5:$A$301,""))</f>
        <v>Smart Shopping Riyadh</v>
      </c>
      <c r="C103" s="356" t="str" cm="1">
        <f t="array" ref="C103">IF($A103="","",_xlfn.XLOOKUP($A103,TRIM('Sales and count'!$A$4:$A$300&amp;""),'Sales and count'!$C$4:$C$300,"Not set"))</f>
        <v>Riyadh</v>
      </c>
      <c r="D103" s="357">
        <f t="shared" ca="1" si="53"/>
        <v>0.23126338329764454</v>
      </c>
      <c r="E103" s="357">
        <f t="shared" ca="1" si="54"/>
        <v>0.17391304347826086</v>
      </c>
      <c r="F103" s="357">
        <f t="shared" ca="1" si="55"/>
        <v>0.16</v>
      </c>
      <c r="G103" s="357">
        <f t="shared" ca="1" si="56"/>
        <v>0.10204081632653061</v>
      </c>
      <c r="H103" s="357">
        <f t="shared" ca="1" si="57"/>
        <v>0.14705882352941177</v>
      </c>
      <c r="I103" s="357">
        <f t="shared" ca="1" si="58"/>
        <v>0.45454545454545453</v>
      </c>
      <c r="J103" s="357">
        <f t="shared" ca="1" si="59"/>
        <v>0.17741935483870969</v>
      </c>
      <c r="K103" s="357">
        <f t="shared" ca="1" si="60"/>
        <v>0.13793103448275862</v>
      </c>
      <c r="L103" s="357">
        <f t="shared" ca="1" si="61"/>
        <v>0.13636363636363635</v>
      </c>
      <c r="M103" s="357" t="str">
        <f t="shared" si="62"/>
        <v/>
      </c>
      <c r="N103" s="357" t="str">
        <f t="shared" si="63"/>
        <v/>
      </c>
      <c r="O103" s="357" t="str">
        <f t="shared" si="64"/>
        <v/>
      </c>
      <c r="P103" s="357" t="str">
        <f t="shared" si="65"/>
        <v/>
      </c>
      <c r="Q103" s="357" t="str">
        <f t="shared" si="66"/>
        <v/>
      </c>
      <c r="R103" s="358" cm="1">
        <f t="array" aca="1" ref="R103" ca="1">IF(OR($A103="",D103=""),"",IFERROR(LOOKUP(2,1/(E103:Q103&lt;&gt;""),E103:Q103)-D103,""))</f>
        <v>-9.4899746934008183E-2</v>
      </c>
      <c r="S103" s="349"/>
      <c r="T103" s="362">
        <f t="shared" ca="1" si="67"/>
        <v>143.93490740740742</v>
      </c>
      <c r="U103" s="362">
        <f t="shared" ca="1" si="68"/>
        <v>139.50125</v>
      </c>
      <c r="V103" s="362">
        <f t="shared" ca="1" si="69"/>
        <v>141.75125</v>
      </c>
      <c r="W103" s="362">
        <f t="shared" ca="1" si="70"/>
        <v>289.80399999999997</v>
      </c>
      <c r="X103" s="362">
        <f t="shared" ca="1" si="71"/>
        <v>160.79400000000001</v>
      </c>
      <c r="Y103" s="362">
        <f t="shared" ca="1" si="72"/>
        <v>181.19300000000001</v>
      </c>
      <c r="Z103" s="362">
        <f t="shared" ca="1" si="73"/>
        <v>215.80545454545455</v>
      </c>
      <c r="AA103" s="362">
        <f t="shared" ca="1" si="74"/>
        <v>125.87</v>
      </c>
      <c r="AB103" s="362">
        <f t="shared" ca="1" si="75"/>
        <v>192.50833333333333</v>
      </c>
      <c r="AC103" s="362" t="str">
        <f t="shared" si="76"/>
        <v/>
      </c>
      <c r="AD103" s="362" t="str">
        <f t="shared" si="77"/>
        <v/>
      </c>
      <c r="AE103" s="362" t="str">
        <f t="shared" si="78"/>
        <v/>
      </c>
      <c r="AF103" s="362" t="str">
        <f t="shared" si="79"/>
        <v/>
      </c>
      <c r="AG103" s="362" t="str">
        <f t="shared" si="80"/>
        <v/>
      </c>
      <c r="AH103" s="363" cm="1">
        <f t="array" aca="1" ref="AH103" ca="1">IF(OR($A103="",T103=""),"",IFERROR(LOOKUP(2,1/(U103:AG103&lt;&gt;""),U103:AG103)-T103,""))</f>
        <v>48.573425925925903</v>
      </c>
      <c r="AI103" s="349"/>
      <c r="AJ103" s="349" cm="1">
        <f t="array" ref="AJ103">IF($A103="","",IFERROR(MATCH($A103,TRIM('Sales and count'!$A$4:$A$300&amp;""),0),""))</f>
        <v>89</v>
      </c>
      <c r="AK103" s="350" cm="1">
        <f t="array" ref="AK103">IF(OR($A103="",AK$6=""),"",IFERROR(INDEX(Footfall!$C$5:$BZ$301,MATCH($A103,TRIM(Footfall!$B$5:$B$301&amp;""),0),AK$5),0))</f>
        <v>1401</v>
      </c>
      <c r="AL103" s="350" cm="1">
        <f t="array" ref="AL103">IF(OR($A103="",AL$6=""),"",IFERROR(INDEX(Footfall!$C$5:$BZ$301,MATCH($A103,TRIM(Footfall!$B$5:$B$301&amp;""),0),AL$5),0))</f>
        <v>46</v>
      </c>
      <c r="AM103" s="350" cm="1">
        <f t="array" ref="AM103">IF(OR($A103="",AM$6=""),"",IFERROR(INDEX(Footfall!$C$5:$BZ$301,MATCH($A103,TRIM(Footfall!$B$5:$B$301&amp;""),0),AM$5),0))</f>
        <v>50</v>
      </c>
      <c r="AN103" s="350" cm="1">
        <f t="array" ref="AN103">IF(OR($A103="",AN$6=""),"",IFERROR(INDEX(Footfall!$C$5:$BZ$301,MATCH($A103,TRIM(Footfall!$B$5:$B$301&amp;""),0),AN$5),0))</f>
        <v>49</v>
      </c>
      <c r="AO103" s="350" cm="1">
        <f t="array" ref="AO103">IF(OR($A103="",AO$6=""),"",IFERROR(INDEX(Footfall!$C$5:$BZ$301,MATCH($A103,TRIM(Footfall!$B$5:$B$301&amp;""),0),AO$5),0))</f>
        <v>68</v>
      </c>
      <c r="AP103" s="350" cm="1">
        <f t="array" ref="AP103">IF(OR($A103="",AP$6=""),"",IFERROR(INDEX(Footfall!$C$5:$BZ$301,MATCH($A103,TRIM(Footfall!$B$5:$B$301&amp;""),0),AP$5),0))</f>
        <v>22</v>
      </c>
      <c r="AQ103" s="350" cm="1">
        <f t="array" ref="AQ103">IF(OR($A103="",AQ$6=""),"",IFERROR(INDEX(Footfall!$C$5:$BZ$301,MATCH($A103,TRIM(Footfall!$B$5:$B$301&amp;""),0),AQ$5),0))</f>
        <v>62</v>
      </c>
      <c r="AR103" s="350" cm="1">
        <f t="array" ref="AR103">IF(OR($A103="",AR$6=""),"",IFERROR(INDEX(Footfall!$C$5:$BZ$301,MATCH($A103,TRIM(Footfall!$B$5:$B$301&amp;""),0),AR$5),0))</f>
        <v>58</v>
      </c>
      <c r="AS103" s="350" cm="1">
        <f t="array" ref="AS103">IF(OR($A103="",AS$6=""),"",IFERROR(INDEX(Footfall!$C$5:$BZ$301,MATCH($A103,TRIM(Footfall!$B$5:$B$301&amp;""),0),AS$5),0))</f>
        <v>44</v>
      </c>
      <c r="AT103" s="350" t="str" cm="1">
        <f t="array" ref="AT103">IF(OR($A103="",AT$6=""),"",IFERROR(INDEX(Footfall!$C$5:$BZ$301,MATCH($A103,TRIM(Footfall!$B$5:$B$301&amp;""),0),AT$5),0))</f>
        <v/>
      </c>
      <c r="AU103" s="350" t="str" cm="1">
        <f t="array" ref="AU103">IF(OR($A103="",AU$6=""),"",IFERROR(INDEX(Footfall!$C$5:$BZ$301,MATCH($A103,TRIM(Footfall!$B$5:$B$301&amp;""),0),AU$5),0))</f>
        <v/>
      </c>
      <c r="AV103" s="350" t="str" cm="1">
        <f t="array" ref="AV103">IF(OR($A103="",AV$6=""),"",IFERROR(INDEX(Footfall!$C$5:$BZ$301,MATCH($A103,TRIM(Footfall!$B$5:$B$301&amp;""),0),AV$5),0))</f>
        <v/>
      </c>
      <c r="AW103" s="350" t="str" cm="1">
        <f t="array" ref="AW103">IF(OR($A103="",AW$6=""),"",IFERROR(INDEX(Footfall!$C$5:$BZ$301,MATCH($A103,TRIM(Footfall!$B$5:$B$301&amp;""),0),AW$5),0))</f>
        <v/>
      </c>
      <c r="AX103" s="350" t="str" cm="1">
        <f t="array" ref="AX103">IF(OR($A103="",AX$6=""),"",IFERROR(INDEX(Footfall!$C$5:$BZ$301,MATCH($A103,TRIM(Footfall!$B$5:$B$301&amp;""),0),AX$5),0))</f>
        <v/>
      </c>
      <c r="AY103" s="350" cm="1">
        <f t="array" aca="1" ref="AY103" ca="1">IF(AK103="","",IF($AJ103="",0,_xlfn.LET(_xlpm.d,IFERROR(--'Sales and count'!$F$2:$CB$2,0),SUMPRODUCT(('Sales and count'!$G$3:$CC$3="Transactions")*(_xlpm.d&gt;=AY$6)*(_xlpm.d&lt;=AY$7),INDEX('Sales and count'!$G$4:$CC$300,$AJ103,0)))))</f>
        <v>324</v>
      </c>
      <c r="AZ103" s="350" cm="1">
        <f t="array" aca="1" ref="AZ103" ca="1">IF(AL103="","",IF($AJ103="",0,_xlfn.LET(_xlpm.d,IFERROR(--'Sales and count'!$F$2:$CB$2,0),SUMPRODUCT(('Sales and count'!$G$3:$CC$3="Transactions")*(_xlpm.d&gt;=AZ$6)*(_xlpm.d&lt;=AZ$7),INDEX('Sales and count'!$G$4:$CC$300,$AJ103,0)))))</f>
        <v>8</v>
      </c>
      <c r="BA103" s="350" cm="1">
        <f t="array" aca="1" ref="BA103" ca="1">IF(AM103="","",IF($AJ103="",0,_xlfn.LET(_xlpm.d,IFERROR(--'Sales and count'!$F$2:$CB$2,0),SUMPRODUCT(('Sales and count'!$G$3:$CC$3="Transactions")*(_xlpm.d&gt;=BA$6)*(_xlpm.d&lt;=BA$7),INDEX('Sales and count'!$G$4:$CC$300,$AJ103,0)))))</f>
        <v>8</v>
      </c>
      <c r="BB103" s="350" cm="1">
        <f t="array" aca="1" ref="BB103" ca="1">IF(AN103="","",IF($AJ103="",0,_xlfn.LET(_xlpm.d,IFERROR(--'Sales and count'!$F$2:$CB$2,0),SUMPRODUCT(('Sales and count'!$G$3:$CC$3="Transactions")*(_xlpm.d&gt;=BB$6)*(_xlpm.d&lt;=BB$7),INDEX('Sales and count'!$G$4:$CC$300,$AJ103,0)))))</f>
        <v>5</v>
      </c>
      <c r="BC103" s="350" cm="1">
        <f t="array" aca="1" ref="BC103" ca="1">IF(AO103="","",IF($AJ103="",0,_xlfn.LET(_xlpm.d,IFERROR(--'Sales and count'!$F$2:$CB$2,0),SUMPRODUCT(('Sales and count'!$G$3:$CC$3="Transactions")*(_xlpm.d&gt;=BC$6)*(_xlpm.d&lt;=BC$7),INDEX('Sales and count'!$G$4:$CC$300,$AJ103,0)))))</f>
        <v>10</v>
      </c>
      <c r="BD103" s="350" cm="1">
        <f t="array" aca="1" ref="BD103" ca="1">IF(AP103="","",IF($AJ103="",0,_xlfn.LET(_xlpm.d,IFERROR(--'Sales and count'!$F$2:$CB$2,0),SUMPRODUCT(('Sales and count'!$G$3:$CC$3="Transactions")*(_xlpm.d&gt;=BD$6)*(_xlpm.d&lt;=BD$7),INDEX('Sales and count'!$G$4:$CC$300,$AJ103,0)))))</f>
        <v>10</v>
      </c>
      <c r="BE103" s="350" cm="1">
        <f t="array" aca="1" ref="BE103" ca="1">IF(AQ103="","",IF($AJ103="",0,_xlfn.LET(_xlpm.d,IFERROR(--'Sales and count'!$F$2:$CB$2,0),SUMPRODUCT(('Sales and count'!$G$3:$CC$3="Transactions")*(_xlpm.d&gt;=BE$6)*(_xlpm.d&lt;=BE$7),INDEX('Sales and count'!$G$4:$CC$300,$AJ103,0)))))</f>
        <v>11</v>
      </c>
      <c r="BF103" s="350" cm="1">
        <f t="array" aca="1" ref="BF103" ca="1">IF(AR103="","",IF($AJ103="",0,_xlfn.LET(_xlpm.d,IFERROR(--'Sales and count'!$F$2:$CB$2,0),SUMPRODUCT(('Sales and count'!$G$3:$CC$3="Transactions")*(_xlpm.d&gt;=BF$6)*(_xlpm.d&lt;=BF$7),INDEX('Sales and count'!$G$4:$CC$300,$AJ103,0)))))</f>
        <v>8</v>
      </c>
      <c r="BG103" s="350" cm="1">
        <f t="array" aca="1" ref="BG103" ca="1">IF(AS103="","",IF($AJ103="",0,_xlfn.LET(_xlpm.d,IFERROR(--'Sales and count'!$F$2:$CB$2,0),SUMPRODUCT(('Sales and count'!$G$3:$CC$3="Transactions")*(_xlpm.d&gt;=BG$6)*(_xlpm.d&lt;=BG$7),INDEX('Sales and count'!$G$4:$CC$300,$AJ103,0)))))</f>
        <v>6</v>
      </c>
      <c r="BH103" s="350" t="str" cm="1">
        <f t="array" ref="BH103">IF(AT103="","",IF($AJ103="",0,_xlfn.LET(_xlpm.d,IFERROR(--'Sales and count'!$F$2:$CB$2,0),SUMPRODUCT(('Sales and count'!$G$3:$CC$3="Transactions")*(_xlpm.d&gt;=BH$6)*(_xlpm.d&lt;=BH$7),INDEX('Sales and count'!$G$4:$CC$300,$AJ103,0)))))</f>
        <v/>
      </c>
      <c r="BI103" s="350" t="str" cm="1">
        <f t="array" ref="BI103">IF(AU103="","",IF($AJ103="",0,_xlfn.LET(_xlpm.d,IFERROR(--'Sales and count'!$F$2:$CB$2,0),SUMPRODUCT(('Sales and count'!$G$3:$CC$3="Transactions")*(_xlpm.d&gt;=BI$6)*(_xlpm.d&lt;=BI$7),INDEX('Sales and count'!$G$4:$CC$300,$AJ103,0)))))</f>
        <v/>
      </c>
      <c r="BJ103" s="350" t="str" cm="1">
        <f t="array" ref="BJ103">IF(AV103="","",IF($AJ103="",0,_xlfn.LET(_xlpm.d,IFERROR(--'Sales and count'!$F$2:$CB$2,0),SUMPRODUCT(('Sales and count'!$G$3:$CC$3="Transactions")*(_xlpm.d&gt;=BJ$6)*(_xlpm.d&lt;=BJ$7),INDEX('Sales and count'!$G$4:$CC$300,$AJ103,0)))))</f>
        <v/>
      </c>
      <c r="BK103" s="350" t="str" cm="1">
        <f t="array" ref="BK103">IF(AW103="","",IF($AJ103="",0,_xlfn.LET(_xlpm.d,IFERROR(--'Sales and count'!$F$2:$CB$2,0),SUMPRODUCT(('Sales and count'!$G$3:$CC$3="Transactions")*(_xlpm.d&gt;=BK$6)*(_xlpm.d&lt;=BK$7),INDEX('Sales and count'!$G$4:$CC$300,$AJ103,0)))))</f>
        <v/>
      </c>
      <c r="BL103" s="350" t="str" cm="1">
        <f t="array" ref="BL103">IF(AX103="","",IF($AJ103="",0,_xlfn.LET(_xlpm.d,IFERROR(--'Sales and count'!$F$2:$CB$2,0),SUMPRODUCT(('Sales and count'!$G$3:$CC$3="Transactions")*(_xlpm.d&gt;=BL$6)*(_xlpm.d&lt;=BL$7),INDEX('Sales and count'!$G$4:$CC$300,$AJ103,0)))))</f>
        <v/>
      </c>
      <c r="BM103" s="350" cm="1">
        <f t="array" ref="BM103">IF(AK103="","",IF($AJ103="",0,_xlfn.LET(_xlpm.d,IFERROR(--'Sales and count'!$G$2:$CC$2,0),SUMPRODUCT(('Sales and count'!$G$3:$CC$3="Total")*(_xlpm.d&gt;=BM$6)*(_xlpm.d&lt;=BM$7),INDEX('Sales and count'!$G$4:$CC$300,$AJ103,0)))))</f>
        <v>46634.91</v>
      </c>
      <c r="BN103" s="350" cm="1">
        <f t="array" ref="BN103">IF(AL103="","",IF($AJ103="",0,_xlfn.LET(_xlpm.d,IFERROR(--'Sales and count'!$G$2:$CC$2,0),SUMPRODUCT(('Sales and count'!$G$3:$CC$3="Total")*(_xlpm.d&gt;=BN$6)*(_xlpm.d&lt;=BN$7),INDEX('Sales and count'!$G$4:$CC$300,$AJ103,0)))))</f>
        <v>1116.01</v>
      </c>
      <c r="BO103" s="350" cm="1">
        <f t="array" ref="BO103">IF(AM103="","",IF($AJ103="",0,_xlfn.LET(_xlpm.d,IFERROR(--'Sales and count'!$G$2:$CC$2,0),SUMPRODUCT(('Sales and count'!$G$3:$CC$3="Total")*(_xlpm.d&gt;=BO$6)*(_xlpm.d&lt;=BO$7),INDEX('Sales and count'!$G$4:$CC$300,$AJ103,0)))))</f>
        <v>1134.01</v>
      </c>
      <c r="BP103" s="350" cm="1">
        <f t="array" ref="BP103">IF(AN103="","",IF($AJ103="",0,_xlfn.LET(_xlpm.d,IFERROR(--'Sales and count'!$G$2:$CC$2,0),SUMPRODUCT(('Sales and count'!$G$3:$CC$3="Total")*(_xlpm.d&gt;=BP$6)*(_xlpm.d&lt;=BP$7),INDEX('Sales and count'!$G$4:$CC$300,$AJ103,0)))))</f>
        <v>1449.02</v>
      </c>
      <c r="BQ103" s="350" cm="1">
        <f t="array" ref="BQ103">IF(AO103="","",IF($AJ103="",0,_xlfn.LET(_xlpm.d,IFERROR(--'Sales and count'!$G$2:$CC$2,0),SUMPRODUCT(('Sales and count'!$G$3:$CC$3="Total")*(_xlpm.d&gt;=BQ$6)*(_xlpm.d&lt;=BQ$7),INDEX('Sales and count'!$G$4:$CC$300,$AJ103,0)))))</f>
        <v>1607.94</v>
      </c>
      <c r="BR103" s="350" cm="1">
        <f t="array" ref="BR103">IF(AP103="","",IF($AJ103="",0,_xlfn.LET(_xlpm.d,IFERROR(--'Sales and count'!$G$2:$CC$2,0),SUMPRODUCT(('Sales and count'!$G$3:$CC$3="Total")*(_xlpm.d&gt;=BR$6)*(_xlpm.d&lt;=BR$7),INDEX('Sales and count'!$G$4:$CC$300,$AJ103,0)))))</f>
        <v>1811.93</v>
      </c>
      <c r="BS103" s="350" cm="1">
        <f t="array" ref="BS103">IF(AQ103="","",IF($AJ103="",0,_xlfn.LET(_xlpm.d,IFERROR(--'Sales and count'!$G$2:$CC$2,0),SUMPRODUCT(('Sales and count'!$G$3:$CC$3="Total")*(_xlpm.d&gt;=BS$6)*(_xlpm.d&lt;=BS$7),INDEX('Sales and count'!$G$4:$CC$300,$AJ103,0)))))</f>
        <v>2373.86</v>
      </c>
      <c r="BT103" s="350" cm="1">
        <f t="array" ref="BT103">IF(AR103="","",IF($AJ103="",0,_xlfn.LET(_xlpm.d,IFERROR(--'Sales and count'!$G$2:$CC$2,0),SUMPRODUCT(('Sales and count'!$G$3:$CC$3="Total")*(_xlpm.d&gt;=BT$6)*(_xlpm.d&lt;=BT$7),INDEX('Sales and count'!$G$4:$CC$300,$AJ103,0)))))</f>
        <v>1006.96</v>
      </c>
      <c r="BU103" s="350" cm="1">
        <f t="array" ref="BU103">IF(AS103="","",IF($AJ103="",0,_xlfn.LET(_xlpm.d,IFERROR(--'Sales and count'!$G$2:$CC$2,0),SUMPRODUCT(('Sales and count'!$G$3:$CC$3="Total")*(_xlpm.d&gt;=BU$6)*(_xlpm.d&lt;=BU$7),INDEX('Sales and count'!$G$4:$CC$300,$AJ103,0)))))</f>
        <v>1155.05</v>
      </c>
      <c r="BV103" s="350" t="str" cm="1">
        <f t="array" ref="BV103">IF(AT103="","",IF($AJ103="",0,_xlfn.LET(_xlpm.d,IFERROR(--'Sales and count'!$G$2:$CC$2,0),SUMPRODUCT(('Sales and count'!$G$3:$CC$3="Total")*(_xlpm.d&gt;=BV$6)*(_xlpm.d&lt;=BV$7),INDEX('Sales and count'!$G$4:$CC$300,$AJ103,0)))))</f>
        <v/>
      </c>
      <c r="BW103" s="350" t="str" cm="1">
        <f t="array" ref="BW103">IF(AU103="","",IF($AJ103="",0,_xlfn.LET(_xlpm.d,IFERROR(--'Sales and count'!$G$2:$CC$2,0),SUMPRODUCT(('Sales and count'!$G$3:$CC$3="Total")*(_xlpm.d&gt;=BW$6)*(_xlpm.d&lt;=BW$7),INDEX('Sales and count'!$G$4:$CC$300,$AJ103,0)))))</f>
        <v/>
      </c>
      <c r="BX103" s="350" t="str" cm="1">
        <f t="array" ref="BX103">IF(AV103="","",IF($AJ103="",0,_xlfn.LET(_xlpm.d,IFERROR(--'Sales and count'!$G$2:$CC$2,0),SUMPRODUCT(('Sales and count'!$G$3:$CC$3="Total")*(_xlpm.d&gt;=BX$6)*(_xlpm.d&lt;=BX$7),INDEX('Sales and count'!$G$4:$CC$300,$AJ103,0)))))</f>
        <v/>
      </c>
      <c r="BY103" s="350" t="str" cm="1">
        <f t="array" ref="BY103">IF(AW103="","",IF($AJ103="",0,_xlfn.LET(_xlpm.d,IFERROR(--'Sales and count'!$G$2:$CC$2,0),SUMPRODUCT(('Sales and count'!$G$3:$CC$3="Total")*(_xlpm.d&gt;=BY$6)*(_xlpm.d&lt;=BY$7),INDEX('Sales and count'!$G$4:$CC$300,$AJ103,0)))))</f>
        <v/>
      </c>
      <c r="BZ103" s="350" t="str" cm="1">
        <f t="array" ref="BZ103">IF(AX103="","",IF($AJ103="",0,_xlfn.LET(_xlpm.d,IFERROR(--'Sales and count'!$G$2:$CC$2,0),SUMPRODUCT(('Sales and count'!$G$3:$CC$3="Total")*(_xlpm.d&gt;=BZ$6)*(_xlpm.d&lt;=BZ$7),INDEX('Sales and count'!$G$4:$CC$300,$AJ103,0)))))</f>
        <v/>
      </c>
    </row>
    <row r="104" spans="1:78" x14ac:dyDescent="0.25">
      <c r="A104" s="356" t="str">
        <v>RYDUWALK</v>
      </c>
      <c r="B104" s="356" t="str" cm="1">
        <f t="array" ref="B104">IF($A104="","",_xlfn.XLOOKUP($A104,TRIM(Footfall!$B$5:$B$301&amp;""),Footfall!$A$5:$A$301,""))</f>
        <v>U Walk Riyadh</v>
      </c>
      <c r="C104" s="356" t="str" cm="1">
        <f t="array" ref="C104">IF($A104="","",_xlfn.XLOOKUP($A104,TRIM('Sales and count'!$A$4:$A$300&amp;""),'Sales and count'!$C$4:$C$300,"Not set"))</f>
        <v>Riyadh</v>
      </c>
      <c r="D104" s="357">
        <f t="shared" ca="1" si="53"/>
        <v>0.17215568862275449</v>
      </c>
      <c r="E104" s="357">
        <f t="shared" ca="1" si="54"/>
        <v>0.19696969696969696</v>
      </c>
      <c r="F104" s="357">
        <f t="shared" ca="1" si="55"/>
        <v>0.17948717948717949</v>
      </c>
      <c r="G104" s="357">
        <f t="shared" ca="1" si="56"/>
        <v>0.22727272727272727</v>
      </c>
      <c r="H104" s="357">
        <f t="shared" ca="1" si="57"/>
        <v>0.13636363636363635</v>
      </c>
      <c r="I104" s="357">
        <f t="shared" ca="1" si="58"/>
        <v>9.5588235294117641E-2</v>
      </c>
      <c r="J104" s="357">
        <f t="shared" ca="1" si="59"/>
        <v>0.17582417582417584</v>
      </c>
      <c r="K104" s="357">
        <f t="shared" ca="1" si="60"/>
        <v>0.14000000000000001</v>
      </c>
      <c r="L104" s="357">
        <f t="shared" ca="1" si="61"/>
        <v>0.13432835820895522</v>
      </c>
      <c r="M104" s="357" t="str">
        <f t="shared" si="62"/>
        <v/>
      </c>
      <c r="N104" s="357" t="str">
        <f t="shared" si="63"/>
        <v/>
      </c>
      <c r="O104" s="357" t="str">
        <f t="shared" si="64"/>
        <v/>
      </c>
      <c r="P104" s="357" t="str">
        <f t="shared" si="65"/>
        <v/>
      </c>
      <c r="Q104" s="357" t="str">
        <f t="shared" si="66"/>
        <v/>
      </c>
      <c r="R104" s="358" cm="1">
        <f t="array" aca="1" ref="R104" ca="1">IF(OR($A104="",D104=""),"",IFERROR(LOOKUP(2,1/(E104:Q104&lt;&gt;""),E104:Q104)-D104,""))</f>
        <v>-3.7827330413799265E-2</v>
      </c>
      <c r="S104" s="349"/>
      <c r="T104" s="362">
        <f t="shared" ca="1" si="67"/>
        <v>145.92727536231882</v>
      </c>
      <c r="U104" s="362">
        <f t="shared" ca="1" si="68"/>
        <v>122.23461538461538</v>
      </c>
      <c r="V104" s="362">
        <f t="shared" ca="1" si="69"/>
        <v>163.28642857142859</v>
      </c>
      <c r="W104" s="362">
        <f t="shared" ca="1" si="70"/>
        <v>158.30799999999999</v>
      </c>
      <c r="X104" s="362">
        <f t="shared" ca="1" si="71"/>
        <v>186.87666666666667</v>
      </c>
      <c r="Y104" s="362">
        <f t="shared" ca="1" si="72"/>
        <v>211.6076923076923</v>
      </c>
      <c r="Z104" s="362">
        <f t="shared" ca="1" si="73"/>
        <v>158.99375000000001</v>
      </c>
      <c r="AA104" s="362">
        <f t="shared" ca="1" si="74"/>
        <v>170.27714285714288</v>
      </c>
      <c r="AB104" s="362">
        <f t="shared" ca="1" si="75"/>
        <v>214.45888888888891</v>
      </c>
      <c r="AC104" s="362" t="str">
        <f t="shared" si="76"/>
        <v/>
      </c>
      <c r="AD104" s="362" t="str">
        <f t="shared" si="77"/>
        <v/>
      </c>
      <c r="AE104" s="362" t="str">
        <f t="shared" si="78"/>
        <v/>
      </c>
      <c r="AF104" s="362" t="str">
        <f t="shared" si="79"/>
        <v/>
      </c>
      <c r="AG104" s="362" t="str">
        <f t="shared" si="80"/>
        <v/>
      </c>
      <c r="AH104" s="363" cm="1">
        <f t="array" aca="1" ref="AH104" ca="1">IF(OR($A104="",T104=""),"",IFERROR(LOOKUP(2,1/(U104:AG104&lt;&gt;""),U104:AG104)-T104,""))</f>
        <v>68.531613526570084</v>
      </c>
      <c r="AI104" s="349"/>
      <c r="AJ104" s="349" cm="1">
        <f t="array" ref="AJ104">IF($A104="","",IFERROR(MATCH($A104,TRIM('Sales and count'!$A$4:$A$300&amp;""),0),""))</f>
        <v>65</v>
      </c>
      <c r="AK104" s="350" cm="1">
        <f t="array" ref="AK104">IF(OR($A104="",AK$6=""),"",IFERROR(INDEX(Footfall!$C$5:$BZ$301,MATCH($A104,TRIM(Footfall!$B$5:$B$301&amp;""),0),AK$5),0))</f>
        <v>2004</v>
      </c>
      <c r="AL104" s="350" cm="1">
        <f t="array" ref="AL104">IF(OR($A104="",AL$6=""),"",IFERROR(INDEX(Footfall!$C$5:$BZ$301,MATCH($A104,TRIM(Footfall!$B$5:$B$301&amp;""),0),AL$5),0))</f>
        <v>66</v>
      </c>
      <c r="AM104" s="350" cm="1">
        <f t="array" ref="AM104">IF(OR($A104="",AM$6=""),"",IFERROR(INDEX(Footfall!$C$5:$BZ$301,MATCH($A104,TRIM(Footfall!$B$5:$B$301&amp;""),0),AM$5),0))</f>
        <v>78</v>
      </c>
      <c r="AN104" s="350" cm="1">
        <f t="array" ref="AN104">IF(OR($A104="",AN$6=""),"",IFERROR(INDEX(Footfall!$C$5:$BZ$301,MATCH($A104,TRIM(Footfall!$B$5:$B$301&amp;""),0),AN$5),0))</f>
        <v>44</v>
      </c>
      <c r="AO104" s="350" cm="1">
        <f t="array" ref="AO104">IF(OR($A104="",AO$6=""),"",IFERROR(INDEX(Footfall!$C$5:$BZ$301,MATCH($A104,TRIM(Footfall!$B$5:$B$301&amp;""),0),AO$5),0))</f>
        <v>132</v>
      </c>
      <c r="AP104" s="350" cm="1">
        <f t="array" ref="AP104">IF(OR($A104="",AP$6=""),"",IFERROR(INDEX(Footfall!$C$5:$BZ$301,MATCH($A104,TRIM(Footfall!$B$5:$B$301&amp;""),0),AP$5),0))</f>
        <v>136</v>
      </c>
      <c r="AQ104" s="350" cm="1">
        <f t="array" ref="AQ104">IF(OR($A104="",AQ$6=""),"",IFERROR(INDEX(Footfall!$C$5:$BZ$301,MATCH($A104,TRIM(Footfall!$B$5:$B$301&amp;""),0),AQ$5),0))</f>
        <v>91</v>
      </c>
      <c r="AR104" s="350" cm="1">
        <f t="array" ref="AR104">IF(OR($A104="",AR$6=""),"",IFERROR(INDEX(Footfall!$C$5:$BZ$301,MATCH($A104,TRIM(Footfall!$B$5:$B$301&amp;""),0),AR$5),0))</f>
        <v>50</v>
      </c>
      <c r="AS104" s="350" cm="1">
        <f t="array" ref="AS104">IF(OR($A104="",AS$6=""),"",IFERROR(INDEX(Footfall!$C$5:$BZ$301,MATCH($A104,TRIM(Footfall!$B$5:$B$301&amp;""),0),AS$5),0))</f>
        <v>67</v>
      </c>
      <c r="AT104" s="350" t="str" cm="1">
        <f t="array" ref="AT104">IF(OR($A104="",AT$6=""),"",IFERROR(INDEX(Footfall!$C$5:$BZ$301,MATCH($A104,TRIM(Footfall!$B$5:$B$301&amp;""),0),AT$5),0))</f>
        <v/>
      </c>
      <c r="AU104" s="350" t="str" cm="1">
        <f t="array" ref="AU104">IF(OR($A104="",AU$6=""),"",IFERROR(INDEX(Footfall!$C$5:$BZ$301,MATCH($A104,TRIM(Footfall!$B$5:$B$301&amp;""),0),AU$5),0))</f>
        <v/>
      </c>
      <c r="AV104" s="350" t="str" cm="1">
        <f t="array" ref="AV104">IF(OR($A104="",AV$6=""),"",IFERROR(INDEX(Footfall!$C$5:$BZ$301,MATCH($A104,TRIM(Footfall!$B$5:$B$301&amp;""),0),AV$5),0))</f>
        <v/>
      </c>
      <c r="AW104" s="350" t="str" cm="1">
        <f t="array" ref="AW104">IF(OR($A104="",AW$6=""),"",IFERROR(INDEX(Footfall!$C$5:$BZ$301,MATCH($A104,TRIM(Footfall!$B$5:$B$301&amp;""),0),AW$5),0))</f>
        <v/>
      </c>
      <c r="AX104" s="350" t="str" cm="1">
        <f t="array" ref="AX104">IF(OR($A104="",AX$6=""),"",IFERROR(INDEX(Footfall!$C$5:$BZ$301,MATCH($A104,TRIM(Footfall!$B$5:$B$301&amp;""),0),AX$5),0))</f>
        <v/>
      </c>
      <c r="AY104" s="350" cm="1">
        <f t="array" aca="1" ref="AY104" ca="1">IF(AK104="","",IF($AJ104="",0,_xlfn.LET(_xlpm.d,IFERROR(--'Sales and count'!$F$2:$CB$2,0),SUMPRODUCT(('Sales and count'!$G$3:$CC$3="Transactions")*(_xlpm.d&gt;=AY$6)*(_xlpm.d&lt;=AY$7),INDEX('Sales and count'!$G$4:$CC$300,$AJ104,0)))))</f>
        <v>345</v>
      </c>
      <c r="AZ104" s="350" cm="1">
        <f t="array" aca="1" ref="AZ104" ca="1">IF(AL104="","",IF($AJ104="",0,_xlfn.LET(_xlpm.d,IFERROR(--'Sales and count'!$F$2:$CB$2,0),SUMPRODUCT(('Sales and count'!$G$3:$CC$3="Transactions")*(_xlpm.d&gt;=AZ$6)*(_xlpm.d&lt;=AZ$7),INDEX('Sales and count'!$G$4:$CC$300,$AJ104,0)))))</f>
        <v>13</v>
      </c>
      <c r="BA104" s="350" cm="1">
        <f t="array" aca="1" ref="BA104" ca="1">IF(AM104="","",IF($AJ104="",0,_xlfn.LET(_xlpm.d,IFERROR(--'Sales and count'!$F$2:$CB$2,0),SUMPRODUCT(('Sales and count'!$G$3:$CC$3="Transactions")*(_xlpm.d&gt;=BA$6)*(_xlpm.d&lt;=BA$7),INDEX('Sales and count'!$G$4:$CC$300,$AJ104,0)))))</f>
        <v>14</v>
      </c>
      <c r="BB104" s="350" cm="1">
        <f t="array" aca="1" ref="BB104" ca="1">IF(AN104="","",IF($AJ104="",0,_xlfn.LET(_xlpm.d,IFERROR(--'Sales and count'!$F$2:$CB$2,0),SUMPRODUCT(('Sales and count'!$G$3:$CC$3="Transactions")*(_xlpm.d&gt;=BB$6)*(_xlpm.d&lt;=BB$7),INDEX('Sales and count'!$G$4:$CC$300,$AJ104,0)))))</f>
        <v>10</v>
      </c>
      <c r="BC104" s="350" cm="1">
        <f t="array" aca="1" ref="BC104" ca="1">IF(AO104="","",IF($AJ104="",0,_xlfn.LET(_xlpm.d,IFERROR(--'Sales and count'!$F$2:$CB$2,0),SUMPRODUCT(('Sales and count'!$G$3:$CC$3="Transactions")*(_xlpm.d&gt;=BC$6)*(_xlpm.d&lt;=BC$7),INDEX('Sales and count'!$G$4:$CC$300,$AJ104,0)))))</f>
        <v>18</v>
      </c>
      <c r="BD104" s="350" cm="1">
        <f t="array" aca="1" ref="BD104" ca="1">IF(AP104="","",IF($AJ104="",0,_xlfn.LET(_xlpm.d,IFERROR(--'Sales and count'!$F$2:$CB$2,0),SUMPRODUCT(('Sales and count'!$G$3:$CC$3="Transactions")*(_xlpm.d&gt;=BD$6)*(_xlpm.d&lt;=BD$7),INDEX('Sales and count'!$G$4:$CC$300,$AJ104,0)))))</f>
        <v>13</v>
      </c>
      <c r="BE104" s="350" cm="1">
        <f t="array" aca="1" ref="BE104" ca="1">IF(AQ104="","",IF($AJ104="",0,_xlfn.LET(_xlpm.d,IFERROR(--'Sales and count'!$F$2:$CB$2,0),SUMPRODUCT(('Sales and count'!$G$3:$CC$3="Transactions")*(_xlpm.d&gt;=BE$6)*(_xlpm.d&lt;=BE$7),INDEX('Sales and count'!$G$4:$CC$300,$AJ104,0)))))</f>
        <v>16</v>
      </c>
      <c r="BF104" s="350" cm="1">
        <f t="array" aca="1" ref="BF104" ca="1">IF(AR104="","",IF($AJ104="",0,_xlfn.LET(_xlpm.d,IFERROR(--'Sales and count'!$F$2:$CB$2,0),SUMPRODUCT(('Sales and count'!$G$3:$CC$3="Transactions")*(_xlpm.d&gt;=BF$6)*(_xlpm.d&lt;=BF$7),INDEX('Sales and count'!$G$4:$CC$300,$AJ104,0)))))</f>
        <v>7</v>
      </c>
      <c r="BG104" s="350" cm="1">
        <f t="array" aca="1" ref="BG104" ca="1">IF(AS104="","",IF($AJ104="",0,_xlfn.LET(_xlpm.d,IFERROR(--'Sales and count'!$F$2:$CB$2,0),SUMPRODUCT(('Sales and count'!$G$3:$CC$3="Transactions")*(_xlpm.d&gt;=BG$6)*(_xlpm.d&lt;=BG$7),INDEX('Sales and count'!$G$4:$CC$300,$AJ104,0)))))</f>
        <v>9</v>
      </c>
      <c r="BH104" s="350" t="str" cm="1">
        <f t="array" ref="BH104">IF(AT104="","",IF($AJ104="",0,_xlfn.LET(_xlpm.d,IFERROR(--'Sales and count'!$F$2:$CB$2,0),SUMPRODUCT(('Sales and count'!$G$3:$CC$3="Transactions")*(_xlpm.d&gt;=BH$6)*(_xlpm.d&lt;=BH$7),INDEX('Sales and count'!$G$4:$CC$300,$AJ104,0)))))</f>
        <v/>
      </c>
      <c r="BI104" s="350" t="str" cm="1">
        <f t="array" ref="BI104">IF(AU104="","",IF($AJ104="",0,_xlfn.LET(_xlpm.d,IFERROR(--'Sales and count'!$F$2:$CB$2,0),SUMPRODUCT(('Sales and count'!$G$3:$CC$3="Transactions")*(_xlpm.d&gt;=BI$6)*(_xlpm.d&lt;=BI$7),INDEX('Sales and count'!$G$4:$CC$300,$AJ104,0)))))</f>
        <v/>
      </c>
      <c r="BJ104" s="350" t="str" cm="1">
        <f t="array" ref="BJ104">IF(AV104="","",IF($AJ104="",0,_xlfn.LET(_xlpm.d,IFERROR(--'Sales and count'!$F$2:$CB$2,0),SUMPRODUCT(('Sales and count'!$G$3:$CC$3="Transactions")*(_xlpm.d&gt;=BJ$6)*(_xlpm.d&lt;=BJ$7),INDEX('Sales and count'!$G$4:$CC$300,$AJ104,0)))))</f>
        <v/>
      </c>
      <c r="BK104" s="350" t="str" cm="1">
        <f t="array" ref="BK104">IF(AW104="","",IF($AJ104="",0,_xlfn.LET(_xlpm.d,IFERROR(--'Sales and count'!$F$2:$CB$2,0),SUMPRODUCT(('Sales and count'!$G$3:$CC$3="Transactions")*(_xlpm.d&gt;=BK$6)*(_xlpm.d&lt;=BK$7),INDEX('Sales and count'!$G$4:$CC$300,$AJ104,0)))))</f>
        <v/>
      </c>
      <c r="BL104" s="350" t="str" cm="1">
        <f t="array" ref="BL104">IF(AX104="","",IF($AJ104="",0,_xlfn.LET(_xlpm.d,IFERROR(--'Sales and count'!$F$2:$CB$2,0),SUMPRODUCT(('Sales and count'!$G$3:$CC$3="Transactions")*(_xlpm.d&gt;=BL$6)*(_xlpm.d&lt;=BL$7),INDEX('Sales and count'!$G$4:$CC$300,$AJ104,0)))))</f>
        <v/>
      </c>
      <c r="BM104" s="350" cm="1">
        <f t="array" ref="BM104">IF(AK104="","",IF($AJ104="",0,_xlfn.LET(_xlpm.d,IFERROR(--'Sales and count'!$G$2:$CC$2,0),SUMPRODUCT(('Sales and count'!$G$3:$CC$3="Total")*(_xlpm.d&gt;=BM$6)*(_xlpm.d&lt;=BM$7),INDEX('Sales and count'!$G$4:$CC$300,$AJ104,0)))))</f>
        <v>50344.909999999996</v>
      </c>
      <c r="BN104" s="350" cm="1">
        <f t="array" ref="BN104">IF(AL104="","",IF($AJ104="",0,_xlfn.LET(_xlpm.d,IFERROR(--'Sales and count'!$G$2:$CC$2,0),SUMPRODUCT(('Sales and count'!$G$3:$CC$3="Total")*(_xlpm.d&gt;=BN$6)*(_xlpm.d&lt;=BN$7),INDEX('Sales and count'!$G$4:$CC$300,$AJ104,0)))))</f>
        <v>1589.05</v>
      </c>
      <c r="BO104" s="350" cm="1">
        <f t="array" ref="BO104">IF(AM104="","",IF($AJ104="",0,_xlfn.LET(_xlpm.d,IFERROR(--'Sales and count'!$G$2:$CC$2,0),SUMPRODUCT(('Sales and count'!$G$3:$CC$3="Total")*(_xlpm.d&gt;=BO$6)*(_xlpm.d&lt;=BO$7),INDEX('Sales and count'!$G$4:$CC$300,$AJ104,0)))))</f>
        <v>2286.0100000000002</v>
      </c>
      <c r="BP104" s="350" cm="1">
        <f t="array" ref="BP104">IF(AN104="","",IF($AJ104="",0,_xlfn.LET(_xlpm.d,IFERROR(--'Sales and count'!$G$2:$CC$2,0),SUMPRODUCT(('Sales and count'!$G$3:$CC$3="Total")*(_xlpm.d&gt;=BP$6)*(_xlpm.d&lt;=BP$7),INDEX('Sales and count'!$G$4:$CC$300,$AJ104,0)))))</f>
        <v>1583.08</v>
      </c>
      <c r="BQ104" s="350" cm="1">
        <f t="array" ref="BQ104">IF(AO104="","",IF($AJ104="",0,_xlfn.LET(_xlpm.d,IFERROR(--'Sales and count'!$G$2:$CC$2,0),SUMPRODUCT(('Sales and count'!$G$3:$CC$3="Total")*(_xlpm.d&gt;=BQ$6)*(_xlpm.d&lt;=BQ$7),INDEX('Sales and count'!$G$4:$CC$300,$AJ104,0)))))</f>
        <v>3363.78</v>
      </c>
      <c r="BR104" s="350" cm="1">
        <f t="array" ref="BR104">IF(AP104="","",IF($AJ104="",0,_xlfn.LET(_xlpm.d,IFERROR(--'Sales and count'!$G$2:$CC$2,0),SUMPRODUCT(('Sales and count'!$G$3:$CC$3="Total")*(_xlpm.d&gt;=BR$6)*(_xlpm.d&lt;=BR$7),INDEX('Sales and count'!$G$4:$CC$300,$AJ104,0)))))</f>
        <v>2750.9</v>
      </c>
      <c r="BS104" s="350" cm="1">
        <f t="array" ref="BS104">IF(AQ104="","",IF($AJ104="",0,_xlfn.LET(_xlpm.d,IFERROR(--'Sales and count'!$G$2:$CC$2,0),SUMPRODUCT(('Sales and count'!$G$3:$CC$3="Total")*(_xlpm.d&gt;=BS$6)*(_xlpm.d&lt;=BS$7),INDEX('Sales and count'!$G$4:$CC$300,$AJ104,0)))))</f>
        <v>2543.9</v>
      </c>
      <c r="BT104" s="350" cm="1">
        <f t="array" ref="BT104">IF(AR104="","",IF($AJ104="",0,_xlfn.LET(_xlpm.d,IFERROR(--'Sales and count'!$G$2:$CC$2,0),SUMPRODUCT(('Sales and count'!$G$3:$CC$3="Total")*(_xlpm.d&gt;=BT$6)*(_xlpm.d&lt;=BT$7),INDEX('Sales and count'!$G$4:$CC$300,$AJ104,0)))))</f>
        <v>1191.94</v>
      </c>
      <c r="BU104" s="350" cm="1">
        <f t="array" ref="BU104">IF(AS104="","",IF($AJ104="",0,_xlfn.LET(_xlpm.d,IFERROR(--'Sales and count'!$G$2:$CC$2,0),SUMPRODUCT(('Sales and count'!$G$3:$CC$3="Total")*(_xlpm.d&gt;=BU$6)*(_xlpm.d&lt;=BU$7),INDEX('Sales and count'!$G$4:$CC$300,$AJ104,0)))))</f>
        <v>1930.13</v>
      </c>
      <c r="BV104" s="350" t="str" cm="1">
        <f t="array" ref="BV104">IF(AT104="","",IF($AJ104="",0,_xlfn.LET(_xlpm.d,IFERROR(--'Sales and count'!$G$2:$CC$2,0),SUMPRODUCT(('Sales and count'!$G$3:$CC$3="Total")*(_xlpm.d&gt;=BV$6)*(_xlpm.d&lt;=BV$7),INDEX('Sales and count'!$G$4:$CC$300,$AJ104,0)))))</f>
        <v/>
      </c>
      <c r="BW104" s="350" t="str" cm="1">
        <f t="array" ref="BW104">IF(AU104="","",IF($AJ104="",0,_xlfn.LET(_xlpm.d,IFERROR(--'Sales and count'!$G$2:$CC$2,0),SUMPRODUCT(('Sales and count'!$G$3:$CC$3="Total")*(_xlpm.d&gt;=BW$6)*(_xlpm.d&lt;=BW$7),INDEX('Sales and count'!$G$4:$CC$300,$AJ104,0)))))</f>
        <v/>
      </c>
      <c r="BX104" s="350" t="str" cm="1">
        <f t="array" ref="BX104">IF(AV104="","",IF($AJ104="",0,_xlfn.LET(_xlpm.d,IFERROR(--'Sales and count'!$G$2:$CC$2,0),SUMPRODUCT(('Sales and count'!$G$3:$CC$3="Total")*(_xlpm.d&gt;=BX$6)*(_xlpm.d&lt;=BX$7),INDEX('Sales and count'!$G$4:$CC$300,$AJ104,0)))))</f>
        <v/>
      </c>
      <c r="BY104" s="350" t="str" cm="1">
        <f t="array" ref="BY104">IF(AW104="","",IF($AJ104="",0,_xlfn.LET(_xlpm.d,IFERROR(--'Sales and count'!$G$2:$CC$2,0),SUMPRODUCT(('Sales and count'!$G$3:$CC$3="Total")*(_xlpm.d&gt;=BY$6)*(_xlpm.d&lt;=BY$7),INDEX('Sales and count'!$G$4:$CC$300,$AJ104,0)))))</f>
        <v/>
      </c>
      <c r="BZ104" s="350" t="str" cm="1">
        <f t="array" ref="BZ104">IF(AX104="","",IF($AJ104="",0,_xlfn.LET(_xlpm.d,IFERROR(--'Sales and count'!$G$2:$CC$2,0),SUMPRODUCT(('Sales and count'!$G$3:$CC$3="Total")*(_xlpm.d&gt;=BZ$6)*(_xlpm.d&lt;=BZ$7),INDEX('Sales and count'!$G$4:$CC$300,$AJ104,0)))))</f>
        <v/>
      </c>
    </row>
    <row r="105" spans="1:78" x14ac:dyDescent="0.25">
      <c r="A105" s="356" t="str">
        <v>HAAZZANPLZ</v>
      </c>
      <c r="B105" s="356" t="str" cm="1">
        <f t="array" ref="B105">IF($A105="","",_xlfn.XLOOKUP($A105,TRIM(Footfall!$B$5:$B$301&amp;""),Footfall!$A$5:$A$301,""))</f>
        <v>Azlan Plaza Jizan</v>
      </c>
      <c r="C105" s="356" t="str" cm="1">
        <f t="array" ref="C105">IF($A105="","",_xlfn.XLOOKUP($A105,TRIM('Sales and count'!$A$4:$A$300&amp;""),'Sales and count'!$C$4:$C$300,"Not set"))</f>
        <v>Sabya</v>
      </c>
      <c r="D105" s="357">
        <f t="shared" ca="1" si="53"/>
        <v>0.29045893719806765</v>
      </c>
      <c r="E105" s="357">
        <f t="shared" ca="1" si="54"/>
        <v>0.20238095238095238</v>
      </c>
      <c r="F105" s="357">
        <f t="shared" ca="1" si="55"/>
        <v>0.10606060606060606</v>
      </c>
      <c r="G105" s="357">
        <f t="shared" ca="1" si="56"/>
        <v>0.22916666666666666</v>
      </c>
      <c r="H105" s="357">
        <f t="shared" ca="1" si="57"/>
        <v>0.17499999999999999</v>
      </c>
      <c r="I105" s="357">
        <f t="shared" ca="1" si="58"/>
        <v>0.25675675675675674</v>
      </c>
      <c r="J105" s="357">
        <f t="shared" ca="1" si="59"/>
        <v>0.23333333333333334</v>
      </c>
      <c r="K105" s="357" t="str">
        <f t="shared" si="60"/>
        <v/>
      </c>
      <c r="L105" s="357" t="str">
        <f t="shared" si="61"/>
        <v/>
      </c>
      <c r="M105" s="357" t="str">
        <f t="shared" si="62"/>
        <v/>
      </c>
      <c r="N105" s="357" t="str">
        <f t="shared" si="63"/>
        <v/>
      </c>
      <c r="O105" s="357" t="str">
        <f t="shared" si="64"/>
        <v/>
      </c>
      <c r="P105" s="357" t="str">
        <f t="shared" si="65"/>
        <v/>
      </c>
      <c r="Q105" s="357" t="str">
        <f t="shared" si="66"/>
        <v/>
      </c>
      <c r="R105" s="358" cm="1">
        <f t="array" aca="1" ref="R105" ca="1">IF(OR($A105="",D105=""),"",IFERROR(LOOKUP(2,1/(E105:Q105&lt;&gt;""),E105:Q105)-D105,""))</f>
        <v>-5.7125603864734309E-2</v>
      </c>
      <c r="S105" s="349"/>
      <c r="T105" s="362">
        <f t="shared" ca="1" si="67"/>
        <v>150.92216216216215</v>
      </c>
      <c r="U105" s="362">
        <f t="shared" ca="1" si="68"/>
        <v>138.12058823529412</v>
      </c>
      <c r="V105" s="362">
        <f t="shared" ca="1" si="69"/>
        <v>142.43</v>
      </c>
      <c r="W105" s="362">
        <f t="shared" ca="1" si="70"/>
        <v>103.9559090909091</v>
      </c>
      <c r="X105" s="362">
        <f t="shared" ca="1" si="71"/>
        <v>156.56428571428572</v>
      </c>
      <c r="Y105" s="362">
        <f t="shared" ca="1" si="72"/>
        <v>150.04473684210527</v>
      </c>
      <c r="Z105" s="362">
        <f t="shared" ca="1" si="73"/>
        <v>144.61047619047619</v>
      </c>
      <c r="AA105" s="362">
        <f t="shared" ca="1" si="74"/>
        <v>152.06923076923078</v>
      </c>
      <c r="AB105" s="362">
        <f t="shared" ca="1" si="75"/>
        <v>195.10454545454547</v>
      </c>
      <c r="AC105" s="362" t="str">
        <f t="shared" si="76"/>
        <v/>
      </c>
      <c r="AD105" s="362" t="str">
        <f t="shared" si="77"/>
        <v/>
      </c>
      <c r="AE105" s="362" t="str">
        <f t="shared" si="78"/>
        <v/>
      </c>
      <c r="AF105" s="362" t="str">
        <f t="shared" si="79"/>
        <v/>
      </c>
      <c r="AG105" s="362" t="str">
        <f t="shared" si="80"/>
        <v/>
      </c>
      <c r="AH105" s="363" cm="1">
        <f t="array" aca="1" ref="AH105" ca="1">IF(OR($A105="",T105=""),"",IFERROR(LOOKUP(2,1/(U105:AG105&lt;&gt;""),U105:AG105)-T105,""))</f>
        <v>44.182383292383321</v>
      </c>
      <c r="AI105" s="349"/>
      <c r="AJ105" s="349" cm="1">
        <f t="array" ref="AJ105">IF($A105="","",IFERROR(MATCH($A105,TRIM('Sales and count'!$A$4:$A$300&amp;""),0),""))</f>
        <v>94</v>
      </c>
      <c r="AK105" s="350" cm="1">
        <f t="array" ref="AK105">IF(OR($A105="",AK$6=""),"",IFERROR(INDEX(Footfall!$C$5:$BZ$301,MATCH($A105,TRIM(Footfall!$B$5:$B$301&amp;""),0),AK$5),0))</f>
        <v>1656</v>
      </c>
      <c r="AL105" s="350" cm="1">
        <f t="array" ref="AL105">IF(OR($A105="",AL$6=""),"",IFERROR(INDEX(Footfall!$C$5:$BZ$301,MATCH($A105,TRIM(Footfall!$B$5:$B$301&amp;""),0),AL$5),0))</f>
        <v>84</v>
      </c>
      <c r="AM105" s="350" cm="1">
        <f t="array" ref="AM105">IF(OR($A105="",AM$6=""),"",IFERROR(INDEX(Footfall!$C$5:$BZ$301,MATCH($A105,TRIM(Footfall!$B$5:$B$301&amp;""),0),AM$5),0))</f>
        <v>132</v>
      </c>
      <c r="AN105" s="350" cm="1">
        <f t="array" ref="AN105">IF(OR($A105="",AN$6=""),"",IFERROR(INDEX(Footfall!$C$5:$BZ$301,MATCH($A105,TRIM(Footfall!$B$5:$B$301&amp;""),0),AN$5),0))</f>
        <v>96</v>
      </c>
      <c r="AO105" s="350" cm="1">
        <f t="array" ref="AO105">IF(OR($A105="",AO$6=""),"",IFERROR(INDEX(Footfall!$C$5:$BZ$301,MATCH($A105,TRIM(Footfall!$B$5:$B$301&amp;""),0),AO$5),0))</f>
        <v>80</v>
      </c>
      <c r="AP105" s="350" cm="1">
        <f t="array" ref="AP105">IF(OR($A105="",AP$6=""),"",IFERROR(INDEX(Footfall!$C$5:$BZ$301,MATCH($A105,TRIM(Footfall!$B$5:$B$301&amp;""),0),AP$5),0))</f>
        <v>74</v>
      </c>
      <c r="AQ105" s="350" cm="1">
        <f t="array" ref="AQ105">IF(OR($A105="",AQ$6=""),"",IFERROR(INDEX(Footfall!$C$5:$BZ$301,MATCH($A105,TRIM(Footfall!$B$5:$B$301&amp;""),0),AQ$5),0))</f>
        <v>90</v>
      </c>
      <c r="AR105" s="350" cm="1">
        <f t="array" ref="AR105">IF(OR($A105="",AR$6=""),"",IFERROR(INDEX(Footfall!$C$5:$BZ$301,MATCH($A105,TRIM(Footfall!$B$5:$B$301&amp;""),0),AR$5),0))</f>
        <v>0</v>
      </c>
      <c r="AS105" s="350" cm="1">
        <f t="array" ref="AS105">IF(OR($A105="",AS$6=""),"",IFERROR(INDEX(Footfall!$C$5:$BZ$301,MATCH($A105,TRIM(Footfall!$B$5:$B$301&amp;""),0),AS$5),0))</f>
        <v>0</v>
      </c>
      <c r="AT105" s="350" t="str" cm="1">
        <f t="array" ref="AT105">IF(OR($A105="",AT$6=""),"",IFERROR(INDEX(Footfall!$C$5:$BZ$301,MATCH($A105,TRIM(Footfall!$B$5:$B$301&amp;""),0),AT$5),0))</f>
        <v/>
      </c>
      <c r="AU105" s="350" t="str" cm="1">
        <f t="array" ref="AU105">IF(OR($A105="",AU$6=""),"",IFERROR(INDEX(Footfall!$C$5:$BZ$301,MATCH($A105,TRIM(Footfall!$B$5:$B$301&amp;""),0),AU$5),0))</f>
        <v/>
      </c>
      <c r="AV105" s="350" t="str" cm="1">
        <f t="array" ref="AV105">IF(OR($A105="",AV$6=""),"",IFERROR(INDEX(Footfall!$C$5:$BZ$301,MATCH($A105,TRIM(Footfall!$B$5:$B$301&amp;""),0),AV$5),0))</f>
        <v/>
      </c>
      <c r="AW105" s="350" t="str" cm="1">
        <f t="array" ref="AW105">IF(OR($A105="",AW$6=""),"",IFERROR(INDEX(Footfall!$C$5:$BZ$301,MATCH($A105,TRIM(Footfall!$B$5:$B$301&amp;""),0),AW$5),0))</f>
        <v/>
      </c>
      <c r="AX105" s="350" t="str" cm="1">
        <f t="array" ref="AX105">IF(OR($A105="",AX$6=""),"",IFERROR(INDEX(Footfall!$C$5:$BZ$301,MATCH($A105,TRIM(Footfall!$B$5:$B$301&amp;""),0),AX$5),0))</f>
        <v/>
      </c>
      <c r="AY105" s="350" cm="1">
        <f t="array" aca="1" ref="AY105" ca="1">IF(AK105="","",IF($AJ105="",0,_xlfn.LET(_xlpm.d,IFERROR(--'Sales and count'!$F$2:$CB$2,0),SUMPRODUCT(('Sales and count'!$G$3:$CC$3="Transactions")*(_xlpm.d&gt;=AY$6)*(_xlpm.d&lt;=AY$7),INDEX('Sales and count'!$G$4:$CC$300,$AJ105,0)))))</f>
        <v>481</v>
      </c>
      <c r="AZ105" s="350" cm="1">
        <f t="array" aca="1" ref="AZ105" ca="1">IF(AL105="","",IF($AJ105="",0,_xlfn.LET(_xlpm.d,IFERROR(--'Sales and count'!$F$2:$CB$2,0),SUMPRODUCT(('Sales and count'!$G$3:$CC$3="Transactions")*(_xlpm.d&gt;=AZ$6)*(_xlpm.d&lt;=AZ$7),INDEX('Sales and count'!$G$4:$CC$300,$AJ105,0)))))</f>
        <v>17</v>
      </c>
      <c r="BA105" s="350" cm="1">
        <f t="array" aca="1" ref="BA105" ca="1">IF(AM105="","",IF($AJ105="",0,_xlfn.LET(_xlpm.d,IFERROR(--'Sales and count'!$F$2:$CB$2,0),SUMPRODUCT(('Sales and count'!$G$3:$CC$3="Transactions")*(_xlpm.d&gt;=BA$6)*(_xlpm.d&lt;=BA$7),INDEX('Sales and count'!$G$4:$CC$300,$AJ105,0)))))</f>
        <v>14</v>
      </c>
      <c r="BB105" s="350" cm="1">
        <f t="array" aca="1" ref="BB105" ca="1">IF(AN105="","",IF($AJ105="",0,_xlfn.LET(_xlpm.d,IFERROR(--'Sales and count'!$F$2:$CB$2,0),SUMPRODUCT(('Sales and count'!$G$3:$CC$3="Transactions")*(_xlpm.d&gt;=BB$6)*(_xlpm.d&lt;=BB$7),INDEX('Sales and count'!$G$4:$CC$300,$AJ105,0)))))</f>
        <v>22</v>
      </c>
      <c r="BC105" s="350" cm="1">
        <f t="array" aca="1" ref="BC105" ca="1">IF(AO105="","",IF($AJ105="",0,_xlfn.LET(_xlpm.d,IFERROR(--'Sales and count'!$F$2:$CB$2,0),SUMPRODUCT(('Sales and count'!$G$3:$CC$3="Transactions")*(_xlpm.d&gt;=BC$6)*(_xlpm.d&lt;=BC$7),INDEX('Sales and count'!$G$4:$CC$300,$AJ105,0)))))</f>
        <v>14</v>
      </c>
      <c r="BD105" s="350" cm="1">
        <f t="array" aca="1" ref="BD105" ca="1">IF(AP105="","",IF($AJ105="",0,_xlfn.LET(_xlpm.d,IFERROR(--'Sales and count'!$F$2:$CB$2,0),SUMPRODUCT(('Sales and count'!$G$3:$CC$3="Transactions")*(_xlpm.d&gt;=BD$6)*(_xlpm.d&lt;=BD$7),INDEX('Sales and count'!$G$4:$CC$300,$AJ105,0)))))</f>
        <v>19</v>
      </c>
      <c r="BE105" s="350" cm="1">
        <f t="array" aca="1" ref="BE105" ca="1">IF(AQ105="","",IF($AJ105="",0,_xlfn.LET(_xlpm.d,IFERROR(--'Sales and count'!$F$2:$CB$2,0),SUMPRODUCT(('Sales and count'!$G$3:$CC$3="Transactions")*(_xlpm.d&gt;=BE$6)*(_xlpm.d&lt;=BE$7),INDEX('Sales and count'!$G$4:$CC$300,$AJ105,0)))))</f>
        <v>21</v>
      </c>
      <c r="BF105" s="350" cm="1">
        <f t="array" aca="1" ref="BF105" ca="1">IF(AR105="","",IF($AJ105="",0,_xlfn.LET(_xlpm.d,IFERROR(--'Sales and count'!$F$2:$CB$2,0),SUMPRODUCT(('Sales and count'!$G$3:$CC$3="Transactions")*(_xlpm.d&gt;=BF$6)*(_xlpm.d&lt;=BF$7),INDEX('Sales and count'!$G$4:$CC$300,$AJ105,0)))))</f>
        <v>13</v>
      </c>
      <c r="BG105" s="350" cm="1">
        <f t="array" aca="1" ref="BG105" ca="1">IF(AS105="","",IF($AJ105="",0,_xlfn.LET(_xlpm.d,IFERROR(--'Sales and count'!$F$2:$CB$2,0),SUMPRODUCT(('Sales and count'!$G$3:$CC$3="Transactions")*(_xlpm.d&gt;=BG$6)*(_xlpm.d&lt;=BG$7),INDEX('Sales and count'!$G$4:$CC$300,$AJ105,0)))))</f>
        <v>11</v>
      </c>
      <c r="BH105" s="350" t="str" cm="1">
        <f t="array" ref="BH105">IF(AT105="","",IF($AJ105="",0,_xlfn.LET(_xlpm.d,IFERROR(--'Sales and count'!$F$2:$CB$2,0),SUMPRODUCT(('Sales and count'!$G$3:$CC$3="Transactions")*(_xlpm.d&gt;=BH$6)*(_xlpm.d&lt;=BH$7),INDEX('Sales and count'!$G$4:$CC$300,$AJ105,0)))))</f>
        <v/>
      </c>
      <c r="BI105" s="350" t="str" cm="1">
        <f t="array" ref="BI105">IF(AU105="","",IF($AJ105="",0,_xlfn.LET(_xlpm.d,IFERROR(--'Sales and count'!$F$2:$CB$2,0),SUMPRODUCT(('Sales and count'!$G$3:$CC$3="Transactions")*(_xlpm.d&gt;=BI$6)*(_xlpm.d&lt;=BI$7),INDEX('Sales and count'!$G$4:$CC$300,$AJ105,0)))))</f>
        <v/>
      </c>
      <c r="BJ105" s="350" t="str" cm="1">
        <f t="array" ref="BJ105">IF(AV105="","",IF($AJ105="",0,_xlfn.LET(_xlpm.d,IFERROR(--'Sales and count'!$F$2:$CB$2,0),SUMPRODUCT(('Sales and count'!$G$3:$CC$3="Transactions")*(_xlpm.d&gt;=BJ$6)*(_xlpm.d&lt;=BJ$7),INDEX('Sales and count'!$G$4:$CC$300,$AJ105,0)))))</f>
        <v/>
      </c>
      <c r="BK105" s="350" t="str" cm="1">
        <f t="array" ref="BK105">IF(AW105="","",IF($AJ105="",0,_xlfn.LET(_xlpm.d,IFERROR(--'Sales and count'!$F$2:$CB$2,0),SUMPRODUCT(('Sales and count'!$G$3:$CC$3="Transactions")*(_xlpm.d&gt;=BK$6)*(_xlpm.d&lt;=BK$7),INDEX('Sales and count'!$G$4:$CC$300,$AJ105,0)))))</f>
        <v/>
      </c>
      <c r="BL105" s="350" t="str" cm="1">
        <f t="array" ref="BL105">IF(AX105="","",IF($AJ105="",0,_xlfn.LET(_xlpm.d,IFERROR(--'Sales and count'!$F$2:$CB$2,0),SUMPRODUCT(('Sales and count'!$G$3:$CC$3="Transactions")*(_xlpm.d&gt;=BL$6)*(_xlpm.d&lt;=BL$7),INDEX('Sales and count'!$G$4:$CC$300,$AJ105,0)))))</f>
        <v/>
      </c>
      <c r="BM105" s="350" cm="1">
        <f t="array" ref="BM105">IF(AK105="","",IF($AJ105="",0,_xlfn.LET(_xlpm.d,IFERROR(--'Sales and count'!$G$2:$CC$2,0),SUMPRODUCT(('Sales and count'!$G$3:$CC$3="Total")*(_xlpm.d&gt;=BM$6)*(_xlpm.d&lt;=BM$7),INDEX('Sales and count'!$G$4:$CC$300,$AJ105,0)))))</f>
        <v>72593.56</v>
      </c>
      <c r="BN105" s="350" cm="1">
        <f t="array" ref="BN105">IF(AL105="","",IF($AJ105="",0,_xlfn.LET(_xlpm.d,IFERROR(--'Sales and count'!$G$2:$CC$2,0),SUMPRODUCT(('Sales and count'!$G$3:$CC$3="Total")*(_xlpm.d&gt;=BN$6)*(_xlpm.d&lt;=BN$7),INDEX('Sales and count'!$G$4:$CC$300,$AJ105,0)))))</f>
        <v>2348.0500000000002</v>
      </c>
      <c r="BO105" s="350" cm="1">
        <f t="array" ref="BO105">IF(AM105="","",IF($AJ105="",0,_xlfn.LET(_xlpm.d,IFERROR(--'Sales and count'!$G$2:$CC$2,0),SUMPRODUCT(('Sales and count'!$G$3:$CC$3="Total")*(_xlpm.d&gt;=BO$6)*(_xlpm.d&lt;=BO$7),INDEX('Sales and count'!$G$4:$CC$300,$AJ105,0)))))</f>
        <v>1994.02</v>
      </c>
      <c r="BP105" s="350" cm="1">
        <f t="array" ref="BP105">IF(AN105="","",IF($AJ105="",0,_xlfn.LET(_xlpm.d,IFERROR(--'Sales and count'!$G$2:$CC$2,0),SUMPRODUCT(('Sales and count'!$G$3:$CC$3="Total")*(_xlpm.d&gt;=BP$6)*(_xlpm.d&lt;=BP$7),INDEX('Sales and count'!$G$4:$CC$300,$AJ105,0)))))</f>
        <v>2287.0300000000002</v>
      </c>
      <c r="BQ105" s="350" cm="1">
        <f t="array" ref="BQ105">IF(AO105="","",IF($AJ105="",0,_xlfn.LET(_xlpm.d,IFERROR(--'Sales and count'!$G$2:$CC$2,0),SUMPRODUCT(('Sales and count'!$G$3:$CC$3="Total")*(_xlpm.d&gt;=BQ$6)*(_xlpm.d&lt;=BQ$7),INDEX('Sales and count'!$G$4:$CC$300,$AJ105,0)))))</f>
        <v>2191.9</v>
      </c>
      <c r="BR105" s="350" cm="1">
        <f t="array" ref="BR105">IF(AP105="","",IF($AJ105="",0,_xlfn.LET(_xlpm.d,IFERROR(--'Sales and count'!$G$2:$CC$2,0),SUMPRODUCT(('Sales and count'!$G$3:$CC$3="Total")*(_xlpm.d&gt;=BR$6)*(_xlpm.d&lt;=BR$7),INDEX('Sales and count'!$G$4:$CC$300,$AJ105,0)))))</f>
        <v>2850.85</v>
      </c>
      <c r="BS105" s="350" cm="1">
        <f t="array" ref="BS105">IF(AQ105="","",IF($AJ105="",0,_xlfn.LET(_xlpm.d,IFERROR(--'Sales and count'!$G$2:$CC$2,0),SUMPRODUCT(('Sales and count'!$G$3:$CC$3="Total")*(_xlpm.d&gt;=BS$6)*(_xlpm.d&lt;=BS$7),INDEX('Sales and count'!$G$4:$CC$300,$AJ105,0)))))</f>
        <v>3036.82</v>
      </c>
      <c r="BT105" s="350" cm="1">
        <f t="array" ref="BT105">IF(AR105="","",IF($AJ105="",0,_xlfn.LET(_xlpm.d,IFERROR(--'Sales and count'!$G$2:$CC$2,0),SUMPRODUCT(('Sales and count'!$G$3:$CC$3="Total")*(_xlpm.d&gt;=BT$6)*(_xlpm.d&lt;=BT$7),INDEX('Sales and count'!$G$4:$CC$300,$AJ105,0)))))</f>
        <v>1976.9</v>
      </c>
      <c r="BU105" s="350" cm="1">
        <f t="array" ref="BU105">IF(AS105="","",IF($AJ105="",0,_xlfn.LET(_xlpm.d,IFERROR(--'Sales and count'!$G$2:$CC$2,0),SUMPRODUCT(('Sales and count'!$G$3:$CC$3="Total")*(_xlpm.d&gt;=BU$6)*(_xlpm.d&lt;=BU$7),INDEX('Sales and count'!$G$4:$CC$300,$AJ105,0)))))</f>
        <v>2146.15</v>
      </c>
      <c r="BV105" s="350" t="str" cm="1">
        <f t="array" ref="BV105">IF(AT105="","",IF($AJ105="",0,_xlfn.LET(_xlpm.d,IFERROR(--'Sales and count'!$G$2:$CC$2,0),SUMPRODUCT(('Sales and count'!$G$3:$CC$3="Total")*(_xlpm.d&gt;=BV$6)*(_xlpm.d&lt;=BV$7),INDEX('Sales and count'!$G$4:$CC$300,$AJ105,0)))))</f>
        <v/>
      </c>
      <c r="BW105" s="350" t="str" cm="1">
        <f t="array" ref="BW105">IF(AU105="","",IF($AJ105="",0,_xlfn.LET(_xlpm.d,IFERROR(--'Sales and count'!$G$2:$CC$2,0),SUMPRODUCT(('Sales and count'!$G$3:$CC$3="Total")*(_xlpm.d&gt;=BW$6)*(_xlpm.d&lt;=BW$7),INDEX('Sales and count'!$G$4:$CC$300,$AJ105,0)))))</f>
        <v/>
      </c>
      <c r="BX105" s="350" t="str" cm="1">
        <f t="array" ref="BX105">IF(AV105="","",IF($AJ105="",0,_xlfn.LET(_xlpm.d,IFERROR(--'Sales and count'!$G$2:$CC$2,0),SUMPRODUCT(('Sales and count'!$G$3:$CC$3="Total")*(_xlpm.d&gt;=BX$6)*(_xlpm.d&lt;=BX$7),INDEX('Sales and count'!$G$4:$CC$300,$AJ105,0)))))</f>
        <v/>
      </c>
      <c r="BY105" s="350" t="str" cm="1">
        <f t="array" ref="BY105">IF(AW105="","",IF($AJ105="",0,_xlfn.LET(_xlpm.d,IFERROR(--'Sales and count'!$G$2:$CC$2,0),SUMPRODUCT(('Sales and count'!$G$3:$CC$3="Total")*(_xlpm.d&gt;=BY$6)*(_xlpm.d&lt;=BY$7),INDEX('Sales and count'!$G$4:$CC$300,$AJ105,0)))))</f>
        <v/>
      </c>
      <c r="BZ105" s="350" t="str" cm="1">
        <f t="array" ref="BZ105">IF(AX105="","",IF($AJ105="",0,_xlfn.LET(_xlpm.d,IFERROR(--'Sales and count'!$G$2:$CC$2,0),SUMPRODUCT(('Sales and count'!$G$3:$CC$3="Total")*(_xlpm.d&gt;=BZ$6)*(_xlpm.d&lt;=BZ$7),INDEX('Sales and count'!$G$4:$CC$300,$AJ105,0)))))</f>
        <v/>
      </c>
    </row>
    <row r="106" spans="1:78" x14ac:dyDescent="0.25">
      <c r="A106" s="356" t="str">
        <v>HALELEMALL</v>
      </c>
      <c r="B106" s="356" t="str" cm="1">
        <f t="array" ref="B106">IF($A106="","",_xlfn.XLOOKUP($A106,TRIM(Footfall!$B$5:$B$301&amp;""),Footfall!$A$5:$A$301,""))</f>
        <v>Jizan lili Samanth</v>
      </c>
      <c r="C106" s="356" t="str" cm="1">
        <f t="array" ref="C106">IF($A106="","",_xlfn.XLOOKUP($A106,TRIM('Sales and count'!$A$4:$A$300&amp;""),'Sales and count'!$C$4:$C$300,"Not set"))</f>
        <v>Samtah</v>
      </c>
      <c r="D106" s="357">
        <f t="shared" ca="1" si="53"/>
        <v>0.17322175732217573</v>
      </c>
      <c r="E106" s="357">
        <f t="shared" ca="1" si="54"/>
        <v>0.10169491525423729</v>
      </c>
      <c r="F106" s="357">
        <f t="shared" ca="1" si="55"/>
        <v>0.13186813186813187</v>
      </c>
      <c r="G106" s="357">
        <f t="shared" ca="1" si="56"/>
        <v>0.12162162162162163</v>
      </c>
      <c r="H106" s="357">
        <f t="shared" ca="1" si="57"/>
        <v>0.26829268292682928</v>
      </c>
      <c r="I106" s="357" t="str">
        <f t="shared" si="58"/>
        <v/>
      </c>
      <c r="J106" s="357" t="str">
        <f t="shared" si="59"/>
        <v/>
      </c>
      <c r="K106" s="357">
        <f t="shared" ca="1" si="60"/>
        <v>0.15294117647058825</v>
      </c>
      <c r="L106" s="357">
        <f t="shared" ca="1" si="61"/>
        <v>0.13513513513513514</v>
      </c>
      <c r="M106" s="357" t="str">
        <f t="shared" si="62"/>
        <v/>
      </c>
      <c r="N106" s="357" t="str">
        <f t="shared" si="63"/>
        <v/>
      </c>
      <c r="O106" s="357" t="str">
        <f t="shared" si="64"/>
        <v/>
      </c>
      <c r="P106" s="357" t="str">
        <f t="shared" si="65"/>
        <v/>
      </c>
      <c r="Q106" s="357" t="str">
        <f t="shared" si="66"/>
        <v/>
      </c>
      <c r="R106" s="358" cm="1">
        <f t="array" aca="1" ref="R106" ca="1">IF(OR($A106="",D106=""),"",IFERROR(LOOKUP(2,1/(E106:Q106&lt;&gt;""),E106:Q106)-D106,""))</f>
        <v>-3.8086622187040592E-2</v>
      </c>
      <c r="S106" s="349"/>
      <c r="T106" s="362">
        <f t="shared" ca="1" si="67"/>
        <v>182.96809178743965</v>
      </c>
      <c r="U106" s="362">
        <f t="shared" ca="1" si="68"/>
        <v>164.33583333333334</v>
      </c>
      <c r="V106" s="362">
        <f t="shared" ca="1" si="69"/>
        <v>154.08416666666668</v>
      </c>
      <c r="W106" s="362">
        <f t="shared" ca="1" si="70"/>
        <v>199.89</v>
      </c>
      <c r="X106" s="362">
        <f t="shared" ca="1" si="71"/>
        <v>174.9881818181818</v>
      </c>
      <c r="Y106" s="362">
        <f t="shared" ca="1" si="72"/>
        <v>231.76222222222225</v>
      </c>
      <c r="Z106" s="362">
        <f t="shared" ca="1" si="73"/>
        <v>185.36625000000001</v>
      </c>
      <c r="AA106" s="362">
        <f t="shared" ca="1" si="74"/>
        <v>194.84076923076921</v>
      </c>
      <c r="AB106" s="362">
        <f t="shared" ca="1" si="75"/>
        <v>207.71599999999998</v>
      </c>
      <c r="AC106" s="362" t="str">
        <f t="shared" si="76"/>
        <v/>
      </c>
      <c r="AD106" s="362" t="str">
        <f t="shared" si="77"/>
        <v/>
      </c>
      <c r="AE106" s="362" t="str">
        <f t="shared" si="78"/>
        <v/>
      </c>
      <c r="AF106" s="362" t="str">
        <f t="shared" si="79"/>
        <v/>
      </c>
      <c r="AG106" s="362" t="str">
        <f t="shared" si="80"/>
        <v/>
      </c>
      <c r="AH106" s="363" cm="1">
        <f t="array" aca="1" ref="AH106" ca="1">IF(OR($A106="",T106=""),"",IFERROR(LOOKUP(2,1/(U106:AG106&lt;&gt;""),U106:AG106)-T106,""))</f>
        <v>24.747908212560333</v>
      </c>
      <c r="AI106" s="349"/>
      <c r="AJ106" s="349" cm="1">
        <f t="array" ref="AJ106">IF($A106="","",IFERROR(MATCH($A106,TRIM('Sales and count'!$A$4:$A$300&amp;""),0),""))</f>
        <v>97</v>
      </c>
      <c r="AK106" s="350" cm="1">
        <f t="array" ref="AK106">IF(OR($A106="",AK$6=""),"",IFERROR(INDEX(Footfall!$C$5:$BZ$301,MATCH($A106,TRIM(Footfall!$B$5:$B$301&amp;""),0),AK$5),0))</f>
        <v>2390</v>
      </c>
      <c r="AL106" s="350" cm="1">
        <f t="array" ref="AL106">IF(OR($A106="",AL$6=""),"",IFERROR(INDEX(Footfall!$C$5:$BZ$301,MATCH($A106,TRIM(Footfall!$B$5:$B$301&amp;""),0),AL$5),0))</f>
        <v>118</v>
      </c>
      <c r="AM106" s="350" cm="1">
        <f t="array" ref="AM106">IF(OR($A106="",AM$6=""),"",IFERROR(INDEX(Footfall!$C$5:$BZ$301,MATCH($A106,TRIM(Footfall!$B$5:$B$301&amp;""),0),AM$5),0))</f>
        <v>91</v>
      </c>
      <c r="AN106" s="350" cm="1">
        <f t="array" ref="AN106">IF(OR($A106="",AN$6=""),"",IFERROR(INDEX(Footfall!$C$5:$BZ$301,MATCH($A106,TRIM(Footfall!$B$5:$B$301&amp;""),0),AN$5),0))</f>
        <v>74</v>
      </c>
      <c r="AO106" s="350" cm="1">
        <f t="array" ref="AO106">IF(OR($A106="",AO$6=""),"",IFERROR(INDEX(Footfall!$C$5:$BZ$301,MATCH($A106,TRIM(Footfall!$B$5:$B$301&amp;""),0),AO$5),0))</f>
        <v>41</v>
      </c>
      <c r="AP106" s="350" cm="1">
        <f t="array" ref="AP106">IF(OR($A106="",AP$6=""),"",IFERROR(INDEX(Footfall!$C$5:$BZ$301,MATCH($A106,TRIM(Footfall!$B$5:$B$301&amp;""),0),AP$5),0))</f>
        <v>0</v>
      </c>
      <c r="AQ106" s="350" cm="1">
        <f t="array" ref="AQ106">IF(OR($A106="",AQ$6=""),"",IFERROR(INDEX(Footfall!$C$5:$BZ$301,MATCH($A106,TRIM(Footfall!$B$5:$B$301&amp;""),0),AQ$5),0))</f>
        <v>0</v>
      </c>
      <c r="AR106" s="350" cm="1">
        <f t="array" ref="AR106">IF(OR($A106="",AR$6=""),"",IFERROR(INDEX(Footfall!$C$5:$BZ$301,MATCH($A106,TRIM(Footfall!$B$5:$B$301&amp;""),0),AR$5),0))</f>
        <v>85</v>
      </c>
      <c r="AS106" s="350" cm="1">
        <f t="array" ref="AS106">IF(OR($A106="",AS$6=""),"",IFERROR(INDEX(Footfall!$C$5:$BZ$301,MATCH($A106,TRIM(Footfall!$B$5:$B$301&amp;""),0),AS$5),0))</f>
        <v>74</v>
      </c>
      <c r="AT106" s="350" t="str" cm="1">
        <f t="array" ref="AT106">IF(OR($A106="",AT$6=""),"",IFERROR(INDEX(Footfall!$C$5:$BZ$301,MATCH($A106,TRIM(Footfall!$B$5:$B$301&amp;""),0),AT$5),0))</f>
        <v/>
      </c>
      <c r="AU106" s="350" t="str" cm="1">
        <f t="array" ref="AU106">IF(OR($A106="",AU$6=""),"",IFERROR(INDEX(Footfall!$C$5:$BZ$301,MATCH($A106,TRIM(Footfall!$B$5:$B$301&amp;""),0),AU$5),0))</f>
        <v/>
      </c>
      <c r="AV106" s="350" t="str" cm="1">
        <f t="array" ref="AV106">IF(OR($A106="",AV$6=""),"",IFERROR(INDEX(Footfall!$C$5:$BZ$301,MATCH($A106,TRIM(Footfall!$B$5:$B$301&amp;""),0),AV$5),0))</f>
        <v/>
      </c>
      <c r="AW106" s="350" t="str" cm="1">
        <f t="array" ref="AW106">IF(OR($A106="",AW$6=""),"",IFERROR(INDEX(Footfall!$C$5:$BZ$301,MATCH($A106,TRIM(Footfall!$B$5:$B$301&amp;""),0),AW$5),0))</f>
        <v/>
      </c>
      <c r="AX106" s="350" t="str" cm="1">
        <f t="array" ref="AX106">IF(OR($A106="",AX$6=""),"",IFERROR(INDEX(Footfall!$C$5:$BZ$301,MATCH($A106,TRIM(Footfall!$B$5:$B$301&amp;""),0),AX$5),0))</f>
        <v/>
      </c>
      <c r="AY106" s="350" cm="1">
        <f t="array" aca="1" ref="AY106" ca="1">IF(AK106="","",IF($AJ106="",0,_xlfn.LET(_xlpm.d,IFERROR(--'Sales and count'!$F$2:$CB$2,0),SUMPRODUCT(('Sales and count'!$G$3:$CC$3="Transactions")*(_xlpm.d&gt;=AY$6)*(_xlpm.d&lt;=AY$7),INDEX('Sales and count'!$G$4:$CC$300,$AJ106,0)))))</f>
        <v>414</v>
      </c>
      <c r="AZ106" s="350" cm="1">
        <f t="array" aca="1" ref="AZ106" ca="1">IF(AL106="","",IF($AJ106="",0,_xlfn.LET(_xlpm.d,IFERROR(--'Sales and count'!$F$2:$CB$2,0),SUMPRODUCT(('Sales and count'!$G$3:$CC$3="Transactions")*(_xlpm.d&gt;=AZ$6)*(_xlpm.d&lt;=AZ$7),INDEX('Sales and count'!$G$4:$CC$300,$AJ106,0)))))</f>
        <v>12</v>
      </c>
      <c r="BA106" s="350" cm="1">
        <f t="array" aca="1" ref="BA106" ca="1">IF(AM106="","",IF($AJ106="",0,_xlfn.LET(_xlpm.d,IFERROR(--'Sales and count'!$F$2:$CB$2,0),SUMPRODUCT(('Sales and count'!$G$3:$CC$3="Transactions")*(_xlpm.d&gt;=BA$6)*(_xlpm.d&lt;=BA$7),INDEX('Sales and count'!$G$4:$CC$300,$AJ106,0)))))</f>
        <v>12</v>
      </c>
      <c r="BB106" s="350" cm="1">
        <f t="array" aca="1" ref="BB106" ca="1">IF(AN106="","",IF($AJ106="",0,_xlfn.LET(_xlpm.d,IFERROR(--'Sales and count'!$F$2:$CB$2,0),SUMPRODUCT(('Sales and count'!$G$3:$CC$3="Transactions")*(_xlpm.d&gt;=BB$6)*(_xlpm.d&lt;=BB$7),INDEX('Sales and count'!$G$4:$CC$300,$AJ106,0)))))</f>
        <v>9</v>
      </c>
      <c r="BC106" s="350" cm="1">
        <f t="array" aca="1" ref="BC106" ca="1">IF(AO106="","",IF($AJ106="",0,_xlfn.LET(_xlpm.d,IFERROR(--'Sales and count'!$F$2:$CB$2,0),SUMPRODUCT(('Sales and count'!$G$3:$CC$3="Transactions")*(_xlpm.d&gt;=BC$6)*(_xlpm.d&lt;=BC$7),INDEX('Sales and count'!$G$4:$CC$300,$AJ106,0)))))</f>
        <v>11</v>
      </c>
      <c r="BD106" s="350" cm="1">
        <f t="array" aca="1" ref="BD106" ca="1">IF(AP106="","",IF($AJ106="",0,_xlfn.LET(_xlpm.d,IFERROR(--'Sales and count'!$F$2:$CB$2,0),SUMPRODUCT(('Sales and count'!$G$3:$CC$3="Transactions")*(_xlpm.d&gt;=BD$6)*(_xlpm.d&lt;=BD$7),INDEX('Sales and count'!$G$4:$CC$300,$AJ106,0)))))</f>
        <v>9</v>
      </c>
      <c r="BE106" s="350" cm="1">
        <f t="array" aca="1" ref="BE106" ca="1">IF(AQ106="","",IF($AJ106="",0,_xlfn.LET(_xlpm.d,IFERROR(--'Sales and count'!$F$2:$CB$2,0),SUMPRODUCT(('Sales and count'!$G$3:$CC$3="Transactions")*(_xlpm.d&gt;=BE$6)*(_xlpm.d&lt;=BE$7),INDEX('Sales and count'!$G$4:$CC$300,$AJ106,0)))))</f>
        <v>8</v>
      </c>
      <c r="BF106" s="350" cm="1">
        <f t="array" aca="1" ref="BF106" ca="1">IF(AR106="","",IF($AJ106="",0,_xlfn.LET(_xlpm.d,IFERROR(--'Sales and count'!$F$2:$CB$2,0),SUMPRODUCT(('Sales and count'!$G$3:$CC$3="Transactions")*(_xlpm.d&gt;=BF$6)*(_xlpm.d&lt;=BF$7),INDEX('Sales and count'!$G$4:$CC$300,$AJ106,0)))))</f>
        <v>13</v>
      </c>
      <c r="BG106" s="350" cm="1">
        <f t="array" aca="1" ref="BG106" ca="1">IF(AS106="","",IF($AJ106="",0,_xlfn.LET(_xlpm.d,IFERROR(--'Sales and count'!$F$2:$CB$2,0),SUMPRODUCT(('Sales and count'!$G$3:$CC$3="Transactions")*(_xlpm.d&gt;=BG$6)*(_xlpm.d&lt;=BG$7),INDEX('Sales and count'!$G$4:$CC$300,$AJ106,0)))))</f>
        <v>10</v>
      </c>
      <c r="BH106" s="350" t="str" cm="1">
        <f t="array" ref="BH106">IF(AT106="","",IF($AJ106="",0,_xlfn.LET(_xlpm.d,IFERROR(--'Sales and count'!$F$2:$CB$2,0),SUMPRODUCT(('Sales and count'!$G$3:$CC$3="Transactions")*(_xlpm.d&gt;=BH$6)*(_xlpm.d&lt;=BH$7),INDEX('Sales and count'!$G$4:$CC$300,$AJ106,0)))))</f>
        <v/>
      </c>
      <c r="BI106" s="350" t="str" cm="1">
        <f t="array" ref="BI106">IF(AU106="","",IF($AJ106="",0,_xlfn.LET(_xlpm.d,IFERROR(--'Sales and count'!$F$2:$CB$2,0),SUMPRODUCT(('Sales and count'!$G$3:$CC$3="Transactions")*(_xlpm.d&gt;=BI$6)*(_xlpm.d&lt;=BI$7),INDEX('Sales and count'!$G$4:$CC$300,$AJ106,0)))))</f>
        <v/>
      </c>
      <c r="BJ106" s="350" t="str" cm="1">
        <f t="array" ref="BJ106">IF(AV106="","",IF($AJ106="",0,_xlfn.LET(_xlpm.d,IFERROR(--'Sales and count'!$F$2:$CB$2,0),SUMPRODUCT(('Sales and count'!$G$3:$CC$3="Transactions")*(_xlpm.d&gt;=BJ$6)*(_xlpm.d&lt;=BJ$7),INDEX('Sales and count'!$G$4:$CC$300,$AJ106,0)))))</f>
        <v/>
      </c>
      <c r="BK106" s="350" t="str" cm="1">
        <f t="array" ref="BK106">IF(AW106="","",IF($AJ106="",0,_xlfn.LET(_xlpm.d,IFERROR(--'Sales and count'!$F$2:$CB$2,0),SUMPRODUCT(('Sales and count'!$G$3:$CC$3="Transactions")*(_xlpm.d&gt;=BK$6)*(_xlpm.d&lt;=BK$7),INDEX('Sales and count'!$G$4:$CC$300,$AJ106,0)))))</f>
        <v/>
      </c>
      <c r="BL106" s="350" t="str" cm="1">
        <f t="array" ref="BL106">IF(AX106="","",IF($AJ106="",0,_xlfn.LET(_xlpm.d,IFERROR(--'Sales and count'!$F$2:$CB$2,0),SUMPRODUCT(('Sales and count'!$G$3:$CC$3="Transactions")*(_xlpm.d&gt;=BL$6)*(_xlpm.d&lt;=BL$7),INDEX('Sales and count'!$G$4:$CC$300,$AJ106,0)))))</f>
        <v/>
      </c>
      <c r="BM106" s="350" cm="1">
        <f t="array" ref="BM106">IF(AK106="","",IF($AJ106="",0,_xlfn.LET(_xlpm.d,IFERROR(--'Sales and count'!$G$2:$CC$2,0),SUMPRODUCT(('Sales and count'!$G$3:$CC$3="Total")*(_xlpm.d&gt;=BM$6)*(_xlpm.d&lt;=BM$7),INDEX('Sales and count'!$G$4:$CC$300,$AJ106,0)))))</f>
        <v>75748.790000000008</v>
      </c>
      <c r="BN106" s="350" cm="1">
        <f t="array" ref="BN106">IF(AL106="","",IF($AJ106="",0,_xlfn.LET(_xlpm.d,IFERROR(--'Sales and count'!$G$2:$CC$2,0),SUMPRODUCT(('Sales and count'!$G$3:$CC$3="Total")*(_xlpm.d&gt;=BN$6)*(_xlpm.d&lt;=BN$7),INDEX('Sales and count'!$G$4:$CC$300,$AJ106,0)))))</f>
        <v>1972.03</v>
      </c>
      <c r="BO106" s="350" cm="1">
        <f t="array" ref="BO106">IF(AM106="","",IF($AJ106="",0,_xlfn.LET(_xlpm.d,IFERROR(--'Sales and count'!$G$2:$CC$2,0),SUMPRODUCT(('Sales and count'!$G$3:$CC$3="Total")*(_xlpm.d&gt;=BO$6)*(_xlpm.d&lt;=BO$7),INDEX('Sales and count'!$G$4:$CC$300,$AJ106,0)))))</f>
        <v>1849.01</v>
      </c>
      <c r="BP106" s="350" cm="1">
        <f t="array" ref="BP106">IF(AN106="","",IF($AJ106="",0,_xlfn.LET(_xlpm.d,IFERROR(--'Sales and count'!$G$2:$CC$2,0),SUMPRODUCT(('Sales and count'!$G$3:$CC$3="Total")*(_xlpm.d&gt;=BP$6)*(_xlpm.d&lt;=BP$7),INDEX('Sales and count'!$G$4:$CC$300,$AJ106,0)))))</f>
        <v>1799.01</v>
      </c>
      <c r="BQ106" s="350" cm="1">
        <f t="array" ref="BQ106">IF(AO106="","",IF($AJ106="",0,_xlfn.LET(_xlpm.d,IFERROR(--'Sales and count'!$G$2:$CC$2,0),SUMPRODUCT(('Sales and count'!$G$3:$CC$3="Total")*(_xlpm.d&gt;=BQ$6)*(_xlpm.d&lt;=BQ$7),INDEX('Sales and count'!$G$4:$CC$300,$AJ106,0)))))</f>
        <v>1924.87</v>
      </c>
      <c r="BR106" s="350" cm="1">
        <f t="array" ref="BR106">IF(AP106="","",IF($AJ106="",0,_xlfn.LET(_xlpm.d,IFERROR(--'Sales and count'!$G$2:$CC$2,0),SUMPRODUCT(('Sales and count'!$G$3:$CC$3="Total")*(_xlpm.d&gt;=BR$6)*(_xlpm.d&lt;=BR$7),INDEX('Sales and count'!$G$4:$CC$300,$AJ106,0)))))</f>
        <v>2085.86</v>
      </c>
      <c r="BS106" s="350" cm="1">
        <f t="array" ref="BS106">IF(AQ106="","",IF($AJ106="",0,_xlfn.LET(_xlpm.d,IFERROR(--'Sales and count'!$G$2:$CC$2,0),SUMPRODUCT(('Sales and count'!$G$3:$CC$3="Total")*(_xlpm.d&gt;=BS$6)*(_xlpm.d&lt;=BS$7),INDEX('Sales and count'!$G$4:$CC$300,$AJ106,0)))))</f>
        <v>1482.93</v>
      </c>
      <c r="BT106" s="350" cm="1">
        <f t="array" ref="BT106">IF(AR106="","",IF($AJ106="",0,_xlfn.LET(_xlpm.d,IFERROR(--'Sales and count'!$G$2:$CC$2,0),SUMPRODUCT(('Sales and count'!$G$3:$CC$3="Total")*(_xlpm.d&gt;=BT$6)*(_xlpm.d&lt;=BT$7),INDEX('Sales and count'!$G$4:$CC$300,$AJ106,0)))))</f>
        <v>2532.9299999999998</v>
      </c>
      <c r="BU106" s="350" cm="1">
        <f t="array" ref="BU106">IF(AS106="","",IF($AJ106="",0,_xlfn.LET(_xlpm.d,IFERROR(--'Sales and count'!$G$2:$CC$2,0),SUMPRODUCT(('Sales and count'!$G$3:$CC$3="Total")*(_xlpm.d&gt;=BU$6)*(_xlpm.d&lt;=BU$7),INDEX('Sales and count'!$G$4:$CC$300,$AJ106,0)))))</f>
        <v>2077.16</v>
      </c>
      <c r="BV106" s="350" t="str" cm="1">
        <f t="array" ref="BV106">IF(AT106="","",IF($AJ106="",0,_xlfn.LET(_xlpm.d,IFERROR(--'Sales and count'!$G$2:$CC$2,0),SUMPRODUCT(('Sales and count'!$G$3:$CC$3="Total")*(_xlpm.d&gt;=BV$6)*(_xlpm.d&lt;=BV$7),INDEX('Sales and count'!$G$4:$CC$300,$AJ106,0)))))</f>
        <v/>
      </c>
      <c r="BW106" s="350" t="str" cm="1">
        <f t="array" ref="BW106">IF(AU106="","",IF($AJ106="",0,_xlfn.LET(_xlpm.d,IFERROR(--'Sales and count'!$G$2:$CC$2,0),SUMPRODUCT(('Sales and count'!$G$3:$CC$3="Total")*(_xlpm.d&gt;=BW$6)*(_xlpm.d&lt;=BW$7),INDEX('Sales and count'!$G$4:$CC$300,$AJ106,0)))))</f>
        <v/>
      </c>
      <c r="BX106" s="350" t="str" cm="1">
        <f t="array" ref="BX106">IF(AV106="","",IF($AJ106="",0,_xlfn.LET(_xlpm.d,IFERROR(--'Sales and count'!$G$2:$CC$2,0),SUMPRODUCT(('Sales and count'!$G$3:$CC$3="Total")*(_xlpm.d&gt;=BX$6)*(_xlpm.d&lt;=BX$7),INDEX('Sales and count'!$G$4:$CC$300,$AJ106,0)))))</f>
        <v/>
      </c>
      <c r="BY106" s="350" t="str" cm="1">
        <f t="array" ref="BY106">IF(AW106="","",IF($AJ106="",0,_xlfn.LET(_xlpm.d,IFERROR(--'Sales and count'!$G$2:$CC$2,0),SUMPRODUCT(('Sales and count'!$G$3:$CC$3="Total")*(_xlpm.d&gt;=BY$6)*(_xlpm.d&lt;=BY$7),INDEX('Sales and count'!$G$4:$CC$300,$AJ106,0)))))</f>
        <v/>
      </c>
      <c r="BZ106" s="350" t="str" cm="1">
        <f t="array" ref="BZ106">IF(AX106="","",IF($AJ106="",0,_xlfn.LET(_xlpm.d,IFERROR(--'Sales and count'!$G$2:$CC$2,0),SUMPRODUCT(('Sales and count'!$G$3:$CC$3="Total")*(_xlpm.d&gt;=BZ$6)*(_xlpm.d&lt;=BZ$7),INDEX('Sales and count'!$G$4:$CC$300,$AJ106,0)))))</f>
        <v/>
      </c>
    </row>
    <row r="107" spans="1:78" x14ac:dyDescent="0.25">
      <c r="A107" s="356" t="str">
        <v>MILAGROPLZ</v>
      </c>
      <c r="B107" s="356" t="str" cm="1">
        <f t="array" ref="B107">IF($A107="","",_xlfn.XLOOKUP($A107,TRIM(Footfall!$B$5:$B$301&amp;""),Footfall!$A$5:$A$301,""))</f>
        <v>Milagro Tabuk</v>
      </c>
      <c r="C107" s="356" t="str" cm="1">
        <f t="array" ref="C107">IF($A107="","",_xlfn.XLOOKUP($A107,TRIM('Sales and count'!$A$4:$A$300&amp;""),'Sales and count'!$C$4:$C$300,"Not set"))</f>
        <v>Tabuk</v>
      </c>
      <c r="D107" s="357">
        <f t="shared" ca="1" si="53"/>
        <v>0.21825813221406087</v>
      </c>
      <c r="E107" s="357">
        <f t="shared" ca="1" si="54"/>
        <v>0.20270270270270271</v>
      </c>
      <c r="F107" s="357">
        <f t="shared" ca="1" si="55"/>
        <v>0.25233644859813081</v>
      </c>
      <c r="G107" s="357">
        <f t="shared" ca="1" si="56"/>
        <v>0.22147651006711411</v>
      </c>
      <c r="H107" s="357">
        <f t="shared" ca="1" si="57"/>
        <v>0.18343195266272189</v>
      </c>
      <c r="I107" s="357">
        <f t="shared" ca="1" si="58"/>
        <v>0.23214285714285715</v>
      </c>
      <c r="J107" s="357">
        <f t="shared" ca="1" si="59"/>
        <v>0.16751269035532995</v>
      </c>
      <c r="K107" s="357">
        <f t="shared" ca="1" si="60"/>
        <v>0.15337423312883436</v>
      </c>
      <c r="L107" s="357">
        <f t="shared" ca="1" si="61"/>
        <v>0.16201117318435754</v>
      </c>
      <c r="M107" s="357" t="str">
        <f t="shared" si="62"/>
        <v/>
      </c>
      <c r="N107" s="357" t="str">
        <f t="shared" si="63"/>
        <v/>
      </c>
      <c r="O107" s="357" t="str">
        <f t="shared" si="64"/>
        <v/>
      </c>
      <c r="P107" s="357" t="str">
        <f t="shared" si="65"/>
        <v/>
      </c>
      <c r="Q107" s="357" t="str">
        <f t="shared" si="66"/>
        <v/>
      </c>
      <c r="R107" s="358" cm="1">
        <f t="array" aca="1" ref="R107" ca="1">IF(OR($A107="",D107=""),"",IFERROR(LOOKUP(2,1/(E107:Q107&lt;&gt;""),E107:Q107)-D107,""))</f>
        <v>-5.6246959029703336E-2</v>
      </c>
      <c r="S107" s="349"/>
      <c r="T107" s="362">
        <f t="shared" ca="1" si="67"/>
        <v>148.87743990384615</v>
      </c>
      <c r="U107" s="362">
        <f t="shared" ca="1" si="68"/>
        <v>128.06866666666667</v>
      </c>
      <c r="V107" s="362">
        <f t="shared" ca="1" si="69"/>
        <v>210.07518518518518</v>
      </c>
      <c r="W107" s="362">
        <f t="shared" ca="1" si="70"/>
        <v>172.39939393939395</v>
      </c>
      <c r="X107" s="362">
        <f t="shared" ca="1" si="71"/>
        <v>153.47903225806454</v>
      </c>
      <c r="Y107" s="362">
        <f t="shared" ca="1" si="72"/>
        <v>148.07</v>
      </c>
      <c r="Z107" s="362">
        <f t="shared" ca="1" si="73"/>
        <v>170.62909090909091</v>
      </c>
      <c r="AA107" s="362">
        <f t="shared" ca="1" si="74"/>
        <v>159.2748</v>
      </c>
      <c r="AB107" s="362">
        <f t="shared" ca="1" si="75"/>
        <v>129.28413793103448</v>
      </c>
      <c r="AC107" s="362" t="str">
        <f t="shared" si="76"/>
        <v/>
      </c>
      <c r="AD107" s="362" t="str">
        <f t="shared" si="77"/>
        <v/>
      </c>
      <c r="AE107" s="362" t="str">
        <f t="shared" si="78"/>
        <v/>
      </c>
      <c r="AF107" s="362" t="str">
        <f t="shared" si="79"/>
        <v/>
      </c>
      <c r="AG107" s="362" t="str">
        <f t="shared" si="80"/>
        <v/>
      </c>
      <c r="AH107" s="363" cm="1">
        <f t="array" aca="1" ref="AH107" ca="1">IF(OR($A107="",T107=""),"",IFERROR(LOOKUP(2,1/(U107:AG107&lt;&gt;""),U107:AG107)-T107,""))</f>
        <v>-19.593301972811673</v>
      </c>
      <c r="AI107" s="349"/>
      <c r="AJ107" s="349" cm="1">
        <f t="array" ref="AJ107">IF($A107="","",IFERROR(MATCH($A107,TRIM('Sales and count'!$A$4:$A$300&amp;""),0),""))</f>
        <v>57</v>
      </c>
      <c r="AK107" s="350" cm="1">
        <f t="array" ref="AK107">IF(OR($A107="",AK$6=""),"",IFERROR(INDEX(Footfall!$C$5:$BZ$301,MATCH($A107,TRIM(Footfall!$B$5:$B$301&amp;""),0),AK$5),0))</f>
        <v>3812</v>
      </c>
      <c r="AL107" s="350" cm="1">
        <f t="array" ref="AL107">IF(OR($A107="",AL$6=""),"",IFERROR(INDEX(Footfall!$C$5:$BZ$301,MATCH($A107,TRIM(Footfall!$B$5:$B$301&amp;""),0),AL$5),0))</f>
        <v>148</v>
      </c>
      <c r="AM107" s="350" cm="1">
        <f t="array" ref="AM107">IF(OR($A107="",AM$6=""),"",IFERROR(INDEX(Footfall!$C$5:$BZ$301,MATCH($A107,TRIM(Footfall!$B$5:$B$301&amp;""),0),AM$5),0))</f>
        <v>107</v>
      </c>
      <c r="AN107" s="350" cm="1">
        <f t="array" ref="AN107">IF(OR($A107="",AN$6=""),"",IFERROR(INDEX(Footfall!$C$5:$BZ$301,MATCH($A107,TRIM(Footfall!$B$5:$B$301&amp;""),0),AN$5),0))</f>
        <v>149</v>
      </c>
      <c r="AO107" s="350" cm="1">
        <f t="array" ref="AO107">IF(OR($A107="",AO$6=""),"",IFERROR(INDEX(Footfall!$C$5:$BZ$301,MATCH($A107,TRIM(Footfall!$B$5:$B$301&amp;""),0),AO$5),0))</f>
        <v>169</v>
      </c>
      <c r="AP107" s="350" cm="1">
        <f t="array" ref="AP107">IF(OR($A107="",AP$6=""),"",IFERROR(INDEX(Footfall!$C$5:$BZ$301,MATCH($A107,TRIM(Footfall!$B$5:$B$301&amp;""),0),AP$5),0))</f>
        <v>168</v>
      </c>
      <c r="AQ107" s="350" cm="1">
        <f t="array" ref="AQ107">IF(OR($A107="",AQ$6=""),"",IFERROR(INDEX(Footfall!$C$5:$BZ$301,MATCH($A107,TRIM(Footfall!$B$5:$B$301&amp;""),0),AQ$5),0))</f>
        <v>197</v>
      </c>
      <c r="AR107" s="350" cm="1">
        <f t="array" ref="AR107">IF(OR($A107="",AR$6=""),"",IFERROR(INDEX(Footfall!$C$5:$BZ$301,MATCH($A107,TRIM(Footfall!$B$5:$B$301&amp;""),0),AR$5),0))</f>
        <v>163</v>
      </c>
      <c r="AS107" s="350" cm="1">
        <f t="array" ref="AS107">IF(OR($A107="",AS$6=""),"",IFERROR(INDEX(Footfall!$C$5:$BZ$301,MATCH($A107,TRIM(Footfall!$B$5:$B$301&amp;""),0),AS$5),0))</f>
        <v>179</v>
      </c>
      <c r="AT107" s="350" t="str" cm="1">
        <f t="array" ref="AT107">IF(OR($A107="",AT$6=""),"",IFERROR(INDEX(Footfall!$C$5:$BZ$301,MATCH($A107,TRIM(Footfall!$B$5:$B$301&amp;""),0),AT$5),0))</f>
        <v/>
      </c>
      <c r="AU107" s="350" t="str" cm="1">
        <f t="array" ref="AU107">IF(OR($A107="",AU$6=""),"",IFERROR(INDEX(Footfall!$C$5:$BZ$301,MATCH($A107,TRIM(Footfall!$B$5:$B$301&amp;""),0),AU$5),0))</f>
        <v/>
      </c>
      <c r="AV107" s="350" t="str" cm="1">
        <f t="array" ref="AV107">IF(OR($A107="",AV$6=""),"",IFERROR(INDEX(Footfall!$C$5:$BZ$301,MATCH($A107,TRIM(Footfall!$B$5:$B$301&amp;""),0),AV$5),0))</f>
        <v/>
      </c>
      <c r="AW107" s="350" t="str" cm="1">
        <f t="array" ref="AW107">IF(OR($A107="",AW$6=""),"",IFERROR(INDEX(Footfall!$C$5:$BZ$301,MATCH($A107,TRIM(Footfall!$B$5:$B$301&amp;""),0),AW$5),0))</f>
        <v/>
      </c>
      <c r="AX107" s="350" t="str" cm="1">
        <f t="array" ref="AX107">IF(OR($A107="",AX$6=""),"",IFERROR(INDEX(Footfall!$C$5:$BZ$301,MATCH($A107,TRIM(Footfall!$B$5:$B$301&amp;""),0),AX$5),0))</f>
        <v/>
      </c>
      <c r="AY107" s="350" cm="1">
        <f t="array" aca="1" ref="AY107" ca="1">IF(AK107="","",IF($AJ107="",0,_xlfn.LET(_xlpm.d,IFERROR(--'Sales and count'!$F$2:$CB$2,0),SUMPRODUCT(('Sales and count'!$G$3:$CC$3="Transactions")*(_xlpm.d&gt;=AY$6)*(_xlpm.d&lt;=AY$7),INDEX('Sales and count'!$G$4:$CC$300,$AJ107,0)))))</f>
        <v>832</v>
      </c>
      <c r="AZ107" s="350" cm="1">
        <f t="array" aca="1" ref="AZ107" ca="1">IF(AL107="","",IF($AJ107="",0,_xlfn.LET(_xlpm.d,IFERROR(--'Sales and count'!$F$2:$CB$2,0),SUMPRODUCT(('Sales and count'!$G$3:$CC$3="Transactions")*(_xlpm.d&gt;=AZ$6)*(_xlpm.d&lt;=AZ$7),INDEX('Sales and count'!$G$4:$CC$300,$AJ107,0)))))</f>
        <v>30</v>
      </c>
      <c r="BA107" s="350" cm="1">
        <f t="array" aca="1" ref="BA107" ca="1">IF(AM107="","",IF($AJ107="",0,_xlfn.LET(_xlpm.d,IFERROR(--'Sales and count'!$F$2:$CB$2,0),SUMPRODUCT(('Sales and count'!$G$3:$CC$3="Transactions")*(_xlpm.d&gt;=BA$6)*(_xlpm.d&lt;=BA$7),INDEX('Sales and count'!$G$4:$CC$300,$AJ107,0)))))</f>
        <v>27</v>
      </c>
      <c r="BB107" s="350" cm="1">
        <f t="array" aca="1" ref="BB107" ca="1">IF(AN107="","",IF($AJ107="",0,_xlfn.LET(_xlpm.d,IFERROR(--'Sales and count'!$F$2:$CB$2,0),SUMPRODUCT(('Sales and count'!$G$3:$CC$3="Transactions")*(_xlpm.d&gt;=BB$6)*(_xlpm.d&lt;=BB$7),INDEX('Sales and count'!$G$4:$CC$300,$AJ107,0)))))</f>
        <v>33</v>
      </c>
      <c r="BC107" s="350" cm="1">
        <f t="array" aca="1" ref="BC107" ca="1">IF(AO107="","",IF($AJ107="",0,_xlfn.LET(_xlpm.d,IFERROR(--'Sales and count'!$F$2:$CB$2,0),SUMPRODUCT(('Sales and count'!$G$3:$CC$3="Transactions")*(_xlpm.d&gt;=BC$6)*(_xlpm.d&lt;=BC$7),INDEX('Sales and count'!$G$4:$CC$300,$AJ107,0)))))</f>
        <v>31</v>
      </c>
      <c r="BD107" s="350" cm="1">
        <f t="array" aca="1" ref="BD107" ca="1">IF(AP107="","",IF($AJ107="",0,_xlfn.LET(_xlpm.d,IFERROR(--'Sales and count'!$F$2:$CB$2,0),SUMPRODUCT(('Sales and count'!$G$3:$CC$3="Transactions")*(_xlpm.d&gt;=BD$6)*(_xlpm.d&lt;=BD$7),INDEX('Sales and count'!$G$4:$CC$300,$AJ107,0)))))</f>
        <v>39</v>
      </c>
      <c r="BE107" s="350" cm="1">
        <f t="array" aca="1" ref="BE107" ca="1">IF(AQ107="","",IF($AJ107="",0,_xlfn.LET(_xlpm.d,IFERROR(--'Sales and count'!$F$2:$CB$2,0),SUMPRODUCT(('Sales and count'!$G$3:$CC$3="Transactions")*(_xlpm.d&gt;=BE$6)*(_xlpm.d&lt;=BE$7),INDEX('Sales and count'!$G$4:$CC$300,$AJ107,0)))))</f>
        <v>33</v>
      </c>
      <c r="BF107" s="350" cm="1">
        <f t="array" aca="1" ref="BF107" ca="1">IF(AR107="","",IF($AJ107="",0,_xlfn.LET(_xlpm.d,IFERROR(--'Sales and count'!$F$2:$CB$2,0),SUMPRODUCT(('Sales and count'!$G$3:$CC$3="Transactions")*(_xlpm.d&gt;=BF$6)*(_xlpm.d&lt;=BF$7),INDEX('Sales and count'!$G$4:$CC$300,$AJ107,0)))))</f>
        <v>25</v>
      </c>
      <c r="BG107" s="350" cm="1">
        <f t="array" aca="1" ref="BG107" ca="1">IF(AS107="","",IF($AJ107="",0,_xlfn.LET(_xlpm.d,IFERROR(--'Sales and count'!$F$2:$CB$2,0),SUMPRODUCT(('Sales and count'!$G$3:$CC$3="Transactions")*(_xlpm.d&gt;=BG$6)*(_xlpm.d&lt;=BG$7),INDEX('Sales and count'!$G$4:$CC$300,$AJ107,0)))))</f>
        <v>29</v>
      </c>
      <c r="BH107" s="350" t="str" cm="1">
        <f t="array" ref="BH107">IF(AT107="","",IF($AJ107="",0,_xlfn.LET(_xlpm.d,IFERROR(--'Sales and count'!$F$2:$CB$2,0),SUMPRODUCT(('Sales and count'!$G$3:$CC$3="Transactions")*(_xlpm.d&gt;=BH$6)*(_xlpm.d&lt;=BH$7),INDEX('Sales and count'!$G$4:$CC$300,$AJ107,0)))))</f>
        <v/>
      </c>
      <c r="BI107" s="350" t="str" cm="1">
        <f t="array" ref="BI107">IF(AU107="","",IF($AJ107="",0,_xlfn.LET(_xlpm.d,IFERROR(--'Sales and count'!$F$2:$CB$2,0),SUMPRODUCT(('Sales and count'!$G$3:$CC$3="Transactions")*(_xlpm.d&gt;=BI$6)*(_xlpm.d&lt;=BI$7),INDEX('Sales and count'!$G$4:$CC$300,$AJ107,0)))))</f>
        <v/>
      </c>
      <c r="BJ107" s="350" t="str" cm="1">
        <f t="array" ref="BJ107">IF(AV107="","",IF($AJ107="",0,_xlfn.LET(_xlpm.d,IFERROR(--'Sales and count'!$F$2:$CB$2,0),SUMPRODUCT(('Sales and count'!$G$3:$CC$3="Transactions")*(_xlpm.d&gt;=BJ$6)*(_xlpm.d&lt;=BJ$7),INDEX('Sales and count'!$G$4:$CC$300,$AJ107,0)))))</f>
        <v/>
      </c>
      <c r="BK107" s="350" t="str" cm="1">
        <f t="array" ref="BK107">IF(AW107="","",IF($AJ107="",0,_xlfn.LET(_xlpm.d,IFERROR(--'Sales and count'!$F$2:$CB$2,0),SUMPRODUCT(('Sales and count'!$G$3:$CC$3="Transactions")*(_xlpm.d&gt;=BK$6)*(_xlpm.d&lt;=BK$7),INDEX('Sales and count'!$G$4:$CC$300,$AJ107,0)))))</f>
        <v/>
      </c>
      <c r="BL107" s="350" t="str" cm="1">
        <f t="array" ref="BL107">IF(AX107="","",IF($AJ107="",0,_xlfn.LET(_xlpm.d,IFERROR(--'Sales and count'!$F$2:$CB$2,0),SUMPRODUCT(('Sales and count'!$G$3:$CC$3="Transactions")*(_xlpm.d&gt;=BL$6)*(_xlpm.d&lt;=BL$7),INDEX('Sales and count'!$G$4:$CC$300,$AJ107,0)))))</f>
        <v/>
      </c>
      <c r="BM107" s="350" cm="1">
        <f t="array" ref="BM107">IF(AK107="","",IF($AJ107="",0,_xlfn.LET(_xlpm.d,IFERROR(--'Sales and count'!$G$2:$CC$2,0),SUMPRODUCT(('Sales and count'!$G$3:$CC$3="Total")*(_xlpm.d&gt;=BM$6)*(_xlpm.d&lt;=BM$7),INDEX('Sales and count'!$G$4:$CC$300,$AJ107,0)))))</f>
        <v>123866.03</v>
      </c>
      <c r="BN107" s="350" cm="1">
        <f t="array" ref="BN107">IF(AL107="","",IF($AJ107="",0,_xlfn.LET(_xlpm.d,IFERROR(--'Sales and count'!$G$2:$CC$2,0),SUMPRODUCT(('Sales and count'!$G$3:$CC$3="Total")*(_xlpm.d&gt;=BN$6)*(_xlpm.d&lt;=BN$7),INDEX('Sales and count'!$G$4:$CC$300,$AJ107,0)))))</f>
        <v>3842.06</v>
      </c>
      <c r="BO107" s="350" cm="1">
        <f t="array" ref="BO107">IF(AM107="","",IF($AJ107="",0,_xlfn.LET(_xlpm.d,IFERROR(--'Sales and count'!$G$2:$CC$2,0),SUMPRODUCT(('Sales and count'!$G$3:$CC$3="Total")*(_xlpm.d&gt;=BO$6)*(_xlpm.d&lt;=BO$7),INDEX('Sales and count'!$G$4:$CC$300,$AJ107,0)))))</f>
        <v>5672.03</v>
      </c>
      <c r="BP107" s="350" cm="1">
        <f t="array" ref="BP107">IF(AN107="","",IF($AJ107="",0,_xlfn.LET(_xlpm.d,IFERROR(--'Sales and count'!$G$2:$CC$2,0),SUMPRODUCT(('Sales and count'!$G$3:$CC$3="Total")*(_xlpm.d&gt;=BP$6)*(_xlpm.d&lt;=BP$7),INDEX('Sales and count'!$G$4:$CC$300,$AJ107,0)))))</f>
        <v>5689.18</v>
      </c>
      <c r="BQ107" s="350" cm="1">
        <f t="array" ref="BQ107">IF(AO107="","",IF($AJ107="",0,_xlfn.LET(_xlpm.d,IFERROR(--'Sales and count'!$G$2:$CC$2,0),SUMPRODUCT(('Sales and count'!$G$3:$CC$3="Total")*(_xlpm.d&gt;=BQ$6)*(_xlpm.d&lt;=BQ$7),INDEX('Sales and count'!$G$4:$CC$300,$AJ107,0)))))</f>
        <v>4757.8500000000004</v>
      </c>
      <c r="BR107" s="350" cm="1">
        <f t="array" ref="BR107">IF(AP107="","",IF($AJ107="",0,_xlfn.LET(_xlpm.d,IFERROR(--'Sales and count'!$G$2:$CC$2,0),SUMPRODUCT(('Sales and count'!$G$3:$CC$3="Total")*(_xlpm.d&gt;=BR$6)*(_xlpm.d&lt;=BR$7),INDEX('Sales and count'!$G$4:$CC$300,$AJ107,0)))))</f>
        <v>5774.73</v>
      </c>
      <c r="BS107" s="350" cm="1">
        <f t="array" ref="BS107">IF(AQ107="","",IF($AJ107="",0,_xlfn.LET(_xlpm.d,IFERROR(--'Sales and count'!$G$2:$CC$2,0),SUMPRODUCT(('Sales and count'!$G$3:$CC$3="Total")*(_xlpm.d&gt;=BS$6)*(_xlpm.d&lt;=BS$7),INDEX('Sales and count'!$G$4:$CC$300,$AJ107,0)))))</f>
        <v>5630.76</v>
      </c>
      <c r="BT107" s="350" cm="1">
        <f t="array" ref="BT107">IF(AR107="","",IF($AJ107="",0,_xlfn.LET(_xlpm.d,IFERROR(--'Sales and count'!$G$2:$CC$2,0),SUMPRODUCT(('Sales and count'!$G$3:$CC$3="Total")*(_xlpm.d&gt;=BT$6)*(_xlpm.d&lt;=BT$7),INDEX('Sales and count'!$G$4:$CC$300,$AJ107,0)))))</f>
        <v>3981.87</v>
      </c>
      <c r="BU107" s="350" cm="1">
        <f t="array" ref="BU107">IF(AS107="","",IF($AJ107="",0,_xlfn.LET(_xlpm.d,IFERROR(--'Sales and count'!$G$2:$CC$2,0),SUMPRODUCT(('Sales and count'!$G$3:$CC$3="Total")*(_xlpm.d&gt;=BU$6)*(_xlpm.d&lt;=BU$7),INDEX('Sales and count'!$G$4:$CC$300,$AJ107,0)))))</f>
        <v>3749.24</v>
      </c>
      <c r="BV107" s="350" t="str" cm="1">
        <f t="array" ref="BV107">IF(AT107="","",IF($AJ107="",0,_xlfn.LET(_xlpm.d,IFERROR(--'Sales and count'!$G$2:$CC$2,0),SUMPRODUCT(('Sales and count'!$G$3:$CC$3="Total")*(_xlpm.d&gt;=BV$6)*(_xlpm.d&lt;=BV$7),INDEX('Sales and count'!$G$4:$CC$300,$AJ107,0)))))</f>
        <v/>
      </c>
      <c r="BW107" s="350" t="str" cm="1">
        <f t="array" ref="BW107">IF(AU107="","",IF($AJ107="",0,_xlfn.LET(_xlpm.d,IFERROR(--'Sales and count'!$G$2:$CC$2,0),SUMPRODUCT(('Sales and count'!$G$3:$CC$3="Total")*(_xlpm.d&gt;=BW$6)*(_xlpm.d&lt;=BW$7),INDEX('Sales and count'!$G$4:$CC$300,$AJ107,0)))))</f>
        <v/>
      </c>
      <c r="BX107" s="350" t="str" cm="1">
        <f t="array" ref="BX107">IF(AV107="","",IF($AJ107="",0,_xlfn.LET(_xlpm.d,IFERROR(--'Sales and count'!$G$2:$CC$2,0),SUMPRODUCT(('Sales and count'!$G$3:$CC$3="Total")*(_xlpm.d&gt;=BX$6)*(_xlpm.d&lt;=BX$7),INDEX('Sales and count'!$G$4:$CC$300,$AJ107,0)))))</f>
        <v/>
      </c>
      <c r="BY107" s="350" t="str" cm="1">
        <f t="array" ref="BY107">IF(AW107="","",IF($AJ107="",0,_xlfn.LET(_xlpm.d,IFERROR(--'Sales and count'!$G$2:$CC$2,0),SUMPRODUCT(('Sales and count'!$G$3:$CC$3="Total")*(_xlpm.d&gt;=BY$6)*(_xlpm.d&lt;=BY$7),INDEX('Sales and count'!$G$4:$CC$300,$AJ107,0)))))</f>
        <v/>
      </c>
      <c r="BZ107" s="350" t="str" cm="1">
        <f t="array" ref="BZ107">IF(AX107="","",IF($AJ107="",0,_xlfn.LET(_xlpm.d,IFERROR(--'Sales and count'!$G$2:$CC$2,0),SUMPRODUCT(('Sales and count'!$G$3:$CC$3="Total")*(_xlpm.d&gt;=BZ$6)*(_xlpm.d&lt;=BZ$7),INDEX('Sales and count'!$G$4:$CC$300,$AJ107,0)))))</f>
        <v/>
      </c>
    </row>
    <row r="108" spans="1:78" x14ac:dyDescent="0.25">
      <c r="A108" s="356" t="str">
        <v>HATABUKPR</v>
      </c>
      <c r="B108" s="356" t="str" cm="1">
        <f t="array" ref="B108">IF($A108="","",_xlfn.XLOOKUP($A108,TRIM(Footfall!$B$5:$B$301&amp;""),Footfall!$A$5:$A$301,""))</f>
        <v>Tabuk Park</v>
      </c>
      <c r="C108" s="356" t="str" cm="1">
        <f t="array" ref="C108">IF($A108="","",_xlfn.XLOOKUP($A108,TRIM('Sales and count'!$A$4:$A$300&amp;""),'Sales and count'!$C$4:$C$300,"Not set"))</f>
        <v>Tabuk</v>
      </c>
      <c r="D108" s="357">
        <f t="shared" ca="1" si="53"/>
        <v>0.4576271186440678</v>
      </c>
      <c r="E108" s="357">
        <f t="shared" ca="1" si="54"/>
        <v>0.12295081967213115</v>
      </c>
      <c r="F108" s="357">
        <f t="shared" ca="1" si="55"/>
        <v>0.17525773195876287</v>
      </c>
      <c r="G108" s="357">
        <f t="shared" ca="1" si="56"/>
        <v>0.18699186991869918</v>
      </c>
      <c r="H108" s="357">
        <f t="shared" ca="1" si="57"/>
        <v>0.12299465240641712</v>
      </c>
      <c r="I108" s="357">
        <f t="shared" ca="1" si="58"/>
        <v>0.10689655172413794</v>
      </c>
      <c r="J108" s="357">
        <f t="shared" ca="1" si="59"/>
        <v>9.152542372881356E-2</v>
      </c>
      <c r="K108" s="357">
        <f t="shared" ca="1" si="60"/>
        <v>0.14457831325301204</v>
      </c>
      <c r="L108" s="357">
        <f t="shared" ca="1" si="61"/>
        <v>0.13084112149532709</v>
      </c>
      <c r="M108" s="357" t="str">
        <f t="shared" si="62"/>
        <v/>
      </c>
      <c r="N108" s="357" t="str">
        <f t="shared" si="63"/>
        <v/>
      </c>
      <c r="O108" s="357" t="str">
        <f t="shared" si="64"/>
        <v/>
      </c>
      <c r="P108" s="357" t="str">
        <f t="shared" si="65"/>
        <v/>
      </c>
      <c r="Q108" s="357" t="str">
        <f t="shared" si="66"/>
        <v/>
      </c>
      <c r="R108" s="358" cm="1">
        <f t="array" aca="1" ref="R108" ca="1">IF(OR($A108="",D108=""),"",IFERROR(LOOKUP(2,1/(E108:Q108&lt;&gt;""),E108:Q108)-D108,""))</f>
        <v>-0.32678599714874068</v>
      </c>
      <c r="S108" s="349"/>
      <c r="T108" s="362">
        <f t="shared" ca="1" si="67"/>
        <v>170.29248366013073</v>
      </c>
      <c r="U108" s="362">
        <f t="shared" ca="1" si="68"/>
        <v>114.60066666666667</v>
      </c>
      <c r="V108" s="362">
        <f t="shared" ca="1" si="69"/>
        <v>92.471176470588233</v>
      </c>
      <c r="W108" s="362">
        <f t="shared" ca="1" si="70"/>
        <v>151.43521739130435</v>
      </c>
      <c r="X108" s="362">
        <f t="shared" ca="1" si="71"/>
        <v>184.47217391304346</v>
      </c>
      <c r="Y108" s="362">
        <f t="shared" ca="1" si="72"/>
        <v>175.92451612903224</v>
      </c>
      <c r="Z108" s="362">
        <f t="shared" ca="1" si="73"/>
        <v>158.14222222222222</v>
      </c>
      <c r="AA108" s="362">
        <f t="shared" ca="1" si="74"/>
        <v>135</v>
      </c>
      <c r="AB108" s="362">
        <f t="shared" ca="1" si="75"/>
        <v>191.29714285714286</v>
      </c>
      <c r="AC108" s="362" t="str">
        <f t="shared" si="76"/>
        <v/>
      </c>
      <c r="AD108" s="362" t="str">
        <f t="shared" si="77"/>
        <v/>
      </c>
      <c r="AE108" s="362" t="str">
        <f t="shared" si="78"/>
        <v/>
      </c>
      <c r="AF108" s="362" t="str">
        <f t="shared" si="79"/>
        <v/>
      </c>
      <c r="AG108" s="362" t="str">
        <f t="shared" si="80"/>
        <v/>
      </c>
      <c r="AH108" s="363" cm="1">
        <f t="array" aca="1" ref="AH108" ca="1">IF(OR($A108="",T108=""),"",IFERROR(LOOKUP(2,1/(U108:AG108&lt;&gt;""),U108:AG108)-T108,""))</f>
        <v>21.004659197012131</v>
      </c>
      <c r="AI108" s="349"/>
      <c r="AJ108" s="349" cm="1">
        <f t="array" ref="AJ108">IF($A108="","",IFERROR(MATCH($A108,TRIM('Sales and count'!$A$4:$A$300&amp;""),0),""))</f>
        <v>47</v>
      </c>
      <c r="AK108" s="350" cm="1">
        <f t="array" ref="AK108">IF(OR($A108="",AK$6=""),"",IFERROR(INDEX(Footfall!$C$5:$BZ$301,MATCH($A108,TRIM(Footfall!$B$5:$B$301&amp;""),0),AK$5),0))</f>
        <v>1003</v>
      </c>
      <c r="AL108" s="350" cm="1">
        <f t="array" ref="AL108">IF(OR($A108="",AL$6=""),"",IFERROR(INDEX(Footfall!$C$5:$BZ$301,MATCH($A108,TRIM(Footfall!$B$5:$B$301&amp;""),0),AL$5),0))</f>
        <v>122</v>
      </c>
      <c r="AM108" s="350" cm="1">
        <f t="array" ref="AM108">IF(OR($A108="",AM$6=""),"",IFERROR(INDEX(Footfall!$C$5:$BZ$301,MATCH($A108,TRIM(Footfall!$B$5:$B$301&amp;""),0),AM$5),0))</f>
        <v>97</v>
      </c>
      <c r="AN108" s="350" cm="1">
        <f t="array" ref="AN108">IF(OR($A108="",AN$6=""),"",IFERROR(INDEX(Footfall!$C$5:$BZ$301,MATCH($A108,TRIM(Footfall!$B$5:$B$301&amp;""),0),AN$5),0))</f>
        <v>123</v>
      </c>
      <c r="AO108" s="350" cm="1">
        <f t="array" ref="AO108">IF(OR($A108="",AO$6=""),"",IFERROR(INDEX(Footfall!$C$5:$BZ$301,MATCH($A108,TRIM(Footfall!$B$5:$B$301&amp;""),0),AO$5),0))</f>
        <v>187</v>
      </c>
      <c r="AP108" s="350" cm="1">
        <f t="array" ref="AP108">IF(OR($A108="",AP$6=""),"",IFERROR(INDEX(Footfall!$C$5:$BZ$301,MATCH($A108,TRIM(Footfall!$B$5:$B$301&amp;""),0),AP$5),0))</f>
        <v>290</v>
      </c>
      <c r="AQ108" s="350" cm="1">
        <f t="array" ref="AQ108">IF(OR($A108="",AQ$6=""),"",IFERROR(INDEX(Footfall!$C$5:$BZ$301,MATCH($A108,TRIM(Footfall!$B$5:$B$301&amp;""),0),AQ$5),0))</f>
        <v>295</v>
      </c>
      <c r="AR108" s="350" cm="1">
        <f t="array" ref="AR108">IF(OR($A108="",AR$6=""),"",IFERROR(INDEX(Footfall!$C$5:$BZ$301,MATCH($A108,TRIM(Footfall!$B$5:$B$301&amp;""),0),AR$5),0))</f>
        <v>83</v>
      </c>
      <c r="AS108" s="350" cm="1">
        <f t="array" ref="AS108">IF(OR($A108="",AS$6=""),"",IFERROR(INDEX(Footfall!$C$5:$BZ$301,MATCH($A108,TRIM(Footfall!$B$5:$B$301&amp;""),0),AS$5),0))</f>
        <v>107</v>
      </c>
      <c r="AT108" s="350" t="str" cm="1">
        <f t="array" ref="AT108">IF(OR($A108="",AT$6=""),"",IFERROR(INDEX(Footfall!$C$5:$BZ$301,MATCH($A108,TRIM(Footfall!$B$5:$B$301&amp;""),0),AT$5),0))</f>
        <v/>
      </c>
      <c r="AU108" s="350" t="str" cm="1">
        <f t="array" ref="AU108">IF(OR($A108="",AU$6=""),"",IFERROR(INDEX(Footfall!$C$5:$BZ$301,MATCH($A108,TRIM(Footfall!$B$5:$B$301&amp;""),0),AU$5),0))</f>
        <v/>
      </c>
      <c r="AV108" s="350" t="str" cm="1">
        <f t="array" ref="AV108">IF(OR($A108="",AV$6=""),"",IFERROR(INDEX(Footfall!$C$5:$BZ$301,MATCH($A108,TRIM(Footfall!$B$5:$B$301&amp;""),0),AV$5),0))</f>
        <v/>
      </c>
      <c r="AW108" s="350" t="str" cm="1">
        <f t="array" ref="AW108">IF(OR($A108="",AW$6=""),"",IFERROR(INDEX(Footfall!$C$5:$BZ$301,MATCH($A108,TRIM(Footfall!$B$5:$B$301&amp;""),0),AW$5),0))</f>
        <v/>
      </c>
      <c r="AX108" s="350" t="str" cm="1">
        <f t="array" ref="AX108">IF(OR($A108="",AX$6=""),"",IFERROR(INDEX(Footfall!$C$5:$BZ$301,MATCH($A108,TRIM(Footfall!$B$5:$B$301&amp;""),0),AX$5),0))</f>
        <v/>
      </c>
      <c r="AY108" s="350" cm="1">
        <f t="array" aca="1" ref="AY108" ca="1">IF(AK108="","",IF($AJ108="",0,_xlfn.LET(_xlpm.d,IFERROR(--'Sales and count'!$F$2:$CB$2,0),SUMPRODUCT(('Sales and count'!$G$3:$CC$3="Transactions")*(_xlpm.d&gt;=AY$6)*(_xlpm.d&lt;=AY$7),INDEX('Sales and count'!$G$4:$CC$300,$AJ108,0)))))</f>
        <v>459</v>
      </c>
      <c r="AZ108" s="350" cm="1">
        <f t="array" aca="1" ref="AZ108" ca="1">IF(AL108="","",IF($AJ108="",0,_xlfn.LET(_xlpm.d,IFERROR(--'Sales and count'!$F$2:$CB$2,0),SUMPRODUCT(('Sales and count'!$G$3:$CC$3="Transactions")*(_xlpm.d&gt;=AZ$6)*(_xlpm.d&lt;=AZ$7),INDEX('Sales and count'!$G$4:$CC$300,$AJ108,0)))))</f>
        <v>15</v>
      </c>
      <c r="BA108" s="350" cm="1">
        <f t="array" aca="1" ref="BA108" ca="1">IF(AM108="","",IF($AJ108="",0,_xlfn.LET(_xlpm.d,IFERROR(--'Sales and count'!$F$2:$CB$2,0),SUMPRODUCT(('Sales and count'!$G$3:$CC$3="Transactions")*(_xlpm.d&gt;=BA$6)*(_xlpm.d&lt;=BA$7),INDEX('Sales and count'!$G$4:$CC$300,$AJ108,0)))))</f>
        <v>17</v>
      </c>
      <c r="BB108" s="350" cm="1">
        <f t="array" aca="1" ref="BB108" ca="1">IF(AN108="","",IF($AJ108="",0,_xlfn.LET(_xlpm.d,IFERROR(--'Sales and count'!$F$2:$CB$2,0),SUMPRODUCT(('Sales and count'!$G$3:$CC$3="Transactions")*(_xlpm.d&gt;=BB$6)*(_xlpm.d&lt;=BB$7),INDEX('Sales and count'!$G$4:$CC$300,$AJ108,0)))))</f>
        <v>23</v>
      </c>
      <c r="BC108" s="350" cm="1">
        <f t="array" aca="1" ref="BC108" ca="1">IF(AO108="","",IF($AJ108="",0,_xlfn.LET(_xlpm.d,IFERROR(--'Sales and count'!$F$2:$CB$2,0),SUMPRODUCT(('Sales and count'!$G$3:$CC$3="Transactions")*(_xlpm.d&gt;=BC$6)*(_xlpm.d&lt;=BC$7),INDEX('Sales and count'!$G$4:$CC$300,$AJ108,0)))))</f>
        <v>23</v>
      </c>
      <c r="BD108" s="350" cm="1">
        <f t="array" aca="1" ref="BD108" ca="1">IF(AP108="","",IF($AJ108="",0,_xlfn.LET(_xlpm.d,IFERROR(--'Sales and count'!$F$2:$CB$2,0),SUMPRODUCT(('Sales and count'!$G$3:$CC$3="Transactions")*(_xlpm.d&gt;=BD$6)*(_xlpm.d&lt;=BD$7),INDEX('Sales and count'!$G$4:$CC$300,$AJ108,0)))))</f>
        <v>31</v>
      </c>
      <c r="BE108" s="350" cm="1">
        <f t="array" aca="1" ref="BE108" ca="1">IF(AQ108="","",IF($AJ108="",0,_xlfn.LET(_xlpm.d,IFERROR(--'Sales and count'!$F$2:$CB$2,0),SUMPRODUCT(('Sales and count'!$G$3:$CC$3="Transactions")*(_xlpm.d&gt;=BE$6)*(_xlpm.d&lt;=BE$7),INDEX('Sales and count'!$G$4:$CC$300,$AJ108,0)))))</f>
        <v>27</v>
      </c>
      <c r="BF108" s="350" cm="1">
        <f t="array" aca="1" ref="BF108" ca="1">IF(AR108="","",IF($AJ108="",0,_xlfn.LET(_xlpm.d,IFERROR(--'Sales and count'!$F$2:$CB$2,0),SUMPRODUCT(('Sales and count'!$G$3:$CC$3="Transactions")*(_xlpm.d&gt;=BF$6)*(_xlpm.d&lt;=BF$7),INDEX('Sales and count'!$G$4:$CC$300,$AJ108,0)))))</f>
        <v>12</v>
      </c>
      <c r="BG108" s="350" cm="1">
        <f t="array" aca="1" ref="BG108" ca="1">IF(AS108="","",IF($AJ108="",0,_xlfn.LET(_xlpm.d,IFERROR(--'Sales and count'!$F$2:$CB$2,0),SUMPRODUCT(('Sales and count'!$G$3:$CC$3="Transactions")*(_xlpm.d&gt;=BG$6)*(_xlpm.d&lt;=BG$7),INDEX('Sales and count'!$G$4:$CC$300,$AJ108,0)))))</f>
        <v>14</v>
      </c>
      <c r="BH108" s="350" t="str" cm="1">
        <f t="array" ref="BH108">IF(AT108="","",IF($AJ108="",0,_xlfn.LET(_xlpm.d,IFERROR(--'Sales and count'!$F$2:$CB$2,0),SUMPRODUCT(('Sales and count'!$G$3:$CC$3="Transactions")*(_xlpm.d&gt;=BH$6)*(_xlpm.d&lt;=BH$7),INDEX('Sales and count'!$G$4:$CC$300,$AJ108,0)))))</f>
        <v/>
      </c>
      <c r="BI108" s="350" t="str" cm="1">
        <f t="array" ref="BI108">IF(AU108="","",IF($AJ108="",0,_xlfn.LET(_xlpm.d,IFERROR(--'Sales and count'!$F$2:$CB$2,0),SUMPRODUCT(('Sales and count'!$G$3:$CC$3="Transactions")*(_xlpm.d&gt;=BI$6)*(_xlpm.d&lt;=BI$7),INDEX('Sales and count'!$G$4:$CC$300,$AJ108,0)))))</f>
        <v/>
      </c>
      <c r="BJ108" s="350" t="str" cm="1">
        <f t="array" ref="BJ108">IF(AV108="","",IF($AJ108="",0,_xlfn.LET(_xlpm.d,IFERROR(--'Sales and count'!$F$2:$CB$2,0),SUMPRODUCT(('Sales and count'!$G$3:$CC$3="Transactions")*(_xlpm.d&gt;=BJ$6)*(_xlpm.d&lt;=BJ$7),INDEX('Sales and count'!$G$4:$CC$300,$AJ108,0)))))</f>
        <v/>
      </c>
      <c r="BK108" s="350" t="str" cm="1">
        <f t="array" ref="BK108">IF(AW108="","",IF($AJ108="",0,_xlfn.LET(_xlpm.d,IFERROR(--'Sales and count'!$F$2:$CB$2,0),SUMPRODUCT(('Sales and count'!$G$3:$CC$3="Transactions")*(_xlpm.d&gt;=BK$6)*(_xlpm.d&lt;=BK$7),INDEX('Sales and count'!$G$4:$CC$300,$AJ108,0)))))</f>
        <v/>
      </c>
      <c r="BL108" s="350" t="str" cm="1">
        <f t="array" ref="BL108">IF(AX108="","",IF($AJ108="",0,_xlfn.LET(_xlpm.d,IFERROR(--'Sales and count'!$F$2:$CB$2,0),SUMPRODUCT(('Sales and count'!$G$3:$CC$3="Transactions")*(_xlpm.d&gt;=BL$6)*(_xlpm.d&lt;=BL$7),INDEX('Sales and count'!$G$4:$CC$300,$AJ108,0)))))</f>
        <v/>
      </c>
      <c r="BM108" s="350" cm="1">
        <f t="array" ref="BM108">IF(AK108="","",IF($AJ108="",0,_xlfn.LET(_xlpm.d,IFERROR(--'Sales and count'!$G$2:$CC$2,0),SUMPRODUCT(('Sales and count'!$G$3:$CC$3="Total")*(_xlpm.d&gt;=BM$6)*(_xlpm.d&lt;=BM$7),INDEX('Sales and count'!$G$4:$CC$300,$AJ108,0)))))</f>
        <v>78164.25</v>
      </c>
      <c r="BN108" s="350" cm="1">
        <f t="array" ref="BN108">IF(AL108="","",IF($AJ108="",0,_xlfn.LET(_xlpm.d,IFERROR(--'Sales and count'!$G$2:$CC$2,0),SUMPRODUCT(('Sales and count'!$G$3:$CC$3="Total")*(_xlpm.d&gt;=BN$6)*(_xlpm.d&lt;=BN$7),INDEX('Sales and count'!$G$4:$CC$300,$AJ108,0)))))</f>
        <v>1719.01</v>
      </c>
      <c r="BO108" s="350" cm="1">
        <f t="array" ref="BO108">IF(AM108="","",IF($AJ108="",0,_xlfn.LET(_xlpm.d,IFERROR(--'Sales and count'!$G$2:$CC$2,0),SUMPRODUCT(('Sales and count'!$G$3:$CC$3="Total")*(_xlpm.d&gt;=BO$6)*(_xlpm.d&lt;=BO$7),INDEX('Sales and count'!$G$4:$CC$300,$AJ108,0)))))</f>
        <v>1572.01</v>
      </c>
      <c r="BP108" s="350" cm="1">
        <f t="array" ref="BP108">IF(AN108="","",IF($AJ108="",0,_xlfn.LET(_xlpm.d,IFERROR(--'Sales and count'!$G$2:$CC$2,0),SUMPRODUCT(('Sales and count'!$G$3:$CC$3="Total")*(_xlpm.d&gt;=BP$6)*(_xlpm.d&lt;=BP$7),INDEX('Sales and count'!$G$4:$CC$300,$AJ108,0)))))</f>
        <v>3483.01</v>
      </c>
      <c r="BQ108" s="350" cm="1">
        <f t="array" ref="BQ108">IF(AO108="","",IF($AJ108="",0,_xlfn.LET(_xlpm.d,IFERROR(--'Sales and count'!$G$2:$CC$2,0),SUMPRODUCT(('Sales and count'!$G$3:$CC$3="Total")*(_xlpm.d&gt;=BQ$6)*(_xlpm.d&lt;=BQ$7),INDEX('Sales and count'!$G$4:$CC$300,$AJ108,0)))))</f>
        <v>4242.8599999999997</v>
      </c>
      <c r="BR108" s="350" cm="1">
        <f t="array" ref="BR108">IF(AP108="","",IF($AJ108="",0,_xlfn.LET(_xlpm.d,IFERROR(--'Sales and count'!$G$2:$CC$2,0),SUMPRODUCT(('Sales and count'!$G$3:$CC$3="Total")*(_xlpm.d&gt;=BR$6)*(_xlpm.d&lt;=BR$7),INDEX('Sales and count'!$G$4:$CC$300,$AJ108,0)))))</f>
        <v>5453.66</v>
      </c>
      <c r="BS108" s="350" cm="1">
        <f t="array" ref="BS108">IF(AQ108="","",IF($AJ108="",0,_xlfn.LET(_xlpm.d,IFERROR(--'Sales and count'!$G$2:$CC$2,0),SUMPRODUCT(('Sales and count'!$G$3:$CC$3="Total")*(_xlpm.d&gt;=BS$6)*(_xlpm.d&lt;=BS$7),INDEX('Sales and count'!$G$4:$CC$300,$AJ108,0)))))</f>
        <v>4269.84</v>
      </c>
      <c r="BT108" s="350" cm="1">
        <f t="array" ref="BT108">IF(AR108="","",IF($AJ108="",0,_xlfn.LET(_xlpm.d,IFERROR(--'Sales and count'!$G$2:$CC$2,0),SUMPRODUCT(('Sales and count'!$G$3:$CC$3="Total")*(_xlpm.d&gt;=BT$6)*(_xlpm.d&lt;=BT$7),INDEX('Sales and count'!$G$4:$CC$300,$AJ108,0)))))</f>
        <v>1620</v>
      </c>
      <c r="BU108" s="350" cm="1">
        <f t="array" ref="BU108">IF(AS108="","",IF($AJ108="",0,_xlfn.LET(_xlpm.d,IFERROR(--'Sales and count'!$G$2:$CC$2,0),SUMPRODUCT(('Sales and count'!$G$3:$CC$3="Total")*(_xlpm.d&gt;=BU$6)*(_xlpm.d&lt;=BU$7),INDEX('Sales and count'!$G$4:$CC$300,$AJ108,0)))))</f>
        <v>2678.16</v>
      </c>
      <c r="BV108" s="350" t="str" cm="1">
        <f t="array" ref="BV108">IF(AT108="","",IF($AJ108="",0,_xlfn.LET(_xlpm.d,IFERROR(--'Sales and count'!$G$2:$CC$2,0),SUMPRODUCT(('Sales and count'!$G$3:$CC$3="Total")*(_xlpm.d&gt;=BV$6)*(_xlpm.d&lt;=BV$7),INDEX('Sales and count'!$G$4:$CC$300,$AJ108,0)))))</f>
        <v/>
      </c>
      <c r="BW108" s="350" t="str" cm="1">
        <f t="array" ref="BW108">IF(AU108="","",IF($AJ108="",0,_xlfn.LET(_xlpm.d,IFERROR(--'Sales and count'!$G$2:$CC$2,0),SUMPRODUCT(('Sales and count'!$G$3:$CC$3="Total")*(_xlpm.d&gt;=BW$6)*(_xlpm.d&lt;=BW$7),INDEX('Sales and count'!$G$4:$CC$300,$AJ108,0)))))</f>
        <v/>
      </c>
      <c r="BX108" s="350" t="str" cm="1">
        <f t="array" ref="BX108">IF(AV108="","",IF($AJ108="",0,_xlfn.LET(_xlpm.d,IFERROR(--'Sales and count'!$G$2:$CC$2,0),SUMPRODUCT(('Sales and count'!$G$3:$CC$3="Total")*(_xlpm.d&gt;=BX$6)*(_xlpm.d&lt;=BX$7),INDEX('Sales and count'!$G$4:$CC$300,$AJ108,0)))))</f>
        <v/>
      </c>
      <c r="BY108" s="350" t="str" cm="1">
        <f t="array" ref="BY108">IF(AW108="","",IF($AJ108="",0,_xlfn.LET(_xlpm.d,IFERROR(--'Sales and count'!$G$2:$CC$2,0),SUMPRODUCT(('Sales and count'!$G$3:$CC$3="Total")*(_xlpm.d&gt;=BY$6)*(_xlpm.d&lt;=BY$7),INDEX('Sales and count'!$G$4:$CC$300,$AJ108,0)))))</f>
        <v/>
      </c>
      <c r="BZ108" s="350" t="str" cm="1">
        <f t="array" ref="BZ108">IF(AX108="","",IF($AJ108="",0,_xlfn.LET(_xlpm.d,IFERROR(--'Sales and count'!$G$2:$CC$2,0),SUMPRODUCT(('Sales and count'!$G$3:$CC$3="Total")*(_xlpm.d&gt;=BZ$6)*(_xlpm.d&lt;=BZ$7),INDEX('Sales and count'!$G$4:$CC$300,$AJ108,0)))))</f>
        <v/>
      </c>
    </row>
    <row r="109" spans="1:78" x14ac:dyDescent="0.25">
      <c r="A109" s="356" t="str">
        <v>HATAIFJRY</v>
      </c>
      <c r="B109" s="356" t="str" cm="1">
        <f t="array" ref="B109">IF($A109="","",_xlfn.XLOOKUP($A109,TRIM(Footfall!$B$5:$B$301&amp;""),Footfall!$A$5:$A$301,""))</f>
        <v>Joury Mall Taif</v>
      </c>
      <c r="C109" s="356" t="str" cm="1">
        <f t="array" ref="C109">IF($A109="","",_xlfn.XLOOKUP($A109,TRIM('Sales and count'!$A$4:$A$300&amp;""),'Sales and count'!$C$4:$C$300,"Not set"))</f>
        <v>Taif</v>
      </c>
      <c r="D109" s="357">
        <f t="shared" ca="1" si="53"/>
        <v>0.15344441681173837</v>
      </c>
      <c r="E109" s="357">
        <f t="shared" ca="1" si="54"/>
        <v>0.15447154471544716</v>
      </c>
      <c r="F109" s="357">
        <f t="shared" ca="1" si="55"/>
        <v>0.15714285714285714</v>
      </c>
      <c r="G109" s="357">
        <f t="shared" ca="1" si="56"/>
        <v>0.16666666666666666</v>
      </c>
      <c r="H109" s="357">
        <f t="shared" ca="1" si="57"/>
        <v>0.13924050632911392</v>
      </c>
      <c r="I109" s="357">
        <f t="shared" ca="1" si="58"/>
        <v>0.15948275862068967</v>
      </c>
      <c r="J109" s="357">
        <f t="shared" ca="1" si="59"/>
        <v>0.15135135135135136</v>
      </c>
      <c r="K109" s="357">
        <f t="shared" ca="1" si="60"/>
        <v>9.4674556213017749E-2</v>
      </c>
      <c r="L109" s="357">
        <f t="shared" ca="1" si="61"/>
        <v>0.13245033112582782</v>
      </c>
      <c r="M109" s="357" t="str">
        <f t="shared" si="62"/>
        <v/>
      </c>
      <c r="N109" s="357" t="str">
        <f t="shared" si="63"/>
        <v/>
      </c>
      <c r="O109" s="357" t="str">
        <f t="shared" si="64"/>
        <v/>
      </c>
      <c r="P109" s="357" t="str">
        <f t="shared" si="65"/>
        <v/>
      </c>
      <c r="Q109" s="357" t="str">
        <f t="shared" si="66"/>
        <v/>
      </c>
      <c r="R109" s="358" cm="1">
        <f t="array" aca="1" ref="R109" ca="1">IF(OR($A109="",D109=""),"",IFERROR(LOOKUP(2,1/(E109:Q109&lt;&gt;""),E109:Q109)-D109,""))</f>
        <v>-2.0994085685910546E-2</v>
      </c>
      <c r="S109" s="349"/>
      <c r="T109" s="362">
        <f t="shared" ca="1" si="67"/>
        <v>113.29507293354941</v>
      </c>
      <c r="U109" s="362">
        <f t="shared" ca="1" si="68"/>
        <v>87.58052631578947</v>
      </c>
      <c r="V109" s="362">
        <f t="shared" ca="1" si="69"/>
        <v>116.31863636363637</v>
      </c>
      <c r="W109" s="362">
        <f t="shared" ca="1" si="70"/>
        <v>121.93035714285715</v>
      </c>
      <c r="X109" s="362">
        <f t="shared" ca="1" si="71"/>
        <v>131.7227272727273</v>
      </c>
      <c r="Y109" s="362">
        <f t="shared" ca="1" si="72"/>
        <v>131.20972972972973</v>
      </c>
      <c r="Z109" s="362">
        <f t="shared" ca="1" si="73"/>
        <v>116.84964285714285</v>
      </c>
      <c r="AA109" s="362">
        <f t="shared" ca="1" si="74"/>
        <v>166.49062499999999</v>
      </c>
      <c r="AB109" s="362">
        <f t="shared" ca="1" si="75"/>
        <v>193.81450000000001</v>
      </c>
      <c r="AC109" s="362" t="str">
        <f t="shared" si="76"/>
        <v/>
      </c>
      <c r="AD109" s="362" t="str">
        <f t="shared" si="77"/>
        <v/>
      </c>
      <c r="AE109" s="362" t="str">
        <f t="shared" si="78"/>
        <v/>
      </c>
      <c r="AF109" s="362" t="str">
        <f t="shared" si="79"/>
        <v/>
      </c>
      <c r="AG109" s="362" t="str">
        <f t="shared" si="80"/>
        <v/>
      </c>
      <c r="AH109" s="363" cm="1">
        <f t="array" aca="1" ref="AH109" ca="1">IF(OR($A109="",T109=""),"",IFERROR(LOOKUP(2,1/(U109:AG109&lt;&gt;""),U109:AG109)-T109,""))</f>
        <v>80.519427066450604</v>
      </c>
      <c r="AI109" s="349"/>
      <c r="AJ109" s="349" cm="1">
        <f t="array" ref="AJ109">IF($A109="","",IFERROR(MATCH($A109,TRIM('Sales and count'!$A$4:$A$300&amp;""),0),""))</f>
        <v>103</v>
      </c>
      <c r="AK109" s="350" cm="1">
        <f t="array" ref="AK109">IF(OR($A109="",AK$6=""),"",IFERROR(INDEX(Footfall!$C$5:$BZ$301,MATCH($A109,TRIM(Footfall!$B$5:$B$301&amp;""),0),AK$5),0))</f>
        <v>4021</v>
      </c>
      <c r="AL109" s="350" cm="1">
        <f t="array" ref="AL109">IF(OR($A109="",AL$6=""),"",IFERROR(INDEX(Footfall!$C$5:$BZ$301,MATCH($A109,TRIM(Footfall!$B$5:$B$301&amp;""),0),AL$5),0))</f>
        <v>123</v>
      </c>
      <c r="AM109" s="350" cm="1">
        <f t="array" ref="AM109">IF(OR($A109="",AM$6=""),"",IFERROR(INDEX(Footfall!$C$5:$BZ$301,MATCH($A109,TRIM(Footfall!$B$5:$B$301&amp;""),0),AM$5),0))</f>
        <v>140</v>
      </c>
      <c r="AN109" s="350" cm="1">
        <f t="array" ref="AN109">IF(OR($A109="",AN$6=""),"",IFERROR(INDEX(Footfall!$C$5:$BZ$301,MATCH($A109,TRIM(Footfall!$B$5:$B$301&amp;""),0),AN$5),0))</f>
        <v>168</v>
      </c>
      <c r="AO109" s="350" cm="1">
        <f t="array" ref="AO109">IF(OR($A109="",AO$6=""),"",IFERROR(INDEX(Footfall!$C$5:$BZ$301,MATCH($A109,TRIM(Footfall!$B$5:$B$301&amp;""),0),AO$5),0))</f>
        <v>237</v>
      </c>
      <c r="AP109" s="350" cm="1">
        <f t="array" ref="AP109">IF(OR($A109="",AP$6=""),"",IFERROR(INDEX(Footfall!$C$5:$BZ$301,MATCH($A109,TRIM(Footfall!$B$5:$B$301&amp;""),0),AP$5),0))</f>
        <v>232</v>
      </c>
      <c r="AQ109" s="350" cm="1">
        <f t="array" ref="AQ109">IF(OR($A109="",AQ$6=""),"",IFERROR(INDEX(Footfall!$C$5:$BZ$301,MATCH($A109,TRIM(Footfall!$B$5:$B$301&amp;""),0),AQ$5),0))</f>
        <v>185</v>
      </c>
      <c r="AR109" s="350" cm="1">
        <f t="array" ref="AR109">IF(OR($A109="",AR$6=""),"",IFERROR(INDEX(Footfall!$C$5:$BZ$301,MATCH($A109,TRIM(Footfall!$B$5:$B$301&amp;""),0),AR$5),0))</f>
        <v>169</v>
      </c>
      <c r="AS109" s="350" cm="1">
        <f t="array" ref="AS109">IF(OR($A109="",AS$6=""),"",IFERROR(INDEX(Footfall!$C$5:$BZ$301,MATCH($A109,TRIM(Footfall!$B$5:$B$301&amp;""),0),AS$5),0))</f>
        <v>151</v>
      </c>
      <c r="AT109" s="350" t="str" cm="1">
        <f t="array" ref="AT109">IF(OR($A109="",AT$6=""),"",IFERROR(INDEX(Footfall!$C$5:$BZ$301,MATCH($A109,TRIM(Footfall!$B$5:$B$301&amp;""),0),AT$5),0))</f>
        <v/>
      </c>
      <c r="AU109" s="350" t="str" cm="1">
        <f t="array" ref="AU109">IF(OR($A109="",AU$6=""),"",IFERROR(INDEX(Footfall!$C$5:$BZ$301,MATCH($A109,TRIM(Footfall!$B$5:$B$301&amp;""),0),AU$5),0))</f>
        <v/>
      </c>
      <c r="AV109" s="350" t="str" cm="1">
        <f t="array" ref="AV109">IF(OR($A109="",AV$6=""),"",IFERROR(INDEX(Footfall!$C$5:$BZ$301,MATCH($A109,TRIM(Footfall!$B$5:$B$301&amp;""),0),AV$5),0))</f>
        <v/>
      </c>
      <c r="AW109" s="350" t="str" cm="1">
        <f t="array" ref="AW109">IF(OR($A109="",AW$6=""),"",IFERROR(INDEX(Footfall!$C$5:$BZ$301,MATCH($A109,TRIM(Footfall!$B$5:$B$301&amp;""),0),AW$5),0))</f>
        <v/>
      </c>
      <c r="AX109" s="350" t="str" cm="1">
        <f t="array" ref="AX109">IF(OR($A109="",AX$6=""),"",IFERROR(INDEX(Footfall!$C$5:$BZ$301,MATCH($A109,TRIM(Footfall!$B$5:$B$301&amp;""),0),AX$5),0))</f>
        <v/>
      </c>
      <c r="AY109" s="350" cm="1">
        <f t="array" aca="1" ref="AY109" ca="1">IF(AK109="","",IF($AJ109="",0,_xlfn.LET(_xlpm.d,IFERROR(--'Sales and count'!$F$2:$CB$2,0),SUMPRODUCT(('Sales and count'!$G$3:$CC$3="Transactions")*(_xlpm.d&gt;=AY$6)*(_xlpm.d&lt;=AY$7),INDEX('Sales and count'!$G$4:$CC$300,$AJ109,0)))))</f>
        <v>617</v>
      </c>
      <c r="AZ109" s="350" cm="1">
        <f t="array" aca="1" ref="AZ109" ca="1">IF(AL109="","",IF($AJ109="",0,_xlfn.LET(_xlpm.d,IFERROR(--'Sales and count'!$F$2:$CB$2,0),SUMPRODUCT(('Sales and count'!$G$3:$CC$3="Transactions")*(_xlpm.d&gt;=AZ$6)*(_xlpm.d&lt;=AZ$7),INDEX('Sales and count'!$G$4:$CC$300,$AJ109,0)))))</f>
        <v>19</v>
      </c>
      <c r="BA109" s="350" cm="1">
        <f t="array" aca="1" ref="BA109" ca="1">IF(AM109="","",IF($AJ109="",0,_xlfn.LET(_xlpm.d,IFERROR(--'Sales and count'!$F$2:$CB$2,0),SUMPRODUCT(('Sales and count'!$G$3:$CC$3="Transactions")*(_xlpm.d&gt;=BA$6)*(_xlpm.d&lt;=BA$7),INDEX('Sales and count'!$G$4:$CC$300,$AJ109,0)))))</f>
        <v>22</v>
      </c>
      <c r="BB109" s="350" cm="1">
        <f t="array" aca="1" ref="BB109" ca="1">IF(AN109="","",IF($AJ109="",0,_xlfn.LET(_xlpm.d,IFERROR(--'Sales and count'!$F$2:$CB$2,0),SUMPRODUCT(('Sales and count'!$G$3:$CC$3="Transactions")*(_xlpm.d&gt;=BB$6)*(_xlpm.d&lt;=BB$7),INDEX('Sales and count'!$G$4:$CC$300,$AJ109,0)))))</f>
        <v>28</v>
      </c>
      <c r="BC109" s="350" cm="1">
        <f t="array" aca="1" ref="BC109" ca="1">IF(AO109="","",IF($AJ109="",0,_xlfn.LET(_xlpm.d,IFERROR(--'Sales and count'!$F$2:$CB$2,0),SUMPRODUCT(('Sales and count'!$G$3:$CC$3="Transactions")*(_xlpm.d&gt;=BC$6)*(_xlpm.d&lt;=BC$7),INDEX('Sales and count'!$G$4:$CC$300,$AJ109,0)))))</f>
        <v>33</v>
      </c>
      <c r="BD109" s="350" cm="1">
        <f t="array" aca="1" ref="BD109" ca="1">IF(AP109="","",IF($AJ109="",0,_xlfn.LET(_xlpm.d,IFERROR(--'Sales and count'!$F$2:$CB$2,0),SUMPRODUCT(('Sales and count'!$G$3:$CC$3="Transactions")*(_xlpm.d&gt;=BD$6)*(_xlpm.d&lt;=BD$7),INDEX('Sales and count'!$G$4:$CC$300,$AJ109,0)))))</f>
        <v>37</v>
      </c>
      <c r="BE109" s="350" cm="1">
        <f t="array" aca="1" ref="BE109" ca="1">IF(AQ109="","",IF($AJ109="",0,_xlfn.LET(_xlpm.d,IFERROR(--'Sales and count'!$F$2:$CB$2,0),SUMPRODUCT(('Sales and count'!$G$3:$CC$3="Transactions")*(_xlpm.d&gt;=BE$6)*(_xlpm.d&lt;=BE$7),INDEX('Sales and count'!$G$4:$CC$300,$AJ109,0)))))</f>
        <v>28</v>
      </c>
      <c r="BF109" s="350" cm="1">
        <f t="array" aca="1" ref="BF109" ca="1">IF(AR109="","",IF($AJ109="",0,_xlfn.LET(_xlpm.d,IFERROR(--'Sales and count'!$F$2:$CB$2,0),SUMPRODUCT(('Sales and count'!$G$3:$CC$3="Transactions")*(_xlpm.d&gt;=BF$6)*(_xlpm.d&lt;=BF$7),INDEX('Sales and count'!$G$4:$CC$300,$AJ109,0)))))</f>
        <v>16</v>
      </c>
      <c r="BG109" s="350" cm="1">
        <f t="array" aca="1" ref="BG109" ca="1">IF(AS109="","",IF($AJ109="",0,_xlfn.LET(_xlpm.d,IFERROR(--'Sales and count'!$F$2:$CB$2,0),SUMPRODUCT(('Sales and count'!$G$3:$CC$3="Transactions")*(_xlpm.d&gt;=BG$6)*(_xlpm.d&lt;=BG$7),INDEX('Sales and count'!$G$4:$CC$300,$AJ109,0)))))</f>
        <v>20</v>
      </c>
      <c r="BH109" s="350" t="str" cm="1">
        <f t="array" ref="BH109">IF(AT109="","",IF($AJ109="",0,_xlfn.LET(_xlpm.d,IFERROR(--'Sales and count'!$F$2:$CB$2,0),SUMPRODUCT(('Sales and count'!$G$3:$CC$3="Transactions")*(_xlpm.d&gt;=BH$6)*(_xlpm.d&lt;=BH$7),INDEX('Sales and count'!$G$4:$CC$300,$AJ109,0)))))</f>
        <v/>
      </c>
      <c r="BI109" s="350" t="str" cm="1">
        <f t="array" ref="BI109">IF(AU109="","",IF($AJ109="",0,_xlfn.LET(_xlpm.d,IFERROR(--'Sales and count'!$F$2:$CB$2,0),SUMPRODUCT(('Sales and count'!$G$3:$CC$3="Transactions")*(_xlpm.d&gt;=BI$6)*(_xlpm.d&lt;=BI$7),INDEX('Sales and count'!$G$4:$CC$300,$AJ109,0)))))</f>
        <v/>
      </c>
      <c r="BJ109" s="350" t="str" cm="1">
        <f t="array" ref="BJ109">IF(AV109="","",IF($AJ109="",0,_xlfn.LET(_xlpm.d,IFERROR(--'Sales and count'!$F$2:$CB$2,0),SUMPRODUCT(('Sales and count'!$G$3:$CC$3="Transactions")*(_xlpm.d&gt;=BJ$6)*(_xlpm.d&lt;=BJ$7),INDEX('Sales and count'!$G$4:$CC$300,$AJ109,0)))))</f>
        <v/>
      </c>
      <c r="BK109" s="350" t="str" cm="1">
        <f t="array" ref="BK109">IF(AW109="","",IF($AJ109="",0,_xlfn.LET(_xlpm.d,IFERROR(--'Sales and count'!$F$2:$CB$2,0),SUMPRODUCT(('Sales and count'!$G$3:$CC$3="Transactions")*(_xlpm.d&gt;=BK$6)*(_xlpm.d&lt;=BK$7),INDEX('Sales and count'!$G$4:$CC$300,$AJ109,0)))))</f>
        <v/>
      </c>
      <c r="BL109" s="350" t="str" cm="1">
        <f t="array" ref="BL109">IF(AX109="","",IF($AJ109="",0,_xlfn.LET(_xlpm.d,IFERROR(--'Sales and count'!$F$2:$CB$2,0),SUMPRODUCT(('Sales and count'!$G$3:$CC$3="Transactions")*(_xlpm.d&gt;=BL$6)*(_xlpm.d&lt;=BL$7),INDEX('Sales and count'!$G$4:$CC$300,$AJ109,0)))))</f>
        <v/>
      </c>
      <c r="BM109" s="350" cm="1">
        <f t="array" ref="BM109">IF(AK109="","",IF($AJ109="",0,_xlfn.LET(_xlpm.d,IFERROR(--'Sales and count'!$G$2:$CC$2,0),SUMPRODUCT(('Sales and count'!$G$3:$CC$3="Total")*(_xlpm.d&gt;=BM$6)*(_xlpm.d&lt;=BM$7),INDEX('Sales and count'!$G$4:$CC$300,$AJ109,0)))))</f>
        <v>69903.059999999983</v>
      </c>
      <c r="BN109" s="350" cm="1">
        <f t="array" ref="BN109">IF(AL109="","",IF($AJ109="",0,_xlfn.LET(_xlpm.d,IFERROR(--'Sales and count'!$G$2:$CC$2,0),SUMPRODUCT(('Sales and count'!$G$3:$CC$3="Total")*(_xlpm.d&gt;=BN$6)*(_xlpm.d&lt;=BN$7),INDEX('Sales and count'!$G$4:$CC$300,$AJ109,0)))))</f>
        <v>1664.03</v>
      </c>
      <c r="BO109" s="350" cm="1">
        <f t="array" ref="BO109">IF(AM109="","",IF($AJ109="",0,_xlfn.LET(_xlpm.d,IFERROR(--'Sales and count'!$G$2:$CC$2,0),SUMPRODUCT(('Sales and count'!$G$3:$CC$3="Total")*(_xlpm.d&gt;=BO$6)*(_xlpm.d&lt;=BO$7),INDEX('Sales and count'!$G$4:$CC$300,$AJ109,0)))))</f>
        <v>2559.0100000000002</v>
      </c>
      <c r="BP109" s="350" cm="1">
        <f t="array" ref="BP109">IF(AN109="","",IF($AJ109="",0,_xlfn.LET(_xlpm.d,IFERROR(--'Sales and count'!$G$2:$CC$2,0),SUMPRODUCT(('Sales and count'!$G$3:$CC$3="Total")*(_xlpm.d&gt;=BP$6)*(_xlpm.d&lt;=BP$7),INDEX('Sales and count'!$G$4:$CC$300,$AJ109,0)))))</f>
        <v>3414.05</v>
      </c>
      <c r="BQ109" s="350" cm="1">
        <f t="array" ref="BQ109">IF(AO109="","",IF($AJ109="",0,_xlfn.LET(_xlpm.d,IFERROR(--'Sales and count'!$G$2:$CC$2,0),SUMPRODUCT(('Sales and count'!$G$3:$CC$3="Total")*(_xlpm.d&gt;=BQ$6)*(_xlpm.d&lt;=BQ$7),INDEX('Sales and count'!$G$4:$CC$300,$AJ109,0)))))</f>
        <v>4346.8500000000004</v>
      </c>
      <c r="BR109" s="350" cm="1">
        <f t="array" ref="BR109">IF(AP109="","",IF($AJ109="",0,_xlfn.LET(_xlpm.d,IFERROR(--'Sales and count'!$G$2:$CC$2,0),SUMPRODUCT(('Sales and count'!$G$3:$CC$3="Total")*(_xlpm.d&gt;=BR$6)*(_xlpm.d&lt;=BR$7),INDEX('Sales and count'!$G$4:$CC$300,$AJ109,0)))))</f>
        <v>4854.76</v>
      </c>
      <c r="BS109" s="350" cm="1">
        <f t="array" ref="BS109">IF(AQ109="","",IF($AJ109="",0,_xlfn.LET(_xlpm.d,IFERROR(--'Sales and count'!$G$2:$CC$2,0),SUMPRODUCT(('Sales and count'!$G$3:$CC$3="Total")*(_xlpm.d&gt;=BS$6)*(_xlpm.d&lt;=BS$7),INDEX('Sales and count'!$G$4:$CC$300,$AJ109,0)))))</f>
        <v>3271.79</v>
      </c>
      <c r="BT109" s="350" cm="1">
        <f t="array" ref="BT109">IF(AR109="","",IF($AJ109="",0,_xlfn.LET(_xlpm.d,IFERROR(--'Sales and count'!$G$2:$CC$2,0),SUMPRODUCT(('Sales and count'!$G$3:$CC$3="Total")*(_xlpm.d&gt;=BT$6)*(_xlpm.d&lt;=BT$7),INDEX('Sales and count'!$G$4:$CC$300,$AJ109,0)))))</f>
        <v>2663.85</v>
      </c>
      <c r="BU109" s="350" cm="1">
        <f t="array" ref="BU109">IF(AS109="","",IF($AJ109="",0,_xlfn.LET(_xlpm.d,IFERROR(--'Sales and count'!$G$2:$CC$2,0),SUMPRODUCT(('Sales and count'!$G$3:$CC$3="Total")*(_xlpm.d&gt;=BU$6)*(_xlpm.d&lt;=BU$7),INDEX('Sales and count'!$G$4:$CC$300,$AJ109,0)))))</f>
        <v>3876.29</v>
      </c>
      <c r="BV109" s="350" t="str" cm="1">
        <f t="array" ref="BV109">IF(AT109="","",IF($AJ109="",0,_xlfn.LET(_xlpm.d,IFERROR(--'Sales and count'!$G$2:$CC$2,0),SUMPRODUCT(('Sales and count'!$G$3:$CC$3="Total")*(_xlpm.d&gt;=BV$6)*(_xlpm.d&lt;=BV$7),INDEX('Sales and count'!$G$4:$CC$300,$AJ109,0)))))</f>
        <v/>
      </c>
      <c r="BW109" s="350" t="str" cm="1">
        <f t="array" ref="BW109">IF(AU109="","",IF($AJ109="",0,_xlfn.LET(_xlpm.d,IFERROR(--'Sales and count'!$G$2:$CC$2,0),SUMPRODUCT(('Sales and count'!$G$3:$CC$3="Total")*(_xlpm.d&gt;=BW$6)*(_xlpm.d&lt;=BW$7),INDEX('Sales and count'!$G$4:$CC$300,$AJ109,0)))))</f>
        <v/>
      </c>
      <c r="BX109" s="350" t="str" cm="1">
        <f t="array" ref="BX109">IF(AV109="","",IF($AJ109="",0,_xlfn.LET(_xlpm.d,IFERROR(--'Sales and count'!$G$2:$CC$2,0),SUMPRODUCT(('Sales and count'!$G$3:$CC$3="Total")*(_xlpm.d&gt;=BX$6)*(_xlpm.d&lt;=BX$7),INDEX('Sales and count'!$G$4:$CC$300,$AJ109,0)))))</f>
        <v/>
      </c>
      <c r="BY109" s="350" t="str" cm="1">
        <f t="array" ref="BY109">IF(AW109="","",IF($AJ109="",0,_xlfn.LET(_xlpm.d,IFERROR(--'Sales and count'!$G$2:$CC$2,0),SUMPRODUCT(('Sales and count'!$G$3:$CC$3="Total")*(_xlpm.d&gt;=BY$6)*(_xlpm.d&lt;=BY$7),INDEX('Sales and count'!$G$4:$CC$300,$AJ109,0)))))</f>
        <v/>
      </c>
      <c r="BZ109" s="350" t="str" cm="1">
        <f t="array" ref="BZ109">IF(AX109="","",IF($AJ109="",0,_xlfn.LET(_xlpm.d,IFERROR(--'Sales and count'!$G$2:$CC$2,0),SUMPRODUCT(('Sales and count'!$G$3:$CC$3="Total")*(_xlpm.d&gt;=BZ$6)*(_xlpm.d&lt;=BZ$7),INDEX('Sales and count'!$G$4:$CC$300,$AJ109,0)))))</f>
        <v/>
      </c>
    </row>
    <row r="110" spans="1:78" x14ac:dyDescent="0.25">
      <c r="A110" s="356" t="str">
        <v>SHIHAR</v>
      </c>
      <c r="B110" s="356" t="str" cm="1">
        <f t="array" ref="B110">IF($A110="","",_xlfn.XLOOKUP($A110,TRIM(Footfall!$B$5:$B$301&amp;""),Footfall!$A$5:$A$301,""))</f>
        <v>Taif Shihar</v>
      </c>
      <c r="C110" s="356" t="str" cm="1">
        <f t="array" ref="C110">IF($A110="","",_xlfn.XLOOKUP($A110,TRIM('Sales and count'!$A$4:$A$300&amp;""),'Sales and count'!$C$4:$C$300,"Not set"))</f>
        <v>Taif</v>
      </c>
      <c r="D110" s="357">
        <f t="shared" ca="1" si="53"/>
        <v>0.2544578313253012</v>
      </c>
      <c r="E110" s="357">
        <f t="shared" ca="1" si="54"/>
        <v>0.125</v>
      </c>
      <c r="F110" s="357">
        <f t="shared" ca="1" si="55"/>
        <v>0.15492957746478872</v>
      </c>
      <c r="G110" s="357">
        <f t="shared" ca="1" si="56"/>
        <v>0.1542056074766355</v>
      </c>
      <c r="H110" s="357">
        <f t="shared" ca="1" si="57"/>
        <v>0.1743119266055046</v>
      </c>
      <c r="I110" s="357">
        <f t="shared" ca="1" si="58"/>
        <v>0.15023474178403756</v>
      </c>
      <c r="J110" s="357">
        <f t="shared" ca="1" si="59"/>
        <v>0.16260162601626016</v>
      </c>
      <c r="K110" s="357">
        <f t="shared" ca="1" si="60"/>
        <v>0.23880597014925373</v>
      </c>
      <c r="L110" s="357">
        <f t="shared" ca="1" si="61"/>
        <v>0.21014492753623187</v>
      </c>
      <c r="M110" s="357" t="str">
        <f t="shared" si="62"/>
        <v/>
      </c>
      <c r="N110" s="357" t="str">
        <f t="shared" si="63"/>
        <v/>
      </c>
      <c r="O110" s="357" t="str">
        <f t="shared" si="64"/>
        <v/>
      </c>
      <c r="P110" s="357" t="str">
        <f t="shared" si="65"/>
        <v/>
      </c>
      <c r="Q110" s="357" t="str">
        <f t="shared" si="66"/>
        <v/>
      </c>
      <c r="R110" s="358" cm="1">
        <f t="array" aca="1" ref="R110" ca="1">IF(OR($A110="",D110=""),"",IFERROR(LOOKUP(2,1/(E110:Q110&lt;&gt;""),E110:Q110)-D110,""))</f>
        <v>-4.4312903789069324E-2</v>
      </c>
      <c r="S110" s="349"/>
      <c r="T110" s="362">
        <f t="shared" ca="1" si="67"/>
        <v>125.86742424242425</v>
      </c>
      <c r="U110" s="362">
        <f t="shared" ca="1" si="68"/>
        <v>130.00103448275863</v>
      </c>
      <c r="V110" s="362">
        <f t="shared" ca="1" si="69"/>
        <v>155.18272727272728</v>
      </c>
      <c r="W110" s="362">
        <f t="shared" ca="1" si="70"/>
        <v>115.27484848484849</v>
      </c>
      <c r="X110" s="362">
        <f t="shared" ca="1" si="71"/>
        <v>115.20552631578948</v>
      </c>
      <c r="Y110" s="362">
        <f t="shared" ca="1" si="72"/>
        <v>132.21125000000001</v>
      </c>
      <c r="Z110" s="362">
        <f t="shared" ca="1" si="73"/>
        <v>158.46800000000002</v>
      </c>
      <c r="AA110" s="362">
        <f t="shared" ca="1" si="74"/>
        <v>155.77281249999999</v>
      </c>
      <c r="AB110" s="362">
        <f t="shared" ca="1" si="75"/>
        <v>112.45517241379309</v>
      </c>
      <c r="AC110" s="362" t="str">
        <f t="shared" si="76"/>
        <v/>
      </c>
      <c r="AD110" s="362" t="str">
        <f t="shared" si="77"/>
        <v/>
      </c>
      <c r="AE110" s="362" t="str">
        <f t="shared" si="78"/>
        <v/>
      </c>
      <c r="AF110" s="362" t="str">
        <f t="shared" si="79"/>
        <v/>
      </c>
      <c r="AG110" s="362" t="str">
        <f t="shared" si="80"/>
        <v/>
      </c>
      <c r="AH110" s="363" cm="1">
        <f t="array" aca="1" ref="AH110" ca="1">IF(OR($A110="",T110=""),"",IFERROR(LOOKUP(2,1/(U110:AG110&lt;&gt;""),U110:AG110)-T110,""))</f>
        <v>-13.412251828631156</v>
      </c>
      <c r="AI110" s="349"/>
      <c r="AJ110" s="349" cm="1">
        <f t="array" ref="AJ110">IF($A110="","",IFERROR(MATCH($A110,TRIM('Sales and count'!$A$4:$A$300&amp;""),0),""))</f>
        <v>86</v>
      </c>
      <c r="AK110" s="350" cm="1">
        <f t="array" ref="AK110">IF(OR($A110="",AK$6=""),"",IFERROR(INDEX(Footfall!$C$5:$BZ$301,MATCH($A110,TRIM(Footfall!$B$5:$B$301&amp;""),0),AK$5),0))</f>
        <v>4150</v>
      </c>
      <c r="AL110" s="350" cm="1">
        <f t="array" ref="AL110">IF(OR($A110="",AL$6=""),"",IFERROR(INDEX(Footfall!$C$5:$BZ$301,MATCH($A110,TRIM(Footfall!$B$5:$B$301&amp;""),0),AL$5),0))</f>
        <v>232</v>
      </c>
      <c r="AM110" s="350" cm="1">
        <f t="array" ref="AM110">IF(OR($A110="",AM$6=""),"",IFERROR(INDEX(Footfall!$C$5:$BZ$301,MATCH($A110,TRIM(Footfall!$B$5:$B$301&amp;""),0),AM$5),0))</f>
        <v>142</v>
      </c>
      <c r="AN110" s="350" cm="1">
        <f t="array" ref="AN110">IF(OR($A110="",AN$6=""),"",IFERROR(INDEX(Footfall!$C$5:$BZ$301,MATCH($A110,TRIM(Footfall!$B$5:$B$301&amp;""),0),AN$5),0))</f>
        <v>214</v>
      </c>
      <c r="AO110" s="350" cm="1">
        <f t="array" ref="AO110">IF(OR($A110="",AO$6=""),"",IFERROR(INDEX(Footfall!$C$5:$BZ$301,MATCH($A110,TRIM(Footfall!$B$5:$B$301&amp;""),0),AO$5),0))</f>
        <v>218</v>
      </c>
      <c r="AP110" s="350" cm="1">
        <f t="array" ref="AP110">IF(OR($A110="",AP$6=""),"",IFERROR(INDEX(Footfall!$C$5:$BZ$301,MATCH($A110,TRIM(Footfall!$B$5:$B$301&amp;""),0),AP$5),0))</f>
        <v>213</v>
      </c>
      <c r="AQ110" s="350" cm="1">
        <f t="array" ref="AQ110">IF(OR($A110="",AQ$6=""),"",IFERROR(INDEX(Footfall!$C$5:$BZ$301,MATCH($A110,TRIM(Footfall!$B$5:$B$301&amp;""),0),AQ$5),0))</f>
        <v>246</v>
      </c>
      <c r="AR110" s="350" cm="1">
        <f t="array" ref="AR110">IF(OR($A110="",AR$6=""),"",IFERROR(INDEX(Footfall!$C$5:$BZ$301,MATCH($A110,TRIM(Footfall!$B$5:$B$301&amp;""),0),AR$5),0))</f>
        <v>134</v>
      </c>
      <c r="AS110" s="350" cm="1">
        <f t="array" ref="AS110">IF(OR($A110="",AS$6=""),"",IFERROR(INDEX(Footfall!$C$5:$BZ$301,MATCH($A110,TRIM(Footfall!$B$5:$B$301&amp;""),0),AS$5),0))</f>
        <v>138</v>
      </c>
      <c r="AT110" s="350" t="str" cm="1">
        <f t="array" ref="AT110">IF(OR($A110="",AT$6=""),"",IFERROR(INDEX(Footfall!$C$5:$BZ$301,MATCH($A110,TRIM(Footfall!$B$5:$B$301&amp;""),0),AT$5),0))</f>
        <v/>
      </c>
      <c r="AU110" s="350" t="str" cm="1">
        <f t="array" ref="AU110">IF(OR($A110="",AU$6=""),"",IFERROR(INDEX(Footfall!$C$5:$BZ$301,MATCH($A110,TRIM(Footfall!$B$5:$B$301&amp;""),0),AU$5),0))</f>
        <v/>
      </c>
      <c r="AV110" s="350" t="str" cm="1">
        <f t="array" ref="AV110">IF(OR($A110="",AV$6=""),"",IFERROR(INDEX(Footfall!$C$5:$BZ$301,MATCH($A110,TRIM(Footfall!$B$5:$B$301&amp;""),0),AV$5),0))</f>
        <v/>
      </c>
      <c r="AW110" s="350" t="str" cm="1">
        <f t="array" ref="AW110">IF(OR($A110="",AW$6=""),"",IFERROR(INDEX(Footfall!$C$5:$BZ$301,MATCH($A110,TRIM(Footfall!$B$5:$B$301&amp;""),0),AW$5),0))</f>
        <v/>
      </c>
      <c r="AX110" s="350" t="str" cm="1">
        <f t="array" ref="AX110">IF(OR($A110="",AX$6=""),"",IFERROR(INDEX(Footfall!$C$5:$BZ$301,MATCH($A110,TRIM(Footfall!$B$5:$B$301&amp;""),0),AX$5),0))</f>
        <v/>
      </c>
      <c r="AY110" s="350" cm="1">
        <f t="array" aca="1" ref="AY110" ca="1">IF(AK110="","",IF($AJ110="",0,_xlfn.LET(_xlpm.d,IFERROR(--'Sales and count'!$F$2:$CB$2,0),SUMPRODUCT(('Sales and count'!$G$3:$CC$3="Transactions")*(_xlpm.d&gt;=AY$6)*(_xlpm.d&lt;=AY$7),INDEX('Sales and count'!$G$4:$CC$300,$AJ110,0)))))</f>
        <v>1056</v>
      </c>
      <c r="AZ110" s="350" cm="1">
        <f t="array" aca="1" ref="AZ110" ca="1">IF(AL110="","",IF($AJ110="",0,_xlfn.LET(_xlpm.d,IFERROR(--'Sales and count'!$F$2:$CB$2,0),SUMPRODUCT(('Sales and count'!$G$3:$CC$3="Transactions")*(_xlpm.d&gt;=AZ$6)*(_xlpm.d&lt;=AZ$7),INDEX('Sales and count'!$G$4:$CC$300,$AJ110,0)))))</f>
        <v>29</v>
      </c>
      <c r="BA110" s="350" cm="1">
        <f t="array" aca="1" ref="BA110" ca="1">IF(AM110="","",IF($AJ110="",0,_xlfn.LET(_xlpm.d,IFERROR(--'Sales and count'!$F$2:$CB$2,0),SUMPRODUCT(('Sales and count'!$G$3:$CC$3="Transactions")*(_xlpm.d&gt;=BA$6)*(_xlpm.d&lt;=BA$7),INDEX('Sales and count'!$G$4:$CC$300,$AJ110,0)))))</f>
        <v>22</v>
      </c>
      <c r="BB110" s="350" cm="1">
        <f t="array" aca="1" ref="BB110" ca="1">IF(AN110="","",IF($AJ110="",0,_xlfn.LET(_xlpm.d,IFERROR(--'Sales and count'!$F$2:$CB$2,0),SUMPRODUCT(('Sales and count'!$G$3:$CC$3="Transactions")*(_xlpm.d&gt;=BB$6)*(_xlpm.d&lt;=BB$7),INDEX('Sales and count'!$G$4:$CC$300,$AJ110,0)))))</f>
        <v>33</v>
      </c>
      <c r="BC110" s="350" cm="1">
        <f t="array" aca="1" ref="BC110" ca="1">IF(AO110="","",IF($AJ110="",0,_xlfn.LET(_xlpm.d,IFERROR(--'Sales and count'!$F$2:$CB$2,0),SUMPRODUCT(('Sales and count'!$G$3:$CC$3="Transactions")*(_xlpm.d&gt;=BC$6)*(_xlpm.d&lt;=BC$7),INDEX('Sales and count'!$G$4:$CC$300,$AJ110,0)))))</f>
        <v>38</v>
      </c>
      <c r="BD110" s="350" cm="1">
        <f t="array" aca="1" ref="BD110" ca="1">IF(AP110="","",IF($AJ110="",0,_xlfn.LET(_xlpm.d,IFERROR(--'Sales and count'!$F$2:$CB$2,0),SUMPRODUCT(('Sales and count'!$G$3:$CC$3="Transactions")*(_xlpm.d&gt;=BD$6)*(_xlpm.d&lt;=BD$7),INDEX('Sales and count'!$G$4:$CC$300,$AJ110,0)))))</f>
        <v>32</v>
      </c>
      <c r="BE110" s="350" cm="1">
        <f t="array" aca="1" ref="BE110" ca="1">IF(AQ110="","",IF($AJ110="",0,_xlfn.LET(_xlpm.d,IFERROR(--'Sales and count'!$F$2:$CB$2,0),SUMPRODUCT(('Sales and count'!$G$3:$CC$3="Transactions")*(_xlpm.d&gt;=BE$6)*(_xlpm.d&lt;=BE$7),INDEX('Sales and count'!$G$4:$CC$300,$AJ110,0)))))</f>
        <v>40</v>
      </c>
      <c r="BF110" s="350" cm="1">
        <f t="array" aca="1" ref="BF110" ca="1">IF(AR110="","",IF($AJ110="",0,_xlfn.LET(_xlpm.d,IFERROR(--'Sales and count'!$F$2:$CB$2,0),SUMPRODUCT(('Sales and count'!$G$3:$CC$3="Transactions")*(_xlpm.d&gt;=BF$6)*(_xlpm.d&lt;=BF$7),INDEX('Sales and count'!$G$4:$CC$300,$AJ110,0)))))</f>
        <v>32</v>
      </c>
      <c r="BG110" s="350" cm="1">
        <f t="array" aca="1" ref="BG110" ca="1">IF(AS110="","",IF($AJ110="",0,_xlfn.LET(_xlpm.d,IFERROR(--'Sales and count'!$F$2:$CB$2,0),SUMPRODUCT(('Sales and count'!$G$3:$CC$3="Transactions")*(_xlpm.d&gt;=BG$6)*(_xlpm.d&lt;=BG$7),INDEX('Sales and count'!$G$4:$CC$300,$AJ110,0)))))</f>
        <v>29</v>
      </c>
      <c r="BH110" s="350" t="str" cm="1">
        <f t="array" ref="BH110">IF(AT110="","",IF($AJ110="",0,_xlfn.LET(_xlpm.d,IFERROR(--'Sales and count'!$F$2:$CB$2,0),SUMPRODUCT(('Sales and count'!$G$3:$CC$3="Transactions")*(_xlpm.d&gt;=BH$6)*(_xlpm.d&lt;=BH$7),INDEX('Sales and count'!$G$4:$CC$300,$AJ110,0)))))</f>
        <v/>
      </c>
      <c r="BI110" s="350" t="str" cm="1">
        <f t="array" ref="BI110">IF(AU110="","",IF($AJ110="",0,_xlfn.LET(_xlpm.d,IFERROR(--'Sales and count'!$F$2:$CB$2,0),SUMPRODUCT(('Sales and count'!$G$3:$CC$3="Transactions")*(_xlpm.d&gt;=BI$6)*(_xlpm.d&lt;=BI$7),INDEX('Sales and count'!$G$4:$CC$300,$AJ110,0)))))</f>
        <v/>
      </c>
      <c r="BJ110" s="350" t="str" cm="1">
        <f t="array" ref="BJ110">IF(AV110="","",IF($AJ110="",0,_xlfn.LET(_xlpm.d,IFERROR(--'Sales and count'!$F$2:$CB$2,0),SUMPRODUCT(('Sales and count'!$G$3:$CC$3="Transactions")*(_xlpm.d&gt;=BJ$6)*(_xlpm.d&lt;=BJ$7),INDEX('Sales and count'!$G$4:$CC$300,$AJ110,0)))))</f>
        <v/>
      </c>
      <c r="BK110" s="350" t="str" cm="1">
        <f t="array" ref="BK110">IF(AW110="","",IF($AJ110="",0,_xlfn.LET(_xlpm.d,IFERROR(--'Sales and count'!$F$2:$CB$2,0),SUMPRODUCT(('Sales and count'!$G$3:$CC$3="Transactions")*(_xlpm.d&gt;=BK$6)*(_xlpm.d&lt;=BK$7),INDEX('Sales and count'!$G$4:$CC$300,$AJ110,0)))))</f>
        <v/>
      </c>
      <c r="BL110" s="350" t="str" cm="1">
        <f t="array" ref="BL110">IF(AX110="","",IF($AJ110="",0,_xlfn.LET(_xlpm.d,IFERROR(--'Sales and count'!$F$2:$CB$2,0),SUMPRODUCT(('Sales and count'!$G$3:$CC$3="Transactions")*(_xlpm.d&gt;=BL$6)*(_xlpm.d&lt;=BL$7),INDEX('Sales and count'!$G$4:$CC$300,$AJ110,0)))))</f>
        <v/>
      </c>
      <c r="BM110" s="350" cm="1">
        <f t="array" ref="BM110">IF(AK110="","",IF($AJ110="",0,_xlfn.LET(_xlpm.d,IFERROR(--'Sales and count'!$G$2:$CC$2,0),SUMPRODUCT(('Sales and count'!$G$3:$CC$3="Total")*(_xlpm.d&gt;=BM$6)*(_xlpm.d&lt;=BM$7),INDEX('Sales and count'!$G$4:$CC$300,$AJ110,0)))))</f>
        <v>132916</v>
      </c>
      <c r="BN110" s="350" cm="1">
        <f t="array" ref="BN110">IF(AL110="","",IF($AJ110="",0,_xlfn.LET(_xlpm.d,IFERROR(--'Sales and count'!$G$2:$CC$2,0),SUMPRODUCT(('Sales and count'!$G$3:$CC$3="Total")*(_xlpm.d&gt;=BN$6)*(_xlpm.d&lt;=BN$7),INDEX('Sales and count'!$G$4:$CC$300,$AJ110,0)))))</f>
        <v>3770.03</v>
      </c>
      <c r="BO110" s="350" cm="1">
        <f t="array" ref="BO110">IF(AM110="","",IF($AJ110="",0,_xlfn.LET(_xlpm.d,IFERROR(--'Sales and count'!$G$2:$CC$2,0),SUMPRODUCT(('Sales and count'!$G$3:$CC$3="Total")*(_xlpm.d&gt;=BO$6)*(_xlpm.d&lt;=BO$7),INDEX('Sales and count'!$G$4:$CC$300,$AJ110,0)))))</f>
        <v>3414.02</v>
      </c>
      <c r="BP110" s="350" cm="1">
        <f t="array" ref="BP110">IF(AN110="","",IF($AJ110="",0,_xlfn.LET(_xlpm.d,IFERROR(--'Sales and count'!$G$2:$CC$2,0),SUMPRODUCT(('Sales and count'!$G$3:$CC$3="Total")*(_xlpm.d&gt;=BP$6)*(_xlpm.d&lt;=BP$7),INDEX('Sales and count'!$G$4:$CC$300,$AJ110,0)))))</f>
        <v>3804.07</v>
      </c>
      <c r="BQ110" s="350" cm="1">
        <f t="array" ref="BQ110">IF(AO110="","",IF($AJ110="",0,_xlfn.LET(_xlpm.d,IFERROR(--'Sales and count'!$G$2:$CC$2,0),SUMPRODUCT(('Sales and count'!$G$3:$CC$3="Total")*(_xlpm.d&gt;=BQ$6)*(_xlpm.d&lt;=BQ$7),INDEX('Sales and count'!$G$4:$CC$300,$AJ110,0)))))</f>
        <v>4377.8100000000004</v>
      </c>
      <c r="BR110" s="350" cm="1">
        <f t="array" ref="BR110">IF(AP110="","",IF($AJ110="",0,_xlfn.LET(_xlpm.d,IFERROR(--'Sales and count'!$G$2:$CC$2,0),SUMPRODUCT(('Sales and count'!$G$3:$CC$3="Total")*(_xlpm.d&gt;=BR$6)*(_xlpm.d&lt;=BR$7),INDEX('Sales and count'!$G$4:$CC$300,$AJ110,0)))))</f>
        <v>4230.76</v>
      </c>
      <c r="BS110" s="350" cm="1">
        <f t="array" ref="BS110">IF(AQ110="","",IF($AJ110="",0,_xlfn.LET(_xlpm.d,IFERROR(--'Sales and count'!$G$2:$CC$2,0),SUMPRODUCT(('Sales and count'!$G$3:$CC$3="Total")*(_xlpm.d&gt;=BS$6)*(_xlpm.d&lt;=BS$7),INDEX('Sales and count'!$G$4:$CC$300,$AJ110,0)))))</f>
        <v>6338.72</v>
      </c>
      <c r="BT110" s="350" cm="1">
        <f t="array" ref="BT110">IF(AR110="","",IF($AJ110="",0,_xlfn.LET(_xlpm.d,IFERROR(--'Sales and count'!$G$2:$CC$2,0),SUMPRODUCT(('Sales and count'!$G$3:$CC$3="Total")*(_xlpm.d&gt;=BT$6)*(_xlpm.d&lt;=BT$7),INDEX('Sales and count'!$G$4:$CC$300,$AJ110,0)))))</f>
        <v>4984.7299999999996</v>
      </c>
      <c r="BU110" s="350" cm="1">
        <f t="array" ref="BU110">IF(AS110="","",IF($AJ110="",0,_xlfn.LET(_xlpm.d,IFERROR(--'Sales and count'!$G$2:$CC$2,0),SUMPRODUCT(('Sales and count'!$G$3:$CC$3="Total")*(_xlpm.d&gt;=BU$6)*(_xlpm.d&lt;=BU$7),INDEX('Sales and count'!$G$4:$CC$300,$AJ110,0)))))</f>
        <v>3261.2</v>
      </c>
      <c r="BV110" s="350" t="str" cm="1">
        <f t="array" ref="BV110">IF(AT110="","",IF($AJ110="",0,_xlfn.LET(_xlpm.d,IFERROR(--'Sales and count'!$G$2:$CC$2,0),SUMPRODUCT(('Sales and count'!$G$3:$CC$3="Total")*(_xlpm.d&gt;=BV$6)*(_xlpm.d&lt;=BV$7),INDEX('Sales and count'!$G$4:$CC$300,$AJ110,0)))))</f>
        <v/>
      </c>
      <c r="BW110" s="350" t="str" cm="1">
        <f t="array" ref="BW110">IF(AU110="","",IF($AJ110="",0,_xlfn.LET(_xlpm.d,IFERROR(--'Sales and count'!$G$2:$CC$2,0),SUMPRODUCT(('Sales and count'!$G$3:$CC$3="Total")*(_xlpm.d&gt;=BW$6)*(_xlpm.d&lt;=BW$7),INDEX('Sales and count'!$G$4:$CC$300,$AJ110,0)))))</f>
        <v/>
      </c>
      <c r="BX110" s="350" t="str" cm="1">
        <f t="array" ref="BX110">IF(AV110="","",IF($AJ110="",0,_xlfn.LET(_xlpm.d,IFERROR(--'Sales and count'!$G$2:$CC$2,0),SUMPRODUCT(('Sales and count'!$G$3:$CC$3="Total")*(_xlpm.d&gt;=BX$6)*(_xlpm.d&lt;=BX$7),INDEX('Sales and count'!$G$4:$CC$300,$AJ110,0)))))</f>
        <v/>
      </c>
      <c r="BY110" s="350" t="str" cm="1">
        <f t="array" ref="BY110">IF(AW110="","",IF($AJ110="",0,_xlfn.LET(_xlpm.d,IFERROR(--'Sales and count'!$G$2:$CC$2,0),SUMPRODUCT(('Sales and count'!$G$3:$CC$3="Total")*(_xlpm.d&gt;=BY$6)*(_xlpm.d&lt;=BY$7),INDEX('Sales and count'!$G$4:$CC$300,$AJ110,0)))))</f>
        <v/>
      </c>
      <c r="BZ110" s="350" t="str" cm="1">
        <f t="array" ref="BZ110">IF(AX110="","",IF($AJ110="",0,_xlfn.LET(_xlpm.d,IFERROR(--'Sales and count'!$G$2:$CC$2,0),SUMPRODUCT(('Sales and count'!$G$3:$CC$3="Total")*(_xlpm.d&gt;=BZ$6)*(_xlpm.d&lt;=BZ$7),INDEX('Sales and count'!$G$4:$CC$300,$AJ110,0)))))</f>
        <v/>
      </c>
    </row>
    <row r="111" spans="1:78" x14ac:dyDescent="0.25">
      <c r="A111" s="356" t="str">
        <v>HATERATIF</v>
      </c>
      <c r="B111" s="356" t="str" cm="1">
        <f t="array" ref="B111">IF($A111="","",_xlfn.XLOOKUP($A111,TRIM(Footfall!$B$5:$B$301&amp;""),Footfall!$A$5:$A$301,""))</f>
        <v>Tera Mall Taif</v>
      </c>
      <c r="C111" s="356" t="str" cm="1">
        <f t="array" ref="C111">IF($A111="","",_xlfn.XLOOKUP($A111,TRIM('Sales and count'!$A$4:$A$300&amp;""),'Sales and count'!$C$4:$C$300,"Not set"))</f>
        <v>Taif</v>
      </c>
      <c r="D111" s="357">
        <f t="shared" ref="D111:D145" ca="1" si="81">IF(OR($A111="",AK111="",N(AK111)=0),"",AY111/AK111)</f>
        <v>0.16334323292320746</v>
      </c>
      <c r="E111" s="357">
        <f t="shared" ref="E111:E145" ca="1" si="82">IF(OR($A111="",AL111="",N(AL111)=0),"",AZ111/AL111)</f>
        <v>9.8214285714285712E-2</v>
      </c>
      <c r="F111" s="357">
        <f t="shared" ref="F111:F145" ca="1" si="83">IF(OR($A111="",AM111="",N(AM111)=0),"",BA111/AM111)</f>
        <v>0.11458333333333333</v>
      </c>
      <c r="G111" s="357">
        <f t="shared" ref="G111:G145" ca="1" si="84">IF(OR($A111="",AN111="",N(AN111)=0),"",BB111/AN111)</f>
        <v>0.10344827586206896</v>
      </c>
      <c r="H111" s="357">
        <f t="shared" ref="H111:H145" ca="1" si="85">IF(OR($A111="",AO111="",N(AO111)=0),"",BC111/AO111)</f>
        <v>0.10784313725490197</v>
      </c>
      <c r="I111" s="357">
        <f t="shared" ref="I111:I145" ca="1" si="86">IF(OR($A111="",AP111="",N(AP111)=0),"",BD111/AP111)</f>
        <v>0.1111111111111111</v>
      </c>
      <c r="J111" s="357">
        <f t="shared" ref="J111:J145" ca="1" si="87">IF(OR($A111="",AQ111="",N(AQ111)=0),"",BE111/AQ111)</f>
        <v>0.19791666666666666</v>
      </c>
      <c r="K111" s="357" t="str">
        <f t="shared" ref="K111:K145" si="88">IF(OR($A111="",AR111="",N(AR111)=0),"",BF111/AR111)</f>
        <v/>
      </c>
      <c r="L111" s="357" t="str">
        <f t="shared" ref="L111:L145" si="89">IF(OR($A111="",AS111="",N(AS111)=0),"",BG111/AS111)</f>
        <v/>
      </c>
      <c r="M111" s="357" t="str">
        <f t="shared" ref="M111:M145" si="90">IF(OR($A111="",AT111="",N(AT111)=0),"",BH111/AT111)</f>
        <v/>
      </c>
      <c r="N111" s="357" t="str">
        <f t="shared" ref="N111:N145" si="91">IF(OR($A111="",AU111="",N(AU111)=0),"",BI111/AU111)</f>
        <v/>
      </c>
      <c r="O111" s="357" t="str">
        <f t="shared" ref="O111:O145" si="92">IF(OR($A111="",AV111="",N(AV111)=0),"",BJ111/AV111)</f>
        <v/>
      </c>
      <c r="P111" s="357" t="str">
        <f t="shared" ref="P111:P145" si="93">IF(OR($A111="",AW111="",N(AW111)=0),"",BK111/AW111)</f>
        <v/>
      </c>
      <c r="Q111" s="357" t="str">
        <f t="shared" ref="Q111:Q145" si="94">IF(OR($A111="",AX111="",N(AX111)=0),"",BL111/AX111)</f>
        <v/>
      </c>
      <c r="R111" s="358" cm="1">
        <f t="array" aca="1" ref="R111" ca="1">IF(OR($A111="",D111=""),"",IFERROR(LOOKUP(2,1/(E111:Q111&lt;&gt;""),E111:Q111)-D111,""))</f>
        <v>3.4573433743459198E-2</v>
      </c>
      <c r="S111" s="349"/>
      <c r="T111" s="362">
        <f t="shared" ref="T111:T145" ca="1" si="95">IF(OR($A111="",AY111="",N(AY111)=0),"",BM111/AY111)</f>
        <v>109.8902077922078</v>
      </c>
      <c r="U111" s="362">
        <f t="shared" ref="U111:U145" ca="1" si="96">IF(OR($A111="",AZ111="",N(AZ111)=0),"",BN111/AZ111)</f>
        <v>150.45727272727274</v>
      </c>
      <c r="V111" s="362">
        <f t="shared" ref="V111:V145" ca="1" si="97">IF(OR($A111="",BA111="",N(BA111)=0),"",BO111/BA111)</f>
        <v>114.18636363636364</v>
      </c>
      <c r="W111" s="362">
        <f t="shared" ref="W111:W145" ca="1" si="98">IF(OR($A111="",BB111="",N(BB111)=0),"",BP111/BB111)</f>
        <v>145.00166666666667</v>
      </c>
      <c r="X111" s="362">
        <f t="shared" ref="X111:X145" ca="1" si="99">IF(OR($A111="",BC111="",N(BC111)=0),"",BQ111/BC111)</f>
        <v>100.63545454545455</v>
      </c>
      <c r="Y111" s="362">
        <f t="shared" ref="Y111:Y145" ca="1" si="100">IF(OR($A111="",BD111="",N(BD111)=0),"",BR111/BD111)</f>
        <v>308.48750000000001</v>
      </c>
      <c r="Z111" s="362">
        <f t="shared" ref="Z111:Z145" ca="1" si="101">IF(OR($A111="",BE111="",N(BE111)=0),"",BS111/BE111)</f>
        <v>147.56789473684211</v>
      </c>
      <c r="AA111" s="362">
        <f t="shared" ref="AA111:AA145" ca="1" si="102">IF(OR($A111="",BF111="",N(BF111)=0),"",BT111/BF111)</f>
        <v>126.26052631578946</v>
      </c>
      <c r="AB111" s="362">
        <f t="shared" ref="AB111:AB145" ca="1" si="103">IF(OR($A111="",BG111="",N(BG111)=0),"",BU111/BG111)</f>
        <v>154.59470588235294</v>
      </c>
      <c r="AC111" s="362" t="str">
        <f t="shared" ref="AC111:AC145" si="104">IF(OR($A111="",BH111="",N(BH111)=0),"",BV111/BH111)</f>
        <v/>
      </c>
      <c r="AD111" s="362" t="str">
        <f t="shared" ref="AD111:AD145" si="105">IF(OR($A111="",BI111="",N(BI111)=0),"",BW111/BI111)</f>
        <v/>
      </c>
      <c r="AE111" s="362" t="str">
        <f t="shared" ref="AE111:AE145" si="106">IF(OR($A111="",BJ111="",N(BJ111)=0),"",BX111/BJ111)</f>
        <v/>
      </c>
      <c r="AF111" s="362" t="str">
        <f t="shared" ref="AF111:AF145" si="107">IF(OR($A111="",BK111="",N(BK111)=0),"",BY111/BK111)</f>
        <v/>
      </c>
      <c r="AG111" s="362" t="str">
        <f t="shared" ref="AG111:AG145" si="108">IF(OR($A111="",BL111="",N(BL111)=0),"",BZ111/BL111)</f>
        <v/>
      </c>
      <c r="AH111" s="363" cm="1">
        <f t="array" aca="1" ref="AH111" ca="1">IF(OR($A111="",T111=""),"",IFERROR(LOOKUP(2,1/(U111:AG111&lt;&gt;""),U111:AG111)-T111,""))</f>
        <v>44.704498090145137</v>
      </c>
      <c r="AI111" s="349"/>
      <c r="AJ111" s="349" cm="1">
        <f t="array" ref="AJ111">IF($A111="","",IFERROR(MATCH($A111,TRIM('Sales and count'!$A$4:$A$300&amp;""),0),""))</f>
        <v>98</v>
      </c>
      <c r="AK111" s="350" cm="1">
        <f t="array" ref="AK111">IF(OR($A111="",AK$6=""),"",IFERROR(INDEX(Footfall!$C$5:$BZ$301,MATCH($A111,TRIM(Footfall!$B$5:$B$301&amp;""),0),AK$5),0))</f>
        <v>2357</v>
      </c>
      <c r="AL111" s="350" cm="1">
        <f t="array" ref="AL111">IF(OR($A111="",AL$6=""),"",IFERROR(INDEX(Footfall!$C$5:$BZ$301,MATCH($A111,TRIM(Footfall!$B$5:$B$301&amp;""),0),AL$5),0))</f>
        <v>112</v>
      </c>
      <c r="AM111" s="350" cm="1">
        <f t="array" ref="AM111">IF(OR($A111="",AM$6=""),"",IFERROR(INDEX(Footfall!$C$5:$BZ$301,MATCH($A111,TRIM(Footfall!$B$5:$B$301&amp;""),0),AM$5),0))</f>
        <v>96</v>
      </c>
      <c r="AN111" s="350" cm="1">
        <f t="array" ref="AN111">IF(OR($A111="",AN$6=""),"",IFERROR(INDEX(Footfall!$C$5:$BZ$301,MATCH($A111,TRIM(Footfall!$B$5:$B$301&amp;""),0),AN$5),0))</f>
        <v>58</v>
      </c>
      <c r="AO111" s="350" cm="1">
        <f t="array" ref="AO111">IF(OR($A111="",AO$6=""),"",IFERROR(INDEX(Footfall!$C$5:$BZ$301,MATCH($A111,TRIM(Footfall!$B$5:$B$301&amp;""),0),AO$5),0))</f>
        <v>102</v>
      </c>
      <c r="AP111" s="350" cm="1">
        <f t="array" ref="AP111">IF(OR($A111="",AP$6=""),"",IFERROR(INDEX(Footfall!$C$5:$BZ$301,MATCH($A111,TRIM(Footfall!$B$5:$B$301&amp;""),0),AP$5),0))</f>
        <v>72</v>
      </c>
      <c r="AQ111" s="350" cm="1">
        <f t="array" ref="AQ111">IF(OR($A111="",AQ$6=""),"",IFERROR(INDEX(Footfall!$C$5:$BZ$301,MATCH($A111,TRIM(Footfall!$B$5:$B$301&amp;""),0),AQ$5),0))</f>
        <v>96</v>
      </c>
      <c r="AR111" s="350" cm="1">
        <f t="array" ref="AR111">IF(OR($A111="",AR$6=""),"",IFERROR(INDEX(Footfall!$C$5:$BZ$301,MATCH($A111,TRIM(Footfall!$B$5:$B$301&amp;""),0),AR$5),0))</f>
        <v>0</v>
      </c>
      <c r="AS111" s="350" cm="1">
        <f t="array" ref="AS111">IF(OR($A111="",AS$6=""),"",IFERROR(INDEX(Footfall!$C$5:$BZ$301,MATCH($A111,TRIM(Footfall!$B$5:$B$301&amp;""),0),AS$5),0))</f>
        <v>0</v>
      </c>
      <c r="AT111" s="350" t="str" cm="1">
        <f t="array" ref="AT111">IF(OR($A111="",AT$6=""),"",IFERROR(INDEX(Footfall!$C$5:$BZ$301,MATCH($A111,TRIM(Footfall!$B$5:$B$301&amp;""),0),AT$5),0))</f>
        <v/>
      </c>
      <c r="AU111" s="350" t="str" cm="1">
        <f t="array" ref="AU111">IF(OR($A111="",AU$6=""),"",IFERROR(INDEX(Footfall!$C$5:$BZ$301,MATCH($A111,TRIM(Footfall!$B$5:$B$301&amp;""),0),AU$5),0))</f>
        <v/>
      </c>
      <c r="AV111" s="350" t="str" cm="1">
        <f t="array" ref="AV111">IF(OR($A111="",AV$6=""),"",IFERROR(INDEX(Footfall!$C$5:$BZ$301,MATCH($A111,TRIM(Footfall!$B$5:$B$301&amp;""),0),AV$5),0))</f>
        <v/>
      </c>
      <c r="AW111" s="350" t="str" cm="1">
        <f t="array" ref="AW111">IF(OR($A111="",AW$6=""),"",IFERROR(INDEX(Footfall!$C$5:$BZ$301,MATCH($A111,TRIM(Footfall!$B$5:$B$301&amp;""),0),AW$5),0))</f>
        <v/>
      </c>
      <c r="AX111" s="350" t="str" cm="1">
        <f t="array" ref="AX111">IF(OR($A111="",AX$6=""),"",IFERROR(INDEX(Footfall!$C$5:$BZ$301,MATCH($A111,TRIM(Footfall!$B$5:$B$301&amp;""),0),AX$5),0))</f>
        <v/>
      </c>
      <c r="AY111" s="350" cm="1">
        <f t="array" aca="1" ref="AY111" ca="1">IF(AK111="","",IF($AJ111="",0,_xlfn.LET(_xlpm.d,IFERROR(--'Sales and count'!$F$2:$CB$2,0),SUMPRODUCT(('Sales and count'!$G$3:$CC$3="Transactions")*(_xlpm.d&gt;=AY$6)*(_xlpm.d&lt;=AY$7),INDEX('Sales and count'!$G$4:$CC$300,$AJ111,0)))))</f>
        <v>385</v>
      </c>
      <c r="AZ111" s="350" cm="1">
        <f t="array" aca="1" ref="AZ111" ca="1">IF(AL111="","",IF($AJ111="",0,_xlfn.LET(_xlpm.d,IFERROR(--'Sales and count'!$F$2:$CB$2,0),SUMPRODUCT(('Sales and count'!$G$3:$CC$3="Transactions")*(_xlpm.d&gt;=AZ$6)*(_xlpm.d&lt;=AZ$7),INDEX('Sales and count'!$G$4:$CC$300,$AJ111,0)))))</f>
        <v>11</v>
      </c>
      <c r="BA111" s="350" cm="1">
        <f t="array" aca="1" ref="BA111" ca="1">IF(AM111="","",IF($AJ111="",0,_xlfn.LET(_xlpm.d,IFERROR(--'Sales and count'!$F$2:$CB$2,0),SUMPRODUCT(('Sales and count'!$G$3:$CC$3="Transactions")*(_xlpm.d&gt;=BA$6)*(_xlpm.d&lt;=BA$7),INDEX('Sales and count'!$G$4:$CC$300,$AJ111,0)))))</f>
        <v>11</v>
      </c>
      <c r="BB111" s="350" cm="1">
        <f t="array" aca="1" ref="BB111" ca="1">IF(AN111="","",IF($AJ111="",0,_xlfn.LET(_xlpm.d,IFERROR(--'Sales and count'!$F$2:$CB$2,0),SUMPRODUCT(('Sales and count'!$G$3:$CC$3="Transactions")*(_xlpm.d&gt;=BB$6)*(_xlpm.d&lt;=BB$7),INDEX('Sales and count'!$G$4:$CC$300,$AJ111,0)))))</f>
        <v>6</v>
      </c>
      <c r="BC111" s="350" cm="1">
        <f t="array" aca="1" ref="BC111" ca="1">IF(AO111="","",IF($AJ111="",0,_xlfn.LET(_xlpm.d,IFERROR(--'Sales and count'!$F$2:$CB$2,0),SUMPRODUCT(('Sales and count'!$G$3:$CC$3="Transactions")*(_xlpm.d&gt;=BC$6)*(_xlpm.d&lt;=BC$7),INDEX('Sales and count'!$G$4:$CC$300,$AJ111,0)))))</f>
        <v>11</v>
      </c>
      <c r="BD111" s="350" cm="1">
        <f t="array" aca="1" ref="BD111" ca="1">IF(AP111="","",IF($AJ111="",0,_xlfn.LET(_xlpm.d,IFERROR(--'Sales and count'!$F$2:$CB$2,0),SUMPRODUCT(('Sales and count'!$G$3:$CC$3="Transactions")*(_xlpm.d&gt;=BD$6)*(_xlpm.d&lt;=BD$7),INDEX('Sales and count'!$G$4:$CC$300,$AJ111,0)))))</f>
        <v>8</v>
      </c>
      <c r="BE111" s="350" cm="1">
        <f t="array" aca="1" ref="BE111" ca="1">IF(AQ111="","",IF($AJ111="",0,_xlfn.LET(_xlpm.d,IFERROR(--'Sales and count'!$F$2:$CB$2,0),SUMPRODUCT(('Sales and count'!$G$3:$CC$3="Transactions")*(_xlpm.d&gt;=BE$6)*(_xlpm.d&lt;=BE$7),INDEX('Sales and count'!$G$4:$CC$300,$AJ111,0)))))</f>
        <v>19</v>
      </c>
      <c r="BF111" s="350" cm="1">
        <f t="array" aca="1" ref="BF111" ca="1">IF(AR111="","",IF($AJ111="",0,_xlfn.LET(_xlpm.d,IFERROR(--'Sales and count'!$F$2:$CB$2,0),SUMPRODUCT(('Sales and count'!$G$3:$CC$3="Transactions")*(_xlpm.d&gt;=BF$6)*(_xlpm.d&lt;=BF$7),INDEX('Sales and count'!$G$4:$CC$300,$AJ111,0)))))</f>
        <v>19</v>
      </c>
      <c r="BG111" s="350" cm="1">
        <f t="array" aca="1" ref="BG111" ca="1">IF(AS111="","",IF($AJ111="",0,_xlfn.LET(_xlpm.d,IFERROR(--'Sales and count'!$F$2:$CB$2,0),SUMPRODUCT(('Sales and count'!$G$3:$CC$3="Transactions")*(_xlpm.d&gt;=BG$6)*(_xlpm.d&lt;=BG$7),INDEX('Sales and count'!$G$4:$CC$300,$AJ111,0)))))</f>
        <v>17</v>
      </c>
      <c r="BH111" s="350" t="str" cm="1">
        <f t="array" ref="BH111">IF(AT111="","",IF($AJ111="",0,_xlfn.LET(_xlpm.d,IFERROR(--'Sales and count'!$F$2:$CB$2,0),SUMPRODUCT(('Sales and count'!$G$3:$CC$3="Transactions")*(_xlpm.d&gt;=BH$6)*(_xlpm.d&lt;=BH$7),INDEX('Sales and count'!$G$4:$CC$300,$AJ111,0)))))</f>
        <v/>
      </c>
      <c r="BI111" s="350" t="str" cm="1">
        <f t="array" ref="BI111">IF(AU111="","",IF($AJ111="",0,_xlfn.LET(_xlpm.d,IFERROR(--'Sales and count'!$F$2:$CB$2,0),SUMPRODUCT(('Sales and count'!$G$3:$CC$3="Transactions")*(_xlpm.d&gt;=BI$6)*(_xlpm.d&lt;=BI$7),INDEX('Sales and count'!$G$4:$CC$300,$AJ111,0)))))</f>
        <v/>
      </c>
      <c r="BJ111" s="350" t="str" cm="1">
        <f t="array" ref="BJ111">IF(AV111="","",IF($AJ111="",0,_xlfn.LET(_xlpm.d,IFERROR(--'Sales and count'!$F$2:$CB$2,0),SUMPRODUCT(('Sales and count'!$G$3:$CC$3="Transactions")*(_xlpm.d&gt;=BJ$6)*(_xlpm.d&lt;=BJ$7),INDEX('Sales and count'!$G$4:$CC$300,$AJ111,0)))))</f>
        <v/>
      </c>
      <c r="BK111" s="350" t="str" cm="1">
        <f t="array" ref="BK111">IF(AW111="","",IF($AJ111="",0,_xlfn.LET(_xlpm.d,IFERROR(--'Sales and count'!$F$2:$CB$2,0),SUMPRODUCT(('Sales and count'!$G$3:$CC$3="Transactions")*(_xlpm.d&gt;=BK$6)*(_xlpm.d&lt;=BK$7),INDEX('Sales and count'!$G$4:$CC$300,$AJ111,0)))))</f>
        <v/>
      </c>
      <c r="BL111" s="350" t="str" cm="1">
        <f t="array" ref="BL111">IF(AX111="","",IF($AJ111="",0,_xlfn.LET(_xlpm.d,IFERROR(--'Sales and count'!$F$2:$CB$2,0),SUMPRODUCT(('Sales and count'!$G$3:$CC$3="Transactions")*(_xlpm.d&gt;=BL$6)*(_xlpm.d&lt;=BL$7),INDEX('Sales and count'!$G$4:$CC$300,$AJ111,0)))))</f>
        <v/>
      </c>
      <c r="BM111" s="350" cm="1">
        <f t="array" ref="BM111">IF(AK111="","",IF($AJ111="",0,_xlfn.LET(_xlpm.d,IFERROR(--'Sales and count'!$G$2:$CC$2,0),SUMPRODUCT(('Sales and count'!$G$3:$CC$3="Total")*(_xlpm.d&gt;=BM$6)*(_xlpm.d&lt;=BM$7),INDEX('Sales and count'!$G$4:$CC$300,$AJ111,0)))))</f>
        <v>42307.73</v>
      </c>
      <c r="BN111" s="350" cm="1">
        <f t="array" ref="BN111">IF(AL111="","",IF($AJ111="",0,_xlfn.LET(_xlpm.d,IFERROR(--'Sales and count'!$G$2:$CC$2,0),SUMPRODUCT(('Sales and count'!$G$3:$CC$3="Total")*(_xlpm.d&gt;=BN$6)*(_xlpm.d&lt;=BN$7),INDEX('Sales and count'!$G$4:$CC$300,$AJ111,0)))))</f>
        <v>1655.03</v>
      </c>
      <c r="BO111" s="350" cm="1">
        <f t="array" ref="BO111">IF(AM111="","",IF($AJ111="",0,_xlfn.LET(_xlpm.d,IFERROR(--'Sales and count'!$G$2:$CC$2,0),SUMPRODUCT(('Sales and count'!$G$3:$CC$3="Total")*(_xlpm.d&gt;=BO$6)*(_xlpm.d&lt;=BO$7),INDEX('Sales and count'!$G$4:$CC$300,$AJ111,0)))))</f>
        <v>1256.05</v>
      </c>
      <c r="BP111" s="350" cm="1">
        <f t="array" ref="BP111">IF(AN111="","",IF($AJ111="",0,_xlfn.LET(_xlpm.d,IFERROR(--'Sales and count'!$G$2:$CC$2,0),SUMPRODUCT(('Sales and count'!$G$3:$CC$3="Total")*(_xlpm.d&gt;=BP$6)*(_xlpm.d&lt;=BP$7),INDEX('Sales and count'!$G$4:$CC$300,$AJ111,0)))))</f>
        <v>870.01</v>
      </c>
      <c r="BQ111" s="350" cm="1">
        <f t="array" ref="BQ111">IF(AO111="","",IF($AJ111="",0,_xlfn.LET(_xlpm.d,IFERROR(--'Sales and count'!$G$2:$CC$2,0),SUMPRODUCT(('Sales and count'!$G$3:$CC$3="Total")*(_xlpm.d&gt;=BQ$6)*(_xlpm.d&lt;=BQ$7),INDEX('Sales and count'!$G$4:$CC$300,$AJ111,0)))))</f>
        <v>1106.99</v>
      </c>
      <c r="BR111" s="350" cm="1">
        <f t="array" ref="BR111">IF(AP111="","",IF($AJ111="",0,_xlfn.LET(_xlpm.d,IFERROR(--'Sales and count'!$G$2:$CC$2,0),SUMPRODUCT(('Sales and count'!$G$3:$CC$3="Total")*(_xlpm.d&gt;=BR$6)*(_xlpm.d&lt;=BR$7),INDEX('Sales and count'!$G$4:$CC$300,$AJ111,0)))))</f>
        <v>2467.9</v>
      </c>
      <c r="BS111" s="350" cm="1">
        <f t="array" ref="BS111">IF(AQ111="","",IF($AJ111="",0,_xlfn.LET(_xlpm.d,IFERROR(--'Sales and count'!$G$2:$CC$2,0),SUMPRODUCT(('Sales and count'!$G$3:$CC$3="Total")*(_xlpm.d&gt;=BS$6)*(_xlpm.d&lt;=BS$7),INDEX('Sales and count'!$G$4:$CC$300,$AJ111,0)))))</f>
        <v>2803.79</v>
      </c>
      <c r="BT111" s="350" cm="1">
        <f t="array" ref="BT111">IF(AR111="","",IF($AJ111="",0,_xlfn.LET(_xlpm.d,IFERROR(--'Sales and count'!$G$2:$CC$2,0),SUMPRODUCT(('Sales and count'!$G$3:$CC$3="Total")*(_xlpm.d&gt;=BT$6)*(_xlpm.d&lt;=BT$7),INDEX('Sales and count'!$G$4:$CC$300,$AJ111,0)))))</f>
        <v>2398.9499999999998</v>
      </c>
      <c r="BU111" s="350" cm="1">
        <f t="array" ref="BU111">IF(AS111="","",IF($AJ111="",0,_xlfn.LET(_xlpm.d,IFERROR(--'Sales and count'!$G$2:$CC$2,0),SUMPRODUCT(('Sales and count'!$G$3:$CC$3="Total")*(_xlpm.d&gt;=BU$6)*(_xlpm.d&lt;=BU$7),INDEX('Sales and count'!$G$4:$CC$300,$AJ111,0)))))</f>
        <v>2628.11</v>
      </c>
      <c r="BV111" s="350" t="str" cm="1">
        <f t="array" ref="BV111">IF(AT111="","",IF($AJ111="",0,_xlfn.LET(_xlpm.d,IFERROR(--'Sales and count'!$G$2:$CC$2,0),SUMPRODUCT(('Sales and count'!$G$3:$CC$3="Total")*(_xlpm.d&gt;=BV$6)*(_xlpm.d&lt;=BV$7),INDEX('Sales and count'!$G$4:$CC$300,$AJ111,0)))))</f>
        <v/>
      </c>
      <c r="BW111" s="350" t="str" cm="1">
        <f t="array" ref="BW111">IF(AU111="","",IF($AJ111="",0,_xlfn.LET(_xlpm.d,IFERROR(--'Sales and count'!$G$2:$CC$2,0),SUMPRODUCT(('Sales and count'!$G$3:$CC$3="Total")*(_xlpm.d&gt;=BW$6)*(_xlpm.d&lt;=BW$7),INDEX('Sales and count'!$G$4:$CC$300,$AJ111,0)))))</f>
        <v/>
      </c>
      <c r="BX111" s="350" t="str" cm="1">
        <f t="array" ref="BX111">IF(AV111="","",IF($AJ111="",0,_xlfn.LET(_xlpm.d,IFERROR(--'Sales and count'!$G$2:$CC$2,0),SUMPRODUCT(('Sales and count'!$G$3:$CC$3="Total")*(_xlpm.d&gt;=BX$6)*(_xlpm.d&lt;=BX$7),INDEX('Sales and count'!$G$4:$CC$300,$AJ111,0)))))</f>
        <v/>
      </c>
      <c r="BY111" s="350" t="str" cm="1">
        <f t="array" ref="BY111">IF(AW111="","",IF($AJ111="",0,_xlfn.LET(_xlpm.d,IFERROR(--'Sales and count'!$G$2:$CC$2,0),SUMPRODUCT(('Sales and count'!$G$3:$CC$3="Total")*(_xlpm.d&gt;=BY$6)*(_xlpm.d&lt;=BY$7),INDEX('Sales and count'!$G$4:$CC$300,$AJ111,0)))))</f>
        <v/>
      </c>
      <c r="BZ111" s="350" t="str" cm="1">
        <f t="array" ref="BZ111">IF(AX111="","",IF($AJ111="",0,_xlfn.LET(_xlpm.d,IFERROR(--'Sales and count'!$G$2:$CC$2,0),SUMPRODUCT(('Sales and count'!$G$3:$CC$3="Total")*(_xlpm.d&gt;=BZ$6)*(_xlpm.d&lt;=BZ$7),INDEX('Sales and count'!$G$4:$CC$300,$AJ111,0)))))</f>
        <v/>
      </c>
    </row>
    <row r="112" spans="1:78" x14ac:dyDescent="0.25">
      <c r="A112" s="356" t="str">
        <v>HAPARKTAIF</v>
      </c>
      <c r="B112" s="356" t="str" cm="1">
        <f t="array" ref="B112">IF($A112="","",_xlfn.XLOOKUP($A112,TRIM(Footfall!$B$5:$B$301&amp;""),Footfall!$A$5:$A$301,""))</f>
        <v>The Park Taif</v>
      </c>
      <c r="C112" s="356" t="str" cm="1">
        <f t="array" ref="C112">IF($A112="","",_xlfn.XLOOKUP($A112,TRIM('Sales and count'!$A$4:$A$300&amp;""),'Sales and count'!$C$4:$C$300,"Not set"))</f>
        <v>Taif</v>
      </c>
      <c r="D112" s="357">
        <f t="shared" ca="1" si="81"/>
        <v>0.12447129909365559</v>
      </c>
      <c r="E112" s="357">
        <f t="shared" ca="1" si="82"/>
        <v>3.7313432835820892E-2</v>
      </c>
      <c r="F112" s="357">
        <f t="shared" ca="1" si="83"/>
        <v>0.1111111111111111</v>
      </c>
      <c r="G112" s="357">
        <f t="shared" ca="1" si="84"/>
        <v>0.14444444444444443</v>
      </c>
      <c r="H112" s="357">
        <f t="shared" ca="1" si="85"/>
        <v>9.7402597402597407E-2</v>
      </c>
      <c r="I112" s="357">
        <f t="shared" ca="1" si="86"/>
        <v>7.1428571428571425E-2</v>
      </c>
      <c r="J112" s="357">
        <f t="shared" ca="1" si="87"/>
        <v>0.1038961038961039</v>
      </c>
      <c r="K112" s="357">
        <f t="shared" ca="1" si="88"/>
        <v>6.7226890756302518E-2</v>
      </c>
      <c r="L112" s="357">
        <f t="shared" ca="1" si="89"/>
        <v>8.9108910891089105E-2</v>
      </c>
      <c r="M112" s="357" t="str">
        <f t="shared" si="90"/>
        <v/>
      </c>
      <c r="N112" s="357" t="str">
        <f t="shared" si="91"/>
        <v/>
      </c>
      <c r="O112" s="357" t="str">
        <f t="shared" si="92"/>
        <v/>
      </c>
      <c r="P112" s="357" t="str">
        <f t="shared" si="93"/>
        <v/>
      </c>
      <c r="Q112" s="357" t="str">
        <f t="shared" si="94"/>
        <v/>
      </c>
      <c r="R112" s="358" cm="1">
        <f t="array" aca="1" ref="R112" ca="1">IF(OR($A112="",D112=""),"",IFERROR(LOOKUP(2,1/(E112:Q112&lt;&gt;""),E112:Q112)-D112,""))</f>
        <v>-3.5362388202566486E-2</v>
      </c>
      <c r="S112" s="349"/>
      <c r="T112" s="362">
        <f t="shared" ca="1" si="95"/>
        <v>116.21788834951454</v>
      </c>
      <c r="U112" s="362">
        <f t="shared" ca="1" si="96"/>
        <v>110.002</v>
      </c>
      <c r="V112" s="362">
        <f t="shared" ca="1" si="97"/>
        <v>128.92785714285714</v>
      </c>
      <c r="W112" s="362">
        <f t="shared" ca="1" si="98"/>
        <v>145.92384615384614</v>
      </c>
      <c r="X112" s="362">
        <f t="shared" ca="1" si="99"/>
        <v>116.65933333333334</v>
      </c>
      <c r="Y112" s="362">
        <f t="shared" ca="1" si="100"/>
        <v>129.76076923076923</v>
      </c>
      <c r="Z112" s="362">
        <f t="shared" ca="1" si="101"/>
        <v>117.99250000000001</v>
      </c>
      <c r="AA112" s="362">
        <f t="shared" ca="1" si="102"/>
        <v>125.62</v>
      </c>
      <c r="AB112" s="362">
        <f t="shared" ca="1" si="103"/>
        <v>151.67888888888888</v>
      </c>
      <c r="AC112" s="362" t="str">
        <f t="shared" si="104"/>
        <v/>
      </c>
      <c r="AD112" s="362" t="str">
        <f t="shared" si="105"/>
        <v/>
      </c>
      <c r="AE112" s="362" t="str">
        <f t="shared" si="106"/>
        <v/>
      </c>
      <c r="AF112" s="362" t="str">
        <f t="shared" si="107"/>
        <v/>
      </c>
      <c r="AG112" s="362" t="str">
        <f t="shared" si="108"/>
        <v/>
      </c>
      <c r="AH112" s="363" cm="1">
        <f t="array" aca="1" ref="AH112" ca="1">IF(OR($A112="",T112=""),"",IFERROR(LOOKUP(2,1/(U112:AG112&lt;&gt;""),U112:AG112)-T112,""))</f>
        <v>35.461000539374339</v>
      </c>
      <c r="AI112" s="349"/>
      <c r="AJ112" s="349" cm="1">
        <f t="array" ref="AJ112">IF($A112="","",IFERROR(MATCH($A112,TRIM('Sales and count'!$A$4:$A$300&amp;""),0),""))</f>
        <v>101</v>
      </c>
      <c r="AK112" s="350" cm="1">
        <f t="array" ref="AK112">IF(OR($A112="",AK$6=""),"",IFERROR(INDEX(Footfall!$C$5:$BZ$301,MATCH($A112,TRIM(Footfall!$B$5:$B$301&amp;""),0),AK$5),0))</f>
        <v>3310</v>
      </c>
      <c r="AL112" s="350" cm="1">
        <f t="array" ref="AL112">IF(OR($A112="",AL$6=""),"",IFERROR(INDEX(Footfall!$C$5:$BZ$301,MATCH($A112,TRIM(Footfall!$B$5:$B$301&amp;""),0),AL$5),0))</f>
        <v>134</v>
      </c>
      <c r="AM112" s="350" cm="1">
        <f t="array" ref="AM112">IF(OR($A112="",AM$6=""),"",IFERROR(INDEX(Footfall!$C$5:$BZ$301,MATCH($A112,TRIM(Footfall!$B$5:$B$301&amp;""),0),AM$5),0))</f>
        <v>126</v>
      </c>
      <c r="AN112" s="350" cm="1">
        <f t="array" ref="AN112">IF(OR($A112="",AN$6=""),"",IFERROR(INDEX(Footfall!$C$5:$BZ$301,MATCH($A112,TRIM(Footfall!$B$5:$B$301&amp;""),0),AN$5),0))</f>
        <v>90</v>
      </c>
      <c r="AO112" s="350" cm="1">
        <f t="array" ref="AO112">IF(OR($A112="",AO$6=""),"",IFERROR(INDEX(Footfall!$C$5:$BZ$301,MATCH($A112,TRIM(Footfall!$B$5:$B$301&amp;""),0),AO$5),0))</f>
        <v>154</v>
      </c>
      <c r="AP112" s="350" cm="1">
        <f t="array" ref="AP112">IF(OR($A112="",AP$6=""),"",IFERROR(INDEX(Footfall!$C$5:$BZ$301,MATCH($A112,TRIM(Footfall!$B$5:$B$301&amp;""),0),AP$5),0))</f>
        <v>182</v>
      </c>
      <c r="AQ112" s="350" cm="1">
        <f t="array" ref="AQ112">IF(OR($A112="",AQ$6=""),"",IFERROR(INDEX(Footfall!$C$5:$BZ$301,MATCH($A112,TRIM(Footfall!$B$5:$B$301&amp;""),0),AQ$5),0))</f>
        <v>154</v>
      </c>
      <c r="AR112" s="350" cm="1">
        <f t="array" ref="AR112">IF(OR($A112="",AR$6=""),"",IFERROR(INDEX(Footfall!$C$5:$BZ$301,MATCH($A112,TRIM(Footfall!$B$5:$B$301&amp;""),0),AR$5),0))</f>
        <v>119</v>
      </c>
      <c r="AS112" s="350" cm="1">
        <f t="array" ref="AS112">IF(OR($A112="",AS$6=""),"",IFERROR(INDEX(Footfall!$C$5:$BZ$301,MATCH($A112,TRIM(Footfall!$B$5:$B$301&amp;""),0),AS$5),0))</f>
        <v>101</v>
      </c>
      <c r="AT112" s="350" t="str" cm="1">
        <f t="array" ref="AT112">IF(OR($A112="",AT$6=""),"",IFERROR(INDEX(Footfall!$C$5:$BZ$301,MATCH($A112,TRIM(Footfall!$B$5:$B$301&amp;""),0),AT$5),0))</f>
        <v/>
      </c>
      <c r="AU112" s="350" t="str" cm="1">
        <f t="array" ref="AU112">IF(OR($A112="",AU$6=""),"",IFERROR(INDEX(Footfall!$C$5:$BZ$301,MATCH($A112,TRIM(Footfall!$B$5:$B$301&amp;""),0),AU$5),0))</f>
        <v/>
      </c>
      <c r="AV112" s="350" t="str" cm="1">
        <f t="array" ref="AV112">IF(OR($A112="",AV$6=""),"",IFERROR(INDEX(Footfall!$C$5:$BZ$301,MATCH($A112,TRIM(Footfall!$B$5:$B$301&amp;""),0),AV$5),0))</f>
        <v/>
      </c>
      <c r="AW112" s="350" t="str" cm="1">
        <f t="array" ref="AW112">IF(OR($A112="",AW$6=""),"",IFERROR(INDEX(Footfall!$C$5:$BZ$301,MATCH($A112,TRIM(Footfall!$B$5:$B$301&amp;""),0),AW$5),0))</f>
        <v/>
      </c>
      <c r="AX112" s="350" t="str" cm="1">
        <f t="array" ref="AX112">IF(OR($A112="",AX$6=""),"",IFERROR(INDEX(Footfall!$C$5:$BZ$301,MATCH($A112,TRIM(Footfall!$B$5:$B$301&amp;""),0),AX$5),0))</f>
        <v/>
      </c>
      <c r="AY112" s="350" cm="1">
        <f t="array" aca="1" ref="AY112" ca="1">IF(AK112="","",IF($AJ112="",0,_xlfn.LET(_xlpm.d,IFERROR(--'Sales and count'!$F$2:$CB$2,0),SUMPRODUCT(('Sales and count'!$G$3:$CC$3="Transactions")*(_xlpm.d&gt;=AY$6)*(_xlpm.d&lt;=AY$7),INDEX('Sales and count'!$G$4:$CC$300,$AJ112,0)))))</f>
        <v>412</v>
      </c>
      <c r="AZ112" s="350" cm="1">
        <f t="array" aca="1" ref="AZ112" ca="1">IF(AL112="","",IF($AJ112="",0,_xlfn.LET(_xlpm.d,IFERROR(--'Sales and count'!$F$2:$CB$2,0),SUMPRODUCT(('Sales and count'!$G$3:$CC$3="Transactions")*(_xlpm.d&gt;=AZ$6)*(_xlpm.d&lt;=AZ$7),INDEX('Sales and count'!$G$4:$CC$300,$AJ112,0)))))</f>
        <v>5</v>
      </c>
      <c r="BA112" s="350" cm="1">
        <f t="array" aca="1" ref="BA112" ca="1">IF(AM112="","",IF($AJ112="",0,_xlfn.LET(_xlpm.d,IFERROR(--'Sales and count'!$F$2:$CB$2,0),SUMPRODUCT(('Sales and count'!$G$3:$CC$3="Transactions")*(_xlpm.d&gt;=BA$6)*(_xlpm.d&lt;=BA$7),INDEX('Sales and count'!$G$4:$CC$300,$AJ112,0)))))</f>
        <v>14</v>
      </c>
      <c r="BB112" s="350" cm="1">
        <f t="array" aca="1" ref="BB112" ca="1">IF(AN112="","",IF($AJ112="",0,_xlfn.LET(_xlpm.d,IFERROR(--'Sales and count'!$F$2:$CB$2,0),SUMPRODUCT(('Sales and count'!$G$3:$CC$3="Transactions")*(_xlpm.d&gt;=BB$6)*(_xlpm.d&lt;=BB$7),INDEX('Sales and count'!$G$4:$CC$300,$AJ112,0)))))</f>
        <v>13</v>
      </c>
      <c r="BC112" s="350" cm="1">
        <f t="array" aca="1" ref="BC112" ca="1">IF(AO112="","",IF($AJ112="",0,_xlfn.LET(_xlpm.d,IFERROR(--'Sales and count'!$F$2:$CB$2,0),SUMPRODUCT(('Sales and count'!$G$3:$CC$3="Transactions")*(_xlpm.d&gt;=BC$6)*(_xlpm.d&lt;=BC$7),INDEX('Sales and count'!$G$4:$CC$300,$AJ112,0)))))</f>
        <v>15</v>
      </c>
      <c r="BD112" s="350" cm="1">
        <f t="array" aca="1" ref="BD112" ca="1">IF(AP112="","",IF($AJ112="",0,_xlfn.LET(_xlpm.d,IFERROR(--'Sales and count'!$F$2:$CB$2,0),SUMPRODUCT(('Sales and count'!$G$3:$CC$3="Transactions")*(_xlpm.d&gt;=BD$6)*(_xlpm.d&lt;=BD$7),INDEX('Sales and count'!$G$4:$CC$300,$AJ112,0)))))</f>
        <v>13</v>
      </c>
      <c r="BE112" s="350" cm="1">
        <f t="array" aca="1" ref="BE112" ca="1">IF(AQ112="","",IF($AJ112="",0,_xlfn.LET(_xlpm.d,IFERROR(--'Sales and count'!$F$2:$CB$2,0),SUMPRODUCT(('Sales and count'!$G$3:$CC$3="Transactions")*(_xlpm.d&gt;=BE$6)*(_xlpm.d&lt;=BE$7),INDEX('Sales and count'!$G$4:$CC$300,$AJ112,0)))))</f>
        <v>16</v>
      </c>
      <c r="BF112" s="350" cm="1">
        <f t="array" aca="1" ref="BF112" ca="1">IF(AR112="","",IF($AJ112="",0,_xlfn.LET(_xlpm.d,IFERROR(--'Sales and count'!$F$2:$CB$2,0),SUMPRODUCT(('Sales and count'!$G$3:$CC$3="Transactions")*(_xlpm.d&gt;=BF$6)*(_xlpm.d&lt;=BF$7),INDEX('Sales and count'!$G$4:$CC$300,$AJ112,0)))))</f>
        <v>8</v>
      </c>
      <c r="BG112" s="350" cm="1">
        <f t="array" aca="1" ref="BG112" ca="1">IF(AS112="","",IF($AJ112="",0,_xlfn.LET(_xlpm.d,IFERROR(--'Sales and count'!$F$2:$CB$2,0),SUMPRODUCT(('Sales and count'!$G$3:$CC$3="Transactions")*(_xlpm.d&gt;=BG$6)*(_xlpm.d&lt;=BG$7),INDEX('Sales and count'!$G$4:$CC$300,$AJ112,0)))))</f>
        <v>9</v>
      </c>
      <c r="BH112" s="350" t="str" cm="1">
        <f t="array" ref="BH112">IF(AT112="","",IF($AJ112="",0,_xlfn.LET(_xlpm.d,IFERROR(--'Sales and count'!$F$2:$CB$2,0),SUMPRODUCT(('Sales and count'!$G$3:$CC$3="Transactions")*(_xlpm.d&gt;=BH$6)*(_xlpm.d&lt;=BH$7),INDEX('Sales and count'!$G$4:$CC$300,$AJ112,0)))))</f>
        <v/>
      </c>
      <c r="BI112" s="350" t="str" cm="1">
        <f t="array" ref="BI112">IF(AU112="","",IF($AJ112="",0,_xlfn.LET(_xlpm.d,IFERROR(--'Sales and count'!$F$2:$CB$2,0),SUMPRODUCT(('Sales and count'!$G$3:$CC$3="Transactions")*(_xlpm.d&gt;=BI$6)*(_xlpm.d&lt;=BI$7),INDEX('Sales and count'!$G$4:$CC$300,$AJ112,0)))))</f>
        <v/>
      </c>
      <c r="BJ112" s="350" t="str" cm="1">
        <f t="array" ref="BJ112">IF(AV112="","",IF($AJ112="",0,_xlfn.LET(_xlpm.d,IFERROR(--'Sales and count'!$F$2:$CB$2,0),SUMPRODUCT(('Sales and count'!$G$3:$CC$3="Transactions")*(_xlpm.d&gt;=BJ$6)*(_xlpm.d&lt;=BJ$7),INDEX('Sales and count'!$G$4:$CC$300,$AJ112,0)))))</f>
        <v/>
      </c>
      <c r="BK112" s="350" t="str" cm="1">
        <f t="array" ref="BK112">IF(AW112="","",IF($AJ112="",0,_xlfn.LET(_xlpm.d,IFERROR(--'Sales and count'!$F$2:$CB$2,0),SUMPRODUCT(('Sales and count'!$G$3:$CC$3="Transactions")*(_xlpm.d&gt;=BK$6)*(_xlpm.d&lt;=BK$7),INDEX('Sales and count'!$G$4:$CC$300,$AJ112,0)))))</f>
        <v/>
      </c>
      <c r="BL112" s="350" t="str" cm="1">
        <f t="array" ref="BL112">IF(AX112="","",IF($AJ112="",0,_xlfn.LET(_xlpm.d,IFERROR(--'Sales and count'!$F$2:$CB$2,0),SUMPRODUCT(('Sales and count'!$G$3:$CC$3="Transactions")*(_xlpm.d&gt;=BL$6)*(_xlpm.d&lt;=BL$7),INDEX('Sales and count'!$G$4:$CC$300,$AJ112,0)))))</f>
        <v/>
      </c>
      <c r="BM112" s="350" cm="1">
        <f t="array" ref="BM112">IF(AK112="","",IF($AJ112="",0,_xlfn.LET(_xlpm.d,IFERROR(--'Sales and count'!$G$2:$CC$2,0),SUMPRODUCT(('Sales and count'!$G$3:$CC$3="Total")*(_xlpm.d&gt;=BM$6)*(_xlpm.d&lt;=BM$7),INDEX('Sales and count'!$G$4:$CC$300,$AJ112,0)))))</f>
        <v>47881.76999999999</v>
      </c>
      <c r="BN112" s="350" cm="1">
        <f t="array" ref="BN112">IF(AL112="","",IF($AJ112="",0,_xlfn.LET(_xlpm.d,IFERROR(--'Sales and count'!$G$2:$CC$2,0),SUMPRODUCT(('Sales and count'!$G$3:$CC$3="Total")*(_xlpm.d&gt;=BN$6)*(_xlpm.d&lt;=BN$7),INDEX('Sales and count'!$G$4:$CC$300,$AJ112,0)))))</f>
        <v>550.01</v>
      </c>
      <c r="BO112" s="350" cm="1">
        <f t="array" ref="BO112">IF(AM112="","",IF($AJ112="",0,_xlfn.LET(_xlpm.d,IFERROR(--'Sales and count'!$G$2:$CC$2,0),SUMPRODUCT(('Sales and count'!$G$3:$CC$3="Total")*(_xlpm.d&gt;=BO$6)*(_xlpm.d&lt;=BO$7),INDEX('Sales and count'!$G$4:$CC$300,$AJ112,0)))))</f>
        <v>1804.99</v>
      </c>
      <c r="BP112" s="350" cm="1">
        <f t="array" ref="BP112">IF(AN112="","",IF($AJ112="",0,_xlfn.LET(_xlpm.d,IFERROR(--'Sales and count'!$G$2:$CC$2,0),SUMPRODUCT(('Sales and count'!$G$3:$CC$3="Total")*(_xlpm.d&gt;=BP$6)*(_xlpm.d&lt;=BP$7),INDEX('Sales and count'!$G$4:$CC$300,$AJ112,0)))))</f>
        <v>1897.01</v>
      </c>
      <c r="BQ112" s="350" cm="1">
        <f t="array" ref="BQ112">IF(AO112="","",IF($AJ112="",0,_xlfn.LET(_xlpm.d,IFERROR(--'Sales and count'!$G$2:$CC$2,0),SUMPRODUCT(('Sales and count'!$G$3:$CC$3="Total")*(_xlpm.d&gt;=BQ$6)*(_xlpm.d&lt;=BQ$7),INDEX('Sales and count'!$G$4:$CC$300,$AJ112,0)))))</f>
        <v>1749.89</v>
      </c>
      <c r="BR112" s="350" cm="1">
        <f t="array" ref="BR112">IF(AP112="","",IF($AJ112="",0,_xlfn.LET(_xlpm.d,IFERROR(--'Sales and count'!$G$2:$CC$2,0),SUMPRODUCT(('Sales and count'!$G$3:$CC$3="Total")*(_xlpm.d&gt;=BR$6)*(_xlpm.d&lt;=BR$7),INDEX('Sales and count'!$G$4:$CC$300,$AJ112,0)))))</f>
        <v>1686.89</v>
      </c>
      <c r="BS112" s="350" cm="1">
        <f t="array" ref="BS112">IF(AQ112="","",IF($AJ112="",0,_xlfn.LET(_xlpm.d,IFERROR(--'Sales and count'!$G$2:$CC$2,0),SUMPRODUCT(('Sales and count'!$G$3:$CC$3="Total")*(_xlpm.d&gt;=BS$6)*(_xlpm.d&lt;=BS$7),INDEX('Sales and count'!$G$4:$CC$300,$AJ112,0)))))</f>
        <v>1887.88</v>
      </c>
      <c r="BT112" s="350" cm="1">
        <f t="array" ref="BT112">IF(AR112="","",IF($AJ112="",0,_xlfn.LET(_xlpm.d,IFERROR(--'Sales and count'!$G$2:$CC$2,0),SUMPRODUCT(('Sales and count'!$G$3:$CC$3="Total")*(_xlpm.d&gt;=BT$6)*(_xlpm.d&lt;=BT$7),INDEX('Sales and count'!$G$4:$CC$300,$AJ112,0)))))</f>
        <v>1004.96</v>
      </c>
      <c r="BU112" s="350" cm="1">
        <f t="array" ref="BU112">IF(AS112="","",IF($AJ112="",0,_xlfn.LET(_xlpm.d,IFERROR(--'Sales and count'!$G$2:$CC$2,0),SUMPRODUCT(('Sales and count'!$G$3:$CC$3="Total")*(_xlpm.d&gt;=BU$6)*(_xlpm.d&lt;=BU$7),INDEX('Sales and count'!$G$4:$CC$300,$AJ112,0)))))</f>
        <v>1365.11</v>
      </c>
      <c r="BV112" s="350" t="str" cm="1">
        <f t="array" ref="BV112">IF(AT112="","",IF($AJ112="",0,_xlfn.LET(_xlpm.d,IFERROR(--'Sales and count'!$G$2:$CC$2,0),SUMPRODUCT(('Sales and count'!$G$3:$CC$3="Total")*(_xlpm.d&gt;=BV$6)*(_xlpm.d&lt;=BV$7),INDEX('Sales and count'!$G$4:$CC$300,$AJ112,0)))))</f>
        <v/>
      </c>
      <c r="BW112" s="350" t="str" cm="1">
        <f t="array" ref="BW112">IF(AU112="","",IF($AJ112="",0,_xlfn.LET(_xlpm.d,IFERROR(--'Sales and count'!$G$2:$CC$2,0),SUMPRODUCT(('Sales and count'!$G$3:$CC$3="Total")*(_xlpm.d&gt;=BW$6)*(_xlpm.d&lt;=BW$7),INDEX('Sales and count'!$G$4:$CC$300,$AJ112,0)))))</f>
        <v/>
      </c>
      <c r="BX112" s="350" t="str" cm="1">
        <f t="array" ref="BX112">IF(AV112="","",IF($AJ112="",0,_xlfn.LET(_xlpm.d,IFERROR(--'Sales and count'!$G$2:$CC$2,0),SUMPRODUCT(('Sales and count'!$G$3:$CC$3="Total")*(_xlpm.d&gt;=BX$6)*(_xlpm.d&lt;=BX$7),INDEX('Sales and count'!$G$4:$CC$300,$AJ112,0)))))</f>
        <v/>
      </c>
      <c r="BY112" s="350" t="str" cm="1">
        <f t="array" ref="BY112">IF(AW112="","",IF($AJ112="",0,_xlfn.LET(_xlpm.d,IFERROR(--'Sales and count'!$G$2:$CC$2,0),SUMPRODUCT(('Sales and count'!$G$3:$CC$3="Total")*(_xlpm.d&gt;=BY$6)*(_xlpm.d&lt;=BY$7),INDEX('Sales and count'!$G$4:$CC$300,$AJ112,0)))))</f>
        <v/>
      </c>
      <c r="BZ112" s="350" t="str" cm="1">
        <f t="array" ref="BZ112">IF(AX112="","",IF($AJ112="",0,_xlfn.LET(_xlpm.d,IFERROR(--'Sales and count'!$G$2:$CC$2,0),SUMPRODUCT(('Sales and count'!$G$3:$CC$3="Total")*(_xlpm.d&gt;=BZ$6)*(_xlpm.d&lt;=BZ$7),INDEX('Sales and count'!$G$4:$CC$300,$AJ112,0)))))</f>
        <v/>
      </c>
    </row>
    <row r="113" spans="1:78" x14ac:dyDescent="0.25">
      <c r="A113" s="356" t="str">
        <v>YANBUMALL</v>
      </c>
      <c r="B113" s="356" t="str" cm="1">
        <f t="array" ref="B113">IF($A113="","",_xlfn.XLOOKUP($A113,TRIM(Footfall!$B$5:$B$301&amp;""),Footfall!$A$5:$A$301,""))</f>
        <v>Yanbu Mall</v>
      </c>
      <c r="C113" s="356" t="str" cm="1">
        <f t="array" ref="C113">IF($A113="","",_xlfn.XLOOKUP($A113,TRIM('Sales and count'!$A$4:$A$300&amp;""),'Sales and count'!$C$4:$C$300,"Not set"))</f>
        <v>Yanbu</v>
      </c>
      <c r="D113" s="357">
        <f t="shared" ca="1" si="81"/>
        <v>0.1448128993002738</v>
      </c>
      <c r="E113" s="357">
        <f t="shared" ca="1" si="82"/>
        <v>0.17741935483870969</v>
      </c>
      <c r="F113" s="357">
        <f t="shared" ca="1" si="83"/>
        <v>0.1171875</v>
      </c>
      <c r="G113" s="357">
        <f t="shared" ca="1" si="84"/>
        <v>8.6580086580086577E-2</v>
      </c>
      <c r="H113" s="357">
        <f t="shared" ca="1" si="85"/>
        <v>7.9545454545454544E-2</v>
      </c>
      <c r="I113" s="357">
        <f t="shared" ca="1" si="86"/>
        <v>9.947643979057591E-2</v>
      </c>
      <c r="J113" s="357">
        <f t="shared" ca="1" si="87"/>
        <v>7.5892857142857137E-2</v>
      </c>
      <c r="K113" s="357">
        <f t="shared" ca="1" si="88"/>
        <v>9.9236641221374045E-2</v>
      </c>
      <c r="L113" s="357">
        <f t="shared" ca="1" si="89"/>
        <v>0.1165644171779141</v>
      </c>
      <c r="M113" s="357" t="str">
        <f t="shared" si="90"/>
        <v/>
      </c>
      <c r="N113" s="357" t="str">
        <f t="shared" si="91"/>
        <v/>
      </c>
      <c r="O113" s="357" t="str">
        <f t="shared" si="92"/>
        <v/>
      </c>
      <c r="P113" s="357" t="str">
        <f t="shared" si="93"/>
        <v/>
      </c>
      <c r="Q113" s="357" t="str">
        <f t="shared" si="94"/>
        <v/>
      </c>
      <c r="R113" s="358" cm="1">
        <f t="array" aca="1" ref="R113" ca="1">IF(OR($A113="",D113=""),"",IFERROR(LOOKUP(2,1/(E113:Q113&lt;&gt;""),E113:Q113)-D113,""))</f>
        <v>-2.8248482122359697E-2</v>
      </c>
      <c r="S113" s="349"/>
      <c r="T113" s="362">
        <f t="shared" ca="1" si="95"/>
        <v>149.8198739495798</v>
      </c>
      <c r="U113" s="362">
        <f t="shared" ca="1" si="96"/>
        <v>222.91727272727275</v>
      </c>
      <c r="V113" s="362">
        <f t="shared" ca="1" si="97"/>
        <v>122.26866666666666</v>
      </c>
      <c r="W113" s="362">
        <f t="shared" ca="1" si="98"/>
        <v>162.00150000000002</v>
      </c>
      <c r="X113" s="362">
        <f t="shared" ca="1" si="99"/>
        <v>153.85619047619048</v>
      </c>
      <c r="Y113" s="362">
        <f t="shared" ca="1" si="100"/>
        <v>161.41421052631577</v>
      </c>
      <c r="Z113" s="362">
        <f t="shared" ca="1" si="101"/>
        <v>156.05058823529413</v>
      </c>
      <c r="AA113" s="362">
        <f t="shared" ca="1" si="102"/>
        <v>170.98846153846154</v>
      </c>
      <c r="AB113" s="362">
        <f t="shared" ca="1" si="103"/>
        <v>144.90421052631578</v>
      </c>
      <c r="AC113" s="362" t="str">
        <f t="shared" si="104"/>
        <v/>
      </c>
      <c r="AD113" s="362" t="str">
        <f t="shared" si="105"/>
        <v/>
      </c>
      <c r="AE113" s="362" t="str">
        <f t="shared" si="106"/>
        <v/>
      </c>
      <c r="AF113" s="362" t="str">
        <f t="shared" si="107"/>
        <v/>
      </c>
      <c r="AG113" s="362" t="str">
        <f t="shared" si="108"/>
        <v/>
      </c>
      <c r="AH113" s="363" cm="1">
        <f t="array" aca="1" ref="AH113" ca="1">IF(OR($A113="",T113=""),"",IFERROR(LOOKUP(2,1/(U113:AG113&lt;&gt;""),U113:AG113)-T113,""))</f>
        <v>-4.9156634232640215</v>
      </c>
      <c r="AI113" s="349"/>
      <c r="AJ113" s="349" cm="1">
        <f t="array" ref="AJ113">IF($A113="","",IFERROR(MATCH($A113,TRIM('Sales and count'!$A$4:$A$300&amp;""),0),""))</f>
        <v>11</v>
      </c>
      <c r="AK113" s="350" cm="1">
        <f t="array" ref="AK113">IF(OR($A113="",AK$6=""),"",IFERROR(INDEX(Footfall!$C$5:$BZ$301,MATCH($A113,TRIM(Footfall!$B$5:$B$301&amp;""),0),AK$5),0))</f>
        <v>3287</v>
      </c>
      <c r="AL113" s="350" cm="1">
        <f t="array" ref="AL113">IF(OR($A113="",AL$6=""),"",IFERROR(INDEX(Footfall!$C$5:$BZ$301,MATCH($A113,TRIM(Footfall!$B$5:$B$301&amp;""),0),AL$5),0))</f>
        <v>124</v>
      </c>
      <c r="AM113" s="350" cm="1">
        <f t="array" ref="AM113">IF(OR($A113="",AM$6=""),"",IFERROR(INDEX(Footfall!$C$5:$BZ$301,MATCH($A113,TRIM(Footfall!$B$5:$B$301&amp;""),0),AM$5),0))</f>
        <v>128</v>
      </c>
      <c r="AN113" s="350" cm="1">
        <f t="array" ref="AN113">IF(OR($A113="",AN$6=""),"",IFERROR(INDEX(Footfall!$C$5:$BZ$301,MATCH($A113,TRIM(Footfall!$B$5:$B$301&amp;""),0),AN$5),0))</f>
        <v>231</v>
      </c>
      <c r="AO113" s="350" cm="1">
        <f t="array" ref="AO113">IF(OR($A113="",AO$6=""),"",IFERROR(INDEX(Footfall!$C$5:$BZ$301,MATCH($A113,TRIM(Footfall!$B$5:$B$301&amp;""),0),AO$5),0))</f>
        <v>264</v>
      </c>
      <c r="AP113" s="350" cm="1">
        <f t="array" ref="AP113">IF(OR($A113="",AP$6=""),"",IFERROR(INDEX(Footfall!$C$5:$BZ$301,MATCH($A113,TRIM(Footfall!$B$5:$B$301&amp;""),0),AP$5),0))</f>
        <v>191</v>
      </c>
      <c r="AQ113" s="350" cm="1">
        <f t="array" ref="AQ113">IF(OR($A113="",AQ$6=""),"",IFERROR(INDEX(Footfall!$C$5:$BZ$301,MATCH($A113,TRIM(Footfall!$B$5:$B$301&amp;""),0),AQ$5),0))</f>
        <v>224</v>
      </c>
      <c r="AR113" s="350" cm="1">
        <f t="array" ref="AR113">IF(OR($A113="",AR$6=""),"",IFERROR(INDEX(Footfall!$C$5:$BZ$301,MATCH($A113,TRIM(Footfall!$B$5:$B$301&amp;""),0),AR$5),0))</f>
        <v>131</v>
      </c>
      <c r="AS113" s="350" cm="1">
        <f t="array" ref="AS113">IF(OR($A113="",AS$6=""),"",IFERROR(INDEX(Footfall!$C$5:$BZ$301,MATCH($A113,TRIM(Footfall!$B$5:$B$301&amp;""),0),AS$5),0))</f>
        <v>163</v>
      </c>
      <c r="AT113" s="350" t="str" cm="1">
        <f t="array" ref="AT113">IF(OR($A113="",AT$6=""),"",IFERROR(INDEX(Footfall!$C$5:$BZ$301,MATCH($A113,TRIM(Footfall!$B$5:$B$301&amp;""),0),AT$5),0))</f>
        <v/>
      </c>
      <c r="AU113" s="350" t="str" cm="1">
        <f t="array" ref="AU113">IF(OR($A113="",AU$6=""),"",IFERROR(INDEX(Footfall!$C$5:$BZ$301,MATCH($A113,TRIM(Footfall!$B$5:$B$301&amp;""),0),AU$5),0))</f>
        <v/>
      </c>
      <c r="AV113" s="350" t="str" cm="1">
        <f t="array" ref="AV113">IF(OR($A113="",AV$6=""),"",IFERROR(INDEX(Footfall!$C$5:$BZ$301,MATCH($A113,TRIM(Footfall!$B$5:$B$301&amp;""),0),AV$5),0))</f>
        <v/>
      </c>
      <c r="AW113" s="350" t="str" cm="1">
        <f t="array" ref="AW113">IF(OR($A113="",AW$6=""),"",IFERROR(INDEX(Footfall!$C$5:$BZ$301,MATCH($A113,TRIM(Footfall!$B$5:$B$301&amp;""),0),AW$5),0))</f>
        <v/>
      </c>
      <c r="AX113" s="350" t="str" cm="1">
        <f t="array" ref="AX113">IF(OR($A113="",AX$6=""),"",IFERROR(INDEX(Footfall!$C$5:$BZ$301,MATCH($A113,TRIM(Footfall!$B$5:$B$301&amp;""),0),AX$5),0))</f>
        <v/>
      </c>
      <c r="AY113" s="350" cm="1">
        <f t="array" aca="1" ref="AY113" ca="1">IF(AK113="","",IF($AJ113="",0,_xlfn.LET(_xlpm.d,IFERROR(--'Sales and count'!$F$2:$CB$2,0),SUMPRODUCT(('Sales and count'!$G$3:$CC$3="Transactions")*(_xlpm.d&gt;=AY$6)*(_xlpm.d&lt;=AY$7),INDEX('Sales and count'!$G$4:$CC$300,$AJ113,0)))))</f>
        <v>476</v>
      </c>
      <c r="AZ113" s="350" cm="1">
        <f t="array" aca="1" ref="AZ113" ca="1">IF(AL113="","",IF($AJ113="",0,_xlfn.LET(_xlpm.d,IFERROR(--'Sales and count'!$F$2:$CB$2,0),SUMPRODUCT(('Sales and count'!$G$3:$CC$3="Transactions")*(_xlpm.d&gt;=AZ$6)*(_xlpm.d&lt;=AZ$7),INDEX('Sales and count'!$G$4:$CC$300,$AJ113,0)))))</f>
        <v>22</v>
      </c>
      <c r="BA113" s="350" cm="1">
        <f t="array" aca="1" ref="BA113" ca="1">IF(AM113="","",IF($AJ113="",0,_xlfn.LET(_xlpm.d,IFERROR(--'Sales and count'!$F$2:$CB$2,0),SUMPRODUCT(('Sales and count'!$G$3:$CC$3="Transactions")*(_xlpm.d&gt;=BA$6)*(_xlpm.d&lt;=BA$7),INDEX('Sales and count'!$G$4:$CC$300,$AJ113,0)))))</f>
        <v>15</v>
      </c>
      <c r="BB113" s="350" cm="1">
        <f t="array" aca="1" ref="BB113" ca="1">IF(AN113="","",IF($AJ113="",0,_xlfn.LET(_xlpm.d,IFERROR(--'Sales and count'!$F$2:$CB$2,0),SUMPRODUCT(('Sales and count'!$G$3:$CC$3="Transactions")*(_xlpm.d&gt;=BB$6)*(_xlpm.d&lt;=BB$7),INDEX('Sales and count'!$G$4:$CC$300,$AJ113,0)))))</f>
        <v>20</v>
      </c>
      <c r="BC113" s="350" cm="1">
        <f t="array" aca="1" ref="BC113" ca="1">IF(AO113="","",IF($AJ113="",0,_xlfn.LET(_xlpm.d,IFERROR(--'Sales and count'!$F$2:$CB$2,0),SUMPRODUCT(('Sales and count'!$G$3:$CC$3="Transactions")*(_xlpm.d&gt;=BC$6)*(_xlpm.d&lt;=BC$7),INDEX('Sales and count'!$G$4:$CC$300,$AJ113,0)))))</f>
        <v>21</v>
      </c>
      <c r="BD113" s="350" cm="1">
        <f t="array" aca="1" ref="BD113" ca="1">IF(AP113="","",IF($AJ113="",0,_xlfn.LET(_xlpm.d,IFERROR(--'Sales and count'!$F$2:$CB$2,0),SUMPRODUCT(('Sales and count'!$G$3:$CC$3="Transactions")*(_xlpm.d&gt;=BD$6)*(_xlpm.d&lt;=BD$7),INDEX('Sales and count'!$G$4:$CC$300,$AJ113,0)))))</f>
        <v>19</v>
      </c>
      <c r="BE113" s="350" cm="1">
        <f t="array" aca="1" ref="BE113" ca="1">IF(AQ113="","",IF($AJ113="",0,_xlfn.LET(_xlpm.d,IFERROR(--'Sales and count'!$F$2:$CB$2,0),SUMPRODUCT(('Sales and count'!$G$3:$CC$3="Transactions")*(_xlpm.d&gt;=BE$6)*(_xlpm.d&lt;=BE$7),INDEX('Sales and count'!$G$4:$CC$300,$AJ113,0)))))</f>
        <v>17</v>
      </c>
      <c r="BF113" s="350" cm="1">
        <f t="array" aca="1" ref="BF113" ca="1">IF(AR113="","",IF($AJ113="",0,_xlfn.LET(_xlpm.d,IFERROR(--'Sales and count'!$F$2:$CB$2,0),SUMPRODUCT(('Sales and count'!$G$3:$CC$3="Transactions")*(_xlpm.d&gt;=BF$6)*(_xlpm.d&lt;=BF$7),INDEX('Sales and count'!$G$4:$CC$300,$AJ113,0)))))</f>
        <v>13</v>
      </c>
      <c r="BG113" s="350" cm="1">
        <f t="array" aca="1" ref="BG113" ca="1">IF(AS113="","",IF($AJ113="",0,_xlfn.LET(_xlpm.d,IFERROR(--'Sales and count'!$F$2:$CB$2,0),SUMPRODUCT(('Sales and count'!$G$3:$CC$3="Transactions")*(_xlpm.d&gt;=BG$6)*(_xlpm.d&lt;=BG$7),INDEX('Sales and count'!$G$4:$CC$300,$AJ113,0)))))</f>
        <v>19</v>
      </c>
      <c r="BH113" s="350" t="str" cm="1">
        <f t="array" ref="BH113">IF(AT113="","",IF($AJ113="",0,_xlfn.LET(_xlpm.d,IFERROR(--'Sales and count'!$F$2:$CB$2,0),SUMPRODUCT(('Sales and count'!$G$3:$CC$3="Transactions")*(_xlpm.d&gt;=BH$6)*(_xlpm.d&lt;=BH$7),INDEX('Sales and count'!$G$4:$CC$300,$AJ113,0)))))</f>
        <v/>
      </c>
      <c r="BI113" s="350" t="str" cm="1">
        <f t="array" ref="BI113">IF(AU113="","",IF($AJ113="",0,_xlfn.LET(_xlpm.d,IFERROR(--'Sales and count'!$F$2:$CB$2,0),SUMPRODUCT(('Sales and count'!$G$3:$CC$3="Transactions")*(_xlpm.d&gt;=BI$6)*(_xlpm.d&lt;=BI$7),INDEX('Sales and count'!$G$4:$CC$300,$AJ113,0)))))</f>
        <v/>
      </c>
      <c r="BJ113" s="350" t="str" cm="1">
        <f t="array" ref="BJ113">IF(AV113="","",IF($AJ113="",0,_xlfn.LET(_xlpm.d,IFERROR(--'Sales and count'!$F$2:$CB$2,0),SUMPRODUCT(('Sales and count'!$G$3:$CC$3="Transactions")*(_xlpm.d&gt;=BJ$6)*(_xlpm.d&lt;=BJ$7),INDEX('Sales and count'!$G$4:$CC$300,$AJ113,0)))))</f>
        <v/>
      </c>
      <c r="BK113" s="350" t="str" cm="1">
        <f t="array" ref="BK113">IF(AW113="","",IF($AJ113="",0,_xlfn.LET(_xlpm.d,IFERROR(--'Sales and count'!$F$2:$CB$2,0),SUMPRODUCT(('Sales and count'!$G$3:$CC$3="Transactions")*(_xlpm.d&gt;=BK$6)*(_xlpm.d&lt;=BK$7),INDEX('Sales and count'!$G$4:$CC$300,$AJ113,0)))))</f>
        <v/>
      </c>
      <c r="BL113" s="350" t="str" cm="1">
        <f t="array" ref="BL113">IF(AX113="","",IF($AJ113="",0,_xlfn.LET(_xlpm.d,IFERROR(--'Sales and count'!$F$2:$CB$2,0),SUMPRODUCT(('Sales and count'!$G$3:$CC$3="Transactions")*(_xlpm.d&gt;=BL$6)*(_xlpm.d&lt;=BL$7),INDEX('Sales and count'!$G$4:$CC$300,$AJ113,0)))))</f>
        <v/>
      </c>
      <c r="BM113" s="350" cm="1">
        <f t="array" ref="BM113">IF(AK113="","",IF($AJ113="",0,_xlfn.LET(_xlpm.d,IFERROR(--'Sales and count'!$G$2:$CC$2,0),SUMPRODUCT(('Sales and count'!$G$3:$CC$3="Total")*(_xlpm.d&gt;=BM$6)*(_xlpm.d&lt;=BM$7),INDEX('Sales and count'!$G$4:$CC$300,$AJ113,0)))))</f>
        <v>71314.25999999998</v>
      </c>
      <c r="BN113" s="350" cm="1">
        <f t="array" ref="BN113">IF(AL113="","",IF($AJ113="",0,_xlfn.LET(_xlpm.d,IFERROR(--'Sales and count'!$G$2:$CC$2,0),SUMPRODUCT(('Sales and count'!$G$3:$CC$3="Total")*(_xlpm.d&gt;=BN$6)*(_xlpm.d&lt;=BN$7),INDEX('Sales and count'!$G$4:$CC$300,$AJ113,0)))))</f>
        <v>4904.18</v>
      </c>
      <c r="BO113" s="350" cm="1">
        <f t="array" ref="BO113">IF(AM113="","",IF($AJ113="",0,_xlfn.LET(_xlpm.d,IFERROR(--'Sales and count'!$G$2:$CC$2,0),SUMPRODUCT(('Sales and count'!$G$3:$CC$3="Total")*(_xlpm.d&gt;=BO$6)*(_xlpm.d&lt;=BO$7),INDEX('Sales and count'!$G$4:$CC$300,$AJ113,0)))))</f>
        <v>1834.03</v>
      </c>
      <c r="BP113" s="350" cm="1">
        <f t="array" ref="BP113">IF(AN113="","",IF($AJ113="",0,_xlfn.LET(_xlpm.d,IFERROR(--'Sales and count'!$G$2:$CC$2,0),SUMPRODUCT(('Sales and count'!$G$3:$CC$3="Total")*(_xlpm.d&gt;=BP$6)*(_xlpm.d&lt;=BP$7),INDEX('Sales and count'!$G$4:$CC$300,$AJ113,0)))))</f>
        <v>3240.03</v>
      </c>
      <c r="BQ113" s="350" cm="1">
        <f t="array" ref="BQ113">IF(AO113="","",IF($AJ113="",0,_xlfn.LET(_xlpm.d,IFERROR(--'Sales and count'!$G$2:$CC$2,0),SUMPRODUCT(('Sales and count'!$G$3:$CC$3="Total")*(_xlpm.d&gt;=BQ$6)*(_xlpm.d&lt;=BQ$7),INDEX('Sales and count'!$G$4:$CC$300,$AJ113,0)))))</f>
        <v>3230.98</v>
      </c>
      <c r="BR113" s="350" cm="1">
        <f t="array" ref="BR113">IF(AP113="","",IF($AJ113="",0,_xlfn.LET(_xlpm.d,IFERROR(--'Sales and count'!$G$2:$CC$2,0),SUMPRODUCT(('Sales and count'!$G$3:$CC$3="Total")*(_xlpm.d&gt;=BR$6)*(_xlpm.d&lt;=BR$7),INDEX('Sales and count'!$G$4:$CC$300,$AJ113,0)))))</f>
        <v>3066.87</v>
      </c>
      <c r="BS113" s="350" cm="1">
        <f t="array" ref="BS113">IF(AQ113="","",IF($AJ113="",0,_xlfn.LET(_xlpm.d,IFERROR(--'Sales and count'!$G$2:$CC$2,0),SUMPRODUCT(('Sales and count'!$G$3:$CC$3="Total")*(_xlpm.d&gt;=BS$6)*(_xlpm.d&lt;=BS$7),INDEX('Sales and count'!$G$4:$CC$300,$AJ113,0)))))</f>
        <v>2652.86</v>
      </c>
      <c r="BT113" s="350" cm="1">
        <f t="array" ref="BT113">IF(AR113="","",IF($AJ113="",0,_xlfn.LET(_xlpm.d,IFERROR(--'Sales and count'!$G$2:$CC$2,0),SUMPRODUCT(('Sales and count'!$G$3:$CC$3="Total")*(_xlpm.d&gt;=BT$6)*(_xlpm.d&lt;=BT$7),INDEX('Sales and count'!$G$4:$CC$300,$AJ113,0)))))</f>
        <v>2222.85</v>
      </c>
      <c r="BU113" s="350" cm="1">
        <f t="array" ref="BU113">IF(AS113="","",IF($AJ113="",0,_xlfn.LET(_xlpm.d,IFERROR(--'Sales and count'!$G$2:$CC$2,0),SUMPRODUCT(('Sales and count'!$G$3:$CC$3="Total")*(_xlpm.d&gt;=BU$6)*(_xlpm.d&lt;=BU$7),INDEX('Sales and count'!$G$4:$CC$300,$AJ113,0)))))</f>
        <v>2753.18</v>
      </c>
      <c r="BV113" s="350" t="str" cm="1">
        <f t="array" ref="BV113">IF(AT113="","",IF($AJ113="",0,_xlfn.LET(_xlpm.d,IFERROR(--'Sales and count'!$G$2:$CC$2,0),SUMPRODUCT(('Sales and count'!$G$3:$CC$3="Total")*(_xlpm.d&gt;=BV$6)*(_xlpm.d&lt;=BV$7),INDEX('Sales and count'!$G$4:$CC$300,$AJ113,0)))))</f>
        <v/>
      </c>
      <c r="BW113" s="350" t="str" cm="1">
        <f t="array" ref="BW113">IF(AU113="","",IF($AJ113="",0,_xlfn.LET(_xlpm.d,IFERROR(--'Sales and count'!$G$2:$CC$2,0),SUMPRODUCT(('Sales and count'!$G$3:$CC$3="Total")*(_xlpm.d&gt;=BW$6)*(_xlpm.d&lt;=BW$7),INDEX('Sales and count'!$G$4:$CC$300,$AJ113,0)))))</f>
        <v/>
      </c>
      <c r="BX113" s="350" t="str" cm="1">
        <f t="array" ref="BX113">IF(AV113="","",IF($AJ113="",0,_xlfn.LET(_xlpm.d,IFERROR(--'Sales and count'!$G$2:$CC$2,0),SUMPRODUCT(('Sales and count'!$G$3:$CC$3="Total")*(_xlpm.d&gt;=BX$6)*(_xlpm.d&lt;=BX$7),INDEX('Sales and count'!$G$4:$CC$300,$AJ113,0)))))</f>
        <v/>
      </c>
      <c r="BY113" s="350" t="str" cm="1">
        <f t="array" ref="BY113">IF(AW113="","",IF($AJ113="",0,_xlfn.LET(_xlpm.d,IFERROR(--'Sales and count'!$G$2:$CC$2,0),SUMPRODUCT(('Sales and count'!$G$3:$CC$3="Total")*(_xlpm.d&gt;=BY$6)*(_xlpm.d&lt;=BY$7),INDEX('Sales and count'!$G$4:$CC$300,$AJ113,0)))))</f>
        <v/>
      </c>
      <c r="BZ113" s="350" t="str" cm="1">
        <f t="array" ref="BZ113">IF(AX113="","",IF($AJ113="",0,_xlfn.LET(_xlpm.d,IFERROR(--'Sales and count'!$G$2:$CC$2,0),SUMPRODUCT(('Sales and count'!$G$3:$CC$3="Total")*(_xlpm.d&gt;=BZ$6)*(_xlpm.d&lt;=BZ$7),INDEX('Sales and count'!$G$4:$CC$300,$AJ113,0)))))</f>
        <v/>
      </c>
    </row>
    <row r="114" spans="1:78" x14ac:dyDescent="0.25">
      <c r="A114" s="356"/>
      <c r="B114" s="356" t="str" cm="1">
        <f t="array" ref="B114">IF($A114="","",_xlfn.XLOOKUP($A114,TRIM(Footfall!$B$5:$B$301&amp;""),Footfall!$A$5:$A$301,""))</f>
        <v/>
      </c>
      <c r="C114" s="356" t="str" cm="1">
        <f t="array" ref="C114">IF($A114="","",_xlfn.XLOOKUP($A114,TRIM('Sales and count'!$A$4:$A$300&amp;""),'Sales and count'!$C$4:$C$300,"Not set"))</f>
        <v/>
      </c>
      <c r="D114" s="357" t="str">
        <f t="shared" si="81"/>
        <v/>
      </c>
      <c r="E114" s="357" t="str">
        <f t="shared" si="82"/>
        <v/>
      </c>
      <c r="F114" s="357" t="str">
        <f t="shared" si="83"/>
        <v/>
      </c>
      <c r="G114" s="357" t="str">
        <f t="shared" si="84"/>
        <v/>
      </c>
      <c r="H114" s="357" t="str">
        <f t="shared" si="85"/>
        <v/>
      </c>
      <c r="I114" s="357" t="str">
        <f t="shared" si="86"/>
        <v/>
      </c>
      <c r="J114" s="357" t="str">
        <f t="shared" si="87"/>
        <v/>
      </c>
      <c r="K114" s="357" t="str">
        <f t="shared" si="88"/>
        <v/>
      </c>
      <c r="L114" s="357" t="str">
        <f t="shared" si="89"/>
        <v/>
      </c>
      <c r="M114" s="357" t="str">
        <f t="shared" si="90"/>
        <v/>
      </c>
      <c r="N114" s="357" t="str">
        <f t="shared" si="91"/>
        <v/>
      </c>
      <c r="O114" s="357" t="str">
        <f t="shared" si="92"/>
        <v/>
      </c>
      <c r="P114" s="357" t="str">
        <f t="shared" si="93"/>
        <v/>
      </c>
      <c r="Q114" s="357" t="str">
        <f t="shared" si="94"/>
        <v/>
      </c>
      <c r="R114" s="358" t="str" cm="1">
        <f t="array" ref="R114">IF(OR($A114="",D114=""),"",IFERROR(LOOKUP(2,1/(E114:Q114&lt;&gt;""),E114:Q114)-D114,""))</f>
        <v/>
      </c>
      <c r="S114" s="349"/>
      <c r="T114" s="362" t="str">
        <f t="shared" si="95"/>
        <v/>
      </c>
      <c r="U114" s="362" t="str">
        <f t="shared" si="96"/>
        <v/>
      </c>
      <c r="V114" s="362" t="str">
        <f t="shared" si="97"/>
        <v/>
      </c>
      <c r="W114" s="362" t="str">
        <f t="shared" si="98"/>
        <v/>
      </c>
      <c r="X114" s="362" t="str">
        <f t="shared" si="99"/>
        <v/>
      </c>
      <c r="Y114" s="362" t="str">
        <f t="shared" si="100"/>
        <v/>
      </c>
      <c r="Z114" s="362" t="str">
        <f t="shared" si="101"/>
        <v/>
      </c>
      <c r="AA114" s="362" t="str">
        <f t="shared" si="102"/>
        <v/>
      </c>
      <c r="AB114" s="362" t="str">
        <f t="shared" si="103"/>
        <v/>
      </c>
      <c r="AC114" s="362" t="str">
        <f t="shared" si="104"/>
        <v/>
      </c>
      <c r="AD114" s="362" t="str">
        <f t="shared" si="105"/>
        <v/>
      </c>
      <c r="AE114" s="362" t="str">
        <f t="shared" si="106"/>
        <v/>
      </c>
      <c r="AF114" s="362" t="str">
        <f t="shared" si="107"/>
        <v/>
      </c>
      <c r="AG114" s="362" t="str">
        <f t="shared" si="108"/>
        <v/>
      </c>
      <c r="AH114" s="363" t="str" cm="1">
        <f t="array" ref="AH114">IF(OR($A114="",T114=""),"",IFERROR(LOOKUP(2,1/(U114:AG114&lt;&gt;""),U114:AG114)-T114,""))</f>
        <v/>
      </c>
      <c r="AI114" s="349"/>
      <c r="AJ114" s="349" t="str" cm="1">
        <f t="array" ref="AJ114">IF($A114="","",IFERROR(MATCH($A114,TRIM('Sales and count'!$A$4:$A$300&amp;""),0),""))</f>
        <v/>
      </c>
      <c r="AK114" s="350" t="str" cm="1">
        <f t="array" ref="AK114">IF(OR($A114="",AK$6=""),"",IFERROR(INDEX(Footfall!$C$5:$BZ$301,MATCH($A114,TRIM(Footfall!$B$5:$B$301&amp;""),0),AK$5),0))</f>
        <v/>
      </c>
      <c r="AL114" s="350" t="str" cm="1">
        <f t="array" ref="AL114">IF(OR($A114="",AL$6=""),"",IFERROR(INDEX(Footfall!$C$5:$BZ$301,MATCH($A114,TRIM(Footfall!$B$5:$B$301&amp;""),0),AL$5),0))</f>
        <v/>
      </c>
      <c r="AM114" s="350" t="str" cm="1">
        <f t="array" ref="AM114">IF(OR($A114="",AM$6=""),"",IFERROR(INDEX(Footfall!$C$5:$BZ$301,MATCH($A114,TRIM(Footfall!$B$5:$B$301&amp;""),0),AM$5),0))</f>
        <v/>
      </c>
      <c r="AN114" s="350" t="str" cm="1">
        <f t="array" ref="AN114">IF(OR($A114="",AN$6=""),"",IFERROR(INDEX(Footfall!$C$5:$BZ$301,MATCH($A114,TRIM(Footfall!$B$5:$B$301&amp;""),0),AN$5),0))</f>
        <v/>
      </c>
      <c r="AO114" s="350" t="str" cm="1">
        <f t="array" ref="AO114">IF(OR($A114="",AO$6=""),"",IFERROR(INDEX(Footfall!$C$5:$BZ$301,MATCH($A114,TRIM(Footfall!$B$5:$B$301&amp;""),0),AO$5),0))</f>
        <v/>
      </c>
      <c r="AP114" s="350" t="str" cm="1">
        <f t="array" ref="AP114">IF(OR($A114="",AP$6=""),"",IFERROR(INDEX(Footfall!$C$5:$BZ$301,MATCH($A114,TRIM(Footfall!$B$5:$B$301&amp;""),0),AP$5),0))</f>
        <v/>
      </c>
      <c r="AQ114" s="350" t="str" cm="1">
        <f t="array" ref="AQ114">IF(OR($A114="",AQ$6=""),"",IFERROR(INDEX(Footfall!$C$5:$BZ$301,MATCH($A114,TRIM(Footfall!$B$5:$B$301&amp;""),0),AQ$5),0))</f>
        <v/>
      </c>
      <c r="AR114" s="350" t="str" cm="1">
        <f t="array" ref="AR114">IF(OR($A114="",AR$6=""),"",IFERROR(INDEX(Footfall!$C$5:$BZ$301,MATCH($A114,TRIM(Footfall!$B$5:$B$301&amp;""),0),AR$5),0))</f>
        <v/>
      </c>
      <c r="AS114" s="350" t="str" cm="1">
        <f t="array" ref="AS114">IF(OR($A114="",AS$6=""),"",IFERROR(INDEX(Footfall!$C$5:$BZ$301,MATCH($A114,TRIM(Footfall!$B$5:$B$301&amp;""),0),AS$5),0))</f>
        <v/>
      </c>
      <c r="AT114" s="350" t="str" cm="1">
        <f t="array" ref="AT114">IF(OR($A114="",AT$6=""),"",IFERROR(INDEX(Footfall!$C$5:$BZ$301,MATCH($A114,TRIM(Footfall!$B$5:$B$301&amp;""),0),AT$5),0))</f>
        <v/>
      </c>
      <c r="AU114" s="350" t="str" cm="1">
        <f t="array" ref="AU114">IF(OR($A114="",AU$6=""),"",IFERROR(INDEX(Footfall!$C$5:$BZ$301,MATCH($A114,TRIM(Footfall!$B$5:$B$301&amp;""),0),AU$5),0))</f>
        <v/>
      </c>
      <c r="AV114" s="350" t="str" cm="1">
        <f t="array" ref="AV114">IF(OR($A114="",AV$6=""),"",IFERROR(INDEX(Footfall!$C$5:$BZ$301,MATCH($A114,TRIM(Footfall!$B$5:$B$301&amp;""),0),AV$5),0))</f>
        <v/>
      </c>
      <c r="AW114" s="350" t="str" cm="1">
        <f t="array" ref="AW114">IF(OR($A114="",AW$6=""),"",IFERROR(INDEX(Footfall!$C$5:$BZ$301,MATCH($A114,TRIM(Footfall!$B$5:$B$301&amp;""),0),AW$5),0))</f>
        <v/>
      </c>
      <c r="AX114" s="350" t="str" cm="1">
        <f t="array" ref="AX114">IF(OR($A114="",AX$6=""),"",IFERROR(INDEX(Footfall!$C$5:$BZ$301,MATCH($A114,TRIM(Footfall!$B$5:$B$301&amp;""),0),AX$5),0))</f>
        <v/>
      </c>
      <c r="AY114" s="350" t="str" cm="1">
        <f t="array" ref="AY114">IF(AK114="","",IF($AJ114="",0,_xlfn.LET(_xlpm.d,IFERROR(--'Sales and count'!$F$2:$CB$2,0),SUMPRODUCT(('Sales and count'!$G$3:$CC$3="Transactions")*(_xlpm.d&gt;=AY$6)*(_xlpm.d&lt;=AY$7),INDEX('Sales and count'!$G$4:$CC$300,$AJ114,0)))))</f>
        <v/>
      </c>
      <c r="AZ114" s="350" t="str" cm="1">
        <f t="array" ref="AZ114">IF(AL114="","",IF($AJ114="",0,_xlfn.LET(_xlpm.d,IFERROR(--'Sales and count'!$F$2:$CB$2,0),SUMPRODUCT(('Sales and count'!$G$3:$CC$3="Transactions")*(_xlpm.d&gt;=AZ$6)*(_xlpm.d&lt;=AZ$7),INDEX('Sales and count'!$G$4:$CC$300,$AJ114,0)))))</f>
        <v/>
      </c>
      <c r="BA114" s="350" t="str" cm="1">
        <f t="array" ref="BA114">IF(AM114="","",IF($AJ114="",0,_xlfn.LET(_xlpm.d,IFERROR(--'Sales and count'!$F$2:$CB$2,0),SUMPRODUCT(('Sales and count'!$G$3:$CC$3="Transactions")*(_xlpm.d&gt;=BA$6)*(_xlpm.d&lt;=BA$7),INDEX('Sales and count'!$G$4:$CC$300,$AJ114,0)))))</f>
        <v/>
      </c>
      <c r="BB114" s="350" t="str" cm="1">
        <f t="array" ref="BB114">IF(AN114="","",IF($AJ114="",0,_xlfn.LET(_xlpm.d,IFERROR(--'Sales and count'!$F$2:$CB$2,0),SUMPRODUCT(('Sales and count'!$G$3:$CC$3="Transactions")*(_xlpm.d&gt;=BB$6)*(_xlpm.d&lt;=BB$7),INDEX('Sales and count'!$G$4:$CC$300,$AJ114,0)))))</f>
        <v/>
      </c>
      <c r="BC114" s="350" t="str" cm="1">
        <f t="array" ref="BC114">IF(AO114="","",IF($AJ114="",0,_xlfn.LET(_xlpm.d,IFERROR(--'Sales and count'!$F$2:$CB$2,0),SUMPRODUCT(('Sales and count'!$G$3:$CC$3="Transactions")*(_xlpm.d&gt;=BC$6)*(_xlpm.d&lt;=BC$7),INDEX('Sales and count'!$G$4:$CC$300,$AJ114,0)))))</f>
        <v/>
      </c>
      <c r="BD114" s="350" t="str" cm="1">
        <f t="array" ref="BD114">IF(AP114="","",IF($AJ114="",0,_xlfn.LET(_xlpm.d,IFERROR(--'Sales and count'!$F$2:$CB$2,0),SUMPRODUCT(('Sales and count'!$G$3:$CC$3="Transactions")*(_xlpm.d&gt;=BD$6)*(_xlpm.d&lt;=BD$7),INDEX('Sales and count'!$G$4:$CC$300,$AJ114,0)))))</f>
        <v/>
      </c>
      <c r="BE114" s="350" t="str" cm="1">
        <f t="array" ref="BE114">IF(AQ114="","",IF($AJ114="",0,_xlfn.LET(_xlpm.d,IFERROR(--'Sales and count'!$F$2:$CB$2,0),SUMPRODUCT(('Sales and count'!$G$3:$CC$3="Transactions")*(_xlpm.d&gt;=BE$6)*(_xlpm.d&lt;=BE$7),INDEX('Sales and count'!$G$4:$CC$300,$AJ114,0)))))</f>
        <v/>
      </c>
      <c r="BF114" s="350" t="str" cm="1">
        <f t="array" ref="BF114">IF(AR114="","",IF($AJ114="",0,_xlfn.LET(_xlpm.d,IFERROR(--'Sales and count'!$F$2:$CB$2,0),SUMPRODUCT(('Sales and count'!$G$3:$CC$3="Transactions")*(_xlpm.d&gt;=BF$6)*(_xlpm.d&lt;=BF$7),INDEX('Sales and count'!$G$4:$CC$300,$AJ114,0)))))</f>
        <v/>
      </c>
      <c r="BG114" s="350" t="str" cm="1">
        <f t="array" ref="BG114">IF(AS114="","",IF($AJ114="",0,_xlfn.LET(_xlpm.d,IFERROR(--'Sales and count'!$F$2:$CB$2,0),SUMPRODUCT(('Sales and count'!$G$3:$CC$3="Transactions")*(_xlpm.d&gt;=BG$6)*(_xlpm.d&lt;=BG$7),INDEX('Sales and count'!$G$4:$CC$300,$AJ114,0)))))</f>
        <v/>
      </c>
      <c r="BH114" s="350" t="str" cm="1">
        <f t="array" ref="BH114">IF(AT114="","",IF($AJ114="",0,_xlfn.LET(_xlpm.d,IFERROR(--'Sales and count'!$F$2:$CB$2,0),SUMPRODUCT(('Sales and count'!$G$3:$CC$3="Transactions")*(_xlpm.d&gt;=BH$6)*(_xlpm.d&lt;=BH$7),INDEX('Sales and count'!$G$4:$CC$300,$AJ114,0)))))</f>
        <v/>
      </c>
      <c r="BI114" s="350" t="str" cm="1">
        <f t="array" ref="BI114">IF(AU114="","",IF($AJ114="",0,_xlfn.LET(_xlpm.d,IFERROR(--'Sales and count'!$F$2:$CB$2,0),SUMPRODUCT(('Sales and count'!$G$3:$CC$3="Transactions")*(_xlpm.d&gt;=BI$6)*(_xlpm.d&lt;=BI$7),INDEX('Sales and count'!$G$4:$CC$300,$AJ114,0)))))</f>
        <v/>
      </c>
      <c r="BJ114" s="350" t="str" cm="1">
        <f t="array" ref="BJ114">IF(AV114="","",IF($AJ114="",0,_xlfn.LET(_xlpm.d,IFERROR(--'Sales and count'!$F$2:$CB$2,0),SUMPRODUCT(('Sales and count'!$G$3:$CC$3="Transactions")*(_xlpm.d&gt;=BJ$6)*(_xlpm.d&lt;=BJ$7),INDEX('Sales and count'!$G$4:$CC$300,$AJ114,0)))))</f>
        <v/>
      </c>
      <c r="BK114" s="350" t="str" cm="1">
        <f t="array" ref="BK114">IF(AW114="","",IF($AJ114="",0,_xlfn.LET(_xlpm.d,IFERROR(--'Sales and count'!$F$2:$CB$2,0),SUMPRODUCT(('Sales and count'!$G$3:$CC$3="Transactions")*(_xlpm.d&gt;=BK$6)*(_xlpm.d&lt;=BK$7),INDEX('Sales and count'!$G$4:$CC$300,$AJ114,0)))))</f>
        <v/>
      </c>
      <c r="BL114" s="350" t="str" cm="1">
        <f t="array" ref="BL114">IF(AX114="","",IF($AJ114="",0,_xlfn.LET(_xlpm.d,IFERROR(--'Sales and count'!$F$2:$CB$2,0),SUMPRODUCT(('Sales and count'!$G$3:$CC$3="Transactions")*(_xlpm.d&gt;=BL$6)*(_xlpm.d&lt;=BL$7),INDEX('Sales and count'!$G$4:$CC$300,$AJ114,0)))))</f>
        <v/>
      </c>
      <c r="BM114" s="350" t="str" cm="1">
        <f t="array" ref="BM114">IF(AK114="","",IF($AJ114="",0,_xlfn.LET(_xlpm.d,IFERROR(--'Sales and count'!$G$2:$CC$2,0),SUMPRODUCT(('Sales and count'!$G$3:$CC$3="Total")*(_xlpm.d&gt;=BM$6)*(_xlpm.d&lt;=BM$7),INDEX('Sales and count'!$G$4:$CC$300,$AJ114,0)))))</f>
        <v/>
      </c>
      <c r="BN114" s="350" t="str" cm="1">
        <f t="array" ref="BN114">IF(AL114="","",IF($AJ114="",0,_xlfn.LET(_xlpm.d,IFERROR(--'Sales and count'!$G$2:$CC$2,0),SUMPRODUCT(('Sales and count'!$G$3:$CC$3="Total")*(_xlpm.d&gt;=BN$6)*(_xlpm.d&lt;=BN$7),INDEX('Sales and count'!$G$4:$CC$300,$AJ114,0)))))</f>
        <v/>
      </c>
      <c r="BO114" s="350" t="str" cm="1">
        <f t="array" ref="BO114">IF(AM114="","",IF($AJ114="",0,_xlfn.LET(_xlpm.d,IFERROR(--'Sales and count'!$G$2:$CC$2,0),SUMPRODUCT(('Sales and count'!$G$3:$CC$3="Total")*(_xlpm.d&gt;=BO$6)*(_xlpm.d&lt;=BO$7),INDEX('Sales and count'!$G$4:$CC$300,$AJ114,0)))))</f>
        <v/>
      </c>
      <c r="BP114" s="350" t="str" cm="1">
        <f t="array" ref="BP114">IF(AN114="","",IF($AJ114="",0,_xlfn.LET(_xlpm.d,IFERROR(--'Sales and count'!$G$2:$CC$2,0),SUMPRODUCT(('Sales and count'!$G$3:$CC$3="Total")*(_xlpm.d&gt;=BP$6)*(_xlpm.d&lt;=BP$7),INDEX('Sales and count'!$G$4:$CC$300,$AJ114,0)))))</f>
        <v/>
      </c>
      <c r="BQ114" s="350" t="str" cm="1">
        <f t="array" ref="BQ114">IF(AO114="","",IF($AJ114="",0,_xlfn.LET(_xlpm.d,IFERROR(--'Sales and count'!$G$2:$CC$2,0),SUMPRODUCT(('Sales and count'!$G$3:$CC$3="Total")*(_xlpm.d&gt;=BQ$6)*(_xlpm.d&lt;=BQ$7),INDEX('Sales and count'!$G$4:$CC$300,$AJ114,0)))))</f>
        <v/>
      </c>
      <c r="BR114" s="350" t="str" cm="1">
        <f t="array" ref="BR114">IF(AP114="","",IF($AJ114="",0,_xlfn.LET(_xlpm.d,IFERROR(--'Sales and count'!$G$2:$CC$2,0),SUMPRODUCT(('Sales and count'!$G$3:$CC$3="Total")*(_xlpm.d&gt;=BR$6)*(_xlpm.d&lt;=BR$7),INDEX('Sales and count'!$G$4:$CC$300,$AJ114,0)))))</f>
        <v/>
      </c>
      <c r="BS114" s="350" t="str" cm="1">
        <f t="array" ref="BS114">IF(AQ114="","",IF($AJ114="",0,_xlfn.LET(_xlpm.d,IFERROR(--'Sales and count'!$G$2:$CC$2,0),SUMPRODUCT(('Sales and count'!$G$3:$CC$3="Total")*(_xlpm.d&gt;=BS$6)*(_xlpm.d&lt;=BS$7),INDEX('Sales and count'!$G$4:$CC$300,$AJ114,0)))))</f>
        <v/>
      </c>
      <c r="BT114" s="350" t="str" cm="1">
        <f t="array" ref="BT114">IF(AR114="","",IF($AJ114="",0,_xlfn.LET(_xlpm.d,IFERROR(--'Sales and count'!$G$2:$CC$2,0),SUMPRODUCT(('Sales and count'!$G$3:$CC$3="Total")*(_xlpm.d&gt;=BT$6)*(_xlpm.d&lt;=BT$7),INDEX('Sales and count'!$G$4:$CC$300,$AJ114,0)))))</f>
        <v/>
      </c>
      <c r="BU114" s="350" t="str" cm="1">
        <f t="array" ref="BU114">IF(AS114="","",IF($AJ114="",0,_xlfn.LET(_xlpm.d,IFERROR(--'Sales and count'!$G$2:$CC$2,0),SUMPRODUCT(('Sales and count'!$G$3:$CC$3="Total")*(_xlpm.d&gt;=BU$6)*(_xlpm.d&lt;=BU$7),INDEX('Sales and count'!$G$4:$CC$300,$AJ114,0)))))</f>
        <v/>
      </c>
      <c r="BV114" s="350" t="str" cm="1">
        <f t="array" ref="BV114">IF(AT114="","",IF($AJ114="",0,_xlfn.LET(_xlpm.d,IFERROR(--'Sales and count'!$G$2:$CC$2,0),SUMPRODUCT(('Sales and count'!$G$3:$CC$3="Total")*(_xlpm.d&gt;=BV$6)*(_xlpm.d&lt;=BV$7),INDEX('Sales and count'!$G$4:$CC$300,$AJ114,0)))))</f>
        <v/>
      </c>
      <c r="BW114" s="350" t="str" cm="1">
        <f t="array" ref="BW114">IF(AU114="","",IF($AJ114="",0,_xlfn.LET(_xlpm.d,IFERROR(--'Sales and count'!$G$2:$CC$2,0),SUMPRODUCT(('Sales and count'!$G$3:$CC$3="Total")*(_xlpm.d&gt;=BW$6)*(_xlpm.d&lt;=BW$7),INDEX('Sales and count'!$G$4:$CC$300,$AJ114,0)))))</f>
        <v/>
      </c>
      <c r="BX114" s="350" t="str" cm="1">
        <f t="array" ref="BX114">IF(AV114="","",IF($AJ114="",0,_xlfn.LET(_xlpm.d,IFERROR(--'Sales and count'!$G$2:$CC$2,0),SUMPRODUCT(('Sales and count'!$G$3:$CC$3="Total")*(_xlpm.d&gt;=BX$6)*(_xlpm.d&lt;=BX$7),INDEX('Sales and count'!$G$4:$CC$300,$AJ114,0)))))</f>
        <v/>
      </c>
      <c r="BY114" s="350" t="str" cm="1">
        <f t="array" ref="BY114">IF(AW114="","",IF($AJ114="",0,_xlfn.LET(_xlpm.d,IFERROR(--'Sales and count'!$G$2:$CC$2,0),SUMPRODUCT(('Sales and count'!$G$3:$CC$3="Total")*(_xlpm.d&gt;=BY$6)*(_xlpm.d&lt;=BY$7),INDEX('Sales and count'!$G$4:$CC$300,$AJ114,0)))))</f>
        <v/>
      </c>
      <c r="BZ114" s="350" t="str" cm="1">
        <f t="array" ref="BZ114">IF(AX114="","",IF($AJ114="",0,_xlfn.LET(_xlpm.d,IFERROR(--'Sales and count'!$G$2:$CC$2,0),SUMPRODUCT(('Sales and count'!$G$3:$CC$3="Total")*(_xlpm.d&gt;=BZ$6)*(_xlpm.d&lt;=BZ$7),INDEX('Sales and count'!$G$4:$CC$300,$AJ114,0)))))</f>
        <v/>
      </c>
    </row>
    <row r="115" spans="1:78" x14ac:dyDescent="0.25">
      <c r="A115" s="356"/>
      <c r="B115" s="356" t="str" cm="1">
        <f t="array" ref="B115">IF($A115="","",_xlfn.XLOOKUP($A115,TRIM(Footfall!$B$5:$B$301&amp;""),Footfall!$A$5:$A$301,""))</f>
        <v/>
      </c>
      <c r="C115" s="356" t="str" cm="1">
        <f t="array" ref="C115">IF($A115="","",_xlfn.XLOOKUP($A115,TRIM('Sales and count'!$A$4:$A$300&amp;""),'Sales and count'!$C$4:$C$300,"Not set"))</f>
        <v/>
      </c>
      <c r="D115" s="357" t="str">
        <f t="shared" si="81"/>
        <v/>
      </c>
      <c r="E115" s="357" t="str">
        <f t="shared" si="82"/>
        <v/>
      </c>
      <c r="F115" s="357" t="str">
        <f t="shared" si="83"/>
        <v/>
      </c>
      <c r="G115" s="357" t="str">
        <f t="shared" si="84"/>
        <v/>
      </c>
      <c r="H115" s="357" t="str">
        <f t="shared" si="85"/>
        <v/>
      </c>
      <c r="I115" s="357" t="str">
        <f t="shared" si="86"/>
        <v/>
      </c>
      <c r="J115" s="357" t="str">
        <f t="shared" si="87"/>
        <v/>
      </c>
      <c r="K115" s="357" t="str">
        <f t="shared" si="88"/>
        <v/>
      </c>
      <c r="L115" s="357" t="str">
        <f t="shared" si="89"/>
        <v/>
      </c>
      <c r="M115" s="357" t="str">
        <f t="shared" si="90"/>
        <v/>
      </c>
      <c r="N115" s="357" t="str">
        <f t="shared" si="91"/>
        <v/>
      </c>
      <c r="O115" s="357" t="str">
        <f t="shared" si="92"/>
        <v/>
      </c>
      <c r="P115" s="357" t="str">
        <f t="shared" si="93"/>
        <v/>
      </c>
      <c r="Q115" s="357" t="str">
        <f t="shared" si="94"/>
        <v/>
      </c>
      <c r="R115" s="358" t="str" cm="1">
        <f t="array" ref="R115">IF(OR($A115="",D115=""),"",IFERROR(LOOKUP(2,1/(E115:Q115&lt;&gt;""),E115:Q115)-D115,""))</f>
        <v/>
      </c>
      <c r="S115" s="349"/>
      <c r="T115" s="362" t="str">
        <f t="shared" si="95"/>
        <v/>
      </c>
      <c r="U115" s="362" t="str">
        <f t="shared" si="96"/>
        <v/>
      </c>
      <c r="V115" s="362" t="str">
        <f t="shared" si="97"/>
        <v/>
      </c>
      <c r="W115" s="362" t="str">
        <f t="shared" si="98"/>
        <v/>
      </c>
      <c r="X115" s="362" t="str">
        <f t="shared" si="99"/>
        <v/>
      </c>
      <c r="Y115" s="362" t="str">
        <f t="shared" si="100"/>
        <v/>
      </c>
      <c r="Z115" s="362" t="str">
        <f t="shared" si="101"/>
        <v/>
      </c>
      <c r="AA115" s="362" t="str">
        <f t="shared" si="102"/>
        <v/>
      </c>
      <c r="AB115" s="362" t="str">
        <f t="shared" si="103"/>
        <v/>
      </c>
      <c r="AC115" s="362" t="str">
        <f t="shared" si="104"/>
        <v/>
      </c>
      <c r="AD115" s="362" t="str">
        <f t="shared" si="105"/>
        <v/>
      </c>
      <c r="AE115" s="362" t="str">
        <f t="shared" si="106"/>
        <v/>
      </c>
      <c r="AF115" s="362" t="str">
        <f t="shared" si="107"/>
        <v/>
      </c>
      <c r="AG115" s="362" t="str">
        <f t="shared" si="108"/>
        <v/>
      </c>
      <c r="AH115" s="363" t="str" cm="1">
        <f t="array" ref="AH115">IF(OR($A115="",T115=""),"",IFERROR(LOOKUP(2,1/(U115:AG115&lt;&gt;""),U115:AG115)-T115,""))</f>
        <v/>
      </c>
      <c r="AI115" s="349"/>
      <c r="AJ115" s="349" t="str" cm="1">
        <f t="array" ref="AJ115">IF($A115="","",IFERROR(MATCH($A115,TRIM('Sales and count'!$A$4:$A$300&amp;""),0),""))</f>
        <v/>
      </c>
      <c r="AK115" s="350" t="str" cm="1">
        <f t="array" ref="AK115">IF(OR($A115="",AK$6=""),"",IFERROR(INDEX(Footfall!$C$5:$BZ$301,MATCH($A115,TRIM(Footfall!$B$5:$B$301&amp;""),0),AK$5),0))</f>
        <v/>
      </c>
      <c r="AL115" s="350" t="str" cm="1">
        <f t="array" ref="AL115">IF(OR($A115="",AL$6=""),"",IFERROR(INDEX(Footfall!$C$5:$BZ$301,MATCH($A115,TRIM(Footfall!$B$5:$B$301&amp;""),0),AL$5),0))</f>
        <v/>
      </c>
      <c r="AM115" s="350" t="str" cm="1">
        <f t="array" ref="AM115">IF(OR($A115="",AM$6=""),"",IFERROR(INDEX(Footfall!$C$5:$BZ$301,MATCH($A115,TRIM(Footfall!$B$5:$B$301&amp;""),0),AM$5),0))</f>
        <v/>
      </c>
      <c r="AN115" s="350" t="str" cm="1">
        <f t="array" ref="AN115">IF(OR($A115="",AN$6=""),"",IFERROR(INDEX(Footfall!$C$5:$BZ$301,MATCH($A115,TRIM(Footfall!$B$5:$B$301&amp;""),0),AN$5),0))</f>
        <v/>
      </c>
      <c r="AO115" s="350" t="str" cm="1">
        <f t="array" ref="AO115">IF(OR($A115="",AO$6=""),"",IFERROR(INDEX(Footfall!$C$5:$BZ$301,MATCH($A115,TRIM(Footfall!$B$5:$B$301&amp;""),0),AO$5),0))</f>
        <v/>
      </c>
      <c r="AP115" s="350" t="str" cm="1">
        <f t="array" ref="AP115">IF(OR($A115="",AP$6=""),"",IFERROR(INDEX(Footfall!$C$5:$BZ$301,MATCH($A115,TRIM(Footfall!$B$5:$B$301&amp;""),0),AP$5),0))</f>
        <v/>
      </c>
      <c r="AQ115" s="350" t="str" cm="1">
        <f t="array" ref="AQ115">IF(OR($A115="",AQ$6=""),"",IFERROR(INDEX(Footfall!$C$5:$BZ$301,MATCH($A115,TRIM(Footfall!$B$5:$B$301&amp;""),0),AQ$5),0))</f>
        <v/>
      </c>
      <c r="AR115" s="350" t="str" cm="1">
        <f t="array" ref="AR115">IF(OR($A115="",AR$6=""),"",IFERROR(INDEX(Footfall!$C$5:$BZ$301,MATCH($A115,TRIM(Footfall!$B$5:$B$301&amp;""),0),AR$5),0))</f>
        <v/>
      </c>
      <c r="AS115" s="350" t="str" cm="1">
        <f t="array" ref="AS115">IF(OR($A115="",AS$6=""),"",IFERROR(INDEX(Footfall!$C$5:$BZ$301,MATCH($A115,TRIM(Footfall!$B$5:$B$301&amp;""),0),AS$5),0))</f>
        <v/>
      </c>
      <c r="AT115" s="350" t="str" cm="1">
        <f t="array" ref="AT115">IF(OR($A115="",AT$6=""),"",IFERROR(INDEX(Footfall!$C$5:$BZ$301,MATCH($A115,TRIM(Footfall!$B$5:$B$301&amp;""),0),AT$5),0))</f>
        <v/>
      </c>
      <c r="AU115" s="350" t="str" cm="1">
        <f t="array" ref="AU115">IF(OR($A115="",AU$6=""),"",IFERROR(INDEX(Footfall!$C$5:$BZ$301,MATCH($A115,TRIM(Footfall!$B$5:$B$301&amp;""),0),AU$5),0))</f>
        <v/>
      </c>
      <c r="AV115" s="350" t="str" cm="1">
        <f t="array" ref="AV115">IF(OR($A115="",AV$6=""),"",IFERROR(INDEX(Footfall!$C$5:$BZ$301,MATCH($A115,TRIM(Footfall!$B$5:$B$301&amp;""),0),AV$5),0))</f>
        <v/>
      </c>
      <c r="AW115" s="350" t="str" cm="1">
        <f t="array" ref="AW115">IF(OR($A115="",AW$6=""),"",IFERROR(INDEX(Footfall!$C$5:$BZ$301,MATCH($A115,TRIM(Footfall!$B$5:$B$301&amp;""),0),AW$5),0))</f>
        <v/>
      </c>
      <c r="AX115" s="350" t="str" cm="1">
        <f t="array" ref="AX115">IF(OR($A115="",AX$6=""),"",IFERROR(INDEX(Footfall!$C$5:$BZ$301,MATCH($A115,TRIM(Footfall!$B$5:$B$301&amp;""),0),AX$5),0))</f>
        <v/>
      </c>
      <c r="AY115" s="350" t="str" cm="1">
        <f t="array" ref="AY115">IF(AK115="","",IF($AJ115="",0,_xlfn.LET(_xlpm.d,IFERROR(--'Sales and count'!$F$2:$CB$2,0),SUMPRODUCT(('Sales and count'!$G$3:$CC$3="Transactions")*(_xlpm.d&gt;=AY$6)*(_xlpm.d&lt;=AY$7),INDEX('Sales and count'!$G$4:$CC$300,$AJ115,0)))))</f>
        <v/>
      </c>
      <c r="AZ115" s="350" t="str" cm="1">
        <f t="array" ref="AZ115">IF(AL115="","",IF($AJ115="",0,_xlfn.LET(_xlpm.d,IFERROR(--'Sales and count'!$F$2:$CB$2,0),SUMPRODUCT(('Sales and count'!$G$3:$CC$3="Transactions")*(_xlpm.d&gt;=AZ$6)*(_xlpm.d&lt;=AZ$7),INDEX('Sales and count'!$G$4:$CC$300,$AJ115,0)))))</f>
        <v/>
      </c>
      <c r="BA115" s="350" t="str" cm="1">
        <f t="array" ref="BA115">IF(AM115="","",IF($AJ115="",0,_xlfn.LET(_xlpm.d,IFERROR(--'Sales and count'!$F$2:$CB$2,0),SUMPRODUCT(('Sales and count'!$G$3:$CC$3="Transactions")*(_xlpm.d&gt;=BA$6)*(_xlpm.d&lt;=BA$7),INDEX('Sales and count'!$G$4:$CC$300,$AJ115,0)))))</f>
        <v/>
      </c>
      <c r="BB115" s="350" t="str" cm="1">
        <f t="array" ref="BB115">IF(AN115="","",IF($AJ115="",0,_xlfn.LET(_xlpm.d,IFERROR(--'Sales and count'!$F$2:$CB$2,0),SUMPRODUCT(('Sales and count'!$G$3:$CC$3="Transactions")*(_xlpm.d&gt;=BB$6)*(_xlpm.d&lt;=BB$7),INDEX('Sales and count'!$G$4:$CC$300,$AJ115,0)))))</f>
        <v/>
      </c>
      <c r="BC115" s="350" t="str" cm="1">
        <f t="array" ref="BC115">IF(AO115="","",IF($AJ115="",0,_xlfn.LET(_xlpm.d,IFERROR(--'Sales and count'!$F$2:$CB$2,0),SUMPRODUCT(('Sales and count'!$G$3:$CC$3="Transactions")*(_xlpm.d&gt;=BC$6)*(_xlpm.d&lt;=BC$7),INDEX('Sales and count'!$G$4:$CC$300,$AJ115,0)))))</f>
        <v/>
      </c>
      <c r="BD115" s="350" t="str" cm="1">
        <f t="array" ref="BD115">IF(AP115="","",IF($AJ115="",0,_xlfn.LET(_xlpm.d,IFERROR(--'Sales and count'!$F$2:$CB$2,0),SUMPRODUCT(('Sales and count'!$G$3:$CC$3="Transactions")*(_xlpm.d&gt;=BD$6)*(_xlpm.d&lt;=BD$7),INDEX('Sales and count'!$G$4:$CC$300,$AJ115,0)))))</f>
        <v/>
      </c>
      <c r="BE115" s="350" t="str" cm="1">
        <f t="array" ref="BE115">IF(AQ115="","",IF($AJ115="",0,_xlfn.LET(_xlpm.d,IFERROR(--'Sales and count'!$F$2:$CB$2,0),SUMPRODUCT(('Sales and count'!$G$3:$CC$3="Transactions")*(_xlpm.d&gt;=BE$6)*(_xlpm.d&lt;=BE$7),INDEX('Sales and count'!$G$4:$CC$300,$AJ115,0)))))</f>
        <v/>
      </c>
      <c r="BF115" s="350" t="str" cm="1">
        <f t="array" ref="BF115">IF(AR115="","",IF($AJ115="",0,_xlfn.LET(_xlpm.d,IFERROR(--'Sales and count'!$F$2:$CB$2,0),SUMPRODUCT(('Sales and count'!$G$3:$CC$3="Transactions")*(_xlpm.d&gt;=BF$6)*(_xlpm.d&lt;=BF$7),INDEX('Sales and count'!$G$4:$CC$300,$AJ115,0)))))</f>
        <v/>
      </c>
      <c r="BG115" s="350" t="str" cm="1">
        <f t="array" ref="BG115">IF(AS115="","",IF($AJ115="",0,_xlfn.LET(_xlpm.d,IFERROR(--'Sales and count'!$F$2:$CB$2,0),SUMPRODUCT(('Sales and count'!$G$3:$CC$3="Transactions")*(_xlpm.d&gt;=BG$6)*(_xlpm.d&lt;=BG$7),INDEX('Sales and count'!$G$4:$CC$300,$AJ115,0)))))</f>
        <v/>
      </c>
      <c r="BH115" s="350" t="str" cm="1">
        <f t="array" ref="BH115">IF(AT115="","",IF($AJ115="",0,_xlfn.LET(_xlpm.d,IFERROR(--'Sales and count'!$F$2:$CB$2,0),SUMPRODUCT(('Sales and count'!$G$3:$CC$3="Transactions")*(_xlpm.d&gt;=BH$6)*(_xlpm.d&lt;=BH$7),INDEX('Sales and count'!$G$4:$CC$300,$AJ115,0)))))</f>
        <v/>
      </c>
      <c r="BI115" s="350" t="str" cm="1">
        <f t="array" ref="BI115">IF(AU115="","",IF($AJ115="",0,_xlfn.LET(_xlpm.d,IFERROR(--'Sales and count'!$F$2:$CB$2,0),SUMPRODUCT(('Sales and count'!$G$3:$CC$3="Transactions")*(_xlpm.d&gt;=BI$6)*(_xlpm.d&lt;=BI$7),INDEX('Sales and count'!$G$4:$CC$300,$AJ115,0)))))</f>
        <v/>
      </c>
      <c r="BJ115" s="350" t="str" cm="1">
        <f t="array" ref="BJ115">IF(AV115="","",IF($AJ115="",0,_xlfn.LET(_xlpm.d,IFERROR(--'Sales and count'!$F$2:$CB$2,0),SUMPRODUCT(('Sales and count'!$G$3:$CC$3="Transactions")*(_xlpm.d&gt;=BJ$6)*(_xlpm.d&lt;=BJ$7),INDEX('Sales and count'!$G$4:$CC$300,$AJ115,0)))))</f>
        <v/>
      </c>
      <c r="BK115" s="350" t="str" cm="1">
        <f t="array" ref="BK115">IF(AW115="","",IF($AJ115="",0,_xlfn.LET(_xlpm.d,IFERROR(--'Sales and count'!$F$2:$CB$2,0),SUMPRODUCT(('Sales and count'!$G$3:$CC$3="Transactions")*(_xlpm.d&gt;=BK$6)*(_xlpm.d&lt;=BK$7),INDEX('Sales and count'!$G$4:$CC$300,$AJ115,0)))))</f>
        <v/>
      </c>
      <c r="BL115" s="350" t="str" cm="1">
        <f t="array" ref="BL115">IF(AX115="","",IF($AJ115="",0,_xlfn.LET(_xlpm.d,IFERROR(--'Sales and count'!$F$2:$CB$2,0),SUMPRODUCT(('Sales and count'!$G$3:$CC$3="Transactions")*(_xlpm.d&gt;=BL$6)*(_xlpm.d&lt;=BL$7),INDEX('Sales and count'!$G$4:$CC$300,$AJ115,0)))))</f>
        <v/>
      </c>
      <c r="BM115" s="350" t="str" cm="1">
        <f t="array" ref="BM115">IF(AK115="","",IF($AJ115="",0,_xlfn.LET(_xlpm.d,IFERROR(--'Sales and count'!$G$2:$CC$2,0),SUMPRODUCT(('Sales and count'!$G$3:$CC$3="Total")*(_xlpm.d&gt;=BM$6)*(_xlpm.d&lt;=BM$7),INDEX('Sales and count'!$G$4:$CC$300,$AJ115,0)))))</f>
        <v/>
      </c>
      <c r="BN115" s="350" t="str" cm="1">
        <f t="array" ref="BN115">IF(AL115="","",IF($AJ115="",0,_xlfn.LET(_xlpm.d,IFERROR(--'Sales and count'!$G$2:$CC$2,0),SUMPRODUCT(('Sales and count'!$G$3:$CC$3="Total")*(_xlpm.d&gt;=BN$6)*(_xlpm.d&lt;=BN$7),INDEX('Sales and count'!$G$4:$CC$300,$AJ115,0)))))</f>
        <v/>
      </c>
      <c r="BO115" s="350" t="str" cm="1">
        <f t="array" ref="BO115">IF(AM115="","",IF($AJ115="",0,_xlfn.LET(_xlpm.d,IFERROR(--'Sales and count'!$G$2:$CC$2,0),SUMPRODUCT(('Sales and count'!$G$3:$CC$3="Total")*(_xlpm.d&gt;=BO$6)*(_xlpm.d&lt;=BO$7),INDEX('Sales and count'!$G$4:$CC$300,$AJ115,0)))))</f>
        <v/>
      </c>
      <c r="BP115" s="350" t="str" cm="1">
        <f t="array" ref="BP115">IF(AN115="","",IF($AJ115="",0,_xlfn.LET(_xlpm.d,IFERROR(--'Sales and count'!$G$2:$CC$2,0),SUMPRODUCT(('Sales and count'!$G$3:$CC$3="Total")*(_xlpm.d&gt;=BP$6)*(_xlpm.d&lt;=BP$7),INDEX('Sales and count'!$G$4:$CC$300,$AJ115,0)))))</f>
        <v/>
      </c>
      <c r="BQ115" s="350" t="str" cm="1">
        <f t="array" ref="BQ115">IF(AO115="","",IF($AJ115="",0,_xlfn.LET(_xlpm.d,IFERROR(--'Sales and count'!$G$2:$CC$2,0),SUMPRODUCT(('Sales and count'!$G$3:$CC$3="Total")*(_xlpm.d&gt;=BQ$6)*(_xlpm.d&lt;=BQ$7),INDEX('Sales and count'!$G$4:$CC$300,$AJ115,0)))))</f>
        <v/>
      </c>
      <c r="BR115" s="350" t="str" cm="1">
        <f t="array" ref="BR115">IF(AP115="","",IF($AJ115="",0,_xlfn.LET(_xlpm.d,IFERROR(--'Sales and count'!$G$2:$CC$2,0),SUMPRODUCT(('Sales and count'!$G$3:$CC$3="Total")*(_xlpm.d&gt;=BR$6)*(_xlpm.d&lt;=BR$7),INDEX('Sales and count'!$G$4:$CC$300,$AJ115,0)))))</f>
        <v/>
      </c>
      <c r="BS115" s="350" t="str" cm="1">
        <f t="array" ref="BS115">IF(AQ115="","",IF($AJ115="",0,_xlfn.LET(_xlpm.d,IFERROR(--'Sales and count'!$G$2:$CC$2,0),SUMPRODUCT(('Sales and count'!$G$3:$CC$3="Total")*(_xlpm.d&gt;=BS$6)*(_xlpm.d&lt;=BS$7),INDEX('Sales and count'!$G$4:$CC$300,$AJ115,0)))))</f>
        <v/>
      </c>
      <c r="BT115" s="350" t="str" cm="1">
        <f t="array" ref="BT115">IF(AR115="","",IF($AJ115="",0,_xlfn.LET(_xlpm.d,IFERROR(--'Sales and count'!$G$2:$CC$2,0),SUMPRODUCT(('Sales and count'!$G$3:$CC$3="Total")*(_xlpm.d&gt;=BT$6)*(_xlpm.d&lt;=BT$7),INDEX('Sales and count'!$G$4:$CC$300,$AJ115,0)))))</f>
        <v/>
      </c>
      <c r="BU115" s="350" t="str" cm="1">
        <f t="array" ref="BU115">IF(AS115="","",IF($AJ115="",0,_xlfn.LET(_xlpm.d,IFERROR(--'Sales and count'!$G$2:$CC$2,0),SUMPRODUCT(('Sales and count'!$G$3:$CC$3="Total")*(_xlpm.d&gt;=BU$6)*(_xlpm.d&lt;=BU$7),INDEX('Sales and count'!$G$4:$CC$300,$AJ115,0)))))</f>
        <v/>
      </c>
      <c r="BV115" s="350" t="str" cm="1">
        <f t="array" ref="BV115">IF(AT115="","",IF($AJ115="",0,_xlfn.LET(_xlpm.d,IFERROR(--'Sales and count'!$G$2:$CC$2,0),SUMPRODUCT(('Sales and count'!$G$3:$CC$3="Total")*(_xlpm.d&gt;=BV$6)*(_xlpm.d&lt;=BV$7),INDEX('Sales and count'!$G$4:$CC$300,$AJ115,0)))))</f>
        <v/>
      </c>
      <c r="BW115" s="350" t="str" cm="1">
        <f t="array" ref="BW115">IF(AU115="","",IF($AJ115="",0,_xlfn.LET(_xlpm.d,IFERROR(--'Sales and count'!$G$2:$CC$2,0),SUMPRODUCT(('Sales and count'!$G$3:$CC$3="Total")*(_xlpm.d&gt;=BW$6)*(_xlpm.d&lt;=BW$7),INDEX('Sales and count'!$G$4:$CC$300,$AJ115,0)))))</f>
        <v/>
      </c>
      <c r="BX115" s="350" t="str" cm="1">
        <f t="array" ref="BX115">IF(AV115="","",IF($AJ115="",0,_xlfn.LET(_xlpm.d,IFERROR(--'Sales and count'!$G$2:$CC$2,0),SUMPRODUCT(('Sales and count'!$G$3:$CC$3="Total")*(_xlpm.d&gt;=BX$6)*(_xlpm.d&lt;=BX$7),INDEX('Sales and count'!$G$4:$CC$300,$AJ115,0)))))</f>
        <v/>
      </c>
      <c r="BY115" s="350" t="str" cm="1">
        <f t="array" ref="BY115">IF(AW115="","",IF($AJ115="",0,_xlfn.LET(_xlpm.d,IFERROR(--'Sales and count'!$G$2:$CC$2,0),SUMPRODUCT(('Sales and count'!$G$3:$CC$3="Total")*(_xlpm.d&gt;=BY$6)*(_xlpm.d&lt;=BY$7),INDEX('Sales and count'!$G$4:$CC$300,$AJ115,0)))))</f>
        <v/>
      </c>
      <c r="BZ115" s="350" t="str" cm="1">
        <f t="array" ref="BZ115">IF(AX115="","",IF($AJ115="",0,_xlfn.LET(_xlpm.d,IFERROR(--'Sales and count'!$G$2:$CC$2,0),SUMPRODUCT(('Sales and count'!$G$3:$CC$3="Total")*(_xlpm.d&gt;=BZ$6)*(_xlpm.d&lt;=BZ$7),INDEX('Sales and count'!$G$4:$CC$300,$AJ115,0)))))</f>
        <v/>
      </c>
    </row>
    <row r="116" spans="1:78" x14ac:dyDescent="0.25">
      <c r="A116" s="356"/>
      <c r="B116" s="356" t="str" cm="1">
        <f t="array" ref="B116">IF($A116="","",_xlfn.XLOOKUP($A116,TRIM(Footfall!$B$5:$B$301&amp;""),Footfall!$A$5:$A$301,""))</f>
        <v/>
      </c>
      <c r="C116" s="356" t="str" cm="1">
        <f t="array" ref="C116">IF($A116="","",_xlfn.XLOOKUP($A116,TRIM('Sales and count'!$A$4:$A$300&amp;""),'Sales and count'!$C$4:$C$300,"Not set"))</f>
        <v/>
      </c>
      <c r="D116" s="357" t="str">
        <f t="shared" si="81"/>
        <v/>
      </c>
      <c r="E116" s="357" t="str">
        <f t="shared" si="82"/>
        <v/>
      </c>
      <c r="F116" s="357" t="str">
        <f t="shared" si="83"/>
        <v/>
      </c>
      <c r="G116" s="357" t="str">
        <f t="shared" si="84"/>
        <v/>
      </c>
      <c r="H116" s="357" t="str">
        <f t="shared" si="85"/>
        <v/>
      </c>
      <c r="I116" s="357" t="str">
        <f t="shared" si="86"/>
        <v/>
      </c>
      <c r="J116" s="357" t="str">
        <f t="shared" si="87"/>
        <v/>
      </c>
      <c r="K116" s="357" t="str">
        <f t="shared" si="88"/>
        <v/>
      </c>
      <c r="L116" s="357" t="str">
        <f t="shared" si="89"/>
        <v/>
      </c>
      <c r="M116" s="357" t="str">
        <f t="shared" si="90"/>
        <v/>
      </c>
      <c r="N116" s="357" t="str">
        <f t="shared" si="91"/>
        <v/>
      </c>
      <c r="O116" s="357" t="str">
        <f t="shared" si="92"/>
        <v/>
      </c>
      <c r="P116" s="357" t="str">
        <f t="shared" si="93"/>
        <v/>
      </c>
      <c r="Q116" s="357" t="str">
        <f t="shared" si="94"/>
        <v/>
      </c>
      <c r="R116" s="358" t="str" cm="1">
        <f t="array" ref="R116">IF(OR($A116="",D116=""),"",IFERROR(LOOKUP(2,1/(E116:Q116&lt;&gt;""),E116:Q116)-D116,""))</f>
        <v/>
      </c>
      <c r="S116" s="349"/>
      <c r="T116" s="362" t="str">
        <f t="shared" si="95"/>
        <v/>
      </c>
      <c r="U116" s="362" t="str">
        <f t="shared" si="96"/>
        <v/>
      </c>
      <c r="V116" s="362" t="str">
        <f t="shared" si="97"/>
        <v/>
      </c>
      <c r="W116" s="362" t="str">
        <f t="shared" si="98"/>
        <v/>
      </c>
      <c r="X116" s="362" t="str">
        <f t="shared" si="99"/>
        <v/>
      </c>
      <c r="Y116" s="362" t="str">
        <f t="shared" si="100"/>
        <v/>
      </c>
      <c r="Z116" s="362" t="str">
        <f t="shared" si="101"/>
        <v/>
      </c>
      <c r="AA116" s="362" t="str">
        <f t="shared" si="102"/>
        <v/>
      </c>
      <c r="AB116" s="362" t="str">
        <f t="shared" si="103"/>
        <v/>
      </c>
      <c r="AC116" s="362" t="str">
        <f t="shared" si="104"/>
        <v/>
      </c>
      <c r="AD116" s="362" t="str">
        <f t="shared" si="105"/>
        <v/>
      </c>
      <c r="AE116" s="362" t="str">
        <f t="shared" si="106"/>
        <v/>
      </c>
      <c r="AF116" s="362" t="str">
        <f t="shared" si="107"/>
        <v/>
      </c>
      <c r="AG116" s="362" t="str">
        <f t="shared" si="108"/>
        <v/>
      </c>
      <c r="AH116" s="363" t="str" cm="1">
        <f t="array" ref="AH116">IF(OR($A116="",T116=""),"",IFERROR(LOOKUP(2,1/(U116:AG116&lt;&gt;""),U116:AG116)-T116,""))</f>
        <v/>
      </c>
      <c r="AI116" s="349"/>
      <c r="AJ116" s="349" t="str" cm="1">
        <f t="array" ref="AJ116">IF($A116="","",IFERROR(MATCH($A116,TRIM('Sales and count'!$A$4:$A$300&amp;""),0),""))</f>
        <v/>
      </c>
      <c r="AK116" s="350" t="str" cm="1">
        <f t="array" ref="AK116">IF(OR($A116="",AK$6=""),"",IFERROR(INDEX(Footfall!$C$5:$BZ$301,MATCH($A116,TRIM(Footfall!$B$5:$B$301&amp;""),0),AK$5),0))</f>
        <v/>
      </c>
      <c r="AL116" s="350" t="str" cm="1">
        <f t="array" ref="AL116">IF(OR($A116="",AL$6=""),"",IFERROR(INDEX(Footfall!$C$5:$BZ$301,MATCH($A116,TRIM(Footfall!$B$5:$B$301&amp;""),0),AL$5),0))</f>
        <v/>
      </c>
      <c r="AM116" s="350" t="str" cm="1">
        <f t="array" ref="AM116">IF(OR($A116="",AM$6=""),"",IFERROR(INDEX(Footfall!$C$5:$BZ$301,MATCH($A116,TRIM(Footfall!$B$5:$B$301&amp;""),0),AM$5),0))</f>
        <v/>
      </c>
      <c r="AN116" s="350" t="str" cm="1">
        <f t="array" ref="AN116">IF(OR($A116="",AN$6=""),"",IFERROR(INDEX(Footfall!$C$5:$BZ$301,MATCH($A116,TRIM(Footfall!$B$5:$B$301&amp;""),0),AN$5),0))</f>
        <v/>
      </c>
      <c r="AO116" s="350" t="str" cm="1">
        <f t="array" ref="AO116">IF(OR($A116="",AO$6=""),"",IFERROR(INDEX(Footfall!$C$5:$BZ$301,MATCH($A116,TRIM(Footfall!$B$5:$B$301&amp;""),0),AO$5),0))</f>
        <v/>
      </c>
      <c r="AP116" s="350" t="str" cm="1">
        <f t="array" ref="AP116">IF(OR($A116="",AP$6=""),"",IFERROR(INDEX(Footfall!$C$5:$BZ$301,MATCH($A116,TRIM(Footfall!$B$5:$B$301&amp;""),0),AP$5),0))</f>
        <v/>
      </c>
      <c r="AQ116" s="350" t="str" cm="1">
        <f t="array" ref="AQ116">IF(OR($A116="",AQ$6=""),"",IFERROR(INDEX(Footfall!$C$5:$BZ$301,MATCH($A116,TRIM(Footfall!$B$5:$B$301&amp;""),0),AQ$5),0))</f>
        <v/>
      </c>
      <c r="AR116" s="350" t="str" cm="1">
        <f t="array" ref="AR116">IF(OR($A116="",AR$6=""),"",IFERROR(INDEX(Footfall!$C$5:$BZ$301,MATCH($A116,TRIM(Footfall!$B$5:$B$301&amp;""),0),AR$5),0))</f>
        <v/>
      </c>
      <c r="AS116" s="350" t="str" cm="1">
        <f t="array" ref="AS116">IF(OR($A116="",AS$6=""),"",IFERROR(INDEX(Footfall!$C$5:$BZ$301,MATCH($A116,TRIM(Footfall!$B$5:$B$301&amp;""),0),AS$5),0))</f>
        <v/>
      </c>
      <c r="AT116" s="350" t="str" cm="1">
        <f t="array" ref="AT116">IF(OR($A116="",AT$6=""),"",IFERROR(INDEX(Footfall!$C$5:$BZ$301,MATCH($A116,TRIM(Footfall!$B$5:$B$301&amp;""),0),AT$5),0))</f>
        <v/>
      </c>
      <c r="AU116" s="350" t="str" cm="1">
        <f t="array" ref="AU116">IF(OR($A116="",AU$6=""),"",IFERROR(INDEX(Footfall!$C$5:$BZ$301,MATCH($A116,TRIM(Footfall!$B$5:$B$301&amp;""),0),AU$5),0))</f>
        <v/>
      </c>
      <c r="AV116" s="350" t="str" cm="1">
        <f t="array" ref="AV116">IF(OR($A116="",AV$6=""),"",IFERROR(INDEX(Footfall!$C$5:$BZ$301,MATCH($A116,TRIM(Footfall!$B$5:$B$301&amp;""),0),AV$5),0))</f>
        <v/>
      </c>
      <c r="AW116" s="350" t="str" cm="1">
        <f t="array" ref="AW116">IF(OR($A116="",AW$6=""),"",IFERROR(INDEX(Footfall!$C$5:$BZ$301,MATCH($A116,TRIM(Footfall!$B$5:$B$301&amp;""),0),AW$5),0))</f>
        <v/>
      </c>
      <c r="AX116" s="350" t="str" cm="1">
        <f t="array" ref="AX116">IF(OR($A116="",AX$6=""),"",IFERROR(INDEX(Footfall!$C$5:$BZ$301,MATCH($A116,TRIM(Footfall!$B$5:$B$301&amp;""),0),AX$5),0))</f>
        <v/>
      </c>
      <c r="AY116" s="350" t="str" cm="1">
        <f t="array" ref="AY116">IF(AK116="","",IF($AJ116="",0,_xlfn.LET(_xlpm.d,IFERROR(--'Sales and count'!$F$2:$CB$2,0),SUMPRODUCT(('Sales and count'!$G$3:$CC$3="Transactions")*(_xlpm.d&gt;=AY$6)*(_xlpm.d&lt;=AY$7),INDEX('Sales and count'!$G$4:$CC$300,$AJ116,0)))))</f>
        <v/>
      </c>
      <c r="AZ116" s="350" t="str" cm="1">
        <f t="array" ref="AZ116">IF(AL116="","",IF($AJ116="",0,_xlfn.LET(_xlpm.d,IFERROR(--'Sales and count'!$F$2:$CB$2,0),SUMPRODUCT(('Sales and count'!$G$3:$CC$3="Transactions")*(_xlpm.d&gt;=AZ$6)*(_xlpm.d&lt;=AZ$7),INDEX('Sales and count'!$G$4:$CC$300,$AJ116,0)))))</f>
        <v/>
      </c>
      <c r="BA116" s="350" t="str" cm="1">
        <f t="array" ref="BA116">IF(AM116="","",IF($AJ116="",0,_xlfn.LET(_xlpm.d,IFERROR(--'Sales and count'!$F$2:$CB$2,0),SUMPRODUCT(('Sales and count'!$G$3:$CC$3="Transactions")*(_xlpm.d&gt;=BA$6)*(_xlpm.d&lt;=BA$7),INDEX('Sales and count'!$G$4:$CC$300,$AJ116,0)))))</f>
        <v/>
      </c>
      <c r="BB116" s="350" t="str" cm="1">
        <f t="array" ref="BB116">IF(AN116="","",IF($AJ116="",0,_xlfn.LET(_xlpm.d,IFERROR(--'Sales and count'!$F$2:$CB$2,0),SUMPRODUCT(('Sales and count'!$G$3:$CC$3="Transactions")*(_xlpm.d&gt;=BB$6)*(_xlpm.d&lt;=BB$7),INDEX('Sales and count'!$G$4:$CC$300,$AJ116,0)))))</f>
        <v/>
      </c>
      <c r="BC116" s="350" t="str" cm="1">
        <f t="array" ref="BC116">IF(AO116="","",IF($AJ116="",0,_xlfn.LET(_xlpm.d,IFERROR(--'Sales and count'!$F$2:$CB$2,0),SUMPRODUCT(('Sales and count'!$G$3:$CC$3="Transactions")*(_xlpm.d&gt;=BC$6)*(_xlpm.d&lt;=BC$7),INDEX('Sales and count'!$G$4:$CC$300,$AJ116,0)))))</f>
        <v/>
      </c>
      <c r="BD116" s="350" t="str" cm="1">
        <f t="array" ref="BD116">IF(AP116="","",IF($AJ116="",0,_xlfn.LET(_xlpm.d,IFERROR(--'Sales and count'!$F$2:$CB$2,0),SUMPRODUCT(('Sales and count'!$G$3:$CC$3="Transactions")*(_xlpm.d&gt;=BD$6)*(_xlpm.d&lt;=BD$7),INDEX('Sales and count'!$G$4:$CC$300,$AJ116,0)))))</f>
        <v/>
      </c>
      <c r="BE116" s="350" t="str" cm="1">
        <f t="array" ref="BE116">IF(AQ116="","",IF($AJ116="",0,_xlfn.LET(_xlpm.d,IFERROR(--'Sales and count'!$F$2:$CB$2,0),SUMPRODUCT(('Sales and count'!$G$3:$CC$3="Transactions")*(_xlpm.d&gt;=BE$6)*(_xlpm.d&lt;=BE$7),INDEX('Sales and count'!$G$4:$CC$300,$AJ116,0)))))</f>
        <v/>
      </c>
      <c r="BF116" s="350" t="str" cm="1">
        <f t="array" ref="BF116">IF(AR116="","",IF($AJ116="",0,_xlfn.LET(_xlpm.d,IFERROR(--'Sales and count'!$F$2:$CB$2,0),SUMPRODUCT(('Sales and count'!$G$3:$CC$3="Transactions")*(_xlpm.d&gt;=BF$6)*(_xlpm.d&lt;=BF$7),INDEX('Sales and count'!$G$4:$CC$300,$AJ116,0)))))</f>
        <v/>
      </c>
      <c r="BG116" s="350" t="str" cm="1">
        <f t="array" ref="BG116">IF(AS116="","",IF($AJ116="",0,_xlfn.LET(_xlpm.d,IFERROR(--'Sales and count'!$F$2:$CB$2,0),SUMPRODUCT(('Sales and count'!$G$3:$CC$3="Transactions")*(_xlpm.d&gt;=BG$6)*(_xlpm.d&lt;=BG$7),INDEX('Sales and count'!$G$4:$CC$300,$AJ116,0)))))</f>
        <v/>
      </c>
      <c r="BH116" s="350" t="str" cm="1">
        <f t="array" ref="BH116">IF(AT116="","",IF($AJ116="",0,_xlfn.LET(_xlpm.d,IFERROR(--'Sales and count'!$F$2:$CB$2,0),SUMPRODUCT(('Sales and count'!$G$3:$CC$3="Transactions")*(_xlpm.d&gt;=BH$6)*(_xlpm.d&lt;=BH$7),INDEX('Sales and count'!$G$4:$CC$300,$AJ116,0)))))</f>
        <v/>
      </c>
      <c r="BI116" s="350" t="str" cm="1">
        <f t="array" ref="BI116">IF(AU116="","",IF($AJ116="",0,_xlfn.LET(_xlpm.d,IFERROR(--'Sales and count'!$F$2:$CB$2,0),SUMPRODUCT(('Sales and count'!$G$3:$CC$3="Transactions")*(_xlpm.d&gt;=BI$6)*(_xlpm.d&lt;=BI$7),INDEX('Sales and count'!$G$4:$CC$300,$AJ116,0)))))</f>
        <v/>
      </c>
      <c r="BJ116" s="350" t="str" cm="1">
        <f t="array" ref="BJ116">IF(AV116="","",IF($AJ116="",0,_xlfn.LET(_xlpm.d,IFERROR(--'Sales and count'!$F$2:$CB$2,0),SUMPRODUCT(('Sales and count'!$G$3:$CC$3="Transactions")*(_xlpm.d&gt;=BJ$6)*(_xlpm.d&lt;=BJ$7),INDEX('Sales and count'!$G$4:$CC$300,$AJ116,0)))))</f>
        <v/>
      </c>
      <c r="BK116" s="350" t="str" cm="1">
        <f t="array" ref="BK116">IF(AW116="","",IF($AJ116="",0,_xlfn.LET(_xlpm.d,IFERROR(--'Sales and count'!$F$2:$CB$2,0),SUMPRODUCT(('Sales and count'!$G$3:$CC$3="Transactions")*(_xlpm.d&gt;=BK$6)*(_xlpm.d&lt;=BK$7),INDEX('Sales and count'!$G$4:$CC$300,$AJ116,0)))))</f>
        <v/>
      </c>
      <c r="BL116" s="350" t="str" cm="1">
        <f t="array" ref="BL116">IF(AX116="","",IF($AJ116="",0,_xlfn.LET(_xlpm.d,IFERROR(--'Sales and count'!$F$2:$CB$2,0),SUMPRODUCT(('Sales and count'!$G$3:$CC$3="Transactions")*(_xlpm.d&gt;=BL$6)*(_xlpm.d&lt;=BL$7),INDEX('Sales and count'!$G$4:$CC$300,$AJ116,0)))))</f>
        <v/>
      </c>
      <c r="BM116" s="350" t="str" cm="1">
        <f t="array" ref="BM116">IF(AK116="","",IF($AJ116="",0,_xlfn.LET(_xlpm.d,IFERROR(--'Sales and count'!$G$2:$CC$2,0),SUMPRODUCT(('Sales and count'!$G$3:$CC$3="Total")*(_xlpm.d&gt;=BM$6)*(_xlpm.d&lt;=BM$7),INDEX('Sales and count'!$G$4:$CC$300,$AJ116,0)))))</f>
        <v/>
      </c>
      <c r="BN116" s="350" t="str" cm="1">
        <f t="array" ref="BN116">IF(AL116="","",IF($AJ116="",0,_xlfn.LET(_xlpm.d,IFERROR(--'Sales and count'!$G$2:$CC$2,0),SUMPRODUCT(('Sales and count'!$G$3:$CC$3="Total")*(_xlpm.d&gt;=BN$6)*(_xlpm.d&lt;=BN$7),INDEX('Sales and count'!$G$4:$CC$300,$AJ116,0)))))</f>
        <v/>
      </c>
      <c r="BO116" s="350" t="str" cm="1">
        <f t="array" ref="BO116">IF(AM116="","",IF($AJ116="",0,_xlfn.LET(_xlpm.d,IFERROR(--'Sales and count'!$G$2:$CC$2,0),SUMPRODUCT(('Sales and count'!$G$3:$CC$3="Total")*(_xlpm.d&gt;=BO$6)*(_xlpm.d&lt;=BO$7),INDEX('Sales and count'!$G$4:$CC$300,$AJ116,0)))))</f>
        <v/>
      </c>
      <c r="BP116" s="350" t="str" cm="1">
        <f t="array" ref="BP116">IF(AN116="","",IF($AJ116="",0,_xlfn.LET(_xlpm.d,IFERROR(--'Sales and count'!$G$2:$CC$2,0),SUMPRODUCT(('Sales and count'!$G$3:$CC$3="Total")*(_xlpm.d&gt;=BP$6)*(_xlpm.d&lt;=BP$7),INDEX('Sales and count'!$G$4:$CC$300,$AJ116,0)))))</f>
        <v/>
      </c>
      <c r="BQ116" s="350" t="str" cm="1">
        <f t="array" ref="BQ116">IF(AO116="","",IF($AJ116="",0,_xlfn.LET(_xlpm.d,IFERROR(--'Sales and count'!$G$2:$CC$2,0),SUMPRODUCT(('Sales and count'!$G$3:$CC$3="Total")*(_xlpm.d&gt;=BQ$6)*(_xlpm.d&lt;=BQ$7),INDEX('Sales and count'!$G$4:$CC$300,$AJ116,0)))))</f>
        <v/>
      </c>
      <c r="BR116" s="350" t="str" cm="1">
        <f t="array" ref="BR116">IF(AP116="","",IF($AJ116="",0,_xlfn.LET(_xlpm.d,IFERROR(--'Sales and count'!$G$2:$CC$2,0),SUMPRODUCT(('Sales and count'!$G$3:$CC$3="Total")*(_xlpm.d&gt;=BR$6)*(_xlpm.d&lt;=BR$7),INDEX('Sales and count'!$G$4:$CC$300,$AJ116,0)))))</f>
        <v/>
      </c>
      <c r="BS116" s="350" t="str" cm="1">
        <f t="array" ref="BS116">IF(AQ116="","",IF($AJ116="",0,_xlfn.LET(_xlpm.d,IFERROR(--'Sales and count'!$G$2:$CC$2,0),SUMPRODUCT(('Sales and count'!$G$3:$CC$3="Total")*(_xlpm.d&gt;=BS$6)*(_xlpm.d&lt;=BS$7),INDEX('Sales and count'!$G$4:$CC$300,$AJ116,0)))))</f>
        <v/>
      </c>
      <c r="BT116" s="350" t="str" cm="1">
        <f t="array" ref="BT116">IF(AR116="","",IF($AJ116="",0,_xlfn.LET(_xlpm.d,IFERROR(--'Sales and count'!$G$2:$CC$2,0),SUMPRODUCT(('Sales and count'!$G$3:$CC$3="Total")*(_xlpm.d&gt;=BT$6)*(_xlpm.d&lt;=BT$7),INDEX('Sales and count'!$G$4:$CC$300,$AJ116,0)))))</f>
        <v/>
      </c>
      <c r="BU116" s="350" t="str" cm="1">
        <f t="array" ref="BU116">IF(AS116="","",IF($AJ116="",0,_xlfn.LET(_xlpm.d,IFERROR(--'Sales and count'!$G$2:$CC$2,0),SUMPRODUCT(('Sales and count'!$G$3:$CC$3="Total")*(_xlpm.d&gt;=BU$6)*(_xlpm.d&lt;=BU$7),INDEX('Sales and count'!$G$4:$CC$300,$AJ116,0)))))</f>
        <v/>
      </c>
      <c r="BV116" s="350" t="str" cm="1">
        <f t="array" ref="BV116">IF(AT116="","",IF($AJ116="",0,_xlfn.LET(_xlpm.d,IFERROR(--'Sales and count'!$G$2:$CC$2,0),SUMPRODUCT(('Sales and count'!$G$3:$CC$3="Total")*(_xlpm.d&gt;=BV$6)*(_xlpm.d&lt;=BV$7),INDEX('Sales and count'!$G$4:$CC$300,$AJ116,0)))))</f>
        <v/>
      </c>
      <c r="BW116" s="350" t="str" cm="1">
        <f t="array" ref="BW116">IF(AU116="","",IF($AJ116="",0,_xlfn.LET(_xlpm.d,IFERROR(--'Sales and count'!$G$2:$CC$2,0),SUMPRODUCT(('Sales and count'!$G$3:$CC$3="Total")*(_xlpm.d&gt;=BW$6)*(_xlpm.d&lt;=BW$7),INDEX('Sales and count'!$G$4:$CC$300,$AJ116,0)))))</f>
        <v/>
      </c>
      <c r="BX116" s="350" t="str" cm="1">
        <f t="array" ref="BX116">IF(AV116="","",IF($AJ116="",0,_xlfn.LET(_xlpm.d,IFERROR(--'Sales and count'!$G$2:$CC$2,0),SUMPRODUCT(('Sales and count'!$G$3:$CC$3="Total")*(_xlpm.d&gt;=BX$6)*(_xlpm.d&lt;=BX$7),INDEX('Sales and count'!$G$4:$CC$300,$AJ116,0)))))</f>
        <v/>
      </c>
      <c r="BY116" s="350" t="str" cm="1">
        <f t="array" ref="BY116">IF(AW116="","",IF($AJ116="",0,_xlfn.LET(_xlpm.d,IFERROR(--'Sales and count'!$G$2:$CC$2,0),SUMPRODUCT(('Sales and count'!$G$3:$CC$3="Total")*(_xlpm.d&gt;=BY$6)*(_xlpm.d&lt;=BY$7),INDEX('Sales and count'!$G$4:$CC$300,$AJ116,0)))))</f>
        <v/>
      </c>
      <c r="BZ116" s="350" t="str" cm="1">
        <f t="array" ref="BZ116">IF(AX116="","",IF($AJ116="",0,_xlfn.LET(_xlpm.d,IFERROR(--'Sales and count'!$G$2:$CC$2,0),SUMPRODUCT(('Sales and count'!$G$3:$CC$3="Total")*(_xlpm.d&gt;=BZ$6)*(_xlpm.d&lt;=BZ$7),INDEX('Sales and count'!$G$4:$CC$300,$AJ116,0)))))</f>
        <v/>
      </c>
    </row>
    <row r="117" spans="1:78" x14ac:dyDescent="0.25">
      <c r="A117" s="356"/>
      <c r="B117" s="356" t="str" cm="1">
        <f t="array" ref="B117">IF($A117="","",_xlfn.XLOOKUP($A117,TRIM(Footfall!$B$5:$B$301&amp;""),Footfall!$A$5:$A$301,""))</f>
        <v/>
      </c>
      <c r="C117" s="356" t="str" cm="1">
        <f t="array" ref="C117">IF($A117="","",_xlfn.XLOOKUP($A117,TRIM('Sales and count'!$A$4:$A$300&amp;""),'Sales and count'!$C$4:$C$300,"Not set"))</f>
        <v/>
      </c>
      <c r="D117" s="357" t="str">
        <f t="shared" si="81"/>
        <v/>
      </c>
      <c r="E117" s="357" t="str">
        <f t="shared" si="82"/>
        <v/>
      </c>
      <c r="F117" s="357" t="str">
        <f t="shared" si="83"/>
        <v/>
      </c>
      <c r="G117" s="357" t="str">
        <f t="shared" si="84"/>
        <v/>
      </c>
      <c r="H117" s="357" t="str">
        <f t="shared" si="85"/>
        <v/>
      </c>
      <c r="I117" s="357" t="str">
        <f t="shared" si="86"/>
        <v/>
      </c>
      <c r="J117" s="357" t="str">
        <f t="shared" si="87"/>
        <v/>
      </c>
      <c r="K117" s="357" t="str">
        <f t="shared" si="88"/>
        <v/>
      </c>
      <c r="L117" s="357" t="str">
        <f t="shared" si="89"/>
        <v/>
      </c>
      <c r="M117" s="357" t="str">
        <f t="shared" si="90"/>
        <v/>
      </c>
      <c r="N117" s="357" t="str">
        <f t="shared" si="91"/>
        <v/>
      </c>
      <c r="O117" s="357" t="str">
        <f t="shared" si="92"/>
        <v/>
      </c>
      <c r="P117" s="357" t="str">
        <f t="shared" si="93"/>
        <v/>
      </c>
      <c r="Q117" s="357" t="str">
        <f t="shared" si="94"/>
        <v/>
      </c>
      <c r="R117" s="358" t="str" cm="1">
        <f t="array" ref="R117">IF(OR($A117="",D117=""),"",IFERROR(LOOKUP(2,1/(E117:Q117&lt;&gt;""),E117:Q117)-D117,""))</f>
        <v/>
      </c>
      <c r="S117" s="349"/>
      <c r="T117" s="362" t="str">
        <f t="shared" si="95"/>
        <v/>
      </c>
      <c r="U117" s="362" t="str">
        <f t="shared" si="96"/>
        <v/>
      </c>
      <c r="V117" s="362" t="str">
        <f t="shared" si="97"/>
        <v/>
      </c>
      <c r="W117" s="362" t="str">
        <f t="shared" si="98"/>
        <v/>
      </c>
      <c r="X117" s="362" t="str">
        <f t="shared" si="99"/>
        <v/>
      </c>
      <c r="Y117" s="362" t="str">
        <f t="shared" si="100"/>
        <v/>
      </c>
      <c r="Z117" s="362" t="str">
        <f t="shared" si="101"/>
        <v/>
      </c>
      <c r="AA117" s="362" t="str">
        <f t="shared" si="102"/>
        <v/>
      </c>
      <c r="AB117" s="362" t="str">
        <f t="shared" si="103"/>
        <v/>
      </c>
      <c r="AC117" s="362" t="str">
        <f t="shared" si="104"/>
        <v/>
      </c>
      <c r="AD117" s="362" t="str">
        <f t="shared" si="105"/>
        <v/>
      </c>
      <c r="AE117" s="362" t="str">
        <f t="shared" si="106"/>
        <v/>
      </c>
      <c r="AF117" s="362" t="str">
        <f t="shared" si="107"/>
        <v/>
      </c>
      <c r="AG117" s="362" t="str">
        <f t="shared" si="108"/>
        <v/>
      </c>
      <c r="AH117" s="363" t="str" cm="1">
        <f t="array" ref="AH117">IF(OR($A117="",T117=""),"",IFERROR(LOOKUP(2,1/(U117:AG117&lt;&gt;""),U117:AG117)-T117,""))</f>
        <v/>
      </c>
      <c r="AI117" s="349"/>
      <c r="AJ117" s="349" t="str" cm="1">
        <f t="array" ref="AJ117">IF($A117="","",IFERROR(MATCH($A117,TRIM('Sales and count'!$A$4:$A$300&amp;""),0),""))</f>
        <v/>
      </c>
      <c r="AK117" s="350" t="str" cm="1">
        <f t="array" ref="AK117">IF(OR($A117="",AK$6=""),"",IFERROR(INDEX(Footfall!$C$5:$BZ$301,MATCH($A117,TRIM(Footfall!$B$5:$B$301&amp;""),0),AK$5),0))</f>
        <v/>
      </c>
      <c r="AL117" s="350" t="str" cm="1">
        <f t="array" ref="AL117">IF(OR($A117="",AL$6=""),"",IFERROR(INDEX(Footfall!$C$5:$BZ$301,MATCH($A117,TRIM(Footfall!$B$5:$B$301&amp;""),0),AL$5),0))</f>
        <v/>
      </c>
      <c r="AM117" s="350" t="str" cm="1">
        <f t="array" ref="AM117">IF(OR($A117="",AM$6=""),"",IFERROR(INDEX(Footfall!$C$5:$BZ$301,MATCH($A117,TRIM(Footfall!$B$5:$B$301&amp;""),0),AM$5),0))</f>
        <v/>
      </c>
      <c r="AN117" s="350" t="str" cm="1">
        <f t="array" ref="AN117">IF(OR($A117="",AN$6=""),"",IFERROR(INDEX(Footfall!$C$5:$BZ$301,MATCH($A117,TRIM(Footfall!$B$5:$B$301&amp;""),0),AN$5),0))</f>
        <v/>
      </c>
      <c r="AO117" s="350" t="str" cm="1">
        <f t="array" ref="AO117">IF(OR($A117="",AO$6=""),"",IFERROR(INDEX(Footfall!$C$5:$BZ$301,MATCH($A117,TRIM(Footfall!$B$5:$B$301&amp;""),0),AO$5),0))</f>
        <v/>
      </c>
      <c r="AP117" s="350" t="str" cm="1">
        <f t="array" ref="AP117">IF(OR($A117="",AP$6=""),"",IFERROR(INDEX(Footfall!$C$5:$BZ$301,MATCH($A117,TRIM(Footfall!$B$5:$B$301&amp;""),0),AP$5),0))</f>
        <v/>
      </c>
      <c r="AQ117" s="350" t="str" cm="1">
        <f t="array" ref="AQ117">IF(OR($A117="",AQ$6=""),"",IFERROR(INDEX(Footfall!$C$5:$BZ$301,MATCH($A117,TRIM(Footfall!$B$5:$B$301&amp;""),0),AQ$5),0))</f>
        <v/>
      </c>
      <c r="AR117" s="350" t="str" cm="1">
        <f t="array" ref="AR117">IF(OR($A117="",AR$6=""),"",IFERROR(INDEX(Footfall!$C$5:$BZ$301,MATCH($A117,TRIM(Footfall!$B$5:$B$301&amp;""),0),AR$5),0))</f>
        <v/>
      </c>
      <c r="AS117" s="350" t="str" cm="1">
        <f t="array" ref="AS117">IF(OR($A117="",AS$6=""),"",IFERROR(INDEX(Footfall!$C$5:$BZ$301,MATCH($A117,TRIM(Footfall!$B$5:$B$301&amp;""),0),AS$5),0))</f>
        <v/>
      </c>
      <c r="AT117" s="350" t="str" cm="1">
        <f t="array" ref="AT117">IF(OR($A117="",AT$6=""),"",IFERROR(INDEX(Footfall!$C$5:$BZ$301,MATCH($A117,TRIM(Footfall!$B$5:$B$301&amp;""),0),AT$5),0))</f>
        <v/>
      </c>
      <c r="AU117" s="350" t="str" cm="1">
        <f t="array" ref="AU117">IF(OR($A117="",AU$6=""),"",IFERROR(INDEX(Footfall!$C$5:$BZ$301,MATCH($A117,TRIM(Footfall!$B$5:$B$301&amp;""),0),AU$5),0))</f>
        <v/>
      </c>
      <c r="AV117" s="350" t="str" cm="1">
        <f t="array" ref="AV117">IF(OR($A117="",AV$6=""),"",IFERROR(INDEX(Footfall!$C$5:$BZ$301,MATCH($A117,TRIM(Footfall!$B$5:$B$301&amp;""),0),AV$5),0))</f>
        <v/>
      </c>
      <c r="AW117" s="350" t="str" cm="1">
        <f t="array" ref="AW117">IF(OR($A117="",AW$6=""),"",IFERROR(INDEX(Footfall!$C$5:$BZ$301,MATCH($A117,TRIM(Footfall!$B$5:$B$301&amp;""),0),AW$5),0))</f>
        <v/>
      </c>
      <c r="AX117" s="350" t="str" cm="1">
        <f t="array" ref="AX117">IF(OR($A117="",AX$6=""),"",IFERROR(INDEX(Footfall!$C$5:$BZ$301,MATCH($A117,TRIM(Footfall!$B$5:$B$301&amp;""),0),AX$5),0))</f>
        <v/>
      </c>
      <c r="AY117" s="350" t="str" cm="1">
        <f t="array" ref="AY117">IF(AK117="","",IF($AJ117="",0,_xlfn.LET(_xlpm.d,IFERROR(--'Sales and count'!$F$2:$CB$2,0),SUMPRODUCT(('Sales and count'!$G$3:$CC$3="Transactions")*(_xlpm.d&gt;=AY$6)*(_xlpm.d&lt;=AY$7),INDEX('Sales and count'!$G$4:$CC$300,$AJ117,0)))))</f>
        <v/>
      </c>
      <c r="AZ117" s="350" t="str" cm="1">
        <f t="array" ref="AZ117">IF(AL117="","",IF($AJ117="",0,_xlfn.LET(_xlpm.d,IFERROR(--'Sales and count'!$F$2:$CB$2,0),SUMPRODUCT(('Sales and count'!$G$3:$CC$3="Transactions")*(_xlpm.d&gt;=AZ$6)*(_xlpm.d&lt;=AZ$7),INDEX('Sales and count'!$G$4:$CC$300,$AJ117,0)))))</f>
        <v/>
      </c>
      <c r="BA117" s="350" t="str" cm="1">
        <f t="array" ref="BA117">IF(AM117="","",IF($AJ117="",0,_xlfn.LET(_xlpm.d,IFERROR(--'Sales and count'!$F$2:$CB$2,0),SUMPRODUCT(('Sales and count'!$G$3:$CC$3="Transactions")*(_xlpm.d&gt;=BA$6)*(_xlpm.d&lt;=BA$7),INDEX('Sales and count'!$G$4:$CC$300,$AJ117,0)))))</f>
        <v/>
      </c>
      <c r="BB117" s="350" t="str" cm="1">
        <f t="array" ref="BB117">IF(AN117="","",IF($AJ117="",0,_xlfn.LET(_xlpm.d,IFERROR(--'Sales and count'!$F$2:$CB$2,0),SUMPRODUCT(('Sales and count'!$G$3:$CC$3="Transactions")*(_xlpm.d&gt;=BB$6)*(_xlpm.d&lt;=BB$7),INDEX('Sales and count'!$G$4:$CC$300,$AJ117,0)))))</f>
        <v/>
      </c>
      <c r="BC117" s="350" t="str" cm="1">
        <f t="array" ref="BC117">IF(AO117="","",IF($AJ117="",0,_xlfn.LET(_xlpm.d,IFERROR(--'Sales and count'!$F$2:$CB$2,0),SUMPRODUCT(('Sales and count'!$G$3:$CC$3="Transactions")*(_xlpm.d&gt;=BC$6)*(_xlpm.d&lt;=BC$7),INDEX('Sales and count'!$G$4:$CC$300,$AJ117,0)))))</f>
        <v/>
      </c>
      <c r="BD117" s="350" t="str" cm="1">
        <f t="array" ref="BD117">IF(AP117="","",IF($AJ117="",0,_xlfn.LET(_xlpm.d,IFERROR(--'Sales and count'!$F$2:$CB$2,0),SUMPRODUCT(('Sales and count'!$G$3:$CC$3="Transactions")*(_xlpm.d&gt;=BD$6)*(_xlpm.d&lt;=BD$7),INDEX('Sales and count'!$G$4:$CC$300,$AJ117,0)))))</f>
        <v/>
      </c>
      <c r="BE117" s="350" t="str" cm="1">
        <f t="array" ref="BE117">IF(AQ117="","",IF($AJ117="",0,_xlfn.LET(_xlpm.d,IFERROR(--'Sales and count'!$F$2:$CB$2,0),SUMPRODUCT(('Sales and count'!$G$3:$CC$3="Transactions")*(_xlpm.d&gt;=BE$6)*(_xlpm.d&lt;=BE$7),INDEX('Sales and count'!$G$4:$CC$300,$AJ117,0)))))</f>
        <v/>
      </c>
      <c r="BF117" s="350" t="str" cm="1">
        <f t="array" ref="BF117">IF(AR117="","",IF($AJ117="",0,_xlfn.LET(_xlpm.d,IFERROR(--'Sales and count'!$F$2:$CB$2,0),SUMPRODUCT(('Sales and count'!$G$3:$CC$3="Transactions")*(_xlpm.d&gt;=BF$6)*(_xlpm.d&lt;=BF$7),INDEX('Sales and count'!$G$4:$CC$300,$AJ117,0)))))</f>
        <v/>
      </c>
      <c r="BG117" s="350" t="str" cm="1">
        <f t="array" ref="BG117">IF(AS117="","",IF($AJ117="",0,_xlfn.LET(_xlpm.d,IFERROR(--'Sales and count'!$F$2:$CB$2,0),SUMPRODUCT(('Sales and count'!$G$3:$CC$3="Transactions")*(_xlpm.d&gt;=BG$6)*(_xlpm.d&lt;=BG$7),INDEX('Sales and count'!$G$4:$CC$300,$AJ117,0)))))</f>
        <v/>
      </c>
      <c r="BH117" s="350" t="str" cm="1">
        <f t="array" ref="BH117">IF(AT117="","",IF($AJ117="",0,_xlfn.LET(_xlpm.d,IFERROR(--'Sales and count'!$F$2:$CB$2,0),SUMPRODUCT(('Sales and count'!$G$3:$CC$3="Transactions")*(_xlpm.d&gt;=BH$6)*(_xlpm.d&lt;=BH$7),INDEX('Sales and count'!$G$4:$CC$300,$AJ117,0)))))</f>
        <v/>
      </c>
      <c r="BI117" s="350" t="str" cm="1">
        <f t="array" ref="BI117">IF(AU117="","",IF($AJ117="",0,_xlfn.LET(_xlpm.d,IFERROR(--'Sales and count'!$F$2:$CB$2,0),SUMPRODUCT(('Sales and count'!$G$3:$CC$3="Transactions")*(_xlpm.d&gt;=BI$6)*(_xlpm.d&lt;=BI$7),INDEX('Sales and count'!$G$4:$CC$300,$AJ117,0)))))</f>
        <v/>
      </c>
      <c r="BJ117" s="350" t="str" cm="1">
        <f t="array" ref="BJ117">IF(AV117="","",IF($AJ117="",0,_xlfn.LET(_xlpm.d,IFERROR(--'Sales and count'!$F$2:$CB$2,0),SUMPRODUCT(('Sales and count'!$G$3:$CC$3="Transactions")*(_xlpm.d&gt;=BJ$6)*(_xlpm.d&lt;=BJ$7),INDEX('Sales and count'!$G$4:$CC$300,$AJ117,0)))))</f>
        <v/>
      </c>
      <c r="BK117" s="350" t="str" cm="1">
        <f t="array" ref="BK117">IF(AW117="","",IF($AJ117="",0,_xlfn.LET(_xlpm.d,IFERROR(--'Sales and count'!$F$2:$CB$2,0),SUMPRODUCT(('Sales and count'!$G$3:$CC$3="Transactions")*(_xlpm.d&gt;=BK$6)*(_xlpm.d&lt;=BK$7),INDEX('Sales and count'!$G$4:$CC$300,$AJ117,0)))))</f>
        <v/>
      </c>
      <c r="BL117" s="350" t="str" cm="1">
        <f t="array" ref="BL117">IF(AX117="","",IF($AJ117="",0,_xlfn.LET(_xlpm.d,IFERROR(--'Sales and count'!$F$2:$CB$2,0),SUMPRODUCT(('Sales and count'!$G$3:$CC$3="Transactions")*(_xlpm.d&gt;=BL$6)*(_xlpm.d&lt;=BL$7),INDEX('Sales and count'!$G$4:$CC$300,$AJ117,0)))))</f>
        <v/>
      </c>
      <c r="BM117" s="350" t="str" cm="1">
        <f t="array" ref="BM117">IF(AK117="","",IF($AJ117="",0,_xlfn.LET(_xlpm.d,IFERROR(--'Sales and count'!$G$2:$CC$2,0),SUMPRODUCT(('Sales and count'!$G$3:$CC$3="Total")*(_xlpm.d&gt;=BM$6)*(_xlpm.d&lt;=BM$7),INDEX('Sales and count'!$G$4:$CC$300,$AJ117,0)))))</f>
        <v/>
      </c>
      <c r="BN117" s="350" t="str" cm="1">
        <f t="array" ref="BN117">IF(AL117="","",IF($AJ117="",0,_xlfn.LET(_xlpm.d,IFERROR(--'Sales and count'!$G$2:$CC$2,0),SUMPRODUCT(('Sales and count'!$G$3:$CC$3="Total")*(_xlpm.d&gt;=BN$6)*(_xlpm.d&lt;=BN$7),INDEX('Sales and count'!$G$4:$CC$300,$AJ117,0)))))</f>
        <v/>
      </c>
      <c r="BO117" s="350" t="str" cm="1">
        <f t="array" ref="BO117">IF(AM117="","",IF($AJ117="",0,_xlfn.LET(_xlpm.d,IFERROR(--'Sales and count'!$G$2:$CC$2,0),SUMPRODUCT(('Sales and count'!$G$3:$CC$3="Total")*(_xlpm.d&gt;=BO$6)*(_xlpm.d&lt;=BO$7),INDEX('Sales and count'!$G$4:$CC$300,$AJ117,0)))))</f>
        <v/>
      </c>
      <c r="BP117" s="350" t="str" cm="1">
        <f t="array" ref="BP117">IF(AN117="","",IF($AJ117="",0,_xlfn.LET(_xlpm.d,IFERROR(--'Sales and count'!$G$2:$CC$2,0),SUMPRODUCT(('Sales and count'!$G$3:$CC$3="Total")*(_xlpm.d&gt;=BP$6)*(_xlpm.d&lt;=BP$7),INDEX('Sales and count'!$G$4:$CC$300,$AJ117,0)))))</f>
        <v/>
      </c>
      <c r="BQ117" s="350" t="str" cm="1">
        <f t="array" ref="BQ117">IF(AO117="","",IF($AJ117="",0,_xlfn.LET(_xlpm.d,IFERROR(--'Sales and count'!$G$2:$CC$2,0),SUMPRODUCT(('Sales and count'!$G$3:$CC$3="Total")*(_xlpm.d&gt;=BQ$6)*(_xlpm.d&lt;=BQ$7),INDEX('Sales and count'!$G$4:$CC$300,$AJ117,0)))))</f>
        <v/>
      </c>
      <c r="BR117" s="350" t="str" cm="1">
        <f t="array" ref="BR117">IF(AP117="","",IF($AJ117="",0,_xlfn.LET(_xlpm.d,IFERROR(--'Sales and count'!$G$2:$CC$2,0),SUMPRODUCT(('Sales and count'!$G$3:$CC$3="Total")*(_xlpm.d&gt;=BR$6)*(_xlpm.d&lt;=BR$7),INDEX('Sales and count'!$G$4:$CC$300,$AJ117,0)))))</f>
        <v/>
      </c>
      <c r="BS117" s="350" t="str" cm="1">
        <f t="array" ref="BS117">IF(AQ117="","",IF($AJ117="",0,_xlfn.LET(_xlpm.d,IFERROR(--'Sales and count'!$G$2:$CC$2,0),SUMPRODUCT(('Sales and count'!$G$3:$CC$3="Total")*(_xlpm.d&gt;=BS$6)*(_xlpm.d&lt;=BS$7),INDEX('Sales and count'!$G$4:$CC$300,$AJ117,0)))))</f>
        <v/>
      </c>
      <c r="BT117" s="350" t="str" cm="1">
        <f t="array" ref="BT117">IF(AR117="","",IF($AJ117="",0,_xlfn.LET(_xlpm.d,IFERROR(--'Sales and count'!$G$2:$CC$2,0),SUMPRODUCT(('Sales and count'!$G$3:$CC$3="Total")*(_xlpm.d&gt;=BT$6)*(_xlpm.d&lt;=BT$7),INDEX('Sales and count'!$G$4:$CC$300,$AJ117,0)))))</f>
        <v/>
      </c>
      <c r="BU117" s="350" t="str" cm="1">
        <f t="array" ref="BU117">IF(AS117="","",IF($AJ117="",0,_xlfn.LET(_xlpm.d,IFERROR(--'Sales and count'!$G$2:$CC$2,0),SUMPRODUCT(('Sales and count'!$G$3:$CC$3="Total")*(_xlpm.d&gt;=BU$6)*(_xlpm.d&lt;=BU$7),INDEX('Sales and count'!$G$4:$CC$300,$AJ117,0)))))</f>
        <v/>
      </c>
      <c r="BV117" s="350" t="str" cm="1">
        <f t="array" ref="BV117">IF(AT117="","",IF($AJ117="",0,_xlfn.LET(_xlpm.d,IFERROR(--'Sales and count'!$G$2:$CC$2,0),SUMPRODUCT(('Sales and count'!$G$3:$CC$3="Total")*(_xlpm.d&gt;=BV$6)*(_xlpm.d&lt;=BV$7),INDEX('Sales and count'!$G$4:$CC$300,$AJ117,0)))))</f>
        <v/>
      </c>
      <c r="BW117" s="350" t="str" cm="1">
        <f t="array" ref="BW117">IF(AU117="","",IF($AJ117="",0,_xlfn.LET(_xlpm.d,IFERROR(--'Sales and count'!$G$2:$CC$2,0),SUMPRODUCT(('Sales and count'!$G$3:$CC$3="Total")*(_xlpm.d&gt;=BW$6)*(_xlpm.d&lt;=BW$7),INDEX('Sales and count'!$G$4:$CC$300,$AJ117,0)))))</f>
        <v/>
      </c>
      <c r="BX117" s="350" t="str" cm="1">
        <f t="array" ref="BX117">IF(AV117="","",IF($AJ117="",0,_xlfn.LET(_xlpm.d,IFERROR(--'Sales and count'!$G$2:$CC$2,0),SUMPRODUCT(('Sales and count'!$G$3:$CC$3="Total")*(_xlpm.d&gt;=BX$6)*(_xlpm.d&lt;=BX$7),INDEX('Sales and count'!$G$4:$CC$300,$AJ117,0)))))</f>
        <v/>
      </c>
      <c r="BY117" s="350" t="str" cm="1">
        <f t="array" ref="BY117">IF(AW117="","",IF($AJ117="",0,_xlfn.LET(_xlpm.d,IFERROR(--'Sales and count'!$G$2:$CC$2,0),SUMPRODUCT(('Sales and count'!$G$3:$CC$3="Total")*(_xlpm.d&gt;=BY$6)*(_xlpm.d&lt;=BY$7),INDEX('Sales and count'!$G$4:$CC$300,$AJ117,0)))))</f>
        <v/>
      </c>
      <c r="BZ117" s="350" t="str" cm="1">
        <f t="array" ref="BZ117">IF(AX117="","",IF($AJ117="",0,_xlfn.LET(_xlpm.d,IFERROR(--'Sales and count'!$G$2:$CC$2,0),SUMPRODUCT(('Sales and count'!$G$3:$CC$3="Total")*(_xlpm.d&gt;=BZ$6)*(_xlpm.d&lt;=BZ$7),INDEX('Sales and count'!$G$4:$CC$300,$AJ117,0)))))</f>
        <v/>
      </c>
    </row>
    <row r="118" spans="1:78" x14ac:dyDescent="0.25">
      <c r="A118" s="356"/>
      <c r="B118" s="356" t="str" cm="1">
        <f t="array" ref="B118">IF($A118="","",_xlfn.XLOOKUP($A118,TRIM(Footfall!$B$5:$B$301&amp;""),Footfall!$A$5:$A$301,""))</f>
        <v/>
      </c>
      <c r="C118" s="356" t="str" cm="1">
        <f t="array" ref="C118">IF($A118="","",_xlfn.XLOOKUP($A118,TRIM('Sales and count'!$A$4:$A$300&amp;""),'Sales and count'!$C$4:$C$300,"Not set"))</f>
        <v/>
      </c>
      <c r="D118" s="357" t="str">
        <f t="shared" si="81"/>
        <v/>
      </c>
      <c r="E118" s="357" t="str">
        <f t="shared" si="82"/>
        <v/>
      </c>
      <c r="F118" s="357" t="str">
        <f t="shared" si="83"/>
        <v/>
      </c>
      <c r="G118" s="357" t="str">
        <f t="shared" si="84"/>
        <v/>
      </c>
      <c r="H118" s="357" t="str">
        <f t="shared" si="85"/>
        <v/>
      </c>
      <c r="I118" s="357" t="str">
        <f t="shared" si="86"/>
        <v/>
      </c>
      <c r="J118" s="357" t="str">
        <f t="shared" si="87"/>
        <v/>
      </c>
      <c r="K118" s="357" t="str">
        <f t="shared" si="88"/>
        <v/>
      </c>
      <c r="L118" s="357" t="str">
        <f t="shared" si="89"/>
        <v/>
      </c>
      <c r="M118" s="357" t="str">
        <f t="shared" si="90"/>
        <v/>
      </c>
      <c r="N118" s="357" t="str">
        <f t="shared" si="91"/>
        <v/>
      </c>
      <c r="O118" s="357" t="str">
        <f t="shared" si="92"/>
        <v/>
      </c>
      <c r="P118" s="357" t="str">
        <f t="shared" si="93"/>
        <v/>
      </c>
      <c r="Q118" s="357" t="str">
        <f t="shared" si="94"/>
        <v/>
      </c>
      <c r="R118" s="358" t="str" cm="1">
        <f t="array" ref="R118">IF(OR($A118="",D118=""),"",IFERROR(LOOKUP(2,1/(E118:Q118&lt;&gt;""),E118:Q118)-D118,""))</f>
        <v/>
      </c>
      <c r="S118" s="349"/>
      <c r="T118" s="362" t="str">
        <f t="shared" si="95"/>
        <v/>
      </c>
      <c r="U118" s="362" t="str">
        <f t="shared" si="96"/>
        <v/>
      </c>
      <c r="V118" s="362" t="str">
        <f t="shared" si="97"/>
        <v/>
      </c>
      <c r="W118" s="362" t="str">
        <f t="shared" si="98"/>
        <v/>
      </c>
      <c r="X118" s="362" t="str">
        <f t="shared" si="99"/>
        <v/>
      </c>
      <c r="Y118" s="362" t="str">
        <f t="shared" si="100"/>
        <v/>
      </c>
      <c r="Z118" s="362" t="str">
        <f t="shared" si="101"/>
        <v/>
      </c>
      <c r="AA118" s="362" t="str">
        <f t="shared" si="102"/>
        <v/>
      </c>
      <c r="AB118" s="362" t="str">
        <f t="shared" si="103"/>
        <v/>
      </c>
      <c r="AC118" s="362" t="str">
        <f t="shared" si="104"/>
        <v/>
      </c>
      <c r="AD118" s="362" t="str">
        <f t="shared" si="105"/>
        <v/>
      </c>
      <c r="AE118" s="362" t="str">
        <f t="shared" si="106"/>
        <v/>
      </c>
      <c r="AF118" s="362" t="str">
        <f t="shared" si="107"/>
        <v/>
      </c>
      <c r="AG118" s="362" t="str">
        <f t="shared" si="108"/>
        <v/>
      </c>
      <c r="AH118" s="363" t="str" cm="1">
        <f t="array" ref="AH118">IF(OR($A118="",T118=""),"",IFERROR(LOOKUP(2,1/(U118:AG118&lt;&gt;""),U118:AG118)-T118,""))</f>
        <v/>
      </c>
      <c r="AI118" s="349"/>
      <c r="AJ118" s="349" t="str" cm="1">
        <f t="array" ref="AJ118">IF($A118="","",IFERROR(MATCH($A118,TRIM('Sales and count'!$A$4:$A$300&amp;""),0),""))</f>
        <v/>
      </c>
      <c r="AK118" s="350" t="str" cm="1">
        <f t="array" ref="AK118">IF(OR($A118="",AK$6=""),"",IFERROR(INDEX(Footfall!$C$5:$BZ$301,MATCH($A118,TRIM(Footfall!$B$5:$B$301&amp;""),0),AK$5),0))</f>
        <v/>
      </c>
      <c r="AL118" s="350" t="str" cm="1">
        <f t="array" ref="AL118">IF(OR($A118="",AL$6=""),"",IFERROR(INDEX(Footfall!$C$5:$BZ$301,MATCH($A118,TRIM(Footfall!$B$5:$B$301&amp;""),0),AL$5),0))</f>
        <v/>
      </c>
      <c r="AM118" s="350" t="str" cm="1">
        <f t="array" ref="AM118">IF(OR($A118="",AM$6=""),"",IFERROR(INDEX(Footfall!$C$5:$BZ$301,MATCH($A118,TRIM(Footfall!$B$5:$B$301&amp;""),0),AM$5),0))</f>
        <v/>
      </c>
      <c r="AN118" s="350" t="str" cm="1">
        <f t="array" ref="AN118">IF(OR($A118="",AN$6=""),"",IFERROR(INDEX(Footfall!$C$5:$BZ$301,MATCH($A118,TRIM(Footfall!$B$5:$B$301&amp;""),0),AN$5),0))</f>
        <v/>
      </c>
      <c r="AO118" s="350" t="str" cm="1">
        <f t="array" ref="AO118">IF(OR($A118="",AO$6=""),"",IFERROR(INDEX(Footfall!$C$5:$BZ$301,MATCH($A118,TRIM(Footfall!$B$5:$B$301&amp;""),0),AO$5),0))</f>
        <v/>
      </c>
      <c r="AP118" s="350" t="str" cm="1">
        <f t="array" ref="AP118">IF(OR($A118="",AP$6=""),"",IFERROR(INDEX(Footfall!$C$5:$BZ$301,MATCH($A118,TRIM(Footfall!$B$5:$B$301&amp;""),0),AP$5),0))</f>
        <v/>
      </c>
      <c r="AQ118" s="350" t="str" cm="1">
        <f t="array" ref="AQ118">IF(OR($A118="",AQ$6=""),"",IFERROR(INDEX(Footfall!$C$5:$BZ$301,MATCH($A118,TRIM(Footfall!$B$5:$B$301&amp;""),0),AQ$5),0))</f>
        <v/>
      </c>
      <c r="AR118" s="350" t="str" cm="1">
        <f t="array" ref="AR118">IF(OR($A118="",AR$6=""),"",IFERROR(INDEX(Footfall!$C$5:$BZ$301,MATCH($A118,TRIM(Footfall!$B$5:$B$301&amp;""),0),AR$5),0))</f>
        <v/>
      </c>
      <c r="AS118" s="350" t="str" cm="1">
        <f t="array" ref="AS118">IF(OR($A118="",AS$6=""),"",IFERROR(INDEX(Footfall!$C$5:$BZ$301,MATCH($A118,TRIM(Footfall!$B$5:$B$301&amp;""),0),AS$5),0))</f>
        <v/>
      </c>
      <c r="AT118" s="350" t="str" cm="1">
        <f t="array" ref="AT118">IF(OR($A118="",AT$6=""),"",IFERROR(INDEX(Footfall!$C$5:$BZ$301,MATCH($A118,TRIM(Footfall!$B$5:$B$301&amp;""),0),AT$5),0))</f>
        <v/>
      </c>
      <c r="AU118" s="350" t="str" cm="1">
        <f t="array" ref="AU118">IF(OR($A118="",AU$6=""),"",IFERROR(INDEX(Footfall!$C$5:$BZ$301,MATCH($A118,TRIM(Footfall!$B$5:$B$301&amp;""),0),AU$5),0))</f>
        <v/>
      </c>
      <c r="AV118" s="350" t="str" cm="1">
        <f t="array" ref="AV118">IF(OR($A118="",AV$6=""),"",IFERROR(INDEX(Footfall!$C$5:$BZ$301,MATCH($A118,TRIM(Footfall!$B$5:$B$301&amp;""),0),AV$5),0))</f>
        <v/>
      </c>
      <c r="AW118" s="350" t="str" cm="1">
        <f t="array" ref="AW118">IF(OR($A118="",AW$6=""),"",IFERROR(INDEX(Footfall!$C$5:$BZ$301,MATCH($A118,TRIM(Footfall!$B$5:$B$301&amp;""),0),AW$5),0))</f>
        <v/>
      </c>
      <c r="AX118" s="350" t="str" cm="1">
        <f t="array" ref="AX118">IF(OR($A118="",AX$6=""),"",IFERROR(INDEX(Footfall!$C$5:$BZ$301,MATCH($A118,TRIM(Footfall!$B$5:$B$301&amp;""),0),AX$5),0))</f>
        <v/>
      </c>
      <c r="AY118" s="350" t="str" cm="1">
        <f t="array" ref="AY118">IF(AK118="","",IF($AJ118="",0,_xlfn.LET(_xlpm.d,IFERROR(--'Sales and count'!$F$2:$CB$2,0),SUMPRODUCT(('Sales and count'!$G$3:$CC$3="Transactions")*(_xlpm.d&gt;=AY$6)*(_xlpm.d&lt;=AY$7),INDEX('Sales and count'!$G$4:$CC$300,$AJ118,0)))))</f>
        <v/>
      </c>
      <c r="AZ118" s="350" t="str" cm="1">
        <f t="array" ref="AZ118">IF(AL118="","",IF($AJ118="",0,_xlfn.LET(_xlpm.d,IFERROR(--'Sales and count'!$F$2:$CB$2,0),SUMPRODUCT(('Sales and count'!$G$3:$CC$3="Transactions")*(_xlpm.d&gt;=AZ$6)*(_xlpm.d&lt;=AZ$7),INDEX('Sales and count'!$G$4:$CC$300,$AJ118,0)))))</f>
        <v/>
      </c>
      <c r="BA118" s="350" t="str" cm="1">
        <f t="array" ref="BA118">IF(AM118="","",IF($AJ118="",0,_xlfn.LET(_xlpm.d,IFERROR(--'Sales and count'!$F$2:$CB$2,0),SUMPRODUCT(('Sales and count'!$G$3:$CC$3="Transactions")*(_xlpm.d&gt;=BA$6)*(_xlpm.d&lt;=BA$7),INDEX('Sales and count'!$G$4:$CC$300,$AJ118,0)))))</f>
        <v/>
      </c>
      <c r="BB118" s="350" t="str" cm="1">
        <f t="array" ref="BB118">IF(AN118="","",IF($AJ118="",0,_xlfn.LET(_xlpm.d,IFERROR(--'Sales and count'!$F$2:$CB$2,0),SUMPRODUCT(('Sales and count'!$G$3:$CC$3="Transactions")*(_xlpm.d&gt;=BB$6)*(_xlpm.d&lt;=BB$7),INDEX('Sales and count'!$G$4:$CC$300,$AJ118,0)))))</f>
        <v/>
      </c>
      <c r="BC118" s="350" t="str" cm="1">
        <f t="array" ref="BC118">IF(AO118="","",IF($AJ118="",0,_xlfn.LET(_xlpm.d,IFERROR(--'Sales and count'!$F$2:$CB$2,0),SUMPRODUCT(('Sales and count'!$G$3:$CC$3="Transactions")*(_xlpm.d&gt;=BC$6)*(_xlpm.d&lt;=BC$7),INDEX('Sales and count'!$G$4:$CC$300,$AJ118,0)))))</f>
        <v/>
      </c>
      <c r="BD118" s="350" t="str" cm="1">
        <f t="array" ref="BD118">IF(AP118="","",IF($AJ118="",0,_xlfn.LET(_xlpm.d,IFERROR(--'Sales and count'!$F$2:$CB$2,0),SUMPRODUCT(('Sales and count'!$G$3:$CC$3="Transactions")*(_xlpm.d&gt;=BD$6)*(_xlpm.d&lt;=BD$7),INDEX('Sales and count'!$G$4:$CC$300,$AJ118,0)))))</f>
        <v/>
      </c>
      <c r="BE118" s="350" t="str" cm="1">
        <f t="array" ref="BE118">IF(AQ118="","",IF($AJ118="",0,_xlfn.LET(_xlpm.d,IFERROR(--'Sales and count'!$F$2:$CB$2,0),SUMPRODUCT(('Sales and count'!$G$3:$CC$3="Transactions")*(_xlpm.d&gt;=BE$6)*(_xlpm.d&lt;=BE$7),INDEX('Sales and count'!$G$4:$CC$300,$AJ118,0)))))</f>
        <v/>
      </c>
      <c r="BF118" s="350" t="str" cm="1">
        <f t="array" ref="BF118">IF(AR118="","",IF($AJ118="",0,_xlfn.LET(_xlpm.d,IFERROR(--'Sales and count'!$F$2:$CB$2,0),SUMPRODUCT(('Sales and count'!$G$3:$CC$3="Transactions")*(_xlpm.d&gt;=BF$6)*(_xlpm.d&lt;=BF$7),INDEX('Sales and count'!$G$4:$CC$300,$AJ118,0)))))</f>
        <v/>
      </c>
      <c r="BG118" s="350" t="str" cm="1">
        <f t="array" ref="BG118">IF(AS118="","",IF($AJ118="",0,_xlfn.LET(_xlpm.d,IFERROR(--'Sales and count'!$F$2:$CB$2,0),SUMPRODUCT(('Sales and count'!$G$3:$CC$3="Transactions")*(_xlpm.d&gt;=BG$6)*(_xlpm.d&lt;=BG$7),INDEX('Sales and count'!$G$4:$CC$300,$AJ118,0)))))</f>
        <v/>
      </c>
      <c r="BH118" s="350" t="str" cm="1">
        <f t="array" ref="BH118">IF(AT118="","",IF($AJ118="",0,_xlfn.LET(_xlpm.d,IFERROR(--'Sales and count'!$F$2:$CB$2,0),SUMPRODUCT(('Sales and count'!$G$3:$CC$3="Transactions")*(_xlpm.d&gt;=BH$6)*(_xlpm.d&lt;=BH$7),INDEX('Sales and count'!$G$4:$CC$300,$AJ118,0)))))</f>
        <v/>
      </c>
      <c r="BI118" s="350" t="str" cm="1">
        <f t="array" ref="BI118">IF(AU118="","",IF($AJ118="",0,_xlfn.LET(_xlpm.d,IFERROR(--'Sales and count'!$F$2:$CB$2,0),SUMPRODUCT(('Sales and count'!$G$3:$CC$3="Transactions")*(_xlpm.d&gt;=BI$6)*(_xlpm.d&lt;=BI$7),INDEX('Sales and count'!$G$4:$CC$300,$AJ118,0)))))</f>
        <v/>
      </c>
      <c r="BJ118" s="350" t="str" cm="1">
        <f t="array" ref="BJ118">IF(AV118="","",IF($AJ118="",0,_xlfn.LET(_xlpm.d,IFERROR(--'Sales and count'!$F$2:$CB$2,0),SUMPRODUCT(('Sales and count'!$G$3:$CC$3="Transactions")*(_xlpm.d&gt;=BJ$6)*(_xlpm.d&lt;=BJ$7),INDEX('Sales and count'!$G$4:$CC$300,$AJ118,0)))))</f>
        <v/>
      </c>
      <c r="BK118" s="350" t="str" cm="1">
        <f t="array" ref="BK118">IF(AW118="","",IF($AJ118="",0,_xlfn.LET(_xlpm.d,IFERROR(--'Sales and count'!$F$2:$CB$2,0),SUMPRODUCT(('Sales and count'!$G$3:$CC$3="Transactions")*(_xlpm.d&gt;=BK$6)*(_xlpm.d&lt;=BK$7),INDEX('Sales and count'!$G$4:$CC$300,$AJ118,0)))))</f>
        <v/>
      </c>
      <c r="BL118" s="350" t="str" cm="1">
        <f t="array" ref="BL118">IF(AX118="","",IF($AJ118="",0,_xlfn.LET(_xlpm.d,IFERROR(--'Sales and count'!$F$2:$CB$2,0),SUMPRODUCT(('Sales and count'!$G$3:$CC$3="Transactions")*(_xlpm.d&gt;=BL$6)*(_xlpm.d&lt;=BL$7),INDEX('Sales and count'!$G$4:$CC$300,$AJ118,0)))))</f>
        <v/>
      </c>
      <c r="BM118" s="350" t="str" cm="1">
        <f t="array" ref="BM118">IF(AK118="","",IF($AJ118="",0,_xlfn.LET(_xlpm.d,IFERROR(--'Sales and count'!$G$2:$CC$2,0),SUMPRODUCT(('Sales and count'!$G$3:$CC$3="Total")*(_xlpm.d&gt;=BM$6)*(_xlpm.d&lt;=BM$7),INDEX('Sales and count'!$G$4:$CC$300,$AJ118,0)))))</f>
        <v/>
      </c>
      <c r="BN118" s="350" t="str" cm="1">
        <f t="array" ref="BN118">IF(AL118="","",IF($AJ118="",0,_xlfn.LET(_xlpm.d,IFERROR(--'Sales and count'!$G$2:$CC$2,0),SUMPRODUCT(('Sales and count'!$G$3:$CC$3="Total")*(_xlpm.d&gt;=BN$6)*(_xlpm.d&lt;=BN$7),INDEX('Sales and count'!$G$4:$CC$300,$AJ118,0)))))</f>
        <v/>
      </c>
      <c r="BO118" s="350" t="str" cm="1">
        <f t="array" ref="BO118">IF(AM118="","",IF($AJ118="",0,_xlfn.LET(_xlpm.d,IFERROR(--'Sales and count'!$G$2:$CC$2,0),SUMPRODUCT(('Sales and count'!$G$3:$CC$3="Total")*(_xlpm.d&gt;=BO$6)*(_xlpm.d&lt;=BO$7),INDEX('Sales and count'!$G$4:$CC$300,$AJ118,0)))))</f>
        <v/>
      </c>
      <c r="BP118" s="350" t="str" cm="1">
        <f t="array" ref="BP118">IF(AN118="","",IF($AJ118="",0,_xlfn.LET(_xlpm.d,IFERROR(--'Sales and count'!$G$2:$CC$2,0),SUMPRODUCT(('Sales and count'!$G$3:$CC$3="Total")*(_xlpm.d&gt;=BP$6)*(_xlpm.d&lt;=BP$7),INDEX('Sales and count'!$G$4:$CC$300,$AJ118,0)))))</f>
        <v/>
      </c>
      <c r="BQ118" s="350" t="str" cm="1">
        <f t="array" ref="BQ118">IF(AO118="","",IF($AJ118="",0,_xlfn.LET(_xlpm.d,IFERROR(--'Sales and count'!$G$2:$CC$2,0),SUMPRODUCT(('Sales and count'!$G$3:$CC$3="Total")*(_xlpm.d&gt;=BQ$6)*(_xlpm.d&lt;=BQ$7),INDEX('Sales and count'!$G$4:$CC$300,$AJ118,0)))))</f>
        <v/>
      </c>
      <c r="BR118" s="350" t="str" cm="1">
        <f t="array" ref="BR118">IF(AP118="","",IF($AJ118="",0,_xlfn.LET(_xlpm.d,IFERROR(--'Sales and count'!$G$2:$CC$2,0),SUMPRODUCT(('Sales and count'!$G$3:$CC$3="Total")*(_xlpm.d&gt;=BR$6)*(_xlpm.d&lt;=BR$7),INDEX('Sales and count'!$G$4:$CC$300,$AJ118,0)))))</f>
        <v/>
      </c>
      <c r="BS118" s="350" t="str" cm="1">
        <f t="array" ref="BS118">IF(AQ118="","",IF($AJ118="",0,_xlfn.LET(_xlpm.d,IFERROR(--'Sales and count'!$G$2:$CC$2,0),SUMPRODUCT(('Sales and count'!$G$3:$CC$3="Total")*(_xlpm.d&gt;=BS$6)*(_xlpm.d&lt;=BS$7),INDEX('Sales and count'!$G$4:$CC$300,$AJ118,0)))))</f>
        <v/>
      </c>
      <c r="BT118" s="350" t="str" cm="1">
        <f t="array" ref="BT118">IF(AR118="","",IF($AJ118="",0,_xlfn.LET(_xlpm.d,IFERROR(--'Sales and count'!$G$2:$CC$2,0),SUMPRODUCT(('Sales and count'!$G$3:$CC$3="Total")*(_xlpm.d&gt;=BT$6)*(_xlpm.d&lt;=BT$7),INDEX('Sales and count'!$G$4:$CC$300,$AJ118,0)))))</f>
        <v/>
      </c>
      <c r="BU118" s="350" t="str" cm="1">
        <f t="array" ref="BU118">IF(AS118="","",IF($AJ118="",0,_xlfn.LET(_xlpm.d,IFERROR(--'Sales and count'!$G$2:$CC$2,0),SUMPRODUCT(('Sales and count'!$G$3:$CC$3="Total")*(_xlpm.d&gt;=BU$6)*(_xlpm.d&lt;=BU$7),INDEX('Sales and count'!$G$4:$CC$300,$AJ118,0)))))</f>
        <v/>
      </c>
      <c r="BV118" s="350" t="str" cm="1">
        <f t="array" ref="BV118">IF(AT118="","",IF($AJ118="",0,_xlfn.LET(_xlpm.d,IFERROR(--'Sales and count'!$G$2:$CC$2,0),SUMPRODUCT(('Sales and count'!$G$3:$CC$3="Total")*(_xlpm.d&gt;=BV$6)*(_xlpm.d&lt;=BV$7),INDEX('Sales and count'!$G$4:$CC$300,$AJ118,0)))))</f>
        <v/>
      </c>
      <c r="BW118" s="350" t="str" cm="1">
        <f t="array" ref="BW118">IF(AU118="","",IF($AJ118="",0,_xlfn.LET(_xlpm.d,IFERROR(--'Sales and count'!$G$2:$CC$2,0),SUMPRODUCT(('Sales and count'!$G$3:$CC$3="Total")*(_xlpm.d&gt;=BW$6)*(_xlpm.d&lt;=BW$7),INDEX('Sales and count'!$G$4:$CC$300,$AJ118,0)))))</f>
        <v/>
      </c>
      <c r="BX118" s="350" t="str" cm="1">
        <f t="array" ref="BX118">IF(AV118="","",IF($AJ118="",0,_xlfn.LET(_xlpm.d,IFERROR(--'Sales and count'!$G$2:$CC$2,0),SUMPRODUCT(('Sales and count'!$G$3:$CC$3="Total")*(_xlpm.d&gt;=BX$6)*(_xlpm.d&lt;=BX$7),INDEX('Sales and count'!$G$4:$CC$300,$AJ118,0)))))</f>
        <v/>
      </c>
      <c r="BY118" s="350" t="str" cm="1">
        <f t="array" ref="BY118">IF(AW118="","",IF($AJ118="",0,_xlfn.LET(_xlpm.d,IFERROR(--'Sales and count'!$G$2:$CC$2,0),SUMPRODUCT(('Sales and count'!$G$3:$CC$3="Total")*(_xlpm.d&gt;=BY$6)*(_xlpm.d&lt;=BY$7),INDEX('Sales and count'!$G$4:$CC$300,$AJ118,0)))))</f>
        <v/>
      </c>
      <c r="BZ118" s="350" t="str" cm="1">
        <f t="array" ref="BZ118">IF(AX118="","",IF($AJ118="",0,_xlfn.LET(_xlpm.d,IFERROR(--'Sales and count'!$G$2:$CC$2,0),SUMPRODUCT(('Sales and count'!$G$3:$CC$3="Total")*(_xlpm.d&gt;=BZ$6)*(_xlpm.d&lt;=BZ$7),INDEX('Sales and count'!$G$4:$CC$300,$AJ118,0)))))</f>
        <v/>
      </c>
    </row>
    <row r="119" spans="1:78" x14ac:dyDescent="0.25">
      <c r="A119" s="356"/>
      <c r="B119" s="356" t="str" cm="1">
        <f t="array" ref="B119">IF($A119="","",_xlfn.XLOOKUP($A119,TRIM(Footfall!$B$5:$B$301&amp;""),Footfall!$A$5:$A$301,""))</f>
        <v/>
      </c>
      <c r="C119" s="356" t="str" cm="1">
        <f t="array" ref="C119">IF($A119="","",_xlfn.XLOOKUP($A119,TRIM('Sales and count'!$A$4:$A$300&amp;""),'Sales and count'!$C$4:$C$300,"Not set"))</f>
        <v/>
      </c>
      <c r="D119" s="357" t="str">
        <f t="shared" si="81"/>
        <v/>
      </c>
      <c r="E119" s="357" t="str">
        <f t="shared" si="82"/>
        <v/>
      </c>
      <c r="F119" s="357" t="str">
        <f t="shared" si="83"/>
        <v/>
      </c>
      <c r="G119" s="357" t="str">
        <f t="shared" si="84"/>
        <v/>
      </c>
      <c r="H119" s="357" t="str">
        <f t="shared" si="85"/>
        <v/>
      </c>
      <c r="I119" s="357" t="str">
        <f t="shared" si="86"/>
        <v/>
      </c>
      <c r="J119" s="357" t="str">
        <f t="shared" si="87"/>
        <v/>
      </c>
      <c r="K119" s="357" t="str">
        <f t="shared" si="88"/>
        <v/>
      </c>
      <c r="L119" s="357" t="str">
        <f t="shared" si="89"/>
        <v/>
      </c>
      <c r="M119" s="357" t="str">
        <f t="shared" si="90"/>
        <v/>
      </c>
      <c r="N119" s="357" t="str">
        <f t="shared" si="91"/>
        <v/>
      </c>
      <c r="O119" s="357" t="str">
        <f t="shared" si="92"/>
        <v/>
      </c>
      <c r="P119" s="357" t="str">
        <f t="shared" si="93"/>
        <v/>
      </c>
      <c r="Q119" s="357" t="str">
        <f t="shared" si="94"/>
        <v/>
      </c>
      <c r="R119" s="358" t="str" cm="1">
        <f t="array" ref="R119">IF(OR($A119="",D119=""),"",IFERROR(LOOKUP(2,1/(E119:Q119&lt;&gt;""),E119:Q119)-D119,""))</f>
        <v/>
      </c>
      <c r="S119" s="349"/>
      <c r="T119" s="362" t="str">
        <f t="shared" si="95"/>
        <v/>
      </c>
      <c r="U119" s="362" t="str">
        <f t="shared" si="96"/>
        <v/>
      </c>
      <c r="V119" s="362" t="str">
        <f t="shared" si="97"/>
        <v/>
      </c>
      <c r="W119" s="362" t="str">
        <f t="shared" si="98"/>
        <v/>
      </c>
      <c r="X119" s="362" t="str">
        <f t="shared" si="99"/>
        <v/>
      </c>
      <c r="Y119" s="362" t="str">
        <f t="shared" si="100"/>
        <v/>
      </c>
      <c r="Z119" s="362" t="str">
        <f t="shared" si="101"/>
        <v/>
      </c>
      <c r="AA119" s="362" t="str">
        <f t="shared" si="102"/>
        <v/>
      </c>
      <c r="AB119" s="362" t="str">
        <f t="shared" si="103"/>
        <v/>
      </c>
      <c r="AC119" s="362" t="str">
        <f t="shared" si="104"/>
        <v/>
      </c>
      <c r="AD119" s="362" t="str">
        <f t="shared" si="105"/>
        <v/>
      </c>
      <c r="AE119" s="362" t="str">
        <f t="shared" si="106"/>
        <v/>
      </c>
      <c r="AF119" s="362" t="str">
        <f t="shared" si="107"/>
        <v/>
      </c>
      <c r="AG119" s="362" t="str">
        <f t="shared" si="108"/>
        <v/>
      </c>
      <c r="AH119" s="363" t="str" cm="1">
        <f t="array" ref="AH119">IF(OR($A119="",T119=""),"",IFERROR(LOOKUP(2,1/(U119:AG119&lt;&gt;""),U119:AG119)-T119,""))</f>
        <v/>
      </c>
      <c r="AI119" s="349"/>
      <c r="AJ119" s="349" t="str" cm="1">
        <f t="array" ref="AJ119">IF($A119="","",IFERROR(MATCH($A119,TRIM('Sales and count'!$A$4:$A$300&amp;""),0),""))</f>
        <v/>
      </c>
      <c r="AK119" s="350" t="str" cm="1">
        <f t="array" ref="AK119">IF(OR($A119="",AK$6=""),"",IFERROR(INDEX(Footfall!$C$5:$BZ$301,MATCH($A119,TRIM(Footfall!$B$5:$B$301&amp;""),0),AK$5),0))</f>
        <v/>
      </c>
      <c r="AL119" s="350" t="str" cm="1">
        <f t="array" ref="AL119">IF(OR($A119="",AL$6=""),"",IFERROR(INDEX(Footfall!$C$5:$BZ$301,MATCH($A119,TRIM(Footfall!$B$5:$B$301&amp;""),0),AL$5),0))</f>
        <v/>
      </c>
      <c r="AM119" s="350" t="str" cm="1">
        <f t="array" ref="AM119">IF(OR($A119="",AM$6=""),"",IFERROR(INDEX(Footfall!$C$5:$BZ$301,MATCH($A119,TRIM(Footfall!$B$5:$B$301&amp;""),0),AM$5),0))</f>
        <v/>
      </c>
      <c r="AN119" s="350" t="str" cm="1">
        <f t="array" ref="AN119">IF(OR($A119="",AN$6=""),"",IFERROR(INDEX(Footfall!$C$5:$BZ$301,MATCH($A119,TRIM(Footfall!$B$5:$B$301&amp;""),0),AN$5),0))</f>
        <v/>
      </c>
      <c r="AO119" s="350" t="str" cm="1">
        <f t="array" ref="AO119">IF(OR($A119="",AO$6=""),"",IFERROR(INDEX(Footfall!$C$5:$BZ$301,MATCH($A119,TRIM(Footfall!$B$5:$B$301&amp;""),0),AO$5),0))</f>
        <v/>
      </c>
      <c r="AP119" s="350" t="str" cm="1">
        <f t="array" ref="AP119">IF(OR($A119="",AP$6=""),"",IFERROR(INDEX(Footfall!$C$5:$BZ$301,MATCH($A119,TRIM(Footfall!$B$5:$B$301&amp;""),0),AP$5),0))</f>
        <v/>
      </c>
      <c r="AQ119" s="350" t="str" cm="1">
        <f t="array" ref="AQ119">IF(OR($A119="",AQ$6=""),"",IFERROR(INDEX(Footfall!$C$5:$BZ$301,MATCH($A119,TRIM(Footfall!$B$5:$B$301&amp;""),0),AQ$5),0))</f>
        <v/>
      </c>
      <c r="AR119" s="350" t="str" cm="1">
        <f t="array" ref="AR119">IF(OR($A119="",AR$6=""),"",IFERROR(INDEX(Footfall!$C$5:$BZ$301,MATCH($A119,TRIM(Footfall!$B$5:$B$301&amp;""),0),AR$5),0))</f>
        <v/>
      </c>
      <c r="AS119" s="350" t="str" cm="1">
        <f t="array" ref="AS119">IF(OR($A119="",AS$6=""),"",IFERROR(INDEX(Footfall!$C$5:$BZ$301,MATCH($A119,TRIM(Footfall!$B$5:$B$301&amp;""),0),AS$5),0))</f>
        <v/>
      </c>
      <c r="AT119" s="350" t="str" cm="1">
        <f t="array" ref="AT119">IF(OR($A119="",AT$6=""),"",IFERROR(INDEX(Footfall!$C$5:$BZ$301,MATCH($A119,TRIM(Footfall!$B$5:$B$301&amp;""),0),AT$5),0))</f>
        <v/>
      </c>
      <c r="AU119" s="350" t="str" cm="1">
        <f t="array" ref="AU119">IF(OR($A119="",AU$6=""),"",IFERROR(INDEX(Footfall!$C$5:$BZ$301,MATCH($A119,TRIM(Footfall!$B$5:$B$301&amp;""),0),AU$5),0))</f>
        <v/>
      </c>
      <c r="AV119" s="350" t="str" cm="1">
        <f t="array" ref="AV119">IF(OR($A119="",AV$6=""),"",IFERROR(INDEX(Footfall!$C$5:$BZ$301,MATCH($A119,TRIM(Footfall!$B$5:$B$301&amp;""),0),AV$5),0))</f>
        <v/>
      </c>
      <c r="AW119" s="350" t="str" cm="1">
        <f t="array" ref="AW119">IF(OR($A119="",AW$6=""),"",IFERROR(INDEX(Footfall!$C$5:$BZ$301,MATCH($A119,TRIM(Footfall!$B$5:$B$301&amp;""),0),AW$5),0))</f>
        <v/>
      </c>
      <c r="AX119" s="350" t="str" cm="1">
        <f t="array" ref="AX119">IF(OR($A119="",AX$6=""),"",IFERROR(INDEX(Footfall!$C$5:$BZ$301,MATCH($A119,TRIM(Footfall!$B$5:$B$301&amp;""),0),AX$5),0))</f>
        <v/>
      </c>
      <c r="AY119" s="350" t="str" cm="1">
        <f t="array" ref="AY119">IF(AK119="","",IF($AJ119="",0,_xlfn.LET(_xlpm.d,IFERROR(--'Sales and count'!$F$2:$CB$2,0),SUMPRODUCT(('Sales and count'!$G$3:$CC$3="Transactions")*(_xlpm.d&gt;=AY$6)*(_xlpm.d&lt;=AY$7),INDEX('Sales and count'!$G$4:$CC$300,$AJ119,0)))))</f>
        <v/>
      </c>
      <c r="AZ119" s="350" t="str" cm="1">
        <f t="array" ref="AZ119">IF(AL119="","",IF($AJ119="",0,_xlfn.LET(_xlpm.d,IFERROR(--'Sales and count'!$F$2:$CB$2,0),SUMPRODUCT(('Sales and count'!$G$3:$CC$3="Transactions")*(_xlpm.d&gt;=AZ$6)*(_xlpm.d&lt;=AZ$7),INDEX('Sales and count'!$G$4:$CC$300,$AJ119,0)))))</f>
        <v/>
      </c>
      <c r="BA119" s="350" t="str" cm="1">
        <f t="array" ref="BA119">IF(AM119="","",IF($AJ119="",0,_xlfn.LET(_xlpm.d,IFERROR(--'Sales and count'!$F$2:$CB$2,0),SUMPRODUCT(('Sales and count'!$G$3:$CC$3="Transactions")*(_xlpm.d&gt;=BA$6)*(_xlpm.d&lt;=BA$7),INDEX('Sales and count'!$G$4:$CC$300,$AJ119,0)))))</f>
        <v/>
      </c>
      <c r="BB119" s="350" t="str" cm="1">
        <f t="array" ref="BB119">IF(AN119="","",IF($AJ119="",0,_xlfn.LET(_xlpm.d,IFERROR(--'Sales and count'!$F$2:$CB$2,0),SUMPRODUCT(('Sales and count'!$G$3:$CC$3="Transactions")*(_xlpm.d&gt;=BB$6)*(_xlpm.d&lt;=BB$7),INDEX('Sales and count'!$G$4:$CC$300,$AJ119,0)))))</f>
        <v/>
      </c>
      <c r="BC119" s="350" t="str" cm="1">
        <f t="array" ref="BC119">IF(AO119="","",IF($AJ119="",0,_xlfn.LET(_xlpm.d,IFERROR(--'Sales and count'!$F$2:$CB$2,0),SUMPRODUCT(('Sales and count'!$G$3:$CC$3="Transactions")*(_xlpm.d&gt;=BC$6)*(_xlpm.d&lt;=BC$7),INDEX('Sales and count'!$G$4:$CC$300,$AJ119,0)))))</f>
        <v/>
      </c>
      <c r="BD119" s="350" t="str" cm="1">
        <f t="array" ref="BD119">IF(AP119="","",IF($AJ119="",0,_xlfn.LET(_xlpm.d,IFERROR(--'Sales and count'!$F$2:$CB$2,0),SUMPRODUCT(('Sales and count'!$G$3:$CC$3="Transactions")*(_xlpm.d&gt;=BD$6)*(_xlpm.d&lt;=BD$7),INDEX('Sales and count'!$G$4:$CC$300,$AJ119,0)))))</f>
        <v/>
      </c>
      <c r="BE119" s="350" t="str" cm="1">
        <f t="array" ref="BE119">IF(AQ119="","",IF($AJ119="",0,_xlfn.LET(_xlpm.d,IFERROR(--'Sales and count'!$F$2:$CB$2,0),SUMPRODUCT(('Sales and count'!$G$3:$CC$3="Transactions")*(_xlpm.d&gt;=BE$6)*(_xlpm.d&lt;=BE$7),INDEX('Sales and count'!$G$4:$CC$300,$AJ119,0)))))</f>
        <v/>
      </c>
      <c r="BF119" s="350" t="str" cm="1">
        <f t="array" ref="BF119">IF(AR119="","",IF($AJ119="",0,_xlfn.LET(_xlpm.d,IFERROR(--'Sales and count'!$F$2:$CB$2,0),SUMPRODUCT(('Sales and count'!$G$3:$CC$3="Transactions")*(_xlpm.d&gt;=BF$6)*(_xlpm.d&lt;=BF$7),INDEX('Sales and count'!$G$4:$CC$300,$AJ119,0)))))</f>
        <v/>
      </c>
      <c r="BG119" s="350" t="str" cm="1">
        <f t="array" ref="BG119">IF(AS119="","",IF($AJ119="",0,_xlfn.LET(_xlpm.d,IFERROR(--'Sales and count'!$F$2:$CB$2,0),SUMPRODUCT(('Sales and count'!$G$3:$CC$3="Transactions")*(_xlpm.d&gt;=BG$6)*(_xlpm.d&lt;=BG$7),INDEX('Sales and count'!$G$4:$CC$300,$AJ119,0)))))</f>
        <v/>
      </c>
      <c r="BH119" s="350" t="str" cm="1">
        <f t="array" ref="BH119">IF(AT119="","",IF($AJ119="",0,_xlfn.LET(_xlpm.d,IFERROR(--'Sales and count'!$F$2:$CB$2,0),SUMPRODUCT(('Sales and count'!$G$3:$CC$3="Transactions")*(_xlpm.d&gt;=BH$6)*(_xlpm.d&lt;=BH$7),INDEX('Sales and count'!$G$4:$CC$300,$AJ119,0)))))</f>
        <v/>
      </c>
      <c r="BI119" s="350" t="str" cm="1">
        <f t="array" ref="BI119">IF(AU119="","",IF($AJ119="",0,_xlfn.LET(_xlpm.d,IFERROR(--'Sales and count'!$F$2:$CB$2,0),SUMPRODUCT(('Sales and count'!$G$3:$CC$3="Transactions")*(_xlpm.d&gt;=BI$6)*(_xlpm.d&lt;=BI$7),INDEX('Sales and count'!$G$4:$CC$300,$AJ119,0)))))</f>
        <v/>
      </c>
      <c r="BJ119" s="350" t="str" cm="1">
        <f t="array" ref="BJ119">IF(AV119="","",IF($AJ119="",0,_xlfn.LET(_xlpm.d,IFERROR(--'Sales and count'!$F$2:$CB$2,0),SUMPRODUCT(('Sales and count'!$G$3:$CC$3="Transactions")*(_xlpm.d&gt;=BJ$6)*(_xlpm.d&lt;=BJ$7),INDEX('Sales and count'!$G$4:$CC$300,$AJ119,0)))))</f>
        <v/>
      </c>
      <c r="BK119" s="350" t="str" cm="1">
        <f t="array" ref="BK119">IF(AW119="","",IF($AJ119="",0,_xlfn.LET(_xlpm.d,IFERROR(--'Sales and count'!$F$2:$CB$2,0),SUMPRODUCT(('Sales and count'!$G$3:$CC$3="Transactions")*(_xlpm.d&gt;=BK$6)*(_xlpm.d&lt;=BK$7),INDEX('Sales and count'!$G$4:$CC$300,$AJ119,0)))))</f>
        <v/>
      </c>
      <c r="BL119" s="350" t="str" cm="1">
        <f t="array" ref="BL119">IF(AX119="","",IF($AJ119="",0,_xlfn.LET(_xlpm.d,IFERROR(--'Sales and count'!$F$2:$CB$2,0),SUMPRODUCT(('Sales and count'!$G$3:$CC$3="Transactions")*(_xlpm.d&gt;=BL$6)*(_xlpm.d&lt;=BL$7),INDEX('Sales and count'!$G$4:$CC$300,$AJ119,0)))))</f>
        <v/>
      </c>
      <c r="BM119" s="350" t="str" cm="1">
        <f t="array" ref="BM119">IF(AK119="","",IF($AJ119="",0,_xlfn.LET(_xlpm.d,IFERROR(--'Sales and count'!$G$2:$CC$2,0),SUMPRODUCT(('Sales and count'!$G$3:$CC$3="Total")*(_xlpm.d&gt;=BM$6)*(_xlpm.d&lt;=BM$7),INDEX('Sales and count'!$G$4:$CC$300,$AJ119,0)))))</f>
        <v/>
      </c>
      <c r="BN119" s="350" t="str" cm="1">
        <f t="array" ref="BN119">IF(AL119="","",IF($AJ119="",0,_xlfn.LET(_xlpm.d,IFERROR(--'Sales and count'!$G$2:$CC$2,0),SUMPRODUCT(('Sales and count'!$G$3:$CC$3="Total")*(_xlpm.d&gt;=BN$6)*(_xlpm.d&lt;=BN$7),INDEX('Sales and count'!$G$4:$CC$300,$AJ119,0)))))</f>
        <v/>
      </c>
      <c r="BO119" s="350" t="str" cm="1">
        <f t="array" ref="BO119">IF(AM119="","",IF($AJ119="",0,_xlfn.LET(_xlpm.d,IFERROR(--'Sales and count'!$G$2:$CC$2,0),SUMPRODUCT(('Sales and count'!$G$3:$CC$3="Total")*(_xlpm.d&gt;=BO$6)*(_xlpm.d&lt;=BO$7),INDEX('Sales and count'!$G$4:$CC$300,$AJ119,0)))))</f>
        <v/>
      </c>
      <c r="BP119" s="350" t="str" cm="1">
        <f t="array" ref="BP119">IF(AN119="","",IF($AJ119="",0,_xlfn.LET(_xlpm.d,IFERROR(--'Sales and count'!$G$2:$CC$2,0),SUMPRODUCT(('Sales and count'!$G$3:$CC$3="Total")*(_xlpm.d&gt;=BP$6)*(_xlpm.d&lt;=BP$7),INDEX('Sales and count'!$G$4:$CC$300,$AJ119,0)))))</f>
        <v/>
      </c>
      <c r="BQ119" s="350" t="str" cm="1">
        <f t="array" ref="BQ119">IF(AO119="","",IF($AJ119="",0,_xlfn.LET(_xlpm.d,IFERROR(--'Sales and count'!$G$2:$CC$2,0),SUMPRODUCT(('Sales and count'!$G$3:$CC$3="Total")*(_xlpm.d&gt;=BQ$6)*(_xlpm.d&lt;=BQ$7),INDEX('Sales and count'!$G$4:$CC$300,$AJ119,0)))))</f>
        <v/>
      </c>
      <c r="BR119" s="350" t="str" cm="1">
        <f t="array" ref="BR119">IF(AP119="","",IF($AJ119="",0,_xlfn.LET(_xlpm.d,IFERROR(--'Sales and count'!$G$2:$CC$2,0),SUMPRODUCT(('Sales and count'!$G$3:$CC$3="Total")*(_xlpm.d&gt;=BR$6)*(_xlpm.d&lt;=BR$7),INDEX('Sales and count'!$G$4:$CC$300,$AJ119,0)))))</f>
        <v/>
      </c>
      <c r="BS119" s="350" t="str" cm="1">
        <f t="array" ref="BS119">IF(AQ119="","",IF($AJ119="",0,_xlfn.LET(_xlpm.d,IFERROR(--'Sales and count'!$G$2:$CC$2,0),SUMPRODUCT(('Sales and count'!$G$3:$CC$3="Total")*(_xlpm.d&gt;=BS$6)*(_xlpm.d&lt;=BS$7),INDEX('Sales and count'!$G$4:$CC$300,$AJ119,0)))))</f>
        <v/>
      </c>
      <c r="BT119" s="350" t="str" cm="1">
        <f t="array" ref="BT119">IF(AR119="","",IF($AJ119="",0,_xlfn.LET(_xlpm.d,IFERROR(--'Sales and count'!$G$2:$CC$2,0),SUMPRODUCT(('Sales and count'!$G$3:$CC$3="Total")*(_xlpm.d&gt;=BT$6)*(_xlpm.d&lt;=BT$7),INDEX('Sales and count'!$G$4:$CC$300,$AJ119,0)))))</f>
        <v/>
      </c>
      <c r="BU119" s="350" t="str" cm="1">
        <f t="array" ref="BU119">IF(AS119="","",IF($AJ119="",0,_xlfn.LET(_xlpm.d,IFERROR(--'Sales and count'!$G$2:$CC$2,0),SUMPRODUCT(('Sales and count'!$G$3:$CC$3="Total")*(_xlpm.d&gt;=BU$6)*(_xlpm.d&lt;=BU$7),INDEX('Sales and count'!$G$4:$CC$300,$AJ119,0)))))</f>
        <v/>
      </c>
      <c r="BV119" s="350" t="str" cm="1">
        <f t="array" ref="BV119">IF(AT119="","",IF($AJ119="",0,_xlfn.LET(_xlpm.d,IFERROR(--'Sales and count'!$G$2:$CC$2,0),SUMPRODUCT(('Sales and count'!$G$3:$CC$3="Total")*(_xlpm.d&gt;=BV$6)*(_xlpm.d&lt;=BV$7),INDEX('Sales and count'!$G$4:$CC$300,$AJ119,0)))))</f>
        <v/>
      </c>
      <c r="BW119" s="350" t="str" cm="1">
        <f t="array" ref="BW119">IF(AU119="","",IF($AJ119="",0,_xlfn.LET(_xlpm.d,IFERROR(--'Sales and count'!$G$2:$CC$2,0),SUMPRODUCT(('Sales and count'!$G$3:$CC$3="Total")*(_xlpm.d&gt;=BW$6)*(_xlpm.d&lt;=BW$7),INDEX('Sales and count'!$G$4:$CC$300,$AJ119,0)))))</f>
        <v/>
      </c>
      <c r="BX119" s="350" t="str" cm="1">
        <f t="array" ref="BX119">IF(AV119="","",IF($AJ119="",0,_xlfn.LET(_xlpm.d,IFERROR(--'Sales and count'!$G$2:$CC$2,0),SUMPRODUCT(('Sales and count'!$G$3:$CC$3="Total")*(_xlpm.d&gt;=BX$6)*(_xlpm.d&lt;=BX$7),INDEX('Sales and count'!$G$4:$CC$300,$AJ119,0)))))</f>
        <v/>
      </c>
      <c r="BY119" s="350" t="str" cm="1">
        <f t="array" ref="BY119">IF(AW119="","",IF($AJ119="",0,_xlfn.LET(_xlpm.d,IFERROR(--'Sales and count'!$G$2:$CC$2,0),SUMPRODUCT(('Sales and count'!$G$3:$CC$3="Total")*(_xlpm.d&gt;=BY$6)*(_xlpm.d&lt;=BY$7),INDEX('Sales and count'!$G$4:$CC$300,$AJ119,0)))))</f>
        <v/>
      </c>
      <c r="BZ119" s="350" t="str" cm="1">
        <f t="array" ref="BZ119">IF(AX119="","",IF($AJ119="",0,_xlfn.LET(_xlpm.d,IFERROR(--'Sales and count'!$G$2:$CC$2,0),SUMPRODUCT(('Sales and count'!$G$3:$CC$3="Total")*(_xlpm.d&gt;=BZ$6)*(_xlpm.d&lt;=BZ$7),INDEX('Sales and count'!$G$4:$CC$300,$AJ119,0)))))</f>
        <v/>
      </c>
    </row>
    <row r="120" spans="1:78" x14ac:dyDescent="0.25">
      <c r="A120" s="356"/>
      <c r="B120" s="356" t="str" cm="1">
        <f t="array" ref="B120">IF($A120="","",_xlfn.XLOOKUP($A120,TRIM(Footfall!$B$5:$B$301&amp;""),Footfall!$A$5:$A$301,""))</f>
        <v/>
      </c>
      <c r="C120" s="356" t="str" cm="1">
        <f t="array" ref="C120">IF($A120="","",_xlfn.XLOOKUP($A120,TRIM('Sales and count'!$A$4:$A$300&amp;""),'Sales and count'!$C$4:$C$300,"Not set"))</f>
        <v/>
      </c>
      <c r="D120" s="357" t="str">
        <f t="shared" si="81"/>
        <v/>
      </c>
      <c r="E120" s="357" t="str">
        <f t="shared" si="82"/>
        <v/>
      </c>
      <c r="F120" s="357" t="str">
        <f t="shared" si="83"/>
        <v/>
      </c>
      <c r="G120" s="357" t="str">
        <f t="shared" si="84"/>
        <v/>
      </c>
      <c r="H120" s="357" t="str">
        <f t="shared" si="85"/>
        <v/>
      </c>
      <c r="I120" s="357" t="str">
        <f t="shared" si="86"/>
        <v/>
      </c>
      <c r="J120" s="357" t="str">
        <f t="shared" si="87"/>
        <v/>
      </c>
      <c r="K120" s="357" t="str">
        <f t="shared" si="88"/>
        <v/>
      </c>
      <c r="L120" s="357" t="str">
        <f t="shared" si="89"/>
        <v/>
      </c>
      <c r="M120" s="357" t="str">
        <f t="shared" si="90"/>
        <v/>
      </c>
      <c r="N120" s="357" t="str">
        <f t="shared" si="91"/>
        <v/>
      </c>
      <c r="O120" s="357" t="str">
        <f t="shared" si="92"/>
        <v/>
      </c>
      <c r="P120" s="357" t="str">
        <f t="shared" si="93"/>
        <v/>
      </c>
      <c r="Q120" s="357" t="str">
        <f t="shared" si="94"/>
        <v/>
      </c>
      <c r="R120" s="358" t="str" cm="1">
        <f t="array" ref="R120">IF(OR($A120="",D120=""),"",IFERROR(LOOKUP(2,1/(E120:Q120&lt;&gt;""),E120:Q120)-D120,""))</f>
        <v/>
      </c>
      <c r="S120" s="349"/>
      <c r="T120" s="362" t="str">
        <f t="shared" si="95"/>
        <v/>
      </c>
      <c r="U120" s="362" t="str">
        <f t="shared" si="96"/>
        <v/>
      </c>
      <c r="V120" s="362" t="str">
        <f t="shared" si="97"/>
        <v/>
      </c>
      <c r="W120" s="362" t="str">
        <f t="shared" si="98"/>
        <v/>
      </c>
      <c r="X120" s="362" t="str">
        <f t="shared" si="99"/>
        <v/>
      </c>
      <c r="Y120" s="362" t="str">
        <f t="shared" si="100"/>
        <v/>
      </c>
      <c r="Z120" s="362" t="str">
        <f t="shared" si="101"/>
        <v/>
      </c>
      <c r="AA120" s="362" t="str">
        <f t="shared" si="102"/>
        <v/>
      </c>
      <c r="AB120" s="362" t="str">
        <f t="shared" si="103"/>
        <v/>
      </c>
      <c r="AC120" s="362" t="str">
        <f t="shared" si="104"/>
        <v/>
      </c>
      <c r="AD120" s="362" t="str">
        <f t="shared" si="105"/>
        <v/>
      </c>
      <c r="AE120" s="362" t="str">
        <f t="shared" si="106"/>
        <v/>
      </c>
      <c r="AF120" s="362" t="str">
        <f t="shared" si="107"/>
        <v/>
      </c>
      <c r="AG120" s="362" t="str">
        <f t="shared" si="108"/>
        <v/>
      </c>
      <c r="AH120" s="363" t="str" cm="1">
        <f t="array" ref="AH120">IF(OR($A120="",T120=""),"",IFERROR(LOOKUP(2,1/(U120:AG120&lt;&gt;""),U120:AG120)-T120,""))</f>
        <v/>
      </c>
      <c r="AI120" s="349"/>
      <c r="AJ120" s="349" t="str" cm="1">
        <f t="array" ref="AJ120">IF($A120="","",IFERROR(MATCH($A120,TRIM('Sales and count'!$A$4:$A$300&amp;""),0),""))</f>
        <v/>
      </c>
      <c r="AK120" s="350" t="str" cm="1">
        <f t="array" ref="AK120">IF(OR($A120="",AK$6=""),"",IFERROR(INDEX(Footfall!$C$5:$BZ$301,MATCH($A120,TRIM(Footfall!$B$5:$B$301&amp;""),0),AK$5),0))</f>
        <v/>
      </c>
      <c r="AL120" s="350" t="str" cm="1">
        <f t="array" ref="AL120">IF(OR($A120="",AL$6=""),"",IFERROR(INDEX(Footfall!$C$5:$BZ$301,MATCH($A120,TRIM(Footfall!$B$5:$B$301&amp;""),0),AL$5),0))</f>
        <v/>
      </c>
      <c r="AM120" s="350" t="str" cm="1">
        <f t="array" ref="AM120">IF(OR($A120="",AM$6=""),"",IFERROR(INDEX(Footfall!$C$5:$BZ$301,MATCH($A120,TRIM(Footfall!$B$5:$B$301&amp;""),0),AM$5),0))</f>
        <v/>
      </c>
      <c r="AN120" s="350" t="str" cm="1">
        <f t="array" ref="AN120">IF(OR($A120="",AN$6=""),"",IFERROR(INDEX(Footfall!$C$5:$BZ$301,MATCH($A120,TRIM(Footfall!$B$5:$B$301&amp;""),0),AN$5),0))</f>
        <v/>
      </c>
      <c r="AO120" s="350" t="str" cm="1">
        <f t="array" ref="AO120">IF(OR($A120="",AO$6=""),"",IFERROR(INDEX(Footfall!$C$5:$BZ$301,MATCH($A120,TRIM(Footfall!$B$5:$B$301&amp;""),0),AO$5),0))</f>
        <v/>
      </c>
      <c r="AP120" s="350" t="str" cm="1">
        <f t="array" ref="AP120">IF(OR($A120="",AP$6=""),"",IFERROR(INDEX(Footfall!$C$5:$BZ$301,MATCH($A120,TRIM(Footfall!$B$5:$B$301&amp;""),0),AP$5),0))</f>
        <v/>
      </c>
      <c r="AQ120" s="350" t="str" cm="1">
        <f t="array" ref="AQ120">IF(OR($A120="",AQ$6=""),"",IFERROR(INDEX(Footfall!$C$5:$BZ$301,MATCH($A120,TRIM(Footfall!$B$5:$B$301&amp;""),0),AQ$5),0))</f>
        <v/>
      </c>
      <c r="AR120" s="350" t="str" cm="1">
        <f t="array" ref="AR120">IF(OR($A120="",AR$6=""),"",IFERROR(INDEX(Footfall!$C$5:$BZ$301,MATCH($A120,TRIM(Footfall!$B$5:$B$301&amp;""),0),AR$5),0))</f>
        <v/>
      </c>
      <c r="AS120" s="350" t="str" cm="1">
        <f t="array" ref="AS120">IF(OR($A120="",AS$6=""),"",IFERROR(INDEX(Footfall!$C$5:$BZ$301,MATCH($A120,TRIM(Footfall!$B$5:$B$301&amp;""),0),AS$5),0))</f>
        <v/>
      </c>
      <c r="AT120" s="350" t="str" cm="1">
        <f t="array" ref="AT120">IF(OR($A120="",AT$6=""),"",IFERROR(INDEX(Footfall!$C$5:$BZ$301,MATCH($A120,TRIM(Footfall!$B$5:$B$301&amp;""),0),AT$5),0))</f>
        <v/>
      </c>
      <c r="AU120" s="350" t="str" cm="1">
        <f t="array" ref="AU120">IF(OR($A120="",AU$6=""),"",IFERROR(INDEX(Footfall!$C$5:$BZ$301,MATCH($A120,TRIM(Footfall!$B$5:$B$301&amp;""),0),AU$5),0))</f>
        <v/>
      </c>
      <c r="AV120" s="350" t="str" cm="1">
        <f t="array" ref="AV120">IF(OR($A120="",AV$6=""),"",IFERROR(INDEX(Footfall!$C$5:$BZ$301,MATCH($A120,TRIM(Footfall!$B$5:$B$301&amp;""),0),AV$5),0))</f>
        <v/>
      </c>
      <c r="AW120" s="350" t="str" cm="1">
        <f t="array" ref="AW120">IF(OR($A120="",AW$6=""),"",IFERROR(INDEX(Footfall!$C$5:$BZ$301,MATCH($A120,TRIM(Footfall!$B$5:$B$301&amp;""),0),AW$5),0))</f>
        <v/>
      </c>
      <c r="AX120" s="350" t="str" cm="1">
        <f t="array" ref="AX120">IF(OR($A120="",AX$6=""),"",IFERROR(INDEX(Footfall!$C$5:$BZ$301,MATCH($A120,TRIM(Footfall!$B$5:$B$301&amp;""),0),AX$5),0))</f>
        <v/>
      </c>
      <c r="AY120" s="350" t="str" cm="1">
        <f t="array" ref="AY120">IF(AK120="","",IF($AJ120="",0,_xlfn.LET(_xlpm.d,IFERROR(--'Sales and count'!$F$2:$CB$2,0),SUMPRODUCT(('Sales and count'!$G$3:$CC$3="Transactions")*(_xlpm.d&gt;=AY$6)*(_xlpm.d&lt;=AY$7),INDEX('Sales and count'!$G$4:$CC$300,$AJ120,0)))))</f>
        <v/>
      </c>
      <c r="AZ120" s="350" t="str" cm="1">
        <f t="array" ref="AZ120">IF(AL120="","",IF($AJ120="",0,_xlfn.LET(_xlpm.d,IFERROR(--'Sales and count'!$F$2:$CB$2,0),SUMPRODUCT(('Sales and count'!$G$3:$CC$3="Transactions")*(_xlpm.d&gt;=AZ$6)*(_xlpm.d&lt;=AZ$7),INDEX('Sales and count'!$G$4:$CC$300,$AJ120,0)))))</f>
        <v/>
      </c>
      <c r="BA120" s="350" t="str" cm="1">
        <f t="array" ref="BA120">IF(AM120="","",IF($AJ120="",0,_xlfn.LET(_xlpm.d,IFERROR(--'Sales and count'!$F$2:$CB$2,0),SUMPRODUCT(('Sales and count'!$G$3:$CC$3="Transactions")*(_xlpm.d&gt;=BA$6)*(_xlpm.d&lt;=BA$7),INDEX('Sales and count'!$G$4:$CC$300,$AJ120,0)))))</f>
        <v/>
      </c>
      <c r="BB120" s="350" t="str" cm="1">
        <f t="array" ref="BB120">IF(AN120="","",IF($AJ120="",0,_xlfn.LET(_xlpm.d,IFERROR(--'Sales and count'!$F$2:$CB$2,0),SUMPRODUCT(('Sales and count'!$G$3:$CC$3="Transactions")*(_xlpm.d&gt;=BB$6)*(_xlpm.d&lt;=BB$7),INDEX('Sales and count'!$G$4:$CC$300,$AJ120,0)))))</f>
        <v/>
      </c>
      <c r="BC120" s="350" t="str" cm="1">
        <f t="array" ref="BC120">IF(AO120="","",IF($AJ120="",0,_xlfn.LET(_xlpm.d,IFERROR(--'Sales and count'!$F$2:$CB$2,0),SUMPRODUCT(('Sales and count'!$G$3:$CC$3="Transactions")*(_xlpm.d&gt;=BC$6)*(_xlpm.d&lt;=BC$7),INDEX('Sales and count'!$G$4:$CC$300,$AJ120,0)))))</f>
        <v/>
      </c>
      <c r="BD120" s="350" t="str" cm="1">
        <f t="array" ref="BD120">IF(AP120="","",IF($AJ120="",0,_xlfn.LET(_xlpm.d,IFERROR(--'Sales and count'!$F$2:$CB$2,0),SUMPRODUCT(('Sales and count'!$G$3:$CC$3="Transactions")*(_xlpm.d&gt;=BD$6)*(_xlpm.d&lt;=BD$7),INDEX('Sales and count'!$G$4:$CC$300,$AJ120,0)))))</f>
        <v/>
      </c>
      <c r="BE120" s="350" t="str" cm="1">
        <f t="array" ref="BE120">IF(AQ120="","",IF($AJ120="",0,_xlfn.LET(_xlpm.d,IFERROR(--'Sales and count'!$F$2:$CB$2,0),SUMPRODUCT(('Sales and count'!$G$3:$CC$3="Transactions")*(_xlpm.d&gt;=BE$6)*(_xlpm.d&lt;=BE$7),INDEX('Sales and count'!$G$4:$CC$300,$AJ120,0)))))</f>
        <v/>
      </c>
      <c r="BF120" s="350" t="str" cm="1">
        <f t="array" ref="BF120">IF(AR120="","",IF($AJ120="",0,_xlfn.LET(_xlpm.d,IFERROR(--'Sales and count'!$F$2:$CB$2,0),SUMPRODUCT(('Sales and count'!$G$3:$CC$3="Transactions")*(_xlpm.d&gt;=BF$6)*(_xlpm.d&lt;=BF$7),INDEX('Sales and count'!$G$4:$CC$300,$AJ120,0)))))</f>
        <v/>
      </c>
      <c r="BG120" s="350" t="str" cm="1">
        <f t="array" ref="BG120">IF(AS120="","",IF($AJ120="",0,_xlfn.LET(_xlpm.d,IFERROR(--'Sales and count'!$F$2:$CB$2,0),SUMPRODUCT(('Sales and count'!$G$3:$CC$3="Transactions")*(_xlpm.d&gt;=BG$6)*(_xlpm.d&lt;=BG$7),INDEX('Sales and count'!$G$4:$CC$300,$AJ120,0)))))</f>
        <v/>
      </c>
      <c r="BH120" s="350" t="str" cm="1">
        <f t="array" ref="BH120">IF(AT120="","",IF($AJ120="",0,_xlfn.LET(_xlpm.d,IFERROR(--'Sales and count'!$F$2:$CB$2,0),SUMPRODUCT(('Sales and count'!$G$3:$CC$3="Transactions")*(_xlpm.d&gt;=BH$6)*(_xlpm.d&lt;=BH$7),INDEX('Sales and count'!$G$4:$CC$300,$AJ120,0)))))</f>
        <v/>
      </c>
      <c r="BI120" s="350" t="str" cm="1">
        <f t="array" ref="BI120">IF(AU120="","",IF($AJ120="",0,_xlfn.LET(_xlpm.d,IFERROR(--'Sales and count'!$F$2:$CB$2,0),SUMPRODUCT(('Sales and count'!$G$3:$CC$3="Transactions")*(_xlpm.d&gt;=BI$6)*(_xlpm.d&lt;=BI$7),INDEX('Sales and count'!$G$4:$CC$300,$AJ120,0)))))</f>
        <v/>
      </c>
      <c r="BJ120" s="350" t="str" cm="1">
        <f t="array" ref="BJ120">IF(AV120="","",IF($AJ120="",0,_xlfn.LET(_xlpm.d,IFERROR(--'Sales and count'!$F$2:$CB$2,0),SUMPRODUCT(('Sales and count'!$G$3:$CC$3="Transactions")*(_xlpm.d&gt;=BJ$6)*(_xlpm.d&lt;=BJ$7),INDEX('Sales and count'!$G$4:$CC$300,$AJ120,0)))))</f>
        <v/>
      </c>
      <c r="BK120" s="350" t="str" cm="1">
        <f t="array" ref="BK120">IF(AW120="","",IF($AJ120="",0,_xlfn.LET(_xlpm.d,IFERROR(--'Sales and count'!$F$2:$CB$2,0),SUMPRODUCT(('Sales and count'!$G$3:$CC$3="Transactions")*(_xlpm.d&gt;=BK$6)*(_xlpm.d&lt;=BK$7),INDEX('Sales and count'!$G$4:$CC$300,$AJ120,0)))))</f>
        <v/>
      </c>
      <c r="BL120" s="350" t="str" cm="1">
        <f t="array" ref="BL120">IF(AX120="","",IF($AJ120="",0,_xlfn.LET(_xlpm.d,IFERROR(--'Sales and count'!$F$2:$CB$2,0),SUMPRODUCT(('Sales and count'!$G$3:$CC$3="Transactions")*(_xlpm.d&gt;=BL$6)*(_xlpm.d&lt;=BL$7),INDEX('Sales and count'!$G$4:$CC$300,$AJ120,0)))))</f>
        <v/>
      </c>
      <c r="BM120" s="350" t="str" cm="1">
        <f t="array" ref="BM120">IF(AK120="","",IF($AJ120="",0,_xlfn.LET(_xlpm.d,IFERROR(--'Sales and count'!$G$2:$CC$2,0),SUMPRODUCT(('Sales and count'!$G$3:$CC$3="Total")*(_xlpm.d&gt;=BM$6)*(_xlpm.d&lt;=BM$7),INDEX('Sales and count'!$G$4:$CC$300,$AJ120,0)))))</f>
        <v/>
      </c>
      <c r="BN120" s="350" t="str" cm="1">
        <f t="array" ref="BN120">IF(AL120="","",IF($AJ120="",0,_xlfn.LET(_xlpm.d,IFERROR(--'Sales and count'!$G$2:$CC$2,0),SUMPRODUCT(('Sales and count'!$G$3:$CC$3="Total")*(_xlpm.d&gt;=BN$6)*(_xlpm.d&lt;=BN$7),INDEX('Sales and count'!$G$4:$CC$300,$AJ120,0)))))</f>
        <v/>
      </c>
      <c r="BO120" s="350" t="str" cm="1">
        <f t="array" ref="BO120">IF(AM120="","",IF($AJ120="",0,_xlfn.LET(_xlpm.d,IFERROR(--'Sales and count'!$G$2:$CC$2,0),SUMPRODUCT(('Sales and count'!$G$3:$CC$3="Total")*(_xlpm.d&gt;=BO$6)*(_xlpm.d&lt;=BO$7),INDEX('Sales and count'!$G$4:$CC$300,$AJ120,0)))))</f>
        <v/>
      </c>
      <c r="BP120" s="350" t="str" cm="1">
        <f t="array" ref="BP120">IF(AN120="","",IF($AJ120="",0,_xlfn.LET(_xlpm.d,IFERROR(--'Sales and count'!$G$2:$CC$2,0),SUMPRODUCT(('Sales and count'!$G$3:$CC$3="Total")*(_xlpm.d&gt;=BP$6)*(_xlpm.d&lt;=BP$7),INDEX('Sales and count'!$G$4:$CC$300,$AJ120,0)))))</f>
        <v/>
      </c>
      <c r="BQ120" s="350" t="str" cm="1">
        <f t="array" ref="BQ120">IF(AO120="","",IF($AJ120="",0,_xlfn.LET(_xlpm.d,IFERROR(--'Sales and count'!$G$2:$CC$2,0),SUMPRODUCT(('Sales and count'!$G$3:$CC$3="Total")*(_xlpm.d&gt;=BQ$6)*(_xlpm.d&lt;=BQ$7),INDEX('Sales and count'!$G$4:$CC$300,$AJ120,0)))))</f>
        <v/>
      </c>
      <c r="BR120" s="350" t="str" cm="1">
        <f t="array" ref="BR120">IF(AP120="","",IF($AJ120="",0,_xlfn.LET(_xlpm.d,IFERROR(--'Sales and count'!$G$2:$CC$2,0),SUMPRODUCT(('Sales and count'!$G$3:$CC$3="Total")*(_xlpm.d&gt;=BR$6)*(_xlpm.d&lt;=BR$7),INDEX('Sales and count'!$G$4:$CC$300,$AJ120,0)))))</f>
        <v/>
      </c>
      <c r="BS120" s="350" t="str" cm="1">
        <f t="array" ref="BS120">IF(AQ120="","",IF($AJ120="",0,_xlfn.LET(_xlpm.d,IFERROR(--'Sales and count'!$G$2:$CC$2,0),SUMPRODUCT(('Sales and count'!$G$3:$CC$3="Total")*(_xlpm.d&gt;=BS$6)*(_xlpm.d&lt;=BS$7),INDEX('Sales and count'!$G$4:$CC$300,$AJ120,0)))))</f>
        <v/>
      </c>
      <c r="BT120" s="350" t="str" cm="1">
        <f t="array" ref="BT120">IF(AR120="","",IF($AJ120="",0,_xlfn.LET(_xlpm.d,IFERROR(--'Sales and count'!$G$2:$CC$2,0),SUMPRODUCT(('Sales and count'!$G$3:$CC$3="Total")*(_xlpm.d&gt;=BT$6)*(_xlpm.d&lt;=BT$7),INDEX('Sales and count'!$G$4:$CC$300,$AJ120,0)))))</f>
        <v/>
      </c>
      <c r="BU120" s="350" t="str" cm="1">
        <f t="array" ref="BU120">IF(AS120="","",IF($AJ120="",0,_xlfn.LET(_xlpm.d,IFERROR(--'Sales and count'!$G$2:$CC$2,0),SUMPRODUCT(('Sales and count'!$G$3:$CC$3="Total")*(_xlpm.d&gt;=BU$6)*(_xlpm.d&lt;=BU$7),INDEX('Sales and count'!$G$4:$CC$300,$AJ120,0)))))</f>
        <v/>
      </c>
      <c r="BV120" s="350" t="str" cm="1">
        <f t="array" ref="BV120">IF(AT120="","",IF($AJ120="",0,_xlfn.LET(_xlpm.d,IFERROR(--'Sales and count'!$G$2:$CC$2,0),SUMPRODUCT(('Sales and count'!$G$3:$CC$3="Total")*(_xlpm.d&gt;=BV$6)*(_xlpm.d&lt;=BV$7),INDEX('Sales and count'!$G$4:$CC$300,$AJ120,0)))))</f>
        <v/>
      </c>
      <c r="BW120" s="350" t="str" cm="1">
        <f t="array" ref="BW120">IF(AU120="","",IF($AJ120="",0,_xlfn.LET(_xlpm.d,IFERROR(--'Sales and count'!$G$2:$CC$2,0),SUMPRODUCT(('Sales and count'!$G$3:$CC$3="Total")*(_xlpm.d&gt;=BW$6)*(_xlpm.d&lt;=BW$7),INDEX('Sales and count'!$G$4:$CC$300,$AJ120,0)))))</f>
        <v/>
      </c>
      <c r="BX120" s="350" t="str" cm="1">
        <f t="array" ref="BX120">IF(AV120="","",IF($AJ120="",0,_xlfn.LET(_xlpm.d,IFERROR(--'Sales and count'!$G$2:$CC$2,0),SUMPRODUCT(('Sales and count'!$G$3:$CC$3="Total")*(_xlpm.d&gt;=BX$6)*(_xlpm.d&lt;=BX$7),INDEX('Sales and count'!$G$4:$CC$300,$AJ120,0)))))</f>
        <v/>
      </c>
      <c r="BY120" s="350" t="str" cm="1">
        <f t="array" ref="BY120">IF(AW120="","",IF($AJ120="",0,_xlfn.LET(_xlpm.d,IFERROR(--'Sales and count'!$G$2:$CC$2,0),SUMPRODUCT(('Sales and count'!$G$3:$CC$3="Total")*(_xlpm.d&gt;=BY$6)*(_xlpm.d&lt;=BY$7),INDEX('Sales and count'!$G$4:$CC$300,$AJ120,0)))))</f>
        <v/>
      </c>
      <c r="BZ120" s="350" t="str" cm="1">
        <f t="array" ref="BZ120">IF(AX120="","",IF($AJ120="",0,_xlfn.LET(_xlpm.d,IFERROR(--'Sales and count'!$G$2:$CC$2,0),SUMPRODUCT(('Sales and count'!$G$3:$CC$3="Total")*(_xlpm.d&gt;=BZ$6)*(_xlpm.d&lt;=BZ$7),INDEX('Sales and count'!$G$4:$CC$300,$AJ120,0)))))</f>
        <v/>
      </c>
    </row>
    <row r="121" spans="1:78" x14ac:dyDescent="0.25">
      <c r="A121" s="356"/>
      <c r="B121" s="356" t="str" cm="1">
        <f t="array" ref="B121">IF($A121="","",_xlfn.XLOOKUP($A121,TRIM(Footfall!$B$5:$B$301&amp;""),Footfall!$A$5:$A$301,""))</f>
        <v/>
      </c>
      <c r="C121" s="356" t="str" cm="1">
        <f t="array" ref="C121">IF($A121="","",_xlfn.XLOOKUP($A121,TRIM('Sales and count'!$A$4:$A$300&amp;""),'Sales and count'!$C$4:$C$300,"Not set"))</f>
        <v/>
      </c>
      <c r="D121" s="357" t="str">
        <f t="shared" si="81"/>
        <v/>
      </c>
      <c r="E121" s="357" t="str">
        <f t="shared" si="82"/>
        <v/>
      </c>
      <c r="F121" s="357" t="str">
        <f t="shared" si="83"/>
        <v/>
      </c>
      <c r="G121" s="357" t="str">
        <f t="shared" si="84"/>
        <v/>
      </c>
      <c r="H121" s="357" t="str">
        <f t="shared" si="85"/>
        <v/>
      </c>
      <c r="I121" s="357" t="str">
        <f t="shared" si="86"/>
        <v/>
      </c>
      <c r="J121" s="357" t="str">
        <f t="shared" si="87"/>
        <v/>
      </c>
      <c r="K121" s="357" t="str">
        <f t="shared" si="88"/>
        <v/>
      </c>
      <c r="L121" s="357" t="str">
        <f t="shared" si="89"/>
        <v/>
      </c>
      <c r="M121" s="357" t="str">
        <f t="shared" si="90"/>
        <v/>
      </c>
      <c r="N121" s="357" t="str">
        <f t="shared" si="91"/>
        <v/>
      </c>
      <c r="O121" s="357" t="str">
        <f t="shared" si="92"/>
        <v/>
      </c>
      <c r="P121" s="357" t="str">
        <f t="shared" si="93"/>
        <v/>
      </c>
      <c r="Q121" s="357" t="str">
        <f t="shared" si="94"/>
        <v/>
      </c>
      <c r="R121" s="358" t="str" cm="1">
        <f t="array" ref="R121">IF(OR($A121="",D121=""),"",IFERROR(LOOKUP(2,1/(E121:Q121&lt;&gt;""),E121:Q121)-D121,""))</f>
        <v/>
      </c>
      <c r="S121" s="349"/>
      <c r="T121" s="362" t="str">
        <f t="shared" si="95"/>
        <v/>
      </c>
      <c r="U121" s="362" t="str">
        <f t="shared" si="96"/>
        <v/>
      </c>
      <c r="V121" s="362" t="str">
        <f t="shared" si="97"/>
        <v/>
      </c>
      <c r="W121" s="362" t="str">
        <f t="shared" si="98"/>
        <v/>
      </c>
      <c r="X121" s="362" t="str">
        <f t="shared" si="99"/>
        <v/>
      </c>
      <c r="Y121" s="362" t="str">
        <f t="shared" si="100"/>
        <v/>
      </c>
      <c r="Z121" s="362" t="str">
        <f t="shared" si="101"/>
        <v/>
      </c>
      <c r="AA121" s="362" t="str">
        <f t="shared" si="102"/>
        <v/>
      </c>
      <c r="AB121" s="362" t="str">
        <f t="shared" si="103"/>
        <v/>
      </c>
      <c r="AC121" s="362" t="str">
        <f t="shared" si="104"/>
        <v/>
      </c>
      <c r="AD121" s="362" t="str">
        <f t="shared" si="105"/>
        <v/>
      </c>
      <c r="AE121" s="362" t="str">
        <f t="shared" si="106"/>
        <v/>
      </c>
      <c r="AF121" s="362" t="str">
        <f t="shared" si="107"/>
        <v/>
      </c>
      <c r="AG121" s="362" t="str">
        <f t="shared" si="108"/>
        <v/>
      </c>
      <c r="AH121" s="363" t="str" cm="1">
        <f t="array" ref="AH121">IF(OR($A121="",T121=""),"",IFERROR(LOOKUP(2,1/(U121:AG121&lt;&gt;""),U121:AG121)-T121,""))</f>
        <v/>
      </c>
      <c r="AI121" s="349"/>
      <c r="AJ121" s="349" t="str" cm="1">
        <f t="array" ref="AJ121">IF($A121="","",IFERROR(MATCH($A121,TRIM('Sales and count'!$A$4:$A$300&amp;""),0),""))</f>
        <v/>
      </c>
      <c r="AK121" s="350" t="str" cm="1">
        <f t="array" ref="AK121">IF(OR($A121="",AK$6=""),"",IFERROR(INDEX(Footfall!$C$5:$BZ$301,MATCH($A121,TRIM(Footfall!$B$5:$B$301&amp;""),0),AK$5),0))</f>
        <v/>
      </c>
      <c r="AL121" s="350" t="str" cm="1">
        <f t="array" ref="AL121">IF(OR($A121="",AL$6=""),"",IFERROR(INDEX(Footfall!$C$5:$BZ$301,MATCH($A121,TRIM(Footfall!$B$5:$B$301&amp;""),0),AL$5),0))</f>
        <v/>
      </c>
      <c r="AM121" s="350" t="str" cm="1">
        <f t="array" ref="AM121">IF(OR($A121="",AM$6=""),"",IFERROR(INDEX(Footfall!$C$5:$BZ$301,MATCH($A121,TRIM(Footfall!$B$5:$B$301&amp;""),0),AM$5),0))</f>
        <v/>
      </c>
      <c r="AN121" s="350" t="str" cm="1">
        <f t="array" ref="AN121">IF(OR($A121="",AN$6=""),"",IFERROR(INDEX(Footfall!$C$5:$BZ$301,MATCH($A121,TRIM(Footfall!$B$5:$B$301&amp;""),0),AN$5),0))</f>
        <v/>
      </c>
      <c r="AO121" s="350" t="str" cm="1">
        <f t="array" ref="AO121">IF(OR($A121="",AO$6=""),"",IFERROR(INDEX(Footfall!$C$5:$BZ$301,MATCH($A121,TRIM(Footfall!$B$5:$B$301&amp;""),0),AO$5),0))</f>
        <v/>
      </c>
      <c r="AP121" s="350" t="str" cm="1">
        <f t="array" ref="AP121">IF(OR($A121="",AP$6=""),"",IFERROR(INDEX(Footfall!$C$5:$BZ$301,MATCH($A121,TRIM(Footfall!$B$5:$B$301&amp;""),0),AP$5),0))</f>
        <v/>
      </c>
      <c r="AQ121" s="350" t="str" cm="1">
        <f t="array" ref="AQ121">IF(OR($A121="",AQ$6=""),"",IFERROR(INDEX(Footfall!$C$5:$BZ$301,MATCH($A121,TRIM(Footfall!$B$5:$B$301&amp;""),0),AQ$5),0))</f>
        <v/>
      </c>
      <c r="AR121" s="350" t="str" cm="1">
        <f t="array" ref="AR121">IF(OR($A121="",AR$6=""),"",IFERROR(INDEX(Footfall!$C$5:$BZ$301,MATCH($A121,TRIM(Footfall!$B$5:$B$301&amp;""),0),AR$5),0))</f>
        <v/>
      </c>
      <c r="AS121" s="350" t="str" cm="1">
        <f t="array" ref="AS121">IF(OR($A121="",AS$6=""),"",IFERROR(INDEX(Footfall!$C$5:$BZ$301,MATCH($A121,TRIM(Footfall!$B$5:$B$301&amp;""),0),AS$5),0))</f>
        <v/>
      </c>
      <c r="AT121" s="350" t="str" cm="1">
        <f t="array" ref="AT121">IF(OR($A121="",AT$6=""),"",IFERROR(INDEX(Footfall!$C$5:$BZ$301,MATCH($A121,TRIM(Footfall!$B$5:$B$301&amp;""),0),AT$5),0))</f>
        <v/>
      </c>
      <c r="AU121" s="350" t="str" cm="1">
        <f t="array" ref="AU121">IF(OR($A121="",AU$6=""),"",IFERROR(INDEX(Footfall!$C$5:$BZ$301,MATCH($A121,TRIM(Footfall!$B$5:$B$301&amp;""),0),AU$5),0))</f>
        <v/>
      </c>
      <c r="AV121" s="350" t="str" cm="1">
        <f t="array" ref="AV121">IF(OR($A121="",AV$6=""),"",IFERROR(INDEX(Footfall!$C$5:$BZ$301,MATCH($A121,TRIM(Footfall!$B$5:$B$301&amp;""),0),AV$5),0))</f>
        <v/>
      </c>
      <c r="AW121" s="350" t="str" cm="1">
        <f t="array" ref="AW121">IF(OR($A121="",AW$6=""),"",IFERROR(INDEX(Footfall!$C$5:$BZ$301,MATCH($A121,TRIM(Footfall!$B$5:$B$301&amp;""),0),AW$5),0))</f>
        <v/>
      </c>
      <c r="AX121" s="350" t="str" cm="1">
        <f t="array" ref="AX121">IF(OR($A121="",AX$6=""),"",IFERROR(INDEX(Footfall!$C$5:$BZ$301,MATCH($A121,TRIM(Footfall!$B$5:$B$301&amp;""),0),AX$5),0))</f>
        <v/>
      </c>
      <c r="AY121" s="350" t="str" cm="1">
        <f t="array" ref="AY121">IF(AK121="","",IF($AJ121="",0,_xlfn.LET(_xlpm.d,IFERROR(--'Sales and count'!$F$2:$CB$2,0),SUMPRODUCT(('Sales and count'!$G$3:$CC$3="Transactions")*(_xlpm.d&gt;=AY$6)*(_xlpm.d&lt;=AY$7),INDEX('Sales and count'!$G$4:$CC$300,$AJ121,0)))))</f>
        <v/>
      </c>
      <c r="AZ121" s="350" t="str" cm="1">
        <f t="array" ref="AZ121">IF(AL121="","",IF($AJ121="",0,_xlfn.LET(_xlpm.d,IFERROR(--'Sales and count'!$F$2:$CB$2,0),SUMPRODUCT(('Sales and count'!$G$3:$CC$3="Transactions")*(_xlpm.d&gt;=AZ$6)*(_xlpm.d&lt;=AZ$7),INDEX('Sales and count'!$G$4:$CC$300,$AJ121,0)))))</f>
        <v/>
      </c>
      <c r="BA121" s="350" t="str" cm="1">
        <f t="array" ref="BA121">IF(AM121="","",IF($AJ121="",0,_xlfn.LET(_xlpm.d,IFERROR(--'Sales and count'!$F$2:$CB$2,0),SUMPRODUCT(('Sales and count'!$G$3:$CC$3="Transactions")*(_xlpm.d&gt;=BA$6)*(_xlpm.d&lt;=BA$7),INDEX('Sales and count'!$G$4:$CC$300,$AJ121,0)))))</f>
        <v/>
      </c>
      <c r="BB121" s="350" t="str" cm="1">
        <f t="array" ref="BB121">IF(AN121="","",IF($AJ121="",0,_xlfn.LET(_xlpm.d,IFERROR(--'Sales and count'!$F$2:$CB$2,0),SUMPRODUCT(('Sales and count'!$G$3:$CC$3="Transactions")*(_xlpm.d&gt;=BB$6)*(_xlpm.d&lt;=BB$7),INDEX('Sales and count'!$G$4:$CC$300,$AJ121,0)))))</f>
        <v/>
      </c>
      <c r="BC121" s="350" t="str" cm="1">
        <f t="array" ref="BC121">IF(AO121="","",IF($AJ121="",0,_xlfn.LET(_xlpm.d,IFERROR(--'Sales and count'!$F$2:$CB$2,0),SUMPRODUCT(('Sales and count'!$G$3:$CC$3="Transactions")*(_xlpm.d&gt;=BC$6)*(_xlpm.d&lt;=BC$7),INDEX('Sales and count'!$G$4:$CC$300,$AJ121,0)))))</f>
        <v/>
      </c>
      <c r="BD121" s="350" t="str" cm="1">
        <f t="array" ref="BD121">IF(AP121="","",IF($AJ121="",0,_xlfn.LET(_xlpm.d,IFERROR(--'Sales and count'!$F$2:$CB$2,0),SUMPRODUCT(('Sales and count'!$G$3:$CC$3="Transactions")*(_xlpm.d&gt;=BD$6)*(_xlpm.d&lt;=BD$7),INDEX('Sales and count'!$G$4:$CC$300,$AJ121,0)))))</f>
        <v/>
      </c>
      <c r="BE121" s="350" t="str" cm="1">
        <f t="array" ref="BE121">IF(AQ121="","",IF($AJ121="",0,_xlfn.LET(_xlpm.d,IFERROR(--'Sales and count'!$F$2:$CB$2,0),SUMPRODUCT(('Sales and count'!$G$3:$CC$3="Transactions")*(_xlpm.d&gt;=BE$6)*(_xlpm.d&lt;=BE$7),INDEX('Sales and count'!$G$4:$CC$300,$AJ121,0)))))</f>
        <v/>
      </c>
      <c r="BF121" s="350" t="str" cm="1">
        <f t="array" ref="BF121">IF(AR121="","",IF($AJ121="",0,_xlfn.LET(_xlpm.d,IFERROR(--'Sales and count'!$F$2:$CB$2,0),SUMPRODUCT(('Sales and count'!$G$3:$CC$3="Transactions")*(_xlpm.d&gt;=BF$6)*(_xlpm.d&lt;=BF$7),INDEX('Sales and count'!$G$4:$CC$300,$AJ121,0)))))</f>
        <v/>
      </c>
      <c r="BG121" s="350" t="str" cm="1">
        <f t="array" ref="BG121">IF(AS121="","",IF($AJ121="",0,_xlfn.LET(_xlpm.d,IFERROR(--'Sales and count'!$F$2:$CB$2,0),SUMPRODUCT(('Sales and count'!$G$3:$CC$3="Transactions")*(_xlpm.d&gt;=BG$6)*(_xlpm.d&lt;=BG$7),INDEX('Sales and count'!$G$4:$CC$300,$AJ121,0)))))</f>
        <v/>
      </c>
      <c r="BH121" s="350" t="str" cm="1">
        <f t="array" ref="BH121">IF(AT121="","",IF($AJ121="",0,_xlfn.LET(_xlpm.d,IFERROR(--'Sales and count'!$F$2:$CB$2,0),SUMPRODUCT(('Sales and count'!$G$3:$CC$3="Transactions")*(_xlpm.d&gt;=BH$6)*(_xlpm.d&lt;=BH$7),INDEX('Sales and count'!$G$4:$CC$300,$AJ121,0)))))</f>
        <v/>
      </c>
      <c r="BI121" s="350" t="str" cm="1">
        <f t="array" ref="BI121">IF(AU121="","",IF($AJ121="",0,_xlfn.LET(_xlpm.d,IFERROR(--'Sales and count'!$F$2:$CB$2,0),SUMPRODUCT(('Sales and count'!$G$3:$CC$3="Transactions")*(_xlpm.d&gt;=BI$6)*(_xlpm.d&lt;=BI$7),INDEX('Sales and count'!$G$4:$CC$300,$AJ121,0)))))</f>
        <v/>
      </c>
      <c r="BJ121" s="350" t="str" cm="1">
        <f t="array" ref="BJ121">IF(AV121="","",IF($AJ121="",0,_xlfn.LET(_xlpm.d,IFERROR(--'Sales and count'!$F$2:$CB$2,0),SUMPRODUCT(('Sales and count'!$G$3:$CC$3="Transactions")*(_xlpm.d&gt;=BJ$6)*(_xlpm.d&lt;=BJ$7),INDEX('Sales and count'!$G$4:$CC$300,$AJ121,0)))))</f>
        <v/>
      </c>
      <c r="BK121" s="350" t="str" cm="1">
        <f t="array" ref="BK121">IF(AW121="","",IF($AJ121="",0,_xlfn.LET(_xlpm.d,IFERROR(--'Sales and count'!$F$2:$CB$2,0),SUMPRODUCT(('Sales and count'!$G$3:$CC$3="Transactions")*(_xlpm.d&gt;=BK$6)*(_xlpm.d&lt;=BK$7),INDEX('Sales and count'!$G$4:$CC$300,$AJ121,0)))))</f>
        <v/>
      </c>
      <c r="BL121" s="350" t="str" cm="1">
        <f t="array" ref="BL121">IF(AX121="","",IF($AJ121="",0,_xlfn.LET(_xlpm.d,IFERROR(--'Sales and count'!$F$2:$CB$2,0),SUMPRODUCT(('Sales and count'!$G$3:$CC$3="Transactions")*(_xlpm.d&gt;=BL$6)*(_xlpm.d&lt;=BL$7),INDEX('Sales and count'!$G$4:$CC$300,$AJ121,0)))))</f>
        <v/>
      </c>
      <c r="BM121" s="350" t="str" cm="1">
        <f t="array" ref="BM121">IF(AK121="","",IF($AJ121="",0,_xlfn.LET(_xlpm.d,IFERROR(--'Sales and count'!$G$2:$CC$2,0),SUMPRODUCT(('Sales and count'!$G$3:$CC$3="Total")*(_xlpm.d&gt;=BM$6)*(_xlpm.d&lt;=BM$7),INDEX('Sales and count'!$G$4:$CC$300,$AJ121,0)))))</f>
        <v/>
      </c>
      <c r="BN121" s="350" t="str" cm="1">
        <f t="array" ref="BN121">IF(AL121="","",IF($AJ121="",0,_xlfn.LET(_xlpm.d,IFERROR(--'Sales and count'!$G$2:$CC$2,0),SUMPRODUCT(('Sales and count'!$G$3:$CC$3="Total")*(_xlpm.d&gt;=BN$6)*(_xlpm.d&lt;=BN$7),INDEX('Sales and count'!$G$4:$CC$300,$AJ121,0)))))</f>
        <v/>
      </c>
      <c r="BO121" s="350" t="str" cm="1">
        <f t="array" ref="BO121">IF(AM121="","",IF($AJ121="",0,_xlfn.LET(_xlpm.d,IFERROR(--'Sales and count'!$G$2:$CC$2,0),SUMPRODUCT(('Sales and count'!$G$3:$CC$3="Total")*(_xlpm.d&gt;=BO$6)*(_xlpm.d&lt;=BO$7),INDEX('Sales and count'!$G$4:$CC$300,$AJ121,0)))))</f>
        <v/>
      </c>
      <c r="BP121" s="350" t="str" cm="1">
        <f t="array" ref="BP121">IF(AN121="","",IF($AJ121="",0,_xlfn.LET(_xlpm.d,IFERROR(--'Sales and count'!$G$2:$CC$2,0),SUMPRODUCT(('Sales and count'!$G$3:$CC$3="Total")*(_xlpm.d&gt;=BP$6)*(_xlpm.d&lt;=BP$7),INDEX('Sales and count'!$G$4:$CC$300,$AJ121,0)))))</f>
        <v/>
      </c>
      <c r="BQ121" s="350" t="str" cm="1">
        <f t="array" ref="BQ121">IF(AO121="","",IF($AJ121="",0,_xlfn.LET(_xlpm.d,IFERROR(--'Sales and count'!$G$2:$CC$2,0),SUMPRODUCT(('Sales and count'!$G$3:$CC$3="Total")*(_xlpm.d&gt;=BQ$6)*(_xlpm.d&lt;=BQ$7),INDEX('Sales and count'!$G$4:$CC$300,$AJ121,0)))))</f>
        <v/>
      </c>
      <c r="BR121" s="350" t="str" cm="1">
        <f t="array" ref="BR121">IF(AP121="","",IF($AJ121="",0,_xlfn.LET(_xlpm.d,IFERROR(--'Sales and count'!$G$2:$CC$2,0),SUMPRODUCT(('Sales and count'!$G$3:$CC$3="Total")*(_xlpm.d&gt;=BR$6)*(_xlpm.d&lt;=BR$7),INDEX('Sales and count'!$G$4:$CC$300,$AJ121,0)))))</f>
        <v/>
      </c>
      <c r="BS121" s="350" t="str" cm="1">
        <f t="array" ref="BS121">IF(AQ121="","",IF($AJ121="",0,_xlfn.LET(_xlpm.d,IFERROR(--'Sales and count'!$G$2:$CC$2,0),SUMPRODUCT(('Sales and count'!$G$3:$CC$3="Total")*(_xlpm.d&gt;=BS$6)*(_xlpm.d&lt;=BS$7),INDEX('Sales and count'!$G$4:$CC$300,$AJ121,0)))))</f>
        <v/>
      </c>
      <c r="BT121" s="350" t="str" cm="1">
        <f t="array" ref="BT121">IF(AR121="","",IF($AJ121="",0,_xlfn.LET(_xlpm.d,IFERROR(--'Sales and count'!$G$2:$CC$2,0),SUMPRODUCT(('Sales and count'!$G$3:$CC$3="Total")*(_xlpm.d&gt;=BT$6)*(_xlpm.d&lt;=BT$7),INDEX('Sales and count'!$G$4:$CC$300,$AJ121,0)))))</f>
        <v/>
      </c>
      <c r="BU121" s="350" t="str" cm="1">
        <f t="array" ref="BU121">IF(AS121="","",IF($AJ121="",0,_xlfn.LET(_xlpm.d,IFERROR(--'Sales and count'!$G$2:$CC$2,0),SUMPRODUCT(('Sales and count'!$G$3:$CC$3="Total")*(_xlpm.d&gt;=BU$6)*(_xlpm.d&lt;=BU$7),INDEX('Sales and count'!$G$4:$CC$300,$AJ121,0)))))</f>
        <v/>
      </c>
      <c r="BV121" s="350" t="str" cm="1">
        <f t="array" ref="BV121">IF(AT121="","",IF($AJ121="",0,_xlfn.LET(_xlpm.d,IFERROR(--'Sales and count'!$G$2:$CC$2,0),SUMPRODUCT(('Sales and count'!$G$3:$CC$3="Total")*(_xlpm.d&gt;=BV$6)*(_xlpm.d&lt;=BV$7),INDEX('Sales and count'!$G$4:$CC$300,$AJ121,0)))))</f>
        <v/>
      </c>
      <c r="BW121" s="350" t="str" cm="1">
        <f t="array" ref="BW121">IF(AU121="","",IF($AJ121="",0,_xlfn.LET(_xlpm.d,IFERROR(--'Sales and count'!$G$2:$CC$2,0),SUMPRODUCT(('Sales and count'!$G$3:$CC$3="Total")*(_xlpm.d&gt;=BW$6)*(_xlpm.d&lt;=BW$7),INDEX('Sales and count'!$G$4:$CC$300,$AJ121,0)))))</f>
        <v/>
      </c>
      <c r="BX121" s="350" t="str" cm="1">
        <f t="array" ref="BX121">IF(AV121="","",IF($AJ121="",0,_xlfn.LET(_xlpm.d,IFERROR(--'Sales and count'!$G$2:$CC$2,0),SUMPRODUCT(('Sales and count'!$G$3:$CC$3="Total")*(_xlpm.d&gt;=BX$6)*(_xlpm.d&lt;=BX$7),INDEX('Sales and count'!$G$4:$CC$300,$AJ121,0)))))</f>
        <v/>
      </c>
      <c r="BY121" s="350" t="str" cm="1">
        <f t="array" ref="BY121">IF(AW121="","",IF($AJ121="",0,_xlfn.LET(_xlpm.d,IFERROR(--'Sales and count'!$G$2:$CC$2,0),SUMPRODUCT(('Sales and count'!$G$3:$CC$3="Total")*(_xlpm.d&gt;=BY$6)*(_xlpm.d&lt;=BY$7),INDEX('Sales and count'!$G$4:$CC$300,$AJ121,0)))))</f>
        <v/>
      </c>
      <c r="BZ121" s="350" t="str" cm="1">
        <f t="array" ref="BZ121">IF(AX121="","",IF($AJ121="",0,_xlfn.LET(_xlpm.d,IFERROR(--'Sales and count'!$G$2:$CC$2,0),SUMPRODUCT(('Sales and count'!$G$3:$CC$3="Total")*(_xlpm.d&gt;=BZ$6)*(_xlpm.d&lt;=BZ$7),INDEX('Sales and count'!$G$4:$CC$300,$AJ121,0)))))</f>
        <v/>
      </c>
    </row>
    <row r="122" spans="1:78" x14ac:dyDescent="0.25">
      <c r="A122" s="356"/>
      <c r="B122" s="356" t="str" cm="1">
        <f t="array" ref="B122">IF($A122="","",_xlfn.XLOOKUP($A122,TRIM(Footfall!$B$5:$B$301&amp;""),Footfall!$A$5:$A$301,""))</f>
        <v/>
      </c>
      <c r="C122" s="356" t="str" cm="1">
        <f t="array" ref="C122">IF($A122="","",_xlfn.XLOOKUP($A122,TRIM('Sales and count'!$A$4:$A$300&amp;""),'Sales and count'!$C$4:$C$300,"Not set"))</f>
        <v/>
      </c>
      <c r="D122" s="357" t="str">
        <f t="shared" si="81"/>
        <v/>
      </c>
      <c r="E122" s="357" t="str">
        <f t="shared" si="82"/>
        <v/>
      </c>
      <c r="F122" s="357" t="str">
        <f t="shared" si="83"/>
        <v/>
      </c>
      <c r="G122" s="357" t="str">
        <f t="shared" si="84"/>
        <v/>
      </c>
      <c r="H122" s="357" t="str">
        <f t="shared" si="85"/>
        <v/>
      </c>
      <c r="I122" s="357" t="str">
        <f t="shared" si="86"/>
        <v/>
      </c>
      <c r="J122" s="357" t="str">
        <f t="shared" si="87"/>
        <v/>
      </c>
      <c r="K122" s="357" t="str">
        <f t="shared" si="88"/>
        <v/>
      </c>
      <c r="L122" s="357" t="str">
        <f t="shared" si="89"/>
        <v/>
      </c>
      <c r="M122" s="357" t="str">
        <f t="shared" si="90"/>
        <v/>
      </c>
      <c r="N122" s="357" t="str">
        <f t="shared" si="91"/>
        <v/>
      </c>
      <c r="O122" s="357" t="str">
        <f t="shared" si="92"/>
        <v/>
      </c>
      <c r="P122" s="357" t="str">
        <f t="shared" si="93"/>
        <v/>
      </c>
      <c r="Q122" s="357" t="str">
        <f t="shared" si="94"/>
        <v/>
      </c>
      <c r="R122" s="358" t="str" cm="1">
        <f t="array" ref="R122">IF(OR($A122="",D122=""),"",IFERROR(LOOKUP(2,1/(E122:Q122&lt;&gt;""),E122:Q122)-D122,""))</f>
        <v/>
      </c>
      <c r="S122" s="349"/>
      <c r="T122" s="362" t="str">
        <f t="shared" si="95"/>
        <v/>
      </c>
      <c r="U122" s="362" t="str">
        <f t="shared" si="96"/>
        <v/>
      </c>
      <c r="V122" s="362" t="str">
        <f t="shared" si="97"/>
        <v/>
      </c>
      <c r="W122" s="362" t="str">
        <f t="shared" si="98"/>
        <v/>
      </c>
      <c r="X122" s="362" t="str">
        <f t="shared" si="99"/>
        <v/>
      </c>
      <c r="Y122" s="362" t="str">
        <f t="shared" si="100"/>
        <v/>
      </c>
      <c r="Z122" s="362" t="str">
        <f t="shared" si="101"/>
        <v/>
      </c>
      <c r="AA122" s="362" t="str">
        <f t="shared" si="102"/>
        <v/>
      </c>
      <c r="AB122" s="362" t="str">
        <f t="shared" si="103"/>
        <v/>
      </c>
      <c r="AC122" s="362" t="str">
        <f t="shared" si="104"/>
        <v/>
      </c>
      <c r="AD122" s="362" t="str">
        <f t="shared" si="105"/>
        <v/>
      </c>
      <c r="AE122" s="362" t="str">
        <f t="shared" si="106"/>
        <v/>
      </c>
      <c r="AF122" s="362" t="str">
        <f t="shared" si="107"/>
        <v/>
      </c>
      <c r="AG122" s="362" t="str">
        <f t="shared" si="108"/>
        <v/>
      </c>
      <c r="AH122" s="363" t="str" cm="1">
        <f t="array" ref="AH122">IF(OR($A122="",T122=""),"",IFERROR(LOOKUP(2,1/(U122:AG122&lt;&gt;""),U122:AG122)-T122,""))</f>
        <v/>
      </c>
      <c r="AI122" s="349"/>
      <c r="AJ122" s="349" t="str" cm="1">
        <f t="array" ref="AJ122">IF($A122="","",IFERROR(MATCH($A122,TRIM('Sales and count'!$A$4:$A$300&amp;""),0),""))</f>
        <v/>
      </c>
      <c r="AK122" s="350" t="str" cm="1">
        <f t="array" ref="AK122">IF(OR($A122="",AK$6=""),"",IFERROR(INDEX(Footfall!$C$5:$BZ$301,MATCH($A122,TRIM(Footfall!$B$5:$B$301&amp;""),0),AK$5),0))</f>
        <v/>
      </c>
      <c r="AL122" s="350" t="str" cm="1">
        <f t="array" ref="AL122">IF(OR($A122="",AL$6=""),"",IFERROR(INDEX(Footfall!$C$5:$BZ$301,MATCH($A122,TRIM(Footfall!$B$5:$B$301&amp;""),0),AL$5),0))</f>
        <v/>
      </c>
      <c r="AM122" s="350" t="str" cm="1">
        <f t="array" ref="AM122">IF(OR($A122="",AM$6=""),"",IFERROR(INDEX(Footfall!$C$5:$BZ$301,MATCH($A122,TRIM(Footfall!$B$5:$B$301&amp;""),0),AM$5),0))</f>
        <v/>
      </c>
      <c r="AN122" s="350" t="str" cm="1">
        <f t="array" ref="AN122">IF(OR($A122="",AN$6=""),"",IFERROR(INDEX(Footfall!$C$5:$BZ$301,MATCH($A122,TRIM(Footfall!$B$5:$B$301&amp;""),0),AN$5),0))</f>
        <v/>
      </c>
      <c r="AO122" s="350" t="str" cm="1">
        <f t="array" ref="AO122">IF(OR($A122="",AO$6=""),"",IFERROR(INDEX(Footfall!$C$5:$BZ$301,MATCH($A122,TRIM(Footfall!$B$5:$B$301&amp;""),0),AO$5),0))</f>
        <v/>
      </c>
      <c r="AP122" s="350" t="str" cm="1">
        <f t="array" ref="AP122">IF(OR($A122="",AP$6=""),"",IFERROR(INDEX(Footfall!$C$5:$BZ$301,MATCH($A122,TRIM(Footfall!$B$5:$B$301&amp;""),0),AP$5),0))</f>
        <v/>
      </c>
      <c r="AQ122" s="350" t="str" cm="1">
        <f t="array" ref="AQ122">IF(OR($A122="",AQ$6=""),"",IFERROR(INDEX(Footfall!$C$5:$BZ$301,MATCH($A122,TRIM(Footfall!$B$5:$B$301&amp;""),0),AQ$5),0))</f>
        <v/>
      </c>
      <c r="AR122" s="350" t="str" cm="1">
        <f t="array" ref="AR122">IF(OR($A122="",AR$6=""),"",IFERROR(INDEX(Footfall!$C$5:$BZ$301,MATCH($A122,TRIM(Footfall!$B$5:$B$301&amp;""),0),AR$5),0))</f>
        <v/>
      </c>
      <c r="AS122" s="350" t="str" cm="1">
        <f t="array" ref="AS122">IF(OR($A122="",AS$6=""),"",IFERROR(INDEX(Footfall!$C$5:$BZ$301,MATCH($A122,TRIM(Footfall!$B$5:$B$301&amp;""),0),AS$5),0))</f>
        <v/>
      </c>
      <c r="AT122" s="350" t="str" cm="1">
        <f t="array" ref="AT122">IF(OR($A122="",AT$6=""),"",IFERROR(INDEX(Footfall!$C$5:$BZ$301,MATCH($A122,TRIM(Footfall!$B$5:$B$301&amp;""),0),AT$5),0))</f>
        <v/>
      </c>
      <c r="AU122" s="350" t="str" cm="1">
        <f t="array" ref="AU122">IF(OR($A122="",AU$6=""),"",IFERROR(INDEX(Footfall!$C$5:$BZ$301,MATCH($A122,TRIM(Footfall!$B$5:$B$301&amp;""),0),AU$5),0))</f>
        <v/>
      </c>
      <c r="AV122" s="350" t="str" cm="1">
        <f t="array" ref="AV122">IF(OR($A122="",AV$6=""),"",IFERROR(INDEX(Footfall!$C$5:$BZ$301,MATCH($A122,TRIM(Footfall!$B$5:$B$301&amp;""),0),AV$5),0))</f>
        <v/>
      </c>
      <c r="AW122" s="350" t="str" cm="1">
        <f t="array" ref="AW122">IF(OR($A122="",AW$6=""),"",IFERROR(INDEX(Footfall!$C$5:$BZ$301,MATCH($A122,TRIM(Footfall!$B$5:$B$301&amp;""),0),AW$5),0))</f>
        <v/>
      </c>
      <c r="AX122" s="350" t="str" cm="1">
        <f t="array" ref="AX122">IF(OR($A122="",AX$6=""),"",IFERROR(INDEX(Footfall!$C$5:$BZ$301,MATCH($A122,TRIM(Footfall!$B$5:$B$301&amp;""),0),AX$5),0))</f>
        <v/>
      </c>
      <c r="AY122" s="350" t="str" cm="1">
        <f t="array" ref="AY122">IF(AK122="","",IF($AJ122="",0,_xlfn.LET(_xlpm.d,IFERROR(--'Sales and count'!$F$2:$CB$2,0),SUMPRODUCT(('Sales and count'!$G$3:$CC$3="Transactions")*(_xlpm.d&gt;=AY$6)*(_xlpm.d&lt;=AY$7),INDEX('Sales and count'!$G$4:$CC$300,$AJ122,0)))))</f>
        <v/>
      </c>
      <c r="AZ122" s="350" t="str" cm="1">
        <f t="array" ref="AZ122">IF(AL122="","",IF($AJ122="",0,_xlfn.LET(_xlpm.d,IFERROR(--'Sales and count'!$F$2:$CB$2,0),SUMPRODUCT(('Sales and count'!$G$3:$CC$3="Transactions")*(_xlpm.d&gt;=AZ$6)*(_xlpm.d&lt;=AZ$7),INDEX('Sales and count'!$G$4:$CC$300,$AJ122,0)))))</f>
        <v/>
      </c>
      <c r="BA122" s="350" t="str" cm="1">
        <f t="array" ref="BA122">IF(AM122="","",IF($AJ122="",0,_xlfn.LET(_xlpm.d,IFERROR(--'Sales and count'!$F$2:$CB$2,0),SUMPRODUCT(('Sales and count'!$G$3:$CC$3="Transactions")*(_xlpm.d&gt;=BA$6)*(_xlpm.d&lt;=BA$7),INDEX('Sales and count'!$G$4:$CC$300,$AJ122,0)))))</f>
        <v/>
      </c>
      <c r="BB122" s="350" t="str" cm="1">
        <f t="array" ref="BB122">IF(AN122="","",IF($AJ122="",0,_xlfn.LET(_xlpm.d,IFERROR(--'Sales and count'!$F$2:$CB$2,0),SUMPRODUCT(('Sales and count'!$G$3:$CC$3="Transactions")*(_xlpm.d&gt;=BB$6)*(_xlpm.d&lt;=BB$7),INDEX('Sales and count'!$G$4:$CC$300,$AJ122,0)))))</f>
        <v/>
      </c>
      <c r="BC122" s="350" t="str" cm="1">
        <f t="array" ref="BC122">IF(AO122="","",IF($AJ122="",0,_xlfn.LET(_xlpm.d,IFERROR(--'Sales and count'!$F$2:$CB$2,0),SUMPRODUCT(('Sales and count'!$G$3:$CC$3="Transactions")*(_xlpm.d&gt;=BC$6)*(_xlpm.d&lt;=BC$7),INDEX('Sales and count'!$G$4:$CC$300,$AJ122,0)))))</f>
        <v/>
      </c>
      <c r="BD122" s="350" t="str" cm="1">
        <f t="array" ref="BD122">IF(AP122="","",IF($AJ122="",0,_xlfn.LET(_xlpm.d,IFERROR(--'Sales and count'!$F$2:$CB$2,0),SUMPRODUCT(('Sales and count'!$G$3:$CC$3="Transactions")*(_xlpm.d&gt;=BD$6)*(_xlpm.d&lt;=BD$7),INDEX('Sales and count'!$G$4:$CC$300,$AJ122,0)))))</f>
        <v/>
      </c>
      <c r="BE122" s="350" t="str" cm="1">
        <f t="array" ref="BE122">IF(AQ122="","",IF($AJ122="",0,_xlfn.LET(_xlpm.d,IFERROR(--'Sales and count'!$F$2:$CB$2,0),SUMPRODUCT(('Sales and count'!$G$3:$CC$3="Transactions")*(_xlpm.d&gt;=BE$6)*(_xlpm.d&lt;=BE$7),INDEX('Sales and count'!$G$4:$CC$300,$AJ122,0)))))</f>
        <v/>
      </c>
      <c r="BF122" s="350" t="str" cm="1">
        <f t="array" ref="BF122">IF(AR122="","",IF($AJ122="",0,_xlfn.LET(_xlpm.d,IFERROR(--'Sales and count'!$F$2:$CB$2,0),SUMPRODUCT(('Sales and count'!$G$3:$CC$3="Transactions")*(_xlpm.d&gt;=BF$6)*(_xlpm.d&lt;=BF$7),INDEX('Sales and count'!$G$4:$CC$300,$AJ122,0)))))</f>
        <v/>
      </c>
      <c r="BG122" s="350" t="str" cm="1">
        <f t="array" ref="BG122">IF(AS122="","",IF($AJ122="",0,_xlfn.LET(_xlpm.d,IFERROR(--'Sales and count'!$F$2:$CB$2,0),SUMPRODUCT(('Sales and count'!$G$3:$CC$3="Transactions")*(_xlpm.d&gt;=BG$6)*(_xlpm.d&lt;=BG$7),INDEX('Sales and count'!$G$4:$CC$300,$AJ122,0)))))</f>
        <v/>
      </c>
      <c r="BH122" s="350" t="str" cm="1">
        <f t="array" ref="BH122">IF(AT122="","",IF($AJ122="",0,_xlfn.LET(_xlpm.d,IFERROR(--'Sales and count'!$F$2:$CB$2,0),SUMPRODUCT(('Sales and count'!$G$3:$CC$3="Transactions")*(_xlpm.d&gt;=BH$6)*(_xlpm.d&lt;=BH$7),INDEX('Sales and count'!$G$4:$CC$300,$AJ122,0)))))</f>
        <v/>
      </c>
      <c r="BI122" s="350" t="str" cm="1">
        <f t="array" ref="BI122">IF(AU122="","",IF($AJ122="",0,_xlfn.LET(_xlpm.d,IFERROR(--'Sales and count'!$F$2:$CB$2,0),SUMPRODUCT(('Sales and count'!$G$3:$CC$3="Transactions")*(_xlpm.d&gt;=BI$6)*(_xlpm.d&lt;=BI$7),INDEX('Sales and count'!$G$4:$CC$300,$AJ122,0)))))</f>
        <v/>
      </c>
      <c r="BJ122" s="350" t="str" cm="1">
        <f t="array" ref="BJ122">IF(AV122="","",IF($AJ122="",0,_xlfn.LET(_xlpm.d,IFERROR(--'Sales and count'!$F$2:$CB$2,0),SUMPRODUCT(('Sales and count'!$G$3:$CC$3="Transactions")*(_xlpm.d&gt;=BJ$6)*(_xlpm.d&lt;=BJ$7),INDEX('Sales and count'!$G$4:$CC$300,$AJ122,0)))))</f>
        <v/>
      </c>
      <c r="BK122" s="350" t="str" cm="1">
        <f t="array" ref="BK122">IF(AW122="","",IF($AJ122="",0,_xlfn.LET(_xlpm.d,IFERROR(--'Sales and count'!$F$2:$CB$2,0),SUMPRODUCT(('Sales and count'!$G$3:$CC$3="Transactions")*(_xlpm.d&gt;=BK$6)*(_xlpm.d&lt;=BK$7),INDEX('Sales and count'!$G$4:$CC$300,$AJ122,0)))))</f>
        <v/>
      </c>
      <c r="BL122" s="350" t="str" cm="1">
        <f t="array" ref="BL122">IF(AX122="","",IF($AJ122="",0,_xlfn.LET(_xlpm.d,IFERROR(--'Sales and count'!$F$2:$CB$2,0),SUMPRODUCT(('Sales and count'!$G$3:$CC$3="Transactions")*(_xlpm.d&gt;=BL$6)*(_xlpm.d&lt;=BL$7),INDEX('Sales and count'!$G$4:$CC$300,$AJ122,0)))))</f>
        <v/>
      </c>
      <c r="BM122" s="350" t="str" cm="1">
        <f t="array" ref="BM122">IF(AK122="","",IF($AJ122="",0,_xlfn.LET(_xlpm.d,IFERROR(--'Sales and count'!$G$2:$CC$2,0),SUMPRODUCT(('Sales and count'!$G$3:$CC$3="Total")*(_xlpm.d&gt;=BM$6)*(_xlpm.d&lt;=BM$7),INDEX('Sales and count'!$G$4:$CC$300,$AJ122,0)))))</f>
        <v/>
      </c>
      <c r="BN122" s="350" t="str" cm="1">
        <f t="array" ref="BN122">IF(AL122="","",IF($AJ122="",0,_xlfn.LET(_xlpm.d,IFERROR(--'Sales and count'!$G$2:$CC$2,0),SUMPRODUCT(('Sales and count'!$G$3:$CC$3="Total")*(_xlpm.d&gt;=BN$6)*(_xlpm.d&lt;=BN$7),INDEX('Sales and count'!$G$4:$CC$300,$AJ122,0)))))</f>
        <v/>
      </c>
      <c r="BO122" s="350" t="str" cm="1">
        <f t="array" ref="BO122">IF(AM122="","",IF($AJ122="",0,_xlfn.LET(_xlpm.d,IFERROR(--'Sales and count'!$G$2:$CC$2,0),SUMPRODUCT(('Sales and count'!$G$3:$CC$3="Total")*(_xlpm.d&gt;=BO$6)*(_xlpm.d&lt;=BO$7),INDEX('Sales and count'!$G$4:$CC$300,$AJ122,0)))))</f>
        <v/>
      </c>
      <c r="BP122" s="350" t="str" cm="1">
        <f t="array" ref="BP122">IF(AN122="","",IF($AJ122="",0,_xlfn.LET(_xlpm.d,IFERROR(--'Sales and count'!$G$2:$CC$2,0),SUMPRODUCT(('Sales and count'!$G$3:$CC$3="Total")*(_xlpm.d&gt;=BP$6)*(_xlpm.d&lt;=BP$7),INDEX('Sales and count'!$G$4:$CC$300,$AJ122,0)))))</f>
        <v/>
      </c>
      <c r="BQ122" s="350" t="str" cm="1">
        <f t="array" ref="BQ122">IF(AO122="","",IF($AJ122="",0,_xlfn.LET(_xlpm.d,IFERROR(--'Sales and count'!$G$2:$CC$2,0),SUMPRODUCT(('Sales and count'!$G$3:$CC$3="Total")*(_xlpm.d&gt;=BQ$6)*(_xlpm.d&lt;=BQ$7),INDEX('Sales and count'!$G$4:$CC$300,$AJ122,0)))))</f>
        <v/>
      </c>
      <c r="BR122" s="350" t="str" cm="1">
        <f t="array" ref="BR122">IF(AP122="","",IF($AJ122="",0,_xlfn.LET(_xlpm.d,IFERROR(--'Sales and count'!$G$2:$CC$2,0),SUMPRODUCT(('Sales and count'!$G$3:$CC$3="Total")*(_xlpm.d&gt;=BR$6)*(_xlpm.d&lt;=BR$7),INDEX('Sales and count'!$G$4:$CC$300,$AJ122,0)))))</f>
        <v/>
      </c>
      <c r="BS122" s="350" t="str" cm="1">
        <f t="array" ref="BS122">IF(AQ122="","",IF($AJ122="",0,_xlfn.LET(_xlpm.d,IFERROR(--'Sales and count'!$G$2:$CC$2,0),SUMPRODUCT(('Sales and count'!$G$3:$CC$3="Total")*(_xlpm.d&gt;=BS$6)*(_xlpm.d&lt;=BS$7),INDEX('Sales and count'!$G$4:$CC$300,$AJ122,0)))))</f>
        <v/>
      </c>
      <c r="BT122" s="350" t="str" cm="1">
        <f t="array" ref="BT122">IF(AR122="","",IF($AJ122="",0,_xlfn.LET(_xlpm.d,IFERROR(--'Sales and count'!$G$2:$CC$2,0),SUMPRODUCT(('Sales and count'!$G$3:$CC$3="Total")*(_xlpm.d&gt;=BT$6)*(_xlpm.d&lt;=BT$7),INDEX('Sales and count'!$G$4:$CC$300,$AJ122,0)))))</f>
        <v/>
      </c>
      <c r="BU122" s="350" t="str" cm="1">
        <f t="array" ref="BU122">IF(AS122="","",IF($AJ122="",0,_xlfn.LET(_xlpm.d,IFERROR(--'Sales and count'!$G$2:$CC$2,0),SUMPRODUCT(('Sales and count'!$G$3:$CC$3="Total")*(_xlpm.d&gt;=BU$6)*(_xlpm.d&lt;=BU$7),INDEX('Sales and count'!$G$4:$CC$300,$AJ122,0)))))</f>
        <v/>
      </c>
      <c r="BV122" s="350" t="str" cm="1">
        <f t="array" ref="BV122">IF(AT122="","",IF($AJ122="",0,_xlfn.LET(_xlpm.d,IFERROR(--'Sales and count'!$G$2:$CC$2,0),SUMPRODUCT(('Sales and count'!$G$3:$CC$3="Total")*(_xlpm.d&gt;=BV$6)*(_xlpm.d&lt;=BV$7),INDEX('Sales and count'!$G$4:$CC$300,$AJ122,0)))))</f>
        <v/>
      </c>
      <c r="BW122" s="350" t="str" cm="1">
        <f t="array" ref="BW122">IF(AU122="","",IF($AJ122="",0,_xlfn.LET(_xlpm.d,IFERROR(--'Sales and count'!$G$2:$CC$2,0),SUMPRODUCT(('Sales and count'!$G$3:$CC$3="Total")*(_xlpm.d&gt;=BW$6)*(_xlpm.d&lt;=BW$7),INDEX('Sales and count'!$G$4:$CC$300,$AJ122,0)))))</f>
        <v/>
      </c>
      <c r="BX122" s="350" t="str" cm="1">
        <f t="array" ref="BX122">IF(AV122="","",IF($AJ122="",0,_xlfn.LET(_xlpm.d,IFERROR(--'Sales and count'!$G$2:$CC$2,0),SUMPRODUCT(('Sales and count'!$G$3:$CC$3="Total")*(_xlpm.d&gt;=BX$6)*(_xlpm.d&lt;=BX$7),INDEX('Sales and count'!$G$4:$CC$300,$AJ122,0)))))</f>
        <v/>
      </c>
      <c r="BY122" s="350" t="str" cm="1">
        <f t="array" ref="BY122">IF(AW122="","",IF($AJ122="",0,_xlfn.LET(_xlpm.d,IFERROR(--'Sales and count'!$G$2:$CC$2,0),SUMPRODUCT(('Sales and count'!$G$3:$CC$3="Total")*(_xlpm.d&gt;=BY$6)*(_xlpm.d&lt;=BY$7),INDEX('Sales and count'!$G$4:$CC$300,$AJ122,0)))))</f>
        <v/>
      </c>
      <c r="BZ122" s="350" t="str" cm="1">
        <f t="array" ref="BZ122">IF(AX122="","",IF($AJ122="",0,_xlfn.LET(_xlpm.d,IFERROR(--'Sales and count'!$G$2:$CC$2,0),SUMPRODUCT(('Sales and count'!$G$3:$CC$3="Total")*(_xlpm.d&gt;=BZ$6)*(_xlpm.d&lt;=BZ$7),INDEX('Sales and count'!$G$4:$CC$300,$AJ122,0)))))</f>
        <v/>
      </c>
    </row>
    <row r="123" spans="1:78" x14ac:dyDescent="0.25">
      <c r="A123" s="356"/>
      <c r="B123" s="356" t="str" cm="1">
        <f t="array" ref="B123">IF($A123="","",_xlfn.XLOOKUP($A123,TRIM(Footfall!$B$5:$B$301&amp;""),Footfall!$A$5:$A$301,""))</f>
        <v/>
      </c>
      <c r="C123" s="356" t="str" cm="1">
        <f t="array" ref="C123">IF($A123="","",_xlfn.XLOOKUP($A123,TRIM('Sales and count'!$A$4:$A$300&amp;""),'Sales and count'!$C$4:$C$300,"Not set"))</f>
        <v/>
      </c>
      <c r="D123" s="357" t="str">
        <f t="shared" si="81"/>
        <v/>
      </c>
      <c r="E123" s="357" t="str">
        <f t="shared" si="82"/>
        <v/>
      </c>
      <c r="F123" s="357" t="str">
        <f t="shared" si="83"/>
        <v/>
      </c>
      <c r="G123" s="357" t="str">
        <f t="shared" si="84"/>
        <v/>
      </c>
      <c r="H123" s="357" t="str">
        <f t="shared" si="85"/>
        <v/>
      </c>
      <c r="I123" s="357" t="str">
        <f t="shared" si="86"/>
        <v/>
      </c>
      <c r="J123" s="357" t="str">
        <f t="shared" si="87"/>
        <v/>
      </c>
      <c r="K123" s="357" t="str">
        <f t="shared" si="88"/>
        <v/>
      </c>
      <c r="L123" s="357" t="str">
        <f t="shared" si="89"/>
        <v/>
      </c>
      <c r="M123" s="357" t="str">
        <f t="shared" si="90"/>
        <v/>
      </c>
      <c r="N123" s="357" t="str">
        <f t="shared" si="91"/>
        <v/>
      </c>
      <c r="O123" s="357" t="str">
        <f t="shared" si="92"/>
        <v/>
      </c>
      <c r="P123" s="357" t="str">
        <f t="shared" si="93"/>
        <v/>
      </c>
      <c r="Q123" s="357" t="str">
        <f t="shared" si="94"/>
        <v/>
      </c>
      <c r="R123" s="358" t="str" cm="1">
        <f t="array" ref="R123">IF(OR($A123="",D123=""),"",IFERROR(LOOKUP(2,1/(E123:Q123&lt;&gt;""),E123:Q123)-D123,""))</f>
        <v/>
      </c>
      <c r="S123" s="349"/>
      <c r="T123" s="362" t="str">
        <f t="shared" si="95"/>
        <v/>
      </c>
      <c r="U123" s="362" t="str">
        <f t="shared" si="96"/>
        <v/>
      </c>
      <c r="V123" s="362" t="str">
        <f t="shared" si="97"/>
        <v/>
      </c>
      <c r="W123" s="362" t="str">
        <f t="shared" si="98"/>
        <v/>
      </c>
      <c r="X123" s="362" t="str">
        <f t="shared" si="99"/>
        <v/>
      </c>
      <c r="Y123" s="362" t="str">
        <f t="shared" si="100"/>
        <v/>
      </c>
      <c r="Z123" s="362" t="str">
        <f t="shared" si="101"/>
        <v/>
      </c>
      <c r="AA123" s="362" t="str">
        <f t="shared" si="102"/>
        <v/>
      </c>
      <c r="AB123" s="362" t="str">
        <f t="shared" si="103"/>
        <v/>
      </c>
      <c r="AC123" s="362" t="str">
        <f t="shared" si="104"/>
        <v/>
      </c>
      <c r="AD123" s="362" t="str">
        <f t="shared" si="105"/>
        <v/>
      </c>
      <c r="AE123" s="362" t="str">
        <f t="shared" si="106"/>
        <v/>
      </c>
      <c r="AF123" s="362" t="str">
        <f t="shared" si="107"/>
        <v/>
      </c>
      <c r="AG123" s="362" t="str">
        <f t="shared" si="108"/>
        <v/>
      </c>
      <c r="AH123" s="363" t="str" cm="1">
        <f t="array" ref="AH123">IF(OR($A123="",T123=""),"",IFERROR(LOOKUP(2,1/(U123:AG123&lt;&gt;""),U123:AG123)-T123,""))</f>
        <v/>
      </c>
      <c r="AI123" s="349"/>
      <c r="AJ123" s="349" t="str" cm="1">
        <f t="array" ref="AJ123">IF($A123="","",IFERROR(MATCH($A123,TRIM('Sales and count'!$A$4:$A$300&amp;""),0),""))</f>
        <v/>
      </c>
      <c r="AK123" s="350" t="str" cm="1">
        <f t="array" ref="AK123">IF(OR($A123="",AK$6=""),"",IFERROR(INDEX(Footfall!$C$5:$BZ$301,MATCH($A123,TRIM(Footfall!$B$5:$B$301&amp;""),0),AK$5),0))</f>
        <v/>
      </c>
      <c r="AL123" s="350" t="str" cm="1">
        <f t="array" ref="AL123">IF(OR($A123="",AL$6=""),"",IFERROR(INDEX(Footfall!$C$5:$BZ$301,MATCH($A123,TRIM(Footfall!$B$5:$B$301&amp;""),0),AL$5),0))</f>
        <v/>
      </c>
      <c r="AM123" s="350" t="str" cm="1">
        <f t="array" ref="AM123">IF(OR($A123="",AM$6=""),"",IFERROR(INDEX(Footfall!$C$5:$BZ$301,MATCH($A123,TRIM(Footfall!$B$5:$B$301&amp;""),0),AM$5),0))</f>
        <v/>
      </c>
      <c r="AN123" s="350" t="str" cm="1">
        <f t="array" ref="AN123">IF(OR($A123="",AN$6=""),"",IFERROR(INDEX(Footfall!$C$5:$BZ$301,MATCH($A123,TRIM(Footfall!$B$5:$B$301&amp;""),0),AN$5),0))</f>
        <v/>
      </c>
      <c r="AO123" s="350" t="str" cm="1">
        <f t="array" ref="AO123">IF(OR($A123="",AO$6=""),"",IFERROR(INDEX(Footfall!$C$5:$BZ$301,MATCH($A123,TRIM(Footfall!$B$5:$B$301&amp;""),0),AO$5),0))</f>
        <v/>
      </c>
      <c r="AP123" s="350" t="str" cm="1">
        <f t="array" ref="AP123">IF(OR($A123="",AP$6=""),"",IFERROR(INDEX(Footfall!$C$5:$BZ$301,MATCH($A123,TRIM(Footfall!$B$5:$B$301&amp;""),0),AP$5),0))</f>
        <v/>
      </c>
      <c r="AQ123" s="350" t="str" cm="1">
        <f t="array" ref="AQ123">IF(OR($A123="",AQ$6=""),"",IFERROR(INDEX(Footfall!$C$5:$BZ$301,MATCH($A123,TRIM(Footfall!$B$5:$B$301&amp;""),0),AQ$5),0))</f>
        <v/>
      </c>
      <c r="AR123" s="350" t="str" cm="1">
        <f t="array" ref="AR123">IF(OR($A123="",AR$6=""),"",IFERROR(INDEX(Footfall!$C$5:$BZ$301,MATCH($A123,TRIM(Footfall!$B$5:$B$301&amp;""),0),AR$5),0))</f>
        <v/>
      </c>
      <c r="AS123" s="350" t="str" cm="1">
        <f t="array" ref="AS123">IF(OR($A123="",AS$6=""),"",IFERROR(INDEX(Footfall!$C$5:$BZ$301,MATCH($A123,TRIM(Footfall!$B$5:$B$301&amp;""),0),AS$5),0))</f>
        <v/>
      </c>
      <c r="AT123" s="350" t="str" cm="1">
        <f t="array" ref="AT123">IF(OR($A123="",AT$6=""),"",IFERROR(INDEX(Footfall!$C$5:$BZ$301,MATCH($A123,TRIM(Footfall!$B$5:$B$301&amp;""),0),AT$5),0))</f>
        <v/>
      </c>
      <c r="AU123" s="350" t="str" cm="1">
        <f t="array" ref="AU123">IF(OR($A123="",AU$6=""),"",IFERROR(INDEX(Footfall!$C$5:$BZ$301,MATCH($A123,TRIM(Footfall!$B$5:$B$301&amp;""),0),AU$5),0))</f>
        <v/>
      </c>
      <c r="AV123" s="350" t="str" cm="1">
        <f t="array" ref="AV123">IF(OR($A123="",AV$6=""),"",IFERROR(INDEX(Footfall!$C$5:$BZ$301,MATCH($A123,TRIM(Footfall!$B$5:$B$301&amp;""),0),AV$5),0))</f>
        <v/>
      </c>
      <c r="AW123" s="350" t="str" cm="1">
        <f t="array" ref="AW123">IF(OR($A123="",AW$6=""),"",IFERROR(INDEX(Footfall!$C$5:$BZ$301,MATCH($A123,TRIM(Footfall!$B$5:$B$301&amp;""),0),AW$5),0))</f>
        <v/>
      </c>
      <c r="AX123" s="350" t="str" cm="1">
        <f t="array" ref="AX123">IF(OR($A123="",AX$6=""),"",IFERROR(INDEX(Footfall!$C$5:$BZ$301,MATCH($A123,TRIM(Footfall!$B$5:$B$301&amp;""),0),AX$5),0))</f>
        <v/>
      </c>
      <c r="AY123" s="350" t="str" cm="1">
        <f t="array" ref="AY123">IF(AK123="","",IF($AJ123="",0,_xlfn.LET(_xlpm.d,IFERROR(--'Sales and count'!$F$2:$CB$2,0),SUMPRODUCT(('Sales and count'!$G$3:$CC$3="Transactions")*(_xlpm.d&gt;=AY$6)*(_xlpm.d&lt;=AY$7),INDEX('Sales and count'!$G$4:$CC$300,$AJ123,0)))))</f>
        <v/>
      </c>
      <c r="AZ123" s="350" t="str" cm="1">
        <f t="array" ref="AZ123">IF(AL123="","",IF($AJ123="",0,_xlfn.LET(_xlpm.d,IFERROR(--'Sales and count'!$F$2:$CB$2,0),SUMPRODUCT(('Sales and count'!$G$3:$CC$3="Transactions")*(_xlpm.d&gt;=AZ$6)*(_xlpm.d&lt;=AZ$7),INDEX('Sales and count'!$G$4:$CC$300,$AJ123,0)))))</f>
        <v/>
      </c>
      <c r="BA123" s="350" t="str" cm="1">
        <f t="array" ref="BA123">IF(AM123="","",IF($AJ123="",0,_xlfn.LET(_xlpm.d,IFERROR(--'Sales and count'!$F$2:$CB$2,0),SUMPRODUCT(('Sales and count'!$G$3:$CC$3="Transactions")*(_xlpm.d&gt;=BA$6)*(_xlpm.d&lt;=BA$7),INDEX('Sales and count'!$G$4:$CC$300,$AJ123,0)))))</f>
        <v/>
      </c>
      <c r="BB123" s="350" t="str" cm="1">
        <f t="array" ref="BB123">IF(AN123="","",IF($AJ123="",0,_xlfn.LET(_xlpm.d,IFERROR(--'Sales and count'!$F$2:$CB$2,0),SUMPRODUCT(('Sales and count'!$G$3:$CC$3="Transactions")*(_xlpm.d&gt;=BB$6)*(_xlpm.d&lt;=BB$7),INDEX('Sales and count'!$G$4:$CC$300,$AJ123,0)))))</f>
        <v/>
      </c>
      <c r="BC123" s="350" t="str" cm="1">
        <f t="array" ref="BC123">IF(AO123="","",IF($AJ123="",0,_xlfn.LET(_xlpm.d,IFERROR(--'Sales and count'!$F$2:$CB$2,0),SUMPRODUCT(('Sales and count'!$G$3:$CC$3="Transactions")*(_xlpm.d&gt;=BC$6)*(_xlpm.d&lt;=BC$7),INDEX('Sales and count'!$G$4:$CC$300,$AJ123,0)))))</f>
        <v/>
      </c>
      <c r="BD123" s="350" t="str" cm="1">
        <f t="array" ref="BD123">IF(AP123="","",IF($AJ123="",0,_xlfn.LET(_xlpm.d,IFERROR(--'Sales and count'!$F$2:$CB$2,0),SUMPRODUCT(('Sales and count'!$G$3:$CC$3="Transactions")*(_xlpm.d&gt;=BD$6)*(_xlpm.d&lt;=BD$7),INDEX('Sales and count'!$G$4:$CC$300,$AJ123,0)))))</f>
        <v/>
      </c>
      <c r="BE123" s="350" t="str" cm="1">
        <f t="array" ref="BE123">IF(AQ123="","",IF($AJ123="",0,_xlfn.LET(_xlpm.d,IFERROR(--'Sales and count'!$F$2:$CB$2,0),SUMPRODUCT(('Sales and count'!$G$3:$CC$3="Transactions")*(_xlpm.d&gt;=BE$6)*(_xlpm.d&lt;=BE$7),INDEX('Sales and count'!$G$4:$CC$300,$AJ123,0)))))</f>
        <v/>
      </c>
      <c r="BF123" s="350" t="str" cm="1">
        <f t="array" ref="BF123">IF(AR123="","",IF($AJ123="",0,_xlfn.LET(_xlpm.d,IFERROR(--'Sales and count'!$F$2:$CB$2,0),SUMPRODUCT(('Sales and count'!$G$3:$CC$3="Transactions")*(_xlpm.d&gt;=BF$6)*(_xlpm.d&lt;=BF$7),INDEX('Sales and count'!$G$4:$CC$300,$AJ123,0)))))</f>
        <v/>
      </c>
      <c r="BG123" s="350" t="str" cm="1">
        <f t="array" ref="BG123">IF(AS123="","",IF($AJ123="",0,_xlfn.LET(_xlpm.d,IFERROR(--'Sales and count'!$F$2:$CB$2,0),SUMPRODUCT(('Sales and count'!$G$3:$CC$3="Transactions")*(_xlpm.d&gt;=BG$6)*(_xlpm.d&lt;=BG$7),INDEX('Sales and count'!$G$4:$CC$300,$AJ123,0)))))</f>
        <v/>
      </c>
      <c r="BH123" s="350" t="str" cm="1">
        <f t="array" ref="BH123">IF(AT123="","",IF($AJ123="",0,_xlfn.LET(_xlpm.d,IFERROR(--'Sales and count'!$F$2:$CB$2,0),SUMPRODUCT(('Sales and count'!$G$3:$CC$3="Transactions")*(_xlpm.d&gt;=BH$6)*(_xlpm.d&lt;=BH$7),INDEX('Sales and count'!$G$4:$CC$300,$AJ123,0)))))</f>
        <v/>
      </c>
      <c r="BI123" s="350" t="str" cm="1">
        <f t="array" ref="BI123">IF(AU123="","",IF($AJ123="",0,_xlfn.LET(_xlpm.d,IFERROR(--'Sales and count'!$F$2:$CB$2,0),SUMPRODUCT(('Sales and count'!$G$3:$CC$3="Transactions")*(_xlpm.d&gt;=BI$6)*(_xlpm.d&lt;=BI$7),INDEX('Sales and count'!$G$4:$CC$300,$AJ123,0)))))</f>
        <v/>
      </c>
      <c r="BJ123" s="350" t="str" cm="1">
        <f t="array" ref="BJ123">IF(AV123="","",IF($AJ123="",0,_xlfn.LET(_xlpm.d,IFERROR(--'Sales and count'!$F$2:$CB$2,0),SUMPRODUCT(('Sales and count'!$G$3:$CC$3="Transactions")*(_xlpm.d&gt;=BJ$6)*(_xlpm.d&lt;=BJ$7),INDEX('Sales and count'!$G$4:$CC$300,$AJ123,0)))))</f>
        <v/>
      </c>
      <c r="BK123" s="350" t="str" cm="1">
        <f t="array" ref="BK123">IF(AW123="","",IF($AJ123="",0,_xlfn.LET(_xlpm.d,IFERROR(--'Sales and count'!$F$2:$CB$2,0),SUMPRODUCT(('Sales and count'!$G$3:$CC$3="Transactions")*(_xlpm.d&gt;=BK$6)*(_xlpm.d&lt;=BK$7),INDEX('Sales and count'!$G$4:$CC$300,$AJ123,0)))))</f>
        <v/>
      </c>
      <c r="BL123" s="350" t="str" cm="1">
        <f t="array" ref="BL123">IF(AX123="","",IF($AJ123="",0,_xlfn.LET(_xlpm.d,IFERROR(--'Sales and count'!$F$2:$CB$2,0),SUMPRODUCT(('Sales and count'!$G$3:$CC$3="Transactions")*(_xlpm.d&gt;=BL$6)*(_xlpm.d&lt;=BL$7),INDEX('Sales and count'!$G$4:$CC$300,$AJ123,0)))))</f>
        <v/>
      </c>
      <c r="BM123" s="350" t="str" cm="1">
        <f t="array" ref="BM123">IF(AK123="","",IF($AJ123="",0,_xlfn.LET(_xlpm.d,IFERROR(--'Sales and count'!$G$2:$CC$2,0),SUMPRODUCT(('Sales and count'!$G$3:$CC$3="Total")*(_xlpm.d&gt;=BM$6)*(_xlpm.d&lt;=BM$7),INDEX('Sales and count'!$G$4:$CC$300,$AJ123,0)))))</f>
        <v/>
      </c>
      <c r="BN123" s="350" t="str" cm="1">
        <f t="array" ref="BN123">IF(AL123="","",IF($AJ123="",0,_xlfn.LET(_xlpm.d,IFERROR(--'Sales and count'!$G$2:$CC$2,0),SUMPRODUCT(('Sales and count'!$G$3:$CC$3="Total")*(_xlpm.d&gt;=BN$6)*(_xlpm.d&lt;=BN$7),INDEX('Sales and count'!$G$4:$CC$300,$AJ123,0)))))</f>
        <v/>
      </c>
      <c r="BO123" s="350" t="str" cm="1">
        <f t="array" ref="BO123">IF(AM123="","",IF($AJ123="",0,_xlfn.LET(_xlpm.d,IFERROR(--'Sales and count'!$G$2:$CC$2,0),SUMPRODUCT(('Sales and count'!$G$3:$CC$3="Total")*(_xlpm.d&gt;=BO$6)*(_xlpm.d&lt;=BO$7),INDEX('Sales and count'!$G$4:$CC$300,$AJ123,0)))))</f>
        <v/>
      </c>
      <c r="BP123" s="350" t="str" cm="1">
        <f t="array" ref="BP123">IF(AN123="","",IF($AJ123="",0,_xlfn.LET(_xlpm.d,IFERROR(--'Sales and count'!$G$2:$CC$2,0),SUMPRODUCT(('Sales and count'!$G$3:$CC$3="Total")*(_xlpm.d&gt;=BP$6)*(_xlpm.d&lt;=BP$7),INDEX('Sales and count'!$G$4:$CC$300,$AJ123,0)))))</f>
        <v/>
      </c>
      <c r="BQ123" s="350" t="str" cm="1">
        <f t="array" ref="BQ123">IF(AO123="","",IF($AJ123="",0,_xlfn.LET(_xlpm.d,IFERROR(--'Sales and count'!$G$2:$CC$2,0),SUMPRODUCT(('Sales and count'!$G$3:$CC$3="Total")*(_xlpm.d&gt;=BQ$6)*(_xlpm.d&lt;=BQ$7),INDEX('Sales and count'!$G$4:$CC$300,$AJ123,0)))))</f>
        <v/>
      </c>
      <c r="BR123" s="350" t="str" cm="1">
        <f t="array" ref="BR123">IF(AP123="","",IF($AJ123="",0,_xlfn.LET(_xlpm.d,IFERROR(--'Sales and count'!$G$2:$CC$2,0),SUMPRODUCT(('Sales and count'!$G$3:$CC$3="Total")*(_xlpm.d&gt;=BR$6)*(_xlpm.d&lt;=BR$7),INDEX('Sales and count'!$G$4:$CC$300,$AJ123,0)))))</f>
        <v/>
      </c>
      <c r="BS123" s="350" t="str" cm="1">
        <f t="array" ref="BS123">IF(AQ123="","",IF($AJ123="",0,_xlfn.LET(_xlpm.d,IFERROR(--'Sales and count'!$G$2:$CC$2,0),SUMPRODUCT(('Sales and count'!$G$3:$CC$3="Total")*(_xlpm.d&gt;=BS$6)*(_xlpm.d&lt;=BS$7),INDEX('Sales and count'!$G$4:$CC$300,$AJ123,0)))))</f>
        <v/>
      </c>
      <c r="BT123" s="350" t="str" cm="1">
        <f t="array" ref="BT123">IF(AR123="","",IF($AJ123="",0,_xlfn.LET(_xlpm.d,IFERROR(--'Sales and count'!$G$2:$CC$2,0),SUMPRODUCT(('Sales and count'!$G$3:$CC$3="Total")*(_xlpm.d&gt;=BT$6)*(_xlpm.d&lt;=BT$7),INDEX('Sales and count'!$G$4:$CC$300,$AJ123,0)))))</f>
        <v/>
      </c>
      <c r="BU123" s="350" t="str" cm="1">
        <f t="array" ref="BU123">IF(AS123="","",IF($AJ123="",0,_xlfn.LET(_xlpm.d,IFERROR(--'Sales and count'!$G$2:$CC$2,0),SUMPRODUCT(('Sales and count'!$G$3:$CC$3="Total")*(_xlpm.d&gt;=BU$6)*(_xlpm.d&lt;=BU$7),INDEX('Sales and count'!$G$4:$CC$300,$AJ123,0)))))</f>
        <v/>
      </c>
      <c r="BV123" s="350" t="str" cm="1">
        <f t="array" ref="BV123">IF(AT123="","",IF($AJ123="",0,_xlfn.LET(_xlpm.d,IFERROR(--'Sales and count'!$G$2:$CC$2,0),SUMPRODUCT(('Sales and count'!$G$3:$CC$3="Total")*(_xlpm.d&gt;=BV$6)*(_xlpm.d&lt;=BV$7),INDEX('Sales and count'!$G$4:$CC$300,$AJ123,0)))))</f>
        <v/>
      </c>
      <c r="BW123" s="350" t="str" cm="1">
        <f t="array" ref="BW123">IF(AU123="","",IF($AJ123="",0,_xlfn.LET(_xlpm.d,IFERROR(--'Sales and count'!$G$2:$CC$2,0),SUMPRODUCT(('Sales and count'!$G$3:$CC$3="Total")*(_xlpm.d&gt;=BW$6)*(_xlpm.d&lt;=BW$7),INDEX('Sales and count'!$G$4:$CC$300,$AJ123,0)))))</f>
        <v/>
      </c>
      <c r="BX123" s="350" t="str" cm="1">
        <f t="array" ref="BX123">IF(AV123="","",IF($AJ123="",0,_xlfn.LET(_xlpm.d,IFERROR(--'Sales and count'!$G$2:$CC$2,0),SUMPRODUCT(('Sales and count'!$G$3:$CC$3="Total")*(_xlpm.d&gt;=BX$6)*(_xlpm.d&lt;=BX$7),INDEX('Sales and count'!$G$4:$CC$300,$AJ123,0)))))</f>
        <v/>
      </c>
      <c r="BY123" s="350" t="str" cm="1">
        <f t="array" ref="BY123">IF(AW123="","",IF($AJ123="",0,_xlfn.LET(_xlpm.d,IFERROR(--'Sales and count'!$G$2:$CC$2,0),SUMPRODUCT(('Sales and count'!$G$3:$CC$3="Total")*(_xlpm.d&gt;=BY$6)*(_xlpm.d&lt;=BY$7),INDEX('Sales and count'!$G$4:$CC$300,$AJ123,0)))))</f>
        <v/>
      </c>
      <c r="BZ123" s="350" t="str" cm="1">
        <f t="array" ref="BZ123">IF(AX123="","",IF($AJ123="",0,_xlfn.LET(_xlpm.d,IFERROR(--'Sales and count'!$G$2:$CC$2,0),SUMPRODUCT(('Sales and count'!$G$3:$CC$3="Total")*(_xlpm.d&gt;=BZ$6)*(_xlpm.d&lt;=BZ$7),INDEX('Sales and count'!$G$4:$CC$300,$AJ123,0)))))</f>
        <v/>
      </c>
    </row>
    <row r="124" spans="1:78" x14ac:dyDescent="0.25">
      <c r="A124" s="356"/>
      <c r="B124" s="356" t="str" cm="1">
        <f t="array" ref="B124">IF($A124="","",_xlfn.XLOOKUP($A124,TRIM(Footfall!$B$5:$B$301&amp;""),Footfall!$A$5:$A$301,""))</f>
        <v/>
      </c>
      <c r="C124" s="356" t="str" cm="1">
        <f t="array" ref="C124">IF($A124="","",_xlfn.XLOOKUP($A124,TRIM('Sales and count'!$A$4:$A$300&amp;""),'Sales and count'!$C$4:$C$300,"Not set"))</f>
        <v/>
      </c>
      <c r="D124" s="357" t="str">
        <f t="shared" si="81"/>
        <v/>
      </c>
      <c r="E124" s="357" t="str">
        <f t="shared" si="82"/>
        <v/>
      </c>
      <c r="F124" s="357" t="str">
        <f t="shared" si="83"/>
        <v/>
      </c>
      <c r="G124" s="357" t="str">
        <f t="shared" si="84"/>
        <v/>
      </c>
      <c r="H124" s="357" t="str">
        <f t="shared" si="85"/>
        <v/>
      </c>
      <c r="I124" s="357" t="str">
        <f t="shared" si="86"/>
        <v/>
      </c>
      <c r="J124" s="357" t="str">
        <f t="shared" si="87"/>
        <v/>
      </c>
      <c r="K124" s="357" t="str">
        <f t="shared" si="88"/>
        <v/>
      </c>
      <c r="L124" s="357" t="str">
        <f t="shared" si="89"/>
        <v/>
      </c>
      <c r="M124" s="357" t="str">
        <f t="shared" si="90"/>
        <v/>
      </c>
      <c r="N124" s="357" t="str">
        <f t="shared" si="91"/>
        <v/>
      </c>
      <c r="O124" s="357" t="str">
        <f t="shared" si="92"/>
        <v/>
      </c>
      <c r="P124" s="357" t="str">
        <f t="shared" si="93"/>
        <v/>
      </c>
      <c r="Q124" s="357" t="str">
        <f t="shared" si="94"/>
        <v/>
      </c>
      <c r="R124" s="358" t="str" cm="1">
        <f t="array" ref="R124">IF(OR($A124="",D124=""),"",IFERROR(LOOKUP(2,1/(E124:Q124&lt;&gt;""),E124:Q124)-D124,""))</f>
        <v/>
      </c>
      <c r="S124" s="349"/>
      <c r="T124" s="362" t="str">
        <f t="shared" si="95"/>
        <v/>
      </c>
      <c r="U124" s="362" t="str">
        <f t="shared" si="96"/>
        <v/>
      </c>
      <c r="V124" s="362" t="str">
        <f t="shared" si="97"/>
        <v/>
      </c>
      <c r="W124" s="362" t="str">
        <f t="shared" si="98"/>
        <v/>
      </c>
      <c r="X124" s="362" t="str">
        <f t="shared" si="99"/>
        <v/>
      </c>
      <c r="Y124" s="362" t="str">
        <f t="shared" si="100"/>
        <v/>
      </c>
      <c r="Z124" s="362" t="str">
        <f t="shared" si="101"/>
        <v/>
      </c>
      <c r="AA124" s="362" t="str">
        <f t="shared" si="102"/>
        <v/>
      </c>
      <c r="AB124" s="362" t="str">
        <f t="shared" si="103"/>
        <v/>
      </c>
      <c r="AC124" s="362" t="str">
        <f t="shared" si="104"/>
        <v/>
      </c>
      <c r="AD124" s="362" t="str">
        <f t="shared" si="105"/>
        <v/>
      </c>
      <c r="AE124" s="362" t="str">
        <f t="shared" si="106"/>
        <v/>
      </c>
      <c r="AF124" s="362" t="str">
        <f t="shared" si="107"/>
        <v/>
      </c>
      <c r="AG124" s="362" t="str">
        <f t="shared" si="108"/>
        <v/>
      </c>
      <c r="AH124" s="363" t="str" cm="1">
        <f t="array" ref="AH124">IF(OR($A124="",T124=""),"",IFERROR(LOOKUP(2,1/(U124:AG124&lt;&gt;""),U124:AG124)-T124,""))</f>
        <v/>
      </c>
      <c r="AI124" s="349"/>
      <c r="AJ124" s="349" t="str" cm="1">
        <f t="array" ref="AJ124">IF($A124="","",IFERROR(MATCH($A124,TRIM('Sales and count'!$A$4:$A$300&amp;""),0),""))</f>
        <v/>
      </c>
      <c r="AK124" s="350" t="str" cm="1">
        <f t="array" ref="AK124">IF(OR($A124="",AK$6=""),"",IFERROR(INDEX(Footfall!$C$5:$BZ$301,MATCH($A124,TRIM(Footfall!$B$5:$B$301&amp;""),0),AK$5),0))</f>
        <v/>
      </c>
      <c r="AL124" s="350" t="str" cm="1">
        <f t="array" ref="AL124">IF(OR($A124="",AL$6=""),"",IFERROR(INDEX(Footfall!$C$5:$BZ$301,MATCH($A124,TRIM(Footfall!$B$5:$B$301&amp;""),0),AL$5),0))</f>
        <v/>
      </c>
      <c r="AM124" s="350" t="str" cm="1">
        <f t="array" ref="AM124">IF(OR($A124="",AM$6=""),"",IFERROR(INDEX(Footfall!$C$5:$BZ$301,MATCH($A124,TRIM(Footfall!$B$5:$B$301&amp;""),0),AM$5),0))</f>
        <v/>
      </c>
      <c r="AN124" s="350" t="str" cm="1">
        <f t="array" ref="AN124">IF(OR($A124="",AN$6=""),"",IFERROR(INDEX(Footfall!$C$5:$BZ$301,MATCH($A124,TRIM(Footfall!$B$5:$B$301&amp;""),0),AN$5),0))</f>
        <v/>
      </c>
      <c r="AO124" s="350" t="str" cm="1">
        <f t="array" ref="AO124">IF(OR($A124="",AO$6=""),"",IFERROR(INDEX(Footfall!$C$5:$BZ$301,MATCH($A124,TRIM(Footfall!$B$5:$B$301&amp;""),0),AO$5),0))</f>
        <v/>
      </c>
      <c r="AP124" s="350" t="str" cm="1">
        <f t="array" ref="AP124">IF(OR($A124="",AP$6=""),"",IFERROR(INDEX(Footfall!$C$5:$BZ$301,MATCH($A124,TRIM(Footfall!$B$5:$B$301&amp;""),0),AP$5),0))</f>
        <v/>
      </c>
      <c r="AQ124" s="350" t="str" cm="1">
        <f t="array" ref="AQ124">IF(OR($A124="",AQ$6=""),"",IFERROR(INDEX(Footfall!$C$5:$BZ$301,MATCH($A124,TRIM(Footfall!$B$5:$B$301&amp;""),0),AQ$5),0))</f>
        <v/>
      </c>
      <c r="AR124" s="350" t="str" cm="1">
        <f t="array" ref="AR124">IF(OR($A124="",AR$6=""),"",IFERROR(INDEX(Footfall!$C$5:$BZ$301,MATCH($A124,TRIM(Footfall!$B$5:$B$301&amp;""),0),AR$5),0))</f>
        <v/>
      </c>
      <c r="AS124" s="350" t="str" cm="1">
        <f t="array" ref="AS124">IF(OR($A124="",AS$6=""),"",IFERROR(INDEX(Footfall!$C$5:$BZ$301,MATCH($A124,TRIM(Footfall!$B$5:$B$301&amp;""),0),AS$5),0))</f>
        <v/>
      </c>
      <c r="AT124" s="350" t="str" cm="1">
        <f t="array" ref="AT124">IF(OR($A124="",AT$6=""),"",IFERROR(INDEX(Footfall!$C$5:$BZ$301,MATCH($A124,TRIM(Footfall!$B$5:$B$301&amp;""),0),AT$5),0))</f>
        <v/>
      </c>
      <c r="AU124" s="350" t="str" cm="1">
        <f t="array" ref="AU124">IF(OR($A124="",AU$6=""),"",IFERROR(INDEX(Footfall!$C$5:$BZ$301,MATCH($A124,TRIM(Footfall!$B$5:$B$301&amp;""),0),AU$5),0))</f>
        <v/>
      </c>
      <c r="AV124" s="350" t="str" cm="1">
        <f t="array" ref="AV124">IF(OR($A124="",AV$6=""),"",IFERROR(INDEX(Footfall!$C$5:$BZ$301,MATCH($A124,TRIM(Footfall!$B$5:$B$301&amp;""),0),AV$5),0))</f>
        <v/>
      </c>
      <c r="AW124" s="350" t="str" cm="1">
        <f t="array" ref="AW124">IF(OR($A124="",AW$6=""),"",IFERROR(INDEX(Footfall!$C$5:$BZ$301,MATCH($A124,TRIM(Footfall!$B$5:$B$301&amp;""),0),AW$5),0))</f>
        <v/>
      </c>
      <c r="AX124" s="350" t="str" cm="1">
        <f t="array" ref="AX124">IF(OR($A124="",AX$6=""),"",IFERROR(INDEX(Footfall!$C$5:$BZ$301,MATCH($A124,TRIM(Footfall!$B$5:$B$301&amp;""),0),AX$5),0))</f>
        <v/>
      </c>
      <c r="AY124" s="350" t="str" cm="1">
        <f t="array" ref="AY124">IF(AK124="","",IF($AJ124="",0,_xlfn.LET(_xlpm.d,IFERROR(--'Sales and count'!$F$2:$CB$2,0),SUMPRODUCT(('Sales and count'!$G$3:$CC$3="Transactions")*(_xlpm.d&gt;=AY$6)*(_xlpm.d&lt;=AY$7),INDEX('Sales and count'!$G$4:$CC$300,$AJ124,0)))))</f>
        <v/>
      </c>
      <c r="AZ124" s="350" t="str" cm="1">
        <f t="array" ref="AZ124">IF(AL124="","",IF($AJ124="",0,_xlfn.LET(_xlpm.d,IFERROR(--'Sales and count'!$F$2:$CB$2,0),SUMPRODUCT(('Sales and count'!$G$3:$CC$3="Transactions")*(_xlpm.d&gt;=AZ$6)*(_xlpm.d&lt;=AZ$7),INDEX('Sales and count'!$G$4:$CC$300,$AJ124,0)))))</f>
        <v/>
      </c>
      <c r="BA124" s="350" t="str" cm="1">
        <f t="array" ref="BA124">IF(AM124="","",IF($AJ124="",0,_xlfn.LET(_xlpm.d,IFERROR(--'Sales and count'!$F$2:$CB$2,0),SUMPRODUCT(('Sales and count'!$G$3:$CC$3="Transactions")*(_xlpm.d&gt;=BA$6)*(_xlpm.d&lt;=BA$7),INDEX('Sales and count'!$G$4:$CC$300,$AJ124,0)))))</f>
        <v/>
      </c>
      <c r="BB124" s="350" t="str" cm="1">
        <f t="array" ref="BB124">IF(AN124="","",IF($AJ124="",0,_xlfn.LET(_xlpm.d,IFERROR(--'Sales and count'!$F$2:$CB$2,0),SUMPRODUCT(('Sales and count'!$G$3:$CC$3="Transactions")*(_xlpm.d&gt;=BB$6)*(_xlpm.d&lt;=BB$7),INDEX('Sales and count'!$G$4:$CC$300,$AJ124,0)))))</f>
        <v/>
      </c>
      <c r="BC124" s="350" t="str" cm="1">
        <f t="array" ref="BC124">IF(AO124="","",IF($AJ124="",0,_xlfn.LET(_xlpm.d,IFERROR(--'Sales and count'!$F$2:$CB$2,0),SUMPRODUCT(('Sales and count'!$G$3:$CC$3="Transactions")*(_xlpm.d&gt;=BC$6)*(_xlpm.d&lt;=BC$7),INDEX('Sales and count'!$G$4:$CC$300,$AJ124,0)))))</f>
        <v/>
      </c>
      <c r="BD124" s="350" t="str" cm="1">
        <f t="array" ref="BD124">IF(AP124="","",IF($AJ124="",0,_xlfn.LET(_xlpm.d,IFERROR(--'Sales and count'!$F$2:$CB$2,0),SUMPRODUCT(('Sales and count'!$G$3:$CC$3="Transactions")*(_xlpm.d&gt;=BD$6)*(_xlpm.d&lt;=BD$7),INDEX('Sales and count'!$G$4:$CC$300,$AJ124,0)))))</f>
        <v/>
      </c>
      <c r="BE124" s="350" t="str" cm="1">
        <f t="array" ref="BE124">IF(AQ124="","",IF($AJ124="",0,_xlfn.LET(_xlpm.d,IFERROR(--'Sales and count'!$F$2:$CB$2,0),SUMPRODUCT(('Sales and count'!$G$3:$CC$3="Transactions")*(_xlpm.d&gt;=BE$6)*(_xlpm.d&lt;=BE$7),INDEX('Sales and count'!$G$4:$CC$300,$AJ124,0)))))</f>
        <v/>
      </c>
      <c r="BF124" s="350" t="str" cm="1">
        <f t="array" ref="BF124">IF(AR124="","",IF($AJ124="",0,_xlfn.LET(_xlpm.d,IFERROR(--'Sales and count'!$F$2:$CB$2,0),SUMPRODUCT(('Sales and count'!$G$3:$CC$3="Transactions")*(_xlpm.d&gt;=BF$6)*(_xlpm.d&lt;=BF$7),INDEX('Sales and count'!$G$4:$CC$300,$AJ124,0)))))</f>
        <v/>
      </c>
      <c r="BG124" s="350" t="str" cm="1">
        <f t="array" ref="BG124">IF(AS124="","",IF($AJ124="",0,_xlfn.LET(_xlpm.d,IFERROR(--'Sales and count'!$F$2:$CB$2,0),SUMPRODUCT(('Sales and count'!$G$3:$CC$3="Transactions")*(_xlpm.d&gt;=BG$6)*(_xlpm.d&lt;=BG$7),INDEX('Sales and count'!$G$4:$CC$300,$AJ124,0)))))</f>
        <v/>
      </c>
      <c r="BH124" s="350" t="str" cm="1">
        <f t="array" ref="BH124">IF(AT124="","",IF($AJ124="",0,_xlfn.LET(_xlpm.d,IFERROR(--'Sales and count'!$F$2:$CB$2,0),SUMPRODUCT(('Sales and count'!$G$3:$CC$3="Transactions")*(_xlpm.d&gt;=BH$6)*(_xlpm.d&lt;=BH$7),INDEX('Sales and count'!$G$4:$CC$300,$AJ124,0)))))</f>
        <v/>
      </c>
      <c r="BI124" s="350" t="str" cm="1">
        <f t="array" ref="BI124">IF(AU124="","",IF($AJ124="",0,_xlfn.LET(_xlpm.d,IFERROR(--'Sales and count'!$F$2:$CB$2,0),SUMPRODUCT(('Sales and count'!$G$3:$CC$3="Transactions")*(_xlpm.d&gt;=BI$6)*(_xlpm.d&lt;=BI$7),INDEX('Sales and count'!$G$4:$CC$300,$AJ124,0)))))</f>
        <v/>
      </c>
      <c r="BJ124" s="350" t="str" cm="1">
        <f t="array" ref="BJ124">IF(AV124="","",IF($AJ124="",0,_xlfn.LET(_xlpm.d,IFERROR(--'Sales and count'!$F$2:$CB$2,0),SUMPRODUCT(('Sales and count'!$G$3:$CC$3="Transactions")*(_xlpm.d&gt;=BJ$6)*(_xlpm.d&lt;=BJ$7),INDEX('Sales and count'!$G$4:$CC$300,$AJ124,0)))))</f>
        <v/>
      </c>
      <c r="BK124" s="350" t="str" cm="1">
        <f t="array" ref="BK124">IF(AW124="","",IF($AJ124="",0,_xlfn.LET(_xlpm.d,IFERROR(--'Sales and count'!$F$2:$CB$2,0),SUMPRODUCT(('Sales and count'!$G$3:$CC$3="Transactions")*(_xlpm.d&gt;=BK$6)*(_xlpm.d&lt;=BK$7),INDEX('Sales and count'!$G$4:$CC$300,$AJ124,0)))))</f>
        <v/>
      </c>
      <c r="BL124" s="350" t="str" cm="1">
        <f t="array" ref="BL124">IF(AX124="","",IF($AJ124="",0,_xlfn.LET(_xlpm.d,IFERROR(--'Sales and count'!$F$2:$CB$2,0),SUMPRODUCT(('Sales and count'!$G$3:$CC$3="Transactions")*(_xlpm.d&gt;=BL$6)*(_xlpm.d&lt;=BL$7),INDEX('Sales and count'!$G$4:$CC$300,$AJ124,0)))))</f>
        <v/>
      </c>
      <c r="BM124" s="350" t="str" cm="1">
        <f t="array" ref="BM124">IF(AK124="","",IF($AJ124="",0,_xlfn.LET(_xlpm.d,IFERROR(--'Sales and count'!$G$2:$CC$2,0),SUMPRODUCT(('Sales and count'!$G$3:$CC$3="Total")*(_xlpm.d&gt;=BM$6)*(_xlpm.d&lt;=BM$7),INDEX('Sales and count'!$G$4:$CC$300,$AJ124,0)))))</f>
        <v/>
      </c>
      <c r="BN124" s="350" t="str" cm="1">
        <f t="array" ref="BN124">IF(AL124="","",IF($AJ124="",0,_xlfn.LET(_xlpm.d,IFERROR(--'Sales and count'!$G$2:$CC$2,0),SUMPRODUCT(('Sales and count'!$G$3:$CC$3="Total")*(_xlpm.d&gt;=BN$6)*(_xlpm.d&lt;=BN$7),INDEX('Sales and count'!$G$4:$CC$300,$AJ124,0)))))</f>
        <v/>
      </c>
      <c r="BO124" s="350" t="str" cm="1">
        <f t="array" ref="BO124">IF(AM124="","",IF($AJ124="",0,_xlfn.LET(_xlpm.d,IFERROR(--'Sales and count'!$G$2:$CC$2,0),SUMPRODUCT(('Sales and count'!$G$3:$CC$3="Total")*(_xlpm.d&gt;=BO$6)*(_xlpm.d&lt;=BO$7),INDEX('Sales and count'!$G$4:$CC$300,$AJ124,0)))))</f>
        <v/>
      </c>
      <c r="BP124" s="350" t="str" cm="1">
        <f t="array" ref="BP124">IF(AN124="","",IF($AJ124="",0,_xlfn.LET(_xlpm.d,IFERROR(--'Sales and count'!$G$2:$CC$2,0),SUMPRODUCT(('Sales and count'!$G$3:$CC$3="Total")*(_xlpm.d&gt;=BP$6)*(_xlpm.d&lt;=BP$7),INDEX('Sales and count'!$G$4:$CC$300,$AJ124,0)))))</f>
        <v/>
      </c>
      <c r="BQ124" s="350" t="str" cm="1">
        <f t="array" ref="BQ124">IF(AO124="","",IF($AJ124="",0,_xlfn.LET(_xlpm.d,IFERROR(--'Sales and count'!$G$2:$CC$2,0),SUMPRODUCT(('Sales and count'!$G$3:$CC$3="Total")*(_xlpm.d&gt;=BQ$6)*(_xlpm.d&lt;=BQ$7),INDEX('Sales and count'!$G$4:$CC$300,$AJ124,0)))))</f>
        <v/>
      </c>
      <c r="BR124" s="350" t="str" cm="1">
        <f t="array" ref="BR124">IF(AP124="","",IF($AJ124="",0,_xlfn.LET(_xlpm.d,IFERROR(--'Sales and count'!$G$2:$CC$2,0),SUMPRODUCT(('Sales and count'!$G$3:$CC$3="Total")*(_xlpm.d&gt;=BR$6)*(_xlpm.d&lt;=BR$7),INDEX('Sales and count'!$G$4:$CC$300,$AJ124,0)))))</f>
        <v/>
      </c>
      <c r="BS124" s="350" t="str" cm="1">
        <f t="array" ref="BS124">IF(AQ124="","",IF($AJ124="",0,_xlfn.LET(_xlpm.d,IFERROR(--'Sales and count'!$G$2:$CC$2,0),SUMPRODUCT(('Sales and count'!$G$3:$CC$3="Total")*(_xlpm.d&gt;=BS$6)*(_xlpm.d&lt;=BS$7),INDEX('Sales and count'!$G$4:$CC$300,$AJ124,0)))))</f>
        <v/>
      </c>
      <c r="BT124" s="350" t="str" cm="1">
        <f t="array" ref="BT124">IF(AR124="","",IF($AJ124="",0,_xlfn.LET(_xlpm.d,IFERROR(--'Sales and count'!$G$2:$CC$2,0),SUMPRODUCT(('Sales and count'!$G$3:$CC$3="Total")*(_xlpm.d&gt;=BT$6)*(_xlpm.d&lt;=BT$7),INDEX('Sales and count'!$G$4:$CC$300,$AJ124,0)))))</f>
        <v/>
      </c>
      <c r="BU124" s="350" t="str" cm="1">
        <f t="array" ref="BU124">IF(AS124="","",IF($AJ124="",0,_xlfn.LET(_xlpm.d,IFERROR(--'Sales and count'!$G$2:$CC$2,0),SUMPRODUCT(('Sales and count'!$G$3:$CC$3="Total")*(_xlpm.d&gt;=BU$6)*(_xlpm.d&lt;=BU$7),INDEX('Sales and count'!$G$4:$CC$300,$AJ124,0)))))</f>
        <v/>
      </c>
      <c r="BV124" s="350" t="str" cm="1">
        <f t="array" ref="BV124">IF(AT124="","",IF($AJ124="",0,_xlfn.LET(_xlpm.d,IFERROR(--'Sales and count'!$G$2:$CC$2,0),SUMPRODUCT(('Sales and count'!$G$3:$CC$3="Total")*(_xlpm.d&gt;=BV$6)*(_xlpm.d&lt;=BV$7),INDEX('Sales and count'!$G$4:$CC$300,$AJ124,0)))))</f>
        <v/>
      </c>
      <c r="BW124" s="350" t="str" cm="1">
        <f t="array" ref="BW124">IF(AU124="","",IF($AJ124="",0,_xlfn.LET(_xlpm.d,IFERROR(--'Sales and count'!$G$2:$CC$2,0),SUMPRODUCT(('Sales and count'!$G$3:$CC$3="Total")*(_xlpm.d&gt;=BW$6)*(_xlpm.d&lt;=BW$7),INDEX('Sales and count'!$G$4:$CC$300,$AJ124,0)))))</f>
        <v/>
      </c>
      <c r="BX124" s="350" t="str" cm="1">
        <f t="array" ref="BX124">IF(AV124="","",IF($AJ124="",0,_xlfn.LET(_xlpm.d,IFERROR(--'Sales and count'!$G$2:$CC$2,0),SUMPRODUCT(('Sales and count'!$G$3:$CC$3="Total")*(_xlpm.d&gt;=BX$6)*(_xlpm.d&lt;=BX$7),INDEX('Sales and count'!$G$4:$CC$300,$AJ124,0)))))</f>
        <v/>
      </c>
      <c r="BY124" s="350" t="str" cm="1">
        <f t="array" ref="BY124">IF(AW124="","",IF($AJ124="",0,_xlfn.LET(_xlpm.d,IFERROR(--'Sales and count'!$G$2:$CC$2,0),SUMPRODUCT(('Sales and count'!$G$3:$CC$3="Total")*(_xlpm.d&gt;=BY$6)*(_xlpm.d&lt;=BY$7),INDEX('Sales and count'!$G$4:$CC$300,$AJ124,0)))))</f>
        <v/>
      </c>
      <c r="BZ124" s="350" t="str" cm="1">
        <f t="array" ref="BZ124">IF(AX124="","",IF($AJ124="",0,_xlfn.LET(_xlpm.d,IFERROR(--'Sales and count'!$G$2:$CC$2,0),SUMPRODUCT(('Sales and count'!$G$3:$CC$3="Total")*(_xlpm.d&gt;=BZ$6)*(_xlpm.d&lt;=BZ$7),INDEX('Sales and count'!$G$4:$CC$300,$AJ124,0)))))</f>
        <v/>
      </c>
    </row>
    <row r="125" spans="1:78" x14ac:dyDescent="0.25">
      <c r="A125" s="356"/>
      <c r="B125" s="356" t="str" cm="1">
        <f t="array" ref="B125">IF($A125="","",_xlfn.XLOOKUP($A125,TRIM(Footfall!$B$5:$B$301&amp;""),Footfall!$A$5:$A$301,""))</f>
        <v/>
      </c>
      <c r="C125" s="356" t="str" cm="1">
        <f t="array" ref="C125">IF($A125="","",_xlfn.XLOOKUP($A125,TRIM('Sales and count'!$A$4:$A$300&amp;""),'Sales and count'!$C$4:$C$300,"Not set"))</f>
        <v/>
      </c>
      <c r="D125" s="357" t="str">
        <f t="shared" si="81"/>
        <v/>
      </c>
      <c r="E125" s="357" t="str">
        <f t="shared" si="82"/>
        <v/>
      </c>
      <c r="F125" s="357" t="str">
        <f t="shared" si="83"/>
        <v/>
      </c>
      <c r="G125" s="357" t="str">
        <f t="shared" si="84"/>
        <v/>
      </c>
      <c r="H125" s="357" t="str">
        <f t="shared" si="85"/>
        <v/>
      </c>
      <c r="I125" s="357" t="str">
        <f t="shared" si="86"/>
        <v/>
      </c>
      <c r="J125" s="357" t="str">
        <f t="shared" si="87"/>
        <v/>
      </c>
      <c r="K125" s="357" t="str">
        <f t="shared" si="88"/>
        <v/>
      </c>
      <c r="L125" s="357" t="str">
        <f t="shared" si="89"/>
        <v/>
      </c>
      <c r="M125" s="357" t="str">
        <f t="shared" si="90"/>
        <v/>
      </c>
      <c r="N125" s="357" t="str">
        <f t="shared" si="91"/>
        <v/>
      </c>
      <c r="O125" s="357" t="str">
        <f t="shared" si="92"/>
        <v/>
      </c>
      <c r="P125" s="357" t="str">
        <f t="shared" si="93"/>
        <v/>
      </c>
      <c r="Q125" s="357" t="str">
        <f t="shared" si="94"/>
        <v/>
      </c>
      <c r="R125" s="358" t="str" cm="1">
        <f t="array" ref="R125">IF(OR($A125="",D125=""),"",IFERROR(LOOKUP(2,1/(E125:Q125&lt;&gt;""),E125:Q125)-D125,""))</f>
        <v/>
      </c>
      <c r="S125" s="349"/>
      <c r="T125" s="362" t="str">
        <f t="shared" si="95"/>
        <v/>
      </c>
      <c r="U125" s="362" t="str">
        <f t="shared" si="96"/>
        <v/>
      </c>
      <c r="V125" s="362" t="str">
        <f t="shared" si="97"/>
        <v/>
      </c>
      <c r="W125" s="362" t="str">
        <f t="shared" si="98"/>
        <v/>
      </c>
      <c r="X125" s="362" t="str">
        <f t="shared" si="99"/>
        <v/>
      </c>
      <c r="Y125" s="362" t="str">
        <f t="shared" si="100"/>
        <v/>
      </c>
      <c r="Z125" s="362" t="str">
        <f t="shared" si="101"/>
        <v/>
      </c>
      <c r="AA125" s="362" t="str">
        <f t="shared" si="102"/>
        <v/>
      </c>
      <c r="AB125" s="362" t="str">
        <f t="shared" si="103"/>
        <v/>
      </c>
      <c r="AC125" s="362" t="str">
        <f t="shared" si="104"/>
        <v/>
      </c>
      <c r="AD125" s="362" t="str">
        <f t="shared" si="105"/>
        <v/>
      </c>
      <c r="AE125" s="362" t="str">
        <f t="shared" si="106"/>
        <v/>
      </c>
      <c r="AF125" s="362" t="str">
        <f t="shared" si="107"/>
        <v/>
      </c>
      <c r="AG125" s="362" t="str">
        <f t="shared" si="108"/>
        <v/>
      </c>
      <c r="AH125" s="363" t="str" cm="1">
        <f t="array" ref="AH125">IF(OR($A125="",T125=""),"",IFERROR(LOOKUP(2,1/(U125:AG125&lt;&gt;""),U125:AG125)-T125,""))</f>
        <v/>
      </c>
      <c r="AI125" s="349"/>
      <c r="AJ125" s="349" t="str" cm="1">
        <f t="array" ref="AJ125">IF($A125="","",IFERROR(MATCH($A125,TRIM('Sales and count'!$A$4:$A$300&amp;""),0),""))</f>
        <v/>
      </c>
      <c r="AK125" s="350" t="str" cm="1">
        <f t="array" ref="AK125">IF(OR($A125="",AK$6=""),"",IFERROR(INDEX(Footfall!$C$5:$BZ$301,MATCH($A125,TRIM(Footfall!$B$5:$B$301&amp;""),0),AK$5),0))</f>
        <v/>
      </c>
      <c r="AL125" s="350" t="str" cm="1">
        <f t="array" ref="AL125">IF(OR($A125="",AL$6=""),"",IFERROR(INDEX(Footfall!$C$5:$BZ$301,MATCH($A125,TRIM(Footfall!$B$5:$B$301&amp;""),0),AL$5),0))</f>
        <v/>
      </c>
      <c r="AM125" s="350" t="str" cm="1">
        <f t="array" ref="AM125">IF(OR($A125="",AM$6=""),"",IFERROR(INDEX(Footfall!$C$5:$BZ$301,MATCH($A125,TRIM(Footfall!$B$5:$B$301&amp;""),0),AM$5),0))</f>
        <v/>
      </c>
      <c r="AN125" s="350" t="str" cm="1">
        <f t="array" ref="AN125">IF(OR($A125="",AN$6=""),"",IFERROR(INDEX(Footfall!$C$5:$BZ$301,MATCH($A125,TRIM(Footfall!$B$5:$B$301&amp;""),0),AN$5),0))</f>
        <v/>
      </c>
      <c r="AO125" s="350" t="str" cm="1">
        <f t="array" ref="AO125">IF(OR($A125="",AO$6=""),"",IFERROR(INDEX(Footfall!$C$5:$BZ$301,MATCH($A125,TRIM(Footfall!$B$5:$B$301&amp;""),0),AO$5),0))</f>
        <v/>
      </c>
      <c r="AP125" s="350" t="str" cm="1">
        <f t="array" ref="AP125">IF(OR($A125="",AP$6=""),"",IFERROR(INDEX(Footfall!$C$5:$BZ$301,MATCH($A125,TRIM(Footfall!$B$5:$B$301&amp;""),0),AP$5),0))</f>
        <v/>
      </c>
      <c r="AQ125" s="350" t="str" cm="1">
        <f t="array" ref="AQ125">IF(OR($A125="",AQ$6=""),"",IFERROR(INDEX(Footfall!$C$5:$BZ$301,MATCH($A125,TRIM(Footfall!$B$5:$B$301&amp;""),0),AQ$5),0))</f>
        <v/>
      </c>
      <c r="AR125" s="350" t="str" cm="1">
        <f t="array" ref="AR125">IF(OR($A125="",AR$6=""),"",IFERROR(INDEX(Footfall!$C$5:$BZ$301,MATCH($A125,TRIM(Footfall!$B$5:$B$301&amp;""),0),AR$5),0))</f>
        <v/>
      </c>
      <c r="AS125" s="350" t="str" cm="1">
        <f t="array" ref="AS125">IF(OR($A125="",AS$6=""),"",IFERROR(INDEX(Footfall!$C$5:$BZ$301,MATCH($A125,TRIM(Footfall!$B$5:$B$301&amp;""),0),AS$5),0))</f>
        <v/>
      </c>
      <c r="AT125" s="350" t="str" cm="1">
        <f t="array" ref="AT125">IF(OR($A125="",AT$6=""),"",IFERROR(INDEX(Footfall!$C$5:$BZ$301,MATCH($A125,TRIM(Footfall!$B$5:$B$301&amp;""),0),AT$5),0))</f>
        <v/>
      </c>
      <c r="AU125" s="350" t="str" cm="1">
        <f t="array" ref="AU125">IF(OR($A125="",AU$6=""),"",IFERROR(INDEX(Footfall!$C$5:$BZ$301,MATCH($A125,TRIM(Footfall!$B$5:$B$301&amp;""),0),AU$5),0))</f>
        <v/>
      </c>
      <c r="AV125" s="350" t="str" cm="1">
        <f t="array" ref="AV125">IF(OR($A125="",AV$6=""),"",IFERROR(INDEX(Footfall!$C$5:$BZ$301,MATCH($A125,TRIM(Footfall!$B$5:$B$301&amp;""),0),AV$5),0))</f>
        <v/>
      </c>
      <c r="AW125" s="350" t="str" cm="1">
        <f t="array" ref="AW125">IF(OR($A125="",AW$6=""),"",IFERROR(INDEX(Footfall!$C$5:$BZ$301,MATCH($A125,TRIM(Footfall!$B$5:$B$301&amp;""),0),AW$5),0))</f>
        <v/>
      </c>
      <c r="AX125" s="350" t="str" cm="1">
        <f t="array" ref="AX125">IF(OR($A125="",AX$6=""),"",IFERROR(INDEX(Footfall!$C$5:$BZ$301,MATCH($A125,TRIM(Footfall!$B$5:$B$301&amp;""),0),AX$5),0))</f>
        <v/>
      </c>
      <c r="AY125" s="350" t="str" cm="1">
        <f t="array" ref="AY125">IF(AK125="","",IF($AJ125="",0,_xlfn.LET(_xlpm.d,IFERROR(--'Sales and count'!$F$2:$CB$2,0),SUMPRODUCT(('Sales and count'!$G$3:$CC$3="Transactions")*(_xlpm.d&gt;=AY$6)*(_xlpm.d&lt;=AY$7),INDEX('Sales and count'!$G$4:$CC$300,$AJ125,0)))))</f>
        <v/>
      </c>
      <c r="AZ125" s="350" t="str" cm="1">
        <f t="array" ref="AZ125">IF(AL125="","",IF($AJ125="",0,_xlfn.LET(_xlpm.d,IFERROR(--'Sales and count'!$F$2:$CB$2,0),SUMPRODUCT(('Sales and count'!$G$3:$CC$3="Transactions")*(_xlpm.d&gt;=AZ$6)*(_xlpm.d&lt;=AZ$7),INDEX('Sales and count'!$G$4:$CC$300,$AJ125,0)))))</f>
        <v/>
      </c>
      <c r="BA125" s="350" t="str" cm="1">
        <f t="array" ref="BA125">IF(AM125="","",IF($AJ125="",0,_xlfn.LET(_xlpm.d,IFERROR(--'Sales and count'!$F$2:$CB$2,0),SUMPRODUCT(('Sales and count'!$G$3:$CC$3="Transactions")*(_xlpm.d&gt;=BA$6)*(_xlpm.d&lt;=BA$7),INDEX('Sales and count'!$G$4:$CC$300,$AJ125,0)))))</f>
        <v/>
      </c>
      <c r="BB125" s="350" t="str" cm="1">
        <f t="array" ref="BB125">IF(AN125="","",IF($AJ125="",0,_xlfn.LET(_xlpm.d,IFERROR(--'Sales and count'!$F$2:$CB$2,0),SUMPRODUCT(('Sales and count'!$G$3:$CC$3="Transactions")*(_xlpm.d&gt;=BB$6)*(_xlpm.d&lt;=BB$7),INDEX('Sales and count'!$G$4:$CC$300,$AJ125,0)))))</f>
        <v/>
      </c>
      <c r="BC125" s="350" t="str" cm="1">
        <f t="array" ref="BC125">IF(AO125="","",IF($AJ125="",0,_xlfn.LET(_xlpm.d,IFERROR(--'Sales and count'!$F$2:$CB$2,0),SUMPRODUCT(('Sales and count'!$G$3:$CC$3="Transactions")*(_xlpm.d&gt;=BC$6)*(_xlpm.d&lt;=BC$7),INDEX('Sales and count'!$G$4:$CC$300,$AJ125,0)))))</f>
        <v/>
      </c>
      <c r="BD125" s="350" t="str" cm="1">
        <f t="array" ref="BD125">IF(AP125="","",IF($AJ125="",0,_xlfn.LET(_xlpm.d,IFERROR(--'Sales and count'!$F$2:$CB$2,0),SUMPRODUCT(('Sales and count'!$G$3:$CC$3="Transactions")*(_xlpm.d&gt;=BD$6)*(_xlpm.d&lt;=BD$7),INDEX('Sales and count'!$G$4:$CC$300,$AJ125,0)))))</f>
        <v/>
      </c>
      <c r="BE125" s="350" t="str" cm="1">
        <f t="array" ref="BE125">IF(AQ125="","",IF($AJ125="",0,_xlfn.LET(_xlpm.d,IFERROR(--'Sales and count'!$F$2:$CB$2,0),SUMPRODUCT(('Sales and count'!$G$3:$CC$3="Transactions")*(_xlpm.d&gt;=BE$6)*(_xlpm.d&lt;=BE$7),INDEX('Sales and count'!$G$4:$CC$300,$AJ125,0)))))</f>
        <v/>
      </c>
      <c r="BF125" s="350" t="str" cm="1">
        <f t="array" ref="BF125">IF(AR125="","",IF($AJ125="",0,_xlfn.LET(_xlpm.d,IFERROR(--'Sales and count'!$F$2:$CB$2,0),SUMPRODUCT(('Sales and count'!$G$3:$CC$3="Transactions")*(_xlpm.d&gt;=BF$6)*(_xlpm.d&lt;=BF$7),INDEX('Sales and count'!$G$4:$CC$300,$AJ125,0)))))</f>
        <v/>
      </c>
      <c r="BG125" s="350" t="str" cm="1">
        <f t="array" ref="BG125">IF(AS125="","",IF($AJ125="",0,_xlfn.LET(_xlpm.d,IFERROR(--'Sales and count'!$F$2:$CB$2,0),SUMPRODUCT(('Sales and count'!$G$3:$CC$3="Transactions")*(_xlpm.d&gt;=BG$6)*(_xlpm.d&lt;=BG$7),INDEX('Sales and count'!$G$4:$CC$300,$AJ125,0)))))</f>
        <v/>
      </c>
      <c r="BH125" s="350" t="str" cm="1">
        <f t="array" ref="BH125">IF(AT125="","",IF($AJ125="",0,_xlfn.LET(_xlpm.d,IFERROR(--'Sales and count'!$F$2:$CB$2,0),SUMPRODUCT(('Sales and count'!$G$3:$CC$3="Transactions")*(_xlpm.d&gt;=BH$6)*(_xlpm.d&lt;=BH$7),INDEX('Sales and count'!$G$4:$CC$300,$AJ125,0)))))</f>
        <v/>
      </c>
      <c r="BI125" s="350" t="str" cm="1">
        <f t="array" ref="BI125">IF(AU125="","",IF($AJ125="",0,_xlfn.LET(_xlpm.d,IFERROR(--'Sales and count'!$F$2:$CB$2,0),SUMPRODUCT(('Sales and count'!$G$3:$CC$3="Transactions")*(_xlpm.d&gt;=BI$6)*(_xlpm.d&lt;=BI$7),INDEX('Sales and count'!$G$4:$CC$300,$AJ125,0)))))</f>
        <v/>
      </c>
      <c r="BJ125" s="350" t="str" cm="1">
        <f t="array" ref="BJ125">IF(AV125="","",IF($AJ125="",0,_xlfn.LET(_xlpm.d,IFERROR(--'Sales and count'!$F$2:$CB$2,0),SUMPRODUCT(('Sales and count'!$G$3:$CC$3="Transactions")*(_xlpm.d&gt;=BJ$6)*(_xlpm.d&lt;=BJ$7),INDEX('Sales and count'!$G$4:$CC$300,$AJ125,0)))))</f>
        <v/>
      </c>
      <c r="BK125" s="350" t="str" cm="1">
        <f t="array" ref="BK125">IF(AW125="","",IF($AJ125="",0,_xlfn.LET(_xlpm.d,IFERROR(--'Sales and count'!$F$2:$CB$2,0),SUMPRODUCT(('Sales and count'!$G$3:$CC$3="Transactions")*(_xlpm.d&gt;=BK$6)*(_xlpm.d&lt;=BK$7),INDEX('Sales and count'!$G$4:$CC$300,$AJ125,0)))))</f>
        <v/>
      </c>
      <c r="BL125" s="350" t="str" cm="1">
        <f t="array" ref="BL125">IF(AX125="","",IF($AJ125="",0,_xlfn.LET(_xlpm.d,IFERROR(--'Sales and count'!$F$2:$CB$2,0),SUMPRODUCT(('Sales and count'!$G$3:$CC$3="Transactions")*(_xlpm.d&gt;=BL$6)*(_xlpm.d&lt;=BL$7),INDEX('Sales and count'!$G$4:$CC$300,$AJ125,0)))))</f>
        <v/>
      </c>
      <c r="BM125" s="350" t="str" cm="1">
        <f t="array" ref="BM125">IF(AK125="","",IF($AJ125="",0,_xlfn.LET(_xlpm.d,IFERROR(--'Sales and count'!$G$2:$CC$2,0),SUMPRODUCT(('Sales and count'!$G$3:$CC$3="Total")*(_xlpm.d&gt;=BM$6)*(_xlpm.d&lt;=BM$7),INDEX('Sales and count'!$G$4:$CC$300,$AJ125,0)))))</f>
        <v/>
      </c>
      <c r="BN125" s="350" t="str" cm="1">
        <f t="array" ref="BN125">IF(AL125="","",IF($AJ125="",0,_xlfn.LET(_xlpm.d,IFERROR(--'Sales and count'!$G$2:$CC$2,0),SUMPRODUCT(('Sales and count'!$G$3:$CC$3="Total")*(_xlpm.d&gt;=BN$6)*(_xlpm.d&lt;=BN$7),INDEX('Sales and count'!$G$4:$CC$300,$AJ125,0)))))</f>
        <v/>
      </c>
      <c r="BO125" s="350" t="str" cm="1">
        <f t="array" ref="BO125">IF(AM125="","",IF($AJ125="",0,_xlfn.LET(_xlpm.d,IFERROR(--'Sales and count'!$G$2:$CC$2,0),SUMPRODUCT(('Sales and count'!$G$3:$CC$3="Total")*(_xlpm.d&gt;=BO$6)*(_xlpm.d&lt;=BO$7),INDEX('Sales and count'!$G$4:$CC$300,$AJ125,0)))))</f>
        <v/>
      </c>
      <c r="BP125" s="350" t="str" cm="1">
        <f t="array" ref="BP125">IF(AN125="","",IF($AJ125="",0,_xlfn.LET(_xlpm.d,IFERROR(--'Sales and count'!$G$2:$CC$2,0),SUMPRODUCT(('Sales and count'!$G$3:$CC$3="Total")*(_xlpm.d&gt;=BP$6)*(_xlpm.d&lt;=BP$7),INDEX('Sales and count'!$G$4:$CC$300,$AJ125,0)))))</f>
        <v/>
      </c>
      <c r="BQ125" s="350" t="str" cm="1">
        <f t="array" ref="BQ125">IF(AO125="","",IF($AJ125="",0,_xlfn.LET(_xlpm.d,IFERROR(--'Sales and count'!$G$2:$CC$2,0),SUMPRODUCT(('Sales and count'!$G$3:$CC$3="Total")*(_xlpm.d&gt;=BQ$6)*(_xlpm.d&lt;=BQ$7),INDEX('Sales and count'!$G$4:$CC$300,$AJ125,0)))))</f>
        <v/>
      </c>
      <c r="BR125" s="350" t="str" cm="1">
        <f t="array" ref="BR125">IF(AP125="","",IF($AJ125="",0,_xlfn.LET(_xlpm.d,IFERROR(--'Sales and count'!$G$2:$CC$2,0),SUMPRODUCT(('Sales and count'!$G$3:$CC$3="Total")*(_xlpm.d&gt;=BR$6)*(_xlpm.d&lt;=BR$7),INDEX('Sales and count'!$G$4:$CC$300,$AJ125,0)))))</f>
        <v/>
      </c>
      <c r="BS125" s="350" t="str" cm="1">
        <f t="array" ref="BS125">IF(AQ125="","",IF($AJ125="",0,_xlfn.LET(_xlpm.d,IFERROR(--'Sales and count'!$G$2:$CC$2,0),SUMPRODUCT(('Sales and count'!$G$3:$CC$3="Total")*(_xlpm.d&gt;=BS$6)*(_xlpm.d&lt;=BS$7),INDEX('Sales and count'!$G$4:$CC$300,$AJ125,0)))))</f>
        <v/>
      </c>
      <c r="BT125" s="350" t="str" cm="1">
        <f t="array" ref="BT125">IF(AR125="","",IF($AJ125="",0,_xlfn.LET(_xlpm.d,IFERROR(--'Sales and count'!$G$2:$CC$2,0),SUMPRODUCT(('Sales and count'!$G$3:$CC$3="Total")*(_xlpm.d&gt;=BT$6)*(_xlpm.d&lt;=BT$7),INDEX('Sales and count'!$G$4:$CC$300,$AJ125,0)))))</f>
        <v/>
      </c>
      <c r="BU125" s="350" t="str" cm="1">
        <f t="array" ref="BU125">IF(AS125="","",IF($AJ125="",0,_xlfn.LET(_xlpm.d,IFERROR(--'Sales and count'!$G$2:$CC$2,0),SUMPRODUCT(('Sales and count'!$G$3:$CC$3="Total")*(_xlpm.d&gt;=BU$6)*(_xlpm.d&lt;=BU$7),INDEX('Sales and count'!$G$4:$CC$300,$AJ125,0)))))</f>
        <v/>
      </c>
      <c r="BV125" s="350" t="str" cm="1">
        <f t="array" ref="BV125">IF(AT125="","",IF($AJ125="",0,_xlfn.LET(_xlpm.d,IFERROR(--'Sales and count'!$G$2:$CC$2,0),SUMPRODUCT(('Sales and count'!$G$3:$CC$3="Total")*(_xlpm.d&gt;=BV$6)*(_xlpm.d&lt;=BV$7),INDEX('Sales and count'!$G$4:$CC$300,$AJ125,0)))))</f>
        <v/>
      </c>
      <c r="BW125" s="350" t="str" cm="1">
        <f t="array" ref="BW125">IF(AU125="","",IF($AJ125="",0,_xlfn.LET(_xlpm.d,IFERROR(--'Sales and count'!$G$2:$CC$2,0),SUMPRODUCT(('Sales and count'!$G$3:$CC$3="Total")*(_xlpm.d&gt;=BW$6)*(_xlpm.d&lt;=BW$7),INDEX('Sales and count'!$G$4:$CC$300,$AJ125,0)))))</f>
        <v/>
      </c>
      <c r="BX125" s="350" t="str" cm="1">
        <f t="array" ref="BX125">IF(AV125="","",IF($AJ125="",0,_xlfn.LET(_xlpm.d,IFERROR(--'Sales and count'!$G$2:$CC$2,0),SUMPRODUCT(('Sales and count'!$G$3:$CC$3="Total")*(_xlpm.d&gt;=BX$6)*(_xlpm.d&lt;=BX$7),INDEX('Sales and count'!$G$4:$CC$300,$AJ125,0)))))</f>
        <v/>
      </c>
      <c r="BY125" s="350" t="str" cm="1">
        <f t="array" ref="BY125">IF(AW125="","",IF($AJ125="",0,_xlfn.LET(_xlpm.d,IFERROR(--'Sales and count'!$G$2:$CC$2,0),SUMPRODUCT(('Sales and count'!$G$3:$CC$3="Total")*(_xlpm.d&gt;=BY$6)*(_xlpm.d&lt;=BY$7),INDEX('Sales and count'!$G$4:$CC$300,$AJ125,0)))))</f>
        <v/>
      </c>
      <c r="BZ125" s="350" t="str" cm="1">
        <f t="array" ref="BZ125">IF(AX125="","",IF($AJ125="",0,_xlfn.LET(_xlpm.d,IFERROR(--'Sales and count'!$G$2:$CC$2,0),SUMPRODUCT(('Sales and count'!$G$3:$CC$3="Total")*(_xlpm.d&gt;=BZ$6)*(_xlpm.d&lt;=BZ$7),INDEX('Sales and count'!$G$4:$CC$300,$AJ125,0)))))</f>
        <v/>
      </c>
    </row>
    <row r="126" spans="1:78" x14ac:dyDescent="0.25">
      <c r="A126" s="356"/>
      <c r="B126" s="356" t="str" cm="1">
        <f t="array" ref="B126">IF($A126="","",_xlfn.XLOOKUP($A126,TRIM(Footfall!$B$5:$B$301&amp;""),Footfall!$A$5:$A$301,""))</f>
        <v/>
      </c>
      <c r="C126" s="356" t="str" cm="1">
        <f t="array" ref="C126">IF($A126="","",_xlfn.XLOOKUP($A126,TRIM('Sales and count'!$A$4:$A$300&amp;""),'Sales and count'!$C$4:$C$300,"Not set"))</f>
        <v/>
      </c>
      <c r="D126" s="357" t="str">
        <f t="shared" si="81"/>
        <v/>
      </c>
      <c r="E126" s="357" t="str">
        <f t="shared" si="82"/>
        <v/>
      </c>
      <c r="F126" s="357" t="str">
        <f t="shared" si="83"/>
        <v/>
      </c>
      <c r="G126" s="357" t="str">
        <f t="shared" si="84"/>
        <v/>
      </c>
      <c r="H126" s="357" t="str">
        <f t="shared" si="85"/>
        <v/>
      </c>
      <c r="I126" s="357" t="str">
        <f t="shared" si="86"/>
        <v/>
      </c>
      <c r="J126" s="357" t="str">
        <f t="shared" si="87"/>
        <v/>
      </c>
      <c r="K126" s="357" t="str">
        <f t="shared" si="88"/>
        <v/>
      </c>
      <c r="L126" s="357" t="str">
        <f t="shared" si="89"/>
        <v/>
      </c>
      <c r="M126" s="357" t="str">
        <f t="shared" si="90"/>
        <v/>
      </c>
      <c r="N126" s="357" t="str">
        <f t="shared" si="91"/>
        <v/>
      </c>
      <c r="O126" s="357" t="str">
        <f t="shared" si="92"/>
        <v/>
      </c>
      <c r="P126" s="357" t="str">
        <f t="shared" si="93"/>
        <v/>
      </c>
      <c r="Q126" s="357" t="str">
        <f t="shared" si="94"/>
        <v/>
      </c>
      <c r="R126" s="358" t="str" cm="1">
        <f t="array" ref="R126">IF(OR($A126="",D126=""),"",IFERROR(LOOKUP(2,1/(E126:Q126&lt;&gt;""),E126:Q126)-D126,""))</f>
        <v/>
      </c>
      <c r="S126" s="349"/>
      <c r="T126" s="362" t="str">
        <f t="shared" si="95"/>
        <v/>
      </c>
      <c r="U126" s="362" t="str">
        <f t="shared" si="96"/>
        <v/>
      </c>
      <c r="V126" s="362" t="str">
        <f t="shared" si="97"/>
        <v/>
      </c>
      <c r="W126" s="362" t="str">
        <f t="shared" si="98"/>
        <v/>
      </c>
      <c r="X126" s="362" t="str">
        <f t="shared" si="99"/>
        <v/>
      </c>
      <c r="Y126" s="362" t="str">
        <f t="shared" si="100"/>
        <v/>
      </c>
      <c r="Z126" s="362" t="str">
        <f t="shared" si="101"/>
        <v/>
      </c>
      <c r="AA126" s="362" t="str">
        <f t="shared" si="102"/>
        <v/>
      </c>
      <c r="AB126" s="362" t="str">
        <f t="shared" si="103"/>
        <v/>
      </c>
      <c r="AC126" s="362" t="str">
        <f t="shared" si="104"/>
        <v/>
      </c>
      <c r="AD126" s="362" t="str">
        <f t="shared" si="105"/>
        <v/>
      </c>
      <c r="AE126" s="362" t="str">
        <f t="shared" si="106"/>
        <v/>
      </c>
      <c r="AF126" s="362" t="str">
        <f t="shared" si="107"/>
        <v/>
      </c>
      <c r="AG126" s="362" t="str">
        <f t="shared" si="108"/>
        <v/>
      </c>
      <c r="AH126" s="363" t="str" cm="1">
        <f t="array" ref="AH126">IF(OR($A126="",T126=""),"",IFERROR(LOOKUP(2,1/(U126:AG126&lt;&gt;""),U126:AG126)-T126,""))</f>
        <v/>
      </c>
      <c r="AI126" s="349"/>
      <c r="AJ126" s="349" t="str" cm="1">
        <f t="array" ref="AJ126">IF($A126="","",IFERROR(MATCH($A126,TRIM('Sales and count'!$A$4:$A$300&amp;""),0),""))</f>
        <v/>
      </c>
      <c r="AK126" s="350" t="str" cm="1">
        <f t="array" ref="AK126">IF(OR($A126="",AK$6=""),"",IFERROR(INDEX(Footfall!$C$5:$BZ$301,MATCH($A126,TRIM(Footfall!$B$5:$B$301&amp;""),0),AK$5),0))</f>
        <v/>
      </c>
      <c r="AL126" s="350" t="str" cm="1">
        <f t="array" ref="AL126">IF(OR($A126="",AL$6=""),"",IFERROR(INDEX(Footfall!$C$5:$BZ$301,MATCH($A126,TRIM(Footfall!$B$5:$B$301&amp;""),0),AL$5),0))</f>
        <v/>
      </c>
      <c r="AM126" s="350" t="str" cm="1">
        <f t="array" ref="AM126">IF(OR($A126="",AM$6=""),"",IFERROR(INDEX(Footfall!$C$5:$BZ$301,MATCH($A126,TRIM(Footfall!$B$5:$B$301&amp;""),0),AM$5),0))</f>
        <v/>
      </c>
      <c r="AN126" s="350" t="str" cm="1">
        <f t="array" ref="AN126">IF(OR($A126="",AN$6=""),"",IFERROR(INDEX(Footfall!$C$5:$BZ$301,MATCH($A126,TRIM(Footfall!$B$5:$B$301&amp;""),0),AN$5),0))</f>
        <v/>
      </c>
      <c r="AO126" s="350" t="str" cm="1">
        <f t="array" ref="AO126">IF(OR($A126="",AO$6=""),"",IFERROR(INDEX(Footfall!$C$5:$BZ$301,MATCH($A126,TRIM(Footfall!$B$5:$B$301&amp;""),0),AO$5),0))</f>
        <v/>
      </c>
      <c r="AP126" s="350" t="str" cm="1">
        <f t="array" ref="AP126">IF(OR($A126="",AP$6=""),"",IFERROR(INDEX(Footfall!$C$5:$BZ$301,MATCH($A126,TRIM(Footfall!$B$5:$B$301&amp;""),0),AP$5),0))</f>
        <v/>
      </c>
      <c r="AQ126" s="350" t="str" cm="1">
        <f t="array" ref="AQ126">IF(OR($A126="",AQ$6=""),"",IFERROR(INDEX(Footfall!$C$5:$BZ$301,MATCH($A126,TRIM(Footfall!$B$5:$B$301&amp;""),0),AQ$5),0))</f>
        <v/>
      </c>
      <c r="AR126" s="350" t="str" cm="1">
        <f t="array" ref="AR126">IF(OR($A126="",AR$6=""),"",IFERROR(INDEX(Footfall!$C$5:$BZ$301,MATCH($A126,TRIM(Footfall!$B$5:$B$301&amp;""),0),AR$5),0))</f>
        <v/>
      </c>
      <c r="AS126" s="350" t="str" cm="1">
        <f t="array" ref="AS126">IF(OR($A126="",AS$6=""),"",IFERROR(INDEX(Footfall!$C$5:$BZ$301,MATCH($A126,TRIM(Footfall!$B$5:$B$301&amp;""),0),AS$5),0))</f>
        <v/>
      </c>
      <c r="AT126" s="350" t="str" cm="1">
        <f t="array" ref="AT126">IF(OR($A126="",AT$6=""),"",IFERROR(INDEX(Footfall!$C$5:$BZ$301,MATCH($A126,TRIM(Footfall!$B$5:$B$301&amp;""),0),AT$5),0))</f>
        <v/>
      </c>
      <c r="AU126" s="350" t="str" cm="1">
        <f t="array" ref="AU126">IF(OR($A126="",AU$6=""),"",IFERROR(INDEX(Footfall!$C$5:$BZ$301,MATCH($A126,TRIM(Footfall!$B$5:$B$301&amp;""),0),AU$5),0))</f>
        <v/>
      </c>
      <c r="AV126" s="350" t="str" cm="1">
        <f t="array" ref="AV126">IF(OR($A126="",AV$6=""),"",IFERROR(INDEX(Footfall!$C$5:$BZ$301,MATCH($A126,TRIM(Footfall!$B$5:$B$301&amp;""),0),AV$5),0))</f>
        <v/>
      </c>
      <c r="AW126" s="350" t="str" cm="1">
        <f t="array" ref="AW126">IF(OR($A126="",AW$6=""),"",IFERROR(INDEX(Footfall!$C$5:$BZ$301,MATCH($A126,TRIM(Footfall!$B$5:$B$301&amp;""),0),AW$5),0))</f>
        <v/>
      </c>
      <c r="AX126" s="350" t="str" cm="1">
        <f t="array" ref="AX126">IF(OR($A126="",AX$6=""),"",IFERROR(INDEX(Footfall!$C$5:$BZ$301,MATCH($A126,TRIM(Footfall!$B$5:$B$301&amp;""),0),AX$5),0))</f>
        <v/>
      </c>
      <c r="AY126" s="350" t="str" cm="1">
        <f t="array" ref="AY126">IF(AK126="","",IF($AJ126="",0,_xlfn.LET(_xlpm.d,IFERROR(--'Sales and count'!$F$2:$CB$2,0),SUMPRODUCT(('Sales and count'!$G$3:$CC$3="Transactions")*(_xlpm.d&gt;=AY$6)*(_xlpm.d&lt;=AY$7),INDEX('Sales and count'!$G$4:$CC$300,$AJ126,0)))))</f>
        <v/>
      </c>
      <c r="AZ126" s="350" t="str" cm="1">
        <f t="array" ref="AZ126">IF(AL126="","",IF($AJ126="",0,_xlfn.LET(_xlpm.d,IFERROR(--'Sales and count'!$F$2:$CB$2,0),SUMPRODUCT(('Sales and count'!$G$3:$CC$3="Transactions")*(_xlpm.d&gt;=AZ$6)*(_xlpm.d&lt;=AZ$7),INDEX('Sales and count'!$G$4:$CC$300,$AJ126,0)))))</f>
        <v/>
      </c>
      <c r="BA126" s="350" t="str" cm="1">
        <f t="array" ref="BA126">IF(AM126="","",IF($AJ126="",0,_xlfn.LET(_xlpm.d,IFERROR(--'Sales and count'!$F$2:$CB$2,0),SUMPRODUCT(('Sales and count'!$G$3:$CC$3="Transactions")*(_xlpm.d&gt;=BA$6)*(_xlpm.d&lt;=BA$7),INDEX('Sales and count'!$G$4:$CC$300,$AJ126,0)))))</f>
        <v/>
      </c>
      <c r="BB126" s="350" t="str" cm="1">
        <f t="array" ref="BB126">IF(AN126="","",IF($AJ126="",0,_xlfn.LET(_xlpm.d,IFERROR(--'Sales and count'!$F$2:$CB$2,0),SUMPRODUCT(('Sales and count'!$G$3:$CC$3="Transactions")*(_xlpm.d&gt;=BB$6)*(_xlpm.d&lt;=BB$7),INDEX('Sales and count'!$G$4:$CC$300,$AJ126,0)))))</f>
        <v/>
      </c>
      <c r="BC126" s="350" t="str" cm="1">
        <f t="array" ref="BC126">IF(AO126="","",IF($AJ126="",0,_xlfn.LET(_xlpm.d,IFERROR(--'Sales and count'!$F$2:$CB$2,0),SUMPRODUCT(('Sales and count'!$G$3:$CC$3="Transactions")*(_xlpm.d&gt;=BC$6)*(_xlpm.d&lt;=BC$7),INDEX('Sales and count'!$G$4:$CC$300,$AJ126,0)))))</f>
        <v/>
      </c>
      <c r="BD126" s="350" t="str" cm="1">
        <f t="array" ref="BD126">IF(AP126="","",IF($AJ126="",0,_xlfn.LET(_xlpm.d,IFERROR(--'Sales and count'!$F$2:$CB$2,0),SUMPRODUCT(('Sales and count'!$G$3:$CC$3="Transactions")*(_xlpm.d&gt;=BD$6)*(_xlpm.d&lt;=BD$7),INDEX('Sales and count'!$G$4:$CC$300,$AJ126,0)))))</f>
        <v/>
      </c>
      <c r="BE126" s="350" t="str" cm="1">
        <f t="array" ref="BE126">IF(AQ126="","",IF($AJ126="",0,_xlfn.LET(_xlpm.d,IFERROR(--'Sales and count'!$F$2:$CB$2,0),SUMPRODUCT(('Sales and count'!$G$3:$CC$3="Transactions")*(_xlpm.d&gt;=BE$6)*(_xlpm.d&lt;=BE$7),INDEX('Sales and count'!$G$4:$CC$300,$AJ126,0)))))</f>
        <v/>
      </c>
      <c r="BF126" s="350" t="str" cm="1">
        <f t="array" ref="BF126">IF(AR126="","",IF($AJ126="",0,_xlfn.LET(_xlpm.d,IFERROR(--'Sales and count'!$F$2:$CB$2,0),SUMPRODUCT(('Sales and count'!$G$3:$CC$3="Transactions")*(_xlpm.d&gt;=BF$6)*(_xlpm.d&lt;=BF$7),INDEX('Sales and count'!$G$4:$CC$300,$AJ126,0)))))</f>
        <v/>
      </c>
      <c r="BG126" s="350" t="str" cm="1">
        <f t="array" ref="BG126">IF(AS126="","",IF($AJ126="",0,_xlfn.LET(_xlpm.d,IFERROR(--'Sales and count'!$F$2:$CB$2,0),SUMPRODUCT(('Sales and count'!$G$3:$CC$3="Transactions")*(_xlpm.d&gt;=BG$6)*(_xlpm.d&lt;=BG$7),INDEX('Sales and count'!$G$4:$CC$300,$AJ126,0)))))</f>
        <v/>
      </c>
      <c r="BH126" s="350" t="str" cm="1">
        <f t="array" ref="BH126">IF(AT126="","",IF($AJ126="",0,_xlfn.LET(_xlpm.d,IFERROR(--'Sales and count'!$F$2:$CB$2,0),SUMPRODUCT(('Sales and count'!$G$3:$CC$3="Transactions")*(_xlpm.d&gt;=BH$6)*(_xlpm.d&lt;=BH$7),INDEX('Sales and count'!$G$4:$CC$300,$AJ126,0)))))</f>
        <v/>
      </c>
      <c r="BI126" s="350" t="str" cm="1">
        <f t="array" ref="BI126">IF(AU126="","",IF($AJ126="",0,_xlfn.LET(_xlpm.d,IFERROR(--'Sales and count'!$F$2:$CB$2,0),SUMPRODUCT(('Sales and count'!$G$3:$CC$3="Transactions")*(_xlpm.d&gt;=BI$6)*(_xlpm.d&lt;=BI$7),INDEX('Sales and count'!$G$4:$CC$300,$AJ126,0)))))</f>
        <v/>
      </c>
      <c r="BJ126" s="350" t="str" cm="1">
        <f t="array" ref="BJ126">IF(AV126="","",IF($AJ126="",0,_xlfn.LET(_xlpm.d,IFERROR(--'Sales and count'!$F$2:$CB$2,0),SUMPRODUCT(('Sales and count'!$G$3:$CC$3="Transactions")*(_xlpm.d&gt;=BJ$6)*(_xlpm.d&lt;=BJ$7),INDEX('Sales and count'!$G$4:$CC$300,$AJ126,0)))))</f>
        <v/>
      </c>
      <c r="BK126" s="350" t="str" cm="1">
        <f t="array" ref="BK126">IF(AW126="","",IF($AJ126="",0,_xlfn.LET(_xlpm.d,IFERROR(--'Sales and count'!$F$2:$CB$2,0),SUMPRODUCT(('Sales and count'!$G$3:$CC$3="Transactions")*(_xlpm.d&gt;=BK$6)*(_xlpm.d&lt;=BK$7),INDEX('Sales and count'!$G$4:$CC$300,$AJ126,0)))))</f>
        <v/>
      </c>
      <c r="BL126" s="350" t="str" cm="1">
        <f t="array" ref="BL126">IF(AX126="","",IF($AJ126="",0,_xlfn.LET(_xlpm.d,IFERROR(--'Sales and count'!$F$2:$CB$2,0),SUMPRODUCT(('Sales and count'!$G$3:$CC$3="Transactions")*(_xlpm.d&gt;=BL$6)*(_xlpm.d&lt;=BL$7),INDEX('Sales and count'!$G$4:$CC$300,$AJ126,0)))))</f>
        <v/>
      </c>
      <c r="BM126" s="350" t="str" cm="1">
        <f t="array" ref="BM126">IF(AK126="","",IF($AJ126="",0,_xlfn.LET(_xlpm.d,IFERROR(--'Sales and count'!$G$2:$CC$2,0),SUMPRODUCT(('Sales and count'!$G$3:$CC$3="Total")*(_xlpm.d&gt;=BM$6)*(_xlpm.d&lt;=BM$7),INDEX('Sales and count'!$G$4:$CC$300,$AJ126,0)))))</f>
        <v/>
      </c>
      <c r="BN126" s="350" t="str" cm="1">
        <f t="array" ref="BN126">IF(AL126="","",IF($AJ126="",0,_xlfn.LET(_xlpm.d,IFERROR(--'Sales and count'!$G$2:$CC$2,0),SUMPRODUCT(('Sales and count'!$G$3:$CC$3="Total")*(_xlpm.d&gt;=BN$6)*(_xlpm.d&lt;=BN$7),INDEX('Sales and count'!$G$4:$CC$300,$AJ126,0)))))</f>
        <v/>
      </c>
      <c r="BO126" s="350" t="str" cm="1">
        <f t="array" ref="BO126">IF(AM126="","",IF($AJ126="",0,_xlfn.LET(_xlpm.d,IFERROR(--'Sales and count'!$G$2:$CC$2,0),SUMPRODUCT(('Sales and count'!$G$3:$CC$3="Total")*(_xlpm.d&gt;=BO$6)*(_xlpm.d&lt;=BO$7),INDEX('Sales and count'!$G$4:$CC$300,$AJ126,0)))))</f>
        <v/>
      </c>
      <c r="BP126" s="350" t="str" cm="1">
        <f t="array" ref="BP126">IF(AN126="","",IF($AJ126="",0,_xlfn.LET(_xlpm.d,IFERROR(--'Sales and count'!$G$2:$CC$2,0),SUMPRODUCT(('Sales and count'!$G$3:$CC$3="Total")*(_xlpm.d&gt;=BP$6)*(_xlpm.d&lt;=BP$7),INDEX('Sales and count'!$G$4:$CC$300,$AJ126,0)))))</f>
        <v/>
      </c>
      <c r="BQ126" s="350" t="str" cm="1">
        <f t="array" ref="BQ126">IF(AO126="","",IF($AJ126="",0,_xlfn.LET(_xlpm.d,IFERROR(--'Sales and count'!$G$2:$CC$2,0),SUMPRODUCT(('Sales and count'!$G$3:$CC$3="Total")*(_xlpm.d&gt;=BQ$6)*(_xlpm.d&lt;=BQ$7),INDEX('Sales and count'!$G$4:$CC$300,$AJ126,0)))))</f>
        <v/>
      </c>
      <c r="BR126" s="350" t="str" cm="1">
        <f t="array" ref="BR126">IF(AP126="","",IF($AJ126="",0,_xlfn.LET(_xlpm.d,IFERROR(--'Sales and count'!$G$2:$CC$2,0),SUMPRODUCT(('Sales and count'!$G$3:$CC$3="Total")*(_xlpm.d&gt;=BR$6)*(_xlpm.d&lt;=BR$7),INDEX('Sales and count'!$G$4:$CC$300,$AJ126,0)))))</f>
        <v/>
      </c>
      <c r="BS126" s="350" t="str" cm="1">
        <f t="array" ref="BS126">IF(AQ126="","",IF($AJ126="",0,_xlfn.LET(_xlpm.d,IFERROR(--'Sales and count'!$G$2:$CC$2,0),SUMPRODUCT(('Sales and count'!$G$3:$CC$3="Total")*(_xlpm.d&gt;=BS$6)*(_xlpm.d&lt;=BS$7),INDEX('Sales and count'!$G$4:$CC$300,$AJ126,0)))))</f>
        <v/>
      </c>
      <c r="BT126" s="350" t="str" cm="1">
        <f t="array" ref="BT126">IF(AR126="","",IF($AJ126="",0,_xlfn.LET(_xlpm.d,IFERROR(--'Sales and count'!$G$2:$CC$2,0),SUMPRODUCT(('Sales and count'!$G$3:$CC$3="Total")*(_xlpm.d&gt;=BT$6)*(_xlpm.d&lt;=BT$7),INDEX('Sales and count'!$G$4:$CC$300,$AJ126,0)))))</f>
        <v/>
      </c>
      <c r="BU126" s="350" t="str" cm="1">
        <f t="array" ref="BU126">IF(AS126="","",IF($AJ126="",0,_xlfn.LET(_xlpm.d,IFERROR(--'Sales and count'!$G$2:$CC$2,0),SUMPRODUCT(('Sales and count'!$G$3:$CC$3="Total")*(_xlpm.d&gt;=BU$6)*(_xlpm.d&lt;=BU$7),INDEX('Sales and count'!$G$4:$CC$300,$AJ126,0)))))</f>
        <v/>
      </c>
      <c r="BV126" s="350" t="str" cm="1">
        <f t="array" ref="BV126">IF(AT126="","",IF($AJ126="",0,_xlfn.LET(_xlpm.d,IFERROR(--'Sales and count'!$G$2:$CC$2,0),SUMPRODUCT(('Sales and count'!$G$3:$CC$3="Total")*(_xlpm.d&gt;=BV$6)*(_xlpm.d&lt;=BV$7),INDEX('Sales and count'!$G$4:$CC$300,$AJ126,0)))))</f>
        <v/>
      </c>
      <c r="BW126" s="350" t="str" cm="1">
        <f t="array" ref="BW126">IF(AU126="","",IF($AJ126="",0,_xlfn.LET(_xlpm.d,IFERROR(--'Sales and count'!$G$2:$CC$2,0),SUMPRODUCT(('Sales and count'!$G$3:$CC$3="Total")*(_xlpm.d&gt;=BW$6)*(_xlpm.d&lt;=BW$7),INDEX('Sales and count'!$G$4:$CC$300,$AJ126,0)))))</f>
        <v/>
      </c>
      <c r="BX126" s="350" t="str" cm="1">
        <f t="array" ref="BX126">IF(AV126="","",IF($AJ126="",0,_xlfn.LET(_xlpm.d,IFERROR(--'Sales and count'!$G$2:$CC$2,0),SUMPRODUCT(('Sales and count'!$G$3:$CC$3="Total")*(_xlpm.d&gt;=BX$6)*(_xlpm.d&lt;=BX$7),INDEX('Sales and count'!$G$4:$CC$300,$AJ126,0)))))</f>
        <v/>
      </c>
      <c r="BY126" s="350" t="str" cm="1">
        <f t="array" ref="BY126">IF(AW126="","",IF($AJ126="",0,_xlfn.LET(_xlpm.d,IFERROR(--'Sales and count'!$G$2:$CC$2,0),SUMPRODUCT(('Sales and count'!$G$3:$CC$3="Total")*(_xlpm.d&gt;=BY$6)*(_xlpm.d&lt;=BY$7),INDEX('Sales and count'!$G$4:$CC$300,$AJ126,0)))))</f>
        <v/>
      </c>
      <c r="BZ126" s="350" t="str" cm="1">
        <f t="array" ref="BZ126">IF(AX126="","",IF($AJ126="",0,_xlfn.LET(_xlpm.d,IFERROR(--'Sales and count'!$G$2:$CC$2,0),SUMPRODUCT(('Sales and count'!$G$3:$CC$3="Total")*(_xlpm.d&gt;=BZ$6)*(_xlpm.d&lt;=BZ$7),INDEX('Sales and count'!$G$4:$CC$300,$AJ126,0)))))</f>
        <v/>
      </c>
    </row>
    <row r="127" spans="1:78" x14ac:dyDescent="0.25">
      <c r="A127" s="356"/>
      <c r="B127" s="356" t="str" cm="1">
        <f t="array" ref="B127">IF($A127="","",_xlfn.XLOOKUP($A127,TRIM(Footfall!$B$5:$B$301&amp;""),Footfall!$A$5:$A$301,""))</f>
        <v/>
      </c>
      <c r="C127" s="356" t="str" cm="1">
        <f t="array" ref="C127">IF($A127="","",_xlfn.XLOOKUP($A127,TRIM('Sales and count'!$A$4:$A$300&amp;""),'Sales and count'!$C$4:$C$300,"Not set"))</f>
        <v/>
      </c>
      <c r="D127" s="357" t="str">
        <f t="shared" si="81"/>
        <v/>
      </c>
      <c r="E127" s="357" t="str">
        <f t="shared" si="82"/>
        <v/>
      </c>
      <c r="F127" s="357" t="str">
        <f t="shared" si="83"/>
        <v/>
      </c>
      <c r="G127" s="357" t="str">
        <f t="shared" si="84"/>
        <v/>
      </c>
      <c r="H127" s="357" t="str">
        <f t="shared" si="85"/>
        <v/>
      </c>
      <c r="I127" s="357" t="str">
        <f t="shared" si="86"/>
        <v/>
      </c>
      <c r="J127" s="357" t="str">
        <f t="shared" si="87"/>
        <v/>
      </c>
      <c r="K127" s="357" t="str">
        <f t="shared" si="88"/>
        <v/>
      </c>
      <c r="L127" s="357" t="str">
        <f t="shared" si="89"/>
        <v/>
      </c>
      <c r="M127" s="357" t="str">
        <f t="shared" si="90"/>
        <v/>
      </c>
      <c r="N127" s="357" t="str">
        <f t="shared" si="91"/>
        <v/>
      </c>
      <c r="O127" s="357" t="str">
        <f t="shared" si="92"/>
        <v/>
      </c>
      <c r="P127" s="357" t="str">
        <f t="shared" si="93"/>
        <v/>
      </c>
      <c r="Q127" s="357" t="str">
        <f t="shared" si="94"/>
        <v/>
      </c>
      <c r="R127" s="358" t="str" cm="1">
        <f t="array" ref="R127">IF(OR($A127="",D127=""),"",IFERROR(LOOKUP(2,1/(E127:Q127&lt;&gt;""),E127:Q127)-D127,""))</f>
        <v/>
      </c>
      <c r="S127" s="349"/>
      <c r="T127" s="362" t="str">
        <f t="shared" si="95"/>
        <v/>
      </c>
      <c r="U127" s="362" t="str">
        <f t="shared" si="96"/>
        <v/>
      </c>
      <c r="V127" s="362" t="str">
        <f t="shared" si="97"/>
        <v/>
      </c>
      <c r="W127" s="362" t="str">
        <f t="shared" si="98"/>
        <v/>
      </c>
      <c r="X127" s="362" t="str">
        <f t="shared" si="99"/>
        <v/>
      </c>
      <c r="Y127" s="362" t="str">
        <f t="shared" si="100"/>
        <v/>
      </c>
      <c r="Z127" s="362" t="str">
        <f t="shared" si="101"/>
        <v/>
      </c>
      <c r="AA127" s="362" t="str">
        <f t="shared" si="102"/>
        <v/>
      </c>
      <c r="AB127" s="362" t="str">
        <f t="shared" si="103"/>
        <v/>
      </c>
      <c r="AC127" s="362" t="str">
        <f t="shared" si="104"/>
        <v/>
      </c>
      <c r="AD127" s="362" t="str">
        <f t="shared" si="105"/>
        <v/>
      </c>
      <c r="AE127" s="362" t="str">
        <f t="shared" si="106"/>
        <v/>
      </c>
      <c r="AF127" s="362" t="str">
        <f t="shared" si="107"/>
        <v/>
      </c>
      <c r="AG127" s="362" t="str">
        <f t="shared" si="108"/>
        <v/>
      </c>
      <c r="AH127" s="363" t="str" cm="1">
        <f t="array" ref="AH127">IF(OR($A127="",T127=""),"",IFERROR(LOOKUP(2,1/(U127:AG127&lt;&gt;""),U127:AG127)-T127,""))</f>
        <v/>
      </c>
      <c r="AI127" s="349"/>
      <c r="AJ127" s="349" t="str" cm="1">
        <f t="array" ref="AJ127">IF($A127="","",IFERROR(MATCH($A127,TRIM('Sales and count'!$A$4:$A$300&amp;""),0),""))</f>
        <v/>
      </c>
      <c r="AK127" s="350" t="str" cm="1">
        <f t="array" ref="AK127">IF(OR($A127="",AK$6=""),"",IFERROR(INDEX(Footfall!$C$5:$BZ$301,MATCH($A127,TRIM(Footfall!$B$5:$B$301&amp;""),0),AK$5),0))</f>
        <v/>
      </c>
      <c r="AL127" s="350" t="str" cm="1">
        <f t="array" ref="AL127">IF(OR($A127="",AL$6=""),"",IFERROR(INDEX(Footfall!$C$5:$BZ$301,MATCH($A127,TRIM(Footfall!$B$5:$B$301&amp;""),0),AL$5),0))</f>
        <v/>
      </c>
      <c r="AM127" s="350" t="str" cm="1">
        <f t="array" ref="AM127">IF(OR($A127="",AM$6=""),"",IFERROR(INDEX(Footfall!$C$5:$BZ$301,MATCH($A127,TRIM(Footfall!$B$5:$B$301&amp;""),0),AM$5),0))</f>
        <v/>
      </c>
      <c r="AN127" s="350" t="str" cm="1">
        <f t="array" ref="AN127">IF(OR($A127="",AN$6=""),"",IFERROR(INDEX(Footfall!$C$5:$BZ$301,MATCH($A127,TRIM(Footfall!$B$5:$B$301&amp;""),0),AN$5),0))</f>
        <v/>
      </c>
      <c r="AO127" s="350" t="str" cm="1">
        <f t="array" ref="AO127">IF(OR($A127="",AO$6=""),"",IFERROR(INDEX(Footfall!$C$5:$BZ$301,MATCH($A127,TRIM(Footfall!$B$5:$B$301&amp;""),0),AO$5),0))</f>
        <v/>
      </c>
      <c r="AP127" s="350" t="str" cm="1">
        <f t="array" ref="AP127">IF(OR($A127="",AP$6=""),"",IFERROR(INDEX(Footfall!$C$5:$BZ$301,MATCH($A127,TRIM(Footfall!$B$5:$B$301&amp;""),0),AP$5),0))</f>
        <v/>
      </c>
      <c r="AQ127" s="350" t="str" cm="1">
        <f t="array" ref="AQ127">IF(OR($A127="",AQ$6=""),"",IFERROR(INDEX(Footfall!$C$5:$BZ$301,MATCH($A127,TRIM(Footfall!$B$5:$B$301&amp;""),0),AQ$5),0))</f>
        <v/>
      </c>
      <c r="AR127" s="350" t="str" cm="1">
        <f t="array" ref="AR127">IF(OR($A127="",AR$6=""),"",IFERROR(INDEX(Footfall!$C$5:$BZ$301,MATCH($A127,TRIM(Footfall!$B$5:$B$301&amp;""),0),AR$5),0))</f>
        <v/>
      </c>
      <c r="AS127" s="350" t="str" cm="1">
        <f t="array" ref="AS127">IF(OR($A127="",AS$6=""),"",IFERROR(INDEX(Footfall!$C$5:$BZ$301,MATCH($A127,TRIM(Footfall!$B$5:$B$301&amp;""),0),AS$5),0))</f>
        <v/>
      </c>
      <c r="AT127" s="350" t="str" cm="1">
        <f t="array" ref="AT127">IF(OR($A127="",AT$6=""),"",IFERROR(INDEX(Footfall!$C$5:$BZ$301,MATCH($A127,TRIM(Footfall!$B$5:$B$301&amp;""),0),AT$5),0))</f>
        <v/>
      </c>
      <c r="AU127" s="350" t="str" cm="1">
        <f t="array" ref="AU127">IF(OR($A127="",AU$6=""),"",IFERROR(INDEX(Footfall!$C$5:$BZ$301,MATCH($A127,TRIM(Footfall!$B$5:$B$301&amp;""),0),AU$5),0))</f>
        <v/>
      </c>
      <c r="AV127" s="350" t="str" cm="1">
        <f t="array" ref="AV127">IF(OR($A127="",AV$6=""),"",IFERROR(INDEX(Footfall!$C$5:$BZ$301,MATCH($A127,TRIM(Footfall!$B$5:$B$301&amp;""),0),AV$5),0))</f>
        <v/>
      </c>
      <c r="AW127" s="350" t="str" cm="1">
        <f t="array" ref="AW127">IF(OR($A127="",AW$6=""),"",IFERROR(INDEX(Footfall!$C$5:$BZ$301,MATCH($A127,TRIM(Footfall!$B$5:$B$301&amp;""),0),AW$5),0))</f>
        <v/>
      </c>
      <c r="AX127" s="350" t="str" cm="1">
        <f t="array" ref="AX127">IF(OR($A127="",AX$6=""),"",IFERROR(INDEX(Footfall!$C$5:$BZ$301,MATCH($A127,TRIM(Footfall!$B$5:$B$301&amp;""),0),AX$5),0))</f>
        <v/>
      </c>
      <c r="AY127" s="350" t="str" cm="1">
        <f t="array" ref="AY127">IF(AK127="","",IF($AJ127="",0,_xlfn.LET(_xlpm.d,IFERROR(--'Sales and count'!$F$2:$CB$2,0),SUMPRODUCT(('Sales and count'!$G$3:$CC$3="Transactions")*(_xlpm.d&gt;=AY$6)*(_xlpm.d&lt;=AY$7),INDEX('Sales and count'!$G$4:$CC$300,$AJ127,0)))))</f>
        <v/>
      </c>
      <c r="AZ127" s="350" t="str" cm="1">
        <f t="array" ref="AZ127">IF(AL127="","",IF($AJ127="",0,_xlfn.LET(_xlpm.d,IFERROR(--'Sales and count'!$F$2:$CB$2,0),SUMPRODUCT(('Sales and count'!$G$3:$CC$3="Transactions")*(_xlpm.d&gt;=AZ$6)*(_xlpm.d&lt;=AZ$7),INDEX('Sales and count'!$G$4:$CC$300,$AJ127,0)))))</f>
        <v/>
      </c>
      <c r="BA127" s="350" t="str" cm="1">
        <f t="array" ref="BA127">IF(AM127="","",IF($AJ127="",0,_xlfn.LET(_xlpm.d,IFERROR(--'Sales and count'!$F$2:$CB$2,0),SUMPRODUCT(('Sales and count'!$G$3:$CC$3="Transactions")*(_xlpm.d&gt;=BA$6)*(_xlpm.d&lt;=BA$7),INDEX('Sales and count'!$G$4:$CC$300,$AJ127,0)))))</f>
        <v/>
      </c>
      <c r="BB127" s="350" t="str" cm="1">
        <f t="array" ref="BB127">IF(AN127="","",IF($AJ127="",0,_xlfn.LET(_xlpm.d,IFERROR(--'Sales and count'!$F$2:$CB$2,0),SUMPRODUCT(('Sales and count'!$G$3:$CC$3="Transactions")*(_xlpm.d&gt;=BB$6)*(_xlpm.d&lt;=BB$7),INDEX('Sales and count'!$G$4:$CC$300,$AJ127,0)))))</f>
        <v/>
      </c>
      <c r="BC127" s="350" t="str" cm="1">
        <f t="array" ref="BC127">IF(AO127="","",IF($AJ127="",0,_xlfn.LET(_xlpm.d,IFERROR(--'Sales and count'!$F$2:$CB$2,0),SUMPRODUCT(('Sales and count'!$G$3:$CC$3="Transactions")*(_xlpm.d&gt;=BC$6)*(_xlpm.d&lt;=BC$7),INDEX('Sales and count'!$G$4:$CC$300,$AJ127,0)))))</f>
        <v/>
      </c>
      <c r="BD127" s="350" t="str" cm="1">
        <f t="array" ref="BD127">IF(AP127="","",IF($AJ127="",0,_xlfn.LET(_xlpm.d,IFERROR(--'Sales and count'!$F$2:$CB$2,0),SUMPRODUCT(('Sales and count'!$G$3:$CC$3="Transactions")*(_xlpm.d&gt;=BD$6)*(_xlpm.d&lt;=BD$7),INDEX('Sales and count'!$G$4:$CC$300,$AJ127,0)))))</f>
        <v/>
      </c>
      <c r="BE127" s="350" t="str" cm="1">
        <f t="array" ref="BE127">IF(AQ127="","",IF($AJ127="",0,_xlfn.LET(_xlpm.d,IFERROR(--'Sales and count'!$F$2:$CB$2,0),SUMPRODUCT(('Sales and count'!$G$3:$CC$3="Transactions")*(_xlpm.d&gt;=BE$6)*(_xlpm.d&lt;=BE$7),INDEX('Sales and count'!$G$4:$CC$300,$AJ127,0)))))</f>
        <v/>
      </c>
      <c r="BF127" s="350" t="str" cm="1">
        <f t="array" ref="BF127">IF(AR127="","",IF($AJ127="",0,_xlfn.LET(_xlpm.d,IFERROR(--'Sales and count'!$F$2:$CB$2,0),SUMPRODUCT(('Sales and count'!$G$3:$CC$3="Transactions")*(_xlpm.d&gt;=BF$6)*(_xlpm.d&lt;=BF$7),INDEX('Sales and count'!$G$4:$CC$300,$AJ127,0)))))</f>
        <v/>
      </c>
      <c r="BG127" s="350" t="str" cm="1">
        <f t="array" ref="BG127">IF(AS127="","",IF($AJ127="",0,_xlfn.LET(_xlpm.d,IFERROR(--'Sales and count'!$F$2:$CB$2,0),SUMPRODUCT(('Sales and count'!$G$3:$CC$3="Transactions")*(_xlpm.d&gt;=BG$6)*(_xlpm.d&lt;=BG$7),INDEX('Sales and count'!$G$4:$CC$300,$AJ127,0)))))</f>
        <v/>
      </c>
      <c r="BH127" s="350" t="str" cm="1">
        <f t="array" ref="BH127">IF(AT127="","",IF($AJ127="",0,_xlfn.LET(_xlpm.d,IFERROR(--'Sales and count'!$F$2:$CB$2,0),SUMPRODUCT(('Sales and count'!$G$3:$CC$3="Transactions")*(_xlpm.d&gt;=BH$6)*(_xlpm.d&lt;=BH$7),INDEX('Sales and count'!$G$4:$CC$300,$AJ127,0)))))</f>
        <v/>
      </c>
      <c r="BI127" s="350" t="str" cm="1">
        <f t="array" ref="BI127">IF(AU127="","",IF($AJ127="",0,_xlfn.LET(_xlpm.d,IFERROR(--'Sales and count'!$F$2:$CB$2,0),SUMPRODUCT(('Sales and count'!$G$3:$CC$3="Transactions")*(_xlpm.d&gt;=BI$6)*(_xlpm.d&lt;=BI$7),INDEX('Sales and count'!$G$4:$CC$300,$AJ127,0)))))</f>
        <v/>
      </c>
      <c r="BJ127" s="350" t="str" cm="1">
        <f t="array" ref="BJ127">IF(AV127="","",IF($AJ127="",0,_xlfn.LET(_xlpm.d,IFERROR(--'Sales and count'!$F$2:$CB$2,0),SUMPRODUCT(('Sales and count'!$G$3:$CC$3="Transactions")*(_xlpm.d&gt;=BJ$6)*(_xlpm.d&lt;=BJ$7),INDEX('Sales and count'!$G$4:$CC$300,$AJ127,0)))))</f>
        <v/>
      </c>
      <c r="BK127" s="350" t="str" cm="1">
        <f t="array" ref="BK127">IF(AW127="","",IF($AJ127="",0,_xlfn.LET(_xlpm.d,IFERROR(--'Sales and count'!$F$2:$CB$2,0),SUMPRODUCT(('Sales and count'!$G$3:$CC$3="Transactions")*(_xlpm.d&gt;=BK$6)*(_xlpm.d&lt;=BK$7),INDEX('Sales and count'!$G$4:$CC$300,$AJ127,0)))))</f>
        <v/>
      </c>
      <c r="BL127" s="350" t="str" cm="1">
        <f t="array" ref="BL127">IF(AX127="","",IF($AJ127="",0,_xlfn.LET(_xlpm.d,IFERROR(--'Sales and count'!$F$2:$CB$2,0),SUMPRODUCT(('Sales and count'!$G$3:$CC$3="Transactions")*(_xlpm.d&gt;=BL$6)*(_xlpm.d&lt;=BL$7),INDEX('Sales and count'!$G$4:$CC$300,$AJ127,0)))))</f>
        <v/>
      </c>
      <c r="BM127" s="350" t="str" cm="1">
        <f t="array" ref="BM127">IF(AK127="","",IF($AJ127="",0,_xlfn.LET(_xlpm.d,IFERROR(--'Sales and count'!$G$2:$CC$2,0),SUMPRODUCT(('Sales and count'!$G$3:$CC$3="Total")*(_xlpm.d&gt;=BM$6)*(_xlpm.d&lt;=BM$7),INDEX('Sales and count'!$G$4:$CC$300,$AJ127,0)))))</f>
        <v/>
      </c>
      <c r="BN127" s="350" t="str" cm="1">
        <f t="array" ref="BN127">IF(AL127="","",IF($AJ127="",0,_xlfn.LET(_xlpm.d,IFERROR(--'Sales and count'!$G$2:$CC$2,0),SUMPRODUCT(('Sales and count'!$G$3:$CC$3="Total")*(_xlpm.d&gt;=BN$6)*(_xlpm.d&lt;=BN$7),INDEX('Sales and count'!$G$4:$CC$300,$AJ127,0)))))</f>
        <v/>
      </c>
      <c r="BO127" s="350" t="str" cm="1">
        <f t="array" ref="BO127">IF(AM127="","",IF($AJ127="",0,_xlfn.LET(_xlpm.d,IFERROR(--'Sales and count'!$G$2:$CC$2,0),SUMPRODUCT(('Sales and count'!$G$3:$CC$3="Total")*(_xlpm.d&gt;=BO$6)*(_xlpm.d&lt;=BO$7),INDEX('Sales and count'!$G$4:$CC$300,$AJ127,0)))))</f>
        <v/>
      </c>
      <c r="BP127" s="350" t="str" cm="1">
        <f t="array" ref="BP127">IF(AN127="","",IF($AJ127="",0,_xlfn.LET(_xlpm.d,IFERROR(--'Sales and count'!$G$2:$CC$2,0),SUMPRODUCT(('Sales and count'!$G$3:$CC$3="Total")*(_xlpm.d&gt;=BP$6)*(_xlpm.d&lt;=BP$7),INDEX('Sales and count'!$G$4:$CC$300,$AJ127,0)))))</f>
        <v/>
      </c>
      <c r="BQ127" s="350" t="str" cm="1">
        <f t="array" ref="BQ127">IF(AO127="","",IF($AJ127="",0,_xlfn.LET(_xlpm.d,IFERROR(--'Sales and count'!$G$2:$CC$2,0),SUMPRODUCT(('Sales and count'!$G$3:$CC$3="Total")*(_xlpm.d&gt;=BQ$6)*(_xlpm.d&lt;=BQ$7),INDEX('Sales and count'!$G$4:$CC$300,$AJ127,0)))))</f>
        <v/>
      </c>
      <c r="BR127" s="350" t="str" cm="1">
        <f t="array" ref="BR127">IF(AP127="","",IF($AJ127="",0,_xlfn.LET(_xlpm.d,IFERROR(--'Sales and count'!$G$2:$CC$2,0),SUMPRODUCT(('Sales and count'!$G$3:$CC$3="Total")*(_xlpm.d&gt;=BR$6)*(_xlpm.d&lt;=BR$7),INDEX('Sales and count'!$G$4:$CC$300,$AJ127,0)))))</f>
        <v/>
      </c>
      <c r="BS127" s="350" t="str" cm="1">
        <f t="array" ref="BS127">IF(AQ127="","",IF($AJ127="",0,_xlfn.LET(_xlpm.d,IFERROR(--'Sales and count'!$G$2:$CC$2,0),SUMPRODUCT(('Sales and count'!$G$3:$CC$3="Total")*(_xlpm.d&gt;=BS$6)*(_xlpm.d&lt;=BS$7),INDEX('Sales and count'!$G$4:$CC$300,$AJ127,0)))))</f>
        <v/>
      </c>
      <c r="BT127" s="350" t="str" cm="1">
        <f t="array" ref="BT127">IF(AR127="","",IF($AJ127="",0,_xlfn.LET(_xlpm.d,IFERROR(--'Sales and count'!$G$2:$CC$2,0),SUMPRODUCT(('Sales and count'!$G$3:$CC$3="Total")*(_xlpm.d&gt;=BT$6)*(_xlpm.d&lt;=BT$7),INDEX('Sales and count'!$G$4:$CC$300,$AJ127,0)))))</f>
        <v/>
      </c>
      <c r="BU127" s="350" t="str" cm="1">
        <f t="array" ref="BU127">IF(AS127="","",IF($AJ127="",0,_xlfn.LET(_xlpm.d,IFERROR(--'Sales and count'!$G$2:$CC$2,0),SUMPRODUCT(('Sales and count'!$G$3:$CC$3="Total")*(_xlpm.d&gt;=BU$6)*(_xlpm.d&lt;=BU$7),INDEX('Sales and count'!$G$4:$CC$300,$AJ127,0)))))</f>
        <v/>
      </c>
      <c r="BV127" s="350" t="str" cm="1">
        <f t="array" ref="BV127">IF(AT127="","",IF($AJ127="",0,_xlfn.LET(_xlpm.d,IFERROR(--'Sales and count'!$G$2:$CC$2,0),SUMPRODUCT(('Sales and count'!$G$3:$CC$3="Total")*(_xlpm.d&gt;=BV$6)*(_xlpm.d&lt;=BV$7),INDEX('Sales and count'!$G$4:$CC$300,$AJ127,0)))))</f>
        <v/>
      </c>
      <c r="BW127" s="350" t="str" cm="1">
        <f t="array" ref="BW127">IF(AU127="","",IF($AJ127="",0,_xlfn.LET(_xlpm.d,IFERROR(--'Sales and count'!$G$2:$CC$2,0),SUMPRODUCT(('Sales and count'!$G$3:$CC$3="Total")*(_xlpm.d&gt;=BW$6)*(_xlpm.d&lt;=BW$7),INDEX('Sales and count'!$G$4:$CC$300,$AJ127,0)))))</f>
        <v/>
      </c>
      <c r="BX127" s="350" t="str" cm="1">
        <f t="array" ref="BX127">IF(AV127="","",IF($AJ127="",0,_xlfn.LET(_xlpm.d,IFERROR(--'Sales and count'!$G$2:$CC$2,0),SUMPRODUCT(('Sales and count'!$G$3:$CC$3="Total")*(_xlpm.d&gt;=BX$6)*(_xlpm.d&lt;=BX$7),INDEX('Sales and count'!$G$4:$CC$300,$AJ127,0)))))</f>
        <v/>
      </c>
      <c r="BY127" s="350" t="str" cm="1">
        <f t="array" ref="BY127">IF(AW127="","",IF($AJ127="",0,_xlfn.LET(_xlpm.d,IFERROR(--'Sales and count'!$G$2:$CC$2,0),SUMPRODUCT(('Sales and count'!$G$3:$CC$3="Total")*(_xlpm.d&gt;=BY$6)*(_xlpm.d&lt;=BY$7),INDEX('Sales and count'!$G$4:$CC$300,$AJ127,0)))))</f>
        <v/>
      </c>
      <c r="BZ127" s="350" t="str" cm="1">
        <f t="array" ref="BZ127">IF(AX127="","",IF($AJ127="",0,_xlfn.LET(_xlpm.d,IFERROR(--'Sales and count'!$G$2:$CC$2,0),SUMPRODUCT(('Sales and count'!$G$3:$CC$3="Total")*(_xlpm.d&gt;=BZ$6)*(_xlpm.d&lt;=BZ$7),INDEX('Sales and count'!$G$4:$CC$300,$AJ127,0)))))</f>
        <v/>
      </c>
    </row>
    <row r="128" spans="1:78" x14ac:dyDescent="0.25">
      <c r="A128" s="356"/>
      <c r="B128" s="356" t="str" cm="1">
        <f t="array" ref="B128">IF($A128="","",_xlfn.XLOOKUP($A128,TRIM(Footfall!$B$5:$B$301&amp;""),Footfall!$A$5:$A$301,""))</f>
        <v/>
      </c>
      <c r="C128" s="356" t="str" cm="1">
        <f t="array" ref="C128">IF($A128="","",_xlfn.XLOOKUP($A128,TRIM('Sales and count'!$A$4:$A$300&amp;""),'Sales and count'!$C$4:$C$300,"Not set"))</f>
        <v/>
      </c>
      <c r="D128" s="357" t="str">
        <f t="shared" si="81"/>
        <v/>
      </c>
      <c r="E128" s="357" t="str">
        <f t="shared" si="82"/>
        <v/>
      </c>
      <c r="F128" s="357" t="str">
        <f t="shared" si="83"/>
        <v/>
      </c>
      <c r="G128" s="357" t="str">
        <f t="shared" si="84"/>
        <v/>
      </c>
      <c r="H128" s="357" t="str">
        <f t="shared" si="85"/>
        <v/>
      </c>
      <c r="I128" s="357" t="str">
        <f t="shared" si="86"/>
        <v/>
      </c>
      <c r="J128" s="357" t="str">
        <f t="shared" si="87"/>
        <v/>
      </c>
      <c r="K128" s="357" t="str">
        <f t="shared" si="88"/>
        <v/>
      </c>
      <c r="L128" s="357" t="str">
        <f t="shared" si="89"/>
        <v/>
      </c>
      <c r="M128" s="357" t="str">
        <f t="shared" si="90"/>
        <v/>
      </c>
      <c r="N128" s="357" t="str">
        <f t="shared" si="91"/>
        <v/>
      </c>
      <c r="O128" s="357" t="str">
        <f t="shared" si="92"/>
        <v/>
      </c>
      <c r="P128" s="357" t="str">
        <f t="shared" si="93"/>
        <v/>
      </c>
      <c r="Q128" s="357" t="str">
        <f t="shared" si="94"/>
        <v/>
      </c>
      <c r="R128" s="358" t="str" cm="1">
        <f t="array" ref="R128">IF(OR($A128="",D128=""),"",IFERROR(LOOKUP(2,1/(E128:Q128&lt;&gt;""),E128:Q128)-D128,""))</f>
        <v/>
      </c>
      <c r="S128" s="349"/>
      <c r="T128" s="362" t="str">
        <f t="shared" si="95"/>
        <v/>
      </c>
      <c r="U128" s="362" t="str">
        <f t="shared" si="96"/>
        <v/>
      </c>
      <c r="V128" s="362" t="str">
        <f t="shared" si="97"/>
        <v/>
      </c>
      <c r="W128" s="362" t="str">
        <f t="shared" si="98"/>
        <v/>
      </c>
      <c r="X128" s="362" t="str">
        <f t="shared" si="99"/>
        <v/>
      </c>
      <c r="Y128" s="362" t="str">
        <f t="shared" si="100"/>
        <v/>
      </c>
      <c r="Z128" s="362" t="str">
        <f t="shared" si="101"/>
        <v/>
      </c>
      <c r="AA128" s="362" t="str">
        <f t="shared" si="102"/>
        <v/>
      </c>
      <c r="AB128" s="362" t="str">
        <f t="shared" si="103"/>
        <v/>
      </c>
      <c r="AC128" s="362" t="str">
        <f t="shared" si="104"/>
        <v/>
      </c>
      <c r="AD128" s="362" t="str">
        <f t="shared" si="105"/>
        <v/>
      </c>
      <c r="AE128" s="362" t="str">
        <f t="shared" si="106"/>
        <v/>
      </c>
      <c r="AF128" s="362" t="str">
        <f t="shared" si="107"/>
        <v/>
      </c>
      <c r="AG128" s="362" t="str">
        <f t="shared" si="108"/>
        <v/>
      </c>
      <c r="AH128" s="363" t="str" cm="1">
        <f t="array" ref="AH128">IF(OR($A128="",T128=""),"",IFERROR(LOOKUP(2,1/(U128:AG128&lt;&gt;""),U128:AG128)-T128,""))</f>
        <v/>
      </c>
      <c r="AI128" s="349"/>
      <c r="AJ128" s="349" t="str" cm="1">
        <f t="array" ref="AJ128">IF($A128="","",IFERROR(MATCH($A128,TRIM('Sales and count'!$A$4:$A$300&amp;""),0),""))</f>
        <v/>
      </c>
      <c r="AK128" s="350" t="str" cm="1">
        <f t="array" ref="AK128">IF(OR($A128="",AK$6=""),"",IFERROR(INDEX(Footfall!$C$5:$BZ$301,MATCH($A128,TRIM(Footfall!$B$5:$B$301&amp;""),0),AK$5),0))</f>
        <v/>
      </c>
      <c r="AL128" s="350" t="str" cm="1">
        <f t="array" ref="AL128">IF(OR($A128="",AL$6=""),"",IFERROR(INDEX(Footfall!$C$5:$BZ$301,MATCH($A128,TRIM(Footfall!$B$5:$B$301&amp;""),0),AL$5),0))</f>
        <v/>
      </c>
      <c r="AM128" s="350" t="str" cm="1">
        <f t="array" ref="AM128">IF(OR($A128="",AM$6=""),"",IFERROR(INDEX(Footfall!$C$5:$BZ$301,MATCH($A128,TRIM(Footfall!$B$5:$B$301&amp;""),0),AM$5),0))</f>
        <v/>
      </c>
      <c r="AN128" s="350" t="str" cm="1">
        <f t="array" ref="AN128">IF(OR($A128="",AN$6=""),"",IFERROR(INDEX(Footfall!$C$5:$BZ$301,MATCH($A128,TRIM(Footfall!$B$5:$B$301&amp;""),0),AN$5),0))</f>
        <v/>
      </c>
      <c r="AO128" s="350" t="str" cm="1">
        <f t="array" ref="AO128">IF(OR($A128="",AO$6=""),"",IFERROR(INDEX(Footfall!$C$5:$BZ$301,MATCH($A128,TRIM(Footfall!$B$5:$B$301&amp;""),0),AO$5),0))</f>
        <v/>
      </c>
      <c r="AP128" s="350" t="str" cm="1">
        <f t="array" ref="AP128">IF(OR($A128="",AP$6=""),"",IFERROR(INDEX(Footfall!$C$5:$BZ$301,MATCH($A128,TRIM(Footfall!$B$5:$B$301&amp;""),0),AP$5),0))</f>
        <v/>
      </c>
      <c r="AQ128" s="350" t="str" cm="1">
        <f t="array" ref="AQ128">IF(OR($A128="",AQ$6=""),"",IFERROR(INDEX(Footfall!$C$5:$BZ$301,MATCH($A128,TRIM(Footfall!$B$5:$B$301&amp;""),0),AQ$5),0))</f>
        <v/>
      </c>
      <c r="AR128" s="350" t="str" cm="1">
        <f t="array" ref="AR128">IF(OR($A128="",AR$6=""),"",IFERROR(INDEX(Footfall!$C$5:$BZ$301,MATCH($A128,TRIM(Footfall!$B$5:$B$301&amp;""),0),AR$5),0))</f>
        <v/>
      </c>
      <c r="AS128" s="350" t="str" cm="1">
        <f t="array" ref="AS128">IF(OR($A128="",AS$6=""),"",IFERROR(INDEX(Footfall!$C$5:$BZ$301,MATCH($A128,TRIM(Footfall!$B$5:$B$301&amp;""),0),AS$5),0))</f>
        <v/>
      </c>
      <c r="AT128" s="350" t="str" cm="1">
        <f t="array" ref="AT128">IF(OR($A128="",AT$6=""),"",IFERROR(INDEX(Footfall!$C$5:$BZ$301,MATCH($A128,TRIM(Footfall!$B$5:$B$301&amp;""),0),AT$5),0))</f>
        <v/>
      </c>
      <c r="AU128" s="350" t="str" cm="1">
        <f t="array" ref="AU128">IF(OR($A128="",AU$6=""),"",IFERROR(INDEX(Footfall!$C$5:$BZ$301,MATCH($A128,TRIM(Footfall!$B$5:$B$301&amp;""),0),AU$5),0))</f>
        <v/>
      </c>
      <c r="AV128" s="350" t="str" cm="1">
        <f t="array" ref="AV128">IF(OR($A128="",AV$6=""),"",IFERROR(INDEX(Footfall!$C$5:$BZ$301,MATCH($A128,TRIM(Footfall!$B$5:$B$301&amp;""),0),AV$5),0))</f>
        <v/>
      </c>
      <c r="AW128" s="350" t="str" cm="1">
        <f t="array" ref="AW128">IF(OR($A128="",AW$6=""),"",IFERROR(INDEX(Footfall!$C$5:$BZ$301,MATCH($A128,TRIM(Footfall!$B$5:$B$301&amp;""),0),AW$5),0))</f>
        <v/>
      </c>
      <c r="AX128" s="350" t="str" cm="1">
        <f t="array" ref="AX128">IF(OR($A128="",AX$6=""),"",IFERROR(INDEX(Footfall!$C$5:$BZ$301,MATCH($A128,TRIM(Footfall!$B$5:$B$301&amp;""),0),AX$5),0))</f>
        <v/>
      </c>
      <c r="AY128" s="350" t="str" cm="1">
        <f t="array" ref="AY128">IF(AK128="","",IF($AJ128="",0,_xlfn.LET(_xlpm.d,IFERROR(--'Sales and count'!$F$2:$CB$2,0),SUMPRODUCT(('Sales and count'!$G$3:$CC$3="Transactions")*(_xlpm.d&gt;=AY$6)*(_xlpm.d&lt;=AY$7),INDEX('Sales and count'!$G$4:$CC$300,$AJ128,0)))))</f>
        <v/>
      </c>
      <c r="AZ128" s="350" t="str" cm="1">
        <f t="array" ref="AZ128">IF(AL128="","",IF($AJ128="",0,_xlfn.LET(_xlpm.d,IFERROR(--'Sales and count'!$F$2:$CB$2,0),SUMPRODUCT(('Sales and count'!$G$3:$CC$3="Transactions")*(_xlpm.d&gt;=AZ$6)*(_xlpm.d&lt;=AZ$7),INDEX('Sales and count'!$G$4:$CC$300,$AJ128,0)))))</f>
        <v/>
      </c>
      <c r="BA128" s="350" t="str" cm="1">
        <f t="array" ref="BA128">IF(AM128="","",IF($AJ128="",0,_xlfn.LET(_xlpm.d,IFERROR(--'Sales and count'!$F$2:$CB$2,0),SUMPRODUCT(('Sales and count'!$G$3:$CC$3="Transactions")*(_xlpm.d&gt;=BA$6)*(_xlpm.d&lt;=BA$7),INDEX('Sales and count'!$G$4:$CC$300,$AJ128,0)))))</f>
        <v/>
      </c>
      <c r="BB128" s="350" t="str" cm="1">
        <f t="array" ref="BB128">IF(AN128="","",IF($AJ128="",0,_xlfn.LET(_xlpm.d,IFERROR(--'Sales and count'!$F$2:$CB$2,0),SUMPRODUCT(('Sales and count'!$G$3:$CC$3="Transactions")*(_xlpm.d&gt;=BB$6)*(_xlpm.d&lt;=BB$7),INDEX('Sales and count'!$G$4:$CC$300,$AJ128,0)))))</f>
        <v/>
      </c>
      <c r="BC128" s="350" t="str" cm="1">
        <f t="array" ref="BC128">IF(AO128="","",IF($AJ128="",0,_xlfn.LET(_xlpm.d,IFERROR(--'Sales and count'!$F$2:$CB$2,0),SUMPRODUCT(('Sales and count'!$G$3:$CC$3="Transactions")*(_xlpm.d&gt;=BC$6)*(_xlpm.d&lt;=BC$7),INDEX('Sales and count'!$G$4:$CC$300,$AJ128,0)))))</f>
        <v/>
      </c>
      <c r="BD128" s="350" t="str" cm="1">
        <f t="array" ref="BD128">IF(AP128="","",IF($AJ128="",0,_xlfn.LET(_xlpm.d,IFERROR(--'Sales and count'!$F$2:$CB$2,0),SUMPRODUCT(('Sales and count'!$G$3:$CC$3="Transactions")*(_xlpm.d&gt;=BD$6)*(_xlpm.d&lt;=BD$7),INDEX('Sales and count'!$G$4:$CC$300,$AJ128,0)))))</f>
        <v/>
      </c>
      <c r="BE128" s="350" t="str" cm="1">
        <f t="array" ref="BE128">IF(AQ128="","",IF($AJ128="",0,_xlfn.LET(_xlpm.d,IFERROR(--'Sales and count'!$F$2:$CB$2,0),SUMPRODUCT(('Sales and count'!$G$3:$CC$3="Transactions")*(_xlpm.d&gt;=BE$6)*(_xlpm.d&lt;=BE$7),INDEX('Sales and count'!$G$4:$CC$300,$AJ128,0)))))</f>
        <v/>
      </c>
      <c r="BF128" s="350" t="str" cm="1">
        <f t="array" ref="BF128">IF(AR128="","",IF($AJ128="",0,_xlfn.LET(_xlpm.d,IFERROR(--'Sales and count'!$F$2:$CB$2,0),SUMPRODUCT(('Sales and count'!$G$3:$CC$3="Transactions")*(_xlpm.d&gt;=BF$6)*(_xlpm.d&lt;=BF$7),INDEX('Sales and count'!$G$4:$CC$300,$AJ128,0)))))</f>
        <v/>
      </c>
      <c r="BG128" s="350" t="str" cm="1">
        <f t="array" ref="BG128">IF(AS128="","",IF($AJ128="",0,_xlfn.LET(_xlpm.d,IFERROR(--'Sales and count'!$F$2:$CB$2,0),SUMPRODUCT(('Sales and count'!$G$3:$CC$3="Transactions")*(_xlpm.d&gt;=BG$6)*(_xlpm.d&lt;=BG$7),INDEX('Sales and count'!$G$4:$CC$300,$AJ128,0)))))</f>
        <v/>
      </c>
      <c r="BH128" s="350" t="str" cm="1">
        <f t="array" ref="BH128">IF(AT128="","",IF($AJ128="",0,_xlfn.LET(_xlpm.d,IFERROR(--'Sales and count'!$F$2:$CB$2,0),SUMPRODUCT(('Sales and count'!$G$3:$CC$3="Transactions")*(_xlpm.d&gt;=BH$6)*(_xlpm.d&lt;=BH$7),INDEX('Sales and count'!$G$4:$CC$300,$AJ128,0)))))</f>
        <v/>
      </c>
      <c r="BI128" s="350" t="str" cm="1">
        <f t="array" ref="BI128">IF(AU128="","",IF($AJ128="",0,_xlfn.LET(_xlpm.d,IFERROR(--'Sales and count'!$F$2:$CB$2,0),SUMPRODUCT(('Sales and count'!$G$3:$CC$3="Transactions")*(_xlpm.d&gt;=BI$6)*(_xlpm.d&lt;=BI$7),INDEX('Sales and count'!$G$4:$CC$300,$AJ128,0)))))</f>
        <v/>
      </c>
      <c r="BJ128" s="350" t="str" cm="1">
        <f t="array" ref="BJ128">IF(AV128="","",IF($AJ128="",0,_xlfn.LET(_xlpm.d,IFERROR(--'Sales and count'!$F$2:$CB$2,0),SUMPRODUCT(('Sales and count'!$G$3:$CC$3="Transactions")*(_xlpm.d&gt;=BJ$6)*(_xlpm.d&lt;=BJ$7),INDEX('Sales and count'!$G$4:$CC$300,$AJ128,0)))))</f>
        <v/>
      </c>
      <c r="BK128" s="350" t="str" cm="1">
        <f t="array" ref="BK128">IF(AW128="","",IF($AJ128="",0,_xlfn.LET(_xlpm.d,IFERROR(--'Sales and count'!$F$2:$CB$2,0),SUMPRODUCT(('Sales and count'!$G$3:$CC$3="Transactions")*(_xlpm.d&gt;=BK$6)*(_xlpm.d&lt;=BK$7),INDEX('Sales and count'!$G$4:$CC$300,$AJ128,0)))))</f>
        <v/>
      </c>
      <c r="BL128" s="350" t="str" cm="1">
        <f t="array" ref="BL128">IF(AX128="","",IF($AJ128="",0,_xlfn.LET(_xlpm.d,IFERROR(--'Sales and count'!$F$2:$CB$2,0),SUMPRODUCT(('Sales and count'!$G$3:$CC$3="Transactions")*(_xlpm.d&gt;=BL$6)*(_xlpm.d&lt;=BL$7),INDEX('Sales and count'!$G$4:$CC$300,$AJ128,0)))))</f>
        <v/>
      </c>
      <c r="BM128" s="350" t="str" cm="1">
        <f t="array" ref="BM128">IF(AK128="","",IF($AJ128="",0,_xlfn.LET(_xlpm.d,IFERROR(--'Sales and count'!$G$2:$CC$2,0),SUMPRODUCT(('Sales and count'!$G$3:$CC$3="Total")*(_xlpm.d&gt;=BM$6)*(_xlpm.d&lt;=BM$7),INDEX('Sales and count'!$G$4:$CC$300,$AJ128,0)))))</f>
        <v/>
      </c>
      <c r="BN128" s="350" t="str" cm="1">
        <f t="array" ref="BN128">IF(AL128="","",IF($AJ128="",0,_xlfn.LET(_xlpm.d,IFERROR(--'Sales and count'!$G$2:$CC$2,0),SUMPRODUCT(('Sales and count'!$G$3:$CC$3="Total")*(_xlpm.d&gt;=BN$6)*(_xlpm.d&lt;=BN$7),INDEX('Sales and count'!$G$4:$CC$300,$AJ128,0)))))</f>
        <v/>
      </c>
      <c r="BO128" s="350" t="str" cm="1">
        <f t="array" ref="BO128">IF(AM128="","",IF($AJ128="",0,_xlfn.LET(_xlpm.d,IFERROR(--'Sales and count'!$G$2:$CC$2,0),SUMPRODUCT(('Sales and count'!$G$3:$CC$3="Total")*(_xlpm.d&gt;=BO$6)*(_xlpm.d&lt;=BO$7),INDEX('Sales and count'!$G$4:$CC$300,$AJ128,0)))))</f>
        <v/>
      </c>
      <c r="BP128" s="350" t="str" cm="1">
        <f t="array" ref="BP128">IF(AN128="","",IF($AJ128="",0,_xlfn.LET(_xlpm.d,IFERROR(--'Sales and count'!$G$2:$CC$2,0),SUMPRODUCT(('Sales and count'!$G$3:$CC$3="Total")*(_xlpm.d&gt;=BP$6)*(_xlpm.d&lt;=BP$7),INDEX('Sales and count'!$G$4:$CC$300,$AJ128,0)))))</f>
        <v/>
      </c>
      <c r="BQ128" s="350" t="str" cm="1">
        <f t="array" ref="BQ128">IF(AO128="","",IF($AJ128="",0,_xlfn.LET(_xlpm.d,IFERROR(--'Sales and count'!$G$2:$CC$2,0),SUMPRODUCT(('Sales and count'!$G$3:$CC$3="Total")*(_xlpm.d&gt;=BQ$6)*(_xlpm.d&lt;=BQ$7),INDEX('Sales and count'!$G$4:$CC$300,$AJ128,0)))))</f>
        <v/>
      </c>
      <c r="BR128" s="350" t="str" cm="1">
        <f t="array" ref="BR128">IF(AP128="","",IF($AJ128="",0,_xlfn.LET(_xlpm.d,IFERROR(--'Sales and count'!$G$2:$CC$2,0),SUMPRODUCT(('Sales and count'!$G$3:$CC$3="Total")*(_xlpm.d&gt;=BR$6)*(_xlpm.d&lt;=BR$7),INDEX('Sales and count'!$G$4:$CC$300,$AJ128,0)))))</f>
        <v/>
      </c>
      <c r="BS128" s="350" t="str" cm="1">
        <f t="array" ref="BS128">IF(AQ128="","",IF($AJ128="",0,_xlfn.LET(_xlpm.d,IFERROR(--'Sales and count'!$G$2:$CC$2,0),SUMPRODUCT(('Sales and count'!$G$3:$CC$3="Total")*(_xlpm.d&gt;=BS$6)*(_xlpm.d&lt;=BS$7),INDEX('Sales and count'!$G$4:$CC$300,$AJ128,0)))))</f>
        <v/>
      </c>
      <c r="BT128" s="350" t="str" cm="1">
        <f t="array" ref="BT128">IF(AR128="","",IF($AJ128="",0,_xlfn.LET(_xlpm.d,IFERROR(--'Sales and count'!$G$2:$CC$2,0),SUMPRODUCT(('Sales and count'!$G$3:$CC$3="Total")*(_xlpm.d&gt;=BT$6)*(_xlpm.d&lt;=BT$7),INDEX('Sales and count'!$G$4:$CC$300,$AJ128,0)))))</f>
        <v/>
      </c>
      <c r="BU128" s="350" t="str" cm="1">
        <f t="array" ref="BU128">IF(AS128="","",IF($AJ128="",0,_xlfn.LET(_xlpm.d,IFERROR(--'Sales and count'!$G$2:$CC$2,0),SUMPRODUCT(('Sales and count'!$G$3:$CC$3="Total")*(_xlpm.d&gt;=BU$6)*(_xlpm.d&lt;=BU$7),INDEX('Sales and count'!$G$4:$CC$300,$AJ128,0)))))</f>
        <v/>
      </c>
      <c r="BV128" s="350" t="str" cm="1">
        <f t="array" ref="BV128">IF(AT128="","",IF($AJ128="",0,_xlfn.LET(_xlpm.d,IFERROR(--'Sales and count'!$G$2:$CC$2,0),SUMPRODUCT(('Sales and count'!$G$3:$CC$3="Total")*(_xlpm.d&gt;=BV$6)*(_xlpm.d&lt;=BV$7),INDEX('Sales and count'!$G$4:$CC$300,$AJ128,0)))))</f>
        <v/>
      </c>
      <c r="BW128" s="350" t="str" cm="1">
        <f t="array" ref="BW128">IF(AU128="","",IF($AJ128="",0,_xlfn.LET(_xlpm.d,IFERROR(--'Sales and count'!$G$2:$CC$2,0),SUMPRODUCT(('Sales and count'!$G$3:$CC$3="Total")*(_xlpm.d&gt;=BW$6)*(_xlpm.d&lt;=BW$7),INDEX('Sales and count'!$G$4:$CC$300,$AJ128,0)))))</f>
        <v/>
      </c>
      <c r="BX128" s="350" t="str" cm="1">
        <f t="array" ref="BX128">IF(AV128="","",IF($AJ128="",0,_xlfn.LET(_xlpm.d,IFERROR(--'Sales and count'!$G$2:$CC$2,0),SUMPRODUCT(('Sales and count'!$G$3:$CC$3="Total")*(_xlpm.d&gt;=BX$6)*(_xlpm.d&lt;=BX$7),INDEX('Sales and count'!$G$4:$CC$300,$AJ128,0)))))</f>
        <v/>
      </c>
      <c r="BY128" s="350" t="str" cm="1">
        <f t="array" ref="BY128">IF(AW128="","",IF($AJ128="",0,_xlfn.LET(_xlpm.d,IFERROR(--'Sales and count'!$G$2:$CC$2,0),SUMPRODUCT(('Sales and count'!$G$3:$CC$3="Total")*(_xlpm.d&gt;=BY$6)*(_xlpm.d&lt;=BY$7),INDEX('Sales and count'!$G$4:$CC$300,$AJ128,0)))))</f>
        <v/>
      </c>
      <c r="BZ128" s="350" t="str" cm="1">
        <f t="array" ref="BZ128">IF(AX128="","",IF($AJ128="",0,_xlfn.LET(_xlpm.d,IFERROR(--'Sales and count'!$G$2:$CC$2,0),SUMPRODUCT(('Sales and count'!$G$3:$CC$3="Total")*(_xlpm.d&gt;=BZ$6)*(_xlpm.d&lt;=BZ$7),INDEX('Sales and count'!$G$4:$CC$300,$AJ128,0)))))</f>
        <v/>
      </c>
    </row>
    <row r="129" spans="1:78" x14ac:dyDescent="0.25">
      <c r="A129" s="356"/>
      <c r="B129" s="356" t="str" cm="1">
        <f t="array" ref="B129">IF($A129="","",_xlfn.XLOOKUP($A129,TRIM(Footfall!$B$5:$B$301&amp;""),Footfall!$A$5:$A$301,""))</f>
        <v/>
      </c>
      <c r="C129" s="356" t="str" cm="1">
        <f t="array" ref="C129">IF($A129="","",_xlfn.XLOOKUP($A129,TRIM('Sales and count'!$A$4:$A$300&amp;""),'Sales and count'!$C$4:$C$300,"Not set"))</f>
        <v/>
      </c>
      <c r="D129" s="357" t="str">
        <f t="shared" si="81"/>
        <v/>
      </c>
      <c r="E129" s="357" t="str">
        <f t="shared" si="82"/>
        <v/>
      </c>
      <c r="F129" s="357" t="str">
        <f t="shared" si="83"/>
        <v/>
      </c>
      <c r="G129" s="357" t="str">
        <f t="shared" si="84"/>
        <v/>
      </c>
      <c r="H129" s="357" t="str">
        <f t="shared" si="85"/>
        <v/>
      </c>
      <c r="I129" s="357" t="str">
        <f t="shared" si="86"/>
        <v/>
      </c>
      <c r="J129" s="357" t="str">
        <f t="shared" si="87"/>
        <v/>
      </c>
      <c r="K129" s="357" t="str">
        <f t="shared" si="88"/>
        <v/>
      </c>
      <c r="L129" s="357" t="str">
        <f t="shared" si="89"/>
        <v/>
      </c>
      <c r="M129" s="357" t="str">
        <f t="shared" si="90"/>
        <v/>
      </c>
      <c r="N129" s="357" t="str">
        <f t="shared" si="91"/>
        <v/>
      </c>
      <c r="O129" s="357" t="str">
        <f t="shared" si="92"/>
        <v/>
      </c>
      <c r="P129" s="357" t="str">
        <f t="shared" si="93"/>
        <v/>
      </c>
      <c r="Q129" s="357" t="str">
        <f t="shared" si="94"/>
        <v/>
      </c>
      <c r="R129" s="358" t="str" cm="1">
        <f t="array" ref="R129">IF(OR($A129="",D129=""),"",IFERROR(LOOKUP(2,1/(E129:Q129&lt;&gt;""),E129:Q129)-D129,""))</f>
        <v/>
      </c>
      <c r="S129" s="349"/>
      <c r="T129" s="362" t="str">
        <f t="shared" si="95"/>
        <v/>
      </c>
      <c r="U129" s="362" t="str">
        <f t="shared" si="96"/>
        <v/>
      </c>
      <c r="V129" s="362" t="str">
        <f t="shared" si="97"/>
        <v/>
      </c>
      <c r="W129" s="362" t="str">
        <f t="shared" si="98"/>
        <v/>
      </c>
      <c r="X129" s="362" t="str">
        <f t="shared" si="99"/>
        <v/>
      </c>
      <c r="Y129" s="362" t="str">
        <f t="shared" si="100"/>
        <v/>
      </c>
      <c r="Z129" s="362" t="str">
        <f t="shared" si="101"/>
        <v/>
      </c>
      <c r="AA129" s="362" t="str">
        <f t="shared" si="102"/>
        <v/>
      </c>
      <c r="AB129" s="362" t="str">
        <f t="shared" si="103"/>
        <v/>
      </c>
      <c r="AC129" s="362" t="str">
        <f t="shared" si="104"/>
        <v/>
      </c>
      <c r="AD129" s="362" t="str">
        <f t="shared" si="105"/>
        <v/>
      </c>
      <c r="AE129" s="362" t="str">
        <f t="shared" si="106"/>
        <v/>
      </c>
      <c r="AF129" s="362" t="str">
        <f t="shared" si="107"/>
        <v/>
      </c>
      <c r="AG129" s="362" t="str">
        <f t="shared" si="108"/>
        <v/>
      </c>
      <c r="AH129" s="363" t="str" cm="1">
        <f t="array" ref="AH129">IF(OR($A129="",T129=""),"",IFERROR(LOOKUP(2,1/(U129:AG129&lt;&gt;""),U129:AG129)-T129,""))</f>
        <v/>
      </c>
      <c r="AI129" s="349"/>
      <c r="AJ129" s="349" t="str" cm="1">
        <f t="array" ref="AJ129">IF($A129="","",IFERROR(MATCH($A129,TRIM('Sales and count'!$A$4:$A$300&amp;""),0),""))</f>
        <v/>
      </c>
      <c r="AK129" s="350" t="str" cm="1">
        <f t="array" ref="AK129">IF(OR($A129="",AK$6=""),"",IFERROR(INDEX(Footfall!$C$5:$BZ$301,MATCH($A129,TRIM(Footfall!$B$5:$B$301&amp;""),0),AK$5),0))</f>
        <v/>
      </c>
      <c r="AL129" s="350" t="str" cm="1">
        <f t="array" ref="AL129">IF(OR($A129="",AL$6=""),"",IFERROR(INDEX(Footfall!$C$5:$BZ$301,MATCH($A129,TRIM(Footfall!$B$5:$B$301&amp;""),0),AL$5),0))</f>
        <v/>
      </c>
      <c r="AM129" s="350" t="str" cm="1">
        <f t="array" ref="AM129">IF(OR($A129="",AM$6=""),"",IFERROR(INDEX(Footfall!$C$5:$BZ$301,MATCH($A129,TRIM(Footfall!$B$5:$B$301&amp;""),0),AM$5),0))</f>
        <v/>
      </c>
      <c r="AN129" s="350" t="str" cm="1">
        <f t="array" ref="AN129">IF(OR($A129="",AN$6=""),"",IFERROR(INDEX(Footfall!$C$5:$BZ$301,MATCH($A129,TRIM(Footfall!$B$5:$B$301&amp;""),0),AN$5),0))</f>
        <v/>
      </c>
      <c r="AO129" s="350" t="str" cm="1">
        <f t="array" ref="AO129">IF(OR($A129="",AO$6=""),"",IFERROR(INDEX(Footfall!$C$5:$BZ$301,MATCH($A129,TRIM(Footfall!$B$5:$B$301&amp;""),0),AO$5),0))</f>
        <v/>
      </c>
      <c r="AP129" s="350" t="str" cm="1">
        <f t="array" ref="AP129">IF(OR($A129="",AP$6=""),"",IFERROR(INDEX(Footfall!$C$5:$BZ$301,MATCH($A129,TRIM(Footfall!$B$5:$B$301&amp;""),0),AP$5),0))</f>
        <v/>
      </c>
      <c r="AQ129" s="350" t="str" cm="1">
        <f t="array" ref="AQ129">IF(OR($A129="",AQ$6=""),"",IFERROR(INDEX(Footfall!$C$5:$BZ$301,MATCH($A129,TRIM(Footfall!$B$5:$B$301&amp;""),0),AQ$5),0))</f>
        <v/>
      </c>
      <c r="AR129" s="350" t="str" cm="1">
        <f t="array" ref="AR129">IF(OR($A129="",AR$6=""),"",IFERROR(INDEX(Footfall!$C$5:$BZ$301,MATCH($A129,TRIM(Footfall!$B$5:$B$301&amp;""),0),AR$5),0))</f>
        <v/>
      </c>
      <c r="AS129" s="350" t="str" cm="1">
        <f t="array" ref="AS129">IF(OR($A129="",AS$6=""),"",IFERROR(INDEX(Footfall!$C$5:$BZ$301,MATCH($A129,TRIM(Footfall!$B$5:$B$301&amp;""),0),AS$5),0))</f>
        <v/>
      </c>
      <c r="AT129" s="350" t="str" cm="1">
        <f t="array" ref="AT129">IF(OR($A129="",AT$6=""),"",IFERROR(INDEX(Footfall!$C$5:$BZ$301,MATCH($A129,TRIM(Footfall!$B$5:$B$301&amp;""),0),AT$5),0))</f>
        <v/>
      </c>
      <c r="AU129" s="350" t="str" cm="1">
        <f t="array" ref="AU129">IF(OR($A129="",AU$6=""),"",IFERROR(INDEX(Footfall!$C$5:$BZ$301,MATCH($A129,TRIM(Footfall!$B$5:$B$301&amp;""),0),AU$5),0))</f>
        <v/>
      </c>
      <c r="AV129" s="350" t="str" cm="1">
        <f t="array" ref="AV129">IF(OR($A129="",AV$6=""),"",IFERROR(INDEX(Footfall!$C$5:$BZ$301,MATCH($A129,TRIM(Footfall!$B$5:$B$301&amp;""),0),AV$5),0))</f>
        <v/>
      </c>
      <c r="AW129" s="350" t="str" cm="1">
        <f t="array" ref="AW129">IF(OR($A129="",AW$6=""),"",IFERROR(INDEX(Footfall!$C$5:$BZ$301,MATCH($A129,TRIM(Footfall!$B$5:$B$301&amp;""),0),AW$5),0))</f>
        <v/>
      </c>
      <c r="AX129" s="350" t="str" cm="1">
        <f t="array" ref="AX129">IF(OR($A129="",AX$6=""),"",IFERROR(INDEX(Footfall!$C$5:$BZ$301,MATCH($A129,TRIM(Footfall!$B$5:$B$301&amp;""),0),AX$5),0))</f>
        <v/>
      </c>
      <c r="AY129" s="350" t="str" cm="1">
        <f t="array" ref="AY129">IF(AK129="","",IF($AJ129="",0,_xlfn.LET(_xlpm.d,IFERROR(--'Sales and count'!$F$2:$CB$2,0),SUMPRODUCT(('Sales and count'!$G$3:$CC$3="Transactions")*(_xlpm.d&gt;=AY$6)*(_xlpm.d&lt;=AY$7),INDEX('Sales and count'!$G$4:$CC$300,$AJ129,0)))))</f>
        <v/>
      </c>
      <c r="AZ129" s="350" t="str" cm="1">
        <f t="array" ref="AZ129">IF(AL129="","",IF($AJ129="",0,_xlfn.LET(_xlpm.d,IFERROR(--'Sales and count'!$F$2:$CB$2,0),SUMPRODUCT(('Sales and count'!$G$3:$CC$3="Transactions")*(_xlpm.d&gt;=AZ$6)*(_xlpm.d&lt;=AZ$7),INDEX('Sales and count'!$G$4:$CC$300,$AJ129,0)))))</f>
        <v/>
      </c>
      <c r="BA129" s="350" t="str" cm="1">
        <f t="array" ref="BA129">IF(AM129="","",IF($AJ129="",0,_xlfn.LET(_xlpm.d,IFERROR(--'Sales and count'!$F$2:$CB$2,0),SUMPRODUCT(('Sales and count'!$G$3:$CC$3="Transactions")*(_xlpm.d&gt;=BA$6)*(_xlpm.d&lt;=BA$7),INDEX('Sales and count'!$G$4:$CC$300,$AJ129,0)))))</f>
        <v/>
      </c>
      <c r="BB129" s="350" t="str" cm="1">
        <f t="array" ref="BB129">IF(AN129="","",IF($AJ129="",0,_xlfn.LET(_xlpm.d,IFERROR(--'Sales and count'!$F$2:$CB$2,0),SUMPRODUCT(('Sales and count'!$G$3:$CC$3="Transactions")*(_xlpm.d&gt;=BB$6)*(_xlpm.d&lt;=BB$7),INDEX('Sales and count'!$G$4:$CC$300,$AJ129,0)))))</f>
        <v/>
      </c>
      <c r="BC129" s="350" t="str" cm="1">
        <f t="array" ref="BC129">IF(AO129="","",IF($AJ129="",0,_xlfn.LET(_xlpm.d,IFERROR(--'Sales and count'!$F$2:$CB$2,0),SUMPRODUCT(('Sales and count'!$G$3:$CC$3="Transactions")*(_xlpm.d&gt;=BC$6)*(_xlpm.d&lt;=BC$7),INDEX('Sales and count'!$G$4:$CC$300,$AJ129,0)))))</f>
        <v/>
      </c>
      <c r="BD129" s="350" t="str" cm="1">
        <f t="array" ref="BD129">IF(AP129="","",IF($AJ129="",0,_xlfn.LET(_xlpm.d,IFERROR(--'Sales and count'!$F$2:$CB$2,0),SUMPRODUCT(('Sales and count'!$G$3:$CC$3="Transactions")*(_xlpm.d&gt;=BD$6)*(_xlpm.d&lt;=BD$7),INDEX('Sales and count'!$G$4:$CC$300,$AJ129,0)))))</f>
        <v/>
      </c>
      <c r="BE129" s="350" t="str" cm="1">
        <f t="array" ref="BE129">IF(AQ129="","",IF($AJ129="",0,_xlfn.LET(_xlpm.d,IFERROR(--'Sales and count'!$F$2:$CB$2,0),SUMPRODUCT(('Sales and count'!$G$3:$CC$3="Transactions")*(_xlpm.d&gt;=BE$6)*(_xlpm.d&lt;=BE$7),INDEX('Sales and count'!$G$4:$CC$300,$AJ129,0)))))</f>
        <v/>
      </c>
      <c r="BF129" s="350" t="str" cm="1">
        <f t="array" ref="BF129">IF(AR129="","",IF($AJ129="",0,_xlfn.LET(_xlpm.d,IFERROR(--'Sales and count'!$F$2:$CB$2,0),SUMPRODUCT(('Sales and count'!$G$3:$CC$3="Transactions")*(_xlpm.d&gt;=BF$6)*(_xlpm.d&lt;=BF$7),INDEX('Sales and count'!$G$4:$CC$300,$AJ129,0)))))</f>
        <v/>
      </c>
      <c r="BG129" s="350" t="str" cm="1">
        <f t="array" ref="BG129">IF(AS129="","",IF($AJ129="",0,_xlfn.LET(_xlpm.d,IFERROR(--'Sales and count'!$F$2:$CB$2,0),SUMPRODUCT(('Sales and count'!$G$3:$CC$3="Transactions")*(_xlpm.d&gt;=BG$6)*(_xlpm.d&lt;=BG$7),INDEX('Sales and count'!$G$4:$CC$300,$AJ129,0)))))</f>
        <v/>
      </c>
      <c r="BH129" s="350" t="str" cm="1">
        <f t="array" ref="BH129">IF(AT129="","",IF($AJ129="",0,_xlfn.LET(_xlpm.d,IFERROR(--'Sales and count'!$F$2:$CB$2,0),SUMPRODUCT(('Sales and count'!$G$3:$CC$3="Transactions")*(_xlpm.d&gt;=BH$6)*(_xlpm.d&lt;=BH$7),INDEX('Sales and count'!$G$4:$CC$300,$AJ129,0)))))</f>
        <v/>
      </c>
      <c r="BI129" s="350" t="str" cm="1">
        <f t="array" ref="BI129">IF(AU129="","",IF($AJ129="",0,_xlfn.LET(_xlpm.d,IFERROR(--'Sales and count'!$F$2:$CB$2,0),SUMPRODUCT(('Sales and count'!$G$3:$CC$3="Transactions")*(_xlpm.d&gt;=BI$6)*(_xlpm.d&lt;=BI$7),INDEX('Sales and count'!$G$4:$CC$300,$AJ129,0)))))</f>
        <v/>
      </c>
      <c r="BJ129" s="350" t="str" cm="1">
        <f t="array" ref="BJ129">IF(AV129="","",IF($AJ129="",0,_xlfn.LET(_xlpm.d,IFERROR(--'Sales and count'!$F$2:$CB$2,0),SUMPRODUCT(('Sales and count'!$G$3:$CC$3="Transactions")*(_xlpm.d&gt;=BJ$6)*(_xlpm.d&lt;=BJ$7),INDEX('Sales and count'!$G$4:$CC$300,$AJ129,0)))))</f>
        <v/>
      </c>
      <c r="BK129" s="350" t="str" cm="1">
        <f t="array" ref="BK129">IF(AW129="","",IF($AJ129="",0,_xlfn.LET(_xlpm.d,IFERROR(--'Sales and count'!$F$2:$CB$2,0),SUMPRODUCT(('Sales and count'!$G$3:$CC$3="Transactions")*(_xlpm.d&gt;=BK$6)*(_xlpm.d&lt;=BK$7),INDEX('Sales and count'!$G$4:$CC$300,$AJ129,0)))))</f>
        <v/>
      </c>
      <c r="BL129" s="350" t="str" cm="1">
        <f t="array" ref="BL129">IF(AX129="","",IF($AJ129="",0,_xlfn.LET(_xlpm.d,IFERROR(--'Sales and count'!$F$2:$CB$2,0),SUMPRODUCT(('Sales and count'!$G$3:$CC$3="Transactions")*(_xlpm.d&gt;=BL$6)*(_xlpm.d&lt;=BL$7),INDEX('Sales and count'!$G$4:$CC$300,$AJ129,0)))))</f>
        <v/>
      </c>
      <c r="BM129" s="350" t="str" cm="1">
        <f t="array" ref="BM129">IF(AK129="","",IF($AJ129="",0,_xlfn.LET(_xlpm.d,IFERROR(--'Sales and count'!$G$2:$CC$2,0),SUMPRODUCT(('Sales and count'!$G$3:$CC$3="Total")*(_xlpm.d&gt;=BM$6)*(_xlpm.d&lt;=BM$7),INDEX('Sales and count'!$G$4:$CC$300,$AJ129,0)))))</f>
        <v/>
      </c>
      <c r="BN129" s="350" t="str" cm="1">
        <f t="array" ref="BN129">IF(AL129="","",IF($AJ129="",0,_xlfn.LET(_xlpm.d,IFERROR(--'Sales and count'!$G$2:$CC$2,0),SUMPRODUCT(('Sales and count'!$G$3:$CC$3="Total")*(_xlpm.d&gt;=BN$6)*(_xlpm.d&lt;=BN$7),INDEX('Sales and count'!$G$4:$CC$300,$AJ129,0)))))</f>
        <v/>
      </c>
      <c r="BO129" s="350" t="str" cm="1">
        <f t="array" ref="BO129">IF(AM129="","",IF($AJ129="",0,_xlfn.LET(_xlpm.d,IFERROR(--'Sales and count'!$G$2:$CC$2,0),SUMPRODUCT(('Sales and count'!$G$3:$CC$3="Total")*(_xlpm.d&gt;=BO$6)*(_xlpm.d&lt;=BO$7),INDEX('Sales and count'!$G$4:$CC$300,$AJ129,0)))))</f>
        <v/>
      </c>
      <c r="BP129" s="350" t="str" cm="1">
        <f t="array" ref="BP129">IF(AN129="","",IF($AJ129="",0,_xlfn.LET(_xlpm.d,IFERROR(--'Sales and count'!$G$2:$CC$2,0),SUMPRODUCT(('Sales and count'!$G$3:$CC$3="Total")*(_xlpm.d&gt;=BP$6)*(_xlpm.d&lt;=BP$7),INDEX('Sales and count'!$G$4:$CC$300,$AJ129,0)))))</f>
        <v/>
      </c>
      <c r="BQ129" s="350" t="str" cm="1">
        <f t="array" ref="BQ129">IF(AO129="","",IF($AJ129="",0,_xlfn.LET(_xlpm.d,IFERROR(--'Sales and count'!$G$2:$CC$2,0),SUMPRODUCT(('Sales and count'!$G$3:$CC$3="Total")*(_xlpm.d&gt;=BQ$6)*(_xlpm.d&lt;=BQ$7),INDEX('Sales and count'!$G$4:$CC$300,$AJ129,0)))))</f>
        <v/>
      </c>
      <c r="BR129" s="350" t="str" cm="1">
        <f t="array" ref="BR129">IF(AP129="","",IF($AJ129="",0,_xlfn.LET(_xlpm.d,IFERROR(--'Sales and count'!$G$2:$CC$2,0),SUMPRODUCT(('Sales and count'!$G$3:$CC$3="Total")*(_xlpm.d&gt;=BR$6)*(_xlpm.d&lt;=BR$7),INDEX('Sales and count'!$G$4:$CC$300,$AJ129,0)))))</f>
        <v/>
      </c>
      <c r="BS129" s="350" t="str" cm="1">
        <f t="array" ref="BS129">IF(AQ129="","",IF($AJ129="",0,_xlfn.LET(_xlpm.d,IFERROR(--'Sales and count'!$G$2:$CC$2,0),SUMPRODUCT(('Sales and count'!$G$3:$CC$3="Total")*(_xlpm.d&gt;=BS$6)*(_xlpm.d&lt;=BS$7),INDEX('Sales and count'!$G$4:$CC$300,$AJ129,0)))))</f>
        <v/>
      </c>
      <c r="BT129" s="350" t="str" cm="1">
        <f t="array" ref="BT129">IF(AR129="","",IF($AJ129="",0,_xlfn.LET(_xlpm.d,IFERROR(--'Sales and count'!$G$2:$CC$2,0),SUMPRODUCT(('Sales and count'!$G$3:$CC$3="Total")*(_xlpm.d&gt;=BT$6)*(_xlpm.d&lt;=BT$7),INDEX('Sales and count'!$G$4:$CC$300,$AJ129,0)))))</f>
        <v/>
      </c>
      <c r="BU129" s="350" t="str" cm="1">
        <f t="array" ref="BU129">IF(AS129="","",IF($AJ129="",0,_xlfn.LET(_xlpm.d,IFERROR(--'Sales and count'!$G$2:$CC$2,0),SUMPRODUCT(('Sales and count'!$G$3:$CC$3="Total")*(_xlpm.d&gt;=BU$6)*(_xlpm.d&lt;=BU$7),INDEX('Sales and count'!$G$4:$CC$300,$AJ129,0)))))</f>
        <v/>
      </c>
      <c r="BV129" s="350" t="str" cm="1">
        <f t="array" ref="BV129">IF(AT129="","",IF($AJ129="",0,_xlfn.LET(_xlpm.d,IFERROR(--'Sales and count'!$G$2:$CC$2,0),SUMPRODUCT(('Sales and count'!$G$3:$CC$3="Total")*(_xlpm.d&gt;=BV$6)*(_xlpm.d&lt;=BV$7),INDEX('Sales and count'!$G$4:$CC$300,$AJ129,0)))))</f>
        <v/>
      </c>
      <c r="BW129" s="350" t="str" cm="1">
        <f t="array" ref="BW129">IF(AU129="","",IF($AJ129="",0,_xlfn.LET(_xlpm.d,IFERROR(--'Sales and count'!$G$2:$CC$2,0),SUMPRODUCT(('Sales and count'!$G$3:$CC$3="Total")*(_xlpm.d&gt;=BW$6)*(_xlpm.d&lt;=BW$7),INDEX('Sales and count'!$G$4:$CC$300,$AJ129,0)))))</f>
        <v/>
      </c>
      <c r="BX129" s="350" t="str" cm="1">
        <f t="array" ref="BX129">IF(AV129="","",IF($AJ129="",0,_xlfn.LET(_xlpm.d,IFERROR(--'Sales and count'!$G$2:$CC$2,0),SUMPRODUCT(('Sales and count'!$G$3:$CC$3="Total")*(_xlpm.d&gt;=BX$6)*(_xlpm.d&lt;=BX$7),INDEX('Sales and count'!$G$4:$CC$300,$AJ129,0)))))</f>
        <v/>
      </c>
      <c r="BY129" s="350" t="str" cm="1">
        <f t="array" ref="BY129">IF(AW129="","",IF($AJ129="",0,_xlfn.LET(_xlpm.d,IFERROR(--'Sales and count'!$G$2:$CC$2,0),SUMPRODUCT(('Sales and count'!$G$3:$CC$3="Total")*(_xlpm.d&gt;=BY$6)*(_xlpm.d&lt;=BY$7),INDEX('Sales and count'!$G$4:$CC$300,$AJ129,0)))))</f>
        <v/>
      </c>
      <c r="BZ129" s="350" t="str" cm="1">
        <f t="array" ref="BZ129">IF(AX129="","",IF($AJ129="",0,_xlfn.LET(_xlpm.d,IFERROR(--'Sales and count'!$G$2:$CC$2,0),SUMPRODUCT(('Sales and count'!$G$3:$CC$3="Total")*(_xlpm.d&gt;=BZ$6)*(_xlpm.d&lt;=BZ$7),INDEX('Sales and count'!$G$4:$CC$300,$AJ129,0)))))</f>
        <v/>
      </c>
    </row>
    <row r="130" spans="1:78" x14ac:dyDescent="0.25">
      <c r="A130" s="356"/>
      <c r="B130" s="356" t="str" cm="1">
        <f t="array" ref="B130">IF($A130="","",_xlfn.XLOOKUP($A130,TRIM(Footfall!$B$5:$B$301&amp;""),Footfall!$A$5:$A$301,""))</f>
        <v/>
      </c>
      <c r="C130" s="356" t="str" cm="1">
        <f t="array" ref="C130">IF($A130="","",_xlfn.XLOOKUP($A130,TRIM('Sales and count'!$A$4:$A$300&amp;""),'Sales and count'!$C$4:$C$300,"Not set"))</f>
        <v/>
      </c>
      <c r="D130" s="357" t="str">
        <f t="shared" si="81"/>
        <v/>
      </c>
      <c r="E130" s="357" t="str">
        <f t="shared" si="82"/>
        <v/>
      </c>
      <c r="F130" s="357" t="str">
        <f t="shared" si="83"/>
        <v/>
      </c>
      <c r="G130" s="357" t="str">
        <f t="shared" si="84"/>
        <v/>
      </c>
      <c r="H130" s="357" t="str">
        <f t="shared" si="85"/>
        <v/>
      </c>
      <c r="I130" s="357" t="str">
        <f t="shared" si="86"/>
        <v/>
      </c>
      <c r="J130" s="357" t="str">
        <f t="shared" si="87"/>
        <v/>
      </c>
      <c r="K130" s="357" t="str">
        <f t="shared" si="88"/>
        <v/>
      </c>
      <c r="L130" s="357" t="str">
        <f t="shared" si="89"/>
        <v/>
      </c>
      <c r="M130" s="357" t="str">
        <f t="shared" si="90"/>
        <v/>
      </c>
      <c r="N130" s="357" t="str">
        <f t="shared" si="91"/>
        <v/>
      </c>
      <c r="O130" s="357" t="str">
        <f t="shared" si="92"/>
        <v/>
      </c>
      <c r="P130" s="357" t="str">
        <f t="shared" si="93"/>
        <v/>
      </c>
      <c r="Q130" s="357" t="str">
        <f t="shared" si="94"/>
        <v/>
      </c>
      <c r="R130" s="358" t="str" cm="1">
        <f t="array" ref="R130">IF(OR($A130="",D130=""),"",IFERROR(LOOKUP(2,1/(E130:Q130&lt;&gt;""),E130:Q130)-D130,""))</f>
        <v/>
      </c>
      <c r="S130" s="349"/>
      <c r="T130" s="362" t="str">
        <f t="shared" si="95"/>
        <v/>
      </c>
      <c r="U130" s="362" t="str">
        <f t="shared" si="96"/>
        <v/>
      </c>
      <c r="V130" s="362" t="str">
        <f t="shared" si="97"/>
        <v/>
      </c>
      <c r="W130" s="362" t="str">
        <f t="shared" si="98"/>
        <v/>
      </c>
      <c r="X130" s="362" t="str">
        <f t="shared" si="99"/>
        <v/>
      </c>
      <c r="Y130" s="362" t="str">
        <f t="shared" si="100"/>
        <v/>
      </c>
      <c r="Z130" s="362" t="str">
        <f t="shared" si="101"/>
        <v/>
      </c>
      <c r="AA130" s="362" t="str">
        <f t="shared" si="102"/>
        <v/>
      </c>
      <c r="AB130" s="362" t="str">
        <f t="shared" si="103"/>
        <v/>
      </c>
      <c r="AC130" s="362" t="str">
        <f t="shared" si="104"/>
        <v/>
      </c>
      <c r="AD130" s="362" t="str">
        <f t="shared" si="105"/>
        <v/>
      </c>
      <c r="AE130" s="362" t="str">
        <f t="shared" si="106"/>
        <v/>
      </c>
      <c r="AF130" s="362" t="str">
        <f t="shared" si="107"/>
        <v/>
      </c>
      <c r="AG130" s="362" t="str">
        <f t="shared" si="108"/>
        <v/>
      </c>
      <c r="AH130" s="363" t="str" cm="1">
        <f t="array" ref="AH130">IF(OR($A130="",T130=""),"",IFERROR(LOOKUP(2,1/(U130:AG130&lt;&gt;""),U130:AG130)-T130,""))</f>
        <v/>
      </c>
      <c r="AI130" s="349"/>
      <c r="AJ130" s="349" t="str" cm="1">
        <f t="array" ref="AJ130">IF($A130="","",IFERROR(MATCH($A130,TRIM('Sales and count'!$A$4:$A$300&amp;""),0),""))</f>
        <v/>
      </c>
      <c r="AK130" s="350" t="str" cm="1">
        <f t="array" ref="AK130">IF(OR($A130="",AK$6=""),"",IFERROR(INDEX(Footfall!$C$5:$BZ$301,MATCH($A130,TRIM(Footfall!$B$5:$B$301&amp;""),0),AK$5),0))</f>
        <v/>
      </c>
      <c r="AL130" s="350" t="str" cm="1">
        <f t="array" ref="AL130">IF(OR($A130="",AL$6=""),"",IFERROR(INDEX(Footfall!$C$5:$BZ$301,MATCH($A130,TRIM(Footfall!$B$5:$B$301&amp;""),0),AL$5),0))</f>
        <v/>
      </c>
      <c r="AM130" s="350" t="str" cm="1">
        <f t="array" ref="AM130">IF(OR($A130="",AM$6=""),"",IFERROR(INDEX(Footfall!$C$5:$BZ$301,MATCH($A130,TRIM(Footfall!$B$5:$B$301&amp;""),0),AM$5),0))</f>
        <v/>
      </c>
      <c r="AN130" s="350" t="str" cm="1">
        <f t="array" ref="AN130">IF(OR($A130="",AN$6=""),"",IFERROR(INDEX(Footfall!$C$5:$BZ$301,MATCH($A130,TRIM(Footfall!$B$5:$B$301&amp;""),0),AN$5),0))</f>
        <v/>
      </c>
      <c r="AO130" s="350" t="str" cm="1">
        <f t="array" ref="AO130">IF(OR($A130="",AO$6=""),"",IFERROR(INDEX(Footfall!$C$5:$BZ$301,MATCH($A130,TRIM(Footfall!$B$5:$B$301&amp;""),0),AO$5),0))</f>
        <v/>
      </c>
      <c r="AP130" s="350" t="str" cm="1">
        <f t="array" ref="AP130">IF(OR($A130="",AP$6=""),"",IFERROR(INDEX(Footfall!$C$5:$BZ$301,MATCH($A130,TRIM(Footfall!$B$5:$B$301&amp;""),0),AP$5),0))</f>
        <v/>
      </c>
      <c r="AQ130" s="350" t="str" cm="1">
        <f t="array" ref="AQ130">IF(OR($A130="",AQ$6=""),"",IFERROR(INDEX(Footfall!$C$5:$BZ$301,MATCH($A130,TRIM(Footfall!$B$5:$B$301&amp;""),0),AQ$5),0))</f>
        <v/>
      </c>
      <c r="AR130" s="350" t="str" cm="1">
        <f t="array" ref="AR130">IF(OR($A130="",AR$6=""),"",IFERROR(INDEX(Footfall!$C$5:$BZ$301,MATCH($A130,TRIM(Footfall!$B$5:$B$301&amp;""),0),AR$5),0))</f>
        <v/>
      </c>
      <c r="AS130" s="350" t="str" cm="1">
        <f t="array" ref="AS130">IF(OR($A130="",AS$6=""),"",IFERROR(INDEX(Footfall!$C$5:$BZ$301,MATCH($A130,TRIM(Footfall!$B$5:$B$301&amp;""),0),AS$5),0))</f>
        <v/>
      </c>
      <c r="AT130" s="350" t="str" cm="1">
        <f t="array" ref="AT130">IF(OR($A130="",AT$6=""),"",IFERROR(INDEX(Footfall!$C$5:$BZ$301,MATCH($A130,TRIM(Footfall!$B$5:$B$301&amp;""),0),AT$5),0))</f>
        <v/>
      </c>
      <c r="AU130" s="350" t="str" cm="1">
        <f t="array" ref="AU130">IF(OR($A130="",AU$6=""),"",IFERROR(INDEX(Footfall!$C$5:$BZ$301,MATCH($A130,TRIM(Footfall!$B$5:$B$301&amp;""),0),AU$5),0))</f>
        <v/>
      </c>
      <c r="AV130" s="350" t="str" cm="1">
        <f t="array" ref="AV130">IF(OR($A130="",AV$6=""),"",IFERROR(INDEX(Footfall!$C$5:$BZ$301,MATCH($A130,TRIM(Footfall!$B$5:$B$301&amp;""),0),AV$5),0))</f>
        <v/>
      </c>
      <c r="AW130" s="350" t="str" cm="1">
        <f t="array" ref="AW130">IF(OR($A130="",AW$6=""),"",IFERROR(INDEX(Footfall!$C$5:$BZ$301,MATCH($A130,TRIM(Footfall!$B$5:$B$301&amp;""),0),AW$5),0))</f>
        <v/>
      </c>
      <c r="AX130" s="350" t="str" cm="1">
        <f t="array" ref="AX130">IF(OR($A130="",AX$6=""),"",IFERROR(INDEX(Footfall!$C$5:$BZ$301,MATCH($A130,TRIM(Footfall!$B$5:$B$301&amp;""),0),AX$5),0))</f>
        <v/>
      </c>
      <c r="AY130" s="350" t="str" cm="1">
        <f t="array" ref="AY130">IF(AK130="","",IF($AJ130="",0,_xlfn.LET(_xlpm.d,IFERROR(--'Sales and count'!$F$2:$CB$2,0),SUMPRODUCT(('Sales and count'!$G$3:$CC$3="Transactions")*(_xlpm.d&gt;=AY$6)*(_xlpm.d&lt;=AY$7),INDEX('Sales and count'!$G$4:$CC$300,$AJ130,0)))))</f>
        <v/>
      </c>
      <c r="AZ130" s="350" t="str" cm="1">
        <f t="array" ref="AZ130">IF(AL130="","",IF($AJ130="",0,_xlfn.LET(_xlpm.d,IFERROR(--'Sales and count'!$F$2:$CB$2,0),SUMPRODUCT(('Sales and count'!$G$3:$CC$3="Transactions")*(_xlpm.d&gt;=AZ$6)*(_xlpm.d&lt;=AZ$7),INDEX('Sales and count'!$G$4:$CC$300,$AJ130,0)))))</f>
        <v/>
      </c>
      <c r="BA130" s="350" t="str" cm="1">
        <f t="array" ref="BA130">IF(AM130="","",IF($AJ130="",0,_xlfn.LET(_xlpm.d,IFERROR(--'Sales and count'!$F$2:$CB$2,0),SUMPRODUCT(('Sales and count'!$G$3:$CC$3="Transactions")*(_xlpm.d&gt;=BA$6)*(_xlpm.d&lt;=BA$7),INDEX('Sales and count'!$G$4:$CC$300,$AJ130,0)))))</f>
        <v/>
      </c>
      <c r="BB130" s="350" t="str" cm="1">
        <f t="array" ref="BB130">IF(AN130="","",IF($AJ130="",0,_xlfn.LET(_xlpm.d,IFERROR(--'Sales and count'!$F$2:$CB$2,0),SUMPRODUCT(('Sales and count'!$G$3:$CC$3="Transactions")*(_xlpm.d&gt;=BB$6)*(_xlpm.d&lt;=BB$7),INDEX('Sales and count'!$G$4:$CC$300,$AJ130,0)))))</f>
        <v/>
      </c>
      <c r="BC130" s="350" t="str" cm="1">
        <f t="array" ref="BC130">IF(AO130="","",IF($AJ130="",0,_xlfn.LET(_xlpm.d,IFERROR(--'Sales and count'!$F$2:$CB$2,0),SUMPRODUCT(('Sales and count'!$G$3:$CC$3="Transactions")*(_xlpm.d&gt;=BC$6)*(_xlpm.d&lt;=BC$7),INDEX('Sales and count'!$G$4:$CC$300,$AJ130,0)))))</f>
        <v/>
      </c>
      <c r="BD130" s="350" t="str" cm="1">
        <f t="array" ref="BD130">IF(AP130="","",IF($AJ130="",0,_xlfn.LET(_xlpm.d,IFERROR(--'Sales and count'!$F$2:$CB$2,0),SUMPRODUCT(('Sales and count'!$G$3:$CC$3="Transactions")*(_xlpm.d&gt;=BD$6)*(_xlpm.d&lt;=BD$7),INDEX('Sales and count'!$G$4:$CC$300,$AJ130,0)))))</f>
        <v/>
      </c>
      <c r="BE130" s="350" t="str" cm="1">
        <f t="array" ref="BE130">IF(AQ130="","",IF($AJ130="",0,_xlfn.LET(_xlpm.d,IFERROR(--'Sales and count'!$F$2:$CB$2,0),SUMPRODUCT(('Sales and count'!$G$3:$CC$3="Transactions")*(_xlpm.d&gt;=BE$6)*(_xlpm.d&lt;=BE$7),INDEX('Sales and count'!$G$4:$CC$300,$AJ130,0)))))</f>
        <v/>
      </c>
      <c r="BF130" s="350" t="str" cm="1">
        <f t="array" ref="BF130">IF(AR130="","",IF($AJ130="",0,_xlfn.LET(_xlpm.d,IFERROR(--'Sales and count'!$F$2:$CB$2,0),SUMPRODUCT(('Sales and count'!$G$3:$CC$3="Transactions")*(_xlpm.d&gt;=BF$6)*(_xlpm.d&lt;=BF$7),INDEX('Sales and count'!$G$4:$CC$300,$AJ130,0)))))</f>
        <v/>
      </c>
      <c r="BG130" s="350" t="str" cm="1">
        <f t="array" ref="BG130">IF(AS130="","",IF($AJ130="",0,_xlfn.LET(_xlpm.d,IFERROR(--'Sales and count'!$F$2:$CB$2,0),SUMPRODUCT(('Sales and count'!$G$3:$CC$3="Transactions")*(_xlpm.d&gt;=BG$6)*(_xlpm.d&lt;=BG$7),INDEX('Sales and count'!$G$4:$CC$300,$AJ130,0)))))</f>
        <v/>
      </c>
      <c r="BH130" s="350" t="str" cm="1">
        <f t="array" ref="BH130">IF(AT130="","",IF($AJ130="",0,_xlfn.LET(_xlpm.d,IFERROR(--'Sales and count'!$F$2:$CB$2,0),SUMPRODUCT(('Sales and count'!$G$3:$CC$3="Transactions")*(_xlpm.d&gt;=BH$6)*(_xlpm.d&lt;=BH$7),INDEX('Sales and count'!$G$4:$CC$300,$AJ130,0)))))</f>
        <v/>
      </c>
      <c r="BI130" s="350" t="str" cm="1">
        <f t="array" ref="BI130">IF(AU130="","",IF($AJ130="",0,_xlfn.LET(_xlpm.d,IFERROR(--'Sales and count'!$F$2:$CB$2,0),SUMPRODUCT(('Sales and count'!$G$3:$CC$3="Transactions")*(_xlpm.d&gt;=BI$6)*(_xlpm.d&lt;=BI$7),INDEX('Sales and count'!$G$4:$CC$300,$AJ130,0)))))</f>
        <v/>
      </c>
      <c r="BJ130" s="350" t="str" cm="1">
        <f t="array" ref="BJ130">IF(AV130="","",IF($AJ130="",0,_xlfn.LET(_xlpm.d,IFERROR(--'Sales and count'!$F$2:$CB$2,0),SUMPRODUCT(('Sales and count'!$G$3:$CC$3="Transactions")*(_xlpm.d&gt;=BJ$6)*(_xlpm.d&lt;=BJ$7),INDEX('Sales and count'!$G$4:$CC$300,$AJ130,0)))))</f>
        <v/>
      </c>
      <c r="BK130" s="350" t="str" cm="1">
        <f t="array" ref="BK130">IF(AW130="","",IF($AJ130="",0,_xlfn.LET(_xlpm.d,IFERROR(--'Sales and count'!$F$2:$CB$2,0),SUMPRODUCT(('Sales and count'!$G$3:$CC$3="Transactions")*(_xlpm.d&gt;=BK$6)*(_xlpm.d&lt;=BK$7),INDEX('Sales and count'!$G$4:$CC$300,$AJ130,0)))))</f>
        <v/>
      </c>
      <c r="BL130" s="350" t="str" cm="1">
        <f t="array" ref="BL130">IF(AX130="","",IF($AJ130="",0,_xlfn.LET(_xlpm.d,IFERROR(--'Sales and count'!$F$2:$CB$2,0),SUMPRODUCT(('Sales and count'!$G$3:$CC$3="Transactions")*(_xlpm.d&gt;=BL$6)*(_xlpm.d&lt;=BL$7),INDEX('Sales and count'!$G$4:$CC$300,$AJ130,0)))))</f>
        <v/>
      </c>
      <c r="BM130" s="350" t="str" cm="1">
        <f t="array" ref="BM130">IF(AK130="","",IF($AJ130="",0,_xlfn.LET(_xlpm.d,IFERROR(--'Sales and count'!$G$2:$CC$2,0),SUMPRODUCT(('Sales and count'!$G$3:$CC$3="Total")*(_xlpm.d&gt;=BM$6)*(_xlpm.d&lt;=BM$7),INDEX('Sales and count'!$G$4:$CC$300,$AJ130,0)))))</f>
        <v/>
      </c>
      <c r="BN130" s="350" t="str" cm="1">
        <f t="array" ref="BN130">IF(AL130="","",IF($AJ130="",0,_xlfn.LET(_xlpm.d,IFERROR(--'Sales and count'!$G$2:$CC$2,0),SUMPRODUCT(('Sales and count'!$G$3:$CC$3="Total")*(_xlpm.d&gt;=BN$6)*(_xlpm.d&lt;=BN$7),INDEX('Sales and count'!$G$4:$CC$300,$AJ130,0)))))</f>
        <v/>
      </c>
      <c r="BO130" s="350" t="str" cm="1">
        <f t="array" ref="BO130">IF(AM130="","",IF($AJ130="",0,_xlfn.LET(_xlpm.d,IFERROR(--'Sales and count'!$G$2:$CC$2,0),SUMPRODUCT(('Sales and count'!$G$3:$CC$3="Total")*(_xlpm.d&gt;=BO$6)*(_xlpm.d&lt;=BO$7),INDEX('Sales and count'!$G$4:$CC$300,$AJ130,0)))))</f>
        <v/>
      </c>
      <c r="BP130" s="350" t="str" cm="1">
        <f t="array" ref="BP130">IF(AN130="","",IF($AJ130="",0,_xlfn.LET(_xlpm.d,IFERROR(--'Sales and count'!$G$2:$CC$2,0),SUMPRODUCT(('Sales and count'!$G$3:$CC$3="Total")*(_xlpm.d&gt;=BP$6)*(_xlpm.d&lt;=BP$7),INDEX('Sales and count'!$G$4:$CC$300,$AJ130,0)))))</f>
        <v/>
      </c>
      <c r="BQ130" s="350" t="str" cm="1">
        <f t="array" ref="BQ130">IF(AO130="","",IF($AJ130="",0,_xlfn.LET(_xlpm.d,IFERROR(--'Sales and count'!$G$2:$CC$2,0),SUMPRODUCT(('Sales and count'!$G$3:$CC$3="Total")*(_xlpm.d&gt;=BQ$6)*(_xlpm.d&lt;=BQ$7),INDEX('Sales and count'!$G$4:$CC$300,$AJ130,0)))))</f>
        <v/>
      </c>
      <c r="BR130" s="350" t="str" cm="1">
        <f t="array" ref="BR130">IF(AP130="","",IF($AJ130="",0,_xlfn.LET(_xlpm.d,IFERROR(--'Sales and count'!$G$2:$CC$2,0),SUMPRODUCT(('Sales and count'!$G$3:$CC$3="Total")*(_xlpm.d&gt;=BR$6)*(_xlpm.d&lt;=BR$7),INDEX('Sales and count'!$G$4:$CC$300,$AJ130,0)))))</f>
        <v/>
      </c>
      <c r="BS130" s="350" t="str" cm="1">
        <f t="array" ref="BS130">IF(AQ130="","",IF($AJ130="",0,_xlfn.LET(_xlpm.d,IFERROR(--'Sales and count'!$G$2:$CC$2,0),SUMPRODUCT(('Sales and count'!$G$3:$CC$3="Total")*(_xlpm.d&gt;=BS$6)*(_xlpm.d&lt;=BS$7),INDEX('Sales and count'!$G$4:$CC$300,$AJ130,0)))))</f>
        <v/>
      </c>
      <c r="BT130" s="350" t="str" cm="1">
        <f t="array" ref="BT130">IF(AR130="","",IF($AJ130="",0,_xlfn.LET(_xlpm.d,IFERROR(--'Sales and count'!$G$2:$CC$2,0),SUMPRODUCT(('Sales and count'!$G$3:$CC$3="Total")*(_xlpm.d&gt;=BT$6)*(_xlpm.d&lt;=BT$7),INDEX('Sales and count'!$G$4:$CC$300,$AJ130,0)))))</f>
        <v/>
      </c>
      <c r="BU130" s="350" t="str" cm="1">
        <f t="array" ref="BU130">IF(AS130="","",IF($AJ130="",0,_xlfn.LET(_xlpm.d,IFERROR(--'Sales and count'!$G$2:$CC$2,0),SUMPRODUCT(('Sales and count'!$G$3:$CC$3="Total")*(_xlpm.d&gt;=BU$6)*(_xlpm.d&lt;=BU$7),INDEX('Sales and count'!$G$4:$CC$300,$AJ130,0)))))</f>
        <v/>
      </c>
      <c r="BV130" s="350" t="str" cm="1">
        <f t="array" ref="BV130">IF(AT130="","",IF($AJ130="",0,_xlfn.LET(_xlpm.d,IFERROR(--'Sales and count'!$G$2:$CC$2,0),SUMPRODUCT(('Sales and count'!$G$3:$CC$3="Total")*(_xlpm.d&gt;=BV$6)*(_xlpm.d&lt;=BV$7),INDEX('Sales and count'!$G$4:$CC$300,$AJ130,0)))))</f>
        <v/>
      </c>
      <c r="BW130" s="350" t="str" cm="1">
        <f t="array" ref="BW130">IF(AU130="","",IF($AJ130="",0,_xlfn.LET(_xlpm.d,IFERROR(--'Sales and count'!$G$2:$CC$2,0),SUMPRODUCT(('Sales and count'!$G$3:$CC$3="Total")*(_xlpm.d&gt;=BW$6)*(_xlpm.d&lt;=BW$7),INDEX('Sales and count'!$G$4:$CC$300,$AJ130,0)))))</f>
        <v/>
      </c>
      <c r="BX130" s="350" t="str" cm="1">
        <f t="array" ref="BX130">IF(AV130="","",IF($AJ130="",0,_xlfn.LET(_xlpm.d,IFERROR(--'Sales and count'!$G$2:$CC$2,0),SUMPRODUCT(('Sales and count'!$G$3:$CC$3="Total")*(_xlpm.d&gt;=BX$6)*(_xlpm.d&lt;=BX$7),INDEX('Sales and count'!$G$4:$CC$300,$AJ130,0)))))</f>
        <v/>
      </c>
      <c r="BY130" s="350" t="str" cm="1">
        <f t="array" ref="BY130">IF(AW130="","",IF($AJ130="",0,_xlfn.LET(_xlpm.d,IFERROR(--'Sales and count'!$G$2:$CC$2,0),SUMPRODUCT(('Sales and count'!$G$3:$CC$3="Total")*(_xlpm.d&gt;=BY$6)*(_xlpm.d&lt;=BY$7),INDEX('Sales and count'!$G$4:$CC$300,$AJ130,0)))))</f>
        <v/>
      </c>
      <c r="BZ130" s="350" t="str" cm="1">
        <f t="array" ref="BZ130">IF(AX130="","",IF($AJ130="",0,_xlfn.LET(_xlpm.d,IFERROR(--'Sales and count'!$G$2:$CC$2,0),SUMPRODUCT(('Sales and count'!$G$3:$CC$3="Total")*(_xlpm.d&gt;=BZ$6)*(_xlpm.d&lt;=BZ$7),INDEX('Sales and count'!$G$4:$CC$300,$AJ130,0)))))</f>
        <v/>
      </c>
    </row>
    <row r="131" spans="1:78" x14ac:dyDescent="0.25">
      <c r="A131" s="356"/>
      <c r="B131" s="356" t="str" cm="1">
        <f t="array" ref="B131">IF($A131="","",_xlfn.XLOOKUP($A131,TRIM(Footfall!$B$5:$B$301&amp;""),Footfall!$A$5:$A$301,""))</f>
        <v/>
      </c>
      <c r="C131" s="356" t="str" cm="1">
        <f t="array" ref="C131">IF($A131="","",_xlfn.XLOOKUP($A131,TRIM('Sales and count'!$A$4:$A$300&amp;""),'Sales and count'!$C$4:$C$300,"Not set"))</f>
        <v/>
      </c>
      <c r="D131" s="357" t="str">
        <f t="shared" si="81"/>
        <v/>
      </c>
      <c r="E131" s="357" t="str">
        <f t="shared" si="82"/>
        <v/>
      </c>
      <c r="F131" s="357" t="str">
        <f t="shared" si="83"/>
        <v/>
      </c>
      <c r="G131" s="357" t="str">
        <f t="shared" si="84"/>
        <v/>
      </c>
      <c r="H131" s="357" t="str">
        <f t="shared" si="85"/>
        <v/>
      </c>
      <c r="I131" s="357" t="str">
        <f t="shared" si="86"/>
        <v/>
      </c>
      <c r="J131" s="357" t="str">
        <f t="shared" si="87"/>
        <v/>
      </c>
      <c r="K131" s="357" t="str">
        <f t="shared" si="88"/>
        <v/>
      </c>
      <c r="L131" s="357" t="str">
        <f t="shared" si="89"/>
        <v/>
      </c>
      <c r="M131" s="357" t="str">
        <f t="shared" si="90"/>
        <v/>
      </c>
      <c r="N131" s="357" t="str">
        <f t="shared" si="91"/>
        <v/>
      </c>
      <c r="O131" s="357" t="str">
        <f t="shared" si="92"/>
        <v/>
      </c>
      <c r="P131" s="357" t="str">
        <f t="shared" si="93"/>
        <v/>
      </c>
      <c r="Q131" s="357" t="str">
        <f t="shared" si="94"/>
        <v/>
      </c>
      <c r="R131" s="358" t="str" cm="1">
        <f t="array" ref="R131">IF(OR($A131="",D131=""),"",IFERROR(LOOKUP(2,1/(E131:Q131&lt;&gt;""),E131:Q131)-D131,""))</f>
        <v/>
      </c>
      <c r="S131" s="349"/>
      <c r="T131" s="362" t="str">
        <f t="shared" si="95"/>
        <v/>
      </c>
      <c r="U131" s="362" t="str">
        <f t="shared" si="96"/>
        <v/>
      </c>
      <c r="V131" s="362" t="str">
        <f t="shared" si="97"/>
        <v/>
      </c>
      <c r="W131" s="362" t="str">
        <f t="shared" si="98"/>
        <v/>
      </c>
      <c r="X131" s="362" t="str">
        <f t="shared" si="99"/>
        <v/>
      </c>
      <c r="Y131" s="362" t="str">
        <f t="shared" si="100"/>
        <v/>
      </c>
      <c r="Z131" s="362" t="str">
        <f t="shared" si="101"/>
        <v/>
      </c>
      <c r="AA131" s="362" t="str">
        <f t="shared" si="102"/>
        <v/>
      </c>
      <c r="AB131" s="362" t="str">
        <f t="shared" si="103"/>
        <v/>
      </c>
      <c r="AC131" s="362" t="str">
        <f t="shared" si="104"/>
        <v/>
      </c>
      <c r="AD131" s="362" t="str">
        <f t="shared" si="105"/>
        <v/>
      </c>
      <c r="AE131" s="362" t="str">
        <f t="shared" si="106"/>
        <v/>
      </c>
      <c r="AF131" s="362" t="str">
        <f t="shared" si="107"/>
        <v/>
      </c>
      <c r="AG131" s="362" t="str">
        <f t="shared" si="108"/>
        <v/>
      </c>
      <c r="AH131" s="363" t="str" cm="1">
        <f t="array" ref="AH131">IF(OR($A131="",T131=""),"",IFERROR(LOOKUP(2,1/(U131:AG131&lt;&gt;""),U131:AG131)-T131,""))</f>
        <v/>
      </c>
      <c r="AI131" s="349"/>
      <c r="AJ131" s="349" t="str" cm="1">
        <f t="array" ref="AJ131">IF($A131="","",IFERROR(MATCH($A131,TRIM('Sales and count'!$A$4:$A$300&amp;""),0),""))</f>
        <v/>
      </c>
      <c r="AK131" s="350" t="str" cm="1">
        <f t="array" ref="AK131">IF(OR($A131="",AK$6=""),"",IFERROR(INDEX(Footfall!$C$5:$BZ$301,MATCH($A131,TRIM(Footfall!$B$5:$B$301&amp;""),0),AK$5),0))</f>
        <v/>
      </c>
      <c r="AL131" s="350" t="str" cm="1">
        <f t="array" ref="AL131">IF(OR($A131="",AL$6=""),"",IFERROR(INDEX(Footfall!$C$5:$BZ$301,MATCH($A131,TRIM(Footfall!$B$5:$B$301&amp;""),0),AL$5),0))</f>
        <v/>
      </c>
      <c r="AM131" s="350" t="str" cm="1">
        <f t="array" ref="AM131">IF(OR($A131="",AM$6=""),"",IFERROR(INDEX(Footfall!$C$5:$BZ$301,MATCH($A131,TRIM(Footfall!$B$5:$B$301&amp;""),0),AM$5),0))</f>
        <v/>
      </c>
      <c r="AN131" s="350" t="str" cm="1">
        <f t="array" ref="AN131">IF(OR($A131="",AN$6=""),"",IFERROR(INDEX(Footfall!$C$5:$BZ$301,MATCH($A131,TRIM(Footfall!$B$5:$B$301&amp;""),0),AN$5),0))</f>
        <v/>
      </c>
      <c r="AO131" s="350" t="str" cm="1">
        <f t="array" ref="AO131">IF(OR($A131="",AO$6=""),"",IFERROR(INDEX(Footfall!$C$5:$BZ$301,MATCH($A131,TRIM(Footfall!$B$5:$B$301&amp;""),0),AO$5),0))</f>
        <v/>
      </c>
      <c r="AP131" s="350" t="str" cm="1">
        <f t="array" ref="AP131">IF(OR($A131="",AP$6=""),"",IFERROR(INDEX(Footfall!$C$5:$BZ$301,MATCH($A131,TRIM(Footfall!$B$5:$B$301&amp;""),0),AP$5),0))</f>
        <v/>
      </c>
      <c r="AQ131" s="350" t="str" cm="1">
        <f t="array" ref="AQ131">IF(OR($A131="",AQ$6=""),"",IFERROR(INDEX(Footfall!$C$5:$BZ$301,MATCH($A131,TRIM(Footfall!$B$5:$B$301&amp;""),0),AQ$5),0))</f>
        <v/>
      </c>
      <c r="AR131" s="350" t="str" cm="1">
        <f t="array" ref="AR131">IF(OR($A131="",AR$6=""),"",IFERROR(INDEX(Footfall!$C$5:$BZ$301,MATCH($A131,TRIM(Footfall!$B$5:$B$301&amp;""),0),AR$5),0))</f>
        <v/>
      </c>
      <c r="AS131" s="350" t="str" cm="1">
        <f t="array" ref="AS131">IF(OR($A131="",AS$6=""),"",IFERROR(INDEX(Footfall!$C$5:$BZ$301,MATCH($A131,TRIM(Footfall!$B$5:$B$301&amp;""),0),AS$5),0))</f>
        <v/>
      </c>
      <c r="AT131" s="350" t="str" cm="1">
        <f t="array" ref="AT131">IF(OR($A131="",AT$6=""),"",IFERROR(INDEX(Footfall!$C$5:$BZ$301,MATCH($A131,TRIM(Footfall!$B$5:$B$301&amp;""),0),AT$5),0))</f>
        <v/>
      </c>
      <c r="AU131" s="350" t="str" cm="1">
        <f t="array" ref="AU131">IF(OR($A131="",AU$6=""),"",IFERROR(INDEX(Footfall!$C$5:$BZ$301,MATCH($A131,TRIM(Footfall!$B$5:$B$301&amp;""),0),AU$5),0))</f>
        <v/>
      </c>
      <c r="AV131" s="350" t="str" cm="1">
        <f t="array" ref="AV131">IF(OR($A131="",AV$6=""),"",IFERROR(INDEX(Footfall!$C$5:$BZ$301,MATCH($A131,TRIM(Footfall!$B$5:$B$301&amp;""),0),AV$5),0))</f>
        <v/>
      </c>
      <c r="AW131" s="350" t="str" cm="1">
        <f t="array" ref="AW131">IF(OR($A131="",AW$6=""),"",IFERROR(INDEX(Footfall!$C$5:$BZ$301,MATCH($A131,TRIM(Footfall!$B$5:$B$301&amp;""),0),AW$5),0))</f>
        <v/>
      </c>
      <c r="AX131" s="350" t="str" cm="1">
        <f t="array" ref="AX131">IF(OR($A131="",AX$6=""),"",IFERROR(INDEX(Footfall!$C$5:$BZ$301,MATCH($A131,TRIM(Footfall!$B$5:$B$301&amp;""),0),AX$5),0))</f>
        <v/>
      </c>
      <c r="AY131" s="350" t="str" cm="1">
        <f t="array" ref="AY131">IF(AK131="","",IF($AJ131="",0,_xlfn.LET(_xlpm.d,IFERROR(--'Sales and count'!$F$2:$CB$2,0),SUMPRODUCT(('Sales and count'!$G$3:$CC$3="Transactions")*(_xlpm.d&gt;=AY$6)*(_xlpm.d&lt;=AY$7),INDEX('Sales and count'!$G$4:$CC$300,$AJ131,0)))))</f>
        <v/>
      </c>
      <c r="AZ131" s="350" t="str" cm="1">
        <f t="array" ref="AZ131">IF(AL131="","",IF($AJ131="",0,_xlfn.LET(_xlpm.d,IFERROR(--'Sales and count'!$F$2:$CB$2,0),SUMPRODUCT(('Sales and count'!$G$3:$CC$3="Transactions")*(_xlpm.d&gt;=AZ$6)*(_xlpm.d&lt;=AZ$7),INDEX('Sales and count'!$G$4:$CC$300,$AJ131,0)))))</f>
        <v/>
      </c>
      <c r="BA131" s="350" t="str" cm="1">
        <f t="array" ref="BA131">IF(AM131="","",IF($AJ131="",0,_xlfn.LET(_xlpm.d,IFERROR(--'Sales and count'!$F$2:$CB$2,0),SUMPRODUCT(('Sales and count'!$G$3:$CC$3="Transactions")*(_xlpm.d&gt;=BA$6)*(_xlpm.d&lt;=BA$7),INDEX('Sales and count'!$G$4:$CC$300,$AJ131,0)))))</f>
        <v/>
      </c>
      <c r="BB131" s="350" t="str" cm="1">
        <f t="array" ref="BB131">IF(AN131="","",IF($AJ131="",0,_xlfn.LET(_xlpm.d,IFERROR(--'Sales and count'!$F$2:$CB$2,0),SUMPRODUCT(('Sales and count'!$G$3:$CC$3="Transactions")*(_xlpm.d&gt;=BB$6)*(_xlpm.d&lt;=BB$7),INDEX('Sales and count'!$G$4:$CC$300,$AJ131,0)))))</f>
        <v/>
      </c>
      <c r="BC131" s="350" t="str" cm="1">
        <f t="array" ref="BC131">IF(AO131="","",IF($AJ131="",0,_xlfn.LET(_xlpm.d,IFERROR(--'Sales and count'!$F$2:$CB$2,0),SUMPRODUCT(('Sales and count'!$G$3:$CC$3="Transactions")*(_xlpm.d&gt;=BC$6)*(_xlpm.d&lt;=BC$7),INDEX('Sales and count'!$G$4:$CC$300,$AJ131,0)))))</f>
        <v/>
      </c>
      <c r="BD131" s="350" t="str" cm="1">
        <f t="array" ref="BD131">IF(AP131="","",IF($AJ131="",0,_xlfn.LET(_xlpm.d,IFERROR(--'Sales and count'!$F$2:$CB$2,0),SUMPRODUCT(('Sales and count'!$G$3:$CC$3="Transactions")*(_xlpm.d&gt;=BD$6)*(_xlpm.d&lt;=BD$7),INDEX('Sales and count'!$G$4:$CC$300,$AJ131,0)))))</f>
        <v/>
      </c>
      <c r="BE131" s="350" t="str" cm="1">
        <f t="array" ref="BE131">IF(AQ131="","",IF($AJ131="",0,_xlfn.LET(_xlpm.d,IFERROR(--'Sales and count'!$F$2:$CB$2,0),SUMPRODUCT(('Sales and count'!$G$3:$CC$3="Transactions")*(_xlpm.d&gt;=BE$6)*(_xlpm.d&lt;=BE$7),INDEX('Sales and count'!$G$4:$CC$300,$AJ131,0)))))</f>
        <v/>
      </c>
      <c r="BF131" s="350" t="str" cm="1">
        <f t="array" ref="BF131">IF(AR131="","",IF($AJ131="",0,_xlfn.LET(_xlpm.d,IFERROR(--'Sales and count'!$F$2:$CB$2,0),SUMPRODUCT(('Sales and count'!$G$3:$CC$3="Transactions")*(_xlpm.d&gt;=BF$6)*(_xlpm.d&lt;=BF$7),INDEX('Sales and count'!$G$4:$CC$300,$AJ131,0)))))</f>
        <v/>
      </c>
      <c r="BG131" s="350" t="str" cm="1">
        <f t="array" ref="BG131">IF(AS131="","",IF($AJ131="",0,_xlfn.LET(_xlpm.d,IFERROR(--'Sales and count'!$F$2:$CB$2,0),SUMPRODUCT(('Sales and count'!$G$3:$CC$3="Transactions")*(_xlpm.d&gt;=BG$6)*(_xlpm.d&lt;=BG$7),INDEX('Sales and count'!$G$4:$CC$300,$AJ131,0)))))</f>
        <v/>
      </c>
      <c r="BH131" s="350" t="str" cm="1">
        <f t="array" ref="BH131">IF(AT131="","",IF($AJ131="",0,_xlfn.LET(_xlpm.d,IFERROR(--'Sales and count'!$F$2:$CB$2,0),SUMPRODUCT(('Sales and count'!$G$3:$CC$3="Transactions")*(_xlpm.d&gt;=BH$6)*(_xlpm.d&lt;=BH$7),INDEX('Sales and count'!$G$4:$CC$300,$AJ131,0)))))</f>
        <v/>
      </c>
      <c r="BI131" s="350" t="str" cm="1">
        <f t="array" ref="BI131">IF(AU131="","",IF($AJ131="",0,_xlfn.LET(_xlpm.d,IFERROR(--'Sales and count'!$F$2:$CB$2,0),SUMPRODUCT(('Sales and count'!$G$3:$CC$3="Transactions")*(_xlpm.d&gt;=BI$6)*(_xlpm.d&lt;=BI$7),INDEX('Sales and count'!$G$4:$CC$300,$AJ131,0)))))</f>
        <v/>
      </c>
      <c r="BJ131" s="350" t="str" cm="1">
        <f t="array" ref="BJ131">IF(AV131="","",IF($AJ131="",0,_xlfn.LET(_xlpm.d,IFERROR(--'Sales and count'!$F$2:$CB$2,0),SUMPRODUCT(('Sales and count'!$G$3:$CC$3="Transactions")*(_xlpm.d&gt;=BJ$6)*(_xlpm.d&lt;=BJ$7),INDEX('Sales and count'!$G$4:$CC$300,$AJ131,0)))))</f>
        <v/>
      </c>
      <c r="BK131" s="350" t="str" cm="1">
        <f t="array" ref="BK131">IF(AW131="","",IF($AJ131="",0,_xlfn.LET(_xlpm.d,IFERROR(--'Sales and count'!$F$2:$CB$2,0),SUMPRODUCT(('Sales and count'!$G$3:$CC$3="Transactions")*(_xlpm.d&gt;=BK$6)*(_xlpm.d&lt;=BK$7),INDEX('Sales and count'!$G$4:$CC$300,$AJ131,0)))))</f>
        <v/>
      </c>
      <c r="BL131" s="350" t="str" cm="1">
        <f t="array" ref="BL131">IF(AX131="","",IF($AJ131="",0,_xlfn.LET(_xlpm.d,IFERROR(--'Sales and count'!$F$2:$CB$2,0),SUMPRODUCT(('Sales and count'!$G$3:$CC$3="Transactions")*(_xlpm.d&gt;=BL$6)*(_xlpm.d&lt;=BL$7),INDEX('Sales and count'!$G$4:$CC$300,$AJ131,0)))))</f>
        <v/>
      </c>
      <c r="BM131" s="350" t="str" cm="1">
        <f t="array" ref="BM131">IF(AK131="","",IF($AJ131="",0,_xlfn.LET(_xlpm.d,IFERROR(--'Sales and count'!$G$2:$CC$2,0),SUMPRODUCT(('Sales and count'!$G$3:$CC$3="Total")*(_xlpm.d&gt;=BM$6)*(_xlpm.d&lt;=BM$7),INDEX('Sales and count'!$G$4:$CC$300,$AJ131,0)))))</f>
        <v/>
      </c>
      <c r="BN131" s="350" t="str" cm="1">
        <f t="array" ref="BN131">IF(AL131="","",IF($AJ131="",0,_xlfn.LET(_xlpm.d,IFERROR(--'Sales and count'!$G$2:$CC$2,0),SUMPRODUCT(('Sales and count'!$G$3:$CC$3="Total")*(_xlpm.d&gt;=BN$6)*(_xlpm.d&lt;=BN$7),INDEX('Sales and count'!$G$4:$CC$300,$AJ131,0)))))</f>
        <v/>
      </c>
      <c r="BO131" s="350" t="str" cm="1">
        <f t="array" ref="BO131">IF(AM131="","",IF($AJ131="",0,_xlfn.LET(_xlpm.d,IFERROR(--'Sales and count'!$G$2:$CC$2,0),SUMPRODUCT(('Sales and count'!$G$3:$CC$3="Total")*(_xlpm.d&gt;=BO$6)*(_xlpm.d&lt;=BO$7),INDEX('Sales and count'!$G$4:$CC$300,$AJ131,0)))))</f>
        <v/>
      </c>
      <c r="BP131" s="350" t="str" cm="1">
        <f t="array" ref="BP131">IF(AN131="","",IF($AJ131="",0,_xlfn.LET(_xlpm.d,IFERROR(--'Sales and count'!$G$2:$CC$2,0),SUMPRODUCT(('Sales and count'!$G$3:$CC$3="Total")*(_xlpm.d&gt;=BP$6)*(_xlpm.d&lt;=BP$7),INDEX('Sales and count'!$G$4:$CC$300,$AJ131,0)))))</f>
        <v/>
      </c>
      <c r="BQ131" s="350" t="str" cm="1">
        <f t="array" ref="BQ131">IF(AO131="","",IF($AJ131="",0,_xlfn.LET(_xlpm.d,IFERROR(--'Sales and count'!$G$2:$CC$2,0),SUMPRODUCT(('Sales and count'!$G$3:$CC$3="Total")*(_xlpm.d&gt;=BQ$6)*(_xlpm.d&lt;=BQ$7),INDEX('Sales and count'!$G$4:$CC$300,$AJ131,0)))))</f>
        <v/>
      </c>
      <c r="BR131" s="350" t="str" cm="1">
        <f t="array" ref="BR131">IF(AP131="","",IF($AJ131="",0,_xlfn.LET(_xlpm.d,IFERROR(--'Sales and count'!$G$2:$CC$2,0),SUMPRODUCT(('Sales and count'!$G$3:$CC$3="Total")*(_xlpm.d&gt;=BR$6)*(_xlpm.d&lt;=BR$7),INDEX('Sales and count'!$G$4:$CC$300,$AJ131,0)))))</f>
        <v/>
      </c>
      <c r="BS131" s="350" t="str" cm="1">
        <f t="array" ref="BS131">IF(AQ131="","",IF($AJ131="",0,_xlfn.LET(_xlpm.d,IFERROR(--'Sales and count'!$G$2:$CC$2,0),SUMPRODUCT(('Sales and count'!$G$3:$CC$3="Total")*(_xlpm.d&gt;=BS$6)*(_xlpm.d&lt;=BS$7),INDEX('Sales and count'!$G$4:$CC$300,$AJ131,0)))))</f>
        <v/>
      </c>
      <c r="BT131" s="350" t="str" cm="1">
        <f t="array" ref="BT131">IF(AR131="","",IF($AJ131="",0,_xlfn.LET(_xlpm.d,IFERROR(--'Sales and count'!$G$2:$CC$2,0),SUMPRODUCT(('Sales and count'!$G$3:$CC$3="Total")*(_xlpm.d&gt;=BT$6)*(_xlpm.d&lt;=BT$7),INDEX('Sales and count'!$G$4:$CC$300,$AJ131,0)))))</f>
        <v/>
      </c>
      <c r="BU131" s="350" t="str" cm="1">
        <f t="array" ref="BU131">IF(AS131="","",IF($AJ131="",0,_xlfn.LET(_xlpm.d,IFERROR(--'Sales and count'!$G$2:$CC$2,0),SUMPRODUCT(('Sales and count'!$G$3:$CC$3="Total")*(_xlpm.d&gt;=BU$6)*(_xlpm.d&lt;=BU$7),INDEX('Sales and count'!$G$4:$CC$300,$AJ131,0)))))</f>
        <v/>
      </c>
      <c r="BV131" s="350" t="str" cm="1">
        <f t="array" ref="BV131">IF(AT131="","",IF($AJ131="",0,_xlfn.LET(_xlpm.d,IFERROR(--'Sales and count'!$G$2:$CC$2,0),SUMPRODUCT(('Sales and count'!$G$3:$CC$3="Total")*(_xlpm.d&gt;=BV$6)*(_xlpm.d&lt;=BV$7),INDEX('Sales and count'!$G$4:$CC$300,$AJ131,0)))))</f>
        <v/>
      </c>
      <c r="BW131" s="350" t="str" cm="1">
        <f t="array" ref="BW131">IF(AU131="","",IF($AJ131="",0,_xlfn.LET(_xlpm.d,IFERROR(--'Sales and count'!$G$2:$CC$2,0),SUMPRODUCT(('Sales and count'!$G$3:$CC$3="Total")*(_xlpm.d&gt;=BW$6)*(_xlpm.d&lt;=BW$7),INDEX('Sales and count'!$G$4:$CC$300,$AJ131,0)))))</f>
        <v/>
      </c>
      <c r="BX131" s="350" t="str" cm="1">
        <f t="array" ref="BX131">IF(AV131="","",IF($AJ131="",0,_xlfn.LET(_xlpm.d,IFERROR(--'Sales and count'!$G$2:$CC$2,0),SUMPRODUCT(('Sales and count'!$G$3:$CC$3="Total")*(_xlpm.d&gt;=BX$6)*(_xlpm.d&lt;=BX$7),INDEX('Sales and count'!$G$4:$CC$300,$AJ131,0)))))</f>
        <v/>
      </c>
      <c r="BY131" s="350" t="str" cm="1">
        <f t="array" ref="BY131">IF(AW131="","",IF($AJ131="",0,_xlfn.LET(_xlpm.d,IFERROR(--'Sales and count'!$G$2:$CC$2,0),SUMPRODUCT(('Sales and count'!$G$3:$CC$3="Total")*(_xlpm.d&gt;=BY$6)*(_xlpm.d&lt;=BY$7),INDEX('Sales and count'!$G$4:$CC$300,$AJ131,0)))))</f>
        <v/>
      </c>
      <c r="BZ131" s="350" t="str" cm="1">
        <f t="array" ref="BZ131">IF(AX131="","",IF($AJ131="",0,_xlfn.LET(_xlpm.d,IFERROR(--'Sales and count'!$G$2:$CC$2,0),SUMPRODUCT(('Sales and count'!$G$3:$CC$3="Total")*(_xlpm.d&gt;=BZ$6)*(_xlpm.d&lt;=BZ$7),INDEX('Sales and count'!$G$4:$CC$300,$AJ131,0)))))</f>
        <v/>
      </c>
    </row>
    <row r="132" spans="1:78" x14ac:dyDescent="0.25">
      <c r="A132" s="356"/>
      <c r="B132" s="356" t="str" cm="1">
        <f t="array" ref="B132">IF($A132="","",_xlfn.XLOOKUP($A132,TRIM(Footfall!$B$5:$B$301&amp;""),Footfall!$A$5:$A$301,""))</f>
        <v/>
      </c>
      <c r="C132" s="356" t="str" cm="1">
        <f t="array" ref="C132">IF($A132="","",_xlfn.XLOOKUP($A132,TRIM('Sales and count'!$A$4:$A$300&amp;""),'Sales and count'!$C$4:$C$300,"Not set"))</f>
        <v/>
      </c>
      <c r="D132" s="357" t="str">
        <f t="shared" si="81"/>
        <v/>
      </c>
      <c r="E132" s="357" t="str">
        <f t="shared" si="82"/>
        <v/>
      </c>
      <c r="F132" s="357" t="str">
        <f t="shared" si="83"/>
        <v/>
      </c>
      <c r="G132" s="357" t="str">
        <f t="shared" si="84"/>
        <v/>
      </c>
      <c r="H132" s="357" t="str">
        <f t="shared" si="85"/>
        <v/>
      </c>
      <c r="I132" s="357" t="str">
        <f t="shared" si="86"/>
        <v/>
      </c>
      <c r="J132" s="357" t="str">
        <f t="shared" si="87"/>
        <v/>
      </c>
      <c r="K132" s="357" t="str">
        <f t="shared" si="88"/>
        <v/>
      </c>
      <c r="L132" s="357" t="str">
        <f t="shared" si="89"/>
        <v/>
      </c>
      <c r="M132" s="357" t="str">
        <f t="shared" si="90"/>
        <v/>
      </c>
      <c r="N132" s="357" t="str">
        <f t="shared" si="91"/>
        <v/>
      </c>
      <c r="O132" s="357" t="str">
        <f t="shared" si="92"/>
        <v/>
      </c>
      <c r="P132" s="357" t="str">
        <f t="shared" si="93"/>
        <v/>
      </c>
      <c r="Q132" s="357" t="str">
        <f t="shared" si="94"/>
        <v/>
      </c>
      <c r="R132" s="358" t="str" cm="1">
        <f t="array" ref="R132">IF(OR($A132="",D132=""),"",IFERROR(LOOKUP(2,1/(E132:Q132&lt;&gt;""),E132:Q132)-D132,""))</f>
        <v/>
      </c>
      <c r="S132" s="349"/>
      <c r="T132" s="362" t="str">
        <f t="shared" si="95"/>
        <v/>
      </c>
      <c r="U132" s="362" t="str">
        <f t="shared" si="96"/>
        <v/>
      </c>
      <c r="V132" s="362" t="str">
        <f t="shared" si="97"/>
        <v/>
      </c>
      <c r="W132" s="362" t="str">
        <f t="shared" si="98"/>
        <v/>
      </c>
      <c r="X132" s="362" t="str">
        <f t="shared" si="99"/>
        <v/>
      </c>
      <c r="Y132" s="362" t="str">
        <f t="shared" si="100"/>
        <v/>
      </c>
      <c r="Z132" s="362" t="str">
        <f t="shared" si="101"/>
        <v/>
      </c>
      <c r="AA132" s="362" t="str">
        <f t="shared" si="102"/>
        <v/>
      </c>
      <c r="AB132" s="362" t="str">
        <f t="shared" si="103"/>
        <v/>
      </c>
      <c r="AC132" s="362" t="str">
        <f t="shared" si="104"/>
        <v/>
      </c>
      <c r="AD132" s="362" t="str">
        <f t="shared" si="105"/>
        <v/>
      </c>
      <c r="AE132" s="362" t="str">
        <f t="shared" si="106"/>
        <v/>
      </c>
      <c r="AF132" s="362" t="str">
        <f t="shared" si="107"/>
        <v/>
      </c>
      <c r="AG132" s="362" t="str">
        <f t="shared" si="108"/>
        <v/>
      </c>
      <c r="AH132" s="363" t="str" cm="1">
        <f t="array" ref="AH132">IF(OR($A132="",T132=""),"",IFERROR(LOOKUP(2,1/(U132:AG132&lt;&gt;""),U132:AG132)-T132,""))</f>
        <v/>
      </c>
      <c r="AI132" s="349"/>
      <c r="AJ132" s="349" t="str" cm="1">
        <f t="array" ref="AJ132">IF($A132="","",IFERROR(MATCH($A132,TRIM('Sales and count'!$A$4:$A$300&amp;""),0),""))</f>
        <v/>
      </c>
      <c r="AK132" s="350" t="str" cm="1">
        <f t="array" ref="AK132">IF(OR($A132="",AK$6=""),"",IFERROR(INDEX(Footfall!$C$5:$BZ$301,MATCH($A132,TRIM(Footfall!$B$5:$B$301&amp;""),0),AK$5),0))</f>
        <v/>
      </c>
      <c r="AL132" s="350" t="str" cm="1">
        <f t="array" ref="AL132">IF(OR($A132="",AL$6=""),"",IFERROR(INDEX(Footfall!$C$5:$BZ$301,MATCH($A132,TRIM(Footfall!$B$5:$B$301&amp;""),0),AL$5),0))</f>
        <v/>
      </c>
      <c r="AM132" s="350" t="str" cm="1">
        <f t="array" ref="AM132">IF(OR($A132="",AM$6=""),"",IFERROR(INDEX(Footfall!$C$5:$BZ$301,MATCH($A132,TRIM(Footfall!$B$5:$B$301&amp;""),0),AM$5),0))</f>
        <v/>
      </c>
      <c r="AN132" s="350" t="str" cm="1">
        <f t="array" ref="AN132">IF(OR($A132="",AN$6=""),"",IFERROR(INDEX(Footfall!$C$5:$BZ$301,MATCH($A132,TRIM(Footfall!$B$5:$B$301&amp;""),0),AN$5),0))</f>
        <v/>
      </c>
      <c r="AO132" s="350" t="str" cm="1">
        <f t="array" ref="AO132">IF(OR($A132="",AO$6=""),"",IFERROR(INDEX(Footfall!$C$5:$BZ$301,MATCH($A132,TRIM(Footfall!$B$5:$B$301&amp;""),0),AO$5),0))</f>
        <v/>
      </c>
      <c r="AP132" s="350" t="str" cm="1">
        <f t="array" ref="AP132">IF(OR($A132="",AP$6=""),"",IFERROR(INDEX(Footfall!$C$5:$BZ$301,MATCH($A132,TRIM(Footfall!$B$5:$B$301&amp;""),0),AP$5),0))</f>
        <v/>
      </c>
      <c r="AQ132" s="350" t="str" cm="1">
        <f t="array" ref="AQ132">IF(OR($A132="",AQ$6=""),"",IFERROR(INDEX(Footfall!$C$5:$BZ$301,MATCH($A132,TRIM(Footfall!$B$5:$B$301&amp;""),0),AQ$5),0))</f>
        <v/>
      </c>
      <c r="AR132" s="350" t="str" cm="1">
        <f t="array" ref="AR132">IF(OR($A132="",AR$6=""),"",IFERROR(INDEX(Footfall!$C$5:$BZ$301,MATCH($A132,TRIM(Footfall!$B$5:$B$301&amp;""),0),AR$5),0))</f>
        <v/>
      </c>
      <c r="AS132" s="350" t="str" cm="1">
        <f t="array" ref="AS132">IF(OR($A132="",AS$6=""),"",IFERROR(INDEX(Footfall!$C$5:$BZ$301,MATCH($A132,TRIM(Footfall!$B$5:$B$301&amp;""),0),AS$5),0))</f>
        <v/>
      </c>
      <c r="AT132" s="350" t="str" cm="1">
        <f t="array" ref="AT132">IF(OR($A132="",AT$6=""),"",IFERROR(INDEX(Footfall!$C$5:$BZ$301,MATCH($A132,TRIM(Footfall!$B$5:$B$301&amp;""),0),AT$5),0))</f>
        <v/>
      </c>
      <c r="AU132" s="350" t="str" cm="1">
        <f t="array" ref="AU132">IF(OR($A132="",AU$6=""),"",IFERROR(INDEX(Footfall!$C$5:$BZ$301,MATCH($A132,TRIM(Footfall!$B$5:$B$301&amp;""),0),AU$5),0))</f>
        <v/>
      </c>
      <c r="AV132" s="350" t="str" cm="1">
        <f t="array" ref="AV132">IF(OR($A132="",AV$6=""),"",IFERROR(INDEX(Footfall!$C$5:$BZ$301,MATCH($A132,TRIM(Footfall!$B$5:$B$301&amp;""),0),AV$5),0))</f>
        <v/>
      </c>
      <c r="AW132" s="350" t="str" cm="1">
        <f t="array" ref="AW132">IF(OR($A132="",AW$6=""),"",IFERROR(INDEX(Footfall!$C$5:$BZ$301,MATCH($A132,TRIM(Footfall!$B$5:$B$301&amp;""),0),AW$5),0))</f>
        <v/>
      </c>
      <c r="AX132" s="350" t="str" cm="1">
        <f t="array" ref="AX132">IF(OR($A132="",AX$6=""),"",IFERROR(INDEX(Footfall!$C$5:$BZ$301,MATCH($A132,TRIM(Footfall!$B$5:$B$301&amp;""),0),AX$5),0))</f>
        <v/>
      </c>
      <c r="AY132" s="350" t="str" cm="1">
        <f t="array" ref="AY132">IF(AK132="","",IF($AJ132="",0,_xlfn.LET(_xlpm.d,IFERROR(--'Sales and count'!$F$2:$CB$2,0),SUMPRODUCT(('Sales and count'!$G$3:$CC$3="Transactions")*(_xlpm.d&gt;=AY$6)*(_xlpm.d&lt;=AY$7),INDEX('Sales and count'!$G$4:$CC$300,$AJ132,0)))))</f>
        <v/>
      </c>
      <c r="AZ132" s="350" t="str" cm="1">
        <f t="array" ref="AZ132">IF(AL132="","",IF($AJ132="",0,_xlfn.LET(_xlpm.d,IFERROR(--'Sales and count'!$F$2:$CB$2,0),SUMPRODUCT(('Sales and count'!$G$3:$CC$3="Transactions")*(_xlpm.d&gt;=AZ$6)*(_xlpm.d&lt;=AZ$7),INDEX('Sales and count'!$G$4:$CC$300,$AJ132,0)))))</f>
        <v/>
      </c>
      <c r="BA132" s="350" t="str" cm="1">
        <f t="array" ref="BA132">IF(AM132="","",IF($AJ132="",0,_xlfn.LET(_xlpm.d,IFERROR(--'Sales and count'!$F$2:$CB$2,0),SUMPRODUCT(('Sales and count'!$G$3:$CC$3="Transactions")*(_xlpm.d&gt;=BA$6)*(_xlpm.d&lt;=BA$7),INDEX('Sales and count'!$G$4:$CC$300,$AJ132,0)))))</f>
        <v/>
      </c>
      <c r="BB132" s="350" t="str" cm="1">
        <f t="array" ref="BB132">IF(AN132="","",IF($AJ132="",0,_xlfn.LET(_xlpm.d,IFERROR(--'Sales and count'!$F$2:$CB$2,0),SUMPRODUCT(('Sales and count'!$G$3:$CC$3="Transactions")*(_xlpm.d&gt;=BB$6)*(_xlpm.d&lt;=BB$7),INDEX('Sales and count'!$G$4:$CC$300,$AJ132,0)))))</f>
        <v/>
      </c>
      <c r="BC132" s="350" t="str" cm="1">
        <f t="array" ref="BC132">IF(AO132="","",IF($AJ132="",0,_xlfn.LET(_xlpm.d,IFERROR(--'Sales and count'!$F$2:$CB$2,0),SUMPRODUCT(('Sales and count'!$G$3:$CC$3="Transactions")*(_xlpm.d&gt;=BC$6)*(_xlpm.d&lt;=BC$7),INDEX('Sales and count'!$G$4:$CC$300,$AJ132,0)))))</f>
        <v/>
      </c>
      <c r="BD132" s="350" t="str" cm="1">
        <f t="array" ref="BD132">IF(AP132="","",IF($AJ132="",0,_xlfn.LET(_xlpm.d,IFERROR(--'Sales and count'!$F$2:$CB$2,0),SUMPRODUCT(('Sales and count'!$G$3:$CC$3="Transactions")*(_xlpm.d&gt;=BD$6)*(_xlpm.d&lt;=BD$7),INDEX('Sales and count'!$G$4:$CC$300,$AJ132,0)))))</f>
        <v/>
      </c>
      <c r="BE132" s="350" t="str" cm="1">
        <f t="array" ref="BE132">IF(AQ132="","",IF($AJ132="",0,_xlfn.LET(_xlpm.d,IFERROR(--'Sales and count'!$F$2:$CB$2,0),SUMPRODUCT(('Sales and count'!$G$3:$CC$3="Transactions")*(_xlpm.d&gt;=BE$6)*(_xlpm.d&lt;=BE$7),INDEX('Sales and count'!$G$4:$CC$300,$AJ132,0)))))</f>
        <v/>
      </c>
      <c r="BF132" s="350" t="str" cm="1">
        <f t="array" ref="BF132">IF(AR132="","",IF($AJ132="",0,_xlfn.LET(_xlpm.d,IFERROR(--'Sales and count'!$F$2:$CB$2,0),SUMPRODUCT(('Sales and count'!$G$3:$CC$3="Transactions")*(_xlpm.d&gt;=BF$6)*(_xlpm.d&lt;=BF$7),INDEX('Sales and count'!$G$4:$CC$300,$AJ132,0)))))</f>
        <v/>
      </c>
      <c r="BG132" s="350" t="str" cm="1">
        <f t="array" ref="BG132">IF(AS132="","",IF($AJ132="",0,_xlfn.LET(_xlpm.d,IFERROR(--'Sales and count'!$F$2:$CB$2,0),SUMPRODUCT(('Sales and count'!$G$3:$CC$3="Transactions")*(_xlpm.d&gt;=BG$6)*(_xlpm.d&lt;=BG$7),INDEX('Sales and count'!$G$4:$CC$300,$AJ132,0)))))</f>
        <v/>
      </c>
      <c r="BH132" s="350" t="str" cm="1">
        <f t="array" ref="BH132">IF(AT132="","",IF($AJ132="",0,_xlfn.LET(_xlpm.d,IFERROR(--'Sales and count'!$F$2:$CB$2,0),SUMPRODUCT(('Sales and count'!$G$3:$CC$3="Transactions")*(_xlpm.d&gt;=BH$6)*(_xlpm.d&lt;=BH$7),INDEX('Sales and count'!$G$4:$CC$300,$AJ132,0)))))</f>
        <v/>
      </c>
      <c r="BI132" s="350" t="str" cm="1">
        <f t="array" ref="BI132">IF(AU132="","",IF($AJ132="",0,_xlfn.LET(_xlpm.d,IFERROR(--'Sales and count'!$F$2:$CB$2,0),SUMPRODUCT(('Sales and count'!$G$3:$CC$3="Transactions")*(_xlpm.d&gt;=BI$6)*(_xlpm.d&lt;=BI$7),INDEX('Sales and count'!$G$4:$CC$300,$AJ132,0)))))</f>
        <v/>
      </c>
      <c r="BJ132" s="350" t="str" cm="1">
        <f t="array" ref="BJ132">IF(AV132="","",IF($AJ132="",0,_xlfn.LET(_xlpm.d,IFERROR(--'Sales and count'!$F$2:$CB$2,0),SUMPRODUCT(('Sales and count'!$G$3:$CC$3="Transactions")*(_xlpm.d&gt;=BJ$6)*(_xlpm.d&lt;=BJ$7),INDEX('Sales and count'!$G$4:$CC$300,$AJ132,0)))))</f>
        <v/>
      </c>
      <c r="BK132" s="350" t="str" cm="1">
        <f t="array" ref="BK132">IF(AW132="","",IF($AJ132="",0,_xlfn.LET(_xlpm.d,IFERROR(--'Sales and count'!$F$2:$CB$2,0),SUMPRODUCT(('Sales and count'!$G$3:$CC$3="Transactions")*(_xlpm.d&gt;=BK$6)*(_xlpm.d&lt;=BK$7),INDEX('Sales and count'!$G$4:$CC$300,$AJ132,0)))))</f>
        <v/>
      </c>
      <c r="BL132" s="350" t="str" cm="1">
        <f t="array" ref="BL132">IF(AX132="","",IF($AJ132="",0,_xlfn.LET(_xlpm.d,IFERROR(--'Sales and count'!$F$2:$CB$2,0),SUMPRODUCT(('Sales and count'!$G$3:$CC$3="Transactions")*(_xlpm.d&gt;=BL$6)*(_xlpm.d&lt;=BL$7),INDEX('Sales and count'!$G$4:$CC$300,$AJ132,0)))))</f>
        <v/>
      </c>
      <c r="BM132" s="350" t="str" cm="1">
        <f t="array" ref="BM132">IF(AK132="","",IF($AJ132="",0,_xlfn.LET(_xlpm.d,IFERROR(--'Sales and count'!$G$2:$CC$2,0),SUMPRODUCT(('Sales and count'!$G$3:$CC$3="Total")*(_xlpm.d&gt;=BM$6)*(_xlpm.d&lt;=BM$7),INDEX('Sales and count'!$G$4:$CC$300,$AJ132,0)))))</f>
        <v/>
      </c>
      <c r="BN132" s="350" t="str" cm="1">
        <f t="array" ref="BN132">IF(AL132="","",IF($AJ132="",0,_xlfn.LET(_xlpm.d,IFERROR(--'Sales and count'!$G$2:$CC$2,0),SUMPRODUCT(('Sales and count'!$G$3:$CC$3="Total")*(_xlpm.d&gt;=BN$6)*(_xlpm.d&lt;=BN$7),INDEX('Sales and count'!$G$4:$CC$300,$AJ132,0)))))</f>
        <v/>
      </c>
      <c r="BO132" s="350" t="str" cm="1">
        <f t="array" ref="BO132">IF(AM132="","",IF($AJ132="",0,_xlfn.LET(_xlpm.d,IFERROR(--'Sales and count'!$G$2:$CC$2,0),SUMPRODUCT(('Sales and count'!$G$3:$CC$3="Total")*(_xlpm.d&gt;=BO$6)*(_xlpm.d&lt;=BO$7),INDEX('Sales and count'!$G$4:$CC$300,$AJ132,0)))))</f>
        <v/>
      </c>
      <c r="BP132" s="350" t="str" cm="1">
        <f t="array" ref="BP132">IF(AN132="","",IF($AJ132="",0,_xlfn.LET(_xlpm.d,IFERROR(--'Sales and count'!$G$2:$CC$2,0),SUMPRODUCT(('Sales and count'!$G$3:$CC$3="Total")*(_xlpm.d&gt;=BP$6)*(_xlpm.d&lt;=BP$7),INDEX('Sales and count'!$G$4:$CC$300,$AJ132,0)))))</f>
        <v/>
      </c>
      <c r="BQ132" s="350" t="str" cm="1">
        <f t="array" ref="BQ132">IF(AO132="","",IF($AJ132="",0,_xlfn.LET(_xlpm.d,IFERROR(--'Sales and count'!$G$2:$CC$2,0),SUMPRODUCT(('Sales and count'!$G$3:$CC$3="Total")*(_xlpm.d&gt;=BQ$6)*(_xlpm.d&lt;=BQ$7),INDEX('Sales and count'!$G$4:$CC$300,$AJ132,0)))))</f>
        <v/>
      </c>
      <c r="BR132" s="350" t="str" cm="1">
        <f t="array" ref="BR132">IF(AP132="","",IF($AJ132="",0,_xlfn.LET(_xlpm.d,IFERROR(--'Sales and count'!$G$2:$CC$2,0),SUMPRODUCT(('Sales and count'!$G$3:$CC$3="Total")*(_xlpm.d&gt;=BR$6)*(_xlpm.d&lt;=BR$7),INDEX('Sales and count'!$G$4:$CC$300,$AJ132,0)))))</f>
        <v/>
      </c>
      <c r="BS132" s="350" t="str" cm="1">
        <f t="array" ref="BS132">IF(AQ132="","",IF($AJ132="",0,_xlfn.LET(_xlpm.d,IFERROR(--'Sales and count'!$G$2:$CC$2,0),SUMPRODUCT(('Sales and count'!$G$3:$CC$3="Total")*(_xlpm.d&gt;=BS$6)*(_xlpm.d&lt;=BS$7),INDEX('Sales and count'!$G$4:$CC$300,$AJ132,0)))))</f>
        <v/>
      </c>
      <c r="BT132" s="350" t="str" cm="1">
        <f t="array" ref="BT132">IF(AR132="","",IF($AJ132="",0,_xlfn.LET(_xlpm.d,IFERROR(--'Sales and count'!$G$2:$CC$2,0),SUMPRODUCT(('Sales and count'!$G$3:$CC$3="Total")*(_xlpm.d&gt;=BT$6)*(_xlpm.d&lt;=BT$7),INDEX('Sales and count'!$G$4:$CC$300,$AJ132,0)))))</f>
        <v/>
      </c>
      <c r="BU132" s="350" t="str" cm="1">
        <f t="array" ref="BU132">IF(AS132="","",IF($AJ132="",0,_xlfn.LET(_xlpm.d,IFERROR(--'Sales and count'!$G$2:$CC$2,0),SUMPRODUCT(('Sales and count'!$G$3:$CC$3="Total")*(_xlpm.d&gt;=BU$6)*(_xlpm.d&lt;=BU$7),INDEX('Sales and count'!$G$4:$CC$300,$AJ132,0)))))</f>
        <v/>
      </c>
      <c r="BV132" s="350" t="str" cm="1">
        <f t="array" ref="BV132">IF(AT132="","",IF($AJ132="",0,_xlfn.LET(_xlpm.d,IFERROR(--'Sales and count'!$G$2:$CC$2,0),SUMPRODUCT(('Sales and count'!$G$3:$CC$3="Total")*(_xlpm.d&gt;=BV$6)*(_xlpm.d&lt;=BV$7),INDEX('Sales and count'!$G$4:$CC$300,$AJ132,0)))))</f>
        <v/>
      </c>
      <c r="BW132" s="350" t="str" cm="1">
        <f t="array" ref="BW132">IF(AU132="","",IF($AJ132="",0,_xlfn.LET(_xlpm.d,IFERROR(--'Sales and count'!$G$2:$CC$2,0),SUMPRODUCT(('Sales and count'!$G$3:$CC$3="Total")*(_xlpm.d&gt;=BW$6)*(_xlpm.d&lt;=BW$7),INDEX('Sales and count'!$G$4:$CC$300,$AJ132,0)))))</f>
        <v/>
      </c>
      <c r="BX132" s="350" t="str" cm="1">
        <f t="array" ref="BX132">IF(AV132="","",IF($AJ132="",0,_xlfn.LET(_xlpm.d,IFERROR(--'Sales and count'!$G$2:$CC$2,0),SUMPRODUCT(('Sales and count'!$G$3:$CC$3="Total")*(_xlpm.d&gt;=BX$6)*(_xlpm.d&lt;=BX$7),INDEX('Sales and count'!$G$4:$CC$300,$AJ132,0)))))</f>
        <v/>
      </c>
      <c r="BY132" s="350" t="str" cm="1">
        <f t="array" ref="BY132">IF(AW132="","",IF($AJ132="",0,_xlfn.LET(_xlpm.d,IFERROR(--'Sales and count'!$G$2:$CC$2,0),SUMPRODUCT(('Sales and count'!$G$3:$CC$3="Total")*(_xlpm.d&gt;=BY$6)*(_xlpm.d&lt;=BY$7),INDEX('Sales and count'!$G$4:$CC$300,$AJ132,0)))))</f>
        <v/>
      </c>
      <c r="BZ132" s="350" t="str" cm="1">
        <f t="array" ref="BZ132">IF(AX132="","",IF($AJ132="",0,_xlfn.LET(_xlpm.d,IFERROR(--'Sales and count'!$G$2:$CC$2,0),SUMPRODUCT(('Sales and count'!$G$3:$CC$3="Total")*(_xlpm.d&gt;=BZ$6)*(_xlpm.d&lt;=BZ$7),INDEX('Sales and count'!$G$4:$CC$300,$AJ132,0)))))</f>
        <v/>
      </c>
    </row>
    <row r="133" spans="1:78" x14ac:dyDescent="0.25">
      <c r="A133" s="356"/>
      <c r="B133" s="356" t="str" cm="1">
        <f t="array" ref="B133">IF($A133="","",_xlfn.XLOOKUP($A133,TRIM(Footfall!$B$5:$B$301&amp;""),Footfall!$A$5:$A$301,""))</f>
        <v/>
      </c>
      <c r="C133" s="356" t="str" cm="1">
        <f t="array" ref="C133">IF($A133="","",_xlfn.XLOOKUP($A133,TRIM('Sales and count'!$A$4:$A$300&amp;""),'Sales and count'!$C$4:$C$300,"Not set"))</f>
        <v/>
      </c>
      <c r="D133" s="357" t="str">
        <f t="shared" si="81"/>
        <v/>
      </c>
      <c r="E133" s="357" t="str">
        <f t="shared" si="82"/>
        <v/>
      </c>
      <c r="F133" s="357" t="str">
        <f t="shared" si="83"/>
        <v/>
      </c>
      <c r="G133" s="357" t="str">
        <f t="shared" si="84"/>
        <v/>
      </c>
      <c r="H133" s="357" t="str">
        <f t="shared" si="85"/>
        <v/>
      </c>
      <c r="I133" s="357" t="str">
        <f t="shared" si="86"/>
        <v/>
      </c>
      <c r="J133" s="357" t="str">
        <f t="shared" si="87"/>
        <v/>
      </c>
      <c r="K133" s="357" t="str">
        <f t="shared" si="88"/>
        <v/>
      </c>
      <c r="L133" s="357" t="str">
        <f t="shared" si="89"/>
        <v/>
      </c>
      <c r="M133" s="357" t="str">
        <f t="shared" si="90"/>
        <v/>
      </c>
      <c r="N133" s="357" t="str">
        <f t="shared" si="91"/>
        <v/>
      </c>
      <c r="O133" s="357" t="str">
        <f t="shared" si="92"/>
        <v/>
      </c>
      <c r="P133" s="357" t="str">
        <f t="shared" si="93"/>
        <v/>
      </c>
      <c r="Q133" s="357" t="str">
        <f t="shared" si="94"/>
        <v/>
      </c>
      <c r="R133" s="358" t="str" cm="1">
        <f t="array" ref="R133">IF(OR($A133="",D133=""),"",IFERROR(LOOKUP(2,1/(E133:Q133&lt;&gt;""),E133:Q133)-D133,""))</f>
        <v/>
      </c>
      <c r="S133" s="349"/>
      <c r="T133" s="362" t="str">
        <f t="shared" si="95"/>
        <v/>
      </c>
      <c r="U133" s="362" t="str">
        <f t="shared" si="96"/>
        <v/>
      </c>
      <c r="V133" s="362" t="str">
        <f t="shared" si="97"/>
        <v/>
      </c>
      <c r="W133" s="362" t="str">
        <f t="shared" si="98"/>
        <v/>
      </c>
      <c r="X133" s="362" t="str">
        <f t="shared" si="99"/>
        <v/>
      </c>
      <c r="Y133" s="362" t="str">
        <f t="shared" si="100"/>
        <v/>
      </c>
      <c r="Z133" s="362" t="str">
        <f t="shared" si="101"/>
        <v/>
      </c>
      <c r="AA133" s="362" t="str">
        <f t="shared" si="102"/>
        <v/>
      </c>
      <c r="AB133" s="362" t="str">
        <f t="shared" si="103"/>
        <v/>
      </c>
      <c r="AC133" s="362" t="str">
        <f t="shared" si="104"/>
        <v/>
      </c>
      <c r="AD133" s="362" t="str">
        <f t="shared" si="105"/>
        <v/>
      </c>
      <c r="AE133" s="362" t="str">
        <f t="shared" si="106"/>
        <v/>
      </c>
      <c r="AF133" s="362" t="str">
        <f t="shared" si="107"/>
        <v/>
      </c>
      <c r="AG133" s="362" t="str">
        <f t="shared" si="108"/>
        <v/>
      </c>
      <c r="AH133" s="363" t="str" cm="1">
        <f t="array" ref="AH133">IF(OR($A133="",T133=""),"",IFERROR(LOOKUP(2,1/(U133:AG133&lt;&gt;""),U133:AG133)-T133,""))</f>
        <v/>
      </c>
      <c r="AI133" s="349"/>
      <c r="AJ133" s="349" t="str" cm="1">
        <f t="array" ref="AJ133">IF($A133="","",IFERROR(MATCH($A133,TRIM('Sales and count'!$A$4:$A$300&amp;""),0),""))</f>
        <v/>
      </c>
      <c r="AK133" s="350" t="str" cm="1">
        <f t="array" ref="AK133">IF(OR($A133="",AK$6=""),"",IFERROR(INDEX(Footfall!$C$5:$BZ$301,MATCH($A133,TRIM(Footfall!$B$5:$B$301&amp;""),0),AK$5),0))</f>
        <v/>
      </c>
      <c r="AL133" s="350" t="str" cm="1">
        <f t="array" ref="AL133">IF(OR($A133="",AL$6=""),"",IFERROR(INDEX(Footfall!$C$5:$BZ$301,MATCH($A133,TRIM(Footfall!$B$5:$B$301&amp;""),0),AL$5),0))</f>
        <v/>
      </c>
      <c r="AM133" s="350" t="str" cm="1">
        <f t="array" ref="AM133">IF(OR($A133="",AM$6=""),"",IFERROR(INDEX(Footfall!$C$5:$BZ$301,MATCH($A133,TRIM(Footfall!$B$5:$B$301&amp;""),0),AM$5),0))</f>
        <v/>
      </c>
      <c r="AN133" s="350" t="str" cm="1">
        <f t="array" ref="AN133">IF(OR($A133="",AN$6=""),"",IFERROR(INDEX(Footfall!$C$5:$BZ$301,MATCH($A133,TRIM(Footfall!$B$5:$B$301&amp;""),0),AN$5),0))</f>
        <v/>
      </c>
      <c r="AO133" s="350" t="str" cm="1">
        <f t="array" ref="AO133">IF(OR($A133="",AO$6=""),"",IFERROR(INDEX(Footfall!$C$5:$BZ$301,MATCH($A133,TRIM(Footfall!$B$5:$B$301&amp;""),0),AO$5),0))</f>
        <v/>
      </c>
      <c r="AP133" s="350" t="str" cm="1">
        <f t="array" ref="AP133">IF(OR($A133="",AP$6=""),"",IFERROR(INDEX(Footfall!$C$5:$BZ$301,MATCH($A133,TRIM(Footfall!$B$5:$B$301&amp;""),0),AP$5),0))</f>
        <v/>
      </c>
      <c r="AQ133" s="350" t="str" cm="1">
        <f t="array" ref="AQ133">IF(OR($A133="",AQ$6=""),"",IFERROR(INDEX(Footfall!$C$5:$BZ$301,MATCH($A133,TRIM(Footfall!$B$5:$B$301&amp;""),0),AQ$5),0))</f>
        <v/>
      </c>
      <c r="AR133" s="350" t="str" cm="1">
        <f t="array" ref="AR133">IF(OR($A133="",AR$6=""),"",IFERROR(INDEX(Footfall!$C$5:$BZ$301,MATCH($A133,TRIM(Footfall!$B$5:$B$301&amp;""),0),AR$5),0))</f>
        <v/>
      </c>
      <c r="AS133" s="350" t="str" cm="1">
        <f t="array" ref="AS133">IF(OR($A133="",AS$6=""),"",IFERROR(INDEX(Footfall!$C$5:$BZ$301,MATCH($A133,TRIM(Footfall!$B$5:$B$301&amp;""),0),AS$5),0))</f>
        <v/>
      </c>
      <c r="AT133" s="350" t="str" cm="1">
        <f t="array" ref="AT133">IF(OR($A133="",AT$6=""),"",IFERROR(INDEX(Footfall!$C$5:$BZ$301,MATCH($A133,TRIM(Footfall!$B$5:$B$301&amp;""),0),AT$5),0))</f>
        <v/>
      </c>
      <c r="AU133" s="350" t="str" cm="1">
        <f t="array" ref="AU133">IF(OR($A133="",AU$6=""),"",IFERROR(INDEX(Footfall!$C$5:$BZ$301,MATCH($A133,TRIM(Footfall!$B$5:$B$301&amp;""),0),AU$5),0))</f>
        <v/>
      </c>
      <c r="AV133" s="350" t="str" cm="1">
        <f t="array" ref="AV133">IF(OR($A133="",AV$6=""),"",IFERROR(INDEX(Footfall!$C$5:$BZ$301,MATCH($A133,TRIM(Footfall!$B$5:$B$301&amp;""),0),AV$5),0))</f>
        <v/>
      </c>
      <c r="AW133" s="350" t="str" cm="1">
        <f t="array" ref="AW133">IF(OR($A133="",AW$6=""),"",IFERROR(INDEX(Footfall!$C$5:$BZ$301,MATCH($A133,TRIM(Footfall!$B$5:$B$301&amp;""),0),AW$5),0))</f>
        <v/>
      </c>
      <c r="AX133" s="350" t="str" cm="1">
        <f t="array" ref="AX133">IF(OR($A133="",AX$6=""),"",IFERROR(INDEX(Footfall!$C$5:$BZ$301,MATCH($A133,TRIM(Footfall!$B$5:$B$301&amp;""),0),AX$5),0))</f>
        <v/>
      </c>
      <c r="AY133" s="350" t="str" cm="1">
        <f t="array" ref="AY133">IF(AK133="","",IF($AJ133="",0,_xlfn.LET(_xlpm.d,IFERROR(--'Sales and count'!$F$2:$CB$2,0),SUMPRODUCT(('Sales and count'!$G$3:$CC$3="Transactions")*(_xlpm.d&gt;=AY$6)*(_xlpm.d&lt;=AY$7),INDEX('Sales and count'!$G$4:$CC$300,$AJ133,0)))))</f>
        <v/>
      </c>
      <c r="AZ133" s="350" t="str" cm="1">
        <f t="array" ref="AZ133">IF(AL133="","",IF($AJ133="",0,_xlfn.LET(_xlpm.d,IFERROR(--'Sales and count'!$F$2:$CB$2,0),SUMPRODUCT(('Sales and count'!$G$3:$CC$3="Transactions")*(_xlpm.d&gt;=AZ$6)*(_xlpm.d&lt;=AZ$7),INDEX('Sales and count'!$G$4:$CC$300,$AJ133,0)))))</f>
        <v/>
      </c>
      <c r="BA133" s="350" t="str" cm="1">
        <f t="array" ref="BA133">IF(AM133="","",IF($AJ133="",0,_xlfn.LET(_xlpm.d,IFERROR(--'Sales and count'!$F$2:$CB$2,0),SUMPRODUCT(('Sales and count'!$G$3:$CC$3="Transactions")*(_xlpm.d&gt;=BA$6)*(_xlpm.d&lt;=BA$7),INDEX('Sales and count'!$G$4:$CC$300,$AJ133,0)))))</f>
        <v/>
      </c>
      <c r="BB133" s="350" t="str" cm="1">
        <f t="array" ref="BB133">IF(AN133="","",IF($AJ133="",0,_xlfn.LET(_xlpm.d,IFERROR(--'Sales and count'!$F$2:$CB$2,0),SUMPRODUCT(('Sales and count'!$G$3:$CC$3="Transactions")*(_xlpm.d&gt;=BB$6)*(_xlpm.d&lt;=BB$7),INDEX('Sales and count'!$G$4:$CC$300,$AJ133,0)))))</f>
        <v/>
      </c>
      <c r="BC133" s="350" t="str" cm="1">
        <f t="array" ref="BC133">IF(AO133="","",IF($AJ133="",0,_xlfn.LET(_xlpm.d,IFERROR(--'Sales and count'!$F$2:$CB$2,0),SUMPRODUCT(('Sales and count'!$G$3:$CC$3="Transactions")*(_xlpm.d&gt;=BC$6)*(_xlpm.d&lt;=BC$7),INDEX('Sales and count'!$G$4:$CC$300,$AJ133,0)))))</f>
        <v/>
      </c>
      <c r="BD133" s="350" t="str" cm="1">
        <f t="array" ref="BD133">IF(AP133="","",IF($AJ133="",0,_xlfn.LET(_xlpm.d,IFERROR(--'Sales and count'!$F$2:$CB$2,0),SUMPRODUCT(('Sales and count'!$G$3:$CC$3="Transactions")*(_xlpm.d&gt;=BD$6)*(_xlpm.d&lt;=BD$7),INDEX('Sales and count'!$G$4:$CC$300,$AJ133,0)))))</f>
        <v/>
      </c>
      <c r="BE133" s="350" t="str" cm="1">
        <f t="array" ref="BE133">IF(AQ133="","",IF($AJ133="",0,_xlfn.LET(_xlpm.d,IFERROR(--'Sales and count'!$F$2:$CB$2,0),SUMPRODUCT(('Sales and count'!$G$3:$CC$3="Transactions")*(_xlpm.d&gt;=BE$6)*(_xlpm.d&lt;=BE$7),INDEX('Sales and count'!$G$4:$CC$300,$AJ133,0)))))</f>
        <v/>
      </c>
      <c r="BF133" s="350" t="str" cm="1">
        <f t="array" ref="BF133">IF(AR133="","",IF($AJ133="",0,_xlfn.LET(_xlpm.d,IFERROR(--'Sales and count'!$F$2:$CB$2,0),SUMPRODUCT(('Sales and count'!$G$3:$CC$3="Transactions")*(_xlpm.d&gt;=BF$6)*(_xlpm.d&lt;=BF$7),INDEX('Sales and count'!$G$4:$CC$300,$AJ133,0)))))</f>
        <v/>
      </c>
      <c r="BG133" s="350" t="str" cm="1">
        <f t="array" ref="BG133">IF(AS133="","",IF($AJ133="",0,_xlfn.LET(_xlpm.d,IFERROR(--'Sales and count'!$F$2:$CB$2,0),SUMPRODUCT(('Sales and count'!$G$3:$CC$3="Transactions")*(_xlpm.d&gt;=BG$6)*(_xlpm.d&lt;=BG$7),INDEX('Sales and count'!$G$4:$CC$300,$AJ133,0)))))</f>
        <v/>
      </c>
      <c r="BH133" s="350" t="str" cm="1">
        <f t="array" ref="BH133">IF(AT133="","",IF($AJ133="",0,_xlfn.LET(_xlpm.d,IFERROR(--'Sales and count'!$F$2:$CB$2,0),SUMPRODUCT(('Sales and count'!$G$3:$CC$3="Transactions")*(_xlpm.d&gt;=BH$6)*(_xlpm.d&lt;=BH$7),INDEX('Sales and count'!$G$4:$CC$300,$AJ133,0)))))</f>
        <v/>
      </c>
      <c r="BI133" s="350" t="str" cm="1">
        <f t="array" ref="BI133">IF(AU133="","",IF($AJ133="",0,_xlfn.LET(_xlpm.d,IFERROR(--'Sales and count'!$F$2:$CB$2,0),SUMPRODUCT(('Sales and count'!$G$3:$CC$3="Transactions")*(_xlpm.d&gt;=BI$6)*(_xlpm.d&lt;=BI$7),INDEX('Sales and count'!$G$4:$CC$300,$AJ133,0)))))</f>
        <v/>
      </c>
      <c r="BJ133" s="350" t="str" cm="1">
        <f t="array" ref="BJ133">IF(AV133="","",IF($AJ133="",0,_xlfn.LET(_xlpm.d,IFERROR(--'Sales and count'!$F$2:$CB$2,0),SUMPRODUCT(('Sales and count'!$G$3:$CC$3="Transactions")*(_xlpm.d&gt;=BJ$6)*(_xlpm.d&lt;=BJ$7),INDEX('Sales and count'!$G$4:$CC$300,$AJ133,0)))))</f>
        <v/>
      </c>
      <c r="BK133" s="350" t="str" cm="1">
        <f t="array" ref="BK133">IF(AW133="","",IF($AJ133="",0,_xlfn.LET(_xlpm.d,IFERROR(--'Sales and count'!$F$2:$CB$2,0),SUMPRODUCT(('Sales and count'!$G$3:$CC$3="Transactions")*(_xlpm.d&gt;=BK$6)*(_xlpm.d&lt;=BK$7),INDEX('Sales and count'!$G$4:$CC$300,$AJ133,0)))))</f>
        <v/>
      </c>
      <c r="BL133" s="350" t="str" cm="1">
        <f t="array" ref="BL133">IF(AX133="","",IF($AJ133="",0,_xlfn.LET(_xlpm.d,IFERROR(--'Sales and count'!$F$2:$CB$2,0),SUMPRODUCT(('Sales and count'!$G$3:$CC$3="Transactions")*(_xlpm.d&gt;=BL$6)*(_xlpm.d&lt;=BL$7),INDEX('Sales and count'!$G$4:$CC$300,$AJ133,0)))))</f>
        <v/>
      </c>
      <c r="BM133" s="350" t="str" cm="1">
        <f t="array" ref="BM133">IF(AK133="","",IF($AJ133="",0,_xlfn.LET(_xlpm.d,IFERROR(--'Sales and count'!$G$2:$CC$2,0),SUMPRODUCT(('Sales and count'!$G$3:$CC$3="Total")*(_xlpm.d&gt;=BM$6)*(_xlpm.d&lt;=BM$7),INDEX('Sales and count'!$G$4:$CC$300,$AJ133,0)))))</f>
        <v/>
      </c>
      <c r="BN133" s="350" t="str" cm="1">
        <f t="array" ref="BN133">IF(AL133="","",IF($AJ133="",0,_xlfn.LET(_xlpm.d,IFERROR(--'Sales and count'!$G$2:$CC$2,0),SUMPRODUCT(('Sales and count'!$G$3:$CC$3="Total")*(_xlpm.d&gt;=BN$6)*(_xlpm.d&lt;=BN$7),INDEX('Sales and count'!$G$4:$CC$300,$AJ133,0)))))</f>
        <v/>
      </c>
      <c r="BO133" s="350" t="str" cm="1">
        <f t="array" ref="BO133">IF(AM133="","",IF($AJ133="",0,_xlfn.LET(_xlpm.d,IFERROR(--'Sales and count'!$G$2:$CC$2,0),SUMPRODUCT(('Sales and count'!$G$3:$CC$3="Total")*(_xlpm.d&gt;=BO$6)*(_xlpm.d&lt;=BO$7),INDEX('Sales and count'!$G$4:$CC$300,$AJ133,0)))))</f>
        <v/>
      </c>
      <c r="BP133" s="350" t="str" cm="1">
        <f t="array" ref="BP133">IF(AN133="","",IF($AJ133="",0,_xlfn.LET(_xlpm.d,IFERROR(--'Sales and count'!$G$2:$CC$2,0),SUMPRODUCT(('Sales and count'!$G$3:$CC$3="Total")*(_xlpm.d&gt;=BP$6)*(_xlpm.d&lt;=BP$7),INDEX('Sales and count'!$G$4:$CC$300,$AJ133,0)))))</f>
        <v/>
      </c>
      <c r="BQ133" s="350" t="str" cm="1">
        <f t="array" ref="BQ133">IF(AO133="","",IF($AJ133="",0,_xlfn.LET(_xlpm.d,IFERROR(--'Sales and count'!$G$2:$CC$2,0),SUMPRODUCT(('Sales and count'!$G$3:$CC$3="Total")*(_xlpm.d&gt;=BQ$6)*(_xlpm.d&lt;=BQ$7),INDEX('Sales and count'!$G$4:$CC$300,$AJ133,0)))))</f>
        <v/>
      </c>
      <c r="BR133" s="350" t="str" cm="1">
        <f t="array" ref="BR133">IF(AP133="","",IF($AJ133="",0,_xlfn.LET(_xlpm.d,IFERROR(--'Sales and count'!$G$2:$CC$2,0),SUMPRODUCT(('Sales and count'!$G$3:$CC$3="Total")*(_xlpm.d&gt;=BR$6)*(_xlpm.d&lt;=BR$7),INDEX('Sales and count'!$G$4:$CC$300,$AJ133,0)))))</f>
        <v/>
      </c>
      <c r="BS133" s="350" t="str" cm="1">
        <f t="array" ref="BS133">IF(AQ133="","",IF($AJ133="",0,_xlfn.LET(_xlpm.d,IFERROR(--'Sales and count'!$G$2:$CC$2,0),SUMPRODUCT(('Sales and count'!$G$3:$CC$3="Total")*(_xlpm.d&gt;=BS$6)*(_xlpm.d&lt;=BS$7),INDEX('Sales and count'!$G$4:$CC$300,$AJ133,0)))))</f>
        <v/>
      </c>
      <c r="BT133" s="350" t="str" cm="1">
        <f t="array" ref="BT133">IF(AR133="","",IF($AJ133="",0,_xlfn.LET(_xlpm.d,IFERROR(--'Sales and count'!$G$2:$CC$2,0),SUMPRODUCT(('Sales and count'!$G$3:$CC$3="Total")*(_xlpm.d&gt;=BT$6)*(_xlpm.d&lt;=BT$7),INDEX('Sales and count'!$G$4:$CC$300,$AJ133,0)))))</f>
        <v/>
      </c>
      <c r="BU133" s="350" t="str" cm="1">
        <f t="array" ref="BU133">IF(AS133="","",IF($AJ133="",0,_xlfn.LET(_xlpm.d,IFERROR(--'Sales and count'!$G$2:$CC$2,0),SUMPRODUCT(('Sales and count'!$G$3:$CC$3="Total")*(_xlpm.d&gt;=BU$6)*(_xlpm.d&lt;=BU$7),INDEX('Sales and count'!$G$4:$CC$300,$AJ133,0)))))</f>
        <v/>
      </c>
      <c r="BV133" s="350" t="str" cm="1">
        <f t="array" ref="BV133">IF(AT133="","",IF($AJ133="",0,_xlfn.LET(_xlpm.d,IFERROR(--'Sales and count'!$G$2:$CC$2,0),SUMPRODUCT(('Sales and count'!$G$3:$CC$3="Total")*(_xlpm.d&gt;=BV$6)*(_xlpm.d&lt;=BV$7),INDEX('Sales and count'!$G$4:$CC$300,$AJ133,0)))))</f>
        <v/>
      </c>
      <c r="BW133" s="350" t="str" cm="1">
        <f t="array" ref="BW133">IF(AU133="","",IF($AJ133="",0,_xlfn.LET(_xlpm.d,IFERROR(--'Sales and count'!$G$2:$CC$2,0),SUMPRODUCT(('Sales and count'!$G$3:$CC$3="Total")*(_xlpm.d&gt;=BW$6)*(_xlpm.d&lt;=BW$7),INDEX('Sales and count'!$G$4:$CC$300,$AJ133,0)))))</f>
        <v/>
      </c>
      <c r="BX133" s="350" t="str" cm="1">
        <f t="array" ref="BX133">IF(AV133="","",IF($AJ133="",0,_xlfn.LET(_xlpm.d,IFERROR(--'Sales and count'!$G$2:$CC$2,0),SUMPRODUCT(('Sales and count'!$G$3:$CC$3="Total")*(_xlpm.d&gt;=BX$6)*(_xlpm.d&lt;=BX$7),INDEX('Sales and count'!$G$4:$CC$300,$AJ133,0)))))</f>
        <v/>
      </c>
      <c r="BY133" s="350" t="str" cm="1">
        <f t="array" ref="BY133">IF(AW133="","",IF($AJ133="",0,_xlfn.LET(_xlpm.d,IFERROR(--'Sales and count'!$G$2:$CC$2,0),SUMPRODUCT(('Sales and count'!$G$3:$CC$3="Total")*(_xlpm.d&gt;=BY$6)*(_xlpm.d&lt;=BY$7),INDEX('Sales and count'!$G$4:$CC$300,$AJ133,0)))))</f>
        <v/>
      </c>
      <c r="BZ133" s="350" t="str" cm="1">
        <f t="array" ref="BZ133">IF(AX133="","",IF($AJ133="",0,_xlfn.LET(_xlpm.d,IFERROR(--'Sales and count'!$G$2:$CC$2,0),SUMPRODUCT(('Sales and count'!$G$3:$CC$3="Total")*(_xlpm.d&gt;=BZ$6)*(_xlpm.d&lt;=BZ$7),INDEX('Sales and count'!$G$4:$CC$300,$AJ133,0)))))</f>
        <v/>
      </c>
    </row>
    <row r="134" spans="1:78" x14ac:dyDescent="0.25">
      <c r="A134" s="356"/>
      <c r="B134" s="356" t="str" cm="1">
        <f t="array" ref="B134">IF($A134="","",_xlfn.XLOOKUP($A134,TRIM(Footfall!$B$5:$B$301&amp;""),Footfall!$A$5:$A$301,""))</f>
        <v/>
      </c>
      <c r="C134" s="356" t="str" cm="1">
        <f t="array" ref="C134">IF($A134="","",_xlfn.XLOOKUP($A134,TRIM('Sales and count'!$A$4:$A$300&amp;""),'Sales and count'!$C$4:$C$300,"Not set"))</f>
        <v/>
      </c>
      <c r="D134" s="357" t="str">
        <f t="shared" si="81"/>
        <v/>
      </c>
      <c r="E134" s="357" t="str">
        <f t="shared" si="82"/>
        <v/>
      </c>
      <c r="F134" s="357" t="str">
        <f t="shared" si="83"/>
        <v/>
      </c>
      <c r="G134" s="357" t="str">
        <f t="shared" si="84"/>
        <v/>
      </c>
      <c r="H134" s="357" t="str">
        <f t="shared" si="85"/>
        <v/>
      </c>
      <c r="I134" s="357" t="str">
        <f t="shared" si="86"/>
        <v/>
      </c>
      <c r="J134" s="357" t="str">
        <f t="shared" si="87"/>
        <v/>
      </c>
      <c r="K134" s="357" t="str">
        <f t="shared" si="88"/>
        <v/>
      </c>
      <c r="L134" s="357" t="str">
        <f t="shared" si="89"/>
        <v/>
      </c>
      <c r="M134" s="357" t="str">
        <f t="shared" si="90"/>
        <v/>
      </c>
      <c r="N134" s="357" t="str">
        <f t="shared" si="91"/>
        <v/>
      </c>
      <c r="O134" s="357" t="str">
        <f t="shared" si="92"/>
        <v/>
      </c>
      <c r="P134" s="357" t="str">
        <f t="shared" si="93"/>
        <v/>
      </c>
      <c r="Q134" s="357" t="str">
        <f t="shared" si="94"/>
        <v/>
      </c>
      <c r="R134" s="358" t="str" cm="1">
        <f t="array" ref="R134">IF(OR($A134="",D134=""),"",IFERROR(LOOKUP(2,1/(E134:Q134&lt;&gt;""),E134:Q134)-D134,""))</f>
        <v/>
      </c>
      <c r="S134" s="349"/>
      <c r="T134" s="362" t="str">
        <f t="shared" si="95"/>
        <v/>
      </c>
      <c r="U134" s="362" t="str">
        <f t="shared" si="96"/>
        <v/>
      </c>
      <c r="V134" s="362" t="str">
        <f t="shared" si="97"/>
        <v/>
      </c>
      <c r="W134" s="362" t="str">
        <f t="shared" si="98"/>
        <v/>
      </c>
      <c r="X134" s="362" t="str">
        <f t="shared" si="99"/>
        <v/>
      </c>
      <c r="Y134" s="362" t="str">
        <f t="shared" si="100"/>
        <v/>
      </c>
      <c r="Z134" s="362" t="str">
        <f t="shared" si="101"/>
        <v/>
      </c>
      <c r="AA134" s="362" t="str">
        <f t="shared" si="102"/>
        <v/>
      </c>
      <c r="AB134" s="362" t="str">
        <f t="shared" si="103"/>
        <v/>
      </c>
      <c r="AC134" s="362" t="str">
        <f t="shared" si="104"/>
        <v/>
      </c>
      <c r="AD134" s="362" t="str">
        <f t="shared" si="105"/>
        <v/>
      </c>
      <c r="AE134" s="362" t="str">
        <f t="shared" si="106"/>
        <v/>
      </c>
      <c r="AF134" s="362" t="str">
        <f t="shared" si="107"/>
        <v/>
      </c>
      <c r="AG134" s="362" t="str">
        <f t="shared" si="108"/>
        <v/>
      </c>
      <c r="AH134" s="363" t="str" cm="1">
        <f t="array" ref="AH134">IF(OR($A134="",T134=""),"",IFERROR(LOOKUP(2,1/(U134:AG134&lt;&gt;""),U134:AG134)-T134,""))</f>
        <v/>
      </c>
      <c r="AI134" s="349"/>
      <c r="AJ134" s="349" t="str" cm="1">
        <f t="array" ref="AJ134">IF($A134="","",IFERROR(MATCH($A134,TRIM('Sales and count'!$A$4:$A$300&amp;""),0),""))</f>
        <v/>
      </c>
      <c r="AK134" s="350" t="str" cm="1">
        <f t="array" ref="AK134">IF(OR($A134="",AK$6=""),"",IFERROR(INDEX(Footfall!$C$5:$BZ$301,MATCH($A134,TRIM(Footfall!$B$5:$B$301&amp;""),0),AK$5),0))</f>
        <v/>
      </c>
      <c r="AL134" s="350" t="str" cm="1">
        <f t="array" ref="AL134">IF(OR($A134="",AL$6=""),"",IFERROR(INDEX(Footfall!$C$5:$BZ$301,MATCH($A134,TRIM(Footfall!$B$5:$B$301&amp;""),0),AL$5),0))</f>
        <v/>
      </c>
      <c r="AM134" s="350" t="str" cm="1">
        <f t="array" ref="AM134">IF(OR($A134="",AM$6=""),"",IFERROR(INDEX(Footfall!$C$5:$BZ$301,MATCH($A134,TRIM(Footfall!$B$5:$B$301&amp;""),0),AM$5),0))</f>
        <v/>
      </c>
      <c r="AN134" s="350" t="str" cm="1">
        <f t="array" ref="AN134">IF(OR($A134="",AN$6=""),"",IFERROR(INDEX(Footfall!$C$5:$BZ$301,MATCH($A134,TRIM(Footfall!$B$5:$B$301&amp;""),0),AN$5),0))</f>
        <v/>
      </c>
      <c r="AO134" s="350" t="str" cm="1">
        <f t="array" ref="AO134">IF(OR($A134="",AO$6=""),"",IFERROR(INDEX(Footfall!$C$5:$BZ$301,MATCH($A134,TRIM(Footfall!$B$5:$B$301&amp;""),0),AO$5),0))</f>
        <v/>
      </c>
      <c r="AP134" s="350" t="str" cm="1">
        <f t="array" ref="AP134">IF(OR($A134="",AP$6=""),"",IFERROR(INDEX(Footfall!$C$5:$BZ$301,MATCH($A134,TRIM(Footfall!$B$5:$B$301&amp;""),0),AP$5),0))</f>
        <v/>
      </c>
      <c r="AQ134" s="350" t="str" cm="1">
        <f t="array" ref="AQ134">IF(OR($A134="",AQ$6=""),"",IFERROR(INDEX(Footfall!$C$5:$BZ$301,MATCH($A134,TRIM(Footfall!$B$5:$B$301&amp;""),0),AQ$5),0))</f>
        <v/>
      </c>
      <c r="AR134" s="350" t="str" cm="1">
        <f t="array" ref="AR134">IF(OR($A134="",AR$6=""),"",IFERROR(INDEX(Footfall!$C$5:$BZ$301,MATCH($A134,TRIM(Footfall!$B$5:$B$301&amp;""),0),AR$5),0))</f>
        <v/>
      </c>
      <c r="AS134" s="350" t="str" cm="1">
        <f t="array" ref="AS134">IF(OR($A134="",AS$6=""),"",IFERROR(INDEX(Footfall!$C$5:$BZ$301,MATCH($A134,TRIM(Footfall!$B$5:$B$301&amp;""),0),AS$5),0))</f>
        <v/>
      </c>
      <c r="AT134" s="350" t="str" cm="1">
        <f t="array" ref="AT134">IF(OR($A134="",AT$6=""),"",IFERROR(INDEX(Footfall!$C$5:$BZ$301,MATCH($A134,TRIM(Footfall!$B$5:$B$301&amp;""),0),AT$5),0))</f>
        <v/>
      </c>
      <c r="AU134" s="350" t="str" cm="1">
        <f t="array" ref="AU134">IF(OR($A134="",AU$6=""),"",IFERROR(INDEX(Footfall!$C$5:$BZ$301,MATCH($A134,TRIM(Footfall!$B$5:$B$301&amp;""),0),AU$5),0))</f>
        <v/>
      </c>
      <c r="AV134" s="350" t="str" cm="1">
        <f t="array" ref="AV134">IF(OR($A134="",AV$6=""),"",IFERROR(INDEX(Footfall!$C$5:$BZ$301,MATCH($A134,TRIM(Footfall!$B$5:$B$301&amp;""),0),AV$5),0))</f>
        <v/>
      </c>
      <c r="AW134" s="350" t="str" cm="1">
        <f t="array" ref="AW134">IF(OR($A134="",AW$6=""),"",IFERROR(INDEX(Footfall!$C$5:$BZ$301,MATCH($A134,TRIM(Footfall!$B$5:$B$301&amp;""),0),AW$5),0))</f>
        <v/>
      </c>
      <c r="AX134" s="350" t="str" cm="1">
        <f t="array" ref="AX134">IF(OR($A134="",AX$6=""),"",IFERROR(INDEX(Footfall!$C$5:$BZ$301,MATCH($A134,TRIM(Footfall!$B$5:$B$301&amp;""),0),AX$5),0))</f>
        <v/>
      </c>
      <c r="AY134" s="350" t="str" cm="1">
        <f t="array" ref="AY134">IF(AK134="","",IF($AJ134="",0,_xlfn.LET(_xlpm.d,IFERROR(--'Sales and count'!$F$2:$CB$2,0),SUMPRODUCT(('Sales and count'!$G$3:$CC$3="Transactions")*(_xlpm.d&gt;=AY$6)*(_xlpm.d&lt;=AY$7),INDEX('Sales and count'!$G$4:$CC$300,$AJ134,0)))))</f>
        <v/>
      </c>
      <c r="AZ134" s="350" t="str" cm="1">
        <f t="array" ref="AZ134">IF(AL134="","",IF($AJ134="",0,_xlfn.LET(_xlpm.d,IFERROR(--'Sales and count'!$F$2:$CB$2,0),SUMPRODUCT(('Sales and count'!$G$3:$CC$3="Transactions")*(_xlpm.d&gt;=AZ$6)*(_xlpm.d&lt;=AZ$7),INDEX('Sales and count'!$G$4:$CC$300,$AJ134,0)))))</f>
        <v/>
      </c>
      <c r="BA134" s="350" t="str" cm="1">
        <f t="array" ref="BA134">IF(AM134="","",IF($AJ134="",0,_xlfn.LET(_xlpm.d,IFERROR(--'Sales and count'!$F$2:$CB$2,0),SUMPRODUCT(('Sales and count'!$G$3:$CC$3="Transactions")*(_xlpm.d&gt;=BA$6)*(_xlpm.d&lt;=BA$7),INDEX('Sales and count'!$G$4:$CC$300,$AJ134,0)))))</f>
        <v/>
      </c>
      <c r="BB134" s="350" t="str" cm="1">
        <f t="array" ref="BB134">IF(AN134="","",IF($AJ134="",0,_xlfn.LET(_xlpm.d,IFERROR(--'Sales and count'!$F$2:$CB$2,0),SUMPRODUCT(('Sales and count'!$G$3:$CC$3="Transactions")*(_xlpm.d&gt;=BB$6)*(_xlpm.d&lt;=BB$7),INDEX('Sales and count'!$G$4:$CC$300,$AJ134,0)))))</f>
        <v/>
      </c>
      <c r="BC134" s="350" t="str" cm="1">
        <f t="array" ref="BC134">IF(AO134="","",IF($AJ134="",0,_xlfn.LET(_xlpm.d,IFERROR(--'Sales and count'!$F$2:$CB$2,0),SUMPRODUCT(('Sales and count'!$G$3:$CC$3="Transactions")*(_xlpm.d&gt;=BC$6)*(_xlpm.d&lt;=BC$7),INDEX('Sales and count'!$G$4:$CC$300,$AJ134,0)))))</f>
        <v/>
      </c>
      <c r="BD134" s="350" t="str" cm="1">
        <f t="array" ref="BD134">IF(AP134="","",IF($AJ134="",0,_xlfn.LET(_xlpm.d,IFERROR(--'Sales and count'!$F$2:$CB$2,0),SUMPRODUCT(('Sales and count'!$G$3:$CC$3="Transactions")*(_xlpm.d&gt;=BD$6)*(_xlpm.d&lt;=BD$7),INDEX('Sales and count'!$G$4:$CC$300,$AJ134,0)))))</f>
        <v/>
      </c>
      <c r="BE134" s="350" t="str" cm="1">
        <f t="array" ref="BE134">IF(AQ134="","",IF($AJ134="",0,_xlfn.LET(_xlpm.d,IFERROR(--'Sales and count'!$F$2:$CB$2,0),SUMPRODUCT(('Sales and count'!$G$3:$CC$3="Transactions")*(_xlpm.d&gt;=BE$6)*(_xlpm.d&lt;=BE$7),INDEX('Sales and count'!$G$4:$CC$300,$AJ134,0)))))</f>
        <v/>
      </c>
      <c r="BF134" s="350" t="str" cm="1">
        <f t="array" ref="BF134">IF(AR134="","",IF($AJ134="",0,_xlfn.LET(_xlpm.d,IFERROR(--'Sales and count'!$F$2:$CB$2,0),SUMPRODUCT(('Sales and count'!$G$3:$CC$3="Transactions")*(_xlpm.d&gt;=BF$6)*(_xlpm.d&lt;=BF$7),INDEX('Sales and count'!$G$4:$CC$300,$AJ134,0)))))</f>
        <v/>
      </c>
      <c r="BG134" s="350" t="str" cm="1">
        <f t="array" ref="BG134">IF(AS134="","",IF($AJ134="",0,_xlfn.LET(_xlpm.d,IFERROR(--'Sales and count'!$F$2:$CB$2,0),SUMPRODUCT(('Sales and count'!$G$3:$CC$3="Transactions")*(_xlpm.d&gt;=BG$6)*(_xlpm.d&lt;=BG$7),INDEX('Sales and count'!$G$4:$CC$300,$AJ134,0)))))</f>
        <v/>
      </c>
      <c r="BH134" s="350" t="str" cm="1">
        <f t="array" ref="BH134">IF(AT134="","",IF($AJ134="",0,_xlfn.LET(_xlpm.d,IFERROR(--'Sales and count'!$F$2:$CB$2,0),SUMPRODUCT(('Sales and count'!$G$3:$CC$3="Transactions")*(_xlpm.d&gt;=BH$6)*(_xlpm.d&lt;=BH$7),INDEX('Sales and count'!$G$4:$CC$300,$AJ134,0)))))</f>
        <v/>
      </c>
      <c r="BI134" s="350" t="str" cm="1">
        <f t="array" ref="BI134">IF(AU134="","",IF($AJ134="",0,_xlfn.LET(_xlpm.d,IFERROR(--'Sales and count'!$F$2:$CB$2,0),SUMPRODUCT(('Sales and count'!$G$3:$CC$3="Transactions")*(_xlpm.d&gt;=BI$6)*(_xlpm.d&lt;=BI$7),INDEX('Sales and count'!$G$4:$CC$300,$AJ134,0)))))</f>
        <v/>
      </c>
      <c r="BJ134" s="350" t="str" cm="1">
        <f t="array" ref="BJ134">IF(AV134="","",IF($AJ134="",0,_xlfn.LET(_xlpm.d,IFERROR(--'Sales and count'!$F$2:$CB$2,0),SUMPRODUCT(('Sales and count'!$G$3:$CC$3="Transactions")*(_xlpm.d&gt;=BJ$6)*(_xlpm.d&lt;=BJ$7),INDEX('Sales and count'!$G$4:$CC$300,$AJ134,0)))))</f>
        <v/>
      </c>
      <c r="BK134" s="350" t="str" cm="1">
        <f t="array" ref="BK134">IF(AW134="","",IF($AJ134="",0,_xlfn.LET(_xlpm.d,IFERROR(--'Sales and count'!$F$2:$CB$2,0),SUMPRODUCT(('Sales and count'!$G$3:$CC$3="Transactions")*(_xlpm.d&gt;=BK$6)*(_xlpm.d&lt;=BK$7),INDEX('Sales and count'!$G$4:$CC$300,$AJ134,0)))))</f>
        <v/>
      </c>
      <c r="BL134" s="350" t="str" cm="1">
        <f t="array" ref="BL134">IF(AX134="","",IF($AJ134="",0,_xlfn.LET(_xlpm.d,IFERROR(--'Sales and count'!$F$2:$CB$2,0),SUMPRODUCT(('Sales and count'!$G$3:$CC$3="Transactions")*(_xlpm.d&gt;=BL$6)*(_xlpm.d&lt;=BL$7),INDEX('Sales and count'!$G$4:$CC$300,$AJ134,0)))))</f>
        <v/>
      </c>
      <c r="BM134" s="350" t="str" cm="1">
        <f t="array" ref="BM134">IF(AK134="","",IF($AJ134="",0,_xlfn.LET(_xlpm.d,IFERROR(--'Sales and count'!$G$2:$CC$2,0),SUMPRODUCT(('Sales and count'!$G$3:$CC$3="Total")*(_xlpm.d&gt;=BM$6)*(_xlpm.d&lt;=BM$7),INDEX('Sales and count'!$G$4:$CC$300,$AJ134,0)))))</f>
        <v/>
      </c>
      <c r="BN134" s="350" t="str" cm="1">
        <f t="array" ref="BN134">IF(AL134="","",IF($AJ134="",0,_xlfn.LET(_xlpm.d,IFERROR(--'Sales and count'!$G$2:$CC$2,0),SUMPRODUCT(('Sales and count'!$G$3:$CC$3="Total")*(_xlpm.d&gt;=BN$6)*(_xlpm.d&lt;=BN$7),INDEX('Sales and count'!$G$4:$CC$300,$AJ134,0)))))</f>
        <v/>
      </c>
      <c r="BO134" s="350" t="str" cm="1">
        <f t="array" ref="BO134">IF(AM134="","",IF($AJ134="",0,_xlfn.LET(_xlpm.d,IFERROR(--'Sales and count'!$G$2:$CC$2,0),SUMPRODUCT(('Sales and count'!$G$3:$CC$3="Total")*(_xlpm.d&gt;=BO$6)*(_xlpm.d&lt;=BO$7),INDEX('Sales and count'!$G$4:$CC$300,$AJ134,0)))))</f>
        <v/>
      </c>
      <c r="BP134" s="350" t="str" cm="1">
        <f t="array" ref="BP134">IF(AN134="","",IF($AJ134="",0,_xlfn.LET(_xlpm.d,IFERROR(--'Sales and count'!$G$2:$CC$2,0),SUMPRODUCT(('Sales and count'!$G$3:$CC$3="Total")*(_xlpm.d&gt;=BP$6)*(_xlpm.d&lt;=BP$7),INDEX('Sales and count'!$G$4:$CC$300,$AJ134,0)))))</f>
        <v/>
      </c>
      <c r="BQ134" s="350" t="str" cm="1">
        <f t="array" ref="BQ134">IF(AO134="","",IF($AJ134="",0,_xlfn.LET(_xlpm.d,IFERROR(--'Sales and count'!$G$2:$CC$2,0),SUMPRODUCT(('Sales and count'!$G$3:$CC$3="Total")*(_xlpm.d&gt;=BQ$6)*(_xlpm.d&lt;=BQ$7),INDEX('Sales and count'!$G$4:$CC$300,$AJ134,0)))))</f>
        <v/>
      </c>
      <c r="BR134" s="350" t="str" cm="1">
        <f t="array" ref="BR134">IF(AP134="","",IF($AJ134="",0,_xlfn.LET(_xlpm.d,IFERROR(--'Sales and count'!$G$2:$CC$2,0),SUMPRODUCT(('Sales and count'!$G$3:$CC$3="Total")*(_xlpm.d&gt;=BR$6)*(_xlpm.d&lt;=BR$7),INDEX('Sales and count'!$G$4:$CC$300,$AJ134,0)))))</f>
        <v/>
      </c>
      <c r="BS134" s="350" t="str" cm="1">
        <f t="array" ref="BS134">IF(AQ134="","",IF($AJ134="",0,_xlfn.LET(_xlpm.d,IFERROR(--'Sales and count'!$G$2:$CC$2,0),SUMPRODUCT(('Sales and count'!$G$3:$CC$3="Total")*(_xlpm.d&gt;=BS$6)*(_xlpm.d&lt;=BS$7),INDEX('Sales and count'!$G$4:$CC$300,$AJ134,0)))))</f>
        <v/>
      </c>
      <c r="BT134" s="350" t="str" cm="1">
        <f t="array" ref="BT134">IF(AR134="","",IF($AJ134="",0,_xlfn.LET(_xlpm.d,IFERROR(--'Sales and count'!$G$2:$CC$2,0),SUMPRODUCT(('Sales and count'!$G$3:$CC$3="Total")*(_xlpm.d&gt;=BT$6)*(_xlpm.d&lt;=BT$7),INDEX('Sales and count'!$G$4:$CC$300,$AJ134,0)))))</f>
        <v/>
      </c>
      <c r="BU134" s="350" t="str" cm="1">
        <f t="array" ref="BU134">IF(AS134="","",IF($AJ134="",0,_xlfn.LET(_xlpm.d,IFERROR(--'Sales and count'!$G$2:$CC$2,0),SUMPRODUCT(('Sales and count'!$G$3:$CC$3="Total")*(_xlpm.d&gt;=BU$6)*(_xlpm.d&lt;=BU$7),INDEX('Sales and count'!$G$4:$CC$300,$AJ134,0)))))</f>
        <v/>
      </c>
      <c r="BV134" s="350" t="str" cm="1">
        <f t="array" ref="BV134">IF(AT134="","",IF($AJ134="",0,_xlfn.LET(_xlpm.d,IFERROR(--'Sales and count'!$G$2:$CC$2,0),SUMPRODUCT(('Sales and count'!$G$3:$CC$3="Total")*(_xlpm.d&gt;=BV$6)*(_xlpm.d&lt;=BV$7),INDEX('Sales and count'!$G$4:$CC$300,$AJ134,0)))))</f>
        <v/>
      </c>
      <c r="BW134" s="350" t="str" cm="1">
        <f t="array" ref="BW134">IF(AU134="","",IF($AJ134="",0,_xlfn.LET(_xlpm.d,IFERROR(--'Sales and count'!$G$2:$CC$2,0),SUMPRODUCT(('Sales and count'!$G$3:$CC$3="Total")*(_xlpm.d&gt;=BW$6)*(_xlpm.d&lt;=BW$7),INDEX('Sales and count'!$G$4:$CC$300,$AJ134,0)))))</f>
        <v/>
      </c>
      <c r="BX134" s="350" t="str" cm="1">
        <f t="array" ref="BX134">IF(AV134="","",IF($AJ134="",0,_xlfn.LET(_xlpm.d,IFERROR(--'Sales and count'!$G$2:$CC$2,0),SUMPRODUCT(('Sales and count'!$G$3:$CC$3="Total")*(_xlpm.d&gt;=BX$6)*(_xlpm.d&lt;=BX$7),INDEX('Sales and count'!$G$4:$CC$300,$AJ134,0)))))</f>
        <v/>
      </c>
      <c r="BY134" s="350" t="str" cm="1">
        <f t="array" ref="BY134">IF(AW134="","",IF($AJ134="",0,_xlfn.LET(_xlpm.d,IFERROR(--'Sales and count'!$G$2:$CC$2,0),SUMPRODUCT(('Sales and count'!$G$3:$CC$3="Total")*(_xlpm.d&gt;=BY$6)*(_xlpm.d&lt;=BY$7),INDEX('Sales and count'!$G$4:$CC$300,$AJ134,0)))))</f>
        <v/>
      </c>
      <c r="BZ134" s="350" t="str" cm="1">
        <f t="array" ref="BZ134">IF(AX134="","",IF($AJ134="",0,_xlfn.LET(_xlpm.d,IFERROR(--'Sales and count'!$G$2:$CC$2,0),SUMPRODUCT(('Sales and count'!$G$3:$CC$3="Total")*(_xlpm.d&gt;=BZ$6)*(_xlpm.d&lt;=BZ$7),INDEX('Sales and count'!$G$4:$CC$300,$AJ134,0)))))</f>
        <v/>
      </c>
    </row>
    <row r="135" spans="1:78" x14ac:dyDescent="0.25">
      <c r="A135" s="356"/>
      <c r="B135" s="356" t="str" cm="1">
        <f t="array" ref="B135">IF($A135="","",_xlfn.XLOOKUP($A135,TRIM(Footfall!$B$5:$B$301&amp;""),Footfall!$A$5:$A$301,""))</f>
        <v/>
      </c>
      <c r="C135" s="356" t="str" cm="1">
        <f t="array" ref="C135">IF($A135="","",_xlfn.XLOOKUP($A135,TRIM('Sales and count'!$A$4:$A$300&amp;""),'Sales and count'!$C$4:$C$300,"Not set"))</f>
        <v/>
      </c>
      <c r="D135" s="357" t="str">
        <f t="shared" si="81"/>
        <v/>
      </c>
      <c r="E135" s="357" t="str">
        <f t="shared" si="82"/>
        <v/>
      </c>
      <c r="F135" s="357" t="str">
        <f t="shared" si="83"/>
        <v/>
      </c>
      <c r="G135" s="357" t="str">
        <f t="shared" si="84"/>
        <v/>
      </c>
      <c r="H135" s="357" t="str">
        <f t="shared" si="85"/>
        <v/>
      </c>
      <c r="I135" s="357" t="str">
        <f t="shared" si="86"/>
        <v/>
      </c>
      <c r="J135" s="357" t="str">
        <f t="shared" si="87"/>
        <v/>
      </c>
      <c r="K135" s="357" t="str">
        <f t="shared" si="88"/>
        <v/>
      </c>
      <c r="L135" s="357" t="str">
        <f t="shared" si="89"/>
        <v/>
      </c>
      <c r="M135" s="357" t="str">
        <f t="shared" si="90"/>
        <v/>
      </c>
      <c r="N135" s="357" t="str">
        <f t="shared" si="91"/>
        <v/>
      </c>
      <c r="O135" s="357" t="str">
        <f t="shared" si="92"/>
        <v/>
      </c>
      <c r="P135" s="357" t="str">
        <f t="shared" si="93"/>
        <v/>
      </c>
      <c r="Q135" s="357" t="str">
        <f t="shared" si="94"/>
        <v/>
      </c>
      <c r="R135" s="358" t="str" cm="1">
        <f t="array" ref="R135">IF(OR($A135="",D135=""),"",IFERROR(LOOKUP(2,1/(E135:Q135&lt;&gt;""),E135:Q135)-D135,""))</f>
        <v/>
      </c>
      <c r="S135" s="349"/>
      <c r="T135" s="362" t="str">
        <f t="shared" si="95"/>
        <v/>
      </c>
      <c r="U135" s="362" t="str">
        <f t="shared" si="96"/>
        <v/>
      </c>
      <c r="V135" s="362" t="str">
        <f t="shared" si="97"/>
        <v/>
      </c>
      <c r="W135" s="362" t="str">
        <f t="shared" si="98"/>
        <v/>
      </c>
      <c r="X135" s="362" t="str">
        <f t="shared" si="99"/>
        <v/>
      </c>
      <c r="Y135" s="362" t="str">
        <f t="shared" si="100"/>
        <v/>
      </c>
      <c r="Z135" s="362" t="str">
        <f t="shared" si="101"/>
        <v/>
      </c>
      <c r="AA135" s="362" t="str">
        <f t="shared" si="102"/>
        <v/>
      </c>
      <c r="AB135" s="362" t="str">
        <f t="shared" si="103"/>
        <v/>
      </c>
      <c r="AC135" s="362" t="str">
        <f t="shared" si="104"/>
        <v/>
      </c>
      <c r="AD135" s="362" t="str">
        <f t="shared" si="105"/>
        <v/>
      </c>
      <c r="AE135" s="362" t="str">
        <f t="shared" si="106"/>
        <v/>
      </c>
      <c r="AF135" s="362" t="str">
        <f t="shared" si="107"/>
        <v/>
      </c>
      <c r="AG135" s="362" t="str">
        <f t="shared" si="108"/>
        <v/>
      </c>
      <c r="AH135" s="363" t="str" cm="1">
        <f t="array" ref="AH135">IF(OR($A135="",T135=""),"",IFERROR(LOOKUP(2,1/(U135:AG135&lt;&gt;""),U135:AG135)-T135,""))</f>
        <v/>
      </c>
      <c r="AI135" s="349"/>
      <c r="AJ135" s="349" t="str" cm="1">
        <f t="array" ref="AJ135">IF($A135="","",IFERROR(MATCH($A135,TRIM('Sales and count'!$A$4:$A$300&amp;""),0),""))</f>
        <v/>
      </c>
      <c r="AK135" s="350" t="str" cm="1">
        <f t="array" ref="AK135">IF(OR($A135="",AK$6=""),"",IFERROR(INDEX(Footfall!$C$5:$BZ$301,MATCH($A135,TRIM(Footfall!$B$5:$B$301&amp;""),0),AK$5),0))</f>
        <v/>
      </c>
      <c r="AL135" s="350" t="str" cm="1">
        <f t="array" ref="AL135">IF(OR($A135="",AL$6=""),"",IFERROR(INDEX(Footfall!$C$5:$BZ$301,MATCH($A135,TRIM(Footfall!$B$5:$B$301&amp;""),0),AL$5),0))</f>
        <v/>
      </c>
      <c r="AM135" s="350" t="str" cm="1">
        <f t="array" ref="AM135">IF(OR($A135="",AM$6=""),"",IFERROR(INDEX(Footfall!$C$5:$BZ$301,MATCH($A135,TRIM(Footfall!$B$5:$B$301&amp;""),0),AM$5),0))</f>
        <v/>
      </c>
      <c r="AN135" s="350" t="str" cm="1">
        <f t="array" ref="AN135">IF(OR($A135="",AN$6=""),"",IFERROR(INDEX(Footfall!$C$5:$BZ$301,MATCH($A135,TRIM(Footfall!$B$5:$B$301&amp;""),0),AN$5),0))</f>
        <v/>
      </c>
      <c r="AO135" s="350" t="str" cm="1">
        <f t="array" ref="AO135">IF(OR($A135="",AO$6=""),"",IFERROR(INDEX(Footfall!$C$5:$BZ$301,MATCH($A135,TRIM(Footfall!$B$5:$B$301&amp;""),0),AO$5),0))</f>
        <v/>
      </c>
      <c r="AP135" s="350" t="str" cm="1">
        <f t="array" ref="AP135">IF(OR($A135="",AP$6=""),"",IFERROR(INDEX(Footfall!$C$5:$BZ$301,MATCH($A135,TRIM(Footfall!$B$5:$B$301&amp;""),0),AP$5),0))</f>
        <v/>
      </c>
      <c r="AQ135" s="350" t="str" cm="1">
        <f t="array" ref="AQ135">IF(OR($A135="",AQ$6=""),"",IFERROR(INDEX(Footfall!$C$5:$BZ$301,MATCH($A135,TRIM(Footfall!$B$5:$B$301&amp;""),0),AQ$5),0))</f>
        <v/>
      </c>
      <c r="AR135" s="350" t="str" cm="1">
        <f t="array" ref="AR135">IF(OR($A135="",AR$6=""),"",IFERROR(INDEX(Footfall!$C$5:$BZ$301,MATCH($A135,TRIM(Footfall!$B$5:$B$301&amp;""),0),AR$5),0))</f>
        <v/>
      </c>
      <c r="AS135" s="350" t="str" cm="1">
        <f t="array" ref="AS135">IF(OR($A135="",AS$6=""),"",IFERROR(INDEX(Footfall!$C$5:$BZ$301,MATCH($A135,TRIM(Footfall!$B$5:$B$301&amp;""),0),AS$5),0))</f>
        <v/>
      </c>
      <c r="AT135" s="350" t="str" cm="1">
        <f t="array" ref="AT135">IF(OR($A135="",AT$6=""),"",IFERROR(INDEX(Footfall!$C$5:$BZ$301,MATCH($A135,TRIM(Footfall!$B$5:$B$301&amp;""),0),AT$5),0))</f>
        <v/>
      </c>
      <c r="AU135" s="350" t="str" cm="1">
        <f t="array" ref="AU135">IF(OR($A135="",AU$6=""),"",IFERROR(INDEX(Footfall!$C$5:$BZ$301,MATCH($A135,TRIM(Footfall!$B$5:$B$301&amp;""),0),AU$5),0))</f>
        <v/>
      </c>
      <c r="AV135" s="350" t="str" cm="1">
        <f t="array" ref="AV135">IF(OR($A135="",AV$6=""),"",IFERROR(INDEX(Footfall!$C$5:$BZ$301,MATCH($A135,TRIM(Footfall!$B$5:$B$301&amp;""),0),AV$5),0))</f>
        <v/>
      </c>
      <c r="AW135" s="350" t="str" cm="1">
        <f t="array" ref="AW135">IF(OR($A135="",AW$6=""),"",IFERROR(INDEX(Footfall!$C$5:$BZ$301,MATCH($A135,TRIM(Footfall!$B$5:$B$301&amp;""),0),AW$5),0))</f>
        <v/>
      </c>
      <c r="AX135" s="350" t="str" cm="1">
        <f t="array" ref="AX135">IF(OR($A135="",AX$6=""),"",IFERROR(INDEX(Footfall!$C$5:$BZ$301,MATCH($A135,TRIM(Footfall!$B$5:$B$301&amp;""),0),AX$5),0))</f>
        <v/>
      </c>
      <c r="AY135" s="350" t="str" cm="1">
        <f t="array" ref="AY135">IF(AK135="","",IF($AJ135="",0,_xlfn.LET(_xlpm.d,IFERROR(--'Sales and count'!$F$2:$CB$2,0),SUMPRODUCT(('Sales and count'!$G$3:$CC$3="Transactions")*(_xlpm.d&gt;=AY$6)*(_xlpm.d&lt;=AY$7),INDEX('Sales and count'!$G$4:$CC$300,$AJ135,0)))))</f>
        <v/>
      </c>
      <c r="AZ135" s="350" t="str" cm="1">
        <f t="array" ref="AZ135">IF(AL135="","",IF($AJ135="",0,_xlfn.LET(_xlpm.d,IFERROR(--'Sales and count'!$F$2:$CB$2,0),SUMPRODUCT(('Sales and count'!$G$3:$CC$3="Transactions")*(_xlpm.d&gt;=AZ$6)*(_xlpm.d&lt;=AZ$7),INDEX('Sales and count'!$G$4:$CC$300,$AJ135,0)))))</f>
        <v/>
      </c>
      <c r="BA135" s="350" t="str" cm="1">
        <f t="array" ref="BA135">IF(AM135="","",IF($AJ135="",0,_xlfn.LET(_xlpm.d,IFERROR(--'Sales and count'!$F$2:$CB$2,0),SUMPRODUCT(('Sales and count'!$G$3:$CC$3="Transactions")*(_xlpm.d&gt;=BA$6)*(_xlpm.d&lt;=BA$7),INDEX('Sales and count'!$G$4:$CC$300,$AJ135,0)))))</f>
        <v/>
      </c>
      <c r="BB135" s="350" t="str" cm="1">
        <f t="array" ref="BB135">IF(AN135="","",IF($AJ135="",0,_xlfn.LET(_xlpm.d,IFERROR(--'Sales and count'!$F$2:$CB$2,0),SUMPRODUCT(('Sales and count'!$G$3:$CC$3="Transactions")*(_xlpm.d&gt;=BB$6)*(_xlpm.d&lt;=BB$7),INDEX('Sales and count'!$G$4:$CC$300,$AJ135,0)))))</f>
        <v/>
      </c>
      <c r="BC135" s="350" t="str" cm="1">
        <f t="array" ref="BC135">IF(AO135="","",IF($AJ135="",0,_xlfn.LET(_xlpm.d,IFERROR(--'Sales and count'!$F$2:$CB$2,0),SUMPRODUCT(('Sales and count'!$G$3:$CC$3="Transactions")*(_xlpm.d&gt;=BC$6)*(_xlpm.d&lt;=BC$7),INDEX('Sales and count'!$G$4:$CC$300,$AJ135,0)))))</f>
        <v/>
      </c>
      <c r="BD135" s="350" t="str" cm="1">
        <f t="array" ref="BD135">IF(AP135="","",IF($AJ135="",0,_xlfn.LET(_xlpm.d,IFERROR(--'Sales and count'!$F$2:$CB$2,0),SUMPRODUCT(('Sales and count'!$G$3:$CC$3="Transactions")*(_xlpm.d&gt;=BD$6)*(_xlpm.d&lt;=BD$7),INDEX('Sales and count'!$G$4:$CC$300,$AJ135,0)))))</f>
        <v/>
      </c>
      <c r="BE135" s="350" t="str" cm="1">
        <f t="array" ref="BE135">IF(AQ135="","",IF($AJ135="",0,_xlfn.LET(_xlpm.d,IFERROR(--'Sales and count'!$F$2:$CB$2,0),SUMPRODUCT(('Sales and count'!$G$3:$CC$3="Transactions")*(_xlpm.d&gt;=BE$6)*(_xlpm.d&lt;=BE$7),INDEX('Sales and count'!$G$4:$CC$300,$AJ135,0)))))</f>
        <v/>
      </c>
      <c r="BF135" s="350" t="str" cm="1">
        <f t="array" ref="BF135">IF(AR135="","",IF($AJ135="",0,_xlfn.LET(_xlpm.d,IFERROR(--'Sales and count'!$F$2:$CB$2,0),SUMPRODUCT(('Sales and count'!$G$3:$CC$3="Transactions")*(_xlpm.d&gt;=BF$6)*(_xlpm.d&lt;=BF$7),INDEX('Sales and count'!$G$4:$CC$300,$AJ135,0)))))</f>
        <v/>
      </c>
      <c r="BG135" s="350" t="str" cm="1">
        <f t="array" ref="BG135">IF(AS135="","",IF($AJ135="",0,_xlfn.LET(_xlpm.d,IFERROR(--'Sales and count'!$F$2:$CB$2,0),SUMPRODUCT(('Sales and count'!$G$3:$CC$3="Transactions")*(_xlpm.d&gt;=BG$6)*(_xlpm.d&lt;=BG$7),INDEX('Sales and count'!$G$4:$CC$300,$AJ135,0)))))</f>
        <v/>
      </c>
      <c r="BH135" s="350" t="str" cm="1">
        <f t="array" ref="BH135">IF(AT135="","",IF($AJ135="",0,_xlfn.LET(_xlpm.d,IFERROR(--'Sales and count'!$F$2:$CB$2,0),SUMPRODUCT(('Sales and count'!$G$3:$CC$3="Transactions")*(_xlpm.d&gt;=BH$6)*(_xlpm.d&lt;=BH$7),INDEX('Sales and count'!$G$4:$CC$300,$AJ135,0)))))</f>
        <v/>
      </c>
      <c r="BI135" s="350" t="str" cm="1">
        <f t="array" ref="BI135">IF(AU135="","",IF($AJ135="",0,_xlfn.LET(_xlpm.d,IFERROR(--'Sales and count'!$F$2:$CB$2,0),SUMPRODUCT(('Sales and count'!$G$3:$CC$3="Transactions")*(_xlpm.d&gt;=BI$6)*(_xlpm.d&lt;=BI$7),INDEX('Sales and count'!$G$4:$CC$300,$AJ135,0)))))</f>
        <v/>
      </c>
      <c r="BJ135" s="350" t="str" cm="1">
        <f t="array" ref="BJ135">IF(AV135="","",IF($AJ135="",0,_xlfn.LET(_xlpm.d,IFERROR(--'Sales and count'!$F$2:$CB$2,0),SUMPRODUCT(('Sales and count'!$G$3:$CC$3="Transactions")*(_xlpm.d&gt;=BJ$6)*(_xlpm.d&lt;=BJ$7),INDEX('Sales and count'!$G$4:$CC$300,$AJ135,0)))))</f>
        <v/>
      </c>
      <c r="BK135" s="350" t="str" cm="1">
        <f t="array" ref="BK135">IF(AW135="","",IF($AJ135="",0,_xlfn.LET(_xlpm.d,IFERROR(--'Sales and count'!$F$2:$CB$2,0),SUMPRODUCT(('Sales and count'!$G$3:$CC$3="Transactions")*(_xlpm.d&gt;=BK$6)*(_xlpm.d&lt;=BK$7),INDEX('Sales and count'!$G$4:$CC$300,$AJ135,0)))))</f>
        <v/>
      </c>
      <c r="BL135" s="350" t="str" cm="1">
        <f t="array" ref="BL135">IF(AX135="","",IF($AJ135="",0,_xlfn.LET(_xlpm.d,IFERROR(--'Sales and count'!$F$2:$CB$2,0),SUMPRODUCT(('Sales and count'!$G$3:$CC$3="Transactions")*(_xlpm.d&gt;=BL$6)*(_xlpm.d&lt;=BL$7),INDEX('Sales and count'!$G$4:$CC$300,$AJ135,0)))))</f>
        <v/>
      </c>
      <c r="BM135" s="350" t="str" cm="1">
        <f t="array" ref="BM135">IF(AK135="","",IF($AJ135="",0,_xlfn.LET(_xlpm.d,IFERROR(--'Sales and count'!$G$2:$CC$2,0),SUMPRODUCT(('Sales and count'!$G$3:$CC$3="Total")*(_xlpm.d&gt;=BM$6)*(_xlpm.d&lt;=BM$7),INDEX('Sales and count'!$G$4:$CC$300,$AJ135,0)))))</f>
        <v/>
      </c>
      <c r="BN135" s="350" t="str" cm="1">
        <f t="array" ref="BN135">IF(AL135="","",IF($AJ135="",0,_xlfn.LET(_xlpm.d,IFERROR(--'Sales and count'!$G$2:$CC$2,0),SUMPRODUCT(('Sales and count'!$G$3:$CC$3="Total")*(_xlpm.d&gt;=BN$6)*(_xlpm.d&lt;=BN$7),INDEX('Sales and count'!$G$4:$CC$300,$AJ135,0)))))</f>
        <v/>
      </c>
      <c r="BO135" s="350" t="str" cm="1">
        <f t="array" ref="BO135">IF(AM135="","",IF($AJ135="",0,_xlfn.LET(_xlpm.d,IFERROR(--'Sales and count'!$G$2:$CC$2,0),SUMPRODUCT(('Sales and count'!$G$3:$CC$3="Total")*(_xlpm.d&gt;=BO$6)*(_xlpm.d&lt;=BO$7),INDEX('Sales and count'!$G$4:$CC$300,$AJ135,0)))))</f>
        <v/>
      </c>
      <c r="BP135" s="350" t="str" cm="1">
        <f t="array" ref="BP135">IF(AN135="","",IF($AJ135="",0,_xlfn.LET(_xlpm.d,IFERROR(--'Sales and count'!$G$2:$CC$2,0),SUMPRODUCT(('Sales and count'!$G$3:$CC$3="Total")*(_xlpm.d&gt;=BP$6)*(_xlpm.d&lt;=BP$7),INDEX('Sales and count'!$G$4:$CC$300,$AJ135,0)))))</f>
        <v/>
      </c>
      <c r="BQ135" s="350" t="str" cm="1">
        <f t="array" ref="BQ135">IF(AO135="","",IF($AJ135="",0,_xlfn.LET(_xlpm.d,IFERROR(--'Sales and count'!$G$2:$CC$2,0),SUMPRODUCT(('Sales and count'!$G$3:$CC$3="Total")*(_xlpm.d&gt;=BQ$6)*(_xlpm.d&lt;=BQ$7),INDEX('Sales and count'!$G$4:$CC$300,$AJ135,0)))))</f>
        <v/>
      </c>
      <c r="BR135" s="350" t="str" cm="1">
        <f t="array" ref="BR135">IF(AP135="","",IF($AJ135="",0,_xlfn.LET(_xlpm.d,IFERROR(--'Sales and count'!$G$2:$CC$2,0),SUMPRODUCT(('Sales and count'!$G$3:$CC$3="Total")*(_xlpm.d&gt;=BR$6)*(_xlpm.d&lt;=BR$7),INDEX('Sales and count'!$G$4:$CC$300,$AJ135,0)))))</f>
        <v/>
      </c>
      <c r="BS135" s="350" t="str" cm="1">
        <f t="array" ref="BS135">IF(AQ135="","",IF($AJ135="",0,_xlfn.LET(_xlpm.d,IFERROR(--'Sales and count'!$G$2:$CC$2,0),SUMPRODUCT(('Sales and count'!$G$3:$CC$3="Total")*(_xlpm.d&gt;=BS$6)*(_xlpm.d&lt;=BS$7),INDEX('Sales and count'!$G$4:$CC$300,$AJ135,0)))))</f>
        <v/>
      </c>
      <c r="BT135" s="350" t="str" cm="1">
        <f t="array" ref="BT135">IF(AR135="","",IF($AJ135="",0,_xlfn.LET(_xlpm.d,IFERROR(--'Sales and count'!$G$2:$CC$2,0),SUMPRODUCT(('Sales and count'!$G$3:$CC$3="Total")*(_xlpm.d&gt;=BT$6)*(_xlpm.d&lt;=BT$7),INDEX('Sales and count'!$G$4:$CC$300,$AJ135,0)))))</f>
        <v/>
      </c>
      <c r="BU135" s="350" t="str" cm="1">
        <f t="array" ref="BU135">IF(AS135="","",IF($AJ135="",0,_xlfn.LET(_xlpm.d,IFERROR(--'Sales and count'!$G$2:$CC$2,0),SUMPRODUCT(('Sales and count'!$G$3:$CC$3="Total")*(_xlpm.d&gt;=BU$6)*(_xlpm.d&lt;=BU$7),INDEX('Sales and count'!$G$4:$CC$300,$AJ135,0)))))</f>
        <v/>
      </c>
      <c r="BV135" s="350" t="str" cm="1">
        <f t="array" ref="BV135">IF(AT135="","",IF($AJ135="",0,_xlfn.LET(_xlpm.d,IFERROR(--'Sales and count'!$G$2:$CC$2,0),SUMPRODUCT(('Sales and count'!$G$3:$CC$3="Total")*(_xlpm.d&gt;=BV$6)*(_xlpm.d&lt;=BV$7),INDEX('Sales and count'!$G$4:$CC$300,$AJ135,0)))))</f>
        <v/>
      </c>
      <c r="BW135" s="350" t="str" cm="1">
        <f t="array" ref="BW135">IF(AU135="","",IF($AJ135="",0,_xlfn.LET(_xlpm.d,IFERROR(--'Sales and count'!$G$2:$CC$2,0),SUMPRODUCT(('Sales and count'!$G$3:$CC$3="Total")*(_xlpm.d&gt;=BW$6)*(_xlpm.d&lt;=BW$7),INDEX('Sales and count'!$G$4:$CC$300,$AJ135,0)))))</f>
        <v/>
      </c>
      <c r="BX135" s="350" t="str" cm="1">
        <f t="array" ref="BX135">IF(AV135="","",IF($AJ135="",0,_xlfn.LET(_xlpm.d,IFERROR(--'Sales and count'!$G$2:$CC$2,0),SUMPRODUCT(('Sales and count'!$G$3:$CC$3="Total")*(_xlpm.d&gt;=BX$6)*(_xlpm.d&lt;=BX$7),INDEX('Sales and count'!$G$4:$CC$300,$AJ135,0)))))</f>
        <v/>
      </c>
      <c r="BY135" s="350" t="str" cm="1">
        <f t="array" ref="BY135">IF(AW135="","",IF($AJ135="",0,_xlfn.LET(_xlpm.d,IFERROR(--'Sales and count'!$G$2:$CC$2,0),SUMPRODUCT(('Sales and count'!$G$3:$CC$3="Total")*(_xlpm.d&gt;=BY$6)*(_xlpm.d&lt;=BY$7),INDEX('Sales and count'!$G$4:$CC$300,$AJ135,0)))))</f>
        <v/>
      </c>
      <c r="BZ135" s="350" t="str" cm="1">
        <f t="array" ref="BZ135">IF(AX135="","",IF($AJ135="",0,_xlfn.LET(_xlpm.d,IFERROR(--'Sales and count'!$G$2:$CC$2,0),SUMPRODUCT(('Sales and count'!$G$3:$CC$3="Total")*(_xlpm.d&gt;=BZ$6)*(_xlpm.d&lt;=BZ$7),INDEX('Sales and count'!$G$4:$CC$300,$AJ135,0)))))</f>
        <v/>
      </c>
    </row>
    <row r="136" spans="1:78" x14ac:dyDescent="0.25">
      <c r="A136" s="356"/>
      <c r="B136" s="356" t="str" cm="1">
        <f t="array" ref="B136">IF($A136="","",_xlfn.XLOOKUP($A136,TRIM(Footfall!$B$5:$B$301&amp;""),Footfall!$A$5:$A$301,""))</f>
        <v/>
      </c>
      <c r="C136" s="356" t="str" cm="1">
        <f t="array" ref="C136">IF($A136="","",_xlfn.XLOOKUP($A136,TRIM('Sales and count'!$A$4:$A$300&amp;""),'Sales and count'!$C$4:$C$300,"Not set"))</f>
        <v/>
      </c>
      <c r="D136" s="357" t="str">
        <f t="shared" si="81"/>
        <v/>
      </c>
      <c r="E136" s="357" t="str">
        <f t="shared" si="82"/>
        <v/>
      </c>
      <c r="F136" s="357" t="str">
        <f t="shared" si="83"/>
        <v/>
      </c>
      <c r="G136" s="357" t="str">
        <f t="shared" si="84"/>
        <v/>
      </c>
      <c r="H136" s="357" t="str">
        <f t="shared" si="85"/>
        <v/>
      </c>
      <c r="I136" s="357" t="str">
        <f t="shared" si="86"/>
        <v/>
      </c>
      <c r="J136" s="357" t="str">
        <f t="shared" si="87"/>
        <v/>
      </c>
      <c r="K136" s="357" t="str">
        <f t="shared" si="88"/>
        <v/>
      </c>
      <c r="L136" s="357" t="str">
        <f t="shared" si="89"/>
        <v/>
      </c>
      <c r="M136" s="357" t="str">
        <f t="shared" si="90"/>
        <v/>
      </c>
      <c r="N136" s="357" t="str">
        <f t="shared" si="91"/>
        <v/>
      </c>
      <c r="O136" s="357" t="str">
        <f t="shared" si="92"/>
        <v/>
      </c>
      <c r="P136" s="357" t="str">
        <f t="shared" si="93"/>
        <v/>
      </c>
      <c r="Q136" s="357" t="str">
        <f t="shared" si="94"/>
        <v/>
      </c>
      <c r="R136" s="358" t="str" cm="1">
        <f t="array" ref="R136">IF(OR($A136="",D136=""),"",IFERROR(LOOKUP(2,1/(E136:Q136&lt;&gt;""),E136:Q136)-D136,""))</f>
        <v/>
      </c>
      <c r="S136" s="349"/>
      <c r="T136" s="362" t="str">
        <f t="shared" si="95"/>
        <v/>
      </c>
      <c r="U136" s="362" t="str">
        <f t="shared" si="96"/>
        <v/>
      </c>
      <c r="V136" s="362" t="str">
        <f t="shared" si="97"/>
        <v/>
      </c>
      <c r="W136" s="362" t="str">
        <f t="shared" si="98"/>
        <v/>
      </c>
      <c r="X136" s="362" t="str">
        <f t="shared" si="99"/>
        <v/>
      </c>
      <c r="Y136" s="362" t="str">
        <f t="shared" si="100"/>
        <v/>
      </c>
      <c r="Z136" s="362" t="str">
        <f t="shared" si="101"/>
        <v/>
      </c>
      <c r="AA136" s="362" t="str">
        <f t="shared" si="102"/>
        <v/>
      </c>
      <c r="AB136" s="362" t="str">
        <f t="shared" si="103"/>
        <v/>
      </c>
      <c r="AC136" s="362" t="str">
        <f t="shared" si="104"/>
        <v/>
      </c>
      <c r="AD136" s="362" t="str">
        <f t="shared" si="105"/>
        <v/>
      </c>
      <c r="AE136" s="362" t="str">
        <f t="shared" si="106"/>
        <v/>
      </c>
      <c r="AF136" s="362" t="str">
        <f t="shared" si="107"/>
        <v/>
      </c>
      <c r="AG136" s="362" t="str">
        <f t="shared" si="108"/>
        <v/>
      </c>
      <c r="AH136" s="363" t="str" cm="1">
        <f t="array" ref="AH136">IF(OR($A136="",T136=""),"",IFERROR(LOOKUP(2,1/(U136:AG136&lt;&gt;""),U136:AG136)-T136,""))</f>
        <v/>
      </c>
      <c r="AI136" s="349"/>
      <c r="AJ136" s="349" t="str" cm="1">
        <f t="array" ref="AJ136">IF($A136="","",IFERROR(MATCH($A136,TRIM('Sales and count'!$A$4:$A$300&amp;""),0),""))</f>
        <v/>
      </c>
      <c r="AK136" s="350" t="str" cm="1">
        <f t="array" ref="AK136">IF(OR($A136="",AK$6=""),"",IFERROR(INDEX(Footfall!$C$5:$BZ$301,MATCH($A136,TRIM(Footfall!$B$5:$B$301&amp;""),0),AK$5),0))</f>
        <v/>
      </c>
      <c r="AL136" s="350" t="str" cm="1">
        <f t="array" ref="AL136">IF(OR($A136="",AL$6=""),"",IFERROR(INDEX(Footfall!$C$5:$BZ$301,MATCH($A136,TRIM(Footfall!$B$5:$B$301&amp;""),0),AL$5),0))</f>
        <v/>
      </c>
      <c r="AM136" s="350" t="str" cm="1">
        <f t="array" ref="AM136">IF(OR($A136="",AM$6=""),"",IFERROR(INDEX(Footfall!$C$5:$BZ$301,MATCH($A136,TRIM(Footfall!$B$5:$B$301&amp;""),0),AM$5),0))</f>
        <v/>
      </c>
      <c r="AN136" s="350" t="str" cm="1">
        <f t="array" ref="AN136">IF(OR($A136="",AN$6=""),"",IFERROR(INDEX(Footfall!$C$5:$BZ$301,MATCH($A136,TRIM(Footfall!$B$5:$B$301&amp;""),0),AN$5),0))</f>
        <v/>
      </c>
      <c r="AO136" s="350" t="str" cm="1">
        <f t="array" ref="AO136">IF(OR($A136="",AO$6=""),"",IFERROR(INDEX(Footfall!$C$5:$BZ$301,MATCH($A136,TRIM(Footfall!$B$5:$B$301&amp;""),0),AO$5),0))</f>
        <v/>
      </c>
      <c r="AP136" s="350" t="str" cm="1">
        <f t="array" ref="AP136">IF(OR($A136="",AP$6=""),"",IFERROR(INDEX(Footfall!$C$5:$BZ$301,MATCH($A136,TRIM(Footfall!$B$5:$B$301&amp;""),0),AP$5),0))</f>
        <v/>
      </c>
      <c r="AQ136" s="350" t="str" cm="1">
        <f t="array" ref="AQ136">IF(OR($A136="",AQ$6=""),"",IFERROR(INDEX(Footfall!$C$5:$BZ$301,MATCH($A136,TRIM(Footfall!$B$5:$B$301&amp;""),0),AQ$5),0))</f>
        <v/>
      </c>
      <c r="AR136" s="350" t="str" cm="1">
        <f t="array" ref="AR136">IF(OR($A136="",AR$6=""),"",IFERROR(INDEX(Footfall!$C$5:$BZ$301,MATCH($A136,TRIM(Footfall!$B$5:$B$301&amp;""),0),AR$5),0))</f>
        <v/>
      </c>
      <c r="AS136" s="350" t="str" cm="1">
        <f t="array" ref="AS136">IF(OR($A136="",AS$6=""),"",IFERROR(INDEX(Footfall!$C$5:$BZ$301,MATCH($A136,TRIM(Footfall!$B$5:$B$301&amp;""),0),AS$5),0))</f>
        <v/>
      </c>
      <c r="AT136" s="350" t="str" cm="1">
        <f t="array" ref="AT136">IF(OR($A136="",AT$6=""),"",IFERROR(INDEX(Footfall!$C$5:$BZ$301,MATCH($A136,TRIM(Footfall!$B$5:$B$301&amp;""),0),AT$5),0))</f>
        <v/>
      </c>
      <c r="AU136" s="350" t="str" cm="1">
        <f t="array" ref="AU136">IF(OR($A136="",AU$6=""),"",IFERROR(INDEX(Footfall!$C$5:$BZ$301,MATCH($A136,TRIM(Footfall!$B$5:$B$301&amp;""),0),AU$5),0))</f>
        <v/>
      </c>
      <c r="AV136" s="350" t="str" cm="1">
        <f t="array" ref="AV136">IF(OR($A136="",AV$6=""),"",IFERROR(INDEX(Footfall!$C$5:$BZ$301,MATCH($A136,TRIM(Footfall!$B$5:$B$301&amp;""),0),AV$5),0))</f>
        <v/>
      </c>
      <c r="AW136" s="350" t="str" cm="1">
        <f t="array" ref="AW136">IF(OR($A136="",AW$6=""),"",IFERROR(INDEX(Footfall!$C$5:$BZ$301,MATCH($A136,TRIM(Footfall!$B$5:$B$301&amp;""),0),AW$5),0))</f>
        <v/>
      </c>
      <c r="AX136" s="350" t="str" cm="1">
        <f t="array" ref="AX136">IF(OR($A136="",AX$6=""),"",IFERROR(INDEX(Footfall!$C$5:$BZ$301,MATCH($A136,TRIM(Footfall!$B$5:$B$301&amp;""),0),AX$5),0))</f>
        <v/>
      </c>
      <c r="AY136" s="350" t="str" cm="1">
        <f t="array" ref="AY136">IF(AK136="","",IF($AJ136="",0,_xlfn.LET(_xlpm.d,IFERROR(--'Sales and count'!$F$2:$CB$2,0),SUMPRODUCT(('Sales and count'!$G$3:$CC$3="Transactions")*(_xlpm.d&gt;=AY$6)*(_xlpm.d&lt;=AY$7),INDEX('Sales and count'!$G$4:$CC$300,$AJ136,0)))))</f>
        <v/>
      </c>
      <c r="AZ136" s="350" t="str" cm="1">
        <f t="array" ref="AZ136">IF(AL136="","",IF($AJ136="",0,_xlfn.LET(_xlpm.d,IFERROR(--'Sales and count'!$F$2:$CB$2,0),SUMPRODUCT(('Sales and count'!$G$3:$CC$3="Transactions")*(_xlpm.d&gt;=AZ$6)*(_xlpm.d&lt;=AZ$7),INDEX('Sales and count'!$G$4:$CC$300,$AJ136,0)))))</f>
        <v/>
      </c>
      <c r="BA136" s="350" t="str" cm="1">
        <f t="array" ref="BA136">IF(AM136="","",IF($AJ136="",0,_xlfn.LET(_xlpm.d,IFERROR(--'Sales and count'!$F$2:$CB$2,0),SUMPRODUCT(('Sales and count'!$G$3:$CC$3="Transactions")*(_xlpm.d&gt;=BA$6)*(_xlpm.d&lt;=BA$7),INDEX('Sales and count'!$G$4:$CC$300,$AJ136,0)))))</f>
        <v/>
      </c>
      <c r="BB136" s="350" t="str" cm="1">
        <f t="array" ref="BB136">IF(AN136="","",IF($AJ136="",0,_xlfn.LET(_xlpm.d,IFERROR(--'Sales and count'!$F$2:$CB$2,0),SUMPRODUCT(('Sales and count'!$G$3:$CC$3="Transactions")*(_xlpm.d&gt;=BB$6)*(_xlpm.d&lt;=BB$7),INDEX('Sales and count'!$G$4:$CC$300,$AJ136,0)))))</f>
        <v/>
      </c>
      <c r="BC136" s="350" t="str" cm="1">
        <f t="array" ref="BC136">IF(AO136="","",IF($AJ136="",0,_xlfn.LET(_xlpm.d,IFERROR(--'Sales and count'!$F$2:$CB$2,0),SUMPRODUCT(('Sales and count'!$G$3:$CC$3="Transactions")*(_xlpm.d&gt;=BC$6)*(_xlpm.d&lt;=BC$7),INDEX('Sales and count'!$G$4:$CC$300,$AJ136,0)))))</f>
        <v/>
      </c>
      <c r="BD136" s="350" t="str" cm="1">
        <f t="array" ref="BD136">IF(AP136="","",IF($AJ136="",0,_xlfn.LET(_xlpm.d,IFERROR(--'Sales and count'!$F$2:$CB$2,0),SUMPRODUCT(('Sales and count'!$G$3:$CC$3="Transactions")*(_xlpm.d&gt;=BD$6)*(_xlpm.d&lt;=BD$7),INDEX('Sales and count'!$G$4:$CC$300,$AJ136,0)))))</f>
        <v/>
      </c>
      <c r="BE136" s="350" t="str" cm="1">
        <f t="array" ref="BE136">IF(AQ136="","",IF($AJ136="",0,_xlfn.LET(_xlpm.d,IFERROR(--'Sales and count'!$F$2:$CB$2,0),SUMPRODUCT(('Sales and count'!$G$3:$CC$3="Transactions")*(_xlpm.d&gt;=BE$6)*(_xlpm.d&lt;=BE$7),INDEX('Sales and count'!$G$4:$CC$300,$AJ136,0)))))</f>
        <v/>
      </c>
      <c r="BF136" s="350" t="str" cm="1">
        <f t="array" ref="BF136">IF(AR136="","",IF($AJ136="",0,_xlfn.LET(_xlpm.d,IFERROR(--'Sales and count'!$F$2:$CB$2,0),SUMPRODUCT(('Sales and count'!$G$3:$CC$3="Transactions")*(_xlpm.d&gt;=BF$6)*(_xlpm.d&lt;=BF$7),INDEX('Sales and count'!$G$4:$CC$300,$AJ136,0)))))</f>
        <v/>
      </c>
      <c r="BG136" s="350" t="str" cm="1">
        <f t="array" ref="BG136">IF(AS136="","",IF($AJ136="",0,_xlfn.LET(_xlpm.d,IFERROR(--'Sales and count'!$F$2:$CB$2,0),SUMPRODUCT(('Sales and count'!$G$3:$CC$3="Transactions")*(_xlpm.d&gt;=BG$6)*(_xlpm.d&lt;=BG$7),INDEX('Sales and count'!$G$4:$CC$300,$AJ136,0)))))</f>
        <v/>
      </c>
      <c r="BH136" s="350" t="str" cm="1">
        <f t="array" ref="BH136">IF(AT136="","",IF($AJ136="",0,_xlfn.LET(_xlpm.d,IFERROR(--'Sales and count'!$F$2:$CB$2,0),SUMPRODUCT(('Sales and count'!$G$3:$CC$3="Transactions")*(_xlpm.d&gt;=BH$6)*(_xlpm.d&lt;=BH$7),INDEX('Sales and count'!$G$4:$CC$300,$AJ136,0)))))</f>
        <v/>
      </c>
      <c r="BI136" s="350" t="str" cm="1">
        <f t="array" ref="BI136">IF(AU136="","",IF($AJ136="",0,_xlfn.LET(_xlpm.d,IFERROR(--'Sales and count'!$F$2:$CB$2,0),SUMPRODUCT(('Sales and count'!$G$3:$CC$3="Transactions")*(_xlpm.d&gt;=BI$6)*(_xlpm.d&lt;=BI$7),INDEX('Sales and count'!$G$4:$CC$300,$AJ136,0)))))</f>
        <v/>
      </c>
      <c r="BJ136" s="350" t="str" cm="1">
        <f t="array" ref="BJ136">IF(AV136="","",IF($AJ136="",0,_xlfn.LET(_xlpm.d,IFERROR(--'Sales and count'!$F$2:$CB$2,0),SUMPRODUCT(('Sales and count'!$G$3:$CC$3="Transactions")*(_xlpm.d&gt;=BJ$6)*(_xlpm.d&lt;=BJ$7),INDEX('Sales and count'!$G$4:$CC$300,$AJ136,0)))))</f>
        <v/>
      </c>
      <c r="BK136" s="350" t="str" cm="1">
        <f t="array" ref="BK136">IF(AW136="","",IF($AJ136="",0,_xlfn.LET(_xlpm.d,IFERROR(--'Sales and count'!$F$2:$CB$2,0),SUMPRODUCT(('Sales and count'!$G$3:$CC$3="Transactions")*(_xlpm.d&gt;=BK$6)*(_xlpm.d&lt;=BK$7),INDEX('Sales and count'!$G$4:$CC$300,$AJ136,0)))))</f>
        <v/>
      </c>
      <c r="BL136" s="350" t="str" cm="1">
        <f t="array" ref="BL136">IF(AX136="","",IF($AJ136="",0,_xlfn.LET(_xlpm.d,IFERROR(--'Sales and count'!$F$2:$CB$2,0),SUMPRODUCT(('Sales and count'!$G$3:$CC$3="Transactions")*(_xlpm.d&gt;=BL$6)*(_xlpm.d&lt;=BL$7),INDEX('Sales and count'!$G$4:$CC$300,$AJ136,0)))))</f>
        <v/>
      </c>
      <c r="BM136" s="350" t="str" cm="1">
        <f t="array" ref="BM136">IF(AK136="","",IF($AJ136="",0,_xlfn.LET(_xlpm.d,IFERROR(--'Sales and count'!$G$2:$CC$2,0),SUMPRODUCT(('Sales and count'!$G$3:$CC$3="Total")*(_xlpm.d&gt;=BM$6)*(_xlpm.d&lt;=BM$7),INDEX('Sales and count'!$G$4:$CC$300,$AJ136,0)))))</f>
        <v/>
      </c>
      <c r="BN136" s="350" t="str" cm="1">
        <f t="array" ref="BN136">IF(AL136="","",IF($AJ136="",0,_xlfn.LET(_xlpm.d,IFERROR(--'Sales and count'!$G$2:$CC$2,0),SUMPRODUCT(('Sales and count'!$G$3:$CC$3="Total")*(_xlpm.d&gt;=BN$6)*(_xlpm.d&lt;=BN$7),INDEX('Sales and count'!$G$4:$CC$300,$AJ136,0)))))</f>
        <v/>
      </c>
      <c r="BO136" s="350" t="str" cm="1">
        <f t="array" ref="BO136">IF(AM136="","",IF($AJ136="",0,_xlfn.LET(_xlpm.d,IFERROR(--'Sales and count'!$G$2:$CC$2,0),SUMPRODUCT(('Sales and count'!$G$3:$CC$3="Total")*(_xlpm.d&gt;=BO$6)*(_xlpm.d&lt;=BO$7),INDEX('Sales and count'!$G$4:$CC$300,$AJ136,0)))))</f>
        <v/>
      </c>
      <c r="BP136" s="350" t="str" cm="1">
        <f t="array" ref="BP136">IF(AN136="","",IF($AJ136="",0,_xlfn.LET(_xlpm.d,IFERROR(--'Sales and count'!$G$2:$CC$2,0),SUMPRODUCT(('Sales and count'!$G$3:$CC$3="Total")*(_xlpm.d&gt;=BP$6)*(_xlpm.d&lt;=BP$7),INDEX('Sales and count'!$G$4:$CC$300,$AJ136,0)))))</f>
        <v/>
      </c>
      <c r="BQ136" s="350" t="str" cm="1">
        <f t="array" ref="BQ136">IF(AO136="","",IF($AJ136="",0,_xlfn.LET(_xlpm.d,IFERROR(--'Sales and count'!$G$2:$CC$2,0),SUMPRODUCT(('Sales and count'!$G$3:$CC$3="Total")*(_xlpm.d&gt;=BQ$6)*(_xlpm.d&lt;=BQ$7),INDEX('Sales and count'!$G$4:$CC$300,$AJ136,0)))))</f>
        <v/>
      </c>
      <c r="BR136" s="350" t="str" cm="1">
        <f t="array" ref="BR136">IF(AP136="","",IF($AJ136="",0,_xlfn.LET(_xlpm.d,IFERROR(--'Sales and count'!$G$2:$CC$2,0),SUMPRODUCT(('Sales and count'!$G$3:$CC$3="Total")*(_xlpm.d&gt;=BR$6)*(_xlpm.d&lt;=BR$7),INDEX('Sales and count'!$G$4:$CC$300,$AJ136,0)))))</f>
        <v/>
      </c>
      <c r="BS136" s="350" t="str" cm="1">
        <f t="array" ref="BS136">IF(AQ136="","",IF($AJ136="",0,_xlfn.LET(_xlpm.d,IFERROR(--'Sales and count'!$G$2:$CC$2,0),SUMPRODUCT(('Sales and count'!$G$3:$CC$3="Total")*(_xlpm.d&gt;=BS$6)*(_xlpm.d&lt;=BS$7),INDEX('Sales and count'!$G$4:$CC$300,$AJ136,0)))))</f>
        <v/>
      </c>
      <c r="BT136" s="350" t="str" cm="1">
        <f t="array" ref="BT136">IF(AR136="","",IF($AJ136="",0,_xlfn.LET(_xlpm.d,IFERROR(--'Sales and count'!$G$2:$CC$2,0),SUMPRODUCT(('Sales and count'!$G$3:$CC$3="Total")*(_xlpm.d&gt;=BT$6)*(_xlpm.d&lt;=BT$7),INDEX('Sales and count'!$G$4:$CC$300,$AJ136,0)))))</f>
        <v/>
      </c>
      <c r="BU136" s="350" t="str" cm="1">
        <f t="array" ref="BU136">IF(AS136="","",IF($AJ136="",0,_xlfn.LET(_xlpm.d,IFERROR(--'Sales and count'!$G$2:$CC$2,0),SUMPRODUCT(('Sales and count'!$G$3:$CC$3="Total")*(_xlpm.d&gt;=BU$6)*(_xlpm.d&lt;=BU$7),INDEX('Sales and count'!$G$4:$CC$300,$AJ136,0)))))</f>
        <v/>
      </c>
      <c r="BV136" s="350" t="str" cm="1">
        <f t="array" ref="BV136">IF(AT136="","",IF($AJ136="",0,_xlfn.LET(_xlpm.d,IFERROR(--'Sales and count'!$G$2:$CC$2,0),SUMPRODUCT(('Sales and count'!$G$3:$CC$3="Total")*(_xlpm.d&gt;=BV$6)*(_xlpm.d&lt;=BV$7),INDEX('Sales and count'!$G$4:$CC$300,$AJ136,0)))))</f>
        <v/>
      </c>
      <c r="BW136" s="350" t="str" cm="1">
        <f t="array" ref="BW136">IF(AU136="","",IF($AJ136="",0,_xlfn.LET(_xlpm.d,IFERROR(--'Sales and count'!$G$2:$CC$2,0),SUMPRODUCT(('Sales and count'!$G$3:$CC$3="Total")*(_xlpm.d&gt;=BW$6)*(_xlpm.d&lt;=BW$7),INDEX('Sales and count'!$G$4:$CC$300,$AJ136,0)))))</f>
        <v/>
      </c>
      <c r="BX136" s="350" t="str" cm="1">
        <f t="array" ref="BX136">IF(AV136="","",IF($AJ136="",0,_xlfn.LET(_xlpm.d,IFERROR(--'Sales and count'!$G$2:$CC$2,0),SUMPRODUCT(('Sales and count'!$G$3:$CC$3="Total")*(_xlpm.d&gt;=BX$6)*(_xlpm.d&lt;=BX$7),INDEX('Sales and count'!$G$4:$CC$300,$AJ136,0)))))</f>
        <v/>
      </c>
      <c r="BY136" s="350" t="str" cm="1">
        <f t="array" ref="BY136">IF(AW136="","",IF($AJ136="",0,_xlfn.LET(_xlpm.d,IFERROR(--'Sales and count'!$G$2:$CC$2,0),SUMPRODUCT(('Sales and count'!$G$3:$CC$3="Total")*(_xlpm.d&gt;=BY$6)*(_xlpm.d&lt;=BY$7),INDEX('Sales and count'!$G$4:$CC$300,$AJ136,0)))))</f>
        <v/>
      </c>
      <c r="BZ136" s="350" t="str" cm="1">
        <f t="array" ref="BZ136">IF(AX136="","",IF($AJ136="",0,_xlfn.LET(_xlpm.d,IFERROR(--'Sales and count'!$G$2:$CC$2,0),SUMPRODUCT(('Sales and count'!$G$3:$CC$3="Total")*(_xlpm.d&gt;=BZ$6)*(_xlpm.d&lt;=BZ$7),INDEX('Sales and count'!$G$4:$CC$300,$AJ136,0)))))</f>
        <v/>
      </c>
    </row>
    <row r="137" spans="1:78" x14ac:dyDescent="0.25">
      <c r="A137" s="356"/>
      <c r="B137" s="356" t="str" cm="1">
        <f t="array" ref="B137">IF($A137="","",_xlfn.XLOOKUP($A137,TRIM(Footfall!$B$5:$B$301&amp;""),Footfall!$A$5:$A$301,""))</f>
        <v/>
      </c>
      <c r="C137" s="356" t="str" cm="1">
        <f t="array" ref="C137">IF($A137="","",_xlfn.XLOOKUP($A137,TRIM('Sales and count'!$A$4:$A$300&amp;""),'Sales and count'!$C$4:$C$300,"Not set"))</f>
        <v/>
      </c>
      <c r="D137" s="357" t="str">
        <f t="shared" si="81"/>
        <v/>
      </c>
      <c r="E137" s="357" t="str">
        <f t="shared" si="82"/>
        <v/>
      </c>
      <c r="F137" s="357" t="str">
        <f t="shared" si="83"/>
        <v/>
      </c>
      <c r="G137" s="357" t="str">
        <f t="shared" si="84"/>
        <v/>
      </c>
      <c r="H137" s="357" t="str">
        <f t="shared" si="85"/>
        <v/>
      </c>
      <c r="I137" s="357" t="str">
        <f t="shared" si="86"/>
        <v/>
      </c>
      <c r="J137" s="357" t="str">
        <f t="shared" si="87"/>
        <v/>
      </c>
      <c r="K137" s="357" t="str">
        <f t="shared" si="88"/>
        <v/>
      </c>
      <c r="L137" s="357" t="str">
        <f t="shared" si="89"/>
        <v/>
      </c>
      <c r="M137" s="357" t="str">
        <f t="shared" si="90"/>
        <v/>
      </c>
      <c r="N137" s="357" t="str">
        <f t="shared" si="91"/>
        <v/>
      </c>
      <c r="O137" s="357" t="str">
        <f t="shared" si="92"/>
        <v/>
      </c>
      <c r="P137" s="357" t="str">
        <f t="shared" si="93"/>
        <v/>
      </c>
      <c r="Q137" s="357" t="str">
        <f t="shared" si="94"/>
        <v/>
      </c>
      <c r="R137" s="358" t="str" cm="1">
        <f t="array" ref="R137">IF(OR($A137="",D137=""),"",IFERROR(LOOKUP(2,1/(E137:Q137&lt;&gt;""),E137:Q137)-D137,""))</f>
        <v/>
      </c>
      <c r="S137" s="349"/>
      <c r="T137" s="362" t="str">
        <f t="shared" si="95"/>
        <v/>
      </c>
      <c r="U137" s="362" t="str">
        <f t="shared" si="96"/>
        <v/>
      </c>
      <c r="V137" s="362" t="str">
        <f t="shared" si="97"/>
        <v/>
      </c>
      <c r="W137" s="362" t="str">
        <f t="shared" si="98"/>
        <v/>
      </c>
      <c r="X137" s="362" t="str">
        <f t="shared" si="99"/>
        <v/>
      </c>
      <c r="Y137" s="362" t="str">
        <f t="shared" si="100"/>
        <v/>
      </c>
      <c r="Z137" s="362" t="str">
        <f t="shared" si="101"/>
        <v/>
      </c>
      <c r="AA137" s="362" t="str">
        <f t="shared" si="102"/>
        <v/>
      </c>
      <c r="AB137" s="362" t="str">
        <f t="shared" si="103"/>
        <v/>
      </c>
      <c r="AC137" s="362" t="str">
        <f t="shared" si="104"/>
        <v/>
      </c>
      <c r="AD137" s="362" t="str">
        <f t="shared" si="105"/>
        <v/>
      </c>
      <c r="AE137" s="362" t="str">
        <f t="shared" si="106"/>
        <v/>
      </c>
      <c r="AF137" s="362" t="str">
        <f t="shared" si="107"/>
        <v/>
      </c>
      <c r="AG137" s="362" t="str">
        <f t="shared" si="108"/>
        <v/>
      </c>
      <c r="AH137" s="363" t="str" cm="1">
        <f t="array" ref="AH137">IF(OR($A137="",T137=""),"",IFERROR(LOOKUP(2,1/(U137:AG137&lt;&gt;""),U137:AG137)-T137,""))</f>
        <v/>
      </c>
      <c r="AI137" s="349"/>
      <c r="AJ137" s="349" t="str" cm="1">
        <f t="array" ref="AJ137">IF($A137="","",IFERROR(MATCH($A137,TRIM('Sales and count'!$A$4:$A$300&amp;""),0),""))</f>
        <v/>
      </c>
      <c r="AK137" s="350" t="str" cm="1">
        <f t="array" ref="AK137">IF(OR($A137="",AK$6=""),"",IFERROR(INDEX(Footfall!$C$5:$BZ$301,MATCH($A137,TRIM(Footfall!$B$5:$B$301&amp;""),0),AK$5),0))</f>
        <v/>
      </c>
      <c r="AL137" s="350" t="str" cm="1">
        <f t="array" ref="AL137">IF(OR($A137="",AL$6=""),"",IFERROR(INDEX(Footfall!$C$5:$BZ$301,MATCH($A137,TRIM(Footfall!$B$5:$B$301&amp;""),0),AL$5),0))</f>
        <v/>
      </c>
      <c r="AM137" s="350" t="str" cm="1">
        <f t="array" ref="AM137">IF(OR($A137="",AM$6=""),"",IFERROR(INDEX(Footfall!$C$5:$BZ$301,MATCH($A137,TRIM(Footfall!$B$5:$B$301&amp;""),0),AM$5),0))</f>
        <v/>
      </c>
      <c r="AN137" s="350" t="str" cm="1">
        <f t="array" ref="AN137">IF(OR($A137="",AN$6=""),"",IFERROR(INDEX(Footfall!$C$5:$BZ$301,MATCH($A137,TRIM(Footfall!$B$5:$B$301&amp;""),0),AN$5),0))</f>
        <v/>
      </c>
      <c r="AO137" s="350" t="str" cm="1">
        <f t="array" ref="AO137">IF(OR($A137="",AO$6=""),"",IFERROR(INDEX(Footfall!$C$5:$BZ$301,MATCH($A137,TRIM(Footfall!$B$5:$B$301&amp;""),0),AO$5),0))</f>
        <v/>
      </c>
      <c r="AP137" s="350" t="str" cm="1">
        <f t="array" ref="AP137">IF(OR($A137="",AP$6=""),"",IFERROR(INDEX(Footfall!$C$5:$BZ$301,MATCH($A137,TRIM(Footfall!$B$5:$B$301&amp;""),0),AP$5),0))</f>
        <v/>
      </c>
      <c r="AQ137" s="350" t="str" cm="1">
        <f t="array" ref="AQ137">IF(OR($A137="",AQ$6=""),"",IFERROR(INDEX(Footfall!$C$5:$BZ$301,MATCH($A137,TRIM(Footfall!$B$5:$B$301&amp;""),0),AQ$5),0))</f>
        <v/>
      </c>
      <c r="AR137" s="350" t="str" cm="1">
        <f t="array" ref="AR137">IF(OR($A137="",AR$6=""),"",IFERROR(INDEX(Footfall!$C$5:$BZ$301,MATCH($A137,TRIM(Footfall!$B$5:$B$301&amp;""),0),AR$5),0))</f>
        <v/>
      </c>
      <c r="AS137" s="350" t="str" cm="1">
        <f t="array" ref="AS137">IF(OR($A137="",AS$6=""),"",IFERROR(INDEX(Footfall!$C$5:$BZ$301,MATCH($A137,TRIM(Footfall!$B$5:$B$301&amp;""),0),AS$5),0))</f>
        <v/>
      </c>
      <c r="AT137" s="350" t="str" cm="1">
        <f t="array" ref="AT137">IF(OR($A137="",AT$6=""),"",IFERROR(INDEX(Footfall!$C$5:$BZ$301,MATCH($A137,TRIM(Footfall!$B$5:$B$301&amp;""),0),AT$5),0))</f>
        <v/>
      </c>
      <c r="AU137" s="350" t="str" cm="1">
        <f t="array" ref="AU137">IF(OR($A137="",AU$6=""),"",IFERROR(INDEX(Footfall!$C$5:$BZ$301,MATCH($A137,TRIM(Footfall!$B$5:$B$301&amp;""),0),AU$5),0))</f>
        <v/>
      </c>
      <c r="AV137" s="350" t="str" cm="1">
        <f t="array" ref="AV137">IF(OR($A137="",AV$6=""),"",IFERROR(INDEX(Footfall!$C$5:$BZ$301,MATCH($A137,TRIM(Footfall!$B$5:$B$301&amp;""),0),AV$5),0))</f>
        <v/>
      </c>
      <c r="AW137" s="350" t="str" cm="1">
        <f t="array" ref="AW137">IF(OR($A137="",AW$6=""),"",IFERROR(INDEX(Footfall!$C$5:$BZ$301,MATCH($A137,TRIM(Footfall!$B$5:$B$301&amp;""),0),AW$5),0))</f>
        <v/>
      </c>
      <c r="AX137" s="350" t="str" cm="1">
        <f t="array" ref="AX137">IF(OR($A137="",AX$6=""),"",IFERROR(INDEX(Footfall!$C$5:$BZ$301,MATCH($A137,TRIM(Footfall!$B$5:$B$301&amp;""),0),AX$5),0))</f>
        <v/>
      </c>
      <c r="AY137" s="350" t="str" cm="1">
        <f t="array" ref="AY137">IF(AK137="","",IF($AJ137="",0,_xlfn.LET(_xlpm.d,IFERROR(--'Sales and count'!$F$2:$CB$2,0),SUMPRODUCT(('Sales and count'!$G$3:$CC$3="Transactions")*(_xlpm.d&gt;=AY$6)*(_xlpm.d&lt;=AY$7),INDEX('Sales and count'!$G$4:$CC$300,$AJ137,0)))))</f>
        <v/>
      </c>
      <c r="AZ137" s="350" t="str" cm="1">
        <f t="array" ref="AZ137">IF(AL137="","",IF($AJ137="",0,_xlfn.LET(_xlpm.d,IFERROR(--'Sales and count'!$F$2:$CB$2,0),SUMPRODUCT(('Sales and count'!$G$3:$CC$3="Transactions")*(_xlpm.d&gt;=AZ$6)*(_xlpm.d&lt;=AZ$7),INDEX('Sales and count'!$G$4:$CC$300,$AJ137,0)))))</f>
        <v/>
      </c>
      <c r="BA137" s="350" t="str" cm="1">
        <f t="array" ref="BA137">IF(AM137="","",IF($AJ137="",0,_xlfn.LET(_xlpm.d,IFERROR(--'Sales and count'!$F$2:$CB$2,0),SUMPRODUCT(('Sales and count'!$G$3:$CC$3="Transactions")*(_xlpm.d&gt;=BA$6)*(_xlpm.d&lt;=BA$7),INDEX('Sales and count'!$G$4:$CC$300,$AJ137,0)))))</f>
        <v/>
      </c>
      <c r="BB137" s="350" t="str" cm="1">
        <f t="array" ref="BB137">IF(AN137="","",IF($AJ137="",0,_xlfn.LET(_xlpm.d,IFERROR(--'Sales and count'!$F$2:$CB$2,0),SUMPRODUCT(('Sales and count'!$G$3:$CC$3="Transactions")*(_xlpm.d&gt;=BB$6)*(_xlpm.d&lt;=BB$7),INDEX('Sales and count'!$G$4:$CC$300,$AJ137,0)))))</f>
        <v/>
      </c>
      <c r="BC137" s="350" t="str" cm="1">
        <f t="array" ref="BC137">IF(AO137="","",IF($AJ137="",0,_xlfn.LET(_xlpm.d,IFERROR(--'Sales and count'!$F$2:$CB$2,0),SUMPRODUCT(('Sales and count'!$G$3:$CC$3="Transactions")*(_xlpm.d&gt;=BC$6)*(_xlpm.d&lt;=BC$7),INDEX('Sales and count'!$G$4:$CC$300,$AJ137,0)))))</f>
        <v/>
      </c>
      <c r="BD137" s="350" t="str" cm="1">
        <f t="array" ref="BD137">IF(AP137="","",IF($AJ137="",0,_xlfn.LET(_xlpm.d,IFERROR(--'Sales and count'!$F$2:$CB$2,0),SUMPRODUCT(('Sales and count'!$G$3:$CC$3="Transactions")*(_xlpm.d&gt;=BD$6)*(_xlpm.d&lt;=BD$7),INDEX('Sales and count'!$G$4:$CC$300,$AJ137,0)))))</f>
        <v/>
      </c>
      <c r="BE137" s="350" t="str" cm="1">
        <f t="array" ref="BE137">IF(AQ137="","",IF($AJ137="",0,_xlfn.LET(_xlpm.d,IFERROR(--'Sales and count'!$F$2:$CB$2,0),SUMPRODUCT(('Sales and count'!$G$3:$CC$3="Transactions")*(_xlpm.d&gt;=BE$6)*(_xlpm.d&lt;=BE$7),INDEX('Sales and count'!$G$4:$CC$300,$AJ137,0)))))</f>
        <v/>
      </c>
      <c r="BF137" s="350" t="str" cm="1">
        <f t="array" ref="BF137">IF(AR137="","",IF($AJ137="",0,_xlfn.LET(_xlpm.d,IFERROR(--'Sales and count'!$F$2:$CB$2,0),SUMPRODUCT(('Sales and count'!$G$3:$CC$3="Transactions")*(_xlpm.d&gt;=BF$6)*(_xlpm.d&lt;=BF$7),INDEX('Sales and count'!$G$4:$CC$300,$AJ137,0)))))</f>
        <v/>
      </c>
      <c r="BG137" s="350" t="str" cm="1">
        <f t="array" ref="BG137">IF(AS137="","",IF($AJ137="",0,_xlfn.LET(_xlpm.d,IFERROR(--'Sales and count'!$F$2:$CB$2,0),SUMPRODUCT(('Sales and count'!$G$3:$CC$3="Transactions")*(_xlpm.d&gt;=BG$6)*(_xlpm.d&lt;=BG$7),INDEX('Sales and count'!$G$4:$CC$300,$AJ137,0)))))</f>
        <v/>
      </c>
      <c r="BH137" s="350" t="str" cm="1">
        <f t="array" ref="BH137">IF(AT137="","",IF($AJ137="",0,_xlfn.LET(_xlpm.d,IFERROR(--'Sales and count'!$F$2:$CB$2,0),SUMPRODUCT(('Sales and count'!$G$3:$CC$3="Transactions")*(_xlpm.d&gt;=BH$6)*(_xlpm.d&lt;=BH$7),INDEX('Sales and count'!$G$4:$CC$300,$AJ137,0)))))</f>
        <v/>
      </c>
      <c r="BI137" s="350" t="str" cm="1">
        <f t="array" ref="BI137">IF(AU137="","",IF($AJ137="",0,_xlfn.LET(_xlpm.d,IFERROR(--'Sales and count'!$F$2:$CB$2,0),SUMPRODUCT(('Sales and count'!$G$3:$CC$3="Transactions")*(_xlpm.d&gt;=BI$6)*(_xlpm.d&lt;=BI$7),INDEX('Sales and count'!$G$4:$CC$300,$AJ137,0)))))</f>
        <v/>
      </c>
      <c r="BJ137" s="350" t="str" cm="1">
        <f t="array" ref="BJ137">IF(AV137="","",IF($AJ137="",0,_xlfn.LET(_xlpm.d,IFERROR(--'Sales and count'!$F$2:$CB$2,0),SUMPRODUCT(('Sales and count'!$G$3:$CC$3="Transactions")*(_xlpm.d&gt;=BJ$6)*(_xlpm.d&lt;=BJ$7),INDEX('Sales and count'!$G$4:$CC$300,$AJ137,0)))))</f>
        <v/>
      </c>
      <c r="BK137" s="350" t="str" cm="1">
        <f t="array" ref="BK137">IF(AW137="","",IF($AJ137="",0,_xlfn.LET(_xlpm.d,IFERROR(--'Sales and count'!$F$2:$CB$2,0),SUMPRODUCT(('Sales and count'!$G$3:$CC$3="Transactions")*(_xlpm.d&gt;=BK$6)*(_xlpm.d&lt;=BK$7),INDEX('Sales and count'!$G$4:$CC$300,$AJ137,0)))))</f>
        <v/>
      </c>
      <c r="BL137" s="350" t="str" cm="1">
        <f t="array" ref="BL137">IF(AX137="","",IF($AJ137="",0,_xlfn.LET(_xlpm.d,IFERROR(--'Sales and count'!$F$2:$CB$2,0),SUMPRODUCT(('Sales and count'!$G$3:$CC$3="Transactions")*(_xlpm.d&gt;=BL$6)*(_xlpm.d&lt;=BL$7),INDEX('Sales and count'!$G$4:$CC$300,$AJ137,0)))))</f>
        <v/>
      </c>
      <c r="BM137" s="350" t="str" cm="1">
        <f t="array" ref="BM137">IF(AK137="","",IF($AJ137="",0,_xlfn.LET(_xlpm.d,IFERROR(--'Sales and count'!$G$2:$CC$2,0),SUMPRODUCT(('Sales and count'!$G$3:$CC$3="Total")*(_xlpm.d&gt;=BM$6)*(_xlpm.d&lt;=BM$7),INDEX('Sales and count'!$G$4:$CC$300,$AJ137,0)))))</f>
        <v/>
      </c>
      <c r="BN137" s="350" t="str" cm="1">
        <f t="array" ref="BN137">IF(AL137="","",IF($AJ137="",0,_xlfn.LET(_xlpm.d,IFERROR(--'Sales and count'!$G$2:$CC$2,0),SUMPRODUCT(('Sales and count'!$G$3:$CC$3="Total")*(_xlpm.d&gt;=BN$6)*(_xlpm.d&lt;=BN$7),INDEX('Sales and count'!$G$4:$CC$300,$AJ137,0)))))</f>
        <v/>
      </c>
      <c r="BO137" s="350" t="str" cm="1">
        <f t="array" ref="BO137">IF(AM137="","",IF($AJ137="",0,_xlfn.LET(_xlpm.d,IFERROR(--'Sales and count'!$G$2:$CC$2,0),SUMPRODUCT(('Sales and count'!$G$3:$CC$3="Total")*(_xlpm.d&gt;=BO$6)*(_xlpm.d&lt;=BO$7),INDEX('Sales and count'!$G$4:$CC$300,$AJ137,0)))))</f>
        <v/>
      </c>
      <c r="BP137" s="350" t="str" cm="1">
        <f t="array" ref="BP137">IF(AN137="","",IF($AJ137="",0,_xlfn.LET(_xlpm.d,IFERROR(--'Sales and count'!$G$2:$CC$2,0),SUMPRODUCT(('Sales and count'!$G$3:$CC$3="Total")*(_xlpm.d&gt;=BP$6)*(_xlpm.d&lt;=BP$7),INDEX('Sales and count'!$G$4:$CC$300,$AJ137,0)))))</f>
        <v/>
      </c>
      <c r="BQ137" s="350" t="str" cm="1">
        <f t="array" ref="BQ137">IF(AO137="","",IF($AJ137="",0,_xlfn.LET(_xlpm.d,IFERROR(--'Sales and count'!$G$2:$CC$2,0),SUMPRODUCT(('Sales and count'!$G$3:$CC$3="Total")*(_xlpm.d&gt;=BQ$6)*(_xlpm.d&lt;=BQ$7),INDEX('Sales and count'!$G$4:$CC$300,$AJ137,0)))))</f>
        <v/>
      </c>
      <c r="BR137" s="350" t="str" cm="1">
        <f t="array" ref="BR137">IF(AP137="","",IF($AJ137="",0,_xlfn.LET(_xlpm.d,IFERROR(--'Sales and count'!$G$2:$CC$2,0),SUMPRODUCT(('Sales and count'!$G$3:$CC$3="Total")*(_xlpm.d&gt;=BR$6)*(_xlpm.d&lt;=BR$7),INDEX('Sales and count'!$G$4:$CC$300,$AJ137,0)))))</f>
        <v/>
      </c>
      <c r="BS137" s="350" t="str" cm="1">
        <f t="array" ref="BS137">IF(AQ137="","",IF($AJ137="",0,_xlfn.LET(_xlpm.d,IFERROR(--'Sales and count'!$G$2:$CC$2,0),SUMPRODUCT(('Sales and count'!$G$3:$CC$3="Total")*(_xlpm.d&gt;=BS$6)*(_xlpm.d&lt;=BS$7),INDEX('Sales and count'!$G$4:$CC$300,$AJ137,0)))))</f>
        <v/>
      </c>
      <c r="BT137" s="350" t="str" cm="1">
        <f t="array" ref="BT137">IF(AR137="","",IF($AJ137="",0,_xlfn.LET(_xlpm.d,IFERROR(--'Sales and count'!$G$2:$CC$2,0),SUMPRODUCT(('Sales and count'!$G$3:$CC$3="Total")*(_xlpm.d&gt;=BT$6)*(_xlpm.d&lt;=BT$7),INDEX('Sales and count'!$G$4:$CC$300,$AJ137,0)))))</f>
        <v/>
      </c>
      <c r="BU137" s="350" t="str" cm="1">
        <f t="array" ref="BU137">IF(AS137="","",IF($AJ137="",0,_xlfn.LET(_xlpm.d,IFERROR(--'Sales and count'!$G$2:$CC$2,0),SUMPRODUCT(('Sales and count'!$G$3:$CC$3="Total")*(_xlpm.d&gt;=BU$6)*(_xlpm.d&lt;=BU$7),INDEX('Sales and count'!$G$4:$CC$300,$AJ137,0)))))</f>
        <v/>
      </c>
      <c r="BV137" s="350" t="str" cm="1">
        <f t="array" ref="BV137">IF(AT137="","",IF($AJ137="",0,_xlfn.LET(_xlpm.d,IFERROR(--'Sales and count'!$G$2:$CC$2,0),SUMPRODUCT(('Sales and count'!$G$3:$CC$3="Total")*(_xlpm.d&gt;=BV$6)*(_xlpm.d&lt;=BV$7),INDEX('Sales and count'!$G$4:$CC$300,$AJ137,0)))))</f>
        <v/>
      </c>
      <c r="BW137" s="350" t="str" cm="1">
        <f t="array" ref="BW137">IF(AU137="","",IF($AJ137="",0,_xlfn.LET(_xlpm.d,IFERROR(--'Sales and count'!$G$2:$CC$2,0),SUMPRODUCT(('Sales and count'!$G$3:$CC$3="Total")*(_xlpm.d&gt;=BW$6)*(_xlpm.d&lt;=BW$7),INDEX('Sales and count'!$G$4:$CC$300,$AJ137,0)))))</f>
        <v/>
      </c>
      <c r="BX137" s="350" t="str" cm="1">
        <f t="array" ref="BX137">IF(AV137="","",IF($AJ137="",0,_xlfn.LET(_xlpm.d,IFERROR(--'Sales and count'!$G$2:$CC$2,0),SUMPRODUCT(('Sales and count'!$G$3:$CC$3="Total")*(_xlpm.d&gt;=BX$6)*(_xlpm.d&lt;=BX$7),INDEX('Sales and count'!$G$4:$CC$300,$AJ137,0)))))</f>
        <v/>
      </c>
      <c r="BY137" s="350" t="str" cm="1">
        <f t="array" ref="BY137">IF(AW137="","",IF($AJ137="",0,_xlfn.LET(_xlpm.d,IFERROR(--'Sales and count'!$G$2:$CC$2,0),SUMPRODUCT(('Sales and count'!$G$3:$CC$3="Total")*(_xlpm.d&gt;=BY$6)*(_xlpm.d&lt;=BY$7),INDEX('Sales and count'!$G$4:$CC$300,$AJ137,0)))))</f>
        <v/>
      </c>
      <c r="BZ137" s="350" t="str" cm="1">
        <f t="array" ref="BZ137">IF(AX137="","",IF($AJ137="",0,_xlfn.LET(_xlpm.d,IFERROR(--'Sales and count'!$G$2:$CC$2,0),SUMPRODUCT(('Sales and count'!$G$3:$CC$3="Total")*(_xlpm.d&gt;=BZ$6)*(_xlpm.d&lt;=BZ$7),INDEX('Sales and count'!$G$4:$CC$300,$AJ137,0)))))</f>
        <v/>
      </c>
    </row>
    <row r="138" spans="1:78" x14ac:dyDescent="0.25">
      <c r="A138" s="356"/>
      <c r="B138" s="356" t="str" cm="1">
        <f t="array" ref="B138">IF($A138="","",_xlfn.XLOOKUP($A138,TRIM(Footfall!$B$5:$B$301&amp;""),Footfall!$A$5:$A$301,""))</f>
        <v/>
      </c>
      <c r="C138" s="356" t="str" cm="1">
        <f t="array" ref="C138">IF($A138="","",_xlfn.XLOOKUP($A138,TRIM('Sales and count'!$A$4:$A$300&amp;""),'Sales and count'!$C$4:$C$300,"Not set"))</f>
        <v/>
      </c>
      <c r="D138" s="357" t="str">
        <f t="shared" si="81"/>
        <v/>
      </c>
      <c r="E138" s="357" t="str">
        <f t="shared" si="82"/>
        <v/>
      </c>
      <c r="F138" s="357" t="str">
        <f t="shared" si="83"/>
        <v/>
      </c>
      <c r="G138" s="357" t="str">
        <f t="shared" si="84"/>
        <v/>
      </c>
      <c r="H138" s="357" t="str">
        <f t="shared" si="85"/>
        <v/>
      </c>
      <c r="I138" s="357" t="str">
        <f t="shared" si="86"/>
        <v/>
      </c>
      <c r="J138" s="357" t="str">
        <f t="shared" si="87"/>
        <v/>
      </c>
      <c r="K138" s="357" t="str">
        <f t="shared" si="88"/>
        <v/>
      </c>
      <c r="L138" s="357" t="str">
        <f t="shared" si="89"/>
        <v/>
      </c>
      <c r="M138" s="357" t="str">
        <f t="shared" si="90"/>
        <v/>
      </c>
      <c r="N138" s="357" t="str">
        <f t="shared" si="91"/>
        <v/>
      </c>
      <c r="O138" s="357" t="str">
        <f t="shared" si="92"/>
        <v/>
      </c>
      <c r="P138" s="357" t="str">
        <f t="shared" si="93"/>
        <v/>
      </c>
      <c r="Q138" s="357" t="str">
        <f t="shared" si="94"/>
        <v/>
      </c>
      <c r="R138" s="358" t="str" cm="1">
        <f t="array" ref="R138">IF(OR($A138="",D138=""),"",IFERROR(LOOKUP(2,1/(E138:Q138&lt;&gt;""),E138:Q138)-D138,""))</f>
        <v/>
      </c>
      <c r="S138" s="349"/>
      <c r="T138" s="362" t="str">
        <f t="shared" si="95"/>
        <v/>
      </c>
      <c r="U138" s="362" t="str">
        <f t="shared" si="96"/>
        <v/>
      </c>
      <c r="V138" s="362" t="str">
        <f t="shared" si="97"/>
        <v/>
      </c>
      <c r="W138" s="362" t="str">
        <f t="shared" si="98"/>
        <v/>
      </c>
      <c r="X138" s="362" t="str">
        <f t="shared" si="99"/>
        <v/>
      </c>
      <c r="Y138" s="362" t="str">
        <f t="shared" si="100"/>
        <v/>
      </c>
      <c r="Z138" s="362" t="str">
        <f t="shared" si="101"/>
        <v/>
      </c>
      <c r="AA138" s="362" t="str">
        <f t="shared" si="102"/>
        <v/>
      </c>
      <c r="AB138" s="362" t="str">
        <f t="shared" si="103"/>
        <v/>
      </c>
      <c r="AC138" s="362" t="str">
        <f t="shared" si="104"/>
        <v/>
      </c>
      <c r="AD138" s="362" t="str">
        <f t="shared" si="105"/>
        <v/>
      </c>
      <c r="AE138" s="362" t="str">
        <f t="shared" si="106"/>
        <v/>
      </c>
      <c r="AF138" s="362" t="str">
        <f t="shared" si="107"/>
        <v/>
      </c>
      <c r="AG138" s="362" t="str">
        <f t="shared" si="108"/>
        <v/>
      </c>
      <c r="AH138" s="363" t="str" cm="1">
        <f t="array" ref="AH138">IF(OR($A138="",T138=""),"",IFERROR(LOOKUP(2,1/(U138:AG138&lt;&gt;""),U138:AG138)-T138,""))</f>
        <v/>
      </c>
      <c r="AI138" s="349"/>
      <c r="AJ138" s="349" t="str" cm="1">
        <f t="array" ref="AJ138">IF($A138="","",IFERROR(MATCH($A138,TRIM('Sales and count'!$A$4:$A$300&amp;""),0),""))</f>
        <v/>
      </c>
      <c r="AK138" s="350" t="str" cm="1">
        <f t="array" ref="AK138">IF(OR($A138="",AK$6=""),"",IFERROR(INDEX(Footfall!$C$5:$BZ$301,MATCH($A138,TRIM(Footfall!$B$5:$B$301&amp;""),0),AK$5),0))</f>
        <v/>
      </c>
      <c r="AL138" s="350" t="str" cm="1">
        <f t="array" ref="AL138">IF(OR($A138="",AL$6=""),"",IFERROR(INDEX(Footfall!$C$5:$BZ$301,MATCH($A138,TRIM(Footfall!$B$5:$B$301&amp;""),0),AL$5),0))</f>
        <v/>
      </c>
      <c r="AM138" s="350" t="str" cm="1">
        <f t="array" ref="AM138">IF(OR($A138="",AM$6=""),"",IFERROR(INDEX(Footfall!$C$5:$BZ$301,MATCH($A138,TRIM(Footfall!$B$5:$B$301&amp;""),0),AM$5),0))</f>
        <v/>
      </c>
      <c r="AN138" s="350" t="str" cm="1">
        <f t="array" ref="AN138">IF(OR($A138="",AN$6=""),"",IFERROR(INDEX(Footfall!$C$5:$BZ$301,MATCH($A138,TRIM(Footfall!$B$5:$B$301&amp;""),0),AN$5),0))</f>
        <v/>
      </c>
      <c r="AO138" s="350" t="str" cm="1">
        <f t="array" ref="AO138">IF(OR($A138="",AO$6=""),"",IFERROR(INDEX(Footfall!$C$5:$BZ$301,MATCH($A138,TRIM(Footfall!$B$5:$B$301&amp;""),0),AO$5),0))</f>
        <v/>
      </c>
      <c r="AP138" s="350" t="str" cm="1">
        <f t="array" ref="AP138">IF(OR($A138="",AP$6=""),"",IFERROR(INDEX(Footfall!$C$5:$BZ$301,MATCH($A138,TRIM(Footfall!$B$5:$B$301&amp;""),0),AP$5),0))</f>
        <v/>
      </c>
      <c r="AQ138" s="350" t="str" cm="1">
        <f t="array" ref="AQ138">IF(OR($A138="",AQ$6=""),"",IFERROR(INDEX(Footfall!$C$5:$BZ$301,MATCH($A138,TRIM(Footfall!$B$5:$B$301&amp;""),0),AQ$5),0))</f>
        <v/>
      </c>
      <c r="AR138" s="350" t="str" cm="1">
        <f t="array" ref="AR138">IF(OR($A138="",AR$6=""),"",IFERROR(INDEX(Footfall!$C$5:$BZ$301,MATCH($A138,TRIM(Footfall!$B$5:$B$301&amp;""),0),AR$5),0))</f>
        <v/>
      </c>
      <c r="AS138" s="350" t="str" cm="1">
        <f t="array" ref="AS138">IF(OR($A138="",AS$6=""),"",IFERROR(INDEX(Footfall!$C$5:$BZ$301,MATCH($A138,TRIM(Footfall!$B$5:$B$301&amp;""),0),AS$5),0))</f>
        <v/>
      </c>
      <c r="AT138" s="350" t="str" cm="1">
        <f t="array" ref="AT138">IF(OR($A138="",AT$6=""),"",IFERROR(INDEX(Footfall!$C$5:$BZ$301,MATCH($A138,TRIM(Footfall!$B$5:$B$301&amp;""),0),AT$5),0))</f>
        <v/>
      </c>
      <c r="AU138" s="350" t="str" cm="1">
        <f t="array" ref="AU138">IF(OR($A138="",AU$6=""),"",IFERROR(INDEX(Footfall!$C$5:$BZ$301,MATCH($A138,TRIM(Footfall!$B$5:$B$301&amp;""),0),AU$5),0))</f>
        <v/>
      </c>
      <c r="AV138" s="350" t="str" cm="1">
        <f t="array" ref="AV138">IF(OR($A138="",AV$6=""),"",IFERROR(INDEX(Footfall!$C$5:$BZ$301,MATCH($A138,TRIM(Footfall!$B$5:$B$301&amp;""),0),AV$5),0))</f>
        <v/>
      </c>
      <c r="AW138" s="350" t="str" cm="1">
        <f t="array" ref="AW138">IF(OR($A138="",AW$6=""),"",IFERROR(INDEX(Footfall!$C$5:$BZ$301,MATCH($A138,TRIM(Footfall!$B$5:$B$301&amp;""),0),AW$5),0))</f>
        <v/>
      </c>
      <c r="AX138" s="350" t="str" cm="1">
        <f t="array" ref="AX138">IF(OR($A138="",AX$6=""),"",IFERROR(INDEX(Footfall!$C$5:$BZ$301,MATCH($A138,TRIM(Footfall!$B$5:$B$301&amp;""),0),AX$5),0))</f>
        <v/>
      </c>
      <c r="AY138" s="350" t="str" cm="1">
        <f t="array" ref="AY138">IF(AK138="","",IF($AJ138="",0,_xlfn.LET(_xlpm.d,IFERROR(--'Sales and count'!$F$2:$CB$2,0),SUMPRODUCT(('Sales and count'!$G$3:$CC$3="Transactions")*(_xlpm.d&gt;=AY$6)*(_xlpm.d&lt;=AY$7),INDEX('Sales and count'!$G$4:$CC$300,$AJ138,0)))))</f>
        <v/>
      </c>
      <c r="AZ138" s="350" t="str" cm="1">
        <f t="array" ref="AZ138">IF(AL138="","",IF($AJ138="",0,_xlfn.LET(_xlpm.d,IFERROR(--'Sales and count'!$F$2:$CB$2,0),SUMPRODUCT(('Sales and count'!$G$3:$CC$3="Transactions")*(_xlpm.d&gt;=AZ$6)*(_xlpm.d&lt;=AZ$7),INDEX('Sales and count'!$G$4:$CC$300,$AJ138,0)))))</f>
        <v/>
      </c>
      <c r="BA138" s="350" t="str" cm="1">
        <f t="array" ref="BA138">IF(AM138="","",IF($AJ138="",0,_xlfn.LET(_xlpm.d,IFERROR(--'Sales and count'!$F$2:$CB$2,0),SUMPRODUCT(('Sales and count'!$G$3:$CC$3="Transactions")*(_xlpm.d&gt;=BA$6)*(_xlpm.d&lt;=BA$7),INDEX('Sales and count'!$G$4:$CC$300,$AJ138,0)))))</f>
        <v/>
      </c>
      <c r="BB138" s="350" t="str" cm="1">
        <f t="array" ref="BB138">IF(AN138="","",IF($AJ138="",0,_xlfn.LET(_xlpm.d,IFERROR(--'Sales and count'!$F$2:$CB$2,0),SUMPRODUCT(('Sales and count'!$G$3:$CC$3="Transactions")*(_xlpm.d&gt;=BB$6)*(_xlpm.d&lt;=BB$7),INDEX('Sales and count'!$G$4:$CC$300,$AJ138,0)))))</f>
        <v/>
      </c>
      <c r="BC138" s="350" t="str" cm="1">
        <f t="array" ref="BC138">IF(AO138="","",IF($AJ138="",0,_xlfn.LET(_xlpm.d,IFERROR(--'Sales and count'!$F$2:$CB$2,0),SUMPRODUCT(('Sales and count'!$G$3:$CC$3="Transactions")*(_xlpm.d&gt;=BC$6)*(_xlpm.d&lt;=BC$7),INDEX('Sales and count'!$G$4:$CC$300,$AJ138,0)))))</f>
        <v/>
      </c>
      <c r="BD138" s="350" t="str" cm="1">
        <f t="array" ref="BD138">IF(AP138="","",IF($AJ138="",0,_xlfn.LET(_xlpm.d,IFERROR(--'Sales and count'!$F$2:$CB$2,0),SUMPRODUCT(('Sales and count'!$G$3:$CC$3="Transactions")*(_xlpm.d&gt;=BD$6)*(_xlpm.d&lt;=BD$7),INDEX('Sales and count'!$G$4:$CC$300,$AJ138,0)))))</f>
        <v/>
      </c>
      <c r="BE138" s="350" t="str" cm="1">
        <f t="array" ref="BE138">IF(AQ138="","",IF($AJ138="",0,_xlfn.LET(_xlpm.d,IFERROR(--'Sales and count'!$F$2:$CB$2,0),SUMPRODUCT(('Sales and count'!$G$3:$CC$3="Transactions")*(_xlpm.d&gt;=BE$6)*(_xlpm.d&lt;=BE$7),INDEX('Sales and count'!$G$4:$CC$300,$AJ138,0)))))</f>
        <v/>
      </c>
      <c r="BF138" s="350" t="str" cm="1">
        <f t="array" ref="BF138">IF(AR138="","",IF($AJ138="",0,_xlfn.LET(_xlpm.d,IFERROR(--'Sales and count'!$F$2:$CB$2,0),SUMPRODUCT(('Sales and count'!$G$3:$CC$3="Transactions")*(_xlpm.d&gt;=BF$6)*(_xlpm.d&lt;=BF$7),INDEX('Sales and count'!$G$4:$CC$300,$AJ138,0)))))</f>
        <v/>
      </c>
      <c r="BG138" s="350" t="str" cm="1">
        <f t="array" ref="BG138">IF(AS138="","",IF($AJ138="",0,_xlfn.LET(_xlpm.d,IFERROR(--'Sales and count'!$F$2:$CB$2,0),SUMPRODUCT(('Sales and count'!$G$3:$CC$3="Transactions")*(_xlpm.d&gt;=BG$6)*(_xlpm.d&lt;=BG$7),INDEX('Sales and count'!$G$4:$CC$300,$AJ138,0)))))</f>
        <v/>
      </c>
      <c r="BH138" s="350" t="str" cm="1">
        <f t="array" ref="BH138">IF(AT138="","",IF($AJ138="",0,_xlfn.LET(_xlpm.d,IFERROR(--'Sales and count'!$F$2:$CB$2,0),SUMPRODUCT(('Sales and count'!$G$3:$CC$3="Transactions")*(_xlpm.d&gt;=BH$6)*(_xlpm.d&lt;=BH$7),INDEX('Sales and count'!$G$4:$CC$300,$AJ138,0)))))</f>
        <v/>
      </c>
      <c r="BI138" s="350" t="str" cm="1">
        <f t="array" ref="BI138">IF(AU138="","",IF($AJ138="",0,_xlfn.LET(_xlpm.d,IFERROR(--'Sales and count'!$F$2:$CB$2,0),SUMPRODUCT(('Sales and count'!$G$3:$CC$3="Transactions")*(_xlpm.d&gt;=BI$6)*(_xlpm.d&lt;=BI$7),INDEX('Sales and count'!$G$4:$CC$300,$AJ138,0)))))</f>
        <v/>
      </c>
      <c r="BJ138" s="350" t="str" cm="1">
        <f t="array" ref="BJ138">IF(AV138="","",IF($AJ138="",0,_xlfn.LET(_xlpm.d,IFERROR(--'Sales and count'!$F$2:$CB$2,0),SUMPRODUCT(('Sales and count'!$G$3:$CC$3="Transactions")*(_xlpm.d&gt;=BJ$6)*(_xlpm.d&lt;=BJ$7),INDEX('Sales and count'!$G$4:$CC$300,$AJ138,0)))))</f>
        <v/>
      </c>
      <c r="BK138" s="350" t="str" cm="1">
        <f t="array" ref="BK138">IF(AW138="","",IF($AJ138="",0,_xlfn.LET(_xlpm.d,IFERROR(--'Sales and count'!$F$2:$CB$2,0),SUMPRODUCT(('Sales and count'!$G$3:$CC$3="Transactions")*(_xlpm.d&gt;=BK$6)*(_xlpm.d&lt;=BK$7),INDEX('Sales and count'!$G$4:$CC$300,$AJ138,0)))))</f>
        <v/>
      </c>
      <c r="BL138" s="350" t="str" cm="1">
        <f t="array" ref="BL138">IF(AX138="","",IF($AJ138="",0,_xlfn.LET(_xlpm.d,IFERROR(--'Sales and count'!$F$2:$CB$2,0),SUMPRODUCT(('Sales and count'!$G$3:$CC$3="Transactions")*(_xlpm.d&gt;=BL$6)*(_xlpm.d&lt;=BL$7),INDEX('Sales and count'!$G$4:$CC$300,$AJ138,0)))))</f>
        <v/>
      </c>
      <c r="BM138" s="350" t="str" cm="1">
        <f t="array" ref="BM138">IF(AK138="","",IF($AJ138="",0,_xlfn.LET(_xlpm.d,IFERROR(--'Sales and count'!$G$2:$CC$2,0),SUMPRODUCT(('Sales and count'!$G$3:$CC$3="Total")*(_xlpm.d&gt;=BM$6)*(_xlpm.d&lt;=BM$7),INDEX('Sales and count'!$G$4:$CC$300,$AJ138,0)))))</f>
        <v/>
      </c>
      <c r="BN138" s="350" t="str" cm="1">
        <f t="array" ref="BN138">IF(AL138="","",IF($AJ138="",0,_xlfn.LET(_xlpm.d,IFERROR(--'Sales and count'!$G$2:$CC$2,0),SUMPRODUCT(('Sales and count'!$G$3:$CC$3="Total")*(_xlpm.d&gt;=BN$6)*(_xlpm.d&lt;=BN$7),INDEX('Sales and count'!$G$4:$CC$300,$AJ138,0)))))</f>
        <v/>
      </c>
      <c r="BO138" s="350" t="str" cm="1">
        <f t="array" ref="BO138">IF(AM138="","",IF($AJ138="",0,_xlfn.LET(_xlpm.d,IFERROR(--'Sales and count'!$G$2:$CC$2,0),SUMPRODUCT(('Sales and count'!$G$3:$CC$3="Total")*(_xlpm.d&gt;=BO$6)*(_xlpm.d&lt;=BO$7),INDEX('Sales and count'!$G$4:$CC$300,$AJ138,0)))))</f>
        <v/>
      </c>
      <c r="BP138" s="350" t="str" cm="1">
        <f t="array" ref="BP138">IF(AN138="","",IF($AJ138="",0,_xlfn.LET(_xlpm.d,IFERROR(--'Sales and count'!$G$2:$CC$2,0),SUMPRODUCT(('Sales and count'!$G$3:$CC$3="Total")*(_xlpm.d&gt;=BP$6)*(_xlpm.d&lt;=BP$7),INDEX('Sales and count'!$G$4:$CC$300,$AJ138,0)))))</f>
        <v/>
      </c>
      <c r="BQ138" s="350" t="str" cm="1">
        <f t="array" ref="BQ138">IF(AO138="","",IF($AJ138="",0,_xlfn.LET(_xlpm.d,IFERROR(--'Sales and count'!$G$2:$CC$2,0),SUMPRODUCT(('Sales and count'!$G$3:$CC$3="Total")*(_xlpm.d&gt;=BQ$6)*(_xlpm.d&lt;=BQ$7),INDEX('Sales and count'!$G$4:$CC$300,$AJ138,0)))))</f>
        <v/>
      </c>
      <c r="BR138" s="350" t="str" cm="1">
        <f t="array" ref="BR138">IF(AP138="","",IF($AJ138="",0,_xlfn.LET(_xlpm.d,IFERROR(--'Sales and count'!$G$2:$CC$2,0),SUMPRODUCT(('Sales and count'!$G$3:$CC$3="Total")*(_xlpm.d&gt;=BR$6)*(_xlpm.d&lt;=BR$7),INDEX('Sales and count'!$G$4:$CC$300,$AJ138,0)))))</f>
        <v/>
      </c>
      <c r="BS138" s="350" t="str" cm="1">
        <f t="array" ref="BS138">IF(AQ138="","",IF($AJ138="",0,_xlfn.LET(_xlpm.d,IFERROR(--'Sales and count'!$G$2:$CC$2,0),SUMPRODUCT(('Sales and count'!$G$3:$CC$3="Total")*(_xlpm.d&gt;=BS$6)*(_xlpm.d&lt;=BS$7),INDEX('Sales and count'!$G$4:$CC$300,$AJ138,0)))))</f>
        <v/>
      </c>
      <c r="BT138" s="350" t="str" cm="1">
        <f t="array" ref="BT138">IF(AR138="","",IF($AJ138="",0,_xlfn.LET(_xlpm.d,IFERROR(--'Sales and count'!$G$2:$CC$2,0),SUMPRODUCT(('Sales and count'!$G$3:$CC$3="Total")*(_xlpm.d&gt;=BT$6)*(_xlpm.d&lt;=BT$7),INDEX('Sales and count'!$G$4:$CC$300,$AJ138,0)))))</f>
        <v/>
      </c>
      <c r="BU138" s="350" t="str" cm="1">
        <f t="array" ref="BU138">IF(AS138="","",IF($AJ138="",0,_xlfn.LET(_xlpm.d,IFERROR(--'Sales and count'!$G$2:$CC$2,0),SUMPRODUCT(('Sales and count'!$G$3:$CC$3="Total")*(_xlpm.d&gt;=BU$6)*(_xlpm.d&lt;=BU$7),INDEX('Sales and count'!$G$4:$CC$300,$AJ138,0)))))</f>
        <v/>
      </c>
      <c r="BV138" s="350" t="str" cm="1">
        <f t="array" ref="BV138">IF(AT138="","",IF($AJ138="",0,_xlfn.LET(_xlpm.d,IFERROR(--'Sales and count'!$G$2:$CC$2,0),SUMPRODUCT(('Sales and count'!$G$3:$CC$3="Total")*(_xlpm.d&gt;=BV$6)*(_xlpm.d&lt;=BV$7),INDEX('Sales and count'!$G$4:$CC$300,$AJ138,0)))))</f>
        <v/>
      </c>
      <c r="BW138" s="350" t="str" cm="1">
        <f t="array" ref="BW138">IF(AU138="","",IF($AJ138="",0,_xlfn.LET(_xlpm.d,IFERROR(--'Sales and count'!$G$2:$CC$2,0),SUMPRODUCT(('Sales and count'!$G$3:$CC$3="Total")*(_xlpm.d&gt;=BW$6)*(_xlpm.d&lt;=BW$7),INDEX('Sales and count'!$G$4:$CC$300,$AJ138,0)))))</f>
        <v/>
      </c>
      <c r="BX138" s="350" t="str" cm="1">
        <f t="array" ref="BX138">IF(AV138="","",IF($AJ138="",0,_xlfn.LET(_xlpm.d,IFERROR(--'Sales and count'!$G$2:$CC$2,0),SUMPRODUCT(('Sales and count'!$G$3:$CC$3="Total")*(_xlpm.d&gt;=BX$6)*(_xlpm.d&lt;=BX$7),INDEX('Sales and count'!$G$4:$CC$300,$AJ138,0)))))</f>
        <v/>
      </c>
      <c r="BY138" s="350" t="str" cm="1">
        <f t="array" ref="BY138">IF(AW138="","",IF($AJ138="",0,_xlfn.LET(_xlpm.d,IFERROR(--'Sales and count'!$G$2:$CC$2,0),SUMPRODUCT(('Sales and count'!$G$3:$CC$3="Total")*(_xlpm.d&gt;=BY$6)*(_xlpm.d&lt;=BY$7),INDEX('Sales and count'!$G$4:$CC$300,$AJ138,0)))))</f>
        <v/>
      </c>
      <c r="BZ138" s="350" t="str" cm="1">
        <f t="array" ref="BZ138">IF(AX138="","",IF($AJ138="",0,_xlfn.LET(_xlpm.d,IFERROR(--'Sales and count'!$G$2:$CC$2,0),SUMPRODUCT(('Sales and count'!$G$3:$CC$3="Total")*(_xlpm.d&gt;=BZ$6)*(_xlpm.d&lt;=BZ$7),INDEX('Sales and count'!$G$4:$CC$300,$AJ138,0)))))</f>
        <v/>
      </c>
    </row>
    <row r="139" spans="1:78" x14ac:dyDescent="0.25">
      <c r="A139" s="356"/>
      <c r="B139" s="356" t="str" cm="1">
        <f t="array" ref="B139">IF($A139="","",_xlfn.XLOOKUP($A139,TRIM(Footfall!$B$5:$B$301&amp;""),Footfall!$A$5:$A$301,""))</f>
        <v/>
      </c>
      <c r="C139" s="356" t="str" cm="1">
        <f t="array" ref="C139">IF($A139="","",_xlfn.XLOOKUP($A139,TRIM('Sales and count'!$A$4:$A$300&amp;""),'Sales and count'!$C$4:$C$300,"Not set"))</f>
        <v/>
      </c>
      <c r="D139" s="357" t="str">
        <f t="shared" si="81"/>
        <v/>
      </c>
      <c r="E139" s="357" t="str">
        <f t="shared" si="82"/>
        <v/>
      </c>
      <c r="F139" s="357" t="str">
        <f t="shared" si="83"/>
        <v/>
      </c>
      <c r="G139" s="357" t="str">
        <f t="shared" si="84"/>
        <v/>
      </c>
      <c r="H139" s="357" t="str">
        <f t="shared" si="85"/>
        <v/>
      </c>
      <c r="I139" s="357" t="str">
        <f t="shared" si="86"/>
        <v/>
      </c>
      <c r="J139" s="357" t="str">
        <f t="shared" si="87"/>
        <v/>
      </c>
      <c r="K139" s="357" t="str">
        <f t="shared" si="88"/>
        <v/>
      </c>
      <c r="L139" s="357" t="str">
        <f t="shared" si="89"/>
        <v/>
      </c>
      <c r="M139" s="357" t="str">
        <f t="shared" si="90"/>
        <v/>
      </c>
      <c r="N139" s="357" t="str">
        <f t="shared" si="91"/>
        <v/>
      </c>
      <c r="O139" s="357" t="str">
        <f t="shared" si="92"/>
        <v/>
      </c>
      <c r="P139" s="357" t="str">
        <f t="shared" si="93"/>
        <v/>
      </c>
      <c r="Q139" s="357" t="str">
        <f t="shared" si="94"/>
        <v/>
      </c>
      <c r="R139" s="358" t="str" cm="1">
        <f t="array" ref="R139">IF(OR($A139="",D139=""),"",IFERROR(LOOKUP(2,1/(E139:Q139&lt;&gt;""),E139:Q139)-D139,""))</f>
        <v/>
      </c>
      <c r="S139" s="349"/>
      <c r="T139" s="362" t="str">
        <f t="shared" si="95"/>
        <v/>
      </c>
      <c r="U139" s="362" t="str">
        <f t="shared" si="96"/>
        <v/>
      </c>
      <c r="V139" s="362" t="str">
        <f t="shared" si="97"/>
        <v/>
      </c>
      <c r="W139" s="362" t="str">
        <f t="shared" si="98"/>
        <v/>
      </c>
      <c r="X139" s="362" t="str">
        <f t="shared" si="99"/>
        <v/>
      </c>
      <c r="Y139" s="362" t="str">
        <f t="shared" si="100"/>
        <v/>
      </c>
      <c r="Z139" s="362" t="str">
        <f t="shared" si="101"/>
        <v/>
      </c>
      <c r="AA139" s="362" t="str">
        <f t="shared" si="102"/>
        <v/>
      </c>
      <c r="AB139" s="362" t="str">
        <f t="shared" si="103"/>
        <v/>
      </c>
      <c r="AC139" s="362" t="str">
        <f t="shared" si="104"/>
        <v/>
      </c>
      <c r="AD139" s="362" t="str">
        <f t="shared" si="105"/>
        <v/>
      </c>
      <c r="AE139" s="362" t="str">
        <f t="shared" si="106"/>
        <v/>
      </c>
      <c r="AF139" s="362" t="str">
        <f t="shared" si="107"/>
        <v/>
      </c>
      <c r="AG139" s="362" t="str">
        <f t="shared" si="108"/>
        <v/>
      </c>
      <c r="AH139" s="363" t="str" cm="1">
        <f t="array" ref="AH139">IF(OR($A139="",T139=""),"",IFERROR(LOOKUP(2,1/(U139:AG139&lt;&gt;""),U139:AG139)-T139,""))</f>
        <v/>
      </c>
      <c r="AI139" s="349"/>
      <c r="AJ139" s="349" t="str" cm="1">
        <f t="array" ref="AJ139">IF($A139="","",IFERROR(MATCH($A139,TRIM('Sales and count'!$A$4:$A$300&amp;""),0),""))</f>
        <v/>
      </c>
      <c r="AK139" s="350" t="str" cm="1">
        <f t="array" ref="AK139">IF(OR($A139="",AK$6=""),"",IFERROR(INDEX(Footfall!$C$5:$BZ$301,MATCH($A139,TRIM(Footfall!$B$5:$B$301&amp;""),0),AK$5),0))</f>
        <v/>
      </c>
      <c r="AL139" s="350" t="str" cm="1">
        <f t="array" ref="AL139">IF(OR($A139="",AL$6=""),"",IFERROR(INDEX(Footfall!$C$5:$BZ$301,MATCH($A139,TRIM(Footfall!$B$5:$B$301&amp;""),0),AL$5),0))</f>
        <v/>
      </c>
      <c r="AM139" s="350" t="str" cm="1">
        <f t="array" ref="AM139">IF(OR($A139="",AM$6=""),"",IFERROR(INDEX(Footfall!$C$5:$BZ$301,MATCH($A139,TRIM(Footfall!$B$5:$B$301&amp;""),0),AM$5),0))</f>
        <v/>
      </c>
      <c r="AN139" s="350" t="str" cm="1">
        <f t="array" ref="AN139">IF(OR($A139="",AN$6=""),"",IFERROR(INDEX(Footfall!$C$5:$BZ$301,MATCH($A139,TRIM(Footfall!$B$5:$B$301&amp;""),0),AN$5),0))</f>
        <v/>
      </c>
      <c r="AO139" s="350" t="str" cm="1">
        <f t="array" ref="AO139">IF(OR($A139="",AO$6=""),"",IFERROR(INDEX(Footfall!$C$5:$BZ$301,MATCH($A139,TRIM(Footfall!$B$5:$B$301&amp;""),0),AO$5),0))</f>
        <v/>
      </c>
      <c r="AP139" s="350" t="str" cm="1">
        <f t="array" ref="AP139">IF(OR($A139="",AP$6=""),"",IFERROR(INDEX(Footfall!$C$5:$BZ$301,MATCH($A139,TRIM(Footfall!$B$5:$B$301&amp;""),0),AP$5),0))</f>
        <v/>
      </c>
      <c r="AQ139" s="350" t="str" cm="1">
        <f t="array" ref="AQ139">IF(OR($A139="",AQ$6=""),"",IFERROR(INDEX(Footfall!$C$5:$BZ$301,MATCH($A139,TRIM(Footfall!$B$5:$B$301&amp;""),0),AQ$5),0))</f>
        <v/>
      </c>
      <c r="AR139" s="350" t="str" cm="1">
        <f t="array" ref="AR139">IF(OR($A139="",AR$6=""),"",IFERROR(INDEX(Footfall!$C$5:$BZ$301,MATCH($A139,TRIM(Footfall!$B$5:$B$301&amp;""),0),AR$5),0))</f>
        <v/>
      </c>
      <c r="AS139" s="350" t="str" cm="1">
        <f t="array" ref="AS139">IF(OR($A139="",AS$6=""),"",IFERROR(INDEX(Footfall!$C$5:$BZ$301,MATCH($A139,TRIM(Footfall!$B$5:$B$301&amp;""),0),AS$5),0))</f>
        <v/>
      </c>
      <c r="AT139" s="350" t="str" cm="1">
        <f t="array" ref="AT139">IF(OR($A139="",AT$6=""),"",IFERROR(INDEX(Footfall!$C$5:$BZ$301,MATCH($A139,TRIM(Footfall!$B$5:$B$301&amp;""),0),AT$5),0))</f>
        <v/>
      </c>
      <c r="AU139" s="350" t="str" cm="1">
        <f t="array" ref="AU139">IF(OR($A139="",AU$6=""),"",IFERROR(INDEX(Footfall!$C$5:$BZ$301,MATCH($A139,TRIM(Footfall!$B$5:$B$301&amp;""),0),AU$5),0))</f>
        <v/>
      </c>
      <c r="AV139" s="350" t="str" cm="1">
        <f t="array" ref="AV139">IF(OR($A139="",AV$6=""),"",IFERROR(INDEX(Footfall!$C$5:$BZ$301,MATCH($A139,TRIM(Footfall!$B$5:$B$301&amp;""),0),AV$5),0))</f>
        <v/>
      </c>
      <c r="AW139" s="350" t="str" cm="1">
        <f t="array" ref="AW139">IF(OR($A139="",AW$6=""),"",IFERROR(INDEX(Footfall!$C$5:$BZ$301,MATCH($A139,TRIM(Footfall!$B$5:$B$301&amp;""),0),AW$5),0))</f>
        <v/>
      </c>
      <c r="AX139" s="350" t="str" cm="1">
        <f t="array" ref="AX139">IF(OR($A139="",AX$6=""),"",IFERROR(INDEX(Footfall!$C$5:$BZ$301,MATCH($A139,TRIM(Footfall!$B$5:$B$301&amp;""),0),AX$5),0))</f>
        <v/>
      </c>
      <c r="AY139" s="350" t="str" cm="1">
        <f t="array" ref="AY139">IF(AK139="","",IF($AJ139="",0,_xlfn.LET(_xlpm.d,IFERROR(--'Sales and count'!$F$2:$CB$2,0),SUMPRODUCT(('Sales and count'!$G$3:$CC$3="Transactions")*(_xlpm.d&gt;=AY$6)*(_xlpm.d&lt;=AY$7),INDEX('Sales and count'!$G$4:$CC$300,$AJ139,0)))))</f>
        <v/>
      </c>
      <c r="AZ139" s="350" t="str" cm="1">
        <f t="array" ref="AZ139">IF(AL139="","",IF($AJ139="",0,_xlfn.LET(_xlpm.d,IFERROR(--'Sales and count'!$F$2:$CB$2,0),SUMPRODUCT(('Sales and count'!$G$3:$CC$3="Transactions")*(_xlpm.d&gt;=AZ$6)*(_xlpm.d&lt;=AZ$7),INDEX('Sales and count'!$G$4:$CC$300,$AJ139,0)))))</f>
        <v/>
      </c>
      <c r="BA139" s="350" t="str" cm="1">
        <f t="array" ref="BA139">IF(AM139="","",IF($AJ139="",0,_xlfn.LET(_xlpm.d,IFERROR(--'Sales and count'!$F$2:$CB$2,0),SUMPRODUCT(('Sales and count'!$G$3:$CC$3="Transactions")*(_xlpm.d&gt;=BA$6)*(_xlpm.d&lt;=BA$7),INDEX('Sales and count'!$G$4:$CC$300,$AJ139,0)))))</f>
        <v/>
      </c>
      <c r="BB139" s="350" t="str" cm="1">
        <f t="array" ref="BB139">IF(AN139="","",IF($AJ139="",0,_xlfn.LET(_xlpm.d,IFERROR(--'Sales and count'!$F$2:$CB$2,0),SUMPRODUCT(('Sales and count'!$G$3:$CC$3="Transactions")*(_xlpm.d&gt;=BB$6)*(_xlpm.d&lt;=BB$7),INDEX('Sales and count'!$G$4:$CC$300,$AJ139,0)))))</f>
        <v/>
      </c>
      <c r="BC139" s="350" t="str" cm="1">
        <f t="array" ref="BC139">IF(AO139="","",IF($AJ139="",0,_xlfn.LET(_xlpm.d,IFERROR(--'Sales and count'!$F$2:$CB$2,0),SUMPRODUCT(('Sales and count'!$G$3:$CC$3="Transactions")*(_xlpm.d&gt;=BC$6)*(_xlpm.d&lt;=BC$7),INDEX('Sales and count'!$G$4:$CC$300,$AJ139,0)))))</f>
        <v/>
      </c>
      <c r="BD139" s="350" t="str" cm="1">
        <f t="array" ref="BD139">IF(AP139="","",IF($AJ139="",0,_xlfn.LET(_xlpm.d,IFERROR(--'Sales and count'!$F$2:$CB$2,0),SUMPRODUCT(('Sales and count'!$G$3:$CC$3="Transactions")*(_xlpm.d&gt;=BD$6)*(_xlpm.d&lt;=BD$7),INDEX('Sales and count'!$G$4:$CC$300,$AJ139,0)))))</f>
        <v/>
      </c>
      <c r="BE139" s="350" t="str" cm="1">
        <f t="array" ref="BE139">IF(AQ139="","",IF($AJ139="",0,_xlfn.LET(_xlpm.d,IFERROR(--'Sales and count'!$F$2:$CB$2,0),SUMPRODUCT(('Sales and count'!$G$3:$CC$3="Transactions")*(_xlpm.d&gt;=BE$6)*(_xlpm.d&lt;=BE$7),INDEX('Sales and count'!$G$4:$CC$300,$AJ139,0)))))</f>
        <v/>
      </c>
      <c r="BF139" s="350" t="str" cm="1">
        <f t="array" ref="BF139">IF(AR139="","",IF($AJ139="",0,_xlfn.LET(_xlpm.d,IFERROR(--'Sales and count'!$F$2:$CB$2,0),SUMPRODUCT(('Sales and count'!$G$3:$CC$3="Transactions")*(_xlpm.d&gt;=BF$6)*(_xlpm.d&lt;=BF$7),INDEX('Sales and count'!$G$4:$CC$300,$AJ139,0)))))</f>
        <v/>
      </c>
      <c r="BG139" s="350" t="str" cm="1">
        <f t="array" ref="BG139">IF(AS139="","",IF($AJ139="",0,_xlfn.LET(_xlpm.d,IFERROR(--'Sales and count'!$F$2:$CB$2,0),SUMPRODUCT(('Sales and count'!$G$3:$CC$3="Transactions")*(_xlpm.d&gt;=BG$6)*(_xlpm.d&lt;=BG$7),INDEX('Sales and count'!$G$4:$CC$300,$AJ139,0)))))</f>
        <v/>
      </c>
      <c r="BH139" s="350" t="str" cm="1">
        <f t="array" ref="BH139">IF(AT139="","",IF($AJ139="",0,_xlfn.LET(_xlpm.d,IFERROR(--'Sales and count'!$F$2:$CB$2,0),SUMPRODUCT(('Sales and count'!$G$3:$CC$3="Transactions")*(_xlpm.d&gt;=BH$6)*(_xlpm.d&lt;=BH$7),INDEX('Sales and count'!$G$4:$CC$300,$AJ139,0)))))</f>
        <v/>
      </c>
      <c r="BI139" s="350" t="str" cm="1">
        <f t="array" ref="BI139">IF(AU139="","",IF($AJ139="",0,_xlfn.LET(_xlpm.d,IFERROR(--'Sales and count'!$F$2:$CB$2,0),SUMPRODUCT(('Sales and count'!$G$3:$CC$3="Transactions")*(_xlpm.d&gt;=BI$6)*(_xlpm.d&lt;=BI$7),INDEX('Sales and count'!$G$4:$CC$300,$AJ139,0)))))</f>
        <v/>
      </c>
      <c r="BJ139" s="350" t="str" cm="1">
        <f t="array" ref="BJ139">IF(AV139="","",IF($AJ139="",0,_xlfn.LET(_xlpm.d,IFERROR(--'Sales and count'!$F$2:$CB$2,0),SUMPRODUCT(('Sales and count'!$G$3:$CC$3="Transactions")*(_xlpm.d&gt;=BJ$6)*(_xlpm.d&lt;=BJ$7),INDEX('Sales and count'!$G$4:$CC$300,$AJ139,0)))))</f>
        <v/>
      </c>
      <c r="BK139" s="350" t="str" cm="1">
        <f t="array" ref="BK139">IF(AW139="","",IF($AJ139="",0,_xlfn.LET(_xlpm.d,IFERROR(--'Sales and count'!$F$2:$CB$2,0),SUMPRODUCT(('Sales and count'!$G$3:$CC$3="Transactions")*(_xlpm.d&gt;=BK$6)*(_xlpm.d&lt;=BK$7),INDEX('Sales and count'!$G$4:$CC$300,$AJ139,0)))))</f>
        <v/>
      </c>
      <c r="BL139" s="350" t="str" cm="1">
        <f t="array" ref="BL139">IF(AX139="","",IF($AJ139="",0,_xlfn.LET(_xlpm.d,IFERROR(--'Sales and count'!$F$2:$CB$2,0),SUMPRODUCT(('Sales and count'!$G$3:$CC$3="Transactions")*(_xlpm.d&gt;=BL$6)*(_xlpm.d&lt;=BL$7),INDEX('Sales and count'!$G$4:$CC$300,$AJ139,0)))))</f>
        <v/>
      </c>
      <c r="BM139" s="350" t="str" cm="1">
        <f t="array" ref="BM139">IF(AK139="","",IF($AJ139="",0,_xlfn.LET(_xlpm.d,IFERROR(--'Sales and count'!$G$2:$CC$2,0),SUMPRODUCT(('Sales and count'!$G$3:$CC$3="Total")*(_xlpm.d&gt;=BM$6)*(_xlpm.d&lt;=BM$7),INDEX('Sales and count'!$G$4:$CC$300,$AJ139,0)))))</f>
        <v/>
      </c>
      <c r="BN139" s="350" t="str" cm="1">
        <f t="array" ref="BN139">IF(AL139="","",IF($AJ139="",0,_xlfn.LET(_xlpm.d,IFERROR(--'Sales and count'!$G$2:$CC$2,0),SUMPRODUCT(('Sales and count'!$G$3:$CC$3="Total")*(_xlpm.d&gt;=BN$6)*(_xlpm.d&lt;=BN$7),INDEX('Sales and count'!$G$4:$CC$300,$AJ139,0)))))</f>
        <v/>
      </c>
      <c r="BO139" s="350" t="str" cm="1">
        <f t="array" ref="BO139">IF(AM139="","",IF($AJ139="",0,_xlfn.LET(_xlpm.d,IFERROR(--'Sales and count'!$G$2:$CC$2,0),SUMPRODUCT(('Sales and count'!$G$3:$CC$3="Total")*(_xlpm.d&gt;=BO$6)*(_xlpm.d&lt;=BO$7),INDEX('Sales and count'!$G$4:$CC$300,$AJ139,0)))))</f>
        <v/>
      </c>
      <c r="BP139" s="350" t="str" cm="1">
        <f t="array" ref="BP139">IF(AN139="","",IF($AJ139="",0,_xlfn.LET(_xlpm.d,IFERROR(--'Sales and count'!$G$2:$CC$2,0),SUMPRODUCT(('Sales and count'!$G$3:$CC$3="Total")*(_xlpm.d&gt;=BP$6)*(_xlpm.d&lt;=BP$7),INDEX('Sales and count'!$G$4:$CC$300,$AJ139,0)))))</f>
        <v/>
      </c>
      <c r="BQ139" s="350" t="str" cm="1">
        <f t="array" ref="BQ139">IF(AO139="","",IF($AJ139="",0,_xlfn.LET(_xlpm.d,IFERROR(--'Sales and count'!$G$2:$CC$2,0),SUMPRODUCT(('Sales and count'!$G$3:$CC$3="Total")*(_xlpm.d&gt;=BQ$6)*(_xlpm.d&lt;=BQ$7),INDEX('Sales and count'!$G$4:$CC$300,$AJ139,0)))))</f>
        <v/>
      </c>
      <c r="BR139" s="350" t="str" cm="1">
        <f t="array" ref="BR139">IF(AP139="","",IF($AJ139="",0,_xlfn.LET(_xlpm.d,IFERROR(--'Sales and count'!$G$2:$CC$2,0),SUMPRODUCT(('Sales and count'!$G$3:$CC$3="Total")*(_xlpm.d&gt;=BR$6)*(_xlpm.d&lt;=BR$7),INDEX('Sales and count'!$G$4:$CC$300,$AJ139,0)))))</f>
        <v/>
      </c>
      <c r="BS139" s="350" t="str" cm="1">
        <f t="array" ref="BS139">IF(AQ139="","",IF($AJ139="",0,_xlfn.LET(_xlpm.d,IFERROR(--'Sales and count'!$G$2:$CC$2,0),SUMPRODUCT(('Sales and count'!$G$3:$CC$3="Total")*(_xlpm.d&gt;=BS$6)*(_xlpm.d&lt;=BS$7),INDEX('Sales and count'!$G$4:$CC$300,$AJ139,0)))))</f>
        <v/>
      </c>
      <c r="BT139" s="350" t="str" cm="1">
        <f t="array" ref="BT139">IF(AR139="","",IF($AJ139="",0,_xlfn.LET(_xlpm.d,IFERROR(--'Sales and count'!$G$2:$CC$2,0),SUMPRODUCT(('Sales and count'!$G$3:$CC$3="Total")*(_xlpm.d&gt;=BT$6)*(_xlpm.d&lt;=BT$7),INDEX('Sales and count'!$G$4:$CC$300,$AJ139,0)))))</f>
        <v/>
      </c>
      <c r="BU139" s="350" t="str" cm="1">
        <f t="array" ref="BU139">IF(AS139="","",IF($AJ139="",0,_xlfn.LET(_xlpm.d,IFERROR(--'Sales and count'!$G$2:$CC$2,0),SUMPRODUCT(('Sales and count'!$G$3:$CC$3="Total")*(_xlpm.d&gt;=BU$6)*(_xlpm.d&lt;=BU$7),INDEX('Sales and count'!$G$4:$CC$300,$AJ139,0)))))</f>
        <v/>
      </c>
      <c r="BV139" s="350" t="str" cm="1">
        <f t="array" ref="BV139">IF(AT139="","",IF($AJ139="",0,_xlfn.LET(_xlpm.d,IFERROR(--'Sales and count'!$G$2:$CC$2,0),SUMPRODUCT(('Sales and count'!$G$3:$CC$3="Total")*(_xlpm.d&gt;=BV$6)*(_xlpm.d&lt;=BV$7),INDEX('Sales and count'!$G$4:$CC$300,$AJ139,0)))))</f>
        <v/>
      </c>
      <c r="BW139" s="350" t="str" cm="1">
        <f t="array" ref="BW139">IF(AU139="","",IF($AJ139="",0,_xlfn.LET(_xlpm.d,IFERROR(--'Sales and count'!$G$2:$CC$2,0),SUMPRODUCT(('Sales and count'!$G$3:$CC$3="Total")*(_xlpm.d&gt;=BW$6)*(_xlpm.d&lt;=BW$7),INDEX('Sales and count'!$G$4:$CC$300,$AJ139,0)))))</f>
        <v/>
      </c>
      <c r="BX139" s="350" t="str" cm="1">
        <f t="array" ref="BX139">IF(AV139="","",IF($AJ139="",0,_xlfn.LET(_xlpm.d,IFERROR(--'Sales and count'!$G$2:$CC$2,0),SUMPRODUCT(('Sales and count'!$G$3:$CC$3="Total")*(_xlpm.d&gt;=BX$6)*(_xlpm.d&lt;=BX$7),INDEX('Sales and count'!$G$4:$CC$300,$AJ139,0)))))</f>
        <v/>
      </c>
      <c r="BY139" s="350" t="str" cm="1">
        <f t="array" ref="BY139">IF(AW139="","",IF($AJ139="",0,_xlfn.LET(_xlpm.d,IFERROR(--'Sales and count'!$G$2:$CC$2,0),SUMPRODUCT(('Sales and count'!$G$3:$CC$3="Total")*(_xlpm.d&gt;=BY$6)*(_xlpm.d&lt;=BY$7),INDEX('Sales and count'!$G$4:$CC$300,$AJ139,0)))))</f>
        <v/>
      </c>
      <c r="BZ139" s="350" t="str" cm="1">
        <f t="array" ref="BZ139">IF(AX139="","",IF($AJ139="",0,_xlfn.LET(_xlpm.d,IFERROR(--'Sales and count'!$G$2:$CC$2,0),SUMPRODUCT(('Sales and count'!$G$3:$CC$3="Total")*(_xlpm.d&gt;=BZ$6)*(_xlpm.d&lt;=BZ$7),INDEX('Sales and count'!$G$4:$CC$300,$AJ139,0)))))</f>
        <v/>
      </c>
    </row>
    <row r="140" spans="1:78" x14ac:dyDescent="0.25">
      <c r="A140" s="356"/>
      <c r="B140" s="356" t="str" cm="1">
        <f t="array" ref="B140">IF($A140="","",_xlfn.XLOOKUP($A140,TRIM(Footfall!$B$5:$B$301&amp;""),Footfall!$A$5:$A$301,""))</f>
        <v/>
      </c>
      <c r="C140" s="356" t="str" cm="1">
        <f t="array" ref="C140">IF($A140="","",_xlfn.XLOOKUP($A140,TRIM('Sales and count'!$A$4:$A$300&amp;""),'Sales and count'!$C$4:$C$300,"Not set"))</f>
        <v/>
      </c>
      <c r="D140" s="357" t="str">
        <f t="shared" si="81"/>
        <v/>
      </c>
      <c r="E140" s="357" t="str">
        <f t="shared" si="82"/>
        <v/>
      </c>
      <c r="F140" s="357" t="str">
        <f t="shared" si="83"/>
        <v/>
      </c>
      <c r="G140" s="357" t="str">
        <f t="shared" si="84"/>
        <v/>
      </c>
      <c r="H140" s="357" t="str">
        <f t="shared" si="85"/>
        <v/>
      </c>
      <c r="I140" s="357" t="str">
        <f t="shared" si="86"/>
        <v/>
      </c>
      <c r="J140" s="357" t="str">
        <f t="shared" si="87"/>
        <v/>
      </c>
      <c r="K140" s="357" t="str">
        <f t="shared" si="88"/>
        <v/>
      </c>
      <c r="L140" s="357" t="str">
        <f t="shared" si="89"/>
        <v/>
      </c>
      <c r="M140" s="357" t="str">
        <f t="shared" si="90"/>
        <v/>
      </c>
      <c r="N140" s="357" t="str">
        <f t="shared" si="91"/>
        <v/>
      </c>
      <c r="O140" s="357" t="str">
        <f t="shared" si="92"/>
        <v/>
      </c>
      <c r="P140" s="357" t="str">
        <f t="shared" si="93"/>
        <v/>
      </c>
      <c r="Q140" s="357" t="str">
        <f t="shared" si="94"/>
        <v/>
      </c>
      <c r="R140" s="358" t="str" cm="1">
        <f t="array" ref="R140">IF(OR($A140="",D140=""),"",IFERROR(LOOKUP(2,1/(E140:Q140&lt;&gt;""),E140:Q140)-D140,""))</f>
        <v/>
      </c>
      <c r="S140" s="349"/>
      <c r="T140" s="362" t="str">
        <f t="shared" si="95"/>
        <v/>
      </c>
      <c r="U140" s="362" t="str">
        <f t="shared" si="96"/>
        <v/>
      </c>
      <c r="V140" s="362" t="str">
        <f t="shared" si="97"/>
        <v/>
      </c>
      <c r="W140" s="362" t="str">
        <f t="shared" si="98"/>
        <v/>
      </c>
      <c r="X140" s="362" t="str">
        <f t="shared" si="99"/>
        <v/>
      </c>
      <c r="Y140" s="362" t="str">
        <f t="shared" si="100"/>
        <v/>
      </c>
      <c r="Z140" s="362" t="str">
        <f t="shared" si="101"/>
        <v/>
      </c>
      <c r="AA140" s="362" t="str">
        <f t="shared" si="102"/>
        <v/>
      </c>
      <c r="AB140" s="362" t="str">
        <f t="shared" si="103"/>
        <v/>
      </c>
      <c r="AC140" s="362" t="str">
        <f t="shared" si="104"/>
        <v/>
      </c>
      <c r="AD140" s="362" t="str">
        <f t="shared" si="105"/>
        <v/>
      </c>
      <c r="AE140" s="362" t="str">
        <f t="shared" si="106"/>
        <v/>
      </c>
      <c r="AF140" s="362" t="str">
        <f t="shared" si="107"/>
        <v/>
      </c>
      <c r="AG140" s="362" t="str">
        <f t="shared" si="108"/>
        <v/>
      </c>
      <c r="AH140" s="363" t="str" cm="1">
        <f t="array" ref="AH140">IF(OR($A140="",T140=""),"",IFERROR(LOOKUP(2,1/(U140:AG140&lt;&gt;""),U140:AG140)-T140,""))</f>
        <v/>
      </c>
      <c r="AI140" s="349"/>
      <c r="AJ140" s="349" t="str" cm="1">
        <f t="array" ref="AJ140">IF($A140="","",IFERROR(MATCH($A140,TRIM('Sales and count'!$A$4:$A$300&amp;""),0),""))</f>
        <v/>
      </c>
      <c r="AK140" s="350" t="str" cm="1">
        <f t="array" ref="AK140">IF(OR($A140="",AK$6=""),"",IFERROR(INDEX(Footfall!$C$5:$BZ$301,MATCH($A140,TRIM(Footfall!$B$5:$B$301&amp;""),0),AK$5),0))</f>
        <v/>
      </c>
      <c r="AL140" s="350" t="str" cm="1">
        <f t="array" ref="AL140">IF(OR($A140="",AL$6=""),"",IFERROR(INDEX(Footfall!$C$5:$BZ$301,MATCH($A140,TRIM(Footfall!$B$5:$B$301&amp;""),0),AL$5),0))</f>
        <v/>
      </c>
      <c r="AM140" s="350" t="str" cm="1">
        <f t="array" ref="AM140">IF(OR($A140="",AM$6=""),"",IFERROR(INDEX(Footfall!$C$5:$BZ$301,MATCH($A140,TRIM(Footfall!$B$5:$B$301&amp;""),0),AM$5),0))</f>
        <v/>
      </c>
      <c r="AN140" s="350" t="str" cm="1">
        <f t="array" ref="AN140">IF(OR($A140="",AN$6=""),"",IFERROR(INDEX(Footfall!$C$5:$BZ$301,MATCH($A140,TRIM(Footfall!$B$5:$B$301&amp;""),0),AN$5),0))</f>
        <v/>
      </c>
      <c r="AO140" s="350" t="str" cm="1">
        <f t="array" ref="AO140">IF(OR($A140="",AO$6=""),"",IFERROR(INDEX(Footfall!$C$5:$BZ$301,MATCH($A140,TRIM(Footfall!$B$5:$B$301&amp;""),0),AO$5),0))</f>
        <v/>
      </c>
      <c r="AP140" s="350" t="str" cm="1">
        <f t="array" ref="AP140">IF(OR($A140="",AP$6=""),"",IFERROR(INDEX(Footfall!$C$5:$BZ$301,MATCH($A140,TRIM(Footfall!$B$5:$B$301&amp;""),0),AP$5),0))</f>
        <v/>
      </c>
      <c r="AQ140" s="350" t="str" cm="1">
        <f t="array" ref="AQ140">IF(OR($A140="",AQ$6=""),"",IFERROR(INDEX(Footfall!$C$5:$BZ$301,MATCH($A140,TRIM(Footfall!$B$5:$B$301&amp;""),0),AQ$5),0))</f>
        <v/>
      </c>
      <c r="AR140" s="350" t="str" cm="1">
        <f t="array" ref="AR140">IF(OR($A140="",AR$6=""),"",IFERROR(INDEX(Footfall!$C$5:$BZ$301,MATCH($A140,TRIM(Footfall!$B$5:$B$301&amp;""),0),AR$5),0))</f>
        <v/>
      </c>
      <c r="AS140" s="350" t="str" cm="1">
        <f t="array" ref="AS140">IF(OR($A140="",AS$6=""),"",IFERROR(INDEX(Footfall!$C$5:$BZ$301,MATCH($A140,TRIM(Footfall!$B$5:$B$301&amp;""),0),AS$5),0))</f>
        <v/>
      </c>
      <c r="AT140" s="350" t="str" cm="1">
        <f t="array" ref="AT140">IF(OR($A140="",AT$6=""),"",IFERROR(INDEX(Footfall!$C$5:$BZ$301,MATCH($A140,TRIM(Footfall!$B$5:$B$301&amp;""),0),AT$5),0))</f>
        <v/>
      </c>
      <c r="AU140" s="350" t="str" cm="1">
        <f t="array" ref="AU140">IF(OR($A140="",AU$6=""),"",IFERROR(INDEX(Footfall!$C$5:$BZ$301,MATCH($A140,TRIM(Footfall!$B$5:$B$301&amp;""),0),AU$5),0))</f>
        <v/>
      </c>
      <c r="AV140" s="350" t="str" cm="1">
        <f t="array" ref="AV140">IF(OR($A140="",AV$6=""),"",IFERROR(INDEX(Footfall!$C$5:$BZ$301,MATCH($A140,TRIM(Footfall!$B$5:$B$301&amp;""),0),AV$5),0))</f>
        <v/>
      </c>
      <c r="AW140" s="350" t="str" cm="1">
        <f t="array" ref="AW140">IF(OR($A140="",AW$6=""),"",IFERROR(INDEX(Footfall!$C$5:$BZ$301,MATCH($A140,TRIM(Footfall!$B$5:$B$301&amp;""),0),AW$5),0))</f>
        <v/>
      </c>
      <c r="AX140" s="350" t="str" cm="1">
        <f t="array" ref="AX140">IF(OR($A140="",AX$6=""),"",IFERROR(INDEX(Footfall!$C$5:$BZ$301,MATCH($A140,TRIM(Footfall!$B$5:$B$301&amp;""),0),AX$5),0))</f>
        <v/>
      </c>
      <c r="AY140" s="350" t="str" cm="1">
        <f t="array" ref="AY140">IF(AK140="","",IF($AJ140="",0,_xlfn.LET(_xlpm.d,IFERROR(--'Sales and count'!$F$2:$CB$2,0),SUMPRODUCT(('Sales and count'!$G$3:$CC$3="Transactions")*(_xlpm.d&gt;=AY$6)*(_xlpm.d&lt;=AY$7),INDEX('Sales and count'!$G$4:$CC$300,$AJ140,0)))))</f>
        <v/>
      </c>
      <c r="AZ140" s="350" t="str" cm="1">
        <f t="array" ref="AZ140">IF(AL140="","",IF($AJ140="",0,_xlfn.LET(_xlpm.d,IFERROR(--'Sales and count'!$F$2:$CB$2,0),SUMPRODUCT(('Sales and count'!$G$3:$CC$3="Transactions")*(_xlpm.d&gt;=AZ$6)*(_xlpm.d&lt;=AZ$7),INDEX('Sales and count'!$G$4:$CC$300,$AJ140,0)))))</f>
        <v/>
      </c>
      <c r="BA140" s="350" t="str" cm="1">
        <f t="array" ref="BA140">IF(AM140="","",IF($AJ140="",0,_xlfn.LET(_xlpm.d,IFERROR(--'Sales and count'!$F$2:$CB$2,0),SUMPRODUCT(('Sales and count'!$G$3:$CC$3="Transactions")*(_xlpm.d&gt;=BA$6)*(_xlpm.d&lt;=BA$7),INDEX('Sales and count'!$G$4:$CC$300,$AJ140,0)))))</f>
        <v/>
      </c>
      <c r="BB140" s="350" t="str" cm="1">
        <f t="array" ref="BB140">IF(AN140="","",IF($AJ140="",0,_xlfn.LET(_xlpm.d,IFERROR(--'Sales and count'!$F$2:$CB$2,0),SUMPRODUCT(('Sales and count'!$G$3:$CC$3="Transactions")*(_xlpm.d&gt;=BB$6)*(_xlpm.d&lt;=BB$7),INDEX('Sales and count'!$G$4:$CC$300,$AJ140,0)))))</f>
        <v/>
      </c>
      <c r="BC140" s="350" t="str" cm="1">
        <f t="array" ref="BC140">IF(AO140="","",IF($AJ140="",0,_xlfn.LET(_xlpm.d,IFERROR(--'Sales and count'!$F$2:$CB$2,0),SUMPRODUCT(('Sales and count'!$G$3:$CC$3="Transactions")*(_xlpm.d&gt;=BC$6)*(_xlpm.d&lt;=BC$7),INDEX('Sales and count'!$G$4:$CC$300,$AJ140,0)))))</f>
        <v/>
      </c>
      <c r="BD140" s="350" t="str" cm="1">
        <f t="array" ref="BD140">IF(AP140="","",IF($AJ140="",0,_xlfn.LET(_xlpm.d,IFERROR(--'Sales and count'!$F$2:$CB$2,0),SUMPRODUCT(('Sales and count'!$G$3:$CC$3="Transactions")*(_xlpm.d&gt;=BD$6)*(_xlpm.d&lt;=BD$7),INDEX('Sales and count'!$G$4:$CC$300,$AJ140,0)))))</f>
        <v/>
      </c>
      <c r="BE140" s="350" t="str" cm="1">
        <f t="array" ref="BE140">IF(AQ140="","",IF($AJ140="",0,_xlfn.LET(_xlpm.d,IFERROR(--'Sales and count'!$F$2:$CB$2,0),SUMPRODUCT(('Sales and count'!$G$3:$CC$3="Transactions")*(_xlpm.d&gt;=BE$6)*(_xlpm.d&lt;=BE$7),INDEX('Sales and count'!$G$4:$CC$300,$AJ140,0)))))</f>
        <v/>
      </c>
      <c r="BF140" s="350" t="str" cm="1">
        <f t="array" ref="BF140">IF(AR140="","",IF($AJ140="",0,_xlfn.LET(_xlpm.d,IFERROR(--'Sales and count'!$F$2:$CB$2,0),SUMPRODUCT(('Sales and count'!$G$3:$CC$3="Transactions")*(_xlpm.d&gt;=BF$6)*(_xlpm.d&lt;=BF$7),INDEX('Sales and count'!$G$4:$CC$300,$AJ140,0)))))</f>
        <v/>
      </c>
      <c r="BG140" s="350" t="str" cm="1">
        <f t="array" ref="BG140">IF(AS140="","",IF($AJ140="",0,_xlfn.LET(_xlpm.d,IFERROR(--'Sales and count'!$F$2:$CB$2,0),SUMPRODUCT(('Sales and count'!$G$3:$CC$3="Transactions")*(_xlpm.d&gt;=BG$6)*(_xlpm.d&lt;=BG$7),INDEX('Sales and count'!$G$4:$CC$300,$AJ140,0)))))</f>
        <v/>
      </c>
      <c r="BH140" s="350" t="str" cm="1">
        <f t="array" ref="BH140">IF(AT140="","",IF($AJ140="",0,_xlfn.LET(_xlpm.d,IFERROR(--'Sales and count'!$F$2:$CB$2,0),SUMPRODUCT(('Sales and count'!$G$3:$CC$3="Transactions")*(_xlpm.d&gt;=BH$6)*(_xlpm.d&lt;=BH$7),INDEX('Sales and count'!$G$4:$CC$300,$AJ140,0)))))</f>
        <v/>
      </c>
      <c r="BI140" s="350" t="str" cm="1">
        <f t="array" ref="BI140">IF(AU140="","",IF($AJ140="",0,_xlfn.LET(_xlpm.d,IFERROR(--'Sales and count'!$F$2:$CB$2,0),SUMPRODUCT(('Sales and count'!$G$3:$CC$3="Transactions")*(_xlpm.d&gt;=BI$6)*(_xlpm.d&lt;=BI$7),INDEX('Sales and count'!$G$4:$CC$300,$AJ140,0)))))</f>
        <v/>
      </c>
      <c r="BJ140" s="350" t="str" cm="1">
        <f t="array" ref="BJ140">IF(AV140="","",IF($AJ140="",0,_xlfn.LET(_xlpm.d,IFERROR(--'Sales and count'!$F$2:$CB$2,0),SUMPRODUCT(('Sales and count'!$G$3:$CC$3="Transactions")*(_xlpm.d&gt;=BJ$6)*(_xlpm.d&lt;=BJ$7),INDEX('Sales and count'!$G$4:$CC$300,$AJ140,0)))))</f>
        <v/>
      </c>
      <c r="BK140" s="350" t="str" cm="1">
        <f t="array" ref="BK140">IF(AW140="","",IF($AJ140="",0,_xlfn.LET(_xlpm.d,IFERROR(--'Sales and count'!$F$2:$CB$2,0),SUMPRODUCT(('Sales and count'!$G$3:$CC$3="Transactions")*(_xlpm.d&gt;=BK$6)*(_xlpm.d&lt;=BK$7),INDEX('Sales and count'!$G$4:$CC$300,$AJ140,0)))))</f>
        <v/>
      </c>
      <c r="BL140" s="350" t="str" cm="1">
        <f t="array" ref="BL140">IF(AX140="","",IF($AJ140="",0,_xlfn.LET(_xlpm.d,IFERROR(--'Sales and count'!$F$2:$CB$2,0),SUMPRODUCT(('Sales and count'!$G$3:$CC$3="Transactions")*(_xlpm.d&gt;=BL$6)*(_xlpm.d&lt;=BL$7),INDEX('Sales and count'!$G$4:$CC$300,$AJ140,0)))))</f>
        <v/>
      </c>
      <c r="BM140" s="350" t="str" cm="1">
        <f t="array" ref="BM140">IF(AK140="","",IF($AJ140="",0,_xlfn.LET(_xlpm.d,IFERROR(--'Sales and count'!$G$2:$CC$2,0),SUMPRODUCT(('Sales and count'!$G$3:$CC$3="Total")*(_xlpm.d&gt;=BM$6)*(_xlpm.d&lt;=BM$7),INDEX('Sales and count'!$G$4:$CC$300,$AJ140,0)))))</f>
        <v/>
      </c>
      <c r="BN140" s="350" t="str" cm="1">
        <f t="array" ref="BN140">IF(AL140="","",IF($AJ140="",0,_xlfn.LET(_xlpm.d,IFERROR(--'Sales and count'!$G$2:$CC$2,0),SUMPRODUCT(('Sales and count'!$G$3:$CC$3="Total")*(_xlpm.d&gt;=BN$6)*(_xlpm.d&lt;=BN$7),INDEX('Sales and count'!$G$4:$CC$300,$AJ140,0)))))</f>
        <v/>
      </c>
      <c r="BO140" s="350" t="str" cm="1">
        <f t="array" ref="BO140">IF(AM140="","",IF($AJ140="",0,_xlfn.LET(_xlpm.d,IFERROR(--'Sales and count'!$G$2:$CC$2,0),SUMPRODUCT(('Sales and count'!$G$3:$CC$3="Total")*(_xlpm.d&gt;=BO$6)*(_xlpm.d&lt;=BO$7),INDEX('Sales and count'!$G$4:$CC$300,$AJ140,0)))))</f>
        <v/>
      </c>
      <c r="BP140" s="350" t="str" cm="1">
        <f t="array" ref="BP140">IF(AN140="","",IF($AJ140="",0,_xlfn.LET(_xlpm.d,IFERROR(--'Sales and count'!$G$2:$CC$2,0),SUMPRODUCT(('Sales and count'!$G$3:$CC$3="Total")*(_xlpm.d&gt;=BP$6)*(_xlpm.d&lt;=BP$7),INDEX('Sales and count'!$G$4:$CC$300,$AJ140,0)))))</f>
        <v/>
      </c>
      <c r="BQ140" s="350" t="str" cm="1">
        <f t="array" ref="BQ140">IF(AO140="","",IF($AJ140="",0,_xlfn.LET(_xlpm.d,IFERROR(--'Sales and count'!$G$2:$CC$2,0),SUMPRODUCT(('Sales and count'!$G$3:$CC$3="Total")*(_xlpm.d&gt;=BQ$6)*(_xlpm.d&lt;=BQ$7),INDEX('Sales and count'!$G$4:$CC$300,$AJ140,0)))))</f>
        <v/>
      </c>
      <c r="BR140" s="350" t="str" cm="1">
        <f t="array" ref="BR140">IF(AP140="","",IF($AJ140="",0,_xlfn.LET(_xlpm.d,IFERROR(--'Sales and count'!$G$2:$CC$2,0),SUMPRODUCT(('Sales and count'!$G$3:$CC$3="Total")*(_xlpm.d&gt;=BR$6)*(_xlpm.d&lt;=BR$7),INDEX('Sales and count'!$G$4:$CC$300,$AJ140,0)))))</f>
        <v/>
      </c>
      <c r="BS140" s="350" t="str" cm="1">
        <f t="array" ref="BS140">IF(AQ140="","",IF($AJ140="",0,_xlfn.LET(_xlpm.d,IFERROR(--'Sales and count'!$G$2:$CC$2,0),SUMPRODUCT(('Sales and count'!$G$3:$CC$3="Total")*(_xlpm.d&gt;=BS$6)*(_xlpm.d&lt;=BS$7),INDEX('Sales and count'!$G$4:$CC$300,$AJ140,0)))))</f>
        <v/>
      </c>
      <c r="BT140" s="350" t="str" cm="1">
        <f t="array" ref="BT140">IF(AR140="","",IF($AJ140="",0,_xlfn.LET(_xlpm.d,IFERROR(--'Sales and count'!$G$2:$CC$2,0),SUMPRODUCT(('Sales and count'!$G$3:$CC$3="Total")*(_xlpm.d&gt;=BT$6)*(_xlpm.d&lt;=BT$7),INDEX('Sales and count'!$G$4:$CC$300,$AJ140,0)))))</f>
        <v/>
      </c>
      <c r="BU140" s="350" t="str" cm="1">
        <f t="array" ref="BU140">IF(AS140="","",IF($AJ140="",0,_xlfn.LET(_xlpm.d,IFERROR(--'Sales and count'!$G$2:$CC$2,0),SUMPRODUCT(('Sales and count'!$G$3:$CC$3="Total")*(_xlpm.d&gt;=BU$6)*(_xlpm.d&lt;=BU$7),INDEX('Sales and count'!$G$4:$CC$300,$AJ140,0)))))</f>
        <v/>
      </c>
      <c r="BV140" s="350" t="str" cm="1">
        <f t="array" ref="BV140">IF(AT140="","",IF($AJ140="",0,_xlfn.LET(_xlpm.d,IFERROR(--'Sales and count'!$G$2:$CC$2,0),SUMPRODUCT(('Sales and count'!$G$3:$CC$3="Total")*(_xlpm.d&gt;=BV$6)*(_xlpm.d&lt;=BV$7),INDEX('Sales and count'!$G$4:$CC$300,$AJ140,0)))))</f>
        <v/>
      </c>
      <c r="BW140" s="350" t="str" cm="1">
        <f t="array" ref="BW140">IF(AU140="","",IF($AJ140="",0,_xlfn.LET(_xlpm.d,IFERROR(--'Sales and count'!$G$2:$CC$2,0),SUMPRODUCT(('Sales and count'!$G$3:$CC$3="Total")*(_xlpm.d&gt;=BW$6)*(_xlpm.d&lt;=BW$7),INDEX('Sales and count'!$G$4:$CC$300,$AJ140,0)))))</f>
        <v/>
      </c>
      <c r="BX140" s="350" t="str" cm="1">
        <f t="array" ref="BX140">IF(AV140="","",IF($AJ140="",0,_xlfn.LET(_xlpm.d,IFERROR(--'Sales and count'!$G$2:$CC$2,0),SUMPRODUCT(('Sales and count'!$G$3:$CC$3="Total")*(_xlpm.d&gt;=BX$6)*(_xlpm.d&lt;=BX$7),INDEX('Sales and count'!$G$4:$CC$300,$AJ140,0)))))</f>
        <v/>
      </c>
      <c r="BY140" s="350" t="str" cm="1">
        <f t="array" ref="BY140">IF(AW140="","",IF($AJ140="",0,_xlfn.LET(_xlpm.d,IFERROR(--'Sales and count'!$G$2:$CC$2,0),SUMPRODUCT(('Sales and count'!$G$3:$CC$3="Total")*(_xlpm.d&gt;=BY$6)*(_xlpm.d&lt;=BY$7),INDEX('Sales and count'!$G$4:$CC$300,$AJ140,0)))))</f>
        <v/>
      </c>
      <c r="BZ140" s="350" t="str" cm="1">
        <f t="array" ref="BZ140">IF(AX140="","",IF($AJ140="",0,_xlfn.LET(_xlpm.d,IFERROR(--'Sales and count'!$G$2:$CC$2,0),SUMPRODUCT(('Sales and count'!$G$3:$CC$3="Total")*(_xlpm.d&gt;=BZ$6)*(_xlpm.d&lt;=BZ$7),INDEX('Sales and count'!$G$4:$CC$300,$AJ140,0)))))</f>
        <v/>
      </c>
    </row>
    <row r="141" spans="1:78" x14ac:dyDescent="0.25">
      <c r="A141" s="356"/>
      <c r="B141" s="356" t="str" cm="1">
        <f t="array" ref="B141">IF($A141="","",_xlfn.XLOOKUP($A141,TRIM(Footfall!$B$5:$B$301&amp;""),Footfall!$A$5:$A$301,""))</f>
        <v/>
      </c>
      <c r="C141" s="356" t="str" cm="1">
        <f t="array" ref="C141">IF($A141="","",_xlfn.XLOOKUP($A141,TRIM('Sales and count'!$A$4:$A$300&amp;""),'Sales and count'!$C$4:$C$300,"Not set"))</f>
        <v/>
      </c>
      <c r="D141" s="357" t="str">
        <f t="shared" si="81"/>
        <v/>
      </c>
      <c r="E141" s="357" t="str">
        <f t="shared" si="82"/>
        <v/>
      </c>
      <c r="F141" s="357" t="str">
        <f t="shared" si="83"/>
        <v/>
      </c>
      <c r="G141" s="357" t="str">
        <f t="shared" si="84"/>
        <v/>
      </c>
      <c r="H141" s="357" t="str">
        <f t="shared" si="85"/>
        <v/>
      </c>
      <c r="I141" s="357" t="str">
        <f t="shared" si="86"/>
        <v/>
      </c>
      <c r="J141" s="357" t="str">
        <f t="shared" si="87"/>
        <v/>
      </c>
      <c r="K141" s="357" t="str">
        <f t="shared" si="88"/>
        <v/>
      </c>
      <c r="L141" s="357" t="str">
        <f t="shared" si="89"/>
        <v/>
      </c>
      <c r="M141" s="357" t="str">
        <f t="shared" si="90"/>
        <v/>
      </c>
      <c r="N141" s="357" t="str">
        <f t="shared" si="91"/>
        <v/>
      </c>
      <c r="O141" s="357" t="str">
        <f t="shared" si="92"/>
        <v/>
      </c>
      <c r="P141" s="357" t="str">
        <f t="shared" si="93"/>
        <v/>
      </c>
      <c r="Q141" s="357" t="str">
        <f t="shared" si="94"/>
        <v/>
      </c>
      <c r="R141" s="358" t="str" cm="1">
        <f t="array" ref="R141">IF(OR($A141="",D141=""),"",IFERROR(LOOKUP(2,1/(E141:Q141&lt;&gt;""),E141:Q141)-D141,""))</f>
        <v/>
      </c>
      <c r="S141" s="349"/>
      <c r="T141" s="362" t="str">
        <f t="shared" si="95"/>
        <v/>
      </c>
      <c r="U141" s="362" t="str">
        <f t="shared" si="96"/>
        <v/>
      </c>
      <c r="V141" s="362" t="str">
        <f t="shared" si="97"/>
        <v/>
      </c>
      <c r="W141" s="362" t="str">
        <f t="shared" si="98"/>
        <v/>
      </c>
      <c r="X141" s="362" t="str">
        <f t="shared" si="99"/>
        <v/>
      </c>
      <c r="Y141" s="362" t="str">
        <f t="shared" si="100"/>
        <v/>
      </c>
      <c r="Z141" s="362" t="str">
        <f t="shared" si="101"/>
        <v/>
      </c>
      <c r="AA141" s="362" t="str">
        <f t="shared" si="102"/>
        <v/>
      </c>
      <c r="AB141" s="362" t="str">
        <f t="shared" si="103"/>
        <v/>
      </c>
      <c r="AC141" s="362" t="str">
        <f t="shared" si="104"/>
        <v/>
      </c>
      <c r="AD141" s="362" t="str">
        <f t="shared" si="105"/>
        <v/>
      </c>
      <c r="AE141" s="362" t="str">
        <f t="shared" si="106"/>
        <v/>
      </c>
      <c r="AF141" s="362" t="str">
        <f t="shared" si="107"/>
        <v/>
      </c>
      <c r="AG141" s="362" t="str">
        <f t="shared" si="108"/>
        <v/>
      </c>
      <c r="AH141" s="363" t="str" cm="1">
        <f t="array" ref="AH141">IF(OR($A141="",T141=""),"",IFERROR(LOOKUP(2,1/(U141:AG141&lt;&gt;""),U141:AG141)-T141,""))</f>
        <v/>
      </c>
      <c r="AI141" s="349"/>
      <c r="AJ141" s="349" t="str" cm="1">
        <f t="array" ref="AJ141">IF($A141="","",IFERROR(MATCH($A141,TRIM('Sales and count'!$A$4:$A$300&amp;""),0),""))</f>
        <v/>
      </c>
      <c r="AK141" s="350" t="str" cm="1">
        <f t="array" ref="AK141">IF(OR($A141="",AK$6=""),"",IFERROR(INDEX(Footfall!$C$5:$BZ$301,MATCH($A141,TRIM(Footfall!$B$5:$B$301&amp;""),0),AK$5),0))</f>
        <v/>
      </c>
      <c r="AL141" s="350" t="str" cm="1">
        <f t="array" ref="AL141">IF(OR($A141="",AL$6=""),"",IFERROR(INDEX(Footfall!$C$5:$BZ$301,MATCH($A141,TRIM(Footfall!$B$5:$B$301&amp;""),0),AL$5),0))</f>
        <v/>
      </c>
      <c r="AM141" s="350" t="str" cm="1">
        <f t="array" ref="AM141">IF(OR($A141="",AM$6=""),"",IFERROR(INDEX(Footfall!$C$5:$BZ$301,MATCH($A141,TRIM(Footfall!$B$5:$B$301&amp;""),0),AM$5),0))</f>
        <v/>
      </c>
      <c r="AN141" s="350" t="str" cm="1">
        <f t="array" ref="AN141">IF(OR($A141="",AN$6=""),"",IFERROR(INDEX(Footfall!$C$5:$BZ$301,MATCH($A141,TRIM(Footfall!$B$5:$B$301&amp;""),0),AN$5),0))</f>
        <v/>
      </c>
      <c r="AO141" s="350" t="str" cm="1">
        <f t="array" ref="AO141">IF(OR($A141="",AO$6=""),"",IFERROR(INDEX(Footfall!$C$5:$BZ$301,MATCH($A141,TRIM(Footfall!$B$5:$B$301&amp;""),0),AO$5),0))</f>
        <v/>
      </c>
      <c r="AP141" s="350" t="str" cm="1">
        <f t="array" ref="AP141">IF(OR($A141="",AP$6=""),"",IFERROR(INDEX(Footfall!$C$5:$BZ$301,MATCH($A141,TRIM(Footfall!$B$5:$B$301&amp;""),0),AP$5),0))</f>
        <v/>
      </c>
      <c r="AQ141" s="350" t="str" cm="1">
        <f t="array" ref="AQ141">IF(OR($A141="",AQ$6=""),"",IFERROR(INDEX(Footfall!$C$5:$BZ$301,MATCH($A141,TRIM(Footfall!$B$5:$B$301&amp;""),0),AQ$5),0))</f>
        <v/>
      </c>
      <c r="AR141" s="350" t="str" cm="1">
        <f t="array" ref="AR141">IF(OR($A141="",AR$6=""),"",IFERROR(INDEX(Footfall!$C$5:$BZ$301,MATCH($A141,TRIM(Footfall!$B$5:$B$301&amp;""),0),AR$5),0))</f>
        <v/>
      </c>
      <c r="AS141" s="350" t="str" cm="1">
        <f t="array" ref="AS141">IF(OR($A141="",AS$6=""),"",IFERROR(INDEX(Footfall!$C$5:$BZ$301,MATCH($A141,TRIM(Footfall!$B$5:$B$301&amp;""),0),AS$5),0))</f>
        <v/>
      </c>
      <c r="AT141" s="350" t="str" cm="1">
        <f t="array" ref="AT141">IF(OR($A141="",AT$6=""),"",IFERROR(INDEX(Footfall!$C$5:$BZ$301,MATCH($A141,TRIM(Footfall!$B$5:$B$301&amp;""),0),AT$5),0))</f>
        <v/>
      </c>
      <c r="AU141" s="350" t="str" cm="1">
        <f t="array" ref="AU141">IF(OR($A141="",AU$6=""),"",IFERROR(INDEX(Footfall!$C$5:$BZ$301,MATCH($A141,TRIM(Footfall!$B$5:$B$301&amp;""),0),AU$5),0))</f>
        <v/>
      </c>
      <c r="AV141" s="350" t="str" cm="1">
        <f t="array" ref="AV141">IF(OR($A141="",AV$6=""),"",IFERROR(INDEX(Footfall!$C$5:$BZ$301,MATCH($A141,TRIM(Footfall!$B$5:$B$301&amp;""),0),AV$5),0))</f>
        <v/>
      </c>
      <c r="AW141" s="350" t="str" cm="1">
        <f t="array" ref="AW141">IF(OR($A141="",AW$6=""),"",IFERROR(INDEX(Footfall!$C$5:$BZ$301,MATCH($A141,TRIM(Footfall!$B$5:$B$301&amp;""),0),AW$5),0))</f>
        <v/>
      </c>
      <c r="AX141" s="350" t="str" cm="1">
        <f t="array" ref="AX141">IF(OR($A141="",AX$6=""),"",IFERROR(INDEX(Footfall!$C$5:$BZ$301,MATCH($A141,TRIM(Footfall!$B$5:$B$301&amp;""),0),AX$5),0))</f>
        <v/>
      </c>
      <c r="AY141" s="350" t="str" cm="1">
        <f t="array" ref="AY141">IF(AK141="","",IF($AJ141="",0,_xlfn.LET(_xlpm.d,IFERROR(--'Sales and count'!$F$2:$CB$2,0),SUMPRODUCT(('Sales and count'!$G$3:$CC$3="Transactions")*(_xlpm.d&gt;=AY$6)*(_xlpm.d&lt;=AY$7),INDEX('Sales and count'!$G$4:$CC$300,$AJ141,0)))))</f>
        <v/>
      </c>
      <c r="AZ141" s="350" t="str" cm="1">
        <f t="array" ref="AZ141">IF(AL141="","",IF($AJ141="",0,_xlfn.LET(_xlpm.d,IFERROR(--'Sales and count'!$F$2:$CB$2,0),SUMPRODUCT(('Sales and count'!$G$3:$CC$3="Transactions")*(_xlpm.d&gt;=AZ$6)*(_xlpm.d&lt;=AZ$7),INDEX('Sales and count'!$G$4:$CC$300,$AJ141,0)))))</f>
        <v/>
      </c>
      <c r="BA141" s="350" t="str" cm="1">
        <f t="array" ref="BA141">IF(AM141="","",IF($AJ141="",0,_xlfn.LET(_xlpm.d,IFERROR(--'Sales and count'!$F$2:$CB$2,0),SUMPRODUCT(('Sales and count'!$G$3:$CC$3="Transactions")*(_xlpm.d&gt;=BA$6)*(_xlpm.d&lt;=BA$7),INDEX('Sales and count'!$G$4:$CC$300,$AJ141,0)))))</f>
        <v/>
      </c>
      <c r="BB141" s="350" t="str" cm="1">
        <f t="array" ref="BB141">IF(AN141="","",IF($AJ141="",0,_xlfn.LET(_xlpm.d,IFERROR(--'Sales and count'!$F$2:$CB$2,0),SUMPRODUCT(('Sales and count'!$G$3:$CC$3="Transactions")*(_xlpm.d&gt;=BB$6)*(_xlpm.d&lt;=BB$7),INDEX('Sales and count'!$G$4:$CC$300,$AJ141,0)))))</f>
        <v/>
      </c>
      <c r="BC141" s="350" t="str" cm="1">
        <f t="array" ref="BC141">IF(AO141="","",IF($AJ141="",0,_xlfn.LET(_xlpm.d,IFERROR(--'Sales and count'!$F$2:$CB$2,0),SUMPRODUCT(('Sales and count'!$G$3:$CC$3="Transactions")*(_xlpm.d&gt;=BC$6)*(_xlpm.d&lt;=BC$7),INDEX('Sales and count'!$G$4:$CC$300,$AJ141,0)))))</f>
        <v/>
      </c>
      <c r="BD141" s="350" t="str" cm="1">
        <f t="array" ref="BD141">IF(AP141="","",IF($AJ141="",0,_xlfn.LET(_xlpm.d,IFERROR(--'Sales and count'!$F$2:$CB$2,0),SUMPRODUCT(('Sales and count'!$G$3:$CC$3="Transactions")*(_xlpm.d&gt;=BD$6)*(_xlpm.d&lt;=BD$7),INDEX('Sales and count'!$G$4:$CC$300,$AJ141,0)))))</f>
        <v/>
      </c>
      <c r="BE141" s="350" t="str" cm="1">
        <f t="array" ref="BE141">IF(AQ141="","",IF($AJ141="",0,_xlfn.LET(_xlpm.d,IFERROR(--'Sales and count'!$F$2:$CB$2,0),SUMPRODUCT(('Sales and count'!$G$3:$CC$3="Transactions")*(_xlpm.d&gt;=BE$6)*(_xlpm.d&lt;=BE$7),INDEX('Sales and count'!$G$4:$CC$300,$AJ141,0)))))</f>
        <v/>
      </c>
      <c r="BF141" s="350" t="str" cm="1">
        <f t="array" ref="BF141">IF(AR141="","",IF($AJ141="",0,_xlfn.LET(_xlpm.d,IFERROR(--'Sales and count'!$F$2:$CB$2,0),SUMPRODUCT(('Sales and count'!$G$3:$CC$3="Transactions")*(_xlpm.d&gt;=BF$6)*(_xlpm.d&lt;=BF$7),INDEX('Sales and count'!$G$4:$CC$300,$AJ141,0)))))</f>
        <v/>
      </c>
      <c r="BG141" s="350" t="str" cm="1">
        <f t="array" ref="BG141">IF(AS141="","",IF($AJ141="",0,_xlfn.LET(_xlpm.d,IFERROR(--'Sales and count'!$F$2:$CB$2,0),SUMPRODUCT(('Sales and count'!$G$3:$CC$3="Transactions")*(_xlpm.d&gt;=BG$6)*(_xlpm.d&lt;=BG$7),INDEX('Sales and count'!$G$4:$CC$300,$AJ141,0)))))</f>
        <v/>
      </c>
      <c r="BH141" s="350" t="str" cm="1">
        <f t="array" ref="BH141">IF(AT141="","",IF($AJ141="",0,_xlfn.LET(_xlpm.d,IFERROR(--'Sales and count'!$F$2:$CB$2,0),SUMPRODUCT(('Sales and count'!$G$3:$CC$3="Transactions")*(_xlpm.d&gt;=BH$6)*(_xlpm.d&lt;=BH$7),INDEX('Sales and count'!$G$4:$CC$300,$AJ141,0)))))</f>
        <v/>
      </c>
      <c r="BI141" s="350" t="str" cm="1">
        <f t="array" ref="BI141">IF(AU141="","",IF($AJ141="",0,_xlfn.LET(_xlpm.d,IFERROR(--'Sales and count'!$F$2:$CB$2,0),SUMPRODUCT(('Sales and count'!$G$3:$CC$3="Transactions")*(_xlpm.d&gt;=BI$6)*(_xlpm.d&lt;=BI$7),INDEX('Sales and count'!$G$4:$CC$300,$AJ141,0)))))</f>
        <v/>
      </c>
      <c r="BJ141" s="350" t="str" cm="1">
        <f t="array" ref="BJ141">IF(AV141="","",IF($AJ141="",0,_xlfn.LET(_xlpm.d,IFERROR(--'Sales and count'!$F$2:$CB$2,0),SUMPRODUCT(('Sales and count'!$G$3:$CC$3="Transactions")*(_xlpm.d&gt;=BJ$6)*(_xlpm.d&lt;=BJ$7),INDEX('Sales and count'!$G$4:$CC$300,$AJ141,0)))))</f>
        <v/>
      </c>
      <c r="BK141" s="350" t="str" cm="1">
        <f t="array" ref="BK141">IF(AW141="","",IF($AJ141="",0,_xlfn.LET(_xlpm.d,IFERROR(--'Sales and count'!$F$2:$CB$2,0),SUMPRODUCT(('Sales and count'!$G$3:$CC$3="Transactions")*(_xlpm.d&gt;=BK$6)*(_xlpm.d&lt;=BK$7),INDEX('Sales and count'!$G$4:$CC$300,$AJ141,0)))))</f>
        <v/>
      </c>
      <c r="BL141" s="350" t="str" cm="1">
        <f t="array" ref="BL141">IF(AX141="","",IF($AJ141="",0,_xlfn.LET(_xlpm.d,IFERROR(--'Sales and count'!$F$2:$CB$2,0),SUMPRODUCT(('Sales and count'!$G$3:$CC$3="Transactions")*(_xlpm.d&gt;=BL$6)*(_xlpm.d&lt;=BL$7),INDEX('Sales and count'!$G$4:$CC$300,$AJ141,0)))))</f>
        <v/>
      </c>
      <c r="BM141" s="350" t="str" cm="1">
        <f t="array" ref="BM141">IF(AK141="","",IF($AJ141="",0,_xlfn.LET(_xlpm.d,IFERROR(--'Sales and count'!$G$2:$CC$2,0),SUMPRODUCT(('Sales and count'!$G$3:$CC$3="Total")*(_xlpm.d&gt;=BM$6)*(_xlpm.d&lt;=BM$7),INDEX('Sales and count'!$G$4:$CC$300,$AJ141,0)))))</f>
        <v/>
      </c>
      <c r="BN141" s="350" t="str" cm="1">
        <f t="array" ref="BN141">IF(AL141="","",IF($AJ141="",0,_xlfn.LET(_xlpm.d,IFERROR(--'Sales and count'!$G$2:$CC$2,0),SUMPRODUCT(('Sales and count'!$G$3:$CC$3="Total")*(_xlpm.d&gt;=BN$6)*(_xlpm.d&lt;=BN$7),INDEX('Sales and count'!$G$4:$CC$300,$AJ141,0)))))</f>
        <v/>
      </c>
      <c r="BO141" s="350" t="str" cm="1">
        <f t="array" ref="BO141">IF(AM141="","",IF($AJ141="",0,_xlfn.LET(_xlpm.d,IFERROR(--'Sales and count'!$G$2:$CC$2,0),SUMPRODUCT(('Sales and count'!$G$3:$CC$3="Total")*(_xlpm.d&gt;=BO$6)*(_xlpm.d&lt;=BO$7),INDEX('Sales and count'!$G$4:$CC$300,$AJ141,0)))))</f>
        <v/>
      </c>
      <c r="BP141" s="350" t="str" cm="1">
        <f t="array" ref="BP141">IF(AN141="","",IF($AJ141="",0,_xlfn.LET(_xlpm.d,IFERROR(--'Sales and count'!$G$2:$CC$2,0),SUMPRODUCT(('Sales and count'!$G$3:$CC$3="Total")*(_xlpm.d&gt;=BP$6)*(_xlpm.d&lt;=BP$7),INDEX('Sales and count'!$G$4:$CC$300,$AJ141,0)))))</f>
        <v/>
      </c>
      <c r="BQ141" s="350" t="str" cm="1">
        <f t="array" ref="BQ141">IF(AO141="","",IF($AJ141="",0,_xlfn.LET(_xlpm.d,IFERROR(--'Sales and count'!$G$2:$CC$2,0),SUMPRODUCT(('Sales and count'!$G$3:$CC$3="Total")*(_xlpm.d&gt;=BQ$6)*(_xlpm.d&lt;=BQ$7),INDEX('Sales and count'!$G$4:$CC$300,$AJ141,0)))))</f>
        <v/>
      </c>
      <c r="BR141" s="350" t="str" cm="1">
        <f t="array" ref="BR141">IF(AP141="","",IF($AJ141="",0,_xlfn.LET(_xlpm.d,IFERROR(--'Sales and count'!$G$2:$CC$2,0),SUMPRODUCT(('Sales and count'!$G$3:$CC$3="Total")*(_xlpm.d&gt;=BR$6)*(_xlpm.d&lt;=BR$7),INDEX('Sales and count'!$G$4:$CC$300,$AJ141,0)))))</f>
        <v/>
      </c>
      <c r="BS141" s="350" t="str" cm="1">
        <f t="array" ref="BS141">IF(AQ141="","",IF($AJ141="",0,_xlfn.LET(_xlpm.d,IFERROR(--'Sales and count'!$G$2:$CC$2,0),SUMPRODUCT(('Sales and count'!$G$3:$CC$3="Total")*(_xlpm.d&gt;=BS$6)*(_xlpm.d&lt;=BS$7),INDEX('Sales and count'!$G$4:$CC$300,$AJ141,0)))))</f>
        <v/>
      </c>
      <c r="BT141" s="350" t="str" cm="1">
        <f t="array" ref="BT141">IF(AR141="","",IF($AJ141="",0,_xlfn.LET(_xlpm.d,IFERROR(--'Sales and count'!$G$2:$CC$2,0),SUMPRODUCT(('Sales and count'!$G$3:$CC$3="Total")*(_xlpm.d&gt;=BT$6)*(_xlpm.d&lt;=BT$7),INDEX('Sales and count'!$G$4:$CC$300,$AJ141,0)))))</f>
        <v/>
      </c>
      <c r="BU141" s="350" t="str" cm="1">
        <f t="array" ref="BU141">IF(AS141="","",IF($AJ141="",0,_xlfn.LET(_xlpm.d,IFERROR(--'Sales and count'!$G$2:$CC$2,0),SUMPRODUCT(('Sales and count'!$G$3:$CC$3="Total")*(_xlpm.d&gt;=BU$6)*(_xlpm.d&lt;=BU$7),INDEX('Sales and count'!$G$4:$CC$300,$AJ141,0)))))</f>
        <v/>
      </c>
      <c r="BV141" s="350" t="str" cm="1">
        <f t="array" ref="BV141">IF(AT141="","",IF($AJ141="",0,_xlfn.LET(_xlpm.d,IFERROR(--'Sales and count'!$G$2:$CC$2,0),SUMPRODUCT(('Sales and count'!$G$3:$CC$3="Total")*(_xlpm.d&gt;=BV$6)*(_xlpm.d&lt;=BV$7),INDEX('Sales and count'!$G$4:$CC$300,$AJ141,0)))))</f>
        <v/>
      </c>
      <c r="BW141" s="350" t="str" cm="1">
        <f t="array" ref="BW141">IF(AU141="","",IF($AJ141="",0,_xlfn.LET(_xlpm.d,IFERROR(--'Sales and count'!$G$2:$CC$2,0),SUMPRODUCT(('Sales and count'!$G$3:$CC$3="Total")*(_xlpm.d&gt;=BW$6)*(_xlpm.d&lt;=BW$7),INDEX('Sales and count'!$G$4:$CC$300,$AJ141,0)))))</f>
        <v/>
      </c>
      <c r="BX141" s="350" t="str" cm="1">
        <f t="array" ref="BX141">IF(AV141="","",IF($AJ141="",0,_xlfn.LET(_xlpm.d,IFERROR(--'Sales and count'!$G$2:$CC$2,0),SUMPRODUCT(('Sales and count'!$G$3:$CC$3="Total")*(_xlpm.d&gt;=BX$6)*(_xlpm.d&lt;=BX$7),INDEX('Sales and count'!$G$4:$CC$300,$AJ141,0)))))</f>
        <v/>
      </c>
      <c r="BY141" s="350" t="str" cm="1">
        <f t="array" ref="BY141">IF(AW141="","",IF($AJ141="",0,_xlfn.LET(_xlpm.d,IFERROR(--'Sales and count'!$G$2:$CC$2,0),SUMPRODUCT(('Sales and count'!$G$3:$CC$3="Total")*(_xlpm.d&gt;=BY$6)*(_xlpm.d&lt;=BY$7),INDEX('Sales and count'!$G$4:$CC$300,$AJ141,0)))))</f>
        <v/>
      </c>
      <c r="BZ141" s="350" t="str" cm="1">
        <f t="array" ref="BZ141">IF(AX141="","",IF($AJ141="",0,_xlfn.LET(_xlpm.d,IFERROR(--'Sales and count'!$G$2:$CC$2,0),SUMPRODUCT(('Sales and count'!$G$3:$CC$3="Total")*(_xlpm.d&gt;=BZ$6)*(_xlpm.d&lt;=BZ$7),INDEX('Sales and count'!$G$4:$CC$300,$AJ141,0)))))</f>
        <v/>
      </c>
    </row>
    <row r="142" spans="1:78" x14ac:dyDescent="0.25">
      <c r="A142" s="356"/>
      <c r="B142" s="356" t="str" cm="1">
        <f t="array" ref="B142">IF($A142="","",_xlfn.XLOOKUP($A142,TRIM(Footfall!$B$5:$B$301&amp;""),Footfall!$A$5:$A$301,""))</f>
        <v/>
      </c>
      <c r="C142" s="356" t="str" cm="1">
        <f t="array" ref="C142">IF($A142="","",_xlfn.XLOOKUP($A142,TRIM('Sales and count'!$A$4:$A$300&amp;""),'Sales and count'!$C$4:$C$300,"Not set"))</f>
        <v/>
      </c>
      <c r="D142" s="357" t="str">
        <f t="shared" si="81"/>
        <v/>
      </c>
      <c r="E142" s="357" t="str">
        <f t="shared" si="82"/>
        <v/>
      </c>
      <c r="F142" s="357" t="str">
        <f t="shared" si="83"/>
        <v/>
      </c>
      <c r="G142" s="357" t="str">
        <f t="shared" si="84"/>
        <v/>
      </c>
      <c r="H142" s="357" t="str">
        <f t="shared" si="85"/>
        <v/>
      </c>
      <c r="I142" s="357" t="str">
        <f t="shared" si="86"/>
        <v/>
      </c>
      <c r="J142" s="357" t="str">
        <f t="shared" si="87"/>
        <v/>
      </c>
      <c r="K142" s="357" t="str">
        <f t="shared" si="88"/>
        <v/>
      </c>
      <c r="L142" s="357" t="str">
        <f t="shared" si="89"/>
        <v/>
      </c>
      <c r="M142" s="357" t="str">
        <f t="shared" si="90"/>
        <v/>
      </c>
      <c r="N142" s="357" t="str">
        <f t="shared" si="91"/>
        <v/>
      </c>
      <c r="O142" s="357" t="str">
        <f t="shared" si="92"/>
        <v/>
      </c>
      <c r="P142" s="357" t="str">
        <f t="shared" si="93"/>
        <v/>
      </c>
      <c r="Q142" s="357" t="str">
        <f t="shared" si="94"/>
        <v/>
      </c>
      <c r="R142" s="358" t="str" cm="1">
        <f t="array" ref="R142">IF(OR($A142="",D142=""),"",IFERROR(LOOKUP(2,1/(E142:Q142&lt;&gt;""),E142:Q142)-D142,""))</f>
        <v/>
      </c>
      <c r="S142" s="349"/>
      <c r="T142" s="362" t="str">
        <f t="shared" si="95"/>
        <v/>
      </c>
      <c r="U142" s="362" t="str">
        <f t="shared" si="96"/>
        <v/>
      </c>
      <c r="V142" s="362" t="str">
        <f t="shared" si="97"/>
        <v/>
      </c>
      <c r="W142" s="362" t="str">
        <f t="shared" si="98"/>
        <v/>
      </c>
      <c r="X142" s="362" t="str">
        <f t="shared" si="99"/>
        <v/>
      </c>
      <c r="Y142" s="362" t="str">
        <f t="shared" si="100"/>
        <v/>
      </c>
      <c r="Z142" s="362" t="str">
        <f t="shared" si="101"/>
        <v/>
      </c>
      <c r="AA142" s="362" t="str">
        <f t="shared" si="102"/>
        <v/>
      </c>
      <c r="AB142" s="362" t="str">
        <f t="shared" si="103"/>
        <v/>
      </c>
      <c r="AC142" s="362" t="str">
        <f t="shared" si="104"/>
        <v/>
      </c>
      <c r="AD142" s="362" t="str">
        <f t="shared" si="105"/>
        <v/>
      </c>
      <c r="AE142" s="362" t="str">
        <f t="shared" si="106"/>
        <v/>
      </c>
      <c r="AF142" s="362" t="str">
        <f t="shared" si="107"/>
        <v/>
      </c>
      <c r="AG142" s="362" t="str">
        <f t="shared" si="108"/>
        <v/>
      </c>
      <c r="AH142" s="363" t="str" cm="1">
        <f t="array" ref="AH142">IF(OR($A142="",T142=""),"",IFERROR(LOOKUP(2,1/(U142:AG142&lt;&gt;""),U142:AG142)-T142,""))</f>
        <v/>
      </c>
      <c r="AI142" s="349"/>
      <c r="AJ142" s="349" t="str" cm="1">
        <f t="array" ref="AJ142">IF($A142="","",IFERROR(MATCH($A142,TRIM('Sales and count'!$A$4:$A$300&amp;""),0),""))</f>
        <v/>
      </c>
      <c r="AK142" s="350" t="str" cm="1">
        <f t="array" ref="AK142">IF(OR($A142="",AK$6=""),"",IFERROR(INDEX(Footfall!$C$5:$BZ$301,MATCH($A142,TRIM(Footfall!$B$5:$B$301&amp;""),0),AK$5),0))</f>
        <v/>
      </c>
      <c r="AL142" s="350" t="str" cm="1">
        <f t="array" ref="AL142">IF(OR($A142="",AL$6=""),"",IFERROR(INDEX(Footfall!$C$5:$BZ$301,MATCH($A142,TRIM(Footfall!$B$5:$B$301&amp;""),0),AL$5),0))</f>
        <v/>
      </c>
      <c r="AM142" s="350" t="str" cm="1">
        <f t="array" ref="AM142">IF(OR($A142="",AM$6=""),"",IFERROR(INDEX(Footfall!$C$5:$BZ$301,MATCH($A142,TRIM(Footfall!$B$5:$B$301&amp;""),0),AM$5),0))</f>
        <v/>
      </c>
      <c r="AN142" s="350" t="str" cm="1">
        <f t="array" ref="AN142">IF(OR($A142="",AN$6=""),"",IFERROR(INDEX(Footfall!$C$5:$BZ$301,MATCH($A142,TRIM(Footfall!$B$5:$B$301&amp;""),0),AN$5),0))</f>
        <v/>
      </c>
      <c r="AO142" s="350" t="str" cm="1">
        <f t="array" ref="AO142">IF(OR($A142="",AO$6=""),"",IFERROR(INDEX(Footfall!$C$5:$BZ$301,MATCH($A142,TRIM(Footfall!$B$5:$B$301&amp;""),0),AO$5),0))</f>
        <v/>
      </c>
      <c r="AP142" s="350" t="str" cm="1">
        <f t="array" ref="AP142">IF(OR($A142="",AP$6=""),"",IFERROR(INDEX(Footfall!$C$5:$BZ$301,MATCH($A142,TRIM(Footfall!$B$5:$B$301&amp;""),0),AP$5),0))</f>
        <v/>
      </c>
      <c r="AQ142" s="350" t="str" cm="1">
        <f t="array" ref="AQ142">IF(OR($A142="",AQ$6=""),"",IFERROR(INDEX(Footfall!$C$5:$BZ$301,MATCH($A142,TRIM(Footfall!$B$5:$B$301&amp;""),0),AQ$5),0))</f>
        <v/>
      </c>
      <c r="AR142" s="350" t="str" cm="1">
        <f t="array" ref="AR142">IF(OR($A142="",AR$6=""),"",IFERROR(INDEX(Footfall!$C$5:$BZ$301,MATCH($A142,TRIM(Footfall!$B$5:$B$301&amp;""),0),AR$5),0))</f>
        <v/>
      </c>
      <c r="AS142" s="350" t="str" cm="1">
        <f t="array" ref="AS142">IF(OR($A142="",AS$6=""),"",IFERROR(INDEX(Footfall!$C$5:$BZ$301,MATCH($A142,TRIM(Footfall!$B$5:$B$301&amp;""),0),AS$5),0))</f>
        <v/>
      </c>
      <c r="AT142" s="350" t="str" cm="1">
        <f t="array" ref="AT142">IF(OR($A142="",AT$6=""),"",IFERROR(INDEX(Footfall!$C$5:$BZ$301,MATCH($A142,TRIM(Footfall!$B$5:$B$301&amp;""),0),AT$5),0))</f>
        <v/>
      </c>
      <c r="AU142" s="350" t="str" cm="1">
        <f t="array" ref="AU142">IF(OR($A142="",AU$6=""),"",IFERROR(INDEX(Footfall!$C$5:$BZ$301,MATCH($A142,TRIM(Footfall!$B$5:$B$301&amp;""),0),AU$5),0))</f>
        <v/>
      </c>
      <c r="AV142" s="350" t="str" cm="1">
        <f t="array" ref="AV142">IF(OR($A142="",AV$6=""),"",IFERROR(INDEX(Footfall!$C$5:$BZ$301,MATCH($A142,TRIM(Footfall!$B$5:$B$301&amp;""),0),AV$5),0))</f>
        <v/>
      </c>
      <c r="AW142" s="350" t="str" cm="1">
        <f t="array" ref="AW142">IF(OR($A142="",AW$6=""),"",IFERROR(INDEX(Footfall!$C$5:$BZ$301,MATCH($A142,TRIM(Footfall!$B$5:$B$301&amp;""),0),AW$5),0))</f>
        <v/>
      </c>
      <c r="AX142" s="350" t="str" cm="1">
        <f t="array" ref="AX142">IF(OR($A142="",AX$6=""),"",IFERROR(INDEX(Footfall!$C$5:$BZ$301,MATCH($A142,TRIM(Footfall!$B$5:$B$301&amp;""),0),AX$5),0))</f>
        <v/>
      </c>
      <c r="AY142" s="350" t="str" cm="1">
        <f t="array" ref="AY142">IF(AK142="","",IF($AJ142="",0,_xlfn.LET(_xlpm.d,IFERROR(--'Sales and count'!$F$2:$CB$2,0),SUMPRODUCT(('Sales and count'!$G$3:$CC$3="Transactions")*(_xlpm.d&gt;=AY$6)*(_xlpm.d&lt;=AY$7),INDEX('Sales and count'!$G$4:$CC$300,$AJ142,0)))))</f>
        <v/>
      </c>
      <c r="AZ142" s="350" t="str" cm="1">
        <f t="array" ref="AZ142">IF(AL142="","",IF($AJ142="",0,_xlfn.LET(_xlpm.d,IFERROR(--'Sales and count'!$F$2:$CB$2,0),SUMPRODUCT(('Sales and count'!$G$3:$CC$3="Transactions")*(_xlpm.d&gt;=AZ$6)*(_xlpm.d&lt;=AZ$7),INDEX('Sales and count'!$G$4:$CC$300,$AJ142,0)))))</f>
        <v/>
      </c>
      <c r="BA142" s="350" t="str" cm="1">
        <f t="array" ref="BA142">IF(AM142="","",IF($AJ142="",0,_xlfn.LET(_xlpm.d,IFERROR(--'Sales and count'!$F$2:$CB$2,0),SUMPRODUCT(('Sales and count'!$G$3:$CC$3="Transactions")*(_xlpm.d&gt;=BA$6)*(_xlpm.d&lt;=BA$7),INDEX('Sales and count'!$G$4:$CC$300,$AJ142,0)))))</f>
        <v/>
      </c>
      <c r="BB142" s="350" t="str" cm="1">
        <f t="array" ref="BB142">IF(AN142="","",IF($AJ142="",0,_xlfn.LET(_xlpm.d,IFERROR(--'Sales and count'!$F$2:$CB$2,0),SUMPRODUCT(('Sales and count'!$G$3:$CC$3="Transactions")*(_xlpm.d&gt;=BB$6)*(_xlpm.d&lt;=BB$7),INDEX('Sales and count'!$G$4:$CC$300,$AJ142,0)))))</f>
        <v/>
      </c>
      <c r="BC142" s="350" t="str" cm="1">
        <f t="array" ref="BC142">IF(AO142="","",IF($AJ142="",0,_xlfn.LET(_xlpm.d,IFERROR(--'Sales and count'!$F$2:$CB$2,0),SUMPRODUCT(('Sales and count'!$G$3:$CC$3="Transactions")*(_xlpm.d&gt;=BC$6)*(_xlpm.d&lt;=BC$7),INDEX('Sales and count'!$G$4:$CC$300,$AJ142,0)))))</f>
        <v/>
      </c>
      <c r="BD142" s="350" t="str" cm="1">
        <f t="array" ref="BD142">IF(AP142="","",IF($AJ142="",0,_xlfn.LET(_xlpm.d,IFERROR(--'Sales and count'!$F$2:$CB$2,0),SUMPRODUCT(('Sales and count'!$G$3:$CC$3="Transactions")*(_xlpm.d&gt;=BD$6)*(_xlpm.d&lt;=BD$7),INDEX('Sales and count'!$G$4:$CC$300,$AJ142,0)))))</f>
        <v/>
      </c>
      <c r="BE142" s="350" t="str" cm="1">
        <f t="array" ref="BE142">IF(AQ142="","",IF($AJ142="",0,_xlfn.LET(_xlpm.d,IFERROR(--'Sales and count'!$F$2:$CB$2,0),SUMPRODUCT(('Sales and count'!$G$3:$CC$3="Transactions")*(_xlpm.d&gt;=BE$6)*(_xlpm.d&lt;=BE$7),INDEX('Sales and count'!$G$4:$CC$300,$AJ142,0)))))</f>
        <v/>
      </c>
      <c r="BF142" s="350" t="str" cm="1">
        <f t="array" ref="BF142">IF(AR142="","",IF($AJ142="",0,_xlfn.LET(_xlpm.d,IFERROR(--'Sales and count'!$F$2:$CB$2,0),SUMPRODUCT(('Sales and count'!$G$3:$CC$3="Transactions")*(_xlpm.d&gt;=BF$6)*(_xlpm.d&lt;=BF$7),INDEX('Sales and count'!$G$4:$CC$300,$AJ142,0)))))</f>
        <v/>
      </c>
      <c r="BG142" s="350" t="str" cm="1">
        <f t="array" ref="BG142">IF(AS142="","",IF($AJ142="",0,_xlfn.LET(_xlpm.d,IFERROR(--'Sales and count'!$F$2:$CB$2,0),SUMPRODUCT(('Sales and count'!$G$3:$CC$3="Transactions")*(_xlpm.d&gt;=BG$6)*(_xlpm.d&lt;=BG$7),INDEX('Sales and count'!$G$4:$CC$300,$AJ142,0)))))</f>
        <v/>
      </c>
      <c r="BH142" s="350" t="str" cm="1">
        <f t="array" ref="BH142">IF(AT142="","",IF($AJ142="",0,_xlfn.LET(_xlpm.d,IFERROR(--'Sales and count'!$F$2:$CB$2,0),SUMPRODUCT(('Sales and count'!$G$3:$CC$3="Transactions")*(_xlpm.d&gt;=BH$6)*(_xlpm.d&lt;=BH$7),INDEX('Sales and count'!$G$4:$CC$300,$AJ142,0)))))</f>
        <v/>
      </c>
      <c r="BI142" s="350" t="str" cm="1">
        <f t="array" ref="BI142">IF(AU142="","",IF($AJ142="",0,_xlfn.LET(_xlpm.d,IFERROR(--'Sales and count'!$F$2:$CB$2,0),SUMPRODUCT(('Sales and count'!$G$3:$CC$3="Transactions")*(_xlpm.d&gt;=BI$6)*(_xlpm.d&lt;=BI$7),INDEX('Sales and count'!$G$4:$CC$300,$AJ142,0)))))</f>
        <v/>
      </c>
      <c r="BJ142" s="350" t="str" cm="1">
        <f t="array" ref="BJ142">IF(AV142="","",IF($AJ142="",0,_xlfn.LET(_xlpm.d,IFERROR(--'Sales and count'!$F$2:$CB$2,0),SUMPRODUCT(('Sales and count'!$G$3:$CC$3="Transactions")*(_xlpm.d&gt;=BJ$6)*(_xlpm.d&lt;=BJ$7),INDEX('Sales and count'!$G$4:$CC$300,$AJ142,0)))))</f>
        <v/>
      </c>
      <c r="BK142" s="350" t="str" cm="1">
        <f t="array" ref="BK142">IF(AW142="","",IF($AJ142="",0,_xlfn.LET(_xlpm.d,IFERROR(--'Sales and count'!$F$2:$CB$2,0),SUMPRODUCT(('Sales and count'!$G$3:$CC$3="Transactions")*(_xlpm.d&gt;=BK$6)*(_xlpm.d&lt;=BK$7),INDEX('Sales and count'!$G$4:$CC$300,$AJ142,0)))))</f>
        <v/>
      </c>
      <c r="BL142" s="350" t="str" cm="1">
        <f t="array" ref="BL142">IF(AX142="","",IF($AJ142="",0,_xlfn.LET(_xlpm.d,IFERROR(--'Sales and count'!$F$2:$CB$2,0),SUMPRODUCT(('Sales and count'!$G$3:$CC$3="Transactions")*(_xlpm.d&gt;=BL$6)*(_xlpm.d&lt;=BL$7),INDEX('Sales and count'!$G$4:$CC$300,$AJ142,0)))))</f>
        <v/>
      </c>
      <c r="BM142" s="350" t="str" cm="1">
        <f t="array" ref="BM142">IF(AK142="","",IF($AJ142="",0,_xlfn.LET(_xlpm.d,IFERROR(--'Sales and count'!$G$2:$CC$2,0),SUMPRODUCT(('Sales and count'!$G$3:$CC$3="Total")*(_xlpm.d&gt;=BM$6)*(_xlpm.d&lt;=BM$7),INDEX('Sales and count'!$G$4:$CC$300,$AJ142,0)))))</f>
        <v/>
      </c>
      <c r="BN142" s="350" t="str" cm="1">
        <f t="array" ref="BN142">IF(AL142="","",IF($AJ142="",0,_xlfn.LET(_xlpm.d,IFERROR(--'Sales and count'!$G$2:$CC$2,0),SUMPRODUCT(('Sales and count'!$G$3:$CC$3="Total")*(_xlpm.d&gt;=BN$6)*(_xlpm.d&lt;=BN$7),INDEX('Sales and count'!$G$4:$CC$300,$AJ142,0)))))</f>
        <v/>
      </c>
      <c r="BO142" s="350" t="str" cm="1">
        <f t="array" ref="BO142">IF(AM142="","",IF($AJ142="",0,_xlfn.LET(_xlpm.d,IFERROR(--'Sales and count'!$G$2:$CC$2,0),SUMPRODUCT(('Sales and count'!$G$3:$CC$3="Total")*(_xlpm.d&gt;=BO$6)*(_xlpm.d&lt;=BO$7),INDEX('Sales and count'!$G$4:$CC$300,$AJ142,0)))))</f>
        <v/>
      </c>
      <c r="BP142" s="350" t="str" cm="1">
        <f t="array" ref="BP142">IF(AN142="","",IF($AJ142="",0,_xlfn.LET(_xlpm.d,IFERROR(--'Sales and count'!$G$2:$CC$2,0),SUMPRODUCT(('Sales and count'!$G$3:$CC$3="Total")*(_xlpm.d&gt;=BP$6)*(_xlpm.d&lt;=BP$7),INDEX('Sales and count'!$G$4:$CC$300,$AJ142,0)))))</f>
        <v/>
      </c>
      <c r="BQ142" s="350" t="str" cm="1">
        <f t="array" ref="BQ142">IF(AO142="","",IF($AJ142="",0,_xlfn.LET(_xlpm.d,IFERROR(--'Sales and count'!$G$2:$CC$2,0),SUMPRODUCT(('Sales and count'!$G$3:$CC$3="Total")*(_xlpm.d&gt;=BQ$6)*(_xlpm.d&lt;=BQ$7),INDEX('Sales and count'!$G$4:$CC$300,$AJ142,0)))))</f>
        <v/>
      </c>
      <c r="BR142" s="350" t="str" cm="1">
        <f t="array" ref="BR142">IF(AP142="","",IF($AJ142="",0,_xlfn.LET(_xlpm.d,IFERROR(--'Sales and count'!$G$2:$CC$2,0),SUMPRODUCT(('Sales and count'!$G$3:$CC$3="Total")*(_xlpm.d&gt;=BR$6)*(_xlpm.d&lt;=BR$7),INDEX('Sales and count'!$G$4:$CC$300,$AJ142,0)))))</f>
        <v/>
      </c>
      <c r="BS142" s="350" t="str" cm="1">
        <f t="array" ref="BS142">IF(AQ142="","",IF($AJ142="",0,_xlfn.LET(_xlpm.d,IFERROR(--'Sales and count'!$G$2:$CC$2,0),SUMPRODUCT(('Sales and count'!$G$3:$CC$3="Total")*(_xlpm.d&gt;=BS$6)*(_xlpm.d&lt;=BS$7),INDEX('Sales and count'!$G$4:$CC$300,$AJ142,0)))))</f>
        <v/>
      </c>
      <c r="BT142" s="350" t="str" cm="1">
        <f t="array" ref="BT142">IF(AR142="","",IF($AJ142="",0,_xlfn.LET(_xlpm.d,IFERROR(--'Sales and count'!$G$2:$CC$2,0),SUMPRODUCT(('Sales and count'!$G$3:$CC$3="Total")*(_xlpm.d&gt;=BT$6)*(_xlpm.d&lt;=BT$7),INDEX('Sales and count'!$G$4:$CC$300,$AJ142,0)))))</f>
        <v/>
      </c>
      <c r="BU142" s="350" t="str" cm="1">
        <f t="array" ref="BU142">IF(AS142="","",IF($AJ142="",0,_xlfn.LET(_xlpm.d,IFERROR(--'Sales and count'!$G$2:$CC$2,0),SUMPRODUCT(('Sales and count'!$G$3:$CC$3="Total")*(_xlpm.d&gt;=BU$6)*(_xlpm.d&lt;=BU$7),INDEX('Sales and count'!$G$4:$CC$300,$AJ142,0)))))</f>
        <v/>
      </c>
      <c r="BV142" s="350" t="str" cm="1">
        <f t="array" ref="BV142">IF(AT142="","",IF($AJ142="",0,_xlfn.LET(_xlpm.d,IFERROR(--'Sales and count'!$G$2:$CC$2,0),SUMPRODUCT(('Sales and count'!$G$3:$CC$3="Total")*(_xlpm.d&gt;=BV$6)*(_xlpm.d&lt;=BV$7),INDEX('Sales and count'!$G$4:$CC$300,$AJ142,0)))))</f>
        <v/>
      </c>
      <c r="BW142" s="350" t="str" cm="1">
        <f t="array" ref="BW142">IF(AU142="","",IF($AJ142="",0,_xlfn.LET(_xlpm.d,IFERROR(--'Sales and count'!$G$2:$CC$2,0),SUMPRODUCT(('Sales and count'!$G$3:$CC$3="Total")*(_xlpm.d&gt;=BW$6)*(_xlpm.d&lt;=BW$7),INDEX('Sales and count'!$G$4:$CC$300,$AJ142,0)))))</f>
        <v/>
      </c>
      <c r="BX142" s="350" t="str" cm="1">
        <f t="array" ref="BX142">IF(AV142="","",IF($AJ142="",0,_xlfn.LET(_xlpm.d,IFERROR(--'Sales and count'!$G$2:$CC$2,0),SUMPRODUCT(('Sales and count'!$G$3:$CC$3="Total")*(_xlpm.d&gt;=BX$6)*(_xlpm.d&lt;=BX$7),INDEX('Sales and count'!$G$4:$CC$300,$AJ142,0)))))</f>
        <v/>
      </c>
      <c r="BY142" s="350" t="str" cm="1">
        <f t="array" ref="BY142">IF(AW142="","",IF($AJ142="",0,_xlfn.LET(_xlpm.d,IFERROR(--'Sales and count'!$G$2:$CC$2,0),SUMPRODUCT(('Sales and count'!$G$3:$CC$3="Total")*(_xlpm.d&gt;=BY$6)*(_xlpm.d&lt;=BY$7),INDEX('Sales and count'!$G$4:$CC$300,$AJ142,0)))))</f>
        <v/>
      </c>
      <c r="BZ142" s="350" t="str" cm="1">
        <f t="array" ref="BZ142">IF(AX142="","",IF($AJ142="",0,_xlfn.LET(_xlpm.d,IFERROR(--'Sales and count'!$G$2:$CC$2,0),SUMPRODUCT(('Sales and count'!$G$3:$CC$3="Total")*(_xlpm.d&gt;=BZ$6)*(_xlpm.d&lt;=BZ$7),INDEX('Sales and count'!$G$4:$CC$300,$AJ142,0)))))</f>
        <v/>
      </c>
    </row>
    <row r="143" spans="1:78" x14ac:dyDescent="0.25">
      <c r="A143" s="356"/>
      <c r="B143" s="356" t="str" cm="1">
        <f t="array" ref="B143">IF($A143="","",_xlfn.XLOOKUP($A143,TRIM(Footfall!$B$5:$B$301&amp;""),Footfall!$A$5:$A$301,""))</f>
        <v/>
      </c>
      <c r="C143" s="356" t="str" cm="1">
        <f t="array" ref="C143">IF($A143="","",_xlfn.XLOOKUP($A143,TRIM('Sales and count'!$A$4:$A$300&amp;""),'Sales and count'!$C$4:$C$300,"Not set"))</f>
        <v/>
      </c>
      <c r="D143" s="357" t="str">
        <f t="shared" si="81"/>
        <v/>
      </c>
      <c r="E143" s="357" t="str">
        <f t="shared" si="82"/>
        <v/>
      </c>
      <c r="F143" s="357" t="str">
        <f t="shared" si="83"/>
        <v/>
      </c>
      <c r="G143" s="357" t="str">
        <f t="shared" si="84"/>
        <v/>
      </c>
      <c r="H143" s="357" t="str">
        <f t="shared" si="85"/>
        <v/>
      </c>
      <c r="I143" s="357" t="str">
        <f t="shared" si="86"/>
        <v/>
      </c>
      <c r="J143" s="357" t="str">
        <f t="shared" si="87"/>
        <v/>
      </c>
      <c r="K143" s="357" t="str">
        <f t="shared" si="88"/>
        <v/>
      </c>
      <c r="L143" s="357" t="str">
        <f t="shared" si="89"/>
        <v/>
      </c>
      <c r="M143" s="357" t="str">
        <f t="shared" si="90"/>
        <v/>
      </c>
      <c r="N143" s="357" t="str">
        <f t="shared" si="91"/>
        <v/>
      </c>
      <c r="O143" s="357" t="str">
        <f t="shared" si="92"/>
        <v/>
      </c>
      <c r="P143" s="357" t="str">
        <f t="shared" si="93"/>
        <v/>
      </c>
      <c r="Q143" s="357" t="str">
        <f t="shared" si="94"/>
        <v/>
      </c>
      <c r="R143" s="358" t="str" cm="1">
        <f t="array" ref="R143">IF(OR($A143="",D143=""),"",IFERROR(LOOKUP(2,1/(E143:Q143&lt;&gt;""),E143:Q143)-D143,""))</f>
        <v/>
      </c>
      <c r="S143" s="349"/>
      <c r="T143" s="362" t="str">
        <f t="shared" si="95"/>
        <v/>
      </c>
      <c r="U143" s="362" t="str">
        <f t="shared" si="96"/>
        <v/>
      </c>
      <c r="V143" s="362" t="str">
        <f t="shared" si="97"/>
        <v/>
      </c>
      <c r="W143" s="362" t="str">
        <f t="shared" si="98"/>
        <v/>
      </c>
      <c r="X143" s="362" t="str">
        <f t="shared" si="99"/>
        <v/>
      </c>
      <c r="Y143" s="362" t="str">
        <f t="shared" si="100"/>
        <v/>
      </c>
      <c r="Z143" s="362" t="str">
        <f t="shared" si="101"/>
        <v/>
      </c>
      <c r="AA143" s="362" t="str">
        <f t="shared" si="102"/>
        <v/>
      </c>
      <c r="AB143" s="362" t="str">
        <f t="shared" si="103"/>
        <v/>
      </c>
      <c r="AC143" s="362" t="str">
        <f t="shared" si="104"/>
        <v/>
      </c>
      <c r="AD143" s="362" t="str">
        <f t="shared" si="105"/>
        <v/>
      </c>
      <c r="AE143" s="362" t="str">
        <f t="shared" si="106"/>
        <v/>
      </c>
      <c r="AF143" s="362" t="str">
        <f t="shared" si="107"/>
        <v/>
      </c>
      <c r="AG143" s="362" t="str">
        <f t="shared" si="108"/>
        <v/>
      </c>
      <c r="AH143" s="363" t="str" cm="1">
        <f t="array" ref="AH143">IF(OR($A143="",T143=""),"",IFERROR(LOOKUP(2,1/(U143:AG143&lt;&gt;""),U143:AG143)-T143,""))</f>
        <v/>
      </c>
      <c r="AI143" s="349"/>
      <c r="AJ143" s="349" t="str" cm="1">
        <f t="array" ref="AJ143">IF($A143="","",IFERROR(MATCH($A143,TRIM('Sales and count'!$A$4:$A$300&amp;""),0),""))</f>
        <v/>
      </c>
      <c r="AK143" s="350" t="str" cm="1">
        <f t="array" ref="AK143">IF(OR($A143="",AK$6=""),"",IFERROR(INDEX(Footfall!$C$5:$BZ$301,MATCH($A143,TRIM(Footfall!$B$5:$B$301&amp;""),0),AK$5),0))</f>
        <v/>
      </c>
      <c r="AL143" s="350" t="str" cm="1">
        <f t="array" ref="AL143">IF(OR($A143="",AL$6=""),"",IFERROR(INDEX(Footfall!$C$5:$BZ$301,MATCH($A143,TRIM(Footfall!$B$5:$B$301&amp;""),0),AL$5),0))</f>
        <v/>
      </c>
      <c r="AM143" s="350" t="str" cm="1">
        <f t="array" ref="AM143">IF(OR($A143="",AM$6=""),"",IFERROR(INDEX(Footfall!$C$5:$BZ$301,MATCH($A143,TRIM(Footfall!$B$5:$B$301&amp;""),0),AM$5),0))</f>
        <v/>
      </c>
      <c r="AN143" s="350" t="str" cm="1">
        <f t="array" ref="AN143">IF(OR($A143="",AN$6=""),"",IFERROR(INDEX(Footfall!$C$5:$BZ$301,MATCH($A143,TRIM(Footfall!$B$5:$B$301&amp;""),0),AN$5),0))</f>
        <v/>
      </c>
      <c r="AO143" s="350" t="str" cm="1">
        <f t="array" ref="AO143">IF(OR($A143="",AO$6=""),"",IFERROR(INDEX(Footfall!$C$5:$BZ$301,MATCH($A143,TRIM(Footfall!$B$5:$B$301&amp;""),0),AO$5),0))</f>
        <v/>
      </c>
      <c r="AP143" s="350" t="str" cm="1">
        <f t="array" ref="AP143">IF(OR($A143="",AP$6=""),"",IFERROR(INDEX(Footfall!$C$5:$BZ$301,MATCH($A143,TRIM(Footfall!$B$5:$B$301&amp;""),0),AP$5),0))</f>
        <v/>
      </c>
      <c r="AQ143" s="350" t="str" cm="1">
        <f t="array" ref="AQ143">IF(OR($A143="",AQ$6=""),"",IFERROR(INDEX(Footfall!$C$5:$BZ$301,MATCH($A143,TRIM(Footfall!$B$5:$B$301&amp;""),0),AQ$5),0))</f>
        <v/>
      </c>
      <c r="AR143" s="350" t="str" cm="1">
        <f t="array" ref="AR143">IF(OR($A143="",AR$6=""),"",IFERROR(INDEX(Footfall!$C$5:$BZ$301,MATCH($A143,TRIM(Footfall!$B$5:$B$301&amp;""),0),AR$5),0))</f>
        <v/>
      </c>
      <c r="AS143" s="350" t="str" cm="1">
        <f t="array" ref="AS143">IF(OR($A143="",AS$6=""),"",IFERROR(INDEX(Footfall!$C$5:$BZ$301,MATCH($A143,TRIM(Footfall!$B$5:$B$301&amp;""),0),AS$5),0))</f>
        <v/>
      </c>
      <c r="AT143" s="350" t="str" cm="1">
        <f t="array" ref="AT143">IF(OR($A143="",AT$6=""),"",IFERROR(INDEX(Footfall!$C$5:$BZ$301,MATCH($A143,TRIM(Footfall!$B$5:$B$301&amp;""),0),AT$5),0))</f>
        <v/>
      </c>
      <c r="AU143" s="350" t="str" cm="1">
        <f t="array" ref="AU143">IF(OR($A143="",AU$6=""),"",IFERROR(INDEX(Footfall!$C$5:$BZ$301,MATCH($A143,TRIM(Footfall!$B$5:$B$301&amp;""),0),AU$5),0))</f>
        <v/>
      </c>
      <c r="AV143" s="350" t="str" cm="1">
        <f t="array" ref="AV143">IF(OR($A143="",AV$6=""),"",IFERROR(INDEX(Footfall!$C$5:$BZ$301,MATCH($A143,TRIM(Footfall!$B$5:$B$301&amp;""),0),AV$5),0))</f>
        <v/>
      </c>
      <c r="AW143" s="350" t="str" cm="1">
        <f t="array" ref="AW143">IF(OR($A143="",AW$6=""),"",IFERROR(INDEX(Footfall!$C$5:$BZ$301,MATCH($A143,TRIM(Footfall!$B$5:$B$301&amp;""),0),AW$5),0))</f>
        <v/>
      </c>
      <c r="AX143" s="350" t="str" cm="1">
        <f t="array" ref="AX143">IF(OR($A143="",AX$6=""),"",IFERROR(INDEX(Footfall!$C$5:$BZ$301,MATCH($A143,TRIM(Footfall!$B$5:$B$301&amp;""),0),AX$5),0))</f>
        <v/>
      </c>
      <c r="AY143" s="350" t="str" cm="1">
        <f t="array" ref="AY143">IF(AK143="","",IF($AJ143="",0,_xlfn.LET(_xlpm.d,IFERROR(--'Sales and count'!$F$2:$CB$2,0),SUMPRODUCT(('Sales and count'!$G$3:$CC$3="Transactions")*(_xlpm.d&gt;=AY$6)*(_xlpm.d&lt;=AY$7),INDEX('Sales and count'!$G$4:$CC$300,$AJ143,0)))))</f>
        <v/>
      </c>
      <c r="AZ143" s="350" t="str" cm="1">
        <f t="array" ref="AZ143">IF(AL143="","",IF($AJ143="",0,_xlfn.LET(_xlpm.d,IFERROR(--'Sales and count'!$F$2:$CB$2,0),SUMPRODUCT(('Sales and count'!$G$3:$CC$3="Transactions")*(_xlpm.d&gt;=AZ$6)*(_xlpm.d&lt;=AZ$7),INDEX('Sales and count'!$G$4:$CC$300,$AJ143,0)))))</f>
        <v/>
      </c>
      <c r="BA143" s="350" t="str" cm="1">
        <f t="array" ref="BA143">IF(AM143="","",IF($AJ143="",0,_xlfn.LET(_xlpm.d,IFERROR(--'Sales and count'!$F$2:$CB$2,0),SUMPRODUCT(('Sales and count'!$G$3:$CC$3="Transactions")*(_xlpm.d&gt;=BA$6)*(_xlpm.d&lt;=BA$7),INDEX('Sales and count'!$G$4:$CC$300,$AJ143,0)))))</f>
        <v/>
      </c>
      <c r="BB143" s="350" t="str" cm="1">
        <f t="array" ref="BB143">IF(AN143="","",IF($AJ143="",0,_xlfn.LET(_xlpm.d,IFERROR(--'Sales and count'!$F$2:$CB$2,0),SUMPRODUCT(('Sales and count'!$G$3:$CC$3="Transactions")*(_xlpm.d&gt;=BB$6)*(_xlpm.d&lt;=BB$7),INDEX('Sales and count'!$G$4:$CC$300,$AJ143,0)))))</f>
        <v/>
      </c>
      <c r="BC143" s="350" t="str" cm="1">
        <f t="array" ref="BC143">IF(AO143="","",IF($AJ143="",0,_xlfn.LET(_xlpm.d,IFERROR(--'Sales and count'!$F$2:$CB$2,0),SUMPRODUCT(('Sales and count'!$G$3:$CC$3="Transactions")*(_xlpm.d&gt;=BC$6)*(_xlpm.d&lt;=BC$7),INDEX('Sales and count'!$G$4:$CC$300,$AJ143,0)))))</f>
        <v/>
      </c>
      <c r="BD143" s="350" t="str" cm="1">
        <f t="array" ref="BD143">IF(AP143="","",IF($AJ143="",0,_xlfn.LET(_xlpm.d,IFERROR(--'Sales and count'!$F$2:$CB$2,0),SUMPRODUCT(('Sales and count'!$G$3:$CC$3="Transactions")*(_xlpm.d&gt;=BD$6)*(_xlpm.d&lt;=BD$7),INDEX('Sales and count'!$G$4:$CC$300,$AJ143,0)))))</f>
        <v/>
      </c>
      <c r="BE143" s="350" t="str" cm="1">
        <f t="array" ref="BE143">IF(AQ143="","",IF($AJ143="",0,_xlfn.LET(_xlpm.d,IFERROR(--'Sales and count'!$F$2:$CB$2,0),SUMPRODUCT(('Sales and count'!$G$3:$CC$3="Transactions")*(_xlpm.d&gt;=BE$6)*(_xlpm.d&lt;=BE$7),INDEX('Sales and count'!$G$4:$CC$300,$AJ143,0)))))</f>
        <v/>
      </c>
      <c r="BF143" s="350" t="str" cm="1">
        <f t="array" ref="BF143">IF(AR143="","",IF($AJ143="",0,_xlfn.LET(_xlpm.d,IFERROR(--'Sales and count'!$F$2:$CB$2,0),SUMPRODUCT(('Sales and count'!$G$3:$CC$3="Transactions")*(_xlpm.d&gt;=BF$6)*(_xlpm.d&lt;=BF$7),INDEX('Sales and count'!$G$4:$CC$300,$AJ143,0)))))</f>
        <v/>
      </c>
      <c r="BG143" s="350" t="str" cm="1">
        <f t="array" ref="BG143">IF(AS143="","",IF($AJ143="",0,_xlfn.LET(_xlpm.d,IFERROR(--'Sales and count'!$F$2:$CB$2,0),SUMPRODUCT(('Sales and count'!$G$3:$CC$3="Transactions")*(_xlpm.d&gt;=BG$6)*(_xlpm.d&lt;=BG$7),INDEX('Sales and count'!$G$4:$CC$300,$AJ143,0)))))</f>
        <v/>
      </c>
      <c r="BH143" s="350" t="str" cm="1">
        <f t="array" ref="BH143">IF(AT143="","",IF($AJ143="",0,_xlfn.LET(_xlpm.d,IFERROR(--'Sales and count'!$F$2:$CB$2,0),SUMPRODUCT(('Sales and count'!$G$3:$CC$3="Transactions")*(_xlpm.d&gt;=BH$6)*(_xlpm.d&lt;=BH$7),INDEX('Sales and count'!$G$4:$CC$300,$AJ143,0)))))</f>
        <v/>
      </c>
      <c r="BI143" s="350" t="str" cm="1">
        <f t="array" ref="BI143">IF(AU143="","",IF($AJ143="",0,_xlfn.LET(_xlpm.d,IFERROR(--'Sales and count'!$F$2:$CB$2,0),SUMPRODUCT(('Sales and count'!$G$3:$CC$3="Transactions")*(_xlpm.d&gt;=BI$6)*(_xlpm.d&lt;=BI$7),INDEX('Sales and count'!$G$4:$CC$300,$AJ143,0)))))</f>
        <v/>
      </c>
      <c r="BJ143" s="350" t="str" cm="1">
        <f t="array" ref="BJ143">IF(AV143="","",IF($AJ143="",0,_xlfn.LET(_xlpm.d,IFERROR(--'Sales and count'!$F$2:$CB$2,0),SUMPRODUCT(('Sales and count'!$G$3:$CC$3="Transactions")*(_xlpm.d&gt;=BJ$6)*(_xlpm.d&lt;=BJ$7),INDEX('Sales and count'!$G$4:$CC$300,$AJ143,0)))))</f>
        <v/>
      </c>
      <c r="BK143" s="350" t="str" cm="1">
        <f t="array" ref="BK143">IF(AW143="","",IF($AJ143="",0,_xlfn.LET(_xlpm.d,IFERROR(--'Sales and count'!$F$2:$CB$2,0),SUMPRODUCT(('Sales and count'!$G$3:$CC$3="Transactions")*(_xlpm.d&gt;=BK$6)*(_xlpm.d&lt;=BK$7),INDEX('Sales and count'!$G$4:$CC$300,$AJ143,0)))))</f>
        <v/>
      </c>
      <c r="BL143" s="350" t="str" cm="1">
        <f t="array" ref="BL143">IF(AX143="","",IF($AJ143="",0,_xlfn.LET(_xlpm.d,IFERROR(--'Sales and count'!$F$2:$CB$2,0),SUMPRODUCT(('Sales and count'!$G$3:$CC$3="Transactions")*(_xlpm.d&gt;=BL$6)*(_xlpm.d&lt;=BL$7),INDEX('Sales and count'!$G$4:$CC$300,$AJ143,0)))))</f>
        <v/>
      </c>
      <c r="BM143" s="350" t="str" cm="1">
        <f t="array" ref="BM143">IF(AK143="","",IF($AJ143="",0,_xlfn.LET(_xlpm.d,IFERROR(--'Sales and count'!$G$2:$CC$2,0),SUMPRODUCT(('Sales and count'!$G$3:$CC$3="Total")*(_xlpm.d&gt;=BM$6)*(_xlpm.d&lt;=BM$7),INDEX('Sales and count'!$G$4:$CC$300,$AJ143,0)))))</f>
        <v/>
      </c>
      <c r="BN143" s="350" t="str" cm="1">
        <f t="array" ref="BN143">IF(AL143="","",IF($AJ143="",0,_xlfn.LET(_xlpm.d,IFERROR(--'Sales and count'!$G$2:$CC$2,0),SUMPRODUCT(('Sales and count'!$G$3:$CC$3="Total")*(_xlpm.d&gt;=BN$6)*(_xlpm.d&lt;=BN$7),INDEX('Sales and count'!$G$4:$CC$300,$AJ143,0)))))</f>
        <v/>
      </c>
      <c r="BO143" s="350" t="str" cm="1">
        <f t="array" ref="BO143">IF(AM143="","",IF($AJ143="",0,_xlfn.LET(_xlpm.d,IFERROR(--'Sales and count'!$G$2:$CC$2,0),SUMPRODUCT(('Sales and count'!$G$3:$CC$3="Total")*(_xlpm.d&gt;=BO$6)*(_xlpm.d&lt;=BO$7),INDEX('Sales and count'!$G$4:$CC$300,$AJ143,0)))))</f>
        <v/>
      </c>
      <c r="BP143" s="350" t="str" cm="1">
        <f t="array" ref="BP143">IF(AN143="","",IF($AJ143="",0,_xlfn.LET(_xlpm.d,IFERROR(--'Sales and count'!$G$2:$CC$2,0),SUMPRODUCT(('Sales and count'!$G$3:$CC$3="Total")*(_xlpm.d&gt;=BP$6)*(_xlpm.d&lt;=BP$7),INDEX('Sales and count'!$G$4:$CC$300,$AJ143,0)))))</f>
        <v/>
      </c>
      <c r="BQ143" s="350" t="str" cm="1">
        <f t="array" ref="BQ143">IF(AO143="","",IF($AJ143="",0,_xlfn.LET(_xlpm.d,IFERROR(--'Sales and count'!$G$2:$CC$2,0),SUMPRODUCT(('Sales and count'!$G$3:$CC$3="Total")*(_xlpm.d&gt;=BQ$6)*(_xlpm.d&lt;=BQ$7),INDEX('Sales and count'!$G$4:$CC$300,$AJ143,0)))))</f>
        <v/>
      </c>
      <c r="BR143" s="350" t="str" cm="1">
        <f t="array" ref="BR143">IF(AP143="","",IF($AJ143="",0,_xlfn.LET(_xlpm.d,IFERROR(--'Sales and count'!$G$2:$CC$2,0),SUMPRODUCT(('Sales and count'!$G$3:$CC$3="Total")*(_xlpm.d&gt;=BR$6)*(_xlpm.d&lt;=BR$7),INDEX('Sales and count'!$G$4:$CC$300,$AJ143,0)))))</f>
        <v/>
      </c>
      <c r="BS143" s="350" t="str" cm="1">
        <f t="array" ref="BS143">IF(AQ143="","",IF($AJ143="",0,_xlfn.LET(_xlpm.d,IFERROR(--'Sales and count'!$G$2:$CC$2,0),SUMPRODUCT(('Sales and count'!$G$3:$CC$3="Total")*(_xlpm.d&gt;=BS$6)*(_xlpm.d&lt;=BS$7),INDEX('Sales and count'!$G$4:$CC$300,$AJ143,0)))))</f>
        <v/>
      </c>
      <c r="BT143" s="350" t="str" cm="1">
        <f t="array" ref="BT143">IF(AR143="","",IF($AJ143="",0,_xlfn.LET(_xlpm.d,IFERROR(--'Sales and count'!$G$2:$CC$2,0),SUMPRODUCT(('Sales and count'!$G$3:$CC$3="Total")*(_xlpm.d&gt;=BT$6)*(_xlpm.d&lt;=BT$7),INDEX('Sales and count'!$G$4:$CC$300,$AJ143,0)))))</f>
        <v/>
      </c>
      <c r="BU143" s="350" t="str" cm="1">
        <f t="array" ref="BU143">IF(AS143="","",IF($AJ143="",0,_xlfn.LET(_xlpm.d,IFERROR(--'Sales and count'!$G$2:$CC$2,0),SUMPRODUCT(('Sales and count'!$G$3:$CC$3="Total")*(_xlpm.d&gt;=BU$6)*(_xlpm.d&lt;=BU$7),INDEX('Sales and count'!$G$4:$CC$300,$AJ143,0)))))</f>
        <v/>
      </c>
      <c r="BV143" s="350" t="str" cm="1">
        <f t="array" ref="BV143">IF(AT143="","",IF($AJ143="",0,_xlfn.LET(_xlpm.d,IFERROR(--'Sales and count'!$G$2:$CC$2,0),SUMPRODUCT(('Sales and count'!$G$3:$CC$3="Total")*(_xlpm.d&gt;=BV$6)*(_xlpm.d&lt;=BV$7),INDEX('Sales and count'!$G$4:$CC$300,$AJ143,0)))))</f>
        <v/>
      </c>
      <c r="BW143" s="350" t="str" cm="1">
        <f t="array" ref="BW143">IF(AU143="","",IF($AJ143="",0,_xlfn.LET(_xlpm.d,IFERROR(--'Sales and count'!$G$2:$CC$2,0),SUMPRODUCT(('Sales and count'!$G$3:$CC$3="Total")*(_xlpm.d&gt;=BW$6)*(_xlpm.d&lt;=BW$7),INDEX('Sales and count'!$G$4:$CC$300,$AJ143,0)))))</f>
        <v/>
      </c>
      <c r="BX143" s="350" t="str" cm="1">
        <f t="array" ref="BX143">IF(AV143="","",IF($AJ143="",0,_xlfn.LET(_xlpm.d,IFERROR(--'Sales and count'!$G$2:$CC$2,0),SUMPRODUCT(('Sales and count'!$G$3:$CC$3="Total")*(_xlpm.d&gt;=BX$6)*(_xlpm.d&lt;=BX$7),INDEX('Sales and count'!$G$4:$CC$300,$AJ143,0)))))</f>
        <v/>
      </c>
      <c r="BY143" s="350" t="str" cm="1">
        <f t="array" ref="BY143">IF(AW143="","",IF($AJ143="",0,_xlfn.LET(_xlpm.d,IFERROR(--'Sales and count'!$G$2:$CC$2,0),SUMPRODUCT(('Sales and count'!$G$3:$CC$3="Total")*(_xlpm.d&gt;=BY$6)*(_xlpm.d&lt;=BY$7),INDEX('Sales and count'!$G$4:$CC$300,$AJ143,0)))))</f>
        <v/>
      </c>
      <c r="BZ143" s="350" t="str" cm="1">
        <f t="array" ref="BZ143">IF(AX143="","",IF($AJ143="",0,_xlfn.LET(_xlpm.d,IFERROR(--'Sales and count'!$G$2:$CC$2,0),SUMPRODUCT(('Sales and count'!$G$3:$CC$3="Total")*(_xlpm.d&gt;=BZ$6)*(_xlpm.d&lt;=BZ$7),INDEX('Sales and count'!$G$4:$CC$300,$AJ143,0)))))</f>
        <v/>
      </c>
    </row>
    <row r="144" spans="1:78" x14ac:dyDescent="0.25">
      <c r="A144" s="356"/>
      <c r="B144" s="356" t="str" cm="1">
        <f t="array" ref="B144">IF($A144="","",_xlfn.XLOOKUP($A144,TRIM(Footfall!$B$5:$B$301&amp;""),Footfall!$A$5:$A$301,""))</f>
        <v/>
      </c>
      <c r="C144" s="356" t="str" cm="1">
        <f t="array" ref="C144">IF($A144="","",_xlfn.XLOOKUP($A144,TRIM('Sales and count'!$A$4:$A$300&amp;""),'Sales and count'!$C$4:$C$300,"Not set"))</f>
        <v/>
      </c>
      <c r="D144" s="357" t="str">
        <f t="shared" si="81"/>
        <v/>
      </c>
      <c r="E144" s="357" t="str">
        <f t="shared" si="82"/>
        <v/>
      </c>
      <c r="F144" s="357" t="str">
        <f t="shared" si="83"/>
        <v/>
      </c>
      <c r="G144" s="357" t="str">
        <f t="shared" si="84"/>
        <v/>
      </c>
      <c r="H144" s="357" t="str">
        <f t="shared" si="85"/>
        <v/>
      </c>
      <c r="I144" s="357" t="str">
        <f t="shared" si="86"/>
        <v/>
      </c>
      <c r="J144" s="357" t="str">
        <f t="shared" si="87"/>
        <v/>
      </c>
      <c r="K144" s="357" t="str">
        <f t="shared" si="88"/>
        <v/>
      </c>
      <c r="L144" s="357" t="str">
        <f t="shared" si="89"/>
        <v/>
      </c>
      <c r="M144" s="357" t="str">
        <f t="shared" si="90"/>
        <v/>
      </c>
      <c r="N144" s="357" t="str">
        <f t="shared" si="91"/>
        <v/>
      </c>
      <c r="O144" s="357" t="str">
        <f t="shared" si="92"/>
        <v/>
      </c>
      <c r="P144" s="357" t="str">
        <f t="shared" si="93"/>
        <v/>
      </c>
      <c r="Q144" s="357" t="str">
        <f t="shared" si="94"/>
        <v/>
      </c>
      <c r="R144" s="358" t="str" cm="1">
        <f t="array" ref="R144">IF(OR($A144="",D144=""),"",IFERROR(LOOKUP(2,1/(E144:Q144&lt;&gt;""),E144:Q144)-D144,""))</f>
        <v/>
      </c>
      <c r="S144" s="349"/>
      <c r="T144" s="362" t="str">
        <f t="shared" si="95"/>
        <v/>
      </c>
      <c r="U144" s="362" t="str">
        <f t="shared" si="96"/>
        <v/>
      </c>
      <c r="V144" s="362" t="str">
        <f t="shared" si="97"/>
        <v/>
      </c>
      <c r="W144" s="362" t="str">
        <f t="shared" si="98"/>
        <v/>
      </c>
      <c r="X144" s="362" t="str">
        <f t="shared" si="99"/>
        <v/>
      </c>
      <c r="Y144" s="362" t="str">
        <f t="shared" si="100"/>
        <v/>
      </c>
      <c r="Z144" s="362" t="str">
        <f t="shared" si="101"/>
        <v/>
      </c>
      <c r="AA144" s="362" t="str">
        <f t="shared" si="102"/>
        <v/>
      </c>
      <c r="AB144" s="362" t="str">
        <f t="shared" si="103"/>
        <v/>
      </c>
      <c r="AC144" s="362" t="str">
        <f t="shared" si="104"/>
        <v/>
      </c>
      <c r="AD144" s="362" t="str">
        <f t="shared" si="105"/>
        <v/>
      </c>
      <c r="AE144" s="362" t="str">
        <f t="shared" si="106"/>
        <v/>
      </c>
      <c r="AF144" s="362" t="str">
        <f t="shared" si="107"/>
        <v/>
      </c>
      <c r="AG144" s="362" t="str">
        <f t="shared" si="108"/>
        <v/>
      </c>
      <c r="AH144" s="363" t="str" cm="1">
        <f t="array" ref="AH144">IF(OR($A144="",T144=""),"",IFERROR(LOOKUP(2,1/(U144:AG144&lt;&gt;""),U144:AG144)-T144,""))</f>
        <v/>
      </c>
      <c r="AI144" s="349"/>
      <c r="AJ144" s="349" t="str" cm="1">
        <f t="array" ref="AJ144">IF($A144="","",IFERROR(MATCH($A144,TRIM('Sales and count'!$A$4:$A$300&amp;""),0),""))</f>
        <v/>
      </c>
      <c r="AK144" s="350" t="str" cm="1">
        <f t="array" ref="AK144">IF(OR($A144="",AK$6=""),"",IFERROR(INDEX(Footfall!$C$5:$BZ$301,MATCH($A144,TRIM(Footfall!$B$5:$B$301&amp;""),0),AK$5),0))</f>
        <v/>
      </c>
      <c r="AL144" s="350" t="str" cm="1">
        <f t="array" ref="AL144">IF(OR($A144="",AL$6=""),"",IFERROR(INDEX(Footfall!$C$5:$BZ$301,MATCH($A144,TRIM(Footfall!$B$5:$B$301&amp;""),0),AL$5),0))</f>
        <v/>
      </c>
      <c r="AM144" s="350" t="str" cm="1">
        <f t="array" ref="AM144">IF(OR($A144="",AM$6=""),"",IFERROR(INDEX(Footfall!$C$5:$BZ$301,MATCH($A144,TRIM(Footfall!$B$5:$B$301&amp;""),0),AM$5),0))</f>
        <v/>
      </c>
      <c r="AN144" s="350" t="str" cm="1">
        <f t="array" ref="AN144">IF(OR($A144="",AN$6=""),"",IFERROR(INDEX(Footfall!$C$5:$BZ$301,MATCH($A144,TRIM(Footfall!$B$5:$B$301&amp;""),0),AN$5),0))</f>
        <v/>
      </c>
      <c r="AO144" s="350" t="str" cm="1">
        <f t="array" ref="AO144">IF(OR($A144="",AO$6=""),"",IFERROR(INDEX(Footfall!$C$5:$BZ$301,MATCH($A144,TRIM(Footfall!$B$5:$B$301&amp;""),0),AO$5),0))</f>
        <v/>
      </c>
      <c r="AP144" s="350" t="str" cm="1">
        <f t="array" ref="AP144">IF(OR($A144="",AP$6=""),"",IFERROR(INDEX(Footfall!$C$5:$BZ$301,MATCH($A144,TRIM(Footfall!$B$5:$B$301&amp;""),0),AP$5),0))</f>
        <v/>
      </c>
      <c r="AQ144" s="350" t="str" cm="1">
        <f t="array" ref="AQ144">IF(OR($A144="",AQ$6=""),"",IFERROR(INDEX(Footfall!$C$5:$BZ$301,MATCH($A144,TRIM(Footfall!$B$5:$B$301&amp;""),0),AQ$5),0))</f>
        <v/>
      </c>
      <c r="AR144" s="350" t="str" cm="1">
        <f t="array" ref="AR144">IF(OR($A144="",AR$6=""),"",IFERROR(INDEX(Footfall!$C$5:$BZ$301,MATCH($A144,TRIM(Footfall!$B$5:$B$301&amp;""),0),AR$5),0))</f>
        <v/>
      </c>
      <c r="AS144" s="350" t="str" cm="1">
        <f t="array" ref="AS144">IF(OR($A144="",AS$6=""),"",IFERROR(INDEX(Footfall!$C$5:$BZ$301,MATCH($A144,TRIM(Footfall!$B$5:$B$301&amp;""),0),AS$5),0))</f>
        <v/>
      </c>
      <c r="AT144" s="350" t="str" cm="1">
        <f t="array" ref="AT144">IF(OR($A144="",AT$6=""),"",IFERROR(INDEX(Footfall!$C$5:$BZ$301,MATCH($A144,TRIM(Footfall!$B$5:$B$301&amp;""),0),AT$5),0))</f>
        <v/>
      </c>
      <c r="AU144" s="350" t="str" cm="1">
        <f t="array" ref="AU144">IF(OR($A144="",AU$6=""),"",IFERROR(INDEX(Footfall!$C$5:$BZ$301,MATCH($A144,TRIM(Footfall!$B$5:$B$301&amp;""),0),AU$5),0))</f>
        <v/>
      </c>
      <c r="AV144" s="350" t="str" cm="1">
        <f t="array" ref="AV144">IF(OR($A144="",AV$6=""),"",IFERROR(INDEX(Footfall!$C$5:$BZ$301,MATCH($A144,TRIM(Footfall!$B$5:$B$301&amp;""),0),AV$5),0))</f>
        <v/>
      </c>
      <c r="AW144" s="350" t="str" cm="1">
        <f t="array" ref="AW144">IF(OR($A144="",AW$6=""),"",IFERROR(INDEX(Footfall!$C$5:$BZ$301,MATCH($A144,TRIM(Footfall!$B$5:$B$301&amp;""),0),AW$5),0))</f>
        <v/>
      </c>
      <c r="AX144" s="350" t="str" cm="1">
        <f t="array" ref="AX144">IF(OR($A144="",AX$6=""),"",IFERROR(INDEX(Footfall!$C$5:$BZ$301,MATCH($A144,TRIM(Footfall!$B$5:$B$301&amp;""),0),AX$5),0))</f>
        <v/>
      </c>
      <c r="AY144" s="350" t="str" cm="1">
        <f t="array" ref="AY144">IF(AK144="","",IF($AJ144="",0,_xlfn.LET(_xlpm.d,IFERROR(--'Sales and count'!$F$2:$CB$2,0),SUMPRODUCT(('Sales and count'!$G$3:$CC$3="Transactions")*(_xlpm.d&gt;=AY$6)*(_xlpm.d&lt;=AY$7),INDEX('Sales and count'!$G$4:$CC$300,$AJ144,0)))))</f>
        <v/>
      </c>
      <c r="AZ144" s="350" t="str" cm="1">
        <f t="array" ref="AZ144">IF(AL144="","",IF($AJ144="",0,_xlfn.LET(_xlpm.d,IFERROR(--'Sales and count'!$F$2:$CB$2,0),SUMPRODUCT(('Sales and count'!$G$3:$CC$3="Transactions")*(_xlpm.d&gt;=AZ$6)*(_xlpm.d&lt;=AZ$7),INDEX('Sales and count'!$G$4:$CC$300,$AJ144,0)))))</f>
        <v/>
      </c>
      <c r="BA144" s="350" t="str" cm="1">
        <f t="array" ref="BA144">IF(AM144="","",IF($AJ144="",0,_xlfn.LET(_xlpm.d,IFERROR(--'Sales and count'!$F$2:$CB$2,0),SUMPRODUCT(('Sales and count'!$G$3:$CC$3="Transactions")*(_xlpm.d&gt;=BA$6)*(_xlpm.d&lt;=BA$7),INDEX('Sales and count'!$G$4:$CC$300,$AJ144,0)))))</f>
        <v/>
      </c>
      <c r="BB144" s="350" t="str" cm="1">
        <f t="array" ref="BB144">IF(AN144="","",IF($AJ144="",0,_xlfn.LET(_xlpm.d,IFERROR(--'Sales and count'!$F$2:$CB$2,0),SUMPRODUCT(('Sales and count'!$G$3:$CC$3="Transactions")*(_xlpm.d&gt;=BB$6)*(_xlpm.d&lt;=BB$7),INDEX('Sales and count'!$G$4:$CC$300,$AJ144,0)))))</f>
        <v/>
      </c>
      <c r="BC144" s="350" t="str" cm="1">
        <f t="array" ref="BC144">IF(AO144="","",IF($AJ144="",0,_xlfn.LET(_xlpm.d,IFERROR(--'Sales and count'!$F$2:$CB$2,0),SUMPRODUCT(('Sales and count'!$G$3:$CC$3="Transactions")*(_xlpm.d&gt;=BC$6)*(_xlpm.d&lt;=BC$7),INDEX('Sales and count'!$G$4:$CC$300,$AJ144,0)))))</f>
        <v/>
      </c>
      <c r="BD144" s="350" t="str" cm="1">
        <f t="array" ref="BD144">IF(AP144="","",IF($AJ144="",0,_xlfn.LET(_xlpm.d,IFERROR(--'Sales and count'!$F$2:$CB$2,0),SUMPRODUCT(('Sales and count'!$G$3:$CC$3="Transactions")*(_xlpm.d&gt;=BD$6)*(_xlpm.d&lt;=BD$7),INDEX('Sales and count'!$G$4:$CC$300,$AJ144,0)))))</f>
        <v/>
      </c>
      <c r="BE144" s="350" t="str" cm="1">
        <f t="array" ref="BE144">IF(AQ144="","",IF($AJ144="",0,_xlfn.LET(_xlpm.d,IFERROR(--'Sales and count'!$F$2:$CB$2,0),SUMPRODUCT(('Sales and count'!$G$3:$CC$3="Transactions")*(_xlpm.d&gt;=BE$6)*(_xlpm.d&lt;=BE$7),INDEX('Sales and count'!$G$4:$CC$300,$AJ144,0)))))</f>
        <v/>
      </c>
      <c r="BF144" s="350" t="str" cm="1">
        <f t="array" ref="BF144">IF(AR144="","",IF($AJ144="",0,_xlfn.LET(_xlpm.d,IFERROR(--'Sales and count'!$F$2:$CB$2,0),SUMPRODUCT(('Sales and count'!$G$3:$CC$3="Transactions")*(_xlpm.d&gt;=BF$6)*(_xlpm.d&lt;=BF$7),INDEX('Sales and count'!$G$4:$CC$300,$AJ144,0)))))</f>
        <v/>
      </c>
      <c r="BG144" s="350" t="str" cm="1">
        <f t="array" ref="BG144">IF(AS144="","",IF($AJ144="",0,_xlfn.LET(_xlpm.d,IFERROR(--'Sales and count'!$F$2:$CB$2,0),SUMPRODUCT(('Sales and count'!$G$3:$CC$3="Transactions")*(_xlpm.d&gt;=BG$6)*(_xlpm.d&lt;=BG$7),INDEX('Sales and count'!$G$4:$CC$300,$AJ144,0)))))</f>
        <v/>
      </c>
      <c r="BH144" s="350" t="str" cm="1">
        <f t="array" ref="BH144">IF(AT144="","",IF($AJ144="",0,_xlfn.LET(_xlpm.d,IFERROR(--'Sales and count'!$F$2:$CB$2,0),SUMPRODUCT(('Sales and count'!$G$3:$CC$3="Transactions")*(_xlpm.d&gt;=BH$6)*(_xlpm.d&lt;=BH$7),INDEX('Sales and count'!$G$4:$CC$300,$AJ144,0)))))</f>
        <v/>
      </c>
      <c r="BI144" s="350" t="str" cm="1">
        <f t="array" ref="BI144">IF(AU144="","",IF($AJ144="",0,_xlfn.LET(_xlpm.d,IFERROR(--'Sales and count'!$F$2:$CB$2,0),SUMPRODUCT(('Sales and count'!$G$3:$CC$3="Transactions")*(_xlpm.d&gt;=BI$6)*(_xlpm.d&lt;=BI$7),INDEX('Sales and count'!$G$4:$CC$300,$AJ144,0)))))</f>
        <v/>
      </c>
      <c r="BJ144" s="350" t="str" cm="1">
        <f t="array" ref="BJ144">IF(AV144="","",IF($AJ144="",0,_xlfn.LET(_xlpm.d,IFERROR(--'Sales and count'!$F$2:$CB$2,0),SUMPRODUCT(('Sales and count'!$G$3:$CC$3="Transactions")*(_xlpm.d&gt;=BJ$6)*(_xlpm.d&lt;=BJ$7),INDEX('Sales and count'!$G$4:$CC$300,$AJ144,0)))))</f>
        <v/>
      </c>
      <c r="BK144" s="350" t="str" cm="1">
        <f t="array" ref="BK144">IF(AW144="","",IF($AJ144="",0,_xlfn.LET(_xlpm.d,IFERROR(--'Sales and count'!$F$2:$CB$2,0),SUMPRODUCT(('Sales and count'!$G$3:$CC$3="Transactions")*(_xlpm.d&gt;=BK$6)*(_xlpm.d&lt;=BK$7),INDEX('Sales and count'!$G$4:$CC$300,$AJ144,0)))))</f>
        <v/>
      </c>
      <c r="BL144" s="350" t="str" cm="1">
        <f t="array" ref="BL144">IF(AX144="","",IF($AJ144="",0,_xlfn.LET(_xlpm.d,IFERROR(--'Sales and count'!$F$2:$CB$2,0),SUMPRODUCT(('Sales and count'!$G$3:$CC$3="Transactions")*(_xlpm.d&gt;=BL$6)*(_xlpm.d&lt;=BL$7),INDEX('Sales and count'!$G$4:$CC$300,$AJ144,0)))))</f>
        <v/>
      </c>
      <c r="BM144" s="350" t="str" cm="1">
        <f t="array" ref="BM144">IF(AK144="","",IF($AJ144="",0,_xlfn.LET(_xlpm.d,IFERROR(--'Sales and count'!$G$2:$CC$2,0),SUMPRODUCT(('Sales and count'!$G$3:$CC$3="Total")*(_xlpm.d&gt;=BM$6)*(_xlpm.d&lt;=BM$7),INDEX('Sales and count'!$G$4:$CC$300,$AJ144,0)))))</f>
        <v/>
      </c>
      <c r="BN144" s="350" t="str" cm="1">
        <f t="array" ref="BN144">IF(AL144="","",IF($AJ144="",0,_xlfn.LET(_xlpm.d,IFERROR(--'Sales and count'!$G$2:$CC$2,0),SUMPRODUCT(('Sales and count'!$G$3:$CC$3="Total")*(_xlpm.d&gt;=BN$6)*(_xlpm.d&lt;=BN$7),INDEX('Sales and count'!$G$4:$CC$300,$AJ144,0)))))</f>
        <v/>
      </c>
      <c r="BO144" s="350" t="str" cm="1">
        <f t="array" ref="BO144">IF(AM144="","",IF($AJ144="",0,_xlfn.LET(_xlpm.d,IFERROR(--'Sales and count'!$G$2:$CC$2,0),SUMPRODUCT(('Sales and count'!$G$3:$CC$3="Total")*(_xlpm.d&gt;=BO$6)*(_xlpm.d&lt;=BO$7),INDEX('Sales and count'!$G$4:$CC$300,$AJ144,0)))))</f>
        <v/>
      </c>
      <c r="BP144" s="350" t="str" cm="1">
        <f t="array" ref="BP144">IF(AN144="","",IF($AJ144="",0,_xlfn.LET(_xlpm.d,IFERROR(--'Sales and count'!$G$2:$CC$2,0),SUMPRODUCT(('Sales and count'!$G$3:$CC$3="Total")*(_xlpm.d&gt;=BP$6)*(_xlpm.d&lt;=BP$7),INDEX('Sales and count'!$G$4:$CC$300,$AJ144,0)))))</f>
        <v/>
      </c>
      <c r="BQ144" s="350" t="str" cm="1">
        <f t="array" ref="BQ144">IF(AO144="","",IF($AJ144="",0,_xlfn.LET(_xlpm.d,IFERROR(--'Sales and count'!$G$2:$CC$2,0),SUMPRODUCT(('Sales and count'!$G$3:$CC$3="Total")*(_xlpm.d&gt;=BQ$6)*(_xlpm.d&lt;=BQ$7),INDEX('Sales and count'!$G$4:$CC$300,$AJ144,0)))))</f>
        <v/>
      </c>
      <c r="BR144" s="350" t="str" cm="1">
        <f t="array" ref="BR144">IF(AP144="","",IF($AJ144="",0,_xlfn.LET(_xlpm.d,IFERROR(--'Sales and count'!$G$2:$CC$2,0),SUMPRODUCT(('Sales and count'!$G$3:$CC$3="Total")*(_xlpm.d&gt;=BR$6)*(_xlpm.d&lt;=BR$7),INDEX('Sales and count'!$G$4:$CC$300,$AJ144,0)))))</f>
        <v/>
      </c>
      <c r="BS144" s="350" t="str" cm="1">
        <f t="array" ref="BS144">IF(AQ144="","",IF($AJ144="",0,_xlfn.LET(_xlpm.d,IFERROR(--'Sales and count'!$G$2:$CC$2,0),SUMPRODUCT(('Sales and count'!$G$3:$CC$3="Total")*(_xlpm.d&gt;=BS$6)*(_xlpm.d&lt;=BS$7),INDEX('Sales and count'!$G$4:$CC$300,$AJ144,0)))))</f>
        <v/>
      </c>
      <c r="BT144" s="350" t="str" cm="1">
        <f t="array" ref="BT144">IF(AR144="","",IF($AJ144="",0,_xlfn.LET(_xlpm.d,IFERROR(--'Sales and count'!$G$2:$CC$2,0),SUMPRODUCT(('Sales and count'!$G$3:$CC$3="Total")*(_xlpm.d&gt;=BT$6)*(_xlpm.d&lt;=BT$7),INDEX('Sales and count'!$G$4:$CC$300,$AJ144,0)))))</f>
        <v/>
      </c>
      <c r="BU144" s="350" t="str" cm="1">
        <f t="array" ref="BU144">IF(AS144="","",IF($AJ144="",0,_xlfn.LET(_xlpm.d,IFERROR(--'Sales and count'!$G$2:$CC$2,0),SUMPRODUCT(('Sales and count'!$G$3:$CC$3="Total")*(_xlpm.d&gt;=BU$6)*(_xlpm.d&lt;=BU$7),INDEX('Sales and count'!$G$4:$CC$300,$AJ144,0)))))</f>
        <v/>
      </c>
      <c r="BV144" s="350" t="str" cm="1">
        <f t="array" ref="BV144">IF(AT144="","",IF($AJ144="",0,_xlfn.LET(_xlpm.d,IFERROR(--'Sales and count'!$G$2:$CC$2,0),SUMPRODUCT(('Sales and count'!$G$3:$CC$3="Total")*(_xlpm.d&gt;=BV$6)*(_xlpm.d&lt;=BV$7),INDEX('Sales and count'!$G$4:$CC$300,$AJ144,0)))))</f>
        <v/>
      </c>
      <c r="BW144" s="350" t="str" cm="1">
        <f t="array" ref="BW144">IF(AU144="","",IF($AJ144="",0,_xlfn.LET(_xlpm.d,IFERROR(--'Sales and count'!$G$2:$CC$2,0),SUMPRODUCT(('Sales and count'!$G$3:$CC$3="Total")*(_xlpm.d&gt;=BW$6)*(_xlpm.d&lt;=BW$7),INDEX('Sales and count'!$G$4:$CC$300,$AJ144,0)))))</f>
        <v/>
      </c>
      <c r="BX144" s="350" t="str" cm="1">
        <f t="array" ref="BX144">IF(AV144="","",IF($AJ144="",0,_xlfn.LET(_xlpm.d,IFERROR(--'Sales and count'!$G$2:$CC$2,0),SUMPRODUCT(('Sales and count'!$G$3:$CC$3="Total")*(_xlpm.d&gt;=BX$6)*(_xlpm.d&lt;=BX$7),INDEX('Sales and count'!$G$4:$CC$300,$AJ144,0)))))</f>
        <v/>
      </c>
      <c r="BY144" s="350" t="str" cm="1">
        <f t="array" ref="BY144">IF(AW144="","",IF($AJ144="",0,_xlfn.LET(_xlpm.d,IFERROR(--'Sales and count'!$G$2:$CC$2,0),SUMPRODUCT(('Sales and count'!$G$3:$CC$3="Total")*(_xlpm.d&gt;=BY$6)*(_xlpm.d&lt;=BY$7),INDEX('Sales and count'!$G$4:$CC$300,$AJ144,0)))))</f>
        <v/>
      </c>
      <c r="BZ144" s="350" t="str" cm="1">
        <f t="array" ref="BZ144">IF(AX144="","",IF($AJ144="",0,_xlfn.LET(_xlpm.d,IFERROR(--'Sales and count'!$G$2:$CC$2,0),SUMPRODUCT(('Sales and count'!$G$3:$CC$3="Total")*(_xlpm.d&gt;=BZ$6)*(_xlpm.d&lt;=BZ$7),INDEX('Sales and count'!$G$4:$CC$300,$AJ144,0)))))</f>
        <v/>
      </c>
    </row>
    <row r="145" spans="1:78" x14ac:dyDescent="0.25">
      <c r="A145" s="356"/>
      <c r="B145" s="356" t="str" cm="1">
        <f t="array" ref="B145">IF($A145="","",_xlfn.XLOOKUP($A145,TRIM(Footfall!$B$5:$B$301&amp;""),Footfall!$A$5:$A$301,""))</f>
        <v/>
      </c>
      <c r="C145" s="356" t="str" cm="1">
        <f t="array" ref="C145">IF($A145="","",_xlfn.XLOOKUP($A145,TRIM('Sales and count'!$A$4:$A$300&amp;""),'Sales and count'!$C$4:$C$300,"Not set"))</f>
        <v/>
      </c>
      <c r="D145" s="357" t="str">
        <f t="shared" si="81"/>
        <v/>
      </c>
      <c r="E145" s="357" t="str">
        <f t="shared" si="82"/>
        <v/>
      </c>
      <c r="F145" s="357" t="str">
        <f t="shared" si="83"/>
        <v/>
      </c>
      <c r="G145" s="357" t="str">
        <f t="shared" si="84"/>
        <v/>
      </c>
      <c r="H145" s="357" t="str">
        <f t="shared" si="85"/>
        <v/>
      </c>
      <c r="I145" s="357" t="str">
        <f t="shared" si="86"/>
        <v/>
      </c>
      <c r="J145" s="357" t="str">
        <f t="shared" si="87"/>
        <v/>
      </c>
      <c r="K145" s="357" t="str">
        <f t="shared" si="88"/>
        <v/>
      </c>
      <c r="L145" s="357" t="str">
        <f t="shared" si="89"/>
        <v/>
      </c>
      <c r="M145" s="357" t="str">
        <f t="shared" si="90"/>
        <v/>
      </c>
      <c r="N145" s="357" t="str">
        <f t="shared" si="91"/>
        <v/>
      </c>
      <c r="O145" s="357" t="str">
        <f t="shared" si="92"/>
        <v/>
      </c>
      <c r="P145" s="357" t="str">
        <f t="shared" si="93"/>
        <v/>
      </c>
      <c r="Q145" s="357" t="str">
        <f t="shared" si="94"/>
        <v/>
      </c>
      <c r="R145" s="358" t="str" cm="1">
        <f t="array" ref="R145">IF(OR($A145="",D145=""),"",IFERROR(LOOKUP(2,1/(E145:Q145&lt;&gt;""),E145:Q145)-D145,""))</f>
        <v/>
      </c>
      <c r="S145" s="349"/>
      <c r="T145" s="362" t="str">
        <f t="shared" si="95"/>
        <v/>
      </c>
      <c r="U145" s="362" t="str">
        <f t="shared" si="96"/>
        <v/>
      </c>
      <c r="V145" s="362" t="str">
        <f t="shared" si="97"/>
        <v/>
      </c>
      <c r="W145" s="362" t="str">
        <f t="shared" si="98"/>
        <v/>
      </c>
      <c r="X145" s="362" t="str">
        <f t="shared" si="99"/>
        <v/>
      </c>
      <c r="Y145" s="362" t="str">
        <f t="shared" si="100"/>
        <v/>
      </c>
      <c r="Z145" s="362" t="str">
        <f t="shared" si="101"/>
        <v/>
      </c>
      <c r="AA145" s="362" t="str">
        <f t="shared" si="102"/>
        <v/>
      </c>
      <c r="AB145" s="362" t="str">
        <f t="shared" si="103"/>
        <v/>
      </c>
      <c r="AC145" s="362" t="str">
        <f t="shared" si="104"/>
        <v/>
      </c>
      <c r="AD145" s="362" t="str">
        <f t="shared" si="105"/>
        <v/>
      </c>
      <c r="AE145" s="362" t="str">
        <f t="shared" si="106"/>
        <v/>
      </c>
      <c r="AF145" s="362" t="str">
        <f t="shared" si="107"/>
        <v/>
      </c>
      <c r="AG145" s="362" t="str">
        <f t="shared" si="108"/>
        <v/>
      </c>
      <c r="AH145" s="363" t="str" cm="1">
        <f t="array" ref="AH145">IF(OR($A145="",T145=""),"",IFERROR(LOOKUP(2,1/(U145:AG145&lt;&gt;""),U145:AG145)-T145,""))</f>
        <v/>
      </c>
      <c r="AI145" s="349"/>
      <c r="AJ145" s="349" t="str" cm="1">
        <f t="array" ref="AJ145">IF($A145="","",IFERROR(MATCH($A145,TRIM('Sales and count'!$A$4:$A$300&amp;""),0),""))</f>
        <v/>
      </c>
      <c r="AK145" s="350" t="str" cm="1">
        <f t="array" ref="AK145">IF(OR($A145="",AK$6=""),"",IFERROR(INDEX(Footfall!$C$5:$BZ$301,MATCH($A145,TRIM(Footfall!$B$5:$B$301&amp;""),0),AK$5),0))</f>
        <v/>
      </c>
      <c r="AL145" s="350" t="str" cm="1">
        <f t="array" ref="AL145">IF(OR($A145="",AL$6=""),"",IFERROR(INDEX(Footfall!$C$5:$BZ$301,MATCH($A145,TRIM(Footfall!$B$5:$B$301&amp;""),0),AL$5),0))</f>
        <v/>
      </c>
      <c r="AM145" s="350" t="str" cm="1">
        <f t="array" ref="AM145">IF(OR($A145="",AM$6=""),"",IFERROR(INDEX(Footfall!$C$5:$BZ$301,MATCH($A145,TRIM(Footfall!$B$5:$B$301&amp;""),0),AM$5),0))</f>
        <v/>
      </c>
      <c r="AN145" s="350" t="str" cm="1">
        <f t="array" ref="AN145">IF(OR($A145="",AN$6=""),"",IFERROR(INDEX(Footfall!$C$5:$BZ$301,MATCH($A145,TRIM(Footfall!$B$5:$B$301&amp;""),0),AN$5),0))</f>
        <v/>
      </c>
      <c r="AO145" s="350" t="str" cm="1">
        <f t="array" ref="AO145">IF(OR($A145="",AO$6=""),"",IFERROR(INDEX(Footfall!$C$5:$BZ$301,MATCH($A145,TRIM(Footfall!$B$5:$B$301&amp;""),0),AO$5),0))</f>
        <v/>
      </c>
      <c r="AP145" s="350" t="str" cm="1">
        <f t="array" ref="AP145">IF(OR($A145="",AP$6=""),"",IFERROR(INDEX(Footfall!$C$5:$BZ$301,MATCH($A145,TRIM(Footfall!$B$5:$B$301&amp;""),0),AP$5),0))</f>
        <v/>
      </c>
      <c r="AQ145" s="350" t="str" cm="1">
        <f t="array" ref="AQ145">IF(OR($A145="",AQ$6=""),"",IFERROR(INDEX(Footfall!$C$5:$BZ$301,MATCH($A145,TRIM(Footfall!$B$5:$B$301&amp;""),0),AQ$5),0))</f>
        <v/>
      </c>
      <c r="AR145" s="350" t="str" cm="1">
        <f t="array" ref="AR145">IF(OR($A145="",AR$6=""),"",IFERROR(INDEX(Footfall!$C$5:$BZ$301,MATCH($A145,TRIM(Footfall!$B$5:$B$301&amp;""),0),AR$5),0))</f>
        <v/>
      </c>
      <c r="AS145" s="350" t="str" cm="1">
        <f t="array" ref="AS145">IF(OR($A145="",AS$6=""),"",IFERROR(INDEX(Footfall!$C$5:$BZ$301,MATCH($A145,TRIM(Footfall!$B$5:$B$301&amp;""),0),AS$5),0))</f>
        <v/>
      </c>
      <c r="AT145" s="350" t="str" cm="1">
        <f t="array" ref="AT145">IF(OR($A145="",AT$6=""),"",IFERROR(INDEX(Footfall!$C$5:$BZ$301,MATCH($A145,TRIM(Footfall!$B$5:$B$301&amp;""),0),AT$5),0))</f>
        <v/>
      </c>
      <c r="AU145" s="350" t="str" cm="1">
        <f t="array" ref="AU145">IF(OR($A145="",AU$6=""),"",IFERROR(INDEX(Footfall!$C$5:$BZ$301,MATCH($A145,TRIM(Footfall!$B$5:$B$301&amp;""),0),AU$5),0))</f>
        <v/>
      </c>
      <c r="AV145" s="350" t="str" cm="1">
        <f t="array" ref="AV145">IF(OR($A145="",AV$6=""),"",IFERROR(INDEX(Footfall!$C$5:$BZ$301,MATCH($A145,TRIM(Footfall!$B$5:$B$301&amp;""),0),AV$5),0))</f>
        <v/>
      </c>
      <c r="AW145" s="350" t="str" cm="1">
        <f t="array" ref="AW145">IF(OR($A145="",AW$6=""),"",IFERROR(INDEX(Footfall!$C$5:$BZ$301,MATCH($A145,TRIM(Footfall!$B$5:$B$301&amp;""),0),AW$5),0))</f>
        <v/>
      </c>
      <c r="AX145" s="350" t="str" cm="1">
        <f t="array" ref="AX145">IF(OR($A145="",AX$6=""),"",IFERROR(INDEX(Footfall!$C$5:$BZ$301,MATCH($A145,TRIM(Footfall!$B$5:$B$301&amp;""),0),AX$5),0))</f>
        <v/>
      </c>
      <c r="AY145" s="350" t="str" cm="1">
        <f t="array" ref="AY145">IF(AK145="","",IF($AJ145="",0,_xlfn.LET(_xlpm.d,IFERROR(--'Sales and count'!$F$2:$CB$2,0),SUMPRODUCT(('Sales and count'!$G$3:$CC$3="Transactions")*(_xlpm.d&gt;=AY$6)*(_xlpm.d&lt;=AY$7),INDEX('Sales and count'!$G$4:$CC$300,$AJ145,0)))))</f>
        <v/>
      </c>
      <c r="AZ145" s="350" t="str" cm="1">
        <f t="array" ref="AZ145">IF(AL145="","",IF($AJ145="",0,_xlfn.LET(_xlpm.d,IFERROR(--'Sales and count'!$F$2:$CB$2,0),SUMPRODUCT(('Sales and count'!$G$3:$CC$3="Transactions")*(_xlpm.d&gt;=AZ$6)*(_xlpm.d&lt;=AZ$7),INDEX('Sales and count'!$G$4:$CC$300,$AJ145,0)))))</f>
        <v/>
      </c>
      <c r="BA145" s="350" t="str" cm="1">
        <f t="array" ref="BA145">IF(AM145="","",IF($AJ145="",0,_xlfn.LET(_xlpm.d,IFERROR(--'Sales and count'!$F$2:$CB$2,0),SUMPRODUCT(('Sales and count'!$G$3:$CC$3="Transactions")*(_xlpm.d&gt;=BA$6)*(_xlpm.d&lt;=BA$7),INDEX('Sales and count'!$G$4:$CC$300,$AJ145,0)))))</f>
        <v/>
      </c>
      <c r="BB145" s="350" t="str" cm="1">
        <f t="array" ref="BB145">IF(AN145="","",IF($AJ145="",0,_xlfn.LET(_xlpm.d,IFERROR(--'Sales and count'!$F$2:$CB$2,0),SUMPRODUCT(('Sales and count'!$G$3:$CC$3="Transactions")*(_xlpm.d&gt;=BB$6)*(_xlpm.d&lt;=BB$7),INDEX('Sales and count'!$G$4:$CC$300,$AJ145,0)))))</f>
        <v/>
      </c>
      <c r="BC145" s="350" t="str" cm="1">
        <f t="array" ref="BC145">IF(AO145="","",IF($AJ145="",0,_xlfn.LET(_xlpm.d,IFERROR(--'Sales and count'!$F$2:$CB$2,0),SUMPRODUCT(('Sales and count'!$G$3:$CC$3="Transactions")*(_xlpm.d&gt;=BC$6)*(_xlpm.d&lt;=BC$7),INDEX('Sales and count'!$G$4:$CC$300,$AJ145,0)))))</f>
        <v/>
      </c>
      <c r="BD145" s="350" t="str" cm="1">
        <f t="array" ref="BD145">IF(AP145="","",IF($AJ145="",0,_xlfn.LET(_xlpm.d,IFERROR(--'Sales and count'!$F$2:$CB$2,0),SUMPRODUCT(('Sales and count'!$G$3:$CC$3="Transactions")*(_xlpm.d&gt;=BD$6)*(_xlpm.d&lt;=BD$7),INDEX('Sales and count'!$G$4:$CC$300,$AJ145,0)))))</f>
        <v/>
      </c>
      <c r="BE145" s="350" t="str" cm="1">
        <f t="array" ref="BE145">IF(AQ145="","",IF($AJ145="",0,_xlfn.LET(_xlpm.d,IFERROR(--'Sales and count'!$F$2:$CB$2,0),SUMPRODUCT(('Sales and count'!$G$3:$CC$3="Transactions")*(_xlpm.d&gt;=BE$6)*(_xlpm.d&lt;=BE$7),INDEX('Sales and count'!$G$4:$CC$300,$AJ145,0)))))</f>
        <v/>
      </c>
      <c r="BF145" s="350" t="str" cm="1">
        <f t="array" ref="BF145">IF(AR145="","",IF($AJ145="",0,_xlfn.LET(_xlpm.d,IFERROR(--'Sales and count'!$F$2:$CB$2,0),SUMPRODUCT(('Sales and count'!$G$3:$CC$3="Transactions")*(_xlpm.d&gt;=BF$6)*(_xlpm.d&lt;=BF$7),INDEX('Sales and count'!$G$4:$CC$300,$AJ145,0)))))</f>
        <v/>
      </c>
      <c r="BG145" s="350" t="str" cm="1">
        <f t="array" ref="BG145">IF(AS145="","",IF($AJ145="",0,_xlfn.LET(_xlpm.d,IFERROR(--'Sales and count'!$F$2:$CB$2,0),SUMPRODUCT(('Sales and count'!$G$3:$CC$3="Transactions")*(_xlpm.d&gt;=BG$6)*(_xlpm.d&lt;=BG$7),INDEX('Sales and count'!$G$4:$CC$300,$AJ145,0)))))</f>
        <v/>
      </c>
      <c r="BH145" s="350" t="str" cm="1">
        <f t="array" ref="BH145">IF(AT145="","",IF($AJ145="",0,_xlfn.LET(_xlpm.d,IFERROR(--'Sales and count'!$F$2:$CB$2,0),SUMPRODUCT(('Sales and count'!$G$3:$CC$3="Transactions")*(_xlpm.d&gt;=BH$6)*(_xlpm.d&lt;=BH$7),INDEX('Sales and count'!$G$4:$CC$300,$AJ145,0)))))</f>
        <v/>
      </c>
      <c r="BI145" s="350" t="str" cm="1">
        <f t="array" ref="BI145">IF(AU145="","",IF($AJ145="",0,_xlfn.LET(_xlpm.d,IFERROR(--'Sales and count'!$F$2:$CB$2,0),SUMPRODUCT(('Sales and count'!$G$3:$CC$3="Transactions")*(_xlpm.d&gt;=BI$6)*(_xlpm.d&lt;=BI$7),INDEX('Sales and count'!$G$4:$CC$300,$AJ145,0)))))</f>
        <v/>
      </c>
      <c r="BJ145" s="350" t="str" cm="1">
        <f t="array" ref="BJ145">IF(AV145="","",IF($AJ145="",0,_xlfn.LET(_xlpm.d,IFERROR(--'Sales and count'!$F$2:$CB$2,0),SUMPRODUCT(('Sales and count'!$G$3:$CC$3="Transactions")*(_xlpm.d&gt;=BJ$6)*(_xlpm.d&lt;=BJ$7),INDEX('Sales and count'!$G$4:$CC$300,$AJ145,0)))))</f>
        <v/>
      </c>
      <c r="BK145" s="350" t="str" cm="1">
        <f t="array" ref="BK145">IF(AW145="","",IF($AJ145="",0,_xlfn.LET(_xlpm.d,IFERROR(--'Sales and count'!$F$2:$CB$2,0),SUMPRODUCT(('Sales and count'!$G$3:$CC$3="Transactions")*(_xlpm.d&gt;=BK$6)*(_xlpm.d&lt;=BK$7),INDEX('Sales and count'!$G$4:$CC$300,$AJ145,0)))))</f>
        <v/>
      </c>
      <c r="BL145" s="350" t="str" cm="1">
        <f t="array" ref="BL145">IF(AX145="","",IF($AJ145="",0,_xlfn.LET(_xlpm.d,IFERROR(--'Sales and count'!$F$2:$CB$2,0),SUMPRODUCT(('Sales and count'!$G$3:$CC$3="Transactions")*(_xlpm.d&gt;=BL$6)*(_xlpm.d&lt;=BL$7),INDEX('Sales and count'!$G$4:$CC$300,$AJ145,0)))))</f>
        <v/>
      </c>
      <c r="BM145" s="350" t="str" cm="1">
        <f t="array" ref="BM145">IF(AK145="","",IF($AJ145="",0,_xlfn.LET(_xlpm.d,IFERROR(--'Sales and count'!$G$2:$CC$2,0),SUMPRODUCT(('Sales and count'!$G$3:$CC$3="Total")*(_xlpm.d&gt;=BM$6)*(_xlpm.d&lt;=BM$7),INDEX('Sales and count'!$G$4:$CC$300,$AJ145,0)))))</f>
        <v/>
      </c>
      <c r="BN145" s="350" t="str" cm="1">
        <f t="array" ref="BN145">IF(AL145="","",IF($AJ145="",0,_xlfn.LET(_xlpm.d,IFERROR(--'Sales and count'!$G$2:$CC$2,0),SUMPRODUCT(('Sales and count'!$G$3:$CC$3="Total")*(_xlpm.d&gt;=BN$6)*(_xlpm.d&lt;=BN$7),INDEX('Sales and count'!$G$4:$CC$300,$AJ145,0)))))</f>
        <v/>
      </c>
      <c r="BO145" s="350" t="str" cm="1">
        <f t="array" ref="BO145">IF(AM145="","",IF($AJ145="",0,_xlfn.LET(_xlpm.d,IFERROR(--'Sales and count'!$G$2:$CC$2,0),SUMPRODUCT(('Sales and count'!$G$3:$CC$3="Total")*(_xlpm.d&gt;=BO$6)*(_xlpm.d&lt;=BO$7),INDEX('Sales and count'!$G$4:$CC$300,$AJ145,0)))))</f>
        <v/>
      </c>
      <c r="BP145" s="350" t="str" cm="1">
        <f t="array" ref="BP145">IF(AN145="","",IF($AJ145="",0,_xlfn.LET(_xlpm.d,IFERROR(--'Sales and count'!$G$2:$CC$2,0),SUMPRODUCT(('Sales and count'!$G$3:$CC$3="Total")*(_xlpm.d&gt;=BP$6)*(_xlpm.d&lt;=BP$7),INDEX('Sales and count'!$G$4:$CC$300,$AJ145,0)))))</f>
        <v/>
      </c>
      <c r="BQ145" s="350" t="str" cm="1">
        <f t="array" ref="BQ145">IF(AO145="","",IF($AJ145="",0,_xlfn.LET(_xlpm.d,IFERROR(--'Sales and count'!$G$2:$CC$2,0),SUMPRODUCT(('Sales and count'!$G$3:$CC$3="Total")*(_xlpm.d&gt;=BQ$6)*(_xlpm.d&lt;=BQ$7),INDEX('Sales and count'!$G$4:$CC$300,$AJ145,0)))))</f>
        <v/>
      </c>
      <c r="BR145" s="350" t="str" cm="1">
        <f t="array" ref="BR145">IF(AP145="","",IF($AJ145="",0,_xlfn.LET(_xlpm.d,IFERROR(--'Sales and count'!$G$2:$CC$2,0),SUMPRODUCT(('Sales and count'!$G$3:$CC$3="Total")*(_xlpm.d&gt;=BR$6)*(_xlpm.d&lt;=BR$7),INDEX('Sales and count'!$G$4:$CC$300,$AJ145,0)))))</f>
        <v/>
      </c>
      <c r="BS145" s="350" t="str" cm="1">
        <f t="array" ref="BS145">IF(AQ145="","",IF($AJ145="",0,_xlfn.LET(_xlpm.d,IFERROR(--'Sales and count'!$G$2:$CC$2,0),SUMPRODUCT(('Sales and count'!$G$3:$CC$3="Total")*(_xlpm.d&gt;=BS$6)*(_xlpm.d&lt;=BS$7),INDEX('Sales and count'!$G$4:$CC$300,$AJ145,0)))))</f>
        <v/>
      </c>
      <c r="BT145" s="350" t="str" cm="1">
        <f t="array" ref="BT145">IF(AR145="","",IF($AJ145="",0,_xlfn.LET(_xlpm.d,IFERROR(--'Sales and count'!$G$2:$CC$2,0),SUMPRODUCT(('Sales and count'!$G$3:$CC$3="Total")*(_xlpm.d&gt;=BT$6)*(_xlpm.d&lt;=BT$7),INDEX('Sales and count'!$G$4:$CC$300,$AJ145,0)))))</f>
        <v/>
      </c>
      <c r="BU145" s="350" t="str" cm="1">
        <f t="array" ref="BU145">IF(AS145="","",IF($AJ145="",0,_xlfn.LET(_xlpm.d,IFERROR(--'Sales and count'!$G$2:$CC$2,0),SUMPRODUCT(('Sales and count'!$G$3:$CC$3="Total")*(_xlpm.d&gt;=BU$6)*(_xlpm.d&lt;=BU$7),INDEX('Sales and count'!$G$4:$CC$300,$AJ145,0)))))</f>
        <v/>
      </c>
      <c r="BV145" s="350" t="str" cm="1">
        <f t="array" ref="BV145">IF(AT145="","",IF($AJ145="",0,_xlfn.LET(_xlpm.d,IFERROR(--'Sales and count'!$G$2:$CC$2,0),SUMPRODUCT(('Sales and count'!$G$3:$CC$3="Total")*(_xlpm.d&gt;=BV$6)*(_xlpm.d&lt;=BV$7),INDEX('Sales and count'!$G$4:$CC$300,$AJ145,0)))))</f>
        <v/>
      </c>
      <c r="BW145" s="350" t="str" cm="1">
        <f t="array" ref="BW145">IF(AU145="","",IF($AJ145="",0,_xlfn.LET(_xlpm.d,IFERROR(--'Sales and count'!$G$2:$CC$2,0),SUMPRODUCT(('Sales and count'!$G$3:$CC$3="Total")*(_xlpm.d&gt;=BW$6)*(_xlpm.d&lt;=BW$7),INDEX('Sales and count'!$G$4:$CC$300,$AJ145,0)))))</f>
        <v/>
      </c>
      <c r="BX145" s="350" t="str" cm="1">
        <f t="array" ref="BX145">IF(AV145="","",IF($AJ145="",0,_xlfn.LET(_xlpm.d,IFERROR(--'Sales and count'!$G$2:$CC$2,0),SUMPRODUCT(('Sales and count'!$G$3:$CC$3="Total")*(_xlpm.d&gt;=BX$6)*(_xlpm.d&lt;=BX$7),INDEX('Sales and count'!$G$4:$CC$300,$AJ145,0)))))</f>
        <v/>
      </c>
      <c r="BY145" s="350" t="str" cm="1">
        <f t="array" ref="BY145">IF(AW145="","",IF($AJ145="",0,_xlfn.LET(_xlpm.d,IFERROR(--'Sales and count'!$G$2:$CC$2,0),SUMPRODUCT(('Sales and count'!$G$3:$CC$3="Total")*(_xlpm.d&gt;=BY$6)*(_xlpm.d&lt;=BY$7),INDEX('Sales and count'!$G$4:$CC$300,$AJ145,0)))))</f>
        <v/>
      </c>
      <c r="BZ145" s="350" t="str" cm="1">
        <f t="array" ref="BZ145">IF(AX145="","",IF($AJ145="",0,_xlfn.LET(_xlpm.d,IFERROR(--'Sales and count'!$G$2:$CC$2,0),SUMPRODUCT(('Sales and count'!$G$3:$CC$3="Total")*(_xlpm.d&gt;=BZ$6)*(_xlpm.d&lt;=BZ$7),INDEX('Sales and count'!$G$4:$CC$300,$AJ145,0)))))</f>
        <v/>
      </c>
    </row>
  </sheetData>
  <mergeCells count="13">
    <mergeCell ref="AK9:AX9"/>
    <mergeCell ref="AY9:BL9"/>
    <mergeCell ref="BM9:BZ9"/>
    <mergeCell ref="D44:R44"/>
    <mergeCell ref="T44:AH44"/>
    <mergeCell ref="AK44:AX44"/>
    <mergeCell ref="AY44:BL44"/>
    <mergeCell ref="BM44:BZ44"/>
    <mergeCell ref="D3:E3"/>
    <mergeCell ref="F3:I3"/>
    <mergeCell ref="J3:M3"/>
    <mergeCell ref="D9:R9"/>
    <mergeCell ref="T9:AH9"/>
  </mergeCells>
  <conditionalFormatting sqref="E11:Q41">
    <cfRule type="expression" dxfId="21" priority="17">
      <formula>AND(ISNUMBER(E11),COUNT($D11:D11)&gt;0,E11&gt;LOOKUP(2,1/ISNUMBER($D11:D11),$D11:D11))</formula>
    </cfRule>
    <cfRule type="expression" dxfId="20" priority="18">
      <formula>AND(ISNUMBER(E11),COUNT($D11:D11)&gt;0,E11&lt;LOOKUP(2,1/ISNUMBER($D11:D11),$D11:D11))</formula>
    </cfRule>
  </conditionalFormatting>
  <conditionalFormatting sqref="E46:Q145">
    <cfRule type="expression" dxfId="19" priority="19">
      <formula>AND(ISNUMBER(E46),COUNT($D46:D46)&gt;0,E46&gt;LOOKUP(2,1/ISNUMBER($D46:D46),$D46:D46))</formula>
    </cfRule>
    <cfRule type="expression" dxfId="18" priority="20">
      <formula>AND(ISNUMBER(E46),COUNT($D46:D46)&gt;0,E46&lt;LOOKUP(2,1/ISNUMBER($D46:D46),$D46:D46))</formula>
    </cfRule>
  </conditionalFormatting>
  <conditionalFormatting sqref="R11:R41">
    <cfRule type="expression" dxfId="17" priority="9">
      <formula>AND(ISNUMBER(R11),ISNUMBER(0),R11&gt;0)</formula>
    </cfRule>
    <cfRule type="expression" dxfId="16" priority="10">
      <formula>AND(ISNUMBER(R11),ISNUMBER(0),R11&lt;0)</formula>
    </cfRule>
  </conditionalFormatting>
  <conditionalFormatting sqref="R46:R145">
    <cfRule type="expression" dxfId="15" priority="11">
      <formula>AND(ISNUMBER(R46),ISNUMBER(0),R46&gt;0)</formula>
    </cfRule>
    <cfRule type="expression" dxfId="14" priority="12">
      <formula>AND(ISNUMBER(R46),ISNUMBER(0),R46&lt;0)</formula>
    </cfRule>
  </conditionalFormatting>
  <conditionalFormatting sqref="U11:AG41">
    <cfRule type="expression" dxfId="13" priority="21">
      <formula>AND(ISNUMBER(U11),COUNT($T11:T11)&gt;0,U11&gt;LOOKUP(2,1/ISNUMBER($T11:T11),$T11:T11))</formula>
    </cfRule>
    <cfRule type="expression" dxfId="12" priority="22">
      <formula>AND(ISNUMBER(U11),COUNT($T11:T11)&gt;0,U11&lt;LOOKUP(2,1/ISNUMBER($T11:T11),$T11:T11))</formula>
    </cfRule>
  </conditionalFormatting>
  <conditionalFormatting sqref="U46:AG145">
    <cfRule type="expression" dxfId="11" priority="23">
      <formula>AND(ISNUMBER(U46),COUNT($T46:T46)&gt;0,U46&gt;LOOKUP(2,1/ISNUMBER($T46:T46),$T46:T46))</formula>
    </cfRule>
    <cfRule type="expression" dxfId="10" priority="24">
      <formula>AND(ISNUMBER(U46),COUNT($T46:T46)&gt;0,U46&lt;LOOKUP(2,1/ISNUMBER($T46:T46),$T46:T46))</formula>
    </cfRule>
  </conditionalFormatting>
  <conditionalFormatting sqref="AH11:AH41">
    <cfRule type="expression" dxfId="9" priority="13">
      <formula>AND(ISNUMBER(AH11),ISNUMBER(0),AH11&gt;0)</formula>
    </cfRule>
    <cfRule type="expression" dxfId="8" priority="14">
      <formula>AND(ISNUMBER(AH11),ISNUMBER(0),AH11&lt;0)</formula>
    </cfRule>
  </conditionalFormatting>
  <conditionalFormatting sqref="AH46:AH145">
    <cfRule type="expression" dxfId="7" priority="15">
      <formula>AND(ISNUMBER(AH46),ISNUMBER(0),AH46&gt;0)</formula>
    </cfRule>
    <cfRule type="expression" dxfId="6" priority="16">
      <formula>AND(ISNUMBER(AH46),ISNUMBER(0),AH46&lt;0)</formula>
    </cfRule>
  </conditionalFormatting>
  <dataValidations count="1">
    <dataValidation type="list" allowBlank="1" showInputMessage="1" showErrorMessage="1" sqref="B4" xr:uid="{5C670121-A17F-49CF-B46A-B4A23432B0A7}">
      <formula1>_xlfn.ANCHORARRAY($CB$6)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R123"/>
  <sheetViews>
    <sheetView tabSelected="1" zoomScale="80" zoomScaleNormal="80" workbookViewId="0">
      <pane xSplit="6" ySplit="3" topLeftCell="AR4" activePane="bottomRight" state="frozen"/>
      <selection pane="topRight" activeCell="F1" sqref="F1"/>
      <selection pane="bottomLeft" activeCell="A4" sqref="A4"/>
      <selection pane="bottomRight" activeCell="BC1" sqref="BC1:BF1"/>
    </sheetView>
  </sheetViews>
  <sheetFormatPr defaultRowHeight="15" x14ac:dyDescent="0.25"/>
  <cols>
    <col min="1" max="1" width="19" bestFit="1" customWidth="1"/>
    <col min="2" max="2" width="9.7109375" customWidth="1"/>
    <col min="3" max="3" width="12.28515625" customWidth="1"/>
    <col min="4" max="4" width="18.85546875" customWidth="1"/>
    <col min="5" max="5" width="15.42578125" customWidth="1"/>
    <col min="6" max="6" width="10" bestFit="1" customWidth="1"/>
    <col min="7" max="7" width="14.42578125" customWidth="1"/>
    <col min="8" max="8" width="11.5703125" customWidth="1"/>
    <col min="9" max="9" width="14.42578125" customWidth="1"/>
    <col min="10" max="10" width="11.5703125" customWidth="1"/>
    <col min="11" max="11" width="14.42578125" customWidth="1"/>
    <col min="12" max="12" width="11.5703125" customWidth="1"/>
    <col min="13" max="13" width="14.85546875" customWidth="1"/>
    <col min="14" max="14" width="11.5703125" customWidth="1"/>
    <col min="15" max="15" width="13.28515625" customWidth="1"/>
    <col min="16" max="16" width="11.5703125" customWidth="1"/>
    <col min="17" max="17" width="13.28515625" customWidth="1"/>
    <col min="18" max="18" width="11.5703125" customWidth="1"/>
    <col min="19" max="19" width="13.28515625" customWidth="1"/>
    <col min="20" max="20" width="11.5703125" customWidth="1"/>
    <col min="21" max="21" width="13.28515625" customWidth="1"/>
    <col min="22" max="22" width="11.5703125" customWidth="1"/>
    <col min="23" max="23" width="13.28515625" customWidth="1"/>
    <col min="24" max="24" width="11.5703125" bestFit="1" customWidth="1"/>
    <col min="25" max="25" width="13.28515625" bestFit="1" customWidth="1"/>
    <col min="26" max="26" width="11.5703125" bestFit="1" customWidth="1"/>
    <col min="27" max="27" width="13.28515625" bestFit="1" customWidth="1"/>
    <col min="28" max="28" width="11.5703125" customWidth="1"/>
    <col min="29" max="29" width="13.28515625" bestFit="1" customWidth="1"/>
    <col min="30" max="68" width="11.5703125" customWidth="1"/>
    <col min="69" max="69" width="15.42578125" bestFit="1" customWidth="1"/>
    <col min="70" max="70" width="13.28515625" bestFit="1" customWidth="1"/>
  </cols>
  <sheetData>
    <row r="1" spans="1:70" x14ac:dyDescent="0.25">
      <c r="A1" s="1"/>
      <c r="B1" s="1"/>
      <c r="C1" s="1"/>
      <c r="D1" s="1"/>
      <c r="E1" s="1"/>
      <c r="F1" s="1"/>
      <c r="G1" s="3">
        <f t="shared" ref="G1:BF1" si="0">SUBTOTAL(9,G4:G117)</f>
        <v>1155842.3800000004</v>
      </c>
      <c r="H1" s="3">
        <f t="shared" si="0"/>
        <v>7717</v>
      </c>
      <c r="I1" s="3">
        <f t="shared" si="0"/>
        <v>1456993.3700000003</v>
      </c>
      <c r="J1" s="3">
        <f t="shared" si="0"/>
        <v>8237</v>
      </c>
      <c r="K1" s="3">
        <f t="shared" si="0"/>
        <v>1208551.0100000002</v>
      </c>
      <c r="L1" s="3">
        <f t="shared" si="0"/>
        <v>6724</v>
      </c>
      <c r="M1" s="3">
        <f t="shared" si="0"/>
        <v>1127420.5600000005</v>
      </c>
      <c r="N1" s="3">
        <f t="shared" si="0"/>
        <v>5611</v>
      </c>
      <c r="O1" s="3">
        <f t="shared" si="0"/>
        <v>923986.30000000098</v>
      </c>
      <c r="P1" s="3">
        <f t="shared" si="0"/>
        <v>4935</v>
      </c>
      <c r="Q1" s="3">
        <f t="shared" si="0"/>
        <v>608394.90000000037</v>
      </c>
      <c r="R1" s="3">
        <f t="shared" si="0"/>
        <v>3660</v>
      </c>
      <c r="S1" s="3">
        <f t="shared" si="0"/>
        <v>702289.15000000072</v>
      </c>
      <c r="T1" s="3">
        <f t="shared" si="0"/>
        <v>4121</v>
      </c>
      <c r="U1" s="3">
        <f t="shared" si="0"/>
        <v>691104.07</v>
      </c>
      <c r="V1" s="3">
        <f t="shared" si="0"/>
        <v>4341</v>
      </c>
      <c r="W1" s="3">
        <f t="shared" si="0"/>
        <v>852802.32</v>
      </c>
      <c r="X1" s="3">
        <f t="shared" si="0"/>
        <v>5159</v>
      </c>
      <c r="Y1" s="3">
        <f t="shared" si="0"/>
        <v>674532.99000000046</v>
      </c>
      <c r="Z1" s="3">
        <f t="shared" si="0"/>
        <v>4023</v>
      </c>
      <c r="AA1" s="3">
        <f t="shared" si="0"/>
        <v>538803.72000000009</v>
      </c>
      <c r="AB1" s="3">
        <f t="shared" si="0"/>
        <v>3179</v>
      </c>
      <c r="AC1" s="3">
        <f t="shared" si="0"/>
        <v>478580.72000000015</v>
      </c>
      <c r="AD1" s="3">
        <f t="shared" si="0"/>
        <v>2940</v>
      </c>
      <c r="AE1" s="3">
        <f t="shared" si="0"/>
        <v>507067.99000000011</v>
      </c>
      <c r="AF1" s="3">
        <f t="shared" si="0"/>
        <v>2969</v>
      </c>
      <c r="AG1" s="3">
        <f t="shared" si="0"/>
        <v>518791.62000000005</v>
      </c>
      <c r="AH1" s="3">
        <f t="shared" si="0"/>
        <v>3144</v>
      </c>
      <c r="AI1" s="3">
        <f t="shared" si="0"/>
        <v>613975.58000000031</v>
      </c>
      <c r="AJ1" s="3">
        <f t="shared" si="0"/>
        <v>3768</v>
      </c>
      <c r="AK1" s="3">
        <f t="shared" si="0"/>
        <v>695934.26000000036</v>
      </c>
      <c r="AL1" s="3">
        <f t="shared" si="0"/>
        <v>4120</v>
      </c>
      <c r="AM1" s="3">
        <f t="shared" si="0"/>
        <v>585263.26000000024</v>
      </c>
      <c r="AN1" s="3">
        <f t="shared" si="0"/>
        <v>3495</v>
      </c>
      <c r="AO1" s="3">
        <f t="shared" si="0"/>
        <v>424501.40000000026</v>
      </c>
      <c r="AP1" s="3">
        <f t="shared" si="0"/>
        <v>2514</v>
      </c>
      <c r="AQ1" s="3">
        <f t="shared" si="0"/>
        <v>395318.19000000029</v>
      </c>
      <c r="AR1" s="3">
        <f t="shared" si="0"/>
        <v>2497</v>
      </c>
      <c r="AS1" s="3">
        <f t="shared" si="0"/>
        <v>432066.90000000043</v>
      </c>
      <c r="AT1" s="3">
        <f t="shared" si="0"/>
        <v>2553</v>
      </c>
      <c r="AU1" s="3">
        <f t="shared" si="0"/>
        <v>443764.97000000009</v>
      </c>
      <c r="AV1" s="3">
        <f t="shared" si="0"/>
        <v>2691</v>
      </c>
      <c r="AW1" s="3">
        <f t="shared" si="0"/>
        <v>564467.7799999998</v>
      </c>
      <c r="AX1" s="3">
        <f t="shared" si="0"/>
        <v>3230</v>
      </c>
      <c r="AY1" s="3">
        <f t="shared" si="0"/>
        <v>631181.46999999974</v>
      </c>
      <c r="AZ1" s="3">
        <f t="shared" si="0"/>
        <v>3446</v>
      </c>
      <c r="BA1" s="3">
        <f t="shared" si="0"/>
        <v>609320.16999999993</v>
      </c>
      <c r="BB1" s="3">
        <f t="shared" si="0"/>
        <v>3237</v>
      </c>
      <c r="BC1" s="3">
        <f t="shared" si="0"/>
        <v>480248.4499999999</v>
      </c>
      <c r="BD1" s="3">
        <f t="shared" si="0"/>
        <v>2601</v>
      </c>
      <c r="BE1" s="3">
        <f t="shared" si="0"/>
        <v>489372.56</v>
      </c>
      <c r="BF1" s="3">
        <f t="shared" si="0"/>
        <v>2612</v>
      </c>
      <c r="BG1" s="3"/>
      <c r="BH1" s="3"/>
      <c r="BI1" s="3"/>
      <c r="BJ1" s="3"/>
      <c r="BK1" s="3"/>
      <c r="BL1" s="3"/>
      <c r="BM1" s="3"/>
      <c r="BN1" s="3"/>
      <c r="BO1" s="3"/>
      <c r="BP1" s="3"/>
      <c r="BQ1" s="336">
        <f>SUBTOTAL(9,BQ4:BQ117)</f>
        <v>17810576.089999996</v>
      </c>
      <c r="BR1" s="3">
        <f>SUBTOTAL(9,BR4:BR117)</f>
        <v>103524</v>
      </c>
    </row>
    <row r="2" spans="1:70" x14ac:dyDescent="0.25">
      <c r="A2" s="1"/>
      <c r="B2" s="1"/>
      <c r="C2" s="1"/>
      <c r="D2" s="1"/>
      <c r="E2" s="1"/>
      <c r="F2" s="131">
        <f ca="1">TODAY()</f>
        <v>46322</v>
      </c>
      <c r="G2" s="1" t="s">
        <v>1</v>
      </c>
      <c r="H2" s="1"/>
      <c r="I2" s="1" t="s">
        <v>2</v>
      </c>
      <c r="J2" s="1"/>
      <c r="K2" s="1" t="s">
        <v>3</v>
      </c>
      <c r="L2" s="1"/>
      <c r="M2" s="1" t="s">
        <v>4</v>
      </c>
      <c r="N2" s="1"/>
      <c r="O2" s="1" t="s">
        <v>5</v>
      </c>
      <c r="P2" s="1"/>
      <c r="Q2" s="1" t="s">
        <v>6</v>
      </c>
      <c r="R2" s="1"/>
      <c r="S2" s="1" t="s">
        <v>7</v>
      </c>
      <c r="T2" s="1"/>
      <c r="U2" s="1" t="s">
        <v>8</v>
      </c>
      <c r="V2" s="1"/>
      <c r="W2" s="1" t="s">
        <v>9</v>
      </c>
      <c r="X2" s="1"/>
      <c r="Y2" s="1" t="s">
        <v>10</v>
      </c>
      <c r="Z2" s="1"/>
      <c r="AA2" s="1" t="s">
        <v>206</v>
      </c>
      <c r="AB2" s="1"/>
      <c r="AC2" s="1" t="s">
        <v>207</v>
      </c>
      <c r="AD2" s="1"/>
      <c r="AE2" s="131">
        <v>46308</v>
      </c>
      <c r="AF2" s="1"/>
      <c r="AG2" s="131">
        <v>46309</v>
      </c>
      <c r="AH2" s="1"/>
      <c r="AI2" s="131">
        <v>46310</v>
      </c>
      <c r="AJ2" s="1"/>
      <c r="AK2" s="131">
        <v>46311</v>
      </c>
      <c r="AL2" s="1"/>
      <c r="AM2" s="131">
        <v>46312</v>
      </c>
      <c r="AN2" s="1"/>
      <c r="AO2" s="131">
        <v>46313</v>
      </c>
      <c r="AP2" s="1"/>
      <c r="AQ2" s="131">
        <v>46314</v>
      </c>
      <c r="AR2" s="1"/>
      <c r="AS2" s="131">
        <v>46315</v>
      </c>
      <c r="AT2" s="1"/>
      <c r="AU2" s="131">
        <v>46316</v>
      </c>
      <c r="AV2" s="1"/>
      <c r="AW2" s="131">
        <v>46317</v>
      </c>
      <c r="AX2" s="1"/>
      <c r="AY2" s="131">
        <v>46318</v>
      </c>
      <c r="AZ2" s="1"/>
      <c r="BA2" s="131">
        <v>46319</v>
      </c>
      <c r="BB2" s="1"/>
      <c r="BC2" s="131">
        <v>46320</v>
      </c>
      <c r="BD2" s="1"/>
      <c r="BE2" s="131">
        <v>46321</v>
      </c>
      <c r="BF2" s="1"/>
      <c r="BG2" s="131">
        <v>46322</v>
      </c>
      <c r="BH2" s="1"/>
      <c r="BI2" s="131">
        <v>46323</v>
      </c>
      <c r="BJ2" s="1"/>
      <c r="BK2" s="131">
        <v>46324</v>
      </c>
      <c r="BL2" s="1"/>
      <c r="BM2" s="131">
        <v>46325</v>
      </c>
      <c r="BN2" s="1"/>
      <c r="BO2" s="131">
        <v>46326</v>
      </c>
      <c r="BP2" s="1"/>
      <c r="BQ2" s="1"/>
      <c r="BR2" s="1"/>
    </row>
    <row r="3" spans="1:70" x14ac:dyDescent="0.25">
      <c r="A3" s="1" t="s">
        <v>125</v>
      </c>
      <c r="B3" s="1" t="s">
        <v>1329</v>
      </c>
      <c r="C3" s="1" t="s">
        <v>135</v>
      </c>
      <c r="D3" s="1" t="s">
        <v>134</v>
      </c>
      <c r="E3" s="1" t="s">
        <v>692</v>
      </c>
      <c r="F3" s="1" t="s">
        <v>691</v>
      </c>
      <c r="G3" s="1" t="s">
        <v>0</v>
      </c>
      <c r="H3" s="1" t="s">
        <v>214</v>
      </c>
      <c r="I3" s="1" t="s">
        <v>0</v>
      </c>
      <c r="J3" s="1" t="s">
        <v>214</v>
      </c>
      <c r="K3" s="1" t="s">
        <v>0</v>
      </c>
      <c r="L3" s="1" t="s">
        <v>214</v>
      </c>
      <c r="M3" s="1" t="s">
        <v>0</v>
      </c>
      <c r="N3" s="1" t="s">
        <v>214</v>
      </c>
      <c r="O3" s="1" t="s">
        <v>0</v>
      </c>
      <c r="P3" s="1" t="s">
        <v>214</v>
      </c>
      <c r="Q3" s="1" t="s">
        <v>0</v>
      </c>
      <c r="R3" s="1" t="s">
        <v>214</v>
      </c>
      <c r="S3" s="1" t="s">
        <v>0</v>
      </c>
      <c r="T3" s="1" t="s">
        <v>214</v>
      </c>
      <c r="U3" s="1" t="s">
        <v>0</v>
      </c>
      <c r="V3" s="1" t="s">
        <v>214</v>
      </c>
      <c r="W3" s="1" t="s">
        <v>0</v>
      </c>
      <c r="X3" s="1" t="s">
        <v>214</v>
      </c>
      <c r="Y3" s="1" t="s">
        <v>0</v>
      </c>
      <c r="Z3" s="1" t="s">
        <v>214</v>
      </c>
      <c r="AA3" s="1" t="s">
        <v>0</v>
      </c>
      <c r="AB3" s="1" t="s">
        <v>214</v>
      </c>
      <c r="AC3" s="1" t="s">
        <v>0</v>
      </c>
      <c r="AD3" s="1" t="s">
        <v>214</v>
      </c>
      <c r="AE3" s="1" t="s">
        <v>0</v>
      </c>
      <c r="AF3" s="1" t="s">
        <v>214</v>
      </c>
      <c r="AG3" s="1" t="s">
        <v>0</v>
      </c>
      <c r="AH3" s="1" t="s">
        <v>214</v>
      </c>
      <c r="AI3" s="1" t="s">
        <v>0</v>
      </c>
      <c r="AJ3" s="1" t="s">
        <v>214</v>
      </c>
      <c r="AK3" s="1" t="s">
        <v>0</v>
      </c>
      <c r="AL3" s="1" t="s">
        <v>214</v>
      </c>
      <c r="AM3" s="1" t="s">
        <v>0</v>
      </c>
      <c r="AN3" s="1" t="s">
        <v>214</v>
      </c>
      <c r="AO3" s="1" t="s">
        <v>0</v>
      </c>
      <c r="AP3" s="1" t="s">
        <v>214</v>
      </c>
      <c r="AQ3" s="1" t="s">
        <v>0</v>
      </c>
      <c r="AR3" s="1" t="s">
        <v>214</v>
      </c>
      <c r="AS3" s="1" t="s">
        <v>0</v>
      </c>
      <c r="AT3" s="1" t="s">
        <v>214</v>
      </c>
      <c r="AU3" s="1" t="s">
        <v>0</v>
      </c>
      <c r="AV3" s="1" t="s">
        <v>214</v>
      </c>
      <c r="AW3" s="1" t="s">
        <v>0</v>
      </c>
      <c r="AX3" s="1" t="s">
        <v>214</v>
      </c>
      <c r="AY3" s="1" t="s">
        <v>0</v>
      </c>
      <c r="AZ3" s="1" t="s">
        <v>214</v>
      </c>
      <c r="BA3" s="1" t="s">
        <v>0</v>
      </c>
      <c r="BB3" s="1" t="s">
        <v>214</v>
      </c>
      <c r="BC3" s="1" t="s">
        <v>0</v>
      </c>
      <c r="BD3" s="1" t="s">
        <v>214</v>
      </c>
      <c r="BE3" s="1" t="s">
        <v>0</v>
      </c>
      <c r="BF3" s="1" t="s">
        <v>214</v>
      </c>
      <c r="BG3" s="1" t="s">
        <v>0</v>
      </c>
      <c r="BH3" s="1" t="s">
        <v>214</v>
      </c>
      <c r="BI3" s="1" t="s">
        <v>0</v>
      </c>
      <c r="BJ3" s="1" t="s">
        <v>214</v>
      </c>
      <c r="BK3" s="1" t="s">
        <v>0</v>
      </c>
      <c r="BL3" s="1" t="s">
        <v>214</v>
      </c>
      <c r="BM3" s="1" t="s">
        <v>0</v>
      </c>
      <c r="BN3" s="1" t="s">
        <v>214</v>
      </c>
      <c r="BO3" s="1" t="s">
        <v>0</v>
      </c>
      <c r="BP3" s="1" t="s">
        <v>214</v>
      </c>
      <c r="BQ3" s="2" t="s">
        <v>0</v>
      </c>
      <c r="BR3" s="2" t="s">
        <v>214</v>
      </c>
    </row>
    <row r="4" spans="1:70" x14ac:dyDescent="0.25">
      <c r="A4" s="1" t="s">
        <v>67</v>
      </c>
      <c r="B4" s="1" t="s">
        <v>1330</v>
      </c>
      <c r="C4" s="1" t="s">
        <v>136</v>
      </c>
      <c r="D4" s="1" t="s">
        <v>126</v>
      </c>
      <c r="E4" s="211">
        <v>45874</v>
      </c>
      <c r="F4" s="212" t="str">
        <f ca="1">IFERROR(DATEDIF(E4,$F$2,"y")&amp;"y "&amp;DATEDIF(E4,$F$2,"ym")&amp;"m","")</f>
        <v>1y 2m</v>
      </c>
      <c r="G4">
        <v>11939.14</v>
      </c>
      <c r="H4">
        <v>77</v>
      </c>
      <c r="I4">
        <v>22168.43</v>
      </c>
      <c r="J4">
        <v>87</v>
      </c>
      <c r="K4">
        <v>11434.16</v>
      </c>
      <c r="L4">
        <v>62</v>
      </c>
      <c r="M4">
        <v>9695.0400000000009</v>
      </c>
      <c r="N4">
        <v>51</v>
      </c>
      <c r="O4">
        <v>7284.14</v>
      </c>
      <c r="P4">
        <v>41</v>
      </c>
      <c r="Q4">
        <v>5717.1</v>
      </c>
      <c r="R4">
        <v>33</v>
      </c>
      <c r="S4">
        <v>7351.13</v>
      </c>
      <c r="T4">
        <v>44</v>
      </c>
      <c r="U4">
        <v>6070</v>
      </c>
      <c r="V4">
        <v>37</v>
      </c>
      <c r="W4">
        <v>10090.129999999999</v>
      </c>
      <c r="X4">
        <v>46</v>
      </c>
      <c r="Y4">
        <v>5289.08</v>
      </c>
      <c r="Z4">
        <v>29</v>
      </c>
      <c r="AA4">
        <v>5487.1</v>
      </c>
      <c r="AB4">
        <v>27</v>
      </c>
      <c r="AC4">
        <v>4336.05</v>
      </c>
      <c r="AD4">
        <v>23</v>
      </c>
      <c r="AE4" s="4">
        <v>3618.01</v>
      </c>
      <c r="AF4" s="4">
        <v>23</v>
      </c>
      <c r="AG4" s="4">
        <v>4800.08</v>
      </c>
      <c r="AH4" s="4">
        <v>27</v>
      </c>
      <c r="AI4" s="4">
        <v>4969.09</v>
      </c>
      <c r="AJ4" s="4">
        <v>29</v>
      </c>
      <c r="AK4" s="4">
        <v>9465.09</v>
      </c>
      <c r="AL4" s="4">
        <v>41</v>
      </c>
      <c r="AM4" s="4">
        <v>5087.07</v>
      </c>
      <c r="AN4" s="4">
        <v>28</v>
      </c>
      <c r="AO4" s="4">
        <v>2277.0100000000002</v>
      </c>
      <c r="AP4" s="4">
        <v>15</v>
      </c>
      <c r="AQ4" s="4">
        <v>3082.05</v>
      </c>
      <c r="AR4" s="4">
        <v>20</v>
      </c>
      <c r="AS4" s="4">
        <v>2112.9899999999998</v>
      </c>
      <c r="AT4" s="4">
        <v>16</v>
      </c>
      <c r="AU4" s="4">
        <v>4799.05</v>
      </c>
      <c r="AV4" s="4">
        <v>35</v>
      </c>
      <c r="AW4" s="4">
        <v>5943.98</v>
      </c>
      <c r="AX4" s="4">
        <v>29</v>
      </c>
      <c r="AY4" s="4">
        <v>5814.8</v>
      </c>
      <c r="AZ4" s="4">
        <v>30</v>
      </c>
      <c r="BA4" s="4">
        <v>9874.4500000000007</v>
      </c>
      <c r="BB4" s="4">
        <v>34</v>
      </c>
      <c r="BC4">
        <v>5111.84</v>
      </c>
      <c r="BD4">
        <v>15</v>
      </c>
      <c r="BE4">
        <v>4633.2299999999996</v>
      </c>
      <c r="BF4">
        <v>19</v>
      </c>
      <c r="BQ4" s="3">
        <f>G4+I4+K4+M4+O4+Q4+S4+U4+W4+Y4+AA4+AC4+AE4+AG4+AI4+AK4+AM4+AO4+AQ4+AS4+AU4+AW4+AY4+BA4+BC4+BE4+BG4+BI4+BK4+BM4+BO4</f>
        <v>178450.24</v>
      </c>
      <c r="BR4" s="3">
        <f t="shared" ref="BR4:BR67" si="1">H4+J4+L4+N4+P4+R4+T4+V4+X4+Z4+AB4+AD4+AF4+AH4+AJ4+AL4+AN4+AP4+AR4+AT4+AV4+AX4+AZ4+BB4+BD4+BF4+BH4+BJ4+BL4+BN4+BP4</f>
        <v>918</v>
      </c>
    </row>
    <row r="5" spans="1:70" x14ac:dyDescent="0.25">
      <c r="A5" s="1" t="s">
        <v>105</v>
      </c>
      <c r="B5" s="1" t="s">
        <v>1330</v>
      </c>
      <c r="C5" s="1" t="s">
        <v>137</v>
      </c>
      <c r="D5" s="1" t="s">
        <v>127</v>
      </c>
      <c r="E5" s="211">
        <v>46070</v>
      </c>
      <c r="F5" s="212" t="str">
        <f t="shared" ref="F5:F68" ca="1" si="2">IFERROR(DATEDIF(E5,$F$2,"y")&amp;"y "&amp;DATEDIF(E5,$F$2,"ym")&amp;"m","")</f>
        <v>0y 8m</v>
      </c>
      <c r="G5">
        <v>3024.06</v>
      </c>
      <c r="H5">
        <v>23</v>
      </c>
      <c r="I5">
        <v>20149.349999999999</v>
      </c>
      <c r="J5">
        <v>40</v>
      </c>
      <c r="K5">
        <v>2141</v>
      </c>
      <c r="L5">
        <v>12</v>
      </c>
      <c r="M5">
        <v>2279.0700000000002</v>
      </c>
      <c r="N5">
        <v>17</v>
      </c>
      <c r="O5">
        <v>2545.0500000000002</v>
      </c>
      <c r="P5">
        <v>17</v>
      </c>
      <c r="Q5">
        <v>1309.01</v>
      </c>
      <c r="R5">
        <v>9</v>
      </c>
      <c r="S5">
        <v>2530.0300000000002</v>
      </c>
      <c r="T5">
        <v>13</v>
      </c>
      <c r="U5">
        <v>2637.05</v>
      </c>
      <c r="V5">
        <v>19</v>
      </c>
      <c r="W5">
        <v>2470.0300000000002</v>
      </c>
      <c r="X5">
        <v>13</v>
      </c>
      <c r="Y5">
        <v>769</v>
      </c>
      <c r="Z5">
        <v>10</v>
      </c>
      <c r="AA5">
        <v>2099.02</v>
      </c>
      <c r="AB5">
        <v>12</v>
      </c>
      <c r="AC5">
        <v>2064.0300000000002</v>
      </c>
      <c r="AD5">
        <v>13</v>
      </c>
      <c r="AE5" s="4">
        <v>1307.01</v>
      </c>
      <c r="AF5" s="4">
        <v>12</v>
      </c>
      <c r="AG5" s="4">
        <v>2522.04</v>
      </c>
      <c r="AH5" s="4">
        <v>15</v>
      </c>
      <c r="AI5" s="4">
        <v>2756.07</v>
      </c>
      <c r="AJ5" s="4">
        <v>10</v>
      </c>
      <c r="AK5" s="4">
        <v>2138.0300000000002</v>
      </c>
      <c r="AL5" s="4">
        <v>13</v>
      </c>
      <c r="AM5" s="4">
        <v>2009.05</v>
      </c>
      <c r="AN5" s="4">
        <v>9</v>
      </c>
      <c r="AO5" s="4">
        <v>825.02</v>
      </c>
      <c r="AP5" s="4">
        <v>6</v>
      </c>
      <c r="AQ5" s="4">
        <v>848.02</v>
      </c>
      <c r="AR5" s="4">
        <v>9</v>
      </c>
      <c r="AS5" s="4">
        <v>600.01</v>
      </c>
      <c r="AT5" s="4">
        <v>5</v>
      </c>
      <c r="AU5" s="4">
        <v>1441.02</v>
      </c>
      <c r="AV5" s="4">
        <v>11</v>
      </c>
      <c r="AW5" s="4">
        <v>1072.92</v>
      </c>
      <c r="AX5" s="4">
        <v>7</v>
      </c>
      <c r="AY5" s="4">
        <v>695.97</v>
      </c>
      <c r="AZ5" s="4">
        <v>4</v>
      </c>
      <c r="BA5" s="4">
        <v>1049.96</v>
      </c>
      <c r="BB5" s="4">
        <v>9</v>
      </c>
      <c r="BC5">
        <v>658</v>
      </c>
      <c r="BD5">
        <v>7</v>
      </c>
      <c r="BE5">
        <v>1337.09</v>
      </c>
      <c r="BF5">
        <v>9</v>
      </c>
      <c r="BQ5" s="3">
        <f t="shared" ref="BQ5:BQ68" si="3">G5+I5+K5+M5+O5+Q5+S5+U5+W5+Y5+AA5+AC5+AE5+AG5+AI5+AK5+AM5+AO5+AQ5+AS5+AU5+AW5+AY5+BA5+BC5+BE5+BG5+BI5+BK5+BM5+BO5</f>
        <v>63276.909999999989</v>
      </c>
      <c r="BR5" s="3">
        <f t="shared" si="1"/>
        <v>324</v>
      </c>
    </row>
    <row r="6" spans="1:70" x14ac:dyDescent="0.25">
      <c r="A6" s="1" t="s">
        <v>112</v>
      </c>
      <c r="B6" s="1" t="s">
        <v>1330</v>
      </c>
      <c r="C6" s="1" t="s">
        <v>138</v>
      </c>
      <c r="D6" s="1" t="s">
        <v>129</v>
      </c>
      <c r="E6" s="211">
        <v>46138</v>
      </c>
      <c r="F6" s="212" t="str">
        <f t="shared" ca="1" si="2"/>
        <v>0y 6m</v>
      </c>
      <c r="G6">
        <v>10718.22</v>
      </c>
      <c r="H6">
        <v>93</v>
      </c>
      <c r="I6">
        <v>10079.15</v>
      </c>
      <c r="J6">
        <v>86</v>
      </c>
      <c r="K6">
        <v>5795.06</v>
      </c>
      <c r="L6">
        <v>38</v>
      </c>
      <c r="M6">
        <v>6328.12</v>
      </c>
      <c r="N6">
        <v>35</v>
      </c>
      <c r="O6">
        <v>15981.19</v>
      </c>
      <c r="P6">
        <v>38</v>
      </c>
      <c r="Q6">
        <v>4295.08</v>
      </c>
      <c r="R6">
        <v>28</v>
      </c>
      <c r="S6">
        <v>4016.13</v>
      </c>
      <c r="T6">
        <v>26</v>
      </c>
      <c r="U6">
        <v>5270.11</v>
      </c>
      <c r="V6">
        <v>44</v>
      </c>
      <c r="W6">
        <v>7286.14</v>
      </c>
      <c r="X6">
        <v>54</v>
      </c>
      <c r="Y6">
        <v>5137.08</v>
      </c>
      <c r="Z6">
        <v>35</v>
      </c>
      <c r="AA6">
        <v>3319.01</v>
      </c>
      <c r="AB6">
        <v>25</v>
      </c>
      <c r="AC6">
        <v>3122.05</v>
      </c>
      <c r="AD6">
        <v>16</v>
      </c>
      <c r="AE6" s="4">
        <v>4660.99</v>
      </c>
      <c r="AF6" s="4">
        <v>19</v>
      </c>
      <c r="AG6" s="4">
        <v>4808.1400000000003</v>
      </c>
      <c r="AH6" s="4">
        <v>29</v>
      </c>
      <c r="AI6" s="4">
        <v>4791.08</v>
      </c>
      <c r="AJ6" s="4">
        <v>33</v>
      </c>
      <c r="AK6" s="4">
        <v>5125.07</v>
      </c>
      <c r="AL6" s="4">
        <v>39</v>
      </c>
      <c r="AM6" s="4">
        <v>5434.06</v>
      </c>
      <c r="AN6" s="4">
        <v>34</v>
      </c>
      <c r="AO6" s="4">
        <v>5430.09</v>
      </c>
      <c r="AP6" s="4">
        <v>28</v>
      </c>
      <c r="AQ6" s="4">
        <v>3551.06</v>
      </c>
      <c r="AR6" s="4">
        <v>25</v>
      </c>
      <c r="AS6" s="4">
        <v>2865.05</v>
      </c>
      <c r="AT6" s="4">
        <v>20</v>
      </c>
      <c r="AU6" s="4">
        <v>2817.08</v>
      </c>
      <c r="AV6" s="4">
        <v>20</v>
      </c>
      <c r="AW6" s="4">
        <v>4827.9799999999996</v>
      </c>
      <c r="AX6" s="4">
        <v>36</v>
      </c>
      <c r="AY6" s="4">
        <v>3714.93</v>
      </c>
      <c r="AZ6" s="4">
        <v>22</v>
      </c>
      <c r="BA6" s="4">
        <v>5934.67</v>
      </c>
      <c r="BB6" s="4">
        <v>40</v>
      </c>
      <c r="BC6">
        <v>3040.87</v>
      </c>
      <c r="BD6">
        <v>22</v>
      </c>
      <c r="BE6">
        <v>4492.3500000000004</v>
      </c>
      <c r="BF6">
        <v>24</v>
      </c>
      <c r="BQ6" s="3">
        <f t="shared" si="3"/>
        <v>142840.76</v>
      </c>
      <c r="BR6" s="3">
        <f t="shared" si="1"/>
        <v>909</v>
      </c>
    </row>
    <row r="7" spans="1:70" x14ac:dyDescent="0.25">
      <c r="A7" s="1" t="s">
        <v>18</v>
      </c>
      <c r="B7" s="1" t="s">
        <v>1330</v>
      </c>
      <c r="C7" s="1" t="s">
        <v>138</v>
      </c>
      <c r="D7" s="1" t="s">
        <v>129</v>
      </c>
      <c r="E7" s="211">
        <v>45545</v>
      </c>
      <c r="F7" s="212" t="str">
        <f t="shared" ca="1" si="2"/>
        <v>2y 1m</v>
      </c>
      <c r="G7">
        <v>8917.23</v>
      </c>
      <c r="H7">
        <v>66</v>
      </c>
      <c r="I7">
        <v>9385.08</v>
      </c>
      <c r="J7">
        <v>59</v>
      </c>
      <c r="K7">
        <v>8778.16</v>
      </c>
      <c r="L7">
        <v>56</v>
      </c>
      <c r="M7">
        <v>16500.28</v>
      </c>
      <c r="N7">
        <v>29</v>
      </c>
      <c r="O7">
        <v>7547.05</v>
      </c>
      <c r="P7">
        <v>44</v>
      </c>
      <c r="Q7">
        <v>6588.18</v>
      </c>
      <c r="R7">
        <v>32</v>
      </c>
      <c r="S7">
        <v>6683.14</v>
      </c>
      <c r="T7">
        <v>44</v>
      </c>
      <c r="U7">
        <v>4750.13</v>
      </c>
      <c r="V7">
        <v>35</v>
      </c>
      <c r="W7">
        <v>4439.1000000000004</v>
      </c>
      <c r="X7">
        <v>30</v>
      </c>
      <c r="Y7">
        <v>5956.09</v>
      </c>
      <c r="Z7">
        <v>36</v>
      </c>
      <c r="AA7">
        <v>3609.03</v>
      </c>
      <c r="AB7">
        <v>28</v>
      </c>
      <c r="AC7">
        <v>2771.06</v>
      </c>
      <c r="AD7">
        <v>14</v>
      </c>
      <c r="AE7" s="4">
        <v>5048.05</v>
      </c>
      <c r="AF7" s="4">
        <v>29</v>
      </c>
      <c r="AG7" s="4">
        <v>4481.1100000000006</v>
      </c>
      <c r="AH7" s="4">
        <v>25</v>
      </c>
      <c r="AI7" s="4">
        <v>3320.11</v>
      </c>
      <c r="AJ7" s="4">
        <v>21</v>
      </c>
      <c r="AK7" s="4">
        <v>4867.1099999999997</v>
      </c>
      <c r="AL7" s="4">
        <v>31</v>
      </c>
      <c r="AM7" s="4">
        <v>4371.1400000000003</v>
      </c>
      <c r="AN7" s="4">
        <v>31</v>
      </c>
      <c r="AO7" s="4">
        <v>4866.1000000000004</v>
      </c>
      <c r="AP7" s="4">
        <v>31</v>
      </c>
      <c r="AQ7" s="4">
        <v>2332.08</v>
      </c>
      <c r="AR7" s="4">
        <v>16</v>
      </c>
      <c r="AS7" s="4">
        <v>7067.03</v>
      </c>
      <c r="AT7" s="4">
        <v>23</v>
      </c>
      <c r="AU7" s="4">
        <v>3027.09</v>
      </c>
      <c r="AV7" s="4">
        <v>16</v>
      </c>
      <c r="AW7" s="4">
        <v>6648.72</v>
      </c>
      <c r="AX7" s="4">
        <v>30</v>
      </c>
      <c r="AY7" s="4">
        <v>4548.74</v>
      </c>
      <c r="AZ7" s="4">
        <v>22</v>
      </c>
      <c r="BA7" s="4">
        <v>7662.69</v>
      </c>
      <c r="BB7" s="4">
        <v>46</v>
      </c>
      <c r="BC7">
        <v>2839.94</v>
      </c>
      <c r="BD7">
        <v>15</v>
      </c>
      <c r="BE7">
        <v>3522.2</v>
      </c>
      <c r="BF7">
        <v>20</v>
      </c>
      <c r="BQ7" s="3">
        <f t="shared" si="3"/>
        <v>150526.64000000001</v>
      </c>
      <c r="BR7" s="3">
        <f t="shared" si="1"/>
        <v>829</v>
      </c>
    </row>
    <row r="8" spans="1:70" x14ac:dyDescent="0.25">
      <c r="A8" s="1" t="s">
        <v>57</v>
      </c>
      <c r="B8" s="1" t="s">
        <v>1330</v>
      </c>
      <c r="C8" s="1" t="s">
        <v>139</v>
      </c>
      <c r="D8" s="1" t="s">
        <v>130</v>
      </c>
      <c r="E8" s="211">
        <v>45825</v>
      </c>
      <c r="F8" s="212" t="str">
        <f t="shared" ca="1" si="2"/>
        <v>1y 4m</v>
      </c>
      <c r="G8">
        <v>8811.14</v>
      </c>
      <c r="H8">
        <v>72</v>
      </c>
      <c r="I8">
        <v>7963.14</v>
      </c>
      <c r="J8">
        <v>57</v>
      </c>
      <c r="K8">
        <v>7374.13</v>
      </c>
      <c r="L8">
        <v>54</v>
      </c>
      <c r="M8">
        <v>6852.1900000000014</v>
      </c>
      <c r="N8">
        <v>44</v>
      </c>
      <c r="O8">
        <v>7498.17</v>
      </c>
      <c r="P8">
        <v>52</v>
      </c>
      <c r="Q8">
        <v>3989.11</v>
      </c>
      <c r="R8">
        <v>26</v>
      </c>
      <c r="S8">
        <v>6426.08</v>
      </c>
      <c r="T8">
        <v>52</v>
      </c>
      <c r="U8">
        <v>4871.13</v>
      </c>
      <c r="V8">
        <v>37</v>
      </c>
      <c r="W8">
        <v>4857.1000000000004</v>
      </c>
      <c r="X8">
        <v>38</v>
      </c>
      <c r="Y8">
        <v>3503.04</v>
      </c>
      <c r="Z8">
        <v>29</v>
      </c>
      <c r="AA8">
        <v>3010.09</v>
      </c>
      <c r="AB8">
        <v>24</v>
      </c>
      <c r="AC8">
        <v>4589.08</v>
      </c>
      <c r="AD8">
        <v>32</v>
      </c>
      <c r="AE8" s="4">
        <v>4364.1000000000004</v>
      </c>
      <c r="AF8" s="4">
        <v>34</v>
      </c>
      <c r="AG8" s="4">
        <v>3663.07</v>
      </c>
      <c r="AH8" s="4">
        <v>29</v>
      </c>
      <c r="AI8" s="4">
        <v>4021.11</v>
      </c>
      <c r="AJ8" s="4">
        <v>25</v>
      </c>
      <c r="AK8" s="4">
        <v>4244.12</v>
      </c>
      <c r="AL8" s="4">
        <v>33</v>
      </c>
      <c r="AM8" s="4">
        <v>3707.01</v>
      </c>
      <c r="AN8" s="4">
        <v>34</v>
      </c>
      <c r="AO8" s="4">
        <v>2275.02</v>
      </c>
      <c r="AP8" s="4">
        <v>17</v>
      </c>
      <c r="AQ8" s="4">
        <v>3462.09</v>
      </c>
      <c r="AR8" s="4">
        <v>19</v>
      </c>
      <c r="AS8" s="4">
        <v>2607.08</v>
      </c>
      <c r="AT8" s="4">
        <v>20</v>
      </c>
      <c r="AU8" s="4">
        <v>2255.04</v>
      </c>
      <c r="AV8" s="4">
        <v>17</v>
      </c>
      <c r="AW8" s="4">
        <v>4435.8500000000004</v>
      </c>
      <c r="AX8" s="4">
        <v>30</v>
      </c>
      <c r="AY8" s="4">
        <v>4292.7700000000004</v>
      </c>
      <c r="AZ8" s="4">
        <v>25</v>
      </c>
      <c r="BA8" s="4">
        <v>4546.7</v>
      </c>
      <c r="BB8" s="4">
        <v>29</v>
      </c>
      <c r="BC8">
        <v>4216.7299999999996</v>
      </c>
      <c r="BD8">
        <v>24</v>
      </c>
      <c r="BE8">
        <v>3406.22</v>
      </c>
      <c r="BF8">
        <v>16</v>
      </c>
      <c r="BQ8" s="3">
        <f t="shared" si="3"/>
        <v>121241.31000000001</v>
      </c>
      <c r="BR8" s="3">
        <f t="shared" si="1"/>
        <v>869</v>
      </c>
    </row>
    <row r="9" spans="1:70" x14ac:dyDescent="0.25">
      <c r="A9" s="1" t="s">
        <v>121</v>
      </c>
      <c r="B9" s="1" t="s">
        <v>1330</v>
      </c>
      <c r="C9" s="1" t="s">
        <v>140</v>
      </c>
      <c r="D9" s="1" t="s">
        <v>131</v>
      </c>
      <c r="E9" s="211">
        <v>46285</v>
      </c>
      <c r="F9" s="212" t="str">
        <f t="shared" ca="1" si="2"/>
        <v>0y 1m</v>
      </c>
      <c r="G9">
        <v>4209.13</v>
      </c>
      <c r="H9">
        <v>37</v>
      </c>
      <c r="I9">
        <v>6568.14</v>
      </c>
      <c r="J9">
        <v>50</v>
      </c>
      <c r="K9">
        <v>4069.08</v>
      </c>
      <c r="L9">
        <v>33</v>
      </c>
      <c r="M9">
        <v>3674.07</v>
      </c>
      <c r="N9">
        <v>31</v>
      </c>
      <c r="O9">
        <v>3328.12</v>
      </c>
      <c r="P9">
        <v>28</v>
      </c>
      <c r="Q9">
        <v>2308.0500000000002</v>
      </c>
      <c r="R9">
        <v>25</v>
      </c>
      <c r="S9">
        <v>2644.03</v>
      </c>
      <c r="T9">
        <v>20</v>
      </c>
      <c r="U9">
        <v>3544.02</v>
      </c>
      <c r="V9">
        <v>29</v>
      </c>
      <c r="W9">
        <v>1967.03</v>
      </c>
      <c r="X9">
        <v>16</v>
      </c>
      <c r="Y9">
        <v>1797.99</v>
      </c>
      <c r="Z9">
        <v>15</v>
      </c>
      <c r="AA9">
        <v>751</v>
      </c>
      <c r="AB9">
        <v>8</v>
      </c>
      <c r="AC9">
        <v>2351.98</v>
      </c>
      <c r="AD9">
        <v>20</v>
      </c>
      <c r="AE9" s="4">
        <v>2249.0500000000002</v>
      </c>
      <c r="AF9" s="4">
        <v>19</v>
      </c>
      <c r="AG9" s="4">
        <v>1813</v>
      </c>
      <c r="AH9" s="4">
        <v>13</v>
      </c>
      <c r="AI9" s="4">
        <v>2870.01</v>
      </c>
      <c r="AJ9" s="4">
        <v>21</v>
      </c>
      <c r="AK9" s="4">
        <v>2667.01</v>
      </c>
      <c r="AL9" s="4">
        <v>24</v>
      </c>
      <c r="AM9" s="4">
        <v>2126.02</v>
      </c>
      <c r="AN9" s="4">
        <v>17</v>
      </c>
      <c r="AO9" s="4">
        <v>2850.05</v>
      </c>
      <c r="AP9" s="4">
        <v>20</v>
      </c>
      <c r="AQ9" s="4">
        <v>1364.02</v>
      </c>
      <c r="AR9" s="4">
        <v>11</v>
      </c>
      <c r="AS9" s="4">
        <v>1832.01</v>
      </c>
      <c r="AT9" s="4">
        <v>15</v>
      </c>
      <c r="AU9" s="4">
        <v>1475.01</v>
      </c>
      <c r="AV9" s="4">
        <v>12</v>
      </c>
      <c r="AW9" s="4">
        <v>2364.9699999999998</v>
      </c>
      <c r="AX9" s="4">
        <v>22</v>
      </c>
      <c r="AY9" s="4">
        <v>5720.95</v>
      </c>
      <c r="AZ9" s="4">
        <v>24</v>
      </c>
      <c r="BA9" s="4">
        <v>2937.9</v>
      </c>
      <c r="BB9" s="4">
        <v>20</v>
      </c>
      <c r="BC9">
        <v>2416.89</v>
      </c>
      <c r="BD9">
        <v>16</v>
      </c>
      <c r="BE9">
        <v>2656.15</v>
      </c>
      <c r="BF9">
        <v>26</v>
      </c>
      <c r="BQ9" s="3">
        <f t="shared" si="3"/>
        <v>72555.679999999993</v>
      </c>
      <c r="BR9" s="3">
        <f t="shared" si="1"/>
        <v>572</v>
      </c>
    </row>
    <row r="10" spans="1:70" x14ac:dyDescent="0.25">
      <c r="A10" s="1" t="s">
        <v>116</v>
      </c>
      <c r="B10" s="1" t="s">
        <v>1330</v>
      </c>
      <c r="C10" s="1" t="s">
        <v>139</v>
      </c>
      <c r="D10" s="1" t="s">
        <v>130</v>
      </c>
      <c r="E10" s="211">
        <v>46168</v>
      </c>
      <c r="F10" s="212" t="str">
        <f t="shared" ca="1" si="2"/>
        <v>0y 5m</v>
      </c>
      <c r="G10">
        <v>26466.61</v>
      </c>
      <c r="H10">
        <v>149</v>
      </c>
      <c r="I10">
        <v>30578.6</v>
      </c>
      <c r="J10">
        <v>158</v>
      </c>
      <c r="K10">
        <v>30702.49</v>
      </c>
      <c r="L10">
        <v>158</v>
      </c>
      <c r="M10">
        <v>25516.49</v>
      </c>
      <c r="N10">
        <v>133</v>
      </c>
      <c r="O10">
        <v>17700.16</v>
      </c>
      <c r="P10">
        <v>104</v>
      </c>
      <c r="Q10">
        <v>17159.16</v>
      </c>
      <c r="R10">
        <v>102</v>
      </c>
      <c r="S10">
        <v>18624.349999999999</v>
      </c>
      <c r="T10">
        <v>91</v>
      </c>
      <c r="U10">
        <v>22238.2</v>
      </c>
      <c r="V10">
        <v>112</v>
      </c>
      <c r="W10">
        <v>37991.800000000003</v>
      </c>
      <c r="X10">
        <v>207</v>
      </c>
      <c r="Y10">
        <v>27288.45</v>
      </c>
      <c r="Z10">
        <v>152</v>
      </c>
      <c r="AA10">
        <v>19929.3</v>
      </c>
      <c r="AB10">
        <v>104</v>
      </c>
      <c r="AC10">
        <v>14487.3</v>
      </c>
      <c r="AD10">
        <v>90</v>
      </c>
      <c r="AE10" s="4">
        <v>17358.240000000002</v>
      </c>
      <c r="AF10" s="4">
        <v>87</v>
      </c>
      <c r="AG10" s="4">
        <v>16821.39</v>
      </c>
      <c r="AH10" s="4">
        <v>100</v>
      </c>
      <c r="AI10" s="4">
        <v>30757.61</v>
      </c>
      <c r="AJ10" s="4">
        <v>157</v>
      </c>
      <c r="AK10" s="4">
        <v>23919.25</v>
      </c>
      <c r="AL10" s="4">
        <v>150</v>
      </c>
      <c r="AM10" s="4">
        <v>18371.150000000001</v>
      </c>
      <c r="AN10" s="4">
        <v>111</v>
      </c>
      <c r="AO10" s="4">
        <v>12540.02</v>
      </c>
      <c r="AP10" s="4">
        <v>66</v>
      </c>
      <c r="AQ10" s="4">
        <v>11857.14</v>
      </c>
      <c r="AR10" s="4">
        <v>67</v>
      </c>
      <c r="AS10" s="4">
        <v>13954.21</v>
      </c>
      <c r="AT10" s="4">
        <v>79</v>
      </c>
      <c r="AU10" s="4">
        <v>17301.25</v>
      </c>
      <c r="AV10" s="4">
        <v>90</v>
      </c>
      <c r="AW10" s="4">
        <v>24519.78</v>
      </c>
      <c r="AX10" s="4">
        <v>135</v>
      </c>
      <c r="AY10" s="4">
        <v>28931.33</v>
      </c>
      <c r="AZ10" s="4">
        <v>133</v>
      </c>
      <c r="BA10" s="4">
        <v>22823.59</v>
      </c>
      <c r="BB10" s="4">
        <v>102</v>
      </c>
      <c r="BC10">
        <v>18850.96</v>
      </c>
      <c r="BD10">
        <v>99</v>
      </c>
      <c r="BE10">
        <v>12409.9</v>
      </c>
      <c r="BF10">
        <v>64</v>
      </c>
      <c r="BQ10" s="3">
        <f t="shared" si="3"/>
        <v>559098.7300000001</v>
      </c>
      <c r="BR10" s="3">
        <f t="shared" si="1"/>
        <v>3000</v>
      </c>
    </row>
    <row r="11" spans="1:70" x14ac:dyDescent="0.25">
      <c r="A11" s="1" t="s">
        <v>108</v>
      </c>
      <c r="B11" s="1" t="s">
        <v>1330</v>
      </c>
      <c r="C11" s="1" t="s">
        <v>141</v>
      </c>
      <c r="D11" s="1" t="s">
        <v>132</v>
      </c>
      <c r="E11" s="211">
        <v>46081</v>
      </c>
      <c r="F11" s="212" t="str">
        <f t="shared" ca="1" si="2"/>
        <v>0y 7m</v>
      </c>
      <c r="G11">
        <v>4773.07</v>
      </c>
      <c r="H11">
        <v>43</v>
      </c>
      <c r="I11">
        <v>7301.16</v>
      </c>
      <c r="J11">
        <v>51</v>
      </c>
      <c r="K11">
        <v>4709.07</v>
      </c>
      <c r="L11">
        <v>33</v>
      </c>
      <c r="M11">
        <v>4421.05</v>
      </c>
      <c r="N11">
        <v>28</v>
      </c>
      <c r="O11">
        <v>1621.07</v>
      </c>
      <c r="P11">
        <v>16</v>
      </c>
      <c r="Q11">
        <v>2313.02</v>
      </c>
      <c r="R11">
        <v>19</v>
      </c>
      <c r="S11">
        <v>3687.02</v>
      </c>
      <c r="T11">
        <v>24</v>
      </c>
      <c r="U11">
        <v>3184.04</v>
      </c>
      <c r="V11">
        <v>23</v>
      </c>
      <c r="W11">
        <v>2813.03</v>
      </c>
      <c r="X11">
        <v>20</v>
      </c>
      <c r="Y11">
        <v>1264</v>
      </c>
      <c r="Z11">
        <v>11</v>
      </c>
      <c r="AA11">
        <v>1415.02</v>
      </c>
      <c r="AB11">
        <v>12</v>
      </c>
      <c r="AC11">
        <v>1339.03</v>
      </c>
      <c r="AD11">
        <v>10</v>
      </c>
      <c r="AE11" s="4">
        <v>1861.03</v>
      </c>
      <c r="AF11" s="4">
        <v>14</v>
      </c>
      <c r="AG11" s="4">
        <v>1791.03</v>
      </c>
      <c r="AH11" s="4">
        <v>14</v>
      </c>
      <c r="AI11" s="4">
        <v>3019</v>
      </c>
      <c r="AJ11" s="4">
        <v>26</v>
      </c>
      <c r="AK11" s="4">
        <v>2290</v>
      </c>
      <c r="AL11" s="4">
        <v>16</v>
      </c>
      <c r="AM11" s="4">
        <v>1700.01</v>
      </c>
      <c r="AN11" s="4">
        <v>13</v>
      </c>
      <c r="AO11" s="4">
        <v>1200</v>
      </c>
      <c r="AP11" s="4">
        <v>10</v>
      </c>
      <c r="AQ11" s="4">
        <v>623.01</v>
      </c>
      <c r="AR11" s="4">
        <v>6</v>
      </c>
      <c r="AS11" s="4">
        <v>1375.98</v>
      </c>
      <c r="AT11" s="4">
        <v>13</v>
      </c>
      <c r="AU11" s="4">
        <v>1676</v>
      </c>
      <c r="AV11" s="4">
        <v>15</v>
      </c>
      <c r="AW11" s="4">
        <v>1383.95</v>
      </c>
      <c r="AX11" s="4">
        <v>11</v>
      </c>
      <c r="AY11" s="4">
        <v>2019.96</v>
      </c>
      <c r="AZ11" s="4">
        <v>17</v>
      </c>
      <c r="BA11" s="4">
        <v>2761.85</v>
      </c>
      <c r="BB11" s="4">
        <v>19</v>
      </c>
      <c r="BC11">
        <v>1567.96</v>
      </c>
      <c r="BD11">
        <v>13</v>
      </c>
      <c r="BE11">
        <v>1660.11</v>
      </c>
      <c r="BF11">
        <v>12</v>
      </c>
      <c r="BQ11" s="3">
        <f t="shared" si="3"/>
        <v>63770.469999999994</v>
      </c>
      <c r="BR11" s="3">
        <f t="shared" si="1"/>
        <v>489</v>
      </c>
    </row>
    <row r="12" spans="1:70" x14ac:dyDescent="0.25">
      <c r="A12" s="1" t="s">
        <v>96</v>
      </c>
      <c r="B12" s="1" t="s">
        <v>1330</v>
      </c>
      <c r="C12" s="1" t="s">
        <v>139</v>
      </c>
      <c r="D12" s="1" t="s">
        <v>130</v>
      </c>
      <c r="E12" s="211">
        <v>46010</v>
      </c>
      <c r="F12" s="212" t="str">
        <f t="shared" ca="1" si="2"/>
        <v>0y 10m</v>
      </c>
      <c r="G12">
        <v>28795.78</v>
      </c>
      <c r="H12">
        <v>162</v>
      </c>
      <c r="I12">
        <v>47833.16</v>
      </c>
      <c r="J12">
        <v>235</v>
      </c>
      <c r="K12">
        <v>38819.86</v>
      </c>
      <c r="L12">
        <v>187</v>
      </c>
      <c r="M12">
        <v>21364.29</v>
      </c>
      <c r="N12">
        <v>108</v>
      </c>
      <c r="O12">
        <v>24325.81</v>
      </c>
      <c r="P12">
        <v>120</v>
      </c>
      <c r="Q12">
        <v>24202.53</v>
      </c>
      <c r="R12">
        <v>123</v>
      </c>
      <c r="S12">
        <v>23523.46</v>
      </c>
      <c r="T12">
        <v>117</v>
      </c>
      <c r="U12">
        <v>25911.4</v>
      </c>
      <c r="V12">
        <v>130</v>
      </c>
      <c r="W12">
        <v>38457.589999999997</v>
      </c>
      <c r="X12">
        <v>178</v>
      </c>
      <c r="Y12">
        <v>31961.49</v>
      </c>
      <c r="Z12">
        <v>175</v>
      </c>
      <c r="AA12">
        <v>22600.37</v>
      </c>
      <c r="AB12">
        <v>116</v>
      </c>
      <c r="AC12">
        <v>19608.439999999999</v>
      </c>
      <c r="AD12">
        <v>106</v>
      </c>
      <c r="AE12" s="4">
        <v>18660.36</v>
      </c>
      <c r="AF12" s="4">
        <v>101</v>
      </c>
      <c r="AG12" s="4">
        <v>18685.53</v>
      </c>
      <c r="AH12" s="4">
        <v>103</v>
      </c>
      <c r="AI12" s="4">
        <v>29322.57</v>
      </c>
      <c r="AJ12" s="4">
        <v>127</v>
      </c>
      <c r="AK12" s="4">
        <v>33059.550000000003</v>
      </c>
      <c r="AL12" s="4">
        <v>157</v>
      </c>
      <c r="AM12" s="4">
        <v>26494.32</v>
      </c>
      <c r="AN12" s="4">
        <v>130</v>
      </c>
      <c r="AO12" s="4">
        <v>21884.35</v>
      </c>
      <c r="AP12" s="4">
        <v>109</v>
      </c>
      <c r="AQ12" s="4">
        <v>17282.36</v>
      </c>
      <c r="AR12" s="4">
        <v>87</v>
      </c>
      <c r="AS12" s="4">
        <v>17060.22</v>
      </c>
      <c r="AT12" s="4">
        <v>98</v>
      </c>
      <c r="AU12" s="4">
        <v>19183.330000000002</v>
      </c>
      <c r="AV12" s="4">
        <v>104</v>
      </c>
      <c r="AW12" s="4">
        <v>26970.75</v>
      </c>
      <c r="AX12" s="4">
        <v>114</v>
      </c>
      <c r="AY12" s="4">
        <v>33587.31</v>
      </c>
      <c r="AZ12" s="4">
        <v>161</v>
      </c>
      <c r="BA12" s="4">
        <v>25167</v>
      </c>
      <c r="BB12" s="4">
        <v>104</v>
      </c>
      <c r="BC12">
        <v>16908.36</v>
      </c>
      <c r="BD12">
        <v>90</v>
      </c>
      <c r="BE12">
        <v>19781.05</v>
      </c>
      <c r="BF12">
        <v>91</v>
      </c>
      <c r="BQ12" s="3">
        <f t="shared" si="3"/>
        <v>671451.23999999987</v>
      </c>
      <c r="BR12" s="3">
        <f t="shared" si="1"/>
        <v>3333</v>
      </c>
    </row>
    <row r="13" spans="1:70" x14ac:dyDescent="0.25">
      <c r="A13" s="1" t="s">
        <v>78</v>
      </c>
      <c r="B13" s="1" t="s">
        <v>1330</v>
      </c>
      <c r="C13" s="1" t="s">
        <v>138</v>
      </c>
      <c r="D13" s="1" t="s">
        <v>129</v>
      </c>
      <c r="E13" s="211">
        <v>46008</v>
      </c>
      <c r="F13" s="212" t="str">
        <f t="shared" ca="1" si="2"/>
        <v>0y 10m</v>
      </c>
      <c r="G13">
        <v>6723.06</v>
      </c>
      <c r="H13">
        <v>64</v>
      </c>
      <c r="I13">
        <v>7412.21</v>
      </c>
      <c r="J13">
        <v>66</v>
      </c>
      <c r="K13">
        <v>4359.1000000000004</v>
      </c>
      <c r="L13">
        <v>32</v>
      </c>
      <c r="M13">
        <v>4450.0700000000006</v>
      </c>
      <c r="N13">
        <v>29</v>
      </c>
      <c r="O13">
        <v>3740.07</v>
      </c>
      <c r="P13">
        <v>30</v>
      </c>
      <c r="Q13">
        <v>2413</v>
      </c>
      <c r="R13">
        <v>20</v>
      </c>
      <c r="S13">
        <v>6702.1</v>
      </c>
      <c r="T13">
        <v>34</v>
      </c>
      <c r="U13">
        <v>4485.0600000000004</v>
      </c>
      <c r="V13">
        <v>34</v>
      </c>
      <c r="W13">
        <v>5057.05</v>
      </c>
      <c r="X13">
        <v>34</v>
      </c>
      <c r="Y13">
        <v>3226.07</v>
      </c>
      <c r="Z13">
        <v>22</v>
      </c>
      <c r="AA13">
        <v>4404.13</v>
      </c>
      <c r="AB13">
        <v>31</v>
      </c>
      <c r="AC13">
        <v>4142.04</v>
      </c>
      <c r="AD13">
        <v>28</v>
      </c>
      <c r="AE13" s="4">
        <v>2978.06</v>
      </c>
      <c r="AF13" s="4">
        <v>23</v>
      </c>
      <c r="AG13" s="4">
        <v>4532.08</v>
      </c>
      <c r="AH13" s="4">
        <v>29</v>
      </c>
      <c r="AI13" s="4">
        <v>4471.0600000000004</v>
      </c>
      <c r="AJ13" s="4">
        <v>31</v>
      </c>
      <c r="AK13" s="4">
        <v>5242.08</v>
      </c>
      <c r="AL13" s="4">
        <v>36</v>
      </c>
      <c r="AM13" s="4">
        <v>4520.04</v>
      </c>
      <c r="AN13" s="4">
        <v>25</v>
      </c>
      <c r="AO13" s="4">
        <v>3062.09</v>
      </c>
      <c r="AP13" s="4">
        <v>20</v>
      </c>
      <c r="AQ13" s="4">
        <v>2860.04</v>
      </c>
      <c r="AR13" s="4">
        <v>23</v>
      </c>
      <c r="AS13" s="4">
        <v>3279.05</v>
      </c>
      <c r="AT13" s="4">
        <v>20</v>
      </c>
      <c r="AU13" s="4">
        <v>1845.02</v>
      </c>
      <c r="AV13" s="4">
        <v>13</v>
      </c>
      <c r="AW13" s="4">
        <v>2720.9</v>
      </c>
      <c r="AX13" s="4">
        <v>19</v>
      </c>
      <c r="AY13" s="4">
        <v>3977.77</v>
      </c>
      <c r="AZ13" s="4">
        <v>26</v>
      </c>
      <c r="BA13" s="4">
        <v>3263.82</v>
      </c>
      <c r="BB13" s="4">
        <v>20</v>
      </c>
      <c r="BC13">
        <v>2915.88</v>
      </c>
      <c r="BD13">
        <v>23</v>
      </c>
      <c r="BE13">
        <v>2738.16</v>
      </c>
      <c r="BF13">
        <v>20</v>
      </c>
      <c r="BQ13" s="3">
        <f t="shared" si="3"/>
        <v>105520.01000000001</v>
      </c>
      <c r="BR13" s="3">
        <f t="shared" si="1"/>
        <v>752</v>
      </c>
    </row>
    <row r="14" spans="1:70" x14ac:dyDescent="0.25">
      <c r="A14" s="1" t="s">
        <v>41</v>
      </c>
      <c r="B14" s="1" t="s">
        <v>1330</v>
      </c>
      <c r="C14" s="1" t="s">
        <v>141</v>
      </c>
      <c r="D14" s="1" t="s">
        <v>132</v>
      </c>
      <c r="E14" s="211">
        <v>45739</v>
      </c>
      <c r="F14" s="212" t="str">
        <f t="shared" ca="1" si="2"/>
        <v>1y 7m</v>
      </c>
      <c r="G14">
        <v>5937.07</v>
      </c>
      <c r="H14">
        <v>37</v>
      </c>
      <c r="I14">
        <v>6681.13</v>
      </c>
      <c r="J14">
        <v>44</v>
      </c>
      <c r="K14">
        <v>4251.08</v>
      </c>
      <c r="L14">
        <v>27</v>
      </c>
      <c r="M14">
        <v>6981.16</v>
      </c>
      <c r="N14">
        <v>34</v>
      </c>
      <c r="O14">
        <v>5002.07</v>
      </c>
      <c r="P14">
        <v>28</v>
      </c>
      <c r="Q14">
        <v>4583.96</v>
      </c>
      <c r="R14">
        <v>29</v>
      </c>
      <c r="S14">
        <v>4231.13</v>
      </c>
      <c r="T14">
        <v>22</v>
      </c>
      <c r="U14">
        <v>3140.05</v>
      </c>
      <c r="V14">
        <v>27</v>
      </c>
      <c r="W14">
        <v>3712.06</v>
      </c>
      <c r="X14">
        <v>30</v>
      </c>
      <c r="Y14">
        <v>3010.04</v>
      </c>
      <c r="Z14">
        <v>24</v>
      </c>
      <c r="AA14">
        <v>1462.03</v>
      </c>
      <c r="AB14">
        <v>12</v>
      </c>
      <c r="AC14">
        <v>2586.08</v>
      </c>
      <c r="AD14">
        <v>21</v>
      </c>
      <c r="AE14" s="4">
        <v>1679.02</v>
      </c>
      <c r="AF14" s="4">
        <v>13</v>
      </c>
      <c r="AG14" s="4">
        <v>3667.1</v>
      </c>
      <c r="AH14" s="4">
        <v>24</v>
      </c>
      <c r="AI14" s="4">
        <v>3613.1</v>
      </c>
      <c r="AJ14" s="4">
        <v>33</v>
      </c>
      <c r="AK14" s="4">
        <v>5389.11</v>
      </c>
      <c r="AL14" s="4">
        <v>33</v>
      </c>
      <c r="AM14" s="4">
        <v>3527.06</v>
      </c>
      <c r="AN14" s="4">
        <v>25</v>
      </c>
      <c r="AO14" s="4">
        <v>1861.01</v>
      </c>
      <c r="AP14" s="4">
        <v>13</v>
      </c>
      <c r="AQ14" s="4">
        <v>4904.18</v>
      </c>
      <c r="AR14" s="4">
        <v>22</v>
      </c>
      <c r="AS14" s="4">
        <v>1834.03</v>
      </c>
      <c r="AT14" s="4">
        <v>15</v>
      </c>
      <c r="AU14" s="4">
        <v>3240.03</v>
      </c>
      <c r="AV14" s="4">
        <v>20</v>
      </c>
      <c r="AW14" s="4">
        <v>3230.98</v>
      </c>
      <c r="AX14" s="4">
        <v>21</v>
      </c>
      <c r="AY14" s="4">
        <v>3066.87</v>
      </c>
      <c r="AZ14" s="4">
        <v>19</v>
      </c>
      <c r="BA14" s="4">
        <v>2652.86</v>
      </c>
      <c r="BB14" s="4">
        <v>17</v>
      </c>
      <c r="BC14">
        <v>2222.85</v>
      </c>
      <c r="BD14">
        <v>13</v>
      </c>
      <c r="BE14">
        <v>2753.18</v>
      </c>
      <c r="BF14">
        <v>19</v>
      </c>
      <c r="BQ14" s="3">
        <f t="shared" si="3"/>
        <v>95219.239999999962</v>
      </c>
      <c r="BR14" s="3">
        <f t="shared" si="1"/>
        <v>622</v>
      </c>
    </row>
    <row r="15" spans="1:70" x14ac:dyDescent="0.25">
      <c r="A15" s="1" t="s">
        <v>110</v>
      </c>
      <c r="B15" s="1" t="s">
        <v>1330</v>
      </c>
      <c r="C15" s="1" t="s">
        <v>138</v>
      </c>
      <c r="D15" s="1" t="s">
        <v>129</v>
      </c>
      <c r="E15" s="211">
        <v>46085</v>
      </c>
      <c r="F15" s="212" t="str">
        <f t="shared" ca="1" si="2"/>
        <v>0y 7m</v>
      </c>
      <c r="G15">
        <v>9670.2100000000009</v>
      </c>
      <c r="H15">
        <v>54</v>
      </c>
      <c r="I15">
        <v>12125.39</v>
      </c>
      <c r="J15">
        <v>71</v>
      </c>
      <c r="K15">
        <v>6819.21</v>
      </c>
      <c r="L15">
        <v>44</v>
      </c>
      <c r="M15">
        <v>5597.16</v>
      </c>
      <c r="N15">
        <v>35</v>
      </c>
      <c r="O15">
        <v>5490.11</v>
      </c>
      <c r="P15">
        <v>34</v>
      </c>
      <c r="Q15">
        <v>4775.05</v>
      </c>
      <c r="R15">
        <v>25</v>
      </c>
      <c r="S15">
        <v>8645.06</v>
      </c>
      <c r="T15">
        <v>29</v>
      </c>
      <c r="U15">
        <v>4108.09</v>
      </c>
      <c r="V15">
        <v>28</v>
      </c>
      <c r="W15">
        <v>7117.08</v>
      </c>
      <c r="X15">
        <v>42</v>
      </c>
      <c r="Y15">
        <v>4795.1400000000003</v>
      </c>
      <c r="Z15">
        <v>35</v>
      </c>
      <c r="AA15">
        <v>5942.17</v>
      </c>
      <c r="AB15">
        <v>25</v>
      </c>
      <c r="AC15">
        <v>2720.07</v>
      </c>
      <c r="AD15">
        <v>20</v>
      </c>
      <c r="AE15" s="4">
        <v>4421.13</v>
      </c>
      <c r="AF15" s="4">
        <v>24</v>
      </c>
      <c r="AG15" s="4">
        <v>4036.08</v>
      </c>
      <c r="AH15" s="4">
        <v>18</v>
      </c>
      <c r="AI15" s="4">
        <v>6426.19</v>
      </c>
      <c r="AJ15" s="4">
        <v>40</v>
      </c>
      <c r="AK15" s="4">
        <v>3542.05</v>
      </c>
      <c r="AL15" s="4">
        <v>25</v>
      </c>
      <c r="AM15" s="4">
        <v>6336.22</v>
      </c>
      <c r="AN15" s="4">
        <v>32</v>
      </c>
      <c r="AO15" s="4">
        <v>10987.28</v>
      </c>
      <c r="AP15" s="4">
        <v>28</v>
      </c>
      <c r="AQ15" s="4">
        <v>4131.1000000000004</v>
      </c>
      <c r="AR15" s="4">
        <v>21</v>
      </c>
      <c r="AS15" s="4">
        <v>12803.92</v>
      </c>
      <c r="AT15" s="4">
        <v>30</v>
      </c>
      <c r="AU15" s="4">
        <v>5316.13</v>
      </c>
      <c r="AV15" s="4">
        <v>45</v>
      </c>
      <c r="AW15" s="4">
        <v>6620.72</v>
      </c>
      <c r="AX15" s="4">
        <v>38</v>
      </c>
      <c r="AY15" s="4">
        <v>5470.76</v>
      </c>
      <c r="AZ15" s="4">
        <v>30</v>
      </c>
      <c r="BA15" s="4">
        <v>6814.63</v>
      </c>
      <c r="BB15" s="4">
        <v>29</v>
      </c>
      <c r="BC15">
        <v>5199.72</v>
      </c>
      <c r="BD15">
        <v>23</v>
      </c>
      <c r="BE15">
        <v>5586.2</v>
      </c>
      <c r="BF15">
        <v>19</v>
      </c>
      <c r="BQ15" s="3">
        <f t="shared" si="3"/>
        <v>165496.87000000005</v>
      </c>
      <c r="BR15" s="3">
        <f t="shared" si="1"/>
        <v>844</v>
      </c>
    </row>
    <row r="16" spans="1:70" x14ac:dyDescent="0.25">
      <c r="A16" s="1" t="s">
        <v>89</v>
      </c>
      <c r="B16" s="1" t="s">
        <v>1330</v>
      </c>
      <c r="C16" s="1" t="s">
        <v>142</v>
      </c>
      <c r="D16" s="1" t="s">
        <v>132</v>
      </c>
      <c r="E16" s="211">
        <v>45958</v>
      </c>
      <c r="F16" s="212" t="str">
        <f t="shared" ca="1" si="2"/>
        <v>0y 11m</v>
      </c>
      <c r="G16">
        <v>1802.04</v>
      </c>
      <c r="H16">
        <v>21</v>
      </c>
      <c r="I16">
        <v>1752.03</v>
      </c>
      <c r="J16">
        <v>14</v>
      </c>
      <c r="K16">
        <v>4534.09</v>
      </c>
      <c r="L16">
        <v>28</v>
      </c>
      <c r="M16">
        <v>3460.09</v>
      </c>
      <c r="N16">
        <v>13</v>
      </c>
      <c r="O16">
        <v>6884.08</v>
      </c>
      <c r="P16">
        <v>5</v>
      </c>
      <c r="Q16">
        <v>3268.02</v>
      </c>
      <c r="R16">
        <v>13</v>
      </c>
      <c r="S16">
        <v>1986.02</v>
      </c>
      <c r="T16">
        <v>9</v>
      </c>
      <c r="U16">
        <v>2848.08</v>
      </c>
      <c r="V16">
        <v>9</v>
      </c>
      <c r="W16">
        <v>2273.0500000000002</v>
      </c>
      <c r="X16">
        <v>9</v>
      </c>
      <c r="Y16">
        <v>1662.02</v>
      </c>
      <c r="Z16">
        <v>9</v>
      </c>
      <c r="AA16">
        <v>2437.06</v>
      </c>
      <c r="AB16">
        <v>11</v>
      </c>
      <c r="AC16">
        <v>2066.04</v>
      </c>
      <c r="AD16">
        <v>12</v>
      </c>
      <c r="AE16" s="4">
        <v>1894.04</v>
      </c>
      <c r="AF16" s="4">
        <v>12</v>
      </c>
      <c r="AG16" s="4">
        <v>1029</v>
      </c>
      <c r="AH16" s="4">
        <v>7</v>
      </c>
      <c r="AI16" s="4">
        <v>1277</v>
      </c>
      <c r="AJ16" s="4">
        <v>9</v>
      </c>
      <c r="AK16" s="4">
        <v>4192.9799999999996</v>
      </c>
      <c r="AL16" s="4">
        <v>11</v>
      </c>
      <c r="AM16" s="4">
        <v>1652.03</v>
      </c>
      <c r="AN16" s="4">
        <v>8</v>
      </c>
      <c r="AO16" s="4">
        <v>1401.04</v>
      </c>
      <c r="AP16" s="4">
        <v>8</v>
      </c>
      <c r="AQ16" s="4">
        <v>1604.99</v>
      </c>
      <c r="AR16" s="4">
        <v>9</v>
      </c>
      <c r="AS16" s="4">
        <v>644</v>
      </c>
      <c r="AT16" s="4">
        <v>6</v>
      </c>
      <c r="AU16" s="4">
        <v>1795.99</v>
      </c>
      <c r="AV16" s="4">
        <v>9</v>
      </c>
      <c r="AW16" s="4">
        <v>1492.9</v>
      </c>
      <c r="AX16" s="4">
        <v>7</v>
      </c>
      <c r="AY16" s="4">
        <v>1874.86</v>
      </c>
      <c r="AZ16" s="4">
        <v>12</v>
      </c>
      <c r="BA16" s="4">
        <v>1635.94</v>
      </c>
      <c r="BB16" s="4">
        <v>9</v>
      </c>
      <c r="BC16">
        <v>475.98</v>
      </c>
      <c r="BD16">
        <v>3</v>
      </c>
      <c r="BE16">
        <v>2532</v>
      </c>
      <c r="BF16">
        <v>8</v>
      </c>
      <c r="BQ16" s="3">
        <f t="shared" si="3"/>
        <v>58475.37</v>
      </c>
      <c r="BR16" s="3">
        <f t="shared" si="1"/>
        <v>271</v>
      </c>
    </row>
    <row r="17" spans="1:70" x14ac:dyDescent="0.25">
      <c r="A17" s="1" t="s">
        <v>83</v>
      </c>
      <c r="B17" s="1" t="s">
        <v>1330</v>
      </c>
      <c r="C17" s="1" t="s">
        <v>143</v>
      </c>
      <c r="D17" s="1" t="s">
        <v>133</v>
      </c>
      <c r="E17" s="211">
        <v>46080</v>
      </c>
      <c r="F17" s="212" t="str">
        <f t="shared" ca="1" si="2"/>
        <v>0y 8m</v>
      </c>
      <c r="G17">
        <v>2380.1</v>
      </c>
      <c r="H17">
        <v>21</v>
      </c>
      <c r="I17">
        <v>4244.1000000000004</v>
      </c>
      <c r="J17">
        <v>31</v>
      </c>
      <c r="K17">
        <v>3290.12</v>
      </c>
      <c r="L17">
        <v>17</v>
      </c>
      <c r="M17">
        <v>1274.05</v>
      </c>
      <c r="N17">
        <v>5</v>
      </c>
      <c r="O17">
        <v>1489.03</v>
      </c>
      <c r="P17">
        <v>10</v>
      </c>
      <c r="Q17">
        <v>1350.03</v>
      </c>
      <c r="R17">
        <v>9</v>
      </c>
      <c r="S17">
        <v>613.02</v>
      </c>
      <c r="T17">
        <v>6</v>
      </c>
      <c r="U17">
        <v>1139.01</v>
      </c>
      <c r="V17">
        <v>7</v>
      </c>
      <c r="W17">
        <v>1191.03</v>
      </c>
      <c r="X17">
        <v>11</v>
      </c>
      <c r="Y17">
        <v>1288.02</v>
      </c>
      <c r="Z17">
        <v>9</v>
      </c>
      <c r="AA17">
        <v>921</v>
      </c>
      <c r="AB17">
        <v>4</v>
      </c>
      <c r="AC17">
        <v>1828.09</v>
      </c>
      <c r="AD17">
        <v>12</v>
      </c>
      <c r="AE17" s="4">
        <v>1047.03</v>
      </c>
      <c r="AF17" s="4">
        <v>7</v>
      </c>
      <c r="AG17" s="4">
        <v>240</v>
      </c>
      <c r="AH17" s="4">
        <v>3</v>
      </c>
      <c r="AI17" s="4">
        <v>1029.01</v>
      </c>
      <c r="AJ17" s="4">
        <v>7</v>
      </c>
      <c r="AK17" s="4">
        <v>1971.06</v>
      </c>
      <c r="AL17" s="4">
        <v>10</v>
      </c>
      <c r="AM17" s="4">
        <v>1023.01</v>
      </c>
      <c r="AN17" s="4">
        <v>6</v>
      </c>
      <c r="AO17" s="4">
        <v>824.01</v>
      </c>
      <c r="AP17" s="4">
        <v>5</v>
      </c>
      <c r="AQ17" s="4">
        <v>650</v>
      </c>
      <c r="AR17" s="4">
        <v>4</v>
      </c>
      <c r="AS17" s="4">
        <v>447</v>
      </c>
      <c r="AT17" s="4">
        <v>3</v>
      </c>
      <c r="AU17" s="4">
        <v>924.02</v>
      </c>
      <c r="AV17" s="4">
        <v>6</v>
      </c>
      <c r="AW17" s="4">
        <v>532.97</v>
      </c>
      <c r="AX17" s="4">
        <v>3</v>
      </c>
      <c r="AY17" s="4">
        <v>1367.93</v>
      </c>
      <c r="AZ17" s="4">
        <v>6</v>
      </c>
      <c r="BA17" s="4">
        <v>1616.97</v>
      </c>
      <c r="BB17" s="4">
        <v>8</v>
      </c>
      <c r="BC17">
        <v>918.96</v>
      </c>
      <c r="BD17">
        <v>5</v>
      </c>
      <c r="BE17">
        <v>1419.11</v>
      </c>
      <c r="BF17">
        <v>10</v>
      </c>
      <c r="BQ17" s="3">
        <f t="shared" si="3"/>
        <v>35018.68</v>
      </c>
      <c r="BR17" s="3">
        <f t="shared" si="1"/>
        <v>225</v>
      </c>
    </row>
    <row r="18" spans="1:70" x14ac:dyDescent="0.25">
      <c r="A18" s="1" t="s">
        <v>94</v>
      </c>
      <c r="B18" s="1" t="s">
        <v>1330</v>
      </c>
      <c r="C18" s="1" t="s">
        <v>142</v>
      </c>
      <c r="D18" s="1" t="s">
        <v>132</v>
      </c>
      <c r="E18" s="211">
        <v>46007</v>
      </c>
      <c r="F18" s="212" t="str">
        <f t="shared" ca="1" si="2"/>
        <v>0y 10m</v>
      </c>
      <c r="G18">
        <v>9144.24</v>
      </c>
      <c r="H18">
        <v>49</v>
      </c>
      <c r="I18">
        <v>10846.26</v>
      </c>
      <c r="J18">
        <v>72</v>
      </c>
      <c r="K18">
        <v>9068.34</v>
      </c>
      <c r="L18">
        <v>52</v>
      </c>
      <c r="M18">
        <v>8925.16</v>
      </c>
      <c r="N18">
        <v>51</v>
      </c>
      <c r="O18">
        <v>7798.08</v>
      </c>
      <c r="P18">
        <v>45</v>
      </c>
      <c r="Q18">
        <v>8343.0499999999993</v>
      </c>
      <c r="R18">
        <v>39</v>
      </c>
      <c r="S18">
        <v>9791.06</v>
      </c>
      <c r="T18">
        <v>47</v>
      </c>
      <c r="U18">
        <v>7124.02</v>
      </c>
      <c r="V18">
        <v>37</v>
      </c>
      <c r="W18">
        <v>8425.0400000000009</v>
      </c>
      <c r="X18">
        <v>39</v>
      </c>
      <c r="Y18">
        <v>12876.11</v>
      </c>
      <c r="Z18">
        <v>54</v>
      </c>
      <c r="AA18">
        <v>15502.08</v>
      </c>
      <c r="AB18">
        <v>69</v>
      </c>
      <c r="AC18">
        <v>6019.04</v>
      </c>
      <c r="AD18">
        <v>34</v>
      </c>
      <c r="AE18" s="4">
        <v>8048.07</v>
      </c>
      <c r="AF18" s="4">
        <v>35</v>
      </c>
      <c r="AG18" s="4">
        <v>6530.99</v>
      </c>
      <c r="AH18" s="4">
        <v>40</v>
      </c>
      <c r="AI18" s="4">
        <v>8327.08</v>
      </c>
      <c r="AJ18" s="4">
        <v>45</v>
      </c>
      <c r="AK18" s="4">
        <v>13887.1</v>
      </c>
      <c r="AL18" s="4">
        <v>66</v>
      </c>
      <c r="AM18" s="4">
        <v>8511.02</v>
      </c>
      <c r="AN18" s="4">
        <v>36</v>
      </c>
      <c r="AO18" s="4">
        <v>5525</v>
      </c>
      <c r="AP18" s="4">
        <v>36</v>
      </c>
      <c r="AQ18" s="4">
        <v>10549.07</v>
      </c>
      <c r="AR18" s="4">
        <v>54</v>
      </c>
      <c r="AS18" s="4">
        <v>8887.0300000000007</v>
      </c>
      <c r="AT18" s="4">
        <v>36</v>
      </c>
      <c r="AU18" s="4">
        <v>8697.06</v>
      </c>
      <c r="AV18" s="4">
        <v>46</v>
      </c>
      <c r="AW18" s="4">
        <v>15566.03</v>
      </c>
      <c r="AX18" s="4">
        <v>63</v>
      </c>
      <c r="AY18" s="4">
        <v>10166.34</v>
      </c>
      <c r="AZ18" s="4">
        <v>52</v>
      </c>
      <c r="BA18" s="4">
        <v>12792.14</v>
      </c>
      <c r="BB18" s="4">
        <v>58</v>
      </c>
      <c r="BC18">
        <v>8134.54</v>
      </c>
      <c r="BD18">
        <v>43</v>
      </c>
      <c r="BE18">
        <v>10233.69</v>
      </c>
      <c r="BF18">
        <v>43</v>
      </c>
      <c r="BQ18" s="3">
        <f t="shared" si="3"/>
        <v>249717.63999999998</v>
      </c>
      <c r="BR18" s="3">
        <f t="shared" si="1"/>
        <v>1241</v>
      </c>
    </row>
    <row r="19" spans="1:70" x14ac:dyDescent="0.25">
      <c r="A19" s="1" t="s">
        <v>54</v>
      </c>
      <c r="B19" s="1" t="s">
        <v>1330</v>
      </c>
      <c r="C19" s="1" t="s">
        <v>144</v>
      </c>
      <c r="D19" s="1" t="s">
        <v>126</v>
      </c>
      <c r="E19" s="211">
        <v>45811</v>
      </c>
      <c r="F19" s="212" t="str">
        <f t="shared" ca="1" si="2"/>
        <v>1y 4m</v>
      </c>
      <c r="G19">
        <v>34314.83</v>
      </c>
      <c r="H19">
        <v>145</v>
      </c>
      <c r="I19">
        <v>37909.57</v>
      </c>
      <c r="J19">
        <v>195</v>
      </c>
      <c r="K19">
        <v>39686.61</v>
      </c>
      <c r="L19">
        <v>193</v>
      </c>
      <c r="M19">
        <v>25193.5</v>
      </c>
      <c r="N19">
        <v>114</v>
      </c>
      <c r="O19">
        <v>17262.29</v>
      </c>
      <c r="P19">
        <v>97</v>
      </c>
      <c r="Q19">
        <v>15281.35</v>
      </c>
      <c r="R19">
        <v>74</v>
      </c>
      <c r="S19">
        <v>24740.52</v>
      </c>
      <c r="T19">
        <v>97</v>
      </c>
      <c r="U19">
        <v>16559.259999999998</v>
      </c>
      <c r="V19">
        <v>77</v>
      </c>
      <c r="W19">
        <v>20865.400000000001</v>
      </c>
      <c r="X19">
        <v>117</v>
      </c>
      <c r="Y19">
        <v>27343.53</v>
      </c>
      <c r="Z19">
        <v>88</v>
      </c>
      <c r="AA19">
        <v>12871.21</v>
      </c>
      <c r="AB19">
        <v>49</v>
      </c>
      <c r="AC19">
        <v>17861.25</v>
      </c>
      <c r="AD19">
        <v>70</v>
      </c>
      <c r="AE19" s="4">
        <v>13792.17</v>
      </c>
      <c r="AF19" s="4">
        <v>53</v>
      </c>
      <c r="AG19" s="4">
        <v>13517.23</v>
      </c>
      <c r="AH19" s="4">
        <v>52</v>
      </c>
      <c r="AI19" s="4">
        <v>24891.37</v>
      </c>
      <c r="AJ19" s="4">
        <v>90</v>
      </c>
      <c r="AK19" s="4">
        <v>18553.32</v>
      </c>
      <c r="AL19" s="4">
        <v>73</v>
      </c>
      <c r="AM19" s="4">
        <v>26115.13</v>
      </c>
      <c r="AN19" s="4">
        <v>86</v>
      </c>
      <c r="AO19" s="4">
        <v>12000.21</v>
      </c>
      <c r="AP19" s="4">
        <v>46</v>
      </c>
      <c r="AQ19" s="4">
        <v>8834.2000000000007</v>
      </c>
      <c r="AR19" s="4">
        <v>47</v>
      </c>
      <c r="AS19" s="4">
        <v>14856.22</v>
      </c>
      <c r="AT19" s="4">
        <v>73</v>
      </c>
      <c r="AU19" s="4">
        <v>16096.33</v>
      </c>
      <c r="AV19" s="4">
        <v>62</v>
      </c>
      <c r="AW19" s="4">
        <v>16897.02</v>
      </c>
      <c r="AX19" s="4">
        <v>74</v>
      </c>
      <c r="AY19" s="4">
        <v>20352.91</v>
      </c>
      <c r="AZ19" s="4">
        <v>76</v>
      </c>
      <c r="BA19" s="4">
        <v>25892.48</v>
      </c>
      <c r="BB19" s="4">
        <v>99</v>
      </c>
      <c r="BC19">
        <v>14652.37</v>
      </c>
      <c r="BD19">
        <v>67</v>
      </c>
      <c r="BE19">
        <v>18766.22</v>
      </c>
      <c r="BF19">
        <v>70</v>
      </c>
      <c r="BQ19" s="3">
        <f t="shared" si="3"/>
        <v>535106.5</v>
      </c>
      <c r="BR19" s="3">
        <f t="shared" si="1"/>
        <v>2284</v>
      </c>
    </row>
    <row r="20" spans="1:70" x14ac:dyDescent="0.25">
      <c r="A20" s="1" t="s">
        <v>86</v>
      </c>
      <c r="B20" s="1" t="s">
        <v>1330</v>
      </c>
      <c r="C20" s="1" t="s">
        <v>142</v>
      </c>
      <c r="D20" s="1" t="s">
        <v>132</v>
      </c>
      <c r="E20" s="211">
        <v>45921</v>
      </c>
      <c r="F20" s="212" t="str">
        <f t="shared" ca="1" si="2"/>
        <v>1y 1m</v>
      </c>
      <c r="G20">
        <v>3502.08</v>
      </c>
      <c r="H20">
        <v>24</v>
      </c>
      <c r="I20">
        <v>5521.18</v>
      </c>
      <c r="J20">
        <v>27</v>
      </c>
      <c r="K20">
        <v>6227.12</v>
      </c>
      <c r="L20">
        <v>27</v>
      </c>
      <c r="M20">
        <v>2370.06</v>
      </c>
      <c r="N20">
        <v>13</v>
      </c>
      <c r="O20">
        <v>1733.06</v>
      </c>
      <c r="P20">
        <v>11</v>
      </c>
      <c r="Q20">
        <v>2681.06</v>
      </c>
      <c r="R20">
        <v>16</v>
      </c>
      <c r="S20">
        <v>5693.09</v>
      </c>
      <c r="T20">
        <v>30</v>
      </c>
      <c r="U20">
        <v>3431</v>
      </c>
      <c r="V20">
        <v>17</v>
      </c>
      <c r="W20">
        <v>3014.02</v>
      </c>
      <c r="X20">
        <v>21</v>
      </c>
      <c r="Y20">
        <v>6277.08</v>
      </c>
      <c r="Z20">
        <v>32</v>
      </c>
      <c r="AA20">
        <v>5421.07</v>
      </c>
      <c r="AB20">
        <v>30</v>
      </c>
      <c r="AC20">
        <v>2550.0100000000002</v>
      </c>
      <c r="AD20">
        <v>17</v>
      </c>
      <c r="AE20" s="4">
        <v>3355.04</v>
      </c>
      <c r="AF20" s="4">
        <v>14</v>
      </c>
      <c r="AG20" s="4">
        <v>2925</v>
      </c>
      <c r="AH20" s="4">
        <v>19</v>
      </c>
      <c r="AI20" s="4">
        <v>5475.02</v>
      </c>
      <c r="AJ20" s="4">
        <v>23</v>
      </c>
      <c r="AK20" s="4">
        <v>3100.03</v>
      </c>
      <c r="AL20" s="4">
        <v>17</v>
      </c>
      <c r="AM20" s="4">
        <v>4065.01</v>
      </c>
      <c r="AN20" s="4">
        <v>23</v>
      </c>
      <c r="AO20" s="4">
        <v>4845</v>
      </c>
      <c r="AP20" s="4">
        <v>26</v>
      </c>
      <c r="AQ20" s="4">
        <v>3350</v>
      </c>
      <c r="AR20" s="4">
        <v>15</v>
      </c>
      <c r="AS20" s="4">
        <v>5203.09</v>
      </c>
      <c r="AT20" s="4">
        <v>25</v>
      </c>
      <c r="AU20" s="4">
        <v>3440</v>
      </c>
      <c r="AV20" s="4">
        <v>20</v>
      </c>
      <c r="AW20" s="4">
        <v>3192.74</v>
      </c>
      <c r="AX20" s="4">
        <v>14</v>
      </c>
      <c r="AY20" s="4">
        <v>4195.6899999999996</v>
      </c>
      <c r="AZ20" s="4">
        <v>18</v>
      </c>
      <c r="BA20" s="4">
        <v>6173.66</v>
      </c>
      <c r="BB20" s="4">
        <v>28</v>
      </c>
      <c r="BC20">
        <v>5855.74</v>
      </c>
      <c r="BD20">
        <v>14</v>
      </c>
      <c r="BE20">
        <v>3774.24</v>
      </c>
      <c r="BF20">
        <v>21</v>
      </c>
      <c r="BQ20" s="3">
        <f t="shared" si="3"/>
        <v>107371.09000000003</v>
      </c>
      <c r="BR20" s="3">
        <f t="shared" si="1"/>
        <v>542</v>
      </c>
    </row>
    <row r="21" spans="1:70" x14ac:dyDescent="0.25">
      <c r="A21" s="1" t="s">
        <v>109</v>
      </c>
      <c r="B21" s="1" t="s">
        <v>1330</v>
      </c>
      <c r="C21" s="1" t="s">
        <v>145</v>
      </c>
      <c r="D21" s="1" t="s">
        <v>127</v>
      </c>
      <c r="E21" s="211">
        <v>46084</v>
      </c>
      <c r="F21" s="212" t="str">
        <f t="shared" ca="1" si="2"/>
        <v>0y 7m</v>
      </c>
      <c r="G21">
        <v>9168.1299999999992</v>
      </c>
      <c r="H21">
        <v>69</v>
      </c>
      <c r="I21">
        <v>10868.11</v>
      </c>
      <c r="J21">
        <v>84</v>
      </c>
      <c r="K21">
        <v>9824.23</v>
      </c>
      <c r="L21">
        <v>74</v>
      </c>
      <c r="M21">
        <v>11764.12</v>
      </c>
      <c r="N21">
        <v>64</v>
      </c>
      <c r="O21">
        <v>8173.15</v>
      </c>
      <c r="P21">
        <v>56</v>
      </c>
      <c r="Q21">
        <v>7676.17</v>
      </c>
      <c r="R21">
        <v>56</v>
      </c>
      <c r="S21">
        <v>5803.07</v>
      </c>
      <c r="T21">
        <v>42</v>
      </c>
      <c r="U21">
        <v>7131.08</v>
      </c>
      <c r="V21">
        <v>50</v>
      </c>
      <c r="W21">
        <v>6827.12</v>
      </c>
      <c r="X21">
        <v>43</v>
      </c>
      <c r="Y21">
        <v>7780.1</v>
      </c>
      <c r="Z21">
        <v>49</v>
      </c>
      <c r="AA21">
        <v>5136.07</v>
      </c>
      <c r="AB21">
        <v>33</v>
      </c>
      <c r="AC21">
        <v>8302.1200000000008</v>
      </c>
      <c r="AD21">
        <v>44</v>
      </c>
      <c r="AE21" s="4">
        <v>5365.04</v>
      </c>
      <c r="AF21" s="4">
        <v>42</v>
      </c>
      <c r="AG21" s="4">
        <v>4163.08</v>
      </c>
      <c r="AH21" s="4">
        <v>29</v>
      </c>
      <c r="AI21" s="4">
        <v>5648.14</v>
      </c>
      <c r="AJ21" s="4">
        <v>43</v>
      </c>
      <c r="AK21" s="4">
        <v>6555.09</v>
      </c>
      <c r="AL21" s="4">
        <v>47</v>
      </c>
      <c r="AM21" s="4">
        <v>4958</v>
      </c>
      <c r="AN21" s="4">
        <v>36</v>
      </c>
      <c r="AO21" s="4">
        <v>4060.11</v>
      </c>
      <c r="AP21" s="4">
        <v>32</v>
      </c>
      <c r="AQ21" s="4">
        <v>4832.04</v>
      </c>
      <c r="AR21" s="4">
        <v>33</v>
      </c>
      <c r="AS21" s="4">
        <v>4572.05</v>
      </c>
      <c r="AT21" s="4">
        <v>29</v>
      </c>
      <c r="AU21" s="4">
        <v>6305.06</v>
      </c>
      <c r="AV21" s="4">
        <v>31</v>
      </c>
      <c r="AW21" s="4">
        <v>5729.79</v>
      </c>
      <c r="AX21" s="4">
        <v>33</v>
      </c>
      <c r="AY21" s="4">
        <v>6758.77</v>
      </c>
      <c r="AZ21" s="4">
        <v>39</v>
      </c>
      <c r="BA21" s="4">
        <v>5097.75</v>
      </c>
      <c r="BB21" s="4">
        <v>34</v>
      </c>
      <c r="BC21">
        <v>4146.76</v>
      </c>
      <c r="BD21">
        <v>29</v>
      </c>
      <c r="BE21">
        <v>3873.27</v>
      </c>
      <c r="BF21">
        <v>23</v>
      </c>
      <c r="BQ21" s="3">
        <f t="shared" si="3"/>
        <v>170518.41999999998</v>
      </c>
      <c r="BR21" s="3">
        <f t="shared" si="1"/>
        <v>1144</v>
      </c>
    </row>
    <row r="22" spans="1:70" x14ac:dyDescent="0.25">
      <c r="A22" s="1" t="s">
        <v>23</v>
      </c>
      <c r="B22" s="1" t="s">
        <v>1330</v>
      </c>
      <c r="C22" s="1" t="s">
        <v>136</v>
      </c>
      <c r="D22" s="1" t="s">
        <v>126</v>
      </c>
      <c r="E22" s="211">
        <v>45665</v>
      </c>
      <c r="F22" s="212" t="str">
        <f t="shared" ca="1" si="2"/>
        <v>1y 9m</v>
      </c>
      <c r="G22">
        <v>14865.32</v>
      </c>
      <c r="H22">
        <v>65</v>
      </c>
      <c r="I22">
        <v>15602.41</v>
      </c>
      <c r="J22">
        <v>70</v>
      </c>
      <c r="K22">
        <v>13128.29</v>
      </c>
      <c r="L22">
        <v>69</v>
      </c>
      <c r="M22">
        <v>12937.22</v>
      </c>
      <c r="N22">
        <v>74</v>
      </c>
      <c r="O22">
        <v>13756.3</v>
      </c>
      <c r="P22">
        <v>73</v>
      </c>
      <c r="Q22">
        <v>7731.12</v>
      </c>
      <c r="R22">
        <v>43</v>
      </c>
      <c r="S22">
        <v>9071.0400000000009</v>
      </c>
      <c r="T22">
        <v>44</v>
      </c>
      <c r="U22">
        <v>7006.13</v>
      </c>
      <c r="V22">
        <v>38</v>
      </c>
      <c r="W22">
        <v>7433.18</v>
      </c>
      <c r="X22">
        <v>42</v>
      </c>
      <c r="Y22">
        <v>10649.12</v>
      </c>
      <c r="Z22">
        <v>54</v>
      </c>
      <c r="AA22">
        <v>7124.16</v>
      </c>
      <c r="AB22">
        <v>43</v>
      </c>
      <c r="AC22">
        <v>9779.02</v>
      </c>
      <c r="AD22">
        <v>44</v>
      </c>
      <c r="AE22" s="4">
        <v>6605.07</v>
      </c>
      <c r="AF22" s="4">
        <v>46</v>
      </c>
      <c r="AG22" s="4">
        <v>6469.2</v>
      </c>
      <c r="AH22" s="4">
        <v>41</v>
      </c>
      <c r="AI22" s="4">
        <v>9337.17</v>
      </c>
      <c r="AJ22" s="4">
        <v>44</v>
      </c>
      <c r="AK22" s="4">
        <v>8882.1200000000008</v>
      </c>
      <c r="AL22" s="4">
        <v>47</v>
      </c>
      <c r="AM22" s="4">
        <v>6911.05</v>
      </c>
      <c r="AN22" s="4">
        <v>35</v>
      </c>
      <c r="AO22" s="4">
        <v>3634</v>
      </c>
      <c r="AP22" s="4">
        <v>25</v>
      </c>
      <c r="AQ22" s="4">
        <v>5620.09</v>
      </c>
      <c r="AR22" s="4">
        <v>32</v>
      </c>
      <c r="AS22" s="4">
        <v>2669.06</v>
      </c>
      <c r="AT22" s="4">
        <v>19</v>
      </c>
      <c r="AU22" s="4">
        <v>5309.08</v>
      </c>
      <c r="AV22" s="4">
        <v>33</v>
      </c>
      <c r="AW22" s="4">
        <v>5387.77</v>
      </c>
      <c r="AX22" s="4">
        <v>27</v>
      </c>
      <c r="AY22" s="4">
        <v>5561.73</v>
      </c>
      <c r="AZ22" s="4">
        <v>37</v>
      </c>
      <c r="BA22" s="4">
        <v>6553.67</v>
      </c>
      <c r="BB22" s="4">
        <v>40</v>
      </c>
      <c r="BC22">
        <v>8938.91</v>
      </c>
      <c r="BD22">
        <v>36</v>
      </c>
      <c r="BE22">
        <v>4586.3100000000004</v>
      </c>
      <c r="BF22">
        <v>28</v>
      </c>
      <c r="BQ22" s="3">
        <f t="shared" si="3"/>
        <v>215548.54</v>
      </c>
      <c r="BR22" s="3">
        <f t="shared" si="1"/>
        <v>1149</v>
      </c>
    </row>
    <row r="23" spans="1:70" s="5" customFormat="1" x14ac:dyDescent="0.25">
      <c r="A23" s="5" t="s">
        <v>31</v>
      </c>
      <c r="B23" s="1" t="s">
        <v>1331</v>
      </c>
      <c r="C23" s="1" t="s">
        <v>1332</v>
      </c>
      <c r="D23" s="1"/>
      <c r="E23" s="211"/>
      <c r="F23" s="212" t="str">
        <f t="shared" ca="1" si="2"/>
        <v>126y 9m</v>
      </c>
      <c r="G23" s="5">
        <v>151278.26</v>
      </c>
      <c r="H23" s="5">
        <v>649</v>
      </c>
      <c r="I23" s="5">
        <v>207424.82</v>
      </c>
      <c r="J23" s="5">
        <v>545</v>
      </c>
      <c r="K23" s="5">
        <v>188423.43</v>
      </c>
      <c r="L23" s="5">
        <v>688</v>
      </c>
      <c r="M23" s="5">
        <v>228383.94</v>
      </c>
      <c r="N23" s="5">
        <v>729</v>
      </c>
      <c r="O23" s="5">
        <v>197542.16</v>
      </c>
      <c r="P23" s="5">
        <v>705</v>
      </c>
      <c r="AA23"/>
      <c r="AB23"/>
      <c r="AC23"/>
      <c r="AD23"/>
      <c r="AE23" s="4"/>
      <c r="AF23" s="4"/>
      <c r="AG23" s="4"/>
      <c r="AH23" s="4"/>
      <c r="AI23" s="4"/>
      <c r="AJ23" s="4"/>
      <c r="AK23" s="4"/>
      <c r="AL23" s="4"/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3">
        <f t="shared" si="3"/>
        <v>973052.61</v>
      </c>
      <c r="BR23" s="3">
        <f t="shared" si="1"/>
        <v>3316</v>
      </c>
    </row>
    <row r="24" spans="1:70" x14ac:dyDescent="0.25">
      <c r="A24" s="1" t="s">
        <v>88</v>
      </c>
      <c r="B24" s="1" t="s">
        <v>1330</v>
      </c>
      <c r="C24" s="1" t="s">
        <v>145</v>
      </c>
      <c r="D24" s="1" t="s">
        <v>127</v>
      </c>
      <c r="E24" s="211">
        <v>45932</v>
      </c>
      <c r="F24" s="212" t="str">
        <f t="shared" ca="1" si="2"/>
        <v>1y 0m</v>
      </c>
      <c r="G24">
        <v>7718.09</v>
      </c>
      <c r="H24">
        <v>29</v>
      </c>
      <c r="I24">
        <v>7996.17</v>
      </c>
      <c r="J24">
        <v>29</v>
      </c>
      <c r="K24">
        <v>11376.25</v>
      </c>
      <c r="L24">
        <v>45</v>
      </c>
      <c r="M24">
        <v>6949.16</v>
      </c>
      <c r="N24">
        <v>40</v>
      </c>
      <c r="O24">
        <v>3307.06</v>
      </c>
      <c r="P24">
        <v>26</v>
      </c>
      <c r="Q24">
        <v>4304.0200000000004</v>
      </c>
      <c r="R24">
        <v>28</v>
      </c>
      <c r="S24">
        <v>7153.08</v>
      </c>
      <c r="T24">
        <v>42</v>
      </c>
      <c r="U24">
        <v>5287.12</v>
      </c>
      <c r="V24">
        <v>24</v>
      </c>
      <c r="W24">
        <v>2986.13</v>
      </c>
      <c r="X24">
        <v>26</v>
      </c>
      <c r="Y24">
        <v>5724.03</v>
      </c>
      <c r="Z24">
        <v>27</v>
      </c>
      <c r="AA24">
        <v>1824.04</v>
      </c>
      <c r="AB24">
        <v>14</v>
      </c>
      <c r="AC24">
        <v>3294.02</v>
      </c>
      <c r="AD24">
        <v>20</v>
      </c>
      <c r="AE24" s="4">
        <v>2786.05</v>
      </c>
      <c r="AF24" s="4">
        <v>19</v>
      </c>
      <c r="AG24" s="4">
        <v>2867.08</v>
      </c>
      <c r="AH24" s="4">
        <v>21</v>
      </c>
      <c r="AI24" s="4">
        <v>3710.07</v>
      </c>
      <c r="AJ24" s="4">
        <v>20</v>
      </c>
      <c r="AK24" s="4">
        <v>1590</v>
      </c>
      <c r="AL24" s="4">
        <v>9</v>
      </c>
      <c r="AM24" s="4">
        <v>5834.12</v>
      </c>
      <c r="AN24" s="4">
        <v>33</v>
      </c>
      <c r="AO24" s="4">
        <v>5719.1</v>
      </c>
      <c r="AP24" s="4">
        <v>23</v>
      </c>
      <c r="AQ24" s="4">
        <v>1418</v>
      </c>
      <c r="AR24" s="4">
        <v>13</v>
      </c>
      <c r="AS24" s="4">
        <v>2539.0100000000002</v>
      </c>
      <c r="AT24" s="4">
        <v>17</v>
      </c>
      <c r="AU24" s="4">
        <v>3291.06</v>
      </c>
      <c r="AV24" s="4">
        <v>18</v>
      </c>
      <c r="AW24" s="4">
        <v>4239.7</v>
      </c>
      <c r="AX24" s="4">
        <v>22</v>
      </c>
      <c r="AY24" s="4">
        <v>4639.66</v>
      </c>
      <c r="AZ24" s="4">
        <v>25</v>
      </c>
      <c r="BA24" s="4">
        <v>5407.69</v>
      </c>
      <c r="BB24" s="4">
        <v>26</v>
      </c>
      <c r="BC24">
        <v>3630.73</v>
      </c>
      <c r="BD24">
        <v>21</v>
      </c>
      <c r="BE24">
        <v>4935.1899999999996</v>
      </c>
      <c r="BF24">
        <v>22</v>
      </c>
      <c r="BQ24" s="3">
        <f t="shared" si="3"/>
        <v>120526.63</v>
      </c>
      <c r="BR24" s="3">
        <f t="shared" si="1"/>
        <v>639</v>
      </c>
    </row>
    <row r="25" spans="1:70" x14ac:dyDescent="0.25">
      <c r="A25" s="1" t="s">
        <v>32</v>
      </c>
      <c r="B25" s="1" t="s">
        <v>1330</v>
      </c>
      <c r="C25" s="1" t="s">
        <v>138</v>
      </c>
      <c r="D25" s="1" t="s">
        <v>129</v>
      </c>
      <c r="E25" s="211">
        <v>45689</v>
      </c>
      <c r="F25" s="212" t="str">
        <f t="shared" ca="1" si="2"/>
        <v>1y 8m</v>
      </c>
      <c r="G25">
        <v>12596.23</v>
      </c>
      <c r="H25">
        <v>101</v>
      </c>
      <c r="I25">
        <v>15219.3</v>
      </c>
      <c r="J25">
        <v>135</v>
      </c>
      <c r="K25">
        <v>10678.16</v>
      </c>
      <c r="L25">
        <v>89</v>
      </c>
      <c r="M25">
        <v>8251.18</v>
      </c>
      <c r="N25">
        <v>55</v>
      </c>
      <c r="O25">
        <v>7705.08</v>
      </c>
      <c r="P25">
        <v>54</v>
      </c>
      <c r="Q25">
        <v>8251.1400000000012</v>
      </c>
      <c r="R25">
        <v>52</v>
      </c>
      <c r="S25">
        <v>8373.1200000000008</v>
      </c>
      <c r="T25">
        <v>58</v>
      </c>
      <c r="U25">
        <v>10784.15</v>
      </c>
      <c r="V25">
        <v>81</v>
      </c>
      <c r="W25">
        <v>11475.3</v>
      </c>
      <c r="X25">
        <v>73</v>
      </c>
      <c r="Y25">
        <v>7103.07</v>
      </c>
      <c r="Z25">
        <v>56</v>
      </c>
      <c r="AA25">
        <v>6686.17</v>
      </c>
      <c r="AB25">
        <v>47</v>
      </c>
      <c r="AC25">
        <v>4668.04</v>
      </c>
      <c r="AD25">
        <v>37</v>
      </c>
      <c r="AE25" s="4">
        <v>7394.12</v>
      </c>
      <c r="AF25" s="4">
        <v>50</v>
      </c>
      <c r="AG25" s="4">
        <v>5576.12</v>
      </c>
      <c r="AH25" s="4">
        <v>43</v>
      </c>
      <c r="AI25" s="4">
        <v>8997.24</v>
      </c>
      <c r="AJ25" s="4">
        <v>57</v>
      </c>
      <c r="AK25" s="4">
        <v>9578.18</v>
      </c>
      <c r="AL25" s="4">
        <v>70</v>
      </c>
      <c r="AM25" s="4">
        <v>8824.14</v>
      </c>
      <c r="AN25" s="4">
        <v>57</v>
      </c>
      <c r="AO25" s="4">
        <v>5253.09</v>
      </c>
      <c r="AP25" s="4">
        <v>37</v>
      </c>
      <c r="AQ25" s="4">
        <v>5047.1000000000004</v>
      </c>
      <c r="AR25" s="4">
        <v>37</v>
      </c>
      <c r="AS25" s="4">
        <v>5278.06</v>
      </c>
      <c r="AT25" s="4">
        <v>36</v>
      </c>
      <c r="AU25" s="4">
        <v>6100.1</v>
      </c>
      <c r="AV25" s="4">
        <v>42</v>
      </c>
      <c r="AW25" s="4">
        <v>8615.77</v>
      </c>
      <c r="AX25" s="4">
        <v>48</v>
      </c>
      <c r="AY25" s="4">
        <v>9084.51</v>
      </c>
      <c r="AZ25" s="4">
        <v>56</v>
      </c>
      <c r="BA25" s="4">
        <v>10436.57</v>
      </c>
      <c r="BB25" s="4">
        <v>78</v>
      </c>
      <c r="BC25">
        <v>3534.81</v>
      </c>
      <c r="BD25">
        <v>27</v>
      </c>
      <c r="BE25">
        <v>7018.33</v>
      </c>
      <c r="BF25">
        <v>34</v>
      </c>
      <c r="BQ25" s="3">
        <f t="shared" si="3"/>
        <v>212529.08</v>
      </c>
      <c r="BR25" s="3">
        <f t="shared" si="1"/>
        <v>1510</v>
      </c>
    </row>
    <row r="26" spans="1:70" x14ac:dyDescent="0.25">
      <c r="A26" s="1" t="s">
        <v>95</v>
      </c>
      <c r="B26" s="1" t="s">
        <v>1330</v>
      </c>
      <c r="C26" s="1" t="s">
        <v>138</v>
      </c>
      <c r="D26" s="1" t="s">
        <v>129</v>
      </c>
      <c r="E26" s="211">
        <v>46010</v>
      </c>
      <c r="F26" s="212" t="str">
        <f t="shared" ca="1" si="2"/>
        <v>0y 10m</v>
      </c>
      <c r="G26">
        <v>9777.2000000000007</v>
      </c>
      <c r="H26">
        <v>81</v>
      </c>
      <c r="I26">
        <v>8152.08</v>
      </c>
      <c r="J26">
        <v>74</v>
      </c>
      <c r="K26">
        <v>6038.13</v>
      </c>
      <c r="L26">
        <v>47</v>
      </c>
      <c r="M26">
        <v>9466.14</v>
      </c>
      <c r="N26">
        <v>58</v>
      </c>
      <c r="O26">
        <v>6051.09</v>
      </c>
      <c r="P26">
        <v>45</v>
      </c>
      <c r="Q26">
        <v>3609.14</v>
      </c>
      <c r="R26">
        <v>30</v>
      </c>
      <c r="S26">
        <v>6634.18</v>
      </c>
      <c r="T26">
        <v>46</v>
      </c>
      <c r="U26">
        <v>5451.08</v>
      </c>
      <c r="V26">
        <v>36</v>
      </c>
      <c r="W26">
        <v>3862.09</v>
      </c>
      <c r="X26">
        <v>27</v>
      </c>
      <c r="Y26">
        <v>4883.05</v>
      </c>
      <c r="Z26">
        <v>28</v>
      </c>
      <c r="AA26">
        <v>3508.04</v>
      </c>
      <c r="AB26">
        <v>29</v>
      </c>
      <c r="AC26">
        <v>4397.04</v>
      </c>
      <c r="AD26">
        <v>32</v>
      </c>
      <c r="AE26" s="4">
        <v>4218.07</v>
      </c>
      <c r="AF26" s="4">
        <v>28</v>
      </c>
      <c r="AG26" s="4">
        <v>4944.05</v>
      </c>
      <c r="AH26" s="4">
        <v>39</v>
      </c>
      <c r="AI26" s="4">
        <v>4830.01</v>
      </c>
      <c r="AJ26" s="4">
        <v>36</v>
      </c>
      <c r="AK26" s="4">
        <v>3250.04</v>
      </c>
      <c r="AL26" s="4">
        <v>21</v>
      </c>
      <c r="AM26" s="4">
        <v>4384.04</v>
      </c>
      <c r="AN26" s="4">
        <v>32</v>
      </c>
      <c r="AO26" s="4">
        <v>2212.0100000000002</v>
      </c>
      <c r="AP26" s="4">
        <v>14</v>
      </c>
      <c r="AQ26" s="4">
        <v>3252.04</v>
      </c>
      <c r="AR26" s="4">
        <v>22</v>
      </c>
      <c r="AS26" s="4">
        <v>3072.01</v>
      </c>
      <c r="AT26" s="4">
        <v>16</v>
      </c>
      <c r="AU26" s="4">
        <v>3934.04</v>
      </c>
      <c r="AV26" s="4">
        <v>23</v>
      </c>
      <c r="AW26" s="4">
        <v>4909.7700000000004</v>
      </c>
      <c r="AX26" s="4">
        <v>30</v>
      </c>
      <c r="AY26" s="4">
        <v>3596.87</v>
      </c>
      <c r="AZ26" s="4">
        <v>24</v>
      </c>
      <c r="BA26" s="4">
        <v>3966.8</v>
      </c>
      <c r="BB26" s="4">
        <v>30</v>
      </c>
      <c r="BC26">
        <v>3988.7</v>
      </c>
      <c r="BD26">
        <v>22</v>
      </c>
      <c r="BE26">
        <v>3950.31</v>
      </c>
      <c r="BF26">
        <v>22</v>
      </c>
      <c r="BQ26" s="3">
        <f t="shared" si="3"/>
        <v>126338.01999999995</v>
      </c>
      <c r="BR26" s="3">
        <f t="shared" si="1"/>
        <v>892</v>
      </c>
    </row>
    <row r="27" spans="1:70" x14ac:dyDescent="0.25">
      <c r="A27" s="1" t="s">
        <v>69</v>
      </c>
      <c r="B27" s="1" t="s">
        <v>1330</v>
      </c>
      <c r="C27" s="1" t="s">
        <v>146</v>
      </c>
      <c r="D27" s="1" t="s">
        <v>126</v>
      </c>
      <c r="E27" s="211">
        <v>45897</v>
      </c>
      <c r="F27" s="212" t="str">
        <f t="shared" ca="1" si="2"/>
        <v>1y 1m</v>
      </c>
      <c r="G27">
        <v>9227.11</v>
      </c>
      <c r="H27">
        <v>62</v>
      </c>
      <c r="I27">
        <v>9323.19</v>
      </c>
      <c r="J27">
        <v>57</v>
      </c>
      <c r="K27">
        <v>9516.18</v>
      </c>
      <c r="L27">
        <v>46</v>
      </c>
      <c r="M27">
        <v>6542.12</v>
      </c>
      <c r="N27">
        <v>42</v>
      </c>
      <c r="O27">
        <v>7177.1</v>
      </c>
      <c r="P27">
        <v>40</v>
      </c>
      <c r="Q27">
        <v>4879.12</v>
      </c>
      <c r="R27">
        <v>33</v>
      </c>
      <c r="S27">
        <v>2802.06</v>
      </c>
      <c r="T27">
        <v>20</v>
      </c>
      <c r="U27">
        <v>6077.14</v>
      </c>
      <c r="V27">
        <v>37</v>
      </c>
      <c r="W27">
        <v>6650.07</v>
      </c>
      <c r="X27">
        <v>38</v>
      </c>
      <c r="Y27">
        <v>4497.1000000000004</v>
      </c>
      <c r="Z27">
        <v>19</v>
      </c>
      <c r="AA27">
        <v>4326.13</v>
      </c>
      <c r="AB27">
        <v>23</v>
      </c>
      <c r="AC27">
        <v>4195.04</v>
      </c>
      <c r="AD27">
        <v>27</v>
      </c>
      <c r="AE27" s="4">
        <v>3610.06</v>
      </c>
      <c r="AF27" s="4">
        <v>23</v>
      </c>
      <c r="AG27" s="4">
        <v>4543.09</v>
      </c>
      <c r="AH27" s="4">
        <v>27</v>
      </c>
      <c r="AI27" s="4">
        <v>5370.06</v>
      </c>
      <c r="AJ27" s="4">
        <v>43</v>
      </c>
      <c r="AK27" s="4">
        <v>5074.05</v>
      </c>
      <c r="AL27" s="4">
        <v>37</v>
      </c>
      <c r="AM27" s="4">
        <v>5748.1</v>
      </c>
      <c r="AN27" s="4">
        <v>34</v>
      </c>
      <c r="AO27" s="4">
        <v>2319.04</v>
      </c>
      <c r="AP27" s="4">
        <v>14</v>
      </c>
      <c r="AQ27" s="4">
        <v>4473.04</v>
      </c>
      <c r="AR27" s="4">
        <v>27</v>
      </c>
      <c r="AS27" s="4">
        <v>3315.98</v>
      </c>
      <c r="AT27" s="4">
        <v>21</v>
      </c>
      <c r="AU27" s="4">
        <v>4299.0200000000004</v>
      </c>
      <c r="AV27" s="4">
        <v>24</v>
      </c>
      <c r="AW27" s="4">
        <v>6610.68</v>
      </c>
      <c r="AX27" s="4">
        <v>33</v>
      </c>
      <c r="AY27" s="4">
        <v>3733.85</v>
      </c>
      <c r="AZ27" s="4">
        <v>24</v>
      </c>
      <c r="BA27" s="4">
        <v>5524.88</v>
      </c>
      <c r="BB27" s="4">
        <v>28</v>
      </c>
      <c r="BC27">
        <v>2636.96</v>
      </c>
      <c r="BD27">
        <v>18</v>
      </c>
      <c r="BE27">
        <v>3848.18</v>
      </c>
      <c r="BF27">
        <v>26</v>
      </c>
      <c r="BQ27" s="3">
        <f t="shared" si="3"/>
        <v>136319.34999999998</v>
      </c>
      <c r="BR27" s="3">
        <f t="shared" si="1"/>
        <v>823</v>
      </c>
    </row>
    <row r="28" spans="1:70" x14ac:dyDescent="0.25">
      <c r="A28" s="1" t="s">
        <v>13</v>
      </c>
      <c r="B28" s="1" t="s">
        <v>1330</v>
      </c>
      <c r="C28" s="1" t="s">
        <v>145</v>
      </c>
      <c r="D28" s="1" t="s">
        <v>127</v>
      </c>
      <c r="E28" s="211">
        <v>45488</v>
      </c>
      <c r="F28" s="212" t="str">
        <f t="shared" ca="1" si="2"/>
        <v>2y 3m</v>
      </c>
      <c r="G28">
        <v>14808.41</v>
      </c>
      <c r="H28">
        <v>118</v>
      </c>
      <c r="I28">
        <v>16405.36</v>
      </c>
      <c r="J28">
        <v>104</v>
      </c>
      <c r="K28">
        <v>15860.28</v>
      </c>
      <c r="L28">
        <v>107</v>
      </c>
      <c r="M28">
        <v>17709.349999999999</v>
      </c>
      <c r="N28">
        <v>112</v>
      </c>
      <c r="O28">
        <v>10696.11</v>
      </c>
      <c r="P28">
        <v>73</v>
      </c>
      <c r="Q28">
        <v>12066.22</v>
      </c>
      <c r="R28">
        <v>69</v>
      </c>
      <c r="S28">
        <v>11502.2</v>
      </c>
      <c r="T28">
        <v>74</v>
      </c>
      <c r="U28">
        <v>11464.19</v>
      </c>
      <c r="V28">
        <v>69</v>
      </c>
      <c r="W28">
        <v>11700.21</v>
      </c>
      <c r="X28">
        <v>67</v>
      </c>
      <c r="Y28">
        <v>15349.22</v>
      </c>
      <c r="Z28">
        <v>94</v>
      </c>
      <c r="AA28">
        <v>7313.08</v>
      </c>
      <c r="AB28">
        <v>52</v>
      </c>
      <c r="AC28">
        <v>6992.16</v>
      </c>
      <c r="AD28">
        <v>44</v>
      </c>
      <c r="AE28" s="4">
        <v>10569.24</v>
      </c>
      <c r="AF28" s="4">
        <v>53</v>
      </c>
      <c r="AG28" s="4">
        <v>6507.04</v>
      </c>
      <c r="AH28" s="4">
        <v>40</v>
      </c>
      <c r="AI28" s="4">
        <v>9859.1</v>
      </c>
      <c r="AJ28" s="4">
        <v>59</v>
      </c>
      <c r="AK28" s="4">
        <v>8591.11</v>
      </c>
      <c r="AL28" s="4">
        <v>55</v>
      </c>
      <c r="AM28" s="4">
        <v>10665.17</v>
      </c>
      <c r="AN28" s="4">
        <v>73</v>
      </c>
      <c r="AO28" s="4">
        <v>7461.12</v>
      </c>
      <c r="AP28" s="4">
        <v>51</v>
      </c>
      <c r="AQ28" s="4">
        <v>9697.11</v>
      </c>
      <c r="AR28" s="4">
        <v>56</v>
      </c>
      <c r="AS28" s="4">
        <v>8956.14</v>
      </c>
      <c r="AT28" s="4">
        <v>52</v>
      </c>
      <c r="AU28" s="4">
        <v>7847.07</v>
      </c>
      <c r="AV28" s="4">
        <v>51</v>
      </c>
      <c r="AW28" s="4">
        <v>9812.43</v>
      </c>
      <c r="AX28" s="4">
        <v>59</v>
      </c>
      <c r="AY28" s="4">
        <v>11032.38</v>
      </c>
      <c r="AZ28" s="4">
        <v>62</v>
      </c>
      <c r="BA28" s="4">
        <v>8958.52</v>
      </c>
      <c r="BB28" s="4">
        <v>52</v>
      </c>
      <c r="BC28">
        <v>7712.56</v>
      </c>
      <c r="BD28">
        <v>45</v>
      </c>
      <c r="BE28">
        <v>10804.63</v>
      </c>
      <c r="BF28">
        <v>52</v>
      </c>
      <c r="BQ28" s="3">
        <f t="shared" si="3"/>
        <v>280340.41000000009</v>
      </c>
      <c r="BR28" s="3">
        <f t="shared" si="1"/>
        <v>1743</v>
      </c>
    </row>
    <row r="29" spans="1:70" x14ac:dyDescent="0.25">
      <c r="A29" s="1" t="s">
        <v>46</v>
      </c>
      <c r="B29" s="1" t="s">
        <v>1330</v>
      </c>
      <c r="C29" s="1" t="s">
        <v>138</v>
      </c>
      <c r="D29" s="1" t="s">
        <v>129</v>
      </c>
      <c r="E29" s="211">
        <v>45724</v>
      </c>
      <c r="F29" s="212" t="str">
        <f t="shared" ca="1" si="2"/>
        <v>1y 7m</v>
      </c>
      <c r="G29">
        <v>7133.11</v>
      </c>
      <c r="H29">
        <v>53</v>
      </c>
      <c r="I29">
        <v>9597.2100000000009</v>
      </c>
      <c r="J29">
        <v>69</v>
      </c>
      <c r="K29">
        <v>6659.13</v>
      </c>
      <c r="L29">
        <v>45</v>
      </c>
      <c r="M29">
        <v>7026.1</v>
      </c>
      <c r="N29">
        <v>37</v>
      </c>
      <c r="O29">
        <v>5280.13</v>
      </c>
      <c r="P29">
        <v>25</v>
      </c>
      <c r="Q29">
        <v>4601.07</v>
      </c>
      <c r="R29">
        <v>23</v>
      </c>
      <c r="S29">
        <v>6176.14</v>
      </c>
      <c r="T29">
        <v>37</v>
      </c>
      <c r="U29">
        <v>2770.02</v>
      </c>
      <c r="V29">
        <v>23</v>
      </c>
      <c r="W29">
        <v>6166.09</v>
      </c>
      <c r="X29">
        <v>41</v>
      </c>
      <c r="Y29">
        <v>4079.1</v>
      </c>
      <c r="Z29">
        <v>27</v>
      </c>
      <c r="AA29">
        <v>4058.08</v>
      </c>
      <c r="AB29">
        <v>26</v>
      </c>
      <c r="AC29">
        <v>2160.04</v>
      </c>
      <c r="AD29">
        <v>14</v>
      </c>
      <c r="AE29" s="4">
        <v>5323.0300000000007</v>
      </c>
      <c r="AF29" s="4">
        <v>21</v>
      </c>
      <c r="AG29" s="4">
        <v>5814.18</v>
      </c>
      <c r="AH29" s="4">
        <v>39</v>
      </c>
      <c r="AI29" s="4">
        <v>2850.05</v>
      </c>
      <c r="AJ29" s="4">
        <v>20</v>
      </c>
      <c r="AK29" s="4">
        <v>5385.09</v>
      </c>
      <c r="AL29" s="4">
        <v>29</v>
      </c>
      <c r="AM29" s="4">
        <v>3844.04</v>
      </c>
      <c r="AN29" s="4">
        <v>24</v>
      </c>
      <c r="AO29" s="4">
        <v>2900.06</v>
      </c>
      <c r="AP29" s="4">
        <v>21</v>
      </c>
      <c r="AQ29" s="4">
        <v>2265.0700000000002</v>
      </c>
      <c r="AR29" s="4">
        <v>12</v>
      </c>
      <c r="AS29" s="4">
        <v>2532.06</v>
      </c>
      <c r="AT29" s="4">
        <v>17</v>
      </c>
      <c r="AU29" s="4">
        <v>5574.08</v>
      </c>
      <c r="AV29" s="4">
        <v>26</v>
      </c>
      <c r="AW29" s="4">
        <v>3371.85</v>
      </c>
      <c r="AX29" s="4">
        <v>17</v>
      </c>
      <c r="AY29" s="4">
        <v>4097.8500000000004</v>
      </c>
      <c r="AZ29" s="4">
        <v>36</v>
      </c>
      <c r="BA29" s="4">
        <v>4057.83</v>
      </c>
      <c r="BB29" s="4">
        <v>23</v>
      </c>
      <c r="BC29">
        <v>3195.9</v>
      </c>
      <c r="BD29">
        <v>22</v>
      </c>
      <c r="BE29">
        <v>4554.42</v>
      </c>
      <c r="BF29">
        <v>24</v>
      </c>
      <c r="BQ29" s="3">
        <f t="shared" si="3"/>
        <v>121471.73</v>
      </c>
      <c r="BR29" s="3">
        <f t="shared" si="1"/>
        <v>751</v>
      </c>
    </row>
    <row r="30" spans="1:70" x14ac:dyDescent="0.25">
      <c r="A30" s="1" t="s">
        <v>19</v>
      </c>
      <c r="B30" s="1" t="s">
        <v>1330</v>
      </c>
      <c r="C30" s="1" t="s">
        <v>138</v>
      </c>
      <c r="D30" s="1" t="s">
        <v>129</v>
      </c>
      <c r="E30" s="211">
        <v>45641</v>
      </c>
      <c r="F30" s="212" t="str">
        <f t="shared" ca="1" si="2"/>
        <v>1y 10m</v>
      </c>
      <c r="G30">
        <v>13445.37</v>
      </c>
      <c r="H30">
        <v>122</v>
      </c>
      <c r="I30">
        <v>10827.21</v>
      </c>
      <c r="J30">
        <v>108</v>
      </c>
      <c r="K30">
        <v>11846.19</v>
      </c>
      <c r="L30">
        <v>94</v>
      </c>
      <c r="M30">
        <v>10654.15</v>
      </c>
      <c r="N30">
        <v>52</v>
      </c>
      <c r="O30">
        <v>7869.16</v>
      </c>
      <c r="P30">
        <v>46</v>
      </c>
      <c r="Q30">
        <v>9298.19</v>
      </c>
      <c r="R30">
        <v>67</v>
      </c>
      <c r="S30">
        <v>9408.11</v>
      </c>
      <c r="T30">
        <v>73</v>
      </c>
      <c r="U30">
        <v>8538.15</v>
      </c>
      <c r="V30">
        <v>76</v>
      </c>
      <c r="W30">
        <v>7928.14</v>
      </c>
      <c r="X30">
        <v>63</v>
      </c>
      <c r="Y30">
        <v>7609.09</v>
      </c>
      <c r="Z30">
        <v>61</v>
      </c>
      <c r="AA30">
        <v>4240.12</v>
      </c>
      <c r="AB30">
        <v>41</v>
      </c>
      <c r="AC30">
        <v>6800.15</v>
      </c>
      <c r="AD30">
        <v>59</v>
      </c>
      <c r="AE30" s="4">
        <v>5550.13</v>
      </c>
      <c r="AF30" s="4">
        <v>38</v>
      </c>
      <c r="AG30" s="4">
        <v>6748.1</v>
      </c>
      <c r="AH30" s="4">
        <v>50</v>
      </c>
      <c r="AI30" s="4">
        <v>6170.1</v>
      </c>
      <c r="AJ30" s="4">
        <v>48</v>
      </c>
      <c r="AK30" s="4">
        <v>7165.04</v>
      </c>
      <c r="AL30" s="4">
        <v>64</v>
      </c>
      <c r="AM30" s="4">
        <v>6953.13</v>
      </c>
      <c r="AN30" s="4">
        <v>57</v>
      </c>
      <c r="AO30" s="4">
        <v>4576.1000000000004</v>
      </c>
      <c r="AP30" s="4">
        <v>30</v>
      </c>
      <c r="AQ30" s="4">
        <v>3941.03</v>
      </c>
      <c r="AR30" s="4">
        <v>34</v>
      </c>
      <c r="AS30" s="4">
        <v>4315.01</v>
      </c>
      <c r="AT30" s="4">
        <v>36</v>
      </c>
      <c r="AU30" s="4">
        <v>4525.07</v>
      </c>
      <c r="AV30" s="4">
        <v>40</v>
      </c>
      <c r="AW30" s="4">
        <v>4603.96</v>
      </c>
      <c r="AX30" s="4">
        <v>44</v>
      </c>
      <c r="AY30" s="4">
        <v>9474.66</v>
      </c>
      <c r="AZ30" s="4">
        <v>65</v>
      </c>
      <c r="BA30" s="4">
        <v>7057.74</v>
      </c>
      <c r="BB30" s="4">
        <v>60</v>
      </c>
      <c r="BC30">
        <v>6315.9</v>
      </c>
      <c r="BD30">
        <v>52</v>
      </c>
      <c r="BE30">
        <v>4021.15</v>
      </c>
      <c r="BF30">
        <v>24</v>
      </c>
      <c r="BQ30" s="3">
        <f t="shared" si="3"/>
        <v>189881.15</v>
      </c>
      <c r="BR30" s="3">
        <f t="shared" si="1"/>
        <v>1504</v>
      </c>
    </row>
    <row r="31" spans="1:70" x14ac:dyDescent="0.25">
      <c r="A31" s="1" t="s">
        <v>56</v>
      </c>
      <c r="B31" s="1" t="s">
        <v>1330</v>
      </c>
      <c r="C31" s="1" t="s">
        <v>142</v>
      </c>
      <c r="D31" s="1" t="s">
        <v>132</v>
      </c>
      <c r="E31" s="211">
        <v>45808</v>
      </c>
      <c r="F31" s="212" t="str">
        <f t="shared" ca="1" si="2"/>
        <v>1y 4m</v>
      </c>
      <c r="G31">
        <v>7323.09</v>
      </c>
      <c r="H31">
        <v>39</v>
      </c>
      <c r="I31">
        <v>9771.18</v>
      </c>
      <c r="J31">
        <v>66</v>
      </c>
      <c r="K31">
        <v>7924.18</v>
      </c>
      <c r="L31">
        <v>52</v>
      </c>
      <c r="M31">
        <v>8062.07</v>
      </c>
      <c r="N31">
        <v>47</v>
      </c>
      <c r="O31">
        <v>5712.09</v>
      </c>
      <c r="P31">
        <v>29</v>
      </c>
      <c r="Q31">
        <v>4277.04</v>
      </c>
      <c r="R31">
        <v>23</v>
      </c>
      <c r="S31">
        <v>6352.05</v>
      </c>
      <c r="T31">
        <v>33</v>
      </c>
      <c r="U31">
        <v>5866.03</v>
      </c>
      <c r="V31">
        <v>27</v>
      </c>
      <c r="W31">
        <v>5740.03</v>
      </c>
      <c r="X31">
        <v>28</v>
      </c>
      <c r="Y31">
        <v>3503</v>
      </c>
      <c r="Z31">
        <v>16</v>
      </c>
      <c r="AA31">
        <v>5389.06</v>
      </c>
      <c r="AB31">
        <v>28</v>
      </c>
      <c r="AC31">
        <v>3374.04</v>
      </c>
      <c r="AD31">
        <v>18</v>
      </c>
      <c r="AE31" s="4">
        <v>2938.97</v>
      </c>
      <c r="AF31" s="4">
        <v>22</v>
      </c>
      <c r="AG31" s="4">
        <v>4580.04</v>
      </c>
      <c r="AH31" s="4">
        <v>27</v>
      </c>
      <c r="AI31" s="4">
        <v>5031.08</v>
      </c>
      <c r="AJ31" s="4">
        <v>27</v>
      </c>
      <c r="AK31" s="4">
        <v>5539.04</v>
      </c>
      <c r="AL31" s="4">
        <v>33</v>
      </c>
      <c r="AM31" s="4">
        <v>5422.08</v>
      </c>
      <c r="AN31" s="4">
        <v>34</v>
      </c>
      <c r="AO31" s="4">
        <v>2929</v>
      </c>
      <c r="AP31" s="4">
        <v>24</v>
      </c>
      <c r="AQ31" s="4">
        <v>2499.0100000000002</v>
      </c>
      <c r="AR31" s="4">
        <v>16</v>
      </c>
      <c r="AS31" s="4">
        <v>4396.07</v>
      </c>
      <c r="AT31" s="4">
        <v>25</v>
      </c>
      <c r="AU31" s="4">
        <v>4480.04</v>
      </c>
      <c r="AV31" s="4">
        <v>31</v>
      </c>
      <c r="AW31" s="4">
        <v>5006.8500000000004</v>
      </c>
      <c r="AX31" s="4">
        <v>20</v>
      </c>
      <c r="AY31" s="4">
        <v>2856.8</v>
      </c>
      <c r="AZ31" s="4">
        <v>15</v>
      </c>
      <c r="BA31" s="4">
        <v>4114.83</v>
      </c>
      <c r="BB31" s="4">
        <v>22</v>
      </c>
      <c r="BC31">
        <v>4888.93</v>
      </c>
      <c r="BD31">
        <v>32</v>
      </c>
      <c r="BE31">
        <v>5093.37</v>
      </c>
      <c r="BF31">
        <v>31</v>
      </c>
      <c r="BQ31" s="3">
        <f t="shared" si="3"/>
        <v>133069.97</v>
      </c>
      <c r="BR31" s="3">
        <f t="shared" si="1"/>
        <v>765</v>
      </c>
    </row>
    <row r="32" spans="1:70" x14ac:dyDescent="0.25">
      <c r="A32" s="1" t="s">
        <v>33</v>
      </c>
      <c r="B32" s="1" t="s">
        <v>1330</v>
      </c>
      <c r="C32" s="1" t="s">
        <v>138</v>
      </c>
      <c r="D32" s="1" t="s">
        <v>129</v>
      </c>
      <c r="E32" s="211">
        <v>45694</v>
      </c>
      <c r="F32" s="212" t="str">
        <f t="shared" ca="1" si="2"/>
        <v>1y 8m</v>
      </c>
      <c r="G32">
        <v>8353.25</v>
      </c>
      <c r="H32">
        <v>62</v>
      </c>
      <c r="I32">
        <v>4887.13</v>
      </c>
      <c r="J32">
        <v>43</v>
      </c>
      <c r="K32">
        <v>5618.1</v>
      </c>
      <c r="L32">
        <v>44</v>
      </c>
      <c r="M32">
        <v>5966.08</v>
      </c>
      <c r="N32">
        <v>43</v>
      </c>
      <c r="O32">
        <v>4803.09</v>
      </c>
      <c r="P32">
        <v>37</v>
      </c>
      <c r="Q32">
        <v>3019.06</v>
      </c>
      <c r="R32">
        <v>24</v>
      </c>
      <c r="S32">
        <v>3016.02</v>
      </c>
      <c r="T32">
        <v>26</v>
      </c>
      <c r="U32">
        <v>4529.1000000000004</v>
      </c>
      <c r="V32">
        <v>31</v>
      </c>
      <c r="W32">
        <v>4841.07</v>
      </c>
      <c r="X32">
        <v>36</v>
      </c>
      <c r="Y32">
        <v>3705.08</v>
      </c>
      <c r="Z32">
        <v>29</v>
      </c>
      <c r="AA32">
        <v>4832.07</v>
      </c>
      <c r="AB32">
        <v>32</v>
      </c>
      <c r="AC32">
        <v>3381.08</v>
      </c>
      <c r="AD32">
        <v>28</v>
      </c>
      <c r="AE32" s="4">
        <v>4361.12</v>
      </c>
      <c r="AF32" s="4">
        <v>28</v>
      </c>
      <c r="AG32" s="4">
        <v>5623.16</v>
      </c>
      <c r="AH32" s="4">
        <v>33</v>
      </c>
      <c r="AI32" s="4">
        <v>4590.0600000000004</v>
      </c>
      <c r="AJ32" s="4">
        <v>33</v>
      </c>
      <c r="AK32" s="4">
        <v>5607.07</v>
      </c>
      <c r="AL32" s="4">
        <v>39</v>
      </c>
      <c r="AM32" s="4">
        <v>3895.11</v>
      </c>
      <c r="AN32" s="4">
        <v>25</v>
      </c>
      <c r="AO32" s="4">
        <v>2545.0700000000002</v>
      </c>
      <c r="AP32" s="4">
        <v>18</v>
      </c>
      <c r="AQ32" s="4">
        <v>2121.06</v>
      </c>
      <c r="AR32" s="4">
        <v>21</v>
      </c>
      <c r="AS32" s="4">
        <v>2958.04</v>
      </c>
      <c r="AT32" s="4">
        <v>21</v>
      </c>
      <c r="AU32" s="4">
        <v>2744.05</v>
      </c>
      <c r="AV32" s="4">
        <v>23</v>
      </c>
      <c r="AW32" s="4">
        <v>5511.77</v>
      </c>
      <c r="AX32" s="4">
        <v>42</v>
      </c>
      <c r="AY32" s="4">
        <v>3549.89</v>
      </c>
      <c r="AZ32" s="4">
        <v>26</v>
      </c>
      <c r="BA32" s="4">
        <v>2389.89</v>
      </c>
      <c r="BB32" s="4">
        <v>17</v>
      </c>
      <c r="BC32">
        <v>2325.88</v>
      </c>
      <c r="BD32">
        <v>16</v>
      </c>
      <c r="BE32">
        <v>4553.34</v>
      </c>
      <c r="BF32">
        <v>26</v>
      </c>
      <c r="BQ32" s="3">
        <f t="shared" si="3"/>
        <v>109726.64000000001</v>
      </c>
      <c r="BR32" s="3">
        <f t="shared" si="1"/>
        <v>803</v>
      </c>
    </row>
    <row r="33" spans="1:70" x14ac:dyDescent="0.25">
      <c r="A33" s="1" t="s">
        <v>45</v>
      </c>
      <c r="B33" s="1" t="s">
        <v>1330</v>
      </c>
      <c r="C33" s="1" t="s">
        <v>146</v>
      </c>
      <c r="D33" s="1" t="s">
        <v>126</v>
      </c>
      <c r="E33" s="211">
        <v>45713</v>
      </c>
      <c r="F33" s="212" t="str">
        <f t="shared" ca="1" si="2"/>
        <v>1y 8m</v>
      </c>
      <c r="G33">
        <v>17262.37</v>
      </c>
      <c r="H33">
        <v>126</v>
      </c>
      <c r="I33">
        <v>26706.65</v>
      </c>
      <c r="J33">
        <v>145</v>
      </c>
      <c r="K33">
        <v>19508.349999999999</v>
      </c>
      <c r="L33">
        <v>118</v>
      </c>
      <c r="M33">
        <v>12313.26</v>
      </c>
      <c r="N33">
        <v>83</v>
      </c>
      <c r="O33">
        <v>10167.280000000001</v>
      </c>
      <c r="P33">
        <v>65</v>
      </c>
      <c r="Q33">
        <v>9625.2000000000007</v>
      </c>
      <c r="R33">
        <v>69</v>
      </c>
      <c r="S33">
        <v>11892.2</v>
      </c>
      <c r="T33">
        <v>77</v>
      </c>
      <c r="U33">
        <v>12466.28</v>
      </c>
      <c r="V33">
        <v>87</v>
      </c>
      <c r="W33">
        <v>16602.419999999998</v>
      </c>
      <c r="X33">
        <v>104</v>
      </c>
      <c r="Y33">
        <v>13041.43</v>
      </c>
      <c r="Z33">
        <v>73</v>
      </c>
      <c r="AA33">
        <v>6764.25</v>
      </c>
      <c r="AB33">
        <v>50</v>
      </c>
      <c r="AC33">
        <v>5713.22</v>
      </c>
      <c r="AD33">
        <v>45</v>
      </c>
      <c r="AE33" s="4">
        <v>7272.09</v>
      </c>
      <c r="AF33" s="4">
        <v>43</v>
      </c>
      <c r="AG33" s="4">
        <v>12369.29</v>
      </c>
      <c r="AH33" s="4">
        <v>74</v>
      </c>
      <c r="AI33" s="4">
        <v>8249.23</v>
      </c>
      <c r="AJ33" s="4">
        <v>52</v>
      </c>
      <c r="AK33" s="4">
        <v>10262.19</v>
      </c>
      <c r="AL33" s="4">
        <v>72</v>
      </c>
      <c r="AM33" s="4">
        <v>9803.16</v>
      </c>
      <c r="AN33" s="4">
        <v>64</v>
      </c>
      <c r="AO33" s="4">
        <v>8079.14</v>
      </c>
      <c r="AP33" s="4">
        <v>52</v>
      </c>
      <c r="AQ33" s="4">
        <v>7695.14</v>
      </c>
      <c r="AR33" s="4">
        <v>49</v>
      </c>
      <c r="AS33" s="4">
        <v>5366.15</v>
      </c>
      <c r="AT33" s="4">
        <v>35</v>
      </c>
      <c r="AU33" s="4">
        <v>9791.16</v>
      </c>
      <c r="AV33" s="4">
        <v>55</v>
      </c>
      <c r="AW33" s="4">
        <v>10255.65</v>
      </c>
      <c r="AX33" s="4">
        <v>52</v>
      </c>
      <c r="AY33" s="4">
        <v>11646.51</v>
      </c>
      <c r="AZ33" s="4">
        <v>66</v>
      </c>
      <c r="BA33" s="4">
        <v>13884.32</v>
      </c>
      <c r="BB33" s="4">
        <v>73</v>
      </c>
      <c r="BC33">
        <v>9126.82</v>
      </c>
      <c r="BD33">
        <v>52</v>
      </c>
      <c r="BE33">
        <v>10381.549999999999</v>
      </c>
      <c r="BF33">
        <v>60</v>
      </c>
      <c r="BQ33" s="3">
        <f t="shared" si="3"/>
        <v>296245.31000000006</v>
      </c>
      <c r="BR33" s="3">
        <f t="shared" si="1"/>
        <v>1841</v>
      </c>
    </row>
    <row r="34" spans="1:70" x14ac:dyDescent="0.25">
      <c r="A34" s="1" t="s">
        <v>99</v>
      </c>
      <c r="B34" s="1" t="s">
        <v>1330</v>
      </c>
      <c r="C34" s="1" t="s">
        <v>142</v>
      </c>
      <c r="D34" s="1" t="s">
        <v>132</v>
      </c>
      <c r="E34" s="211">
        <v>46056</v>
      </c>
      <c r="F34" s="212" t="str">
        <f t="shared" ca="1" si="2"/>
        <v>0y 8m</v>
      </c>
      <c r="G34">
        <v>6241.18</v>
      </c>
      <c r="H34">
        <v>38</v>
      </c>
      <c r="I34">
        <v>7668.15</v>
      </c>
      <c r="J34">
        <v>51</v>
      </c>
      <c r="K34">
        <v>7636.25</v>
      </c>
      <c r="L34">
        <v>49</v>
      </c>
      <c r="M34">
        <v>6589.16</v>
      </c>
      <c r="N34">
        <v>38</v>
      </c>
      <c r="O34">
        <v>10016.07</v>
      </c>
      <c r="P34">
        <v>49</v>
      </c>
      <c r="Q34">
        <v>5363.02</v>
      </c>
      <c r="R34">
        <v>30</v>
      </c>
      <c r="S34">
        <v>7808.01</v>
      </c>
      <c r="T34">
        <v>40</v>
      </c>
      <c r="U34">
        <v>6069.08</v>
      </c>
      <c r="V34">
        <v>29</v>
      </c>
      <c r="W34">
        <v>8388.0300000000007</v>
      </c>
      <c r="X34">
        <v>48</v>
      </c>
      <c r="Y34">
        <v>8222.0300000000007</v>
      </c>
      <c r="Z34">
        <v>41</v>
      </c>
      <c r="AA34">
        <v>5689.03</v>
      </c>
      <c r="AB34">
        <v>33</v>
      </c>
      <c r="AC34">
        <v>6462.03</v>
      </c>
      <c r="AD34">
        <v>36</v>
      </c>
      <c r="AE34" s="4">
        <v>10105.01</v>
      </c>
      <c r="AF34" s="4">
        <v>44</v>
      </c>
      <c r="AG34" s="4">
        <v>9364.0400000000009</v>
      </c>
      <c r="AH34" s="4">
        <v>37</v>
      </c>
      <c r="AI34" s="4">
        <v>5993.05</v>
      </c>
      <c r="AJ34" s="4">
        <v>43</v>
      </c>
      <c r="AK34" s="4">
        <v>10436.120000000001</v>
      </c>
      <c r="AL34" s="4">
        <v>58</v>
      </c>
      <c r="AM34" s="4">
        <v>4403</v>
      </c>
      <c r="AN34" s="4">
        <v>28</v>
      </c>
      <c r="AO34" s="4">
        <v>7232.05</v>
      </c>
      <c r="AP34" s="4">
        <v>38</v>
      </c>
      <c r="AQ34" s="4">
        <v>7004.02</v>
      </c>
      <c r="AR34" s="4">
        <v>38</v>
      </c>
      <c r="AS34" s="4">
        <v>5411.04</v>
      </c>
      <c r="AT34" s="4">
        <v>29</v>
      </c>
      <c r="AU34" s="4">
        <v>4808.04</v>
      </c>
      <c r="AV34" s="4">
        <v>26</v>
      </c>
      <c r="AW34" s="4">
        <v>9984.44</v>
      </c>
      <c r="AX34" s="4">
        <v>48</v>
      </c>
      <c r="AY34" s="4">
        <v>8004.71</v>
      </c>
      <c r="AZ34" s="4">
        <v>44</v>
      </c>
      <c r="BA34" s="4">
        <v>10730.58</v>
      </c>
      <c r="BB34" s="4">
        <v>59</v>
      </c>
      <c r="BC34">
        <v>10467.620000000001</v>
      </c>
      <c r="BD34">
        <v>55</v>
      </c>
      <c r="BE34">
        <v>9352.6200000000008</v>
      </c>
      <c r="BF34">
        <v>43</v>
      </c>
      <c r="BQ34" s="3">
        <f t="shared" si="3"/>
        <v>199448.37999999998</v>
      </c>
      <c r="BR34" s="3">
        <f t="shared" si="1"/>
        <v>1072</v>
      </c>
    </row>
    <row r="35" spans="1:70" x14ac:dyDescent="0.25">
      <c r="A35" s="1" t="s">
        <v>39</v>
      </c>
      <c r="B35" s="1" t="s">
        <v>1330</v>
      </c>
      <c r="C35" s="1" t="s">
        <v>138</v>
      </c>
      <c r="D35" s="1" t="s">
        <v>129</v>
      </c>
      <c r="E35" s="211">
        <v>45705</v>
      </c>
      <c r="F35" s="212" t="str">
        <f t="shared" ca="1" si="2"/>
        <v>1y 8m</v>
      </c>
      <c r="G35">
        <v>7186.1900000000014</v>
      </c>
      <c r="H35">
        <v>46</v>
      </c>
      <c r="I35">
        <v>5359.15</v>
      </c>
      <c r="J35">
        <v>44</v>
      </c>
      <c r="K35">
        <v>3219.08</v>
      </c>
      <c r="L35">
        <v>29</v>
      </c>
      <c r="M35">
        <v>4570.1000000000004</v>
      </c>
      <c r="N35">
        <v>28</v>
      </c>
      <c r="O35">
        <v>3164.06</v>
      </c>
      <c r="P35">
        <v>22</v>
      </c>
      <c r="Q35">
        <v>2083.04</v>
      </c>
      <c r="R35">
        <v>17</v>
      </c>
      <c r="S35">
        <v>4605.04</v>
      </c>
      <c r="T35">
        <v>27</v>
      </c>
      <c r="U35">
        <v>3174.09</v>
      </c>
      <c r="V35">
        <v>23</v>
      </c>
      <c r="W35">
        <v>2979.06</v>
      </c>
      <c r="X35">
        <v>23</v>
      </c>
      <c r="Y35">
        <v>2808.04</v>
      </c>
      <c r="Z35">
        <v>13</v>
      </c>
      <c r="AA35">
        <v>2797.03</v>
      </c>
      <c r="AB35">
        <v>16</v>
      </c>
      <c r="AC35">
        <v>2496.04</v>
      </c>
      <c r="AD35">
        <v>18</v>
      </c>
      <c r="AE35" s="4">
        <v>2710.08</v>
      </c>
      <c r="AF35" s="4">
        <v>18</v>
      </c>
      <c r="AG35" s="4">
        <v>2246.0300000000002</v>
      </c>
      <c r="AH35" s="4">
        <v>15</v>
      </c>
      <c r="AI35" s="4">
        <v>2088.0300000000002</v>
      </c>
      <c r="AJ35" s="4">
        <v>16</v>
      </c>
      <c r="AK35" s="4">
        <v>3046.07</v>
      </c>
      <c r="AL35" s="4">
        <v>23</v>
      </c>
      <c r="AM35" s="4">
        <v>2673.05</v>
      </c>
      <c r="AN35" s="4">
        <v>19</v>
      </c>
      <c r="AO35" s="4">
        <v>1402.02</v>
      </c>
      <c r="AP35" s="4">
        <v>10</v>
      </c>
      <c r="AQ35" s="4">
        <v>2672.06</v>
      </c>
      <c r="AR35" s="4">
        <v>19</v>
      </c>
      <c r="AS35" s="4">
        <v>2187.0500000000002</v>
      </c>
      <c r="AT35" s="4">
        <v>13</v>
      </c>
      <c r="AU35" s="4">
        <v>1343.02</v>
      </c>
      <c r="AV35" s="4">
        <v>12</v>
      </c>
      <c r="AW35" s="4">
        <v>3535.78</v>
      </c>
      <c r="AX35" s="4">
        <v>17</v>
      </c>
      <c r="AY35" s="4">
        <v>1322.97</v>
      </c>
      <c r="AZ35" s="4">
        <v>11</v>
      </c>
      <c r="BA35" s="4">
        <v>2170.91</v>
      </c>
      <c r="BB35" s="4">
        <v>12</v>
      </c>
      <c r="BC35">
        <v>2342.98</v>
      </c>
      <c r="BD35">
        <v>16</v>
      </c>
      <c r="BE35">
        <v>4396.33</v>
      </c>
      <c r="BF35">
        <v>23</v>
      </c>
      <c r="BQ35" s="3">
        <f t="shared" si="3"/>
        <v>78577.3</v>
      </c>
      <c r="BR35" s="3">
        <f t="shared" si="1"/>
        <v>530</v>
      </c>
    </row>
    <row r="36" spans="1:70" x14ac:dyDescent="0.25">
      <c r="A36" s="1" t="s">
        <v>82</v>
      </c>
      <c r="B36" s="1" t="s">
        <v>1330</v>
      </c>
      <c r="C36" s="1" t="s">
        <v>147</v>
      </c>
      <c r="D36" s="1" t="s">
        <v>127</v>
      </c>
      <c r="E36" s="211">
        <v>46061</v>
      </c>
      <c r="F36" s="212" t="str">
        <f t="shared" ca="1" si="2"/>
        <v>0y 8m</v>
      </c>
      <c r="G36">
        <v>6037.05</v>
      </c>
      <c r="H36">
        <v>45</v>
      </c>
      <c r="I36">
        <v>6310.15</v>
      </c>
      <c r="J36">
        <v>45</v>
      </c>
      <c r="K36">
        <v>5702.08</v>
      </c>
      <c r="L36">
        <v>43</v>
      </c>
      <c r="M36">
        <v>10160.23</v>
      </c>
      <c r="N36">
        <v>60</v>
      </c>
      <c r="O36">
        <v>4111.04</v>
      </c>
      <c r="P36">
        <v>29</v>
      </c>
      <c r="Q36">
        <v>3424.03</v>
      </c>
      <c r="R36">
        <v>24</v>
      </c>
      <c r="S36">
        <v>11201.12</v>
      </c>
      <c r="T36">
        <v>43</v>
      </c>
      <c r="U36">
        <v>3860.08</v>
      </c>
      <c r="V36">
        <v>27</v>
      </c>
      <c r="W36">
        <v>3635.02</v>
      </c>
      <c r="X36">
        <v>22</v>
      </c>
      <c r="Y36">
        <v>5168.0200000000004</v>
      </c>
      <c r="Z36">
        <v>35</v>
      </c>
      <c r="AA36">
        <v>5070.09</v>
      </c>
      <c r="AB36">
        <v>29</v>
      </c>
      <c r="AC36">
        <v>4322.05</v>
      </c>
      <c r="AD36">
        <v>31</v>
      </c>
      <c r="AE36" s="4">
        <v>2774.06</v>
      </c>
      <c r="AF36" s="4">
        <v>19</v>
      </c>
      <c r="AG36" s="4">
        <v>4295.03</v>
      </c>
      <c r="AH36" s="4">
        <v>32</v>
      </c>
      <c r="AI36" s="4">
        <v>4207.04</v>
      </c>
      <c r="AJ36" s="4">
        <v>26</v>
      </c>
      <c r="AK36" s="4">
        <v>2030.04</v>
      </c>
      <c r="AL36" s="4">
        <v>11</v>
      </c>
      <c r="AM36" s="4">
        <v>2659.02</v>
      </c>
      <c r="AN36" s="4">
        <v>24</v>
      </c>
      <c r="AO36" s="4">
        <v>3356.07</v>
      </c>
      <c r="AP36" s="4">
        <v>25</v>
      </c>
      <c r="AQ36" s="4">
        <v>4040.09</v>
      </c>
      <c r="AR36" s="4">
        <v>24</v>
      </c>
      <c r="AS36" s="4">
        <v>1860.01</v>
      </c>
      <c r="AT36" s="4">
        <v>14</v>
      </c>
      <c r="AU36" s="4">
        <v>2230.04</v>
      </c>
      <c r="AV36" s="4">
        <v>20</v>
      </c>
      <c r="AW36" s="4">
        <v>3136.86</v>
      </c>
      <c r="AX36" s="4">
        <v>20</v>
      </c>
      <c r="AY36" s="4">
        <v>2326.84</v>
      </c>
      <c r="AZ36" s="4">
        <v>14</v>
      </c>
      <c r="BA36" s="4">
        <v>2856.89</v>
      </c>
      <c r="BB36" s="4">
        <v>22</v>
      </c>
      <c r="BC36">
        <v>4497.87</v>
      </c>
      <c r="BD36">
        <v>32</v>
      </c>
      <c r="BE36">
        <v>3012.23</v>
      </c>
      <c r="BF36">
        <v>19</v>
      </c>
      <c r="BQ36" s="3">
        <f t="shared" si="3"/>
        <v>112283.04999999997</v>
      </c>
      <c r="BR36" s="3">
        <f t="shared" si="1"/>
        <v>735</v>
      </c>
    </row>
    <row r="37" spans="1:70" x14ac:dyDescent="0.25">
      <c r="A37" s="1" t="s">
        <v>59</v>
      </c>
      <c r="B37" s="1" t="s">
        <v>1330</v>
      </c>
      <c r="C37" s="1" t="s">
        <v>145</v>
      </c>
      <c r="D37" s="1" t="s">
        <v>131</v>
      </c>
      <c r="E37" s="211">
        <v>45845</v>
      </c>
      <c r="F37" s="212" t="str">
        <f t="shared" ca="1" si="2"/>
        <v>1y 3m</v>
      </c>
      <c r="G37">
        <v>11688.2</v>
      </c>
      <c r="H37">
        <v>101</v>
      </c>
      <c r="I37">
        <v>8962.18</v>
      </c>
      <c r="J37">
        <v>86</v>
      </c>
      <c r="K37">
        <v>8134.17</v>
      </c>
      <c r="L37">
        <v>73</v>
      </c>
      <c r="M37">
        <v>6177.07</v>
      </c>
      <c r="N37">
        <v>43</v>
      </c>
      <c r="O37">
        <v>5449.11</v>
      </c>
      <c r="P37">
        <v>42</v>
      </c>
      <c r="Q37">
        <v>4477.04</v>
      </c>
      <c r="R37">
        <v>50</v>
      </c>
      <c r="S37">
        <v>6558.12</v>
      </c>
      <c r="T37">
        <v>50</v>
      </c>
      <c r="U37">
        <v>7001.11</v>
      </c>
      <c r="V37">
        <v>58</v>
      </c>
      <c r="W37">
        <v>6376.11</v>
      </c>
      <c r="X37">
        <v>58</v>
      </c>
      <c r="Y37">
        <v>6322.07</v>
      </c>
      <c r="Z37">
        <v>55</v>
      </c>
      <c r="AA37">
        <v>4762.12</v>
      </c>
      <c r="AB37">
        <v>36</v>
      </c>
      <c r="AC37">
        <v>3533.01</v>
      </c>
      <c r="AD37">
        <v>30</v>
      </c>
      <c r="AE37" s="4">
        <v>3573.05</v>
      </c>
      <c r="AF37" s="4">
        <v>29</v>
      </c>
      <c r="AG37" s="4">
        <v>6491.09</v>
      </c>
      <c r="AH37" s="4">
        <v>48</v>
      </c>
      <c r="AI37" s="4">
        <v>5388.1</v>
      </c>
      <c r="AJ37" s="4">
        <v>37</v>
      </c>
      <c r="AK37" s="4">
        <v>4604.07</v>
      </c>
      <c r="AL37" s="4">
        <v>39</v>
      </c>
      <c r="AM37" s="4">
        <v>4621.08</v>
      </c>
      <c r="AN37" s="4">
        <v>43</v>
      </c>
      <c r="AO37" s="4">
        <v>3797.99</v>
      </c>
      <c r="AP37" s="4">
        <v>33</v>
      </c>
      <c r="AQ37" s="4">
        <v>2787.03</v>
      </c>
      <c r="AR37" s="4">
        <v>20</v>
      </c>
      <c r="AS37" s="4">
        <v>5304.08</v>
      </c>
      <c r="AT37" s="4">
        <v>37</v>
      </c>
      <c r="AU37" s="4">
        <v>3577.02</v>
      </c>
      <c r="AV37" s="4">
        <v>30</v>
      </c>
      <c r="AW37" s="4">
        <v>3639.96</v>
      </c>
      <c r="AX37" s="4">
        <v>38</v>
      </c>
      <c r="AY37" s="4">
        <v>5133.7299999999996</v>
      </c>
      <c r="AZ37" s="4">
        <v>34</v>
      </c>
      <c r="BA37" s="4">
        <v>2997.9</v>
      </c>
      <c r="BB37" s="4">
        <v>27</v>
      </c>
      <c r="BC37">
        <v>3526.84</v>
      </c>
      <c r="BD37">
        <v>24</v>
      </c>
      <c r="BE37">
        <v>3270.18</v>
      </c>
      <c r="BF37">
        <v>24</v>
      </c>
      <c r="BQ37" s="3">
        <f t="shared" si="3"/>
        <v>138152.43</v>
      </c>
      <c r="BR37" s="3">
        <f t="shared" si="1"/>
        <v>1145</v>
      </c>
    </row>
    <row r="38" spans="1:70" x14ac:dyDescent="0.25">
      <c r="A38" s="1" t="s">
        <v>111</v>
      </c>
      <c r="B38" s="1" t="s">
        <v>1330</v>
      </c>
      <c r="C38" s="1" t="s">
        <v>138</v>
      </c>
      <c r="D38" s="1" t="s">
        <v>128</v>
      </c>
      <c r="E38" s="211">
        <v>46086</v>
      </c>
      <c r="F38" s="212" t="str">
        <f t="shared" ca="1" si="2"/>
        <v>0y 7m</v>
      </c>
      <c r="G38">
        <v>3662.05</v>
      </c>
      <c r="H38">
        <v>25</v>
      </c>
      <c r="I38">
        <v>4672.05</v>
      </c>
      <c r="J38">
        <v>28</v>
      </c>
      <c r="K38">
        <v>4714.09</v>
      </c>
      <c r="L38">
        <v>30</v>
      </c>
      <c r="M38">
        <v>2410.04</v>
      </c>
      <c r="N38">
        <v>15</v>
      </c>
      <c r="O38">
        <v>3109.06</v>
      </c>
      <c r="P38">
        <v>21</v>
      </c>
      <c r="Q38">
        <v>4195.0600000000004</v>
      </c>
      <c r="R38">
        <v>21</v>
      </c>
      <c r="S38">
        <v>2646.05</v>
      </c>
      <c r="T38">
        <v>17</v>
      </c>
      <c r="U38">
        <v>1679.02</v>
      </c>
      <c r="V38">
        <v>10</v>
      </c>
      <c r="W38">
        <v>3872.07</v>
      </c>
      <c r="X38">
        <v>25</v>
      </c>
      <c r="Y38">
        <v>2883.07</v>
      </c>
      <c r="Z38">
        <v>15</v>
      </c>
      <c r="AA38">
        <v>1690.01</v>
      </c>
      <c r="AB38">
        <v>10</v>
      </c>
      <c r="AC38">
        <v>2173.0100000000002</v>
      </c>
      <c r="AD38">
        <v>17</v>
      </c>
      <c r="AE38" s="4">
        <v>1677.02</v>
      </c>
      <c r="AF38" s="4">
        <v>11</v>
      </c>
      <c r="AG38" s="4">
        <v>2503.0700000000002</v>
      </c>
      <c r="AH38" s="4">
        <v>14</v>
      </c>
      <c r="AI38" s="4">
        <v>3040.07</v>
      </c>
      <c r="AJ38" s="4">
        <v>21</v>
      </c>
      <c r="AK38" s="4">
        <v>2830.05</v>
      </c>
      <c r="AL38" s="4">
        <v>17</v>
      </c>
      <c r="AM38" s="4">
        <v>3932.08</v>
      </c>
      <c r="AN38" s="4">
        <v>20</v>
      </c>
      <c r="AO38" s="4">
        <v>869</v>
      </c>
      <c r="AP38" s="4">
        <v>5</v>
      </c>
      <c r="AQ38" s="4">
        <v>1872.03</v>
      </c>
      <c r="AR38" s="4">
        <v>15</v>
      </c>
      <c r="AS38" s="4">
        <v>1889.05</v>
      </c>
      <c r="AT38" s="4">
        <v>12</v>
      </c>
      <c r="AU38" s="4">
        <v>1928.03</v>
      </c>
      <c r="AV38" s="4">
        <v>13</v>
      </c>
      <c r="AW38" s="4">
        <v>2775.87</v>
      </c>
      <c r="AX38" s="4">
        <v>18</v>
      </c>
      <c r="AY38" s="4">
        <v>1988.94</v>
      </c>
      <c r="AZ38" s="4">
        <v>13</v>
      </c>
      <c r="BA38" s="4">
        <v>2994.82</v>
      </c>
      <c r="BB38" s="4">
        <v>18</v>
      </c>
      <c r="BC38">
        <v>2880.92</v>
      </c>
      <c r="BD38">
        <v>19</v>
      </c>
      <c r="BE38">
        <v>2570.15</v>
      </c>
      <c r="BF38">
        <v>16</v>
      </c>
      <c r="BQ38" s="3">
        <f t="shared" si="3"/>
        <v>71456.680000000008</v>
      </c>
      <c r="BR38" s="3">
        <f t="shared" si="1"/>
        <v>446</v>
      </c>
    </row>
    <row r="39" spans="1:70" x14ac:dyDescent="0.25">
      <c r="A39" s="1" t="s">
        <v>65</v>
      </c>
      <c r="B39" s="1" t="s">
        <v>1330</v>
      </c>
      <c r="C39" s="1" t="s">
        <v>148</v>
      </c>
      <c r="D39" s="1" t="s">
        <v>126</v>
      </c>
      <c r="E39" s="211">
        <v>45851</v>
      </c>
      <c r="F39" s="212" t="str">
        <f t="shared" ca="1" si="2"/>
        <v>1y 3m</v>
      </c>
      <c r="G39">
        <v>5122.1400000000003</v>
      </c>
      <c r="H39">
        <v>46</v>
      </c>
      <c r="I39">
        <v>4942.1000000000004</v>
      </c>
      <c r="J39">
        <v>44</v>
      </c>
      <c r="K39">
        <v>2003.03</v>
      </c>
      <c r="L39">
        <v>19</v>
      </c>
      <c r="M39">
        <v>4892.17</v>
      </c>
      <c r="N39">
        <v>30</v>
      </c>
      <c r="O39">
        <v>1537</v>
      </c>
      <c r="P39">
        <v>12</v>
      </c>
      <c r="Q39">
        <v>2433.0500000000002</v>
      </c>
      <c r="R39">
        <v>18</v>
      </c>
      <c r="S39">
        <v>3701.03</v>
      </c>
      <c r="T39">
        <v>22</v>
      </c>
      <c r="U39">
        <v>5013.0200000000004</v>
      </c>
      <c r="V39">
        <v>37</v>
      </c>
      <c r="W39">
        <v>4508.05</v>
      </c>
      <c r="X39">
        <v>30</v>
      </c>
      <c r="Y39">
        <v>2323.0700000000002</v>
      </c>
      <c r="Z39">
        <v>15</v>
      </c>
      <c r="AA39">
        <v>2095.0100000000002</v>
      </c>
      <c r="AB39">
        <v>20</v>
      </c>
      <c r="AC39">
        <v>1762.04</v>
      </c>
      <c r="AD39">
        <v>11</v>
      </c>
      <c r="AE39" s="4">
        <v>1857.03</v>
      </c>
      <c r="AF39" s="4">
        <v>19</v>
      </c>
      <c r="AG39" s="4">
        <v>2809.06</v>
      </c>
      <c r="AH39" s="4">
        <v>15</v>
      </c>
      <c r="AI39" s="4">
        <v>2968.02</v>
      </c>
      <c r="AJ39" s="4">
        <v>26</v>
      </c>
      <c r="AK39" s="4">
        <v>3952.09</v>
      </c>
      <c r="AL39" s="4">
        <v>29</v>
      </c>
      <c r="AM39" s="4">
        <v>3006.1</v>
      </c>
      <c r="AN39" s="4">
        <v>17</v>
      </c>
      <c r="AO39" s="4">
        <v>3159.1</v>
      </c>
      <c r="AP39" s="4">
        <v>21</v>
      </c>
      <c r="AQ39" s="4">
        <v>1979.04</v>
      </c>
      <c r="AR39" s="4">
        <v>14</v>
      </c>
      <c r="AS39" s="4">
        <v>450</v>
      </c>
      <c r="AT39" s="4">
        <v>7</v>
      </c>
      <c r="AU39" s="4">
        <v>1981.01</v>
      </c>
      <c r="AV39" s="4">
        <v>14</v>
      </c>
      <c r="AW39" s="4">
        <v>2490.9</v>
      </c>
      <c r="AX39" s="4">
        <v>18</v>
      </c>
      <c r="AY39" s="4">
        <v>3865.75</v>
      </c>
      <c r="AZ39" s="4">
        <v>31</v>
      </c>
      <c r="BA39" s="4">
        <v>1536.97</v>
      </c>
      <c r="BB39" s="4">
        <v>12</v>
      </c>
      <c r="BC39">
        <v>1365.95</v>
      </c>
      <c r="BD39">
        <v>11</v>
      </c>
      <c r="BE39">
        <v>2974.2</v>
      </c>
      <c r="BF39">
        <v>17</v>
      </c>
      <c r="BQ39" s="3">
        <f t="shared" si="3"/>
        <v>74726.929999999993</v>
      </c>
      <c r="BR39" s="3">
        <f t="shared" si="1"/>
        <v>555</v>
      </c>
    </row>
    <row r="40" spans="1:70" x14ac:dyDescent="0.25">
      <c r="A40" s="1" t="s">
        <v>71</v>
      </c>
      <c r="B40" s="1" t="s">
        <v>1330</v>
      </c>
      <c r="C40" s="1" t="s">
        <v>145</v>
      </c>
      <c r="D40" s="1" t="s">
        <v>131</v>
      </c>
      <c r="E40" s="211">
        <v>46084</v>
      </c>
      <c r="F40" s="212" t="str">
        <f t="shared" ca="1" si="2"/>
        <v>0y 7m</v>
      </c>
      <c r="G40">
        <v>21128.39</v>
      </c>
      <c r="H40">
        <v>154</v>
      </c>
      <c r="I40">
        <v>20306.25</v>
      </c>
      <c r="J40">
        <v>145</v>
      </c>
      <c r="K40">
        <v>23448.48</v>
      </c>
      <c r="L40">
        <v>143</v>
      </c>
      <c r="M40">
        <v>22591.23</v>
      </c>
      <c r="N40">
        <v>116</v>
      </c>
      <c r="O40">
        <v>15359.22</v>
      </c>
      <c r="P40">
        <v>91</v>
      </c>
      <c r="Q40">
        <v>9297.14</v>
      </c>
      <c r="R40">
        <v>61</v>
      </c>
      <c r="S40">
        <v>10387.120000000001</v>
      </c>
      <c r="T40">
        <v>60</v>
      </c>
      <c r="U40">
        <v>11671.18</v>
      </c>
      <c r="V40">
        <v>79</v>
      </c>
      <c r="W40">
        <v>14971.12</v>
      </c>
      <c r="X40">
        <v>105</v>
      </c>
      <c r="Y40">
        <v>10979.12</v>
      </c>
      <c r="Z40">
        <v>81</v>
      </c>
      <c r="AA40">
        <v>7533.11</v>
      </c>
      <c r="AB40">
        <v>51</v>
      </c>
      <c r="AC40">
        <v>7848.05</v>
      </c>
      <c r="AD40">
        <v>49</v>
      </c>
      <c r="AE40" s="4">
        <v>9540.1</v>
      </c>
      <c r="AF40" s="4">
        <v>65</v>
      </c>
      <c r="AG40" s="4">
        <v>9567.130000000001</v>
      </c>
      <c r="AH40" s="4">
        <v>63</v>
      </c>
      <c r="AI40" s="4">
        <v>9854.1200000000008</v>
      </c>
      <c r="AJ40" s="4">
        <v>58</v>
      </c>
      <c r="AK40" s="4">
        <v>13573.25</v>
      </c>
      <c r="AL40" s="4">
        <v>73</v>
      </c>
      <c r="AM40" s="4">
        <v>13721.13</v>
      </c>
      <c r="AN40" s="4">
        <v>78</v>
      </c>
      <c r="AO40" s="4">
        <v>11460.11</v>
      </c>
      <c r="AP40" s="4">
        <v>69</v>
      </c>
      <c r="AQ40" s="4">
        <v>6862.06</v>
      </c>
      <c r="AR40" s="4">
        <v>46</v>
      </c>
      <c r="AS40" s="4">
        <v>8070.12</v>
      </c>
      <c r="AT40" s="4">
        <v>54</v>
      </c>
      <c r="AU40" s="4">
        <v>9835.09</v>
      </c>
      <c r="AV40" s="4">
        <v>65</v>
      </c>
      <c r="AW40" s="4">
        <v>14696.54</v>
      </c>
      <c r="AX40" s="4">
        <v>71</v>
      </c>
      <c r="AY40" s="4">
        <v>11816.54</v>
      </c>
      <c r="AZ40" s="4">
        <v>68</v>
      </c>
      <c r="BA40" s="4">
        <v>10840.52</v>
      </c>
      <c r="BB40" s="4">
        <v>63</v>
      </c>
      <c r="BC40">
        <v>10177.35</v>
      </c>
      <c r="BD40">
        <v>58</v>
      </c>
      <c r="BE40">
        <v>12452.57</v>
      </c>
      <c r="BF40">
        <v>58</v>
      </c>
      <c r="BQ40" s="3">
        <f t="shared" si="3"/>
        <v>327987.03999999992</v>
      </c>
      <c r="BR40" s="3">
        <f t="shared" si="1"/>
        <v>2024</v>
      </c>
    </row>
    <row r="41" spans="1:70" x14ac:dyDescent="0.25">
      <c r="A41" s="1" t="s">
        <v>27</v>
      </c>
      <c r="B41" s="1" t="s">
        <v>1330</v>
      </c>
      <c r="C41" s="1" t="s">
        <v>145</v>
      </c>
      <c r="D41" s="1" t="s">
        <v>131</v>
      </c>
      <c r="E41" s="211">
        <v>45611</v>
      </c>
      <c r="F41" s="212" t="str">
        <f t="shared" ca="1" si="2"/>
        <v>1y 11m</v>
      </c>
      <c r="G41">
        <v>9428.27</v>
      </c>
      <c r="H41">
        <v>58</v>
      </c>
      <c r="I41">
        <v>8272.2000000000007</v>
      </c>
      <c r="J41">
        <v>57</v>
      </c>
      <c r="K41">
        <v>8788.17</v>
      </c>
      <c r="L41">
        <v>62</v>
      </c>
      <c r="M41">
        <v>10335.209999999999</v>
      </c>
      <c r="N41">
        <v>58</v>
      </c>
      <c r="O41">
        <v>8358.08</v>
      </c>
      <c r="P41">
        <v>41</v>
      </c>
      <c r="Q41">
        <v>5075.0600000000004</v>
      </c>
      <c r="R41">
        <v>34</v>
      </c>
      <c r="S41">
        <v>5073.0600000000004</v>
      </c>
      <c r="T41">
        <v>33</v>
      </c>
      <c r="U41">
        <v>5784.13</v>
      </c>
      <c r="V41">
        <v>36</v>
      </c>
      <c r="W41">
        <v>7150.13</v>
      </c>
      <c r="X41">
        <v>41</v>
      </c>
      <c r="Y41">
        <v>7699.16</v>
      </c>
      <c r="Z41">
        <v>52</v>
      </c>
      <c r="AA41">
        <v>3547.04</v>
      </c>
      <c r="AB41">
        <v>27</v>
      </c>
      <c r="AC41">
        <v>4027.06</v>
      </c>
      <c r="AD41">
        <v>24</v>
      </c>
      <c r="AE41" s="4">
        <v>4581.04</v>
      </c>
      <c r="AF41" s="4">
        <v>26</v>
      </c>
      <c r="AG41" s="4">
        <v>5329.13</v>
      </c>
      <c r="AH41" s="4">
        <v>30</v>
      </c>
      <c r="AI41" s="4">
        <v>3309.07</v>
      </c>
      <c r="AJ41" s="4">
        <v>19</v>
      </c>
      <c r="AK41" s="4">
        <v>5340.06</v>
      </c>
      <c r="AL41" s="4">
        <v>33</v>
      </c>
      <c r="AM41" s="4">
        <v>4031.05</v>
      </c>
      <c r="AN41" s="4">
        <v>26</v>
      </c>
      <c r="AO41" s="4">
        <v>4412.09</v>
      </c>
      <c r="AP41" s="4">
        <v>21</v>
      </c>
      <c r="AQ41" s="4">
        <v>3121</v>
      </c>
      <c r="AR41" s="4">
        <v>21</v>
      </c>
      <c r="AS41" s="4">
        <v>5872.1</v>
      </c>
      <c r="AT41" s="4">
        <v>36</v>
      </c>
      <c r="AU41" s="4">
        <v>3296.05</v>
      </c>
      <c r="AV41" s="4">
        <v>21</v>
      </c>
      <c r="AW41" s="4">
        <v>4709.79</v>
      </c>
      <c r="AX41" s="4">
        <v>29</v>
      </c>
      <c r="AY41" s="4">
        <v>4672.66</v>
      </c>
      <c r="AZ41" s="4">
        <v>25</v>
      </c>
      <c r="BA41" s="4">
        <v>5391.73</v>
      </c>
      <c r="BB41" s="4">
        <v>27</v>
      </c>
      <c r="BC41">
        <v>3644.75</v>
      </c>
      <c r="BD41">
        <v>21</v>
      </c>
      <c r="BE41">
        <v>6962.51</v>
      </c>
      <c r="BF41">
        <v>34</v>
      </c>
      <c r="BQ41" s="3">
        <f t="shared" si="3"/>
        <v>148210.6</v>
      </c>
      <c r="BR41" s="3">
        <f t="shared" si="1"/>
        <v>892</v>
      </c>
    </row>
    <row r="42" spans="1:70" x14ac:dyDescent="0.25">
      <c r="A42" s="1" t="s">
        <v>100</v>
      </c>
      <c r="B42" s="1" t="s">
        <v>1330</v>
      </c>
      <c r="C42" s="1" t="s">
        <v>139</v>
      </c>
      <c r="D42" s="1" t="s">
        <v>130</v>
      </c>
      <c r="E42" s="211">
        <v>46056</v>
      </c>
      <c r="F42" s="212" t="str">
        <f t="shared" ca="1" si="2"/>
        <v>0y 8m</v>
      </c>
      <c r="G42">
        <v>16610.349999999999</v>
      </c>
      <c r="H42">
        <v>97</v>
      </c>
      <c r="I42">
        <v>27246.31</v>
      </c>
      <c r="J42">
        <v>132</v>
      </c>
      <c r="K42">
        <v>25130.45</v>
      </c>
      <c r="L42">
        <v>132</v>
      </c>
      <c r="M42">
        <v>20488.150000000001</v>
      </c>
      <c r="N42">
        <v>84</v>
      </c>
      <c r="O42">
        <v>10957.06</v>
      </c>
      <c r="P42">
        <v>67</v>
      </c>
      <c r="Q42">
        <v>13075.22</v>
      </c>
      <c r="R42">
        <v>65</v>
      </c>
      <c r="S42">
        <v>13819.17</v>
      </c>
      <c r="T42">
        <v>75</v>
      </c>
      <c r="U42">
        <v>16628.23</v>
      </c>
      <c r="V42">
        <v>92</v>
      </c>
      <c r="W42">
        <v>18817.09</v>
      </c>
      <c r="X42">
        <v>94</v>
      </c>
      <c r="Y42">
        <v>16124.11</v>
      </c>
      <c r="Z42">
        <v>84</v>
      </c>
      <c r="AA42">
        <v>13045.21</v>
      </c>
      <c r="AB42">
        <v>55</v>
      </c>
      <c r="AC42">
        <v>11563.19</v>
      </c>
      <c r="AD42">
        <v>59</v>
      </c>
      <c r="AE42" s="4">
        <v>13046.2</v>
      </c>
      <c r="AF42" s="4">
        <v>76</v>
      </c>
      <c r="AG42" s="4">
        <v>10373.16</v>
      </c>
      <c r="AH42" s="4">
        <v>55</v>
      </c>
      <c r="AI42" s="4">
        <v>14117.21</v>
      </c>
      <c r="AJ42" s="4">
        <v>65</v>
      </c>
      <c r="AK42" s="4">
        <v>18421.21</v>
      </c>
      <c r="AL42" s="4">
        <v>83</v>
      </c>
      <c r="AM42" s="4">
        <v>7865.02</v>
      </c>
      <c r="AN42" s="4">
        <v>49</v>
      </c>
      <c r="AO42" s="4">
        <v>5940.11</v>
      </c>
      <c r="AP42" s="4">
        <v>31</v>
      </c>
      <c r="AQ42" s="4">
        <v>8203.14</v>
      </c>
      <c r="AR42" s="4">
        <v>53</v>
      </c>
      <c r="AS42" s="4">
        <v>11804.19</v>
      </c>
      <c r="AT42" s="4">
        <v>58</v>
      </c>
      <c r="AU42" s="4">
        <v>7341.16</v>
      </c>
      <c r="AV42" s="4">
        <v>33</v>
      </c>
      <c r="AW42" s="4">
        <v>14644.32</v>
      </c>
      <c r="AX42" s="4">
        <v>73</v>
      </c>
      <c r="AY42" s="4">
        <v>17377.16</v>
      </c>
      <c r="AZ42" s="4">
        <v>78</v>
      </c>
      <c r="BA42" s="4">
        <v>11364.32</v>
      </c>
      <c r="BB42" s="4">
        <v>63</v>
      </c>
      <c r="BC42">
        <v>12390.34</v>
      </c>
      <c r="BD42">
        <v>55</v>
      </c>
      <c r="BE42">
        <v>11835.78</v>
      </c>
      <c r="BF42">
        <v>44</v>
      </c>
      <c r="BQ42" s="3">
        <f t="shared" si="3"/>
        <v>368227.86000000004</v>
      </c>
      <c r="BR42" s="3">
        <f t="shared" si="1"/>
        <v>1852</v>
      </c>
    </row>
    <row r="43" spans="1:70" x14ac:dyDescent="0.25">
      <c r="A43" s="1" t="s">
        <v>48</v>
      </c>
      <c r="B43" s="1" t="s">
        <v>1330</v>
      </c>
      <c r="C43" s="1" t="s">
        <v>136</v>
      </c>
      <c r="D43" s="1" t="s">
        <v>126</v>
      </c>
      <c r="E43" s="211">
        <v>45728</v>
      </c>
      <c r="F43" s="212" t="str">
        <f t="shared" ca="1" si="2"/>
        <v>1y 7m</v>
      </c>
      <c r="G43">
        <v>15160.33</v>
      </c>
      <c r="H43">
        <v>101</v>
      </c>
      <c r="I43">
        <v>21131.360000000001</v>
      </c>
      <c r="J43">
        <v>122</v>
      </c>
      <c r="K43">
        <v>12070.11</v>
      </c>
      <c r="L43">
        <v>63</v>
      </c>
      <c r="M43">
        <v>8119.06</v>
      </c>
      <c r="N43">
        <v>55</v>
      </c>
      <c r="O43">
        <v>7062.12</v>
      </c>
      <c r="P43">
        <v>43</v>
      </c>
      <c r="Q43">
        <v>5419.12</v>
      </c>
      <c r="R43">
        <v>34</v>
      </c>
      <c r="S43">
        <v>4635.0600000000004</v>
      </c>
      <c r="T43">
        <v>34</v>
      </c>
      <c r="U43">
        <v>5023.05</v>
      </c>
      <c r="V43">
        <v>31</v>
      </c>
      <c r="W43">
        <v>10625.1</v>
      </c>
      <c r="X43">
        <v>54</v>
      </c>
      <c r="Y43">
        <v>3761.06</v>
      </c>
      <c r="Z43">
        <v>26</v>
      </c>
      <c r="AA43">
        <v>3687.03</v>
      </c>
      <c r="AB43">
        <v>26</v>
      </c>
      <c r="AC43">
        <v>2762.02</v>
      </c>
      <c r="AD43">
        <v>18</v>
      </c>
      <c r="AE43" s="4">
        <v>3198.01</v>
      </c>
      <c r="AF43" s="4">
        <v>27</v>
      </c>
      <c r="AG43" s="4">
        <v>3457.05</v>
      </c>
      <c r="AH43" s="4">
        <v>23</v>
      </c>
      <c r="AI43" s="4">
        <v>5646.11</v>
      </c>
      <c r="AJ43" s="4">
        <v>42</v>
      </c>
      <c r="AK43" s="4">
        <v>5802.06</v>
      </c>
      <c r="AL43" s="4">
        <v>39</v>
      </c>
      <c r="AM43" s="4">
        <v>6626.02</v>
      </c>
      <c r="AN43" s="4">
        <v>41</v>
      </c>
      <c r="AO43" s="4">
        <v>4248.03</v>
      </c>
      <c r="AP43" s="4">
        <v>26</v>
      </c>
      <c r="AQ43" s="4">
        <v>2606.0100000000002</v>
      </c>
      <c r="AR43" s="4">
        <v>20</v>
      </c>
      <c r="AS43" s="4">
        <v>3195.04</v>
      </c>
      <c r="AT43" s="4">
        <v>21</v>
      </c>
      <c r="AU43" s="4">
        <v>5039.1000000000004</v>
      </c>
      <c r="AV43" s="4">
        <v>20</v>
      </c>
      <c r="AW43" s="4">
        <v>6877.72</v>
      </c>
      <c r="AX43" s="4">
        <v>43</v>
      </c>
      <c r="AY43" s="4">
        <v>5060.87</v>
      </c>
      <c r="AZ43" s="4">
        <v>26</v>
      </c>
      <c r="BA43" s="4">
        <v>6733.65</v>
      </c>
      <c r="BB43" s="4">
        <v>39</v>
      </c>
      <c r="BC43">
        <v>6261.74</v>
      </c>
      <c r="BD43">
        <v>27</v>
      </c>
      <c r="BE43">
        <v>4960.29</v>
      </c>
      <c r="BF43">
        <v>37</v>
      </c>
      <c r="BQ43" s="3">
        <f t="shared" si="3"/>
        <v>169167.12</v>
      </c>
      <c r="BR43" s="3">
        <f t="shared" si="1"/>
        <v>1038</v>
      </c>
    </row>
    <row r="44" spans="1:70" x14ac:dyDescent="0.25">
      <c r="A44" s="1" t="s">
        <v>118</v>
      </c>
      <c r="B44" s="1" t="s">
        <v>1330</v>
      </c>
      <c r="C44" s="1" t="s">
        <v>138</v>
      </c>
      <c r="D44" s="1" t="s">
        <v>128</v>
      </c>
      <c r="E44" s="211">
        <v>46166</v>
      </c>
      <c r="F44" s="212" t="str">
        <f t="shared" ca="1" si="2"/>
        <v>0y 5m</v>
      </c>
      <c r="G44">
        <v>5623.22</v>
      </c>
      <c r="H44">
        <v>45</v>
      </c>
      <c r="I44">
        <v>3978.06</v>
      </c>
      <c r="J44">
        <v>37</v>
      </c>
      <c r="K44">
        <v>5371.01</v>
      </c>
      <c r="L44">
        <v>34</v>
      </c>
      <c r="M44">
        <v>4996.0600000000004</v>
      </c>
      <c r="N44">
        <v>30</v>
      </c>
      <c r="O44">
        <v>4816.1099999999997</v>
      </c>
      <c r="P44">
        <v>28</v>
      </c>
      <c r="Q44">
        <v>3558.02</v>
      </c>
      <c r="R44">
        <v>26</v>
      </c>
      <c r="S44">
        <v>2256.02</v>
      </c>
      <c r="T44">
        <v>16</v>
      </c>
      <c r="U44">
        <v>2539.0500000000002</v>
      </c>
      <c r="V44">
        <v>16</v>
      </c>
      <c r="W44">
        <v>3018.05</v>
      </c>
      <c r="X44">
        <v>19</v>
      </c>
      <c r="Y44">
        <v>1815.05</v>
      </c>
      <c r="Z44">
        <v>13</v>
      </c>
      <c r="AA44">
        <v>4430.0600000000004</v>
      </c>
      <c r="AB44">
        <v>27</v>
      </c>
      <c r="AC44">
        <v>1682.03</v>
      </c>
      <c r="AD44">
        <v>17</v>
      </c>
      <c r="AE44" s="4">
        <v>3334.08</v>
      </c>
      <c r="AF44" s="4">
        <v>21</v>
      </c>
      <c r="AG44" s="4">
        <v>2330.09</v>
      </c>
      <c r="AH44" s="4">
        <v>15</v>
      </c>
      <c r="AI44" s="4">
        <v>2488.0700000000002</v>
      </c>
      <c r="AJ44" s="4">
        <v>18</v>
      </c>
      <c r="AK44" s="4">
        <v>3091.04</v>
      </c>
      <c r="AL44" s="4">
        <v>18</v>
      </c>
      <c r="AM44" s="4">
        <v>3092.98</v>
      </c>
      <c r="AN44" s="4">
        <v>20</v>
      </c>
      <c r="AO44" s="4">
        <v>3043.06</v>
      </c>
      <c r="AP44" s="4">
        <v>23</v>
      </c>
      <c r="AQ44" s="4">
        <v>3290.09</v>
      </c>
      <c r="AR44" s="4">
        <v>23</v>
      </c>
      <c r="AS44" s="4">
        <v>1802.04</v>
      </c>
      <c r="AT44" s="4">
        <v>10</v>
      </c>
      <c r="AU44" s="4">
        <v>1175.01</v>
      </c>
      <c r="AV44" s="4">
        <v>8</v>
      </c>
      <c r="AW44" s="4">
        <v>3341.81</v>
      </c>
      <c r="AX44" s="4">
        <v>22</v>
      </c>
      <c r="AY44" s="4">
        <v>3402.83</v>
      </c>
      <c r="AZ44" s="4">
        <v>22</v>
      </c>
      <c r="BA44" s="4">
        <v>1508.92</v>
      </c>
      <c r="BB44" s="4">
        <v>11</v>
      </c>
      <c r="BC44">
        <v>1627.96</v>
      </c>
      <c r="BD44">
        <v>9</v>
      </c>
      <c r="BE44">
        <v>3736.25</v>
      </c>
      <c r="BF44">
        <v>16</v>
      </c>
      <c r="BQ44" s="3">
        <f t="shared" si="3"/>
        <v>81346.97</v>
      </c>
      <c r="BR44" s="3">
        <f t="shared" si="1"/>
        <v>544</v>
      </c>
    </row>
    <row r="45" spans="1:70" x14ac:dyDescent="0.25">
      <c r="A45" s="1" t="s">
        <v>34</v>
      </c>
      <c r="B45" s="1" t="s">
        <v>1330</v>
      </c>
      <c r="C45" s="1" t="s">
        <v>138</v>
      </c>
      <c r="D45" s="1" t="s">
        <v>128</v>
      </c>
      <c r="E45" s="211">
        <v>45698</v>
      </c>
      <c r="F45" s="212" t="str">
        <f t="shared" ca="1" si="2"/>
        <v>1y 8m</v>
      </c>
      <c r="G45">
        <v>11578.16</v>
      </c>
      <c r="H45">
        <v>98</v>
      </c>
      <c r="I45">
        <v>14093.36</v>
      </c>
      <c r="J45">
        <v>127</v>
      </c>
      <c r="K45">
        <v>10211.26</v>
      </c>
      <c r="L45">
        <v>76</v>
      </c>
      <c r="M45">
        <v>9148.16</v>
      </c>
      <c r="N45">
        <v>45</v>
      </c>
      <c r="O45">
        <v>6603.08</v>
      </c>
      <c r="P45">
        <v>43</v>
      </c>
      <c r="Q45">
        <v>7834.14</v>
      </c>
      <c r="R45">
        <v>54</v>
      </c>
      <c r="S45">
        <v>8319.08</v>
      </c>
      <c r="T45">
        <v>58</v>
      </c>
      <c r="U45">
        <v>9194.17</v>
      </c>
      <c r="V45">
        <v>70</v>
      </c>
      <c r="W45">
        <v>11735.21</v>
      </c>
      <c r="X45">
        <v>84</v>
      </c>
      <c r="Y45">
        <v>8713.14</v>
      </c>
      <c r="Z45">
        <v>56</v>
      </c>
      <c r="AA45">
        <v>4083.08</v>
      </c>
      <c r="AB45">
        <v>30</v>
      </c>
      <c r="AC45">
        <v>3502.07</v>
      </c>
      <c r="AD45">
        <v>22</v>
      </c>
      <c r="AE45" s="4">
        <v>3856.06</v>
      </c>
      <c r="AF45" s="4">
        <v>32</v>
      </c>
      <c r="AG45" s="4">
        <v>6817.12</v>
      </c>
      <c r="AH45" s="4">
        <v>51</v>
      </c>
      <c r="AI45" s="4">
        <v>7935.12</v>
      </c>
      <c r="AJ45" s="4">
        <v>59</v>
      </c>
      <c r="AK45" s="4">
        <v>8537.11</v>
      </c>
      <c r="AL45" s="4">
        <v>69</v>
      </c>
      <c r="AM45" s="4">
        <v>5886.13</v>
      </c>
      <c r="AN45" s="4">
        <v>49</v>
      </c>
      <c r="AO45" s="4">
        <v>6015.1</v>
      </c>
      <c r="AP45" s="4">
        <v>41</v>
      </c>
      <c r="AQ45" s="4">
        <v>3783.07</v>
      </c>
      <c r="AR45" s="4">
        <v>29</v>
      </c>
      <c r="AS45" s="4">
        <v>3275.07</v>
      </c>
      <c r="AT45" s="4">
        <v>28</v>
      </c>
      <c r="AU45" s="4">
        <v>6031.06</v>
      </c>
      <c r="AV45" s="4">
        <v>34</v>
      </c>
      <c r="AW45" s="4">
        <v>5253.88</v>
      </c>
      <c r="AX45" s="4">
        <v>43</v>
      </c>
      <c r="AY45" s="4">
        <v>11244.53</v>
      </c>
      <c r="AZ45" s="4">
        <v>70</v>
      </c>
      <c r="BA45" s="4">
        <v>6394.62</v>
      </c>
      <c r="BB45" s="4">
        <v>45</v>
      </c>
      <c r="BC45">
        <v>7331.69</v>
      </c>
      <c r="BD45">
        <v>39</v>
      </c>
      <c r="BE45">
        <v>5635.38</v>
      </c>
      <c r="BF45">
        <v>34</v>
      </c>
      <c r="BQ45" s="3">
        <f t="shared" si="3"/>
        <v>193010.85000000003</v>
      </c>
      <c r="BR45" s="3">
        <f t="shared" si="1"/>
        <v>1386</v>
      </c>
    </row>
    <row r="46" spans="1:70" x14ac:dyDescent="0.25">
      <c r="A46" s="1" t="s">
        <v>123</v>
      </c>
      <c r="B46" s="1" t="s">
        <v>1330</v>
      </c>
      <c r="C46" s="1" t="s">
        <v>138</v>
      </c>
      <c r="D46" s="1" t="s">
        <v>128</v>
      </c>
      <c r="E46" s="211">
        <v>46240</v>
      </c>
      <c r="F46" s="212" t="str">
        <f t="shared" ca="1" si="2"/>
        <v>0y 2m</v>
      </c>
      <c r="G46">
        <v>8251.17</v>
      </c>
      <c r="H46">
        <v>62</v>
      </c>
      <c r="I46">
        <v>8796.1200000000008</v>
      </c>
      <c r="J46">
        <v>56</v>
      </c>
      <c r="K46">
        <v>10081.18</v>
      </c>
      <c r="L46">
        <v>77</v>
      </c>
      <c r="M46">
        <v>6133.11</v>
      </c>
      <c r="N46">
        <v>47</v>
      </c>
      <c r="O46">
        <v>8770.1200000000008</v>
      </c>
      <c r="P46">
        <v>46</v>
      </c>
      <c r="Q46">
        <v>7600.3</v>
      </c>
      <c r="R46">
        <v>35</v>
      </c>
      <c r="S46">
        <v>5434.13</v>
      </c>
      <c r="T46">
        <v>30</v>
      </c>
      <c r="U46">
        <v>4337.1099999999997</v>
      </c>
      <c r="V46">
        <v>28</v>
      </c>
      <c r="W46">
        <v>5316.18</v>
      </c>
      <c r="X46">
        <v>35</v>
      </c>
      <c r="Y46">
        <v>5587.1</v>
      </c>
      <c r="Z46">
        <v>40</v>
      </c>
      <c r="AA46">
        <v>5309.15</v>
      </c>
      <c r="AB46">
        <v>33</v>
      </c>
      <c r="AC46">
        <v>3642.08</v>
      </c>
      <c r="AD46">
        <v>17</v>
      </c>
      <c r="AE46" s="4">
        <v>2643.07</v>
      </c>
      <c r="AF46" s="4">
        <v>17</v>
      </c>
      <c r="AG46" s="4">
        <v>5088.08</v>
      </c>
      <c r="AH46" s="4">
        <v>30</v>
      </c>
      <c r="AI46" s="4">
        <v>3214.05</v>
      </c>
      <c r="AJ46" s="4">
        <v>19</v>
      </c>
      <c r="AK46" s="4">
        <v>6779.13</v>
      </c>
      <c r="AL46" s="4">
        <v>38</v>
      </c>
      <c r="AM46" s="4">
        <v>6451.04</v>
      </c>
      <c r="AN46" s="4">
        <v>36</v>
      </c>
      <c r="AO46" s="4">
        <v>2302.04</v>
      </c>
      <c r="AP46" s="4">
        <v>13</v>
      </c>
      <c r="AQ46" s="4">
        <v>2847.06</v>
      </c>
      <c r="AR46" s="4">
        <v>24</v>
      </c>
      <c r="AS46" s="4">
        <v>3839.04</v>
      </c>
      <c r="AT46" s="4">
        <v>25</v>
      </c>
      <c r="AU46" s="4">
        <v>2706.06</v>
      </c>
      <c r="AV46" s="4">
        <v>16</v>
      </c>
      <c r="AW46" s="4">
        <v>4298.88</v>
      </c>
      <c r="AX46" s="4">
        <v>22</v>
      </c>
      <c r="AY46" s="4">
        <v>3348.72</v>
      </c>
      <c r="AZ46" s="4">
        <v>18</v>
      </c>
      <c r="BA46" s="4">
        <v>5045.67</v>
      </c>
      <c r="BB46" s="4">
        <v>25</v>
      </c>
      <c r="BC46">
        <v>4199.7700000000004</v>
      </c>
      <c r="BD46">
        <v>22</v>
      </c>
      <c r="BE46">
        <v>3871.26</v>
      </c>
      <c r="BF46">
        <v>21</v>
      </c>
      <c r="BQ46" s="3">
        <f t="shared" si="3"/>
        <v>135891.62</v>
      </c>
      <c r="BR46" s="3">
        <f t="shared" si="1"/>
        <v>832</v>
      </c>
    </row>
    <row r="47" spans="1:70" x14ac:dyDescent="0.25">
      <c r="A47" s="1" t="s">
        <v>91</v>
      </c>
      <c r="B47" s="1" t="s">
        <v>1330</v>
      </c>
      <c r="C47" s="1" t="s">
        <v>142</v>
      </c>
      <c r="D47" s="1" t="s">
        <v>132</v>
      </c>
      <c r="E47" s="211">
        <v>46013</v>
      </c>
      <c r="F47" s="212" t="str">
        <f t="shared" ca="1" si="2"/>
        <v>0y 10m</v>
      </c>
      <c r="G47">
        <v>1822.03</v>
      </c>
      <c r="H47">
        <v>13</v>
      </c>
      <c r="I47">
        <v>5841.17</v>
      </c>
      <c r="J47">
        <v>41</v>
      </c>
      <c r="K47">
        <v>6259.18</v>
      </c>
      <c r="L47">
        <v>37</v>
      </c>
      <c r="M47">
        <v>3194.03</v>
      </c>
      <c r="N47">
        <v>29</v>
      </c>
      <c r="O47">
        <v>3329.08</v>
      </c>
      <c r="P47">
        <v>14</v>
      </c>
      <c r="Q47">
        <v>2800.03</v>
      </c>
      <c r="R47">
        <v>16</v>
      </c>
      <c r="S47">
        <v>2916.02</v>
      </c>
      <c r="T47">
        <v>21</v>
      </c>
      <c r="U47">
        <v>4030.05</v>
      </c>
      <c r="V47">
        <v>24</v>
      </c>
      <c r="W47">
        <v>3198.01</v>
      </c>
      <c r="X47">
        <v>16</v>
      </c>
      <c r="Y47">
        <v>2353</v>
      </c>
      <c r="Z47">
        <v>14</v>
      </c>
      <c r="AA47">
        <v>2159.0100000000002</v>
      </c>
      <c r="AB47">
        <v>11</v>
      </c>
      <c r="AC47">
        <v>2154.0100000000002</v>
      </c>
      <c r="AD47">
        <v>12</v>
      </c>
      <c r="AE47" s="4">
        <v>2495</v>
      </c>
      <c r="AF47" s="4">
        <v>10</v>
      </c>
      <c r="AG47" s="4">
        <v>3657.01</v>
      </c>
      <c r="AH47" s="4">
        <v>17</v>
      </c>
      <c r="AI47" s="4">
        <v>3661</v>
      </c>
      <c r="AJ47" s="4">
        <v>19</v>
      </c>
      <c r="AK47" s="4">
        <v>2375.0300000000002</v>
      </c>
      <c r="AL47" s="4">
        <v>14</v>
      </c>
      <c r="AM47" s="4">
        <v>446</v>
      </c>
      <c r="AN47" s="4">
        <v>4</v>
      </c>
      <c r="AO47" s="4">
        <v>3335.02</v>
      </c>
      <c r="AP47" s="4">
        <v>12</v>
      </c>
      <c r="AQ47" s="4">
        <v>2087.0300000000002</v>
      </c>
      <c r="AR47" s="4">
        <v>13</v>
      </c>
      <c r="AS47" s="4">
        <v>1583.02</v>
      </c>
      <c r="AT47" s="4">
        <v>11</v>
      </c>
      <c r="AU47" s="4">
        <v>3149.02</v>
      </c>
      <c r="AV47" s="4">
        <v>21</v>
      </c>
      <c r="AW47" s="4">
        <v>2426.9299999999998</v>
      </c>
      <c r="AX47" s="4">
        <v>10</v>
      </c>
      <c r="AY47" s="4">
        <v>1619.9</v>
      </c>
      <c r="AZ47" s="4">
        <v>6</v>
      </c>
      <c r="BA47" s="4">
        <v>2354.92</v>
      </c>
      <c r="BB47" s="4">
        <v>7</v>
      </c>
      <c r="BC47">
        <v>2688</v>
      </c>
      <c r="BD47">
        <v>10</v>
      </c>
      <c r="BE47">
        <v>1832.12</v>
      </c>
      <c r="BF47">
        <v>4</v>
      </c>
      <c r="BQ47" s="3">
        <f t="shared" si="3"/>
        <v>73765.619999999981</v>
      </c>
      <c r="BR47" s="3">
        <f t="shared" si="1"/>
        <v>406</v>
      </c>
    </row>
    <row r="48" spans="1:70" x14ac:dyDescent="0.25">
      <c r="A48" s="1" t="s">
        <v>79</v>
      </c>
      <c r="B48" s="1" t="s">
        <v>1330</v>
      </c>
      <c r="C48" s="1" t="s">
        <v>149</v>
      </c>
      <c r="D48" s="1" t="s">
        <v>127</v>
      </c>
      <c r="E48" s="211">
        <v>45945</v>
      </c>
      <c r="F48" s="212" t="str">
        <f t="shared" ca="1" si="2"/>
        <v>1y 0m</v>
      </c>
      <c r="G48">
        <v>6281.08</v>
      </c>
      <c r="H48">
        <v>51</v>
      </c>
      <c r="I48">
        <v>5416.15</v>
      </c>
      <c r="J48">
        <v>33</v>
      </c>
      <c r="K48">
        <v>4390.13</v>
      </c>
      <c r="L48">
        <v>34</v>
      </c>
      <c r="M48">
        <v>5121.0600000000004</v>
      </c>
      <c r="N48">
        <v>41</v>
      </c>
      <c r="O48">
        <v>4008.08</v>
      </c>
      <c r="P48">
        <v>31</v>
      </c>
      <c r="Q48">
        <v>3952</v>
      </c>
      <c r="R48">
        <v>25</v>
      </c>
      <c r="S48">
        <v>3949.1</v>
      </c>
      <c r="T48">
        <v>23</v>
      </c>
      <c r="U48">
        <v>2375.02</v>
      </c>
      <c r="V48">
        <v>22</v>
      </c>
      <c r="W48">
        <v>2987.04</v>
      </c>
      <c r="X48">
        <v>22</v>
      </c>
      <c r="Y48">
        <v>1783.01</v>
      </c>
      <c r="Z48">
        <v>12</v>
      </c>
      <c r="AA48">
        <v>8786.18</v>
      </c>
      <c r="AB48">
        <v>28</v>
      </c>
      <c r="AC48">
        <v>2006.04</v>
      </c>
      <c r="AD48">
        <v>16</v>
      </c>
      <c r="AE48" s="4">
        <v>2489.04</v>
      </c>
      <c r="AF48" s="4">
        <v>16</v>
      </c>
      <c r="AG48" s="4">
        <v>2240.08</v>
      </c>
      <c r="AH48" s="4">
        <v>17</v>
      </c>
      <c r="AI48" s="4">
        <v>3016.02</v>
      </c>
      <c r="AJ48" s="4">
        <v>16</v>
      </c>
      <c r="AK48" s="4">
        <v>2618.04</v>
      </c>
      <c r="AL48" s="4">
        <v>18</v>
      </c>
      <c r="AM48" s="4">
        <v>4962.05</v>
      </c>
      <c r="AN48" s="4">
        <v>24</v>
      </c>
      <c r="AO48" s="4">
        <v>3397.05</v>
      </c>
      <c r="AP48" s="4">
        <v>16</v>
      </c>
      <c r="AQ48" s="4">
        <v>2282.04</v>
      </c>
      <c r="AR48" s="4">
        <v>15</v>
      </c>
      <c r="AS48" s="4">
        <v>2768.09</v>
      </c>
      <c r="AT48" s="4">
        <v>20</v>
      </c>
      <c r="AU48" s="4">
        <v>2670.04</v>
      </c>
      <c r="AV48" s="4">
        <v>18</v>
      </c>
      <c r="AW48" s="4">
        <v>3130.93</v>
      </c>
      <c r="AX48" s="4">
        <v>12</v>
      </c>
      <c r="AY48" s="4">
        <v>2381.89</v>
      </c>
      <c r="AZ48" s="4">
        <v>11</v>
      </c>
      <c r="BA48" s="4">
        <v>2408.88</v>
      </c>
      <c r="BB48" s="4">
        <v>15</v>
      </c>
      <c r="BC48">
        <v>2536.9299999999998</v>
      </c>
      <c r="BD48">
        <v>19</v>
      </c>
      <c r="BE48">
        <v>2446.15</v>
      </c>
      <c r="BF48">
        <v>17</v>
      </c>
      <c r="BQ48" s="3">
        <f t="shared" si="3"/>
        <v>90402.119999999966</v>
      </c>
      <c r="BR48" s="3">
        <f t="shared" si="1"/>
        <v>572</v>
      </c>
    </row>
    <row r="49" spans="1:70" x14ac:dyDescent="0.25">
      <c r="A49" s="1" t="s">
        <v>37</v>
      </c>
      <c r="B49" s="1" t="s">
        <v>1330</v>
      </c>
      <c r="C49" s="1" t="s">
        <v>150</v>
      </c>
      <c r="D49" s="1" t="s">
        <v>133</v>
      </c>
      <c r="E49" s="211">
        <v>45706</v>
      </c>
      <c r="F49" s="212" t="str">
        <f t="shared" ca="1" si="2"/>
        <v>1y 8m</v>
      </c>
      <c r="G49">
        <v>20382.560000000001</v>
      </c>
      <c r="H49">
        <v>149</v>
      </c>
      <c r="I49">
        <v>22609.62</v>
      </c>
      <c r="J49">
        <v>156</v>
      </c>
      <c r="K49">
        <v>13652.34</v>
      </c>
      <c r="L49">
        <v>93</v>
      </c>
      <c r="M49">
        <v>13971.34</v>
      </c>
      <c r="N49">
        <v>92</v>
      </c>
      <c r="O49">
        <v>10320.219999999999</v>
      </c>
      <c r="P49">
        <v>67</v>
      </c>
      <c r="Q49">
        <v>8188.27</v>
      </c>
      <c r="R49">
        <v>55</v>
      </c>
      <c r="S49">
        <v>8961.19</v>
      </c>
      <c r="T49">
        <v>64</v>
      </c>
      <c r="U49">
        <v>9894.17</v>
      </c>
      <c r="V49">
        <v>65</v>
      </c>
      <c r="W49">
        <v>6934.21</v>
      </c>
      <c r="X49">
        <v>54</v>
      </c>
      <c r="Y49">
        <v>5641.15</v>
      </c>
      <c r="Z49">
        <v>40</v>
      </c>
      <c r="AA49">
        <v>4117.09</v>
      </c>
      <c r="AB49">
        <v>32</v>
      </c>
      <c r="AC49">
        <v>5865.11</v>
      </c>
      <c r="AD49">
        <v>36</v>
      </c>
      <c r="AE49" s="4">
        <v>6719.16</v>
      </c>
      <c r="AF49" s="4">
        <v>39</v>
      </c>
      <c r="AG49" s="4">
        <v>6551.22</v>
      </c>
      <c r="AH49" s="4">
        <v>46</v>
      </c>
      <c r="AI49" s="4">
        <v>6134.13</v>
      </c>
      <c r="AJ49" s="4">
        <v>46</v>
      </c>
      <c r="AK49" s="4">
        <v>7577.18</v>
      </c>
      <c r="AL49" s="4">
        <v>52</v>
      </c>
      <c r="AM49" s="4">
        <v>4006.04</v>
      </c>
      <c r="AN49" s="4">
        <v>32</v>
      </c>
      <c r="AO49" s="4">
        <v>2725.03</v>
      </c>
      <c r="AP49" s="4">
        <v>20</v>
      </c>
      <c r="AQ49" s="4">
        <v>3514.02</v>
      </c>
      <c r="AR49" s="4">
        <v>28</v>
      </c>
      <c r="AS49" s="4">
        <v>5395.04</v>
      </c>
      <c r="AT49" s="4">
        <v>33</v>
      </c>
      <c r="AU49" s="4">
        <v>5732.09</v>
      </c>
      <c r="AV49" s="4">
        <v>40</v>
      </c>
      <c r="AW49" s="4">
        <v>6599.75</v>
      </c>
      <c r="AX49" s="4">
        <v>46</v>
      </c>
      <c r="AY49" s="4">
        <v>8088.43</v>
      </c>
      <c r="AZ49" s="4">
        <v>51</v>
      </c>
      <c r="BA49" s="4">
        <v>7405.6900000000014</v>
      </c>
      <c r="BB49" s="4">
        <v>39</v>
      </c>
      <c r="BC49">
        <v>7524.93</v>
      </c>
      <c r="BD49">
        <v>39</v>
      </c>
      <c r="BE49">
        <v>5487.36</v>
      </c>
      <c r="BF49">
        <v>38</v>
      </c>
      <c r="BQ49" s="3">
        <f t="shared" si="3"/>
        <v>213997.33999999997</v>
      </c>
      <c r="BR49" s="3">
        <f t="shared" si="1"/>
        <v>1452</v>
      </c>
    </row>
    <row r="50" spans="1:70" x14ac:dyDescent="0.25">
      <c r="A50" s="1" t="s">
        <v>85</v>
      </c>
      <c r="B50" s="1" t="s">
        <v>1330</v>
      </c>
      <c r="C50" s="1" t="s">
        <v>151</v>
      </c>
      <c r="D50" s="1" t="s">
        <v>126</v>
      </c>
      <c r="E50" s="211">
        <v>46038</v>
      </c>
      <c r="F50" s="212" t="str">
        <f t="shared" ca="1" si="2"/>
        <v>0y 9m</v>
      </c>
      <c r="G50">
        <v>7228.1</v>
      </c>
      <c r="H50">
        <v>67</v>
      </c>
      <c r="I50">
        <v>6717.04</v>
      </c>
      <c r="J50">
        <v>48</v>
      </c>
      <c r="K50">
        <v>8926.0400000000009</v>
      </c>
      <c r="L50">
        <v>39</v>
      </c>
      <c r="M50">
        <v>3193.08</v>
      </c>
      <c r="N50">
        <v>18</v>
      </c>
      <c r="O50">
        <v>4863.1000000000004</v>
      </c>
      <c r="P50">
        <v>19</v>
      </c>
      <c r="Q50">
        <v>2134.0500000000002</v>
      </c>
      <c r="R50">
        <v>23</v>
      </c>
      <c r="S50">
        <v>3919.14</v>
      </c>
      <c r="T50">
        <v>24</v>
      </c>
      <c r="U50">
        <v>3951.13</v>
      </c>
      <c r="V50">
        <v>20</v>
      </c>
      <c r="W50">
        <v>5038.08</v>
      </c>
      <c r="X50">
        <v>25</v>
      </c>
      <c r="Y50">
        <v>4439.08</v>
      </c>
      <c r="Z50">
        <v>29</v>
      </c>
      <c r="AA50">
        <v>2108.0500000000002</v>
      </c>
      <c r="AB50">
        <v>13</v>
      </c>
      <c r="AC50">
        <v>2037</v>
      </c>
      <c r="AD50">
        <v>13</v>
      </c>
      <c r="AE50" s="4">
        <v>2243.0300000000002</v>
      </c>
      <c r="AF50" s="4">
        <v>9</v>
      </c>
      <c r="AG50" s="4">
        <v>4015.03</v>
      </c>
      <c r="AH50" s="4">
        <v>19</v>
      </c>
      <c r="AI50" s="4">
        <v>2916.06</v>
      </c>
      <c r="AJ50" s="4">
        <v>21</v>
      </c>
      <c r="AK50" s="4">
        <v>8291.11</v>
      </c>
      <c r="AL50" s="4">
        <v>38</v>
      </c>
      <c r="AM50" s="4">
        <v>4118.0600000000004</v>
      </c>
      <c r="AN50" s="4">
        <v>21</v>
      </c>
      <c r="AO50" s="4">
        <v>2027.07</v>
      </c>
      <c r="AP50" s="4">
        <v>13</v>
      </c>
      <c r="AQ50" s="4">
        <v>1719.01</v>
      </c>
      <c r="AR50" s="4">
        <v>15</v>
      </c>
      <c r="AS50" s="4">
        <v>1572.01</v>
      </c>
      <c r="AT50" s="4">
        <v>17</v>
      </c>
      <c r="AU50" s="4">
        <v>3483.01</v>
      </c>
      <c r="AV50" s="4">
        <v>23</v>
      </c>
      <c r="AW50" s="4">
        <v>4242.8599999999997</v>
      </c>
      <c r="AX50" s="4">
        <v>23</v>
      </c>
      <c r="AY50" s="4">
        <v>5453.66</v>
      </c>
      <c r="AZ50" s="4">
        <v>31</v>
      </c>
      <c r="BA50" s="4">
        <v>4269.84</v>
      </c>
      <c r="BB50" s="4">
        <v>27</v>
      </c>
      <c r="BC50">
        <v>1620</v>
      </c>
      <c r="BD50">
        <v>12</v>
      </c>
      <c r="BE50">
        <v>2678.16</v>
      </c>
      <c r="BF50">
        <v>14</v>
      </c>
      <c r="BQ50" s="3">
        <f t="shared" si="3"/>
        <v>103202.79999999999</v>
      </c>
      <c r="BR50" s="3">
        <f t="shared" si="1"/>
        <v>621</v>
      </c>
    </row>
    <row r="51" spans="1:70" x14ac:dyDescent="0.25">
      <c r="A51" s="1" t="s">
        <v>73</v>
      </c>
      <c r="B51" s="1" t="s">
        <v>1330</v>
      </c>
      <c r="C51" s="1" t="s">
        <v>146</v>
      </c>
      <c r="D51" s="1" t="s">
        <v>126</v>
      </c>
      <c r="E51" s="211">
        <v>45931</v>
      </c>
      <c r="F51" s="212" t="str">
        <f t="shared" ca="1" si="2"/>
        <v>1y 0m</v>
      </c>
      <c r="G51">
        <v>9409.15</v>
      </c>
      <c r="H51">
        <v>69</v>
      </c>
      <c r="I51">
        <v>10076.209999999999</v>
      </c>
      <c r="J51">
        <v>76</v>
      </c>
      <c r="K51">
        <v>7914.1500000000005</v>
      </c>
      <c r="L51">
        <v>53</v>
      </c>
      <c r="M51">
        <v>7695.17</v>
      </c>
      <c r="N51">
        <v>53</v>
      </c>
      <c r="O51">
        <v>7246.1100000000006</v>
      </c>
      <c r="P51">
        <v>43</v>
      </c>
      <c r="Q51">
        <v>3577.09</v>
      </c>
      <c r="R51">
        <v>26</v>
      </c>
      <c r="S51">
        <v>8438.14</v>
      </c>
      <c r="T51">
        <v>42</v>
      </c>
      <c r="U51">
        <v>4996.1099999999997</v>
      </c>
      <c r="V51">
        <v>37</v>
      </c>
      <c r="W51">
        <v>7774.14</v>
      </c>
      <c r="X51">
        <v>55</v>
      </c>
      <c r="Y51">
        <v>5147.1000000000004</v>
      </c>
      <c r="Z51">
        <v>33</v>
      </c>
      <c r="AA51">
        <v>2617.0300000000002</v>
      </c>
      <c r="AB51">
        <v>20</v>
      </c>
      <c r="AC51">
        <v>3752.03</v>
      </c>
      <c r="AD51">
        <v>21</v>
      </c>
      <c r="AE51" s="4">
        <v>3074.11</v>
      </c>
      <c r="AF51" s="4">
        <v>22</v>
      </c>
      <c r="AG51" s="4">
        <v>4134.12</v>
      </c>
      <c r="AH51" s="4">
        <v>24</v>
      </c>
      <c r="AI51" s="4">
        <v>4464.0200000000004</v>
      </c>
      <c r="AJ51" s="4">
        <v>36</v>
      </c>
      <c r="AK51" s="4">
        <v>5500.11</v>
      </c>
      <c r="AL51" s="4">
        <v>37</v>
      </c>
      <c r="AM51" s="4">
        <v>7000.08</v>
      </c>
      <c r="AN51" s="4">
        <v>45</v>
      </c>
      <c r="AO51" s="4">
        <v>1879.02</v>
      </c>
      <c r="AP51" s="4">
        <v>15</v>
      </c>
      <c r="AQ51" s="4">
        <v>3916.03</v>
      </c>
      <c r="AR51" s="4">
        <v>25</v>
      </c>
      <c r="AS51" s="4">
        <v>3326.06</v>
      </c>
      <c r="AT51" s="4">
        <v>21</v>
      </c>
      <c r="AU51" s="4">
        <v>3068.02</v>
      </c>
      <c r="AV51" s="4">
        <v>21</v>
      </c>
      <c r="AW51" s="4">
        <v>3657.96</v>
      </c>
      <c r="AX51" s="4">
        <v>22</v>
      </c>
      <c r="AY51" s="4">
        <v>4898.7</v>
      </c>
      <c r="AZ51" s="4">
        <v>32</v>
      </c>
      <c r="BA51" s="4">
        <v>5805.68</v>
      </c>
      <c r="BB51" s="4">
        <v>41</v>
      </c>
      <c r="BC51">
        <v>2863.84</v>
      </c>
      <c r="BD51">
        <v>19</v>
      </c>
      <c r="BE51">
        <v>4196.24</v>
      </c>
      <c r="BF51">
        <v>31</v>
      </c>
      <c r="BQ51" s="3">
        <f t="shared" si="3"/>
        <v>136426.42000000001</v>
      </c>
      <c r="BR51" s="3">
        <f t="shared" si="1"/>
        <v>919</v>
      </c>
    </row>
    <row r="52" spans="1:70" x14ac:dyDescent="0.25">
      <c r="A52" s="1" t="s">
        <v>35</v>
      </c>
      <c r="B52" s="1" t="s">
        <v>1330</v>
      </c>
      <c r="C52" s="1" t="s">
        <v>148</v>
      </c>
      <c r="D52" s="1" t="s">
        <v>126</v>
      </c>
      <c r="E52" s="211">
        <v>45703</v>
      </c>
      <c r="F52" s="212" t="str">
        <f t="shared" ca="1" si="2"/>
        <v>1y 8m</v>
      </c>
      <c r="G52">
        <v>9673.2000000000007</v>
      </c>
      <c r="H52">
        <v>82</v>
      </c>
      <c r="I52">
        <v>10166.15</v>
      </c>
      <c r="J52">
        <v>93</v>
      </c>
      <c r="K52">
        <v>8226.18</v>
      </c>
      <c r="L52">
        <v>66</v>
      </c>
      <c r="M52">
        <v>4939.09</v>
      </c>
      <c r="N52">
        <v>32</v>
      </c>
      <c r="O52">
        <v>5999.1</v>
      </c>
      <c r="P52">
        <v>43</v>
      </c>
      <c r="Q52">
        <v>4502.09</v>
      </c>
      <c r="R52">
        <v>33</v>
      </c>
      <c r="S52">
        <v>8585.1299999999992</v>
      </c>
      <c r="T52">
        <v>55</v>
      </c>
      <c r="U52">
        <v>8217.16</v>
      </c>
      <c r="V52">
        <v>63</v>
      </c>
      <c r="W52">
        <v>10063.24</v>
      </c>
      <c r="X52">
        <v>79</v>
      </c>
      <c r="Y52">
        <v>8007.13</v>
      </c>
      <c r="Z52">
        <v>49</v>
      </c>
      <c r="AA52">
        <v>5773.08</v>
      </c>
      <c r="AB52">
        <v>36</v>
      </c>
      <c r="AC52">
        <v>2958.1</v>
      </c>
      <c r="AD52">
        <v>28</v>
      </c>
      <c r="AE52" s="4">
        <v>4051.08</v>
      </c>
      <c r="AF52" s="4">
        <v>31</v>
      </c>
      <c r="AG52" s="4">
        <v>4578.08</v>
      </c>
      <c r="AH52" s="4">
        <v>37</v>
      </c>
      <c r="AI52" s="4">
        <v>4991.03</v>
      </c>
      <c r="AJ52" s="4">
        <v>38</v>
      </c>
      <c r="AK52" s="4">
        <v>7741.13</v>
      </c>
      <c r="AL52" s="4">
        <v>59</v>
      </c>
      <c r="AM52" s="4">
        <v>7462.07</v>
      </c>
      <c r="AN52" s="4">
        <v>44</v>
      </c>
      <c r="AO52" s="4">
        <v>5395.03</v>
      </c>
      <c r="AP52" s="4">
        <v>34</v>
      </c>
      <c r="AQ52" s="4">
        <v>4373.0600000000004</v>
      </c>
      <c r="AR52" s="4">
        <v>32</v>
      </c>
      <c r="AS52" s="4">
        <v>4702.13</v>
      </c>
      <c r="AT52" s="4">
        <v>35</v>
      </c>
      <c r="AU52" s="4">
        <v>4361.07</v>
      </c>
      <c r="AV52" s="4">
        <v>33</v>
      </c>
      <c r="AW52" s="4">
        <v>6860.83</v>
      </c>
      <c r="AX52" s="4">
        <v>49</v>
      </c>
      <c r="AY52" s="4">
        <v>6316.74</v>
      </c>
      <c r="AZ52" s="4">
        <v>47</v>
      </c>
      <c r="BA52" s="4">
        <v>7726.49</v>
      </c>
      <c r="BB52" s="4">
        <v>39</v>
      </c>
      <c r="BC52">
        <v>5192.7</v>
      </c>
      <c r="BD52">
        <v>34</v>
      </c>
      <c r="BE52">
        <v>6171.38</v>
      </c>
      <c r="BF52">
        <v>42</v>
      </c>
      <c r="BQ52" s="3">
        <f t="shared" si="3"/>
        <v>167032.47</v>
      </c>
      <c r="BR52" s="3">
        <f t="shared" si="1"/>
        <v>1213</v>
      </c>
    </row>
    <row r="53" spans="1:70" x14ac:dyDescent="0.25">
      <c r="A53" s="1" t="s">
        <v>12</v>
      </c>
      <c r="B53" s="1" t="s">
        <v>1330</v>
      </c>
      <c r="C53" s="1" t="s">
        <v>145</v>
      </c>
      <c r="D53" s="1" t="s">
        <v>127</v>
      </c>
      <c r="E53" s="211">
        <v>45477</v>
      </c>
      <c r="F53" s="212" t="str">
        <f t="shared" ca="1" si="2"/>
        <v>2y 3m</v>
      </c>
      <c r="G53">
        <v>19906.45</v>
      </c>
      <c r="H53">
        <v>137</v>
      </c>
      <c r="I53">
        <v>28595.599999999999</v>
      </c>
      <c r="J53">
        <v>182</v>
      </c>
      <c r="K53">
        <v>21883.41</v>
      </c>
      <c r="L53">
        <v>138</v>
      </c>
      <c r="M53">
        <v>16909.240000000002</v>
      </c>
      <c r="N53">
        <v>97</v>
      </c>
      <c r="O53">
        <v>18314.310000000001</v>
      </c>
      <c r="P53">
        <v>90</v>
      </c>
      <c r="Q53">
        <v>11767.21</v>
      </c>
      <c r="R53">
        <v>74</v>
      </c>
      <c r="S53">
        <v>14578.2</v>
      </c>
      <c r="T53">
        <v>75</v>
      </c>
      <c r="U53">
        <v>11846.3</v>
      </c>
      <c r="V53">
        <v>81</v>
      </c>
      <c r="W53">
        <v>15175.44</v>
      </c>
      <c r="X53">
        <v>96</v>
      </c>
      <c r="Y53">
        <v>15147.22</v>
      </c>
      <c r="Z53">
        <v>85</v>
      </c>
      <c r="AA53">
        <v>15987.9</v>
      </c>
      <c r="AB53">
        <v>53</v>
      </c>
      <c r="AC53">
        <v>15371.98</v>
      </c>
      <c r="AD53">
        <v>60</v>
      </c>
      <c r="AE53" s="4">
        <v>6157.13</v>
      </c>
      <c r="AF53" s="4">
        <v>42</v>
      </c>
      <c r="AG53" s="4">
        <v>8679.16</v>
      </c>
      <c r="AH53" s="4">
        <v>49</v>
      </c>
      <c r="AI53" s="4">
        <v>9797.16</v>
      </c>
      <c r="AJ53" s="4">
        <v>60</v>
      </c>
      <c r="AK53" s="4">
        <v>12907.24</v>
      </c>
      <c r="AL53" s="4">
        <v>68</v>
      </c>
      <c r="AM53" s="4">
        <v>12741.14</v>
      </c>
      <c r="AN53" s="4">
        <v>75</v>
      </c>
      <c r="AO53" s="4">
        <v>9419.1299999999992</v>
      </c>
      <c r="AP53" s="4">
        <v>48</v>
      </c>
      <c r="AQ53" s="4">
        <v>8083.21</v>
      </c>
      <c r="AR53" s="4">
        <v>69</v>
      </c>
      <c r="AS53" s="4">
        <v>6648.12</v>
      </c>
      <c r="AT53" s="4">
        <v>35</v>
      </c>
      <c r="AU53" s="4">
        <v>8426.1</v>
      </c>
      <c r="AV53" s="4">
        <v>55</v>
      </c>
      <c r="AW53" s="4">
        <v>9620.34</v>
      </c>
      <c r="AX53" s="4">
        <v>54</v>
      </c>
      <c r="AY53" s="4">
        <v>14772.19</v>
      </c>
      <c r="AZ53" s="4">
        <v>71</v>
      </c>
      <c r="BA53" s="4">
        <v>14659.03</v>
      </c>
      <c r="BB53" s="4">
        <v>61</v>
      </c>
      <c r="BC53">
        <v>8487.44</v>
      </c>
      <c r="BD53">
        <v>47</v>
      </c>
      <c r="BE53">
        <v>11978.86</v>
      </c>
      <c r="BF53">
        <v>54</v>
      </c>
      <c r="BQ53" s="3">
        <f t="shared" si="3"/>
        <v>347859.51000000007</v>
      </c>
      <c r="BR53" s="3">
        <f t="shared" si="1"/>
        <v>1956</v>
      </c>
    </row>
    <row r="54" spans="1:70" x14ac:dyDescent="0.25">
      <c r="A54" s="1" t="s">
        <v>115</v>
      </c>
      <c r="B54" s="1" t="s">
        <v>1330</v>
      </c>
      <c r="C54" s="1" t="s">
        <v>142</v>
      </c>
      <c r="D54" s="1" t="s">
        <v>132</v>
      </c>
      <c r="E54" s="211">
        <v>46150</v>
      </c>
      <c r="F54" s="212" t="str">
        <f t="shared" ca="1" si="2"/>
        <v>0y 5m</v>
      </c>
      <c r="G54">
        <v>5342.06</v>
      </c>
      <c r="H54">
        <v>32</v>
      </c>
      <c r="I54">
        <v>5144.21</v>
      </c>
      <c r="J54">
        <v>35</v>
      </c>
      <c r="K54">
        <v>3375.11</v>
      </c>
      <c r="L54">
        <v>20</v>
      </c>
      <c r="M54">
        <v>3258.06</v>
      </c>
      <c r="N54">
        <v>18</v>
      </c>
      <c r="O54">
        <v>3788.05</v>
      </c>
      <c r="P54">
        <v>21</v>
      </c>
      <c r="Q54">
        <v>2589.04</v>
      </c>
      <c r="R54">
        <v>12</v>
      </c>
      <c r="S54">
        <v>2353.02</v>
      </c>
      <c r="T54">
        <v>14</v>
      </c>
      <c r="U54">
        <v>2806.01</v>
      </c>
      <c r="V54">
        <v>15</v>
      </c>
      <c r="W54">
        <v>4282.0600000000004</v>
      </c>
      <c r="X54">
        <v>22</v>
      </c>
      <c r="Y54">
        <v>3118.06</v>
      </c>
      <c r="Z54">
        <v>17</v>
      </c>
      <c r="AA54">
        <v>2284.04</v>
      </c>
      <c r="AB54">
        <v>9</v>
      </c>
      <c r="AC54">
        <v>2200.04</v>
      </c>
      <c r="AD54">
        <v>11</v>
      </c>
      <c r="AE54" s="4">
        <v>2650.06</v>
      </c>
      <c r="AF54" s="4">
        <v>14</v>
      </c>
      <c r="AG54" s="4">
        <v>2679.07</v>
      </c>
      <c r="AH54" s="4">
        <v>12</v>
      </c>
      <c r="AI54" s="4">
        <v>3055.99</v>
      </c>
      <c r="AJ54" s="4">
        <v>13</v>
      </c>
      <c r="AK54" s="4">
        <v>3776.08</v>
      </c>
      <c r="AL54" s="4">
        <v>23</v>
      </c>
      <c r="AM54" s="4">
        <v>2395.04</v>
      </c>
      <c r="AN54" s="4">
        <v>13</v>
      </c>
      <c r="AO54" s="4">
        <v>2718.05</v>
      </c>
      <c r="AP54" s="4">
        <v>13</v>
      </c>
      <c r="AQ54" s="4">
        <v>1937.01</v>
      </c>
      <c r="AR54" s="4">
        <v>13</v>
      </c>
      <c r="AS54" s="4">
        <v>1372.02</v>
      </c>
      <c r="AT54" s="4">
        <v>8</v>
      </c>
      <c r="AU54" s="4">
        <v>2079.02</v>
      </c>
      <c r="AV54" s="4">
        <v>12</v>
      </c>
      <c r="AW54" s="4">
        <v>3069.89</v>
      </c>
      <c r="AX54" s="4">
        <v>21</v>
      </c>
      <c r="AY54" s="4">
        <v>2277.89</v>
      </c>
      <c r="AZ54" s="4">
        <v>11</v>
      </c>
      <c r="BA54" s="4">
        <v>1557.94</v>
      </c>
      <c r="BB54" s="4">
        <v>7</v>
      </c>
      <c r="BC54">
        <v>2026.99</v>
      </c>
      <c r="BD54">
        <v>9</v>
      </c>
      <c r="BE54">
        <v>2753.2</v>
      </c>
      <c r="BF54">
        <v>11</v>
      </c>
      <c r="BQ54" s="3">
        <f t="shared" si="3"/>
        <v>74888.010000000009</v>
      </c>
      <c r="BR54" s="3">
        <f t="shared" si="1"/>
        <v>406</v>
      </c>
    </row>
    <row r="55" spans="1:70" x14ac:dyDescent="0.25">
      <c r="A55" s="1" t="s">
        <v>113</v>
      </c>
      <c r="B55" s="1" t="s">
        <v>1330</v>
      </c>
      <c r="C55" s="1" t="s">
        <v>145</v>
      </c>
      <c r="D55" s="1" t="s">
        <v>131</v>
      </c>
      <c r="E55" s="211">
        <v>46142</v>
      </c>
      <c r="F55" s="212" t="str">
        <f t="shared" ca="1" si="2"/>
        <v>0y 5m</v>
      </c>
      <c r="G55">
        <v>3650.09</v>
      </c>
      <c r="H55">
        <v>35</v>
      </c>
      <c r="I55">
        <v>4878.08</v>
      </c>
      <c r="J55">
        <v>40</v>
      </c>
      <c r="K55">
        <v>3637.04</v>
      </c>
      <c r="L55">
        <v>36</v>
      </c>
      <c r="M55">
        <v>1473.06</v>
      </c>
      <c r="N55">
        <v>13</v>
      </c>
      <c r="O55">
        <v>3023.06</v>
      </c>
      <c r="P55">
        <v>16</v>
      </c>
      <c r="Q55">
        <v>824.99</v>
      </c>
      <c r="R55">
        <v>7</v>
      </c>
      <c r="S55">
        <v>3730.08</v>
      </c>
      <c r="T55">
        <v>21</v>
      </c>
      <c r="U55">
        <v>2161.04</v>
      </c>
      <c r="V55">
        <v>17</v>
      </c>
      <c r="W55">
        <v>5369.1</v>
      </c>
      <c r="X55">
        <v>37</v>
      </c>
      <c r="Y55">
        <v>1471.01</v>
      </c>
      <c r="Z55">
        <v>13</v>
      </c>
      <c r="AA55">
        <v>1647.02</v>
      </c>
      <c r="AB55">
        <v>12</v>
      </c>
      <c r="AC55">
        <v>1559</v>
      </c>
      <c r="AD55">
        <v>11</v>
      </c>
      <c r="AE55" s="4">
        <v>852.99</v>
      </c>
      <c r="AF55" s="4">
        <v>8</v>
      </c>
      <c r="AG55" s="4">
        <v>1318.03</v>
      </c>
      <c r="AH55" s="4">
        <v>8</v>
      </c>
      <c r="AI55" s="4">
        <v>3494.04</v>
      </c>
      <c r="AJ55" s="4">
        <v>25</v>
      </c>
      <c r="AK55" s="4">
        <v>2879.06</v>
      </c>
      <c r="AL55" s="4">
        <v>20</v>
      </c>
      <c r="AM55" s="4">
        <v>1969.01</v>
      </c>
      <c r="AN55" s="4">
        <v>12</v>
      </c>
      <c r="AO55" s="4">
        <v>1184.02</v>
      </c>
      <c r="AP55" s="4">
        <v>8</v>
      </c>
      <c r="AQ55" s="4">
        <v>1339.04</v>
      </c>
      <c r="AR55" s="4">
        <v>12</v>
      </c>
      <c r="AS55" s="4">
        <v>1737.02</v>
      </c>
      <c r="AT55" s="4">
        <v>15</v>
      </c>
      <c r="AU55" s="4">
        <v>1782.04</v>
      </c>
      <c r="AV55" s="4">
        <v>11</v>
      </c>
      <c r="AW55" s="4">
        <v>2347.9</v>
      </c>
      <c r="AX55" s="4">
        <v>18</v>
      </c>
      <c r="AY55" s="4">
        <v>2267.92</v>
      </c>
      <c r="AZ55" s="4">
        <v>17</v>
      </c>
      <c r="BA55" s="4">
        <v>2065.9299999999998</v>
      </c>
      <c r="BB55" s="4">
        <v>15</v>
      </c>
      <c r="BC55">
        <v>981.96</v>
      </c>
      <c r="BD55">
        <v>6</v>
      </c>
      <c r="BE55">
        <v>2002.15</v>
      </c>
      <c r="BF55">
        <v>10</v>
      </c>
      <c r="BQ55" s="3">
        <f t="shared" si="3"/>
        <v>59644.679999999993</v>
      </c>
      <c r="BR55" s="3">
        <f t="shared" si="1"/>
        <v>443</v>
      </c>
    </row>
    <row r="56" spans="1:70" x14ac:dyDescent="0.25">
      <c r="A56" s="1" t="s">
        <v>63</v>
      </c>
      <c r="B56" s="1" t="s">
        <v>1330</v>
      </c>
      <c r="C56" s="1" t="s">
        <v>152</v>
      </c>
      <c r="D56" s="1" t="s">
        <v>126</v>
      </c>
      <c r="E56" s="211">
        <v>45865</v>
      </c>
      <c r="F56" s="212" t="str">
        <f t="shared" ca="1" si="2"/>
        <v>1y 3m</v>
      </c>
      <c r="G56">
        <v>4620.03</v>
      </c>
      <c r="H56">
        <v>26</v>
      </c>
      <c r="I56">
        <v>5121.1099999999997</v>
      </c>
      <c r="J56">
        <v>38</v>
      </c>
      <c r="K56">
        <v>3851.08</v>
      </c>
      <c r="L56">
        <v>22</v>
      </c>
      <c r="M56">
        <v>3125.09</v>
      </c>
      <c r="N56">
        <v>17</v>
      </c>
      <c r="O56">
        <v>3222.02</v>
      </c>
      <c r="P56">
        <v>18</v>
      </c>
      <c r="Q56">
        <v>2850.05</v>
      </c>
      <c r="R56">
        <v>15</v>
      </c>
      <c r="S56">
        <v>6819.23</v>
      </c>
      <c r="T56">
        <v>31</v>
      </c>
      <c r="U56">
        <v>1896.05</v>
      </c>
      <c r="V56">
        <v>10</v>
      </c>
      <c r="W56">
        <v>3180.09</v>
      </c>
      <c r="X56">
        <v>20</v>
      </c>
      <c r="Y56">
        <v>2026.07</v>
      </c>
      <c r="Z56">
        <v>10</v>
      </c>
      <c r="AA56">
        <v>2354.04</v>
      </c>
      <c r="AB56">
        <v>11</v>
      </c>
      <c r="AC56">
        <v>3019.08</v>
      </c>
      <c r="AD56">
        <v>16</v>
      </c>
      <c r="AE56" s="4">
        <v>3822.07</v>
      </c>
      <c r="AF56" s="4">
        <v>17</v>
      </c>
      <c r="AG56" s="4">
        <v>767.02</v>
      </c>
      <c r="AH56" s="4">
        <v>5</v>
      </c>
      <c r="AI56" s="4">
        <v>3545.1</v>
      </c>
      <c r="AJ56" s="4">
        <v>18</v>
      </c>
      <c r="AK56" s="4">
        <v>5534.1</v>
      </c>
      <c r="AL56" s="4">
        <v>22</v>
      </c>
      <c r="AM56" s="4">
        <v>1488.03</v>
      </c>
      <c r="AN56" s="4">
        <v>13</v>
      </c>
      <c r="AO56" s="4">
        <v>1901.1</v>
      </c>
      <c r="AP56" s="4">
        <v>10</v>
      </c>
      <c r="AQ56" s="4">
        <v>1680.03</v>
      </c>
      <c r="AR56" s="4">
        <v>10</v>
      </c>
      <c r="AS56" s="4">
        <v>1209.03</v>
      </c>
      <c r="AT56" s="4">
        <v>8</v>
      </c>
      <c r="AU56" s="4">
        <v>2103.0500000000002</v>
      </c>
      <c r="AV56" s="4">
        <v>11</v>
      </c>
      <c r="AW56" s="4">
        <v>1172.98</v>
      </c>
      <c r="AX56" s="4">
        <v>9</v>
      </c>
      <c r="AY56" s="4">
        <v>3134.92</v>
      </c>
      <c r="AZ56" s="4">
        <v>17</v>
      </c>
      <c r="BA56" s="4">
        <v>435.98</v>
      </c>
      <c r="BB56" s="4">
        <v>3</v>
      </c>
      <c r="BC56">
        <v>3198.83</v>
      </c>
      <c r="BD56">
        <v>10</v>
      </c>
      <c r="BE56">
        <v>2216.12</v>
      </c>
      <c r="BF56">
        <v>8</v>
      </c>
      <c r="BQ56" s="3">
        <f t="shared" si="3"/>
        <v>74292.299999999988</v>
      </c>
      <c r="BR56" s="3">
        <f t="shared" si="1"/>
        <v>395</v>
      </c>
    </row>
    <row r="57" spans="1:70" x14ac:dyDescent="0.25">
      <c r="A57" s="1" t="s">
        <v>16</v>
      </c>
      <c r="B57" s="1" t="s">
        <v>1330</v>
      </c>
      <c r="C57" s="1" t="s">
        <v>138</v>
      </c>
      <c r="D57" s="1" t="s">
        <v>128</v>
      </c>
      <c r="E57" s="211">
        <v>45518</v>
      </c>
      <c r="F57" s="212" t="str">
        <f t="shared" ca="1" si="2"/>
        <v>2y 2m</v>
      </c>
      <c r="G57">
        <v>16200.38</v>
      </c>
      <c r="H57">
        <v>95</v>
      </c>
      <c r="I57">
        <v>10161.24</v>
      </c>
      <c r="J57">
        <v>64</v>
      </c>
      <c r="K57">
        <v>8881.2100000000009</v>
      </c>
      <c r="L57">
        <v>65</v>
      </c>
      <c r="M57">
        <v>10131.1</v>
      </c>
      <c r="N57">
        <v>62</v>
      </c>
      <c r="O57">
        <v>7753.18</v>
      </c>
      <c r="P57">
        <v>55</v>
      </c>
      <c r="Q57">
        <v>7087.15</v>
      </c>
      <c r="R57">
        <v>45</v>
      </c>
      <c r="S57">
        <v>6407.13</v>
      </c>
      <c r="T57">
        <v>44</v>
      </c>
      <c r="U57">
        <v>6390.09</v>
      </c>
      <c r="V57">
        <v>45</v>
      </c>
      <c r="W57">
        <v>7149.06</v>
      </c>
      <c r="X57">
        <v>46</v>
      </c>
      <c r="Y57">
        <v>6040.12</v>
      </c>
      <c r="Z57">
        <v>46</v>
      </c>
      <c r="AA57">
        <v>5469.07</v>
      </c>
      <c r="AB57">
        <v>37</v>
      </c>
      <c r="AC57">
        <v>4025.08</v>
      </c>
      <c r="AD57">
        <v>27</v>
      </c>
      <c r="AE57" s="4">
        <v>5060.12</v>
      </c>
      <c r="AF57" s="4">
        <v>35</v>
      </c>
      <c r="AG57" s="4">
        <v>5139.1400000000003</v>
      </c>
      <c r="AH57" s="4">
        <v>39</v>
      </c>
      <c r="AI57" s="4">
        <v>6196.12</v>
      </c>
      <c r="AJ57" s="4">
        <v>44</v>
      </c>
      <c r="AK57" s="4">
        <v>5224.09</v>
      </c>
      <c r="AL57" s="4">
        <v>36</v>
      </c>
      <c r="AM57" s="4">
        <v>6436.07</v>
      </c>
      <c r="AN57" s="4">
        <v>42</v>
      </c>
      <c r="AO57" s="4">
        <v>2740.03</v>
      </c>
      <c r="AP57" s="4">
        <v>23</v>
      </c>
      <c r="AQ57" s="4">
        <v>4178.0600000000004</v>
      </c>
      <c r="AR57" s="4">
        <v>31</v>
      </c>
      <c r="AS57" s="4">
        <v>5925.17</v>
      </c>
      <c r="AT57" s="4">
        <v>37</v>
      </c>
      <c r="AU57" s="4">
        <v>4765.08</v>
      </c>
      <c r="AV57" s="4">
        <v>29</v>
      </c>
      <c r="AW57" s="4">
        <v>5525.75</v>
      </c>
      <c r="AX57" s="4">
        <v>36</v>
      </c>
      <c r="AY57" s="4">
        <v>5676.73</v>
      </c>
      <c r="AZ57" s="4">
        <v>35</v>
      </c>
      <c r="BA57" s="4">
        <v>5552.78</v>
      </c>
      <c r="BB57" s="4">
        <v>34</v>
      </c>
      <c r="BC57">
        <v>4797.7700000000004</v>
      </c>
      <c r="BD57">
        <v>31</v>
      </c>
      <c r="BE57">
        <v>6959.43</v>
      </c>
      <c r="BF57">
        <v>41</v>
      </c>
      <c r="BQ57" s="3">
        <f t="shared" si="3"/>
        <v>169871.14999999997</v>
      </c>
      <c r="BR57" s="3">
        <f t="shared" si="1"/>
        <v>1124</v>
      </c>
    </row>
    <row r="58" spans="1:70" x14ac:dyDescent="0.25">
      <c r="A58" s="1" t="s">
        <v>26</v>
      </c>
      <c r="B58" s="1" t="s">
        <v>1330</v>
      </c>
      <c r="C58" s="1" t="s">
        <v>145</v>
      </c>
      <c r="D58" s="1" t="s">
        <v>131</v>
      </c>
      <c r="E58" s="211">
        <v>45605</v>
      </c>
      <c r="F58" s="212" t="str">
        <f t="shared" ca="1" si="2"/>
        <v>1y 11m</v>
      </c>
      <c r="G58">
        <v>12648.15</v>
      </c>
      <c r="H58">
        <v>89</v>
      </c>
      <c r="I58">
        <v>21200.35</v>
      </c>
      <c r="J58">
        <v>116</v>
      </c>
      <c r="K58">
        <v>14361.43</v>
      </c>
      <c r="L58">
        <v>92</v>
      </c>
      <c r="M58">
        <v>17367.439999999999</v>
      </c>
      <c r="N58">
        <v>85</v>
      </c>
      <c r="O58">
        <v>12144.25</v>
      </c>
      <c r="P58">
        <v>69</v>
      </c>
      <c r="Q58">
        <v>9794.23</v>
      </c>
      <c r="R58">
        <v>62</v>
      </c>
      <c r="S58">
        <v>9946.17</v>
      </c>
      <c r="T58">
        <v>55</v>
      </c>
      <c r="U58">
        <v>12124.17</v>
      </c>
      <c r="V58">
        <v>64</v>
      </c>
      <c r="W58">
        <v>11572.06</v>
      </c>
      <c r="X58">
        <v>73</v>
      </c>
      <c r="Y58">
        <v>9864.24</v>
      </c>
      <c r="Z58">
        <v>55</v>
      </c>
      <c r="AA58">
        <v>8177.18</v>
      </c>
      <c r="AB58">
        <v>51</v>
      </c>
      <c r="AC58">
        <v>9828.2000000000007</v>
      </c>
      <c r="AD58">
        <v>51</v>
      </c>
      <c r="AE58" s="4">
        <v>7955.2</v>
      </c>
      <c r="AF58" s="4">
        <v>46</v>
      </c>
      <c r="AG58" s="4">
        <v>6920.1</v>
      </c>
      <c r="AH58" s="4">
        <v>42</v>
      </c>
      <c r="AI58" s="4">
        <v>11296.09</v>
      </c>
      <c r="AJ58" s="4">
        <v>54</v>
      </c>
      <c r="AK58" s="4">
        <v>8514.08</v>
      </c>
      <c r="AL58" s="4">
        <v>40</v>
      </c>
      <c r="AM58" s="4">
        <v>10580.12</v>
      </c>
      <c r="AN58" s="4">
        <v>60</v>
      </c>
      <c r="AO58" s="4">
        <v>6693.13</v>
      </c>
      <c r="AP58" s="4">
        <v>34</v>
      </c>
      <c r="AQ58" s="4">
        <v>5810.12</v>
      </c>
      <c r="AR58" s="4">
        <v>23</v>
      </c>
      <c r="AS58" s="4">
        <v>6599.08</v>
      </c>
      <c r="AT58" s="4">
        <v>36</v>
      </c>
      <c r="AU58" s="4">
        <v>6236.15</v>
      </c>
      <c r="AV58" s="4">
        <v>39</v>
      </c>
      <c r="AW58" s="4">
        <v>8171.4</v>
      </c>
      <c r="AX58" s="4">
        <v>41</v>
      </c>
      <c r="AY58" s="4">
        <v>9718.52</v>
      </c>
      <c r="AZ58" s="4">
        <v>45</v>
      </c>
      <c r="BA58" s="4">
        <v>10103.44</v>
      </c>
      <c r="BB58" s="4">
        <v>54</v>
      </c>
      <c r="BC58">
        <v>6160.7</v>
      </c>
      <c r="BD58">
        <v>35</v>
      </c>
      <c r="BE58">
        <v>15217.88</v>
      </c>
      <c r="BF58">
        <v>47</v>
      </c>
      <c r="BQ58" s="3">
        <f t="shared" si="3"/>
        <v>269003.87999999995</v>
      </c>
      <c r="BR58" s="3">
        <f t="shared" si="1"/>
        <v>1458</v>
      </c>
    </row>
    <row r="59" spans="1:70" x14ac:dyDescent="0.25">
      <c r="A59" s="1" t="s">
        <v>55</v>
      </c>
      <c r="B59" s="1" t="s">
        <v>1330</v>
      </c>
      <c r="C59" s="1" t="s">
        <v>153</v>
      </c>
      <c r="D59" s="1" t="s">
        <v>127</v>
      </c>
      <c r="E59" s="211">
        <v>45799</v>
      </c>
      <c r="F59" s="212" t="str">
        <f t="shared" ca="1" si="2"/>
        <v>1y 5m</v>
      </c>
      <c r="G59">
        <v>9728.18</v>
      </c>
      <c r="H59">
        <v>70</v>
      </c>
      <c r="I59">
        <v>7229.12</v>
      </c>
      <c r="J59">
        <v>67</v>
      </c>
      <c r="K59">
        <v>5481.1</v>
      </c>
      <c r="L59">
        <v>41</v>
      </c>
      <c r="M59">
        <v>3256.03</v>
      </c>
      <c r="N59">
        <v>29</v>
      </c>
      <c r="O59">
        <v>4393.09</v>
      </c>
      <c r="P59">
        <v>24</v>
      </c>
      <c r="Q59">
        <v>3162.08</v>
      </c>
      <c r="R59">
        <v>23</v>
      </c>
      <c r="S59">
        <v>1905</v>
      </c>
      <c r="T59">
        <v>16</v>
      </c>
      <c r="U59">
        <v>4913.1000000000004</v>
      </c>
      <c r="V59">
        <v>35</v>
      </c>
      <c r="W59">
        <v>5692.07</v>
      </c>
      <c r="X59">
        <v>38</v>
      </c>
      <c r="Y59">
        <v>2144.0300000000002</v>
      </c>
      <c r="Z59">
        <v>17</v>
      </c>
      <c r="AA59">
        <v>3297.03</v>
      </c>
      <c r="AB59">
        <v>24</v>
      </c>
      <c r="AC59">
        <v>4262.1000000000004</v>
      </c>
      <c r="AD59">
        <v>29</v>
      </c>
      <c r="AE59" s="4">
        <v>2523.0300000000002</v>
      </c>
      <c r="AF59" s="4">
        <v>15</v>
      </c>
      <c r="AG59" s="4">
        <v>3398.05</v>
      </c>
      <c r="AH59" s="4">
        <v>15</v>
      </c>
      <c r="AI59" s="4">
        <v>2644.03</v>
      </c>
      <c r="AJ59" s="4">
        <v>25</v>
      </c>
      <c r="AK59" s="4">
        <v>3634.1</v>
      </c>
      <c r="AL59" s="4">
        <v>27</v>
      </c>
      <c r="AM59" s="4">
        <v>2525.02</v>
      </c>
      <c r="AN59" s="4">
        <v>13</v>
      </c>
      <c r="AO59" s="4">
        <v>1754.01</v>
      </c>
      <c r="AP59" s="4">
        <v>10</v>
      </c>
      <c r="AQ59" s="4">
        <v>3468.05</v>
      </c>
      <c r="AR59" s="4">
        <v>22</v>
      </c>
      <c r="AS59" s="4">
        <v>3531.99</v>
      </c>
      <c r="AT59" s="4">
        <v>13</v>
      </c>
      <c r="AU59" s="4">
        <v>1795.01</v>
      </c>
      <c r="AV59" s="4">
        <v>12</v>
      </c>
      <c r="AW59" s="4">
        <v>4138.7700000000004</v>
      </c>
      <c r="AX59" s="4">
        <v>19</v>
      </c>
      <c r="AY59" s="4">
        <v>4331.87</v>
      </c>
      <c r="AZ59" s="4">
        <v>24</v>
      </c>
      <c r="BA59" s="4">
        <v>3482.92</v>
      </c>
      <c r="BB59" s="4">
        <v>18</v>
      </c>
      <c r="BC59">
        <v>5577.97</v>
      </c>
      <c r="BD59">
        <v>23</v>
      </c>
      <c r="BE59">
        <v>1957.08</v>
      </c>
      <c r="BF59">
        <v>12</v>
      </c>
      <c r="BQ59" s="3">
        <f t="shared" si="3"/>
        <v>100224.83</v>
      </c>
      <c r="BR59" s="3">
        <f t="shared" si="1"/>
        <v>661</v>
      </c>
    </row>
    <row r="60" spans="1:70" x14ac:dyDescent="0.25">
      <c r="A60" s="1" t="s">
        <v>30</v>
      </c>
      <c r="B60" s="1" t="s">
        <v>1330</v>
      </c>
      <c r="C60" s="1" t="s">
        <v>151</v>
      </c>
      <c r="D60" s="1" t="s">
        <v>126</v>
      </c>
      <c r="E60" s="211">
        <v>45649</v>
      </c>
      <c r="F60" s="212" t="str">
        <f t="shared" ca="1" si="2"/>
        <v>1y 10m</v>
      </c>
      <c r="G60">
        <v>10802.13</v>
      </c>
      <c r="H60">
        <v>84</v>
      </c>
      <c r="I60">
        <v>8913.17</v>
      </c>
      <c r="J60">
        <v>67</v>
      </c>
      <c r="K60">
        <v>7489.21</v>
      </c>
      <c r="L60">
        <v>56</v>
      </c>
      <c r="M60">
        <v>9058.11</v>
      </c>
      <c r="N60">
        <v>50</v>
      </c>
      <c r="O60">
        <v>6875.1</v>
      </c>
      <c r="P60">
        <v>40</v>
      </c>
      <c r="Q60">
        <v>6843.15</v>
      </c>
      <c r="R60">
        <v>48</v>
      </c>
      <c r="S60">
        <v>6170.11</v>
      </c>
      <c r="T60">
        <v>43</v>
      </c>
      <c r="U60">
        <v>6458.08</v>
      </c>
      <c r="V60">
        <v>46</v>
      </c>
      <c r="W60">
        <v>7886.15</v>
      </c>
      <c r="X60">
        <v>50</v>
      </c>
      <c r="Y60">
        <v>5950.11</v>
      </c>
      <c r="Z60">
        <v>42</v>
      </c>
      <c r="AA60">
        <v>5592.06</v>
      </c>
      <c r="AB60">
        <v>38</v>
      </c>
      <c r="AC60">
        <v>6483.1</v>
      </c>
      <c r="AD60">
        <v>40</v>
      </c>
      <c r="AE60" s="4">
        <v>3822.04</v>
      </c>
      <c r="AF60" s="4">
        <v>28</v>
      </c>
      <c r="AG60" s="4">
        <v>5217.1000000000004</v>
      </c>
      <c r="AH60" s="4">
        <v>36</v>
      </c>
      <c r="AI60" s="4">
        <v>8103.17</v>
      </c>
      <c r="AJ60" s="4">
        <v>46</v>
      </c>
      <c r="AK60" s="4">
        <v>7125.1</v>
      </c>
      <c r="AL60" s="4">
        <v>46</v>
      </c>
      <c r="AM60" s="4">
        <v>5268.09</v>
      </c>
      <c r="AN60" s="4">
        <v>43</v>
      </c>
      <c r="AO60" s="4">
        <v>5810.05</v>
      </c>
      <c r="AP60" s="4">
        <v>29</v>
      </c>
      <c r="AQ60" s="4">
        <v>3842.06</v>
      </c>
      <c r="AR60" s="4">
        <v>30</v>
      </c>
      <c r="AS60" s="4">
        <v>5672.03</v>
      </c>
      <c r="AT60" s="4">
        <v>27</v>
      </c>
      <c r="AU60" s="4">
        <v>5689.18</v>
      </c>
      <c r="AV60" s="4">
        <v>33</v>
      </c>
      <c r="AW60" s="4">
        <v>4757.8500000000004</v>
      </c>
      <c r="AX60" s="4">
        <v>31</v>
      </c>
      <c r="AY60" s="4">
        <v>5774.73</v>
      </c>
      <c r="AZ60" s="4">
        <v>39</v>
      </c>
      <c r="BA60" s="4">
        <v>5630.76</v>
      </c>
      <c r="BB60" s="4">
        <v>33</v>
      </c>
      <c r="BC60">
        <v>3981.87</v>
      </c>
      <c r="BD60">
        <v>25</v>
      </c>
      <c r="BE60">
        <v>3749.24</v>
      </c>
      <c r="BF60">
        <v>29</v>
      </c>
      <c r="BQ60" s="3">
        <f t="shared" si="3"/>
        <v>162963.75</v>
      </c>
      <c r="BR60" s="3">
        <f t="shared" si="1"/>
        <v>1079</v>
      </c>
    </row>
    <row r="61" spans="1:70" x14ac:dyDescent="0.25">
      <c r="A61" s="1" t="s">
        <v>36</v>
      </c>
      <c r="B61" s="1" t="s">
        <v>1330</v>
      </c>
      <c r="C61" s="1" t="s">
        <v>145</v>
      </c>
      <c r="D61" s="1" t="s">
        <v>131</v>
      </c>
      <c r="E61" s="211">
        <v>45703</v>
      </c>
      <c r="F61" s="212" t="str">
        <f t="shared" ca="1" si="2"/>
        <v>1y 8m</v>
      </c>
      <c r="G61">
        <v>12550.23</v>
      </c>
      <c r="H61">
        <v>108</v>
      </c>
      <c r="I61">
        <v>17110.36</v>
      </c>
      <c r="J61">
        <v>139</v>
      </c>
      <c r="K61">
        <v>12668.2</v>
      </c>
      <c r="L61">
        <v>87</v>
      </c>
      <c r="M61">
        <v>10116.129999999999</v>
      </c>
      <c r="N61">
        <v>75</v>
      </c>
      <c r="O61">
        <v>6874.13</v>
      </c>
      <c r="P61">
        <v>46</v>
      </c>
      <c r="Q61">
        <v>10261.09</v>
      </c>
      <c r="R61">
        <v>60</v>
      </c>
      <c r="S61">
        <v>6750.12</v>
      </c>
      <c r="T61">
        <v>49</v>
      </c>
      <c r="U61">
        <v>7480.12</v>
      </c>
      <c r="V61">
        <v>43</v>
      </c>
      <c r="W61">
        <v>10818.17</v>
      </c>
      <c r="X61">
        <v>66</v>
      </c>
      <c r="Y61">
        <v>10020.200000000001</v>
      </c>
      <c r="Z61">
        <v>56</v>
      </c>
      <c r="AA61">
        <v>8314.19</v>
      </c>
      <c r="AB61">
        <v>45</v>
      </c>
      <c r="AC61">
        <v>5290.1</v>
      </c>
      <c r="AD61">
        <v>40</v>
      </c>
      <c r="AE61" s="4">
        <v>4866.09</v>
      </c>
      <c r="AF61" s="4">
        <v>36</v>
      </c>
      <c r="AG61" s="4">
        <v>6441.1</v>
      </c>
      <c r="AH61" s="4">
        <v>45</v>
      </c>
      <c r="AI61" s="4">
        <v>7567.1500000000005</v>
      </c>
      <c r="AJ61" s="4">
        <v>54</v>
      </c>
      <c r="AK61" s="4">
        <v>11241.19</v>
      </c>
      <c r="AL61" s="4">
        <v>84</v>
      </c>
      <c r="AM61" s="4">
        <v>9538.1299999999992</v>
      </c>
      <c r="AN61" s="4">
        <v>53</v>
      </c>
      <c r="AO61" s="4">
        <v>6075.03</v>
      </c>
      <c r="AP61" s="4">
        <v>38</v>
      </c>
      <c r="AQ61" s="4">
        <v>4315.04</v>
      </c>
      <c r="AR61" s="4">
        <v>27</v>
      </c>
      <c r="AS61" s="4">
        <v>5407.1</v>
      </c>
      <c r="AT61" s="4">
        <v>33</v>
      </c>
      <c r="AU61" s="4">
        <v>7506.08</v>
      </c>
      <c r="AV61" s="4">
        <v>43</v>
      </c>
      <c r="AW61" s="4">
        <v>5602.82</v>
      </c>
      <c r="AX61" s="4">
        <v>39</v>
      </c>
      <c r="AY61" s="4">
        <v>8613.4500000000007</v>
      </c>
      <c r="AZ61" s="4">
        <v>54</v>
      </c>
      <c r="BA61" s="4">
        <v>9860.56</v>
      </c>
      <c r="BB61" s="4">
        <v>52</v>
      </c>
      <c r="BC61">
        <v>5144.6400000000003</v>
      </c>
      <c r="BD61">
        <v>30</v>
      </c>
      <c r="BE61">
        <v>3921.27</v>
      </c>
      <c r="BF61">
        <v>27</v>
      </c>
      <c r="BQ61" s="3">
        <f t="shared" si="3"/>
        <v>214352.69000000003</v>
      </c>
      <c r="BR61" s="3">
        <f t="shared" si="1"/>
        <v>1429</v>
      </c>
    </row>
    <row r="62" spans="1:70" x14ac:dyDescent="0.25">
      <c r="A62" s="1" t="s">
        <v>15</v>
      </c>
      <c r="B62" s="1" t="s">
        <v>1330</v>
      </c>
      <c r="C62" s="1" t="s">
        <v>145</v>
      </c>
      <c r="D62" s="1" t="s">
        <v>131</v>
      </c>
      <c r="E62" s="211">
        <v>45533</v>
      </c>
      <c r="F62" s="212" t="str">
        <f t="shared" ca="1" si="2"/>
        <v>2y 1m</v>
      </c>
      <c r="G62">
        <v>13392.33</v>
      </c>
      <c r="H62">
        <v>102</v>
      </c>
      <c r="I62">
        <v>14362.32</v>
      </c>
      <c r="J62">
        <v>110</v>
      </c>
      <c r="K62">
        <v>12037.23</v>
      </c>
      <c r="L62">
        <v>94</v>
      </c>
      <c r="M62">
        <v>14643.24</v>
      </c>
      <c r="N62">
        <v>94</v>
      </c>
      <c r="O62">
        <v>13428.17</v>
      </c>
      <c r="P62">
        <v>73</v>
      </c>
      <c r="Q62">
        <v>6266.1</v>
      </c>
      <c r="R62">
        <v>48</v>
      </c>
      <c r="S62">
        <v>6442.1</v>
      </c>
      <c r="T62">
        <v>42</v>
      </c>
      <c r="U62">
        <v>7443.09</v>
      </c>
      <c r="V62">
        <v>58</v>
      </c>
      <c r="W62">
        <v>8627.1</v>
      </c>
      <c r="X62">
        <v>60</v>
      </c>
      <c r="Y62">
        <v>5371.08</v>
      </c>
      <c r="Z62">
        <v>43</v>
      </c>
      <c r="AA62">
        <v>3820.06</v>
      </c>
      <c r="AB62">
        <v>32</v>
      </c>
      <c r="AC62">
        <v>5389.15</v>
      </c>
      <c r="AD62">
        <v>41</v>
      </c>
      <c r="AE62" s="4">
        <v>6613.08</v>
      </c>
      <c r="AF62" s="4">
        <v>45</v>
      </c>
      <c r="AG62" s="4">
        <v>10128.18</v>
      </c>
      <c r="AH62" s="4">
        <v>32</v>
      </c>
      <c r="AI62" s="4">
        <v>5828.11</v>
      </c>
      <c r="AJ62" s="4">
        <v>47</v>
      </c>
      <c r="AK62" s="4">
        <v>9029.1</v>
      </c>
      <c r="AL62" s="4">
        <v>61</v>
      </c>
      <c r="AM62" s="4">
        <v>6873.1</v>
      </c>
      <c r="AN62" s="4">
        <v>44</v>
      </c>
      <c r="AO62" s="4">
        <v>6955.08</v>
      </c>
      <c r="AP62" s="4">
        <v>46</v>
      </c>
      <c r="AQ62" s="4">
        <v>3361.04</v>
      </c>
      <c r="AR62" s="4">
        <v>28</v>
      </c>
      <c r="AS62" s="4">
        <v>5943.13</v>
      </c>
      <c r="AT62" s="4">
        <v>34</v>
      </c>
      <c r="AU62" s="4">
        <v>6442.1900000000014</v>
      </c>
      <c r="AV62" s="4">
        <v>39</v>
      </c>
      <c r="AW62" s="4">
        <v>7661.71</v>
      </c>
      <c r="AX62" s="4">
        <v>46</v>
      </c>
      <c r="AY62" s="4">
        <v>6110.75</v>
      </c>
      <c r="AZ62" s="4">
        <v>45</v>
      </c>
      <c r="BA62" s="4">
        <v>5803.81</v>
      </c>
      <c r="BB62" s="4">
        <v>40</v>
      </c>
      <c r="BC62">
        <v>3636.8</v>
      </c>
      <c r="BD62">
        <v>22</v>
      </c>
      <c r="BE62">
        <v>5999.28</v>
      </c>
      <c r="BF62">
        <v>33</v>
      </c>
      <c r="BQ62" s="3">
        <f t="shared" si="3"/>
        <v>201607.33</v>
      </c>
      <c r="BR62" s="3">
        <f t="shared" si="1"/>
        <v>1359</v>
      </c>
    </row>
    <row r="63" spans="1:70" x14ac:dyDescent="0.25">
      <c r="A63" s="1" t="s">
        <v>119</v>
      </c>
      <c r="B63" s="1" t="s">
        <v>1330</v>
      </c>
      <c r="C63" s="1" t="s">
        <v>144</v>
      </c>
      <c r="D63" s="1" t="s">
        <v>126</v>
      </c>
      <c r="E63" s="211">
        <v>46161</v>
      </c>
      <c r="F63" s="212" t="str">
        <f t="shared" ca="1" si="2"/>
        <v>0y 5m</v>
      </c>
      <c r="G63">
        <v>10269.209999999999</v>
      </c>
      <c r="H63">
        <v>38</v>
      </c>
      <c r="I63">
        <v>17781.37</v>
      </c>
      <c r="J63">
        <v>72</v>
      </c>
      <c r="K63">
        <v>13184.32</v>
      </c>
      <c r="L63">
        <v>54</v>
      </c>
      <c r="M63">
        <v>7202.05</v>
      </c>
      <c r="N63">
        <v>35</v>
      </c>
      <c r="O63">
        <v>3288.06</v>
      </c>
      <c r="P63">
        <v>18</v>
      </c>
      <c r="Q63">
        <v>4492</v>
      </c>
      <c r="R63">
        <v>25</v>
      </c>
      <c r="S63">
        <v>5997.08</v>
      </c>
      <c r="T63">
        <v>23</v>
      </c>
      <c r="U63">
        <v>10309.129999999999</v>
      </c>
      <c r="V63">
        <v>44</v>
      </c>
      <c r="W63">
        <v>15945.1</v>
      </c>
      <c r="X63">
        <v>53</v>
      </c>
      <c r="Y63">
        <v>9267.0499999999993</v>
      </c>
      <c r="Z63">
        <v>41</v>
      </c>
      <c r="AA63">
        <v>5599.07</v>
      </c>
      <c r="AB63">
        <v>18</v>
      </c>
      <c r="AC63">
        <v>2614</v>
      </c>
      <c r="AD63">
        <v>11</v>
      </c>
      <c r="AE63" s="4">
        <v>8179.12</v>
      </c>
      <c r="AF63" s="4">
        <v>24</v>
      </c>
      <c r="AG63" s="4">
        <v>5628.07</v>
      </c>
      <c r="AH63" s="4">
        <v>28</v>
      </c>
      <c r="AI63" s="4">
        <v>7330.03</v>
      </c>
      <c r="AJ63" s="4">
        <v>31</v>
      </c>
      <c r="AK63" s="4">
        <v>7161.02</v>
      </c>
      <c r="AL63" s="4">
        <v>38</v>
      </c>
      <c r="AM63" s="4">
        <v>6852.01</v>
      </c>
      <c r="AN63" s="4">
        <v>38</v>
      </c>
      <c r="AO63" s="4">
        <v>2286</v>
      </c>
      <c r="AP63" s="4">
        <v>10</v>
      </c>
      <c r="AQ63" s="4">
        <v>5107.0200000000004</v>
      </c>
      <c r="AR63" s="4">
        <v>24</v>
      </c>
      <c r="AS63" s="4">
        <v>3167.99</v>
      </c>
      <c r="AT63" s="4">
        <v>14</v>
      </c>
      <c r="AU63" s="4">
        <v>4179.99</v>
      </c>
      <c r="AV63" s="4">
        <v>18</v>
      </c>
      <c r="AW63" s="4">
        <v>5788.83</v>
      </c>
      <c r="AX63" s="4">
        <v>25</v>
      </c>
      <c r="AY63" s="4">
        <v>13584.35</v>
      </c>
      <c r="AZ63" s="4">
        <v>51</v>
      </c>
      <c r="BA63" s="4">
        <v>10837.48</v>
      </c>
      <c r="BB63" s="4">
        <v>33</v>
      </c>
      <c r="BC63">
        <v>7337.86</v>
      </c>
      <c r="BD63">
        <v>20</v>
      </c>
      <c r="BE63">
        <v>5750.29</v>
      </c>
      <c r="BF63">
        <v>18</v>
      </c>
      <c r="BQ63" s="3">
        <f t="shared" si="3"/>
        <v>199138.49999999997</v>
      </c>
      <c r="BR63" s="3">
        <f t="shared" si="1"/>
        <v>804</v>
      </c>
    </row>
    <row r="64" spans="1:70" x14ac:dyDescent="0.25">
      <c r="A64" s="1" t="s">
        <v>76</v>
      </c>
      <c r="B64" s="1" t="s">
        <v>1330</v>
      </c>
      <c r="C64" s="1" t="s">
        <v>138</v>
      </c>
      <c r="D64" s="1" t="s">
        <v>128</v>
      </c>
      <c r="E64" s="211">
        <v>45989</v>
      </c>
      <c r="F64" s="212" t="str">
        <f t="shared" ca="1" si="2"/>
        <v>0y 10m</v>
      </c>
      <c r="G64">
        <v>6733.09</v>
      </c>
      <c r="H64">
        <v>65</v>
      </c>
      <c r="I64">
        <v>8703.0499999999993</v>
      </c>
      <c r="J64">
        <v>78</v>
      </c>
      <c r="K64">
        <v>4499.1099999999997</v>
      </c>
      <c r="L64">
        <v>41</v>
      </c>
      <c r="M64">
        <v>4157.1000000000004</v>
      </c>
      <c r="N64">
        <v>34</v>
      </c>
      <c r="O64">
        <v>4165.13</v>
      </c>
      <c r="P64">
        <v>35</v>
      </c>
      <c r="Q64">
        <v>3325.08</v>
      </c>
      <c r="R64">
        <v>26</v>
      </c>
      <c r="S64">
        <v>4963.1899999999996</v>
      </c>
      <c r="T64">
        <v>37</v>
      </c>
      <c r="U64">
        <v>4839.07</v>
      </c>
      <c r="V64">
        <v>37</v>
      </c>
      <c r="W64">
        <v>9522.2900000000009</v>
      </c>
      <c r="X64">
        <v>79</v>
      </c>
      <c r="Y64">
        <v>5077.1000000000004</v>
      </c>
      <c r="Z64">
        <v>43</v>
      </c>
      <c r="AA64">
        <v>4169.04</v>
      </c>
      <c r="AB64">
        <v>26</v>
      </c>
      <c r="AC64">
        <v>2996.08</v>
      </c>
      <c r="AD64">
        <v>25</v>
      </c>
      <c r="AE64" s="4">
        <v>2831.06</v>
      </c>
      <c r="AF64" s="4">
        <v>21</v>
      </c>
      <c r="AG64" s="4">
        <v>4560.1499999999996</v>
      </c>
      <c r="AH64" s="4">
        <v>36</v>
      </c>
      <c r="AI64" s="4">
        <v>4166.07</v>
      </c>
      <c r="AJ64" s="4">
        <v>40</v>
      </c>
      <c r="AK64" s="4">
        <v>5535</v>
      </c>
      <c r="AL64" s="4">
        <v>55</v>
      </c>
      <c r="AM64" s="4">
        <v>3280.07</v>
      </c>
      <c r="AN64" s="4">
        <v>27</v>
      </c>
      <c r="AO64" s="4">
        <v>2656.08</v>
      </c>
      <c r="AP64" s="4">
        <v>19</v>
      </c>
      <c r="AQ64" s="4">
        <v>959.01</v>
      </c>
      <c r="AR64" s="4">
        <v>8</v>
      </c>
      <c r="AS64" s="4">
        <v>1508.01</v>
      </c>
      <c r="AT64" s="4">
        <v>13</v>
      </c>
      <c r="AU64" s="4">
        <v>2883</v>
      </c>
      <c r="AV64" s="4">
        <v>25</v>
      </c>
      <c r="AW64" s="4">
        <v>3775.89</v>
      </c>
      <c r="AX64" s="4">
        <v>29</v>
      </c>
      <c r="AY64" s="4">
        <v>3432.87</v>
      </c>
      <c r="AZ64" s="4">
        <v>32</v>
      </c>
      <c r="BA64" s="4">
        <v>3189.93</v>
      </c>
      <c r="BB64" s="4">
        <v>32</v>
      </c>
      <c r="BC64">
        <v>4019.83</v>
      </c>
      <c r="BD64">
        <v>33</v>
      </c>
      <c r="BE64">
        <v>3013.18</v>
      </c>
      <c r="BF64">
        <v>22</v>
      </c>
      <c r="BQ64" s="3">
        <f t="shared" si="3"/>
        <v>108959.47999999997</v>
      </c>
      <c r="BR64" s="3">
        <f t="shared" si="1"/>
        <v>918</v>
      </c>
    </row>
    <row r="65" spans="1:70" x14ac:dyDescent="0.25">
      <c r="A65" s="1" t="s">
        <v>22</v>
      </c>
      <c r="B65" s="1" t="s">
        <v>1330</v>
      </c>
      <c r="C65" s="1" t="s">
        <v>139</v>
      </c>
      <c r="D65" s="1" t="s">
        <v>130</v>
      </c>
      <c r="E65" s="211">
        <v>45631</v>
      </c>
      <c r="F65" s="212" t="str">
        <f t="shared" ca="1" si="2"/>
        <v>1y 10m</v>
      </c>
      <c r="G65">
        <v>11948.28</v>
      </c>
      <c r="H65">
        <v>75</v>
      </c>
      <c r="I65">
        <v>6939.11</v>
      </c>
      <c r="J65">
        <v>56</v>
      </c>
      <c r="K65">
        <v>9748.15</v>
      </c>
      <c r="L65">
        <v>62</v>
      </c>
      <c r="M65">
        <v>12636.23</v>
      </c>
      <c r="N65">
        <v>82</v>
      </c>
      <c r="O65">
        <v>9574.0499999999993</v>
      </c>
      <c r="P65">
        <v>64</v>
      </c>
      <c r="Q65">
        <v>7487.1</v>
      </c>
      <c r="R65">
        <v>52</v>
      </c>
      <c r="S65">
        <v>8594.15</v>
      </c>
      <c r="T65">
        <v>56</v>
      </c>
      <c r="U65">
        <v>7967.13</v>
      </c>
      <c r="V65">
        <v>53</v>
      </c>
      <c r="W65">
        <v>8327.1200000000008</v>
      </c>
      <c r="X65">
        <v>51</v>
      </c>
      <c r="Y65">
        <v>5022.1000000000004</v>
      </c>
      <c r="Z65">
        <v>34</v>
      </c>
      <c r="AA65">
        <v>8298.14</v>
      </c>
      <c r="AB65">
        <v>54</v>
      </c>
      <c r="AC65">
        <v>6377.05</v>
      </c>
      <c r="AD65">
        <v>33</v>
      </c>
      <c r="AE65" s="4">
        <v>6365.13</v>
      </c>
      <c r="AF65" s="4">
        <v>41</v>
      </c>
      <c r="AG65" s="4">
        <v>8035.16</v>
      </c>
      <c r="AH65" s="4">
        <v>59</v>
      </c>
      <c r="AI65" s="4">
        <v>6900.1</v>
      </c>
      <c r="AJ65" s="4">
        <v>46</v>
      </c>
      <c r="AK65" s="4">
        <v>6480.12</v>
      </c>
      <c r="AL65" s="4">
        <v>40</v>
      </c>
      <c r="AM65" s="4">
        <v>7965.14</v>
      </c>
      <c r="AN65" s="4">
        <v>51</v>
      </c>
      <c r="AO65" s="4">
        <v>4991.1400000000003</v>
      </c>
      <c r="AP65" s="4">
        <v>36</v>
      </c>
      <c r="AQ65" s="4">
        <v>6264.09</v>
      </c>
      <c r="AR65" s="4">
        <v>33</v>
      </c>
      <c r="AS65" s="4">
        <v>5781.11</v>
      </c>
      <c r="AT65" s="4">
        <v>31</v>
      </c>
      <c r="AU65" s="4">
        <v>6333.18</v>
      </c>
      <c r="AV65" s="4">
        <v>34</v>
      </c>
      <c r="AW65" s="4">
        <v>5374.87</v>
      </c>
      <c r="AX65" s="4">
        <v>35</v>
      </c>
      <c r="AY65" s="4">
        <v>4142.7700000000004</v>
      </c>
      <c r="AZ65" s="4">
        <v>26</v>
      </c>
      <c r="BA65" s="4">
        <v>7037.78</v>
      </c>
      <c r="BB65" s="4">
        <v>36</v>
      </c>
      <c r="BC65">
        <v>3922.81</v>
      </c>
      <c r="BD65">
        <v>25</v>
      </c>
      <c r="BE65">
        <v>5276.28</v>
      </c>
      <c r="BF65">
        <v>32</v>
      </c>
      <c r="BQ65" s="3">
        <f t="shared" si="3"/>
        <v>187788.29</v>
      </c>
      <c r="BR65" s="3">
        <f t="shared" si="1"/>
        <v>1197</v>
      </c>
    </row>
    <row r="66" spans="1:70" x14ac:dyDescent="0.25">
      <c r="A66" s="1" t="s">
        <v>101</v>
      </c>
      <c r="B66" s="1" t="s">
        <v>1330</v>
      </c>
      <c r="C66" s="1" t="s">
        <v>142</v>
      </c>
      <c r="D66" s="1" t="s">
        <v>132</v>
      </c>
      <c r="E66" s="211">
        <v>46034</v>
      </c>
      <c r="F66" s="212" t="str">
        <f t="shared" ca="1" si="2"/>
        <v>0y 9m</v>
      </c>
      <c r="G66">
        <v>6114.15</v>
      </c>
      <c r="H66">
        <v>49</v>
      </c>
      <c r="I66">
        <v>6762.2</v>
      </c>
      <c r="J66">
        <v>57</v>
      </c>
      <c r="K66">
        <v>7006.15</v>
      </c>
      <c r="L66">
        <v>50</v>
      </c>
      <c r="M66">
        <v>3754.12</v>
      </c>
      <c r="N66">
        <v>26</v>
      </c>
      <c r="O66">
        <v>4405.1400000000003</v>
      </c>
      <c r="P66">
        <v>27</v>
      </c>
      <c r="Q66">
        <v>4000.03</v>
      </c>
      <c r="R66">
        <v>25</v>
      </c>
      <c r="S66">
        <v>6130.1900000000014</v>
      </c>
      <c r="T66">
        <v>30</v>
      </c>
      <c r="U66">
        <v>4698.1099999999997</v>
      </c>
      <c r="V66">
        <v>32</v>
      </c>
      <c r="W66">
        <v>5264.06</v>
      </c>
      <c r="X66">
        <v>29</v>
      </c>
      <c r="Y66">
        <v>4287.05</v>
      </c>
      <c r="Z66">
        <v>25</v>
      </c>
      <c r="AA66">
        <v>3246.04</v>
      </c>
      <c r="AB66">
        <v>19</v>
      </c>
      <c r="AC66">
        <v>2728.02</v>
      </c>
      <c r="AD66">
        <v>21</v>
      </c>
      <c r="AE66" s="4">
        <v>3855</v>
      </c>
      <c r="AF66" s="4">
        <v>23</v>
      </c>
      <c r="AG66" s="4">
        <v>3548.04</v>
      </c>
      <c r="AH66" s="4">
        <v>24</v>
      </c>
      <c r="AI66" s="4">
        <v>2870.05</v>
      </c>
      <c r="AJ66" s="4">
        <v>18</v>
      </c>
      <c r="AK66" s="4">
        <v>2238</v>
      </c>
      <c r="AL66" s="4">
        <v>14</v>
      </c>
      <c r="AM66" s="4">
        <v>2363.9899999999998</v>
      </c>
      <c r="AN66" s="4">
        <v>11</v>
      </c>
      <c r="AO66" s="4">
        <v>2013.02</v>
      </c>
      <c r="AP66" s="4">
        <v>7</v>
      </c>
      <c r="AQ66" s="4">
        <v>2997.03</v>
      </c>
      <c r="AR66" s="4">
        <v>17</v>
      </c>
      <c r="AS66" s="4">
        <v>1766.02</v>
      </c>
      <c r="AT66" s="4">
        <v>17</v>
      </c>
      <c r="AU66" s="4">
        <v>3191.03</v>
      </c>
      <c r="AV66" s="4">
        <v>20</v>
      </c>
      <c r="AW66" s="4">
        <v>2948.81</v>
      </c>
      <c r="AX66" s="4">
        <v>17</v>
      </c>
      <c r="AY66" s="4">
        <v>6656.7</v>
      </c>
      <c r="AZ66" s="4">
        <v>25</v>
      </c>
      <c r="BA66" s="4">
        <v>1636.94</v>
      </c>
      <c r="BB66" s="4">
        <v>10</v>
      </c>
      <c r="BC66">
        <v>3708.97</v>
      </c>
      <c r="BD66">
        <v>19</v>
      </c>
      <c r="BE66">
        <v>3240.26</v>
      </c>
      <c r="BF66">
        <v>16</v>
      </c>
      <c r="BQ66" s="3">
        <f t="shared" si="3"/>
        <v>101429.12</v>
      </c>
      <c r="BR66" s="3">
        <f t="shared" si="1"/>
        <v>628</v>
      </c>
    </row>
    <row r="67" spans="1:70" x14ac:dyDescent="0.25">
      <c r="A67" s="1" t="s">
        <v>62</v>
      </c>
      <c r="B67" s="1" t="s">
        <v>1330</v>
      </c>
      <c r="C67" s="1" t="s">
        <v>139</v>
      </c>
      <c r="D67" s="1" t="s">
        <v>130</v>
      </c>
      <c r="E67" s="211">
        <v>45820</v>
      </c>
      <c r="F67" s="212" t="str">
        <f t="shared" ca="1" si="2"/>
        <v>1y 4m</v>
      </c>
      <c r="G67">
        <v>4443.07</v>
      </c>
      <c r="H67">
        <v>35</v>
      </c>
      <c r="I67">
        <v>5251.12</v>
      </c>
      <c r="J67">
        <v>30</v>
      </c>
      <c r="K67">
        <v>4291.12</v>
      </c>
      <c r="L67">
        <v>32</v>
      </c>
      <c r="M67">
        <v>3444.06</v>
      </c>
      <c r="N67">
        <v>21</v>
      </c>
      <c r="O67">
        <v>6367.08</v>
      </c>
      <c r="P67">
        <v>28</v>
      </c>
      <c r="Q67">
        <v>2538.06</v>
      </c>
      <c r="R67">
        <v>15</v>
      </c>
      <c r="S67">
        <v>3890.07</v>
      </c>
      <c r="T67">
        <v>25</v>
      </c>
      <c r="U67">
        <v>3284.05</v>
      </c>
      <c r="V67">
        <v>11</v>
      </c>
      <c r="W67">
        <v>4096.0600000000004</v>
      </c>
      <c r="X67">
        <v>23</v>
      </c>
      <c r="Y67">
        <v>2922.09</v>
      </c>
      <c r="Z67">
        <v>18</v>
      </c>
      <c r="AA67">
        <v>4018.07</v>
      </c>
      <c r="AB67">
        <v>20</v>
      </c>
      <c r="AC67">
        <v>2946.03</v>
      </c>
      <c r="AD67">
        <v>21</v>
      </c>
      <c r="AE67" s="4">
        <v>5062.1099999999997</v>
      </c>
      <c r="AF67" s="4">
        <v>24</v>
      </c>
      <c r="AG67" s="4">
        <v>4279.0200000000004</v>
      </c>
      <c r="AH67" s="4">
        <v>26</v>
      </c>
      <c r="AI67" s="4">
        <v>1618.02</v>
      </c>
      <c r="AJ67" s="4">
        <v>9</v>
      </c>
      <c r="AK67" s="4">
        <v>3429.05</v>
      </c>
      <c r="AL67" s="4">
        <v>18</v>
      </c>
      <c r="AM67" s="4">
        <v>4405.03</v>
      </c>
      <c r="AN67" s="4">
        <v>24</v>
      </c>
      <c r="AO67" s="4">
        <v>1828.01</v>
      </c>
      <c r="AP67" s="4">
        <v>9</v>
      </c>
      <c r="AQ67" s="4">
        <v>3524.04</v>
      </c>
      <c r="AR67" s="4">
        <v>17</v>
      </c>
      <c r="AS67" s="4">
        <v>3447.03</v>
      </c>
      <c r="AT67" s="4">
        <v>19</v>
      </c>
      <c r="AU67" s="4">
        <v>4981.07</v>
      </c>
      <c r="AV67" s="4">
        <v>21</v>
      </c>
      <c r="AW67" s="4">
        <v>4565.8</v>
      </c>
      <c r="AX67" s="4">
        <v>18</v>
      </c>
      <c r="AY67" s="4">
        <v>5091.72</v>
      </c>
      <c r="AZ67" s="4">
        <v>24</v>
      </c>
      <c r="BA67" s="4">
        <v>1842.92</v>
      </c>
      <c r="BB67" s="4">
        <v>11</v>
      </c>
      <c r="BC67">
        <v>11719.64</v>
      </c>
      <c r="BD67">
        <v>17</v>
      </c>
      <c r="BE67">
        <v>2460.1999999999998</v>
      </c>
      <c r="BF67">
        <v>5</v>
      </c>
      <c r="BQ67" s="3">
        <f t="shared" si="3"/>
        <v>105744.53999999998</v>
      </c>
      <c r="BR67" s="3">
        <f t="shared" si="1"/>
        <v>521</v>
      </c>
    </row>
    <row r="68" spans="1:70" x14ac:dyDescent="0.25">
      <c r="A68" s="1" t="s">
        <v>44</v>
      </c>
      <c r="B68" s="1" t="s">
        <v>1330</v>
      </c>
      <c r="C68" s="1" t="s">
        <v>145</v>
      </c>
      <c r="D68" s="1" t="s">
        <v>127</v>
      </c>
      <c r="E68" s="211">
        <v>45723</v>
      </c>
      <c r="F68" s="212" t="str">
        <f t="shared" ca="1" si="2"/>
        <v>1y 7m</v>
      </c>
      <c r="G68">
        <v>2712.09</v>
      </c>
      <c r="H68">
        <v>21</v>
      </c>
      <c r="I68">
        <v>5060.07</v>
      </c>
      <c r="J68">
        <v>29</v>
      </c>
      <c r="K68">
        <v>3397.06</v>
      </c>
      <c r="L68">
        <v>19</v>
      </c>
      <c r="M68">
        <v>3960.05</v>
      </c>
      <c r="N68">
        <v>23</v>
      </c>
      <c r="O68">
        <v>3624.05</v>
      </c>
      <c r="P68">
        <v>28</v>
      </c>
      <c r="Q68">
        <v>2191.06</v>
      </c>
      <c r="R68">
        <v>16</v>
      </c>
      <c r="S68">
        <v>4104.08</v>
      </c>
      <c r="T68">
        <v>30</v>
      </c>
      <c r="U68">
        <v>2400.04</v>
      </c>
      <c r="V68">
        <v>19</v>
      </c>
      <c r="W68">
        <v>3197.05</v>
      </c>
      <c r="X68">
        <v>27</v>
      </c>
      <c r="Y68">
        <v>3040.11</v>
      </c>
      <c r="Z68">
        <v>23</v>
      </c>
      <c r="AA68">
        <v>2400.06</v>
      </c>
      <c r="AB68">
        <v>16</v>
      </c>
      <c r="AC68">
        <v>1742.01</v>
      </c>
      <c r="AD68">
        <v>14</v>
      </c>
      <c r="AE68" s="4">
        <v>1726.04</v>
      </c>
      <c r="AF68" s="4">
        <v>13</v>
      </c>
      <c r="AG68" s="4">
        <v>2934.04</v>
      </c>
      <c r="AH68" s="4">
        <v>16</v>
      </c>
      <c r="AI68" s="4">
        <v>1852.02</v>
      </c>
      <c r="AJ68" s="4">
        <v>14</v>
      </c>
      <c r="AK68" s="4">
        <v>4431.03</v>
      </c>
      <c r="AL68" s="4">
        <v>24</v>
      </c>
      <c r="AM68" s="4">
        <v>1224.04</v>
      </c>
      <c r="AN68" s="4">
        <v>10</v>
      </c>
      <c r="AO68" s="4">
        <v>350.01</v>
      </c>
      <c r="AP68" s="4">
        <v>3</v>
      </c>
      <c r="AQ68" s="4">
        <v>1589.05</v>
      </c>
      <c r="AR68" s="4">
        <v>13</v>
      </c>
      <c r="AS68" s="4">
        <v>2286.0100000000002</v>
      </c>
      <c r="AT68" s="4">
        <v>14</v>
      </c>
      <c r="AU68" s="4">
        <v>1583.08</v>
      </c>
      <c r="AV68" s="4">
        <v>10</v>
      </c>
      <c r="AW68" s="4">
        <v>3363.78</v>
      </c>
      <c r="AX68" s="4">
        <v>18</v>
      </c>
      <c r="AY68" s="4">
        <v>2750.9</v>
      </c>
      <c r="AZ68" s="4">
        <v>13</v>
      </c>
      <c r="BA68" s="4">
        <v>2543.9</v>
      </c>
      <c r="BB68" s="4">
        <v>16</v>
      </c>
      <c r="BC68">
        <v>1191.94</v>
      </c>
      <c r="BD68">
        <v>7</v>
      </c>
      <c r="BE68">
        <v>1930.13</v>
      </c>
      <c r="BF68">
        <v>9</v>
      </c>
      <c r="BQ68" s="3">
        <f t="shared" si="3"/>
        <v>67583.700000000012</v>
      </c>
      <c r="BR68" s="3">
        <f t="shared" ref="BR68:BR116" si="4">H68+J68+L68+N68+P68+R68+T68+V68+X68+Z68+AB68+AD68+AF68+AH68+AJ68+AL68+AN68+AP68+AR68+AT68+AV68+AX68+AZ68+BB68+BD68+BF68+BH68+BJ68+BL68+BN68+BP68</f>
        <v>445</v>
      </c>
    </row>
    <row r="69" spans="1:70" x14ac:dyDescent="0.25">
      <c r="A69" s="1" t="s">
        <v>28</v>
      </c>
      <c r="B69" s="1" t="s">
        <v>1330</v>
      </c>
      <c r="C69" s="1" t="s">
        <v>154</v>
      </c>
      <c r="D69" s="1" t="s">
        <v>126</v>
      </c>
      <c r="E69" s="211">
        <v>45670</v>
      </c>
      <c r="F69" s="212" t="str">
        <f t="shared" ref="F69:F117" ca="1" si="5">IFERROR(DATEDIF(E69,$F$2,"y")&amp;"y "&amp;DATEDIF(E69,$F$2,"ym")&amp;"m","")</f>
        <v>1y 9m</v>
      </c>
      <c r="G69">
        <v>18003.310000000001</v>
      </c>
      <c r="H69">
        <v>121</v>
      </c>
      <c r="I69">
        <v>20271.45</v>
      </c>
      <c r="J69">
        <v>124</v>
      </c>
      <c r="K69">
        <v>17766.41</v>
      </c>
      <c r="L69">
        <v>103</v>
      </c>
      <c r="M69">
        <v>16285.38</v>
      </c>
      <c r="N69">
        <v>101</v>
      </c>
      <c r="O69">
        <v>7206.1</v>
      </c>
      <c r="P69">
        <v>47</v>
      </c>
      <c r="Q69">
        <v>8220.0400000000009</v>
      </c>
      <c r="R69">
        <v>42</v>
      </c>
      <c r="S69">
        <v>6395.09</v>
      </c>
      <c r="T69">
        <v>49</v>
      </c>
      <c r="U69">
        <v>9873.11</v>
      </c>
      <c r="V69">
        <v>60</v>
      </c>
      <c r="W69">
        <v>13850.34</v>
      </c>
      <c r="X69">
        <v>74</v>
      </c>
      <c r="Y69">
        <v>9706.0499999999993</v>
      </c>
      <c r="Z69">
        <v>64</v>
      </c>
      <c r="AA69">
        <v>8642.1200000000008</v>
      </c>
      <c r="AB69">
        <v>46</v>
      </c>
      <c r="AC69">
        <v>6073.13</v>
      </c>
      <c r="AD69">
        <v>39</v>
      </c>
      <c r="AE69" s="4">
        <v>5543.11</v>
      </c>
      <c r="AF69" s="4">
        <v>35</v>
      </c>
      <c r="AG69" s="4">
        <v>10537.2</v>
      </c>
      <c r="AH69" s="4">
        <v>44</v>
      </c>
      <c r="AI69" s="4">
        <v>8595.1200000000008</v>
      </c>
      <c r="AJ69" s="4">
        <v>46</v>
      </c>
      <c r="AK69" s="4">
        <v>12678.04</v>
      </c>
      <c r="AL69" s="4">
        <v>59</v>
      </c>
      <c r="AM69" s="4">
        <v>9598.11</v>
      </c>
      <c r="AN69" s="4">
        <v>51</v>
      </c>
      <c r="AO69" s="4">
        <v>5294.11</v>
      </c>
      <c r="AP69" s="4">
        <v>24</v>
      </c>
      <c r="AQ69" s="4">
        <v>4954.09</v>
      </c>
      <c r="AR69" s="4">
        <v>35</v>
      </c>
      <c r="AS69" s="4">
        <v>5755.08</v>
      </c>
      <c r="AT69" s="4">
        <v>39</v>
      </c>
      <c r="AU69" s="4">
        <v>5378.16</v>
      </c>
      <c r="AV69" s="4">
        <v>28</v>
      </c>
      <c r="AW69" s="4">
        <v>8416.6</v>
      </c>
      <c r="AX69" s="4">
        <v>45</v>
      </c>
      <c r="AY69" s="4">
        <v>13497.13</v>
      </c>
      <c r="AZ69" s="4">
        <v>54</v>
      </c>
      <c r="BA69" s="4">
        <v>15482.04</v>
      </c>
      <c r="BB69" s="4">
        <v>68</v>
      </c>
      <c r="BC69">
        <v>9333.6299999999992</v>
      </c>
      <c r="BD69">
        <v>43</v>
      </c>
      <c r="BE69">
        <v>4710.22</v>
      </c>
      <c r="BF69">
        <v>31</v>
      </c>
      <c r="BQ69" s="3">
        <f t="shared" ref="BQ69:BQ116" si="6">G69+I69+K69+M69+O69+Q69+S69+U69+W69+Y69+AA69+AC69+AE69+AG69+AI69+AK69+AM69+AO69+AQ69+AS69+AU69+AW69+AY69+BA69+BC69+BE69+BG69+BI69+BK69+BM69+BO69</f>
        <v>262065.16999999998</v>
      </c>
      <c r="BR69" s="3">
        <f t="shared" si="4"/>
        <v>1472</v>
      </c>
    </row>
    <row r="70" spans="1:70" x14ac:dyDescent="0.25">
      <c r="A70" s="1" t="s">
        <v>66</v>
      </c>
      <c r="B70" s="1" t="s">
        <v>1330</v>
      </c>
      <c r="C70" s="1" t="s">
        <v>139</v>
      </c>
      <c r="D70" s="1" t="s">
        <v>130</v>
      </c>
      <c r="E70" s="211">
        <v>45872</v>
      </c>
      <c r="F70" s="212" t="str">
        <f t="shared" ca="1" si="5"/>
        <v>1y 2m</v>
      </c>
      <c r="G70">
        <v>3403.1</v>
      </c>
      <c r="H70">
        <v>22</v>
      </c>
      <c r="I70">
        <v>2477.09</v>
      </c>
      <c r="J70">
        <v>13</v>
      </c>
      <c r="K70">
        <v>5854.17</v>
      </c>
      <c r="L70">
        <v>28</v>
      </c>
      <c r="M70">
        <v>4471.05</v>
      </c>
      <c r="N70">
        <v>16</v>
      </c>
      <c r="O70">
        <v>4292.01</v>
      </c>
      <c r="P70">
        <v>16</v>
      </c>
      <c r="Q70">
        <v>2349.04</v>
      </c>
      <c r="R70">
        <v>12</v>
      </c>
      <c r="S70">
        <v>3436.08</v>
      </c>
      <c r="T70">
        <v>15</v>
      </c>
      <c r="U70">
        <v>2888.04</v>
      </c>
      <c r="V70">
        <v>14</v>
      </c>
      <c r="W70">
        <v>2513.04</v>
      </c>
      <c r="X70">
        <v>9</v>
      </c>
      <c r="Y70">
        <v>1342.05</v>
      </c>
      <c r="Z70">
        <v>7</v>
      </c>
      <c r="AA70">
        <v>2197.08</v>
      </c>
      <c r="AB70">
        <v>12</v>
      </c>
      <c r="AC70">
        <v>3659.04</v>
      </c>
      <c r="AD70">
        <v>13</v>
      </c>
      <c r="AE70" s="4">
        <v>2433.0100000000002</v>
      </c>
      <c r="AF70" s="4">
        <v>13</v>
      </c>
      <c r="AG70" s="4">
        <v>899.03</v>
      </c>
      <c r="AH70" s="4">
        <v>6</v>
      </c>
      <c r="AI70" s="4">
        <v>1975.03</v>
      </c>
      <c r="AJ70" s="4">
        <v>14</v>
      </c>
      <c r="AK70" s="4">
        <v>3735.1</v>
      </c>
      <c r="AL70" s="4">
        <v>23</v>
      </c>
      <c r="AM70" s="4">
        <v>1744.06</v>
      </c>
      <c r="AN70" s="4">
        <v>12</v>
      </c>
      <c r="AO70" s="4">
        <v>1057.02</v>
      </c>
      <c r="AP70" s="4">
        <v>10</v>
      </c>
      <c r="AQ70" s="4">
        <v>1861.06</v>
      </c>
      <c r="AR70" s="4">
        <v>10</v>
      </c>
      <c r="AS70" s="4">
        <v>2187.0100000000002</v>
      </c>
      <c r="AT70" s="4">
        <v>10</v>
      </c>
      <c r="AU70" s="4">
        <v>2483.08</v>
      </c>
      <c r="AV70" s="4">
        <v>14</v>
      </c>
      <c r="AW70" s="4">
        <v>3867.79</v>
      </c>
      <c r="AX70" s="4">
        <v>19</v>
      </c>
      <c r="AY70" s="4">
        <v>2449.9499999999998</v>
      </c>
      <c r="AZ70" s="4">
        <v>12</v>
      </c>
      <c r="BA70" s="4">
        <v>2148.87</v>
      </c>
      <c r="BB70" s="4">
        <v>11</v>
      </c>
      <c r="BC70">
        <v>2351.84</v>
      </c>
      <c r="BD70">
        <v>13</v>
      </c>
      <c r="BE70">
        <v>385</v>
      </c>
      <c r="BF70">
        <v>3</v>
      </c>
      <c r="BQ70" s="3">
        <f t="shared" si="6"/>
        <v>68459.64</v>
      </c>
      <c r="BR70" s="3">
        <f t="shared" si="4"/>
        <v>347</v>
      </c>
    </row>
    <row r="71" spans="1:70" x14ac:dyDescent="0.25">
      <c r="A71" s="1" t="s">
        <v>75</v>
      </c>
      <c r="B71" s="1" t="s">
        <v>1330</v>
      </c>
      <c r="C71" s="1" t="s">
        <v>150</v>
      </c>
      <c r="D71" s="1" t="s">
        <v>133</v>
      </c>
      <c r="E71" s="211">
        <v>45972</v>
      </c>
      <c r="F71" s="212" t="str">
        <f t="shared" ca="1" si="5"/>
        <v>0y 11m</v>
      </c>
      <c r="G71">
        <v>10211.219999999999</v>
      </c>
      <c r="H71">
        <v>79</v>
      </c>
      <c r="I71">
        <v>9331.2000000000007</v>
      </c>
      <c r="J71">
        <v>75</v>
      </c>
      <c r="K71">
        <v>3300.03</v>
      </c>
      <c r="L71">
        <v>21</v>
      </c>
      <c r="M71">
        <v>5148.07</v>
      </c>
      <c r="N71">
        <v>32</v>
      </c>
      <c r="O71">
        <v>5495.07</v>
      </c>
      <c r="P71">
        <v>35</v>
      </c>
      <c r="Q71">
        <v>2675.04</v>
      </c>
      <c r="R71">
        <v>15</v>
      </c>
      <c r="S71">
        <v>4618.09</v>
      </c>
      <c r="T71">
        <v>33</v>
      </c>
      <c r="U71">
        <v>3327.06</v>
      </c>
      <c r="V71">
        <v>24</v>
      </c>
      <c r="W71">
        <v>4887.08</v>
      </c>
      <c r="X71">
        <v>38</v>
      </c>
      <c r="Y71">
        <v>2409.09</v>
      </c>
      <c r="Z71">
        <v>20</v>
      </c>
      <c r="AA71">
        <v>3668.06</v>
      </c>
      <c r="AB71">
        <v>23</v>
      </c>
      <c r="AC71">
        <v>1722.07</v>
      </c>
      <c r="AD71">
        <v>12</v>
      </c>
      <c r="AE71" s="4">
        <v>2800.02</v>
      </c>
      <c r="AF71" s="4">
        <v>19</v>
      </c>
      <c r="AG71" s="4">
        <v>3063.05</v>
      </c>
      <c r="AH71" s="4">
        <v>23</v>
      </c>
      <c r="AI71" s="4">
        <v>3398.04</v>
      </c>
      <c r="AJ71" s="4">
        <v>27</v>
      </c>
      <c r="AK71" s="4">
        <v>3188.02</v>
      </c>
      <c r="AL71" s="4">
        <v>28</v>
      </c>
      <c r="AM71" s="4">
        <v>4001.03</v>
      </c>
      <c r="AN71" s="4">
        <v>22</v>
      </c>
      <c r="AO71" s="4">
        <v>2577</v>
      </c>
      <c r="AP71" s="4">
        <v>17</v>
      </c>
      <c r="AQ71" s="4">
        <v>2325.0100000000002</v>
      </c>
      <c r="AR71" s="4">
        <v>16</v>
      </c>
      <c r="AS71" s="4">
        <v>2523.0100000000002</v>
      </c>
      <c r="AT71" s="4">
        <v>15</v>
      </c>
      <c r="AU71" s="4">
        <v>1271</v>
      </c>
      <c r="AV71" s="4">
        <v>10</v>
      </c>
      <c r="AW71" s="4">
        <v>2800.89</v>
      </c>
      <c r="AX71" s="4">
        <v>18</v>
      </c>
      <c r="AY71" s="4">
        <v>3152.88</v>
      </c>
      <c r="AZ71" s="4">
        <v>19</v>
      </c>
      <c r="BA71" s="4">
        <v>3576.79</v>
      </c>
      <c r="BB71" s="4">
        <v>22</v>
      </c>
      <c r="BC71">
        <v>2259.88</v>
      </c>
      <c r="BD71">
        <v>14</v>
      </c>
      <c r="BE71">
        <v>2010.13</v>
      </c>
      <c r="BF71">
        <v>12</v>
      </c>
      <c r="BQ71" s="3">
        <f t="shared" si="6"/>
        <v>95738.829999999987</v>
      </c>
      <c r="BR71" s="3">
        <f t="shared" si="4"/>
        <v>669</v>
      </c>
    </row>
    <row r="72" spans="1:70" x14ac:dyDescent="0.25">
      <c r="A72" s="1" t="s">
        <v>40</v>
      </c>
      <c r="B72" s="1" t="s">
        <v>1330</v>
      </c>
      <c r="C72" s="1" t="s">
        <v>145</v>
      </c>
      <c r="D72" s="1" t="s">
        <v>131</v>
      </c>
      <c r="E72" s="211">
        <v>45722</v>
      </c>
      <c r="F72" s="212" t="str">
        <f t="shared" ca="1" si="5"/>
        <v>1y 7m</v>
      </c>
      <c r="G72">
        <v>3743.08</v>
      </c>
      <c r="H72">
        <v>36</v>
      </c>
      <c r="I72">
        <v>4969.13</v>
      </c>
      <c r="J72">
        <v>47</v>
      </c>
      <c r="K72">
        <v>2634.09</v>
      </c>
      <c r="L72">
        <v>27</v>
      </c>
      <c r="M72">
        <v>4506.04</v>
      </c>
      <c r="N72">
        <v>26</v>
      </c>
      <c r="O72">
        <v>4190.05</v>
      </c>
      <c r="P72">
        <v>33</v>
      </c>
      <c r="Q72">
        <v>2927.02</v>
      </c>
      <c r="R72">
        <v>20</v>
      </c>
      <c r="S72">
        <v>4463.09</v>
      </c>
      <c r="T72">
        <v>35</v>
      </c>
      <c r="U72">
        <v>5048.05</v>
      </c>
      <c r="V72">
        <v>34</v>
      </c>
      <c r="W72">
        <v>6303.09</v>
      </c>
      <c r="X72">
        <v>43</v>
      </c>
      <c r="Y72">
        <v>2757.09</v>
      </c>
      <c r="Z72">
        <v>24</v>
      </c>
      <c r="AA72">
        <v>2547.06</v>
      </c>
      <c r="AB72">
        <v>18</v>
      </c>
      <c r="AC72">
        <v>1721.01</v>
      </c>
      <c r="AD72">
        <v>10</v>
      </c>
      <c r="AE72" s="4">
        <v>1888.03</v>
      </c>
      <c r="AF72" s="4">
        <v>13</v>
      </c>
      <c r="AG72" s="4">
        <v>3039.08</v>
      </c>
      <c r="AH72" s="4">
        <v>24</v>
      </c>
      <c r="AI72" s="4">
        <v>4953.09</v>
      </c>
      <c r="AJ72" s="4">
        <v>38</v>
      </c>
      <c r="AK72" s="4">
        <v>5046.09</v>
      </c>
      <c r="AL72" s="4">
        <v>31</v>
      </c>
      <c r="AM72" s="4">
        <v>3947.02</v>
      </c>
      <c r="AN72" s="4">
        <v>30</v>
      </c>
      <c r="AO72" s="4">
        <v>2485.04</v>
      </c>
      <c r="AP72" s="4">
        <v>22</v>
      </c>
      <c r="AQ72" s="4">
        <v>2805.01</v>
      </c>
      <c r="AR72" s="4">
        <v>18</v>
      </c>
      <c r="AS72" s="4">
        <v>1370.02</v>
      </c>
      <c r="AT72" s="4">
        <v>11</v>
      </c>
      <c r="AU72" s="4">
        <v>2588.04</v>
      </c>
      <c r="AV72" s="4">
        <v>18</v>
      </c>
      <c r="AW72" s="4">
        <v>3183.83</v>
      </c>
      <c r="AX72" s="4">
        <v>22</v>
      </c>
      <c r="AY72" s="4">
        <v>5713.72</v>
      </c>
      <c r="AZ72" s="4">
        <v>35</v>
      </c>
      <c r="BA72" s="4">
        <v>2032.94</v>
      </c>
      <c r="BB72" s="4">
        <v>16</v>
      </c>
      <c r="BC72">
        <v>2549.85</v>
      </c>
      <c r="BD72">
        <v>15</v>
      </c>
      <c r="BE72">
        <v>2868.12</v>
      </c>
      <c r="BF72">
        <v>28</v>
      </c>
      <c r="BQ72" s="3">
        <f t="shared" si="6"/>
        <v>90278.68</v>
      </c>
      <c r="BR72" s="3">
        <f t="shared" si="4"/>
        <v>674</v>
      </c>
    </row>
    <row r="73" spans="1:70" x14ac:dyDescent="0.25">
      <c r="A73" s="1" t="s">
        <v>84</v>
      </c>
      <c r="B73" s="1" t="s">
        <v>1330</v>
      </c>
      <c r="C73" s="1" t="s">
        <v>139</v>
      </c>
      <c r="D73" s="1" t="s">
        <v>130</v>
      </c>
      <c r="E73" s="211">
        <v>46031</v>
      </c>
      <c r="F73" s="212" t="str">
        <f t="shared" ca="1" si="5"/>
        <v>0y 9m</v>
      </c>
      <c r="G73">
        <v>7579.09</v>
      </c>
      <c r="H73">
        <v>50</v>
      </c>
      <c r="I73">
        <v>6863.13</v>
      </c>
      <c r="J73">
        <v>46</v>
      </c>
      <c r="K73">
        <v>4557.0600000000004</v>
      </c>
      <c r="L73">
        <v>35</v>
      </c>
      <c r="M73">
        <v>5147.09</v>
      </c>
      <c r="N73">
        <v>33</v>
      </c>
      <c r="O73">
        <v>4402.13</v>
      </c>
      <c r="P73">
        <v>31</v>
      </c>
      <c r="Q73">
        <v>4741.1099999999997</v>
      </c>
      <c r="R73">
        <v>31</v>
      </c>
      <c r="S73">
        <v>3277.02</v>
      </c>
      <c r="T73">
        <v>21</v>
      </c>
      <c r="U73">
        <v>2745.04</v>
      </c>
      <c r="V73">
        <v>18</v>
      </c>
      <c r="W73">
        <v>3133.04</v>
      </c>
      <c r="X73">
        <v>26</v>
      </c>
      <c r="Y73">
        <v>3894.1</v>
      </c>
      <c r="Z73">
        <v>23</v>
      </c>
      <c r="AA73">
        <v>3708.04</v>
      </c>
      <c r="AB73">
        <v>18</v>
      </c>
      <c r="AC73">
        <v>3329.06</v>
      </c>
      <c r="AD73">
        <v>18</v>
      </c>
      <c r="AE73" s="4">
        <v>3069.01</v>
      </c>
      <c r="AF73" s="4">
        <v>17</v>
      </c>
      <c r="AG73" s="4">
        <v>4803.07</v>
      </c>
      <c r="AH73" s="4">
        <v>23</v>
      </c>
      <c r="AI73" s="4">
        <v>3615.07</v>
      </c>
      <c r="AJ73" s="4">
        <v>25</v>
      </c>
      <c r="AK73" s="4">
        <v>3503.01</v>
      </c>
      <c r="AL73" s="4">
        <v>20</v>
      </c>
      <c r="AM73" s="4">
        <v>4389.05</v>
      </c>
      <c r="AN73" s="4">
        <v>30</v>
      </c>
      <c r="AO73" s="4">
        <v>2585.06</v>
      </c>
      <c r="AP73" s="4">
        <v>25</v>
      </c>
      <c r="AQ73" s="4">
        <v>2223.0500000000002</v>
      </c>
      <c r="AR73" s="4">
        <v>17</v>
      </c>
      <c r="AS73" s="4">
        <v>3704.05</v>
      </c>
      <c r="AT73" s="4">
        <v>23</v>
      </c>
      <c r="AU73" s="4">
        <v>1714</v>
      </c>
      <c r="AV73" s="4">
        <v>17</v>
      </c>
      <c r="AW73" s="4">
        <v>3493.84</v>
      </c>
      <c r="AX73" s="4">
        <v>17</v>
      </c>
      <c r="AY73" s="4">
        <v>2695.88</v>
      </c>
      <c r="AZ73" s="4">
        <v>11</v>
      </c>
      <c r="BA73" s="4">
        <v>3607.86</v>
      </c>
      <c r="BB73" s="4">
        <v>12</v>
      </c>
      <c r="BC73">
        <v>2660.99</v>
      </c>
      <c r="BD73">
        <v>15</v>
      </c>
      <c r="BE73">
        <v>3470.23</v>
      </c>
      <c r="BF73">
        <v>14</v>
      </c>
      <c r="BQ73" s="3">
        <f t="shared" si="6"/>
        <v>98910.080000000002</v>
      </c>
      <c r="BR73" s="3">
        <f t="shared" si="4"/>
        <v>616</v>
      </c>
    </row>
    <row r="74" spans="1:70" x14ac:dyDescent="0.25">
      <c r="A74" s="1" t="s">
        <v>72</v>
      </c>
      <c r="B74" s="1" t="s">
        <v>1330</v>
      </c>
      <c r="C74" s="1" t="s">
        <v>155</v>
      </c>
      <c r="D74" s="1" t="s">
        <v>131</v>
      </c>
      <c r="E74" s="211">
        <v>45940</v>
      </c>
      <c r="F74" s="212" t="str">
        <f t="shared" ca="1" si="5"/>
        <v>1y 0m</v>
      </c>
      <c r="G74">
        <v>1527.02</v>
      </c>
      <c r="H74">
        <v>15</v>
      </c>
      <c r="I74">
        <v>1719.02</v>
      </c>
      <c r="J74">
        <v>15</v>
      </c>
      <c r="K74">
        <v>460</v>
      </c>
      <c r="L74">
        <v>6</v>
      </c>
      <c r="M74">
        <v>1614.01</v>
      </c>
      <c r="N74">
        <v>11</v>
      </c>
      <c r="O74">
        <v>750.02</v>
      </c>
      <c r="P74">
        <v>5</v>
      </c>
      <c r="Q74">
        <v>729.01</v>
      </c>
      <c r="R74">
        <v>5</v>
      </c>
      <c r="S74">
        <v>434</v>
      </c>
      <c r="T74">
        <v>4</v>
      </c>
      <c r="U74">
        <v>1155.02</v>
      </c>
      <c r="V74">
        <v>8</v>
      </c>
      <c r="W74">
        <v>753.0200000000001</v>
      </c>
      <c r="X74">
        <v>7</v>
      </c>
      <c r="Y74">
        <v>318</v>
      </c>
      <c r="Z74">
        <v>6</v>
      </c>
      <c r="AA74">
        <v>304.01</v>
      </c>
      <c r="AB74">
        <v>3</v>
      </c>
      <c r="AC74">
        <v>510.02</v>
      </c>
      <c r="AD74">
        <v>4</v>
      </c>
      <c r="AE74" s="4">
        <v>460.02</v>
      </c>
      <c r="AF74" s="4">
        <v>4</v>
      </c>
      <c r="AG74" s="4">
        <v>383.02</v>
      </c>
      <c r="AH74" s="4">
        <v>4</v>
      </c>
      <c r="AI74" s="4">
        <v>496</v>
      </c>
      <c r="AJ74" s="4">
        <v>5</v>
      </c>
      <c r="AK74" s="4">
        <v>783.02</v>
      </c>
      <c r="AL74" s="4">
        <v>7</v>
      </c>
      <c r="AM74" s="4">
        <v>558</v>
      </c>
      <c r="AN74" s="4">
        <v>7</v>
      </c>
      <c r="AO74" s="4">
        <v>328.01</v>
      </c>
      <c r="AP74" s="4">
        <v>4</v>
      </c>
      <c r="AQ74" s="4">
        <v>901.01</v>
      </c>
      <c r="AR74" s="4">
        <v>7</v>
      </c>
      <c r="AS74" s="4">
        <v>124</v>
      </c>
      <c r="AT74" s="4">
        <v>3</v>
      </c>
      <c r="AU74" s="4">
        <v>629.01</v>
      </c>
      <c r="AV74" s="4">
        <v>4</v>
      </c>
      <c r="AW74" s="4">
        <v>412</v>
      </c>
      <c r="AX74" s="4">
        <v>4</v>
      </c>
      <c r="AY74" s="4">
        <v>0</v>
      </c>
      <c r="AZ74" s="4">
        <v>0</v>
      </c>
      <c r="BA74" s="4">
        <v>400</v>
      </c>
      <c r="BB74" s="4">
        <v>4</v>
      </c>
      <c r="BC74">
        <v>597.98</v>
      </c>
      <c r="BD74">
        <v>5</v>
      </c>
      <c r="BE74">
        <v>286.02</v>
      </c>
      <c r="BF74">
        <v>2</v>
      </c>
      <c r="BQ74" s="3">
        <f t="shared" si="6"/>
        <v>16631.240000000002</v>
      </c>
      <c r="BR74" s="3">
        <f t="shared" si="4"/>
        <v>149</v>
      </c>
    </row>
    <row r="75" spans="1:70" x14ac:dyDescent="0.25">
      <c r="A75" s="1" t="s">
        <v>52</v>
      </c>
      <c r="B75" s="1" t="s">
        <v>1330</v>
      </c>
      <c r="C75" s="1" t="s">
        <v>139</v>
      </c>
      <c r="D75" s="1" t="s">
        <v>130</v>
      </c>
      <c r="E75" s="211">
        <v>45739</v>
      </c>
      <c r="F75" s="212" t="str">
        <f t="shared" ca="1" si="5"/>
        <v>1y 7m</v>
      </c>
      <c r="G75">
        <v>16867.46</v>
      </c>
      <c r="H75">
        <v>128</v>
      </c>
      <c r="I75">
        <v>14349.22</v>
      </c>
      <c r="J75">
        <v>96</v>
      </c>
      <c r="K75">
        <v>10151.25</v>
      </c>
      <c r="L75">
        <v>98</v>
      </c>
      <c r="M75">
        <v>7070.09</v>
      </c>
      <c r="N75">
        <v>46</v>
      </c>
      <c r="O75">
        <v>6919.15</v>
      </c>
      <c r="P75">
        <v>56</v>
      </c>
      <c r="Q75">
        <v>5961.17</v>
      </c>
      <c r="R75">
        <v>46</v>
      </c>
      <c r="S75">
        <v>8295.16</v>
      </c>
      <c r="T75">
        <v>65</v>
      </c>
      <c r="U75">
        <v>7455.13</v>
      </c>
      <c r="V75">
        <v>62</v>
      </c>
      <c r="W75">
        <v>9165.26</v>
      </c>
      <c r="X75">
        <v>73</v>
      </c>
      <c r="Y75">
        <v>6008.04</v>
      </c>
      <c r="Z75">
        <v>40</v>
      </c>
      <c r="AA75">
        <v>7663.99</v>
      </c>
      <c r="AB75">
        <v>45</v>
      </c>
      <c r="AC75">
        <v>4608.07</v>
      </c>
      <c r="AD75">
        <v>34</v>
      </c>
      <c r="AE75" s="4">
        <v>4986.07</v>
      </c>
      <c r="AF75" s="4">
        <v>33</v>
      </c>
      <c r="AG75" s="4">
        <v>4789.09</v>
      </c>
      <c r="AH75" s="4">
        <v>36</v>
      </c>
      <c r="AI75" s="4">
        <v>7322.04</v>
      </c>
      <c r="AJ75" s="4">
        <v>49</v>
      </c>
      <c r="AK75" s="4">
        <v>8408.06</v>
      </c>
      <c r="AL75" s="4">
        <v>56</v>
      </c>
      <c r="AM75" s="4">
        <v>3864.03</v>
      </c>
      <c r="AN75" s="4">
        <v>28</v>
      </c>
      <c r="AO75" s="4">
        <v>4863.0600000000004</v>
      </c>
      <c r="AP75" s="4">
        <v>27</v>
      </c>
      <c r="AQ75" s="4">
        <v>4675.03</v>
      </c>
      <c r="AR75" s="4">
        <v>29</v>
      </c>
      <c r="AS75" s="4">
        <v>7056.13</v>
      </c>
      <c r="AT75" s="4">
        <v>46</v>
      </c>
      <c r="AU75" s="4">
        <v>4521.0600000000004</v>
      </c>
      <c r="AV75" s="4">
        <v>34</v>
      </c>
      <c r="AW75" s="4">
        <v>2394.9299999999998</v>
      </c>
      <c r="AX75" s="4">
        <v>17</v>
      </c>
      <c r="AY75" s="4">
        <v>6347.78</v>
      </c>
      <c r="AZ75" s="4">
        <v>46</v>
      </c>
      <c r="BA75" s="4">
        <v>7337.59</v>
      </c>
      <c r="BB75" s="4">
        <v>35</v>
      </c>
      <c r="BC75">
        <v>4917.83</v>
      </c>
      <c r="BD75">
        <v>25</v>
      </c>
      <c r="BE75">
        <v>3372.17</v>
      </c>
      <c r="BF75">
        <v>25</v>
      </c>
      <c r="BQ75" s="3">
        <f t="shared" si="6"/>
        <v>179368.86</v>
      </c>
      <c r="BR75" s="3">
        <f t="shared" si="4"/>
        <v>1275</v>
      </c>
    </row>
    <row r="76" spans="1:70" x14ac:dyDescent="0.25">
      <c r="A76" s="1" t="s">
        <v>107</v>
      </c>
      <c r="B76" s="1" t="s">
        <v>1330</v>
      </c>
      <c r="C76" s="1" t="s">
        <v>142</v>
      </c>
      <c r="D76" s="1" t="s">
        <v>132</v>
      </c>
      <c r="E76" s="211">
        <v>46078</v>
      </c>
      <c r="F76" s="212" t="str">
        <f t="shared" ca="1" si="5"/>
        <v>0y 8m</v>
      </c>
      <c r="G76">
        <v>4041.14</v>
      </c>
      <c r="H76">
        <v>28</v>
      </c>
      <c r="I76">
        <v>6000.1</v>
      </c>
      <c r="J76">
        <v>25</v>
      </c>
      <c r="K76">
        <v>5368.1</v>
      </c>
      <c r="L76">
        <v>25</v>
      </c>
      <c r="M76">
        <v>4256.07</v>
      </c>
      <c r="N76">
        <v>23</v>
      </c>
      <c r="O76">
        <v>3028.02</v>
      </c>
      <c r="P76">
        <v>12</v>
      </c>
      <c r="Q76">
        <v>3141</v>
      </c>
      <c r="R76">
        <v>14</v>
      </c>
      <c r="S76">
        <v>3276.05</v>
      </c>
      <c r="T76">
        <v>24</v>
      </c>
      <c r="U76">
        <v>2832.03</v>
      </c>
      <c r="V76">
        <v>19</v>
      </c>
      <c r="W76">
        <v>6718.1</v>
      </c>
      <c r="X76">
        <v>32</v>
      </c>
      <c r="Y76">
        <v>6380.06</v>
      </c>
      <c r="Z76">
        <v>31</v>
      </c>
      <c r="AA76">
        <v>4272.0600000000004</v>
      </c>
      <c r="AB76">
        <v>21</v>
      </c>
      <c r="AC76">
        <v>3998</v>
      </c>
      <c r="AD76">
        <v>22</v>
      </c>
      <c r="AE76" s="4">
        <v>5185.05</v>
      </c>
      <c r="AF76" s="4">
        <v>20</v>
      </c>
      <c r="AG76" s="4">
        <v>3871.01</v>
      </c>
      <c r="AH76" s="4">
        <v>20</v>
      </c>
      <c r="AI76" s="4">
        <v>3536.06</v>
      </c>
      <c r="AJ76" s="4">
        <v>26</v>
      </c>
      <c r="AK76" s="4">
        <v>4596.99</v>
      </c>
      <c r="AL76" s="4">
        <v>16</v>
      </c>
      <c r="AM76" s="4">
        <v>6440.08</v>
      </c>
      <c r="AN76" s="4">
        <v>22</v>
      </c>
      <c r="AO76" s="4">
        <v>4371.03</v>
      </c>
      <c r="AP76" s="4">
        <v>27</v>
      </c>
      <c r="AQ76" s="4">
        <v>6147.96</v>
      </c>
      <c r="AR76" s="4">
        <v>21</v>
      </c>
      <c r="AS76" s="4">
        <v>2863.99</v>
      </c>
      <c r="AT76" s="4">
        <v>18</v>
      </c>
      <c r="AU76" s="4">
        <v>3900.02</v>
      </c>
      <c r="AV76" s="4">
        <v>23</v>
      </c>
      <c r="AW76" s="4">
        <v>4060.79</v>
      </c>
      <c r="AX76" s="4">
        <v>23</v>
      </c>
      <c r="AY76" s="4">
        <v>6043.73</v>
      </c>
      <c r="AZ76" s="4">
        <v>29</v>
      </c>
      <c r="BA76" s="4">
        <v>3448.88</v>
      </c>
      <c r="BB76" s="4">
        <v>20</v>
      </c>
      <c r="BC76">
        <v>1760.86</v>
      </c>
      <c r="BD76">
        <v>6</v>
      </c>
      <c r="BE76">
        <v>6655.45</v>
      </c>
      <c r="BF76">
        <v>34</v>
      </c>
      <c r="BQ76" s="3">
        <f t="shared" si="6"/>
        <v>116192.63000000002</v>
      </c>
      <c r="BR76" s="3">
        <f t="shared" si="4"/>
        <v>581</v>
      </c>
    </row>
    <row r="77" spans="1:70" x14ac:dyDescent="0.25">
      <c r="A77" s="1" t="s">
        <v>43</v>
      </c>
      <c r="B77" s="1" t="s">
        <v>1330</v>
      </c>
      <c r="C77" s="1" t="s">
        <v>156</v>
      </c>
      <c r="D77" s="1" t="s">
        <v>131</v>
      </c>
      <c r="E77" s="211">
        <v>45726</v>
      </c>
      <c r="F77" s="212" t="str">
        <f t="shared" ca="1" si="5"/>
        <v>1y 7m</v>
      </c>
      <c r="G77">
        <v>8165.04</v>
      </c>
      <c r="H77">
        <v>73</v>
      </c>
      <c r="I77">
        <v>6567.1</v>
      </c>
      <c r="J77">
        <v>58</v>
      </c>
      <c r="K77">
        <v>4140.08</v>
      </c>
      <c r="L77">
        <v>34</v>
      </c>
      <c r="M77">
        <v>3013.02</v>
      </c>
      <c r="N77">
        <v>24</v>
      </c>
      <c r="O77">
        <v>4446.09</v>
      </c>
      <c r="P77">
        <v>26</v>
      </c>
      <c r="Q77">
        <v>1764.03</v>
      </c>
      <c r="R77">
        <v>16</v>
      </c>
      <c r="S77">
        <v>4903.08</v>
      </c>
      <c r="T77">
        <v>32</v>
      </c>
      <c r="U77">
        <v>4614.09</v>
      </c>
      <c r="V77">
        <v>39</v>
      </c>
      <c r="W77">
        <v>5898.08</v>
      </c>
      <c r="X77">
        <v>46</v>
      </c>
      <c r="Y77">
        <v>3822.05</v>
      </c>
      <c r="Z77">
        <v>33</v>
      </c>
      <c r="AA77">
        <v>3197.03</v>
      </c>
      <c r="AB77">
        <v>22</v>
      </c>
      <c r="AC77">
        <v>3826.05</v>
      </c>
      <c r="AD77">
        <v>31</v>
      </c>
      <c r="AE77" s="4">
        <v>2356.98</v>
      </c>
      <c r="AF77" s="4">
        <v>16</v>
      </c>
      <c r="AG77" s="4">
        <v>3525.05</v>
      </c>
      <c r="AH77" s="4">
        <v>29</v>
      </c>
      <c r="AI77" s="4">
        <v>5449.08</v>
      </c>
      <c r="AJ77" s="4">
        <v>42</v>
      </c>
      <c r="AK77" s="4">
        <v>5385.11</v>
      </c>
      <c r="AL77" s="4">
        <v>38</v>
      </c>
      <c r="AM77" s="4">
        <v>4080.02</v>
      </c>
      <c r="AN77" s="4">
        <v>28</v>
      </c>
      <c r="AO77" s="4">
        <v>2624.04</v>
      </c>
      <c r="AP77" s="4">
        <v>20</v>
      </c>
      <c r="AQ77" s="4">
        <v>2730.02</v>
      </c>
      <c r="AR77" s="4">
        <v>19</v>
      </c>
      <c r="AS77" s="4">
        <v>3739.09</v>
      </c>
      <c r="AT77" s="4">
        <v>28</v>
      </c>
      <c r="AU77" s="4">
        <v>2969.01</v>
      </c>
      <c r="AV77" s="4">
        <v>27</v>
      </c>
      <c r="AW77" s="4">
        <v>3816.74</v>
      </c>
      <c r="AX77" s="4">
        <v>30</v>
      </c>
      <c r="AY77" s="4">
        <v>5923.81</v>
      </c>
      <c r="AZ77" s="4">
        <v>28</v>
      </c>
      <c r="BA77" s="4">
        <v>3783.85</v>
      </c>
      <c r="BB77" s="4">
        <v>25</v>
      </c>
      <c r="BC77">
        <v>3561.87</v>
      </c>
      <c r="BD77">
        <v>28</v>
      </c>
      <c r="BE77">
        <v>4287.22</v>
      </c>
      <c r="BF77">
        <v>29</v>
      </c>
      <c r="BQ77" s="3">
        <f t="shared" si="6"/>
        <v>108587.63</v>
      </c>
      <c r="BR77" s="3">
        <f t="shared" si="4"/>
        <v>821</v>
      </c>
    </row>
    <row r="78" spans="1:70" x14ac:dyDescent="0.25">
      <c r="A78" s="1" t="s">
        <v>38</v>
      </c>
      <c r="B78" s="1" t="s">
        <v>1330</v>
      </c>
      <c r="C78" s="1" t="s">
        <v>138</v>
      </c>
      <c r="D78" s="1" t="s">
        <v>128</v>
      </c>
      <c r="E78" s="211">
        <v>45704</v>
      </c>
      <c r="F78" s="212" t="str">
        <f t="shared" ca="1" si="5"/>
        <v>1y 8m</v>
      </c>
      <c r="G78">
        <v>12677.23</v>
      </c>
      <c r="H78">
        <v>91</v>
      </c>
      <c r="I78">
        <v>9698.19</v>
      </c>
      <c r="J78">
        <v>82</v>
      </c>
      <c r="K78">
        <v>6867.1</v>
      </c>
      <c r="L78">
        <v>61</v>
      </c>
      <c r="M78">
        <v>8250.19</v>
      </c>
      <c r="N78">
        <v>51</v>
      </c>
      <c r="O78">
        <v>5144.13</v>
      </c>
      <c r="P78">
        <v>39</v>
      </c>
      <c r="Q78">
        <v>6030</v>
      </c>
      <c r="R78">
        <v>31</v>
      </c>
      <c r="S78">
        <v>5675.16</v>
      </c>
      <c r="T78">
        <v>46</v>
      </c>
      <c r="U78">
        <v>7637.17</v>
      </c>
      <c r="V78">
        <v>56</v>
      </c>
      <c r="W78">
        <v>7450.02</v>
      </c>
      <c r="X78">
        <v>48</v>
      </c>
      <c r="Y78">
        <v>5293.09</v>
      </c>
      <c r="Z78">
        <v>27</v>
      </c>
      <c r="AA78">
        <v>2877.11</v>
      </c>
      <c r="AB78">
        <v>22</v>
      </c>
      <c r="AC78">
        <v>3232.07</v>
      </c>
      <c r="AD78">
        <v>25</v>
      </c>
      <c r="AE78" s="4">
        <v>3324.05</v>
      </c>
      <c r="AF78" s="4">
        <v>20</v>
      </c>
      <c r="AG78" s="4">
        <v>3488.06</v>
      </c>
      <c r="AH78" s="4">
        <v>29</v>
      </c>
      <c r="AI78" s="4">
        <v>3206.15</v>
      </c>
      <c r="AJ78" s="4">
        <v>32</v>
      </c>
      <c r="AK78" s="4">
        <v>5026.1000000000004</v>
      </c>
      <c r="AL78" s="4">
        <v>41</v>
      </c>
      <c r="AM78" s="4">
        <v>4418.01</v>
      </c>
      <c r="AN78" s="4">
        <v>29</v>
      </c>
      <c r="AO78" s="4">
        <v>2043.05</v>
      </c>
      <c r="AP78" s="4">
        <v>16</v>
      </c>
      <c r="AQ78" s="4">
        <v>2424.02</v>
      </c>
      <c r="AR78" s="4">
        <v>17</v>
      </c>
      <c r="AS78" s="4">
        <v>3110.03</v>
      </c>
      <c r="AT78" s="4">
        <v>24</v>
      </c>
      <c r="AU78" s="4">
        <v>3347.06</v>
      </c>
      <c r="AV78" s="4">
        <v>25</v>
      </c>
      <c r="AW78" s="4">
        <v>5000.83</v>
      </c>
      <c r="AX78" s="4">
        <v>38</v>
      </c>
      <c r="AY78" s="4">
        <v>3870.82</v>
      </c>
      <c r="AZ78" s="4">
        <v>25</v>
      </c>
      <c r="BA78" s="4">
        <v>4211.8599999999997</v>
      </c>
      <c r="BB78" s="4">
        <v>26</v>
      </c>
      <c r="BC78">
        <v>4442.8</v>
      </c>
      <c r="BD78">
        <v>35</v>
      </c>
      <c r="BE78">
        <v>2909.11</v>
      </c>
      <c r="BF78">
        <v>22</v>
      </c>
      <c r="BQ78" s="3">
        <f t="shared" si="6"/>
        <v>131653.41</v>
      </c>
      <c r="BR78" s="3">
        <f t="shared" si="4"/>
        <v>958</v>
      </c>
    </row>
    <row r="79" spans="1:70" x14ac:dyDescent="0.25">
      <c r="A79" s="1" t="s">
        <v>21</v>
      </c>
      <c r="B79" s="1" t="s">
        <v>1330</v>
      </c>
      <c r="C79" s="1" t="s">
        <v>138</v>
      </c>
      <c r="D79" s="1" t="s">
        <v>128</v>
      </c>
      <c r="E79" s="211">
        <v>45552</v>
      </c>
      <c r="F79" s="212" t="str">
        <f t="shared" ca="1" si="5"/>
        <v>2y 1m</v>
      </c>
      <c r="G79">
        <v>6872.07</v>
      </c>
      <c r="H79">
        <v>47</v>
      </c>
      <c r="I79">
        <v>8782.15</v>
      </c>
      <c r="J79">
        <v>61</v>
      </c>
      <c r="K79">
        <v>7453.12</v>
      </c>
      <c r="L79">
        <v>51</v>
      </c>
      <c r="M79">
        <v>8497.08</v>
      </c>
      <c r="N79">
        <v>46</v>
      </c>
      <c r="O79">
        <v>6969.2</v>
      </c>
      <c r="P79">
        <v>36</v>
      </c>
      <c r="Q79">
        <v>3299.1</v>
      </c>
      <c r="R79">
        <v>28</v>
      </c>
      <c r="S79">
        <v>4927.08</v>
      </c>
      <c r="T79">
        <v>31</v>
      </c>
      <c r="U79">
        <v>5447.09</v>
      </c>
      <c r="V79">
        <v>38</v>
      </c>
      <c r="W79">
        <v>4894.16</v>
      </c>
      <c r="X79">
        <v>27</v>
      </c>
      <c r="Y79">
        <v>4726.08</v>
      </c>
      <c r="Z79">
        <v>33</v>
      </c>
      <c r="AA79">
        <v>2978</v>
      </c>
      <c r="AB79">
        <v>14</v>
      </c>
      <c r="AC79">
        <v>5540.07</v>
      </c>
      <c r="AD79">
        <v>20</v>
      </c>
      <c r="AE79" s="4">
        <v>3120.05</v>
      </c>
      <c r="AF79" s="4">
        <v>22</v>
      </c>
      <c r="AG79" s="4">
        <v>2899.08</v>
      </c>
      <c r="AH79" s="4">
        <v>19</v>
      </c>
      <c r="AI79" s="4">
        <v>4345.08</v>
      </c>
      <c r="AJ79" s="4">
        <v>28</v>
      </c>
      <c r="AK79" s="4">
        <v>3416.99</v>
      </c>
      <c r="AL79" s="4">
        <v>19</v>
      </c>
      <c r="AM79" s="4">
        <v>4872.09</v>
      </c>
      <c r="AN79" s="4">
        <v>28</v>
      </c>
      <c r="AO79" s="4">
        <v>3087.05</v>
      </c>
      <c r="AP79" s="4">
        <v>17</v>
      </c>
      <c r="AQ79" s="4">
        <v>1835.03</v>
      </c>
      <c r="AR79" s="4">
        <v>13</v>
      </c>
      <c r="AS79" s="4">
        <v>3526.04</v>
      </c>
      <c r="AT79" s="4">
        <v>22</v>
      </c>
      <c r="AU79" s="4">
        <v>2299.0100000000002</v>
      </c>
      <c r="AV79" s="4">
        <v>14</v>
      </c>
      <c r="AW79" s="4">
        <v>4669.79</v>
      </c>
      <c r="AX79" s="4">
        <v>30</v>
      </c>
      <c r="AY79" s="4">
        <v>3424.85</v>
      </c>
      <c r="AZ79" s="4">
        <v>17</v>
      </c>
      <c r="BA79" s="4">
        <v>3722.74</v>
      </c>
      <c r="BB79" s="4">
        <v>17</v>
      </c>
      <c r="BC79">
        <v>2662.84</v>
      </c>
      <c r="BD79">
        <v>18</v>
      </c>
      <c r="BE79">
        <v>2723.14</v>
      </c>
      <c r="BF79">
        <v>13</v>
      </c>
      <c r="BQ79" s="3">
        <f t="shared" si="6"/>
        <v>116988.98000000001</v>
      </c>
      <c r="BR79" s="3">
        <f t="shared" si="4"/>
        <v>709</v>
      </c>
    </row>
    <row r="80" spans="1:70" x14ac:dyDescent="0.25">
      <c r="A80" s="1" t="s">
        <v>93</v>
      </c>
      <c r="B80" s="1" t="s">
        <v>1330</v>
      </c>
      <c r="C80" s="1" t="s">
        <v>139</v>
      </c>
      <c r="D80" s="1" t="s">
        <v>130</v>
      </c>
      <c r="E80" s="211">
        <v>45951</v>
      </c>
      <c r="F80" s="212" t="str">
        <f t="shared" ca="1" si="5"/>
        <v>1y 0m</v>
      </c>
      <c r="G80">
        <v>4147.0600000000004</v>
      </c>
      <c r="H80">
        <v>38</v>
      </c>
      <c r="I80">
        <v>3831.07</v>
      </c>
      <c r="J80">
        <v>39</v>
      </c>
      <c r="K80">
        <v>1790.03</v>
      </c>
      <c r="L80">
        <v>16</v>
      </c>
      <c r="M80">
        <v>2176.02</v>
      </c>
      <c r="N80">
        <v>19</v>
      </c>
      <c r="O80">
        <v>3131.08</v>
      </c>
      <c r="P80">
        <v>25</v>
      </c>
      <c r="Q80">
        <v>3025.07</v>
      </c>
      <c r="R80">
        <v>19</v>
      </c>
      <c r="S80">
        <v>1962.05</v>
      </c>
      <c r="T80">
        <v>18</v>
      </c>
      <c r="U80">
        <v>2384.0500000000002</v>
      </c>
      <c r="V80">
        <v>19</v>
      </c>
      <c r="W80">
        <v>3655.02</v>
      </c>
      <c r="X80">
        <v>31</v>
      </c>
      <c r="Y80">
        <v>2304.0100000000002</v>
      </c>
      <c r="Z80">
        <v>18</v>
      </c>
      <c r="AA80">
        <v>966.02</v>
      </c>
      <c r="AB80">
        <v>11</v>
      </c>
      <c r="AC80">
        <v>1283.02</v>
      </c>
      <c r="AD80">
        <v>14</v>
      </c>
      <c r="AE80" s="4">
        <v>1685</v>
      </c>
      <c r="AF80" s="4">
        <v>14</v>
      </c>
      <c r="AG80" s="4">
        <v>2249.04</v>
      </c>
      <c r="AH80" s="4">
        <v>16</v>
      </c>
      <c r="AI80" s="4">
        <v>1510.99</v>
      </c>
      <c r="AJ80" s="4">
        <v>12</v>
      </c>
      <c r="AK80" s="4">
        <v>2605.08</v>
      </c>
      <c r="AL80" s="4">
        <v>19</v>
      </c>
      <c r="AM80" s="4">
        <v>2171.0100000000002</v>
      </c>
      <c r="AN80" s="4">
        <v>18</v>
      </c>
      <c r="AO80" s="4">
        <v>1373.01</v>
      </c>
      <c r="AP80" s="4">
        <v>13</v>
      </c>
      <c r="AQ80" s="4">
        <v>678</v>
      </c>
      <c r="AR80" s="4">
        <v>6</v>
      </c>
      <c r="AS80" s="4">
        <v>1972.02</v>
      </c>
      <c r="AT80" s="4">
        <v>13</v>
      </c>
      <c r="AU80" s="4">
        <v>1725</v>
      </c>
      <c r="AV80" s="4">
        <v>15</v>
      </c>
      <c r="AW80" s="4">
        <v>1770.98</v>
      </c>
      <c r="AX80" s="4">
        <v>16</v>
      </c>
      <c r="AY80" s="4">
        <v>407.01</v>
      </c>
      <c r="AZ80" s="4">
        <v>4</v>
      </c>
      <c r="BA80" s="4">
        <v>1437.02</v>
      </c>
      <c r="BB80" s="4">
        <v>11</v>
      </c>
      <c r="BC80">
        <v>385.98</v>
      </c>
      <c r="BD80">
        <v>2</v>
      </c>
      <c r="BE80">
        <v>956.04</v>
      </c>
      <c r="BF80">
        <v>7</v>
      </c>
      <c r="BQ80" s="3">
        <f t="shared" si="6"/>
        <v>51580.680000000008</v>
      </c>
      <c r="BR80" s="3">
        <f t="shared" si="4"/>
        <v>433</v>
      </c>
    </row>
    <row r="81" spans="1:70" x14ac:dyDescent="0.25">
      <c r="A81" s="1" t="s">
        <v>17</v>
      </c>
      <c r="B81" s="1" t="s">
        <v>1330</v>
      </c>
      <c r="C81" s="1" t="s">
        <v>138</v>
      </c>
      <c r="D81" s="1" t="s">
        <v>128</v>
      </c>
      <c r="E81" s="211">
        <v>45490</v>
      </c>
      <c r="F81" s="212" t="str">
        <f t="shared" ca="1" si="5"/>
        <v>2y 3m</v>
      </c>
      <c r="G81">
        <v>18407.39</v>
      </c>
      <c r="H81">
        <v>136</v>
      </c>
      <c r="I81">
        <v>14416.26</v>
      </c>
      <c r="J81">
        <v>112</v>
      </c>
      <c r="K81">
        <v>16807.27</v>
      </c>
      <c r="L81">
        <v>119</v>
      </c>
      <c r="M81">
        <v>17475.45</v>
      </c>
      <c r="N81">
        <v>99</v>
      </c>
      <c r="O81">
        <v>12940.2</v>
      </c>
      <c r="P81">
        <v>80</v>
      </c>
      <c r="Q81">
        <v>12608.28</v>
      </c>
      <c r="R81">
        <v>73</v>
      </c>
      <c r="S81">
        <v>13807.24</v>
      </c>
      <c r="T81">
        <v>77</v>
      </c>
      <c r="U81">
        <v>15085.37</v>
      </c>
      <c r="V81">
        <v>88</v>
      </c>
      <c r="W81">
        <v>10705.23</v>
      </c>
      <c r="X81">
        <v>77</v>
      </c>
      <c r="Y81">
        <v>12735.02</v>
      </c>
      <c r="Z81">
        <v>62</v>
      </c>
      <c r="AA81">
        <v>11741.2</v>
      </c>
      <c r="AB81">
        <v>65</v>
      </c>
      <c r="AC81">
        <v>7781.25</v>
      </c>
      <c r="AD81">
        <v>52</v>
      </c>
      <c r="AE81" s="4">
        <v>9952.1299999999992</v>
      </c>
      <c r="AF81" s="4">
        <v>57</v>
      </c>
      <c r="AG81" s="4">
        <v>6999.12</v>
      </c>
      <c r="AH81" s="4">
        <v>48</v>
      </c>
      <c r="AI81" s="4">
        <v>10018.19</v>
      </c>
      <c r="AJ81" s="4">
        <v>58</v>
      </c>
      <c r="AK81" s="4">
        <v>8304.09</v>
      </c>
      <c r="AL81" s="4">
        <v>46</v>
      </c>
      <c r="AM81" s="4">
        <v>7398.15</v>
      </c>
      <c r="AN81" s="4">
        <v>51</v>
      </c>
      <c r="AO81" s="4">
        <v>10107.1</v>
      </c>
      <c r="AP81" s="4">
        <v>64</v>
      </c>
      <c r="AQ81" s="4">
        <v>8672.2100000000009</v>
      </c>
      <c r="AR81" s="4">
        <v>56</v>
      </c>
      <c r="AS81" s="4">
        <v>15252.07</v>
      </c>
      <c r="AT81" s="4">
        <v>54</v>
      </c>
      <c r="AU81" s="4">
        <v>11698.22</v>
      </c>
      <c r="AV81" s="4">
        <v>54</v>
      </c>
      <c r="AW81" s="4">
        <v>9223.67</v>
      </c>
      <c r="AX81" s="4">
        <v>64</v>
      </c>
      <c r="AY81" s="4">
        <v>12125.33</v>
      </c>
      <c r="AZ81" s="4">
        <v>72</v>
      </c>
      <c r="BA81" s="4">
        <v>21564.93</v>
      </c>
      <c r="BB81" s="4">
        <v>55</v>
      </c>
      <c r="BC81">
        <v>8172.47</v>
      </c>
      <c r="BD81">
        <v>49</v>
      </c>
      <c r="BE81">
        <v>7991.55</v>
      </c>
      <c r="BF81">
        <v>45</v>
      </c>
      <c r="BQ81" s="3">
        <f t="shared" si="6"/>
        <v>311989.38999999996</v>
      </c>
      <c r="BR81" s="3">
        <f t="shared" si="4"/>
        <v>1813</v>
      </c>
    </row>
    <row r="82" spans="1:70" x14ac:dyDescent="0.25">
      <c r="A82" s="1" t="s">
        <v>114</v>
      </c>
      <c r="B82" s="1" t="s">
        <v>1330</v>
      </c>
      <c r="C82" s="1" t="s">
        <v>157</v>
      </c>
      <c r="D82" s="1" t="s">
        <v>133</v>
      </c>
      <c r="E82" s="211">
        <v>46142</v>
      </c>
      <c r="F82" s="212" t="str">
        <f t="shared" ca="1" si="5"/>
        <v>0y 5m</v>
      </c>
      <c r="G82">
        <v>5323.09</v>
      </c>
      <c r="H82">
        <v>35</v>
      </c>
      <c r="I82">
        <v>7093.08</v>
      </c>
      <c r="J82">
        <v>33</v>
      </c>
      <c r="K82">
        <v>2828.08</v>
      </c>
      <c r="L82">
        <v>18</v>
      </c>
      <c r="M82">
        <v>3449.02</v>
      </c>
      <c r="N82">
        <v>18</v>
      </c>
      <c r="O82">
        <v>1904.06</v>
      </c>
      <c r="P82">
        <v>11</v>
      </c>
      <c r="Q82">
        <v>1667</v>
      </c>
      <c r="R82">
        <v>9</v>
      </c>
      <c r="S82">
        <v>2204.0100000000002</v>
      </c>
      <c r="T82">
        <v>13</v>
      </c>
      <c r="U82">
        <v>2275.0700000000002</v>
      </c>
      <c r="V82">
        <v>14</v>
      </c>
      <c r="W82">
        <v>3218.12</v>
      </c>
      <c r="X82">
        <v>17</v>
      </c>
      <c r="Y82">
        <v>2448.02</v>
      </c>
      <c r="Z82">
        <v>16</v>
      </c>
      <c r="AA82">
        <v>2761.07</v>
      </c>
      <c r="AB82">
        <v>15</v>
      </c>
      <c r="AC82">
        <v>1435.02</v>
      </c>
      <c r="AD82">
        <v>8</v>
      </c>
      <c r="AE82" s="4">
        <v>1617.03</v>
      </c>
      <c r="AF82" s="4">
        <v>9</v>
      </c>
      <c r="AG82" s="4">
        <v>1614.02</v>
      </c>
      <c r="AH82" s="4">
        <v>9</v>
      </c>
      <c r="AI82" s="4">
        <v>2962.99</v>
      </c>
      <c r="AJ82" s="4">
        <v>17</v>
      </c>
      <c r="AK82" s="4">
        <v>3688.99</v>
      </c>
      <c r="AL82" s="4">
        <v>20</v>
      </c>
      <c r="AM82" s="4">
        <v>1314</v>
      </c>
      <c r="AN82" s="4">
        <v>8</v>
      </c>
      <c r="AO82" s="4">
        <v>1024.01</v>
      </c>
      <c r="AP82" s="4">
        <v>7</v>
      </c>
      <c r="AQ82" s="4">
        <v>1306.02</v>
      </c>
      <c r="AR82" s="4">
        <v>6</v>
      </c>
      <c r="AS82" s="4">
        <v>1228</v>
      </c>
      <c r="AT82" s="4">
        <v>7</v>
      </c>
      <c r="AU82" s="4">
        <v>1289</v>
      </c>
      <c r="AV82" s="4">
        <v>7</v>
      </c>
      <c r="AW82" s="4">
        <v>2284.91</v>
      </c>
      <c r="AX82" s="4">
        <v>13</v>
      </c>
      <c r="AY82" s="4">
        <v>1789.92</v>
      </c>
      <c r="AZ82" s="4">
        <v>12</v>
      </c>
      <c r="BA82" s="4">
        <v>1426.94</v>
      </c>
      <c r="BB82" s="4">
        <v>7</v>
      </c>
      <c r="BC82">
        <v>1474.92</v>
      </c>
      <c r="BD82">
        <v>8</v>
      </c>
      <c r="BE82">
        <v>1451.07</v>
      </c>
      <c r="BF82">
        <v>9</v>
      </c>
      <c r="BQ82" s="3">
        <f t="shared" si="6"/>
        <v>61077.459999999985</v>
      </c>
      <c r="BR82" s="3">
        <f t="shared" si="4"/>
        <v>346</v>
      </c>
    </row>
    <row r="83" spans="1:70" x14ac:dyDescent="0.25">
      <c r="A83" s="1" t="s">
        <v>50</v>
      </c>
      <c r="B83" s="1" t="s">
        <v>1330</v>
      </c>
      <c r="C83" s="1" t="s">
        <v>143</v>
      </c>
      <c r="D83" s="1" t="s">
        <v>133</v>
      </c>
      <c r="E83" s="211">
        <v>45743</v>
      </c>
      <c r="F83" s="212" t="str">
        <f t="shared" ca="1" si="5"/>
        <v>1y 7m</v>
      </c>
      <c r="G83">
        <v>10598.34</v>
      </c>
      <c r="H83">
        <v>54</v>
      </c>
      <c r="I83">
        <v>10101.280000000001</v>
      </c>
      <c r="J83">
        <v>52</v>
      </c>
      <c r="K83">
        <v>5335.11</v>
      </c>
      <c r="L83">
        <v>27</v>
      </c>
      <c r="M83">
        <v>7409.07</v>
      </c>
      <c r="N83">
        <v>36</v>
      </c>
      <c r="O83">
        <v>4664.12</v>
      </c>
      <c r="P83">
        <v>25</v>
      </c>
      <c r="Q83">
        <v>5787.13</v>
      </c>
      <c r="R83">
        <v>33</v>
      </c>
      <c r="S83">
        <v>8380.1200000000008</v>
      </c>
      <c r="T83">
        <v>42</v>
      </c>
      <c r="U83">
        <v>6114.08</v>
      </c>
      <c r="V83">
        <v>32</v>
      </c>
      <c r="W83">
        <v>5889.04</v>
      </c>
      <c r="X83">
        <v>36</v>
      </c>
      <c r="Y83">
        <v>4628.05</v>
      </c>
      <c r="Z83">
        <v>21</v>
      </c>
      <c r="AA83">
        <v>4742.08</v>
      </c>
      <c r="AB83">
        <v>22</v>
      </c>
      <c r="AC83">
        <v>3670.06</v>
      </c>
      <c r="AD83">
        <v>22</v>
      </c>
      <c r="AE83" s="4">
        <v>4799.03</v>
      </c>
      <c r="AF83" s="4">
        <v>30</v>
      </c>
      <c r="AG83" s="4">
        <v>5835.1</v>
      </c>
      <c r="AH83" s="4">
        <v>34</v>
      </c>
      <c r="AI83" s="4">
        <v>4140.0200000000004</v>
      </c>
      <c r="AJ83" s="4">
        <v>31</v>
      </c>
      <c r="AK83" s="4">
        <v>3633.04</v>
      </c>
      <c r="AL83" s="4">
        <v>20</v>
      </c>
      <c r="AM83" s="4">
        <v>4101.04</v>
      </c>
      <c r="AN83" s="4">
        <v>25</v>
      </c>
      <c r="AO83" s="4">
        <v>5814.05</v>
      </c>
      <c r="AP83" s="4">
        <v>23</v>
      </c>
      <c r="AQ83" s="4">
        <v>5348.1</v>
      </c>
      <c r="AR83" s="4">
        <v>31</v>
      </c>
      <c r="AS83" s="4">
        <v>3045.01</v>
      </c>
      <c r="AT83" s="4">
        <v>16</v>
      </c>
      <c r="AU83" s="4">
        <v>5488.12</v>
      </c>
      <c r="AV83" s="4">
        <v>27</v>
      </c>
      <c r="AW83" s="4">
        <v>5533.76</v>
      </c>
      <c r="AX83" s="4">
        <v>26</v>
      </c>
      <c r="AY83" s="4">
        <v>3477.76</v>
      </c>
      <c r="AZ83" s="4">
        <v>15</v>
      </c>
      <c r="BA83" s="4">
        <v>3504.87</v>
      </c>
      <c r="BB83" s="4">
        <v>17</v>
      </c>
      <c r="BC83">
        <v>3500.77</v>
      </c>
      <c r="BD83">
        <v>19</v>
      </c>
      <c r="BE83">
        <v>5065.3100000000004</v>
      </c>
      <c r="BF83">
        <v>18</v>
      </c>
      <c r="BQ83" s="3">
        <f t="shared" si="6"/>
        <v>140604.46</v>
      </c>
      <c r="BR83" s="3">
        <f t="shared" si="4"/>
        <v>734</v>
      </c>
    </row>
    <row r="84" spans="1:70" x14ac:dyDescent="0.25">
      <c r="A84" s="1" t="s">
        <v>42</v>
      </c>
      <c r="B84" s="1" t="s">
        <v>1330</v>
      </c>
      <c r="C84" s="1" t="s">
        <v>142</v>
      </c>
      <c r="D84" s="1" t="s">
        <v>132</v>
      </c>
      <c r="E84" s="211">
        <v>45712</v>
      </c>
      <c r="F84" s="212" t="str">
        <f t="shared" ca="1" si="5"/>
        <v>1y 8m</v>
      </c>
      <c r="G84">
        <v>5000.04</v>
      </c>
      <c r="H84">
        <v>44</v>
      </c>
      <c r="I84">
        <v>7809.2</v>
      </c>
      <c r="J84">
        <v>62</v>
      </c>
      <c r="K84">
        <v>5315.07</v>
      </c>
      <c r="L84">
        <v>46</v>
      </c>
      <c r="M84">
        <v>4949.1000000000004</v>
      </c>
      <c r="N84">
        <v>34</v>
      </c>
      <c r="O84">
        <v>4565.99</v>
      </c>
      <c r="P84">
        <v>35</v>
      </c>
      <c r="Q84">
        <v>4537.03</v>
      </c>
      <c r="R84">
        <v>38</v>
      </c>
      <c r="S84">
        <v>6437.1</v>
      </c>
      <c r="T84">
        <v>42</v>
      </c>
      <c r="U84">
        <v>4834.0600000000004</v>
      </c>
      <c r="V84">
        <v>24</v>
      </c>
      <c r="W84">
        <v>5963.96</v>
      </c>
      <c r="X84">
        <v>31</v>
      </c>
      <c r="Y84">
        <v>5134.1400000000003</v>
      </c>
      <c r="Z84">
        <v>26</v>
      </c>
      <c r="AA84">
        <v>2987.09</v>
      </c>
      <c r="AB84">
        <v>12</v>
      </c>
      <c r="AC84">
        <v>2434.02</v>
      </c>
      <c r="AD84">
        <v>12</v>
      </c>
      <c r="AE84" s="4">
        <v>3989.06</v>
      </c>
      <c r="AF84" s="4">
        <v>18</v>
      </c>
      <c r="AG84" s="4">
        <v>5477.08</v>
      </c>
      <c r="AH84" s="4">
        <v>22</v>
      </c>
      <c r="AI84" s="4">
        <v>3310</v>
      </c>
      <c r="AJ84" s="4">
        <v>15</v>
      </c>
      <c r="AK84" s="4">
        <v>4098.0200000000004</v>
      </c>
      <c r="AL84" s="4">
        <v>21</v>
      </c>
      <c r="AM84" s="4">
        <v>5099</v>
      </c>
      <c r="AN84" s="4">
        <v>20</v>
      </c>
      <c r="AO84" s="4">
        <v>2593.0100000000002</v>
      </c>
      <c r="AP84" s="4">
        <v>11</v>
      </c>
      <c r="AQ84" s="4">
        <v>3302.98</v>
      </c>
      <c r="AR84" s="4">
        <v>18</v>
      </c>
      <c r="AS84" s="4">
        <v>2653.01</v>
      </c>
      <c r="AT84" s="4">
        <v>16</v>
      </c>
      <c r="AU84" s="4">
        <v>3034.98</v>
      </c>
      <c r="AV84" s="4">
        <v>17</v>
      </c>
      <c r="AW84" s="4">
        <v>3713.81</v>
      </c>
      <c r="AX84" s="4">
        <v>18</v>
      </c>
      <c r="AY84" s="4">
        <v>3056.89</v>
      </c>
      <c r="AZ84" s="4">
        <v>22</v>
      </c>
      <c r="BA84" s="4">
        <v>4751.71</v>
      </c>
      <c r="BB84" s="4">
        <v>26</v>
      </c>
      <c r="BC84">
        <v>6079.73</v>
      </c>
      <c r="BD84">
        <v>24</v>
      </c>
      <c r="BE84">
        <v>5574.45</v>
      </c>
      <c r="BF84">
        <v>24</v>
      </c>
      <c r="BQ84" s="3">
        <f t="shared" si="6"/>
        <v>116700.52999999996</v>
      </c>
      <c r="BR84" s="3">
        <f t="shared" si="4"/>
        <v>678</v>
      </c>
    </row>
    <row r="85" spans="1:70" x14ac:dyDescent="0.25">
      <c r="A85" s="1" t="s">
        <v>80</v>
      </c>
      <c r="B85" s="1" t="s">
        <v>1330</v>
      </c>
      <c r="C85" s="1" t="s">
        <v>137</v>
      </c>
      <c r="D85" s="1" t="s">
        <v>127</v>
      </c>
      <c r="E85" s="211">
        <v>45959</v>
      </c>
      <c r="F85" s="212" t="str">
        <f t="shared" ca="1" si="5"/>
        <v>0y 11m</v>
      </c>
      <c r="G85">
        <v>4970.1499999999996</v>
      </c>
      <c r="H85">
        <v>47</v>
      </c>
      <c r="I85">
        <v>3565.04</v>
      </c>
      <c r="J85">
        <v>32</v>
      </c>
      <c r="K85">
        <v>2944.06</v>
      </c>
      <c r="L85">
        <v>23</v>
      </c>
      <c r="M85">
        <v>3622.07</v>
      </c>
      <c r="N85">
        <v>26</v>
      </c>
      <c r="O85">
        <v>1465.01</v>
      </c>
      <c r="P85">
        <v>12</v>
      </c>
      <c r="Q85">
        <v>1024.02</v>
      </c>
      <c r="R85">
        <v>10</v>
      </c>
      <c r="S85">
        <v>2700.02</v>
      </c>
      <c r="T85">
        <v>18</v>
      </c>
      <c r="U85">
        <v>2509.0100000000002</v>
      </c>
      <c r="V85">
        <v>18</v>
      </c>
      <c r="W85">
        <v>2104.98</v>
      </c>
      <c r="X85">
        <v>12</v>
      </c>
      <c r="Y85">
        <v>1438.03</v>
      </c>
      <c r="Z85">
        <v>15</v>
      </c>
      <c r="AA85">
        <v>1337.06</v>
      </c>
      <c r="AB85">
        <v>11</v>
      </c>
      <c r="AC85">
        <v>1249</v>
      </c>
      <c r="AD85">
        <v>9</v>
      </c>
      <c r="AE85" s="4">
        <v>1839.99</v>
      </c>
      <c r="AF85" s="4">
        <v>13</v>
      </c>
      <c r="AG85" s="4">
        <v>1462.01</v>
      </c>
      <c r="AH85" s="4">
        <v>9</v>
      </c>
      <c r="AI85" s="4">
        <v>3504.01</v>
      </c>
      <c r="AJ85" s="4">
        <v>16</v>
      </c>
      <c r="AK85" s="4">
        <v>1728.04</v>
      </c>
      <c r="AL85" s="4">
        <v>10</v>
      </c>
      <c r="AM85" s="4">
        <v>1724.03</v>
      </c>
      <c r="AN85" s="4">
        <v>12</v>
      </c>
      <c r="AO85" s="4">
        <v>2014.05</v>
      </c>
      <c r="AP85" s="4">
        <v>15</v>
      </c>
      <c r="AQ85" s="4">
        <v>3193.05</v>
      </c>
      <c r="AR85" s="4">
        <v>7</v>
      </c>
      <c r="AS85" s="4">
        <v>2473.0300000000002</v>
      </c>
      <c r="AT85" s="4">
        <v>16</v>
      </c>
      <c r="AU85" s="4">
        <v>1432.04</v>
      </c>
      <c r="AV85" s="4">
        <v>11</v>
      </c>
      <c r="AW85" s="4">
        <v>1507.9</v>
      </c>
      <c r="AX85" s="4">
        <v>9</v>
      </c>
      <c r="AY85" s="4">
        <v>1024.98</v>
      </c>
      <c r="AZ85" s="4">
        <v>6</v>
      </c>
      <c r="BA85" s="4">
        <v>1749.95</v>
      </c>
      <c r="BB85" s="4">
        <v>9</v>
      </c>
      <c r="BC85">
        <v>1241.95</v>
      </c>
      <c r="BD85">
        <v>9</v>
      </c>
      <c r="BE85">
        <v>1084.03</v>
      </c>
      <c r="BF85">
        <v>15</v>
      </c>
      <c r="BQ85" s="3">
        <f t="shared" si="6"/>
        <v>54907.51</v>
      </c>
      <c r="BR85" s="3">
        <f t="shared" si="4"/>
        <v>390</v>
      </c>
    </row>
    <row r="86" spans="1:70" x14ac:dyDescent="0.25">
      <c r="A86" s="1" t="s">
        <v>74</v>
      </c>
      <c r="B86" s="1" t="s">
        <v>1330</v>
      </c>
      <c r="C86" s="1" t="s">
        <v>157</v>
      </c>
      <c r="D86" s="1" t="s">
        <v>133</v>
      </c>
      <c r="E86" s="211">
        <v>46021</v>
      </c>
      <c r="F86" s="212" t="str">
        <f t="shared" ca="1" si="5"/>
        <v>0y 9m</v>
      </c>
      <c r="G86">
        <v>12143.26</v>
      </c>
      <c r="H86">
        <v>108</v>
      </c>
      <c r="I86">
        <v>11776.22</v>
      </c>
      <c r="J86">
        <v>104</v>
      </c>
      <c r="K86">
        <v>7959.09</v>
      </c>
      <c r="L86">
        <v>65</v>
      </c>
      <c r="M86">
        <v>7404.12</v>
      </c>
      <c r="N86">
        <v>56</v>
      </c>
      <c r="O86">
        <v>5263.08</v>
      </c>
      <c r="P86">
        <v>36</v>
      </c>
      <c r="Q86">
        <v>5364.05</v>
      </c>
      <c r="R86">
        <v>37</v>
      </c>
      <c r="S86">
        <v>5423.09</v>
      </c>
      <c r="T86">
        <v>40</v>
      </c>
      <c r="U86">
        <v>6969.21</v>
      </c>
      <c r="V86">
        <v>60</v>
      </c>
      <c r="W86">
        <v>7024.1</v>
      </c>
      <c r="X86">
        <v>53</v>
      </c>
      <c r="Y86">
        <v>4351.1099999999997</v>
      </c>
      <c r="Z86">
        <v>31</v>
      </c>
      <c r="AA86">
        <v>3439.02</v>
      </c>
      <c r="AB86">
        <v>22</v>
      </c>
      <c r="AC86">
        <v>3008.03</v>
      </c>
      <c r="AD86">
        <v>26</v>
      </c>
      <c r="AE86" s="4">
        <v>3487.06</v>
      </c>
      <c r="AF86" s="4">
        <v>26</v>
      </c>
      <c r="AG86" s="4">
        <v>4466.04</v>
      </c>
      <c r="AH86" s="4">
        <v>46</v>
      </c>
      <c r="AI86" s="4">
        <v>6459.06</v>
      </c>
      <c r="AJ86" s="4">
        <v>50</v>
      </c>
      <c r="AK86" s="4">
        <v>6753.02</v>
      </c>
      <c r="AL86" s="4">
        <v>56</v>
      </c>
      <c r="AM86" s="4">
        <v>3227.01</v>
      </c>
      <c r="AN86" s="4">
        <v>24</v>
      </c>
      <c r="AO86" s="4">
        <v>2456.0500000000002</v>
      </c>
      <c r="AP86" s="4">
        <v>17</v>
      </c>
      <c r="AQ86" s="4">
        <v>2126.0100000000002</v>
      </c>
      <c r="AR86" s="4">
        <v>17</v>
      </c>
      <c r="AS86" s="4">
        <v>2648</v>
      </c>
      <c r="AT86" s="4">
        <v>17</v>
      </c>
      <c r="AU86" s="4">
        <v>4746.9799999999996</v>
      </c>
      <c r="AV86" s="4">
        <v>28</v>
      </c>
      <c r="AW86" s="4">
        <v>5056.9399999999996</v>
      </c>
      <c r="AX86" s="4">
        <v>27</v>
      </c>
      <c r="AY86" s="4">
        <v>6253.8</v>
      </c>
      <c r="AZ86" s="4">
        <v>47</v>
      </c>
      <c r="BA86" s="4">
        <v>3140.88</v>
      </c>
      <c r="BB86" s="4">
        <v>23</v>
      </c>
      <c r="BC86">
        <v>2455.84</v>
      </c>
      <c r="BD86">
        <v>17</v>
      </c>
      <c r="BE86">
        <v>2326.15</v>
      </c>
      <c r="BF86">
        <v>17</v>
      </c>
      <c r="BQ86" s="3">
        <f t="shared" si="6"/>
        <v>135727.22</v>
      </c>
      <c r="BR86" s="3">
        <f t="shared" si="4"/>
        <v>1050</v>
      </c>
    </row>
    <row r="87" spans="1:70" x14ac:dyDescent="0.25">
      <c r="A87" s="1" t="s">
        <v>120</v>
      </c>
      <c r="B87" s="1" t="s">
        <v>1330</v>
      </c>
      <c r="C87" s="1" t="s">
        <v>142</v>
      </c>
      <c r="D87" s="1" t="s">
        <v>132</v>
      </c>
      <c r="E87" s="211">
        <v>46164</v>
      </c>
      <c r="F87" s="212" t="str">
        <f t="shared" ca="1" si="5"/>
        <v>0y 5m</v>
      </c>
      <c r="G87">
        <v>749.02</v>
      </c>
      <c r="H87">
        <v>6</v>
      </c>
      <c r="I87">
        <v>1999.08</v>
      </c>
      <c r="J87">
        <v>12</v>
      </c>
      <c r="K87">
        <v>3252.1</v>
      </c>
      <c r="L87">
        <v>13</v>
      </c>
      <c r="M87">
        <v>1137.01</v>
      </c>
      <c r="N87">
        <v>7</v>
      </c>
      <c r="O87">
        <v>1699.04</v>
      </c>
      <c r="P87">
        <v>8</v>
      </c>
      <c r="Q87">
        <v>246</v>
      </c>
      <c r="R87">
        <v>2</v>
      </c>
      <c r="S87">
        <v>749.01</v>
      </c>
      <c r="T87">
        <v>4</v>
      </c>
      <c r="U87">
        <v>1016.04</v>
      </c>
      <c r="V87">
        <v>5</v>
      </c>
      <c r="W87">
        <v>1603.03</v>
      </c>
      <c r="X87">
        <v>6</v>
      </c>
      <c r="Y87">
        <v>150.02000000000001</v>
      </c>
      <c r="Z87">
        <v>1</v>
      </c>
      <c r="AA87">
        <v>1096</v>
      </c>
      <c r="AB87">
        <v>4</v>
      </c>
      <c r="AC87">
        <v>1050</v>
      </c>
      <c r="AD87">
        <v>7</v>
      </c>
      <c r="AE87" s="4">
        <v>271</v>
      </c>
      <c r="AF87" s="4">
        <v>3</v>
      </c>
      <c r="AG87" s="4">
        <v>565</v>
      </c>
      <c r="AH87" s="4">
        <v>2</v>
      </c>
      <c r="AI87" s="4">
        <v>1275</v>
      </c>
      <c r="AJ87" s="4">
        <v>6</v>
      </c>
      <c r="AK87" s="4">
        <v>1099.01</v>
      </c>
      <c r="AL87" s="4">
        <v>4</v>
      </c>
      <c r="AM87" s="4">
        <v>899.99</v>
      </c>
      <c r="AN87" s="4">
        <v>7</v>
      </c>
      <c r="AO87" s="4">
        <v>468.99</v>
      </c>
      <c r="AP87" s="4">
        <v>2</v>
      </c>
      <c r="AQ87" s="4">
        <v>550</v>
      </c>
      <c r="AR87" s="4">
        <v>4</v>
      </c>
      <c r="AS87" s="4">
        <v>160</v>
      </c>
      <c r="AT87" s="4">
        <v>1</v>
      </c>
      <c r="AU87" s="4">
        <v>220</v>
      </c>
      <c r="AV87" s="4">
        <v>2</v>
      </c>
      <c r="AW87" s="4">
        <v>749.01</v>
      </c>
      <c r="AX87" s="4">
        <v>4</v>
      </c>
      <c r="AY87" s="4">
        <v>455.98</v>
      </c>
      <c r="AZ87" s="4">
        <v>5</v>
      </c>
      <c r="BA87" s="4">
        <v>385.98</v>
      </c>
      <c r="BB87" s="4">
        <v>2</v>
      </c>
      <c r="BC87">
        <v>1775.84</v>
      </c>
      <c r="BD87">
        <v>6</v>
      </c>
      <c r="BE87">
        <v>572.04</v>
      </c>
      <c r="BF87">
        <v>3</v>
      </c>
      <c r="BQ87" s="3">
        <f t="shared" si="6"/>
        <v>24194.19</v>
      </c>
      <c r="BR87" s="3">
        <f t="shared" si="4"/>
        <v>126</v>
      </c>
    </row>
    <row r="88" spans="1:70" x14ac:dyDescent="0.25">
      <c r="A88" s="1" t="s">
        <v>122</v>
      </c>
      <c r="B88" s="1" t="s">
        <v>1330</v>
      </c>
      <c r="C88" s="1" t="s">
        <v>153</v>
      </c>
      <c r="D88" s="1" t="s">
        <v>127</v>
      </c>
      <c r="E88" s="211">
        <v>46205</v>
      </c>
      <c r="F88" s="212" t="str">
        <f t="shared" ca="1" si="5"/>
        <v>0y 3m</v>
      </c>
      <c r="G88">
        <v>4204.1099999999997</v>
      </c>
      <c r="H88">
        <v>29</v>
      </c>
      <c r="I88">
        <v>2775.02</v>
      </c>
      <c r="J88">
        <v>20</v>
      </c>
      <c r="K88">
        <v>4389.08</v>
      </c>
      <c r="L88">
        <v>27</v>
      </c>
      <c r="M88">
        <v>2966.05</v>
      </c>
      <c r="N88">
        <v>19</v>
      </c>
      <c r="O88">
        <v>1678.06</v>
      </c>
      <c r="P88">
        <v>12</v>
      </c>
      <c r="Q88">
        <v>1804.03</v>
      </c>
      <c r="R88">
        <v>11</v>
      </c>
      <c r="S88">
        <v>1702.02</v>
      </c>
      <c r="T88">
        <v>9</v>
      </c>
      <c r="U88">
        <v>1890.02</v>
      </c>
      <c r="V88">
        <v>11</v>
      </c>
      <c r="W88">
        <v>2720.01</v>
      </c>
      <c r="X88">
        <v>13</v>
      </c>
      <c r="Y88">
        <v>1373.03</v>
      </c>
      <c r="Z88">
        <v>10</v>
      </c>
      <c r="AA88">
        <v>2092.0300000000002</v>
      </c>
      <c r="AB88">
        <v>12</v>
      </c>
      <c r="AC88">
        <v>1890.03</v>
      </c>
      <c r="AD88">
        <v>12</v>
      </c>
      <c r="AE88" s="4">
        <v>1205.03</v>
      </c>
      <c r="AF88" s="4">
        <v>7</v>
      </c>
      <c r="AG88" s="4">
        <v>1143.02</v>
      </c>
      <c r="AH88" s="4">
        <v>9</v>
      </c>
      <c r="AI88" s="4">
        <v>2829</v>
      </c>
      <c r="AJ88" s="4">
        <v>18</v>
      </c>
      <c r="AK88" s="4">
        <v>1994.02</v>
      </c>
      <c r="AL88" s="4">
        <v>11</v>
      </c>
      <c r="AM88" s="4">
        <v>2583.02</v>
      </c>
      <c r="AN88" s="4">
        <v>11</v>
      </c>
      <c r="AO88" s="4">
        <v>1543.03</v>
      </c>
      <c r="AP88" s="4">
        <v>10</v>
      </c>
      <c r="AQ88" s="4">
        <v>946.01</v>
      </c>
      <c r="AR88" s="4">
        <v>7</v>
      </c>
      <c r="AS88" s="4">
        <v>1345.01</v>
      </c>
      <c r="AT88" s="4">
        <v>6</v>
      </c>
      <c r="AU88" s="4">
        <v>1628.01</v>
      </c>
      <c r="AV88" s="4">
        <v>8</v>
      </c>
      <c r="AW88" s="4">
        <v>1375.99</v>
      </c>
      <c r="AX88" s="4">
        <v>6</v>
      </c>
      <c r="AY88" s="4">
        <v>1903.88</v>
      </c>
      <c r="AZ88" s="4">
        <v>10</v>
      </c>
      <c r="BA88" s="4">
        <v>1817.98</v>
      </c>
      <c r="BB88" s="4">
        <v>9</v>
      </c>
      <c r="BC88">
        <v>925.97</v>
      </c>
      <c r="BD88">
        <v>4</v>
      </c>
      <c r="BE88">
        <v>1720.11</v>
      </c>
      <c r="BF88">
        <v>8</v>
      </c>
      <c r="BQ88" s="3">
        <f t="shared" si="6"/>
        <v>52443.569999999992</v>
      </c>
      <c r="BR88" s="3">
        <f t="shared" si="4"/>
        <v>309</v>
      </c>
    </row>
    <row r="89" spans="1:70" x14ac:dyDescent="0.25">
      <c r="A89" s="1" t="s">
        <v>25</v>
      </c>
      <c r="B89" s="1" t="s">
        <v>1330</v>
      </c>
      <c r="C89" s="1" t="s">
        <v>158</v>
      </c>
      <c r="D89" s="1" t="s">
        <v>128</v>
      </c>
      <c r="E89" s="211">
        <v>45614</v>
      </c>
      <c r="F89" s="212" t="str">
        <f t="shared" ca="1" si="5"/>
        <v>1y 11m</v>
      </c>
      <c r="G89">
        <v>14083.15</v>
      </c>
      <c r="H89">
        <v>121</v>
      </c>
      <c r="I89">
        <v>11903.21</v>
      </c>
      <c r="J89">
        <v>107</v>
      </c>
      <c r="K89">
        <v>9858.17</v>
      </c>
      <c r="L89">
        <v>79</v>
      </c>
      <c r="M89">
        <v>7622.16</v>
      </c>
      <c r="N89">
        <v>54</v>
      </c>
      <c r="O89">
        <v>10349.18</v>
      </c>
      <c r="P89">
        <v>72</v>
      </c>
      <c r="Q89">
        <v>4924.07</v>
      </c>
      <c r="R89">
        <v>40</v>
      </c>
      <c r="S89">
        <v>6844.11</v>
      </c>
      <c r="T89">
        <v>51</v>
      </c>
      <c r="U89">
        <v>6038.12</v>
      </c>
      <c r="V89">
        <v>44</v>
      </c>
      <c r="W89">
        <v>7238.11</v>
      </c>
      <c r="X89">
        <v>58</v>
      </c>
      <c r="Y89">
        <v>5878.12</v>
      </c>
      <c r="Z89">
        <v>51</v>
      </c>
      <c r="AA89">
        <v>5006.0600000000004</v>
      </c>
      <c r="AB89">
        <v>40</v>
      </c>
      <c r="AC89">
        <v>5461.04</v>
      </c>
      <c r="AD89">
        <v>45</v>
      </c>
      <c r="AE89" s="4">
        <v>6221.03</v>
      </c>
      <c r="AF89" s="4">
        <v>47</v>
      </c>
      <c r="AG89" s="4">
        <v>7051.06</v>
      </c>
      <c r="AH89" s="4">
        <v>49</v>
      </c>
      <c r="AI89" s="4">
        <v>6519.11</v>
      </c>
      <c r="AJ89" s="4">
        <v>53</v>
      </c>
      <c r="AK89" s="4">
        <v>6965.08</v>
      </c>
      <c r="AL89" s="4">
        <v>53</v>
      </c>
      <c r="AM89" s="4">
        <v>6040.16</v>
      </c>
      <c r="AN89" s="4">
        <v>50</v>
      </c>
      <c r="AO89" s="4">
        <v>4914.0600000000004</v>
      </c>
      <c r="AP89" s="4">
        <v>42</v>
      </c>
      <c r="AQ89" s="4">
        <v>3770.03</v>
      </c>
      <c r="AR89" s="4">
        <v>29</v>
      </c>
      <c r="AS89" s="4">
        <v>3414.02</v>
      </c>
      <c r="AT89" s="4">
        <v>22</v>
      </c>
      <c r="AU89" s="4">
        <v>3804.07</v>
      </c>
      <c r="AV89" s="4">
        <v>33</v>
      </c>
      <c r="AW89" s="4">
        <v>4377.8100000000004</v>
      </c>
      <c r="AX89" s="4">
        <v>38</v>
      </c>
      <c r="AY89" s="4">
        <v>4230.76</v>
      </c>
      <c r="AZ89" s="4">
        <v>32</v>
      </c>
      <c r="BA89" s="4">
        <v>6338.72</v>
      </c>
      <c r="BB89" s="4">
        <v>40</v>
      </c>
      <c r="BC89">
        <v>4984.7299999999996</v>
      </c>
      <c r="BD89">
        <v>32</v>
      </c>
      <c r="BE89">
        <v>3261.2</v>
      </c>
      <c r="BF89">
        <v>29</v>
      </c>
      <c r="BQ89" s="3">
        <f t="shared" si="6"/>
        <v>167097.34000000003</v>
      </c>
      <c r="BR89" s="3">
        <f t="shared" si="4"/>
        <v>1311</v>
      </c>
    </row>
    <row r="90" spans="1:70" x14ac:dyDescent="0.25">
      <c r="A90" s="1" t="s">
        <v>58</v>
      </c>
      <c r="B90" s="1" t="s">
        <v>1330</v>
      </c>
      <c r="C90" s="1" t="s">
        <v>145</v>
      </c>
      <c r="D90" s="1" t="s">
        <v>131</v>
      </c>
      <c r="E90" s="211">
        <v>45875</v>
      </c>
      <c r="F90" s="212" t="str">
        <f t="shared" ca="1" si="5"/>
        <v>1y 2m</v>
      </c>
      <c r="G90">
        <v>6058.09</v>
      </c>
      <c r="H90">
        <v>46</v>
      </c>
      <c r="I90">
        <v>6284.03</v>
      </c>
      <c r="J90">
        <v>53</v>
      </c>
      <c r="K90">
        <v>4797.12</v>
      </c>
      <c r="L90">
        <v>43</v>
      </c>
      <c r="M90">
        <v>3635.07</v>
      </c>
      <c r="N90">
        <v>25</v>
      </c>
      <c r="O90">
        <v>2979.04</v>
      </c>
      <c r="P90">
        <v>25</v>
      </c>
      <c r="Q90">
        <v>4834.1099999999997</v>
      </c>
      <c r="R90">
        <v>35</v>
      </c>
      <c r="S90">
        <v>3930.07</v>
      </c>
      <c r="T90">
        <v>29</v>
      </c>
      <c r="U90">
        <v>2896.08</v>
      </c>
      <c r="V90">
        <v>23</v>
      </c>
      <c r="W90">
        <v>3709.08</v>
      </c>
      <c r="X90">
        <v>34</v>
      </c>
      <c r="Y90">
        <v>2480.0300000000002</v>
      </c>
      <c r="Z90">
        <v>25</v>
      </c>
      <c r="AA90">
        <v>4487.07</v>
      </c>
      <c r="AB90">
        <v>35</v>
      </c>
      <c r="AC90">
        <v>1991.05</v>
      </c>
      <c r="AD90">
        <v>19</v>
      </c>
      <c r="AE90" s="4">
        <v>3129.01</v>
      </c>
      <c r="AF90" s="4">
        <v>22</v>
      </c>
      <c r="AG90" s="4">
        <v>1275.01</v>
      </c>
      <c r="AH90" s="4">
        <v>9</v>
      </c>
      <c r="AI90" s="4">
        <v>2759.01</v>
      </c>
      <c r="AJ90" s="4">
        <v>25</v>
      </c>
      <c r="AK90" s="4">
        <v>4168.08</v>
      </c>
      <c r="AL90" s="4">
        <v>26</v>
      </c>
      <c r="AM90" s="4">
        <v>2147.0500000000002</v>
      </c>
      <c r="AN90" s="4">
        <v>16</v>
      </c>
      <c r="AO90" s="4">
        <v>1488.02</v>
      </c>
      <c r="AP90" s="4">
        <v>11</v>
      </c>
      <c r="AQ90" s="4">
        <v>1898.01</v>
      </c>
      <c r="AR90" s="4">
        <v>15</v>
      </c>
      <c r="AS90" s="4">
        <v>1837.03</v>
      </c>
      <c r="AT90" s="4">
        <v>18</v>
      </c>
      <c r="AU90" s="4">
        <v>2670.05</v>
      </c>
      <c r="AV90" s="4">
        <v>19</v>
      </c>
      <c r="AW90" s="4">
        <v>2303.9499999999998</v>
      </c>
      <c r="AX90" s="4">
        <v>19</v>
      </c>
      <c r="AY90" s="4">
        <v>526</v>
      </c>
      <c r="AZ90" s="4">
        <v>8</v>
      </c>
      <c r="BA90" s="4">
        <v>2996.83</v>
      </c>
      <c r="BB90" s="4">
        <v>23</v>
      </c>
      <c r="BC90">
        <v>1428.92</v>
      </c>
      <c r="BD90">
        <v>10</v>
      </c>
      <c r="BE90">
        <v>2290.09</v>
      </c>
      <c r="BF90">
        <v>22</v>
      </c>
      <c r="BQ90" s="3">
        <f t="shared" si="6"/>
        <v>78997.900000000009</v>
      </c>
      <c r="BR90" s="3">
        <f t="shared" si="4"/>
        <v>635</v>
      </c>
    </row>
    <row r="91" spans="1:70" x14ac:dyDescent="0.25">
      <c r="A91" s="1" t="s">
        <v>68</v>
      </c>
      <c r="B91" s="1" t="s">
        <v>1330</v>
      </c>
      <c r="C91" s="1" t="s">
        <v>152</v>
      </c>
      <c r="D91" s="1" t="s">
        <v>126</v>
      </c>
      <c r="E91" s="211">
        <v>45883</v>
      </c>
      <c r="F91" s="212" t="str">
        <f t="shared" ca="1" si="5"/>
        <v>1y 2m</v>
      </c>
      <c r="G91">
        <v>7831.15</v>
      </c>
      <c r="H91">
        <v>46</v>
      </c>
      <c r="I91">
        <v>9700.08</v>
      </c>
      <c r="J91">
        <v>53</v>
      </c>
      <c r="K91">
        <v>8668.24</v>
      </c>
      <c r="L91">
        <v>47</v>
      </c>
      <c r="M91">
        <v>8082.11</v>
      </c>
      <c r="N91">
        <v>35</v>
      </c>
      <c r="O91">
        <v>5124.16</v>
      </c>
      <c r="P91">
        <v>25</v>
      </c>
      <c r="Q91">
        <v>5381.12</v>
      </c>
      <c r="R91">
        <v>20</v>
      </c>
      <c r="S91">
        <v>4099.13</v>
      </c>
      <c r="T91">
        <v>23</v>
      </c>
      <c r="U91">
        <v>4218.12</v>
      </c>
      <c r="V91">
        <v>21</v>
      </c>
      <c r="W91">
        <v>5194.13</v>
      </c>
      <c r="X91">
        <v>29</v>
      </c>
      <c r="Y91">
        <v>4608.04</v>
      </c>
      <c r="Z91">
        <v>21</v>
      </c>
      <c r="AA91">
        <v>4266.12</v>
      </c>
      <c r="AB91">
        <v>24</v>
      </c>
      <c r="AC91">
        <v>3561.08</v>
      </c>
      <c r="AD91">
        <v>18</v>
      </c>
      <c r="AE91" s="4">
        <v>5349.1</v>
      </c>
      <c r="AF91" s="4">
        <v>26</v>
      </c>
      <c r="AG91" s="4">
        <v>2530.04</v>
      </c>
      <c r="AH91" s="4">
        <v>18</v>
      </c>
      <c r="AI91" s="4">
        <v>2825.07</v>
      </c>
      <c r="AJ91" s="4">
        <v>14</v>
      </c>
      <c r="AK91" s="4">
        <v>5171.1099999999997</v>
      </c>
      <c r="AL91" s="4">
        <v>29</v>
      </c>
      <c r="AM91" s="4">
        <v>7318.02</v>
      </c>
      <c r="AN91" s="4">
        <v>29</v>
      </c>
      <c r="AO91" s="4">
        <v>5049.08</v>
      </c>
      <c r="AP91" s="4">
        <v>30</v>
      </c>
      <c r="AQ91" s="4">
        <v>2915.02</v>
      </c>
      <c r="AR91" s="4">
        <v>16</v>
      </c>
      <c r="AS91" s="4">
        <v>3324.02</v>
      </c>
      <c r="AT91" s="4">
        <v>19</v>
      </c>
      <c r="AU91" s="4">
        <v>3284.02</v>
      </c>
      <c r="AV91" s="4">
        <v>14</v>
      </c>
      <c r="AW91" s="4">
        <v>4564.8100000000004</v>
      </c>
      <c r="AX91" s="4">
        <v>20</v>
      </c>
      <c r="AY91" s="4">
        <v>7034.54</v>
      </c>
      <c r="AZ91" s="4">
        <v>28</v>
      </c>
      <c r="BA91" s="4">
        <v>5311.7</v>
      </c>
      <c r="BB91" s="4">
        <v>23</v>
      </c>
      <c r="BC91">
        <v>3519.99</v>
      </c>
      <c r="BD91">
        <v>22</v>
      </c>
      <c r="BE91">
        <v>4801.37</v>
      </c>
      <c r="BF91">
        <v>19</v>
      </c>
      <c r="BQ91" s="3">
        <f t="shared" si="6"/>
        <v>133731.37000000002</v>
      </c>
      <c r="BR91" s="3">
        <f t="shared" si="4"/>
        <v>669</v>
      </c>
    </row>
    <row r="92" spans="1:70" x14ac:dyDescent="0.25">
      <c r="A92" s="1" t="s">
        <v>14</v>
      </c>
      <c r="B92" s="1" t="s">
        <v>1330</v>
      </c>
      <c r="C92" s="1" t="s">
        <v>145</v>
      </c>
      <c r="D92" s="1" t="s">
        <v>131</v>
      </c>
      <c r="E92" s="211">
        <v>45575</v>
      </c>
      <c r="F92" s="212" t="str">
        <f t="shared" ca="1" si="5"/>
        <v>2y 0m</v>
      </c>
      <c r="G92">
        <v>3120.09</v>
      </c>
      <c r="H92">
        <v>25</v>
      </c>
      <c r="I92">
        <v>4228.1499999999996</v>
      </c>
      <c r="J92">
        <v>28</v>
      </c>
      <c r="K92">
        <v>4112.0200000000004</v>
      </c>
      <c r="L92">
        <v>27</v>
      </c>
      <c r="M92">
        <v>4481.09</v>
      </c>
      <c r="N92">
        <v>30</v>
      </c>
      <c r="O92">
        <v>3425.08</v>
      </c>
      <c r="P92">
        <v>20</v>
      </c>
      <c r="Q92">
        <v>2634.04</v>
      </c>
      <c r="R92">
        <v>16</v>
      </c>
      <c r="S92">
        <v>2954.05</v>
      </c>
      <c r="T92">
        <v>21</v>
      </c>
      <c r="U92">
        <v>2085.0500000000002</v>
      </c>
      <c r="V92">
        <v>14</v>
      </c>
      <c r="W92">
        <v>3043.09</v>
      </c>
      <c r="X92">
        <v>26</v>
      </c>
      <c r="Y92">
        <v>1873</v>
      </c>
      <c r="Z92">
        <v>14</v>
      </c>
      <c r="AA92">
        <v>1898.06</v>
      </c>
      <c r="AB92">
        <v>13</v>
      </c>
      <c r="AC92">
        <v>1496.01</v>
      </c>
      <c r="AD92">
        <v>10</v>
      </c>
      <c r="AE92" s="4">
        <v>1882.03</v>
      </c>
      <c r="AF92" s="4">
        <v>14</v>
      </c>
      <c r="AG92" s="4">
        <v>2085.0500000000002</v>
      </c>
      <c r="AH92" s="4">
        <v>14</v>
      </c>
      <c r="AI92" s="4">
        <v>2561.04</v>
      </c>
      <c r="AJ92" s="4">
        <v>18</v>
      </c>
      <c r="AK92" s="4">
        <v>1822.02</v>
      </c>
      <c r="AL92" s="4">
        <v>13</v>
      </c>
      <c r="AM92" s="4">
        <v>2258.04</v>
      </c>
      <c r="AN92" s="4">
        <v>16</v>
      </c>
      <c r="AO92" s="4">
        <v>677</v>
      </c>
      <c r="AP92" s="4">
        <v>5</v>
      </c>
      <c r="AQ92" s="4">
        <v>1116.01</v>
      </c>
      <c r="AR92" s="4">
        <v>8</v>
      </c>
      <c r="AS92" s="4">
        <v>1134.01</v>
      </c>
      <c r="AT92" s="4">
        <v>8</v>
      </c>
      <c r="AU92" s="4">
        <v>1449.02</v>
      </c>
      <c r="AV92" s="4">
        <v>5</v>
      </c>
      <c r="AW92" s="4">
        <v>1607.94</v>
      </c>
      <c r="AX92" s="4">
        <v>10</v>
      </c>
      <c r="AY92" s="4">
        <v>1811.93</v>
      </c>
      <c r="AZ92" s="4">
        <v>10</v>
      </c>
      <c r="BA92" s="4">
        <v>2373.86</v>
      </c>
      <c r="BB92" s="4">
        <v>11</v>
      </c>
      <c r="BC92">
        <v>1006.96</v>
      </c>
      <c r="BD92">
        <v>8</v>
      </c>
      <c r="BE92">
        <v>1155.05</v>
      </c>
      <c r="BF92">
        <v>6</v>
      </c>
      <c r="BQ92" s="3">
        <f t="shared" si="6"/>
        <v>58289.69000000001</v>
      </c>
      <c r="BR92" s="3">
        <f t="shared" si="4"/>
        <v>390</v>
      </c>
    </row>
    <row r="93" spans="1:70" x14ac:dyDescent="0.25">
      <c r="A93" s="1" t="s">
        <v>117</v>
      </c>
      <c r="B93" s="1" t="s">
        <v>1330</v>
      </c>
      <c r="C93" s="1" t="s">
        <v>139</v>
      </c>
      <c r="D93" s="1" t="s">
        <v>130</v>
      </c>
      <c r="E93" s="211">
        <v>46213</v>
      </c>
      <c r="F93" s="212" t="str">
        <f t="shared" ca="1" si="5"/>
        <v>0y 3m</v>
      </c>
      <c r="G93">
        <v>5912.16</v>
      </c>
      <c r="H93">
        <v>25</v>
      </c>
      <c r="I93">
        <v>13324.43</v>
      </c>
      <c r="J93">
        <v>48</v>
      </c>
      <c r="K93">
        <v>10189.23</v>
      </c>
      <c r="L93">
        <v>39</v>
      </c>
      <c r="M93">
        <v>4887.1400000000003</v>
      </c>
      <c r="N93">
        <v>28</v>
      </c>
      <c r="O93">
        <v>2842.02</v>
      </c>
      <c r="P93">
        <v>10</v>
      </c>
      <c r="Q93">
        <v>2457.0700000000002</v>
      </c>
      <c r="R93">
        <v>8</v>
      </c>
      <c r="S93">
        <v>1887.01</v>
      </c>
      <c r="T93">
        <v>10</v>
      </c>
      <c r="U93">
        <v>2479.0100000000002</v>
      </c>
      <c r="V93">
        <v>12</v>
      </c>
      <c r="W93">
        <v>8509.1299999999992</v>
      </c>
      <c r="X93">
        <v>35</v>
      </c>
      <c r="Y93">
        <v>8764.06</v>
      </c>
      <c r="Z93">
        <v>30</v>
      </c>
      <c r="AA93">
        <v>5805.07</v>
      </c>
      <c r="AB93">
        <v>28</v>
      </c>
      <c r="AC93">
        <v>5536.06</v>
      </c>
      <c r="AD93">
        <v>22</v>
      </c>
      <c r="AE93" s="4">
        <v>6544.16</v>
      </c>
      <c r="AF93" s="4">
        <v>28</v>
      </c>
      <c r="AG93" s="4">
        <v>840.03</v>
      </c>
      <c r="AH93" s="4">
        <v>6</v>
      </c>
      <c r="AI93" s="4">
        <v>5304.07</v>
      </c>
      <c r="AJ93" s="4">
        <v>28</v>
      </c>
      <c r="AK93" s="4">
        <v>8216.0300000000007</v>
      </c>
      <c r="AL93" s="4">
        <v>31</v>
      </c>
      <c r="AM93" s="4">
        <v>5892.1</v>
      </c>
      <c r="AN93" s="4">
        <v>25</v>
      </c>
      <c r="AO93" s="4">
        <v>4458.01</v>
      </c>
      <c r="AP93" s="4">
        <v>19</v>
      </c>
      <c r="AQ93" s="4">
        <v>3660.99</v>
      </c>
      <c r="AR93" s="4">
        <v>10</v>
      </c>
      <c r="AS93" s="4">
        <v>1902.03</v>
      </c>
      <c r="AT93" s="4">
        <v>7</v>
      </c>
      <c r="AU93" s="4">
        <v>1159.04</v>
      </c>
      <c r="AV93" s="4">
        <v>6</v>
      </c>
      <c r="AW93" s="4">
        <v>2341.91</v>
      </c>
      <c r="AX93" s="4">
        <v>11</v>
      </c>
      <c r="AY93" s="4">
        <v>6910.66</v>
      </c>
      <c r="AZ93" s="4">
        <v>17</v>
      </c>
      <c r="BA93" s="4">
        <v>2184.83</v>
      </c>
      <c r="BB93" s="4">
        <v>9</v>
      </c>
      <c r="BC93">
        <v>2814.93</v>
      </c>
      <c r="BD93">
        <v>8</v>
      </c>
      <c r="BE93">
        <v>1249.02</v>
      </c>
      <c r="BF93">
        <v>4</v>
      </c>
      <c r="BQ93" s="3">
        <f t="shared" si="6"/>
        <v>126070.2</v>
      </c>
      <c r="BR93" s="3">
        <f t="shared" si="4"/>
        <v>504</v>
      </c>
    </row>
    <row r="94" spans="1:70" x14ac:dyDescent="0.25">
      <c r="A94" s="1" t="s">
        <v>61</v>
      </c>
      <c r="B94" s="1" t="s">
        <v>1330</v>
      </c>
      <c r="C94" s="1" t="s">
        <v>138</v>
      </c>
      <c r="D94" s="1" t="s">
        <v>128</v>
      </c>
      <c r="E94" s="211">
        <v>45807</v>
      </c>
      <c r="F94" s="212" t="str">
        <f t="shared" ca="1" si="5"/>
        <v>1y 4m</v>
      </c>
      <c r="G94">
        <v>4968.01</v>
      </c>
      <c r="H94">
        <v>33</v>
      </c>
      <c r="I94">
        <v>4211.1400000000003</v>
      </c>
      <c r="J94">
        <v>34</v>
      </c>
      <c r="K94">
        <v>4230.12</v>
      </c>
      <c r="L94">
        <v>28</v>
      </c>
      <c r="M94">
        <v>4053.06</v>
      </c>
      <c r="N94">
        <v>24</v>
      </c>
      <c r="O94">
        <v>2562.0100000000002</v>
      </c>
      <c r="P94">
        <v>17</v>
      </c>
      <c r="Q94">
        <v>2507.0100000000002</v>
      </c>
      <c r="R94">
        <v>18</v>
      </c>
      <c r="S94">
        <v>2290.0300000000002</v>
      </c>
      <c r="T94">
        <v>17</v>
      </c>
      <c r="U94">
        <v>2850.05</v>
      </c>
      <c r="V94">
        <v>18</v>
      </c>
      <c r="W94">
        <v>2248.0700000000002</v>
      </c>
      <c r="X94">
        <v>17</v>
      </c>
      <c r="Y94">
        <v>1863.01</v>
      </c>
      <c r="Z94">
        <v>15</v>
      </c>
      <c r="AA94">
        <v>1429.04</v>
      </c>
      <c r="AB94">
        <v>12</v>
      </c>
      <c r="AC94">
        <v>3142.05</v>
      </c>
      <c r="AD94">
        <v>18</v>
      </c>
      <c r="AE94" s="4">
        <v>1773.02</v>
      </c>
      <c r="AF94" s="4">
        <v>15</v>
      </c>
      <c r="AG94" s="4">
        <v>1405.01</v>
      </c>
      <c r="AH94" s="4">
        <v>12</v>
      </c>
      <c r="AI94" s="4">
        <v>3402.08</v>
      </c>
      <c r="AJ94" s="4">
        <v>22</v>
      </c>
      <c r="AK94" s="4">
        <v>1789.04</v>
      </c>
      <c r="AL94" s="4">
        <v>12</v>
      </c>
      <c r="AM94" s="4">
        <v>4303</v>
      </c>
      <c r="AN94" s="4">
        <v>20</v>
      </c>
      <c r="AO94" s="4">
        <v>1987.04</v>
      </c>
      <c r="AP94" s="4">
        <v>11</v>
      </c>
      <c r="AQ94" s="4">
        <v>1343.02</v>
      </c>
      <c r="AR94" s="4">
        <v>7</v>
      </c>
      <c r="AS94" s="4">
        <v>1572.01</v>
      </c>
      <c r="AT94" s="4">
        <v>15</v>
      </c>
      <c r="AU94" s="4">
        <v>1237.02</v>
      </c>
      <c r="AV94" s="4">
        <v>8</v>
      </c>
      <c r="AW94" s="4">
        <v>1386</v>
      </c>
      <c r="AX94" s="4">
        <v>10</v>
      </c>
      <c r="AY94" s="4">
        <v>2170.88</v>
      </c>
      <c r="AZ94" s="4">
        <v>10</v>
      </c>
      <c r="BA94" s="4">
        <v>1623.91</v>
      </c>
      <c r="BB94" s="4">
        <v>9</v>
      </c>
      <c r="BC94">
        <v>2133.98</v>
      </c>
      <c r="BD94">
        <v>12</v>
      </c>
      <c r="BE94">
        <v>277</v>
      </c>
      <c r="BF94">
        <v>4</v>
      </c>
      <c r="BQ94" s="3">
        <f t="shared" si="6"/>
        <v>62756.610000000008</v>
      </c>
      <c r="BR94" s="3">
        <f t="shared" si="4"/>
        <v>418</v>
      </c>
    </row>
    <row r="95" spans="1:70" x14ac:dyDescent="0.25">
      <c r="A95" s="1" t="s">
        <v>64</v>
      </c>
      <c r="B95" s="1" t="s">
        <v>1330</v>
      </c>
      <c r="C95" s="1" t="s">
        <v>145</v>
      </c>
      <c r="D95" s="1" t="s">
        <v>127</v>
      </c>
      <c r="E95" s="211">
        <v>45832</v>
      </c>
      <c r="F95" s="212" t="str">
        <f t="shared" ca="1" si="5"/>
        <v>1y 4m</v>
      </c>
      <c r="G95">
        <v>7373.14</v>
      </c>
      <c r="H95">
        <v>63</v>
      </c>
      <c r="I95">
        <v>5344.05</v>
      </c>
      <c r="J95">
        <v>52</v>
      </c>
      <c r="K95">
        <v>6258.15</v>
      </c>
      <c r="L95">
        <v>33</v>
      </c>
      <c r="M95">
        <v>4004.03</v>
      </c>
      <c r="N95">
        <v>36</v>
      </c>
      <c r="O95">
        <v>2142</v>
      </c>
      <c r="P95">
        <v>21</v>
      </c>
      <c r="Q95">
        <v>2362.0300000000002</v>
      </c>
      <c r="R95">
        <v>17</v>
      </c>
      <c r="S95">
        <v>4243.1000000000004</v>
      </c>
      <c r="T95">
        <v>33</v>
      </c>
      <c r="U95">
        <v>3665.07</v>
      </c>
      <c r="V95">
        <v>36</v>
      </c>
      <c r="W95">
        <v>4160.12</v>
      </c>
      <c r="X95">
        <v>36</v>
      </c>
      <c r="Y95">
        <v>2138.0300000000002</v>
      </c>
      <c r="Z95">
        <v>22</v>
      </c>
      <c r="AA95">
        <v>2006.06</v>
      </c>
      <c r="AB95">
        <v>16</v>
      </c>
      <c r="AC95">
        <v>2402.06</v>
      </c>
      <c r="AD95">
        <v>24</v>
      </c>
      <c r="AE95" s="4">
        <v>2240.0500000000002</v>
      </c>
      <c r="AF95" s="4">
        <v>17</v>
      </c>
      <c r="AG95" s="4">
        <v>2787.07</v>
      </c>
      <c r="AH95" s="4">
        <v>26</v>
      </c>
      <c r="AI95" s="4">
        <v>3119.07</v>
      </c>
      <c r="AJ95" s="4">
        <v>24</v>
      </c>
      <c r="AK95" s="4">
        <v>4821.04</v>
      </c>
      <c r="AL95" s="4">
        <v>43</v>
      </c>
      <c r="AM95" s="4">
        <v>2135.0300000000002</v>
      </c>
      <c r="AN95" s="4">
        <v>15</v>
      </c>
      <c r="AO95" s="4">
        <v>1714.03</v>
      </c>
      <c r="AP95" s="4">
        <v>12</v>
      </c>
      <c r="AQ95" s="4">
        <v>2065.0300000000002</v>
      </c>
      <c r="AR95" s="4">
        <v>13</v>
      </c>
      <c r="AS95" s="4">
        <v>3482.1</v>
      </c>
      <c r="AT95" s="4">
        <v>19</v>
      </c>
      <c r="AU95" s="4">
        <v>1436.03</v>
      </c>
      <c r="AV95" s="4">
        <v>10</v>
      </c>
      <c r="AW95" s="4">
        <v>2765.88</v>
      </c>
      <c r="AX95" s="4">
        <v>22</v>
      </c>
      <c r="AY95" s="4">
        <v>3057.84</v>
      </c>
      <c r="AZ95" s="4">
        <v>19</v>
      </c>
      <c r="BA95" s="4">
        <v>3713.73</v>
      </c>
      <c r="BB95" s="4">
        <v>16</v>
      </c>
      <c r="BC95">
        <v>2350.96</v>
      </c>
      <c r="BD95">
        <v>18</v>
      </c>
      <c r="BE95">
        <v>2092.14</v>
      </c>
      <c r="BF95">
        <v>15</v>
      </c>
      <c r="BQ95" s="3">
        <f t="shared" si="6"/>
        <v>83877.84</v>
      </c>
      <c r="BR95" s="3">
        <f t="shared" si="4"/>
        <v>658</v>
      </c>
    </row>
    <row r="96" spans="1:70" x14ac:dyDescent="0.25">
      <c r="A96" s="1" t="s">
        <v>53</v>
      </c>
      <c r="B96" s="1" t="s">
        <v>1330</v>
      </c>
      <c r="C96" s="1" t="s">
        <v>159</v>
      </c>
      <c r="D96" s="1" t="s">
        <v>133</v>
      </c>
      <c r="E96" s="211">
        <v>45745</v>
      </c>
      <c r="F96" s="212" t="str">
        <f t="shared" ca="1" si="5"/>
        <v>1y 6m</v>
      </c>
      <c r="G96">
        <v>12298.25</v>
      </c>
      <c r="H96">
        <v>86</v>
      </c>
      <c r="I96">
        <v>9196.1200000000008</v>
      </c>
      <c r="J96">
        <v>67</v>
      </c>
      <c r="K96">
        <v>8126.21</v>
      </c>
      <c r="L96">
        <v>50</v>
      </c>
      <c r="M96">
        <v>8566.17</v>
      </c>
      <c r="N96">
        <v>49</v>
      </c>
      <c r="O96">
        <v>4734.13</v>
      </c>
      <c r="P96">
        <v>30</v>
      </c>
      <c r="Q96">
        <v>4883.08</v>
      </c>
      <c r="R96">
        <v>32</v>
      </c>
      <c r="S96">
        <v>4894.0200000000004</v>
      </c>
      <c r="T96">
        <v>29</v>
      </c>
      <c r="U96">
        <v>6096.1</v>
      </c>
      <c r="V96">
        <v>39</v>
      </c>
      <c r="W96">
        <v>5803.09</v>
      </c>
      <c r="X96">
        <v>36</v>
      </c>
      <c r="Y96">
        <v>4064.09</v>
      </c>
      <c r="Z96">
        <v>24</v>
      </c>
      <c r="AA96">
        <v>5364.08</v>
      </c>
      <c r="AB96">
        <v>28</v>
      </c>
      <c r="AC96">
        <v>4044.06</v>
      </c>
      <c r="AD96">
        <v>25</v>
      </c>
      <c r="AE96" s="4">
        <v>5793.08</v>
      </c>
      <c r="AF96" s="4">
        <v>33</v>
      </c>
      <c r="AG96" s="4">
        <v>3170.06</v>
      </c>
      <c r="AH96" s="4">
        <v>17</v>
      </c>
      <c r="AI96" s="4">
        <v>3078.02</v>
      </c>
      <c r="AJ96" s="4">
        <v>22</v>
      </c>
      <c r="AK96" s="4">
        <v>6125.16</v>
      </c>
      <c r="AL96" s="4">
        <v>32</v>
      </c>
      <c r="AM96" s="4">
        <v>4001.06</v>
      </c>
      <c r="AN96" s="4">
        <v>17</v>
      </c>
      <c r="AO96" s="4">
        <v>3331.03</v>
      </c>
      <c r="AP96" s="4">
        <v>21</v>
      </c>
      <c r="AQ96" s="4">
        <v>2178.0300000000002</v>
      </c>
      <c r="AR96" s="4">
        <v>14</v>
      </c>
      <c r="AS96" s="4">
        <v>2491.0100000000002</v>
      </c>
      <c r="AT96" s="4">
        <v>14</v>
      </c>
      <c r="AU96" s="4">
        <v>3489.03</v>
      </c>
      <c r="AV96" s="4">
        <v>20</v>
      </c>
      <c r="AW96" s="4">
        <v>3718.83</v>
      </c>
      <c r="AX96" s="4">
        <v>21</v>
      </c>
      <c r="AY96" s="4">
        <v>4912.62</v>
      </c>
      <c r="AZ96" s="4">
        <v>21</v>
      </c>
      <c r="BA96" s="4">
        <v>3434.8</v>
      </c>
      <c r="BB96" s="4">
        <v>17</v>
      </c>
      <c r="BC96">
        <v>3573.8</v>
      </c>
      <c r="BD96">
        <v>20</v>
      </c>
      <c r="BE96">
        <v>2825.21</v>
      </c>
      <c r="BF96">
        <v>19</v>
      </c>
      <c r="BQ96" s="3">
        <f t="shared" si="6"/>
        <v>130191.14</v>
      </c>
      <c r="BR96" s="3">
        <f t="shared" si="4"/>
        <v>783</v>
      </c>
    </row>
    <row r="97" spans="1:70" x14ac:dyDescent="0.25">
      <c r="A97" s="1" t="s">
        <v>77</v>
      </c>
      <c r="B97" s="1" t="s">
        <v>1330</v>
      </c>
      <c r="C97" s="1" t="s">
        <v>160</v>
      </c>
      <c r="D97" s="1" t="s">
        <v>133</v>
      </c>
      <c r="E97" s="211">
        <v>45953</v>
      </c>
      <c r="F97" s="212" t="str">
        <f t="shared" ca="1" si="5"/>
        <v>1y 0m</v>
      </c>
      <c r="G97">
        <v>9139.2100000000009</v>
      </c>
      <c r="H97">
        <v>68</v>
      </c>
      <c r="I97">
        <v>7972.2</v>
      </c>
      <c r="J97">
        <v>45</v>
      </c>
      <c r="K97">
        <v>5349.09</v>
      </c>
      <c r="L97">
        <v>31</v>
      </c>
      <c r="M97">
        <v>5692.1500000000005</v>
      </c>
      <c r="N97">
        <v>36</v>
      </c>
      <c r="O97">
        <v>6023.16</v>
      </c>
      <c r="P97">
        <v>36</v>
      </c>
      <c r="Q97">
        <v>2750.02</v>
      </c>
      <c r="R97">
        <v>15</v>
      </c>
      <c r="S97">
        <v>4009.09</v>
      </c>
      <c r="T97">
        <v>26</v>
      </c>
      <c r="U97">
        <v>2493.0500000000002</v>
      </c>
      <c r="V97">
        <v>20</v>
      </c>
      <c r="W97">
        <v>2635.03</v>
      </c>
      <c r="X97">
        <v>19</v>
      </c>
      <c r="Y97">
        <v>2828.08</v>
      </c>
      <c r="Z97">
        <v>20</v>
      </c>
      <c r="AA97">
        <v>3920.06</v>
      </c>
      <c r="AB97">
        <v>26</v>
      </c>
      <c r="AC97">
        <v>2424.0500000000002</v>
      </c>
      <c r="AD97">
        <v>17</v>
      </c>
      <c r="AE97" s="4">
        <v>3561.08</v>
      </c>
      <c r="AF97" s="4">
        <v>23</v>
      </c>
      <c r="AG97" s="4">
        <v>2094.0700000000002</v>
      </c>
      <c r="AH97" s="4">
        <v>14</v>
      </c>
      <c r="AI97" s="4">
        <v>2730.01</v>
      </c>
      <c r="AJ97" s="4">
        <v>24</v>
      </c>
      <c r="AK97" s="4">
        <v>2915.03</v>
      </c>
      <c r="AL97" s="4">
        <v>20</v>
      </c>
      <c r="AM97" s="4">
        <v>3988.14</v>
      </c>
      <c r="AN97" s="4">
        <v>30</v>
      </c>
      <c r="AO97" s="4">
        <v>2070.04</v>
      </c>
      <c r="AP97" s="4">
        <v>11</v>
      </c>
      <c r="AQ97" s="4">
        <v>2348.0500000000002</v>
      </c>
      <c r="AR97" s="4">
        <v>17</v>
      </c>
      <c r="AS97" s="4">
        <v>1994.02</v>
      </c>
      <c r="AT97" s="4">
        <v>14</v>
      </c>
      <c r="AU97" s="4">
        <v>2287.0300000000002</v>
      </c>
      <c r="AV97" s="4">
        <v>22</v>
      </c>
      <c r="AW97" s="4">
        <v>2191.9</v>
      </c>
      <c r="AX97" s="4">
        <v>14</v>
      </c>
      <c r="AY97" s="4">
        <v>2850.85</v>
      </c>
      <c r="AZ97" s="4">
        <v>19</v>
      </c>
      <c r="BA97" s="4">
        <v>3036.82</v>
      </c>
      <c r="BB97" s="4">
        <v>21</v>
      </c>
      <c r="BC97">
        <v>1976.9</v>
      </c>
      <c r="BD97">
        <v>13</v>
      </c>
      <c r="BE97">
        <v>2146.15</v>
      </c>
      <c r="BF97">
        <v>11</v>
      </c>
      <c r="BQ97" s="3">
        <f t="shared" si="6"/>
        <v>91425.279999999999</v>
      </c>
      <c r="BR97" s="3">
        <f t="shared" si="4"/>
        <v>612</v>
      </c>
    </row>
    <row r="98" spans="1:70" x14ac:dyDescent="0.25">
      <c r="A98" s="1" t="s">
        <v>106</v>
      </c>
      <c r="B98" s="1" t="s">
        <v>1330</v>
      </c>
      <c r="C98" s="1" t="s">
        <v>161</v>
      </c>
      <c r="D98" s="1" t="s">
        <v>131</v>
      </c>
      <c r="E98" s="211">
        <v>46082</v>
      </c>
      <c r="F98" s="212" t="str">
        <f t="shared" ca="1" si="5"/>
        <v>0y 7m</v>
      </c>
      <c r="G98">
        <v>3023.05</v>
      </c>
      <c r="H98">
        <v>28</v>
      </c>
      <c r="I98">
        <v>4562.0600000000004</v>
      </c>
      <c r="J98">
        <v>39</v>
      </c>
      <c r="K98">
        <v>4613.04</v>
      </c>
      <c r="L98">
        <v>34</v>
      </c>
      <c r="M98">
        <v>2521.04</v>
      </c>
      <c r="N98">
        <v>18</v>
      </c>
      <c r="O98">
        <v>848</v>
      </c>
      <c r="P98">
        <v>7</v>
      </c>
      <c r="Q98">
        <v>1984.04</v>
      </c>
      <c r="R98">
        <v>15</v>
      </c>
      <c r="S98">
        <v>2696.03</v>
      </c>
      <c r="T98">
        <v>18</v>
      </c>
      <c r="U98">
        <v>2858.06</v>
      </c>
      <c r="V98">
        <v>20</v>
      </c>
      <c r="W98">
        <v>4491.0200000000004</v>
      </c>
      <c r="X98">
        <v>22</v>
      </c>
      <c r="Y98">
        <v>1715.02</v>
      </c>
      <c r="Z98">
        <v>15</v>
      </c>
      <c r="AA98">
        <v>750.02</v>
      </c>
      <c r="AB98">
        <v>6</v>
      </c>
      <c r="AC98">
        <v>1663.03</v>
      </c>
      <c r="AD98">
        <v>14</v>
      </c>
      <c r="AE98" s="4">
        <v>1741.04</v>
      </c>
      <c r="AF98" s="4">
        <v>12</v>
      </c>
      <c r="AG98" s="4">
        <v>2307.04</v>
      </c>
      <c r="AH98" s="4">
        <v>14</v>
      </c>
      <c r="AI98" s="4">
        <v>2082.0100000000002</v>
      </c>
      <c r="AJ98" s="4">
        <v>16</v>
      </c>
      <c r="AK98" s="4">
        <v>2279.04</v>
      </c>
      <c r="AL98" s="4">
        <v>19</v>
      </c>
      <c r="AM98" s="4">
        <v>1802.03</v>
      </c>
      <c r="AN98" s="4">
        <v>14</v>
      </c>
      <c r="AO98" s="4">
        <v>1784.02</v>
      </c>
      <c r="AP98" s="4">
        <v>14</v>
      </c>
      <c r="AQ98" s="4">
        <v>1062.04</v>
      </c>
      <c r="AR98" s="4">
        <v>10</v>
      </c>
      <c r="AS98" s="4">
        <v>1219.02</v>
      </c>
      <c r="AT98" s="4">
        <v>12</v>
      </c>
      <c r="AU98" s="4">
        <v>1681.01</v>
      </c>
      <c r="AV98" s="4">
        <v>10</v>
      </c>
      <c r="AW98" s="4">
        <v>1567.94</v>
      </c>
      <c r="AX98" s="4">
        <v>11</v>
      </c>
      <c r="AY98" s="4">
        <v>3555.81</v>
      </c>
      <c r="AZ98" s="4">
        <v>22</v>
      </c>
      <c r="BA98" s="4">
        <v>1877.98</v>
      </c>
      <c r="BB98" s="4">
        <v>13</v>
      </c>
      <c r="BC98">
        <v>964.94</v>
      </c>
      <c r="BD98">
        <v>7</v>
      </c>
      <c r="BE98">
        <v>2025.05</v>
      </c>
      <c r="BF98">
        <v>15</v>
      </c>
      <c r="BQ98" s="3">
        <f t="shared" si="6"/>
        <v>57673.380000000012</v>
      </c>
      <c r="BR98" s="3">
        <f t="shared" si="4"/>
        <v>425</v>
      </c>
    </row>
    <row r="99" spans="1:70" x14ac:dyDescent="0.25">
      <c r="A99" s="1" t="s">
        <v>98</v>
      </c>
      <c r="B99" s="1" t="s">
        <v>1330</v>
      </c>
      <c r="C99" s="1" t="s">
        <v>150</v>
      </c>
      <c r="D99" s="1" t="s">
        <v>133</v>
      </c>
      <c r="E99" s="211">
        <v>46022</v>
      </c>
      <c r="F99" s="212" t="str">
        <f t="shared" ca="1" si="5"/>
        <v>0y 9m</v>
      </c>
      <c r="G99">
        <v>5767.14</v>
      </c>
      <c r="H99">
        <v>40</v>
      </c>
      <c r="I99">
        <v>5704.12</v>
      </c>
      <c r="J99">
        <v>37</v>
      </c>
      <c r="K99">
        <v>2673.05</v>
      </c>
      <c r="L99">
        <v>20</v>
      </c>
      <c r="M99">
        <v>2509.06</v>
      </c>
      <c r="N99">
        <v>16</v>
      </c>
      <c r="O99">
        <v>2035.05</v>
      </c>
      <c r="P99">
        <v>18</v>
      </c>
      <c r="Q99">
        <v>1966.05</v>
      </c>
      <c r="R99">
        <v>12</v>
      </c>
      <c r="S99">
        <v>4087.06</v>
      </c>
      <c r="T99">
        <v>24</v>
      </c>
      <c r="U99">
        <v>2512.04</v>
      </c>
      <c r="V99">
        <v>17</v>
      </c>
      <c r="W99">
        <v>2997.05</v>
      </c>
      <c r="X99">
        <v>22</v>
      </c>
      <c r="Y99">
        <v>952.01</v>
      </c>
      <c r="Z99">
        <v>7</v>
      </c>
      <c r="AA99">
        <v>1670</v>
      </c>
      <c r="AB99">
        <v>14</v>
      </c>
      <c r="AC99">
        <v>3156.05</v>
      </c>
      <c r="AD99">
        <v>22</v>
      </c>
      <c r="AE99" s="4">
        <v>2106</v>
      </c>
      <c r="AF99" s="4">
        <v>16</v>
      </c>
      <c r="AG99" s="4">
        <v>1030.01</v>
      </c>
      <c r="AH99" s="4">
        <v>11</v>
      </c>
      <c r="AI99" s="4">
        <v>1910.01</v>
      </c>
      <c r="AJ99" s="4">
        <v>16</v>
      </c>
      <c r="AK99" s="4">
        <v>2274.02</v>
      </c>
      <c r="AL99" s="4">
        <v>17</v>
      </c>
      <c r="AM99" s="4">
        <v>1418.01</v>
      </c>
      <c r="AN99" s="4">
        <v>12</v>
      </c>
      <c r="AO99" s="4">
        <v>196</v>
      </c>
      <c r="AP99" s="4">
        <v>3</v>
      </c>
      <c r="AQ99" s="4">
        <v>1271</v>
      </c>
      <c r="AR99" s="4">
        <v>11</v>
      </c>
      <c r="AS99" s="4">
        <v>1403.03</v>
      </c>
      <c r="AT99" s="4">
        <v>8</v>
      </c>
      <c r="AU99" s="4">
        <v>1784</v>
      </c>
      <c r="AV99" s="4">
        <v>10</v>
      </c>
      <c r="AW99" s="4">
        <v>1701.94</v>
      </c>
      <c r="AX99" s="4">
        <v>8</v>
      </c>
      <c r="AY99" s="4">
        <v>2960.82</v>
      </c>
      <c r="AZ99" s="4">
        <v>15</v>
      </c>
      <c r="BA99" s="4">
        <v>1805.89</v>
      </c>
      <c r="BB99" s="4">
        <v>10</v>
      </c>
      <c r="BC99">
        <v>1232.94</v>
      </c>
      <c r="BD99">
        <v>8</v>
      </c>
      <c r="BE99">
        <v>1734.06</v>
      </c>
      <c r="BF99">
        <v>9</v>
      </c>
      <c r="BQ99" s="3">
        <f t="shared" si="6"/>
        <v>58856.410000000011</v>
      </c>
      <c r="BR99" s="3">
        <f t="shared" si="4"/>
        <v>403</v>
      </c>
    </row>
    <row r="100" spans="1:70" x14ac:dyDescent="0.25">
      <c r="A100" s="1" t="s">
        <v>60</v>
      </c>
      <c r="B100" s="1" t="s">
        <v>1330</v>
      </c>
      <c r="C100" s="1" t="s">
        <v>162</v>
      </c>
      <c r="D100" s="1" t="s">
        <v>133</v>
      </c>
      <c r="E100" s="211">
        <v>45915</v>
      </c>
      <c r="F100" s="212" t="str">
        <f t="shared" ca="1" si="5"/>
        <v>1y 1m</v>
      </c>
      <c r="G100">
        <v>6945.18</v>
      </c>
      <c r="H100">
        <v>38</v>
      </c>
      <c r="I100">
        <v>5538.15</v>
      </c>
      <c r="J100">
        <v>31</v>
      </c>
      <c r="K100">
        <v>3963.1</v>
      </c>
      <c r="L100">
        <v>22</v>
      </c>
      <c r="M100">
        <v>6845.22</v>
      </c>
      <c r="N100">
        <v>29</v>
      </c>
      <c r="O100">
        <v>6037.16</v>
      </c>
      <c r="P100">
        <v>32</v>
      </c>
      <c r="Q100">
        <v>2657.06</v>
      </c>
      <c r="R100">
        <v>15</v>
      </c>
      <c r="S100">
        <v>4559.05</v>
      </c>
      <c r="T100">
        <v>28</v>
      </c>
      <c r="U100">
        <v>4330.07</v>
      </c>
      <c r="V100">
        <v>28</v>
      </c>
      <c r="W100">
        <v>4616.1499999999996</v>
      </c>
      <c r="X100">
        <v>23</v>
      </c>
      <c r="Y100">
        <v>2275.09</v>
      </c>
      <c r="Z100">
        <v>15</v>
      </c>
      <c r="AA100">
        <v>3667.11</v>
      </c>
      <c r="AB100">
        <v>21</v>
      </c>
      <c r="AC100">
        <v>3393.11</v>
      </c>
      <c r="AD100">
        <v>19</v>
      </c>
      <c r="AE100" s="4">
        <v>2746.05</v>
      </c>
      <c r="AF100" s="4">
        <v>14</v>
      </c>
      <c r="AG100" s="4">
        <v>4326.0600000000004</v>
      </c>
      <c r="AH100" s="4">
        <v>23</v>
      </c>
      <c r="AI100" s="4">
        <v>5078.1400000000003</v>
      </c>
      <c r="AJ100" s="4">
        <v>26</v>
      </c>
      <c r="AK100" s="4">
        <v>3536.04</v>
      </c>
      <c r="AL100" s="4">
        <v>20</v>
      </c>
      <c r="AM100" s="4">
        <v>3114.02</v>
      </c>
      <c r="AN100" s="4">
        <v>17</v>
      </c>
      <c r="AO100" s="4">
        <v>2122.0300000000002</v>
      </c>
      <c r="AP100" s="4">
        <v>13</v>
      </c>
      <c r="AQ100" s="4">
        <v>1972.03</v>
      </c>
      <c r="AR100" s="4">
        <v>12</v>
      </c>
      <c r="AS100" s="4">
        <v>1849.01</v>
      </c>
      <c r="AT100" s="4">
        <v>12</v>
      </c>
      <c r="AU100" s="4">
        <v>1799.01</v>
      </c>
      <c r="AV100" s="4">
        <v>9</v>
      </c>
      <c r="AW100" s="4">
        <v>1924.87</v>
      </c>
      <c r="AX100" s="4">
        <v>11</v>
      </c>
      <c r="AY100" s="4">
        <v>2085.86</v>
      </c>
      <c r="AZ100" s="4">
        <v>9</v>
      </c>
      <c r="BA100" s="4">
        <v>1482.93</v>
      </c>
      <c r="BB100" s="4">
        <v>8</v>
      </c>
      <c r="BC100">
        <v>2532.9299999999998</v>
      </c>
      <c r="BD100">
        <v>13</v>
      </c>
      <c r="BE100">
        <v>2077.16</v>
      </c>
      <c r="BF100">
        <v>10</v>
      </c>
      <c r="BQ100" s="3">
        <f t="shared" si="6"/>
        <v>91472.589999999982</v>
      </c>
      <c r="BR100" s="3">
        <f t="shared" si="4"/>
        <v>498</v>
      </c>
    </row>
    <row r="101" spans="1:70" x14ac:dyDescent="0.25">
      <c r="A101" s="1" t="s">
        <v>81</v>
      </c>
      <c r="B101" s="1" t="s">
        <v>1330</v>
      </c>
      <c r="C101" s="1" t="s">
        <v>158</v>
      </c>
      <c r="D101" s="1" t="s">
        <v>128</v>
      </c>
      <c r="E101" s="211">
        <v>45963</v>
      </c>
      <c r="F101" s="212" t="str">
        <f t="shared" ca="1" si="5"/>
        <v>0y 11m</v>
      </c>
      <c r="G101">
        <v>4845.05</v>
      </c>
      <c r="H101">
        <v>46</v>
      </c>
      <c r="I101">
        <v>4379</v>
      </c>
      <c r="J101">
        <v>42</v>
      </c>
      <c r="K101">
        <v>2411.04</v>
      </c>
      <c r="L101">
        <v>22</v>
      </c>
      <c r="M101">
        <v>1968.05</v>
      </c>
      <c r="N101">
        <v>20</v>
      </c>
      <c r="O101">
        <v>2302.06</v>
      </c>
      <c r="P101">
        <v>22</v>
      </c>
      <c r="Q101">
        <v>2317.02</v>
      </c>
      <c r="R101">
        <v>17</v>
      </c>
      <c r="S101">
        <v>2572.06</v>
      </c>
      <c r="T101">
        <v>23</v>
      </c>
      <c r="U101">
        <v>3419.08</v>
      </c>
      <c r="V101">
        <v>25</v>
      </c>
      <c r="W101">
        <v>2242.04</v>
      </c>
      <c r="X101">
        <v>23</v>
      </c>
      <c r="Y101">
        <v>1468.02</v>
      </c>
      <c r="Z101">
        <v>22</v>
      </c>
      <c r="AA101">
        <v>2485.06</v>
      </c>
      <c r="AB101">
        <v>23</v>
      </c>
      <c r="AC101">
        <v>1366.04</v>
      </c>
      <c r="AD101">
        <v>13</v>
      </c>
      <c r="AE101" s="4">
        <v>1354.05</v>
      </c>
      <c r="AF101" s="4">
        <v>10</v>
      </c>
      <c r="AG101" s="4">
        <v>2183.0300000000002</v>
      </c>
      <c r="AH101" s="4">
        <v>14</v>
      </c>
      <c r="AI101" s="4">
        <v>1945.06</v>
      </c>
      <c r="AJ101" s="4">
        <v>16</v>
      </c>
      <c r="AK101" s="4">
        <v>2324.0300000000002</v>
      </c>
      <c r="AL101" s="4">
        <v>17</v>
      </c>
      <c r="AM101" s="4">
        <v>2041.03</v>
      </c>
      <c r="AN101" s="4">
        <v>23</v>
      </c>
      <c r="AO101" s="4">
        <v>686.01</v>
      </c>
      <c r="AP101" s="4">
        <v>7</v>
      </c>
      <c r="AQ101" s="4">
        <v>1655.03</v>
      </c>
      <c r="AR101" s="4">
        <v>11</v>
      </c>
      <c r="AS101" s="4">
        <v>1256.05</v>
      </c>
      <c r="AT101" s="4">
        <v>11</v>
      </c>
      <c r="AU101" s="4">
        <v>870.01</v>
      </c>
      <c r="AV101" s="4">
        <v>6</v>
      </c>
      <c r="AW101" s="4">
        <v>1106.99</v>
      </c>
      <c r="AX101" s="4">
        <v>11</v>
      </c>
      <c r="AY101" s="4">
        <v>2467.9</v>
      </c>
      <c r="AZ101" s="4">
        <v>8</v>
      </c>
      <c r="BA101" s="4">
        <v>2803.79</v>
      </c>
      <c r="BB101" s="4">
        <v>19</v>
      </c>
      <c r="BC101">
        <v>2398.9499999999998</v>
      </c>
      <c r="BD101">
        <v>19</v>
      </c>
      <c r="BE101">
        <v>2628.11</v>
      </c>
      <c r="BF101">
        <v>17</v>
      </c>
      <c r="BQ101" s="3">
        <f t="shared" si="6"/>
        <v>57494.560000000005</v>
      </c>
      <c r="BR101" s="3">
        <f t="shared" si="4"/>
        <v>487</v>
      </c>
    </row>
    <row r="102" spans="1:70" x14ac:dyDescent="0.25">
      <c r="A102" s="1" t="s">
        <v>104</v>
      </c>
      <c r="B102" s="1" t="s">
        <v>1330</v>
      </c>
      <c r="C102" s="1" t="s">
        <v>154</v>
      </c>
      <c r="D102" s="1" t="s">
        <v>126</v>
      </c>
      <c r="E102" s="211">
        <v>46065</v>
      </c>
      <c r="F102" s="212" t="str">
        <f t="shared" ca="1" si="5"/>
        <v>0y 8m</v>
      </c>
      <c r="G102">
        <v>7018.22</v>
      </c>
      <c r="H102">
        <v>27</v>
      </c>
      <c r="I102">
        <v>5678.1</v>
      </c>
      <c r="J102">
        <v>22</v>
      </c>
      <c r="K102">
        <v>3024.05</v>
      </c>
      <c r="L102">
        <v>13</v>
      </c>
      <c r="M102">
        <v>853.02</v>
      </c>
      <c r="N102">
        <v>5</v>
      </c>
      <c r="O102">
        <v>1065.02</v>
      </c>
      <c r="P102">
        <v>6</v>
      </c>
      <c r="Q102">
        <v>947.01</v>
      </c>
      <c r="R102">
        <v>8</v>
      </c>
      <c r="S102">
        <v>1838.06</v>
      </c>
      <c r="T102">
        <v>5</v>
      </c>
      <c r="U102">
        <v>4709.1899999999996</v>
      </c>
      <c r="V102">
        <v>15</v>
      </c>
      <c r="W102">
        <v>4456.09</v>
      </c>
      <c r="X102">
        <v>15</v>
      </c>
      <c r="Y102">
        <v>2569.0100000000002</v>
      </c>
      <c r="Z102">
        <v>11</v>
      </c>
      <c r="AA102">
        <v>2196</v>
      </c>
      <c r="AB102">
        <v>10</v>
      </c>
      <c r="AC102">
        <v>970.02</v>
      </c>
      <c r="AD102">
        <v>5</v>
      </c>
      <c r="AE102" s="4">
        <v>2987.1</v>
      </c>
      <c r="AF102" s="4">
        <v>13</v>
      </c>
      <c r="AG102" s="4">
        <v>1028.03</v>
      </c>
      <c r="AH102" s="4">
        <v>5</v>
      </c>
      <c r="AI102" s="4">
        <v>1619.04</v>
      </c>
      <c r="AJ102" s="4">
        <v>9</v>
      </c>
      <c r="AK102" s="4">
        <v>4740.99</v>
      </c>
      <c r="AL102" s="4">
        <v>16</v>
      </c>
      <c r="AM102" s="4">
        <v>1319</v>
      </c>
      <c r="AN102" s="4">
        <v>5</v>
      </c>
      <c r="AO102" s="4">
        <v>646.01</v>
      </c>
      <c r="AP102" s="4">
        <v>2</v>
      </c>
      <c r="AQ102" s="4">
        <v>1828.05</v>
      </c>
      <c r="AR102" s="4">
        <v>10</v>
      </c>
      <c r="AS102" s="4">
        <v>450.01</v>
      </c>
      <c r="AT102" s="4">
        <v>3</v>
      </c>
      <c r="AU102" s="4">
        <v>709.01</v>
      </c>
      <c r="AV102" s="4">
        <v>3</v>
      </c>
      <c r="AW102" s="4">
        <v>1912.92</v>
      </c>
      <c r="AX102" s="4">
        <v>8</v>
      </c>
      <c r="AY102" s="4">
        <v>5728.61</v>
      </c>
      <c r="AZ102" s="4">
        <v>14</v>
      </c>
      <c r="BA102" s="4">
        <v>2739.83</v>
      </c>
      <c r="BB102" s="4">
        <v>9</v>
      </c>
      <c r="BC102">
        <v>1335.88</v>
      </c>
      <c r="BD102">
        <v>5</v>
      </c>
      <c r="BE102">
        <v>2630.21</v>
      </c>
      <c r="BF102">
        <v>5</v>
      </c>
      <c r="BQ102" s="3">
        <f t="shared" si="6"/>
        <v>64998.479999999996</v>
      </c>
      <c r="BR102" s="3">
        <f t="shared" si="4"/>
        <v>249</v>
      </c>
    </row>
    <row r="103" spans="1:70" x14ac:dyDescent="0.25">
      <c r="A103" s="1" t="s">
        <v>92</v>
      </c>
      <c r="B103" s="1" t="s">
        <v>1330</v>
      </c>
      <c r="C103" s="1" t="s">
        <v>163</v>
      </c>
      <c r="D103" s="1" t="s">
        <v>129</v>
      </c>
      <c r="E103" s="211">
        <v>46014</v>
      </c>
      <c r="F103" s="212" t="str">
        <f t="shared" ca="1" si="5"/>
        <v>0y 10m</v>
      </c>
      <c r="G103">
        <v>7780.12</v>
      </c>
      <c r="H103">
        <v>44</v>
      </c>
      <c r="I103">
        <v>8074.11</v>
      </c>
      <c r="J103">
        <v>56</v>
      </c>
      <c r="K103">
        <v>4116.07</v>
      </c>
      <c r="L103">
        <v>29</v>
      </c>
      <c r="M103">
        <v>3205.06</v>
      </c>
      <c r="N103">
        <v>20</v>
      </c>
      <c r="O103">
        <v>3291.04</v>
      </c>
      <c r="P103">
        <v>20</v>
      </c>
      <c r="Q103">
        <v>2349.0500000000002</v>
      </c>
      <c r="R103">
        <v>18</v>
      </c>
      <c r="S103">
        <v>2776.02</v>
      </c>
      <c r="T103">
        <v>18</v>
      </c>
      <c r="U103">
        <v>2544.0100000000002</v>
      </c>
      <c r="V103">
        <v>17</v>
      </c>
      <c r="W103">
        <v>4623.09</v>
      </c>
      <c r="X103">
        <v>29</v>
      </c>
      <c r="Y103">
        <v>2372.0500000000002</v>
      </c>
      <c r="Z103">
        <v>15</v>
      </c>
      <c r="AA103">
        <v>2753.04</v>
      </c>
      <c r="AB103">
        <v>22</v>
      </c>
      <c r="AC103">
        <v>1399.02</v>
      </c>
      <c r="AD103">
        <v>12</v>
      </c>
      <c r="AE103" s="4">
        <v>2495.04</v>
      </c>
      <c r="AF103" s="4">
        <v>16</v>
      </c>
      <c r="AG103" s="4">
        <v>1899.04</v>
      </c>
      <c r="AH103" s="4">
        <v>13</v>
      </c>
      <c r="AI103" s="4">
        <v>1937.01</v>
      </c>
      <c r="AJ103" s="4">
        <v>16</v>
      </c>
      <c r="AK103" s="4">
        <v>3476.04</v>
      </c>
      <c r="AL103" s="4">
        <v>20</v>
      </c>
      <c r="AM103" s="4">
        <v>2837.03</v>
      </c>
      <c r="AN103" s="4">
        <v>20</v>
      </c>
      <c r="AO103" s="4">
        <v>3311.06</v>
      </c>
      <c r="AP103" s="4">
        <v>20</v>
      </c>
      <c r="AQ103" s="4">
        <v>2959.04</v>
      </c>
      <c r="AR103" s="4">
        <v>19</v>
      </c>
      <c r="AS103" s="4">
        <v>2357.02</v>
      </c>
      <c r="AT103" s="4">
        <v>13</v>
      </c>
      <c r="AU103" s="4">
        <v>3326.07</v>
      </c>
      <c r="AV103" s="4">
        <v>23</v>
      </c>
      <c r="AW103" s="4">
        <v>1704.97</v>
      </c>
      <c r="AX103" s="4">
        <v>16</v>
      </c>
      <c r="AY103" s="4">
        <v>1626.93</v>
      </c>
      <c r="AZ103" s="4">
        <v>12</v>
      </c>
      <c r="BA103" s="4">
        <v>3468.82</v>
      </c>
      <c r="BB103" s="4">
        <v>22</v>
      </c>
      <c r="BC103">
        <v>3672.74</v>
      </c>
      <c r="BD103">
        <v>23</v>
      </c>
      <c r="BE103">
        <v>1795.11</v>
      </c>
      <c r="BF103">
        <v>11</v>
      </c>
      <c r="BQ103" s="3">
        <f t="shared" si="6"/>
        <v>82148.60000000002</v>
      </c>
      <c r="BR103" s="3">
        <f t="shared" si="4"/>
        <v>544</v>
      </c>
    </row>
    <row r="104" spans="1:70" x14ac:dyDescent="0.25">
      <c r="A104" s="1" t="s">
        <v>90</v>
      </c>
      <c r="B104" s="1" t="s">
        <v>1330</v>
      </c>
      <c r="C104" s="1" t="s">
        <v>158</v>
      </c>
      <c r="D104" s="1" t="s">
        <v>128</v>
      </c>
      <c r="E104" s="211">
        <v>45999</v>
      </c>
      <c r="F104" s="212" t="str">
        <f t="shared" ca="1" si="5"/>
        <v>0y 10m</v>
      </c>
      <c r="G104">
        <v>6474.09</v>
      </c>
      <c r="H104">
        <v>65</v>
      </c>
      <c r="I104">
        <v>6067.13</v>
      </c>
      <c r="J104">
        <v>59</v>
      </c>
      <c r="K104">
        <v>4153.12</v>
      </c>
      <c r="L104">
        <v>38</v>
      </c>
      <c r="M104">
        <v>3573.1</v>
      </c>
      <c r="N104">
        <v>23</v>
      </c>
      <c r="O104">
        <v>1413.02</v>
      </c>
      <c r="P104">
        <v>11</v>
      </c>
      <c r="Q104">
        <v>2340.06</v>
      </c>
      <c r="R104">
        <v>18</v>
      </c>
      <c r="S104">
        <v>2370.02</v>
      </c>
      <c r="T104">
        <v>17</v>
      </c>
      <c r="U104">
        <v>2583.0300000000002</v>
      </c>
      <c r="V104">
        <v>21</v>
      </c>
      <c r="W104">
        <v>3249.05</v>
      </c>
      <c r="X104">
        <v>29</v>
      </c>
      <c r="Y104">
        <v>2534</v>
      </c>
      <c r="Z104">
        <v>20</v>
      </c>
      <c r="AA104">
        <v>1957.04</v>
      </c>
      <c r="AB104">
        <v>16</v>
      </c>
      <c r="AC104">
        <v>2230.02</v>
      </c>
      <c r="AD104">
        <v>16</v>
      </c>
      <c r="AE104" s="4">
        <v>1937.04</v>
      </c>
      <c r="AF104" s="4">
        <v>17</v>
      </c>
      <c r="AG104" s="4">
        <v>966.0100000000001</v>
      </c>
      <c r="AH104" s="4">
        <v>9</v>
      </c>
      <c r="AI104" s="4">
        <v>727.02</v>
      </c>
      <c r="AJ104" s="4">
        <v>9</v>
      </c>
      <c r="AK104" s="4">
        <v>2542.02</v>
      </c>
      <c r="AL104" s="4">
        <v>20</v>
      </c>
      <c r="AM104" s="4">
        <v>1694.99</v>
      </c>
      <c r="AN104" s="4">
        <v>16</v>
      </c>
      <c r="AO104" s="4">
        <v>1071.01</v>
      </c>
      <c r="AP104" s="4">
        <v>8</v>
      </c>
      <c r="AQ104" s="4">
        <v>550.01</v>
      </c>
      <c r="AR104" s="4">
        <v>5</v>
      </c>
      <c r="AS104" s="4">
        <v>1804.99</v>
      </c>
      <c r="AT104" s="4">
        <v>14</v>
      </c>
      <c r="AU104" s="4">
        <v>1897.01</v>
      </c>
      <c r="AV104" s="4">
        <v>13</v>
      </c>
      <c r="AW104" s="4">
        <v>1749.89</v>
      </c>
      <c r="AX104" s="4">
        <v>15</v>
      </c>
      <c r="AY104" s="4">
        <v>1686.89</v>
      </c>
      <c r="AZ104" s="4">
        <v>13</v>
      </c>
      <c r="BA104" s="4">
        <v>1887.88</v>
      </c>
      <c r="BB104" s="4">
        <v>16</v>
      </c>
      <c r="BC104">
        <v>1004.96</v>
      </c>
      <c r="BD104">
        <v>8</v>
      </c>
      <c r="BE104">
        <v>1365.11</v>
      </c>
      <c r="BF104">
        <v>9</v>
      </c>
      <c r="BQ104" s="3">
        <f t="shared" si="6"/>
        <v>59828.509999999987</v>
      </c>
      <c r="BR104" s="3">
        <f t="shared" si="4"/>
        <v>505</v>
      </c>
    </row>
    <row r="105" spans="1:70" x14ac:dyDescent="0.25">
      <c r="A105" s="1" t="s">
        <v>87</v>
      </c>
      <c r="B105" s="1" t="s">
        <v>1330</v>
      </c>
      <c r="C105" s="1" t="s">
        <v>145</v>
      </c>
      <c r="D105" s="1" t="s">
        <v>127</v>
      </c>
      <c r="E105" s="211">
        <v>45935</v>
      </c>
      <c r="F105" s="212" t="str">
        <f t="shared" ca="1" si="5"/>
        <v>1y 0m</v>
      </c>
      <c r="G105">
        <v>5859.15</v>
      </c>
      <c r="H105">
        <v>45</v>
      </c>
      <c r="I105">
        <v>5890.1</v>
      </c>
      <c r="J105">
        <v>53</v>
      </c>
      <c r="K105">
        <v>4854.12</v>
      </c>
      <c r="L105">
        <v>48</v>
      </c>
      <c r="M105">
        <v>3608.06</v>
      </c>
      <c r="N105">
        <v>23</v>
      </c>
      <c r="O105">
        <v>2250.04</v>
      </c>
      <c r="P105">
        <v>23</v>
      </c>
      <c r="Q105">
        <v>3998.05</v>
      </c>
      <c r="R105">
        <v>27</v>
      </c>
      <c r="S105">
        <v>1870.03</v>
      </c>
      <c r="T105">
        <v>22</v>
      </c>
      <c r="U105">
        <v>3890.07</v>
      </c>
      <c r="V105">
        <v>39</v>
      </c>
      <c r="W105">
        <v>5366.08</v>
      </c>
      <c r="X105">
        <v>36</v>
      </c>
      <c r="Y105">
        <v>3575.06</v>
      </c>
      <c r="Z105">
        <v>28</v>
      </c>
      <c r="AA105">
        <v>4459.05</v>
      </c>
      <c r="AB105">
        <v>33</v>
      </c>
      <c r="AC105">
        <v>4073.04</v>
      </c>
      <c r="AD105">
        <v>34</v>
      </c>
      <c r="AE105" s="4">
        <v>4188.07</v>
      </c>
      <c r="AF105" s="4">
        <v>26</v>
      </c>
      <c r="AG105" s="4">
        <v>3020.04</v>
      </c>
      <c r="AH105" s="4">
        <v>28</v>
      </c>
      <c r="AI105" s="4">
        <v>3881.03</v>
      </c>
      <c r="AJ105" s="4">
        <v>29</v>
      </c>
      <c r="AK105" s="4">
        <v>6370.12</v>
      </c>
      <c r="AL105" s="4">
        <v>46</v>
      </c>
      <c r="AM105" s="4">
        <v>3885.04</v>
      </c>
      <c r="AN105" s="4">
        <v>27</v>
      </c>
      <c r="AO105" s="4">
        <v>2368.02</v>
      </c>
      <c r="AP105" s="4">
        <v>19</v>
      </c>
      <c r="AQ105" s="4">
        <v>3395.04</v>
      </c>
      <c r="AR105" s="4">
        <v>27</v>
      </c>
      <c r="AS105" s="4">
        <v>3253.04</v>
      </c>
      <c r="AT105" s="4">
        <v>24</v>
      </c>
      <c r="AU105" s="4">
        <v>3744.06</v>
      </c>
      <c r="AV105" s="4">
        <v>24</v>
      </c>
      <c r="AW105" s="4">
        <v>3739.84</v>
      </c>
      <c r="AX105" s="4">
        <v>24</v>
      </c>
      <c r="AY105" s="4">
        <v>4833.6899999999996</v>
      </c>
      <c r="AZ105" s="4">
        <v>29</v>
      </c>
      <c r="BA105" s="4">
        <v>3113.82</v>
      </c>
      <c r="BB105" s="4">
        <v>17</v>
      </c>
      <c r="BC105">
        <v>2787.88</v>
      </c>
      <c r="BD105">
        <v>19</v>
      </c>
      <c r="BE105">
        <v>2190.12</v>
      </c>
      <c r="BF105">
        <v>16</v>
      </c>
      <c r="BQ105" s="3">
        <f t="shared" si="6"/>
        <v>100462.65999999999</v>
      </c>
      <c r="BR105" s="3">
        <f t="shared" si="4"/>
        <v>766</v>
      </c>
    </row>
    <row r="106" spans="1:70" x14ac:dyDescent="0.25">
      <c r="A106" s="1" t="s">
        <v>49</v>
      </c>
      <c r="B106" s="1" t="s">
        <v>1330</v>
      </c>
      <c r="C106" s="1" t="s">
        <v>158</v>
      </c>
      <c r="D106" s="1" t="s">
        <v>128</v>
      </c>
      <c r="E106" s="211">
        <v>45729</v>
      </c>
      <c r="F106" s="212" t="str">
        <f t="shared" ca="1" si="5"/>
        <v>1y 7m</v>
      </c>
      <c r="G106">
        <v>7348.2</v>
      </c>
      <c r="H106">
        <v>73</v>
      </c>
      <c r="I106">
        <v>8654.19</v>
      </c>
      <c r="J106">
        <v>88</v>
      </c>
      <c r="K106">
        <v>5567.05</v>
      </c>
      <c r="L106">
        <v>55</v>
      </c>
      <c r="M106">
        <v>2762.05</v>
      </c>
      <c r="N106">
        <v>19</v>
      </c>
      <c r="O106">
        <v>1958.07</v>
      </c>
      <c r="P106">
        <v>23</v>
      </c>
      <c r="Q106">
        <v>2244.06</v>
      </c>
      <c r="R106">
        <v>12</v>
      </c>
      <c r="S106">
        <v>2548</v>
      </c>
      <c r="T106">
        <v>21</v>
      </c>
      <c r="U106">
        <v>4298.1099999999997</v>
      </c>
      <c r="V106">
        <v>33</v>
      </c>
      <c r="W106">
        <v>4866.05</v>
      </c>
      <c r="X106">
        <v>47</v>
      </c>
      <c r="Y106">
        <v>3040.03</v>
      </c>
      <c r="Z106">
        <v>31</v>
      </c>
      <c r="AA106">
        <v>2301.02</v>
      </c>
      <c r="AB106">
        <v>22</v>
      </c>
      <c r="AC106">
        <v>3600.04</v>
      </c>
      <c r="AD106">
        <v>26</v>
      </c>
      <c r="AE106" s="4">
        <v>2118.0500000000002</v>
      </c>
      <c r="AF106" s="4">
        <v>16</v>
      </c>
      <c r="AG106" s="4">
        <v>4319.1000000000004</v>
      </c>
      <c r="AH106" s="4">
        <v>25</v>
      </c>
      <c r="AI106" s="4">
        <v>4397.99</v>
      </c>
      <c r="AJ106" s="4">
        <v>35</v>
      </c>
      <c r="AK106" s="4">
        <v>4930.0600000000004</v>
      </c>
      <c r="AL106" s="4">
        <v>45</v>
      </c>
      <c r="AM106" s="4">
        <v>2730.01</v>
      </c>
      <c r="AN106" s="4">
        <v>24</v>
      </c>
      <c r="AO106" s="4">
        <v>2220.98</v>
      </c>
      <c r="AP106" s="4">
        <v>22</v>
      </c>
      <c r="AQ106" s="4">
        <v>1664.03</v>
      </c>
      <c r="AR106" s="4">
        <v>19</v>
      </c>
      <c r="AS106" s="4">
        <v>2559.0100000000002</v>
      </c>
      <c r="AT106" s="4">
        <v>22</v>
      </c>
      <c r="AU106" s="4">
        <v>3414.05</v>
      </c>
      <c r="AV106" s="4">
        <v>28</v>
      </c>
      <c r="AW106" s="4">
        <v>4346.8500000000004</v>
      </c>
      <c r="AX106" s="4">
        <v>33</v>
      </c>
      <c r="AY106" s="4">
        <v>4854.76</v>
      </c>
      <c r="AZ106" s="4">
        <v>37</v>
      </c>
      <c r="BA106" s="4">
        <v>3271.79</v>
      </c>
      <c r="BB106" s="4">
        <v>28</v>
      </c>
      <c r="BC106">
        <v>2663.85</v>
      </c>
      <c r="BD106">
        <v>16</v>
      </c>
      <c r="BE106">
        <v>3876.29</v>
      </c>
      <c r="BF106">
        <v>20</v>
      </c>
      <c r="BQ106" s="3">
        <f t="shared" si="6"/>
        <v>96553.689999999973</v>
      </c>
      <c r="BR106" s="3">
        <f t="shared" si="4"/>
        <v>820</v>
      </c>
    </row>
    <row r="107" spans="1:70" x14ac:dyDescent="0.25">
      <c r="A107" s="1" t="s">
        <v>24</v>
      </c>
      <c r="B107" s="1" t="s">
        <v>1330</v>
      </c>
      <c r="C107" s="1" t="s">
        <v>157</v>
      </c>
      <c r="D107" s="1" t="s">
        <v>133</v>
      </c>
      <c r="E107" s="211">
        <v>45603</v>
      </c>
      <c r="F107" s="212" t="str">
        <f t="shared" ca="1" si="5"/>
        <v>1y 11m</v>
      </c>
      <c r="G107">
        <v>7610.11</v>
      </c>
      <c r="H107">
        <v>69</v>
      </c>
      <c r="I107">
        <v>6915.06</v>
      </c>
      <c r="J107">
        <v>54</v>
      </c>
      <c r="K107">
        <v>5115.16</v>
      </c>
      <c r="L107">
        <v>48</v>
      </c>
      <c r="M107">
        <v>6562.1</v>
      </c>
      <c r="N107">
        <v>43</v>
      </c>
      <c r="O107">
        <v>4999.1000000000004</v>
      </c>
      <c r="P107">
        <v>41</v>
      </c>
      <c r="Q107">
        <v>3936.07</v>
      </c>
      <c r="R107">
        <v>27</v>
      </c>
      <c r="S107">
        <v>4648.12</v>
      </c>
      <c r="T107">
        <v>40</v>
      </c>
      <c r="U107">
        <v>5341.08</v>
      </c>
      <c r="V107">
        <v>47</v>
      </c>
      <c r="W107">
        <v>4078.1</v>
      </c>
      <c r="X107">
        <v>28</v>
      </c>
      <c r="Y107">
        <v>5413.06</v>
      </c>
      <c r="Z107">
        <v>35</v>
      </c>
      <c r="AA107">
        <v>2742.01</v>
      </c>
      <c r="AB107">
        <v>23</v>
      </c>
      <c r="AC107">
        <v>2406.0300000000002</v>
      </c>
      <c r="AD107">
        <v>18</v>
      </c>
      <c r="AE107" s="4">
        <v>3627.07</v>
      </c>
      <c r="AF107" s="4">
        <v>23</v>
      </c>
      <c r="AG107" s="4">
        <v>4029.06</v>
      </c>
      <c r="AH107" s="4">
        <v>30</v>
      </c>
      <c r="AI107" s="4">
        <v>5946.12</v>
      </c>
      <c r="AJ107" s="4">
        <v>34</v>
      </c>
      <c r="AK107" s="4">
        <v>4543.96</v>
      </c>
      <c r="AL107" s="4">
        <v>19</v>
      </c>
      <c r="AM107" s="4">
        <v>3667.05</v>
      </c>
      <c r="AN107" s="4">
        <v>26</v>
      </c>
      <c r="AO107" s="4">
        <v>3063.03</v>
      </c>
      <c r="AP107" s="4">
        <v>21</v>
      </c>
      <c r="AQ107" s="4">
        <v>3399.04</v>
      </c>
      <c r="AR107" s="4">
        <v>22</v>
      </c>
      <c r="AS107" s="4">
        <v>3813.08</v>
      </c>
      <c r="AT107" s="4">
        <v>26</v>
      </c>
      <c r="AU107" s="4">
        <v>2495.04</v>
      </c>
      <c r="AV107" s="4">
        <v>17</v>
      </c>
      <c r="AW107" s="4">
        <v>3846.86</v>
      </c>
      <c r="AX107" s="4">
        <v>25</v>
      </c>
      <c r="AY107" s="4">
        <v>2964.79</v>
      </c>
      <c r="AZ107" s="4">
        <v>16</v>
      </c>
      <c r="BA107" s="4">
        <v>4966.76</v>
      </c>
      <c r="BB107" s="4">
        <v>30</v>
      </c>
      <c r="BC107">
        <v>3296.83</v>
      </c>
      <c r="BD107">
        <v>20</v>
      </c>
      <c r="BE107">
        <v>4393.2700000000004</v>
      </c>
      <c r="BF107">
        <v>24</v>
      </c>
      <c r="BQ107" s="3">
        <f t="shared" si="6"/>
        <v>113817.95999999999</v>
      </c>
      <c r="BR107" s="3">
        <f t="shared" si="4"/>
        <v>806</v>
      </c>
    </row>
    <row r="108" spans="1:70" x14ac:dyDescent="0.25">
      <c r="A108" s="1" t="s">
        <v>102</v>
      </c>
      <c r="B108" s="1" t="s">
        <v>1330</v>
      </c>
      <c r="C108" s="1" t="s">
        <v>156</v>
      </c>
      <c r="D108" s="1" t="s">
        <v>131</v>
      </c>
      <c r="E108" s="211">
        <v>46033</v>
      </c>
      <c r="F108" s="212" t="str">
        <f t="shared" ca="1" si="5"/>
        <v>0y 9m</v>
      </c>
      <c r="G108">
        <v>4651.0600000000004</v>
      </c>
      <c r="H108">
        <v>33</v>
      </c>
      <c r="I108">
        <v>621.01</v>
      </c>
      <c r="J108">
        <v>11</v>
      </c>
      <c r="K108">
        <v>2886.03</v>
      </c>
      <c r="L108">
        <v>25</v>
      </c>
      <c r="M108">
        <v>3318.06</v>
      </c>
      <c r="N108">
        <v>17</v>
      </c>
      <c r="O108">
        <v>2256.0300000000002</v>
      </c>
      <c r="P108">
        <v>17</v>
      </c>
      <c r="Q108">
        <v>1540.02</v>
      </c>
      <c r="R108">
        <v>7</v>
      </c>
      <c r="S108">
        <v>2137.02</v>
      </c>
      <c r="T108">
        <v>20</v>
      </c>
      <c r="U108">
        <v>1759.03</v>
      </c>
      <c r="V108">
        <v>15</v>
      </c>
      <c r="W108">
        <v>1810.02</v>
      </c>
      <c r="X108">
        <v>19</v>
      </c>
      <c r="Y108">
        <v>1664.99</v>
      </c>
      <c r="Z108">
        <v>11</v>
      </c>
      <c r="AA108">
        <v>1039.01</v>
      </c>
      <c r="AB108">
        <v>12</v>
      </c>
      <c r="AC108">
        <v>1573.02</v>
      </c>
      <c r="AD108">
        <v>13</v>
      </c>
      <c r="AE108" s="4">
        <v>1801.01</v>
      </c>
      <c r="AF108" s="4">
        <v>16</v>
      </c>
      <c r="AG108" s="4">
        <v>1707.01</v>
      </c>
      <c r="AH108" s="4">
        <v>12</v>
      </c>
      <c r="AI108" s="4">
        <v>2508.0100000000002</v>
      </c>
      <c r="AJ108" s="4">
        <v>19</v>
      </c>
      <c r="AK108" s="4">
        <v>1399.03</v>
      </c>
      <c r="AL108" s="4">
        <v>11</v>
      </c>
      <c r="AM108" s="4">
        <v>1704.02</v>
      </c>
      <c r="AN108" s="4">
        <v>12</v>
      </c>
      <c r="AO108" s="4">
        <v>1951.01</v>
      </c>
      <c r="AP108" s="4">
        <v>17</v>
      </c>
      <c r="AQ108" s="4">
        <v>259.01</v>
      </c>
      <c r="AR108" s="4">
        <v>5</v>
      </c>
      <c r="AS108" s="4">
        <v>1115.01</v>
      </c>
      <c r="AT108" s="4">
        <v>10</v>
      </c>
      <c r="AU108" s="4">
        <v>724.99</v>
      </c>
      <c r="AV108" s="4">
        <v>10</v>
      </c>
      <c r="AW108" s="4">
        <v>1603.92</v>
      </c>
      <c r="AX108" s="4">
        <v>9</v>
      </c>
      <c r="AY108" s="4">
        <v>399</v>
      </c>
      <c r="AZ108" s="4">
        <v>6</v>
      </c>
      <c r="BA108" s="4">
        <v>1639.91</v>
      </c>
      <c r="BB108" s="4">
        <v>13</v>
      </c>
      <c r="BC108">
        <v>2040.86</v>
      </c>
      <c r="BD108">
        <v>12</v>
      </c>
      <c r="BE108">
        <v>1946.11</v>
      </c>
      <c r="BF108">
        <v>16</v>
      </c>
      <c r="BQ108" s="3">
        <f t="shared" si="6"/>
        <v>46054.2</v>
      </c>
      <c r="BR108" s="3">
        <f t="shared" si="4"/>
        <v>368</v>
      </c>
    </row>
    <row r="109" spans="1:70" x14ac:dyDescent="0.25">
      <c r="A109" s="1" t="s">
        <v>70</v>
      </c>
      <c r="B109" s="1" t="s">
        <v>1330</v>
      </c>
      <c r="C109" s="1" t="s">
        <v>153</v>
      </c>
      <c r="D109" s="1" t="s">
        <v>127</v>
      </c>
      <c r="E109" s="211">
        <v>45901</v>
      </c>
      <c r="F109" s="212" t="str">
        <f t="shared" ca="1" si="5"/>
        <v>1y 1m</v>
      </c>
      <c r="G109">
        <v>2669.02</v>
      </c>
      <c r="H109">
        <v>19</v>
      </c>
      <c r="I109">
        <v>3095.02</v>
      </c>
      <c r="J109">
        <v>21</v>
      </c>
      <c r="K109">
        <v>1879</v>
      </c>
      <c r="L109">
        <v>13</v>
      </c>
      <c r="M109">
        <v>2549.98</v>
      </c>
      <c r="N109">
        <v>16</v>
      </c>
      <c r="O109">
        <v>1935.02</v>
      </c>
      <c r="P109">
        <v>13</v>
      </c>
      <c r="Q109">
        <v>1822.01</v>
      </c>
      <c r="R109">
        <v>10</v>
      </c>
      <c r="S109">
        <v>2280</v>
      </c>
      <c r="T109">
        <v>17</v>
      </c>
      <c r="U109">
        <v>3393.02</v>
      </c>
      <c r="V109">
        <v>19</v>
      </c>
      <c r="W109">
        <v>4152.08</v>
      </c>
      <c r="X109">
        <v>21</v>
      </c>
      <c r="Y109">
        <v>1640.05</v>
      </c>
      <c r="Z109">
        <v>12</v>
      </c>
      <c r="AA109">
        <v>1037.01</v>
      </c>
      <c r="AB109">
        <v>5</v>
      </c>
      <c r="AC109">
        <v>1443.04</v>
      </c>
      <c r="AD109">
        <v>10</v>
      </c>
      <c r="AE109" s="4">
        <v>2897.08</v>
      </c>
      <c r="AF109" s="4">
        <v>12</v>
      </c>
      <c r="AG109" s="4">
        <v>2225.04</v>
      </c>
      <c r="AH109" s="4">
        <v>14</v>
      </c>
      <c r="AI109" s="4">
        <v>3452.06</v>
      </c>
      <c r="AJ109" s="4">
        <v>23</v>
      </c>
      <c r="AK109" s="4">
        <v>1385.02</v>
      </c>
      <c r="AL109" s="4">
        <v>10</v>
      </c>
      <c r="AM109" s="4">
        <v>1562.03</v>
      </c>
      <c r="AN109" s="4">
        <v>10</v>
      </c>
      <c r="AO109" s="4">
        <v>1604.01</v>
      </c>
      <c r="AP109" s="4">
        <v>8</v>
      </c>
      <c r="AQ109" s="4">
        <v>1261.01</v>
      </c>
      <c r="AR109" s="4">
        <v>7</v>
      </c>
      <c r="AS109" s="4">
        <v>1271.01</v>
      </c>
      <c r="AT109" s="4">
        <v>9</v>
      </c>
      <c r="AU109" s="4">
        <v>1445</v>
      </c>
      <c r="AV109" s="4">
        <v>12</v>
      </c>
      <c r="AW109" s="4">
        <v>3189.81</v>
      </c>
      <c r="AX109" s="4">
        <v>14</v>
      </c>
      <c r="AY109" s="4">
        <v>2489.87</v>
      </c>
      <c r="AZ109" s="4">
        <v>14</v>
      </c>
      <c r="BA109" s="4">
        <v>1989.92</v>
      </c>
      <c r="BB109" s="4">
        <v>10</v>
      </c>
      <c r="BC109">
        <v>2517.91</v>
      </c>
      <c r="BD109">
        <v>10</v>
      </c>
      <c r="BE109">
        <v>1544.09</v>
      </c>
      <c r="BF109">
        <v>8</v>
      </c>
      <c r="BQ109" s="3">
        <f t="shared" si="6"/>
        <v>56729.11</v>
      </c>
      <c r="BR109" s="3">
        <f t="shared" si="4"/>
        <v>337</v>
      </c>
    </row>
    <row r="110" spans="1:70" x14ac:dyDescent="0.25">
      <c r="A110" s="1" t="s">
        <v>47</v>
      </c>
      <c r="B110" s="1" t="s">
        <v>1330</v>
      </c>
      <c r="C110" s="1" t="s">
        <v>145</v>
      </c>
      <c r="D110" s="1" t="s">
        <v>127</v>
      </c>
      <c r="E110" s="211">
        <v>45727</v>
      </c>
      <c r="F110" s="212" t="str">
        <f t="shared" ca="1" si="5"/>
        <v>1y 7m</v>
      </c>
      <c r="G110">
        <v>2486.06</v>
      </c>
      <c r="H110">
        <v>18</v>
      </c>
      <c r="I110">
        <v>2775.07</v>
      </c>
      <c r="J110">
        <v>28</v>
      </c>
      <c r="K110">
        <v>1785.06</v>
      </c>
      <c r="L110">
        <v>12</v>
      </c>
      <c r="M110">
        <v>2427.1</v>
      </c>
      <c r="N110">
        <v>14</v>
      </c>
      <c r="O110">
        <v>986.01</v>
      </c>
      <c r="P110">
        <v>10</v>
      </c>
      <c r="Q110">
        <v>1458.99</v>
      </c>
      <c r="R110">
        <v>15</v>
      </c>
      <c r="S110">
        <v>1169.02</v>
      </c>
      <c r="T110">
        <v>10</v>
      </c>
      <c r="U110">
        <v>1818.01</v>
      </c>
      <c r="V110">
        <v>12</v>
      </c>
      <c r="W110">
        <v>3829.03</v>
      </c>
      <c r="X110">
        <v>26</v>
      </c>
      <c r="Y110">
        <v>1339.02</v>
      </c>
      <c r="Z110">
        <v>14</v>
      </c>
      <c r="AA110">
        <v>1160</v>
      </c>
      <c r="AB110">
        <v>10</v>
      </c>
      <c r="AC110">
        <v>1823.02</v>
      </c>
      <c r="AD110">
        <v>11</v>
      </c>
      <c r="AE110" s="4">
        <v>1712.04</v>
      </c>
      <c r="AF110" s="4">
        <v>11</v>
      </c>
      <c r="AG110" s="4">
        <v>1580.04</v>
      </c>
      <c r="AH110" s="4">
        <v>12</v>
      </c>
      <c r="AI110" s="4">
        <v>1615</v>
      </c>
      <c r="AJ110" s="4">
        <v>11</v>
      </c>
      <c r="AK110" s="4">
        <v>1510</v>
      </c>
      <c r="AL110" s="4">
        <v>12</v>
      </c>
      <c r="AM110" s="4">
        <v>1039.01</v>
      </c>
      <c r="AN110" s="4">
        <v>8</v>
      </c>
      <c r="AO110" s="4">
        <v>725.02</v>
      </c>
      <c r="AP110" s="4">
        <v>5</v>
      </c>
      <c r="AQ110" s="4">
        <v>940.01</v>
      </c>
      <c r="AR110" s="4">
        <v>10</v>
      </c>
      <c r="AS110" s="4">
        <v>2254.0700000000002</v>
      </c>
      <c r="AT110" s="4">
        <v>18</v>
      </c>
      <c r="AU110" s="4">
        <v>1125.04</v>
      </c>
      <c r="AV110" s="4">
        <v>8</v>
      </c>
      <c r="AW110" s="4">
        <v>1851.97</v>
      </c>
      <c r="AX110" s="4">
        <v>13</v>
      </c>
      <c r="AY110" s="4">
        <v>1204.94</v>
      </c>
      <c r="AZ110" s="4">
        <v>10</v>
      </c>
      <c r="BA110" s="4">
        <v>1000.96</v>
      </c>
      <c r="BB110" s="4">
        <v>6</v>
      </c>
      <c r="BC110">
        <v>935</v>
      </c>
      <c r="BD110">
        <v>5</v>
      </c>
      <c r="BE110">
        <v>1795.1</v>
      </c>
      <c r="BF110">
        <v>13</v>
      </c>
      <c r="BQ110" s="3">
        <f t="shared" si="6"/>
        <v>42344.590000000004</v>
      </c>
      <c r="BR110" s="3">
        <f t="shared" si="4"/>
        <v>322</v>
      </c>
    </row>
    <row r="111" spans="1:70" x14ac:dyDescent="0.25">
      <c r="A111" s="1" t="s">
        <v>97</v>
      </c>
      <c r="B111" s="1" t="s">
        <v>1330</v>
      </c>
      <c r="C111" s="1" t="s">
        <v>163</v>
      </c>
      <c r="D111" s="1" t="s">
        <v>129</v>
      </c>
      <c r="E111" s="211">
        <v>46019</v>
      </c>
      <c r="F111" s="212" t="str">
        <f t="shared" ca="1" si="5"/>
        <v>0y 9m</v>
      </c>
      <c r="G111">
        <v>3294.07</v>
      </c>
      <c r="H111">
        <v>23</v>
      </c>
      <c r="I111">
        <v>4543.1000000000004</v>
      </c>
      <c r="J111">
        <v>28</v>
      </c>
      <c r="K111">
        <v>2154.06</v>
      </c>
      <c r="L111">
        <v>13</v>
      </c>
      <c r="M111">
        <v>3542.02</v>
      </c>
      <c r="N111">
        <v>18</v>
      </c>
      <c r="O111">
        <v>1189.04</v>
      </c>
      <c r="P111">
        <v>10</v>
      </c>
      <c r="Q111">
        <v>603</v>
      </c>
      <c r="R111">
        <v>7</v>
      </c>
      <c r="S111">
        <v>1252.02</v>
      </c>
      <c r="T111">
        <v>11</v>
      </c>
      <c r="U111">
        <v>1337.04</v>
      </c>
      <c r="V111">
        <v>12</v>
      </c>
      <c r="W111">
        <v>3851.05</v>
      </c>
      <c r="X111">
        <v>28</v>
      </c>
      <c r="Y111">
        <v>1664.02</v>
      </c>
      <c r="Z111">
        <v>12</v>
      </c>
      <c r="AA111">
        <v>1626.01</v>
      </c>
      <c r="AB111">
        <v>11</v>
      </c>
      <c r="AC111">
        <v>1554.02</v>
      </c>
      <c r="AD111">
        <v>12</v>
      </c>
      <c r="AE111" s="4">
        <v>956.02</v>
      </c>
      <c r="AF111" s="4">
        <v>7</v>
      </c>
      <c r="AG111" s="4">
        <v>633.02</v>
      </c>
      <c r="AH111" s="4">
        <v>5</v>
      </c>
      <c r="AI111" s="4">
        <v>3434.1</v>
      </c>
      <c r="AJ111" s="4">
        <v>22</v>
      </c>
      <c r="AK111" s="4">
        <v>3468.02</v>
      </c>
      <c r="AL111" s="4">
        <v>23</v>
      </c>
      <c r="AM111" s="4">
        <v>2538</v>
      </c>
      <c r="AN111" s="4">
        <v>16</v>
      </c>
      <c r="AO111" s="4">
        <v>1673.03</v>
      </c>
      <c r="AP111" s="4">
        <v>9</v>
      </c>
      <c r="AQ111" s="4">
        <v>723</v>
      </c>
      <c r="AR111" s="4">
        <v>6</v>
      </c>
      <c r="AS111" s="4">
        <v>1928.02</v>
      </c>
      <c r="AT111" s="4">
        <v>12</v>
      </c>
      <c r="AU111" s="4">
        <v>344</v>
      </c>
      <c r="AV111" s="4">
        <v>4</v>
      </c>
      <c r="AW111" s="4">
        <v>1573.97</v>
      </c>
      <c r="AX111" s="4">
        <v>10</v>
      </c>
      <c r="AY111" s="4">
        <v>3452.85</v>
      </c>
      <c r="AZ111" s="4">
        <v>20</v>
      </c>
      <c r="BA111" s="4">
        <v>2351.88</v>
      </c>
      <c r="BB111" s="4">
        <v>16</v>
      </c>
      <c r="BC111">
        <v>1906.89</v>
      </c>
      <c r="BD111">
        <v>11</v>
      </c>
      <c r="BE111">
        <v>2051.12</v>
      </c>
      <c r="BF111">
        <v>13</v>
      </c>
      <c r="BQ111" s="3">
        <f t="shared" si="6"/>
        <v>53643.369999999995</v>
      </c>
      <c r="BR111" s="3">
        <f t="shared" si="4"/>
        <v>359</v>
      </c>
    </row>
    <row r="112" spans="1:70" x14ac:dyDescent="0.25">
      <c r="A112" s="1" t="s">
        <v>124</v>
      </c>
      <c r="B112" s="1" t="s">
        <v>1330</v>
      </c>
      <c r="C112" s="1" t="s">
        <v>145</v>
      </c>
      <c r="D112" s="1" t="s">
        <v>127</v>
      </c>
      <c r="E112" s="211">
        <v>46288</v>
      </c>
      <c r="F112" s="212" t="str">
        <f t="shared" ca="1" si="5"/>
        <v>0y 1m</v>
      </c>
      <c r="G112">
        <v>5816.11</v>
      </c>
      <c r="H112">
        <v>39</v>
      </c>
      <c r="I112">
        <v>4997.13</v>
      </c>
      <c r="J112">
        <v>33</v>
      </c>
      <c r="K112">
        <v>4547.08</v>
      </c>
      <c r="L112">
        <v>21</v>
      </c>
      <c r="M112">
        <v>1450.01</v>
      </c>
      <c r="N112">
        <v>11</v>
      </c>
      <c r="O112">
        <v>1686.04</v>
      </c>
      <c r="P112">
        <v>11</v>
      </c>
      <c r="Q112">
        <v>1441.07</v>
      </c>
      <c r="R112">
        <v>11</v>
      </c>
      <c r="S112">
        <v>2168.06</v>
      </c>
      <c r="T112">
        <v>15</v>
      </c>
      <c r="U112">
        <v>2828.02</v>
      </c>
      <c r="V112">
        <v>16</v>
      </c>
      <c r="W112">
        <v>7290.12</v>
      </c>
      <c r="X112">
        <v>41</v>
      </c>
      <c r="Y112">
        <v>3354.09</v>
      </c>
      <c r="Z112">
        <v>19</v>
      </c>
      <c r="AA112">
        <v>2258.0700000000002</v>
      </c>
      <c r="AB112">
        <v>15</v>
      </c>
      <c r="AC112">
        <v>1050.04</v>
      </c>
      <c r="AD112">
        <v>9</v>
      </c>
      <c r="AE112" s="4">
        <v>1542.01</v>
      </c>
      <c r="AF112" s="4">
        <v>8</v>
      </c>
      <c r="AG112" s="4">
        <v>1760.05</v>
      </c>
      <c r="AH112" s="4">
        <v>13</v>
      </c>
      <c r="AI112" s="4">
        <v>2493.02</v>
      </c>
      <c r="AJ112" s="4">
        <v>11</v>
      </c>
      <c r="AK112" s="4">
        <v>5304.13</v>
      </c>
      <c r="AL112" s="4">
        <v>28</v>
      </c>
      <c r="AM112" s="4">
        <v>2135.02</v>
      </c>
      <c r="AN112" s="4">
        <v>11</v>
      </c>
      <c r="AO112" s="4">
        <v>935.03</v>
      </c>
      <c r="AP112" s="4">
        <v>7</v>
      </c>
      <c r="AQ112" s="4">
        <v>1180.02</v>
      </c>
      <c r="AR112" s="4">
        <v>11</v>
      </c>
      <c r="AS112" s="4">
        <v>1976.01</v>
      </c>
      <c r="AT112" s="4">
        <v>11</v>
      </c>
      <c r="AU112" s="4">
        <v>1349.04</v>
      </c>
      <c r="AV112" s="4">
        <v>11</v>
      </c>
      <c r="AW112" s="4">
        <v>1984.97</v>
      </c>
      <c r="AX112" s="4">
        <v>19</v>
      </c>
      <c r="AY112" s="4">
        <v>3028.84</v>
      </c>
      <c r="AZ112" s="4">
        <v>23</v>
      </c>
      <c r="BA112" s="4">
        <v>4299.74</v>
      </c>
      <c r="BB112" s="4">
        <v>22</v>
      </c>
      <c r="BC112">
        <v>2251.84</v>
      </c>
      <c r="BD112">
        <v>14</v>
      </c>
      <c r="BE112">
        <v>2229.16</v>
      </c>
      <c r="BF112">
        <v>12</v>
      </c>
      <c r="BQ112" s="3">
        <f t="shared" si="6"/>
        <v>71354.720000000001</v>
      </c>
      <c r="BR112" s="3">
        <f t="shared" si="4"/>
        <v>442</v>
      </c>
    </row>
    <row r="113" spans="1:70" x14ac:dyDescent="0.25">
      <c r="A113" s="1" t="s">
        <v>20</v>
      </c>
      <c r="B113" s="1" t="s">
        <v>1330</v>
      </c>
      <c r="C113" s="1" t="s">
        <v>157</v>
      </c>
      <c r="D113" s="1" t="s">
        <v>133</v>
      </c>
      <c r="E113" s="211">
        <v>45593</v>
      </c>
      <c r="F113" s="212" t="str">
        <f t="shared" ca="1" si="5"/>
        <v>1y 11m</v>
      </c>
      <c r="G113">
        <v>9082.23</v>
      </c>
      <c r="H113">
        <v>73</v>
      </c>
      <c r="I113">
        <v>6378.11</v>
      </c>
      <c r="J113">
        <v>54</v>
      </c>
      <c r="K113">
        <v>6487.16</v>
      </c>
      <c r="L113">
        <v>48</v>
      </c>
      <c r="M113">
        <v>5089.12</v>
      </c>
      <c r="N113">
        <v>33</v>
      </c>
      <c r="O113">
        <v>4129.0600000000004</v>
      </c>
      <c r="P113">
        <v>33</v>
      </c>
      <c r="Q113">
        <v>3605.03</v>
      </c>
      <c r="R113">
        <v>26</v>
      </c>
      <c r="S113">
        <v>3266.06</v>
      </c>
      <c r="T113">
        <v>24</v>
      </c>
      <c r="U113">
        <v>4851.0600000000004</v>
      </c>
      <c r="V113">
        <v>34</v>
      </c>
      <c r="W113">
        <v>4149.05</v>
      </c>
      <c r="X113">
        <v>31</v>
      </c>
      <c r="Y113">
        <v>4027.02</v>
      </c>
      <c r="Z113">
        <v>32</v>
      </c>
      <c r="AA113">
        <v>3390.05</v>
      </c>
      <c r="AB113">
        <v>26</v>
      </c>
      <c r="AC113">
        <v>3239.03</v>
      </c>
      <c r="AD113">
        <v>23</v>
      </c>
      <c r="AE113" s="4">
        <v>4884.0200000000004</v>
      </c>
      <c r="AF113" s="4">
        <v>33</v>
      </c>
      <c r="AG113" s="4">
        <v>3382.03</v>
      </c>
      <c r="AH113" s="4">
        <v>23</v>
      </c>
      <c r="AI113" s="4">
        <v>4233.0200000000004</v>
      </c>
      <c r="AJ113" s="4">
        <v>25</v>
      </c>
      <c r="AK113" s="4">
        <v>2904.02</v>
      </c>
      <c r="AL113" s="4">
        <v>23</v>
      </c>
      <c r="AM113" s="4">
        <v>3627.02</v>
      </c>
      <c r="AN113" s="4">
        <v>25</v>
      </c>
      <c r="AO113" s="4">
        <v>3014</v>
      </c>
      <c r="AP113" s="4">
        <v>20</v>
      </c>
      <c r="AQ113" s="4">
        <v>3746.98</v>
      </c>
      <c r="AR113" s="4">
        <v>25</v>
      </c>
      <c r="AS113" s="4">
        <v>2322.02</v>
      </c>
      <c r="AT113" s="4">
        <v>21</v>
      </c>
      <c r="AU113" s="4">
        <v>3454.02</v>
      </c>
      <c r="AV113" s="4">
        <v>27</v>
      </c>
      <c r="AW113" s="4">
        <v>2680.93</v>
      </c>
      <c r="AX113" s="4">
        <v>15</v>
      </c>
      <c r="AY113" s="4">
        <v>3585.82</v>
      </c>
      <c r="AZ113" s="4">
        <v>21</v>
      </c>
      <c r="BA113" s="4">
        <v>3209.85</v>
      </c>
      <c r="BB113" s="4">
        <v>22</v>
      </c>
      <c r="BC113">
        <v>4903.8100000000004</v>
      </c>
      <c r="BD113">
        <v>26</v>
      </c>
      <c r="BE113">
        <v>3124.24</v>
      </c>
      <c r="BF113">
        <v>19</v>
      </c>
      <c r="BQ113" s="3">
        <f t="shared" si="6"/>
        <v>106764.76000000002</v>
      </c>
      <c r="BR113" s="3">
        <f t="shared" si="4"/>
        <v>762</v>
      </c>
    </row>
    <row r="114" spans="1:70" x14ac:dyDescent="0.25">
      <c r="A114" s="1" t="s">
        <v>51</v>
      </c>
      <c r="B114" s="1" t="s">
        <v>1330</v>
      </c>
      <c r="C114" s="1" t="s">
        <v>159</v>
      </c>
      <c r="D114" s="1" t="s">
        <v>133</v>
      </c>
      <c r="E114" s="211">
        <v>45736</v>
      </c>
      <c r="F114" s="212" t="str">
        <f t="shared" ca="1" si="5"/>
        <v>1y 7m</v>
      </c>
      <c r="G114">
        <v>6286.1</v>
      </c>
      <c r="H114">
        <v>47</v>
      </c>
      <c r="I114">
        <v>6864.07</v>
      </c>
      <c r="J114">
        <v>48</v>
      </c>
      <c r="K114">
        <v>4527.13</v>
      </c>
      <c r="L114">
        <v>31</v>
      </c>
      <c r="M114">
        <v>5078.1099999999997</v>
      </c>
      <c r="N114">
        <v>29</v>
      </c>
      <c r="O114">
        <v>2995.02</v>
      </c>
      <c r="P114">
        <v>20</v>
      </c>
      <c r="Q114">
        <v>2527.02</v>
      </c>
      <c r="R114">
        <v>19</v>
      </c>
      <c r="S114">
        <v>3225.98</v>
      </c>
      <c r="T114">
        <v>20</v>
      </c>
      <c r="U114">
        <v>1952.04</v>
      </c>
      <c r="V114">
        <v>12</v>
      </c>
      <c r="W114">
        <v>6424.12</v>
      </c>
      <c r="X114">
        <v>35</v>
      </c>
      <c r="Y114">
        <v>2335.0100000000002</v>
      </c>
      <c r="Z114">
        <v>23</v>
      </c>
      <c r="AA114">
        <v>3242.04</v>
      </c>
      <c r="AB114">
        <v>20</v>
      </c>
      <c r="AC114">
        <v>2834.03</v>
      </c>
      <c r="AD114">
        <v>17</v>
      </c>
      <c r="AE114" s="4">
        <v>2486.08</v>
      </c>
      <c r="AF114" s="4">
        <v>19</v>
      </c>
      <c r="AG114" s="4">
        <v>3290.07</v>
      </c>
      <c r="AH114" s="4">
        <v>22</v>
      </c>
      <c r="AI114" s="4">
        <v>2493.0700000000002</v>
      </c>
      <c r="AJ114" s="4">
        <v>17</v>
      </c>
      <c r="AK114" s="4">
        <v>3179.04</v>
      </c>
      <c r="AL114" s="4">
        <v>18</v>
      </c>
      <c r="AM114" s="4">
        <v>3610.09</v>
      </c>
      <c r="AN114" s="4">
        <v>30</v>
      </c>
      <c r="AO114" s="4">
        <v>1936.03</v>
      </c>
      <c r="AP114" s="4">
        <v>14</v>
      </c>
      <c r="AQ114" s="4">
        <v>2598.0500000000002</v>
      </c>
      <c r="AR114" s="4">
        <v>20</v>
      </c>
      <c r="AS114" s="4">
        <v>2181.04</v>
      </c>
      <c r="AT114" s="4">
        <v>16</v>
      </c>
      <c r="AU114" s="4">
        <v>1400</v>
      </c>
      <c r="AV114" s="4">
        <v>10</v>
      </c>
      <c r="AW114" s="4">
        <v>2859.84</v>
      </c>
      <c r="AX114" s="4">
        <v>23</v>
      </c>
      <c r="AY114" s="4">
        <v>2643.92</v>
      </c>
      <c r="AZ114" s="4">
        <v>23</v>
      </c>
      <c r="BA114" s="4">
        <v>2214.89</v>
      </c>
      <c r="BB114" s="4">
        <v>14</v>
      </c>
      <c r="BC114">
        <v>3946.73</v>
      </c>
      <c r="BD114">
        <v>19</v>
      </c>
      <c r="BE114">
        <v>2541.14</v>
      </c>
      <c r="BF114">
        <v>16</v>
      </c>
      <c r="BQ114" s="3">
        <f t="shared" si="6"/>
        <v>85670.659999999989</v>
      </c>
      <c r="BR114" s="3">
        <f t="shared" si="4"/>
        <v>582</v>
      </c>
    </row>
    <row r="115" spans="1:70" x14ac:dyDescent="0.25">
      <c r="A115" s="1" t="s">
        <v>29</v>
      </c>
      <c r="B115" s="1" t="s">
        <v>1330</v>
      </c>
      <c r="C115" s="1" t="s">
        <v>164</v>
      </c>
      <c r="D115" s="1" t="s">
        <v>129</v>
      </c>
      <c r="E115" s="211">
        <v>46084</v>
      </c>
      <c r="F115" s="212" t="str">
        <f t="shared" ca="1" si="5"/>
        <v>0y 7m</v>
      </c>
      <c r="G115">
        <v>7880.13</v>
      </c>
      <c r="H115">
        <v>54</v>
      </c>
      <c r="I115">
        <v>7267.18</v>
      </c>
      <c r="J115">
        <v>54</v>
      </c>
      <c r="K115">
        <v>5501.09</v>
      </c>
      <c r="L115">
        <v>38</v>
      </c>
      <c r="M115">
        <v>6097</v>
      </c>
      <c r="N115">
        <v>32</v>
      </c>
      <c r="O115">
        <v>2418.04</v>
      </c>
      <c r="P115">
        <v>18</v>
      </c>
      <c r="Q115">
        <v>3614.09</v>
      </c>
      <c r="R115">
        <v>21</v>
      </c>
      <c r="S115">
        <v>3025.03</v>
      </c>
      <c r="T115">
        <v>26</v>
      </c>
      <c r="U115">
        <v>3713.04</v>
      </c>
      <c r="V115">
        <v>30</v>
      </c>
      <c r="W115">
        <v>3497.07</v>
      </c>
      <c r="X115">
        <v>29</v>
      </c>
      <c r="Y115">
        <v>3817.05</v>
      </c>
      <c r="Z115">
        <v>23</v>
      </c>
      <c r="AA115">
        <v>2164.02</v>
      </c>
      <c r="AB115">
        <v>17</v>
      </c>
      <c r="AC115">
        <v>2356</v>
      </c>
      <c r="AD115">
        <v>17</v>
      </c>
      <c r="AE115" s="4">
        <v>2899.02</v>
      </c>
      <c r="AF115" s="4">
        <v>23</v>
      </c>
      <c r="AG115" s="4">
        <v>1365.01</v>
      </c>
      <c r="AH115" s="4">
        <v>13</v>
      </c>
      <c r="AI115" s="4">
        <v>3734</v>
      </c>
      <c r="AJ115" s="4">
        <v>29</v>
      </c>
      <c r="AK115" s="4">
        <v>2446.0100000000002</v>
      </c>
      <c r="AL115" s="4">
        <v>18</v>
      </c>
      <c r="AM115" s="4">
        <v>2116</v>
      </c>
      <c r="AN115" s="4">
        <v>16</v>
      </c>
      <c r="AO115" s="4">
        <v>1571</v>
      </c>
      <c r="AP115" s="4">
        <v>14</v>
      </c>
      <c r="AQ115" s="4">
        <v>2068.0100000000002</v>
      </c>
      <c r="AR115" s="4">
        <v>13</v>
      </c>
      <c r="AS115" s="4">
        <v>2025.01</v>
      </c>
      <c r="AT115" s="4">
        <v>16</v>
      </c>
      <c r="AU115" s="4">
        <v>1069.02</v>
      </c>
      <c r="AV115" s="4">
        <v>9</v>
      </c>
      <c r="AW115" s="4">
        <v>3347.82</v>
      </c>
      <c r="AX115" s="4">
        <v>22</v>
      </c>
      <c r="AY115" s="4">
        <v>3124.83</v>
      </c>
      <c r="AZ115" s="4">
        <v>21</v>
      </c>
      <c r="BA115" s="4">
        <v>2446.9299999999998</v>
      </c>
      <c r="BB115" s="4">
        <v>19</v>
      </c>
      <c r="BC115">
        <v>2434.86</v>
      </c>
      <c r="BD115">
        <v>16</v>
      </c>
      <c r="BE115">
        <v>1280.0999999999999</v>
      </c>
      <c r="BF115">
        <v>8</v>
      </c>
      <c r="BQ115" s="3">
        <f t="shared" si="6"/>
        <v>83277.36</v>
      </c>
      <c r="BR115" s="3">
        <f t="shared" si="4"/>
        <v>596</v>
      </c>
    </row>
    <row r="116" spans="1:70" x14ac:dyDescent="0.25">
      <c r="A116" s="1" t="s">
        <v>103</v>
      </c>
      <c r="B116" s="1" t="s">
        <v>1330</v>
      </c>
      <c r="C116" s="1" t="s">
        <v>159</v>
      </c>
      <c r="D116" s="1" t="s">
        <v>133</v>
      </c>
      <c r="E116" s="211">
        <v>46048</v>
      </c>
      <c r="F116" s="212" t="str">
        <f t="shared" ca="1" si="5"/>
        <v>0y 9m</v>
      </c>
      <c r="G116">
        <v>3742.13</v>
      </c>
      <c r="H116">
        <v>29</v>
      </c>
      <c r="I116">
        <v>1741.06</v>
      </c>
      <c r="J116">
        <v>15</v>
      </c>
      <c r="K116">
        <v>3114.06</v>
      </c>
      <c r="L116">
        <v>23</v>
      </c>
      <c r="M116">
        <v>2498.0500000000002</v>
      </c>
      <c r="N116">
        <v>16</v>
      </c>
      <c r="O116">
        <v>2529.0500000000002</v>
      </c>
      <c r="P116">
        <v>16</v>
      </c>
      <c r="Q116">
        <v>1911.04</v>
      </c>
      <c r="R116">
        <v>15</v>
      </c>
      <c r="S116">
        <v>1731.05</v>
      </c>
      <c r="T116">
        <v>13</v>
      </c>
      <c r="U116">
        <v>1249.02</v>
      </c>
      <c r="V116">
        <v>8</v>
      </c>
      <c r="W116">
        <v>2333.04</v>
      </c>
      <c r="X116">
        <v>17</v>
      </c>
      <c r="Y116">
        <v>997.03</v>
      </c>
      <c r="Z116">
        <v>5</v>
      </c>
      <c r="AA116">
        <v>1916.03</v>
      </c>
      <c r="AB116">
        <v>14</v>
      </c>
      <c r="AC116">
        <v>1315.04</v>
      </c>
      <c r="AD116">
        <v>8</v>
      </c>
      <c r="AE116" s="4">
        <v>977.02</v>
      </c>
      <c r="AF116" s="4">
        <v>7</v>
      </c>
      <c r="AG116" s="4">
        <v>1602.01</v>
      </c>
      <c r="AH116" s="4">
        <v>14</v>
      </c>
      <c r="AI116" s="4">
        <v>904.01</v>
      </c>
      <c r="AJ116" s="4">
        <v>7</v>
      </c>
      <c r="AK116" s="4">
        <v>1513</v>
      </c>
      <c r="AL116" s="4">
        <v>9</v>
      </c>
      <c r="AM116" s="4">
        <v>652.99</v>
      </c>
      <c r="AN116" s="4">
        <v>6</v>
      </c>
      <c r="AO116" s="4">
        <v>849</v>
      </c>
      <c r="AP116" s="4">
        <v>6</v>
      </c>
      <c r="AQ116" s="4">
        <v>1138</v>
      </c>
      <c r="AR116" s="4">
        <v>8</v>
      </c>
      <c r="AS116" s="4">
        <v>571</v>
      </c>
      <c r="AT116" s="4">
        <v>3</v>
      </c>
      <c r="AU116" s="4">
        <v>1134.01</v>
      </c>
      <c r="AV116" s="4">
        <v>9</v>
      </c>
      <c r="AW116" s="4">
        <v>1219.9000000000001</v>
      </c>
      <c r="AX116" s="4">
        <v>7</v>
      </c>
      <c r="AY116" s="4">
        <v>1007.94</v>
      </c>
      <c r="AZ116" s="4">
        <v>7</v>
      </c>
      <c r="BA116" s="4">
        <v>2573.8200000000002</v>
      </c>
      <c r="BB116" s="4">
        <v>9</v>
      </c>
      <c r="BC116">
        <v>964.99</v>
      </c>
      <c r="BD116">
        <v>7</v>
      </c>
      <c r="BE116">
        <v>783.06</v>
      </c>
      <c r="BF116">
        <v>4</v>
      </c>
      <c r="BQ116" s="3">
        <f t="shared" si="6"/>
        <v>40967.35</v>
      </c>
      <c r="BR116" s="3">
        <f t="shared" si="4"/>
        <v>282</v>
      </c>
    </row>
    <row r="117" spans="1:70" s="5" customFormat="1" x14ac:dyDescent="0.25">
      <c r="A117" s="203" t="s">
        <v>557</v>
      </c>
      <c r="B117" s="1" t="s">
        <v>380</v>
      </c>
      <c r="C117" s="1" t="s">
        <v>379</v>
      </c>
      <c r="D117" s="1" t="s">
        <v>693</v>
      </c>
      <c r="E117" s="211">
        <v>46296</v>
      </c>
      <c r="F117" s="212" t="str">
        <f t="shared" ca="1" si="5"/>
        <v>0y 0m</v>
      </c>
      <c r="G117">
        <v>20193</v>
      </c>
      <c r="H117">
        <v>86</v>
      </c>
      <c r="I117">
        <v>153617</v>
      </c>
      <c r="J117">
        <v>396</v>
      </c>
      <c r="K117">
        <v>134293</v>
      </c>
      <c r="L117">
        <v>319</v>
      </c>
      <c r="M117">
        <v>110974</v>
      </c>
      <c r="N117">
        <v>288</v>
      </c>
      <c r="O117">
        <v>85545</v>
      </c>
      <c r="P117">
        <v>351</v>
      </c>
      <c r="Q117">
        <v>80122</v>
      </c>
      <c r="R117">
        <v>328</v>
      </c>
      <c r="S117">
        <v>75793</v>
      </c>
      <c r="T117">
        <v>290</v>
      </c>
      <c r="U117">
        <v>81666</v>
      </c>
      <c r="V117">
        <v>393</v>
      </c>
      <c r="W117">
        <v>105766</v>
      </c>
      <c r="X117">
        <v>497</v>
      </c>
      <c r="Y117">
        <v>80157</v>
      </c>
      <c r="Z117">
        <v>374</v>
      </c>
      <c r="AA117">
        <v>42240</v>
      </c>
      <c r="AB117">
        <v>216</v>
      </c>
      <c r="AC117">
        <v>36185</v>
      </c>
      <c r="AD117">
        <v>177</v>
      </c>
      <c r="AE117">
        <v>42470</v>
      </c>
      <c r="AF117">
        <v>161</v>
      </c>
      <c r="AG117" s="4">
        <v>40211</v>
      </c>
      <c r="AH117" s="4">
        <v>157</v>
      </c>
      <c r="AI117" s="4">
        <v>46716</v>
      </c>
      <c r="AJ117" s="4">
        <v>235</v>
      </c>
      <c r="AK117" s="4">
        <v>61332</v>
      </c>
      <c r="AL117" s="4">
        <v>263</v>
      </c>
      <c r="AM117" s="4">
        <v>42102</v>
      </c>
      <c r="AN117" s="4">
        <v>195</v>
      </c>
      <c r="AO117" s="4">
        <v>26669</v>
      </c>
      <c r="AP117" s="4">
        <v>118</v>
      </c>
      <c r="AQ117" s="4">
        <v>19793</v>
      </c>
      <c r="AR117" s="4">
        <v>105</v>
      </c>
      <c r="AS117" s="4">
        <v>24870</v>
      </c>
      <c r="AT117" s="4">
        <v>115</v>
      </c>
      <c r="AU117" s="4">
        <v>23565</v>
      </c>
      <c r="AV117" s="4">
        <v>110</v>
      </c>
      <c r="AW117" s="4">
        <v>35285</v>
      </c>
      <c r="AX117" s="4">
        <v>165</v>
      </c>
      <c r="AY117" s="4">
        <v>37858</v>
      </c>
      <c r="AZ117" s="4">
        <v>180</v>
      </c>
      <c r="BA117" s="4">
        <v>31791</v>
      </c>
      <c r="BB117" s="4">
        <v>150</v>
      </c>
      <c r="BC117" s="4">
        <v>24080</v>
      </c>
      <c r="BD117" s="4">
        <v>101</v>
      </c>
      <c r="BE117" s="4">
        <v>21262</v>
      </c>
      <c r="BF117">
        <v>110</v>
      </c>
      <c r="BG117"/>
      <c r="BH117"/>
      <c r="BI117"/>
      <c r="BJ117"/>
      <c r="BK117"/>
      <c r="BL117"/>
      <c r="BM117"/>
      <c r="BN117"/>
      <c r="BO117"/>
      <c r="BP117"/>
      <c r="BQ117" s="3">
        <f>G117+I117+K117+M117+O117+Q117+S117+U117+W117+Y117+AA117+AC117+AE117+AG117+AI117+AK117+AM117+AO117+AQ117+AS117+AU117+AW117+AY117+BA117+BC117+BE117+BG117+BI117+BK117+BM117+BO117</f>
        <v>1484555</v>
      </c>
      <c r="BR117" s="3">
        <f>H117+J117+L117+N117+P117+R117+T117+V117+X117+Z117+AB117+AD117+AF117+AH117+AJ117+AL117+AN117+AP117+AR117+AT117+AV117+AX117+AZ117+BB117+BD117+BF117+BH117+BJ117+BL117+BN117+BP117</f>
        <v>5880</v>
      </c>
    </row>
    <row r="123" spans="1:70" x14ac:dyDescent="0.25">
      <c r="A123" s="203"/>
      <c r="B123" s="268"/>
    </row>
  </sheetData>
  <phoneticPr fontId="21" type="noConversion"/>
  <conditionalFormatting sqref="A117">
    <cfRule type="duplicateValues" dxfId="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3CD9-37AB-4BED-A5AD-185B53858314}">
  <sheetPr>
    <tabColor rgb="FFFFFF00"/>
  </sheetPr>
  <dimension ref="A1:F114"/>
  <sheetViews>
    <sheetView workbookViewId="0">
      <selection activeCell="F2" sqref="F2"/>
    </sheetView>
  </sheetViews>
  <sheetFormatPr defaultRowHeight="15" x14ac:dyDescent="0.25"/>
  <cols>
    <col min="1" max="1" width="14.140625" bestFit="1" customWidth="1"/>
    <col min="2" max="2" width="20.85546875" bestFit="1" customWidth="1"/>
    <col min="3" max="3" width="13.85546875" bestFit="1" customWidth="1"/>
    <col min="5" max="5" width="19.140625" bestFit="1" customWidth="1"/>
    <col min="6" max="6" width="12.85546875" bestFit="1" customWidth="1"/>
  </cols>
  <sheetData>
    <row r="1" spans="1:6" ht="24" x14ac:dyDescent="0.25">
      <c r="A1" s="202" t="s">
        <v>555</v>
      </c>
      <c r="B1" s="202" t="s">
        <v>125</v>
      </c>
      <c r="C1" s="202" t="s">
        <v>135</v>
      </c>
      <c r="D1" s="202" t="s">
        <v>253</v>
      </c>
      <c r="E1" s="202" t="s">
        <v>556</v>
      </c>
      <c r="F1" s="202" t="s">
        <v>1601</v>
      </c>
    </row>
    <row r="2" spans="1:6" x14ac:dyDescent="0.25">
      <c r="A2" s="203" t="s">
        <v>557</v>
      </c>
      <c r="B2" s="203" t="s">
        <v>558</v>
      </c>
      <c r="C2" s="203" t="s">
        <v>559</v>
      </c>
      <c r="D2" s="203" t="s">
        <v>380</v>
      </c>
      <c r="E2" s="203" t="s">
        <v>380</v>
      </c>
      <c r="F2" s="204">
        <v>75526.42</v>
      </c>
    </row>
    <row r="3" spans="1:6" x14ac:dyDescent="0.25">
      <c r="A3" s="203" t="s">
        <v>116</v>
      </c>
      <c r="B3" s="203" t="s">
        <v>560</v>
      </c>
      <c r="C3" s="203" t="s">
        <v>139</v>
      </c>
      <c r="D3" s="203" t="s">
        <v>561</v>
      </c>
      <c r="E3" s="203" t="s">
        <v>130</v>
      </c>
      <c r="F3" s="204">
        <v>38498.199999999997</v>
      </c>
    </row>
    <row r="4" spans="1:6" x14ac:dyDescent="0.25">
      <c r="A4" s="203" t="s">
        <v>100</v>
      </c>
      <c r="B4" s="203" t="s">
        <v>562</v>
      </c>
      <c r="C4" s="203" t="s">
        <v>139</v>
      </c>
      <c r="D4" s="203" t="s">
        <v>561</v>
      </c>
      <c r="E4" s="203" t="s">
        <v>130</v>
      </c>
      <c r="F4" s="204">
        <v>28786.27</v>
      </c>
    </row>
    <row r="5" spans="1:6" x14ac:dyDescent="0.25">
      <c r="A5" s="203" t="s">
        <v>96</v>
      </c>
      <c r="B5" s="203" t="s">
        <v>563</v>
      </c>
      <c r="C5" s="203" t="s">
        <v>139</v>
      </c>
      <c r="D5" s="203" t="s">
        <v>561</v>
      </c>
      <c r="E5" s="203" t="s">
        <v>130</v>
      </c>
      <c r="F5" s="204">
        <v>33282.15</v>
      </c>
    </row>
    <row r="6" spans="1:6" x14ac:dyDescent="0.25">
      <c r="A6" s="203" t="s">
        <v>54</v>
      </c>
      <c r="B6" s="203" t="s">
        <v>564</v>
      </c>
      <c r="C6" s="203" t="s">
        <v>144</v>
      </c>
      <c r="D6" s="203" t="s">
        <v>565</v>
      </c>
      <c r="E6" s="203" t="s">
        <v>126</v>
      </c>
      <c r="F6" s="204">
        <v>26082.720000000001</v>
      </c>
    </row>
    <row r="7" spans="1:6" x14ac:dyDescent="0.25">
      <c r="A7" s="203" t="s">
        <v>52</v>
      </c>
      <c r="B7" s="203" t="s">
        <v>472</v>
      </c>
      <c r="C7" s="203" t="s">
        <v>139</v>
      </c>
      <c r="D7" s="203" t="s">
        <v>561</v>
      </c>
      <c r="E7" s="203" t="s">
        <v>130</v>
      </c>
      <c r="F7" s="204">
        <v>20536.09</v>
      </c>
    </row>
    <row r="8" spans="1:6" x14ac:dyDescent="0.25">
      <c r="A8" s="203" t="s">
        <v>45</v>
      </c>
      <c r="B8" s="203" t="s">
        <v>566</v>
      </c>
      <c r="C8" s="203" t="s">
        <v>146</v>
      </c>
      <c r="D8" s="203" t="s">
        <v>565</v>
      </c>
      <c r="E8" s="203" t="s">
        <v>126</v>
      </c>
      <c r="F8" s="204">
        <v>20520.669999999998</v>
      </c>
    </row>
    <row r="9" spans="1:6" x14ac:dyDescent="0.25">
      <c r="A9" s="203" t="s">
        <v>71</v>
      </c>
      <c r="B9" s="203" t="s">
        <v>567</v>
      </c>
      <c r="C9" s="203" t="s">
        <v>145</v>
      </c>
      <c r="D9" s="203" t="s">
        <v>568</v>
      </c>
      <c r="E9" s="203" t="s">
        <v>131</v>
      </c>
      <c r="F9" s="204">
        <v>16525.52</v>
      </c>
    </row>
    <row r="10" spans="1:6" x14ac:dyDescent="0.25">
      <c r="A10" s="203" t="s">
        <v>12</v>
      </c>
      <c r="B10" s="203" t="s">
        <v>569</v>
      </c>
      <c r="C10" s="203" t="s">
        <v>145</v>
      </c>
      <c r="D10" s="203" t="s">
        <v>568</v>
      </c>
      <c r="E10" s="203" t="s">
        <v>127</v>
      </c>
      <c r="F10" s="204">
        <v>14910.52</v>
      </c>
    </row>
    <row r="11" spans="1:6" x14ac:dyDescent="0.25">
      <c r="A11" s="203" t="s">
        <v>36</v>
      </c>
      <c r="B11" s="203" t="s">
        <v>570</v>
      </c>
      <c r="C11" s="203" t="s">
        <v>145</v>
      </c>
      <c r="D11" s="203" t="s">
        <v>568</v>
      </c>
      <c r="E11" s="203" t="s">
        <v>131</v>
      </c>
      <c r="F11" s="204">
        <v>17281.7</v>
      </c>
    </row>
    <row r="12" spans="1:6" x14ac:dyDescent="0.25">
      <c r="A12" s="203" t="s">
        <v>34</v>
      </c>
      <c r="B12" s="203" t="s">
        <v>571</v>
      </c>
      <c r="C12" s="203" t="s">
        <v>138</v>
      </c>
      <c r="D12" s="203" t="s">
        <v>561</v>
      </c>
      <c r="E12" s="203" t="s">
        <v>128</v>
      </c>
      <c r="F12" s="204">
        <v>18432.52</v>
      </c>
    </row>
    <row r="13" spans="1:6" x14ac:dyDescent="0.25">
      <c r="A13" s="203" t="s">
        <v>32</v>
      </c>
      <c r="B13" s="203" t="s">
        <v>572</v>
      </c>
      <c r="C13" s="203" t="s">
        <v>138</v>
      </c>
      <c r="D13" s="203" t="s">
        <v>561</v>
      </c>
      <c r="E13" s="203" t="s">
        <v>129</v>
      </c>
      <c r="F13" s="204">
        <v>18695.84</v>
      </c>
    </row>
    <row r="14" spans="1:6" x14ac:dyDescent="0.25">
      <c r="A14" s="203" t="s">
        <v>67</v>
      </c>
      <c r="B14" s="203" t="s">
        <v>573</v>
      </c>
      <c r="C14" s="203" t="s">
        <v>574</v>
      </c>
      <c r="D14" s="203" t="s">
        <v>565</v>
      </c>
      <c r="E14" s="203" t="s">
        <v>126</v>
      </c>
      <c r="F14" s="204">
        <v>15768.35</v>
      </c>
    </row>
    <row r="15" spans="1:6" x14ac:dyDescent="0.25">
      <c r="A15" s="203" t="s">
        <v>74</v>
      </c>
      <c r="B15" s="203" t="s">
        <v>575</v>
      </c>
      <c r="C15" s="203" t="s">
        <v>157</v>
      </c>
      <c r="D15" s="203" t="s">
        <v>576</v>
      </c>
      <c r="E15" s="203" t="s">
        <v>133</v>
      </c>
      <c r="F15" s="204">
        <v>16247.14</v>
      </c>
    </row>
    <row r="16" spans="1:6" x14ac:dyDescent="0.25">
      <c r="A16" s="203" t="s">
        <v>37</v>
      </c>
      <c r="B16" s="203" t="s">
        <v>577</v>
      </c>
      <c r="C16" s="203" t="s">
        <v>578</v>
      </c>
      <c r="D16" s="203" t="s">
        <v>576</v>
      </c>
      <c r="E16" s="203" t="s">
        <v>133</v>
      </c>
      <c r="F16" s="204">
        <v>12864.1</v>
      </c>
    </row>
    <row r="17" spans="1:6" x14ac:dyDescent="0.25">
      <c r="A17" s="203" t="s">
        <v>76</v>
      </c>
      <c r="B17" s="203" t="s">
        <v>579</v>
      </c>
      <c r="C17" s="203" t="s">
        <v>138</v>
      </c>
      <c r="D17" s="203" t="s">
        <v>561</v>
      </c>
      <c r="E17" s="203" t="s">
        <v>128</v>
      </c>
      <c r="F17" s="204">
        <v>14810.28</v>
      </c>
    </row>
    <row r="18" spans="1:6" x14ac:dyDescent="0.25">
      <c r="A18" s="203" t="s">
        <v>53</v>
      </c>
      <c r="B18" s="203" t="s">
        <v>580</v>
      </c>
      <c r="C18" s="203" t="s">
        <v>581</v>
      </c>
      <c r="D18" s="203" t="s">
        <v>576</v>
      </c>
      <c r="E18" s="203" t="s">
        <v>133</v>
      </c>
      <c r="F18" s="204">
        <v>12921.66</v>
      </c>
    </row>
    <row r="19" spans="1:6" x14ac:dyDescent="0.25">
      <c r="A19" s="203" t="s">
        <v>42</v>
      </c>
      <c r="B19" s="203" t="s">
        <v>582</v>
      </c>
      <c r="C19" s="203" t="s">
        <v>142</v>
      </c>
      <c r="D19" s="203" t="s">
        <v>561</v>
      </c>
      <c r="E19" s="203" t="s">
        <v>132</v>
      </c>
      <c r="F19" s="204">
        <v>13825.48</v>
      </c>
    </row>
    <row r="20" spans="1:6" x14ac:dyDescent="0.25">
      <c r="A20" s="203" t="s">
        <v>26</v>
      </c>
      <c r="B20" s="203" t="s">
        <v>583</v>
      </c>
      <c r="C20" s="203" t="s">
        <v>145</v>
      </c>
      <c r="D20" s="203" t="s">
        <v>568</v>
      </c>
      <c r="E20" s="203" t="s">
        <v>131</v>
      </c>
      <c r="F20" s="204">
        <v>14485.04</v>
      </c>
    </row>
    <row r="21" spans="1:6" x14ac:dyDescent="0.25">
      <c r="A21" s="203" t="s">
        <v>17</v>
      </c>
      <c r="B21" s="203" t="s">
        <v>584</v>
      </c>
      <c r="C21" s="203" t="s">
        <v>138</v>
      </c>
      <c r="D21" s="203" t="s">
        <v>561</v>
      </c>
      <c r="E21" s="203" t="s">
        <v>128</v>
      </c>
      <c r="F21" s="204">
        <v>11259.06</v>
      </c>
    </row>
    <row r="22" spans="1:6" x14ac:dyDescent="0.25">
      <c r="A22" s="203" t="s">
        <v>23</v>
      </c>
      <c r="B22" s="203" t="s">
        <v>585</v>
      </c>
      <c r="C22" s="203" t="s">
        <v>574</v>
      </c>
      <c r="D22" s="203" t="s">
        <v>565</v>
      </c>
      <c r="E22" s="203" t="s">
        <v>126</v>
      </c>
      <c r="F22" s="204">
        <v>13452.65</v>
      </c>
    </row>
    <row r="23" spans="1:6" x14ac:dyDescent="0.25">
      <c r="A23" s="203" t="s">
        <v>48</v>
      </c>
      <c r="B23" s="203" t="s">
        <v>586</v>
      </c>
      <c r="C23" s="203" t="s">
        <v>574</v>
      </c>
      <c r="D23" s="203" t="s">
        <v>565</v>
      </c>
      <c r="E23" s="203" t="s">
        <v>126</v>
      </c>
      <c r="F23" s="204">
        <v>13403.69</v>
      </c>
    </row>
    <row r="24" spans="1:6" x14ac:dyDescent="0.25">
      <c r="A24" s="203" t="s">
        <v>15</v>
      </c>
      <c r="B24" s="203" t="s">
        <v>587</v>
      </c>
      <c r="C24" s="203" t="s">
        <v>145</v>
      </c>
      <c r="D24" s="203" t="s">
        <v>568</v>
      </c>
      <c r="E24" s="203" t="s">
        <v>131</v>
      </c>
      <c r="F24" s="204">
        <v>9320.08</v>
      </c>
    </row>
    <row r="25" spans="1:6" x14ac:dyDescent="0.25">
      <c r="A25" s="203" t="s">
        <v>13</v>
      </c>
      <c r="B25" s="203" t="s">
        <v>588</v>
      </c>
      <c r="C25" s="203" t="s">
        <v>145</v>
      </c>
      <c r="D25" s="203" t="s">
        <v>568</v>
      </c>
      <c r="E25" s="203" t="s">
        <v>127</v>
      </c>
      <c r="F25" s="204">
        <v>10032.26</v>
      </c>
    </row>
    <row r="26" spans="1:6" x14ac:dyDescent="0.25">
      <c r="A26" s="203" t="s">
        <v>112</v>
      </c>
      <c r="B26" s="203" t="s">
        <v>589</v>
      </c>
      <c r="C26" s="203" t="s">
        <v>138</v>
      </c>
      <c r="D26" s="203" t="s">
        <v>561</v>
      </c>
      <c r="E26" s="203" t="s">
        <v>129</v>
      </c>
      <c r="F26" s="204">
        <v>13242.49</v>
      </c>
    </row>
    <row r="27" spans="1:6" x14ac:dyDescent="0.25">
      <c r="A27" s="203" t="s">
        <v>35</v>
      </c>
      <c r="B27" s="203" t="s">
        <v>590</v>
      </c>
      <c r="C27" s="203" t="s">
        <v>148</v>
      </c>
      <c r="D27" s="203" t="s">
        <v>565</v>
      </c>
      <c r="E27" s="203" t="s">
        <v>126</v>
      </c>
      <c r="F27" s="204">
        <v>11979.31</v>
      </c>
    </row>
    <row r="28" spans="1:6" x14ac:dyDescent="0.25">
      <c r="A28" s="203" t="s">
        <v>117</v>
      </c>
      <c r="B28" s="203" t="s">
        <v>591</v>
      </c>
      <c r="C28" s="203" t="s">
        <v>139</v>
      </c>
      <c r="D28" s="203" t="s">
        <v>561</v>
      </c>
      <c r="E28" s="203" t="s">
        <v>130</v>
      </c>
      <c r="F28" s="204">
        <v>10958.54</v>
      </c>
    </row>
    <row r="29" spans="1:6" x14ac:dyDescent="0.25">
      <c r="A29" s="203" t="s">
        <v>119</v>
      </c>
      <c r="B29" s="203" t="s">
        <v>592</v>
      </c>
      <c r="C29" s="203" t="s">
        <v>144</v>
      </c>
      <c r="D29" s="203" t="s">
        <v>565</v>
      </c>
      <c r="E29" s="203" t="s">
        <v>126</v>
      </c>
      <c r="F29" s="204">
        <v>10726.81</v>
      </c>
    </row>
    <row r="30" spans="1:6" x14ac:dyDescent="0.25">
      <c r="A30" s="203" t="s">
        <v>109</v>
      </c>
      <c r="B30" s="203" t="s">
        <v>593</v>
      </c>
      <c r="C30" s="203" t="s">
        <v>145</v>
      </c>
      <c r="D30" s="203" t="s">
        <v>568</v>
      </c>
      <c r="E30" s="203" t="s">
        <v>127</v>
      </c>
      <c r="F30" s="204">
        <v>10541.13</v>
      </c>
    </row>
    <row r="31" spans="1:6" x14ac:dyDescent="0.25">
      <c r="A31" s="203" t="s">
        <v>28</v>
      </c>
      <c r="B31" s="203" t="s">
        <v>594</v>
      </c>
      <c r="C31" s="203" t="s">
        <v>145</v>
      </c>
      <c r="D31" s="203" t="s">
        <v>568</v>
      </c>
      <c r="E31" s="203" t="s">
        <v>126</v>
      </c>
      <c r="F31" s="204">
        <v>12326.43</v>
      </c>
    </row>
    <row r="32" spans="1:6" x14ac:dyDescent="0.25">
      <c r="A32" s="203" t="s">
        <v>59</v>
      </c>
      <c r="B32" s="203" t="s">
        <v>595</v>
      </c>
      <c r="C32" s="203" t="s">
        <v>145</v>
      </c>
      <c r="D32" s="203" t="s">
        <v>568</v>
      </c>
      <c r="E32" s="203" t="s">
        <v>131</v>
      </c>
      <c r="F32" s="204">
        <v>11643.85</v>
      </c>
    </row>
    <row r="33" spans="1:6" x14ac:dyDescent="0.25">
      <c r="A33" s="203" t="s">
        <v>19</v>
      </c>
      <c r="B33" s="203" t="s">
        <v>596</v>
      </c>
      <c r="C33" s="203" t="s">
        <v>138</v>
      </c>
      <c r="D33" s="203" t="s">
        <v>561</v>
      </c>
      <c r="E33" s="203" t="s">
        <v>129</v>
      </c>
      <c r="F33" s="204">
        <v>10723.28</v>
      </c>
    </row>
    <row r="34" spans="1:6" x14ac:dyDescent="0.25">
      <c r="A34" s="203" t="s">
        <v>50</v>
      </c>
      <c r="B34" s="203" t="s">
        <v>597</v>
      </c>
      <c r="C34" s="203" t="s">
        <v>143</v>
      </c>
      <c r="D34" s="203" t="s">
        <v>576</v>
      </c>
      <c r="E34" s="203" t="s">
        <v>133</v>
      </c>
      <c r="F34" s="204">
        <v>10644.76</v>
      </c>
    </row>
    <row r="35" spans="1:6" x14ac:dyDescent="0.25">
      <c r="A35" s="203" t="s">
        <v>55</v>
      </c>
      <c r="B35" s="203" t="s">
        <v>598</v>
      </c>
      <c r="C35" s="203" t="s">
        <v>153</v>
      </c>
      <c r="D35" s="203" t="s">
        <v>599</v>
      </c>
      <c r="E35" s="203" t="s">
        <v>127</v>
      </c>
      <c r="F35" s="204">
        <v>8575.15</v>
      </c>
    </row>
    <row r="36" spans="1:6" x14ac:dyDescent="0.25">
      <c r="A36" s="203" t="s">
        <v>22</v>
      </c>
      <c r="B36" s="203" t="s">
        <v>600</v>
      </c>
      <c r="C36" s="203" t="s">
        <v>139</v>
      </c>
      <c r="D36" s="203" t="s">
        <v>561</v>
      </c>
      <c r="E36" s="203" t="s">
        <v>130</v>
      </c>
      <c r="F36" s="204">
        <v>11269.87</v>
      </c>
    </row>
    <row r="37" spans="1:6" x14ac:dyDescent="0.25">
      <c r="A37" s="203" t="s">
        <v>33</v>
      </c>
      <c r="B37" s="203" t="s">
        <v>601</v>
      </c>
      <c r="C37" s="203" t="s">
        <v>138</v>
      </c>
      <c r="D37" s="203" t="s">
        <v>561</v>
      </c>
      <c r="E37" s="203" t="s">
        <v>129</v>
      </c>
      <c r="F37" s="204">
        <v>7531.76</v>
      </c>
    </row>
    <row r="38" spans="1:6" x14ac:dyDescent="0.25">
      <c r="A38" s="203" t="s">
        <v>68</v>
      </c>
      <c r="B38" s="203" t="s">
        <v>602</v>
      </c>
      <c r="C38" s="203" t="s">
        <v>152</v>
      </c>
      <c r="D38" s="203" t="s">
        <v>565</v>
      </c>
      <c r="E38" s="203" t="s">
        <v>126</v>
      </c>
      <c r="F38" s="204">
        <v>8136.04</v>
      </c>
    </row>
    <row r="39" spans="1:6" x14ac:dyDescent="0.25">
      <c r="A39" s="203" t="s">
        <v>18</v>
      </c>
      <c r="B39" s="203" t="s">
        <v>603</v>
      </c>
      <c r="C39" s="203" t="s">
        <v>138</v>
      </c>
      <c r="D39" s="203" t="s">
        <v>561</v>
      </c>
      <c r="E39" s="203" t="s">
        <v>129</v>
      </c>
      <c r="F39" s="204">
        <v>6163.25</v>
      </c>
    </row>
    <row r="40" spans="1:6" x14ac:dyDescent="0.25">
      <c r="A40" s="203" t="s">
        <v>49</v>
      </c>
      <c r="B40" s="203" t="s">
        <v>604</v>
      </c>
      <c r="C40" s="203" t="s">
        <v>158</v>
      </c>
      <c r="D40" s="203" t="s">
        <v>561</v>
      </c>
      <c r="E40" s="203" t="s">
        <v>128</v>
      </c>
      <c r="F40" s="204">
        <v>9906.74</v>
      </c>
    </row>
    <row r="41" spans="1:6" x14ac:dyDescent="0.25">
      <c r="A41" s="203" t="s">
        <v>56</v>
      </c>
      <c r="B41" s="203" t="s">
        <v>605</v>
      </c>
      <c r="C41" s="203" t="s">
        <v>142</v>
      </c>
      <c r="D41" s="203" t="s">
        <v>561</v>
      </c>
      <c r="E41" s="203" t="s">
        <v>132</v>
      </c>
      <c r="F41" s="204">
        <v>8691.67</v>
      </c>
    </row>
    <row r="42" spans="1:6" ht="13.9" x14ac:dyDescent="0.25">
      <c r="A42" s="203" t="s">
        <v>43</v>
      </c>
      <c r="B42" s="203" t="s">
        <v>606</v>
      </c>
      <c r="C42" s="203" t="s">
        <v>156</v>
      </c>
      <c r="D42" s="203" t="s">
        <v>568</v>
      </c>
      <c r="E42" s="203" t="s">
        <v>131</v>
      </c>
      <c r="F42" s="204">
        <v>8628.02</v>
      </c>
    </row>
    <row r="43" spans="1:6" ht="13.9" x14ac:dyDescent="0.25">
      <c r="A43" s="203" t="s">
        <v>75</v>
      </c>
      <c r="B43" s="203" t="s">
        <v>607</v>
      </c>
      <c r="C43" s="203" t="s">
        <v>578</v>
      </c>
      <c r="D43" s="203" t="s">
        <v>576</v>
      </c>
      <c r="E43" s="203" t="s">
        <v>133</v>
      </c>
      <c r="F43" s="204">
        <v>6023.02</v>
      </c>
    </row>
    <row r="44" spans="1:6" ht="13.9" x14ac:dyDescent="0.25">
      <c r="A44" s="203" t="s">
        <v>16</v>
      </c>
      <c r="B44" s="203" t="s">
        <v>608</v>
      </c>
      <c r="C44" s="203" t="s">
        <v>138</v>
      </c>
      <c r="D44" s="203" t="s">
        <v>561</v>
      </c>
      <c r="E44" s="203" t="s">
        <v>128</v>
      </c>
      <c r="F44" s="204">
        <v>7310.81</v>
      </c>
    </row>
    <row r="45" spans="1:6" ht="13.9" x14ac:dyDescent="0.25">
      <c r="A45" s="203" t="s">
        <v>25</v>
      </c>
      <c r="B45" s="203" t="s">
        <v>609</v>
      </c>
      <c r="C45" s="203" t="s">
        <v>158</v>
      </c>
      <c r="D45" s="203" t="s">
        <v>561</v>
      </c>
      <c r="E45" s="203" t="s">
        <v>128</v>
      </c>
      <c r="F45" s="204">
        <v>6868.91</v>
      </c>
    </row>
    <row r="46" spans="1:6" ht="13.9" x14ac:dyDescent="0.25">
      <c r="A46" s="203" t="s">
        <v>60</v>
      </c>
      <c r="B46" s="203" t="s">
        <v>610</v>
      </c>
      <c r="C46" s="203" t="s">
        <v>611</v>
      </c>
      <c r="D46" s="203" t="s">
        <v>568</v>
      </c>
      <c r="E46" s="203" t="s">
        <v>133</v>
      </c>
      <c r="F46" s="204">
        <v>5532.55</v>
      </c>
    </row>
    <row r="47" spans="1:6" ht="13.9" x14ac:dyDescent="0.25">
      <c r="A47" s="203" t="s">
        <v>64</v>
      </c>
      <c r="B47" s="203" t="s">
        <v>612</v>
      </c>
      <c r="C47" s="203" t="s">
        <v>145</v>
      </c>
      <c r="D47" s="203" t="s">
        <v>568</v>
      </c>
      <c r="E47" s="203" t="s">
        <v>127</v>
      </c>
      <c r="F47" s="204">
        <v>7269.68</v>
      </c>
    </row>
    <row r="48" spans="1:6" ht="13.9" x14ac:dyDescent="0.25">
      <c r="A48" s="203" t="s">
        <v>85</v>
      </c>
      <c r="B48" s="203" t="s">
        <v>495</v>
      </c>
      <c r="C48" s="203" t="s">
        <v>151</v>
      </c>
      <c r="D48" s="203" t="s">
        <v>599</v>
      </c>
      <c r="E48" s="203" t="s">
        <v>126</v>
      </c>
      <c r="F48" s="204">
        <v>7206.97</v>
      </c>
    </row>
    <row r="49" spans="1:6" ht="13.9" x14ac:dyDescent="0.25">
      <c r="A49" s="203" t="s">
        <v>58</v>
      </c>
      <c r="B49" s="203" t="s">
        <v>613</v>
      </c>
      <c r="C49" s="203" t="s">
        <v>145</v>
      </c>
      <c r="D49" s="203" t="s">
        <v>568</v>
      </c>
      <c r="E49" s="203" t="s">
        <v>131</v>
      </c>
      <c r="F49" s="204">
        <v>6235.99</v>
      </c>
    </row>
    <row r="50" spans="1:6" ht="13.9" x14ac:dyDescent="0.25">
      <c r="A50" s="203" t="s">
        <v>20</v>
      </c>
      <c r="B50" s="203" t="s">
        <v>614</v>
      </c>
      <c r="C50" s="203" t="s">
        <v>157</v>
      </c>
      <c r="D50" s="203" t="s">
        <v>576</v>
      </c>
      <c r="E50" s="203" t="s">
        <v>133</v>
      </c>
      <c r="F50" s="204">
        <v>5469.44</v>
      </c>
    </row>
    <row r="51" spans="1:6" ht="13.9" x14ac:dyDescent="0.25">
      <c r="A51" s="203" t="s">
        <v>98</v>
      </c>
      <c r="B51" s="203" t="s">
        <v>615</v>
      </c>
      <c r="C51" s="203" t="s">
        <v>578</v>
      </c>
      <c r="D51" s="203" t="s">
        <v>576</v>
      </c>
      <c r="E51" s="203" t="s">
        <v>133</v>
      </c>
      <c r="F51" s="204">
        <v>5167.82</v>
      </c>
    </row>
    <row r="52" spans="1:6" ht="13.9" x14ac:dyDescent="0.25">
      <c r="A52" s="203" t="s">
        <v>38</v>
      </c>
      <c r="B52" s="203" t="s">
        <v>616</v>
      </c>
      <c r="C52" s="203" t="s">
        <v>138</v>
      </c>
      <c r="D52" s="203" t="s">
        <v>561</v>
      </c>
      <c r="E52" s="203" t="s">
        <v>128</v>
      </c>
      <c r="F52" s="204">
        <v>6609.55</v>
      </c>
    </row>
    <row r="53" spans="1:6" ht="13.9" x14ac:dyDescent="0.25">
      <c r="A53" s="203" t="s">
        <v>84</v>
      </c>
      <c r="B53" s="203" t="s">
        <v>617</v>
      </c>
      <c r="C53" s="203" t="s">
        <v>139</v>
      </c>
      <c r="D53" s="203" t="s">
        <v>561</v>
      </c>
      <c r="E53" s="203" t="s">
        <v>130</v>
      </c>
      <c r="F53" s="204">
        <v>7129.07</v>
      </c>
    </row>
    <row r="54" spans="1:6" ht="13.9" x14ac:dyDescent="0.25">
      <c r="A54" s="203" t="s">
        <v>115</v>
      </c>
      <c r="B54" s="203" t="s">
        <v>618</v>
      </c>
      <c r="C54" s="203" t="s">
        <v>142</v>
      </c>
      <c r="D54" s="203" t="s">
        <v>561</v>
      </c>
      <c r="E54" s="203" t="s">
        <v>132</v>
      </c>
      <c r="F54" s="204">
        <v>6282.42</v>
      </c>
    </row>
    <row r="55" spans="1:6" ht="13.9" x14ac:dyDescent="0.25">
      <c r="A55" s="203" t="s">
        <v>123</v>
      </c>
      <c r="B55" s="203" t="s">
        <v>619</v>
      </c>
      <c r="C55" s="203" t="s">
        <v>138</v>
      </c>
      <c r="D55" s="203" t="s">
        <v>561</v>
      </c>
      <c r="E55" s="203" t="s">
        <v>128</v>
      </c>
      <c r="F55" s="204">
        <v>5810.36</v>
      </c>
    </row>
    <row r="56" spans="1:6" ht="13.9" x14ac:dyDescent="0.25">
      <c r="A56" s="203" t="s">
        <v>78</v>
      </c>
      <c r="B56" s="203" t="s">
        <v>620</v>
      </c>
      <c r="C56" s="203" t="s">
        <v>138</v>
      </c>
      <c r="D56" s="203" t="s">
        <v>561</v>
      </c>
      <c r="E56" s="203" t="s">
        <v>129</v>
      </c>
      <c r="F56" s="204">
        <v>7189.84</v>
      </c>
    </row>
    <row r="57" spans="1:6" ht="13.9" x14ac:dyDescent="0.25">
      <c r="A57" s="203" t="s">
        <v>77</v>
      </c>
      <c r="B57" s="203" t="s">
        <v>621</v>
      </c>
      <c r="C57" s="203" t="s">
        <v>160</v>
      </c>
      <c r="D57" s="203" t="s">
        <v>576</v>
      </c>
      <c r="E57" s="203" t="s">
        <v>133</v>
      </c>
      <c r="F57" s="204">
        <v>5807.51</v>
      </c>
    </row>
    <row r="58" spans="1:6" ht="13.9" x14ac:dyDescent="0.25">
      <c r="A58" s="203" t="s">
        <v>88</v>
      </c>
      <c r="B58" s="203" t="s">
        <v>622</v>
      </c>
      <c r="C58" s="203" t="s">
        <v>145</v>
      </c>
      <c r="D58" s="203" t="s">
        <v>568</v>
      </c>
      <c r="E58" s="203" t="s">
        <v>127</v>
      </c>
      <c r="F58" s="204">
        <v>4602.08</v>
      </c>
    </row>
    <row r="59" spans="1:6" ht="13.9" x14ac:dyDescent="0.25">
      <c r="A59" s="203" t="s">
        <v>24</v>
      </c>
      <c r="B59" s="203" t="s">
        <v>623</v>
      </c>
      <c r="C59" s="203" t="s">
        <v>157</v>
      </c>
      <c r="D59" s="203" t="s">
        <v>576</v>
      </c>
      <c r="E59" s="203" t="s">
        <v>133</v>
      </c>
      <c r="F59" s="204">
        <v>4613.28</v>
      </c>
    </row>
    <row r="60" spans="1:6" ht="13.9" x14ac:dyDescent="0.25">
      <c r="A60" s="203" t="s">
        <v>110</v>
      </c>
      <c r="B60" s="203" t="s">
        <v>624</v>
      </c>
      <c r="C60" s="203" t="s">
        <v>138</v>
      </c>
      <c r="D60" s="203" t="s">
        <v>561</v>
      </c>
      <c r="E60" s="203" t="s">
        <v>129</v>
      </c>
      <c r="F60" s="204">
        <v>4658.07</v>
      </c>
    </row>
    <row r="61" spans="1:6" ht="13.9" x14ac:dyDescent="0.25">
      <c r="A61" s="203" t="s">
        <v>73</v>
      </c>
      <c r="B61" s="203" t="s">
        <v>625</v>
      </c>
      <c r="C61" s="203" t="s">
        <v>146</v>
      </c>
      <c r="D61" s="203" t="s">
        <v>565</v>
      </c>
      <c r="E61" s="203" t="s">
        <v>126</v>
      </c>
      <c r="F61" s="204">
        <v>5588.31</v>
      </c>
    </row>
    <row r="62" spans="1:6" ht="13.9" x14ac:dyDescent="0.25">
      <c r="A62" s="203" t="s">
        <v>97</v>
      </c>
      <c r="B62" s="203" t="s">
        <v>626</v>
      </c>
      <c r="C62" s="203" t="s">
        <v>627</v>
      </c>
      <c r="D62" s="203" t="s">
        <v>576</v>
      </c>
      <c r="E62" s="203" t="s">
        <v>129</v>
      </c>
      <c r="F62" s="204">
        <v>5386.48</v>
      </c>
    </row>
    <row r="63" spans="1:6" ht="13.9" x14ac:dyDescent="0.25">
      <c r="A63" s="203" t="s">
        <v>40</v>
      </c>
      <c r="B63" s="203" t="s">
        <v>628</v>
      </c>
      <c r="C63" s="203" t="s">
        <v>145</v>
      </c>
      <c r="D63" s="203" t="s">
        <v>568</v>
      </c>
      <c r="E63" s="203" t="s">
        <v>131</v>
      </c>
      <c r="F63" s="204">
        <v>5358.06</v>
      </c>
    </row>
    <row r="64" spans="1:6" ht="13.9" x14ac:dyDescent="0.25">
      <c r="A64" s="203" t="s">
        <v>66</v>
      </c>
      <c r="B64" s="203" t="s">
        <v>629</v>
      </c>
      <c r="C64" s="203" t="s">
        <v>139</v>
      </c>
      <c r="D64" s="203" t="s">
        <v>561</v>
      </c>
      <c r="E64" s="203" t="s">
        <v>130</v>
      </c>
      <c r="F64" s="204">
        <v>3158.81</v>
      </c>
    </row>
    <row r="65" spans="1:6" ht="13.9" x14ac:dyDescent="0.25">
      <c r="A65" s="203" t="s">
        <v>57</v>
      </c>
      <c r="B65" s="203" t="s">
        <v>630</v>
      </c>
      <c r="C65" s="203" t="s">
        <v>139</v>
      </c>
      <c r="D65" s="203" t="s">
        <v>561</v>
      </c>
      <c r="E65" s="203" t="s">
        <v>130</v>
      </c>
      <c r="F65" s="204">
        <v>4564.84</v>
      </c>
    </row>
    <row r="66" spans="1:6" ht="13.9" x14ac:dyDescent="0.25">
      <c r="A66" s="203" t="s">
        <v>114</v>
      </c>
      <c r="B66" s="203" t="s">
        <v>631</v>
      </c>
      <c r="C66" s="203" t="s">
        <v>157</v>
      </c>
      <c r="D66" s="203" t="s">
        <v>576</v>
      </c>
      <c r="E66" s="203" t="s">
        <v>133</v>
      </c>
      <c r="F66" s="204">
        <v>5362.6</v>
      </c>
    </row>
    <row r="67" spans="1:6" ht="13.9" x14ac:dyDescent="0.25">
      <c r="A67" s="203" t="s">
        <v>69</v>
      </c>
      <c r="B67" s="203" t="s">
        <v>632</v>
      </c>
      <c r="C67" s="203" t="s">
        <v>146</v>
      </c>
      <c r="D67" s="203" t="s">
        <v>565</v>
      </c>
      <c r="E67" s="203" t="s">
        <v>126</v>
      </c>
      <c r="F67" s="204">
        <v>5214.21</v>
      </c>
    </row>
    <row r="68" spans="1:6" ht="13.9" x14ac:dyDescent="0.25">
      <c r="A68" s="203" t="s">
        <v>21</v>
      </c>
      <c r="B68" s="203" t="s">
        <v>633</v>
      </c>
      <c r="C68" s="203" t="s">
        <v>138</v>
      </c>
      <c r="D68" s="203" t="s">
        <v>561</v>
      </c>
      <c r="E68" s="203" t="s">
        <v>128</v>
      </c>
      <c r="F68" s="204">
        <v>4682.55</v>
      </c>
    </row>
    <row r="69" spans="1:6" ht="13.9" x14ac:dyDescent="0.25">
      <c r="A69" s="203" t="s">
        <v>121</v>
      </c>
      <c r="B69" s="203" t="s">
        <v>634</v>
      </c>
      <c r="C69" s="203" t="s">
        <v>145</v>
      </c>
      <c r="D69" s="203" t="s">
        <v>568</v>
      </c>
      <c r="E69" s="203" t="s">
        <v>131</v>
      </c>
      <c r="F69" s="204">
        <v>5136.5200000000004</v>
      </c>
    </row>
    <row r="70" spans="1:6" ht="13.9" x14ac:dyDescent="0.25">
      <c r="A70" s="203" t="s">
        <v>82</v>
      </c>
      <c r="B70" s="203" t="s">
        <v>635</v>
      </c>
      <c r="C70" s="203" t="s">
        <v>636</v>
      </c>
      <c r="D70" s="203" t="s">
        <v>568</v>
      </c>
      <c r="E70" s="203" t="s">
        <v>127</v>
      </c>
      <c r="F70" s="204">
        <v>3297.6</v>
      </c>
    </row>
    <row r="71" spans="1:6" ht="13.9" x14ac:dyDescent="0.25">
      <c r="A71" s="203" t="s">
        <v>111</v>
      </c>
      <c r="B71" s="203" t="s">
        <v>637</v>
      </c>
      <c r="C71" s="203" t="s">
        <v>138</v>
      </c>
      <c r="D71" s="203" t="s">
        <v>561</v>
      </c>
      <c r="E71" s="203" t="s">
        <v>128</v>
      </c>
      <c r="F71" s="204">
        <v>3266.18</v>
      </c>
    </row>
    <row r="72" spans="1:6" ht="13.9" x14ac:dyDescent="0.25">
      <c r="A72" s="203" t="s">
        <v>122</v>
      </c>
      <c r="B72" s="203" t="s">
        <v>638</v>
      </c>
      <c r="C72" s="203" t="s">
        <v>153</v>
      </c>
      <c r="D72" s="203" t="s">
        <v>599</v>
      </c>
      <c r="E72" s="203" t="s">
        <v>127</v>
      </c>
      <c r="F72" s="204">
        <v>4025.49</v>
      </c>
    </row>
    <row r="73" spans="1:6" ht="13.9" x14ac:dyDescent="0.25">
      <c r="A73" s="203" t="s">
        <v>51</v>
      </c>
      <c r="B73" s="203" t="s">
        <v>639</v>
      </c>
      <c r="C73" s="203" t="s">
        <v>581</v>
      </c>
      <c r="D73" s="203" t="s">
        <v>576</v>
      </c>
      <c r="E73" s="203" t="s">
        <v>133</v>
      </c>
      <c r="F73" s="204">
        <v>5020.6099999999997</v>
      </c>
    </row>
    <row r="74" spans="1:6" ht="13.9" x14ac:dyDescent="0.25">
      <c r="A74" s="203" t="s">
        <v>95</v>
      </c>
      <c r="B74" s="203" t="s">
        <v>640</v>
      </c>
      <c r="C74" s="203" t="s">
        <v>138</v>
      </c>
      <c r="D74" s="203" t="s">
        <v>561</v>
      </c>
      <c r="E74" s="203" t="s">
        <v>129</v>
      </c>
      <c r="F74" s="204">
        <v>3099.65</v>
      </c>
    </row>
    <row r="75" spans="1:6" ht="13.9" x14ac:dyDescent="0.25">
      <c r="A75" s="203" t="s">
        <v>105</v>
      </c>
      <c r="B75" s="203" t="s">
        <v>641</v>
      </c>
      <c r="C75" s="203" t="s">
        <v>137</v>
      </c>
      <c r="D75" s="203" t="s">
        <v>599</v>
      </c>
      <c r="E75" s="203" t="s">
        <v>127</v>
      </c>
      <c r="F75" s="204">
        <v>3411.97</v>
      </c>
    </row>
    <row r="76" spans="1:6" ht="13.9" x14ac:dyDescent="0.25">
      <c r="A76" s="203" t="s">
        <v>87</v>
      </c>
      <c r="B76" s="203" t="s">
        <v>642</v>
      </c>
      <c r="C76" s="203" t="s">
        <v>643</v>
      </c>
      <c r="D76" s="203" t="s">
        <v>561</v>
      </c>
      <c r="E76" s="203" t="s">
        <v>127</v>
      </c>
      <c r="F76" s="204">
        <v>4265.3100000000004</v>
      </c>
    </row>
    <row r="77" spans="1:6" ht="13.9" x14ac:dyDescent="0.25">
      <c r="A77" s="203" t="s">
        <v>118</v>
      </c>
      <c r="B77" s="203" t="s">
        <v>644</v>
      </c>
      <c r="C77" s="203" t="s">
        <v>138</v>
      </c>
      <c r="D77" s="203" t="s">
        <v>561</v>
      </c>
      <c r="E77" s="203" t="s">
        <v>128</v>
      </c>
      <c r="F77" s="204">
        <v>3689.99</v>
      </c>
    </row>
    <row r="78" spans="1:6" ht="13.9" x14ac:dyDescent="0.25">
      <c r="A78" s="203" t="s">
        <v>27</v>
      </c>
      <c r="B78" s="203" t="s">
        <v>645</v>
      </c>
      <c r="C78" s="203" t="s">
        <v>145</v>
      </c>
      <c r="D78" s="203" t="s">
        <v>568</v>
      </c>
      <c r="E78" s="203" t="s">
        <v>131</v>
      </c>
      <c r="F78" s="204">
        <v>4020.71</v>
      </c>
    </row>
    <row r="79" spans="1:6" ht="13.9" x14ac:dyDescent="0.25">
      <c r="A79" s="203" t="s">
        <v>41</v>
      </c>
      <c r="B79" s="203" t="s">
        <v>501</v>
      </c>
      <c r="C79" s="203" t="s">
        <v>141</v>
      </c>
      <c r="D79" s="203" t="s">
        <v>561</v>
      </c>
      <c r="E79" s="203" t="s">
        <v>132</v>
      </c>
      <c r="F79" s="204">
        <v>3982.74</v>
      </c>
    </row>
    <row r="80" spans="1:6" ht="13.9" x14ac:dyDescent="0.25">
      <c r="A80" s="203" t="s">
        <v>63</v>
      </c>
      <c r="B80" s="203" t="s">
        <v>646</v>
      </c>
      <c r="C80" s="203" t="s">
        <v>152</v>
      </c>
      <c r="D80" s="203" t="s">
        <v>565</v>
      </c>
      <c r="E80" s="203" t="s">
        <v>126</v>
      </c>
      <c r="F80" s="204">
        <v>4553.21</v>
      </c>
    </row>
    <row r="81" spans="1:6" ht="13.9" x14ac:dyDescent="0.25">
      <c r="A81" s="203" t="s">
        <v>102</v>
      </c>
      <c r="B81" s="203" t="s">
        <v>647</v>
      </c>
      <c r="C81" s="203" t="s">
        <v>156</v>
      </c>
      <c r="D81" s="203" t="s">
        <v>568</v>
      </c>
      <c r="E81" s="203" t="s">
        <v>131</v>
      </c>
      <c r="F81" s="204">
        <v>3652.88</v>
      </c>
    </row>
    <row r="82" spans="1:6" ht="13.9" x14ac:dyDescent="0.25">
      <c r="A82" s="203" t="s">
        <v>46</v>
      </c>
      <c r="B82" s="203" t="s">
        <v>648</v>
      </c>
      <c r="C82" s="203" t="s">
        <v>138</v>
      </c>
      <c r="D82" s="203" t="s">
        <v>561</v>
      </c>
      <c r="E82" s="203" t="s">
        <v>129</v>
      </c>
      <c r="F82" s="204">
        <v>3802.98</v>
      </c>
    </row>
    <row r="83" spans="1:6" ht="13.9" x14ac:dyDescent="0.25">
      <c r="A83" s="203" t="s">
        <v>108</v>
      </c>
      <c r="B83" s="203" t="s">
        <v>649</v>
      </c>
      <c r="C83" s="203" t="s">
        <v>141</v>
      </c>
      <c r="D83" s="203" t="s">
        <v>561</v>
      </c>
      <c r="E83" s="203" t="s">
        <v>132</v>
      </c>
      <c r="F83" s="204">
        <v>3395.46</v>
      </c>
    </row>
    <row r="84" spans="1:6" ht="13.9" x14ac:dyDescent="0.25">
      <c r="A84" s="203" t="s">
        <v>101</v>
      </c>
      <c r="B84" s="203" t="s">
        <v>484</v>
      </c>
      <c r="C84" s="203" t="s">
        <v>142</v>
      </c>
      <c r="D84" s="203" t="s">
        <v>561</v>
      </c>
      <c r="E84" s="203" t="s">
        <v>132</v>
      </c>
      <c r="F84" s="204">
        <v>3906.23</v>
      </c>
    </row>
    <row r="85" spans="1:6" ht="13.9" x14ac:dyDescent="0.25">
      <c r="A85" s="203" t="s">
        <v>80</v>
      </c>
      <c r="B85" s="203" t="s">
        <v>650</v>
      </c>
      <c r="C85" s="203" t="s">
        <v>137</v>
      </c>
      <c r="D85" s="203" t="s">
        <v>599</v>
      </c>
      <c r="E85" s="203" t="s">
        <v>127</v>
      </c>
      <c r="F85" s="204">
        <v>3104.97</v>
      </c>
    </row>
    <row r="86" spans="1:6" ht="13.9" x14ac:dyDescent="0.25">
      <c r="A86" s="203" t="s">
        <v>106</v>
      </c>
      <c r="B86" s="203" t="s">
        <v>651</v>
      </c>
      <c r="C86" s="203" t="s">
        <v>652</v>
      </c>
      <c r="D86" s="203" t="s">
        <v>568</v>
      </c>
      <c r="E86" s="203" t="s">
        <v>131</v>
      </c>
      <c r="F86" s="204">
        <v>2827.2</v>
      </c>
    </row>
    <row r="87" spans="1:6" ht="13.9" x14ac:dyDescent="0.25">
      <c r="A87" s="203" t="s">
        <v>124</v>
      </c>
      <c r="B87" s="203" t="s">
        <v>653</v>
      </c>
      <c r="C87" s="203" t="s">
        <v>138</v>
      </c>
      <c r="D87" s="203" t="s">
        <v>561</v>
      </c>
      <c r="E87" s="203" t="s">
        <v>127</v>
      </c>
      <c r="F87" s="204">
        <v>3777.04</v>
      </c>
    </row>
    <row r="88" spans="1:6" ht="13.9" x14ac:dyDescent="0.25">
      <c r="A88" s="203" t="s">
        <v>70</v>
      </c>
      <c r="B88" s="203" t="s">
        <v>654</v>
      </c>
      <c r="C88" s="203" t="s">
        <v>153</v>
      </c>
      <c r="D88" s="203" t="s">
        <v>599</v>
      </c>
      <c r="E88" s="203" t="s">
        <v>127</v>
      </c>
      <c r="F88" s="204">
        <v>3041.4</v>
      </c>
    </row>
    <row r="89" spans="1:6" ht="13.9" x14ac:dyDescent="0.25">
      <c r="A89" s="203" t="s">
        <v>113</v>
      </c>
      <c r="B89" s="203" t="s">
        <v>655</v>
      </c>
      <c r="C89" s="203" t="s">
        <v>145</v>
      </c>
      <c r="D89" s="203" t="s">
        <v>568</v>
      </c>
      <c r="E89" s="203" t="s">
        <v>131</v>
      </c>
      <c r="F89" s="204">
        <v>3803.65</v>
      </c>
    </row>
    <row r="90" spans="1:6" ht="13.9" x14ac:dyDescent="0.25">
      <c r="A90" s="203" t="s">
        <v>14</v>
      </c>
      <c r="B90" s="203" t="s">
        <v>656</v>
      </c>
      <c r="C90" s="203" t="s">
        <v>145</v>
      </c>
      <c r="D90" s="203" t="s">
        <v>568</v>
      </c>
      <c r="E90" s="203" t="s">
        <v>131</v>
      </c>
      <c r="F90" s="204">
        <v>2899.08</v>
      </c>
    </row>
    <row r="91" spans="1:6" ht="13.9" x14ac:dyDescent="0.25">
      <c r="A91" s="203" t="s">
        <v>65</v>
      </c>
      <c r="B91" s="203" t="s">
        <v>469</v>
      </c>
      <c r="C91" s="203" t="s">
        <v>148</v>
      </c>
      <c r="D91" s="203" t="s">
        <v>565</v>
      </c>
      <c r="E91" s="203" t="s">
        <v>126</v>
      </c>
      <c r="F91" s="204">
        <v>2479.92</v>
      </c>
    </row>
    <row r="92" spans="1:6" ht="13.9" x14ac:dyDescent="0.25">
      <c r="A92" s="203" t="s">
        <v>90</v>
      </c>
      <c r="B92" s="203" t="s">
        <v>657</v>
      </c>
      <c r="C92" s="203" t="s">
        <v>158</v>
      </c>
      <c r="D92" s="203" t="s">
        <v>561</v>
      </c>
      <c r="E92" s="203" t="s">
        <v>128</v>
      </c>
      <c r="F92" s="204">
        <v>2976.68</v>
      </c>
    </row>
    <row r="93" spans="1:6" ht="13.9" x14ac:dyDescent="0.25">
      <c r="A93" s="203" t="s">
        <v>30</v>
      </c>
      <c r="B93" s="203" t="s">
        <v>658</v>
      </c>
      <c r="C93" s="203" t="s">
        <v>151</v>
      </c>
      <c r="D93" s="203" t="s">
        <v>599</v>
      </c>
      <c r="E93" s="203" t="s">
        <v>126</v>
      </c>
      <c r="F93" s="204">
        <v>3037.58</v>
      </c>
    </row>
    <row r="94" spans="1:6" ht="13.9" x14ac:dyDescent="0.25">
      <c r="A94" s="203" t="s">
        <v>62</v>
      </c>
      <c r="B94" s="203" t="s">
        <v>659</v>
      </c>
      <c r="C94" s="203" t="s">
        <v>139</v>
      </c>
      <c r="D94" s="203" t="s">
        <v>561</v>
      </c>
      <c r="E94" s="203" t="s">
        <v>130</v>
      </c>
      <c r="F94" s="204">
        <v>3772.51</v>
      </c>
    </row>
    <row r="95" spans="1:6" ht="13.9" x14ac:dyDescent="0.25">
      <c r="A95" s="203" t="s">
        <v>93</v>
      </c>
      <c r="B95" s="203" t="s">
        <v>660</v>
      </c>
      <c r="C95" s="203" t="s">
        <v>139</v>
      </c>
      <c r="D95" s="203" t="s">
        <v>561</v>
      </c>
      <c r="E95" s="203" t="s">
        <v>130</v>
      </c>
      <c r="F95" s="204">
        <v>3903.29</v>
      </c>
    </row>
    <row r="96" spans="1:6" ht="13.9" x14ac:dyDescent="0.25">
      <c r="A96" s="203" t="s">
        <v>29</v>
      </c>
      <c r="B96" s="203" t="s">
        <v>661</v>
      </c>
      <c r="C96" s="203" t="s">
        <v>145</v>
      </c>
      <c r="D96" s="203" t="s">
        <v>568</v>
      </c>
      <c r="E96" s="203" t="s">
        <v>129</v>
      </c>
      <c r="F96" s="204">
        <v>3049.27</v>
      </c>
    </row>
    <row r="97" spans="1:6" ht="13.9" x14ac:dyDescent="0.25">
      <c r="A97" s="203" t="s">
        <v>120</v>
      </c>
      <c r="B97" s="203" t="s">
        <v>662</v>
      </c>
      <c r="C97" s="203" t="s">
        <v>142</v>
      </c>
      <c r="D97" s="203" t="s">
        <v>561</v>
      </c>
      <c r="E97" s="203" t="s">
        <v>132</v>
      </c>
      <c r="F97" s="204">
        <v>1570.28</v>
      </c>
    </row>
    <row r="98" spans="1:6" ht="13.9" x14ac:dyDescent="0.25">
      <c r="A98" s="203" t="s">
        <v>92</v>
      </c>
      <c r="B98" s="203" t="s">
        <v>663</v>
      </c>
      <c r="C98" s="203" t="s">
        <v>627</v>
      </c>
      <c r="D98" s="203" t="s">
        <v>576</v>
      </c>
      <c r="E98" s="203" t="s">
        <v>129</v>
      </c>
      <c r="F98" s="204">
        <v>3493.51</v>
      </c>
    </row>
    <row r="99" spans="1:6" ht="13.9" x14ac:dyDescent="0.25">
      <c r="A99" s="203" t="s">
        <v>44</v>
      </c>
      <c r="B99" s="203" t="s">
        <v>664</v>
      </c>
      <c r="C99" s="203" t="s">
        <v>145</v>
      </c>
      <c r="D99" s="203" t="s">
        <v>568</v>
      </c>
      <c r="E99" s="203" t="s">
        <v>127</v>
      </c>
      <c r="F99" s="204">
        <v>2789.93</v>
      </c>
    </row>
    <row r="100" spans="1:6" ht="13.9" x14ac:dyDescent="0.25">
      <c r="A100" s="203" t="s">
        <v>107</v>
      </c>
      <c r="B100" s="203" t="s">
        <v>665</v>
      </c>
      <c r="C100" s="203" t="s">
        <v>142</v>
      </c>
      <c r="D100" s="203" t="s">
        <v>561</v>
      </c>
      <c r="E100" s="203" t="s">
        <v>132</v>
      </c>
      <c r="F100" s="204">
        <v>2538.46</v>
      </c>
    </row>
    <row r="101" spans="1:6" ht="13.9" x14ac:dyDescent="0.25">
      <c r="A101" s="203" t="s">
        <v>104</v>
      </c>
      <c r="B101" s="203" t="s">
        <v>666</v>
      </c>
      <c r="C101" s="203" t="s">
        <v>667</v>
      </c>
      <c r="D101" s="203" t="s">
        <v>599</v>
      </c>
      <c r="E101" s="203" t="s">
        <v>126</v>
      </c>
      <c r="F101" s="204">
        <v>2449.9499999999998</v>
      </c>
    </row>
    <row r="102" spans="1:6" ht="13.9" x14ac:dyDescent="0.25">
      <c r="A102" s="203" t="s">
        <v>47</v>
      </c>
      <c r="B102" s="203" t="s">
        <v>668</v>
      </c>
      <c r="C102" s="203" t="s">
        <v>145</v>
      </c>
      <c r="D102" s="203" t="s">
        <v>568</v>
      </c>
      <c r="E102" s="203" t="s">
        <v>127</v>
      </c>
      <c r="F102" s="204">
        <v>1564.99</v>
      </c>
    </row>
    <row r="103" spans="1:6" ht="13.9" x14ac:dyDescent="0.25">
      <c r="A103" s="203" t="s">
        <v>39</v>
      </c>
      <c r="B103" s="203" t="s">
        <v>669</v>
      </c>
      <c r="C103" s="203" t="s">
        <v>138</v>
      </c>
      <c r="D103" s="203" t="s">
        <v>561</v>
      </c>
      <c r="E103" s="203" t="s">
        <v>129</v>
      </c>
      <c r="F103" s="204">
        <v>1954.52</v>
      </c>
    </row>
    <row r="104" spans="1:6" ht="13.9" x14ac:dyDescent="0.25">
      <c r="A104" s="203" t="s">
        <v>81</v>
      </c>
      <c r="B104" s="203" t="s">
        <v>670</v>
      </c>
      <c r="C104" s="203" t="s">
        <v>158</v>
      </c>
      <c r="D104" s="203" t="s">
        <v>561</v>
      </c>
      <c r="E104" s="203" t="s">
        <v>128</v>
      </c>
      <c r="F104" s="204">
        <v>2030.62</v>
      </c>
    </row>
    <row r="105" spans="1:6" ht="13.9" x14ac:dyDescent="0.25">
      <c r="A105" s="203" t="s">
        <v>61</v>
      </c>
      <c r="B105" s="203" t="s">
        <v>671</v>
      </c>
      <c r="C105" s="203" t="s">
        <v>138</v>
      </c>
      <c r="D105" s="203" t="s">
        <v>561</v>
      </c>
      <c r="E105" s="203" t="s">
        <v>128</v>
      </c>
      <c r="F105" s="204">
        <v>1773.13</v>
      </c>
    </row>
    <row r="106" spans="1:6" ht="13.9" x14ac:dyDescent="0.25">
      <c r="A106" s="203" t="s">
        <v>79</v>
      </c>
      <c r="B106" s="203" t="s">
        <v>672</v>
      </c>
      <c r="C106" s="203" t="s">
        <v>673</v>
      </c>
      <c r="D106" s="203" t="s">
        <v>599</v>
      </c>
      <c r="E106" s="203" t="s">
        <v>127</v>
      </c>
      <c r="F106" s="204">
        <v>1474.12</v>
      </c>
    </row>
    <row r="107" spans="1:6" ht="13.9" x14ac:dyDescent="0.25">
      <c r="A107" s="203" t="s">
        <v>83</v>
      </c>
      <c r="B107" s="203" t="s">
        <v>674</v>
      </c>
      <c r="C107" s="203" t="s">
        <v>143</v>
      </c>
      <c r="D107" s="203" t="s">
        <v>576</v>
      </c>
      <c r="E107" s="203" t="s">
        <v>133</v>
      </c>
      <c r="F107" s="204">
        <v>1082</v>
      </c>
    </row>
    <row r="108" spans="1:6" ht="13.9" x14ac:dyDescent="0.25">
      <c r="A108" s="203" t="s">
        <v>89</v>
      </c>
      <c r="B108" s="203" t="s">
        <v>675</v>
      </c>
      <c r="C108" s="203" t="s">
        <v>142</v>
      </c>
      <c r="D108" s="203" t="s">
        <v>561</v>
      </c>
      <c r="E108" s="203" t="s">
        <v>132</v>
      </c>
      <c r="F108" s="204">
        <v>1531.26</v>
      </c>
    </row>
    <row r="109" spans="1:6" ht="13.9" x14ac:dyDescent="0.25">
      <c r="A109" s="203" t="s">
        <v>91</v>
      </c>
      <c r="B109" s="203" t="s">
        <v>676</v>
      </c>
      <c r="C109" s="203" t="s">
        <v>142</v>
      </c>
      <c r="D109" s="203" t="s">
        <v>561</v>
      </c>
      <c r="E109" s="203" t="s">
        <v>132</v>
      </c>
      <c r="F109" s="204">
        <v>1536.97</v>
      </c>
    </row>
    <row r="110" spans="1:6" ht="13.9" x14ac:dyDescent="0.25">
      <c r="A110" s="203" t="s">
        <v>103</v>
      </c>
      <c r="B110" s="203" t="s">
        <v>677</v>
      </c>
      <c r="C110" s="203" t="s">
        <v>581</v>
      </c>
      <c r="D110" s="203" t="s">
        <v>576</v>
      </c>
      <c r="E110" s="203" t="s">
        <v>133</v>
      </c>
      <c r="F110" s="204">
        <v>1739.57</v>
      </c>
    </row>
    <row r="111" spans="1:6" ht="13.9" x14ac:dyDescent="0.25">
      <c r="A111" s="203" t="s">
        <v>72</v>
      </c>
      <c r="B111" s="203" t="s">
        <v>678</v>
      </c>
      <c r="C111" s="203" t="s">
        <v>679</v>
      </c>
      <c r="D111" s="203" t="s">
        <v>568</v>
      </c>
      <c r="E111" s="203" t="s">
        <v>131</v>
      </c>
      <c r="F111" s="204">
        <v>1370.19</v>
      </c>
    </row>
    <row r="112" spans="1:6" ht="13.9" x14ac:dyDescent="0.25">
      <c r="A112" s="203" t="s">
        <v>94</v>
      </c>
      <c r="B112" s="203" t="s">
        <v>680</v>
      </c>
      <c r="C112" s="203" t="s">
        <v>142</v>
      </c>
      <c r="D112" s="203" t="s">
        <v>561</v>
      </c>
      <c r="E112" s="203" t="s">
        <v>132</v>
      </c>
      <c r="F112" s="204">
        <v>0</v>
      </c>
    </row>
    <row r="113" spans="1:6" ht="13.9" x14ac:dyDescent="0.25">
      <c r="A113" s="203" t="s">
        <v>99</v>
      </c>
      <c r="B113" s="203" t="s">
        <v>681</v>
      </c>
      <c r="C113" s="203" t="s">
        <v>142</v>
      </c>
      <c r="D113" s="203" t="s">
        <v>561</v>
      </c>
      <c r="E113" s="203" t="s">
        <v>132</v>
      </c>
      <c r="F113" s="204">
        <v>0</v>
      </c>
    </row>
    <row r="114" spans="1:6" ht="13.9" x14ac:dyDescent="0.25">
      <c r="A114" s="203" t="s">
        <v>86</v>
      </c>
      <c r="B114" s="203" t="s">
        <v>682</v>
      </c>
      <c r="C114" s="203" t="s">
        <v>142</v>
      </c>
      <c r="D114" s="203" t="s">
        <v>561</v>
      </c>
      <c r="E114" s="203" t="s">
        <v>132</v>
      </c>
      <c r="F114" s="204">
        <v>0</v>
      </c>
    </row>
  </sheetData>
  <autoFilter ref="A1:F114" xr:uid="{46503CD9-37AB-4BED-A5AD-185B5385831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67A0-17D9-4AB4-B10F-C73E66F7361D}">
  <sheetPr>
    <tabColor rgb="FFFFFF00"/>
  </sheetPr>
  <dimension ref="A1:K72"/>
  <sheetViews>
    <sheetView workbookViewId="0">
      <selection activeCell="K1" sqref="K1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85546875" customWidth="1"/>
    <col min="4" max="6" width="10.85546875" bestFit="1" customWidth="1"/>
    <col min="7" max="8" width="10.5703125" bestFit="1" customWidth="1"/>
    <col min="9" max="9" width="10.85546875" bestFit="1" customWidth="1"/>
    <col min="10" max="11" width="10.7109375" bestFit="1" customWidth="1"/>
  </cols>
  <sheetData>
    <row r="1" spans="1:11" x14ac:dyDescent="0.25">
      <c r="B1" s="177" t="s">
        <v>505</v>
      </c>
      <c r="C1" s="178">
        <v>46296</v>
      </c>
      <c r="D1" s="178">
        <v>46314</v>
      </c>
      <c r="E1" s="178">
        <v>46315</v>
      </c>
      <c r="F1" s="178">
        <v>46316</v>
      </c>
      <c r="G1" s="178">
        <v>46317</v>
      </c>
      <c r="H1" s="178">
        <v>46318</v>
      </c>
      <c r="I1" s="178">
        <v>46319</v>
      </c>
      <c r="J1" s="178">
        <v>46320</v>
      </c>
      <c r="K1" s="178">
        <v>46321</v>
      </c>
    </row>
    <row r="2" spans="1:11" x14ac:dyDescent="0.25">
      <c r="A2" t="s">
        <v>504</v>
      </c>
      <c r="B2" s="177" t="s">
        <v>506</v>
      </c>
      <c r="C2" s="178">
        <v>46313</v>
      </c>
      <c r="D2" s="178">
        <v>46314</v>
      </c>
      <c r="E2" s="178">
        <v>46315</v>
      </c>
      <c r="F2" s="178">
        <v>46316</v>
      </c>
      <c r="G2" s="178">
        <v>46317</v>
      </c>
      <c r="H2" s="178">
        <v>46318</v>
      </c>
      <c r="I2" s="178">
        <v>46319</v>
      </c>
      <c r="J2" s="178">
        <v>46320</v>
      </c>
      <c r="K2" s="178">
        <v>46321</v>
      </c>
    </row>
    <row r="3" spans="1:11" x14ac:dyDescent="0.25">
      <c r="B3" s="177"/>
      <c r="C3" s="176">
        <f t="shared" ref="C3:J3" si="0">SUBTOTAL(9,C5:C72)</f>
        <v>268738</v>
      </c>
      <c r="D3" s="176">
        <f t="shared" si="0"/>
        <v>9508</v>
      </c>
      <c r="E3" s="176">
        <f t="shared" si="0"/>
        <v>9331</v>
      </c>
      <c r="F3" s="176">
        <f t="shared" si="0"/>
        <v>10524</v>
      </c>
      <c r="G3" s="176">
        <f t="shared" si="0"/>
        <v>14780</v>
      </c>
      <c r="H3" s="176">
        <f t="shared" si="0"/>
        <v>14851</v>
      </c>
      <c r="I3" s="176">
        <f t="shared" si="0"/>
        <v>13244</v>
      </c>
      <c r="J3" s="176">
        <f t="shared" si="0"/>
        <v>10022</v>
      </c>
      <c r="K3" s="176">
        <f t="shared" ref="K3" si="1">SUBTOTAL(9,K5:K72)</f>
        <v>9682</v>
      </c>
    </row>
    <row r="4" spans="1:11" x14ac:dyDescent="0.25">
      <c r="A4" t="s">
        <v>435</v>
      </c>
      <c r="B4" t="s">
        <v>251</v>
      </c>
      <c r="C4" t="s">
        <v>503</v>
      </c>
      <c r="D4" t="s">
        <v>503</v>
      </c>
      <c r="E4" t="s">
        <v>503</v>
      </c>
      <c r="F4" t="s">
        <v>503</v>
      </c>
      <c r="G4" t="s">
        <v>503</v>
      </c>
      <c r="H4" t="s">
        <v>503</v>
      </c>
      <c r="I4" t="s">
        <v>503</v>
      </c>
      <c r="J4" t="s">
        <v>503</v>
      </c>
      <c r="K4" t="s">
        <v>503</v>
      </c>
    </row>
    <row r="5" spans="1:11" x14ac:dyDescent="0.25">
      <c r="A5" s="176" t="s">
        <v>436</v>
      </c>
      <c r="B5" s="176" t="s">
        <v>20</v>
      </c>
      <c r="C5" s="176">
        <v>2001</v>
      </c>
      <c r="D5" s="176">
        <v>70</v>
      </c>
      <c r="E5">
        <v>67</v>
      </c>
      <c r="F5">
        <v>109</v>
      </c>
      <c r="G5">
        <v>74</v>
      </c>
      <c r="H5">
        <v>76</v>
      </c>
      <c r="I5">
        <v>66</v>
      </c>
      <c r="J5" s="176">
        <v>101</v>
      </c>
      <c r="K5" s="176">
        <v>115</v>
      </c>
    </row>
    <row r="6" spans="1:11" x14ac:dyDescent="0.25">
      <c r="A6" s="176" t="s">
        <v>342</v>
      </c>
      <c r="B6" s="176" t="s">
        <v>26</v>
      </c>
      <c r="C6" s="176">
        <v>2486</v>
      </c>
      <c r="D6" s="176">
        <v>87</v>
      </c>
      <c r="E6">
        <v>79</v>
      </c>
      <c r="F6">
        <v>85</v>
      </c>
      <c r="G6">
        <v>113</v>
      </c>
      <c r="H6">
        <v>119</v>
      </c>
      <c r="I6">
        <v>120</v>
      </c>
      <c r="J6">
        <v>94</v>
      </c>
      <c r="K6" s="176">
        <v>99</v>
      </c>
    </row>
    <row r="7" spans="1:11" x14ac:dyDescent="0.25">
      <c r="A7" s="176" t="s">
        <v>437</v>
      </c>
      <c r="B7" s="176" t="s">
        <v>48</v>
      </c>
      <c r="C7" s="176">
        <v>5543</v>
      </c>
      <c r="D7" s="176">
        <v>149</v>
      </c>
      <c r="E7">
        <v>106</v>
      </c>
      <c r="F7">
        <v>193</v>
      </c>
      <c r="G7">
        <v>277</v>
      </c>
      <c r="H7">
        <v>301</v>
      </c>
      <c r="I7">
        <v>305</v>
      </c>
      <c r="J7">
        <v>201</v>
      </c>
      <c r="K7" s="176">
        <v>217</v>
      </c>
    </row>
    <row r="8" spans="1:11" x14ac:dyDescent="0.25">
      <c r="A8" s="176" t="s">
        <v>438</v>
      </c>
      <c r="B8" s="176" t="s">
        <v>19</v>
      </c>
      <c r="C8" s="176">
        <v>8120</v>
      </c>
      <c r="D8" s="176">
        <v>269</v>
      </c>
      <c r="E8">
        <v>266</v>
      </c>
      <c r="F8">
        <v>283</v>
      </c>
      <c r="G8">
        <v>462</v>
      </c>
      <c r="H8">
        <v>506</v>
      </c>
      <c r="I8">
        <v>428</v>
      </c>
      <c r="J8">
        <v>323</v>
      </c>
      <c r="K8" s="176">
        <v>198</v>
      </c>
    </row>
    <row r="9" spans="1:11" x14ac:dyDescent="0.25">
      <c r="A9" s="176" t="s">
        <v>439</v>
      </c>
      <c r="B9" s="176" t="s">
        <v>23</v>
      </c>
      <c r="C9" s="176">
        <v>3309</v>
      </c>
      <c r="D9" s="176">
        <v>76</v>
      </c>
      <c r="E9">
        <v>76</v>
      </c>
      <c r="F9">
        <v>103</v>
      </c>
      <c r="G9">
        <v>101</v>
      </c>
      <c r="H9">
        <v>112</v>
      </c>
      <c r="I9">
        <v>113</v>
      </c>
      <c r="J9">
        <v>111</v>
      </c>
      <c r="K9" s="176">
        <v>109</v>
      </c>
    </row>
    <row r="10" spans="1:11" x14ac:dyDescent="0.25">
      <c r="A10" s="176" t="s">
        <v>440</v>
      </c>
      <c r="B10" s="176" t="s">
        <v>24</v>
      </c>
      <c r="C10" s="176">
        <v>2111</v>
      </c>
      <c r="D10" s="176">
        <v>70</v>
      </c>
      <c r="E10">
        <v>81</v>
      </c>
      <c r="F10">
        <v>79</v>
      </c>
      <c r="G10">
        <v>107</v>
      </c>
      <c r="H10">
        <v>82</v>
      </c>
      <c r="I10">
        <v>113</v>
      </c>
      <c r="J10">
        <v>83</v>
      </c>
      <c r="K10" s="176">
        <v>111</v>
      </c>
    </row>
    <row r="11" spans="1:11" x14ac:dyDescent="0.25">
      <c r="A11" s="176" t="s">
        <v>441</v>
      </c>
      <c r="B11" s="176" t="s">
        <v>51</v>
      </c>
      <c r="C11" s="176">
        <v>3150</v>
      </c>
      <c r="D11" s="176">
        <v>113</v>
      </c>
      <c r="E11">
        <v>130</v>
      </c>
      <c r="F11">
        <v>114</v>
      </c>
      <c r="G11">
        <v>182</v>
      </c>
      <c r="H11">
        <v>146</v>
      </c>
      <c r="I11">
        <v>137</v>
      </c>
      <c r="J11">
        <v>132</v>
      </c>
      <c r="K11" s="176">
        <v>141</v>
      </c>
    </row>
    <row r="12" spans="1:11" x14ac:dyDescent="0.25">
      <c r="A12" s="176" t="s">
        <v>442</v>
      </c>
      <c r="B12" s="176" t="s">
        <v>88</v>
      </c>
      <c r="C12" s="176">
        <v>1624</v>
      </c>
      <c r="D12" s="176"/>
      <c r="E12">
        <v>55</v>
      </c>
      <c r="F12">
        <v>53</v>
      </c>
      <c r="I12">
        <v>68</v>
      </c>
      <c r="J12">
        <v>0</v>
      </c>
      <c r="K12" s="176">
        <v>0</v>
      </c>
    </row>
    <row r="13" spans="1:11" x14ac:dyDescent="0.25">
      <c r="A13" s="176" t="s">
        <v>443</v>
      </c>
      <c r="B13" s="176" t="s">
        <v>42</v>
      </c>
      <c r="C13" s="176">
        <v>3588</v>
      </c>
      <c r="D13" s="176">
        <v>120</v>
      </c>
      <c r="E13">
        <v>110</v>
      </c>
      <c r="F13">
        <v>163</v>
      </c>
      <c r="G13">
        <v>191</v>
      </c>
      <c r="H13">
        <v>241</v>
      </c>
      <c r="I13">
        <v>220</v>
      </c>
      <c r="J13">
        <v>162</v>
      </c>
      <c r="K13" s="176">
        <v>145</v>
      </c>
    </row>
    <row r="14" spans="1:11" x14ac:dyDescent="0.25">
      <c r="A14" s="176" t="s">
        <v>444</v>
      </c>
      <c r="B14" s="176" t="s">
        <v>97</v>
      </c>
      <c r="C14" s="176">
        <v>2786</v>
      </c>
      <c r="D14" s="176">
        <v>84</v>
      </c>
      <c r="E14">
        <v>125</v>
      </c>
      <c r="F14">
        <v>169</v>
      </c>
      <c r="G14">
        <v>183</v>
      </c>
      <c r="H14">
        <v>318</v>
      </c>
      <c r="I14">
        <v>154</v>
      </c>
      <c r="J14">
        <v>159</v>
      </c>
      <c r="K14" s="176">
        <v>128</v>
      </c>
    </row>
    <row r="15" spans="1:11" x14ac:dyDescent="0.25">
      <c r="A15" s="176" t="s">
        <v>445</v>
      </c>
      <c r="B15" s="176" t="s">
        <v>78</v>
      </c>
      <c r="C15" s="176">
        <v>2823</v>
      </c>
      <c r="D15" s="176">
        <v>92</v>
      </c>
      <c r="E15">
        <v>101</v>
      </c>
      <c r="F15">
        <v>106</v>
      </c>
      <c r="G15">
        <v>128</v>
      </c>
      <c r="H15">
        <v>120</v>
      </c>
      <c r="I15">
        <v>142</v>
      </c>
      <c r="J15">
        <v>136</v>
      </c>
      <c r="K15" s="176">
        <v>109</v>
      </c>
    </row>
    <row r="16" spans="1:11" x14ac:dyDescent="0.25">
      <c r="A16" s="176" t="s">
        <v>446</v>
      </c>
      <c r="B16" s="176" t="s">
        <v>34</v>
      </c>
      <c r="C16" s="176">
        <v>6291</v>
      </c>
      <c r="D16" s="176">
        <v>174</v>
      </c>
      <c r="E16">
        <v>200</v>
      </c>
      <c r="F16">
        <v>222</v>
      </c>
      <c r="G16">
        <v>343</v>
      </c>
      <c r="H16">
        <v>486</v>
      </c>
      <c r="I16">
        <v>401</v>
      </c>
      <c r="J16">
        <v>236</v>
      </c>
      <c r="K16" s="176">
        <v>226</v>
      </c>
    </row>
    <row r="17" spans="1:11" x14ac:dyDescent="0.25">
      <c r="A17" s="176" t="s">
        <v>447</v>
      </c>
      <c r="B17" s="176" t="s">
        <v>33</v>
      </c>
      <c r="C17" s="176">
        <v>4432</v>
      </c>
      <c r="D17" s="176">
        <v>143</v>
      </c>
      <c r="E17">
        <v>135</v>
      </c>
      <c r="F17">
        <v>206</v>
      </c>
      <c r="G17">
        <v>312</v>
      </c>
      <c r="H17">
        <v>339</v>
      </c>
      <c r="I17">
        <v>279</v>
      </c>
      <c r="J17">
        <v>168</v>
      </c>
      <c r="K17" s="176">
        <v>189</v>
      </c>
    </row>
    <row r="18" spans="1:11" x14ac:dyDescent="0.25">
      <c r="A18" s="176" t="s">
        <v>448</v>
      </c>
      <c r="B18" s="176" t="s">
        <v>77</v>
      </c>
      <c r="C18" s="176">
        <v>1656</v>
      </c>
      <c r="D18" s="176">
        <v>84</v>
      </c>
      <c r="E18">
        <v>132</v>
      </c>
      <c r="F18">
        <v>96</v>
      </c>
      <c r="G18">
        <v>80</v>
      </c>
      <c r="H18">
        <v>74</v>
      </c>
      <c r="I18">
        <v>90</v>
      </c>
      <c r="J18">
        <v>0</v>
      </c>
      <c r="K18" s="176">
        <v>0</v>
      </c>
    </row>
    <row r="19" spans="1:11" x14ac:dyDescent="0.25">
      <c r="A19" s="176" t="s">
        <v>449</v>
      </c>
      <c r="B19" s="176" t="s">
        <v>92</v>
      </c>
      <c r="C19" s="176">
        <v>3209</v>
      </c>
      <c r="D19" s="176">
        <v>121</v>
      </c>
      <c r="E19">
        <v>113</v>
      </c>
      <c r="F19">
        <v>143</v>
      </c>
      <c r="G19">
        <v>196</v>
      </c>
      <c r="H19">
        <v>183</v>
      </c>
      <c r="I19">
        <v>188</v>
      </c>
      <c r="J19">
        <v>196</v>
      </c>
      <c r="K19" s="176">
        <v>161</v>
      </c>
    </row>
    <row r="20" spans="1:11" x14ac:dyDescent="0.25">
      <c r="A20" s="176" t="s">
        <v>450</v>
      </c>
      <c r="B20" s="176" t="s">
        <v>43</v>
      </c>
      <c r="C20" s="176">
        <v>3689</v>
      </c>
      <c r="D20" s="176">
        <v>118</v>
      </c>
      <c r="E20">
        <v>153</v>
      </c>
      <c r="F20">
        <v>149</v>
      </c>
      <c r="G20">
        <v>196</v>
      </c>
      <c r="H20">
        <v>197</v>
      </c>
      <c r="I20">
        <v>239</v>
      </c>
      <c r="J20">
        <v>173</v>
      </c>
      <c r="K20" s="176">
        <v>167</v>
      </c>
    </row>
    <row r="21" spans="1:11" x14ac:dyDescent="0.25">
      <c r="A21" s="176" t="s">
        <v>451</v>
      </c>
      <c r="B21" s="176" t="s">
        <v>71</v>
      </c>
      <c r="C21" s="176">
        <v>3222</v>
      </c>
      <c r="D21" s="176">
        <v>106</v>
      </c>
      <c r="E21">
        <v>123</v>
      </c>
      <c r="F21">
        <v>151</v>
      </c>
      <c r="G21">
        <v>141</v>
      </c>
      <c r="H21">
        <v>133</v>
      </c>
      <c r="I21">
        <v>126</v>
      </c>
      <c r="J21">
        <v>148</v>
      </c>
      <c r="K21" s="176">
        <v>115</v>
      </c>
    </row>
    <row r="22" spans="1:11" x14ac:dyDescent="0.25">
      <c r="A22" s="176" t="s">
        <v>452</v>
      </c>
      <c r="B22" s="176" t="s">
        <v>93</v>
      </c>
      <c r="C22" s="176">
        <v>3685</v>
      </c>
      <c r="D22" s="176">
        <v>117</v>
      </c>
      <c r="E22">
        <v>153</v>
      </c>
      <c r="F22">
        <v>116</v>
      </c>
      <c r="G22">
        <v>207</v>
      </c>
      <c r="H22">
        <v>201</v>
      </c>
      <c r="I22">
        <v>146</v>
      </c>
      <c r="J22">
        <v>97</v>
      </c>
      <c r="K22" s="176">
        <v>207</v>
      </c>
    </row>
    <row r="23" spans="1:11" x14ac:dyDescent="0.25">
      <c r="A23" s="176" t="s">
        <v>453</v>
      </c>
      <c r="B23" s="176" t="s">
        <v>99</v>
      </c>
      <c r="C23" s="176">
        <v>6072</v>
      </c>
      <c r="D23" s="176">
        <v>272</v>
      </c>
      <c r="E23">
        <v>264</v>
      </c>
      <c r="F23">
        <v>295</v>
      </c>
      <c r="G23">
        <v>389</v>
      </c>
      <c r="H23">
        <v>340</v>
      </c>
      <c r="I23">
        <v>362</v>
      </c>
      <c r="J23">
        <v>0</v>
      </c>
      <c r="K23" s="176">
        <v>0</v>
      </c>
    </row>
    <row r="24" spans="1:11" x14ac:dyDescent="0.25">
      <c r="A24" s="176" t="s">
        <v>454</v>
      </c>
      <c r="B24" s="176" t="s">
        <v>84</v>
      </c>
      <c r="C24" s="176">
        <v>3778</v>
      </c>
      <c r="D24" s="176">
        <v>168</v>
      </c>
      <c r="E24">
        <v>162</v>
      </c>
      <c r="F24">
        <v>195</v>
      </c>
      <c r="G24">
        <v>148</v>
      </c>
      <c r="H24">
        <v>213</v>
      </c>
      <c r="I24">
        <v>182</v>
      </c>
      <c r="J24">
        <v>149</v>
      </c>
      <c r="K24" s="176">
        <v>149</v>
      </c>
    </row>
    <row r="25" spans="1:11" x14ac:dyDescent="0.25">
      <c r="A25" s="176" t="s">
        <v>455</v>
      </c>
      <c r="B25" s="176" t="s">
        <v>94</v>
      </c>
      <c r="C25" s="176">
        <v>8729</v>
      </c>
      <c r="D25" s="176">
        <v>453</v>
      </c>
      <c r="E25">
        <v>389</v>
      </c>
      <c r="F25">
        <v>413</v>
      </c>
      <c r="G25">
        <v>832</v>
      </c>
      <c r="H25">
        <v>518</v>
      </c>
      <c r="I25">
        <v>421</v>
      </c>
      <c r="J25">
        <v>376</v>
      </c>
      <c r="K25" s="176">
        <v>400</v>
      </c>
    </row>
    <row r="26" spans="1:11" x14ac:dyDescent="0.25">
      <c r="A26" s="176" t="s">
        <v>456</v>
      </c>
      <c r="B26" s="176" t="s">
        <v>96</v>
      </c>
      <c r="C26" s="176">
        <v>15337</v>
      </c>
      <c r="D26" s="176">
        <v>685</v>
      </c>
      <c r="E26">
        <v>627</v>
      </c>
      <c r="F26">
        <v>734</v>
      </c>
      <c r="G26">
        <v>1033</v>
      </c>
      <c r="H26">
        <v>1019</v>
      </c>
      <c r="I26">
        <v>827</v>
      </c>
      <c r="J26">
        <v>685</v>
      </c>
      <c r="K26" s="176">
        <v>724</v>
      </c>
    </row>
    <row r="27" spans="1:11" x14ac:dyDescent="0.25">
      <c r="A27" s="176" t="s">
        <v>457</v>
      </c>
      <c r="B27" s="176" t="s">
        <v>35</v>
      </c>
      <c r="C27" s="176">
        <v>5115</v>
      </c>
      <c r="D27" s="176">
        <v>139</v>
      </c>
      <c r="E27">
        <v>197</v>
      </c>
      <c r="F27">
        <v>220</v>
      </c>
      <c r="G27">
        <v>319</v>
      </c>
      <c r="H27">
        <v>382</v>
      </c>
      <c r="I27">
        <v>276</v>
      </c>
      <c r="J27">
        <v>0</v>
      </c>
      <c r="K27" s="176">
        <v>0</v>
      </c>
    </row>
    <row r="28" spans="1:11" x14ac:dyDescent="0.25">
      <c r="A28" s="176" t="s">
        <v>458</v>
      </c>
      <c r="B28" s="176" t="s">
        <v>28</v>
      </c>
      <c r="C28" s="176">
        <v>4882</v>
      </c>
      <c r="D28" s="176">
        <v>163</v>
      </c>
      <c r="E28">
        <v>172</v>
      </c>
      <c r="F28">
        <v>187</v>
      </c>
      <c r="G28">
        <v>191</v>
      </c>
      <c r="H28">
        <v>289</v>
      </c>
      <c r="I28">
        <v>268</v>
      </c>
      <c r="J28">
        <v>220</v>
      </c>
      <c r="K28" s="176">
        <v>186</v>
      </c>
    </row>
    <row r="29" spans="1:11" x14ac:dyDescent="0.25">
      <c r="A29" s="176" t="s">
        <v>459</v>
      </c>
      <c r="B29" s="176" t="s">
        <v>46</v>
      </c>
      <c r="C29" s="176">
        <v>4914</v>
      </c>
      <c r="D29" s="176">
        <v>170</v>
      </c>
      <c r="E29">
        <v>163</v>
      </c>
      <c r="F29">
        <v>229</v>
      </c>
      <c r="G29">
        <v>285</v>
      </c>
      <c r="H29">
        <v>254</v>
      </c>
      <c r="I29">
        <v>223</v>
      </c>
      <c r="J29">
        <v>188</v>
      </c>
      <c r="K29" s="176">
        <v>199</v>
      </c>
    </row>
    <row r="30" spans="1:11" x14ac:dyDescent="0.25">
      <c r="A30" s="176" t="s">
        <v>460</v>
      </c>
      <c r="B30" s="176" t="s">
        <v>55</v>
      </c>
      <c r="C30" s="176">
        <v>4238</v>
      </c>
      <c r="D30" s="176">
        <v>115</v>
      </c>
      <c r="E30">
        <v>118</v>
      </c>
      <c r="F30">
        <v>145</v>
      </c>
      <c r="G30">
        <v>250</v>
      </c>
      <c r="H30">
        <v>260</v>
      </c>
      <c r="I30">
        <v>209</v>
      </c>
      <c r="J30">
        <v>190</v>
      </c>
      <c r="K30" s="176">
        <v>143</v>
      </c>
    </row>
    <row r="31" spans="1:11" x14ac:dyDescent="0.25">
      <c r="A31" s="176" t="s">
        <v>461</v>
      </c>
      <c r="B31" s="176" t="s">
        <v>16</v>
      </c>
      <c r="C31" s="176">
        <v>2175</v>
      </c>
      <c r="D31" s="176">
        <v>65</v>
      </c>
      <c r="E31">
        <v>92</v>
      </c>
      <c r="F31">
        <v>85</v>
      </c>
      <c r="G31">
        <v>107</v>
      </c>
      <c r="H31">
        <v>121</v>
      </c>
      <c r="I31">
        <v>93</v>
      </c>
      <c r="J31">
        <v>109</v>
      </c>
      <c r="K31" s="176">
        <v>105</v>
      </c>
    </row>
    <row r="32" spans="1:11" x14ac:dyDescent="0.25">
      <c r="A32" s="176" t="s">
        <v>462</v>
      </c>
      <c r="B32" s="176" t="s">
        <v>56</v>
      </c>
      <c r="C32" s="176">
        <v>4037</v>
      </c>
      <c r="D32" s="176">
        <v>136</v>
      </c>
      <c r="E32">
        <v>123</v>
      </c>
      <c r="F32">
        <v>146</v>
      </c>
      <c r="G32">
        <v>281</v>
      </c>
      <c r="H32">
        <v>250</v>
      </c>
      <c r="I32">
        <v>234</v>
      </c>
      <c r="J32">
        <v>238</v>
      </c>
      <c r="K32" s="176">
        <v>198</v>
      </c>
    </row>
    <row r="33" spans="1:11" x14ac:dyDescent="0.25">
      <c r="A33" s="176" t="s">
        <v>463</v>
      </c>
      <c r="B33" s="176" t="s">
        <v>32</v>
      </c>
      <c r="C33" s="176">
        <v>8322</v>
      </c>
      <c r="D33" s="176">
        <v>223</v>
      </c>
      <c r="E33">
        <v>256</v>
      </c>
      <c r="F33">
        <v>315</v>
      </c>
      <c r="G33">
        <v>654</v>
      </c>
      <c r="H33">
        <v>519</v>
      </c>
      <c r="I33">
        <v>593</v>
      </c>
      <c r="J33">
        <v>294</v>
      </c>
      <c r="K33" s="176">
        <v>221</v>
      </c>
    </row>
    <row r="34" spans="1:11" x14ac:dyDescent="0.25">
      <c r="A34" s="176" t="s">
        <v>464</v>
      </c>
      <c r="B34" s="176" t="s">
        <v>17</v>
      </c>
      <c r="C34" s="176">
        <v>4293</v>
      </c>
      <c r="D34" s="176">
        <v>188</v>
      </c>
      <c r="J34" s="176">
        <v>0</v>
      </c>
      <c r="K34" s="176">
        <v>0</v>
      </c>
    </row>
    <row r="35" spans="1:11" x14ac:dyDescent="0.25">
      <c r="A35" s="176" t="s">
        <v>465</v>
      </c>
      <c r="B35" s="176" t="s">
        <v>21</v>
      </c>
      <c r="C35" s="176">
        <v>1926</v>
      </c>
      <c r="D35" s="176">
        <v>72</v>
      </c>
      <c r="E35">
        <v>59</v>
      </c>
      <c r="F35">
        <v>60</v>
      </c>
      <c r="G35">
        <v>315</v>
      </c>
      <c r="H35">
        <v>273</v>
      </c>
      <c r="I35">
        <v>76</v>
      </c>
      <c r="J35" s="176">
        <v>240</v>
      </c>
      <c r="K35" s="176">
        <v>258</v>
      </c>
    </row>
    <row r="36" spans="1:11" x14ac:dyDescent="0.25">
      <c r="A36" s="176" t="s">
        <v>466</v>
      </c>
      <c r="B36" s="176" t="s">
        <v>18</v>
      </c>
      <c r="C36" s="176">
        <v>2247</v>
      </c>
      <c r="D36" s="176">
        <v>122</v>
      </c>
      <c r="E36">
        <v>76</v>
      </c>
      <c r="F36">
        <v>78</v>
      </c>
      <c r="G36">
        <v>116</v>
      </c>
      <c r="H36">
        <v>85</v>
      </c>
      <c r="I36">
        <v>173</v>
      </c>
      <c r="J36" s="176">
        <v>81</v>
      </c>
      <c r="K36" s="176">
        <v>112</v>
      </c>
    </row>
    <row r="37" spans="1:11" x14ac:dyDescent="0.25">
      <c r="A37" s="176" t="s">
        <v>467</v>
      </c>
      <c r="B37" s="176" t="s">
        <v>60</v>
      </c>
      <c r="C37" s="176">
        <v>2390</v>
      </c>
      <c r="D37" s="176">
        <v>118</v>
      </c>
      <c r="E37">
        <v>91</v>
      </c>
      <c r="F37">
        <v>74</v>
      </c>
      <c r="G37">
        <v>41</v>
      </c>
      <c r="H37">
        <v>0</v>
      </c>
      <c r="I37">
        <v>0</v>
      </c>
      <c r="J37" s="176">
        <v>85</v>
      </c>
      <c r="K37" s="176">
        <v>74</v>
      </c>
    </row>
    <row r="38" spans="1:11" x14ac:dyDescent="0.25">
      <c r="A38" s="176" t="s">
        <v>468</v>
      </c>
      <c r="B38" s="176" t="s">
        <v>49</v>
      </c>
      <c r="C38" s="176">
        <v>4021</v>
      </c>
      <c r="D38" s="176">
        <v>123</v>
      </c>
      <c r="E38">
        <v>140</v>
      </c>
      <c r="F38">
        <v>168</v>
      </c>
      <c r="G38">
        <v>237</v>
      </c>
      <c r="H38">
        <v>232</v>
      </c>
      <c r="I38">
        <v>185</v>
      </c>
      <c r="J38" s="176">
        <v>169</v>
      </c>
      <c r="K38" s="176">
        <v>151</v>
      </c>
    </row>
    <row r="39" spans="1:11" x14ac:dyDescent="0.25">
      <c r="A39" s="176" t="s">
        <v>469</v>
      </c>
      <c r="B39" s="176" t="s">
        <v>65</v>
      </c>
      <c r="C39" s="176">
        <v>3039</v>
      </c>
      <c r="D39" s="176">
        <v>85</v>
      </c>
      <c r="E39">
        <v>68</v>
      </c>
      <c r="F39">
        <v>91</v>
      </c>
      <c r="G39">
        <v>100</v>
      </c>
      <c r="H39">
        <v>266</v>
      </c>
      <c r="I39">
        <v>110</v>
      </c>
      <c r="J39" s="176">
        <v>90</v>
      </c>
      <c r="K39" s="176">
        <v>89</v>
      </c>
    </row>
    <row r="40" spans="1:11" x14ac:dyDescent="0.25">
      <c r="A40" s="176" t="s">
        <v>470</v>
      </c>
      <c r="B40" s="176" t="s">
        <v>75</v>
      </c>
      <c r="C40" s="176">
        <v>3636</v>
      </c>
      <c r="D40" s="176">
        <v>130</v>
      </c>
      <c r="E40">
        <v>131</v>
      </c>
      <c r="F40">
        <v>97</v>
      </c>
      <c r="G40">
        <v>213</v>
      </c>
      <c r="H40">
        <v>212</v>
      </c>
      <c r="I40">
        <v>146</v>
      </c>
      <c r="J40" s="176">
        <v>86</v>
      </c>
      <c r="K40" s="176">
        <v>104</v>
      </c>
    </row>
    <row r="41" spans="1:11" x14ac:dyDescent="0.25">
      <c r="A41" s="176" t="s">
        <v>471</v>
      </c>
      <c r="B41" s="176" t="s">
        <v>103</v>
      </c>
      <c r="C41" s="176">
        <v>2175</v>
      </c>
      <c r="D41" s="176">
        <v>94</v>
      </c>
      <c r="E41">
        <v>55</v>
      </c>
      <c r="F41">
        <v>96</v>
      </c>
      <c r="G41">
        <v>120</v>
      </c>
      <c r="H41">
        <v>113</v>
      </c>
      <c r="I41">
        <v>134</v>
      </c>
      <c r="J41" s="176">
        <v>0</v>
      </c>
      <c r="K41" s="176">
        <v>0</v>
      </c>
    </row>
    <row r="42" spans="1:11" x14ac:dyDescent="0.25">
      <c r="A42" s="176" t="s">
        <v>472</v>
      </c>
      <c r="B42" s="176" t="s">
        <v>52</v>
      </c>
      <c r="C42" s="176">
        <v>5024</v>
      </c>
      <c r="D42" s="176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176">
        <v>242</v>
      </c>
      <c r="K42" s="176">
        <v>202</v>
      </c>
    </row>
    <row r="43" spans="1:11" x14ac:dyDescent="0.25">
      <c r="A43" s="176" t="s">
        <v>473</v>
      </c>
      <c r="B43" s="176" t="s">
        <v>13</v>
      </c>
      <c r="C43" s="176">
        <v>3944</v>
      </c>
      <c r="D43" s="176">
        <v>150</v>
      </c>
      <c r="E43">
        <v>143</v>
      </c>
      <c r="F43">
        <v>204</v>
      </c>
      <c r="G43">
        <v>193</v>
      </c>
      <c r="H43">
        <v>222</v>
      </c>
      <c r="I43">
        <v>177</v>
      </c>
      <c r="J43" s="176">
        <v>165</v>
      </c>
      <c r="K43" s="176">
        <v>153</v>
      </c>
    </row>
    <row r="44" spans="1:11" x14ac:dyDescent="0.25">
      <c r="A44" s="176" t="s">
        <v>474</v>
      </c>
      <c r="B44" s="176" t="s">
        <v>30</v>
      </c>
      <c r="C44" s="176">
        <v>3812</v>
      </c>
      <c r="D44" s="176">
        <v>148</v>
      </c>
      <c r="E44">
        <v>107</v>
      </c>
      <c r="F44">
        <v>149</v>
      </c>
      <c r="G44">
        <v>169</v>
      </c>
      <c r="H44">
        <v>168</v>
      </c>
      <c r="I44">
        <v>197</v>
      </c>
      <c r="J44" s="176">
        <v>163</v>
      </c>
      <c r="K44" s="176">
        <v>179</v>
      </c>
    </row>
    <row r="45" spans="1:11" x14ac:dyDescent="0.25">
      <c r="A45" s="176" t="s">
        <v>475</v>
      </c>
      <c r="B45" s="176" t="s">
        <v>53</v>
      </c>
      <c r="C45" s="176">
        <v>5814</v>
      </c>
      <c r="D45" s="176">
        <v>203</v>
      </c>
      <c r="E45">
        <v>183</v>
      </c>
      <c r="F45">
        <v>177</v>
      </c>
      <c r="G45">
        <v>359</v>
      </c>
      <c r="H45">
        <v>293</v>
      </c>
      <c r="I45">
        <v>267</v>
      </c>
      <c r="J45" s="176">
        <v>192</v>
      </c>
      <c r="K45" s="176">
        <v>172</v>
      </c>
    </row>
    <row r="46" spans="1:11" x14ac:dyDescent="0.25">
      <c r="A46" s="176" t="s">
        <v>476</v>
      </c>
      <c r="B46" s="176" t="s">
        <v>57</v>
      </c>
      <c r="C46" s="176">
        <v>4933</v>
      </c>
      <c r="D46" s="176">
        <v>154</v>
      </c>
      <c r="E46">
        <v>135</v>
      </c>
      <c r="F46">
        <v>147</v>
      </c>
      <c r="G46">
        <v>244</v>
      </c>
      <c r="H46">
        <v>168</v>
      </c>
      <c r="I46">
        <v>196</v>
      </c>
      <c r="J46" s="176">
        <v>189</v>
      </c>
      <c r="K46" s="176">
        <v>145</v>
      </c>
    </row>
    <row r="47" spans="1:11" x14ac:dyDescent="0.25">
      <c r="A47" s="176" t="s">
        <v>477</v>
      </c>
      <c r="B47" s="176" t="s">
        <v>45</v>
      </c>
      <c r="C47" s="176">
        <v>9724</v>
      </c>
      <c r="D47" s="176">
        <v>300</v>
      </c>
      <c r="E47">
        <v>283</v>
      </c>
      <c r="F47">
        <v>349</v>
      </c>
      <c r="G47">
        <v>453</v>
      </c>
      <c r="H47">
        <v>653</v>
      </c>
      <c r="I47">
        <v>604</v>
      </c>
      <c r="J47" s="176">
        <v>397</v>
      </c>
      <c r="K47" s="176">
        <v>339</v>
      </c>
    </row>
    <row r="48" spans="1:11" x14ac:dyDescent="0.25">
      <c r="A48" s="176" t="s">
        <v>478</v>
      </c>
      <c r="B48" s="176" t="s">
        <v>36</v>
      </c>
      <c r="C48" s="176">
        <v>6400</v>
      </c>
      <c r="D48" s="176">
        <v>185</v>
      </c>
      <c r="E48">
        <v>229</v>
      </c>
      <c r="F48">
        <v>240</v>
      </c>
      <c r="G48">
        <v>233</v>
      </c>
      <c r="H48">
        <v>405</v>
      </c>
      <c r="I48">
        <v>288</v>
      </c>
      <c r="J48" s="176">
        <v>250</v>
      </c>
      <c r="K48" s="176">
        <v>169</v>
      </c>
    </row>
    <row r="49" spans="1:11" x14ac:dyDescent="0.25">
      <c r="A49" s="176" t="s">
        <v>479</v>
      </c>
      <c r="B49" s="176" t="s">
        <v>61</v>
      </c>
      <c r="C49" s="176">
        <v>1543</v>
      </c>
      <c r="D49" s="176">
        <v>88</v>
      </c>
      <c r="E49">
        <v>88</v>
      </c>
      <c r="F49">
        <v>49</v>
      </c>
      <c r="G49">
        <v>60</v>
      </c>
      <c r="H49">
        <v>65</v>
      </c>
      <c r="I49">
        <v>47</v>
      </c>
      <c r="J49" s="176">
        <v>74</v>
      </c>
      <c r="K49" s="176">
        <v>45</v>
      </c>
    </row>
    <row r="50" spans="1:11" x14ac:dyDescent="0.25">
      <c r="A50" s="176" t="s">
        <v>480</v>
      </c>
      <c r="B50" s="176" t="s">
        <v>87</v>
      </c>
      <c r="C50" s="176">
        <v>4819</v>
      </c>
      <c r="D50" s="176">
        <v>196</v>
      </c>
      <c r="E50">
        <v>166</v>
      </c>
      <c r="F50">
        <v>263</v>
      </c>
      <c r="G50">
        <v>254</v>
      </c>
      <c r="H50">
        <v>261</v>
      </c>
      <c r="I50">
        <v>194</v>
      </c>
      <c r="J50" s="176">
        <v>181</v>
      </c>
      <c r="K50" s="176">
        <v>143</v>
      </c>
    </row>
    <row r="51" spans="1:11" x14ac:dyDescent="0.25">
      <c r="A51" s="176" t="s">
        <v>481</v>
      </c>
      <c r="B51" s="176" t="s">
        <v>27</v>
      </c>
      <c r="C51" s="176">
        <v>2112</v>
      </c>
      <c r="D51" s="176">
        <v>106</v>
      </c>
      <c r="E51">
        <v>112</v>
      </c>
      <c r="F51">
        <v>71</v>
      </c>
      <c r="G51">
        <v>149</v>
      </c>
      <c r="H51">
        <v>91</v>
      </c>
      <c r="I51">
        <v>93</v>
      </c>
      <c r="J51" s="176">
        <v>85</v>
      </c>
      <c r="K51" s="176">
        <v>120</v>
      </c>
    </row>
    <row r="52" spans="1:11" x14ac:dyDescent="0.25">
      <c r="A52" s="176" t="s">
        <v>482</v>
      </c>
      <c r="B52" s="176" t="s">
        <v>63</v>
      </c>
      <c r="C52" s="176">
        <v>2452</v>
      </c>
      <c r="D52" s="176">
        <v>104</v>
      </c>
      <c r="E52">
        <v>79</v>
      </c>
      <c r="F52">
        <v>83</v>
      </c>
      <c r="G52">
        <v>174</v>
      </c>
      <c r="H52">
        <v>170</v>
      </c>
      <c r="I52">
        <v>63</v>
      </c>
      <c r="J52" s="176">
        <v>107</v>
      </c>
      <c r="K52" s="176">
        <v>100</v>
      </c>
    </row>
    <row r="53" spans="1:11" x14ac:dyDescent="0.25">
      <c r="A53" s="176" t="s">
        <v>483</v>
      </c>
      <c r="B53" s="176" t="s">
        <v>98</v>
      </c>
      <c r="C53" s="176">
        <v>4758</v>
      </c>
      <c r="D53" s="176">
        <v>114</v>
      </c>
      <c r="E53">
        <v>214</v>
      </c>
      <c r="F53">
        <v>207</v>
      </c>
      <c r="G53">
        <v>274</v>
      </c>
      <c r="H53">
        <v>308</v>
      </c>
      <c r="I53">
        <v>218</v>
      </c>
      <c r="J53" s="176">
        <v>162</v>
      </c>
      <c r="K53" s="176">
        <v>139</v>
      </c>
    </row>
    <row r="54" spans="1:11" x14ac:dyDescent="0.25">
      <c r="A54" s="176" t="s">
        <v>484</v>
      </c>
      <c r="B54" s="176" t="s">
        <v>101</v>
      </c>
      <c r="C54" s="176">
        <v>2342</v>
      </c>
      <c r="D54" s="176">
        <v>76</v>
      </c>
      <c r="E54">
        <v>84</v>
      </c>
      <c r="F54">
        <v>100</v>
      </c>
      <c r="G54">
        <v>121</v>
      </c>
      <c r="H54">
        <v>135</v>
      </c>
      <c r="I54">
        <v>111</v>
      </c>
      <c r="J54" s="176">
        <v>92</v>
      </c>
      <c r="K54" s="176">
        <v>100</v>
      </c>
    </row>
    <row r="55" spans="1:11" x14ac:dyDescent="0.25">
      <c r="A55" s="176" t="s">
        <v>485</v>
      </c>
      <c r="B55" s="176" t="s">
        <v>12</v>
      </c>
      <c r="C55" s="176">
        <v>4882</v>
      </c>
      <c r="D55" s="176">
        <v>221</v>
      </c>
      <c r="E55">
        <v>131</v>
      </c>
      <c r="F55">
        <v>182</v>
      </c>
      <c r="G55">
        <v>223</v>
      </c>
      <c r="H55">
        <v>260</v>
      </c>
      <c r="I55">
        <v>203</v>
      </c>
      <c r="J55" s="176">
        <v>173</v>
      </c>
      <c r="K55" s="176">
        <v>147</v>
      </c>
    </row>
    <row r="56" spans="1:11" x14ac:dyDescent="0.25">
      <c r="A56" s="176" t="s">
        <v>486</v>
      </c>
      <c r="B56" s="176" t="s">
        <v>15</v>
      </c>
      <c r="C56" s="176">
        <v>3854</v>
      </c>
      <c r="D56" s="176">
        <v>44</v>
      </c>
      <c r="E56">
        <v>132</v>
      </c>
      <c r="F56">
        <v>132</v>
      </c>
      <c r="G56">
        <v>162</v>
      </c>
      <c r="H56">
        <v>161</v>
      </c>
      <c r="I56">
        <v>147</v>
      </c>
      <c r="J56" s="176">
        <v>167</v>
      </c>
      <c r="K56" s="176">
        <v>130</v>
      </c>
    </row>
    <row r="57" spans="1:11" x14ac:dyDescent="0.25">
      <c r="A57" s="176" t="s">
        <v>487</v>
      </c>
      <c r="B57" s="176" t="s">
        <v>47</v>
      </c>
      <c r="C57" s="176">
        <v>1581</v>
      </c>
      <c r="D57" s="176">
        <v>43</v>
      </c>
      <c r="E57">
        <v>117</v>
      </c>
      <c r="F57">
        <v>138</v>
      </c>
      <c r="G57">
        <v>79</v>
      </c>
      <c r="H57">
        <v>51</v>
      </c>
      <c r="I57">
        <v>102</v>
      </c>
      <c r="J57" s="176">
        <v>95</v>
      </c>
      <c r="K57" s="176">
        <v>131</v>
      </c>
    </row>
    <row r="58" spans="1:11" x14ac:dyDescent="0.25">
      <c r="A58" s="176" t="s">
        <v>488</v>
      </c>
      <c r="B58" s="176" t="s">
        <v>40</v>
      </c>
      <c r="C58" s="176">
        <v>5404</v>
      </c>
      <c r="D58" s="176">
        <v>247</v>
      </c>
      <c r="E58">
        <v>186</v>
      </c>
      <c r="F58">
        <v>200</v>
      </c>
      <c r="G58">
        <v>358</v>
      </c>
      <c r="H58">
        <v>308</v>
      </c>
      <c r="I58">
        <v>254</v>
      </c>
      <c r="J58" s="176">
        <v>163</v>
      </c>
      <c r="K58" s="176">
        <v>309</v>
      </c>
    </row>
    <row r="59" spans="1:11" x14ac:dyDescent="0.25">
      <c r="A59" s="176" t="s">
        <v>489</v>
      </c>
      <c r="B59" s="176" t="s">
        <v>39</v>
      </c>
      <c r="C59" s="176">
        <v>2559</v>
      </c>
      <c r="D59" s="176">
        <v>75</v>
      </c>
      <c r="E59">
        <v>92</v>
      </c>
      <c r="F59">
        <v>83</v>
      </c>
      <c r="G59">
        <v>157</v>
      </c>
      <c r="H59">
        <v>133</v>
      </c>
      <c r="I59">
        <v>109</v>
      </c>
      <c r="J59" s="176">
        <v>116</v>
      </c>
      <c r="K59" s="176">
        <v>97</v>
      </c>
    </row>
    <row r="60" spans="1:11" x14ac:dyDescent="0.25">
      <c r="A60" s="176" t="s">
        <v>490</v>
      </c>
      <c r="B60" s="176" t="s">
        <v>59</v>
      </c>
      <c r="C60" s="176">
        <v>6191</v>
      </c>
      <c r="D60" s="176">
        <v>187</v>
      </c>
      <c r="E60">
        <v>229</v>
      </c>
      <c r="F60">
        <v>239</v>
      </c>
      <c r="G60">
        <v>295</v>
      </c>
      <c r="H60">
        <v>247</v>
      </c>
      <c r="I60">
        <v>308</v>
      </c>
      <c r="J60" s="176">
        <v>176</v>
      </c>
      <c r="K60" s="176">
        <v>189</v>
      </c>
    </row>
    <row r="61" spans="1:11" x14ac:dyDescent="0.25">
      <c r="A61" s="176" t="s">
        <v>491</v>
      </c>
      <c r="B61" s="176" t="s">
        <v>22</v>
      </c>
      <c r="C61" s="176">
        <v>3392</v>
      </c>
      <c r="D61" s="176">
        <v>148</v>
      </c>
      <c r="E61">
        <v>121</v>
      </c>
      <c r="F61">
        <v>130</v>
      </c>
      <c r="G61">
        <v>161</v>
      </c>
      <c r="H61">
        <v>131</v>
      </c>
      <c r="I61">
        <v>157</v>
      </c>
      <c r="J61" s="176">
        <v>126</v>
      </c>
      <c r="K61" s="176">
        <v>152</v>
      </c>
    </row>
    <row r="62" spans="1:11" x14ac:dyDescent="0.25">
      <c r="A62" s="176" t="s">
        <v>492</v>
      </c>
      <c r="B62" s="176" t="s">
        <v>14</v>
      </c>
      <c r="C62" s="176">
        <v>1401</v>
      </c>
      <c r="D62" s="176">
        <v>46</v>
      </c>
      <c r="E62">
        <v>50</v>
      </c>
      <c r="F62">
        <v>49</v>
      </c>
      <c r="G62">
        <v>68</v>
      </c>
      <c r="H62">
        <v>22</v>
      </c>
      <c r="I62">
        <v>62</v>
      </c>
      <c r="J62" s="176">
        <v>58</v>
      </c>
      <c r="K62" s="176">
        <v>44</v>
      </c>
    </row>
    <row r="63" spans="1:11" x14ac:dyDescent="0.25">
      <c r="A63" s="176" t="s">
        <v>493</v>
      </c>
      <c r="B63" s="176" t="s">
        <v>91</v>
      </c>
      <c r="C63" s="176">
        <v>1441</v>
      </c>
      <c r="D63" s="176">
        <v>79</v>
      </c>
      <c r="E63">
        <v>88</v>
      </c>
      <c r="F63">
        <v>70</v>
      </c>
      <c r="G63">
        <v>97</v>
      </c>
      <c r="H63">
        <v>78</v>
      </c>
      <c r="I63">
        <v>79</v>
      </c>
      <c r="J63" s="176">
        <v>78</v>
      </c>
      <c r="K63" s="176">
        <v>76</v>
      </c>
    </row>
    <row r="64" spans="1:11" x14ac:dyDescent="0.25">
      <c r="A64" s="176" t="s">
        <v>494</v>
      </c>
      <c r="B64" s="176" t="s">
        <v>66</v>
      </c>
      <c r="C64" s="176">
        <v>1131</v>
      </c>
      <c r="D64" s="176">
        <v>54</v>
      </c>
      <c r="E64">
        <v>42</v>
      </c>
      <c r="F64">
        <v>64</v>
      </c>
      <c r="G64">
        <v>79</v>
      </c>
      <c r="H64">
        <v>51</v>
      </c>
      <c r="I64">
        <v>54</v>
      </c>
      <c r="J64" s="176">
        <v>65</v>
      </c>
      <c r="K64" s="176">
        <v>36</v>
      </c>
    </row>
    <row r="65" spans="1:11" x14ac:dyDescent="0.25">
      <c r="A65" s="176" t="s">
        <v>495</v>
      </c>
      <c r="B65" s="176" t="s">
        <v>85</v>
      </c>
      <c r="C65" s="176">
        <v>1003</v>
      </c>
      <c r="D65" s="176">
        <v>122</v>
      </c>
      <c r="E65">
        <v>97</v>
      </c>
      <c r="F65">
        <v>123</v>
      </c>
      <c r="G65">
        <v>187</v>
      </c>
      <c r="H65">
        <v>290</v>
      </c>
      <c r="I65">
        <v>295</v>
      </c>
      <c r="J65" s="176">
        <v>83</v>
      </c>
      <c r="K65" s="176">
        <v>107</v>
      </c>
    </row>
    <row r="66" spans="1:11" x14ac:dyDescent="0.25">
      <c r="A66" s="176" t="s">
        <v>496</v>
      </c>
      <c r="B66" s="176" t="s">
        <v>25</v>
      </c>
      <c r="C66" s="176">
        <v>4150</v>
      </c>
      <c r="D66" s="176">
        <v>232</v>
      </c>
      <c r="E66">
        <v>142</v>
      </c>
      <c r="F66">
        <v>214</v>
      </c>
      <c r="G66">
        <v>218</v>
      </c>
      <c r="H66">
        <v>213</v>
      </c>
      <c r="I66">
        <v>246</v>
      </c>
      <c r="J66" s="176">
        <v>134</v>
      </c>
      <c r="K66" s="176">
        <v>138</v>
      </c>
    </row>
    <row r="67" spans="1:11" x14ac:dyDescent="0.25">
      <c r="A67" s="176" t="s">
        <v>497</v>
      </c>
      <c r="B67" s="176" t="s">
        <v>81</v>
      </c>
      <c r="C67" s="176">
        <v>2357</v>
      </c>
      <c r="D67" s="176">
        <v>112</v>
      </c>
      <c r="E67">
        <v>96</v>
      </c>
      <c r="F67">
        <v>58</v>
      </c>
      <c r="G67">
        <v>102</v>
      </c>
      <c r="H67">
        <v>72</v>
      </c>
      <c r="I67">
        <v>96</v>
      </c>
      <c r="J67" s="176">
        <v>0</v>
      </c>
      <c r="K67" s="176">
        <v>0</v>
      </c>
    </row>
    <row r="68" spans="1:11" x14ac:dyDescent="0.25">
      <c r="A68" s="176" t="s">
        <v>498</v>
      </c>
      <c r="B68" s="176" t="s">
        <v>90</v>
      </c>
      <c r="C68" s="176">
        <v>3310</v>
      </c>
      <c r="D68" s="176">
        <v>134</v>
      </c>
      <c r="E68">
        <v>126</v>
      </c>
      <c r="F68">
        <v>90</v>
      </c>
      <c r="G68">
        <v>154</v>
      </c>
      <c r="H68">
        <v>182</v>
      </c>
      <c r="I68">
        <v>154</v>
      </c>
      <c r="J68" s="176">
        <v>119</v>
      </c>
      <c r="K68" s="176">
        <v>101</v>
      </c>
    </row>
    <row r="69" spans="1:11" x14ac:dyDescent="0.25">
      <c r="A69" s="176" t="s">
        <v>499</v>
      </c>
      <c r="B69" s="176" t="s">
        <v>44</v>
      </c>
      <c r="C69" s="176">
        <v>2004</v>
      </c>
      <c r="D69" s="176">
        <v>66</v>
      </c>
      <c r="E69">
        <v>78</v>
      </c>
      <c r="F69">
        <v>44</v>
      </c>
      <c r="G69">
        <v>132</v>
      </c>
      <c r="H69">
        <v>136</v>
      </c>
      <c r="I69">
        <v>91</v>
      </c>
      <c r="J69" s="176">
        <v>50</v>
      </c>
      <c r="K69" s="176">
        <v>67</v>
      </c>
    </row>
    <row r="70" spans="1:11" x14ac:dyDescent="0.25">
      <c r="A70" s="176" t="s">
        <v>500</v>
      </c>
      <c r="B70" s="176" t="s">
        <v>37</v>
      </c>
      <c r="C70" s="176">
        <v>3475</v>
      </c>
      <c r="D70" s="176">
        <v>79</v>
      </c>
      <c r="E70">
        <v>78</v>
      </c>
      <c r="F70">
        <v>99</v>
      </c>
      <c r="G70">
        <v>176</v>
      </c>
      <c r="H70">
        <v>188</v>
      </c>
      <c r="I70">
        <v>135</v>
      </c>
      <c r="J70" s="176">
        <v>106</v>
      </c>
      <c r="K70" s="176">
        <v>115</v>
      </c>
    </row>
    <row r="71" spans="1:11" x14ac:dyDescent="0.25">
      <c r="A71" s="176" t="s">
        <v>501</v>
      </c>
      <c r="B71" s="176" t="s">
        <v>41</v>
      </c>
      <c r="C71" s="176">
        <v>3287</v>
      </c>
      <c r="D71" s="176">
        <v>124</v>
      </c>
      <c r="E71">
        <v>128</v>
      </c>
      <c r="F71">
        <v>231</v>
      </c>
      <c r="G71">
        <v>264</v>
      </c>
      <c r="H71">
        <v>191</v>
      </c>
      <c r="I71">
        <v>224</v>
      </c>
      <c r="J71" s="176">
        <v>131</v>
      </c>
      <c r="K71" s="176">
        <v>163</v>
      </c>
    </row>
    <row r="72" spans="1:11" x14ac:dyDescent="0.25">
      <c r="A72" s="176" t="s">
        <v>502</v>
      </c>
      <c r="B72" s="176" t="s">
        <v>38</v>
      </c>
      <c r="C72" s="176">
        <v>4588</v>
      </c>
      <c r="D72" s="176">
        <v>157</v>
      </c>
      <c r="E72">
        <v>187</v>
      </c>
      <c r="F72">
        <v>171</v>
      </c>
      <c r="G72">
        <v>261</v>
      </c>
      <c r="H72">
        <v>218</v>
      </c>
      <c r="I72">
        <v>226</v>
      </c>
      <c r="J72" s="176">
        <v>163</v>
      </c>
      <c r="K72" s="176">
        <v>124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53FD-3428-40DD-9813-4A9415A42D9F}">
  <sheetPr>
    <tabColor rgb="FFFFFF00"/>
  </sheetPr>
  <dimension ref="A1:BR604"/>
  <sheetViews>
    <sheetView zoomScale="70" zoomScaleNormal="70" workbookViewId="0">
      <pane xSplit="6" ySplit="3" topLeftCell="G4" activePane="bottomRight" state="frozen"/>
      <selection pane="topRight" activeCell="E1" sqref="E1"/>
      <selection pane="bottomLeft" activeCell="A4" sqref="A4"/>
      <selection pane="bottomRight"/>
    </sheetView>
  </sheetViews>
  <sheetFormatPr defaultColWidth="9.140625" defaultRowHeight="15" x14ac:dyDescent="0.25"/>
  <cols>
    <col min="1" max="1" width="20.140625" style="4" bestFit="1" customWidth="1"/>
    <col min="2" max="3" width="21" customWidth="1"/>
    <col min="4" max="4" width="33.140625" style="4" bestFit="1" customWidth="1"/>
    <col min="5" max="5" width="15" style="4" customWidth="1"/>
    <col min="6" max="6" width="22.5703125" style="4" customWidth="1"/>
    <col min="7" max="70" width="16.7109375" style="4" customWidth="1"/>
    <col min="71" max="16384" width="9.140625" style="4"/>
  </cols>
  <sheetData>
    <row r="1" spans="1:70" x14ac:dyDescent="0.25">
      <c r="D1" s="213"/>
      <c r="E1" s="213"/>
      <c r="F1" s="213"/>
      <c r="G1" s="213" t="s">
        <v>0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</row>
    <row r="2" spans="1:70" x14ac:dyDescent="0.25">
      <c r="D2" s="213"/>
      <c r="E2" s="213"/>
      <c r="F2" s="213"/>
      <c r="G2" s="213" t="s">
        <v>1</v>
      </c>
      <c r="H2" s="213"/>
      <c r="I2" s="213" t="s">
        <v>2</v>
      </c>
      <c r="J2" s="213"/>
      <c r="K2" s="213" t="s">
        <v>3</v>
      </c>
      <c r="L2" s="213"/>
      <c r="M2" s="213" t="s">
        <v>4</v>
      </c>
      <c r="N2" s="213"/>
      <c r="O2" s="213" t="s">
        <v>5</v>
      </c>
      <c r="P2" s="213"/>
      <c r="Q2" s="213" t="s">
        <v>6</v>
      </c>
      <c r="R2" s="213"/>
      <c r="S2" s="213" t="s">
        <v>7</v>
      </c>
      <c r="T2" s="213"/>
      <c r="U2" s="213" t="s">
        <v>8</v>
      </c>
      <c r="V2" s="213"/>
      <c r="W2" s="213" t="s">
        <v>9</v>
      </c>
      <c r="X2" s="213"/>
      <c r="Y2" s="213" t="s">
        <v>10</v>
      </c>
      <c r="Z2" s="213"/>
      <c r="AA2" s="213" t="s">
        <v>206</v>
      </c>
      <c r="AB2" s="213"/>
      <c r="AC2" s="213" t="s">
        <v>207</v>
      </c>
      <c r="AD2" s="213"/>
      <c r="AE2" s="213" t="s">
        <v>694</v>
      </c>
      <c r="AF2" s="213"/>
      <c r="AG2" s="213" t="s">
        <v>695</v>
      </c>
      <c r="AH2" s="213"/>
      <c r="AI2" s="213" t="s">
        <v>696</v>
      </c>
      <c r="AJ2" s="213"/>
      <c r="AK2" s="213" t="s">
        <v>697</v>
      </c>
      <c r="AL2" s="213"/>
      <c r="AM2" s="213" t="s">
        <v>698</v>
      </c>
      <c r="AN2" s="213"/>
      <c r="AO2" s="213" t="s">
        <v>699</v>
      </c>
      <c r="AP2" s="213"/>
      <c r="AQ2" s="131">
        <v>46314</v>
      </c>
      <c r="AR2" s="1"/>
      <c r="AS2" s="131">
        <v>46315</v>
      </c>
      <c r="AT2" s="1"/>
      <c r="AU2" s="131">
        <v>46316</v>
      </c>
      <c r="AV2" s="1"/>
      <c r="AW2" s="131">
        <v>46317</v>
      </c>
      <c r="AX2" s="1"/>
      <c r="AY2" s="131">
        <v>46318</v>
      </c>
      <c r="AZ2" s="1"/>
      <c r="BA2" s="131">
        <v>46319</v>
      </c>
      <c r="BB2" s="1"/>
      <c r="BC2" s="131">
        <v>46320</v>
      </c>
      <c r="BD2" s="1"/>
      <c r="BE2" s="131">
        <v>46321</v>
      </c>
      <c r="BF2" s="1"/>
      <c r="BG2" s="131">
        <v>46322</v>
      </c>
      <c r="BH2" s="1"/>
      <c r="BI2" s="131">
        <v>46323</v>
      </c>
      <c r="BJ2" s="1"/>
      <c r="BK2" s="131">
        <v>46324</v>
      </c>
      <c r="BL2" s="1"/>
      <c r="BM2" s="131">
        <v>46325</v>
      </c>
      <c r="BN2" s="1"/>
      <c r="BO2" s="131">
        <v>46326</v>
      </c>
      <c r="BP2" s="1"/>
      <c r="BQ2" s="213"/>
      <c r="BR2" s="213"/>
    </row>
    <row r="3" spans="1:70" x14ac:dyDescent="0.25">
      <c r="A3" s="3" t="s">
        <v>2128</v>
      </c>
      <c r="B3" s="10" t="s">
        <v>125</v>
      </c>
      <c r="C3" s="337" t="s">
        <v>2124</v>
      </c>
      <c r="D3" s="213" t="s">
        <v>1326</v>
      </c>
      <c r="E3" s="213" t="s">
        <v>1327</v>
      </c>
      <c r="F3" s="213" t="s">
        <v>1328</v>
      </c>
      <c r="G3" s="213" t="s">
        <v>0</v>
      </c>
      <c r="H3" s="213" t="s">
        <v>11</v>
      </c>
      <c r="I3" s="213" t="s">
        <v>0</v>
      </c>
      <c r="J3" s="213" t="s">
        <v>11</v>
      </c>
      <c r="K3" s="213" t="s">
        <v>0</v>
      </c>
      <c r="L3" s="213" t="s">
        <v>11</v>
      </c>
      <c r="M3" s="213" t="s">
        <v>0</v>
      </c>
      <c r="N3" s="213" t="s">
        <v>11</v>
      </c>
      <c r="O3" s="213" t="s">
        <v>0</v>
      </c>
      <c r="P3" s="213" t="s">
        <v>11</v>
      </c>
      <c r="Q3" s="213" t="s">
        <v>0</v>
      </c>
      <c r="R3" s="213" t="s">
        <v>11</v>
      </c>
      <c r="S3" s="213" t="s">
        <v>0</v>
      </c>
      <c r="T3" s="213" t="s">
        <v>11</v>
      </c>
      <c r="U3" s="213" t="s">
        <v>0</v>
      </c>
      <c r="V3" s="213" t="s">
        <v>11</v>
      </c>
      <c r="W3" s="213" t="s">
        <v>0</v>
      </c>
      <c r="X3" s="213" t="s">
        <v>11</v>
      </c>
      <c r="Y3" s="213" t="s">
        <v>0</v>
      </c>
      <c r="Z3" s="213" t="s">
        <v>11</v>
      </c>
      <c r="AA3" s="213" t="s">
        <v>0</v>
      </c>
      <c r="AB3" s="213" t="s">
        <v>11</v>
      </c>
      <c r="AC3" s="213" t="s">
        <v>0</v>
      </c>
      <c r="AD3" s="213" t="s">
        <v>11</v>
      </c>
      <c r="AE3" s="213" t="s">
        <v>0</v>
      </c>
      <c r="AF3" s="213" t="s">
        <v>11</v>
      </c>
      <c r="AG3" s="213" t="s">
        <v>0</v>
      </c>
      <c r="AH3" s="213" t="s">
        <v>11</v>
      </c>
      <c r="AI3" s="213" t="s">
        <v>0</v>
      </c>
      <c r="AJ3" s="213" t="s">
        <v>11</v>
      </c>
      <c r="AK3" s="213" t="s">
        <v>0</v>
      </c>
      <c r="AL3" s="213" t="s">
        <v>11</v>
      </c>
      <c r="AM3" s="213" t="s">
        <v>0</v>
      </c>
      <c r="AN3" s="213" t="s">
        <v>11</v>
      </c>
      <c r="AO3" s="213" t="s">
        <v>0</v>
      </c>
      <c r="AP3" s="213" t="s">
        <v>11</v>
      </c>
      <c r="AQ3" s="1" t="s">
        <v>0</v>
      </c>
      <c r="AR3" s="1" t="s">
        <v>214</v>
      </c>
      <c r="AS3" s="1" t="s">
        <v>0</v>
      </c>
      <c r="AT3" s="1" t="s">
        <v>214</v>
      </c>
      <c r="AU3" s="1" t="s">
        <v>0</v>
      </c>
      <c r="AV3" s="1" t="s">
        <v>214</v>
      </c>
      <c r="AW3" s="1" t="s">
        <v>0</v>
      </c>
      <c r="AX3" s="1" t="s">
        <v>214</v>
      </c>
      <c r="AY3" s="1" t="s">
        <v>0</v>
      </c>
      <c r="AZ3" s="1" t="s">
        <v>214</v>
      </c>
      <c r="BA3" s="1" t="s">
        <v>0</v>
      </c>
      <c r="BB3" s="1" t="s">
        <v>214</v>
      </c>
      <c r="BC3" s="1" t="s">
        <v>0</v>
      </c>
      <c r="BD3" s="1" t="s">
        <v>214</v>
      </c>
      <c r="BE3" s="1" t="s">
        <v>0</v>
      </c>
      <c r="BF3" s="1" t="s">
        <v>214</v>
      </c>
      <c r="BG3" s="1" t="s">
        <v>0</v>
      </c>
      <c r="BH3" s="1" t="s">
        <v>214</v>
      </c>
      <c r="BI3" s="1" t="s">
        <v>0</v>
      </c>
      <c r="BJ3" s="1" t="s">
        <v>214</v>
      </c>
      <c r="BK3" s="1" t="s">
        <v>0</v>
      </c>
      <c r="BL3" s="1" t="s">
        <v>214</v>
      </c>
      <c r="BM3" s="1" t="s">
        <v>0</v>
      </c>
      <c r="BN3" s="1" t="s">
        <v>214</v>
      </c>
      <c r="BO3" s="1" t="s">
        <v>0</v>
      </c>
      <c r="BP3" s="1" t="s">
        <v>214</v>
      </c>
      <c r="BQ3" s="83" t="s">
        <v>0</v>
      </c>
      <c r="BR3" s="83" t="s">
        <v>11</v>
      </c>
    </row>
    <row r="4" spans="1:70" x14ac:dyDescent="0.25">
      <c r="A4" s="4" t="s">
        <v>2128</v>
      </c>
      <c r="B4" s="10" t="s">
        <v>125</v>
      </c>
      <c r="C4" s="337" t="s">
        <v>2124</v>
      </c>
      <c r="D4" s="213" t="s">
        <v>0</v>
      </c>
      <c r="E4" s="213" t="s">
        <v>135</v>
      </c>
      <c r="F4" s="213" t="s">
        <v>134</v>
      </c>
      <c r="G4" s="3">
        <f>SUBTOTAL(9,G5:G650)</f>
        <v>967576.77000000305</v>
      </c>
      <c r="H4" s="3">
        <f t="shared" ref="H4:BR4" si="0">SUBTOTAL(9,H5:H650)</f>
        <v>6701</v>
      </c>
      <c r="I4" s="3">
        <f t="shared" si="0"/>
        <v>1080569.190000002</v>
      </c>
      <c r="J4" s="3">
        <f t="shared" si="0"/>
        <v>7024</v>
      </c>
      <c r="K4" s="3">
        <f t="shared" si="0"/>
        <v>879176.42000000319</v>
      </c>
      <c r="L4" s="3">
        <f t="shared" si="0"/>
        <v>5502</v>
      </c>
      <c r="M4" s="3">
        <f t="shared" si="0"/>
        <v>786702.67000000295</v>
      </c>
      <c r="N4" s="3">
        <f t="shared" si="0"/>
        <v>4447</v>
      </c>
      <c r="O4" s="3">
        <f t="shared" si="0"/>
        <v>637342.07000000204</v>
      </c>
      <c r="P4" s="3">
        <f t="shared" si="0"/>
        <v>3756</v>
      </c>
      <c r="Q4" s="3">
        <f t="shared" si="0"/>
        <v>526743.87000000069</v>
      </c>
      <c r="R4" s="3">
        <f t="shared" si="0"/>
        <v>3228</v>
      </c>
      <c r="S4" s="3">
        <f t="shared" si="0"/>
        <v>627075.19000000181</v>
      </c>
      <c r="T4" s="3">
        <f t="shared" si="0"/>
        <v>3704</v>
      </c>
      <c r="U4" s="3">
        <f t="shared" si="0"/>
        <v>605905.95000000135</v>
      </c>
      <c r="V4" s="3">
        <f t="shared" si="0"/>
        <v>3834</v>
      </c>
      <c r="W4" s="3">
        <f t="shared" si="0"/>
        <v>740414.20000000147</v>
      </c>
      <c r="X4" s="3">
        <f t="shared" si="0"/>
        <v>4488</v>
      </c>
      <c r="Y4" s="3">
        <f t="shared" si="0"/>
        <v>594714.08000000112</v>
      </c>
      <c r="Z4" s="3">
        <f t="shared" si="0"/>
        <v>3523</v>
      </c>
      <c r="AA4" s="3">
        <f t="shared" si="0"/>
        <v>492652.64000000077</v>
      </c>
      <c r="AB4" s="3">
        <f t="shared" si="0"/>
        <v>2855</v>
      </c>
      <c r="AC4" s="3">
        <f t="shared" si="0"/>
        <v>438613.69000000093</v>
      </c>
      <c r="AD4" s="3">
        <f t="shared" si="0"/>
        <v>2677</v>
      </c>
      <c r="AE4" s="3">
        <f t="shared" si="0"/>
        <v>461659.95000000071</v>
      </c>
      <c r="AF4" s="3">
        <f t="shared" si="0"/>
        <v>2704</v>
      </c>
      <c r="AG4" s="3">
        <f t="shared" si="0"/>
        <v>475524.55000000086</v>
      </c>
      <c r="AH4" s="3">
        <f t="shared" si="0"/>
        <v>2889</v>
      </c>
      <c r="AI4" s="3">
        <f t="shared" si="0"/>
        <v>565272.54000000085</v>
      </c>
      <c r="AJ4" s="3">
        <f t="shared" si="0"/>
        <v>3449</v>
      </c>
      <c r="AK4" s="3">
        <f t="shared" si="0"/>
        <v>630789.29000000143</v>
      </c>
      <c r="AL4" s="3">
        <f t="shared" si="0"/>
        <v>3763</v>
      </c>
      <c r="AM4" s="3">
        <f t="shared" si="0"/>
        <v>543482.20000000077</v>
      </c>
      <c r="AN4" s="3">
        <f t="shared" si="0"/>
        <v>3204</v>
      </c>
      <c r="AO4" s="3">
        <f t="shared" si="0"/>
        <v>395642.36000000063</v>
      </c>
      <c r="AP4" s="3">
        <f t="shared" si="0"/>
        <v>2309</v>
      </c>
      <c r="AQ4" s="3">
        <f t="shared" si="0"/>
        <v>373609.19000000035</v>
      </c>
      <c r="AR4" s="3">
        <f t="shared" si="0"/>
        <v>2303</v>
      </c>
      <c r="AS4" s="3">
        <f t="shared" si="0"/>
        <v>403795.83000000054</v>
      </c>
      <c r="AT4" s="3">
        <f t="shared" si="0"/>
        <v>2354</v>
      </c>
      <c r="AU4" s="3">
        <f t="shared" si="0"/>
        <v>419086.90000000061</v>
      </c>
      <c r="AV4" s="3">
        <f t="shared" si="0"/>
        <v>2486</v>
      </c>
      <c r="AW4" s="3">
        <f t="shared" si="0"/>
        <v>531948.60999999964</v>
      </c>
      <c r="AX4" s="3">
        <f t="shared" si="0"/>
        <v>2958</v>
      </c>
      <c r="AY4" s="3">
        <f t="shared" si="0"/>
        <v>592064.59000000008</v>
      </c>
      <c r="AZ4" s="3">
        <f t="shared" si="0"/>
        <v>3195</v>
      </c>
      <c r="BA4" s="3">
        <f t="shared" si="0"/>
        <v>576048.26999999967</v>
      </c>
      <c r="BB4" s="3">
        <f t="shared" si="0"/>
        <v>2996</v>
      </c>
      <c r="BC4" s="3">
        <f t="shared" si="0"/>
        <v>457643.33000000019</v>
      </c>
      <c r="BD4" s="3">
        <f t="shared" si="0"/>
        <v>2428</v>
      </c>
      <c r="BE4" s="3">
        <f t="shared" si="0"/>
        <v>461048.1600000005</v>
      </c>
      <c r="BF4" s="3">
        <f t="shared" si="0"/>
        <v>2367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15261786.289999997</v>
      </c>
      <c r="BR4" s="3">
        <f t="shared" si="0"/>
        <v>91127</v>
      </c>
    </row>
    <row r="5" spans="1:70" x14ac:dyDescent="0.25">
      <c r="A5" s="4" t="s">
        <v>2129</v>
      </c>
      <c r="B5" t="s">
        <v>12</v>
      </c>
      <c r="C5" s="338" t="s">
        <v>1609</v>
      </c>
      <c r="D5" s="213" t="s">
        <v>700</v>
      </c>
      <c r="E5" s="213" t="s">
        <v>145</v>
      </c>
      <c r="F5" s="213" t="s">
        <v>127</v>
      </c>
      <c r="G5" s="4">
        <v>2896.02</v>
      </c>
      <c r="H5" s="4">
        <v>34</v>
      </c>
      <c r="I5" s="4">
        <v>5170.12</v>
      </c>
      <c r="J5" s="4">
        <v>32</v>
      </c>
      <c r="K5" s="4">
        <v>9987.27</v>
      </c>
      <c r="L5" s="4">
        <v>62</v>
      </c>
      <c r="M5" s="4">
        <v>2266.04</v>
      </c>
      <c r="N5" s="4">
        <v>17</v>
      </c>
      <c r="O5" s="4">
        <v>1207.06</v>
      </c>
      <c r="P5" s="4">
        <v>6</v>
      </c>
      <c r="Q5" s="4">
        <v>3401.11</v>
      </c>
      <c r="R5" s="4">
        <v>29</v>
      </c>
      <c r="S5" s="4">
        <v>375</v>
      </c>
      <c r="T5" s="4">
        <v>5</v>
      </c>
      <c r="U5" s="4">
        <v>5702.18</v>
      </c>
      <c r="V5" s="4">
        <v>42</v>
      </c>
      <c r="W5" s="4">
        <v>2924.08</v>
      </c>
      <c r="X5" s="4">
        <v>21</v>
      </c>
      <c r="Y5" s="4">
        <v>2435.9899999999998</v>
      </c>
      <c r="Z5" s="4">
        <v>9</v>
      </c>
      <c r="AA5" s="4">
        <v>8674.7800000000007</v>
      </c>
      <c r="AB5" s="4">
        <v>2</v>
      </c>
      <c r="AC5" s="4">
        <v>8723.81</v>
      </c>
      <c r="AD5" s="4">
        <v>17</v>
      </c>
      <c r="AE5" s="4">
        <v>931.04</v>
      </c>
      <c r="AF5" s="4">
        <v>9</v>
      </c>
      <c r="AG5" s="4">
        <v>0</v>
      </c>
      <c r="AH5" s="4">
        <v>0</v>
      </c>
      <c r="AI5" s="4">
        <v>1875.03</v>
      </c>
      <c r="AJ5" s="4">
        <v>15</v>
      </c>
      <c r="AK5" s="4">
        <v>797.01</v>
      </c>
      <c r="AL5" s="4">
        <v>8</v>
      </c>
      <c r="AM5" s="4">
        <v>2097.02</v>
      </c>
      <c r="AN5" s="4">
        <v>15</v>
      </c>
      <c r="AO5" s="4">
        <v>0</v>
      </c>
      <c r="AP5" s="4">
        <v>0</v>
      </c>
      <c r="AQ5" s="4">
        <v>1097.03</v>
      </c>
      <c r="AR5" s="4">
        <v>27</v>
      </c>
      <c r="AS5" s="4">
        <v>1408.03</v>
      </c>
      <c r="AT5" s="4">
        <v>6</v>
      </c>
      <c r="AU5" s="4">
        <v>0</v>
      </c>
      <c r="AV5" s="4">
        <v>0</v>
      </c>
      <c r="AW5" s="4">
        <v>1527.88</v>
      </c>
      <c r="AX5" s="4">
        <v>11</v>
      </c>
      <c r="AY5" s="4">
        <v>4269.7700000000004</v>
      </c>
      <c r="AZ5" s="4">
        <v>21</v>
      </c>
      <c r="BA5" s="4">
        <v>0</v>
      </c>
      <c r="BB5" s="4">
        <v>0</v>
      </c>
      <c r="BC5" s="4">
        <v>829.96</v>
      </c>
      <c r="BD5" s="4">
        <v>6</v>
      </c>
      <c r="BE5" s="4">
        <v>5369.38</v>
      </c>
      <c r="BF5" s="4">
        <v>16</v>
      </c>
      <c r="BQ5" s="3">
        <f>G5+I5+K5+M5+O5+Q5+S5+U5+W5+Y5+AA5+AC5+AE5+AG5+AI5+AK5+AM5+AO5+AQ5+AS5+AU5+AW5+AY5+BA5+BC5+BE5</f>
        <v>73965.61</v>
      </c>
      <c r="BR5" s="3">
        <f t="shared" ref="BR5:BR68" si="1">H5+J5+L5+N5+P5+R5+T5+V5+X5+Z5+AB5+AD5+AF5+AH5+AJ5+AL5+AN5+AP5+AR5+AT5+AV5+AX5+AZ5+BB5+BD5+BF5</f>
        <v>410</v>
      </c>
    </row>
    <row r="6" spans="1:70" x14ac:dyDescent="0.25">
      <c r="A6" s="4" t="s">
        <v>2130</v>
      </c>
      <c r="B6" t="s">
        <v>12</v>
      </c>
      <c r="C6" s="338" t="s">
        <v>1610</v>
      </c>
      <c r="D6" s="213" t="s">
        <v>701</v>
      </c>
      <c r="E6" s="213" t="s">
        <v>145</v>
      </c>
      <c r="F6" s="213" t="s">
        <v>127</v>
      </c>
      <c r="G6" s="4">
        <v>1372.02</v>
      </c>
      <c r="H6" s="4">
        <v>13</v>
      </c>
      <c r="I6" s="4">
        <v>7726.22</v>
      </c>
      <c r="J6" s="4">
        <v>46</v>
      </c>
      <c r="K6" s="4">
        <v>3555.1</v>
      </c>
      <c r="L6" s="4">
        <v>22</v>
      </c>
      <c r="M6" s="4">
        <v>0</v>
      </c>
      <c r="N6" s="4">
        <v>0</v>
      </c>
      <c r="O6" s="4">
        <v>11058.15</v>
      </c>
      <c r="P6" s="4">
        <v>52</v>
      </c>
      <c r="Q6" s="4">
        <v>1060.03</v>
      </c>
      <c r="R6" s="4">
        <v>7</v>
      </c>
      <c r="S6" s="4">
        <v>3811.07</v>
      </c>
      <c r="T6" s="4">
        <v>16</v>
      </c>
      <c r="U6" s="4">
        <v>0</v>
      </c>
      <c r="V6" s="4">
        <v>0</v>
      </c>
      <c r="W6" s="4">
        <v>2755.05</v>
      </c>
      <c r="X6" s="4">
        <v>14</v>
      </c>
      <c r="Y6" s="4">
        <v>4614.09</v>
      </c>
      <c r="Z6" s="4">
        <v>22</v>
      </c>
      <c r="AA6" s="4">
        <v>0</v>
      </c>
      <c r="AB6" s="4">
        <v>0</v>
      </c>
      <c r="AC6" s="4">
        <v>1933.06</v>
      </c>
      <c r="AD6" s="4">
        <v>12</v>
      </c>
      <c r="AE6" s="4">
        <v>2124.0300000000002</v>
      </c>
      <c r="AF6" s="4">
        <v>12</v>
      </c>
      <c r="AG6" s="4">
        <v>2019.03</v>
      </c>
      <c r="AH6" s="4">
        <v>7</v>
      </c>
      <c r="AI6" s="4">
        <v>1903.04</v>
      </c>
      <c r="AJ6" s="4">
        <v>11</v>
      </c>
      <c r="AK6" s="4">
        <v>4779</v>
      </c>
      <c r="AL6" s="4">
        <v>10</v>
      </c>
      <c r="AM6" s="4">
        <v>1950.04</v>
      </c>
      <c r="AN6" s="4">
        <v>12</v>
      </c>
      <c r="AO6" s="4">
        <v>0</v>
      </c>
      <c r="AP6" s="4">
        <v>0</v>
      </c>
      <c r="AQ6" s="4">
        <v>150</v>
      </c>
      <c r="AR6" s="4">
        <v>1</v>
      </c>
      <c r="AS6" s="4">
        <v>807.01</v>
      </c>
      <c r="AT6" s="4">
        <v>5</v>
      </c>
      <c r="AU6" s="4">
        <v>1686.02</v>
      </c>
      <c r="AV6" s="4">
        <v>12</v>
      </c>
      <c r="AW6" s="4">
        <v>1377.92</v>
      </c>
      <c r="AX6" s="4">
        <v>7</v>
      </c>
      <c r="AY6" s="4">
        <v>3044.78</v>
      </c>
      <c r="AZ6" s="4">
        <v>14</v>
      </c>
      <c r="BA6" s="4">
        <v>1845.88</v>
      </c>
      <c r="BB6" s="4">
        <v>11</v>
      </c>
      <c r="BC6" s="4">
        <v>625.98</v>
      </c>
      <c r="BD6" s="4">
        <v>5</v>
      </c>
      <c r="BE6" s="4">
        <v>476.02</v>
      </c>
      <c r="BF6" s="4">
        <v>4</v>
      </c>
      <c r="BQ6" s="3">
        <f t="shared" ref="BQ6:BQ69" si="2">G6+I6+K6+M6+O6+Q6+S6+U6+W6+Y6+AA6+AC6+AE6+AG6+AI6+AK6+AM6+AO6+AQ6+AS6+AU6+AW6+AY6+BA6+BC6+BE6</f>
        <v>60673.539999999986</v>
      </c>
      <c r="BR6" s="3">
        <f t="shared" si="1"/>
        <v>315</v>
      </c>
    </row>
    <row r="7" spans="1:70" x14ac:dyDescent="0.25">
      <c r="A7" s="4" t="s">
        <v>2131</v>
      </c>
      <c r="B7" t="s">
        <v>12</v>
      </c>
      <c r="C7" s="338" t="s">
        <v>1611</v>
      </c>
      <c r="D7" s="213" t="s">
        <v>702</v>
      </c>
      <c r="E7" s="213" t="s">
        <v>145</v>
      </c>
      <c r="F7" s="213" t="s">
        <v>127</v>
      </c>
      <c r="G7" s="4">
        <v>0</v>
      </c>
      <c r="H7" s="4">
        <v>0</v>
      </c>
      <c r="I7" s="4">
        <v>0</v>
      </c>
      <c r="J7" s="4">
        <v>0</v>
      </c>
      <c r="K7" s="4">
        <v>1622</v>
      </c>
      <c r="L7" s="4">
        <v>11</v>
      </c>
      <c r="M7" s="4">
        <v>3893.08</v>
      </c>
      <c r="N7" s="4">
        <v>22</v>
      </c>
      <c r="O7" s="4">
        <v>1225.03</v>
      </c>
      <c r="P7" s="4">
        <v>8</v>
      </c>
      <c r="Q7" s="4">
        <v>1425.02</v>
      </c>
      <c r="R7" s="4">
        <v>10</v>
      </c>
      <c r="S7" s="4">
        <v>2917.03</v>
      </c>
      <c r="T7" s="4">
        <v>14</v>
      </c>
      <c r="U7" s="4">
        <v>2927.06</v>
      </c>
      <c r="V7" s="4">
        <v>19</v>
      </c>
      <c r="W7" s="4">
        <v>0</v>
      </c>
      <c r="X7" s="4">
        <v>0</v>
      </c>
      <c r="Y7" s="4">
        <v>1804.04</v>
      </c>
      <c r="Z7" s="4">
        <v>8</v>
      </c>
      <c r="AA7" s="4">
        <v>1157.03</v>
      </c>
      <c r="AB7" s="4">
        <v>10</v>
      </c>
      <c r="AC7" s="4">
        <v>0</v>
      </c>
      <c r="AD7" s="4">
        <v>0</v>
      </c>
      <c r="AE7" s="4">
        <v>300</v>
      </c>
      <c r="AF7" s="4">
        <v>2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2580.02</v>
      </c>
      <c r="AN7" s="4">
        <v>12</v>
      </c>
      <c r="AO7" s="4">
        <v>2475.0700000000002</v>
      </c>
      <c r="AP7" s="4">
        <v>12</v>
      </c>
      <c r="AQ7" s="4">
        <v>1822.06</v>
      </c>
      <c r="AR7" s="4">
        <v>11</v>
      </c>
      <c r="AS7" s="4">
        <v>938.01</v>
      </c>
      <c r="AT7" s="4">
        <v>3</v>
      </c>
      <c r="AU7" s="4">
        <v>2078.04</v>
      </c>
      <c r="AV7" s="4">
        <v>11</v>
      </c>
      <c r="AW7" s="4">
        <v>1674.9</v>
      </c>
      <c r="AX7" s="4">
        <v>8</v>
      </c>
      <c r="AY7" s="4">
        <v>0</v>
      </c>
      <c r="AZ7" s="4">
        <v>0</v>
      </c>
      <c r="BA7" s="4">
        <v>2779.81</v>
      </c>
      <c r="BB7" s="4">
        <v>10</v>
      </c>
      <c r="BC7" s="4">
        <v>1812.88</v>
      </c>
      <c r="BD7" s="4">
        <v>8</v>
      </c>
      <c r="BE7" s="4">
        <v>0</v>
      </c>
      <c r="BF7" s="4">
        <v>0</v>
      </c>
      <c r="BQ7" s="3">
        <f t="shared" si="2"/>
        <v>33431.08</v>
      </c>
      <c r="BR7" s="3">
        <f t="shared" si="1"/>
        <v>179</v>
      </c>
    </row>
    <row r="8" spans="1:70" x14ac:dyDescent="0.25">
      <c r="A8" s="4" t="s">
        <v>2132</v>
      </c>
      <c r="B8" t="s">
        <v>12</v>
      </c>
      <c r="C8" s="338" t="s">
        <v>1612</v>
      </c>
      <c r="D8" s="213" t="s">
        <v>703</v>
      </c>
      <c r="E8" s="213" t="s">
        <v>145</v>
      </c>
      <c r="F8" s="213" t="s">
        <v>127</v>
      </c>
      <c r="G8" s="4">
        <v>9079.2099999999991</v>
      </c>
      <c r="H8" s="4">
        <v>51</v>
      </c>
      <c r="I8" s="4">
        <v>12734.23</v>
      </c>
      <c r="J8" s="4">
        <v>83</v>
      </c>
      <c r="K8" s="4">
        <v>4254.99</v>
      </c>
      <c r="L8" s="4">
        <v>25</v>
      </c>
      <c r="M8" s="4">
        <v>9509.09</v>
      </c>
      <c r="N8" s="4">
        <v>49</v>
      </c>
      <c r="O8" s="4">
        <v>3834.06</v>
      </c>
      <c r="P8" s="4">
        <v>19</v>
      </c>
      <c r="Q8" s="4">
        <v>4957.0200000000004</v>
      </c>
      <c r="R8" s="4">
        <v>21</v>
      </c>
      <c r="S8" s="4">
        <v>7475.1</v>
      </c>
      <c r="T8" s="4">
        <v>39</v>
      </c>
      <c r="U8" s="4">
        <v>3217.06</v>
      </c>
      <c r="V8" s="4">
        <v>20</v>
      </c>
      <c r="W8" s="4">
        <v>8731.2800000000007</v>
      </c>
      <c r="X8" s="4">
        <v>55</v>
      </c>
      <c r="Y8" s="4">
        <v>2982.05</v>
      </c>
      <c r="Z8" s="4">
        <v>21</v>
      </c>
      <c r="AA8" s="4">
        <v>2903.03</v>
      </c>
      <c r="AB8" s="4">
        <v>18</v>
      </c>
      <c r="AC8" s="4">
        <v>812.03</v>
      </c>
      <c r="AD8" s="4">
        <v>4</v>
      </c>
      <c r="AE8" s="4">
        <v>1120.02</v>
      </c>
      <c r="AF8" s="4">
        <v>7</v>
      </c>
      <c r="AG8" s="4">
        <v>3407.05</v>
      </c>
      <c r="AH8" s="4">
        <v>17</v>
      </c>
      <c r="AI8" s="4">
        <v>4064.07</v>
      </c>
      <c r="AJ8" s="4">
        <v>25</v>
      </c>
      <c r="AK8" s="4">
        <v>2146.06</v>
      </c>
      <c r="AL8" s="4">
        <v>13</v>
      </c>
      <c r="AM8" s="4">
        <v>4265.03</v>
      </c>
      <c r="AN8" s="4">
        <v>24</v>
      </c>
      <c r="AO8" s="4">
        <v>3563.08</v>
      </c>
      <c r="AP8" s="4">
        <v>16</v>
      </c>
      <c r="AQ8" s="4">
        <v>2775.08</v>
      </c>
      <c r="AR8" s="4">
        <v>17</v>
      </c>
      <c r="AS8" s="4">
        <v>2846.04</v>
      </c>
      <c r="AT8" s="4">
        <v>17</v>
      </c>
      <c r="AU8" s="4">
        <v>2425.04</v>
      </c>
      <c r="AV8" s="4">
        <v>17</v>
      </c>
      <c r="AW8" s="4">
        <v>210.98</v>
      </c>
      <c r="AX8" s="4">
        <v>1</v>
      </c>
      <c r="AY8" s="4">
        <v>0</v>
      </c>
      <c r="AZ8" s="4">
        <v>0</v>
      </c>
      <c r="BA8" s="4">
        <v>1673.88</v>
      </c>
      <c r="BB8" s="4">
        <v>10</v>
      </c>
      <c r="BC8" s="4">
        <v>5218.62</v>
      </c>
      <c r="BD8" s="4">
        <v>28</v>
      </c>
      <c r="BE8" s="4">
        <v>1464.1</v>
      </c>
      <c r="BF8" s="4">
        <v>9</v>
      </c>
      <c r="BQ8" s="3">
        <f t="shared" si="2"/>
        <v>105668.2</v>
      </c>
      <c r="BR8" s="3">
        <f t="shared" si="1"/>
        <v>606</v>
      </c>
    </row>
    <row r="9" spans="1:70" x14ac:dyDescent="0.25">
      <c r="A9" s="4" t="s">
        <v>2133</v>
      </c>
      <c r="B9" t="s">
        <v>12</v>
      </c>
      <c r="C9" s="338" t="s">
        <v>1613</v>
      </c>
      <c r="D9" s="213" t="s">
        <v>704</v>
      </c>
      <c r="E9" s="213" t="s">
        <v>145</v>
      </c>
      <c r="F9" s="213" t="s">
        <v>127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2662.04</v>
      </c>
      <c r="AB9" s="4">
        <v>18</v>
      </c>
      <c r="AC9" s="4">
        <v>2253.06</v>
      </c>
      <c r="AD9" s="4">
        <v>16</v>
      </c>
      <c r="AE9" s="4">
        <v>1562.04</v>
      </c>
      <c r="AF9" s="4">
        <v>10</v>
      </c>
      <c r="AG9" s="4">
        <v>2478.0700000000002</v>
      </c>
      <c r="AH9" s="4">
        <v>16</v>
      </c>
      <c r="AI9" s="4">
        <v>0</v>
      </c>
      <c r="AJ9" s="4">
        <v>0</v>
      </c>
      <c r="AK9" s="4">
        <v>2985.11</v>
      </c>
      <c r="AL9" s="4">
        <v>17</v>
      </c>
      <c r="AM9" s="4">
        <v>1549.03</v>
      </c>
      <c r="AN9" s="4">
        <v>10</v>
      </c>
      <c r="AO9" s="4">
        <v>1661.02</v>
      </c>
      <c r="AP9" s="4">
        <v>12</v>
      </c>
      <c r="AQ9" s="4">
        <v>0</v>
      </c>
      <c r="AR9" s="4">
        <v>0</v>
      </c>
      <c r="AS9" s="4">
        <v>0</v>
      </c>
      <c r="AT9" s="4">
        <v>0</v>
      </c>
      <c r="AU9" s="4">
        <v>1440</v>
      </c>
      <c r="AV9" s="4">
        <v>10</v>
      </c>
      <c r="AW9" s="4">
        <v>3027.78</v>
      </c>
      <c r="AX9" s="4">
        <v>18</v>
      </c>
      <c r="AY9" s="4">
        <v>3688.77</v>
      </c>
      <c r="AZ9" s="4">
        <v>18</v>
      </c>
      <c r="BA9" s="4">
        <v>2583.84</v>
      </c>
      <c r="BB9" s="4">
        <v>12</v>
      </c>
      <c r="BC9" s="4">
        <v>0</v>
      </c>
      <c r="BD9" s="4">
        <v>0</v>
      </c>
      <c r="BE9" s="4">
        <v>2485.21</v>
      </c>
      <c r="BF9" s="4">
        <v>12</v>
      </c>
      <c r="BQ9" s="3">
        <f t="shared" si="2"/>
        <v>28375.97</v>
      </c>
      <c r="BR9" s="3">
        <f t="shared" si="1"/>
        <v>169</v>
      </c>
    </row>
    <row r="10" spans="1:70" x14ac:dyDescent="0.25">
      <c r="A10" s="4" t="s">
        <v>2134</v>
      </c>
      <c r="B10" t="s">
        <v>12</v>
      </c>
      <c r="C10" s="338" t="s">
        <v>1614</v>
      </c>
      <c r="D10" s="213" t="s">
        <v>705</v>
      </c>
      <c r="E10" s="213" t="s">
        <v>145</v>
      </c>
      <c r="F10" s="213" t="s">
        <v>127</v>
      </c>
      <c r="G10" s="4">
        <v>6029.19</v>
      </c>
      <c r="H10" s="4">
        <v>36</v>
      </c>
      <c r="I10" s="4">
        <v>2965.03</v>
      </c>
      <c r="J10" s="4">
        <v>21</v>
      </c>
      <c r="K10" s="4">
        <v>2464.0500000000002</v>
      </c>
      <c r="L10" s="4">
        <v>18</v>
      </c>
      <c r="M10" s="4">
        <v>1241.03</v>
      </c>
      <c r="N10" s="4">
        <v>8</v>
      </c>
      <c r="O10" s="4">
        <v>990.01</v>
      </c>
      <c r="P10" s="4">
        <v>5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765.03</v>
      </c>
      <c r="X10" s="4">
        <v>6</v>
      </c>
      <c r="Y10" s="4">
        <v>3311.05</v>
      </c>
      <c r="Z10" s="4">
        <v>25</v>
      </c>
      <c r="AA10" s="4">
        <v>591.02</v>
      </c>
      <c r="AB10" s="4">
        <v>5</v>
      </c>
      <c r="AC10" s="4">
        <v>1350.02</v>
      </c>
      <c r="AD10" s="4">
        <v>9</v>
      </c>
      <c r="AE10" s="4">
        <v>120</v>
      </c>
      <c r="AF10" s="4">
        <v>1</v>
      </c>
      <c r="AG10" s="4">
        <v>975.02</v>
      </c>
      <c r="AH10" s="4">
        <v>8</v>
      </c>
      <c r="AI10" s="4">
        <v>1955.02</v>
      </c>
      <c r="AJ10" s="4">
        <v>9</v>
      </c>
      <c r="AK10" s="4">
        <v>1825.04</v>
      </c>
      <c r="AL10" s="4">
        <v>13</v>
      </c>
      <c r="AM10" s="4">
        <v>300</v>
      </c>
      <c r="AN10" s="4">
        <v>2</v>
      </c>
      <c r="AO10" s="4">
        <v>1569.95</v>
      </c>
      <c r="AP10" s="4">
        <v>6</v>
      </c>
      <c r="AQ10" s="4">
        <v>2239.04</v>
      </c>
      <c r="AR10" s="4">
        <v>13</v>
      </c>
      <c r="AS10" s="4">
        <v>649.03</v>
      </c>
      <c r="AT10" s="4">
        <v>3</v>
      </c>
      <c r="AU10" s="4">
        <v>797</v>
      </c>
      <c r="AV10" s="4">
        <v>5</v>
      </c>
      <c r="AW10" s="4">
        <v>1800.88</v>
      </c>
      <c r="AX10" s="4">
        <v>9</v>
      </c>
      <c r="AY10" s="4">
        <v>3442.89</v>
      </c>
      <c r="AZ10" s="4">
        <v>16</v>
      </c>
      <c r="BA10" s="4">
        <v>5353.66</v>
      </c>
      <c r="BB10" s="4">
        <v>16</v>
      </c>
      <c r="BC10" s="4">
        <v>0</v>
      </c>
      <c r="BD10" s="4">
        <v>0</v>
      </c>
      <c r="BE10" s="4">
        <v>2184.15</v>
      </c>
      <c r="BF10" s="4">
        <v>13</v>
      </c>
      <c r="BQ10" s="3">
        <f t="shared" si="2"/>
        <v>42918.110000000008</v>
      </c>
      <c r="BR10" s="3">
        <f t="shared" si="1"/>
        <v>247</v>
      </c>
    </row>
    <row r="11" spans="1:70" x14ac:dyDescent="0.25">
      <c r="A11" s="4" t="s">
        <v>2135</v>
      </c>
      <c r="B11" t="s">
        <v>12</v>
      </c>
      <c r="C11" s="338" t="s">
        <v>1615</v>
      </c>
      <c r="D11" s="213" t="s">
        <v>706</v>
      </c>
      <c r="E11" s="213" t="s">
        <v>145</v>
      </c>
      <c r="F11" s="213" t="s">
        <v>127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150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Q11" s="3">
        <f t="shared" si="2"/>
        <v>150</v>
      </c>
      <c r="BR11" s="3">
        <f t="shared" si="1"/>
        <v>1</v>
      </c>
    </row>
    <row r="12" spans="1:70" x14ac:dyDescent="0.25">
      <c r="A12" s="4" t="s">
        <v>2136</v>
      </c>
      <c r="B12" t="s">
        <v>13</v>
      </c>
      <c r="C12" s="338" t="s">
        <v>1616</v>
      </c>
      <c r="D12" s="213" t="s">
        <v>707</v>
      </c>
      <c r="E12" s="213" t="s">
        <v>145</v>
      </c>
      <c r="F12" s="213" t="s">
        <v>127</v>
      </c>
      <c r="G12" s="4">
        <v>4314.12</v>
      </c>
      <c r="H12" s="4">
        <v>38</v>
      </c>
      <c r="I12" s="4">
        <v>0</v>
      </c>
      <c r="J12" s="4">
        <v>0</v>
      </c>
      <c r="K12" s="4">
        <v>4556.07</v>
      </c>
      <c r="L12" s="4">
        <v>32</v>
      </c>
      <c r="M12" s="4">
        <v>4842.0600000000004</v>
      </c>
      <c r="N12" s="4">
        <v>34</v>
      </c>
      <c r="O12" s="4">
        <v>1929.01</v>
      </c>
      <c r="P12" s="4">
        <v>17</v>
      </c>
      <c r="Q12" s="4">
        <v>4543.09</v>
      </c>
      <c r="R12" s="4">
        <v>25</v>
      </c>
      <c r="S12" s="4">
        <v>4053.07</v>
      </c>
      <c r="T12" s="4">
        <v>21</v>
      </c>
      <c r="U12" s="4">
        <v>4610.07</v>
      </c>
      <c r="V12" s="4">
        <v>27</v>
      </c>
      <c r="W12" s="4">
        <v>0</v>
      </c>
      <c r="X12" s="4">
        <v>0</v>
      </c>
      <c r="Y12" s="4">
        <v>5684.03</v>
      </c>
      <c r="Z12" s="4">
        <v>34</v>
      </c>
      <c r="AA12" s="4">
        <v>3039.03</v>
      </c>
      <c r="AB12" s="4">
        <v>21</v>
      </c>
      <c r="AC12" s="4">
        <v>2536.04</v>
      </c>
      <c r="AD12" s="4">
        <v>17</v>
      </c>
      <c r="AE12" s="4">
        <v>3730.05</v>
      </c>
      <c r="AF12" s="4">
        <v>16</v>
      </c>
      <c r="AG12" s="4">
        <v>900</v>
      </c>
      <c r="AH12" s="4">
        <v>7</v>
      </c>
      <c r="AI12" s="4">
        <v>3562.01</v>
      </c>
      <c r="AJ12" s="4">
        <v>23</v>
      </c>
      <c r="AK12" s="4">
        <v>0</v>
      </c>
      <c r="AL12" s="4">
        <v>0</v>
      </c>
      <c r="AM12" s="4">
        <v>2644.04</v>
      </c>
      <c r="AN12" s="4">
        <v>16</v>
      </c>
      <c r="AO12" s="4">
        <v>1850.02</v>
      </c>
      <c r="AP12" s="4">
        <v>11</v>
      </c>
      <c r="AQ12" s="4">
        <v>3384.03</v>
      </c>
      <c r="AR12" s="4">
        <v>17</v>
      </c>
      <c r="AS12" s="4">
        <v>2466.0300000000002</v>
      </c>
      <c r="AT12" s="4">
        <v>15</v>
      </c>
      <c r="AU12" s="4">
        <v>902.02</v>
      </c>
      <c r="AV12" s="4">
        <v>8</v>
      </c>
      <c r="AW12" s="4">
        <v>2505.89</v>
      </c>
      <c r="AX12" s="4">
        <v>18</v>
      </c>
      <c r="AY12" s="4">
        <v>0</v>
      </c>
      <c r="AZ12" s="4">
        <v>0</v>
      </c>
      <c r="BA12" s="4">
        <v>4450.79</v>
      </c>
      <c r="BB12" s="4">
        <v>20</v>
      </c>
      <c r="BC12" s="4">
        <v>1615.93</v>
      </c>
      <c r="BD12" s="4">
        <v>12</v>
      </c>
      <c r="BE12" s="4">
        <v>4778.3100000000004</v>
      </c>
      <c r="BF12" s="4">
        <v>17</v>
      </c>
      <c r="BQ12" s="3">
        <f t="shared" si="2"/>
        <v>72895.709999999977</v>
      </c>
      <c r="BR12" s="3">
        <f t="shared" si="1"/>
        <v>446</v>
      </c>
    </row>
    <row r="13" spans="1:70" x14ac:dyDescent="0.25">
      <c r="A13" s="4" t="s">
        <v>2137</v>
      </c>
      <c r="B13" t="s">
        <v>13</v>
      </c>
      <c r="C13" s="338" t="s">
        <v>1617</v>
      </c>
      <c r="D13" s="213" t="s">
        <v>708</v>
      </c>
      <c r="E13" s="213" t="s">
        <v>145</v>
      </c>
      <c r="F13" s="213" t="s">
        <v>127</v>
      </c>
      <c r="G13" s="4">
        <v>1937.05</v>
      </c>
      <c r="H13" s="4">
        <v>15</v>
      </c>
      <c r="I13" s="4">
        <v>3654.12</v>
      </c>
      <c r="J13" s="4">
        <v>26</v>
      </c>
      <c r="K13" s="4">
        <v>634.03</v>
      </c>
      <c r="L13" s="4">
        <v>7</v>
      </c>
      <c r="M13" s="4">
        <v>0</v>
      </c>
      <c r="N13" s="4">
        <v>0</v>
      </c>
      <c r="O13" s="4">
        <v>450.01</v>
      </c>
      <c r="P13" s="4">
        <v>4</v>
      </c>
      <c r="Q13" s="4">
        <v>2914.01</v>
      </c>
      <c r="R13" s="4">
        <v>12</v>
      </c>
      <c r="S13" s="4">
        <v>300.02</v>
      </c>
      <c r="T13" s="4">
        <v>5</v>
      </c>
      <c r="U13" s="4">
        <v>900.02</v>
      </c>
      <c r="V13" s="4">
        <v>8</v>
      </c>
      <c r="W13" s="4">
        <v>7537.18</v>
      </c>
      <c r="X13" s="4">
        <v>38</v>
      </c>
      <c r="Y13" s="4">
        <v>956.02</v>
      </c>
      <c r="Z13" s="4">
        <v>8</v>
      </c>
      <c r="AA13" s="4">
        <v>600.01</v>
      </c>
      <c r="AB13" s="4">
        <v>4</v>
      </c>
      <c r="AC13" s="4">
        <v>1047</v>
      </c>
      <c r="AD13" s="4">
        <v>4</v>
      </c>
      <c r="AE13" s="4">
        <v>75</v>
      </c>
      <c r="AF13" s="4">
        <v>1</v>
      </c>
      <c r="AG13" s="4">
        <v>400</v>
      </c>
      <c r="AH13" s="4">
        <v>4</v>
      </c>
      <c r="AI13" s="4">
        <v>3634.04</v>
      </c>
      <c r="AJ13" s="4">
        <v>18</v>
      </c>
      <c r="AK13" s="4">
        <v>1254.01</v>
      </c>
      <c r="AL13" s="4">
        <v>10</v>
      </c>
      <c r="AM13" s="4">
        <v>0</v>
      </c>
      <c r="AN13" s="4">
        <v>1</v>
      </c>
      <c r="AO13" s="4">
        <v>1971.04</v>
      </c>
      <c r="AP13" s="4">
        <v>15</v>
      </c>
      <c r="AQ13" s="4">
        <v>2407.0500000000002</v>
      </c>
      <c r="AR13" s="4">
        <v>13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632.94000000000005</v>
      </c>
      <c r="AZ13" s="4">
        <v>3</v>
      </c>
      <c r="BA13" s="4">
        <v>0</v>
      </c>
      <c r="BB13" s="4">
        <v>0</v>
      </c>
      <c r="BC13" s="4">
        <v>75</v>
      </c>
      <c r="BD13" s="4">
        <v>1</v>
      </c>
      <c r="BE13" s="4">
        <v>0</v>
      </c>
      <c r="BF13" s="4">
        <v>0</v>
      </c>
      <c r="BQ13" s="3">
        <f t="shared" si="2"/>
        <v>31378.55</v>
      </c>
      <c r="BR13" s="3">
        <f t="shared" si="1"/>
        <v>197</v>
      </c>
    </row>
    <row r="14" spans="1:70" x14ac:dyDescent="0.25">
      <c r="A14" s="4" t="s">
        <v>2138</v>
      </c>
      <c r="B14" t="s">
        <v>13</v>
      </c>
      <c r="C14" s="338" t="s">
        <v>1618</v>
      </c>
      <c r="D14" s="213" t="s">
        <v>709</v>
      </c>
      <c r="E14" s="213" t="s">
        <v>145</v>
      </c>
      <c r="F14" s="213" t="s">
        <v>127</v>
      </c>
      <c r="G14" s="4">
        <v>4148.12</v>
      </c>
      <c r="H14" s="4">
        <v>32</v>
      </c>
      <c r="I14" s="4">
        <v>5330.04</v>
      </c>
      <c r="J14" s="4">
        <v>39</v>
      </c>
      <c r="K14" s="4">
        <v>3663.02</v>
      </c>
      <c r="L14" s="4">
        <v>24</v>
      </c>
      <c r="M14" s="4">
        <v>11522.26</v>
      </c>
      <c r="N14" s="4">
        <v>66</v>
      </c>
      <c r="O14" s="4">
        <v>524</v>
      </c>
      <c r="P14" s="4">
        <v>3</v>
      </c>
      <c r="Q14" s="4">
        <v>225.01</v>
      </c>
      <c r="R14" s="4">
        <v>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3896.12</v>
      </c>
      <c r="Z14" s="4">
        <v>24</v>
      </c>
      <c r="AA14" s="4">
        <v>2639.03</v>
      </c>
      <c r="AB14" s="4">
        <v>20</v>
      </c>
      <c r="AC14" s="4">
        <v>342.01</v>
      </c>
      <c r="AD14" s="4">
        <v>3</v>
      </c>
      <c r="AE14" s="4">
        <v>3248.11</v>
      </c>
      <c r="AF14" s="4">
        <v>14</v>
      </c>
      <c r="AG14" s="4">
        <v>1869.01</v>
      </c>
      <c r="AH14" s="4">
        <v>12</v>
      </c>
      <c r="AI14" s="4">
        <v>2663.05</v>
      </c>
      <c r="AJ14" s="4">
        <v>18</v>
      </c>
      <c r="AK14" s="4">
        <v>4016.06</v>
      </c>
      <c r="AL14" s="4">
        <v>20</v>
      </c>
      <c r="AM14" s="4">
        <v>3199.05</v>
      </c>
      <c r="AN14" s="4">
        <v>21</v>
      </c>
      <c r="AO14" s="4">
        <v>3640.06</v>
      </c>
      <c r="AP14" s="4">
        <v>25</v>
      </c>
      <c r="AQ14" s="4">
        <v>750</v>
      </c>
      <c r="AR14" s="4">
        <v>3</v>
      </c>
      <c r="AS14" s="4">
        <v>2149.0300000000002</v>
      </c>
      <c r="AT14" s="4">
        <v>13</v>
      </c>
      <c r="AU14" s="4">
        <v>3678.03</v>
      </c>
      <c r="AV14" s="4">
        <v>22</v>
      </c>
      <c r="AW14" s="4">
        <v>3405.79</v>
      </c>
      <c r="AX14" s="4">
        <v>21</v>
      </c>
      <c r="AY14" s="4">
        <v>4590.7299999999996</v>
      </c>
      <c r="AZ14" s="4">
        <v>23</v>
      </c>
      <c r="BA14" s="4">
        <v>2187.85</v>
      </c>
      <c r="BB14" s="4">
        <v>18</v>
      </c>
      <c r="BC14" s="4">
        <v>3565.77</v>
      </c>
      <c r="BD14" s="4">
        <v>19</v>
      </c>
      <c r="BE14" s="4">
        <v>111.01</v>
      </c>
      <c r="BF14" s="4">
        <v>1</v>
      </c>
      <c r="BQ14" s="3">
        <f t="shared" si="2"/>
        <v>71363.16</v>
      </c>
      <c r="BR14" s="3">
        <f t="shared" si="1"/>
        <v>443</v>
      </c>
    </row>
    <row r="15" spans="1:70" x14ac:dyDescent="0.25">
      <c r="A15" s="4" t="s">
        <v>2139</v>
      </c>
      <c r="B15" t="s">
        <v>13</v>
      </c>
      <c r="C15" s="338" t="s">
        <v>1619</v>
      </c>
      <c r="D15" s="213" t="s">
        <v>710</v>
      </c>
      <c r="E15" s="213" t="s">
        <v>145</v>
      </c>
      <c r="F15" s="213" t="s">
        <v>127</v>
      </c>
      <c r="G15" s="4">
        <v>4121.12</v>
      </c>
      <c r="H15" s="4">
        <v>30</v>
      </c>
      <c r="I15" s="4">
        <v>7154.2</v>
      </c>
      <c r="J15" s="4">
        <v>37</v>
      </c>
      <c r="K15" s="4">
        <v>6857.16</v>
      </c>
      <c r="L15" s="4">
        <v>42</v>
      </c>
      <c r="M15" s="4">
        <v>300.01</v>
      </c>
      <c r="N15" s="4">
        <v>2</v>
      </c>
      <c r="O15" s="4">
        <v>7793.09</v>
      </c>
      <c r="P15" s="4">
        <v>49</v>
      </c>
      <c r="Q15" s="4">
        <v>4384.1099999999997</v>
      </c>
      <c r="R15" s="4">
        <v>30</v>
      </c>
      <c r="S15" s="4">
        <v>7149.11</v>
      </c>
      <c r="T15" s="4">
        <v>48</v>
      </c>
      <c r="U15" s="4">
        <v>5954.1</v>
      </c>
      <c r="V15" s="4">
        <v>34</v>
      </c>
      <c r="W15" s="4">
        <v>4088.03</v>
      </c>
      <c r="X15" s="4">
        <v>28</v>
      </c>
      <c r="Y15" s="4">
        <v>4963.05</v>
      </c>
      <c r="Z15" s="4">
        <v>27</v>
      </c>
      <c r="AA15" s="4">
        <v>960.01</v>
      </c>
      <c r="AB15" s="4">
        <v>6</v>
      </c>
      <c r="AC15" s="4">
        <v>3067.11</v>
      </c>
      <c r="AD15" s="4">
        <v>20</v>
      </c>
      <c r="AE15" s="4">
        <v>3516.08</v>
      </c>
      <c r="AF15" s="4">
        <v>22</v>
      </c>
      <c r="AG15" s="4">
        <v>3338.03</v>
      </c>
      <c r="AH15" s="4">
        <v>17</v>
      </c>
      <c r="AI15" s="4">
        <v>0</v>
      </c>
      <c r="AJ15" s="4">
        <v>0</v>
      </c>
      <c r="AK15" s="4">
        <v>3171.04</v>
      </c>
      <c r="AL15" s="4">
        <v>24</v>
      </c>
      <c r="AM15" s="4">
        <v>4563.08</v>
      </c>
      <c r="AN15" s="4">
        <v>33</v>
      </c>
      <c r="AO15" s="4">
        <v>0</v>
      </c>
      <c r="AP15" s="4">
        <v>0</v>
      </c>
      <c r="AQ15" s="4">
        <v>3156.03</v>
      </c>
      <c r="AR15" s="4">
        <v>23</v>
      </c>
      <c r="AS15" s="4">
        <v>4226.08</v>
      </c>
      <c r="AT15" s="4">
        <v>23</v>
      </c>
      <c r="AU15" s="4">
        <v>3267.02</v>
      </c>
      <c r="AV15" s="4">
        <v>21</v>
      </c>
      <c r="AW15" s="4">
        <v>3900.75</v>
      </c>
      <c r="AX15" s="4">
        <v>20</v>
      </c>
      <c r="AY15" s="4">
        <v>5808.71</v>
      </c>
      <c r="AZ15" s="4">
        <v>34</v>
      </c>
      <c r="BA15" s="4">
        <v>3585.82</v>
      </c>
      <c r="BB15" s="4">
        <v>13</v>
      </c>
      <c r="BC15" s="4">
        <v>2455.86</v>
      </c>
      <c r="BD15" s="4">
        <v>13</v>
      </c>
      <c r="BE15" s="4">
        <v>5704.29</v>
      </c>
      <c r="BF15" s="4">
        <v>33</v>
      </c>
      <c r="BQ15" s="3">
        <f t="shared" si="2"/>
        <v>103483.89000000001</v>
      </c>
      <c r="BR15" s="3">
        <f t="shared" si="1"/>
        <v>629</v>
      </c>
    </row>
    <row r="16" spans="1:70" x14ac:dyDescent="0.25">
      <c r="A16" s="4" t="s">
        <v>2140</v>
      </c>
      <c r="B16" t="s">
        <v>13</v>
      </c>
      <c r="C16" s="338" t="s">
        <v>1620</v>
      </c>
      <c r="D16" s="213" t="s">
        <v>711</v>
      </c>
      <c r="E16" s="213" t="s">
        <v>145</v>
      </c>
      <c r="F16" s="213" t="s">
        <v>127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150</v>
      </c>
      <c r="AN16" s="4">
        <v>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Q16" s="3">
        <f t="shared" si="2"/>
        <v>150</v>
      </c>
      <c r="BR16" s="3">
        <f t="shared" si="1"/>
        <v>1</v>
      </c>
    </row>
    <row r="17" spans="1:70" x14ac:dyDescent="0.25">
      <c r="A17" s="4" t="s">
        <v>2141</v>
      </c>
      <c r="B17" t="s">
        <v>14</v>
      </c>
      <c r="C17" s="338" t="s">
        <v>1621</v>
      </c>
      <c r="D17" s="213" t="s">
        <v>712</v>
      </c>
      <c r="E17" s="213" t="s">
        <v>145</v>
      </c>
      <c r="F17" s="213" t="s">
        <v>131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</v>
      </c>
      <c r="P17" s="4">
        <v>2</v>
      </c>
      <c r="Q17" s="4">
        <v>225</v>
      </c>
      <c r="R17" s="4">
        <v>2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397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406</v>
      </c>
      <c r="AR17" s="4">
        <v>3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421.96</v>
      </c>
      <c r="BB17" s="4">
        <v>2</v>
      </c>
      <c r="BC17" s="4">
        <v>273</v>
      </c>
      <c r="BD17" s="4">
        <v>2</v>
      </c>
      <c r="BE17" s="4">
        <v>211.02</v>
      </c>
      <c r="BF17" s="4">
        <v>1</v>
      </c>
      <c r="BQ17" s="3">
        <f t="shared" si="2"/>
        <v>2233.98</v>
      </c>
      <c r="BR17" s="3">
        <f t="shared" si="1"/>
        <v>13</v>
      </c>
    </row>
    <row r="18" spans="1:70" x14ac:dyDescent="0.25">
      <c r="A18" s="4" t="s">
        <v>2142</v>
      </c>
      <c r="B18" t="s">
        <v>14</v>
      </c>
      <c r="C18" s="338" t="s">
        <v>1622</v>
      </c>
      <c r="D18" s="213" t="s">
        <v>713</v>
      </c>
      <c r="E18" s="213" t="s">
        <v>145</v>
      </c>
      <c r="F18" s="213" t="s">
        <v>131</v>
      </c>
      <c r="G18" s="4">
        <v>3270.1</v>
      </c>
      <c r="H18" s="4">
        <v>24</v>
      </c>
      <c r="I18" s="4">
        <v>3328.11</v>
      </c>
      <c r="J18" s="4">
        <v>22</v>
      </c>
      <c r="K18" s="4">
        <v>2231</v>
      </c>
      <c r="L18" s="4">
        <v>15</v>
      </c>
      <c r="M18" s="4">
        <v>4169.0600000000004</v>
      </c>
      <c r="N18" s="4">
        <v>24</v>
      </c>
      <c r="O18" s="4">
        <v>1304.04</v>
      </c>
      <c r="P18" s="4">
        <v>9</v>
      </c>
      <c r="Q18" s="4">
        <v>1690.02</v>
      </c>
      <c r="R18" s="4">
        <v>10</v>
      </c>
      <c r="S18" s="4">
        <v>2290.0300000000002</v>
      </c>
      <c r="T18" s="4">
        <v>15</v>
      </c>
      <c r="U18" s="4">
        <v>160</v>
      </c>
      <c r="V18" s="4">
        <v>1</v>
      </c>
      <c r="W18" s="4">
        <v>424.02</v>
      </c>
      <c r="X18" s="4">
        <v>3</v>
      </c>
      <c r="Y18" s="4">
        <v>1498</v>
      </c>
      <c r="Z18" s="4">
        <v>10</v>
      </c>
      <c r="AA18" s="4">
        <v>150</v>
      </c>
      <c r="AB18" s="4">
        <v>1</v>
      </c>
      <c r="AC18" s="4">
        <v>225</v>
      </c>
      <c r="AD18" s="4">
        <v>2</v>
      </c>
      <c r="AE18" s="4">
        <v>349.01</v>
      </c>
      <c r="AF18" s="4">
        <v>2</v>
      </c>
      <c r="AG18" s="4">
        <v>540.01</v>
      </c>
      <c r="AH18" s="4">
        <v>5</v>
      </c>
      <c r="AI18" s="4">
        <v>750.01</v>
      </c>
      <c r="AJ18" s="4">
        <v>4</v>
      </c>
      <c r="AK18" s="4">
        <v>1800.02</v>
      </c>
      <c r="AL18" s="4">
        <v>11</v>
      </c>
      <c r="AM18" s="4">
        <v>1468.03</v>
      </c>
      <c r="AN18" s="4">
        <v>9</v>
      </c>
      <c r="AO18" s="4">
        <v>677</v>
      </c>
      <c r="AP18" s="4">
        <v>5</v>
      </c>
      <c r="AQ18" s="4">
        <v>710.01</v>
      </c>
      <c r="AR18" s="4">
        <v>5</v>
      </c>
      <c r="AS18" s="4">
        <v>799.01</v>
      </c>
      <c r="AT18" s="4">
        <v>5</v>
      </c>
      <c r="AU18" s="4">
        <v>1224.02</v>
      </c>
      <c r="AV18" s="4">
        <v>3</v>
      </c>
      <c r="AW18" s="4">
        <v>1307.94</v>
      </c>
      <c r="AX18" s="4">
        <v>8</v>
      </c>
      <c r="AY18" s="4">
        <v>1035.97</v>
      </c>
      <c r="AZ18" s="4">
        <v>7</v>
      </c>
      <c r="BA18" s="4">
        <v>1951.9</v>
      </c>
      <c r="BB18" s="4">
        <v>9</v>
      </c>
      <c r="BC18" s="4">
        <v>210.98</v>
      </c>
      <c r="BD18" s="4">
        <v>1</v>
      </c>
      <c r="BE18" s="4">
        <v>0</v>
      </c>
      <c r="BF18" s="4">
        <v>0</v>
      </c>
      <c r="BQ18" s="3">
        <f t="shared" si="2"/>
        <v>33563.289999999994</v>
      </c>
      <c r="BR18" s="3">
        <f t="shared" si="1"/>
        <v>210</v>
      </c>
    </row>
    <row r="19" spans="1:70" x14ac:dyDescent="0.25">
      <c r="A19" s="4" t="s">
        <v>2143</v>
      </c>
      <c r="B19" t="s">
        <v>14</v>
      </c>
      <c r="C19" s="338" t="s">
        <v>1623</v>
      </c>
      <c r="D19" s="213" t="s">
        <v>714</v>
      </c>
      <c r="E19" s="213" t="s">
        <v>145</v>
      </c>
      <c r="F19" s="213" t="s">
        <v>131</v>
      </c>
      <c r="G19" s="4">
        <v>0</v>
      </c>
      <c r="H19" s="4">
        <v>0</v>
      </c>
      <c r="I19" s="4">
        <v>0</v>
      </c>
      <c r="J19" s="4">
        <v>0</v>
      </c>
      <c r="K19" s="4">
        <v>1323</v>
      </c>
      <c r="L19" s="4">
        <v>9</v>
      </c>
      <c r="M19" s="4">
        <v>300.01</v>
      </c>
      <c r="N19" s="4">
        <v>2</v>
      </c>
      <c r="O19" s="4">
        <v>750.02</v>
      </c>
      <c r="P19" s="4">
        <v>5</v>
      </c>
      <c r="Q19" s="4">
        <v>419</v>
      </c>
      <c r="R19" s="4">
        <v>2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1673.06</v>
      </c>
      <c r="AB19" s="4">
        <v>11</v>
      </c>
      <c r="AC19" s="4">
        <v>874.02</v>
      </c>
      <c r="AD19" s="4">
        <v>6</v>
      </c>
      <c r="AE19" s="4">
        <v>884</v>
      </c>
      <c r="AF19" s="4">
        <v>8</v>
      </c>
      <c r="AG19" s="4">
        <v>1545.04</v>
      </c>
      <c r="AH19" s="4">
        <v>9</v>
      </c>
      <c r="AI19" s="4">
        <v>1736.03</v>
      </c>
      <c r="AJ19" s="4">
        <v>12</v>
      </c>
      <c r="AK19" s="4">
        <v>22</v>
      </c>
      <c r="AL19" s="4">
        <v>1</v>
      </c>
      <c r="AM19" s="4">
        <v>865.01</v>
      </c>
      <c r="AN19" s="4">
        <v>6</v>
      </c>
      <c r="AO19" s="4">
        <v>0</v>
      </c>
      <c r="AP19" s="4">
        <v>0</v>
      </c>
      <c r="AQ19" s="4">
        <v>0</v>
      </c>
      <c r="AR19" s="4">
        <v>0</v>
      </c>
      <c r="AS19" s="4">
        <v>335</v>
      </c>
      <c r="AT19" s="4">
        <v>3</v>
      </c>
      <c r="AU19" s="4">
        <v>225</v>
      </c>
      <c r="AV19" s="4">
        <v>2</v>
      </c>
      <c r="AW19" s="4">
        <v>300</v>
      </c>
      <c r="AX19" s="4">
        <v>2</v>
      </c>
      <c r="AY19" s="4">
        <v>0</v>
      </c>
      <c r="AZ19" s="4">
        <v>0</v>
      </c>
      <c r="BA19" s="4">
        <v>0</v>
      </c>
      <c r="BB19" s="4">
        <v>0</v>
      </c>
      <c r="BC19" s="4">
        <v>447.98</v>
      </c>
      <c r="BD19" s="4">
        <v>4</v>
      </c>
      <c r="BE19" s="4">
        <v>944.03</v>
      </c>
      <c r="BF19" s="4">
        <v>5</v>
      </c>
      <c r="BQ19" s="3">
        <f t="shared" si="2"/>
        <v>12643.2</v>
      </c>
      <c r="BR19" s="3">
        <f t="shared" si="1"/>
        <v>87</v>
      </c>
    </row>
    <row r="20" spans="1:70" x14ac:dyDescent="0.25">
      <c r="A20" s="4" t="s">
        <v>2144</v>
      </c>
      <c r="B20" t="s">
        <v>15</v>
      </c>
      <c r="C20" s="338" t="s">
        <v>1624</v>
      </c>
      <c r="D20" s="213" t="s">
        <v>715</v>
      </c>
      <c r="E20" s="213" t="s">
        <v>145</v>
      </c>
      <c r="F20" s="213" t="s">
        <v>131</v>
      </c>
      <c r="G20" s="4">
        <v>3688.05</v>
      </c>
      <c r="H20" s="4">
        <v>29</v>
      </c>
      <c r="I20" s="4">
        <v>3875.13</v>
      </c>
      <c r="J20" s="4">
        <v>31</v>
      </c>
      <c r="K20" s="4">
        <v>463.02</v>
      </c>
      <c r="L20" s="4">
        <v>4</v>
      </c>
      <c r="M20" s="4">
        <v>5826.14</v>
      </c>
      <c r="N20" s="4">
        <v>30</v>
      </c>
      <c r="O20" s="4">
        <v>4677.07</v>
      </c>
      <c r="P20" s="4">
        <v>29</v>
      </c>
      <c r="Q20" s="4">
        <v>409</v>
      </c>
      <c r="R20" s="4">
        <v>3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622.01</v>
      </c>
      <c r="AB20" s="4">
        <v>5</v>
      </c>
      <c r="AC20" s="4">
        <v>0</v>
      </c>
      <c r="AD20" s="4">
        <v>0</v>
      </c>
      <c r="AE20" s="4">
        <v>2286.0300000000002</v>
      </c>
      <c r="AF20" s="4">
        <v>13</v>
      </c>
      <c r="AG20" s="4">
        <v>0</v>
      </c>
      <c r="AH20" s="4">
        <v>0</v>
      </c>
      <c r="AI20" s="4">
        <v>283</v>
      </c>
      <c r="AJ20" s="4">
        <v>3</v>
      </c>
      <c r="AK20" s="4">
        <v>1209</v>
      </c>
      <c r="AL20" s="4">
        <v>7</v>
      </c>
      <c r="AM20" s="4">
        <v>725.01</v>
      </c>
      <c r="AN20" s="4">
        <v>5</v>
      </c>
      <c r="AO20" s="4">
        <v>2047</v>
      </c>
      <c r="AP20" s="4">
        <v>8</v>
      </c>
      <c r="AQ20" s="4">
        <v>714.99</v>
      </c>
      <c r="AR20" s="4">
        <v>4</v>
      </c>
      <c r="AS20" s="4">
        <v>2379.08</v>
      </c>
      <c r="AT20" s="4">
        <v>10</v>
      </c>
      <c r="AU20" s="4">
        <v>0</v>
      </c>
      <c r="AV20" s="4">
        <v>0</v>
      </c>
      <c r="AW20" s="4">
        <v>0</v>
      </c>
      <c r="AX20" s="4">
        <v>0</v>
      </c>
      <c r="AY20" s="4">
        <v>475</v>
      </c>
      <c r="AZ20" s="4">
        <v>3</v>
      </c>
      <c r="BA20" s="4">
        <v>1067.96</v>
      </c>
      <c r="BB20" s="4">
        <v>7</v>
      </c>
      <c r="BC20" s="4">
        <v>0</v>
      </c>
      <c r="BD20" s="4">
        <v>0</v>
      </c>
      <c r="BE20" s="4">
        <v>0</v>
      </c>
      <c r="BF20" s="4">
        <v>0</v>
      </c>
      <c r="BQ20" s="3">
        <f t="shared" si="2"/>
        <v>30747.489999999998</v>
      </c>
      <c r="BR20" s="3">
        <f t="shared" si="1"/>
        <v>191</v>
      </c>
    </row>
    <row r="21" spans="1:70" x14ac:dyDescent="0.25">
      <c r="A21" s="4" t="s">
        <v>2145</v>
      </c>
      <c r="B21" t="s">
        <v>15</v>
      </c>
      <c r="C21" s="338" t="s">
        <v>1625</v>
      </c>
      <c r="D21" s="213" t="s">
        <v>716</v>
      </c>
      <c r="E21" s="213" t="s">
        <v>145</v>
      </c>
      <c r="F21" s="213" t="s">
        <v>131</v>
      </c>
      <c r="G21" s="4">
        <v>0</v>
      </c>
      <c r="H21" s="4">
        <v>0</v>
      </c>
      <c r="I21" s="4">
        <v>0</v>
      </c>
      <c r="J21" s="4">
        <v>0</v>
      </c>
      <c r="K21" s="4">
        <v>5242.0600000000004</v>
      </c>
      <c r="L21" s="4">
        <v>34</v>
      </c>
      <c r="M21" s="4">
        <v>3523.06</v>
      </c>
      <c r="N21" s="4">
        <v>23</v>
      </c>
      <c r="O21" s="4">
        <v>5080.0600000000004</v>
      </c>
      <c r="P21" s="4">
        <v>23</v>
      </c>
      <c r="Q21" s="4">
        <v>2067.02</v>
      </c>
      <c r="R21" s="4">
        <v>14</v>
      </c>
      <c r="S21" s="4">
        <v>2553.02</v>
      </c>
      <c r="T21" s="4">
        <v>16</v>
      </c>
      <c r="U21" s="4">
        <v>2454.0500000000002</v>
      </c>
      <c r="V21" s="4">
        <v>19</v>
      </c>
      <c r="W21" s="4">
        <v>0</v>
      </c>
      <c r="X21" s="4">
        <v>0</v>
      </c>
      <c r="Y21" s="4">
        <v>1305.04</v>
      </c>
      <c r="Z21" s="4">
        <v>11</v>
      </c>
      <c r="AA21" s="4">
        <v>2236.04</v>
      </c>
      <c r="AB21" s="4">
        <v>11</v>
      </c>
      <c r="AC21" s="4">
        <v>865.02</v>
      </c>
      <c r="AD21" s="4">
        <v>4</v>
      </c>
      <c r="AE21" s="4">
        <v>1656.02</v>
      </c>
      <c r="AF21" s="4">
        <v>13</v>
      </c>
      <c r="AG21" s="4">
        <v>7339.18</v>
      </c>
      <c r="AH21" s="4">
        <v>12</v>
      </c>
      <c r="AI21" s="4">
        <v>2421.0500000000002</v>
      </c>
      <c r="AJ21" s="4">
        <v>14</v>
      </c>
      <c r="AK21" s="4">
        <v>0</v>
      </c>
      <c r="AL21" s="4">
        <v>0</v>
      </c>
      <c r="AM21" s="4">
        <v>1688.02</v>
      </c>
      <c r="AN21" s="4">
        <v>11</v>
      </c>
      <c r="AO21" s="4">
        <v>1825.04</v>
      </c>
      <c r="AP21" s="4">
        <v>13</v>
      </c>
      <c r="AQ21" s="4">
        <v>1522.02</v>
      </c>
      <c r="AR21" s="4">
        <v>13</v>
      </c>
      <c r="AS21" s="4">
        <v>724.02</v>
      </c>
      <c r="AT21" s="4">
        <v>6</v>
      </c>
      <c r="AU21" s="4">
        <v>2345.09</v>
      </c>
      <c r="AV21" s="4">
        <v>11</v>
      </c>
      <c r="AW21" s="4">
        <v>1890.97</v>
      </c>
      <c r="AX21" s="4">
        <v>13</v>
      </c>
      <c r="AY21" s="4">
        <v>0</v>
      </c>
      <c r="AZ21" s="4">
        <v>0</v>
      </c>
      <c r="BA21" s="4">
        <v>2178.96</v>
      </c>
      <c r="BB21" s="4">
        <v>15</v>
      </c>
      <c r="BC21" s="4">
        <v>2281.9</v>
      </c>
      <c r="BD21" s="4">
        <v>12</v>
      </c>
      <c r="BE21" s="4">
        <v>0</v>
      </c>
      <c r="BF21" s="4">
        <v>0</v>
      </c>
      <c r="BQ21" s="3">
        <f t="shared" si="2"/>
        <v>51197.64</v>
      </c>
      <c r="BR21" s="3">
        <f t="shared" si="1"/>
        <v>288</v>
      </c>
    </row>
    <row r="22" spans="1:70" x14ac:dyDescent="0.25">
      <c r="A22" s="4" t="s">
        <v>2146</v>
      </c>
      <c r="B22" t="s">
        <v>15</v>
      </c>
      <c r="C22" s="338" t="s">
        <v>1626</v>
      </c>
      <c r="D22" s="213" t="s">
        <v>717</v>
      </c>
      <c r="E22" s="213" t="s">
        <v>145</v>
      </c>
      <c r="F22" s="213" t="s">
        <v>131</v>
      </c>
      <c r="G22" s="4">
        <v>4780.1099999999997</v>
      </c>
      <c r="H22" s="4">
        <v>35</v>
      </c>
      <c r="I22" s="4">
        <v>5531.16</v>
      </c>
      <c r="J22" s="4">
        <v>31</v>
      </c>
      <c r="K22" s="4">
        <v>3456.09</v>
      </c>
      <c r="L22" s="4">
        <v>27</v>
      </c>
      <c r="M22" s="4">
        <v>880.99</v>
      </c>
      <c r="N22" s="4">
        <v>9</v>
      </c>
      <c r="O22" s="4">
        <v>2896.04</v>
      </c>
      <c r="P22" s="4">
        <v>16</v>
      </c>
      <c r="Q22" s="4">
        <v>2009.06</v>
      </c>
      <c r="R22" s="4">
        <v>15</v>
      </c>
      <c r="S22" s="4">
        <v>1705.05</v>
      </c>
      <c r="T22" s="4">
        <v>11</v>
      </c>
      <c r="U22" s="4">
        <v>2440.9899999999998</v>
      </c>
      <c r="V22" s="4">
        <v>18</v>
      </c>
      <c r="W22" s="4">
        <v>3622.03</v>
      </c>
      <c r="X22" s="4">
        <v>25</v>
      </c>
      <c r="Y22" s="4">
        <v>2206.02</v>
      </c>
      <c r="Z22" s="4">
        <v>14</v>
      </c>
      <c r="AA22" s="4">
        <v>0</v>
      </c>
      <c r="AB22" s="4">
        <v>0</v>
      </c>
      <c r="AC22" s="4">
        <v>2633.06</v>
      </c>
      <c r="AD22" s="4">
        <v>19</v>
      </c>
      <c r="AE22" s="4">
        <v>2901.03</v>
      </c>
      <c r="AF22" s="4">
        <v>18</v>
      </c>
      <c r="AG22" s="4">
        <v>1206</v>
      </c>
      <c r="AH22" s="4">
        <v>8</v>
      </c>
      <c r="AI22" s="4">
        <v>1350.03</v>
      </c>
      <c r="AJ22" s="4">
        <v>10</v>
      </c>
      <c r="AK22" s="4">
        <v>3304.05</v>
      </c>
      <c r="AL22" s="4">
        <v>24</v>
      </c>
      <c r="AM22" s="4">
        <v>1965.02</v>
      </c>
      <c r="AN22" s="4">
        <v>14</v>
      </c>
      <c r="AO22" s="4">
        <v>625.02</v>
      </c>
      <c r="AP22" s="4">
        <v>3</v>
      </c>
      <c r="AQ22" s="4">
        <v>859.01</v>
      </c>
      <c r="AR22" s="4">
        <v>8</v>
      </c>
      <c r="AS22" s="4">
        <v>2290.02</v>
      </c>
      <c r="AT22" s="4">
        <v>14</v>
      </c>
      <c r="AU22" s="4">
        <v>0</v>
      </c>
      <c r="AV22" s="4">
        <v>0</v>
      </c>
      <c r="AW22" s="4">
        <v>2925.82</v>
      </c>
      <c r="AX22" s="4">
        <v>11</v>
      </c>
      <c r="AY22" s="4">
        <v>2827.91</v>
      </c>
      <c r="AZ22" s="4">
        <v>19</v>
      </c>
      <c r="BA22" s="4">
        <v>1137.97</v>
      </c>
      <c r="BB22" s="4">
        <v>6</v>
      </c>
      <c r="BC22" s="4">
        <v>75</v>
      </c>
      <c r="BD22" s="4">
        <v>1</v>
      </c>
      <c r="BE22" s="4">
        <v>4516.22</v>
      </c>
      <c r="BF22" s="4">
        <v>23</v>
      </c>
      <c r="BQ22" s="3">
        <f t="shared" si="2"/>
        <v>58143.7</v>
      </c>
      <c r="BR22" s="3">
        <f t="shared" si="1"/>
        <v>379</v>
      </c>
    </row>
    <row r="23" spans="1:70" x14ac:dyDescent="0.25">
      <c r="A23" s="4" t="s">
        <v>2147</v>
      </c>
      <c r="B23" t="s">
        <v>15</v>
      </c>
      <c r="C23" s="338" t="s">
        <v>1627</v>
      </c>
      <c r="D23" s="213" t="s">
        <v>718</v>
      </c>
      <c r="E23" s="213" t="s">
        <v>145</v>
      </c>
      <c r="F23" s="213" t="s">
        <v>131</v>
      </c>
      <c r="G23" s="4">
        <v>4466.1499999999996</v>
      </c>
      <c r="H23" s="4">
        <v>32</v>
      </c>
      <c r="I23" s="4">
        <v>5460.05</v>
      </c>
      <c r="J23" s="4">
        <v>46</v>
      </c>
      <c r="K23" s="4">
        <v>2876.06</v>
      </c>
      <c r="L23" s="4">
        <v>25</v>
      </c>
      <c r="M23" s="4">
        <v>3939.04</v>
      </c>
      <c r="N23" s="4">
        <v>29</v>
      </c>
      <c r="O23" s="4">
        <v>775</v>
      </c>
      <c r="P23" s="4">
        <v>5</v>
      </c>
      <c r="Q23" s="4">
        <v>1756.03</v>
      </c>
      <c r="R23" s="4">
        <v>14</v>
      </c>
      <c r="S23" s="4">
        <v>1884.02</v>
      </c>
      <c r="T23" s="4">
        <v>13</v>
      </c>
      <c r="U23" s="4">
        <v>2489.0500000000002</v>
      </c>
      <c r="V23" s="4">
        <v>20</v>
      </c>
      <c r="W23" s="4">
        <v>5005.07</v>
      </c>
      <c r="X23" s="4">
        <v>35</v>
      </c>
      <c r="Y23" s="4">
        <v>1710.02</v>
      </c>
      <c r="Z23" s="4">
        <v>15</v>
      </c>
      <c r="AA23" s="4">
        <v>1262.02</v>
      </c>
      <c r="AB23" s="4">
        <v>12</v>
      </c>
      <c r="AC23" s="4">
        <v>2041.07</v>
      </c>
      <c r="AD23" s="4">
        <v>17</v>
      </c>
      <c r="AE23" s="4">
        <v>0</v>
      </c>
      <c r="AF23" s="4">
        <v>0</v>
      </c>
      <c r="AG23" s="4">
        <v>1583</v>
      </c>
      <c r="AH23" s="4">
        <v>12</v>
      </c>
      <c r="AI23" s="4">
        <v>1624.02</v>
      </c>
      <c r="AJ23" s="4">
        <v>17</v>
      </c>
      <c r="AK23" s="4">
        <v>4356.05</v>
      </c>
      <c r="AL23" s="4">
        <v>29</v>
      </c>
      <c r="AM23" s="4">
        <v>2610.0500000000002</v>
      </c>
      <c r="AN23" s="4">
        <v>13</v>
      </c>
      <c r="AO23" s="4">
        <v>2608.02</v>
      </c>
      <c r="AP23" s="4">
        <v>18</v>
      </c>
      <c r="AQ23" s="4">
        <v>265.01</v>
      </c>
      <c r="AR23" s="4">
        <v>2</v>
      </c>
      <c r="AS23" s="4">
        <v>550.01</v>
      </c>
      <c r="AT23" s="4">
        <v>4</v>
      </c>
      <c r="AU23" s="4">
        <v>4097.1000000000004</v>
      </c>
      <c r="AV23" s="4">
        <v>28</v>
      </c>
      <c r="AW23" s="4">
        <v>3193.93</v>
      </c>
      <c r="AX23" s="4">
        <v>20</v>
      </c>
      <c r="AY23" s="4">
        <v>2807.84</v>
      </c>
      <c r="AZ23" s="4">
        <v>21</v>
      </c>
      <c r="BA23" s="4">
        <v>1629.9</v>
      </c>
      <c r="BB23" s="4">
        <v>11</v>
      </c>
      <c r="BC23" s="4">
        <v>1429.9</v>
      </c>
      <c r="BD23" s="4">
        <v>8</v>
      </c>
      <c r="BE23" s="4">
        <v>1258.06</v>
      </c>
      <c r="BF23" s="4">
        <v>8</v>
      </c>
      <c r="BQ23" s="3">
        <f t="shared" si="2"/>
        <v>61676.47</v>
      </c>
      <c r="BR23" s="3">
        <f t="shared" si="1"/>
        <v>454</v>
      </c>
    </row>
    <row r="24" spans="1:70" x14ac:dyDescent="0.25">
      <c r="A24" s="4" t="s">
        <v>2148</v>
      </c>
      <c r="B24" t="s">
        <v>16</v>
      </c>
      <c r="C24" s="338" t="s">
        <v>1628</v>
      </c>
      <c r="D24" s="213" t="s">
        <v>719</v>
      </c>
      <c r="E24" s="213" t="s">
        <v>138</v>
      </c>
      <c r="F24" s="213" t="s">
        <v>128</v>
      </c>
      <c r="G24" s="4">
        <v>2210.0300000000002</v>
      </c>
      <c r="H24" s="4">
        <v>18</v>
      </c>
      <c r="I24" s="4">
        <v>529.01</v>
      </c>
      <c r="J24" s="4">
        <v>4</v>
      </c>
      <c r="K24" s="4">
        <v>1504.06</v>
      </c>
      <c r="L24" s="4">
        <v>13</v>
      </c>
      <c r="M24" s="4">
        <v>1824.97</v>
      </c>
      <c r="N24" s="4">
        <v>7</v>
      </c>
      <c r="O24" s="4">
        <v>775.01</v>
      </c>
      <c r="P24" s="4">
        <v>6</v>
      </c>
      <c r="Q24" s="4">
        <v>1972.06</v>
      </c>
      <c r="R24" s="4">
        <v>15</v>
      </c>
      <c r="S24" s="4">
        <v>1621.05</v>
      </c>
      <c r="T24" s="4">
        <v>13</v>
      </c>
      <c r="U24" s="4">
        <v>1285.01</v>
      </c>
      <c r="V24" s="4">
        <v>8</v>
      </c>
      <c r="W24" s="4">
        <v>0</v>
      </c>
      <c r="X24" s="4">
        <v>0</v>
      </c>
      <c r="Y24" s="4">
        <v>1148.03</v>
      </c>
      <c r="Z24" s="4">
        <v>9</v>
      </c>
      <c r="AA24" s="4">
        <v>550.01</v>
      </c>
      <c r="AB24" s="4">
        <v>5</v>
      </c>
      <c r="AC24" s="4">
        <v>385</v>
      </c>
      <c r="AD24" s="4">
        <v>3</v>
      </c>
      <c r="AE24" s="4">
        <v>1689.03</v>
      </c>
      <c r="AF24" s="4">
        <v>10</v>
      </c>
      <c r="AG24" s="4">
        <v>954.03</v>
      </c>
      <c r="AH24" s="4">
        <v>9</v>
      </c>
      <c r="AI24" s="4">
        <v>1280.04</v>
      </c>
      <c r="AJ24" s="4">
        <v>10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803.03</v>
      </c>
      <c r="AR24" s="4">
        <v>7</v>
      </c>
      <c r="AS24" s="4">
        <v>1275.05</v>
      </c>
      <c r="AT24" s="4">
        <v>9</v>
      </c>
      <c r="AU24" s="4">
        <v>1257.04</v>
      </c>
      <c r="AV24" s="4">
        <v>9</v>
      </c>
      <c r="AW24" s="4">
        <v>646.96</v>
      </c>
      <c r="AX24" s="4">
        <v>5</v>
      </c>
      <c r="AY24" s="4">
        <v>435.99</v>
      </c>
      <c r="AZ24" s="4">
        <v>3</v>
      </c>
      <c r="BA24" s="4">
        <v>0</v>
      </c>
      <c r="BB24" s="4">
        <v>0</v>
      </c>
      <c r="BC24" s="4">
        <v>856.92</v>
      </c>
      <c r="BD24" s="4">
        <v>5</v>
      </c>
      <c r="BE24" s="4">
        <v>2503.16</v>
      </c>
      <c r="BF24" s="4">
        <v>14</v>
      </c>
      <c r="BQ24" s="3">
        <f t="shared" si="2"/>
        <v>25505.49</v>
      </c>
      <c r="BR24" s="3">
        <f t="shared" si="1"/>
        <v>182</v>
      </c>
    </row>
    <row r="25" spans="1:70" x14ac:dyDescent="0.25">
      <c r="A25" s="4" t="s">
        <v>2149</v>
      </c>
      <c r="B25" t="s">
        <v>16</v>
      </c>
      <c r="C25" s="338" t="s">
        <v>1629</v>
      </c>
      <c r="D25" s="213" t="s">
        <v>720</v>
      </c>
      <c r="E25" s="213" t="s">
        <v>138</v>
      </c>
      <c r="F25" s="213" t="s">
        <v>128</v>
      </c>
      <c r="G25" s="4">
        <v>1046.03</v>
      </c>
      <c r="H25" s="4">
        <v>6</v>
      </c>
      <c r="I25" s="4">
        <v>0</v>
      </c>
      <c r="J25" s="4">
        <v>0</v>
      </c>
      <c r="K25" s="4">
        <v>1865.03</v>
      </c>
      <c r="L25" s="4">
        <v>14</v>
      </c>
      <c r="M25" s="4">
        <v>1035.02</v>
      </c>
      <c r="N25" s="4">
        <v>7</v>
      </c>
      <c r="O25" s="4">
        <v>751</v>
      </c>
      <c r="P25" s="4">
        <v>7</v>
      </c>
      <c r="Q25" s="4">
        <v>0</v>
      </c>
      <c r="R25" s="4">
        <v>0</v>
      </c>
      <c r="S25" s="4">
        <v>0</v>
      </c>
      <c r="T25" s="4">
        <v>0</v>
      </c>
      <c r="U25" s="4">
        <v>1208.02</v>
      </c>
      <c r="V25" s="4">
        <v>10</v>
      </c>
      <c r="W25" s="4">
        <v>1032.02</v>
      </c>
      <c r="X25" s="4">
        <v>9</v>
      </c>
      <c r="Y25" s="4">
        <v>710</v>
      </c>
      <c r="Z25" s="4">
        <v>4</v>
      </c>
      <c r="AA25" s="4">
        <v>559.01</v>
      </c>
      <c r="AB25" s="4">
        <v>4</v>
      </c>
      <c r="AC25" s="4">
        <v>740</v>
      </c>
      <c r="AD25" s="4">
        <v>5</v>
      </c>
      <c r="AE25" s="4">
        <v>415.01</v>
      </c>
      <c r="AF25" s="4">
        <v>3</v>
      </c>
      <c r="AG25" s="4">
        <v>0</v>
      </c>
      <c r="AH25" s="4">
        <v>0</v>
      </c>
      <c r="AI25" s="4">
        <v>844.02</v>
      </c>
      <c r="AJ25" s="4">
        <v>5</v>
      </c>
      <c r="AK25" s="4">
        <v>0</v>
      </c>
      <c r="AL25" s="4">
        <v>0</v>
      </c>
      <c r="AM25" s="4">
        <v>1691.02</v>
      </c>
      <c r="AN25" s="4">
        <v>11</v>
      </c>
      <c r="AO25" s="4">
        <v>785.01</v>
      </c>
      <c r="AP25" s="4">
        <v>6</v>
      </c>
      <c r="AQ25" s="4">
        <v>536.01</v>
      </c>
      <c r="AR25" s="4">
        <v>4</v>
      </c>
      <c r="AS25" s="4">
        <v>1168.01</v>
      </c>
      <c r="AT25" s="4">
        <v>8</v>
      </c>
      <c r="AU25" s="4">
        <v>0</v>
      </c>
      <c r="AV25" s="4">
        <v>0</v>
      </c>
      <c r="AW25" s="4">
        <v>1131.96</v>
      </c>
      <c r="AX25" s="4">
        <v>7</v>
      </c>
      <c r="AY25" s="4">
        <v>1066.97</v>
      </c>
      <c r="AZ25" s="4">
        <v>8</v>
      </c>
      <c r="BA25" s="4">
        <v>0</v>
      </c>
      <c r="BB25" s="4">
        <v>0</v>
      </c>
      <c r="BC25" s="4">
        <v>820.96</v>
      </c>
      <c r="BD25" s="4">
        <v>6</v>
      </c>
      <c r="BE25" s="4">
        <v>2135.15</v>
      </c>
      <c r="BF25" s="4">
        <v>9</v>
      </c>
      <c r="BQ25" s="3">
        <f t="shared" si="2"/>
        <v>19540.250000000004</v>
      </c>
      <c r="BR25" s="3">
        <f t="shared" si="1"/>
        <v>133</v>
      </c>
    </row>
    <row r="26" spans="1:70" x14ac:dyDescent="0.25">
      <c r="A26" s="4" t="s">
        <v>2150</v>
      </c>
      <c r="B26" t="s">
        <v>16</v>
      </c>
      <c r="C26" s="338" t="s">
        <v>1630</v>
      </c>
      <c r="D26" s="213" t="s">
        <v>721</v>
      </c>
      <c r="E26" s="213" t="s">
        <v>138</v>
      </c>
      <c r="F26" s="213" t="s">
        <v>128</v>
      </c>
      <c r="G26" s="4">
        <v>5115.07</v>
      </c>
      <c r="H26" s="4">
        <v>30</v>
      </c>
      <c r="I26" s="4">
        <v>0</v>
      </c>
      <c r="J26" s="4">
        <v>0</v>
      </c>
      <c r="K26" s="4">
        <v>0</v>
      </c>
      <c r="L26" s="4">
        <v>0</v>
      </c>
      <c r="M26" s="4">
        <v>2052.04</v>
      </c>
      <c r="N26" s="4">
        <v>14</v>
      </c>
      <c r="O26" s="4">
        <v>0</v>
      </c>
      <c r="P26" s="4">
        <v>0</v>
      </c>
      <c r="Q26" s="4">
        <v>2849.01</v>
      </c>
      <c r="R26" s="4">
        <v>14</v>
      </c>
      <c r="S26" s="4">
        <v>1624.02</v>
      </c>
      <c r="T26" s="4">
        <v>11</v>
      </c>
      <c r="U26" s="4">
        <v>525.01</v>
      </c>
      <c r="V26" s="4">
        <v>3</v>
      </c>
      <c r="W26" s="4">
        <v>1765</v>
      </c>
      <c r="X26" s="4">
        <v>10</v>
      </c>
      <c r="Y26" s="4">
        <v>474.02</v>
      </c>
      <c r="Z26" s="4">
        <v>5</v>
      </c>
      <c r="AA26" s="4">
        <v>0</v>
      </c>
      <c r="AB26" s="4">
        <v>0</v>
      </c>
      <c r="AC26" s="4">
        <v>0</v>
      </c>
      <c r="AD26" s="4">
        <v>0</v>
      </c>
      <c r="AE26" s="4">
        <v>450.01</v>
      </c>
      <c r="AF26" s="4">
        <v>3</v>
      </c>
      <c r="AG26" s="4">
        <v>1275.04</v>
      </c>
      <c r="AH26" s="4">
        <v>10</v>
      </c>
      <c r="AI26" s="4">
        <v>975</v>
      </c>
      <c r="AJ26" s="4">
        <v>6</v>
      </c>
      <c r="AK26" s="4">
        <v>1315.03</v>
      </c>
      <c r="AL26" s="4">
        <v>10</v>
      </c>
      <c r="AM26" s="4">
        <v>1642.99</v>
      </c>
      <c r="AN26" s="4">
        <v>9</v>
      </c>
      <c r="AO26" s="4">
        <v>980.02</v>
      </c>
      <c r="AP26" s="4">
        <v>8</v>
      </c>
      <c r="AQ26" s="4">
        <v>975.01</v>
      </c>
      <c r="AR26" s="4">
        <v>7</v>
      </c>
      <c r="AS26" s="4">
        <v>0</v>
      </c>
      <c r="AT26" s="4">
        <v>0</v>
      </c>
      <c r="AU26" s="4">
        <v>0</v>
      </c>
      <c r="AV26" s="4">
        <v>0</v>
      </c>
      <c r="AW26" s="4">
        <v>707.94</v>
      </c>
      <c r="AX26" s="4">
        <v>3</v>
      </c>
      <c r="AY26" s="4">
        <v>1755.89</v>
      </c>
      <c r="AZ26" s="4">
        <v>10</v>
      </c>
      <c r="BA26" s="4">
        <v>225.98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Q26" s="3">
        <f t="shared" si="2"/>
        <v>24707.079999999998</v>
      </c>
      <c r="BR26" s="3">
        <f t="shared" si="1"/>
        <v>154</v>
      </c>
    </row>
    <row r="27" spans="1:70" x14ac:dyDescent="0.25">
      <c r="A27" s="4" t="s">
        <v>2151</v>
      </c>
      <c r="B27" t="s">
        <v>16</v>
      </c>
      <c r="C27" s="338" t="s">
        <v>1631</v>
      </c>
      <c r="D27" s="213" t="s">
        <v>722</v>
      </c>
      <c r="E27" s="213" t="s">
        <v>138</v>
      </c>
      <c r="F27" s="213" t="s">
        <v>128</v>
      </c>
      <c r="G27" s="4">
        <v>4313.1899999999996</v>
      </c>
      <c r="H27" s="4">
        <v>13</v>
      </c>
      <c r="I27" s="4">
        <v>3786.1</v>
      </c>
      <c r="J27" s="4">
        <v>25</v>
      </c>
      <c r="K27" s="4">
        <v>2628.05</v>
      </c>
      <c r="L27" s="4">
        <v>16</v>
      </c>
      <c r="M27" s="4">
        <v>2134.0300000000002</v>
      </c>
      <c r="N27" s="4">
        <v>13</v>
      </c>
      <c r="O27" s="4">
        <v>1416.03</v>
      </c>
      <c r="P27" s="4">
        <v>6</v>
      </c>
      <c r="Q27" s="4">
        <v>0</v>
      </c>
      <c r="R27" s="4">
        <v>0</v>
      </c>
      <c r="S27" s="4">
        <v>0</v>
      </c>
      <c r="T27" s="4">
        <v>0</v>
      </c>
      <c r="U27" s="4">
        <v>1391.02</v>
      </c>
      <c r="V27" s="4">
        <v>8</v>
      </c>
      <c r="W27" s="4">
        <v>1079.02</v>
      </c>
      <c r="X27" s="4">
        <v>7</v>
      </c>
      <c r="Y27" s="4">
        <v>1564.04</v>
      </c>
      <c r="Z27" s="4">
        <v>12</v>
      </c>
      <c r="AA27" s="4">
        <v>1840.02</v>
      </c>
      <c r="AB27" s="4">
        <v>11</v>
      </c>
      <c r="AC27" s="4">
        <v>600.01</v>
      </c>
      <c r="AD27" s="4">
        <v>4</v>
      </c>
      <c r="AE27" s="4">
        <v>0</v>
      </c>
      <c r="AF27" s="4">
        <v>0</v>
      </c>
      <c r="AG27" s="4">
        <v>150</v>
      </c>
      <c r="AH27" s="4">
        <v>1</v>
      </c>
      <c r="AI27" s="4">
        <v>483.01</v>
      </c>
      <c r="AJ27" s="4">
        <v>3</v>
      </c>
      <c r="AK27" s="4">
        <v>1312.04</v>
      </c>
      <c r="AL27" s="4">
        <v>8</v>
      </c>
      <c r="AM27" s="4">
        <v>1155.02</v>
      </c>
      <c r="AN27" s="4">
        <v>7</v>
      </c>
      <c r="AO27" s="4">
        <v>600</v>
      </c>
      <c r="AP27" s="4">
        <v>5</v>
      </c>
      <c r="AQ27" s="4">
        <v>1050.01</v>
      </c>
      <c r="AR27" s="4">
        <v>7</v>
      </c>
      <c r="AS27" s="4">
        <v>0</v>
      </c>
      <c r="AT27" s="4">
        <v>0</v>
      </c>
      <c r="AU27" s="4">
        <v>1075.01</v>
      </c>
      <c r="AV27" s="4">
        <v>6</v>
      </c>
      <c r="AW27" s="4">
        <v>1041.94</v>
      </c>
      <c r="AX27" s="4">
        <v>8</v>
      </c>
      <c r="AY27" s="4">
        <v>1064.93</v>
      </c>
      <c r="AZ27" s="4">
        <v>6</v>
      </c>
      <c r="BA27" s="4">
        <v>2995.89</v>
      </c>
      <c r="BB27" s="4">
        <v>16</v>
      </c>
      <c r="BC27" s="4">
        <v>1976.91</v>
      </c>
      <c r="BD27" s="4">
        <v>10</v>
      </c>
      <c r="BE27" s="4">
        <v>0</v>
      </c>
      <c r="BF27" s="4">
        <v>0</v>
      </c>
      <c r="BQ27" s="3">
        <f t="shared" si="2"/>
        <v>33656.269999999997</v>
      </c>
      <c r="BR27" s="3">
        <f t="shared" si="1"/>
        <v>192</v>
      </c>
    </row>
    <row r="28" spans="1:70" x14ac:dyDescent="0.25">
      <c r="A28" s="4" t="s">
        <v>2152</v>
      </c>
      <c r="B28" t="s">
        <v>16</v>
      </c>
      <c r="C28" s="338" t="s">
        <v>1632</v>
      </c>
      <c r="D28" s="213" t="s">
        <v>723</v>
      </c>
      <c r="E28" s="213" t="s">
        <v>138</v>
      </c>
      <c r="F28" s="213" t="s">
        <v>128</v>
      </c>
      <c r="G28" s="4">
        <v>2350.0500000000002</v>
      </c>
      <c r="H28" s="4">
        <v>15</v>
      </c>
      <c r="I28" s="4">
        <v>3766.07</v>
      </c>
      <c r="J28" s="4">
        <v>20</v>
      </c>
      <c r="K28" s="4">
        <v>375</v>
      </c>
      <c r="L28" s="4">
        <v>3</v>
      </c>
      <c r="M28" s="4">
        <v>0</v>
      </c>
      <c r="N28" s="4">
        <v>0</v>
      </c>
      <c r="O28" s="4">
        <v>2074.0700000000002</v>
      </c>
      <c r="P28" s="4">
        <v>15</v>
      </c>
      <c r="Q28" s="4">
        <v>2157.08</v>
      </c>
      <c r="R28" s="4">
        <v>15</v>
      </c>
      <c r="S28" s="4">
        <v>3162.06</v>
      </c>
      <c r="T28" s="4">
        <v>20</v>
      </c>
      <c r="U28" s="4">
        <v>920.01</v>
      </c>
      <c r="V28" s="4">
        <v>6</v>
      </c>
      <c r="W28" s="4">
        <v>1200</v>
      </c>
      <c r="X28" s="4">
        <v>9</v>
      </c>
      <c r="Y28" s="4">
        <v>1645.01</v>
      </c>
      <c r="Z28" s="4">
        <v>12</v>
      </c>
      <c r="AA28" s="4">
        <v>150</v>
      </c>
      <c r="AB28" s="4">
        <v>1</v>
      </c>
      <c r="AC28" s="4">
        <v>847.04</v>
      </c>
      <c r="AD28" s="4">
        <v>6</v>
      </c>
      <c r="AE28" s="4">
        <v>1505.03</v>
      </c>
      <c r="AF28" s="4">
        <v>10</v>
      </c>
      <c r="AG28" s="4">
        <v>1160.03</v>
      </c>
      <c r="AH28" s="4">
        <v>8</v>
      </c>
      <c r="AI28" s="4">
        <v>1315.02</v>
      </c>
      <c r="AJ28" s="4">
        <v>10</v>
      </c>
      <c r="AK28" s="4">
        <v>614</v>
      </c>
      <c r="AL28" s="4">
        <v>3</v>
      </c>
      <c r="AM28" s="4">
        <v>1947.04</v>
      </c>
      <c r="AN28" s="4">
        <v>13</v>
      </c>
      <c r="AO28" s="4">
        <v>375</v>
      </c>
      <c r="AP28" s="4">
        <v>3</v>
      </c>
      <c r="AQ28" s="4">
        <v>0</v>
      </c>
      <c r="AR28" s="4">
        <v>0</v>
      </c>
      <c r="AS28" s="4">
        <v>1848.06</v>
      </c>
      <c r="AT28" s="4">
        <v>11</v>
      </c>
      <c r="AU28" s="4">
        <v>944.02</v>
      </c>
      <c r="AV28" s="4">
        <v>6</v>
      </c>
      <c r="AW28" s="4">
        <v>865</v>
      </c>
      <c r="AX28" s="4">
        <v>5</v>
      </c>
      <c r="AY28" s="4">
        <v>0</v>
      </c>
      <c r="AZ28" s="4">
        <v>0</v>
      </c>
      <c r="BA28" s="4">
        <v>587.98</v>
      </c>
      <c r="BB28" s="4">
        <v>5</v>
      </c>
      <c r="BC28" s="4">
        <v>1107.98</v>
      </c>
      <c r="BD28" s="4">
        <v>6</v>
      </c>
      <c r="BE28" s="4">
        <v>1093.08</v>
      </c>
      <c r="BF28" s="4">
        <v>6</v>
      </c>
      <c r="BQ28" s="3">
        <f t="shared" si="2"/>
        <v>32008.629999999997</v>
      </c>
      <c r="BR28" s="3">
        <f t="shared" si="1"/>
        <v>208</v>
      </c>
    </row>
    <row r="29" spans="1:70" x14ac:dyDescent="0.25">
      <c r="A29" s="4" t="s">
        <v>2153</v>
      </c>
      <c r="B29" t="s">
        <v>16</v>
      </c>
      <c r="C29" s="338" t="s">
        <v>1633</v>
      </c>
      <c r="D29" s="213" t="s">
        <v>724</v>
      </c>
      <c r="E29" s="213" t="s">
        <v>138</v>
      </c>
      <c r="F29" s="213" t="s">
        <v>128</v>
      </c>
      <c r="G29" s="4">
        <v>1616.03</v>
      </c>
      <c r="H29" s="4">
        <v>10</v>
      </c>
      <c r="I29" s="4">
        <v>2080.06</v>
      </c>
      <c r="J29" s="4">
        <v>15</v>
      </c>
      <c r="K29" s="4">
        <v>2405.08</v>
      </c>
      <c r="L29" s="4">
        <v>16</v>
      </c>
      <c r="M29" s="4">
        <v>3085.04</v>
      </c>
      <c r="N29" s="4">
        <v>20</v>
      </c>
      <c r="O29" s="4">
        <v>2412.0700000000002</v>
      </c>
      <c r="P29" s="4">
        <v>16</v>
      </c>
      <c r="Q29" s="4">
        <v>109</v>
      </c>
      <c r="R29" s="4">
        <v>1</v>
      </c>
      <c r="S29" s="4">
        <v>0</v>
      </c>
      <c r="T29" s="4">
        <v>0</v>
      </c>
      <c r="U29" s="4">
        <v>1136.02</v>
      </c>
      <c r="V29" s="4">
        <v>9</v>
      </c>
      <c r="W29" s="4">
        <v>2073.0300000000002</v>
      </c>
      <c r="X29" s="4">
        <v>10</v>
      </c>
      <c r="Y29" s="4">
        <v>499.02</v>
      </c>
      <c r="Z29" s="4">
        <v>4</v>
      </c>
      <c r="AA29" s="4">
        <v>2220.02</v>
      </c>
      <c r="AB29" s="4">
        <v>13</v>
      </c>
      <c r="AC29" s="4">
        <v>1453.03</v>
      </c>
      <c r="AD29" s="4">
        <v>9</v>
      </c>
      <c r="AE29" s="4">
        <v>1151.04</v>
      </c>
      <c r="AF29" s="4">
        <v>6</v>
      </c>
      <c r="AG29" s="4">
        <v>1600.04</v>
      </c>
      <c r="AH29" s="4">
        <v>11</v>
      </c>
      <c r="AI29" s="4">
        <v>1149.03</v>
      </c>
      <c r="AJ29" s="4">
        <v>9</v>
      </c>
      <c r="AK29" s="4">
        <v>2133.0300000000002</v>
      </c>
      <c r="AL29" s="4">
        <v>14</v>
      </c>
      <c r="AM29" s="4">
        <v>0</v>
      </c>
      <c r="AN29" s="4">
        <v>0</v>
      </c>
      <c r="AO29" s="4">
        <v>0</v>
      </c>
      <c r="AP29" s="4">
        <v>0</v>
      </c>
      <c r="AQ29" s="4">
        <v>814</v>
      </c>
      <c r="AR29" s="4">
        <v>5</v>
      </c>
      <c r="AS29" s="4">
        <v>1634.05</v>
      </c>
      <c r="AT29" s="4">
        <v>9</v>
      </c>
      <c r="AU29" s="4">
        <v>1489.01</v>
      </c>
      <c r="AV29" s="4">
        <v>8</v>
      </c>
      <c r="AW29" s="4">
        <v>920.97</v>
      </c>
      <c r="AX29" s="4">
        <v>6</v>
      </c>
      <c r="AY29" s="4">
        <v>1352.95</v>
      </c>
      <c r="AZ29" s="4">
        <v>8</v>
      </c>
      <c r="BA29" s="4">
        <v>1878.91</v>
      </c>
      <c r="BB29" s="4">
        <v>10</v>
      </c>
      <c r="BC29" s="4">
        <v>360.98</v>
      </c>
      <c r="BD29" s="4">
        <v>2</v>
      </c>
      <c r="BE29" s="4">
        <v>1228.04</v>
      </c>
      <c r="BF29" s="4">
        <v>12</v>
      </c>
      <c r="BQ29" s="3">
        <f t="shared" si="2"/>
        <v>34800.450000000004</v>
      </c>
      <c r="BR29" s="3">
        <f t="shared" si="1"/>
        <v>223</v>
      </c>
    </row>
    <row r="30" spans="1:70" x14ac:dyDescent="0.25">
      <c r="A30" s="4" t="s">
        <v>2154</v>
      </c>
      <c r="B30" t="s">
        <v>17</v>
      </c>
      <c r="C30" s="338" t="s">
        <v>1634</v>
      </c>
      <c r="D30" s="213" t="s">
        <v>725</v>
      </c>
      <c r="E30" s="213" t="s">
        <v>138</v>
      </c>
      <c r="F30" s="213" t="s">
        <v>128</v>
      </c>
      <c r="G30" s="4">
        <v>-14</v>
      </c>
      <c r="H30" s="4">
        <v>1</v>
      </c>
      <c r="I30" s="4">
        <v>192.02</v>
      </c>
      <c r="J30" s="4">
        <v>3</v>
      </c>
      <c r="K30" s="4">
        <v>0</v>
      </c>
      <c r="L30" s="4">
        <v>3</v>
      </c>
      <c r="M30" s="4">
        <v>-1200.04</v>
      </c>
      <c r="N30" s="4">
        <v>9</v>
      </c>
      <c r="O30" s="4">
        <v>300.02</v>
      </c>
      <c r="P30" s="4">
        <v>4</v>
      </c>
      <c r="Q30" s="4">
        <v>2258.02</v>
      </c>
      <c r="R30" s="4">
        <v>10</v>
      </c>
      <c r="S30" s="4">
        <v>465.01</v>
      </c>
      <c r="T30" s="4">
        <v>4</v>
      </c>
      <c r="U30" s="4">
        <v>-300.02</v>
      </c>
      <c r="V30" s="4">
        <v>4</v>
      </c>
      <c r="W30" s="4">
        <v>1251.01</v>
      </c>
      <c r="X30" s="4">
        <v>8</v>
      </c>
      <c r="Y30" s="4">
        <v>575</v>
      </c>
      <c r="Z30" s="4">
        <v>3</v>
      </c>
      <c r="AA30" s="4">
        <v>115</v>
      </c>
      <c r="AB30" s="4">
        <v>1</v>
      </c>
      <c r="AC30" s="4">
        <v>0</v>
      </c>
      <c r="AD30" s="4">
        <v>0</v>
      </c>
      <c r="AE30" s="4">
        <v>300.01</v>
      </c>
      <c r="AF30" s="4">
        <v>4</v>
      </c>
      <c r="AG30" s="4">
        <v>0</v>
      </c>
      <c r="AH30" s="4">
        <v>0</v>
      </c>
      <c r="AI30" s="4">
        <v>0</v>
      </c>
      <c r="AJ30" s="4">
        <v>0</v>
      </c>
      <c r="AK30" s="4">
        <v>150.01</v>
      </c>
      <c r="AL30" s="4">
        <v>2</v>
      </c>
      <c r="AM30" s="4">
        <v>755</v>
      </c>
      <c r="AN30" s="4">
        <v>6</v>
      </c>
      <c r="AO30" s="4">
        <v>295.99</v>
      </c>
      <c r="AP30" s="4">
        <v>9</v>
      </c>
      <c r="AQ30" s="4">
        <v>0</v>
      </c>
      <c r="AR30" s="4">
        <v>1</v>
      </c>
      <c r="AS30" s="4">
        <v>580.01</v>
      </c>
      <c r="AT30" s="4">
        <v>8</v>
      </c>
      <c r="AU30" s="4">
        <v>324.99</v>
      </c>
      <c r="AV30" s="4">
        <v>2</v>
      </c>
      <c r="AW30" s="4">
        <v>421.96</v>
      </c>
      <c r="AX30" s="4">
        <v>2</v>
      </c>
      <c r="AY30" s="4">
        <v>460.99</v>
      </c>
      <c r="AZ30" s="4">
        <v>3</v>
      </c>
      <c r="BA30" s="4">
        <v>115</v>
      </c>
      <c r="BB30" s="4">
        <v>1</v>
      </c>
      <c r="BC30" s="4">
        <v>0.01</v>
      </c>
      <c r="BD30" s="4">
        <v>4</v>
      </c>
      <c r="BE30" s="4">
        <v>136.02000000000001</v>
      </c>
      <c r="BF30" s="4">
        <v>2</v>
      </c>
      <c r="BQ30" s="3">
        <f t="shared" si="2"/>
        <v>7182.01</v>
      </c>
      <c r="BR30" s="3">
        <f t="shared" si="1"/>
        <v>94</v>
      </c>
    </row>
    <row r="31" spans="1:70" x14ac:dyDescent="0.25">
      <c r="A31" s="4" t="s">
        <v>2155</v>
      </c>
      <c r="B31" t="s">
        <v>17</v>
      </c>
      <c r="C31" s="338" t="s">
        <v>1635</v>
      </c>
      <c r="D31" s="213" t="s">
        <v>726</v>
      </c>
      <c r="E31" s="213" t="s">
        <v>138</v>
      </c>
      <c r="F31" s="213" t="s">
        <v>128</v>
      </c>
      <c r="G31" s="4">
        <v>10524.2</v>
      </c>
      <c r="H31" s="4">
        <v>70</v>
      </c>
      <c r="I31" s="4">
        <v>9526.14</v>
      </c>
      <c r="J31" s="4">
        <v>76</v>
      </c>
      <c r="K31" s="4">
        <v>10144.14</v>
      </c>
      <c r="L31" s="4">
        <v>60</v>
      </c>
      <c r="M31" s="4">
        <v>7250.18</v>
      </c>
      <c r="N31" s="4">
        <v>38</v>
      </c>
      <c r="O31" s="4">
        <v>5146.08</v>
      </c>
      <c r="P31" s="4">
        <v>30</v>
      </c>
      <c r="Q31" s="4">
        <v>200.97</v>
      </c>
      <c r="R31" s="4">
        <v>2</v>
      </c>
      <c r="S31" s="4">
        <v>6428.13</v>
      </c>
      <c r="T31" s="4">
        <v>39</v>
      </c>
      <c r="U31" s="4">
        <v>4861.16</v>
      </c>
      <c r="V31" s="4">
        <v>28</v>
      </c>
      <c r="W31" s="4">
        <v>6654.14</v>
      </c>
      <c r="X31" s="4">
        <v>49</v>
      </c>
      <c r="Y31" s="4">
        <v>7393.02</v>
      </c>
      <c r="Z31" s="4">
        <v>33</v>
      </c>
      <c r="AA31" s="4">
        <v>4294.07</v>
      </c>
      <c r="AB31" s="4">
        <v>34</v>
      </c>
      <c r="AC31" s="4">
        <v>2775.11</v>
      </c>
      <c r="AD31" s="4">
        <v>17</v>
      </c>
      <c r="AE31" s="4">
        <v>485.01</v>
      </c>
      <c r="AF31" s="4">
        <v>3</v>
      </c>
      <c r="AG31" s="4">
        <v>1949.03</v>
      </c>
      <c r="AH31" s="4">
        <v>13</v>
      </c>
      <c r="AI31" s="4">
        <v>3006.01</v>
      </c>
      <c r="AJ31" s="4">
        <v>17</v>
      </c>
      <c r="AK31" s="4">
        <v>6755.07</v>
      </c>
      <c r="AL31" s="4">
        <v>37</v>
      </c>
      <c r="AM31" s="4">
        <v>1598.05</v>
      </c>
      <c r="AN31" s="4">
        <v>12</v>
      </c>
      <c r="AO31" s="4">
        <v>3852</v>
      </c>
      <c r="AP31" s="4">
        <v>19</v>
      </c>
      <c r="AQ31" s="4">
        <v>2608.04</v>
      </c>
      <c r="AR31" s="4">
        <v>18</v>
      </c>
      <c r="AS31" s="4">
        <v>944.03</v>
      </c>
      <c r="AT31" s="4">
        <v>7</v>
      </c>
      <c r="AU31" s="4">
        <v>1814.05</v>
      </c>
      <c r="AV31" s="4">
        <v>14</v>
      </c>
      <c r="AW31" s="4">
        <v>721.96</v>
      </c>
      <c r="AX31" s="4">
        <v>5</v>
      </c>
      <c r="AY31" s="4">
        <v>3705.76</v>
      </c>
      <c r="AZ31" s="4">
        <v>21</v>
      </c>
      <c r="BA31" s="4">
        <v>11399.55</v>
      </c>
      <c r="BB31" s="4">
        <v>3</v>
      </c>
      <c r="BC31" s="4">
        <v>1898.82</v>
      </c>
      <c r="BD31" s="4">
        <v>8</v>
      </c>
      <c r="BE31" s="4">
        <v>211.02</v>
      </c>
      <c r="BF31" s="4">
        <v>1</v>
      </c>
      <c r="BQ31" s="3">
        <f t="shared" si="2"/>
        <v>116145.74</v>
      </c>
      <c r="BR31" s="3">
        <f t="shared" si="1"/>
        <v>654</v>
      </c>
    </row>
    <row r="32" spans="1:70" x14ac:dyDescent="0.25">
      <c r="A32" s="4" t="s">
        <v>2156</v>
      </c>
      <c r="B32" t="s">
        <v>17</v>
      </c>
      <c r="C32" s="338" t="s">
        <v>1636</v>
      </c>
      <c r="D32" s="213" t="s">
        <v>727</v>
      </c>
      <c r="E32" s="213" t="s">
        <v>138</v>
      </c>
      <c r="F32" s="213" t="s">
        <v>128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1498.01</v>
      </c>
      <c r="AB32" s="4">
        <v>6</v>
      </c>
      <c r="AC32" s="4">
        <v>596.01</v>
      </c>
      <c r="AD32" s="4">
        <v>4</v>
      </c>
      <c r="AE32" s="4">
        <v>1771</v>
      </c>
      <c r="AF32" s="4">
        <v>9</v>
      </c>
      <c r="AG32" s="4">
        <v>434</v>
      </c>
      <c r="AH32" s="4">
        <v>3</v>
      </c>
      <c r="AI32" s="4">
        <v>1184.03</v>
      </c>
      <c r="AJ32" s="4">
        <v>5</v>
      </c>
      <c r="AK32" s="4">
        <v>1399.01</v>
      </c>
      <c r="AL32" s="4">
        <v>7</v>
      </c>
      <c r="AM32" s="4">
        <v>0</v>
      </c>
      <c r="AN32" s="4">
        <v>0</v>
      </c>
      <c r="AO32" s="4">
        <v>993.03</v>
      </c>
      <c r="AP32" s="4">
        <v>6</v>
      </c>
      <c r="AQ32" s="4">
        <v>949.05</v>
      </c>
      <c r="AR32" s="4">
        <v>5</v>
      </c>
      <c r="AS32" s="4">
        <v>875</v>
      </c>
      <c r="AT32" s="4">
        <v>5</v>
      </c>
      <c r="AU32" s="4">
        <v>2374.1</v>
      </c>
      <c r="AV32" s="4">
        <v>3</v>
      </c>
      <c r="AW32" s="4">
        <v>1300.96</v>
      </c>
      <c r="AX32" s="4">
        <v>9</v>
      </c>
      <c r="AY32" s="4">
        <v>1956.9</v>
      </c>
      <c r="AZ32" s="4">
        <v>9</v>
      </c>
      <c r="BA32" s="4">
        <v>0</v>
      </c>
      <c r="BB32" s="4">
        <v>0</v>
      </c>
      <c r="BC32" s="4">
        <v>721.96</v>
      </c>
      <c r="BD32" s="4">
        <v>6</v>
      </c>
      <c r="BE32" s="4">
        <v>1066.08</v>
      </c>
      <c r="BF32" s="4">
        <v>5</v>
      </c>
      <c r="BQ32" s="3">
        <f t="shared" si="2"/>
        <v>17119.14</v>
      </c>
      <c r="BR32" s="3">
        <f t="shared" si="1"/>
        <v>82</v>
      </c>
    </row>
    <row r="33" spans="1:70" x14ac:dyDescent="0.25">
      <c r="A33" s="4" t="s">
        <v>2157</v>
      </c>
      <c r="B33" t="s">
        <v>17</v>
      </c>
      <c r="C33" s="338" t="s">
        <v>1637</v>
      </c>
      <c r="D33" s="213" t="s">
        <v>728</v>
      </c>
      <c r="E33" s="213" t="s">
        <v>138</v>
      </c>
      <c r="F33" s="213" t="s">
        <v>128</v>
      </c>
      <c r="G33" s="4">
        <v>3992.09</v>
      </c>
      <c r="H33" s="4">
        <v>40</v>
      </c>
      <c r="I33" s="4">
        <v>0</v>
      </c>
      <c r="J33" s="4">
        <v>0</v>
      </c>
      <c r="K33" s="4">
        <v>3352.11</v>
      </c>
      <c r="L33" s="4">
        <v>29</v>
      </c>
      <c r="M33" s="4">
        <v>5172.21</v>
      </c>
      <c r="N33" s="4">
        <v>19</v>
      </c>
      <c r="O33" s="4">
        <v>2945.03</v>
      </c>
      <c r="P33" s="4">
        <v>16</v>
      </c>
      <c r="Q33" s="4">
        <v>2895.04</v>
      </c>
      <c r="R33" s="4">
        <v>16</v>
      </c>
      <c r="S33" s="4">
        <v>1839.01</v>
      </c>
      <c r="T33" s="4">
        <v>8</v>
      </c>
      <c r="U33" s="4">
        <v>4272.08</v>
      </c>
      <c r="V33" s="4">
        <v>20</v>
      </c>
      <c r="W33" s="4">
        <v>0</v>
      </c>
      <c r="X33" s="4">
        <v>0</v>
      </c>
      <c r="Y33" s="4">
        <v>2484</v>
      </c>
      <c r="Z33" s="4">
        <v>12</v>
      </c>
      <c r="AA33" s="4">
        <v>825.02</v>
      </c>
      <c r="AB33" s="4">
        <v>6</v>
      </c>
      <c r="AC33" s="4">
        <v>564.04</v>
      </c>
      <c r="AD33" s="4">
        <v>4</v>
      </c>
      <c r="AE33" s="4">
        <v>1872.04</v>
      </c>
      <c r="AF33" s="4">
        <v>9</v>
      </c>
      <c r="AG33" s="4">
        <v>375</v>
      </c>
      <c r="AH33" s="4">
        <v>4</v>
      </c>
      <c r="AI33" s="4">
        <v>829.04</v>
      </c>
      <c r="AJ33" s="4">
        <v>6</v>
      </c>
      <c r="AK33" s="4">
        <v>0</v>
      </c>
      <c r="AL33" s="4">
        <v>0</v>
      </c>
      <c r="AM33" s="4">
        <v>1140.01</v>
      </c>
      <c r="AN33" s="4">
        <v>7</v>
      </c>
      <c r="AO33" s="4">
        <v>900</v>
      </c>
      <c r="AP33" s="4">
        <v>3</v>
      </c>
      <c r="AQ33" s="4">
        <v>1015.03</v>
      </c>
      <c r="AR33" s="4">
        <v>4</v>
      </c>
      <c r="AS33" s="4">
        <v>450.01</v>
      </c>
      <c r="AT33" s="4">
        <v>3</v>
      </c>
      <c r="AU33" s="4">
        <v>1019.02</v>
      </c>
      <c r="AV33" s="4">
        <v>5</v>
      </c>
      <c r="AW33" s="4">
        <v>1192.9000000000001</v>
      </c>
      <c r="AX33" s="4">
        <v>7</v>
      </c>
      <c r="AY33" s="4">
        <v>0</v>
      </c>
      <c r="AZ33" s="4">
        <v>0</v>
      </c>
      <c r="BA33" s="4">
        <v>1343.9</v>
      </c>
      <c r="BB33" s="4">
        <v>7</v>
      </c>
      <c r="BC33" s="4">
        <v>707.96</v>
      </c>
      <c r="BD33" s="4">
        <v>7</v>
      </c>
      <c r="BE33" s="4">
        <v>1068.08</v>
      </c>
      <c r="BF33" s="4">
        <v>5</v>
      </c>
      <c r="BQ33" s="3">
        <f t="shared" si="2"/>
        <v>40253.620000000003</v>
      </c>
      <c r="BR33" s="3">
        <f t="shared" si="1"/>
        <v>237</v>
      </c>
    </row>
    <row r="34" spans="1:70" x14ac:dyDescent="0.25">
      <c r="A34" s="4" t="s">
        <v>2158</v>
      </c>
      <c r="B34" t="s">
        <v>17</v>
      </c>
      <c r="C34" s="338" t="s">
        <v>1638</v>
      </c>
      <c r="D34" s="213" t="s">
        <v>729</v>
      </c>
      <c r="E34" s="213" t="s">
        <v>138</v>
      </c>
      <c r="F34" s="213" t="s">
        <v>128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5009.1000000000004</v>
      </c>
      <c r="AB34" s="4">
        <v>18</v>
      </c>
      <c r="AC34" s="4">
        <v>2241.0700000000002</v>
      </c>
      <c r="AD34" s="4">
        <v>14</v>
      </c>
      <c r="AE34" s="4">
        <v>4693.07</v>
      </c>
      <c r="AF34" s="4">
        <v>27</v>
      </c>
      <c r="AG34" s="4">
        <v>2877.06</v>
      </c>
      <c r="AH34" s="4">
        <v>18</v>
      </c>
      <c r="AI34" s="4">
        <v>2925.09</v>
      </c>
      <c r="AJ34" s="4">
        <v>20</v>
      </c>
      <c r="AK34" s="4">
        <v>0</v>
      </c>
      <c r="AL34" s="4">
        <v>0</v>
      </c>
      <c r="AM34" s="4">
        <v>3905.09</v>
      </c>
      <c r="AN34" s="4">
        <v>26</v>
      </c>
      <c r="AO34" s="4">
        <v>1568.03</v>
      </c>
      <c r="AP34" s="4">
        <v>10</v>
      </c>
      <c r="AQ34" s="4">
        <v>1995.02</v>
      </c>
      <c r="AR34" s="4">
        <v>15</v>
      </c>
      <c r="AS34" s="4">
        <v>12328.02</v>
      </c>
      <c r="AT34" s="4">
        <v>29</v>
      </c>
      <c r="AU34" s="4">
        <v>1483.03</v>
      </c>
      <c r="AV34" s="4">
        <v>8</v>
      </c>
      <c r="AW34" s="4">
        <v>2037.89</v>
      </c>
      <c r="AX34" s="4">
        <v>11</v>
      </c>
      <c r="AY34" s="4">
        <v>0</v>
      </c>
      <c r="AZ34" s="4">
        <v>0</v>
      </c>
      <c r="BA34" s="4">
        <v>3329.85</v>
      </c>
      <c r="BB34" s="4">
        <v>16</v>
      </c>
      <c r="BC34" s="4">
        <v>2740.85</v>
      </c>
      <c r="BD34" s="4">
        <v>12</v>
      </c>
      <c r="BE34" s="4">
        <v>3744.25</v>
      </c>
      <c r="BF34" s="4">
        <v>19</v>
      </c>
      <c r="BQ34" s="3">
        <f t="shared" si="2"/>
        <v>50877.42</v>
      </c>
      <c r="BR34" s="3">
        <f t="shared" si="1"/>
        <v>243</v>
      </c>
    </row>
    <row r="35" spans="1:70" x14ac:dyDescent="0.25">
      <c r="A35" s="4" t="s">
        <v>2159</v>
      </c>
      <c r="B35" t="s">
        <v>17</v>
      </c>
      <c r="C35" s="338" t="s">
        <v>1639</v>
      </c>
      <c r="D35" s="213" t="s">
        <v>730</v>
      </c>
      <c r="E35" s="213" t="s">
        <v>138</v>
      </c>
      <c r="F35" s="213" t="s">
        <v>128</v>
      </c>
      <c r="G35" s="4">
        <v>0</v>
      </c>
      <c r="H35" s="4">
        <v>0</v>
      </c>
      <c r="I35" s="4">
        <v>1912.04</v>
      </c>
      <c r="J35" s="4">
        <v>12</v>
      </c>
      <c r="K35" s="4">
        <v>0</v>
      </c>
      <c r="L35" s="4">
        <v>0</v>
      </c>
      <c r="M35" s="4">
        <v>6194.1</v>
      </c>
      <c r="N35" s="4">
        <v>29</v>
      </c>
      <c r="O35" s="4">
        <v>2491.0300000000002</v>
      </c>
      <c r="P35" s="4">
        <v>18</v>
      </c>
      <c r="Q35" s="4">
        <v>4556.16</v>
      </c>
      <c r="R35" s="4">
        <v>26</v>
      </c>
      <c r="S35" s="4">
        <v>1878.03</v>
      </c>
      <c r="T35" s="4">
        <v>15</v>
      </c>
      <c r="U35" s="4">
        <v>3633.08</v>
      </c>
      <c r="V35" s="4">
        <v>21</v>
      </c>
      <c r="W35" s="4">
        <v>300.01</v>
      </c>
      <c r="X35" s="4">
        <v>2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1798.04</v>
      </c>
      <c r="AP35" s="4">
        <v>13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Q35" s="3">
        <f t="shared" si="2"/>
        <v>22762.49</v>
      </c>
      <c r="BR35" s="3">
        <f t="shared" si="1"/>
        <v>136</v>
      </c>
    </row>
    <row r="36" spans="1:70" x14ac:dyDescent="0.25">
      <c r="A36" s="4" t="s">
        <v>2160</v>
      </c>
      <c r="B36" t="s">
        <v>17</v>
      </c>
      <c r="C36" s="338" t="s">
        <v>1640</v>
      </c>
      <c r="D36" s="213" t="s">
        <v>731</v>
      </c>
      <c r="E36" s="213" t="s">
        <v>138</v>
      </c>
      <c r="F36" s="213" t="s">
        <v>128</v>
      </c>
      <c r="G36" s="4">
        <v>3905.1</v>
      </c>
      <c r="H36" s="4">
        <v>25</v>
      </c>
      <c r="I36" s="4">
        <v>2786.06</v>
      </c>
      <c r="J36" s="4">
        <v>21</v>
      </c>
      <c r="K36" s="4">
        <v>3311.02</v>
      </c>
      <c r="L36" s="4">
        <v>27</v>
      </c>
      <c r="M36" s="4">
        <v>0</v>
      </c>
      <c r="N36" s="4">
        <v>0</v>
      </c>
      <c r="O36" s="4">
        <v>2058.04</v>
      </c>
      <c r="P36" s="4">
        <v>12</v>
      </c>
      <c r="Q36" s="4">
        <v>2698.09</v>
      </c>
      <c r="R36" s="4">
        <v>19</v>
      </c>
      <c r="S36" s="4">
        <v>3197.06</v>
      </c>
      <c r="T36" s="4">
        <v>11</v>
      </c>
      <c r="U36" s="4">
        <v>2619.0700000000002</v>
      </c>
      <c r="V36" s="4">
        <v>15</v>
      </c>
      <c r="W36" s="4">
        <v>2350.0700000000002</v>
      </c>
      <c r="X36" s="4">
        <v>17</v>
      </c>
      <c r="Y36" s="4">
        <v>2283</v>
      </c>
      <c r="Z36" s="4">
        <v>14</v>
      </c>
      <c r="AA36" s="4">
        <v>0</v>
      </c>
      <c r="AB36" s="4">
        <v>0</v>
      </c>
      <c r="AC36" s="4">
        <v>1755.02</v>
      </c>
      <c r="AD36" s="4">
        <v>12</v>
      </c>
      <c r="AE36" s="4">
        <v>831</v>
      </c>
      <c r="AF36" s="4">
        <v>5</v>
      </c>
      <c r="AG36" s="4">
        <v>1364.03</v>
      </c>
      <c r="AH36" s="4">
        <v>9</v>
      </c>
      <c r="AI36" s="4">
        <v>2074.02</v>
      </c>
      <c r="AJ36" s="4">
        <v>10</v>
      </c>
      <c r="AK36" s="4">
        <v>0</v>
      </c>
      <c r="AL36" s="4">
        <v>0</v>
      </c>
      <c r="AM36" s="4">
        <v>0</v>
      </c>
      <c r="AN36" s="4">
        <v>0</v>
      </c>
      <c r="AO36" s="4">
        <v>700.01</v>
      </c>
      <c r="AP36" s="4">
        <v>4</v>
      </c>
      <c r="AQ36" s="4">
        <v>2105.0700000000002</v>
      </c>
      <c r="AR36" s="4">
        <v>13</v>
      </c>
      <c r="AS36" s="4">
        <v>0</v>
      </c>
      <c r="AT36" s="4">
        <v>0</v>
      </c>
      <c r="AU36" s="4">
        <v>3258.05</v>
      </c>
      <c r="AV36" s="4">
        <v>14</v>
      </c>
      <c r="AW36" s="4">
        <v>1432.01</v>
      </c>
      <c r="AX36" s="4">
        <v>10</v>
      </c>
      <c r="AY36" s="4">
        <v>1898.91</v>
      </c>
      <c r="AZ36" s="4">
        <v>11</v>
      </c>
      <c r="BA36" s="4">
        <v>2565.85</v>
      </c>
      <c r="BB36" s="4">
        <v>12</v>
      </c>
      <c r="BC36" s="4">
        <v>1129.9000000000001</v>
      </c>
      <c r="BD36" s="4">
        <v>6</v>
      </c>
      <c r="BE36" s="4">
        <v>75</v>
      </c>
      <c r="BF36" s="4">
        <v>1</v>
      </c>
      <c r="BQ36" s="3">
        <f t="shared" si="2"/>
        <v>44396.380000000012</v>
      </c>
      <c r="BR36" s="3">
        <f t="shared" si="1"/>
        <v>268</v>
      </c>
    </row>
    <row r="37" spans="1:70" x14ac:dyDescent="0.25">
      <c r="A37" s="4" t="s">
        <v>2161</v>
      </c>
      <c r="B37" t="s">
        <v>18</v>
      </c>
      <c r="C37" s="338" t="s">
        <v>1641</v>
      </c>
      <c r="D37" s="213" t="s">
        <v>732</v>
      </c>
      <c r="E37" s="213" t="s">
        <v>138</v>
      </c>
      <c r="F37" s="213" t="s">
        <v>129</v>
      </c>
      <c r="G37" s="4">
        <v>3200.1</v>
      </c>
      <c r="H37" s="4">
        <v>23</v>
      </c>
      <c r="I37" s="4">
        <v>6574.02</v>
      </c>
      <c r="J37" s="4">
        <v>33</v>
      </c>
      <c r="K37" s="4">
        <v>6079.12</v>
      </c>
      <c r="L37" s="4">
        <v>35</v>
      </c>
      <c r="M37" s="4">
        <v>13169.21</v>
      </c>
      <c r="N37" s="4">
        <v>8</v>
      </c>
      <c r="O37" s="4">
        <v>2386.0300000000002</v>
      </c>
      <c r="P37" s="4">
        <v>14</v>
      </c>
      <c r="Q37" s="4">
        <v>3072.12</v>
      </c>
      <c r="R37" s="4">
        <v>12</v>
      </c>
      <c r="S37" s="4">
        <v>1540.05</v>
      </c>
      <c r="T37" s="4">
        <v>11</v>
      </c>
      <c r="U37" s="4">
        <v>1825.05</v>
      </c>
      <c r="V37" s="4">
        <v>12</v>
      </c>
      <c r="W37" s="4">
        <v>0</v>
      </c>
      <c r="X37" s="4">
        <v>0</v>
      </c>
      <c r="Y37" s="4">
        <v>887.02</v>
      </c>
      <c r="Z37" s="4">
        <v>6</v>
      </c>
      <c r="AA37" s="4">
        <v>554</v>
      </c>
      <c r="AB37" s="4">
        <v>5</v>
      </c>
      <c r="AC37" s="4">
        <v>1162.02</v>
      </c>
      <c r="AD37" s="4">
        <v>5</v>
      </c>
      <c r="AE37" s="4">
        <v>2154.02</v>
      </c>
      <c r="AF37" s="4">
        <v>10</v>
      </c>
      <c r="AG37" s="4">
        <v>565</v>
      </c>
      <c r="AH37" s="4">
        <v>4</v>
      </c>
      <c r="AI37" s="4">
        <v>1096.05</v>
      </c>
      <c r="AJ37" s="4">
        <v>6</v>
      </c>
      <c r="AK37" s="4">
        <v>0</v>
      </c>
      <c r="AL37" s="4">
        <v>0</v>
      </c>
      <c r="AM37" s="4">
        <v>1534.04</v>
      </c>
      <c r="AN37" s="4">
        <v>11</v>
      </c>
      <c r="AO37" s="4">
        <v>1265.03</v>
      </c>
      <c r="AP37" s="4">
        <v>9</v>
      </c>
      <c r="AQ37" s="4">
        <v>949.04</v>
      </c>
      <c r="AR37" s="4">
        <v>7</v>
      </c>
      <c r="AS37" s="4">
        <v>5595.01</v>
      </c>
      <c r="AT37" s="4">
        <v>11</v>
      </c>
      <c r="AU37" s="4">
        <v>814.02</v>
      </c>
      <c r="AV37" s="4">
        <v>5</v>
      </c>
      <c r="AW37" s="4">
        <v>3409.84</v>
      </c>
      <c r="AX37" s="4">
        <v>11</v>
      </c>
      <c r="AY37" s="4">
        <v>0</v>
      </c>
      <c r="AZ37" s="4">
        <v>0</v>
      </c>
      <c r="BA37" s="4">
        <v>932.97</v>
      </c>
      <c r="BB37" s="4">
        <v>7</v>
      </c>
      <c r="BC37" s="4">
        <v>746.96</v>
      </c>
      <c r="BD37" s="4">
        <v>5</v>
      </c>
      <c r="BE37" s="4">
        <v>2164.14</v>
      </c>
      <c r="BF37" s="4">
        <v>15</v>
      </c>
      <c r="BQ37" s="3">
        <f t="shared" si="2"/>
        <v>61674.859999999993</v>
      </c>
      <c r="BR37" s="3">
        <f t="shared" si="1"/>
        <v>265</v>
      </c>
    </row>
    <row r="38" spans="1:70" x14ac:dyDescent="0.25">
      <c r="A38" s="4" t="s">
        <v>2162</v>
      </c>
      <c r="B38" t="s">
        <v>18</v>
      </c>
      <c r="C38" s="338" t="s">
        <v>1642</v>
      </c>
      <c r="D38" s="213" t="s">
        <v>733</v>
      </c>
      <c r="E38" s="213" t="s">
        <v>138</v>
      </c>
      <c r="F38" s="213" t="s">
        <v>129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220</v>
      </c>
      <c r="X38" s="4">
        <v>2</v>
      </c>
      <c r="Y38" s="4">
        <v>1804.03</v>
      </c>
      <c r="Z38" s="4">
        <v>12</v>
      </c>
      <c r="AA38" s="4">
        <v>340</v>
      </c>
      <c r="AB38" s="4">
        <v>3</v>
      </c>
      <c r="AC38" s="4">
        <v>0</v>
      </c>
      <c r="AD38" s="4">
        <v>0</v>
      </c>
      <c r="AE38" s="4">
        <v>853.02</v>
      </c>
      <c r="AF38" s="4">
        <v>7</v>
      </c>
      <c r="AG38" s="4">
        <v>1822.06</v>
      </c>
      <c r="AH38" s="4">
        <v>4</v>
      </c>
      <c r="AI38" s="4">
        <v>225</v>
      </c>
      <c r="AJ38" s="4">
        <v>2</v>
      </c>
      <c r="AK38" s="4">
        <v>790.01</v>
      </c>
      <c r="AL38" s="4">
        <v>6</v>
      </c>
      <c r="AM38" s="4">
        <v>1287.05</v>
      </c>
      <c r="AN38" s="4">
        <v>9</v>
      </c>
      <c r="AO38" s="4">
        <v>0</v>
      </c>
      <c r="AP38" s="4">
        <v>0</v>
      </c>
      <c r="AQ38" s="4">
        <v>0</v>
      </c>
      <c r="AR38" s="4">
        <v>0</v>
      </c>
      <c r="AS38" s="4">
        <v>225</v>
      </c>
      <c r="AT38" s="4">
        <v>2</v>
      </c>
      <c r="AU38" s="4">
        <v>300.01</v>
      </c>
      <c r="AV38" s="4">
        <v>1</v>
      </c>
      <c r="AW38" s="4">
        <v>658.01</v>
      </c>
      <c r="AX38" s="4">
        <v>5</v>
      </c>
      <c r="AY38" s="4">
        <v>1747.94</v>
      </c>
      <c r="AZ38" s="4">
        <v>9</v>
      </c>
      <c r="BA38" s="4">
        <v>2495.85</v>
      </c>
      <c r="BB38" s="4">
        <v>14</v>
      </c>
      <c r="BC38" s="4">
        <v>521.99</v>
      </c>
      <c r="BD38" s="4">
        <v>3</v>
      </c>
      <c r="BE38" s="4">
        <v>0</v>
      </c>
      <c r="BF38" s="4">
        <v>0</v>
      </c>
      <c r="BQ38" s="3">
        <f t="shared" si="2"/>
        <v>13289.970000000001</v>
      </c>
      <c r="BR38" s="3">
        <f t="shared" si="1"/>
        <v>79</v>
      </c>
    </row>
    <row r="39" spans="1:70" x14ac:dyDescent="0.25">
      <c r="A39" s="4" t="s">
        <v>2163</v>
      </c>
      <c r="B39" t="s">
        <v>18</v>
      </c>
      <c r="C39" s="338" t="s">
        <v>1643</v>
      </c>
      <c r="D39" s="213" t="s">
        <v>734</v>
      </c>
      <c r="E39" s="213" t="s">
        <v>138</v>
      </c>
      <c r="F39" s="213" t="s">
        <v>129</v>
      </c>
      <c r="G39" s="4">
        <v>3034.06</v>
      </c>
      <c r="H39" s="4">
        <v>24</v>
      </c>
      <c r="I39" s="4">
        <v>2811.06</v>
      </c>
      <c r="J39" s="4">
        <v>24</v>
      </c>
      <c r="K39" s="4">
        <v>1678.01</v>
      </c>
      <c r="L39" s="4">
        <v>12</v>
      </c>
      <c r="M39" s="4">
        <v>956.02</v>
      </c>
      <c r="N39" s="4">
        <v>5</v>
      </c>
      <c r="O39" s="4">
        <v>1976.99</v>
      </c>
      <c r="P39" s="4">
        <v>10</v>
      </c>
      <c r="Q39" s="4">
        <v>0</v>
      </c>
      <c r="R39" s="4">
        <v>0</v>
      </c>
      <c r="S39" s="4">
        <v>2075.0300000000002</v>
      </c>
      <c r="T39" s="4">
        <v>11</v>
      </c>
      <c r="U39" s="4">
        <v>1495.04</v>
      </c>
      <c r="V39" s="4">
        <v>10</v>
      </c>
      <c r="W39" s="4">
        <v>2421.0500000000002</v>
      </c>
      <c r="X39" s="4">
        <v>15</v>
      </c>
      <c r="Y39" s="4">
        <v>1963.03</v>
      </c>
      <c r="Z39" s="4">
        <v>12</v>
      </c>
      <c r="AA39" s="4">
        <v>2490.0300000000002</v>
      </c>
      <c r="AB39" s="4">
        <v>16</v>
      </c>
      <c r="AC39" s="4">
        <v>344.01</v>
      </c>
      <c r="AD39" s="4">
        <v>2</v>
      </c>
      <c r="AE39" s="4">
        <v>150</v>
      </c>
      <c r="AF39" s="4">
        <v>2</v>
      </c>
      <c r="AG39" s="4">
        <v>472.02</v>
      </c>
      <c r="AH39" s="4">
        <v>3</v>
      </c>
      <c r="AI39" s="4">
        <v>675.02</v>
      </c>
      <c r="AJ39" s="4">
        <v>5</v>
      </c>
      <c r="AK39" s="4">
        <v>2253.0700000000002</v>
      </c>
      <c r="AL39" s="4">
        <v>12</v>
      </c>
      <c r="AM39" s="4">
        <v>1400.04</v>
      </c>
      <c r="AN39" s="4">
        <v>10</v>
      </c>
      <c r="AO39" s="4">
        <v>1576.04</v>
      </c>
      <c r="AP39" s="4">
        <v>8</v>
      </c>
      <c r="AQ39" s="4">
        <v>450.01</v>
      </c>
      <c r="AR39" s="4">
        <v>3</v>
      </c>
      <c r="AS39" s="4">
        <v>225.01</v>
      </c>
      <c r="AT39" s="4">
        <v>2</v>
      </c>
      <c r="AU39" s="4">
        <v>1913.06</v>
      </c>
      <c r="AV39" s="4">
        <v>9</v>
      </c>
      <c r="AW39" s="4">
        <v>150</v>
      </c>
      <c r="AX39" s="4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Q39" s="3">
        <f t="shared" si="2"/>
        <v>30508.599999999995</v>
      </c>
      <c r="BR39" s="3">
        <f t="shared" si="1"/>
        <v>196</v>
      </c>
    </row>
    <row r="40" spans="1:70" x14ac:dyDescent="0.25">
      <c r="A40" s="4" t="s">
        <v>2164</v>
      </c>
      <c r="B40" t="s">
        <v>18</v>
      </c>
      <c r="C40" s="338" t="s">
        <v>1644</v>
      </c>
      <c r="D40" s="213" t="s">
        <v>735</v>
      </c>
      <c r="E40" s="213" t="s">
        <v>138</v>
      </c>
      <c r="F40" s="213" t="s">
        <v>129</v>
      </c>
      <c r="G40" s="4">
        <v>2683.07</v>
      </c>
      <c r="H40" s="4">
        <v>18</v>
      </c>
      <c r="I40" s="4">
        <v>0</v>
      </c>
      <c r="J40" s="4">
        <v>0</v>
      </c>
      <c r="K40" s="4">
        <v>871.03</v>
      </c>
      <c r="L40" s="4">
        <v>6</v>
      </c>
      <c r="M40" s="4">
        <v>2375.0500000000002</v>
      </c>
      <c r="N40" s="4">
        <v>15</v>
      </c>
      <c r="O40" s="4">
        <v>3184.03</v>
      </c>
      <c r="P40" s="4">
        <v>20</v>
      </c>
      <c r="Q40" s="4">
        <v>3366.06</v>
      </c>
      <c r="R40" s="4">
        <v>19</v>
      </c>
      <c r="S40" s="4">
        <v>2918.06</v>
      </c>
      <c r="T40" s="4">
        <v>21</v>
      </c>
      <c r="U40" s="4">
        <v>1580.04</v>
      </c>
      <c r="V40" s="4">
        <v>12</v>
      </c>
      <c r="W40" s="4">
        <v>1798.05</v>
      </c>
      <c r="X40" s="4">
        <v>13</v>
      </c>
      <c r="Y40" s="4">
        <v>1302.01</v>
      </c>
      <c r="Z40" s="4">
        <v>6</v>
      </c>
      <c r="AA40" s="4">
        <v>225</v>
      </c>
      <c r="AB40" s="4">
        <v>3</v>
      </c>
      <c r="AC40" s="4">
        <v>1190.03</v>
      </c>
      <c r="AD40" s="4">
        <v>6</v>
      </c>
      <c r="AE40" s="4">
        <v>1891.01</v>
      </c>
      <c r="AF40" s="4">
        <v>10</v>
      </c>
      <c r="AG40" s="4">
        <v>1772.03</v>
      </c>
      <c r="AH40" s="4">
        <v>13</v>
      </c>
      <c r="AI40" s="4">
        <v>1324.04</v>
      </c>
      <c r="AJ40" s="4">
        <v>8</v>
      </c>
      <c r="AK40" s="4">
        <v>1824.03</v>
      </c>
      <c r="AL40" s="4">
        <v>13</v>
      </c>
      <c r="AM40" s="4">
        <v>150.01</v>
      </c>
      <c r="AN40" s="4">
        <v>1</v>
      </c>
      <c r="AO40" s="4">
        <v>2025.03</v>
      </c>
      <c r="AP40" s="4">
        <v>14</v>
      </c>
      <c r="AQ40" s="4">
        <v>933.03</v>
      </c>
      <c r="AR40" s="4">
        <v>6</v>
      </c>
      <c r="AS40" s="4">
        <v>1022</v>
      </c>
      <c r="AT40" s="4">
        <v>6</v>
      </c>
      <c r="AU40" s="4">
        <v>0</v>
      </c>
      <c r="AV40" s="4">
        <v>0</v>
      </c>
      <c r="AW40" s="4">
        <v>2430.87</v>
      </c>
      <c r="AX40" s="4">
        <v>13</v>
      </c>
      <c r="AY40" s="4">
        <v>2800.8</v>
      </c>
      <c r="AZ40" s="4">
        <v>13</v>
      </c>
      <c r="BA40" s="4">
        <v>4233.87</v>
      </c>
      <c r="BB40" s="4">
        <v>25</v>
      </c>
      <c r="BC40" s="4">
        <v>1570.99</v>
      </c>
      <c r="BD40" s="4">
        <v>7</v>
      </c>
      <c r="BE40" s="4">
        <v>1358.06</v>
      </c>
      <c r="BF40" s="4">
        <v>5</v>
      </c>
      <c r="BQ40" s="3">
        <f t="shared" si="2"/>
        <v>44828.19999999999</v>
      </c>
      <c r="BR40" s="3">
        <f t="shared" si="1"/>
        <v>273</v>
      </c>
    </row>
    <row r="41" spans="1:70" x14ac:dyDescent="0.25">
      <c r="A41" s="4" t="s">
        <v>2165</v>
      </c>
      <c r="B41" t="s">
        <v>19</v>
      </c>
      <c r="C41" s="338" t="s">
        <v>1616</v>
      </c>
      <c r="D41" s="213">
        <v>2900</v>
      </c>
      <c r="E41" s="213" t="s">
        <v>138</v>
      </c>
      <c r="F41" s="213" t="s">
        <v>129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285.98</v>
      </c>
      <c r="AZ41" s="4">
        <v>2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Q41" s="3">
        <f t="shared" si="2"/>
        <v>285.98</v>
      </c>
      <c r="BR41" s="3">
        <f t="shared" si="1"/>
        <v>3</v>
      </c>
    </row>
    <row r="42" spans="1:70" x14ac:dyDescent="0.25">
      <c r="A42" s="4" t="s">
        <v>2166</v>
      </c>
      <c r="B42" t="s">
        <v>19</v>
      </c>
      <c r="C42" s="338" t="s">
        <v>1645</v>
      </c>
      <c r="D42" s="213" t="s">
        <v>736</v>
      </c>
      <c r="E42" s="213" t="s">
        <v>138</v>
      </c>
      <c r="F42" s="213" t="s">
        <v>129</v>
      </c>
      <c r="G42" s="4">
        <v>0</v>
      </c>
      <c r="H42" s="4">
        <v>0</v>
      </c>
      <c r="I42" s="4">
        <v>890.01</v>
      </c>
      <c r="J42" s="4">
        <v>10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198.01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150</v>
      </c>
      <c r="AV42" s="4">
        <v>1</v>
      </c>
      <c r="AW42" s="4">
        <v>0</v>
      </c>
      <c r="AX42" s="4">
        <v>0</v>
      </c>
      <c r="AY42" s="4">
        <v>349.01</v>
      </c>
      <c r="AZ42" s="4">
        <v>2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Q42" s="3">
        <f t="shared" si="2"/>
        <v>1587.03</v>
      </c>
      <c r="BR42" s="3">
        <f t="shared" si="1"/>
        <v>14</v>
      </c>
    </row>
    <row r="43" spans="1:70" x14ac:dyDescent="0.25">
      <c r="A43" s="4" t="s">
        <v>2167</v>
      </c>
      <c r="B43" t="s">
        <v>19</v>
      </c>
      <c r="C43" s="338" t="s">
        <v>1646</v>
      </c>
      <c r="D43" s="213" t="s">
        <v>737</v>
      </c>
      <c r="E43" s="213" t="s">
        <v>138</v>
      </c>
      <c r="F43" s="213" t="s">
        <v>129</v>
      </c>
      <c r="G43" s="4">
        <v>5234.1400000000003</v>
      </c>
      <c r="H43" s="4">
        <v>46</v>
      </c>
      <c r="I43" s="4">
        <v>5126.13</v>
      </c>
      <c r="J43" s="4">
        <v>48</v>
      </c>
      <c r="K43" s="4">
        <v>4117.1099999999997</v>
      </c>
      <c r="L43" s="4">
        <v>27</v>
      </c>
      <c r="M43" s="4">
        <v>1325.03</v>
      </c>
      <c r="N43" s="4">
        <v>5</v>
      </c>
      <c r="O43" s="4">
        <v>0</v>
      </c>
      <c r="P43" s="4">
        <v>0</v>
      </c>
      <c r="Q43" s="4">
        <v>3583.09</v>
      </c>
      <c r="R43" s="4">
        <v>22</v>
      </c>
      <c r="S43" s="4">
        <v>2168.0500000000002</v>
      </c>
      <c r="T43" s="4">
        <v>14</v>
      </c>
      <c r="U43" s="4">
        <v>1869.07</v>
      </c>
      <c r="V43" s="4">
        <v>13</v>
      </c>
      <c r="W43" s="4">
        <v>1736.02</v>
      </c>
      <c r="X43" s="4">
        <v>15</v>
      </c>
      <c r="Y43" s="4">
        <v>1379.98</v>
      </c>
      <c r="Z43" s="4">
        <v>11</v>
      </c>
      <c r="AA43" s="4">
        <v>1005.03</v>
      </c>
      <c r="AB43" s="4">
        <v>8</v>
      </c>
      <c r="AC43" s="4">
        <v>1148.02</v>
      </c>
      <c r="AD43" s="4">
        <v>11</v>
      </c>
      <c r="AE43" s="4">
        <v>0</v>
      </c>
      <c r="AF43" s="4">
        <v>0</v>
      </c>
      <c r="AG43" s="4">
        <v>800.01</v>
      </c>
      <c r="AH43" s="4">
        <v>8</v>
      </c>
      <c r="AI43" s="4">
        <v>1015.04</v>
      </c>
      <c r="AJ43" s="4">
        <v>6</v>
      </c>
      <c r="AK43" s="4">
        <v>1519.99</v>
      </c>
      <c r="AL43" s="4">
        <v>12</v>
      </c>
      <c r="AM43" s="4">
        <v>1465.04</v>
      </c>
      <c r="AN43" s="4">
        <v>13</v>
      </c>
      <c r="AO43" s="4">
        <v>320</v>
      </c>
      <c r="AP43" s="4">
        <v>1</v>
      </c>
      <c r="AQ43" s="4">
        <v>0</v>
      </c>
      <c r="AR43" s="4">
        <v>0</v>
      </c>
      <c r="AS43" s="4">
        <v>1365.01</v>
      </c>
      <c r="AT43" s="4">
        <v>12</v>
      </c>
      <c r="AU43" s="4">
        <v>1368.03</v>
      </c>
      <c r="AV43" s="4">
        <v>12</v>
      </c>
      <c r="AW43" s="4">
        <v>1872.96</v>
      </c>
      <c r="AX43" s="4">
        <v>18</v>
      </c>
      <c r="AY43" s="4">
        <v>2711.85</v>
      </c>
      <c r="AZ43" s="4">
        <v>12</v>
      </c>
      <c r="BA43" s="4">
        <v>3004.91</v>
      </c>
      <c r="BB43" s="4">
        <v>25</v>
      </c>
      <c r="BC43" s="4">
        <v>1790.03</v>
      </c>
      <c r="BD43" s="4">
        <v>18</v>
      </c>
      <c r="BE43" s="4">
        <v>0</v>
      </c>
      <c r="BF43" s="4">
        <v>0</v>
      </c>
      <c r="BQ43" s="3">
        <f t="shared" si="2"/>
        <v>45924.539999999994</v>
      </c>
      <c r="BR43" s="3">
        <f t="shared" si="1"/>
        <v>357</v>
      </c>
    </row>
    <row r="44" spans="1:70" x14ac:dyDescent="0.25">
      <c r="A44" s="4" t="s">
        <v>2168</v>
      </c>
      <c r="B44" t="s">
        <v>19</v>
      </c>
      <c r="C44" s="338" t="s">
        <v>1647</v>
      </c>
      <c r="D44" s="213" t="s">
        <v>738</v>
      </c>
      <c r="E44" s="213" t="s">
        <v>138</v>
      </c>
      <c r="F44" s="213" t="s">
        <v>129</v>
      </c>
      <c r="G44" s="4">
        <v>1958.05</v>
      </c>
      <c r="H44" s="4">
        <v>24</v>
      </c>
      <c r="I44" s="4">
        <v>0</v>
      </c>
      <c r="J44" s="4">
        <v>0</v>
      </c>
      <c r="K44" s="4">
        <v>3157.08</v>
      </c>
      <c r="L44" s="4">
        <v>20</v>
      </c>
      <c r="M44" s="4">
        <v>1241</v>
      </c>
      <c r="N44" s="4">
        <v>7</v>
      </c>
      <c r="O44" s="4">
        <v>1047.01</v>
      </c>
      <c r="P44" s="4">
        <v>9</v>
      </c>
      <c r="Q44" s="4">
        <v>1713.03</v>
      </c>
      <c r="R44" s="4">
        <v>16</v>
      </c>
      <c r="S44" s="4">
        <v>1764.02</v>
      </c>
      <c r="T44" s="4">
        <v>15</v>
      </c>
      <c r="U44" s="4">
        <v>1303.02</v>
      </c>
      <c r="V44" s="4">
        <v>12</v>
      </c>
      <c r="W44" s="4">
        <v>0</v>
      </c>
      <c r="X44" s="4">
        <v>0</v>
      </c>
      <c r="Y44" s="4">
        <v>650.01</v>
      </c>
      <c r="Z44" s="4">
        <v>6</v>
      </c>
      <c r="AA44" s="4">
        <v>373</v>
      </c>
      <c r="AB44" s="4">
        <v>5</v>
      </c>
      <c r="AC44" s="4">
        <v>714</v>
      </c>
      <c r="AD44" s="4">
        <v>6</v>
      </c>
      <c r="AE44" s="4">
        <v>661.01</v>
      </c>
      <c r="AF44" s="4">
        <v>7</v>
      </c>
      <c r="AG44" s="4">
        <v>1826.03</v>
      </c>
      <c r="AH44" s="4">
        <v>12</v>
      </c>
      <c r="AI44" s="4">
        <v>1165.02</v>
      </c>
      <c r="AJ44" s="4">
        <v>10</v>
      </c>
      <c r="AK44" s="4">
        <v>0</v>
      </c>
      <c r="AL44" s="4">
        <v>0</v>
      </c>
      <c r="AM44" s="4">
        <v>1075.01</v>
      </c>
      <c r="AN44" s="4">
        <v>7</v>
      </c>
      <c r="AO44" s="4">
        <v>810.02</v>
      </c>
      <c r="AP44" s="4">
        <v>9</v>
      </c>
      <c r="AQ44" s="4">
        <v>175</v>
      </c>
      <c r="AR44" s="4">
        <v>2</v>
      </c>
      <c r="AS44" s="4">
        <v>260</v>
      </c>
      <c r="AT44" s="4">
        <v>5</v>
      </c>
      <c r="AU44" s="4">
        <v>512.01</v>
      </c>
      <c r="AV44" s="4">
        <v>5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Q44" s="3">
        <f t="shared" si="2"/>
        <v>20404.32</v>
      </c>
      <c r="BR44" s="3">
        <f t="shared" si="1"/>
        <v>177</v>
      </c>
    </row>
    <row r="45" spans="1:70" x14ac:dyDescent="0.25">
      <c r="A45" s="4" t="s">
        <v>2169</v>
      </c>
      <c r="B45" t="s">
        <v>19</v>
      </c>
      <c r="C45" s="338" t="s">
        <v>1648</v>
      </c>
      <c r="D45" s="213" t="s">
        <v>739</v>
      </c>
      <c r="E45" s="213" t="s">
        <v>138</v>
      </c>
      <c r="F45" s="213" t="s">
        <v>129</v>
      </c>
      <c r="G45" s="4">
        <v>0</v>
      </c>
      <c r="H45" s="4">
        <v>0</v>
      </c>
      <c r="I45" s="4">
        <v>0</v>
      </c>
      <c r="J45" s="4">
        <v>0</v>
      </c>
      <c r="K45" s="4">
        <v>4572</v>
      </c>
      <c r="L45" s="4">
        <v>47</v>
      </c>
      <c r="M45" s="4">
        <v>3150.06</v>
      </c>
      <c r="N45" s="4">
        <v>12</v>
      </c>
      <c r="O45" s="4">
        <v>3373.06</v>
      </c>
      <c r="P45" s="4">
        <v>22</v>
      </c>
      <c r="Q45" s="4">
        <v>3210.07</v>
      </c>
      <c r="R45" s="4">
        <v>23</v>
      </c>
      <c r="S45" s="4">
        <v>0</v>
      </c>
      <c r="T45" s="4">
        <v>0</v>
      </c>
      <c r="U45" s="4">
        <v>1615</v>
      </c>
      <c r="V45" s="4">
        <v>17</v>
      </c>
      <c r="W45" s="4">
        <v>1794.06</v>
      </c>
      <c r="X45" s="4">
        <v>14</v>
      </c>
      <c r="Y45" s="4">
        <v>1687.04</v>
      </c>
      <c r="Z45" s="4">
        <v>15</v>
      </c>
      <c r="AA45" s="4">
        <v>1874.05</v>
      </c>
      <c r="AB45" s="4">
        <v>18</v>
      </c>
      <c r="AC45" s="4">
        <v>3186.07</v>
      </c>
      <c r="AD45" s="4">
        <v>25</v>
      </c>
      <c r="AE45" s="4">
        <v>2545.08</v>
      </c>
      <c r="AF45" s="4">
        <v>18</v>
      </c>
      <c r="AG45" s="4">
        <v>0</v>
      </c>
      <c r="AH45" s="4">
        <v>0</v>
      </c>
      <c r="AI45" s="4">
        <v>1996.01</v>
      </c>
      <c r="AJ45" s="4">
        <v>16</v>
      </c>
      <c r="AK45" s="4">
        <v>1469.99</v>
      </c>
      <c r="AL45" s="4">
        <v>15</v>
      </c>
      <c r="AM45" s="4">
        <v>1960.03</v>
      </c>
      <c r="AN45" s="4">
        <v>18</v>
      </c>
      <c r="AO45" s="4">
        <v>1227.04</v>
      </c>
      <c r="AP45" s="4">
        <v>9</v>
      </c>
      <c r="AQ45" s="4">
        <v>863</v>
      </c>
      <c r="AR45" s="4">
        <v>10</v>
      </c>
      <c r="AS45" s="4">
        <v>2690</v>
      </c>
      <c r="AT45" s="4">
        <v>18</v>
      </c>
      <c r="AU45" s="4">
        <v>0</v>
      </c>
      <c r="AV45" s="4">
        <v>0</v>
      </c>
      <c r="AW45" s="4">
        <v>812.97</v>
      </c>
      <c r="AX45" s="4">
        <v>10</v>
      </c>
      <c r="AY45" s="4">
        <v>2102.96</v>
      </c>
      <c r="AZ45" s="4">
        <v>19</v>
      </c>
      <c r="BA45" s="4">
        <v>0</v>
      </c>
      <c r="BB45" s="4">
        <v>0</v>
      </c>
      <c r="BC45" s="4">
        <v>1856.94</v>
      </c>
      <c r="BD45" s="4">
        <v>18</v>
      </c>
      <c r="BE45" s="4">
        <v>1451.03</v>
      </c>
      <c r="BF45" s="4">
        <v>10</v>
      </c>
      <c r="BQ45" s="3">
        <f t="shared" si="2"/>
        <v>43436.46</v>
      </c>
      <c r="BR45" s="3">
        <f t="shared" si="1"/>
        <v>354</v>
      </c>
    </row>
    <row r="46" spans="1:70" x14ac:dyDescent="0.25">
      <c r="A46" s="4" t="s">
        <v>2170</v>
      </c>
      <c r="B46" t="s">
        <v>19</v>
      </c>
      <c r="C46" s="338" t="s">
        <v>1649</v>
      </c>
      <c r="D46" s="213" t="s">
        <v>740</v>
      </c>
      <c r="E46" s="213" t="s">
        <v>138</v>
      </c>
      <c r="F46" s="213" t="s">
        <v>129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3449.09</v>
      </c>
      <c r="P46" s="4">
        <v>15</v>
      </c>
      <c r="Q46" s="4">
        <v>792</v>
      </c>
      <c r="R46" s="4">
        <v>6</v>
      </c>
      <c r="S46" s="4">
        <v>2409.0100000000002</v>
      </c>
      <c r="T46" s="4">
        <v>18</v>
      </c>
      <c r="U46" s="4">
        <v>2094.0500000000002</v>
      </c>
      <c r="V46" s="4">
        <v>17</v>
      </c>
      <c r="W46" s="4">
        <v>1405.02</v>
      </c>
      <c r="X46" s="4">
        <v>11</v>
      </c>
      <c r="Y46" s="4">
        <v>1505.01</v>
      </c>
      <c r="Z46" s="4">
        <v>12</v>
      </c>
      <c r="AA46" s="4">
        <v>150.01</v>
      </c>
      <c r="AB46" s="4">
        <v>1</v>
      </c>
      <c r="AC46" s="4">
        <v>0</v>
      </c>
      <c r="AD46" s="4">
        <v>0</v>
      </c>
      <c r="AE46" s="4">
        <v>2344.04</v>
      </c>
      <c r="AF46" s="4">
        <v>13</v>
      </c>
      <c r="AG46" s="4">
        <v>1332.06</v>
      </c>
      <c r="AH46" s="4">
        <v>11</v>
      </c>
      <c r="AI46" s="4">
        <v>1994.03</v>
      </c>
      <c r="AJ46" s="4">
        <v>15</v>
      </c>
      <c r="AK46" s="4">
        <v>2053.04</v>
      </c>
      <c r="AL46" s="4">
        <v>16</v>
      </c>
      <c r="AM46" s="4">
        <v>0</v>
      </c>
      <c r="AN46" s="4">
        <v>0</v>
      </c>
      <c r="AO46" s="4">
        <v>599.99</v>
      </c>
      <c r="AP46" s="4">
        <v>3</v>
      </c>
      <c r="AQ46" s="4">
        <v>1677.03</v>
      </c>
      <c r="AR46" s="4">
        <v>9</v>
      </c>
      <c r="AS46" s="4">
        <v>0</v>
      </c>
      <c r="AT46" s="4">
        <v>1</v>
      </c>
      <c r="AU46" s="4">
        <v>0</v>
      </c>
      <c r="AV46" s="4">
        <v>0</v>
      </c>
      <c r="AW46" s="4">
        <v>1057</v>
      </c>
      <c r="AX46" s="4">
        <v>10</v>
      </c>
      <c r="AY46" s="4">
        <v>2020.91</v>
      </c>
      <c r="AZ46" s="4">
        <v>14</v>
      </c>
      <c r="BA46" s="4">
        <v>3495.85</v>
      </c>
      <c r="BB46" s="4">
        <v>30</v>
      </c>
      <c r="BC46" s="4">
        <v>0</v>
      </c>
      <c r="BD46" s="4">
        <v>0</v>
      </c>
      <c r="BE46" s="4">
        <v>1612.06</v>
      </c>
      <c r="BF46" s="4">
        <v>8</v>
      </c>
      <c r="BQ46" s="3">
        <f t="shared" si="2"/>
        <v>29990.200000000004</v>
      </c>
      <c r="BR46" s="3">
        <f t="shared" si="1"/>
        <v>210</v>
      </c>
    </row>
    <row r="47" spans="1:70" x14ac:dyDescent="0.25">
      <c r="A47" s="4" t="s">
        <v>2171</v>
      </c>
      <c r="B47" t="s">
        <v>19</v>
      </c>
      <c r="C47" s="338" t="s">
        <v>1650</v>
      </c>
      <c r="D47" s="213" t="s">
        <v>741</v>
      </c>
      <c r="E47" s="213" t="s">
        <v>138</v>
      </c>
      <c r="F47" s="213" t="s">
        <v>129</v>
      </c>
      <c r="G47" s="4">
        <v>6253.18</v>
      </c>
      <c r="H47" s="4">
        <v>52</v>
      </c>
      <c r="I47" s="4">
        <v>4690.0600000000004</v>
      </c>
      <c r="J47" s="4">
        <v>47</v>
      </c>
      <c r="K47" s="4">
        <v>0</v>
      </c>
      <c r="L47" s="4">
        <v>0</v>
      </c>
      <c r="M47" s="4">
        <v>4938.0600000000004</v>
      </c>
      <c r="N47" s="4">
        <v>28</v>
      </c>
      <c r="O47" s="4">
        <v>0</v>
      </c>
      <c r="P47" s="4">
        <v>0</v>
      </c>
      <c r="Q47" s="4">
        <v>0</v>
      </c>
      <c r="R47" s="4">
        <v>0</v>
      </c>
      <c r="S47" s="4">
        <v>3067.03</v>
      </c>
      <c r="T47" s="4">
        <v>26</v>
      </c>
      <c r="U47" s="4">
        <v>1732.01</v>
      </c>
      <c r="V47" s="4">
        <v>15</v>
      </c>
      <c r="W47" s="4">
        <v>2795.03</v>
      </c>
      <c r="X47" s="4">
        <v>21</v>
      </c>
      <c r="Y47" s="4">
        <v>2387.0500000000002</v>
      </c>
      <c r="Z47" s="4">
        <v>17</v>
      </c>
      <c r="AA47" s="4">
        <v>838.03</v>
      </c>
      <c r="AB47" s="4">
        <v>8</v>
      </c>
      <c r="AC47" s="4">
        <v>1752.06</v>
      </c>
      <c r="AD47" s="4">
        <v>16</v>
      </c>
      <c r="AE47" s="4">
        <v>0</v>
      </c>
      <c r="AF47" s="4">
        <v>0</v>
      </c>
      <c r="AG47" s="4">
        <v>2790</v>
      </c>
      <c r="AH47" s="4">
        <v>19</v>
      </c>
      <c r="AI47" s="4">
        <v>0</v>
      </c>
      <c r="AJ47" s="4">
        <v>0</v>
      </c>
      <c r="AK47" s="4">
        <v>2122.02</v>
      </c>
      <c r="AL47" s="4">
        <v>21</v>
      </c>
      <c r="AM47" s="4">
        <v>2453.0500000000002</v>
      </c>
      <c r="AN47" s="4">
        <v>19</v>
      </c>
      <c r="AO47" s="4">
        <v>1619.05</v>
      </c>
      <c r="AP47" s="4">
        <v>8</v>
      </c>
      <c r="AQ47" s="4">
        <v>1226</v>
      </c>
      <c r="AR47" s="4">
        <v>13</v>
      </c>
      <c r="AS47" s="4">
        <v>0</v>
      </c>
      <c r="AT47" s="4">
        <v>0</v>
      </c>
      <c r="AU47" s="4">
        <v>2495.0300000000002</v>
      </c>
      <c r="AV47" s="4">
        <v>22</v>
      </c>
      <c r="AW47" s="4">
        <v>861.03</v>
      </c>
      <c r="AX47" s="4">
        <v>6</v>
      </c>
      <c r="AY47" s="4">
        <v>2003.95</v>
      </c>
      <c r="AZ47" s="4">
        <v>16</v>
      </c>
      <c r="BA47" s="4">
        <v>556.98</v>
      </c>
      <c r="BB47" s="4">
        <v>5</v>
      </c>
      <c r="BC47" s="4">
        <v>2668.93</v>
      </c>
      <c r="BD47" s="4">
        <v>14</v>
      </c>
      <c r="BE47" s="4">
        <v>958.06</v>
      </c>
      <c r="BF47" s="4">
        <v>6</v>
      </c>
      <c r="BQ47" s="3">
        <f t="shared" si="2"/>
        <v>48206.61</v>
      </c>
      <c r="BR47" s="3">
        <f t="shared" si="1"/>
        <v>379</v>
      </c>
    </row>
    <row r="48" spans="1:70" x14ac:dyDescent="0.25">
      <c r="A48" s="4" t="s">
        <v>2172</v>
      </c>
      <c r="B48" t="s">
        <v>20</v>
      </c>
      <c r="C48" s="338" t="s">
        <v>1651</v>
      </c>
      <c r="D48" s="213" t="s">
        <v>742</v>
      </c>
      <c r="E48" s="213" t="s">
        <v>157</v>
      </c>
      <c r="F48" s="213" t="s">
        <v>133</v>
      </c>
      <c r="G48" s="4">
        <v>655.01</v>
      </c>
      <c r="H48" s="4">
        <v>6</v>
      </c>
      <c r="I48" s="4">
        <v>1055.02</v>
      </c>
      <c r="J48" s="4">
        <v>7</v>
      </c>
      <c r="K48" s="4">
        <v>899.01</v>
      </c>
      <c r="L48" s="4">
        <v>7</v>
      </c>
      <c r="M48" s="4">
        <v>0</v>
      </c>
      <c r="N48" s="4">
        <v>0</v>
      </c>
      <c r="O48" s="4">
        <v>900</v>
      </c>
      <c r="P48" s="4">
        <v>6</v>
      </c>
      <c r="Q48" s="4">
        <v>1299.02</v>
      </c>
      <c r="R48" s="4">
        <v>12</v>
      </c>
      <c r="S48" s="4">
        <v>1138.03</v>
      </c>
      <c r="T48" s="4">
        <v>9</v>
      </c>
      <c r="U48" s="4">
        <v>644.02</v>
      </c>
      <c r="V48" s="4">
        <v>5</v>
      </c>
      <c r="W48" s="4">
        <v>675.02</v>
      </c>
      <c r="X48" s="4">
        <v>5</v>
      </c>
      <c r="Y48" s="4">
        <v>790</v>
      </c>
      <c r="Z48" s="4">
        <v>6</v>
      </c>
      <c r="AA48" s="4">
        <v>518.01</v>
      </c>
      <c r="AB48" s="4">
        <v>3</v>
      </c>
      <c r="AC48" s="4">
        <v>1050.01</v>
      </c>
      <c r="AD48" s="4">
        <v>6</v>
      </c>
      <c r="AE48" s="4">
        <v>75</v>
      </c>
      <c r="AF48" s="4">
        <v>1</v>
      </c>
      <c r="AG48" s="4">
        <v>0</v>
      </c>
      <c r="AH48" s="4">
        <v>0</v>
      </c>
      <c r="AI48" s="4">
        <v>454</v>
      </c>
      <c r="AJ48" s="4">
        <v>3</v>
      </c>
      <c r="AK48" s="4">
        <v>150</v>
      </c>
      <c r="AL48" s="4">
        <v>2</v>
      </c>
      <c r="AM48" s="4">
        <v>1075.01</v>
      </c>
      <c r="AN48" s="4">
        <v>6</v>
      </c>
      <c r="AO48" s="4">
        <v>899.01</v>
      </c>
      <c r="AP48" s="4">
        <v>6</v>
      </c>
      <c r="AQ48" s="4">
        <v>786.99</v>
      </c>
      <c r="AR48" s="4">
        <v>5</v>
      </c>
      <c r="AS48" s="4">
        <v>225.01</v>
      </c>
      <c r="AT48" s="4">
        <v>2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Q48" s="3">
        <f t="shared" si="2"/>
        <v>13288.17</v>
      </c>
      <c r="BR48" s="3">
        <f t="shared" si="1"/>
        <v>97</v>
      </c>
    </row>
    <row r="49" spans="1:70" x14ac:dyDescent="0.25">
      <c r="A49" s="4" t="s">
        <v>2173</v>
      </c>
      <c r="B49" t="s">
        <v>20</v>
      </c>
      <c r="C49" s="338" t="s">
        <v>1652</v>
      </c>
      <c r="D49" s="213" t="s">
        <v>743</v>
      </c>
      <c r="E49" s="213" t="s">
        <v>157</v>
      </c>
      <c r="F49" s="213" t="s">
        <v>133</v>
      </c>
      <c r="G49" s="4">
        <v>1218.04</v>
      </c>
      <c r="H49" s="4">
        <v>7</v>
      </c>
      <c r="I49" s="4">
        <v>417</v>
      </c>
      <c r="J49" s="4">
        <v>4</v>
      </c>
      <c r="K49" s="4">
        <v>267.01</v>
      </c>
      <c r="L49" s="4">
        <v>3</v>
      </c>
      <c r="M49" s="4">
        <v>904.02</v>
      </c>
      <c r="N49" s="4">
        <v>4</v>
      </c>
      <c r="O49" s="4">
        <v>96</v>
      </c>
      <c r="P49" s="4">
        <v>1</v>
      </c>
      <c r="Q49" s="4">
        <v>0</v>
      </c>
      <c r="R49" s="4">
        <v>0</v>
      </c>
      <c r="S49" s="4">
        <v>184</v>
      </c>
      <c r="T49" s="4">
        <v>2</v>
      </c>
      <c r="U49" s="4">
        <v>150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75</v>
      </c>
      <c r="AB49" s="4">
        <v>1</v>
      </c>
      <c r="AC49" s="4">
        <v>115</v>
      </c>
      <c r="AD49" s="4">
        <v>1</v>
      </c>
      <c r="AE49" s="4">
        <v>1169.01</v>
      </c>
      <c r="AF49" s="4">
        <v>8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150</v>
      </c>
      <c r="AP49" s="4">
        <v>1</v>
      </c>
      <c r="AQ49" s="4">
        <v>150</v>
      </c>
      <c r="AR49" s="4">
        <v>1</v>
      </c>
      <c r="AS49" s="4">
        <v>0</v>
      </c>
      <c r="AT49" s="4">
        <v>0</v>
      </c>
      <c r="AU49" s="4">
        <v>109</v>
      </c>
      <c r="AV49" s="4">
        <v>1</v>
      </c>
      <c r="AW49" s="4">
        <v>0</v>
      </c>
      <c r="AX49" s="4">
        <v>0</v>
      </c>
      <c r="AY49" s="4">
        <v>721.96</v>
      </c>
      <c r="AZ49" s="4">
        <v>4</v>
      </c>
      <c r="BA49" s="4">
        <v>150</v>
      </c>
      <c r="BB49" s="4">
        <v>2</v>
      </c>
      <c r="BC49" s="4">
        <v>770.97</v>
      </c>
      <c r="BD49" s="4">
        <v>2</v>
      </c>
      <c r="BE49" s="4">
        <v>497.04</v>
      </c>
      <c r="BF49" s="4">
        <v>3</v>
      </c>
      <c r="BQ49" s="3">
        <f t="shared" si="2"/>
        <v>7144.05</v>
      </c>
      <c r="BR49" s="3">
        <f t="shared" si="1"/>
        <v>46</v>
      </c>
    </row>
    <row r="50" spans="1:70" x14ac:dyDescent="0.25">
      <c r="A50" s="4" t="s">
        <v>2174</v>
      </c>
      <c r="B50" t="s">
        <v>20</v>
      </c>
      <c r="C50" s="338" t="s">
        <v>1653</v>
      </c>
      <c r="D50" s="213" t="s">
        <v>744</v>
      </c>
      <c r="E50" s="213" t="s">
        <v>157</v>
      </c>
      <c r="F50" s="213" t="s">
        <v>133</v>
      </c>
      <c r="G50" s="4">
        <v>1885.01</v>
      </c>
      <c r="H50" s="4">
        <v>15</v>
      </c>
      <c r="I50" s="4">
        <v>1889.06</v>
      </c>
      <c r="J50" s="4">
        <v>15</v>
      </c>
      <c r="K50" s="4">
        <v>1654.05</v>
      </c>
      <c r="L50" s="4">
        <v>13</v>
      </c>
      <c r="M50" s="4">
        <v>945.01</v>
      </c>
      <c r="N50" s="4">
        <v>8</v>
      </c>
      <c r="O50" s="4">
        <v>750.01</v>
      </c>
      <c r="P50" s="4">
        <v>6</v>
      </c>
      <c r="Q50" s="4">
        <v>925</v>
      </c>
      <c r="R50" s="4">
        <v>4</v>
      </c>
      <c r="S50" s="4">
        <v>0</v>
      </c>
      <c r="T50" s="4">
        <v>0</v>
      </c>
      <c r="U50" s="4">
        <v>1154.99</v>
      </c>
      <c r="V50" s="4">
        <v>6</v>
      </c>
      <c r="W50" s="4">
        <v>774</v>
      </c>
      <c r="X50" s="4">
        <v>5</v>
      </c>
      <c r="Y50" s="4">
        <v>975</v>
      </c>
      <c r="Z50" s="4">
        <v>9</v>
      </c>
      <c r="AA50" s="4">
        <v>1172.02</v>
      </c>
      <c r="AB50" s="4">
        <v>11</v>
      </c>
      <c r="AC50" s="4">
        <v>565</v>
      </c>
      <c r="AD50" s="4">
        <v>4</v>
      </c>
      <c r="AE50" s="4">
        <v>0</v>
      </c>
      <c r="AF50" s="4">
        <v>0</v>
      </c>
      <c r="AG50" s="4">
        <v>499.02</v>
      </c>
      <c r="AH50" s="4">
        <v>3</v>
      </c>
      <c r="AI50" s="4">
        <v>799.01</v>
      </c>
      <c r="AJ50" s="4">
        <v>4</v>
      </c>
      <c r="AK50" s="4">
        <v>499.01</v>
      </c>
      <c r="AL50" s="4">
        <v>4</v>
      </c>
      <c r="AM50" s="4">
        <v>300</v>
      </c>
      <c r="AN50" s="4">
        <v>3</v>
      </c>
      <c r="AO50" s="4">
        <v>949.99</v>
      </c>
      <c r="AP50" s="4">
        <v>6</v>
      </c>
      <c r="AQ50" s="4">
        <v>0</v>
      </c>
      <c r="AR50" s="4">
        <v>0</v>
      </c>
      <c r="AS50" s="4">
        <v>300</v>
      </c>
      <c r="AT50" s="4">
        <v>2</v>
      </c>
      <c r="AU50" s="4">
        <v>300</v>
      </c>
      <c r="AV50" s="4">
        <v>3</v>
      </c>
      <c r="AW50" s="4">
        <v>225</v>
      </c>
      <c r="AX50" s="4">
        <v>2</v>
      </c>
      <c r="AY50" s="4">
        <v>1016.96</v>
      </c>
      <c r="AZ50" s="4">
        <v>8</v>
      </c>
      <c r="BA50" s="4">
        <v>385.98</v>
      </c>
      <c r="BB50" s="4">
        <v>2</v>
      </c>
      <c r="BC50" s="4">
        <v>375</v>
      </c>
      <c r="BD50" s="4">
        <v>2</v>
      </c>
      <c r="BE50" s="4">
        <v>621.04</v>
      </c>
      <c r="BF50" s="4">
        <v>3</v>
      </c>
      <c r="BQ50" s="3">
        <f t="shared" si="2"/>
        <v>18960.16</v>
      </c>
      <c r="BR50" s="3">
        <f t="shared" si="1"/>
        <v>138</v>
      </c>
    </row>
    <row r="51" spans="1:70" x14ac:dyDescent="0.25">
      <c r="A51" s="4" t="s">
        <v>2175</v>
      </c>
      <c r="B51" t="s">
        <v>20</v>
      </c>
      <c r="C51" s="338" t="s">
        <v>1654</v>
      </c>
      <c r="D51" s="213" t="s">
        <v>745</v>
      </c>
      <c r="E51" s="213" t="s">
        <v>157</v>
      </c>
      <c r="F51" s="213" t="s">
        <v>133</v>
      </c>
      <c r="G51" s="4">
        <v>1795.04</v>
      </c>
      <c r="H51" s="4">
        <v>15</v>
      </c>
      <c r="I51" s="4">
        <v>2150.0500000000002</v>
      </c>
      <c r="J51" s="4">
        <v>16</v>
      </c>
      <c r="K51" s="4">
        <v>780.01</v>
      </c>
      <c r="L51" s="4">
        <v>7</v>
      </c>
      <c r="M51" s="4">
        <v>1200.03</v>
      </c>
      <c r="N51" s="4">
        <v>5</v>
      </c>
      <c r="O51" s="4">
        <v>0</v>
      </c>
      <c r="P51" s="4">
        <v>0</v>
      </c>
      <c r="Q51" s="4">
        <v>300.01</v>
      </c>
      <c r="R51" s="4">
        <v>2</v>
      </c>
      <c r="S51" s="4">
        <v>1104.02</v>
      </c>
      <c r="T51" s="4">
        <v>7</v>
      </c>
      <c r="U51" s="4">
        <v>724.01</v>
      </c>
      <c r="V51" s="4">
        <v>4</v>
      </c>
      <c r="W51" s="4">
        <v>825</v>
      </c>
      <c r="X51" s="4">
        <v>6</v>
      </c>
      <c r="Y51" s="4">
        <v>194</v>
      </c>
      <c r="Z51" s="4">
        <v>3</v>
      </c>
      <c r="AA51" s="4">
        <v>225</v>
      </c>
      <c r="AB51" s="4">
        <v>2</v>
      </c>
      <c r="AC51" s="4">
        <v>375.01</v>
      </c>
      <c r="AD51" s="4">
        <v>3</v>
      </c>
      <c r="AE51" s="4">
        <v>1575.01</v>
      </c>
      <c r="AF51" s="4">
        <v>11</v>
      </c>
      <c r="AG51" s="4">
        <v>300</v>
      </c>
      <c r="AH51" s="4">
        <v>2</v>
      </c>
      <c r="AI51" s="4">
        <v>150</v>
      </c>
      <c r="AJ51" s="4">
        <v>2</v>
      </c>
      <c r="AK51" s="4">
        <v>525.01</v>
      </c>
      <c r="AL51" s="4">
        <v>4</v>
      </c>
      <c r="AM51" s="4">
        <v>675.02</v>
      </c>
      <c r="AN51" s="4">
        <v>5</v>
      </c>
      <c r="AO51" s="4">
        <v>0</v>
      </c>
      <c r="AP51" s="4">
        <v>0</v>
      </c>
      <c r="AQ51" s="4">
        <v>0</v>
      </c>
      <c r="AR51" s="4">
        <v>0</v>
      </c>
      <c r="AS51" s="4">
        <v>588.01</v>
      </c>
      <c r="AT51" s="4">
        <v>4</v>
      </c>
      <c r="AU51" s="4">
        <v>1070.01</v>
      </c>
      <c r="AV51" s="4">
        <v>8</v>
      </c>
      <c r="AW51" s="4">
        <v>409.99</v>
      </c>
      <c r="AX51" s="4">
        <v>2</v>
      </c>
      <c r="AY51" s="4">
        <v>0</v>
      </c>
      <c r="AZ51" s="4">
        <v>0</v>
      </c>
      <c r="BA51" s="4">
        <v>385.98</v>
      </c>
      <c r="BB51" s="4">
        <v>2</v>
      </c>
      <c r="BC51" s="4">
        <v>1143.92</v>
      </c>
      <c r="BD51" s="4">
        <v>6</v>
      </c>
      <c r="BE51" s="4">
        <v>422.04</v>
      </c>
      <c r="BF51" s="4">
        <v>2</v>
      </c>
      <c r="BQ51" s="3">
        <f t="shared" si="2"/>
        <v>16917.170000000002</v>
      </c>
      <c r="BR51" s="3">
        <f t="shared" si="1"/>
        <v>118</v>
      </c>
    </row>
    <row r="52" spans="1:70" x14ac:dyDescent="0.25">
      <c r="A52" s="4" t="s">
        <v>2176</v>
      </c>
      <c r="B52" t="s">
        <v>20</v>
      </c>
      <c r="C52" s="338" t="s">
        <v>1655</v>
      </c>
      <c r="D52" s="213" t="s">
        <v>746</v>
      </c>
      <c r="E52" s="213" t="s">
        <v>157</v>
      </c>
      <c r="F52" s="213" t="s">
        <v>133</v>
      </c>
      <c r="G52" s="4">
        <v>1543.07</v>
      </c>
      <c r="H52" s="4">
        <v>10</v>
      </c>
      <c r="I52" s="4">
        <v>928.99</v>
      </c>
      <c r="J52" s="4">
        <v>8</v>
      </c>
      <c r="K52" s="4">
        <v>1347.02</v>
      </c>
      <c r="L52" s="4">
        <v>8</v>
      </c>
      <c r="M52" s="4">
        <v>1050.03</v>
      </c>
      <c r="N52" s="4">
        <v>7</v>
      </c>
      <c r="O52" s="4">
        <v>150.02000000000001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265.01</v>
      </c>
      <c r="V52" s="4">
        <v>2</v>
      </c>
      <c r="W52" s="4">
        <v>675.01</v>
      </c>
      <c r="X52" s="4">
        <v>4</v>
      </c>
      <c r="Y52" s="4">
        <v>675</v>
      </c>
      <c r="Z52" s="4">
        <v>4</v>
      </c>
      <c r="AA52" s="4">
        <v>675.02</v>
      </c>
      <c r="AB52" s="4">
        <v>5</v>
      </c>
      <c r="AC52" s="4">
        <v>75</v>
      </c>
      <c r="AD52" s="4">
        <v>1</v>
      </c>
      <c r="AE52" s="4">
        <v>0</v>
      </c>
      <c r="AF52" s="4">
        <v>0</v>
      </c>
      <c r="AG52" s="4">
        <v>375</v>
      </c>
      <c r="AH52" s="4">
        <v>3</v>
      </c>
      <c r="AI52" s="4">
        <v>465.01</v>
      </c>
      <c r="AJ52" s="4">
        <v>3</v>
      </c>
      <c r="AK52" s="4">
        <v>340</v>
      </c>
      <c r="AL52" s="4">
        <v>3</v>
      </c>
      <c r="AM52" s="4">
        <v>501.99</v>
      </c>
      <c r="AN52" s="4">
        <v>4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Q52" s="3">
        <f t="shared" si="2"/>
        <v>9066.17</v>
      </c>
      <c r="BR52" s="3">
        <f t="shared" si="1"/>
        <v>63</v>
      </c>
    </row>
    <row r="53" spans="1:70" x14ac:dyDescent="0.25">
      <c r="A53" s="4" t="s">
        <v>2177</v>
      </c>
      <c r="B53" t="s">
        <v>20</v>
      </c>
      <c r="C53" s="338" t="s">
        <v>1656</v>
      </c>
      <c r="D53" s="213" t="s">
        <v>747</v>
      </c>
      <c r="E53" s="213" t="s">
        <v>157</v>
      </c>
      <c r="F53" s="213" t="s">
        <v>133</v>
      </c>
      <c r="G53" s="4">
        <v>2390.06</v>
      </c>
      <c r="H53" s="4">
        <v>17</v>
      </c>
      <c r="I53" s="4">
        <v>150</v>
      </c>
      <c r="J53" s="4">
        <v>2</v>
      </c>
      <c r="K53" s="4">
        <v>1540.06</v>
      </c>
      <c r="L53" s="4">
        <v>10</v>
      </c>
      <c r="M53" s="4">
        <v>1065.03</v>
      </c>
      <c r="N53" s="4">
        <v>8</v>
      </c>
      <c r="O53" s="4">
        <v>1221.03</v>
      </c>
      <c r="P53" s="4">
        <v>8</v>
      </c>
      <c r="Q53" s="4">
        <v>265</v>
      </c>
      <c r="R53" s="4">
        <v>2</v>
      </c>
      <c r="S53" s="4">
        <v>0</v>
      </c>
      <c r="T53" s="4">
        <v>0</v>
      </c>
      <c r="U53" s="4">
        <v>801.01</v>
      </c>
      <c r="V53" s="4">
        <v>7</v>
      </c>
      <c r="W53" s="4">
        <v>150.01</v>
      </c>
      <c r="X53" s="4">
        <v>1</v>
      </c>
      <c r="Y53" s="4">
        <v>614.01</v>
      </c>
      <c r="Z53" s="4">
        <v>5</v>
      </c>
      <c r="AA53" s="4">
        <v>725</v>
      </c>
      <c r="AB53" s="4">
        <v>4</v>
      </c>
      <c r="AC53" s="4">
        <v>719</v>
      </c>
      <c r="AD53" s="4">
        <v>5</v>
      </c>
      <c r="AE53" s="4">
        <v>1065</v>
      </c>
      <c r="AF53" s="4">
        <v>6</v>
      </c>
      <c r="AG53" s="4">
        <v>634</v>
      </c>
      <c r="AH53" s="4">
        <v>4</v>
      </c>
      <c r="AI53" s="4">
        <v>1690</v>
      </c>
      <c r="AJ53" s="4">
        <v>9</v>
      </c>
      <c r="AK53" s="4">
        <v>0</v>
      </c>
      <c r="AL53" s="4">
        <v>0</v>
      </c>
      <c r="AM53" s="4">
        <v>375</v>
      </c>
      <c r="AN53" s="4">
        <v>3</v>
      </c>
      <c r="AO53" s="4">
        <v>940</v>
      </c>
      <c r="AP53" s="4">
        <v>6</v>
      </c>
      <c r="AQ53" s="4">
        <v>0</v>
      </c>
      <c r="AR53" s="4">
        <v>0</v>
      </c>
      <c r="AS53" s="4">
        <v>289</v>
      </c>
      <c r="AT53" s="4">
        <v>3</v>
      </c>
      <c r="AU53" s="4">
        <v>475</v>
      </c>
      <c r="AV53" s="4">
        <v>4</v>
      </c>
      <c r="AW53" s="4">
        <v>375</v>
      </c>
      <c r="AX53" s="4">
        <v>3</v>
      </c>
      <c r="AY53" s="4">
        <v>210.98</v>
      </c>
      <c r="AZ53" s="4">
        <v>1</v>
      </c>
      <c r="BA53" s="4">
        <v>632.94000000000005</v>
      </c>
      <c r="BB53" s="4">
        <v>3</v>
      </c>
      <c r="BC53" s="4">
        <v>619.98</v>
      </c>
      <c r="BD53" s="4">
        <v>4</v>
      </c>
      <c r="BE53" s="4">
        <v>1055.0999999999999</v>
      </c>
      <c r="BF53" s="4">
        <v>5</v>
      </c>
      <c r="BQ53" s="3">
        <f t="shared" si="2"/>
        <v>18002.21</v>
      </c>
      <c r="BR53" s="3">
        <f t="shared" si="1"/>
        <v>120</v>
      </c>
    </row>
    <row r="54" spans="1:70" x14ac:dyDescent="0.25">
      <c r="A54" s="4" t="s">
        <v>2178</v>
      </c>
      <c r="B54" t="s">
        <v>20</v>
      </c>
      <c r="C54" s="338" t="s">
        <v>1657</v>
      </c>
      <c r="D54" s="213" t="s">
        <v>748</v>
      </c>
      <c r="E54" s="213" t="s">
        <v>157</v>
      </c>
      <c r="F54" s="213" t="s">
        <v>133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937</v>
      </c>
      <c r="P54" s="4">
        <v>8</v>
      </c>
      <c r="Q54" s="4">
        <v>816</v>
      </c>
      <c r="R54" s="4">
        <v>6</v>
      </c>
      <c r="S54" s="4">
        <v>840.01</v>
      </c>
      <c r="T54" s="4">
        <v>6</v>
      </c>
      <c r="U54" s="4">
        <v>1112.02</v>
      </c>
      <c r="V54" s="4">
        <v>9</v>
      </c>
      <c r="W54" s="4">
        <v>1050.01</v>
      </c>
      <c r="X54" s="4">
        <v>9</v>
      </c>
      <c r="Y54" s="4">
        <v>779.01</v>
      </c>
      <c r="Z54" s="4">
        <v>5</v>
      </c>
      <c r="AA54" s="4">
        <v>0</v>
      </c>
      <c r="AB54" s="4">
        <v>0</v>
      </c>
      <c r="AC54" s="4">
        <v>340.01</v>
      </c>
      <c r="AD54" s="4">
        <v>3</v>
      </c>
      <c r="AE54" s="4">
        <v>1000</v>
      </c>
      <c r="AF54" s="4">
        <v>7</v>
      </c>
      <c r="AG54" s="4">
        <v>1574.01</v>
      </c>
      <c r="AH54" s="4">
        <v>11</v>
      </c>
      <c r="AI54" s="4">
        <v>675</v>
      </c>
      <c r="AJ54" s="4">
        <v>4</v>
      </c>
      <c r="AK54" s="4">
        <v>1390</v>
      </c>
      <c r="AL54" s="4">
        <v>10</v>
      </c>
      <c r="AM54" s="4">
        <v>700</v>
      </c>
      <c r="AN54" s="4">
        <v>4</v>
      </c>
      <c r="AO54" s="4">
        <v>75</v>
      </c>
      <c r="AP54" s="4">
        <v>1</v>
      </c>
      <c r="AQ54" s="4">
        <v>1575</v>
      </c>
      <c r="AR54" s="4">
        <v>11</v>
      </c>
      <c r="AS54" s="4">
        <v>604.01</v>
      </c>
      <c r="AT54" s="4">
        <v>5</v>
      </c>
      <c r="AU54" s="4">
        <v>1050</v>
      </c>
      <c r="AV54" s="4">
        <v>8</v>
      </c>
      <c r="AW54" s="4">
        <v>1260.95</v>
      </c>
      <c r="AX54" s="4">
        <v>6</v>
      </c>
      <c r="AY54" s="4">
        <v>0</v>
      </c>
      <c r="AZ54" s="4">
        <v>0</v>
      </c>
      <c r="BA54" s="4">
        <v>843.97</v>
      </c>
      <c r="BB54" s="4">
        <v>6</v>
      </c>
      <c r="BC54" s="4">
        <v>1411.96</v>
      </c>
      <c r="BD54" s="4">
        <v>7</v>
      </c>
      <c r="BE54" s="4">
        <v>529.02</v>
      </c>
      <c r="BF54" s="4">
        <v>5</v>
      </c>
      <c r="BQ54" s="3">
        <f t="shared" si="2"/>
        <v>18562.98</v>
      </c>
      <c r="BR54" s="3">
        <f t="shared" si="1"/>
        <v>131</v>
      </c>
    </row>
    <row r="55" spans="1:70" x14ac:dyDescent="0.25">
      <c r="A55" s="4" t="s">
        <v>2179</v>
      </c>
      <c r="B55" t="s">
        <v>21</v>
      </c>
      <c r="C55" s="338" t="s">
        <v>1658</v>
      </c>
      <c r="D55" s="213" t="s">
        <v>749</v>
      </c>
      <c r="E55" s="213" t="s">
        <v>138</v>
      </c>
      <c r="F55" s="213" t="s">
        <v>128</v>
      </c>
      <c r="G55" s="4">
        <v>2650.06</v>
      </c>
      <c r="H55" s="4">
        <v>17</v>
      </c>
      <c r="I55" s="4">
        <v>1494.08</v>
      </c>
      <c r="J55" s="4">
        <v>5</v>
      </c>
      <c r="K55" s="4">
        <v>706.99</v>
      </c>
      <c r="L55" s="4">
        <v>7</v>
      </c>
      <c r="M55" s="4">
        <v>2991.02</v>
      </c>
      <c r="N55" s="4">
        <v>15</v>
      </c>
      <c r="O55" s="4">
        <v>0</v>
      </c>
      <c r="P55" s="4">
        <v>0</v>
      </c>
      <c r="Q55" s="4">
        <v>1495.05</v>
      </c>
      <c r="R55" s="4">
        <v>11</v>
      </c>
      <c r="S55" s="4">
        <v>1433.02</v>
      </c>
      <c r="T55" s="4">
        <v>9</v>
      </c>
      <c r="U55" s="4">
        <v>600.03</v>
      </c>
      <c r="V55" s="4">
        <v>1</v>
      </c>
      <c r="W55" s="4">
        <v>1404.07</v>
      </c>
      <c r="X55" s="4">
        <v>6</v>
      </c>
      <c r="Y55" s="4">
        <v>804.03</v>
      </c>
      <c r="Z55" s="4">
        <v>6</v>
      </c>
      <c r="AA55" s="4">
        <v>0</v>
      </c>
      <c r="AB55" s="4">
        <v>0</v>
      </c>
      <c r="AC55" s="4">
        <v>0</v>
      </c>
      <c r="AD55" s="4">
        <v>0</v>
      </c>
      <c r="AE55" s="4">
        <v>244.01</v>
      </c>
      <c r="AF55" s="4">
        <v>2</v>
      </c>
      <c r="AG55" s="4">
        <v>1399.03</v>
      </c>
      <c r="AH55" s="4">
        <v>6</v>
      </c>
      <c r="AI55" s="4">
        <v>0</v>
      </c>
      <c r="AJ55" s="4">
        <v>0</v>
      </c>
      <c r="AK55" s="4">
        <v>75</v>
      </c>
      <c r="AL55" s="4">
        <v>1</v>
      </c>
      <c r="AM55" s="4">
        <v>0</v>
      </c>
      <c r="AN55" s="4">
        <v>0</v>
      </c>
      <c r="AO55" s="4">
        <v>0</v>
      </c>
      <c r="AP55" s="4">
        <v>0</v>
      </c>
      <c r="AQ55" s="4">
        <v>225</v>
      </c>
      <c r="AR55" s="4">
        <v>2</v>
      </c>
      <c r="AS55" s="4">
        <v>300</v>
      </c>
      <c r="AT55" s="4">
        <v>2</v>
      </c>
      <c r="AU55" s="4">
        <v>1099</v>
      </c>
      <c r="AV55" s="4">
        <v>6</v>
      </c>
      <c r="AW55" s="4">
        <v>1599.97</v>
      </c>
      <c r="AX55" s="4">
        <v>11</v>
      </c>
      <c r="AY55" s="4">
        <v>2666.88</v>
      </c>
      <c r="AZ55" s="4">
        <v>12</v>
      </c>
      <c r="BA55" s="4">
        <v>3300.78</v>
      </c>
      <c r="BB55" s="4">
        <v>15</v>
      </c>
      <c r="BC55" s="4">
        <v>2240.88</v>
      </c>
      <c r="BD55" s="4">
        <v>16</v>
      </c>
      <c r="BE55" s="4">
        <v>1207.07</v>
      </c>
      <c r="BF55" s="4">
        <v>8</v>
      </c>
      <c r="BQ55" s="3">
        <f t="shared" si="2"/>
        <v>27935.97</v>
      </c>
      <c r="BR55" s="3">
        <f t="shared" si="1"/>
        <v>158</v>
      </c>
    </row>
    <row r="56" spans="1:70" x14ac:dyDescent="0.25">
      <c r="A56" s="4" t="s">
        <v>2180</v>
      </c>
      <c r="B56" t="s">
        <v>21</v>
      </c>
      <c r="C56" s="338" t="s">
        <v>1659</v>
      </c>
      <c r="D56" s="213" t="s">
        <v>750</v>
      </c>
      <c r="E56" s="213" t="s">
        <v>138</v>
      </c>
      <c r="F56" s="213" t="s">
        <v>128</v>
      </c>
      <c r="G56" s="4">
        <v>2721</v>
      </c>
      <c r="H56" s="4">
        <v>16</v>
      </c>
      <c r="I56" s="4">
        <v>0</v>
      </c>
      <c r="J56" s="4">
        <v>0</v>
      </c>
      <c r="K56" s="4">
        <v>1721.02</v>
      </c>
      <c r="L56" s="4">
        <v>9</v>
      </c>
      <c r="M56" s="4">
        <v>1574.98</v>
      </c>
      <c r="N56" s="4">
        <v>7</v>
      </c>
      <c r="O56" s="4">
        <v>1739.04</v>
      </c>
      <c r="P56" s="4">
        <v>9</v>
      </c>
      <c r="Q56" s="4">
        <v>1114.02</v>
      </c>
      <c r="R56" s="4">
        <v>9</v>
      </c>
      <c r="S56" s="4">
        <v>1475.02</v>
      </c>
      <c r="T56" s="4">
        <v>8</v>
      </c>
      <c r="U56" s="4">
        <v>1575.03</v>
      </c>
      <c r="V56" s="4">
        <v>11</v>
      </c>
      <c r="W56" s="4">
        <v>0</v>
      </c>
      <c r="X56" s="4">
        <v>0</v>
      </c>
      <c r="Y56" s="4">
        <v>2497.0300000000002</v>
      </c>
      <c r="Z56" s="4">
        <v>16</v>
      </c>
      <c r="AA56" s="4">
        <v>1356</v>
      </c>
      <c r="AB56" s="4">
        <v>6</v>
      </c>
      <c r="AC56" s="4">
        <v>3403.05</v>
      </c>
      <c r="AD56" s="4">
        <v>9</v>
      </c>
      <c r="AE56" s="4">
        <v>2426.0300000000002</v>
      </c>
      <c r="AF56" s="4">
        <v>15</v>
      </c>
      <c r="AG56" s="4">
        <v>150.01</v>
      </c>
      <c r="AH56" s="4">
        <v>1</v>
      </c>
      <c r="AI56" s="4">
        <v>1647.07</v>
      </c>
      <c r="AJ56" s="4">
        <v>11</v>
      </c>
      <c r="AK56" s="4">
        <v>1751.99</v>
      </c>
      <c r="AL56" s="4">
        <v>11</v>
      </c>
      <c r="AM56" s="4">
        <v>2422.0500000000002</v>
      </c>
      <c r="AN56" s="4">
        <v>12</v>
      </c>
      <c r="AO56" s="4">
        <v>724.02</v>
      </c>
      <c r="AP56" s="4">
        <v>5</v>
      </c>
      <c r="AQ56" s="4">
        <v>212</v>
      </c>
      <c r="AR56" s="4">
        <v>2</v>
      </c>
      <c r="AS56" s="4">
        <v>2537.02</v>
      </c>
      <c r="AT56" s="4">
        <v>15</v>
      </c>
      <c r="AU56" s="4">
        <v>300</v>
      </c>
      <c r="AV56" s="4">
        <v>2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Q56" s="3">
        <f t="shared" si="2"/>
        <v>31346.38</v>
      </c>
      <c r="BR56" s="3">
        <f t="shared" si="1"/>
        <v>174</v>
      </c>
    </row>
    <row r="57" spans="1:70" x14ac:dyDescent="0.25">
      <c r="A57" s="4" t="s">
        <v>2181</v>
      </c>
      <c r="B57" t="s">
        <v>21</v>
      </c>
      <c r="C57" s="338" t="s">
        <v>1660</v>
      </c>
      <c r="D57" s="213" t="s">
        <v>751</v>
      </c>
      <c r="E57" s="213" t="s">
        <v>138</v>
      </c>
      <c r="F57" s="213" t="s">
        <v>128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15</v>
      </c>
      <c r="R57" s="4">
        <v>1</v>
      </c>
      <c r="S57" s="4">
        <v>0</v>
      </c>
      <c r="T57" s="4">
        <v>0</v>
      </c>
      <c r="U57" s="4">
        <v>450</v>
      </c>
      <c r="V57" s="4">
        <v>4</v>
      </c>
      <c r="W57" s="4">
        <v>2500.06</v>
      </c>
      <c r="X57" s="4">
        <v>14</v>
      </c>
      <c r="Y57" s="4">
        <v>460.01</v>
      </c>
      <c r="Z57" s="4">
        <v>3</v>
      </c>
      <c r="AA57" s="4">
        <v>1325</v>
      </c>
      <c r="AB57" s="4">
        <v>6</v>
      </c>
      <c r="AC57" s="4">
        <v>1537.01</v>
      </c>
      <c r="AD57" s="4">
        <v>6</v>
      </c>
      <c r="AE57" s="4">
        <v>0</v>
      </c>
      <c r="AF57" s="4">
        <v>0</v>
      </c>
      <c r="AG57" s="4">
        <v>750.01</v>
      </c>
      <c r="AH57" s="4">
        <v>7</v>
      </c>
      <c r="AI57" s="4">
        <v>1200.01</v>
      </c>
      <c r="AJ57" s="4">
        <v>9</v>
      </c>
      <c r="AK57" s="4">
        <v>1590</v>
      </c>
      <c r="AL57" s="4">
        <v>7</v>
      </c>
      <c r="AM57" s="4">
        <v>1575.03</v>
      </c>
      <c r="AN57" s="4">
        <v>8</v>
      </c>
      <c r="AO57" s="4">
        <v>1703.02</v>
      </c>
      <c r="AP57" s="4">
        <v>9</v>
      </c>
      <c r="AQ57" s="4">
        <v>1148.03</v>
      </c>
      <c r="AR57" s="4">
        <v>5</v>
      </c>
      <c r="AS57" s="4">
        <v>0</v>
      </c>
      <c r="AT57" s="4">
        <v>0</v>
      </c>
      <c r="AU57" s="4">
        <v>0</v>
      </c>
      <c r="AV57" s="4">
        <v>0</v>
      </c>
      <c r="AW57" s="4">
        <v>1979.92</v>
      </c>
      <c r="AX57" s="4">
        <v>9</v>
      </c>
      <c r="AY57" s="4">
        <v>682.97</v>
      </c>
      <c r="AZ57" s="4">
        <v>4</v>
      </c>
      <c r="BA57" s="4">
        <v>421.96</v>
      </c>
      <c r="BB57" s="4">
        <v>2</v>
      </c>
      <c r="BC57" s="4">
        <v>421.96</v>
      </c>
      <c r="BD57" s="4">
        <v>2</v>
      </c>
      <c r="BE57" s="4">
        <v>1516.07</v>
      </c>
      <c r="BF57" s="4">
        <v>5</v>
      </c>
      <c r="BQ57" s="3">
        <f t="shared" si="2"/>
        <v>19276.060000000001</v>
      </c>
      <c r="BR57" s="3">
        <f t="shared" si="1"/>
        <v>101</v>
      </c>
    </row>
    <row r="58" spans="1:70" x14ac:dyDescent="0.25">
      <c r="A58" s="4" t="s">
        <v>2182</v>
      </c>
      <c r="B58" t="s">
        <v>21</v>
      </c>
      <c r="C58" s="338" t="s">
        <v>1661</v>
      </c>
      <c r="D58" s="213" t="s">
        <v>752</v>
      </c>
      <c r="E58" s="213" t="s">
        <v>138</v>
      </c>
      <c r="F58" s="213" t="s">
        <v>128</v>
      </c>
      <c r="G58" s="4">
        <v>1873.03</v>
      </c>
      <c r="H58" s="4">
        <v>12</v>
      </c>
      <c r="I58" s="4">
        <v>7342.07</v>
      </c>
      <c r="J58" s="4">
        <v>53</v>
      </c>
      <c r="K58" s="4">
        <v>5154.12</v>
      </c>
      <c r="L58" s="4">
        <v>34</v>
      </c>
      <c r="M58" s="4">
        <v>3931.08</v>
      </c>
      <c r="N58" s="4">
        <v>22</v>
      </c>
      <c r="O58" s="4">
        <v>5080.16</v>
      </c>
      <c r="P58" s="4">
        <v>24</v>
      </c>
      <c r="Q58" s="4">
        <v>450.02</v>
      </c>
      <c r="R58" s="4">
        <v>3</v>
      </c>
      <c r="S58" s="4">
        <v>1869.03</v>
      </c>
      <c r="T58" s="4">
        <v>13</v>
      </c>
      <c r="U58" s="4">
        <v>2972.03</v>
      </c>
      <c r="V58" s="4">
        <v>19</v>
      </c>
      <c r="W58" s="4">
        <v>990.03</v>
      </c>
      <c r="X58" s="4">
        <v>7</v>
      </c>
      <c r="Y58" s="4">
        <v>965.01</v>
      </c>
      <c r="Z58" s="4">
        <v>7</v>
      </c>
      <c r="AA58" s="4">
        <v>297</v>
      </c>
      <c r="AB58" s="4">
        <v>2</v>
      </c>
      <c r="AC58" s="4">
        <v>600.01</v>
      </c>
      <c r="AD58" s="4">
        <v>5</v>
      </c>
      <c r="AE58" s="4">
        <v>450.01</v>
      </c>
      <c r="AF58" s="4">
        <v>3</v>
      </c>
      <c r="AG58" s="4">
        <v>600.03</v>
      </c>
      <c r="AH58" s="4">
        <v>4</v>
      </c>
      <c r="AI58" s="4">
        <v>1498</v>
      </c>
      <c r="AJ58" s="4">
        <v>7</v>
      </c>
      <c r="AK58" s="4">
        <v>0</v>
      </c>
      <c r="AL58" s="4">
        <v>0</v>
      </c>
      <c r="AM58" s="4">
        <v>875.01</v>
      </c>
      <c r="AN58" s="4">
        <v>7</v>
      </c>
      <c r="AO58" s="4">
        <v>660.01</v>
      </c>
      <c r="AP58" s="4">
        <v>3</v>
      </c>
      <c r="AQ58" s="4">
        <v>250</v>
      </c>
      <c r="AR58" s="4">
        <v>3</v>
      </c>
      <c r="AS58" s="4">
        <v>689.02</v>
      </c>
      <c r="AT58" s="4">
        <v>5</v>
      </c>
      <c r="AU58" s="4">
        <v>900.01</v>
      </c>
      <c r="AV58" s="4">
        <v>6</v>
      </c>
      <c r="AW58" s="4">
        <v>1415.88</v>
      </c>
      <c r="AX58" s="4">
        <v>8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Q58" s="3">
        <f t="shared" si="2"/>
        <v>38861.55999999999</v>
      </c>
      <c r="BR58" s="3">
        <f t="shared" si="1"/>
        <v>247</v>
      </c>
    </row>
    <row r="59" spans="1:70" x14ac:dyDescent="0.25">
      <c r="A59" s="4" t="s">
        <v>2183</v>
      </c>
      <c r="B59" t="s">
        <v>22</v>
      </c>
      <c r="C59" s="338" t="s">
        <v>1662</v>
      </c>
      <c r="D59" s="213" t="s">
        <v>753</v>
      </c>
      <c r="E59" s="213" t="s">
        <v>139</v>
      </c>
      <c r="F59" s="213" t="s">
        <v>130</v>
      </c>
      <c r="G59" s="4">
        <v>2999.08</v>
      </c>
      <c r="H59" s="4">
        <v>9</v>
      </c>
      <c r="I59" s="4">
        <v>1265.02</v>
      </c>
      <c r="J59" s="4">
        <v>11</v>
      </c>
      <c r="K59" s="4">
        <v>1142.03</v>
      </c>
      <c r="L59" s="4">
        <v>9</v>
      </c>
      <c r="M59" s="4">
        <v>1160.01</v>
      </c>
      <c r="N59" s="4">
        <v>10</v>
      </c>
      <c r="O59" s="4">
        <v>2831.01</v>
      </c>
      <c r="P59" s="4">
        <v>14</v>
      </c>
      <c r="Q59" s="4">
        <v>2007.01</v>
      </c>
      <c r="R59" s="4">
        <v>14</v>
      </c>
      <c r="S59" s="4">
        <v>1100.02</v>
      </c>
      <c r="T59" s="4">
        <v>7</v>
      </c>
      <c r="U59" s="4">
        <v>1824.04</v>
      </c>
      <c r="V59" s="4">
        <v>11</v>
      </c>
      <c r="W59" s="4">
        <v>0</v>
      </c>
      <c r="X59" s="4">
        <v>0</v>
      </c>
      <c r="Y59" s="4">
        <v>615.01</v>
      </c>
      <c r="Z59" s="4">
        <v>4</v>
      </c>
      <c r="AA59" s="4">
        <v>1058.03</v>
      </c>
      <c r="AB59" s="4">
        <v>6</v>
      </c>
      <c r="AC59" s="4">
        <v>2073.02</v>
      </c>
      <c r="AD59" s="4">
        <v>3</v>
      </c>
      <c r="AE59" s="4">
        <v>600.01</v>
      </c>
      <c r="AF59" s="4">
        <v>4</v>
      </c>
      <c r="AG59" s="4">
        <v>1328.02</v>
      </c>
      <c r="AH59" s="4">
        <v>10</v>
      </c>
      <c r="AI59" s="4">
        <v>1025.01</v>
      </c>
      <c r="AJ59" s="4">
        <v>7</v>
      </c>
      <c r="AK59" s="4">
        <v>0</v>
      </c>
      <c r="AL59" s="4">
        <v>0</v>
      </c>
      <c r="AM59" s="4">
        <v>962</v>
      </c>
      <c r="AN59" s="4">
        <v>7</v>
      </c>
      <c r="AO59" s="4">
        <v>0</v>
      </c>
      <c r="AP59" s="4">
        <v>0</v>
      </c>
      <c r="AQ59" s="4">
        <v>729.01</v>
      </c>
      <c r="AR59" s="4">
        <v>5</v>
      </c>
      <c r="AS59" s="4">
        <v>1152</v>
      </c>
      <c r="AT59" s="4">
        <v>4</v>
      </c>
      <c r="AU59" s="4">
        <v>1822.08</v>
      </c>
      <c r="AV59" s="4">
        <v>9</v>
      </c>
      <c r="AW59" s="4">
        <v>1047.95</v>
      </c>
      <c r="AX59" s="4">
        <v>6</v>
      </c>
      <c r="AY59" s="4">
        <v>0</v>
      </c>
      <c r="AZ59" s="4">
        <v>0</v>
      </c>
      <c r="BA59" s="4">
        <v>471.01</v>
      </c>
      <c r="BB59" s="4">
        <v>3</v>
      </c>
      <c r="BC59" s="4">
        <v>782.94</v>
      </c>
      <c r="BD59" s="4">
        <v>3</v>
      </c>
      <c r="BE59" s="4">
        <v>2399.1799999999998</v>
      </c>
      <c r="BF59" s="4">
        <v>13</v>
      </c>
      <c r="BQ59" s="3">
        <f t="shared" si="2"/>
        <v>30393.489999999994</v>
      </c>
      <c r="BR59" s="3">
        <f t="shared" si="1"/>
        <v>169</v>
      </c>
    </row>
    <row r="60" spans="1:70" x14ac:dyDescent="0.25">
      <c r="A60" s="4" t="s">
        <v>2184</v>
      </c>
      <c r="B60" t="s">
        <v>22</v>
      </c>
      <c r="C60" s="338" t="s">
        <v>1663</v>
      </c>
      <c r="D60" s="213" t="s">
        <v>754</v>
      </c>
      <c r="E60" s="213" t="s">
        <v>139</v>
      </c>
      <c r="F60" s="213" t="s">
        <v>130</v>
      </c>
      <c r="G60" s="4">
        <v>1459.02</v>
      </c>
      <c r="H60" s="4">
        <v>9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700.03</v>
      </c>
      <c r="V60" s="4">
        <v>6</v>
      </c>
      <c r="W60" s="4">
        <v>2992.04</v>
      </c>
      <c r="X60" s="4">
        <v>13</v>
      </c>
      <c r="Y60" s="4">
        <v>1954.03</v>
      </c>
      <c r="Z60" s="4">
        <v>13</v>
      </c>
      <c r="AA60" s="4">
        <v>600</v>
      </c>
      <c r="AB60" s="4">
        <v>5</v>
      </c>
      <c r="AC60" s="4">
        <v>450</v>
      </c>
      <c r="AD60" s="4">
        <v>3</v>
      </c>
      <c r="AE60" s="4">
        <v>2001.02</v>
      </c>
      <c r="AF60" s="4">
        <v>12</v>
      </c>
      <c r="AG60" s="4">
        <v>2113.0300000000002</v>
      </c>
      <c r="AH60" s="4">
        <v>15</v>
      </c>
      <c r="AI60" s="4">
        <v>2018.01</v>
      </c>
      <c r="AJ60" s="4">
        <v>10</v>
      </c>
      <c r="AK60" s="4">
        <v>1109.01</v>
      </c>
      <c r="AL60" s="4">
        <v>6</v>
      </c>
      <c r="AM60" s="4">
        <v>450</v>
      </c>
      <c r="AN60" s="4">
        <v>3</v>
      </c>
      <c r="AO60" s="4">
        <v>0</v>
      </c>
      <c r="AP60" s="4">
        <v>0</v>
      </c>
      <c r="AQ60" s="4">
        <v>334</v>
      </c>
      <c r="AR60" s="4">
        <v>3</v>
      </c>
      <c r="AS60" s="4">
        <v>550</v>
      </c>
      <c r="AT60" s="4">
        <v>3</v>
      </c>
      <c r="AU60" s="4">
        <v>675.01</v>
      </c>
      <c r="AV60" s="4">
        <v>5</v>
      </c>
      <c r="AW60" s="4">
        <v>360.98</v>
      </c>
      <c r="AX60" s="4">
        <v>2</v>
      </c>
      <c r="AY60" s="4">
        <v>1129.9000000000001</v>
      </c>
      <c r="AZ60" s="4">
        <v>6</v>
      </c>
      <c r="BA60" s="4">
        <v>3150.88</v>
      </c>
      <c r="BB60" s="4">
        <v>15</v>
      </c>
      <c r="BC60" s="4">
        <v>722.94</v>
      </c>
      <c r="BD60" s="4">
        <v>4</v>
      </c>
      <c r="BE60" s="4">
        <v>0</v>
      </c>
      <c r="BF60" s="4">
        <v>0</v>
      </c>
      <c r="BQ60" s="3">
        <f t="shared" si="2"/>
        <v>22769.9</v>
      </c>
      <c r="BR60" s="3">
        <f t="shared" si="1"/>
        <v>133</v>
      </c>
    </row>
    <row r="61" spans="1:70" x14ac:dyDescent="0.25">
      <c r="A61" s="4" t="s">
        <v>2185</v>
      </c>
      <c r="B61" t="s">
        <v>22</v>
      </c>
      <c r="C61" s="338" t="s">
        <v>1664</v>
      </c>
      <c r="D61" s="213" t="s">
        <v>755</v>
      </c>
      <c r="E61" s="213" t="s">
        <v>139</v>
      </c>
      <c r="F61" s="213" t="s">
        <v>130</v>
      </c>
      <c r="G61" s="4">
        <v>1615.04</v>
      </c>
      <c r="H61" s="4">
        <v>13</v>
      </c>
      <c r="I61" s="4">
        <v>837.01</v>
      </c>
      <c r="J61" s="4">
        <v>9</v>
      </c>
      <c r="K61" s="4">
        <v>2311.04</v>
      </c>
      <c r="L61" s="4">
        <v>13</v>
      </c>
      <c r="M61" s="4">
        <v>4592.12</v>
      </c>
      <c r="N61" s="4">
        <v>30</v>
      </c>
      <c r="O61" s="4">
        <v>1671</v>
      </c>
      <c r="P61" s="4">
        <v>16</v>
      </c>
      <c r="Q61" s="4">
        <v>0</v>
      </c>
      <c r="R61" s="4">
        <v>0</v>
      </c>
      <c r="S61" s="4">
        <v>3334.02</v>
      </c>
      <c r="T61" s="4">
        <v>16</v>
      </c>
      <c r="U61" s="4">
        <v>1890.03</v>
      </c>
      <c r="V61" s="4">
        <v>12</v>
      </c>
      <c r="W61" s="4">
        <v>0</v>
      </c>
      <c r="X61" s="4">
        <v>0</v>
      </c>
      <c r="Y61" s="4">
        <v>1408.05</v>
      </c>
      <c r="Z61" s="4">
        <v>8</v>
      </c>
      <c r="AA61" s="4">
        <v>2095.04</v>
      </c>
      <c r="AB61" s="4">
        <v>15</v>
      </c>
      <c r="AC61" s="4">
        <v>1459.01</v>
      </c>
      <c r="AD61" s="4">
        <v>11</v>
      </c>
      <c r="AE61" s="4">
        <v>1283.05</v>
      </c>
      <c r="AF61" s="4">
        <v>8</v>
      </c>
      <c r="AG61" s="4">
        <v>0</v>
      </c>
      <c r="AH61" s="4">
        <v>0</v>
      </c>
      <c r="AI61" s="4">
        <v>1159.03</v>
      </c>
      <c r="AJ61" s="4">
        <v>8</v>
      </c>
      <c r="AK61" s="4">
        <v>2859.05</v>
      </c>
      <c r="AL61" s="4">
        <v>17</v>
      </c>
      <c r="AM61" s="4">
        <v>2928.1</v>
      </c>
      <c r="AN61" s="4">
        <v>19</v>
      </c>
      <c r="AO61" s="4">
        <v>1972.06</v>
      </c>
      <c r="AP61" s="4">
        <v>15</v>
      </c>
      <c r="AQ61" s="4">
        <v>490</v>
      </c>
      <c r="AR61" s="4">
        <v>5</v>
      </c>
      <c r="AS61" s="4">
        <v>1585.04</v>
      </c>
      <c r="AT61" s="4">
        <v>11</v>
      </c>
      <c r="AU61" s="4">
        <v>0</v>
      </c>
      <c r="AV61" s="4">
        <v>0</v>
      </c>
      <c r="AW61" s="4">
        <v>1332.01</v>
      </c>
      <c r="AX61" s="4">
        <v>9</v>
      </c>
      <c r="AY61" s="4">
        <v>2229.89</v>
      </c>
      <c r="AZ61" s="4">
        <v>14</v>
      </c>
      <c r="BA61" s="4">
        <v>3167.91</v>
      </c>
      <c r="BB61" s="4">
        <v>16</v>
      </c>
      <c r="BC61" s="4">
        <v>194</v>
      </c>
      <c r="BD61" s="4">
        <v>2</v>
      </c>
      <c r="BE61" s="4">
        <v>0</v>
      </c>
      <c r="BF61" s="4">
        <v>0</v>
      </c>
      <c r="BQ61" s="3">
        <f t="shared" si="2"/>
        <v>40412.5</v>
      </c>
      <c r="BR61" s="3">
        <f t="shared" si="1"/>
        <v>267</v>
      </c>
    </row>
    <row r="62" spans="1:70" x14ac:dyDescent="0.25">
      <c r="A62" s="4" t="s">
        <v>2186</v>
      </c>
      <c r="B62" t="s">
        <v>22</v>
      </c>
      <c r="C62" s="338" t="s">
        <v>1665</v>
      </c>
      <c r="D62" s="213" t="s">
        <v>756</v>
      </c>
      <c r="E62" s="213" t="s">
        <v>139</v>
      </c>
      <c r="F62" s="213" t="s">
        <v>130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300.02</v>
      </c>
      <c r="N62" s="4">
        <v>2</v>
      </c>
      <c r="O62" s="4">
        <v>0</v>
      </c>
      <c r="P62" s="4">
        <v>0</v>
      </c>
      <c r="Q62" s="4">
        <v>1987.01</v>
      </c>
      <c r="R62" s="4">
        <v>11</v>
      </c>
      <c r="S62" s="4">
        <v>0</v>
      </c>
      <c r="T62" s="4">
        <v>0</v>
      </c>
      <c r="U62" s="4">
        <v>0</v>
      </c>
      <c r="V62" s="4">
        <v>0</v>
      </c>
      <c r="W62" s="4">
        <v>1687.04</v>
      </c>
      <c r="X62" s="4">
        <v>11</v>
      </c>
      <c r="Y62" s="4">
        <v>225</v>
      </c>
      <c r="Z62" s="4">
        <v>2</v>
      </c>
      <c r="AA62" s="4">
        <v>372.01</v>
      </c>
      <c r="AB62" s="4">
        <v>2</v>
      </c>
      <c r="AC62" s="4">
        <v>0</v>
      </c>
      <c r="AD62" s="4">
        <v>0</v>
      </c>
      <c r="AE62" s="4">
        <v>0</v>
      </c>
      <c r="AF62" s="4">
        <v>0</v>
      </c>
      <c r="AG62" s="4">
        <v>259.01</v>
      </c>
      <c r="AH62" s="4">
        <v>2</v>
      </c>
      <c r="AI62" s="4">
        <v>0</v>
      </c>
      <c r="AJ62" s="4">
        <v>0</v>
      </c>
      <c r="AK62" s="4">
        <v>199.01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197</v>
      </c>
      <c r="AZ62" s="4">
        <v>2</v>
      </c>
      <c r="BA62" s="4">
        <v>247.98</v>
      </c>
      <c r="BB62" s="4">
        <v>2</v>
      </c>
      <c r="BC62" s="4">
        <v>300.01</v>
      </c>
      <c r="BD62" s="4">
        <v>1</v>
      </c>
      <c r="BE62" s="4">
        <v>0</v>
      </c>
      <c r="BF62" s="4">
        <v>0</v>
      </c>
      <c r="BQ62" s="3">
        <f t="shared" si="2"/>
        <v>5774.09</v>
      </c>
      <c r="BR62" s="3">
        <f t="shared" si="1"/>
        <v>36</v>
      </c>
    </row>
    <row r="63" spans="1:70" x14ac:dyDescent="0.25">
      <c r="A63" s="4" t="s">
        <v>2187</v>
      </c>
      <c r="B63" t="s">
        <v>22</v>
      </c>
      <c r="C63" s="338" t="s">
        <v>1666</v>
      </c>
      <c r="D63" s="213" t="s">
        <v>757</v>
      </c>
      <c r="E63" s="213" t="s">
        <v>139</v>
      </c>
      <c r="F63" s="213" t="s">
        <v>130</v>
      </c>
      <c r="G63" s="4">
        <v>2322.0700000000002</v>
      </c>
      <c r="H63" s="4">
        <v>15</v>
      </c>
      <c r="I63" s="4">
        <v>1230.05</v>
      </c>
      <c r="J63" s="4">
        <v>6</v>
      </c>
      <c r="K63" s="4">
        <v>0</v>
      </c>
      <c r="L63" s="4">
        <v>0</v>
      </c>
      <c r="M63" s="4">
        <v>700.01</v>
      </c>
      <c r="N63" s="4">
        <v>5</v>
      </c>
      <c r="O63" s="4">
        <v>0</v>
      </c>
      <c r="P63" s="4">
        <v>0</v>
      </c>
      <c r="Q63" s="4">
        <v>0</v>
      </c>
      <c r="R63" s="4">
        <v>0</v>
      </c>
      <c r="S63" s="4">
        <v>1243.01</v>
      </c>
      <c r="T63" s="4">
        <v>10</v>
      </c>
      <c r="U63" s="4">
        <v>1345.01</v>
      </c>
      <c r="V63" s="4">
        <v>7</v>
      </c>
      <c r="W63" s="4">
        <v>0</v>
      </c>
      <c r="X63" s="4">
        <v>0</v>
      </c>
      <c r="Y63" s="4">
        <v>621</v>
      </c>
      <c r="Z63" s="4">
        <v>4</v>
      </c>
      <c r="AA63" s="4">
        <v>747</v>
      </c>
      <c r="AB63" s="4">
        <v>4</v>
      </c>
      <c r="AC63" s="4">
        <v>490.01</v>
      </c>
      <c r="AD63" s="4">
        <v>4</v>
      </c>
      <c r="AE63" s="4">
        <v>508</v>
      </c>
      <c r="AF63" s="4">
        <v>4</v>
      </c>
      <c r="AG63" s="4">
        <v>1327.03</v>
      </c>
      <c r="AH63" s="4">
        <v>9</v>
      </c>
      <c r="AI63" s="4">
        <v>899.01</v>
      </c>
      <c r="AJ63" s="4">
        <v>8</v>
      </c>
      <c r="AK63" s="4">
        <v>0</v>
      </c>
      <c r="AL63" s="4">
        <v>0</v>
      </c>
      <c r="AM63" s="4">
        <v>2485.04</v>
      </c>
      <c r="AN63" s="4">
        <v>16</v>
      </c>
      <c r="AO63" s="4">
        <v>1006.04</v>
      </c>
      <c r="AP63" s="4">
        <v>8</v>
      </c>
      <c r="AQ63" s="4">
        <v>1282.03</v>
      </c>
      <c r="AR63" s="4">
        <v>6</v>
      </c>
      <c r="AS63" s="4">
        <v>1113.04</v>
      </c>
      <c r="AT63" s="4">
        <v>6</v>
      </c>
      <c r="AU63" s="4">
        <v>1242.05</v>
      </c>
      <c r="AV63" s="4">
        <v>5</v>
      </c>
      <c r="AW63" s="4">
        <v>747.94</v>
      </c>
      <c r="AX63" s="4">
        <v>4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Q63" s="3">
        <f t="shared" si="2"/>
        <v>19308.34</v>
      </c>
      <c r="BR63" s="3">
        <f t="shared" si="1"/>
        <v>121</v>
      </c>
    </row>
    <row r="64" spans="1:70" x14ac:dyDescent="0.25">
      <c r="A64" s="4" t="s">
        <v>2188</v>
      </c>
      <c r="B64" t="s">
        <v>22</v>
      </c>
      <c r="C64" s="338" t="s">
        <v>1667</v>
      </c>
      <c r="D64" s="213" t="s">
        <v>758</v>
      </c>
      <c r="E64" s="213" t="s">
        <v>139</v>
      </c>
      <c r="F64" s="213" t="s">
        <v>130</v>
      </c>
      <c r="G64" s="4">
        <v>1452.03</v>
      </c>
      <c r="H64" s="4">
        <v>13</v>
      </c>
      <c r="I64" s="4">
        <v>1139.99</v>
      </c>
      <c r="J64" s="4">
        <v>7</v>
      </c>
      <c r="K64" s="4">
        <v>1583.01</v>
      </c>
      <c r="L64" s="4">
        <v>10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Q64" s="3">
        <f t="shared" si="2"/>
        <v>4175.03</v>
      </c>
      <c r="BR64" s="3">
        <f t="shared" si="1"/>
        <v>30</v>
      </c>
    </row>
    <row r="65" spans="1:70" x14ac:dyDescent="0.25">
      <c r="A65" s="4" t="s">
        <v>2189</v>
      </c>
      <c r="B65" t="s">
        <v>22</v>
      </c>
      <c r="C65" s="338" t="s">
        <v>1668</v>
      </c>
      <c r="D65" s="213" t="s">
        <v>759</v>
      </c>
      <c r="E65" s="213" t="s">
        <v>139</v>
      </c>
      <c r="F65" s="213" t="s">
        <v>130</v>
      </c>
      <c r="G65" s="4">
        <v>2101.04</v>
      </c>
      <c r="H65" s="4">
        <v>15</v>
      </c>
      <c r="I65" s="4">
        <v>2767.03</v>
      </c>
      <c r="J65" s="4">
        <v>22</v>
      </c>
      <c r="K65" s="4">
        <v>4712.07</v>
      </c>
      <c r="L65" s="4">
        <v>30</v>
      </c>
      <c r="M65" s="4">
        <v>5884.07</v>
      </c>
      <c r="N65" s="4">
        <v>34</v>
      </c>
      <c r="O65" s="4">
        <v>5072.04</v>
      </c>
      <c r="P65" s="4">
        <v>34</v>
      </c>
      <c r="Q65" s="4">
        <v>3418.07</v>
      </c>
      <c r="R65" s="4">
        <v>24</v>
      </c>
      <c r="S65" s="4">
        <v>3116.11</v>
      </c>
      <c r="T65" s="4">
        <v>22</v>
      </c>
      <c r="U65" s="4">
        <v>2208.02</v>
      </c>
      <c r="V65" s="4">
        <v>16</v>
      </c>
      <c r="W65" s="4">
        <v>3648.04</v>
      </c>
      <c r="X65" s="4">
        <v>27</v>
      </c>
      <c r="Y65" s="4">
        <v>199.01</v>
      </c>
      <c r="Z65" s="4">
        <v>2</v>
      </c>
      <c r="AA65" s="4">
        <v>3426.06</v>
      </c>
      <c r="AB65" s="4">
        <v>20</v>
      </c>
      <c r="AC65" s="4">
        <v>1905.01</v>
      </c>
      <c r="AD65" s="4">
        <v>12</v>
      </c>
      <c r="AE65" s="4">
        <v>1973.05</v>
      </c>
      <c r="AF65" s="4">
        <v>12</v>
      </c>
      <c r="AG65" s="4">
        <v>3008.07</v>
      </c>
      <c r="AH65" s="4">
        <v>21</v>
      </c>
      <c r="AI65" s="4">
        <v>1690.04</v>
      </c>
      <c r="AJ65" s="4">
        <v>12</v>
      </c>
      <c r="AK65" s="4">
        <v>2313.0500000000002</v>
      </c>
      <c r="AL65" s="4">
        <v>16</v>
      </c>
      <c r="AM65" s="4">
        <v>1140</v>
      </c>
      <c r="AN65" s="4">
        <v>6</v>
      </c>
      <c r="AO65" s="4">
        <v>2013.04</v>
      </c>
      <c r="AP65" s="4">
        <v>13</v>
      </c>
      <c r="AQ65" s="4">
        <v>3429.05</v>
      </c>
      <c r="AR65" s="4">
        <v>13</v>
      </c>
      <c r="AS65" s="4">
        <v>1381.03</v>
      </c>
      <c r="AT65" s="4">
        <v>7</v>
      </c>
      <c r="AU65" s="4">
        <v>2519.04</v>
      </c>
      <c r="AV65" s="4">
        <v>14</v>
      </c>
      <c r="AW65" s="4">
        <v>1848.99</v>
      </c>
      <c r="AX65" s="4">
        <v>13</v>
      </c>
      <c r="AY65" s="4">
        <v>585.98</v>
      </c>
      <c r="AZ65" s="4">
        <v>4</v>
      </c>
      <c r="BA65" s="4">
        <v>0</v>
      </c>
      <c r="BB65" s="4">
        <v>0</v>
      </c>
      <c r="BC65" s="4">
        <v>1235.96</v>
      </c>
      <c r="BD65" s="4">
        <v>10</v>
      </c>
      <c r="BE65" s="4">
        <v>2226.08</v>
      </c>
      <c r="BF65" s="4">
        <v>14</v>
      </c>
      <c r="BQ65" s="3">
        <f t="shared" si="2"/>
        <v>63819.950000000012</v>
      </c>
      <c r="BR65" s="3">
        <f t="shared" si="1"/>
        <v>413</v>
      </c>
    </row>
    <row r="66" spans="1:70" x14ac:dyDescent="0.25">
      <c r="A66" s="4" t="s">
        <v>2190</v>
      </c>
      <c r="B66" t="s">
        <v>23</v>
      </c>
      <c r="C66" s="338" t="s">
        <v>1669</v>
      </c>
      <c r="D66" s="213" t="s">
        <v>760</v>
      </c>
      <c r="E66" s="213" t="s">
        <v>136</v>
      </c>
      <c r="F66" s="213" t="s">
        <v>126</v>
      </c>
      <c r="G66" s="4">
        <v>1985.05</v>
      </c>
      <c r="H66" s="4">
        <v>13</v>
      </c>
      <c r="I66" s="4">
        <v>3127.1</v>
      </c>
      <c r="J66" s="4">
        <v>11</v>
      </c>
      <c r="K66" s="4">
        <v>0</v>
      </c>
      <c r="L66" s="4">
        <v>0</v>
      </c>
      <c r="M66" s="4">
        <v>0</v>
      </c>
      <c r="N66" s="4">
        <v>0</v>
      </c>
      <c r="O66" s="4">
        <v>2093.04</v>
      </c>
      <c r="P66" s="4">
        <v>8</v>
      </c>
      <c r="Q66" s="4">
        <v>224.99</v>
      </c>
      <c r="R66" s="4">
        <v>4</v>
      </c>
      <c r="S66" s="4">
        <v>408.99</v>
      </c>
      <c r="T66" s="4">
        <v>2</v>
      </c>
      <c r="U66" s="4">
        <v>349.99</v>
      </c>
      <c r="V66" s="4">
        <v>1</v>
      </c>
      <c r="W66" s="4">
        <v>1200.06</v>
      </c>
      <c r="X66" s="4">
        <v>5</v>
      </c>
      <c r="Y66" s="4">
        <v>709.01</v>
      </c>
      <c r="Z66" s="4">
        <v>5</v>
      </c>
      <c r="AA66" s="4">
        <v>0</v>
      </c>
      <c r="AB66" s="4">
        <v>0</v>
      </c>
      <c r="AC66" s="4">
        <v>857.01</v>
      </c>
      <c r="AD66" s="4">
        <v>7</v>
      </c>
      <c r="AE66" s="4">
        <v>409.01</v>
      </c>
      <c r="AF66" s="4">
        <v>4</v>
      </c>
      <c r="AG66" s="4">
        <v>750.05</v>
      </c>
      <c r="AH66" s="4">
        <v>6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Q66" s="3">
        <f t="shared" si="2"/>
        <v>12114.3</v>
      </c>
      <c r="BR66" s="3">
        <f t="shared" si="1"/>
        <v>66</v>
      </c>
    </row>
    <row r="67" spans="1:70" x14ac:dyDescent="0.25">
      <c r="A67" s="4" t="s">
        <v>2191</v>
      </c>
      <c r="B67" t="s">
        <v>23</v>
      </c>
      <c r="C67" s="338" t="s">
        <v>1670</v>
      </c>
      <c r="D67" s="213" t="s">
        <v>761</v>
      </c>
      <c r="E67" s="213" t="s">
        <v>136</v>
      </c>
      <c r="F67" s="213" t="s">
        <v>126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869.01</v>
      </c>
      <c r="V67" s="4">
        <v>6</v>
      </c>
      <c r="W67" s="4">
        <v>1520.04</v>
      </c>
      <c r="X67" s="4">
        <v>9</v>
      </c>
      <c r="Y67" s="4">
        <v>1479.03</v>
      </c>
      <c r="Z67" s="4">
        <v>9</v>
      </c>
      <c r="AA67" s="4">
        <v>2818.06</v>
      </c>
      <c r="AB67" s="4">
        <v>18</v>
      </c>
      <c r="AC67" s="4">
        <v>1610.02</v>
      </c>
      <c r="AD67" s="4">
        <v>8</v>
      </c>
      <c r="AE67" s="4">
        <v>525.01</v>
      </c>
      <c r="AF67" s="4">
        <v>3</v>
      </c>
      <c r="AG67" s="4">
        <v>300</v>
      </c>
      <c r="AH67" s="4">
        <v>2</v>
      </c>
      <c r="AI67" s="4">
        <v>0</v>
      </c>
      <c r="AJ67" s="4">
        <v>0</v>
      </c>
      <c r="AK67" s="4">
        <v>0</v>
      </c>
      <c r="AL67" s="4">
        <v>0</v>
      </c>
      <c r="AM67" s="4">
        <v>558.01</v>
      </c>
      <c r="AN67" s="4">
        <v>4</v>
      </c>
      <c r="AO67" s="4">
        <v>808.99</v>
      </c>
      <c r="AP67" s="4">
        <v>5</v>
      </c>
      <c r="AQ67" s="4">
        <v>495.01</v>
      </c>
      <c r="AR67" s="4">
        <v>3</v>
      </c>
      <c r="AS67" s="4">
        <v>0</v>
      </c>
      <c r="AT67" s="4">
        <v>0</v>
      </c>
      <c r="AU67" s="4">
        <v>945.02</v>
      </c>
      <c r="AV67" s="4">
        <v>5</v>
      </c>
      <c r="AW67" s="4">
        <v>1355.96</v>
      </c>
      <c r="AX67" s="4">
        <v>7</v>
      </c>
      <c r="AY67" s="4">
        <v>595.98</v>
      </c>
      <c r="AZ67" s="4">
        <v>5</v>
      </c>
      <c r="BA67" s="4">
        <v>1492.93</v>
      </c>
      <c r="BB67" s="4">
        <v>9</v>
      </c>
      <c r="BC67" s="4">
        <v>1313.9</v>
      </c>
      <c r="BD67" s="4">
        <v>8</v>
      </c>
      <c r="BE67" s="4">
        <v>642.04</v>
      </c>
      <c r="BF67" s="4">
        <v>4</v>
      </c>
      <c r="BQ67" s="3">
        <f t="shared" si="2"/>
        <v>17329.010000000002</v>
      </c>
      <c r="BR67" s="3">
        <f t="shared" si="1"/>
        <v>105</v>
      </c>
    </row>
    <row r="68" spans="1:70" x14ac:dyDescent="0.25">
      <c r="A68" s="4" t="s">
        <v>2192</v>
      </c>
      <c r="B68" t="s">
        <v>23</v>
      </c>
      <c r="C68" s="338" t="s">
        <v>1671</v>
      </c>
      <c r="D68" s="213" t="s">
        <v>762</v>
      </c>
      <c r="E68" s="213" t="s">
        <v>136</v>
      </c>
      <c r="F68" s="213" t="s">
        <v>126</v>
      </c>
      <c r="G68" s="4">
        <v>6750.23</v>
      </c>
      <c r="H68" s="4">
        <v>18</v>
      </c>
      <c r="I68" s="4">
        <v>5031.1400000000003</v>
      </c>
      <c r="J68" s="4">
        <v>12</v>
      </c>
      <c r="K68" s="4">
        <v>0</v>
      </c>
      <c r="L68" s="4">
        <v>0</v>
      </c>
      <c r="M68" s="4">
        <v>0</v>
      </c>
      <c r="N68" s="4">
        <v>0</v>
      </c>
      <c r="O68" s="4">
        <v>1031.02</v>
      </c>
      <c r="P68" s="4">
        <v>4</v>
      </c>
      <c r="Q68" s="4">
        <v>3058.07</v>
      </c>
      <c r="R68" s="4">
        <v>14</v>
      </c>
      <c r="S68" s="4">
        <v>2396.98</v>
      </c>
      <c r="T68" s="4">
        <v>11</v>
      </c>
      <c r="U68" s="4">
        <v>1125.05</v>
      </c>
      <c r="V68" s="4">
        <v>5</v>
      </c>
      <c r="W68" s="4">
        <v>525.03</v>
      </c>
      <c r="X68" s="4">
        <v>4</v>
      </c>
      <c r="Y68" s="4">
        <v>2940.02</v>
      </c>
      <c r="Z68" s="4">
        <v>11</v>
      </c>
      <c r="AA68" s="4">
        <v>1806.01</v>
      </c>
      <c r="AB68" s="4">
        <v>7</v>
      </c>
      <c r="AC68" s="4">
        <v>3292.98</v>
      </c>
      <c r="AD68" s="4">
        <v>8</v>
      </c>
      <c r="AE68" s="4">
        <v>-127</v>
      </c>
      <c r="AF68" s="4">
        <v>2</v>
      </c>
      <c r="AG68" s="4">
        <v>955.03</v>
      </c>
      <c r="AH68" s="4">
        <v>2</v>
      </c>
      <c r="AI68" s="4">
        <v>4510.09</v>
      </c>
      <c r="AJ68" s="4">
        <v>12</v>
      </c>
      <c r="AK68" s="4">
        <v>2315.02</v>
      </c>
      <c r="AL68" s="4">
        <v>7</v>
      </c>
      <c r="AM68" s="4">
        <v>1196.02</v>
      </c>
      <c r="AN68" s="4">
        <v>6</v>
      </c>
      <c r="AO68" s="4">
        <v>499.99</v>
      </c>
      <c r="AP68" s="4">
        <v>2</v>
      </c>
      <c r="AQ68" s="4">
        <v>346</v>
      </c>
      <c r="AR68" s="4">
        <v>2</v>
      </c>
      <c r="AS68" s="4">
        <v>550.02</v>
      </c>
      <c r="AT68" s="4">
        <v>4</v>
      </c>
      <c r="AU68" s="4">
        <v>349.01</v>
      </c>
      <c r="AV68" s="4">
        <v>2</v>
      </c>
      <c r="AW68" s="4">
        <v>926.97</v>
      </c>
      <c r="AX68" s="4">
        <v>3</v>
      </c>
      <c r="AY68" s="4">
        <v>1117.93</v>
      </c>
      <c r="AZ68" s="4">
        <v>4</v>
      </c>
      <c r="BA68" s="4">
        <v>929.99</v>
      </c>
      <c r="BB68" s="4">
        <v>6</v>
      </c>
      <c r="BC68" s="4">
        <v>0</v>
      </c>
      <c r="BD68" s="4">
        <v>0</v>
      </c>
      <c r="BE68" s="4">
        <v>1004.08</v>
      </c>
      <c r="BF68" s="4">
        <v>4</v>
      </c>
      <c r="BQ68" s="3">
        <f t="shared" si="2"/>
        <v>42529.679999999986</v>
      </c>
      <c r="BR68" s="3">
        <f t="shared" si="1"/>
        <v>150</v>
      </c>
    </row>
    <row r="69" spans="1:70" x14ac:dyDescent="0.25">
      <c r="A69" s="4" t="s">
        <v>2193</v>
      </c>
      <c r="B69" t="s">
        <v>23</v>
      </c>
      <c r="C69" s="338" t="s">
        <v>1672</v>
      </c>
      <c r="D69" s="213" t="s">
        <v>763</v>
      </c>
      <c r="E69" s="213" t="s">
        <v>136</v>
      </c>
      <c r="F69" s="213" t="s">
        <v>126</v>
      </c>
      <c r="G69" s="4">
        <v>363.02</v>
      </c>
      <c r="H69" s="4">
        <v>4</v>
      </c>
      <c r="I69" s="4">
        <v>1303.04</v>
      </c>
      <c r="J69" s="4">
        <v>9</v>
      </c>
      <c r="K69" s="4">
        <v>4681.1000000000004</v>
      </c>
      <c r="L69" s="4">
        <v>28</v>
      </c>
      <c r="M69" s="4">
        <v>4192.1000000000004</v>
      </c>
      <c r="N69" s="4">
        <v>25</v>
      </c>
      <c r="O69" s="4">
        <v>1446.04</v>
      </c>
      <c r="P69" s="4">
        <v>9</v>
      </c>
      <c r="Q69" s="4">
        <v>1336.03</v>
      </c>
      <c r="R69" s="4">
        <v>7</v>
      </c>
      <c r="S69" s="4">
        <v>559</v>
      </c>
      <c r="T69" s="4">
        <v>3</v>
      </c>
      <c r="U69" s="4">
        <v>0</v>
      </c>
      <c r="V69" s="4">
        <v>0</v>
      </c>
      <c r="W69" s="4">
        <v>375.01</v>
      </c>
      <c r="X69" s="4">
        <v>3</v>
      </c>
      <c r="Y69" s="4">
        <v>1908.02</v>
      </c>
      <c r="Z69" s="4">
        <v>14</v>
      </c>
      <c r="AA69" s="4">
        <v>0</v>
      </c>
      <c r="AB69" s="4">
        <v>0</v>
      </c>
      <c r="AC69" s="4">
        <v>815</v>
      </c>
      <c r="AD69" s="4">
        <v>5</v>
      </c>
      <c r="AE69" s="4">
        <v>1186.02</v>
      </c>
      <c r="AF69" s="4">
        <v>9</v>
      </c>
      <c r="AG69" s="4">
        <v>267</v>
      </c>
      <c r="AH69" s="4">
        <v>2</v>
      </c>
      <c r="AI69" s="4">
        <v>900</v>
      </c>
      <c r="AJ69" s="4">
        <v>7</v>
      </c>
      <c r="AK69" s="4">
        <v>1245.02</v>
      </c>
      <c r="AL69" s="4">
        <v>8</v>
      </c>
      <c r="AM69" s="4">
        <v>1125</v>
      </c>
      <c r="AN69" s="4">
        <v>4</v>
      </c>
      <c r="AO69" s="4">
        <v>75</v>
      </c>
      <c r="AP69" s="4">
        <v>1</v>
      </c>
      <c r="AQ69" s="4">
        <v>600</v>
      </c>
      <c r="AR69" s="4">
        <v>4</v>
      </c>
      <c r="AS69" s="4">
        <v>345.02</v>
      </c>
      <c r="AT69" s="4">
        <v>2</v>
      </c>
      <c r="AU69" s="4">
        <v>0</v>
      </c>
      <c r="AV69" s="4">
        <v>0</v>
      </c>
      <c r="AW69" s="4">
        <v>709.99</v>
      </c>
      <c r="AX69" s="4">
        <v>6</v>
      </c>
      <c r="AY69" s="4">
        <v>918.92</v>
      </c>
      <c r="AZ69" s="4">
        <v>5</v>
      </c>
      <c r="BA69" s="4">
        <v>1533.92</v>
      </c>
      <c r="BB69" s="4">
        <v>11</v>
      </c>
      <c r="BC69" s="4">
        <v>633.02</v>
      </c>
      <c r="BD69" s="4">
        <v>3</v>
      </c>
      <c r="BE69" s="4">
        <v>1106.06</v>
      </c>
      <c r="BF69" s="4">
        <v>4</v>
      </c>
      <c r="BQ69" s="3">
        <f t="shared" si="2"/>
        <v>27623.33</v>
      </c>
      <c r="BR69" s="3">
        <f t="shared" ref="BR69:BR132" si="3">H69+J69+L69+N69+P69+R69+T69+V69+X69+Z69+AB69+AD69+AF69+AH69+AJ69+AL69+AN69+AP69+AR69+AT69+AV69+AX69+AZ69+BB69+BD69+BF69</f>
        <v>173</v>
      </c>
    </row>
    <row r="70" spans="1:70" x14ac:dyDescent="0.25">
      <c r="A70" s="4" t="s">
        <v>2194</v>
      </c>
      <c r="B70" t="s">
        <v>23</v>
      </c>
      <c r="C70" s="338" t="s">
        <v>1673</v>
      </c>
      <c r="D70" s="213" t="s">
        <v>764</v>
      </c>
      <c r="E70" s="213" t="s">
        <v>136</v>
      </c>
      <c r="F70" s="213" t="s">
        <v>126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2480.04</v>
      </c>
      <c r="P70" s="4">
        <v>15</v>
      </c>
      <c r="Q70" s="4">
        <v>0</v>
      </c>
      <c r="R70" s="4">
        <v>0</v>
      </c>
      <c r="S70" s="4">
        <v>592.99</v>
      </c>
      <c r="T70" s="4">
        <v>4</v>
      </c>
      <c r="U70" s="4">
        <v>750.02</v>
      </c>
      <c r="V70" s="4">
        <v>5</v>
      </c>
      <c r="W70" s="4">
        <v>300.01</v>
      </c>
      <c r="X70" s="4">
        <v>2</v>
      </c>
      <c r="Y70" s="4">
        <v>1500.04</v>
      </c>
      <c r="Z70" s="4">
        <v>6</v>
      </c>
      <c r="AA70" s="4">
        <v>1811.06</v>
      </c>
      <c r="AB70" s="4">
        <v>12</v>
      </c>
      <c r="AC70" s="4">
        <v>476</v>
      </c>
      <c r="AD70" s="4">
        <v>5</v>
      </c>
      <c r="AE70" s="4">
        <v>975</v>
      </c>
      <c r="AF70" s="4">
        <v>8</v>
      </c>
      <c r="AG70" s="4">
        <v>1081.03</v>
      </c>
      <c r="AH70" s="4">
        <v>6</v>
      </c>
      <c r="AI70" s="4">
        <v>0</v>
      </c>
      <c r="AJ70" s="4">
        <v>0</v>
      </c>
      <c r="AK70" s="4">
        <v>2404.0100000000002</v>
      </c>
      <c r="AL70" s="4">
        <v>14</v>
      </c>
      <c r="AM70" s="4">
        <v>2548.0100000000002</v>
      </c>
      <c r="AN70" s="4">
        <v>10</v>
      </c>
      <c r="AO70" s="4">
        <v>900.01</v>
      </c>
      <c r="AP70" s="4">
        <v>6</v>
      </c>
      <c r="AQ70" s="4">
        <v>1275.01</v>
      </c>
      <c r="AR70" s="4">
        <v>5</v>
      </c>
      <c r="AS70" s="4">
        <v>1024.01</v>
      </c>
      <c r="AT70" s="4">
        <v>6</v>
      </c>
      <c r="AU70" s="4">
        <v>150.01</v>
      </c>
      <c r="AV70" s="4">
        <v>1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5611.03</v>
      </c>
      <c r="BD70" s="4">
        <v>15</v>
      </c>
      <c r="BE70" s="4">
        <v>117.04</v>
      </c>
      <c r="BF70" s="4">
        <v>4</v>
      </c>
      <c r="BQ70" s="3">
        <f t="shared" ref="BQ70:BQ133" si="4">G70+I70+K70+M70+O70+Q70+S70+U70+W70+Y70+AA70+AC70+AE70+AG70+AI70+AK70+AM70+AO70+AQ70+AS70+AU70+AW70+AY70+BA70+BC70+BE70</f>
        <v>23995.319999999996</v>
      </c>
      <c r="BR70" s="3">
        <f t="shared" si="3"/>
        <v>124</v>
      </c>
    </row>
    <row r="71" spans="1:70" x14ac:dyDescent="0.25">
      <c r="A71" s="4" t="s">
        <v>2195</v>
      </c>
      <c r="B71" t="s">
        <v>23</v>
      </c>
      <c r="C71" s="338" t="s">
        <v>1674</v>
      </c>
      <c r="D71" s="213" t="s">
        <v>765</v>
      </c>
      <c r="E71" s="213" t="s">
        <v>136</v>
      </c>
      <c r="F71" s="213" t="s">
        <v>126</v>
      </c>
      <c r="G71" s="4">
        <v>0</v>
      </c>
      <c r="H71" s="4">
        <v>0</v>
      </c>
      <c r="I71" s="4">
        <v>2516.06</v>
      </c>
      <c r="J71" s="4">
        <v>17</v>
      </c>
      <c r="K71" s="4">
        <v>1696.04</v>
      </c>
      <c r="L71" s="4">
        <v>10</v>
      </c>
      <c r="M71" s="4">
        <v>2644.04</v>
      </c>
      <c r="N71" s="4">
        <v>15</v>
      </c>
      <c r="O71" s="4">
        <v>3783.05</v>
      </c>
      <c r="P71" s="4">
        <v>18</v>
      </c>
      <c r="Q71" s="4">
        <v>1677.03</v>
      </c>
      <c r="R71" s="4">
        <v>11</v>
      </c>
      <c r="S71" s="4">
        <v>0</v>
      </c>
      <c r="T71" s="4">
        <v>0</v>
      </c>
      <c r="U71" s="4">
        <v>1535.03</v>
      </c>
      <c r="V71" s="4">
        <v>6</v>
      </c>
      <c r="W71" s="4">
        <v>1974.04</v>
      </c>
      <c r="X71" s="4">
        <v>10</v>
      </c>
      <c r="Y71" s="4">
        <v>1963</v>
      </c>
      <c r="Z71" s="4">
        <v>8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1350.03</v>
      </c>
      <c r="AR71" s="4">
        <v>6</v>
      </c>
      <c r="AS71" s="4">
        <v>0</v>
      </c>
      <c r="AT71" s="4">
        <v>0</v>
      </c>
      <c r="AU71" s="4">
        <v>2095</v>
      </c>
      <c r="AV71" s="4">
        <v>11</v>
      </c>
      <c r="AW71" s="4">
        <v>1664.88</v>
      </c>
      <c r="AX71" s="4">
        <v>9</v>
      </c>
      <c r="AY71" s="4">
        <v>1470.94</v>
      </c>
      <c r="AZ71" s="4">
        <v>13</v>
      </c>
      <c r="BA71" s="4">
        <v>1354.9</v>
      </c>
      <c r="BB71" s="4">
        <v>8</v>
      </c>
      <c r="BC71" s="4">
        <v>1380.96</v>
      </c>
      <c r="BD71" s="4">
        <v>10</v>
      </c>
      <c r="BE71" s="4">
        <v>424.01</v>
      </c>
      <c r="BF71" s="4">
        <v>3</v>
      </c>
      <c r="BQ71" s="3">
        <f t="shared" si="4"/>
        <v>27529.01</v>
      </c>
      <c r="BR71" s="3">
        <f t="shared" si="3"/>
        <v>155</v>
      </c>
    </row>
    <row r="72" spans="1:70" x14ac:dyDescent="0.25">
      <c r="A72" s="4" t="s">
        <v>2196</v>
      </c>
      <c r="B72" t="s">
        <v>23</v>
      </c>
      <c r="C72" s="338" t="s">
        <v>1675</v>
      </c>
      <c r="D72" s="213" t="s">
        <v>766</v>
      </c>
      <c r="E72" s="213" t="s">
        <v>136</v>
      </c>
      <c r="F72" s="213" t="s">
        <v>126</v>
      </c>
      <c r="G72" s="4">
        <v>2748</v>
      </c>
      <c r="H72" s="4">
        <v>18</v>
      </c>
      <c r="I72" s="4">
        <v>0</v>
      </c>
      <c r="J72" s="4">
        <v>0</v>
      </c>
      <c r="K72" s="4">
        <v>4038.08</v>
      </c>
      <c r="L72" s="4">
        <v>17</v>
      </c>
      <c r="M72" s="4">
        <v>642.01</v>
      </c>
      <c r="N72" s="4">
        <v>4</v>
      </c>
      <c r="O72" s="4">
        <v>0</v>
      </c>
      <c r="P72" s="4">
        <v>0</v>
      </c>
      <c r="Q72" s="4">
        <v>0</v>
      </c>
      <c r="R72" s="4">
        <v>0</v>
      </c>
      <c r="S72" s="4">
        <v>1310.01</v>
      </c>
      <c r="T72" s="4">
        <v>8</v>
      </c>
      <c r="U72" s="4">
        <v>450.02</v>
      </c>
      <c r="V72" s="4">
        <v>3</v>
      </c>
      <c r="W72" s="4">
        <v>0</v>
      </c>
      <c r="X72" s="4">
        <v>0</v>
      </c>
      <c r="Y72" s="4">
        <v>150</v>
      </c>
      <c r="Z72" s="4">
        <v>1</v>
      </c>
      <c r="AA72" s="4">
        <v>764.03</v>
      </c>
      <c r="AB72" s="4">
        <v>5</v>
      </c>
      <c r="AC72" s="4">
        <v>584.01</v>
      </c>
      <c r="AD72" s="4">
        <v>3</v>
      </c>
      <c r="AE72" s="4">
        <v>1391.98</v>
      </c>
      <c r="AF72" s="4">
        <v>7</v>
      </c>
      <c r="AG72" s="4">
        <v>499.02</v>
      </c>
      <c r="AH72" s="4">
        <v>3</v>
      </c>
      <c r="AI72" s="4">
        <v>525.02</v>
      </c>
      <c r="AJ72" s="4">
        <v>4</v>
      </c>
      <c r="AK72" s="4">
        <v>0</v>
      </c>
      <c r="AL72" s="4">
        <v>0</v>
      </c>
      <c r="AM72" s="4">
        <v>484</v>
      </c>
      <c r="AN72" s="4">
        <v>4</v>
      </c>
      <c r="AO72" s="4">
        <v>675</v>
      </c>
      <c r="AP72" s="4">
        <v>3</v>
      </c>
      <c r="AQ72" s="4">
        <v>1179.02</v>
      </c>
      <c r="AR72" s="4">
        <v>6</v>
      </c>
      <c r="AS72" s="4">
        <v>0</v>
      </c>
      <c r="AT72" s="4">
        <v>0</v>
      </c>
      <c r="AU72" s="4">
        <v>472.01</v>
      </c>
      <c r="AV72" s="4">
        <v>3</v>
      </c>
      <c r="AW72" s="4">
        <v>729.97</v>
      </c>
      <c r="AX72" s="4">
        <v>2</v>
      </c>
      <c r="AY72" s="4">
        <v>0</v>
      </c>
      <c r="AZ72" s="4">
        <v>0</v>
      </c>
      <c r="BA72" s="4">
        <v>1030.95</v>
      </c>
      <c r="BB72" s="4">
        <v>5</v>
      </c>
      <c r="BC72" s="4">
        <v>0</v>
      </c>
      <c r="BD72" s="4">
        <v>0</v>
      </c>
      <c r="BE72" s="4">
        <v>0</v>
      </c>
      <c r="BF72" s="4">
        <v>0</v>
      </c>
      <c r="BQ72" s="3">
        <f t="shared" si="4"/>
        <v>17673.130000000005</v>
      </c>
      <c r="BR72" s="3">
        <f t="shared" si="3"/>
        <v>96</v>
      </c>
    </row>
    <row r="73" spans="1:70" x14ac:dyDescent="0.25">
      <c r="A73" s="4" t="s">
        <v>2197</v>
      </c>
      <c r="B73" t="s">
        <v>23</v>
      </c>
      <c r="C73" s="338" t="s">
        <v>1676</v>
      </c>
      <c r="D73" s="213" t="s">
        <v>767</v>
      </c>
      <c r="E73" s="213" t="s">
        <v>136</v>
      </c>
      <c r="F73" s="213" t="s">
        <v>126</v>
      </c>
      <c r="G73" s="4">
        <v>0</v>
      </c>
      <c r="H73" s="4">
        <v>0</v>
      </c>
      <c r="I73" s="4">
        <v>2246.02</v>
      </c>
      <c r="J73" s="4">
        <v>14</v>
      </c>
      <c r="K73" s="4">
        <v>2713.07</v>
      </c>
      <c r="L73" s="4">
        <v>14</v>
      </c>
      <c r="M73" s="4">
        <v>5459.07</v>
      </c>
      <c r="N73" s="4">
        <v>30</v>
      </c>
      <c r="O73" s="4">
        <v>2923.11</v>
      </c>
      <c r="P73" s="4">
        <v>18</v>
      </c>
      <c r="Q73" s="4">
        <v>1050</v>
      </c>
      <c r="R73" s="4">
        <v>5</v>
      </c>
      <c r="S73" s="4">
        <v>2609.0500000000002</v>
      </c>
      <c r="T73" s="4">
        <v>8</v>
      </c>
      <c r="U73" s="4">
        <v>1118.01</v>
      </c>
      <c r="V73" s="4">
        <v>6</v>
      </c>
      <c r="W73" s="4">
        <v>769</v>
      </c>
      <c r="X73" s="4">
        <v>6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1420.03</v>
      </c>
      <c r="AF73" s="4">
        <v>9</v>
      </c>
      <c r="AG73" s="4">
        <v>1692.05</v>
      </c>
      <c r="AH73" s="4">
        <v>11</v>
      </c>
      <c r="AI73" s="4">
        <v>3378.06</v>
      </c>
      <c r="AJ73" s="4">
        <v>19</v>
      </c>
      <c r="AK73" s="4">
        <v>2918.07</v>
      </c>
      <c r="AL73" s="4">
        <v>18</v>
      </c>
      <c r="AM73" s="4">
        <v>1000.01</v>
      </c>
      <c r="AN73" s="4">
        <v>7</v>
      </c>
      <c r="AO73" s="4">
        <v>600.01</v>
      </c>
      <c r="AP73" s="4">
        <v>5</v>
      </c>
      <c r="AQ73" s="4">
        <v>375.02</v>
      </c>
      <c r="AR73" s="4">
        <v>3</v>
      </c>
      <c r="AS73" s="4">
        <v>750.01</v>
      </c>
      <c r="AT73" s="4">
        <v>7</v>
      </c>
      <c r="AU73" s="4">
        <v>1413.03</v>
      </c>
      <c r="AV73" s="4">
        <v>10</v>
      </c>
      <c r="AW73" s="4">
        <v>0</v>
      </c>
      <c r="AX73" s="4">
        <v>0</v>
      </c>
      <c r="AY73" s="4">
        <v>1457.96</v>
      </c>
      <c r="AZ73" s="4">
        <v>10</v>
      </c>
      <c r="BA73" s="4">
        <v>210.98</v>
      </c>
      <c r="BB73" s="4">
        <v>1</v>
      </c>
      <c r="BC73" s="4">
        <v>0</v>
      </c>
      <c r="BD73" s="4">
        <v>0</v>
      </c>
      <c r="BE73" s="4">
        <v>1293.04</v>
      </c>
      <c r="BF73" s="4">
        <v>7</v>
      </c>
      <c r="BQ73" s="3">
        <f t="shared" si="4"/>
        <v>35395.599999999999</v>
      </c>
      <c r="BR73" s="3">
        <f t="shared" si="3"/>
        <v>208</v>
      </c>
    </row>
    <row r="74" spans="1:70" x14ac:dyDescent="0.25">
      <c r="A74" s="4" t="s">
        <v>2198</v>
      </c>
      <c r="B74" t="s">
        <v>23</v>
      </c>
      <c r="C74" s="338" t="s">
        <v>1677</v>
      </c>
      <c r="D74" s="213" t="s">
        <v>768</v>
      </c>
      <c r="E74" s="213" t="s">
        <v>136</v>
      </c>
      <c r="F74" s="213" t="s">
        <v>126</v>
      </c>
      <c r="G74" s="4">
        <v>3019.02</v>
      </c>
      <c r="H74" s="4">
        <v>9</v>
      </c>
      <c r="I74" s="4">
        <v>1379.05</v>
      </c>
      <c r="J74" s="4">
        <v>7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385</v>
      </c>
      <c r="R74" s="4">
        <v>2</v>
      </c>
      <c r="S74" s="4">
        <v>1034.02</v>
      </c>
      <c r="T74" s="4">
        <v>6</v>
      </c>
      <c r="U74" s="4">
        <v>734</v>
      </c>
      <c r="V74" s="4">
        <v>5</v>
      </c>
      <c r="W74" s="4">
        <v>769.99</v>
      </c>
      <c r="X74" s="4">
        <v>3</v>
      </c>
      <c r="Y74" s="4">
        <v>0</v>
      </c>
      <c r="Z74" s="4">
        <v>0</v>
      </c>
      <c r="AA74" s="4">
        <v>0</v>
      </c>
      <c r="AB74" s="4">
        <v>0</v>
      </c>
      <c r="AC74" s="4">
        <v>2144</v>
      </c>
      <c r="AD74" s="4">
        <v>8</v>
      </c>
      <c r="AE74" s="4">
        <v>825.02</v>
      </c>
      <c r="AF74" s="4">
        <v>4</v>
      </c>
      <c r="AG74" s="4">
        <v>925.02</v>
      </c>
      <c r="AH74" s="4">
        <v>6</v>
      </c>
      <c r="AI74" s="4">
        <v>24</v>
      </c>
      <c r="AJ74" s="4">
        <v>1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Q74" s="3">
        <f t="shared" si="4"/>
        <v>11239.12</v>
      </c>
      <c r="BR74" s="3">
        <f t="shared" si="3"/>
        <v>51</v>
      </c>
    </row>
    <row r="75" spans="1:70" x14ac:dyDescent="0.25">
      <c r="A75" s="4" t="s">
        <v>2199</v>
      </c>
      <c r="B75" t="s">
        <v>24</v>
      </c>
      <c r="C75" s="338" t="s">
        <v>1678</v>
      </c>
      <c r="D75" s="213" t="s">
        <v>769</v>
      </c>
      <c r="E75" s="213" t="s">
        <v>157</v>
      </c>
      <c r="F75" s="213" t="s">
        <v>133</v>
      </c>
      <c r="G75" s="4">
        <v>1991.03</v>
      </c>
      <c r="H75" s="4">
        <v>19</v>
      </c>
      <c r="I75" s="4">
        <v>0</v>
      </c>
      <c r="J75" s="4">
        <v>0</v>
      </c>
      <c r="K75" s="4">
        <v>1689.03</v>
      </c>
      <c r="L75" s="4">
        <v>16</v>
      </c>
      <c r="M75" s="4">
        <v>1513.99</v>
      </c>
      <c r="N75" s="4">
        <v>9</v>
      </c>
      <c r="O75" s="4">
        <v>1178.01</v>
      </c>
      <c r="P75" s="4">
        <v>10</v>
      </c>
      <c r="Q75" s="4">
        <v>265.01</v>
      </c>
      <c r="R75" s="4">
        <v>2</v>
      </c>
      <c r="S75" s="4">
        <v>0</v>
      </c>
      <c r="T75" s="4">
        <v>0</v>
      </c>
      <c r="U75" s="4">
        <v>750.02</v>
      </c>
      <c r="V75" s="4">
        <v>5</v>
      </c>
      <c r="W75" s="4">
        <v>494.02</v>
      </c>
      <c r="X75" s="4">
        <v>3</v>
      </c>
      <c r="Y75" s="4">
        <v>1895.99</v>
      </c>
      <c r="Z75" s="4">
        <v>9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1018.01</v>
      </c>
      <c r="AN75" s="4">
        <v>7</v>
      </c>
      <c r="AO75" s="4">
        <v>375.01</v>
      </c>
      <c r="AP75" s="4">
        <v>3</v>
      </c>
      <c r="AQ75" s="4">
        <v>225.01</v>
      </c>
      <c r="AR75" s="4">
        <v>2</v>
      </c>
      <c r="AS75" s="4">
        <v>1299.04</v>
      </c>
      <c r="AT75" s="4">
        <v>7</v>
      </c>
      <c r="AU75" s="4">
        <v>640</v>
      </c>
      <c r="AV75" s="4">
        <v>5</v>
      </c>
      <c r="AW75" s="4">
        <v>611.96</v>
      </c>
      <c r="AX75" s="4">
        <v>4</v>
      </c>
      <c r="AY75" s="4">
        <v>0</v>
      </c>
      <c r="AZ75" s="4">
        <v>0</v>
      </c>
      <c r="BA75" s="4">
        <v>739.97</v>
      </c>
      <c r="BB75" s="4">
        <v>6</v>
      </c>
      <c r="BC75" s="4">
        <v>1393.92</v>
      </c>
      <c r="BD75" s="4">
        <v>8</v>
      </c>
      <c r="BE75" s="4">
        <v>1185.06</v>
      </c>
      <c r="BF75" s="4">
        <v>7</v>
      </c>
      <c r="BQ75" s="3">
        <f t="shared" si="4"/>
        <v>17265.080000000002</v>
      </c>
      <c r="BR75" s="3">
        <f t="shared" si="3"/>
        <v>122</v>
      </c>
    </row>
    <row r="76" spans="1:70" x14ac:dyDescent="0.25">
      <c r="A76" s="4" t="s">
        <v>2200</v>
      </c>
      <c r="B76" t="s">
        <v>24</v>
      </c>
      <c r="C76" s="338" t="s">
        <v>1679</v>
      </c>
      <c r="D76" s="213" t="s">
        <v>770</v>
      </c>
      <c r="E76" s="213" t="s">
        <v>157</v>
      </c>
      <c r="F76" s="213" t="s">
        <v>133</v>
      </c>
      <c r="G76" s="4">
        <v>442.02</v>
      </c>
      <c r="H76" s="4">
        <v>2</v>
      </c>
      <c r="I76" s="4">
        <v>0</v>
      </c>
      <c r="J76" s="4">
        <v>0</v>
      </c>
      <c r="K76" s="4">
        <v>855.03</v>
      </c>
      <c r="L76" s="4">
        <v>8</v>
      </c>
      <c r="M76" s="4">
        <v>2505.0500000000002</v>
      </c>
      <c r="N76" s="4">
        <v>20</v>
      </c>
      <c r="O76" s="4">
        <v>3010.08</v>
      </c>
      <c r="P76" s="4">
        <v>22</v>
      </c>
      <c r="Q76" s="4">
        <v>1615.01</v>
      </c>
      <c r="R76" s="4">
        <v>10</v>
      </c>
      <c r="S76" s="4">
        <v>1957.07</v>
      </c>
      <c r="T76" s="4">
        <v>16</v>
      </c>
      <c r="U76" s="4">
        <v>2514.0300000000002</v>
      </c>
      <c r="V76" s="4">
        <v>22</v>
      </c>
      <c r="W76" s="4">
        <v>2179.0700000000002</v>
      </c>
      <c r="X76" s="4">
        <v>14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2185.0100000000002</v>
      </c>
      <c r="AH76" s="4">
        <v>18</v>
      </c>
      <c r="AI76" s="4">
        <v>2488.06</v>
      </c>
      <c r="AJ76" s="4">
        <v>14</v>
      </c>
      <c r="AK76" s="4">
        <v>700.01</v>
      </c>
      <c r="AL76" s="4">
        <v>4</v>
      </c>
      <c r="AM76" s="4">
        <v>1065.03</v>
      </c>
      <c r="AN76" s="4">
        <v>6</v>
      </c>
      <c r="AO76" s="4">
        <v>0</v>
      </c>
      <c r="AP76" s="4">
        <v>0</v>
      </c>
      <c r="AQ76" s="4">
        <v>1125.02</v>
      </c>
      <c r="AR76" s="4">
        <v>7</v>
      </c>
      <c r="AS76" s="4">
        <v>1375.03</v>
      </c>
      <c r="AT76" s="4">
        <v>10</v>
      </c>
      <c r="AU76" s="4">
        <v>1156.02</v>
      </c>
      <c r="AV76" s="4">
        <v>7</v>
      </c>
      <c r="AW76" s="4">
        <v>665.99</v>
      </c>
      <c r="AX76" s="4">
        <v>5</v>
      </c>
      <c r="AY76" s="4">
        <v>1046.92</v>
      </c>
      <c r="AZ76" s="4">
        <v>3</v>
      </c>
      <c r="BA76" s="4">
        <v>746.96</v>
      </c>
      <c r="BB76" s="4">
        <v>4</v>
      </c>
      <c r="BC76" s="4">
        <v>0</v>
      </c>
      <c r="BD76" s="4">
        <v>0</v>
      </c>
      <c r="BE76" s="4">
        <v>1889.14</v>
      </c>
      <c r="BF76" s="4">
        <v>10</v>
      </c>
      <c r="BQ76" s="3">
        <f t="shared" si="4"/>
        <v>29520.550000000003</v>
      </c>
      <c r="BR76" s="3">
        <f t="shared" si="3"/>
        <v>202</v>
      </c>
    </row>
    <row r="77" spans="1:70" x14ac:dyDescent="0.25">
      <c r="A77" s="4" t="s">
        <v>2201</v>
      </c>
      <c r="B77" t="s">
        <v>24</v>
      </c>
      <c r="C77" s="338" t="s">
        <v>1680</v>
      </c>
      <c r="D77" s="213" t="s">
        <v>771</v>
      </c>
      <c r="E77" s="213" t="s">
        <v>157</v>
      </c>
      <c r="F77" s="213" t="s">
        <v>133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900.01</v>
      </c>
      <c r="AB77" s="4">
        <v>6</v>
      </c>
      <c r="AC77" s="4">
        <v>1313</v>
      </c>
      <c r="AD77" s="4">
        <v>8</v>
      </c>
      <c r="AE77" s="4">
        <v>1999.04</v>
      </c>
      <c r="AF77" s="4">
        <v>12</v>
      </c>
      <c r="AG77" s="4">
        <v>600</v>
      </c>
      <c r="AH77" s="4">
        <v>4</v>
      </c>
      <c r="AI77" s="4">
        <v>2129.06</v>
      </c>
      <c r="AJ77" s="4">
        <v>10</v>
      </c>
      <c r="AK77" s="4">
        <v>2333.96</v>
      </c>
      <c r="AL77" s="4">
        <v>5</v>
      </c>
      <c r="AM77" s="4">
        <v>225</v>
      </c>
      <c r="AN77" s="4">
        <v>1</v>
      </c>
      <c r="AO77" s="4">
        <v>1448</v>
      </c>
      <c r="AP77" s="4">
        <v>8</v>
      </c>
      <c r="AQ77" s="4">
        <v>1674.01</v>
      </c>
      <c r="AR77" s="4">
        <v>8</v>
      </c>
      <c r="AS77" s="4">
        <v>0</v>
      </c>
      <c r="AT77" s="4">
        <v>0</v>
      </c>
      <c r="AU77" s="4">
        <v>549.01</v>
      </c>
      <c r="AV77" s="4">
        <v>3</v>
      </c>
      <c r="AW77" s="4">
        <v>75</v>
      </c>
      <c r="AX77" s="4">
        <v>1</v>
      </c>
      <c r="AY77" s="4">
        <v>459.98</v>
      </c>
      <c r="AZ77" s="4">
        <v>2</v>
      </c>
      <c r="BA77" s="4">
        <v>1974.86</v>
      </c>
      <c r="BB77" s="4">
        <v>10</v>
      </c>
      <c r="BC77" s="4">
        <v>1207.93</v>
      </c>
      <c r="BD77" s="4">
        <v>5</v>
      </c>
      <c r="BE77" s="4">
        <v>918.05</v>
      </c>
      <c r="BF77" s="4">
        <v>4</v>
      </c>
      <c r="BQ77" s="3">
        <f t="shared" si="4"/>
        <v>17806.91</v>
      </c>
      <c r="BR77" s="3">
        <f t="shared" si="3"/>
        <v>87</v>
      </c>
    </row>
    <row r="78" spans="1:70" x14ac:dyDescent="0.25">
      <c r="A78" s="4" t="s">
        <v>2202</v>
      </c>
      <c r="B78" t="s">
        <v>24</v>
      </c>
      <c r="C78" s="338" t="s">
        <v>1681</v>
      </c>
      <c r="D78" s="213" t="s">
        <v>772</v>
      </c>
      <c r="E78" s="213" t="s">
        <v>157</v>
      </c>
      <c r="F78" s="213" t="s">
        <v>133</v>
      </c>
      <c r="G78" s="4">
        <v>2028.03</v>
      </c>
      <c r="H78" s="4">
        <v>20</v>
      </c>
      <c r="I78" s="4">
        <v>4122.05</v>
      </c>
      <c r="J78" s="4">
        <v>31</v>
      </c>
      <c r="K78" s="4">
        <v>2571.1</v>
      </c>
      <c r="L78" s="4">
        <v>24</v>
      </c>
      <c r="M78" s="4">
        <v>750.02</v>
      </c>
      <c r="N78" s="4">
        <v>5</v>
      </c>
      <c r="O78" s="4">
        <v>75</v>
      </c>
      <c r="P78" s="4">
        <v>1</v>
      </c>
      <c r="Q78" s="4">
        <v>1178.02</v>
      </c>
      <c r="R78" s="4">
        <v>7</v>
      </c>
      <c r="S78" s="4">
        <v>1901.04</v>
      </c>
      <c r="T78" s="4">
        <v>15</v>
      </c>
      <c r="U78" s="4">
        <v>765.03</v>
      </c>
      <c r="V78" s="4">
        <v>7</v>
      </c>
      <c r="W78" s="4">
        <v>1405.01</v>
      </c>
      <c r="X78" s="4">
        <v>10</v>
      </c>
      <c r="Y78" s="4">
        <v>2917.06</v>
      </c>
      <c r="Z78" s="4">
        <v>20</v>
      </c>
      <c r="AA78" s="4">
        <v>865</v>
      </c>
      <c r="AB78" s="4">
        <v>9</v>
      </c>
      <c r="AC78" s="4">
        <v>814.02</v>
      </c>
      <c r="AD78" s="4">
        <v>6</v>
      </c>
      <c r="AE78" s="4">
        <v>154.01</v>
      </c>
      <c r="AF78" s="4">
        <v>2</v>
      </c>
      <c r="AG78" s="4">
        <v>0</v>
      </c>
      <c r="AH78" s="4">
        <v>0</v>
      </c>
      <c r="AI78" s="4">
        <v>1329</v>
      </c>
      <c r="AJ78" s="4">
        <v>10</v>
      </c>
      <c r="AK78" s="4">
        <v>0</v>
      </c>
      <c r="AL78" s="4">
        <v>0</v>
      </c>
      <c r="AM78" s="4">
        <v>900</v>
      </c>
      <c r="AN78" s="4">
        <v>8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1572.95</v>
      </c>
      <c r="AX78" s="4">
        <v>10</v>
      </c>
      <c r="AY78" s="4">
        <v>1420.89</v>
      </c>
      <c r="AZ78" s="4">
        <v>10</v>
      </c>
      <c r="BA78" s="4">
        <v>725.98</v>
      </c>
      <c r="BB78" s="4">
        <v>5</v>
      </c>
      <c r="BC78" s="4">
        <v>225</v>
      </c>
      <c r="BD78" s="4">
        <v>3</v>
      </c>
      <c r="BE78" s="4">
        <v>401.02</v>
      </c>
      <c r="BF78" s="4">
        <v>3</v>
      </c>
      <c r="BQ78" s="3">
        <f t="shared" si="4"/>
        <v>26120.230000000003</v>
      </c>
      <c r="BR78" s="3">
        <f t="shared" si="3"/>
        <v>206</v>
      </c>
    </row>
    <row r="79" spans="1:70" x14ac:dyDescent="0.25">
      <c r="A79" s="4" t="s">
        <v>2203</v>
      </c>
      <c r="B79" t="s">
        <v>24</v>
      </c>
      <c r="C79" s="338" t="s">
        <v>1682</v>
      </c>
      <c r="D79" s="213" t="s">
        <v>773</v>
      </c>
      <c r="E79" s="213" t="s">
        <v>157</v>
      </c>
      <c r="F79" s="213" t="s">
        <v>133</v>
      </c>
      <c r="G79" s="4">
        <v>3149.04</v>
      </c>
      <c r="H79" s="4">
        <v>25</v>
      </c>
      <c r="I79" s="4">
        <v>2793.01</v>
      </c>
      <c r="J79" s="4">
        <v>23</v>
      </c>
      <c r="K79" s="4">
        <v>0</v>
      </c>
      <c r="L79" s="4">
        <v>0</v>
      </c>
      <c r="M79" s="4">
        <v>1793.04</v>
      </c>
      <c r="N79" s="4">
        <v>8</v>
      </c>
      <c r="O79" s="4">
        <v>736.01</v>
      </c>
      <c r="P79" s="4">
        <v>8</v>
      </c>
      <c r="Q79" s="4">
        <v>878.03</v>
      </c>
      <c r="R79" s="4">
        <v>8</v>
      </c>
      <c r="S79" s="4">
        <v>865.01</v>
      </c>
      <c r="T79" s="4">
        <v>7</v>
      </c>
      <c r="U79" s="4">
        <v>1387</v>
      </c>
      <c r="V79" s="4">
        <v>12</v>
      </c>
      <c r="W79" s="4">
        <v>0</v>
      </c>
      <c r="X79" s="4">
        <v>0</v>
      </c>
      <c r="Y79" s="4">
        <v>600.01</v>
      </c>
      <c r="Z79" s="4">
        <v>5</v>
      </c>
      <c r="AA79" s="4">
        <v>977</v>
      </c>
      <c r="AB79" s="4">
        <v>8</v>
      </c>
      <c r="AC79" s="4">
        <v>375.01</v>
      </c>
      <c r="AD79" s="4">
        <v>3</v>
      </c>
      <c r="AE79" s="4">
        <v>1474.02</v>
      </c>
      <c r="AF79" s="4">
        <v>8</v>
      </c>
      <c r="AG79" s="4">
        <v>1169.05</v>
      </c>
      <c r="AH79" s="4">
        <v>6</v>
      </c>
      <c r="AI79" s="4">
        <v>0</v>
      </c>
      <c r="AJ79" s="4">
        <v>0</v>
      </c>
      <c r="AK79" s="4">
        <v>1509.99</v>
      </c>
      <c r="AL79" s="4">
        <v>10</v>
      </c>
      <c r="AM79" s="4">
        <v>459.01</v>
      </c>
      <c r="AN79" s="4">
        <v>4</v>
      </c>
      <c r="AO79" s="4">
        <v>1026.02</v>
      </c>
      <c r="AP79" s="4">
        <v>9</v>
      </c>
      <c r="AQ79" s="4">
        <v>525</v>
      </c>
      <c r="AR79" s="4">
        <v>4</v>
      </c>
      <c r="AS79" s="4">
        <v>1139.01</v>
      </c>
      <c r="AT79" s="4">
        <v>9</v>
      </c>
      <c r="AU79" s="4">
        <v>0</v>
      </c>
      <c r="AV79" s="4">
        <v>0</v>
      </c>
      <c r="AW79" s="4">
        <v>920.96</v>
      </c>
      <c r="AX79" s="4">
        <v>5</v>
      </c>
      <c r="AY79" s="4">
        <v>37</v>
      </c>
      <c r="AZ79" s="4">
        <v>1</v>
      </c>
      <c r="BA79" s="4">
        <v>778.99</v>
      </c>
      <c r="BB79" s="4">
        <v>5</v>
      </c>
      <c r="BC79" s="4">
        <v>469.98</v>
      </c>
      <c r="BD79" s="4">
        <v>4</v>
      </c>
      <c r="BE79" s="4">
        <v>0</v>
      </c>
      <c r="BF79" s="4">
        <v>0</v>
      </c>
      <c r="BQ79" s="3">
        <f t="shared" si="4"/>
        <v>23062.19</v>
      </c>
      <c r="BR79" s="3">
        <f t="shared" si="3"/>
        <v>172</v>
      </c>
    </row>
    <row r="80" spans="1:70" x14ac:dyDescent="0.25">
      <c r="A80" s="4" t="s">
        <v>2204</v>
      </c>
      <c r="B80" t="s">
        <v>25</v>
      </c>
      <c r="C80" s="338" t="s">
        <v>1683</v>
      </c>
      <c r="D80" s="213" t="s">
        <v>774</v>
      </c>
      <c r="E80" s="213" t="s">
        <v>158</v>
      </c>
      <c r="F80" s="213" t="s">
        <v>128</v>
      </c>
      <c r="G80" s="4">
        <v>1969.04</v>
      </c>
      <c r="H80" s="4">
        <v>16</v>
      </c>
      <c r="I80" s="4">
        <v>663.02</v>
      </c>
      <c r="J80" s="4">
        <v>6</v>
      </c>
      <c r="K80" s="4">
        <v>1685.05</v>
      </c>
      <c r="L80" s="4">
        <v>12</v>
      </c>
      <c r="M80" s="4">
        <v>671</v>
      </c>
      <c r="N80" s="4">
        <v>4</v>
      </c>
      <c r="O80" s="4">
        <v>2104.06</v>
      </c>
      <c r="P80" s="4">
        <v>14</v>
      </c>
      <c r="Q80" s="4">
        <v>829.01</v>
      </c>
      <c r="R80" s="4">
        <v>6</v>
      </c>
      <c r="S80" s="4">
        <v>2045.06</v>
      </c>
      <c r="T80" s="4">
        <v>12</v>
      </c>
      <c r="U80" s="4">
        <v>974.03</v>
      </c>
      <c r="V80" s="4">
        <v>6</v>
      </c>
      <c r="W80" s="4">
        <v>0</v>
      </c>
      <c r="X80" s="4">
        <v>0</v>
      </c>
      <c r="Y80" s="4">
        <v>675</v>
      </c>
      <c r="Z80" s="4">
        <v>5</v>
      </c>
      <c r="AA80" s="4">
        <v>450.01</v>
      </c>
      <c r="AB80" s="4">
        <v>3</v>
      </c>
      <c r="AC80" s="4">
        <v>1147</v>
      </c>
      <c r="AD80" s="4">
        <v>9</v>
      </c>
      <c r="AE80" s="4">
        <v>790.01</v>
      </c>
      <c r="AF80" s="4">
        <v>5</v>
      </c>
      <c r="AG80" s="4">
        <v>1048.02</v>
      </c>
      <c r="AH80" s="4">
        <v>8</v>
      </c>
      <c r="AI80" s="4">
        <v>679.02</v>
      </c>
      <c r="AJ80" s="4">
        <v>6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Q80" s="3">
        <f t="shared" si="4"/>
        <v>15729.330000000002</v>
      </c>
      <c r="BR80" s="3">
        <f t="shared" si="3"/>
        <v>112</v>
      </c>
    </row>
    <row r="81" spans="1:70" x14ac:dyDescent="0.25">
      <c r="A81" s="4" t="s">
        <v>2205</v>
      </c>
      <c r="B81" t="s">
        <v>25</v>
      </c>
      <c r="C81" s="338" t="s">
        <v>1684</v>
      </c>
      <c r="D81" s="213" t="s">
        <v>775</v>
      </c>
      <c r="E81" s="213" t="s">
        <v>158</v>
      </c>
      <c r="F81" s="213" t="s">
        <v>128</v>
      </c>
      <c r="G81" s="4">
        <v>2558.0300000000002</v>
      </c>
      <c r="H81" s="4">
        <v>21</v>
      </c>
      <c r="I81" s="4">
        <v>3562.05</v>
      </c>
      <c r="J81" s="4">
        <v>27</v>
      </c>
      <c r="K81" s="4">
        <v>1796.05</v>
      </c>
      <c r="L81" s="4">
        <v>17</v>
      </c>
      <c r="M81" s="4">
        <v>1555.06</v>
      </c>
      <c r="N81" s="4">
        <v>9</v>
      </c>
      <c r="O81" s="4">
        <v>1228.01</v>
      </c>
      <c r="P81" s="4">
        <v>8</v>
      </c>
      <c r="Q81" s="4">
        <v>0</v>
      </c>
      <c r="R81" s="4">
        <v>0</v>
      </c>
      <c r="S81" s="4">
        <v>1906.03</v>
      </c>
      <c r="T81" s="4">
        <v>14</v>
      </c>
      <c r="U81" s="4">
        <v>1719.03</v>
      </c>
      <c r="V81" s="4">
        <v>11</v>
      </c>
      <c r="W81" s="4">
        <v>1992.01</v>
      </c>
      <c r="X81" s="4">
        <v>13</v>
      </c>
      <c r="Y81" s="4">
        <v>1315.04</v>
      </c>
      <c r="Z81" s="4">
        <v>8</v>
      </c>
      <c r="AA81" s="4">
        <v>1275.03</v>
      </c>
      <c r="AB81" s="4">
        <v>8</v>
      </c>
      <c r="AC81" s="4">
        <v>1519.01</v>
      </c>
      <c r="AD81" s="4">
        <v>11</v>
      </c>
      <c r="AE81" s="4">
        <v>1938.99</v>
      </c>
      <c r="AF81" s="4">
        <v>8</v>
      </c>
      <c r="AG81" s="4">
        <v>0</v>
      </c>
      <c r="AH81" s="4">
        <v>0</v>
      </c>
      <c r="AI81" s="4">
        <v>1200.02</v>
      </c>
      <c r="AJ81" s="4">
        <v>7</v>
      </c>
      <c r="AK81" s="4">
        <v>444</v>
      </c>
      <c r="AL81" s="4">
        <v>4</v>
      </c>
      <c r="AM81" s="4">
        <v>1575.03</v>
      </c>
      <c r="AN81" s="4">
        <v>7</v>
      </c>
      <c r="AO81" s="4">
        <v>906.02</v>
      </c>
      <c r="AP81" s="4">
        <v>7</v>
      </c>
      <c r="AQ81" s="4">
        <v>225</v>
      </c>
      <c r="AR81" s="4">
        <v>1</v>
      </c>
      <c r="AS81" s="4">
        <v>449.99</v>
      </c>
      <c r="AT81" s="4">
        <v>2</v>
      </c>
      <c r="AU81" s="4">
        <v>834.02</v>
      </c>
      <c r="AV81" s="4">
        <v>5</v>
      </c>
      <c r="AW81" s="4">
        <v>1068.92</v>
      </c>
      <c r="AX81" s="4">
        <v>8</v>
      </c>
      <c r="AY81" s="4">
        <v>0</v>
      </c>
      <c r="AZ81" s="4">
        <v>0</v>
      </c>
      <c r="BA81" s="4">
        <v>536.96</v>
      </c>
      <c r="BB81" s="4">
        <v>3</v>
      </c>
      <c r="BC81" s="4">
        <v>724.98</v>
      </c>
      <c r="BD81" s="4">
        <v>4</v>
      </c>
      <c r="BE81" s="4">
        <v>211.02</v>
      </c>
      <c r="BF81" s="4">
        <v>1</v>
      </c>
      <c r="BQ81" s="3">
        <f t="shared" si="4"/>
        <v>30540.300000000003</v>
      </c>
      <c r="BR81" s="3">
        <f t="shared" si="3"/>
        <v>204</v>
      </c>
    </row>
    <row r="82" spans="1:70" x14ac:dyDescent="0.25">
      <c r="A82" s="4" t="s">
        <v>2206</v>
      </c>
      <c r="B82" t="s">
        <v>25</v>
      </c>
      <c r="C82" s="338" t="s">
        <v>1685</v>
      </c>
      <c r="D82" s="213" t="s">
        <v>776</v>
      </c>
      <c r="E82" s="213" t="s">
        <v>158</v>
      </c>
      <c r="F82" s="213" t="s">
        <v>128</v>
      </c>
      <c r="G82" s="4">
        <v>75</v>
      </c>
      <c r="H82" s="4">
        <v>1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75</v>
      </c>
      <c r="P82" s="4">
        <v>1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75</v>
      </c>
      <c r="AD82" s="4">
        <v>1</v>
      </c>
      <c r="AE82" s="4">
        <v>375</v>
      </c>
      <c r="AF82" s="4">
        <v>5</v>
      </c>
      <c r="AG82" s="4">
        <v>75</v>
      </c>
      <c r="AH82" s="4">
        <v>1</v>
      </c>
      <c r="AI82" s="4">
        <v>225</v>
      </c>
      <c r="AJ82" s="4">
        <v>3</v>
      </c>
      <c r="AK82" s="4">
        <v>0</v>
      </c>
      <c r="AL82" s="4">
        <v>0</v>
      </c>
      <c r="AM82" s="4">
        <v>0</v>
      </c>
      <c r="AN82" s="4">
        <v>0</v>
      </c>
      <c r="AO82" s="4">
        <v>649</v>
      </c>
      <c r="AP82" s="4">
        <v>3</v>
      </c>
      <c r="AQ82" s="4">
        <v>0</v>
      </c>
      <c r="AR82" s="4">
        <v>0</v>
      </c>
      <c r="AS82" s="4">
        <v>0</v>
      </c>
      <c r="AT82" s="4">
        <v>0</v>
      </c>
      <c r="AU82" s="4">
        <v>112</v>
      </c>
      <c r="AV82" s="4">
        <v>2</v>
      </c>
      <c r="AW82" s="4">
        <v>514.96</v>
      </c>
      <c r="AX82" s="4">
        <v>4</v>
      </c>
      <c r="AY82" s="4">
        <v>954.96</v>
      </c>
      <c r="AZ82" s="4">
        <v>7</v>
      </c>
      <c r="BA82" s="4">
        <v>982.97</v>
      </c>
      <c r="BB82" s="4">
        <v>7</v>
      </c>
      <c r="BC82" s="4">
        <v>1933.88</v>
      </c>
      <c r="BD82" s="4">
        <v>10</v>
      </c>
      <c r="BE82" s="4">
        <v>0</v>
      </c>
      <c r="BF82" s="4">
        <v>0</v>
      </c>
      <c r="BQ82" s="3">
        <f t="shared" si="4"/>
        <v>6047.77</v>
      </c>
      <c r="BR82" s="3">
        <f t="shared" si="3"/>
        <v>45</v>
      </c>
    </row>
    <row r="83" spans="1:70" x14ac:dyDescent="0.25">
      <c r="A83" s="4" t="s">
        <v>2207</v>
      </c>
      <c r="B83" t="s">
        <v>25</v>
      </c>
      <c r="C83" s="338" t="s">
        <v>1686</v>
      </c>
      <c r="D83" s="213" t="s">
        <v>777</v>
      </c>
      <c r="E83" s="213" t="s">
        <v>158</v>
      </c>
      <c r="F83" s="213" t="s">
        <v>128</v>
      </c>
      <c r="G83" s="4">
        <v>1831</v>
      </c>
      <c r="H83" s="4">
        <v>18</v>
      </c>
      <c r="I83" s="4">
        <v>192</v>
      </c>
      <c r="J83" s="4">
        <v>2</v>
      </c>
      <c r="K83" s="4">
        <v>1699.03</v>
      </c>
      <c r="L83" s="4">
        <v>12</v>
      </c>
      <c r="M83" s="4">
        <v>1393.02</v>
      </c>
      <c r="N83" s="4">
        <v>12</v>
      </c>
      <c r="O83" s="4">
        <v>1125.01</v>
      </c>
      <c r="P83" s="4">
        <v>7</v>
      </c>
      <c r="Q83" s="4">
        <v>1010.01</v>
      </c>
      <c r="R83" s="4">
        <v>7</v>
      </c>
      <c r="S83" s="4">
        <v>300</v>
      </c>
      <c r="T83" s="4">
        <v>2</v>
      </c>
      <c r="U83" s="4">
        <v>1272.03</v>
      </c>
      <c r="V83" s="4">
        <v>8</v>
      </c>
      <c r="W83" s="4">
        <v>1125.04</v>
      </c>
      <c r="X83" s="4">
        <v>9</v>
      </c>
      <c r="Y83" s="4">
        <v>1248.03</v>
      </c>
      <c r="Z83" s="4">
        <v>9</v>
      </c>
      <c r="AA83" s="4">
        <v>833.01</v>
      </c>
      <c r="AB83" s="4">
        <v>6</v>
      </c>
      <c r="AC83" s="4">
        <v>1776.02</v>
      </c>
      <c r="AD83" s="4">
        <v>11</v>
      </c>
      <c r="AE83" s="4">
        <v>600.02</v>
      </c>
      <c r="AF83" s="4">
        <v>5</v>
      </c>
      <c r="AG83" s="4">
        <v>0</v>
      </c>
      <c r="AH83" s="4">
        <v>0</v>
      </c>
      <c r="AI83" s="4">
        <v>600.02</v>
      </c>
      <c r="AJ83" s="4">
        <v>5</v>
      </c>
      <c r="AK83" s="4">
        <v>2522.02</v>
      </c>
      <c r="AL83" s="4">
        <v>12</v>
      </c>
      <c r="AM83" s="4">
        <v>1529.04</v>
      </c>
      <c r="AN83" s="4">
        <v>12</v>
      </c>
      <c r="AO83" s="4">
        <v>325</v>
      </c>
      <c r="AP83" s="4">
        <v>2</v>
      </c>
      <c r="AQ83" s="4">
        <v>0</v>
      </c>
      <c r="AR83" s="4">
        <v>0</v>
      </c>
      <c r="AS83" s="4">
        <v>950.02</v>
      </c>
      <c r="AT83" s="4">
        <v>5</v>
      </c>
      <c r="AU83" s="4">
        <v>625</v>
      </c>
      <c r="AV83" s="4">
        <v>5</v>
      </c>
      <c r="AW83" s="4">
        <v>796.96</v>
      </c>
      <c r="AX83" s="4">
        <v>7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1177.04</v>
      </c>
      <c r="BF83" s="4">
        <v>9</v>
      </c>
      <c r="BQ83" s="3">
        <f t="shared" si="4"/>
        <v>22929.320000000003</v>
      </c>
      <c r="BR83" s="3">
        <f t="shared" si="3"/>
        <v>165</v>
      </c>
    </row>
    <row r="84" spans="1:70" x14ac:dyDescent="0.25">
      <c r="A84" s="4" t="s">
        <v>2208</v>
      </c>
      <c r="B84" t="s">
        <v>25</v>
      </c>
      <c r="C84" s="338" t="s">
        <v>1687</v>
      </c>
      <c r="D84" s="213" t="s">
        <v>778</v>
      </c>
      <c r="E84" s="213" t="s">
        <v>158</v>
      </c>
      <c r="F84" s="213" t="s">
        <v>128</v>
      </c>
      <c r="G84" s="4">
        <v>1523.02</v>
      </c>
      <c r="H84" s="4">
        <v>12</v>
      </c>
      <c r="I84" s="4">
        <v>0</v>
      </c>
      <c r="J84" s="4">
        <v>0</v>
      </c>
      <c r="K84" s="4">
        <v>487</v>
      </c>
      <c r="L84" s="4">
        <v>5</v>
      </c>
      <c r="M84" s="4">
        <v>1465.04</v>
      </c>
      <c r="N84" s="4">
        <v>8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150</v>
      </c>
      <c r="V84" s="4">
        <v>1</v>
      </c>
      <c r="W84" s="4">
        <v>1170.01</v>
      </c>
      <c r="X84" s="4">
        <v>6</v>
      </c>
      <c r="Y84" s="4">
        <v>0</v>
      </c>
      <c r="Z84" s="4">
        <v>0</v>
      </c>
      <c r="AA84" s="4">
        <v>0</v>
      </c>
      <c r="AB84" s="4">
        <v>0</v>
      </c>
      <c r="AC84" s="4">
        <v>450.02</v>
      </c>
      <c r="AD84" s="4">
        <v>2</v>
      </c>
      <c r="AE84" s="4">
        <v>169.01</v>
      </c>
      <c r="AF84" s="4">
        <v>2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150.01</v>
      </c>
      <c r="AR84" s="4">
        <v>1</v>
      </c>
      <c r="AS84" s="4">
        <v>0</v>
      </c>
      <c r="AT84" s="4">
        <v>0</v>
      </c>
      <c r="AU84" s="4">
        <v>1024.02</v>
      </c>
      <c r="AV84" s="4">
        <v>7</v>
      </c>
      <c r="AW84" s="4">
        <v>158</v>
      </c>
      <c r="AX84" s="4">
        <v>2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Q84" s="3">
        <f t="shared" si="4"/>
        <v>6746.130000000001</v>
      </c>
      <c r="BR84" s="3">
        <f t="shared" si="3"/>
        <v>46</v>
      </c>
    </row>
    <row r="85" spans="1:70" x14ac:dyDescent="0.25">
      <c r="A85" s="4" t="s">
        <v>2209</v>
      </c>
      <c r="B85" t="s">
        <v>25</v>
      </c>
      <c r="C85" s="338" t="s">
        <v>1688</v>
      </c>
      <c r="D85" s="213" t="s">
        <v>779</v>
      </c>
      <c r="E85" s="213" t="s">
        <v>158</v>
      </c>
      <c r="F85" s="213" t="s">
        <v>128</v>
      </c>
      <c r="G85" s="4">
        <v>2544.0300000000002</v>
      </c>
      <c r="H85" s="4">
        <v>19</v>
      </c>
      <c r="I85" s="4">
        <v>5106.1099999999997</v>
      </c>
      <c r="J85" s="4">
        <v>40</v>
      </c>
      <c r="K85" s="4">
        <v>2206</v>
      </c>
      <c r="L85" s="4">
        <v>15</v>
      </c>
      <c r="M85" s="4">
        <v>1341.03</v>
      </c>
      <c r="N85" s="4">
        <v>10</v>
      </c>
      <c r="O85" s="4">
        <v>2918.07</v>
      </c>
      <c r="P85" s="4">
        <v>15</v>
      </c>
      <c r="Q85" s="4">
        <v>565.01</v>
      </c>
      <c r="R85" s="4">
        <v>4</v>
      </c>
      <c r="S85" s="4">
        <v>0</v>
      </c>
      <c r="T85" s="4">
        <v>2</v>
      </c>
      <c r="U85" s="4">
        <v>385.01</v>
      </c>
      <c r="V85" s="4">
        <v>3</v>
      </c>
      <c r="W85" s="4">
        <v>2086.06</v>
      </c>
      <c r="X85" s="4">
        <v>13</v>
      </c>
      <c r="Y85" s="4">
        <v>1502.03</v>
      </c>
      <c r="Z85" s="4">
        <v>8</v>
      </c>
      <c r="AA85" s="4">
        <v>1275</v>
      </c>
      <c r="AB85" s="4">
        <v>10</v>
      </c>
      <c r="AC85" s="4">
        <v>0</v>
      </c>
      <c r="AD85" s="4">
        <v>0</v>
      </c>
      <c r="AE85" s="4">
        <v>972.99</v>
      </c>
      <c r="AF85" s="4">
        <v>6</v>
      </c>
      <c r="AG85" s="4">
        <v>1653.01</v>
      </c>
      <c r="AH85" s="4">
        <v>11</v>
      </c>
      <c r="AI85" s="4">
        <v>1422.03</v>
      </c>
      <c r="AJ85" s="4">
        <v>11</v>
      </c>
      <c r="AK85" s="4">
        <v>2033.04</v>
      </c>
      <c r="AL85" s="4">
        <v>13</v>
      </c>
      <c r="AM85" s="4">
        <v>1547.06</v>
      </c>
      <c r="AN85" s="4">
        <v>12</v>
      </c>
      <c r="AO85" s="4">
        <v>0</v>
      </c>
      <c r="AP85" s="4">
        <v>0</v>
      </c>
      <c r="AQ85" s="4">
        <v>867.01</v>
      </c>
      <c r="AR85" s="4">
        <v>7</v>
      </c>
      <c r="AS85" s="4">
        <v>981.01</v>
      </c>
      <c r="AT85" s="4">
        <v>7</v>
      </c>
      <c r="AU85" s="4">
        <v>150</v>
      </c>
      <c r="AV85" s="4">
        <v>1</v>
      </c>
      <c r="AW85" s="4">
        <v>0</v>
      </c>
      <c r="AX85" s="4">
        <v>0</v>
      </c>
      <c r="AY85" s="4">
        <v>632.94000000000005</v>
      </c>
      <c r="AZ85" s="4">
        <v>3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Q85" s="3">
        <f t="shared" si="4"/>
        <v>30187.439999999995</v>
      </c>
      <c r="BR85" s="3">
        <f t="shared" si="3"/>
        <v>210</v>
      </c>
    </row>
    <row r="86" spans="1:70" x14ac:dyDescent="0.25">
      <c r="A86" s="4" t="s">
        <v>2210</v>
      </c>
      <c r="B86" t="s">
        <v>25</v>
      </c>
      <c r="C86" s="338" t="s">
        <v>1689</v>
      </c>
      <c r="D86" s="213" t="s">
        <v>780</v>
      </c>
      <c r="E86" s="213" t="s">
        <v>158</v>
      </c>
      <c r="F86" s="213" t="s">
        <v>128</v>
      </c>
      <c r="G86" s="4">
        <v>1617.03</v>
      </c>
      <c r="H86" s="4">
        <v>17</v>
      </c>
      <c r="I86" s="4">
        <v>1287.02</v>
      </c>
      <c r="J86" s="4">
        <v>11</v>
      </c>
      <c r="K86" s="4">
        <v>680.02</v>
      </c>
      <c r="L86" s="4">
        <v>5</v>
      </c>
      <c r="M86" s="4">
        <v>0</v>
      </c>
      <c r="N86" s="4">
        <v>0</v>
      </c>
      <c r="O86" s="4">
        <v>1679.02</v>
      </c>
      <c r="P86" s="4">
        <v>11</v>
      </c>
      <c r="Q86" s="4">
        <v>2365.04</v>
      </c>
      <c r="R86" s="4">
        <v>19</v>
      </c>
      <c r="S86" s="4">
        <v>2567.02</v>
      </c>
      <c r="T86" s="4">
        <v>17</v>
      </c>
      <c r="U86" s="4">
        <v>1238.02</v>
      </c>
      <c r="V86" s="4">
        <v>11</v>
      </c>
      <c r="W86" s="4">
        <v>905</v>
      </c>
      <c r="X86" s="4">
        <v>8</v>
      </c>
      <c r="Y86" s="4">
        <v>1200.03</v>
      </c>
      <c r="Z86" s="4">
        <v>9</v>
      </c>
      <c r="AA86" s="4">
        <v>825.01</v>
      </c>
      <c r="AB86" s="4">
        <v>7</v>
      </c>
      <c r="AC86" s="4">
        <v>419</v>
      </c>
      <c r="AD86" s="4">
        <v>3</v>
      </c>
      <c r="AE86" s="4">
        <v>1000.01</v>
      </c>
      <c r="AF86" s="4">
        <v>8</v>
      </c>
      <c r="AG86" s="4">
        <v>4200.03</v>
      </c>
      <c r="AH86" s="4">
        <v>26</v>
      </c>
      <c r="AI86" s="4">
        <v>2168.02</v>
      </c>
      <c r="AJ86" s="4">
        <v>18</v>
      </c>
      <c r="AK86" s="4">
        <v>1922.03</v>
      </c>
      <c r="AL86" s="4">
        <v>17</v>
      </c>
      <c r="AM86" s="4">
        <v>759.01</v>
      </c>
      <c r="AN86" s="4">
        <v>8</v>
      </c>
      <c r="AO86" s="4">
        <v>1459.01</v>
      </c>
      <c r="AP86" s="4">
        <v>11</v>
      </c>
      <c r="AQ86" s="4">
        <v>600</v>
      </c>
      <c r="AR86" s="4">
        <v>4</v>
      </c>
      <c r="AS86" s="4">
        <v>0</v>
      </c>
      <c r="AT86" s="4">
        <v>0</v>
      </c>
      <c r="AU86" s="4">
        <v>887.02</v>
      </c>
      <c r="AV86" s="4">
        <v>6</v>
      </c>
      <c r="AW86" s="4">
        <v>755.96</v>
      </c>
      <c r="AX86" s="4">
        <v>6</v>
      </c>
      <c r="AY86" s="4">
        <v>677.98</v>
      </c>
      <c r="AZ86" s="4">
        <v>5</v>
      </c>
      <c r="BA86" s="4">
        <v>2985.88</v>
      </c>
      <c r="BB86" s="4">
        <v>11</v>
      </c>
      <c r="BC86" s="4">
        <v>1517.93</v>
      </c>
      <c r="BD86" s="4">
        <v>10</v>
      </c>
      <c r="BE86" s="4">
        <v>1709.12</v>
      </c>
      <c r="BF86" s="4">
        <v>11</v>
      </c>
      <c r="BQ86" s="3">
        <f t="shared" si="4"/>
        <v>35424.21</v>
      </c>
      <c r="BR86" s="3">
        <f t="shared" si="3"/>
        <v>259</v>
      </c>
    </row>
    <row r="87" spans="1:70" x14ac:dyDescent="0.25">
      <c r="A87" s="4" t="s">
        <v>2211</v>
      </c>
      <c r="B87" t="s">
        <v>25</v>
      </c>
      <c r="C87" s="338" t="s">
        <v>1690</v>
      </c>
      <c r="D87" s="213" t="s">
        <v>781</v>
      </c>
      <c r="E87" s="213" t="s">
        <v>158</v>
      </c>
      <c r="F87" s="213" t="s">
        <v>128</v>
      </c>
      <c r="G87" s="4">
        <v>2191</v>
      </c>
      <c r="H87" s="4">
        <v>15</v>
      </c>
      <c r="I87" s="4">
        <v>642.01</v>
      </c>
      <c r="J87" s="4">
        <v>5</v>
      </c>
      <c r="K87" s="4">
        <v>1597.04</v>
      </c>
      <c r="L87" s="4">
        <v>11</v>
      </c>
      <c r="M87" s="4">
        <v>1400.02</v>
      </c>
      <c r="N87" s="4">
        <v>8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975.03</v>
      </c>
      <c r="AP87" s="4">
        <v>10</v>
      </c>
      <c r="AQ87" s="4">
        <v>1450.01</v>
      </c>
      <c r="AR87" s="4">
        <v>9</v>
      </c>
      <c r="AS87" s="4">
        <v>883</v>
      </c>
      <c r="AT87" s="4">
        <v>6</v>
      </c>
      <c r="AU87" s="4">
        <v>150.01</v>
      </c>
      <c r="AV87" s="4">
        <v>1</v>
      </c>
      <c r="AW87" s="4">
        <v>518</v>
      </c>
      <c r="AX87" s="4">
        <v>5</v>
      </c>
      <c r="AY87" s="4">
        <v>1565.88</v>
      </c>
      <c r="AZ87" s="4">
        <v>11</v>
      </c>
      <c r="BA87" s="4">
        <v>1644.89</v>
      </c>
      <c r="BB87" s="4">
        <v>12</v>
      </c>
      <c r="BC87" s="4">
        <v>632.94000000000005</v>
      </c>
      <c r="BD87" s="4">
        <v>3</v>
      </c>
      <c r="BE87" s="4">
        <v>0</v>
      </c>
      <c r="BF87" s="4">
        <v>0</v>
      </c>
      <c r="BQ87" s="3">
        <f t="shared" si="4"/>
        <v>13649.83</v>
      </c>
      <c r="BR87" s="3">
        <f t="shared" si="3"/>
        <v>96</v>
      </c>
    </row>
    <row r="88" spans="1:70" x14ac:dyDescent="0.25">
      <c r="A88" s="4" t="s">
        <v>2212</v>
      </c>
      <c r="B88" t="s">
        <v>26</v>
      </c>
      <c r="C88" s="338" t="s">
        <v>1691</v>
      </c>
      <c r="D88" s="213" t="s">
        <v>782</v>
      </c>
      <c r="E88" s="213" t="s">
        <v>145</v>
      </c>
      <c r="F88" s="213" t="s">
        <v>131</v>
      </c>
      <c r="G88" s="4">
        <v>2464.0500000000002</v>
      </c>
      <c r="H88" s="4">
        <v>18</v>
      </c>
      <c r="I88" s="4">
        <v>7502.11</v>
      </c>
      <c r="J88" s="4">
        <v>41</v>
      </c>
      <c r="K88" s="4">
        <v>4496.13</v>
      </c>
      <c r="L88" s="4">
        <v>28</v>
      </c>
      <c r="M88" s="4">
        <v>8930.27</v>
      </c>
      <c r="N88" s="4">
        <v>40</v>
      </c>
      <c r="O88" s="4">
        <v>1650.01</v>
      </c>
      <c r="P88" s="4">
        <v>11</v>
      </c>
      <c r="Q88" s="4">
        <v>0</v>
      </c>
      <c r="R88" s="4">
        <v>0</v>
      </c>
      <c r="S88" s="4">
        <v>2370</v>
      </c>
      <c r="T88" s="4">
        <v>15</v>
      </c>
      <c r="U88" s="4">
        <v>4010.04</v>
      </c>
      <c r="V88" s="4">
        <v>20</v>
      </c>
      <c r="W88" s="4">
        <v>3760.01</v>
      </c>
      <c r="X88" s="4">
        <v>24</v>
      </c>
      <c r="Y88" s="4">
        <v>1740.06</v>
      </c>
      <c r="Z88" s="4">
        <v>8</v>
      </c>
      <c r="AA88" s="4">
        <v>2609.09</v>
      </c>
      <c r="AB88" s="4">
        <v>11</v>
      </c>
      <c r="AC88" s="4">
        <v>3190.1</v>
      </c>
      <c r="AD88" s="4">
        <v>13</v>
      </c>
      <c r="AE88" s="4">
        <v>460.01</v>
      </c>
      <c r="AF88" s="4">
        <v>3</v>
      </c>
      <c r="AG88" s="4">
        <v>1190.02</v>
      </c>
      <c r="AH88" s="4">
        <v>8</v>
      </c>
      <c r="AI88" s="4">
        <v>1971.02</v>
      </c>
      <c r="AJ88" s="4">
        <v>12</v>
      </c>
      <c r="AK88" s="4">
        <v>2165.0500000000002</v>
      </c>
      <c r="AL88" s="4">
        <v>12</v>
      </c>
      <c r="AM88" s="4">
        <v>375.01</v>
      </c>
      <c r="AN88" s="4">
        <v>2</v>
      </c>
      <c r="AO88" s="4">
        <v>0</v>
      </c>
      <c r="AP88" s="4">
        <v>0</v>
      </c>
      <c r="AQ88" s="4">
        <v>960</v>
      </c>
      <c r="AR88" s="4">
        <v>5</v>
      </c>
      <c r="AS88" s="4">
        <v>2194.04</v>
      </c>
      <c r="AT88" s="4">
        <v>14</v>
      </c>
      <c r="AU88" s="4">
        <v>75</v>
      </c>
      <c r="AV88" s="4">
        <v>1</v>
      </c>
      <c r="AW88" s="4">
        <v>2421.84</v>
      </c>
      <c r="AX88" s="4">
        <v>8</v>
      </c>
      <c r="AY88" s="4">
        <v>2822.95</v>
      </c>
      <c r="AZ88" s="4">
        <v>13</v>
      </c>
      <c r="BA88" s="4">
        <v>3511.81</v>
      </c>
      <c r="BB88" s="4">
        <v>15</v>
      </c>
      <c r="BC88" s="4">
        <v>0</v>
      </c>
      <c r="BD88" s="4">
        <v>0</v>
      </c>
      <c r="BE88" s="4">
        <v>0</v>
      </c>
      <c r="BF88" s="4">
        <v>0</v>
      </c>
      <c r="BQ88" s="3">
        <f t="shared" si="4"/>
        <v>60868.619999999995</v>
      </c>
      <c r="BR88" s="3">
        <f t="shared" si="3"/>
        <v>322</v>
      </c>
    </row>
    <row r="89" spans="1:70" x14ac:dyDescent="0.25">
      <c r="A89" s="4" t="s">
        <v>2213</v>
      </c>
      <c r="B89" t="s">
        <v>26</v>
      </c>
      <c r="C89" s="338" t="s">
        <v>1692</v>
      </c>
      <c r="D89" s="213" t="s">
        <v>783</v>
      </c>
      <c r="E89" s="213" t="s">
        <v>145</v>
      </c>
      <c r="F89" s="213" t="s">
        <v>131</v>
      </c>
      <c r="G89" s="4">
        <v>1659.02</v>
      </c>
      <c r="H89" s="4">
        <v>12</v>
      </c>
      <c r="I89" s="4">
        <v>0</v>
      </c>
      <c r="J89" s="4">
        <v>0</v>
      </c>
      <c r="K89" s="4">
        <v>2661.1</v>
      </c>
      <c r="L89" s="4">
        <v>20</v>
      </c>
      <c r="M89" s="4">
        <v>1096.02</v>
      </c>
      <c r="N89" s="4">
        <v>9</v>
      </c>
      <c r="O89" s="4">
        <v>1500.06</v>
      </c>
      <c r="P89" s="4">
        <v>10</v>
      </c>
      <c r="Q89" s="4">
        <v>1350.03</v>
      </c>
      <c r="R89" s="4">
        <v>7</v>
      </c>
      <c r="S89" s="4">
        <v>1791.04</v>
      </c>
      <c r="T89" s="4">
        <v>9</v>
      </c>
      <c r="U89" s="4">
        <v>3274.08</v>
      </c>
      <c r="V89" s="4">
        <v>12</v>
      </c>
      <c r="W89" s="4">
        <v>0</v>
      </c>
      <c r="X89" s="4">
        <v>0</v>
      </c>
      <c r="Y89" s="4">
        <v>1937.07</v>
      </c>
      <c r="Z89" s="4">
        <v>13</v>
      </c>
      <c r="AA89" s="4">
        <v>1459.04</v>
      </c>
      <c r="AB89" s="4">
        <v>10</v>
      </c>
      <c r="AC89" s="4">
        <v>849.02</v>
      </c>
      <c r="AD89" s="4">
        <v>8</v>
      </c>
      <c r="AE89" s="4">
        <v>2014.03</v>
      </c>
      <c r="AF89" s="4">
        <v>11</v>
      </c>
      <c r="AG89" s="4">
        <v>937.01</v>
      </c>
      <c r="AH89" s="4">
        <v>7</v>
      </c>
      <c r="AI89" s="4">
        <v>2402.98</v>
      </c>
      <c r="AJ89" s="4">
        <v>13</v>
      </c>
      <c r="AK89" s="4">
        <v>0</v>
      </c>
      <c r="AL89" s="4">
        <v>0</v>
      </c>
      <c r="AM89" s="4">
        <v>3956.03</v>
      </c>
      <c r="AN89" s="4">
        <v>26</v>
      </c>
      <c r="AO89" s="4">
        <v>847.02</v>
      </c>
      <c r="AP89" s="4">
        <v>5</v>
      </c>
      <c r="AQ89" s="4">
        <v>577</v>
      </c>
      <c r="AR89" s="4">
        <v>3</v>
      </c>
      <c r="AS89" s="4">
        <v>784</v>
      </c>
      <c r="AT89" s="4">
        <v>6</v>
      </c>
      <c r="AU89" s="4">
        <v>908.02</v>
      </c>
      <c r="AV89" s="4">
        <v>5</v>
      </c>
      <c r="AW89" s="4">
        <v>918.92</v>
      </c>
      <c r="AX89" s="4">
        <v>5</v>
      </c>
      <c r="AY89" s="4">
        <v>0</v>
      </c>
      <c r="AZ89" s="4">
        <v>0</v>
      </c>
      <c r="BA89" s="4">
        <v>2119.86</v>
      </c>
      <c r="BB89" s="4">
        <v>11</v>
      </c>
      <c r="BC89" s="4">
        <v>2709.86</v>
      </c>
      <c r="BD89" s="4">
        <v>17</v>
      </c>
      <c r="BE89" s="4">
        <v>6976.27</v>
      </c>
      <c r="BF89" s="4">
        <v>21</v>
      </c>
      <c r="BQ89" s="3">
        <f t="shared" si="4"/>
        <v>42727.479999999996</v>
      </c>
      <c r="BR89" s="3">
        <f t="shared" si="3"/>
        <v>240</v>
      </c>
    </row>
    <row r="90" spans="1:70" x14ac:dyDescent="0.25">
      <c r="A90" s="4" t="s">
        <v>2214</v>
      </c>
      <c r="B90" t="s">
        <v>26</v>
      </c>
      <c r="C90" s="338" t="s">
        <v>1693</v>
      </c>
      <c r="D90" s="213" t="s">
        <v>784</v>
      </c>
      <c r="E90" s="213" t="s">
        <v>145</v>
      </c>
      <c r="F90" s="213" t="s">
        <v>131</v>
      </c>
      <c r="G90" s="4">
        <v>2415.0300000000002</v>
      </c>
      <c r="H90" s="4">
        <v>15</v>
      </c>
      <c r="I90" s="4">
        <v>5778.1</v>
      </c>
      <c r="J90" s="4">
        <v>34</v>
      </c>
      <c r="K90" s="4">
        <v>1297.05</v>
      </c>
      <c r="L90" s="4">
        <v>4</v>
      </c>
      <c r="M90" s="4">
        <v>6059.14</v>
      </c>
      <c r="N90" s="4">
        <v>24</v>
      </c>
      <c r="O90" s="4">
        <v>2872.03</v>
      </c>
      <c r="P90" s="4">
        <v>15</v>
      </c>
      <c r="Q90" s="4">
        <v>1759.06</v>
      </c>
      <c r="R90" s="4">
        <v>11</v>
      </c>
      <c r="S90" s="4">
        <v>150</v>
      </c>
      <c r="T90" s="4">
        <v>1</v>
      </c>
      <c r="U90" s="4">
        <v>508.01</v>
      </c>
      <c r="V90" s="4">
        <v>4</v>
      </c>
      <c r="W90" s="4">
        <v>2271.0100000000002</v>
      </c>
      <c r="X90" s="4">
        <v>15</v>
      </c>
      <c r="Y90" s="4">
        <v>923.98</v>
      </c>
      <c r="Z90" s="4">
        <v>3</v>
      </c>
      <c r="AA90" s="4">
        <v>1209.99</v>
      </c>
      <c r="AB90" s="4">
        <v>5</v>
      </c>
      <c r="AC90" s="4">
        <v>1500.01</v>
      </c>
      <c r="AD90" s="4">
        <v>7</v>
      </c>
      <c r="AE90" s="4">
        <v>1667.01</v>
      </c>
      <c r="AF90" s="4">
        <v>11</v>
      </c>
      <c r="AG90" s="4">
        <v>0</v>
      </c>
      <c r="AH90" s="4">
        <v>0</v>
      </c>
      <c r="AI90" s="4">
        <v>1000.01</v>
      </c>
      <c r="AJ90" s="4">
        <v>5</v>
      </c>
      <c r="AK90" s="4">
        <v>310.01</v>
      </c>
      <c r="AL90" s="4">
        <v>2</v>
      </c>
      <c r="AM90" s="4">
        <v>1621.03</v>
      </c>
      <c r="AN90" s="4">
        <v>9</v>
      </c>
      <c r="AO90" s="4">
        <v>386.01</v>
      </c>
      <c r="AP90" s="4">
        <v>1</v>
      </c>
      <c r="AQ90" s="4">
        <v>2100.09</v>
      </c>
      <c r="AR90" s="4">
        <v>1</v>
      </c>
      <c r="AS90" s="4">
        <v>664.02</v>
      </c>
      <c r="AT90" s="4">
        <v>3</v>
      </c>
      <c r="AU90" s="4">
        <v>0</v>
      </c>
      <c r="AV90" s="4">
        <v>0</v>
      </c>
      <c r="AW90" s="4">
        <v>385.98</v>
      </c>
      <c r="AX90" s="4">
        <v>2</v>
      </c>
      <c r="AY90" s="4">
        <v>1473.92</v>
      </c>
      <c r="AZ90" s="4">
        <v>4</v>
      </c>
      <c r="BA90" s="4">
        <v>372</v>
      </c>
      <c r="BB90" s="4">
        <v>3</v>
      </c>
      <c r="BC90" s="4">
        <v>210.99</v>
      </c>
      <c r="BD90" s="4">
        <v>2</v>
      </c>
      <c r="BE90" s="4">
        <v>3968.36</v>
      </c>
      <c r="BF90" s="4">
        <v>5</v>
      </c>
      <c r="BQ90" s="3">
        <f t="shared" si="4"/>
        <v>40902.839999999989</v>
      </c>
      <c r="BR90" s="3">
        <f t="shared" si="3"/>
        <v>186</v>
      </c>
    </row>
    <row r="91" spans="1:70" x14ac:dyDescent="0.25">
      <c r="A91" s="4" t="s">
        <v>2215</v>
      </c>
      <c r="B91" t="s">
        <v>26</v>
      </c>
      <c r="C91" s="338" t="s">
        <v>1694</v>
      </c>
      <c r="D91" s="213" t="s">
        <v>785</v>
      </c>
      <c r="E91" s="213" t="s">
        <v>145</v>
      </c>
      <c r="F91" s="213" t="s">
        <v>131</v>
      </c>
      <c r="G91" s="4">
        <v>4721.05</v>
      </c>
      <c r="H91" s="4">
        <v>33</v>
      </c>
      <c r="I91" s="4">
        <v>7920.14</v>
      </c>
      <c r="J91" s="4">
        <v>41</v>
      </c>
      <c r="K91" s="4">
        <v>3778.1</v>
      </c>
      <c r="L91" s="4">
        <v>23</v>
      </c>
      <c r="M91" s="4">
        <v>115</v>
      </c>
      <c r="N91" s="4">
        <v>1</v>
      </c>
      <c r="O91" s="4">
        <v>4237.12</v>
      </c>
      <c r="P91" s="4">
        <v>22</v>
      </c>
      <c r="Q91" s="4">
        <v>5261.11</v>
      </c>
      <c r="R91" s="4">
        <v>34</v>
      </c>
      <c r="S91" s="4">
        <v>2434.0300000000002</v>
      </c>
      <c r="T91" s="4">
        <v>18</v>
      </c>
      <c r="U91" s="4">
        <v>2100.02</v>
      </c>
      <c r="V91" s="4">
        <v>13</v>
      </c>
      <c r="W91" s="4">
        <v>5519.04</v>
      </c>
      <c r="X91" s="4">
        <v>33</v>
      </c>
      <c r="Y91" s="4">
        <v>2543.02</v>
      </c>
      <c r="Z91" s="4">
        <v>13</v>
      </c>
      <c r="AA91" s="4">
        <v>450.01</v>
      </c>
      <c r="AB91" s="4">
        <v>2</v>
      </c>
      <c r="AC91" s="4">
        <v>1940.02</v>
      </c>
      <c r="AD91" s="4">
        <v>10</v>
      </c>
      <c r="AE91" s="4">
        <v>3015.1</v>
      </c>
      <c r="AF91" s="4">
        <v>16</v>
      </c>
      <c r="AG91" s="4">
        <v>1834.02</v>
      </c>
      <c r="AH91" s="4">
        <v>11</v>
      </c>
      <c r="AI91" s="4">
        <v>1264.04</v>
      </c>
      <c r="AJ91" s="4">
        <v>6</v>
      </c>
      <c r="AK91" s="4">
        <v>4717.01</v>
      </c>
      <c r="AL91" s="4">
        <v>17</v>
      </c>
      <c r="AM91" s="4">
        <v>4297.05</v>
      </c>
      <c r="AN91" s="4">
        <v>20</v>
      </c>
      <c r="AO91" s="4">
        <v>1692.03</v>
      </c>
      <c r="AP91" s="4">
        <v>9</v>
      </c>
      <c r="AQ91" s="4">
        <v>1148.01</v>
      </c>
      <c r="AR91" s="4">
        <v>8</v>
      </c>
      <c r="AS91" s="4">
        <v>300.01</v>
      </c>
      <c r="AT91" s="4">
        <v>2</v>
      </c>
      <c r="AU91" s="4">
        <v>3727.09</v>
      </c>
      <c r="AV91" s="4">
        <v>22</v>
      </c>
      <c r="AW91" s="4">
        <v>1973.82</v>
      </c>
      <c r="AX91" s="4">
        <v>13</v>
      </c>
      <c r="AY91" s="4">
        <v>3225.78</v>
      </c>
      <c r="AZ91" s="4">
        <v>14</v>
      </c>
      <c r="BA91" s="4">
        <v>1141.93</v>
      </c>
      <c r="BB91" s="4">
        <v>6</v>
      </c>
      <c r="BC91" s="4">
        <v>510.98</v>
      </c>
      <c r="BD91" s="4">
        <v>4</v>
      </c>
      <c r="BE91" s="4">
        <v>1565.14</v>
      </c>
      <c r="BF91" s="4">
        <v>8</v>
      </c>
      <c r="BQ91" s="3">
        <f t="shared" si="4"/>
        <v>71430.67</v>
      </c>
      <c r="BR91" s="3">
        <f t="shared" si="3"/>
        <v>399</v>
      </c>
    </row>
    <row r="92" spans="1:70" x14ac:dyDescent="0.25">
      <c r="A92" s="4" t="s">
        <v>2216</v>
      </c>
      <c r="B92" t="s">
        <v>26</v>
      </c>
      <c r="C92" s="338" t="s">
        <v>1695</v>
      </c>
      <c r="D92" s="213" t="s">
        <v>786</v>
      </c>
      <c r="E92" s="213" t="s">
        <v>145</v>
      </c>
      <c r="F92" s="213" t="s">
        <v>131</v>
      </c>
      <c r="G92" s="4">
        <v>1389</v>
      </c>
      <c r="H92" s="4">
        <v>11</v>
      </c>
      <c r="I92" s="4">
        <v>0</v>
      </c>
      <c r="J92" s="4">
        <v>0</v>
      </c>
      <c r="K92" s="4">
        <v>2114.0500000000002</v>
      </c>
      <c r="L92" s="4">
        <v>14</v>
      </c>
      <c r="M92" s="4">
        <v>1381.02</v>
      </c>
      <c r="N92" s="4">
        <v>8</v>
      </c>
      <c r="O92" s="4">
        <v>1885.03</v>
      </c>
      <c r="P92" s="4">
        <v>11</v>
      </c>
      <c r="Q92" s="4">
        <v>1424.03</v>
      </c>
      <c r="R92" s="4">
        <v>10</v>
      </c>
      <c r="S92" s="4">
        <v>3201.1</v>
      </c>
      <c r="T92" s="4">
        <v>12</v>
      </c>
      <c r="U92" s="4">
        <v>2157.02</v>
      </c>
      <c r="V92" s="4">
        <v>14</v>
      </c>
      <c r="W92" s="4">
        <v>0</v>
      </c>
      <c r="X92" s="4">
        <v>0</v>
      </c>
      <c r="Y92" s="4">
        <v>2195.09</v>
      </c>
      <c r="Z92" s="4">
        <v>13</v>
      </c>
      <c r="AA92" s="4">
        <v>1734.05</v>
      </c>
      <c r="AB92" s="4">
        <v>12</v>
      </c>
      <c r="AC92" s="4">
        <v>2274.0500000000002</v>
      </c>
      <c r="AD92" s="4">
        <v>11</v>
      </c>
      <c r="AE92" s="4">
        <v>799.05</v>
      </c>
      <c r="AF92" s="4">
        <v>5</v>
      </c>
      <c r="AG92" s="4">
        <v>747.02</v>
      </c>
      <c r="AH92" s="4">
        <v>5</v>
      </c>
      <c r="AI92" s="4">
        <v>1899.06</v>
      </c>
      <c r="AJ92" s="4">
        <v>9</v>
      </c>
      <c r="AK92" s="4">
        <v>0</v>
      </c>
      <c r="AL92" s="4">
        <v>0</v>
      </c>
      <c r="AM92" s="4">
        <v>0</v>
      </c>
      <c r="AN92" s="4">
        <v>0</v>
      </c>
      <c r="AO92" s="4">
        <v>1688.04</v>
      </c>
      <c r="AP92" s="4">
        <v>9</v>
      </c>
      <c r="AQ92" s="4">
        <v>1025.02</v>
      </c>
      <c r="AR92" s="4">
        <v>6</v>
      </c>
      <c r="AS92" s="4">
        <v>1350</v>
      </c>
      <c r="AT92" s="4">
        <v>7</v>
      </c>
      <c r="AU92" s="4">
        <v>1050.03</v>
      </c>
      <c r="AV92" s="4">
        <v>7</v>
      </c>
      <c r="AW92" s="4">
        <v>1837.9</v>
      </c>
      <c r="AX92" s="4">
        <v>11</v>
      </c>
      <c r="AY92" s="4">
        <v>0</v>
      </c>
      <c r="AZ92" s="4">
        <v>0</v>
      </c>
      <c r="BA92" s="4">
        <v>1950.9</v>
      </c>
      <c r="BB92" s="4">
        <v>12</v>
      </c>
      <c r="BC92" s="4">
        <v>993.93</v>
      </c>
      <c r="BD92" s="4">
        <v>3</v>
      </c>
      <c r="BE92" s="4">
        <v>1911.06</v>
      </c>
      <c r="BF92" s="4">
        <v>9</v>
      </c>
      <c r="BQ92" s="3">
        <f t="shared" si="4"/>
        <v>35006.449999999997</v>
      </c>
      <c r="BR92" s="3">
        <f t="shared" si="3"/>
        <v>199</v>
      </c>
    </row>
    <row r="93" spans="1:70" x14ac:dyDescent="0.25">
      <c r="A93" s="4" t="s">
        <v>2217</v>
      </c>
      <c r="B93" t="s">
        <v>26</v>
      </c>
      <c r="C93" s="338" t="s">
        <v>1696</v>
      </c>
      <c r="D93" s="213" t="s">
        <v>787</v>
      </c>
      <c r="E93" s="213" t="s">
        <v>145</v>
      </c>
      <c r="F93" s="213" t="s">
        <v>131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75</v>
      </c>
      <c r="V93" s="4">
        <v>1</v>
      </c>
      <c r="W93" s="4">
        <v>0</v>
      </c>
      <c r="X93" s="4">
        <v>0</v>
      </c>
      <c r="Y93" s="4">
        <v>600.02</v>
      </c>
      <c r="Z93" s="4">
        <v>4</v>
      </c>
      <c r="AA93" s="4">
        <v>790</v>
      </c>
      <c r="AB93" s="4">
        <v>9</v>
      </c>
      <c r="AC93" s="4">
        <v>75</v>
      </c>
      <c r="AD93" s="4">
        <v>1</v>
      </c>
      <c r="AE93" s="4">
        <v>0</v>
      </c>
      <c r="AF93" s="4">
        <v>0</v>
      </c>
      <c r="AG93" s="4">
        <v>2212.0300000000002</v>
      </c>
      <c r="AH93" s="4">
        <v>11</v>
      </c>
      <c r="AI93" s="4">
        <v>2758.98</v>
      </c>
      <c r="AJ93" s="4">
        <v>9</v>
      </c>
      <c r="AK93" s="4">
        <v>1322.01</v>
      </c>
      <c r="AL93" s="4">
        <v>9</v>
      </c>
      <c r="AM93" s="4">
        <v>331</v>
      </c>
      <c r="AN93" s="4">
        <v>2</v>
      </c>
      <c r="AO93" s="4">
        <v>2080.0300000000002</v>
      </c>
      <c r="AP93" s="4">
        <v>10</v>
      </c>
      <c r="AQ93" s="4">
        <v>0</v>
      </c>
      <c r="AR93" s="4">
        <v>0</v>
      </c>
      <c r="AS93" s="4">
        <v>1307.01</v>
      </c>
      <c r="AT93" s="4">
        <v>4</v>
      </c>
      <c r="AU93" s="4">
        <v>476.01</v>
      </c>
      <c r="AV93" s="4">
        <v>4</v>
      </c>
      <c r="AW93" s="4">
        <v>632.94000000000005</v>
      </c>
      <c r="AX93" s="4">
        <v>2</v>
      </c>
      <c r="AY93" s="4">
        <v>1984.89</v>
      </c>
      <c r="AZ93" s="4">
        <v>12</v>
      </c>
      <c r="BA93" s="4">
        <v>1006.94</v>
      </c>
      <c r="BB93" s="4">
        <v>6</v>
      </c>
      <c r="BC93" s="4">
        <v>1734.94</v>
      </c>
      <c r="BD93" s="4">
        <v>9</v>
      </c>
      <c r="BE93" s="4">
        <v>797.05</v>
      </c>
      <c r="BF93" s="4">
        <v>4</v>
      </c>
      <c r="BQ93" s="3">
        <f t="shared" si="4"/>
        <v>18183.850000000002</v>
      </c>
      <c r="BR93" s="3">
        <f t="shared" si="3"/>
        <v>97</v>
      </c>
    </row>
    <row r="94" spans="1:70" x14ac:dyDescent="0.25">
      <c r="A94" s="4" t="s">
        <v>2218</v>
      </c>
      <c r="B94" t="s">
        <v>27</v>
      </c>
      <c r="C94" s="338" t="s">
        <v>1697</v>
      </c>
      <c r="D94" s="213" t="s">
        <v>788</v>
      </c>
      <c r="E94" s="213" t="s">
        <v>145</v>
      </c>
      <c r="F94" s="213" t="s">
        <v>131</v>
      </c>
      <c r="G94" s="4">
        <v>7446.21</v>
      </c>
      <c r="H94" s="4">
        <v>42</v>
      </c>
      <c r="I94" s="4">
        <v>2822.07</v>
      </c>
      <c r="J94" s="4">
        <v>18</v>
      </c>
      <c r="K94" s="4">
        <v>1807.04</v>
      </c>
      <c r="L94" s="4">
        <v>11</v>
      </c>
      <c r="M94" s="4">
        <v>2529.0100000000002</v>
      </c>
      <c r="N94" s="4">
        <v>11</v>
      </c>
      <c r="O94" s="4">
        <v>1149.02</v>
      </c>
      <c r="P94" s="4">
        <v>6</v>
      </c>
      <c r="Q94" s="4">
        <v>1385.02</v>
      </c>
      <c r="R94" s="4">
        <v>8</v>
      </c>
      <c r="S94" s="4">
        <v>565</v>
      </c>
      <c r="T94" s="4">
        <v>4</v>
      </c>
      <c r="U94" s="4">
        <v>424</v>
      </c>
      <c r="V94" s="4">
        <v>3</v>
      </c>
      <c r="W94" s="4">
        <v>0</v>
      </c>
      <c r="X94" s="4">
        <v>0</v>
      </c>
      <c r="Y94" s="4">
        <v>2844.08</v>
      </c>
      <c r="Z94" s="4">
        <v>17</v>
      </c>
      <c r="AA94" s="4">
        <v>150.01</v>
      </c>
      <c r="AB94" s="4">
        <v>1</v>
      </c>
      <c r="AC94" s="4">
        <v>903.01</v>
      </c>
      <c r="AD94" s="4">
        <v>6</v>
      </c>
      <c r="AE94" s="4">
        <v>799.04</v>
      </c>
      <c r="AF94" s="4">
        <v>4</v>
      </c>
      <c r="AG94" s="4">
        <v>2094.06</v>
      </c>
      <c r="AH94" s="4">
        <v>8</v>
      </c>
      <c r="AI94" s="4">
        <v>1320.05</v>
      </c>
      <c r="AJ94" s="4">
        <v>6</v>
      </c>
      <c r="AK94" s="4">
        <v>0</v>
      </c>
      <c r="AL94" s="4">
        <v>0</v>
      </c>
      <c r="AM94" s="4">
        <v>925.01</v>
      </c>
      <c r="AN94" s="4">
        <v>6</v>
      </c>
      <c r="AO94" s="4">
        <v>1024.03</v>
      </c>
      <c r="AP94" s="4">
        <v>6</v>
      </c>
      <c r="AQ94" s="4">
        <v>948.01</v>
      </c>
      <c r="AR94" s="4">
        <v>5</v>
      </c>
      <c r="AS94" s="4">
        <v>2323.0100000000002</v>
      </c>
      <c r="AT94" s="4">
        <v>13</v>
      </c>
      <c r="AU94" s="4">
        <v>1147.02</v>
      </c>
      <c r="AV94" s="4">
        <v>7</v>
      </c>
      <c r="AW94" s="4">
        <v>721.96</v>
      </c>
      <c r="AX94" s="4">
        <v>5</v>
      </c>
      <c r="AY94" s="4">
        <v>0</v>
      </c>
      <c r="AZ94" s="4">
        <v>0</v>
      </c>
      <c r="BA94" s="4">
        <v>843.92</v>
      </c>
      <c r="BB94" s="4">
        <v>4</v>
      </c>
      <c r="BC94" s="4">
        <v>1204.9000000000001</v>
      </c>
      <c r="BD94" s="4">
        <v>5</v>
      </c>
      <c r="BE94" s="4">
        <v>2370.2199999999998</v>
      </c>
      <c r="BF94" s="4">
        <v>10</v>
      </c>
      <c r="BQ94" s="3">
        <f t="shared" si="4"/>
        <v>37745.699999999997</v>
      </c>
      <c r="BR94" s="3">
        <f t="shared" si="3"/>
        <v>206</v>
      </c>
    </row>
    <row r="95" spans="1:70" x14ac:dyDescent="0.25">
      <c r="A95" s="4" t="s">
        <v>2219</v>
      </c>
      <c r="B95" t="s">
        <v>27</v>
      </c>
      <c r="C95" s="338" t="s">
        <v>1698</v>
      </c>
      <c r="D95" s="213" t="s">
        <v>789</v>
      </c>
      <c r="E95" s="213" t="s">
        <v>145</v>
      </c>
      <c r="F95" s="213" t="s">
        <v>131</v>
      </c>
      <c r="G95" s="4">
        <v>902.03</v>
      </c>
      <c r="H95" s="4">
        <v>7</v>
      </c>
      <c r="I95" s="4">
        <v>0</v>
      </c>
      <c r="J95" s="4">
        <v>0</v>
      </c>
      <c r="K95" s="4">
        <v>5496.07</v>
      </c>
      <c r="L95" s="4">
        <v>36</v>
      </c>
      <c r="M95" s="4">
        <v>786.02</v>
      </c>
      <c r="N95" s="4">
        <v>5</v>
      </c>
      <c r="O95" s="4">
        <v>4699.05</v>
      </c>
      <c r="P95" s="4">
        <v>18</v>
      </c>
      <c r="Q95" s="4">
        <v>2615.02</v>
      </c>
      <c r="R95" s="4">
        <v>16</v>
      </c>
      <c r="S95" s="4">
        <v>1780.05</v>
      </c>
      <c r="T95" s="4">
        <v>11</v>
      </c>
      <c r="U95" s="4">
        <v>1148.03</v>
      </c>
      <c r="V95" s="4">
        <v>8</v>
      </c>
      <c r="W95" s="4">
        <v>75</v>
      </c>
      <c r="X95" s="4">
        <v>1</v>
      </c>
      <c r="Y95" s="4">
        <v>0</v>
      </c>
      <c r="Z95" s="4">
        <v>0</v>
      </c>
      <c r="AA95" s="4">
        <v>0</v>
      </c>
      <c r="AB95" s="4">
        <v>0</v>
      </c>
      <c r="AC95" s="4">
        <v>1769.03</v>
      </c>
      <c r="AD95" s="4">
        <v>9</v>
      </c>
      <c r="AE95" s="4">
        <v>1308.02</v>
      </c>
      <c r="AF95" s="4">
        <v>8</v>
      </c>
      <c r="AG95" s="4">
        <v>1315.02</v>
      </c>
      <c r="AH95" s="4">
        <v>7</v>
      </c>
      <c r="AI95" s="4">
        <v>299.01</v>
      </c>
      <c r="AJ95" s="4">
        <v>3</v>
      </c>
      <c r="AK95" s="4">
        <v>1070.01</v>
      </c>
      <c r="AL95" s="4">
        <v>6</v>
      </c>
      <c r="AM95" s="4">
        <v>375</v>
      </c>
      <c r="AN95" s="4">
        <v>3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Q95" s="3">
        <f t="shared" si="4"/>
        <v>23637.359999999993</v>
      </c>
      <c r="BR95" s="3">
        <f t="shared" si="3"/>
        <v>138</v>
      </c>
    </row>
    <row r="96" spans="1:70" x14ac:dyDescent="0.25">
      <c r="A96" s="4" t="s">
        <v>2220</v>
      </c>
      <c r="B96" t="s">
        <v>27</v>
      </c>
      <c r="C96" s="338" t="s">
        <v>1699</v>
      </c>
      <c r="D96" s="213" t="s">
        <v>790</v>
      </c>
      <c r="E96" s="213" t="s">
        <v>145</v>
      </c>
      <c r="F96" s="213" t="s">
        <v>131</v>
      </c>
      <c r="G96" s="4">
        <v>0</v>
      </c>
      <c r="H96" s="4">
        <v>0</v>
      </c>
      <c r="I96" s="4">
        <v>1176.04</v>
      </c>
      <c r="J96" s="4">
        <v>6</v>
      </c>
      <c r="K96" s="4">
        <v>0</v>
      </c>
      <c r="L96" s="4">
        <v>0</v>
      </c>
      <c r="M96" s="4">
        <v>2994.05</v>
      </c>
      <c r="N96" s="4">
        <v>16</v>
      </c>
      <c r="O96" s="4">
        <v>2224.02</v>
      </c>
      <c r="P96" s="4">
        <v>14</v>
      </c>
      <c r="Q96" s="4">
        <v>150.01</v>
      </c>
      <c r="R96" s="4">
        <v>1</v>
      </c>
      <c r="S96" s="4">
        <v>310</v>
      </c>
      <c r="T96" s="4">
        <v>2</v>
      </c>
      <c r="U96" s="4">
        <v>2412.0700000000002</v>
      </c>
      <c r="V96" s="4">
        <v>12</v>
      </c>
      <c r="W96" s="4">
        <v>3249.06</v>
      </c>
      <c r="X96" s="4">
        <v>15</v>
      </c>
      <c r="Y96" s="4">
        <v>1875.03</v>
      </c>
      <c r="Z96" s="4">
        <v>11</v>
      </c>
      <c r="AA96" s="4">
        <v>1297.03</v>
      </c>
      <c r="AB96" s="4">
        <v>8</v>
      </c>
      <c r="AC96" s="4">
        <v>1130.02</v>
      </c>
      <c r="AD96" s="4">
        <v>6</v>
      </c>
      <c r="AE96" s="4">
        <v>1199.98</v>
      </c>
      <c r="AF96" s="4">
        <v>6</v>
      </c>
      <c r="AG96" s="4">
        <v>849.02</v>
      </c>
      <c r="AH96" s="4">
        <v>5</v>
      </c>
      <c r="AI96" s="4">
        <v>1050</v>
      </c>
      <c r="AJ96" s="4">
        <v>5</v>
      </c>
      <c r="AK96" s="4">
        <v>2670.02</v>
      </c>
      <c r="AL96" s="4">
        <v>14</v>
      </c>
      <c r="AM96" s="4">
        <v>1060</v>
      </c>
      <c r="AN96" s="4">
        <v>7</v>
      </c>
      <c r="AO96" s="4">
        <v>2764.05</v>
      </c>
      <c r="AP96" s="4">
        <v>9</v>
      </c>
      <c r="AQ96" s="4">
        <v>1309.02</v>
      </c>
      <c r="AR96" s="4">
        <v>8</v>
      </c>
      <c r="AS96" s="4">
        <v>3024.07</v>
      </c>
      <c r="AT96" s="4">
        <v>19</v>
      </c>
      <c r="AU96" s="4">
        <v>150</v>
      </c>
      <c r="AV96" s="4">
        <v>1</v>
      </c>
      <c r="AW96" s="4">
        <v>670.98</v>
      </c>
      <c r="AX96" s="4">
        <v>5</v>
      </c>
      <c r="AY96" s="4">
        <v>843.92</v>
      </c>
      <c r="AZ96" s="4">
        <v>4</v>
      </c>
      <c r="BA96" s="4">
        <v>954.94</v>
      </c>
      <c r="BB96" s="4">
        <v>6</v>
      </c>
      <c r="BC96" s="4">
        <v>2730.83</v>
      </c>
      <c r="BD96" s="4">
        <v>13</v>
      </c>
      <c r="BE96" s="4">
        <v>1148.08</v>
      </c>
      <c r="BF96" s="4">
        <v>3</v>
      </c>
      <c r="BQ96" s="3">
        <f t="shared" si="4"/>
        <v>37242.240000000005</v>
      </c>
      <c r="BR96" s="3">
        <f t="shared" si="3"/>
        <v>196</v>
      </c>
    </row>
    <row r="97" spans="1:70" x14ac:dyDescent="0.25">
      <c r="A97" s="4" t="s">
        <v>2221</v>
      </c>
      <c r="B97" t="s">
        <v>27</v>
      </c>
      <c r="C97" s="338" t="s">
        <v>1700</v>
      </c>
      <c r="D97" s="213" t="s">
        <v>791</v>
      </c>
      <c r="E97" s="213" t="s">
        <v>145</v>
      </c>
      <c r="F97" s="213" t="s">
        <v>131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3508.12</v>
      </c>
      <c r="N97" s="4">
        <v>14</v>
      </c>
      <c r="O97" s="4">
        <v>75</v>
      </c>
      <c r="P97" s="4">
        <v>1</v>
      </c>
      <c r="Q97" s="4">
        <v>775</v>
      </c>
      <c r="R97" s="4">
        <v>5</v>
      </c>
      <c r="S97" s="4">
        <v>2350.0300000000002</v>
      </c>
      <c r="T97" s="4">
        <v>11</v>
      </c>
      <c r="U97" s="4">
        <v>1800.03</v>
      </c>
      <c r="V97" s="4">
        <v>13</v>
      </c>
      <c r="W97" s="4">
        <v>3645.07</v>
      </c>
      <c r="X97" s="4">
        <v>22</v>
      </c>
      <c r="Y97" s="4">
        <v>3280.05</v>
      </c>
      <c r="Z97" s="4">
        <v>21</v>
      </c>
      <c r="AA97" s="4">
        <v>1053.99</v>
      </c>
      <c r="AB97" s="4">
        <v>6</v>
      </c>
      <c r="AC97" s="4">
        <v>0</v>
      </c>
      <c r="AD97" s="4">
        <v>0</v>
      </c>
      <c r="AE97" s="4">
        <v>1274</v>
      </c>
      <c r="AF97" s="4">
        <v>8</v>
      </c>
      <c r="AG97" s="4">
        <v>1071.03</v>
      </c>
      <c r="AH97" s="4">
        <v>8</v>
      </c>
      <c r="AI97" s="4">
        <v>640.01</v>
      </c>
      <c r="AJ97" s="4">
        <v>5</v>
      </c>
      <c r="AK97" s="4">
        <v>1900.04</v>
      </c>
      <c r="AL97" s="4">
        <v>10</v>
      </c>
      <c r="AM97" s="4">
        <v>1499.04</v>
      </c>
      <c r="AN97" s="4">
        <v>9</v>
      </c>
      <c r="AO97" s="4">
        <v>249.01</v>
      </c>
      <c r="AP97" s="4">
        <v>1</v>
      </c>
      <c r="AQ97" s="4">
        <v>713.97</v>
      </c>
      <c r="AR97" s="4">
        <v>5</v>
      </c>
      <c r="AS97" s="4">
        <v>0</v>
      </c>
      <c r="AT97" s="4">
        <v>0</v>
      </c>
      <c r="AU97" s="4">
        <v>1999.03</v>
      </c>
      <c r="AV97" s="4">
        <v>12</v>
      </c>
      <c r="AW97" s="4">
        <v>2816.86</v>
      </c>
      <c r="AX97" s="4">
        <v>15</v>
      </c>
      <c r="AY97" s="4">
        <v>3167.8</v>
      </c>
      <c r="AZ97" s="4">
        <v>17</v>
      </c>
      <c r="BA97" s="4">
        <v>2535.92</v>
      </c>
      <c r="BB97" s="4">
        <v>11</v>
      </c>
      <c r="BC97" s="4">
        <v>0</v>
      </c>
      <c r="BD97" s="4">
        <v>0</v>
      </c>
      <c r="BE97" s="4">
        <v>3073.19</v>
      </c>
      <c r="BF97" s="4">
        <v>18</v>
      </c>
      <c r="BQ97" s="3">
        <f t="shared" si="4"/>
        <v>37427.19</v>
      </c>
      <c r="BR97" s="3">
        <f t="shared" si="3"/>
        <v>212</v>
      </c>
    </row>
    <row r="98" spans="1:70" x14ac:dyDescent="0.25">
      <c r="A98" s="4" t="s">
        <v>2222</v>
      </c>
      <c r="B98" t="s">
        <v>28</v>
      </c>
      <c r="C98" s="338" t="s">
        <v>1701</v>
      </c>
      <c r="D98" s="213" t="s">
        <v>792</v>
      </c>
      <c r="E98" s="213" t="s">
        <v>154</v>
      </c>
      <c r="F98" s="213" t="s">
        <v>126</v>
      </c>
      <c r="G98" s="4">
        <v>2806.03</v>
      </c>
      <c r="H98" s="4">
        <v>17</v>
      </c>
      <c r="I98" s="4">
        <v>5124.09</v>
      </c>
      <c r="J98" s="4">
        <v>25</v>
      </c>
      <c r="K98" s="4">
        <v>1548.06</v>
      </c>
      <c r="L98" s="4">
        <v>13</v>
      </c>
      <c r="M98" s="4">
        <v>3164.1</v>
      </c>
      <c r="N98" s="4">
        <v>17</v>
      </c>
      <c r="O98" s="4">
        <v>600.02</v>
      </c>
      <c r="P98" s="4">
        <v>3</v>
      </c>
      <c r="Q98" s="4">
        <v>0</v>
      </c>
      <c r="R98" s="4">
        <v>0</v>
      </c>
      <c r="S98" s="4">
        <v>1352.02</v>
      </c>
      <c r="T98" s="4">
        <v>6</v>
      </c>
      <c r="U98" s="4">
        <v>1870.03</v>
      </c>
      <c r="V98" s="4">
        <v>8</v>
      </c>
      <c r="W98" s="4">
        <v>1954.03</v>
      </c>
      <c r="X98" s="4">
        <v>10</v>
      </c>
      <c r="Y98" s="4">
        <v>1865.01</v>
      </c>
      <c r="Z98" s="4">
        <v>11</v>
      </c>
      <c r="AA98" s="4">
        <v>750.02</v>
      </c>
      <c r="AB98" s="4">
        <v>5</v>
      </c>
      <c r="AC98" s="4">
        <v>590</v>
      </c>
      <c r="AD98" s="4">
        <v>4</v>
      </c>
      <c r="AE98" s="4">
        <v>664.02</v>
      </c>
      <c r="AF98" s="4">
        <v>5</v>
      </c>
      <c r="AG98" s="4">
        <v>2130.08</v>
      </c>
      <c r="AH98" s="4">
        <v>1</v>
      </c>
      <c r="AI98" s="4">
        <v>0</v>
      </c>
      <c r="AJ98" s="4">
        <v>0</v>
      </c>
      <c r="AK98" s="4">
        <v>2388.98</v>
      </c>
      <c r="AL98" s="4">
        <v>7</v>
      </c>
      <c r="AM98" s="4">
        <v>1139.01</v>
      </c>
      <c r="AN98" s="4">
        <v>5</v>
      </c>
      <c r="AO98" s="4">
        <v>1180.05</v>
      </c>
      <c r="AP98" s="4">
        <v>3</v>
      </c>
      <c r="AQ98" s="4">
        <v>750.03</v>
      </c>
      <c r="AR98" s="4">
        <v>5</v>
      </c>
      <c r="AS98" s="4">
        <v>640.02</v>
      </c>
      <c r="AT98" s="4">
        <v>4</v>
      </c>
      <c r="AU98" s="4">
        <v>1050.05</v>
      </c>
      <c r="AV98" s="4">
        <v>4</v>
      </c>
      <c r="AW98" s="4">
        <v>0</v>
      </c>
      <c r="AX98" s="4">
        <v>0</v>
      </c>
      <c r="AY98" s="4">
        <v>0</v>
      </c>
      <c r="AZ98" s="4">
        <v>0</v>
      </c>
      <c r="BA98" s="4">
        <v>1416.92</v>
      </c>
      <c r="BB98" s="4">
        <v>8</v>
      </c>
      <c r="BC98" s="4">
        <v>1759.91</v>
      </c>
      <c r="BD98" s="4">
        <v>9</v>
      </c>
      <c r="BE98" s="4">
        <v>361.02</v>
      </c>
      <c r="BF98" s="4">
        <v>2</v>
      </c>
      <c r="BQ98" s="3">
        <f t="shared" si="4"/>
        <v>35103.5</v>
      </c>
      <c r="BR98" s="3">
        <f t="shared" si="3"/>
        <v>172</v>
      </c>
    </row>
    <row r="99" spans="1:70" x14ac:dyDescent="0.25">
      <c r="A99" s="4" t="s">
        <v>2223</v>
      </c>
      <c r="B99" t="s">
        <v>28</v>
      </c>
      <c r="C99" s="338" t="s">
        <v>1702</v>
      </c>
      <c r="D99" s="213" t="s">
        <v>793</v>
      </c>
      <c r="E99" s="213" t="s">
        <v>154</v>
      </c>
      <c r="F99" s="213" t="s">
        <v>126</v>
      </c>
      <c r="G99" s="4">
        <v>561</v>
      </c>
      <c r="H99" s="4">
        <v>8</v>
      </c>
      <c r="I99" s="4">
        <v>827.01</v>
      </c>
      <c r="J99" s="4">
        <v>13</v>
      </c>
      <c r="K99" s="4">
        <v>171</v>
      </c>
      <c r="L99" s="4">
        <v>3</v>
      </c>
      <c r="M99" s="4">
        <v>659</v>
      </c>
      <c r="N99" s="4">
        <v>11</v>
      </c>
      <c r="O99" s="4">
        <v>150</v>
      </c>
      <c r="P99" s="4">
        <v>2</v>
      </c>
      <c r="Q99" s="4">
        <v>185</v>
      </c>
      <c r="R99" s="4">
        <v>3</v>
      </c>
      <c r="S99" s="4">
        <v>24</v>
      </c>
      <c r="T99" s="4">
        <v>1</v>
      </c>
      <c r="U99" s="4">
        <v>337</v>
      </c>
      <c r="V99" s="4">
        <v>5</v>
      </c>
      <c r="W99" s="4">
        <v>295</v>
      </c>
      <c r="X99" s="4">
        <v>5</v>
      </c>
      <c r="Y99" s="4">
        <v>410</v>
      </c>
      <c r="Z99" s="4">
        <v>9</v>
      </c>
      <c r="AA99" s="4">
        <v>225</v>
      </c>
      <c r="AB99" s="4">
        <v>2</v>
      </c>
      <c r="AC99" s="4">
        <v>244</v>
      </c>
      <c r="AD99" s="4">
        <v>5</v>
      </c>
      <c r="AE99" s="4">
        <v>399</v>
      </c>
      <c r="AF99" s="4">
        <v>6</v>
      </c>
      <c r="AG99" s="4">
        <v>0</v>
      </c>
      <c r="AH99" s="4">
        <v>2</v>
      </c>
      <c r="AI99" s="4">
        <v>97</v>
      </c>
      <c r="AJ99" s="4">
        <v>2</v>
      </c>
      <c r="AK99" s="4">
        <v>499</v>
      </c>
      <c r="AL99" s="4">
        <v>6</v>
      </c>
      <c r="AM99" s="4">
        <v>974.99</v>
      </c>
      <c r="AN99" s="4">
        <v>10</v>
      </c>
      <c r="AO99" s="4">
        <v>75</v>
      </c>
      <c r="AP99" s="4">
        <v>1</v>
      </c>
      <c r="AQ99" s="4">
        <v>450</v>
      </c>
      <c r="AR99" s="4">
        <v>6</v>
      </c>
      <c r="AS99" s="4">
        <v>246</v>
      </c>
      <c r="AT99" s="4">
        <v>6</v>
      </c>
      <c r="AU99" s="4">
        <v>189</v>
      </c>
      <c r="AV99" s="4">
        <v>3</v>
      </c>
      <c r="AW99" s="4">
        <v>198</v>
      </c>
      <c r="AX99" s="4">
        <v>7</v>
      </c>
      <c r="AY99" s="4">
        <v>336.01</v>
      </c>
      <c r="AZ99" s="4">
        <v>5</v>
      </c>
      <c r="BA99" s="4">
        <v>430.98</v>
      </c>
      <c r="BB99" s="4">
        <v>7</v>
      </c>
      <c r="BC99" s="4">
        <v>860</v>
      </c>
      <c r="BD99" s="4">
        <v>5</v>
      </c>
      <c r="BE99" s="4">
        <v>88.98</v>
      </c>
      <c r="BF99" s="4">
        <v>5</v>
      </c>
      <c r="BQ99" s="3">
        <f t="shared" si="4"/>
        <v>8931.9699999999993</v>
      </c>
      <c r="BR99" s="3">
        <f t="shared" si="3"/>
        <v>138</v>
      </c>
    </row>
    <row r="100" spans="1:70" x14ac:dyDescent="0.25">
      <c r="A100" s="4" t="s">
        <v>2224</v>
      </c>
      <c r="B100" t="s">
        <v>28</v>
      </c>
      <c r="C100" s="338" t="s">
        <v>1703</v>
      </c>
      <c r="D100" s="213" t="s">
        <v>794</v>
      </c>
      <c r="E100" s="213" t="s">
        <v>154</v>
      </c>
      <c r="F100" s="213" t="s">
        <v>126</v>
      </c>
      <c r="G100" s="4">
        <v>2120.04</v>
      </c>
      <c r="H100" s="4">
        <v>11</v>
      </c>
      <c r="I100" s="4">
        <v>0</v>
      </c>
      <c r="J100" s="4">
        <v>0</v>
      </c>
      <c r="K100" s="4">
        <v>2922.07</v>
      </c>
      <c r="L100" s="4">
        <v>11</v>
      </c>
      <c r="M100" s="4">
        <v>0</v>
      </c>
      <c r="N100" s="4">
        <v>0</v>
      </c>
      <c r="O100" s="4">
        <v>1647.04</v>
      </c>
      <c r="P100" s="4">
        <v>11</v>
      </c>
      <c r="Q100" s="4">
        <v>2464.0300000000002</v>
      </c>
      <c r="R100" s="4">
        <v>13</v>
      </c>
      <c r="S100" s="4">
        <v>880</v>
      </c>
      <c r="T100" s="4">
        <v>7</v>
      </c>
      <c r="U100" s="4">
        <v>1428.99</v>
      </c>
      <c r="V100" s="4">
        <v>11</v>
      </c>
      <c r="W100" s="4">
        <v>2997.09</v>
      </c>
      <c r="X100" s="4">
        <v>12</v>
      </c>
      <c r="Y100" s="4">
        <v>1648.01</v>
      </c>
      <c r="Z100" s="4">
        <v>8</v>
      </c>
      <c r="AA100" s="4">
        <v>0</v>
      </c>
      <c r="AB100" s="4">
        <v>0</v>
      </c>
      <c r="AC100" s="4">
        <v>690.01</v>
      </c>
      <c r="AD100" s="4">
        <v>5</v>
      </c>
      <c r="AE100" s="4">
        <v>2263.0300000000002</v>
      </c>
      <c r="AF100" s="4">
        <v>11</v>
      </c>
      <c r="AG100" s="4">
        <v>0</v>
      </c>
      <c r="AH100" s="4">
        <v>0</v>
      </c>
      <c r="AI100" s="4">
        <v>2278.0300000000002</v>
      </c>
      <c r="AJ100" s="4">
        <v>11</v>
      </c>
      <c r="AK100" s="4">
        <v>2827.01</v>
      </c>
      <c r="AL100" s="4">
        <v>11</v>
      </c>
      <c r="AM100" s="4">
        <v>894</v>
      </c>
      <c r="AN100" s="4">
        <v>4</v>
      </c>
      <c r="AO100" s="4">
        <v>0</v>
      </c>
      <c r="AP100" s="4">
        <v>0</v>
      </c>
      <c r="AQ100" s="4">
        <v>1321.03</v>
      </c>
      <c r="AR100" s="4">
        <v>8</v>
      </c>
      <c r="AS100" s="4">
        <v>2410.0300000000002</v>
      </c>
      <c r="AT100" s="4">
        <v>12</v>
      </c>
      <c r="AU100" s="4">
        <v>502</v>
      </c>
      <c r="AV100" s="4">
        <v>1</v>
      </c>
      <c r="AW100" s="4">
        <v>956.94</v>
      </c>
      <c r="AX100" s="4">
        <v>5</v>
      </c>
      <c r="AY100" s="4">
        <v>3294.79</v>
      </c>
      <c r="AZ100" s="4">
        <v>10</v>
      </c>
      <c r="BA100" s="4">
        <v>2448.87</v>
      </c>
      <c r="BB100" s="4">
        <v>9</v>
      </c>
      <c r="BC100" s="4">
        <v>0</v>
      </c>
      <c r="BD100" s="4">
        <v>0</v>
      </c>
      <c r="BE100" s="4">
        <v>422.04</v>
      </c>
      <c r="BF100" s="4">
        <v>2</v>
      </c>
      <c r="BQ100" s="3">
        <f t="shared" si="4"/>
        <v>36415.049999999996</v>
      </c>
      <c r="BR100" s="3">
        <f t="shared" si="3"/>
        <v>173</v>
      </c>
    </row>
    <row r="101" spans="1:70" x14ac:dyDescent="0.25">
      <c r="A101" s="4" t="s">
        <v>2225</v>
      </c>
      <c r="B101" t="s">
        <v>28</v>
      </c>
      <c r="C101" s="338" t="s">
        <v>1704</v>
      </c>
      <c r="D101" s="213" t="s">
        <v>795</v>
      </c>
      <c r="E101" s="213" t="s">
        <v>154</v>
      </c>
      <c r="F101" s="213" t="s">
        <v>126</v>
      </c>
      <c r="G101" s="4">
        <v>2242.0500000000002</v>
      </c>
      <c r="H101" s="4">
        <v>15</v>
      </c>
      <c r="I101" s="4">
        <v>4581.1400000000003</v>
      </c>
      <c r="J101" s="4">
        <v>28</v>
      </c>
      <c r="K101" s="4">
        <v>3171.08</v>
      </c>
      <c r="L101" s="4">
        <v>26</v>
      </c>
      <c r="M101" s="4">
        <v>415.01</v>
      </c>
      <c r="N101" s="4">
        <v>2</v>
      </c>
      <c r="O101" s="4">
        <v>1223.03</v>
      </c>
      <c r="P101" s="4">
        <v>8</v>
      </c>
      <c r="Q101" s="4">
        <v>1663.02</v>
      </c>
      <c r="R101" s="4">
        <v>7</v>
      </c>
      <c r="S101" s="4">
        <v>1841.01</v>
      </c>
      <c r="T101" s="4">
        <v>16</v>
      </c>
      <c r="U101" s="4">
        <v>1990.03</v>
      </c>
      <c r="V101" s="4">
        <v>13</v>
      </c>
      <c r="W101" s="4">
        <v>1625.06</v>
      </c>
      <c r="X101" s="4">
        <v>8</v>
      </c>
      <c r="Y101" s="4">
        <v>697.02</v>
      </c>
      <c r="Z101" s="4">
        <v>6</v>
      </c>
      <c r="AA101" s="4">
        <v>370.01</v>
      </c>
      <c r="AB101" s="4">
        <v>3</v>
      </c>
      <c r="AC101" s="4">
        <v>340.01</v>
      </c>
      <c r="AD101" s="4">
        <v>2</v>
      </c>
      <c r="AE101" s="4">
        <v>1050.03</v>
      </c>
      <c r="AF101" s="4">
        <v>6</v>
      </c>
      <c r="AG101" s="4">
        <v>675.01</v>
      </c>
      <c r="AH101" s="4">
        <v>4</v>
      </c>
      <c r="AI101" s="4">
        <v>1299.02</v>
      </c>
      <c r="AJ101" s="4">
        <v>9</v>
      </c>
      <c r="AK101" s="4">
        <v>265</v>
      </c>
      <c r="AL101" s="4">
        <v>1</v>
      </c>
      <c r="AM101" s="4">
        <v>0</v>
      </c>
      <c r="AN101" s="4">
        <v>0</v>
      </c>
      <c r="AO101" s="4">
        <v>0</v>
      </c>
      <c r="AP101" s="4">
        <v>0</v>
      </c>
      <c r="AQ101" s="4">
        <v>300</v>
      </c>
      <c r="AR101" s="4">
        <v>1</v>
      </c>
      <c r="AS101" s="4">
        <v>790</v>
      </c>
      <c r="AT101" s="4">
        <v>6</v>
      </c>
      <c r="AU101" s="4">
        <v>1125.03</v>
      </c>
      <c r="AV101" s="4">
        <v>4</v>
      </c>
      <c r="AW101" s="4">
        <v>1979.9</v>
      </c>
      <c r="AX101" s="4">
        <v>11</v>
      </c>
      <c r="AY101" s="4">
        <v>1816.86</v>
      </c>
      <c r="AZ101" s="4">
        <v>9</v>
      </c>
      <c r="BA101" s="4">
        <v>3238.89</v>
      </c>
      <c r="BB101" s="4">
        <v>17</v>
      </c>
      <c r="BC101" s="4">
        <v>982.96</v>
      </c>
      <c r="BD101" s="4">
        <v>4</v>
      </c>
      <c r="BE101" s="4">
        <v>1223.06</v>
      </c>
      <c r="BF101" s="4">
        <v>6</v>
      </c>
      <c r="BQ101" s="3">
        <f t="shared" si="4"/>
        <v>34904.229999999996</v>
      </c>
      <c r="BR101" s="3">
        <f t="shared" si="3"/>
        <v>212</v>
      </c>
    </row>
    <row r="102" spans="1:70" x14ac:dyDescent="0.25">
      <c r="A102" s="4" t="s">
        <v>2226</v>
      </c>
      <c r="B102" t="s">
        <v>28</v>
      </c>
      <c r="C102" s="338" t="s">
        <v>1705</v>
      </c>
      <c r="D102" s="213" t="s">
        <v>796</v>
      </c>
      <c r="E102" s="213" t="s">
        <v>154</v>
      </c>
      <c r="F102" s="213" t="s">
        <v>126</v>
      </c>
      <c r="G102" s="4">
        <v>2540.08</v>
      </c>
      <c r="H102" s="4">
        <v>13</v>
      </c>
      <c r="I102" s="4">
        <v>2370.0500000000002</v>
      </c>
      <c r="J102" s="4">
        <v>14</v>
      </c>
      <c r="K102" s="4">
        <v>1682.02</v>
      </c>
      <c r="L102" s="4">
        <v>9</v>
      </c>
      <c r="M102" s="4">
        <v>2786.09</v>
      </c>
      <c r="N102" s="4">
        <v>15</v>
      </c>
      <c r="O102" s="4">
        <v>0</v>
      </c>
      <c r="P102" s="4">
        <v>0</v>
      </c>
      <c r="Q102" s="4">
        <v>1604</v>
      </c>
      <c r="R102" s="4">
        <v>8</v>
      </c>
      <c r="S102" s="4">
        <v>1886.05</v>
      </c>
      <c r="T102" s="4">
        <v>16</v>
      </c>
      <c r="U102" s="4">
        <v>1032.02</v>
      </c>
      <c r="V102" s="4">
        <v>6</v>
      </c>
      <c r="W102" s="4">
        <v>779.02</v>
      </c>
      <c r="X102" s="4">
        <v>5</v>
      </c>
      <c r="Y102" s="4">
        <v>1195.99</v>
      </c>
      <c r="Z102" s="4">
        <v>5</v>
      </c>
      <c r="AA102" s="4">
        <v>150</v>
      </c>
      <c r="AB102" s="4">
        <v>1</v>
      </c>
      <c r="AC102" s="4">
        <v>90</v>
      </c>
      <c r="AD102" s="4">
        <v>1</v>
      </c>
      <c r="AE102" s="4">
        <v>625.02</v>
      </c>
      <c r="AF102" s="4">
        <v>4</v>
      </c>
      <c r="AG102" s="4">
        <v>884.02</v>
      </c>
      <c r="AH102" s="4">
        <v>6</v>
      </c>
      <c r="AI102" s="4">
        <v>820.02</v>
      </c>
      <c r="AJ102" s="4">
        <v>4</v>
      </c>
      <c r="AK102" s="4">
        <v>1047.01</v>
      </c>
      <c r="AL102" s="4">
        <v>7</v>
      </c>
      <c r="AM102" s="4">
        <v>1243.02</v>
      </c>
      <c r="AN102" s="4">
        <v>7</v>
      </c>
      <c r="AO102" s="4">
        <v>375.01</v>
      </c>
      <c r="AP102" s="4">
        <v>1</v>
      </c>
      <c r="AQ102" s="4">
        <v>150</v>
      </c>
      <c r="AR102" s="4">
        <v>1</v>
      </c>
      <c r="AS102" s="4">
        <v>0</v>
      </c>
      <c r="AT102" s="4">
        <v>0</v>
      </c>
      <c r="AU102" s="4">
        <v>637.02</v>
      </c>
      <c r="AV102" s="4">
        <v>5</v>
      </c>
      <c r="AW102" s="4">
        <v>75</v>
      </c>
      <c r="AX102" s="4">
        <v>1</v>
      </c>
      <c r="AY102" s="4">
        <v>705.96</v>
      </c>
      <c r="AZ102" s="4">
        <v>4</v>
      </c>
      <c r="BA102" s="4">
        <v>1490.89</v>
      </c>
      <c r="BB102" s="4">
        <v>5</v>
      </c>
      <c r="BC102" s="4">
        <v>1195.97</v>
      </c>
      <c r="BD102" s="4">
        <v>6</v>
      </c>
      <c r="BE102" s="4">
        <v>564.01</v>
      </c>
      <c r="BF102" s="4">
        <v>4</v>
      </c>
      <c r="BQ102" s="3">
        <f t="shared" si="4"/>
        <v>25928.269999999997</v>
      </c>
      <c r="BR102" s="3">
        <f t="shared" si="3"/>
        <v>148</v>
      </c>
    </row>
    <row r="103" spans="1:70" x14ac:dyDescent="0.25">
      <c r="A103" s="4" t="s">
        <v>2227</v>
      </c>
      <c r="B103" t="s">
        <v>28</v>
      </c>
      <c r="C103" s="338" t="s">
        <v>1706</v>
      </c>
      <c r="D103" s="213" t="s">
        <v>797</v>
      </c>
      <c r="E103" s="213" t="s">
        <v>154</v>
      </c>
      <c r="F103" s="213" t="s">
        <v>126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2010.04</v>
      </c>
      <c r="AB103" s="4">
        <v>11</v>
      </c>
      <c r="AC103" s="4">
        <v>2235.0700000000002</v>
      </c>
      <c r="AD103" s="4">
        <v>10</v>
      </c>
      <c r="AE103" s="4">
        <v>0</v>
      </c>
      <c r="AF103" s="4">
        <v>0</v>
      </c>
      <c r="AG103" s="4">
        <v>2029.02</v>
      </c>
      <c r="AH103" s="4">
        <v>11</v>
      </c>
      <c r="AI103" s="4">
        <v>744</v>
      </c>
      <c r="AJ103" s="4">
        <v>5</v>
      </c>
      <c r="AK103" s="4">
        <v>1624.03</v>
      </c>
      <c r="AL103" s="4">
        <v>8</v>
      </c>
      <c r="AM103" s="4">
        <v>1165.02</v>
      </c>
      <c r="AN103" s="4">
        <v>4</v>
      </c>
      <c r="AO103" s="4">
        <v>375.01</v>
      </c>
      <c r="AP103" s="4">
        <v>2</v>
      </c>
      <c r="AQ103" s="4">
        <v>699.02</v>
      </c>
      <c r="AR103" s="4">
        <v>5</v>
      </c>
      <c r="AS103" s="4">
        <v>450</v>
      </c>
      <c r="AT103" s="4">
        <v>2</v>
      </c>
      <c r="AU103" s="4">
        <v>450.02</v>
      </c>
      <c r="AV103" s="4">
        <v>1</v>
      </c>
      <c r="AW103" s="4">
        <v>0</v>
      </c>
      <c r="AX103" s="4">
        <v>0</v>
      </c>
      <c r="AY103" s="4">
        <v>2207.84</v>
      </c>
      <c r="AZ103" s="4">
        <v>9</v>
      </c>
      <c r="BA103" s="4">
        <v>1054.9000000000001</v>
      </c>
      <c r="BB103" s="4">
        <v>5</v>
      </c>
      <c r="BC103" s="4">
        <v>2141.91</v>
      </c>
      <c r="BD103" s="4">
        <v>5</v>
      </c>
      <c r="BE103" s="4">
        <v>633.05999999999995</v>
      </c>
      <c r="BF103" s="4">
        <v>3</v>
      </c>
      <c r="BQ103" s="3">
        <f t="shared" si="4"/>
        <v>17818.940000000006</v>
      </c>
      <c r="BR103" s="3">
        <f t="shared" si="3"/>
        <v>81</v>
      </c>
    </row>
    <row r="104" spans="1:70" x14ac:dyDescent="0.25">
      <c r="A104" s="4" t="s">
        <v>2228</v>
      </c>
      <c r="B104" t="s">
        <v>28</v>
      </c>
      <c r="C104" s="338" t="s">
        <v>1707</v>
      </c>
      <c r="D104" s="213" t="s">
        <v>798</v>
      </c>
      <c r="E104" s="213" t="s">
        <v>154</v>
      </c>
      <c r="F104" s="213" t="s">
        <v>126</v>
      </c>
      <c r="G104" s="4">
        <v>0</v>
      </c>
      <c r="H104" s="4">
        <v>0</v>
      </c>
      <c r="I104" s="4">
        <v>5548.15</v>
      </c>
      <c r="J104" s="4">
        <v>33</v>
      </c>
      <c r="K104" s="4">
        <v>2692.07</v>
      </c>
      <c r="L104" s="4">
        <v>11</v>
      </c>
      <c r="M104" s="4">
        <v>1461.02</v>
      </c>
      <c r="N104" s="4">
        <v>10</v>
      </c>
      <c r="O104" s="4">
        <v>450</v>
      </c>
      <c r="P104" s="4">
        <v>3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1200.04</v>
      </c>
      <c r="X104" s="4">
        <v>7</v>
      </c>
      <c r="Y104" s="4">
        <v>1692</v>
      </c>
      <c r="Z104" s="4">
        <v>9</v>
      </c>
      <c r="AA104" s="4">
        <v>2801.05</v>
      </c>
      <c r="AB104" s="4">
        <v>12</v>
      </c>
      <c r="AC104" s="4">
        <v>1509.04</v>
      </c>
      <c r="AD104" s="4">
        <v>9</v>
      </c>
      <c r="AE104" s="4">
        <v>542.01</v>
      </c>
      <c r="AF104" s="4">
        <v>3</v>
      </c>
      <c r="AG104" s="4">
        <v>0</v>
      </c>
      <c r="AH104" s="4">
        <v>0</v>
      </c>
      <c r="AI104" s="4">
        <v>1634.03</v>
      </c>
      <c r="AJ104" s="4">
        <v>6</v>
      </c>
      <c r="AK104" s="4">
        <v>919</v>
      </c>
      <c r="AL104" s="4">
        <v>6</v>
      </c>
      <c r="AM104" s="4">
        <v>2090.0300000000002</v>
      </c>
      <c r="AN104" s="4">
        <v>10</v>
      </c>
      <c r="AO104" s="4">
        <v>1200.01</v>
      </c>
      <c r="AP104" s="4">
        <v>6</v>
      </c>
      <c r="AQ104" s="4">
        <v>450</v>
      </c>
      <c r="AR104" s="4">
        <v>3</v>
      </c>
      <c r="AS104" s="4">
        <v>175</v>
      </c>
      <c r="AT104" s="4">
        <v>1</v>
      </c>
      <c r="AU104" s="4">
        <v>600.02</v>
      </c>
      <c r="AV104" s="4">
        <v>4</v>
      </c>
      <c r="AW104" s="4">
        <v>650.95000000000005</v>
      </c>
      <c r="AX104" s="4">
        <v>4</v>
      </c>
      <c r="AY104" s="4">
        <v>1389.9</v>
      </c>
      <c r="AZ104" s="4">
        <v>5</v>
      </c>
      <c r="BA104" s="4">
        <v>1066.92</v>
      </c>
      <c r="BB104" s="4">
        <v>7</v>
      </c>
      <c r="BC104" s="4">
        <v>1585.94</v>
      </c>
      <c r="BD104" s="4">
        <v>9</v>
      </c>
      <c r="BE104" s="4">
        <v>1176.05</v>
      </c>
      <c r="BF104" s="4">
        <v>5</v>
      </c>
      <c r="BQ104" s="3">
        <f t="shared" si="4"/>
        <v>30833.229999999996</v>
      </c>
      <c r="BR104" s="3">
        <f t="shared" si="3"/>
        <v>163</v>
      </c>
    </row>
    <row r="105" spans="1:70" x14ac:dyDescent="0.25">
      <c r="A105" s="4" t="s">
        <v>2229</v>
      </c>
      <c r="B105" t="s">
        <v>28</v>
      </c>
      <c r="C105" s="338" t="s">
        <v>1708</v>
      </c>
      <c r="D105" s="213" t="s">
        <v>799</v>
      </c>
      <c r="E105" s="213" t="s">
        <v>154</v>
      </c>
      <c r="F105" s="213" t="s">
        <v>126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865.03</v>
      </c>
      <c r="X105" s="4">
        <v>5</v>
      </c>
      <c r="Y105" s="4">
        <v>375</v>
      </c>
      <c r="Z105" s="4">
        <v>3</v>
      </c>
      <c r="AA105" s="4">
        <v>75</v>
      </c>
      <c r="AB105" s="4">
        <v>1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Q105" s="3">
        <f t="shared" si="4"/>
        <v>1315.03</v>
      </c>
      <c r="BR105" s="3">
        <f t="shared" si="3"/>
        <v>9</v>
      </c>
    </row>
    <row r="106" spans="1:70" x14ac:dyDescent="0.25">
      <c r="A106" s="4" t="s">
        <v>2230</v>
      </c>
      <c r="B106" t="s">
        <v>28</v>
      </c>
      <c r="C106" s="338" t="s">
        <v>1709</v>
      </c>
      <c r="D106" s="213" t="s">
        <v>800</v>
      </c>
      <c r="E106" s="213" t="s">
        <v>154</v>
      </c>
      <c r="F106" s="213" t="s">
        <v>126</v>
      </c>
      <c r="G106" s="4">
        <v>1999.03</v>
      </c>
      <c r="H106" s="4">
        <v>14</v>
      </c>
      <c r="I106" s="4">
        <v>1629.01</v>
      </c>
      <c r="J106" s="4">
        <v>9</v>
      </c>
      <c r="K106" s="4">
        <v>1644.05</v>
      </c>
      <c r="L106" s="4">
        <v>9</v>
      </c>
      <c r="M106" s="4">
        <v>4336.08</v>
      </c>
      <c r="N106" s="4">
        <v>25</v>
      </c>
      <c r="O106" s="4">
        <v>1599.99</v>
      </c>
      <c r="P106" s="4">
        <v>6</v>
      </c>
      <c r="Q106" s="4">
        <v>0</v>
      </c>
      <c r="R106" s="4">
        <v>0</v>
      </c>
      <c r="S106" s="4">
        <v>412.01</v>
      </c>
      <c r="T106" s="4">
        <v>3</v>
      </c>
      <c r="U106" s="4">
        <v>525.01</v>
      </c>
      <c r="V106" s="4">
        <v>4</v>
      </c>
      <c r="W106" s="4">
        <v>1883.03</v>
      </c>
      <c r="X106" s="4">
        <v>9</v>
      </c>
      <c r="Y106" s="4">
        <v>750.02</v>
      </c>
      <c r="Z106" s="4">
        <v>5</v>
      </c>
      <c r="AA106" s="4">
        <v>1099.01</v>
      </c>
      <c r="AB106" s="4">
        <v>8</v>
      </c>
      <c r="AC106" s="4">
        <v>225</v>
      </c>
      <c r="AD106" s="4">
        <v>2</v>
      </c>
      <c r="AE106" s="4">
        <v>0</v>
      </c>
      <c r="AF106" s="4">
        <v>0</v>
      </c>
      <c r="AG106" s="4">
        <v>1915.04</v>
      </c>
      <c r="AH106" s="4">
        <v>6</v>
      </c>
      <c r="AI106" s="4">
        <v>825.02</v>
      </c>
      <c r="AJ106" s="4">
        <v>6</v>
      </c>
      <c r="AK106" s="4">
        <v>1860.02</v>
      </c>
      <c r="AL106" s="4">
        <v>9</v>
      </c>
      <c r="AM106" s="4">
        <v>749.99</v>
      </c>
      <c r="AN106" s="4">
        <v>3</v>
      </c>
      <c r="AO106" s="4">
        <v>1371.01</v>
      </c>
      <c r="AP106" s="4">
        <v>8</v>
      </c>
      <c r="AQ106" s="4">
        <v>0</v>
      </c>
      <c r="AR106" s="4">
        <v>0</v>
      </c>
      <c r="AS106" s="4">
        <v>1044.03</v>
      </c>
      <c r="AT106" s="4">
        <v>8</v>
      </c>
      <c r="AU106" s="4">
        <v>825.02</v>
      </c>
      <c r="AV106" s="4">
        <v>6</v>
      </c>
      <c r="AW106" s="4">
        <v>1990.91</v>
      </c>
      <c r="AX106" s="4">
        <v>10</v>
      </c>
      <c r="AY106" s="4">
        <v>2145.87</v>
      </c>
      <c r="AZ106" s="4">
        <v>9</v>
      </c>
      <c r="BA106" s="4">
        <v>2962.75</v>
      </c>
      <c r="BB106" s="4">
        <v>4</v>
      </c>
      <c r="BC106" s="4">
        <v>210.98</v>
      </c>
      <c r="BD106" s="4">
        <v>1</v>
      </c>
      <c r="BE106" s="4">
        <v>0</v>
      </c>
      <c r="BF106" s="4">
        <v>0</v>
      </c>
      <c r="BQ106" s="3">
        <f t="shared" si="4"/>
        <v>32002.880000000001</v>
      </c>
      <c r="BR106" s="3">
        <f t="shared" si="3"/>
        <v>164</v>
      </c>
    </row>
    <row r="107" spans="1:70" x14ac:dyDescent="0.25">
      <c r="A107" s="4" t="s">
        <v>2231</v>
      </c>
      <c r="B107" t="s">
        <v>28</v>
      </c>
      <c r="C107" s="338" t="s">
        <v>1710</v>
      </c>
      <c r="D107" s="213" t="s">
        <v>801</v>
      </c>
      <c r="E107" s="213" t="s">
        <v>154</v>
      </c>
      <c r="F107" s="213" t="s">
        <v>126</v>
      </c>
      <c r="G107" s="4">
        <v>5372.06</v>
      </c>
      <c r="H107" s="4">
        <v>40</v>
      </c>
      <c r="I107" s="4">
        <v>96</v>
      </c>
      <c r="J107" s="4">
        <v>1</v>
      </c>
      <c r="K107" s="4">
        <v>3434.06</v>
      </c>
      <c r="L107" s="4">
        <v>15</v>
      </c>
      <c r="M107" s="4">
        <v>3094.08</v>
      </c>
      <c r="N107" s="4">
        <v>16</v>
      </c>
      <c r="O107" s="4">
        <v>1386.02</v>
      </c>
      <c r="P107" s="4">
        <v>9</v>
      </c>
      <c r="Q107" s="4">
        <v>2303.9899999999998</v>
      </c>
      <c r="R107" s="4">
        <v>11</v>
      </c>
      <c r="S107" s="4">
        <v>0</v>
      </c>
      <c r="T107" s="4">
        <v>0</v>
      </c>
      <c r="U107" s="4">
        <v>2690.03</v>
      </c>
      <c r="V107" s="4">
        <v>13</v>
      </c>
      <c r="W107" s="4">
        <v>2252.04</v>
      </c>
      <c r="X107" s="4">
        <v>13</v>
      </c>
      <c r="Y107" s="4">
        <v>1073</v>
      </c>
      <c r="Z107" s="4">
        <v>8</v>
      </c>
      <c r="AA107" s="4">
        <v>1161.99</v>
      </c>
      <c r="AB107" s="4">
        <v>3</v>
      </c>
      <c r="AC107" s="4">
        <v>150</v>
      </c>
      <c r="AD107" s="4">
        <v>1</v>
      </c>
      <c r="AE107" s="4">
        <v>0</v>
      </c>
      <c r="AF107" s="4">
        <v>0</v>
      </c>
      <c r="AG107" s="4">
        <v>2904.03</v>
      </c>
      <c r="AH107" s="4">
        <v>14</v>
      </c>
      <c r="AI107" s="4">
        <v>898</v>
      </c>
      <c r="AJ107" s="4">
        <v>3</v>
      </c>
      <c r="AK107" s="4">
        <v>1247.99</v>
      </c>
      <c r="AL107" s="4">
        <v>4</v>
      </c>
      <c r="AM107" s="4">
        <v>1342.05</v>
      </c>
      <c r="AN107" s="4">
        <v>8</v>
      </c>
      <c r="AO107" s="4">
        <v>643.02</v>
      </c>
      <c r="AP107" s="4">
        <v>2</v>
      </c>
      <c r="AQ107" s="4">
        <v>587.01</v>
      </c>
      <c r="AR107" s="4">
        <v>2</v>
      </c>
      <c r="AS107" s="4">
        <v>0</v>
      </c>
      <c r="AT107" s="4">
        <v>0</v>
      </c>
      <c r="AU107" s="4">
        <v>0</v>
      </c>
      <c r="AV107" s="4">
        <v>0</v>
      </c>
      <c r="AW107" s="4">
        <v>2564.9</v>
      </c>
      <c r="AX107" s="4">
        <v>7</v>
      </c>
      <c r="AY107" s="4">
        <v>1599.9</v>
      </c>
      <c r="AZ107" s="4">
        <v>3</v>
      </c>
      <c r="BA107" s="4">
        <v>1370.92</v>
      </c>
      <c r="BB107" s="4">
        <v>6</v>
      </c>
      <c r="BC107" s="4">
        <v>520.96</v>
      </c>
      <c r="BD107" s="4">
        <v>3</v>
      </c>
      <c r="BE107" s="4">
        <v>0</v>
      </c>
      <c r="BF107" s="4">
        <v>0</v>
      </c>
      <c r="BQ107" s="3">
        <f t="shared" si="4"/>
        <v>36692.050000000003</v>
      </c>
      <c r="BR107" s="3">
        <f t="shared" si="3"/>
        <v>182</v>
      </c>
    </row>
    <row r="108" spans="1:70" x14ac:dyDescent="0.25">
      <c r="A108" s="4" t="s">
        <v>2232</v>
      </c>
      <c r="B108" t="s">
        <v>29</v>
      </c>
      <c r="C108" s="338" t="s">
        <v>1711</v>
      </c>
      <c r="D108" s="213" t="s">
        <v>802</v>
      </c>
      <c r="E108" s="213" t="s">
        <v>164</v>
      </c>
      <c r="F108" s="213" t="s">
        <v>129</v>
      </c>
      <c r="G108" s="4">
        <v>1241.02</v>
      </c>
      <c r="H108" s="4">
        <v>10</v>
      </c>
      <c r="I108" s="4">
        <v>0</v>
      </c>
      <c r="J108" s="4">
        <v>0</v>
      </c>
      <c r="K108" s="4">
        <v>2676</v>
      </c>
      <c r="L108" s="4">
        <v>16</v>
      </c>
      <c r="M108" s="4">
        <v>2801.93</v>
      </c>
      <c r="N108" s="4">
        <v>15</v>
      </c>
      <c r="O108" s="4">
        <v>1503.02</v>
      </c>
      <c r="P108" s="4">
        <v>12</v>
      </c>
      <c r="Q108" s="4">
        <v>1090.01</v>
      </c>
      <c r="R108" s="4">
        <v>7</v>
      </c>
      <c r="S108" s="4">
        <v>0</v>
      </c>
      <c r="T108" s="4">
        <v>0</v>
      </c>
      <c r="U108" s="4">
        <v>1394</v>
      </c>
      <c r="V108" s="4">
        <v>13</v>
      </c>
      <c r="W108" s="4">
        <v>1973.03</v>
      </c>
      <c r="X108" s="4">
        <v>15</v>
      </c>
      <c r="Y108" s="4">
        <v>2574.0300000000002</v>
      </c>
      <c r="Z108" s="4">
        <v>15</v>
      </c>
      <c r="AA108" s="4">
        <v>374.99</v>
      </c>
      <c r="AB108" s="4">
        <v>4</v>
      </c>
      <c r="AC108" s="4">
        <v>1906</v>
      </c>
      <c r="AD108" s="4">
        <v>14</v>
      </c>
      <c r="AE108" s="4">
        <v>949.01</v>
      </c>
      <c r="AF108" s="4">
        <v>8</v>
      </c>
      <c r="AG108" s="4">
        <v>0</v>
      </c>
      <c r="AH108" s="4">
        <v>0</v>
      </c>
      <c r="AI108" s="4">
        <v>1044.99</v>
      </c>
      <c r="AJ108" s="4">
        <v>8</v>
      </c>
      <c r="AK108" s="4">
        <v>1242</v>
      </c>
      <c r="AL108" s="4">
        <v>9</v>
      </c>
      <c r="AM108" s="4">
        <v>865</v>
      </c>
      <c r="AN108" s="4">
        <v>7</v>
      </c>
      <c r="AO108" s="4">
        <v>521</v>
      </c>
      <c r="AP108" s="4">
        <v>6</v>
      </c>
      <c r="AQ108" s="4">
        <v>1460</v>
      </c>
      <c r="AR108" s="4">
        <v>8</v>
      </c>
      <c r="AS108" s="4">
        <v>600.01</v>
      </c>
      <c r="AT108" s="4">
        <v>5</v>
      </c>
      <c r="AU108" s="4">
        <v>0</v>
      </c>
      <c r="AV108" s="4">
        <v>0</v>
      </c>
      <c r="AW108" s="4">
        <v>646.96</v>
      </c>
      <c r="AX108" s="4">
        <v>6</v>
      </c>
      <c r="AY108" s="4">
        <v>721.97</v>
      </c>
      <c r="AZ108" s="4">
        <v>5</v>
      </c>
      <c r="BA108" s="4">
        <v>857</v>
      </c>
      <c r="BB108" s="4">
        <v>9</v>
      </c>
      <c r="BC108" s="4">
        <v>210.98</v>
      </c>
      <c r="BD108" s="4">
        <v>1</v>
      </c>
      <c r="BE108" s="4">
        <v>286.02</v>
      </c>
      <c r="BF108" s="4">
        <v>2</v>
      </c>
      <c r="BQ108" s="3">
        <f t="shared" si="4"/>
        <v>26938.969999999998</v>
      </c>
      <c r="BR108" s="3">
        <f t="shared" si="3"/>
        <v>195</v>
      </c>
    </row>
    <row r="109" spans="1:70" x14ac:dyDescent="0.25">
      <c r="A109" s="4" t="s">
        <v>2233</v>
      </c>
      <c r="B109" t="s">
        <v>29</v>
      </c>
      <c r="C109" s="338" t="s">
        <v>1712</v>
      </c>
      <c r="D109" s="213" t="s">
        <v>803</v>
      </c>
      <c r="E109" s="213" t="s">
        <v>164</v>
      </c>
      <c r="F109" s="213" t="s">
        <v>129</v>
      </c>
      <c r="G109" s="4">
        <v>3687.03</v>
      </c>
      <c r="H109" s="4">
        <v>25</v>
      </c>
      <c r="I109" s="4">
        <v>3436.05</v>
      </c>
      <c r="J109" s="4">
        <v>28</v>
      </c>
      <c r="K109" s="4">
        <v>750.03</v>
      </c>
      <c r="L109" s="4">
        <v>5</v>
      </c>
      <c r="M109" s="4">
        <v>1495.03</v>
      </c>
      <c r="N109" s="4">
        <v>7</v>
      </c>
      <c r="O109" s="4">
        <v>615.02</v>
      </c>
      <c r="P109" s="4">
        <v>4</v>
      </c>
      <c r="Q109" s="4">
        <v>1174.03</v>
      </c>
      <c r="R109" s="4">
        <v>6</v>
      </c>
      <c r="S109" s="4">
        <v>300</v>
      </c>
      <c r="T109" s="4">
        <v>2</v>
      </c>
      <c r="U109" s="4">
        <v>997.04</v>
      </c>
      <c r="V109" s="4">
        <v>7</v>
      </c>
      <c r="W109" s="4">
        <v>0</v>
      </c>
      <c r="X109" s="4">
        <v>0</v>
      </c>
      <c r="Y109" s="4">
        <v>943.02</v>
      </c>
      <c r="Z109" s="4">
        <v>6</v>
      </c>
      <c r="AA109" s="4">
        <v>640.01</v>
      </c>
      <c r="AB109" s="4">
        <v>5</v>
      </c>
      <c r="AC109" s="4">
        <v>450</v>
      </c>
      <c r="AD109" s="4">
        <v>3</v>
      </c>
      <c r="AE109" s="4">
        <v>450</v>
      </c>
      <c r="AF109" s="4">
        <v>4</v>
      </c>
      <c r="AG109" s="4">
        <v>375</v>
      </c>
      <c r="AH109" s="4">
        <v>2</v>
      </c>
      <c r="AI109" s="4">
        <v>818.01</v>
      </c>
      <c r="AJ109" s="4">
        <v>6</v>
      </c>
      <c r="AK109" s="4">
        <v>0</v>
      </c>
      <c r="AL109" s="4">
        <v>0</v>
      </c>
      <c r="AM109" s="4">
        <v>450</v>
      </c>
      <c r="AN109" s="4">
        <v>3</v>
      </c>
      <c r="AO109" s="4">
        <v>375</v>
      </c>
      <c r="AP109" s="4">
        <v>3</v>
      </c>
      <c r="AQ109" s="4">
        <v>608.01</v>
      </c>
      <c r="AR109" s="4">
        <v>5</v>
      </c>
      <c r="AS109" s="4">
        <v>600</v>
      </c>
      <c r="AT109" s="4">
        <v>5</v>
      </c>
      <c r="AU109" s="4">
        <v>75</v>
      </c>
      <c r="AV109" s="4">
        <v>1</v>
      </c>
      <c r="AW109" s="4">
        <v>1056.95</v>
      </c>
      <c r="AX109" s="4">
        <v>7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Q109" s="3">
        <f t="shared" si="4"/>
        <v>19295.23</v>
      </c>
      <c r="BR109" s="3">
        <f t="shared" si="3"/>
        <v>134</v>
      </c>
    </row>
    <row r="110" spans="1:70" x14ac:dyDescent="0.25">
      <c r="A110" s="4" t="s">
        <v>2234</v>
      </c>
      <c r="B110" t="s">
        <v>29</v>
      </c>
      <c r="C110" s="338" t="s">
        <v>1713</v>
      </c>
      <c r="D110" s="213" t="s">
        <v>804</v>
      </c>
      <c r="E110" s="213" t="s">
        <v>164</v>
      </c>
      <c r="F110" s="213" t="s">
        <v>129</v>
      </c>
      <c r="G110" s="4">
        <v>2952.08</v>
      </c>
      <c r="H110" s="4">
        <v>19</v>
      </c>
      <c r="I110" s="4">
        <v>3732.13</v>
      </c>
      <c r="J110" s="4">
        <v>25</v>
      </c>
      <c r="K110" s="4">
        <v>1925.06</v>
      </c>
      <c r="L110" s="4">
        <v>16</v>
      </c>
      <c r="M110" s="4">
        <v>1800.04</v>
      </c>
      <c r="N110" s="4">
        <v>10</v>
      </c>
      <c r="O110" s="4">
        <v>300</v>
      </c>
      <c r="P110" s="4">
        <v>2</v>
      </c>
      <c r="Q110" s="4">
        <v>1350.05</v>
      </c>
      <c r="R110" s="4">
        <v>8</v>
      </c>
      <c r="S110" s="4">
        <v>2725.03</v>
      </c>
      <c r="T110" s="4">
        <v>24</v>
      </c>
      <c r="U110" s="4">
        <v>1322</v>
      </c>
      <c r="V110" s="4">
        <v>10</v>
      </c>
      <c r="W110" s="4">
        <v>1524.04</v>
      </c>
      <c r="X110" s="4">
        <v>14</v>
      </c>
      <c r="Y110" s="4">
        <v>300</v>
      </c>
      <c r="Z110" s="4">
        <v>2</v>
      </c>
      <c r="AA110" s="4">
        <v>1149.02</v>
      </c>
      <c r="AB110" s="4">
        <v>8</v>
      </c>
      <c r="AC110" s="4">
        <v>0</v>
      </c>
      <c r="AD110" s="4">
        <v>0</v>
      </c>
      <c r="AE110" s="4">
        <v>1500.01</v>
      </c>
      <c r="AF110" s="4">
        <v>11</v>
      </c>
      <c r="AG110" s="4">
        <v>990.01</v>
      </c>
      <c r="AH110" s="4">
        <v>11</v>
      </c>
      <c r="AI110" s="4">
        <v>1871</v>
      </c>
      <c r="AJ110" s="4">
        <v>15</v>
      </c>
      <c r="AK110" s="4">
        <v>1204.01</v>
      </c>
      <c r="AL110" s="4">
        <v>9</v>
      </c>
      <c r="AM110" s="4">
        <v>801</v>
      </c>
      <c r="AN110" s="4">
        <v>6</v>
      </c>
      <c r="AO110" s="4">
        <v>675</v>
      </c>
      <c r="AP110" s="4">
        <v>5</v>
      </c>
      <c r="AQ110" s="4">
        <v>0</v>
      </c>
      <c r="AR110" s="4">
        <v>0</v>
      </c>
      <c r="AS110" s="4">
        <v>825</v>
      </c>
      <c r="AT110" s="4">
        <v>6</v>
      </c>
      <c r="AU110" s="4">
        <v>994.02</v>
      </c>
      <c r="AV110" s="4">
        <v>8</v>
      </c>
      <c r="AW110" s="4">
        <v>1081.95</v>
      </c>
      <c r="AX110" s="4">
        <v>6</v>
      </c>
      <c r="AY110" s="4">
        <v>1980.9</v>
      </c>
      <c r="AZ110" s="4">
        <v>14</v>
      </c>
      <c r="BA110" s="4">
        <v>785.97</v>
      </c>
      <c r="BB110" s="4">
        <v>5</v>
      </c>
      <c r="BC110" s="4">
        <v>718.98</v>
      </c>
      <c r="BD110" s="4">
        <v>5</v>
      </c>
      <c r="BE110" s="4">
        <v>211.02</v>
      </c>
      <c r="BF110" s="4">
        <v>1</v>
      </c>
      <c r="BQ110" s="3">
        <f t="shared" si="4"/>
        <v>32718.32</v>
      </c>
      <c r="BR110" s="3">
        <f t="shared" si="3"/>
        <v>240</v>
      </c>
    </row>
    <row r="111" spans="1:70" x14ac:dyDescent="0.25">
      <c r="A111" s="4" t="s">
        <v>2235</v>
      </c>
      <c r="B111" t="s">
        <v>30</v>
      </c>
      <c r="C111" s="338" t="s">
        <v>1714</v>
      </c>
      <c r="D111" s="213" t="s">
        <v>805</v>
      </c>
      <c r="E111" s="213" t="s">
        <v>151</v>
      </c>
      <c r="F111" s="213" t="s">
        <v>126</v>
      </c>
      <c r="G111" s="4">
        <v>3249.07</v>
      </c>
      <c r="H111" s="4">
        <v>25</v>
      </c>
      <c r="I111" s="4">
        <v>3088.09</v>
      </c>
      <c r="J111" s="4">
        <v>25</v>
      </c>
      <c r="K111" s="4">
        <v>2814.09</v>
      </c>
      <c r="L111" s="4">
        <v>19</v>
      </c>
      <c r="M111" s="4">
        <v>150.01</v>
      </c>
      <c r="N111" s="4">
        <v>1</v>
      </c>
      <c r="O111" s="4">
        <v>1934.01</v>
      </c>
      <c r="P111" s="4">
        <v>11</v>
      </c>
      <c r="Q111" s="4">
        <v>1009</v>
      </c>
      <c r="R111" s="4">
        <v>8</v>
      </c>
      <c r="S111" s="4">
        <v>562</v>
      </c>
      <c r="T111" s="4">
        <v>5</v>
      </c>
      <c r="U111" s="4">
        <v>1784.03</v>
      </c>
      <c r="V111" s="4">
        <v>11</v>
      </c>
      <c r="W111" s="4">
        <v>2078.0500000000002</v>
      </c>
      <c r="X111" s="4">
        <v>13</v>
      </c>
      <c r="Y111" s="4">
        <v>1590.06</v>
      </c>
      <c r="Z111" s="4">
        <v>9</v>
      </c>
      <c r="AA111" s="4">
        <v>0</v>
      </c>
      <c r="AB111" s="4">
        <v>0</v>
      </c>
      <c r="AC111" s="4">
        <v>2756.01</v>
      </c>
      <c r="AD111" s="4">
        <v>17</v>
      </c>
      <c r="AE111" s="4">
        <v>2192.0100000000002</v>
      </c>
      <c r="AF111" s="4">
        <v>16</v>
      </c>
      <c r="AG111" s="4">
        <v>2280.04</v>
      </c>
      <c r="AH111" s="4">
        <v>17</v>
      </c>
      <c r="AI111" s="4">
        <v>830.01</v>
      </c>
      <c r="AJ111" s="4">
        <v>7</v>
      </c>
      <c r="AK111" s="4">
        <v>2495.02</v>
      </c>
      <c r="AL111" s="4">
        <v>17</v>
      </c>
      <c r="AM111" s="4">
        <v>1495.04</v>
      </c>
      <c r="AN111" s="4">
        <v>10</v>
      </c>
      <c r="AO111" s="4">
        <v>1448.02</v>
      </c>
      <c r="AP111" s="4">
        <v>10</v>
      </c>
      <c r="AQ111" s="4">
        <v>775.01</v>
      </c>
      <c r="AR111" s="4">
        <v>6</v>
      </c>
      <c r="AS111" s="4">
        <v>0</v>
      </c>
      <c r="AT111" s="4">
        <v>0</v>
      </c>
      <c r="AU111" s="4">
        <v>0</v>
      </c>
      <c r="AV111" s="4">
        <v>0</v>
      </c>
      <c r="AW111" s="4">
        <v>1009.01</v>
      </c>
      <c r="AX111" s="4">
        <v>9</v>
      </c>
      <c r="AY111" s="4">
        <v>2093.9</v>
      </c>
      <c r="AZ111" s="4">
        <v>15</v>
      </c>
      <c r="BA111" s="4">
        <v>1177.97</v>
      </c>
      <c r="BB111" s="4">
        <v>8</v>
      </c>
      <c r="BC111" s="4">
        <v>1863.91</v>
      </c>
      <c r="BD111" s="4">
        <v>11</v>
      </c>
      <c r="BE111" s="4">
        <v>757.03</v>
      </c>
      <c r="BF111" s="4">
        <v>7</v>
      </c>
      <c r="BQ111" s="3">
        <f t="shared" si="4"/>
        <v>39431.390000000014</v>
      </c>
      <c r="BR111" s="3">
        <f t="shared" si="3"/>
        <v>277</v>
      </c>
    </row>
    <row r="112" spans="1:70" x14ac:dyDescent="0.25">
      <c r="A112" s="4" t="s">
        <v>2236</v>
      </c>
      <c r="B112" t="s">
        <v>30</v>
      </c>
      <c r="C112" s="338" t="s">
        <v>1715</v>
      </c>
      <c r="D112" s="213" t="s">
        <v>806</v>
      </c>
      <c r="E112" s="213" t="s">
        <v>151</v>
      </c>
      <c r="F112" s="213" t="s">
        <v>126</v>
      </c>
      <c r="G112" s="4">
        <v>0</v>
      </c>
      <c r="H112" s="4">
        <v>0</v>
      </c>
      <c r="I112" s="4">
        <v>1015.03</v>
      </c>
      <c r="J112" s="4">
        <v>6</v>
      </c>
      <c r="K112" s="4">
        <v>292.02</v>
      </c>
      <c r="L112" s="4">
        <v>2</v>
      </c>
      <c r="M112" s="4">
        <v>0</v>
      </c>
      <c r="N112" s="4">
        <v>0</v>
      </c>
      <c r="O112" s="4">
        <v>0</v>
      </c>
      <c r="P112" s="4">
        <v>0</v>
      </c>
      <c r="Q112" s="4">
        <v>525.02</v>
      </c>
      <c r="R112" s="4">
        <v>5</v>
      </c>
      <c r="S112" s="4">
        <v>1047.02</v>
      </c>
      <c r="T112" s="4">
        <v>5</v>
      </c>
      <c r="U112" s="4">
        <v>0</v>
      </c>
      <c r="V112" s="4">
        <v>0</v>
      </c>
      <c r="W112" s="4">
        <v>540</v>
      </c>
      <c r="X112" s="4">
        <v>3</v>
      </c>
      <c r="Y112" s="4">
        <v>464.01</v>
      </c>
      <c r="Z112" s="4">
        <v>5</v>
      </c>
      <c r="AA112" s="4">
        <v>785.01</v>
      </c>
      <c r="AB112" s="4">
        <v>4</v>
      </c>
      <c r="AC112" s="4">
        <v>1478.02</v>
      </c>
      <c r="AD112" s="4">
        <v>8</v>
      </c>
      <c r="AE112" s="4">
        <v>0</v>
      </c>
      <c r="AF112" s="4">
        <v>0</v>
      </c>
      <c r="AG112" s="4">
        <v>499.02</v>
      </c>
      <c r="AH112" s="4">
        <v>3</v>
      </c>
      <c r="AI112" s="4">
        <v>450</v>
      </c>
      <c r="AJ112" s="4">
        <v>2</v>
      </c>
      <c r="AK112" s="4">
        <v>0</v>
      </c>
      <c r="AL112" s="4">
        <v>0</v>
      </c>
      <c r="AM112" s="4">
        <v>699.99</v>
      </c>
      <c r="AN112" s="4">
        <v>3</v>
      </c>
      <c r="AO112" s="4">
        <v>75</v>
      </c>
      <c r="AP112" s="4">
        <v>1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Q112" s="3">
        <f t="shared" si="4"/>
        <v>7870.1400000000012</v>
      </c>
      <c r="BR112" s="3">
        <f t="shared" si="3"/>
        <v>47</v>
      </c>
    </row>
    <row r="113" spans="1:70" x14ac:dyDescent="0.25">
      <c r="A113" s="4" t="s">
        <v>2237</v>
      </c>
      <c r="B113" t="s">
        <v>30</v>
      </c>
      <c r="C113" s="338" t="s">
        <v>1716</v>
      </c>
      <c r="D113" s="213" t="s">
        <v>807</v>
      </c>
      <c r="E113" s="213" t="s">
        <v>151</v>
      </c>
      <c r="F113" s="213" t="s">
        <v>126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2189.0500000000002</v>
      </c>
      <c r="AJ113" s="4">
        <v>12</v>
      </c>
      <c r="AK113" s="4">
        <v>2251.04</v>
      </c>
      <c r="AL113" s="4">
        <v>15</v>
      </c>
      <c r="AM113" s="4">
        <v>1425.04</v>
      </c>
      <c r="AN113" s="4">
        <v>8</v>
      </c>
      <c r="AO113" s="4">
        <v>1324.05</v>
      </c>
      <c r="AP113" s="4">
        <v>7</v>
      </c>
      <c r="AQ113" s="4">
        <v>1016</v>
      </c>
      <c r="AR113" s="4">
        <v>8</v>
      </c>
      <c r="AS113" s="4">
        <v>150</v>
      </c>
      <c r="AT113" s="4">
        <v>1</v>
      </c>
      <c r="AU113" s="4">
        <v>0</v>
      </c>
      <c r="AV113" s="4">
        <v>0</v>
      </c>
      <c r="AW113" s="4">
        <v>300</v>
      </c>
      <c r="AX113" s="4">
        <v>2</v>
      </c>
      <c r="AY113" s="4">
        <v>1049.98</v>
      </c>
      <c r="AZ113" s="4">
        <v>7</v>
      </c>
      <c r="BA113" s="4">
        <v>447.01</v>
      </c>
      <c r="BB113" s="4">
        <v>3</v>
      </c>
      <c r="BC113" s="4">
        <v>150</v>
      </c>
      <c r="BD113" s="4">
        <v>1</v>
      </c>
      <c r="BE113" s="4">
        <v>1326.07</v>
      </c>
      <c r="BF113" s="4">
        <v>9</v>
      </c>
      <c r="BQ113" s="3">
        <f t="shared" si="4"/>
        <v>11628.24</v>
      </c>
      <c r="BR113" s="3">
        <f t="shared" si="3"/>
        <v>73</v>
      </c>
    </row>
    <row r="114" spans="1:70" x14ac:dyDescent="0.25">
      <c r="A114" s="4" t="s">
        <v>2238</v>
      </c>
      <c r="B114" t="s">
        <v>30</v>
      </c>
      <c r="C114" s="338" t="s">
        <v>1717</v>
      </c>
      <c r="D114" s="213" t="s">
        <v>808</v>
      </c>
      <c r="E114" s="213" t="s">
        <v>151</v>
      </c>
      <c r="F114" s="213" t="s">
        <v>126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3635.04</v>
      </c>
      <c r="N114" s="4">
        <v>20</v>
      </c>
      <c r="O114" s="4">
        <v>2369.0700000000002</v>
      </c>
      <c r="P114" s="4">
        <v>14</v>
      </c>
      <c r="Q114" s="4">
        <v>362</v>
      </c>
      <c r="R114" s="4">
        <v>3</v>
      </c>
      <c r="S114" s="4">
        <v>2030.05</v>
      </c>
      <c r="T114" s="4">
        <v>15</v>
      </c>
      <c r="U114" s="4">
        <v>1200</v>
      </c>
      <c r="V114" s="4">
        <v>9</v>
      </c>
      <c r="W114" s="4">
        <v>105.99</v>
      </c>
      <c r="X114" s="4">
        <v>1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Q114" s="3">
        <f t="shared" si="4"/>
        <v>9702.15</v>
      </c>
      <c r="BR114" s="3">
        <f t="shared" si="3"/>
        <v>62</v>
      </c>
    </row>
    <row r="115" spans="1:70" x14ac:dyDescent="0.25">
      <c r="A115" s="4" t="s">
        <v>2239</v>
      </c>
      <c r="B115" t="s">
        <v>30</v>
      </c>
      <c r="C115" s="338" t="s">
        <v>1718</v>
      </c>
      <c r="D115" s="213" t="s">
        <v>809</v>
      </c>
      <c r="E115" s="213" t="s">
        <v>151</v>
      </c>
      <c r="F115" s="213" t="s">
        <v>126</v>
      </c>
      <c r="G115" s="4">
        <v>791</v>
      </c>
      <c r="H115" s="4">
        <v>6</v>
      </c>
      <c r="I115" s="4">
        <v>583.02</v>
      </c>
      <c r="J115" s="4">
        <v>5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880.02</v>
      </c>
      <c r="AR115" s="4">
        <v>7</v>
      </c>
      <c r="AS115" s="4">
        <v>0</v>
      </c>
      <c r="AT115" s="4">
        <v>0</v>
      </c>
      <c r="AU115" s="4">
        <v>2454.0500000000002</v>
      </c>
      <c r="AV115" s="4">
        <v>18</v>
      </c>
      <c r="AW115" s="4">
        <v>1808.9</v>
      </c>
      <c r="AX115" s="4">
        <v>11</v>
      </c>
      <c r="AY115" s="4">
        <v>0</v>
      </c>
      <c r="AZ115" s="4">
        <v>0</v>
      </c>
      <c r="BA115" s="4">
        <v>1480.92</v>
      </c>
      <c r="BB115" s="4">
        <v>10</v>
      </c>
      <c r="BC115" s="4">
        <v>0</v>
      </c>
      <c r="BD115" s="4">
        <v>0</v>
      </c>
      <c r="BE115" s="4">
        <v>919.08</v>
      </c>
      <c r="BF115" s="4">
        <v>5</v>
      </c>
      <c r="BQ115" s="3">
        <f t="shared" si="4"/>
        <v>8916.99</v>
      </c>
      <c r="BR115" s="3">
        <f t="shared" si="3"/>
        <v>62</v>
      </c>
    </row>
    <row r="116" spans="1:70" x14ac:dyDescent="0.25">
      <c r="A116" s="4" t="s">
        <v>2240</v>
      </c>
      <c r="B116" t="s">
        <v>30</v>
      </c>
      <c r="C116" s="338" t="s">
        <v>1719</v>
      </c>
      <c r="D116" s="213" t="s">
        <v>810</v>
      </c>
      <c r="E116" s="213" t="s">
        <v>151</v>
      </c>
      <c r="F116" s="213" t="s">
        <v>126</v>
      </c>
      <c r="G116" s="4">
        <v>3542.01</v>
      </c>
      <c r="H116" s="4">
        <v>30</v>
      </c>
      <c r="I116" s="4">
        <v>759.01</v>
      </c>
      <c r="J116" s="4">
        <v>7</v>
      </c>
      <c r="K116" s="4">
        <v>1923.06</v>
      </c>
      <c r="L116" s="4">
        <v>16</v>
      </c>
      <c r="M116" s="4">
        <v>676.02</v>
      </c>
      <c r="N116" s="4">
        <v>6</v>
      </c>
      <c r="O116" s="4">
        <v>0</v>
      </c>
      <c r="P116" s="4">
        <v>0</v>
      </c>
      <c r="Q116" s="4">
        <v>2692.05</v>
      </c>
      <c r="R116" s="4">
        <v>16</v>
      </c>
      <c r="S116" s="4">
        <v>2041.03</v>
      </c>
      <c r="T116" s="4">
        <v>13</v>
      </c>
      <c r="U116" s="4">
        <v>1951.02</v>
      </c>
      <c r="V116" s="4">
        <v>15</v>
      </c>
      <c r="W116" s="4">
        <v>2533.04</v>
      </c>
      <c r="X116" s="4">
        <v>17</v>
      </c>
      <c r="Y116" s="4">
        <v>2210.0300000000002</v>
      </c>
      <c r="Z116" s="4">
        <v>14</v>
      </c>
      <c r="AA116" s="4">
        <v>3535.03</v>
      </c>
      <c r="AB116" s="4">
        <v>28</v>
      </c>
      <c r="AC116" s="4">
        <v>300.01</v>
      </c>
      <c r="AD116" s="4">
        <v>2</v>
      </c>
      <c r="AE116" s="4">
        <v>1630.03</v>
      </c>
      <c r="AF116" s="4">
        <v>11</v>
      </c>
      <c r="AG116" s="4">
        <v>1125.01</v>
      </c>
      <c r="AH116" s="4">
        <v>8</v>
      </c>
      <c r="AI116" s="4">
        <v>1747.03</v>
      </c>
      <c r="AJ116" s="4">
        <v>10</v>
      </c>
      <c r="AK116" s="4">
        <v>1624.02</v>
      </c>
      <c r="AL116" s="4">
        <v>9</v>
      </c>
      <c r="AM116" s="4">
        <v>874.01</v>
      </c>
      <c r="AN116" s="4">
        <v>8</v>
      </c>
      <c r="AO116" s="4">
        <v>2349.9699999999998</v>
      </c>
      <c r="AP116" s="4">
        <v>6</v>
      </c>
      <c r="AQ116" s="4">
        <v>0</v>
      </c>
      <c r="AR116" s="4">
        <v>0</v>
      </c>
      <c r="AS116" s="4">
        <v>2429.9699999999998</v>
      </c>
      <c r="AT116" s="4">
        <v>7</v>
      </c>
      <c r="AU116" s="4">
        <v>1125.06</v>
      </c>
      <c r="AV116" s="4">
        <v>7</v>
      </c>
      <c r="AW116" s="4">
        <v>1428.96</v>
      </c>
      <c r="AX116" s="4">
        <v>8</v>
      </c>
      <c r="AY116" s="4">
        <v>496.96</v>
      </c>
      <c r="AZ116" s="4">
        <v>3</v>
      </c>
      <c r="BA116" s="4">
        <v>1902.87</v>
      </c>
      <c r="BB116" s="4">
        <v>6</v>
      </c>
      <c r="BC116" s="4">
        <v>607.98</v>
      </c>
      <c r="BD116" s="4">
        <v>4</v>
      </c>
      <c r="BE116" s="4">
        <v>0</v>
      </c>
      <c r="BF116" s="4">
        <v>0</v>
      </c>
      <c r="BQ116" s="3">
        <f t="shared" si="4"/>
        <v>39504.179999999993</v>
      </c>
      <c r="BR116" s="3">
        <f t="shared" si="3"/>
        <v>251</v>
      </c>
    </row>
    <row r="117" spans="1:70" x14ac:dyDescent="0.25">
      <c r="A117" s="4" t="s">
        <v>2241</v>
      </c>
      <c r="B117" t="s">
        <v>30</v>
      </c>
      <c r="C117" s="338" t="s">
        <v>1720</v>
      </c>
      <c r="D117" s="213" t="s">
        <v>811</v>
      </c>
      <c r="E117" s="213" t="s">
        <v>151</v>
      </c>
      <c r="F117" s="213" t="s">
        <v>126</v>
      </c>
      <c r="G117" s="4">
        <v>3045.05</v>
      </c>
      <c r="H117" s="4">
        <v>21</v>
      </c>
      <c r="I117" s="4">
        <v>3468.02</v>
      </c>
      <c r="J117" s="4">
        <v>23</v>
      </c>
      <c r="K117" s="4">
        <v>2514.04</v>
      </c>
      <c r="L117" s="4">
        <v>17</v>
      </c>
      <c r="M117" s="4">
        <v>4447.04</v>
      </c>
      <c r="N117" s="4">
        <v>21</v>
      </c>
      <c r="O117" s="4">
        <v>2572.02</v>
      </c>
      <c r="P117" s="4">
        <v>15</v>
      </c>
      <c r="Q117" s="4">
        <v>2255.08</v>
      </c>
      <c r="R117" s="4">
        <v>16</v>
      </c>
      <c r="S117" s="4">
        <v>490.01</v>
      </c>
      <c r="T117" s="4">
        <v>4</v>
      </c>
      <c r="U117" s="4">
        <v>1523.03</v>
      </c>
      <c r="V117" s="4">
        <v>11</v>
      </c>
      <c r="W117" s="4">
        <v>2629.07</v>
      </c>
      <c r="X117" s="4">
        <v>15</v>
      </c>
      <c r="Y117" s="4">
        <v>1836.02</v>
      </c>
      <c r="Z117" s="4">
        <v>13</v>
      </c>
      <c r="AA117" s="4">
        <v>1272.02</v>
      </c>
      <c r="AB117" s="4">
        <v>6</v>
      </c>
      <c r="AC117" s="4">
        <v>1949.06</v>
      </c>
      <c r="AD117" s="4">
        <v>11</v>
      </c>
      <c r="AE117" s="4">
        <v>0</v>
      </c>
      <c r="AF117" s="4">
        <v>0</v>
      </c>
      <c r="AG117" s="4">
        <v>1313.03</v>
      </c>
      <c r="AH117" s="4">
        <v>8</v>
      </c>
      <c r="AI117" s="4">
        <v>2887.08</v>
      </c>
      <c r="AJ117" s="4">
        <v>15</v>
      </c>
      <c r="AK117" s="4">
        <v>830.02</v>
      </c>
      <c r="AL117" s="4">
        <v>4</v>
      </c>
      <c r="AM117" s="4">
        <v>999.02</v>
      </c>
      <c r="AN117" s="4">
        <v>10</v>
      </c>
      <c r="AO117" s="4">
        <v>613.01</v>
      </c>
      <c r="AP117" s="4">
        <v>5</v>
      </c>
      <c r="AQ117" s="4">
        <v>1171.03</v>
      </c>
      <c r="AR117" s="4">
        <v>8</v>
      </c>
      <c r="AS117" s="4">
        <v>2917.06</v>
      </c>
      <c r="AT117" s="4">
        <v>18</v>
      </c>
      <c r="AU117" s="4">
        <v>1735.06</v>
      </c>
      <c r="AV117" s="4">
        <v>6</v>
      </c>
      <c r="AW117" s="4">
        <v>210.98</v>
      </c>
      <c r="AX117" s="4">
        <v>1</v>
      </c>
      <c r="AY117" s="4">
        <v>2133.89</v>
      </c>
      <c r="AZ117" s="4">
        <v>14</v>
      </c>
      <c r="BA117" s="4">
        <v>621.99</v>
      </c>
      <c r="BB117" s="4">
        <v>6</v>
      </c>
      <c r="BC117" s="4">
        <v>1284.98</v>
      </c>
      <c r="BD117" s="4">
        <v>8</v>
      </c>
      <c r="BE117" s="4">
        <v>747.06</v>
      </c>
      <c r="BF117" s="4">
        <v>8</v>
      </c>
      <c r="BQ117" s="3">
        <f t="shared" si="4"/>
        <v>45464.669999999991</v>
      </c>
      <c r="BR117" s="3">
        <f t="shared" si="3"/>
        <v>284</v>
      </c>
    </row>
    <row r="118" spans="1:70" x14ac:dyDescent="0.25">
      <c r="A118" s="4" t="s">
        <v>2242</v>
      </c>
      <c r="B118" t="s">
        <v>32</v>
      </c>
      <c r="C118" s="338" t="s">
        <v>1721</v>
      </c>
      <c r="D118" s="213" t="s">
        <v>812</v>
      </c>
      <c r="E118" s="213" t="s">
        <v>138</v>
      </c>
      <c r="F118" s="213" t="s">
        <v>129</v>
      </c>
      <c r="G118" s="4">
        <v>1999.04</v>
      </c>
      <c r="H118" s="4">
        <v>17</v>
      </c>
      <c r="I118" s="4">
        <v>2963.1</v>
      </c>
      <c r="J118" s="4">
        <v>33</v>
      </c>
      <c r="K118" s="4">
        <v>5598.1</v>
      </c>
      <c r="L118" s="4">
        <v>45</v>
      </c>
      <c r="M118" s="4">
        <v>0</v>
      </c>
      <c r="N118" s="4">
        <v>0</v>
      </c>
      <c r="O118" s="4">
        <v>2830.02</v>
      </c>
      <c r="P118" s="4">
        <v>18</v>
      </c>
      <c r="Q118" s="4">
        <v>2524.09</v>
      </c>
      <c r="R118" s="4">
        <v>17</v>
      </c>
      <c r="S118" s="4">
        <v>2870.07</v>
      </c>
      <c r="T118" s="4">
        <v>23</v>
      </c>
      <c r="U118" s="4">
        <v>4791.07</v>
      </c>
      <c r="V118" s="4">
        <v>35</v>
      </c>
      <c r="W118" s="4">
        <v>3921.09</v>
      </c>
      <c r="X118" s="4">
        <v>29</v>
      </c>
      <c r="Y118" s="4">
        <v>2178.0500000000002</v>
      </c>
      <c r="Z118" s="4">
        <v>17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1768.03</v>
      </c>
      <c r="AP118" s="4">
        <v>13</v>
      </c>
      <c r="AQ118" s="4">
        <v>924.03</v>
      </c>
      <c r="AR118" s="4">
        <v>6</v>
      </c>
      <c r="AS118" s="4">
        <v>0</v>
      </c>
      <c r="AT118" s="4">
        <v>0</v>
      </c>
      <c r="AU118" s="4">
        <v>1368.04</v>
      </c>
      <c r="AV118" s="4">
        <v>10</v>
      </c>
      <c r="AW118" s="4">
        <v>4829.8900000000003</v>
      </c>
      <c r="AX118" s="4">
        <v>18</v>
      </c>
      <c r="AY118" s="4">
        <v>1699.88</v>
      </c>
      <c r="AZ118" s="4">
        <v>14</v>
      </c>
      <c r="BA118" s="4">
        <v>1802.96</v>
      </c>
      <c r="BB118" s="4">
        <v>17</v>
      </c>
      <c r="BC118" s="4">
        <v>634.99</v>
      </c>
      <c r="BD118" s="4">
        <v>4</v>
      </c>
      <c r="BE118" s="4">
        <v>766.02</v>
      </c>
      <c r="BF118" s="4">
        <v>5</v>
      </c>
      <c r="BQ118" s="3">
        <f t="shared" si="4"/>
        <v>43468.469999999987</v>
      </c>
      <c r="BR118" s="3">
        <f t="shared" si="3"/>
        <v>321</v>
      </c>
    </row>
    <row r="119" spans="1:70" x14ac:dyDescent="0.25">
      <c r="A119" s="4" t="s">
        <v>2243</v>
      </c>
      <c r="B119" t="s">
        <v>32</v>
      </c>
      <c r="C119" s="338" t="s">
        <v>1643</v>
      </c>
      <c r="D119" s="213" t="s">
        <v>734</v>
      </c>
      <c r="E119" s="213" t="s">
        <v>138</v>
      </c>
      <c r="F119" s="213" t="s">
        <v>129</v>
      </c>
      <c r="G119" s="4">
        <v>267</v>
      </c>
      <c r="H119" s="4">
        <v>3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Q119" s="3">
        <f t="shared" si="4"/>
        <v>267</v>
      </c>
      <c r="BR119" s="3">
        <f t="shared" si="3"/>
        <v>3</v>
      </c>
    </row>
    <row r="120" spans="1:70" x14ac:dyDescent="0.25">
      <c r="A120" s="4" t="s">
        <v>2244</v>
      </c>
      <c r="B120" t="s">
        <v>32</v>
      </c>
      <c r="C120" s="338" t="s">
        <v>1722</v>
      </c>
      <c r="D120" s="213" t="s">
        <v>813</v>
      </c>
      <c r="E120" s="213" t="s">
        <v>138</v>
      </c>
      <c r="F120" s="213" t="s">
        <v>129</v>
      </c>
      <c r="G120" s="4">
        <v>5594.09</v>
      </c>
      <c r="H120" s="4">
        <v>50</v>
      </c>
      <c r="I120" s="4">
        <v>4191.07</v>
      </c>
      <c r="J120" s="4">
        <v>45</v>
      </c>
      <c r="K120" s="4">
        <v>0</v>
      </c>
      <c r="L120" s="4">
        <v>0</v>
      </c>
      <c r="M120" s="4">
        <v>2332.0500000000002</v>
      </c>
      <c r="N120" s="4">
        <v>16</v>
      </c>
      <c r="O120" s="4">
        <v>0</v>
      </c>
      <c r="P120" s="4">
        <v>0</v>
      </c>
      <c r="Q120" s="4">
        <v>0</v>
      </c>
      <c r="R120" s="4">
        <v>0</v>
      </c>
      <c r="S120" s="4">
        <v>150</v>
      </c>
      <c r="T120" s="4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Q120" s="3">
        <f t="shared" si="4"/>
        <v>12267.21</v>
      </c>
      <c r="BR120" s="3">
        <f t="shared" si="3"/>
        <v>112</v>
      </c>
    </row>
    <row r="121" spans="1:70" x14ac:dyDescent="0.25">
      <c r="A121" s="4" t="s">
        <v>2245</v>
      </c>
      <c r="B121" t="s">
        <v>32</v>
      </c>
      <c r="C121" s="338" t="s">
        <v>1723</v>
      </c>
      <c r="D121" s="213" t="s">
        <v>814</v>
      </c>
      <c r="E121" s="213" t="s">
        <v>138</v>
      </c>
      <c r="F121" s="213" t="s">
        <v>129</v>
      </c>
      <c r="G121" s="4">
        <v>1051.02</v>
      </c>
      <c r="H121" s="4">
        <v>9</v>
      </c>
      <c r="I121" s="4">
        <v>0</v>
      </c>
      <c r="J121" s="4">
        <v>0</v>
      </c>
      <c r="K121" s="4">
        <v>1739</v>
      </c>
      <c r="L121" s="4">
        <v>16</v>
      </c>
      <c r="M121" s="4">
        <v>1349.02</v>
      </c>
      <c r="N121" s="4">
        <v>12</v>
      </c>
      <c r="O121" s="4">
        <v>1832.04</v>
      </c>
      <c r="P121" s="4">
        <v>14</v>
      </c>
      <c r="Q121" s="4">
        <v>502.02</v>
      </c>
      <c r="R121" s="4">
        <v>5</v>
      </c>
      <c r="S121" s="4">
        <v>1157.01</v>
      </c>
      <c r="T121" s="4">
        <v>8</v>
      </c>
      <c r="U121" s="4">
        <v>3326.99</v>
      </c>
      <c r="V121" s="4">
        <v>7</v>
      </c>
      <c r="W121" s="4">
        <v>0</v>
      </c>
      <c r="X121" s="4">
        <v>0</v>
      </c>
      <c r="Y121" s="4">
        <v>1444.05</v>
      </c>
      <c r="Z121" s="4">
        <v>11</v>
      </c>
      <c r="AA121" s="4">
        <v>1267</v>
      </c>
      <c r="AB121" s="4">
        <v>7</v>
      </c>
      <c r="AC121" s="4">
        <v>651.01</v>
      </c>
      <c r="AD121" s="4">
        <v>7</v>
      </c>
      <c r="AE121" s="4">
        <v>1403.01</v>
      </c>
      <c r="AF121" s="4">
        <v>10</v>
      </c>
      <c r="AG121" s="4">
        <v>404</v>
      </c>
      <c r="AH121" s="4">
        <v>5</v>
      </c>
      <c r="AI121" s="4">
        <v>1908.99</v>
      </c>
      <c r="AJ121" s="4">
        <v>7</v>
      </c>
      <c r="AK121" s="4">
        <v>0</v>
      </c>
      <c r="AL121" s="4">
        <v>0</v>
      </c>
      <c r="AM121" s="4">
        <v>1324.03</v>
      </c>
      <c r="AN121" s="4">
        <v>8</v>
      </c>
      <c r="AO121" s="4">
        <v>1677.01</v>
      </c>
      <c r="AP121" s="4">
        <v>10</v>
      </c>
      <c r="AQ121" s="4">
        <v>1035.03</v>
      </c>
      <c r="AR121" s="4">
        <v>5</v>
      </c>
      <c r="AS121" s="4">
        <v>709.01</v>
      </c>
      <c r="AT121" s="4">
        <v>8</v>
      </c>
      <c r="AU121" s="4">
        <v>527.02</v>
      </c>
      <c r="AV121" s="4">
        <v>8</v>
      </c>
      <c r="AW121" s="4">
        <v>771.96</v>
      </c>
      <c r="AX121" s="4">
        <v>5</v>
      </c>
      <c r="AY121" s="4">
        <v>0</v>
      </c>
      <c r="AZ121" s="4">
        <v>0</v>
      </c>
      <c r="BA121" s="4">
        <v>1700.95</v>
      </c>
      <c r="BB121" s="4">
        <v>12</v>
      </c>
      <c r="BC121" s="4">
        <v>1628.92</v>
      </c>
      <c r="BD121" s="4">
        <v>15</v>
      </c>
      <c r="BE121" s="4">
        <v>0</v>
      </c>
      <c r="BF121" s="4">
        <v>0</v>
      </c>
      <c r="BQ121" s="3">
        <f t="shared" si="4"/>
        <v>27409.089999999997</v>
      </c>
      <c r="BR121" s="3">
        <f t="shared" si="3"/>
        <v>189</v>
      </c>
    </row>
    <row r="122" spans="1:70" x14ac:dyDescent="0.25">
      <c r="A122" s="4" t="s">
        <v>2246</v>
      </c>
      <c r="B122" t="s">
        <v>32</v>
      </c>
      <c r="C122" s="338" t="s">
        <v>1724</v>
      </c>
      <c r="D122" s="213" t="s">
        <v>815</v>
      </c>
      <c r="E122" s="213" t="s">
        <v>138</v>
      </c>
      <c r="F122" s="213" t="s">
        <v>129</v>
      </c>
      <c r="G122" s="4">
        <v>3685.08</v>
      </c>
      <c r="H122" s="4">
        <v>22</v>
      </c>
      <c r="I122" s="4">
        <v>8065.13</v>
      </c>
      <c r="J122" s="4">
        <v>57</v>
      </c>
      <c r="K122" s="4">
        <v>3341.06</v>
      </c>
      <c r="L122" s="4">
        <v>25</v>
      </c>
      <c r="M122" s="4">
        <v>4570.1099999999997</v>
      </c>
      <c r="N122" s="4">
        <v>27</v>
      </c>
      <c r="O122" s="4">
        <v>814</v>
      </c>
      <c r="P122" s="4">
        <v>8</v>
      </c>
      <c r="Q122" s="4">
        <v>2581.0300000000002</v>
      </c>
      <c r="R122" s="4">
        <v>19</v>
      </c>
      <c r="S122" s="4">
        <v>2680.04</v>
      </c>
      <c r="T122" s="4">
        <v>17</v>
      </c>
      <c r="U122" s="4">
        <v>2181.0300000000002</v>
      </c>
      <c r="V122" s="4">
        <v>18</v>
      </c>
      <c r="W122" s="4">
        <v>5800.17</v>
      </c>
      <c r="X122" s="4">
        <v>28</v>
      </c>
      <c r="Y122" s="4">
        <v>2542.98</v>
      </c>
      <c r="Z122" s="4">
        <v>20</v>
      </c>
      <c r="AA122" s="4">
        <v>5254.17</v>
      </c>
      <c r="AB122" s="4">
        <v>38</v>
      </c>
      <c r="AC122" s="4">
        <v>2347.0100000000002</v>
      </c>
      <c r="AD122" s="4">
        <v>18</v>
      </c>
      <c r="AE122" s="4">
        <v>4053.08</v>
      </c>
      <c r="AF122" s="4">
        <v>21</v>
      </c>
      <c r="AG122" s="4">
        <v>2950.07</v>
      </c>
      <c r="AH122" s="4">
        <v>20</v>
      </c>
      <c r="AI122" s="4">
        <v>3112.1</v>
      </c>
      <c r="AJ122" s="4">
        <v>26</v>
      </c>
      <c r="AK122" s="4">
        <v>5535.07</v>
      </c>
      <c r="AL122" s="4">
        <v>41</v>
      </c>
      <c r="AM122" s="4">
        <v>3907.05</v>
      </c>
      <c r="AN122" s="4">
        <v>26</v>
      </c>
      <c r="AO122" s="4">
        <v>1808.05</v>
      </c>
      <c r="AP122" s="4">
        <v>14</v>
      </c>
      <c r="AQ122" s="4">
        <v>1438.02</v>
      </c>
      <c r="AR122" s="4">
        <v>11</v>
      </c>
      <c r="AS122" s="4">
        <v>2241</v>
      </c>
      <c r="AT122" s="4">
        <v>14</v>
      </c>
      <c r="AU122" s="4">
        <v>0</v>
      </c>
      <c r="AV122" s="4">
        <v>1</v>
      </c>
      <c r="AW122" s="4">
        <v>0</v>
      </c>
      <c r="AX122" s="4">
        <v>0</v>
      </c>
      <c r="AY122" s="4">
        <v>4045.84</v>
      </c>
      <c r="AZ122" s="4">
        <v>28</v>
      </c>
      <c r="BA122" s="4">
        <v>4288.76</v>
      </c>
      <c r="BB122" s="4">
        <v>27</v>
      </c>
      <c r="BC122" s="4">
        <v>1270.9000000000001</v>
      </c>
      <c r="BD122" s="4">
        <v>8</v>
      </c>
      <c r="BE122" s="4">
        <v>3831.16</v>
      </c>
      <c r="BF122" s="4">
        <v>11</v>
      </c>
      <c r="BQ122" s="3">
        <f t="shared" si="4"/>
        <v>82342.909999999989</v>
      </c>
      <c r="BR122" s="3">
        <f t="shared" si="3"/>
        <v>545</v>
      </c>
    </row>
    <row r="123" spans="1:70" x14ac:dyDescent="0.25">
      <c r="A123" s="4" t="s">
        <v>2247</v>
      </c>
      <c r="B123" t="s">
        <v>32</v>
      </c>
      <c r="C123" s="338" t="s">
        <v>1725</v>
      </c>
      <c r="D123" s="213" t="s">
        <v>816</v>
      </c>
      <c r="E123" s="213" t="s">
        <v>138</v>
      </c>
      <c r="F123" s="213" t="s">
        <v>129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2229.02</v>
      </c>
      <c r="P123" s="4">
        <v>14</v>
      </c>
      <c r="Q123" s="4">
        <v>2494</v>
      </c>
      <c r="R123" s="4">
        <v>9</v>
      </c>
      <c r="S123" s="4">
        <v>1516</v>
      </c>
      <c r="T123" s="4">
        <v>9</v>
      </c>
      <c r="U123" s="4">
        <v>1741.05</v>
      </c>
      <c r="V123" s="4">
        <v>17</v>
      </c>
      <c r="W123" s="4">
        <v>1788.03</v>
      </c>
      <c r="X123" s="4">
        <v>12</v>
      </c>
      <c r="Y123" s="4">
        <v>938</v>
      </c>
      <c r="Z123" s="4">
        <v>6</v>
      </c>
      <c r="AA123" s="4">
        <v>0</v>
      </c>
      <c r="AB123" s="4">
        <v>0</v>
      </c>
      <c r="AC123" s="4">
        <v>1670.02</v>
      </c>
      <c r="AD123" s="4">
        <v>12</v>
      </c>
      <c r="AE123" s="4">
        <v>2053.0300000000002</v>
      </c>
      <c r="AF123" s="4">
        <v>18</v>
      </c>
      <c r="AG123" s="4">
        <v>2297.0500000000002</v>
      </c>
      <c r="AH123" s="4">
        <v>17</v>
      </c>
      <c r="AI123" s="4">
        <v>3976.15</v>
      </c>
      <c r="AJ123" s="4">
        <v>24</v>
      </c>
      <c r="AK123" s="4">
        <v>4643.1099999999997</v>
      </c>
      <c r="AL123" s="4">
        <v>28</v>
      </c>
      <c r="AM123" s="4">
        <v>3593.06</v>
      </c>
      <c r="AN123" s="4">
        <v>23</v>
      </c>
      <c r="AO123" s="4">
        <v>0</v>
      </c>
      <c r="AP123" s="4">
        <v>0</v>
      </c>
      <c r="AQ123" s="4">
        <v>1625.02</v>
      </c>
      <c r="AR123" s="4">
        <v>11</v>
      </c>
      <c r="AS123" s="4">
        <v>2328.0500000000002</v>
      </c>
      <c r="AT123" s="4">
        <v>14</v>
      </c>
      <c r="AU123" s="4">
        <v>4130.04</v>
      </c>
      <c r="AV123" s="4">
        <v>22</v>
      </c>
      <c r="AW123" s="4">
        <v>3088.92</v>
      </c>
      <c r="AX123" s="4">
        <v>24</v>
      </c>
      <c r="AY123" s="4">
        <v>3338.79</v>
      </c>
      <c r="AZ123" s="4">
        <v>14</v>
      </c>
      <c r="BA123" s="4">
        <v>2718.9</v>
      </c>
      <c r="BB123" s="4">
        <v>21</v>
      </c>
      <c r="BC123" s="4">
        <v>0</v>
      </c>
      <c r="BD123" s="4">
        <v>0</v>
      </c>
      <c r="BE123" s="4">
        <v>2421.15</v>
      </c>
      <c r="BF123" s="4">
        <v>18</v>
      </c>
      <c r="BQ123" s="3">
        <f t="shared" si="4"/>
        <v>48589.390000000007</v>
      </c>
      <c r="BR123" s="3">
        <f t="shared" si="3"/>
        <v>313</v>
      </c>
    </row>
    <row r="124" spans="1:70" x14ac:dyDescent="0.25">
      <c r="A124" s="4" t="s">
        <v>2248</v>
      </c>
      <c r="B124" t="s">
        <v>32</v>
      </c>
      <c r="C124" s="338" t="s">
        <v>1726</v>
      </c>
      <c r="D124" s="213" t="s">
        <v>817</v>
      </c>
      <c r="E124" s="213" t="s">
        <v>138</v>
      </c>
      <c r="F124" s="213" t="s">
        <v>129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150</v>
      </c>
      <c r="R124" s="4">
        <v>1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Q124" s="3">
        <f t="shared" si="4"/>
        <v>150</v>
      </c>
      <c r="BR124" s="3">
        <f t="shared" si="3"/>
        <v>1</v>
      </c>
    </row>
    <row r="125" spans="1:70" x14ac:dyDescent="0.25">
      <c r="A125" s="4" t="s">
        <v>2249</v>
      </c>
      <c r="B125" t="s">
        <v>33</v>
      </c>
      <c r="C125" s="338" t="s">
        <v>1727</v>
      </c>
      <c r="D125" s="213" t="s">
        <v>818</v>
      </c>
      <c r="E125" s="213" t="s">
        <v>138</v>
      </c>
      <c r="F125" s="213" t="s">
        <v>129</v>
      </c>
      <c r="G125" s="4">
        <v>1202.05</v>
      </c>
      <c r="H125" s="4">
        <v>13</v>
      </c>
      <c r="I125" s="4">
        <v>1073.03</v>
      </c>
      <c r="J125" s="4">
        <v>11</v>
      </c>
      <c r="K125" s="4">
        <v>1640.04</v>
      </c>
      <c r="L125" s="4">
        <v>15</v>
      </c>
      <c r="M125" s="4">
        <v>792.99</v>
      </c>
      <c r="N125" s="4">
        <v>7</v>
      </c>
      <c r="O125" s="4">
        <v>612.01</v>
      </c>
      <c r="P125" s="4">
        <v>5</v>
      </c>
      <c r="Q125" s="4">
        <v>0</v>
      </c>
      <c r="R125" s="4">
        <v>0</v>
      </c>
      <c r="S125" s="4">
        <v>772.02</v>
      </c>
      <c r="T125" s="4">
        <v>7</v>
      </c>
      <c r="U125" s="4">
        <v>2439.09</v>
      </c>
      <c r="V125" s="4">
        <v>19</v>
      </c>
      <c r="W125" s="4">
        <v>1556.03</v>
      </c>
      <c r="X125" s="4">
        <v>13</v>
      </c>
      <c r="Y125" s="4">
        <v>637.01</v>
      </c>
      <c r="Z125" s="4">
        <v>6</v>
      </c>
      <c r="AA125" s="4">
        <v>1681.01</v>
      </c>
      <c r="AB125" s="4">
        <v>12</v>
      </c>
      <c r="AC125" s="4">
        <v>1104.03</v>
      </c>
      <c r="AD125" s="4">
        <v>8</v>
      </c>
      <c r="AE125" s="4">
        <v>1156.02</v>
      </c>
      <c r="AF125" s="4">
        <v>8</v>
      </c>
      <c r="AG125" s="4">
        <v>1864.03</v>
      </c>
      <c r="AH125" s="4">
        <v>15</v>
      </c>
      <c r="AI125" s="4">
        <v>1094</v>
      </c>
      <c r="AJ125" s="4">
        <v>9</v>
      </c>
      <c r="AK125" s="4">
        <v>0</v>
      </c>
      <c r="AL125" s="4">
        <v>0</v>
      </c>
      <c r="AM125" s="4">
        <v>992.03</v>
      </c>
      <c r="AN125" s="4">
        <v>6</v>
      </c>
      <c r="AO125" s="4">
        <v>741.02</v>
      </c>
      <c r="AP125" s="4">
        <v>6</v>
      </c>
      <c r="AQ125" s="4">
        <v>853.02</v>
      </c>
      <c r="AR125" s="4">
        <v>6</v>
      </c>
      <c r="AS125" s="4">
        <v>0</v>
      </c>
      <c r="AT125" s="4">
        <v>0</v>
      </c>
      <c r="AU125" s="4">
        <v>1154.03</v>
      </c>
      <c r="AV125" s="4">
        <v>9</v>
      </c>
      <c r="AW125" s="4">
        <v>1206.98</v>
      </c>
      <c r="AX125" s="4">
        <v>11</v>
      </c>
      <c r="AY125" s="4">
        <v>1108</v>
      </c>
      <c r="AZ125" s="4">
        <v>7</v>
      </c>
      <c r="BA125" s="4">
        <v>1256.94</v>
      </c>
      <c r="BB125" s="4">
        <v>8</v>
      </c>
      <c r="BC125" s="4">
        <v>510.98</v>
      </c>
      <c r="BD125" s="4">
        <v>3</v>
      </c>
      <c r="BE125" s="4">
        <v>837.06</v>
      </c>
      <c r="BF125" s="4">
        <v>6</v>
      </c>
      <c r="BQ125" s="3">
        <f t="shared" si="4"/>
        <v>26283.42</v>
      </c>
      <c r="BR125" s="3">
        <f t="shared" si="3"/>
        <v>210</v>
      </c>
    </row>
    <row r="126" spans="1:70" x14ac:dyDescent="0.25">
      <c r="A126" s="4" t="s">
        <v>2250</v>
      </c>
      <c r="B126" t="s">
        <v>33</v>
      </c>
      <c r="C126" s="338" t="s">
        <v>1728</v>
      </c>
      <c r="D126" s="213" t="s">
        <v>819</v>
      </c>
      <c r="E126" s="213" t="s">
        <v>138</v>
      </c>
      <c r="F126" s="213" t="s">
        <v>129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1347.05</v>
      </c>
      <c r="Z126" s="4">
        <v>11</v>
      </c>
      <c r="AA126" s="4">
        <v>2914.04</v>
      </c>
      <c r="AB126" s="4">
        <v>18</v>
      </c>
      <c r="AC126" s="4">
        <v>1461.02</v>
      </c>
      <c r="AD126" s="4">
        <v>11</v>
      </c>
      <c r="AE126" s="4">
        <v>1509.06</v>
      </c>
      <c r="AF126" s="4">
        <v>11</v>
      </c>
      <c r="AG126" s="4">
        <v>0</v>
      </c>
      <c r="AH126" s="4">
        <v>0</v>
      </c>
      <c r="AI126" s="4">
        <v>1393.02</v>
      </c>
      <c r="AJ126" s="4">
        <v>10</v>
      </c>
      <c r="AK126" s="4">
        <v>1822.02</v>
      </c>
      <c r="AL126" s="4">
        <v>14</v>
      </c>
      <c r="AM126" s="4">
        <v>752.03</v>
      </c>
      <c r="AN126" s="4">
        <v>5</v>
      </c>
      <c r="AO126" s="4">
        <v>814.01</v>
      </c>
      <c r="AP126" s="4">
        <v>6</v>
      </c>
      <c r="AQ126" s="4">
        <v>694.03</v>
      </c>
      <c r="AR126" s="4">
        <v>9</v>
      </c>
      <c r="AS126" s="4">
        <v>1549.02</v>
      </c>
      <c r="AT126" s="4">
        <v>11</v>
      </c>
      <c r="AU126" s="4">
        <v>0</v>
      </c>
      <c r="AV126" s="4">
        <v>0</v>
      </c>
      <c r="AW126" s="4">
        <v>1415.95</v>
      </c>
      <c r="AX126" s="4">
        <v>11</v>
      </c>
      <c r="AY126" s="4">
        <v>1086.99</v>
      </c>
      <c r="AZ126" s="4">
        <v>10</v>
      </c>
      <c r="BA126" s="4">
        <v>995.95</v>
      </c>
      <c r="BB126" s="4">
        <v>7</v>
      </c>
      <c r="BC126" s="4">
        <v>1152.94</v>
      </c>
      <c r="BD126" s="4">
        <v>8</v>
      </c>
      <c r="BE126" s="4">
        <v>1378.12</v>
      </c>
      <c r="BF126" s="4">
        <v>6</v>
      </c>
      <c r="BQ126" s="3">
        <f t="shared" si="4"/>
        <v>20285.250000000004</v>
      </c>
      <c r="BR126" s="3">
        <f t="shared" si="3"/>
        <v>148</v>
      </c>
    </row>
    <row r="127" spans="1:70" x14ac:dyDescent="0.25">
      <c r="A127" s="4" t="s">
        <v>2251</v>
      </c>
      <c r="B127" t="s">
        <v>33</v>
      </c>
      <c r="C127" s="338" t="s">
        <v>1729</v>
      </c>
      <c r="D127" s="213" t="s">
        <v>820</v>
      </c>
      <c r="E127" s="213" t="s">
        <v>138</v>
      </c>
      <c r="F127" s="213" t="s">
        <v>129</v>
      </c>
      <c r="G127" s="4">
        <v>2246.04</v>
      </c>
      <c r="H127" s="4">
        <v>18</v>
      </c>
      <c r="I127" s="4">
        <v>2225.06</v>
      </c>
      <c r="J127" s="4">
        <v>20</v>
      </c>
      <c r="K127" s="4">
        <v>1431.03</v>
      </c>
      <c r="L127" s="4">
        <v>9</v>
      </c>
      <c r="M127" s="4">
        <v>0</v>
      </c>
      <c r="N127" s="4">
        <v>0</v>
      </c>
      <c r="O127" s="4">
        <v>4116.08</v>
      </c>
      <c r="P127" s="4">
        <v>31</v>
      </c>
      <c r="Q127" s="4">
        <v>971.02</v>
      </c>
      <c r="R127" s="4">
        <v>7</v>
      </c>
      <c r="S127" s="4">
        <v>1612</v>
      </c>
      <c r="T127" s="4">
        <v>12</v>
      </c>
      <c r="U127" s="4">
        <v>1049.02</v>
      </c>
      <c r="V127" s="4">
        <v>7</v>
      </c>
      <c r="W127" s="4">
        <v>1379.03</v>
      </c>
      <c r="X127" s="4">
        <v>11</v>
      </c>
      <c r="Y127" s="4">
        <v>1074.02</v>
      </c>
      <c r="Z127" s="4">
        <v>8</v>
      </c>
      <c r="AA127" s="4">
        <v>0</v>
      </c>
      <c r="AB127" s="4">
        <v>0</v>
      </c>
      <c r="AC127" s="4">
        <v>816.03</v>
      </c>
      <c r="AD127" s="4">
        <v>9</v>
      </c>
      <c r="AE127" s="4">
        <v>1131.02</v>
      </c>
      <c r="AF127" s="4">
        <v>5</v>
      </c>
      <c r="AG127" s="4">
        <v>2002.07</v>
      </c>
      <c r="AH127" s="4">
        <v>6</v>
      </c>
      <c r="AI127" s="4">
        <v>1503.02</v>
      </c>
      <c r="AJ127" s="4">
        <v>9</v>
      </c>
      <c r="AK127" s="4">
        <v>1967.99</v>
      </c>
      <c r="AL127" s="4">
        <v>13</v>
      </c>
      <c r="AM127" s="4">
        <v>1200.01</v>
      </c>
      <c r="AN127" s="4">
        <v>7</v>
      </c>
      <c r="AO127" s="4">
        <v>0</v>
      </c>
      <c r="AP127" s="4">
        <v>0</v>
      </c>
      <c r="AQ127" s="4">
        <v>574.01</v>
      </c>
      <c r="AR127" s="4">
        <v>5</v>
      </c>
      <c r="AS127" s="4">
        <v>750.01</v>
      </c>
      <c r="AT127" s="4">
        <v>4</v>
      </c>
      <c r="AU127" s="4">
        <v>1411.01</v>
      </c>
      <c r="AV127" s="4">
        <v>12</v>
      </c>
      <c r="AW127" s="4">
        <v>1661.94</v>
      </c>
      <c r="AX127" s="4">
        <v>13</v>
      </c>
      <c r="AY127" s="4">
        <v>1068.92</v>
      </c>
      <c r="AZ127" s="4">
        <v>7</v>
      </c>
      <c r="BA127" s="4">
        <v>137</v>
      </c>
      <c r="BB127" s="4">
        <v>2</v>
      </c>
      <c r="BC127" s="4">
        <v>0</v>
      </c>
      <c r="BD127" s="4">
        <v>0</v>
      </c>
      <c r="BE127" s="4">
        <v>1224.08</v>
      </c>
      <c r="BF127" s="4">
        <v>7</v>
      </c>
      <c r="BQ127" s="3">
        <f t="shared" si="4"/>
        <v>31550.409999999996</v>
      </c>
      <c r="BR127" s="3">
        <f t="shared" si="3"/>
        <v>222</v>
      </c>
    </row>
    <row r="128" spans="1:70" x14ac:dyDescent="0.25">
      <c r="A128" s="4" t="s">
        <v>2252</v>
      </c>
      <c r="B128" t="s">
        <v>33</v>
      </c>
      <c r="C128" s="338" t="s">
        <v>1730</v>
      </c>
      <c r="D128" s="213" t="s">
        <v>821</v>
      </c>
      <c r="E128" s="213" t="s">
        <v>138</v>
      </c>
      <c r="F128" s="213" t="s">
        <v>129</v>
      </c>
      <c r="G128" s="4">
        <v>4121.13</v>
      </c>
      <c r="H128" s="4">
        <v>28</v>
      </c>
      <c r="I128" s="4">
        <v>1589.04</v>
      </c>
      <c r="J128" s="4">
        <v>12</v>
      </c>
      <c r="K128" s="4">
        <v>2547.0300000000002</v>
      </c>
      <c r="L128" s="4">
        <v>20</v>
      </c>
      <c r="M128" s="4">
        <v>5173.09</v>
      </c>
      <c r="N128" s="4">
        <v>35</v>
      </c>
      <c r="O128" s="4">
        <v>0</v>
      </c>
      <c r="P128" s="4">
        <v>0</v>
      </c>
      <c r="Q128" s="4">
        <v>2004.04</v>
      </c>
      <c r="R128" s="4">
        <v>16</v>
      </c>
      <c r="S128" s="4">
        <v>632</v>
      </c>
      <c r="T128" s="4">
        <v>7</v>
      </c>
      <c r="U128" s="4">
        <v>1040.99</v>
      </c>
      <c r="V128" s="4">
        <v>5</v>
      </c>
      <c r="W128" s="4">
        <v>1906.01</v>
      </c>
      <c r="X128" s="4">
        <v>12</v>
      </c>
      <c r="Y128" s="4">
        <v>647</v>
      </c>
      <c r="Z128" s="4">
        <v>4</v>
      </c>
      <c r="AA128" s="4">
        <v>237.02</v>
      </c>
      <c r="AB128" s="4">
        <v>2</v>
      </c>
      <c r="AC128" s="4">
        <v>0</v>
      </c>
      <c r="AD128" s="4">
        <v>0</v>
      </c>
      <c r="AE128" s="4">
        <v>565.02</v>
      </c>
      <c r="AF128" s="4">
        <v>4</v>
      </c>
      <c r="AG128" s="4">
        <v>1757.06</v>
      </c>
      <c r="AH128" s="4">
        <v>12</v>
      </c>
      <c r="AI128" s="4">
        <v>600.02</v>
      </c>
      <c r="AJ128" s="4">
        <v>5</v>
      </c>
      <c r="AK128" s="4">
        <v>1817.06</v>
      </c>
      <c r="AL128" s="4">
        <v>12</v>
      </c>
      <c r="AM128" s="4">
        <v>951.04</v>
      </c>
      <c r="AN128" s="4">
        <v>6</v>
      </c>
      <c r="AO128" s="4">
        <v>990.04</v>
      </c>
      <c r="AP128" s="4">
        <v>5</v>
      </c>
      <c r="AQ128" s="4">
        <v>0</v>
      </c>
      <c r="AR128" s="4">
        <v>0</v>
      </c>
      <c r="AS128" s="4">
        <v>659.01</v>
      </c>
      <c r="AT128" s="4">
        <v>6</v>
      </c>
      <c r="AU128" s="4">
        <v>179.01</v>
      </c>
      <c r="AV128" s="4">
        <v>2</v>
      </c>
      <c r="AW128" s="4">
        <v>1226.9000000000001</v>
      </c>
      <c r="AX128" s="4">
        <v>7</v>
      </c>
      <c r="AY128" s="4">
        <v>285.98</v>
      </c>
      <c r="AZ128" s="4">
        <v>2</v>
      </c>
      <c r="BA128" s="4">
        <v>0</v>
      </c>
      <c r="BB128" s="4">
        <v>0</v>
      </c>
      <c r="BC128" s="4">
        <v>661.96</v>
      </c>
      <c r="BD128" s="4">
        <v>5</v>
      </c>
      <c r="BE128" s="4">
        <v>1099.08</v>
      </c>
      <c r="BF128" s="4">
        <v>6</v>
      </c>
      <c r="BQ128" s="3">
        <f t="shared" si="4"/>
        <v>30689.530000000006</v>
      </c>
      <c r="BR128" s="3">
        <f t="shared" si="3"/>
        <v>213</v>
      </c>
    </row>
    <row r="129" spans="1:70" x14ac:dyDescent="0.25">
      <c r="A129" s="4" t="s">
        <v>2253</v>
      </c>
      <c r="B129" t="s">
        <v>34</v>
      </c>
      <c r="C129" s="338" t="s">
        <v>1731</v>
      </c>
      <c r="D129" s="213" t="s">
        <v>822</v>
      </c>
      <c r="E129" s="213" t="s">
        <v>138</v>
      </c>
      <c r="F129" s="213" t="s">
        <v>128</v>
      </c>
      <c r="G129" s="4">
        <v>2752.02</v>
      </c>
      <c r="H129" s="4">
        <v>21</v>
      </c>
      <c r="I129" s="4">
        <v>3167.08</v>
      </c>
      <c r="J129" s="4">
        <v>29</v>
      </c>
      <c r="K129" s="4">
        <v>1549.02</v>
      </c>
      <c r="L129" s="4">
        <v>8</v>
      </c>
      <c r="M129" s="4">
        <v>4499.0600000000004</v>
      </c>
      <c r="N129" s="4">
        <v>21</v>
      </c>
      <c r="O129" s="4">
        <v>0</v>
      </c>
      <c r="P129" s="4">
        <v>0</v>
      </c>
      <c r="Q129" s="4">
        <v>1698.04</v>
      </c>
      <c r="R129" s="4">
        <v>14</v>
      </c>
      <c r="S129" s="4">
        <v>2911.04</v>
      </c>
      <c r="T129" s="4">
        <v>19</v>
      </c>
      <c r="U129" s="4">
        <v>997.03</v>
      </c>
      <c r="V129" s="4">
        <v>8</v>
      </c>
      <c r="W129" s="4">
        <v>849</v>
      </c>
      <c r="X129" s="4">
        <v>7</v>
      </c>
      <c r="Y129" s="4">
        <v>44</v>
      </c>
      <c r="Z129" s="4">
        <v>1</v>
      </c>
      <c r="AA129" s="4">
        <v>593.01</v>
      </c>
      <c r="AB129" s="4">
        <v>7</v>
      </c>
      <c r="AC129" s="4">
        <v>0</v>
      </c>
      <c r="AD129" s="4">
        <v>0</v>
      </c>
      <c r="AE129" s="4">
        <v>490.01</v>
      </c>
      <c r="AF129" s="4">
        <v>4</v>
      </c>
      <c r="AG129" s="4">
        <v>286.01</v>
      </c>
      <c r="AH129" s="4">
        <v>5</v>
      </c>
      <c r="AI129" s="4">
        <v>525.01</v>
      </c>
      <c r="AJ129" s="4">
        <v>4</v>
      </c>
      <c r="AK129" s="4">
        <v>1315.02</v>
      </c>
      <c r="AL129" s="4">
        <v>9</v>
      </c>
      <c r="AM129" s="4">
        <v>754.02</v>
      </c>
      <c r="AN129" s="4">
        <v>4</v>
      </c>
      <c r="AO129" s="4">
        <v>900.02</v>
      </c>
      <c r="AP129" s="4">
        <v>5</v>
      </c>
      <c r="AQ129" s="4">
        <v>0</v>
      </c>
      <c r="AR129" s="4">
        <v>0</v>
      </c>
      <c r="AS129" s="4">
        <v>0</v>
      </c>
      <c r="AT129" s="4">
        <v>0</v>
      </c>
      <c r="AU129" s="4">
        <v>538.01</v>
      </c>
      <c r="AV129" s="4">
        <v>4</v>
      </c>
      <c r="AW129" s="4">
        <v>160</v>
      </c>
      <c r="AX129" s="4">
        <v>1</v>
      </c>
      <c r="AY129" s="4">
        <v>1390.96</v>
      </c>
      <c r="AZ129" s="4">
        <v>7</v>
      </c>
      <c r="BA129" s="4">
        <v>858.95</v>
      </c>
      <c r="BB129" s="4">
        <v>4</v>
      </c>
      <c r="BC129" s="4">
        <v>2019.92</v>
      </c>
      <c r="BD129" s="4">
        <v>10</v>
      </c>
      <c r="BE129" s="4">
        <v>0</v>
      </c>
      <c r="BF129" s="4">
        <v>0</v>
      </c>
      <c r="BQ129" s="3">
        <f t="shared" si="4"/>
        <v>28297.229999999996</v>
      </c>
      <c r="BR129" s="3">
        <f t="shared" si="3"/>
        <v>192</v>
      </c>
    </row>
    <row r="130" spans="1:70" x14ac:dyDescent="0.25">
      <c r="A130" s="4" t="s">
        <v>2254</v>
      </c>
      <c r="B130" t="s">
        <v>34</v>
      </c>
      <c r="C130" s="338" t="s">
        <v>1732</v>
      </c>
      <c r="D130" s="213" t="s">
        <v>823</v>
      </c>
      <c r="E130" s="213" t="s">
        <v>138</v>
      </c>
      <c r="F130" s="213" t="s">
        <v>128</v>
      </c>
      <c r="G130" s="4">
        <v>2429.06</v>
      </c>
      <c r="H130" s="4">
        <v>19</v>
      </c>
      <c r="I130" s="4">
        <v>0</v>
      </c>
      <c r="J130" s="4">
        <v>0</v>
      </c>
      <c r="K130" s="4">
        <v>3138.14</v>
      </c>
      <c r="L130" s="4">
        <v>21</v>
      </c>
      <c r="M130" s="4">
        <v>1670.03</v>
      </c>
      <c r="N130" s="4">
        <v>6</v>
      </c>
      <c r="O130" s="4">
        <v>1171.03</v>
      </c>
      <c r="P130" s="4">
        <v>6</v>
      </c>
      <c r="Q130" s="4">
        <v>1869.02</v>
      </c>
      <c r="R130" s="4">
        <v>12</v>
      </c>
      <c r="S130" s="4">
        <v>1542.04</v>
      </c>
      <c r="T130" s="4">
        <v>10</v>
      </c>
      <c r="U130" s="4">
        <v>1325.03</v>
      </c>
      <c r="V130" s="4">
        <v>8</v>
      </c>
      <c r="W130" s="4">
        <v>0</v>
      </c>
      <c r="X130" s="4">
        <v>0</v>
      </c>
      <c r="Y130" s="4">
        <v>2910.02</v>
      </c>
      <c r="Z130" s="4">
        <v>16</v>
      </c>
      <c r="AA130" s="4">
        <v>0</v>
      </c>
      <c r="AB130" s="4">
        <v>0</v>
      </c>
      <c r="AC130" s="4">
        <v>799.02</v>
      </c>
      <c r="AD130" s="4">
        <v>5</v>
      </c>
      <c r="AE130" s="4">
        <v>1652.04</v>
      </c>
      <c r="AF130" s="4">
        <v>15</v>
      </c>
      <c r="AG130" s="4">
        <v>0</v>
      </c>
      <c r="AH130" s="4">
        <v>0</v>
      </c>
      <c r="AI130" s="4">
        <v>1755.04</v>
      </c>
      <c r="AJ130" s="4">
        <v>11</v>
      </c>
      <c r="AK130" s="4">
        <v>1898.02</v>
      </c>
      <c r="AL130" s="4">
        <v>18</v>
      </c>
      <c r="AM130" s="4">
        <v>1499.01</v>
      </c>
      <c r="AN130" s="4">
        <v>13</v>
      </c>
      <c r="AO130" s="4">
        <v>2403.04</v>
      </c>
      <c r="AP130" s="4">
        <v>11</v>
      </c>
      <c r="AQ130" s="4">
        <v>934.03</v>
      </c>
      <c r="AR130" s="4">
        <v>6</v>
      </c>
      <c r="AS130" s="4">
        <v>1164.04</v>
      </c>
      <c r="AT130" s="4">
        <v>9</v>
      </c>
      <c r="AU130" s="4">
        <v>0</v>
      </c>
      <c r="AV130" s="4">
        <v>0</v>
      </c>
      <c r="AW130" s="4">
        <v>1603.97</v>
      </c>
      <c r="AX130" s="4">
        <v>11</v>
      </c>
      <c r="AY130" s="4">
        <v>2746.91</v>
      </c>
      <c r="AZ130" s="4">
        <v>18</v>
      </c>
      <c r="BA130" s="4">
        <v>2016.9</v>
      </c>
      <c r="BB130" s="4">
        <v>14</v>
      </c>
      <c r="BC130" s="4">
        <v>1105.94</v>
      </c>
      <c r="BD130" s="4">
        <v>8</v>
      </c>
      <c r="BE130" s="4">
        <v>796.06</v>
      </c>
      <c r="BF130" s="4">
        <v>6</v>
      </c>
      <c r="BQ130" s="3">
        <f t="shared" si="4"/>
        <v>36428.39</v>
      </c>
      <c r="BR130" s="3">
        <f t="shared" si="3"/>
        <v>243</v>
      </c>
    </row>
    <row r="131" spans="1:70" x14ac:dyDescent="0.25">
      <c r="A131" s="4" t="s">
        <v>2255</v>
      </c>
      <c r="B131" t="s">
        <v>34</v>
      </c>
      <c r="C131" s="338" t="s">
        <v>1733</v>
      </c>
      <c r="D131" s="213" t="s">
        <v>824</v>
      </c>
      <c r="E131" s="213" t="s">
        <v>138</v>
      </c>
      <c r="F131" s="213" t="s">
        <v>128</v>
      </c>
      <c r="G131" s="4">
        <v>2566.0300000000002</v>
      </c>
      <c r="H131" s="4">
        <v>21</v>
      </c>
      <c r="I131" s="4">
        <v>3327.09</v>
      </c>
      <c r="J131" s="4">
        <v>26</v>
      </c>
      <c r="K131" s="4">
        <v>1792.03</v>
      </c>
      <c r="L131" s="4">
        <v>16</v>
      </c>
      <c r="M131" s="4">
        <v>0</v>
      </c>
      <c r="N131" s="4">
        <v>0</v>
      </c>
      <c r="O131" s="4">
        <v>960</v>
      </c>
      <c r="P131" s="4">
        <v>6</v>
      </c>
      <c r="Q131" s="4">
        <v>2566.06</v>
      </c>
      <c r="R131" s="4">
        <v>16</v>
      </c>
      <c r="S131" s="4">
        <v>0</v>
      </c>
      <c r="T131" s="4">
        <v>0</v>
      </c>
      <c r="U131" s="4">
        <v>2457.0300000000002</v>
      </c>
      <c r="V131" s="4">
        <v>19</v>
      </c>
      <c r="W131" s="4">
        <v>3009.05</v>
      </c>
      <c r="X131" s="4">
        <v>23</v>
      </c>
      <c r="Y131" s="4">
        <v>1861.04</v>
      </c>
      <c r="Z131" s="4">
        <v>13</v>
      </c>
      <c r="AA131" s="4">
        <v>0</v>
      </c>
      <c r="AB131" s="4">
        <v>0</v>
      </c>
      <c r="AC131" s="4">
        <v>850.02</v>
      </c>
      <c r="AD131" s="4">
        <v>4</v>
      </c>
      <c r="AE131" s="4">
        <v>217</v>
      </c>
      <c r="AF131" s="4">
        <v>2</v>
      </c>
      <c r="AG131" s="4">
        <v>1301.03</v>
      </c>
      <c r="AH131" s="4">
        <v>10</v>
      </c>
      <c r="AI131" s="4">
        <v>754</v>
      </c>
      <c r="AJ131" s="4">
        <v>7</v>
      </c>
      <c r="AK131" s="4">
        <v>1514.03</v>
      </c>
      <c r="AL131" s="4">
        <v>11</v>
      </c>
      <c r="AM131" s="4">
        <v>1580.04</v>
      </c>
      <c r="AN131" s="4">
        <v>13</v>
      </c>
      <c r="AO131" s="4">
        <v>0</v>
      </c>
      <c r="AP131" s="4">
        <v>0</v>
      </c>
      <c r="AQ131" s="4">
        <v>619.02</v>
      </c>
      <c r="AR131" s="4">
        <v>4</v>
      </c>
      <c r="AS131" s="4">
        <v>600.02</v>
      </c>
      <c r="AT131" s="4">
        <v>4</v>
      </c>
      <c r="AU131" s="4">
        <v>0</v>
      </c>
      <c r="AV131" s="4">
        <v>0</v>
      </c>
      <c r="AW131" s="4">
        <v>739.97</v>
      </c>
      <c r="AX131" s="4">
        <v>5</v>
      </c>
      <c r="AY131" s="4">
        <v>1580.92</v>
      </c>
      <c r="AZ131" s="4">
        <v>10</v>
      </c>
      <c r="BA131" s="4">
        <v>1312.91</v>
      </c>
      <c r="BB131" s="4">
        <v>8</v>
      </c>
      <c r="BC131" s="4">
        <v>0</v>
      </c>
      <c r="BD131" s="4">
        <v>0</v>
      </c>
      <c r="BE131" s="4">
        <v>732.04</v>
      </c>
      <c r="BF131" s="4">
        <v>5</v>
      </c>
      <c r="BQ131" s="3">
        <f t="shared" si="4"/>
        <v>30339.330000000005</v>
      </c>
      <c r="BR131" s="3">
        <f t="shared" si="3"/>
        <v>223</v>
      </c>
    </row>
    <row r="132" spans="1:70" x14ac:dyDescent="0.25">
      <c r="A132" s="4" t="s">
        <v>2256</v>
      </c>
      <c r="B132" t="s">
        <v>34</v>
      </c>
      <c r="C132" s="338" t="s">
        <v>1734</v>
      </c>
      <c r="D132" s="213" t="s">
        <v>825</v>
      </c>
      <c r="E132" s="213" t="s">
        <v>138</v>
      </c>
      <c r="F132" s="213" t="s">
        <v>128</v>
      </c>
      <c r="G132" s="4">
        <v>2450.0500000000002</v>
      </c>
      <c r="H132" s="4">
        <v>19</v>
      </c>
      <c r="I132" s="4">
        <v>5097.1400000000003</v>
      </c>
      <c r="J132" s="4">
        <v>39</v>
      </c>
      <c r="K132" s="4">
        <v>1961.04</v>
      </c>
      <c r="L132" s="4">
        <v>15</v>
      </c>
      <c r="M132" s="4">
        <v>1149.01</v>
      </c>
      <c r="N132" s="4">
        <v>6</v>
      </c>
      <c r="O132" s="4">
        <v>2262.02</v>
      </c>
      <c r="P132" s="4">
        <v>15</v>
      </c>
      <c r="Q132" s="4">
        <v>0</v>
      </c>
      <c r="R132" s="4">
        <v>0</v>
      </c>
      <c r="S132" s="4">
        <v>4091.01</v>
      </c>
      <c r="T132" s="4">
        <v>27</v>
      </c>
      <c r="U132" s="4">
        <v>1024.01</v>
      </c>
      <c r="V132" s="4">
        <v>7</v>
      </c>
      <c r="W132" s="4">
        <v>5233.1099999999997</v>
      </c>
      <c r="X132" s="4">
        <v>33</v>
      </c>
      <c r="Y132" s="4">
        <v>2016.03</v>
      </c>
      <c r="Z132" s="4">
        <v>16</v>
      </c>
      <c r="AA132" s="4">
        <v>2662.02</v>
      </c>
      <c r="AB132" s="4">
        <v>15</v>
      </c>
      <c r="AC132" s="4">
        <v>723.03</v>
      </c>
      <c r="AD132" s="4">
        <v>7</v>
      </c>
      <c r="AE132" s="4">
        <v>0</v>
      </c>
      <c r="AF132" s="4">
        <v>0</v>
      </c>
      <c r="AG132" s="4">
        <v>3499.05</v>
      </c>
      <c r="AH132" s="4">
        <v>24</v>
      </c>
      <c r="AI132" s="4">
        <v>2745.04</v>
      </c>
      <c r="AJ132" s="4">
        <v>19</v>
      </c>
      <c r="AK132" s="4">
        <v>2608.0100000000002</v>
      </c>
      <c r="AL132" s="4">
        <v>18</v>
      </c>
      <c r="AM132" s="4">
        <v>2182.0700000000002</v>
      </c>
      <c r="AN132" s="4">
        <v>17</v>
      </c>
      <c r="AO132" s="4">
        <v>1993.04</v>
      </c>
      <c r="AP132" s="4">
        <v>14</v>
      </c>
      <c r="AQ132" s="4">
        <v>760.02</v>
      </c>
      <c r="AR132" s="4">
        <v>5</v>
      </c>
      <c r="AS132" s="4">
        <v>699.01</v>
      </c>
      <c r="AT132" s="4">
        <v>8</v>
      </c>
      <c r="AU132" s="4">
        <v>1155.01</v>
      </c>
      <c r="AV132" s="4">
        <v>6</v>
      </c>
      <c r="AW132" s="4">
        <v>891.99</v>
      </c>
      <c r="AX132" s="4">
        <v>9</v>
      </c>
      <c r="AY132" s="4">
        <v>0</v>
      </c>
      <c r="AZ132" s="4">
        <v>0</v>
      </c>
      <c r="BA132" s="4">
        <v>926.94</v>
      </c>
      <c r="BB132" s="4">
        <v>6</v>
      </c>
      <c r="BC132" s="4">
        <v>1728.91</v>
      </c>
      <c r="BD132" s="4">
        <v>10</v>
      </c>
      <c r="BE132" s="4">
        <v>1258.0899999999999</v>
      </c>
      <c r="BF132" s="4">
        <v>7</v>
      </c>
      <c r="BQ132" s="3">
        <f t="shared" si="4"/>
        <v>49115.65</v>
      </c>
      <c r="BR132" s="3">
        <f t="shared" si="3"/>
        <v>342</v>
      </c>
    </row>
    <row r="133" spans="1:70" x14ac:dyDescent="0.25">
      <c r="A133" s="4" t="s">
        <v>2257</v>
      </c>
      <c r="B133" t="s">
        <v>34</v>
      </c>
      <c r="C133" s="338" t="s">
        <v>1735</v>
      </c>
      <c r="D133" s="213" t="s">
        <v>826</v>
      </c>
      <c r="E133" s="213" t="s">
        <v>138</v>
      </c>
      <c r="F133" s="213" t="s">
        <v>128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15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Q133" s="3">
        <f t="shared" si="4"/>
        <v>15</v>
      </c>
      <c r="BR133" s="3">
        <f t="shared" ref="BR133:BR196" si="5">H133+J133+L133+N133+P133+R133+T133+V133+X133+Z133+AB133+AD133+AF133+AH133+AJ133+AL133+AN133+AP133+AR133+AT133+AV133+AX133+AZ133+BB133+BD133+BF133</f>
        <v>1</v>
      </c>
    </row>
    <row r="134" spans="1:70" x14ac:dyDescent="0.25">
      <c r="A134" s="4" t="s">
        <v>2258</v>
      </c>
      <c r="B134" t="s">
        <v>34</v>
      </c>
      <c r="C134" s="338" t="s">
        <v>1736</v>
      </c>
      <c r="D134" s="213" t="s">
        <v>827</v>
      </c>
      <c r="E134" s="213" t="s">
        <v>138</v>
      </c>
      <c r="F134" s="213" t="s">
        <v>128</v>
      </c>
      <c r="G134" s="4">
        <v>1510</v>
      </c>
      <c r="H134" s="4">
        <v>15</v>
      </c>
      <c r="I134" s="4">
        <v>3252.06</v>
      </c>
      <c r="J134" s="4">
        <v>27</v>
      </c>
      <c r="K134" s="4">
        <v>1946.03</v>
      </c>
      <c r="L134" s="4">
        <v>13</v>
      </c>
      <c r="M134" s="4">
        <v>1830.06</v>
      </c>
      <c r="N134" s="4">
        <v>11</v>
      </c>
      <c r="O134" s="4">
        <v>2210.0300000000002</v>
      </c>
      <c r="P134" s="4">
        <v>16</v>
      </c>
      <c r="Q134" s="4">
        <v>1677.02</v>
      </c>
      <c r="R134" s="4">
        <v>11</v>
      </c>
      <c r="S134" s="4">
        <v>0</v>
      </c>
      <c r="T134" s="4">
        <v>0</v>
      </c>
      <c r="U134" s="4">
        <v>3622.06</v>
      </c>
      <c r="V134" s="4">
        <v>26</v>
      </c>
      <c r="W134" s="4">
        <v>2644.05</v>
      </c>
      <c r="X134" s="4">
        <v>17</v>
      </c>
      <c r="Y134" s="4">
        <v>1882.05</v>
      </c>
      <c r="Z134" s="4">
        <v>10</v>
      </c>
      <c r="AA134" s="4">
        <v>1003.05</v>
      </c>
      <c r="AB134" s="4">
        <v>6</v>
      </c>
      <c r="AC134" s="4">
        <v>1130</v>
      </c>
      <c r="AD134" s="4">
        <v>6</v>
      </c>
      <c r="AE134" s="4">
        <v>1497.01</v>
      </c>
      <c r="AF134" s="4">
        <v>10</v>
      </c>
      <c r="AG134" s="4">
        <v>1894.05</v>
      </c>
      <c r="AH134" s="4">
        <v>11</v>
      </c>
      <c r="AI134" s="4">
        <v>2156.0300000000002</v>
      </c>
      <c r="AJ134" s="4">
        <v>18</v>
      </c>
      <c r="AK134" s="4">
        <v>1352.03</v>
      </c>
      <c r="AL134" s="4">
        <v>12</v>
      </c>
      <c r="AM134" s="4">
        <v>0</v>
      </c>
      <c r="AN134" s="4">
        <v>0</v>
      </c>
      <c r="AO134" s="4">
        <v>909</v>
      </c>
      <c r="AP134" s="4">
        <v>8</v>
      </c>
      <c r="AQ134" s="4">
        <v>872.99</v>
      </c>
      <c r="AR134" s="4">
        <v>8</v>
      </c>
      <c r="AS134" s="4">
        <v>0</v>
      </c>
      <c r="AT134" s="4">
        <v>0</v>
      </c>
      <c r="AU134" s="4">
        <v>3226.03</v>
      </c>
      <c r="AV134" s="4">
        <v>16</v>
      </c>
      <c r="AW134" s="4">
        <v>956.98</v>
      </c>
      <c r="AX134" s="4">
        <v>8</v>
      </c>
      <c r="AY134" s="4">
        <v>3418.88</v>
      </c>
      <c r="AZ134" s="4">
        <v>17</v>
      </c>
      <c r="BA134" s="4">
        <v>1353.92</v>
      </c>
      <c r="BB134" s="4">
        <v>12</v>
      </c>
      <c r="BC134" s="4">
        <v>1507.96</v>
      </c>
      <c r="BD134" s="4">
        <v>5</v>
      </c>
      <c r="BE134" s="4">
        <v>1666.13</v>
      </c>
      <c r="BF134" s="4">
        <v>8</v>
      </c>
      <c r="BQ134" s="3">
        <f t="shared" ref="BQ134:BQ197" si="6">G134+I134+K134+M134+O134+Q134+S134+U134+W134+Y134+AA134+AC134+AE134+AG134+AI134+AK134+AM134+AO134+AQ134+AS134+AU134+AW134+AY134+BA134+BC134+BE134</f>
        <v>43517.419999999991</v>
      </c>
      <c r="BR134" s="3">
        <f t="shared" si="5"/>
        <v>291</v>
      </c>
    </row>
    <row r="135" spans="1:70" x14ac:dyDescent="0.25">
      <c r="A135" s="4" t="s">
        <v>2259</v>
      </c>
      <c r="B135" t="s">
        <v>35</v>
      </c>
      <c r="C135" s="338" t="s">
        <v>1737</v>
      </c>
      <c r="D135" s="213" t="s">
        <v>828</v>
      </c>
      <c r="E135" s="213" t="s">
        <v>148</v>
      </c>
      <c r="F135" s="213" t="s">
        <v>126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958.01</v>
      </c>
      <c r="T135" s="4">
        <v>5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Q135" s="3">
        <f t="shared" si="6"/>
        <v>958.01</v>
      </c>
      <c r="BR135" s="3">
        <f t="shared" si="5"/>
        <v>5</v>
      </c>
    </row>
    <row r="136" spans="1:70" x14ac:dyDescent="0.25">
      <c r="A136" s="4" t="s">
        <v>2260</v>
      </c>
      <c r="B136" t="s">
        <v>35</v>
      </c>
      <c r="C136" s="338" t="s">
        <v>1738</v>
      </c>
      <c r="D136" s="213" t="s">
        <v>829</v>
      </c>
      <c r="E136" s="213" t="s">
        <v>148</v>
      </c>
      <c r="F136" s="213" t="s">
        <v>126</v>
      </c>
      <c r="G136" s="4">
        <v>2841.06</v>
      </c>
      <c r="H136" s="4">
        <v>25</v>
      </c>
      <c r="I136" s="4">
        <v>2074.0100000000002</v>
      </c>
      <c r="J136" s="4">
        <v>16</v>
      </c>
      <c r="K136" s="4">
        <v>1410.01</v>
      </c>
      <c r="L136" s="4">
        <v>14</v>
      </c>
      <c r="M136" s="4">
        <v>1222.02</v>
      </c>
      <c r="N136" s="4">
        <v>7</v>
      </c>
      <c r="O136" s="4">
        <v>1778.04</v>
      </c>
      <c r="P136" s="4">
        <v>16</v>
      </c>
      <c r="Q136" s="4">
        <v>1497.02</v>
      </c>
      <c r="R136" s="4">
        <v>11</v>
      </c>
      <c r="S136" s="4">
        <v>0</v>
      </c>
      <c r="T136" s="4">
        <v>0</v>
      </c>
      <c r="U136" s="4">
        <v>1994.04</v>
      </c>
      <c r="V136" s="4">
        <v>19</v>
      </c>
      <c r="W136" s="4">
        <v>2175.0700000000002</v>
      </c>
      <c r="X136" s="4">
        <v>15</v>
      </c>
      <c r="Y136" s="4">
        <v>2214.0300000000002</v>
      </c>
      <c r="Z136" s="4">
        <v>12</v>
      </c>
      <c r="AA136" s="4">
        <v>1148.98</v>
      </c>
      <c r="AB136" s="4">
        <v>4</v>
      </c>
      <c r="AC136" s="4">
        <v>1168.05</v>
      </c>
      <c r="AD136" s="4">
        <v>12</v>
      </c>
      <c r="AE136" s="4">
        <v>2690.04</v>
      </c>
      <c r="AF136" s="4">
        <v>22</v>
      </c>
      <c r="AG136" s="4">
        <v>880</v>
      </c>
      <c r="AH136" s="4">
        <v>7</v>
      </c>
      <c r="AI136" s="4">
        <v>2124.02</v>
      </c>
      <c r="AJ136" s="4">
        <v>14</v>
      </c>
      <c r="AK136" s="4">
        <v>0</v>
      </c>
      <c r="AL136" s="4">
        <v>1</v>
      </c>
      <c r="AM136" s="4">
        <v>889.01</v>
      </c>
      <c r="AN136" s="4">
        <v>7</v>
      </c>
      <c r="AO136" s="4">
        <v>884.01</v>
      </c>
      <c r="AP136" s="4">
        <v>8</v>
      </c>
      <c r="AQ136" s="4">
        <v>1856.01</v>
      </c>
      <c r="AR136" s="4">
        <v>15</v>
      </c>
      <c r="AS136" s="4">
        <v>1414.03</v>
      </c>
      <c r="AT136" s="4">
        <v>13</v>
      </c>
      <c r="AU136" s="4">
        <v>0</v>
      </c>
      <c r="AV136" s="4">
        <v>0</v>
      </c>
      <c r="AW136" s="4">
        <v>1881.99</v>
      </c>
      <c r="AX136" s="4">
        <v>12</v>
      </c>
      <c r="AY136" s="4">
        <v>670.96</v>
      </c>
      <c r="AZ136" s="4">
        <v>6</v>
      </c>
      <c r="BA136" s="4">
        <v>0</v>
      </c>
      <c r="BB136" s="4">
        <v>0</v>
      </c>
      <c r="BC136" s="4">
        <v>571.96</v>
      </c>
      <c r="BD136" s="4">
        <v>4</v>
      </c>
      <c r="BE136" s="4">
        <v>2097.13</v>
      </c>
      <c r="BF136" s="4">
        <v>16</v>
      </c>
      <c r="BQ136" s="3">
        <f t="shared" si="6"/>
        <v>35481.489999999991</v>
      </c>
      <c r="BR136" s="3">
        <f t="shared" si="5"/>
        <v>276</v>
      </c>
    </row>
    <row r="137" spans="1:70" x14ac:dyDescent="0.25">
      <c r="A137" s="4" t="s">
        <v>2261</v>
      </c>
      <c r="B137" t="s">
        <v>35</v>
      </c>
      <c r="C137" s="338" t="s">
        <v>1739</v>
      </c>
      <c r="D137" s="213" t="s">
        <v>830</v>
      </c>
      <c r="E137" s="213" t="s">
        <v>148</v>
      </c>
      <c r="F137" s="213" t="s">
        <v>126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199.01</v>
      </c>
      <c r="V137" s="4">
        <v>1</v>
      </c>
      <c r="W137" s="4">
        <v>75</v>
      </c>
      <c r="X137" s="4">
        <v>1</v>
      </c>
      <c r="Y137" s="4">
        <v>375.01</v>
      </c>
      <c r="Z137" s="4">
        <v>3</v>
      </c>
      <c r="AA137" s="4">
        <v>745.05</v>
      </c>
      <c r="AB137" s="4">
        <v>5</v>
      </c>
      <c r="AC137" s="4">
        <v>0</v>
      </c>
      <c r="AD137" s="4">
        <v>0</v>
      </c>
      <c r="AE137" s="4">
        <v>1361.04</v>
      </c>
      <c r="AF137" s="4">
        <v>9</v>
      </c>
      <c r="AG137" s="4">
        <v>0</v>
      </c>
      <c r="AH137" s="4">
        <v>0</v>
      </c>
      <c r="AI137" s="4">
        <v>0</v>
      </c>
      <c r="AJ137" s="4">
        <v>0</v>
      </c>
      <c r="AK137" s="4">
        <v>349.01</v>
      </c>
      <c r="AL137" s="4">
        <v>2</v>
      </c>
      <c r="AM137" s="4">
        <v>174</v>
      </c>
      <c r="AN137" s="4">
        <v>2</v>
      </c>
      <c r="AO137" s="4">
        <v>300</v>
      </c>
      <c r="AP137" s="4">
        <v>2</v>
      </c>
      <c r="AQ137" s="4">
        <v>571.01</v>
      </c>
      <c r="AR137" s="4">
        <v>3</v>
      </c>
      <c r="AS137" s="4">
        <v>0</v>
      </c>
      <c r="AT137" s="4">
        <v>0</v>
      </c>
      <c r="AU137" s="4">
        <v>565</v>
      </c>
      <c r="AV137" s="4">
        <v>4</v>
      </c>
      <c r="AW137" s="4">
        <v>0</v>
      </c>
      <c r="AX137" s="4">
        <v>0</v>
      </c>
      <c r="AY137" s="4">
        <v>0</v>
      </c>
      <c r="AZ137" s="4">
        <v>0</v>
      </c>
      <c r="BA137" s="4">
        <v>477.98</v>
      </c>
      <c r="BB137" s="4">
        <v>5</v>
      </c>
      <c r="BC137" s="4">
        <v>75</v>
      </c>
      <c r="BD137" s="4">
        <v>1</v>
      </c>
      <c r="BE137" s="4">
        <v>1856.14</v>
      </c>
      <c r="BF137" s="4">
        <v>8</v>
      </c>
      <c r="BQ137" s="3">
        <f t="shared" si="6"/>
        <v>7123.2500000000009</v>
      </c>
      <c r="BR137" s="3">
        <f t="shared" si="5"/>
        <v>46</v>
      </c>
    </row>
    <row r="138" spans="1:70" x14ac:dyDescent="0.25">
      <c r="A138" s="4" t="s">
        <v>2262</v>
      </c>
      <c r="B138" t="s">
        <v>35</v>
      </c>
      <c r="C138" s="338" t="s">
        <v>1740</v>
      </c>
      <c r="D138" s="213" t="s">
        <v>831</v>
      </c>
      <c r="E138" s="213" t="s">
        <v>148</v>
      </c>
      <c r="F138" s="213" t="s">
        <v>126</v>
      </c>
      <c r="G138" s="4">
        <v>1436.06</v>
      </c>
      <c r="H138" s="4">
        <v>9</v>
      </c>
      <c r="I138" s="4">
        <v>3438.06</v>
      </c>
      <c r="J138" s="4">
        <v>28</v>
      </c>
      <c r="K138" s="4">
        <v>1722.03</v>
      </c>
      <c r="L138" s="4">
        <v>12</v>
      </c>
      <c r="M138" s="4">
        <v>1594.04</v>
      </c>
      <c r="N138" s="4">
        <v>11</v>
      </c>
      <c r="O138" s="4">
        <v>1116.02</v>
      </c>
      <c r="P138" s="4">
        <v>9</v>
      </c>
      <c r="Q138" s="4">
        <v>0</v>
      </c>
      <c r="R138" s="4">
        <v>0</v>
      </c>
      <c r="S138" s="4">
        <v>1526.03</v>
      </c>
      <c r="T138" s="4">
        <v>11</v>
      </c>
      <c r="U138" s="4">
        <v>2877.08</v>
      </c>
      <c r="V138" s="4">
        <v>18</v>
      </c>
      <c r="W138" s="4">
        <v>2270.06</v>
      </c>
      <c r="X138" s="4">
        <v>17</v>
      </c>
      <c r="Y138" s="4">
        <v>0</v>
      </c>
      <c r="Z138" s="4">
        <v>0</v>
      </c>
      <c r="AA138" s="4">
        <v>0</v>
      </c>
      <c r="AB138" s="4">
        <v>0</v>
      </c>
      <c r="AC138" s="4">
        <v>978.04</v>
      </c>
      <c r="AD138" s="4">
        <v>7</v>
      </c>
      <c r="AE138" s="4">
        <v>0</v>
      </c>
      <c r="AF138" s="4">
        <v>0</v>
      </c>
      <c r="AG138" s="4">
        <v>1095.03</v>
      </c>
      <c r="AH138" s="4">
        <v>9</v>
      </c>
      <c r="AI138" s="4">
        <v>300</v>
      </c>
      <c r="AJ138" s="4">
        <v>3</v>
      </c>
      <c r="AK138" s="4">
        <v>2018.03</v>
      </c>
      <c r="AL138" s="4">
        <v>15</v>
      </c>
      <c r="AM138" s="4">
        <v>2300.98</v>
      </c>
      <c r="AN138" s="4">
        <v>12</v>
      </c>
      <c r="AO138" s="4">
        <v>0</v>
      </c>
      <c r="AP138" s="4">
        <v>2</v>
      </c>
      <c r="AQ138" s="4">
        <v>863.03</v>
      </c>
      <c r="AR138" s="4">
        <v>6</v>
      </c>
      <c r="AS138" s="4">
        <v>915.03</v>
      </c>
      <c r="AT138" s="4">
        <v>8</v>
      </c>
      <c r="AU138" s="4">
        <v>700.01</v>
      </c>
      <c r="AV138" s="4">
        <v>8</v>
      </c>
      <c r="AW138" s="4">
        <v>1304.96</v>
      </c>
      <c r="AX138" s="4">
        <v>8</v>
      </c>
      <c r="AY138" s="4">
        <v>3158.85</v>
      </c>
      <c r="AZ138" s="4">
        <v>20</v>
      </c>
      <c r="BA138" s="4">
        <v>1344.9</v>
      </c>
      <c r="BB138" s="4">
        <v>6</v>
      </c>
      <c r="BC138" s="4">
        <v>0</v>
      </c>
      <c r="BD138" s="4">
        <v>0</v>
      </c>
      <c r="BE138" s="4">
        <v>1359.08</v>
      </c>
      <c r="BF138" s="4">
        <v>7</v>
      </c>
      <c r="BQ138" s="3">
        <f t="shared" si="6"/>
        <v>32317.319999999992</v>
      </c>
      <c r="BR138" s="3">
        <f t="shared" si="5"/>
        <v>226</v>
      </c>
    </row>
    <row r="139" spans="1:70" x14ac:dyDescent="0.25">
      <c r="A139" s="4" t="s">
        <v>2263</v>
      </c>
      <c r="B139" t="s">
        <v>35</v>
      </c>
      <c r="C139" s="338" t="s">
        <v>1741</v>
      </c>
      <c r="D139" s="213" t="s">
        <v>832</v>
      </c>
      <c r="E139" s="213" t="s">
        <v>148</v>
      </c>
      <c r="F139" s="213" t="s">
        <v>126</v>
      </c>
      <c r="G139" s="4">
        <v>1898.02</v>
      </c>
      <c r="H139" s="4">
        <v>16</v>
      </c>
      <c r="I139" s="4">
        <v>2815.04</v>
      </c>
      <c r="J139" s="4">
        <v>31</v>
      </c>
      <c r="K139" s="4">
        <v>2216.06</v>
      </c>
      <c r="L139" s="4">
        <v>16</v>
      </c>
      <c r="M139" s="4">
        <v>2123.0300000000002</v>
      </c>
      <c r="N139" s="4">
        <v>14</v>
      </c>
      <c r="O139" s="4">
        <v>271.01</v>
      </c>
      <c r="P139" s="4">
        <v>1</v>
      </c>
      <c r="Q139" s="4">
        <v>1261.04</v>
      </c>
      <c r="R139" s="4">
        <v>9</v>
      </c>
      <c r="S139" s="4">
        <v>1524.04</v>
      </c>
      <c r="T139" s="4">
        <v>6</v>
      </c>
      <c r="U139" s="4">
        <v>849.02</v>
      </c>
      <c r="V139" s="4">
        <v>6</v>
      </c>
      <c r="W139" s="4">
        <v>2099.04</v>
      </c>
      <c r="X139" s="4">
        <v>19</v>
      </c>
      <c r="Y139" s="4">
        <v>2198.06</v>
      </c>
      <c r="Z139" s="4">
        <v>11</v>
      </c>
      <c r="AA139" s="4">
        <v>2164.04</v>
      </c>
      <c r="AB139" s="4">
        <v>14</v>
      </c>
      <c r="AC139" s="4">
        <v>812.01</v>
      </c>
      <c r="AD139" s="4">
        <v>8</v>
      </c>
      <c r="AE139" s="4">
        <v>0</v>
      </c>
      <c r="AF139" s="4">
        <v>0</v>
      </c>
      <c r="AG139" s="4">
        <v>1024.03</v>
      </c>
      <c r="AH139" s="4">
        <v>8</v>
      </c>
      <c r="AI139" s="4">
        <v>647</v>
      </c>
      <c r="AJ139" s="4">
        <v>7</v>
      </c>
      <c r="AK139" s="4">
        <v>1776.01</v>
      </c>
      <c r="AL139" s="4">
        <v>17</v>
      </c>
      <c r="AM139" s="4">
        <v>1050.02</v>
      </c>
      <c r="AN139" s="4">
        <v>7</v>
      </c>
      <c r="AO139" s="4">
        <v>1424.01</v>
      </c>
      <c r="AP139" s="4">
        <v>8</v>
      </c>
      <c r="AQ139" s="4">
        <v>1083.01</v>
      </c>
      <c r="AR139" s="4">
        <v>8</v>
      </c>
      <c r="AS139" s="4">
        <v>150.01</v>
      </c>
      <c r="AT139" s="4">
        <v>1</v>
      </c>
      <c r="AU139" s="4">
        <v>899.02</v>
      </c>
      <c r="AV139" s="4">
        <v>7</v>
      </c>
      <c r="AW139" s="4">
        <v>907.96</v>
      </c>
      <c r="AX139" s="4">
        <v>8</v>
      </c>
      <c r="AY139" s="4">
        <v>1407.97</v>
      </c>
      <c r="AZ139" s="4">
        <v>13</v>
      </c>
      <c r="BA139" s="4">
        <v>3142.76</v>
      </c>
      <c r="BB139" s="4">
        <v>13</v>
      </c>
      <c r="BC139" s="4">
        <v>2046.88</v>
      </c>
      <c r="BD139" s="4">
        <v>15</v>
      </c>
      <c r="BE139" s="4">
        <v>859.03</v>
      </c>
      <c r="BF139" s="4">
        <v>11</v>
      </c>
      <c r="BQ139" s="3">
        <f t="shared" si="6"/>
        <v>36648.119999999995</v>
      </c>
      <c r="BR139" s="3">
        <f t="shared" si="5"/>
        <v>274</v>
      </c>
    </row>
    <row r="140" spans="1:70" x14ac:dyDescent="0.25">
      <c r="A140" s="4" t="s">
        <v>2264</v>
      </c>
      <c r="B140" t="s">
        <v>35</v>
      </c>
      <c r="C140" s="338" t="s">
        <v>1742</v>
      </c>
      <c r="D140" s="213" t="s">
        <v>833</v>
      </c>
      <c r="E140" s="213" t="s">
        <v>148</v>
      </c>
      <c r="F140" s="213" t="s">
        <v>126</v>
      </c>
      <c r="G140" s="4">
        <v>3498.06</v>
      </c>
      <c r="H140" s="4">
        <v>32</v>
      </c>
      <c r="I140" s="4">
        <v>1839.04</v>
      </c>
      <c r="J140" s="4">
        <v>18</v>
      </c>
      <c r="K140" s="4">
        <v>2878.08</v>
      </c>
      <c r="L140" s="4">
        <v>24</v>
      </c>
      <c r="M140" s="4">
        <v>0</v>
      </c>
      <c r="N140" s="4">
        <v>0</v>
      </c>
      <c r="O140" s="4">
        <v>2834.03</v>
      </c>
      <c r="P140" s="4">
        <v>17</v>
      </c>
      <c r="Q140" s="4">
        <v>1744.03</v>
      </c>
      <c r="R140" s="4">
        <v>13</v>
      </c>
      <c r="S140" s="4">
        <v>4577.05</v>
      </c>
      <c r="T140" s="4">
        <v>33</v>
      </c>
      <c r="U140" s="4">
        <v>2298.0100000000002</v>
      </c>
      <c r="V140" s="4">
        <v>19</v>
      </c>
      <c r="W140" s="4">
        <v>3640.08</v>
      </c>
      <c r="X140" s="4">
        <v>26</v>
      </c>
      <c r="Y140" s="4">
        <v>3220.03</v>
      </c>
      <c r="Z140" s="4">
        <v>23</v>
      </c>
      <c r="AA140" s="4">
        <v>1715.01</v>
      </c>
      <c r="AB140" s="4">
        <v>13</v>
      </c>
      <c r="AC140" s="4">
        <v>0</v>
      </c>
      <c r="AD140" s="4">
        <v>0</v>
      </c>
      <c r="AE140" s="4">
        <v>0</v>
      </c>
      <c r="AF140" s="4">
        <v>0</v>
      </c>
      <c r="AG140" s="4">
        <v>1579.02</v>
      </c>
      <c r="AH140" s="4">
        <v>13</v>
      </c>
      <c r="AI140" s="4">
        <v>1920.01</v>
      </c>
      <c r="AJ140" s="4">
        <v>14</v>
      </c>
      <c r="AK140" s="4">
        <v>3598.08</v>
      </c>
      <c r="AL140" s="4">
        <v>24</v>
      </c>
      <c r="AM140" s="4">
        <v>3048.06</v>
      </c>
      <c r="AN140" s="4">
        <v>14</v>
      </c>
      <c r="AO140" s="4">
        <v>2787.01</v>
      </c>
      <c r="AP140" s="4">
        <v>14</v>
      </c>
      <c r="AQ140" s="4">
        <v>0</v>
      </c>
      <c r="AR140" s="4">
        <v>0</v>
      </c>
      <c r="AS140" s="4">
        <v>2223.06</v>
      </c>
      <c r="AT140" s="4">
        <v>13</v>
      </c>
      <c r="AU140" s="4">
        <v>2197.04</v>
      </c>
      <c r="AV140" s="4">
        <v>14</v>
      </c>
      <c r="AW140" s="4">
        <v>2615.92</v>
      </c>
      <c r="AX140" s="4">
        <v>20</v>
      </c>
      <c r="AY140" s="4">
        <v>1078.96</v>
      </c>
      <c r="AZ140" s="4">
        <v>8</v>
      </c>
      <c r="BA140" s="4">
        <v>2760.85</v>
      </c>
      <c r="BB140" s="4">
        <v>15</v>
      </c>
      <c r="BC140" s="4">
        <v>2498.86</v>
      </c>
      <c r="BD140" s="4">
        <v>14</v>
      </c>
      <c r="BE140" s="4">
        <v>0</v>
      </c>
      <c r="BF140" s="4">
        <v>0</v>
      </c>
      <c r="BQ140" s="3">
        <f t="shared" si="6"/>
        <v>54550.289999999994</v>
      </c>
      <c r="BR140" s="3">
        <f t="shared" si="5"/>
        <v>381</v>
      </c>
    </row>
    <row r="141" spans="1:70" x14ac:dyDescent="0.25">
      <c r="A141" s="4" t="s">
        <v>2265</v>
      </c>
      <c r="B141" t="s">
        <v>36</v>
      </c>
      <c r="C141" s="338" t="s">
        <v>1743</v>
      </c>
      <c r="D141" s="213" t="s">
        <v>834</v>
      </c>
      <c r="E141" s="213" t="s">
        <v>145</v>
      </c>
      <c r="F141" s="213" t="s">
        <v>131</v>
      </c>
      <c r="G141" s="4">
        <v>2345.9899999999998</v>
      </c>
      <c r="H141" s="4">
        <v>16</v>
      </c>
      <c r="I141" s="4">
        <v>0</v>
      </c>
      <c r="J141" s="4">
        <v>0</v>
      </c>
      <c r="K141" s="4">
        <v>3326.06</v>
      </c>
      <c r="L141" s="4">
        <v>30</v>
      </c>
      <c r="M141" s="4">
        <v>2168.02</v>
      </c>
      <c r="N141" s="4">
        <v>18</v>
      </c>
      <c r="O141" s="4">
        <v>1981.02</v>
      </c>
      <c r="P141" s="4">
        <v>15</v>
      </c>
      <c r="Q141" s="4">
        <v>2565.0500000000002</v>
      </c>
      <c r="R141" s="4">
        <v>22</v>
      </c>
      <c r="S141" s="4">
        <v>1956.03</v>
      </c>
      <c r="T141" s="4">
        <v>13</v>
      </c>
      <c r="U141" s="4">
        <v>0</v>
      </c>
      <c r="V141" s="4">
        <v>0</v>
      </c>
      <c r="W141" s="4">
        <v>0</v>
      </c>
      <c r="X141" s="4">
        <v>0</v>
      </c>
      <c r="Y141" s="4">
        <v>3606.07</v>
      </c>
      <c r="Z141" s="4">
        <v>18</v>
      </c>
      <c r="AA141" s="4">
        <v>2766.07</v>
      </c>
      <c r="AB141" s="4">
        <v>12</v>
      </c>
      <c r="AC141" s="4">
        <v>1660.01</v>
      </c>
      <c r="AD141" s="4">
        <v>13</v>
      </c>
      <c r="AE141" s="4">
        <v>1304.04</v>
      </c>
      <c r="AF141" s="4">
        <v>9</v>
      </c>
      <c r="AG141" s="4">
        <v>1116.02</v>
      </c>
      <c r="AH141" s="4">
        <v>8</v>
      </c>
      <c r="AI141" s="4">
        <v>1834.02</v>
      </c>
      <c r="AJ141" s="4">
        <v>15</v>
      </c>
      <c r="AK141" s="4">
        <v>0</v>
      </c>
      <c r="AL141" s="4">
        <v>0</v>
      </c>
      <c r="AM141" s="4">
        <v>2215.0300000000002</v>
      </c>
      <c r="AN141" s="4">
        <v>16</v>
      </c>
      <c r="AO141" s="4">
        <v>1379.99</v>
      </c>
      <c r="AP141" s="4">
        <v>11</v>
      </c>
      <c r="AQ141" s="4">
        <v>675</v>
      </c>
      <c r="AR141" s="4">
        <v>4</v>
      </c>
      <c r="AS141" s="4">
        <v>798.03</v>
      </c>
      <c r="AT141" s="4">
        <v>5</v>
      </c>
      <c r="AU141" s="4">
        <v>859</v>
      </c>
      <c r="AV141" s="4">
        <v>11</v>
      </c>
      <c r="AW141" s="4">
        <v>571.96</v>
      </c>
      <c r="AX141" s="4">
        <v>4</v>
      </c>
      <c r="AY141" s="4">
        <v>0</v>
      </c>
      <c r="AZ141" s="4">
        <v>0</v>
      </c>
      <c r="BA141" s="4">
        <v>2973.8</v>
      </c>
      <c r="BB141" s="4">
        <v>16</v>
      </c>
      <c r="BC141" s="4">
        <v>1047.95</v>
      </c>
      <c r="BD141" s="4">
        <v>7</v>
      </c>
      <c r="BE141" s="4">
        <v>1078.06</v>
      </c>
      <c r="BF141" s="4">
        <v>8</v>
      </c>
      <c r="BQ141" s="3">
        <f t="shared" si="6"/>
        <v>38227.22</v>
      </c>
      <c r="BR141" s="3">
        <f t="shared" si="5"/>
        <v>271</v>
      </c>
    </row>
    <row r="142" spans="1:70" x14ac:dyDescent="0.25">
      <c r="A142" s="4" t="s">
        <v>2266</v>
      </c>
      <c r="B142" t="s">
        <v>36</v>
      </c>
      <c r="C142" s="338" t="s">
        <v>1744</v>
      </c>
      <c r="D142" s="213" t="s">
        <v>835</v>
      </c>
      <c r="E142" s="213" t="s">
        <v>145</v>
      </c>
      <c r="F142" s="213" t="s">
        <v>131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325</v>
      </c>
      <c r="AF142" s="4">
        <v>2</v>
      </c>
      <c r="AG142" s="4">
        <v>1830</v>
      </c>
      <c r="AH142" s="4">
        <v>14</v>
      </c>
      <c r="AI142" s="4">
        <v>22</v>
      </c>
      <c r="AJ142" s="4">
        <v>1</v>
      </c>
      <c r="AK142" s="4">
        <v>0</v>
      </c>
      <c r="AL142" s="4">
        <v>0</v>
      </c>
      <c r="AM142" s="4">
        <v>1200.02</v>
      </c>
      <c r="AN142" s="4">
        <v>7</v>
      </c>
      <c r="AO142" s="4">
        <v>225.01</v>
      </c>
      <c r="AP142" s="4">
        <v>2</v>
      </c>
      <c r="AQ142" s="4">
        <v>299.99</v>
      </c>
      <c r="AR142" s="4">
        <v>1</v>
      </c>
      <c r="AS142" s="4">
        <v>0</v>
      </c>
      <c r="AT142" s="4">
        <v>0</v>
      </c>
      <c r="AU142" s="4">
        <v>2495.08</v>
      </c>
      <c r="AV142" s="4">
        <v>13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Q142" s="3">
        <f t="shared" si="6"/>
        <v>6397.0999999999995</v>
      </c>
      <c r="BR142" s="3">
        <f t="shared" si="5"/>
        <v>40</v>
      </c>
    </row>
    <row r="143" spans="1:70" x14ac:dyDescent="0.25">
      <c r="A143" s="4" t="s">
        <v>2267</v>
      </c>
      <c r="B143" t="s">
        <v>36</v>
      </c>
      <c r="C143" s="338" t="s">
        <v>1745</v>
      </c>
      <c r="D143" s="213" t="s">
        <v>836</v>
      </c>
      <c r="E143" s="213" t="s">
        <v>145</v>
      </c>
      <c r="F143" s="213" t="s">
        <v>131</v>
      </c>
      <c r="G143" s="4">
        <v>1913.04</v>
      </c>
      <c r="H143" s="4">
        <v>15</v>
      </c>
      <c r="I143" s="4">
        <v>5281.17</v>
      </c>
      <c r="J143" s="4">
        <v>33</v>
      </c>
      <c r="K143" s="4">
        <v>9342.14</v>
      </c>
      <c r="L143" s="4">
        <v>56</v>
      </c>
      <c r="M143" s="4">
        <v>2144.0300000000002</v>
      </c>
      <c r="N143" s="4">
        <v>18</v>
      </c>
      <c r="O143" s="4">
        <v>1727.04</v>
      </c>
      <c r="P143" s="4">
        <v>10</v>
      </c>
      <c r="Q143" s="4">
        <v>4496.99</v>
      </c>
      <c r="R143" s="4">
        <v>14</v>
      </c>
      <c r="S143" s="4">
        <v>0</v>
      </c>
      <c r="T143" s="4">
        <v>0</v>
      </c>
      <c r="U143" s="4">
        <v>5370.09</v>
      </c>
      <c r="V143" s="4">
        <v>31</v>
      </c>
      <c r="W143" s="4">
        <v>10748.17</v>
      </c>
      <c r="X143" s="4">
        <v>64</v>
      </c>
      <c r="Y143" s="4">
        <v>1419.02</v>
      </c>
      <c r="Z143" s="4">
        <v>9</v>
      </c>
      <c r="AA143" s="4">
        <v>2426.0500000000002</v>
      </c>
      <c r="AB143" s="4">
        <v>13</v>
      </c>
      <c r="AC143" s="4">
        <v>424.01</v>
      </c>
      <c r="AD143" s="4">
        <v>3</v>
      </c>
      <c r="AE143" s="4">
        <v>0</v>
      </c>
      <c r="AF143" s="4">
        <v>0</v>
      </c>
      <c r="AG143" s="4">
        <v>0</v>
      </c>
      <c r="AH143" s="4">
        <v>0</v>
      </c>
      <c r="AI143" s="4">
        <v>2105.04</v>
      </c>
      <c r="AJ143" s="4">
        <v>11</v>
      </c>
      <c r="AK143" s="4">
        <v>2273.06</v>
      </c>
      <c r="AL143" s="4">
        <v>18</v>
      </c>
      <c r="AM143" s="4">
        <v>5947.08</v>
      </c>
      <c r="AN143" s="4">
        <v>28</v>
      </c>
      <c r="AO143" s="4">
        <v>1199.02</v>
      </c>
      <c r="AP143" s="4">
        <v>8</v>
      </c>
      <c r="AQ143" s="4">
        <v>1769.03</v>
      </c>
      <c r="AR143" s="4">
        <v>14</v>
      </c>
      <c r="AS143" s="4">
        <v>902.01</v>
      </c>
      <c r="AT143" s="4">
        <v>9</v>
      </c>
      <c r="AU143" s="4">
        <v>0</v>
      </c>
      <c r="AV143" s="4">
        <v>0</v>
      </c>
      <c r="AW143" s="4">
        <v>2653.93</v>
      </c>
      <c r="AX143" s="4">
        <v>16</v>
      </c>
      <c r="AY143" s="4">
        <v>3251.8</v>
      </c>
      <c r="AZ143" s="4">
        <v>22</v>
      </c>
      <c r="BA143" s="4">
        <v>6723.76</v>
      </c>
      <c r="BB143" s="4">
        <v>35</v>
      </c>
      <c r="BC143" s="4">
        <v>2798.79</v>
      </c>
      <c r="BD143" s="4">
        <v>14</v>
      </c>
      <c r="BE143" s="4">
        <v>2632.15</v>
      </c>
      <c r="BF143" s="4">
        <v>17</v>
      </c>
      <c r="BQ143" s="3">
        <f t="shared" si="6"/>
        <v>77547.419999999984</v>
      </c>
      <c r="BR143" s="3">
        <f t="shared" si="5"/>
        <v>458</v>
      </c>
    </row>
    <row r="144" spans="1:70" x14ac:dyDescent="0.25">
      <c r="A144" s="4" t="s">
        <v>2268</v>
      </c>
      <c r="B144" t="s">
        <v>36</v>
      </c>
      <c r="C144" s="338" t="s">
        <v>1746</v>
      </c>
      <c r="D144" s="213" t="s">
        <v>837</v>
      </c>
      <c r="E144" s="213" t="s">
        <v>145</v>
      </c>
      <c r="F144" s="213" t="s">
        <v>131</v>
      </c>
      <c r="G144" s="4">
        <v>3612.11</v>
      </c>
      <c r="H144" s="4">
        <v>28</v>
      </c>
      <c r="I144" s="4">
        <v>5571.08</v>
      </c>
      <c r="J144" s="4">
        <v>46</v>
      </c>
      <c r="K144" s="4">
        <v>0</v>
      </c>
      <c r="L144" s="4">
        <v>0</v>
      </c>
      <c r="M144" s="4">
        <v>3051.04</v>
      </c>
      <c r="N144" s="4">
        <v>16</v>
      </c>
      <c r="O144" s="4">
        <v>1480.02</v>
      </c>
      <c r="P144" s="4">
        <v>8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2111.0700000000002</v>
      </c>
      <c r="AD144" s="4">
        <v>15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5621.08</v>
      </c>
      <c r="AL144" s="4">
        <v>37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Q144" s="3">
        <f t="shared" si="6"/>
        <v>21446.400000000001</v>
      </c>
      <c r="BR144" s="3">
        <f t="shared" si="5"/>
        <v>150</v>
      </c>
    </row>
    <row r="145" spans="1:70" x14ac:dyDescent="0.25">
      <c r="A145" s="4" t="s">
        <v>2269</v>
      </c>
      <c r="B145" t="s">
        <v>36</v>
      </c>
      <c r="C145" s="338" t="s">
        <v>1747</v>
      </c>
      <c r="D145" s="213" t="s">
        <v>838</v>
      </c>
      <c r="E145" s="213" t="s">
        <v>145</v>
      </c>
      <c r="F145" s="213" t="s">
        <v>131</v>
      </c>
      <c r="G145" s="4">
        <v>4157.0600000000004</v>
      </c>
      <c r="H145" s="4">
        <v>40</v>
      </c>
      <c r="I145" s="4">
        <v>6495.09</v>
      </c>
      <c r="J145" s="4">
        <v>56</v>
      </c>
      <c r="K145" s="4">
        <v>0</v>
      </c>
      <c r="L145" s="4">
        <v>0</v>
      </c>
      <c r="M145" s="4">
        <v>3078.04</v>
      </c>
      <c r="N145" s="4">
        <v>20</v>
      </c>
      <c r="O145" s="4">
        <v>1761.05</v>
      </c>
      <c r="P145" s="4">
        <v>12</v>
      </c>
      <c r="Q145" s="4">
        <v>3199.05</v>
      </c>
      <c r="R145" s="4">
        <v>24</v>
      </c>
      <c r="S145" s="4">
        <v>4794.09</v>
      </c>
      <c r="T145" s="4">
        <v>36</v>
      </c>
      <c r="U145" s="4">
        <v>2110.0300000000002</v>
      </c>
      <c r="V145" s="4">
        <v>12</v>
      </c>
      <c r="W145" s="4">
        <v>0</v>
      </c>
      <c r="X145" s="4">
        <v>0</v>
      </c>
      <c r="Y145" s="4">
        <v>4995.1099999999997</v>
      </c>
      <c r="Z145" s="4">
        <v>29</v>
      </c>
      <c r="AA145" s="4">
        <v>3122.07</v>
      </c>
      <c r="AB145" s="4">
        <v>20</v>
      </c>
      <c r="AC145" s="4">
        <v>1095.01</v>
      </c>
      <c r="AD145" s="4">
        <v>9</v>
      </c>
      <c r="AE145" s="4">
        <v>2714.05</v>
      </c>
      <c r="AF145" s="4">
        <v>21</v>
      </c>
      <c r="AG145" s="4">
        <v>3345.08</v>
      </c>
      <c r="AH145" s="4">
        <v>22</v>
      </c>
      <c r="AI145" s="4">
        <v>3364.07</v>
      </c>
      <c r="AJ145" s="4">
        <v>23</v>
      </c>
      <c r="AK145" s="4">
        <v>3347.05</v>
      </c>
      <c r="AL145" s="4">
        <v>27</v>
      </c>
      <c r="AM145" s="4">
        <v>0</v>
      </c>
      <c r="AN145" s="4">
        <v>0</v>
      </c>
      <c r="AO145" s="4">
        <v>3196</v>
      </c>
      <c r="AP145" s="4">
        <v>16</v>
      </c>
      <c r="AQ145" s="4">
        <v>1620.02</v>
      </c>
      <c r="AR145" s="4">
        <v>7</v>
      </c>
      <c r="AS145" s="4">
        <v>3557.05</v>
      </c>
      <c r="AT145" s="4">
        <v>18</v>
      </c>
      <c r="AU145" s="4">
        <v>4077</v>
      </c>
      <c r="AV145" s="4">
        <v>16</v>
      </c>
      <c r="AW145" s="4">
        <v>2376.9299999999998</v>
      </c>
      <c r="AX145" s="4">
        <v>19</v>
      </c>
      <c r="AY145" s="4">
        <v>5361.65</v>
      </c>
      <c r="AZ145" s="4">
        <v>31</v>
      </c>
      <c r="BA145" s="4">
        <v>0</v>
      </c>
      <c r="BB145" s="4">
        <v>0</v>
      </c>
      <c r="BC145" s="4">
        <v>1223.9000000000001</v>
      </c>
      <c r="BD145" s="4">
        <v>8</v>
      </c>
      <c r="BE145" s="4">
        <v>211.02</v>
      </c>
      <c r="BF145" s="4">
        <v>1</v>
      </c>
      <c r="BQ145" s="3">
        <f t="shared" si="6"/>
        <v>69200.420000000013</v>
      </c>
      <c r="BR145" s="3">
        <f t="shared" si="5"/>
        <v>467</v>
      </c>
    </row>
    <row r="146" spans="1:70" x14ac:dyDescent="0.25">
      <c r="A146" s="4" t="s">
        <v>2270</v>
      </c>
      <c r="B146" t="s">
        <v>37</v>
      </c>
      <c r="C146" s="338" t="s">
        <v>1748</v>
      </c>
      <c r="D146" s="213" t="s">
        <v>839</v>
      </c>
      <c r="E146" s="213" t="s">
        <v>150</v>
      </c>
      <c r="F146" s="213" t="s">
        <v>133</v>
      </c>
      <c r="G146" s="4">
        <v>1458.03</v>
      </c>
      <c r="H146" s="4">
        <v>7</v>
      </c>
      <c r="I146" s="4">
        <v>2301.06</v>
      </c>
      <c r="J146" s="4">
        <v>15</v>
      </c>
      <c r="K146" s="4">
        <v>396</v>
      </c>
      <c r="L146" s="4">
        <v>4</v>
      </c>
      <c r="M146" s="4">
        <v>3466.1</v>
      </c>
      <c r="N146" s="4">
        <v>19</v>
      </c>
      <c r="O146" s="4">
        <v>1190.02</v>
      </c>
      <c r="P146" s="4">
        <v>9</v>
      </c>
      <c r="Q146" s="4">
        <v>1680.06</v>
      </c>
      <c r="R146" s="4">
        <v>14</v>
      </c>
      <c r="S146" s="4">
        <v>300</v>
      </c>
      <c r="T146" s="4">
        <v>2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1608.06</v>
      </c>
      <c r="AD146" s="4">
        <v>8</v>
      </c>
      <c r="AE146" s="4">
        <v>150</v>
      </c>
      <c r="AF146" s="4">
        <v>1</v>
      </c>
      <c r="AG146" s="4">
        <v>1009.03</v>
      </c>
      <c r="AH146" s="4">
        <v>8</v>
      </c>
      <c r="AI146" s="4">
        <v>1145.01</v>
      </c>
      <c r="AJ146" s="4">
        <v>5</v>
      </c>
      <c r="AK146" s="4">
        <v>274</v>
      </c>
      <c r="AL146" s="4">
        <v>3</v>
      </c>
      <c r="AM146" s="4">
        <v>1125</v>
      </c>
      <c r="AN146" s="4">
        <v>7</v>
      </c>
      <c r="AO146" s="4">
        <v>300</v>
      </c>
      <c r="AP146" s="4">
        <v>2</v>
      </c>
      <c r="AQ146" s="4">
        <v>0</v>
      </c>
      <c r="AR146" s="4">
        <v>0</v>
      </c>
      <c r="AS146" s="4">
        <v>827</v>
      </c>
      <c r="AT146" s="4">
        <v>4</v>
      </c>
      <c r="AU146" s="4">
        <v>831</v>
      </c>
      <c r="AV146" s="4">
        <v>7</v>
      </c>
      <c r="AW146" s="4">
        <v>1053.93</v>
      </c>
      <c r="AX146" s="4">
        <v>5</v>
      </c>
      <c r="AY146" s="4">
        <v>831.95</v>
      </c>
      <c r="AZ146" s="4">
        <v>4</v>
      </c>
      <c r="BA146" s="4">
        <v>1205.94</v>
      </c>
      <c r="BB146" s="4">
        <v>7</v>
      </c>
      <c r="BC146" s="4">
        <v>918.92</v>
      </c>
      <c r="BD146" s="4">
        <v>5</v>
      </c>
      <c r="BE146" s="4">
        <v>0</v>
      </c>
      <c r="BF146" s="4">
        <v>0</v>
      </c>
      <c r="BQ146" s="3">
        <f t="shared" si="6"/>
        <v>22071.11</v>
      </c>
      <c r="BR146" s="3">
        <f t="shared" si="5"/>
        <v>136</v>
      </c>
    </row>
    <row r="147" spans="1:70" x14ac:dyDescent="0.25">
      <c r="A147" s="4" t="s">
        <v>2271</v>
      </c>
      <c r="B147" t="s">
        <v>37</v>
      </c>
      <c r="C147" s="338" t="s">
        <v>1749</v>
      </c>
      <c r="D147" s="213" t="s">
        <v>840</v>
      </c>
      <c r="E147" s="213" t="s">
        <v>150</v>
      </c>
      <c r="F147" s="213" t="s">
        <v>133</v>
      </c>
      <c r="G147" s="4">
        <v>2646.08</v>
      </c>
      <c r="H147" s="4">
        <v>16</v>
      </c>
      <c r="I147" s="4">
        <v>5365.18</v>
      </c>
      <c r="J147" s="4">
        <v>32</v>
      </c>
      <c r="K147" s="4">
        <v>2512.06</v>
      </c>
      <c r="L147" s="4">
        <v>17</v>
      </c>
      <c r="M147" s="4">
        <v>2496.1</v>
      </c>
      <c r="N147" s="4">
        <v>17</v>
      </c>
      <c r="O147" s="4">
        <v>504.02</v>
      </c>
      <c r="P147" s="4">
        <v>4</v>
      </c>
      <c r="Q147" s="4">
        <v>822.02</v>
      </c>
      <c r="R147" s="4">
        <v>4</v>
      </c>
      <c r="S147" s="4">
        <v>1873.04</v>
      </c>
      <c r="T147" s="4">
        <v>13</v>
      </c>
      <c r="U147" s="4">
        <v>2443.04</v>
      </c>
      <c r="V147" s="4">
        <v>15</v>
      </c>
      <c r="W147" s="4">
        <v>1423.06</v>
      </c>
      <c r="X147" s="4">
        <v>10</v>
      </c>
      <c r="Y147" s="4">
        <v>1054.02</v>
      </c>
      <c r="Z147" s="4">
        <v>7</v>
      </c>
      <c r="AA147" s="4">
        <v>424.02</v>
      </c>
      <c r="AB147" s="4">
        <v>3</v>
      </c>
      <c r="AC147" s="4">
        <v>150.01</v>
      </c>
      <c r="AD147" s="4">
        <v>1</v>
      </c>
      <c r="AE147" s="4">
        <v>744.03</v>
      </c>
      <c r="AF147" s="4">
        <v>6</v>
      </c>
      <c r="AG147" s="4">
        <v>783</v>
      </c>
      <c r="AH147" s="4">
        <v>4</v>
      </c>
      <c r="AI147" s="4">
        <v>789.01</v>
      </c>
      <c r="AJ147" s="4">
        <v>6</v>
      </c>
      <c r="AK147" s="4">
        <v>1899.05</v>
      </c>
      <c r="AL147" s="4">
        <v>11</v>
      </c>
      <c r="AM147" s="4">
        <v>1057</v>
      </c>
      <c r="AN147" s="4">
        <v>10</v>
      </c>
      <c r="AO147" s="4">
        <v>900</v>
      </c>
      <c r="AP147" s="4">
        <v>5</v>
      </c>
      <c r="AQ147" s="4">
        <v>0</v>
      </c>
      <c r="AR147" s="4">
        <v>0</v>
      </c>
      <c r="AS147" s="4">
        <v>1280.01</v>
      </c>
      <c r="AT147" s="4">
        <v>10</v>
      </c>
      <c r="AU147" s="4">
        <v>1575.04</v>
      </c>
      <c r="AV147" s="4">
        <v>11</v>
      </c>
      <c r="AW147" s="4">
        <v>1165.99</v>
      </c>
      <c r="AX147" s="4">
        <v>7</v>
      </c>
      <c r="AY147" s="4">
        <v>1609.88</v>
      </c>
      <c r="AZ147" s="4">
        <v>12</v>
      </c>
      <c r="BA147" s="4">
        <v>2099.9</v>
      </c>
      <c r="BB147" s="4">
        <v>6</v>
      </c>
      <c r="BC147" s="4">
        <v>2336.9699999999998</v>
      </c>
      <c r="BD147" s="4">
        <v>13</v>
      </c>
      <c r="BE147" s="4">
        <v>633.05999999999995</v>
      </c>
      <c r="BF147" s="4">
        <v>3</v>
      </c>
      <c r="BQ147" s="3">
        <f t="shared" si="6"/>
        <v>38585.589999999997</v>
      </c>
      <c r="BR147" s="3">
        <f t="shared" si="5"/>
        <v>243</v>
      </c>
    </row>
    <row r="148" spans="1:70" x14ac:dyDescent="0.25">
      <c r="A148" s="4" t="s">
        <v>2272</v>
      </c>
      <c r="B148" t="s">
        <v>37</v>
      </c>
      <c r="C148" s="338" t="s">
        <v>1750</v>
      </c>
      <c r="D148" s="213" t="s">
        <v>841</v>
      </c>
      <c r="E148" s="213" t="s">
        <v>150</v>
      </c>
      <c r="F148" s="213" t="s">
        <v>133</v>
      </c>
      <c r="G148" s="4">
        <v>3286.07</v>
      </c>
      <c r="H148" s="4">
        <v>22</v>
      </c>
      <c r="I148" s="4">
        <v>2523.06</v>
      </c>
      <c r="J148" s="4">
        <v>21</v>
      </c>
      <c r="K148" s="4">
        <v>1226.02</v>
      </c>
      <c r="L148" s="4">
        <v>9</v>
      </c>
      <c r="M148" s="4">
        <v>1305.01</v>
      </c>
      <c r="N148" s="4">
        <v>9</v>
      </c>
      <c r="O148" s="4">
        <v>2370.0500000000002</v>
      </c>
      <c r="P148" s="4">
        <v>14</v>
      </c>
      <c r="Q148" s="4">
        <v>3589.11</v>
      </c>
      <c r="R148" s="4">
        <v>23</v>
      </c>
      <c r="S148" s="4">
        <v>0</v>
      </c>
      <c r="T148" s="4">
        <v>0</v>
      </c>
      <c r="U148" s="4">
        <v>2131.06</v>
      </c>
      <c r="V148" s="4">
        <v>11</v>
      </c>
      <c r="W148" s="4">
        <v>1473.01</v>
      </c>
      <c r="X148" s="4">
        <v>12</v>
      </c>
      <c r="Y148" s="4">
        <v>478.03</v>
      </c>
      <c r="Z148" s="4">
        <v>3</v>
      </c>
      <c r="AA148" s="4">
        <v>705.03</v>
      </c>
      <c r="AB148" s="4">
        <v>6</v>
      </c>
      <c r="AC148" s="4">
        <v>1088.01</v>
      </c>
      <c r="AD148" s="4">
        <v>9</v>
      </c>
      <c r="AE148" s="4">
        <v>150</v>
      </c>
      <c r="AF148" s="4">
        <v>1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1900.03</v>
      </c>
      <c r="AV148" s="4">
        <v>12</v>
      </c>
      <c r="AW148" s="4">
        <v>1286.97</v>
      </c>
      <c r="AX148" s="4">
        <v>9</v>
      </c>
      <c r="AY148" s="4">
        <v>710.96</v>
      </c>
      <c r="AZ148" s="4">
        <v>5</v>
      </c>
      <c r="BA148" s="4">
        <v>421.96</v>
      </c>
      <c r="BB148" s="4">
        <v>2</v>
      </c>
      <c r="BC148" s="4">
        <v>1347.94</v>
      </c>
      <c r="BD148" s="4">
        <v>9</v>
      </c>
      <c r="BE148" s="4">
        <v>1774.09</v>
      </c>
      <c r="BF148" s="4">
        <v>14</v>
      </c>
      <c r="BQ148" s="3">
        <f t="shared" si="6"/>
        <v>27766.409999999993</v>
      </c>
      <c r="BR148" s="3">
        <f t="shared" si="5"/>
        <v>191</v>
      </c>
    </row>
    <row r="149" spans="1:70" x14ac:dyDescent="0.25">
      <c r="A149" s="4" t="s">
        <v>2273</v>
      </c>
      <c r="B149" t="s">
        <v>37</v>
      </c>
      <c r="C149" s="338" t="s">
        <v>1751</v>
      </c>
      <c r="D149" s="213" t="s">
        <v>842</v>
      </c>
      <c r="E149" s="213" t="s">
        <v>150</v>
      </c>
      <c r="F149" s="213" t="s">
        <v>133</v>
      </c>
      <c r="G149" s="4">
        <v>4244.09</v>
      </c>
      <c r="H149" s="4">
        <v>32</v>
      </c>
      <c r="I149" s="4">
        <v>776.02</v>
      </c>
      <c r="J149" s="4">
        <v>5</v>
      </c>
      <c r="K149" s="4">
        <v>2156.04</v>
      </c>
      <c r="L149" s="4">
        <v>13</v>
      </c>
      <c r="M149" s="4">
        <v>2501.04</v>
      </c>
      <c r="N149" s="4">
        <v>18</v>
      </c>
      <c r="O149" s="4">
        <v>2139.0300000000002</v>
      </c>
      <c r="P149" s="4">
        <v>17</v>
      </c>
      <c r="Q149" s="4">
        <v>150.02000000000001</v>
      </c>
      <c r="R149" s="4">
        <v>1</v>
      </c>
      <c r="S149" s="4">
        <v>2511.04</v>
      </c>
      <c r="T149" s="4">
        <v>19</v>
      </c>
      <c r="U149" s="4">
        <v>1048.02</v>
      </c>
      <c r="V149" s="4">
        <v>10</v>
      </c>
      <c r="W149" s="4">
        <v>1273.07</v>
      </c>
      <c r="X149" s="4">
        <v>9</v>
      </c>
      <c r="Y149" s="4">
        <v>573.03</v>
      </c>
      <c r="Z149" s="4">
        <v>5</v>
      </c>
      <c r="AA149" s="4">
        <v>1190.01</v>
      </c>
      <c r="AB149" s="4">
        <v>7</v>
      </c>
      <c r="AC149" s="4">
        <v>1770.02</v>
      </c>
      <c r="AD149" s="4">
        <v>9</v>
      </c>
      <c r="AE149" s="4">
        <v>1973.07</v>
      </c>
      <c r="AF149" s="4">
        <v>10</v>
      </c>
      <c r="AG149" s="4">
        <v>3328.13</v>
      </c>
      <c r="AH149" s="4">
        <v>23</v>
      </c>
      <c r="AI149" s="4">
        <v>979.03</v>
      </c>
      <c r="AJ149" s="4">
        <v>8</v>
      </c>
      <c r="AK149" s="4">
        <v>0</v>
      </c>
      <c r="AL149" s="4">
        <v>0</v>
      </c>
      <c r="AM149" s="4">
        <v>150.01</v>
      </c>
      <c r="AN149" s="4">
        <v>1</v>
      </c>
      <c r="AO149" s="4">
        <v>325</v>
      </c>
      <c r="AP149" s="4">
        <v>3</v>
      </c>
      <c r="AQ149" s="4">
        <v>871.99</v>
      </c>
      <c r="AR149" s="4">
        <v>7</v>
      </c>
      <c r="AS149" s="4">
        <v>150.01</v>
      </c>
      <c r="AT149" s="4">
        <v>1</v>
      </c>
      <c r="AU149" s="4">
        <v>22</v>
      </c>
      <c r="AV149" s="4">
        <v>1</v>
      </c>
      <c r="AW149" s="4">
        <v>783.02</v>
      </c>
      <c r="AX149" s="4">
        <v>8</v>
      </c>
      <c r="AY149" s="4">
        <v>790.94</v>
      </c>
      <c r="AZ149" s="4">
        <v>5</v>
      </c>
      <c r="BA149" s="4">
        <v>882.98</v>
      </c>
      <c r="BB149" s="4">
        <v>6</v>
      </c>
      <c r="BC149" s="4">
        <v>0</v>
      </c>
      <c r="BD149" s="4">
        <v>0</v>
      </c>
      <c r="BE149" s="4">
        <v>0</v>
      </c>
      <c r="BF149" s="4">
        <v>0</v>
      </c>
      <c r="BQ149" s="3">
        <f t="shared" si="6"/>
        <v>30587.609999999997</v>
      </c>
      <c r="BR149" s="3">
        <f t="shared" si="5"/>
        <v>218</v>
      </c>
    </row>
    <row r="150" spans="1:70" x14ac:dyDescent="0.25">
      <c r="A150" s="4" t="s">
        <v>2274</v>
      </c>
      <c r="B150" t="s">
        <v>37</v>
      </c>
      <c r="C150" s="338" t="s">
        <v>1752</v>
      </c>
      <c r="D150" s="213" t="s">
        <v>843</v>
      </c>
      <c r="E150" s="213" t="s">
        <v>150</v>
      </c>
      <c r="F150" s="213" t="s">
        <v>133</v>
      </c>
      <c r="G150" s="4">
        <v>0</v>
      </c>
      <c r="H150" s="4">
        <v>0</v>
      </c>
      <c r="I150" s="4">
        <v>2497.04</v>
      </c>
      <c r="J150" s="4">
        <v>21</v>
      </c>
      <c r="K150" s="4">
        <v>2322.09</v>
      </c>
      <c r="L150" s="4">
        <v>15</v>
      </c>
      <c r="M150" s="4">
        <v>1973.03</v>
      </c>
      <c r="N150" s="4">
        <v>14</v>
      </c>
      <c r="O150" s="4">
        <v>2317.0500000000002</v>
      </c>
      <c r="P150" s="4">
        <v>11</v>
      </c>
      <c r="Q150" s="4">
        <v>0</v>
      </c>
      <c r="R150" s="4">
        <v>0</v>
      </c>
      <c r="S150" s="4">
        <v>1772.06</v>
      </c>
      <c r="T150" s="4">
        <v>12</v>
      </c>
      <c r="U150" s="4">
        <v>1959.03</v>
      </c>
      <c r="V150" s="4">
        <v>15</v>
      </c>
      <c r="W150" s="4">
        <v>890.03</v>
      </c>
      <c r="X150" s="4">
        <v>8</v>
      </c>
      <c r="Y150" s="4">
        <v>1575.05</v>
      </c>
      <c r="Z150" s="4">
        <v>10</v>
      </c>
      <c r="AA150" s="4">
        <v>535.02</v>
      </c>
      <c r="AB150" s="4">
        <v>6</v>
      </c>
      <c r="AC150" s="4">
        <v>150</v>
      </c>
      <c r="AD150" s="4">
        <v>1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993.92</v>
      </c>
      <c r="AX150" s="4">
        <v>5</v>
      </c>
      <c r="AY150" s="4">
        <v>882.94</v>
      </c>
      <c r="AZ150" s="4">
        <v>5</v>
      </c>
      <c r="BA150" s="4">
        <v>512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Q150" s="3">
        <f t="shared" si="6"/>
        <v>18379.259999999998</v>
      </c>
      <c r="BR150" s="3">
        <f t="shared" si="5"/>
        <v>126</v>
      </c>
    </row>
    <row r="151" spans="1:70" x14ac:dyDescent="0.25">
      <c r="A151" s="4" t="s">
        <v>2275</v>
      </c>
      <c r="B151" t="s">
        <v>37</v>
      </c>
      <c r="C151" s="338" t="s">
        <v>1753</v>
      </c>
      <c r="D151" s="213" t="s">
        <v>844</v>
      </c>
      <c r="E151" s="213" t="s">
        <v>150</v>
      </c>
      <c r="F151" s="213" t="s">
        <v>133</v>
      </c>
      <c r="G151" s="4">
        <v>3561.13</v>
      </c>
      <c r="H151" s="4">
        <v>30</v>
      </c>
      <c r="I151" s="4">
        <v>321</v>
      </c>
      <c r="J151" s="4">
        <v>3</v>
      </c>
      <c r="K151" s="4">
        <v>767.02</v>
      </c>
      <c r="L151" s="4">
        <v>8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874</v>
      </c>
      <c r="AD151" s="4">
        <v>6</v>
      </c>
      <c r="AE151" s="4">
        <v>1745</v>
      </c>
      <c r="AF151" s="4">
        <v>10</v>
      </c>
      <c r="AG151" s="4">
        <v>825.03</v>
      </c>
      <c r="AH151" s="4">
        <v>5</v>
      </c>
      <c r="AI151" s="4">
        <v>525.01</v>
      </c>
      <c r="AJ151" s="4">
        <v>4</v>
      </c>
      <c r="AK151" s="4">
        <v>1446.05</v>
      </c>
      <c r="AL151" s="4">
        <v>11</v>
      </c>
      <c r="AM151" s="4">
        <v>900.02</v>
      </c>
      <c r="AN151" s="4">
        <v>7</v>
      </c>
      <c r="AO151" s="4">
        <v>150</v>
      </c>
      <c r="AP151" s="4">
        <v>2</v>
      </c>
      <c r="AQ151" s="4">
        <v>970.03</v>
      </c>
      <c r="AR151" s="4">
        <v>7</v>
      </c>
      <c r="AS151" s="4">
        <v>440</v>
      </c>
      <c r="AT151" s="4">
        <v>5</v>
      </c>
      <c r="AU151" s="4">
        <v>0</v>
      </c>
      <c r="AV151" s="4">
        <v>0</v>
      </c>
      <c r="AW151" s="4">
        <v>607.98</v>
      </c>
      <c r="AX151" s="4">
        <v>7</v>
      </c>
      <c r="AY151" s="4">
        <v>1233.92</v>
      </c>
      <c r="AZ151" s="4">
        <v>9</v>
      </c>
      <c r="BA151" s="4">
        <v>421.96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Q151" s="3">
        <f t="shared" si="6"/>
        <v>14788.149999999998</v>
      </c>
      <c r="BR151" s="3">
        <f t="shared" si="5"/>
        <v>116</v>
      </c>
    </row>
    <row r="152" spans="1:70" x14ac:dyDescent="0.25">
      <c r="A152" s="4" t="s">
        <v>2276</v>
      </c>
      <c r="B152" t="s">
        <v>37</v>
      </c>
      <c r="C152" s="338" t="s">
        <v>1754</v>
      </c>
      <c r="D152" s="213" t="s">
        <v>845</v>
      </c>
      <c r="E152" s="213" t="s">
        <v>150</v>
      </c>
      <c r="F152" s="213" t="s">
        <v>133</v>
      </c>
      <c r="G152" s="4">
        <v>1540.05</v>
      </c>
      <c r="H152" s="4">
        <v>12</v>
      </c>
      <c r="I152" s="4">
        <v>4933.18</v>
      </c>
      <c r="J152" s="4">
        <v>32</v>
      </c>
      <c r="K152" s="4">
        <v>2175.0500000000002</v>
      </c>
      <c r="L152" s="4">
        <v>19</v>
      </c>
      <c r="M152" s="4">
        <v>0</v>
      </c>
      <c r="N152" s="4">
        <v>0</v>
      </c>
      <c r="O152" s="4">
        <v>1500.05</v>
      </c>
      <c r="P152" s="4">
        <v>10</v>
      </c>
      <c r="Q152" s="4">
        <v>1947.06</v>
      </c>
      <c r="R152" s="4">
        <v>13</v>
      </c>
      <c r="S152" s="4">
        <v>2505.0500000000002</v>
      </c>
      <c r="T152" s="4">
        <v>18</v>
      </c>
      <c r="U152" s="4">
        <v>2313.02</v>
      </c>
      <c r="V152" s="4">
        <v>14</v>
      </c>
      <c r="W152" s="4">
        <v>1676.03</v>
      </c>
      <c r="X152" s="4">
        <v>14</v>
      </c>
      <c r="Y152" s="4">
        <v>1840.02</v>
      </c>
      <c r="Z152" s="4">
        <v>13</v>
      </c>
      <c r="AA152" s="4">
        <v>755.01</v>
      </c>
      <c r="AB152" s="4">
        <v>5</v>
      </c>
      <c r="AC152" s="4">
        <v>75</v>
      </c>
      <c r="AD152" s="4">
        <v>1</v>
      </c>
      <c r="AE152" s="4">
        <v>1807.06</v>
      </c>
      <c r="AF152" s="4">
        <v>9</v>
      </c>
      <c r="AG152" s="4">
        <v>606.03</v>
      </c>
      <c r="AH152" s="4">
        <v>6</v>
      </c>
      <c r="AI152" s="4">
        <v>1589.05</v>
      </c>
      <c r="AJ152" s="4">
        <v>12</v>
      </c>
      <c r="AK152" s="4">
        <v>2153.0500000000002</v>
      </c>
      <c r="AL152" s="4">
        <v>13</v>
      </c>
      <c r="AM152" s="4">
        <v>525.01</v>
      </c>
      <c r="AN152" s="4">
        <v>4</v>
      </c>
      <c r="AO152" s="4">
        <v>300.01</v>
      </c>
      <c r="AP152" s="4">
        <v>2</v>
      </c>
      <c r="AQ152" s="4">
        <v>997</v>
      </c>
      <c r="AR152" s="4">
        <v>8</v>
      </c>
      <c r="AS152" s="4">
        <v>2059.0100000000002</v>
      </c>
      <c r="AT152" s="4">
        <v>10</v>
      </c>
      <c r="AU152" s="4">
        <v>1404.02</v>
      </c>
      <c r="AV152" s="4">
        <v>9</v>
      </c>
      <c r="AW152" s="4">
        <v>707.94</v>
      </c>
      <c r="AX152" s="4">
        <v>5</v>
      </c>
      <c r="AY152" s="4">
        <v>2027.84</v>
      </c>
      <c r="AZ152" s="4">
        <v>11</v>
      </c>
      <c r="BA152" s="4">
        <v>1050.98</v>
      </c>
      <c r="BB152" s="4">
        <v>9</v>
      </c>
      <c r="BC152" s="4">
        <v>0</v>
      </c>
      <c r="BD152" s="4">
        <v>0</v>
      </c>
      <c r="BE152" s="4">
        <v>1924.14</v>
      </c>
      <c r="BF152" s="4">
        <v>13</v>
      </c>
      <c r="BQ152" s="3">
        <f t="shared" si="6"/>
        <v>38410.659999999989</v>
      </c>
      <c r="BR152" s="3">
        <f t="shared" si="5"/>
        <v>262</v>
      </c>
    </row>
    <row r="153" spans="1:70" x14ac:dyDescent="0.25">
      <c r="A153" s="4" t="s">
        <v>2277</v>
      </c>
      <c r="B153" t="s">
        <v>37</v>
      </c>
      <c r="C153" s="338" t="s">
        <v>1755</v>
      </c>
      <c r="D153" s="213" t="s">
        <v>846</v>
      </c>
      <c r="E153" s="213" t="s">
        <v>150</v>
      </c>
      <c r="F153" s="213" t="s">
        <v>133</v>
      </c>
      <c r="G153" s="4">
        <v>3647.11</v>
      </c>
      <c r="H153" s="4">
        <v>30</v>
      </c>
      <c r="I153" s="4">
        <v>3893.08</v>
      </c>
      <c r="J153" s="4">
        <v>27</v>
      </c>
      <c r="K153" s="4">
        <v>2098.06</v>
      </c>
      <c r="L153" s="4">
        <v>8</v>
      </c>
      <c r="M153" s="4">
        <v>2230.06</v>
      </c>
      <c r="N153" s="4">
        <v>15</v>
      </c>
      <c r="O153" s="4">
        <v>300</v>
      </c>
      <c r="P153" s="4">
        <v>2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199.01</v>
      </c>
      <c r="X153" s="4">
        <v>1</v>
      </c>
      <c r="Y153" s="4">
        <v>121</v>
      </c>
      <c r="Z153" s="4">
        <v>2</v>
      </c>
      <c r="AA153" s="4">
        <v>508</v>
      </c>
      <c r="AB153" s="4">
        <v>5</v>
      </c>
      <c r="AC153" s="4">
        <v>150.01</v>
      </c>
      <c r="AD153" s="4">
        <v>1</v>
      </c>
      <c r="AE153" s="4">
        <v>150</v>
      </c>
      <c r="AF153" s="4">
        <v>2</v>
      </c>
      <c r="AG153" s="4">
        <v>0</v>
      </c>
      <c r="AH153" s="4">
        <v>0</v>
      </c>
      <c r="AI153" s="4">
        <v>1107.02</v>
      </c>
      <c r="AJ153" s="4">
        <v>11</v>
      </c>
      <c r="AK153" s="4">
        <v>1805.03</v>
      </c>
      <c r="AL153" s="4">
        <v>14</v>
      </c>
      <c r="AM153" s="4">
        <v>249</v>
      </c>
      <c r="AN153" s="4">
        <v>3</v>
      </c>
      <c r="AO153" s="4">
        <v>750.02</v>
      </c>
      <c r="AP153" s="4">
        <v>6</v>
      </c>
      <c r="AQ153" s="4">
        <v>675</v>
      </c>
      <c r="AR153" s="4">
        <v>6</v>
      </c>
      <c r="AS153" s="4">
        <v>639.01</v>
      </c>
      <c r="AT153" s="4">
        <v>3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809.97</v>
      </c>
      <c r="BB153" s="4">
        <v>4</v>
      </c>
      <c r="BC153" s="4">
        <v>2921.1</v>
      </c>
      <c r="BD153" s="4">
        <v>12</v>
      </c>
      <c r="BE153" s="4">
        <v>1156.07</v>
      </c>
      <c r="BF153" s="4">
        <v>8</v>
      </c>
      <c r="BQ153" s="3">
        <f t="shared" si="6"/>
        <v>23408.55</v>
      </c>
      <c r="BR153" s="3">
        <f t="shared" si="5"/>
        <v>160</v>
      </c>
    </row>
    <row r="154" spans="1:70" x14ac:dyDescent="0.25">
      <c r="A154" s="4" t="s">
        <v>2278</v>
      </c>
      <c r="B154" t="s">
        <v>38</v>
      </c>
      <c r="C154" s="338" t="s">
        <v>1756</v>
      </c>
      <c r="D154" s="213" t="s">
        <v>847</v>
      </c>
      <c r="E154" s="213" t="s">
        <v>138</v>
      </c>
      <c r="F154" s="213" t="s">
        <v>128</v>
      </c>
      <c r="G154" s="4">
        <v>3523.07</v>
      </c>
      <c r="H154" s="4">
        <v>19</v>
      </c>
      <c r="I154" s="4">
        <v>2763.07</v>
      </c>
      <c r="J154" s="4">
        <v>23</v>
      </c>
      <c r="K154" s="4">
        <v>1621.03</v>
      </c>
      <c r="L154" s="4">
        <v>10</v>
      </c>
      <c r="M154" s="4">
        <v>2706.05</v>
      </c>
      <c r="N154" s="4">
        <v>17</v>
      </c>
      <c r="O154" s="4">
        <v>0</v>
      </c>
      <c r="P154" s="4">
        <v>0</v>
      </c>
      <c r="Q154" s="4">
        <v>0</v>
      </c>
      <c r="R154" s="4">
        <v>0</v>
      </c>
      <c r="S154" s="4">
        <v>1972.03</v>
      </c>
      <c r="T154" s="4">
        <v>14</v>
      </c>
      <c r="U154" s="4">
        <v>2340.08</v>
      </c>
      <c r="V154" s="4">
        <v>16</v>
      </c>
      <c r="W154" s="4">
        <v>1557.03</v>
      </c>
      <c r="X154" s="4">
        <v>10</v>
      </c>
      <c r="Y154" s="4">
        <v>2162.06</v>
      </c>
      <c r="Z154" s="4">
        <v>14</v>
      </c>
      <c r="AA154" s="4">
        <v>450.01</v>
      </c>
      <c r="AB154" s="4">
        <v>3</v>
      </c>
      <c r="AC154" s="4">
        <v>1034</v>
      </c>
      <c r="AD154" s="4">
        <v>7</v>
      </c>
      <c r="AE154" s="4">
        <v>2281.02</v>
      </c>
      <c r="AF154" s="4">
        <v>11</v>
      </c>
      <c r="AG154" s="4">
        <v>490.02</v>
      </c>
      <c r="AH154" s="4">
        <v>3</v>
      </c>
      <c r="AI154" s="4">
        <v>300</v>
      </c>
      <c r="AJ154" s="4">
        <v>2</v>
      </c>
      <c r="AK154" s="4">
        <v>0</v>
      </c>
      <c r="AL154" s="4">
        <v>0</v>
      </c>
      <c r="AM154" s="4">
        <v>1095.01</v>
      </c>
      <c r="AN154" s="4">
        <v>6</v>
      </c>
      <c r="AO154" s="4">
        <v>150.01</v>
      </c>
      <c r="AP154" s="4">
        <v>1</v>
      </c>
      <c r="AQ154" s="4">
        <v>799.03</v>
      </c>
      <c r="AR154" s="4">
        <v>5</v>
      </c>
      <c r="AS154" s="4">
        <v>300</v>
      </c>
      <c r="AT154" s="4">
        <v>3</v>
      </c>
      <c r="AU154" s="4">
        <v>450</v>
      </c>
      <c r="AV154" s="4">
        <v>3</v>
      </c>
      <c r="AW154" s="4">
        <v>299</v>
      </c>
      <c r="AX154" s="4">
        <v>3</v>
      </c>
      <c r="AY154" s="4">
        <v>0</v>
      </c>
      <c r="AZ154" s="4">
        <v>0</v>
      </c>
      <c r="BA154" s="4">
        <v>1054.9000000000001</v>
      </c>
      <c r="BB154" s="4">
        <v>3</v>
      </c>
      <c r="BC154" s="4">
        <v>2026.92</v>
      </c>
      <c r="BD154" s="4">
        <v>15</v>
      </c>
      <c r="BE154" s="4">
        <v>0</v>
      </c>
      <c r="BF154" s="4">
        <v>0</v>
      </c>
      <c r="BQ154" s="3">
        <f t="shared" si="6"/>
        <v>29374.339999999997</v>
      </c>
      <c r="BR154" s="3">
        <f t="shared" si="5"/>
        <v>188</v>
      </c>
    </row>
    <row r="155" spans="1:70" x14ac:dyDescent="0.25">
      <c r="A155" s="4" t="s">
        <v>2279</v>
      </c>
      <c r="B155" t="s">
        <v>38</v>
      </c>
      <c r="C155" s="338" t="s">
        <v>1757</v>
      </c>
      <c r="D155" s="213" t="s">
        <v>848</v>
      </c>
      <c r="E155" s="213" t="s">
        <v>138</v>
      </c>
      <c r="F155" s="213" t="s">
        <v>128</v>
      </c>
      <c r="G155" s="4">
        <v>2894.06</v>
      </c>
      <c r="H155" s="4">
        <v>24</v>
      </c>
      <c r="I155" s="4">
        <v>0</v>
      </c>
      <c r="J155" s="4">
        <v>0</v>
      </c>
      <c r="K155" s="4">
        <v>1408.04</v>
      </c>
      <c r="L155" s="4">
        <v>12</v>
      </c>
      <c r="M155" s="4">
        <v>1753.06</v>
      </c>
      <c r="N155" s="4">
        <v>11</v>
      </c>
      <c r="O155" s="4">
        <v>1558.03</v>
      </c>
      <c r="P155" s="4">
        <v>12</v>
      </c>
      <c r="Q155" s="4">
        <v>1019</v>
      </c>
      <c r="R155" s="4">
        <v>7</v>
      </c>
      <c r="S155" s="4">
        <v>945.06</v>
      </c>
      <c r="T155" s="4">
        <v>7</v>
      </c>
      <c r="U155" s="4">
        <v>800</v>
      </c>
      <c r="V155" s="4">
        <v>5</v>
      </c>
      <c r="W155" s="4">
        <v>0</v>
      </c>
      <c r="X155" s="4">
        <v>0</v>
      </c>
      <c r="Y155" s="4">
        <v>2350.0300000000002</v>
      </c>
      <c r="Z155" s="4">
        <v>5</v>
      </c>
      <c r="AA155" s="4">
        <v>1403.06</v>
      </c>
      <c r="AB155" s="4">
        <v>11</v>
      </c>
      <c r="AC155" s="4">
        <v>0</v>
      </c>
      <c r="AD155" s="4">
        <v>0</v>
      </c>
      <c r="AE155" s="4">
        <v>0</v>
      </c>
      <c r="AF155" s="4">
        <v>0</v>
      </c>
      <c r="AG155" s="4">
        <v>985.03</v>
      </c>
      <c r="AH155" s="4">
        <v>11</v>
      </c>
      <c r="AI155" s="4">
        <v>736.05</v>
      </c>
      <c r="AJ155" s="4">
        <v>9</v>
      </c>
      <c r="AK155" s="4">
        <v>1481.04</v>
      </c>
      <c r="AL155" s="4">
        <v>12</v>
      </c>
      <c r="AM155" s="4">
        <v>1635.99</v>
      </c>
      <c r="AN155" s="4">
        <v>10</v>
      </c>
      <c r="AO155" s="4">
        <v>0</v>
      </c>
      <c r="AP155" s="4">
        <v>0</v>
      </c>
      <c r="AQ155" s="4">
        <v>636.99</v>
      </c>
      <c r="AR155" s="4">
        <v>5</v>
      </c>
      <c r="AS155" s="4">
        <v>1041.02</v>
      </c>
      <c r="AT155" s="4">
        <v>9</v>
      </c>
      <c r="AU155" s="4">
        <v>1169.04</v>
      </c>
      <c r="AV155" s="4">
        <v>8</v>
      </c>
      <c r="AW155" s="4">
        <v>2490.9499999999998</v>
      </c>
      <c r="AX155" s="4">
        <v>18</v>
      </c>
      <c r="AY155" s="4">
        <v>1990.88</v>
      </c>
      <c r="AZ155" s="4">
        <v>10</v>
      </c>
      <c r="BA155" s="4">
        <v>950.97</v>
      </c>
      <c r="BB155" s="4">
        <v>9</v>
      </c>
      <c r="BC155" s="4">
        <v>796.96</v>
      </c>
      <c r="BD155" s="4">
        <v>5</v>
      </c>
      <c r="BE155" s="4">
        <v>322.02999999999997</v>
      </c>
      <c r="BF155" s="4">
        <v>2</v>
      </c>
      <c r="BQ155" s="3">
        <f t="shared" si="6"/>
        <v>28367.290000000005</v>
      </c>
      <c r="BR155" s="3">
        <f t="shared" si="5"/>
        <v>202</v>
      </c>
    </row>
    <row r="156" spans="1:70" x14ac:dyDescent="0.25">
      <c r="A156" s="4" t="s">
        <v>2280</v>
      </c>
      <c r="B156" t="s">
        <v>38</v>
      </c>
      <c r="C156" s="338" t="s">
        <v>1758</v>
      </c>
      <c r="D156" s="213" t="s">
        <v>849</v>
      </c>
      <c r="E156" s="213" t="s">
        <v>138</v>
      </c>
      <c r="F156" s="213" t="s">
        <v>128</v>
      </c>
      <c r="G156" s="4">
        <v>3302.03</v>
      </c>
      <c r="H156" s="4">
        <v>26</v>
      </c>
      <c r="I156" s="4">
        <v>2022.01</v>
      </c>
      <c r="J156" s="4">
        <v>19</v>
      </c>
      <c r="K156" s="4">
        <v>2030.02</v>
      </c>
      <c r="L156" s="4">
        <v>19</v>
      </c>
      <c r="M156" s="4">
        <v>2748.05</v>
      </c>
      <c r="N156" s="4">
        <v>12</v>
      </c>
      <c r="O156" s="4">
        <v>0</v>
      </c>
      <c r="P156" s="4">
        <v>0</v>
      </c>
      <c r="Q156" s="4">
        <v>1014.03</v>
      </c>
      <c r="R156" s="4">
        <v>10</v>
      </c>
      <c r="S156" s="4">
        <v>1305.03</v>
      </c>
      <c r="T156" s="4">
        <v>11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998</v>
      </c>
      <c r="AH156" s="4">
        <v>8</v>
      </c>
      <c r="AI156" s="4">
        <v>793.03</v>
      </c>
      <c r="AJ156" s="4">
        <v>9</v>
      </c>
      <c r="AK156" s="4">
        <v>2418.0300000000002</v>
      </c>
      <c r="AL156" s="4">
        <v>21</v>
      </c>
      <c r="AM156" s="4">
        <v>1012.01</v>
      </c>
      <c r="AN156" s="4">
        <v>8</v>
      </c>
      <c r="AO156" s="4">
        <v>731.01</v>
      </c>
      <c r="AP156" s="4">
        <v>6</v>
      </c>
      <c r="AQ156" s="4">
        <v>0</v>
      </c>
      <c r="AR156" s="4">
        <v>0</v>
      </c>
      <c r="AS156" s="4">
        <v>1195.01</v>
      </c>
      <c r="AT156" s="4">
        <v>9</v>
      </c>
      <c r="AU156" s="4">
        <v>1353.02</v>
      </c>
      <c r="AV156" s="4">
        <v>9</v>
      </c>
      <c r="AW156" s="4">
        <v>0</v>
      </c>
      <c r="AX156" s="4">
        <v>0</v>
      </c>
      <c r="AY156" s="4">
        <v>1361.95</v>
      </c>
      <c r="AZ156" s="4">
        <v>9</v>
      </c>
      <c r="BA156" s="4">
        <v>931.01</v>
      </c>
      <c r="BB156" s="4">
        <v>6</v>
      </c>
      <c r="BC156" s="4">
        <v>150</v>
      </c>
      <c r="BD156" s="4">
        <v>1</v>
      </c>
      <c r="BE156" s="4">
        <v>1646.06</v>
      </c>
      <c r="BF156" s="4">
        <v>12</v>
      </c>
      <c r="BQ156" s="3">
        <f t="shared" si="6"/>
        <v>25010.3</v>
      </c>
      <c r="BR156" s="3">
        <f t="shared" si="5"/>
        <v>195</v>
      </c>
    </row>
    <row r="157" spans="1:70" x14ac:dyDescent="0.25">
      <c r="A157" s="4" t="s">
        <v>2281</v>
      </c>
      <c r="B157" t="s">
        <v>38</v>
      </c>
      <c r="C157" s="338" t="s">
        <v>1759</v>
      </c>
      <c r="D157" s="213" t="s">
        <v>850</v>
      </c>
      <c r="E157" s="213" t="s">
        <v>138</v>
      </c>
      <c r="F157" s="213" t="s">
        <v>128</v>
      </c>
      <c r="G157" s="4">
        <v>912.01</v>
      </c>
      <c r="H157" s="4">
        <v>6</v>
      </c>
      <c r="I157" s="4">
        <v>2067.0700000000002</v>
      </c>
      <c r="J157" s="4">
        <v>16</v>
      </c>
      <c r="K157" s="4">
        <v>246</v>
      </c>
      <c r="L157" s="4">
        <v>2</v>
      </c>
      <c r="M157" s="4">
        <v>1118.03</v>
      </c>
      <c r="N157" s="4">
        <v>10</v>
      </c>
      <c r="O157" s="4">
        <v>1743.05</v>
      </c>
      <c r="P157" s="4">
        <v>14</v>
      </c>
      <c r="Q157" s="4">
        <v>450</v>
      </c>
      <c r="R157" s="4">
        <v>3</v>
      </c>
      <c r="S157" s="4">
        <v>0</v>
      </c>
      <c r="T157" s="4">
        <v>0</v>
      </c>
      <c r="U157" s="4">
        <v>829.04</v>
      </c>
      <c r="V157" s="4">
        <v>6</v>
      </c>
      <c r="W157" s="4">
        <v>4116.9799999999996</v>
      </c>
      <c r="X157" s="4">
        <v>20</v>
      </c>
      <c r="Y157" s="4">
        <v>706</v>
      </c>
      <c r="Z157" s="4">
        <v>6</v>
      </c>
      <c r="AA157" s="4">
        <v>949.04</v>
      </c>
      <c r="AB157" s="4">
        <v>6</v>
      </c>
      <c r="AC157" s="4">
        <v>861.02</v>
      </c>
      <c r="AD157" s="4">
        <v>7</v>
      </c>
      <c r="AE157" s="4">
        <v>1043.03</v>
      </c>
      <c r="AF157" s="4">
        <v>9</v>
      </c>
      <c r="AG157" s="4">
        <v>0</v>
      </c>
      <c r="AH157" s="4">
        <v>0</v>
      </c>
      <c r="AI157" s="4">
        <v>242.02</v>
      </c>
      <c r="AJ157" s="4">
        <v>1</v>
      </c>
      <c r="AK157" s="4">
        <v>1127.03</v>
      </c>
      <c r="AL157" s="4">
        <v>8</v>
      </c>
      <c r="AM157" s="4">
        <v>675</v>
      </c>
      <c r="AN157" s="4">
        <v>4</v>
      </c>
      <c r="AO157" s="4">
        <v>300.01</v>
      </c>
      <c r="AP157" s="4">
        <v>2</v>
      </c>
      <c r="AQ157" s="4">
        <v>0</v>
      </c>
      <c r="AR157" s="4">
        <v>0</v>
      </c>
      <c r="AS157" s="4">
        <v>499</v>
      </c>
      <c r="AT157" s="4">
        <v>2</v>
      </c>
      <c r="AU157" s="4">
        <v>0</v>
      </c>
      <c r="AV157" s="4">
        <v>0</v>
      </c>
      <c r="AW157" s="4">
        <v>2210.88</v>
      </c>
      <c r="AX157" s="4">
        <v>14</v>
      </c>
      <c r="AY157" s="4">
        <v>495.99</v>
      </c>
      <c r="AZ157" s="4">
        <v>5</v>
      </c>
      <c r="BA157" s="4">
        <v>989</v>
      </c>
      <c r="BB157" s="4">
        <v>6</v>
      </c>
      <c r="BC157" s="4">
        <v>1678.92</v>
      </c>
      <c r="BD157" s="4">
        <v>11</v>
      </c>
      <c r="BE157" s="4">
        <v>150</v>
      </c>
      <c r="BF157" s="4">
        <v>1</v>
      </c>
      <c r="BQ157" s="3">
        <f t="shared" si="6"/>
        <v>23409.120000000003</v>
      </c>
      <c r="BR157" s="3">
        <f t="shared" si="5"/>
        <v>159</v>
      </c>
    </row>
    <row r="158" spans="1:70" x14ac:dyDescent="0.25">
      <c r="A158" s="4" t="s">
        <v>2282</v>
      </c>
      <c r="B158" t="s">
        <v>38</v>
      </c>
      <c r="C158" s="338" t="s">
        <v>1722</v>
      </c>
      <c r="D158" s="213" t="s">
        <v>813</v>
      </c>
      <c r="E158" s="213" t="s">
        <v>138</v>
      </c>
      <c r="F158" s="213" t="s">
        <v>128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1728.05</v>
      </c>
      <c r="P158" s="4">
        <v>12</v>
      </c>
      <c r="Q158" s="4">
        <v>3546.97</v>
      </c>
      <c r="R158" s="4">
        <v>11</v>
      </c>
      <c r="S158" s="4">
        <v>1303.04</v>
      </c>
      <c r="T158" s="4">
        <v>13</v>
      </c>
      <c r="U158" s="4">
        <v>3668.05</v>
      </c>
      <c r="V158" s="4">
        <v>27</v>
      </c>
      <c r="W158" s="4">
        <v>1851.01</v>
      </c>
      <c r="X158" s="4">
        <v>15</v>
      </c>
      <c r="Y158" s="4">
        <v>0</v>
      </c>
      <c r="Z158" s="4">
        <v>0</v>
      </c>
      <c r="AA158" s="4">
        <v>0</v>
      </c>
      <c r="AB158" s="4">
        <v>0</v>
      </c>
      <c r="AC158" s="4">
        <v>1262.05</v>
      </c>
      <c r="AD158" s="4">
        <v>10</v>
      </c>
      <c r="AE158" s="4">
        <v>0</v>
      </c>
      <c r="AF158" s="4">
        <v>0</v>
      </c>
      <c r="AG158" s="4">
        <v>1015.01</v>
      </c>
      <c r="AH158" s="4">
        <v>7</v>
      </c>
      <c r="AI158" s="4">
        <v>1135.05</v>
      </c>
      <c r="AJ158" s="4">
        <v>11</v>
      </c>
      <c r="AK158" s="4">
        <v>0</v>
      </c>
      <c r="AL158" s="4">
        <v>0</v>
      </c>
      <c r="AM158" s="4">
        <v>0</v>
      </c>
      <c r="AN158" s="4">
        <v>0</v>
      </c>
      <c r="AO158" s="4">
        <v>622.02</v>
      </c>
      <c r="AP158" s="4">
        <v>5</v>
      </c>
      <c r="AQ158" s="4">
        <v>988</v>
      </c>
      <c r="AR158" s="4">
        <v>7</v>
      </c>
      <c r="AS158" s="4">
        <v>0</v>
      </c>
      <c r="AT158" s="4">
        <v>0</v>
      </c>
      <c r="AU158" s="4">
        <v>525.01</v>
      </c>
      <c r="AV158" s="4">
        <v>4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776.02</v>
      </c>
      <c r="BF158" s="4">
        <v>5</v>
      </c>
      <c r="BQ158" s="3">
        <f t="shared" si="6"/>
        <v>18420.28</v>
      </c>
      <c r="BR158" s="3">
        <f t="shared" si="5"/>
        <v>127</v>
      </c>
    </row>
    <row r="159" spans="1:70" x14ac:dyDescent="0.25">
      <c r="A159" s="4" t="s">
        <v>2283</v>
      </c>
      <c r="B159" t="s">
        <v>38</v>
      </c>
      <c r="C159" s="338" t="s">
        <v>1725</v>
      </c>
      <c r="D159" s="213" t="s">
        <v>816</v>
      </c>
      <c r="E159" s="213" t="s">
        <v>138</v>
      </c>
      <c r="F159" s="213" t="s">
        <v>128</v>
      </c>
      <c r="G159" s="4">
        <v>1971.06</v>
      </c>
      <c r="H159" s="4">
        <v>15</v>
      </c>
      <c r="I159" s="4">
        <v>2696.04</v>
      </c>
      <c r="J159" s="4">
        <v>21</v>
      </c>
      <c r="K159" s="4">
        <v>1562.01</v>
      </c>
      <c r="L159" s="4">
        <v>12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Q159" s="3">
        <f t="shared" si="6"/>
        <v>6229.1100000000006</v>
      </c>
      <c r="BR159" s="3">
        <f t="shared" si="5"/>
        <v>48</v>
      </c>
    </row>
    <row r="160" spans="1:70" x14ac:dyDescent="0.25">
      <c r="A160" s="4" t="s">
        <v>2284</v>
      </c>
      <c r="B160" t="s">
        <v>39</v>
      </c>
      <c r="C160" s="338" t="s">
        <v>1760</v>
      </c>
      <c r="D160" s="213" t="s">
        <v>851</v>
      </c>
      <c r="E160" s="213" t="s">
        <v>138</v>
      </c>
      <c r="F160" s="213" t="s">
        <v>129</v>
      </c>
      <c r="G160" s="4">
        <v>1544.07</v>
      </c>
      <c r="H160" s="4">
        <v>14</v>
      </c>
      <c r="I160" s="4">
        <v>3014.04</v>
      </c>
      <c r="J160" s="4">
        <v>26</v>
      </c>
      <c r="K160" s="4">
        <v>780.02</v>
      </c>
      <c r="L160" s="4">
        <v>6</v>
      </c>
      <c r="M160" s="4">
        <v>0</v>
      </c>
      <c r="N160" s="4">
        <v>0</v>
      </c>
      <c r="O160" s="4">
        <v>1259.02</v>
      </c>
      <c r="P160" s="4">
        <v>6</v>
      </c>
      <c r="Q160" s="4">
        <v>600.01</v>
      </c>
      <c r="R160" s="4">
        <v>4</v>
      </c>
      <c r="S160" s="4">
        <v>265.01</v>
      </c>
      <c r="T160" s="4">
        <v>2</v>
      </c>
      <c r="U160" s="4">
        <v>115</v>
      </c>
      <c r="V160" s="4">
        <v>1</v>
      </c>
      <c r="W160" s="4">
        <v>0</v>
      </c>
      <c r="X160" s="4">
        <v>0</v>
      </c>
      <c r="Y160" s="4">
        <v>774.03</v>
      </c>
      <c r="Z160" s="4">
        <v>4</v>
      </c>
      <c r="AA160" s="4">
        <v>0</v>
      </c>
      <c r="AB160" s="4">
        <v>0</v>
      </c>
      <c r="AC160" s="4">
        <v>410</v>
      </c>
      <c r="AD160" s="4">
        <v>3</v>
      </c>
      <c r="AE160" s="4">
        <v>549.02</v>
      </c>
      <c r="AF160" s="4">
        <v>4</v>
      </c>
      <c r="AG160" s="4">
        <v>150</v>
      </c>
      <c r="AH160" s="4">
        <v>1</v>
      </c>
      <c r="AI160" s="4">
        <v>440.01</v>
      </c>
      <c r="AJ160" s="4">
        <v>3</v>
      </c>
      <c r="AK160" s="4">
        <v>1614.05</v>
      </c>
      <c r="AL160" s="4">
        <v>9</v>
      </c>
      <c r="AM160" s="4">
        <v>525.01</v>
      </c>
      <c r="AN160" s="4">
        <v>4</v>
      </c>
      <c r="AO160" s="4">
        <v>0</v>
      </c>
      <c r="AP160" s="4">
        <v>0</v>
      </c>
      <c r="AQ160" s="4">
        <v>1274.05</v>
      </c>
      <c r="AR160" s="4">
        <v>6</v>
      </c>
      <c r="AS160" s="4">
        <v>822.02</v>
      </c>
      <c r="AT160" s="4">
        <v>4</v>
      </c>
      <c r="AU160" s="4">
        <v>764.01</v>
      </c>
      <c r="AV160" s="4">
        <v>5</v>
      </c>
      <c r="AW160" s="4">
        <v>450</v>
      </c>
      <c r="AX160" s="4">
        <v>3</v>
      </c>
      <c r="AY160" s="4">
        <v>0</v>
      </c>
      <c r="AZ160" s="4">
        <v>0</v>
      </c>
      <c r="BA160" s="4">
        <v>1293.94</v>
      </c>
      <c r="BB160" s="4">
        <v>4</v>
      </c>
      <c r="BC160" s="4">
        <v>0</v>
      </c>
      <c r="BD160" s="4">
        <v>0</v>
      </c>
      <c r="BE160" s="4">
        <v>1144.0899999999999</v>
      </c>
      <c r="BF160" s="4">
        <v>8</v>
      </c>
      <c r="BQ160" s="3">
        <f t="shared" si="6"/>
        <v>17787.400000000001</v>
      </c>
      <c r="BR160" s="3">
        <f t="shared" si="5"/>
        <v>117</v>
      </c>
    </row>
    <row r="161" spans="1:70" x14ac:dyDescent="0.25">
      <c r="A161" s="4" t="s">
        <v>2285</v>
      </c>
      <c r="B161" t="s">
        <v>39</v>
      </c>
      <c r="C161" s="338" t="s">
        <v>1761</v>
      </c>
      <c r="D161" s="213" t="s">
        <v>852</v>
      </c>
      <c r="E161" s="213" t="s">
        <v>138</v>
      </c>
      <c r="F161" s="213" t="s">
        <v>129</v>
      </c>
      <c r="G161" s="4">
        <v>196.01</v>
      </c>
      <c r="H161" s="4">
        <v>4</v>
      </c>
      <c r="I161" s="4">
        <v>2249.1</v>
      </c>
      <c r="J161" s="4">
        <v>17</v>
      </c>
      <c r="K161" s="4">
        <v>638</v>
      </c>
      <c r="L161" s="4">
        <v>5</v>
      </c>
      <c r="M161" s="4">
        <v>913.02</v>
      </c>
      <c r="N161" s="4">
        <v>7</v>
      </c>
      <c r="O161" s="4">
        <v>381</v>
      </c>
      <c r="P161" s="4">
        <v>6</v>
      </c>
      <c r="Q161" s="4">
        <v>950</v>
      </c>
      <c r="R161" s="4">
        <v>7</v>
      </c>
      <c r="S161" s="4">
        <v>0</v>
      </c>
      <c r="T161" s="4">
        <v>0</v>
      </c>
      <c r="U161" s="4">
        <v>300.01</v>
      </c>
      <c r="V161" s="4">
        <v>2</v>
      </c>
      <c r="W161" s="4">
        <v>300</v>
      </c>
      <c r="X161" s="4">
        <v>4</v>
      </c>
      <c r="Y161" s="4">
        <v>399</v>
      </c>
      <c r="Z161" s="4">
        <v>3</v>
      </c>
      <c r="AA161" s="4">
        <v>940</v>
      </c>
      <c r="AB161" s="4">
        <v>5</v>
      </c>
      <c r="AC161" s="4">
        <v>375.01</v>
      </c>
      <c r="AD161" s="4">
        <v>3</v>
      </c>
      <c r="AE161" s="4">
        <v>962.03</v>
      </c>
      <c r="AF161" s="4">
        <v>6</v>
      </c>
      <c r="AG161" s="4">
        <v>0</v>
      </c>
      <c r="AH161" s="4">
        <v>0</v>
      </c>
      <c r="AI161" s="4">
        <v>0</v>
      </c>
      <c r="AJ161" s="4">
        <v>0</v>
      </c>
      <c r="AK161" s="4">
        <v>1055.02</v>
      </c>
      <c r="AL161" s="4">
        <v>9</v>
      </c>
      <c r="AM161" s="4">
        <v>525</v>
      </c>
      <c r="AN161" s="4">
        <v>3</v>
      </c>
      <c r="AO161" s="4">
        <v>675</v>
      </c>
      <c r="AP161" s="4">
        <v>4</v>
      </c>
      <c r="AQ161" s="4">
        <v>348.01</v>
      </c>
      <c r="AR161" s="4">
        <v>4</v>
      </c>
      <c r="AS161" s="4">
        <v>0</v>
      </c>
      <c r="AT161" s="4">
        <v>0</v>
      </c>
      <c r="AU161" s="4">
        <v>324</v>
      </c>
      <c r="AV161" s="4">
        <v>3</v>
      </c>
      <c r="AW161" s="4">
        <v>0</v>
      </c>
      <c r="AX161" s="4">
        <v>0</v>
      </c>
      <c r="AY161" s="4">
        <v>475.98</v>
      </c>
      <c r="AZ161" s="4">
        <v>4</v>
      </c>
      <c r="BA161" s="4">
        <v>119</v>
      </c>
      <c r="BB161" s="4">
        <v>2</v>
      </c>
      <c r="BC161" s="4">
        <v>782.98</v>
      </c>
      <c r="BD161" s="4">
        <v>5</v>
      </c>
      <c r="BE161" s="4">
        <v>572.04</v>
      </c>
      <c r="BF161" s="4">
        <v>4</v>
      </c>
      <c r="BQ161" s="3">
        <f t="shared" si="6"/>
        <v>13480.21</v>
      </c>
      <c r="BR161" s="3">
        <f t="shared" si="5"/>
        <v>107</v>
      </c>
    </row>
    <row r="162" spans="1:70" x14ac:dyDescent="0.25">
      <c r="A162" s="4" t="s">
        <v>2286</v>
      </c>
      <c r="B162" t="s">
        <v>39</v>
      </c>
      <c r="C162" s="338" t="s">
        <v>1762</v>
      </c>
      <c r="D162" s="213" t="s">
        <v>853</v>
      </c>
      <c r="E162" s="213" t="s">
        <v>138</v>
      </c>
      <c r="F162" s="213" t="s">
        <v>129</v>
      </c>
      <c r="G162" s="4">
        <v>3965.08</v>
      </c>
      <c r="H162" s="4">
        <v>16</v>
      </c>
      <c r="I162" s="4">
        <v>0</v>
      </c>
      <c r="J162" s="4">
        <v>0</v>
      </c>
      <c r="K162" s="4">
        <v>480.01</v>
      </c>
      <c r="L162" s="4">
        <v>5</v>
      </c>
      <c r="M162" s="4">
        <v>225</v>
      </c>
      <c r="N162" s="4">
        <v>2</v>
      </c>
      <c r="O162" s="4">
        <v>0</v>
      </c>
      <c r="P162" s="4">
        <v>0</v>
      </c>
      <c r="Q162" s="4">
        <v>533.03</v>
      </c>
      <c r="R162" s="4">
        <v>6</v>
      </c>
      <c r="S162" s="4">
        <v>1397.03</v>
      </c>
      <c r="T162" s="4">
        <v>12</v>
      </c>
      <c r="U162" s="4">
        <v>652.02</v>
      </c>
      <c r="V162" s="4">
        <v>5</v>
      </c>
      <c r="W162" s="4">
        <v>831.01</v>
      </c>
      <c r="X162" s="4">
        <v>6</v>
      </c>
      <c r="Y162" s="4">
        <v>75</v>
      </c>
      <c r="Z162" s="4">
        <v>1</v>
      </c>
      <c r="AA162" s="4">
        <v>262.01</v>
      </c>
      <c r="AB162" s="4">
        <v>2</v>
      </c>
      <c r="AC162" s="4">
        <v>1636.03</v>
      </c>
      <c r="AD162" s="4">
        <v>11</v>
      </c>
      <c r="AE162" s="4">
        <v>0</v>
      </c>
      <c r="AF162" s="4">
        <v>0</v>
      </c>
      <c r="AG162" s="4">
        <v>1447</v>
      </c>
      <c r="AH162" s="4">
        <v>10</v>
      </c>
      <c r="AI162" s="4">
        <v>587</v>
      </c>
      <c r="AJ162" s="4">
        <v>5</v>
      </c>
      <c r="AK162" s="4">
        <v>377</v>
      </c>
      <c r="AL162" s="4">
        <v>5</v>
      </c>
      <c r="AM162" s="4">
        <v>399.01</v>
      </c>
      <c r="AN162" s="4">
        <v>4</v>
      </c>
      <c r="AO162" s="4">
        <v>577.02</v>
      </c>
      <c r="AP162" s="4">
        <v>5</v>
      </c>
      <c r="AQ162" s="4">
        <v>0</v>
      </c>
      <c r="AR162" s="4">
        <v>0</v>
      </c>
      <c r="AS162" s="4">
        <v>600.01</v>
      </c>
      <c r="AT162" s="4">
        <v>4</v>
      </c>
      <c r="AU162" s="4">
        <v>255.01</v>
      </c>
      <c r="AV162" s="4">
        <v>4</v>
      </c>
      <c r="AW162" s="4">
        <v>857.94</v>
      </c>
      <c r="AX162" s="4">
        <v>5</v>
      </c>
      <c r="AY162" s="4">
        <v>360.98</v>
      </c>
      <c r="AZ162" s="4">
        <v>3</v>
      </c>
      <c r="BA162" s="4">
        <v>210.98</v>
      </c>
      <c r="BB162" s="4">
        <v>1</v>
      </c>
      <c r="BC162" s="4">
        <v>1274.02</v>
      </c>
      <c r="BD162" s="4">
        <v>9</v>
      </c>
      <c r="BE162" s="4">
        <v>2680.2</v>
      </c>
      <c r="BF162" s="4">
        <v>11</v>
      </c>
      <c r="BQ162" s="3">
        <f t="shared" si="6"/>
        <v>19682.390000000003</v>
      </c>
      <c r="BR162" s="3">
        <f t="shared" si="5"/>
        <v>132</v>
      </c>
    </row>
    <row r="163" spans="1:70" x14ac:dyDescent="0.25">
      <c r="A163" s="4" t="s">
        <v>2287</v>
      </c>
      <c r="B163" t="s">
        <v>39</v>
      </c>
      <c r="C163" s="338" t="s">
        <v>1763</v>
      </c>
      <c r="D163" s="213" t="s">
        <v>854</v>
      </c>
      <c r="E163" s="213" t="s">
        <v>138</v>
      </c>
      <c r="F163" s="213" t="s">
        <v>129</v>
      </c>
      <c r="G163" s="4">
        <v>1481.03</v>
      </c>
      <c r="H163" s="4">
        <v>12</v>
      </c>
      <c r="I163" s="4">
        <v>0</v>
      </c>
      <c r="J163" s="4">
        <v>0</v>
      </c>
      <c r="K163" s="4">
        <v>1321.05</v>
      </c>
      <c r="L163" s="4">
        <v>12</v>
      </c>
      <c r="M163" s="4">
        <v>3432.08</v>
      </c>
      <c r="N163" s="4">
        <v>19</v>
      </c>
      <c r="O163" s="4">
        <v>1524.04</v>
      </c>
      <c r="P163" s="4">
        <v>10</v>
      </c>
      <c r="Q163" s="4">
        <v>0</v>
      </c>
      <c r="R163" s="4">
        <v>0</v>
      </c>
      <c r="S163" s="4">
        <v>3039</v>
      </c>
      <c r="T163" s="4">
        <v>12</v>
      </c>
      <c r="U163" s="4">
        <v>2107.06</v>
      </c>
      <c r="V163" s="4">
        <v>15</v>
      </c>
      <c r="W163" s="4">
        <v>1848.05</v>
      </c>
      <c r="X163" s="4">
        <v>13</v>
      </c>
      <c r="Y163" s="4">
        <v>1560.01</v>
      </c>
      <c r="Z163" s="4">
        <v>5</v>
      </c>
      <c r="AA163" s="4">
        <v>1595.02</v>
      </c>
      <c r="AB163" s="4">
        <v>9</v>
      </c>
      <c r="AC163" s="4">
        <v>0</v>
      </c>
      <c r="AD163" s="4">
        <v>0</v>
      </c>
      <c r="AE163" s="4">
        <v>1124.03</v>
      </c>
      <c r="AF163" s="4">
        <v>7</v>
      </c>
      <c r="AG163" s="4">
        <v>649.03</v>
      </c>
      <c r="AH163" s="4">
        <v>4</v>
      </c>
      <c r="AI163" s="4">
        <v>1061.02</v>
      </c>
      <c r="AJ163" s="4">
        <v>8</v>
      </c>
      <c r="AK163" s="4">
        <v>0</v>
      </c>
      <c r="AL163" s="4">
        <v>0</v>
      </c>
      <c r="AM163" s="4">
        <v>1224.03</v>
      </c>
      <c r="AN163" s="4">
        <v>8</v>
      </c>
      <c r="AO163" s="4">
        <v>150</v>
      </c>
      <c r="AP163" s="4">
        <v>1</v>
      </c>
      <c r="AQ163" s="4">
        <v>1050</v>
      </c>
      <c r="AR163" s="4">
        <v>8</v>
      </c>
      <c r="AS163" s="4">
        <v>765.02</v>
      </c>
      <c r="AT163" s="4">
        <v>5</v>
      </c>
      <c r="AU163" s="4">
        <v>0</v>
      </c>
      <c r="AV163" s="4">
        <v>0</v>
      </c>
      <c r="AW163" s="4">
        <v>2212.84</v>
      </c>
      <c r="AX163" s="4">
        <v>8</v>
      </c>
      <c r="AY163" s="4">
        <v>462.01</v>
      </c>
      <c r="AZ163" s="4">
        <v>3</v>
      </c>
      <c r="BA163" s="4">
        <v>435.98</v>
      </c>
      <c r="BB163" s="4">
        <v>4</v>
      </c>
      <c r="BC163" s="4">
        <v>285.98</v>
      </c>
      <c r="BD163" s="4">
        <v>2</v>
      </c>
      <c r="BE163" s="4">
        <v>0</v>
      </c>
      <c r="BF163" s="4">
        <v>0</v>
      </c>
      <c r="BQ163" s="3">
        <f t="shared" si="6"/>
        <v>27327.279999999995</v>
      </c>
      <c r="BR163" s="3">
        <f t="shared" si="5"/>
        <v>165</v>
      </c>
    </row>
    <row r="164" spans="1:70" x14ac:dyDescent="0.25">
      <c r="A164" s="4" t="s">
        <v>2288</v>
      </c>
      <c r="B164" t="s">
        <v>40</v>
      </c>
      <c r="C164" s="338" t="s">
        <v>1764</v>
      </c>
      <c r="D164" s="213" t="s">
        <v>855</v>
      </c>
      <c r="E164" s="213" t="s">
        <v>145</v>
      </c>
      <c r="F164" s="213" t="s">
        <v>131</v>
      </c>
      <c r="G164" s="4">
        <v>3743.08</v>
      </c>
      <c r="H164" s="4">
        <v>36</v>
      </c>
      <c r="I164" s="4">
        <v>4969.13</v>
      </c>
      <c r="J164" s="4">
        <v>47</v>
      </c>
      <c r="K164" s="4">
        <v>2634.09</v>
      </c>
      <c r="L164" s="4">
        <v>27</v>
      </c>
      <c r="M164" s="4">
        <v>4656.05</v>
      </c>
      <c r="N164" s="4">
        <v>25</v>
      </c>
      <c r="O164" s="4">
        <v>4190.05</v>
      </c>
      <c r="P164" s="4">
        <v>33</v>
      </c>
      <c r="Q164" s="4">
        <v>2927.02</v>
      </c>
      <c r="R164" s="4">
        <v>20</v>
      </c>
      <c r="S164" s="4">
        <v>4463.09</v>
      </c>
      <c r="T164" s="4">
        <v>35</v>
      </c>
      <c r="U164" s="4">
        <v>5048.05</v>
      </c>
      <c r="V164" s="4">
        <v>34</v>
      </c>
      <c r="W164" s="4">
        <v>5703.07</v>
      </c>
      <c r="X164" s="4">
        <v>40</v>
      </c>
      <c r="Y164" s="4">
        <v>2757.09</v>
      </c>
      <c r="Z164" s="4">
        <v>24</v>
      </c>
      <c r="AA164" s="4">
        <v>2397.04</v>
      </c>
      <c r="AB164" s="4">
        <v>17</v>
      </c>
      <c r="AC164" s="4">
        <v>1721.01</v>
      </c>
      <c r="AD164" s="4">
        <v>10</v>
      </c>
      <c r="AE164" s="4">
        <v>1125.02</v>
      </c>
      <c r="AF164" s="4">
        <v>7</v>
      </c>
      <c r="AG164" s="4">
        <v>3039.08</v>
      </c>
      <c r="AH164" s="4">
        <v>21</v>
      </c>
      <c r="AI164" s="4">
        <v>4793.09</v>
      </c>
      <c r="AJ164" s="4">
        <v>36</v>
      </c>
      <c r="AK164" s="4">
        <v>5046.09</v>
      </c>
      <c r="AL164" s="4">
        <v>31</v>
      </c>
      <c r="AM164" s="4">
        <v>3947.02</v>
      </c>
      <c r="AN164" s="4">
        <v>30</v>
      </c>
      <c r="AO164" s="4">
        <v>649</v>
      </c>
      <c r="AP164" s="4">
        <v>6</v>
      </c>
      <c r="AQ164" s="4">
        <v>150</v>
      </c>
      <c r="AR164" s="4">
        <v>1</v>
      </c>
      <c r="AS164" s="4">
        <v>724.01</v>
      </c>
      <c r="AT164" s="4">
        <v>5</v>
      </c>
      <c r="AU164" s="4">
        <v>533.02</v>
      </c>
      <c r="AV164" s="4">
        <v>4</v>
      </c>
      <c r="AW164" s="4">
        <v>911.96</v>
      </c>
      <c r="AX164" s="4">
        <v>6</v>
      </c>
      <c r="AY164" s="4">
        <v>1096.97</v>
      </c>
      <c r="AZ164" s="4">
        <v>6</v>
      </c>
      <c r="BA164" s="4">
        <v>925</v>
      </c>
      <c r="BB164" s="4">
        <v>8</v>
      </c>
      <c r="BC164" s="4">
        <v>2549.85</v>
      </c>
      <c r="BD164" s="4">
        <v>15</v>
      </c>
      <c r="BE164" s="4">
        <v>3154.14</v>
      </c>
      <c r="BF164" s="4">
        <v>26</v>
      </c>
      <c r="BQ164" s="3">
        <f t="shared" si="6"/>
        <v>73853.02</v>
      </c>
      <c r="BR164" s="3">
        <f t="shared" si="5"/>
        <v>550</v>
      </c>
    </row>
    <row r="165" spans="1:70" x14ac:dyDescent="0.25">
      <c r="A165" s="4" t="s">
        <v>2289</v>
      </c>
      <c r="B165" t="s">
        <v>40</v>
      </c>
      <c r="C165" s="338" t="s">
        <v>1746</v>
      </c>
      <c r="D165" s="213" t="s">
        <v>837</v>
      </c>
      <c r="E165" s="213" t="s">
        <v>145</v>
      </c>
      <c r="F165" s="213" t="s">
        <v>131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1836.04</v>
      </c>
      <c r="AP165" s="4">
        <v>16</v>
      </c>
      <c r="AQ165" s="4">
        <v>2655.01</v>
      </c>
      <c r="AR165" s="4">
        <v>17</v>
      </c>
      <c r="AS165" s="4">
        <v>646.01</v>
      </c>
      <c r="AT165" s="4">
        <v>6</v>
      </c>
      <c r="AU165" s="4">
        <v>1438.01</v>
      </c>
      <c r="AV165" s="4">
        <v>10</v>
      </c>
      <c r="AW165" s="4">
        <v>2271.87</v>
      </c>
      <c r="AX165" s="4">
        <v>16</v>
      </c>
      <c r="AY165" s="4">
        <v>4616.75</v>
      </c>
      <c r="AZ165" s="4">
        <v>29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Q165" s="3">
        <f t="shared" si="6"/>
        <v>13463.69</v>
      </c>
      <c r="BR165" s="3">
        <f t="shared" si="5"/>
        <v>94</v>
      </c>
    </row>
    <row r="166" spans="1:70" x14ac:dyDescent="0.25">
      <c r="A166" s="4" t="s">
        <v>2290</v>
      </c>
      <c r="B166" t="s">
        <v>41</v>
      </c>
      <c r="C166" s="338" t="s">
        <v>1765</v>
      </c>
      <c r="D166" s="213" t="s">
        <v>856</v>
      </c>
      <c r="E166" s="213" t="s">
        <v>141</v>
      </c>
      <c r="F166" s="213" t="s">
        <v>132</v>
      </c>
      <c r="G166" s="4">
        <v>4912.07</v>
      </c>
      <c r="H166" s="4">
        <v>28</v>
      </c>
      <c r="I166" s="4">
        <v>3617.08</v>
      </c>
      <c r="J166" s="4">
        <v>18</v>
      </c>
      <c r="K166" s="4">
        <v>2721.03</v>
      </c>
      <c r="L166" s="4">
        <v>18</v>
      </c>
      <c r="M166" s="4">
        <v>896.03</v>
      </c>
      <c r="N166" s="4">
        <v>4</v>
      </c>
      <c r="O166" s="4">
        <v>1871.02</v>
      </c>
      <c r="P166" s="4">
        <v>6</v>
      </c>
      <c r="Q166" s="4">
        <v>1798.9</v>
      </c>
      <c r="R166" s="4">
        <v>5</v>
      </c>
      <c r="S166" s="4">
        <v>3931.12</v>
      </c>
      <c r="T166" s="4">
        <v>20</v>
      </c>
      <c r="U166" s="4">
        <v>96</v>
      </c>
      <c r="V166" s="4">
        <v>1</v>
      </c>
      <c r="W166" s="4">
        <v>0</v>
      </c>
      <c r="X166" s="4">
        <v>0</v>
      </c>
      <c r="Y166" s="4">
        <v>515.02</v>
      </c>
      <c r="Z166" s="4">
        <v>3</v>
      </c>
      <c r="AA166" s="4">
        <v>150</v>
      </c>
      <c r="AB166" s="4">
        <v>1</v>
      </c>
      <c r="AC166" s="4">
        <v>525.01</v>
      </c>
      <c r="AD166" s="4">
        <v>4</v>
      </c>
      <c r="AE166" s="4">
        <v>374.01</v>
      </c>
      <c r="AF166" s="4">
        <v>2</v>
      </c>
      <c r="AG166" s="4">
        <v>828.04</v>
      </c>
      <c r="AH166" s="4">
        <v>4</v>
      </c>
      <c r="AI166" s="4">
        <v>150.02000000000001</v>
      </c>
      <c r="AJ166" s="4">
        <v>1</v>
      </c>
      <c r="AK166" s="4">
        <v>0</v>
      </c>
      <c r="AL166" s="4">
        <v>0</v>
      </c>
      <c r="AM166" s="4">
        <v>799.01</v>
      </c>
      <c r="AN166" s="4">
        <v>6</v>
      </c>
      <c r="AO166" s="4">
        <v>1596.01</v>
      </c>
      <c r="AP166" s="4">
        <v>11</v>
      </c>
      <c r="AQ166" s="4">
        <v>1897.06</v>
      </c>
      <c r="AR166" s="4">
        <v>4</v>
      </c>
      <c r="AS166" s="4">
        <v>0</v>
      </c>
      <c r="AT166" s="4">
        <v>0</v>
      </c>
      <c r="AU166" s="4">
        <v>1450.03</v>
      </c>
      <c r="AV166" s="4">
        <v>8</v>
      </c>
      <c r="AW166" s="4">
        <v>1086</v>
      </c>
      <c r="AX166" s="4">
        <v>6</v>
      </c>
      <c r="AY166" s="4">
        <v>1179.97</v>
      </c>
      <c r="AZ166" s="4">
        <v>7</v>
      </c>
      <c r="BA166" s="4">
        <v>882.94</v>
      </c>
      <c r="BB166" s="4">
        <v>5</v>
      </c>
      <c r="BC166" s="4">
        <v>1861.87</v>
      </c>
      <c r="BD166" s="4">
        <v>10</v>
      </c>
      <c r="BE166" s="4">
        <v>1475.1</v>
      </c>
      <c r="BF166" s="4">
        <v>8</v>
      </c>
      <c r="BQ166" s="3">
        <f t="shared" si="6"/>
        <v>34613.339999999997</v>
      </c>
      <c r="BR166" s="3">
        <f t="shared" si="5"/>
        <v>180</v>
      </c>
    </row>
    <row r="167" spans="1:70" x14ac:dyDescent="0.25">
      <c r="A167" s="4" t="s">
        <v>2291</v>
      </c>
      <c r="B167" t="s">
        <v>41</v>
      </c>
      <c r="C167" s="338" t="s">
        <v>1766</v>
      </c>
      <c r="D167" s="213" t="s">
        <v>857</v>
      </c>
      <c r="E167" s="213" t="s">
        <v>141</v>
      </c>
      <c r="F167" s="213" t="s">
        <v>132</v>
      </c>
      <c r="G167" s="4">
        <v>1025</v>
      </c>
      <c r="H167" s="4">
        <v>8</v>
      </c>
      <c r="I167" s="4">
        <v>3064.05</v>
      </c>
      <c r="J167" s="4">
        <v>25</v>
      </c>
      <c r="K167" s="4">
        <v>1530.05</v>
      </c>
      <c r="L167" s="4">
        <v>9</v>
      </c>
      <c r="M167" s="4">
        <v>0</v>
      </c>
      <c r="N167" s="4">
        <v>0</v>
      </c>
      <c r="O167" s="4">
        <v>0</v>
      </c>
      <c r="P167" s="4">
        <v>0</v>
      </c>
      <c r="Q167" s="4">
        <v>1559.02</v>
      </c>
      <c r="R167" s="4">
        <v>12</v>
      </c>
      <c r="S167" s="4">
        <v>300.01</v>
      </c>
      <c r="T167" s="4">
        <v>2</v>
      </c>
      <c r="U167" s="4">
        <v>1617.03</v>
      </c>
      <c r="V167" s="4">
        <v>14</v>
      </c>
      <c r="W167" s="4">
        <v>2223.0100000000002</v>
      </c>
      <c r="X167" s="4">
        <v>15</v>
      </c>
      <c r="Y167" s="4">
        <v>1282</v>
      </c>
      <c r="Z167" s="4">
        <v>11</v>
      </c>
      <c r="AA167" s="4">
        <v>0</v>
      </c>
      <c r="AB167" s="4">
        <v>0</v>
      </c>
      <c r="AC167" s="4">
        <v>1986.07</v>
      </c>
      <c r="AD167" s="4">
        <v>15</v>
      </c>
      <c r="AE167" s="4">
        <v>1305.01</v>
      </c>
      <c r="AF167" s="4">
        <v>11</v>
      </c>
      <c r="AG167" s="4">
        <v>2839.06</v>
      </c>
      <c r="AH167" s="4">
        <v>20</v>
      </c>
      <c r="AI167" s="4">
        <v>1938.04</v>
      </c>
      <c r="AJ167" s="4">
        <v>16</v>
      </c>
      <c r="AK167" s="4">
        <v>2471.0300000000002</v>
      </c>
      <c r="AL167" s="4">
        <v>19</v>
      </c>
      <c r="AM167" s="4">
        <v>769.01</v>
      </c>
      <c r="AN167" s="4">
        <v>8</v>
      </c>
      <c r="AO167" s="4">
        <v>0</v>
      </c>
      <c r="AP167" s="4">
        <v>0</v>
      </c>
      <c r="AQ167" s="4">
        <v>1338.05</v>
      </c>
      <c r="AR167" s="4">
        <v>14</v>
      </c>
      <c r="AS167" s="4">
        <v>1459.02</v>
      </c>
      <c r="AT167" s="4">
        <v>12</v>
      </c>
      <c r="AU167" s="4">
        <v>1315</v>
      </c>
      <c r="AV167" s="4">
        <v>9</v>
      </c>
      <c r="AW167" s="4">
        <v>1694.98</v>
      </c>
      <c r="AX167" s="4">
        <v>12</v>
      </c>
      <c r="AY167" s="4">
        <v>1886.9</v>
      </c>
      <c r="AZ167" s="4">
        <v>12</v>
      </c>
      <c r="BA167" s="4">
        <v>811</v>
      </c>
      <c r="BB167" s="4">
        <v>7</v>
      </c>
      <c r="BC167" s="4">
        <v>0</v>
      </c>
      <c r="BD167" s="4">
        <v>0</v>
      </c>
      <c r="BE167" s="4">
        <v>1142.06</v>
      </c>
      <c r="BF167" s="4">
        <v>7</v>
      </c>
      <c r="BQ167" s="3">
        <f t="shared" si="6"/>
        <v>33555.4</v>
      </c>
      <c r="BR167" s="3">
        <f t="shared" si="5"/>
        <v>258</v>
      </c>
    </row>
    <row r="168" spans="1:70" x14ac:dyDescent="0.25">
      <c r="A168" s="4" t="s">
        <v>2292</v>
      </c>
      <c r="B168" t="s">
        <v>41</v>
      </c>
      <c r="C168" s="338" t="s">
        <v>1767</v>
      </c>
      <c r="D168" s="213" t="s">
        <v>858</v>
      </c>
      <c r="E168" s="213" t="s">
        <v>141</v>
      </c>
      <c r="F168" s="213" t="s">
        <v>132</v>
      </c>
      <c r="G168" s="4">
        <v>0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6085.13</v>
      </c>
      <c r="N168" s="4">
        <v>30</v>
      </c>
      <c r="O168" s="4">
        <v>3177.06</v>
      </c>
      <c r="P168" s="4">
        <v>20</v>
      </c>
      <c r="Q168" s="4">
        <v>1301.04</v>
      </c>
      <c r="R168" s="4">
        <v>11</v>
      </c>
      <c r="S168" s="4">
        <v>0</v>
      </c>
      <c r="T168" s="4">
        <v>0</v>
      </c>
      <c r="U168" s="4">
        <v>1502.02</v>
      </c>
      <c r="V168" s="4">
        <v>11</v>
      </c>
      <c r="W168" s="4">
        <v>1564.04</v>
      </c>
      <c r="X168" s="4">
        <v>13</v>
      </c>
      <c r="Y168" s="4">
        <v>1213.02</v>
      </c>
      <c r="Z168" s="4">
        <v>9</v>
      </c>
      <c r="AA168" s="4">
        <v>1312.03</v>
      </c>
      <c r="AB168" s="4">
        <v>11</v>
      </c>
      <c r="AC168" s="4">
        <v>150</v>
      </c>
      <c r="AD168" s="4">
        <v>1</v>
      </c>
      <c r="AE168" s="4">
        <v>0</v>
      </c>
      <c r="AF168" s="4">
        <v>0</v>
      </c>
      <c r="AG168" s="4">
        <v>0</v>
      </c>
      <c r="AH168" s="4">
        <v>0</v>
      </c>
      <c r="AI168" s="4">
        <v>1675.04</v>
      </c>
      <c r="AJ168" s="4">
        <v>14</v>
      </c>
      <c r="AK168" s="4">
        <v>2843.08</v>
      </c>
      <c r="AL168" s="4">
        <v>13</v>
      </c>
      <c r="AM168" s="4">
        <v>1959.04</v>
      </c>
      <c r="AN168" s="4">
        <v>11</v>
      </c>
      <c r="AO168" s="4">
        <v>265</v>
      </c>
      <c r="AP168" s="4">
        <v>2</v>
      </c>
      <c r="AQ168" s="4">
        <v>1669.07</v>
      </c>
      <c r="AR168" s="4">
        <v>4</v>
      </c>
      <c r="AS168" s="4">
        <v>375.01</v>
      </c>
      <c r="AT168" s="4">
        <v>3</v>
      </c>
      <c r="AU168" s="4">
        <v>475</v>
      </c>
      <c r="AV168" s="4">
        <v>3</v>
      </c>
      <c r="AW168" s="4">
        <v>450</v>
      </c>
      <c r="AX168" s="4">
        <v>3</v>
      </c>
      <c r="AY168" s="4">
        <v>0</v>
      </c>
      <c r="AZ168" s="4">
        <v>0</v>
      </c>
      <c r="BA168" s="4">
        <v>958.92</v>
      </c>
      <c r="BB168" s="4">
        <v>5</v>
      </c>
      <c r="BC168" s="4">
        <v>360.98</v>
      </c>
      <c r="BD168" s="4">
        <v>3</v>
      </c>
      <c r="BE168" s="4">
        <v>211.02</v>
      </c>
      <c r="BF168" s="4">
        <v>1</v>
      </c>
      <c r="BQ168" s="3">
        <f t="shared" si="6"/>
        <v>27546.499999999996</v>
      </c>
      <c r="BR168" s="3">
        <f t="shared" si="5"/>
        <v>169</v>
      </c>
    </row>
    <row r="169" spans="1:70" x14ac:dyDescent="0.25">
      <c r="A169" s="4" t="s">
        <v>2293</v>
      </c>
      <c r="B169" t="s">
        <v>42</v>
      </c>
      <c r="C169" s="338" t="s">
        <v>1768</v>
      </c>
      <c r="D169" s="213" t="s">
        <v>859</v>
      </c>
      <c r="E169" s="213" t="s">
        <v>142</v>
      </c>
      <c r="F169" s="213" t="s">
        <v>132</v>
      </c>
      <c r="G169" s="4">
        <v>1631.01</v>
      </c>
      <c r="H169" s="4">
        <v>13</v>
      </c>
      <c r="I169" s="4">
        <v>3401.08</v>
      </c>
      <c r="J169" s="4">
        <v>24</v>
      </c>
      <c r="K169" s="4">
        <v>1645.01</v>
      </c>
      <c r="L169" s="4">
        <v>15</v>
      </c>
      <c r="M169" s="4">
        <v>3511.06</v>
      </c>
      <c r="N169" s="4">
        <v>25</v>
      </c>
      <c r="O169" s="4">
        <v>1513.04</v>
      </c>
      <c r="P169" s="4">
        <v>11</v>
      </c>
      <c r="Q169" s="4">
        <v>0</v>
      </c>
      <c r="R169" s="4">
        <v>0</v>
      </c>
      <c r="S169" s="4">
        <v>3369.05</v>
      </c>
      <c r="T169" s="4">
        <v>19</v>
      </c>
      <c r="U169" s="4">
        <v>2135.0500000000002</v>
      </c>
      <c r="V169" s="4">
        <v>8</v>
      </c>
      <c r="W169" s="4">
        <v>3039.99</v>
      </c>
      <c r="X169" s="4">
        <v>13</v>
      </c>
      <c r="Y169" s="4">
        <v>67</v>
      </c>
      <c r="Z169" s="4">
        <v>1</v>
      </c>
      <c r="AA169" s="4">
        <v>1566.05</v>
      </c>
      <c r="AB169" s="4">
        <v>3</v>
      </c>
      <c r="AC169" s="4">
        <v>597.01</v>
      </c>
      <c r="AD169" s="4">
        <v>4</v>
      </c>
      <c r="AE169" s="4">
        <v>0</v>
      </c>
      <c r="AF169" s="4">
        <v>0</v>
      </c>
      <c r="AG169" s="4">
        <v>1946.06</v>
      </c>
      <c r="AH169" s="4">
        <v>5</v>
      </c>
      <c r="AI169" s="4">
        <v>1029.01</v>
      </c>
      <c r="AJ169" s="4">
        <v>4</v>
      </c>
      <c r="AK169" s="4">
        <v>2305.02</v>
      </c>
      <c r="AL169" s="4">
        <v>6</v>
      </c>
      <c r="AM169" s="4">
        <v>2443.0100000000002</v>
      </c>
      <c r="AN169" s="4">
        <v>10</v>
      </c>
      <c r="AO169" s="4">
        <v>1532.01</v>
      </c>
      <c r="AP169" s="4">
        <v>6</v>
      </c>
      <c r="AQ169" s="4">
        <v>450</v>
      </c>
      <c r="AR169" s="4">
        <v>3</v>
      </c>
      <c r="AS169" s="4">
        <v>0</v>
      </c>
      <c r="AT169" s="4">
        <v>0</v>
      </c>
      <c r="AU169" s="4">
        <v>460</v>
      </c>
      <c r="AV169" s="4">
        <v>2</v>
      </c>
      <c r="AW169" s="4">
        <v>596.96</v>
      </c>
      <c r="AX169" s="4">
        <v>3</v>
      </c>
      <c r="AY169" s="4">
        <v>540</v>
      </c>
      <c r="AZ169" s="4">
        <v>5</v>
      </c>
      <c r="BA169" s="4">
        <v>2734.85</v>
      </c>
      <c r="BB169" s="4">
        <v>16</v>
      </c>
      <c r="BC169" s="4">
        <v>1625.92</v>
      </c>
      <c r="BD169" s="4">
        <v>5</v>
      </c>
      <c r="BE169" s="4">
        <v>4334.3500000000004</v>
      </c>
      <c r="BF169" s="4">
        <v>17</v>
      </c>
      <c r="BQ169" s="3">
        <f t="shared" si="6"/>
        <v>42472.539999999994</v>
      </c>
      <c r="BR169" s="3">
        <f t="shared" si="5"/>
        <v>218</v>
      </c>
    </row>
    <row r="170" spans="1:70" x14ac:dyDescent="0.25">
      <c r="A170" s="4" t="s">
        <v>2294</v>
      </c>
      <c r="B170" t="s">
        <v>42</v>
      </c>
      <c r="C170" s="338" t="s">
        <v>1769</v>
      </c>
      <c r="D170" s="213" t="s">
        <v>860</v>
      </c>
      <c r="E170" s="213" t="s">
        <v>142</v>
      </c>
      <c r="F170" s="213" t="s">
        <v>132</v>
      </c>
      <c r="G170" s="4">
        <v>3320.03</v>
      </c>
      <c r="H170" s="4">
        <v>30</v>
      </c>
      <c r="I170" s="4">
        <v>0</v>
      </c>
      <c r="J170" s="4">
        <v>0</v>
      </c>
      <c r="K170" s="4">
        <v>2230.0300000000002</v>
      </c>
      <c r="L170" s="4">
        <v>19</v>
      </c>
      <c r="M170" s="4">
        <v>0</v>
      </c>
      <c r="N170" s="4">
        <v>0</v>
      </c>
      <c r="O170" s="4">
        <v>1316.95</v>
      </c>
      <c r="P170" s="4">
        <v>11</v>
      </c>
      <c r="Q170" s="4">
        <v>3100.02</v>
      </c>
      <c r="R170" s="4">
        <v>23</v>
      </c>
      <c r="S170" s="4">
        <v>1794.04</v>
      </c>
      <c r="T170" s="4">
        <v>13</v>
      </c>
      <c r="U170" s="4">
        <v>1473.01</v>
      </c>
      <c r="V170" s="4">
        <v>6</v>
      </c>
      <c r="W170" s="4">
        <v>2864.97</v>
      </c>
      <c r="X170" s="4">
        <v>17</v>
      </c>
      <c r="Y170" s="4">
        <v>2156.0700000000002</v>
      </c>
      <c r="Z170" s="4">
        <v>10</v>
      </c>
      <c r="AA170" s="4">
        <v>0</v>
      </c>
      <c r="AB170" s="4">
        <v>0</v>
      </c>
      <c r="AC170" s="4">
        <v>750</v>
      </c>
      <c r="AD170" s="4">
        <v>3</v>
      </c>
      <c r="AE170" s="4">
        <v>2269.04</v>
      </c>
      <c r="AF170" s="4">
        <v>11</v>
      </c>
      <c r="AG170" s="4">
        <v>1278</v>
      </c>
      <c r="AH170" s="4">
        <v>5</v>
      </c>
      <c r="AI170" s="4">
        <v>1125</v>
      </c>
      <c r="AJ170" s="4">
        <v>5</v>
      </c>
      <c r="AK170" s="4">
        <v>75</v>
      </c>
      <c r="AL170" s="4">
        <v>1</v>
      </c>
      <c r="AM170" s="4">
        <v>2655.99</v>
      </c>
      <c r="AN170" s="4">
        <v>10</v>
      </c>
      <c r="AO170" s="4">
        <v>1061</v>
      </c>
      <c r="AP170" s="4">
        <v>5</v>
      </c>
      <c r="AQ170" s="4">
        <v>555</v>
      </c>
      <c r="AR170" s="4">
        <v>5</v>
      </c>
      <c r="AS170" s="4">
        <v>589</v>
      </c>
      <c r="AT170" s="4">
        <v>3</v>
      </c>
      <c r="AU170" s="4">
        <v>1015.98</v>
      </c>
      <c r="AV170" s="4">
        <v>5</v>
      </c>
      <c r="AW170" s="4">
        <v>1383.91</v>
      </c>
      <c r="AX170" s="4">
        <v>5</v>
      </c>
      <c r="AY170" s="4">
        <v>0</v>
      </c>
      <c r="AZ170" s="4">
        <v>0</v>
      </c>
      <c r="BA170" s="4">
        <v>0</v>
      </c>
      <c r="BB170" s="4">
        <v>0</v>
      </c>
      <c r="BC170" s="4">
        <v>1876.86</v>
      </c>
      <c r="BD170" s="4">
        <v>7</v>
      </c>
      <c r="BE170" s="4">
        <v>1240.0999999999999</v>
      </c>
      <c r="BF170" s="4">
        <v>7</v>
      </c>
      <c r="BQ170" s="3">
        <f t="shared" si="6"/>
        <v>34130</v>
      </c>
      <c r="BR170" s="3">
        <f t="shared" si="5"/>
        <v>201</v>
      </c>
    </row>
    <row r="171" spans="1:70" x14ac:dyDescent="0.25">
      <c r="A171" s="4" t="s">
        <v>2295</v>
      </c>
      <c r="B171" t="s">
        <v>42</v>
      </c>
      <c r="C171" s="338" t="s">
        <v>1770</v>
      </c>
      <c r="D171" s="213" t="s">
        <v>861</v>
      </c>
      <c r="E171" s="213" t="s">
        <v>142</v>
      </c>
      <c r="F171" s="213" t="s">
        <v>132</v>
      </c>
      <c r="G171" s="4">
        <v>0</v>
      </c>
      <c r="H171" s="4">
        <v>0</v>
      </c>
      <c r="I171" s="4">
        <v>4408.12</v>
      </c>
      <c r="J171" s="4">
        <v>38</v>
      </c>
      <c r="K171" s="4">
        <v>1440.03</v>
      </c>
      <c r="L171" s="4">
        <v>12</v>
      </c>
      <c r="M171" s="4">
        <v>1342.04</v>
      </c>
      <c r="N171" s="4">
        <v>8</v>
      </c>
      <c r="O171" s="4">
        <v>1736</v>
      </c>
      <c r="P171" s="4">
        <v>13</v>
      </c>
      <c r="Q171" s="4">
        <v>1437.01</v>
      </c>
      <c r="R171" s="4">
        <v>15</v>
      </c>
      <c r="S171" s="4">
        <v>1274.01</v>
      </c>
      <c r="T171" s="4">
        <v>8</v>
      </c>
      <c r="U171" s="4">
        <v>1081</v>
      </c>
      <c r="V171" s="4">
        <v>8</v>
      </c>
      <c r="W171" s="4">
        <v>0</v>
      </c>
      <c r="X171" s="4">
        <v>0</v>
      </c>
      <c r="Y171" s="4">
        <v>2911.07</v>
      </c>
      <c r="Z171" s="4">
        <v>15</v>
      </c>
      <c r="AA171" s="4">
        <v>1421.04</v>
      </c>
      <c r="AB171" s="4">
        <v>9</v>
      </c>
      <c r="AC171" s="4">
        <v>1087.01</v>
      </c>
      <c r="AD171" s="4">
        <v>5</v>
      </c>
      <c r="AE171" s="4">
        <v>1720.02</v>
      </c>
      <c r="AF171" s="4">
        <v>7</v>
      </c>
      <c r="AG171" s="4">
        <v>2253.02</v>
      </c>
      <c r="AH171" s="4">
        <v>12</v>
      </c>
      <c r="AI171" s="4">
        <v>1155.99</v>
      </c>
      <c r="AJ171" s="4">
        <v>6</v>
      </c>
      <c r="AK171" s="4">
        <v>1833</v>
      </c>
      <c r="AL171" s="4">
        <v>11</v>
      </c>
      <c r="AM171" s="4">
        <v>0</v>
      </c>
      <c r="AN171" s="4">
        <v>0</v>
      </c>
      <c r="AO171" s="4">
        <v>0</v>
      </c>
      <c r="AP171" s="4">
        <v>0</v>
      </c>
      <c r="AQ171" s="4">
        <v>2297.98</v>
      </c>
      <c r="AR171" s="4">
        <v>10</v>
      </c>
      <c r="AS171" s="4">
        <v>2064.0100000000002</v>
      </c>
      <c r="AT171" s="4">
        <v>13</v>
      </c>
      <c r="AU171" s="4">
        <v>1559</v>
      </c>
      <c r="AV171" s="4">
        <v>10</v>
      </c>
      <c r="AW171" s="4">
        <v>1732.94</v>
      </c>
      <c r="AX171" s="4">
        <v>10</v>
      </c>
      <c r="AY171" s="4">
        <v>2516.89</v>
      </c>
      <c r="AZ171" s="4">
        <v>17</v>
      </c>
      <c r="BA171" s="4">
        <v>2016.86</v>
      </c>
      <c r="BB171" s="4">
        <v>10</v>
      </c>
      <c r="BC171" s="4">
        <v>2576.9499999999998</v>
      </c>
      <c r="BD171" s="4">
        <v>12</v>
      </c>
      <c r="BE171" s="4">
        <v>0</v>
      </c>
      <c r="BF171" s="4">
        <v>0</v>
      </c>
      <c r="BQ171" s="3">
        <f t="shared" si="6"/>
        <v>39863.99</v>
      </c>
      <c r="BR171" s="3">
        <f t="shared" si="5"/>
        <v>249</v>
      </c>
    </row>
    <row r="172" spans="1:70" x14ac:dyDescent="0.25">
      <c r="A172" s="4" t="s">
        <v>2296</v>
      </c>
      <c r="B172" t="s">
        <v>43</v>
      </c>
      <c r="C172" s="338" t="s">
        <v>1771</v>
      </c>
      <c r="D172" s="213" t="s">
        <v>862</v>
      </c>
      <c r="E172" s="213" t="s">
        <v>156</v>
      </c>
      <c r="F172" s="213" t="s">
        <v>131</v>
      </c>
      <c r="G172" s="4">
        <v>1694.01</v>
      </c>
      <c r="H172" s="4">
        <v>12</v>
      </c>
      <c r="I172" s="4">
        <v>3076.04</v>
      </c>
      <c r="J172" s="4">
        <v>26</v>
      </c>
      <c r="K172" s="4">
        <v>1361.02</v>
      </c>
      <c r="L172" s="4">
        <v>9</v>
      </c>
      <c r="M172" s="4">
        <v>1577</v>
      </c>
      <c r="N172" s="4">
        <v>13</v>
      </c>
      <c r="O172" s="4">
        <v>1379.01</v>
      </c>
      <c r="P172" s="4">
        <v>10</v>
      </c>
      <c r="Q172" s="4">
        <v>426</v>
      </c>
      <c r="R172" s="4">
        <v>5</v>
      </c>
      <c r="S172" s="4">
        <v>0</v>
      </c>
      <c r="T172" s="4">
        <v>0</v>
      </c>
      <c r="U172" s="4">
        <v>1148.03</v>
      </c>
      <c r="V172" s="4">
        <v>9</v>
      </c>
      <c r="W172" s="4">
        <v>2429</v>
      </c>
      <c r="X172" s="4">
        <v>21</v>
      </c>
      <c r="Y172" s="4">
        <v>1283.02</v>
      </c>
      <c r="Z172" s="4">
        <v>12</v>
      </c>
      <c r="AA172" s="4">
        <v>1331.01</v>
      </c>
      <c r="AB172" s="4">
        <v>11</v>
      </c>
      <c r="AC172" s="4">
        <v>1350.02</v>
      </c>
      <c r="AD172" s="4">
        <v>12</v>
      </c>
      <c r="AE172" s="4">
        <v>580.01</v>
      </c>
      <c r="AF172" s="4">
        <v>4</v>
      </c>
      <c r="AG172" s="4">
        <v>0</v>
      </c>
      <c r="AH172" s="4">
        <v>0</v>
      </c>
      <c r="AI172" s="4">
        <v>0</v>
      </c>
      <c r="AJ172" s="4">
        <v>0</v>
      </c>
      <c r="AK172" s="4">
        <v>1792.02</v>
      </c>
      <c r="AL172" s="4">
        <v>14</v>
      </c>
      <c r="AM172" s="4">
        <v>1061.01</v>
      </c>
      <c r="AN172" s="4">
        <v>7</v>
      </c>
      <c r="AO172" s="4">
        <v>1540.02</v>
      </c>
      <c r="AP172" s="4">
        <v>9</v>
      </c>
      <c r="AQ172" s="4">
        <v>1587.03</v>
      </c>
      <c r="AR172" s="4">
        <v>11</v>
      </c>
      <c r="AS172" s="4">
        <v>464.02</v>
      </c>
      <c r="AT172" s="4">
        <v>4</v>
      </c>
      <c r="AU172" s="4">
        <v>0</v>
      </c>
      <c r="AV172" s="4">
        <v>0</v>
      </c>
      <c r="AW172" s="4">
        <v>1722.9</v>
      </c>
      <c r="AX172" s="4">
        <v>13</v>
      </c>
      <c r="AY172" s="4">
        <v>1630.94</v>
      </c>
      <c r="AZ172" s="4">
        <v>9</v>
      </c>
      <c r="BA172" s="4">
        <v>1159.96</v>
      </c>
      <c r="BB172" s="4">
        <v>7</v>
      </c>
      <c r="BC172" s="4">
        <v>2038.89</v>
      </c>
      <c r="BD172" s="4">
        <v>14</v>
      </c>
      <c r="BE172" s="4">
        <v>2186.1</v>
      </c>
      <c r="BF172" s="4">
        <v>12</v>
      </c>
      <c r="BQ172" s="3">
        <f t="shared" si="6"/>
        <v>32817.06</v>
      </c>
      <c r="BR172" s="3">
        <f t="shared" si="5"/>
        <v>244</v>
      </c>
    </row>
    <row r="173" spans="1:70" x14ac:dyDescent="0.25">
      <c r="A173" s="4" t="s">
        <v>2297</v>
      </c>
      <c r="B173" t="s">
        <v>43</v>
      </c>
      <c r="C173" s="338" t="s">
        <v>1772</v>
      </c>
      <c r="D173" s="213" t="s">
        <v>863</v>
      </c>
      <c r="E173" s="213" t="s">
        <v>156</v>
      </c>
      <c r="F173" s="213" t="s">
        <v>131</v>
      </c>
      <c r="G173" s="4">
        <v>3709.03</v>
      </c>
      <c r="H173" s="4">
        <v>31</v>
      </c>
      <c r="I173" s="4">
        <v>1839.04</v>
      </c>
      <c r="J173" s="4">
        <v>16</v>
      </c>
      <c r="K173" s="4">
        <v>1882.06</v>
      </c>
      <c r="L173" s="4">
        <v>16</v>
      </c>
      <c r="M173" s="4">
        <v>340</v>
      </c>
      <c r="N173" s="4">
        <v>3</v>
      </c>
      <c r="O173" s="4">
        <v>0</v>
      </c>
      <c r="P173" s="4">
        <v>0</v>
      </c>
      <c r="Q173" s="4">
        <v>0</v>
      </c>
      <c r="R173" s="4">
        <v>0</v>
      </c>
      <c r="S173" s="4">
        <v>1799.03</v>
      </c>
      <c r="T173" s="4">
        <v>14</v>
      </c>
      <c r="U173" s="4">
        <v>1293.02</v>
      </c>
      <c r="V173" s="4">
        <v>13</v>
      </c>
      <c r="W173" s="4">
        <v>1239.03</v>
      </c>
      <c r="X173" s="4">
        <v>11</v>
      </c>
      <c r="Y173" s="4">
        <v>859.01</v>
      </c>
      <c r="Z173" s="4">
        <v>7</v>
      </c>
      <c r="AA173" s="4">
        <v>375.01</v>
      </c>
      <c r="AB173" s="4">
        <v>3</v>
      </c>
      <c r="AC173" s="4">
        <v>0</v>
      </c>
      <c r="AD173" s="4">
        <v>0</v>
      </c>
      <c r="AE173" s="4">
        <v>1362.98</v>
      </c>
      <c r="AF173" s="4">
        <v>9</v>
      </c>
      <c r="AG173" s="4">
        <v>1487.01</v>
      </c>
      <c r="AH173" s="4">
        <v>12</v>
      </c>
      <c r="AI173" s="4">
        <v>2338.0300000000002</v>
      </c>
      <c r="AJ173" s="4">
        <v>12</v>
      </c>
      <c r="AK173" s="4">
        <v>0</v>
      </c>
      <c r="AL173" s="4">
        <v>0</v>
      </c>
      <c r="AM173" s="4">
        <v>654.01</v>
      </c>
      <c r="AN173" s="4">
        <v>6</v>
      </c>
      <c r="AO173" s="4">
        <v>450.01</v>
      </c>
      <c r="AP173" s="4">
        <v>3</v>
      </c>
      <c r="AQ173" s="4">
        <v>0</v>
      </c>
      <c r="AR173" s="4">
        <v>0</v>
      </c>
      <c r="AS173" s="4">
        <v>2002.05</v>
      </c>
      <c r="AT173" s="4">
        <v>16</v>
      </c>
      <c r="AU173" s="4">
        <v>918</v>
      </c>
      <c r="AV173" s="4">
        <v>9</v>
      </c>
      <c r="AW173" s="4">
        <v>1797.86</v>
      </c>
      <c r="AX173" s="4">
        <v>11</v>
      </c>
      <c r="AY173" s="4">
        <v>1414.98</v>
      </c>
      <c r="AZ173" s="4">
        <v>8</v>
      </c>
      <c r="BA173" s="4">
        <v>951.98</v>
      </c>
      <c r="BB173" s="4">
        <v>6</v>
      </c>
      <c r="BC173" s="4">
        <v>733</v>
      </c>
      <c r="BD173" s="4">
        <v>6</v>
      </c>
      <c r="BE173" s="4">
        <v>0</v>
      </c>
      <c r="BF173" s="4">
        <v>0</v>
      </c>
      <c r="BQ173" s="3">
        <f t="shared" si="6"/>
        <v>27445.139999999996</v>
      </c>
      <c r="BR173" s="3">
        <f t="shared" si="5"/>
        <v>212</v>
      </c>
    </row>
    <row r="174" spans="1:70" x14ac:dyDescent="0.25">
      <c r="A174" s="4" t="s">
        <v>2298</v>
      </c>
      <c r="B174" t="s">
        <v>43</v>
      </c>
      <c r="C174" s="338" t="s">
        <v>1773</v>
      </c>
      <c r="D174" s="213" t="s">
        <v>864</v>
      </c>
      <c r="E174" s="213" t="s">
        <v>156</v>
      </c>
      <c r="F174" s="213" t="s">
        <v>131</v>
      </c>
      <c r="G174" s="4">
        <v>2858</v>
      </c>
      <c r="H174" s="4">
        <v>27</v>
      </c>
      <c r="I174" s="4">
        <v>1652.02</v>
      </c>
      <c r="J174" s="4">
        <v>14</v>
      </c>
      <c r="K174" s="4">
        <v>747</v>
      </c>
      <c r="L174" s="4">
        <v>7</v>
      </c>
      <c r="M174" s="4">
        <v>0</v>
      </c>
      <c r="N174" s="4">
        <v>0</v>
      </c>
      <c r="O174" s="4">
        <v>1162.03</v>
      </c>
      <c r="P174" s="4">
        <v>8</v>
      </c>
      <c r="Q174" s="4">
        <v>1338.03</v>
      </c>
      <c r="R174" s="4">
        <v>11</v>
      </c>
      <c r="S174" s="4">
        <v>2199.06</v>
      </c>
      <c r="T174" s="4">
        <v>13</v>
      </c>
      <c r="U174" s="4">
        <v>2173.04</v>
      </c>
      <c r="V174" s="4">
        <v>16</v>
      </c>
      <c r="W174" s="4">
        <v>1183.02</v>
      </c>
      <c r="X174" s="4">
        <v>8</v>
      </c>
      <c r="Y174" s="4">
        <v>710.01</v>
      </c>
      <c r="Z174" s="4">
        <v>7</v>
      </c>
      <c r="AA174" s="4">
        <v>0</v>
      </c>
      <c r="AB174" s="4">
        <v>0</v>
      </c>
      <c r="AC174" s="4">
        <v>715.02</v>
      </c>
      <c r="AD174" s="4">
        <v>6</v>
      </c>
      <c r="AE174" s="4">
        <v>413.99</v>
      </c>
      <c r="AF174" s="4">
        <v>3</v>
      </c>
      <c r="AG174" s="4">
        <v>750</v>
      </c>
      <c r="AH174" s="4">
        <v>7</v>
      </c>
      <c r="AI174" s="4">
        <v>622.02</v>
      </c>
      <c r="AJ174" s="4">
        <v>5</v>
      </c>
      <c r="AK174" s="4">
        <v>1366.04</v>
      </c>
      <c r="AL174" s="4">
        <v>11</v>
      </c>
      <c r="AM174" s="4">
        <v>0</v>
      </c>
      <c r="AN174" s="4">
        <v>0</v>
      </c>
      <c r="AO174" s="4">
        <v>725.01</v>
      </c>
      <c r="AP174" s="4">
        <v>6</v>
      </c>
      <c r="AQ174" s="4">
        <v>600</v>
      </c>
      <c r="AR174" s="4">
        <v>4</v>
      </c>
      <c r="AS174" s="4">
        <v>0</v>
      </c>
      <c r="AT174" s="4">
        <v>0</v>
      </c>
      <c r="AU174" s="4">
        <v>1402</v>
      </c>
      <c r="AV174" s="4">
        <v>11</v>
      </c>
      <c r="AW174" s="4">
        <v>445.98</v>
      </c>
      <c r="AX174" s="4">
        <v>4</v>
      </c>
      <c r="AY174" s="4">
        <v>1809.99</v>
      </c>
      <c r="AZ174" s="4">
        <v>6</v>
      </c>
      <c r="BA174" s="4">
        <v>836.96</v>
      </c>
      <c r="BB174" s="4">
        <v>6</v>
      </c>
      <c r="BC174" s="4">
        <v>774.98</v>
      </c>
      <c r="BD174" s="4">
        <v>7</v>
      </c>
      <c r="BE174" s="4">
        <v>551.02</v>
      </c>
      <c r="BF174" s="4">
        <v>7</v>
      </c>
      <c r="BQ174" s="3">
        <f t="shared" si="6"/>
        <v>25035.22</v>
      </c>
      <c r="BR174" s="3">
        <f t="shared" si="5"/>
        <v>194</v>
      </c>
    </row>
    <row r="175" spans="1:70" x14ac:dyDescent="0.25">
      <c r="A175" s="4" t="s">
        <v>2299</v>
      </c>
      <c r="B175" t="s">
        <v>43</v>
      </c>
      <c r="C175" s="338" t="s">
        <v>1774</v>
      </c>
      <c r="D175" s="213" t="s">
        <v>865</v>
      </c>
      <c r="E175" s="213" t="s">
        <v>156</v>
      </c>
      <c r="F175" s="213" t="s">
        <v>131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970.01</v>
      </c>
      <c r="Z175" s="4">
        <v>6</v>
      </c>
      <c r="AA175" s="4">
        <v>919.01</v>
      </c>
      <c r="AB175" s="4">
        <v>4</v>
      </c>
      <c r="AC175" s="4">
        <v>674.02</v>
      </c>
      <c r="AD175" s="4">
        <v>4</v>
      </c>
      <c r="AE175" s="4">
        <v>0</v>
      </c>
      <c r="AF175" s="4">
        <v>0</v>
      </c>
      <c r="AG175" s="4">
        <v>988.02</v>
      </c>
      <c r="AH175" s="4">
        <v>7</v>
      </c>
      <c r="AI175" s="4">
        <v>2489.0300000000002</v>
      </c>
      <c r="AJ175" s="4">
        <v>25</v>
      </c>
      <c r="AK175" s="4">
        <v>2077.0500000000002</v>
      </c>
      <c r="AL175" s="4">
        <v>12</v>
      </c>
      <c r="AM175" s="4">
        <v>1227.01</v>
      </c>
      <c r="AN175" s="4">
        <v>6</v>
      </c>
      <c r="AO175" s="4">
        <v>0</v>
      </c>
      <c r="AP175" s="4">
        <v>0</v>
      </c>
      <c r="AQ175" s="4">
        <v>692.99</v>
      </c>
      <c r="AR175" s="4">
        <v>3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1067.9000000000001</v>
      </c>
      <c r="AZ175" s="4">
        <v>5</v>
      </c>
      <c r="BA175" s="4">
        <v>834.95</v>
      </c>
      <c r="BB175" s="4">
        <v>6</v>
      </c>
      <c r="BC175" s="4">
        <v>0</v>
      </c>
      <c r="BD175" s="4">
        <v>0</v>
      </c>
      <c r="BE175" s="4">
        <v>1550.1</v>
      </c>
      <c r="BF175" s="4">
        <v>10</v>
      </c>
      <c r="BQ175" s="3">
        <f t="shared" si="6"/>
        <v>13490.09</v>
      </c>
      <c r="BR175" s="3">
        <f t="shared" si="5"/>
        <v>88</v>
      </c>
    </row>
    <row r="176" spans="1:70" x14ac:dyDescent="0.25">
      <c r="A176" s="4" t="s">
        <v>2300</v>
      </c>
      <c r="B176" t="s">
        <v>43</v>
      </c>
      <c r="C176" s="338" t="s">
        <v>1775</v>
      </c>
      <c r="D176" s="213" t="s">
        <v>866</v>
      </c>
      <c r="E176" s="213" t="s">
        <v>156</v>
      </c>
      <c r="F176" s="213" t="s">
        <v>131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1096.02</v>
      </c>
      <c r="N176" s="4">
        <v>8</v>
      </c>
      <c r="O176" s="4">
        <v>1905.05</v>
      </c>
      <c r="P176" s="4">
        <v>8</v>
      </c>
      <c r="Q176" s="4">
        <v>0</v>
      </c>
      <c r="R176" s="4">
        <v>0</v>
      </c>
      <c r="S176" s="4">
        <v>904.99</v>
      </c>
      <c r="T176" s="4">
        <v>4</v>
      </c>
      <c r="U176" s="4">
        <v>0</v>
      </c>
      <c r="V176" s="4">
        <v>0</v>
      </c>
      <c r="W176" s="4">
        <v>1047.03</v>
      </c>
      <c r="X176" s="4">
        <v>6</v>
      </c>
      <c r="Y176" s="4">
        <v>0</v>
      </c>
      <c r="Z176" s="4">
        <v>0</v>
      </c>
      <c r="AA176" s="4">
        <v>572</v>
      </c>
      <c r="AB176" s="4">
        <v>4</v>
      </c>
      <c r="AC176" s="4">
        <v>1161.99</v>
      </c>
      <c r="AD176" s="4">
        <v>8</v>
      </c>
      <c r="AE176" s="4">
        <v>0</v>
      </c>
      <c r="AF176" s="4">
        <v>0</v>
      </c>
      <c r="AG176" s="4">
        <v>300.02</v>
      </c>
      <c r="AH176" s="4">
        <v>2</v>
      </c>
      <c r="AI176" s="4">
        <v>0</v>
      </c>
      <c r="AJ176" s="4">
        <v>0</v>
      </c>
      <c r="AK176" s="4">
        <v>150</v>
      </c>
      <c r="AL176" s="4">
        <v>1</v>
      </c>
      <c r="AM176" s="4">
        <v>1137.99</v>
      </c>
      <c r="AN176" s="4">
        <v>9</v>
      </c>
      <c r="AO176" s="4">
        <v>0</v>
      </c>
      <c r="AP176" s="4">
        <v>0</v>
      </c>
      <c r="AQ176" s="4">
        <v>0</v>
      </c>
      <c r="AR176" s="4">
        <v>0</v>
      </c>
      <c r="AS176" s="4">
        <v>1249.02</v>
      </c>
      <c r="AT176" s="4">
        <v>7</v>
      </c>
      <c r="AU176" s="4">
        <v>499</v>
      </c>
      <c r="AV176" s="4">
        <v>4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Q176" s="3">
        <f t="shared" si="6"/>
        <v>10023.109999999999</v>
      </c>
      <c r="BR176" s="3">
        <f t="shared" si="5"/>
        <v>61</v>
      </c>
    </row>
    <row r="177" spans="1:70" x14ac:dyDescent="0.25">
      <c r="A177" s="4" t="s">
        <v>2301</v>
      </c>
      <c r="B177" t="s">
        <v>44</v>
      </c>
      <c r="C177" s="338" t="s">
        <v>1776</v>
      </c>
      <c r="D177" s="213" t="s">
        <v>867</v>
      </c>
      <c r="E177" s="213" t="s">
        <v>145</v>
      </c>
      <c r="F177" s="213" t="s">
        <v>127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2175.0500000000002</v>
      </c>
      <c r="AB177" s="4">
        <v>13</v>
      </c>
      <c r="AC177" s="4">
        <v>1047.01</v>
      </c>
      <c r="AD177" s="4">
        <v>7</v>
      </c>
      <c r="AE177" s="4">
        <v>652.03</v>
      </c>
      <c r="AF177" s="4">
        <v>3</v>
      </c>
      <c r="AG177" s="4">
        <v>2150.02</v>
      </c>
      <c r="AH177" s="4">
        <v>10</v>
      </c>
      <c r="AI177" s="4">
        <v>1702.02</v>
      </c>
      <c r="AJ177" s="4">
        <v>13</v>
      </c>
      <c r="AK177" s="4">
        <v>4431.03</v>
      </c>
      <c r="AL177" s="4">
        <v>24</v>
      </c>
      <c r="AM177" s="4">
        <v>924.02</v>
      </c>
      <c r="AN177" s="4">
        <v>8</v>
      </c>
      <c r="AO177" s="4">
        <v>350.01</v>
      </c>
      <c r="AP177" s="4">
        <v>3</v>
      </c>
      <c r="AQ177" s="4">
        <v>0</v>
      </c>
      <c r="AR177" s="4">
        <v>0</v>
      </c>
      <c r="AS177" s="4">
        <v>1437.01</v>
      </c>
      <c r="AT177" s="4">
        <v>10</v>
      </c>
      <c r="AU177" s="4">
        <v>1283.06</v>
      </c>
      <c r="AV177" s="4">
        <v>6</v>
      </c>
      <c r="AW177" s="4">
        <v>3152.8</v>
      </c>
      <c r="AX177" s="4">
        <v>17</v>
      </c>
      <c r="AY177" s="4">
        <v>2750.9</v>
      </c>
      <c r="AZ177" s="4">
        <v>13</v>
      </c>
      <c r="BA177" s="4">
        <v>1856.94</v>
      </c>
      <c r="BB177" s="4">
        <v>11</v>
      </c>
      <c r="BC177" s="4">
        <v>670.96</v>
      </c>
      <c r="BD177" s="4">
        <v>4</v>
      </c>
      <c r="BE177" s="4">
        <v>0</v>
      </c>
      <c r="BF177" s="4">
        <v>0</v>
      </c>
      <c r="BQ177" s="3">
        <f t="shared" si="6"/>
        <v>24582.86</v>
      </c>
      <c r="BR177" s="3">
        <f t="shared" si="5"/>
        <v>142</v>
      </c>
    </row>
    <row r="178" spans="1:70" x14ac:dyDescent="0.25">
      <c r="A178" s="4" t="s">
        <v>2302</v>
      </c>
      <c r="B178" t="s">
        <v>44</v>
      </c>
      <c r="C178" s="338" t="s">
        <v>1777</v>
      </c>
      <c r="D178" s="213" t="s">
        <v>868</v>
      </c>
      <c r="E178" s="213" t="s">
        <v>145</v>
      </c>
      <c r="F178" s="213" t="s">
        <v>127</v>
      </c>
      <c r="G178" s="4">
        <v>342.02</v>
      </c>
      <c r="H178" s="4">
        <v>4</v>
      </c>
      <c r="I178" s="4">
        <v>0</v>
      </c>
      <c r="J178" s="4">
        <v>0</v>
      </c>
      <c r="K178" s="4">
        <v>1472.05</v>
      </c>
      <c r="L178" s="4">
        <v>5</v>
      </c>
      <c r="M178" s="4">
        <v>3960.05</v>
      </c>
      <c r="N178" s="4">
        <v>23</v>
      </c>
      <c r="O178" s="4">
        <v>150.01</v>
      </c>
      <c r="P178" s="4">
        <v>1</v>
      </c>
      <c r="Q178" s="4">
        <v>2459.06</v>
      </c>
      <c r="R178" s="4">
        <v>15</v>
      </c>
      <c r="S178" s="4">
        <v>950</v>
      </c>
      <c r="T178" s="4">
        <v>5</v>
      </c>
      <c r="U178" s="4">
        <v>724.05</v>
      </c>
      <c r="V178" s="4">
        <v>3</v>
      </c>
      <c r="W178" s="4">
        <v>0</v>
      </c>
      <c r="X178" s="4">
        <v>0</v>
      </c>
      <c r="Y178" s="4">
        <v>1425.08</v>
      </c>
      <c r="Z178" s="4">
        <v>10</v>
      </c>
      <c r="AA178" s="4">
        <v>225.01</v>
      </c>
      <c r="AB178" s="4">
        <v>3</v>
      </c>
      <c r="AC178" s="4">
        <v>695</v>
      </c>
      <c r="AD178" s="4">
        <v>7</v>
      </c>
      <c r="AE178" s="4">
        <v>548.99</v>
      </c>
      <c r="AF178" s="4">
        <v>4</v>
      </c>
      <c r="AG178" s="4">
        <v>150</v>
      </c>
      <c r="AH178" s="4">
        <v>1</v>
      </c>
      <c r="AI178" s="4">
        <v>150</v>
      </c>
      <c r="AJ178" s="4">
        <v>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1567.05</v>
      </c>
      <c r="AR178" s="4">
        <v>12</v>
      </c>
      <c r="AS178" s="4">
        <v>849</v>
      </c>
      <c r="AT178" s="4">
        <v>4</v>
      </c>
      <c r="AU178" s="4">
        <v>300.01</v>
      </c>
      <c r="AV178" s="4">
        <v>2</v>
      </c>
      <c r="AW178" s="4">
        <v>210.98</v>
      </c>
      <c r="AX178" s="4">
        <v>1</v>
      </c>
      <c r="AY178" s="4">
        <v>0</v>
      </c>
      <c r="AZ178" s="4">
        <v>0</v>
      </c>
      <c r="BA178" s="4">
        <v>571.96</v>
      </c>
      <c r="BB178" s="4">
        <v>4</v>
      </c>
      <c r="BC178" s="4">
        <v>285.98</v>
      </c>
      <c r="BD178" s="4">
        <v>2</v>
      </c>
      <c r="BE178" s="4">
        <v>0</v>
      </c>
      <c r="BF178" s="4">
        <v>0</v>
      </c>
      <c r="BQ178" s="3">
        <f t="shared" si="6"/>
        <v>17036.3</v>
      </c>
      <c r="BR178" s="3">
        <f t="shared" si="5"/>
        <v>107</v>
      </c>
    </row>
    <row r="179" spans="1:70" x14ac:dyDescent="0.25">
      <c r="A179" s="4" t="s">
        <v>2303</v>
      </c>
      <c r="B179" t="s">
        <v>44</v>
      </c>
      <c r="C179" s="338" t="s">
        <v>1613</v>
      </c>
      <c r="D179" s="213" t="s">
        <v>704</v>
      </c>
      <c r="E179" s="213" t="s">
        <v>145</v>
      </c>
      <c r="F179" s="213" t="s">
        <v>127</v>
      </c>
      <c r="G179" s="4">
        <v>2370.0700000000002</v>
      </c>
      <c r="H179" s="4">
        <v>15</v>
      </c>
      <c r="I179" s="4">
        <v>1404.02</v>
      </c>
      <c r="J179" s="4">
        <v>9</v>
      </c>
      <c r="K179" s="4">
        <v>1424.99</v>
      </c>
      <c r="L179" s="4">
        <v>9</v>
      </c>
      <c r="M179" s="4">
        <v>0</v>
      </c>
      <c r="N179" s="4">
        <v>0</v>
      </c>
      <c r="O179" s="4">
        <v>3549.04</v>
      </c>
      <c r="P179" s="4">
        <v>22</v>
      </c>
      <c r="Q179" s="4">
        <v>0</v>
      </c>
      <c r="R179" s="4">
        <v>0</v>
      </c>
      <c r="S179" s="4">
        <v>3679.1</v>
      </c>
      <c r="T179" s="4">
        <v>22</v>
      </c>
      <c r="U179" s="4">
        <v>1727.98</v>
      </c>
      <c r="V179" s="4">
        <v>15</v>
      </c>
      <c r="W179" s="4">
        <v>3122.04</v>
      </c>
      <c r="X179" s="4">
        <v>25</v>
      </c>
      <c r="Y179" s="4">
        <v>1615.03</v>
      </c>
      <c r="Z179" s="4">
        <v>13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Q179" s="3">
        <f t="shared" si="6"/>
        <v>18892.269999999997</v>
      </c>
      <c r="BR179" s="3">
        <f t="shared" si="5"/>
        <v>130</v>
      </c>
    </row>
    <row r="180" spans="1:70" x14ac:dyDescent="0.25">
      <c r="A180" s="4" t="s">
        <v>2304</v>
      </c>
      <c r="B180" t="s">
        <v>45</v>
      </c>
      <c r="C180" s="338" t="s">
        <v>1778</v>
      </c>
      <c r="D180" s="213" t="s">
        <v>869</v>
      </c>
      <c r="E180" s="213" t="s">
        <v>146</v>
      </c>
      <c r="F180" s="213" t="s">
        <v>126</v>
      </c>
      <c r="G180" s="4">
        <v>2671.04</v>
      </c>
      <c r="H180" s="4">
        <v>15</v>
      </c>
      <c r="I180" s="4">
        <v>1763.06</v>
      </c>
      <c r="J180" s="4">
        <v>8</v>
      </c>
      <c r="K180" s="4">
        <v>5091.09</v>
      </c>
      <c r="L180" s="4">
        <v>32</v>
      </c>
      <c r="M180" s="4">
        <v>3221.07</v>
      </c>
      <c r="N180" s="4">
        <v>20</v>
      </c>
      <c r="O180" s="4">
        <v>2237.0700000000002</v>
      </c>
      <c r="P180" s="4">
        <v>14</v>
      </c>
      <c r="Q180" s="4">
        <v>0</v>
      </c>
      <c r="R180" s="4">
        <v>0</v>
      </c>
      <c r="S180" s="4">
        <v>1715.04</v>
      </c>
      <c r="T180" s="4">
        <v>12</v>
      </c>
      <c r="U180" s="4">
        <v>1787.06</v>
      </c>
      <c r="V180" s="4">
        <v>11</v>
      </c>
      <c r="W180" s="4">
        <v>2527.12</v>
      </c>
      <c r="X180" s="4">
        <v>13</v>
      </c>
      <c r="Y180" s="4">
        <v>2475.13</v>
      </c>
      <c r="Z180" s="4">
        <v>16</v>
      </c>
      <c r="AA180" s="4">
        <v>1457.09</v>
      </c>
      <c r="AB180" s="4">
        <v>8</v>
      </c>
      <c r="AC180" s="4">
        <v>946.04</v>
      </c>
      <c r="AD180" s="4">
        <v>6</v>
      </c>
      <c r="AE180" s="4">
        <v>1559.03</v>
      </c>
      <c r="AF180" s="4">
        <v>11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851.99</v>
      </c>
      <c r="AP180" s="4">
        <v>7</v>
      </c>
      <c r="AQ180" s="4">
        <v>1916.05</v>
      </c>
      <c r="AR180" s="4">
        <v>12</v>
      </c>
      <c r="AS180" s="4">
        <v>458.02</v>
      </c>
      <c r="AT180" s="4">
        <v>3</v>
      </c>
      <c r="AU180" s="4">
        <v>3235.08</v>
      </c>
      <c r="AV180" s="4">
        <v>16</v>
      </c>
      <c r="AW180" s="4">
        <v>1211.95</v>
      </c>
      <c r="AX180" s="4">
        <v>8</v>
      </c>
      <c r="AY180" s="4">
        <v>2370.89</v>
      </c>
      <c r="AZ180" s="4">
        <v>13</v>
      </c>
      <c r="BA180" s="4">
        <v>0</v>
      </c>
      <c r="BB180" s="4">
        <v>0</v>
      </c>
      <c r="BC180" s="4">
        <v>816.02</v>
      </c>
      <c r="BD180" s="4">
        <v>5</v>
      </c>
      <c r="BE180" s="4">
        <v>0</v>
      </c>
      <c r="BF180" s="4">
        <v>0</v>
      </c>
      <c r="BQ180" s="3">
        <f t="shared" si="6"/>
        <v>38309.839999999997</v>
      </c>
      <c r="BR180" s="3">
        <f t="shared" si="5"/>
        <v>230</v>
      </c>
    </row>
    <row r="181" spans="1:70" x14ac:dyDescent="0.25">
      <c r="A181" s="4" t="s">
        <v>2305</v>
      </c>
      <c r="B181" t="s">
        <v>45</v>
      </c>
      <c r="C181" s="338" t="s">
        <v>1779</v>
      </c>
      <c r="D181" s="213" t="s">
        <v>870</v>
      </c>
      <c r="E181" s="213" t="s">
        <v>146</v>
      </c>
      <c r="F181" s="213" t="s">
        <v>126</v>
      </c>
      <c r="G181" s="4">
        <v>0</v>
      </c>
      <c r="H181" s="4">
        <v>0</v>
      </c>
      <c r="I181" s="4">
        <v>0</v>
      </c>
      <c r="J181" s="4">
        <v>0</v>
      </c>
      <c r="K181" s="4">
        <v>225.99</v>
      </c>
      <c r="L181" s="4">
        <v>3</v>
      </c>
      <c r="M181" s="4">
        <v>216</v>
      </c>
      <c r="N181" s="4">
        <v>3</v>
      </c>
      <c r="O181" s="4">
        <v>127.01</v>
      </c>
      <c r="P181" s="4">
        <v>2</v>
      </c>
      <c r="Q181" s="4">
        <v>52</v>
      </c>
      <c r="R181" s="4">
        <v>2</v>
      </c>
      <c r="S181" s="4">
        <v>95.99</v>
      </c>
      <c r="T181" s="4">
        <v>3</v>
      </c>
      <c r="U181" s="4">
        <v>517</v>
      </c>
      <c r="V181" s="4">
        <v>13</v>
      </c>
      <c r="W181" s="4">
        <v>165</v>
      </c>
      <c r="X181" s="4">
        <v>3</v>
      </c>
      <c r="Y181" s="4">
        <v>344</v>
      </c>
      <c r="Z181" s="4">
        <v>6</v>
      </c>
      <c r="AA181" s="4">
        <v>295</v>
      </c>
      <c r="AB181" s="4">
        <v>6</v>
      </c>
      <c r="AC181" s="4">
        <v>450.01</v>
      </c>
      <c r="AD181" s="4">
        <v>3</v>
      </c>
      <c r="AE181" s="4">
        <v>275</v>
      </c>
      <c r="AF181" s="4">
        <v>6</v>
      </c>
      <c r="AG181" s="4">
        <v>683</v>
      </c>
      <c r="AH181" s="4">
        <v>10</v>
      </c>
      <c r="AI181" s="4">
        <v>163</v>
      </c>
      <c r="AJ181" s="4">
        <v>4</v>
      </c>
      <c r="AK181" s="4">
        <v>601.99</v>
      </c>
      <c r="AL181" s="4">
        <v>11</v>
      </c>
      <c r="AM181" s="4">
        <v>57</v>
      </c>
      <c r="AN181" s="4">
        <v>3</v>
      </c>
      <c r="AO181" s="4">
        <v>187</v>
      </c>
      <c r="AP181" s="4">
        <v>3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Q181" s="3">
        <f t="shared" si="6"/>
        <v>4454.99</v>
      </c>
      <c r="BR181" s="3">
        <f t="shared" si="5"/>
        <v>81</v>
      </c>
    </row>
    <row r="182" spans="1:70" x14ac:dyDescent="0.25">
      <c r="A182" s="4" t="s">
        <v>2306</v>
      </c>
      <c r="B182" t="s">
        <v>45</v>
      </c>
      <c r="C182" s="338" t="s">
        <v>1780</v>
      </c>
      <c r="D182" s="213" t="s">
        <v>871</v>
      </c>
      <c r="E182" s="213" t="s">
        <v>146</v>
      </c>
      <c r="F182" s="213" t="s">
        <v>126</v>
      </c>
      <c r="G182" s="4">
        <v>949.01</v>
      </c>
      <c r="H182" s="4">
        <v>15</v>
      </c>
      <c r="I182" s="4">
        <v>946.97</v>
      </c>
      <c r="J182" s="4">
        <v>22</v>
      </c>
      <c r="K182" s="4">
        <v>1273</v>
      </c>
      <c r="L182" s="4">
        <v>16</v>
      </c>
      <c r="M182" s="4">
        <v>649.02</v>
      </c>
      <c r="N182" s="4">
        <v>9</v>
      </c>
      <c r="O182" s="4">
        <v>1873.03</v>
      </c>
      <c r="P182" s="4">
        <v>14</v>
      </c>
      <c r="Q182" s="4">
        <v>1674.98</v>
      </c>
      <c r="R182" s="4">
        <v>9</v>
      </c>
      <c r="S182" s="4">
        <v>2040.04</v>
      </c>
      <c r="T182" s="4">
        <v>13</v>
      </c>
      <c r="U182" s="4">
        <v>2461.04</v>
      </c>
      <c r="V182" s="4">
        <v>14</v>
      </c>
      <c r="W182" s="4">
        <v>1994.02</v>
      </c>
      <c r="X182" s="4">
        <v>17</v>
      </c>
      <c r="Y182" s="4">
        <v>2005.02</v>
      </c>
      <c r="Z182" s="4">
        <v>15</v>
      </c>
      <c r="AA182" s="4">
        <v>2098.08</v>
      </c>
      <c r="AB182" s="4">
        <v>19</v>
      </c>
      <c r="AC182" s="4">
        <v>1285.05</v>
      </c>
      <c r="AD182" s="4">
        <v>11</v>
      </c>
      <c r="AE182" s="4">
        <v>0</v>
      </c>
      <c r="AF182" s="4">
        <v>0</v>
      </c>
      <c r="AG182" s="4">
        <v>2580.0500000000002</v>
      </c>
      <c r="AH182" s="4">
        <v>15</v>
      </c>
      <c r="AI182" s="4">
        <v>1396.99</v>
      </c>
      <c r="AJ182" s="4">
        <v>10</v>
      </c>
      <c r="AK182" s="4">
        <v>1833.02</v>
      </c>
      <c r="AL182" s="4">
        <v>14</v>
      </c>
      <c r="AM182" s="4">
        <v>868.99</v>
      </c>
      <c r="AN182" s="4">
        <v>11</v>
      </c>
      <c r="AO182" s="4">
        <v>2460.0700000000002</v>
      </c>
      <c r="AP182" s="4">
        <v>16</v>
      </c>
      <c r="AQ182" s="4">
        <v>1425.02</v>
      </c>
      <c r="AR182" s="4">
        <v>11</v>
      </c>
      <c r="AS182" s="4">
        <v>0</v>
      </c>
      <c r="AT182" s="4">
        <v>0</v>
      </c>
      <c r="AU182" s="4">
        <v>88</v>
      </c>
      <c r="AV182" s="4">
        <v>2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Q182" s="3">
        <f t="shared" si="6"/>
        <v>29901.4</v>
      </c>
      <c r="BR182" s="3">
        <f t="shared" si="5"/>
        <v>253</v>
      </c>
    </row>
    <row r="183" spans="1:70" x14ac:dyDescent="0.25">
      <c r="A183" s="4" t="s">
        <v>2307</v>
      </c>
      <c r="B183" t="s">
        <v>45</v>
      </c>
      <c r="C183" s="338" t="s">
        <v>1781</v>
      </c>
      <c r="D183" s="213" t="s">
        <v>872</v>
      </c>
      <c r="E183" s="213" t="s">
        <v>146</v>
      </c>
      <c r="F183" s="213" t="s">
        <v>126</v>
      </c>
      <c r="G183" s="4">
        <v>3410.08</v>
      </c>
      <c r="H183" s="4">
        <v>23</v>
      </c>
      <c r="I183" s="4">
        <v>6638.21</v>
      </c>
      <c r="J183" s="4">
        <v>26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2001.05</v>
      </c>
      <c r="R183" s="4">
        <v>16</v>
      </c>
      <c r="S183" s="4">
        <v>2203.02</v>
      </c>
      <c r="T183" s="4">
        <v>15</v>
      </c>
      <c r="U183" s="4">
        <v>2081.0100000000002</v>
      </c>
      <c r="V183" s="4">
        <v>20</v>
      </c>
      <c r="W183" s="4">
        <v>1558.01</v>
      </c>
      <c r="X183" s="4">
        <v>10</v>
      </c>
      <c r="Y183" s="4">
        <v>3717.11</v>
      </c>
      <c r="Z183" s="4">
        <v>14</v>
      </c>
      <c r="AA183" s="4">
        <v>0</v>
      </c>
      <c r="AB183" s="4">
        <v>0</v>
      </c>
      <c r="AC183" s="4">
        <v>680.03</v>
      </c>
      <c r="AD183" s="4">
        <v>8</v>
      </c>
      <c r="AE183" s="4">
        <v>650.01</v>
      </c>
      <c r="AF183" s="4">
        <v>4</v>
      </c>
      <c r="AG183" s="4">
        <v>2164.0500000000002</v>
      </c>
      <c r="AH183" s="4">
        <v>12</v>
      </c>
      <c r="AI183" s="4">
        <v>2420.04</v>
      </c>
      <c r="AJ183" s="4">
        <v>11</v>
      </c>
      <c r="AK183" s="4">
        <v>1664.02</v>
      </c>
      <c r="AL183" s="4">
        <v>11</v>
      </c>
      <c r="AM183" s="4">
        <v>2762.06</v>
      </c>
      <c r="AN183" s="4">
        <v>17</v>
      </c>
      <c r="AO183" s="4">
        <v>0</v>
      </c>
      <c r="AP183" s="4">
        <v>0</v>
      </c>
      <c r="AQ183" s="4">
        <v>649</v>
      </c>
      <c r="AR183" s="4">
        <v>3</v>
      </c>
      <c r="AS183" s="4">
        <v>808.03</v>
      </c>
      <c r="AT183" s="4">
        <v>7</v>
      </c>
      <c r="AU183" s="4">
        <v>2021</v>
      </c>
      <c r="AV183" s="4">
        <v>10</v>
      </c>
      <c r="AW183" s="4">
        <v>3130.92</v>
      </c>
      <c r="AX183" s="4">
        <v>10</v>
      </c>
      <c r="AY183" s="4">
        <v>1716.91</v>
      </c>
      <c r="AZ183" s="4">
        <v>11</v>
      </c>
      <c r="BA183" s="4">
        <v>2890.87</v>
      </c>
      <c r="BB183" s="4">
        <v>15</v>
      </c>
      <c r="BC183" s="4">
        <v>2110.92</v>
      </c>
      <c r="BD183" s="4">
        <v>12</v>
      </c>
      <c r="BE183" s="4">
        <v>2028.1</v>
      </c>
      <c r="BF183" s="4">
        <v>16</v>
      </c>
      <c r="BQ183" s="3">
        <f t="shared" si="6"/>
        <v>47304.450000000004</v>
      </c>
      <c r="BR183" s="3">
        <f t="shared" si="5"/>
        <v>271</v>
      </c>
    </row>
    <row r="184" spans="1:70" x14ac:dyDescent="0.25">
      <c r="A184" s="4" t="s">
        <v>2308</v>
      </c>
      <c r="B184" t="s">
        <v>45</v>
      </c>
      <c r="C184" s="338" t="s">
        <v>1782</v>
      </c>
      <c r="D184" s="213" t="s">
        <v>873</v>
      </c>
      <c r="E184" s="213" t="s">
        <v>146</v>
      </c>
      <c r="F184" s="213" t="s">
        <v>126</v>
      </c>
      <c r="G184" s="4">
        <v>2935.1</v>
      </c>
      <c r="H184" s="4">
        <v>16</v>
      </c>
      <c r="I184" s="4">
        <v>7163.22</v>
      </c>
      <c r="J184" s="4">
        <v>29</v>
      </c>
      <c r="K184" s="4">
        <v>3919.09</v>
      </c>
      <c r="L184" s="4">
        <v>17</v>
      </c>
      <c r="M184" s="4">
        <v>1779.06</v>
      </c>
      <c r="N184" s="4">
        <v>9</v>
      </c>
      <c r="O184" s="4">
        <v>4066.14</v>
      </c>
      <c r="P184" s="4">
        <v>20</v>
      </c>
      <c r="Q184" s="4">
        <v>2012.07</v>
      </c>
      <c r="R184" s="4">
        <v>12</v>
      </c>
      <c r="S184" s="4">
        <v>0</v>
      </c>
      <c r="T184" s="4">
        <v>0</v>
      </c>
      <c r="U184" s="4">
        <v>2707.09</v>
      </c>
      <c r="V184" s="4">
        <v>11</v>
      </c>
      <c r="W184" s="4">
        <v>3766.15</v>
      </c>
      <c r="X184" s="4">
        <v>13</v>
      </c>
      <c r="Y184" s="4">
        <v>2017.08</v>
      </c>
      <c r="Z184" s="4">
        <v>9</v>
      </c>
      <c r="AA184" s="4">
        <v>1346.05</v>
      </c>
      <c r="AB184" s="4">
        <v>8</v>
      </c>
      <c r="AC184" s="4">
        <v>0</v>
      </c>
      <c r="AD184" s="4">
        <v>0</v>
      </c>
      <c r="AE184" s="4">
        <v>2206.0300000000002</v>
      </c>
      <c r="AF184" s="4">
        <v>7</v>
      </c>
      <c r="AG184" s="4">
        <v>2206.09</v>
      </c>
      <c r="AH184" s="4">
        <v>12</v>
      </c>
      <c r="AI184" s="4">
        <v>2313.0700000000002</v>
      </c>
      <c r="AJ184" s="4">
        <v>15</v>
      </c>
      <c r="AK184" s="4">
        <v>2208.06</v>
      </c>
      <c r="AL184" s="4">
        <v>12</v>
      </c>
      <c r="AM184" s="4">
        <v>2859.03</v>
      </c>
      <c r="AN184" s="4">
        <v>15</v>
      </c>
      <c r="AO184" s="4">
        <v>2307.0700000000002</v>
      </c>
      <c r="AP184" s="4">
        <v>11</v>
      </c>
      <c r="AQ184" s="4">
        <v>0</v>
      </c>
      <c r="AR184" s="4">
        <v>0</v>
      </c>
      <c r="AS184" s="4">
        <v>1658.04</v>
      </c>
      <c r="AT184" s="4">
        <v>10</v>
      </c>
      <c r="AU184" s="4">
        <v>2237.04</v>
      </c>
      <c r="AV184" s="4">
        <v>12</v>
      </c>
      <c r="AW184" s="4">
        <v>2023.86</v>
      </c>
      <c r="AX184" s="4">
        <v>10</v>
      </c>
      <c r="AY184" s="4">
        <v>1851.86</v>
      </c>
      <c r="AZ184" s="4">
        <v>10</v>
      </c>
      <c r="BA184" s="4">
        <v>2675.85</v>
      </c>
      <c r="BB184" s="4">
        <v>14</v>
      </c>
      <c r="BC184" s="4">
        <v>1731.98</v>
      </c>
      <c r="BD184" s="4">
        <v>9</v>
      </c>
      <c r="BE184" s="4">
        <v>3285.2</v>
      </c>
      <c r="BF184" s="4">
        <v>14</v>
      </c>
      <c r="BQ184" s="3">
        <f t="shared" si="6"/>
        <v>61274.229999999996</v>
      </c>
      <c r="BR184" s="3">
        <f t="shared" si="5"/>
        <v>295</v>
      </c>
    </row>
    <row r="185" spans="1:70" x14ac:dyDescent="0.25">
      <c r="A185" s="4" t="s">
        <v>2309</v>
      </c>
      <c r="B185" t="s">
        <v>45</v>
      </c>
      <c r="C185" s="338" t="s">
        <v>1783</v>
      </c>
      <c r="D185" s="213" t="s">
        <v>874</v>
      </c>
      <c r="E185" s="213" t="s">
        <v>146</v>
      </c>
      <c r="F185" s="213" t="s">
        <v>126</v>
      </c>
      <c r="G185" s="4">
        <v>2420.06</v>
      </c>
      <c r="H185" s="4">
        <v>16</v>
      </c>
      <c r="I185" s="4">
        <v>4635.08</v>
      </c>
      <c r="J185" s="4">
        <v>24</v>
      </c>
      <c r="K185" s="4">
        <v>3637.05</v>
      </c>
      <c r="L185" s="4">
        <v>17</v>
      </c>
      <c r="M185" s="4">
        <v>3705.09</v>
      </c>
      <c r="N185" s="4">
        <v>21</v>
      </c>
      <c r="O185" s="4">
        <v>2014.03</v>
      </c>
      <c r="P185" s="4">
        <v>14</v>
      </c>
      <c r="Q185" s="4">
        <v>1734.06</v>
      </c>
      <c r="R185" s="4">
        <v>11</v>
      </c>
      <c r="S185" s="4">
        <v>2592.04</v>
      </c>
      <c r="T185" s="4">
        <v>13</v>
      </c>
      <c r="U185" s="4">
        <v>1244.03</v>
      </c>
      <c r="V185" s="4">
        <v>6</v>
      </c>
      <c r="W185" s="4">
        <v>3414.05</v>
      </c>
      <c r="X185" s="4">
        <v>23</v>
      </c>
      <c r="Y185" s="4">
        <v>0</v>
      </c>
      <c r="Z185" s="4">
        <v>0</v>
      </c>
      <c r="AA185" s="4">
        <v>0</v>
      </c>
      <c r="AB185" s="4">
        <v>0</v>
      </c>
      <c r="AC185" s="4">
        <v>1202.03</v>
      </c>
      <c r="AD185" s="4">
        <v>8</v>
      </c>
      <c r="AE185" s="4">
        <v>559</v>
      </c>
      <c r="AF185" s="4">
        <v>3</v>
      </c>
      <c r="AG185" s="4">
        <v>1933.07</v>
      </c>
      <c r="AH185" s="4">
        <v>10</v>
      </c>
      <c r="AI185" s="4">
        <v>150.01</v>
      </c>
      <c r="AJ185" s="4">
        <v>1</v>
      </c>
      <c r="AK185" s="4">
        <v>1399.03</v>
      </c>
      <c r="AL185" s="4">
        <v>8</v>
      </c>
      <c r="AM185" s="4">
        <v>3331.08</v>
      </c>
      <c r="AN185" s="4">
        <v>17</v>
      </c>
      <c r="AO185" s="4">
        <v>0</v>
      </c>
      <c r="AP185" s="4">
        <v>0</v>
      </c>
      <c r="AQ185" s="4">
        <v>1866.04</v>
      </c>
      <c r="AR185" s="4">
        <v>9</v>
      </c>
      <c r="AS185" s="4">
        <v>1026.03</v>
      </c>
      <c r="AT185" s="4">
        <v>6</v>
      </c>
      <c r="AU185" s="4">
        <v>2285.04</v>
      </c>
      <c r="AV185" s="4">
        <v>13</v>
      </c>
      <c r="AW185" s="4">
        <v>1861.99</v>
      </c>
      <c r="AX185" s="4">
        <v>8</v>
      </c>
      <c r="AY185" s="4">
        <v>2677.94</v>
      </c>
      <c r="AZ185" s="4">
        <v>12</v>
      </c>
      <c r="BA185" s="4">
        <v>2974.85</v>
      </c>
      <c r="BB185" s="4">
        <v>17</v>
      </c>
      <c r="BC185" s="4">
        <v>1877.96</v>
      </c>
      <c r="BD185" s="4">
        <v>7</v>
      </c>
      <c r="BE185" s="4">
        <v>1103.04</v>
      </c>
      <c r="BF185" s="4">
        <v>4</v>
      </c>
      <c r="BQ185" s="3">
        <f t="shared" si="6"/>
        <v>49642.599999999991</v>
      </c>
      <c r="BR185" s="3">
        <f t="shared" si="5"/>
        <v>268</v>
      </c>
    </row>
    <row r="186" spans="1:70" x14ac:dyDescent="0.25">
      <c r="A186" s="4" t="s">
        <v>2310</v>
      </c>
      <c r="B186" t="s">
        <v>45</v>
      </c>
      <c r="C186" s="338" t="s">
        <v>1784</v>
      </c>
      <c r="D186" s="213" t="s">
        <v>875</v>
      </c>
      <c r="E186" s="213" t="s">
        <v>146</v>
      </c>
      <c r="F186" s="213" t="s">
        <v>126</v>
      </c>
      <c r="G186" s="4">
        <v>4520.08</v>
      </c>
      <c r="H186" s="4">
        <v>34</v>
      </c>
      <c r="I186" s="4">
        <v>5315.12</v>
      </c>
      <c r="J186" s="4">
        <v>31</v>
      </c>
      <c r="K186" s="4">
        <v>5362.13</v>
      </c>
      <c r="L186" s="4">
        <v>33</v>
      </c>
      <c r="M186" s="4">
        <v>2717.03</v>
      </c>
      <c r="N186" s="4">
        <v>18</v>
      </c>
      <c r="O186" s="4">
        <v>0</v>
      </c>
      <c r="P186" s="4">
        <v>0</v>
      </c>
      <c r="Q186" s="4">
        <v>2138.04</v>
      </c>
      <c r="R186" s="4">
        <v>16</v>
      </c>
      <c r="S186" s="4">
        <v>3171.07</v>
      </c>
      <c r="T186" s="4">
        <v>20</v>
      </c>
      <c r="U186" s="4">
        <v>1647.05</v>
      </c>
      <c r="V186" s="4">
        <v>11</v>
      </c>
      <c r="W186" s="4">
        <v>3015.07</v>
      </c>
      <c r="X186" s="4">
        <v>21</v>
      </c>
      <c r="Y186" s="4">
        <v>2439.09</v>
      </c>
      <c r="Z186" s="4">
        <v>12</v>
      </c>
      <c r="AA186" s="4">
        <v>1568.03</v>
      </c>
      <c r="AB186" s="4">
        <v>9</v>
      </c>
      <c r="AC186" s="4">
        <v>1150.06</v>
      </c>
      <c r="AD186" s="4">
        <v>8</v>
      </c>
      <c r="AE186" s="4">
        <v>2098.02</v>
      </c>
      <c r="AF186" s="4">
        <v>10</v>
      </c>
      <c r="AG186" s="4">
        <v>2803.03</v>
      </c>
      <c r="AH186" s="4">
        <v>15</v>
      </c>
      <c r="AI186" s="4">
        <v>1806.12</v>
      </c>
      <c r="AJ186" s="4">
        <v>11</v>
      </c>
      <c r="AK186" s="4">
        <v>2490.0700000000002</v>
      </c>
      <c r="AL186" s="4">
        <v>14</v>
      </c>
      <c r="AM186" s="4">
        <v>0</v>
      </c>
      <c r="AN186" s="4">
        <v>0</v>
      </c>
      <c r="AO186" s="4">
        <v>2273.0100000000002</v>
      </c>
      <c r="AP186" s="4">
        <v>14</v>
      </c>
      <c r="AQ186" s="4">
        <v>1839.03</v>
      </c>
      <c r="AR186" s="4">
        <v>12</v>
      </c>
      <c r="AS186" s="4">
        <v>1416.03</v>
      </c>
      <c r="AT186" s="4">
        <v>8</v>
      </c>
      <c r="AU186" s="4">
        <v>0</v>
      </c>
      <c r="AV186" s="4">
        <v>0</v>
      </c>
      <c r="AW186" s="4">
        <v>2026.93</v>
      </c>
      <c r="AX186" s="4">
        <v>15</v>
      </c>
      <c r="AY186" s="4">
        <v>3028.91</v>
      </c>
      <c r="AZ186" s="4">
        <v>20</v>
      </c>
      <c r="BA186" s="4">
        <v>5342.75</v>
      </c>
      <c r="BB186" s="4">
        <v>27</v>
      </c>
      <c r="BC186" s="4">
        <v>2561.94</v>
      </c>
      <c r="BD186" s="4">
        <v>17</v>
      </c>
      <c r="BE186" s="4">
        <v>3890.21</v>
      </c>
      <c r="BF186" s="4">
        <v>25</v>
      </c>
      <c r="BQ186" s="3">
        <f t="shared" si="6"/>
        <v>64618.82</v>
      </c>
      <c r="BR186" s="3">
        <f t="shared" si="5"/>
        <v>401</v>
      </c>
    </row>
    <row r="187" spans="1:70" x14ac:dyDescent="0.25">
      <c r="A187" s="4" t="s">
        <v>2311</v>
      </c>
      <c r="B187" t="s">
        <v>46</v>
      </c>
      <c r="C187" s="338" t="s">
        <v>1785</v>
      </c>
      <c r="D187" s="213" t="s">
        <v>876</v>
      </c>
      <c r="E187" s="213" t="s">
        <v>138</v>
      </c>
      <c r="F187" s="213" t="s">
        <v>129</v>
      </c>
      <c r="G187" s="4">
        <v>2583.04</v>
      </c>
      <c r="H187" s="4">
        <v>22</v>
      </c>
      <c r="I187" s="4">
        <v>2930.04</v>
      </c>
      <c r="J187" s="4">
        <v>17</v>
      </c>
      <c r="K187" s="4">
        <v>2572.0700000000002</v>
      </c>
      <c r="L187" s="4">
        <v>15</v>
      </c>
      <c r="M187" s="4">
        <v>0</v>
      </c>
      <c r="N187" s="4">
        <v>0</v>
      </c>
      <c r="O187" s="4">
        <v>2046.04</v>
      </c>
      <c r="P187" s="4">
        <v>8</v>
      </c>
      <c r="Q187" s="4">
        <v>2803.06</v>
      </c>
      <c r="R187" s="4">
        <v>13</v>
      </c>
      <c r="S187" s="4">
        <v>2384.04</v>
      </c>
      <c r="T187" s="4">
        <v>15</v>
      </c>
      <c r="U187" s="4">
        <v>812</v>
      </c>
      <c r="V187" s="4">
        <v>6</v>
      </c>
      <c r="W187" s="4">
        <v>3515.06</v>
      </c>
      <c r="X187" s="4">
        <v>22</v>
      </c>
      <c r="Y187" s="4">
        <v>1143.03</v>
      </c>
      <c r="Z187" s="4">
        <v>7</v>
      </c>
      <c r="AA187" s="4">
        <v>0</v>
      </c>
      <c r="AB187" s="4">
        <v>0</v>
      </c>
      <c r="AC187" s="4">
        <v>675.01</v>
      </c>
      <c r="AD187" s="4">
        <v>4</v>
      </c>
      <c r="AE187" s="4">
        <v>2787.99</v>
      </c>
      <c r="AF187" s="4">
        <v>7</v>
      </c>
      <c r="AG187" s="4">
        <v>1764.05</v>
      </c>
      <c r="AH187" s="4">
        <v>14</v>
      </c>
      <c r="AI187" s="4">
        <v>2075.0500000000002</v>
      </c>
      <c r="AJ187" s="4">
        <v>15</v>
      </c>
      <c r="AK187" s="4">
        <v>3097.05</v>
      </c>
      <c r="AL187" s="4">
        <v>14</v>
      </c>
      <c r="AM187" s="4">
        <v>2443.0300000000002</v>
      </c>
      <c r="AN187" s="4">
        <v>15</v>
      </c>
      <c r="AO187" s="4">
        <v>2600.0500000000002</v>
      </c>
      <c r="AP187" s="4">
        <v>19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Q187" s="3">
        <f t="shared" si="6"/>
        <v>36230.61</v>
      </c>
      <c r="BR187" s="3">
        <f t="shared" si="5"/>
        <v>213</v>
      </c>
    </row>
    <row r="188" spans="1:70" x14ac:dyDescent="0.25">
      <c r="A188" s="4" t="s">
        <v>2312</v>
      </c>
      <c r="B188" t="s">
        <v>46</v>
      </c>
      <c r="C188" s="338" t="s">
        <v>1786</v>
      </c>
      <c r="D188" s="213" t="s">
        <v>877</v>
      </c>
      <c r="E188" s="213" t="s">
        <v>138</v>
      </c>
      <c r="F188" s="213" t="s">
        <v>129</v>
      </c>
      <c r="G188" s="4">
        <v>2972.07</v>
      </c>
      <c r="H188" s="4">
        <v>16</v>
      </c>
      <c r="I188" s="4">
        <v>3025.05</v>
      </c>
      <c r="J188" s="4">
        <v>25</v>
      </c>
      <c r="K188" s="4">
        <v>2794.04</v>
      </c>
      <c r="L188" s="4">
        <v>20</v>
      </c>
      <c r="M188" s="4">
        <v>3414.05</v>
      </c>
      <c r="N188" s="4">
        <v>16</v>
      </c>
      <c r="O188" s="4">
        <v>1509.04</v>
      </c>
      <c r="P188" s="4">
        <v>7</v>
      </c>
      <c r="Q188" s="4">
        <v>1798.01</v>
      </c>
      <c r="R188" s="4">
        <v>10</v>
      </c>
      <c r="S188" s="4">
        <v>1354.04</v>
      </c>
      <c r="T188" s="4">
        <v>8</v>
      </c>
      <c r="U188" s="4">
        <v>869.01</v>
      </c>
      <c r="V188" s="4">
        <v>7</v>
      </c>
      <c r="W188" s="4">
        <v>0</v>
      </c>
      <c r="X188" s="4">
        <v>0</v>
      </c>
      <c r="Y188" s="4">
        <v>1224.03</v>
      </c>
      <c r="Z188" s="4">
        <v>7</v>
      </c>
      <c r="AA188" s="4">
        <v>1944.02</v>
      </c>
      <c r="AB188" s="4">
        <v>10</v>
      </c>
      <c r="AC188" s="4">
        <v>885.02</v>
      </c>
      <c r="AD188" s="4">
        <v>6</v>
      </c>
      <c r="AE188" s="4">
        <v>1649.03</v>
      </c>
      <c r="AF188" s="4">
        <v>7</v>
      </c>
      <c r="AG188" s="4">
        <v>4200.1400000000003</v>
      </c>
      <c r="AH188" s="4">
        <v>24</v>
      </c>
      <c r="AI188" s="4">
        <v>775</v>
      </c>
      <c r="AJ188" s="4">
        <v>5</v>
      </c>
      <c r="AK188" s="4">
        <v>0</v>
      </c>
      <c r="AL188" s="4">
        <v>0</v>
      </c>
      <c r="AM188" s="4">
        <v>475.01</v>
      </c>
      <c r="AN188" s="4">
        <v>3</v>
      </c>
      <c r="AO188" s="4">
        <v>0</v>
      </c>
      <c r="AP188" s="4">
        <v>0</v>
      </c>
      <c r="AQ188" s="4">
        <v>1500.04</v>
      </c>
      <c r="AR188" s="4">
        <v>6</v>
      </c>
      <c r="AS188" s="4">
        <v>2165.06</v>
      </c>
      <c r="AT188" s="4">
        <v>13</v>
      </c>
      <c r="AU188" s="4">
        <v>3840.05</v>
      </c>
      <c r="AV188" s="4">
        <v>18</v>
      </c>
      <c r="AW188" s="4">
        <v>2123.8200000000002</v>
      </c>
      <c r="AX188" s="4">
        <v>8</v>
      </c>
      <c r="AY188" s="4">
        <v>4362.8500000000004</v>
      </c>
      <c r="AZ188" s="4">
        <v>34</v>
      </c>
      <c r="BA188" s="4">
        <v>3154.91</v>
      </c>
      <c r="BB188" s="4">
        <v>17</v>
      </c>
      <c r="BC188" s="4">
        <v>1551.95</v>
      </c>
      <c r="BD188" s="4">
        <v>10</v>
      </c>
      <c r="BE188" s="4">
        <v>3671.32</v>
      </c>
      <c r="BF188" s="4">
        <v>18</v>
      </c>
      <c r="BQ188" s="3">
        <f t="shared" si="6"/>
        <v>51257.55999999999</v>
      </c>
      <c r="BR188" s="3">
        <f t="shared" si="5"/>
        <v>295</v>
      </c>
    </row>
    <row r="189" spans="1:70" x14ac:dyDescent="0.25">
      <c r="A189" s="4" t="s">
        <v>2313</v>
      </c>
      <c r="B189" t="s">
        <v>46</v>
      </c>
      <c r="C189" s="338" t="s">
        <v>1787</v>
      </c>
      <c r="D189" s="213" t="s">
        <v>878</v>
      </c>
      <c r="E189" s="213" t="s">
        <v>138</v>
      </c>
      <c r="F189" s="213" t="s">
        <v>129</v>
      </c>
      <c r="G189" s="4">
        <v>1578</v>
      </c>
      <c r="H189" s="4">
        <v>13</v>
      </c>
      <c r="I189" s="4">
        <v>3588.12</v>
      </c>
      <c r="J189" s="4">
        <v>24</v>
      </c>
      <c r="K189" s="4">
        <v>1293.02</v>
      </c>
      <c r="L189" s="4">
        <v>10</v>
      </c>
      <c r="M189" s="4">
        <v>3612.05</v>
      </c>
      <c r="N189" s="4">
        <v>21</v>
      </c>
      <c r="O189" s="4">
        <v>1575.04</v>
      </c>
      <c r="P189" s="4">
        <v>9</v>
      </c>
      <c r="Q189" s="4">
        <v>0</v>
      </c>
      <c r="R189" s="4">
        <v>0</v>
      </c>
      <c r="S189" s="4">
        <v>2438.06</v>
      </c>
      <c r="T189" s="4">
        <v>11</v>
      </c>
      <c r="U189" s="4">
        <v>674</v>
      </c>
      <c r="V189" s="4">
        <v>6</v>
      </c>
      <c r="W189" s="4">
        <v>2651.03</v>
      </c>
      <c r="X189" s="4">
        <v>19</v>
      </c>
      <c r="Y189" s="4">
        <v>1787.04</v>
      </c>
      <c r="Z189" s="4">
        <v>12</v>
      </c>
      <c r="AA189" s="4">
        <v>1964.05</v>
      </c>
      <c r="AB189" s="4">
        <v>14</v>
      </c>
      <c r="AC189" s="4">
        <v>600.01</v>
      </c>
      <c r="AD189" s="4">
        <v>4</v>
      </c>
      <c r="AE189" s="4">
        <v>886.01</v>
      </c>
      <c r="AF189" s="4">
        <v>7</v>
      </c>
      <c r="AG189" s="4">
        <v>0</v>
      </c>
      <c r="AH189" s="4">
        <v>0</v>
      </c>
      <c r="AI189" s="4">
        <v>0</v>
      </c>
      <c r="AJ189" s="4">
        <v>0</v>
      </c>
      <c r="AK189" s="4">
        <v>2288.04</v>
      </c>
      <c r="AL189" s="4">
        <v>14</v>
      </c>
      <c r="AM189" s="4">
        <v>926</v>
      </c>
      <c r="AN189" s="4">
        <v>6</v>
      </c>
      <c r="AO189" s="4">
        <v>300.01</v>
      </c>
      <c r="AP189" s="4">
        <v>2</v>
      </c>
      <c r="AQ189" s="4">
        <v>615.02</v>
      </c>
      <c r="AR189" s="4">
        <v>5</v>
      </c>
      <c r="AS189" s="4">
        <v>367</v>
      </c>
      <c r="AT189" s="4">
        <v>3</v>
      </c>
      <c r="AU189" s="4">
        <v>1734.03</v>
      </c>
      <c r="AV189" s="4">
        <v>7</v>
      </c>
      <c r="AW189" s="4">
        <v>1248.03</v>
      </c>
      <c r="AX189" s="4">
        <v>9</v>
      </c>
      <c r="AY189" s="4">
        <v>0</v>
      </c>
      <c r="AZ189" s="4">
        <v>0</v>
      </c>
      <c r="BA189" s="4">
        <v>902.92</v>
      </c>
      <c r="BB189" s="4">
        <v>5</v>
      </c>
      <c r="BC189" s="4">
        <v>1643.95</v>
      </c>
      <c r="BD189" s="4">
        <v>12</v>
      </c>
      <c r="BE189" s="4">
        <v>1094.08</v>
      </c>
      <c r="BF189" s="4">
        <v>5</v>
      </c>
      <c r="BQ189" s="3">
        <f t="shared" si="6"/>
        <v>33765.509999999995</v>
      </c>
      <c r="BR189" s="3">
        <f t="shared" si="5"/>
        <v>218</v>
      </c>
    </row>
    <row r="190" spans="1:70" x14ac:dyDescent="0.25">
      <c r="A190" s="4" t="s">
        <v>2314</v>
      </c>
      <c r="B190" t="s">
        <v>47</v>
      </c>
      <c r="C190" s="338" t="s">
        <v>1788</v>
      </c>
      <c r="D190" s="213" t="s">
        <v>879</v>
      </c>
      <c r="E190" s="213" t="s">
        <v>145</v>
      </c>
      <c r="F190" s="213" t="s">
        <v>127</v>
      </c>
      <c r="G190" s="4">
        <v>800.01</v>
      </c>
      <c r="H190" s="4">
        <v>7</v>
      </c>
      <c r="I190" s="4">
        <v>2283.06</v>
      </c>
      <c r="J190" s="4">
        <v>24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Q190" s="3">
        <f t="shared" si="6"/>
        <v>3083.0699999999997</v>
      </c>
      <c r="BR190" s="3">
        <f t="shared" si="5"/>
        <v>31</v>
      </c>
    </row>
    <row r="191" spans="1:70" x14ac:dyDescent="0.25">
      <c r="A191" s="4" t="s">
        <v>2315</v>
      </c>
      <c r="B191" t="s">
        <v>47</v>
      </c>
      <c r="C191" s="338" t="s">
        <v>1789</v>
      </c>
      <c r="D191" s="213" t="s">
        <v>880</v>
      </c>
      <c r="E191" s="213" t="s">
        <v>145</v>
      </c>
      <c r="F191" s="213" t="s">
        <v>127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1559.06</v>
      </c>
      <c r="N191" s="4">
        <v>9</v>
      </c>
      <c r="O191" s="4">
        <v>686.01</v>
      </c>
      <c r="P191" s="4">
        <v>8</v>
      </c>
      <c r="Q191" s="4">
        <v>1084.99</v>
      </c>
      <c r="R191" s="4">
        <v>10</v>
      </c>
      <c r="S191" s="4">
        <v>675</v>
      </c>
      <c r="T191" s="4">
        <v>5</v>
      </c>
      <c r="U191" s="4">
        <v>1184.01</v>
      </c>
      <c r="V191" s="4">
        <v>7</v>
      </c>
      <c r="W191" s="4">
        <v>0</v>
      </c>
      <c r="X191" s="4">
        <v>0</v>
      </c>
      <c r="Y191" s="4">
        <v>-75</v>
      </c>
      <c r="Z191" s="4">
        <v>1</v>
      </c>
      <c r="AA191" s="4">
        <v>460</v>
      </c>
      <c r="AB191" s="4">
        <v>3</v>
      </c>
      <c r="AC191" s="4">
        <v>460</v>
      </c>
      <c r="AD191" s="4">
        <v>3</v>
      </c>
      <c r="AE191" s="4">
        <v>675.03</v>
      </c>
      <c r="AF191" s="4">
        <v>3</v>
      </c>
      <c r="AG191" s="4">
        <v>0</v>
      </c>
      <c r="AH191" s="4">
        <v>0</v>
      </c>
      <c r="AI191" s="4">
        <v>1615</v>
      </c>
      <c r="AJ191" s="4">
        <v>11</v>
      </c>
      <c r="AK191" s="4">
        <v>0</v>
      </c>
      <c r="AL191" s="4">
        <v>0</v>
      </c>
      <c r="AM191" s="4">
        <v>340</v>
      </c>
      <c r="AN191" s="4">
        <v>3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1851.97</v>
      </c>
      <c r="AX191" s="4">
        <v>13</v>
      </c>
      <c r="AY191" s="4">
        <v>1354.94</v>
      </c>
      <c r="AZ191" s="4">
        <v>9</v>
      </c>
      <c r="BA191" s="4">
        <v>1000.96</v>
      </c>
      <c r="BB191" s="4">
        <v>6</v>
      </c>
      <c r="BC191" s="4">
        <v>886</v>
      </c>
      <c r="BD191" s="4">
        <v>4</v>
      </c>
      <c r="BE191" s="4">
        <v>1209.08</v>
      </c>
      <c r="BF191" s="4">
        <v>8</v>
      </c>
      <c r="BQ191" s="3">
        <f t="shared" si="6"/>
        <v>14967.049999999997</v>
      </c>
      <c r="BR191" s="3">
        <f t="shared" si="5"/>
        <v>103</v>
      </c>
    </row>
    <row r="192" spans="1:70" x14ac:dyDescent="0.25">
      <c r="A192" s="4" t="s">
        <v>2316</v>
      </c>
      <c r="B192" t="s">
        <v>47</v>
      </c>
      <c r="C192" s="338" t="s">
        <v>1790</v>
      </c>
      <c r="D192" s="213" t="s">
        <v>881</v>
      </c>
      <c r="E192" s="213" t="s">
        <v>145</v>
      </c>
      <c r="F192" s="213" t="s">
        <v>127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150</v>
      </c>
      <c r="R192" s="4">
        <v>1</v>
      </c>
      <c r="S192" s="4">
        <v>225.01</v>
      </c>
      <c r="T192" s="4">
        <v>2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313</v>
      </c>
      <c r="AF192" s="4">
        <v>2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225</v>
      </c>
      <c r="BF192" s="4">
        <v>2</v>
      </c>
      <c r="BQ192" s="3">
        <f t="shared" si="6"/>
        <v>913.01</v>
      </c>
      <c r="BR192" s="3">
        <f t="shared" si="5"/>
        <v>7</v>
      </c>
    </row>
    <row r="193" spans="1:70" x14ac:dyDescent="0.25">
      <c r="A193" s="4" t="s">
        <v>2317</v>
      </c>
      <c r="B193" t="s">
        <v>48</v>
      </c>
      <c r="C193" s="338" t="s">
        <v>1791</v>
      </c>
      <c r="D193" s="213" t="s">
        <v>882</v>
      </c>
      <c r="E193" s="213" t="s">
        <v>136</v>
      </c>
      <c r="F193" s="213" t="s">
        <v>126</v>
      </c>
      <c r="G193" s="4">
        <v>6262.13</v>
      </c>
      <c r="H193" s="4">
        <v>35</v>
      </c>
      <c r="I193" s="4">
        <v>7058.05</v>
      </c>
      <c r="J193" s="4">
        <v>44</v>
      </c>
      <c r="K193" s="4">
        <v>4865.09</v>
      </c>
      <c r="L193" s="4">
        <v>27</v>
      </c>
      <c r="M193" s="4">
        <v>0</v>
      </c>
      <c r="N193" s="4">
        <v>0</v>
      </c>
      <c r="O193" s="4">
        <v>1005.01</v>
      </c>
      <c r="P193" s="4">
        <v>9</v>
      </c>
      <c r="Q193" s="4">
        <v>1607.05</v>
      </c>
      <c r="R193" s="4">
        <v>7</v>
      </c>
      <c r="S193" s="4">
        <v>2639.03</v>
      </c>
      <c r="T193" s="4">
        <v>16</v>
      </c>
      <c r="U193" s="4">
        <v>1057.02</v>
      </c>
      <c r="V193" s="4">
        <v>6</v>
      </c>
      <c r="W193" s="4">
        <v>4018.05</v>
      </c>
      <c r="X193" s="4">
        <v>17</v>
      </c>
      <c r="Y193" s="4">
        <v>1074.03</v>
      </c>
      <c r="Z193" s="4">
        <v>5</v>
      </c>
      <c r="AA193" s="4">
        <v>1603.01</v>
      </c>
      <c r="AB193" s="4">
        <v>11</v>
      </c>
      <c r="AC193" s="4">
        <v>0</v>
      </c>
      <c r="AD193" s="4">
        <v>0</v>
      </c>
      <c r="AE193" s="4">
        <v>0</v>
      </c>
      <c r="AF193" s="4">
        <v>0</v>
      </c>
      <c r="AG193" s="4">
        <v>1764.04</v>
      </c>
      <c r="AH193" s="4">
        <v>9</v>
      </c>
      <c r="AI193" s="4">
        <v>734.01</v>
      </c>
      <c r="AJ193" s="4">
        <v>5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2887.88</v>
      </c>
      <c r="BB193" s="4">
        <v>16</v>
      </c>
      <c r="BC193" s="4">
        <v>962.92</v>
      </c>
      <c r="BD193" s="4">
        <v>3</v>
      </c>
      <c r="BE193" s="4">
        <v>1656.08</v>
      </c>
      <c r="BF193" s="4">
        <v>8</v>
      </c>
      <c r="BQ193" s="3">
        <f t="shared" si="6"/>
        <v>39193.399999999994</v>
      </c>
      <c r="BR193" s="3">
        <f t="shared" si="5"/>
        <v>218</v>
      </c>
    </row>
    <row r="194" spans="1:70" x14ac:dyDescent="0.25">
      <c r="A194" s="4" t="s">
        <v>2318</v>
      </c>
      <c r="B194" t="s">
        <v>48</v>
      </c>
      <c r="C194" s="338" t="s">
        <v>1792</v>
      </c>
      <c r="D194" s="213" t="s">
        <v>883</v>
      </c>
      <c r="E194" s="213" t="s">
        <v>136</v>
      </c>
      <c r="F194" s="213" t="s">
        <v>126</v>
      </c>
      <c r="G194" s="4">
        <v>2612.0700000000002</v>
      </c>
      <c r="H194" s="4">
        <v>22</v>
      </c>
      <c r="I194" s="4">
        <v>3455.08</v>
      </c>
      <c r="J194" s="4">
        <v>20</v>
      </c>
      <c r="K194" s="4">
        <v>0</v>
      </c>
      <c r="L194" s="4">
        <v>0</v>
      </c>
      <c r="M194" s="4">
        <v>1310.02</v>
      </c>
      <c r="N194" s="4">
        <v>11</v>
      </c>
      <c r="O194" s="4">
        <v>2386.0700000000002</v>
      </c>
      <c r="P194" s="4">
        <v>13</v>
      </c>
      <c r="Q194" s="4">
        <v>0</v>
      </c>
      <c r="R194" s="4">
        <v>0</v>
      </c>
      <c r="S194" s="4">
        <v>487</v>
      </c>
      <c r="T194" s="4">
        <v>5</v>
      </c>
      <c r="U194" s="4">
        <v>1404</v>
      </c>
      <c r="V194" s="4">
        <v>10</v>
      </c>
      <c r="W194" s="4">
        <v>2448.0500000000002</v>
      </c>
      <c r="X194" s="4">
        <v>15</v>
      </c>
      <c r="Y194" s="4">
        <v>690.02</v>
      </c>
      <c r="Z194" s="4">
        <v>6</v>
      </c>
      <c r="AA194" s="4">
        <v>799</v>
      </c>
      <c r="AB194" s="4">
        <v>5</v>
      </c>
      <c r="AC194" s="4">
        <v>969</v>
      </c>
      <c r="AD194" s="4">
        <v>7</v>
      </c>
      <c r="AE194" s="4">
        <v>709.01</v>
      </c>
      <c r="AF194" s="4">
        <v>6</v>
      </c>
      <c r="AG194" s="4">
        <v>0</v>
      </c>
      <c r="AH194" s="4">
        <v>0</v>
      </c>
      <c r="AI194" s="4">
        <v>0</v>
      </c>
      <c r="AJ194" s="4">
        <v>0</v>
      </c>
      <c r="AK194" s="4">
        <v>2260.02</v>
      </c>
      <c r="AL194" s="4">
        <v>16</v>
      </c>
      <c r="AM194" s="4">
        <v>2205.0100000000002</v>
      </c>
      <c r="AN194" s="4">
        <v>15</v>
      </c>
      <c r="AO194" s="4">
        <v>165</v>
      </c>
      <c r="AP194" s="4">
        <v>1</v>
      </c>
      <c r="AQ194" s="4">
        <v>717</v>
      </c>
      <c r="AR194" s="4">
        <v>6</v>
      </c>
      <c r="AS194" s="4">
        <v>1235.03</v>
      </c>
      <c r="AT194" s="4">
        <v>4</v>
      </c>
      <c r="AU194" s="4">
        <v>163</v>
      </c>
      <c r="AV194" s="4">
        <v>1</v>
      </c>
      <c r="AW194" s="4">
        <v>90</v>
      </c>
      <c r="AX194" s="4">
        <v>2</v>
      </c>
      <c r="AY194" s="4">
        <v>0</v>
      </c>
      <c r="AZ194" s="4">
        <v>0</v>
      </c>
      <c r="BA194" s="4">
        <v>1925.88</v>
      </c>
      <c r="BB194" s="4">
        <v>11</v>
      </c>
      <c r="BC194" s="4">
        <v>1068.97</v>
      </c>
      <c r="BD194" s="4">
        <v>3</v>
      </c>
      <c r="BE194" s="4">
        <v>1861.12</v>
      </c>
      <c r="BF194" s="4">
        <v>12</v>
      </c>
      <c r="BQ194" s="3">
        <f t="shared" si="6"/>
        <v>28960.35</v>
      </c>
      <c r="BR194" s="3">
        <f t="shared" si="5"/>
        <v>191</v>
      </c>
    </row>
    <row r="195" spans="1:70" x14ac:dyDescent="0.25">
      <c r="A195" s="4" t="s">
        <v>2319</v>
      </c>
      <c r="B195" t="s">
        <v>48</v>
      </c>
      <c r="C195" s="338" t="s">
        <v>1793</v>
      </c>
      <c r="D195" s="213" t="s">
        <v>884</v>
      </c>
      <c r="E195" s="213" t="s">
        <v>136</v>
      </c>
      <c r="F195" s="213" t="s">
        <v>126</v>
      </c>
      <c r="G195" s="4">
        <v>2260.02</v>
      </c>
      <c r="H195" s="4">
        <v>16</v>
      </c>
      <c r="I195" s="4">
        <v>4040.1</v>
      </c>
      <c r="J195" s="4">
        <v>12</v>
      </c>
      <c r="K195" s="4">
        <v>2144.0100000000002</v>
      </c>
      <c r="L195" s="4">
        <v>10</v>
      </c>
      <c r="M195" s="4">
        <v>2451.9899999999998</v>
      </c>
      <c r="N195" s="4">
        <v>14</v>
      </c>
      <c r="O195" s="4">
        <v>2488.02</v>
      </c>
      <c r="P195" s="4">
        <v>11</v>
      </c>
      <c r="Q195" s="4">
        <v>1671.02</v>
      </c>
      <c r="R195" s="4">
        <v>12</v>
      </c>
      <c r="S195" s="4">
        <v>0</v>
      </c>
      <c r="T195" s="4">
        <v>0</v>
      </c>
      <c r="U195" s="4">
        <v>0</v>
      </c>
      <c r="V195" s="4">
        <v>0</v>
      </c>
      <c r="W195" s="4">
        <v>2110</v>
      </c>
      <c r="X195" s="4">
        <v>6</v>
      </c>
      <c r="Y195" s="4">
        <v>146</v>
      </c>
      <c r="Z195" s="4">
        <v>2</v>
      </c>
      <c r="AA195" s="4">
        <v>501.01</v>
      </c>
      <c r="AB195" s="4">
        <v>4</v>
      </c>
      <c r="AC195" s="4">
        <v>0</v>
      </c>
      <c r="AD195" s="4">
        <v>0</v>
      </c>
      <c r="AE195" s="4">
        <v>530.01</v>
      </c>
      <c r="AF195" s="4">
        <v>5</v>
      </c>
      <c r="AG195" s="4">
        <v>265</v>
      </c>
      <c r="AH195" s="4">
        <v>2</v>
      </c>
      <c r="AI195" s="4">
        <v>568</v>
      </c>
      <c r="AJ195" s="4">
        <v>5</v>
      </c>
      <c r="AK195" s="4">
        <v>488.01</v>
      </c>
      <c r="AL195" s="4">
        <v>5</v>
      </c>
      <c r="AM195" s="4">
        <v>0</v>
      </c>
      <c r="AN195" s="4">
        <v>0</v>
      </c>
      <c r="AO195" s="4">
        <v>614.99</v>
      </c>
      <c r="AP195" s="4">
        <v>3</v>
      </c>
      <c r="AQ195" s="4">
        <v>315</v>
      </c>
      <c r="AR195" s="4">
        <v>4</v>
      </c>
      <c r="AS195" s="4">
        <v>881</v>
      </c>
      <c r="AT195" s="4">
        <v>8</v>
      </c>
      <c r="AU195" s="4">
        <v>0</v>
      </c>
      <c r="AV195" s="4">
        <v>0</v>
      </c>
      <c r="AW195" s="4">
        <v>3087.84</v>
      </c>
      <c r="AX195" s="4">
        <v>16</v>
      </c>
      <c r="AY195" s="4">
        <v>962.96</v>
      </c>
      <c r="AZ195" s="4">
        <v>7</v>
      </c>
      <c r="BA195" s="4">
        <v>0</v>
      </c>
      <c r="BB195" s="4">
        <v>0</v>
      </c>
      <c r="BC195" s="4">
        <v>0</v>
      </c>
      <c r="BD195" s="4">
        <v>0</v>
      </c>
      <c r="BE195" s="4">
        <v>539.02</v>
      </c>
      <c r="BF195" s="4">
        <v>7</v>
      </c>
      <c r="BQ195" s="3">
        <f t="shared" si="6"/>
        <v>26064</v>
      </c>
      <c r="BR195" s="3">
        <f t="shared" si="5"/>
        <v>149</v>
      </c>
    </row>
    <row r="196" spans="1:70" x14ac:dyDescent="0.25">
      <c r="A196" s="4" t="s">
        <v>2320</v>
      </c>
      <c r="B196" t="s">
        <v>48</v>
      </c>
      <c r="C196" s="338" t="s">
        <v>1669</v>
      </c>
      <c r="D196" s="213" t="s">
        <v>760</v>
      </c>
      <c r="E196" s="213" t="s">
        <v>136</v>
      </c>
      <c r="F196" s="213" t="s">
        <v>126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1018.02</v>
      </c>
      <c r="AJ196" s="4">
        <v>9</v>
      </c>
      <c r="AK196" s="4">
        <v>1889.02</v>
      </c>
      <c r="AL196" s="4">
        <v>11</v>
      </c>
      <c r="AM196" s="4">
        <v>2334.0100000000002</v>
      </c>
      <c r="AN196" s="4">
        <v>14</v>
      </c>
      <c r="AO196" s="4">
        <v>775.01</v>
      </c>
      <c r="AP196" s="4">
        <v>8</v>
      </c>
      <c r="AQ196" s="4">
        <v>300.01</v>
      </c>
      <c r="AR196" s="4">
        <v>2</v>
      </c>
      <c r="AS196" s="4">
        <v>754.01</v>
      </c>
      <c r="AT196" s="4">
        <v>7</v>
      </c>
      <c r="AU196" s="4">
        <v>150.01</v>
      </c>
      <c r="AV196" s="4">
        <v>1</v>
      </c>
      <c r="AW196" s="4">
        <v>3187.88</v>
      </c>
      <c r="AX196" s="4">
        <v>17</v>
      </c>
      <c r="AY196" s="4">
        <v>0</v>
      </c>
      <c r="AZ196" s="4">
        <v>0</v>
      </c>
      <c r="BA196" s="4">
        <v>505.99</v>
      </c>
      <c r="BB196" s="4">
        <v>4</v>
      </c>
      <c r="BC196" s="4">
        <v>1799.97</v>
      </c>
      <c r="BD196" s="4">
        <v>8</v>
      </c>
      <c r="BE196" s="4">
        <v>0</v>
      </c>
      <c r="BF196" s="4">
        <v>0</v>
      </c>
      <c r="BQ196" s="3">
        <f t="shared" si="6"/>
        <v>12713.93</v>
      </c>
      <c r="BR196" s="3">
        <f t="shared" si="5"/>
        <v>81</v>
      </c>
    </row>
    <row r="197" spans="1:70" x14ac:dyDescent="0.25">
      <c r="A197" s="4" t="s">
        <v>2321</v>
      </c>
      <c r="B197" t="s">
        <v>48</v>
      </c>
      <c r="C197" s="338" t="s">
        <v>1794</v>
      </c>
      <c r="D197" s="213" t="s">
        <v>885</v>
      </c>
      <c r="E197" s="213" t="s">
        <v>136</v>
      </c>
      <c r="F197" s="213" t="s">
        <v>126</v>
      </c>
      <c r="G197" s="4">
        <v>1453.04</v>
      </c>
      <c r="H197" s="4">
        <v>10</v>
      </c>
      <c r="I197" s="4">
        <v>3785.12</v>
      </c>
      <c r="J197" s="4">
        <v>25</v>
      </c>
      <c r="K197" s="4">
        <v>953</v>
      </c>
      <c r="L197" s="4">
        <v>8</v>
      </c>
      <c r="M197" s="4">
        <v>2376.0100000000002</v>
      </c>
      <c r="N197" s="4">
        <v>17</v>
      </c>
      <c r="O197" s="4">
        <v>75</v>
      </c>
      <c r="P197" s="4">
        <v>1</v>
      </c>
      <c r="Q197" s="4">
        <v>2441.06</v>
      </c>
      <c r="R197" s="4">
        <v>13</v>
      </c>
      <c r="S197" s="4">
        <v>1509.03</v>
      </c>
      <c r="T197" s="4">
        <v>13</v>
      </c>
      <c r="U197" s="4">
        <v>150.01</v>
      </c>
      <c r="V197" s="4">
        <v>1</v>
      </c>
      <c r="W197" s="4">
        <v>0</v>
      </c>
      <c r="X197" s="4">
        <v>0</v>
      </c>
      <c r="Y197" s="4">
        <v>891.02</v>
      </c>
      <c r="Z197" s="4">
        <v>5</v>
      </c>
      <c r="AA197" s="4">
        <v>0</v>
      </c>
      <c r="AB197" s="4">
        <v>0</v>
      </c>
      <c r="AC197" s="4">
        <v>450.01</v>
      </c>
      <c r="AD197" s="4">
        <v>3</v>
      </c>
      <c r="AE197" s="4">
        <v>1024.99</v>
      </c>
      <c r="AF197" s="4">
        <v>6</v>
      </c>
      <c r="AG197" s="4">
        <v>1088.01</v>
      </c>
      <c r="AH197" s="4">
        <v>9</v>
      </c>
      <c r="AI197" s="4">
        <v>3441.08</v>
      </c>
      <c r="AJ197" s="4">
        <v>22</v>
      </c>
      <c r="AK197" s="4">
        <v>0</v>
      </c>
      <c r="AL197" s="4">
        <v>0</v>
      </c>
      <c r="AM197" s="4">
        <v>0</v>
      </c>
      <c r="AN197" s="4">
        <v>0</v>
      </c>
      <c r="AO197" s="4">
        <v>915</v>
      </c>
      <c r="AP197" s="4">
        <v>2</v>
      </c>
      <c r="AQ197" s="4">
        <v>799</v>
      </c>
      <c r="AR197" s="4">
        <v>5</v>
      </c>
      <c r="AS197" s="4">
        <v>0</v>
      </c>
      <c r="AT197" s="4">
        <v>0</v>
      </c>
      <c r="AU197" s="4">
        <v>1099.01</v>
      </c>
      <c r="AV197" s="4">
        <v>6</v>
      </c>
      <c r="AW197" s="4">
        <v>797.98</v>
      </c>
      <c r="AX197" s="4">
        <v>4</v>
      </c>
      <c r="AY197" s="4">
        <v>2089.96</v>
      </c>
      <c r="AZ197" s="4">
        <v>6</v>
      </c>
      <c r="BA197" s="4">
        <v>1413.9</v>
      </c>
      <c r="BB197" s="4">
        <v>8</v>
      </c>
      <c r="BC197" s="4">
        <v>2501.88</v>
      </c>
      <c r="BD197" s="4">
        <v>10</v>
      </c>
      <c r="BE197" s="4">
        <v>1134.07</v>
      </c>
      <c r="BF197" s="4">
        <v>9</v>
      </c>
      <c r="BQ197" s="3">
        <f t="shared" si="6"/>
        <v>30388.18</v>
      </c>
      <c r="BR197" s="3">
        <f t="shared" ref="BR197:BR260" si="7">H197+J197+L197+N197+P197+R197+T197+V197+X197+Z197+AB197+AD197+AF197+AH197+AJ197+AL197+AN197+AP197+AR197+AT197+AV197+AX197+AZ197+BB197+BD197+BF197</f>
        <v>183</v>
      </c>
    </row>
    <row r="198" spans="1:70" x14ac:dyDescent="0.25">
      <c r="A198" s="4" t="s">
        <v>2322</v>
      </c>
      <c r="B198" t="s">
        <v>48</v>
      </c>
      <c r="C198" s="338" t="s">
        <v>1795</v>
      </c>
      <c r="D198" s="213" t="s">
        <v>886</v>
      </c>
      <c r="E198" s="213" t="s">
        <v>136</v>
      </c>
      <c r="F198" s="213" t="s">
        <v>126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1043.01</v>
      </c>
      <c r="AD198" s="4">
        <v>6</v>
      </c>
      <c r="AE198" s="4">
        <v>521</v>
      </c>
      <c r="AF198" s="4">
        <v>6</v>
      </c>
      <c r="AG198" s="4">
        <v>225</v>
      </c>
      <c r="AH198" s="4">
        <v>2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463.01</v>
      </c>
      <c r="AP198" s="4">
        <v>4</v>
      </c>
      <c r="AQ198" s="4">
        <v>0</v>
      </c>
      <c r="AR198" s="4">
        <v>0</v>
      </c>
      <c r="AS198" s="4">
        <v>0</v>
      </c>
      <c r="AT198" s="4">
        <v>0</v>
      </c>
      <c r="AU198" s="4">
        <v>322</v>
      </c>
      <c r="AV198" s="4">
        <v>2</v>
      </c>
      <c r="AW198" s="4">
        <v>75</v>
      </c>
      <c r="AX198" s="4">
        <v>1</v>
      </c>
      <c r="AY198" s="4">
        <v>150</v>
      </c>
      <c r="AZ198" s="4">
        <v>1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Q198" s="3">
        <f t="shared" ref="BQ198:BQ261" si="8">G198+I198+K198+M198+O198+Q198+S198+U198+W198+Y198+AA198+AC198+AE198+AG198+AI198+AK198+AM198+AO198+AQ198+AS198+AU198+AW198+AY198+BA198+BC198+BE198</f>
        <v>2799.02</v>
      </c>
      <c r="BR198" s="3">
        <f t="shared" si="7"/>
        <v>22</v>
      </c>
    </row>
    <row r="199" spans="1:70" x14ac:dyDescent="0.25">
      <c r="A199" s="4" t="s">
        <v>2323</v>
      </c>
      <c r="B199" t="s">
        <v>48</v>
      </c>
      <c r="C199" s="338" t="s">
        <v>1796</v>
      </c>
      <c r="D199" s="213" t="s">
        <v>887</v>
      </c>
      <c r="E199" s="213" t="s">
        <v>136</v>
      </c>
      <c r="F199" s="213" t="s">
        <v>126</v>
      </c>
      <c r="G199" s="4">
        <v>2573.0700000000002</v>
      </c>
      <c r="H199" s="4">
        <v>18</v>
      </c>
      <c r="I199" s="4">
        <v>3768.05</v>
      </c>
      <c r="J199" s="4">
        <v>18</v>
      </c>
      <c r="K199" s="4">
        <v>4258.0200000000004</v>
      </c>
      <c r="L199" s="4">
        <v>17</v>
      </c>
      <c r="M199" s="4">
        <v>1981.04</v>
      </c>
      <c r="N199" s="4">
        <v>13</v>
      </c>
      <c r="O199" s="4">
        <v>1183.02</v>
      </c>
      <c r="P199" s="4">
        <v>7</v>
      </c>
      <c r="Q199" s="4">
        <v>0</v>
      </c>
      <c r="R199" s="4">
        <v>0</v>
      </c>
      <c r="S199" s="4">
        <v>0</v>
      </c>
      <c r="T199" s="4">
        <v>0</v>
      </c>
      <c r="U199" s="4">
        <v>2412.02</v>
      </c>
      <c r="V199" s="4">
        <v>14</v>
      </c>
      <c r="W199" s="4">
        <v>2073</v>
      </c>
      <c r="X199" s="4">
        <v>15</v>
      </c>
      <c r="Y199" s="4">
        <v>959.99</v>
      </c>
      <c r="Z199" s="4">
        <v>8</v>
      </c>
      <c r="AA199" s="4">
        <v>784.01</v>
      </c>
      <c r="AB199" s="4">
        <v>6</v>
      </c>
      <c r="AC199" s="4">
        <v>300</v>
      </c>
      <c r="AD199" s="4">
        <v>2</v>
      </c>
      <c r="AE199" s="4">
        <v>413</v>
      </c>
      <c r="AF199" s="4">
        <v>4</v>
      </c>
      <c r="AG199" s="4">
        <v>115</v>
      </c>
      <c r="AH199" s="4">
        <v>1</v>
      </c>
      <c r="AI199" s="4">
        <v>0</v>
      </c>
      <c r="AJ199" s="4">
        <v>0</v>
      </c>
      <c r="AK199" s="4">
        <v>1165.01</v>
      </c>
      <c r="AL199" s="4">
        <v>7</v>
      </c>
      <c r="AM199" s="4">
        <v>2087</v>
      </c>
      <c r="AN199" s="4">
        <v>12</v>
      </c>
      <c r="AO199" s="4">
        <v>1315.02</v>
      </c>
      <c r="AP199" s="4">
        <v>8</v>
      </c>
      <c r="AQ199" s="4">
        <v>475</v>
      </c>
      <c r="AR199" s="4">
        <v>3</v>
      </c>
      <c r="AS199" s="4">
        <v>325</v>
      </c>
      <c r="AT199" s="4">
        <v>2</v>
      </c>
      <c r="AU199" s="4">
        <v>3305.08</v>
      </c>
      <c r="AV199" s="4">
        <v>10</v>
      </c>
      <c r="AW199" s="4">
        <v>0</v>
      </c>
      <c r="AX199" s="4">
        <v>0</v>
      </c>
      <c r="AY199" s="4">
        <v>1857.95</v>
      </c>
      <c r="AZ199" s="4">
        <v>12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Q199" s="3">
        <f t="shared" si="8"/>
        <v>31350.280000000002</v>
      </c>
      <c r="BR199" s="3">
        <f t="shared" si="7"/>
        <v>177</v>
      </c>
    </row>
    <row r="200" spans="1:70" x14ac:dyDescent="0.25">
      <c r="A200" s="4" t="s">
        <v>2324</v>
      </c>
      <c r="B200" t="s">
        <v>49</v>
      </c>
      <c r="C200" s="338" t="s">
        <v>1797</v>
      </c>
      <c r="D200" s="213" t="s">
        <v>888</v>
      </c>
      <c r="E200" s="213" t="s">
        <v>158</v>
      </c>
      <c r="F200" s="213" t="s">
        <v>128</v>
      </c>
      <c r="G200" s="4">
        <v>881.04</v>
      </c>
      <c r="H200" s="4">
        <v>6</v>
      </c>
      <c r="I200" s="4">
        <v>0</v>
      </c>
      <c r="J200" s="4">
        <v>0</v>
      </c>
      <c r="K200" s="4">
        <v>2945</v>
      </c>
      <c r="L200" s="4">
        <v>16</v>
      </c>
      <c r="M200" s="4">
        <v>738.01</v>
      </c>
      <c r="N200" s="4">
        <v>5</v>
      </c>
      <c r="O200" s="4">
        <v>150.01</v>
      </c>
      <c r="P200" s="4">
        <v>1</v>
      </c>
      <c r="Q200" s="4">
        <v>1101.02</v>
      </c>
      <c r="R200" s="4">
        <v>7</v>
      </c>
      <c r="S200" s="4">
        <v>375</v>
      </c>
      <c r="T200" s="4">
        <v>3</v>
      </c>
      <c r="U200" s="4">
        <v>172.01</v>
      </c>
      <c r="V200" s="4">
        <v>2</v>
      </c>
      <c r="W200" s="4">
        <v>150.01</v>
      </c>
      <c r="X200" s="4">
        <v>1</v>
      </c>
      <c r="Y200" s="4">
        <v>1020.01</v>
      </c>
      <c r="Z200" s="4">
        <v>9</v>
      </c>
      <c r="AA200" s="4">
        <v>508.01</v>
      </c>
      <c r="AB200" s="4">
        <v>6</v>
      </c>
      <c r="AC200" s="4">
        <v>546</v>
      </c>
      <c r="AD200" s="4">
        <v>6</v>
      </c>
      <c r="AE200" s="4">
        <v>300.01</v>
      </c>
      <c r="AF200" s="4">
        <v>2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488</v>
      </c>
      <c r="AN200" s="4">
        <v>4</v>
      </c>
      <c r="AO200" s="4">
        <v>574</v>
      </c>
      <c r="AP200" s="4">
        <v>4</v>
      </c>
      <c r="AQ200" s="4">
        <v>359.01</v>
      </c>
      <c r="AR200" s="4">
        <v>3</v>
      </c>
      <c r="AS200" s="4">
        <v>830.01</v>
      </c>
      <c r="AT200" s="4">
        <v>7</v>
      </c>
      <c r="AU200" s="4">
        <v>259.01</v>
      </c>
      <c r="AV200" s="4">
        <v>1</v>
      </c>
      <c r="AW200" s="4">
        <v>0</v>
      </c>
      <c r="AX200" s="4">
        <v>0</v>
      </c>
      <c r="AY200" s="4">
        <v>0</v>
      </c>
      <c r="AZ200" s="4">
        <v>0</v>
      </c>
      <c r="BA200" s="4">
        <v>494.97</v>
      </c>
      <c r="BB200" s="4">
        <v>6</v>
      </c>
      <c r="BC200" s="4">
        <v>610.98</v>
      </c>
      <c r="BD200" s="4">
        <v>4</v>
      </c>
      <c r="BE200" s="4">
        <v>1365.12</v>
      </c>
      <c r="BF200" s="4">
        <v>3</v>
      </c>
      <c r="BQ200" s="3">
        <f t="shared" si="8"/>
        <v>13867.23</v>
      </c>
      <c r="BR200" s="3">
        <f t="shared" si="7"/>
        <v>96</v>
      </c>
    </row>
    <row r="201" spans="1:70" x14ac:dyDescent="0.25">
      <c r="A201" s="4" t="s">
        <v>2325</v>
      </c>
      <c r="B201" t="s">
        <v>49</v>
      </c>
      <c r="C201" s="338" t="s">
        <v>1798</v>
      </c>
      <c r="D201" s="213" t="s">
        <v>889</v>
      </c>
      <c r="E201" s="213" t="s">
        <v>158</v>
      </c>
      <c r="F201" s="213" t="s">
        <v>128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299.01</v>
      </c>
      <c r="R201" s="4">
        <v>1</v>
      </c>
      <c r="S201" s="4">
        <v>2173</v>
      </c>
      <c r="T201" s="4">
        <v>18</v>
      </c>
      <c r="U201" s="4">
        <v>0</v>
      </c>
      <c r="V201" s="4">
        <v>0</v>
      </c>
      <c r="W201" s="4">
        <v>2239.0500000000002</v>
      </c>
      <c r="X201" s="4">
        <v>20</v>
      </c>
      <c r="Y201" s="4">
        <v>1269.02</v>
      </c>
      <c r="Z201" s="4">
        <v>12</v>
      </c>
      <c r="AA201" s="4">
        <v>0</v>
      </c>
      <c r="AB201" s="4">
        <v>0</v>
      </c>
      <c r="AC201" s="4">
        <v>1270.99</v>
      </c>
      <c r="AD201" s="4">
        <v>8</v>
      </c>
      <c r="AE201" s="4">
        <v>150</v>
      </c>
      <c r="AF201" s="4">
        <v>1</v>
      </c>
      <c r="AG201" s="4">
        <v>1418.04</v>
      </c>
      <c r="AH201" s="4">
        <v>8</v>
      </c>
      <c r="AI201" s="4">
        <v>894.99</v>
      </c>
      <c r="AJ201" s="4">
        <v>10</v>
      </c>
      <c r="AK201" s="4">
        <v>2284.04</v>
      </c>
      <c r="AL201" s="4">
        <v>21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1163.94</v>
      </c>
      <c r="AZ201" s="4">
        <v>11</v>
      </c>
      <c r="BA201" s="4">
        <v>799.94</v>
      </c>
      <c r="BB201" s="4">
        <v>8</v>
      </c>
      <c r="BC201" s="4">
        <v>0</v>
      </c>
      <c r="BD201" s="4">
        <v>0</v>
      </c>
      <c r="BE201" s="4">
        <v>1816.11</v>
      </c>
      <c r="BF201" s="4">
        <v>10</v>
      </c>
      <c r="BQ201" s="3">
        <f t="shared" si="8"/>
        <v>15778.130000000001</v>
      </c>
      <c r="BR201" s="3">
        <f t="shared" si="7"/>
        <v>128</v>
      </c>
    </row>
    <row r="202" spans="1:70" x14ac:dyDescent="0.25">
      <c r="A202" s="4" t="s">
        <v>2326</v>
      </c>
      <c r="B202" t="s">
        <v>49</v>
      </c>
      <c r="C202" s="338" t="s">
        <v>1799</v>
      </c>
      <c r="D202" s="213" t="s">
        <v>890</v>
      </c>
      <c r="E202" s="213" t="s">
        <v>158</v>
      </c>
      <c r="F202" s="213" t="s">
        <v>128</v>
      </c>
      <c r="G202" s="4">
        <v>3534.08</v>
      </c>
      <c r="H202" s="4">
        <v>36</v>
      </c>
      <c r="I202" s="4">
        <v>5202.1000000000004</v>
      </c>
      <c r="J202" s="4">
        <v>56</v>
      </c>
      <c r="K202" s="4">
        <v>1975.04</v>
      </c>
      <c r="L202" s="4">
        <v>26</v>
      </c>
      <c r="M202" s="4">
        <v>1709.03</v>
      </c>
      <c r="N202" s="4">
        <v>9</v>
      </c>
      <c r="O202" s="4">
        <v>1793.06</v>
      </c>
      <c r="P202" s="4">
        <v>19</v>
      </c>
      <c r="Q202" s="4">
        <v>844.03</v>
      </c>
      <c r="R202" s="4">
        <v>4</v>
      </c>
      <c r="S202" s="4">
        <v>0</v>
      </c>
      <c r="T202" s="4">
        <v>0</v>
      </c>
      <c r="U202" s="4">
        <v>3976.09</v>
      </c>
      <c r="V202" s="4">
        <v>30</v>
      </c>
      <c r="W202" s="4">
        <v>2326.9899999999998</v>
      </c>
      <c r="X202" s="4">
        <v>25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514.01</v>
      </c>
      <c r="AF202" s="4">
        <v>6</v>
      </c>
      <c r="AG202" s="4">
        <v>2466.0700000000002</v>
      </c>
      <c r="AH202" s="4">
        <v>13</v>
      </c>
      <c r="AI202" s="4">
        <v>1500.99</v>
      </c>
      <c r="AJ202" s="4">
        <v>8</v>
      </c>
      <c r="AK202" s="4">
        <v>1437.01</v>
      </c>
      <c r="AL202" s="4">
        <v>12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695.99</v>
      </c>
      <c r="AX202" s="4">
        <v>6</v>
      </c>
      <c r="AY202" s="4">
        <v>1207.94</v>
      </c>
      <c r="AZ202" s="4">
        <v>11</v>
      </c>
      <c r="BA202" s="4">
        <v>867.96</v>
      </c>
      <c r="BB202" s="4">
        <v>7</v>
      </c>
      <c r="BC202" s="4">
        <v>643.95000000000005</v>
      </c>
      <c r="BD202" s="4">
        <v>3</v>
      </c>
      <c r="BE202" s="4">
        <v>233.02</v>
      </c>
      <c r="BF202" s="4">
        <v>2</v>
      </c>
      <c r="BQ202" s="3">
        <f t="shared" si="8"/>
        <v>30927.359999999997</v>
      </c>
      <c r="BR202" s="3">
        <f t="shared" si="7"/>
        <v>273</v>
      </c>
    </row>
    <row r="203" spans="1:70" x14ac:dyDescent="0.25">
      <c r="A203" s="4" t="s">
        <v>2327</v>
      </c>
      <c r="B203" t="s">
        <v>49</v>
      </c>
      <c r="C203" s="338" t="s">
        <v>1800</v>
      </c>
      <c r="D203" s="213" t="s">
        <v>891</v>
      </c>
      <c r="E203" s="213" t="s">
        <v>158</v>
      </c>
      <c r="F203" s="213" t="s">
        <v>128</v>
      </c>
      <c r="G203" s="4">
        <v>3029.08</v>
      </c>
      <c r="H203" s="4">
        <v>30</v>
      </c>
      <c r="I203" s="4">
        <v>3527.09</v>
      </c>
      <c r="J203" s="4">
        <v>31</v>
      </c>
      <c r="K203" s="4">
        <v>743.01</v>
      </c>
      <c r="L203" s="4">
        <v>12</v>
      </c>
      <c r="M203" s="4">
        <v>375.01</v>
      </c>
      <c r="N203" s="4">
        <v>3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1154.03</v>
      </c>
      <c r="AF203" s="4">
        <v>7</v>
      </c>
      <c r="AG203" s="4">
        <v>150</v>
      </c>
      <c r="AH203" s="4">
        <v>1</v>
      </c>
      <c r="AI203" s="4">
        <v>738.99</v>
      </c>
      <c r="AJ203" s="4">
        <v>6</v>
      </c>
      <c r="AK203" s="4">
        <v>1165.02</v>
      </c>
      <c r="AL203" s="4">
        <v>9</v>
      </c>
      <c r="AM203" s="4">
        <v>172</v>
      </c>
      <c r="AN203" s="4">
        <v>3</v>
      </c>
      <c r="AO203" s="4">
        <v>1646.98</v>
      </c>
      <c r="AP203" s="4">
        <v>18</v>
      </c>
      <c r="AQ203" s="4">
        <v>1455.02</v>
      </c>
      <c r="AR203" s="4">
        <v>14</v>
      </c>
      <c r="AS203" s="4">
        <v>0</v>
      </c>
      <c r="AT203" s="4">
        <v>0</v>
      </c>
      <c r="AU203" s="4">
        <v>1687.03</v>
      </c>
      <c r="AV203" s="4">
        <v>13</v>
      </c>
      <c r="AW203" s="4">
        <v>2309.91</v>
      </c>
      <c r="AX203" s="4">
        <v>18</v>
      </c>
      <c r="AY203" s="4">
        <v>1617.9</v>
      </c>
      <c r="AZ203" s="4">
        <v>10</v>
      </c>
      <c r="BA203" s="4">
        <v>611.96</v>
      </c>
      <c r="BB203" s="4">
        <v>4</v>
      </c>
      <c r="BC203" s="4">
        <v>707.94</v>
      </c>
      <c r="BD203" s="4">
        <v>4</v>
      </c>
      <c r="BE203" s="4">
        <v>462.04</v>
      </c>
      <c r="BF203" s="4">
        <v>5</v>
      </c>
      <c r="BQ203" s="3">
        <f t="shared" si="8"/>
        <v>21553.010000000002</v>
      </c>
      <c r="BR203" s="3">
        <f t="shared" si="7"/>
        <v>188</v>
      </c>
    </row>
    <row r="204" spans="1:70" x14ac:dyDescent="0.25">
      <c r="A204" s="4" t="s">
        <v>2328</v>
      </c>
      <c r="B204" t="s">
        <v>49</v>
      </c>
      <c r="C204" s="338" t="s">
        <v>1801</v>
      </c>
      <c r="D204" s="213" t="s">
        <v>892</v>
      </c>
      <c r="E204" s="213" t="s">
        <v>158</v>
      </c>
      <c r="F204" s="213" t="s">
        <v>128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727</v>
      </c>
      <c r="Z204" s="4">
        <v>9</v>
      </c>
      <c r="AA204" s="4">
        <v>1793.01</v>
      </c>
      <c r="AB204" s="4">
        <v>16</v>
      </c>
      <c r="AC204" s="4">
        <v>1898.05</v>
      </c>
      <c r="AD204" s="4">
        <v>11</v>
      </c>
      <c r="AE204" s="4">
        <v>0</v>
      </c>
      <c r="AF204" s="4">
        <v>0</v>
      </c>
      <c r="AG204" s="4">
        <v>150</v>
      </c>
      <c r="AH204" s="4">
        <v>1</v>
      </c>
      <c r="AI204" s="4">
        <v>1152.02</v>
      </c>
      <c r="AJ204" s="4">
        <v>10</v>
      </c>
      <c r="AK204" s="4">
        <v>0</v>
      </c>
      <c r="AL204" s="4">
        <v>0</v>
      </c>
      <c r="AM204" s="4">
        <v>2070.0100000000002</v>
      </c>
      <c r="AN204" s="4">
        <v>17</v>
      </c>
      <c r="AO204" s="4">
        <v>0</v>
      </c>
      <c r="AP204" s="4">
        <v>0</v>
      </c>
      <c r="AQ204" s="4">
        <v>0</v>
      </c>
      <c r="AR204" s="4">
        <v>0</v>
      </c>
      <c r="AS204" s="4">
        <v>1729</v>
      </c>
      <c r="AT204" s="4">
        <v>15</v>
      </c>
      <c r="AU204" s="4">
        <v>1468.01</v>
      </c>
      <c r="AV204" s="4">
        <v>14</v>
      </c>
      <c r="AW204" s="4">
        <v>1340.95</v>
      </c>
      <c r="AX204" s="4">
        <v>9</v>
      </c>
      <c r="AY204" s="4">
        <v>864.98</v>
      </c>
      <c r="AZ204" s="4">
        <v>5</v>
      </c>
      <c r="BA204" s="4">
        <v>496.96</v>
      </c>
      <c r="BB204" s="4">
        <v>3</v>
      </c>
      <c r="BC204" s="4">
        <v>700.98</v>
      </c>
      <c r="BD204" s="4">
        <v>5</v>
      </c>
      <c r="BE204" s="4">
        <v>0</v>
      </c>
      <c r="BF204" s="4">
        <v>0</v>
      </c>
      <c r="BQ204" s="3">
        <f t="shared" si="8"/>
        <v>14390.97</v>
      </c>
      <c r="BR204" s="3">
        <f t="shared" si="7"/>
        <v>115</v>
      </c>
    </row>
    <row r="205" spans="1:70" x14ac:dyDescent="0.25">
      <c r="A205" s="4" t="s">
        <v>2329</v>
      </c>
      <c r="B205" t="s">
        <v>50</v>
      </c>
      <c r="C205" s="338" t="s">
        <v>1802</v>
      </c>
      <c r="D205" s="213" t="s">
        <v>893</v>
      </c>
      <c r="E205" s="213" t="s">
        <v>143</v>
      </c>
      <c r="F205" s="213" t="s">
        <v>133</v>
      </c>
      <c r="G205" s="4">
        <v>1461.03</v>
      </c>
      <c r="H205" s="4">
        <v>8</v>
      </c>
      <c r="I205" s="4">
        <v>0</v>
      </c>
      <c r="J205" s="4">
        <v>0</v>
      </c>
      <c r="K205" s="4">
        <v>806.01</v>
      </c>
      <c r="L205" s="4">
        <v>4</v>
      </c>
      <c r="M205" s="4">
        <v>1362.02</v>
      </c>
      <c r="N205" s="4">
        <v>4</v>
      </c>
      <c r="O205" s="4">
        <v>0</v>
      </c>
      <c r="P205" s="4">
        <v>0</v>
      </c>
      <c r="Q205" s="4">
        <v>2018.03</v>
      </c>
      <c r="R205" s="4">
        <v>12</v>
      </c>
      <c r="S205" s="4">
        <v>1503.01</v>
      </c>
      <c r="T205" s="4">
        <v>5</v>
      </c>
      <c r="U205" s="4">
        <v>1884.04</v>
      </c>
      <c r="V205" s="4">
        <v>9</v>
      </c>
      <c r="W205" s="4">
        <v>2247.04</v>
      </c>
      <c r="X205" s="4">
        <v>16</v>
      </c>
      <c r="Y205" s="4">
        <v>640</v>
      </c>
      <c r="Z205" s="4">
        <v>3</v>
      </c>
      <c r="AA205" s="4">
        <v>600.01</v>
      </c>
      <c r="AB205" s="4">
        <v>3</v>
      </c>
      <c r="AC205" s="4">
        <v>0</v>
      </c>
      <c r="AD205" s="4">
        <v>0</v>
      </c>
      <c r="AE205" s="4">
        <v>1130</v>
      </c>
      <c r="AF205" s="4">
        <v>2</v>
      </c>
      <c r="AG205" s="4">
        <v>2431.0300000000002</v>
      </c>
      <c r="AH205" s="4">
        <v>12</v>
      </c>
      <c r="AI205" s="4">
        <v>633.01</v>
      </c>
      <c r="AJ205" s="4">
        <v>6</v>
      </c>
      <c r="AK205" s="4">
        <v>230</v>
      </c>
      <c r="AL205" s="4">
        <v>1</v>
      </c>
      <c r="AM205" s="4">
        <v>1374</v>
      </c>
      <c r="AN205" s="4">
        <v>8</v>
      </c>
      <c r="AO205" s="4">
        <v>1444.03</v>
      </c>
      <c r="AP205" s="4">
        <v>8</v>
      </c>
      <c r="AQ205" s="4">
        <v>1785.06</v>
      </c>
      <c r="AR205" s="4">
        <v>9</v>
      </c>
      <c r="AS205" s="4">
        <v>0</v>
      </c>
      <c r="AT205" s="4">
        <v>0</v>
      </c>
      <c r="AU205" s="4">
        <v>1224.04</v>
      </c>
      <c r="AV205" s="4">
        <v>8</v>
      </c>
      <c r="AW205" s="4">
        <v>2267.9699999999998</v>
      </c>
      <c r="AX205" s="4">
        <v>12</v>
      </c>
      <c r="AY205" s="4">
        <v>451</v>
      </c>
      <c r="AZ205" s="4">
        <v>3</v>
      </c>
      <c r="BA205" s="4">
        <v>799</v>
      </c>
      <c r="BB205" s="4">
        <v>6</v>
      </c>
      <c r="BC205" s="4">
        <v>556.96</v>
      </c>
      <c r="BD205" s="4">
        <v>3</v>
      </c>
      <c r="BE205" s="4">
        <v>0</v>
      </c>
      <c r="BF205" s="4">
        <v>0</v>
      </c>
      <c r="BQ205" s="3">
        <f t="shared" si="8"/>
        <v>26847.29</v>
      </c>
      <c r="BR205" s="3">
        <f t="shared" si="7"/>
        <v>142</v>
      </c>
    </row>
    <row r="206" spans="1:70" x14ac:dyDescent="0.25">
      <c r="A206" s="4" t="s">
        <v>2330</v>
      </c>
      <c r="B206" t="s">
        <v>50</v>
      </c>
      <c r="C206" s="338" t="s">
        <v>1803</v>
      </c>
      <c r="D206" s="213" t="s">
        <v>894</v>
      </c>
      <c r="E206" s="213" t="s">
        <v>143</v>
      </c>
      <c r="F206" s="213" t="s">
        <v>133</v>
      </c>
      <c r="G206" s="4">
        <v>3305.13</v>
      </c>
      <c r="H206" s="4">
        <v>14</v>
      </c>
      <c r="I206" s="4">
        <v>4377.18</v>
      </c>
      <c r="J206" s="4">
        <v>21</v>
      </c>
      <c r="K206" s="4">
        <v>0</v>
      </c>
      <c r="L206" s="4">
        <v>0</v>
      </c>
      <c r="M206" s="4">
        <v>3168.02</v>
      </c>
      <c r="N206" s="4">
        <v>17</v>
      </c>
      <c r="O206" s="4">
        <v>998.04</v>
      </c>
      <c r="P206" s="4">
        <v>6</v>
      </c>
      <c r="Q206" s="4">
        <v>1876.04</v>
      </c>
      <c r="R206" s="4">
        <v>10</v>
      </c>
      <c r="S206" s="4">
        <v>3742.06</v>
      </c>
      <c r="T206" s="4">
        <v>21</v>
      </c>
      <c r="U206" s="4">
        <v>825.02</v>
      </c>
      <c r="V206" s="4">
        <v>5</v>
      </c>
      <c r="W206" s="4">
        <v>0</v>
      </c>
      <c r="X206" s="4">
        <v>0</v>
      </c>
      <c r="Y206" s="4">
        <v>0</v>
      </c>
      <c r="Z206" s="4">
        <v>0</v>
      </c>
      <c r="AA206" s="4">
        <v>1796.04</v>
      </c>
      <c r="AB206" s="4">
        <v>8</v>
      </c>
      <c r="AC206" s="4">
        <v>879.02</v>
      </c>
      <c r="AD206" s="4">
        <v>4</v>
      </c>
      <c r="AE206" s="4">
        <v>765.01</v>
      </c>
      <c r="AF206" s="4">
        <v>5</v>
      </c>
      <c r="AG206" s="4">
        <v>1199.03</v>
      </c>
      <c r="AH206" s="4">
        <v>7</v>
      </c>
      <c r="AI206" s="4">
        <v>450</v>
      </c>
      <c r="AJ206" s="4">
        <v>3</v>
      </c>
      <c r="AK206" s="4">
        <v>0</v>
      </c>
      <c r="AL206" s="4">
        <v>0</v>
      </c>
      <c r="AM206" s="4">
        <v>0</v>
      </c>
      <c r="AN206" s="4">
        <v>0</v>
      </c>
      <c r="AO206" s="4">
        <v>522</v>
      </c>
      <c r="AP206" s="4">
        <v>3</v>
      </c>
      <c r="AQ206" s="4">
        <v>0</v>
      </c>
      <c r="AR206" s="4">
        <v>0</v>
      </c>
      <c r="AS206" s="4">
        <v>1423</v>
      </c>
      <c r="AT206" s="4">
        <v>8</v>
      </c>
      <c r="AU206" s="4">
        <v>2421.08</v>
      </c>
      <c r="AV206" s="4">
        <v>12</v>
      </c>
      <c r="AW206" s="4">
        <v>743.95</v>
      </c>
      <c r="AX206" s="4">
        <v>3</v>
      </c>
      <c r="AY206" s="4">
        <v>863.92</v>
      </c>
      <c r="AZ206" s="4">
        <v>3</v>
      </c>
      <c r="BA206" s="4">
        <v>1322.96</v>
      </c>
      <c r="BB206" s="4">
        <v>4</v>
      </c>
      <c r="BC206" s="4">
        <v>1288.9000000000001</v>
      </c>
      <c r="BD206" s="4">
        <v>7</v>
      </c>
      <c r="BE206" s="4">
        <v>2208.16</v>
      </c>
      <c r="BF206" s="4">
        <v>8</v>
      </c>
      <c r="BQ206" s="3">
        <f t="shared" si="8"/>
        <v>34174.559999999998</v>
      </c>
      <c r="BR206" s="3">
        <f t="shared" si="7"/>
        <v>169</v>
      </c>
    </row>
    <row r="207" spans="1:70" x14ac:dyDescent="0.25">
      <c r="A207" s="4" t="s">
        <v>2331</v>
      </c>
      <c r="B207" t="s">
        <v>50</v>
      </c>
      <c r="C207" s="338" t="s">
        <v>1804</v>
      </c>
      <c r="D207" s="213" t="s">
        <v>895</v>
      </c>
      <c r="E207" s="213" t="s">
        <v>143</v>
      </c>
      <c r="F207" s="213" t="s">
        <v>133</v>
      </c>
      <c r="G207" s="4">
        <v>319.99</v>
      </c>
      <c r="H207" s="4">
        <v>1</v>
      </c>
      <c r="I207" s="4">
        <v>3207.04</v>
      </c>
      <c r="J207" s="4">
        <v>16</v>
      </c>
      <c r="K207" s="4">
        <v>1888.05</v>
      </c>
      <c r="L207" s="4">
        <v>8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279.01</v>
      </c>
      <c r="AB207" s="4">
        <v>1</v>
      </c>
      <c r="AC207" s="4">
        <v>998.02</v>
      </c>
      <c r="AD207" s="4">
        <v>6</v>
      </c>
      <c r="AE207" s="4">
        <v>1206.01</v>
      </c>
      <c r="AF207" s="4">
        <v>11</v>
      </c>
      <c r="AG207" s="4">
        <v>1229.99</v>
      </c>
      <c r="AH207" s="4">
        <v>8</v>
      </c>
      <c r="AI207" s="4">
        <v>937</v>
      </c>
      <c r="AJ207" s="4">
        <v>7</v>
      </c>
      <c r="AK207" s="4">
        <v>1510</v>
      </c>
      <c r="AL207" s="4">
        <v>7</v>
      </c>
      <c r="AM207" s="4">
        <v>71</v>
      </c>
      <c r="AN207" s="4">
        <v>1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285.98</v>
      </c>
      <c r="AX207" s="4">
        <v>1</v>
      </c>
      <c r="AY207" s="4">
        <v>1529.9</v>
      </c>
      <c r="AZ207" s="4">
        <v>6</v>
      </c>
      <c r="BA207" s="4">
        <v>1101.94</v>
      </c>
      <c r="BB207" s="4">
        <v>5</v>
      </c>
      <c r="BC207" s="4">
        <v>0</v>
      </c>
      <c r="BD207" s="4">
        <v>0</v>
      </c>
      <c r="BE207" s="4">
        <v>1684.11</v>
      </c>
      <c r="BF207" s="4">
        <v>6</v>
      </c>
      <c r="BQ207" s="3">
        <f t="shared" si="8"/>
        <v>16248.04</v>
      </c>
      <c r="BR207" s="3">
        <f t="shared" si="7"/>
        <v>84</v>
      </c>
    </row>
    <row r="208" spans="1:70" x14ac:dyDescent="0.25">
      <c r="A208" s="4" t="s">
        <v>2332</v>
      </c>
      <c r="B208" t="s">
        <v>50</v>
      </c>
      <c r="C208" s="338" t="s">
        <v>1805</v>
      </c>
      <c r="D208" s="213" t="s">
        <v>896</v>
      </c>
      <c r="E208" s="213" t="s">
        <v>143</v>
      </c>
      <c r="F208" s="213" t="s">
        <v>133</v>
      </c>
      <c r="G208" s="4">
        <v>2092.06</v>
      </c>
      <c r="H208" s="4">
        <v>13</v>
      </c>
      <c r="I208" s="4">
        <v>0</v>
      </c>
      <c r="J208" s="4">
        <v>0</v>
      </c>
      <c r="K208" s="4">
        <v>335.99</v>
      </c>
      <c r="L208" s="4">
        <v>2</v>
      </c>
      <c r="M208" s="4">
        <v>2083.0300000000002</v>
      </c>
      <c r="N208" s="4">
        <v>11</v>
      </c>
      <c r="O208" s="4">
        <v>1440.03</v>
      </c>
      <c r="P208" s="4">
        <v>7</v>
      </c>
      <c r="Q208" s="4">
        <v>1893.06</v>
      </c>
      <c r="R208" s="4">
        <v>11</v>
      </c>
      <c r="S208" s="4">
        <v>0</v>
      </c>
      <c r="T208" s="4">
        <v>0</v>
      </c>
      <c r="U208" s="4">
        <v>2075.9899999999998</v>
      </c>
      <c r="V208" s="4">
        <v>11</v>
      </c>
      <c r="W208" s="4">
        <v>1879.01</v>
      </c>
      <c r="X208" s="4">
        <v>11</v>
      </c>
      <c r="Y208" s="4">
        <v>3688.04</v>
      </c>
      <c r="Z208" s="4">
        <v>17</v>
      </c>
      <c r="AA208" s="4">
        <v>799</v>
      </c>
      <c r="AB208" s="4">
        <v>4</v>
      </c>
      <c r="AC208" s="4">
        <v>914.01</v>
      </c>
      <c r="AD208" s="4">
        <v>6</v>
      </c>
      <c r="AE208" s="4">
        <v>1698.01</v>
      </c>
      <c r="AF208" s="4">
        <v>12</v>
      </c>
      <c r="AG208" s="4">
        <v>0</v>
      </c>
      <c r="AH208" s="4">
        <v>0</v>
      </c>
      <c r="AI208" s="4">
        <v>1316</v>
      </c>
      <c r="AJ208" s="4">
        <v>9</v>
      </c>
      <c r="AK208" s="4">
        <v>885.02</v>
      </c>
      <c r="AL208" s="4">
        <v>7</v>
      </c>
      <c r="AM208" s="4">
        <v>1487.03</v>
      </c>
      <c r="AN208" s="4">
        <v>9</v>
      </c>
      <c r="AO208" s="4">
        <v>2850.01</v>
      </c>
      <c r="AP208" s="4">
        <v>6</v>
      </c>
      <c r="AQ208" s="4">
        <v>993</v>
      </c>
      <c r="AR208" s="4">
        <v>6</v>
      </c>
      <c r="AS208" s="4">
        <v>750</v>
      </c>
      <c r="AT208" s="4">
        <v>3</v>
      </c>
      <c r="AU208" s="4">
        <v>1843</v>
      </c>
      <c r="AV208" s="4">
        <v>7</v>
      </c>
      <c r="AW208" s="4">
        <v>646.97</v>
      </c>
      <c r="AX208" s="4">
        <v>3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Q208" s="3">
        <f t="shared" si="8"/>
        <v>29669.259999999995</v>
      </c>
      <c r="BR208" s="3">
        <f t="shared" si="7"/>
        <v>155</v>
      </c>
    </row>
    <row r="209" spans="1:70" x14ac:dyDescent="0.25">
      <c r="A209" s="4" t="s">
        <v>2333</v>
      </c>
      <c r="B209" t="s">
        <v>50</v>
      </c>
      <c r="C209" s="338" t="s">
        <v>1806</v>
      </c>
      <c r="D209" s="213" t="s">
        <v>897</v>
      </c>
      <c r="E209" s="213" t="s">
        <v>143</v>
      </c>
      <c r="F209" s="213" t="s">
        <v>133</v>
      </c>
      <c r="G209" s="4">
        <v>3224.12</v>
      </c>
      <c r="H209" s="4">
        <v>17</v>
      </c>
      <c r="I209" s="4">
        <v>2517.06</v>
      </c>
      <c r="J209" s="4">
        <v>15</v>
      </c>
      <c r="K209" s="4">
        <v>2305.06</v>
      </c>
      <c r="L209" s="4">
        <v>13</v>
      </c>
      <c r="M209" s="4">
        <v>796</v>
      </c>
      <c r="N209" s="4">
        <v>4</v>
      </c>
      <c r="O209" s="4">
        <v>2226.0500000000002</v>
      </c>
      <c r="P209" s="4">
        <v>12</v>
      </c>
      <c r="Q209" s="4">
        <v>0</v>
      </c>
      <c r="R209" s="4">
        <v>0</v>
      </c>
      <c r="S209" s="4">
        <v>3135.05</v>
      </c>
      <c r="T209" s="4">
        <v>16</v>
      </c>
      <c r="U209" s="4">
        <v>1179.02</v>
      </c>
      <c r="V209" s="4">
        <v>6</v>
      </c>
      <c r="W209" s="4">
        <v>1762.99</v>
      </c>
      <c r="X209" s="4">
        <v>9</v>
      </c>
      <c r="Y209" s="4">
        <v>0</v>
      </c>
      <c r="Z209" s="4">
        <v>0</v>
      </c>
      <c r="AA209" s="4">
        <v>1268.02</v>
      </c>
      <c r="AB209" s="4">
        <v>6</v>
      </c>
      <c r="AC209" s="4">
        <v>879.01</v>
      </c>
      <c r="AD209" s="4">
        <v>6</v>
      </c>
      <c r="AE209" s="4">
        <v>0</v>
      </c>
      <c r="AF209" s="4">
        <v>0</v>
      </c>
      <c r="AG209" s="4">
        <v>825.05</v>
      </c>
      <c r="AH209" s="4">
        <v>6</v>
      </c>
      <c r="AI209" s="4">
        <v>804.01</v>
      </c>
      <c r="AJ209" s="4">
        <v>6</v>
      </c>
      <c r="AK209" s="4">
        <v>809.01</v>
      </c>
      <c r="AL209" s="4">
        <v>4</v>
      </c>
      <c r="AM209" s="4">
        <v>1169.01</v>
      </c>
      <c r="AN209" s="4">
        <v>7</v>
      </c>
      <c r="AO209" s="4">
        <v>998.01</v>
      </c>
      <c r="AP209" s="4">
        <v>6</v>
      </c>
      <c r="AQ209" s="4">
        <v>2570.04</v>
      </c>
      <c r="AR209" s="4">
        <v>16</v>
      </c>
      <c r="AS209" s="4">
        <v>872.01</v>
      </c>
      <c r="AT209" s="4">
        <v>5</v>
      </c>
      <c r="AU209" s="4">
        <v>0</v>
      </c>
      <c r="AV209" s="4">
        <v>0</v>
      </c>
      <c r="AW209" s="4">
        <v>1588.89</v>
      </c>
      <c r="AX209" s="4">
        <v>7</v>
      </c>
      <c r="AY209" s="4">
        <v>632.94000000000005</v>
      </c>
      <c r="AZ209" s="4">
        <v>3</v>
      </c>
      <c r="BA209" s="4">
        <v>280.97000000000003</v>
      </c>
      <c r="BB209" s="4">
        <v>2</v>
      </c>
      <c r="BC209" s="4">
        <v>1654.91</v>
      </c>
      <c r="BD209" s="4">
        <v>9</v>
      </c>
      <c r="BE209" s="4">
        <v>1173.04</v>
      </c>
      <c r="BF209" s="4">
        <v>4</v>
      </c>
      <c r="BQ209" s="3">
        <f t="shared" si="8"/>
        <v>32670.269999999993</v>
      </c>
      <c r="BR209" s="3">
        <f t="shared" si="7"/>
        <v>179</v>
      </c>
    </row>
    <row r="210" spans="1:70" x14ac:dyDescent="0.25">
      <c r="A210" s="4" t="s">
        <v>2334</v>
      </c>
      <c r="B210" t="s">
        <v>51</v>
      </c>
      <c r="C210" s="338" t="s">
        <v>1807</v>
      </c>
      <c r="D210" s="213" t="s">
        <v>898</v>
      </c>
      <c r="E210" s="213" t="s">
        <v>159</v>
      </c>
      <c r="F210" s="213" t="s">
        <v>133</v>
      </c>
      <c r="G210" s="4">
        <v>0</v>
      </c>
      <c r="H210" s="4">
        <v>0</v>
      </c>
      <c r="I210" s="4">
        <v>1129.01</v>
      </c>
      <c r="J210" s="4">
        <v>8</v>
      </c>
      <c r="K210" s="4">
        <v>571.02</v>
      </c>
      <c r="L210" s="4">
        <v>4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869.98</v>
      </c>
      <c r="T210" s="4">
        <v>4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109</v>
      </c>
      <c r="AN210" s="4">
        <v>1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Q210" s="3">
        <f t="shared" si="8"/>
        <v>2679.01</v>
      </c>
      <c r="BR210" s="3">
        <f t="shared" si="7"/>
        <v>17</v>
      </c>
    </row>
    <row r="211" spans="1:70" x14ac:dyDescent="0.25">
      <c r="A211" s="4" t="s">
        <v>2335</v>
      </c>
      <c r="B211" t="s">
        <v>51</v>
      </c>
      <c r="C211" s="338" t="s">
        <v>1808</v>
      </c>
      <c r="D211" s="213" t="s">
        <v>899</v>
      </c>
      <c r="E211" s="213" t="s">
        <v>159</v>
      </c>
      <c r="F211" s="213" t="s">
        <v>133</v>
      </c>
      <c r="G211" s="4">
        <v>2433.02</v>
      </c>
      <c r="H211" s="4">
        <v>16</v>
      </c>
      <c r="I211" s="4">
        <v>1270.01</v>
      </c>
      <c r="J211" s="4">
        <v>8</v>
      </c>
      <c r="K211" s="4">
        <v>346.01</v>
      </c>
      <c r="L211" s="4">
        <v>4</v>
      </c>
      <c r="M211" s="4">
        <v>2076.09</v>
      </c>
      <c r="N211" s="4">
        <v>11</v>
      </c>
      <c r="O211" s="4">
        <v>0</v>
      </c>
      <c r="P211" s="4">
        <v>0</v>
      </c>
      <c r="Q211" s="4">
        <v>450</v>
      </c>
      <c r="R211" s="4">
        <v>3</v>
      </c>
      <c r="S211" s="4">
        <v>229.02</v>
      </c>
      <c r="T211" s="4">
        <v>2</v>
      </c>
      <c r="U211" s="4">
        <v>475.01</v>
      </c>
      <c r="V211" s="4">
        <v>2</v>
      </c>
      <c r="W211" s="4">
        <v>1440.02</v>
      </c>
      <c r="X211" s="4">
        <v>8</v>
      </c>
      <c r="Y211" s="4">
        <v>0</v>
      </c>
      <c r="Z211" s="4">
        <v>0</v>
      </c>
      <c r="AA211" s="4">
        <v>778.02</v>
      </c>
      <c r="AB211" s="4">
        <v>6</v>
      </c>
      <c r="AC211" s="4">
        <v>949.01</v>
      </c>
      <c r="AD211" s="4">
        <v>5</v>
      </c>
      <c r="AE211" s="4">
        <v>150.01</v>
      </c>
      <c r="AF211" s="4">
        <v>1</v>
      </c>
      <c r="AG211" s="4">
        <v>574.01</v>
      </c>
      <c r="AH211" s="4">
        <v>3</v>
      </c>
      <c r="AI211" s="4">
        <v>390.01</v>
      </c>
      <c r="AJ211" s="4">
        <v>3</v>
      </c>
      <c r="AK211" s="4">
        <v>1692.01</v>
      </c>
      <c r="AL211" s="4">
        <v>7</v>
      </c>
      <c r="AM211" s="4">
        <v>150</v>
      </c>
      <c r="AN211" s="4">
        <v>1</v>
      </c>
      <c r="AO211" s="4">
        <v>849</v>
      </c>
      <c r="AP211" s="4">
        <v>6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1129.07</v>
      </c>
      <c r="BF211" s="4">
        <v>5</v>
      </c>
      <c r="BQ211" s="3">
        <f t="shared" si="8"/>
        <v>15380.320000000002</v>
      </c>
      <c r="BR211" s="3">
        <f t="shared" si="7"/>
        <v>91</v>
      </c>
    </row>
    <row r="212" spans="1:70" x14ac:dyDescent="0.25">
      <c r="A212" s="4" t="s">
        <v>2336</v>
      </c>
      <c r="B212" t="s">
        <v>51</v>
      </c>
      <c r="C212" s="338" t="s">
        <v>1779</v>
      </c>
      <c r="D212" s="213" t="s">
        <v>870</v>
      </c>
      <c r="E212" s="213" t="s">
        <v>159</v>
      </c>
      <c r="F212" s="213" t="s">
        <v>133</v>
      </c>
      <c r="G212" s="4">
        <v>1122.03</v>
      </c>
      <c r="H212" s="4">
        <v>10</v>
      </c>
      <c r="I212" s="4">
        <v>2373.02</v>
      </c>
      <c r="J212" s="4">
        <v>17</v>
      </c>
      <c r="K212" s="4">
        <v>690.02</v>
      </c>
      <c r="L212" s="4">
        <v>5</v>
      </c>
      <c r="M212" s="4">
        <v>0</v>
      </c>
      <c r="N212" s="4">
        <v>0</v>
      </c>
      <c r="O212" s="4">
        <v>700.01</v>
      </c>
      <c r="P212" s="4">
        <v>4</v>
      </c>
      <c r="Q212" s="4">
        <v>75</v>
      </c>
      <c r="R212" s="4">
        <v>1</v>
      </c>
      <c r="S212" s="4">
        <v>600</v>
      </c>
      <c r="T212" s="4">
        <v>5</v>
      </c>
      <c r="U212" s="4">
        <v>600.02</v>
      </c>
      <c r="V212" s="4">
        <v>4</v>
      </c>
      <c r="W212" s="4">
        <v>2400.06</v>
      </c>
      <c r="X212" s="4">
        <v>8</v>
      </c>
      <c r="Y212" s="4">
        <v>709.03</v>
      </c>
      <c r="Z212" s="4">
        <v>6</v>
      </c>
      <c r="AA212" s="4">
        <v>0</v>
      </c>
      <c r="AB212" s="4">
        <v>0</v>
      </c>
      <c r="AC212" s="4">
        <v>225</v>
      </c>
      <c r="AD212" s="4">
        <v>2</v>
      </c>
      <c r="AE212" s="4">
        <v>262.01</v>
      </c>
      <c r="AF212" s="4">
        <v>3</v>
      </c>
      <c r="AG212" s="4">
        <v>853.04</v>
      </c>
      <c r="AH212" s="4">
        <v>7</v>
      </c>
      <c r="AI212" s="4">
        <v>0</v>
      </c>
      <c r="AJ212" s="4">
        <v>0</v>
      </c>
      <c r="AK212" s="4">
        <v>565.01</v>
      </c>
      <c r="AL212" s="4">
        <v>5</v>
      </c>
      <c r="AM212" s="4">
        <v>1063.03</v>
      </c>
      <c r="AN212" s="4">
        <v>7</v>
      </c>
      <c r="AO212" s="4">
        <v>0</v>
      </c>
      <c r="AP212" s="4">
        <v>0</v>
      </c>
      <c r="AQ212" s="4">
        <v>824.03</v>
      </c>
      <c r="AR212" s="4">
        <v>5</v>
      </c>
      <c r="AS212" s="4">
        <v>520.01</v>
      </c>
      <c r="AT212" s="4">
        <v>4</v>
      </c>
      <c r="AU212" s="4">
        <v>649.99</v>
      </c>
      <c r="AV212" s="4">
        <v>4</v>
      </c>
      <c r="AW212" s="4">
        <v>707.94</v>
      </c>
      <c r="AX212" s="4">
        <v>4</v>
      </c>
      <c r="AY212" s="4">
        <v>1141.98</v>
      </c>
      <c r="AZ212" s="4">
        <v>10</v>
      </c>
      <c r="BA212" s="4">
        <v>360.98</v>
      </c>
      <c r="BB212" s="4">
        <v>3</v>
      </c>
      <c r="BC212" s="4">
        <v>0</v>
      </c>
      <c r="BD212" s="4">
        <v>0</v>
      </c>
      <c r="BE212" s="4">
        <v>379.01</v>
      </c>
      <c r="BF212" s="4">
        <v>1</v>
      </c>
      <c r="BQ212" s="3">
        <f t="shared" si="8"/>
        <v>16821.22</v>
      </c>
      <c r="BR212" s="3">
        <f t="shared" si="7"/>
        <v>115</v>
      </c>
    </row>
    <row r="213" spans="1:70" x14ac:dyDescent="0.25">
      <c r="A213" s="4" t="s">
        <v>2337</v>
      </c>
      <c r="B213" t="s">
        <v>51</v>
      </c>
      <c r="C213" s="338" t="s">
        <v>1809</v>
      </c>
      <c r="D213" s="213" t="s">
        <v>900</v>
      </c>
      <c r="E213" s="213" t="s">
        <v>159</v>
      </c>
      <c r="F213" s="213" t="s">
        <v>133</v>
      </c>
      <c r="G213" s="4">
        <v>0</v>
      </c>
      <c r="H213" s="4">
        <v>0</v>
      </c>
      <c r="I213" s="4">
        <v>0</v>
      </c>
      <c r="J213" s="4">
        <v>0</v>
      </c>
      <c r="K213" s="4">
        <v>724.03</v>
      </c>
      <c r="L213" s="4">
        <v>4</v>
      </c>
      <c r="M213" s="4">
        <v>299.99</v>
      </c>
      <c r="N213" s="4">
        <v>1</v>
      </c>
      <c r="O213" s="4">
        <v>724.01</v>
      </c>
      <c r="P213" s="4">
        <v>4</v>
      </c>
      <c r="Q213" s="4">
        <v>825.01</v>
      </c>
      <c r="R213" s="4">
        <v>6</v>
      </c>
      <c r="S213" s="4">
        <v>0</v>
      </c>
      <c r="T213" s="4">
        <v>0</v>
      </c>
      <c r="U213" s="4">
        <v>150</v>
      </c>
      <c r="V213" s="4">
        <v>1</v>
      </c>
      <c r="W213" s="4">
        <v>2209.04</v>
      </c>
      <c r="X213" s="4">
        <v>12</v>
      </c>
      <c r="Y213" s="4">
        <v>775.99</v>
      </c>
      <c r="Z213" s="4">
        <v>5</v>
      </c>
      <c r="AA213" s="4">
        <v>1200.02</v>
      </c>
      <c r="AB213" s="4">
        <v>5</v>
      </c>
      <c r="AC213" s="4">
        <v>300.01</v>
      </c>
      <c r="AD213" s="4">
        <v>2</v>
      </c>
      <c r="AE213" s="4">
        <v>450.01</v>
      </c>
      <c r="AF213" s="4">
        <v>3</v>
      </c>
      <c r="AG213" s="4">
        <v>678.01</v>
      </c>
      <c r="AH213" s="4">
        <v>4</v>
      </c>
      <c r="AI213" s="4">
        <v>1638.05</v>
      </c>
      <c r="AJ213" s="4">
        <v>11</v>
      </c>
      <c r="AK213" s="4">
        <v>922.02</v>
      </c>
      <c r="AL213" s="4">
        <v>6</v>
      </c>
      <c r="AM213" s="4">
        <v>754.03</v>
      </c>
      <c r="AN213" s="4">
        <v>6</v>
      </c>
      <c r="AO213" s="4">
        <v>322.01</v>
      </c>
      <c r="AP213" s="4">
        <v>2</v>
      </c>
      <c r="AQ213" s="4">
        <v>600.01</v>
      </c>
      <c r="AR213" s="4">
        <v>4</v>
      </c>
      <c r="AS213" s="4">
        <v>375</v>
      </c>
      <c r="AT213" s="4">
        <v>3</v>
      </c>
      <c r="AU213" s="4">
        <v>750.01</v>
      </c>
      <c r="AV213" s="4">
        <v>5</v>
      </c>
      <c r="AW213" s="4">
        <v>1129.9000000000001</v>
      </c>
      <c r="AX213" s="4">
        <v>6</v>
      </c>
      <c r="AY213" s="4">
        <v>496.96</v>
      </c>
      <c r="AZ213" s="4">
        <v>3</v>
      </c>
      <c r="BA213" s="4">
        <v>360.98</v>
      </c>
      <c r="BB213" s="4">
        <v>2</v>
      </c>
      <c r="BC213" s="4">
        <v>1415.88</v>
      </c>
      <c r="BD213" s="4">
        <v>7</v>
      </c>
      <c r="BE213" s="4">
        <v>211.02</v>
      </c>
      <c r="BF213" s="4">
        <v>1</v>
      </c>
      <c r="BQ213" s="3">
        <f t="shared" si="8"/>
        <v>17311.990000000002</v>
      </c>
      <c r="BR213" s="3">
        <f t="shared" si="7"/>
        <v>103</v>
      </c>
    </row>
    <row r="214" spans="1:70" x14ac:dyDescent="0.25">
      <c r="A214" s="4" t="s">
        <v>2338</v>
      </c>
      <c r="B214" t="s">
        <v>51</v>
      </c>
      <c r="C214" s="338" t="s">
        <v>1810</v>
      </c>
      <c r="D214" s="213" t="s">
        <v>901</v>
      </c>
      <c r="E214" s="213" t="s">
        <v>159</v>
      </c>
      <c r="F214" s="213" t="s">
        <v>133</v>
      </c>
      <c r="G214" s="4">
        <v>0</v>
      </c>
      <c r="H214" s="4">
        <v>0</v>
      </c>
      <c r="I214" s="4">
        <v>0</v>
      </c>
      <c r="J214" s="4">
        <v>0</v>
      </c>
      <c r="K214" s="4">
        <v>150</v>
      </c>
      <c r="L214" s="4">
        <v>1</v>
      </c>
      <c r="M214" s="4">
        <v>1140.03</v>
      </c>
      <c r="N214" s="4">
        <v>8</v>
      </c>
      <c r="O214" s="4">
        <v>1049.99</v>
      </c>
      <c r="P214" s="4">
        <v>6</v>
      </c>
      <c r="Q214" s="4">
        <v>0</v>
      </c>
      <c r="R214" s="4">
        <v>0</v>
      </c>
      <c r="S214" s="4">
        <v>414.99</v>
      </c>
      <c r="T214" s="4">
        <v>3</v>
      </c>
      <c r="U214" s="4">
        <v>450.01</v>
      </c>
      <c r="V214" s="4">
        <v>3</v>
      </c>
      <c r="W214" s="4">
        <v>375</v>
      </c>
      <c r="X214" s="4">
        <v>3</v>
      </c>
      <c r="Y214" s="4">
        <v>300</v>
      </c>
      <c r="Z214" s="4">
        <v>3</v>
      </c>
      <c r="AA214" s="4">
        <v>589</v>
      </c>
      <c r="AB214" s="4">
        <v>4</v>
      </c>
      <c r="AC214" s="4">
        <v>450</v>
      </c>
      <c r="AD214" s="4">
        <v>3</v>
      </c>
      <c r="AE214" s="4">
        <v>825.03</v>
      </c>
      <c r="AF214" s="4">
        <v>5</v>
      </c>
      <c r="AG214" s="4">
        <v>1185.01</v>
      </c>
      <c r="AH214" s="4">
        <v>8</v>
      </c>
      <c r="AI214" s="4">
        <v>465.01</v>
      </c>
      <c r="AJ214" s="4">
        <v>3</v>
      </c>
      <c r="AK214" s="4">
        <v>0</v>
      </c>
      <c r="AL214" s="4">
        <v>0</v>
      </c>
      <c r="AM214" s="4">
        <v>600.01</v>
      </c>
      <c r="AN214" s="4">
        <v>6</v>
      </c>
      <c r="AO214" s="4">
        <v>0</v>
      </c>
      <c r="AP214" s="4">
        <v>0</v>
      </c>
      <c r="AQ214" s="4">
        <v>600.01</v>
      </c>
      <c r="AR214" s="4">
        <v>4</v>
      </c>
      <c r="AS214" s="4">
        <v>765.01</v>
      </c>
      <c r="AT214" s="4">
        <v>5</v>
      </c>
      <c r="AU214" s="4">
        <v>0</v>
      </c>
      <c r="AV214" s="4">
        <v>0</v>
      </c>
      <c r="AW214" s="4">
        <v>874.98</v>
      </c>
      <c r="AX214" s="4">
        <v>6</v>
      </c>
      <c r="AY214" s="4">
        <v>1004.98</v>
      </c>
      <c r="AZ214" s="4">
        <v>10</v>
      </c>
      <c r="BA214" s="4">
        <v>932.94</v>
      </c>
      <c r="BB214" s="4">
        <v>6</v>
      </c>
      <c r="BC214" s="4">
        <v>1459.91</v>
      </c>
      <c r="BD214" s="4">
        <v>8</v>
      </c>
      <c r="BE214" s="4">
        <v>286.02</v>
      </c>
      <c r="BF214" s="4">
        <v>2</v>
      </c>
      <c r="BQ214" s="3">
        <f t="shared" si="8"/>
        <v>13917.93</v>
      </c>
      <c r="BR214" s="3">
        <f t="shared" si="7"/>
        <v>97</v>
      </c>
    </row>
    <row r="215" spans="1:70" x14ac:dyDescent="0.25">
      <c r="A215" s="4" t="s">
        <v>2339</v>
      </c>
      <c r="B215" t="s">
        <v>51</v>
      </c>
      <c r="C215" s="338" t="s">
        <v>1811</v>
      </c>
      <c r="D215" s="213" t="s">
        <v>902</v>
      </c>
      <c r="E215" s="213" t="s">
        <v>159</v>
      </c>
      <c r="F215" s="213" t="s">
        <v>133</v>
      </c>
      <c r="G215" s="4">
        <v>1934.03</v>
      </c>
      <c r="H215" s="4">
        <v>14</v>
      </c>
      <c r="I215" s="4">
        <v>1246.02</v>
      </c>
      <c r="J215" s="4">
        <v>8</v>
      </c>
      <c r="K215" s="4">
        <v>1375.02</v>
      </c>
      <c r="L215" s="4">
        <v>9</v>
      </c>
      <c r="M215" s="4">
        <v>1562</v>
      </c>
      <c r="N215" s="4">
        <v>9</v>
      </c>
      <c r="O215" s="4">
        <v>521.01</v>
      </c>
      <c r="P215" s="4">
        <v>4</v>
      </c>
      <c r="Q215" s="4">
        <v>1177.01</v>
      </c>
      <c r="R215" s="4">
        <v>9</v>
      </c>
      <c r="S215" s="4">
        <v>1111.99</v>
      </c>
      <c r="T215" s="4">
        <v>6</v>
      </c>
      <c r="U215" s="4">
        <v>277</v>
      </c>
      <c r="V215" s="4">
        <v>2</v>
      </c>
      <c r="W215" s="4">
        <v>0</v>
      </c>
      <c r="X215" s="4">
        <v>0</v>
      </c>
      <c r="Y215" s="4">
        <v>925</v>
      </c>
      <c r="Z215" s="4">
        <v>5</v>
      </c>
      <c r="AA215" s="4">
        <v>675</v>
      </c>
      <c r="AB215" s="4">
        <v>5</v>
      </c>
      <c r="AC215" s="4">
        <v>910.01</v>
      </c>
      <c r="AD215" s="4">
        <v>5</v>
      </c>
      <c r="AE215" s="4">
        <v>799.02</v>
      </c>
      <c r="AF215" s="4">
        <v>5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934.02</v>
      </c>
      <c r="AN215" s="4">
        <v>8</v>
      </c>
      <c r="AO215" s="4">
        <v>765.02</v>
      </c>
      <c r="AP215" s="4">
        <v>6</v>
      </c>
      <c r="AQ215" s="4">
        <v>649</v>
      </c>
      <c r="AR215" s="4">
        <v>6</v>
      </c>
      <c r="AS215" s="4">
        <v>521.02</v>
      </c>
      <c r="AT215" s="4">
        <v>3</v>
      </c>
      <c r="AU215" s="4">
        <v>0</v>
      </c>
      <c r="AV215" s="4">
        <v>0</v>
      </c>
      <c r="AW215" s="4">
        <v>508</v>
      </c>
      <c r="AX215" s="4">
        <v>4</v>
      </c>
      <c r="AY215" s="4">
        <v>0</v>
      </c>
      <c r="AZ215" s="4">
        <v>0</v>
      </c>
      <c r="BA215" s="4">
        <v>559.99</v>
      </c>
      <c r="BB215" s="4">
        <v>3</v>
      </c>
      <c r="BC215" s="4">
        <v>1070.94</v>
      </c>
      <c r="BD215" s="4">
        <v>4</v>
      </c>
      <c r="BE215" s="4">
        <v>875.02</v>
      </c>
      <c r="BF215" s="4">
        <v>6</v>
      </c>
      <c r="BQ215" s="3">
        <f t="shared" si="8"/>
        <v>18396.120000000003</v>
      </c>
      <c r="BR215" s="3">
        <f t="shared" si="7"/>
        <v>121</v>
      </c>
    </row>
    <row r="216" spans="1:70" x14ac:dyDescent="0.25">
      <c r="A216" s="4" t="s">
        <v>2340</v>
      </c>
      <c r="B216" t="s">
        <v>51</v>
      </c>
      <c r="C216" s="338" t="s">
        <v>1812</v>
      </c>
      <c r="D216" s="213" t="s">
        <v>903</v>
      </c>
      <c r="E216" s="213" t="s">
        <v>159</v>
      </c>
      <c r="F216" s="213" t="s">
        <v>133</v>
      </c>
      <c r="G216" s="4">
        <v>797.02</v>
      </c>
      <c r="H216" s="4">
        <v>7</v>
      </c>
      <c r="I216" s="4">
        <v>846.01</v>
      </c>
      <c r="J216" s="4">
        <v>4</v>
      </c>
      <c r="K216" s="4">
        <v>671.03</v>
      </c>
      <c r="L216" s="4">
        <v>4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Q216" s="3">
        <f t="shared" si="8"/>
        <v>2314.06</v>
      </c>
      <c r="BR216" s="3">
        <f t="shared" si="7"/>
        <v>15</v>
      </c>
    </row>
    <row r="217" spans="1:70" x14ac:dyDescent="0.25">
      <c r="A217" s="4" t="s">
        <v>2341</v>
      </c>
      <c r="B217" t="s">
        <v>52</v>
      </c>
      <c r="C217" s="338" t="s">
        <v>1813</v>
      </c>
      <c r="D217" s="213" t="s">
        <v>904</v>
      </c>
      <c r="E217" s="213" t="s">
        <v>139</v>
      </c>
      <c r="F217" s="213" t="s">
        <v>130</v>
      </c>
      <c r="G217" s="4">
        <v>2450.08</v>
      </c>
      <c r="H217" s="4">
        <v>21</v>
      </c>
      <c r="I217" s="4">
        <v>0</v>
      </c>
      <c r="J217" s="4">
        <v>0</v>
      </c>
      <c r="K217" s="4">
        <v>3570.14</v>
      </c>
      <c r="L217" s="4">
        <v>35</v>
      </c>
      <c r="M217" s="4">
        <v>4082.05</v>
      </c>
      <c r="N217" s="4">
        <v>29</v>
      </c>
      <c r="O217" s="4">
        <v>3308.09</v>
      </c>
      <c r="P217" s="4">
        <v>23</v>
      </c>
      <c r="Q217" s="4">
        <v>2012.07</v>
      </c>
      <c r="R217" s="4">
        <v>15</v>
      </c>
      <c r="S217" s="4">
        <v>774</v>
      </c>
      <c r="T217" s="4">
        <v>9</v>
      </c>
      <c r="U217" s="4">
        <v>3390.05</v>
      </c>
      <c r="V217" s="4">
        <v>29</v>
      </c>
      <c r="W217" s="4">
        <v>3149.03</v>
      </c>
      <c r="X217" s="4">
        <v>26</v>
      </c>
      <c r="Y217" s="4">
        <v>0</v>
      </c>
      <c r="Z217" s="4">
        <v>0</v>
      </c>
      <c r="AA217" s="4">
        <v>2059.96</v>
      </c>
      <c r="AB217" s="4">
        <v>13</v>
      </c>
      <c r="AC217" s="4">
        <v>1648.02</v>
      </c>
      <c r="AD217" s="4">
        <v>12</v>
      </c>
      <c r="AE217" s="4">
        <v>1858.02</v>
      </c>
      <c r="AF217" s="4">
        <v>11</v>
      </c>
      <c r="AG217" s="4">
        <v>0</v>
      </c>
      <c r="AH217" s="4">
        <v>0</v>
      </c>
      <c r="AI217" s="4">
        <v>2689.99</v>
      </c>
      <c r="AJ217" s="4">
        <v>19</v>
      </c>
      <c r="AK217" s="4">
        <v>3117.01</v>
      </c>
      <c r="AL217" s="4">
        <v>20</v>
      </c>
      <c r="AM217" s="4">
        <v>0</v>
      </c>
      <c r="AN217" s="4">
        <v>0</v>
      </c>
      <c r="AO217" s="4">
        <v>923.99</v>
      </c>
      <c r="AP217" s="4">
        <v>6</v>
      </c>
      <c r="AQ217" s="4">
        <v>1594.01</v>
      </c>
      <c r="AR217" s="4">
        <v>13</v>
      </c>
      <c r="AS217" s="4">
        <v>2358.06</v>
      </c>
      <c r="AT217" s="4">
        <v>11</v>
      </c>
      <c r="AU217" s="4">
        <v>1963</v>
      </c>
      <c r="AV217" s="4">
        <v>15</v>
      </c>
      <c r="AW217" s="4">
        <v>1013.98</v>
      </c>
      <c r="AX217" s="4">
        <v>6</v>
      </c>
      <c r="AY217" s="4">
        <v>3919.88</v>
      </c>
      <c r="AZ217" s="4">
        <v>29</v>
      </c>
      <c r="BA217" s="4">
        <v>0</v>
      </c>
      <c r="BB217" s="4">
        <v>0</v>
      </c>
      <c r="BC217" s="4">
        <v>2382.96</v>
      </c>
      <c r="BD217" s="4">
        <v>10</v>
      </c>
      <c r="BE217" s="4">
        <v>1207.06</v>
      </c>
      <c r="BF217" s="4">
        <v>6</v>
      </c>
      <c r="BQ217" s="3">
        <f t="shared" si="8"/>
        <v>49471.45</v>
      </c>
      <c r="BR217" s="3">
        <f t="shared" si="7"/>
        <v>358</v>
      </c>
    </row>
    <row r="218" spans="1:70" x14ac:dyDescent="0.25">
      <c r="A218" s="4" t="s">
        <v>2342</v>
      </c>
      <c r="B218" t="s">
        <v>52</v>
      </c>
      <c r="C218" s="338" t="s">
        <v>1814</v>
      </c>
      <c r="D218" s="213" t="s">
        <v>905</v>
      </c>
      <c r="E218" s="213" t="s">
        <v>139</v>
      </c>
      <c r="F218" s="213" t="s">
        <v>130</v>
      </c>
      <c r="G218" s="4">
        <v>1698.09</v>
      </c>
      <c r="H218" s="4">
        <v>13</v>
      </c>
      <c r="I218" s="4">
        <v>6797.14</v>
      </c>
      <c r="J218" s="4">
        <v>37</v>
      </c>
      <c r="K218" s="4">
        <v>1055.03</v>
      </c>
      <c r="L218" s="4">
        <v>9</v>
      </c>
      <c r="M218" s="4">
        <v>799.98</v>
      </c>
      <c r="N218" s="4">
        <v>5</v>
      </c>
      <c r="O218" s="4">
        <v>0</v>
      </c>
      <c r="P218" s="4">
        <v>0</v>
      </c>
      <c r="Q218" s="4">
        <v>1541.06</v>
      </c>
      <c r="R218" s="4">
        <v>9</v>
      </c>
      <c r="S218" s="4">
        <v>1371.02</v>
      </c>
      <c r="T218" s="4">
        <v>9</v>
      </c>
      <c r="U218" s="4">
        <v>447.01</v>
      </c>
      <c r="V218" s="4">
        <v>3</v>
      </c>
      <c r="W218" s="4">
        <v>3422.11</v>
      </c>
      <c r="X218" s="4">
        <v>20</v>
      </c>
      <c r="Y218" s="4">
        <v>1479.03</v>
      </c>
      <c r="Z218" s="4">
        <v>8</v>
      </c>
      <c r="AA218" s="4">
        <v>370</v>
      </c>
      <c r="AB218" s="4">
        <v>3</v>
      </c>
      <c r="AC218" s="4">
        <v>0</v>
      </c>
      <c r="AD218" s="4">
        <v>0</v>
      </c>
      <c r="AE218" s="4">
        <v>150</v>
      </c>
      <c r="AF218" s="4">
        <v>1</v>
      </c>
      <c r="AG218" s="4">
        <v>2499.04</v>
      </c>
      <c r="AH218" s="4">
        <v>14</v>
      </c>
      <c r="AI218" s="4">
        <v>1074</v>
      </c>
      <c r="AJ218" s="4">
        <v>6</v>
      </c>
      <c r="AK218" s="4">
        <v>1337.03</v>
      </c>
      <c r="AL218" s="4">
        <v>10</v>
      </c>
      <c r="AM218" s="4">
        <v>150</v>
      </c>
      <c r="AN218" s="4">
        <v>1</v>
      </c>
      <c r="AO218" s="4">
        <v>150</v>
      </c>
      <c r="AP218" s="4">
        <v>1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Q218" s="3">
        <f t="shared" si="8"/>
        <v>24340.539999999997</v>
      </c>
      <c r="BR218" s="3">
        <f t="shared" si="7"/>
        <v>149</v>
      </c>
    </row>
    <row r="219" spans="1:70" x14ac:dyDescent="0.25">
      <c r="A219" s="4" t="s">
        <v>2343</v>
      </c>
      <c r="B219" t="s">
        <v>52</v>
      </c>
      <c r="C219" s="338" t="s">
        <v>1815</v>
      </c>
      <c r="D219" s="213" t="s">
        <v>906</v>
      </c>
      <c r="E219" s="213" t="s">
        <v>139</v>
      </c>
      <c r="F219" s="213" t="s">
        <v>130</v>
      </c>
      <c r="G219" s="4">
        <v>6494.19</v>
      </c>
      <c r="H219" s="4">
        <v>47</v>
      </c>
      <c r="I219" s="4">
        <v>6277.04</v>
      </c>
      <c r="J219" s="4">
        <v>52</v>
      </c>
      <c r="K219" s="4">
        <v>3002.07</v>
      </c>
      <c r="L219" s="4">
        <v>23</v>
      </c>
      <c r="M219" s="4">
        <v>2188.06</v>
      </c>
      <c r="N219" s="4">
        <v>12</v>
      </c>
      <c r="O219" s="4">
        <v>1292</v>
      </c>
      <c r="P219" s="4">
        <v>12</v>
      </c>
      <c r="Q219" s="4">
        <v>2473.0500000000002</v>
      </c>
      <c r="R219" s="4">
        <v>17</v>
      </c>
      <c r="S219" s="4">
        <v>2102.0300000000002</v>
      </c>
      <c r="T219" s="4">
        <v>14</v>
      </c>
      <c r="U219" s="4">
        <v>0</v>
      </c>
      <c r="V219" s="4">
        <v>0</v>
      </c>
      <c r="W219" s="4">
        <v>0</v>
      </c>
      <c r="X219" s="4">
        <v>0</v>
      </c>
      <c r="Y219" s="4">
        <v>3515</v>
      </c>
      <c r="Z219" s="4">
        <v>21</v>
      </c>
      <c r="AA219" s="4">
        <v>4023.98</v>
      </c>
      <c r="AB219" s="4">
        <v>19</v>
      </c>
      <c r="AC219" s="4">
        <v>2143.0100000000002</v>
      </c>
      <c r="AD219" s="4">
        <v>12</v>
      </c>
      <c r="AE219" s="4">
        <v>1792.04</v>
      </c>
      <c r="AF219" s="4">
        <v>13</v>
      </c>
      <c r="AG219" s="4">
        <v>0</v>
      </c>
      <c r="AH219" s="4">
        <v>0</v>
      </c>
      <c r="AI219" s="4">
        <v>1717.03</v>
      </c>
      <c r="AJ219" s="4">
        <v>11</v>
      </c>
      <c r="AK219" s="4">
        <v>3908.02</v>
      </c>
      <c r="AL219" s="4">
        <v>23</v>
      </c>
      <c r="AM219" s="4">
        <v>1866.99</v>
      </c>
      <c r="AN219" s="4">
        <v>12</v>
      </c>
      <c r="AO219" s="4">
        <v>2761.06</v>
      </c>
      <c r="AP219" s="4">
        <v>10</v>
      </c>
      <c r="AQ219" s="4">
        <v>3081.02</v>
      </c>
      <c r="AR219" s="4">
        <v>14</v>
      </c>
      <c r="AS219" s="4">
        <v>2929.04</v>
      </c>
      <c r="AT219" s="4">
        <v>21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4240.7299999999996</v>
      </c>
      <c r="BB219" s="4">
        <v>16</v>
      </c>
      <c r="BC219" s="4">
        <v>2112.91</v>
      </c>
      <c r="BD219" s="4">
        <v>13</v>
      </c>
      <c r="BE219" s="4">
        <v>2002.11</v>
      </c>
      <c r="BF219" s="4">
        <v>15</v>
      </c>
      <c r="BQ219" s="3">
        <f t="shared" si="8"/>
        <v>59921.37999999999</v>
      </c>
      <c r="BR219" s="3">
        <f t="shared" si="7"/>
        <v>377</v>
      </c>
    </row>
    <row r="220" spans="1:70" x14ac:dyDescent="0.25">
      <c r="A220" s="4" t="s">
        <v>2344</v>
      </c>
      <c r="B220" t="s">
        <v>52</v>
      </c>
      <c r="C220" s="338" t="s">
        <v>1816</v>
      </c>
      <c r="D220" s="213" t="s">
        <v>907</v>
      </c>
      <c r="E220" s="213" t="s">
        <v>139</v>
      </c>
      <c r="F220" s="213" t="s">
        <v>130</v>
      </c>
      <c r="G220" s="4">
        <v>3580.09</v>
      </c>
      <c r="H220" s="4">
        <v>27</v>
      </c>
      <c r="I220" s="4">
        <v>1260.04</v>
      </c>
      <c r="J220" s="4">
        <v>6</v>
      </c>
      <c r="K220" s="4">
        <v>2006.03</v>
      </c>
      <c r="L220" s="4">
        <v>18</v>
      </c>
      <c r="M220" s="4">
        <v>0</v>
      </c>
      <c r="N220" s="4">
        <v>0</v>
      </c>
      <c r="O220" s="4">
        <v>1359.04</v>
      </c>
      <c r="P220" s="4">
        <v>11</v>
      </c>
      <c r="Q220" s="4">
        <v>0</v>
      </c>
      <c r="R220" s="4">
        <v>0</v>
      </c>
      <c r="S220" s="4">
        <v>2326.0500000000002</v>
      </c>
      <c r="T220" s="4">
        <v>16</v>
      </c>
      <c r="U220" s="4">
        <v>2027.05</v>
      </c>
      <c r="V220" s="4">
        <v>15</v>
      </c>
      <c r="W220" s="4">
        <v>2647.12</v>
      </c>
      <c r="X220" s="4">
        <v>25</v>
      </c>
      <c r="Y220" s="4">
        <v>0</v>
      </c>
      <c r="Z220" s="4">
        <v>0</v>
      </c>
      <c r="AA220" s="4">
        <v>1188.05</v>
      </c>
      <c r="AB220" s="4">
        <v>8</v>
      </c>
      <c r="AC220" s="4">
        <v>817.04</v>
      </c>
      <c r="AD220" s="4">
        <v>10</v>
      </c>
      <c r="AE220" s="4">
        <v>840.01</v>
      </c>
      <c r="AF220" s="4">
        <v>6</v>
      </c>
      <c r="AG220" s="4">
        <v>896.02</v>
      </c>
      <c r="AH220" s="4">
        <v>8</v>
      </c>
      <c r="AI220" s="4">
        <v>1663.02</v>
      </c>
      <c r="AJ220" s="4">
        <v>10</v>
      </c>
      <c r="AK220" s="4">
        <v>0</v>
      </c>
      <c r="AL220" s="4">
        <v>0</v>
      </c>
      <c r="AM220" s="4">
        <v>998.02</v>
      </c>
      <c r="AN220" s="4">
        <v>9</v>
      </c>
      <c r="AO220" s="4">
        <v>1004.01</v>
      </c>
      <c r="AP220" s="4">
        <v>7</v>
      </c>
      <c r="AQ220" s="4">
        <v>0</v>
      </c>
      <c r="AR220" s="4">
        <v>0</v>
      </c>
      <c r="AS220" s="4">
        <v>1544.03</v>
      </c>
      <c r="AT220" s="4">
        <v>8</v>
      </c>
      <c r="AU220" s="4">
        <v>675</v>
      </c>
      <c r="AV220" s="4">
        <v>5</v>
      </c>
      <c r="AW220" s="4">
        <v>0</v>
      </c>
      <c r="AX220" s="4">
        <v>0</v>
      </c>
      <c r="AY220" s="4">
        <v>0</v>
      </c>
      <c r="AZ220" s="4">
        <v>0</v>
      </c>
      <c r="BA220" s="4">
        <v>1317.93</v>
      </c>
      <c r="BB220" s="4">
        <v>6</v>
      </c>
      <c r="BC220" s="4">
        <v>210.98</v>
      </c>
      <c r="BD220" s="4">
        <v>1</v>
      </c>
      <c r="BE220" s="4">
        <v>150</v>
      </c>
      <c r="BF220" s="4">
        <v>3</v>
      </c>
      <c r="BQ220" s="3">
        <f t="shared" si="8"/>
        <v>26509.529999999995</v>
      </c>
      <c r="BR220" s="3">
        <f t="shared" si="7"/>
        <v>199</v>
      </c>
    </row>
    <row r="221" spans="1:70" x14ac:dyDescent="0.25">
      <c r="A221" s="4" t="s">
        <v>2345</v>
      </c>
      <c r="B221" t="s">
        <v>52</v>
      </c>
      <c r="C221" s="338" t="s">
        <v>1817</v>
      </c>
      <c r="D221" s="213" t="s">
        <v>908</v>
      </c>
      <c r="E221" s="213" t="s">
        <v>139</v>
      </c>
      <c r="F221" s="213" t="s">
        <v>130</v>
      </c>
      <c r="G221" s="4">
        <v>2546.0100000000002</v>
      </c>
      <c r="H221" s="4">
        <v>18</v>
      </c>
      <c r="I221" s="4">
        <v>0</v>
      </c>
      <c r="J221" s="4">
        <v>0</v>
      </c>
      <c r="K221" s="4">
        <v>729</v>
      </c>
      <c r="L221" s="4">
        <v>6</v>
      </c>
      <c r="M221" s="4">
        <v>0</v>
      </c>
      <c r="N221" s="4">
        <v>0</v>
      </c>
      <c r="O221" s="4">
        <v>770.01</v>
      </c>
      <c r="P221" s="4">
        <v>7</v>
      </c>
      <c r="Q221" s="4">
        <v>0</v>
      </c>
      <c r="R221" s="4">
        <v>0</v>
      </c>
      <c r="S221" s="4">
        <v>1385.04</v>
      </c>
      <c r="T221" s="4">
        <v>10</v>
      </c>
      <c r="U221" s="4">
        <v>1576.02</v>
      </c>
      <c r="V221" s="4">
        <v>13</v>
      </c>
      <c r="W221" s="4">
        <v>0</v>
      </c>
      <c r="X221" s="4">
        <v>0</v>
      </c>
      <c r="Y221" s="4">
        <v>989.01</v>
      </c>
      <c r="Z221" s="4">
        <v>9</v>
      </c>
      <c r="AA221" s="4">
        <v>0</v>
      </c>
      <c r="AB221" s="4">
        <v>0</v>
      </c>
      <c r="AC221" s="4">
        <v>0</v>
      </c>
      <c r="AD221" s="4">
        <v>0</v>
      </c>
      <c r="AE221" s="4">
        <v>346</v>
      </c>
      <c r="AF221" s="4">
        <v>2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849.02</v>
      </c>
      <c r="AN221" s="4">
        <v>6</v>
      </c>
      <c r="AO221" s="4">
        <v>0</v>
      </c>
      <c r="AP221" s="4">
        <v>0</v>
      </c>
      <c r="AQ221" s="4">
        <v>0</v>
      </c>
      <c r="AR221" s="4">
        <v>0</v>
      </c>
      <c r="AS221" s="4">
        <v>225</v>
      </c>
      <c r="AT221" s="4">
        <v>2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Q221" s="3">
        <f t="shared" si="8"/>
        <v>9415.11</v>
      </c>
      <c r="BR221" s="3">
        <f t="shared" si="7"/>
        <v>73</v>
      </c>
    </row>
    <row r="222" spans="1:70" x14ac:dyDescent="0.25">
      <c r="A222" s="4" t="s">
        <v>2346</v>
      </c>
      <c r="B222" t="s">
        <v>52</v>
      </c>
      <c r="C222" s="338" t="s">
        <v>1818</v>
      </c>
      <c r="D222" s="213" t="s">
        <v>909</v>
      </c>
      <c r="E222" s="213" t="s">
        <v>139</v>
      </c>
      <c r="F222" s="213" t="s">
        <v>130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1278.03</v>
      </c>
      <c r="AH222" s="4">
        <v>10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2427.9</v>
      </c>
      <c r="AZ222" s="4">
        <v>17</v>
      </c>
      <c r="BA222" s="4">
        <v>150</v>
      </c>
      <c r="BB222" s="4">
        <v>2</v>
      </c>
      <c r="BC222" s="4">
        <v>0</v>
      </c>
      <c r="BD222" s="4">
        <v>0</v>
      </c>
      <c r="BE222" s="4">
        <v>0</v>
      </c>
      <c r="BF222" s="4">
        <v>0</v>
      </c>
      <c r="BQ222" s="3">
        <f t="shared" si="8"/>
        <v>3855.9300000000003</v>
      </c>
      <c r="BR222" s="3">
        <f t="shared" si="7"/>
        <v>29</v>
      </c>
    </row>
    <row r="223" spans="1:70" x14ac:dyDescent="0.25">
      <c r="A223" s="4" t="s">
        <v>2347</v>
      </c>
      <c r="B223" t="s">
        <v>53</v>
      </c>
      <c r="C223" s="338" t="s">
        <v>1819</v>
      </c>
      <c r="D223" s="213" t="s">
        <v>910</v>
      </c>
      <c r="E223" s="213" t="s">
        <v>159</v>
      </c>
      <c r="F223" s="213" t="s">
        <v>133</v>
      </c>
      <c r="G223" s="4">
        <v>795.02</v>
      </c>
      <c r="H223" s="4">
        <v>7</v>
      </c>
      <c r="I223" s="4">
        <v>1200.03</v>
      </c>
      <c r="J223" s="4">
        <v>9</v>
      </c>
      <c r="K223" s="4">
        <v>1103</v>
      </c>
      <c r="L223" s="4">
        <v>7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300</v>
      </c>
      <c r="Z223" s="4">
        <v>2</v>
      </c>
      <c r="AA223" s="4">
        <v>0</v>
      </c>
      <c r="AB223" s="4">
        <v>0</v>
      </c>
      <c r="AC223" s="4">
        <v>0</v>
      </c>
      <c r="AD223" s="4">
        <v>0</v>
      </c>
      <c r="AE223" s="4">
        <v>2237</v>
      </c>
      <c r="AF223" s="4">
        <v>12</v>
      </c>
      <c r="AG223" s="4">
        <v>0</v>
      </c>
      <c r="AH223" s="4">
        <v>0</v>
      </c>
      <c r="AI223" s="4">
        <v>0</v>
      </c>
      <c r="AJ223" s="4">
        <v>0</v>
      </c>
      <c r="AK223" s="4">
        <v>477.02</v>
      </c>
      <c r="AL223" s="4">
        <v>3</v>
      </c>
      <c r="AM223" s="4">
        <v>0</v>
      </c>
      <c r="AN223" s="4">
        <v>0</v>
      </c>
      <c r="AO223" s="4">
        <v>150.01</v>
      </c>
      <c r="AP223" s="4">
        <v>1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Q223" s="3">
        <f t="shared" si="8"/>
        <v>6262.08</v>
      </c>
      <c r="BR223" s="3">
        <f t="shared" si="7"/>
        <v>41</v>
      </c>
    </row>
    <row r="224" spans="1:70" x14ac:dyDescent="0.25">
      <c r="A224" s="4" t="s">
        <v>2348</v>
      </c>
      <c r="B224" t="s">
        <v>53</v>
      </c>
      <c r="C224" s="338" t="s">
        <v>1820</v>
      </c>
      <c r="D224" s="213" t="s">
        <v>911</v>
      </c>
      <c r="E224" s="213" t="s">
        <v>159</v>
      </c>
      <c r="F224" s="213" t="s">
        <v>133</v>
      </c>
      <c r="G224" s="4">
        <v>3047.06</v>
      </c>
      <c r="H224" s="4">
        <v>15</v>
      </c>
      <c r="I224" s="4">
        <v>3514.02</v>
      </c>
      <c r="J224" s="4">
        <v>23</v>
      </c>
      <c r="K224" s="4">
        <v>1812.03</v>
      </c>
      <c r="L224" s="4">
        <v>13</v>
      </c>
      <c r="M224" s="4">
        <v>7027.17</v>
      </c>
      <c r="N224" s="4">
        <v>38</v>
      </c>
      <c r="O224" s="4">
        <v>985.02</v>
      </c>
      <c r="P224" s="4">
        <v>7</v>
      </c>
      <c r="Q224" s="4">
        <v>0</v>
      </c>
      <c r="R224" s="4">
        <v>0</v>
      </c>
      <c r="S224" s="4">
        <v>2189</v>
      </c>
      <c r="T224" s="4">
        <v>14</v>
      </c>
      <c r="U224" s="4">
        <v>2756</v>
      </c>
      <c r="V224" s="4">
        <v>17</v>
      </c>
      <c r="W224" s="4">
        <v>1431.01</v>
      </c>
      <c r="X224" s="4">
        <v>8</v>
      </c>
      <c r="Y224" s="4">
        <v>1395.03</v>
      </c>
      <c r="Z224" s="4">
        <v>6</v>
      </c>
      <c r="AA224" s="4">
        <v>1500.01</v>
      </c>
      <c r="AB224" s="4">
        <v>9</v>
      </c>
      <c r="AC224" s="4">
        <v>2909.05</v>
      </c>
      <c r="AD224" s="4">
        <v>18</v>
      </c>
      <c r="AE224" s="4">
        <v>0</v>
      </c>
      <c r="AF224" s="4">
        <v>0</v>
      </c>
      <c r="AG224" s="4">
        <v>1449</v>
      </c>
      <c r="AH224" s="4">
        <v>10</v>
      </c>
      <c r="AI224" s="4">
        <v>1430</v>
      </c>
      <c r="AJ224" s="4">
        <v>10</v>
      </c>
      <c r="AK224" s="4">
        <v>565</v>
      </c>
      <c r="AL224" s="4">
        <v>4</v>
      </c>
      <c r="AM224" s="4">
        <v>600.02</v>
      </c>
      <c r="AN224" s="4">
        <v>4</v>
      </c>
      <c r="AO224" s="4">
        <v>300</v>
      </c>
      <c r="AP224" s="4">
        <v>1</v>
      </c>
      <c r="AQ224" s="4">
        <v>614</v>
      </c>
      <c r="AR224" s="4">
        <v>3</v>
      </c>
      <c r="AS224" s="4">
        <v>0</v>
      </c>
      <c r="AT224" s="4">
        <v>0</v>
      </c>
      <c r="AU224" s="4">
        <v>0</v>
      </c>
      <c r="AV224" s="4">
        <v>0</v>
      </c>
      <c r="AW224" s="4">
        <v>1018.93</v>
      </c>
      <c r="AX224" s="4">
        <v>5</v>
      </c>
      <c r="AY224" s="4">
        <v>1319.88</v>
      </c>
      <c r="AZ224" s="4">
        <v>5</v>
      </c>
      <c r="BA224" s="4">
        <v>440.98</v>
      </c>
      <c r="BB224" s="4">
        <v>3</v>
      </c>
      <c r="BC224" s="4">
        <v>1229.9000000000001</v>
      </c>
      <c r="BD224" s="4">
        <v>6</v>
      </c>
      <c r="BE224" s="4">
        <v>537.04</v>
      </c>
      <c r="BF224" s="4">
        <v>3</v>
      </c>
      <c r="BQ224" s="3">
        <f t="shared" si="8"/>
        <v>38070.15</v>
      </c>
      <c r="BR224" s="3">
        <f t="shared" si="7"/>
        <v>222</v>
      </c>
    </row>
    <row r="225" spans="1:70" x14ac:dyDescent="0.25">
      <c r="A225" s="4" t="s">
        <v>2349</v>
      </c>
      <c r="B225" t="s">
        <v>53</v>
      </c>
      <c r="C225" s="338" t="s">
        <v>1821</v>
      </c>
      <c r="D225" s="213" t="s">
        <v>912</v>
      </c>
      <c r="E225" s="213" t="s">
        <v>159</v>
      </c>
      <c r="F225" s="213" t="s">
        <v>133</v>
      </c>
      <c r="G225" s="4">
        <v>3364.1</v>
      </c>
      <c r="H225" s="4">
        <v>23</v>
      </c>
      <c r="I225" s="4">
        <v>2026.03</v>
      </c>
      <c r="J225" s="4">
        <v>17</v>
      </c>
      <c r="K225" s="4">
        <v>1363.04</v>
      </c>
      <c r="L225" s="4">
        <v>10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Q225" s="3">
        <f t="shared" si="8"/>
        <v>6753.17</v>
      </c>
      <c r="BR225" s="3">
        <f t="shared" si="7"/>
        <v>50</v>
      </c>
    </row>
    <row r="226" spans="1:70" x14ac:dyDescent="0.25">
      <c r="A226" s="4" t="s">
        <v>2350</v>
      </c>
      <c r="B226" t="s">
        <v>53</v>
      </c>
      <c r="C226" s="338" t="s">
        <v>1822</v>
      </c>
      <c r="D226" s="213" t="s">
        <v>913</v>
      </c>
      <c r="E226" s="213" t="s">
        <v>159</v>
      </c>
      <c r="F226" s="213" t="s">
        <v>133</v>
      </c>
      <c r="G226" s="4">
        <v>2642.02</v>
      </c>
      <c r="H226" s="4">
        <v>20</v>
      </c>
      <c r="I226" s="4">
        <v>0</v>
      </c>
      <c r="J226" s="4">
        <v>0</v>
      </c>
      <c r="K226" s="4">
        <v>3006.11</v>
      </c>
      <c r="L226" s="4">
        <v>13</v>
      </c>
      <c r="M226" s="4">
        <v>0</v>
      </c>
      <c r="N226" s="4">
        <v>0</v>
      </c>
      <c r="O226" s="4">
        <v>2100.06</v>
      </c>
      <c r="P226" s="4">
        <v>11</v>
      </c>
      <c r="Q226" s="4">
        <v>1871</v>
      </c>
      <c r="R226" s="4">
        <v>9</v>
      </c>
      <c r="S226" s="4">
        <v>1743.02</v>
      </c>
      <c r="T226" s="4">
        <v>10</v>
      </c>
      <c r="U226" s="4">
        <v>2749.08</v>
      </c>
      <c r="V226" s="4">
        <v>18</v>
      </c>
      <c r="W226" s="4">
        <v>863.01</v>
      </c>
      <c r="X226" s="4">
        <v>5</v>
      </c>
      <c r="Y226" s="4">
        <v>225</v>
      </c>
      <c r="Z226" s="4">
        <v>2</v>
      </c>
      <c r="AA226" s="4">
        <v>2774.05</v>
      </c>
      <c r="AB226" s="4">
        <v>11</v>
      </c>
      <c r="AC226" s="4">
        <v>0</v>
      </c>
      <c r="AD226" s="4">
        <v>0</v>
      </c>
      <c r="AE226" s="4">
        <v>2378.06</v>
      </c>
      <c r="AF226" s="4">
        <v>13</v>
      </c>
      <c r="AG226" s="4">
        <v>1184.04</v>
      </c>
      <c r="AH226" s="4">
        <v>5</v>
      </c>
      <c r="AI226" s="4">
        <v>1069</v>
      </c>
      <c r="AJ226" s="4">
        <v>8</v>
      </c>
      <c r="AK226" s="4">
        <v>1794.05</v>
      </c>
      <c r="AL226" s="4">
        <v>12</v>
      </c>
      <c r="AM226" s="4">
        <v>2244.04</v>
      </c>
      <c r="AN226" s="4">
        <v>9</v>
      </c>
      <c r="AO226" s="4">
        <v>2131.02</v>
      </c>
      <c r="AP226" s="4">
        <v>15</v>
      </c>
      <c r="AQ226" s="4">
        <v>0</v>
      </c>
      <c r="AR226" s="4">
        <v>0</v>
      </c>
      <c r="AS226" s="4">
        <v>1579.99</v>
      </c>
      <c r="AT226" s="4">
        <v>9</v>
      </c>
      <c r="AU226" s="4">
        <v>3090.02</v>
      </c>
      <c r="AV226" s="4">
        <v>18</v>
      </c>
      <c r="AW226" s="4">
        <v>1012.94</v>
      </c>
      <c r="AX226" s="4">
        <v>5</v>
      </c>
      <c r="AY226" s="4">
        <v>1399.9</v>
      </c>
      <c r="AZ226" s="4">
        <v>7</v>
      </c>
      <c r="BA226" s="4">
        <v>2421.86</v>
      </c>
      <c r="BB226" s="4">
        <v>11</v>
      </c>
      <c r="BC226" s="4">
        <v>1156.92</v>
      </c>
      <c r="BD226" s="4">
        <v>6</v>
      </c>
      <c r="BE226" s="4">
        <v>1416.12</v>
      </c>
      <c r="BF226" s="4">
        <v>7</v>
      </c>
      <c r="BQ226" s="3">
        <f t="shared" si="8"/>
        <v>40851.310000000012</v>
      </c>
      <c r="BR226" s="3">
        <f t="shared" si="7"/>
        <v>224</v>
      </c>
    </row>
    <row r="227" spans="1:70" x14ac:dyDescent="0.25">
      <c r="A227" s="4" t="s">
        <v>2351</v>
      </c>
      <c r="B227" t="s">
        <v>53</v>
      </c>
      <c r="C227" s="338" t="s">
        <v>1823</v>
      </c>
      <c r="D227" s="213" t="s">
        <v>914</v>
      </c>
      <c r="E227" s="213" t="s">
        <v>159</v>
      </c>
      <c r="F227" s="213" t="s">
        <v>133</v>
      </c>
      <c r="G227" s="4">
        <v>2675.06</v>
      </c>
      <c r="H227" s="4">
        <v>18</v>
      </c>
      <c r="I227" s="4">
        <v>2531.0500000000002</v>
      </c>
      <c r="J227" s="4">
        <v>16</v>
      </c>
      <c r="K227" s="4">
        <v>917.03</v>
      </c>
      <c r="L227" s="4">
        <v>5</v>
      </c>
      <c r="M227" s="4">
        <v>1438</v>
      </c>
      <c r="N227" s="4">
        <v>7</v>
      </c>
      <c r="O227" s="4">
        <v>824.03</v>
      </c>
      <c r="P227" s="4">
        <v>5</v>
      </c>
      <c r="Q227" s="4">
        <v>830.03</v>
      </c>
      <c r="R227" s="4">
        <v>6</v>
      </c>
      <c r="S227" s="4">
        <v>962</v>
      </c>
      <c r="T227" s="4">
        <v>5</v>
      </c>
      <c r="U227" s="4">
        <v>591.02</v>
      </c>
      <c r="V227" s="4">
        <v>4</v>
      </c>
      <c r="W227" s="4">
        <v>1274.05</v>
      </c>
      <c r="X227" s="4">
        <v>9</v>
      </c>
      <c r="Y227" s="4">
        <v>1165.04</v>
      </c>
      <c r="Z227" s="4">
        <v>8</v>
      </c>
      <c r="AA227" s="4">
        <v>1090.02</v>
      </c>
      <c r="AB227" s="4">
        <v>8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750</v>
      </c>
      <c r="AP227" s="4">
        <v>4</v>
      </c>
      <c r="AQ227" s="4">
        <v>474.01</v>
      </c>
      <c r="AR227" s="4">
        <v>4</v>
      </c>
      <c r="AS227" s="4">
        <v>150.01</v>
      </c>
      <c r="AT227" s="4">
        <v>1</v>
      </c>
      <c r="AU227" s="4">
        <v>399.01</v>
      </c>
      <c r="AV227" s="4">
        <v>2</v>
      </c>
      <c r="AW227" s="4">
        <v>585.98</v>
      </c>
      <c r="AX227" s="4">
        <v>4</v>
      </c>
      <c r="AY227" s="4">
        <v>0</v>
      </c>
      <c r="AZ227" s="4">
        <v>0</v>
      </c>
      <c r="BA227" s="4">
        <v>571.96</v>
      </c>
      <c r="BB227" s="4">
        <v>3</v>
      </c>
      <c r="BC227" s="4">
        <v>1186.98</v>
      </c>
      <c r="BD227" s="4">
        <v>8</v>
      </c>
      <c r="BE227" s="4">
        <v>1172.06</v>
      </c>
      <c r="BF227" s="4">
        <v>7</v>
      </c>
      <c r="BQ227" s="3">
        <f t="shared" si="8"/>
        <v>19587.340000000004</v>
      </c>
      <c r="BR227" s="3">
        <f t="shared" si="7"/>
        <v>124</v>
      </c>
    </row>
    <row r="228" spans="1:70" x14ac:dyDescent="0.25">
      <c r="A228" s="4" t="s">
        <v>2352</v>
      </c>
      <c r="B228" t="s">
        <v>53</v>
      </c>
      <c r="C228" s="338" t="s">
        <v>1812</v>
      </c>
      <c r="D228" s="213" t="s">
        <v>903</v>
      </c>
      <c r="E228" s="213" t="s">
        <v>159</v>
      </c>
      <c r="F228" s="213" t="s">
        <v>133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825.02</v>
      </c>
      <c r="P228" s="4">
        <v>6</v>
      </c>
      <c r="Q228" s="4">
        <v>2386.06</v>
      </c>
      <c r="R228" s="4">
        <v>14</v>
      </c>
      <c r="S228" s="4">
        <v>0</v>
      </c>
      <c r="T228" s="4">
        <v>0</v>
      </c>
      <c r="U228" s="4">
        <v>0</v>
      </c>
      <c r="V228" s="4">
        <v>0</v>
      </c>
      <c r="W228" s="4">
        <v>1945.02</v>
      </c>
      <c r="X228" s="4">
        <v>12</v>
      </c>
      <c r="Y228" s="4">
        <v>979.02</v>
      </c>
      <c r="Z228" s="4">
        <v>5</v>
      </c>
      <c r="AA228" s="4">
        <v>0</v>
      </c>
      <c r="AB228" s="4">
        <v>0</v>
      </c>
      <c r="AC228" s="4">
        <v>1135.01</v>
      </c>
      <c r="AD228" s="4">
        <v>7</v>
      </c>
      <c r="AE228" s="4">
        <v>1178.02</v>
      </c>
      <c r="AF228" s="4">
        <v>8</v>
      </c>
      <c r="AG228" s="4">
        <v>537.02</v>
      </c>
      <c r="AH228" s="4">
        <v>2</v>
      </c>
      <c r="AI228" s="4">
        <v>579.02</v>
      </c>
      <c r="AJ228" s="4">
        <v>4</v>
      </c>
      <c r="AK228" s="4">
        <v>3289.09</v>
      </c>
      <c r="AL228" s="4">
        <v>13</v>
      </c>
      <c r="AM228" s="4">
        <v>1157</v>
      </c>
      <c r="AN228" s="4">
        <v>4</v>
      </c>
      <c r="AO228" s="4">
        <v>0</v>
      </c>
      <c r="AP228" s="4">
        <v>0</v>
      </c>
      <c r="AQ228" s="4">
        <v>1090.02</v>
      </c>
      <c r="AR228" s="4">
        <v>7</v>
      </c>
      <c r="AS228" s="4">
        <v>761.01</v>
      </c>
      <c r="AT228" s="4">
        <v>4</v>
      </c>
      <c r="AU228" s="4">
        <v>0</v>
      </c>
      <c r="AV228" s="4">
        <v>0</v>
      </c>
      <c r="AW228" s="4">
        <v>1100.98</v>
      </c>
      <c r="AX228" s="4">
        <v>7</v>
      </c>
      <c r="AY228" s="4">
        <v>2192.84</v>
      </c>
      <c r="AZ228" s="4">
        <v>9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Q228" s="3">
        <f t="shared" si="8"/>
        <v>19155.130000000005</v>
      </c>
      <c r="BR228" s="3">
        <f t="shared" si="7"/>
        <v>102</v>
      </c>
    </row>
    <row r="229" spans="1:70" x14ac:dyDescent="0.25">
      <c r="A229" s="4" t="s">
        <v>2353</v>
      </c>
      <c r="B229" t="s">
        <v>54</v>
      </c>
      <c r="C229" s="338" t="s">
        <v>1824</v>
      </c>
      <c r="D229" s="213" t="s">
        <v>915</v>
      </c>
      <c r="E229" s="213" t="s">
        <v>144</v>
      </c>
      <c r="F229" s="213" t="s">
        <v>126</v>
      </c>
      <c r="G229" s="4">
        <v>3387.07</v>
      </c>
      <c r="H229" s="4">
        <v>16</v>
      </c>
      <c r="I229" s="4">
        <v>446.01</v>
      </c>
      <c r="J229" s="4">
        <v>2</v>
      </c>
      <c r="K229" s="4">
        <v>1296.04</v>
      </c>
      <c r="L229" s="4">
        <v>8</v>
      </c>
      <c r="M229" s="4">
        <v>0</v>
      </c>
      <c r="N229" s="4">
        <v>0</v>
      </c>
      <c r="O229" s="4">
        <v>851.02</v>
      </c>
      <c r="P229" s="4">
        <v>6</v>
      </c>
      <c r="Q229" s="4">
        <v>1056.04</v>
      </c>
      <c r="R229" s="4">
        <v>3</v>
      </c>
      <c r="S229" s="4">
        <v>0</v>
      </c>
      <c r="T229" s="4">
        <v>0</v>
      </c>
      <c r="U229" s="4">
        <v>1050.01</v>
      </c>
      <c r="V229" s="4">
        <v>5</v>
      </c>
      <c r="W229" s="4">
        <v>804.98</v>
      </c>
      <c r="X229" s="4">
        <v>11</v>
      </c>
      <c r="Y229" s="4">
        <v>6624.06</v>
      </c>
      <c r="Z229" s="4">
        <v>17</v>
      </c>
      <c r="AA229" s="4">
        <v>3955.11</v>
      </c>
      <c r="AB229" s="4">
        <v>10</v>
      </c>
      <c r="AC229" s="4">
        <v>0</v>
      </c>
      <c r="AD229" s="4">
        <v>0</v>
      </c>
      <c r="AE229" s="4">
        <v>300.01</v>
      </c>
      <c r="AF229" s="4">
        <v>2</v>
      </c>
      <c r="AG229" s="4">
        <v>75</v>
      </c>
      <c r="AH229" s="4">
        <v>1</v>
      </c>
      <c r="AI229" s="4">
        <v>2584.0300000000002</v>
      </c>
      <c r="AJ229" s="4">
        <v>12</v>
      </c>
      <c r="AK229" s="4">
        <v>0</v>
      </c>
      <c r="AL229" s="4">
        <v>3</v>
      </c>
      <c r="AM229" s="4">
        <v>1557.98</v>
      </c>
      <c r="AN229" s="4">
        <v>5</v>
      </c>
      <c r="AO229" s="4">
        <v>150</v>
      </c>
      <c r="AP229" s="4">
        <v>2</v>
      </c>
      <c r="AQ229" s="4">
        <v>150</v>
      </c>
      <c r="AR229" s="4">
        <v>1</v>
      </c>
      <c r="AS229" s="4">
        <v>2441.08</v>
      </c>
      <c r="AT229" s="4">
        <v>9</v>
      </c>
      <c r="AU229" s="4">
        <v>150</v>
      </c>
      <c r="AV229" s="4">
        <v>1</v>
      </c>
      <c r="AW229" s="4">
        <v>768.92</v>
      </c>
      <c r="AX229" s="4">
        <v>6</v>
      </c>
      <c r="AY229" s="4">
        <v>288.98</v>
      </c>
      <c r="AZ229" s="4">
        <v>2</v>
      </c>
      <c r="BA229" s="4">
        <v>1764.92</v>
      </c>
      <c r="BB229" s="4">
        <v>8</v>
      </c>
      <c r="BC229" s="4">
        <v>0</v>
      </c>
      <c r="BD229" s="4">
        <v>0</v>
      </c>
      <c r="BE229" s="4">
        <v>955.09</v>
      </c>
      <c r="BF229" s="4">
        <v>4</v>
      </c>
      <c r="BQ229" s="3">
        <f t="shared" si="8"/>
        <v>30656.349999999995</v>
      </c>
      <c r="BR229" s="3">
        <f t="shared" si="7"/>
        <v>134</v>
      </c>
    </row>
    <row r="230" spans="1:70" x14ac:dyDescent="0.25">
      <c r="A230" s="4" t="s">
        <v>2354</v>
      </c>
      <c r="B230" t="s">
        <v>54</v>
      </c>
      <c r="C230" s="338" t="s">
        <v>1825</v>
      </c>
      <c r="D230" s="213" t="s">
        <v>916</v>
      </c>
      <c r="E230" s="213" t="s">
        <v>144</v>
      </c>
      <c r="F230" s="213" t="s">
        <v>126</v>
      </c>
      <c r="G230" s="4">
        <v>0</v>
      </c>
      <c r="H230" s="4">
        <v>0</v>
      </c>
      <c r="I230" s="4">
        <v>4674.03</v>
      </c>
      <c r="J230" s="4">
        <v>24</v>
      </c>
      <c r="K230" s="4">
        <v>1275.02</v>
      </c>
      <c r="L230" s="4">
        <v>5</v>
      </c>
      <c r="M230" s="4">
        <v>0</v>
      </c>
      <c r="N230" s="4">
        <v>0</v>
      </c>
      <c r="O230" s="4">
        <v>2575.04</v>
      </c>
      <c r="P230" s="4">
        <v>15</v>
      </c>
      <c r="Q230" s="4">
        <v>1224.03</v>
      </c>
      <c r="R230" s="4">
        <v>7</v>
      </c>
      <c r="S230" s="4">
        <v>450.01</v>
      </c>
      <c r="T230" s="4">
        <v>3</v>
      </c>
      <c r="U230" s="4">
        <v>0</v>
      </c>
      <c r="V230" s="4">
        <v>0</v>
      </c>
      <c r="W230" s="4">
        <v>3099.04</v>
      </c>
      <c r="X230" s="4">
        <v>22</v>
      </c>
      <c r="Y230" s="4">
        <v>525.01</v>
      </c>
      <c r="Z230" s="4">
        <v>2</v>
      </c>
      <c r="AA230" s="4">
        <v>0</v>
      </c>
      <c r="AB230" s="4">
        <v>0</v>
      </c>
      <c r="AC230" s="4">
        <v>2175.0300000000002</v>
      </c>
      <c r="AD230" s="4">
        <v>12</v>
      </c>
      <c r="AE230" s="4">
        <v>915.01</v>
      </c>
      <c r="AF230" s="4">
        <v>3</v>
      </c>
      <c r="AG230" s="4">
        <v>375</v>
      </c>
      <c r="AH230" s="4">
        <v>5</v>
      </c>
      <c r="AI230" s="4">
        <v>935.01</v>
      </c>
      <c r="AJ230" s="4">
        <v>4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Q230" s="3">
        <f t="shared" si="8"/>
        <v>18222.23</v>
      </c>
      <c r="BR230" s="3">
        <f t="shared" si="7"/>
        <v>102</v>
      </c>
    </row>
    <row r="231" spans="1:70" x14ac:dyDescent="0.25">
      <c r="A231" s="4" t="s">
        <v>2355</v>
      </c>
      <c r="B231" t="s">
        <v>54</v>
      </c>
      <c r="C231" s="338" t="s">
        <v>1826</v>
      </c>
      <c r="D231" s="213" t="s">
        <v>917</v>
      </c>
      <c r="E231" s="213" t="s">
        <v>144</v>
      </c>
      <c r="F231" s="213" t="s">
        <v>126</v>
      </c>
      <c r="G231" s="4">
        <v>10397.31</v>
      </c>
      <c r="H231" s="4">
        <v>29</v>
      </c>
      <c r="I231" s="4">
        <v>10853.21</v>
      </c>
      <c r="J231" s="4">
        <v>43</v>
      </c>
      <c r="K231" s="4">
        <v>3366.05</v>
      </c>
      <c r="L231" s="4">
        <v>15</v>
      </c>
      <c r="M231" s="4">
        <v>4741.08</v>
      </c>
      <c r="N231" s="4">
        <v>21</v>
      </c>
      <c r="O231" s="4">
        <v>2580.0700000000002</v>
      </c>
      <c r="P231" s="4">
        <v>15</v>
      </c>
      <c r="Q231" s="4">
        <v>2025.05</v>
      </c>
      <c r="R231" s="4">
        <v>12</v>
      </c>
      <c r="S231" s="4">
        <v>5568.1</v>
      </c>
      <c r="T231" s="4">
        <v>14</v>
      </c>
      <c r="U231" s="4">
        <v>1833.04</v>
      </c>
      <c r="V231" s="4">
        <v>11</v>
      </c>
      <c r="W231" s="4">
        <v>0</v>
      </c>
      <c r="X231" s="4">
        <v>0</v>
      </c>
      <c r="Y231" s="4">
        <v>3062.04</v>
      </c>
      <c r="Z231" s="4">
        <v>13</v>
      </c>
      <c r="AA231" s="4">
        <v>3994.06</v>
      </c>
      <c r="AB231" s="4">
        <v>14</v>
      </c>
      <c r="AC231" s="4">
        <v>3616.01</v>
      </c>
      <c r="AD231" s="4">
        <v>12</v>
      </c>
      <c r="AE231" s="4">
        <v>2832.03</v>
      </c>
      <c r="AF231" s="4">
        <v>9</v>
      </c>
      <c r="AG231" s="4">
        <v>0</v>
      </c>
      <c r="AH231" s="4">
        <v>0</v>
      </c>
      <c r="AI231" s="4">
        <v>4170.03</v>
      </c>
      <c r="AJ231" s="4">
        <v>13</v>
      </c>
      <c r="AK231" s="4">
        <v>4353.05</v>
      </c>
      <c r="AL231" s="4">
        <v>16</v>
      </c>
      <c r="AM231" s="4">
        <v>4993.05</v>
      </c>
      <c r="AN231" s="4">
        <v>15</v>
      </c>
      <c r="AO231" s="4">
        <v>1607.01</v>
      </c>
      <c r="AP231" s="4">
        <v>4</v>
      </c>
      <c r="AQ231" s="4">
        <v>1448.03</v>
      </c>
      <c r="AR231" s="4">
        <v>8</v>
      </c>
      <c r="AS231" s="4">
        <v>2147.02</v>
      </c>
      <c r="AT231" s="4">
        <v>8</v>
      </c>
      <c r="AU231" s="4">
        <v>3202.02</v>
      </c>
      <c r="AV231" s="4">
        <v>11</v>
      </c>
      <c r="AW231" s="4">
        <v>3711.75</v>
      </c>
      <c r="AX231" s="4">
        <v>13</v>
      </c>
      <c r="AY231" s="4">
        <v>0</v>
      </c>
      <c r="AZ231" s="4">
        <v>0</v>
      </c>
      <c r="BA231" s="4">
        <v>2878.8</v>
      </c>
      <c r="BB231" s="4">
        <v>11</v>
      </c>
      <c r="BC231" s="4">
        <v>2482.91</v>
      </c>
      <c r="BD231" s="4">
        <v>9</v>
      </c>
      <c r="BE231" s="4">
        <v>4218.26</v>
      </c>
      <c r="BF231" s="4">
        <v>10</v>
      </c>
      <c r="BQ231" s="3">
        <f t="shared" si="8"/>
        <v>90079.98</v>
      </c>
      <c r="BR231" s="3">
        <f t="shared" si="7"/>
        <v>326</v>
      </c>
    </row>
    <row r="232" spans="1:70" x14ac:dyDescent="0.25">
      <c r="A232" s="4" t="s">
        <v>2356</v>
      </c>
      <c r="B232" t="s">
        <v>54</v>
      </c>
      <c r="C232" s="338" t="s">
        <v>1827</v>
      </c>
      <c r="D232" s="213" t="s">
        <v>918</v>
      </c>
      <c r="E232" s="213" t="s">
        <v>144</v>
      </c>
      <c r="F232" s="213" t="s">
        <v>126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3459.08</v>
      </c>
      <c r="T232" s="4">
        <v>16</v>
      </c>
      <c r="U232" s="4">
        <v>4539.07</v>
      </c>
      <c r="V232" s="4">
        <v>19</v>
      </c>
      <c r="W232" s="4">
        <v>2778.06</v>
      </c>
      <c r="X232" s="4">
        <v>21</v>
      </c>
      <c r="Y232" s="4">
        <v>3600.13</v>
      </c>
      <c r="Z232" s="4">
        <v>12</v>
      </c>
      <c r="AA232" s="4">
        <v>150</v>
      </c>
      <c r="AB232" s="4">
        <v>1</v>
      </c>
      <c r="AC232" s="4">
        <v>2068.0100000000002</v>
      </c>
      <c r="AD232" s="4">
        <v>11</v>
      </c>
      <c r="AE232" s="4">
        <v>0</v>
      </c>
      <c r="AF232" s="4">
        <v>0</v>
      </c>
      <c r="AG232" s="4">
        <v>948.01</v>
      </c>
      <c r="AH232" s="4">
        <v>4</v>
      </c>
      <c r="AI232" s="4">
        <v>3106.06</v>
      </c>
      <c r="AJ232" s="4">
        <v>13</v>
      </c>
      <c r="AK232" s="4">
        <v>3666.04</v>
      </c>
      <c r="AL232" s="4">
        <v>19</v>
      </c>
      <c r="AM232" s="4">
        <v>2708</v>
      </c>
      <c r="AN232" s="4">
        <v>13</v>
      </c>
      <c r="AO232" s="4">
        <v>225.01</v>
      </c>
      <c r="AP232" s="4">
        <v>2</v>
      </c>
      <c r="AQ232" s="4">
        <v>1540.05</v>
      </c>
      <c r="AR232" s="4">
        <v>9</v>
      </c>
      <c r="AS232" s="4">
        <v>1496.03</v>
      </c>
      <c r="AT232" s="4">
        <v>8</v>
      </c>
      <c r="AU232" s="4">
        <v>1598.99</v>
      </c>
      <c r="AV232" s="4">
        <v>8</v>
      </c>
      <c r="AW232" s="4">
        <v>0</v>
      </c>
      <c r="AX232" s="4">
        <v>0</v>
      </c>
      <c r="AY232" s="4">
        <v>4471.7700000000004</v>
      </c>
      <c r="AZ232" s="4">
        <v>14</v>
      </c>
      <c r="BA232" s="4">
        <v>2892.84</v>
      </c>
      <c r="BB232" s="4">
        <v>13</v>
      </c>
      <c r="BC232" s="4">
        <v>1512.96</v>
      </c>
      <c r="BD232" s="4">
        <v>9</v>
      </c>
      <c r="BE232" s="4">
        <v>1627.14</v>
      </c>
      <c r="BF232" s="4">
        <v>8</v>
      </c>
      <c r="BQ232" s="3">
        <f t="shared" si="8"/>
        <v>42387.249999999993</v>
      </c>
      <c r="BR232" s="3">
        <f t="shared" si="7"/>
        <v>200</v>
      </c>
    </row>
    <row r="233" spans="1:70" x14ac:dyDescent="0.25">
      <c r="A233" s="4" t="s">
        <v>2357</v>
      </c>
      <c r="B233" t="s">
        <v>54</v>
      </c>
      <c r="C233" s="338" t="s">
        <v>1828</v>
      </c>
      <c r="D233" s="213" t="s">
        <v>919</v>
      </c>
      <c r="E233" s="213" t="s">
        <v>144</v>
      </c>
      <c r="F233" s="213" t="s">
        <v>126</v>
      </c>
      <c r="G233" s="4">
        <v>5419.15</v>
      </c>
      <c r="H233" s="4">
        <v>29</v>
      </c>
      <c r="I233" s="4">
        <v>1290.03</v>
      </c>
      <c r="J233" s="4">
        <v>9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1648</v>
      </c>
      <c r="AH233" s="4">
        <v>7</v>
      </c>
      <c r="AI233" s="4">
        <v>2509.0100000000002</v>
      </c>
      <c r="AJ233" s="4">
        <v>11</v>
      </c>
      <c r="AK233" s="4">
        <v>5438.17</v>
      </c>
      <c r="AL233" s="4">
        <v>20</v>
      </c>
      <c r="AM233" s="4">
        <v>6766.08</v>
      </c>
      <c r="AN233" s="4">
        <v>20</v>
      </c>
      <c r="AO233" s="4">
        <v>2310</v>
      </c>
      <c r="AP233" s="4">
        <v>11</v>
      </c>
      <c r="AQ233" s="4">
        <v>0</v>
      </c>
      <c r="AR233" s="4">
        <v>0</v>
      </c>
      <c r="AS233" s="4">
        <v>1309.04</v>
      </c>
      <c r="AT233" s="4">
        <v>9</v>
      </c>
      <c r="AU233" s="4">
        <v>2723.07</v>
      </c>
      <c r="AV233" s="4">
        <v>13</v>
      </c>
      <c r="AW233" s="4">
        <v>2481.86</v>
      </c>
      <c r="AX233" s="4">
        <v>14</v>
      </c>
      <c r="AY233" s="4">
        <v>3945.82</v>
      </c>
      <c r="AZ233" s="4">
        <v>15</v>
      </c>
      <c r="BA233" s="4">
        <v>5199.6000000000004</v>
      </c>
      <c r="BB233" s="4">
        <v>18</v>
      </c>
      <c r="BC233" s="4">
        <v>0</v>
      </c>
      <c r="BD233" s="4">
        <v>0</v>
      </c>
      <c r="BE233" s="4">
        <v>2414.19</v>
      </c>
      <c r="BF233" s="4">
        <v>10</v>
      </c>
      <c r="BQ233" s="3">
        <f t="shared" si="8"/>
        <v>43454.020000000004</v>
      </c>
      <c r="BR233" s="3">
        <f t="shared" si="7"/>
        <v>186</v>
      </c>
    </row>
    <row r="234" spans="1:70" x14ac:dyDescent="0.25">
      <c r="A234" s="4" t="s">
        <v>2358</v>
      </c>
      <c r="B234" t="s">
        <v>54</v>
      </c>
      <c r="C234" s="338" t="s">
        <v>1829</v>
      </c>
      <c r="D234" s="213" t="s">
        <v>920</v>
      </c>
      <c r="E234" s="213" t="s">
        <v>144</v>
      </c>
      <c r="F234" s="213" t="s">
        <v>126</v>
      </c>
      <c r="G234" s="4">
        <v>3215.06</v>
      </c>
      <c r="H234" s="4">
        <v>23</v>
      </c>
      <c r="I234" s="4">
        <v>0</v>
      </c>
      <c r="J234" s="4">
        <v>0</v>
      </c>
      <c r="K234" s="4">
        <v>7812.22</v>
      </c>
      <c r="L234" s="4">
        <v>38</v>
      </c>
      <c r="M234" s="4">
        <v>5098.13</v>
      </c>
      <c r="N234" s="4">
        <v>22</v>
      </c>
      <c r="O234" s="4">
        <v>2646.03</v>
      </c>
      <c r="P234" s="4">
        <v>21</v>
      </c>
      <c r="Q234" s="4">
        <v>3910.07</v>
      </c>
      <c r="R234" s="4">
        <v>17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2338.9499999999998</v>
      </c>
      <c r="AF234" s="4">
        <v>10</v>
      </c>
      <c r="AG234" s="4">
        <v>1525.02</v>
      </c>
      <c r="AH234" s="4">
        <v>10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Q234" s="3">
        <f t="shared" si="8"/>
        <v>26545.48</v>
      </c>
      <c r="BR234" s="3">
        <f t="shared" si="7"/>
        <v>141</v>
      </c>
    </row>
    <row r="235" spans="1:70" x14ac:dyDescent="0.25">
      <c r="A235" s="4" t="s">
        <v>2359</v>
      </c>
      <c r="B235" t="s">
        <v>54</v>
      </c>
      <c r="C235" s="338" t="s">
        <v>1830</v>
      </c>
      <c r="D235" s="213" t="s">
        <v>921</v>
      </c>
      <c r="E235" s="213" t="s">
        <v>144</v>
      </c>
      <c r="F235" s="213" t="s">
        <v>126</v>
      </c>
      <c r="G235" s="4">
        <v>0</v>
      </c>
      <c r="H235" s="4">
        <v>0</v>
      </c>
      <c r="I235" s="4">
        <v>5746.07</v>
      </c>
      <c r="J235" s="4">
        <v>26</v>
      </c>
      <c r="K235" s="4">
        <v>9072.16</v>
      </c>
      <c r="L235" s="4">
        <v>42</v>
      </c>
      <c r="M235" s="4">
        <v>9257.17</v>
      </c>
      <c r="N235" s="4">
        <v>36</v>
      </c>
      <c r="O235" s="4">
        <v>2673.05</v>
      </c>
      <c r="P235" s="4">
        <v>9</v>
      </c>
      <c r="Q235" s="4">
        <v>4021.12</v>
      </c>
      <c r="R235" s="4">
        <v>15</v>
      </c>
      <c r="S235" s="4">
        <v>7785.14</v>
      </c>
      <c r="T235" s="4">
        <v>26</v>
      </c>
      <c r="U235" s="4">
        <v>2292.04</v>
      </c>
      <c r="V235" s="4">
        <v>10</v>
      </c>
      <c r="W235" s="4">
        <v>7481.21</v>
      </c>
      <c r="X235" s="4">
        <v>26</v>
      </c>
      <c r="Y235" s="4">
        <v>9351.15</v>
      </c>
      <c r="Z235" s="4">
        <v>27</v>
      </c>
      <c r="AA235" s="4">
        <v>2897.01</v>
      </c>
      <c r="AB235" s="4">
        <v>12</v>
      </c>
      <c r="AC235" s="4">
        <v>4319.05</v>
      </c>
      <c r="AD235" s="4">
        <v>14</v>
      </c>
      <c r="AE235" s="4">
        <v>4316.1000000000004</v>
      </c>
      <c r="AF235" s="4">
        <v>10</v>
      </c>
      <c r="AG235" s="4">
        <v>5065.12</v>
      </c>
      <c r="AH235" s="4">
        <v>9</v>
      </c>
      <c r="AI235" s="4">
        <v>4672.09</v>
      </c>
      <c r="AJ235" s="4">
        <v>14</v>
      </c>
      <c r="AK235" s="4">
        <v>4446.07</v>
      </c>
      <c r="AL235" s="4">
        <v>12</v>
      </c>
      <c r="AM235" s="4">
        <v>5861</v>
      </c>
      <c r="AN235" s="4">
        <v>11</v>
      </c>
      <c r="AO235" s="4">
        <v>1931.03</v>
      </c>
      <c r="AP235" s="4">
        <v>6</v>
      </c>
      <c r="AQ235" s="4">
        <v>4069.08</v>
      </c>
      <c r="AR235" s="4">
        <v>15</v>
      </c>
      <c r="AS235" s="4">
        <v>0</v>
      </c>
      <c r="AT235" s="4">
        <v>0</v>
      </c>
      <c r="AU235" s="4">
        <v>5895.21</v>
      </c>
      <c r="AV235" s="4">
        <v>16</v>
      </c>
      <c r="AW235" s="4">
        <v>4788.76</v>
      </c>
      <c r="AX235" s="4">
        <v>20</v>
      </c>
      <c r="AY235" s="4">
        <v>5976.7</v>
      </c>
      <c r="AZ235" s="4">
        <v>16</v>
      </c>
      <c r="BA235" s="4">
        <v>4618.9399999999996</v>
      </c>
      <c r="BB235" s="4">
        <v>15</v>
      </c>
      <c r="BC235" s="4">
        <v>5262.68</v>
      </c>
      <c r="BD235" s="4">
        <v>17</v>
      </c>
      <c r="BE235" s="4">
        <v>3832.21</v>
      </c>
      <c r="BF235" s="4">
        <v>14</v>
      </c>
      <c r="BQ235" s="3">
        <f t="shared" si="8"/>
        <v>125630.15999999999</v>
      </c>
      <c r="BR235" s="3">
        <f t="shared" si="7"/>
        <v>418</v>
      </c>
    </row>
    <row r="236" spans="1:70" x14ac:dyDescent="0.25">
      <c r="A236" s="4" t="s">
        <v>2360</v>
      </c>
      <c r="B236" t="s">
        <v>54</v>
      </c>
      <c r="C236" s="338" t="s">
        <v>1831</v>
      </c>
      <c r="D236" s="213" t="s">
        <v>922</v>
      </c>
      <c r="E236" s="213" t="s">
        <v>144</v>
      </c>
      <c r="F236" s="213" t="s">
        <v>126</v>
      </c>
      <c r="G236" s="4">
        <v>0</v>
      </c>
      <c r="H236" s="4">
        <v>0</v>
      </c>
      <c r="I236" s="4">
        <v>8123.1</v>
      </c>
      <c r="J236" s="4">
        <v>49</v>
      </c>
      <c r="K236" s="4">
        <v>6935.14</v>
      </c>
      <c r="L236" s="4">
        <v>32</v>
      </c>
      <c r="M236" s="4">
        <v>3272.11</v>
      </c>
      <c r="N236" s="4">
        <v>16</v>
      </c>
      <c r="O236" s="4">
        <v>3607.08</v>
      </c>
      <c r="P236" s="4">
        <v>19</v>
      </c>
      <c r="Q236" s="4">
        <v>2261.0300000000002</v>
      </c>
      <c r="R236" s="4">
        <v>15</v>
      </c>
      <c r="S236" s="4">
        <v>5173.12</v>
      </c>
      <c r="T236" s="4">
        <v>29</v>
      </c>
      <c r="U236" s="4">
        <v>2859.09</v>
      </c>
      <c r="V236" s="4">
        <v>14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1668.03</v>
      </c>
      <c r="AP236" s="4">
        <v>12</v>
      </c>
      <c r="AQ236" s="4">
        <v>0</v>
      </c>
      <c r="AR236" s="4">
        <v>0</v>
      </c>
      <c r="AS236" s="4">
        <v>3031.04</v>
      </c>
      <c r="AT236" s="4">
        <v>15</v>
      </c>
      <c r="AU236" s="4">
        <v>1348.01</v>
      </c>
      <c r="AV236" s="4">
        <v>7</v>
      </c>
      <c r="AW236" s="4">
        <v>0</v>
      </c>
      <c r="AX236" s="4">
        <v>0</v>
      </c>
      <c r="AY236" s="4">
        <v>0</v>
      </c>
      <c r="AZ236" s="4">
        <v>0</v>
      </c>
      <c r="BA236" s="4">
        <v>3301.78</v>
      </c>
      <c r="BB236" s="4">
        <v>13</v>
      </c>
      <c r="BC236" s="4">
        <v>1218.93</v>
      </c>
      <c r="BD236" s="4">
        <v>8</v>
      </c>
      <c r="BE236" s="4">
        <v>1710.11</v>
      </c>
      <c r="BF236" s="4">
        <v>9</v>
      </c>
      <c r="BQ236" s="3">
        <f t="shared" si="8"/>
        <v>44508.57</v>
      </c>
      <c r="BR236" s="3">
        <f t="shared" si="7"/>
        <v>238</v>
      </c>
    </row>
    <row r="237" spans="1:70" x14ac:dyDescent="0.25">
      <c r="A237" s="4" t="s">
        <v>2361</v>
      </c>
      <c r="B237" t="s">
        <v>54</v>
      </c>
      <c r="C237" s="338" t="s">
        <v>1832</v>
      </c>
      <c r="D237" s="213" t="s">
        <v>923</v>
      </c>
      <c r="E237" s="213" t="s">
        <v>144</v>
      </c>
      <c r="F237" s="213" t="s">
        <v>126</v>
      </c>
      <c r="G237" s="4">
        <v>8837.23</v>
      </c>
      <c r="H237" s="4">
        <v>30</v>
      </c>
      <c r="I237" s="4">
        <v>7133.11</v>
      </c>
      <c r="J237" s="4">
        <v>38</v>
      </c>
      <c r="K237" s="4">
        <v>5095</v>
      </c>
      <c r="L237" s="4">
        <v>23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2691.99</v>
      </c>
      <c r="V237" s="4">
        <v>11</v>
      </c>
      <c r="W237" s="4">
        <v>4349.07</v>
      </c>
      <c r="X237" s="4">
        <v>19</v>
      </c>
      <c r="Y237" s="4">
        <v>4290.1400000000003</v>
      </c>
      <c r="Z237" s="4">
        <v>13</v>
      </c>
      <c r="AA237" s="4">
        <v>2025.03</v>
      </c>
      <c r="AB237" s="4">
        <v>11</v>
      </c>
      <c r="AC237" s="4">
        <v>649.02</v>
      </c>
      <c r="AD237" s="4">
        <v>4</v>
      </c>
      <c r="AE237" s="4">
        <v>1132.04</v>
      </c>
      <c r="AF237" s="4">
        <v>7</v>
      </c>
      <c r="AG237" s="4">
        <v>2108.0500000000002</v>
      </c>
      <c r="AH237" s="4">
        <v>6</v>
      </c>
      <c r="AI237" s="4">
        <v>3199.05</v>
      </c>
      <c r="AJ237" s="4">
        <v>9</v>
      </c>
      <c r="AK237" s="4">
        <v>574.99</v>
      </c>
      <c r="AL237" s="4">
        <v>1</v>
      </c>
      <c r="AM237" s="4">
        <v>4229.0200000000004</v>
      </c>
      <c r="AN237" s="4">
        <v>22</v>
      </c>
      <c r="AO237" s="4">
        <v>310</v>
      </c>
      <c r="AP237" s="4">
        <v>1</v>
      </c>
      <c r="AQ237" s="4">
        <v>877.01</v>
      </c>
      <c r="AR237" s="4">
        <v>7</v>
      </c>
      <c r="AS237" s="4">
        <v>3232.03</v>
      </c>
      <c r="AT237" s="4">
        <v>17</v>
      </c>
      <c r="AU237" s="4">
        <v>115</v>
      </c>
      <c r="AV237" s="4">
        <v>1</v>
      </c>
      <c r="AW237" s="4">
        <v>2560.9</v>
      </c>
      <c r="AX237" s="4">
        <v>11</v>
      </c>
      <c r="AY237" s="4">
        <v>3155.78</v>
      </c>
      <c r="AZ237" s="4">
        <v>17</v>
      </c>
      <c r="BA237" s="4">
        <v>5024.62</v>
      </c>
      <c r="BB237" s="4">
        <v>19</v>
      </c>
      <c r="BC237" s="4">
        <v>2794.95</v>
      </c>
      <c r="BD237" s="4">
        <v>14</v>
      </c>
      <c r="BE237" s="4">
        <v>1580.11</v>
      </c>
      <c r="BF237" s="4">
        <v>6</v>
      </c>
      <c r="BQ237" s="3">
        <f t="shared" si="8"/>
        <v>65964.14</v>
      </c>
      <c r="BR237" s="3">
        <f t="shared" si="7"/>
        <v>287</v>
      </c>
    </row>
    <row r="238" spans="1:70" x14ac:dyDescent="0.25">
      <c r="A238" s="4" t="s">
        <v>2362</v>
      </c>
      <c r="B238" t="s">
        <v>54</v>
      </c>
      <c r="C238" s="338" t="s">
        <v>1833</v>
      </c>
      <c r="D238" s="213" t="s">
        <v>924</v>
      </c>
      <c r="E238" s="213" t="s">
        <v>144</v>
      </c>
      <c r="F238" s="213" t="s">
        <v>126</v>
      </c>
      <c r="G238" s="4">
        <v>3059.01</v>
      </c>
      <c r="H238" s="4">
        <v>18</v>
      </c>
      <c r="I238" s="4">
        <v>0</v>
      </c>
      <c r="J238" s="4">
        <v>0</v>
      </c>
      <c r="K238" s="4">
        <v>4834.9799999999996</v>
      </c>
      <c r="L238" s="4">
        <v>30</v>
      </c>
      <c r="M238" s="4">
        <v>2675.01</v>
      </c>
      <c r="N238" s="4">
        <v>16</v>
      </c>
      <c r="O238" s="4">
        <v>2180</v>
      </c>
      <c r="P238" s="4">
        <v>11</v>
      </c>
      <c r="Q238" s="4">
        <v>675.01</v>
      </c>
      <c r="R238" s="4">
        <v>4</v>
      </c>
      <c r="S238" s="4">
        <v>2305.0700000000002</v>
      </c>
      <c r="T238" s="4">
        <v>8</v>
      </c>
      <c r="U238" s="4">
        <v>1294.02</v>
      </c>
      <c r="V238" s="4">
        <v>7</v>
      </c>
      <c r="W238" s="4">
        <v>2353.04</v>
      </c>
      <c r="X238" s="4">
        <v>17</v>
      </c>
      <c r="Y238" s="4">
        <v>0</v>
      </c>
      <c r="Z238" s="4">
        <v>0</v>
      </c>
      <c r="AA238" s="4">
        <v>0</v>
      </c>
      <c r="AB238" s="4">
        <v>0</v>
      </c>
      <c r="AC238" s="4">
        <v>5034.13</v>
      </c>
      <c r="AD238" s="4">
        <v>16</v>
      </c>
      <c r="AE238" s="4">
        <v>1958.03</v>
      </c>
      <c r="AF238" s="4">
        <v>11</v>
      </c>
      <c r="AG238" s="4">
        <v>1773.03</v>
      </c>
      <c r="AH238" s="4">
        <v>10</v>
      </c>
      <c r="AI238" s="4">
        <v>3716.09</v>
      </c>
      <c r="AJ238" s="4">
        <v>13</v>
      </c>
      <c r="AK238" s="4">
        <v>0</v>
      </c>
      <c r="AL238" s="4">
        <v>0</v>
      </c>
      <c r="AM238" s="4">
        <v>0</v>
      </c>
      <c r="AN238" s="4">
        <v>0</v>
      </c>
      <c r="AO238" s="4">
        <v>3799.13</v>
      </c>
      <c r="AP238" s="4">
        <v>7</v>
      </c>
      <c r="AQ238" s="4">
        <v>1050.04</v>
      </c>
      <c r="AR238" s="4">
        <v>4</v>
      </c>
      <c r="AS238" s="4">
        <v>1199.99</v>
      </c>
      <c r="AT238" s="4">
        <v>6</v>
      </c>
      <c r="AU238" s="4">
        <v>1064.03</v>
      </c>
      <c r="AV238" s="4">
        <v>5</v>
      </c>
      <c r="AW238" s="4">
        <v>2584.83</v>
      </c>
      <c r="AX238" s="4">
        <v>8</v>
      </c>
      <c r="AY238" s="4">
        <v>2363.86</v>
      </c>
      <c r="AZ238" s="4">
        <v>11</v>
      </c>
      <c r="BA238" s="4">
        <v>0</v>
      </c>
      <c r="BB238" s="4">
        <v>0</v>
      </c>
      <c r="BC238" s="4">
        <v>1379.9</v>
      </c>
      <c r="BD238" s="4">
        <v>8</v>
      </c>
      <c r="BE238" s="4">
        <v>2429.13</v>
      </c>
      <c r="BF238" s="4">
        <v>7</v>
      </c>
      <c r="BQ238" s="3">
        <f t="shared" si="8"/>
        <v>47728.329999999994</v>
      </c>
      <c r="BR238" s="3">
        <f t="shared" si="7"/>
        <v>217</v>
      </c>
    </row>
    <row r="239" spans="1:70" x14ac:dyDescent="0.25">
      <c r="A239" s="4" t="s">
        <v>2363</v>
      </c>
      <c r="B239" t="s">
        <v>55</v>
      </c>
      <c r="C239" s="338" t="s">
        <v>1834</v>
      </c>
      <c r="D239" s="213" t="s">
        <v>925</v>
      </c>
      <c r="E239" s="213" t="s">
        <v>153</v>
      </c>
      <c r="F239" s="213" t="s">
        <v>127</v>
      </c>
      <c r="G239" s="4">
        <v>1372.04</v>
      </c>
      <c r="H239" s="4">
        <v>6</v>
      </c>
      <c r="I239" s="4">
        <v>1759.99</v>
      </c>
      <c r="J239" s="4">
        <v>15</v>
      </c>
      <c r="K239" s="4">
        <v>2374.06</v>
      </c>
      <c r="L239" s="4">
        <v>17</v>
      </c>
      <c r="M239" s="4">
        <v>1213.01</v>
      </c>
      <c r="N239" s="4">
        <v>12</v>
      </c>
      <c r="O239" s="4">
        <v>0</v>
      </c>
      <c r="P239" s="4">
        <v>0</v>
      </c>
      <c r="Q239" s="4">
        <v>931.03</v>
      </c>
      <c r="R239" s="4">
        <v>7</v>
      </c>
      <c r="S239" s="4">
        <v>1268</v>
      </c>
      <c r="T239" s="4">
        <v>9</v>
      </c>
      <c r="U239" s="4">
        <v>1519.03</v>
      </c>
      <c r="V239" s="4">
        <v>12</v>
      </c>
      <c r="W239" s="4">
        <v>2644.03</v>
      </c>
      <c r="X239" s="4">
        <v>18</v>
      </c>
      <c r="Y239" s="4">
        <v>1010.02</v>
      </c>
      <c r="Z239" s="4">
        <v>7</v>
      </c>
      <c r="AA239" s="4">
        <v>1105</v>
      </c>
      <c r="AB239" s="4">
        <v>7</v>
      </c>
      <c r="AC239" s="4">
        <v>1566.03</v>
      </c>
      <c r="AD239" s="4">
        <v>10</v>
      </c>
      <c r="AE239" s="4">
        <v>0</v>
      </c>
      <c r="AF239" s="4">
        <v>0</v>
      </c>
      <c r="AG239" s="4">
        <v>3023.05</v>
      </c>
      <c r="AH239" s="4">
        <v>12</v>
      </c>
      <c r="AI239" s="4">
        <v>218</v>
      </c>
      <c r="AJ239" s="4">
        <v>2</v>
      </c>
      <c r="AK239" s="4">
        <v>924.02</v>
      </c>
      <c r="AL239" s="4">
        <v>5</v>
      </c>
      <c r="AM239" s="4">
        <v>324</v>
      </c>
      <c r="AN239" s="4">
        <v>1</v>
      </c>
      <c r="AO239" s="4">
        <v>315.01</v>
      </c>
      <c r="AP239" s="4">
        <v>2</v>
      </c>
      <c r="AQ239" s="4">
        <v>0</v>
      </c>
      <c r="AR239" s="4">
        <v>0</v>
      </c>
      <c r="AS239" s="4">
        <v>0</v>
      </c>
      <c r="AT239" s="4">
        <v>0</v>
      </c>
      <c r="AU239" s="4">
        <v>75</v>
      </c>
      <c r="AV239" s="4">
        <v>1</v>
      </c>
      <c r="AW239" s="4">
        <v>421.96</v>
      </c>
      <c r="AX239" s="4">
        <v>2</v>
      </c>
      <c r="AY239" s="4">
        <v>1239.95</v>
      </c>
      <c r="AZ239" s="4">
        <v>4</v>
      </c>
      <c r="BA239" s="4">
        <v>225</v>
      </c>
      <c r="BB239" s="4">
        <v>1</v>
      </c>
      <c r="BC239" s="4">
        <v>758.05</v>
      </c>
      <c r="BD239" s="4">
        <v>2</v>
      </c>
      <c r="BE239" s="4">
        <v>0</v>
      </c>
      <c r="BF239" s="4">
        <v>0</v>
      </c>
      <c r="BQ239" s="3">
        <f t="shared" si="8"/>
        <v>24286.28</v>
      </c>
      <c r="BR239" s="3">
        <f t="shared" si="7"/>
        <v>152</v>
      </c>
    </row>
    <row r="240" spans="1:70" x14ac:dyDescent="0.25">
      <c r="A240" s="4" t="s">
        <v>2364</v>
      </c>
      <c r="B240" t="s">
        <v>55</v>
      </c>
      <c r="C240" s="338" t="s">
        <v>1835</v>
      </c>
      <c r="D240" s="213" t="s">
        <v>926</v>
      </c>
      <c r="E240" s="213" t="s">
        <v>153</v>
      </c>
      <c r="F240" s="213" t="s">
        <v>127</v>
      </c>
      <c r="G240" s="4">
        <v>4400.09</v>
      </c>
      <c r="H240" s="4">
        <v>31</v>
      </c>
      <c r="I240" s="4">
        <v>2784.07</v>
      </c>
      <c r="J240" s="4">
        <v>25</v>
      </c>
      <c r="K240" s="4">
        <v>2451.0100000000002</v>
      </c>
      <c r="L240" s="4">
        <v>18</v>
      </c>
      <c r="M240" s="4">
        <v>1593.01</v>
      </c>
      <c r="N240" s="4">
        <v>13</v>
      </c>
      <c r="O240" s="4">
        <v>3622.07</v>
      </c>
      <c r="P240" s="4">
        <v>19</v>
      </c>
      <c r="Q240" s="4">
        <v>1406.02</v>
      </c>
      <c r="R240" s="4">
        <v>10</v>
      </c>
      <c r="S240" s="4">
        <v>0</v>
      </c>
      <c r="T240" s="4">
        <v>0</v>
      </c>
      <c r="U240" s="4">
        <v>2869.07</v>
      </c>
      <c r="V240" s="4">
        <v>17</v>
      </c>
      <c r="W240" s="4">
        <v>2898.04</v>
      </c>
      <c r="X240" s="4">
        <v>19</v>
      </c>
      <c r="Y240" s="4">
        <v>1059.01</v>
      </c>
      <c r="Z240" s="4">
        <v>8</v>
      </c>
      <c r="AA240" s="4">
        <v>1907.01</v>
      </c>
      <c r="AB240" s="4">
        <v>14</v>
      </c>
      <c r="AC240" s="4">
        <v>2246.0500000000002</v>
      </c>
      <c r="AD240" s="4">
        <v>13</v>
      </c>
      <c r="AE240" s="4">
        <v>2448.0300000000002</v>
      </c>
      <c r="AF240" s="4">
        <v>14</v>
      </c>
      <c r="AG240" s="4">
        <v>0</v>
      </c>
      <c r="AH240" s="4">
        <v>0</v>
      </c>
      <c r="AI240" s="4">
        <v>600.02</v>
      </c>
      <c r="AJ240" s="4">
        <v>4</v>
      </c>
      <c r="AK240" s="4">
        <v>1297.03</v>
      </c>
      <c r="AL240" s="4">
        <v>10</v>
      </c>
      <c r="AM240" s="4">
        <v>0</v>
      </c>
      <c r="AN240" s="4">
        <v>0</v>
      </c>
      <c r="AO240" s="4">
        <v>477</v>
      </c>
      <c r="AP240" s="4">
        <v>3</v>
      </c>
      <c r="AQ240" s="4">
        <v>944</v>
      </c>
      <c r="AR240" s="4">
        <v>7</v>
      </c>
      <c r="AS240" s="4">
        <v>1422.02</v>
      </c>
      <c r="AT240" s="4">
        <v>6</v>
      </c>
      <c r="AU240" s="4">
        <v>0</v>
      </c>
      <c r="AV240" s="4">
        <v>0</v>
      </c>
      <c r="AW240" s="4">
        <v>1218.9000000000001</v>
      </c>
      <c r="AX240" s="4">
        <v>4</v>
      </c>
      <c r="AY240" s="4">
        <v>1316.95</v>
      </c>
      <c r="AZ240" s="4">
        <v>6</v>
      </c>
      <c r="BA240" s="4">
        <v>1071.98</v>
      </c>
      <c r="BB240" s="4">
        <v>4</v>
      </c>
      <c r="BC240" s="4">
        <v>1661</v>
      </c>
      <c r="BD240" s="4">
        <v>3</v>
      </c>
      <c r="BE240" s="4">
        <v>1393.04</v>
      </c>
      <c r="BF240" s="4">
        <v>3</v>
      </c>
      <c r="BQ240" s="3">
        <f t="shared" si="8"/>
        <v>41085.42</v>
      </c>
      <c r="BR240" s="3">
        <f t="shared" si="7"/>
        <v>251</v>
      </c>
    </row>
    <row r="241" spans="1:70" x14ac:dyDescent="0.25">
      <c r="A241" s="4" t="s">
        <v>2365</v>
      </c>
      <c r="B241" t="s">
        <v>55</v>
      </c>
      <c r="C241" s="338" t="s">
        <v>1836</v>
      </c>
      <c r="D241" s="213" t="s">
        <v>927</v>
      </c>
      <c r="E241" s="213" t="s">
        <v>153</v>
      </c>
      <c r="F241" s="213" t="s">
        <v>127</v>
      </c>
      <c r="G241" s="4">
        <v>3806.04</v>
      </c>
      <c r="H241" s="4">
        <v>32</v>
      </c>
      <c r="I241" s="4">
        <v>2511.0500000000002</v>
      </c>
      <c r="J241" s="4">
        <v>26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1413.05</v>
      </c>
      <c r="AL241" s="4">
        <v>12</v>
      </c>
      <c r="AM241" s="4">
        <v>0</v>
      </c>
      <c r="AN241" s="4">
        <v>0</v>
      </c>
      <c r="AO241" s="4">
        <v>472</v>
      </c>
      <c r="AP241" s="4">
        <v>2</v>
      </c>
      <c r="AQ241" s="4">
        <v>1147.02</v>
      </c>
      <c r="AR241" s="4">
        <v>6</v>
      </c>
      <c r="AS241" s="4">
        <v>1104.98</v>
      </c>
      <c r="AT241" s="4">
        <v>2</v>
      </c>
      <c r="AU241" s="4">
        <v>715.01</v>
      </c>
      <c r="AV241" s="4">
        <v>6</v>
      </c>
      <c r="AW241" s="4">
        <v>699.98</v>
      </c>
      <c r="AX241" s="4">
        <v>3</v>
      </c>
      <c r="AY241" s="4">
        <v>1674.98</v>
      </c>
      <c r="AZ241" s="4">
        <v>8</v>
      </c>
      <c r="BA241" s="4">
        <v>0</v>
      </c>
      <c r="BB241" s="4">
        <v>0</v>
      </c>
      <c r="BC241" s="4">
        <v>2662.94</v>
      </c>
      <c r="BD241" s="4">
        <v>13</v>
      </c>
      <c r="BE241" s="4">
        <v>1073.06</v>
      </c>
      <c r="BF241" s="4">
        <v>7</v>
      </c>
      <c r="BQ241" s="3">
        <f t="shared" si="8"/>
        <v>17280.11</v>
      </c>
      <c r="BR241" s="3">
        <f t="shared" si="7"/>
        <v>117</v>
      </c>
    </row>
    <row r="242" spans="1:70" x14ac:dyDescent="0.25">
      <c r="A242" s="4" t="s">
        <v>2366</v>
      </c>
      <c r="B242" t="s">
        <v>55</v>
      </c>
      <c r="C242" s="338" t="s">
        <v>1837</v>
      </c>
      <c r="D242" s="213" t="s">
        <v>928</v>
      </c>
      <c r="E242" s="213" t="s">
        <v>153</v>
      </c>
      <c r="F242" s="213" t="s">
        <v>127</v>
      </c>
      <c r="G242" s="4">
        <v>0</v>
      </c>
      <c r="H242" s="4">
        <v>0</v>
      </c>
      <c r="I242" s="4">
        <v>0</v>
      </c>
      <c r="J242" s="4">
        <v>0</v>
      </c>
      <c r="K242" s="4">
        <v>656.03</v>
      </c>
      <c r="L242" s="4">
        <v>6</v>
      </c>
      <c r="M242" s="4">
        <v>450.01</v>
      </c>
      <c r="N242" s="4">
        <v>4</v>
      </c>
      <c r="O242" s="4">
        <v>675.02</v>
      </c>
      <c r="P242" s="4">
        <v>4</v>
      </c>
      <c r="Q242" s="4">
        <v>825.03</v>
      </c>
      <c r="R242" s="4">
        <v>6</v>
      </c>
      <c r="S242" s="4">
        <v>637</v>
      </c>
      <c r="T242" s="4">
        <v>7</v>
      </c>
      <c r="U242" s="4">
        <v>300</v>
      </c>
      <c r="V242" s="4">
        <v>2</v>
      </c>
      <c r="W242" s="4">
        <v>0</v>
      </c>
      <c r="X242" s="4">
        <v>0</v>
      </c>
      <c r="Y242" s="4">
        <v>150</v>
      </c>
      <c r="Z242" s="4">
        <v>1</v>
      </c>
      <c r="AA242" s="4">
        <v>300.02</v>
      </c>
      <c r="AB242" s="4">
        <v>2</v>
      </c>
      <c r="AC242" s="4">
        <v>600.02</v>
      </c>
      <c r="AD242" s="4">
        <v>3</v>
      </c>
      <c r="AE242" s="4">
        <v>0</v>
      </c>
      <c r="AF242" s="4">
        <v>0</v>
      </c>
      <c r="AG242" s="4">
        <v>375</v>
      </c>
      <c r="AH242" s="4">
        <v>3</v>
      </c>
      <c r="AI242" s="4">
        <v>935</v>
      </c>
      <c r="AJ242" s="4">
        <v>9</v>
      </c>
      <c r="AK242" s="4">
        <v>0</v>
      </c>
      <c r="AL242" s="4">
        <v>0</v>
      </c>
      <c r="AM242" s="4">
        <v>525.01</v>
      </c>
      <c r="AN242" s="4">
        <v>5</v>
      </c>
      <c r="AO242" s="4">
        <v>490</v>
      </c>
      <c r="AP242" s="4">
        <v>3</v>
      </c>
      <c r="AQ242" s="4">
        <v>820.02</v>
      </c>
      <c r="AR242" s="4">
        <v>4</v>
      </c>
      <c r="AS242" s="4">
        <v>599.99</v>
      </c>
      <c r="AT242" s="4">
        <v>1</v>
      </c>
      <c r="AU242" s="4">
        <v>300</v>
      </c>
      <c r="AV242" s="4">
        <v>2</v>
      </c>
      <c r="AW242" s="4">
        <v>735.98</v>
      </c>
      <c r="AX242" s="4">
        <v>6</v>
      </c>
      <c r="AY242" s="4">
        <v>0</v>
      </c>
      <c r="AZ242" s="4">
        <v>0</v>
      </c>
      <c r="BA242" s="4">
        <v>993.96</v>
      </c>
      <c r="BB242" s="4">
        <v>7</v>
      </c>
      <c r="BC242" s="4">
        <v>510.98</v>
      </c>
      <c r="BD242" s="4">
        <v>4</v>
      </c>
      <c r="BE242" s="4">
        <v>75</v>
      </c>
      <c r="BF242" s="4">
        <v>1</v>
      </c>
      <c r="BQ242" s="3">
        <f t="shared" si="8"/>
        <v>10954.07</v>
      </c>
      <c r="BR242" s="3">
        <f t="shared" si="7"/>
        <v>80</v>
      </c>
    </row>
    <row r="243" spans="1:70" x14ac:dyDescent="0.25">
      <c r="A243" s="4" t="s">
        <v>2367</v>
      </c>
      <c r="B243" t="s">
        <v>55</v>
      </c>
      <c r="C243" s="338" t="s">
        <v>1838</v>
      </c>
      <c r="D243" s="213" t="s">
        <v>929</v>
      </c>
      <c r="E243" s="213" t="s">
        <v>153</v>
      </c>
      <c r="F243" s="213" t="s">
        <v>127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966.01</v>
      </c>
      <c r="AJ243" s="4">
        <v>8</v>
      </c>
      <c r="AK243" s="4">
        <v>0</v>
      </c>
      <c r="AL243" s="4">
        <v>0</v>
      </c>
      <c r="AM243" s="4">
        <v>1436</v>
      </c>
      <c r="AN243" s="4">
        <v>6</v>
      </c>
      <c r="AO243" s="4">
        <v>0</v>
      </c>
      <c r="AP243" s="4">
        <v>0</v>
      </c>
      <c r="AQ243" s="4">
        <v>535.01</v>
      </c>
      <c r="AR243" s="4">
        <v>4</v>
      </c>
      <c r="AS243" s="4">
        <v>405</v>
      </c>
      <c r="AT243" s="4">
        <v>4</v>
      </c>
      <c r="AU243" s="4">
        <v>705</v>
      </c>
      <c r="AV243" s="4">
        <v>3</v>
      </c>
      <c r="AW243" s="4">
        <v>769.96</v>
      </c>
      <c r="AX243" s="4">
        <v>2</v>
      </c>
      <c r="AY243" s="4">
        <v>816.97</v>
      </c>
      <c r="AZ243" s="4">
        <v>3</v>
      </c>
      <c r="BA243" s="4">
        <v>1364.96</v>
      </c>
      <c r="BB243" s="4">
        <v>4</v>
      </c>
      <c r="BC243" s="4">
        <v>0</v>
      </c>
      <c r="BD243" s="4">
        <v>0</v>
      </c>
      <c r="BE243" s="4">
        <v>0</v>
      </c>
      <c r="BF243" s="4">
        <v>0</v>
      </c>
      <c r="BQ243" s="3">
        <f t="shared" si="8"/>
        <v>6998.9100000000008</v>
      </c>
      <c r="BR243" s="3">
        <f t="shared" si="7"/>
        <v>34</v>
      </c>
    </row>
    <row r="244" spans="1:70" x14ac:dyDescent="0.25">
      <c r="A244" s="4" t="s">
        <v>2368</v>
      </c>
      <c r="B244" t="s">
        <v>56</v>
      </c>
      <c r="C244" s="338" t="s">
        <v>1839</v>
      </c>
      <c r="D244" s="213" t="s">
        <v>930</v>
      </c>
      <c r="E244" s="213" t="s">
        <v>142</v>
      </c>
      <c r="F244" s="213" t="s">
        <v>132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300</v>
      </c>
      <c r="AJ244" s="4">
        <v>2</v>
      </c>
      <c r="AK244" s="4">
        <v>150.01</v>
      </c>
      <c r="AL244" s="4">
        <v>1</v>
      </c>
      <c r="AM244" s="4">
        <v>0</v>
      </c>
      <c r="AN244" s="4">
        <v>0</v>
      </c>
      <c r="AO244" s="4">
        <v>250</v>
      </c>
      <c r="AP244" s="4">
        <v>1</v>
      </c>
      <c r="AQ244" s="4">
        <v>0</v>
      </c>
      <c r="AR244" s="4">
        <v>0</v>
      </c>
      <c r="AS244" s="4">
        <v>625.01</v>
      </c>
      <c r="AT244" s="4">
        <v>4</v>
      </c>
      <c r="AU244" s="4">
        <v>150</v>
      </c>
      <c r="AV244" s="4">
        <v>1</v>
      </c>
      <c r="AW244" s="4">
        <v>285.98</v>
      </c>
      <c r="AX244" s="4">
        <v>1</v>
      </c>
      <c r="AY244" s="4">
        <v>210.98</v>
      </c>
      <c r="AZ244" s="4">
        <v>1</v>
      </c>
      <c r="BA244" s="4">
        <v>0</v>
      </c>
      <c r="BB244" s="4">
        <v>0</v>
      </c>
      <c r="BC244" s="4">
        <v>774.02</v>
      </c>
      <c r="BD244" s="4">
        <v>4</v>
      </c>
      <c r="BE244" s="4">
        <v>88</v>
      </c>
      <c r="BF244" s="4">
        <v>2</v>
      </c>
      <c r="BQ244" s="3">
        <f t="shared" si="8"/>
        <v>2834</v>
      </c>
      <c r="BR244" s="3">
        <f t="shared" si="7"/>
        <v>17</v>
      </c>
    </row>
    <row r="245" spans="1:70" x14ac:dyDescent="0.25">
      <c r="A245" s="4" t="s">
        <v>2369</v>
      </c>
      <c r="B245" t="s">
        <v>56</v>
      </c>
      <c r="C245" s="338" t="s">
        <v>1840</v>
      </c>
      <c r="D245" s="213" t="s">
        <v>931</v>
      </c>
      <c r="E245" s="213" t="s">
        <v>142</v>
      </c>
      <c r="F245" s="213" t="s">
        <v>132</v>
      </c>
      <c r="G245" s="4">
        <v>0</v>
      </c>
      <c r="H245" s="4">
        <v>0</v>
      </c>
      <c r="I245" s="4">
        <v>3388.06</v>
      </c>
      <c r="J245" s="4">
        <v>25</v>
      </c>
      <c r="K245" s="4">
        <v>2771.04</v>
      </c>
      <c r="L245" s="4">
        <v>15</v>
      </c>
      <c r="M245" s="4">
        <v>3974.03</v>
      </c>
      <c r="N245" s="4">
        <v>24</v>
      </c>
      <c r="O245" s="4">
        <v>2429.0700000000002</v>
      </c>
      <c r="P245" s="4">
        <v>10</v>
      </c>
      <c r="Q245" s="4">
        <v>0</v>
      </c>
      <c r="R245" s="4">
        <v>0</v>
      </c>
      <c r="S245" s="4">
        <v>3990</v>
      </c>
      <c r="T245" s="4">
        <v>15</v>
      </c>
      <c r="U245" s="4">
        <v>2091</v>
      </c>
      <c r="V245" s="4">
        <v>8</v>
      </c>
      <c r="W245" s="4">
        <v>2443.9899999999998</v>
      </c>
      <c r="X245" s="4">
        <v>8</v>
      </c>
      <c r="Y245" s="4">
        <v>2091</v>
      </c>
      <c r="Z245" s="4">
        <v>7</v>
      </c>
      <c r="AA245" s="4">
        <v>1931.99</v>
      </c>
      <c r="AB245" s="4">
        <v>9</v>
      </c>
      <c r="AC245" s="4">
        <v>1019</v>
      </c>
      <c r="AD245" s="4">
        <v>7</v>
      </c>
      <c r="AE245" s="4">
        <v>0</v>
      </c>
      <c r="AF245" s="4">
        <v>0</v>
      </c>
      <c r="AG245" s="4">
        <v>0</v>
      </c>
      <c r="AH245" s="4">
        <v>0</v>
      </c>
      <c r="AI245" s="4">
        <v>1267</v>
      </c>
      <c r="AJ245" s="4">
        <v>5</v>
      </c>
      <c r="AK245" s="4">
        <v>1075.02</v>
      </c>
      <c r="AL245" s="4">
        <v>6</v>
      </c>
      <c r="AM245" s="4">
        <v>1645.01</v>
      </c>
      <c r="AN245" s="4">
        <v>9</v>
      </c>
      <c r="AO245" s="4">
        <v>584</v>
      </c>
      <c r="AP245" s="4">
        <v>5</v>
      </c>
      <c r="AQ245" s="4">
        <v>1289</v>
      </c>
      <c r="AR245" s="4">
        <v>9</v>
      </c>
      <c r="AS245" s="4">
        <v>0</v>
      </c>
      <c r="AT245" s="4">
        <v>0</v>
      </c>
      <c r="AU245" s="4">
        <v>1603</v>
      </c>
      <c r="AV245" s="4">
        <v>10</v>
      </c>
      <c r="AW245" s="4">
        <v>1633.92</v>
      </c>
      <c r="AX245" s="4">
        <v>7</v>
      </c>
      <c r="AY245" s="4">
        <v>1556.87</v>
      </c>
      <c r="AZ245" s="4">
        <v>7</v>
      </c>
      <c r="BA245" s="4">
        <v>2122.87</v>
      </c>
      <c r="BB245" s="4">
        <v>9</v>
      </c>
      <c r="BC245" s="4">
        <v>593.96</v>
      </c>
      <c r="BD245" s="4">
        <v>2</v>
      </c>
      <c r="BE245" s="4">
        <v>1639.11</v>
      </c>
      <c r="BF245" s="4">
        <v>6</v>
      </c>
      <c r="BQ245" s="3">
        <f t="shared" si="8"/>
        <v>41138.94000000001</v>
      </c>
      <c r="BR245" s="3">
        <f t="shared" si="7"/>
        <v>203</v>
      </c>
    </row>
    <row r="246" spans="1:70" x14ac:dyDescent="0.25">
      <c r="A246" s="4" t="s">
        <v>2370</v>
      </c>
      <c r="B246" t="s">
        <v>56</v>
      </c>
      <c r="C246" s="338" t="s">
        <v>1841</v>
      </c>
      <c r="D246" s="213" t="s">
        <v>932</v>
      </c>
      <c r="E246" s="213" t="s">
        <v>142</v>
      </c>
      <c r="F246" s="213" t="s">
        <v>132</v>
      </c>
      <c r="G246" s="4">
        <v>2354.04</v>
      </c>
      <c r="H246" s="4">
        <v>12</v>
      </c>
      <c r="I246" s="4">
        <v>5073.1000000000004</v>
      </c>
      <c r="J246" s="4">
        <v>34</v>
      </c>
      <c r="K246" s="4">
        <v>2423.08</v>
      </c>
      <c r="L246" s="4">
        <v>16</v>
      </c>
      <c r="M246" s="4">
        <v>1399.02</v>
      </c>
      <c r="N246" s="4">
        <v>8</v>
      </c>
      <c r="O246" s="4">
        <v>0</v>
      </c>
      <c r="P246" s="4">
        <v>0</v>
      </c>
      <c r="Q246" s="4">
        <v>1487.04</v>
      </c>
      <c r="R246" s="4">
        <v>9</v>
      </c>
      <c r="S246" s="4">
        <v>1315.03</v>
      </c>
      <c r="T246" s="4">
        <v>9</v>
      </c>
      <c r="U246" s="4">
        <v>1320.04</v>
      </c>
      <c r="V246" s="4">
        <v>5</v>
      </c>
      <c r="W246" s="4">
        <v>2289.04</v>
      </c>
      <c r="X246" s="4">
        <v>12</v>
      </c>
      <c r="Y246" s="4">
        <v>0</v>
      </c>
      <c r="Z246" s="4">
        <v>0</v>
      </c>
      <c r="AA246" s="4">
        <v>1348.02</v>
      </c>
      <c r="AB246" s="4">
        <v>8</v>
      </c>
      <c r="AC246" s="4">
        <v>0</v>
      </c>
      <c r="AD246" s="4">
        <v>0</v>
      </c>
      <c r="AE246" s="4">
        <v>912.01</v>
      </c>
      <c r="AF246" s="4">
        <v>8</v>
      </c>
      <c r="AG246" s="4">
        <v>1162.02</v>
      </c>
      <c r="AH246" s="4">
        <v>10</v>
      </c>
      <c r="AI246" s="4">
        <v>608.01</v>
      </c>
      <c r="AJ246" s="4">
        <v>5</v>
      </c>
      <c r="AK246" s="4">
        <v>1528.02</v>
      </c>
      <c r="AL246" s="4">
        <v>11</v>
      </c>
      <c r="AM246" s="4">
        <v>2085.04</v>
      </c>
      <c r="AN246" s="4">
        <v>13</v>
      </c>
      <c r="AO246" s="4">
        <v>1945</v>
      </c>
      <c r="AP246" s="4">
        <v>14</v>
      </c>
      <c r="AQ246" s="4">
        <v>225</v>
      </c>
      <c r="AR246" s="4">
        <v>1</v>
      </c>
      <c r="AS246" s="4">
        <v>0</v>
      </c>
      <c r="AT246" s="4">
        <v>0</v>
      </c>
      <c r="AU246" s="4">
        <v>0</v>
      </c>
      <c r="AV246" s="4">
        <v>0</v>
      </c>
      <c r="AW246" s="4">
        <v>510.98</v>
      </c>
      <c r="AX246" s="4">
        <v>3</v>
      </c>
      <c r="AY246" s="4">
        <v>484.99</v>
      </c>
      <c r="AZ246" s="4">
        <v>2</v>
      </c>
      <c r="BA246" s="4">
        <v>0</v>
      </c>
      <c r="BB246" s="4">
        <v>0</v>
      </c>
      <c r="BC246" s="4">
        <v>1239.99</v>
      </c>
      <c r="BD246" s="4">
        <v>6</v>
      </c>
      <c r="BE246" s="4">
        <v>0</v>
      </c>
      <c r="BF246" s="4">
        <v>0</v>
      </c>
      <c r="BQ246" s="3">
        <f t="shared" si="8"/>
        <v>29709.470000000005</v>
      </c>
      <c r="BR246" s="3">
        <f t="shared" si="7"/>
        <v>186</v>
      </c>
    </row>
    <row r="247" spans="1:70" x14ac:dyDescent="0.25">
      <c r="A247" s="4" t="s">
        <v>2371</v>
      </c>
      <c r="B247" t="s">
        <v>56</v>
      </c>
      <c r="C247" s="338" t="s">
        <v>1842</v>
      </c>
      <c r="D247" s="213" t="s">
        <v>933</v>
      </c>
      <c r="E247" s="213" t="s">
        <v>142</v>
      </c>
      <c r="F247" s="213" t="s">
        <v>132</v>
      </c>
      <c r="G247" s="4">
        <v>3540.02</v>
      </c>
      <c r="H247" s="4">
        <v>15</v>
      </c>
      <c r="I247" s="4">
        <v>825.01</v>
      </c>
      <c r="J247" s="4">
        <v>3</v>
      </c>
      <c r="K247" s="4">
        <v>0</v>
      </c>
      <c r="L247" s="4">
        <v>0</v>
      </c>
      <c r="M247" s="4">
        <v>2312.0500000000002</v>
      </c>
      <c r="N247" s="4">
        <v>5</v>
      </c>
      <c r="O247" s="4">
        <v>2584.02</v>
      </c>
      <c r="P247" s="4">
        <v>12</v>
      </c>
      <c r="Q247" s="4">
        <v>1024.01</v>
      </c>
      <c r="R247" s="4">
        <v>5</v>
      </c>
      <c r="S247" s="4">
        <v>1165.03</v>
      </c>
      <c r="T247" s="4">
        <v>6</v>
      </c>
      <c r="U247" s="4">
        <v>1601.99</v>
      </c>
      <c r="V247" s="4">
        <v>9</v>
      </c>
      <c r="W247" s="4">
        <v>597</v>
      </c>
      <c r="X247" s="4">
        <v>3</v>
      </c>
      <c r="Y247" s="4">
        <v>0</v>
      </c>
      <c r="Z247" s="4">
        <v>0</v>
      </c>
      <c r="AA247" s="4">
        <v>2034.03</v>
      </c>
      <c r="AB247" s="4">
        <v>7</v>
      </c>
      <c r="AC247" s="4">
        <v>2355.04</v>
      </c>
      <c r="AD247" s="4">
        <v>11</v>
      </c>
      <c r="AE247" s="4">
        <v>376.95</v>
      </c>
      <c r="AF247" s="4">
        <v>3</v>
      </c>
      <c r="AG247" s="4">
        <v>1376.01</v>
      </c>
      <c r="AH247" s="4">
        <v>8</v>
      </c>
      <c r="AI247" s="4">
        <v>2171.06</v>
      </c>
      <c r="AJ247" s="4">
        <v>11</v>
      </c>
      <c r="AK247" s="4">
        <v>2205.9899999999998</v>
      </c>
      <c r="AL247" s="4">
        <v>11</v>
      </c>
      <c r="AM247" s="4">
        <v>175</v>
      </c>
      <c r="AN247" s="4">
        <v>2</v>
      </c>
      <c r="AO247" s="4">
        <v>190</v>
      </c>
      <c r="AP247" s="4">
        <v>2</v>
      </c>
      <c r="AQ247" s="4">
        <v>645.01</v>
      </c>
      <c r="AR247" s="4">
        <v>3</v>
      </c>
      <c r="AS247" s="4">
        <v>779.02</v>
      </c>
      <c r="AT247" s="4">
        <v>5</v>
      </c>
      <c r="AU247" s="4">
        <v>2030.02</v>
      </c>
      <c r="AV247" s="4">
        <v>8</v>
      </c>
      <c r="AW247" s="4">
        <v>1904.01</v>
      </c>
      <c r="AX247" s="4">
        <v>5</v>
      </c>
      <c r="AY247" s="4">
        <v>0</v>
      </c>
      <c r="AZ247" s="4">
        <v>0</v>
      </c>
      <c r="BA247" s="4">
        <v>509.98</v>
      </c>
      <c r="BB247" s="4">
        <v>4</v>
      </c>
      <c r="BC247" s="4">
        <v>1465.99</v>
      </c>
      <c r="BD247" s="4">
        <v>14</v>
      </c>
      <c r="BE247" s="4">
        <v>2567.1999999999998</v>
      </c>
      <c r="BF247" s="4">
        <v>17</v>
      </c>
      <c r="BQ247" s="3">
        <f t="shared" si="8"/>
        <v>34434.439999999995</v>
      </c>
      <c r="BR247" s="3">
        <f t="shared" si="7"/>
        <v>169</v>
      </c>
    </row>
    <row r="248" spans="1:70" x14ac:dyDescent="0.25">
      <c r="A248" s="4" t="s">
        <v>2372</v>
      </c>
      <c r="B248" t="s">
        <v>56</v>
      </c>
      <c r="C248" s="338" t="s">
        <v>1843</v>
      </c>
      <c r="D248" s="213" t="s">
        <v>934</v>
      </c>
      <c r="E248" s="213" t="s">
        <v>142</v>
      </c>
      <c r="F248" s="213" t="s">
        <v>132</v>
      </c>
      <c r="G248" s="4">
        <v>1621.03</v>
      </c>
      <c r="H248" s="4">
        <v>10</v>
      </c>
      <c r="I248" s="4">
        <v>485.01</v>
      </c>
      <c r="J248" s="4">
        <v>4</v>
      </c>
      <c r="K248" s="4">
        <v>2730.06</v>
      </c>
      <c r="L248" s="4">
        <v>21</v>
      </c>
      <c r="M248" s="4">
        <v>850.99</v>
      </c>
      <c r="N248" s="4">
        <v>4</v>
      </c>
      <c r="O248" s="4">
        <v>849.01</v>
      </c>
      <c r="P248" s="4">
        <v>5</v>
      </c>
      <c r="Q248" s="4">
        <v>1765.99</v>
      </c>
      <c r="R248" s="4">
        <v>7</v>
      </c>
      <c r="S248" s="4">
        <v>32</v>
      </c>
      <c r="T248" s="4">
        <v>2</v>
      </c>
      <c r="U248" s="4">
        <v>853</v>
      </c>
      <c r="V248" s="4">
        <v>5</v>
      </c>
      <c r="W248" s="4">
        <v>886</v>
      </c>
      <c r="X248" s="4">
        <v>3</v>
      </c>
      <c r="Y248" s="4">
        <v>1412</v>
      </c>
      <c r="Z248" s="4">
        <v>9</v>
      </c>
      <c r="AA248" s="4">
        <v>375.02</v>
      </c>
      <c r="AB248" s="4">
        <v>3</v>
      </c>
      <c r="AC248" s="4">
        <v>0</v>
      </c>
      <c r="AD248" s="4">
        <v>0</v>
      </c>
      <c r="AE248" s="4">
        <v>1725.01</v>
      </c>
      <c r="AF248" s="4">
        <v>10</v>
      </c>
      <c r="AG248" s="4">
        <v>2018.01</v>
      </c>
      <c r="AH248" s="4">
        <v>8</v>
      </c>
      <c r="AI248" s="4">
        <v>685.01</v>
      </c>
      <c r="AJ248" s="4">
        <v>4</v>
      </c>
      <c r="AK248" s="4">
        <v>580</v>
      </c>
      <c r="AL248" s="4">
        <v>4</v>
      </c>
      <c r="AM248" s="4">
        <v>1667.03</v>
      </c>
      <c r="AN248" s="4">
        <v>9</v>
      </c>
      <c r="AO248" s="4">
        <v>75</v>
      </c>
      <c r="AP248" s="4">
        <v>1</v>
      </c>
      <c r="AQ248" s="4">
        <v>340</v>
      </c>
      <c r="AR248" s="4">
        <v>3</v>
      </c>
      <c r="AS248" s="4">
        <v>3374.04</v>
      </c>
      <c r="AT248" s="4">
        <v>14</v>
      </c>
      <c r="AU248" s="4">
        <v>1382.03</v>
      </c>
      <c r="AV248" s="4">
        <v>10</v>
      </c>
      <c r="AW248" s="4">
        <v>671.96</v>
      </c>
      <c r="AX248" s="4">
        <v>4</v>
      </c>
      <c r="AY248" s="4">
        <v>603.96</v>
      </c>
      <c r="AZ248" s="4">
        <v>5</v>
      </c>
      <c r="BA248" s="4">
        <v>1320.97</v>
      </c>
      <c r="BB248" s="4">
        <v>6</v>
      </c>
      <c r="BC248" s="4">
        <v>889.97</v>
      </c>
      <c r="BD248" s="4">
        <v>5</v>
      </c>
      <c r="BE248" s="4">
        <v>0</v>
      </c>
      <c r="BF248" s="4">
        <v>0</v>
      </c>
      <c r="BQ248" s="3">
        <f t="shared" si="8"/>
        <v>27193.1</v>
      </c>
      <c r="BR248" s="3">
        <f t="shared" si="7"/>
        <v>156</v>
      </c>
    </row>
    <row r="249" spans="1:70" x14ac:dyDescent="0.25">
      <c r="A249" s="4" t="s">
        <v>2373</v>
      </c>
      <c r="B249" t="s">
        <v>57</v>
      </c>
      <c r="C249" s="338" t="s">
        <v>1844</v>
      </c>
      <c r="D249" s="213" t="s">
        <v>935</v>
      </c>
      <c r="E249" s="213" t="s">
        <v>139</v>
      </c>
      <c r="F249" s="213" t="s">
        <v>130</v>
      </c>
      <c r="G249" s="4">
        <v>0</v>
      </c>
      <c r="H249" s="4">
        <v>0</v>
      </c>
      <c r="I249" s="4">
        <v>0</v>
      </c>
      <c r="J249" s="4">
        <v>0</v>
      </c>
      <c r="K249" s="4">
        <v>300</v>
      </c>
      <c r="L249" s="4">
        <v>2</v>
      </c>
      <c r="M249" s="4">
        <v>321</v>
      </c>
      <c r="N249" s="4">
        <v>2</v>
      </c>
      <c r="O249" s="4">
        <v>1503.04</v>
      </c>
      <c r="P249" s="4">
        <v>10</v>
      </c>
      <c r="Q249" s="4">
        <v>0</v>
      </c>
      <c r="R249" s="4">
        <v>0</v>
      </c>
      <c r="S249" s="4">
        <v>160</v>
      </c>
      <c r="T249" s="4">
        <v>1</v>
      </c>
      <c r="U249" s="4">
        <v>150.02000000000001</v>
      </c>
      <c r="V249" s="4">
        <v>1</v>
      </c>
      <c r="W249" s="4">
        <v>375.02</v>
      </c>
      <c r="X249" s="4">
        <v>3</v>
      </c>
      <c r="Y249" s="4">
        <v>574</v>
      </c>
      <c r="Z249" s="4">
        <v>4</v>
      </c>
      <c r="AA249" s="4">
        <v>375.01</v>
      </c>
      <c r="AB249" s="4">
        <v>2</v>
      </c>
      <c r="AC249" s="4">
        <v>530.02</v>
      </c>
      <c r="AD249" s="4">
        <v>2</v>
      </c>
      <c r="AE249" s="4">
        <v>0</v>
      </c>
      <c r="AF249" s="4">
        <v>0</v>
      </c>
      <c r="AG249" s="4">
        <v>577.01</v>
      </c>
      <c r="AH249" s="4">
        <v>5</v>
      </c>
      <c r="AI249" s="4">
        <v>675.03</v>
      </c>
      <c r="AJ249" s="4">
        <v>3</v>
      </c>
      <c r="AK249" s="4">
        <v>1886.07</v>
      </c>
      <c r="AL249" s="4">
        <v>13</v>
      </c>
      <c r="AM249" s="4">
        <v>819</v>
      </c>
      <c r="AN249" s="4">
        <v>5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360.98</v>
      </c>
      <c r="BB249" s="4">
        <v>2</v>
      </c>
      <c r="BC249" s="4">
        <v>0</v>
      </c>
      <c r="BD249" s="4">
        <v>0</v>
      </c>
      <c r="BE249" s="4">
        <v>0</v>
      </c>
      <c r="BF249" s="4">
        <v>0</v>
      </c>
      <c r="BQ249" s="3">
        <f t="shared" si="8"/>
        <v>8606.2000000000007</v>
      </c>
      <c r="BR249" s="3">
        <f t="shared" si="7"/>
        <v>55</v>
      </c>
    </row>
    <row r="250" spans="1:70" x14ac:dyDescent="0.25">
      <c r="A250" s="4" t="s">
        <v>2374</v>
      </c>
      <c r="B250" t="s">
        <v>57</v>
      </c>
      <c r="C250" s="338" t="s">
        <v>1845</v>
      </c>
      <c r="D250" s="213" t="s">
        <v>936</v>
      </c>
      <c r="E250" s="213" t="s">
        <v>139</v>
      </c>
      <c r="F250" s="213" t="s">
        <v>130</v>
      </c>
      <c r="G250" s="4">
        <v>0</v>
      </c>
      <c r="H250" s="4">
        <v>0</v>
      </c>
      <c r="I250" s="4">
        <v>1935.02</v>
      </c>
      <c r="J250" s="4">
        <v>12</v>
      </c>
      <c r="K250" s="4">
        <v>2761.05</v>
      </c>
      <c r="L250" s="4">
        <v>17</v>
      </c>
      <c r="M250" s="4">
        <v>1057.04</v>
      </c>
      <c r="N250" s="4">
        <v>7</v>
      </c>
      <c r="O250" s="4">
        <v>0</v>
      </c>
      <c r="P250" s="4">
        <v>0</v>
      </c>
      <c r="Q250" s="4">
        <v>825.04</v>
      </c>
      <c r="R250" s="4">
        <v>5</v>
      </c>
      <c r="S250" s="4">
        <v>3031.06</v>
      </c>
      <c r="T250" s="4">
        <v>24</v>
      </c>
      <c r="U250" s="4">
        <v>1024</v>
      </c>
      <c r="V250" s="4">
        <v>9</v>
      </c>
      <c r="W250" s="4">
        <v>1970.01</v>
      </c>
      <c r="X250" s="4">
        <v>12</v>
      </c>
      <c r="Y250" s="4">
        <v>1548.02</v>
      </c>
      <c r="Z250" s="4">
        <v>11</v>
      </c>
      <c r="AA250" s="4">
        <v>0</v>
      </c>
      <c r="AB250" s="4">
        <v>0</v>
      </c>
      <c r="AC250" s="4">
        <v>0</v>
      </c>
      <c r="AD250" s="4">
        <v>0</v>
      </c>
      <c r="AE250" s="4">
        <v>1365.02</v>
      </c>
      <c r="AF250" s="4">
        <v>10</v>
      </c>
      <c r="AG250" s="4">
        <v>675.02</v>
      </c>
      <c r="AH250" s="4">
        <v>5</v>
      </c>
      <c r="AI250" s="4">
        <v>225</v>
      </c>
      <c r="AJ250" s="4">
        <v>3</v>
      </c>
      <c r="AK250" s="4">
        <v>0</v>
      </c>
      <c r="AL250" s="4">
        <v>0</v>
      </c>
      <c r="AM250" s="4">
        <v>1831</v>
      </c>
      <c r="AN250" s="4">
        <v>19</v>
      </c>
      <c r="AO250" s="4">
        <v>324.01</v>
      </c>
      <c r="AP250" s="4">
        <v>3</v>
      </c>
      <c r="AQ250" s="4">
        <v>0</v>
      </c>
      <c r="AR250" s="4">
        <v>0</v>
      </c>
      <c r="AS250" s="4">
        <v>397.01</v>
      </c>
      <c r="AT250" s="4">
        <v>4</v>
      </c>
      <c r="AU250" s="4">
        <v>1198.02</v>
      </c>
      <c r="AV250" s="4">
        <v>8</v>
      </c>
      <c r="AW250" s="4">
        <v>722.99</v>
      </c>
      <c r="AX250" s="4">
        <v>7</v>
      </c>
      <c r="AY250" s="4">
        <v>796.97</v>
      </c>
      <c r="AZ250" s="4">
        <v>5</v>
      </c>
      <c r="BA250" s="4">
        <v>2142.84</v>
      </c>
      <c r="BB250" s="4">
        <v>12</v>
      </c>
      <c r="BC250" s="4">
        <v>0</v>
      </c>
      <c r="BD250" s="4">
        <v>0</v>
      </c>
      <c r="BE250" s="4">
        <v>0</v>
      </c>
      <c r="BF250" s="4">
        <v>0</v>
      </c>
      <c r="BQ250" s="3">
        <f t="shared" si="8"/>
        <v>23829.119999999999</v>
      </c>
      <c r="BR250" s="3">
        <f t="shared" si="7"/>
        <v>173</v>
      </c>
    </row>
    <row r="251" spans="1:70" x14ac:dyDescent="0.25">
      <c r="A251" s="4" t="s">
        <v>2375</v>
      </c>
      <c r="B251" t="s">
        <v>57</v>
      </c>
      <c r="C251" s="338" t="s">
        <v>1846</v>
      </c>
      <c r="D251" s="213" t="s">
        <v>937</v>
      </c>
      <c r="E251" s="213" t="s">
        <v>139</v>
      </c>
      <c r="F251" s="213" t="s">
        <v>130</v>
      </c>
      <c r="G251" s="4">
        <v>1955.04</v>
      </c>
      <c r="H251" s="4">
        <v>17</v>
      </c>
      <c r="I251" s="4">
        <v>0</v>
      </c>
      <c r="J251" s="4">
        <v>0</v>
      </c>
      <c r="K251" s="4">
        <v>1287.03</v>
      </c>
      <c r="L251" s="4">
        <v>11</v>
      </c>
      <c r="M251" s="4">
        <v>150</v>
      </c>
      <c r="N251" s="4">
        <v>2</v>
      </c>
      <c r="O251" s="4">
        <v>1225.02</v>
      </c>
      <c r="P251" s="4">
        <v>7</v>
      </c>
      <c r="Q251" s="4">
        <v>300.02</v>
      </c>
      <c r="R251" s="4">
        <v>2</v>
      </c>
      <c r="S251" s="4">
        <v>1300</v>
      </c>
      <c r="T251" s="4">
        <v>7</v>
      </c>
      <c r="U251" s="4">
        <v>247.02</v>
      </c>
      <c r="V251" s="4">
        <v>2</v>
      </c>
      <c r="W251" s="4">
        <v>0</v>
      </c>
      <c r="X251" s="4">
        <v>0</v>
      </c>
      <c r="Y251" s="4">
        <v>300</v>
      </c>
      <c r="Z251" s="4">
        <v>3</v>
      </c>
      <c r="AA251" s="4">
        <v>747.03</v>
      </c>
      <c r="AB251" s="4">
        <v>5</v>
      </c>
      <c r="AC251" s="4">
        <v>969.03</v>
      </c>
      <c r="AD251" s="4">
        <v>4</v>
      </c>
      <c r="AE251" s="4">
        <v>1535.04</v>
      </c>
      <c r="AF251" s="4">
        <v>11</v>
      </c>
      <c r="AG251" s="4">
        <v>1272.03</v>
      </c>
      <c r="AH251" s="4">
        <v>10</v>
      </c>
      <c r="AI251" s="4">
        <v>835.02</v>
      </c>
      <c r="AJ251" s="4">
        <v>5</v>
      </c>
      <c r="AK251" s="4">
        <v>0</v>
      </c>
      <c r="AL251" s="4">
        <v>0</v>
      </c>
      <c r="AM251" s="4">
        <v>1057.01</v>
      </c>
      <c r="AN251" s="4">
        <v>8</v>
      </c>
      <c r="AO251" s="4">
        <v>1064.01</v>
      </c>
      <c r="AP251" s="4">
        <v>6</v>
      </c>
      <c r="AQ251" s="4">
        <v>932.03</v>
      </c>
      <c r="AR251" s="4">
        <v>7</v>
      </c>
      <c r="AS251" s="4">
        <v>490.02</v>
      </c>
      <c r="AT251" s="4">
        <v>4</v>
      </c>
      <c r="AU251" s="4">
        <v>0</v>
      </c>
      <c r="AV251" s="4">
        <v>0</v>
      </c>
      <c r="AW251" s="4">
        <v>1518.93</v>
      </c>
      <c r="AX251" s="4">
        <v>8</v>
      </c>
      <c r="AY251" s="4">
        <v>1729.88</v>
      </c>
      <c r="AZ251" s="4">
        <v>9</v>
      </c>
      <c r="BA251" s="4">
        <v>951.96</v>
      </c>
      <c r="BB251" s="4">
        <v>6</v>
      </c>
      <c r="BC251" s="4">
        <v>2285.87</v>
      </c>
      <c r="BD251" s="4">
        <v>11</v>
      </c>
      <c r="BE251" s="4">
        <v>2129.15</v>
      </c>
      <c r="BF251" s="4">
        <v>7</v>
      </c>
      <c r="BQ251" s="3">
        <f t="shared" si="8"/>
        <v>24281.140000000003</v>
      </c>
      <c r="BR251" s="3">
        <f t="shared" si="7"/>
        <v>152</v>
      </c>
    </row>
    <row r="252" spans="1:70" x14ac:dyDescent="0.25">
      <c r="A252" s="4" t="s">
        <v>2376</v>
      </c>
      <c r="B252" t="s">
        <v>57</v>
      </c>
      <c r="C252" s="338" t="s">
        <v>1847</v>
      </c>
      <c r="D252" s="213" t="s">
        <v>938</v>
      </c>
      <c r="E252" s="213" t="s">
        <v>139</v>
      </c>
      <c r="F252" s="213" t="s">
        <v>130</v>
      </c>
      <c r="G252" s="4">
        <v>3774.04</v>
      </c>
      <c r="H252" s="4">
        <v>34</v>
      </c>
      <c r="I252" s="4">
        <v>3556.1</v>
      </c>
      <c r="J252" s="4">
        <v>26</v>
      </c>
      <c r="K252" s="4">
        <v>2834.04</v>
      </c>
      <c r="L252" s="4">
        <v>21</v>
      </c>
      <c r="M252" s="4">
        <v>2165.04</v>
      </c>
      <c r="N252" s="4">
        <v>15</v>
      </c>
      <c r="O252" s="4">
        <v>2209.0500000000002</v>
      </c>
      <c r="P252" s="4">
        <v>14</v>
      </c>
      <c r="Q252" s="4">
        <v>2024.04</v>
      </c>
      <c r="R252" s="4">
        <v>12</v>
      </c>
      <c r="S252" s="4">
        <v>0</v>
      </c>
      <c r="T252" s="4">
        <v>0</v>
      </c>
      <c r="U252" s="4">
        <v>1804.04</v>
      </c>
      <c r="V252" s="4">
        <v>9</v>
      </c>
      <c r="W252" s="4">
        <v>908.03</v>
      </c>
      <c r="X252" s="4">
        <v>9</v>
      </c>
      <c r="Y252" s="4">
        <v>931.01</v>
      </c>
      <c r="Z252" s="4">
        <v>9</v>
      </c>
      <c r="AA252" s="4">
        <v>1182.01</v>
      </c>
      <c r="AB252" s="4">
        <v>8</v>
      </c>
      <c r="AC252" s="4">
        <v>1375.01</v>
      </c>
      <c r="AD252" s="4">
        <v>9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75</v>
      </c>
      <c r="AP252" s="4">
        <v>1</v>
      </c>
      <c r="AQ252" s="4">
        <v>225</v>
      </c>
      <c r="AR252" s="4">
        <v>2</v>
      </c>
      <c r="AS252" s="4">
        <v>675.03</v>
      </c>
      <c r="AT252" s="4">
        <v>4</v>
      </c>
      <c r="AU252" s="4">
        <v>243</v>
      </c>
      <c r="AV252" s="4">
        <v>2</v>
      </c>
      <c r="AW252" s="4">
        <v>571.96</v>
      </c>
      <c r="AX252" s="4">
        <v>3</v>
      </c>
      <c r="AY252" s="4">
        <v>0</v>
      </c>
      <c r="AZ252" s="4">
        <v>0</v>
      </c>
      <c r="BA252" s="4">
        <v>940.92</v>
      </c>
      <c r="BB252" s="4">
        <v>5</v>
      </c>
      <c r="BC252" s="4">
        <v>632.94000000000005</v>
      </c>
      <c r="BD252" s="4">
        <v>7</v>
      </c>
      <c r="BE252" s="4">
        <v>497.04</v>
      </c>
      <c r="BF252" s="4">
        <v>3</v>
      </c>
      <c r="BQ252" s="3">
        <f t="shared" si="8"/>
        <v>26623.299999999992</v>
      </c>
      <c r="BR252" s="3">
        <f t="shared" si="7"/>
        <v>193</v>
      </c>
    </row>
    <row r="253" spans="1:70" x14ac:dyDescent="0.25">
      <c r="A253" s="4" t="s">
        <v>2377</v>
      </c>
      <c r="B253" t="s">
        <v>57</v>
      </c>
      <c r="C253" s="338" t="s">
        <v>1848</v>
      </c>
      <c r="D253" s="213" t="s">
        <v>939</v>
      </c>
      <c r="E253" s="213" t="s">
        <v>139</v>
      </c>
      <c r="F253" s="213" t="s">
        <v>130</v>
      </c>
      <c r="G253" s="4">
        <v>2986.06</v>
      </c>
      <c r="H253" s="4">
        <v>20</v>
      </c>
      <c r="I253" s="4">
        <v>2472.02</v>
      </c>
      <c r="J253" s="4">
        <v>17</v>
      </c>
      <c r="K253" s="4">
        <v>0</v>
      </c>
      <c r="L253" s="4">
        <v>0</v>
      </c>
      <c r="M253" s="4">
        <v>3063.11</v>
      </c>
      <c r="N253" s="4">
        <v>17</v>
      </c>
      <c r="O253" s="4">
        <v>2458.0500000000002</v>
      </c>
      <c r="P253" s="4">
        <v>18</v>
      </c>
      <c r="Q253" s="4">
        <v>515.01</v>
      </c>
      <c r="R253" s="4">
        <v>5</v>
      </c>
      <c r="S253" s="4">
        <v>1935.02</v>
      </c>
      <c r="T253" s="4">
        <v>20</v>
      </c>
      <c r="U253" s="4">
        <v>1609.05</v>
      </c>
      <c r="V253" s="4">
        <v>11</v>
      </c>
      <c r="W253" s="4">
        <v>1604.04</v>
      </c>
      <c r="X253" s="4">
        <v>14</v>
      </c>
      <c r="Y253" s="4">
        <v>0</v>
      </c>
      <c r="Z253" s="4">
        <v>0</v>
      </c>
      <c r="AA253" s="4">
        <v>821.04</v>
      </c>
      <c r="AB253" s="4">
        <v>8</v>
      </c>
      <c r="AC253" s="4">
        <v>1715.02</v>
      </c>
      <c r="AD253" s="4">
        <v>14</v>
      </c>
      <c r="AE253" s="4">
        <v>1389.04</v>
      </c>
      <c r="AF253" s="4">
        <v>11</v>
      </c>
      <c r="AG253" s="4">
        <v>1139.01</v>
      </c>
      <c r="AH253" s="4">
        <v>8</v>
      </c>
      <c r="AI253" s="4">
        <v>2286.06</v>
      </c>
      <c r="AJ253" s="4">
        <v>14</v>
      </c>
      <c r="AK253" s="4">
        <v>2358.0500000000002</v>
      </c>
      <c r="AL253" s="4">
        <v>20</v>
      </c>
      <c r="AM253" s="4">
        <v>0</v>
      </c>
      <c r="AN253" s="4">
        <v>0</v>
      </c>
      <c r="AO253" s="4">
        <v>812</v>
      </c>
      <c r="AP253" s="4">
        <v>7</v>
      </c>
      <c r="AQ253" s="4">
        <v>2005.06</v>
      </c>
      <c r="AR253" s="4">
        <v>8</v>
      </c>
      <c r="AS253" s="4">
        <v>1045.02</v>
      </c>
      <c r="AT253" s="4">
        <v>7</v>
      </c>
      <c r="AU253" s="4">
        <v>814.02</v>
      </c>
      <c r="AV253" s="4">
        <v>7</v>
      </c>
      <c r="AW253" s="4">
        <v>1471.97</v>
      </c>
      <c r="AX253" s="4">
        <v>9</v>
      </c>
      <c r="AY253" s="4">
        <v>1765.92</v>
      </c>
      <c r="AZ253" s="4">
        <v>9</v>
      </c>
      <c r="BA253" s="4">
        <v>0</v>
      </c>
      <c r="BB253" s="4">
        <v>0</v>
      </c>
      <c r="BC253" s="4">
        <v>1297.92</v>
      </c>
      <c r="BD253" s="4">
        <v>6</v>
      </c>
      <c r="BE253" s="4">
        <v>780.03</v>
      </c>
      <c r="BF253" s="4">
        <v>6</v>
      </c>
      <c r="BQ253" s="3">
        <f t="shared" si="8"/>
        <v>36342.520000000004</v>
      </c>
      <c r="BR253" s="3">
        <f t="shared" si="7"/>
        <v>256</v>
      </c>
    </row>
    <row r="254" spans="1:70" x14ac:dyDescent="0.25">
      <c r="A254" s="4" t="s">
        <v>2378</v>
      </c>
      <c r="B254" t="s">
        <v>58</v>
      </c>
      <c r="C254" s="338" t="s">
        <v>1849</v>
      </c>
      <c r="D254" s="213" t="s">
        <v>940</v>
      </c>
      <c r="E254" s="213" t="s">
        <v>145</v>
      </c>
      <c r="F254" s="213" t="s">
        <v>131</v>
      </c>
      <c r="G254" s="4">
        <v>0</v>
      </c>
      <c r="H254" s="4">
        <v>0</v>
      </c>
      <c r="I254" s="4">
        <v>3927.99</v>
      </c>
      <c r="J254" s="4">
        <v>31</v>
      </c>
      <c r="K254" s="4">
        <v>2637.09</v>
      </c>
      <c r="L254" s="4">
        <v>23</v>
      </c>
      <c r="M254" s="4">
        <v>966.02</v>
      </c>
      <c r="N254" s="4">
        <v>10</v>
      </c>
      <c r="O254" s="4">
        <v>2170.02</v>
      </c>
      <c r="P254" s="4">
        <v>16</v>
      </c>
      <c r="Q254" s="4">
        <v>2830.06</v>
      </c>
      <c r="R254" s="4">
        <v>19</v>
      </c>
      <c r="S254" s="4">
        <v>2295.04</v>
      </c>
      <c r="T254" s="4">
        <v>14</v>
      </c>
      <c r="U254" s="4">
        <v>1171.05</v>
      </c>
      <c r="V254" s="4">
        <v>10</v>
      </c>
      <c r="W254" s="4">
        <v>0</v>
      </c>
      <c r="X254" s="4">
        <v>0</v>
      </c>
      <c r="Y254" s="4">
        <v>1746.03</v>
      </c>
      <c r="Z254" s="4">
        <v>17</v>
      </c>
      <c r="AA254" s="4">
        <v>0</v>
      </c>
      <c r="AB254" s="4">
        <v>0</v>
      </c>
      <c r="AC254" s="4">
        <v>994.03</v>
      </c>
      <c r="AD254" s="4">
        <v>8</v>
      </c>
      <c r="AE254" s="4">
        <v>509</v>
      </c>
      <c r="AF254" s="4">
        <v>6</v>
      </c>
      <c r="AG254" s="4">
        <v>0</v>
      </c>
      <c r="AH254" s="4">
        <v>0</v>
      </c>
      <c r="AI254" s="4">
        <v>1844</v>
      </c>
      <c r="AJ254" s="4">
        <v>15</v>
      </c>
      <c r="AK254" s="4">
        <v>1318.05</v>
      </c>
      <c r="AL254" s="4">
        <v>11</v>
      </c>
      <c r="AM254" s="4">
        <v>1175.02</v>
      </c>
      <c r="AN254" s="4">
        <v>9</v>
      </c>
      <c r="AO254" s="4">
        <v>0</v>
      </c>
      <c r="AP254" s="4">
        <v>0</v>
      </c>
      <c r="AQ254" s="4">
        <v>0</v>
      </c>
      <c r="AR254" s="4">
        <v>0</v>
      </c>
      <c r="AS254" s="4">
        <v>1264.01</v>
      </c>
      <c r="AT254" s="4">
        <v>13</v>
      </c>
      <c r="AU254" s="4">
        <v>1926.04</v>
      </c>
      <c r="AV254" s="4">
        <v>15</v>
      </c>
      <c r="AW254" s="4">
        <v>2228.9499999999998</v>
      </c>
      <c r="AX254" s="4">
        <v>18</v>
      </c>
      <c r="AY254" s="4">
        <v>0</v>
      </c>
      <c r="AZ254" s="4">
        <v>0</v>
      </c>
      <c r="BA254" s="4">
        <v>1108.94</v>
      </c>
      <c r="BB254" s="4">
        <v>10</v>
      </c>
      <c r="BC254" s="4">
        <v>758.96</v>
      </c>
      <c r="BD254" s="4">
        <v>6</v>
      </c>
      <c r="BE254" s="4">
        <v>736.02</v>
      </c>
      <c r="BF254" s="4">
        <v>4</v>
      </c>
      <c r="BQ254" s="3">
        <f t="shared" si="8"/>
        <v>31606.319999999996</v>
      </c>
      <c r="BR254" s="3">
        <f t="shared" si="7"/>
        <v>255</v>
      </c>
    </row>
    <row r="255" spans="1:70" x14ac:dyDescent="0.25">
      <c r="A255" s="4" t="s">
        <v>2379</v>
      </c>
      <c r="B255" t="s">
        <v>58</v>
      </c>
      <c r="C255" s="338" t="s">
        <v>1850</v>
      </c>
      <c r="D255" s="213" t="s">
        <v>941</v>
      </c>
      <c r="E255" s="213" t="s">
        <v>145</v>
      </c>
      <c r="F255" s="213" t="s">
        <v>131</v>
      </c>
      <c r="G255" s="4">
        <v>3285.05</v>
      </c>
      <c r="H255" s="4">
        <v>24</v>
      </c>
      <c r="I255" s="4">
        <v>2260.04</v>
      </c>
      <c r="J255" s="4">
        <v>21</v>
      </c>
      <c r="K255" s="4">
        <v>0</v>
      </c>
      <c r="L255" s="4">
        <v>0</v>
      </c>
      <c r="M255" s="4">
        <v>2669.05</v>
      </c>
      <c r="N255" s="4">
        <v>15</v>
      </c>
      <c r="O255" s="4">
        <v>300</v>
      </c>
      <c r="P255" s="4">
        <v>2</v>
      </c>
      <c r="Q255" s="4">
        <v>1784.04</v>
      </c>
      <c r="R255" s="4">
        <v>13</v>
      </c>
      <c r="S255" s="4">
        <v>575</v>
      </c>
      <c r="T255" s="4">
        <v>5</v>
      </c>
      <c r="U255" s="4">
        <v>0</v>
      </c>
      <c r="V255" s="4">
        <v>0</v>
      </c>
      <c r="W255" s="4">
        <v>3612.08</v>
      </c>
      <c r="X255" s="4">
        <v>30</v>
      </c>
      <c r="Y255" s="4">
        <v>0</v>
      </c>
      <c r="Z255" s="4">
        <v>0</v>
      </c>
      <c r="AA255" s="4">
        <v>4334.0600000000004</v>
      </c>
      <c r="AB255" s="4">
        <v>28</v>
      </c>
      <c r="AC255" s="4">
        <v>525.02</v>
      </c>
      <c r="AD255" s="4">
        <v>4</v>
      </c>
      <c r="AE255" s="4">
        <v>984.01</v>
      </c>
      <c r="AF255" s="4">
        <v>6</v>
      </c>
      <c r="AG255" s="4">
        <v>621.02</v>
      </c>
      <c r="AH255" s="4">
        <v>3</v>
      </c>
      <c r="AI255" s="4">
        <v>840.01</v>
      </c>
      <c r="AJ255" s="4">
        <v>8</v>
      </c>
      <c r="AK255" s="4">
        <v>0</v>
      </c>
      <c r="AL255" s="4">
        <v>0</v>
      </c>
      <c r="AM255" s="4">
        <v>0</v>
      </c>
      <c r="AN255" s="4">
        <v>0</v>
      </c>
      <c r="AO255" s="4">
        <v>1413.02</v>
      </c>
      <c r="AP255" s="4">
        <v>10</v>
      </c>
      <c r="AQ255" s="4">
        <v>756.01</v>
      </c>
      <c r="AR255" s="4">
        <v>4</v>
      </c>
      <c r="AS255" s="4">
        <v>573.02</v>
      </c>
      <c r="AT255" s="4">
        <v>5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1887.89</v>
      </c>
      <c r="BB255" s="4">
        <v>13</v>
      </c>
      <c r="BC255" s="4">
        <v>669.96</v>
      </c>
      <c r="BD255" s="4">
        <v>4</v>
      </c>
      <c r="BE255" s="4">
        <v>0</v>
      </c>
      <c r="BF255" s="4">
        <v>0</v>
      </c>
      <c r="BQ255" s="3">
        <f t="shared" si="8"/>
        <v>27089.279999999995</v>
      </c>
      <c r="BR255" s="3">
        <f t="shared" si="7"/>
        <v>195</v>
      </c>
    </row>
    <row r="256" spans="1:70" x14ac:dyDescent="0.25">
      <c r="A256" s="4" t="s">
        <v>2380</v>
      </c>
      <c r="B256" t="s">
        <v>58</v>
      </c>
      <c r="C256" s="338" t="s">
        <v>1851</v>
      </c>
      <c r="D256" s="213" t="s">
        <v>942</v>
      </c>
      <c r="E256" s="213" t="s">
        <v>145</v>
      </c>
      <c r="F256" s="213" t="s">
        <v>131</v>
      </c>
      <c r="G256" s="4">
        <v>0</v>
      </c>
      <c r="H256" s="4">
        <v>0</v>
      </c>
      <c r="I256" s="4">
        <v>0</v>
      </c>
      <c r="J256" s="4">
        <v>0</v>
      </c>
      <c r="K256" s="4">
        <v>501.01</v>
      </c>
      <c r="L256" s="4">
        <v>5</v>
      </c>
      <c r="M256" s="4">
        <v>0</v>
      </c>
      <c r="N256" s="4">
        <v>0</v>
      </c>
      <c r="O256" s="4">
        <v>388.01</v>
      </c>
      <c r="P256" s="4">
        <v>4</v>
      </c>
      <c r="Q256" s="4">
        <v>0</v>
      </c>
      <c r="R256" s="4">
        <v>0</v>
      </c>
      <c r="S256" s="4">
        <v>1060.02</v>
      </c>
      <c r="T256" s="4">
        <v>8</v>
      </c>
      <c r="U256" s="4">
        <v>1575.02</v>
      </c>
      <c r="V256" s="4">
        <v>12</v>
      </c>
      <c r="W256" s="4">
        <v>0</v>
      </c>
      <c r="X256" s="4">
        <v>0</v>
      </c>
      <c r="Y256" s="4">
        <v>474</v>
      </c>
      <c r="Z256" s="4">
        <v>5</v>
      </c>
      <c r="AA256" s="4">
        <v>0</v>
      </c>
      <c r="AB256" s="4">
        <v>0</v>
      </c>
      <c r="AC256" s="4">
        <v>622.01</v>
      </c>
      <c r="AD256" s="4">
        <v>6</v>
      </c>
      <c r="AE256" s="4">
        <v>1786</v>
      </c>
      <c r="AF256" s="4">
        <v>9</v>
      </c>
      <c r="AG256" s="4">
        <v>653.99</v>
      </c>
      <c r="AH256" s="4">
        <v>6</v>
      </c>
      <c r="AI256" s="4">
        <v>0</v>
      </c>
      <c r="AJ256" s="4">
        <v>0</v>
      </c>
      <c r="AK256" s="4">
        <v>2743.03</v>
      </c>
      <c r="AL256" s="4">
        <v>13</v>
      </c>
      <c r="AM256" s="4">
        <v>972.03</v>
      </c>
      <c r="AN256" s="4">
        <v>7</v>
      </c>
      <c r="AO256" s="4">
        <v>0</v>
      </c>
      <c r="AP256" s="4">
        <v>0</v>
      </c>
      <c r="AQ256" s="4">
        <v>1142</v>
      </c>
      <c r="AR256" s="4">
        <v>11</v>
      </c>
      <c r="AS256" s="4">
        <v>0</v>
      </c>
      <c r="AT256" s="4">
        <v>0</v>
      </c>
      <c r="AU256" s="4">
        <v>481</v>
      </c>
      <c r="AV256" s="4">
        <v>3</v>
      </c>
      <c r="AW256" s="4">
        <v>0</v>
      </c>
      <c r="AX256" s="4">
        <v>0</v>
      </c>
      <c r="AY256" s="4">
        <v>526</v>
      </c>
      <c r="AZ256" s="4">
        <v>8</v>
      </c>
      <c r="BA256" s="4">
        <v>0</v>
      </c>
      <c r="BB256" s="4">
        <v>0</v>
      </c>
      <c r="BC256" s="4">
        <v>0</v>
      </c>
      <c r="BD256" s="4">
        <v>0</v>
      </c>
      <c r="BE256" s="4">
        <v>963.05</v>
      </c>
      <c r="BF256" s="4">
        <v>9</v>
      </c>
      <c r="BQ256" s="3">
        <f t="shared" si="8"/>
        <v>13887.17</v>
      </c>
      <c r="BR256" s="3">
        <f t="shared" si="7"/>
        <v>106</v>
      </c>
    </row>
    <row r="257" spans="1:70" x14ac:dyDescent="0.25">
      <c r="A257" s="4" t="s">
        <v>2381</v>
      </c>
      <c r="B257" t="s">
        <v>59</v>
      </c>
      <c r="C257" s="338" t="s">
        <v>1852</v>
      </c>
      <c r="D257" s="213" t="s">
        <v>943</v>
      </c>
      <c r="E257" s="213" t="s">
        <v>145</v>
      </c>
      <c r="F257" s="213" t="s">
        <v>131</v>
      </c>
      <c r="G257" s="4">
        <v>7618.09</v>
      </c>
      <c r="H257" s="4">
        <v>67</v>
      </c>
      <c r="I257" s="4">
        <v>5448.1</v>
      </c>
      <c r="J257" s="4">
        <v>55</v>
      </c>
      <c r="K257" s="4">
        <v>5456.14</v>
      </c>
      <c r="L257" s="4">
        <v>42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828</v>
      </c>
      <c r="Z257" s="4">
        <v>7</v>
      </c>
      <c r="AA257" s="4">
        <v>1213.02</v>
      </c>
      <c r="AB257" s="4">
        <v>10</v>
      </c>
      <c r="AC257" s="4">
        <v>0</v>
      </c>
      <c r="AD257" s="4">
        <v>0</v>
      </c>
      <c r="AE257" s="4">
        <v>1413.03</v>
      </c>
      <c r="AF257" s="4">
        <v>11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2204.14</v>
      </c>
      <c r="BF257" s="4">
        <v>14</v>
      </c>
      <c r="BQ257" s="3">
        <f t="shared" si="8"/>
        <v>24180.52</v>
      </c>
      <c r="BR257" s="3">
        <f t="shared" si="7"/>
        <v>206</v>
      </c>
    </row>
    <row r="258" spans="1:70" x14ac:dyDescent="0.25">
      <c r="A258" s="4" t="s">
        <v>2382</v>
      </c>
      <c r="B258" t="s">
        <v>59</v>
      </c>
      <c r="C258" s="338" t="s">
        <v>1853</v>
      </c>
      <c r="D258" s="213" t="s">
        <v>944</v>
      </c>
      <c r="E258" s="213" t="s">
        <v>145</v>
      </c>
      <c r="F258" s="213" t="s">
        <v>131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4530.09</v>
      </c>
      <c r="N258" s="4">
        <v>33</v>
      </c>
      <c r="O258" s="4">
        <v>4453.09</v>
      </c>
      <c r="P258" s="4">
        <v>35</v>
      </c>
      <c r="Q258" s="4">
        <v>1033.01</v>
      </c>
      <c r="R258" s="4">
        <v>10</v>
      </c>
      <c r="S258" s="4">
        <v>2221.06</v>
      </c>
      <c r="T258" s="4">
        <v>19</v>
      </c>
      <c r="U258" s="4">
        <v>1296.01</v>
      </c>
      <c r="V258" s="4">
        <v>9</v>
      </c>
      <c r="W258" s="4">
        <v>0</v>
      </c>
      <c r="X258" s="4">
        <v>0</v>
      </c>
      <c r="Y258" s="4">
        <v>2074.06</v>
      </c>
      <c r="Z258" s="4">
        <v>16</v>
      </c>
      <c r="AA258" s="4">
        <v>2391.09</v>
      </c>
      <c r="AB258" s="4">
        <v>18</v>
      </c>
      <c r="AC258" s="4">
        <v>0</v>
      </c>
      <c r="AD258" s="4">
        <v>0</v>
      </c>
      <c r="AE258" s="4">
        <v>0</v>
      </c>
      <c r="AF258" s="4">
        <v>0</v>
      </c>
      <c r="AG258" s="4">
        <v>2692.04</v>
      </c>
      <c r="AH258" s="4">
        <v>18</v>
      </c>
      <c r="AI258" s="4">
        <v>1203.03</v>
      </c>
      <c r="AJ258" s="4">
        <v>10</v>
      </c>
      <c r="AK258" s="4">
        <v>2152.02</v>
      </c>
      <c r="AL258" s="4">
        <v>17</v>
      </c>
      <c r="AM258" s="4">
        <v>0</v>
      </c>
      <c r="AN258" s="4">
        <v>0</v>
      </c>
      <c r="AO258" s="4">
        <v>1258.01</v>
      </c>
      <c r="AP258" s="4">
        <v>11</v>
      </c>
      <c r="AQ258" s="4">
        <v>824.02</v>
      </c>
      <c r="AR258" s="4">
        <v>5</v>
      </c>
      <c r="AS258" s="4">
        <v>0</v>
      </c>
      <c r="AT258" s="4">
        <v>0</v>
      </c>
      <c r="AU258" s="4">
        <v>962.01</v>
      </c>
      <c r="AV258" s="4">
        <v>8</v>
      </c>
      <c r="AW258" s="4">
        <v>816.01</v>
      </c>
      <c r="AX258" s="4">
        <v>8</v>
      </c>
      <c r="AY258" s="4">
        <v>1765.87</v>
      </c>
      <c r="AZ258" s="4">
        <v>11</v>
      </c>
      <c r="BA258" s="4">
        <v>1002.94</v>
      </c>
      <c r="BB258" s="4">
        <v>8</v>
      </c>
      <c r="BC258" s="4">
        <v>0</v>
      </c>
      <c r="BD258" s="4">
        <v>0</v>
      </c>
      <c r="BE258" s="4">
        <v>497.04</v>
      </c>
      <c r="BF258" s="4">
        <v>3</v>
      </c>
      <c r="BQ258" s="3">
        <f t="shared" si="8"/>
        <v>31171.399999999994</v>
      </c>
      <c r="BR258" s="3">
        <f t="shared" si="7"/>
        <v>239</v>
      </c>
    </row>
    <row r="259" spans="1:70" x14ac:dyDescent="0.25">
      <c r="A259" s="4" t="s">
        <v>2383</v>
      </c>
      <c r="B259" t="s">
        <v>59</v>
      </c>
      <c r="C259" s="338" t="s">
        <v>1854</v>
      </c>
      <c r="D259" s="213" t="s">
        <v>945</v>
      </c>
      <c r="E259" s="213" t="s">
        <v>145</v>
      </c>
      <c r="F259" s="213" t="s">
        <v>131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1097</v>
      </c>
      <c r="R259" s="4">
        <v>11</v>
      </c>
      <c r="S259" s="4">
        <v>0</v>
      </c>
      <c r="T259" s="4">
        <v>0</v>
      </c>
      <c r="U259" s="4">
        <v>2195.0300000000002</v>
      </c>
      <c r="V259" s="4">
        <v>20</v>
      </c>
      <c r="W259" s="4">
        <v>3440.07</v>
      </c>
      <c r="X259" s="4">
        <v>27</v>
      </c>
      <c r="Y259" s="4">
        <v>1355</v>
      </c>
      <c r="Z259" s="4">
        <v>10</v>
      </c>
      <c r="AA259" s="4">
        <v>1059.01</v>
      </c>
      <c r="AB259" s="4">
        <v>7</v>
      </c>
      <c r="AC259" s="4">
        <v>525.01</v>
      </c>
      <c r="AD259" s="4">
        <v>4</v>
      </c>
      <c r="AE259" s="4">
        <v>913.03</v>
      </c>
      <c r="AF259" s="4">
        <v>8</v>
      </c>
      <c r="AG259" s="4">
        <v>1239.03</v>
      </c>
      <c r="AH259" s="4">
        <v>8</v>
      </c>
      <c r="AI259" s="4">
        <v>839.01</v>
      </c>
      <c r="AJ259" s="4">
        <v>7</v>
      </c>
      <c r="AK259" s="4">
        <v>0</v>
      </c>
      <c r="AL259" s="4">
        <v>0</v>
      </c>
      <c r="AM259" s="4">
        <v>1240.02</v>
      </c>
      <c r="AN259" s="4">
        <v>9</v>
      </c>
      <c r="AO259" s="4">
        <v>1045</v>
      </c>
      <c r="AP259" s="4">
        <v>6</v>
      </c>
      <c r="AQ259" s="4">
        <v>784</v>
      </c>
      <c r="AR259" s="4">
        <v>6</v>
      </c>
      <c r="AS259" s="4">
        <v>525.01</v>
      </c>
      <c r="AT259" s="4">
        <v>4</v>
      </c>
      <c r="AU259" s="4">
        <v>1020.02</v>
      </c>
      <c r="AV259" s="4">
        <v>8</v>
      </c>
      <c r="AW259" s="4">
        <v>399</v>
      </c>
      <c r="AX259" s="4">
        <v>4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Q259" s="3">
        <f t="shared" si="8"/>
        <v>17675.240000000002</v>
      </c>
      <c r="BR259" s="3">
        <f t="shared" si="7"/>
        <v>139</v>
      </c>
    </row>
    <row r="260" spans="1:70" x14ac:dyDescent="0.25">
      <c r="A260" s="4" t="s">
        <v>2384</v>
      </c>
      <c r="B260" t="s">
        <v>59</v>
      </c>
      <c r="C260" s="338" t="s">
        <v>1855</v>
      </c>
      <c r="D260" s="213" t="s">
        <v>946</v>
      </c>
      <c r="E260" s="213" t="s">
        <v>145</v>
      </c>
      <c r="F260" s="213" t="s">
        <v>131</v>
      </c>
      <c r="G260" s="4">
        <v>3899.1</v>
      </c>
      <c r="H260" s="4">
        <v>32</v>
      </c>
      <c r="I260" s="4">
        <v>0</v>
      </c>
      <c r="J260" s="4">
        <v>0</v>
      </c>
      <c r="K260" s="4">
        <v>3099.04</v>
      </c>
      <c r="L260" s="4">
        <v>27</v>
      </c>
      <c r="M260" s="4">
        <v>1646.98</v>
      </c>
      <c r="N260" s="4">
        <v>10</v>
      </c>
      <c r="O260" s="4">
        <v>996.02</v>
      </c>
      <c r="P260" s="4">
        <v>7</v>
      </c>
      <c r="Q260" s="4">
        <v>1029.02</v>
      </c>
      <c r="R260" s="4">
        <v>9</v>
      </c>
      <c r="S260" s="4">
        <v>1325.03</v>
      </c>
      <c r="T260" s="4">
        <v>9</v>
      </c>
      <c r="U260" s="4">
        <v>1246.04</v>
      </c>
      <c r="V260" s="4">
        <v>8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3008</v>
      </c>
      <c r="AD260" s="4">
        <v>26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1625.04</v>
      </c>
      <c r="AN260" s="4">
        <v>18</v>
      </c>
      <c r="AO260" s="4">
        <v>0</v>
      </c>
      <c r="AP260" s="4">
        <v>0</v>
      </c>
      <c r="AQ260" s="4">
        <v>879</v>
      </c>
      <c r="AR260" s="4">
        <v>7</v>
      </c>
      <c r="AS260" s="4">
        <v>2194.0300000000002</v>
      </c>
      <c r="AT260" s="4">
        <v>18</v>
      </c>
      <c r="AU260" s="4">
        <v>1594.99</v>
      </c>
      <c r="AV260" s="4">
        <v>14</v>
      </c>
      <c r="AW260" s="4">
        <v>1581.97</v>
      </c>
      <c r="AX260" s="4">
        <v>12</v>
      </c>
      <c r="AY260" s="4">
        <v>1798.93</v>
      </c>
      <c r="AZ260" s="4">
        <v>12</v>
      </c>
      <c r="BA260" s="4">
        <v>247.01</v>
      </c>
      <c r="BB260" s="4">
        <v>3</v>
      </c>
      <c r="BC260" s="4">
        <v>1150.94</v>
      </c>
      <c r="BD260" s="4">
        <v>9</v>
      </c>
      <c r="BE260" s="4">
        <v>0</v>
      </c>
      <c r="BF260" s="4">
        <v>0</v>
      </c>
      <c r="BQ260" s="3">
        <f t="shared" si="8"/>
        <v>27321.14</v>
      </c>
      <c r="BR260" s="3">
        <f t="shared" si="7"/>
        <v>221</v>
      </c>
    </row>
    <row r="261" spans="1:70" x14ac:dyDescent="0.25">
      <c r="A261" s="4" t="s">
        <v>2385</v>
      </c>
      <c r="B261" t="s">
        <v>59</v>
      </c>
      <c r="C261" s="338" t="s">
        <v>1856</v>
      </c>
      <c r="D261" s="213" t="s">
        <v>947</v>
      </c>
      <c r="E261" s="213" t="s">
        <v>145</v>
      </c>
      <c r="F261" s="213" t="s">
        <v>131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1442.01</v>
      </c>
      <c r="R261" s="4">
        <v>16</v>
      </c>
      <c r="S261" s="4">
        <v>3012.03</v>
      </c>
      <c r="T261" s="4">
        <v>22</v>
      </c>
      <c r="U261" s="4">
        <v>2264.0300000000002</v>
      </c>
      <c r="V261" s="4">
        <v>21</v>
      </c>
      <c r="W261" s="4">
        <v>2936.04</v>
      </c>
      <c r="X261" s="4">
        <v>31</v>
      </c>
      <c r="Y261" s="4">
        <v>2065.0100000000002</v>
      </c>
      <c r="Z261" s="4">
        <v>22</v>
      </c>
      <c r="AA261" s="4">
        <v>0</v>
      </c>
      <c r="AB261" s="4">
        <v>0</v>
      </c>
      <c r="AC261" s="4">
        <v>0</v>
      </c>
      <c r="AD261" s="4">
        <v>0</v>
      </c>
      <c r="AE261" s="4">
        <v>1246.99</v>
      </c>
      <c r="AF261" s="4">
        <v>10</v>
      </c>
      <c r="AG261" s="4">
        <v>2560.02</v>
      </c>
      <c r="AH261" s="4">
        <v>22</v>
      </c>
      <c r="AI261" s="4">
        <v>3171.06</v>
      </c>
      <c r="AJ261" s="4">
        <v>19</v>
      </c>
      <c r="AK261" s="4">
        <v>2452.0500000000002</v>
      </c>
      <c r="AL261" s="4">
        <v>22</v>
      </c>
      <c r="AM261" s="4">
        <v>1756.02</v>
      </c>
      <c r="AN261" s="4">
        <v>16</v>
      </c>
      <c r="AO261" s="4">
        <v>1569.98</v>
      </c>
      <c r="AP261" s="4">
        <v>15</v>
      </c>
      <c r="AQ261" s="4">
        <v>300.01</v>
      </c>
      <c r="AR261" s="4">
        <v>2</v>
      </c>
      <c r="AS261" s="4">
        <v>2580.04</v>
      </c>
      <c r="AT261" s="4">
        <v>13</v>
      </c>
      <c r="AU261" s="4">
        <v>0</v>
      </c>
      <c r="AV261" s="4">
        <v>0</v>
      </c>
      <c r="AW261" s="4">
        <v>912.98</v>
      </c>
      <c r="AX261" s="4">
        <v>13</v>
      </c>
      <c r="AY261" s="4">
        <v>1418.93</v>
      </c>
      <c r="AZ261" s="4">
        <v>10</v>
      </c>
      <c r="BA261" s="4">
        <v>1747.95</v>
      </c>
      <c r="BB261" s="4">
        <v>16</v>
      </c>
      <c r="BC261" s="4">
        <v>2375.9</v>
      </c>
      <c r="BD261" s="4">
        <v>15</v>
      </c>
      <c r="BE261" s="4">
        <v>780.02</v>
      </c>
      <c r="BF261" s="4">
        <v>6</v>
      </c>
      <c r="BQ261" s="3">
        <f t="shared" si="8"/>
        <v>34591.07</v>
      </c>
      <c r="BR261" s="3">
        <f t="shared" ref="BR261:BR324" si="9">H261+J261+L261+N261+P261+R261+T261+V261+X261+Z261+AB261+AD261+AF261+AH261+AJ261+AL261+AN261+AP261+AR261+AT261+AV261+AX261+AZ261+BB261+BD261+BF261</f>
        <v>291</v>
      </c>
    </row>
    <row r="262" spans="1:70" x14ac:dyDescent="0.25">
      <c r="A262" s="4" t="s">
        <v>2386</v>
      </c>
      <c r="B262" t="s">
        <v>60</v>
      </c>
      <c r="C262" s="338" t="s">
        <v>1857</v>
      </c>
      <c r="D262" s="213" t="s">
        <v>948</v>
      </c>
      <c r="E262" s="213" t="s">
        <v>162</v>
      </c>
      <c r="F262" s="213" t="s">
        <v>133</v>
      </c>
      <c r="G262" s="4">
        <v>1162.05</v>
      </c>
      <c r="H262" s="4">
        <v>7</v>
      </c>
      <c r="I262" s="4">
        <v>992.04</v>
      </c>
      <c r="J262" s="4">
        <v>6</v>
      </c>
      <c r="K262" s="4">
        <v>646.03</v>
      </c>
      <c r="L262" s="4">
        <v>3</v>
      </c>
      <c r="M262" s="4">
        <v>1169.03</v>
      </c>
      <c r="N262" s="4">
        <v>5</v>
      </c>
      <c r="O262" s="4">
        <v>997.03</v>
      </c>
      <c r="P262" s="4">
        <v>6</v>
      </c>
      <c r="Q262" s="4">
        <v>0</v>
      </c>
      <c r="R262" s="4">
        <v>0</v>
      </c>
      <c r="S262" s="4">
        <v>1165.02</v>
      </c>
      <c r="T262" s="4">
        <v>8</v>
      </c>
      <c r="U262" s="4">
        <v>548.02</v>
      </c>
      <c r="V262" s="4">
        <v>2</v>
      </c>
      <c r="W262" s="4">
        <v>450.01</v>
      </c>
      <c r="X262" s="4">
        <v>3</v>
      </c>
      <c r="Y262" s="4">
        <v>1589.04</v>
      </c>
      <c r="Z262" s="4">
        <v>6</v>
      </c>
      <c r="AA262" s="4">
        <v>848.04</v>
      </c>
      <c r="AB262" s="4">
        <v>4</v>
      </c>
      <c r="AC262" s="4">
        <v>1446.04</v>
      </c>
      <c r="AD262" s="4">
        <v>7</v>
      </c>
      <c r="AE262" s="4">
        <v>0</v>
      </c>
      <c r="AF262" s="4">
        <v>0</v>
      </c>
      <c r="AG262" s="4">
        <v>499.01</v>
      </c>
      <c r="AH262" s="4">
        <v>3</v>
      </c>
      <c r="AI262" s="4">
        <v>946.04</v>
      </c>
      <c r="AJ262" s="4">
        <v>5</v>
      </c>
      <c r="AK262" s="4">
        <v>600</v>
      </c>
      <c r="AL262" s="4">
        <v>4</v>
      </c>
      <c r="AM262" s="4">
        <v>349.01</v>
      </c>
      <c r="AN262" s="4">
        <v>2</v>
      </c>
      <c r="AO262" s="4">
        <v>758.02</v>
      </c>
      <c r="AP262" s="4">
        <v>4</v>
      </c>
      <c r="AQ262" s="4">
        <v>199.01</v>
      </c>
      <c r="AR262" s="4">
        <v>1</v>
      </c>
      <c r="AS262" s="4">
        <v>450</v>
      </c>
      <c r="AT262" s="4">
        <v>3</v>
      </c>
      <c r="AU262" s="4">
        <v>1099.01</v>
      </c>
      <c r="AV262" s="4">
        <v>5</v>
      </c>
      <c r="AW262" s="4">
        <v>703.92</v>
      </c>
      <c r="AX262" s="4">
        <v>6</v>
      </c>
      <c r="AY262" s="4">
        <v>409.99</v>
      </c>
      <c r="AZ262" s="4">
        <v>2</v>
      </c>
      <c r="BA262" s="4">
        <v>299.01</v>
      </c>
      <c r="BB262" s="4">
        <v>1</v>
      </c>
      <c r="BC262" s="4">
        <v>620.05999999999995</v>
      </c>
      <c r="BD262" s="4">
        <v>3</v>
      </c>
      <c r="BE262" s="4">
        <v>0</v>
      </c>
      <c r="BF262" s="4">
        <v>0</v>
      </c>
      <c r="BQ262" s="3">
        <f t="shared" ref="BQ262:BQ325" si="10">G262+I262+K262+M262+O262+Q262+S262+U262+W262+Y262+AA262+AC262+AE262+AG262+AI262+AK262+AM262+AO262+AQ262+AS262+AU262+AW262+AY262+BA262+BC262+BE262</f>
        <v>17945.430000000004</v>
      </c>
      <c r="BR262" s="3">
        <f t="shared" si="9"/>
        <v>96</v>
      </c>
    </row>
    <row r="263" spans="1:70" x14ac:dyDescent="0.25">
      <c r="A263" s="4" t="s">
        <v>2387</v>
      </c>
      <c r="B263" t="s">
        <v>60</v>
      </c>
      <c r="C263" s="338" t="s">
        <v>1858</v>
      </c>
      <c r="D263" s="213" t="s">
        <v>949</v>
      </c>
      <c r="E263" s="213" t="s">
        <v>162</v>
      </c>
      <c r="F263" s="213" t="s">
        <v>133</v>
      </c>
      <c r="G263" s="4">
        <v>2668.04</v>
      </c>
      <c r="H263" s="4">
        <v>17</v>
      </c>
      <c r="I263" s="4">
        <v>1814.06</v>
      </c>
      <c r="J263" s="4">
        <v>10</v>
      </c>
      <c r="K263" s="4">
        <v>1568.04</v>
      </c>
      <c r="L263" s="4">
        <v>9</v>
      </c>
      <c r="M263" s="4">
        <v>2037.07</v>
      </c>
      <c r="N263" s="4">
        <v>8</v>
      </c>
      <c r="O263" s="4">
        <v>936.02</v>
      </c>
      <c r="P263" s="4">
        <v>5</v>
      </c>
      <c r="Q263" s="4">
        <v>758.01</v>
      </c>
      <c r="R263" s="4">
        <v>4</v>
      </c>
      <c r="S263" s="4">
        <v>525</v>
      </c>
      <c r="T263" s="4">
        <v>3</v>
      </c>
      <c r="U263" s="4">
        <v>1050</v>
      </c>
      <c r="V263" s="4">
        <v>7</v>
      </c>
      <c r="W263" s="4">
        <v>0</v>
      </c>
      <c r="X263" s="4">
        <v>0</v>
      </c>
      <c r="Y263" s="4">
        <v>499.01</v>
      </c>
      <c r="Z263" s="4">
        <v>3</v>
      </c>
      <c r="AA263" s="4">
        <v>450</v>
      </c>
      <c r="AB263" s="4">
        <v>3</v>
      </c>
      <c r="AC263" s="4">
        <v>150</v>
      </c>
      <c r="AD263" s="4">
        <v>1</v>
      </c>
      <c r="AE263" s="4">
        <v>475</v>
      </c>
      <c r="AF263" s="4">
        <v>3</v>
      </c>
      <c r="AG263" s="4">
        <v>1691.01</v>
      </c>
      <c r="AH263" s="4">
        <v>7</v>
      </c>
      <c r="AI263" s="4">
        <v>775.01</v>
      </c>
      <c r="AJ263" s="4">
        <v>5</v>
      </c>
      <c r="AK263" s="4">
        <v>0</v>
      </c>
      <c r="AL263" s="4">
        <v>0</v>
      </c>
      <c r="AM263" s="4">
        <v>265</v>
      </c>
      <c r="AN263" s="4">
        <v>2</v>
      </c>
      <c r="AO263" s="4">
        <v>0</v>
      </c>
      <c r="AP263" s="4">
        <v>0</v>
      </c>
      <c r="AQ263" s="4">
        <v>450</v>
      </c>
      <c r="AR263" s="4">
        <v>4</v>
      </c>
      <c r="AS263" s="4">
        <v>649.01</v>
      </c>
      <c r="AT263" s="4">
        <v>4</v>
      </c>
      <c r="AU263" s="4">
        <v>400</v>
      </c>
      <c r="AV263" s="4">
        <v>2</v>
      </c>
      <c r="AW263" s="4">
        <v>1021.94</v>
      </c>
      <c r="AX263" s="4">
        <v>4</v>
      </c>
      <c r="AY263" s="4">
        <v>843.92</v>
      </c>
      <c r="AZ263" s="4">
        <v>4</v>
      </c>
      <c r="BA263" s="4">
        <v>496.96</v>
      </c>
      <c r="BB263" s="4">
        <v>3</v>
      </c>
      <c r="BC263" s="4">
        <v>210.98</v>
      </c>
      <c r="BD263" s="4">
        <v>1</v>
      </c>
      <c r="BE263" s="4">
        <v>947.06</v>
      </c>
      <c r="BF263" s="4">
        <v>5</v>
      </c>
      <c r="BQ263" s="3">
        <f t="shared" si="10"/>
        <v>20681.139999999996</v>
      </c>
      <c r="BR263" s="3">
        <f t="shared" si="9"/>
        <v>114</v>
      </c>
    </row>
    <row r="264" spans="1:70" x14ac:dyDescent="0.25">
      <c r="A264" s="4" t="s">
        <v>2388</v>
      </c>
      <c r="B264" t="s">
        <v>60</v>
      </c>
      <c r="C264" s="338" t="s">
        <v>1859</v>
      </c>
      <c r="D264" s="213" t="s">
        <v>950</v>
      </c>
      <c r="E264" s="213" t="s">
        <v>162</v>
      </c>
      <c r="F264" s="213" t="s">
        <v>133</v>
      </c>
      <c r="G264" s="4">
        <v>0</v>
      </c>
      <c r="H264" s="4">
        <v>0</v>
      </c>
      <c r="I264" s="4">
        <v>838.03</v>
      </c>
      <c r="J264" s="4">
        <v>4</v>
      </c>
      <c r="K264" s="4">
        <v>715.01</v>
      </c>
      <c r="L264" s="4">
        <v>4</v>
      </c>
      <c r="M264" s="4">
        <v>1245.02</v>
      </c>
      <c r="N264" s="4">
        <v>4</v>
      </c>
      <c r="O264" s="4">
        <v>1766.03</v>
      </c>
      <c r="P264" s="4">
        <v>7</v>
      </c>
      <c r="Q264" s="4">
        <v>1145.03</v>
      </c>
      <c r="R264" s="4">
        <v>5</v>
      </c>
      <c r="S264" s="4">
        <v>0</v>
      </c>
      <c r="T264" s="4">
        <v>0</v>
      </c>
      <c r="U264" s="4">
        <v>1214.03</v>
      </c>
      <c r="V264" s="4">
        <v>8</v>
      </c>
      <c r="W264" s="4">
        <v>1692.03</v>
      </c>
      <c r="X264" s="4">
        <v>6</v>
      </c>
      <c r="Y264" s="4">
        <v>349.01</v>
      </c>
      <c r="Z264" s="4">
        <v>2</v>
      </c>
      <c r="AA264" s="4">
        <v>523.01</v>
      </c>
      <c r="AB264" s="4">
        <v>3</v>
      </c>
      <c r="AC264" s="4">
        <v>1148.04</v>
      </c>
      <c r="AD264" s="4">
        <v>7</v>
      </c>
      <c r="AE264" s="4">
        <v>1029.03</v>
      </c>
      <c r="AF264" s="4">
        <v>5</v>
      </c>
      <c r="AG264" s="4">
        <v>0</v>
      </c>
      <c r="AH264" s="4">
        <v>0</v>
      </c>
      <c r="AI264" s="4">
        <v>1150.05</v>
      </c>
      <c r="AJ264" s="4">
        <v>6</v>
      </c>
      <c r="AK264" s="4">
        <v>938.02</v>
      </c>
      <c r="AL264" s="4">
        <v>4</v>
      </c>
      <c r="AM264" s="4">
        <v>1383.01</v>
      </c>
      <c r="AN264" s="4">
        <v>7</v>
      </c>
      <c r="AO264" s="4">
        <v>750</v>
      </c>
      <c r="AP264" s="4">
        <v>5</v>
      </c>
      <c r="AQ264" s="4">
        <v>300</v>
      </c>
      <c r="AR264" s="4">
        <v>2</v>
      </c>
      <c r="AS264" s="4">
        <v>0</v>
      </c>
      <c r="AT264" s="4">
        <v>0</v>
      </c>
      <c r="AU264" s="4">
        <v>300</v>
      </c>
      <c r="AV264" s="4">
        <v>2</v>
      </c>
      <c r="AW264" s="4">
        <v>199.01</v>
      </c>
      <c r="AX264" s="4">
        <v>1</v>
      </c>
      <c r="AY264" s="4">
        <v>0</v>
      </c>
      <c r="AZ264" s="4">
        <v>0</v>
      </c>
      <c r="BA264" s="4">
        <v>210.98</v>
      </c>
      <c r="BB264" s="4">
        <v>1</v>
      </c>
      <c r="BC264" s="4">
        <v>1018.92</v>
      </c>
      <c r="BD264" s="4">
        <v>5</v>
      </c>
      <c r="BE264" s="4">
        <v>708.06</v>
      </c>
      <c r="BF264" s="4">
        <v>3</v>
      </c>
      <c r="BQ264" s="3">
        <f t="shared" si="10"/>
        <v>18622.32</v>
      </c>
      <c r="BR264" s="3">
        <f t="shared" si="9"/>
        <v>91</v>
      </c>
    </row>
    <row r="265" spans="1:70" x14ac:dyDescent="0.25">
      <c r="A265" s="4" t="s">
        <v>2389</v>
      </c>
      <c r="B265" t="s">
        <v>60</v>
      </c>
      <c r="C265" s="338" t="s">
        <v>1860</v>
      </c>
      <c r="D265" s="213" t="s">
        <v>951</v>
      </c>
      <c r="E265" s="213" t="s">
        <v>162</v>
      </c>
      <c r="F265" s="213" t="s">
        <v>133</v>
      </c>
      <c r="G265" s="4">
        <v>1980.07</v>
      </c>
      <c r="H265" s="4">
        <v>8</v>
      </c>
      <c r="I265" s="4">
        <v>0</v>
      </c>
      <c r="J265" s="4">
        <v>0</v>
      </c>
      <c r="K265" s="4">
        <v>688.01</v>
      </c>
      <c r="L265" s="4">
        <v>4</v>
      </c>
      <c r="M265" s="4">
        <v>888.05</v>
      </c>
      <c r="N265" s="4">
        <v>4</v>
      </c>
      <c r="O265" s="4">
        <v>2338.08</v>
      </c>
      <c r="P265" s="4">
        <v>14</v>
      </c>
      <c r="Q265" s="4">
        <v>150</v>
      </c>
      <c r="R265" s="4">
        <v>1</v>
      </c>
      <c r="S265" s="4">
        <v>2241.0100000000002</v>
      </c>
      <c r="T265" s="4">
        <v>13</v>
      </c>
      <c r="U265" s="4">
        <v>1068.02</v>
      </c>
      <c r="V265" s="4">
        <v>8</v>
      </c>
      <c r="W265" s="4">
        <v>1915.07</v>
      </c>
      <c r="X265" s="4">
        <v>10</v>
      </c>
      <c r="Y265" s="4">
        <v>199.01</v>
      </c>
      <c r="Z265" s="4">
        <v>1</v>
      </c>
      <c r="AA265" s="4">
        <v>1696.06</v>
      </c>
      <c r="AB265" s="4">
        <v>8</v>
      </c>
      <c r="AC265" s="4">
        <v>499.02</v>
      </c>
      <c r="AD265" s="4">
        <v>3</v>
      </c>
      <c r="AE265" s="4">
        <v>150</v>
      </c>
      <c r="AF265" s="4">
        <v>1</v>
      </c>
      <c r="AG265" s="4">
        <v>1528.03</v>
      </c>
      <c r="AH265" s="4">
        <v>9</v>
      </c>
      <c r="AI265" s="4">
        <v>0</v>
      </c>
      <c r="AJ265" s="4">
        <v>0</v>
      </c>
      <c r="AK265" s="4">
        <v>1009.01</v>
      </c>
      <c r="AL265" s="4">
        <v>7</v>
      </c>
      <c r="AM265" s="4">
        <v>1117</v>
      </c>
      <c r="AN265" s="4">
        <v>6</v>
      </c>
      <c r="AO265" s="4">
        <v>150</v>
      </c>
      <c r="AP265" s="4">
        <v>1</v>
      </c>
      <c r="AQ265" s="4">
        <v>349.01</v>
      </c>
      <c r="AR265" s="4">
        <v>2</v>
      </c>
      <c r="AS265" s="4">
        <v>300</v>
      </c>
      <c r="AT265" s="4">
        <v>2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Q265" s="3">
        <f t="shared" si="10"/>
        <v>18265.45</v>
      </c>
      <c r="BR265" s="3">
        <f t="shared" si="9"/>
        <v>102</v>
      </c>
    </row>
    <row r="266" spans="1:70" x14ac:dyDescent="0.25">
      <c r="A266" s="4" t="s">
        <v>2390</v>
      </c>
      <c r="B266" t="s">
        <v>60</v>
      </c>
      <c r="C266" s="338" t="s">
        <v>1861</v>
      </c>
      <c r="D266" s="213" t="s">
        <v>952</v>
      </c>
      <c r="E266" s="213" t="s">
        <v>162</v>
      </c>
      <c r="F266" s="213" t="s">
        <v>133</v>
      </c>
      <c r="G266" s="4">
        <v>1135.02</v>
      </c>
      <c r="H266" s="4">
        <v>6</v>
      </c>
      <c r="I266" s="4">
        <v>1548.01</v>
      </c>
      <c r="J266" s="4">
        <v>9</v>
      </c>
      <c r="K266" s="4">
        <v>346.01</v>
      </c>
      <c r="L266" s="4">
        <v>2</v>
      </c>
      <c r="M266" s="4">
        <v>1506.05</v>
      </c>
      <c r="N266" s="4">
        <v>8</v>
      </c>
      <c r="O266" s="4">
        <v>0</v>
      </c>
      <c r="P266" s="4">
        <v>0</v>
      </c>
      <c r="Q266" s="4">
        <v>604.02</v>
      </c>
      <c r="R266" s="4">
        <v>5</v>
      </c>
      <c r="S266" s="4">
        <v>628.02</v>
      </c>
      <c r="T266" s="4">
        <v>4</v>
      </c>
      <c r="U266" s="4">
        <v>450</v>
      </c>
      <c r="V266" s="4">
        <v>3</v>
      </c>
      <c r="W266" s="4">
        <v>559.04</v>
      </c>
      <c r="X266" s="4">
        <v>4</v>
      </c>
      <c r="Y266" s="4">
        <v>279.02</v>
      </c>
      <c r="Z266" s="4">
        <v>2</v>
      </c>
      <c r="AA266" s="4">
        <v>300</v>
      </c>
      <c r="AB266" s="4">
        <v>2</v>
      </c>
      <c r="AC266" s="4">
        <v>150.01</v>
      </c>
      <c r="AD266" s="4">
        <v>1</v>
      </c>
      <c r="AE266" s="4">
        <v>1092.02</v>
      </c>
      <c r="AF266" s="4">
        <v>5</v>
      </c>
      <c r="AG266" s="4">
        <v>608.01</v>
      </c>
      <c r="AH266" s="4">
        <v>4</v>
      </c>
      <c r="AI266" s="4">
        <v>2207.04</v>
      </c>
      <c r="AJ266" s="4">
        <v>10</v>
      </c>
      <c r="AK266" s="4">
        <v>989.01</v>
      </c>
      <c r="AL266" s="4">
        <v>5</v>
      </c>
      <c r="AM266" s="4">
        <v>0</v>
      </c>
      <c r="AN266" s="4">
        <v>0</v>
      </c>
      <c r="AO266" s="4">
        <v>464.01</v>
      </c>
      <c r="AP266" s="4">
        <v>3</v>
      </c>
      <c r="AQ266" s="4">
        <v>674.01</v>
      </c>
      <c r="AR266" s="4">
        <v>3</v>
      </c>
      <c r="AS266" s="4">
        <v>450</v>
      </c>
      <c r="AT266" s="4">
        <v>3</v>
      </c>
      <c r="AU266" s="4">
        <v>0</v>
      </c>
      <c r="AV266" s="4">
        <v>0</v>
      </c>
      <c r="AW266" s="4">
        <v>0</v>
      </c>
      <c r="AX266" s="4">
        <v>0</v>
      </c>
      <c r="AY266" s="4">
        <v>831.95</v>
      </c>
      <c r="AZ266" s="4">
        <v>3</v>
      </c>
      <c r="BA266" s="4">
        <v>475.98</v>
      </c>
      <c r="BB266" s="4">
        <v>3</v>
      </c>
      <c r="BC266" s="4">
        <v>682.97</v>
      </c>
      <c r="BD266" s="4">
        <v>4</v>
      </c>
      <c r="BE266" s="4">
        <v>422.04</v>
      </c>
      <c r="BF266" s="4">
        <v>2</v>
      </c>
      <c r="BQ266" s="3">
        <f t="shared" si="10"/>
        <v>16402.240000000002</v>
      </c>
      <c r="BR266" s="3">
        <f t="shared" si="9"/>
        <v>91</v>
      </c>
    </row>
    <row r="267" spans="1:70" x14ac:dyDescent="0.25">
      <c r="A267" s="4" t="s">
        <v>2391</v>
      </c>
      <c r="B267" t="s">
        <v>61</v>
      </c>
      <c r="C267" s="338" t="s">
        <v>1862</v>
      </c>
      <c r="D267" s="213" t="s">
        <v>953</v>
      </c>
      <c r="E267" s="213" t="s">
        <v>138</v>
      </c>
      <c r="F267" s="213" t="s">
        <v>128</v>
      </c>
      <c r="G267" s="4">
        <v>0</v>
      </c>
      <c r="H267" s="4">
        <v>0</v>
      </c>
      <c r="I267" s="4">
        <v>0</v>
      </c>
      <c r="J267" s="4">
        <v>0</v>
      </c>
      <c r="K267" s="4">
        <v>2868.1</v>
      </c>
      <c r="L267" s="4">
        <v>15</v>
      </c>
      <c r="M267" s="4">
        <v>1441.03</v>
      </c>
      <c r="N267" s="4">
        <v>8</v>
      </c>
      <c r="O267" s="4">
        <v>2046.01</v>
      </c>
      <c r="P267" s="4">
        <v>12</v>
      </c>
      <c r="Q267" s="4">
        <v>2335.0100000000002</v>
      </c>
      <c r="R267" s="4">
        <v>16</v>
      </c>
      <c r="S267" s="4">
        <v>625</v>
      </c>
      <c r="T267" s="4">
        <v>4</v>
      </c>
      <c r="U267" s="4">
        <v>625.01</v>
      </c>
      <c r="V267" s="4">
        <v>5</v>
      </c>
      <c r="W267" s="4">
        <v>75</v>
      </c>
      <c r="X267" s="4">
        <v>1</v>
      </c>
      <c r="Y267" s="4">
        <v>658</v>
      </c>
      <c r="Z267" s="4">
        <v>6</v>
      </c>
      <c r="AA267" s="4">
        <v>604.03</v>
      </c>
      <c r="AB267" s="4">
        <v>5</v>
      </c>
      <c r="AC267" s="4">
        <v>2534.0500000000002</v>
      </c>
      <c r="AD267" s="4">
        <v>14</v>
      </c>
      <c r="AE267" s="4">
        <v>0</v>
      </c>
      <c r="AF267" s="4">
        <v>0</v>
      </c>
      <c r="AG267" s="4">
        <v>850</v>
      </c>
      <c r="AH267" s="4">
        <v>6</v>
      </c>
      <c r="AI267" s="4">
        <v>675.02</v>
      </c>
      <c r="AJ267" s="4">
        <v>3</v>
      </c>
      <c r="AK267" s="4">
        <v>1674.04</v>
      </c>
      <c r="AL267" s="4">
        <v>10</v>
      </c>
      <c r="AM267" s="4">
        <v>1732</v>
      </c>
      <c r="AN267" s="4">
        <v>7</v>
      </c>
      <c r="AO267" s="4">
        <v>150.01</v>
      </c>
      <c r="AP267" s="4">
        <v>1</v>
      </c>
      <c r="AQ267" s="4">
        <v>150</v>
      </c>
      <c r="AR267" s="4">
        <v>1</v>
      </c>
      <c r="AS267" s="4">
        <v>30</v>
      </c>
      <c r="AT267" s="4">
        <v>1</v>
      </c>
      <c r="AU267" s="4">
        <v>0</v>
      </c>
      <c r="AV267" s="4">
        <v>0</v>
      </c>
      <c r="AW267" s="4">
        <v>899</v>
      </c>
      <c r="AX267" s="4">
        <v>6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Q267" s="3">
        <f t="shared" si="10"/>
        <v>19971.310000000001</v>
      </c>
      <c r="BR267" s="3">
        <f t="shared" si="9"/>
        <v>121</v>
      </c>
    </row>
    <row r="268" spans="1:70" x14ac:dyDescent="0.25">
      <c r="A268" s="4" t="s">
        <v>2392</v>
      </c>
      <c r="B268" t="s">
        <v>61</v>
      </c>
      <c r="C268" s="338" t="s">
        <v>1642</v>
      </c>
      <c r="D268" s="213" t="s">
        <v>733</v>
      </c>
      <c r="E268" s="213" t="s">
        <v>138</v>
      </c>
      <c r="F268" s="213" t="s">
        <v>128</v>
      </c>
      <c r="G268" s="4">
        <v>3181.03</v>
      </c>
      <c r="H268" s="4">
        <v>23</v>
      </c>
      <c r="I268" s="4">
        <v>4015.13</v>
      </c>
      <c r="J268" s="4">
        <v>33</v>
      </c>
      <c r="K268" s="4">
        <v>658.02</v>
      </c>
      <c r="L268" s="4">
        <v>5</v>
      </c>
      <c r="M268" s="4">
        <v>1987.02</v>
      </c>
      <c r="N268" s="4">
        <v>11</v>
      </c>
      <c r="O268" s="4">
        <v>0</v>
      </c>
      <c r="P268" s="4">
        <v>0</v>
      </c>
      <c r="Q268" s="4">
        <v>0</v>
      </c>
      <c r="R268" s="4">
        <v>0</v>
      </c>
      <c r="S268" s="4">
        <v>1202.02</v>
      </c>
      <c r="T268" s="4">
        <v>10</v>
      </c>
      <c r="U268" s="4">
        <v>13</v>
      </c>
      <c r="V268" s="4">
        <v>1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265.01</v>
      </c>
      <c r="AJ268" s="4">
        <v>2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Q268" s="3">
        <f t="shared" si="10"/>
        <v>11321.230000000001</v>
      </c>
      <c r="BR268" s="3">
        <f t="shared" si="9"/>
        <v>85</v>
      </c>
    </row>
    <row r="269" spans="1:70" x14ac:dyDescent="0.25">
      <c r="A269" s="4" t="s">
        <v>2393</v>
      </c>
      <c r="B269" t="s">
        <v>61</v>
      </c>
      <c r="C269" s="338" t="s">
        <v>1863</v>
      </c>
      <c r="D269" s="213" t="s">
        <v>954</v>
      </c>
      <c r="E269" s="213" t="s">
        <v>138</v>
      </c>
      <c r="F269" s="213" t="s">
        <v>128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439.01</v>
      </c>
      <c r="V269" s="4">
        <v>3</v>
      </c>
      <c r="W269" s="4">
        <v>2173.0700000000002</v>
      </c>
      <c r="X269" s="4">
        <v>16</v>
      </c>
      <c r="Y269" s="4">
        <v>980.01</v>
      </c>
      <c r="Z269" s="4">
        <v>6</v>
      </c>
      <c r="AA269" s="4">
        <v>225</v>
      </c>
      <c r="AB269" s="4">
        <v>2</v>
      </c>
      <c r="AC269" s="4">
        <v>758</v>
      </c>
      <c r="AD269" s="4">
        <v>3</v>
      </c>
      <c r="AE269" s="4">
        <v>1358.01</v>
      </c>
      <c r="AF269" s="4">
        <v>12</v>
      </c>
      <c r="AG269" s="4">
        <v>555.01</v>
      </c>
      <c r="AH269" s="4">
        <v>6</v>
      </c>
      <c r="AI269" s="4">
        <v>2462.0500000000002</v>
      </c>
      <c r="AJ269" s="4">
        <v>17</v>
      </c>
      <c r="AK269" s="4">
        <v>115</v>
      </c>
      <c r="AL269" s="4">
        <v>1</v>
      </c>
      <c r="AM269" s="4">
        <v>1291.98</v>
      </c>
      <c r="AN269" s="4">
        <v>6</v>
      </c>
      <c r="AO269" s="4">
        <v>1072.01</v>
      </c>
      <c r="AP269" s="4">
        <v>6</v>
      </c>
      <c r="AQ269" s="4">
        <v>1193.02</v>
      </c>
      <c r="AR269" s="4">
        <v>6</v>
      </c>
      <c r="AS269" s="4">
        <v>380</v>
      </c>
      <c r="AT269" s="4">
        <v>3</v>
      </c>
      <c r="AU269" s="4">
        <v>862.02</v>
      </c>
      <c r="AV269" s="4">
        <v>5</v>
      </c>
      <c r="AW269" s="4">
        <v>487</v>
      </c>
      <c r="AX269" s="4">
        <v>4</v>
      </c>
      <c r="AY269" s="4">
        <v>0</v>
      </c>
      <c r="AZ269" s="4">
        <v>0</v>
      </c>
      <c r="BA269" s="4">
        <v>707.94</v>
      </c>
      <c r="BB269" s="4">
        <v>4</v>
      </c>
      <c r="BC269" s="4">
        <v>1712.02</v>
      </c>
      <c r="BD269" s="4">
        <v>10</v>
      </c>
      <c r="BE269" s="4">
        <v>202</v>
      </c>
      <c r="BF269" s="4">
        <v>3</v>
      </c>
      <c r="BQ269" s="3">
        <f t="shared" si="10"/>
        <v>16973.150000000001</v>
      </c>
      <c r="BR269" s="3">
        <f t="shared" si="9"/>
        <v>113</v>
      </c>
    </row>
    <row r="270" spans="1:70" x14ac:dyDescent="0.25">
      <c r="A270" s="4" t="s">
        <v>2394</v>
      </c>
      <c r="B270" t="s">
        <v>61</v>
      </c>
      <c r="C270" s="338" t="s">
        <v>1864</v>
      </c>
      <c r="D270" s="213" t="s">
        <v>955</v>
      </c>
      <c r="E270" s="213" t="s">
        <v>138</v>
      </c>
      <c r="F270" s="213" t="s">
        <v>128</v>
      </c>
      <c r="G270" s="4">
        <v>1786.98</v>
      </c>
      <c r="H270" s="4">
        <v>10</v>
      </c>
      <c r="I270" s="4">
        <v>0</v>
      </c>
      <c r="J270" s="4">
        <v>0</v>
      </c>
      <c r="K270" s="4">
        <v>704</v>
      </c>
      <c r="L270" s="4">
        <v>8</v>
      </c>
      <c r="M270" s="4">
        <v>550.01</v>
      </c>
      <c r="N270" s="4">
        <v>4</v>
      </c>
      <c r="O270" s="4">
        <v>516</v>
      </c>
      <c r="P270" s="4">
        <v>5</v>
      </c>
      <c r="Q270" s="4">
        <v>172</v>
      </c>
      <c r="R270" s="4">
        <v>2</v>
      </c>
      <c r="S270" s="4">
        <v>0</v>
      </c>
      <c r="T270" s="4">
        <v>0</v>
      </c>
      <c r="U270" s="4">
        <v>1773.03</v>
      </c>
      <c r="V270" s="4">
        <v>9</v>
      </c>
      <c r="W270" s="4">
        <v>0</v>
      </c>
      <c r="X270" s="4">
        <v>0</v>
      </c>
      <c r="Y270" s="4">
        <v>225</v>
      </c>
      <c r="Z270" s="4">
        <v>2</v>
      </c>
      <c r="AA270" s="4">
        <v>600.01</v>
      </c>
      <c r="AB270" s="4">
        <v>5</v>
      </c>
      <c r="AC270" s="4">
        <v>0</v>
      </c>
      <c r="AD270" s="4">
        <v>0</v>
      </c>
      <c r="AE270" s="4">
        <v>415.01</v>
      </c>
      <c r="AF270" s="4">
        <v>3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1279.02</v>
      </c>
      <c r="AN270" s="4">
        <v>7</v>
      </c>
      <c r="AO270" s="4">
        <v>765.02</v>
      </c>
      <c r="AP270" s="4">
        <v>4</v>
      </c>
      <c r="AQ270" s="4">
        <v>0</v>
      </c>
      <c r="AR270" s="4">
        <v>0</v>
      </c>
      <c r="AS270" s="4">
        <v>1162.01</v>
      </c>
      <c r="AT270" s="4">
        <v>9</v>
      </c>
      <c r="AU270" s="4">
        <v>375</v>
      </c>
      <c r="AV270" s="4">
        <v>3</v>
      </c>
      <c r="AW270" s="4">
        <v>0</v>
      </c>
      <c r="AX270" s="4">
        <v>0</v>
      </c>
      <c r="AY270" s="4">
        <v>2170.88</v>
      </c>
      <c r="AZ270" s="4">
        <v>10</v>
      </c>
      <c r="BA270" s="4">
        <v>915.97</v>
      </c>
      <c r="BB270" s="4">
        <v>5</v>
      </c>
      <c r="BC270" s="4">
        <v>421.96</v>
      </c>
      <c r="BD270" s="4">
        <v>2</v>
      </c>
      <c r="BE270" s="4">
        <v>0</v>
      </c>
      <c r="BF270" s="4">
        <v>0</v>
      </c>
      <c r="BQ270" s="3">
        <f t="shared" si="10"/>
        <v>13831.9</v>
      </c>
      <c r="BR270" s="3">
        <f t="shared" si="9"/>
        <v>88</v>
      </c>
    </row>
    <row r="271" spans="1:70" x14ac:dyDescent="0.25">
      <c r="A271" s="4" t="s">
        <v>2395</v>
      </c>
      <c r="B271" t="s">
        <v>62</v>
      </c>
      <c r="C271" s="338" t="s">
        <v>1865</v>
      </c>
      <c r="D271" s="213" t="s">
        <v>956</v>
      </c>
      <c r="E271" s="213" t="s">
        <v>139</v>
      </c>
      <c r="F271" s="213" t="s">
        <v>130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407</v>
      </c>
      <c r="N271" s="4">
        <v>4</v>
      </c>
      <c r="O271" s="4">
        <v>2004.01</v>
      </c>
      <c r="P271" s="4">
        <v>11</v>
      </c>
      <c r="Q271" s="4">
        <v>0</v>
      </c>
      <c r="R271" s="4">
        <v>0</v>
      </c>
      <c r="S271" s="4">
        <v>847</v>
      </c>
      <c r="T271" s="4">
        <v>3</v>
      </c>
      <c r="U271" s="4">
        <v>150</v>
      </c>
      <c r="V271" s="4">
        <v>1</v>
      </c>
      <c r="W271" s="4">
        <v>897</v>
      </c>
      <c r="X271" s="4">
        <v>5</v>
      </c>
      <c r="Y271" s="4">
        <v>0</v>
      </c>
      <c r="Z271" s="4">
        <v>0</v>
      </c>
      <c r="AA271" s="4">
        <v>372.01</v>
      </c>
      <c r="AB271" s="4">
        <v>1</v>
      </c>
      <c r="AC271" s="4">
        <v>214</v>
      </c>
      <c r="AD271" s="4">
        <v>2</v>
      </c>
      <c r="AE271" s="4">
        <v>0</v>
      </c>
      <c r="AF271" s="4">
        <v>0</v>
      </c>
      <c r="AG271" s="4">
        <v>3079.01</v>
      </c>
      <c r="AH271" s="4">
        <v>16</v>
      </c>
      <c r="AI271" s="4">
        <v>0</v>
      </c>
      <c r="AJ271" s="4">
        <v>0</v>
      </c>
      <c r="AK271" s="4">
        <v>782.02</v>
      </c>
      <c r="AL271" s="4">
        <v>3</v>
      </c>
      <c r="AM271" s="4">
        <v>625</v>
      </c>
      <c r="AN271" s="4">
        <v>3</v>
      </c>
      <c r="AO271" s="4">
        <v>0</v>
      </c>
      <c r="AP271" s="4">
        <v>0</v>
      </c>
      <c r="AQ271" s="4">
        <v>969</v>
      </c>
      <c r="AR271" s="4">
        <v>5</v>
      </c>
      <c r="AS271" s="4">
        <v>0</v>
      </c>
      <c r="AT271" s="4">
        <v>0</v>
      </c>
      <c r="AU271" s="4">
        <v>2483.0500000000002</v>
      </c>
      <c r="AV271" s="4">
        <v>11</v>
      </c>
      <c r="AW271" s="4">
        <v>2591.89</v>
      </c>
      <c r="AX271" s="4">
        <v>5</v>
      </c>
      <c r="AY271" s="4">
        <v>2330.8200000000002</v>
      </c>
      <c r="AZ271" s="4">
        <v>10</v>
      </c>
      <c r="BA271" s="4">
        <v>437.98</v>
      </c>
      <c r="BB271" s="4">
        <v>3</v>
      </c>
      <c r="BC271" s="4">
        <v>360.98</v>
      </c>
      <c r="BD271" s="4">
        <v>2</v>
      </c>
      <c r="BE271" s="4">
        <v>0</v>
      </c>
      <c r="BF271" s="4">
        <v>0</v>
      </c>
      <c r="BQ271" s="3">
        <f t="shared" si="10"/>
        <v>18550.77</v>
      </c>
      <c r="BR271" s="3">
        <f t="shared" si="9"/>
        <v>85</v>
      </c>
    </row>
    <row r="272" spans="1:70" x14ac:dyDescent="0.25">
      <c r="A272" s="4" t="s">
        <v>2396</v>
      </c>
      <c r="B272" t="s">
        <v>62</v>
      </c>
      <c r="C272" s="338" t="s">
        <v>1866</v>
      </c>
      <c r="D272" s="213" t="s">
        <v>957</v>
      </c>
      <c r="E272" s="213" t="s">
        <v>139</v>
      </c>
      <c r="F272" s="213" t="s">
        <v>130</v>
      </c>
      <c r="G272" s="4">
        <v>795.02</v>
      </c>
      <c r="H272" s="4">
        <v>6</v>
      </c>
      <c r="I272" s="4">
        <v>0</v>
      </c>
      <c r="J272" s="4">
        <v>0</v>
      </c>
      <c r="K272" s="4">
        <v>860.02</v>
      </c>
      <c r="L272" s="4">
        <v>7</v>
      </c>
      <c r="M272" s="4">
        <v>1014.01</v>
      </c>
      <c r="N272" s="4">
        <v>6</v>
      </c>
      <c r="O272" s="4">
        <v>2396.0500000000002</v>
      </c>
      <c r="P272" s="4">
        <v>5</v>
      </c>
      <c r="Q272" s="4">
        <v>150</v>
      </c>
      <c r="R272" s="4">
        <v>1</v>
      </c>
      <c r="S272" s="4">
        <v>997.01</v>
      </c>
      <c r="T272" s="4">
        <v>7</v>
      </c>
      <c r="U272" s="4">
        <v>525.02</v>
      </c>
      <c r="V272" s="4">
        <v>3</v>
      </c>
      <c r="W272" s="4">
        <v>0</v>
      </c>
      <c r="X272" s="4">
        <v>0</v>
      </c>
      <c r="Y272" s="4">
        <v>175</v>
      </c>
      <c r="Z272" s="4">
        <v>1</v>
      </c>
      <c r="AA272" s="4">
        <v>375.01</v>
      </c>
      <c r="AB272" s="4">
        <v>3</v>
      </c>
      <c r="AC272" s="4">
        <v>472</v>
      </c>
      <c r="AD272" s="4">
        <v>5</v>
      </c>
      <c r="AE272" s="4">
        <v>2154.0500000000002</v>
      </c>
      <c r="AF272" s="4">
        <v>5</v>
      </c>
      <c r="AG272" s="4">
        <v>675</v>
      </c>
      <c r="AH272" s="4">
        <v>5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933.04</v>
      </c>
      <c r="AR272" s="4">
        <v>5</v>
      </c>
      <c r="AS272" s="4">
        <v>939</v>
      </c>
      <c r="AT272" s="4">
        <v>4</v>
      </c>
      <c r="AU272" s="4">
        <v>1200</v>
      </c>
      <c r="AV272" s="4">
        <v>4</v>
      </c>
      <c r="AW272" s="4">
        <v>285.98</v>
      </c>
      <c r="AX272" s="4">
        <v>2</v>
      </c>
      <c r="AY272" s="4">
        <v>0</v>
      </c>
      <c r="AZ272" s="4">
        <v>0</v>
      </c>
      <c r="BA272" s="4">
        <v>718.96</v>
      </c>
      <c r="BB272" s="4">
        <v>3</v>
      </c>
      <c r="BC272" s="4">
        <v>9117.76</v>
      </c>
      <c r="BD272" s="4">
        <v>5</v>
      </c>
      <c r="BE272" s="4">
        <v>422.04</v>
      </c>
      <c r="BF272" s="4">
        <v>1</v>
      </c>
      <c r="BQ272" s="3">
        <f t="shared" si="10"/>
        <v>24204.97</v>
      </c>
      <c r="BR272" s="3">
        <f t="shared" si="9"/>
        <v>78</v>
      </c>
    </row>
    <row r="273" spans="1:70" x14ac:dyDescent="0.25">
      <c r="A273" s="4" t="s">
        <v>2397</v>
      </c>
      <c r="B273" t="s">
        <v>62</v>
      </c>
      <c r="C273" s="338" t="s">
        <v>1818</v>
      </c>
      <c r="D273" s="213" t="s">
        <v>909</v>
      </c>
      <c r="E273" s="213" t="s">
        <v>139</v>
      </c>
      <c r="F273" s="213" t="s">
        <v>130</v>
      </c>
      <c r="G273" s="4">
        <v>2543.0500000000002</v>
      </c>
      <c r="H273" s="4">
        <v>16</v>
      </c>
      <c r="I273" s="4">
        <v>2483.0300000000002</v>
      </c>
      <c r="J273" s="4">
        <v>15</v>
      </c>
      <c r="K273" s="4">
        <v>3131.09</v>
      </c>
      <c r="L273" s="4">
        <v>24</v>
      </c>
      <c r="M273" s="4">
        <v>715.03</v>
      </c>
      <c r="N273" s="4">
        <v>3</v>
      </c>
      <c r="O273" s="4">
        <v>0</v>
      </c>
      <c r="P273" s="4">
        <v>0</v>
      </c>
      <c r="Q273" s="4">
        <v>1549.05</v>
      </c>
      <c r="R273" s="4">
        <v>9</v>
      </c>
      <c r="S273" s="4">
        <v>1896.06</v>
      </c>
      <c r="T273" s="4">
        <v>12</v>
      </c>
      <c r="U273" s="4">
        <v>2609.0300000000002</v>
      </c>
      <c r="V273" s="4">
        <v>7</v>
      </c>
      <c r="W273" s="4">
        <v>1735.04</v>
      </c>
      <c r="X273" s="4">
        <v>9</v>
      </c>
      <c r="Y273" s="4">
        <v>1090.04</v>
      </c>
      <c r="Z273" s="4">
        <v>7</v>
      </c>
      <c r="AA273" s="4">
        <v>2596.02</v>
      </c>
      <c r="AB273" s="4">
        <v>9</v>
      </c>
      <c r="AC273" s="4">
        <v>0</v>
      </c>
      <c r="AD273" s="4">
        <v>2</v>
      </c>
      <c r="AE273" s="4">
        <v>1264.02</v>
      </c>
      <c r="AF273" s="4">
        <v>8</v>
      </c>
      <c r="AG273" s="4">
        <v>450.01</v>
      </c>
      <c r="AH273" s="4">
        <v>3</v>
      </c>
      <c r="AI273" s="4">
        <v>675</v>
      </c>
      <c r="AJ273" s="4">
        <v>5</v>
      </c>
      <c r="AK273" s="4">
        <v>772.03</v>
      </c>
      <c r="AL273" s="4">
        <v>5</v>
      </c>
      <c r="AM273" s="4">
        <v>2086.02</v>
      </c>
      <c r="AN273" s="4">
        <v>11</v>
      </c>
      <c r="AO273" s="4">
        <v>1528.01</v>
      </c>
      <c r="AP273" s="4">
        <v>7</v>
      </c>
      <c r="AQ273" s="4">
        <v>0</v>
      </c>
      <c r="AR273" s="4">
        <v>0</v>
      </c>
      <c r="AS273" s="4">
        <v>1183.03</v>
      </c>
      <c r="AT273" s="4">
        <v>6</v>
      </c>
      <c r="AU273" s="4">
        <v>1148.02</v>
      </c>
      <c r="AV273" s="4">
        <v>4</v>
      </c>
      <c r="AW273" s="4">
        <v>1387.93</v>
      </c>
      <c r="AX273" s="4">
        <v>8</v>
      </c>
      <c r="AY273" s="4">
        <v>421.96</v>
      </c>
      <c r="AZ273" s="4">
        <v>2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Q273" s="3">
        <f t="shared" si="10"/>
        <v>31263.469999999998</v>
      </c>
      <c r="BR273" s="3">
        <f t="shared" si="9"/>
        <v>172</v>
      </c>
    </row>
    <row r="274" spans="1:70" x14ac:dyDescent="0.25">
      <c r="A274" s="4" t="s">
        <v>2398</v>
      </c>
      <c r="B274" t="s">
        <v>62</v>
      </c>
      <c r="C274" s="338" t="s">
        <v>1867</v>
      </c>
      <c r="D274" s="213" t="s">
        <v>958</v>
      </c>
      <c r="E274" s="213" t="s">
        <v>139</v>
      </c>
      <c r="F274" s="213" t="s">
        <v>130</v>
      </c>
      <c r="G274" s="4">
        <v>996</v>
      </c>
      <c r="H274" s="4">
        <v>12</v>
      </c>
      <c r="I274" s="4">
        <v>2768.09</v>
      </c>
      <c r="J274" s="4">
        <v>15</v>
      </c>
      <c r="K274" s="4">
        <v>0</v>
      </c>
      <c r="L274" s="4">
        <v>0</v>
      </c>
      <c r="M274" s="4">
        <v>1308.02</v>
      </c>
      <c r="N274" s="4">
        <v>8</v>
      </c>
      <c r="O274" s="4">
        <v>1817.02</v>
      </c>
      <c r="P274" s="4">
        <v>11</v>
      </c>
      <c r="Q274" s="4">
        <v>839.01</v>
      </c>
      <c r="R274" s="4">
        <v>5</v>
      </c>
      <c r="S274" s="4">
        <v>0</v>
      </c>
      <c r="T274" s="4">
        <v>0</v>
      </c>
      <c r="U274" s="4">
        <v>0</v>
      </c>
      <c r="V274" s="4">
        <v>0</v>
      </c>
      <c r="W274" s="4">
        <v>1464.02</v>
      </c>
      <c r="X274" s="4">
        <v>9</v>
      </c>
      <c r="Y274" s="4">
        <v>1644.05</v>
      </c>
      <c r="Z274" s="4">
        <v>9</v>
      </c>
      <c r="AA274" s="4">
        <v>675.03</v>
      </c>
      <c r="AB274" s="4">
        <v>5</v>
      </c>
      <c r="AC274" s="4">
        <v>2260.0300000000002</v>
      </c>
      <c r="AD274" s="4">
        <v>12</v>
      </c>
      <c r="AE274" s="4">
        <v>1644.04</v>
      </c>
      <c r="AF274" s="4">
        <v>11</v>
      </c>
      <c r="AG274" s="4">
        <v>75</v>
      </c>
      <c r="AH274" s="4">
        <v>2</v>
      </c>
      <c r="AI274" s="4">
        <v>943.02</v>
      </c>
      <c r="AJ274" s="4">
        <v>4</v>
      </c>
      <c r="AK274" s="4">
        <v>1875</v>
      </c>
      <c r="AL274" s="4">
        <v>10</v>
      </c>
      <c r="AM274" s="4">
        <v>1694.01</v>
      </c>
      <c r="AN274" s="4">
        <v>10</v>
      </c>
      <c r="AO274" s="4">
        <v>300</v>
      </c>
      <c r="AP274" s="4">
        <v>2</v>
      </c>
      <c r="AQ274" s="4">
        <v>1622</v>
      </c>
      <c r="AR274" s="4">
        <v>7</v>
      </c>
      <c r="AS274" s="4">
        <v>1325</v>
      </c>
      <c r="AT274" s="4">
        <v>9</v>
      </c>
      <c r="AU274" s="4">
        <v>0</v>
      </c>
      <c r="AV274" s="4">
        <v>0</v>
      </c>
      <c r="AW274" s="4">
        <v>300</v>
      </c>
      <c r="AX274" s="4">
        <v>3</v>
      </c>
      <c r="AY274" s="4">
        <v>2413.94</v>
      </c>
      <c r="AZ274" s="4">
        <v>10</v>
      </c>
      <c r="BA274" s="4">
        <v>685.98</v>
      </c>
      <c r="BB274" s="4">
        <v>5</v>
      </c>
      <c r="BC274" s="4">
        <v>2165.9</v>
      </c>
      <c r="BD274" s="4">
        <v>9</v>
      </c>
      <c r="BE274" s="4">
        <v>2038.16</v>
      </c>
      <c r="BF274" s="4">
        <v>2</v>
      </c>
      <c r="BQ274" s="3">
        <f t="shared" si="10"/>
        <v>30853.32</v>
      </c>
      <c r="BR274" s="3">
        <f t="shared" si="9"/>
        <v>170</v>
      </c>
    </row>
    <row r="275" spans="1:70" x14ac:dyDescent="0.25">
      <c r="A275" s="4" t="s">
        <v>2399</v>
      </c>
      <c r="B275" t="s">
        <v>63</v>
      </c>
      <c r="C275" s="338" t="s">
        <v>1868</v>
      </c>
      <c r="D275" s="213" t="s">
        <v>959</v>
      </c>
      <c r="E275" s="213" t="s">
        <v>152</v>
      </c>
      <c r="F275" s="213" t="s">
        <v>126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668.02</v>
      </c>
      <c r="AH275" s="4">
        <v>4</v>
      </c>
      <c r="AI275" s="4">
        <v>398.02</v>
      </c>
      <c r="AJ275" s="4">
        <v>1</v>
      </c>
      <c r="AK275" s="4">
        <v>1422.01</v>
      </c>
      <c r="AL275" s="4">
        <v>9</v>
      </c>
      <c r="AM275" s="4">
        <v>450.01</v>
      </c>
      <c r="AN275" s="4">
        <v>3</v>
      </c>
      <c r="AO275" s="4">
        <v>489.02</v>
      </c>
      <c r="AP275" s="4">
        <v>3</v>
      </c>
      <c r="AQ275" s="4">
        <v>194.01</v>
      </c>
      <c r="AR275" s="4">
        <v>2</v>
      </c>
      <c r="AS275" s="4">
        <v>0</v>
      </c>
      <c r="AT275" s="4">
        <v>0</v>
      </c>
      <c r="AU275" s="4">
        <v>393.01</v>
      </c>
      <c r="AV275" s="4">
        <v>2</v>
      </c>
      <c r="AW275" s="4">
        <v>261.02</v>
      </c>
      <c r="AX275" s="4">
        <v>2</v>
      </c>
      <c r="AY275" s="4">
        <v>885.99</v>
      </c>
      <c r="AZ275" s="4">
        <v>5</v>
      </c>
      <c r="BA275" s="4">
        <v>0</v>
      </c>
      <c r="BB275" s="4">
        <v>0</v>
      </c>
      <c r="BC275" s="4">
        <v>471.99</v>
      </c>
      <c r="BD275" s="4">
        <v>3</v>
      </c>
      <c r="BE275" s="4">
        <v>425</v>
      </c>
      <c r="BF275" s="4">
        <v>2</v>
      </c>
      <c r="BQ275" s="3">
        <f t="shared" si="10"/>
        <v>6058.1</v>
      </c>
      <c r="BR275" s="3">
        <f t="shared" si="9"/>
        <v>36</v>
      </c>
    </row>
    <row r="276" spans="1:70" x14ac:dyDescent="0.25">
      <c r="A276" s="4" t="s">
        <v>2400</v>
      </c>
      <c r="B276" t="s">
        <v>63</v>
      </c>
      <c r="C276" s="338" t="s">
        <v>1869</v>
      </c>
      <c r="D276" s="213" t="s">
        <v>960</v>
      </c>
      <c r="E276" s="213" t="s">
        <v>152</v>
      </c>
      <c r="F276" s="213" t="s">
        <v>126</v>
      </c>
      <c r="G276" s="4">
        <v>2469.02</v>
      </c>
      <c r="H276" s="4">
        <v>15</v>
      </c>
      <c r="I276" s="4">
        <v>2888.06</v>
      </c>
      <c r="J276" s="4">
        <v>18</v>
      </c>
      <c r="K276" s="4">
        <v>2899.08</v>
      </c>
      <c r="L276" s="4">
        <v>16</v>
      </c>
      <c r="M276" s="4">
        <v>790.03</v>
      </c>
      <c r="N276" s="4">
        <v>4</v>
      </c>
      <c r="O276" s="4">
        <v>951.01</v>
      </c>
      <c r="P276" s="4">
        <v>7</v>
      </c>
      <c r="Q276" s="4">
        <v>0</v>
      </c>
      <c r="R276" s="4">
        <v>0</v>
      </c>
      <c r="S276" s="4">
        <v>2475.06</v>
      </c>
      <c r="T276" s="4">
        <v>13</v>
      </c>
      <c r="U276" s="4">
        <v>1123.04</v>
      </c>
      <c r="V276" s="4">
        <v>6</v>
      </c>
      <c r="W276" s="4">
        <v>3180.09</v>
      </c>
      <c r="X276" s="4">
        <v>19</v>
      </c>
      <c r="Y276" s="4">
        <v>150.01</v>
      </c>
      <c r="Z276" s="4">
        <v>1</v>
      </c>
      <c r="AA276" s="4">
        <v>150</v>
      </c>
      <c r="AB276" s="4">
        <v>1</v>
      </c>
      <c r="AC276" s="4">
        <v>0</v>
      </c>
      <c r="AD276" s="4">
        <v>0</v>
      </c>
      <c r="AE276" s="4">
        <v>1222.04</v>
      </c>
      <c r="AF276" s="4">
        <v>10</v>
      </c>
      <c r="AG276" s="4">
        <v>99</v>
      </c>
      <c r="AH276" s="4">
        <v>1</v>
      </c>
      <c r="AI276" s="4">
        <v>828.04</v>
      </c>
      <c r="AJ276" s="4">
        <v>5</v>
      </c>
      <c r="AK276" s="4">
        <v>1865.04</v>
      </c>
      <c r="AL276" s="4">
        <v>11</v>
      </c>
      <c r="AM276" s="4">
        <v>1188.02</v>
      </c>
      <c r="AN276" s="4">
        <v>9</v>
      </c>
      <c r="AO276" s="4">
        <v>150.01</v>
      </c>
      <c r="AP276" s="4">
        <v>1</v>
      </c>
      <c r="AQ276" s="4">
        <v>0</v>
      </c>
      <c r="AR276" s="4">
        <v>0</v>
      </c>
      <c r="AS276" s="4">
        <v>993.02</v>
      </c>
      <c r="AT276" s="4">
        <v>7</v>
      </c>
      <c r="AU276" s="4">
        <v>1710.04</v>
      </c>
      <c r="AV276" s="4">
        <v>9</v>
      </c>
      <c r="AW276" s="4">
        <v>571.96</v>
      </c>
      <c r="AX276" s="4">
        <v>4</v>
      </c>
      <c r="AY276" s="4">
        <v>1416.99</v>
      </c>
      <c r="AZ276" s="4">
        <v>7</v>
      </c>
      <c r="BA276" s="4">
        <v>210.98</v>
      </c>
      <c r="BB276" s="4">
        <v>1</v>
      </c>
      <c r="BC276" s="4">
        <v>796.96</v>
      </c>
      <c r="BD276" s="4">
        <v>4</v>
      </c>
      <c r="BE276" s="4">
        <v>1008.06</v>
      </c>
      <c r="BF276" s="4">
        <v>3</v>
      </c>
      <c r="BQ276" s="3">
        <f t="shared" si="10"/>
        <v>29135.56</v>
      </c>
      <c r="BR276" s="3">
        <f t="shared" si="9"/>
        <v>172</v>
      </c>
    </row>
    <row r="277" spans="1:70" x14ac:dyDescent="0.25">
      <c r="A277" s="4" t="s">
        <v>2401</v>
      </c>
      <c r="B277" t="s">
        <v>63</v>
      </c>
      <c r="C277" s="338" t="s">
        <v>1870</v>
      </c>
      <c r="D277" s="213" t="s">
        <v>961</v>
      </c>
      <c r="E277" s="213" t="s">
        <v>152</v>
      </c>
      <c r="F277" s="213" t="s">
        <v>126</v>
      </c>
      <c r="G277" s="4">
        <v>2151.0100000000002</v>
      </c>
      <c r="H277" s="4">
        <v>10</v>
      </c>
      <c r="I277" s="4">
        <v>0</v>
      </c>
      <c r="J277" s="4">
        <v>0</v>
      </c>
      <c r="K277" s="4">
        <v>856</v>
      </c>
      <c r="L277" s="4">
        <v>4</v>
      </c>
      <c r="M277" s="4">
        <v>2335.06</v>
      </c>
      <c r="N277" s="4">
        <v>13</v>
      </c>
      <c r="O277" s="4">
        <v>2271.0100000000002</v>
      </c>
      <c r="P277" s="4">
        <v>11</v>
      </c>
      <c r="Q277" s="4">
        <v>1167</v>
      </c>
      <c r="R277" s="4">
        <v>5</v>
      </c>
      <c r="S277" s="4">
        <v>7825.32</v>
      </c>
      <c r="T277" s="4">
        <v>12</v>
      </c>
      <c r="U277" s="4">
        <v>773.01</v>
      </c>
      <c r="V277" s="4">
        <v>4</v>
      </c>
      <c r="W277" s="4">
        <v>0</v>
      </c>
      <c r="X277" s="4">
        <v>0</v>
      </c>
      <c r="Y277" s="4">
        <v>1667.06</v>
      </c>
      <c r="Z277" s="4">
        <v>8</v>
      </c>
      <c r="AA277" s="4">
        <v>2204.04</v>
      </c>
      <c r="AB277" s="4">
        <v>10</v>
      </c>
      <c r="AC277" s="4">
        <v>953.01</v>
      </c>
      <c r="AD277" s="4">
        <v>6</v>
      </c>
      <c r="AE277" s="4">
        <v>2675.03</v>
      </c>
      <c r="AF277" s="4">
        <v>6</v>
      </c>
      <c r="AG277" s="4">
        <v>0</v>
      </c>
      <c r="AH277" s="4">
        <v>0</v>
      </c>
      <c r="AI277" s="4">
        <v>2319.04</v>
      </c>
      <c r="AJ277" s="4">
        <v>12</v>
      </c>
      <c r="AK277" s="4">
        <v>2247.0500000000002</v>
      </c>
      <c r="AL277" s="4">
        <v>2</v>
      </c>
      <c r="AM277" s="4">
        <v>0</v>
      </c>
      <c r="AN277" s="4">
        <v>0</v>
      </c>
      <c r="AO277" s="4">
        <v>1262.07</v>
      </c>
      <c r="AP277" s="4">
        <v>6</v>
      </c>
      <c r="AQ277" s="4">
        <v>1456.02</v>
      </c>
      <c r="AR277" s="4">
        <v>7</v>
      </c>
      <c r="AS277" s="4">
        <v>216.01</v>
      </c>
      <c r="AT277" s="4">
        <v>1</v>
      </c>
      <c r="AU277" s="4">
        <v>0</v>
      </c>
      <c r="AV277" s="4">
        <v>0</v>
      </c>
      <c r="AW277" s="4">
        <v>340</v>
      </c>
      <c r="AX277" s="4">
        <v>3</v>
      </c>
      <c r="AY277" s="4">
        <v>831.94</v>
      </c>
      <c r="AZ277" s="4">
        <v>4</v>
      </c>
      <c r="BA277" s="4">
        <v>225</v>
      </c>
      <c r="BB277" s="4">
        <v>2</v>
      </c>
      <c r="BC277" s="4">
        <v>1863.88</v>
      </c>
      <c r="BD277" s="4">
        <v>1</v>
      </c>
      <c r="BE277" s="4">
        <v>783.06</v>
      </c>
      <c r="BF277" s="4">
        <v>3</v>
      </c>
      <c r="BQ277" s="3">
        <f t="shared" si="10"/>
        <v>36421.619999999995</v>
      </c>
      <c r="BR277" s="3">
        <f t="shared" si="9"/>
        <v>130</v>
      </c>
    </row>
    <row r="278" spans="1:70" x14ac:dyDescent="0.25">
      <c r="A278" s="4" t="s">
        <v>2402</v>
      </c>
      <c r="B278" t="s">
        <v>63</v>
      </c>
      <c r="C278" s="338" t="s">
        <v>1828</v>
      </c>
      <c r="D278" s="213" t="s">
        <v>919</v>
      </c>
      <c r="E278" s="213" t="s">
        <v>152</v>
      </c>
      <c r="F278" s="213" t="s">
        <v>126</v>
      </c>
      <c r="G278" s="4">
        <v>0</v>
      </c>
      <c r="H278" s="4">
        <v>0</v>
      </c>
      <c r="I278" s="4">
        <v>2144.0500000000002</v>
      </c>
      <c r="J278" s="4">
        <v>17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1683.05</v>
      </c>
      <c r="R278" s="4">
        <v>10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2066.0700000000002</v>
      </c>
      <c r="AD278" s="4">
        <v>10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Q278" s="3">
        <f t="shared" si="10"/>
        <v>5893.17</v>
      </c>
      <c r="BR278" s="3">
        <f t="shared" si="9"/>
        <v>37</v>
      </c>
    </row>
    <row r="279" spans="1:70" x14ac:dyDescent="0.25">
      <c r="A279" s="4" t="s">
        <v>2403</v>
      </c>
      <c r="B279" t="s">
        <v>64</v>
      </c>
      <c r="C279" s="338" t="s">
        <v>1871</v>
      </c>
      <c r="D279" s="213" t="s">
        <v>962</v>
      </c>
      <c r="E279" s="213" t="s">
        <v>145</v>
      </c>
      <c r="F279" s="213" t="s">
        <v>127</v>
      </c>
      <c r="G279" s="4">
        <v>1039.05</v>
      </c>
      <c r="H279" s="4">
        <v>8</v>
      </c>
      <c r="I279" s="4">
        <v>4491.04</v>
      </c>
      <c r="J279" s="4">
        <v>35</v>
      </c>
      <c r="K279" s="4">
        <v>484.01</v>
      </c>
      <c r="L279" s="4">
        <v>4</v>
      </c>
      <c r="M279" s="4">
        <v>2747.02</v>
      </c>
      <c r="N279" s="4">
        <v>21</v>
      </c>
      <c r="O279" s="4">
        <v>0</v>
      </c>
      <c r="P279" s="4">
        <v>0</v>
      </c>
      <c r="Q279" s="4">
        <v>314.01</v>
      </c>
      <c r="R279" s="4">
        <v>2</v>
      </c>
      <c r="S279" s="4">
        <v>0</v>
      </c>
      <c r="T279" s="4">
        <v>0</v>
      </c>
      <c r="U279" s="4">
        <v>549.01</v>
      </c>
      <c r="V279" s="4">
        <v>4</v>
      </c>
      <c r="W279" s="4">
        <v>0</v>
      </c>
      <c r="X279" s="4">
        <v>0</v>
      </c>
      <c r="Y279" s="4">
        <v>202</v>
      </c>
      <c r="Z279" s="4">
        <v>3</v>
      </c>
      <c r="AA279" s="4">
        <v>1176.02</v>
      </c>
      <c r="AB279" s="4">
        <v>10</v>
      </c>
      <c r="AC279" s="4">
        <v>685.02</v>
      </c>
      <c r="AD279" s="4">
        <v>4</v>
      </c>
      <c r="AE279" s="4">
        <v>0</v>
      </c>
      <c r="AF279" s="4">
        <v>0</v>
      </c>
      <c r="AG279" s="4">
        <v>2076.04</v>
      </c>
      <c r="AH279" s="4">
        <v>18</v>
      </c>
      <c r="AI279" s="4">
        <v>1022.01</v>
      </c>
      <c r="AJ279" s="4">
        <v>7</v>
      </c>
      <c r="AK279" s="4">
        <v>2967.02</v>
      </c>
      <c r="AL279" s="4">
        <v>24</v>
      </c>
      <c r="AM279" s="4">
        <v>951.01</v>
      </c>
      <c r="AN279" s="4">
        <v>7</v>
      </c>
      <c r="AO279" s="4">
        <v>1405.04</v>
      </c>
      <c r="AP279" s="4">
        <v>8</v>
      </c>
      <c r="AQ279" s="4">
        <v>1275.02</v>
      </c>
      <c r="AR279" s="4">
        <v>8</v>
      </c>
      <c r="AS279" s="4">
        <v>2233.06</v>
      </c>
      <c r="AT279" s="4">
        <v>12</v>
      </c>
      <c r="AU279" s="4">
        <v>637.02</v>
      </c>
      <c r="AV279" s="4">
        <v>6</v>
      </c>
      <c r="AW279" s="4">
        <v>0</v>
      </c>
      <c r="AX279" s="4">
        <v>0</v>
      </c>
      <c r="AY279" s="4">
        <v>1017.92</v>
      </c>
      <c r="AZ279" s="4">
        <v>6</v>
      </c>
      <c r="BA279" s="4">
        <v>0</v>
      </c>
      <c r="BB279" s="4">
        <v>0</v>
      </c>
      <c r="BC279" s="4">
        <v>1611</v>
      </c>
      <c r="BD279" s="4">
        <v>11</v>
      </c>
      <c r="BE279" s="4">
        <v>0</v>
      </c>
      <c r="BF279" s="4">
        <v>0</v>
      </c>
      <c r="BQ279" s="3">
        <f t="shared" si="10"/>
        <v>26882.32</v>
      </c>
      <c r="BR279" s="3">
        <f t="shared" si="9"/>
        <v>198</v>
      </c>
    </row>
    <row r="280" spans="1:70" x14ac:dyDescent="0.25">
      <c r="A280" s="4" t="s">
        <v>2404</v>
      </c>
      <c r="B280" t="s">
        <v>64</v>
      </c>
      <c r="C280" s="338" t="s">
        <v>1872</v>
      </c>
      <c r="D280" s="213" t="s">
        <v>963</v>
      </c>
      <c r="E280" s="213" t="s">
        <v>145</v>
      </c>
      <c r="F280" s="213" t="s">
        <v>127</v>
      </c>
      <c r="G280" s="4">
        <v>0</v>
      </c>
      <c r="H280" s="4">
        <v>0</v>
      </c>
      <c r="I280" s="4">
        <v>0</v>
      </c>
      <c r="J280" s="4">
        <v>0</v>
      </c>
      <c r="K280" s="4">
        <v>961.02</v>
      </c>
      <c r="L280" s="4">
        <v>9</v>
      </c>
      <c r="M280" s="4">
        <v>1050.01</v>
      </c>
      <c r="N280" s="4">
        <v>8</v>
      </c>
      <c r="O280" s="4">
        <v>584.99</v>
      </c>
      <c r="P280" s="4">
        <v>5</v>
      </c>
      <c r="Q280" s="4">
        <v>0</v>
      </c>
      <c r="R280" s="4">
        <v>0</v>
      </c>
      <c r="S280" s="4">
        <v>750</v>
      </c>
      <c r="T280" s="4">
        <v>6</v>
      </c>
      <c r="U280" s="4">
        <v>855.03</v>
      </c>
      <c r="V280" s="4">
        <v>7</v>
      </c>
      <c r="W280" s="4">
        <v>0</v>
      </c>
      <c r="X280" s="4">
        <v>0</v>
      </c>
      <c r="Y280" s="4">
        <v>300.01</v>
      </c>
      <c r="Z280" s="4">
        <v>3</v>
      </c>
      <c r="AA280" s="4">
        <v>680.02</v>
      </c>
      <c r="AB280" s="4">
        <v>5</v>
      </c>
      <c r="AC280" s="4">
        <v>574.03</v>
      </c>
      <c r="AD280" s="4">
        <v>5</v>
      </c>
      <c r="AE280" s="4">
        <v>600.01</v>
      </c>
      <c r="AF280" s="4">
        <v>4</v>
      </c>
      <c r="AG280" s="4">
        <v>291.01</v>
      </c>
      <c r="AH280" s="4">
        <v>3</v>
      </c>
      <c r="AI280" s="4">
        <v>750.04</v>
      </c>
      <c r="AJ280" s="4">
        <v>5</v>
      </c>
      <c r="AK280" s="4">
        <v>0</v>
      </c>
      <c r="AL280" s="4">
        <v>0</v>
      </c>
      <c r="AM280" s="4">
        <v>559.02</v>
      </c>
      <c r="AN280" s="4">
        <v>4</v>
      </c>
      <c r="AO280" s="4">
        <v>459</v>
      </c>
      <c r="AP280" s="4">
        <v>3</v>
      </c>
      <c r="AQ280" s="4">
        <v>790.01</v>
      </c>
      <c r="AR280" s="4">
        <v>5</v>
      </c>
      <c r="AS280" s="4">
        <v>1050.03</v>
      </c>
      <c r="AT280" s="4">
        <v>6</v>
      </c>
      <c r="AU280" s="4">
        <v>649.01</v>
      </c>
      <c r="AV280" s="4">
        <v>3</v>
      </c>
      <c r="AW280" s="4">
        <v>427.98</v>
      </c>
      <c r="AX280" s="4">
        <v>4</v>
      </c>
      <c r="AY280" s="4">
        <v>0</v>
      </c>
      <c r="AZ280" s="4">
        <v>0</v>
      </c>
      <c r="BA280" s="4">
        <v>316.99</v>
      </c>
      <c r="BB280" s="4">
        <v>3</v>
      </c>
      <c r="BC280" s="4">
        <v>643.96</v>
      </c>
      <c r="BD280" s="4">
        <v>6</v>
      </c>
      <c r="BE280" s="4">
        <v>361.02</v>
      </c>
      <c r="BF280" s="4">
        <v>3</v>
      </c>
      <c r="BQ280" s="3">
        <f t="shared" si="10"/>
        <v>12653.190000000002</v>
      </c>
      <c r="BR280" s="3">
        <f t="shared" si="9"/>
        <v>97</v>
      </c>
    </row>
    <row r="281" spans="1:70" x14ac:dyDescent="0.25">
      <c r="A281" s="4" t="s">
        <v>2405</v>
      </c>
      <c r="B281" t="s">
        <v>64</v>
      </c>
      <c r="C281" s="338" t="s">
        <v>1627</v>
      </c>
      <c r="D281" s="213" t="s">
        <v>718</v>
      </c>
      <c r="E281" s="213" t="s">
        <v>145</v>
      </c>
      <c r="F281" s="213" t="s">
        <v>127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150.01</v>
      </c>
      <c r="T281" s="4">
        <v>1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Q281" s="3">
        <f t="shared" si="10"/>
        <v>150.01</v>
      </c>
      <c r="BR281" s="3">
        <f t="shared" si="9"/>
        <v>1</v>
      </c>
    </row>
    <row r="282" spans="1:70" x14ac:dyDescent="0.25">
      <c r="A282" s="4" t="s">
        <v>2406</v>
      </c>
      <c r="B282" t="s">
        <v>64</v>
      </c>
      <c r="C282" s="338" t="s">
        <v>1873</v>
      </c>
      <c r="D282" s="213" t="s">
        <v>964</v>
      </c>
      <c r="E282" s="213" t="s">
        <v>145</v>
      </c>
      <c r="F282" s="213" t="s">
        <v>127</v>
      </c>
      <c r="G282" s="4">
        <v>6430.09</v>
      </c>
      <c r="H282" s="4">
        <v>54</v>
      </c>
      <c r="I282" s="4">
        <v>0</v>
      </c>
      <c r="J282" s="4">
        <v>0</v>
      </c>
      <c r="K282" s="4">
        <v>4813.12</v>
      </c>
      <c r="L282" s="4">
        <v>20</v>
      </c>
      <c r="M282" s="4">
        <v>0</v>
      </c>
      <c r="N282" s="4">
        <v>0</v>
      </c>
      <c r="O282" s="4">
        <v>1383.01</v>
      </c>
      <c r="P282" s="4">
        <v>14</v>
      </c>
      <c r="Q282" s="4">
        <v>2048.02</v>
      </c>
      <c r="R282" s="4">
        <v>15</v>
      </c>
      <c r="S282" s="4">
        <v>3193.08</v>
      </c>
      <c r="T282" s="4">
        <v>25</v>
      </c>
      <c r="U282" s="4">
        <v>2405.0300000000002</v>
      </c>
      <c r="V282" s="4">
        <v>21</v>
      </c>
      <c r="W282" s="4">
        <v>4057.12</v>
      </c>
      <c r="X282" s="4">
        <v>33</v>
      </c>
      <c r="Y282" s="4">
        <v>1621.02</v>
      </c>
      <c r="Z282" s="4">
        <v>13</v>
      </c>
      <c r="AA282" s="4">
        <v>0</v>
      </c>
      <c r="AB282" s="4">
        <v>0</v>
      </c>
      <c r="AC282" s="4">
        <v>1218.01</v>
      </c>
      <c r="AD282" s="4">
        <v>14</v>
      </c>
      <c r="AE282" s="4">
        <v>1640.04</v>
      </c>
      <c r="AF282" s="4">
        <v>12</v>
      </c>
      <c r="AG282" s="4">
        <v>280</v>
      </c>
      <c r="AH282" s="4">
        <v>2</v>
      </c>
      <c r="AI282" s="4">
        <v>1347.02</v>
      </c>
      <c r="AJ282" s="4">
        <v>12</v>
      </c>
      <c r="AK282" s="4">
        <v>1854.02</v>
      </c>
      <c r="AL282" s="4">
        <v>17</v>
      </c>
      <c r="AM282" s="4">
        <v>625</v>
      </c>
      <c r="AN282" s="4">
        <v>4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2337.9</v>
      </c>
      <c r="AX282" s="4">
        <v>18</v>
      </c>
      <c r="AY282" s="4">
        <v>2039.92</v>
      </c>
      <c r="AZ282" s="4">
        <v>13</v>
      </c>
      <c r="BA282" s="4">
        <v>3396.74</v>
      </c>
      <c r="BB282" s="4">
        <v>13</v>
      </c>
      <c r="BC282" s="4">
        <v>0</v>
      </c>
      <c r="BD282" s="4">
        <v>0</v>
      </c>
      <c r="BE282" s="4">
        <v>1731.12</v>
      </c>
      <c r="BF282" s="4">
        <v>12</v>
      </c>
      <c r="BQ282" s="3">
        <f t="shared" si="10"/>
        <v>42420.26</v>
      </c>
      <c r="BR282" s="3">
        <f t="shared" si="9"/>
        <v>312</v>
      </c>
    </row>
    <row r="283" spans="1:70" x14ac:dyDescent="0.25">
      <c r="A283" s="4" t="s">
        <v>2407</v>
      </c>
      <c r="B283" t="s">
        <v>65</v>
      </c>
      <c r="C283" s="338" t="s">
        <v>1737</v>
      </c>
      <c r="D283" s="213" t="s">
        <v>828</v>
      </c>
      <c r="E283" s="213" t="s">
        <v>148</v>
      </c>
      <c r="F283" s="213" t="s">
        <v>126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928.03</v>
      </c>
      <c r="N283" s="4">
        <v>6</v>
      </c>
      <c r="O283" s="4">
        <v>0</v>
      </c>
      <c r="P283" s="4">
        <v>0</v>
      </c>
      <c r="Q283" s="4">
        <v>1500.04</v>
      </c>
      <c r="R283" s="4">
        <v>11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1549.04</v>
      </c>
      <c r="Z283" s="4">
        <v>9</v>
      </c>
      <c r="AA283" s="4">
        <v>790</v>
      </c>
      <c r="AB283" s="4">
        <v>5</v>
      </c>
      <c r="AC283" s="4">
        <v>450.02</v>
      </c>
      <c r="AD283" s="4">
        <v>3</v>
      </c>
      <c r="AE283" s="4">
        <v>0</v>
      </c>
      <c r="AF283" s="4">
        <v>0</v>
      </c>
      <c r="AG283" s="4">
        <v>0</v>
      </c>
      <c r="AH283" s="4">
        <v>0</v>
      </c>
      <c r="AI283" s="4">
        <v>649.01</v>
      </c>
      <c r="AJ283" s="4">
        <v>5</v>
      </c>
      <c r="AK283" s="4">
        <v>0</v>
      </c>
      <c r="AL283" s="4">
        <v>0</v>
      </c>
      <c r="AM283" s="4">
        <v>2031.07</v>
      </c>
      <c r="AN283" s="4">
        <v>14</v>
      </c>
      <c r="AO283" s="4">
        <v>2459.0700000000002</v>
      </c>
      <c r="AP283" s="4">
        <v>17</v>
      </c>
      <c r="AQ283" s="4">
        <v>150.01</v>
      </c>
      <c r="AR283" s="4">
        <v>1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300.98</v>
      </c>
      <c r="BD283" s="4">
        <v>3</v>
      </c>
      <c r="BE283" s="4">
        <v>0</v>
      </c>
      <c r="BF283" s="4">
        <v>0</v>
      </c>
      <c r="BQ283" s="3">
        <f t="shared" si="10"/>
        <v>10807.269999999999</v>
      </c>
      <c r="BR283" s="3">
        <f t="shared" si="9"/>
        <v>74</v>
      </c>
    </row>
    <row r="284" spans="1:70" x14ac:dyDescent="0.25">
      <c r="A284" s="4" t="s">
        <v>2408</v>
      </c>
      <c r="B284" t="s">
        <v>65</v>
      </c>
      <c r="C284" s="338" t="s">
        <v>1874</v>
      </c>
      <c r="D284" s="213" t="s">
        <v>965</v>
      </c>
      <c r="E284" s="213" t="s">
        <v>148</v>
      </c>
      <c r="F284" s="213" t="s">
        <v>126</v>
      </c>
      <c r="G284" s="4">
        <v>4257.13</v>
      </c>
      <c r="H284" s="4">
        <v>37</v>
      </c>
      <c r="I284" s="4">
        <v>3514.09</v>
      </c>
      <c r="J284" s="4">
        <v>31</v>
      </c>
      <c r="K284" s="4">
        <v>1853.03</v>
      </c>
      <c r="L284" s="4">
        <v>17</v>
      </c>
      <c r="M284" s="4">
        <v>3964.14</v>
      </c>
      <c r="N284" s="4">
        <v>24</v>
      </c>
      <c r="O284" s="4">
        <v>1462</v>
      </c>
      <c r="P284" s="4">
        <v>11</v>
      </c>
      <c r="Q284" s="4">
        <v>0</v>
      </c>
      <c r="R284" s="4">
        <v>0</v>
      </c>
      <c r="S284" s="4">
        <v>3101.02</v>
      </c>
      <c r="T284" s="4">
        <v>16</v>
      </c>
      <c r="U284" s="4">
        <v>4188</v>
      </c>
      <c r="V284" s="4">
        <v>31</v>
      </c>
      <c r="W284" s="4">
        <v>2139.0100000000002</v>
      </c>
      <c r="X284" s="4">
        <v>17</v>
      </c>
      <c r="Y284" s="4">
        <v>0</v>
      </c>
      <c r="Z284" s="4">
        <v>0</v>
      </c>
      <c r="AA284" s="4">
        <v>1305.01</v>
      </c>
      <c r="AB284" s="4">
        <v>15</v>
      </c>
      <c r="AC284" s="4">
        <v>1312.02</v>
      </c>
      <c r="AD284" s="4">
        <v>8</v>
      </c>
      <c r="AE284" s="4">
        <v>1707.02</v>
      </c>
      <c r="AF284" s="4">
        <v>14</v>
      </c>
      <c r="AG284" s="4">
        <v>2209.0500000000002</v>
      </c>
      <c r="AH284" s="4">
        <v>13</v>
      </c>
      <c r="AI284" s="4">
        <v>1885</v>
      </c>
      <c r="AJ284" s="4">
        <v>16</v>
      </c>
      <c r="AK284" s="4">
        <v>2896.05</v>
      </c>
      <c r="AL284" s="4">
        <v>19</v>
      </c>
      <c r="AM284" s="4">
        <v>0</v>
      </c>
      <c r="AN284" s="4">
        <v>0</v>
      </c>
      <c r="AO284" s="4">
        <v>0</v>
      </c>
      <c r="AP284" s="4">
        <v>0</v>
      </c>
      <c r="AQ284" s="4">
        <v>1829.03</v>
      </c>
      <c r="AR284" s="4">
        <v>12</v>
      </c>
      <c r="AS284" s="4">
        <v>150</v>
      </c>
      <c r="AT284" s="4">
        <v>4</v>
      </c>
      <c r="AU284" s="4">
        <v>1906.01</v>
      </c>
      <c r="AV284" s="4">
        <v>13</v>
      </c>
      <c r="AW284" s="4">
        <v>1614.94</v>
      </c>
      <c r="AX284" s="4">
        <v>14</v>
      </c>
      <c r="AY284" s="4">
        <v>2010.88</v>
      </c>
      <c r="AZ284" s="4">
        <v>13</v>
      </c>
      <c r="BA284" s="4">
        <v>1086.97</v>
      </c>
      <c r="BB284" s="4">
        <v>7</v>
      </c>
      <c r="BC284" s="4">
        <v>1064.97</v>
      </c>
      <c r="BD284" s="4">
        <v>7</v>
      </c>
      <c r="BE284" s="4">
        <v>1884.14</v>
      </c>
      <c r="BF284" s="4">
        <v>12</v>
      </c>
      <c r="BQ284" s="3">
        <f t="shared" si="10"/>
        <v>47339.51</v>
      </c>
      <c r="BR284" s="3">
        <f t="shared" si="9"/>
        <v>351</v>
      </c>
    </row>
    <row r="285" spans="1:70" x14ac:dyDescent="0.25">
      <c r="A285" s="4" t="s">
        <v>2409</v>
      </c>
      <c r="B285" t="s">
        <v>65</v>
      </c>
      <c r="C285" s="338" t="s">
        <v>1875</v>
      </c>
      <c r="D285" s="213" t="s">
        <v>966</v>
      </c>
      <c r="E285" s="213" t="s">
        <v>148</v>
      </c>
      <c r="F285" s="213" t="s">
        <v>126</v>
      </c>
      <c r="G285" s="4">
        <v>865.01</v>
      </c>
      <c r="H285" s="4">
        <v>8</v>
      </c>
      <c r="I285" s="4">
        <v>1178.01</v>
      </c>
      <c r="J285" s="4">
        <v>12</v>
      </c>
      <c r="K285" s="4">
        <v>150</v>
      </c>
      <c r="L285" s="4">
        <v>1</v>
      </c>
      <c r="M285" s="4">
        <v>0</v>
      </c>
      <c r="N285" s="4">
        <v>0</v>
      </c>
      <c r="O285" s="4">
        <v>75</v>
      </c>
      <c r="P285" s="4">
        <v>1</v>
      </c>
      <c r="Q285" s="4">
        <v>933.01</v>
      </c>
      <c r="R285" s="4">
        <v>7</v>
      </c>
      <c r="S285" s="4">
        <v>600.01</v>
      </c>
      <c r="T285" s="4">
        <v>5</v>
      </c>
      <c r="U285" s="4">
        <v>825.02</v>
      </c>
      <c r="V285" s="4">
        <v>6</v>
      </c>
      <c r="W285" s="4">
        <v>2219.04</v>
      </c>
      <c r="X285" s="4">
        <v>12</v>
      </c>
      <c r="Y285" s="4">
        <v>774.03</v>
      </c>
      <c r="Z285" s="4">
        <v>6</v>
      </c>
      <c r="AA285" s="4">
        <v>0</v>
      </c>
      <c r="AB285" s="4">
        <v>0</v>
      </c>
      <c r="AC285" s="4">
        <v>0</v>
      </c>
      <c r="AD285" s="4">
        <v>0</v>
      </c>
      <c r="AE285" s="4">
        <v>150.01</v>
      </c>
      <c r="AF285" s="4">
        <v>4</v>
      </c>
      <c r="AG285" s="4">
        <v>600.01</v>
      </c>
      <c r="AH285" s="4">
        <v>2</v>
      </c>
      <c r="AI285" s="4">
        <v>434.01</v>
      </c>
      <c r="AJ285" s="4">
        <v>5</v>
      </c>
      <c r="AK285" s="4">
        <v>1056.04</v>
      </c>
      <c r="AL285" s="4">
        <v>10</v>
      </c>
      <c r="AM285" s="4">
        <v>975.03</v>
      </c>
      <c r="AN285" s="4">
        <v>3</v>
      </c>
      <c r="AO285" s="4">
        <v>700.03</v>
      </c>
      <c r="AP285" s="4">
        <v>4</v>
      </c>
      <c r="AQ285" s="4">
        <v>0</v>
      </c>
      <c r="AR285" s="4">
        <v>0</v>
      </c>
      <c r="AS285" s="4">
        <v>300</v>
      </c>
      <c r="AT285" s="4">
        <v>3</v>
      </c>
      <c r="AU285" s="4">
        <v>75</v>
      </c>
      <c r="AV285" s="4">
        <v>1</v>
      </c>
      <c r="AW285" s="4">
        <v>875.96</v>
      </c>
      <c r="AX285" s="4">
        <v>4</v>
      </c>
      <c r="AY285" s="4">
        <v>1854.87</v>
      </c>
      <c r="AZ285" s="4">
        <v>13</v>
      </c>
      <c r="BA285" s="4">
        <v>450</v>
      </c>
      <c r="BB285" s="4">
        <v>4</v>
      </c>
      <c r="BC285" s="4">
        <v>0</v>
      </c>
      <c r="BD285" s="4">
        <v>0</v>
      </c>
      <c r="BE285" s="4">
        <v>1090.06</v>
      </c>
      <c r="BF285" s="4">
        <v>5</v>
      </c>
      <c r="BQ285" s="3">
        <f t="shared" si="10"/>
        <v>16180.15</v>
      </c>
      <c r="BR285" s="3">
        <f t="shared" si="9"/>
        <v>116</v>
      </c>
    </row>
    <row r="286" spans="1:70" x14ac:dyDescent="0.25">
      <c r="A286" s="4" t="s">
        <v>2410</v>
      </c>
      <c r="B286" t="s">
        <v>66</v>
      </c>
      <c r="C286" s="338" t="s">
        <v>1876</v>
      </c>
      <c r="D286" s="213" t="s">
        <v>967</v>
      </c>
      <c r="E286" s="213" t="s">
        <v>139</v>
      </c>
      <c r="F286" s="213" t="s">
        <v>130</v>
      </c>
      <c r="G286" s="4">
        <v>0</v>
      </c>
      <c r="H286" s="4">
        <v>0</v>
      </c>
      <c r="I286" s="4">
        <v>2477.09</v>
      </c>
      <c r="J286" s="4">
        <v>12</v>
      </c>
      <c r="K286" s="4">
        <v>150</v>
      </c>
      <c r="L286" s="4">
        <v>1</v>
      </c>
      <c r="M286" s="4">
        <v>1205.02</v>
      </c>
      <c r="N286" s="4">
        <v>4</v>
      </c>
      <c r="O286" s="4">
        <v>300</v>
      </c>
      <c r="P286" s="4">
        <v>2</v>
      </c>
      <c r="Q286" s="4">
        <v>1549.04</v>
      </c>
      <c r="R286" s="4">
        <v>7</v>
      </c>
      <c r="S286" s="4">
        <v>0</v>
      </c>
      <c r="T286" s="4">
        <v>0</v>
      </c>
      <c r="U286" s="4">
        <v>375</v>
      </c>
      <c r="V286" s="4">
        <v>1</v>
      </c>
      <c r="W286" s="4">
        <v>663.02</v>
      </c>
      <c r="X286" s="4">
        <v>2</v>
      </c>
      <c r="Y286" s="4">
        <v>0</v>
      </c>
      <c r="Z286" s="4">
        <v>0</v>
      </c>
      <c r="AA286" s="4">
        <v>1324.04</v>
      </c>
      <c r="AB286" s="4">
        <v>7</v>
      </c>
      <c r="AC286" s="4">
        <v>0</v>
      </c>
      <c r="AD286" s="4">
        <v>0</v>
      </c>
      <c r="AE286" s="4">
        <v>300</v>
      </c>
      <c r="AF286" s="4">
        <v>2</v>
      </c>
      <c r="AG286" s="4">
        <v>150.01</v>
      </c>
      <c r="AH286" s="4">
        <v>1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Q286" s="3">
        <f t="shared" si="10"/>
        <v>8493.2199999999993</v>
      </c>
      <c r="BR286" s="3">
        <f t="shared" si="9"/>
        <v>39</v>
      </c>
    </row>
    <row r="287" spans="1:70" x14ac:dyDescent="0.25">
      <c r="A287" s="4" t="s">
        <v>2411</v>
      </c>
      <c r="B287" t="s">
        <v>66</v>
      </c>
      <c r="C287" s="338" t="s">
        <v>1866</v>
      </c>
      <c r="D287" s="213" t="s">
        <v>957</v>
      </c>
      <c r="E287" s="213" t="s">
        <v>139</v>
      </c>
      <c r="F287" s="213" t="s">
        <v>130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22</v>
      </c>
      <c r="X287" s="4">
        <v>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75</v>
      </c>
      <c r="AR287" s="4">
        <v>1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Q287" s="3">
        <f t="shared" si="10"/>
        <v>97</v>
      </c>
      <c r="BR287" s="3">
        <f t="shared" si="9"/>
        <v>2</v>
      </c>
    </row>
    <row r="288" spans="1:70" x14ac:dyDescent="0.25">
      <c r="A288" s="4" t="s">
        <v>2412</v>
      </c>
      <c r="B288" t="s">
        <v>66</v>
      </c>
      <c r="C288" s="338" t="s">
        <v>1877</v>
      </c>
      <c r="D288" s="213" t="s">
        <v>968</v>
      </c>
      <c r="E288" s="213" t="s">
        <v>139</v>
      </c>
      <c r="F288" s="213" t="s">
        <v>130</v>
      </c>
      <c r="G288" s="4">
        <v>814.02</v>
      </c>
      <c r="H288" s="4">
        <v>4</v>
      </c>
      <c r="I288" s="4">
        <v>0</v>
      </c>
      <c r="J288" s="4">
        <v>0</v>
      </c>
      <c r="K288" s="4">
        <v>3865.11</v>
      </c>
      <c r="L288" s="4">
        <v>16</v>
      </c>
      <c r="M288" s="4">
        <v>3266.03</v>
      </c>
      <c r="N288" s="4">
        <v>12</v>
      </c>
      <c r="O288" s="4">
        <v>3392</v>
      </c>
      <c r="P288" s="4">
        <v>9</v>
      </c>
      <c r="Q288" s="4">
        <v>150</v>
      </c>
      <c r="R288" s="4">
        <v>1</v>
      </c>
      <c r="S288" s="4">
        <v>1803.01</v>
      </c>
      <c r="T288" s="4">
        <v>7</v>
      </c>
      <c r="U288" s="4">
        <v>1503.04</v>
      </c>
      <c r="V288" s="4">
        <v>8</v>
      </c>
      <c r="W288" s="4">
        <v>1828.02</v>
      </c>
      <c r="X288" s="4">
        <v>6</v>
      </c>
      <c r="Y288" s="4">
        <v>708.03</v>
      </c>
      <c r="Z288" s="4">
        <v>2</v>
      </c>
      <c r="AA288" s="4">
        <v>0</v>
      </c>
      <c r="AB288" s="4">
        <v>0</v>
      </c>
      <c r="AC288" s="4">
        <v>2114.04</v>
      </c>
      <c r="AD288" s="4">
        <v>8</v>
      </c>
      <c r="AE288" s="4">
        <v>1525</v>
      </c>
      <c r="AF288" s="4">
        <v>8</v>
      </c>
      <c r="AG288" s="4">
        <v>449.01</v>
      </c>
      <c r="AH288" s="4">
        <v>2</v>
      </c>
      <c r="AI288" s="4">
        <v>1225.01</v>
      </c>
      <c r="AJ288" s="4">
        <v>9</v>
      </c>
      <c r="AK288" s="4">
        <v>2354.08</v>
      </c>
      <c r="AL288" s="4">
        <v>14</v>
      </c>
      <c r="AM288" s="4">
        <v>225</v>
      </c>
      <c r="AN288" s="4">
        <v>2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Q288" s="3">
        <f t="shared" si="10"/>
        <v>25221.399999999994</v>
      </c>
      <c r="BR288" s="3">
        <f t="shared" si="9"/>
        <v>108</v>
      </c>
    </row>
    <row r="289" spans="1:70" x14ac:dyDescent="0.25">
      <c r="A289" s="4" t="s">
        <v>2413</v>
      </c>
      <c r="B289" t="s">
        <v>66</v>
      </c>
      <c r="C289" s="338" t="s">
        <v>1878</v>
      </c>
      <c r="D289" s="213" t="s">
        <v>969</v>
      </c>
      <c r="E289" s="213" t="s">
        <v>139</v>
      </c>
      <c r="F289" s="213" t="s">
        <v>130</v>
      </c>
      <c r="G289" s="4">
        <v>2589.0700000000002</v>
      </c>
      <c r="H289" s="4">
        <v>15</v>
      </c>
      <c r="I289" s="4">
        <v>0</v>
      </c>
      <c r="J289" s="4">
        <v>0</v>
      </c>
      <c r="K289" s="4">
        <v>1839.06</v>
      </c>
      <c r="L289" s="4">
        <v>10</v>
      </c>
      <c r="M289" s="4">
        <v>0</v>
      </c>
      <c r="N289" s="4">
        <v>0</v>
      </c>
      <c r="O289" s="4">
        <v>600.01</v>
      </c>
      <c r="P289" s="4">
        <v>5</v>
      </c>
      <c r="Q289" s="4">
        <v>650</v>
      </c>
      <c r="R289" s="4">
        <v>3</v>
      </c>
      <c r="S289" s="4">
        <v>1633.07</v>
      </c>
      <c r="T289" s="4">
        <v>8</v>
      </c>
      <c r="U289" s="4">
        <v>1010</v>
      </c>
      <c r="V289" s="4">
        <v>5</v>
      </c>
      <c r="W289" s="4">
        <v>0</v>
      </c>
      <c r="X289" s="4">
        <v>0</v>
      </c>
      <c r="Y289" s="4">
        <v>634.02</v>
      </c>
      <c r="Z289" s="4">
        <v>5</v>
      </c>
      <c r="AA289" s="4">
        <v>873.04</v>
      </c>
      <c r="AB289" s="4">
        <v>5</v>
      </c>
      <c r="AC289" s="4">
        <v>1545</v>
      </c>
      <c r="AD289" s="4">
        <v>5</v>
      </c>
      <c r="AE289" s="4">
        <v>608.01</v>
      </c>
      <c r="AF289" s="4">
        <v>3</v>
      </c>
      <c r="AG289" s="4">
        <v>225.01</v>
      </c>
      <c r="AH289" s="4">
        <v>2</v>
      </c>
      <c r="AI289" s="4">
        <v>675.02</v>
      </c>
      <c r="AJ289" s="4">
        <v>4</v>
      </c>
      <c r="AK289" s="4">
        <v>1081.03</v>
      </c>
      <c r="AL289" s="4">
        <v>8</v>
      </c>
      <c r="AM289" s="4">
        <v>1519.06</v>
      </c>
      <c r="AN289" s="4">
        <v>10</v>
      </c>
      <c r="AO289" s="4">
        <v>1057.02</v>
      </c>
      <c r="AP289" s="4">
        <v>9</v>
      </c>
      <c r="AQ289" s="4">
        <v>1189.03</v>
      </c>
      <c r="AR289" s="4">
        <v>6</v>
      </c>
      <c r="AS289" s="4">
        <v>999</v>
      </c>
      <c r="AT289" s="4">
        <v>4</v>
      </c>
      <c r="AU289" s="4">
        <v>0</v>
      </c>
      <c r="AV289" s="4">
        <v>0</v>
      </c>
      <c r="AW289" s="4">
        <v>843.92</v>
      </c>
      <c r="AX289" s="4">
        <v>1</v>
      </c>
      <c r="AY289" s="4">
        <v>0</v>
      </c>
      <c r="AZ289" s="4">
        <v>0</v>
      </c>
      <c r="BA289" s="4">
        <v>646.97</v>
      </c>
      <c r="BB289" s="4">
        <v>3</v>
      </c>
      <c r="BC289" s="4">
        <v>280.98</v>
      </c>
      <c r="BD289" s="4">
        <v>1</v>
      </c>
      <c r="BE289" s="4">
        <v>150</v>
      </c>
      <c r="BF289" s="4">
        <v>1</v>
      </c>
      <c r="BQ289" s="3">
        <f t="shared" si="10"/>
        <v>20648.32</v>
      </c>
      <c r="BR289" s="3">
        <f t="shared" si="9"/>
        <v>113</v>
      </c>
    </row>
    <row r="290" spans="1:70" x14ac:dyDescent="0.25">
      <c r="A290" s="4" t="s">
        <v>2414</v>
      </c>
      <c r="B290" t="s">
        <v>67</v>
      </c>
      <c r="C290" s="338" t="s">
        <v>1792</v>
      </c>
      <c r="D290" s="213" t="s">
        <v>883</v>
      </c>
      <c r="E290" s="213" t="s">
        <v>136</v>
      </c>
      <c r="F290" s="213" t="s">
        <v>126</v>
      </c>
      <c r="G290" s="4">
        <v>0</v>
      </c>
      <c r="H290" s="4">
        <v>0</v>
      </c>
      <c r="I290" s="4">
        <v>0</v>
      </c>
      <c r="J290" s="4">
        <v>0</v>
      </c>
      <c r="K290" s="4">
        <v>150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Q290" s="3">
        <f t="shared" si="10"/>
        <v>150</v>
      </c>
      <c r="BR290" s="3">
        <f t="shared" si="9"/>
        <v>1</v>
      </c>
    </row>
    <row r="291" spans="1:70" x14ac:dyDescent="0.25">
      <c r="A291" s="4" t="s">
        <v>2415</v>
      </c>
      <c r="B291" t="s">
        <v>67</v>
      </c>
      <c r="C291" s="338" t="s">
        <v>1879</v>
      </c>
      <c r="D291" s="213" t="s">
        <v>970</v>
      </c>
      <c r="E291" s="213" t="s">
        <v>136</v>
      </c>
      <c r="F291" s="213" t="s">
        <v>126</v>
      </c>
      <c r="G291" s="4">
        <v>3615.07</v>
      </c>
      <c r="H291" s="4">
        <v>26</v>
      </c>
      <c r="I291" s="4">
        <v>5533.14</v>
      </c>
      <c r="J291" s="4">
        <v>27</v>
      </c>
      <c r="K291" s="4">
        <v>4585.0600000000004</v>
      </c>
      <c r="L291" s="4">
        <v>25</v>
      </c>
      <c r="M291" s="4">
        <v>4664.03</v>
      </c>
      <c r="N291" s="4">
        <v>25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220.01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Q291" s="3">
        <f t="shared" si="10"/>
        <v>18617.309999999998</v>
      </c>
      <c r="BR291" s="3">
        <f t="shared" si="9"/>
        <v>104</v>
      </c>
    </row>
    <row r="292" spans="1:70" x14ac:dyDescent="0.25">
      <c r="A292" s="4" t="s">
        <v>2416</v>
      </c>
      <c r="B292" t="s">
        <v>67</v>
      </c>
      <c r="C292" s="338" t="s">
        <v>1880</v>
      </c>
      <c r="D292" s="213" t="s">
        <v>971</v>
      </c>
      <c r="E292" s="213" t="s">
        <v>136</v>
      </c>
      <c r="F292" s="213" t="s">
        <v>126</v>
      </c>
      <c r="G292" s="4">
        <v>0</v>
      </c>
      <c r="H292" s="4">
        <v>0</v>
      </c>
      <c r="I292" s="4">
        <v>0</v>
      </c>
      <c r="J292" s="4">
        <v>0</v>
      </c>
      <c r="K292" s="4">
        <v>117.01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1669.01</v>
      </c>
      <c r="X292" s="4">
        <v>10</v>
      </c>
      <c r="Y292" s="4">
        <v>1223.01</v>
      </c>
      <c r="Z292" s="4">
        <v>8</v>
      </c>
      <c r="AA292" s="4">
        <v>2478.0100000000002</v>
      </c>
      <c r="AB292" s="4">
        <v>10</v>
      </c>
      <c r="AC292" s="4">
        <v>679.01</v>
      </c>
      <c r="AD292" s="4">
        <v>3</v>
      </c>
      <c r="AE292" s="4">
        <v>1269.01</v>
      </c>
      <c r="AF292" s="4">
        <v>5</v>
      </c>
      <c r="AG292" s="4">
        <v>0</v>
      </c>
      <c r="AH292" s="4">
        <v>0</v>
      </c>
      <c r="AI292" s="4">
        <v>2425.09</v>
      </c>
      <c r="AJ292" s="4">
        <v>13</v>
      </c>
      <c r="AK292" s="4">
        <v>2565.08</v>
      </c>
      <c r="AL292" s="4">
        <v>10</v>
      </c>
      <c r="AM292" s="4">
        <v>2037.04</v>
      </c>
      <c r="AN292" s="4">
        <v>9</v>
      </c>
      <c r="AO292" s="4">
        <v>556</v>
      </c>
      <c r="AP292" s="4">
        <v>5</v>
      </c>
      <c r="AQ292" s="4">
        <v>1050.02</v>
      </c>
      <c r="AR292" s="4">
        <v>6</v>
      </c>
      <c r="AS292" s="4">
        <v>0</v>
      </c>
      <c r="AT292" s="4">
        <v>0</v>
      </c>
      <c r="AU292" s="4">
        <v>1476.03</v>
      </c>
      <c r="AV292" s="4">
        <v>8</v>
      </c>
      <c r="AW292" s="4">
        <v>1155.99</v>
      </c>
      <c r="AX292" s="4">
        <v>7</v>
      </c>
      <c r="AY292" s="4">
        <v>1446.94</v>
      </c>
      <c r="AZ292" s="4">
        <v>9</v>
      </c>
      <c r="BA292" s="4">
        <v>2529.84</v>
      </c>
      <c r="BB292" s="4">
        <v>10</v>
      </c>
      <c r="BC292" s="4">
        <v>640.02</v>
      </c>
      <c r="BD292" s="4">
        <v>2</v>
      </c>
      <c r="BE292" s="4">
        <v>1432.09</v>
      </c>
      <c r="BF292" s="4">
        <v>7</v>
      </c>
      <c r="BQ292" s="3">
        <f t="shared" si="10"/>
        <v>24749.200000000001</v>
      </c>
      <c r="BR292" s="3">
        <f t="shared" si="9"/>
        <v>123</v>
      </c>
    </row>
    <row r="293" spans="1:70" x14ac:dyDescent="0.25">
      <c r="A293" s="4" t="s">
        <v>2417</v>
      </c>
      <c r="B293" t="s">
        <v>67</v>
      </c>
      <c r="C293" s="338" t="s">
        <v>1881</v>
      </c>
      <c r="D293" s="213" t="s">
        <v>972</v>
      </c>
      <c r="E293" s="213" t="s">
        <v>136</v>
      </c>
      <c r="F293" s="213" t="s">
        <v>126</v>
      </c>
      <c r="G293" s="4">
        <v>2086.04</v>
      </c>
      <c r="H293" s="4">
        <v>16</v>
      </c>
      <c r="I293" s="4">
        <v>4629.1000000000004</v>
      </c>
      <c r="J293" s="4">
        <v>22</v>
      </c>
      <c r="K293" s="4">
        <v>3636.08</v>
      </c>
      <c r="L293" s="4">
        <v>16</v>
      </c>
      <c r="M293" s="4">
        <v>2126</v>
      </c>
      <c r="N293" s="4">
        <v>8</v>
      </c>
      <c r="O293" s="4">
        <v>2451.0300000000002</v>
      </c>
      <c r="P293" s="4">
        <v>17</v>
      </c>
      <c r="Q293" s="4">
        <v>0</v>
      </c>
      <c r="R293" s="4">
        <v>0</v>
      </c>
      <c r="S293" s="4">
        <v>2322.04</v>
      </c>
      <c r="T293" s="4">
        <v>12</v>
      </c>
      <c r="U293" s="4">
        <v>2512.02</v>
      </c>
      <c r="V293" s="4">
        <v>17</v>
      </c>
      <c r="W293" s="4">
        <v>3757.07</v>
      </c>
      <c r="X293" s="4">
        <v>15</v>
      </c>
      <c r="Y293" s="4">
        <v>2707.02</v>
      </c>
      <c r="Z293" s="4">
        <v>14</v>
      </c>
      <c r="AA293" s="4">
        <v>1469.05</v>
      </c>
      <c r="AB293" s="4">
        <v>8</v>
      </c>
      <c r="AC293" s="4">
        <v>852</v>
      </c>
      <c r="AD293" s="4">
        <v>6</v>
      </c>
      <c r="AE293" s="4">
        <v>1218</v>
      </c>
      <c r="AF293" s="4">
        <v>8</v>
      </c>
      <c r="AG293" s="4">
        <v>1102.02</v>
      </c>
      <c r="AH293" s="4">
        <v>8</v>
      </c>
      <c r="AI293" s="4">
        <v>675.02</v>
      </c>
      <c r="AJ293" s="4">
        <v>5</v>
      </c>
      <c r="AK293" s="4">
        <v>0</v>
      </c>
      <c r="AL293" s="4">
        <v>0</v>
      </c>
      <c r="AM293" s="4">
        <v>1810</v>
      </c>
      <c r="AN293" s="4">
        <v>10</v>
      </c>
      <c r="AO293" s="4">
        <v>446</v>
      </c>
      <c r="AP293" s="4">
        <v>3</v>
      </c>
      <c r="AQ293" s="4">
        <v>866.01</v>
      </c>
      <c r="AR293" s="4">
        <v>6</v>
      </c>
      <c r="AS293" s="4">
        <v>1369</v>
      </c>
      <c r="AT293" s="4">
        <v>8</v>
      </c>
      <c r="AU293" s="4">
        <v>1264</v>
      </c>
      <c r="AV293" s="4">
        <v>11</v>
      </c>
      <c r="AW293" s="4">
        <v>1393.02</v>
      </c>
      <c r="AX293" s="4">
        <v>8</v>
      </c>
      <c r="AY293" s="4">
        <v>0</v>
      </c>
      <c r="AZ293" s="4">
        <v>0</v>
      </c>
      <c r="BA293" s="4">
        <v>1387.92</v>
      </c>
      <c r="BB293" s="4">
        <v>9</v>
      </c>
      <c r="BC293" s="4">
        <v>3259.89</v>
      </c>
      <c r="BD293" s="4">
        <v>9</v>
      </c>
      <c r="BE293" s="4">
        <v>0</v>
      </c>
      <c r="BF293" s="4">
        <v>0</v>
      </c>
      <c r="BQ293" s="3">
        <f t="shared" si="10"/>
        <v>43338.33</v>
      </c>
      <c r="BR293" s="3">
        <f t="shared" si="9"/>
        <v>236</v>
      </c>
    </row>
    <row r="294" spans="1:70" x14ac:dyDescent="0.25">
      <c r="A294" s="4" t="s">
        <v>2418</v>
      </c>
      <c r="B294" t="s">
        <v>67</v>
      </c>
      <c r="C294" s="338" t="s">
        <v>1882</v>
      </c>
      <c r="D294" s="213" t="s">
        <v>973</v>
      </c>
      <c r="E294" s="213" t="s">
        <v>136</v>
      </c>
      <c r="F294" s="213" t="s">
        <v>126</v>
      </c>
      <c r="G294" s="4">
        <v>2214</v>
      </c>
      <c r="H294" s="4">
        <v>12</v>
      </c>
      <c r="I294" s="4">
        <v>12006.19</v>
      </c>
      <c r="J294" s="4">
        <v>38</v>
      </c>
      <c r="K294" s="4">
        <v>0</v>
      </c>
      <c r="L294" s="4">
        <v>0</v>
      </c>
      <c r="M294" s="4">
        <v>2905.01</v>
      </c>
      <c r="N294" s="4">
        <v>18</v>
      </c>
      <c r="O294" s="4">
        <v>1662.05</v>
      </c>
      <c r="P294" s="4">
        <v>10</v>
      </c>
      <c r="Q294" s="4">
        <v>4500.0600000000004</v>
      </c>
      <c r="R294" s="4">
        <v>26</v>
      </c>
      <c r="S294" s="4">
        <v>2839.04</v>
      </c>
      <c r="T294" s="4">
        <v>18</v>
      </c>
      <c r="U294" s="4">
        <v>2775.96</v>
      </c>
      <c r="V294" s="4">
        <v>14</v>
      </c>
      <c r="W294" s="4">
        <v>3126.04</v>
      </c>
      <c r="X294" s="4">
        <v>14</v>
      </c>
      <c r="Y294" s="4">
        <v>0</v>
      </c>
      <c r="Z294" s="4">
        <v>0</v>
      </c>
      <c r="AA294" s="4">
        <v>1540.04</v>
      </c>
      <c r="AB294" s="4">
        <v>9</v>
      </c>
      <c r="AC294" s="4">
        <v>1636.04</v>
      </c>
      <c r="AD294" s="4">
        <v>6</v>
      </c>
      <c r="AE294" s="4">
        <v>681</v>
      </c>
      <c r="AF294" s="4">
        <v>6</v>
      </c>
      <c r="AG294" s="4">
        <v>1980.04</v>
      </c>
      <c r="AH294" s="4">
        <v>10</v>
      </c>
      <c r="AI294" s="4">
        <v>1195</v>
      </c>
      <c r="AJ294" s="4">
        <v>8</v>
      </c>
      <c r="AK294" s="4">
        <v>2958.03</v>
      </c>
      <c r="AL294" s="4">
        <v>15</v>
      </c>
      <c r="AM294" s="4">
        <v>0</v>
      </c>
      <c r="AN294" s="4">
        <v>0</v>
      </c>
      <c r="AO294" s="4">
        <v>358.01</v>
      </c>
      <c r="AP294" s="4">
        <v>4</v>
      </c>
      <c r="AQ294" s="4">
        <v>409</v>
      </c>
      <c r="AR294" s="4">
        <v>3</v>
      </c>
      <c r="AS294" s="4">
        <v>300</v>
      </c>
      <c r="AT294" s="4">
        <v>2</v>
      </c>
      <c r="AU294" s="4">
        <v>652.01</v>
      </c>
      <c r="AV294" s="4">
        <v>5</v>
      </c>
      <c r="AW294" s="4">
        <v>2130.0100000000002</v>
      </c>
      <c r="AX294" s="4">
        <v>5</v>
      </c>
      <c r="AY294" s="4">
        <v>2947.92</v>
      </c>
      <c r="AZ294" s="4">
        <v>13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Q294" s="3">
        <f t="shared" si="10"/>
        <v>48815.450000000004</v>
      </c>
      <c r="BR294" s="3">
        <f t="shared" si="9"/>
        <v>236</v>
      </c>
    </row>
    <row r="295" spans="1:70" x14ac:dyDescent="0.25">
      <c r="A295" s="4" t="s">
        <v>2419</v>
      </c>
      <c r="B295" t="s">
        <v>67</v>
      </c>
      <c r="C295" s="338" t="s">
        <v>1883</v>
      </c>
      <c r="D295" s="213" t="s">
        <v>974</v>
      </c>
      <c r="E295" s="213" t="s">
        <v>136</v>
      </c>
      <c r="F295" s="213" t="s">
        <v>126</v>
      </c>
      <c r="G295" s="4">
        <v>3928.03</v>
      </c>
      <c r="H295" s="4">
        <v>22</v>
      </c>
      <c r="I295" s="4">
        <v>0</v>
      </c>
      <c r="J295" s="4">
        <v>0</v>
      </c>
      <c r="K295" s="4">
        <v>2946.01</v>
      </c>
      <c r="L295" s="4">
        <v>19</v>
      </c>
      <c r="M295" s="4">
        <v>0</v>
      </c>
      <c r="N295" s="4">
        <v>0</v>
      </c>
      <c r="O295" s="4">
        <v>3171.06</v>
      </c>
      <c r="P295" s="4">
        <v>14</v>
      </c>
      <c r="Q295" s="4">
        <v>1217.04</v>
      </c>
      <c r="R295" s="4">
        <v>7</v>
      </c>
      <c r="S295" s="4">
        <v>2190.0500000000002</v>
      </c>
      <c r="T295" s="4">
        <v>14</v>
      </c>
      <c r="U295" s="4">
        <v>782.02</v>
      </c>
      <c r="V295" s="4">
        <v>6</v>
      </c>
      <c r="W295" s="4">
        <v>1538.01</v>
      </c>
      <c r="X295" s="4">
        <v>7</v>
      </c>
      <c r="Y295" s="4">
        <v>1139.04</v>
      </c>
      <c r="Z295" s="4">
        <v>6</v>
      </c>
      <c r="AA295" s="4">
        <v>0</v>
      </c>
      <c r="AB295" s="4">
        <v>0</v>
      </c>
      <c r="AC295" s="4">
        <v>1169</v>
      </c>
      <c r="AD295" s="4">
        <v>8</v>
      </c>
      <c r="AE295" s="4">
        <v>450</v>
      </c>
      <c r="AF295" s="4">
        <v>4</v>
      </c>
      <c r="AG295" s="4">
        <v>1718.02</v>
      </c>
      <c r="AH295" s="4">
        <v>9</v>
      </c>
      <c r="AI295" s="4">
        <v>673.98</v>
      </c>
      <c r="AJ295" s="4">
        <v>3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757.02</v>
      </c>
      <c r="AR295" s="4">
        <v>5</v>
      </c>
      <c r="AS295" s="4">
        <v>84</v>
      </c>
      <c r="AT295" s="4">
        <v>3</v>
      </c>
      <c r="AU295" s="4">
        <v>557</v>
      </c>
      <c r="AV295" s="4">
        <v>6</v>
      </c>
      <c r="AW295" s="4">
        <v>610.97</v>
      </c>
      <c r="AX295" s="4">
        <v>2</v>
      </c>
      <c r="AY295" s="4">
        <v>662.98</v>
      </c>
      <c r="AZ295" s="4">
        <v>5</v>
      </c>
      <c r="BA295" s="4">
        <v>978.99</v>
      </c>
      <c r="BB295" s="4">
        <v>7</v>
      </c>
      <c r="BC295" s="4">
        <v>0</v>
      </c>
      <c r="BD295" s="4">
        <v>0</v>
      </c>
      <c r="BE295" s="4">
        <v>2185.11</v>
      </c>
      <c r="BF295" s="4">
        <v>8</v>
      </c>
      <c r="BQ295" s="3">
        <f t="shared" si="10"/>
        <v>26758.33</v>
      </c>
      <c r="BR295" s="3">
        <f t="shared" si="9"/>
        <v>155</v>
      </c>
    </row>
    <row r="296" spans="1:70" x14ac:dyDescent="0.25">
      <c r="A296" s="4" t="s">
        <v>2420</v>
      </c>
      <c r="B296" t="s">
        <v>67</v>
      </c>
      <c r="C296" s="338" t="s">
        <v>1677</v>
      </c>
      <c r="D296" s="213" t="s">
        <v>768</v>
      </c>
      <c r="E296" s="213" t="s">
        <v>136</v>
      </c>
      <c r="F296" s="213" t="s">
        <v>126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3941.98</v>
      </c>
      <c r="AL296" s="4">
        <v>16</v>
      </c>
      <c r="AM296" s="4">
        <v>1240.03</v>
      </c>
      <c r="AN296" s="4">
        <v>9</v>
      </c>
      <c r="AO296" s="4">
        <v>917</v>
      </c>
      <c r="AP296" s="4">
        <v>3</v>
      </c>
      <c r="AQ296" s="4">
        <v>0</v>
      </c>
      <c r="AR296" s="4">
        <v>0</v>
      </c>
      <c r="AS296" s="4">
        <v>359.99</v>
      </c>
      <c r="AT296" s="4">
        <v>3</v>
      </c>
      <c r="AU296" s="4">
        <v>850.01</v>
      </c>
      <c r="AV296" s="4">
        <v>5</v>
      </c>
      <c r="AW296" s="4">
        <v>837.99</v>
      </c>
      <c r="AX296" s="4">
        <v>4</v>
      </c>
      <c r="AY296" s="4">
        <v>756.96</v>
      </c>
      <c r="AZ296" s="4">
        <v>3</v>
      </c>
      <c r="BA296" s="4">
        <v>4977.7</v>
      </c>
      <c r="BB296" s="4">
        <v>8</v>
      </c>
      <c r="BC296" s="4">
        <v>1211.93</v>
      </c>
      <c r="BD296" s="4">
        <v>4</v>
      </c>
      <c r="BE296" s="4">
        <v>1016.03</v>
      </c>
      <c r="BF296" s="4">
        <v>4</v>
      </c>
      <c r="BQ296" s="3">
        <f t="shared" si="10"/>
        <v>16109.62</v>
      </c>
      <c r="BR296" s="3">
        <f t="shared" si="9"/>
        <v>59</v>
      </c>
    </row>
    <row r="297" spans="1:70" x14ac:dyDescent="0.25">
      <c r="A297" s="4" t="s">
        <v>2421</v>
      </c>
      <c r="B297" t="s">
        <v>68</v>
      </c>
      <c r="C297" s="338" t="s">
        <v>1884</v>
      </c>
      <c r="D297" s="213" t="s">
        <v>975</v>
      </c>
      <c r="E297" s="213" t="s">
        <v>152</v>
      </c>
      <c r="F297" s="213" t="s">
        <v>126</v>
      </c>
      <c r="G297" s="4">
        <v>1106.01</v>
      </c>
      <c r="H297" s="4">
        <v>7</v>
      </c>
      <c r="I297" s="4">
        <v>2630.07</v>
      </c>
      <c r="J297" s="4">
        <v>18</v>
      </c>
      <c r="K297" s="4">
        <v>2101.09</v>
      </c>
      <c r="L297" s="4">
        <v>10</v>
      </c>
      <c r="M297" s="4">
        <v>1494.03</v>
      </c>
      <c r="N297" s="4">
        <v>6</v>
      </c>
      <c r="O297" s="4">
        <v>0</v>
      </c>
      <c r="P297" s="4">
        <v>0</v>
      </c>
      <c r="Q297" s="4">
        <v>0</v>
      </c>
      <c r="R297" s="4">
        <v>0</v>
      </c>
      <c r="S297" s="4">
        <v>884.02</v>
      </c>
      <c r="T297" s="4">
        <v>6</v>
      </c>
      <c r="U297" s="4">
        <v>1203</v>
      </c>
      <c r="V297" s="4">
        <v>7</v>
      </c>
      <c r="W297" s="4">
        <v>1220.04</v>
      </c>
      <c r="X297" s="4">
        <v>6</v>
      </c>
      <c r="Y297" s="4">
        <v>412</v>
      </c>
      <c r="Z297" s="4">
        <v>3</v>
      </c>
      <c r="AA297" s="4">
        <v>1453.05</v>
      </c>
      <c r="AB297" s="4">
        <v>10</v>
      </c>
      <c r="AC297" s="4">
        <v>675.04</v>
      </c>
      <c r="AD297" s="4">
        <v>5</v>
      </c>
      <c r="AE297" s="4">
        <v>0</v>
      </c>
      <c r="AF297" s="4">
        <v>0</v>
      </c>
      <c r="AG297" s="4">
        <v>900</v>
      </c>
      <c r="AH297" s="4">
        <v>7</v>
      </c>
      <c r="AI297" s="4">
        <v>450</v>
      </c>
      <c r="AJ297" s="4">
        <v>4</v>
      </c>
      <c r="AK297" s="4">
        <v>1440.01</v>
      </c>
      <c r="AL297" s="4">
        <v>9</v>
      </c>
      <c r="AM297" s="4">
        <v>1015.01</v>
      </c>
      <c r="AN297" s="4">
        <v>4</v>
      </c>
      <c r="AO297" s="4">
        <v>0</v>
      </c>
      <c r="AP297" s="4">
        <v>0</v>
      </c>
      <c r="AQ297" s="4">
        <v>600</v>
      </c>
      <c r="AR297" s="4">
        <v>3</v>
      </c>
      <c r="AS297" s="4">
        <v>1708.02</v>
      </c>
      <c r="AT297" s="4">
        <v>11</v>
      </c>
      <c r="AU297" s="4">
        <v>396</v>
      </c>
      <c r="AV297" s="4">
        <v>2</v>
      </c>
      <c r="AW297" s="4">
        <v>1145.94</v>
      </c>
      <c r="AX297" s="4">
        <v>8</v>
      </c>
      <c r="AY297" s="4">
        <v>2138.85</v>
      </c>
      <c r="AZ297" s="4">
        <v>8</v>
      </c>
      <c r="BA297" s="4">
        <v>1626.95</v>
      </c>
      <c r="BB297" s="4">
        <v>7</v>
      </c>
      <c r="BC297" s="4">
        <v>2188.06</v>
      </c>
      <c r="BD297" s="4">
        <v>13</v>
      </c>
      <c r="BE297" s="4">
        <v>769.04</v>
      </c>
      <c r="BF297" s="4">
        <v>5</v>
      </c>
      <c r="BQ297" s="3">
        <f t="shared" si="10"/>
        <v>27556.23</v>
      </c>
      <c r="BR297" s="3">
        <f t="shared" si="9"/>
        <v>159</v>
      </c>
    </row>
    <row r="298" spans="1:70" x14ac:dyDescent="0.25">
      <c r="A298" s="4" t="s">
        <v>2422</v>
      </c>
      <c r="B298" t="s">
        <v>68</v>
      </c>
      <c r="C298" s="338" t="s">
        <v>1885</v>
      </c>
      <c r="D298" s="213" t="s">
        <v>976</v>
      </c>
      <c r="E298" s="213" t="s">
        <v>152</v>
      </c>
      <c r="F298" s="213" t="s">
        <v>126</v>
      </c>
      <c r="G298" s="4">
        <v>1391.04</v>
      </c>
      <c r="H298" s="4">
        <v>8</v>
      </c>
      <c r="I298" s="4">
        <v>0</v>
      </c>
      <c r="J298" s="4">
        <v>0</v>
      </c>
      <c r="K298" s="4">
        <v>1328.03</v>
      </c>
      <c r="L298" s="4">
        <v>10</v>
      </c>
      <c r="M298" s="4">
        <v>1744.04</v>
      </c>
      <c r="N298" s="4">
        <v>7</v>
      </c>
      <c r="O298" s="4">
        <v>1387.04</v>
      </c>
      <c r="P298" s="4">
        <v>8</v>
      </c>
      <c r="Q298" s="4">
        <v>0</v>
      </c>
      <c r="R298" s="4">
        <v>0</v>
      </c>
      <c r="S298" s="4">
        <v>1214.05</v>
      </c>
      <c r="T298" s="4">
        <v>7</v>
      </c>
      <c r="U298" s="4">
        <v>150</v>
      </c>
      <c r="V298" s="4">
        <v>1</v>
      </c>
      <c r="W298" s="4">
        <v>825.03</v>
      </c>
      <c r="X298" s="4">
        <v>5</v>
      </c>
      <c r="Y298" s="4">
        <v>1462.04</v>
      </c>
      <c r="Z298" s="4">
        <v>7</v>
      </c>
      <c r="AA298" s="4">
        <v>0</v>
      </c>
      <c r="AB298" s="4">
        <v>0</v>
      </c>
      <c r="AC298" s="4">
        <v>1028.01</v>
      </c>
      <c r="AD298" s="4">
        <v>5</v>
      </c>
      <c r="AE298" s="4">
        <v>2536.0500000000002</v>
      </c>
      <c r="AF298" s="4">
        <v>7</v>
      </c>
      <c r="AG298" s="4">
        <v>150</v>
      </c>
      <c r="AH298" s="4">
        <v>1</v>
      </c>
      <c r="AI298" s="4">
        <v>964.05</v>
      </c>
      <c r="AJ298" s="4">
        <v>3</v>
      </c>
      <c r="AK298" s="4">
        <v>1975.05</v>
      </c>
      <c r="AL298" s="4">
        <v>9</v>
      </c>
      <c r="AM298" s="4">
        <v>2005.98</v>
      </c>
      <c r="AN298" s="4">
        <v>6</v>
      </c>
      <c r="AO298" s="4">
        <v>1739.03</v>
      </c>
      <c r="AP298" s="4">
        <v>8</v>
      </c>
      <c r="AQ298" s="4">
        <v>199.01</v>
      </c>
      <c r="AR298" s="4">
        <v>1</v>
      </c>
      <c r="AS298" s="4">
        <v>1316</v>
      </c>
      <c r="AT298" s="4">
        <v>6</v>
      </c>
      <c r="AU298" s="4">
        <v>0</v>
      </c>
      <c r="AV298" s="4">
        <v>0</v>
      </c>
      <c r="AW298" s="4">
        <v>274.01</v>
      </c>
      <c r="AX298" s="4">
        <v>2</v>
      </c>
      <c r="AY298" s="4">
        <v>2736.8</v>
      </c>
      <c r="AZ298" s="4">
        <v>12</v>
      </c>
      <c r="BA298" s="4">
        <v>560.98</v>
      </c>
      <c r="BB298" s="4">
        <v>3</v>
      </c>
      <c r="BC298" s="4">
        <v>916.95</v>
      </c>
      <c r="BD298" s="4">
        <v>7</v>
      </c>
      <c r="BE298" s="4">
        <v>2814.23</v>
      </c>
      <c r="BF298" s="4">
        <v>10</v>
      </c>
      <c r="BQ298" s="3">
        <f t="shared" si="10"/>
        <v>28717.419999999995</v>
      </c>
      <c r="BR298" s="3">
        <f t="shared" si="9"/>
        <v>133</v>
      </c>
    </row>
    <row r="299" spans="1:70" x14ac:dyDescent="0.25">
      <c r="A299" s="4" t="s">
        <v>2423</v>
      </c>
      <c r="B299" t="s">
        <v>68</v>
      </c>
      <c r="C299" s="338" t="s">
        <v>1886</v>
      </c>
      <c r="D299" s="213" t="s">
        <v>977</v>
      </c>
      <c r="E299" s="213" t="s">
        <v>152</v>
      </c>
      <c r="F299" s="213" t="s">
        <v>126</v>
      </c>
      <c r="G299" s="4">
        <v>2829.05</v>
      </c>
      <c r="H299" s="4">
        <v>13</v>
      </c>
      <c r="I299" s="4">
        <v>2693.99</v>
      </c>
      <c r="J299" s="4">
        <v>15</v>
      </c>
      <c r="K299" s="4">
        <v>2670.05</v>
      </c>
      <c r="L299" s="4">
        <v>8</v>
      </c>
      <c r="M299" s="4">
        <v>2455.0100000000002</v>
      </c>
      <c r="N299" s="4">
        <v>10</v>
      </c>
      <c r="O299" s="4">
        <v>2898.09</v>
      </c>
      <c r="P299" s="4">
        <v>12</v>
      </c>
      <c r="Q299" s="4">
        <v>1996.04</v>
      </c>
      <c r="R299" s="4">
        <v>5</v>
      </c>
      <c r="S299" s="4">
        <v>0</v>
      </c>
      <c r="T299" s="4">
        <v>0</v>
      </c>
      <c r="U299" s="4">
        <v>1667.05</v>
      </c>
      <c r="V299" s="4">
        <v>7</v>
      </c>
      <c r="W299" s="4">
        <v>1603.03</v>
      </c>
      <c r="X299" s="4">
        <v>8</v>
      </c>
      <c r="Y299" s="4">
        <v>2734</v>
      </c>
      <c r="Z299" s="4">
        <v>11</v>
      </c>
      <c r="AA299" s="4">
        <v>1691.06</v>
      </c>
      <c r="AB299" s="4">
        <v>9</v>
      </c>
      <c r="AC299" s="4">
        <v>1858.03</v>
      </c>
      <c r="AD299" s="4">
        <v>8</v>
      </c>
      <c r="AE299" s="4">
        <v>325</v>
      </c>
      <c r="AF299" s="4">
        <v>4</v>
      </c>
      <c r="AG299" s="4">
        <v>1595.03</v>
      </c>
      <c r="AH299" s="4">
        <v>8</v>
      </c>
      <c r="AI299" s="4">
        <v>300</v>
      </c>
      <c r="AJ299" s="4">
        <v>1</v>
      </c>
      <c r="AK299" s="4">
        <v>0</v>
      </c>
      <c r="AL299" s="4">
        <v>0</v>
      </c>
      <c r="AM299" s="4">
        <v>2570.02</v>
      </c>
      <c r="AN299" s="4">
        <v>10</v>
      </c>
      <c r="AO299" s="4">
        <v>211</v>
      </c>
      <c r="AP299" s="4">
        <v>2</v>
      </c>
      <c r="AQ299" s="4">
        <v>1331.02</v>
      </c>
      <c r="AR299" s="4">
        <v>6</v>
      </c>
      <c r="AS299" s="4">
        <v>0</v>
      </c>
      <c r="AT299" s="4">
        <v>0</v>
      </c>
      <c r="AU299" s="4">
        <v>1699.01</v>
      </c>
      <c r="AV299" s="4">
        <v>7</v>
      </c>
      <c r="AW299" s="4">
        <v>2288.88</v>
      </c>
      <c r="AX299" s="4">
        <v>6</v>
      </c>
      <c r="AY299" s="4">
        <v>2158.89</v>
      </c>
      <c r="AZ299" s="4">
        <v>8</v>
      </c>
      <c r="BA299" s="4">
        <v>1707.89</v>
      </c>
      <c r="BB299" s="4">
        <v>6</v>
      </c>
      <c r="BC299" s="4">
        <v>414.98</v>
      </c>
      <c r="BD299" s="4">
        <v>2</v>
      </c>
      <c r="BE299" s="4">
        <v>1218.0999999999999</v>
      </c>
      <c r="BF299" s="4">
        <v>4</v>
      </c>
      <c r="BQ299" s="3">
        <f t="shared" si="10"/>
        <v>40915.219999999994</v>
      </c>
      <c r="BR299" s="3">
        <f t="shared" si="9"/>
        <v>170</v>
      </c>
    </row>
    <row r="300" spans="1:70" x14ac:dyDescent="0.25">
      <c r="A300" s="4" t="s">
        <v>2424</v>
      </c>
      <c r="B300" t="s">
        <v>68</v>
      </c>
      <c r="C300" s="338" t="s">
        <v>1887</v>
      </c>
      <c r="D300" s="213" t="s">
        <v>978</v>
      </c>
      <c r="E300" s="213" t="s">
        <v>152</v>
      </c>
      <c r="F300" s="213" t="s">
        <v>126</v>
      </c>
      <c r="G300" s="4">
        <v>2505.0500000000002</v>
      </c>
      <c r="H300" s="4">
        <v>18</v>
      </c>
      <c r="I300" s="4">
        <v>4376.0200000000004</v>
      </c>
      <c r="J300" s="4">
        <v>20</v>
      </c>
      <c r="K300" s="4">
        <v>2744.07</v>
      </c>
      <c r="L300" s="4">
        <v>17</v>
      </c>
      <c r="M300" s="4">
        <v>2389.0300000000002</v>
      </c>
      <c r="N300" s="4">
        <v>12</v>
      </c>
      <c r="O300" s="4">
        <v>839.03</v>
      </c>
      <c r="P300" s="4">
        <v>5</v>
      </c>
      <c r="Q300" s="4">
        <v>3385.08</v>
      </c>
      <c r="R300" s="4">
        <v>15</v>
      </c>
      <c r="S300" s="4">
        <v>2001.06</v>
      </c>
      <c r="T300" s="4">
        <v>10</v>
      </c>
      <c r="U300" s="4">
        <v>1198.07</v>
      </c>
      <c r="V300" s="4">
        <v>6</v>
      </c>
      <c r="W300" s="4">
        <v>1246.03</v>
      </c>
      <c r="X300" s="4">
        <v>8</v>
      </c>
      <c r="Y300" s="4">
        <v>0</v>
      </c>
      <c r="Z300" s="4">
        <v>0</v>
      </c>
      <c r="AA300" s="4">
        <v>1122.01</v>
      </c>
      <c r="AB300" s="4">
        <v>5</v>
      </c>
      <c r="AC300" s="4">
        <v>0</v>
      </c>
      <c r="AD300" s="4">
        <v>0</v>
      </c>
      <c r="AE300" s="4">
        <v>2638.05</v>
      </c>
      <c r="AF300" s="4">
        <v>14</v>
      </c>
      <c r="AG300" s="4">
        <v>-114.99</v>
      </c>
      <c r="AH300" s="4">
        <v>2</v>
      </c>
      <c r="AI300" s="4">
        <v>1111.02</v>
      </c>
      <c r="AJ300" s="4">
        <v>6</v>
      </c>
      <c r="AK300" s="4">
        <v>1756.05</v>
      </c>
      <c r="AL300" s="4">
        <v>10</v>
      </c>
      <c r="AM300" s="4">
        <v>1402.01</v>
      </c>
      <c r="AN300" s="4">
        <v>6</v>
      </c>
      <c r="AO300" s="4">
        <v>3099.05</v>
      </c>
      <c r="AP300" s="4">
        <v>20</v>
      </c>
      <c r="AQ300" s="4">
        <v>784.99</v>
      </c>
      <c r="AR300" s="4">
        <v>5</v>
      </c>
      <c r="AS300" s="4">
        <v>300</v>
      </c>
      <c r="AT300" s="4">
        <v>2</v>
      </c>
      <c r="AU300" s="4">
        <v>1189.01</v>
      </c>
      <c r="AV300" s="4">
        <v>5</v>
      </c>
      <c r="AW300" s="4">
        <v>855.98</v>
      </c>
      <c r="AX300" s="4">
        <v>4</v>
      </c>
      <c r="AY300" s="4">
        <v>0</v>
      </c>
      <c r="AZ300" s="4">
        <v>0</v>
      </c>
      <c r="BA300" s="4">
        <v>1415.88</v>
      </c>
      <c r="BB300" s="4">
        <v>6</v>
      </c>
      <c r="BC300" s="4">
        <v>0</v>
      </c>
      <c r="BD300" s="4">
        <v>0</v>
      </c>
      <c r="BE300" s="4">
        <v>0</v>
      </c>
      <c r="BF300" s="4">
        <v>0</v>
      </c>
      <c r="BQ300" s="3">
        <f t="shared" si="10"/>
        <v>36242.5</v>
      </c>
      <c r="BR300" s="3">
        <f t="shared" si="9"/>
        <v>196</v>
      </c>
    </row>
    <row r="301" spans="1:70" x14ac:dyDescent="0.25">
      <c r="A301" s="4" t="s">
        <v>2425</v>
      </c>
      <c r="B301" t="s">
        <v>69</v>
      </c>
      <c r="C301" s="338" t="s">
        <v>1888</v>
      </c>
      <c r="D301" s="213" t="s">
        <v>979</v>
      </c>
      <c r="E301" s="213" t="s">
        <v>146</v>
      </c>
      <c r="F301" s="213" t="s">
        <v>126</v>
      </c>
      <c r="G301" s="4">
        <v>3487.04</v>
      </c>
      <c r="H301" s="4">
        <v>23</v>
      </c>
      <c r="I301" s="4">
        <v>0</v>
      </c>
      <c r="J301" s="4">
        <v>0</v>
      </c>
      <c r="K301" s="4">
        <v>822.01</v>
      </c>
      <c r="L301" s="4">
        <v>4</v>
      </c>
      <c r="M301" s="4">
        <v>620.01</v>
      </c>
      <c r="N301" s="4">
        <v>3</v>
      </c>
      <c r="O301" s="4">
        <v>854.02</v>
      </c>
      <c r="P301" s="4">
        <v>5</v>
      </c>
      <c r="Q301" s="4">
        <v>1463.03</v>
      </c>
      <c r="R301" s="4">
        <v>13</v>
      </c>
      <c r="S301" s="4">
        <v>450</v>
      </c>
      <c r="T301" s="4">
        <v>4</v>
      </c>
      <c r="U301" s="4">
        <v>2487.04</v>
      </c>
      <c r="V301" s="4">
        <v>16</v>
      </c>
      <c r="W301" s="4">
        <v>0</v>
      </c>
      <c r="X301" s="4">
        <v>0</v>
      </c>
      <c r="Y301" s="4">
        <v>1648.03</v>
      </c>
      <c r="Z301" s="4">
        <v>9</v>
      </c>
      <c r="AA301" s="4">
        <v>587</v>
      </c>
      <c r="AB301" s="4">
        <v>4</v>
      </c>
      <c r="AC301" s="4">
        <v>450.01</v>
      </c>
      <c r="AD301" s="4">
        <v>5</v>
      </c>
      <c r="AE301" s="4">
        <v>572.01</v>
      </c>
      <c r="AF301" s="4">
        <v>5</v>
      </c>
      <c r="AG301" s="4">
        <v>375.02</v>
      </c>
      <c r="AH301" s="4">
        <v>3</v>
      </c>
      <c r="AI301" s="4">
        <v>1641.03</v>
      </c>
      <c r="AJ301" s="4">
        <v>14</v>
      </c>
      <c r="AK301" s="4">
        <v>0</v>
      </c>
      <c r="AL301" s="4">
        <v>0</v>
      </c>
      <c r="AM301" s="4">
        <v>958.01</v>
      </c>
      <c r="AN301" s="4">
        <v>8</v>
      </c>
      <c r="AO301" s="4">
        <v>525</v>
      </c>
      <c r="AP301" s="4">
        <v>3</v>
      </c>
      <c r="AQ301" s="4">
        <v>340</v>
      </c>
      <c r="AR301" s="4">
        <v>3</v>
      </c>
      <c r="AS301" s="4">
        <v>300</v>
      </c>
      <c r="AT301" s="4">
        <v>2</v>
      </c>
      <c r="AU301" s="4">
        <v>300.01</v>
      </c>
      <c r="AV301" s="4">
        <v>2</v>
      </c>
      <c r="AW301" s="4">
        <v>1302.94</v>
      </c>
      <c r="AX301" s="4">
        <v>7</v>
      </c>
      <c r="AY301" s="4">
        <v>0</v>
      </c>
      <c r="AZ301" s="4">
        <v>0</v>
      </c>
      <c r="BA301" s="4">
        <v>1642.92</v>
      </c>
      <c r="BB301" s="4">
        <v>7</v>
      </c>
      <c r="BC301" s="4">
        <v>0</v>
      </c>
      <c r="BD301" s="4">
        <v>0</v>
      </c>
      <c r="BE301" s="4">
        <v>686.02</v>
      </c>
      <c r="BF301" s="4">
        <v>6</v>
      </c>
      <c r="BQ301" s="3">
        <f t="shared" si="10"/>
        <v>21511.149999999998</v>
      </c>
      <c r="BR301" s="3">
        <f t="shared" si="9"/>
        <v>146</v>
      </c>
    </row>
    <row r="302" spans="1:70" x14ac:dyDescent="0.25">
      <c r="A302" s="4" t="s">
        <v>2426</v>
      </c>
      <c r="B302" t="s">
        <v>69</v>
      </c>
      <c r="C302" s="338" t="s">
        <v>1889</v>
      </c>
      <c r="D302" s="213" t="s">
        <v>980</v>
      </c>
      <c r="E302" s="213" t="s">
        <v>146</v>
      </c>
      <c r="F302" s="213" t="s">
        <v>126</v>
      </c>
      <c r="G302" s="4">
        <v>0</v>
      </c>
      <c r="H302" s="4">
        <v>0</v>
      </c>
      <c r="I302" s="4">
        <v>4167.07</v>
      </c>
      <c r="J302" s="4">
        <v>26</v>
      </c>
      <c r="K302" s="4">
        <v>818.01</v>
      </c>
      <c r="L302" s="4">
        <v>6</v>
      </c>
      <c r="M302" s="4">
        <v>467</v>
      </c>
      <c r="N302" s="4">
        <v>4</v>
      </c>
      <c r="O302" s="4">
        <v>0</v>
      </c>
      <c r="P302" s="4">
        <v>0</v>
      </c>
      <c r="Q302" s="4">
        <v>2338.0700000000002</v>
      </c>
      <c r="R302" s="4">
        <v>12</v>
      </c>
      <c r="S302" s="4">
        <v>1406.05</v>
      </c>
      <c r="T302" s="4">
        <v>8</v>
      </c>
      <c r="U302" s="4">
        <v>2732.09</v>
      </c>
      <c r="V302" s="4">
        <v>16</v>
      </c>
      <c r="W302" s="4">
        <v>3562.02</v>
      </c>
      <c r="X302" s="4">
        <v>17</v>
      </c>
      <c r="Y302" s="4">
        <v>2849.07</v>
      </c>
      <c r="Z302" s="4">
        <v>10</v>
      </c>
      <c r="AA302" s="4">
        <v>3739.13</v>
      </c>
      <c r="AB302" s="4">
        <v>19</v>
      </c>
      <c r="AC302" s="4">
        <v>1914.02</v>
      </c>
      <c r="AD302" s="4">
        <v>9</v>
      </c>
      <c r="AE302" s="4">
        <v>1562.03</v>
      </c>
      <c r="AF302" s="4">
        <v>7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894.02</v>
      </c>
      <c r="AP302" s="4">
        <v>5</v>
      </c>
      <c r="AQ302" s="4">
        <v>1656.03</v>
      </c>
      <c r="AR302" s="4">
        <v>11</v>
      </c>
      <c r="AS302" s="4">
        <v>475.98</v>
      </c>
      <c r="AT302" s="4">
        <v>2</v>
      </c>
      <c r="AU302" s="4">
        <v>949.01</v>
      </c>
      <c r="AV302" s="4">
        <v>7</v>
      </c>
      <c r="AW302" s="4">
        <v>2013.88</v>
      </c>
      <c r="AX302" s="4">
        <v>11</v>
      </c>
      <c r="AY302" s="4">
        <v>1193.95</v>
      </c>
      <c r="AZ302" s="4">
        <v>6</v>
      </c>
      <c r="BA302" s="4">
        <v>0</v>
      </c>
      <c r="BB302" s="4">
        <v>0</v>
      </c>
      <c r="BC302" s="4">
        <v>447.01</v>
      </c>
      <c r="BD302" s="4">
        <v>3</v>
      </c>
      <c r="BE302" s="4">
        <v>0</v>
      </c>
      <c r="BF302" s="4">
        <v>0</v>
      </c>
      <c r="BQ302" s="3">
        <f t="shared" si="10"/>
        <v>33184.44</v>
      </c>
      <c r="BR302" s="3">
        <f t="shared" si="9"/>
        <v>179</v>
      </c>
    </row>
    <row r="303" spans="1:70" x14ac:dyDescent="0.25">
      <c r="A303" s="4" t="s">
        <v>2427</v>
      </c>
      <c r="B303" t="s">
        <v>69</v>
      </c>
      <c r="C303" s="338" t="s">
        <v>1890</v>
      </c>
      <c r="D303" s="213" t="s">
        <v>981</v>
      </c>
      <c r="E303" s="213" t="s">
        <v>146</v>
      </c>
      <c r="F303" s="213" t="s">
        <v>126</v>
      </c>
      <c r="G303" s="4">
        <v>3763.06</v>
      </c>
      <c r="H303" s="4">
        <v>24</v>
      </c>
      <c r="I303" s="4">
        <v>5156.12</v>
      </c>
      <c r="J303" s="4">
        <v>31</v>
      </c>
      <c r="K303" s="4">
        <v>4138.12</v>
      </c>
      <c r="L303" s="4">
        <v>14</v>
      </c>
      <c r="M303" s="4">
        <v>3070.06</v>
      </c>
      <c r="N303" s="4">
        <v>20</v>
      </c>
      <c r="O303" s="4">
        <v>1721.01</v>
      </c>
      <c r="P303" s="4">
        <v>10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2821.07</v>
      </c>
      <c r="AH303" s="4">
        <v>16</v>
      </c>
      <c r="AI303" s="4">
        <v>2365.0100000000002</v>
      </c>
      <c r="AJ303" s="4">
        <v>19</v>
      </c>
      <c r="AK303" s="4">
        <v>5074.05</v>
      </c>
      <c r="AL303" s="4">
        <v>37</v>
      </c>
      <c r="AM303" s="4">
        <v>2723.07</v>
      </c>
      <c r="AN303" s="4">
        <v>14</v>
      </c>
      <c r="AO303" s="4">
        <v>0</v>
      </c>
      <c r="AP303" s="4">
        <v>0</v>
      </c>
      <c r="AQ303" s="4">
        <v>2428.0100000000002</v>
      </c>
      <c r="AR303" s="4">
        <v>12</v>
      </c>
      <c r="AS303" s="4">
        <v>1453.99</v>
      </c>
      <c r="AT303" s="4">
        <v>9</v>
      </c>
      <c r="AU303" s="4">
        <v>1700</v>
      </c>
      <c r="AV303" s="4">
        <v>11</v>
      </c>
      <c r="AW303" s="4">
        <v>1811.86</v>
      </c>
      <c r="AX303" s="4">
        <v>8</v>
      </c>
      <c r="AY303" s="4">
        <v>1520.93</v>
      </c>
      <c r="AZ303" s="4">
        <v>11</v>
      </c>
      <c r="BA303" s="4">
        <v>2810.98</v>
      </c>
      <c r="BB303" s="4">
        <v>9</v>
      </c>
      <c r="BC303" s="4">
        <v>1422.94</v>
      </c>
      <c r="BD303" s="4">
        <v>9</v>
      </c>
      <c r="BE303" s="4">
        <v>3162.16</v>
      </c>
      <c r="BF303" s="4">
        <v>20</v>
      </c>
      <c r="BQ303" s="3">
        <f t="shared" si="10"/>
        <v>47142.44</v>
      </c>
      <c r="BR303" s="3">
        <f t="shared" si="9"/>
        <v>274</v>
      </c>
    </row>
    <row r="304" spans="1:70" x14ac:dyDescent="0.25">
      <c r="A304" s="4" t="s">
        <v>2428</v>
      </c>
      <c r="B304" t="s">
        <v>69</v>
      </c>
      <c r="C304" s="338" t="s">
        <v>1891</v>
      </c>
      <c r="D304" s="213" t="s">
        <v>982</v>
      </c>
      <c r="E304" s="213" t="s">
        <v>146</v>
      </c>
      <c r="F304" s="213" t="s">
        <v>126</v>
      </c>
      <c r="G304" s="4">
        <v>1977.01</v>
      </c>
      <c r="H304" s="4">
        <v>13</v>
      </c>
      <c r="I304" s="4">
        <v>0</v>
      </c>
      <c r="J304" s="4">
        <v>0</v>
      </c>
      <c r="K304" s="4">
        <v>3563.04</v>
      </c>
      <c r="L304" s="4">
        <v>21</v>
      </c>
      <c r="M304" s="4">
        <v>2385.0500000000002</v>
      </c>
      <c r="N304" s="4">
        <v>15</v>
      </c>
      <c r="O304" s="4">
        <v>2303.0300000000002</v>
      </c>
      <c r="P304" s="4">
        <v>12</v>
      </c>
      <c r="Q304" s="4">
        <v>1078.02</v>
      </c>
      <c r="R304" s="4">
        <v>8</v>
      </c>
      <c r="S304" s="4">
        <v>946.01</v>
      </c>
      <c r="T304" s="4">
        <v>8</v>
      </c>
      <c r="U304" s="4">
        <v>858.01</v>
      </c>
      <c r="V304" s="4">
        <v>5</v>
      </c>
      <c r="W304" s="4">
        <v>3088.05</v>
      </c>
      <c r="X304" s="4">
        <v>21</v>
      </c>
      <c r="Y304" s="4">
        <v>0</v>
      </c>
      <c r="Z304" s="4">
        <v>0</v>
      </c>
      <c r="AA304" s="4">
        <v>0</v>
      </c>
      <c r="AB304" s="4">
        <v>0</v>
      </c>
      <c r="AC304" s="4">
        <v>1681.01</v>
      </c>
      <c r="AD304" s="4">
        <v>12</v>
      </c>
      <c r="AE304" s="4">
        <v>1476.02</v>
      </c>
      <c r="AF304" s="4">
        <v>11</v>
      </c>
      <c r="AG304" s="4">
        <v>1347</v>
      </c>
      <c r="AH304" s="4">
        <v>8</v>
      </c>
      <c r="AI304" s="4">
        <v>1364.02</v>
      </c>
      <c r="AJ304" s="4">
        <v>9</v>
      </c>
      <c r="AK304" s="4">
        <v>0</v>
      </c>
      <c r="AL304" s="4">
        <v>0</v>
      </c>
      <c r="AM304" s="4">
        <v>2067.02</v>
      </c>
      <c r="AN304" s="4">
        <v>12</v>
      </c>
      <c r="AO304" s="4">
        <v>900.02</v>
      </c>
      <c r="AP304" s="4">
        <v>6</v>
      </c>
      <c r="AQ304" s="4">
        <v>0</v>
      </c>
      <c r="AR304" s="4">
        <v>0</v>
      </c>
      <c r="AS304" s="4">
        <v>1086.01</v>
      </c>
      <c r="AT304" s="4">
        <v>8</v>
      </c>
      <c r="AU304" s="4">
        <v>1350</v>
      </c>
      <c r="AV304" s="4">
        <v>4</v>
      </c>
      <c r="AW304" s="4">
        <v>1482</v>
      </c>
      <c r="AX304" s="4">
        <v>7</v>
      </c>
      <c r="AY304" s="4">
        <v>1018.97</v>
      </c>
      <c r="AZ304" s="4">
        <v>6</v>
      </c>
      <c r="BA304" s="4">
        <v>1070.98</v>
      </c>
      <c r="BB304" s="4">
        <v>12</v>
      </c>
      <c r="BC304" s="4">
        <v>767.01</v>
      </c>
      <c r="BD304" s="4">
        <v>6</v>
      </c>
      <c r="BE304" s="4">
        <v>0</v>
      </c>
      <c r="BF304" s="4">
        <v>0</v>
      </c>
      <c r="BQ304" s="3">
        <f t="shared" si="10"/>
        <v>31808.28</v>
      </c>
      <c r="BR304" s="3">
        <f t="shared" si="9"/>
        <v>204</v>
      </c>
    </row>
    <row r="305" spans="1:70" x14ac:dyDescent="0.25">
      <c r="A305" s="4" t="s">
        <v>2429</v>
      </c>
      <c r="B305" t="s">
        <v>69</v>
      </c>
      <c r="C305" s="338" t="s">
        <v>1830</v>
      </c>
      <c r="D305" s="213" t="s">
        <v>921</v>
      </c>
      <c r="E305" s="213" t="s">
        <v>146</v>
      </c>
      <c r="F305" s="213" t="s">
        <v>126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2299.04</v>
      </c>
      <c r="P305" s="4">
        <v>12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Q305" s="3">
        <f t="shared" si="10"/>
        <v>2299.04</v>
      </c>
      <c r="BR305" s="3">
        <f t="shared" si="9"/>
        <v>12</v>
      </c>
    </row>
    <row r="306" spans="1:70" x14ac:dyDescent="0.25">
      <c r="A306" s="4" t="s">
        <v>2430</v>
      </c>
      <c r="B306" t="s">
        <v>70</v>
      </c>
      <c r="C306" s="338" t="s">
        <v>1892</v>
      </c>
      <c r="D306" s="213" t="s">
        <v>983</v>
      </c>
      <c r="E306" s="213" t="s">
        <v>153</v>
      </c>
      <c r="F306" s="213" t="s">
        <v>127</v>
      </c>
      <c r="G306" s="4">
        <v>1883.02</v>
      </c>
      <c r="H306" s="4">
        <v>15</v>
      </c>
      <c r="I306" s="4">
        <v>0</v>
      </c>
      <c r="J306" s="4">
        <v>0</v>
      </c>
      <c r="K306" s="4">
        <v>0</v>
      </c>
      <c r="L306" s="4">
        <v>0</v>
      </c>
      <c r="M306" s="4">
        <v>2174.98</v>
      </c>
      <c r="N306" s="4">
        <v>13</v>
      </c>
      <c r="O306" s="4">
        <v>999</v>
      </c>
      <c r="P306" s="4">
        <v>6</v>
      </c>
      <c r="Q306" s="4">
        <v>695.02</v>
      </c>
      <c r="R306" s="4">
        <v>4</v>
      </c>
      <c r="S306" s="4">
        <v>-75</v>
      </c>
      <c r="T306" s="4">
        <v>1</v>
      </c>
      <c r="U306" s="4">
        <v>154.99</v>
      </c>
      <c r="V306" s="4">
        <v>1</v>
      </c>
      <c r="W306" s="4">
        <v>0</v>
      </c>
      <c r="X306" s="4">
        <v>0</v>
      </c>
      <c r="Y306" s="4">
        <v>0</v>
      </c>
      <c r="Z306" s="4">
        <v>0</v>
      </c>
      <c r="AA306" s="4">
        <v>487</v>
      </c>
      <c r="AB306" s="4">
        <v>3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2383.04</v>
      </c>
      <c r="AJ306" s="4">
        <v>16</v>
      </c>
      <c r="AK306" s="4">
        <v>0</v>
      </c>
      <c r="AL306" s="4">
        <v>0</v>
      </c>
      <c r="AM306" s="4">
        <v>150.01</v>
      </c>
      <c r="AN306" s="4">
        <v>1</v>
      </c>
      <c r="AO306" s="4">
        <v>0</v>
      </c>
      <c r="AP306" s="4">
        <v>0</v>
      </c>
      <c r="AQ306" s="4">
        <v>0</v>
      </c>
      <c r="AR306" s="4">
        <v>0</v>
      </c>
      <c r="AS306" s="4">
        <v>600.01</v>
      </c>
      <c r="AT306" s="4">
        <v>3</v>
      </c>
      <c r="AU306" s="4">
        <v>0</v>
      </c>
      <c r="AV306" s="4">
        <v>0</v>
      </c>
      <c r="AW306" s="4">
        <v>421.96</v>
      </c>
      <c r="AX306" s="4">
        <v>2</v>
      </c>
      <c r="AY306" s="4">
        <v>210.98</v>
      </c>
      <c r="AZ306" s="4">
        <v>1</v>
      </c>
      <c r="BA306" s="4">
        <v>0</v>
      </c>
      <c r="BB306" s="4">
        <v>0</v>
      </c>
      <c r="BC306" s="4">
        <v>0</v>
      </c>
      <c r="BD306" s="4">
        <v>0</v>
      </c>
      <c r="BE306" s="4">
        <v>75</v>
      </c>
      <c r="BF306" s="4">
        <v>1</v>
      </c>
      <c r="BQ306" s="3">
        <f t="shared" si="10"/>
        <v>10160.009999999998</v>
      </c>
      <c r="BR306" s="3">
        <f t="shared" si="9"/>
        <v>67</v>
      </c>
    </row>
    <row r="307" spans="1:70" x14ac:dyDescent="0.25">
      <c r="A307" s="4" t="s">
        <v>2431</v>
      </c>
      <c r="B307" t="s">
        <v>70</v>
      </c>
      <c r="C307" s="338" t="s">
        <v>1893</v>
      </c>
      <c r="D307" s="213" t="s">
        <v>984</v>
      </c>
      <c r="E307" s="213" t="s">
        <v>153</v>
      </c>
      <c r="F307" s="213" t="s">
        <v>127</v>
      </c>
      <c r="G307" s="4">
        <v>450.01</v>
      </c>
      <c r="H307" s="4">
        <v>2</v>
      </c>
      <c r="I307" s="4">
        <v>830.01</v>
      </c>
      <c r="J307" s="4">
        <v>5</v>
      </c>
      <c r="K307" s="4">
        <v>1108.99</v>
      </c>
      <c r="L307" s="4">
        <v>6</v>
      </c>
      <c r="M307" s="4">
        <v>300</v>
      </c>
      <c r="N307" s="4">
        <v>2</v>
      </c>
      <c r="O307" s="4">
        <v>0</v>
      </c>
      <c r="P307" s="4">
        <v>0</v>
      </c>
      <c r="Q307" s="4">
        <v>0</v>
      </c>
      <c r="R307" s="4">
        <v>0</v>
      </c>
      <c r="S307" s="4">
        <v>750.01</v>
      </c>
      <c r="T307" s="4">
        <v>5</v>
      </c>
      <c r="U307" s="4">
        <v>1194.01</v>
      </c>
      <c r="V307" s="4">
        <v>7</v>
      </c>
      <c r="W307" s="4">
        <v>0</v>
      </c>
      <c r="X307" s="4">
        <v>0</v>
      </c>
      <c r="Y307" s="4">
        <v>478.03</v>
      </c>
      <c r="Z307" s="4">
        <v>4</v>
      </c>
      <c r="AA307" s="4">
        <v>325.01</v>
      </c>
      <c r="AB307" s="4">
        <v>1</v>
      </c>
      <c r="AC307" s="4">
        <v>693.02</v>
      </c>
      <c r="AD307" s="4">
        <v>5</v>
      </c>
      <c r="AE307" s="4">
        <v>1153.06</v>
      </c>
      <c r="AF307" s="4">
        <v>7</v>
      </c>
      <c r="AG307" s="4">
        <v>375</v>
      </c>
      <c r="AH307" s="4">
        <v>2</v>
      </c>
      <c r="AI307" s="4">
        <v>1069.02</v>
      </c>
      <c r="AJ307" s="4">
        <v>7</v>
      </c>
      <c r="AK307" s="4">
        <v>75</v>
      </c>
      <c r="AL307" s="4">
        <v>1</v>
      </c>
      <c r="AM307" s="4">
        <v>375.01</v>
      </c>
      <c r="AN307" s="4">
        <v>2</v>
      </c>
      <c r="AO307" s="4">
        <v>0</v>
      </c>
      <c r="AP307" s="4">
        <v>0</v>
      </c>
      <c r="AQ307" s="4">
        <v>714.02</v>
      </c>
      <c r="AR307" s="4">
        <v>4</v>
      </c>
      <c r="AS307" s="4">
        <v>0</v>
      </c>
      <c r="AT307" s="4">
        <v>0</v>
      </c>
      <c r="AU307" s="4">
        <v>1145</v>
      </c>
      <c r="AV307" s="4">
        <v>8</v>
      </c>
      <c r="AW307" s="4">
        <v>496.96</v>
      </c>
      <c r="AX307" s="4">
        <v>3</v>
      </c>
      <c r="AY307" s="4">
        <v>1179.93</v>
      </c>
      <c r="AZ307" s="4">
        <v>7</v>
      </c>
      <c r="BA307" s="4">
        <v>1085.98</v>
      </c>
      <c r="BB307" s="4">
        <v>6</v>
      </c>
      <c r="BC307" s="4">
        <v>868.01</v>
      </c>
      <c r="BD307" s="4">
        <v>3</v>
      </c>
      <c r="BE307" s="4">
        <v>422.04</v>
      </c>
      <c r="BF307" s="4">
        <v>2</v>
      </c>
      <c r="BQ307" s="3">
        <f t="shared" si="10"/>
        <v>15088.12</v>
      </c>
      <c r="BR307" s="3">
        <f t="shared" si="9"/>
        <v>89</v>
      </c>
    </row>
    <row r="308" spans="1:70" x14ac:dyDescent="0.25">
      <c r="A308" s="4" t="s">
        <v>2432</v>
      </c>
      <c r="B308" t="s">
        <v>70</v>
      </c>
      <c r="C308" s="338" t="s">
        <v>1894</v>
      </c>
      <c r="D308" s="213" t="s">
        <v>985</v>
      </c>
      <c r="E308" s="213" t="s">
        <v>153</v>
      </c>
      <c r="F308" s="213" t="s">
        <v>127</v>
      </c>
      <c r="G308" s="4">
        <v>0</v>
      </c>
      <c r="H308" s="4">
        <v>0</v>
      </c>
      <c r="I308" s="4">
        <v>1228.02</v>
      </c>
      <c r="J308" s="4">
        <v>9</v>
      </c>
      <c r="K308" s="4">
        <v>171</v>
      </c>
      <c r="L308" s="4">
        <v>2</v>
      </c>
      <c r="M308" s="4">
        <v>0</v>
      </c>
      <c r="N308" s="4">
        <v>0</v>
      </c>
      <c r="O308" s="4">
        <v>936.02</v>
      </c>
      <c r="P308" s="4">
        <v>7</v>
      </c>
      <c r="Q308" s="4">
        <v>1126.99</v>
      </c>
      <c r="R308" s="4">
        <v>6</v>
      </c>
      <c r="S308" s="4">
        <v>0</v>
      </c>
      <c r="T308" s="4">
        <v>0</v>
      </c>
      <c r="U308" s="4">
        <v>0</v>
      </c>
      <c r="V308" s="4">
        <v>0</v>
      </c>
      <c r="W308" s="4">
        <v>3809.07</v>
      </c>
      <c r="X308" s="4">
        <v>19</v>
      </c>
      <c r="Y308" s="4">
        <v>900.02</v>
      </c>
      <c r="Z308" s="4">
        <v>4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150</v>
      </c>
      <c r="AL308" s="4">
        <v>1</v>
      </c>
      <c r="AM308" s="4">
        <v>662</v>
      </c>
      <c r="AN308" s="4">
        <v>4</v>
      </c>
      <c r="AO308" s="4">
        <v>628.99</v>
      </c>
      <c r="AP308" s="4">
        <v>4</v>
      </c>
      <c r="AQ308" s="4">
        <v>0</v>
      </c>
      <c r="AR308" s="4">
        <v>0</v>
      </c>
      <c r="AS308" s="4">
        <v>97</v>
      </c>
      <c r="AT308" s="4">
        <v>1</v>
      </c>
      <c r="AU308" s="4">
        <v>0</v>
      </c>
      <c r="AV308" s="4">
        <v>0</v>
      </c>
      <c r="AW308" s="4">
        <v>1067.93</v>
      </c>
      <c r="AX308" s="4">
        <v>3</v>
      </c>
      <c r="AY308" s="4">
        <v>1098.96</v>
      </c>
      <c r="AZ308" s="4">
        <v>6</v>
      </c>
      <c r="BA308" s="4">
        <v>518.96</v>
      </c>
      <c r="BB308" s="4">
        <v>2</v>
      </c>
      <c r="BC308" s="4">
        <v>0</v>
      </c>
      <c r="BD308" s="4">
        <v>0</v>
      </c>
      <c r="BE308" s="4">
        <v>861.04</v>
      </c>
      <c r="BF308" s="4">
        <v>3</v>
      </c>
      <c r="BQ308" s="3">
        <f t="shared" si="10"/>
        <v>13256</v>
      </c>
      <c r="BR308" s="3">
        <f t="shared" si="9"/>
        <v>71</v>
      </c>
    </row>
    <row r="309" spans="1:70" x14ac:dyDescent="0.25">
      <c r="A309" s="4" t="s">
        <v>2433</v>
      </c>
      <c r="B309" t="s">
        <v>70</v>
      </c>
      <c r="C309" s="338" t="s">
        <v>1895</v>
      </c>
      <c r="D309" s="213" t="s">
        <v>986</v>
      </c>
      <c r="E309" s="213" t="s">
        <v>153</v>
      </c>
      <c r="F309" s="213" t="s">
        <v>127</v>
      </c>
      <c r="G309" s="4">
        <v>96</v>
      </c>
      <c r="H309" s="4">
        <v>1</v>
      </c>
      <c r="I309" s="4">
        <v>1036.99</v>
      </c>
      <c r="J309" s="4">
        <v>7</v>
      </c>
      <c r="K309" s="4">
        <v>599.01</v>
      </c>
      <c r="L309" s="4">
        <v>5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1604.99</v>
      </c>
      <c r="T309" s="4">
        <v>11</v>
      </c>
      <c r="U309" s="4">
        <v>2044.02</v>
      </c>
      <c r="V309" s="4">
        <v>11</v>
      </c>
      <c r="W309" s="4">
        <v>343.01</v>
      </c>
      <c r="X309" s="4">
        <v>2</v>
      </c>
      <c r="Y309" s="4">
        <v>262</v>
      </c>
      <c r="Z309" s="4">
        <v>3</v>
      </c>
      <c r="AA309" s="4">
        <v>225</v>
      </c>
      <c r="AB309" s="4">
        <v>1</v>
      </c>
      <c r="AC309" s="4">
        <v>750.02</v>
      </c>
      <c r="AD309" s="4">
        <v>5</v>
      </c>
      <c r="AE309" s="4">
        <v>1744.02</v>
      </c>
      <c r="AF309" s="4">
        <v>5</v>
      </c>
      <c r="AG309" s="4">
        <v>1850.04</v>
      </c>
      <c r="AH309" s="4">
        <v>12</v>
      </c>
      <c r="AI309" s="4">
        <v>0</v>
      </c>
      <c r="AJ309" s="4">
        <v>0</v>
      </c>
      <c r="AK309" s="4">
        <v>1010.02</v>
      </c>
      <c r="AL309" s="4">
        <v>7</v>
      </c>
      <c r="AM309" s="4">
        <v>150</v>
      </c>
      <c r="AN309" s="4">
        <v>1</v>
      </c>
      <c r="AO309" s="4">
        <v>975.02</v>
      </c>
      <c r="AP309" s="4">
        <v>4</v>
      </c>
      <c r="AQ309" s="4">
        <v>546.99</v>
      </c>
      <c r="AR309" s="4">
        <v>3</v>
      </c>
      <c r="AS309" s="4">
        <v>574</v>
      </c>
      <c r="AT309" s="4">
        <v>5</v>
      </c>
      <c r="AU309" s="4">
        <v>300</v>
      </c>
      <c r="AV309" s="4">
        <v>2</v>
      </c>
      <c r="AW309" s="4">
        <v>1202.96</v>
      </c>
      <c r="AX309" s="4">
        <v>6</v>
      </c>
      <c r="AY309" s="4">
        <v>0</v>
      </c>
      <c r="AZ309" s="4">
        <v>0</v>
      </c>
      <c r="BA309" s="4">
        <v>384.98</v>
      </c>
      <c r="BB309" s="4">
        <v>2</v>
      </c>
      <c r="BC309" s="4">
        <v>1649.9</v>
      </c>
      <c r="BD309" s="4">
        <v>7</v>
      </c>
      <c r="BE309" s="4">
        <v>186.01</v>
      </c>
      <c r="BF309" s="4">
        <v>2</v>
      </c>
      <c r="BQ309" s="3">
        <f t="shared" si="10"/>
        <v>17534.980000000003</v>
      </c>
      <c r="BR309" s="3">
        <f t="shared" si="9"/>
        <v>102</v>
      </c>
    </row>
    <row r="310" spans="1:70" x14ac:dyDescent="0.25">
      <c r="A310" s="4" t="s">
        <v>2434</v>
      </c>
      <c r="B310" t="s">
        <v>71</v>
      </c>
      <c r="C310" s="338" t="s">
        <v>1896</v>
      </c>
      <c r="D310" s="213" t="s">
        <v>987</v>
      </c>
      <c r="E310" s="213" t="s">
        <v>145</v>
      </c>
      <c r="F310" s="213" t="s">
        <v>131</v>
      </c>
      <c r="G310" s="4">
        <v>0</v>
      </c>
      <c r="H310" s="4">
        <v>0</v>
      </c>
      <c r="I310" s="4">
        <v>0</v>
      </c>
      <c r="J310" s="4">
        <v>0</v>
      </c>
      <c r="K310" s="4">
        <v>150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925.03</v>
      </c>
      <c r="T310" s="4">
        <v>6</v>
      </c>
      <c r="U310" s="4">
        <v>0</v>
      </c>
      <c r="V310" s="4">
        <v>0</v>
      </c>
      <c r="W310" s="4">
        <v>494</v>
      </c>
      <c r="X310" s="4">
        <v>7</v>
      </c>
      <c r="Y310" s="4">
        <v>0</v>
      </c>
      <c r="Z310" s="4">
        <v>0</v>
      </c>
      <c r="AA310" s="4">
        <v>1598.02</v>
      </c>
      <c r="AB310" s="4">
        <v>9</v>
      </c>
      <c r="AC310" s="4">
        <v>0</v>
      </c>
      <c r="AD310" s="4">
        <v>0</v>
      </c>
      <c r="AE310" s="4">
        <v>0</v>
      </c>
      <c r="AF310" s="4">
        <v>0</v>
      </c>
      <c r="AG310" s="4">
        <v>700.02</v>
      </c>
      <c r="AH310" s="4">
        <v>5</v>
      </c>
      <c r="AI310" s="4">
        <v>0</v>
      </c>
      <c r="AJ310" s="4">
        <v>0</v>
      </c>
      <c r="AK310" s="4">
        <v>1515.02</v>
      </c>
      <c r="AL310" s="4">
        <v>8</v>
      </c>
      <c r="AM310" s="4">
        <v>0</v>
      </c>
      <c r="AN310" s="4">
        <v>0</v>
      </c>
      <c r="AO310" s="4">
        <v>1670.03</v>
      </c>
      <c r="AP310" s="4">
        <v>6</v>
      </c>
      <c r="AQ310" s="4">
        <v>460</v>
      </c>
      <c r="AR310" s="4">
        <v>3</v>
      </c>
      <c r="AS310" s="4">
        <v>0</v>
      </c>
      <c r="AT310" s="4">
        <v>0</v>
      </c>
      <c r="AU310" s="4">
        <v>500</v>
      </c>
      <c r="AV310" s="4">
        <v>6</v>
      </c>
      <c r="AW310" s="4">
        <v>0</v>
      </c>
      <c r="AX310" s="4">
        <v>0</v>
      </c>
      <c r="AY310" s="4">
        <v>1163.96</v>
      </c>
      <c r="AZ310" s="4">
        <v>9</v>
      </c>
      <c r="BA310" s="4">
        <v>2251.9299999999998</v>
      </c>
      <c r="BB310" s="4">
        <v>13</v>
      </c>
      <c r="BC310" s="4">
        <v>0</v>
      </c>
      <c r="BD310" s="4">
        <v>0</v>
      </c>
      <c r="BE310" s="4">
        <v>0</v>
      </c>
      <c r="BF310" s="4">
        <v>0</v>
      </c>
      <c r="BQ310" s="3">
        <f t="shared" si="10"/>
        <v>11428.01</v>
      </c>
      <c r="BR310" s="3">
        <f t="shared" si="9"/>
        <v>73</v>
      </c>
    </row>
    <row r="311" spans="1:70" x14ac:dyDescent="0.25">
      <c r="A311" s="4" t="s">
        <v>2435</v>
      </c>
      <c r="B311" t="s">
        <v>71</v>
      </c>
      <c r="C311" s="338" t="s">
        <v>1897</v>
      </c>
      <c r="D311" s="213" t="s">
        <v>988</v>
      </c>
      <c r="E311" s="213" t="s">
        <v>145</v>
      </c>
      <c r="F311" s="213" t="s">
        <v>131</v>
      </c>
      <c r="G311" s="4">
        <v>8906.25</v>
      </c>
      <c r="H311" s="4">
        <v>59</v>
      </c>
      <c r="I311" s="4">
        <v>5024.05</v>
      </c>
      <c r="J311" s="4">
        <v>33</v>
      </c>
      <c r="K311" s="4">
        <v>9680.2199999999993</v>
      </c>
      <c r="L311" s="4">
        <v>50</v>
      </c>
      <c r="M311" s="4">
        <v>0</v>
      </c>
      <c r="N311" s="4">
        <v>0</v>
      </c>
      <c r="O311" s="4">
        <v>4132.01</v>
      </c>
      <c r="P311" s="4">
        <v>21</v>
      </c>
      <c r="Q311" s="4">
        <v>1775.04</v>
      </c>
      <c r="R311" s="4">
        <v>14</v>
      </c>
      <c r="S311" s="4">
        <v>3131.06</v>
      </c>
      <c r="T311" s="4">
        <v>18</v>
      </c>
      <c r="U311" s="4">
        <v>0</v>
      </c>
      <c r="V311" s="4">
        <v>0</v>
      </c>
      <c r="W311" s="4">
        <v>5162</v>
      </c>
      <c r="X311" s="4">
        <v>34</v>
      </c>
      <c r="Y311" s="4">
        <v>3003.03</v>
      </c>
      <c r="Z311" s="4">
        <v>21</v>
      </c>
      <c r="AA311" s="4">
        <v>0</v>
      </c>
      <c r="AB311" s="4">
        <v>0</v>
      </c>
      <c r="AC311" s="4">
        <v>3464.03</v>
      </c>
      <c r="AD311" s="4">
        <v>18</v>
      </c>
      <c r="AE311" s="4">
        <v>1050.02</v>
      </c>
      <c r="AF311" s="4">
        <v>6</v>
      </c>
      <c r="AG311" s="4">
        <v>2409.9899999999998</v>
      </c>
      <c r="AH311" s="4">
        <v>10</v>
      </c>
      <c r="AI311" s="4">
        <v>1602.02</v>
      </c>
      <c r="AJ311" s="4">
        <v>11</v>
      </c>
      <c r="AK311" s="4">
        <v>3598.08</v>
      </c>
      <c r="AL311" s="4">
        <v>21</v>
      </c>
      <c r="AM311" s="4">
        <v>1799.02</v>
      </c>
      <c r="AN311" s="4">
        <v>12</v>
      </c>
      <c r="AO311" s="4">
        <v>0</v>
      </c>
      <c r="AP311" s="4">
        <v>0</v>
      </c>
      <c r="AQ311" s="4">
        <v>1578.01</v>
      </c>
      <c r="AR311" s="4">
        <v>9</v>
      </c>
      <c r="AS311" s="4">
        <v>1615.03</v>
      </c>
      <c r="AT311" s="4">
        <v>11</v>
      </c>
      <c r="AU311" s="4">
        <v>0</v>
      </c>
      <c r="AV311" s="4">
        <v>0</v>
      </c>
      <c r="AW311" s="4">
        <v>4396.07</v>
      </c>
      <c r="AX311" s="4">
        <v>14</v>
      </c>
      <c r="AY311" s="4">
        <v>1997.94</v>
      </c>
      <c r="AZ311" s="4">
        <v>11</v>
      </c>
      <c r="BA311" s="4">
        <v>3608.83</v>
      </c>
      <c r="BB311" s="4">
        <v>19</v>
      </c>
      <c r="BC311" s="4">
        <v>0</v>
      </c>
      <c r="BD311" s="4">
        <v>0</v>
      </c>
      <c r="BE311" s="4">
        <v>6503.27</v>
      </c>
      <c r="BF311" s="4">
        <v>19</v>
      </c>
      <c r="BQ311" s="3">
        <f t="shared" si="10"/>
        <v>74435.97</v>
      </c>
      <c r="BR311" s="3">
        <f t="shared" si="9"/>
        <v>411</v>
      </c>
    </row>
    <row r="312" spans="1:70" x14ac:dyDescent="0.25">
      <c r="A312" s="4" t="s">
        <v>2436</v>
      </c>
      <c r="B312" t="s">
        <v>71</v>
      </c>
      <c r="C312" s="338" t="s">
        <v>1898</v>
      </c>
      <c r="D312" s="213" t="s">
        <v>989</v>
      </c>
      <c r="E312" s="213" t="s">
        <v>145</v>
      </c>
      <c r="F312" s="213" t="s">
        <v>131</v>
      </c>
      <c r="G312" s="4">
        <v>10001.16</v>
      </c>
      <c r="H312" s="4">
        <v>67</v>
      </c>
      <c r="I312" s="4">
        <v>3249.01</v>
      </c>
      <c r="J312" s="4">
        <v>24</v>
      </c>
      <c r="K312" s="4">
        <v>0</v>
      </c>
      <c r="L312" s="4">
        <v>0</v>
      </c>
      <c r="M312" s="4">
        <v>533.01</v>
      </c>
      <c r="N312" s="4">
        <v>4</v>
      </c>
      <c r="O312" s="4">
        <v>644.03</v>
      </c>
      <c r="P312" s="4">
        <v>5</v>
      </c>
      <c r="Q312" s="4">
        <v>0</v>
      </c>
      <c r="R312" s="4">
        <v>0</v>
      </c>
      <c r="S312" s="4">
        <v>1096.98</v>
      </c>
      <c r="T312" s="4">
        <v>2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Q312" s="3">
        <f t="shared" si="10"/>
        <v>15524.19</v>
      </c>
      <c r="BR312" s="3">
        <f t="shared" si="9"/>
        <v>102</v>
      </c>
    </row>
    <row r="313" spans="1:70" x14ac:dyDescent="0.25">
      <c r="A313" s="4" t="s">
        <v>2437</v>
      </c>
      <c r="B313" t="s">
        <v>71</v>
      </c>
      <c r="C313" s="338" t="s">
        <v>1788</v>
      </c>
      <c r="D313" s="213" t="s">
        <v>879</v>
      </c>
      <c r="E313" s="213" t="s">
        <v>145</v>
      </c>
      <c r="F313" s="213" t="s">
        <v>131</v>
      </c>
      <c r="G313" s="4">
        <v>2187.0100000000002</v>
      </c>
      <c r="H313" s="4">
        <v>17</v>
      </c>
      <c r="I313" s="4">
        <v>0</v>
      </c>
      <c r="J313" s="4">
        <v>0</v>
      </c>
      <c r="K313" s="4">
        <v>3228.08</v>
      </c>
      <c r="L313" s="4">
        <v>11</v>
      </c>
      <c r="M313" s="4">
        <v>2095</v>
      </c>
      <c r="N313" s="4">
        <v>6</v>
      </c>
      <c r="O313" s="4">
        <v>2065.06</v>
      </c>
      <c r="P313" s="4">
        <v>9</v>
      </c>
      <c r="Q313" s="4">
        <v>1827.01</v>
      </c>
      <c r="R313" s="4">
        <v>4</v>
      </c>
      <c r="S313" s="4">
        <v>656</v>
      </c>
      <c r="T313" s="4">
        <v>3</v>
      </c>
      <c r="U313" s="4">
        <v>1658.03</v>
      </c>
      <c r="V313" s="4">
        <v>5</v>
      </c>
      <c r="W313" s="4">
        <v>571</v>
      </c>
      <c r="X313" s="4">
        <v>5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375.01</v>
      </c>
      <c r="AH313" s="4">
        <v>2</v>
      </c>
      <c r="AI313" s="4">
        <v>2368.0300000000002</v>
      </c>
      <c r="AJ313" s="4">
        <v>8</v>
      </c>
      <c r="AK313" s="4">
        <v>2595.04</v>
      </c>
      <c r="AL313" s="4">
        <v>4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1368.94</v>
      </c>
      <c r="AZ313" s="4">
        <v>11</v>
      </c>
      <c r="BA313" s="4">
        <v>2286.84</v>
      </c>
      <c r="BB313" s="4">
        <v>10</v>
      </c>
      <c r="BC313" s="4">
        <v>1068.92</v>
      </c>
      <c r="BD313" s="4">
        <v>6</v>
      </c>
      <c r="BE313" s="4">
        <v>921.04</v>
      </c>
      <c r="BF313" s="4">
        <v>6</v>
      </c>
      <c r="BQ313" s="3">
        <f t="shared" si="10"/>
        <v>25271.010000000002</v>
      </c>
      <c r="BR313" s="3">
        <f t="shared" si="9"/>
        <v>107</v>
      </c>
    </row>
    <row r="314" spans="1:70" x14ac:dyDescent="0.25">
      <c r="A314" s="4" t="s">
        <v>2438</v>
      </c>
      <c r="B314" t="s">
        <v>71</v>
      </c>
      <c r="C314" s="338" t="s">
        <v>1789</v>
      </c>
      <c r="D314" s="213" t="s">
        <v>880</v>
      </c>
      <c r="E314" s="213" t="s">
        <v>145</v>
      </c>
      <c r="F314" s="213" t="s">
        <v>131</v>
      </c>
      <c r="G314" s="4">
        <v>96</v>
      </c>
      <c r="H314" s="4">
        <v>1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Q314" s="3">
        <f t="shared" si="10"/>
        <v>96</v>
      </c>
      <c r="BR314" s="3">
        <f t="shared" si="9"/>
        <v>1</v>
      </c>
    </row>
    <row r="315" spans="1:70" x14ac:dyDescent="0.25">
      <c r="A315" s="4" t="s">
        <v>2439</v>
      </c>
      <c r="B315" t="s">
        <v>71</v>
      </c>
      <c r="C315" s="338" t="s">
        <v>1899</v>
      </c>
      <c r="D315" s="213" t="s">
        <v>990</v>
      </c>
      <c r="E315" s="213" t="s">
        <v>145</v>
      </c>
      <c r="F315" s="213" t="s">
        <v>131</v>
      </c>
      <c r="G315" s="4">
        <v>0</v>
      </c>
      <c r="H315" s="4">
        <v>0</v>
      </c>
      <c r="I315" s="4">
        <v>9269.17</v>
      </c>
      <c r="J315" s="4">
        <v>65</v>
      </c>
      <c r="K315" s="4">
        <v>6312.09</v>
      </c>
      <c r="L315" s="4">
        <v>39</v>
      </c>
      <c r="M315" s="4">
        <v>6177.12</v>
      </c>
      <c r="N315" s="4">
        <v>40</v>
      </c>
      <c r="O315" s="4">
        <v>0</v>
      </c>
      <c r="P315" s="4">
        <v>0</v>
      </c>
      <c r="Q315" s="4">
        <v>2021.04</v>
      </c>
      <c r="R315" s="4">
        <v>17</v>
      </c>
      <c r="S315" s="4">
        <v>4503.0600000000004</v>
      </c>
      <c r="T315" s="4">
        <v>27</v>
      </c>
      <c r="U315" s="4">
        <v>6650.08</v>
      </c>
      <c r="V315" s="4">
        <v>47</v>
      </c>
      <c r="W315" s="4">
        <v>4347.05</v>
      </c>
      <c r="X315" s="4">
        <v>26</v>
      </c>
      <c r="Y315" s="4">
        <v>3873.09</v>
      </c>
      <c r="Z315" s="4">
        <v>32</v>
      </c>
      <c r="AA315" s="4">
        <v>4645.09</v>
      </c>
      <c r="AB315" s="4">
        <v>33</v>
      </c>
      <c r="AC315" s="4">
        <v>0</v>
      </c>
      <c r="AD315" s="4">
        <v>0</v>
      </c>
      <c r="AE315" s="4">
        <v>2597</v>
      </c>
      <c r="AF315" s="4">
        <v>19</v>
      </c>
      <c r="AG315" s="4">
        <v>4182.04</v>
      </c>
      <c r="AH315" s="4">
        <v>28</v>
      </c>
      <c r="AI315" s="4">
        <v>3472.05</v>
      </c>
      <c r="AJ315" s="4">
        <v>24</v>
      </c>
      <c r="AK315" s="4">
        <v>5865.11</v>
      </c>
      <c r="AL315" s="4">
        <v>40</v>
      </c>
      <c r="AM315" s="4">
        <v>6569.08</v>
      </c>
      <c r="AN315" s="4">
        <v>34</v>
      </c>
      <c r="AO315" s="4">
        <v>7678.08</v>
      </c>
      <c r="AP315" s="4">
        <v>49</v>
      </c>
      <c r="AQ315" s="4">
        <v>749.99</v>
      </c>
      <c r="AR315" s="4">
        <v>4</v>
      </c>
      <c r="AS315" s="4">
        <v>1000.02</v>
      </c>
      <c r="AT315" s="4">
        <v>6</v>
      </c>
      <c r="AU315" s="4">
        <v>684</v>
      </c>
      <c r="AV315" s="4">
        <v>5</v>
      </c>
      <c r="AW315" s="4">
        <v>2418.92</v>
      </c>
      <c r="AX315" s="4">
        <v>14</v>
      </c>
      <c r="AY315" s="4">
        <v>7285.7</v>
      </c>
      <c r="AZ315" s="4">
        <v>37</v>
      </c>
      <c r="BA315" s="4">
        <v>2617.92</v>
      </c>
      <c r="BB315" s="4">
        <v>20</v>
      </c>
      <c r="BC315" s="4">
        <v>360.98</v>
      </c>
      <c r="BD315" s="4">
        <v>3</v>
      </c>
      <c r="BE315" s="4">
        <v>0</v>
      </c>
      <c r="BF315" s="4">
        <v>0</v>
      </c>
      <c r="BQ315" s="3">
        <f t="shared" si="10"/>
        <v>93278.680000000008</v>
      </c>
      <c r="BR315" s="3">
        <f t="shared" si="9"/>
        <v>609</v>
      </c>
    </row>
    <row r="316" spans="1:70" x14ac:dyDescent="0.25">
      <c r="A316" s="4" t="s">
        <v>2440</v>
      </c>
      <c r="B316" t="s">
        <v>71</v>
      </c>
      <c r="C316" s="338" t="s">
        <v>1790</v>
      </c>
      <c r="D316" s="213" t="s">
        <v>881</v>
      </c>
      <c r="E316" s="213" t="s">
        <v>145</v>
      </c>
      <c r="F316" s="213" t="s">
        <v>131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12832.11</v>
      </c>
      <c r="N316" s="4">
        <v>58</v>
      </c>
      <c r="O316" s="4">
        <v>6521.09</v>
      </c>
      <c r="P316" s="4">
        <v>41</v>
      </c>
      <c r="Q316" s="4">
        <v>3499.05</v>
      </c>
      <c r="R316" s="4">
        <v>25</v>
      </c>
      <c r="S316" s="4">
        <v>0</v>
      </c>
      <c r="T316" s="4">
        <v>0</v>
      </c>
      <c r="U316" s="4">
        <v>3513.07</v>
      </c>
      <c r="V316" s="4">
        <v>26</v>
      </c>
      <c r="W316" s="4">
        <v>3797.06</v>
      </c>
      <c r="X316" s="4">
        <v>27</v>
      </c>
      <c r="Y316" s="4">
        <v>3068</v>
      </c>
      <c r="Z316" s="4">
        <v>23</v>
      </c>
      <c r="AA316" s="4">
        <v>0</v>
      </c>
      <c r="AB316" s="4">
        <v>0</v>
      </c>
      <c r="AC316" s="4">
        <v>3859.01</v>
      </c>
      <c r="AD316" s="4">
        <v>28</v>
      </c>
      <c r="AE316" s="4">
        <v>4318.05</v>
      </c>
      <c r="AF316" s="4">
        <v>28</v>
      </c>
      <c r="AG316" s="4">
        <v>2200.08</v>
      </c>
      <c r="AH316" s="4">
        <v>14</v>
      </c>
      <c r="AI316" s="4">
        <v>2037.01</v>
      </c>
      <c r="AJ316" s="4">
        <v>11</v>
      </c>
      <c r="AK316" s="4">
        <v>0</v>
      </c>
      <c r="AL316" s="4">
        <v>0</v>
      </c>
      <c r="AM316" s="4">
        <v>2328.0300000000002</v>
      </c>
      <c r="AN316" s="4">
        <v>14</v>
      </c>
      <c r="AO316" s="4">
        <v>0</v>
      </c>
      <c r="AP316" s="4">
        <v>0</v>
      </c>
      <c r="AQ316" s="4">
        <v>1053.01</v>
      </c>
      <c r="AR316" s="4">
        <v>9</v>
      </c>
      <c r="AS316" s="4">
        <v>3107.05</v>
      </c>
      <c r="AT316" s="4">
        <v>20</v>
      </c>
      <c r="AU316" s="4">
        <v>3368.06</v>
      </c>
      <c r="AV316" s="4">
        <v>23</v>
      </c>
      <c r="AW316" s="4">
        <v>7084.59</v>
      </c>
      <c r="AX316" s="4">
        <v>38</v>
      </c>
      <c r="AY316" s="4">
        <v>0</v>
      </c>
      <c r="AZ316" s="4">
        <v>0</v>
      </c>
      <c r="BA316" s="4">
        <v>0</v>
      </c>
      <c r="BB316" s="4">
        <v>0</v>
      </c>
      <c r="BC316" s="4">
        <v>7663.49</v>
      </c>
      <c r="BD316" s="4">
        <v>40</v>
      </c>
      <c r="BE316" s="4">
        <v>0</v>
      </c>
      <c r="BF316" s="4">
        <v>0</v>
      </c>
      <c r="BQ316" s="3">
        <f t="shared" si="10"/>
        <v>70248.760000000024</v>
      </c>
      <c r="BR316" s="3">
        <f t="shared" si="9"/>
        <v>425</v>
      </c>
    </row>
    <row r="317" spans="1:70" x14ac:dyDescent="0.25">
      <c r="A317" s="4" t="s">
        <v>2441</v>
      </c>
      <c r="B317" t="s">
        <v>71</v>
      </c>
      <c r="C317" s="338" t="s">
        <v>1900</v>
      </c>
      <c r="D317" s="213" t="s">
        <v>991</v>
      </c>
      <c r="E317" s="213" t="s">
        <v>145</v>
      </c>
      <c r="F317" s="213" t="s">
        <v>131</v>
      </c>
      <c r="G317" s="4">
        <v>0</v>
      </c>
      <c r="H317" s="4">
        <v>0</v>
      </c>
      <c r="I317" s="4">
        <v>2764.02</v>
      </c>
      <c r="J317" s="4">
        <v>22</v>
      </c>
      <c r="K317" s="4">
        <v>4903.1099999999997</v>
      </c>
      <c r="L317" s="4">
        <v>33</v>
      </c>
      <c r="M317" s="4">
        <v>794.01</v>
      </c>
      <c r="N317" s="4">
        <v>5</v>
      </c>
      <c r="O317" s="4">
        <v>1772.03</v>
      </c>
      <c r="P317" s="4">
        <v>13</v>
      </c>
      <c r="Q317" s="4">
        <v>175</v>
      </c>
      <c r="R317" s="4">
        <v>1</v>
      </c>
      <c r="S317" s="4">
        <v>225</v>
      </c>
      <c r="T317" s="4">
        <v>2</v>
      </c>
      <c r="U317" s="4">
        <v>0</v>
      </c>
      <c r="V317" s="4">
        <v>0</v>
      </c>
      <c r="W317" s="4">
        <v>450.01</v>
      </c>
      <c r="X317" s="4">
        <v>4</v>
      </c>
      <c r="Y317" s="4">
        <v>885</v>
      </c>
      <c r="Z317" s="4">
        <v>4</v>
      </c>
      <c r="AA317" s="4">
        <v>1065</v>
      </c>
      <c r="AB317" s="4">
        <v>7</v>
      </c>
      <c r="AC317" s="4">
        <v>0</v>
      </c>
      <c r="AD317" s="4">
        <v>0</v>
      </c>
      <c r="AE317" s="4">
        <v>1425.03</v>
      </c>
      <c r="AF317" s="4">
        <v>11</v>
      </c>
      <c r="AG317" s="4">
        <v>0</v>
      </c>
      <c r="AH317" s="4">
        <v>0</v>
      </c>
      <c r="AI317" s="4">
        <v>300.01</v>
      </c>
      <c r="AJ317" s="4">
        <v>3</v>
      </c>
      <c r="AK317" s="4">
        <v>0</v>
      </c>
      <c r="AL317" s="4">
        <v>0</v>
      </c>
      <c r="AM317" s="4">
        <v>2824.99</v>
      </c>
      <c r="AN317" s="4">
        <v>11</v>
      </c>
      <c r="AO317" s="4">
        <v>1887</v>
      </c>
      <c r="AP317" s="4">
        <v>10</v>
      </c>
      <c r="AQ317" s="4">
        <v>0</v>
      </c>
      <c r="AR317" s="4">
        <v>0</v>
      </c>
      <c r="AS317" s="4">
        <v>1823.02</v>
      </c>
      <c r="AT317" s="4">
        <v>11</v>
      </c>
      <c r="AU317" s="4">
        <v>5239.03</v>
      </c>
      <c r="AV317" s="4">
        <v>28</v>
      </c>
      <c r="AW317" s="4">
        <v>421.96</v>
      </c>
      <c r="AX317" s="4">
        <v>2</v>
      </c>
      <c r="AY317" s="4">
        <v>0</v>
      </c>
      <c r="AZ317" s="4">
        <v>0</v>
      </c>
      <c r="BA317" s="4">
        <v>0</v>
      </c>
      <c r="BB317" s="4">
        <v>0</v>
      </c>
      <c r="BC317" s="4">
        <v>1083.96</v>
      </c>
      <c r="BD317" s="4">
        <v>9</v>
      </c>
      <c r="BE317" s="4">
        <v>0</v>
      </c>
      <c r="BF317" s="4">
        <v>0</v>
      </c>
      <c r="BQ317" s="3">
        <f t="shared" si="10"/>
        <v>28038.179999999997</v>
      </c>
      <c r="BR317" s="3">
        <f t="shared" si="9"/>
        <v>176</v>
      </c>
    </row>
    <row r="318" spans="1:70" x14ac:dyDescent="0.25">
      <c r="A318" s="4" t="s">
        <v>2442</v>
      </c>
      <c r="B318" t="s">
        <v>72</v>
      </c>
      <c r="C318" s="338" t="s">
        <v>1901</v>
      </c>
      <c r="D318" s="213" t="s">
        <v>992</v>
      </c>
      <c r="E318" s="213" t="s">
        <v>155</v>
      </c>
      <c r="F318" s="213" t="s">
        <v>131</v>
      </c>
      <c r="G318" s="4">
        <v>0</v>
      </c>
      <c r="H318" s="4">
        <v>0</v>
      </c>
      <c r="I318" s="4">
        <v>0</v>
      </c>
      <c r="J318" s="4">
        <v>0</v>
      </c>
      <c r="K318" s="4">
        <v>211</v>
      </c>
      <c r="L318" s="4">
        <v>2</v>
      </c>
      <c r="M318" s="4">
        <v>1350</v>
      </c>
      <c r="N318" s="4">
        <v>9</v>
      </c>
      <c r="O318" s="4">
        <v>750.02</v>
      </c>
      <c r="P318" s="4">
        <v>5</v>
      </c>
      <c r="Q318" s="4">
        <v>150</v>
      </c>
      <c r="R318" s="4">
        <v>1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269</v>
      </c>
      <c r="Z318" s="4">
        <v>5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308.02</v>
      </c>
      <c r="AH318" s="4">
        <v>3</v>
      </c>
      <c r="AI318" s="4">
        <v>0</v>
      </c>
      <c r="AJ318" s="4">
        <v>0</v>
      </c>
      <c r="AK318" s="4">
        <v>0</v>
      </c>
      <c r="AL318" s="4">
        <v>0</v>
      </c>
      <c r="AM318" s="4">
        <v>339.01</v>
      </c>
      <c r="AN318" s="4">
        <v>5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379.01</v>
      </c>
      <c r="AV318" s="4">
        <v>2</v>
      </c>
      <c r="AW318" s="4">
        <v>262</v>
      </c>
      <c r="AX318" s="4">
        <v>3</v>
      </c>
      <c r="AY318" s="4">
        <v>0</v>
      </c>
      <c r="AZ318" s="4">
        <v>0</v>
      </c>
      <c r="BA318" s="4">
        <v>250</v>
      </c>
      <c r="BB318" s="4">
        <v>3</v>
      </c>
      <c r="BC318" s="4">
        <v>0</v>
      </c>
      <c r="BD318" s="4">
        <v>0</v>
      </c>
      <c r="BE318" s="4">
        <v>0</v>
      </c>
      <c r="BF318" s="4">
        <v>0</v>
      </c>
      <c r="BQ318" s="3">
        <f t="shared" si="10"/>
        <v>4268.0600000000004</v>
      </c>
      <c r="BR318" s="3">
        <f t="shared" si="9"/>
        <v>38</v>
      </c>
    </row>
    <row r="319" spans="1:70" x14ac:dyDescent="0.25">
      <c r="A319" s="4" t="s">
        <v>2443</v>
      </c>
      <c r="B319" t="s">
        <v>72</v>
      </c>
      <c r="C319" s="338" t="s">
        <v>1902</v>
      </c>
      <c r="D319" s="213" t="s">
        <v>993</v>
      </c>
      <c r="E319" s="213" t="s">
        <v>155</v>
      </c>
      <c r="F319" s="213" t="s">
        <v>131</v>
      </c>
      <c r="G319" s="4">
        <v>236</v>
      </c>
      <c r="H319" s="4">
        <v>3</v>
      </c>
      <c r="I319" s="4">
        <v>0</v>
      </c>
      <c r="J319" s="4">
        <v>0</v>
      </c>
      <c r="K319" s="4">
        <v>249</v>
      </c>
      <c r="L319" s="4">
        <v>3</v>
      </c>
      <c r="M319" s="4">
        <v>264.01</v>
      </c>
      <c r="N319" s="4">
        <v>2</v>
      </c>
      <c r="O319" s="4">
        <v>0</v>
      </c>
      <c r="P319" s="4">
        <v>0</v>
      </c>
      <c r="Q319" s="4">
        <v>300</v>
      </c>
      <c r="R319" s="4">
        <v>2</v>
      </c>
      <c r="S319" s="4">
        <v>225</v>
      </c>
      <c r="T319" s="4">
        <v>2</v>
      </c>
      <c r="U319" s="4">
        <v>1005.01</v>
      </c>
      <c r="V319" s="4">
        <v>7</v>
      </c>
      <c r="W319" s="4">
        <v>753.02</v>
      </c>
      <c r="X319" s="4">
        <v>7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235</v>
      </c>
      <c r="AF319" s="4">
        <v>2</v>
      </c>
      <c r="AG319" s="4">
        <v>75</v>
      </c>
      <c r="AH319" s="4">
        <v>1</v>
      </c>
      <c r="AI319" s="4">
        <v>46</v>
      </c>
      <c r="AJ319" s="4">
        <v>1</v>
      </c>
      <c r="AK319" s="4">
        <v>0</v>
      </c>
      <c r="AL319" s="4">
        <v>0</v>
      </c>
      <c r="AM319" s="4">
        <v>218.99</v>
      </c>
      <c r="AN319" s="4">
        <v>2</v>
      </c>
      <c r="AO319" s="4">
        <v>328.01</v>
      </c>
      <c r="AP319" s="4">
        <v>4</v>
      </c>
      <c r="AQ319" s="4">
        <v>786.01</v>
      </c>
      <c r="AR319" s="4">
        <v>6</v>
      </c>
      <c r="AS319" s="4">
        <v>99</v>
      </c>
      <c r="AT319" s="4">
        <v>2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Q319" s="3">
        <f t="shared" si="10"/>
        <v>4820.05</v>
      </c>
      <c r="BR319" s="3">
        <f t="shared" si="9"/>
        <v>44</v>
      </c>
    </row>
    <row r="320" spans="1:70" x14ac:dyDescent="0.25">
      <c r="A320" s="4" t="s">
        <v>2444</v>
      </c>
      <c r="B320" t="s">
        <v>72</v>
      </c>
      <c r="C320" s="338" t="s">
        <v>1903</v>
      </c>
      <c r="D320" s="213" t="s">
        <v>994</v>
      </c>
      <c r="E320" s="213" t="s">
        <v>155</v>
      </c>
      <c r="F320" s="213" t="s">
        <v>131</v>
      </c>
      <c r="G320" s="4">
        <v>1291.02</v>
      </c>
      <c r="H320" s="4">
        <v>12</v>
      </c>
      <c r="I320" s="4">
        <v>1719.02</v>
      </c>
      <c r="J320" s="4">
        <v>15</v>
      </c>
      <c r="K320" s="4">
        <v>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279.01</v>
      </c>
      <c r="R320" s="4">
        <v>2</v>
      </c>
      <c r="S320" s="4">
        <v>209</v>
      </c>
      <c r="T320" s="4">
        <v>2</v>
      </c>
      <c r="U320" s="4">
        <v>150.01</v>
      </c>
      <c r="V320" s="4">
        <v>1</v>
      </c>
      <c r="W320" s="4">
        <v>0</v>
      </c>
      <c r="X320" s="4">
        <v>0</v>
      </c>
      <c r="Y320" s="4">
        <v>49</v>
      </c>
      <c r="Z320" s="4">
        <v>1</v>
      </c>
      <c r="AA320" s="4">
        <v>304.01</v>
      </c>
      <c r="AB320" s="4">
        <v>3</v>
      </c>
      <c r="AC320" s="4">
        <v>510.02</v>
      </c>
      <c r="AD320" s="4">
        <v>4</v>
      </c>
      <c r="AE320" s="4">
        <v>225.02</v>
      </c>
      <c r="AF320" s="4">
        <v>2</v>
      </c>
      <c r="AG320" s="4">
        <v>0</v>
      </c>
      <c r="AH320" s="4">
        <v>0</v>
      </c>
      <c r="AI320" s="4">
        <v>450</v>
      </c>
      <c r="AJ320" s="4">
        <v>4</v>
      </c>
      <c r="AK320" s="4">
        <v>783.02</v>
      </c>
      <c r="AL320" s="4">
        <v>7</v>
      </c>
      <c r="AM320" s="4">
        <v>0</v>
      </c>
      <c r="AN320" s="4">
        <v>0</v>
      </c>
      <c r="AO320" s="4">
        <v>0</v>
      </c>
      <c r="AP320" s="4">
        <v>0</v>
      </c>
      <c r="AQ320" s="4">
        <v>115</v>
      </c>
      <c r="AR320" s="4">
        <v>1</v>
      </c>
      <c r="AS320" s="4">
        <v>25</v>
      </c>
      <c r="AT320" s="4">
        <v>1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150</v>
      </c>
      <c r="BB320" s="4">
        <v>1</v>
      </c>
      <c r="BC320" s="4">
        <v>340</v>
      </c>
      <c r="BD320" s="4">
        <v>3</v>
      </c>
      <c r="BE320" s="4">
        <v>286.02</v>
      </c>
      <c r="BF320" s="4">
        <v>2</v>
      </c>
      <c r="BQ320" s="3">
        <f t="shared" si="10"/>
        <v>6885.1500000000015</v>
      </c>
      <c r="BR320" s="3">
        <f t="shared" si="9"/>
        <v>62</v>
      </c>
    </row>
    <row r="321" spans="1:70" x14ac:dyDescent="0.25">
      <c r="A321" s="4" t="s">
        <v>2445</v>
      </c>
      <c r="B321" t="s">
        <v>73</v>
      </c>
      <c r="C321" s="338" t="s">
        <v>1904</v>
      </c>
      <c r="D321" s="213" t="s">
        <v>995</v>
      </c>
      <c r="E321" s="213" t="s">
        <v>146</v>
      </c>
      <c r="F321" s="213" t="s">
        <v>126</v>
      </c>
      <c r="G321" s="4">
        <v>3550.03</v>
      </c>
      <c r="H321" s="4">
        <v>31</v>
      </c>
      <c r="I321" s="4">
        <v>3567.06</v>
      </c>
      <c r="J321" s="4">
        <v>27</v>
      </c>
      <c r="K321" s="4">
        <v>1786.04</v>
      </c>
      <c r="L321" s="4">
        <v>14</v>
      </c>
      <c r="M321" s="4">
        <v>1908.04</v>
      </c>
      <c r="N321" s="4">
        <v>11</v>
      </c>
      <c r="O321" s="4">
        <v>0</v>
      </c>
      <c r="P321" s="4">
        <v>0</v>
      </c>
      <c r="Q321" s="4">
        <v>1004.01</v>
      </c>
      <c r="R321" s="4">
        <v>8</v>
      </c>
      <c r="S321" s="4">
        <v>5332.05</v>
      </c>
      <c r="T321" s="4">
        <v>25</v>
      </c>
      <c r="U321" s="4">
        <v>4131.09</v>
      </c>
      <c r="V321" s="4">
        <v>30</v>
      </c>
      <c r="W321" s="4">
        <v>2866.01</v>
      </c>
      <c r="X321" s="4">
        <v>19</v>
      </c>
      <c r="Y321" s="4">
        <v>2025.07</v>
      </c>
      <c r="Z321" s="4">
        <v>13</v>
      </c>
      <c r="AA321" s="4">
        <v>636.01</v>
      </c>
      <c r="AB321" s="4">
        <v>4</v>
      </c>
      <c r="AC321" s="4">
        <v>1130.02</v>
      </c>
      <c r="AD321" s="4">
        <v>4</v>
      </c>
      <c r="AE321" s="4">
        <v>0</v>
      </c>
      <c r="AF321" s="4">
        <v>0</v>
      </c>
      <c r="AG321" s="4">
        <v>966.06</v>
      </c>
      <c r="AH321" s="4">
        <v>7</v>
      </c>
      <c r="AI321" s="4">
        <v>922.01</v>
      </c>
      <c r="AJ321" s="4">
        <v>8</v>
      </c>
      <c r="AK321" s="4">
        <v>1998.03</v>
      </c>
      <c r="AL321" s="4">
        <v>13</v>
      </c>
      <c r="AM321" s="4">
        <v>799.03</v>
      </c>
      <c r="AN321" s="4">
        <v>5</v>
      </c>
      <c r="AO321" s="4">
        <v>515</v>
      </c>
      <c r="AP321" s="4">
        <v>5</v>
      </c>
      <c r="AQ321" s="4">
        <v>2752.03</v>
      </c>
      <c r="AR321" s="4">
        <v>19</v>
      </c>
      <c r="AS321" s="4">
        <v>994.01</v>
      </c>
      <c r="AT321" s="4">
        <v>5</v>
      </c>
      <c r="AU321" s="4">
        <v>0</v>
      </c>
      <c r="AV321" s="4">
        <v>0</v>
      </c>
      <c r="AW321" s="4">
        <v>1713</v>
      </c>
      <c r="AX321" s="4">
        <v>9</v>
      </c>
      <c r="AY321" s="4">
        <v>2462.84</v>
      </c>
      <c r="AZ321" s="4">
        <v>17</v>
      </c>
      <c r="BA321" s="4">
        <v>1449.89</v>
      </c>
      <c r="BB321" s="4">
        <v>8</v>
      </c>
      <c r="BC321" s="4">
        <v>496.96</v>
      </c>
      <c r="BD321" s="4">
        <v>3</v>
      </c>
      <c r="BE321" s="4">
        <v>0</v>
      </c>
      <c r="BF321" s="4">
        <v>0</v>
      </c>
      <c r="BQ321" s="3">
        <f t="shared" si="10"/>
        <v>43004.29</v>
      </c>
      <c r="BR321" s="3">
        <f t="shared" si="9"/>
        <v>285</v>
      </c>
    </row>
    <row r="322" spans="1:70" x14ac:dyDescent="0.25">
      <c r="A322" s="4" t="s">
        <v>2446</v>
      </c>
      <c r="B322" t="s">
        <v>73</v>
      </c>
      <c r="C322" s="338" t="s">
        <v>1905</v>
      </c>
      <c r="D322" s="213" t="s">
        <v>996</v>
      </c>
      <c r="E322" s="213" t="s">
        <v>146</v>
      </c>
      <c r="F322" s="213" t="s">
        <v>126</v>
      </c>
      <c r="G322" s="4">
        <v>4232.08</v>
      </c>
      <c r="H322" s="4">
        <v>23</v>
      </c>
      <c r="I322" s="4">
        <v>3377.07</v>
      </c>
      <c r="J322" s="4">
        <v>26</v>
      </c>
      <c r="K322" s="4">
        <v>2150.0300000000002</v>
      </c>
      <c r="L322" s="4">
        <v>14</v>
      </c>
      <c r="M322" s="4">
        <v>3632.06</v>
      </c>
      <c r="N322" s="4">
        <v>26</v>
      </c>
      <c r="O322" s="4">
        <v>2079.02</v>
      </c>
      <c r="P322" s="4">
        <v>13</v>
      </c>
      <c r="Q322" s="4">
        <v>0</v>
      </c>
      <c r="R322" s="4">
        <v>0</v>
      </c>
      <c r="S322" s="4">
        <v>2796.07</v>
      </c>
      <c r="T322" s="4">
        <v>14</v>
      </c>
      <c r="U322" s="4">
        <v>865.02</v>
      </c>
      <c r="V322" s="4">
        <v>5</v>
      </c>
      <c r="W322" s="4">
        <v>2732.05</v>
      </c>
      <c r="X322" s="4">
        <v>15</v>
      </c>
      <c r="Y322" s="4">
        <v>1735.01</v>
      </c>
      <c r="Z322" s="4">
        <v>8</v>
      </c>
      <c r="AA322" s="4">
        <v>741.02</v>
      </c>
      <c r="AB322" s="4">
        <v>6</v>
      </c>
      <c r="AC322" s="4">
        <v>1706.97</v>
      </c>
      <c r="AD322" s="4">
        <v>11</v>
      </c>
      <c r="AE322" s="4">
        <v>675.01</v>
      </c>
      <c r="AF322" s="4">
        <v>5</v>
      </c>
      <c r="AG322" s="4">
        <v>0</v>
      </c>
      <c r="AH322" s="4">
        <v>0</v>
      </c>
      <c r="AI322" s="4">
        <v>1229</v>
      </c>
      <c r="AJ322" s="4">
        <v>7</v>
      </c>
      <c r="AK322" s="4">
        <v>1514.02</v>
      </c>
      <c r="AL322" s="4">
        <v>12</v>
      </c>
      <c r="AM322" s="4">
        <v>2145.0500000000002</v>
      </c>
      <c r="AN322" s="4">
        <v>13</v>
      </c>
      <c r="AO322" s="4">
        <v>539.01</v>
      </c>
      <c r="AP322" s="4">
        <v>3</v>
      </c>
      <c r="AQ322" s="4">
        <v>0</v>
      </c>
      <c r="AR322" s="4">
        <v>0</v>
      </c>
      <c r="AS322" s="4">
        <v>1144.02</v>
      </c>
      <c r="AT322" s="4">
        <v>8</v>
      </c>
      <c r="AU322" s="4">
        <v>-0.01</v>
      </c>
      <c r="AV322" s="4">
        <v>2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1212.06</v>
      </c>
      <c r="BF322" s="4">
        <v>12</v>
      </c>
      <c r="BQ322" s="3">
        <f t="shared" si="10"/>
        <v>34504.55999999999</v>
      </c>
      <c r="BR322" s="3">
        <f t="shared" si="9"/>
        <v>223</v>
      </c>
    </row>
    <row r="323" spans="1:70" x14ac:dyDescent="0.25">
      <c r="A323" s="4" t="s">
        <v>2447</v>
      </c>
      <c r="B323" t="s">
        <v>73</v>
      </c>
      <c r="C323" s="338" t="s">
        <v>1906</v>
      </c>
      <c r="D323" s="213" t="s">
        <v>997</v>
      </c>
      <c r="E323" s="213" t="s">
        <v>146</v>
      </c>
      <c r="F323" s="213" t="s">
        <v>126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1300.03</v>
      </c>
      <c r="AF323" s="4">
        <v>8</v>
      </c>
      <c r="AG323" s="4">
        <v>1710.02</v>
      </c>
      <c r="AH323" s="4">
        <v>9</v>
      </c>
      <c r="AI323" s="4">
        <v>1124.99</v>
      </c>
      <c r="AJ323" s="4">
        <v>11</v>
      </c>
      <c r="AK323" s="4">
        <v>1988.06</v>
      </c>
      <c r="AL323" s="4">
        <v>12</v>
      </c>
      <c r="AM323" s="4">
        <v>1161.99</v>
      </c>
      <c r="AN323" s="4">
        <v>8</v>
      </c>
      <c r="AO323" s="4">
        <v>353</v>
      </c>
      <c r="AP323" s="4">
        <v>3</v>
      </c>
      <c r="AQ323" s="4">
        <v>1164</v>
      </c>
      <c r="AR323" s="4">
        <v>6</v>
      </c>
      <c r="AS323" s="4">
        <v>0</v>
      </c>
      <c r="AT323" s="4">
        <v>0</v>
      </c>
      <c r="AU323" s="4">
        <v>450</v>
      </c>
      <c r="AV323" s="4">
        <v>3</v>
      </c>
      <c r="AW323" s="4">
        <v>475.01</v>
      </c>
      <c r="AX323" s="4">
        <v>5</v>
      </c>
      <c r="AY323" s="4">
        <v>2435.86</v>
      </c>
      <c r="AZ323" s="4">
        <v>15</v>
      </c>
      <c r="BA323" s="4">
        <v>2580.84</v>
      </c>
      <c r="BB323" s="4">
        <v>18</v>
      </c>
      <c r="BC323" s="4">
        <v>1261.94</v>
      </c>
      <c r="BD323" s="4">
        <v>9</v>
      </c>
      <c r="BE323" s="4">
        <v>950.04</v>
      </c>
      <c r="BF323" s="4">
        <v>6</v>
      </c>
      <c r="BQ323" s="3">
        <f t="shared" si="10"/>
        <v>16955.780000000002</v>
      </c>
      <c r="BR323" s="3">
        <f t="shared" si="9"/>
        <v>113</v>
      </c>
    </row>
    <row r="324" spans="1:70" x14ac:dyDescent="0.25">
      <c r="A324" s="4" t="s">
        <v>2448</v>
      </c>
      <c r="B324" t="s">
        <v>73</v>
      </c>
      <c r="C324" s="338" t="s">
        <v>1828</v>
      </c>
      <c r="D324" s="213" t="s">
        <v>919</v>
      </c>
      <c r="E324" s="213" t="s">
        <v>146</v>
      </c>
      <c r="F324" s="213" t="s">
        <v>126</v>
      </c>
      <c r="G324" s="4">
        <v>0</v>
      </c>
      <c r="H324" s="4">
        <v>0</v>
      </c>
      <c r="I324" s="4">
        <v>0</v>
      </c>
      <c r="J324" s="4">
        <v>0</v>
      </c>
      <c r="K324" s="4">
        <v>2073.02</v>
      </c>
      <c r="L324" s="4">
        <v>11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Q324" s="3">
        <f t="shared" si="10"/>
        <v>2073.02</v>
      </c>
      <c r="BR324" s="3">
        <f t="shared" si="9"/>
        <v>11</v>
      </c>
    </row>
    <row r="325" spans="1:70" x14ac:dyDescent="0.25">
      <c r="A325" s="4" t="s">
        <v>2449</v>
      </c>
      <c r="B325" t="s">
        <v>73</v>
      </c>
      <c r="C325" s="338" t="s">
        <v>1832</v>
      </c>
      <c r="D325" s="213" t="s">
        <v>923</v>
      </c>
      <c r="E325" s="213" t="s">
        <v>146</v>
      </c>
      <c r="F325" s="213" t="s">
        <v>126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2322</v>
      </c>
      <c r="P325" s="4">
        <v>17</v>
      </c>
      <c r="Q325" s="4">
        <v>1323.02</v>
      </c>
      <c r="R325" s="4">
        <v>9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1719.04</v>
      </c>
      <c r="AV325" s="4">
        <v>9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Q325" s="3">
        <f t="shared" si="10"/>
        <v>5364.0599999999995</v>
      </c>
      <c r="BR325" s="3">
        <f t="shared" ref="BR325:BR388" si="11">H325+J325+L325+N325+P325+R325+T325+V325+X325+Z325+AB325+AD325+AF325+AH325+AJ325+AL325+AN325+AP325+AR325+AT325+AV325+AX325+AZ325+BB325+BD325+BF325</f>
        <v>35</v>
      </c>
    </row>
    <row r="326" spans="1:70" x14ac:dyDescent="0.25">
      <c r="A326" s="4" t="s">
        <v>2450</v>
      </c>
      <c r="B326" t="s">
        <v>73</v>
      </c>
      <c r="C326" s="338" t="s">
        <v>1907</v>
      </c>
      <c r="D326" s="213" t="s">
        <v>998</v>
      </c>
      <c r="E326" s="213" t="s">
        <v>146</v>
      </c>
      <c r="F326" s="213" t="s">
        <v>126</v>
      </c>
      <c r="G326" s="4">
        <v>1627.04</v>
      </c>
      <c r="H326" s="4">
        <v>15</v>
      </c>
      <c r="I326" s="4">
        <v>3132.08</v>
      </c>
      <c r="J326" s="4">
        <v>23</v>
      </c>
      <c r="K326" s="4">
        <v>1883.06</v>
      </c>
      <c r="L326" s="4">
        <v>13</v>
      </c>
      <c r="M326" s="4">
        <v>2155.0700000000002</v>
      </c>
      <c r="N326" s="4">
        <v>16</v>
      </c>
      <c r="O326" s="4">
        <v>2845.09</v>
      </c>
      <c r="P326" s="4">
        <v>13</v>
      </c>
      <c r="Q326" s="4">
        <v>1250.06</v>
      </c>
      <c r="R326" s="4">
        <v>9</v>
      </c>
      <c r="S326" s="4">
        <v>460.02</v>
      </c>
      <c r="T326" s="4">
        <v>2</v>
      </c>
      <c r="U326" s="4">
        <v>0</v>
      </c>
      <c r="V326" s="4">
        <v>0</v>
      </c>
      <c r="W326" s="4">
        <v>2176.08</v>
      </c>
      <c r="X326" s="4">
        <v>17</v>
      </c>
      <c r="Y326" s="4">
        <v>1387.02</v>
      </c>
      <c r="Z326" s="4">
        <v>11</v>
      </c>
      <c r="AA326" s="4">
        <v>1240</v>
      </c>
      <c r="AB326" s="4">
        <v>10</v>
      </c>
      <c r="AC326" s="4">
        <v>915.04</v>
      </c>
      <c r="AD326" s="4">
        <v>6</v>
      </c>
      <c r="AE326" s="4">
        <v>1174.07</v>
      </c>
      <c r="AF326" s="4">
        <v>8</v>
      </c>
      <c r="AG326" s="4">
        <v>1458.04</v>
      </c>
      <c r="AH326" s="4">
        <v>8</v>
      </c>
      <c r="AI326" s="4">
        <v>1188.02</v>
      </c>
      <c r="AJ326" s="4">
        <v>10</v>
      </c>
      <c r="AK326" s="4">
        <v>0</v>
      </c>
      <c r="AL326" s="4">
        <v>0</v>
      </c>
      <c r="AM326" s="4">
        <v>2894.01</v>
      </c>
      <c r="AN326" s="4">
        <v>19</v>
      </c>
      <c r="AO326" s="4">
        <v>472.01</v>
      </c>
      <c r="AP326" s="4">
        <v>4</v>
      </c>
      <c r="AQ326" s="4">
        <v>0</v>
      </c>
      <c r="AR326" s="4">
        <v>0</v>
      </c>
      <c r="AS326" s="4">
        <v>1188.03</v>
      </c>
      <c r="AT326" s="4">
        <v>8</v>
      </c>
      <c r="AU326" s="4">
        <v>898.99</v>
      </c>
      <c r="AV326" s="4">
        <v>7</v>
      </c>
      <c r="AW326" s="4">
        <v>1469.95</v>
      </c>
      <c r="AX326" s="4">
        <v>8</v>
      </c>
      <c r="AY326" s="4">
        <v>0</v>
      </c>
      <c r="AZ326" s="4">
        <v>0</v>
      </c>
      <c r="BA326" s="4">
        <v>1774.95</v>
      </c>
      <c r="BB326" s="4">
        <v>15</v>
      </c>
      <c r="BC326" s="4">
        <v>1104.94</v>
      </c>
      <c r="BD326" s="4">
        <v>7</v>
      </c>
      <c r="BE326" s="4">
        <v>2034.14</v>
      </c>
      <c r="BF326" s="4">
        <v>13</v>
      </c>
      <c r="BQ326" s="3">
        <f t="shared" ref="BQ326:BQ389" si="12">G326+I326+K326+M326+O326+Q326+S326+U326+W326+Y326+AA326+AC326+AE326+AG326+AI326+AK326+AM326+AO326+AQ326+AS326+AU326+AW326+AY326+BA326+BC326+BE326</f>
        <v>34727.710000000006</v>
      </c>
      <c r="BR326" s="3">
        <f t="shared" si="11"/>
        <v>242</v>
      </c>
    </row>
    <row r="327" spans="1:70" x14ac:dyDescent="0.25">
      <c r="A327" s="4" t="s">
        <v>2451</v>
      </c>
      <c r="B327" t="s">
        <v>74</v>
      </c>
      <c r="C327" s="338" t="s">
        <v>1908</v>
      </c>
      <c r="D327" s="213" t="s">
        <v>999</v>
      </c>
      <c r="E327" s="213" t="s">
        <v>157</v>
      </c>
      <c r="F327" s="213" t="s">
        <v>133</v>
      </c>
      <c r="G327" s="4">
        <v>2134.04</v>
      </c>
      <c r="H327" s="4">
        <v>16</v>
      </c>
      <c r="I327" s="4">
        <v>0</v>
      </c>
      <c r="J327" s="4">
        <v>0</v>
      </c>
      <c r="K327" s="4">
        <v>1511.01</v>
      </c>
      <c r="L327" s="4">
        <v>10</v>
      </c>
      <c r="M327" s="4">
        <v>2244.0300000000002</v>
      </c>
      <c r="N327" s="4">
        <v>18</v>
      </c>
      <c r="O327" s="4">
        <v>1827.05</v>
      </c>
      <c r="P327" s="4">
        <v>12</v>
      </c>
      <c r="Q327" s="4">
        <v>0</v>
      </c>
      <c r="R327" s="4">
        <v>0</v>
      </c>
      <c r="S327" s="4">
        <v>1514.02</v>
      </c>
      <c r="T327" s="4">
        <v>12</v>
      </c>
      <c r="U327" s="4">
        <v>0</v>
      </c>
      <c r="V327" s="4">
        <v>0</v>
      </c>
      <c r="W327" s="4">
        <v>2030.07</v>
      </c>
      <c r="X327" s="4">
        <v>15</v>
      </c>
      <c r="Y327" s="4">
        <v>1123.02</v>
      </c>
      <c r="Z327" s="4">
        <v>9</v>
      </c>
      <c r="AA327" s="4">
        <v>1092.03</v>
      </c>
      <c r="AB327" s="4">
        <v>9</v>
      </c>
      <c r="AC327" s="4">
        <v>0</v>
      </c>
      <c r="AD327" s="4">
        <v>0</v>
      </c>
      <c r="AE327" s="4">
        <v>637</v>
      </c>
      <c r="AF327" s="4">
        <v>5</v>
      </c>
      <c r="AG327" s="4">
        <v>1341.02</v>
      </c>
      <c r="AH327" s="4">
        <v>12</v>
      </c>
      <c r="AI327" s="4">
        <v>496.02</v>
      </c>
      <c r="AJ327" s="4">
        <v>6</v>
      </c>
      <c r="AK327" s="4">
        <v>1012</v>
      </c>
      <c r="AL327" s="4">
        <v>10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Q327" s="3">
        <f t="shared" si="12"/>
        <v>16961.310000000001</v>
      </c>
      <c r="BR327" s="3">
        <f t="shared" si="11"/>
        <v>134</v>
      </c>
    </row>
    <row r="328" spans="1:70" x14ac:dyDescent="0.25">
      <c r="A328" s="4" t="s">
        <v>2452</v>
      </c>
      <c r="B328" t="s">
        <v>74</v>
      </c>
      <c r="C328" s="338" t="s">
        <v>1909</v>
      </c>
      <c r="D328" s="213" t="s">
        <v>1000</v>
      </c>
      <c r="E328" s="213" t="s">
        <v>157</v>
      </c>
      <c r="F328" s="213" t="s">
        <v>133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748.01</v>
      </c>
      <c r="AD328" s="4">
        <v>6</v>
      </c>
      <c r="AE328" s="4">
        <v>971.03</v>
      </c>
      <c r="AF328" s="4">
        <v>6</v>
      </c>
      <c r="AG328" s="4">
        <v>1452</v>
      </c>
      <c r="AH328" s="4">
        <v>15</v>
      </c>
      <c r="AI328" s="4">
        <v>2035.04</v>
      </c>
      <c r="AJ328" s="4">
        <v>14</v>
      </c>
      <c r="AK328" s="4">
        <v>1748.02</v>
      </c>
      <c r="AL328" s="4">
        <v>15</v>
      </c>
      <c r="AM328" s="4">
        <v>450</v>
      </c>
      <c r="AN328" s="4">
        <v>2</v>
      </c>
      <c r="AO328" s="4">
        <v>2456.0500000000002</v>
      </c>
      <c r="AP328" s="4">
        <v>17</v>
      </c>
      <c r="AQ328" s="4">
        <v>374</v>
      </c>
      <c r="AR328" s="4">
        <v>3</v>
      </c>
      <c r="AS328" s="4">
        <v>1183.01</v>
      </c>
      <c r="AT328" s="4">
        <v>5</v>
      </c>
      <c r="AU328" s="4">
        <v>718</v>
      </c>
      <c r="AV328" s="4">
        <v>6</v>
      </c>
      <c r="AW328" s="4">
        <v>2299.0100000000002</v>
      </c>
      <c r="AX328" s="4">
        <v>6</v>
      </c>
      <c r="AY328" s="4">
        <v>0</v>
      </c>
      <c r="AZ328" s="4">
        <v>0</v>
      </c>
      <c r="BA328" s="4">
        <v>632.94000000000005</v>
      </c>
      <c r="BB328" s="4">
        <v>3</v>
      </c>
      <c r="BC328" s="4">
        <v>150</v>
      </c>
      <c r="BD328" s="4">
        <v>2</v>
      </c>
      <c r="BE328" s="4">
        <v>0</v>
      </c>
      <c r="BF328" s="4">
        <v>0</v>
      </c>
      <c r="BQ328" s="3">
        <f t="shared" si="12"/>
        <v>15217.110000000002</v>
      </c>
      <c r="BR328" s="3">
        <f t="shared" si="11"/>
        <v>100</v>
      </c>
    </row>
    <row r="329" spans="1:70" x14ac:dyDescent="0.25">
      <c r="A329" s="4" t="s">
        <v>2453</v>
      </c>
      <c r="B329" t="s">
        <v>74</v>
      </c>
      <c r="C329" s="338" t="s">
        <v>1910</v>
      </c>
      <c r="D329" s="213" t="s">
        <v>1001</v>
      </c>
      <c r="E329" s="213" t="s">
        <v>157</v>
      </c>
      <c r="F329" s="213" t="s">
        <v>133</v>
      </c>
      <c r="G329" s="4">
        <v>2821.07</v>
      </c>
      <c r="H329" s="4">
        <v>22</v>
      </c>
      <c r="I329" s="4">
        <v>1677.03</v>
      </c>
      <c r="J329" s="4">
        <v>13</v>
      </c>
      <c r="K329" s="4">
        <v>2574.0100000000002</v>
      </c>
      <c r="L329" s="4">
        <v>20</v>
      </c>
      <c r="M329" s="4">
        <v>487.01</v>
      </c>
      <c r="N329" s="4">
        <v>5</v>
      </c>
      <c r="O329" s="4">
        <v>849.02</v>
      </c>
      <c r="P329" s="4">
        <v>7</v>
      </c>
      <c r="Q329" s="4">
        <v>1065.03</v>
      </c>
      <c r="R329" s="4">
        <v>6</v>
      </c>
      <c r="S329" s="4">
        <v>1288.01</v>
      </c>
      <c r="T329" s="4">
        <v>10</v>
      </c>
      <c r="U329" s="4">
        <v>1587.08</v>
      </c>
      <c r="V329" s="4">
        <v>12</v>
      </c>
      <c r="W329" s="4">
        <v>0</v>
      </c>
      <c r="X329" s="4">
        <v>0</v>
      </c>
      <c r="Y329" s="4">
        <v>1008</v>
      </c>
      <c r="Z329" s="4">
        <v>4</v>
      </c>
      <c r="AA329" s="4">
        <v>0</v>
      </c>
      <c r="AB329" s="4">
        <v>0</v>
      </c>
      <c r="AC329" s="4">
        <v>300</v>
      </c>
      <c r="AD329" s="4">
        <v>3</v>
      </c>
      <c r="AE329" s="4">
        <v>799.03</v>
      </c>
      <c r="AF329" s="4">
        <v>5</v>
      </c>
      <c r="AG329" s="4">
        <v>944.01</v>
      </c>
      <c r="AH329" s="4">
        <v>7</v>
      </c>
      <c r="AI329" s="4">
        <v>809</v>
      </c>
      <c r="AJ329" s="4">
        <v>6</v>
      </c>
      <c r="AK329" s="4">
        <v>2221</v>
      </c>
      <c r="AL329" s="4">
        <v>16</v>
      </c>
      <c r="AM329" s="4">
        <v>600</v>
      </c>
      <c r="AN329" s="4">
        <v>4</v>
      </c>
      <c r="AO329" s="4">
        <v>0</v>
      </c>
      <c r="AP329" s="4">
        <v>0</v>
      </c>
      <c r="AQ329" s="4">
        <v>1752.01</v>
      </c>
      <c r="AR329" s="4">
        <v>14</v>
      </c>
      <c r="AS329" s="4">
        <v>1464.99</v>
      </c>
      <c r="AT329" s="4">
        <v>12</v>
      </c>
      <c r="AU329" s="4">
        <v>1359</v>
      </c>
      <c r="AV329" s="4">
        <v>13</v>
      </c>
      <c r="AW329" s="4">
        <v>2682.93</v>
      </c>
      <c r="AX329" s="4">
        <v>20</v>
      </c>
      <c r="AY329" s="4">
        <v>3198.9</v>
      </c>
      <c r="AZ329" s="4">
        <v>25</v>
      </c>
      <c r="BA329" s="4">
        <v>1922.98</v>
      </c>
      <c r="BB329" s="4">
        <v>16</v>
      </c>
      <c r="BC329" s="4">
        <v>1037.92</v>
      </c>
      <c r="BD329" s="4">
        <v>6</v>
      </c>
      <c r="BE329" s="4">
        <v>1034.08</v>
      </c>
      <c r="BF329" s="4">
        <v>6</v>
      </c>
      <c r="BQ329" s="3">
        <f t="shared" si="12"/>
        <v>33482.110000000008</v>
      </c>
      <c r="BR329" s="3">
        <f t="shared" si="11"/>
        <v>252</v>
      </c>
    </row>
    <row r="330" spans="1:70" x14ac:dyDescent="0.25">
      <c r="A330" s="4" t="s">
        <v>2454</v>
      </c>
      <c r="B330" t="s">
        <v>74</v>
      </c>
      <c r="C330" s="338" t="s">
        <v>1911</v>
      </c>
      <c r="D330" s="213" t="s">
        <v>1002</v>
      </c>
      <c r="E330" s="213" t="s">
        <v>157</v>
      </c>
      <c r="F330" s="213" t="s">
        <v>133</v>
      </c>
      <c r="G330" s="4">
        <v>1491.04</v>
      </c>
      <c r="H330" s="4">
        <v>12</v>
      </c>
      <c r="I330" s="4">
        <v>2840.05</v>
      </c>
      <c r="J330" s="4">
        <v>23</v>
      </c>
      <c r="K330" s="4">
        <v>0</v>
      </c>
      <c r="L330" s="4">
        <v>0</v>
      </c>
      <c r="M330" s="4">
        <v>0</v>
      </c>
      <c r="N330" s="4">
        <v>0</v>
      </c>
      <c r="O330" s="4">
        <v>1813.01</v>
      </c>
      <c r="P330" s="4">
        <v>11</v>
      </c>
      <c r="Q330" s="4">
        <v>975</v>
      </c>
      <c r="R330" s="4">
        <v>7</v>
      </c>
      <c r="S330" s="4">
        <v>1033.02</v>
      </c>
      <c r="T330" s="4">
        <v>6</v>
      </c>
      <c r="U330" s="4">
        <v>1769.05</v>
      </c>
      <c r="V330" s="4">
        <v>14</v>
      </c>
      <c r="W330" s="4">
        <v>1181</v>
      </c>
      <c r="X330" s="4">
        <v>8</v>
      </c>
      <c r="Y330" s="4">
        <v>1024.01</v>
      </c>
      <c r="Z330" s="4">
        <v>6</v>
      </c>
      <c r="AA330" s="4">
        <v>600</v>
      </c>
      <c r="AB330" s="4">
        <v>4</v>
      </c>
      <c r="AC330" s="4">
        <v>525</v>
      </c>
      <c r="AD330" s="4">
        <v>4</v>
      </c>
      <c r="AE330" s="4">
        <v>0</v>
      </c>
      <c r="AF330" s="4">
        <v>0</v>
      </c>
      <c r="AG330" s="4">
        <v>450</v>
      </c>
      <c r="AH330" s="4">
        <v>2</v>
      </c>
      <c r="AI330" s="4">
        <v>975</v>
      </c>
      <c r="AJ330" s="4">
        <v>7</v>
      </c>
      <c r="AK330" s="4">
        <v>497.99</v>
      </c>
      <c r="AL330" s="4">
        <v>4</v>
      </c>
      <c r="AM330" s="4">
        <v>279.01</v>
      </c>
      <c r="AN330" s="4">
        <v>2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75</v>
      </c>
      <c r="BF330" s="4">
        <v>1</v>
      </c>
      <c r="BQ330" s="3">
        <f t="shared" si="12"/>
        <v>15528.18</v>
      </c>
      <c r="BR330" s="3">
        <f t="shared" si="11"/>
        <v>111</v>
      </c>
    </row>
    <row r="331" spans="1:70" x14ac:dyDescent="0.25">
      <c r="A331" s="4" t="s">
        <v>2455</v>
      </c>
      <c r="B331" t="s">
        <v>74</v>
      </c>
      <c r="C331" s="338" t="s">
        <v>1912</v>
      </c>
      <c r="D331" s="213" t="s">
        <v>1003</v>
      </c>
      <c r="E331" s="213" t="s">
        <v>157</v>
      </c>
      <c r="F331" s="213" t="s">
        <v>133</v>
      </c>
      <c r="G331" s="4">
        <v>2942.07</v>
      </c>
      <c r="H331" s="4">
        <v>27</v>
      </c>
      <c r="I331" s="4">
        <v>3419.04</v>
      </c>
      <c r="J331" s="4">
        <v>32</v>
      </c>
      <c r="K331" s="4">
        <v>1764.04</v>
      </c>
      <c r="L331" s="4">
        <v>15</v>
      </c>
      <c r="M331" s="4">
        <v>2032.03</v>
      </c>
      <c r="N331" s="4">
        <v>17</v>
      </c>
      <c r="O331" s="4">
        <v>774</v>
      </c>
      <c r="P331" s="4">
        <v>6</v>
      </c>
      <c r="Q331" s="4">
        <v>1284.99</v>
      </c>
      <c r="R331" s="4">
        <v>9</v>
      </c>
      <c r="S331" s="4">
        <v>0</v>
      </c>
      <c r="T331" s="4">
        <v>0</v>
      </c>
      <c r="U331" s="4">
        <v>2129.06</v>
      </c>
      <c r="V331" s="4">
        <v>18</v>
      </c>
      <c r="W331" s="4">
        <v>1751</v>
      </c>
      <c r="X331" s="4">
        <v>15</v>
      </c>
      <c r="Y331" s="4">
        <v>596.05999999999995</v>
      </c>
      <c r="Z331" s="4">
        <v>6</v>
      </c>
      <c r="AA331" s="4">
        <v>697</v>
      </c>
      <c r="AB331" s="4">
        <v>3</v>
      </c>
      <c r="AC331" s="4">
        <v>985</v>
      </c>
      <c r="AD331" s="4">
        <v>8</v>
      </c>
      <c r="AE331" s="4">
        <v>734</v>
      </c>
      <c r="AF331" s="4">
        <v>7</v>
      </c>
      <c r="AG331" s="4">
        <v>0</v>
      </c>
      <c r="AH331" s="4">
        <v>0</v>
      </c>
      <c r="AI331" s="4">
        <v>1275</v>
      </c>
      <c r="AJ331" s="4">
        <v>10</v>
      </c>
      <c r="AK331" s="4">
        <v>1274.01</v>
      </c>
      <c r="AL331" s="4">
        <v>10</v>
      </c>
      <c r="AM331" s="4">
        <v>915.99</v>
      </c>
      <c r="AN331" s="4">
        <v>9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401.02</v>
      </c>
      <c r="BF331" s="4">
        <v>3</v>
      </c>
      <c r="BQ331" s="3">
        <f t="shared" si="12"/>
        <v>22974.31</v>
      </c>
      <c r="BR331" s="3">
        <f t="shared" si="11"/>
        <v>195</v>
      </c>
    </row>
    <row r="332" spans="1:70" x14ac:dyDescent="0.25">
      <c r="A332" s="4" t="s">
        <v>2456</v>
      </c>
      <c r="B332" t="s">
        <v>74</v>
      </c>
      <c r="C332" s="338" t="s">
        <v>1913</v>
      </c>
      <c r="D332" s="213" t="s">
        <v>1004</v>
      </c>
      <c r="E332" s="213" t="s">
        <v>157</v>
      </c>
      <c r="F332" s="213" t="s">
        <v>133</v>
      </c>
      <c r="G332" s="4">
        <v>2755.04</v>
      </c>
      <c r="H332" s="4">
        <v>29</v>
      </c>
      <c r="I332" s="4">
        <v>3936.11</v>
      </c>
      <c r="J332" s="4">
        <v>35</v>
      </c>
      <c r="K332" s="4">
        <v>2110.0300000000002</v>
      </c>
      <c r="L332" s="4">
        <v>19</v>
      </c>
      <c r="M332" s="4">
        <v>2641.05</v>
      </c>
      <c r="N332" s="4">
        <v>15</v>
      </c>
      <c r="O332" s="4">
        <v>0</v>
      </c>
      <c r="P332" s="4">
        <v>0</v>
      </c>
      <c r="Q332" s="4">
        <v>2039.03</v>
      </c>
      <c r="R332" s="4">
        <v>15</v>
      </c>
      <c r="S332" s="4">
        <v>1588.04</v>
      </c>
      <c r="T332" s="4">
        <v>10</v>
      </c>
      <c r="U332" s="4">
        <v>1484.02</v>
      </c>
      <c r="V332" s="4">
        <v>15</v>
      </c>
      <c r="W332" s="4">
        <v>2137.0300000000002</v>
      </c>
      <c r="X332" s="4">
        <v>14</v>
      </c>
      <c r="Y332" s="4">
        <v>600.02</v>
      </c>
      <c r="Z332" s="4">
        <v>5</v>
      </c>
      <c r="AA332" s="4">
        <v>899.99</v>
      </c>
      <c r="AB332" s="4">
        <v>5</v>
      </c>
      <c r="AC332" s="4">
        <v>450.02</v>
      </c>
      <c r="AD332" s="4">
        <v>4</v>
      </c>
      <c r="AE332" s="4">
        <v>346</v>
      </c>
      <c r="AF332" s="4">
        <v>3</v>
      </c>
      <c r="AG332" s="4">
        <v>429.01</v>
      </c>
      <c r="AH332" s="4">
        <v>4</v>
      </c>
      <c r="AI332" s="4">
        <v>869</v>
      </c>
      <c r="AJ332" s="4">
        <v>7</v>
      </c>
      <c r="AK332" s="4">
        <v>0</v>
      </c>
      <c r="AL332" s="4">
        <v>0</v>
      </c>
      <c r="AM332" s="4">
        <v>1132.01</v>
      </c>
      <c r="AN332" s="4">
        <v>6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2669.98</v>
      </c>
      <c r="AV332" s="4">
        <v>9</v>
      </c>
      <c r="AW332" s="4">
        <v>0</v>
      </c>
      <c r="AX332" s="4">
        <v>0</v>
      </c>
      <c r="AY332" s="4">
        <v>3054.9</v>
      </c>
      <c r="AZ332" s="4">
        <v>22</v>
      </c>
      <c r="BA332" s="4">
        <v>584.96</v>
      </c>
      <c r="BB332" s="4">
        <v>4</v>
      </c>
      <c r="BC332" s="4">
        <v>1267.92</v>
      </c>
      <c r="BD332" s="4">
        <v>7</v>
      </c>
      <c r="BE332" s="4">
        <v>816.05</v>
      </c>
      <c r="BF332" s="4">
        <v>6</v>
      </c>
      <c r="BQ332" s="3">
        <f t="shared" si="12"/>
        <v>31810.209999999995</v>
      </c>
      <c r="BR332" s="3">
        <f t="shared" si="11"/>
        <v>234</v>
      </c>
    </row>
    <row r="333" spans="1:70" x14ac:dyDescent="0.25">
      <c r="A333" s="4" t="s">
        <v>2457</v>
      </c>
      <c r="B333" t="s">
        <v>75</v>
      </c>
      <c r="C333" s="338" t="s">
        <v>1914</v>
      </c>
      <c r="D333" s="213" t="s">
        <v>1005</v>
      </c>
      <c r="E333" s="213" t="s">
        <v>150</v>
      </c>
      <c r="F333" s="213" t="s">
        <v>133</v>
      </c>
      <c r="G333" s="4">
        <v>2680.04</v>
      </c>
      <c r="H333" s="4">
        <v>21</v>
      </c>
      <c r="I333" s="4">
        <v>2863.07</v>
      </c>
      <c r="J333" s="4">
        <v>25</v>
      </c>
      <c r="K333" s="4">
        <v>772.03</v>
      </c>
      <c r="L333" s="4">
        <v>6</v>
      </c>
      <c r="M333" s="4">
        <v>1169.01</v>
      </c>
      <c r="N333" s="4">
        <v>10</v>
      </c>
      <c r="O333" s="4">
        <v>1594.05</v>
      </c>
      <c r="P333" s="4">
        <v>13</v>
      </c>
      <c r="Q333" s="4">
        <v>1174.99</v>
      </c>
      <c r="R333" s="4">
        <v>5</v>
      </c>
      <c r="S333" s="4">
        <v>0</v>
      </c>
      <c r="T333" s="4">
        <v>0</v>
      </c>
      <c r="U333" s="4">
        <v>1107.04</v>
      </c>
      <c r="V333" s="4">
        <v>11</v>
      </c>
      <c r="W333" s="4">
        <v>2047.04</v>
      </c>
      <c r="X333" s="4">
        <v>17</v>
      </c>
      <c r="Y333" s="4">
        <v>0</v>
      </c>
      <c r="Z333" s="4">
        <v>0</v>
      </c>
      <c r="AA333" s="4">
        <v>807.02</v>
      </c>
      <c r="AB333" s="4">
        <v>5</v>
      </c>
      <c r="AC333" s="4">
        <v>0</v>
      </c>
      <c r="AD333" s="4">
        <v>0</v>
      </c>
      <c r="AE333" s="4">
        <v>975</v>
      </c>
      <c r="AF333" s="4">
        <v>7</v>
      </c>
      <c r="AG333" s="4">
        <v>1403.01</v>
      </c>
      <c r="AH333" s="4">
        <v>9</v>
      </c>
      <c r="AI333" s="4">
        <v>1235.02</v>
      </c>
      <c r="AJ333" s="4">
        <v>12</v>
      </c>
      <c r="AK333" s="4">
        <v>1173.01</v>
      </c>
      <c r="AL333" s="4">
        <v>10</v>
      </c>
      <c r="AM333" s="4">
        <v>1198</v>
      </c>
      <c r="AN333" s="4">
        <v>7</v>
      </c>
      <c r="AO333" s="4">
        <v>300</v>
      </c>
      <c r="AP333" s="4">
        <v>2</v>
      </c>
      <c r="AQ333" s="4">
        <v>624</v>
      </c>
      <c r="AR333" s="4">
        <v>5</v>
      </c>
      <c r="AS333" s="4">
        <v>469.01</v>
      </c>
      <c r="AT333" s="4">
        <v>4</v>
      </c>
      <c r="AU333" s="4">
        <v>75</v>
      </c>
      <c r="AV333" s="4">
        <v>1</v>
      </c>
      <c r="AW333" s="4">
        <v>532.98</v>
      </c>
      <c r="AX333" s="4">
        <v>3</v>
      </c>
      <c r="AY333" s="4">
        <v>0</v>
      </c>
      <c r="AZ333" s="4">
        <v>0</v>
      </c>
      <c r="BA333" s="4">
        <v>75</v>
      </c>
      <c r="BB333" s="4">
        <v>1</v>
      </c>
      <c r="BC333" s="4">
        <v>1616.91</v>
      </c>
      <c r="BD333" s="4">
        <v>11</v>
      </c>
      <c r="BE333" s="4">
        <v>1504.1</v>
      </c>
      <c r="BF333" s="4">
        <v>9</v>
      </c>
      <c r="BQ333" s="3">
        <f t="shared" si="12"/>
        <v>25395.329999999994</v>
      </c>
      <c r="BR333" s="3">
        <f t="shared" si="11"/>
        <v>194</v>
      </c>
    </row>
    <row r="334" spans="1:70" x14ac:dyDescent="0.25">
      <c r="A334" s="4" t="s">
        <v>2458</v>
      </c>
      <c r="B334" t="s">
        <v>75</v>
      </c>
      <c r="C334" s="338" t="s">
        <v>1915</v>
      </c>
      <c r="D334" s="213" t="s">
        <v>1006</v>
      </c>
      <c r="E334" s="213" t="s">
        <v>150</v>
      </c>
      <c r="F334" s="213" t="s">
        <v>133</v>
      </c>
      <c r="G334" s="4">
        <v>2680.08</v>
      </c>
      <c r="H334" s="4">
        <v>21</v>
      </c>
      <c r="I334" s="4">
        <v>2148.0300000000002</v>
      </c>
      <c r="J334" s="4">
        <v>17</v>
      </c>
      <c r="K334" s="4">
        <v>421</v>
      </c>
      <c r="L334" s="4">
        <v>4</v>
      </c>
      <c r="M334" s="4">
        <v>2205</v>
      </c>
      <c r="N334" s="4">
        <v>12</v>
      </c>
      <c r="O334" s="4">
        <v>1068.98</v>
      </c>
      <c r="P334" s="4">
        <v>5</v>
      </c>
      <c r="Q334" s="4">
        <v>0</v>
      </c>
      <c r="R334" s="4">
        <v>0</v>
      </c>
      <c r="S334" s="4">
        <v>1267.04</v>
      </c>
      <c r="T334" s="4">
        <v>10</v>
      </c>
      <c r="U334" s="4">
        <v>434.01</v>
      </c>
      <c r="V334" s="4">
        <v>2</v>
      </c>
      <c r="W334" s="4">
        <v>1802.03</v>
      </c>
      <c r="X334" s="4">
        <v>13</v>
      </c>
      <c r="Y334" s="4">
        <v>679.05</v>
      </c>
      <c r="Z334" s="4">
        <v>5</v>
      </c>
      <c r="AA334" s="4">
        <v>1264.03</v>
      </c>
      <c r="AB334" s="4">
        <v>7</v>
      </c>
      <c r="AC334" s="4">
        <v>149.01</v>
      </c>
      <c r="AD334" s="4">
        <v>2</v>
      </c>
      <c r="AE334" s="4">
        <v>1090.02</v>
      </c>
      <c r="AF334" s="4">
        <v>7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600</v>
      </c>
      <c r="AP334" s="4">
        <v>3</v>
      </c>
      <c r="AQ334" s="4">
        <v>0</v>
      </c>
      <c r="AR334" s="4">
        <v>0</v>
      </c>
      <c r="AS334" s="4">
        <v>550</v>
      </c>
      <c r="AT334" s="4">
        <v>3</v>
      </c>
      <c r="AU334" s="4">
        <v>675</v>
      </c>
      <c r="AV334" s="4">
        <v>4</v>
      </c>
      <c r="AW334" s="4">
        <v>867.95</v>
      </c>
      <c r="AX334" s="4">
        <v>6</v>
      </c>
      <c r="AY334" s="4">
        <v>421.96</v>
      </c>
      <c r="AZ334" s="4">
        <v>2</v>
      </c>
      <c r="BA334" s="4">
        <v>1108.94</v>
      </c>
      <c r="BB334" s="4">
        <v>8</v>
      </c>
      <c r="BC334" s="4">
        <v>642.97</v>
      </c>
      <c r="BD334" s="4">
        <v>3</v>
      </c>
      <c r="BE334" s="4">
        <v>0</v>
      </c>
      <c r="BF334" s="4">
        <v>0</v>
      </c>
      <c r="BQ334" s="3">
        <f t="shared" si="12"/>
        <v>20075.100000000002</v>
      </c>
      <c r="BR334" s="3">
        <f t="shared" si="11"/>
        <v>134</v>
      </c>
    </row>
    <row r="335" spans="1:70" x14ac:dyDescent="0.25">
      <c r="A335" s="4" t="s">
        <v>2459</v>
      </c>
      <c r="B335" t="s">
        <v>75</v>
      </c>
      <c r="C335" s="338" t="s">
        <v>1916</v>
      </c>
      <c r="D335" s="213" t="s">
        <v>1007</v>
      </c>
      <c r="E335" s="213" t="s">
        <v>150</v>
      </c>
      <c r="F335" s="213" t="s">
        <v>133</v>
      </c>
      <c r="G335" s="4">
        <v>3618.07</v>
      </c>
      <c r="H335" s="4">
        <v>26</v>
      </c>
      <c r="I335" s="4">
        <v>1889.03</v>
      </c>
      <c r="J335" s="4">
        <v>15</v>
      </c>
      <c r="K335" s="4">
        <v>892.01</v>
      </c>
      <c r="L335" s="4">
        <v>7</v>
      </c>
      <c r="M335" s="4">
        <v>1774.06</v>
      </c>
      <c r="N335" s="4">
        <v>10</v>
      </c>
      <c r="O335" s="4">
        <v>1074.03</v>
      </c>
      <c r="P335" s="4">
        <v>6</v>
      </c>
      <c r="Q335" s="4">
        <v>512.03</v>
      </c>
      <c r="R335" s="4">
        <v>4</v>
      </c>
      <c r="S335" s="4">
        <v>1982.02</v>
      </c>
      <c r="T335" s="4">
        <v>12</v>
      </c>
      <c r="U335" s="4">
        <v>711.99</v>
      </c>
      <c r="V335" s="4">
        <v>5</v>
      </c>
      <c r="W335" s="4">
        <v>0</v>
      </c>
      <c r="X335" s="4">
        <v>0</v>
      </c>
      <c r="Y335" s="4">
        <v>600</v>
      </c>
      <c r="Z335" s="4">
        <v>4</v>
      </c>
      <c r="AA335" s="4">
        <v>0</v>
      </c>
      <c r="AB335" s="4">
        <v>0</v>
      </c>
      <c r="AC335" s="4">
        <v>774.03</v>
      </c>
      <c r="AD335" s="4">
        <v>5</v>
      </c>
      <c r="AE335" s="4">
        <v>735</v>
      </c>
      <c r="AF335" s="4">
        <v>5</v>
      </c>
      <c r="AG335" s="4">
        <v>1260.03</v>
      </c>
      <c r="AH335" s="4">
        <v>10</v>
      </c>
      <c r="AI335" s="4">
        <v>1550</v>
      </c>
      <c r="AJ335" s="4">
        <v>10</v>
      </c>
      <c r="AK335" s="4">
        <v>1378</v>
      </c>
      <c r="AL335" s="4">
        <v>12</v>
      </c>
      <c r="AM335" s="4">
        <v>1114</v>
      </c>
      <c r="AN335" s="4">
        <v>7</v>
      </c>
      <c r="AO335" s="4">
        <v>1677</v>
      </c>
      <c r="AP335" s="4">
        <v>12</v>
      </c>
      <c r="AQ335" s="4">
        <v>1146.01</v>
      </c>
      <c r="AR335" s="4">
        <v>6</v>
      </c>
      <c r="AS335" s="4">
        <v>150</v>
      </c>
      <c r="AT335" s="4">
        <v>1</v>
      </c>
      <c r="AU335" s="4">
        <v>0</v>
      </c>
      <c r="AV335" s="4">
        <v>0</v>
      </c>
      <c r="AW335" s="4">
        <v>581.01</v>
      </c>
      <c r="AX335" s="4">
        <v>5</v>
      </c>
      <c r="AY335" s="4">
        <v>1218</v>
      </c>
      <c r="AZ335" s="4">
        <v>8</v>
      </c>
      <c r="BA335" s="4">
        <v>0</v>
      </c>
      <c r="BB335" s="4">
        <v>0</v>
      </c>
      <c r="BC335" s="4">
        <v>0</v>
      </c>
      <c r="BD335" s="4">
        <v>0</v>
      </c>
      <c r="BE335" s="4">
        <v>506.03</v>
      </c>
      <c r="BF335" s="4">
        <v>3</v>
      </c>
      <c r="BQ335" s="3">
        <f t="shared" si="12"/>
        <v>25142.35</v>
      </c>
      <c r="BR335" s="3">
        <f t="shared" si="11"/>
        <v>173</v>
      </c>
    </row>
    <row r="336" spans="1:70" x14ac:dyDescent="0.25">
      <c r="A336" s="4" t="s">
        <v>2460</v>
      </c>
      <c r="B336" t="s">
        <v>75</v>
      </c>
      <c r="C336" s="338" t="s">
        <v>1917</v>
      </c>
      <c r="D336" s="213" t="s">
        <v>1008</v>
      </c>
      <c r="E336" s="213" t="s">
        <v>150</v>
      </c>
      <c r="F336" s="213" t="s">
        <v>133</v>
      </c>
      <c r="G336" s="4">
        <v>1233.03</v>
      </c>
      <c r="H336" s="4">
        <v>11</v>
      </c>
      <c r="I336" s="4">
        <v>2431.0700000000002</v>
      </c>
      <c r="J336" s="4">
        <v>18</v>
      </c>
      <c r="K336" s="4">
        <v>1214.99</v>
      </c>
      <c r="L336" s="4">
        <v>4</v>
      </c>
      <c r="M336" s="4">
        <v>0</v>
      </c>
      <c r="N336" s="4">
        <v>0</v>
      </c>
      <c r="O336" s="4">
        <v>1758.01</v>
      </c>
      <c r="P336" s="4">
        <v>11</v>
      </c>
      <c r="Q336" s="4">
        <v>988.02</v>
      </c>
      <c r="R336" s="4">
        <v>6</v>
      </c>
      <c r="S336" s="4">
        <v>1369.03</v>
      </c>
      <c r="T336" s="4">
        <v>11</v>
      </c>
      <c r="U336" s="4">
        <v>1074.02</v>
      </c>
      <c r="V336" s="4">
        <v>6</v>
      </c>
      <c r="W336" s="4">
        <v>1038.01</v>
      </c>
      <c r="X336" s="4">
        <v>8</v>
      </c>
      <c r="Y336" s="4">
        <v>1130.04</v>
      </c>
      <c r="Z336" s="4">
        <v>11</v>
      </c>
      <c r="AA336" s="4">
        <v>1597.01</v>
      </c>
      <c r="AB336" s="4">
        <v>11</v>
      </c>
      <c r="AC336" s="4">
        <v>799.03</v>
      </c>
      <c r="AD336" s="4">
        <v>5</v>
      </c>
      <c r="AE336" s="4">
        <v>0</v>
      </c>
      <c r="AF336" s="4">
        <v>0</v>
      </c>
      <c r="AG336" s="4">
        <v>400.01</v>
      </c>
      <c r="AH336" s="4">
        <v>4</v>
      </c>
      <c r="AI336" s="4">
        <v>613.02</v>
      </c>
      <c r="AJ336" s="4">
        <v>5</v>
      </c>
      <c r="AK336" s="4">
        <v>637.01</v>
      </c>
      <c r="AL336" s="4">
        <v>6</v>
      </c>
      <c r="AM336" s="4">
        <v>1689.03</v>
      </c>
      <c r="AN336" s="4">
        <v>8</v>
      </c>
      <c r="AO336" s="4">
        <v>0</v>
      </c>
      <c r="AP336" s="4">
        <v>0</v>
      </c>
      <c r="AQ336" s="4">
        <v>555</v>
      </c>
      <c r="AR336" s="4">
        <v>5</v>
      </c>
      <c r="AS336" s="4">
        <v>1354</v>
      </c>
      <c r="AT336" s="4">
        <v>7</v>
      </c>
      <c r="AU336" s="4">
        <v>521</v>
      </c>
      <c r="AV336" s="4">
        <v>5</v>
      </c>
      <c r="AW336" s="4">
        <v>818.95</v>
      </c>
      <c r="AX336" s="4">
        <v>4</v>
      </c>
      <c r="AY336" s="4">
        <v>1512.92</v>
      </c>
      <c r="AZ336" s="4">
        <v>9</v>
      </c>
      <c r="BA336" s="4">
        <v>2392.85</v>
      </c>
      <c r="BB336" s="4">
        <v>13</v>
      </c>
      <c r="BC336" s="4">
        <v>0</v>
      </c>
      <c r="BD336" s="4">
        <v>0</v>
      </c>
      <c r="BE336" s="4">
        <v>0</v>
      </c>
      <c r="BF336" s="4">
        <v>0</v>
      </c>
      <c r="BQ336" s="3">
        <f t="shared" si="12"/>
        <v>25126.050000000003</v>
      </c>
      <c r="BR336" s="3">
        <f t="shared" si="11"/>
        <v>168</v>
      </c>
    </row>
    <row r="337" spans="1:70" x14ac:dyDescent="0.25">
      <c r="A337" s="4" t="s">
        <v>2461</v>
      </c>
      <c r="B337" t="s">
        <v>76</v>
      </c>
      <c r="C337" s="338" t="s">
        <v>1918</v>
      </c>
      <c r="D337" s="213" t="s">
        <v>1009</v>
      </c>
      <c r="E337" s="213" t="s">
        <v>138</v>
      </c>
      <c r="F337" s="213" t="s">
        <v>128</v>
      </c>
      <c r="G337" s="4">
        <v>2663.02</v>
      </c>
      <c r="H337" s="4">
        <v>24</v>
      </c>
      <c r="I337" s="4">
        <v>4080.05</v>
      </c>
      <c r="J337" s="4">
        <v>33</v>
      </c>
      <c r="K337" s="4">
        <v>3676.09</v>
      </c>
      <c r="L337" s="4">
        <v>33</v>
      </c>
      <c r="M337" s="4">
        <v>1262.01</v>
      </c>
      <c r="N337" s="4">
        <v>11</v>
      </c>
      <c r="O337" s="4">
        <v>0</v>
      </c>
      <c r="P337" s="4">
        <v>0</v>
      </c>
      <c r="Q337" s="4">
        <v>562.02</v>
      </c>
      <c r="R337" s="4">
        <v>5</v>
      </c>
      <c r="S337" s="4">
        <v>3761.14</v>
      </c>
      <c r="T337" s="4">
        <v>27</v>
      </c>
      <c r="U337" s="4">
        <v>2381</v>
      </c>
      <c r="V337" s="4">
        <v>18</v>
      </c>
      <c r="W337" s="4">
        <v>4114.0600000000004</v>
      </c>
      <c r="X337" s="4">
        <v>33</v>
      </c>
      <c r="Y337" s="4">
        <v>1450.04</v>
      </c>
      <c r="Z337" s="4">
        <v>11</v>
      </c>
      <c r="AA337" s="4">
        <v>775.02</v>
      </c>
      <c r="AB337" s="4">
        <v>6</v>
      </c>
      <c r="AC337" s="4">
        <v>2546.0700000000002</v>
      </c>
      <c r="AD337" s="4">
        <v>22</v>
      </c>
      <c r="AE337" s="4">
        <v>0</v>
      </c>
      <c r="AF337" s="4">
        <v>0</v>
      </c>
      <c r="AG337" s="4">
        <v>637</v>
      </c>
      <c r="AH337" s="4">
        <v>7</v>
      </c>
      <c r="AI337" s="4">
        <v>2132.0300000000002</v>
      </c>
      <c r="AJ337" s="4">
        <v>20</v>
      </c>
      <c r="AK337" s="4">
        <v>2708</v>
      </c>
      <c r="AL337" s="4">
        <v>24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320.98</v>
      </c>
      <c r="AX337" s="4">
        <v>5</v>
      </c>
      <c r="AY337" s="4">
        <v>749.96</v>
      </c>
      <c r="AZ337" s="4">
        <v>7</v>
      </c>
      <c r="BA337" s="4">
        <v>610.01</v>
      </c>
      <c r="BB337" s="4">
        <v>6</v>
      </c>
      <c r="BC337" s="4">
        <v>1218.94</v>
      </c>
      <c r="BD337" s="4">
        <v>10</v>
      </c>
      <c r="BE337" s="4">
        <v>0</v>
      </c>
      <c r="BF337" s="4">
        <v>0</v>
      </c>
      <c r="BQ337" s="3">
        <f t="shared" si="12"/>
        <v>35647.44000000001</v>
      </c>
      <c r="BR337" s="3">
        <f t="shared" si="11"/>
        <v>302</v>
      </c>
    </row>
    <row r="338" spans="1:70" x14ac:dyDescent="0.25">
      <c r="A338" s="4" t="s">
        <v>2462</v>
      </c>
      <c r="B338" t="s">
        <v>76</v>
      </c>
      <c r="C338" s="338" t="s">
        <v>1919</v>
      </c>
      <c r="D338" s="213" t="s">
        <v>1010</v>
      </c>
      <c r="E338" s="213" t="s">
        <v>138</v>
      </c>
      <c r="F338" s="213" t="s">
        <v>128</v>
      </c>
      <c r="G338" s="4">
        <v>1404.03</v>
      </c>
      <c r="H338" s="4">
        <v>14</v>
      </c>
      <c r="I338" s="4">
        <v>0</v>
      </c>
      <c r="J338" s="4">
        <v>0</v>
      </c>
      <c r="K338" s="4">
        <v>823.02</v>
      </c>
      <c r="L338" s="4">
        <v>8</v>
      </c>
      <c r="M338" s="4">
        <v>934.04</v>
      </c>
      <c r="N338" s="4">
        <v>6</v>
      </c>
      <c r="O338" s="4">
        <v>547.02</v>
      </c>
      <c r="P338" s="4">
        <v>7</v>
      </c>
      <c r="Q338" s="4">
        <v>1188.02</v>
      </c>
      <c r="R338" s="4">
        <v>8</v>
      </c>
      <c r="S338" s="4">
        <v>1202.05</v>
      </c>
      <c r="T338" s="4">
        <v>10</v>
      </c>
      <c r="U338" s="4">
        <v>689.03</v>
      </c>
      <c r="V338" s="4">
        <v>4</v>
      </c>
      <c r="W338" s="4">
        <v>0</v>
      </c>
      <c r="X338" s="4">
        <v>0</v>
      </c>
      <c r="Y338" s="4">
        <v>1001</v>
      </c>
      <c r="Z338" s="4">
        <v>9</v>
      </c>
      <c r="AA338" s="4">
        <v>675</v>
      </c>
      <c r="AB338" s="4">
        <v>5</v>
      </c>
      <c r="AC338" s="4">
        <v>450.01</v>
      </c>
      <c r="AD338" s="4">
        <v>3</v>
      </c>
      <c r="AE338" s="4">
        <v>622.01</v>
      </c>
      <c r="AF338" s="4">
        <v>4</v>
      </c>
      <c r="AG338" s="4">
        <v>803.03</v>
      </c>
      <c r="AH338" s="4">
        <v>6</v>
      </c>
      <c r="AI338" s="4">
        <v>598.01</v>
      </c>
      <c r="AJ338" s="4">
        <v>4</v>
      </c>
      <c r="AK338" s="4">
        <v>0</v>
      </c>
      <c r="AL338" s="4">
        <v>0</v>
      </c>
      <c r="AM338" s="4">
        <v>1072.03</v>
      </c>
      <c r="AN338" s="4">
        <v>8</v>
      </c>
      <c r="AO338" s="4">
        <v>940.02</v>
      </c>
      <c r="AP338" s="4">
        <v>4</v>
      </c>
      <c r="AQ338" s="4">
        <v>25</v>
      </c>
      <c r="AR338" s="4">
        <v>1</v>
      </c>
      <c r="AS338" s="4">
        <v>415</v>
      </c>
      <c r="AT338" s="4">
        <v>3</v>
      </c>
      <c r="AU338" s="4">
        <v>1023.99</v>
      </c>
      <c r="AV338" s="4">
        <v>7</v>
      </c>
      <c r="AW338" s="4">
        <v>652</v>
      </c>
      <c r="AX338" s="4">
        <v>4</v>
      </c>
      <c r="AY338" s="4">
        <v>0</v>
      </c>
      <c r="AZ338" s="4">
        <v>0</v>
      </c>
      <c r="BA338" s="4">
        <v>1093.99</v>
      </c>
      <c r="BB338" s="4">
        <v>12</v>
      </c>
      <c r="BC338" s="4">
        <v>2182.9299999999998</v>
      </c>
      <c r="BD338" s="4">
        <v>16</v>
      </c>
      <c r="BE338" s="4">
        <v>833.05</v>
      </c>
      <c r="BF338" s="4">
        <v>6</v>
      </c>
      <c r="BQ338" s="3">
        <f t="shared" si="12"/>
        <v>19174.28</v>
      </c>
      <c r="BR338" s="3">
        <f t="shared" si="11"/>
        <v>149</v>
      </c>
    </row>
    <row r="339" spans="1:70" x14ac:dyDescent="0.25">
      <c r="A339" s="4" t="s">
        <v>2463</v>
      </c>
      <c r="B339" t="s">
        <v>76</v>
      </c>
      <c r="C339" s="338" t="s">
        <v>1920</v>
      </c>
      <c r="D339" s="213" t="s">
        <v>1011</v>
      </c>
      <c r="E339" s="213" t="s">
        <v>138</v>
      </c>
      <c r="F339" s="213" t="s">
        <v>128</v>
      </c>
      <c r="G339" s="4">
        <v>2666.04</v>
      </c>
      <c r="H339" s="4">
        <v>27</v>
      </c>
      <c r="I339" s="4">
        <v>4623</v>
      </c>
      <c r="J339" s="4">
        <v>45</v>
      </c>
      <c r="K339" s="4">
        <v>0</v>
      </c>
      <c r="L339" s="4">
        <v>0</v>
      </c>
      <c r="M339" s="4">
        <v>1961.05</v>
      </c>
      <c r="N339" s="4">
        <v>17</v>
      </c>
      <c r="O339" s="4">
        <v>3468.1</v>
      </c>
      <c r="P339" s="4">
        <v>27</v>
      </c>
      <c r="Q339" s="4">
        <v>1575.04</v>
      </c>
      <c r="R339" s="4">
        <v>13</v>
      </c>
      <c r="S339" s="4">
        <v>0</v>
      </c>
      <c r="T339" s="4">
        <v>0</v>
      </c>
      <c r="U339" s="4">
        <v>1769.04</v>
      </c>
      <c r="V339" s="4">
        <v>15</v>
      </c>
      <c r="W339" s="4">
        <v>5408.23</v>
      </c>
      <c r="X339" s="4">
        <v>46</v>
      </c>
      <c r="Y339" s="4">
        <v>2626.06</v>
      </c>
      <c r="Z339" s="4">
        <v>23</v>
      </c>
      <c r="AA339" s="4">
        <v>2719.02</v>
      </c>
      <c r="AB339" s="4">
        <v>15</v>
      </c>
      <c r="AC339" s="4">
        <v>0</v>
      </c>
      <c r="AD339" s="4">
        <v>0</v>
      </c>
      <c r="AE339" s="4">
        <v>2209.0500000000002</v>
      </c>
      <c r="AF339" s="4">
        <v>17</v>
      </c>
      <c r="AG339" s="4">
        <v>3120.12</v>
      </c>
      <c r="AH339" s="4">
        <v>23</v>
      </c>
      <c r="AI339" s="4">
        <v>1436.03</v>
      </c>
      <c r="AJ339" s="4">
        <v>16</v>
      </c>
      <c r="AK339" s="4">
        <v>2827</v>
      </c>
      <c r="AL339" s="4">
        <v>31</v>
      </c>
      <c r="AM339" s="4">
        <v>2208.04</v>
      </c>
      <c r="AN339" s="4">
        <v>19</v>
      </c>
      <c r="AO339" s="4">
        <v>450.02</v>
      </c>
      <c r="AP339" s="4">
        <v>3</v>
      </c>
      <c r="AQ339" s="4">
        <v>0</v>
      </c>
      <c r="AR339" s="4">
        <v>0</v>
      </c>
      <c r="AS339" s="4">
        <v>1093.01</v>
      </c>
      <c r="AT339" s="4">
        <v>10</v>
      </c>
      <c r="AU339" s="4">
        <v>1762.01</v>
      </c>
      <c r="AV339" s="4">
        <v>16</v>
      </c>
      <c r="AW339" s="4">
        <v>2137.91</v>
      </c>
      <c r="AX339" s="4">
        <v>15</v>
      </c>
      <c r="AY339" s="4">
        <v>1268.96</v>
      </c>
      <c r="AZ339" s="4">
        <v>11</v>
      </c>
      <c r="BA339" s="4">
        <v>1335.93</v>
      </c>
      <c r="BB339" s="4">
        <v>12</v>
      </c>
      <c r="BC339" s="4">
        <v>0</v>
      </c>
      <c r="BD339" s="4">
        <v>0</v>
      </c>
      <c r="BE339" s="4">
        <v>1322.07</v>
      </c>
      <c r="BF339" s="4">
        <v>11</v>
      </c>
      <c r="BQ339" s="3">
        <f t="shared" si="12"/>
        <v>47985.73</v>
      </c>
      <c r="BR339" s="3">
        <f t="shared" si="11"/>
        <v>412</v>
      </c>
    </row>
    <row r="340" spans="1:70" x14ac:dyDescent="0.25">
      <c r="A340" s="4" t="s">
        <v>2464</v>
      </c>
      <c r="B340" t="s">
        <v>77</v>
      </c>
      <c r="C340" s="338" t="s">
        <v>1921</v>
      </c>
      <c r="D340" s="213" t="s">
        <v>1012</v>
      </c>
      <c r="E340" s="213" t="s">
        <v>160</v>
      </c>
      <c r="F340" s="213" t="s">
        <v>133</v>
      </c>
      <c r="G340" s="4">
        <v>0</v>
      </c>
      <c r="H340" s="4">
        <v>0</v>
      </c>
      <c r="I340" s="4">
        <v>2374.08</v>
      </c>
      <c r="J340" s="4">
        <v>10</v>
      </c>
      <c r="K340" s="4">
        <v>392.02</v>
      </c>
      <c r="L340" s="4">
        <v>1</v>
      </c>
      <c r="M340" s="4">
        <v>450</v>
      </c>
      <c r="N340" s="4">
        <v>3</v>
      </c>
      <c r="O340" s="4">
        <v>818.05</v>
      </c>
      <c r="P340" s="4">
        <v>6</v>
      </c>
      <c r="Q340" s="4">
        <v>175</v>
      </c>
      <c r="R340" s="4">
        <v>1</v>
      </c>
      <c r="S340" s="4">
        <v>0</v>
      </c>
      <c r="T340" s="4">
        <v>0</v>
      </c>
      <c r="U340" s="4">
        <v>150</v>
      </c>
      <c r="V340" s="4">
        <v>1</v>
      </c>
      <c r="W340" s="4">
        <v>474</v>
      </c>
      <c r="X340" s="4">
        <v>4</v>
      </c>
      <c r="Y340" s="4">
        <v>300.01</v>
      </c>
      <c r="Z340" s="4">
        <v>2</v>
      </c>
      <c r="AA340" s="4">
        <v>0</v>
      </c>
      <c r="AB340" s="4">
        <v>0</v>
      </c>
      <c r="AC340" s="4">
        <v>1074.02</v>
      </c>
      <c r="AD340" s="4">
        <v>7</v>
      </c>
      <c r="AE340" s="4">
        <v>1669.04</v>
      </c>
      <c r="AF340" s="4">
        <v>13</v>
      </c>
      <c r="AG340" s="4">
        <v>0</v>
      </c>
      <c r="AH340" s="4">
        <v>0</v>
      </c>
      <c r="AI340" s="4">
        <v>300</v>
      </c>
      <c r="AJ340" s="4">
        <v>2</v>
      </c>
      <c r="AK340" s="4">
        <v>0</v>
      </c>
      <c r="AL340" s="4">
        <v>0</v>
      </c>
      <c r="AM340" s="4">
        <v>150.01</v>
      </c>
      <c r="AN340" s="4">
        <v>1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211.02</v>
      </c>
      <c r="BF340" s="4">
        <v>1</v>
      </c>
      <c r="BQ340" s="3">
        <f t="shared" si="12"/>
        <v>8537.25</v>
      </c>
      <c r="BR340" s="3">
        <f t="shared" si="11"/>
        <v>52</v>
      </c>
    </row>
    <row r="341" spans="1:70" x14ac:dyDescent="0.25">
      <c r="A341" s="4" t="s">
        <v>2465</v>
      </c>
      <c r="B341" t="s">
        <v>77</v>
      </c>
      <c r="C341" s="338" t="s">
        <v>1922</v>
      </c>
      <c r="D341" s="213" t="s">
        <v>1013</v>
      </c>
      <c r="E341" s="213" t="s">
        <v>160</v>
      </c>
      <c r="F341" s="213" t="s">
        <v>133</v>
      </c>
      <c r="G341" s="4">
        <v>2624.05</v>
      </c>
      <c r="H341" s="4">
        <v>18</v>
      </c>
      <c r="I341" s="4">
        <v>3150.08</v>
      </c>
      <c r="J341" s="4">
        <v>17</v>
      </c>
      <c r="K341" s="4">
        <v>1900</v>
      </c>
      <c r="L341" s="4">
        <v>9</v>
      </c>
      <c r="M341" s="4">
        <v>421.01</v>
      </c>
      <c r="N341" s="4">
        <v>3</v>
      </c>
      <c r="O341" s="4">
        <v>1338.01</v>
      </c>
      <c r="P341" s="4">
        <v>6</v>
      </c>
      <c r="Q341" s="4">
        <v>990.01</v>
      </c>
      <c r="R341" s="4">
        <v>5</v>
      </c>
      <c r="S341" s="4">
        <v>150</v>
      </c>
      <c r="T341" s="4">
        <v>1</v>
      </c>
      <c r="U341" s="4">
        <v>150</v>
      </c>
      <c r="V341" s="4">
        <v>2</v>
      </c>
      <c r="W341" s="4">
        <v>0</v>
      </c>
      <c r="X341" s="4">
        <v>0</v>
      </c>
      <c r="Y341" s="4">
        <v>300.01</v>
      </c>
      <c r="Z341" s="4">
        <v>2</v>
      </c>
      <c r="AA341" s="4">
        <v>1264.02</v>
      </c>
      <c r="AB341" s="4">
        <v>7</v>
      </c>
      <c r="AC341" s="4">
        <v>0</v>
      </c>
      <c r="AD341" s="4">
        <v>0</v>
      </c>
      <c r="AE341" s="4">
        <v>0</v>
      </c>
      <c r="AF341" s="4">
        <v>0</v>
      </c>
      <c r="AG341" s="4">
        <v>763.02</v>
      </c>
      <c r="AH341" s="4">
        <v>5</v>
      </c>
      <c r="AI341" s="4">
        <v>1460.01</v>
      </c>
      <c r="AJ341" s="4">
        <v>9</v>
      </c>
      <c r="AK341" s="4">
        <v>2165.0300000000002</v>
      </c>
      <c r="AL341" s="4">
        <v>14</v>
      </c>
      <c r="AM341" s="4">
        <v>1399.05</v>
      </c>
      <c r="AN341" s="4">
        <v>9</v>
      </c>
      <c r="AO341" s="4">
        <v>150</v>
      </c>
      <c r="AP341" s="4">
        <v>1</v>
      </c>
      <c r="AQ341" s="4">
        <v>499.01</v>
      </c>
      <c r="AR341" s="4">
        <v>3</v>
      </c>
      <c r="AS341" s="4">
        <v>525.01</v>
      </c>
      <c r="AT341" s="4">
        <v>4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Q341" s="3">
        <f t="shared" si="12"/>
        <v>19248.319999999996</v>
      </c>
      <c r="BR341" s="3">
        <f t="shared" si="11"/>
        <v>115</v>
      </c>
    </row>
    <row r="342" spans="1:70" x14ac:dyDescent="0.25">
      <c r="A342" s="4" t="s">
        <v>2466</v>
      </c>
      <c r="B342" t="s">
        <v>77</v>
      </c>
      <c r="C342" s="338" t="s">
        <v>1923</v>
      </c>
      <c r="D342" s="213" t="s">
        <v>1014</v>
      </c>
      <c r="E342" s="213" t="s">
        <v>160</v>
      </c>
      <c r="F342" s="213" t="s">
        <v>133</v>
      </c>
      <c r="G342" s="4">
        <v>3320.08</v>
      </c>
      <c r="H342" s="4">
        <v>23</v>
      </c>
      <c r="I342" s="4">
        <v>2373.04</v>
      </c>
      <c r="J342" s="4">
        <v>17</v>
      </c>
      <c r="K342" s="4">
        <v>871.01</v>
      </c>
      <c r="L342" s="4">
        <v>6</v>
      </c>
      <c r="M342" s="4">
        <v>150</v>
      </c>
      <c r="N342" s="4">
        <v>1</v>
      </c>
      <c r="O342" s="4">
        <v>1704.03</v>
      </c>
      <c r="P342" s="4">
        <v>11</v>
      </c>
      <c r="Q342" s="4">
        <v>499.01</v>
      </c>
      <c r="R342" s="4">
        <v>3</v>
      </c>
      <c r="S342" s="4">
        <v>1099.03</v>
      </c>
      <c r="T342" s="4">
        <v>8</v>
      </c>
      <c r="U342" s="4">
        <v>1229.01</v>
      </c>
      <c r="V342" s="4">
        <v>11</v>
      </c>
      <c r="W342" s="4">
        <v>1936.03</v>
      </c>
      <c r="X342" s="4">
        <v>12</v>
      </c>
      <c r="Y342" s="4">
        <v>975.01</v>
      </c>
      <c r="Z342" s="4">
        <v>7</v>
      </c>
      <c r="AA342" s="4">
        <v>900.02</v>
      </c>
      <c r="AB342" s="4">
        <v>7</v>
      </c>
      <c r="AC342" s="4">
        <v>600.02</v>
      </c>
      <c r="AD342" s="4">
        <v>4</v>
      </c>
      <c r="AE342" s="4">
        <v>1592.04</v>
      </c>
      <c r="AF342" s="4">
        <v>7</v>
      </c>
      <c r="AG342" s="4">
        <v>300.01</v>
      </c>
      <c r="AH342" s="4">
        <v>2</v>
      </c>
      <c r="AI342" s="4">
        <v>272.99</v>
      </c>
      <c r="AJ342" s="4">
        <v>4</v>
      </c>
      <c r="AK342" s="4">
        <v>0</v>
      </c>
      <c r="AL342" s="4">
        <v>0</v>
      </c>
      <c r="AM342" s="4">
        <v>525.01</v>
      </c>
      <c r="AN342" s="4">
        <v>4</v>
      </c>
      <c r="AO342" s="4">
        <v>450</v>
      </c>
      <c r="AP342" s="4">
        <v>3</v>
      </c>
      <c r="AQ342" s="4">
        <v>0</v>
      </c>
      <c r="AR342" s="4">
        <v>0</v>
      </c>
      <c r="AS342" s="4">
        <v>520</v>
      </c>
      <c r="AT342" s="4">
        <v>4</v>
      </c>
      <c r="AU342" s="4">
        <v>825.01</v>
      </c>
      <c r="AV342" s="4">
        <v>8</v>
      </c>
      <c r="AW342" s="4">
        <v>671.96</v>
      </c>
      <c r="AX342" s="4">
        <v>4</v>
      </c>
      <c r="AY342" s="4">
        <v>992.95</v>
      </c>
      <c r="AZ342" s="4">
        <v>7</v>
      </c>
      <c r="BA342" s="4">
        <v>2020.9</v>
      </c>
      <c r="BB342" s="4">
        <v>10</v>
      </c>
      <c r="BC342" s="4">
        <v>1218.93</v>
      </c>
      <c r="BD342" s="4">
        <v>8</v>
      </c>
      <c r="BE342" s="4">
        <v>1438.09</v>
      </c>
      <c r="BF342" s="4">
        <v>7</v>
      </c>
      <c r="BQ342" s="3">
        <f t="shared" si="12"/>
        <v>26484.18</v>
      </c>
      <c r="BR342" s="3">
        <f t="shared" si="11"/>
        <v>178</v>
      </c>
    </row>
    <row r="343" spans="1:70" x14ac:dyDescent="0.25">
      <c r="A343" s="4" t="s">
        <v>2467</v>
      </c>
      <c r="B343" t="s">
        <v>77</v>
      </c>
      <c r="C343" s="338" t="s">
        <v>1924</v>
      </c>
      <c r="D343" s="213" t="s">
        <v>1015</v>
      </c>
      <c r="E343" s="213" t="s">
        <v>160</v>
      </c>
      <c r="F343" s="213" t="s">
        <v>133</v>
      </c>
      <c r="G343" s="4">
        <v>1407.04</v>
      </c>
      <c r="H343" s="4">
        <v>10</v>
      </c>
      <c r="I343" s="4">
        <v>0</v>
      </c>
      <c r="J343" s="4">
        <v>0</v>
      </c>
      <c r="K343" s="4">
        <v>900.03</v>
      </c>
      <c r="L343" s="4">
        <v>4</v>
      </c>
      <c r="M343" s="4">
        <v>1518.03</v>
      </c>
      <c r="N343" s="4">
        <v>9</v>
      </c>
      <c r="O343" s="4">
        <v>0</v>
      </c>
      <c r="P343" s="4">
        <v>0</v>
      </c>
      <c r="Q343" s="4">
        <v>1086</v>
      </c>
      <c r="R343" s="4">
        <v>6</v>
      </c>
      <c r="S343" s="4">
        <v>1875.05</v>
      </c>
      <c r="T343" s="4">
        <v>12</v>
      </c>
      <c r="U343" s="4">
        <v>964.04</v>
      </c>
      <c r="V343" s="4">
        <v>6</v>
      </c>
      <c r="W343" s="4">
        <v>225</v>
      </c>
      <c r="X343" s="4">
        <v>2</v>
      </c>
      <c r="Y343" s="4">
        <v>1253.05</v>
      </c>
      <c r="Z343" s="4">
        <v>9</v>
      </c>
      <c r="AA343" s="4">
        <v>1756.02</v>
      </c>
      <c r="AB343" s="4">
        <v>12</v>
      </c>
      <c r="AC343" s="4">
        <v>750.01</v>
      </c>
      <c r="AD343" s="4">
        <v>5</v>
      </c>
      <c r="AE343" s="4">
        <v>300</v>
      </c>
      <c r="AF343" s="4">
        <v>2</v>
      </c>
      <c r="AG343" s="4">
        <v>1031.04</v>
      </c>
      <c r="AH343" s="4">
        <v>7</v>
      </c>
      <c r="AI343" s="4">
        <v>847.01</v>
      </c>
      <c r="AJ343" s="4">
        <v>6</v>
      </c>
      <c r="AK343" s="4">
        <v>750</v>
      </c>
      <c r="AL343" s="4">
        <v>6</v>
      </c>
      <c r="AM343" s="4">
        <v>2113.08</v>
      </c>
      <c r="AN343" s="4">
        <v>12</v>
      </c>
      <c r="AO343" s="4">
        <v>1470.04</v>
      </c>
      <c r="AP343" s="4">
        <v>7</v>
      </c>
      <c r="AQ343" s="4">
        <v>820.02</v>
      </c>
      <c r="AR343" s="4">
        <v>6</v>
      </c>
      <c r="AS343" s="4">
        <v>150.01</v>
      </c>
      <c r="AT343" s="4">
        <v>1</v>
      </c>
      <c r="AU343" s="4">
        <v>354.01</v>
      </c>
      <c r="AV343" s="4">
        <v>3</v>
      </c>
      <c r="AW343" s="4">
        <v>571.96</v>
      </c>
      <c r="AX343" s="4">
        <v>3</v>
      </c>
      <c r="AY343" s="4">
        <v>0</v>
      </c>
      <c r="AZ343" s="4">
        <v>0</v>
      </c>
      <c r="BA343" s="4">
        <v>210.98</v>
      </c>
      <c r="BB343" s="4">
        <v>1</v>
      </c>
      <c r="BC343" s="4">
        <v>0</v>
      </c>
      <c r="BD343" s="4">
        <v>0</v>
      </c>
      <c r="BE343" s="4">
        <v>0</v>
      </c>
      <c r="BF343" s="4">
        <v>0</v>
      </c>
      <c r="BQ343" s="3">
        <f t="shared" si="12"/>
        <v>20352.419999999998</v>
      </c>
      <c r="BR343" s="3">
        <f t="shared" si="11"/>
        <v>129</v>
      </c>
    </row>
    <row r="344" spans="1:70" x14ac:dyDescent="0.25">
      <c r="A344" s="4" t="s">
        <v>2468</v>
      </c>
      <c r="B344" t="s">
        <v>77</v>
      </c>
      <c r="C344" s="338" t="s">
        <v>1925</v>
      </c>
      <c r="D344" s="213" t="s">
        <v>1016</v>
      </c>
      <c r="E344" s="213" t="s">
        <v>160</v>
      </c>
      <c r="F344" s="213" t="s">
        <v>133</v>
      </c>
      <c r="G344" s="4">
        <v>1788.04</v>
      </c>
      <c r="H344" s="4">
        <v>17</v>
      </c>
      <c r="I344" s="4">
        <v>75</v>
      </c>
      <c r="J344" s="4">
        <v>1</v>
      </c>
      <c r="K344" s="4">
        <v>1665.03</v>
      </c>
      <c r="L344" s="4">
        <v>9</v>
      </c>
      <c r="M344" s="4">
        <v>3303.1</v>
      </c>
      <c r="N344" s="4">
        <v>17</v>
      </c>
      <c r="O344" s="4">
        <v>2338.0700000000002</v>
      </c>
      <c r="P344" s="4">
        <v>12</v>
      </c>
      <c r="Q344" s="4">
        <v>0</v>
      </c>
      <c r="R344" s="4">
        <v>0</v>
      </c>
      <c r="S344" s="4">
        <v>960.01</v>
      </c>
      <c r="T344" s="4">
        <v>4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1029.02</v>
      </c>
      <c r="AR344" s="4">
        <v>8</v>
      </c>
      <c r="AS344" s="4">
        <v>799</v>
      </c>
      <c r="AT344" s="4">
        <v>5</v>
      </c>
      <c r="AU344" s="4">
        <v>1108.01</v>
      </c>
      <c r="AV344" s="4">
        <v>10</v>
      </c>
      <c r="AW344" s="4">
        <v>797.97</v>
      </c>
      <c r="AX344" s="4">
        <v>6</v>
      </c>
      <c r="AY344" s="4">
        <v>1857.9</v>
      </c>
      <c r="AZ344" s="4">
        <v>12</v>
      </c>
      <c r="BA344" s="4">
        <v>1465.94</v>
      </c>
      <c r="BB344" s="4">
        <v>8</v>
      </c>
      <c r="BC344" s="4">
        <v>757.97</v>
      </c>
      <c r="BD344" s="4">
        <v>5</v>
      </c>
      <c r="BE344" s="4">
        <v>497.04</v>
      </c>
      <c r="BF344" s="4">
        <v>3</v>
      </c>
      <c r="BQ344" s="3">
        <f t="shared" si="12"/>
        <v>18442.100000000002</v>
      </c>
      <c r="BR344" s="3">
        <f t="shared" si="11"/>
        <v>117</v>
      </c>
    </row>
    <row r="345" spans="1:70" x14ac:dyDescent="0.25">
      <c r="A345" s="4" t="s">
        <v>2469</v>
      </c>
      <c r="B345" t="s">
        <v>78</v>
      </c>
      <c r="C345" s="338" t="s">
        <v>1926</v>
      </c>
      <c r="D345" s="213" t="s">
        <v>1017</v>
      </c>
      <c r="E345" s="213" t="s">
        <v>138</v>
      </c>
      <c r="F345" s="213" t="s">
        <v>129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109</v>
      </c>
      <c r="V345" s="4">
        <v>1</v>
      </c>
      <c r="W345" s="4">
        <v>258</v>
      </c>
      <c r="X345" s="4">
        <v>3</v>
      </c>
      <c r="Y345" s="4">
        <v>0</v>
      </c>
      <c r="Z345" s="4">
        <v>0</v>
      </c>
      <c r="AA345" s="4">
        <v>895.06</v>
      </c>
      <c r="AB345" s="4">
        <v>7</v>
      </c>
      <c r="AC345" s="4">
        <v>1604.01</v>
      </c>
      <c r="AD345" s="4">
        <v>11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868.02</v>
      </c>
      <c r="AL345" s="4">
        <v>6</v>
      </c>
      <c r="AM345" s="4">
        <v>732.02</v>
      </c>
      <c r="AN345" s="4">
        <v>5</v>
      </c>
      <c r="AO345" s="4">
        <v>689.02</v>
      </c>
      <c r="AP345" s="4">
        <v>5</v>
      </c>
      <c r="AQ345" s="4">
        <v>784.01</v>
      </c>
      <c r="AR345" s="4">
        <v>8</v>
      </c>
      <c r="AS345" s="4">
        <v>760.03</v>
      </c>
      <c r="AT345" s="4">
        <v>4</v>
      </c>
      <c r="AU345" s="4">
        <v>0</v>
      </c>
      <c r="AV345" s="4">
        <v>0</v>
      </c>
      <c r="AW345" s="4">
        <v>186.01</v>
      </c>
      <c r="AX345" s="4">
        <v>1</v>
      </c>
      <c r="AY345" s="4">
        <v>332.98</v>
      </c>
      <c r="AZ345" s="4">
        <v>4</v>
      </c>
      <c r="BA345" s="4">
        <v>360.98</v>
      </c>
      <c r="BB345" s="4">
        <v>2</v>
      </c>
      <c r="BC345" s="4">
        <v>857.94</v>
      </c>
      <c r="BD345" s="4">
        <v>5</v>
      </c>
      <c r="BE345" s="4">
        <v>1211.07</v>
      </c>
      <c r="BF345" s="4">
        <v>7</v>
      </c>
      <c r="BQ345" s="3">
        <f t="shared" si="12"/>
        <v>9648.15</v>
      </c>
      <c r="BR345" s="3">
        <f t="shared" si="11"/>
        <v>69</v>
      </c>
    </row>
    <row r="346" spans="1:70" x14ac:dyDescent="0.25">
      <c r="A346" s="4" t="s">
        <v>2470</v>
      </c>
      <c r="B346" t="s">
        <v>78</v>
      </c>
      <c r="C346" s="338" t="s">
        <v>1927</v>
      </c>
      <c r="D346" s="213" t="s">
        <v>1018</v>
      </c>
      <c r="E346" s="213" t="s">
        <v>138</v>
      </c>
      <c r="F346" s="213" t="s">
        <v>129</v>
      </c>
      <c r="G346" s="4">
        <v>1855.06</v>
      </c>
      <c r="H346" s="4">
        <v>16</v>
      </c>
      <c r="I346" s="4">
        <v>3215.09</v>
      </c>
      <c r="J346" s="4">
        <v>28</v>
      </c>
      <c r="K346" s="4">
        <v>1758.03</v>
      </c>
      <c r="L346" s="4">
        <v>13</v>
      </c>
      <c r="M346" s="4">
        <v>656.03</v>
      </c>
      <c r="N346" s="4">
        <v>4</v>
      </c>
      <c r="O346" s="4">
        <v>255</v>
      </c>
      <c r="P346" s="4">
        <v>4</v>
      </c>
      <c r="Q346" s="4">
        <v>599.99</v>
      </c>
      <c r="R346" s="4">
        <v>4</v>
      </c>
      <c r="S346" s="4">
        <v>936</v>
      </c>
      <c r="T346" s="4">
        <v>5</v>
      </c>
      <c r="U346" s="4">
        <v>1195.01</v>
      </c>
      <c r="V346" s="4">
        <v>9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1243.99</v>
      </c>
      <c r="AD346" s="4">
        <v>8</v>
      </c>
      <c r="AE346" s="4">
        <v>686</v>
      </c>
      <c r="AF346" s="4">
        <v>7</v>
      </c>
      <c r="AG346" s="4">
        <v>944.03</v>
      </c>
      <c r="AH346" s="4">
        <v>9</v>
      </c>
      <c r="AI346" s="4">
        <v>1160</v>
      </c>
      <c r="AJ346" s="4">
        <v>9</v>
      </c>
      <c r="AK346" s="4">
        <v>1241.02</v>
      </c>
      <c r="AL346" s="4">
        <v>10</v>
      </c>
      <c r="AM346" s="4">
        <v>1654</v>
      </c>
      <c r="AN346" s="4">
        <v>6</v>
      </c>
      <c r="AO346" s="4">
        <v>0</v>
      </c>
      <c r="AP346" s="4">
        <v>0</v>
      </c>
      <c r="AQ346" s="4">
        <v>0</v>
      </c>
      <c r="AR346" s="4">
        <v>0</v>
      </c>
      <c r="AS346" s="4">
        <v>1785.02</v>
      </c>
      <c r="AT346" s="4">
        <v>10</v>
      </c>
      <c r="AU346" s="4">
        <v>412</v>
      </c>
      <c r="AV346" s="4">
        <v>4</v>
      </c>
      <c r="AW346" s="4">
        <v>0</v>
      </c>
      <c r="AX346" s="4">
        <v>0</v>
      </c>
      <c r="AY346" s="4">
        <v>810.99</v>
      </c>
      <c r="AZ346" s="4">
        <v>6</v>
      </c>
      <c r="BA346" s="4">
        <v>1501.89</v>
      </c>
      <c r="BB346" s="4">
        <v>8</v>
      </c>
      <c r="BC346" s="4">
        <v>0</v>
      </c>
      <c r="BD346" s="4">
        <v>0</v>
      </c>
      <c r="BE346" s="4">
        <v>1055.06</v>
      </c>
      <c r="BF346" s="4">
        <v>9</v>
      </c>
      <c r="BQ346" s="3">
        <f t="shared" si="12"/>
        <v>22964.210000000003</v>
      </c>
      <c r="BR346" s="3">
        <f t="shared" si="11"/>
        <v>169</v>
      </c>
    </row>
    <row r="347" spans="1:70" x14ac:dyDescent="0.25">
      <c r="A347" s="4" t="s">
        <v>2471</v>
      </c>
      <c r="B347" t="s">
        <v>78</v>
      </c>
      <c r="C347" s="338" t="s">
        <v>1928</v>
      </c>
      <c r="D347" s="213" t="s">
        <v>1019</v>
      </c>
      <c r="E347" s="213" t="s">
        <v>138</v>
      </c>
      <c r="F347" s="213" t="s">
        <v>129</v>
      </c>
      <c r="G347" s="4">
        <v>3538.04</v>
      </c>
      <c r="H347" s="4">
        <v>22</v>
      </c>
      <c r="I347" s="4">
        <v>0</v>
      </c>
      <c r="J347" s="4">
        <v>0</v>
      </c>
      <c r="K347" s="4">
        <v>838.03</v>
      </c>
      <c r="L347" s="4">
        <v>5</v>
      </c>
      <c r="M347" s="4">
        <v>0</v>
      </c>
      <c r="N347" s="4">
        <v>0</v>
      </c>
      <c r="O347" s="4">
        <v>3410.07</v>
      </c>
      <c r="P347" s="4">
        <v>24</v>
      </c>
      <c r="Q347" s="4">
        <v>1012.03</v>
      </c>
      <c r="R347" s="4">
        <v>6</v>
      </c>
      <c r="S347" s="4">
        <v>2674.05</v>
      </c>
      <c r="T347" s="4">
        <v>13</v>
      </c>
      <c r="U347" s="4">
        <v>1079.01</v>
      </c>
      <c r="V347" s="4">
        <v>8</v>
      </c>
      <c r="W347" s="4">
        <v>2509.0300000000002</v>
      </c>
      <c r="X347" s="4">
        <v>16</v>
      </c>
      <c r="Y347" s="4">
        <v>1493.05</v>
      </c>
      <c r="Z347" s="4">
        <v>10</v>
      </c>
      <c r="AA347" s="4">
        <v>2224.0700000000002</v>
      </c>
      <c r="AB347" s="4">
        <v>13</v>
      </c>
      <c r="AC347" s="4">
        <v>0</v>
      </c>
      <c r="AD347" s="4">
        <v>0</v>
      </c>
      <c r="AE347" s="4">
        <v>1144.02</v>
      </c>
      <c r="AF347" s="4">
        <v>8</v>
      </c>
      <c r="AG347" s="4">
        <v>1850.03</v>
      </c>
      <c r="AH347" s="4">
        <v>11</v>
      </c>
      <c r="AI347" s="4">
        <v>1278.02</v>
      </c>
      <c r="AJ347" s="4">
        <v>9</v>
      </c>
      <c r="AK347" s="4">
        <v>2833.04</v>
      </c>
      <c r="AL347" s="4">
        <v>18</v>
      </c>
      <c r="AM347" s="4">
        <v>1199.02</v>
      </c>
      <c r="AN347" s="4">
        <v>8</v>
      </c>
      <c r="AO347" s="4">
        <v>1698.04</v>
      </c>
      <c r="AP347" s="4">
        <v>11</v>
      </c>
      <c r="AQ347" s="4">
        <v>1468.02</v>
      </c>
      <c r="AR347" s="4">
        <v>10</v>
      </c>
      <c r="AS347" s="4">
        <v>0</v>
      </c>
      <c r="AT347" s="4">
        <v>0</v>
      </c>
      <c r="AU347" s="4">
        <v>1133.02</v>
      </c>
      <c r="AV347" s="4">
        <v>8</v>
      </c>
      <c r="AW347" s="4">
        <v>1362.91</v>
      </c>
      <c r="AX347" s="4">
        <v>7</v>
      </c>
      <c r="AY347" s="4">
        <v>2833.8</v>
      </c>
      <c r="AZ347" s="4">
        <v>16</v>
      </c>
      <c r="BA347" s="4">
        <v>1012.96</v>
      </c>
      <c r="BB347" s="4">
        <v>7</v>
      </c>
      <c r="BC347" s="4">
        <v>1672.91</v>
      </c>
      <c r="BD347" s="4">
        <v>11</v>
      </c>
      <c r="BE347" s="4">
        <v>0</v>
      </c>
      <c r="BF347" s="4">
        <v>0</v>
      </c>
      <c r="BQ347" s="3">
        <f t="shared" si="12"/>
        <v>38263.170000000006</v>
      </c>
      <c r="BR347" s="3">
        <f t="shared" si="11"/>
        <v>241</v>
      </c>
    </row>
    <row r="348" spans="1:70" x14ac:dyDescent="0.25">
      <c r="A348" s="4" t="s">
        <v>2472</v>
      </c>
      <c r="B348" t="s">
        <v>78</v>
      </c>
      <c r="C348" s="338" t="s">
        <v>1642</v>
      </c>
      <c r="D348" s="213" t="s">
        <v>733</v>
      </c>
      <c r="E348" s="213" t="s">
        <v>138</v>
      </c>
      <c r="F348" s="213" t="s">
        <v>129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75</v>
      </c>
      <c r="P348" s="4">
        <v>1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Q348" s="3">
        <f t="shared" si="12"/>
        <v>75</v>
      </c>
      <c r="BR348" s="3">
        <f t="shared" si="11"/>
        <v>1</v>
      </c>
    </row>
    <row r="349" spans="1:70" x14ac:dyDescent="0.25">
      <c r="A349" s="4" t="s">
        <v>2473</v>
      </c>
      <c r="B349" t="s">
        <v>78</v>
      </c>
      <c r="C349" s="338" t="s">
        <v>1929</v>
      </c>
      <c r="D349" s="213" t="s">
        <v>1020</v>
      </c>
      <c r="E349" s="213" t="s">
        <v>138</v>
      </c>
      <c r="F349" s="213" t="s">
        <v>129</v>
      </c>
      <c r="G349" s="4">
        <v>2598.0100000000002</v>
      </c>
      <c r="H349" s="4">
        <v>23</v>
      </c>
      <c r="I349" s="4">
        <v>4335.12</v>
      </c>
      <c r="J349" s="4">
        <v>36</v>
      </c>
      <c r="K349" s="4">
        <v>1502.04</v>
      </c>
      <c r="L349" s="4">
        <v>10</v>
      </c>
      <c r="M349" s="4">
        <v>3794.04</v>
      </c>
      <c r="N349" s="4">
        <v>25</v>
      </c>
      <c r="O349" s="4">
        <v>0</v>
      </c>
      <c r="P349" s="4">
        <v>0</v>
      </c>
      <c r="Q349" s="4">
        <v>1125</v>
      </c>
      <c r="R349" s="4">
        <v>8</v>
      </c>
      <c r="S349" s="4">
        <v>2245.0300000000002</v>
      </c>
      <c r="T349" s="4">
        <v>12</v>
      </c>
      <c r="U349" s="4">
        <v>2043.04</v>
      </c>
      <c r="V349" s="4">
        <v>14</v>
      </c>
      <c r="W349" s="4">
        <v>2290.02</v>
      </c>
      <c r="X349" s="4">
        <v>14</v>
      </c>
      <c r="Y349" s="4">
        <v>1583.02</v>
      </c>
      <c r="Z349" s="4">
        <v>10</v>
      </c>
      <c r="AA349" s="4">
        <v>1584.01</v>
      </c>
      <c r="AB349" s="4">
        <v>10</v>
      </c>
      <c r="AC349" s="4">
        <v>1294.04</v>
      </c>
      <c r="AD349" s="4">
        <v>9</v>
      </c>
      <c r="AE349" s="4">
        <v>1148.04</v>
      </c>
      <c r="AF349" s="4">
        <v>7</v>
      </c>
      <c r="AG349" s="4">
        <v>1738.02</v>
      </c>
      <c r="AH349" s="4">
        <v>9</v>
      </c>
      <c r="AI349" s="4">
        <v>1795.03</v>
      </c>
      <c r="AJ349" s="4">
        <v>10</v>
      </c>
      <c r="AK349" s="4">
        <v>0</v>
      </c>
      <c r="AL349" s="4">
        <v>0</v>
      </c>
      <c r="AM349" s="4">
        <v>935</v>
      </c>
      <c r="AN349" s="4">
        <v>6</v>
      </c>
      <c r="AO349" s="4">
        <v>675.03</v>
      </c>
      <c r="AP349" s="4">
        <v>3</v>
      </c>
      <c r="AQ349" s="4">
        <v>608.01</v>
      </c>
      <c r="AR349" s="4">
        <v>4</v>
      </c>
      <c r="AS349" s="4">
        <v>584</v>
      </c>
      <c r="AT349" s="4">
        <v>5</v>
      </c>
      <c r="AU349" s="4">
        <v>300</v>
      </c>
      <c r="AV349" s="4">
        <v>1</v>
      </c>
      <c r="AW349" s="4">
        <v>1382.96</v>
      </c>
      <c r="AX349" s="4">
        <v>8</v>
      </c>
      <c r="AY349" s="4">
        <v>0</v>
      </c>
      <c r="AZ349" s="4">
        <v>0</v>
      </c>
      <c r="BA349" s="4">
        <v>387.99</v>
      </c>
      <c r="BB349" s="4">
        <v>3</v>
      </c>
      <c r="BC349" s="4">
        <v>610.03</v>
      </c>
      <c r="BD349" s="4">
        <v>5</v>
      </c>
      <c r="BE349" s="4">
        <v>472.03</v>
      </c>
      <c r="BF349" s="4">
        <v>4</v>
      </c>
      <c r="BQ349" s="3">
        <f t="shared" si="12"/>
        <v>35029.509999999995</v>
      </c>
      <c r="BR349" s="3">
        <f t="shared" si="11"/>
        <v>236</v>
      </c>
    </row>
    <row r="350" spans="1:70" x14ac:dyDescent="0.25">
      <c r="A350" s="4" t="s">
        <v>2474</v>
      </c>
      <c r="B350" t="s">
        <v>79</v>
      </c>
      <c r="C350" s="338" t="s">
        <v>1930</v>
      </c>
      <c r="D350" s="213" t="s">
        <v>1021</v>
      </c>
      <c r="E350" s="213" t="s">
        <v>149</v>
      </c>
      <c r="F350" s="213" t="s">
        <v>127</v>
      </c>
      <c r="G350" s="4">
        <v>1121.01</v>
      </c>
      <c r="H350" s="4">
        <v>10</v>
      </c>
      <c r="I350" s="4">
        <v>1217.03</v>
      </c>
      <c r="J350" s="4">
        <v>7</v>
      </c>
      <c r="K350" s="4">
        <v>963.04</v>
      </c>
      <c r="L350" s="4">
        <v>9</v>
      </c>
      <c r="M350" s="4">
        <v>1502.03</v>
      </c>
      <c r="N350" s="4">
        <v>15</v>
      </c>
      <c r="O350" s="4">
        <v>1272.02</v>
      </c>
      <c r="P350" s="4">
        <v>9</v>
      </c>
      <c r="Q350" s="4">
        <v>1076</v>
      </c>
      <c r="R350" s="4">
        <v>8</v>
      </c>
      <c r="S350" s="4">
        <v>0</v>
      </c>
      <c r="T350" s="4">
        <v>0</v>
      </c>
      <c r="U350" s="4">
        <v>760.01</v>
      </c>
      <c r="V350" s="4">
        <v>6</v>
      </c>
      <c r="W350" s="4">
        <v>993.02</v>
      </c>
      <c r="X350" s="4">
        <v>4</v>
      </c>
      <c r="Y350" s="4">
        <v>0</v>
      </c>
      <c r="Z350" s="4">
        <v>0</v>
      </c>
      <c r="AA350" s="4">
        <v>2188.06</v>
      </c>
      <c r="AB350" s="4">
        <v>5</v>
      </c>
      <c r="AC350" s="4">
        <v>0</v>
      </c>
      <c r="AD350" s="4">
        <v>0</v>
      </c>
      <c r="AE350" s="4">
        <v>75</v>
      </c>
      <c r="AF350" s="4">
        <v>1</v>
      </c>
      <c r="AG350" s="4">
        <v>0</v>
      </c>
      <c r="AH350" s="4">
        <v>0</v>
      </c>
      <c r="AI350" s="4">
        <v>750.01</v>
      </c>
      <c r="AJ350" s="4">
        <v>5</v>
      </c>
      <c r="AK350" s="4">
        <v>385.01</v>
      </c>
      <c r="AL350" s="4">
        <v>3</v>
      </c>
      <c r="AM350" s="4">
        <v>449.99</v>
      </c>
      <c r="AN350" s="4">
        <v>2</v>
      </c>
      <c r="AO350" s="4">
        <v>966.03</v>
      </c>
      <c r="AP350" s="4">
        <v>7</v>
      </c>
      <c r="AQ350" s="4">
        <v>478.02</v>
      </c>
      <c r="AR350" s="4">
        <v>3</v>
      </c>
      <c r="AS350" s="4">
        <v>450.03</v>
      </c>
      <c r="AT350" s="4">
        <v>3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930.98</v>
      </c>
      <c r="BB350" s="4">
        <v>3</v>
      </c>
      <c r="BC350" s="4">
        <v>1551.95</v>
      </c>
      <c r="BD350" s="4">
        <v>11</v>
      </c>
      <c r="BE350" s="4">
        <v>822.04</v>
      </c>
      <c r="BF350" s="4">
        <v>6</v>
      </c>
      <c r="BQ350" s="3">
        <f t="shared" si="12"/>
        <v>17951.280000000002</v>
      </c>
      <c r="BR350" s="3">
        <f t="shared" si="11"/>
        <v>117</v>
      </c>
    </row>
    <row r="351" spans="1:70" x14ac:dyDescent="0.25">
      <c r="A351" s="4" t="s">
        <v>2475</v>
      </c>
      <c r="B351" t="s">
        <v>79</v>
      </c>
      <c r="C351" s="338" t="s">
        <v>1931</v>
      </c>
      <c r="D351" s="213" t="s">
        <v>1022</v>
      </c>
      <c r="E351" s="213" t="s">
        <v>149</v>
      </c>
      <c r="F351" s="213" t="s">
        <v>127</v>
      </c>
      <c r="G351" s="4">
        <v>560.01</v>
      </c>
      <c r="H351" s="4">
        <v>6</v>
      </c>
      <c r="I351" s="4">
        <v>1948.04</v>
      </c>
      <c r="J351" s="4">
        <v>10</v>
      </c>
      <c r="K351" s="4">
        <v>2461.06</v>
      </c>
      <c r="L351" s="4">
        <v>19</v>
      </c>
      <c r="M351" s="4">
        <v>2677</v>
      </c>
      <c r="N351" s="4">
        <v>17</v>
      </c>
      <c r="O351" s="4">
        <v>499.01</v>
      </c>
      <c r="P351" s="4">
        <v>2</v>
      </c>
      <c r="Q351" s="4">
        <v>0</v>
      </c>
      <c r="R351" s="4">
        <v>0</v>
      </c>
      <c r="S351" s="4">
        <v>2599.0700000000002</v>
      </c>
      <c r="T351" s="4">
        <v>10</v>
      </c>
      <c r="U351" s="4">
        <v>0</v>
      </c>
      <c r="V351" s="4">
        <v>0</v>
      </c>
      <c r="W351" s="4">
        <v>1379.01</v>
      </c>
      <c r="X351" s="4">
        <v>10</v>
      </c>
      <c r="Y351" s="4">
        <v>624.01</v>
      </c>
      <c r="Z351" s="4">
        <v>5</v>
      </c>
      <c r="AA351" s="4">
        <v>3173.05</v>
      </c>
      <c r="AB351" s="4">
        <v>12</v>
      </c>
      <c r="AC351" s="4">
        <v>0</v>
      </c>
      <c r="AD351" s="4">
        <v>0</v>
      </c>
      <c r="AE351" s="4">
        <v>1025.03</v>
      </c>
      <c r="AF351" s="4">
        <v>7</v>
      </c>
      <c r="AG351" s="4">
        <v>0</v>
      </c>
      <c r="AH351" s="4">
        <v>0</v>
      </c>
      <c r="AI351" s="4">
        <v>0</v>
      </c>
      <c r="AJ351" s="4">
        <v>0</v>
      </c>
      <c r="AK351" s="4">
        <v>1543.03</v>
      </c>
      <c r="AL351" s="4">
        <v>10</v>
      </c>
      <c r="AM351" s="4">
        <v>630</v>
      </c>
      <c r="AN351" s="4">
        <v>5</v>
      </c>
      <c r="AO351" s="4">
        <v>1015</v>
      </c>
      <c r="AP351" s="4">
        <v>8</v>
      </c>
      <c r="AQ351" s="4">
        <v>0</v>
      </c>
      <c r="AR351" s="4">
        <v>0</v>
      </c>
      <c r="AS351" s="4">
        <v>1894.04</v>
      </c>
      <c r="AT351" s="4">
        <v>12</v>
      </c>
      <c r="AU351" s="4">
        <v>0</v>
      </c>
      <c r="AV351" s="4">
        <v>0</v>
      </c>
      <c r="AW351" s="4">
        <v>1947.97</v>
      </c>
      <c r="AX351" s="4">
        <v>4</v>
      </c>
      <c r="AY351" s="4">
        <v>1544.93</v>
      </c>
      <c r="AZ351" s="4">
        <v>5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Q351" s="3">
        <f t="shared" si="12"/>
        <v>25520.260000000002</v>
      </c>
      <c r="BR351" s="3">
        <f t="shared" si="11"/>
        <v>142</v>
      </c>
    </row>
    <row r="352" spans="1:70" x14ac:dyDescent="0.25">
      <c r="A352" s="4" t="s">
        <v>2476</v>
      </c>
      <c r="B352" t="s">
        <v>79</v>
      </c>
      <c r="C352" s="338" t="s">
        <v>1932</v>
      </c>
      <c r="D352" s="213" t="s">
        <v>1023</v>
      </c>
      <c r="E352" s="213" t="s">
        <v>149</v>
      </c>
      <c r="F352" s="213" t="s">
        <v>127</v>
      </c>
      <c r="G352" s="4">
        <v>1422.03</v>
      </c>
      <c r="H352" s="4">
        <v>10</v>
      </c>
      <c r="I352" s="4">
        <v>0</v>
      </c>
      <c r="J352" s="4">
        <v>0</v>
      </c>
      <c r="K352" s="4">
        <v>0</v>
      </c>
      <c r="L352" s="4">
        <v>0</v>
      </c>
      <c r="M352" s="4">
        <v>1213.04</v>
      </c>
      <c r="N352" s="4">
        <v>7</v>
      </c>
      <c r="O352" s="4">
        <v>1000.02</v>
      </c>
      <c r="P352" s="4">
        <v>7</v>
      </c>
      <c r="Q352" s="4">
        <v>777.01</v>
      </c>
      <c r="R352" s="4">
        <v>6</v>
      </c>
      <c r="S352" s="4">
        <v>525.01</v>
      </c>
      <c r="T352" s="4">
        <v>4</v>
      </c>
      <c r="U352" s="4">
        <v>1050.01</v>
      </c>
      <c r="V352" s="4">
        <v>9</v>
      </c>
      <c r="W352" s="4">
        <v>0</v>
      </c>
      <c r="X352" s="4">
        <v>0</v>
      </c>
      <c r="Y352" s="4">
        <v>409</v>
      </c>
      <c r="Z352" s="4">
        <v>3</v>
      </c>
      <c r="AA352" s="4">
        <v>3425.07</v>
      </c>
      <c r="AB352" s="4">
        <v>11</v>
      </c>
      <c r="AC352" s="4">
        <v>825.02</v>
      </c>
      <c r="AD352" s="4">
        <v>7</v>
      </c>
      <c r="AE352" s="4">
        <v>600</v>
      </c>
      <c r="AF352" s="4">
        <v>3</v>
      </c>
      <c r="AG352" s="4">
        <v>324.02</v>
      </c>
      <c r="AH352" s="4">
        <v>3</v>
      </c>
      <c r="AI352" s="4">
        <v>385</v>
      </c>
      <c r="AJ352" s="4">
        <v>3</v>
      </c>
      <c r="AK352" s="4">
        <v>0</v>
      </c>
      <c r="AL352" s="4">
        <v>0</v>
      </c>
      <c r="AM352" s="4">
        <v>2659.04</v>
      </c>
      <c r="AN352" s="4">
        <v>7</v>
      </c>
      <c r="AO352" s="4">
        <v>1416.02</v>
      </c>
      <c r="AP352" s="4">
        <v>1</v>
      </c>
      <c r="AQ352" s="4">
        <v>340</v>
      </c>
      <c r="AR352" s="4">
        <v>3</v>
      </c>
      <c r="AS352" s="4">
        <v>574.03</v>
      </c>
      <c r="AT352" s="4">
        <v>4</v>
      </c>
      <c r="AU352" s="4">
        <v>375</v>
      </c>
      <c r="AV352" s="4">
        <v>4</v>
      </c>
      <c r="AW352" s="4">
        <v>550.99</v>
      </c>
      <c r="AX352" s="4">
        <v>4</v>
      </c>
      <c r="AY352" s="4">
        <v>0</v>
      </c>
      <c r="AZ352" s="4">
        <v>0</v>
      </c>
      <c r="BA352" s="4">
        <v>1007.94</v>
      </c>
      <c r="BB352" s="4">
        <v>6</v>
      </c>
      <c r="BC352" s="4">
        <v>890.99</v>
      </c>
      <c r="BD352" s="4">
        <v>7</v>
      </c>
      <c r="BE352" s="4">
        <v>150.01</v>
      </c>
      <c r="BF352" s="4">
        <v>1</v>
      </c>
      <c r="BQ352" s="3">
        <f t="shared" si="12"/>
        <v>19919.25</v>
      </c>
      <c r="BR352" s="3">
        <f t="shared" si="11"/>
        <v>110</v>
      </c>
    </row>
    <row r="353" spans="1:70" x14ac:dyDescent="0.25">
      <c r="A353" s="4" t="s">
        <v>2477</v>
      </c>
      <c r="B353" t="s">
        <v>79</v>
      </c>
      <c r="C353" s="338" t="s">
        <v>1933</v>
      </c>
      <c r="D353" s="213" t="s">
        <v>1024</v>
      </c>
      <c r="E353" s="213" t="s">
        <v>149</v>
      </c>
      <c r="F353" s="213" t="s">
        <v>127</v>
      </c>
      <c r="G353" s="4">
        <v>3124.03</v>
      </c>
      <c r="H353" s="4">
        <v>22</v>
      </c>
      <c r="I353" s="4">
        <v>2299.08</v>
      </c>
      <c r="J353" s="4">
        <v>15</v>
      </c>
      <c r="K353" s="4">
        <v>966.03</v>
      </c>
      <c r="L353" s="4">
        <v>6</v>
      </c>
      <c r="M353" s="4">
        <v>0</v>
      </c>
      <c r="N353" s="4">
        <v>0</v>
      </c>
      <c r="O353" s="4">
        <v>1387.03</v>
      </c>
      <c r="P353" s="4">
        <v>12</v>
      </c>
      <c r="Q353" s="4">
        <v>2098.9899999999998</v>
      </c>
      <c r="R353" s="4">
        <v>11</v>
      </c>
      <c r="S353" s="4">
        <v>900.02</v>
      </c>
      <c r="T353" s="4">
        <v>7</v>
      </c>
      <c r="U353" s="4">
        <v>565</v>
      </c>
      <c r="V353" s="4">
        <v>5</v>
      </c>
      <c r="W353" s="4">
        <v>765.02</v>
      </c>
      <c r="X353" s="4">
        <v>7</v>
      </c>
      <c r="Y353" s="4">
        <v>750</v>
      </c>
      <c r="Z353" s="4">
        <v>4</v>
      </c>
      <c r="AA353" s="4">
        <v>0</v>
      </c>
      <c r="AB353" s="4">
        <v>0</v>
      </c>
      <c r="AC353" s="4">
        <v>1031.02</v>
      </c>
      <c r="AD353" s="4">
        <v>8</v>
      </c>
      <c r="AE353" s="4">
        <v>789.01</v>
      </c>
      <c r="AF353" s="4">
        <v>5</v>
      </c>
      <c r="AG353" s="4">
        <v>1916.06</v>
      </c>
      <c r="AH353" s="4">
        <v>14</v>
      </c>
      <c r="AI353" s="4">
        <v>1881.01</v>
      </c>
      <c r="AJ353" s="4">
        <v>8</v>
      </c>
      <c r="AK353" s="4">
        <v>540</v>
      </c>
      <c r="AL353" s="4">
        <v>4</v>
      </c>
      <c r="AM353" s="4">
        <v>1238.02</v>
      </c>
      <c r="AN353" s="4">
        <v>8</v>
      </c>
      <c r="AO353" s="4">
        <v>0</v>
      </c>
      <c r="AP353" s="4">
        <v>0</v>
      </c>
      <c r="AQ353" s="4">
        <v>1464.02</v>
      </c>
      <c r="AR353" s="4">
        <v>9</v>
      </c>
      <c r="AS353" s="4">
        <v>0</v>
      </c>
      <c r="AT353" s="4">
        <v>0</v>
      </c>
      <c r="AU353" s="4">
        <v>2295.04</v>
      </c>
      <c r="AV353" s="4">
        <v>14</v>
      </c>
      <c r="AW353" s="4">
        <v>631.97</v>
      </c>
      <c r="AX353" s="4">
        <v>4</v>
      </c>
      <c r="AY353" s="4">
        <v>836.96</v>
      </c>
      <c r="AZ353" s="4">
        <v>6</v>
      </c>
      <c r="BA353" s="4">
        <v>595.96</v>
      </c>
      <c r="BB353" s="4">
        <v>4</v>
      </c>
      <c r="BC353" s="4">
        <v>0</v>
      </c>
      <c r="BD353" s="4">
        <v>0</v>
      </c>
      <c r="BE353" s="4">
        <v>1239.08</v>
      </c>
      <c r="BF353" s="4">
        <v>6</v>
      </c>
      <c r="BQ353" s="3">
        <f t="shared" si="12"/>
        <v>27313.35</v>
      </c>
      <c r="BR353" s="3">
        <f t="shared" si="11"/>
        <v>179</v>
      </c>
    </row>
    <row r="354" spans="1:70" x14ac:dyDescent="0.25">
      <c r="A354" s="4" t="s">
        <v>2478</v>
      </c>
      <c r="B354" t="s">
        <v>80</v>
      </c>
      <c r="C354" s="338" t="s">
        <v>1934</v>
      </c>
      <c r="D354" s="213" t="s">
        <v>1025</v>
      </c>
      <c r="E354" s="213" t="s">
        <v>137</v>
      </c>
      <c r="F354" s="213" t="s">
        <v>127</v>
      </c>
      <c r="G354" s="4">
        <v>2718.07</v>
      </c>
      <c r="H354" s="4">
        <v>25</v>
      </c>
      <c r="I354" s="4">
        <v>0</v>
      </c>
      <c r="J354" s="4">
        <v>0</v>
      </c>
      <c r="K354" s="4">
        <v>846.02</v>
      </c>
      <c r="L354" s="4">
        <v>5</v>
      </c>
      <c r="M354" s="4">
        <v>895.02</v>
      </c>
      <c r="N354" s="4">
        <v>6</v>
      </c>
      <c r="O354" s="4">
        <v>171</v>
      </c>
      <c r="P354" s="4">
        <v>2</v>
      </c>
      <c r="Q354" s="4">
        <v>24</v>
      </c>
      <c r="R354" s="4">
        <v>1</v>
      </c>
      <c r="S354" s="4">
        <v>957.99</v>
      </c>
      <c r="T354" s="4">
        <v>7</v>
      </c>
      <c r="U354" s="4">
        <v>375.01</v>
      </c>
      <c r="V354" s="4">
        <v>3</v>
      </c>
      <c r="W354" s="4">
        <v>0</v>
      </c>
      <c r="X354" s="4">
        <v>0</v>
      </c>
      <c r="Y354" s="4">
        <v>99</v>
      </c>
      <c r="Z354" s="4">
        <v>2</v>
      </c>
      <c r="AA354" s="4">
        <v>334</v>
      </c>
      <c r="AB354" s="4">
        <v>3</v>
      </c>
      <c r="AC354" s="4">
        <v>300</v>
      </c>
      <c r="AD354" s="4">
        <v>2</v>
      </c>
      <c r="AE354" s="4">
        <v>400</v>
      </c>
      <c r="AF354" s="4">
        <v>2</v>
      </c>
      <c r="AG354" s="4">
        <v>0</v>
      </c>
      <c r="AH354" s="4">
        <v>0</v>
      </c>
      <c r="AI354" s="4">
        <v>1566</v>
      </c>
      <c r="AJ354" s="4">
        <v>3</v>
      </c>
      <c r="AK354" s="4">
        <v>864.03</v>
      </c>
      <c r="AL354" s="4">
        <v>5</v>
      </c>
      <c r="AM354" s="4">
        <v>1124.02</v>
      </c>
      <c r="AN354" s="4">
        <v>9</v>
      </c>
      <c r="AO354" s="4">
        <v>1141.02</v>
      </c>
      <c r="AP354" s="4">
        <v>10</v>
      </c>
      <c r="AQ354" s="4">
        <v>354</v>
      </c>
      <c r="AR354" s="4">
        <v>4</v>
      </c>
      <c r="AS354" s="4">
        <v>1498.04</v>
      </c>
      <c r="AT354" s="4">
        <v>10</v>
      </c>
      <c r="AU354" s="4">
        <v>358.01</v>
      </c>
      <c r="AV354" s="4">
        <v>2</v>
      </c>
      <c r="AW354" s="4">
        <v>549.96</v>
      </c>
      <c r="AX354" s="4">
        <v>5</v>
      </c>
      <c r="AY354" s="4">
        <v>0</v>
      </c>
      <c r="AZ354" s="4">
        <v>0</v>
      </c>
      <c r="BA354" s="4">
        <v>345.01</v>
      </c>
      <c r="BB354" s="4">
        <v>2</v>
      </c>
      <c r="BC354" s="4">
        <v>630.96</v>
      </c>
      <c r="BD354" s="4">
        <v>5</v>
      </c>
      <c r="BE354" s="4">
        <v>987.03</v>
      </c>
      <c r="BF354" s="4">
        <v>9</v>
      </c>
      <c r="BQ354" s="3">
        <f t="shared" si="12"/>
        <v>16538.190000000002</v>
      </c>
      <c r="BR354" s="3">
        <f t="shared" si="11"/>
        <v>122</v>
      </c>
    </row>
    <row r="355" spans="1:70" x14ac:dyDescent="0.25">
      <c r="A355" s="4" t="s">
        <v>2479</v>
      </c>
      <c r="B355" t="s">
        <v>80</v>
      </c>
      <c r="C355" s="338" t="s">
        <v>1935</v>
      </c>
      <c r="D355" s="213" t="s">
        <v>1026</v>
      </c>
      <c r="E355" s="213" t="s">
        <v>137</v>
      </c>
      <c r="F355" s="213" t="s">
        <v>127</v>
      </c>
      <c r="G355" s="4">
        <v>1647.07</v>
      </c>
      <c r="H355" s="4">
        <v>13</v>
      </c>
      <c r="I355" s="4">
        <v>900.99</v>
      </c>
      <c r="J355" s="4">
        <v>8</v>
      </c>
      <c r="K355" s="4">
        <v>673</v>
      </c>
      <c r="L355" s="4">
        <v>8</v>
      </c>
      <c r="M355" s="4">
        <v>2727.05</v>
      </c>
      <c r="N355" s="4">
        <v>20</v>
      </c>
      <c r="O355" s="4">
        <v>0</v>
      </c>
      <c r="P355" s="4">
        <v>0</v>
      </c>
      <c r="Q355" s="4">
        <v>625.02</v>
      </c>
      <c r="R355" s="4">
        <v>6</v>
      </c>
      <c r="S355" s="4">
        <v>300.01</v>
      </c>
      <c r="T355" s="4">
        <v>2</v>
      </c>
      <c r="U355" s="4">
        <v>750</v>
      </c>
      <c r="V355" s="4">
        <v>4</v>
      </c>
      <c r="W355" s="4">
        <v>1074.99</v>
      </c>
      <c r="X355" s="4">
        <v>5</v>
      </c>
      <c r="Y355" s="4">
        <v>1339.03</v>
      </c>
      <c r="Z355" s="4">
        <v>12</v>
      </c>
      <c r="AA355" s="4">
        <v>0</v>
      </c>
      <c r="AB355" s="4">
        <v>0</v>
      </c>
      <c r="AC355" s="4">
        <v>449.99</v>
      </c>
      <c r="AD355" s="4">
        <v>2</v>
      </c>
      <c r="AE355" s="4">
        <v>1439.99</v>
      </c>
      <c r="AF355" s="4">
        <v>11</v>
      </c>
      <c r="AG355" s="4">
        <v>1162.01</v>
      </c>
      <c r="AH355" s="4">
        <v>7</v>
      </c>
      <c r="AI355" s="4">
        <v>1938.01</v>
      </c>
      <c r="AJ355" s="4">
        <v>13</v>
      </c>
      <c r="AK355" s="4">
        <v>864.01</v>
      </c>
      <c r="AL355" s="4">
        <v>5</v>
      </c>
      <c r="AM355" s="4">
        <v>0</v>
      </c>
      <c r="AN355" s="4">
        <v>0</v>
      </c>
      <c r="AO355" s="4">
        <v>723.02</v>
      </c>
      <c r="AP355" s="4">
        <v>4</v>
      </c>
      <c r="AQ355" s="4">
        <v>0</v>
      </c>
      <c r="AR355" s="4">
        <v>0</v>
      </c>
      <c r="AS355" s="4">
        <v>974.99</v>
      </c>
      <c r="AT355" s="4">
        <v>6</v>
      </c>
      <c r="AU355" s="4">
        <v>1074.03</v>
      </c>
      <c r="AV355" s="4">
        <v>9</v>
      </c>
      <c r="AW355" s="4">
        <v>385.98</v>
      </c>
      <c r="AX355" s="4">
        <v>1</v>
      </c>
      <c r="AY355" s="4">
        <v>559.98</v>
      </c>
      <c r="AZ355" s="4">
        <v>4</v>
      </c>
      <c r="BA355" s="4">
        <v>458.96</v>
      </c>
      <c r="BB355" s="4">
        <v>4</v>
      </c>
      <c r="BC355" s="4">
        <v>0</v>
      </c>
      <c r="BD355" s="4">
        <v>0</v>
      </c>
      <c r="BE355" s="4">
        <v>287</v>
      </c>
      <c r="BF355" s="4">
        <v>4</v>
      </c>
      <c r="BQ355" s="3">
        <f t="shared" si="12"/>
        <v>20355.13</v>
      </c>
      <c r="BR355" s="3">
        <f t="shared" si="11"/>
        <v>148</v>
      </c>
    </row>
    <row r="356" spans="1:70" x14ac:dyDescent="0.25">
      <c r="A356" s="4" t="s">
        <v>2480</v>
      </c>
      <c r="B356" t="s">
        <v>80</v>
      </c>
      <c r="C356" s="338" t="s">
        <v>1936</v>
      </c>
      <c r="D356" s="213" t="s">
        <v>1027</v>
      </c>
      <c r="E356" s="213" t="s">
        <v>137</v>
      </c>
      <c r="F356" s="213" t="s">
        <v>127</v>
      </c>
      <c r="G356" s="4">
        <v>701.01</v>
      </c>
      <c r="H356" s="4">
        <v>7</v>
      </c>
      <c r="I356" s="4">
        <v>2664.05</v>
      </c>
      <c r="J356" s="4">
        <v>23</v>
      </c>
      <c r="K356" s="4">
        <v>1425.04</v>
      </c>
      <c r="L356" s="4">
        <v>10</v>
      </c>
      <c r="M356" s="4">
        <v>0</v>
      </c>
      <c r="N356" s="4">
        <v>0</v>
      </c>
      <c r="O356" s="4">
        <v>1294.01</v>
      </c>
      <c r="P356" s="4">
        <v>9</v>
      </c>
      <c r="Q356" s="4">
        <v>375</v>
      </c>
      <c r="R356" s="4">
        <v>3</v>
      </c>
      <c r="S356" s="4">
        <v>1442.02</v>
      </c>
      <c r="T356" s="4">
        <v>9</v>
      </c>
      <c r="U356" s="4">
        <v>1384</v>
      </c>
      <c r="V356" s="4">
        <v>11</v>
      </c>
      <c r="W356" s="4">
        <v>879.99</v>
      </c>
      <c r="X356" s="4">
        <v>6</v>
      </c>
      <c r="Y356" s="4">
        <v>0</v>
      </c>
      <c r="Z356" s="4">
        <v>0</v>
      </c>
      <c r="AA356" s="4">
        <v>1003.06</v>
      </c>
      <c r="AB356" s="4">
        <v>7</v>
      </c>
      <c r="AC356" s="4">
        <v>349</v>
      </c>
      <c r="AD356" s="4">
        <v>4</v>
      </c>
      <c r="AE356" s="4">
        <v>0</v>
      </c>
      <c r="AF356" s="4">
        <v>0</v>
      </c>
      <c r="AG356" s="4">
        <v>300</v>
      </c>
      <c r="AH356" s="4">
        <v>2</v>
      </c>
      <c r="AI356" s="4">
        <v>0</v>
      </c>
      <c r="AJ356" s="4">
        <v>0</v>
      </c>
      <c r="AK356" s="4">
        <v>0</v>
      </c>
      <c r="AL356" s="4">
        <v>0</v>
      </c>
      <c r="AM356" s="4">
        <v>600.01</v>
      </c>
      <c r="AN356" s="4">
        <v>3</v>
      </c>
      <c r="AO356" s="4">
        <v>150.01</v>
      </c>
      <c r="AP356" s="4">
        <v>1</v>
      </c>
      <c r="AQ356" s="4">
        <v>2839.05</v>
      </c>
      <c r="AR356" s="4">
        <v>3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Q356" s="3">
        <f t="shared" si="12"/>
        <v>15406.25</v>
      </c>
      <c r="BR356" s="3">
        <f t="shared" si="11"/>
        <v>98</v>
      </c>
    </row>
    <row r="357" spans="1:70" x14ac:dyDescent="0.25">
      <c r="A357" s="4" t="s">
        <v>2481</v>
      </c>
      <c r="B357" t="s">
        <v>81</v>
      </c>
      <c r="C357" s="338" t="s">
        <v>1937</v>
      </c>
      <c r="D357" s="213" t="s">
        <v>1028</v>
      </c>
      <c r="E357" s="213" t="s">
        <v>158</v>
      </c>
      <c r="F357" s="213" t="s">
        <v>128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1493.03</v>
      </c>
      <c r="X357" s="4">
        <v>15</v>
      </c>
      <c r="Y357" s="4">
        <v>891</v>
      </c>
      <c r="Z357" s="4">
        <v>7</v>
      </c>
      <c r="AA357" s="4">
        <v>0</v>
      </c>
      <c r="AB357" s="4">
        <v>0</v>
      </c>
      <c r="AC357" s="4">
        <v>300.02</v>
      </c>
      <c r="AD357" s="4">
        <v>2</v>
      </c>
      <c r="AE357" s="4">
        <v>0</v>
      </c>
      <c r="AF357" s="4">
        <v>0</v>
      </c>
      <c r="AG357" s="4">
        <v>299.01</v>
      </c>
      <c r="AH357" s="4">
        <v>1</v>
      </c>
      <c r="AI357" s="4">
        <v>600.02</v>
      </c>
      <c r="AJ357" s="4">
        <v>5</v>
      </c>
      <c r="AK357" s="4">
        <v>0</v>
      </c>
      <c r="AL357" s="4">
        <v>0</v>
      </c>
      <c r="AM357" s="4">
        <v>490.02</v>
      </c>
      <c r="AN357" s="4">
        <v>5</v>
      </c>
      <c r="AO357" s="4">
        <v>190</v>
      </c>
      <c r="AP357" s="4">
        <v>2</v>
      </c>
      <c r="AQ357" s="4">
        <v>0</v>
      </c>
      <c r="AR357" s="4">
        <v>0</v>
      </c>
      <c r="AS357" s="4">
        <v>0</v>
      </c>
      <c r="AT357" s="4">
        <v>0</v>
      </c>
      <c r="AU357" s="4">
        <v>500</v>
      </c>
      <c r="AV357" s="4">
        <v>2</v>
      </c>
      <c r="AW357" s="4">
        <v>150</v>
      </c>
      <c r="AX357" s="4">
        <v>1</v>
      </c>
      <c r="AY357" s="4">
        <v>0</v>
      </c>
      <c r="AZ357" s="4">
        <v>0</v>
      </c>
      <c r="BA357" s="4">
        <v>582.97</v>
      </c>
      <c r="BB357" s="4">
        <v>4</v>
      </c>
      <c r="BC357" s="4">
        <v>505.02</v>
      </c>
      <c r="BD357" s="4">
        <v>3</v>
      </c>
      <c r="BE357" s="4">
        <v>315.02999999999997</v>
      </c>
      <c r="BF357" s="4">
        <v>2</v>
      </c>
      <c r="BQ357" s="3">
        <f t="shared" si="12"/>
        <v>6316.12</v>
      </c>
      <c r="BR357" s="3">
        <f t="shared" si="11"/>
        <v>49</v>
      </c>
    </row>
    <row r="358" spans="1:70" x14ac:dyDescent="0.25">
      <c r="A358" s="4" t="s">
        <v>2482</v>
      </c>
      <c r="B358" t="s">
        <v>81</v>
      </c>
      <c r="C358" s="338" t="s">
        <v>1938</v>
      </c>
      <c r="D358" s="213" t="s">
        <v>1029</v>
      </c>
      <c r="E358" s="213" t="s">
        <v>158</v>
      </c>
      <c r="F358" s="213" t="s">
        <v>128</v>
      </c>
      <c r="G358" s="4">
        <v>749.01</v>
      </c>
      <c r="H358" s="4">
        <v>9</v>
      </c>
      <c r="I358" s="4">
        <v>908.03</v>
      </c>
      <c r="J358" s="4">
        <v>8</v>
      </c>
      <c r="K358" s="4">
        <v>579.02</v>
      </c>
      <c r="L358" s="4">
        <v>6</v>
      </c>
      <c r="M358" s="4">
        <v>400</v>
      </c>
      <c r="N358" s="4">
        <v>4</v>
      </c>
      <c r="O358" s="4">
        <v>0</v>
      </c>
      <c r="P358" s="4">
        <v>0</v>
      </c>
      <c r="Q358" s="4">
        <v>75</v>
      </c>
      <c r="R358" s="4">
        <v>1</v>
      </c>
      <c r="S358" s="4">
        <v>2197.0300000000002</v>
      </c>
      <c r="T358" s="4">
        <v>18</v>
      </c>
      <c r="U358" s="4">
        <v>525</v>
      </c>
      <c r="V358" s="4">
        <v>5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150</v>
      </c>
      <c r="AJ358" s="4">
        <v>1</v>
      </c>
      <c r="AK358" s="4">
        <v>910.01</v>
      </c>
      <c r="AL358" s="4">
        <v>6</v>
      </c>
      <c r="AM358" s="4">
        <v>172.01</v>
      </c>
      <c r="AN358" s="4">
        <v>4</v>
      </c>
      <c r="AO358" s="4">
        <v>75</v>
      </c>
      <c r="AP358" s="4">
        <v>1</v>
      </c>
      <c r="AQ358" s="4">
        <v>0</v>
      </c>
      <c r="AR358" s="4">
        <v>0</v>
      </c>
      <c r="AS358" s="4">
        <v>225</v>
      </c>
      <c r="AT358" s="4">
        <v>2</v>
      </c>
      <c r="AU358" s="4">
        <v>370.01</v>
      </c>
      <c r="AV358" s="4">
        <v>4</v>
      </c>
      <c r="AW358" s="4">
        <v>839</v>
      </c>
      <c r="AX358" s="4">
        <v>9</v>
      </c>
      <c r="AY358" s="4">
        <v>2467.9</v>
      </c>
      <c r="AZ358" s="4">
        <v>8</v>
      </c>
      <c r="BA358" s="4">
        <v>2220.8200000000002</v>
      </c>
      <c r="BB358" s="4">
        <v>15</v>
      </c>
      <c r="BC358" s="4">
        <v>1968.93</v>
      </c>
      <c r="BD358" s="4">
        <v>15</v>
      </c>
      <c r="BE358" s="4">
        <v>1069.05</v>
      </c>
      <c r="BF358" s="4">
        <v>5</v>
      </c>
      <c r="BQ358" s="3">
        <f t="shared" si="12"/>
        <v>15900.82</v>
      </c>
      <c r="BR358" s="3">
        <f t="shared" si="11"/>
        <v>121</v>
      </c>
    </row>
    <row r="359" spans="1:70" x14ac:dyDescent="0.25">
      <c r="A359" s="4" t="s">
        <v>2483</v>
      </c>
      <c r="B359" t="s">
        <v>81</v>
      </c>
      <c r="C359" s="338" t="s">
        <v>1939</v>
      </c>
      <c r="D359" s="213" t="s">
        <v>1030</v>
      </c>
      <c r="E359" s="213" t="s">
        <v>158</v>
      </c>
      <c r="F359" s="213" t="s">
        <v>128</v>
      </c>
      <c r="G359" s="4">
        <v>1097</v>
      </c>
      <c r="H359" s="4">
        <v>9</v>
      </c>
      <c r="I359" s="4">
        <v>0</v>
      </c>
      <c r="J359" s="4">
        <v>0</v>
      </c>
      <c r="K359" s="4">
        <v>794.01</v>
      </c>
      <c r="L359" s="4">
        <v>4</v>
      </c>
      <c r="M359" s="4">
        <v>968.01</v>
      </c>
      <c r="N359" s="4">
        <v>13</v>
      </c>
      <c r="O359" s="4">
        <v>1552.04</v>
      </c>
      <c r="P359" s="4">
        <v>16</v>
      </c>
      <c r="Q359" s="4">
        <v>1912.03</v>
      </c>
      <c r="R359" s="4">
        <v>11</v>
      </c>
      <c r="S359" s="4">
        <v>0</v>
      </c>
      <c r="T359" s="4">
        <v>0</v>
      </c>
      <c r="U359" s="4">
        <v>1428.05</v>
      </c>
      <c r="V359" s="4">
        <v>13</v>
      </c>
      <c r="W359" s="4">
        <v>899.01</v>
      </c>
      <c r="X359" s="4">
        <v>6</v>
      </c>
      <c r="Y359" s="4">
        <v>698.03</v>
      </c>
      <c r="Z359" s="4">
        <v>7</v>
      </c>
      <c r="AA359" s="4">
        <v>1116.04</v>
      </c>
      <c r="AB359" s="4">
        <v>10</v>
      </c>
      <c r="AC359" s="4">
        <v>372.01</v>
      </c>
      <c r="AD359" s="4">
        <v>2</v>
      </c>
      <c r="AE359" s="4">
        <v>679.04</v>
      </c>
      <c r="AF359" s="4">
        <v>5</v>
      </c>
      <c r="AG359" s="4">
        <v>0</v>
      </c>
      <c r="AH359" s="4">
        <v>0</v>
      </c>
      <c r="AI359" s="4">
        <v>1270.04</v>
      </c>
      <c r="AJ359" s="4">
        <v>9</v>
      </c>
      <c r="AK359" s="4">
        <v>1414.02</v>
      </c>
      <c r="AL359" s="4">
        <v>11</v>
      </c>
      <c r="AM359" s="4">
        <v>1304</v>
      </c>
      <c r="AN359" s="4">
        <v>13</v>
      </c>
      <c r="AO359" s="4">
        <v>421.01</v>
      </c>
      <c r="AP359" s="4">
        <v>4</v>
      </c>
      <c r="AQ359" s="4">
        <v>1655.03</v>
      </c>
      <c r="AR359" s="4">
        <v>11</v>
      </c>
      <c r="AS359" s="4">
        <v>1031.05</v>
      </c>
      <c r="AT359" s="4">
        <v>9</v>
      </c>
      <c r="AU359" s="4">
        <v>0</v>
      </c>
      <c r="AV359" s="4">
        <v>0</v>
      </c>
      <c r="AW359" s="4">
        <v>117.99</v>
      </c>
      <c r="AX359" s="4">
        <v>1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Q359" s="3">
        <f t="shared" si="12"/>
        <v>18728.410000000003</v>
      </c>
      <c r="BR359" s="3">
        <f t="shared" si="11"/>
        <v>154</v>
      </c>
    </row>
    <row r="360" spans="1:70" x14ac:dyDescent="0.25">
      <c r="A360" s="4" t="s">
        <v>2484</v>
      </c>
      <c r="B360" t="s">
        <v>81</v>
      </c>
      <c r="C360" s="338" t="s">
        <v>1940</v>
      </c>
      <c r="D360" s="213" t="s">
        <v>1031</v>
      </c>
      <c r="E360" s="213" t="s">
        <v>158</v>
      </c>
      <c r="F360" s="213" t="s">
        <v>128</v>
      </c>
      <c r="G360" s="4">
        <v>3095.05</v>
      </c>
      <c r="H360" s="4">
        <v>27</v>
      </c>
      <c r="I360" s="4">
        <v>3470.97</v>
      </c>
      <c r="J360" s="4">
        <v>32</v>
      </c>
      <c r="K360" s="4">
        <v>1284.01</v>
      </c>
      <c r="L360" s="4">
        <v>9</v>
      </c>
      <c r="M360" s="4">
        <v>750.04</v>
      </c>
      <c r="N360" s="4">
        <v>1</v>
      </c>
      <c r="O360" s="4">
        <v>600.02</v>
      </c>
      <c r="P360" s="4">
        <v>5</v>
      </c>
      <c r="Q360" s="4">
        <v>624.99</v>
      </c>
      <c r="R360" s="4">
        <v>3</v>
      </c>
      <c r="S360" s="4">
        <v>450.03</v>
      </c>
      <c r="T360" s="4">
        <v>4</v>
      </c>
      <c r="U360" s="4">
        <v>1616.04</v>
      </c>
      <c r="V360" s="4">
        <v>6</v>
      </c>
      <c r="W360" s="4">
        <v>0</v>
      </c>
      <c r="X360" s="4">
        <v>0</v>
      </c>
      <c r="Y360" s="4">
        <v>409</v>
      </c>
      <c r="Z360" s="4">
        <v>4</v>
      </c>
      <c r="AA360" s="4">
        <v>1294.02</v>
      </c>
      <c r="AB360" s="4">
        <v>12</v>
      </c>
      <c r="AC360" s="4">
        <v>544</v>
      </c>
      <c r="AD360" s="4">
        <v>8</v>
      </c>
      <c r="AE360" s="4">
        <v>675.01</v>
      </c>
      <c r="AF360" s="4">
        <v>5</v>
      </c>
      <c r="AG360" s="4">
        <v>1884.02</v>
      </c>
      <c r="AH360" s="4">
        <v>13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Q360" s="3">
        <f t="shared" si="12"/>
        <v>16697.2</v>
      </c>
      <c r="BR360" s="3">
        <f t="shared" si="11"/>
        <v>129</v>
      </c>
    </row>
    <row r="361" spans="1:70" x14ac:dyDescent="0.25">
      <c r="A361" s="4" t="s">
        <v>2485</v>
      </c>
      <c r="B361" t="s">
        <v>82</v>
      </c>
      <c r="C361" s="338" t="s">
        <v>1941</v>
      </c>
      <c r="D361" s="213" t="s">
        <v>1032</v>
      </c>
      <c r="E361" s="213" t="s">
        <v>147</v>
      </c>
      <c r="F361" s="213" t="s">
        <v>127</v>
      </c>
      <c r="G361" s="4">
        <v>0</v>
      </c>
      <c r="H361" s="4">
        <v>0</v>
      </c>
      <c r="I361" s="4">
        <v>0</v>
      </c>
      <c r="J361" s="4">
        <v>0</v>
      </c>
      <c r="K361" s="4">
        <v>2147.0100000000002</v>
      </c>
      <c r="L361" s="4">
        <v>19</v>
      </c>
      <c r="M361" s="4">
        <v>1869.02</v>
      </c>
      <c r="N361" s="4">
        <v>11</v>
      </c>
      <c r="O361" s="4">
        <v>0</v>
      </c>
      <c r="P361" s="4">
        <v>0</v>
      </c>
      <c r="Q361" s="4">
        <v>300</v>
      </c>
      <c r="R361" s="4">
        <v>2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359.01</v>
      </c>
      <c r="AB361" s="4">
        <v>1</v>
      </c>
      <c r="AC361" s="4">
        <v>75</v>
      </c>
      <c r="AD361" s="4">
        <v>1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190</v>
      </c>
      <c r="AN361" s="4">
        <v>2</v>
      </c>
      <c r="AO361" s="4">
        <v>450.01</v>
      </c>
      <c r="AP361" s="4">
        <v>3</v>
      </c>
      <c r="AQ361" s="4">
        <v>0</v>
      </c>
      <c r="AR361" s="4">
        <v>0</v>
      </c>
      <c r="AS361" s="4">
        <v>450</v>
      </c>
      <c r="AT361" s="4">
        <v>3</v>
      </c>
      <c r="AU361" s="4">
        <v>150</v>
      </c>
      <c r="AV361" s="4">
        <v>1</v>
      </c>
      <c r="AW361" s="4">
        <v>210.98</v>
      </c>
      <c r="AX361" s="4">
        <v>1</v>
      </c>
      <c r="AY361" s="4">
        <v>0</v>
      </c>
      <c r="AZ361" s="4">
        <v>0</v>
      </c>
      <c r="BA361" s="4">
        <v>650.97</v>
      </c>
      <c r="BB361" s="4">
        <v>3</v>
      </c>
      <c r="BC361" s="4">
        <v>375</v>
      </c>
      <c r="BD361" s="4">
        <v>3</v>
      </c>
      <c r="BE361" s="4">
        <v>497.04</v>
      </c>
      <c r="BF361" s="4">
        <v>3</v>
      </c>
      <c r="BQ361" s="3">
        <f t="shared" si="12"/>
        <v>7724.0400000000009</v>
      </c>
      <c r="BR361" s="3">
        <f t="shared" si="11"/>
        <v>53</v>
      </c>
    </row>
    <row r="362" spans="1:70" x14ac:dyDescent="0.25">
      <c r="A362" s="4" t="s">
        <v>2486</v>
      </c>
      <c r="B362" t="s">
        <v>82</v>
      </c>
      <c r="C362" s="338" t="s">
        <v>1942</v>
      </c>
      <c r="D362" s="213" t="s">
        <v>1033</v>
      </c>
      <c r="E362" s="213" t="s">
        <v>147</v>
      </c>
      <c r="F362" s="213" t="s">
        <v>127</v>
      </c>
      <c r="G362" s="4">
        <v>1892.02</v>
      </c>
      <c r="H362" s="4">
        <v>11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465</v>
      </c>
      <c r="AN362" s="4">
        <v>3</v>
      </c>
      <c r="AO362" s="4">
        <v>1052</v>
      </c>
      <c r="AP362" s="4">
        <v>8</v>
      </c>
      <c r="AQ362" s="4">
        <v>1375.02</v>
      </c>
      <c r="AR362" s="4">
        <v>6</v>
      </c>
      <c r="AS362" s="4">
        <v>575.01</v>
      </c>
      <c r="AT362" s="4">
        <v>5</v>
      </c>
      <c r="AU362" s="4">
        <v>0</v>
      </c>
      <c r="AV362" s="4">
        <v>0</v>
      </c>
      <c r="AW362" s="4">
        <v>1788.9</v>
      </c>
      <c r="AX362" s="4">
        <v>12</v>
      </c>
      <c r="AY362" s="4">
        <v>1367.92</v>
      </c>
      <c r="AZ362" s="4">
        <v>9</v>
      </c>
      <c r="BA362" s="4">
        <v>735.98</v>
      </c>
      <c r="BB362" s="4">
        <v>6</v>
      </c>
      <c r="BC362" s="4">
        <v>1396.96</v>
      </c>
      <c r="BD362" s="4">
        <v>10</v>
      </c>
      <c r="BE362" s="4">
        <v>1184.08</v>
      </c>
      <c r="BF362" s="4">
        <v>7</v>
      </c>
      <c r="BQ362" s="3">
        <f t="shared" si="12"/>
        <v>11832.890000000001</v>
      </c>
      <c r="BR362" s="3">
        <f t="shared" si="11"/>
        <v>77</v>
      </c>
    </row>
    <row r="363" spans="1:70" x14ac:dyDescent="0.25">
      <c r="A363" s="4" t="s">
        <v>2487</v>
      </c>
      <c r="B363" t="s">
        <v>82</v>
      </c>
      <c r="C363" s="338" t="s">
        <v>1943</v>
      </c>
      <c r="D363" s="213" t="s">
        <v>1034</v>
      </c>
      <c r="E363" s="213" t="s">
        <v>147</v>
      </c>
      <c r="F363" s="213" t="s">
        <v>127</v>
      </c>
      <c r="G363" s="4">
        <v>1385</v>
      </c>
      <c r="H363" s="4">
        <v>11</v>
      </c>
      <c r="I363" s="4">
        <v>2391.0500000000002</v>
      </c>
      <c r="J363" s="4">
        <v>17</v>
      </c>
      <c r="K363" s="4">
        <v>2249.0300000000002</v>
      </c>
      <c r="L363" s="4">
        <v>16</v>
      </c>
      <c r="M363" s="4">
        <v>0</v>
      </c>
      <c r="N363" s="4">
        <v>0</v>
      </c>
      <c r="O363" s="4">
        <v>895.01</v>
      </c>
      <c r="P363" s="4">
        <v>6</v>
      </c>
      <c r="Q363" s="4">
        <v>549.02</v>
      </c>
      <c r="R363" s="4">
        <v>3</v>
      </c>
      <c r="S363" s="4">
        <v>7713.1</v>
      </c>
      <c r="T363" s="4">
        <v>16</v>
      </c>
      <c r="U363" s="4">
        <v>800.03</v>
      </c>
      <c r="V363" s="4">
        <v>6</v>
      </c>
      <c r="W363" s="4">
        <v>1563</v>
      </c>
      <c r="X363" s="4">
        <v>10</v>
      </c>
      <c r="Y363" s="4">
        <v>849</v>
      </c>
      <c r="Z363" s="4">
        <v>6</v>
      </c>
      <c r="AA363" s="4">
        <v>675.01</v>
      </c>
      <c r="AB363" s="4">
        <v>5</v>
      </c>
      <c r="AC363" s="4">
        <v>1153.01</v>
      </c>
      <c r="AD363" s="4">
        <v>8</v>
      </c>
      <c r="AE363" s="4">
        <v>1005.01</v>
      </c>
      <c r="AF363" s="4">
        <v>6</v>
      </c>
      <c r="AG363" s="4">
        <v>1960.02</v>
      </c>
      <c r="AH363" s="4">
        <v>13</v>
      </c>
      <c r="AI363" s="4">
        <v>680</v>
      </c>
      <c r="AJ363" s="4">
        <v>5</v>
      </c>
      <c r="AK363" s="4">
        <v>0</v>
      </c>
      <c r="AL363" s="4">
        <v>0</v>
      </c>
      <c r="AM363" s="4">
        <v>689</v>
      </c>
      <c r="AN363" s="4">
        <v>5</v>
      </c>
      <c r="AO363" s="4">
        <v>0</v>
      </c>
      <c r="AP363" s="4">
        <v>0</v>
      </c>
      <c r="AQ363" s="4">
        <v>75</v>
      </c>
      <c r="AR363" s="4">
        <v>1</v>
      </c>
      <c r="AS363" s="4">
        <v>0</v>
      </c>
      <c r="AT363" s="4">
        <v>0</v>
      </c>
      <c r="AU363" s="4">
        <v>1090.04</v>
      </c>
      <c r="AV363" s="4">
        <v>8</v>
      </c>
      <c r="AW363" s="4">
        <v>475.98</v>
      </c>
      <c r="AX363" s="4">
        <v>4</v>
      </c>
      <c r="AY363" s="4">
        <v>958.92</v>
      </c>
      <c r="AZ363" s="4">
        <v>5</v>
      </c>
      <c r="BA363" s="4">
        <v>1071.96</v>
      </c>
      <c r="BB363" s="4">
        <v>7</v>
      </c>
      <c r="BC363" s="4">
        <v>0</v>
      </c>
      <c r="BD363" s="4">
        <v>0</v>
      </c>
      <c r="BE363" s="4">
        <v>0</v>
      </c>
      <c r="BF363" s="4">
        <v>0</v>
      </c>
      <c r="BQ363" s="3">
        <f t="shared" si="12"/>
        <v>28228.189999999995</v>
      </c>
      <c r="BR363" s="3">
        <f t="shared" si="11"/>
        <v>158</v>
      </c>
    </row>
    <row r="364" spans="1:70" x14ac:dyDescent="0.25">
      <c r="A364" s="4" t="s">
        <v>2488</v>
      </c>
      <c r="B364" t="s">
        <v>82</v>
      </c>
      <c r="C364" s="338" t="s">
        <v>1944</v>
      </c>
      <c r="D364" s="213" t="s">
        <v>1035</v>
      </c>
      <c r="E364" s="213" t="s">
        <v>147</v>
      </c>
      <c r="F364" s="213" t="s">
        <v>127</v>
      </c>
      <c r="G364" s="4">
        <v>2760.03</v>
      </c>
      <c r="H364" s="4">
        <v>23</v>
      </c>
      <c r="I364" s="4">
        <v>3919.1</v>
      </c>
      <c r="J364" s="4">
        <v>28</v>
      </c>
      <c r="K364" s="4">
        <v>1306.04</v>
      </c>
      <c r="L364" s="4">
        <v>8</v>
      </c>
      <c r="M364" s="4">
        <v>1999.04</v>
      </c>
      <c r="N364" s="4">
        <v>12</v>
      </c>
      <c r="O364" s="4">
        <v>2766.03</v>
      </c>
      <c r="P364" s="4">
        <v>20</v>
      </c>
      <c r="Q364" s="4">
        <v>1187.99</v>
      </c>
      <c r="R364" s="4">
        <v>9</v>
      </c>
      <c r="S364" s="4">
        <v>3488.02</v>
      </c>
      <c r="T364" s="4">
        <v>24</v>
      </c>
      <c r="U364" s="4">
        <v>1820.03</v>
      </c>
      <c r="V364" s="4">
        <v>12</v>
      </c>
      <c r="W364" s="4">
        <v>0</v>
      </c>
      <c r="X364" s="4">
        <v>0</v>
      </c>
      <c r="Y364" s="4">
        <v>2814.02</v>
      </c>
      <c r="Z364" s="4">
        <v>20</v>
      </c>
      <c r="AA364" s="4">
        <v>2354.0300000000002</v>
      </c>
      <c r="AB364" s="4">
        <v>13</v>
      </c>
      <c r="AC364" s="4">
        <v>1390.01</v>
      </c>
      <c r="AD364" s="4">
        <v>10</v>
      </c>
      <c r="AE364" s="4">
        <v>0</v>
      </c>
      <c r="AF364" s="4">
        <v>0</v>
      </c>
      <c r="AG364" s="4">
        <v>2335.0100000000002</v>
      </c>
      <c r="AH364" s="4">
        <v>19</v>
      </c>
      <c r="AI364" s="4">
        <v>1978.04</v>
      </c>
      <c r="AJ364" s="4">
        <v>9</v>
      </c>
      <c r="AK364" s="4">
        <v>858.02</v>
      </c>
      <c r="AL364" s="4">
        <v>5</v>
      </c>
      <c r="AM364" s="4">
        <v>976.02</v>
      </c>
      <c r="AN364" s="4">
        <v>7</v>
      </c>
      <c r="AO364" s="4">
        <v>577.01</v>
      </c>
      <c r="AP364" s="4">
        <v>5</v>
      </c>
      <c r="AQ364" s="4">
        <v>565.02</v>
      </c>
      <c r="AR364" s="4">
        <v>4</v>
      </c>
      <c r="AS364" s="4">
        <v>310</v>
      </c>
      <c r="AT364" s="4">
        <v>2</v>
      </c>
      <c r="AU364" s="4">
        <v>0</v>
      </c>
      <c r="AV364" s="4">
        <v>0</v>
      </c>
      <c r="AW364" s="4">
        <v>661</v>
      </c>
      <c r="AX364" s="4">
        <v>3</v>
      </c>
      <c r="AY364" s="4">
        <v>0</v>
      </c>
      <c r="AZ364" s="4">
        <v>0</v>
      </c>
      <c r="BA364" s="4">
        <v>360.98</v>
      </c>
      <c r="BB364" s="4">
        <v>2</v>
      </c>
      <c r="BC364" s="4">
        <v>1341.96</v>
      </c>
      <c r="BD364" s="4">
        <v>8</v>
      </c>
      <c r="BE364" s="4">
        <v>211.02</v>
      </c>
      <c r="BF364" s="4">
        <v>1</v>
      </c>
      <c r="BQ364" s="3">
        <f t="shared" si="12"/>
        <v>35978.42</v>
      </c>
      <c r="BR364" s="3">
        <f t="shared" si="11"/>
        <v>244</v>
      </c>
    </row>
    <row r="365" spans="1:70" x14ac:dyDescent="0.25">
      <c r="A365" s="4" t="s">
        <v>2489</v>
      </c>
      <c r="B365" t="s">
        <v>82</v>
      </c>
      <c r="C365" s="338" t="s">
        <v>1945</v>
      </c>
      <c r="D365" s="213" t="s">
        <v>1036</v>
      </c>
      <c r="E365" s="213" t="s">
        <v>147</v>
      </c>
      <c r="F365" s="213" t="s">
        <v>127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6292.17</v>
      </c>
      <c r="N365" s="4">
        <v>37</v>
      </c>
      <c r="O365" s="4">
        <v>450</v>
      </c>
      <c r="P365" s="4">
        <v>2</v>
      </c>
      <c r="Q365" s="4">
        <v>1462.02</v>
      </c>
      <c r="R365" s="4">
        <v>9</v>
      </c>
      <c r="S365" s="4">
        <v>0</v>
      </c>
      <c r="T365" s="4">
        <v>0</v>
      </c>
      <c r="U365" s="4">
        <v>1240.02</v>
      </c>
      <c r="V365" s="4">
        <v>9</v>
      </c>
      <c r="W365" s="4">
        <v>2072.02</v>
      </c>
      <c r="X365" s="4">
        <v>11</v>
      </c>
      <c r="Y365" s="4">
        <v>1505</v>
      </c>
      <c r="Z365" s="4">
        <v>9</v>
      </c>
      <c r="AA365" s="4">
        <v>1682.04</v>
      </c>
      <c r="AB365" s="4">
        <v>9</v>
      </c>
      <c r="AC365" s="4">
        <v>1629.03</v>
      </c>
      <c r="AD365" s="4">
        <v>11</v>
      </c>
      <c r="AE365" s="4">
        <v>1769.05</v>
      </c>
      <c r="AF365" s="4">
        <v>12</v>
      </c>
      <c r="AG365" s="4">
        <v>0</v>
      </c>
      <c r="AH365" s="4">
        <v>0</v>
      </c>
      <c r="AI365" s="4">
        <v>1869</v>
      </c>
      <c r="AJ365" s="4">
        <v>10</v>
      </c>
      <c r="AK365" s="4">
        <v>1172.02</v>
      </c>
      <c r="AL365" s="4">
        <v>6</v>
      </c>
      <c r="AM365" s="4">
        <v>339</v>
      </c>
      <c r="AN365" s="4">
        <v>4</v>
      </c>
      <c r="AO365" s="4">
        <v>1277.05</v>
      </c>
      <c r="AP365" s="4">
        <v>9</v>
      </c>
      <c r="AQ365" s="4">
        <v>2025.05</v>
      </c>
      <c r="AR365" s="4">
        <v>12</v>
      </c>
      <c r="AS365" s="4">
        <v>525</v>
      </c>
      <c r="AT365" s="4">
        <v>4</v>
      </c>
      <c r="AU365" s="4">
        <v>1140</v>
      </c>
      <c r="AV365" s="4">
        <v>9</v>
      </c>
      <c r="AW365" s="4">
        <v>0</v>
      </c>
      <c r="AX365" s="4">
        <v>0</v>
      </c>
      <c r="AY365" s="4">
        <v>0</v>
      </c>
      <c r="AZ365" s="4">
        <v>0</v>
      </c>
      <c r="BA365" s="4">
        <v>112</v>
      </c>
      <c r="BB365" s="4">
        <v>2</v>
      </c>
      <c r="BC365" s="4">
        <v>1533.95</v>
      </c>
      <c r="BD365" s="4">
        <v>9</v>
      </c>
      <c r="BE365" s="4">
        <v>984.07</v>
      </c>
      <c r="BF365" s="4">
        <v>6</v>
      </c>
      <c r="BQ365" s="3">
        <f t="shared" si="12"/>
        <v>29078.49</v>
      </c>
      <c r="BR365" s="3">
        <f t="shared" si="11"/>
        <v>180</v>
      </c>
    </row>
    <row r="366" spans="1:70" x14ac:dyDescent="0.25">
      <c r="A366" s="4" t="s">
        <v>2490</v>
      </c>
      <c r="B366" t="s">
        <v>83</v>
      </c>
      <c r="C366" s="338" t="s">
        <v>1946</v>
      </c>
      <c r="D366" s="213" t="s">
        <v>1037</v>
      </c>
      <c r="E366" s="213" t="s">
        <v>143</v>
      </c>
      <c r="F366" s="213" t="s">
        <v>133</v>
      </c>
      <c r="G366" s="4">
        <v>484.02</v>
      </c>
      <c r="H366" s="4">
        <v>4</v>
      </c>
      <c r="I366" s="4">
        <v>1720.06</v>
      </c>
      <c r="J366" s="4">
        <v>11</v>
      </c>
      <c r="K366" s="4">
        <v>0</v>
      </c>
      <c r="L366" s="4">
        <v>0</v>
      </c>
      <c r="M366" s="4">
        <v>974.04</v>
      </c>
      <c r="N366" s="4">
        <v>3</v>
      </c>
      <c r="O366" s="4">
        <v>375.01</v>
      </c>
      <c r="P366" s="4">
        <v>2</v>
      </c>
      <c r="Q366" s="4">
        <v>525.01</v>
      </c>
      <c r="R366" s="4">
        <v>4</v>
      </c>
      <c r="S366" s="4">
        <v>0</v>
      </c>
      <c r="T366" s="4">
        <v>0</v>
      </c>
      <c r="U366" s="4">
        <v>349.01</v>
      </c>
      <c r="V366" s="4">
        <v>1</v>
      </c>
      <c r="W366" s="4">
        <v>0</v>
      </c>
      <c r="X366" s="4">
        <v>0</v>
      </c>
      <c r="Y366" s="4">
        <v>150</v>
      </c>
      <c r="Z366" s="4">
        <v>1</v>
      </c>
      <c r="AA366" s="4">
        <v>75</v>
      </c>
      <c r="AB366" s="4">
        <v>1</v>
      </c>
      <c r="AC366" s="4">
        <v>750.02</v>
      </c>
      <c r="AD366" s="4">
        <v>5</v>
      </c>
      <c r="AE366" s="4">
        <v>0</v>
      </c>
      <c r="AF366" s="4">
        <v>0</v>
      </c>
      <c r="AG366" s="4">
        <v>0</v>
      </c>
      <c r="AH366" s="4">
        <v>0</v>
      </c>
      <c r="AI366" s="4">
        <v>429.01</v>
      </c>
      <c r="AJ366" s="4">
        <v>3</v>
      </c>
      <c r="AK366" s="4">
        <v>300.02</v>
      </c>
      <c r="AL366" s="4">
        <v>2</v>
      </c>
      <c r="AM366" s="4">
        <v>348.01</v>
      </c>
      <c r="AN366" s="4">
        <v>2</v>
      </c>
      <c r="AO366" s="4">
        <v>0</v>
      </c>
      <c r="AP366" s="4">
        <v>0</v>
      </c>
      <c r="AQ366" s="4">
        <v>225</v>
      </c>
      <c r="AR366" s="4">
        <v>1</v>
      </c>
      <c r="AS366" s="4">
        <v>0</v>
      </c>
      <c r="AT366" s="4">
        <v>0</v>
      </c>
      <c r="AU366" s="4">
        <v>0</v>
      </c>
      <c r="AV366" s="4">
        <v>0</v>
      </c>
      <c r="AW366" s="4">
        <v>210.98</v>
      </c>
      <c r="AX366" s="4">
        <v>1</v>
      </c>
      <c r="AY366" s="4">
        <v>795.97</v>
      </c>
      <c r="AZ366" s="4">
        <v>3</v>
      </c>
      <c r="BA366" s="4">
        <v>396.02</v>
      </c>
      <c r="BB366" s="4">
        <v>3</v>
      </c>
      <c r="BC366" s="4">
        <v>918.96</v>
      </c>
      <c r="BD366" s="4">
        <v>5</v>
      </c>
      <c r="BE366" s="4">
        <v>226.02</v>
      </c>
      <c r="BF366" s="4">
        <v>2</v>
      </c>
      <c r="BQ366" s="3">
        <f t="shared" si="12"/>
        <v>9252.16</v>
      </c>
      <c r="BR366" s="3">
        <f t="shared" si="11"/>
        <v>54</v>
      </c>
    </row>
    <row r="367" spans="1:70" x14ac:dyDescent="0.25">
      <c r="A367" s="4" t="s">
        <v>2491</v>
      </c>
      <c r="B367" t="s">
        <v>83</v>
      </c>
      <c r="C367" s="338" t="s">
        <v>1947</v>
      </c>
      <c r="D367" s="213" t="s">
        <v>1038</v>
      </c>
      <c r="E367" s="213" t="s">
        <v>143</v>
      </c>
      <c r="F367" s="213" t="s">
        <v>133</v>
      </c>
      <c r="G367" s="4">
        <v>0</v>
      </c>
      <c r="H367" s="4">
        <v>0</v>
      </c>
      <c r="I367" s="4">
        <v>1619.01</v>
      </c>
      <c r="J367" s="4">
        <v>14</v>
      </c>
      <c r="K367" s="4">
        <v>499.02</v>
      </c>
      <c r="L367" s="4">
        <v>4</v>
      </c>
      <c r="M367" s="4">
        <v>0</v>
      </c>
      <c r="N367" s="4">
        <v>0</v>
      </c>
      <c r="O367" s="4">
        <v>874.02</v>
      </c>
      <c r="P367" s="4">
        <v>6</v>
      </c>
      <c r="Q367" s="4">
        <v>525</v>
      </c>
      <c r="R367" s="4">
        <v>3</v>
      </c>
      <c r="S367" s="4">
        <v>0</v>
      </c>
      <c r="T367" s="4">
        <v>0</v>
      </c>
      <c r="U367" s="4">
        <v>490</v>
      </c>
      <c r="V367" s="4">
        <v>4</v>
      </c>
      <c r="W367" s="4">
        <v>225</v>
      </c>
      <c r="X367" s="4">
        <v>4</v>
      </c>
      <c r="Y367" s="4">
        <v>838.02</v>
      </c>
      <c r="Z367" s="4">
        <v>5</v>
      </c>
      <c r="AA367" s="4">
        <v>846</v>
      </c>
      <c r="AB367" s="4">
        <v>3</v>
      </c>
      <c r="AC367" s="4">
        <v>600.03</v>
      </c>
      <c r="AD367" s="4">
        <v>4</v>
      </c>
      <c r="AE367" s="4">
        <v>0</v>
      </c>
      <c r="AF367" s="4">
        <v>0</v>
      </c>
      <c r="AG367" s="4">
        <v>15</v>
      </c>
      <c r="AH367" s="4">
        <v>1</v>
      </c>
      <c r="AI367" s="4">
        <v>150</v>
      </c>
      <c r="AJ367" s="4">
        <v>1</v>
      </c>
      <c r="AK367" s="4">
        <v>749.01</v>
      </c>
      <c r="AL367" s="4">
        <v>3</v>
      </c>
      <c r="AM367" s="4">
        <v>375</v>
      </c>
      <c r="AN367" s="4">
        <v>3</v>
      </c>
      <c r="AO367" s="4">
        <v>749.01</v>
      </c>
      <c r="AP367" s="4">
        <v>3</v>
      </c>
      <c r="AQ367" s="4">
        <v>75</v>
      </c>
      <c r="AR367" s="4">
        <v>1</v>
      </c>
      <c r="AS367" s="4">
        <v>272</v>
      </c>
      <c r="AT367" s="4">
        <v>2</v>
      </c>
      <c r="AU367" s="4">
        <v>175.01</v>
      </c>
      <c r="AV367" s="4">
        <v>1</v>
      </c>
      <c r="AW367" s="4">
        <v>0</v>
      </c>
      <c r="AX367" s="4">
        <v>0</v>
      </c>
      <c r="AY367" s="4">
        <v>0</v>
      </c>
      <c r="AZ367" s="4">
        <v>0</v>
      </c>
      <c r="BA367" s="4">
        <v>985.97</v>
      </c>
      <c r="BB367" s="4">
        <v>3</v>
      </c>
      <c r="BC367" s="4">
        <v>0</v>
      </c>
      <c r="BD367" s="4">
        <v>0</v>
      </c>
      <c r="BE367" s="4">
        <v>422.04</v>
      </c>
      <c r="BF367" s="4">
        <v>2</v>
      </c>
      <c r="BQ367" s="3">
        <f t="shared" si="12"/>
        <v>10484.14</v>
      </c>
      <c r="BR367" s="3">
        <f t="shared" si="11"/>
        <v>67</v>
      </c>
    </row>
    <row r="368" spans="1:70" x14ac:dyDescent="0.25">
      <c r="A368" s="4" t="s">
        <v>2492</v>
      </c>
      <c r="B368" t="s">
        <v>83</v>
      </c>
      <c r="C368" s="338" t="s">
        <v>1948</v>
      </c>
      <c r="D368" s="213" t="s">
        <v>1039</v>
      </c>
      <c r="E368" s="213" t="s">
        <v>143</v>
      </c>
      <c r="F368" s="213" t="s">
        <v>133</v>
      </c>
      <c r="G368" s="4">
        <v>1258.05</v>
      </c>
      <c r="H368" s="4">
        <v>9</v>
      </c>
      <c r="I368" s="4">
        <v>905.03</v>
      </c>
      <c r="J368" s="4">
        <v>6</v>
      </c>
      <c r="K368" s="4">
        <v>1777.09</v>
      </c>
      <c r="L368" s="4">
        <v>4</v>
      </c>
      <c r="M368" s="4">
        <v>0</v>
      </c>
      <c r="N368" s="4">
        <v>0</v>
      </c>
      <c r="O368" s="4">
        <v>165</v>
      </c>
      <c r="P368" s="4">
        <v>1</v>
      </c>
      <c r="Q368" s="4">
        <v>300.02</v>
      </c>
      <c r="R368" s="4">
        <v>2</v>
      </c>
      <c r="S368" s="4">
        <v>600.02</v>
      </c>
      <c r="T368" s="4">
        <v>5</v>
      </c>
      <c r="U368" s="4">
        <v>150</v>
      </c>
      <c r="V368" s="4">
        <v>1</v>
      </c>
      <c r="W368" s="4">
        <v>816.03</v>
      </c>
      <c r="X368" s="4">
        <v>5</v>
      </c>
      <c r="Y368" s="4">
        <v>300</v>
      </c>
      <c r="Z368" s="4">
        <v>2</v>
      </c>
      <c r="AA368" s="4">
        <v>0</v>
      </c>
      <c r="AB368" s="4">
        <v>0</v>
      </c>
      <c r="AC368" s="4">
        <v>328.02</v>
      </c>
      <c r="AD368" s="4">
        <v>2</v>
      </c>
      <c r="AE368" s="4">
        <v>1047.03</v>
      </c>
      <c r="AF368" s="4">
        <v>7</v>
      </c>
      <c r="AG368" s="4">
        <v>225</v>
      </c>
      <c r="AH368" s="4">
        <v>2</v>
      </c>
      <c r="AI368" s="4">
        <v>450</v>
      </c>
      <c r="AJ368" s="4">
        <v>3</v>
      </c>
      <c r="AK368" s="4">
        <v>922.03</v>
      </c>
      <c r="AL368" s="4">
        <v>5</v>
      </c>
      <c r="AM368" s="4">
        <v>300</v>
      </c>
      <c r="AN368" s="4">
        <v>1</v>
      </c>
      <c r="AO368" s="4">
        <v>0</v>
      </c>
      <c r="AP368" s="4">
        <v>0</v>
      </c>
      <c r="AQ368" s="4">
        <v>350</v>
      </c>
      <c r="AR368" s="4">
        <v>2</v>
      </c>
      <c r="AS368" s="4">
        <v>175</v>
      </c>
      <c r="AT368" s="4">
        <v>1</v>
      </c>
      <c r="AU368" s="4">
        <v>274.01</v>
      </c>
      <c r="AV368" s="4">
        <v>2</v>
      </c>
      <c r="AW368" s="4">
        <v>321.99</v>
      </c>
      <c r="AX368" s="4">
        <v>2</v>
      </c>
      <c r="AY368" s="4">
        <v>571.96</v>
      </c>
      <c r="AZ368" s="4">
        <v>3</v>
      </c>
      <c r="BA368" s="4">
        <v>210.98</v>
      </c>
      <c r="BB368" s="4">
        <v>1</v>
      </c>
      <c r="BC368" s="4">
        <v>0</v>
      </c>
      <c r="BD368" s="4">
        <v>0</v>
      </c>
      <c r="BE368" s="4">
        <v>70</v>
      </c>
      <c r="BF368" s="4">
        <v>1</v>
      </c>
      <c r="BQ368" s="3">
        <f t="shared" si="12"/>
        <v>11517.260000000002</v>
      </c>
      <c r="BR368" s="3">
        <f t="shared" si="11"/>
        <v>67</v>
      </c>
    </row>
    <row r="369" spans="1:70" x14ac:dyDescent="0.25">
      <c r="A369" s="4" t="s">
        <v>2493</v>
      </c>
      <c r="B369" t="s">
        <v>83</v>
      </c>
      <c r="C369" s="338" t="s">
        <v>1949</v>
      </c>
      <c r="D369" s="213" t="s">
        <v>1040</v>
      </c>
      <c r="E369" s="213" t="s">
        <v>143</v>
      </c>
      <c r="F369" s="213" t="s">
        <v>133</v>
      </c>
      <c r="G369" s="4">
        <v>638.03</v>
      </c>
      <c r="H369" s="4">
        <v>8</v>
      </c>
      <c r="I369" s="4">
        <v>0</v>
      </c>
      <c r="J369" s="4">
        <v>0</v>
      </c>
      <c r="K369" s="4">
        <v>1014.01</v>
      </c>
      <c r="L369" s="4">
        <v>8</v>
      </c>
      <c r="M369" s="4">
        <v>300.01</v>
      </c>
      <c r="N369" s="4">
        <v>2</v>
      </c>
      <c r="O369" s="4">
        <v>75</v>
      </c>
      <c r="P369" s="4">
        <v>1</v>
      </c>
      <c r="Q369" s="4">
        <v>0</v>
      </c>
      <c r="R369" s="4">
        <v>0</v>
      </c>
      <c r="S369" s="4">
        <v>13</v>
      </c>
      <c r="T369" s="4">
        <v>1</v>
      </c>
      <c r="U369" s="4">
        <v>150</v>
      </c>
      <c r="V369" s="4">
        <v>1</v>
      </c>
      <c r="W369" s="4">
        <v>150</v>
      </c>
      <c r="X369" s="4">
        <v>2</v>
      </c>
      <c r="Y369" s="4">
        <v>0</v>
      </c>
      <c r="Z369" s="4">
        <v>0</v>
      </c>
      <c r="AA369" s="4">
        <v>0</v>
      </c>
      <c r="AB369" s="4">
        <v>0</v>
      </c>
      <c r="AC369" s="4">
        <v>150.02000000000001</v>
      </c>
      <c r="AD369" s="4">
        <v>1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75</v>
      </c>
      <c r="AP369" s="4">
        <v>1</v>
      </c>
      <c r="AQ369" s="4">
        <v>0</v>
      </c>
      <c r="AR369" s="4">
        <v>0</v>
      </c>
      <c r="AS369" s="4">
        <v>0</v>
      </c>
      <c r="AT369" s="4">
        <v>0</v>
      </c>
      <c r="AU369" s="4">
        <v>475</v>
      </c>
      <c r="AV369" s="4">
        <v>3</v>
      </c>
      <c r="AW369" s="4">
        <v>0</v>
      </c>
      <c r="AX369" s="4">
        <v>0</v>
      </c>
      <c r="AY369" s="4">
        <v>0</v>
      </c>
      <c r="AZ369" s="4">
        <v>0</v>
      </c>
      <c r="BA369" s="4">
        <v>24</v>
      </c>
      <c r="BB369" s="4">
        <v>1</v>
      </c>
      <c r="BC369" s="4">
        <v>0</v>
      </c>
      <c r="BD369" s="4">
        <v>0</v>
      </c>
      <c r="BE369" s="4">
        <v>701.05</v>
      </c>
      <c r="BF369" s="4">
        <v>5</v>
      </c>
      <c r="BQ369" s="3">
        <f t="shared" si="12"/>
        <v>3765.12</v>
      </c>
      <c r="BR369" s="3">
        <f t="shared" si="11"/>
        <v>34</v>
      </c>
    </row>
    <row r="370" spans="1:70" x14ac:dyDescent="0.25">
      <c r="A370" s="4" t="s">
        <v>2494</v>
      </c>
      <c r="B370" t="s">
        <v>84</v>
      </c>
      <c r="C370" s="338" t="s">
        <v>1950</v>
      </c>
      <c r="D370" s="213" t="s">
        <v>1041</v>
      </c>
      <c r="E370" s="213" t="s">
        <v>139</v>
      </c>
      <c r="F370" s="213" t="s">
        <v>130</v>
      </c>
      <c r="G370" s="4">
        <v>2560.0300000000002</v>
      </c>
      <c r="H370" s="4">
        <v>22</v>
      </c>
      <c r="I370" s="4">
        <v>3582.07</v>
      </c>
      <c r="J370" s="4">
        <v>28</v>
      </c>
      <c r="K370" s="4">
        <v>2579.06</v>
      </c>
      <c r="L370" s="4">
        <v>20</v>
      </c>
      <c r="M370" s="4">
        <v>0</v>
      </c>
      <c r="N370" s="4">
        <v>0</v>
      </c>
      <c r="O370" s="4">
        <v>1278.05</v>
      </c>
      <c r="P370" s="4">
        <v>9</v>
      </c>
      <c r="Q370" s="4">
        <v>1919.07</v>
      </c>
      <c r="R370" s="4">
        <v>14</v>
      </c>
      <c r="S370" s="4">
        <v>1966.01</v>
      </c>
      <c r="T370" s="4">
        <v>10</v>
      </c>
      <c r="U370" s="4">
        <v>980</v>
      </c>
      <c r="V370" s="4">
        <v>8</v>
      </c>
      <c r="W370" s="4">
        <v>1633.02</v>
      </c>
      <c r="X370" s="4">
        <v>13</v>
      </c>
      <c r="Y370" s="4">
        <v>2365.0300000000002</v>
      </c>
      <c r="Z370" s="4">
        <v>17</v>
      </c>
      <c r="AA370" s="4">
        <v>1125.01</v>
      </c>
      <c r="AB370" s="4">
        <v>7</v>
      </c>
      <c r="AC370" s="4">
        <v>0</v>
      </c>
      <c r="AD370" s="4">
        <v>0</v>
      </c>
      <c r="AE370" s="4">
        <v>0</v>
      </c>
      <c r="AF370" s="4">
        <v>0</v>
      </c>
      <c r="AG370" s="4">
        <v>1817.98</v>
      </c>
      <c r="AH370" s="4">
        <v>8</v>
      </c>
      <c r="AI370" s="4">
        <v>2025.04</v>
      </c>
      <c r="AJ370" s="4">
        <v>13</v>
      </c>
      <c r="AK370" s="4">
        <v>1570</v>
      </c>
      <c r="AL370" s="4">
        <v>9</v>
      </c>
      <c r="AM370" s="4">
        <v>2496.02</v>
      </c>
      <c r="AN370" s="4">
        <v>20</v>
      </c>
      <c r="AO370" s="4">
        <v>1758.03</v>
      </c>
      <c r="AP370" s="4">
        <v>19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Q370" s="3">
        <f t="shared" si="12"/>
        <v>29654.419999999995</v>
      </c>
      <c r="BR370" s="3">
        <f t="shared" si="11"/>
        <v>217</v>
      </c>
    </row>
    <row r="371" spans="1:70" x14ac:dyDescent="0.25">
      <c r="A371" s="4" t="s">
        <v>2495</v>
      </c>
      <c r="B371" t="s">
        <v>84</v>
      </c>
      <c r="C371" s="338" t="s">
        <v>1951</v>
      </c>
      <c r="D371" s="213" t="s">
        <v>1042</v>
      </c>
      <c r="E371" s="213" t="s">
        <v>139</v>
      </c>
      <c r="F371" s="213" t="s">
        <v>130</v>
      </c>
      <c r="G371" s="4">
        <v>984.02</v>
      </c>
      <c r="H371" s="4">
        <v>4</v>
      </c>
      <c r="I371" s="4">
        <v>0</v>
      </c>
      <c r="J371" s="4">
        <v>0</v>
      </c>
      <c r="K371" s="4">
        <v>0</v>
      </c>
      <c r="L371" s="4">
        <v>0</v>
      </c>
      <c r="M371" s="4">
        <v>3834.06</v>
      </c>
      <c r="N371" s="4">
        <v>18</v>
      </c>
      <c r="O371" s="4">
        <v>1357.04</v>
      </c>
      <c r="P371" s="4">
        <v>7</v>
      </c>
      <c r="Q371" s="4">
        <v>1532.02</v>
      </c>
      <c r="R371" s="4">
        <v>9</v>
      </c>
      <c r="S371" s="4">
        <v>0</v>
      </c>
      <c r="T371" s="4">
        <v>0</v>
      </c>
      <c r="U371" s="4">
        <v>1015.04</v>
      </c>
      <c r="V371" s="4">
        <v>4</v>
      </c>
      <c r="W371" s="4">
        <v>750</v>
      </c>
      <c r="X371" s="4">
        <v>4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Q371" s="3">
        <f t="shared" si="12"/>
        <v>9472.18</v>
      </c>
      <c r="BR371" s="3">
        <f t="shared" si="11"/>
        <v>46</v>
      </c>
    </row>
    <row r="372" spans="1:70" x14ac:dyDescent="0.25">
      <c r="A372" s="4" t="s">
        <v>2496</v>
      </c>
      <c r="B372" t="s">
        <v>84</v>
      </c>
      <c r="C372" s="338" t="s">
        <v>1952</v>
      </c>
      <c r="D372" s="213" t="s">
        <v>1043</v>
      </c>
      <c r="E372" s="213" t="s">
        <v>139</v>
      </c>
      <c r="F372" s="213" t="s">
        <v>130</v>
      </c>
      <c r="G372" s="4">
        <v>3339.02</v>
      </c>
      <c r="H372" s="4">
        <v>20</v>
      </c>
      <c r="I372" s="4">
        <v>3089.05</v>
      </c>
      <c r="J372" s="4">
        <v>14</v>
      </c>
      <c r="K372" s="4">
        <v>1377.99</v>
      </c>
      <c r="L372" s="4">
        <v>8</v>
      </c>
      <c r="M372" s="4">
        <v>835.03</v>
      </c>
      <c r="N372" s="4">
        <v>9</v>
      </c>
      <c r="O372" s="4">
        <v>927.04</v>
      </c>
      <c r="P372" s="4">
        <v>5</v>
      </c>
      <c r="Q372" s="4">
        <v>440.01</v>
      </c>
      <c r="R372" s="4">
        <v>2</v>
      </c>
      <c r="S372" s="4">
        <v>150</v>
      </c>
      <c r="T372" s="4">
        <v>1</v>
      </c>
      <c r="U372" s="4">
        <v>675</v>
      </c>
      <c r="V372" s="4">
        <v>4</v>
      </c>
      <c r="W372" s="4">
        <v>0</v>
      </c>
      <c r="X372" s="4">
        <v>0</v>
      </c>
      <c r="Y372" s="4">
        <v>1529.07</v>
      </c>
      <c r="Z372" s="4">
        <v>6</v>
      </c>
      <c r="AA372" s="4">
        <v>390.01</v>
      </c>
      <c r="AB372" s="4">
        <v>2</v>
      </c>
      <c r="AC372" s="4">
        <v>550.01</v>
      </c>
      <c r="AD372" s="4">
        <v>4</v>
      </c>
      <c r="AE372" s="4">
        <v>675.01</v>
      </c>
      <c r="AF372" s="4">
        <v>3</v>
      </c>
      <c r="AG372" s="4">
        <v>450.03</v>
      </c>
      <c r="AH372" s="4">
        <v>1</v>
      </c>
      <c r="AI372" s="4">
        <v>828.02</v>
      </c>
      <c r="AJ372" s="4">
        <v>6</v>
      </c>
      <c r="AK372" s="4">
        <v>0</v>
      </c>
      <c r="AL372" s="4">
        <v>0</v>
      </c>
      <c r="AM372" s="4">
        <v>879.01</v>
      </c>
      <c r="AN372" s="4">
        <v>4</v>
      </c>
      <c r="AO372" s="4">
        <v>677.03</v>
      </c>
      <c r="AP372" s="4">
        <v>5</v>
      </c>
      <c r="AQ372" s="4">
        <v>450</v>
      </c>
      <c r="AR372" s="4">
        <v>3</v>
      </c>
      <c r="AS372" s="4">
        <v>1950.02</v>
      </c>
      <c r="AT372" s="4">
        <v>10</v>
      </c>
      <c r="AU372" s="4">
        <v>0</v>
      </c>
      <c r="AV372" s="4">
        <v>0</v>
      </c>
      <c r="AW372" s="4">
        <v>360.98</v>
      </c>
      <c r="AX372" s="4">
        <v>2</v>
      </c>
      <c r="AY372" s="4">
        <v>0</v>
      </c>
      <c r="AZ372" s="4">
        <v>0</v>
      </c>
      <c r="BA372" s="4">
        <v>150</v>
      </c>
      <c r="BB372" s="4">
        <v>1</v>
      </c>
      <c r="BC372" s="4">
        <v>721.96</v>
      </c>
      <c r="BD372" s="4">
        <v>3</v>
      </c>
      <c r="BE372" s="4">
        <v>0</v>
      </c>
      <c r="BF372" s="4">
        <v>0</v>
      </c>
      <c r="BQ372" s="3">
        <f t="shared" si="12"/>
        <v>20444.29</v>
      </c>
      <c r="BR372" s="3">
        <f t="shared" si="11"/>
        <v>113</v>
      </c>
    </row>
    <row r="373" spans="1:70" x14ac:dyDescent="0.25">
      <c r="A373" s="4" t="s">
        <v>2497</v>
      </c>
      <c r="B373" t="s">
        <v>84</v>
      </c>
      <c r="C373" s="338" t="s">
        <v>1953</v>
      </c>
      <c r="D373" s="213" t="s">
        <v>1044</v>
      </c>
      <c r="E373" s="213" t="s">
        <v>139</v>
      </c>
      <c r="F373" s="213" t="s">
        <v>130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2193.02</v>
      </c>
      <c r="AB373" s="4">
        <v>9</v>
      </c>
      <c r="AC373" s="4">
        <v>817.01</v>
      </c>
      <c r="AD373" s="4">
        <v>3</v>
      </c>
      <c r="AE373" s="4">
        <v>900</v>
      </c>
      <c r="AF373" s="4">
        <v>5</v>
      </c>
      <c r="AG373" s="4">
        <v>1318.02</v>
      </c>
      <c r="AH373" s="4">
        <v>8</v>
      </c>
      <c r="AI373" s="4">
        <v>297.01</v>
      </c>
      <c r="AJ373" s="4">
        <v>2</v>
      </c>
      <c r="AK373" s="4">
        <v>150</v>
      </c>
      <c r="AL373" s="4">
        <v>1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Q373" s="3">
        <f t="shared" si="12"/>
        <v>5675.0599999999995</v>
      </c>
      <c r="BR373" s="3">
        <f t="shared" si="11"/>
        <v>28</v>
      </c>
    </row>
    <row r="374" spans="1:70" x14ac:dyDescent="0.25">
      <c r="A374" s="4" t="s">
        <v>2498</v>
      </c>
      <c r="B374" t="s">
        <v>84</v>
      </c>
      <c r="C374" s="338" t="s">
        <v>1954</v>
      </c>
      <c r="D374" s="213" t="s">
        <v>1045</v>
      </c>
      <c r="E374" s="213" t="s">
        <v>139</v>
      </c>
      <c r="F374" s="213" t="s">
        <v>130</v>
      </c>
      <c r="G374" s="4">
        <v>600.02</v>
      </c>
      <c r="H374" s="4">
        <v>2</v>
      </c>
      <c r="I374" s="4">
        <v>0</v>
      </c>
      <c r="J374" s="4">
        <v>0</v>
      </c>
      <c r="K374" s="4">
        <v>600.01</v>
      </c>
      <c r="L374" s="4">
        <v>4</v>
      </c>
      <c r="M374" s="4">
        <v>674.01</v>
      </c>
      <c r="N374" s="4">
        <v>5</v>
      </c>
      <c r="O374" s="4">
        <v>957</v>
      </c>
      <c r="P374" s="4">
        <v>7</v>
      </c>
      <c r="Q374" s="4">
        <v>700</v>
      </c>
      <c r="R374" s="4">
        <v>5</v>
      </c>
      <c r="S374" s="4">
        <v>1086.01</v>
      </c>
      <c r="T374" s="4">
        <v>9</v>
      </c>
      <c r="U374" s="4">
        <v>75</v>
      </c>
      <c r="V374" s="4">
        <v>1</v>
      </c>
      <c r="W374" s="4">
        <v>750.02</v>
      </c>
      <c r="X374" s="4">
        <v>6</v>
      </c>
      <c r="Y374" s="4">
        <v>0</v>
      </c>
      <c r="Z374" s="4">
        <v>0</v>
      </c>
      <c r="AA374" s="4">
        <v>0</v>
      </c>
      <c r="AB374" s="4">
        <v>0</v>
      </c>
      <c r="AC374" s="4">
        <v>1962.04</v>
      </c>
      <c r="AD374" s="4">
        <v>11</v>
      </c>
      <c r="AE374" s="4">
        <v>1494</v>
      </c>
      <c r="AF374" s="4">
        <v>9</v>
      </c>
      <c r="AG374" s="4">
        <v>1217.04</v>
      </c>
      <c r="AH374" s="4">
        <v>6</v>
      </c>
      <c r="AI374" s="4">
        <v>465</v>
      </c>
      <c r="AJ374" s="4">
        <v>4</v>
      </c>
      <c r="AK374" s="4">
        <v>1783.01</v>
      </c>
      <c r="AL374" s="4">
        <v>10</v>
      </c>
      <c r="AM374" s="4">
        <v>1014.02</v>
      </c>
      <c r="AN374" s="4">
        <v>6</v>
      </c>
      <c r="AO374" s="4">
        <v>0</v>
      </c>
      <c r="AP374" s="4">
        <v>0</v>
      </c>
      <c r="AQ374" s="4">
        <v>1773.05</v>
      </c>
      <c r="AR374" s="4">
        <v>14</v>
      </c>
      <c r="AS374" s="4">
        <v>1754.03</v>
      </c>
      <c r="AT374" s="4">
        <v>13</v>
      </c>
      <c r="AU374" s="4">
        <v>549</v>
      </c>
      <c r="AV374" s="4">
        <v>4</v>
      </c>
      <c r="AW374" s="4">
        <v>1551.86</v>
      </c>
      <c r="AX374" s="4">
        <v>4</v>
      </c>
      <c r="AY374" s="4">
        <v>285.98</v>
      </c>
      <c r="AZ374" s="4">
        <v>2</v>
      </c>
      <c r="BA374" s="4">
        <v>2278.94</v>
      </c>
      <c r="BB374" s="4">
        <v>6</v>
      </c>
      <c r="BC374" s="4">
        <v>585.98</v>
      </c>
      <c r="BD374" s="4">
        <v>5</v>
      </c>
      <c r="BE374" s="4">
        <v>259.01</v>
      </c>
      <c r="BF374" s="4">
        <v>2</v>
      </c>
      <c r="BQ374" s="3">
        <f t="shared" si="12"/>
        <v>22415.03</v>
      </c>
      <c r="BR374" s="3">
        <f t="shared" si="11"/>
        <v>135</v>
      </c>
    </row>
    <row r="375" spans="1:70" x14ac:dyDescent="0.25">
      <c r="A375" s="4" t="s">
        <v>2499</v>
      </c>
      <c r="B375" t="s">
        <v>85</v>
      </c>
      <c r="C375" s="338" t="s">
        <v>1955</v>
      </c>
      <c r="D375" s="213" t="s">
        <v>1046</v>
      </c>
      <c r="E375" s="213" t="s">
        <v>151</v>
      </c>
      <c r="F375" s="213" t="s">
        <v>126</v>
      </c>
      <c r="G375" s="4">
        <v>1672.02</v>
      </c>
      <c r="H375" s="4">
        <v>13</v>
      </c>
      <c r="I375" s="4">
        <v>3076.98</v>
      </c>
      <c r="J375" s="4">
        <v>22</v>
      </c>
      <c r="K375" s="4">
        <v>6196.99</v>
      </c>
      <c r="L375" s="4">
        <v>19</v>
      </c>
      <c r="M375" s="4">
        <v>1993.05</v>
      </c>
      <c r="N375" s="4">
        <v>9</v>
      </c>
      <c r="O375" s="4">
        <v>2467.0700000000002</v>
      </c>
      <c r="P375" s="4">
        <v>9</v>
      </c>
      <c r="Q375" s="4">
        <v>0</v>
      </c>
      <c r="R375" s="4">
        <v>0</v>
      </c>
      <c r="S375" s="4">
        <v>2522.08</v>
      </c>
      <c r="T375" s="4">
        <v>13</v>
      </c>
      <c r="U375" s="4">
        <v>1785.05</v>
      </c>
      <c r="V375" s="4">
        <v>8</v>
      </c>
      <c r="W375" s="4">
        <v>2949.06</v>
      </c>
      <c r="X375" s="4">
        <v>10</v>
      </c>
      <c r="Y375" s="4">
        <v>1930.04</v>
      </c>
      <c r="Z375" s="4">
        <v>12</v>
      </c>
      <c r="AA375" s="4">
        <v>549</v>
      </c>
      <c r="AB375" s="4">
        <v>2</v>
      </c>
      <c r="AC375" s="4">
        <v>0</v>
      </c>
      <c r="AD375" s="4">
        <v>0</v>
      </c>
      <c r="AE375" s="4">
        <v>1606.02</v>
      </c>
      <c r="AF375" s="4">
        <v>5</v>
      </c>
      <c r="AG375" s="4">
        <v>2015.02</v>
      </c>
      <c r="AH375" s="4">
        <v>11</v>
      </c>
      <c r="AI375" s="4">
        <v>840.01</v>
      </c>
      <c r="AJ375" s="4">
        <v>4</v>
      </c>
      <c r="AK375" s="4">
        <v>5387.12</v>
      </c>
      <c r="AL375" s="4">
        <v>18</v>
      </c>
      <c r="AM375" s="4">
        <v>0</v>
      </c>
      <c r="AN375" s="4">
        <v>0</v>
      </c>
      <c r="AO375" s="4">
        <v>814.01</v>
      </c>
      <c r="AP375" s="4">
        <v>6</v>
      </c>
      <c r="AQ375" s="4">
        <v>513.99</v>
      </c>
      <c r="AR375" s="4">
        <v>7</v>
      </c>
      <c r="AS375" s="4">
        <v>0</v>
      </c>
      <c r="AT375" s="4">
        <v>0</v>
      </c>
      <c r="AU375" s="4">
        <v>1876</v>
      </c>
      <c r="AV375" s="4">
        <v>10</v>
      </c>
      <c r="AW375" s="4">
        <v>1722.95</v>
      </c>
      <c r="AX375" s="4">
        <v>9</v>
      </c>
      <c r="AY375" s="4">
        <v>0</v>
      </c>
      <c r="AZ375" s="4">
        <v>0</v>
      </c>
      <c r="BA375" s="4">
        <v>1725.93</v>
      </c>
      <c r="BB375" s="4">
        <v>8</v>
      </c>
      <c r="BC375" s="4">
        <v>536</v>
      </c>
      <c r="BD375" s="4">
        <v>7</v>
      </c>
      <c r="BE375" s="4">
        <v>1206.08</v>
      </c>
      <c r="BF375" s="4">
        <v>6</v>
      </c>
      <c r="BQ375" s="3">
        <f t="shared" si="12"/>
        <v>43384.47</v>
      </c>
      <c r="BR375" s="3">
        <f t="shared" si="11"/>
        <v>208</v>
      </c>
    </row>
    <row r="376" spans="1:70" x14ac:dyDescent="0.25">
      <c r="A376" s="4" t="s">
        <v>2500</v>
      </c>
      <c r="B376" t="s">
        <v>85</v>
      </c>
      <c r="C376" s="338" t="s">
        <v>1716</v>
      </c>
      <c r="D376" s="213" t="s">
        <v>807</v>
      </c>
      <c r="E376" s="213" t="s">
        <v>151</v>
      </c>
      <c r="F376" s="213" t="s">
        <v>126</v>
      </c>
      <c r="G376" s="4">
        <v>1776.99</v>
      </c>
      <c r="H376" s="4">
        <v>22</v>
      </c>
      <c r="I376" s="4">
        <v>2896.05</v>
      </c>
      <c r="J376" s="4">
        <v>23</v>
      </c>
      <c r="K376" s="4">
        <v>0</v>
      </c>
      <c r="L376" s="4">
        <v>0</v>
      </c>
      <c r="M376" s="4">
        <v>500.01</v>
      </c>
      <c r="N376" s="4">
        <v>4</v>
      </c>
      <c r="O376" s="4">
        <v>2143.0100000000002</v>
      </c>
      <c r="P376" s="4">
        <v>6</v>
      </c>
      <c r="Q376" s="4">
        <v>1408.04</v>
      </c>
      <c r="R376" s="4">
        <v>13</v>
      </c>
      <c r="S376" s="4">
        <v>0</v>
      </c>
      <c r="T376" s="4">
        <v>0</v>
      </c>
      <c r="U376" s="4">
        <v>1157.04</v>
      </c>
      <c r="V376" s="4">
        <v>6</v>
      </c>
      <c r="W376" s="4">
        <v>2045.02</v>
      </c>
      <c r="X376" s="4">
        <v>14</v>
      </c>
      <c r="Y376" s="4">
        <v>820.01</v>
      </c>
      <c r="Z376" s="4">
        <v>5</v>
      </c>
      <c r="AA376" s="4">
        <v>450</v>
      </c>
      <c r="AB376" s="4">
        <v>3</v>
      </c>
      <c r="AC376" s="4">
        <v>1436.99</v>
      </c>
      <c r="AD376" s="4">
        <v>9</v>
      </c>
      <c r="AE376" s="4">
        <v>187</v>
      </c>
      <c r="AF376" s="4">
        <v>1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Q376" s="3">
        <f t="shared" si="12"/>
        <v>14820.16</v>
      </c>
      <c r="BR376" s="3">
        <f t="shared" si="11"/>
        <v>106</v>
      </c>
    </row>
    <row r="377" spans="1:70" x14ac:dyDescent="0.25">
      <c r="A377" s="4" t="s">
        <v>2501</v>
      </c>
      <c r="B377" t="s">
        <v>85</v>
      </c>
      <c r="C377" s="338" t="s">
        <v>1956</v>
      </c>
      <c r="D377" s="213" t="s">
        <v>1047</v>
      </c>
      <c r="E377" s="213" t="s">
        <v>151</v>
      </c>
      <c r="F377" s="213" t="s">
        <v>126</v>
      </c>
      <c r="G377" s="4">
        <v>3929.09</v>
      </c>
      <c r="H377" s="4">
        <v>30</v>
      </c>
      <c r="I377" s="4">
        <v>0</v>
      </c>
      <c r="J377" s="4">
        <v>0</v>
      </c>
      <c r="K377" s="4">
        <v>2396.04</v>
      </c>
      <c r="L377" s="4">
        <v>18</v>
      </c>
      <c r="M377" s="4">
        <v>625.02</v>
      </c>
      <c r="N377" s="4">
        <v>4</v>
      </c>
      <c r="O377" s="4">
        <v>328.02</v>
      </c>
      <c r="P377" s="4">
        <v>3</v>
      </c>
      <c r="Q377" s="4">
        <v>739.02</v>
      </c>
      <c r="R377" s="4">
        <v>6</v>
      </c>
      <c r="S377" s="4">
        <v>1547.06</v>
      </c>
      <c r="T377" s="4">
        <v>10</v>
      </c>
      <c r="U377" s="4">
        <v>1009.04</v>
      </c>
      <c r="V377" s="4">
        <v>6</v>
      </c>
      <c r="W377" s="4">
        <v>0</v>
      </c>
      <c r="X377" s="4">
        <v>0</v>
      </c>
      <c r="Y377" s="4">
        <v>1539.03</v>
      </c>
      <c r="Z377" s="4">
        <v>11</v>
      </c>
      <c r="AA377" s="4">
        <v>1109.05</v>
      </c>
      <c r="AB377" s="4">
        <v>8</v>
      </c>
      <c r="AC377" s="4">
        <v>600.01</v>
      </c>
      <c r="AD377" s="4">
        <v>4</v>
      </c>
      <c r="AE377" s="4">
        <v>450.01</v>
      </c>
      <c r="AF377" s="4">
        <v>3</v>
      </c>
      <c r="AG377" s="4">
        <v>0</v>
      </c>
      <c r="AH377" s="4">
        <v>0</v>
      </c>
      <c r="AI377" s="4">
        <v>826</v>
      </c>
      <c r="AJ377" s="4">
        <v>7</v>
      </c>
      <c r="AK377" s="4">
        <v>0</v>
      </c>
      <c r="AL377" s="4">
        <v>0</v>
      </c>
      <c r="AM377" s="4">
        <v>906.02</v>
      </c>
      <c r="AN377" s="4">
        <v>8</v>
      </c>
      <c r="AO377" s="4">
        <v>450.03</v>
      </c>
      <c r="AP377" s="4">
        <v>3</v>
      </c>
      <c r="AQ377" s="4">
        <v>1205.02</v>
      </c>
      <c r="AR377" s="4">
        <v>8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1793.91</v>
      </c>
      <c r="AZ377" s="4">
        <v>12</v>
      </c>
      <c r="BA377" s="4">
        <v>2618.91</v>
      </c>
      <c r="BB377" s="4">
        <v>18</v>
      </c>
      <c r="BC377" s="4">
        <v>0</v>
      </c>
      <c r="BD377" s="4">
        <v>0</v>
      </c>
      <c r="BE377" s="4">
        <v>0</v>
      </c>
      <c r="BF377" s="4">
        <v>0</v>
      </c>
      <c r="BQ377" s="3">
        <f t="shared" si="12"/>
        <v>22071.280000000002</v>
      </c>
      <c r="BR377" s="3">
        <f t="shared" si="11"/>
        <v>159</v>
      </c>
    </row>
    <row r="378" spans="1:70" x14ac:dyDescent="0.25">
      <c r="A378" s="4" t="s">
        <v>2502</v>
      </c>
      <c r="B378" t="s">
        <v>85</v>
      </c>
      <c r="C378" s="338" t="s">
        <v>1957</v>
      </c>
      <c r="D378" s="213" t="s">
        <v>1048</v>
      </c>
      <c r="E378" s="213" t="s">
        <v>151</v>
      </c>
      <c r="F378" s="213" t="s">
        <v>126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2000.01</v>
      </c>
      <c r="AH378" s="4">
        <v>8</v>
      </c>
      <c r="AI378" s="4">
        <v>1250.05</v>
      </c>
      <c r="AJ378" s="4">
        <v>9</v>
      </c>
      <c r="AK378" s="4">
        <v>2958</v>
      </c>
      <c r="AL378" s="4">
        <v>17</v>
      </c>
      <c r="AM378" s="4">
        <v>3212.04</v>
      </c>
      <c r="AN378" s="4">
        <v>13</v>
      </c>
      <c r="AO378" s="4">
        <v>763.03</v>
      </c>
      <c r="AP378" s="4">
        <v>4</v>
      </c>
      <c r="AQ378" s="4">
        <v>0</v>
      </c>
      <c r="AR378" s="4">
        <v>0</v>
      </c>
      <c r="AS378" s="4">
        <v>1572.01</v>
      </c>
      <c r="AT378" s="4">
        <v>16</v>
      </c>
      <c r="AU378" s="4">
        <v>1607.01</v>
      </c>
      <c r="AV378" s="4">
        <v>13</v>
      </c>
      <c r="AW378" s="4">
        <v>2519.91</v>
      </c>
      <c r="AX378" s="4">
        <v>13</v>
      </c>
      <c r="AY378" s="4">
        <v>3659.75</v>
      </c>
      <c r="AZ378" s="4">
        <v>19</v>
      </c>
      <c r="BA378" s="4">
        <v>0</v>
      </c>
      <c r="BB378" s="4">
        <v>0</v>
      </c>
      <c r="BC378" s="4">
        <v>1009</v>
      </c>
      <c r="BD378" s="4">
        <v>4</v>
      </c>
      <c r="BE378" s="4">
        <v>1472.08</v>
      </c>
      <c r="BF378" s="4">
        <v>8</v>
      </c>
      <c r="BQ378" s="3">
        <f t="shared" si="12"/>
        <v>22022.89</v>
      </c>
      <c r="BR378" s="3">
        <f t="shared" si="11"/>
        <v>124</v>
      </c>
    </row>
    <row r="379" spans="1:70" x14ac:dyDescent="0.25">
      <c r="A379" s="4" t="s">
        <v>2503</v>
      </c>
      <c r="B379" t="s">
        <v>86</v>
      </c>
      <c r="C379" s="338" t="s">
        <v>1958</v>
      </c>
      <c r="D379" s="213" t="s">
        <v>1049</v>
      </c>
      <c r="E379" s="213" t="s">
        <v>142</v>
      </c>
      <c r="F379" s="213" t="s">
        <v>132</v>
      </c>
      <c r="G379" s="4">
        <v>751</v>
      </c>
      <c r="H379" s="4">
        <v>6</v>
      </c>
      <c r="I379" s="4">
        <v>584.03</v>
      </c>
      <c r="J379" s="4">
        <v>4</v>
      </c>
      <c r="K379" s="4">
        <v>576.04</v>
      </c>
      <c r="L379" s="4">
        <v>6</v>
      </c>
      <c r="M379" s="4">
        <v>0</v>
      </c>
      <c r="N379" s="4">
        <v>0</v>
      </c>
      <c r="O379" s="4">
        <v>0</v>
      </c>
      <c r="P379" s="4">
        <v>0</v>
      </c>
      <c r="Q379" s="4">
        <v>1021.04</v>
      </c>
      <c r="R379" s="4">
        <v>6</v>
      </c>
      <c r="S379" s="4">
        <v>3066.06</v>
      </c>
      <c r="T379" s="4">
        <v>18</v>
      </c>
      <c r="U379" s="4">
        <v>1227.97</v>
      </c>
      <c r="V379" s="4">
        <v>6</v>
      </c>
      <c r="W379" s="4">
        <v>450</v>
      </c>
      <c r="X379" s="4">
        <v>3</v>
      </c>
      <c r="Y379" s="4">
        <v>2899.05</v>
      </c>
      <c r="Z379" s="4">
        <v>12</v>
      </c>
      <c r="AA379" s="4">
        <v>0</v>
      </c>
      <c r="AB379" s="4">
        <v>0</v>
      </c>
      <c r="AC379" s="4">
        <v>525.01</v>
      </c>
      <c r="AD379" s="4">
        <v>3</v>
      </c>
      <c r="AE379" s="4">
        <v>2005.03</v>
      </c>
      <c r="AF379" s="4">
        <v>7</v>
      </c>
      <c r="AG379" s="4">
        <v>850.01</v>
      </c>
      <c r="AH379" s="4">
        <v>4</v>
      </c>
      <c r="AI379" s="4">
        <v>1424.99</v>
      </c>
      <c r="AJ379" s="4">
        <v>6</v>
      </c>
      <c r="AK379" s="4">
        <v>375</v>
      </c>
      <c r="AL379" s="4">
        <v>3</v>
      </c>
      <c r="AM379" s="4">
        <v>2190</v>
      </c>
      <c r="AN379" s="4">
        <v>13</v>
      </c>
      <c r="AO379" s="4">
        <v>2775</v>
      </c>
      <c r="AP379" s="4">
        <v>16</v>
      </c>
      <c r="AQ379" s="4">
        <v>0</v>
      </c>
      <c r="AR379" s="4">
        <v>0</v>
      </c>
      <c r="AS379" s="4">
        <v>450</v>
      </c>
      <c r="AT379" s="4">
        <v>3</v>
      </c>
      <c r="AU379" s="4">
        <v>800</v>
      </c>
      <c r="AV379" s="4">
        <v>4</v>
      </c>
      <c r="AW379" s="4">
        <v>571.96</v>
      </c>
      <c r="AX379" s="4">
        <v>3</v>
      </c>
      <c r="AY379" s="4">
        <v>225.01</v>
      </c>
      <c r="AZ379" s="4">
        <v>2</v>
      </c>
      <c r="BA379" s="4">
        <v>721.96</v>
      </c>
      <c r="BB379" s="4">
        <v>5</v>
      </c>
      <c r="BC379" s="4">
        <v>2550.94</v>
      </c>
      <c r="BD379" s="4">
        <v>4</v>
      </c>
      <c r="BE379" s="4">
        <v>1125.06</v>
      </c>
      <c r="BF379" s="4">
        <v>7</v>
      </c>
      <c r="BQ379" s="3">
        <f t="shared" si="12"/>
        <v>27165.16</v>
      </c>
      <c r="BR379" s="3">
        <f t="shared" si="11"/>
        <v>141</v>
      </c>
    </row>
    <row r="380" spans="1:70" x14ac:dyDescent="0.25">
      <c r="A380" s="4" t="s">
        <v>2504</v>
      </c>
      <c r="B380" t="s">
        <v>86</v>
      </c>
      <c r="C380" s="338" t="s">
        <v>1959</v>
      </c>
      <c r="D380" s="213" t="s">
        <v>1050</v>
      </c>
      <c r="E380" s="213" t="s">
        <v>142</v>
      </c>
      <c r="F380" s="213" t="s">
        <v>132</v>
      </c>
      <c r="G380" s="4">
        <v>0</v>
      </c>
      <c r="H380" s="4">
        <v>0</v>
      </c>
      <c r="I380" s="4">
        <v>374.01</v>
      </c>
      <c r="J380" s="4">
        <v>1</v>
      </c>
      <c r="K380" s="4">
        <v>450</v>
      </c>
      <c r="L380" s="4">
        <v>1</v>
      </c>
      <c r="M380" s="4">
        <v>300.02</v>
      </c>
      <c r="N380" s="4">
        <v>2</v>
      </c>
      <c r="O380" s="4">
        <v>150</v>
      </c>
      <c r="P380" s="4">
        <v>1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199.01</v>
      </c>
      <c r="Z380" s="4">
        <v>1</v>
      </c>
      <c r="AA380" s="4">
        <v>225</v>
      </c>
      <c r="AB380" s="4">
        <v>2</v>
      </c>
      <c r="AC380" s="4">
        <v>375</v>
      </c>
      <c r="AD380" s="4">
        <v>3</v>
      </c>
      <c r="AE380" s="4">
        <v>900</v>
      </c>
      <c r="AF380" s="4">
        <v>4</v>
      </c>
      <c r="AG380" s="4">
        <v>0</v>
      </c>
      <c r="AH380" s="4">
        <v>2</v>
      </c>
      <c r="AI380" s="4">
        <v>600</v>
      </c>
      <c r="AJ380" s="4">
        <v>2</v>
      </c>
      <c r="AK380" s="4">
        <v>0</v>
      </c>
      <c r="AL380" s="4">
        <v>0</v>
      </c>
      <c r="AM380" s="4">
        <v>150</v>
      </c>
      <c r="AN380" s="4">
        <v>1</v>
      </c>
      <c r="AO380" s="4">
        <v>0</v>
      </c>
      <c r="AP380" s="4">
        <v>0</v>
      </c>
      <c r="AQ380" s="4">
        <v>0</v>
      </c>
      <c r="AR380" s="4">
        <v>0</v>
      </c>
      <c r="AS380" s="4">
        <v>4303.09</v>
      </c>
      <c r="AT380" s="4">
        <v>19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1648.92</v>
      </c>
      <c r="BB380" s="4">
        <v>4</v>
      </c>
      <c r="BC380" s="4">
        <v>0</v>
      </c>
      <c r="BD380" s="4">
        <v>0</v>
      </c>
      <c r="BE380" s="4">
        <v>2188.16</v>
      </c>
      <c r="BF380" s="4">
        <v>10</v>
      </c>
      <c r="BQ380" s="3">
        <f t="shared" si="12"/>
        <v>11863.21</v>
      </c>
      <c r="BR380" s="3">
        <f t="shared" si="11"/>
        <v>53</v>
      </c>
    </row>
    <row r="381" spans="1:70" x14ac:dyDescent="0.25">
      <c r="A381" s="4" t="s">
        <v>2505</v>
      </c>
      <c r="B381" t="s">
        <v>86</v>
      </c>
      <c r="C381" s="338" t="s">
        <v>1960</v>
      </c>
      <c r="D381" s="213" t="s">
        <v>1051</v>
      </c>
      <c r="E381" s="213" t="s">
        <v>142</v>
      </c>
      <c r="F381" s="213" t="s">
        <v>132</v>
      </c>
      <c r="G381" s="4">
        <v>624.02</v>
      </c>
      <c r="H381" s="4">
        <v>6</v>
      </c>
      <c r="I381" s="4">
        <v>1062.03</v>
      </c>
      <c r="J381" s="4">
        <v>6</v>
      </c>
      <c r="K381" s="4">
        <v>1931.03</v>
      </c>
      <c r="L381" s="4">
        <v>9</v>
      </c>
      <c r="M381" s="4">
        <v>1090.03</v>
      </c>
      <c r="N381" s="4">
        <v>6</v>
      </c>
      <c r="O381" s="4">
        <v>458.02</v>
      </c>
      <c r="P381" s="4">
        <v>3</v>
      </c>
      <c r="Q381" s="4">
        <v>750</v>
      </c>
      <c r="R381" s="4">
        <v>4</v>
      </c>
      <c r="S381" s="4">
        <v>0</v>
      </c>
      <c r="T381" s="4">
        <v>0</v>
      </c>
      <c r="U381" s="4">
        <v>314.01</v>
      </c>
      <c r="V381" s="4">
        <v>2</v>
      </c>
      <c r="W381" s="4">
        <v>1624.01</v>
      </c>
      <c r="X381" s="4">
        <v>11</v>
      </c>
      <c r="Y381" s="4">
        <v>2129.0100000000002</v>
      </c>
      <c r="Z381" s="4">
        <v>11</v>
      </c>
      <c r="AA381" s="4">
        <v>3931.05</v>
      </c>
      <c r="AB381" s="4">
        <v>21</v>
      </c>
      <c r="AC381" s="4">
        <v>1200</v>
      </c>
      <c r="AD381" s="4">
        <v>10</v>
      </c>
      <c r="AE381" s="4">
        <v>0</v>
      </c>
      <c r="AF381" s="4">
        <v>0</v>
      </c>
      <c r="AG381" s="4">
        <v>674.99</v>
      </c>
      <c r="AH381" s="4">
        <v>4</v>
      </c>
      <c r="AI381" s="4">
        <v>1500</v>
      </c>
      <c r="AJ381" s="4">
        <v>5</v>
      </c>
      <c r="AK381" s="4">
        <v>675</v>
      </c>
      <c r="AL381" s="4">
        <v>5</v>
      </c>
      <c r="AM381" s="4">
        <v>0</v>
      </c>
      <c r="AN381" s="4">
        <v>0</v>
      </c>
      <c r="AO381" s="4">
        <v>995</v>
      </c>
      <c r="AP381" s="4">
        <v>5</v>
      </c>
      <c r="AQ381" s="4">
        <v>900</v>
      </c>
      <c r="AR381" s="4">
        <v>6</v>
      </c>
      <c r="AS381" s="4">
        <v>100</v>
      </c>
      <c r="AT381" s="4">
        <v>1</v>
      </c>
      <c r="AU381" s="4">
        <v>850</v>
      </c>
      <c r="AV381" s="4">
        <v>6</v>
      </c>
      <c r="AW381" s="4">
        <v>843.92</v>
      </c>
      <c r="AX381" s="4">
        <v>4</v>
      </c>
      <c r="AY381" s="4">
        <v>1168.92</v>
      </c>
      <c r="AZ381" s="4">
        <v>6</v>
      </c>
      <c r="BA381" s="4">
        <v>1318.92</v>
      </c>
      <c r="BB381" s="4">
        <v>8</v>
      </c>
      <c r="BC381" s="4">
        <v>496.96</v>
      </c>
      <c r="BD381" s="4">
        <v>3</v>
      </c>
      <c r="BE381" s="4">
        <v>461.02</v>
      </c>
      <c r="BF381" s="4">
        <v>4</v>
      </c>
      <c r="BQ381" s="3">
        <f t="shared" si="12"/>
        <v>25097.939999999991</v>
      </c>
      <c r="BR381" s="3">
        <f t="shared" si="11"/>
        <v>146</v>
      </c>
    </row>
    <row r="382" spans="1:70" x14ac:dyDescent="0.25">
      <c r="A382" s="4" t="s">
        <v>2506</v>
      </c>
      <c r="B382" t="s">
        <v>86</v>
      </c>
      <c r="C382" s="338" t="s">
        <v>1961</v>
      </c>
      <c r="D382" s="213" t="s">
        <v>1052</v>
      </c>
      <c r="E382" s="213" t="s">
        <v>142</v>
      </c>
      <c r="F382" s="213" t="s">
        <v>132</v>
      </c>
      <c r="G382" s="4">
        <v>1331.04</v>
      </c>
      <c r="H382" s="4">
        <v>7</v>
      </c>
      <c r="I382" s="4">
        <v>1318.04</v>
      </c>
      <c r="J382" s="4">
        <v>8</v>
      </c>
      <c r="K382" s="4">
        <v>1155.01</v>
      </c>
      <c r="L382" s="4">
        <v>5</v>
      </c>
      <c r="M382" s="4">
        <v>0</v>
      </c>
      <c r="N382" s="4">
        <v>0</v>
      </c>
      <c r="O382" s="4">
        <v>825.04</v>
      </c>
      <c r="P382" s="4">
        <v>5</v>
      </c>
      <c r="Q382" s="4">
        <v>760.01</v>
      </c>
      <c r="R382" s="4">
        <v>5</v>
      </c>
      <c r="S382" s="4">
        <v>583.01</v>
      </c>
      <c r="T382" s="4">
        <v>5</v>
      </c>
      <c r="U382" s="4">
        <v>640.01</v>
      </c>
      <c r="V382" s="4">
        <v>4</v>
      </c>
      <c r="W382" s="4">
        <v>375.01</v>
      </c>
      <c r="X382" s="4">
        <v>3</v>
      </c>
      <c r="Y382" s="4">
        <v>600.01</v>
      </c>
      <c r="Z382" s="4">
        <v>3</v>
      </c>
      <c r="AA382" s="4">
        <v>875.02</v>
      </c>
      <c r="AB382" s="4">
        <v>5</v>
      </c>
      <c r="AC382" s="4">
        <v>0</v>
      </c>
      <c r="AD382" s="4">
        <v>0</v>
      </c>
      <c r="AE382" s="4">
        <v>450.01</v>
      </c>
      <c r="AF382" s="4">
        <v>3</v>
      </c>
      <c r="AG382" s="4">
        <v>775</v>
      </c>
      <c r="AH382" s="4">
        <v>6</v>
      </c>
      <c r="AI382" s="4">
        <v>750.03</v>
      </c>
      <c r="AJ382" s="4">
        <v>4</v>
      </c>
      <c r="AK382" s="4">
        <v>375</v>
      </c>
      <c r="AL382" s="4">
        <v>3</v>
      </c>
      <c r="AM382" s="4">
        <v>775.01</v>
      </c>
      <c r="AN382" s="4">
        <v>4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Q382" s="3">
        <f t="shared" si="12"/>
        <v>11587.250000000002</v>
      </c>
      <c r="BR382" s="3">
        <f t="shared" si="11"/>
        <v>70</v>
      </c>
    </row>
    <row r="383" spans="1:70" x14ac:dyDescent="0.25">
      <c r="A383" s="4" t="s">
        <v>2507</v>
      </c>
      <c r="B383" t="s">
        <v>86</v>
      </c>
      <c r="C383" s="338" t="s">
        <v>1962</v>
      </c>
      <c r="D383" s="213" t="s">
        <v>1053</v>
      </c>
      <c r="E383" s="213" t="s">
        <v>142</v>
      </c>
      <c r="F383" s="213" t="s">
        <v>132</v>
      </c>
      <c r="G383" s="4">
        <v>796.02</v>
      </c>
      <c r="H383" s="4">
        <v>5</v>
      </c>
      <c r="I383" s="4">
        <v>1833.06</v>
      </c>
      <c r="J383" s="4">
        <v>7</v>
      </c>
      <c r="K383" s="4">
        <v>2713.04</v>
      </c>
      <c r="L383" s="4">
        <v>5</v>
      </c>
      <c r="M383" s="4">
        <v>830.01</v>
      </c>
      <c r="N383" s="4">
        <v>4</v>
      </c>
      <c r="O383" s="4">
        <v>300</v>
      </c>
      <c r="P383" s="4">
        <v>2</v>
      </c>
      <c r="Q383" s="4">
        <v>0</v>
      </c>
      <c r="R383" s="4">
        <v>0</v>
      </c>
      <c r="S383" s="4">
        <v>2044.02</v>
      </c>
      <c r="T383" s="4">
        <v>7</v>
      </c>
      <c r="U383" s="4">
        <v>1249.01</v>
      </c>
      <c r="V383" s="4">
        <v>5</v>
      </c>
      <c r="W383" s="4">
        <v>565</v>
      </c>
      <c r="X383" s="4">
        <v>4</v>
      </c>
      <c r="Y383" s="4">
        <v>525</v>
      </c>
      <c r="Z383" s="4">
        <v>2</v>
      </c>
      <c r="AA383" s="4">
        <v>390</v>
      </c>
      <c r="AB383" s="4">
        <v>2</v>
      </c>
      <c r="AC383" s="4">
        <v>450</v>
      </c>
      <c r="AD383" s="4">
        <v>1</v>
      </c>
      <c r="AE383" s="4">
        <v>0</v>
      </c>
      <c r="AF383" s="4">
        <v>0</v>
      </c>
      <c r="AG383" s="4">
        <v>625</v>
      </c>
      <c r="AH383" s="4">
        <v>3</v>
      </c>
      <c r="AI383" s="4">
        <v>950</v>
      </c>
      <c r="AJ383" s="4">
        <v>5</v>
      </c>
      <c r="AK383" s="4">
        <v>1675.03</v>
      </c>
      <c r="AL383" s="4">
        <v>6</v>
      </c>
      <c r="AM383" s="4">
        <v>950</v>
      </c>
      <c r="AN383" s="4">
        <v>5</v>
      </c>
      <c r="AO383" s="4">
        <v>1075</v>
      </c>
      <c r="AP383" s="4">
        <v>5</v>
      </c>
      <c r="AQ383" s="4">
        <v>2450</v>
      </c>
      <c r="AR383" s="4">
        <v>9</v>
      </c>
      <c r="AS383" s="4">
        <v>350</v>
      </c>
      <c r="AT383" s="4">
        <v>2</v>
      </c>
      <c r="AU383" s="4">
        <v>1790</v>
      </c>
      <c r="AV383" s="4">
        <v>8</v>
      </c>
      <c r="AW383" s="4">
        <v>1776.86</v>
      </c>
      <c r="AX383" s="4">
        <v>7</v>
      </c>
      <c r="AY383" s="4">
        <v>2801.76</v>
      </c>
      <c r="AZ383" s="4">
        <v>10</v>
      </c>
      <c r="BA383" s="4">
        <v>2272.88</v>
      </c>
      <c r="BB383" s="4">
        <v>10</v>
      </c>
      <c r="BC383" s="4">
        <v>2807.84</v>
      </c>
      <c r="BD383" s="4">
        <v>7</v>
      </c>
      <c r="BE383" s="4">
        <v>0</v>
      </c>
      <c r="BF383" s="4">
        <v>0</v>
      </c>
      <c r="BQ383" s="3">
        <f t="shared" si="12"/>
        <v>31219.530000000006</v>
      </c>
      <c r="BR383" s="3">
        <f t="shared" si="11"/>
        <v>121</v>
      </c>
    </row>
    <row r="384" spans="1:70" x14ac:dyDescent="0.25">
      <c r="A384" s="4" t="s">
        <v>2508</v>
      </c>
      <c r="B384" t="s">
        <v>87</v>
      </c>
      <c r="C384" s="338" t="s">
        <v>1963</v>
      </c>
      <c r="D384" s="213" t="s">
        <v>1054</v>
      </c>
      <c r="E384" s="213" t="s">
        <v>145</v>
      </c>
      <c r="F384" s="213" t="s">
        <v>127</v>
      </c>
      <c r="G384" s="4">
        <v>2535.08</v>
      </c>
      <c r="H384" s="4">
        <v>16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1083.04</v>
      </c>
      <c r="P384" s="4">
        <v>7</v>
      </c>
      <c r="Q384" s="4">
        <v>450.02</v>
      </c>
      <c r="R384" s="4">
        <v>4</v>
      </c>
      <c r="S384" s="4">
        <v>0</v>
      </c>
      <c r="T384" s="4">
        <v>0</v>
      </c>
      <c r="U384" s="4">
        <v>0</v>
      </c>
      <c r="V384" s="4">
        <v>0</v>
      </c>
      <c r="W384" s="4">
        <v>1495.02</v>
      </c>
      <c r="X384" s="4">
        <v>12</v>
      </c>
      <c r="Y384" s="4">
        <v>0</v>
      </c>
      <c r="Z384" s="4">
        <v>0</v>
      </c>
      <c r="AA384" s="4">
        <v>1115.01</v>
      </c>
      <c r="AB384" s="4">
        <v>7</v>
      </c>
      <c r="AC384" s="4">
        <v>1005.03</v>
      </c>
      <c r="AD384" s="4">
        <v>10</v>
      </c>
      <c r="AE384" s="4">
        <v>0</v>
      </c>
      <c r="AF384" s="4">
        <v>0</v>
      </c>
      <c r="AG384" s="4">
        <v>0</v>
      </c>
      <c r="AH384" s="4">
        <v>0</v>
      </c>
      <c r="AI384" s="4">
        <v>925.02</v>
      </c>
      <c r="AJ384" s="4">
        <v>6</v>
      </c>
      <c r="AK384" s="4">
        <v>0</v>
      </c>
      <c r="AL384" s="4">
        <v>0</v>
      </c>
      <c r="AM384" s="4">
        <v>150</v>
      </c>
      <c r="AN384" s="4">
        <v>1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Q384" s="3">
        <f t="shared" si="12"/>
        <v>8758.2199999999993</v>
      </c>
      <c r="BR384" s="3">
        <f t="shared" si="11"/>
        <v>63</v>
      </c>
    </row>
    <row r="385" spans="1:70" x14ac:dyDescent="0.25">
      <c r="A385" s="4" t="s">
        <v>2509</v>
      </c>
      <c r="B385" t="s">
        <v>87</v>
      </c>
      <c r="C385" s="338" t="s">
        <v>1964</v>
      </c>
      <c r="D385" s="213" t="s">
        <v>1055</v>
      </c>
      <c r="E385" s="213" t="s">
        <v>145</v>
      </c>
      <c r="F385" s="213" t="s">
        <v>127</v>
      </c>
      <c r="G385" s="4">
        <v>1222.03</v>
      </c>
      <c r="H385" s="4">
        <v>10</v>
      </c>
      <c r="I385" s="4">
        <v>2873.03</v>
      </c>
      <c r="J385" s="4">
        <v>22</v>
      </c>
      <c r="K385" s="4">
        <v>866.02</v>
      </c>
      <c r="L385" s="4">
        <v>8</v>
      </c>
      <c r="M385" s="4">
        <v>0</v>
      </c>
      <c r="N385" s="4">
        <v>0</v>
      </c>
      <c r="O385" s="4">
        <v>1242.01</v>
      </c>
      <c r="P385" s="4">
        <v>13</v>
      </c>
      <c r="Q385" s="4">
        <v>0</v>
      </c>
      <c r="R385" s="4">
        <v>0</v>
      </c>
      <c r="S385" s="4">
        <v>1621.05</v>
      </c>
      <c r="T385" s="4">
        <v>16</v>
      </c>
      <c r="U385" s="4">
        <v>968.04</v>
      </c>
      <c r="V385" s="4">
        <v>8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Q385" s="3">
        <f t="shared" si="12"/>
        <v>8792.18</v>
      </c>
      <c r="BR385" s="3">
        <f t="shared" si="11"/>
        <v>77</v>
      </c>
    </row>
    <row r="386" spans="1:70" x14ac:dyDescent="0.25">
      <c r="A386" s="4" t="s">
        <v>2510</v>
      </c>
      <c r="B386" t="s">
        <v>87</v>
      </c>
      <c r="C386" s="338" t="s">
        <v>1965</v>
      </c>
      <c r="D386" s="213" t="s">
        <v>1056</v>
      </c>
      <c r="E386" s="213" t="s">
        <v>145</v>
      </c>
      <c r="F386" s="213" t="s">
        <v>127</v>
      </c>
      <c r="G386" s="4">
        <v>1952.04</v>
      </c>
      <c r="H386" s="4">
        <v>17</v>
      </c>
      <c r="I386" s="4">
        <v>3017.07</v>
      </c>
      <c r="J386" s="4">
        <v>31</v>
      </c>
      <c r="K386" s="4">
        <v>2282.04</v>
      </c>
      <c r="L386" s="4">
        <v>23</v>
      </c>
      <c r="M386" s="4">
        <v>3608.06</v>
      </c>
      <c r="N386" s="4">
        <v>23</v>
      </c>
      <c r="O386" s="4">
        <v>0</v>
      </c>
      <c r="P386" s="4">
        <v>0</v>
      </c>
      <c r="Q386" s="4">
        <v>3248.03</v>
      </c>
      <c r="R386" s="4">
        <v>21</v>
      </c>
      <c r="S386" s="4">
        <v>0</v>
      </c>
      <c r="T386" s="4">
        <v>0</v>
      </c>
      <c r="U386" s="4">
        <v>1550.03</v>
      </c>
      <c r="V386" s="4">
        <v>15</v>
      </c>
      <c r="W386" s="4">
        <v>3871.06</v>
      </c>
      <c r="X386" s="4">
        <v>24</v>
      </c>
      <c r="Y386" s="4">
        <v>2195.06</v>
      </c>
      <c r="Z386" s="4">
        <v>16</v>
      </c>
      <c r="AA386" s="4">
        <v>3229.04</v>
      </c>
      <c r="AB386" s="4">
        <v>25</v>
      </c>
      <c r="AC386" s="4">
        <v>0</v>
      </c>
      <c r="AD386" s="4">
        <v>0</v>
      </c>
      <c r="AE386" s="4">
        <v>2488.02</v>
      </c>
      <c r="AF386" s="4">
        <v>17</v>
      </c>
      <c r="AG386" s="4">
        <v>1239.02</v>
      </c>
      <c r="AH386" s="4">
        <v>10</v>
      </c>
      <c r="AI386" s="4">
        <v>2956.01</v>
      </c>
      <c r="AJ386" s="4">
        <v>21</v>
      </c>
      <c r="AK386" s="4">
        <v>6370.12</v>
      </c>
      <c r="AL386" s="4">
        <v>46</v>
      </c>
      <c r="AM386" s="4">
        <v>3735.04</v>
      </c>
      <c r="AN386" s="4">
        <v>24</v>
      </c>
      <c r="AO386" s="4">
        <v>1878.01</v>
      </c>
      <c r="AP386" s="4">
        <v>16</v>
      </c>
      <c r="AQ386" s="4">
        <v>2897.04</v>
      </c>
      <c r="AR386" s="4">
        <v>22</v>
      </c>
      <c r="AS386" s="4">
        <v>0</v>
      </c>
      <c r="AT386" s="4">
        <v>0</v>
      </c>
      <c r="AU386" s="4">
        <v>3444.06</v>
      </c>
      <c r="AV386" s="4">
        <v>22</v>
      </c>
      <c r="AW386" s="4">
        <v>2375.92</v>
      </c>
      <c r="AX386" s="4">
        <v>14</v>
      </c>
      <c r="AY386" s="4">
        <v>4833.6899999999996</v>
      </c>
      <c r="AZ386" s="4">
        <v>29</v>
      </c>
      <c r="BA386" s="4">
        <v>2813.82</v>
      </c>
      <c r="BB386" s="4">
        <v>13</v>
      </c>
      <c r="BC386" s="4">
        <v>1087.98</v>
      </c>
      <c r="BD386" s="4">
        <v>9</v>
      </c>
      <c r="BE386" s="4">
        <v>1382.06</v>
      </c>
      <c r="BF386" s="4">
        <v>10</v>
      </c>
      <c r="BQ386" s="3">
        <f t="shared" si="12"/>
        <v>62453.220000000008</v>
      </c>
      <c r="BR386" s="3">
        <f t="shared" si="11"/>
        <v>448</v>
      </c>
    </row>
    <row r="387" spans="1:70" x14ac:dyDescent="0.25">
      <c r="A387" s="4" t="s">
        <v>2511</v>
      </c>
      <c r="B387" t="s">
        <v>87</v>
      </c>
      <c r="C387" s="338" t="s">
        <v>1966</v>
      </c>
      <c r="D387" s="213" t="s">
        <v>1057</v>
      </c>
      <c r="E387" s="213" t="s">
        <v>145</v>
      </c>
      <c r="F387" s="213" t="s">
        <v>127</v>
      </c>
      <c r="G387" s="4">
        <v>75</v>
      </c>
      <c r="H387" s="4">
        <v>1</v>
      </c>
      <c r="I387" s="4">
        <v>0</v>
      </c>
      <c r="J387" s="4">
        <v>0</v>
      </c>
      <c r="K387" s="4">
        <v>1172.03</v>
      </c>
      <c r="L387" s="4">
        <v>10</v>
      </c>
      <c r="M387" s="4">
        <v>0</v>
      </c>
      <c r="N387" s="4">
        <v>0</v>
      </c>
      <c r="O387" s="4">
        <v>0</v>
      </c>
      <c r="P387" s="4">
        <v>0</v>
      </c>
      <c r="Q387" s="4">
        <v>300</v>
      </c>
      <c r="R387" s="4">
        <v>2</v>
      </c>
      <c r="S387" s="4">
        <v>474</v>
      </c>
      <c r="T387" s="4">
        <v>4</v>
      </c>
      <c r="U387" s="4">
        <v>975.03</v>
      </c>
      <c r="V387" s="4">
        <v>7</v>
      </c>
      <c r="W387" s="4">
        <v>0</v>
      </c>
      <c r="X387" s="4">
        <v>0</v>
      </c>
      <c r="Y387" s="4">
        <v>1299</v>
      </c>
      <c r="Z387" s="4">
        <v>9</v>
      </c>
      <c r="AA387" s="4">
        <v>115</v>
      </c>
      <c r="AB387" s="4">
        <v>1</v>
      </c>
      <c r="AC387" s="4">
        <v>2781.01</v>
      </c>
      <c r="AD387" s="4">
        <v>22</v>
      </c>
      <c r="AE387" s="4">
        <v>1425.05</v>
      </c>
      <c r="AF387" s="4">
        <v>5</v>
      </c>
      <c r="AG387" s="4">
        <v>1634.02</v>
      </c>
      <c r="AH387" s="4">
        <v>15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490.01</v>
      </c>
      <c r="AP387" s="4">
        <v>3</v>
      </c>
      <c r="AQ387" s="4">
        <v>498</v>
      </c>
      <c r="AR387" s="4">
        <v>5</v>
      </c>
      <c r="AS387" s="4">
        <v>1900.04</v>
      </c>
      <c r="AT387" s="4">
        <v>14</v>
      </c>
      <c r="AU387" s="4">
        <v>0</v>
      </c>
      <c r="AV387" s="4">
        <v>0</v>
      </c>
      <c r="AW387" s="4">
        <v>1363.92</v>
      </c>
      <c r="AX387" s="4">
        <v>10</v>
      </c>
      <c r="AY387" s="4">
        <v>0</v>
      </c>
      <c r="AZ387" s="4">
        <v>0</v>
      </c>
      <c r="BA387" s="4">
        <v>150</v>
      </c>
      <c r="BB387" s="4">
        <v>2</v>
      </c>
      <c r="BC387" s="4">
        <v>1699.9</v>
      </c>
      <c r="BD387" s="4">
        <v>10</v>
      </c>
      <c r="BE387" s="4">
        <v>808.06</v>
      </c>
      <c r="BF387" s="4">
        <v>4</v>
      </c>
      <c r="BQ387" s="3">
        <f t="shared" si="12"/>
        <v>17160.07</v>
      </c>
      <c r="BR387" s="3">
        <f t="shared" si="11"/>
        <v>124</v>
      </c>
    </row>
    <row r="388" spans="1:70" x14ac:dyDescent="0.25">
      <c r="A388" s="4" t="s">
        <v>2512</v>
      </c>
      <c r="B388" t="s">
        <v>88</v>
      </c>
      <c r="C388" s="338" t="s">
        <v>1967</v>
      </c>
      <c r="D388" s="213" t="s">
        <v>1058</v>
      </c>
      <c r="E388" s="213" t="s">
        <v>145</v>
      </c>
      <c r="F388" s="213" t="s">
        <v>127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1024.01</v>
      </c>
      <c r="Z388" s="4">
        <v>7</v>
      </c>
      <c r="AA388" s="4">
        <v>449.99</v>
      </c>
      <c r="AB388" s="4">
        <v>5</v>
      </c>
      <c r="AC388" s="4">
        <v>1525</v>
      </c>
      <c r="AD388" s="4">
        <v>8</v>
      </c>
      <c r="AE388" s="4">
        <v>0</v>
      </c>
      <c r="AF388" s="4">
        <v>0</v>
      </c>
      <c r="AG388" s="4">
        <v>0</v>
      </c>
      <c r="AH388" s="4">
        <v>0</v>
      </c>
      <c r="AI388" s="4">
        <v>2337.04</v>
      </c>
      <c r="AJ388" s="4">
        <v>12</v>
      </c>
      <c r="AK388" s="4">
        <v>0</v>
      </c>
      <c r="AL388" s="4">
        <v>0</v>
      </c>
      <c r="AM388" s="4">
        <v>4021.07</v>
      </c>
      <c r="AN388" s="4">
        <v>24</v>
      </c>
      <c r="AO388" s="4">
        <v>4890.07</v>
      </c>
      <c r="AP388" s="4">
        <v>18</v>
      </c>
      <c r="AQ388" s="4">
        <v>1268</v>
      </c>
      <c r="AR388" s="4">
        <v>12</v>
      </c>
      <c r="AS388" s="4">
        <v>2314.0100000000002</v>
      </c>
      <c r="AT388" s="4">
        <v>15</v>
      </c>
      <c r="AU388" s="4">
        <v>150</v>
      </c>
      <c r="AV388" s="4">
        <v>1</v>
      </c>
      <c r="AW388" s="4">
        <v>2416.81</v>
      </c>
      <c r="AX388" s="4">
        <v>12</v>
      </c>
      <c r="AY388" s="4">
        <v>4639.66</v>
      </c>
      <c r="AZ388" s="4">
        <v>25</v>
      </c>
      <c r="BA388" s="4">
        <v>1677.92</v>
      </c>
      <c r="BB388" s="4">
        <v>4</v>
      </c>
      <c r="BC388" s="4">
        <v>693.91</v>
      </c>
      <c r="BD388" s="4">
        <v>6</v>
      </c>
      <c r="BE388" s="4">
        <v>322.02999999999997</v>
      </c>
      <c r="BF388" s="4">
        <v>1</v>
      </c>
      <c r="BQ388" s="3">
        <f t="shared" si="12"/>
        <v>27729.52</v>
      </c>
      <c r="BR388" s="3">
        <f t="shared" si="11"/>
        <v>150</v>
      </c>
    </row>
    <row r="389" spans="1:70" x14ac:dyDescent="0.25">
      <c r="A389" s="4" t="s">
        <v>2513</v>
      </c>
      <c r="B389" t="s">
        <v>88</v>
      </c>
      <c r="C389" s="338" t="s">
        <v>1968</v>
      </c>
      <c r="D389" s="213" t="s">
        <v>1059</v>
      </c>
      <c r="E389" s="213" t="s">
        <v>145</v>
      </c>
      <c r="F389" s="213" t="s">
        <v>127</v>
      </c>
      <c r="G389" s="4">
        <v>3390.07</v>
      </c>
      <c r="H389" s="4">
        <v>8</v>
      </c>
      <c r="I389" s="4">
        <v>7996.17</v>
      </c>
      <c r="J389" s="4">
        <v>29</v>
      </c>
      <c r="K389" s="4">
        <v>7277.22</v>
      </c>
      <c r="L389" s="4">
        <v>25</v>
      </c>
      <c r="M389" s="4">
        <v>2119.08</v>
      </c>
      <c r="N389" s="4">
        <v>11</v>
      </c>
      <c r="O389" s="4">
        <v>473.01</v>
      </c>
      <c r="P389" s="4">
        <v>4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3211.14</v>
      </c>
      <c r="X389" s="4">
        <v>25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1590</v>
      </c>
      <c r="AL389" s="4">
        <v>9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75</v>
      </c>
      <c r="AT389" s="4">
        <v>1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Q389" s="3">
        <f t="shared" si="12"/>
        <v>26131.69</v>
      </c>
      <c r="BR389" s="3">
        <f t="shared" ref="BR389:BR452" si="13">H389+J389+L389+N389+P389+R389+T389+V389+X389+Z389+AB389+AD389+AF389+AH389+AJ389+AL389+AN389+AP389+AR389+AT389+AV389+AX389+AZ389+BB389+BD389+BF389</f>
        <v>112</v>
      </c>
    </row>
    <row r="390" spans="1:70" x14ac:dyDescent="0.25">
      <c r="A390" s="4" t="s">
        <v>2514</v>
      </c>
      <c r="B390" t="s">
        <v>88</v>
      </c>
      <c r="C390" s="338" t="s">
        <v>1969</v>
      </c>
      <c r="D390" s="213" t="s">
        <v>1060</v>
      </c>
      <c r="E390" s="213" t="s">
        <v>145</v>
      </c>
      <c r="F390" s="213" t="s">
        <v>127</v>
      </c>
      <c r="G390" s="4">
        <v>3389.03</v>
      </c>
      <c r="H390" s="4">
        <v>16</v>
      </c>
      <c r="I390" s="4">
        <v>0</v>
      </c>
      <c r="J390" s="4">
        <v>0</v>
      </c>
      <c r="K390" s="4">
        <v>1184.01</v>
      </c>
      <c r="L390" s="4">
        <v>10</v>
      </c>
      <c r="M390" s="4">
        <v>4670.08</v>
      </c>
      <c r="N390" s="4">
        <v>28</v>
      </c>
      <c r="O390" s="4">
        <v>1654.03</v>
      </c>
      <c r="P390" s="4">
        <v>10</v>
      </c>
      <c r="Q390" s="4">
        <v>2915.02</v>
      </c>
      <c r="R390" s="4">
        <v>20</v>
      </c>
      <c r="S390" s="4">
        <v>5060.0600000000004</v>
      </c>
      <c r="T390" s="4">
        <v>31</v>
      </c>
      <c r="U390" s="4">
        <v>4357.1099999999997</v>
      </c>
      <c r="V390" s="4">
        <v>18</v>
      </c>
      <c r="W390" s="4">
        <v>0</v>
      </c>
      <c r="X390" s="4">
        <v>0</v>
      </c>
      <c r="Y390" s="4">
        <v>1489.03</v>
      </c>
      <c r="Z390" s="4">
        <v>11</v>
      </c>
      <c r="AA390" s="4">
        <v>1074.03</v>
      </c>
      <c r="AB390" s="4">
        <v>7</v>
      </c>
      <c r="AC390" s="4">
        <v>1319.01</v>
      </c>
      <c r="AD390" s="4">
        <v>8</v>
      </c>
      <c r="AE390" s="4">
        <v>2212.0500000000002</v>
      </c>
      <c r="AF390" s="4">
        <v>15</v>
      </c>
      <c r="AG390" s="4">
        <v>2192.06</v>
      </c>
      <c r="AH390" s="4">
        <v>17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2519.0500000000002</v>
      </c>
      <c r="AV390" s="4">
        <v>12</v>
      </c>
      <c r="AW390" s="4">
        <v>1536.91</v>
      </c>
      <c r="AX390" s="4">
        <v>8</v>
      </c>
      <c r="AY390" s="4">
        <v>0</v>
      </c>
      <c r="AZ390" s="4">
        <v>0</v>
      </c>
      <c r="BA390" s="4">
        <v>2214.86</v>
      </c>
      <c r="BB390" s="4">
        <v>12</v>
      </c>
      <c r="BC390" s="4">
        <v>1487.89</v>
      </c>
      <c r="BD390" s="4">
        <v>8</v>
      </c>
      <c r="BE390" s="4">
        <v>2679.16</v>
      </c>
      <c r="BF390" s="4">
        <v>12</v>
      </c>
      <c r="BQ390" s="3">
        <f t="shared" ref="BQ390:BQ453" si="14">G390+I390+K390+M390+O390+Q390+S390+U390+W390+Y390+AA390+AC390+AE390+AG390+AI390+AK390+AM390+AO390+AQ390+AS390+AU390+AW390+AY390+BA390+BC390+BE390</f>
        <v>41953.39</v>
      </c>
      <c r="BR390" s="3">
        <f t="shared" si="13"/>
        <v>243</v>
      </c>
    </row>
    <row r="391" spans="1:70" x14ac:dyDescent="0.25">
      <c r="A391" s="4" t="s">
        <v>2515</v>
      </c>
      <c r="B391" t="s">
        <v>88</v>
      </c>
      <c r="C391" s="338" t="s">
        <v>1970</v>
      </c>
      <c r="D391" s="213" t="s">
        <v>1061</v>
      </c>
      <c r="E391" s="213" t="s">
        <v>145</v>
      </c>
      <c r="F391" s="213" t="s">
        <v>127</v>
      </c>
      <c r="G391" s="4">
        <v>938.99</v>
      </c>
      <c r="H391" s="4">
        <v>5</v>
      </c>
      <c r="I391" s="4">
        <v>0</v>
      </c>
      <c r="J391" s="4">
        <v>0</v>
      </c>
      <c r="K391" s="4">
        <v>2915.02</v>
      </c>
      <c r="L391" s="4">
        <v>10</v>
      </c>
      <c r="M391" s="4">
        <v>0</v>
      </c>
      <c r="N391" s="4">
        <v>0</v>
      </c>
      <c r="O391" s="4">
        <v>1250.02</v>
      </c>
      <c r="P391" s="4">
        <v>9</v>
      </c>
      <c r="Q391" s="4">
        <v>1389</v>
      </c>
      <c r="R391" s="4">
        <v>8</v>
      </c>
      <c r="S391" s="4">
        <v>2093.02</v>
      </c>
      <c r="T391" s="4">
        <v>10</v>
      </c>
      <c r="U391" s="4">
        <v>930.01</v>
      </c>
      <c r="V391" s="4">
        <v>5</v>
      </c>
      <c r="W391" s="4">
        <v>0</v>
      </c>
      <c r="X391" s="4">
        <v>0</v>
      </c>
      <c r="Y391" s="4">
        <v>3210.99</v>
      </c>
      <c r="Z391" s="4">
        <v>9</v>
      </c>
      <c r="AA391" s="4">
        <v>300.02</v>
      </c>
      <c r="AB391" s="4">
        <v>2</v>
      </c>
      <c r="AC391" s="4">
        <v>450.01</v>
      </c>
      <c r="AD391" s="4">
        <v>4</v>
      </c>
      <c r="AE391" s="4">
        <v>574</v>
      </c>
      <c r="AF391" s="4">
        <v>4</v>
      </c>
      <c r="AG391" s="4">
        <v>675.02</v>
      </c>
      <c r="AH391" s="4">
        <v>4</v>
      </c>
      <c r="AI391" s="4">
        <v>1373.03</v>
      </c>
      <c r="AJ391" s="4">
        <v>8</v>
      </c>
      <c r="AK391" s="4">
        <v>0</v>
      </c>
      <c r="AL391" s="4">
        <v>0</v>
      </c>
      <c r="AM391" s="4">
        <v>1813.05</v>
      </c>
      <c r="AN391" s="4">
        <v>9</v>
      </c>
      <c r="AO391" s="4">
        <v>829.03</v>
      </c>
      <c r="AP391" s="4">
        <v>5</v>
      </c>
      <c r="AQ391" s="4">
        <v>150</v>
      </c>
      <c r="AR391" s="4">
        <v>1</v>
      </c>
      <c r="AS391" s="4">
        <v>150</v>
      </c>
      <c r="AT391" s="4">
        <v>1</v>
      </c>
      <c r="AU391" s="4">
        <v>622.01</v>
      </c>
      <c r="AV391" s="4">
        <v>5</v>
      </c>
      <c r="AW391" s="4">
        <v>75</v>
      </c>
      <c r="AX391" s="4">
        <v>1</v>
      </c>
      <c r="AY391" s="4">
        <v>0</v>
      </c>
      <c r="AZ391" s="4">
        <v>0</v>
      </c>
      <c r="BA391" s="4">
        <v>1167.95</v>
      </c>
      <c r="BB391" s="4">
        <v>7</v>
      </c>
      <c r="BC391" s="4">
        <v>852.95</v>
      </c>
      <c r="BD391" s="4">
        <v>3</v>
      </c>
      <c r="BE391" s="4">
        <v>1332.08</v>
      </c>
      <c r="BF391" s="4">
        <v>5</v>
      </c>
      <c r="BQ391" s="3">
        <f t="shared" si="14"/>
        <v>23091.200000000004</v>
      </c>
      <c r="BR391" s="3">
        <f t="shared" si="13"/>
        <v>115</v>
      </c>
    </row>
    <row r="392" spans="1:70" x14ac:dyDescent="0.25">
      <c r="A392" s="4" t="s">
        <v>2516</v>
      </c>
      <c r="B392" t="s">
        <v>89</v>
      </c>
      <c r="C392" s="338" t="s">
        <v>1971</v>
      </c>
      <c r="D392" s="213" t="s">
        <v>1062</v>
      </c>
      <c r="E392" s="213" t="s">
        <v>142</v>
      </c>
      <c r="F392" s="213" t="s">
        <v>132</v>
      </c>
      <c r="G392" s="4">
        <v>1000.03</v>
      </c>
      <c r="H392" s="4">
        <v>9</v>
      </c>
      <c r="I392" s="4">
        <v>1353.02</v>
      </c>
      <c r="J392" s="4">
        <v>8</v>
      </c>
      <c r="K392" s="4">
        <v>1152.04</v>
      </c>
      <c r="L392" s="4">
        <v>9</v>
      </c>
      <c r="M392" s="4">
        <v>2017.04</v>
      </c>
      <c r="N392" s="4">
        <v>6</v>
      </c>
      <c r="O392" s="4">
        <v>1125.02</v>
      </c>
      <c r="P392" s="4">
        <v>1</v>
      </c>
      <c r="Q392" s="4">
        <v>0</v>
      </c>
      <c r="R392" s="4">
        <v>0</v>
      </c>
      <c r="S392" s="4">
        <v>1350</v>
      </c>
      <c r="T392" s="4">
        <v>5</v>
      </c>
      <c r="U392" s="4">
        <v>649.01</v>
      </c>
      <c r="V392" s="4">
        <v>4</v>
      </c>
      <c r="W392" s="4">
        <v>794</v>
      </c>
      <c r="X392" s="4">
        <v>5</v>
      </c>
      <c r="Y392" s="4">
        <v>1290.02</v>
      </c>
      <c r="Z392" s="4">
        <v>7</v>
      </c>
      <c r="AA392" s="4">
        <v>0</v>
      </c>
      <c r="AB392" s="4">
        <v>0</v>
      </c>
      <c r="AC392" s="4">
        <v>1162.02</v>
      </c>
      <c r="AD392" s="4">
        <v>5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349.01</v>
      </c>
      <c r="AN392" s="4">
        <v>1</v>
      </c>
      <c r="AO392" s="4">
        <v>0</v>
      </c>
      <c r="AP392" s="4">
        <v>0</v>
      </c>
      <c r="AQ392" s="4">
        <v>0</v>
      </c>
      <c r="AR392" s="4">
        <v>0</v>
      </c>
      <c r="AS392" s="4">
        <v>419</v>
      </c>
      <c r="AT392" s="4">
        <v>4</v>
      </c>
      <c r="AU392" s="4">
        <v>1080.99</v>
      </c>
      <c r="AV392" s="4">
        <v>3</v>
      </c>
      <c r="AW392" s="4">
        <v>665.96</v>
      </c>
      <c r="AX392" s="4">
        <v>3</v>
      </c>
      <c r="AY392" s="4">
        <v>445.96</v>
      </c>
      <c r="AZ392" s="4">
        <v>3</v>
      </c>
      <c r="BA392" s="4">
        <v>630.98</v>
      </c>
      <c r="BB392" s="4">
        <v>3</v>
      </c>
      <c r="BC392" s="4">
        <v>150</v>
      </c>
      <c r="BD392" s="4">
        <v>1</v>
      </c>
      <c r="BE392" s="4">
        <v>221.99</v>
      </c>
      <c r="BF392" s="4">
        <v>1</v>
      </c>
      <c r="BQ392" s="3">
        <f t="shared" si="14"/>
        <v>15856.089999999998</v>
      </c>
      <c r="BR392" s="3">
        <f t="shared" si="13"/>
        <v>78</v>
      </c>
    </row>
    <row r="393" spans="1:70" x14ac:dyDescent="0.25">
      <c r="A393" s="4" t="s">
        <v>2517</v>
      </c>
      <c r="B393" t="s">
        <v>89</v>
      </c>
      <c r="C393" s="338" t="s">
        <v>1972</v>
      </c>
      <c r="D393" s="213" t="s">
        <v>1063</v>
      </c>
      <c r="E393" s="213" t="s">
        <v>142</v>
      </c>
      <c r="F393" s="213" t="s">
        <v>132</v>
      </c>
      <c r="G393" s="4">
        <v>998.02</v>
      </c>
      <c r="H393" s="4">
        <v>9</v>
      </c>
      <c r="I393" s="4">
        <v>192.01</v>
      </c>
      <c r="J393" s="4">
        <v>2</v>
      </c>
      <c r="K393" s="4">
        <v>1380</v>
      </c>
      <c r="L393" s="4">
        <v>6</v>
      </c>
      <c r="M393" s="4">
        <v>454.03</v>
      </c>
      <c r="N393" s="4">
        <v>1</v>
      </c>
      <c r="O393" s="4">
        <v>0</v>
      </c>
      <c r="P393" s="4">
        <v>0</v>
      </c>
      <c r="Q393" s="4">
        <v>1385</v>
      </c>
      <c r="R393" s="4">
        <v>4</v>
      </c>
      <c r="S393" s="4">
        <v>415.02</v>
      </c>
      <c r="T393" s="4">
        <v>1</v>
      </c>
      <c r="U393" s="4">
        <v>659.03</v>
      </c>
      <c r="V393" s="4">
        <v>3</v>
      </c>
      <c r="W393" s="4">
        <v>1479.05</v>
      </c>
      <c r="X393" s="4">
        <v>4</v>
      </c>
      <c r="Y393" s="4">
        <v>372</v>
      </c>
      <c r="Z393" s="4">
        <v>2</v>
      </c>
      <c r="AA393" s="4">
        <v>2137.06</v>
      </c>
      <c r="AB393" s="4">
        <v>8</v>
      </c>
      <c r="AC393" s="4">
        <v>0</v>
      </c>
      <c r="AD393" s="4">
        <v>0</v>
      </c>
      <c r="AE393" s="4">
        <v>1194.02</v>
      </c>
      <c r="AF393" s="4">
        <v>6</v>
      </c>
      <c r="AG393" s="4">
        <v>340</v>
      </c>
      <c r="AH393" s="4">
        <v>2</v>
      </c>
      <c r="AI393" s="4">
        <v>637</v>
      </c>
      <c r="AJ393" s="4">
        <v>4</v>
      </c>
      <c r="AK393" s="4">
        <v>4192.9799999999996</v>
      </c>
      <c r="AL393" s="4">
        <v>10</v>
      </c>
      <c r="AM393" s="4">
        <v>1453.02</v>
      </c>
      <c r="AN393" s="4">
        <v>6</v>
      </c>
      <c r="AO393" s="4">
        <v>1198.04</v>
      </c>
      <c r="AP393" s="4">
        <v>5</v>
      </c>
      <c r="AQ393" s="4">
        <v>1154.99</v>
      </c>
      <c r="AR393" s="4">
        <v>5</v>
      </c>
      <c r="AS393" s="4">
        <v>0</v>
      </c>
      <c r="AT393" s="4">
        <v>0</v>
      </c>
      <c r="AU393" s="4">
        <v>165</v>
      </c>
      <c r="AV393" s="4">
        <v>2</v>
      </c>
      <c r="AW393" s="4">
        <v>707.94</v>
      </c>
      <c r="AX393" s="4">
        <v>3</v>
      </c>
      <c r="AY393" s="4">
        <v>1503.9</v>
      </c>
      <c r="AZ393" s="4">
        <v>8</v>
      </c>
      <c r="BA393" s="4">
        <v>643.98</v>
      </c>
      <c r="BB393" s="4">
        <v>3</v>
      </c>
      <c r="BC393" s="4">
        <v>115</v>
      </c>
      <c r="BD393" s="4">
        <v>1</v>
      </c>
      <c r="BE393" s="4">
        <v>0</v>
      </c>
      <c r="BF393" s="4">
        <v>0</v>
      </c>
      <c r="BQ393" s="3">
        <f t="shared" si="14"/>
        <v>22777.09</v>
      </c>
      <c r="BR393" s="3">
        <f t="shared" si="13"/>
        <v>95</v>
      </c>
    </row>
    <row r="394" spans="1:70" x14ac:dyDescent="0.25">
      <c r="A394" s="4" t="s">
        <v>2518</v>
      </c>
      <c r="B394" t="s">
        <v>89</v>
      </c>
      <c r="C394" s="338" t="s">
        <v>1973</v>
      </c>
      <c r="D394" s="213" t="s">
        <v>1064</v>
      </c>
      <c r="E394" s="213" t="s">
        <v>142</v>
      </c>
      <c r="F394" s="213" t="s">
        <v>132</v>
      </c>
      <c r="G394" s="4">
        <v>0</v>
      </c>
      <c r="H394" s="4">
        <v>0</v>
      </c>
      <c r="I394" s="4">
        <v>0</v>
      </c>
      <c r="J394" s="4">
        <v>0</v>
      </c>
      <c r="K394" s="4">
        <v>1660.04</v>
      </c>
      <c r="L394" s="4">
        <v>11</v>
      </c>
      <c r="M394" s="4">
        <v>989.02</v>
      </c>
      <c r="N394" s="4">
        <v>6</v>
      </c>
      <c r="O394" s="4">
        <v>5384.04</v>
      </c>
      <c r="P394" s="4">
        <v>3</v>
      </c>
      <c r="Q394" s="4">
        <v>1883.02</v>
      </c>
      <c r="R394" s="4">
        <v>9</v>
      </c>
      <c r="S394" s="4">
        <v>221</v>
      </c>
      <c r="T394" s="4">
        <v>3</v>
      </c>
      <c r="U394" s="4">
        <v>1390.04</v>
      </c>
      <c r="V394" s="4">
        <v>1</v>
      </c>
      <c r="W394" s="4">
        <v>0</v>
      </c>
      <c r="X394" s="4">
        <v>0</v>
      </c>
      <c r="Y394" s="4">
        <v>0</v>
      </c>
      <c r="Z394" s="4">
        <v>0</v>
      </c>
      <c r="AA394" s="4">
        <v>300</v>
      </c>
      <c r="AB394" s="4">
        <v>3</v>
      </c>
      <c r="AC394" s="4">
        <v>754.02</v>
      </c>
      <c r="AD394" s="4">
        <v>6</v>
      </c>
      <c r="AE394" s="4">
        <v>625.02</v>
      </c>
      <c r="AF394" s="4">
        <v>3</v>
      </c>
      <c r="AG394" s="4">
        <v>689</v>
      </c>
      <c r="AH394" s="4">
        <v>5</v>
      </c>
      <c r="AI394" s="4">
        <v>640</v>
      </c>
      <c r="AJ394" s="4">
        <v>5</v>
      </c>
      <c r="AK394" s="4">
        <v>0</v>
      </c>
      <c r="AL394" s="4">
        <v>0</v>
      </c>
      <c r="AM394" s="4">
        <v>0</v>
      </c>
      <c r="AN394" s="4">
        <v>0</v>
      </c>
      <c r="AO394" s="4">
        <v>203</v>
      </c>
      <c r="AP394" s="4">
        <v>3</v>
      </c>
      <c r="AQ394" s="4">
        <v>450</v>
      </c>
      <c r="AR394" s="4">
        <v>4</v>
      </c>
      <c r="AS394" s="4">
        <v>225</v>
      </c>
      <c r="AT394" s="4">
        <v>2</v>
      </c>
      <c r="AU394" s="4">
        <v>550</v>
      </c>
      <c r="AV394" s="4">
        <v>4</v>
      </c>
      <c r="AW394" s="4">
        <v>0</v>
      </c>
      <c r="AX394" s="4">
        <v>0</v>
      </c>
      <c r="AY394" s="4">
        <v>0</v>
      </c>
      <c r="AZ394" s="4">
        <v>0</v>
      </c>
      <c r="BA394" s="4">
        <v>360.98</v>
      </c>
      <c r="BB394" s="4">
        <v>3</v>
      </c>
      <c r="BC394" s="4">
        <v>210.98</v>
      </c>
      <c r="BD394" s="4">
        <v>1</v>
      </c>
      <c r="BE394" s="4">
        <v>2310.0100000000002</v>
      </c>
      <c r="BF394" s="4">
        <v>7</v>
      </c>
      <c r="BQ394" s="3">
        <f t="shared" si="14"/>
        <v>18845.169999999998</v>
      </c>
      <c r="BR394" s="3">
        <f t="shared" si="13"/>
        <v>79</v>
      </c>
    </row>
    <row r="395" spans="1:70" x14ac:dyDescent="0.25">
      <c r="A395" s="4" t="s">
        <v>2519</v>
      </c>
      <c r="B395" t="s">
        <v>90</v>
      </c>
      <c r="C395" s="338" t="s">
        <v>1974</v>
      </c>
      <c r="D395" s="213" t="s">
        <v>1065</v>
      </c>
      <c r="E395" s="213" t="s">
        <v>158</v>
      </c>
      <c r="F395" s="213" t="s">
        <v>128</v>
      </c>
      <c r="G395" s="4">
        <v>1952.03</v>
      </c>
      <c r="H395" s="4">
        <v>20</v>
      </c>
      <c r="I395" s="4">
        <v>1825.07</v>
      </c>
      <c r="J395" s="4">
        <v>21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812</v>
      </c>
      <c r="T395" s="4">
        <v>7</v>
      </c>
      <c r="U395" s="4">
        <v>1176.99</v>
      </c>
      <c r="V395" s="4">
        <v>11</v>
      </c>
      <c r="W395" s="4">
        <v>1360.02</v>
      </c>
      <c r="X395" s="4">
        <v>13</v>
      </c>
      <c r="Y395" s="4">
        <v>1147</v>
      </c>
      <c r="Z395" s="4">
        <v>8</v>
      </c>
      <c r="AA395" s="4">
        <v>0</v>
      </c>
      <c r="AB395" s="4">
        <v>0</v>
      </c>
      <c r="AC395" s="4">
        <v>1621.02</v>
      </c>
      <c r="AD395" s="4">
        <v>11</v>
      </c>
      <c r="AE395" s="4">
        <v>1237.04</v>
      </c>
      <c r="AF395" s="4">
        <v>10</v>
      </c>
      <c r="AG395" s="4">
        <v>666.01</v>
      </c>
      <c r="AH395" s="4">
        <v>7</v>
      </c>
      <c r="AI395" s="4">
        <v>127</v>
      </c>
      <c r="AJ395" s="4">
        <v>2</v>
      </c>
      <c r="AK395" s="4">
        <v>1051.01</v>
      </c>
      <c r="AL395" s="4">
        <v>9</v>
      </c>
      <c r="AM395" s="4">
        <v>519.98</v>
      </c>
      <c r="AN395" s="4">
        <v>6</v>
      </c>
      <c r="AO395" s="4">
        <v>500.01</v>
      </c>
      <c r="AP395" s="4">
        <v>3</v>
      </c>
      <c r="AQ395" s="4">
        <v>150.01</v>
      </c>
      <c r="AR395" s="4">
        <v>1</v>
      </c>
      <c r="AS395" s="4">
        <v>803</v>
      </c>
      <c r="AT395" s="4">
        <v>7</v>
      </c>
      <c r="AU395" s="4">
        <v>0</v>
      </c>
      <c r="AV395" s="4">
        <v>0</v>
      </c>
      <c r="AW395" s="4">
        <v>611.96</v>
      </c>
      <c r="AX395" s="4">
        <v>4</v>
      </c>
      <c r="AY395" s="4">
        <v>983.91</v>
      </c>
      <c r="AZ395" s="4">
        <v>7</v>
      </c>
      <c r="BA395" s="4">
        <v>225</v>
      </c>
      <c r="BB395" s="4">
        <v>2</v>
      </c>
      <c r="BC395" s="4">
        <v>453.98</v>
      </c>
      <c r="BD395" s="4">
        <v>3</v>
      </c>
      <c r="BE395" s="4">
        <v>0</v>
      </c>
      <c r="BF395" s="4">
        <v>0</v>
      </c>
      <c r="BQ395" s="3">
        <f t="shared" si="14"/>
        <v>17223.04</v>
      </c>
      <c r="BR395" s="3">
        <f t="shared" si="13"/>
        <v>152</v>
      </c>
    </row>
    <row r="396" spans="1:70" x14ac:dyDescent="0.25">
      <c r="A396" s="4" t="s">
        <v>2520</v>
      </c>
      <c r="B396" t="s">
        <v>90</v>
      </c>
      <c r="C396" s="338" t="s">
        <v>1975</v>
      </c>
      <c r="D396" s="213" t="s">
        <v>1066</v>
      </c>
      <c r="E396" s="213" t="s">
        <v>158</v>
      </c>
      <c r="F396" s="213" t="s">
        <v>128</v>
      </c>
      <c r="G396" s="4">
        <v>698.02</v>
      </c>
      <c r="H396" s="4">
        <v>7</v>
      </c>
      <c r="I396" s="4">
        <v>1390.03</v>
      </c>
      <c r="J396" s="4">
        <v>13</v>
      </c>
      <c r="K396" s="4">
        <v>713.03</v>
      </c>
      <c r="L396" s="4">
        <v>7</v>
      </c>
      <c r="M396" s="4">
        <v>1318.03</v>
      </c>
      <c r="N396" s="4">
        <v>9</v>
      </c>
      <c r="O396" s="4">
        <v>75</v>
      </c>
      <c r="P396" s="4">
        <v>1</v>
      </c>
      <c r="Q396" s="4">
        <v>1550.06</v>
      </c>
      <c r="R396" s="4">
        <v>12</v>
      </c>
      <c r="S396" s="4">
        <v>0</v>
      </c>
      <c r="T396" s="4">
        <v>0</v>
      </c>
      <c r="U396" s="4">
        <v>300</v>
      </c>
      <c r="V396" s="4">
        <v>2</v>
      </c>
      <c r="W396" s="4">
        <v>952.02</v>
      </c>
      <c r="X396" s="4">
        <v>8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187</v>
      </c>
      <c r="AT396" s="4">
        <v>2</v>
      </c>
      <c r="AU396" s="4">
        <v>697</v>
      </c>
      <c r="AV396" s="4">
        <v>5</v>
      </c>
      <c r="AW396" s="4">
        <v>404.98</v>
      </c>
      <c r="AX396" s="4">
        <v>5</v>
      </c>
      <c r="AY396" s="4">
        <v>22</v>
      </c>
      <c r="AZ396" s="4">
        <v>1</v>
      </c>
      <c r="BA396" s="4">
        <v>558.96</v>
      </c>
      <c r="BB396" s="4">
        <v>4</v>
      </c>
      <c r="BC396" s="4">
        <v>285.98</v>
      </c>
      <c r="BD396" s="4">
        <v>2</v>
      </c>
      <c r="BE396" s="4">
        <v>646.04999999999995</v>
      </c>
      <c r="BF396" s="4">
        <v>4</v>
      </c>
      <c r="BQ396" s="3">
        <f t="shared" si="14"/>
        <v>9798.16</v>
      </c>
      <c r="BR396" s="3">
        <f t="shared" si="13"/>
        <v>82</v>
      </c>
    </row>
    <row r="397" spans="1:70" x14ac:dyDescent="0.25">
      <c r="A397" s="4" t="s">
        <v>2521</v>
      </c>
      <c r="B397" t="s">
        <v>90</v>
      </c>
      <c r="C397" s="338" t="s">
        <v>1976</v>
      </c>
      <c r="D397" s="213" t="s">
        <v>1067</v>
      </c>
      <c r="E397" s="213" t="s">
        <v>158</v>
      </c>
      <c r="F397" s="213" t="s">
        <v>128</v>
      </c>
      <c r="G397" s="4">
        <v>2403.0100000000002</v>
      </c>
      <c r="H397" s="4">
        <v>25</v>
      </c>
      <c r="I397" s="4">
        <v>2852.03</v>
      </c>
      <c r="J397" s="4">
        <v>25</v>
      </c>
      <c r="K397" s="4">
        <v>2302.0300000000002</v>
      </c>
      <c r="L397" s="4">
        <v>23</v>
      </c>
      <c r="M397" s="4">
        <v>1459.05</v>
      </c>
      <c r="N397" s="4">
        <v>8</v>
      </c>
      <c r="O397" s="4">
        <v>998.01</v>
      </c>
      <c r="P397" s="4">
        <v>7</v>
      </c>
      <c r="Q397" s="4">
        <v>0</v>
      </c>
      <c r="R397" s="4">
        <v>0</v>
      </c>
      <c r="S397" s="4">
        <v>1108.01</v>
      </c>
      <c r="T397" s="4">
        <v>7</v>
      </c>
      <c r="U397" s="4">
        <v>806.02</v>
      </c>
      <c r="V397" s="4">
        <v>6</v>
      </c>
      <c r="W397" s="4">
        <v>937.01</v>
      </c>
      <c r="X397" s="4">
        <v>8</v>
      </c>
      <c r="Y397" s="4">
        <v>975</v>
      </c>
      <c r="Z397" s="4">
        <v>7</v>
      </c>
      <c r="AA397" s="4">
        <v>1657.04</v>
      </c>
      <c r="AB397" s="4">
        <v>14</v>
      </c>
      <c r="AC397" s="4">
        <v>459</v>
      </c>
      <c r="AD397" s="4">
        <v>4</v>
      </c>
      <c r="AE397" s="4">
        <v>550</v>
      </c>
      <c r="AF397" s="4">
        <v>5</v>
      </c>
      <c r="AG397" s="4">
        <v>0</v>
      </c>
      <c r="AH397" s="4">
        <v>0</v>
      </c>
      <c r="AI397" s="4">
        <v>600.02</v>
      </c>
      <c r="AJ397" s="4">
        <v>7</v>
      </c>
      <c r="AK397" s="4">
        <v>1491.01</v>
      </c>
      <c r="AL397" s="4">
        <v>11</v>
      </c>
      <c r="AM397" s="4">
        <v>610.01</v>
      </c>
      <c r="AN397" s="4">
        <v>5</v>
      </c>
      <c r="AO397" s="4">
        <v>450</v>
      </c>
      <c r="AP397" s="4">
        <v>3</v>
      </c>
      <c r="AQ397" s="4">
        <v>400</v>
      </c>
      <c r="AR397" s="4">
        <v>3</v>
      </c>
      <c r="AS397" s="4">
        <v>0</v>
      </c>
      <c r="AT397" s="4">
        <v>0</v>
      </c>
      <c r="AU397" s="4">
        <v>1050.01</v>
      </c>
      <c r="AV397" s="4">
        <v>7</v>
      </c>
      <c r="AW397" s="4">
        <v>60.99</v>
      </c>
      <c r="AX397" s="4">
        <v>2</v>
      </c>
      <c r="AY397" s="4">
        <v>680.98</v>
      </c>
      <c r="AZ397" s="4">
        <v>5</v>
      </c>
      <c r="BA397" s="4">
        <v>742.94</v>
      </c>
      <c r="BB397" s="4">
        <v>6</v>
      </c>
      <c r="BC397" s="4">
        <v>115</v>
      </c>
      <c r="BD397" s="4">
        <v>1</v>
      </c>
      <c r="BE397" s="4">
        <v>644.05999999999995</v>
      </c>
      <c r="BF397" s="4">
        <v>4</v>
      </c>
      <c r="BQ397" s="3">
        <f t="shared" si="14"/>
        <v>23351.23</v>
      </c>
      <c r="BR397" s="3">
        <f t="shared" si="13"/>
        <v>193</v>
      </c>
    </row>
    <row r="398" spans="1:70" x14ac:dyDescent="0.25">
      <c r="A398" s="4" t="s">
        <v>2522</v>
      </c>
      <c r="B398" t="s">
        <v>90</v>
      </c>
      <c r="C398" s="338" t="s">
        <v>1977</v>
      </c>
      <c r="D398" s="213" t="s">
        <v>1068</v>
      </c>
      <c r="E398" s="213" t="s">
        <v>158</v>
      </c>
      <c r="F398" s="213" t="s">
        <v>128</v>
      </c>
      <c r="G398" s="4">
        <v>1421.03</v>
      </c>
      <c r="H398" s="4">
        <v>13</v>
      </c>
      <c r="I398" s="4">
        <v>0</v>
      </c>
      <c r="J398" s="4">
        <v>0</v>
      </c>
      <c r="K398" s="4">
        <v>1138.06</v>
      </c>
      <c r="L398" s="4">
        <v>8</v>
      </c>
      <c r="M398" s="4">
        <v>796.02</v>
      </c>
      <c r="N398" s="4">
        <v>6</v>
      </c>
      <c r="O398" s="4">
        <v>340.01</v>
      </c>
      <c r="P398" s="4">
        <v>3</v>
      </c>
      <c r="Q398" s="4">
        <v>790</v>
      </c>
      <c r="R398" s="4">
        <v>6</v>
      </c>
      <c r="S398" s="4">
        <v>450.01</v>
      </c>
      <c r="T398" s="4">
        <v>3</v>
      </c>
      <c r="U398" s="4">
        <v>300.02</v>
      </c>
      <c r="V398" s="4">
        <v>2</v>
      </c>
      <c r="W398" s="4">
        <v>0</v>
      </c>
      <c r="X398" s="4">
        <v>0</v>
      </c>
      <c r="Y398" s="4">
        <v>412</v>
      </c>
      <c r="Z398" s="4">
        <v>5</v>
      </c>
      <c r="AA398" s="4">
        <v>300</v>
      </c>
      <c r="AB398" s="4">
        <v>2</v>
      </c>
      <c r="AC398" s="4">
        <v>150</v>
      </c>
      <c r="AD398" s="4">
        <v>1</v>
      </c>
      <c r="AE398" s="4">
        <v>150</v>
      </c>
      <c r="AF398" s="4">
        <v>2</v>
      </c>
      <c r="AG398" s="4">
        <v>300</v>
      </c>
      <c r="AH398" s="4">
        <v>2</v>
      </c>
      <c r="AI398" s="4">
        <v>0</v>
      </c>
      <c r="AJ398" s="4">
        <v>0</v>
      </c>
      <c r="AK398" s="4">
        <v>0</v>
      </c>
      <c r="AL398" s="4">
        <v>0</v>
      </c>
      <c r="AM398" s="4">
        <v>565</v>
      </c>
      <c r="AN398" s="4">
        <v>5</v>
      </c>
      <c r="AO398" s="4">
        <v>121</v>
      </c>
      <c r="AP398" s="4">
        <v>2</v>
      </c>
      <c r="AQ398" s="4">
        <v>0</v>
      </c>
      <c r="AR398" s="4">
        <v>1</v>
      </c>
      <c r="AS398" s="4">
        <v>814.99</v>
      </c>
      <c r="AT398" s="4">
        <v>5</v>
      </c>
      <c r="AU398" s="4">
        <v>150</v>
      </c>
      <c r="AV398" s="4">
        <v>1</v>
      </c>
      <c r="AW398" s="4">
        <v>671.96</v>
      </c>
      <c r="AX398" s="4">
        <v>4</v>
      </c>
      <c r="AY398" s="4">
        <v>0</v>
      </c>
      <c r="AZ398" s="4">
        <v>0</v>
      </c>
      <c r="BA398" s="4">
        <v>360.98</v>
      </c>
      <c r="BB398" s="4">
        <v>4</v>
      </c>
      <c r="BC398" s="4">
        <v>150</v>
      </c>
      <c r="BD398" s="4">
        <v>2</v>
      </c>
      <c r="BE398" s="4">
        <v>75</v>
      </c>
      <c r="BF398" s="4">
        <v>1</v>
      </c>
      <c r="BQ398" s="3">
        <f t="shared" si="14"/>
        <v>9456.0799999999981</v>
      </c>
      <c r="BR398" s="3">
        <f t="shared" si="13"/>
        <v>78</v>
      </c>
    </row>
    <row r="399" spans="1:70" x14ac:dyDescent="0.25">
      <c r="A399" s="4" t="s">
        <v>2523</v>
      </c>
      <c r="B399" t="s">
        <v>91</v>
      </c>
      <c r="C399" s="338" t="s">
        <v>1978</v>
      </c>
      <c r="D399" s="213" t="s">
        <v>1069</v>
      </c>
      <c r="E399" s="213" t="s">
        <v>142</v>
      </c>
      <c r="F399" s="213" t="s">
        <v>132</v>
      </c>
      <c r="G399" s="4">
        <v>0</v>
      </c>
      <c r="H399" s="4">
        <v>0</v>
      </c>
      <c r="I399" s="4">
        <v>387.01</v>
      </c>
      <c r="J399" s="4">
        <v>4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Q399" s="3">
        <f t="shared" si="14"/>
        <v>387.01</v>
      </c>
      <c r="BR399" s="3">
        <f t="shared" si="13"/>
        <v>4</v>
      </c>
    </row>
    <row r="400" spans="1:70" x14ac:dyDescent="0.25">
      <c r="A400" s="4" t="s">
        <v>2524</v>
      </c>
      <c r="B400" t="s">
        <v>91</v>
      </c>
      <c r="C400" s="338" t="s">
        <v>1979</v>
      </c>
      <c r="D400" s="213" t="s">
        <v>1070</v>
      </c>
      <c r="E400" s="213" t="s">
        <v>142</v>
      </c>
      <c r="F400" s="213" t="s">
        <v>132</v>
      </c>
      <c r="G400" s="4">
        <v>921.03</v>
      </c>
      <c r="H400" s="4">
        <v>7</v>
      </c>
      <c r="I400" s="4">
        <v>5496.16</v>
      </c>
      <c r="J400" s="4">
        <v>32</v>
      </c>
      <c r="K400" s="4">
        <v>4097.12</v>
      </c>
      <c r="L400" s="4">
        <v>27</v>
      </c>
      <c r="M400" s="4">
        <v>2411.0500000000002</v>
      </c>
      <c r="N400" s="4">
        <v>14</v>
      </c>
      <c r="O400" s="4">
        <v>3105.08</v>
      </c>
      <c r="P400" s="4">
        <v>10</v>
      </c>
      <c r="Q400" s="4">
        <v>2125.0300000000002</v>
      </c>
      <c r="R400" s="4">
        <v>10</v>
      </c>
      <c r="S400" s="4">
        <v>1385</v>
      </c>
      <c r="T400" s="4">
        <v>7</v>
      </c>
      <c r="U400" s="4">
        <v>248.01</v>
      </c>
      <c r="V400" s="4">
        <v>2</v>
      </c>
      <c r="W400" s="4">
        <v>3198.01</v>
      </c>
      <c r="X400" s="4">
        <v>14</v>
      </c>
      <c r="Y400" s="4">
        <v>1378</v>
      </c>
      <c r="Z400" s="4">
        <v>6</v>
      </c>
      <c r="AA400" s="4">
        <v>1634.01</v>
      </c>
      <c r="AB400" s="4">
        <v>7</v>
      </c>
      <c r="AC400" s="4">
        <v>0</v>
      </c>
      <c r="AD400" s="4">
        <v>0</v>
      </c>
      <c r="AE400" s="4">
        <v>1370</v>
      </c>
      <c r="AF400" s="4">
        <v>6</v>
      </c>
      <c r="AG400" s="4">
        <v>0</v>
      </c>
      <c r="AH400" s="4">
        <v>0</v>
      </c>
      <c r="AI400" s="4">
        <v>675</v>
      </c>
      <c r="AJ400" s="4">
        <v>4</v>
      </c>
      <c r="AK400" s="4">
        <v>75</v>
      </c>
      <c r="AL400" s="4">
        <v>1</v>
      </c>
      <c r="AM400" s="4">
        <v>296</v>
      </c>
      <c r="AN400" s="4">
        <v>3</v>
      </c>
      <c r="AO400" s="4">
        <v>2525.02</v>
      </c>
      <c r="AP400" s="4">
        <v>6</v>
      </c>
      <c r="AQ400" s="4">
        <v>844.01</v>
      </c>
      <c r="AR400" s="4">
        <v>5</v>
      </c>
      <c r="AS400" s="4">
        <v>829.01</v>
      </c>
      <c r="AT400" s="4">
        <v>5</v>
      </c>
      <c r="AU400" s="4">
        <v>0</v>
      </c>
      <c r="AV400" s="4">
        <v>0</v>
      </c>
      <c r="AW400" s="4">
        <v>1286.98</v>
      </c>
      <c r="AX400" s="4">
        <v>4</v>
      </c>
      <c r="AY400" s="4">
        <v>1197.94</v>
      </c>
      <c r="AZ400" s="4">
        <v>5</v>
      </c>
      <c r="BA400" s="4">
        <v>1982.91</v>
      </c>
      <c r="BB400" s="4">
        <v>6</v>
      </c>
      <c r="BC400" s="4">
        <v>1735.97</v>
      </c>
      <c r="BD400" s="4">
        <v>4</v>
      </c>
      <c r="BE400" s="4">
        <v>1149.07</v>
      </c>
      <c r="BF400" s="4">
        <v>1</v>
      </c>
      <c r="BQ400" s="3">
        <f t="shared" si="14"/>
        <v>39965.410000000003</v>
      </c>
      <c r="BR400" s="3">
        <f t="shared" si="13"/>
        <v>186</v>
      </c>
    </row>
    <row r="401" spans="1:70" x14ac:dyDescent="0.25">
      <c r="A401" s="4" t="s">
        <v>2525</v>
      </c>
      <c r="B401" t="s">
        <v>91</v>
      </c>
      <c r="C401" s="338" t="s">
        <v>1980</v>
      </c>
      <c r="D401" s="213" t="s">
        <v>1071</v>
      </c>
      <c r="E401" s="213" t="s">
        <v>142</v>
      </c>
      <c r="F401" s="213" t="s">
        <v>132</v>
      </c>
      <c r="G401" s="4">
        <v>704.99</v>
      </c>
      <c r="H401" s="4">
        <v>5</v>
      </c>
      <c r="I401" s="4">
        <v>0</v>
      </c>
      <c r="J401" s="4">
        <v>0</v>
      </c>
      <c r="K401" s="4">
        <v>2162.06</v>
      </c>
      <c r="L401" s="4">
        <v>10</v>
      </c>
      <c r="M401" s="4">
        <v>1425.01</v>
      </c>
      <c r="N401" s="4">
        <v>9</v>
      </c>
      <c r="O401" s="4">
        <v>299</v>
      </c>
      <c r="P401" s="4">
        <v>3</v>
      </c>
      <c r="Q401" s="4">
        <v>675</v>
      </c>
      <c r="R401" s="4">
        <v>4</v>
      </c>
      <c r="S401" s="4">
        <v>1681.02</v>
      </c>
      <c r="T401" s="4">
        <v>13</v>
      </c>
      <c r="U401" s="4">
        <v>3758.04</v>
      </c>
      <c r="V401" s="4">
        <v>21</v>
      </c>
      <c r="W401" s="4">
        <v>150.01</v>
      </c>
      <c r="X401" s="4">
        <v>1</v>
      </c>
      <c r="Y401" s="4">
        <v>940</v>
      </c>
      <c r="Z401" s="4">
        <v>7</v>
      </c>
      <c r="AA401" s="4">
        <v>525</v>
      </c>
      <c r="AB401" s="4">
        <v>4</v>
      </c>
      <c r="AC401" s="4">
        <v>2154.0100000000002</v>
      </c>
      <c r="AD401" s="4">
        <v>12</v>
      </c>
      <c r="AE401" s="4">
        <v>1125</v>
      </c>
      <c r="AF401" s="4">
        <v>4</v>
      </c>
      <c r="AG401" s="4">
        <v>683</v>
      </c>
      <c r="AH401" s="4">
        <v>5</v>
      </c>
      <c r="AI401" s="4">
        <v>592</v>
      </c>
      <c r="AJ401" s="4">
        <v>3</v>
      </c>
      <c r="AK401" s="4">
        <v>0</v>
      </c>
      <c r="AL401" s="4">
        <v>0</v>
      </c>
      <c r="AM401" s="4">
        <v>0</v>
      </c>
      <c r="AN401" s="4">
        <v>0</v>
      </c>
      <c r="AO401" s="4">
        <v>1060</v>
      </c>
      <c r="AP401" s="4">
        <v>5</v>
      </c>
      <c r="AQ401" s="4">
        <v>943.02</v>
      </c>
      <c r="AR401" s="4">
        <v>6</v>
      </c>
      <c r="AS401" s="4">
        <v>450</v>
      </c>
      <c r="AT401" s="4">
        <v>3</v>
      </c>
      <c r="AU401" s="4">
        <v>1440</v>
      </c>
      <c r="AV401" s="4">
        <v>8</v>
      </c>
      <c r="AW401" s="4">
        <v>527.99</v>
      </c>
      <c r="AX401" s="4">
        <v>3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Q401" s="3">
        <f t="shared" si="14"/>
        <v>21295.15</v>
      </c>
      <c r="BR401" s="3">
        <f t="shared" si="13"/>
        <v>126</v>
      </c>
    </row>
    <row r="402" spans="1:70" x14ac:dyDescent="0.25">
      <c r="A402" s="4" t="s">
        <v>2526</v>
      </c>
      <c r="B402" t="s">
        <v>91</v>
      </c>
      <c r="C402" s="338" t="s">
        <v>1981</v>
      </c>
      <c r="D402" s="213" t="s">
        <v>1072</v>
      </c>
      <c r="E402" s="213" t="s">
        <v>142</v>
      </c>
      <c r="F402" s="213" t="s">
        <v>132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2974.01</v>
      </c>
      <c r="AH402" s="4">
        <v>12</v>
      </c>
      <c r="AI402" s="4">
        <v>2709</v>
      </c>
      <c r="AJ402" s="4">
        <v>11</v>
      </c>
      <c r="AK402" s="4">
        <v>2300.0300000000002</v>
      </c>
      <c r="AL402" s="4">
        <v>13</v>
      </c>
      <c r="AM402" s="4">
        <v>150</v>
      </c>
      <c r="AN402" s="4">
        <v>1</v>
      </c>
      <c r="AO402" s="4">
        <v>0</v>
      </c>
      <c r="AP402" s="4">
        <v>0</v>
      </c>
      <c r="AQ402" s="4">
        <v>300</v>
      </c>
      <c r="AR402" s="4">
        <v>2</v>
      </c>
      <c r="AS402" s="4">
        <v>304.01</v>
      </c>
      <c r="AT402" s="4">
        <v>2</v>
      </c>
      <c r="AU402" s="4">
        <v>1859.02</v>
      </c>
      <c r="AV402" s="4">
        <v>12</v>
      </c>
      <c r="AW402" s="4">
        <v>611.96</v>
      </c>
      <c r="AX402" s="4">
        <v>3</v>
      </c>
      <c r="AY402" s="4">
        <v>421.96</v>
      </c>
      <c r="AZ402" s="4">
        <v>1</v>
      </c>
      <c r="BA402" s="4">
        <v>372.01</v>
      </c>
      <c r="BB402" s="4">
        <v>1</v>
      </c>
      <c r="BC402" s="4">
        <v>952.03</v>
      </c>
      <c r="BD402" s="4">
        <v>6</v>
      </c>
      <c r="BE402" s="4">
        <v>683.05</v>
      </c>
      <c r="BF402" s="4">
        <v>3</v>
      </c>
      <c r="BQ402" s="3">
        <f t="shared" si="14"/>
        <v>13637.080000000002</v>
      </c>
      <c r="BR402" s="3">
        <f t="shared" si="13"/>
        <v>67</v>
      </c>
    </row>
    <row r="403" spans="1:70" x14ac:dyDescent="0.25">
      <c r="A403" s="4" t="s">
        <v>2527</v>
      </c>
      <c r="B403" t="s">
        <v>92</v>
      </c>
      <c r="C403" s="338" t="s">
        <v>1982</v>
      </c>
      <c r="D403" s="213" t="s">
        <v>1073</v>
      </c>
      <c r="E403" s="213" t="s">
        <v>163</v>
      </c>
      <c r="F403" s="213" t="s">
        <v>129</v>
      </c>
      <c r="G403" s="4">
        <v>1061.01</v>
      </c>
      <c r="H403" s="4">
        <v>7</v>
      </c>
      <c r="I403" s="4">
        <v>3288.01</v>
      </c>
      <c r="J403" s="4">
        <v>19</v>
      </c>
      <c r="K403" s="4">
        <v>911.02</v>
      </c>
      <c r="L403" s="4">
        <v>6</v>
      </c>
      <c r="M403" s="4">
        <v>1096.01</v>
      </c>
      <c r="N403" s="4">
        <v>5</v>
      </c>
      <c r="O403" s="4">
        <v>75</v>
      </c>
      <c r="P403" s="4">
        <v>1</v>
      </c>
      <c r="Q403" s="4">
        <v>364.01</v>
      </c>
      <c r="R403" s="4">
        <v>2</v>
      </c>
      <c r="S403" s="4">
        <v>525</v>
      </c>
      <c r="T403" s="4">
        <v>4</v>
      </c>
      <c r="U403" s="4">
        <v>481</v>
      </c>
      <c r="V403" s="4">
        <v>3</v>
      </c>
      <c r="W403" s="4">
        <v>1390.04</v>
      </c>
      <c r="X403" s="4">
        <v>8</v>
      </c>
      <c r="Y403" s="4">
        <v>559</v>
      </c>
      <c r="Z403" s="4">
        <v>4</v>
      </c>
      <c r="AA403" s="4">
        <v>799.01</v>
      </c>
      <c r="AB403" s="4">
        <v>7</v>
      </c>
      <c r="AC403" s="4">
        <v>0</v>
      </c>
      <c r="AD403" s="4">
        <v>0</v>
      </c>
      <c r="AE403" s="4">
        <v>1401.01</v>
      </c>
      <c r="AF403" s="4">
        <v>8</v>
      </c>
      <c r="AG403" s="4">
        <v>595.01</v>
      </c>
      <c r="AH403" s="4">
        <v>4</v>
      </c>
      <c r="AI403" s="4">
        <v>450</v>
      </c>
      <c r="AJ403" s="4">
        <v>4</v>
      </c>
      <c r="AK403" s="4">
        <v>1693.01</v>
      </c>
      <c r="AL403" s="4">
        <v>8</v>
      </c>
      <c r="AM403" s="4">
        <v>857.01</v>
      </c>
      <c r="AN403" s="4">
        <v>7</v>
      </c>
      <c r="AO403" s="4">
        <v>873</v>
      </c>
      <c r="AP403" s="4">
        <v>5</v>
      </c>
      <c r="AQ403" s="4">
        <v>0</v>
      </c>
      <c r="AR403" s="4">
        <v>0</v>
      </c>
      <c r="AS403" s="4">
        <v>934</v>
      </c>
      <c r="AT403" s="4">
        <v>4</v>
      </c>
      <c r="AU403" s="4">
        <v>1649.01</v>
      </c>
      <c r="AV403" s="4">
        <v>9</v>
      </c>
      <c r="AW403" s="4">
        <v>620.99</v>
      </c>
      <c r="AX403" s="4">
        <v>5</v>
      </c>
      <c r="AY403" s="4">
        <v>646.96</v>
      </c>
      <c r="AZ403" s="4">
        <v>4</v>
      </c>
      <c r="BA403" s="4">
        <v>734.96</v>
      </c>
      <c r="BB403" s="4">
        <v>6</v>
      </c>
      <c r="BC403" s="4">
        <v>1129.94</v>
      </c>
      <c r="BD403" s="4">
        <v>5</v>
      </c>
      <c r="BE403" s="4">
        <v>0</v>
      </c>
      <c r="BF403" s="4">
        <v>0</v>
      </c>
      <c r="BQ403" s="3">
        <f t="shared" si="14"/>
        <v>22134.01</v>
      </c>
      <c r="BR403" s="3">
        <f t="shared" si="13"/>
        <v>135</v>
      </c>
    </row>
    <row r="404" spans="1:70" x14ac:dyDescent="0.25">
      <c r="A404" s="4" t="s">
        <v>2528</v>
      </c>
      <c r="B404" t="s">
        <v>92</v>
      </c>
      <c r="C404" s="338" t="s">
        <v>1983</v>
      </c>
      <c r="D404" s="213" t="s">
        <v>1074</v>
      </c>
      <c r="E404" s="213" t="s">
        <v>163</v>
      </c>
      <c r="F404" s="213" t="s">
        <v>129</v>
      </c>
      <c r="G404" s="4">
        <v>1119.02</v>
      </c>
      <c r="H404" s="4">
        <v>6</v>
      </c>
      <c r="I404" s="4">
        <v>2935.07</v>
      </c>
      <c r="J404" s="4">
        <v>17</v>
      </c>
      <c r="K404" s="4">
        <v>517.01</v>
      </c>
      <c r="L404" s="4">
        <v>4</v>
      </c>
      <c r="M404" s="4">
        <v>1335.04</v>
      </c>
      <c r="N404" s="4">
        <v>8</v>
      </c>
      <c r="O404" s="4">
        <v>1472.01</v>
      </c>
      <c r="P404" s="4">
        <v>9</v>
      </c>
      <c r="Q404" s="4">
        <v>1449.03</v>
      </c>
      <c r="R404" s="4">
        <v>10</v>
      </c>
      <c r="S404" s="4">
        <v>622.01</v>
      </c>
      <c r="T404" s="4">
        <v>5</v>
      </c>
      <c r="U404" s="4">
        <v>1090</v>
      </c>
      <c r="V404" s="4">
        <v>7</v>
      </c>
      <c r="W404" s="4">
        <v>0</v>
      </c>
      <c r="X404" s="4">
        <v>0</v>
      </c>
      <c r="Y404" s="4">
        <v>704.02</v>
      </c>
      <c r="Z404" s="4">
        <v>5</v>
      </c>
      <c r="AA404" s="4">
        <v>944.01</v>
      </c>
      <c r="AB404" s="4">
        <v>6</v>
      </c>
      <c r="AC404" s="4">
        <v>787.01</v>
      </c>
      <c r="AD404" s="4">
        <v>6</v>
      </c>
      <c r="AE404" s="4">
        <v>150.01</v>
      </c>
      <c r="AF404" s="4">
        <v>1</v>
      </c>
      <c r="AG404" s="4">
        <v>553.02</v>
      </c>
      <c r="AH404" s="4">
        <v>2</v>
      </c>
      <c r="AI404" s="4">
        <v>738.01</v>
      </c>
      <c r="AJ404" s="4">
        <v>5</v>
      </c>
      <c r="AK404" s="4">
        <v>1783.03</v>
      </c>
      <c r="AL404" s="4">
        <v>12</v>
      </c>
      <c r="AM404" s="4">
        <v>715</v>
      </c>
      <c r="AN404" s="4">
        <v>6</v>
      </c>
      <c r="AO404" s="4">
        <v>589.02</v>
      </c>
      <c r="AP404" s="4">
        <v>4</v>
      </c>
      <c r="AQ404" s="4">
        <v>974.99</v>
      </c>
      <c r="AR404" s="4">
        <v>7</v>
      </c>
      <c r="AS404" s="4">
        <v>0</v>
      </c>
      <c r="AT404" s="4">
        <v>0</v>
      </c>
      <c r="AU404" s="4">
        <v>1637.04</v>
      </c>
      <c r="AV404" s="4">
        <v>9</v>
      </c>
      <c r="AW404" s="4">
        <v>313.01</v>
      </c>
      <c r="AX404" s="4">
        <v>3</v>
      </c>
      <c r="AY404" s="4">
        <v>571.96</v>
      </c>
      <c r="AZ404" s="4">
        <v>4</v>
      </c>
      <c r="BA404" s="4">
        <v>646.96</v>
      </c>
      <c r="BB404" s="4">
        <v>4</v>
      </c>
      <c r="BC404" s="4">
        <v>1429.9</v>
      </c>
      <c r="BD404" s="4">
        <v>9</v>
      </c>
      <c r="BE404" s="4">
        <v>479</v>
      </c>
      <c r="BF404" s="4">
        <v>3</v>
      </c>
      <c r="BQ404" s="3">
        <f t="shared" si="14"/>
        <v>23555.180000000004</v>
      </c>
      <c r="BR404" s="3">
        <f t="shared" si="13"/>
        <v>152</v>
      </c>
    </row>
    <row r="405" spans="1:70" x14ac:dyDescent="0.25">
      <c r="A405" s="4" t="s">
        <v>2529</v>
      </c>
      <c r="B405" t="s">
        <v>92</v>
      </c>
      <c r="C405" s="338" t="s">
        <v>1984</v>
      </c>
      <c r="D405" s="213" t="s">
        <v>1075</v>
      </c>
      <c r="E405" s="213" t="s">
        <v>163</v>
      </c>
      <c r="F405" s="213" t="s">
        <v>129</v>
      </c>
      <c r="G405" s="4">
        <v>1332.04</v>
      </c>
      <c r="H405" s="4">
        <v>8</v>
      </c>
      <c r="I405" s="4">
        <v>2408.0500000000002</v>
      </c>
      <c r="J405" s="4">
        <v>14</v>
      </c>
      <c r="K405" s="4">
        <v>933.01</v>
      </c>
      <c r="L405" s="4">
        <v>6</v>
      </c>
      <c r="M405" s="4">
        <v>75</v>
      </c>
      <c r="N405" s="4">
        <v>1</v>
      </c>
      <c r="O405" s="4">
        <v>847.01</v>
      </c>
      <c r="P405" s="4">
        <v>5</v>
      </c>
      <c r="Q405" s="4">
        <v>536.01</v>
      </c>
      <c r="R405" s="4">
        <v>4</v>
      </c>
      <c r="S405" s="4">
        <v>879</v>
      </c>
      <c r="T405" s="4">
        <v>4</v>
      </c>
      <c r="U405" s="4">
        <v>499.01</v>
      </c>
      <c r="V405" s="4">
        <v>3</v>
      </c>
      <c r="W405" s="4">
        <v>1267.02</v>
      </c>
      <c r="X405" s="4">
        <v>9</v>
      </c>
      <c r="Y405" s="4">
        <v>659.01</v>
      </c>
      <c r="Z405" s="4">
        <v>3</v>
      </c>
      <c r="AA405" s="4">
        <v>1422.02</v>
      </c>
      <c r="AB405" s="4">
        <v>7</v>
      </c>
      <c r="AC405" s="4">
        <v>687.01</v>
      </c>
      <c r="AD405" s="4">
        <v>4</v>
      </c>
      <c r="AE405" s="4">
        <v>944.02</v>
      </c>
      <c r="AF405" s="4">
        <v>7</v>
      </c>
      <c r="AG405" s="4">
        <v>751.01</v>
      </c>
      <c r="AH405" s="4">
        <v>7</v>
      </c>
      <c r="AI405" s="4">
        <v>749</v>
      </c>
      <c r="AJ405" s="4">
        <v>7</v>
      </c>
      <c r="AK405" s="4">
        <v>0</v>
      </c>
      <c r="AL405" s="4">
        <v>0</v>
      </c>
      <c r="AM405" s="4">
        <v>1190.02</v>
      </c>
      <c r="AN405" s="4">
        <v>6</v>
      </c>
      <c r="AO405" s="4">
        <v>525.02</v>
      </c>
      <c r="AP405" s="4">
        <v>4</v>
      </c>
      <c r="AQ405" s="4">
        <v>962.02</v>
      </c>
      <c r="AR405" s="4">
        <v>7</v>
      </c>
      <c r="AS405" s="4">
        <v>574</v>
      </c>
      <c r="AT405" s="4">
        <v>4</v>
      </c>
      <c r="AU405" s="4">
        <v>0</v>
      </c>
      <c r="AV405" s="4">
        <v>0</v>
      </c>
      <c r="AW405" s="4">
        <v>484.99</v>
      </c>
      <c r="AX405" s="4">
        <v>4</v>
      </c>
      <c r="AY405" s="4">
        <v>408.01</v>
      </c>
      <c r="AZ405" s="4">
        <v>4</v>
      </c>
      <c r="BA405" s="4">
        <v>1005.95</v>
      </c>
      <c r="BB405" s="4">
        <v>6</v>
      </c>
      <c r="BC405" s="4">
        <v>0</v>
      </c>
      <c r="BD405" s="4">
        <v>0</v>
      </c>
      <c r="BE405" s="4">
        <v>472.03</v>
      </c>
      <c r="BF405" s="4">
        <v>2</v>
      </c>
      <c r="BQ405" s="3">
        <f t="shared" si="14"/>
        <v>19610.260000000002</v>
      </c>
      <c r="BR405" s="3">
        <f t="shared" si="13"/>
        <v>126</v>
      </c>
    </row>
    <row r="406" spans="1:70" x14ac:dyDescent="0.25">
      <c r="A406" s="4" t="s">
        <v>2530</v>
      </c>
      <c r="B406" t="s">
        <v>92</v>
      </c>
      <c r="C406" s="338" t="s">
        <v>1985</v>
      </c>
      <c r="D406" s="213" t="s">
        <v>1076</v>
      </c>
      <c r="E406" s="213" t="s">
        <v>163</v>
      </c>
      <c r="F406" s="213" t="s">
        <v>129</v>
      </c>
      <c r="G406" s="4">
        <v>4072.04</v>
      </c>
      <c r="H406" s="4">
        <v>20</v>
      </c>
      <c r="I406" s="4">
        <v>0</v>
      </c>
      <c r="J406" s="4">
        <v>0</v>
      </c>
      <c r="K406" s="4">
        <v>1514.02</v>
      </c>
      <c r="L406" s="4">
        <v>8</v>
      </c>
      <c r="M406" s="4">
        <v>699.01</v>
      </c>
      <c r="N406" s="4">
        <v>6</v>
      </c>
      <c r="O406" s="4">
        <v>897.02</v>
      </c>
      <c r="P406" s="4">
        <v>5</v>
      </c>
      <c r="Q406" s="4">
        <v>0</v>
      </c>
      <c r="R406" s="4">
        <v>0</v>
      </c>
      <c r="S406" s="4">
        <v>525</v>
      </c>
      <c r="T406" s="4">
        <v>3</v>
      </c>
      <c r="U406" s="4">
        <v>474</v>
      </c>
      <c r="V406" s="4">
        <v>4</v>
      </c>
      <c r="W406" s="4">
        <v>2147.0300000000002</v>
      </c>
      <c r="X406" s="4">
        <v>9</v>
      </c>
      <c r="Y406" s="4">
        <v>450.02</v>
      </c>
      <c r="Z406" s="4">
        <v>3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1174.01</v>
      </c>
      <c r="AP406" s="4">
        <v>6</v>
      </c>
      <c r="AQ406" s="4">
        <v>1022.03</v>
      </c>
      <c r="AR406" s="4">
        <v>5</v>
      </c>
      <c r="AS406" s="4">
        <v>849.02</v>
      </c>
      <c r="AT406" s="4">
        <v>5</v>
      </c>
      <c r="AU406" s="4">
        <v>565.01</v>
      </c>
      <c r="AV406" s="4">
        <v>4</v>
      </c>
      <c r="AW406" s="4">
        <v>435.98</v>
      </c>
      <c r="AX406" s="4">
        <v>3</v>
      </c>
      <c r="AY406" s="4">
        <v>0</v>
      </c>
      <c r="AZ406" s="4">
        <v>0</v>
      </c>
      <c r="BA406" s="4">
        <v>869.97</v>
      </c>
      <c r="BB406" s="4">
        <v>5</v>
      </c>
      <c r="BC406" s="4">
        <v>1112.9000000000001</v>
      </c>
      <c r="BD406" s="4">
        <v>7</v>
      </c>
      <c r="BE406" s="4">
        <v>844.08</v>
      </c>
      <c r="BF406" s="4">
        <v>4</v>
      </c>
      <c r="BQ406" s="3">
        <f t="shared" si="14"/>
        <v>17651.140000000003</v>
      </c>
      <c r="BR406" s="3">
        <f t="shared" si="13"/>
        <v>97</v>
      </c>
    </row>
    <row r="407" spans="1:70" x14ac:dyDescent="0.25">
      <c r="A407" s="4" t="s">
        <v>2531</v>
      </c>
      <c r="B407" t="s">
        <v>93</v>
      </c>
      <c r="C407" s="338" t="s">
        <v>1986</v>
      </c>
      <c r="D407" s="213" t="s">
        <v>1077</v>
      </c>
      <c r="E407" s="213" t="s">
        <v>139</v>
      </c>
      <c r="F407" s="213" t="s">
        <v>130</v>
      </c>
      <c r="G407" s="4">
        <v>1095.01</v>
      </c>
      <c r="H407" s="4">
        <v>12</v>
      </c>
      <c r="I407" s="4">
        <v>0</v>
      </c>
      <c r="J407" s="4">
        <v>0</v>
      </c>
      <c r="K407" s="4">
        <v>401</v>
      </c>
      <c r="L407" s="4">
        <v>4</v>
      </c>
      <c r="M407" s="4">
        <v>395</v>
      </c>
      <c r="N407" s="4">
        <v>4</v>
      </c>
      <c r="O407" s="4">
        <v>600.04999999999995</v>
      </c>
      <c r="P407" s="4">
        <v>4</v>
      </c>
      <c r="Q407" s="4">
        <v>450.02</v>
      </c>
      <c r="R407" s="4">
        <v>3</v>
      </c>
      <c r="S407" s="4">
        <v>300.02</v>
      </c>
      <c r="T407" s="4">
        <v>2</v>
      </c>
      <c r="U407" s="4">
        <v>99</v>
      </c>
      <c r="V407" s="4">
        <v>2</v>
      </c>
      <c r="W407" s="4">
        <v>0</v>
      </c>
      <c r="X407" s="4">
        <v>0</v>
      </c>
      <c r="Y407" s="4">
        <v>246</v>
      </c>
      <c r="Z407" s="4">
        <v>1</v>
      </c>
      <c r="AA407" s="4">
        <v>0</v>
      </c>
      <c r="AB407" s="4">
        <v>0</v>
      </c>
      <c r="AC407" s="4">
        <v>196</v>
      </c>
      <c r="AD407" s="4">
        <v>2</v>
      </c>
      <c r="AE407" s="4">
        <v>635</v>
      </c>
      <c r="AF407" s="4">
        <v>6</v>
      </c>
      <c r="AG407" s="4">
        <v>274.02</v>
      </c>
      <c r="AH407" s="4">
        <v>3</v>
      </c>
      <c r="AI407" s="4">
        <v>75</v>
      </c>
      <c r="AJ407" s="4">
        <v>1</v>
      </c>
      <c r="AK407" s="4">
        <v>0</v>
      </c>
      <c r="AL407" s="4">
        <v>0</v>
      </c>
      <c r="AM407" s="4">
        <v>375</v>
      </c>
      <c r="AN407" s="4">
        <v>4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1252.02</v>
      </c>
      <c r="BB407" s="4">
        <v>7</v>
      </c>
      <c r="BC407" s="4">
        <v>0</v>
      </c>
      <c r="BD407" s="4">
        <v>0</v>
      </c>
      <c r="BE407" s="4">
        <v>0</v>
      </c>
      <c r="BF407" s="4">
        <v>0</v>
      </c>
      <c r="BQ407" s="3">
        <f t="shared" si="14"/>
        <v>6393.1400000000012</v>
      </c>
      <c r="BR407" s="3">
        <f t="shared" si="13"/>
        <v>55</v>
      </c>
    </row>
    <row r="408" spans="1:70" x14ac:dyDescent="0.25">
      <c r="A408" s="4" t="s">
        <v>2532</v>
      </c>
      <c r="B408" t="s">
        <v>93</v>
      </c>
      <c r="C408" s="338" t="s">
        <v>1987</v>
      </c>
      <c r="D408" s="213" t="s">
        <v>1078</v>
      </c>
      <c r="E408" s="213" t="s">
        <v>139</v>
      </c>
      <c r="F408" s="213" t="s">
        <v>130</v>
      </c>
      <c r="G408" s="4">
        <v>1631</v>
      </c>
      <c r="H408" s="4">
        <v>15</v>
      </c>
      <c r="I408" s="4">
        <v>2133.0500000000002</v>
      </c>
      <c r="J408" s="4">
        <v>24</v>
      </c>
      <c r="K408" s="4">
        <v>772.03</v>
      </c>
      <c r="L408" s="4">
        <v>7</v>
      </c>
      <c r="M408" s="4">
        <v>841</v>
      </c>
      <c r="N408" s="4">
        <v>8</v>
      </c>
      <c r="O408" s="4">
        <v>2531.0300000000002</v>
      </c>
      <c r="P408" s="4">
        <v>21</v>
      </c>
      <c r="Q408" s="4">
        <v>0</v>
      </c>
      <c r="R408" s="4">
        <v>0</v>
      </c>
      <c r="S408" s="4">
        <v>1231.03</v>
      </c>
      <c r="T408" s="4">
        <v>11</v>
      </c>
      <c r="U408" s="4">
        <v>1587.03</v>
      </c>
      <c r="V408" s="4">
        <v>12</v>
      </c>
      <c r="W408" s="4">
        <v>2299</v>
      </c>
      <c r="X408" s="4">
        <v>18</v>
      </c>
      <c r="Y408" s="4">
        <v>1233</v>
      </c>
      <c r="Z408" s="4">
        <v>10</v>
      </c>
      <c r="AA408" s="4">
        <v>591</v>
      </c>
      <c r="AB408" s="4">
        <v>8</v>
      </c>
      <c r="AC408" s="4">
        <v>1087.02</v>
      </c>
      <c r="AD408" s="4">
        <v>12</v>
      </c>
      <c r="AE408" s="4">
        <v>0</v>
      </c>
      <c r="AF408" s="4">
        <v>0</v>
      </c>
      <c r="AG408" s="4">
        <v>1402.01</v>
      </c>
      <c r="AH408" s="4">
        <v>10</v>
      </c>
      <c r="AI408" s="4">
        <v>911.99</v>
      </c>
      <c r="AJ408" s="4">
        <v>6</v>
      </c>
      <c r="AK408" s="4">
        <v>1498.05</v>
      </c>
      <c r="AL408" s="4">
        <v>11</v>
      </c>
      <c r="AM408" s="4">
        <v>1023.01</v>
      </c>
      <c r="AN408" s="4">
        <v>8</v>
      </c>
      <c r="AO408" s="4">
        <v>525.01</v>
      </c>
      <c r="AP408" s="4">
        <v>4</v>
      </c>
      <c r="AQ408" s="4">
        <v>259</v>
      </c>
      <c r="AR408" s="4">
        <v>2</v>
      </c>
      <c r="AS408" s="4">
        <v>304.01</v>
      </c>
      <c r="AT408" s="4">
        <v>3</v>
      </c>
      <c r="AU408" s="4">
        <v>279</v>
      </c>
      <c r="AV408" s="4">
        <v>5</v>
      </c>
      <c r="AW408" s="4">
        <v>225</v>
      </c>
      <c r="AX408" s="4">
        <v>2</v>
      </c>
      <c r="AY408" s="4">
        <v>0</v>
      </c>
      <c r="AZ408" s="4">
        <v>0</v>
      </c>
      <c r="BA408" s="4">
        <v>110</v>
      </c>
      <c r="BB408" s="4">
        <v>3</v>
      </c>
      <c r="BC408" s="4">
        <v>385.98</v>
      </c>
      <c r="BD408" s="4">
        <v>2</v>
      </c>
      <c r="BE408" s="4">
        <v>204</v>
      </c>
      <c r="BF408" s="4">
        <v>1</v>
      </c>
      <c r="BQ408" s="3">
        <f t="shared" si="14"/>
        <v>23063.249999999996</v>
      </c>
      <c r="BR408" s="3">
        <f t="shared" si="13"/>
        <v>203</v>
      </c>
    </row>
    <row r="409" spans="1:70" x14ac:dyDescent="0.25">
      <c r="A409" s="4" t="s">
        <v>2533</v>
      </c>
      <c r="B409" t="s">
        <v>93</v>
      </c>
      <c r="C409" s="338" t="s">
        <v>1988</v>
      </c>
      <c r="D409" s="213" t="s">
        <v>1079</v>
      </c>
      <c r="E409" s="213" t="s">
        <v>139</v>
      </c>
      <c r="F409" s="213" t="s">
        <v>130</v>
      </c>
      <c r="G409" s="4">
        <v>1421.05</v>
      </c>
      <c r="H409" s="4">
        <v>11</v>
      </c>
      <c r="I409" s="4">
        <v>1698.02</v>
      </c>
      <c r="J409" s="4">
        <v>15</v>
      </c>
      <c r="K409" s="4">
        <v>617</v>
      </c>
      <c r="L409" s="4">
        <v>5</v>
      </c>
      <c r="M409" s="4">
        <v>940.02</v>
      </c>
      <c r="N409" s="4">
        <v>7</v>
      </c>
      <c r="O409" s="4">
        <v>0</v>
      </c>
      <c r="P409" s="4">
        <v>0</v>
      </c>
      <c r="Q409" s="4">
        <v>2575.0500000000002</v>
      </c>
      <c r="R409" s="4">
        <v>16</v>
      </c>
      <c r="S409" s="4">
        <v>431</v>
      </c>
      <c r="T409" s="4">
        <v>5</v>
      </c>
      <c r="U409" s="4">
        <v>698.02</v>
      </c>
      <c r="V409" s="4">
        <v>5</v>
      </c>
      <c r="W409" s="4">
        <v>1356.02</v>
      </c>
      <c r="X409" s="4">
        <v>13</v>
      </c>
      <c r="Y409" s="4">
        <v>825.01</v>
      </c>
      <c r="Z409" s="4">
        <v>7</v>
      </c>
      <c r="AA409" s="4">
        <v>375.02</v>
      </c>
      <c r="AB409" s="4">
        <v>3</v>
      </c>
      <c r="AC409" s="4">
        <v>0</v>
      </c>
      <c r="AD409" s="4">
        <v>0</v>
      </c>
      <c r="AE409" s="4">
        <v>1050</v>
      </c>
      <c r="AF409" s="4">
        <v>8</v>
      </c>
      <c r="AG409" s="4">
        <v>573.01</v>
      </c>
      <c r="AH409" s="4">
        <v>3</v>
      </c>
      <c r="AI409" s="4">
        <v>524</v>
      </c>
      <c r="AJ409" s="4">
        <v>5</v>
      </c>
      <c r="AK409" s="4">
        <v>1107.03</v>
      </c>
      <c r="AL409" s="4">
        <v>8</v>
      </c>
      <c r="AM409" s="4">
        <v>773</v>
      </c>
      <c r="AN409" s="4">
        <v>6</v>
      </c>
      <c r="AO409" s="4">
        <v>848</v>
      </c>
      <c r="AP409" s="4">
        <v>9</v>
      </c>
      <c r="AQ409" s="4">
        <v>44</v>
      </c>
      <c r="AR409" s="4">
        <v>1</v>
      </c>
      <c r="AS409" s="4">
        <v>1668.01</v>
      </c>
      <c r="AT409" s="4">
        <v>10</v>
      </c>
      <c r="AU409" s="4">
        <v>0</v>
      </c>
      <c r="AV409" s="4">
        <v>0</v>
      </c>
      <c r="AW409" s="4">
        <v>1545.98</v>
      </c>
      <c r="AX409" s="4">
        <v>14</v>
      </c>
      <c r="AY409" s="4">
        <v>407.01</v>
      </c>
      <c r="AZ409" s="4">
        <v>4</v>
      </c>
      <c r="BA409" s="4">
        <v>75</v>
      </c>
      <c r="BB409" s="4">
        <v>1</v>
      </c>
      <c r="BC409" s="4">
        <v>0</v>
      </c>
      <c r="BD409" s="4">
        <v>0</v>
      </c>
      <c r="BE409" s="4">
        <v>752.04</v>
      </c>
      <c r="BF409" s="4">
        <v>6</v>
      </c>
      <c r="BQ409" s="3">
        <f t="shared" si="14"/>
        <v>20303.29</v>
      </c>
      <c r="BR409" s="3">
        <f t="shared" si="13"/>
        <v>162</v>
      </c>
    </row>
    <row r="410" spans="1:70" x14ac:dyDescent="0.25">
      <c r="A410" s="4" t="s">
        <v>2534</v>
      </c>
      <c r="B410" t="s">
        <v>94</v>
      </c>
      <c r="C410" s="338" t="s">
        <v>1989</v>
      </c>
      <c r="D410" s="213" t="s">
        <v>1080</v>
      </c>
      <c r="E410" s="213" t="s">
        <v>142</v>
      </c>
      <c r="F410" s="213" t="s">
        <v>132</v>
      </c>
      <c r="G410" s="4">
        <v>709.01</v>
      </c>
      <c r="H410" s="4">
        <v>5</v>
      </c>
      <c r="I410" s="4">
        <v>1495.05</v>
      </c>
      <c r="J410" s="4">
        <v>9</v>
      </c>
      <c r="K410" s="4">
        <v>1530.03</v>
      </c>
      <c r="L410" s="4">
        <v>9</v>
      </c>
      <c r="M410" s="4">
        <v>575</v>
      </c>
      <c r="N410" s="4">
        <v>3</v>
      </c>
      <c r="O410" s="4">
        <v>150</v>
      </c>
      <c r="P410" s="4">
        <v>1</v>
      </c>
      <c r="Q410" s="4">
        <v>0</v>
      </c>
      <c r="R410" s="4">
        <v>0</v>
      </c>
      <c r="S410" s="4">
        <v>150</v>
      </c>
      <c r="T410" s="4">
        <v>1</v>
      </c>
      <c r="U410" s="4">
        <v>0</v>
      </c>
      <c r="V410" s="4">
        <v>0</v>
      </c>
      <c r="W410" s="4">
        <v>600.01</v>
      </c>
      <c r="X410" s="4">
        <v>4</v>
      </c>
      <c r="Y410" s="4">
        <v>1508.03</v>
      </c>
      <c r="Z410" s="4">
        <v>6</v>
      </c>
      <c r="AA410" s="4">
        <v>2148.02</v>
      </c>
      <c r="AB410" s="4">
        <v>11</v>
      </c>
      <c r="AC410" s="4">
        <v>0</v>
      </c>
      <c r="AD410" s="4">
        <v>0</v>
      </c>
      <c r="AE410" s="4">
        <v>599.01</v>
      </c>
      <c r="AF410" s="4">
        <v>5</v>
      </c>
      <c r="AG410" s="4">
        <v>825</v>
      </c>
      <c r="AH410" s="4">
        <v>6</v>
      </c>
      <c r="AI410" s="4">
        <v>225</v>
      </c>
      <c r="AJ410" s="4">
        <v>2</v>
      </c>
      <c r="AK410" s="4">
        <v>1564.01</v>
      </c>
      <c r="AL410" s="4">
        <v>10</v>
      </c>
      <c r="AM410" s="4">
        <v>1974.99</v>
      </c>
      <c r="AN410" s="4">
        <v>10</v>
      </c>
      <c r="AO410" s="4">
        <v>225</v>
      </c>
      <c r="AP410" s="4">
        <v>2</v>
      </c>
      <c r="AQ410" s="4">
        <v>850</v>
      </c>
      <c r="AR410" s="4">
        <v>6</v>
      </c>
      <c r="AS410" s="4">
        <v>1050</v>
      </c>
      <c r="AT410" s="4">
        <v>4</v>
      </c>
      <c r="AU410" s="4">
        <v>765</v>
      </c>
      <c r="AV410" s="4">
        <v>5</v>
      </c>
      <c r="AW410" s="4">
        <v>1717.97</v>
      </c>
      <c r="AX410" s="4">
        <v>5</v>
      </c>
      <c r="AY410" s="4">
        <v>210.98</v>
      </c>
      <c r="AZ410" s="4">
        <v>1</v>
      </c>
      <c r="BA410" s="4">
        <v>0</v>
      </c>
      <c r="BB410" s="4">
        <v>0</v>
      </c>
      <c r="BC410" s="4">
        <v>500.98</v>
      </c>
      <c r="BD410" s="4">
        <v>2</v>
      </c>
      <c r="BE410" s="4">
        <v>0</v>
      </c>
      <c r="BF410" s="4">
        <v>0</v>
      </c>
      <c r="BQ410" s="3">
        <f t="shared" si="14"/>
        <v>19373.09</v>
      </c>
      <c r="BR410" s="3">
        <f t="shared" si="13"/>
        <v>107</v>
      </c>
    </row>
    <row r="411" spans="1:70" x14ac:dyDescent="0.25">
      <c r="A411" s="4" t="s">
        <v>2535</v>
      </c>
      <c r="B411" t="s">
        <v>94</v>
      </c>
      <c r="C411" s="338" t="s">
        <v>1990</v>
      </c>
      <c r="D411" s="213" t="s">
        <v>1081</v>
      </c>
      <c r="E411" s="213" t="s">
        <v>142</v>
      </c>
      <c r="F411" s="213" t="s">
        <v>132</v>
      </c>
      <c r="G411" s="4">
        <v>916.03</v>
      </c>
      <c r="H411" s="4">
        <v>4</v>
      </c>
      <c r="I411" s="4">
        <v>449.02</v>
      </c>
      <c r="J411" s="4">
        <v>3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240</v>
      </c>
      <c r="R411" s="4">
        <v>4</v>
      </c>
      <c r="S411" s="4">
        <v>0</v>
      </c>
      <c r="T411" s="4">
        <v>0</v>
      </c>
      <c r="U411" s="4">
        <v>75</v>
      </c>
      <c r="V411" s="4">
        <v>1</v>
      </c>
      <c r="W411" s="4">
        <v>0</v>
      </c>
      <c r="X411" s="4">
        <v>0</v>
      </c>
      <c r="Y411" s="4">
        <v>0</v>
      </c>
      <c r="Z411" s="4">
        <v>0</v>
      </c>
      <c r="AA411" s="4">
        <v>625</v>
      </c>
      <c r="AB411" s="4">
        <v>7</v>
      </c>
      <c r="AC411" s="4">
        <v>550</v>
      </c>
      <c r="AD411" s="4">
        <v>6</v>
      </c>
      <c r="AE411" s="4">
        <v>300</v>
      </c>
      <c r="AF411" s="4">
        <v>4</v>
      </c>
      <c r="AG411" s="4">
        <v>75</v>
      </c>
      <c r="AH411" s="4">
        <v>2</v>
      </c>
      <c r="AI411" s="4">
        <v>550</v>
      </c>
      <c r="AJ411" s="4">
        <v>4</v>
      </c>
      <c r="AK411" s="4">
        <v>450</v>
      </c>
      <c r="AL411" s="4">
        <v>6</v>
      </c>
      <c r="AM411" s="4">
        <v>225</v>
      </c>
      <c r="AN411" s="4">
        <v>1</v>
      </c>
      <c r="AO411" s="4">
        <v>225</v>
      </c>
      <c r="AP411" s="4">
        <v>2</v>
      </c>
      <c r="AQ411" s="4">
        <v>1050</v>
      </c>
      <c r="AR411" s="4">
        <v>11</v>
      </c>
      <c r="AS411" s="4">
        <v>75</v>
      </c>
      <c r="AT411" s="4">
        <v>1</v>
      </c>
      <c r="AU411" s="4">
        <v>354.01</v>
      </c>
      <c r="AV411" s="4">
        <v>4</v>
      </c>
      <c r="AW411" s="4">
        <v>2568.8200000000002</v>
      </c>
      <c r="AX411" s="4">
        <v>12</v>
      </c>
      <c r="AY411" s="4">
        <v>300</v>
      </c>
      <c r="AZ411" s="4">
        <v>5</v>
      </c>
      <c r="BA411" s="4">
        <v>1293.97</v>
      </c>
      <c r="BB411" s="4">
        <v>10</v>
      </c>
      <c r="BC411" s="4">
        <v>150</v>
      </c>
      <c r="BD411" s="4">
        <v>3</v>
      </c>
      <c r="BE411" s="4">
        <v>3082.14</v>
      </c>
      <c r="BF411" s="4">
        <v>13</v>
      </c>
      <c r="BQ411" s="3">
        <f t="shared" si="14"/>
        <v>13553.99</v>
      </c>
      <c r="BR411" s="3">
        <f t="shared" si="13"/>
        <v>103</v>
      </c>
    </row>
    <row r="412" spans="1:70" x14ac:dyDescent="0.25">
      <c r="A412" s="4" t="s">
        <v>2536</v>
      </c>
      <c r="B412" t="s">
        <v>94</v>
      </c>
      <c r="C412" s="338" t="s">
        <v>1991</v>
      </c>
      <c r="D412" s="213" t="s">
        <v>1082</v>
      </c>
      <c r="E412" s="213" t="s">
        <v>142</v>
      </c>
      <c r="F412" s="213" t="s">
        <v>132</v>
      </c>
      <c r="G412" s="4">
        <v>0</v>
      </c>
      <c r="H412" s="4">
        <v>0</v>
      </c>
      <c r="I412" s="4">
        <v>0</v>
      </c>
      <c r="J412" s="4">
        <v>0</v>
      </c>
      <c r="K412" s="4">
        <v>1983.09</v>
      </c>
      <c r="L412" s="4">
        <v>10</v>
      </c>
      <c r="M412" s="4">
        <v>1711.02</v>
      </c>
      <c r="N412" s="4">
        <v>11</v>
      </c>
      <c r="O412" s="4">
        <v>1665.02</v>
      </c>
      <c r="P412" s="4">
        <v>9</v>
      </c>
      <c r="Q412" s="4">
        <v>600.01</v>
      </c>
      <c r="R412" s="4">
        <v>4</v>
      </c>
      <c r="S412" s="4">
        <v>0</v>
      </c>
      <c r="T412" s="4">
        <v>0</v>
      </c>
      <c r="U412" s="4">
        <v>314.01</v>
      </c>
      <c r="V412" s="4">
        <v>2</v>
      </c>
      <c r="W412" s="4">
        <v>0</v>
      </c>
      <c r="X412" s="4">
        <v>0</v>
      </c>
      <c r="Y412" s="4">
        <v>1425</v>
      </c>
      <c r="Z412" s="4">
        <v>7</v>
      </c>
      <c r="AA412" s="4">
        <v>1065.01</v>
      </c>
      <c r="AB412" s="4">
        <v>5</v>
      </c>
      <c r="AC412" s="4">
        <v>0</v>
      </c>
      <c r="AD412" s="4">
        <v>0</v>
      </c>
      <c r="AE412" s="4">
        <v>0</v>
      </c>
      <c r="AF412" s="4">
        <v>0</v>
      </c>
      <c r="AG412" s="4">
        <v>749.01</v>
      </c>
      <c r="AH412" s="4">
        <v>5</v>
      </c>
      <c r="AI412" s="4">
        <v>900</v>
      </c>
      <c r="AJ412" s="4">
        <v>4</v>
      </c>
      <c r="AK412" s="4">
        <v>975.01</v>
      </c>
      <c r="AL412" s="4">
        <v>4</v>
      </c>
      <c r="AM412" s="4">
        <v>1266.03</v>
      </c>
      <c r="AN412" s="4">
        <v>5</v>
      </c>
      <c r="AO412" s="4">
        <v>1315</v>
      </c>
      <c r="AP412" s="4">
        <v>8</v>
      </c>
      <c r="AQ412" s="4">
        <v>1700.02</v>
      </c>
      <c r="AR412" s="4">
        <v>9</v>
      </c>
      <c r="AS412" s="4">
        <v>1575</v>
      </c>
      <c r="AT412" s="4">
        <v>6</v>
      </c>
      <c r="AU412" s="4">
        <v>1099.02</v>
      </c>
      <c r="AV412" s="4">
        <v>6</v>
      </c>
      <c r="AW412" s="4">
        <v>3332.72</v>
      </c>
      <c r="AX412" s="4">
        <v>15</v>
      </c>
      <c r="AY412" s="4">
        <v>2174.84</v>
      </c>
      <c r="AZ412" s="4">
        <v>11</v>
      </c>
      <c r="BA412" s="4">
        <v>0</v>
      </c>
      <c r="BB412" s="4">
        <v>0</v>
      </c>
      <c r="BC412" s="4">
        <v>509.99</v>
      </c>
      <c r="BD412" s="4">
        <v>1</v>
      </c>
      <c r="BE412" s="4">
        <v>808.06</v>
      </c>
      <c r="BF412" s="4">
        <v>4</v>
      </c>
      <c r="BQ412" s="3">
        <f t="shared" si="14"/>
        <v>25167.860000000008</v>
      </c>
      <c r="BR412" s="3">
        <f t="shared" si="13"/>
        <v>126</v>
      </c>
    </row>
    <row r="413" spans="1:70" x14ac:dyDescent="0.25">
      <c r="A413" s="4" t="s">
        <v>2537</v>
      </c>
      <c r="B413" t="s">
        <v>94</v>
      </c>
      <c r="C413" s="338" t="s">
        <v>1992</v>
      </c>
      <c r="D413" s="213" t="s">
        <v>1083</v>
      </c>
      <c r="E413" s="213" t="s">
        <v>142</v>
      </c>
      <c r="F413" s="213" t="s">
        <v>132</v>
      </c>
      <c r="G413" s="4">
        <v>2069.0700000000002</v>
      </c>
      <c r="H413" s="4">
        <v>10</v>
      </c>
      <c r="I413" s="4">
        <v>1934.05</v>
      </c>
      <c r="J413" s="4">
        <v>15</v>
      </c>
      <c r="K413" s="4">
        <v>846.01</v>
      </c>
      <c r="L413" s="4">
        <v>4</v>
      </c>
      <c r="M413" s="4">
        <v>0</v>
      </c>
      <c r="N413" s="4">
        <v>0</v>
      </c>
      <c r="O413" s="4">
        <v>1923</v>
      </c>
      <c r="P413" s="4">
        <v>8</v>
      </c>
      <c r="Q413" s="4">
        <v>1973.01</v>
      </c>
      <c r="R413" s="4">
        <v>8</v>
      </c>
      <c r="S413" s="4">
        <v>3930</v>
      </c>
      <c r="T413" s="4">
        <v>12</v>
      </c>
      <c r="U413" s="4">
        <v>1217</v>
      </c>
      <c r="V413" s="4">
        <v>4</v>
      </c>
      <c r="W413" s="4">
        <v>1575</v>
      </c>
      <c r="X413" s="4">
        <v>5</v>
      </c>
      <c r="Y413" s="4">
        <v>2648.02</v>
      </c>
      <c r="Z413" s="4">
        <v>8</v>
      </c>
      <c r="AA413" s="4">
        <v>0</v>
      </c>
      <c r="AB413" s="4">
        <v>0</v>
      </c>
      <c r="AC413" s="4">
        <v>1800.02</v>
      </c>
      <c r="AD413" s="4">
        <v>6</v>
      </c>
      <c r="AE413" s="4">
        <v>2299.0100000000002</v>
      </c>
      <c r="AF413" s="4">
        <v>8</v>
      </c>
      <c r="AG413" s="4">
        <v>905</v>
      </c>
      <c r="AH413" s="4">
        <v>4</v>
      </c>
      <c r="AI413" s="4">
        <v>1372.03</v>
      </c>
      <c r="AJ413" s="4">
        <v>6</v>
      </c>
      <c r="AK413" s="4">
        <v>2058.02</v>
      </c>
      <c r="AL413" s="4">
        <v>10</v>
      </c>
      <c r="AM413" s="4">
        <v>1350</v>
      </c>
      <c r="AN413" s="4">
        <v>3</v>
      </c>
      <c r="AO413" s="4">
        <v>0</v>
      </c>
      <c r="AP413" s="4">
        <v>0</v>
      </c>
      <c r="AQ413" s="4">
        <v>2543.0100000000002</v>
      </c>
      <c r="AR413" s="4">
        <v>9</v>
      </c>
      <c r="AS413" s="4">
        <v>2012.02</v>
      </c>
      <c r="AT413" s="4">
        <v>5</v>
      </c>
      <c r="AU413" s="4">
        <v>2050.02</v>
      </c>
      <c r="AV413" s="4">
        <v>6</v>
      </c>
      <c r="AW413" s="4">
        <v>1007.94</v>
      </c>
      <c r="AX413" s="4">
        <v>4</v>
      </c>
      <c r="AY413" s="4">
        <v>1265.8800000000001</v>
      </c>
      <c r="AZ413" s="4">
        <v>5</v>
      </c>
      <c r="BA413" s="4">
        <v>2054.9</v>
      </c>
      <c r="BB413" s="4">
        <v>4</v>
      </c>
      <c r="BC413" s="4">
        <v>0</v>
      </c>
      <c r="BD413" s="4">
        <v>0</v>
      </c>
      <c r="BE413" s="4">
        <v>917.04</v>
      </c>
      <c r="BF413" s="4">
        <v>3</v>
      </c>
      <c r="BQ413" s="3">
        <f t="shared" si="14"/>
        <v>39750.050000000003</v>
      </c>
      <c r="BR413" s="3">
        <f t="shared" si="13"/>
        <v>147</v>
      </c>
    </row>
    <row r="414" spans="1:70" x14ac:dyDescent="0.25">
      <c r="A414" s="4" t="s">
        <v>2538</v>
      </c>
      <c r="B414" t="s">
        <v>94</v>
      </c>
      <c r="C414" s="338" t="s">
        <v>1993</v>
      </c>
      <c r="D414" s="213" t="s">
        <v>1084</v>
      </c>
      <c r="E414" s="213" t="s">
        <v>142</v>
      </c>
      <c r="F414" s="213" t="s">
        <v>132</v>
      </c>
      <c r="G414" s="4">
        <v>1577.03</v>
      </c>
      <c r="H414" s="4">
        <v>8</v>
      </c>
      <c r="I414" s="4">
        <v>724.01</v>
      </c>
      <c r="J414" s="4">
        <v>5</v>
      </c>
      <c r="K414" s="4">
        <v>963.05</v>
      </c>
      <c r="L414" s="4">
        <v>6</v>
      </c>
      <c r="M414" s="4">
        <v>1200.03</v>
      </c>
      <c r="N414" s="4">
        <v>6</v>
      </c>
      <c r="O414" s="4">
        <v>1949.02</v>
      </c>
      <c r="P414" s="4">
        <v>10</v>
      </c>
      <c r="Q414" s="4">
        <v>0</v>
      </c>
      <c r="R414" s="4">
        <v>0</v>
      </c>
      <c r="S414" s="4">
        <v>2898.01</v>
      </c>
      <c r="T414" s="4">
        <v>13</v>
      </c>
      <c r="U414" s="4">
        <v>1599.01</v>
      </c>
      <c r="V414" s="4">
        <v>8</v>
      </c>
      <c r="W414" s="4">
        <v>1500</v>
      </c>
      <c r="X414" s="4">
        <v>7</v>
      </c>
      <c r="Y414" s="4">
        <v>2650.01</v>
      </c>
      <c r="Z414" s="4">
        <v>10</v>
      </c>
      <c r="AA414" s="4">
        <v>3407</v>
      </c>
      <c r="AB414" s="4">
        <v>15</v>
      </c>
      <c r="AC414" s="4">
        <v>600</v>
      </c>
      <c r="AD414" s="4">
        <v>2</v>
      </c>
      <c r="AE414" s="4">
        <v>0</v>
      </c>
      <c r="AF414" s="4">
        <v>0</v>
      </c>
      <c r="AG414" s="4">
        <v>1250</v>
      </c>
      <c r="AH414" s="4">
        <v>6</v>
      </c>
      <c r="AI414" s="4">
        <v>1329.01</v>
      </c>
      <c r="AJ414" s="4">
        <v>8</v>
      </c>
      <c r="AK414" s="4">
        <v>2587.0300000000002</v>
      </c>
      <c r="AL414" s="4">
        <v>9</v>
      </c>
      <c r="AM414" s="4">
        <v>2195</v>
      </c>
      <c r="AN414" s="4">
        <v>9</v>
      </c>
      <c r="AO414" s="4">
        <v>0</v>
      </c>
      <c r="AP414" s="4">
        <v>0</v>
      </c>
      <c r="AQ414" s="4">
        <v>625</v>
      </c>
      <c r="AR414" s="4">
        <v>4</v>
      </c>
      <c r="AS414" s="4">
        <v>175</v>
      </c>
      <c r="AT414" s="4">
        <v>1</v>
      </c>
      <c r="AU414" s="4">
        <v>1200</v>
      </c>
      <c r="AV414" s="4">
        <v>5</v>
      </c>
      <c r="AW414" s="4">
        <v>1272.94</v>
      </c>
      <c r="AX414" s="4">
        <v>7</v>
      </c>
      <c r="AY414" s="4">
        <v>1301.95</v>
      </c>
      <c r="AZ414" s="4">
        <v>7</v>
      </c>
      <c r="BA414" s="4">
        <v>1133.9100000000001</v>
      </c>
      <c r="BB414" s="4">
        <v>5</v>
      </c>
      <c r="BC414" s="4">
        <v>3193.79</v>
      </c>
      <c r="BD414" s="4">
        <v>14</v>
      </c>
      <c r="BE414" s="4">
        <v>0</v>
      </c>
      <c r="BF414" s="4">
        <v>0</v>
      </c>
      <c r="BQ414" s="3">
        <f t="shared" si="14"/>
        <v>35330.799999999996</v>
      </c>
      <c r="BR414" s="3">
        <f t="shared" si="13"/>
        <v>165</v>
      </c>
    </row>
    <row r="415" spans="1:70" x14ac:dyDescent="0.25">
      <c r="A415" s="4" t="s">
        <v>2539</v>
      </c>
      <c r="B415" t="s">
        <v>94</v>
      </c>
      <c r="C415" s="338" t="s">
        <v>1994</v>
      </c>
      <c r="D415" s="213" t="s">
        <v>1085</v>
      </c>
      <c r="E415" s="213" t="s">
        <v>142</v>
      </c>
      <c r="F415" s="213" t="s">
        <v>132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639</v>
      </c>
      <c r="P415" s="4">
        <v>4</v>
      </c>
      <c r="Q415" s="4">
        <v>1204.01</v>
      </c>
      <c r="R415" s="4">
        <v>4</v>
      </c>
      <c r="S415" s="4">
        <v>222.01</v>
      </c>
      <c r="T415" s="4">
        <v>1</v>
      </c>
      <c r="U415" s="4">
        <v>1424.99</v>
      </c>
      <c r="V415" s="4">
        <v>6</v>
      </c>
      <c r="W415" s="4">
        <v>550</v>
      </c>
      <c r="X415" s="4">
        <v>3</v>
      </c>
      <c r="Y415" s="4">
        <v>1214.01</v>
      </c>
      <c r="Z415" s="4">
        <v>6</v>
      </c>
      <c r="AA415" s="4">
        <v>5654.03</v>
      </c>
      <c r="AB415" s="4">
        <v>14</v>
      </c>
      <c r="AC415" s="4">
        <v>0</v>
      </c>
      <c r="AD415" s="4">
        <v>0</v>
      </c>
      <c r="AE415" s="4">
        <v>0</v>
      </c>
      <c r="AF415" s="4">
        <v>0</v>
      </c>
      <c r="AG415" s="4">
        <v>717</v>
      </c>
      <c r="AH415" s="4">
        <v>3</v>
      </c>
      <c r="AI415" s="4">
        <v>450</v>
      </c>
      <c r="AJ415" s="4">
        <v>2</v>
      </c>
      <c r="AK415" s="4">
        <v>1186.01</v>
      </c>
      <c r="AL415" s="4">
        <v>5</v>
      </c>
      <c r="AM415" s="4">
        <v>300</v>
      </c>
      <c r="AN415" s="4">
        <v>2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1341.12</v>
      </c>
      <c r="BF415" s="4">
        <v>6</v>
      </c>
      <c r="BQ415" s="3">
        <f t="shared" si="14"/>
        <v>14902.18</v>
      </c>
      <c r="BR415" s="3">
        <f t="shared" si="13"/>
        <v>56</v>
      </c>
    </row>
    <row r="416" spans="1:70" x14ac:dyDescent="0.25">
      <c r="A416" s="4" t="s">
        <v>2540</v>
      </c>
      <c r="B416" t="s">
        <v>94</v>
      </c>
      <c r="C416" s="338" t="s">
        <v>1995</v>
      </c>
      <c r="D416" s="213" t="s">
        <v>1086</v>
      </c>
      <c r="E416" s="213" t="s">
        <v>142</v>
      </c>
      <c r="F416" s="213" t="s">
        <v>132</v>
      </c>
      <c r="G416" s="4">
        <v>0</v>
      </c>
      <c r="H416" s="4">
        <v>0</v>
      </c>
      <c r="I416" s="4">
        <v>2174.04</v>
      </c>
      <c r="J416" s="4">
        <v>15</v>
      </c>
      <c r="K416" s="4">
        <v>196.01</v>
      </c>
      <c r="L416" s="4">
        <v>1</v>
      </c>
      <c r="M416" s="4">
        <v>1275</v>
      </c>
      <c r="N416" s="4">
        <v>6</v>
      </c>
      <c r="O416" s="4">
        <v>1547.04</v>
      </c>
      <c r="P416" s="4">
        <v>10</v>
      </c>
      <c r="Q416" s="4">
        <v>2624.01</v>
      </c>
      <c r="R416" s="4">
        <v>8</v>
      </c>
      <c r="S416" s="4">
        <v>-1050</v>
      </c>
      <c r="T416" s="4">
        <v>1</v>
      </c>
      <c r="U416" s="4">
        <v>1365</v>
      </c>
      <c r="V416" s="4">
        <v>3</v>
      </c>
      <c r="W416" s="4">
        <v>1275</v>
      </c>
      <c r="X416" s="4">
        <v>6</v>
      </c>
      <c r="Y416" s="4">
        <v>0</v>
      </c>
      <c r="Z416" s="4">
        <v>0</v>
      </c>
      <c r="AA416" s="4">
        <v>0</v>
      </c>
      <c r="AB416" s="4">
        <v>0</v>
      </c>
      <c r="AC416" s="4">
        <v>1200.01</v>
      </c>
      <c r="AD416" s="4">
        <v>8</v>
      </c>
      <c r="AE416" s="4">
        <v>879</v>
      </c>
      <c r="AF416" s="4">
        <v>4</v>
      </c>
      <c r="AG416" s="4">
        <v>1151.98</v>
      </c>
      <c r="AH416" s="4">
        <v>7</v>
      </c>
      <c r="AI416" s="4">
        <v>274.01</v>
      </c>
      <c r="AJ416" s="4">
        <v>2</v>
      </c>
      <c r="AK416" s="4">
        <v>1915</v>
      </c>
      <c r="AL416" s="4">
        <v>7</v>
      </c>
      <c r="AM416" s="4">
        <v>300</v>
      </c>
      <c r="AN416" s="4">
        <v>2</v>
      </c>
      <c r="AO416" s="4">
        <v>0</v>
      </c>
      <c r="AP416" s="4">
        <v>0</v>
      </c>
      <c r="AQ416" s="4">
        <v>3031.04</v>
      </c>
      <c r="AR416" s="4">
        <v>5</v>
      </c>
      <c r="AS416" s="4">
        <v>1875.01</v>
      </c>
      <c r="AT416" s="4">
        <v>7</v>
      </c>
      <c r="AU416" s="4">
        <v>1425</v>
      </c>
      <c r="AV416" s="4">
        <v>9</v>
      </c>
      <c r="AW416" s="4">
        <v>1054.9000000000001</v>
      </c>
      <c r="AX416" s="4">
        <v>5</v>
      </c>
      <c r="AY416" s="4">
        <v>2177.84</v>
      </c>
      <c r="AZ416" s="4">
        <v>12</v>
      </c>
      <c r="BA416" s="4">
        <v>2742.82</v>
      </c>
      <c r="BB416" s="4">
        <v>12</v>
      </c>
      <c r="BC416" s="4">
        <v>0</v>
      </c>
      <c r="BD416" s="4">
        <v>0</v>
      </c>
      <c r="BE416" s="4">
        <v>3663.25</v>
      </c>
      <c r="BF416" s="4">
        <v>14</v>
      </c>
      <c r="BQ416" s="3">
        <f t="shared" si="14"/>
        <v>31095.96</v>
      </c>
      <c r="BR416" s="3">
        <f t="shared" si="13"/>
        <v>144</v>
      </c>
    </row>
    <row r="417" spans="1:70" x14ac:dyDescent="0.25">
      <c r="A417" s="4" t="s">
        <v>2541</v>
      </c>
      <c r="B417" t="s">
        <v>94</v>
      </c>
      <c r="C417" s="338" t="s">
        <v>1960</v>
      </c>
      <c r="D417" s="213" t="s">
        <v>1051</v>
      </c>
      <c r="E417" s="213" t="s">
        <v>142</v>
      </c>
      <c r="F417" s="213" t="s">
        <v>132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150</v>
      </c>
      <c r="AH417" s="4">
        <v>1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25</v>
      </c>
      <c r="AT417" s="4">
        <v>1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Q417" s="3">
        <f t="shared" si="14"/>
        <v>175</v>
      </c>
      <c r="BR417" s="3">
        <f t="shared" si="13"/>
        <v>2</v>
      </c>
    </row>
    <row r="418" spans="1:70" x14ac:dyDescent="0.25">
      <c r="A418" s="4" t="s">
        <v>2542</v>
      </c>
      <c r="B418" t="s">
        <v>94</v>
      </c>
      <c r="C418" s="338" t="s">
        <v>1996</v>
      </c>
      <c r="D418" s="213" t="s">
        <v>1087</v>
      </c>
      <c r="E418" s="213" t="s">
        <v>142</v>
      </c>
      <c r="F418" s="213" t="s">
        <v>132</v>
      </c>
      <c r="G418" s="4">
        <v>2409.0700000000002</v>
      </c>
      <c r="H418" s="4">
        <v>12</v>
      </c>
      <c r="I418" s="4">
        <v>2759.04</v>
      </c>
      <c r="J418" s="4">
        <v>13</v>
      </c>
      <c r="K418" s="4">
        <v>2999.11</v>
      </c>
      <c r="L418" s="4">
        <v>15</v>
      </c>
      <c r="M418" s="4">
        <v>1817.06</v>
      </c>
      <c r="N418" s="4">
        <v>7</v>
      </c>
      <c r="O418" s="4">
        <v>0</v>
      </c>
      <c r="P418" s="4">
        <v>0</v>
      </c>
      <c r="Q418" s="4">
        <v>450</v>
      </c>
      <c r="R418" s="4">
        <v>3</v>
      </c>
      <c r="S418" s="4">
        <v>2600.0100000000002</v>
      </c>
      <c r="T418" s="4">
        <v>14</v>
      </c>
      <c r="U418" s="4">
        <v>-575</v>
      </c>
      <c r="V418" s="4">
        <v>3</v>
      </c>
      <c r="W418" s="4">
        <v>2150.02</v>
      </c>
      <c r="X418" s="4">
        <v>10</v>
      </c>
      <c r="Y418" s="4">
        <v>2306.04</v>
      </c>
      <c r="Z418" s="4">
        <v>13</v>
      </c>
      <c r="AA418" s="4">
        <v>150</v>
      </c>
      <c r="AB418" s="4">
        <v>1</v>
      </c>
      <c r="AC418" s="4">
        <v>1269.01</v>
      </c>
      <c r="AD418" s="4">
        <v>7</v>
      </c>
      <c r="AE418" s="4">
        <v>2624.02</v>
      </c>
      <c r="AF418" s="4">
        <v>9</v>
      </c>
      <c r="AG418" s="4">
        <v>450</v>
      </c>
      <c r="AH418" s="4">
        <v>2</v>
      </c>
      <c r="AI418" s="4">
        <v>1572.03</v>
      </c>
      <c r="AJ418" s="4">
        <v>7</v>
      </c>
      <c r="AK418" s="4">
        <v>1099.01</v>
      </c>
      <c r="AL418" s="4">
        <v>6</v>
      </c>
      <c r="AM418" s="4">
        <v>900</v>
      </c>
      <c r="AN418" s="4">
        <v>4</v>
      </c>
      <c r="AO418" s="4">
        <v>2095</v>
      </c>
      <c r="AP418" s="4">
        <v>11</v>
      </c>
      <c r="AQ418" s="4">
        <v>0</v>
      </c>
      <c r="AR418" s="4">
        <v>0</v>
      </c>
      <c r="AS418" s="4">
        <v>2250</v>
      </c>
      <c r="AT418" s="4">
        <v>8</v>
      </c>
      <c r="AU418" s="4">
        <v>450</v>
      </c>
      <c r="AV418" s="4">
        <v>3</v>
      </c>
      <c r="AW418" s="4">
        <v>2409.8000000000002</v>
      </c>
      <c r="AX418" s="4">
        <v>6</v>
      </c>
      <c r="AY418" s="4">
        <v>210.98</v>
      </c>
      <c r="AZ418" s="4">
        <v>1</v>
      </c>
      <c r="BA418" s="4">
        <v>1082.92</v>
      </c>
      <c r="BB418" s="4">
        <v>6</v>
      </c>
      <c r="BC418" s="4">
        <v>2013.9</v>
      </c>
      <c r="BD418" s="4">
        <v>8</v>
      </c>
      <c r="BE418" s="4">
        <v>0</v>
      </c>
      <c r="BF418" s="4">
        <v>0</v>
      </c>
      <c r="BQ418" s="3">
        <f t="shared" si="14"/>
        <v>35492.019999999997</v>
      </c>
      <c r="BR418" s="3">
        <f t="shared" si="13"/>
        <v>169</v>
      </c>
    </row>
    <row r="419" spans="1:70" x14ac:dyDescent="0.25">
      <c r="A419" s="4" t="s">
        <v>2543</v>
      </c>
      <c r="B419" t="s">
        <v>94</v>
      </c>
      <c r="C419" s="338" t="s">
        <v>1997</v>
      </c>
      <c r="D419" s="213" t="s">
        <v>1088</v>
      </c>
      <c r="E419" s="213" t="s">
        <v>142</v>
      </c>
      <c r="F419" s="213" t="s">
        <v>132</v>
      </c>
      <c r="G419" s="4">
        <v>1122.03</v>
      </c>
      <c r="H419" s="4">
        <v>6</v>
      </c>
      <c r="I419" s="4">
        <v>1257.04</v>
      </c>
      <c r="J419" s="4">
        <v>7</v>
      </c>
      <c r="K419" s="4">
        <v>492.04</v>
      </c>
      <c r="L419" s="4">
        <v>3</v>
      </c>
      <c r="M419" s="4">
        <v>2697.06</v>
      </c>
      <c r="N419" s="4">
        <v>16</v>
      </c>
      <c r="O419" s="4">
        <v>0</v>
      </c>
      <c r="P419" s="4">
        <v>0</v>
      </c>
      <c r="Q419" s="4">
        <v>1128.01</v>
      </c>
      <c r="R419" s="4">
        <v>5</v>
      </c>
      <c r="S419" s="4">
        <v>1116.03</v>
      </c>
      <c r="T419" s="4">
        <v>4</v>
      </c>
      <c r="U419" s="4">
        <v>1629.01</v>
      </c>
      <c r="V419" s="4">
        <v>8</v>
      </c>
      <c r="W419" s="4">
        <v>775.01</v>
      </c>
      <c r="X419" s="4">
        <v>4</v>
      </c>
      <c r="Y419" s="4">
        <v>1125</v>
      </c>
      <c r="Z419" s="4">
        <v>4</v>
      </c>
      <c r="AA419" s="4">
        <v>2746.02</v>
      </c>
      <c r="AB419" s="4">
        <v>10</v>
      </c>
      <c r="AC419" s="4">
        <v>600</v>
      </c>
      <c r="AD419" s="4">
        <v>3</v>
      </c>
      <c r="AE419" s="4">
        <v>1347.03</v>
      </c>
      <c r="AF419" s="4">
        <v>5</v>
      </c>
      <c r="AG419" s="4">
        <v>600</v>
      </c>
      <c r="AH419" s="4">
        <v>1</v>
      </c>
      <c r="AI419" s="4">
        <v>1730</v>
      </c>
      <c r="AJ419" s="4">
        <v>9</v>
      </c>
      <c r="AK419" s="4">
        <v>2053.0100000000002</v>
      </c>
      <c r="AL419" s="4">
        <v>9</v>
      </c>
      <c r="AM419" s="4">
        <v>0</v>
      </c>
      <c r="AN419" s="4">
        <v>0</v>
      </c>
      <c r="AO419" s="4">
        <v>1500</v>
      </c>
      <c r="AP419" s="4">
        <v>10</v>
      </c>
      <c r="AQ419" s="4">
        <v>1175</v>
      </c>
      <c r="AR419" s="4">
        <v>5</v>
      </c>
      <c r="AS419" s="4">
        <v>0</v>
      </c>
      <c r="AT419" s="4">
        <v>0</v>
      </c>
      <c r="AU419" s="4">
        <v>1504.01</v>
      </c>
      <c r="AV419" s="4">
        <v>5</v>
      </c>
      <c r="AW419" s="4">
        <v>2561.92</v>
      </c>
      <c r="AX419" s="4">
        <v>5</v>
      </c>
      <c r="AY419" s="4">
        <v>2523.87</v>
      </c>
      <c r="AZ419" s="4">
        <v>10</v>
      </c>
      <c r="BA419" s="4">
        <v>4483.62</v>
      </c>
      <c r="BB419" s="4">
        <v>19</v>
      </c>
      <c r="BC419" s="4">
        <v>2398.8200000000002</v>
      </c>
      <c r="BD419" s="4">
        <v>13</v>
      </c>
      <c r="BE419" s="4">
        <v>422.08</v>
      </c>
      <c r="BF419" s="4">
        <v>3</v>
      </c>
      <c r="BQ419" s="3">
        <f t="shared" si="14"/>
        <v>36986.61</v>
      </c>
      <c r="BR419" s="3">
        <f t="shared" si="13"/>
        <v>164</v>
      </c>
    </row>
    <row r="420" spans="1:70" x14ac:dyDescent="0.25">
      <c r="A420" s="4" t="s">
        <v>2544</v>
      </c>
      <c r="B420" t="s">
        <v>95</v>
      </c>
      <c r="C420" s="338" t="s">
        <v>1998</v>
      </c>
      <c r="D420" s="213" t="s">
        <v>1089</v>
      </c>
      <c r="E420" s="213" t="s">
        <v>138</v>
      </c>
      <c r="F420" s="213" t="s">
        <v>129</v>
      </c>
      <c r="G420" s="4">
        <v>3829.07</v>
      </c>
      <c r="H420" s="4">
        <v>31</v>
      </c>
      <c r="I420" s="4">
        <v>3337.03</v>
      </c>
      <c r="J420" s="4">
        <v>31</v>
      </c>
      <c r="K420" s="4">
        <v>2850.06</v>
      </c>
      <c r="L420" s="4">
        <v>20</v>
      </c>
      <c r="M420" s="4">
        <v>4585.08</v>
      </c>
      <c r="N420" s="4">
        <v>28</v>
      </c>
      <c r="O420" s="4">
        <v>2050.0300000000002</v>
      </c>
      <c r="P420" s="4">
        <v>14</v>
      </c>
      <c r="Q420" s="4">
        <v>150</v>
      </c>
      <c r="R420" s="4">
        <v>1</v>
      </c>
      <c r="S420" s="4">
        <v>2461.0700000000002</v>
      </c>
      <c r="T420" s="4">
        <v>15</v>
      </c>
      <c r="U420" s="4">
        <v>1270.01</v>
      </c>
      <c r="V420" s="4">
        <v>10</v>
      </c>
      <c r="W420" s="4">
        <v>2117.0500000000002</v>
      </c>
      <c r="X420" s="4">
        <v>15</v>
      </c>
      <c r="Y420" s="4">
        <v>1283.01</v>
      </c>
      <c r="Z420" s="4">
        <v>7</v>
      </c>
      <c r="AA420" s="4">
        <v>1065.01</v>
      </c>
      <c r="AB420" s="4">
        <v>10</v>
      </c>
      <c r="AC420" s="4">
        <v>1997.01</v>
      </c>
      <c r="AD420" s="4">
        <v>14</v>
      </c>
      <c r="AE420" s="4">
        <v>0</v>
      </c>
      <c r="AF420" s="4">
        <v>0</v>
      </c>
      <c r="AG420" s="4">
        <v>1930</v>
      </c>
      <c r="AH420" s="4">
        <v>14</v>
      </c>
      <c r="AI420" s="4">
        <v>1400.02</v>
      </c>
      <c r="AJ420" s="4">
        <v>12</v>
      </c>
      <c r="AK420" s="4">
        <v>1160.01</v>
      </c>
      <c r="AL420" s="4">
        <v>8</v>
      </c>
      <c r="AM420" s="4">
        <v>1315</v>
      </c>
      <c r="AN420" s="4">
        <v>8</v>
      </c>
      <c r="AO420" s="4">
        <v>712</v>
      </c>
      <c r="AP420" s="4">
        <v>5</v>
      </c>
      <c r="AQ420" s="4">
        <v>300.01</v>
      </c>
      <c r="AR420" s="4">
        <v>3</v>
      </c>
      <c r="AS420" s="4">
        <v>0</v>
      </c>
      <c r="AT420" s="4">
        <v>0</v>
      </c>
      <c r="AU420" s="4">
        <v>1316.02</v>
      </c>
      <c r="AV420" s="4">
        <v>10</v>
      </c>
      <c r="AW420" s="4">
        <v>2022.88</v>
      </c>
      <c r="AX420" s="4">
        <v>12</v>
      </c>
      <c r="AY420" s="4">
        <v>1071.97</v>
      </c>
      <c r="AZ420" s="4">
        <v>6</v>
      </c>
      <c r="BA420" s="4">
        <v>1297.94</v>
      </c>
      <c r="BB420" s="4">
        <v>8</v>
      </c>
      <c r="BC420" s="4">
        <v>1987.84</v>
      </c>
      <c r="BD420" s="4">
        <v>10</v>
      </c>
      <c r="BE420" s="4">
        <v>647.04</v>
      </c>
      <c r="BF420" s="4">
        <v>4</v>
      </c>
      <c r="BQ420" s="3">
        <f t="shared" si="14"/>
        <v>42155.159999999989</v>
      </c>
      <c r="BR420" s="3">
        <f t="shared" si="13"/>
        <v>296</v>
      </c>
    </row>
    <row r="421" spans="1:70" x14ac:dyDescent="0.25">
      <c r="A421" s="4" t="s">
        <v>2545</v>
      </c>
      <c r="B421" t="s">
        <v>95</v>
      </c>
      <c r="C421" s="338" t="s">
        <v>1999</v>
      </c>
      <c r="D421" s="213" t="s">
        <v>1090</v>
      </c>
      <c r="E421" s="213" t="s">
        <v>138</v>
      </c>
      <c r="F421" s="213" t="s">
        <v>129</v>
      </c>
      <c r="G421" s="4">
        <v>3262.06</v>
      </c>
      <c r="H421" s="4">
        <v>25</v>
      </c>
      <c r="I421" s="4">
        <v>2891.02</v>
      </c>
      <c r="J421" s="4">
        <v>26</v>
      </c>
      <c r="K421" s="4">
        <v>1883.06</v>
      </c>
      <c r="L421" s="4">
        <v>16</v>
      </c>
      <c r="M421" s="4">
        <v>0</v>
      </c>
      <c r="N421" s="4">
        <v>0</v>
      </c>
      <c r="O421" s="4">
        <v>900.02</v>
      </c>
      <c r="P421" s="4">
        <v>7</v>
      </c>
      <c r="Q421" s="4">
        <v>1450.05</v>
      </c>
      <c r="R421" s="4">
        <v>9</v>
      </c>
      <c r="S421" s="4">
        <v>2459.08</v>
      </c>
      <c r="T421" s="4">
        <v>17</v>
      </c>
      <c r="U421" s="4">
        <v>2345.0300000000002</v>
      </c>
      <c r="V421" s="4">
        <v>15</v>
      </c>
      <c r="W421" s="4">
        <v>900.04</v>
      </c>
      <c r="X421" s="4">
        <v>6</v>
      </c>
      <c r="Y421" s="4">
        <v>1975.05</v>
      </c>
      <c r="Z421" s="4">
        <v>13</v>
      </c>
      <c r="AA421" s="4">
        <v>490.01</v>
      </c>
      <c r="AB421" s="4">
        <v>3</v>
      </c>
      <c r="AC421" s="4">
        <v>1650.04</v>
      </c>
      <c r="AD421" s="4">
        <v>14</v>
      </c>
      <c r="AE421" s="4">
        <v>2335.0500000000002</v>
      </c>
      <c r="AF421" s="4">
        <v>15</v>
      </c>
      <c r="AG421" s="4">
        <v>1509.02</v>
      </c>
      <c r="AH421" s="4">
        <v>14</v>
      </c>
      <c r="AI421" s="4">
        <v>1707.02</v>
      </c>
      <c r="AJ421" s="4">
        <v>11</v>
      </c>
      <c r="AK421" s="4">
        <v>865.01</v>
      </c>
      <c r="AL421" s="4">
        <v>7</v>
      </c>
      <c r="AM421" s="4">
        <v>1944.02</v>
      </c>
      <c r="AN421" s="4">
        <v>14</v>
      </c>
      <c r="AO421" s="4">
        <v>900</v>
      </c>
      <c r="AP421" s="4">
        <v>5</v>
      </c>
      <c r="AQ421" s="4">
        <v>0</v>
      </c>
      <c r="AR421" s="4">
        <v>0</v>
      </c>
      <c r="AS421" s="4">
        <v>525</v>
      </c>
      <c r="AT421" s="4">
        <v>3</v>
      </c>
      <c r="AU421" s="4">
        <v>899.99</v>
      </c>
      <c r="AV421" s="4">
        <v>4</v>
      </c>
      <c r="AW421" s="4">
        <v>1368.93</v>
      </c>
      <c r="AX421" s="4">
        <v>8</v>
      </c>
      <c r="AY421" s="4">
        <v>1061.97</v>
      </c>
      <c r="AZ421" s="4">
        <v>8</v>
      </c>
      <c r="BA421" s="4">
        <v>686.96</v>
      </c>
      <c r="BB421" s="4">
        <v>5</v>
      </c>
      <c r="BC421" s="4">
        <v>620.96</v>
      </c>
      <c r="BD421" s="4">
        <v>3</v>
      </c>
      <c r="BE421" s="4">
        <v>0</v>
      </c>
      <c r="BF421" s="4">
        <v>0</v>
      </c>
      <c r="BQ421" s="3">
        <f t="shared" si="14"/>
        <v>34629.39</v>
      </c>
      <c r="BR421" s="3">
        <f t="shared" si="13"/>
        <v>248</v>
      </c>
    </row>
    <row r="422" spans="1:70" x14ac:dyDescent="0.25">
      <c r="A422" s="4" t="s">
        <v>2546</v>
      </c>
      <c r="B422" t="s">
        <v>95</v>
      </c>
      <c r="C422" s="338" t="s">
        <v>2000</v>
      </c>
      <c r="D422" s="213" t="s">
        <v>1091</v>
      </c>
      <c r="E422" s="213" t="s">
        <v>138</v>
      </c>
      <c r="F422" s="213" t="s">
        <v>129</v>
      </c>
      <c r="G422" s="4">
        <v>2590.06</v>
      </c>
      <c r="H422" s="4">
        <v>23</v>
      </c>
      <c r="I422" s="4">
        <v>1753.02</v>
      </c>
      <c r="J422" s="4">
        <v>14</v>
      </c>
      <c r="K422" s="4">
        <v>1155.01</v>
      </c>
      <c r="L422" s="4">
        <v>9</v>
      </c>
      <c r="M422" s="4">
        <v>3213.05</v>
      </c>
      <c r="N422" s="4">
        <v>15</v>
      </c>
      <c r="O422" s="4">
        <v>1120.03</v>
      </c>
      <c r="P422" s="4">
        <v>10</v>
      </c>
      <c r="Q422" s="4">
        <v>1435.08</v>
      </c>
      <c r="R422" s="4">
        <v>11</v>
      </c>
      <c r="S422" s="4">
        <v>99</v>
      </c>
      <c r="T422" s="4">
        <v>1</v>
      </c>
      <c r="U422" s="4">
        <v>0</v>
      </c>
      <c r="V422" s="4">
        <v>0</v>
      </c>
      <c r="W422" s="4">
        <v>845</v>
      </c>
      <c r="X422" s="4">
        <v>6</v>
      </c>
      <c r="Y422" s="4">
        <v>1249.98</v>
      </c>
      <c r="Z422" s="4">
        <v>4</v>
      </c>
      <c r="AA422" s="4">
        <v>891.02</v>
      </c>
      <c r="AB422" s="4">
        <v>8</v>
      </c>
      <c r="AC422" s="4">
        <v>225</v>
      </c>
      <c r="AD422" s="4">
        <v>1</v>
      </c>
      <c r="AE422" s="4">
        <v>160</v>
      </c>
      <c r="AF422" s="4">
        <v>1</v>
      </c>
      <c r="AG422" s="4">
        <v>0</v>
      </c>
      <c r="AH422" s="4">
        <v>0</v>
      </c>
      <c r="AI422" s="4">
        <v>75</v>
      </c>
      <c r="AJ422" s="4">
        <v>1</v>
      </c>
      <c r="AK422" s="4">
        <v>1225.02</v>
      </c>
      <c r="AL422" s="4">
        <v>6</v>
      </c>
      <c r="AM422" s="4">
        <v>300.01</v>
      </c>
      <c r="AN422" s="4">
        <v>3</v>
      </c>
      <c r="AO422" s="4">
        <v>600.01</v>
      </c>
      <c r="AP422" s="4">
        <v>4</v>
      </c>
      <c r="AQ422" s="4">
        <v>1478.02</v>
      </c>
      <c r="AR422" s="4">
        <v>8</v>
      </c>
      <c r="AS422" s="4">
        <v>799.99</v>
      </c>
      <c r="AT422" s="4">
        <v>2</v>
      </c>
      <c r="AU422" s="4">
        <v>150</v>
      </c>
      <c r="AV422" s="4">
        <v>1</v>
      </c>
      <c r="AW422" s="4">
        <v>0</v>
      </c>
      <c r="AX422" s="4">
        <v>0</v>
      </c>
      <c r="AY422" s="4">
        <v>234.98</v>
      </c>
      <c r="AZ422" s="4">
        <v>2</v>
      </c>
      <c r="BA422" s="4">
        <v>718.96</v>
      </c>
      <c r="BB422" s="4">
        <v>4</v>
      </c>
      <c r="BC422" s="4">
        <v>1379.9</v>
      </c>
      <c r="BD422" s="4">
        <v>9</v>
      </c>
      <c r="BE422" s="4">
        <v>1144.0899999999999</v>
      </c>
      <c r="BF422" s="4">
        <v>6</v>
      </c>
      <c r="BQ422" s="3">
        <f t="shared" si="14"/>
        <v>22842.230000000003</v>
      </c>
      <c r="BR422" s="3">
        <f t="shared" si="13"/>
        <v>149</v>
      </c>
    </row>
    <row r="423" spans="1:70" x14ac:dyDescent="0.25">
      <c r="A423" s="4" t="s">
        <v>2547</v>
      </c>
      <c r="B423" t="s">
        <v>95</v>
      </c>
      <c r="C423" s="338" t="s">
        <v>2001</v>
      </c>
      <c r="D423" s="213" t="s">
        <v>1092</v>
      </c>
      <c r="E423" s="213" t="s">
        <v>138</v>
      </c>
      <c r="F423" s="213" t="s">
        <v>129</v>
      </c>
      <c r="G423" s="4">
        <v>0</v>
      </c>
      <c r="H423" s="4">
        <v>0</v>
      </c>
      <c r="I423" s="4">
        <v>96.01</v>
      </c>
      <c r="J423" s="4">
        <v>1</v>
      </c>
      <c r="K423" s="4">
        <v>150</v>
      </c>
      <c r="L423" s="4">
        <v>1</v>
      </c>
      <c r="M423" s="4">
        <v>1654.01</v>
      </c>
      <c r="N423" s="4">
        <v>12</v>
      </c>
      <c r="O423" s="4">
        <v>1981.01</v>
      </c>
      <c r="P423" s="4">
        <v>13</v>
      </c>
      <c r="Q423" s="4">
        <v>724.01</v>
      </c>
      <c r="R423" s="4">
        <v>6</v>
      </c>
      <c r="S423" s="4">
        <v>1714.03</v>
      </c>
      <c r="T423" s="4">
        <v>12</v>
      </c>
      <c r="U423" s="4">
        <v>1836.04</v>
      </c>
      <c r="V423" s="4">
        <v>11</v>
      </c>
      <c r="W423" s="4">
        <v>0</v>
      </c>
      <c r="X423" s="4">
        <v>0</v>
      </c>
      <c r="Y423" s="4">
        <v>375.01</v>
      </c>
      <c r="Z423" s="4">
        <v>3</v>
      </c>
      <c r="AA423" s="4">
        <v>1062</v>
      </c>
      <c r="AB423" s="4">
        <v>8</v>
      </c>
      <c r="AC423" s="4">
        <v>524.99</v>
      </c>
      <c r="AD423" s="4">
        <v>3</v>
      </c>
      <c r="AE423" s="4">
        <v>1723.02</v>
      </c>
      <c r="AF423" s="4">
        <v>11</v>
      </c>
      <c r="AG423" s="4">
        <v>1390.03</v>
      </c>
      <c r="AH423" s="4">
        <v>9</v>
      </c>
      <c r="AI423" s="4">
        <v>1647.99</v>
      </c>
      <c r="AJ423" s="4">
        <v>11</v>
      </c>
      <c r="AK423" s="4">
        <v>0</v>
      </c>
      <c r="AL423" s="4">
        <v>0</v>
      </c>
      <c r="AM423" s="4">
        <v>825.01</v>
      </c>
      <c r="AN423" s="4">
        <v>6</v>
      </c>
      <c r="AO423" s="4">
        <v>0</v>
      </c>
      <c r="AP423" s="4">
        <v>0</v>
      </c>
      <c r="AQ423" s="4">
        <v>1474.01</v>
      </c>
      <c r="AR423" s="4">
        <v>11</v>
      </c>
      <c r="AS423" s="4">
        <v>1747.02</v>
      </c>
      <c r="AT423" s="4">
        <v>11</v>
      </c>
      <c r="AU423" s="4">
        <v>1568.03</v>
      </c>
      <c r="AV423" s="4">
        <v>8</v>
      </c>
      <c r="AW423" s="4">
        <v>1517.96</v>
      </c>
      <c r="AX423" s="4">
        <v>10</v>
      </c>
      <c r="AY423" s="4">
        <v>1227.95</v>
      </c>
      <c r="AZ423" s="4">
        <v>8</v>
      </c>
      <c r="BA423" s="4">
        <v>1436.94</v>
      </c>
      <c r="BB423" s="4">
        <v>10</v>
      </c>
      <c r="BC423" s="4">
        <v>0</v>
      </c>
      <c r="BD423" s="4">
        <v>0</v>
      </c>
      <c r="BE423" s="4">
        <v>2159.1799999999998</v>
      </c>
      <c r="BF423" s="4">
        <v>12</v>
      </c>
      <c r="BQ423" s="3">
        <f t="shared" si="14"/>
        <v>26834.249999999996</v>
      </c>
      <c r="BR423" s="3">
        <f t="shared" si="13"/>
        <v>177</v>
      </c>
    </row>
    <row r="424" spans="1:70" x14ac:dyDescent="0.25">
      <c r="A424" s="4" t="s">
        <v>2548</v>
      </c>
      <c r="B424" t="s">
        <v>96</v>
      </c>
      <c r="C424" s="338" t="s">
        <v>2002</v>
      </c>
      <c r="D424" s="213" t="s">
        <v>1093</v>
      </c>
      <c r="E424" s="213" t="s">
        <v>139</v>
      </c>
      <c r="F424" s="213" t="s">
        <v>130</v>
      </c>
      <c r="G424" s="4">
        <v>707.03</v>
      </c>
      <c r="H424" s="4">
        <v>4</v>
      </c>
      <c r="I424" s="4">
        <v>0</v>
      </c>
      <c r="J424" s="4">
        <v>0</v>
      </c>
      <c r="K424" s="4">
        <v>300</v>
      </c>
      <c r="L424" s="4">
        <v>2</v>
      </c>
      <c r="M424" s="4">
        <v>1194.99</v>
      </c>
      <c r="N424" s="4">
        <v>5</v>
      </c>
      <c r="O424" s="4">
        <v>0</v>
      </c>
      <c r="P424" s="4">
        <v>0</v>
      </c>
      <c r="Q424" s="4">
        <v>546</v>
      </c>
      <c r="R424" s="4">
        <v>1</v>
      </c>
      <c r="S424" s="4">
        <v>299.01</v>
      </c>
      <c r="T424" s="4">
        <v>1</v>
      </c>
      <c r="U424" s="4">
        <v>0</v>
      </c>
      <c r="V424" s="4">
        <v>0</v>
      </c>
      <c r="W424" s="4">
        <v>0</v>
      </c>
      <c r="X424" s="4">
        <v>0</v>
      </c>
      <c r="Y424" s="4">
        <v>22</v>
      </c>
      <c r="Z424" s="4">
        <v>2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1065.03</v>
      </c>
      <c r="AP424" s="4">
        <v>5</v>
      </c>
      <c r="AQ424" s="4">
        <v>0</v>
      </c>
      <c r="AR424" s="4">
        <v>0</v>
      </c>
      <c r="AS424" s="4">
        <v>75</v>
      </c>
      <c r="AT424" s="4">
        <v>1</v>
      </c>
      <c r="AU424" s="4">
        <v>499.02</v>
      </c>
      <c r="AV424" s="4">
        <v>2</v>
      </c>
      <c r="AW424" s="4">
        <v>443.96</v>
      </c>
      <c r="AX424" s="4">
        <v>2</v>
      </c>
      <c r="AY424" s="4">
        <v>409.99</v>
      </c>
      <c r="AZ424" s="4">
        <v>2</v>
      </c>
      <c r="BA424" s="4">
        <v>210.98</v>
      </c>
      <c r="BB424" s="4">
        <v>1</v>
      </c>
      <c r="BC424" s="4">
        <v>1836.04</v>
      </c>
      <c r="BD424" s="4">
        <v>9</v>
      </c>
      <c r="BE424" s="4">
        <v>1783.1</v>
      </c>
      <c r="BF424" s="4">
        <v>8</v>
      </c>
      <c r="BQ424" s="3">
        <f t="shared" si="14"/>
        <v>9392.15</v>
      </c>
      <c r="BR424" s="3">
        <f t="shared" si="13"/>
        <v>45</v>
      </c>
    </row>
    <row r="425" spans="1:70" x14ac:dyDescent="0.25">
      <c r="A425" s="4" t="s">
        <v>2549</v>
      </c>
      <c r="B425" t="s">
        <v>96</v>
      </c>
      <c r="C425" s="338" t="s">
        <v>2003</v>
      </c>
      <c r="D425" s="213" t="s">
        <v>1094</v>
      </c>
      <c r="E425" s="213" t="s">
        <v>139</v>
      </c>
      <c r="F425" s="213" t="s">
        <v>130</v>
      </c>
      <c r="G425" s="4">
        <v>2403.02</v>
      </c>
      <c r="H425" s="4">
        <v>11</v>
      </c>
      <c r="I425" s="4">
        <v>5261.08</v>
      </c>
      <c r="J425" s="4">
        <v>18</v>
      </c>
      <c r="K425" s="4">
        <v>5644.12</v>
      </c>
      <c r="L425" s="4">
        <v>23</v>
      </c>
      <c r="M425" s="4">
        <v>2773.05</v>
      </c>
      <c r="N425" s="4">
        <v>18</v>
      </c>
      <c r="O425" s="4">
        <v>4037.13</v>
      </c>
      <c r="P425" s="4">
        <v>19</v>
      </c>
      <c r="Q425" s="4">
        <v>2724.04</v>
      </c>
      <c r="R425" s="4">
        <v>14</v>
      </c>
      <c r="S425" s="4">
        <v>0</v>
      </c>
      <c r="T425" s="4">
        <v>0</v>
      </c>
      <c r="U425" s="4">
        <v>3029.06</v>
      </c>
      <c r="V425" s="4">
        <v>16</v>
      </c>
      <c r="W425" s="4">
        <v>3293.06</v>
      </c>
      <c r="X425" s="4">
        <v>17</v>
      </c>
      <c r="Y425" s="4">
        <v>3922.02</v>
      </c>
      <c r="Z425" s="4">
        <v>25</v>
      </c>
      <c r="AA425" s="4">
        <v>0</v>
      </c>
      <c r="AB425" s="4">
        <v>0</v>
      </c>
      <c r="AC425" s="4">
        <v>5014.0600000000004</v>
      </c>
      <c r="AD425" s="4">
        <v>23</v>
      </c>
      <c r="AE425" s="4">
        <v>4392.04</v>
      </c>
      <c r="AF425" s="4">
        <v>20</v>
      </c>
      <c r="AG425" s="4">
        <v>5073.1400000000003</v>
      </c>
      <c r="AH425" s="4">
        <v>20</v>
      </c>
      <c r="AI425" s="4">
        <v>3021.05</v>
      </c>
      <c r="AJ425" s="4">
        <v>17</v>
      </c>
      <c r="AK425" s="4">
        <v>4095.08</v>
      </c>
      <c r="AL425" s="4">
        <v>18</v>
      </c>
      <c r="AM425" s="4">
        <v>3727.05</v>
      </c>
      <c r="AN425" s="4">
        <v>17</v>
      </c>
      <c r="AO425" s="4">
        <v>5780.08</v>
      </c>
      <c r="AP425" s="4">
        <v>27</v>
      </c>
      <c r="AQ425" s="4">
        <v>3084.05</v>
      </c>
      <c r="AR425" s="4">
        <v>20</v>
      </c>
      <c r="AS425" s="4">
        <v>-150</v>
      </c>
      <c r="AT425" s="4">
        <v>1</v>
      </c>
      <c r="AU425" s="4">
        <v>3232.06</v>
      </c>
      <c r="AV425" s="4">
        <v>20</v>
      </c>
      <c r="AW425" s="4">
        <v>3280.81</v>
      </c>
      <c r="AX425" s="4">
        <v>15</v>
      </c>
      <c r="AY425" s="4">
        <v>4877.71</v>
      </c>
      <c r="AZ425" s="4">
        <v>23</v>
      </c>
      <c r="BA425" s="4">
        <v>4256.8</v>
      </c>
      <c r="BB425" s="4">
        <v>18</v>
      </c>
      <c r="BC425" s="4">
        <v>5066.79</v>
      </c>
      <c r="BD425" s="4">
        <v>22</v>
      </c>
      <c r="BE425" s="4">
        <v>3688.13</v>
      </c>
      <c r="BF425" s="4">
        <v>17</v>
      </c>
      <c r="BQ425" s="3">
        <f t="shared" si="14"/>
        <v>91525.430000000008</v>
      </c>
      <c r="BR425" s="3">
        <f t="shared" si="13"/>
        <v>439</v>
      </c>
    </row>
    <row r="426" spans="1:70" x14ac:dyDescent="0.25">
      <c r="A426" s="4" t="s">
        <v>2550</v>
      </c>
      <c r="B426" t="s">
        <v>96</v>
      </c>
      <c r="C426" s="338" t="s">
        <v>2004</v>
      </c>
      <c r="D426" s="213" t="s">
        <v>1095</v>
      </c>
      <c r="E426" s="213" t="s">
        <v>139</v>
      </c>
      <c r="F426" s="213" t="s">
        <v>130</v>
      </c>
      <c r="G426" s="4">
        <v>2035.04</v>
      </c>
      <c r="H426" s="4">
        <v>10</v>
      </c>
      <c r="I426" s="4">
        <v>4996.07</v>
      </c>
      <c r="J426" s="4">
        <v>24</v>
      </c>
      <c r="K426" s="4">
        <v>5609.14</v>
      </c>
      <c r="L426" s="4">
        <v>29</v>
      </c>
      <c r="M426" s="4">
        <v>1635.03</v>
      </c>
      <c r="N426" s="4">
        <v>10</v>
      </c>
      <c r="O426" s="4">
        <v>0</v>
      </c>
      <c r="P426" s="4">
        <v>0</v>
      </c>
      <c r="Q426" s="4">
        <v>2195.06</v>
      </c>
      <c r="R426" s="4">
        <v>9</v>
      </c>
      <c r="S426" s="4">
        <v>1225.01</v>
      </c>
      <c r="T426" s="4">
        <v>10</v>
      </c>
      <c r="U426" s="4">
        <v>2880.01</v>
      </c>
      <c r="V426" s="4">
        <v>13</v>
      </c>
      <c r="W426" s="4">
        <v>3135.04</v>
      </c>
      <c r="X426" s="4">
        <v>18</v>
      </c>
      <c r="Y426" s="4">
        <v>2518.0700000000002</v>
      </c>
      <c r="Z426" s="4">
        <v>14</v>
      </c>
      <c r="AA426" s="4">
        <v>1750.03</v>
      </c>
      <c r="AB426" s="4">
        <v>12</v>
      </c>
      <c r="AC426" s="4">
        <v>0</v>
      </c>
      <c r="AD426" s="4">
        <v>0</v>
      </c>
      <c r="AE426" s="4">
        <v>1671.03</v>
      </c>
      <c r="AF426" s="4">
        <v>8</v>
      </c>
      <c r="AG426" s="4">
        <v>1200.04</v>
      </c>
      <c r="AH426" s="4">
        <v>8</v>
      </c>
      <c r="AI426" s="4">
        <v>1624.05</v>
      </c>
      <c r="AJ426" s="4">
        <v>9</v>
      </c>
      <c r="AK426" s="4">
        <v>2654.07</v>
      </c>
      <c r="AL426" s="4">
        <v>16</v>
      </c>
      <c r="AM426" s="4">
        <v>3132.04</v>
      </c>
      <c r="AN426" s="4">
        <v>14</v>
      </c>
      <c r="AO426" s="4">
        <v>0</v>
      </c>
      <c r="AP426" s="4">
        <v>0</v>
      </c>
      <c r="AQ426" s="4">
        <v>0</v>
      </c>
      <c r="AR426" s="4">
        <v>0</v>
      </c>
      <c r="AS426" s="4">
        <v>2098.06</v>
      </c>
      <c r="AT426" s="4">
        <v>9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Q426" s="3">
        <f t="shared" si="14"/>
        <v>40357.79</v>
      </c>
      <c r="BR426" s="3">
        <f t="shared" si="13"/>
        <v>213</v>
      </c>
    </row>
    <row r="427" spans="1:70" x14ac:dyDescent="0.25">
      <c r="A427" s="4" t="s">
        <v>2551</v>
      </c>
      <c r="B427" t="s">
        <v>96</v>
      </c>
      <c r="C427" s="338" t="s">
        <v>2005</v>
      </c>
      <c r="D427" s="213" t="s">
        <v>1096</v>
      </c>
      <c r="E427" s="213" t="s">
        <v>139</v>
      </c>
      <c r="F427" s="213" t="s">
        <v>130</v>
      </c>
      <c r="G427" s="4">
        <v>2514.09</v>
      </c>
      <c r="H427" s="4">
        <v>13</v>
      </c>
      <c r="I427" s="4">
        <v>833.02</v>
      </c>
      <c r="J427" s="4">
        <v>5</v>
      </c>
      <c r="K427" s="4">
        <v>2907.03</v>
      </c>
      <c r="L427" s="4">
        <v>12</v>
      </c>
      <c r="M427" s="4">
        <v>0</v>
      </c>
      <c r="N427" s="4">
        <v>0</v>
      </c>
      <c r="O427" s="4">
        <v>2749.1</v>
      </c>
      <c r="P427" s="4">
        <v>16</v>
      </c>
      <c r="Q427" s="4">
        <v>2839.05</v>
      </c>
      <c r="R427" s="4">
        <v>14</v>
      </c>
      <c r="S427" s="4">
        <v>1147.02</v>
      </c>
      <c r="T427" s="4">
        <v>9</v>
      </c>
      <c r="U427" s="4">
        <v>2322.0300000000002</v>
      </c>
      <c r="V427" s="4">
        <v>11</v>
      </c>
      <c r="W427" s="4">
        <v>2887.06</v>
      </c>
      <c r="X427" s="4">
        <v>8</v>
      </c>
      <c r="Y427" s="4">
        <v>2648.01</v>
      </c>
      <c r="Z427" s="4">
        <v>9</v>
      </c>
      <c r="AA427" s="4">
        <v>3808.02</v>
      </c>
      <c r="AB427" s="4">
        <v>18</v>
      </c>
      <c r="AC427" s="4">
        <v>0</v>
      </c>
      <c r="AD427" s="4">
        <v>0</v>
      </c>
      <c r="AE427" s="4">
        <v>2465.0700000000002</v>
      </c>
      <c r="AF427" s="4">
        <v>13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Q427" s="3">
        <f t="shared" si="14"/>
        <v>27119.500000000004</v>
      </c>
      <c r="BR427" s="3">
        <f t="shared" si="13"/>
        <v>128</v>
      </c>
    </row>
    <row r="428" spans="1:70" x14ac:dyDescent="0.25">
      <c r="A428" s="4" t="s">
        <v>2552</v>
      </c>
      <c r="B428" t="s">
        <v>96</v>
      </c>
      <c r="C428" s="338" t="s">
        <v>2006</v>
      </c>
      <c r="D428" s="213" t="s">
        <v>1097</v>
      </c>
      <c r="E428" s="213" t="s">
        <v>139</v>
      </c>
      <c r="F428" s="213" t="s">
        <v>130</v>
      </c>
      <c r="G428" s="4">
        <v>4711.08</v>
      </c>
      <c r="H428" s="4">
        <v>31</v>
      </c>
      <c r="I428" s="4">
        <v>7640.23</v>
      </c>
      <c r="J428" s="4">
        <v>38</v>
      </c>
      <c r="K428" s="4">
        <v>0</v>
      </c>
      <c r="L428" s="4">
        <v>2</v>
      </c>
      <c r="M428" s="4">
        <v>5082.1000000000004</v>
      </c>
      <c r="N428" s="4">
        <v>22</v>
      </c>
      <c r="O428" s="4">
        <v>2145.04</v>
      </c>
      <c r="P428" s="4">
        <v>18</v>
      </c>
      <c r="Q428" s="4">
        <v>0</v>
      </c>
      <c r="R428" s="4">
        <v>0</v>
      </c>
      <c r="S428" s="4">
        <v>1591.03</v>
      </c>
      <c r="T428" s="4">
        <v>11</v>
      </c>
      <c r="U428" s="4">
        <v>1837.05</v>
      </c>
      <c r="V428" s="4">
        <v>11</v>
      </c>
      <c r="W428" s="4">
        <v>3054.07</v>
      </c>
      <c r="X428" s="4">
        <v>14</v>
      </c>
      <c r="Y428" s="4">
        <v>2912.01</v>
      </c>
      <c r="Z428" s="4">
        <v>21</v>
      </c>
      <c r="AA428" s="4">
        <v>3095.04</v>
      </c>
      <c r="AB428" s="4">
        <v>21</v>
      </c>
      <c r="AC428" s="4">
        <v>1699.01</v>
      </c>
      <c r="AD428" s="4">
        <v>11</v>
      </c>
      <c r="AE428" s="4">
        <v>0</v>
      </c>
      <c r="AF428" s="4">
        <v>0</v>
      </c>
      <c r="AG428" s="4">
        <v>2458.04</v>
      </c>
      <c r="AH428" s="4">
        <v>16</v>
      </c>
      <c r="AI428" s="4">
        <v>2329.0500000000002</v>
      </c>
      <c r="AJ428" s="4">
        <v>10</v>
      </c>
      <c r="AK428" s="4">
        <v>2597.06</v>
      </c>
      <c r="AL428" s="4">
        <v>14</v>
      </c>
      <c r="AM428" s="4">
        <v>2319.0100000000002</v>
      </c>
      <c r="AN428" s="4">
        <v>14</v>
      </c>
      <c r="AO428" s="4">
        <v>4502.09</v>
      </c>
      <c r="AP428" s="4">
        <v>24</v>
      </c>
      <c r="AQ428" s="4">
        <v>1790.05</v>
      </c>
      <c r="AR428" s="4">
        <v>10</v>
      </c>
      <c r="AS428" s="4">
        <v>1145.02</v>
      </c>
      <c r="AT428" s="4">
        <v>4</v>
      </c>
      <c r="AU428" s="4">
        <v>3294.1</v>
      </c>
      <c r="AV428" s="4">
        <v>12</v>
      </c>
      <c r="AW428" s="4">
        <v>2026.94</v>
      </c>
      <c r="AX428" s="4">
        <v>9</v>
      </c>
      <c r="AY428" s="4">
        <v>1894.9</v>
      </c>
      <c r="AZ428" s="4">
        <v>12</v>
      </c>
      <c r="BA428" s="4">
        <v>3177.92</v>
      </c>
      <c r="BB428" s="4">
        <v>13</v>
      </c>
      <c r="BC428" s="4">
        <v>4424.79</v>
      </c>
      <c r="BD428" s="4">
        <v>24</v>
      </c>
      <c r="BE428" s="4">
        <v>1437.1</v>
      </c>
      <c r="BF428" s="4">
        <v>7</v>
      </c>
      <c r="BQ428" s="3">
        <f t="shared" si="14"/>
        <v>67162.73000000001</v>
      </c>
      <c r="BR428" s="3">
        <f t="shared" si="13"/>
        <v>369</v>
      </c>
    </row>
    <row r="429" spans="1:70" x14ac:dyDescent="0.25">
      <c r="A429" s="4" t="s">
        <v>2553</v>
      </c>
      <c r="B429" t="s">
        <v>96</v>
      </c>
      <c r="C429" s="338" t="s">
        <v>2007</v>
      </c>
      <c r="D429" s="213" t="s">
        <v>1098</v>
      </c>
      <c r="E429" s="213" t="s">
        <v>139</v>
      </c>
      <c r="F429" s="213" t="s">
        <v>130</v>
      </c>
      <c r="G429" s="4">
        <v>4269.18</v>
      </c>
      <c r="H429" s="4">
        <v>14</v>
      </c>
      <c r="I429" s="4">
        <v>3248.09</v>
      </c>
      <c r="J429" s="4">
        <v>24</v>
      </c>
      <c r="K429" s="4">
        <v>5296.15</v>
      </c>
      <c r="L429" s="4">
        <v>28</v>
      </c>
      <c r="M429" s="4">
        <v>0</v>
      </c>
      <c r="N429" s="4">
        <v>0</v>
      </c>
      <c r="O429" s="4">
        <v>3797.09</v>
      </c>
      <c r="P429" s="4">
        <v>20</v>
      </c>
      <c r="Q429" s="4">
        <v>1474.03</v>
      </c>
      <c r="R429" s="4">
        <v>7</v>
      </c>
      <c r="S429" s="4">
        <v>1175.03</v>
      </c>
      <c r="T429" s="4">
        <v>9</v>
      </c>
      <c r="U429" s="4">
        <v>2615.04</v>
      </c>
      <c r="V429" s="4">
        <v>12</v>
      </c>
      <c r="W429" s="4">
        <v>3928.06</v>
      </c>
      <c r="X429" s="4">
        <v>17</v>
      </c>
      <c r="Y429" s="4">
        <v>2648.06</v>
      </c>
      <c r="Z429" s="4">
        <v>15</v>
      </c>
      <c r="AA429" s="4">
        <v>0</v>
      </c>
      <c r="AB429" s="4">
        <v>0</v>
      </c>
      <c r="AC429" s="4">
        <v>1699.07</v>
      </c>
      <c r="AD429" s="4">
        <v>12</v>
      </c>
      <c r="AE429" s="4">
        <v>1913.1</v>
      </c>
      <c r="AF429" s="4">
        <v>9</v>
      </c>
      <c r="AG429" s="4">
        <v>1425.05</v>
      </c>
      <c r="AH429" s="4">
        <v>8</v>
      </c>
      <c r="AI429" s="4">
        <v>1846.03</v>
      </c>
      <c r="AJ429" s="4">
        <v>10</v>
      </c>
      <c r="AK429" s="4">
        <v>1563</v>
      </c>
      <c r="AL429" s="4">
        <v>5</v>
      </c>
      <c r="AM429" s="4">
        <v>1392</v>
      </c>
      <c r="AN429" s="4">
        <v>7</v>
      </c>
      <c r="AO429" s="4">
        <v>2250.02</v>
      </c>
      <c r="AP429" s="4">
        <v>11</v>
      </c>
      <c r="AQ429" s="4">
        <v>2763.1</v>
      </c>
      <c r="AR429" s="4">
        <v>11</v>
      </c>
      <c r="AS429" s="4">
        <v>1362.03</v>
      </c>
      <c r="AT429" s="4">
        <v>11</v>
      </c>
      <c r="AU429" s="4">
        <v>0</v>
      </c>
      <c r="AV429" s="4">
        <v>0</v>
      </c>
      <c r="AW429" s="4">
        <v>3105.89</v>
      </c>
      <c r="AX429" s="4">
        <v>13</v>
      </c>
      <c r="AY429" s="4">
        <v>3843.83</v>
      </c>
      <c r="AZ429" s="4">
        <v>18</v>
      </c>
      <c r="BA429" s="4">
        <v>2396.96</v>
      </c>
      <c r="BB429" s="4">
        <v>9</v>
      </c>
      <c r="BC429" s="4">
        <v>2037.92</v>
      </c>
      <c r="BD429" s="4">
        <v>13</v>
      </c>
      <c r="BE429" s="4">
        <v>0</v>
      </c>
      <c r="BF429" s="4">
        <v>0</v>
      </c>
      <c r="BQ429" s="3">
        <f t="shared" si="14"/>
        <v>56048.729999999996</v>
      </c>
      <c r="BR429" s="3">
        <f t="shared" si="13"/>
        <v>283</v>
      </c>
    </row>
    <row r="430" spans="1:70" x14ac:dyDescent="0.25">
      <c r="A430" s="4" t="s">
        <v>2554</v>
      </c>
      <c r="B430" t="s">
        <v>96</v>
      </c>
      <c r="C430" s="338" t="s">
        <v>2008</v>
      </c>
      <c r="D430" s="213" t="s">
        <v>1099</v>
      </c>
      <c r="E430" s="213" t="s">
        <v>139</v>
      </c>
      <c r="F430" s="213" t="s">
        <v>130</v>
      </c>
      <c r="G430" s="4">
        <v>0</v>
      </c>
      <c r="H430" s="4">
        <v>0</v>
      </c>
      <c r="I430" s="4">
        <v>7457.16</v>
      </c>
      <c r="J430" s="4">
        <v>36</v>
      </c>
      <c r="K430" s="4">
        <v>5697.11</v>
      </c>
      <c r="L430" s="4">
        <v>23</v>
      </c>
      <c r="M430" s="4">
        <v>4900.1099999999997</v>
      </c>
      <c r="N430" s="4">
        <v>23</v>
      </c>
      <c r="O430" s="4">
        <v>0</v>
      </c>
      <c r="P430" s="4">
        <v>0</v>
      </c>
      <c r="Q430" s="4">
        <v>6691.2</v>
      </c>
      <c r="R430" s="4">
        <v>23</v>
      </c>
      <c r="S430" s="4">
        <v>3938.09</v>
      </c>
      <c r="T430" s="4">
        <v>19</v>
      </c>
      <c r="U430" s="4">
        <v>4454.08</v>
      </c>
      <c r="V430" s="4">
        <v>18</v>
      </c>
      <c r="W430" s="4">
        <v>5887.1</v>
      </c>
      <c r="X430" s="4">
        <v>20</v>
      </c>
      <c r="Y430" s="4">
        <v>5473.1</v>
      </c>
      <c r="Z430" s="4">
        <v>22</v>
      </c>
      <c r="AA430" s="4">
        <v>5231.13</v>
      </c>
      <c r="AB430" s="4">
        <v>19</v>
      </c>
      <c r="AC430" s="4">
        <v>3282.08</v>
      </c>
      <c r="AD430" s="4">
        <v>19</v>
      </c>
      <c r="AE430" s="4">
        <v>0</v>
      </c>
      <c r="AF430" s="4">
        <v>0</v>
      </c>
      <c r="AG430" s="4">
        <v>2441.11</v>
      </c>
      <c r="AH430" s="4">
        <v>15</v>
      </c>
      <c r="AI430" s="4">
        <v>6081.12</v>
      </c>
      <c r="AJ430" s="4">
        <v>21</v>
      </c>
      <c r="AK430" s="4">
        <v>6462.13</v>
      </c>
      <c r="AL430" s="4">
        <v>23</v>
      </c>
      <c r="AM430" s="4">
        <v>3966.04</v>
      </c>
      <c r="AN430" s="4">
        <v>15</v>
      </c>
      <c r="AO430" s="4">
        <v>4554.12</v>
      </c>
      <c r="AP430" s="4">
        <v>23</v>
      </c>
      <c r="AQ430" s="4">
        <v>0</v>
      </c>
      <c r="AR430" s="4">
        <v>0</v>
      </c>
      <c r="AS430" s="4">
        <v>4155.9799999999996</v>
      </c>
      <c r="AT430" s="4">
        <v>15</v>
      </c>
      <c r="AU430" s="4">
        <v>3927.08</v>
      </c>
      <c r="AV430" s="4">
        <v>17</v>
      </c>
      <c r="AW430" s="4">
        <v>7631.65</v>
      </c>
      <c r="AX430" s="4">
        <v>28</v>
      </c>
      <c r="AY430" s="4">
        <v>5497.81</v>
      </c>
      <c r="AZ430" s="4">
        <v>25</v>
      </c>
      <c r="BA430" s="4">
        <v>4059.72</v>
      </c>
      <c r="BB430" s="4">
        <v>17</v>
      </c>
      <c r="BC430" s="4">
        <v>-210.98</v>
      </c>
      <c r="BD430" s="4">
        <v>1</v>
      </c>
      <c r="BE430" s="4">
        <v>4151.29</v>
      </c>
      <c r="BF430" s="4">
        <v>19</v>
      </c>
      <c r="BQ430" s="3">
        <f t="shared" si="14"/>
        <v>105728.22999999998</v>
      </c>
      <c r="BR430" s="3">
        <f t="shared" si="13"/>
        <v>441</v>
      </c>
    </row>
    <row r="431" spans="1:70" x14ac:dyDescent="0.25">
      <c r="A431" s="4" t="s">
        <v>2555</v>
      </c>
      <c r="B431" t="s">
        <v>96</v>
      </c>
      <c r="C431" s="338" t="s">
        <v>2009</v>
      </c>
      <c r="D431" s="213" t="s">
        <v>1100</v>
      </c>
      <c r="E431" s="213" t="s">
        <v>139</v>
      </c>
      <c r="F431" s="213" t="s">
        <v>130</v>
      </c>
      <c r="G431" s="4">
        <v>3694.1</v>
      </c>
      <c r="H431" s="4">
        <v>24</v>
      </c>
      <c r="I431" s="4">
        <v>3534.1</v>
      </c>
      <c r="J431" s="4">
        <v>25</v>
      </c>
      <c r="K431" s="4">
        <v>6397.15</v>
      </c>
      <c r="L431" s="4">
        <v>27</v>
      </c>
      <c r="M431" s="4">
        <v>0</v>
      </c>
      <c r="N431" s="4">
        <v>0</v>
      </c>
      <c r="O431" s="4">
        <v>2941.08</v>
      </c>
      <c r="P431" s="4">
        <v>12</v>
      </c>
      <c r="Q431" s="4">
        <v>2629.03</v>
      </c>
      <c r="R431" s="4">
        <v>16</v>
      </c>
      <c r="S431" s="4">
        <v>7207.18</v>
      </c>
      <c r="T431" s="4">
        <v>17</v>
      </c>
      <c r="U431" s="4">
        <v>2149.0100000000002</v>
      </c>
      <c r="V431" s="4">
        <v>10</v>
      </c>
      <c r="W431" s="4">
        <v>3152.07</v>
      </c>
      <c r="X431" s="4">
        <v>17</v>
      </c>
      <c r="Y431" s="4">
        <v>2173.04</v>
      </c>
      <c r="Z431" s="4">
        <v>9</v>
      </c>
      <c r="AA431" s="4">
        <v>2658.04</v>
      </c>
      <c r="AB431" s="4">
        <v>9</v>
      </c>
      <c r="AC431" s="4">
        <v>2009.08</v>
      </c>
      <c r="AD431" s="4">
        <v>6</v>
      </c>
      <c r="AE431" s="4">
        <v>0</v>
      </c>
      <c r="AF431" s="4">
        <v>0</v>
      </c>
      <c r="AG431" s="4">
        <v>1653.04</v>
      </c>
      <c r="AH431" s="4">
        <v>10</v>
      </c>
      <c r="AI431" s="4">
        <v>1996.03</v>
      </c>
      <c r="AJ431" s="4">
        <v>12</v>
      </c>
      <c r="AK431" s="4">
        <v>5393.12</v>
      </c>
      <c r="AL431" s="4">
        <v>28</v>
      </c>
      <c r="AM431" s="4">
        <v>4304.1000000000004</v>
      </c>
      <c r="AN431" s="4">
        <v>15</v>
      </c>
      <c r="AO431" s="4">
        <v>3487</v>
      </c>
      <c r="AP431" s="4">
        <v>16</v>
      </c>
      <c r="AQ431" s="4">
        <v>3469.08</v>
      </c>
      <c r="AR431" s="4">
        <v>16</v>
      </c>
      <c r="AS431" s="4">
        <v>2845.06</v>
      </c>
      <c r="AT431" s="4">
        <v>16</v>
      </c>
      <c r="AU431" s="4">
        <v>0</v>
      </c>
      <c r="AV431" s="4">
        <v>0</v>
      </c>
      <c r="AW431" s="4">
        <v>3825.79</v>
      </c>
      <c r="AX431" s="4">
        <v>15</v>
      </c>
      <c r="AY431" s="4">
        <v>4958.7299999999996</v>
      </c>
      <c r="AZ431" s="4">
        <v>22</v>
      </c>
      <c r="BA431" s="4">
        <v>409.99</v>
      </c>
      <c r="BB431" s="4">
        <v>2</v>
      </c>
      <c r="BC431" s="4">
        <v>0</v>
      </c>
      <c r="BD431" s="4">
        <v>0</v>
      </c>
      <c r="BE431" s="4">
        <v>0</v>
      </c>
      <c r="BF431" s="4">
        <v>0</v>
      </c>
      <c r="BQ431" s="3">
        <f t="shared" si="14"/>
        <v>70885.820000000007</v>
      </c>
      <c r="BR431" s="3">
        <f t="shared" si="13"/>
        <v>324</v>
      </c>
    </row>
    <row r="432" spans="1:70" x14ac:dyDescent="0.25">
      <c r="A432" s="4" t="s">
        <v>2556</v>
      </c>
      <c r="B432" t="s">
        <v>96</v>
      </c>
      <c r="C432" s="338" t="s">
        <v>2010</v>
      </c>
      <c r="D432" s="213" t="s">
        <v>1101</v>
      </c>
      <c r="E432" s="213" t="s">
        <v>139</v>
      </c>
      <c r="F432" s="213" t="s">
        <v>130</v>
      </c>
      <c r="G432" s="4">
        <v>3486.08</v>
      </c>
      <c r="H432" s="4">
        <v>26</v>
      </c>
      <c r="I432" s="4">
        <v>6607.2</v>
      </c>
      <c r="J432" s="4">
        <v>30</v>
      </c>
      <c r="K432" s="4">
        <v>3221.12</v>
      </c>
      <c r="L432" s="4">
        <v>18</v>
      </c>
      <c r="M432" s="4">
        <v>0</v>
      </c>
      <c r="N432" s="4">
        <v>0</v>
      </c>
      <c r="O432" s="4">
        <v>1442.05</v>
      </c>
      <c r="P432" s="4">
        <v>9</v>
      </c>
      <c r="Q432" s="4">
        <v>2454.0700000000002</v>
      </c>
      <c r="R432" s="4">
        <v>16</v>
      </c>
      <c r="S432" s="4">
        <v>1037</v>
      </c>
      <c r="T432" s="4">
        <v>8</v>
      </c>
      <c r="U432" s="4">
        <v>1854.01</v>
      </c>
      <c r="V432" s="4">
        <v>11</v>
      </c>
      <c r="W432" s="4">
        <v>3740.02</v>
      </c>
      <c r="X432" s="4">
        <v>18</v>
      </c>
      <c r="Y432" s="4">
        <v>2874.06</v>
      </c>
      <c r="Z432" s="4">
        <v>18</v>
      </c>
      <c r="AA432" s="4">
        <v>0</v>
      </c>
      <c r="AB432" s="4">
        <v>0</v>
      </c>
      <c r="AC432" s="4">
        <v>1908.08</v>
      </c>
      <c r="AD432" s="4">
        <v>12</v>
      </c>
      <c r="AE432" s="4">
        <v>1744.04</v>
      </c>
      <c r="AF432" s="4">
        <v>14</v>
      </c>
      <c r="AG432" s="4">
        <v>1043.01</v>
      </c>
      <c r="AH432" s="4">
        <v>7</v>
      </c>
      <c r="AI432" s="4">
        <v>2259.0300000000002</v>
      </c>
      <c r="AJ432" s="4">
        <v>12</v>
      </c>
      <c r="AK432" s="4">
        <v>1648.01</v>
      </c>
      <c r="AL432" s="4">
        <v>9</v>
      </c>
      <c r="AM432" s="4">
        <v>2430.9899999999998</v>
      </c>
      <c r="AN432" s="4">
        <v>12</v>
      </c>
      <c r="AO432" s="4">
        <v>0</v>
      </c>
      <c r="AP432" s="4">
        <v>0</v>
      </c>
      <c r="AQ432" s="4">
        <v>4402.0600000000004</v>
      </c>
      <c r="AR432" s="4">
        <v>22</v>
      </c>
      <c r="AS432" s="4">
        <v>2743.05</v>
      </c>
      <c r="AT432" s="4">
        <v>15</v>
      </c>
      <c r="AU432" s="4">
        <v>2931.03</v>
      </c>
      <c r="AV432" s="4">
        <v>16</v>
      </c>
      <c r="AW432" s="4">
        <v>2499.88</v>
      </c>
      <c r="AX432" s="4">
        <v>10</v>
      </c>
      <c r="AY432" s="4">
        <v>4440.7700000000004</v>
      </c>
      <c r="AZ432" s="4">
        <v>12</v>
      </c>
      <c r="BA432" s="4">
        <v>4315.8100000000004</v>
      </c>
      <c r="BB432" s="4">
        <v>15</v>
      </c>
      <c r="BC432" s="4">
        <v>0</v>
      </c>
      <c r="BD432" s="4">
        <v>0</v>
      </c>
      <c r="BE432" s="4">
        <v>3434.2</v>
      </c>
      <c r="BF432" s="4">
        <v>16</v>
      </c>
      <c r="BQ432" s="3">
        <f t="shared" si="14"/>
        <v>62515.569999999992</v>
      </c>
      <c r="BR432" s="3">
        <f t="shared" si="13"/>
        <v>326</v>
      </c>
    </row>
    <row r="433" spans="1:70" x14ac:dyDescent="0.25">
      <c r="A433" s="4" t="s">
        <v>2557</v>
      </c>
      <c r="B433" t="s">
        <v>96</v>
      </c>
      <c r="C433" s="338" t="s">
        <v>2011</v>
      </c>
      <c r="D433" s="213" t="s">
        <v>1102</v>
      </c>
      <c r="E433" s="213" t="s">
        <v>139</v>
      </c>
      <c r="F433" s="213" t="s">
        <v>130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1992.03</v>
      </c>
      <c r="P433" s="4">
        <v>10</v>
      </c>
      <c r="Q433" s="4">
        <v>2765.05</v>
      </c>
      <c r="R433" s="4">
        <v>18</v>
      </c>
      <c r="S433" s="4">
        <v>3028.03</v>
      </c>
      <c r="T433" s="4">
        <v>17</v>
      </c>
      <c r="U433" s="4">
        <v>1850.06</v>
      </c>
      <c r="V433" s="4">
        <v>12</v>
      </c>
      <c r="W433" s="4">
        <v>4099.07</v>
      </c>
      <c r="X433" s="4">
        <v>23</v>
      </c>
      <c r="Y433" s="4">
        <v>2892.05</v>
      </c>
      <c r="Z433" s="4">
        <v>17</v>
      </c>
      <c r="AA433" s="4">
        <v>3289.04</v>
      </c>
      <c r="AB433" s="4">
        <v>23</v>
      </c>
      <c r="AC433" s="4">
        <v>3997.06</v>
      </c>
      <c r="AD433" s="4">
        <v>23</v>
      </c>
      <c r="AE433" s="4">
        <v>2570.0300000000002</v>
      </c>
      <c r="AF433" s="4">
        <v>17</v>
      </c>
      <c r="AG433" s="4">
        <v>0</v>
      </c>
      <c r="AH433" s="4">
        <v>0</v>
      </c>
      <c r="AI433" s="4">
        <v>4892.1099999999997</v>
      </c>
      <c r="AJ433" s="4">
        <v>16</v>
      </c>
      <c r="AK433" s="4">
        <v>4933.05</v>
      </c>
      <c r="AL433" s="4">
        <v>21</v>
      </c>
      <c r="AM433" s="4">
        <v>2569.06</v>
      </c>
      <c r="AN433" s="4">
        <v>12</v>
      </c>
      <c r="AO433" s="4">
        <v>300.01</v>
      </c>
      <c r="AP433" s="4">
        <v>1</v>
      </c>
      <c r="AQ433" s="4">
        <v>1549.01</v>
      </c>
      <c r="AR433" s="4">
        <v>7</v>
      </c>
      <c r="AS433" s="4">
        <v>3060.03</v>
      </c>
      <c r="AT433" s="4">
        <v>23</v>
      </c>
      <c r="AU433" s="4">
        <v>2573.0300000000002</v>
      </c>
      <c r="AV433" s="4">
        <v>17</v>
      </c>
      <c r="AW433" s="4">
        <v>803.98</v>
      </c>
      <c r="AX433" s="4">
        <v>6</v>
      </c>
      <c r="AY433" s="4">
        <v>2330.88</v>
      </c>
      <c r="AZ433" s="4">
        <v>18</v>
      </c>
      <c r="BA433" s="4">
        <v>2139.89</v>
      </c>
      <c r="BB433" s="4">
        <v>11</v>
      </c>
      <c r="BC433" s="4">
        <v>0</v>
      </c>
      <c r="BD433" s="4">
        <v>0</v>
      </c>
      <c r="BE433" s="4">
        <v>5287.23</v>
      </c>
      <c r="BF433" s="4">
        <v>24</v>
      </c>
      <c r="BQ433" s="3">
        <f t="shared" si="14"/>
        <v>56920.7</v>
      </c>
      <c r="BR433" s="3">
        <f t="shared" si="13"/>
        <v>316</v>
      </c>
    </row>
    <row r="434" spans="1:70" x14ac:dyDescent="0.25">
      <c r="A434" s="4" t="s">
        <v>2558</v>
      </c>
      <c r="B434" t="s">
        <v>96</v>
      </c>
      <c r="C434" s="338" t="s">
        <v>2012</v>
      </c>
      <c r="D434" s="213" t="s">
        <v>1103</v>
      </c>
      <c r="E434" s="213" t="s">
        <v>139</v>
      </c>
      <c r="F434" s="213" t="s">
        <v>130</v>
      </c>
      <c r="G434" s="4">
        <v>5172.17</v>
      </c>
      <c r="H434" s="4">
        <v>28</v>
      </c>
      <c r="I434" s="4">
        <v>8352.2099999999991</v>
      </c>
      <c r="J434" s="4">
        <v>34</v>
      </c>
      <c r="K434" s="4">
        <v>3748.04</v>
      </c>
      <c r="L434" s="4">
        <v>19</v>
      </c>
      <c r="M434" s="4">
        <v>5779.01</v>
      </c>
      <c r="N434" s="4">
        <v>27</v>
      </c>
      <c r="O434" s="4">
        <v>5222.29</v>
      </c>
      <c r="P434" s="4">
        <v>16</v>
      </c>
      <c r="Q434" s="4">
        <v>0</v>
      </c>
      <c r="R434" s="4">
        <v>0</v>
      </c>
      <c r="S434" s="4">
        <v>3026.06</v>
      </c>
      <c r="T434" s="4">
        <v>15</v>
      </c>
      <c r="U434" s="4">
        <v>2921.05</v>
      </c>
      <c r="V434" s="4">
        <v>13</v>
      </c>
      <c r="W434" s="4">
        <v>5282.04</v>
      </c>
      <c r="X434" s="4">
        <v>25</v>
      </c>
      <c r="Y434" s="4">
        <v>3879.07</v>
      </c>
      <c r="Z434" s="4">
        <v>23</v>
      </c>
      <c r="AA434" s="4">
        <v>2769.07</v>
      </c>
      <c r="AB434" s="4">
        <v>13</v>
      </c>
      <c r="AC434" s="4">
        <v>0</v>
      </c>
      <c r="AD434" s="4">
        <v>0</v>
      </c>
      <c r="AE434" s="4">
        <v>3905.05</v>
      </c>
      <c r="AF434" s="4">
        <v>20</v>
      </c>
      <c r="AG434" s="4">
        <v>3617.1</v>
      </c>
      <c r="AH434" s="4">
        <v>15</v>
      </c>
      <c r="AI434" s="4">
        <v>5274.1</v>
      </c>
      <c r="AJ434" s="4">
        <v>20</v>
      </c>
      <c r="AK434" s="4">
        <v>4030.03</v>
      </c>
      <c r="AL434" s="4">
        <v>21</v>
      </c>
      <c r="AM434" s="4">
        <v>2993.02</v>
      </c>
      <c r="AN434" s="4">
        <v>20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2877.02</v>
      </c>
      <c r="AV434" s="4">
        <v>19</v>
      </c>
      <c r="AW434" s="4">
        <v>3351.85</v>
      </c>
      <c r="AX434" s="4">
        <v>15</v>
      </c>
      <c r="AY434" s="4">
        <v>5631.7</v>
      </c>
      <c r="AZ434" s="4">
        <v>26</v>
      </c>
      <c r="BA434" s="4">
        <v>4198.93</v>
      </c>
      <c r="BB434" s="4">
        <v>18</v>
      </c>
      <c r="BC434" s="4">
        <v>3753.8</v>
      </c>
      <c r="BD434" s="4">
        <v>20</v>
      </c>
      <c r="BE434" s="4">
        <v>0</v>
      </c>
      <c r="BF434" s="4">
        <v>0</v>
      </c>
      <c r="BQ434" s="3">
        <f t="shared" si="14"/>
        <v>85783.61</v>
      </c>
      <c r="BR434" s="3">
        <f t="shared" si="13"/>
        <v>407</v>
      </c>
    </row>
    <row r="435" spans="1:70" x14ac:dyDescent="0.25">
      <c r="A435" s="4" t="s">
        <v>2559</v>
      </c>
      <c r="B435" t="s">
        <v>97</v>
      </c>
      <c r="C435" s="338" t="s">
        <v>2013</v>
      </c>
      <c r="D435" s="213" t="s">
        <v>1104</v>
      </c>
      <c r="E435" s="213" t="s">
        <v>163</v>
      </c>
      <c r="F435" s="213" t="s">
        <v>129</v>
      </c>
      <c r="G435" s="4">
        <v>1075.04</v>
      </c>
      <c r="H435" s="4">
        <v>7</v>
      </c>
      <c r="I435" s="4">
        <v>1918.06</v>
      </c>
      <c r="J435" s="4">
        <v>11</v>
      </c>
      <c r="K435" s="4">
        <v>0</v>
      </c>
      <c r="L435" s="4">
        <v>0</v>
      </c>
      <c r="M435" s="4">
        <v>1093.01</v>
      </c>
      <c r="N435" s="4">
        <v>6</v>
      </c>
      <c r="O435" s="4">
        <v>0</v>
      </c>
      <c r="P435" s="4">
        <v>0</v>
      </c>
      <c r="Q435" s="4">
        <v>0</v>
      </c>
      <c r="R435" s="4">
        <v>0</v>
      </c>
      <c r="S435" s="4">
        <v>1050.02</v>
      </c>
      <c r="T435" s="4">
        <v>7</v>
      </c>
      <c r="U435" s="4">
        <v>458.01</v>
      </c>
      <c r="V435" s="4">
        <v>4</v>
      </c>
      <c r="W435" s="4">
        <v>900</v>
      </c>
      <c r="X435" s="4">
        <v>6</v>
      </c>
      <c r="Y435" s="4">
        <v>150</v>
      </c>
      <c r="Z435" s="4">
        <v>1</v>
      </c>
      <c r="AA435" s="4">
        <v>596</v>
      </c>
      <c r="AB435" s="4">
        <v>4</v>
      </c>
      <c r="AC435" s="4">
        <v>0</v>
      </c>
      <c r="AD435" s="4">
        <v>0</v>
      </c>
      <c r="AE435" s="4">
        <v>150</v>
      </c>
      <c r="AF435" s="4">
        <v>1</v>
      </c>
      <c r="AG435" s="4">
        <v>384.01</v>
      </c>
      <c r="AH435" s="4">
        <v>2</v>
      </c>
      <c r="AI435" s="4">
        <v>1275</v>
      </c>
      <c r="AJ435" s="4">
        <v>5</v>
      </c>
      <c r="AK435" s="4">
        <v>1267</v>
      </c>
      <c r="AL435" s="4">
        <v>9</v>
      </c>
      <c r="AM435" s="4">
        <v>825</v>
      </c>
      <c r="AN435" s="4">
        <v>2</v>
      </c>
      <c r="AO435" s="4">
        <v>649.01</v>
      </c>
      <c r="AP435" s="4">
        <v>3</v>
      </c>
      <c r="AQ435" s="4">
        <v>75</v>
      </c>
      <c r="AR435" s="4">
        <v>1</v>
      </c>
      <c r="AS435" s="4">
        <v>0</v>
      </c>
      <c r="AT435" s="4">
        <v>0</v>
      </c>
      <c r="AU435" s="4">
        <v>247</v>
      </c>
      <c r="AV435" s="4">
        <v>2</v>
      </c>
      <c r="AW435" s="4">
        <v>225</v>
      </c>
      <c r="AX435" s="4">
        <v>1</v>
      </c>
      <c r="AY435" s="4">
        <v>1212.97</v>
      </c>
      <c r="AZ435" s="4">
        <v>8</v>
      </c>
      <c r="BA435" s="4">
        <v>930.96</v>
      </c>
      <c r="BB435" s="4">
        <v>7</v>
      </c>
      <c r="BC435" s="4">
        <v>830.94</v>
      </c>
      <c r="BD435" s="4">
        <v>5</v>
      </c>
      <c r="BE435" s="4">
        <v>1523.11</v>
      </c>
      <c r="BF435" s="4">
        <v>9</v>
      </c>
      <c r="BQ435" s="3">
        <f t="shared" si="14"/>
        <v>16835.14</v>
      </c>
      <c r="BR435" s="3">
        <f t="shared" si="13"/>
        <v>101</v>
      </c>
    </row>
    <row r="436" spans="1:70" x14ac:dyDescent="0.25">
      <c r="A436" s="4" t="s">
        <v>2560</v>
      </c>
      <c r="B436" t="s">
        <v>97</v>
      </c>
      <c r="C436" s="338" t="s">
        <v>2014</v>
      </c>
      <c r="D436" s="213" t="s">
        <v>1105</v>
      </c>
      <c r="E436" s="213" t="s">
        <v>163</v>
      </c>
      <c r="F436" s="213" t="s">
        <v>129</v>
      </c>
      <c r="G436" s="4">
        <v>901.03</v>
      </c>
      <c r="H436" s="4">
        <v>6</v>
      </c>
      <c r="I436" s="4">
        <v>0</v>
      </c>
      <c r="J436" s="4">
        <v>0</v>
      </c>
      <c r="K436" s="4">
        <v>853.03</v>
      </c>
      <c r="L436" s="4">
        <v>5</v>
      </c>
      <c r="M436" s="4">
        <v>468</v>
      </c>
      <c r="N436" s="4">
        <v>1</v>
      </c>
      <c r="O436" s="4">
        <v>627.02</v>
      </c>
      <c r="P436" s="4">
        <v>4</v>
      </c>
      <c r="Q436" s="4">
        <v>321</v>
      </c>
      <c r="R436" s="4">
        <v>4</v>
      </c>
      <c r="S436" s="4">
        <v>0</v>
      </c>
      <c r="T436" s="4">
        <v>0</v>
      </c>
      <c r="U436" s="4">
        <v>0</v>
      </c>
      <c r="V436" s="4">
        <v>0</v>
      </c>
      <c r="W436" s="4">
        <v>853.06</v>
      </c>
      <c r="X436" s="4">
        <v>5</v>
      </c>
      <c r="Y436" s="4">
        <v>300.02</v>
      </c>
      <c r="Z436" s="4">
        <v>2</v>
      </c>
      <c r="AA436" s="4">
        <v>694</v>
      </c>
      <c r="AB436" s="4">
        <v>4</v>
      </c>
      <c r="AC436" s="4">
        <v>1244.02</v>
      </c>
      <c r="AD436" s="4">
        <v>8</v>
      </c>
      <c r="AE436" s="4">
        <v>806.02</v>
      </c>
      <c r="AF436" s="4">
        <v>6</v>
      </c>
      <c r="AG436" s="4">
        <v>0</v>
      </c>
      <c r="AH436" s="4">
        <v>0</v>
      </c>
      <c r="AI436" s="4">
        <v>521.04999999999995</v>
      </c>
      <c r="AJ436" s="4">
        <v>3</v>
      </c>
      <c r="AK436" s="4">
        <v>567.01</v>
      </c>
      <c r="AL436" s="4">
        <v>3</v>
      </c>
      <c r="AM436" s="4">
        <v>1145</v>
      </c>
      <c r="AN436" s="4">
        <v>6</v>
      </c>
      <c r="AO436" s="4">
        <v>0</v>
      </c>
      <c r="AP436" s="4">
        <v>0</v>
      </c>
      <c r="AQ436" s="4">
        <v>0</v>
      </c>
      <c r="AR436" s="4">
        <v>0</v>
      </c>
      <c r="AS436" s="4">
        <v>1179.01</v>
      </c>
      <c r="AT436" s="4">
        <v>7</v>
      </c>
      <c r="AU436" s="4">
        <v>0</v>
      </c>
      <c r="AV436" s="4">
        <v>0</v>
      </c>
      <c r="AW436" s="4">
        <v>369.98</v>
      </c>
      <c r="AX436" s="4">
        <v>2</v>
      </c>
      <c r="AY436" s="4">
        <v>846.96</v>
      </c>
      <c r="AZ436" s="4">
        <v>5</v>
      </c>
      <c r="BA436" s="4">
        <v>717.96</v>
      </c>
      <c r="BB436" s="4">
        <v>5</v>
      </c>
      <c r="BC436" s="4">
        <v>0</v>
      </c>
      <c r="BD436" s="4">
        <v>0</v>
      </c>
      <c r="BE436" s="4">
        <v>0</v>
      </c>
      <c r="BF436" s="4">
        <v>0</v>
      </c>
      <c r="BQ436" s="3">
        <f t="shared" si="14"/>
        <v>12414.170000000002</v>
      </c>
      <c r="BR436" s="3">
        <f t="shared" si="13"/>
        <v>76</v>
      </c>
    </row>
    <row r="437" spans="1:70" x14ac:dyDescent="0.25">
      <c r="A437" s="4" t="s">
        <v>2561</v>
      </c>
      <c r="B437" t="s">
        <v>97</v>
      </c>
      <c r="C437" s="338" t="s">
        <v>2015</v>
      </c>
      <c r="D437" s="213" t="s">
        <v>1106</v>
      </c>
      <c r="E437" s="213" t="s">
        <v>163</v>
      </c>
      <c r="F437" s="213" t="s">
        <v>129</v>
      </c>
      <c r="G437" s="4">
        <v>458.99</v>
      </c>
      <c r="H437" s="4">
        <v>4</v>
      </c>
      <c r="I437" s="4">
        <v>0</v>
      </c>
      <c r="J437" s="4">
        <v>0</v>
      </c>
      <c r="K437" s="4">
        <v>859.02</v>
      </c>
      <c r="L437" s="4">
        <v>5</v>
      </c>
      <c r="M437" s="4">
        <v>480.01</v>
      </c>
      <c r="N437" s="4">
        <v>1</v>
      </c>
      <c r="O437" s="4">
        <v>562.02</v>
      </c>
      <c r="P437" s="4">
        <v>6</v>
      </c>
      <c r="Q437" s="4">
        <v>282</v>
      </c>
      <c r="R437" s="4">
        <v>3</v>
      </c>
      <c r="S437" s="4">
        <v>0</v>
      </c>
      <c r="T437" s="4">
        <v>0</v>
      </c>
      <c r="U437" s="4">
        <v>535.02</v>
      </c>
      <c r="V437" s="4">
        <v>5</v>
      </c>
      <c r="W437" s="4">
        <v>709.01</v>
      </c>
      <c r="X437" s="4">
        <v>7</v>
      </c>
      <c r="Y437" s="4">
        <v>637</v>
      </c>
      <c r="Z437" s="4">
        <v>4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649.02</v>
      </c>
      <c r="AP437" s="4">
        <v>4</v>
      </c>
      <c r="AQ437" s="4">
        <v>648</v>
      </c>
      <c r="AR437" s="4">
        <v>5</v>
      </c>
      <c r="AS437" s="4">
        <v>0</v>
      </c>
      <c r="AT437" s="4">
        <v>0</v>
      </c>
      <c r="AU437" s="4">
        <v>22</v>
      </c>
      <c r="AV437" s="4">
        <v>1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Q437" s="3">
        <f t="shared" si="14"/>
        <v>5842.09</v>
      </c>
      <c r="BR437" s="3">
        <f t="shared" si="13"/>
        <v>45</v>
      </c>
    </row>
    <row r="438" spans="1:70" x14ac:dyDescent="0.25">
      <c r="A438" s="4" t="s">
        <v>2562</v>
      </c>
      <c r="B438" t="s">
        <v>97</v>
      </c>
      <c r="C438" s="338" t="s">
        <v>2016</v>
      </c>
      <c r="D438" s="213" t="s">
        <v>1107</v>
      </c>
      <c r="E438" s="213" t="s">
        <v>163</v>
      </c>
      <c r="F438" s="213" t="s">
        <v>129</v>
      </c>
      <c r="G438" s="4">
        <v>934.01</v>
      </c>
      <c r="H438" s="4">
        <v>5</v>
      </c>
      <c r="I438" s="4">
        <v>2475.04</v>
      </c>
      <c r="J438" s="4">
        <v>16</v>
      </c>
      <c r="K438" s="4">
        <v>442.01</v>
      </c>
      <c r="L438" s="4">
        <v>3</v>
      </c>
      <c r="M438" s="4">
        <v>1501</v>
      </c>
      <c r="N438" s="4">
        <v>10</v>
      </c>
      <c r="O438" s="4">
        <v>0</v>
      </c>
      <c r="P438" s="4">
        <v>0</v>
      </c>
      <c r="Q438" s="4">
        <v>0</v>
      </c>
      <c r="R438" s="4">
        <v>0</v>
      </c>
      <c r="S438" s="4">
        <v>202</v>
      </c>
      <c r="T438" s="4">
        <v>4</v>
      </c>
      <c r="U438" s="4">
        <v>344.01</v>
      </c>
      <c r="V438" s="4">
        <v>3</v>
      </c>
      <c r="W438" s="4">
        <v>1539</v>
      </c>
      <c r="X438" s="4">
        <v>9</v>
      </c>
      <c r="Y438" s="4">
        <v>577</v>
      </c>
      <c r="Z438" s="4">
        <v>5</v>
      </c>
      <c r="AA438" s="4">
        <v>336.01</v>
      </c>
      <c r="AB438" s="4">
        <v>3</v>
      </c>
      <c r="AC438" s="4">
        <v>176</v>
      </c>
      <c r="AD438" s="4">
        <v>3</v>
      </c>
      <c r="AE438" s="4">
        <v>0</v>
      </c>
      <c r="AF438" s="4">
        <v>0</v>
      </c>
      <c r="AG438" s="4">
        <v>249.01</v>
      </c>
      <c r="AH438" s="4">
        <v>3</v>
      </c>
      <c r="AI438" s="4">
        <v>1638.05</v>
      </c>
      <c r="AJ438" s="4">
        <v>14</v>
      </c>
      <c r="AK438" s="4">
        <v>1634.01</v>
      </c>
      <c r="AL438" s="4">
        <v>11</v>
      </c>
      <c r="AM438" s="4">
        <v>1468</v>
      </c>
      <c r="AN438" s="4">
        <v>6</v>
      </c>
      <c r="AO438" s="4">
        <v>0</v>
      </c>
      <c r="AP438" s="4">
        <v>0</v>
      </c>
      <c r="AQ438" s="4">
        <v>0</v>
      </c>
      <c r="AR438" s="4">
        <v>0</v>
      </c>
      <c r="AS438" s="4">
        <v>674.01</v>
      </c>
      <c r="AT438" s="4">
        <v>4</v>
      </c>
      <c r="AU438" s="4">
        <v>75</v>
      </c>
      <c r="AV438" s="4">
        <v>1</v>
      </c>
      <c r="AW438" s="4">
        <v>978.99</v>
      </c>
      <c r="AX438" s="4">
        <v>7</v>
      </c>
      <c r="AY438" s="4">
        <v>1392.92</v>
      </c>
      <c r="AZ438" s="4">
        <v>7</v>
      </c>
      <c r="BA438" s="4">
        <v>702.96</v>
      </c>
      <c r="BB438" s="4">
        <v>4</v>
      </c>
      <c r="BC438" s="4">
        <v>1075.95</v>
      </c>
      <c r="BD438" s="4">
        <v>6</v>
      </c>
      <c r="BE438" s="4">
        <v>528.01</v>
      </c>
      <c r="BF438" s="4">
        <v>4</v>
      </c>
      <c r="BQ438" s="3">
        <f t="shared" si="14"/>
        <v>18942.989999999998</v>
      </c>
      <c r="BR438" s="3">
        <f t="shared" si="13"/>
        <v>128</v>
      </c>
    </row>
    <row r="439" spans="1:70" x14ac:dyDescent="0.25">
      <c r="A439" s="4" t="s">
        <v>2563</v>
      </c>
      <c r="B439" t="s">
        <v>98</v>
      </c>
      <c r="C439" s="338" t="s">
        <v>2017</v>
      </c>
      <c r="D439" s="213" t="s">
        <v>1108</v>
      </c>
      <c r="E439" s="213" t="s">
        <v>150</v>
      </c>
      <c r="F439" s="213" t="s">
        <v>133</v>
      </c>
      <c r="G439" s="4">
        <v>1471.03</v>
      </c>
      <c r="H439" s="4">
        <v>11</v>
      </c>
      <c r="I439" s="4">
        <v>2447.04</v>
      </c>
      <c r="J439" s="4">
        <v>17</v>
      </c>
      <c r="K439" s="4">
        <v>699.02</v>
      </c>
      <c r="L439" s="4">
        <v>4</v>
      </c>
      <c r="M439" s="4">
        <v>826.02</v>
      </c>
      <c r="N439" s="4">
        <v>5</v>
      </c>
      <c r="O439" s="4">
        <v>567.02</v>
      </c>
      <c r="P439" s="4">
        <v>4</v>
      </c>
      <c r="Q439" s="4">
        <v>954.03</v>
      </c>
      <c r="R439" s="4">
        <v>5</v>
      </c>
      <c r="S439" s="4">
        <v>1456.03</v>
      </c>
      <c r="T439" s="4">
        <v>9</v>
      </c>
      <c r="U439" s="4">
        <v>365.01</v>
      </c>
      <c r="V439" s="4">
        <v>2</v>
      </c>
      <c r="W439" s="4">
        <v>0</v>
      </c>
      <c r="X439" s="4">
        <v>0</v>
      </c>
      <c r="Y439" s="4">
        <v>349.01</v>
      </c>
      <c r="Z439" s="4">
        <v>2</v>
      </c>
      <c r="AA439" s="4">
        <v>1150</v>
      </c>
      <c r="AB439" s="4">
        <v>9</v>
      </c>
      <c r="AC439" s="4">
        <v>0</v>
      </c>
      <c r="AD439" s="4">
        <v>0</v>
      </c>
      <c r="AE439" s="4">
        <v>1109</v>
      </c>
      <c r="AF439" s="4">
        <v>9</v>
      </c>
      <c r="AG439" s="4">
        <v>584</v>
      </c>
      <c r="AH439" s="4">
        <v>7</v>
      </c>
      <c r="AI439" s="4">
        <v>300</v>
      </c>
      <c r="AJ439" s="4">
        <v>2</v>
      </c>
      <c r="AK439" s="4">
        <v>800.01</v>
      </c>
      <c r="AL439" s="4">
        <v>7</v>
      </c>
      <c r="AM439" s="4">
        <v>924</v>
      </c>
      <c r="AN439" s="4">
        <v>8</v>
      </c>
      <c r="AO439" s="4">
        <v>0</v>
      </c>
      <c r="AP439" s="4">
        <v>0</v>
      </c>
      <c r="AQ439" s="4">
        <v>525</v>
      </c>
      <c r="AR439" s="4">
        <v>4</v>
      </c>
      <c r="AS439" s="4">
        <v>300.01</v>
      </c>
      <c r="AT439" s="4">
        <v>2</v>
      </c>
      <c r="AU439" s="4">
        <v>450</v>
      </c>
      <c r="AV439" s="4">
        <v>3</v>
      </c>
      <c r="AW439" s="4">
        <v>375.98</v>
      </c>
      <c r="AX439" s="4">
        <v>2</v>
      </c>
      <c r="AY439" s="4">
        <v>1357.91</v>
      </c>
      <c r="AZ439" s="4">
        <v>6</v>
      </c>
      <c r="BA439" s="4">
        <v>0</v>
      </c>
      <c r="BB439" s="4">
        <v>0</v>
      </c>
      <c r="BC439" s="4">
        <v>0</v>
      </c>
      <c r="BD439" s="4">
        <v>0</v>
      </c>
      <c r="BE439" s="4">
        <v>813.02</v>
      </c>
      <c r="BF439" s="4">
        <v>4</v>
      </c>
      <c r="BQ439" s="3">
        <f t="shared" si="14"/>
        <v>17823.140000000003</v>
      </c>
      <c r="BR439" s="3">
        <f t="shared" si="13"/>
        <v>122</v>
      </c>
    </row>
    <row r="440" spans="1:70" x14ac:dyDescent="0.25">
      <c r="A440" s="4" t="s">
        <v>2564</v>
      </c>
      <c r="B440" t="s">
        <v>98</v>
      </c>
      <c r="C440" s="338" t="s">
        <v>2018</v>
      </c>
      <c r="D440" s="213" t="s">
        <v>1109</v>
      </c>
      <c r="E440" s="213" t="s">
        <v>150</v>
      </c>
      <c r="F440" s="213" t="s">
        <v>133</v>
      </c>
      <c r="G440" s="4">
        <v>750.02</v>
      </c>
      <c r="H440" s="4">
        <v>5</v>
      </c>
      <c r="I440" s="4">
        <v>1270.05</v>
      </c>
      <c r="J440" s="4">
        <v>7</v>
      </c>
      <c r="K440" s="4">
        <v>249</v>
      </c>
      <c r="L440" s="4">
        <v>3</v>
      </c>
      <c r="M440" s="4">
        <v>844.03</v>
      </c>
      <c r="N440" s="4">
        <v>4</v>
      </c>
      <c r="O440" s="4">
        <v>1468.03</v>
      </c>
      <c r="P440" s="4">
        <v>14</v>
      </c>
      <c r="Q440" s="4">
        <v>318.01</v>
      </c>
      <c r="R440" s="4">
        <v>2</v>
      </c>
      <c r="S440" s="4">
        <v>0</v>
      </c>
      <c r="T440" s="4">
        <v>0</v>
      </c>
      <c r="U440" s="4">
        <v>1328.03</v>
      </c>
      <c r="V440" s="4">
        <v>8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450</v>
      </c>
      <c r="AJ440" s="4">
        <v>4</v>
      </c>
      <c r="AK440" s="4">
        <v>225</v>
      </c>
      <c r="AL440" s="4">
        <v>2</v>
      </c>
      <c r="AM440" s="4">
        <v>145</v>
      </c>
      <c r="AN440" s="4">
        <v>2</v>
      </c>
      <c r="AO440" s="4">
        <v>0</v>
      </c>
      <c r="AP440" s="4">
        <v>0</v>
      </c>
      <c r="AQ440" s="4">
        <v>172</v>
      </c>
      <c r="AR440" s="4">
        <v>2</v>
      </c>
      <c r="AS440" s="4">
        <v>199.01</v>
      </c>
      <c r="AT440" s="4">
        <v>1</v>
      </c>
      <c r="AU440" s="4">
        <v>0</v>
      </c>
      <c r="AV440" s="4">
        <v>0</v>
      </c>
      <c r="AW440" s="4">
        <v>210.98</v>
      </c>
      <c r="AX440" s="4">
        <v>1</v>
      </c>
      <c r="AY440" s="4">
        <v>285.98</v>
      </c>
      <c r="AZ440" s="4">
        <v>2</v>
      </c>
      <c r="BA440" s="4">
        <v>536.96</v>
      </c>
      <c r="BB440" s="4">
        <v>3</v>
      </c>
      <c r="BC440" s="4">
        <v>435.98</v>
      </c>
      <c r="BD440" s="4">
        <v>3</v>
      </c>
      <c r="BE440" s="4">
        <v>921.04</v>
      </c>
      <c r="BF440" s="4">
        <v>5</v>
      </c>
      <c r="BQ440" s="3">
        <f t="shared" si="14"/>
        <v>9809.119999999999</v>
      </c>
      <c r="BR440" s="3">
        <f t="shared" si="13"/>
        <v>68</v>
      </c>
    </row>
    <row r="441" spans="1:70" x14ac:dyDescent="0.25">
      <c r="A441" s="4" t="s">
        <v>2565</v>
      </c>
      <c r="B441" t="s">
        <v>98</v>
      </c>
      <c r="C441" s="338" t="s">
        <v>1752</v>
      </c>
      <c r="D441" s="213" t="s">
        <v>843</v>
      </c>
      <c r="E441" s="213" t="s">
        <v>150</v>
      </c>
      <c r="F441" s="213" t="s">
        <v>133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1777.06</v>
      </c>
      <c r="AD441" s="4">
        <v>13</v>
      </c>
      <c r="AE441" s="4">
        <v>0</v>
      </c>
      <c r="AF441" s="4">
        <v>1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Q441" s="3">
        <f t="shared" si="14"/>
        <v>1777.06</v>
      </c>
      <c r="BR441" s="3">
        <f t="shared" si="13"/>
        <v>14</v>
      </c>
    </row>
    <row r="442" spans="1:70" x14ac:dyDescent="0.25">
      <c r="A442" s="4" t="s">
        <v>2566</v>
      </c>
      <c r="B442" t="s">
        <v>98</v>
      </c>
      <c r="C442" s="338" t="s">
        <v>1753</v>
      </c>
      <c r="D442" s="213" t="s">
        <v>844</v>
      </c>
      <c r="E442" s="213" t="s">
        <v>150</v>
      </c>
      <c r="F442" s="213" t="s">
        <v>133</v>
      </c>
      <c r="G442" s="4">
        <v>0</v>
      </c>
      <c r="H442" s="4">
        <v>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13</v>
      </c>
      <c r="V442" s="4">
        <v>1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Q442" s="3">
        <f t="shared" si="14"/>
        <v>13</v>
      </c>
      <c r="BR442" s="3">
        <f t="shared" si="13"/>
        <v>2</v>
      </c>
    </row>
    <row r="443" spans="1:70" x14ac:dyDescent="0.25">
      <c r="A443" s="4" t="s">
        <v>2567</v>
      </c>
      <c r="B443" t="s">
        <v>98</v>
      </c>
      <c r="C443" s="338" t="s">
        <v>1755</v>
      </c>
      <c r="D443" s="213" t="s">
        <v>846</v>
      </c>
      <c r="E443" s="213" t="s">
        <v>150</v>
      </c>
      <c r="F443" s="213" t="s">
        <v>133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400.02</v>
      </c>
      <c r="X443" s="4">
        <v>4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Q443" s="3">
        <f t="shared" si="14"/>
        <v>400.02</v>
      </c>
      <c r="BR443" s="3">
        <f t="shared" si="13"/>
        <v>4</v>
      </c>
    </row>
    <row r="444" spans="1:70" x14ac:dyDescent="0.25">
      <c r="A444" s="4" t="s">
        <v>2568</v>
      </c>
      <c r="B444" t="s">
        <v>98</v>
      </c>
      <c r="C444" s="338" t="s">
        <v>2019</v>
      </c>
      <c r="D444" s="213" t="s">
        <v>1110</v>
      </c>
      <c r="E444" s="213" t="s">
        <v>150</v>
      </c>
      <c r="F444" s="213" t="s">
        <v>133</v>
      </c>
      <c r="G444" s="4">
        <v>1658.04</v>
      </c>
      <c r="H444" s="4">
        <v>11</v>
      </c>
      <c r="I444" s="4">
        <v>1987.03</v>
      </c>
      <c r="J444" s="4">
        <v>13</v>
      </c>
      <c r="K444" s="4">
        <v>750.01</v>
      </c>
      <c r="L444" s="4">
        <v>5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706</v>
      </c>
      <c r="AJ444" s="4">
        <v>6</v>
      </c>
      <c r="AK444" s="4">
        <v>1099.01</v>
      </c>
      <c r="AL444" s="4">
        <v>7</v>
      </c>
      <c r="AM444" s="4">
        <v>0</v>
      </c>
      <c r="AN444" s="4">
        <v>0</v>
      </c>
      <c r="AO444" s="4">
        <v>121</v>
      </c>
      <c r="AP444" s="4">
        <v>2</v>
      </c>
      <c r="AQ444" s="4">
        <v>574</v>
      </c>
      <c r="AR444" s="4">
        <v>5</v>
      </c>
      <c r="AS444" s="4">
        <v>729.01</v>
      </c>
      <c r="AT444" s="4">
        <v>4</v>
      </c>
      <c r="AU444" s="4">
        <v>751</v>
      </c>
      <c r="AV444" s="4">
        <v>5</v>
      </c>
      <c r="AW444" s="4">
        <v>1114.98</v>
      </c>
      <c r="AX444" s="4">
        <v>5</v>
      </c>
      <c r="AY444" s="4">
        <v>0</v>
      </c>
      <c r="AZ444" s="4">
        <v>0</v>
      </c>
      <c r="BA444" s="4">
        <v>274.01</v>
      </c>
      <c r="BB444" s="4">
        <v>2</v>
      </c>
      <c r="BC444" s="4">
        <v>360.98</v>
      </c>
      <c r="BD444" s="4">
        <v>2</v>
      </c>
      <c r="BE444" s="4">
        <v>0</v>
      </c>
      <c r="BF444" s="4">
        <v>0</v>
      </c>
      <c r="BQ444" s="3">
        <f t="shared" si="14"/>
        <v>10125.07</v>
      </c>
      <c r="BR444" s="3">
        <f t="shared" si="13"/>
        <v>67</v>
      </c>
    </row>
    <row r="445" spans="1:70" x14ac:dyDescent="0.25">
      <c r="A445" s="4" t="s">
        <v>2569</v>
      </c>
      <c r="B445" t="s">
        <v>98</v>
      </c>
      <c r="C445" s="338" t="s">
        <v>2020</v>
      </c>
      <c r="D445" s="213" t="s">
        <v>1111</v>
      </c>
      <c r="E445" s="213" t="s">
        <v>150</v>
      </c>
      <c r="F445" s="213" t="s">
        <v>133</v>
      </c>
      <c r="G445" s="4">
        <v>1888.05</v>
      </c>
      <c r="H445" s="4">
        <v>12</v>
      </c>
      <c r="I445" s="4">
        <v>0</v>
      </c>
      <c r="J445" s="4">
        <v>0</v>
      </c>
      <c r="K445" s="4">
        <v>975.02</v>
      </c>
      <c r="L445" s="4">
        <v>7</v>
      </c>
      <c r="M445" s="4">
        <v>839.01</v>
      </c>
      <c r="N445" s="4">
        <v>7</v>
      </c>
      <c r="O445" s="4">
        <v>0</v>
      </c>
      <c r="P445" s="4">
        <v>0</v>
      </c>
      <c r="Q445" s="4">
        <v>694.01</v>
      </c>
      <c r="R445" s="4">
        <v>5</v>
      </c>
      <c r="S445" s="4">
        <v>2631.03</v>
      </c>
      <c r="T445" s="4">
        <v>15</v>
      </c>
      <c r="U445" s="4">
        <v>806</v>
      </c>
      <c r="V445" s="4">
        <v>6</v>
      </c>
      <c r="W445" s="4">
        <v>2597.0300000000002</v>
      </c>
      <c r="X445" s="4">
        <v>18</v>
      </c>
      <c r="Y445" s="4">
        <v>603</v>
      </c>
      <c r="Z445" s="4">
        <v>5</v>
      </c>
      <c r="AA445" s="4">
        <v>520</v>
      </c>
      <c r="AB445" s="4">
        <v>5</v>
      </c>
      <c r="AC445" s="4">
        <v>1378.99</v>
      </c>
      <c r="AD445" s="4">
        <v>9</v>
      </c>
      <c r="AE445" s="4">
        <v>997</v>
      </c>
      <c r="AF445" s="4">
        <v>6</v>
      </c>
      <c r="AG445" s="4">
        <v>446.01</v>
      </c>
      <c r="AH445" s="4">
        <v>4</v>
      </c>
      <c r="AI445" s="4">
        <v>454.01</v>
      </c>
      <c r="AJ445" s="4">
        <v>4</v>
      </c>
      <c r="AK445" s="4">
        <v>0</v>
      </c>
      <c r="AL445" s="4">
        <v>0</v>
      </c>
      <c r="AM445" s="4">
        <v>349.01</v>
      </c>
      <c r="AN445" s="4">
        <v>2</v>
      </c>
      <c r="AO445" s="4">
        <v>75</v>
      </c>
      <c r="AP445" s="4">
        <v>1</v>
      </c>
      <c r="AQ445" s="4">
        <v>0</v>
      </c>
      <c r="AR445" s="4">
        <v>0</v>
      </c>
      <c r="AS445" s="4">
        <v>175</v>
      </c>
      <c r="AT445" s="4">
        <v>1</v>
      </c>
      <c r="AU445" s="4">
        <v>583</v>
      </c>
      <c r="AV445" s="4">
        <v>2</v>
      </c>
      <c r="AW445" s="4">
        <v>0</v>
      </c>
      <c r="AX445" s="4">
        <v>0</v>
      </c>
      <c r="AY445" s="4">
        <v>1316.93</v>
      </c>
      <c r="AZ445" s="4">
        <v>7</v>
      </c>
      <c r="BA445" s="4">
        <v>994.92</v>
      </c>
      <c r="BB445" s="4">
        <v>5</v>
      </c>
      <c r="BC445" s="4">
        <v>435.98</v>
      </c>
      <c r="BD445" s="4">
        <v>3</v>
      </c>
      <c r="BE445" s="4">
        <v>0</v>
      </c>
      <c r="BF445" s="4">
        <v>0</v>
      </c>
      <c r="BQ445" s="3">
        <f t="shared" si="14"/>
        <v>18759</v>
      </c>
      <c r="BR445" s="3">
        <f t="shared" si="13"/>
        <v>124</v>
      </c>
    </row>
    <row r="446" spans="1:70" x14ac:dyDescent="0.25">
      <c r="A446" s="4" t="s">
        <v>2570</v>
      </c>
      <c r="B446" t="s">
        <v>99</v>
      </c>
      <c r="C446" s="338" t="s">
        <v>1992</v>
      </c>
      <c r="D446" s="213" t="s">
        <v>1083</v>
      </c>
      <c r="E446" s="213" t="s">
        <v>142</v>
      </c>
      <c r="F446" s="213" t="s">
        <v>132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1275</v>
      </c>
      <c r="AF446" s="4">
        <v>1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150</v>
      </c>
      <c r="AN446" s="4">
        <v>1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Q446" s="3">
        <f t="shared" si="14"/>
        <v>1425</v>
      </c>
      <c r="BR446" s="3">
        <f t="shared" si="13"/>
        <v>2</v>
      </c>
    </row>
    <row r="447" spans="1:70" x14ac:dyDescent="0.25">
      <c r="A447" s="4" t="s">
        <v>2571</v>
      </c>
      <c r="B447" t="s">
        <v>99</v>
      </c>
      <c r="C447" s="338" t="s">
        <v>2021</v>
      </c>
      <c r="D447" s="213" t="s">
        <v>1112</v>
      </c>
      <c r="E447" s="213" t="s">
        <v>142</v>
      </c>
      <c r="F447" s="213" t="s">
        <v>132</v>
      </c>
      <c r="G447" s="4">
        <v>961.02</v>
      </c>
      <c r="H447" s="4">
        <v>7</v>
      </c>
      <c r="I447" s="4">
        <v>1371.05</v>
      </c>
      <c r="J447" s="4">
        <v>7</v>
      </c>
      <c r="K447" s="4">
        <v>0</v>
      </c>
      <c r="L447" s="4">
        <v>0</v>
      </c>
      <c r="M447" s="4">
        <v>1525.02</v>
      </c>
      <c r="N447" s="4">
        <v>8</v>
      </c>
      <c r="O447" s="4">
        <v>800</v>
      </c>
      <c r="P447" s="4">
        <v>6</v>
      </c>
      <c r="Q447" s="4">
        <v>2414.0100000000002</v>
      </c>
      <c r="R447" s="4">
        <v>10</v>
      </c>
      <c r="S447" s="4">
        <v>1770.01</v>
      </c>
      <c r="T447" s="4">
        <v>13</v>
      </c>
      <c r="U447" s="4">
        <v>1658.01</v>
      </c>
      <c r="V447" s="4">
        <v>10</v>
      </c>
      <c r="W447" s="4">
        <v>2192.9899999999998</v>
      </c>
      <c r="X447" s="4">
        <v>12</v>
      </c>
      <c r="Y447" s="4">
        <v>300</v>
      </c>
      <c r="Z447" s="4">
        <v>1</v>
      </c>
      <c r="AA447" s="4">
        <v>1075</v>
      </c>
      <c r="AB447" s="4">
        <v>7</v>
      </c>
      <c r="AC447" s="4">
        <v>1790.01</v>
      </c>
      <c r="AD447" s="4">
        <v>8</v>
      </c>
      <c r="AE447" s="4">
        <v>3506.02</v>
      </c>
      <c r="AF447" s="4">
        <v>15</v>
      </c>
      <c r="AG447" s="4">
        <v>2614</v>
      </c>
      <c r="AH447" s="4">
        <v>12</v>
      </c>
      <c r="AI447" s="4">
        <v>1000</v>
      </c>
      <c r="AJ447" s="4">
        <v>7</v>
      </c>
      <c r="AK447" s="4">
        <v>1267</v>
      </c>
      <c r="AL447" s="4">
        <v>7</v>
      </c>
      <c r="AM447" s="4">
        <v>0</v>
      </c>
      <c r="AN447" s="4">
        <v>0</v>
      </c>
      <c r="AO447" s="4">
        <v>2645</v>
      </c>
      <c r="AP447" s="4">
        <v>13</v>
      </c>
      <c r="AQ447" s="4">
        <v>2065</v>
      </c>
      <c r="AR447" s="4">
        <v>12</v>
      </c>
      <c r="AS447" s="4">
        <v>0</v>
      </c>
      <c r="AT447" s="4">
        <v>0</v>
      </c>
      <c r="AU447" s="4">
        <v>2334.02</v>
      </c>
      <c r="AV447" s="4">
        <v>12</v>
      </c>
      <c r="AW447" s="4">
        <v>897.94</v>
      </c>
      <c r="AX447" s="4">
        <v>5</v>
      </c>
      <c r="AY447" s="4">
        <v>1611.01</v>
      </c>
      <c r="AZ447" s="4">
        <v>11</v>
      </c>
      <c r="BA447" s="4">
        <v>1731.94</v>
      </c>
      <c r="BB447" s="4">
        <v>11</v>
      </c>
      <c r="BC447" s="4">
        <v>2189.02</v>
      </c>
      <c r="BD447" s="4">
        <v>11</v>
      </c>
      <c r="BE447" s="4">
        <v>0</v>
      </c>
      <c r="BF447" s="4">
        <v>0</v>
      </c>
      <c r="BQ447" s="3">
        <f t="shared" si="14"/>
        <v>37718.07</v>
      </c>
      <c r="BR447" s="3">
        <f t="shared" si="13"/>
        <v>205</v>
      </c>
    </row>
    <row r="448" spans="1:70" x14ac:dyDescent="0.25">
      <c r="A448" s="4" t="s">
        <v>2572</v>
      </c>
      <c r="B448" t="s">
        <v>99</v>
      </c>
      <c r="C448" s="338" t="s">
        <v>2022</v>
      </c>
      <c r="D448" s="213" t="s">
        <v>1113</v>
      </c>
      <c r="E448" s="213" t="s">
        <v>142</v>
      </c>
      <c r="F448" s="213" t="s">
        <v>132</v>
      </c>
      <c r="G448" s="4">
        <v>1470.04</v>
      </c>
      <c r="H448" s="4">
        <v>5</v>
      </c>
      <c r="I448" s="4">
        <v>0</v>
      </c>
      <c r="J448" s="4">
        <v>0</v>
      </c>
      <c r="K448" s="4">
        <v>2427.11</v>
      </c>
      <c r="L448" s="4">
        <v>12</v>
      </c>
      <c r="M448" s="4">
        <v>1894.08</v>
      </c>
      <c r="N448" s="4">
        <v>11</v>
      </c>
      <c r="O448" s="4">
        <v>3374.01</v>
      </c>
      <c r="P448" s="4">
        <v>14</v>
      </c>
      <c r="Q448" s="4">
        <v>1750</v>
      </c>
      <c r="R448" s="4">
        <v>10</v>
      </c>
      <c r="S448" s="4">
        <v>2899.99</v>
      </c>
      <c r="T448" s="4">
        <v>12</v>
      </c>
      <c r="U448" s="4">
        <v>1350.03</v>
      </c>
      <c r="V448" s="4">
        <v>7</v>
      </c>
      <c r="W448" s="4">
        <v>0</v>
      </c>
      <c r="X448" s="4">
        <v>0</v>
      </c>
      <c r="Y448" s="4">
        <v>3557</v>
      </c>
      <c r="Z448" s="4">
        <v>15</v>
      </c>
      <c r="AA448" s="4">
        <v>1725.01</v>
      </c>
      <c r="AB448" s="4">
        <v>10</v>
      </c>
      <c r="AC448" s="4">
        <v>2351</v>
      </c>
      <c r="AD448" s="4">
        <v>15</v>
      </c>
      <c r="AE448" s="4">
        <v>2733.99</v>
      </c>
      <c r="AF448" s="4">
        <v>11</v>
      </c>
      <c r="AG448" s="4">
        <v>1875</v>
      </c>
      <c r="AH448" s="4">
        <v>9</v>
      </c>
      <c r="AI448" s="4">
        <v>1299.01</v>
      </c>
      <c r="AJ448" s="4">
        <v>10</v>
      </c>
      <c r="AK448" s="4">
        <v>0</v>
      </c>
      <c r="AL448" s="4">
        <v>0</v>
      </c>
      <c r="AM448" s="4">
        <v>1549</v>
      </c>
      <c r="AN448" s="4">
        <v>7</v>
      </c>
      <c r="AO448" s="4">
        <v>2389.02</v>
      </c>
      <c r="AP448" s="4">
        <v>13</v>
      </c>
      <c r="AQ448" s="4">
        <v>2050</v>
      </c>
      <c r="AR448" s="4">
        <v>11</v>
      </c>
      <c r="AS448" s="4">
        <v>2011.03</v>
      </c>
      <c r="AT448" s="4">
        <v>8</v>
      </c>
      <c r="AU448" s="4">
        <v>729.01</v>
      </c>
      <c r="AV448" s="4">
        <v>5</v>
      </c>
      <c r="AW448" s="4">
        <v>3598.87</v>
      </c>
      <c r="AX448" s="4">
        <v>13</v>
      </c>
      <c r="AY448" s="4">
        <v>0</v>
      </c>
      <c r="AZ448" s="4">
        <v>0</v>
      </c>
      <c r="BA448" s="4">
        <v>2041.94</v>
      </c>
      <c r="BB448" s="4">
        <v>10</v>
      </c>
      <c r="BC448" s="4">
        <v>2980.86</v>
      </c>
      <c r="BD448" s="4">
        <v>14</v>
      </c>
      <c r="BE448" s="4">
        <v>2630.19</v>
      </c>
      <c r="BF448" s="4">
        <v>10</v>
      </c>
      <c r="BQ448" s="3">
        <f t="shared" si="14"/>
        <v>48686.19000000001</v>
      </c>
      <c r="BR448" s="3">
        <f t="shared" si="13"/>
        <v>232</v>
      </c>
    </row>
    <row r="449" spans="1:70" x14ac:dyDescent="0.25">
      <c r="A449" s="4" t="s">
        <v>2573</v>
      </c>
      <c r="B449" t="s">
        <v>99</v>
      </c>
      <c r="C449" s="338" t="s">
        <v>2023</v>
      </c>
      <c r="D449" s="213" t="s">
        <v>1114</v>
      </c>
      <c r="E449" s="213" t="s">
        <v>142</v>
      </c>
      <c r="F449" s="213" t="s">
        <v>132</v>
      </c>
      <c r="G449" s="4">
        <v>1189.03</v>
      </c>
      <c r="H449" s="4">
        <v>8</v>
      </c>
      <c r="I449" s="4">
        <v>1505.01</v>
      </c>
      <c r="J449" s="4">
        <v>11</v>
      </c>
      <c r="K449" s="4">
        <v>2039.05</v>
      </c>
      <c r="L449" s="4">
        <v>15</v>
      </c>
      <c r="M449" s="4">
        <v>0</v>
      </c>
      <c r="N449" s="4">
        <v>0</v>
      </c>
      <c r="O449" s="4">
        <v>5582.07</v>
      </c>
      <c r="P449" s="4">
        <v>18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1729.03</v>
      </c>
      <c r="Z449" s="4">
        <v>10</v>
      </c>
      <c r="AA449" s="4">
        <v>0</v>
      </c>
      <c r="AB449" s="4">
        <v>0</v>
      </c>
      <c r="AC449" s="4">
        <v>0</v>
      </c>
      <c r="AD449" s="4">
        <v>0</v>
      </c>
      <c r="AE449" s="4">
        <v>765</v>
      </c>
      <c r="AF449" s="4">
        <v>6</v>
      </c>
      <c r="AG449" s="4">
        <v>750.01</v>
      </c>
      <c r="AH449" s="4">
        <v>5</v>
      </c>
      <c r="AI449" s="4">
        <v>2449.0100000000002</v>
      </c>
      <c r="AJ449" s="4">
        <v>16</v>
      </c>
      <c r="AK449" s="4">
        <v>3739.07</v>
      </c>
      <c r="AL449" s="4">
        <v>21</v>
      </c>
      <c r="AM449" s="4">
        <v>915</v>
      </c>
      <c r="AN449" s="4">
        <v>6</v>
      </c>
      <c r="AO449" s="4">
        <v>949.02</v>
      </c>
      <c r="AP449" s="4">
        <v>6</v>
      </c>
      <c r="AQ449" s="4">
        <v>150</v>
      </c>
      <c r="AR449" s="4">
        <v>1</v>
      </c>
      <c r="AS449" s="4">
        <v>750</v>
      </c>
      <c r="AT449" s="4">
        <v>7</v>
      </c>
      <c r="AU449" s="4">
        <v>300</v>
      </c>
      <c r="AV449" s="4">
        <v>1</v>
      </c>
      <c r="AW449" s="4">
        <v>2622.84</v>
      </c>
      <c r="AX449" s="4">
        <v>13</v>
      </c>
      <c r="AY449" s="4">
        <v>550.99</v>
      </c>
      <c r="AZ449" s="4">
        <v>3</v>
      </c>
      <c r="BA449" s="4">
        <v>2109.8000000000002</v>
      </c>
      <c r="BB449" s="4">
        <v>10</v>
      </c>
      <c r="BC449" s="4">
        <v>3885.77</v>
      </c>
      <c r="BD449" s="4">
        <v>18</v>
      </c>
      <c r="BE449" s="4">
        <v>1419.09</v>
      </c>
      <c r="BF449" s="4">
        <v>9</v>
      </c>
      <c r="BQ449" s="3">
        <f t="shared" si="14"/>
        <v>33399.79</v>
      </c>
      <c r="BR449" s="3">
        <f t="shared" si="13"/>
        <v>184</v>
      </c>
    </row>
    <row r="450" spans="1:70" x14ac:dyDescent="0.25">
      <c r="A450" s="4" t="s">
        <v>2574</v>
      </c>
      <c r="B450" t="s">
        <v>99</v>
      </c>
      <c r="C450" s="338" t="s">
        <v>2024</v>
      </c>
      <c r="D450" s="213" t="s">
        <v>1115</v>
      </c>
      <c r="E450" s="213" t="s">
        <v>142</v>
      </c>
      <c r="F450" s="213" t="s">
        <v>132</v>
      </c>
      <c r="G450" s="4">
        <v>267</v>
      </c>
      <c r="H450" s="4">
        <v>3</v>
      </c>
      <c r="I450" s="4">
        <v>1381.02</v>
      </c>
      <c r="J450" s="4">
        <v>11</v>
      </c>
      <c r="K450" s="4">
        <v>576.01</v>
      </c>
      <c r="L450" s="4">
        <v>3</v>
      </c>
      <c r="M450" s="4">
        <v>0</v>
      </c>
      <c r="N450" s="4">
        <v>0</v>
      </c>
      <c r="O450" s="4">
        <v>300</v>
      </c>
      <c r="P450" s="4">
        <v>2</v>
      </c>
      <c r="Q450" s="4">
        <v>649.01</v>
      </c>
      <c r="R450" s="4">
        <v>4</v>
      </c>
      <c r="S450" s="4">
        <v>1499</v>
      </c>
      <c r="T450" s="4">
        <v>1</v>
      </c>
      <c r="U450" s="4">
        <v>375</v>
      </c>
      <c r="V450" s="4">
        <v>3</v>
      </c>
      <c r="W450" s="4">
        <v>1750.03</v>
      </c>
      <c r="X450" s="4">
        <v>10</v>
      </c>
      <c r="Y450" s="4">
        <v>150</v>
      </c>
      <c r="Z450" s="4">
        <v>1</v>
      </c>
      <c r="AA450" s="4">
        <v>225.01</v>
      </c>
      <c r="AB450" s="4">
        <v>2</v>
      </c>
      <c r="AC450" s="4">
        <v>0</v>
      </c>
      <c r="AD450" s="4">
        <v>0</v>
      </c>
      <c r="AE450" s="4">
        <v>1750</v>
      </c>
      <c r="AF450" s="4">
        <v>10</v>
      </c>
      <c r="AG450" s="4">
        <v>0</v>
      </c>
      <c r="AH450" s="4">
        <v>0</v>
      </c>
      <c r="AI450" s="4">
        <v>150</v>
      </c>
      <c r="AJ450" s="4">
        <v>1</v>
      </c>
      <c r="AK450" s="4">
        <v>3700.04</v>
      </c>
      <c r="AL450" s="4">
        <v>19</v>
      </c>
      <c r="AM450" s="4">
        <v>400</v>
      </c>
      <c r="AN450" s="4">
        <v>3</v>
      </c>
      <c r="AO450" s="4">
        <v>1249.01</v>
      </c>
      <c r="AP450" s="4">
        <v>6</v>
      </c>
      <c r="AQ450" s="4">
        <v>1200</v>
      </c>
      <c r="AR450" s="4">
        <v>6</v>
      </c>
      <c r="AS450" s="4">
        <v>600</v>
      </c>
      <c r="AT450" s="4">
        <v>2</v>
      </c>
      <c r="AU450" s="4">
        <v>0</v>
      </c>
      <c r="AV450" s="4">
        <v>0</v>
      </c>
      <c r="AW450" s="4">
        <v>421.96</v>
      </c>
      <c r="AX450" s="4">
        <v>2</v>
      </c>
      <c r="AY450" s="4">
        <v>3380.77</v>
      </c>
      <c r="AZ450" s="4">
        <v>16</v>
      </c>
      <c r="BA450" s="4">
        <v>2211.96</v>
      </c>
      <c r="BB450" s="4">
        <v>8</v>
      </c>
      <c r="BC450" s="4">
        <v>2000.97</v>
      </c>
      <c r="BD450" s="4">
        <v>9</v>
      </c>
      <c r="BE450" s="4">
        <v>2928.23</v>
      </c>
      <c r="BF450" s="4">
        <v>10</v>
      </c>
      <c r="BQ450" s="3">
        <f t="shared" si="14"/>
        <v>27165.02</v>
      </c>
      <c r="BR450" s="3">
        <f t="shared" si="13"/>
        <v>132</v>
      </c>
    </row>
    <row r="451" spans="1:70" x14ac:dyDescent="0.25">
      <c r="A451" s="4" t="s">
        <v>2575</v>
      </c>
      <c r="B451" t="s">
        <v>99</v>
      </c>
      <c r="C451" s="338" t="s">
        <v>2025</v>
      </c>
      <c r="D451" s="213" t="s">
        <v>1116</v>
      </c>
      <c r="E451" s="213" t="s">
        <v>142</v>
      </c>
      <c r="F451" s="213" t="s">
        <v>132</v>
      </c>
      <c r="G451" s="4">
        <v>1474.05</v>
      </c>
      <c r="H451" s="4">
        <v>7</v>
      </c>
      <c r="I451" s="4">
        <v>2222.0300000000002</v>
      </c>
      <c r="J451" s="4">
        <v>12</v>
      </c>
      <c r="K451" s="4">
        <v>1330.04</v>
      </c>
      <c r="L451" s="4">
        <v>12</v>
      </c>
      <c r="M451" s="4">
        <v>1670.04</v>
      </c>
      <c r="N451" s="4">
        <v>9</v>
      </c>
      <c r="O451" s="4">
        <v>0</v>
      </c>
      <c r="P451" s="4">
        <v>0</v>
      </c>
      <c r="Q451" s="4">
        <v>700</v>
      </c>
      <c r="R451" s="4">
        <v>5</v>
      </c>
      <c r="S451" s="4">
        <v>450</v>
      </c>
      <c r="T451" s="4">
        <v>3</v>
      </c>
      <c r="U451" s="4">
        <v>600</v>
      </c>
      <c r="V451" s="4">
        <v>3</v>
      </c>
      <c r="W451" s="4">
        <v>1900</v>
      </c>
      <c r="X451" s="4">
        <v>11</v>
      </c>
      <c r="Y451" s="4">
        <v>1890</v>
      </c>
      <c r="Z451" s="4">
        <v>7</v>
      </c>
      <c r="AA451" s="4">
        <v>775</v>
      </c>
      <c r="AB451" s="4">
        <v>4</v>
      </c>
      <c r="AC451" s="4">
        <v>925</v>
      </c>
      <c r="AD451" s="4">
        <v>6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211.02</v>
      </c>
      <c r="BF451" s="4">
        <v>1</v>
      </c>
      <c r="BQ451" s="3">
        <f t="shared" si="14"/>
        <v>14147.18</v>
      </c>
      <c r="BR451" s="3">
        <f t="shared" si="13"/>
        <v>80</v>
      </c>
    </row>
    <row r="452" spans="1:70" x14ac:dyDescent="0.25">
      <c r="A452" s="4" t="s">
        <v>2576</v>
      </c>
      <c r="B452" t="s">
        <v>99</v>
      </c>
      <c r="C452" s="338" t="s">
        <v>2026</v>
      </c>
      <c r="D452" s="213" t="s">
        <v>1117</v>
      </c>
      <c r="E452" s="213" t="s">
        <v>142</v>
      </c>
      <c r="F452" s="213" t="s">
        <v>132</v>
      </c>
      <c r="G452" s="4">
        <v>1072.03</v>
      </c>
      <c r="H452" s="4">
        <v>5</v>
      </c>
      <c r="I452" s="4">
        <v>1068.03</v>
      </c>
      <c r="J452" s="4">
        <v>8</v>
      </c>
      <c r="K452" s="4">
        <v>1168.04</v>
      </c>
      <c r="L452" s="4">
        <v>6</v>
      </c>
      <c r="M452" s="4">
        <v>1650.02</v>
      </c>
      <c r="N452" s="4">
        <v>9</v>
      </c>
      <c r="O452" s="4">
        <v>935</v>
      </c>
      <c r="P452" s="4">
        <v>6</v>
      </c>
      <c r="Q452" s="4">
        <v>0</v>
      </c>
      <c r="R452" s="4">
        <v>0</v>
      </c>
      <c r="S452" s="4">
        <v>1489.01</v>
      </c>
      <c r="T452" s="4">
        <v>9</v>
      </c>
      <c r="U452" s="4">
        <v>2086.04</v>
      </c>
      <c r="V452" s="4">
        <v>6</v>
      </c>
      <c r="W452" s="4">
        <v>2545.0100000000002</v>
      </c>
      <c r="X452" s="4">
        <v>15</v>
      </c>
      <c r="Y452" s="4">
        <v>1125.01</v>
      </c>
      <c r="Z452" s="4">
        <v>5</v>
      </c>
      <c r="AA452" s="4">
        <v>1889.01</v>
      </c>
      <c r="AB452" s="4">
        <v>10</v>
      </c>
      <c r="AC452" s="4">
        <v>1396.02</v>
      </c>
      <c r="AD452" s="4">
        <v>7</v>
      </c>
      <c r="AE452" s="4">
        <v>0</v>
      </c>
      <c r="AF452" s="4">
        <v>0</v>
      </c>
      <c r="AG452" s="4">
        <v>3975.03</v>
      </c>
      <c r="AH452" s="4">
        <v>10</v>
      </c>
      <c r="AI452" s="4">
        <v>1245.03</v>
      </c>
      <c r="AJ452" s="4">
        <v>6</v>
      </c>
      <c r="AK452" s="4">
        <v>1800.01</v>
      </c>
      <c r="AL452" s="4">
        <v>10</v>
      </c>
      <c r="AM452" s="4">
        <v>1539</v>
      </c>
      <c r="AN452" s="4">
        <v>10</v>
      </c>
      <c r="AO452" s="4">
        <v>0</v>
      </c>
      <c r="AP452" s="4">
        <v>0</v>
      </c>
      <c r="AQ452" s="4">
        <v>1239.01</v>
      </c>
      <c r="AR452" s="4">
        <v>6</v>
      </c>
      <c r="AS452" s="4">
        <v>1750.01</v>
      </c>
      <c r="AT452" s="4">
        <v>10</v>
      </c>
      <c r="AU452" s="4">
        <v>1445.01</v>
      </c>
      <c r="AV452" s="4">
        <v>8</v>
      </c>
      <c r="AW452" s="4">
        <v>2939.79</v>
      </c>
      <c r="AX452" s="4">
        <v>13</v>
      </c>
      <c r="AY452" s="4">
        <v>2461.94</v>
      </c>
      <c r="AZ452" s="4">
        <v>14</v>
      </c>
      <c r="BA452" s="4">
        <v>3142.93</v>
      </c>
      <c r="BB452" s="4">
        <v>15</v>
      </c>
      <c r="BC452" s="4">
        <v>285.98</v>
      </c>
      <c r="BD452" s="4">
        <v>1</v>
      </c>
      <c r="BE452" s="4">
        <v>2375.11</v>
      </c>
      <c r="BF452" s="4">
        <v>12</v>
      </c>
      <c r="BQ452" s="3">
        <f t="shared" si="14"/>
        <v>40622.07</v>
      </c>
      <c r="BR452" s="3">
        <f t="shared" si="13"/>
        <v>201</v>
      </c>
    </row>
    <row r="453" spans="1:70" x14ac:dyDescent="0.25">
      <c r="A453" s="4" t="s">
        <v>2577</v>
      </c>
      <c r="B453" t="s">
        <v>100</v>
      </c>
      <c r="C453" s="338" t="s">
        <v>2027</v>
      </c>
      <c r="D453" s="213" t="s">
        <v>1118</v>
      </c>
      <c r="E453" s="213" t="s">
        <v>139</v>
      </c>
      <c r="F453" s="213" t="s">
        <v>130</v>
      </c>
      <c r="G453" s="4">
        <v>2022.03</v>
      </c>
      <c r="H453" s="4">
        <v>11</v>
      </c>
      <c r="I453" s="4">
        <v>8010.1</v>
      </c>
      <c r="J453" s="4">
        <v>31</v>
      </c>
      <c r="K453" s="4">
        <v>6267.12</v>
      </c>
      <c r="L453" s="4">
        <v>26</v>
      </c>
      <c r="M453" s="4">
        <v>4880.95</v>
      </c>
      <c r="N453" s="4">
        <v>18</v>
      </c>
      <c r="O453" s="4">
        <v>2763</v>
      </c>
      <c r="P453" s="4">
        <v>12</v>
      </c>
      <c r="Q453" s="4">
        <v>399.01</v>
      </c>
      <c r="R453" s="4">
        <v>2</v>
      </c>
      <c r="S453" s="4">
        <v>4433.07</v>
      </c>
      <c r="T453" s="4">
        <v>22</v>
      </c>
      <c r="U453" s="4">
        <v>3464.05</v>
      </c>
      <c r="V453" s="4">
        <v>13</v>
      </c>
      <c r="W453" s="4">
        <v>0</v>
      </c>
      <c r="X453" s="4">
        <v>0</v>
      </c>
      <c r="Y453" s="4">
        <v>5369.01</v>
      </c>
      <c r="Z453" s="4">
        <v>22</v>
      </c>
      <c r="AA453" s="4">
        <v>3266.03</v>
      </c>
      <c r="AB453" s="4">
        <v>12</v>
      </c>
      <c r="AC453" s="4">
        <v>2156.04</v>
      </c>
      <c r="AD453" s="4">
        <v>11</v>
      </c>
      <c r="AE453" s="4">
        <v>0</v>
      </c>
      <c r="AF453" s="4">
        <v>0</v>
      </c>
      <c r="AG453" s="4">
        <v>1225.04</v>
      </c>
      <c r="AH453" s="4">
        <v>7</v>
      </c>
      <c r="AI453" s="4">
        <v>5569.04</v>
      </c>
      <c r="AJ453" s="4">
        <v>24</v>
      </c>
      <c r="AK453" s="4">
        <v>2115.9899999999998</v>
      </c>
      <c r="AL453" s="4">
        <v>9</v>
      </c>
      <c r="AM453" s="4">
        <v>2682</v>
      </c>
      <c r="AN453" s="4">
        <v>13</v>
      </c>
      <c r="AO453" s="4">
        <v>3008.07</v>
      </c>
      <c r="AP453" s="4">
        <v>14</v>
      </c>
      <c r="AQ453" s="4">
        <v>1808</v>
      </c>
      <c r="AR453" s="4">
        <v>10</v>
      </c>
      <c r="AS453" s="4">
        <v>0</v>
      </c>
      <c r="AT453" s="4">
        <v>0</v>
      </c>
      <c r="AU453" s="4">
        <v>2246.06</v>
      </c>
      <c r="AV453" s="4">
        <v>8</v>
      </c>
      <c r="AW453" s="4">
        <v>3787.85</v>
      </c>
      <c r="AX453" s="4">
        <v>16</v>
      </c>
      <c r="AY453" s="4">
        <v>944.95</v>
      </c>
      <c r="AZ453" s="4">
        <v>4</v>
      </c>
      <c r="BA453" s="4">
        <v>1331.91</v>
      </c>
      <c r="BB453" s="4">
        <v>11</v>
      </c>
      <c r="BC453" s="4">
        <v>0</v>
      </c>
      <c r="BD453" s="4">
        <v>0</v>
      </c>
      <c r="BE453" s="4">
        <v>3648.27</v>
      </c>
      <c r="BF453" s="4">
        <v>13</v>
      </c>
      <c r="BQ453" s="3">
        <f t="shared" si="14"/>
        <v>71397.59</v>
      </c>
      <c r="BR453" s="3">
        <f t="shared" ref="BR453:BR516" si="15">H453+J453+L453+N453+P453+R453+T453+V453+X453+Z453+AB453+AD453+AF453+AH453+AJ453+AL453+AN453+AP453+AR453+AT453+AV453+AX453+AZ453+BB453+BD453+BF453</f>
        <v>309</v>
      </c>
    </row>
    <row r="454" spans="1:70" x14ac:dyDescent="0.25">
      <c r="A454" s="4" t="s">
        <v>2578</v>
      </c>
      <c r="B454" t="s">
        <v>100</v>
      </c>
      <c r="C454" s="338" t="s">
        <v>2028</v>
      </c>
      <c r="D454" s="213" t="s">
        <v>1119</v>
      </c>
      <c r="E454" s="213" t="s">
        <v>139</v>
      </c>
      <c r="F454" s="213" t="s">
        <v>130</v>
      </c>
      <c r="G454" s="4">
        <v>1528.03</v>
      </c>
      <c r="H454" s="4">
        <v>9</v>
      </c>
      <c r="I454" s="4">
        <v>0</v>
      </c>
      <c r="J454" s="4">
        <v>0</v>
      </c>
      <c r="K454" s="4">
        <v>2150.0500000000002</v>
      </c>
      <c r="L454" s="4">
        <v>9</v>
      </c>
      <c r="M454" s="4">
        <v>3537.02</v>
      </c>
      <c r="N454" s="4">
        <v>10</v>
      </c>
      <c r="O454" s="4">
        <v>1071.01</v>
      </c>
      <c r="P454" s="4">
        <v>9</v>
      </c>
      <c r="Q454" s="4">
        <v>2134.04</v>
      </c>
      <c r="R454" s="4">
        <v>10</v>
      </c>
      <c r="S454" s="4">
        <v>0</v>
      </c>
      <c r="T454" s="4">
        <v>0</v>
      </c>
      <c r="U454" s="4">
        <v>2046.99</v>
      </c>
      <c r="V454" s="4">
        <v>12</v>
      </c>
      <c r="W454" s="4">
        <v>5753.95</v>
      </c>
      <c r="X454" s="4">
        <v>17</v>
      </c>
      <c r="Y454" s="4">
        <v>0</v>
      </c>
      <c r="Z454" s="4">
        <v>0</v>
      </c>
      <c r="AA454" s="4">
        <v>1747.01</v>
      </c>
      <c r="AB454" s="4">
        <v>9</v>
      </c>
      <c r="AC454" s="4">
        <v>0</v>
      </c>
      <c r="AD454" s="4">
        <v>0</v>
      </c>
      <c r="AE454" s="4">
        <v>3550.06</v>
      </c>
      <c r="AF454" s="4">
        <v>12</v>
      </c>
      <c r="AG454" s="4">
        <v>1367</v>
      </c>
      <c r="AH454" s="4">
        <v>5</v>
      </c>
      <c r="AI454" s="4">
        <v>5732.11</v>
      </c>
      <c r="AJ454" s="4">
        <v>20</v>
      </c>
      <c r="AK454" s="4">
        <v>2263.0100000000002</v>
      </c>
      <c r="AL454" s="4">
        <v>9</v>
      </c>
      <c r="AM454" s="4">
        <v>0</v>
      </c>
      <c r="AN454" s="4">
        <v>0</v>
      </c>
      <c r="AO454" s="4">
        <v>375</v>
      </c>
      <c r="AP454" s="4">
        <v>3</v>
      </c>
      <c r="AQ454" s="4">
        <v>245</v>
      </c>
      <c r="AR454" s="4">
        <v>3</v>
      </c>
      <c r="AS454" s="4">
        <v>3149.02</v>
      </c>
      <c r="AT454" s="4">
        <v>12</v>
      </c>
      <c r="AU454" s="4">
        <v>1541.03</v>
      </c>
      <c r="AV454" s="4">
        <v>10</v>
      </c>
      <c r="AW454" s="4">
        <v>1348.92</v>
      </c>
      <c r="AX454" s="4">
        <v>6</v>
      </c>
      <c r="AY454" s="4">
        <v>1192.9000000000001</v>
      </c>
      <c r="AZ454" s="4">
        <v>6</v>
      </c>
      <c r="BA454" s="4">
        <v>1015.92</v>
      </c>
      <c r="BB454" s="4">
        <v>4</v>
      </c>
      <c r="BC454" s="4">
        <v>0</v>
      </c>
      <c r="BD454" s="4">
        <v>0</v>
      </c>
      <c r="BE454" s="4">
        <v>2861.15</v>
      </c>
      <c r="BF454" s="4">
        <v>9</v>
      </c>
      <c r="BQ454" s="3">
        <f t="shared" ref="BQ454:BQ517" si="16">G454+I454+K454+M454+O454+Q454+S454+U454+W454+Y454+AA454+AC454+AE454+AG454+AI454+AK454+AM454+AO454+AQ454+AS454+AU454+AW454+AY454+BA454+BC454+BE454</f>
        <v>44609.219999999994</v>
      </c>
      <c r="BR454" s="3">
        <f t="shared" si="15"/>
        <v>184</v>
      </c>
    </row>
    <row r="455" spans="1:70" x14ac:dyDescent="0.25">
      <c r="A455" s="4" t="s">
        <v>2579</v>
      </c>
      <c r="B455" t="s">
        <v>100</v>
      </c>
      <c r="C455" s="338" t="s">
        <v>2029</v>
      </c>
      <c r="D455" s="213" t="s">
        <v>1120</v>
      </c>
      <c r="E455" s="213" t="s">
        <v>139</v>
      </c>
      <c r="F455" s="213" t="s">
        <v>130</v>
      </c>
      <c r="G455" s="4">
        <v>662</v>
      </c>
      <c r="H455" s="4">
        <v>7</v>
      </c>
      <c r="I455" s="4">
        <v>1567.01</v>
      </c>
      <c r="J455" s="4">
        <v>10</v>
      </c>
      <c r="K455" s="4">
        <v>2211.98</v>
      </c>
      <c r="L455" s="4">
        <v>16</v>
      </c>
      <c r="M455" s="4">
        <v>0</v>
      </c>
      <c r="N455" s="4">
        <v>0</v>
      </c>
      <c r="O455" s="4">
        <v>1579.01</v>
      </c>
      <c r="P455" s="4">
        <v>10</v>
      </c>
      <c r="Q455" s="4">
        <v>2052.0700000000002</v>
      </c>
      <c r="R455" s="4">
        <v>19</v>
      </c>
      <c r="S455" s="4">
        <v>0</v>
      </c>
      <c r="T455" s="4">
        <v>0</v>
      </c>
      <c r="U455" s="4">
        <v>0</v>
      </c>
      <c r="V455" s="4">
        <v>0</v>
      </c>
      <c r="W455" s="4">
        <v>1883.01</v>
      </c>
      <c r="X455" s="4">
        <v>12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Q455" s="3">
        <f t="shared" si="16"/>
        <v>9955.08</v>
      </c>
      <c r="BR455" s="3">
        <f t="shared" si="15"/>
        <v>74</v>
      </c>
    </row>
    <row r="456" spans="1:70" x14ac:dyDescent="0.25">
      <c r="A456" s="4" t="s">
        <v>2580</v>
      </c>
      <c r="B456" t="s">
        <v>100</v>
      </c>
      <c r="C456" s="338" t="s">
        <v>2030</v>
      </c>
      <c r="D456" s="213" t="s">
        <v>1121</v>
      </c>
      <c r="E456" s="213" t="s">
        <v>139</v>
      </c>
      <c r="F456" s="213" t="s">
        <v>130</v>
      </c>
      <c r="G456" s="4">
        <v>1774.05</v>
      </c>
      <c r="H456" s="4">
        <v>14</v>
      </c>
      <c r="I456" s="4">
        <v>0</v>
      </c>
      <c r="J456" s="4">
        <v>0</v>
      </c>
      <c r="K456" s="4">
        <v>2882.05</v>
      </c>
      <c r="L456" s="4">
        <v>23</v>
      </c>
      <c r="M456" s="4">
        <v>2765.02</v>
      </c>
      <c r="N456" s="4">
        <v>17</v>
      </c>
      <c r="O456" s="4">
        <v>0</v>
      </c>
      <c r="P456" s="4">
        <v>0</v>
      </c>
      <c r="Q456" s="4">
        <v>0</v>
      </c>
      <c r="R456" s="4">
        <v>0</v>
      </c>
      <c r="S456" s="4">
        <v>1444.03</v>
      </c>
      <c r="T456" s="4">
        <v>12</v>
      </c>
      <c r="U456" s="4">
        <v>2719.07</v>
      </c>
      <c r="V456" s="4">
        <v>15</v>
      </c>
      <c r="W456" s="4">
        <v>1715.06</v>
      </c>
      <c r="X456" s="4">
        <v>10</v>
      </c>
      <c r="Y456" s="4">
        <v>2591.04</v>
      </c>
      <c r="Z456" s="4">
        <v>15</v>
      </c>
      <c r="AA456" s="4">
        <v>0</v>
      </c>
      <c r="AB456" s="4">
        <v>0</v>
      </c>
      <c r="AC456" s="4">
        <v>1151.03</v>
      </c>
      <c r="AD456" s="4">
        <v>8</v>
      </c>
      <c r="AE456" s="4">
        <v>0</v>
      </c>
      <c r="AF456" s="4">
        <v>0</v>
      </c>
      <c r="AG456" s="4">
        <v>1985.01</v>
      </c>
      <c r="AH456" s="4">
        <v>15</v>
      </c>
      <c r="AI456" s="4">
        <v>915</v>
      </c>
      <c r="AJ456" s="4">
        <v>8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1878.03</v>
      </c>
      <c r="AR456" s="4">
        <v>13</v>
      </c>
      <c r="AS456" s="4">
        <v>0</v>
      </c>
      <c r="AT456" s="4">
        <v>0</v>
      </c>
      <c r="AU456" s="4">
        <v>0</v>
      </c>
      <c r="AV456" s="4">
        <v>0</v>
      </c>
      <c r="AW456" s="4">
        <v>1543.92</v>
      </c>
      <c r="AX456" s="4">
        <v>9</v>
      </c>
      <c r="AY456" s="4">
        <v>2551.89</v>
      </c>
      <c r="AZ456" s="4">
        <v>8</v>
      </c>
      <c r="BA456" s="4">
        <v>0</v>
      </c>
      <c r="BB456" s="4">
        <v>0</v>
      </c>
      <c r="BC456" s="4">
        <v>0</v>
      </c>
      <c r="BD456" s="4">
        <v>0</v>
      </c>
      <c r="BE456" s="4">
        <v>2678.16</v>
      </c>
      <c r="BF456" s="4">
        <v>11</v>
      </c>
      <c r="BQ456" s="3">
        <f t="shared" si="16"/>
        <v>28593.359999999997</v>
      </c>
      <c r="BR456" s="3">
        <f t="shared" si="15"/>
        <v>178</v>
      </c>
    </row>
    <row r="457" spans="1:70" x14ac:dyDescent="0.25">
      <c r="A457" s="4" t="s">
        <v>2581</v>
      </c>
      <c r="B457" t="s">
        <v>100</v>
      </c>
      <c r="C457" s="338" t="s">
        <v>2031</v>
      </c>
      <c r="D457" s="213" t="s">
        <v>1122</v>
      </c>
      <c r="E457" s="213" t="s">
        <v>139</v>
      </c>
      <c r="F457" s="213" t="s">
        <v>130</v>
      </c>
      <c r="G457" s="4">
        <v>2242.02</v>
      </c>
      <c r="H457" s="4">
        <v>16</v>
      </c>
      <c r="I457" s="4">
        <v>3669.06</v>
      </c>
      <c r="J457" s="4">
        <v>23</v>
      </c>
      <c r="K457" s="4">
        <v>5387.12</v>
      </c>
      <c r="L457" s="4">
        <v>22</v>
      </c>
      <c r="M457" s="4">
        <v>3671.09</v>
      </c>
      <c r="N457" s="4">
        <v>16</v>
      </c>
      <c r="O457" s="4">
        <v>0</v>
      </c>
      <c r="P457" s="4">
        <v>0</v>
      </c>
      <c r="Q457" s="4">
        <v>0</v>
      </c>
      <c r="R457" s="4">
        <v>0</v>
      </c>
      <c r="S457" s="4">
        <v>3800.04</v>
      </c>
      <c r="T457" s="4">
        <v>21</v>
      </c>
      <c r="U457" s="4">
        <v>1660.04</v>
      </c>
      <c r="V457" s="4">
        <v>8</v>
      </c>
      <c r="W457" s="4">
        <v>5811.03</v>
      </c>
      <c r="X457" s="4">
        <v>29</v>
      </c>
      <c r="Y457" s="4">
        <v>3927.01</v>
      </c>
      <c r="Z457" s="4">
        <v>16</v>
      </c>
      <c r="AA457" s="4">
        <v>2817.04</v>
      </c>
      <c r="AB457" s="4">
        <v>9</v>
      </c>
      <c r="AC457" s="4">
        <v>1215.03</v>
      </c>
      <c r="AD457" s="4">
        <v>6</v>
      </c>
      <c r="AE457" s="4">
        <v>2674.03</v>
      </c>
      <c r="AF457" s="4">
        <v>14</v>
      </c>
      <c r="AG457" s="4">
        <v>0</v>
      </c>
      <c r="AH457" s="4">
        <v>0</v>
      </c>
      <c r="AI457" s="4">
        <v>0</v>
      </c>
      <c r="AJ457" s="4">
        <v>0</v>
      </c>
      <c r="AK457" s="4">
        <v>4698.04</v>
      </c>
      <c r="AL457" s="4">
        <v>24</v>
      </c>
      <c r="AM457" s="4">
        <v>1835</v>
      </c>
      <c r="AN457" s="4">
        <v>13</v>
      </c>
      <c r="AO457" s="4">
        <v>2544.04</v>
      </c>
      <c r="AP457" s="4">
        <v>13</v>
      </c>
      <c r="AQ457" s="4">
        <v>0</v>
      </c>
      <c r="AR457" s="4">
        <v>0</v>
      </c>
      <c r="AS457" s="4">
        <v>3783.06</v>
      </c>
      <c r="AT457" s="4">
        <v>18</v>
      </c>
      <c r="AU457" s="4">
        <v>525.01</v>
      </c>
      <c r="AV457" s="4">
        <v>3</v>
      </c>
      <c r="AW457" s="4">
        <v>1754.96</v>
      </c>
      <c r="AX457" s="4">
        <v>7</v>
      </c>
      <c r="AY457" s="4">
        <v>1479.9</v>
      </c>
      <c r="AZ457" s="4">
        <v>7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Q457" s="3">
        <f t="shared" si="16"/>
        <v>53493.520000000004</v>
      </c>
      <c r="BR457" s="3">
        <f t="shared" si="15"/>
        <v>265</v>
      </c>
    </row>
    <row r="458" spans="1:70" x14ac:dyDescent="0.25">
      <c r="A458" s="4" t="s">
        <v>2582</v>
      </c>
      <c r="B458" t="s">
        <v>100</v>
      </c>
      <c r="C458" s="338" t="s">
        <v>2032</v>
      </c>
      <c r="D458" s="213" t="s">
        <v>1123</v>
      </c>
      <c r="E458" s="213" t="s">
        <v>139</v>
      </c>
      <c r="F458" s="213" t="s">
        <v>130</v>
      </c>
      <c r="G458" s="4">
        <v>1084.05</v>
      </c>
      <c r="H458" s="4">
        <v>4</v>
      </c>
      <c r="I458" s="4">
        <v>0</v>
      </c>
      <c r="J458" s="4">
        <v>0</v>
      </c>
      <c r="K458" s="4">
        <v>5753.13</v>
      </c>
      <c r="L458" s="4">
        <v>31</v>
      </c>
      <c r="M458" s="4">
        <v>782.01</v>
      </c>
      <c r="N458" s="4">
        <v>6</v>
      </c>
      <c r="O458" s="4">
        <v>0</v>
      </c>
      <c r="P458" s="4">
        <v>0</v>
      </c>
      <c r="Q458" s="4">
        <v>0</v>
      </c>
      <c r="R458" s="4">
        <v>0</v>
      </c>
      <c r="S458" s="4">
        <v>1620</v>
      </c>
      <c r="T458" s="4">
        <v>3</v>
      </c>
      <c r="U458" s="4">
        <v>583.01</v>
      </c>
      <c r="V458" s="4">
        <v>4</v>
      </c>
      <c r="W458" s="4">
        <v>1319</v>
      </c>
      <c r="X458" s="4">
        <v>9</v>
      </c>
      <c r="Y458" s="4">
        <v>4237.0600000000004</v>
      </c>
      <c r="Z458" s="4">
        <v>23</v>
      </c>
      <c r="AA458" s="4">
        <v>1883.06</v>
      </c>
      <c r="AB458" s="4">
        <v>9</v>
      </c>
      <c r="AC458" s="4">
        <v>0</v>
      </c>
      <c r="AD458" s="4">
        <v>0</v>
      </c>
      <c r="AE458" s="4">
        <v>475.99</v>
      </c>
      <c r="AF458" s="4">
        <v>3</v>
      </c>
      <c r="AG458" s="4">
        <v>3396.09</v>
      </c>
      <c r="AH458" s="4">
        <v>13</v>
      </c>
      <c r="AI458" s="4">
        <v>1751.05</v>
      </c>
      <c r="AJ458" s="4">
        <v>9</v>
      </c>
      <c r="AK458" s="4">
        <v>4315.09</v>
      </c>
      <c r="AL458" s="4">
        <v>17</v>
      </c>
      <c r="AM458" s="4">
        <v>1729.04</v>
      </c>
      <c r="AN458" s="4">
        <v>9</v>
      </c>
      <c r="AO458" s="4">
        <v>0</v>
      </c>
      <c r="AP458" s="4">
        <v>0</v>
      </c>
      <c r="AQ458" s="4">
        <v>874.02</v>
      </c>
      <c r="AR458" s="4">
        <v>5</v>
      </c>
      <c r="AS458" s="4">
        <v>1535.03</v>
      </c>
      <c r="AT458" s="4">
        <v>8</v>
      </c>
      <c r="AU458" s="4">
        <v>3029.06</v>
      </c>
      <c r="AV458" s="4">
        <v>11</v>
      </c>
      <c r="AW458" s="4">
        <v>563.96</v>
      </c>
      <c r="AX458" s="4">
        <v>4</v>
      </c>
      <c r="AY458" s="4">
        <v>2277.89</v>
      </c>
      <c r="AZ458" s="4">
        <v>13</v>
      </c>
      <c r="BA458" s="4">
        <v>2434.9499999999998</v>
      </c>
      <c r="BB458" s="4">
        <v>12</v>
      </c>
      <c r="BC458" s="4">
        <v>1898.82</v>
      </c>
      <c r="BD458" s="4">
        <v>9</v>
      </c>
      <c r="BE458" s="4">
        <v>0</v>
      </c>
      <c r="BF458" s="4">
        <v>0</v>
      </c>
      <c r="BQ458" s="3">
        <f t="shared" si="16"/>
        <v>41542.31</v>
      </c>
      <c r="BR458" s="3">
        <f t="shared" si="15"/>
        <v>202</v>
      </c>
    </row>
    <row r="459" spans="1:70" x14ac:dyDescent="0.25">
      <c r="A459" s="4" t="s">
        <v>2583</v>
      </c>
      <c r="B459" t="s">
        <v>100</v>
      </c>
      <c r="C459" s="338" t="s">
        <v>2033</v>
      </c>
      <c r="D459" s="213" t="s">
        <v>1124</v>
      </c>
      <c r="E459" s="213" t="s">
        <v>139</v>
      </c>
      <c r="F459" s="213" t="s">
        <v>130</v>
      </c>
      <c r="G459" s="4">
        <v>3945.07</v>
      </c>
      <c r="H459" s="4">
        <v>12</v>
      </c>
      <c r="I459" s="4">
        <v>6916.99</v>
      </c>
      <c r="J459" s="4">
        <v>35</v>
      </c>
      <c r="K459" s="4">
        <v>0</v>
      </c>
      <c r="L459" s="4">
        <v>0</v>
      </c>
      <c r="M459" s="4">
        <v>4852.0600000000004</v>
      </c>
      <c r="N459" s="4">
        <v>16</v>
      </c>
      <c r="O459" s="4">
        <v>2951</v>
      </c>
      <c r="P459" s="4">
        <v>16</v>
      </c>
      <c r="Q459" s="4">
        <v>4106.04</v>
      </c>
      <c r="R459" s="4">
        <v>12</v>
      </c>
      <c r="S459" s="4">
        <v>3067.02</v>
      </c>
      <c r="T459" s="4">
        <v>11</v>
      </c>
      <c r="U459" s="4">
        <v>3305.04</v>
      </c>
      <c r="V459" s="4">
        <v>16</v>
      </c>
      <c r="W459" s="4">
        <v>2322.04</v>
      </c>
      <c r="X459" s="4">
        <v>13</v>
      </c>
      <c r="Y459" s="4">
        <v>0</v>
      </c>
      <c r="Z459" s="4">
        <v>0</v>
      </c>
      <c r="AA459" s="4">
        <v>3257.07</v>
      </c>
      <c r="AB459" s="4">
        <v>11</v>
      </c>
      <c r="AC459" s="4">
        <v>3495.07</v>
      </c>
      <c r="AD459" s="4">
        <v>16</v>
      </c>
      <c r="AE459" s="4">
        <v>1653.06</v>
      </c>
      <c r="AF459" s="4">
        <v>12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Q459" s="3">
        <f t="shared" si="16"/>
        <v>39870.46</v>
      </c>
      <c r="BR459" s="3">
        <f t="shared" si="15"/>
        <v>170</v>
      </c>
    </row>
    <row r="460" spans="1:70" x14ac:dyDescent="0.25">
      <c r="A460" s="4" t="s">
        <v>2584</v>
      </c>
      <c r="B460" t="s">
        <v>100</v>
      </c>
      <c r="C460" s="338" t="s">
        <v>2034</v>
      </c>
      <c r="D460" s="213" t="s">
        <v>1125</v>
      </c>
      <c r="E460" s="213" t="s">
        <v>139</v>
      </c>
      <c r="F460" s="213" t="s">
        <v>130</v>
      </c>
      <c r="G460" s="4">
        <v>3157.08</v>
      </c>
      <c r="H460" s="4">
        <v>17</v>
      </c>
      <c r="I460" s="4">
        <v>7083.15</v>
      </c>
      <c r="J460" s="4">
        <v>30</v>
      </c>
      <c r="K460" s="4">
        <v>0</v>
      </c>
      <c r="L460" s="4">
        <v>0</v>
      </c>
      <c r="M460" s="4">
        <v>0</v>
      </c>
      <c r="N460" s="4">
        <v>0</v>
      </c>
      <c r="O460" s="4">
        <v>2443.0300000000002</v>
      </c>
      <c r="P460" s="4">
        <v>14</v>
      </c>
      <c r="Q460" s="4">
        <v>3934.06</v>
      </c>
      <c r="R460" s="4">
        <v>19</v>
      </c>
      <c r="S460" s="4">
        <v>0</v>
      </c>
      <c r="T460" s="4">
        <v>0</v>
      </c>
      <c r="U460" s="4">
        <v>2826.03</v>
      </c>
      <c r="V460" s="4">
        <v>19</v>
      </c>
      <c r="W460" s="4">
        <v>13</v>
      </c>
      <c r="X460" s="4">
        <v>1</v>
      </c>
      <c r="Y460" s="4">
        <v>0</v>
      </c>
      <c r="Z460" s="4">
        <v>0</v>
      </c>
      <c r="AA460" s="4">
        <v>75</v>
      </c>
      <c r="AB460" s="4">
        <v>1</v>
      </c>
      <c r="AC460" s="4">
        <v>3524.02</v>
      </c>
      <c r="AD460" s="4">
        <v>17</v>
      </c>
      <c r="AE460" s="4">
        <v>4743.04</v>
      </c>
      <c r="AF460" s="4">
        <v>24</v>
      </c>
      <c r="AG460" s="4">
        <v>2400.02</v>
      </c>
      <c r="AH460" s="4">
        <v>11</v>
      </c>
      <c r="AI460" s="4">
        <v>0</v>
      </c>
      <c r="AJ460" s="4">
        <v>0</v>
      </c>
      <c r="AK460" s="4">
        <v>4729.08</v>
      </c>
      <c r="AL460" s="4">
        <v>22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3326.79</v>
      </c>
      <c r="AX460" s="4">
        <v>16</v>
      </c>
      <c r="AY460" s="4">
        <v>4066.95</v>
      </c>
      <c r="AZ460" s="4">
        <v>13</v>
      </c>
      <c r="BA460" s="4">
        <v>2531.85</v>
      </c>
      <c r="BB460" s="4">
        <v>11</v>
      </c>
      <c r="BC460" s="4">
        <v>3399.86</v>
      </c>
      <c r="BD460" s="4">
        <v>14</v>
      </c>
      <c r="BE460" s="4">
        <v>0</v>
      </c>
      <c r="BF460" s="4">
        <v>0</v>
      </c>
      <c r="BQ460" s="3">
        <f t="shared" si="16"/>
        <v>48252.959999999999</v>
      </c>
      <c r="BR460" s="3">
        <f t="shared" si="15"/>
        <v>229</v>
      </c>
    </row>
    <row r="461" spans="1:70" x14ac:dyDescent="0.25">
      <c r="A461" s="4" t="s">
        <v>2585</v>
      </c>
      <c r="B461" t="s">
        <v>100</v>
      </c>
      <c r="C461" s="338" t="s">
        <v>2035</v>
      </c>
      <c r="D461" s="213" t="s">
        <v>1126</v>
      </c>
      <c r="E461" s="213" t="s">
        <v>139</v>
      </c>
      <c r="F461" s="213" t="s">
        <v>130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1618.98</v>
      </c>
      <c r="AN461" s="4">
        <v>13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Q461" s="3">
        <f t="shared" si="16"/>
        <v>1618.98</v>
      </c>
      <c r="BR461" s="3">
        <f t="shared" si="15"/>
        <v>13</v>
      </c>
    </row>
    <row r="462" spans="1:70" x14ac:dyDescent="0.25">
      <c r="A462" s="4" t="s">
        <v>2586</v>
      </c>
      <c r="B462" t="s">
        <v>101</v>
      </c>
      <c r="C462" s="338" t="s">
        <v>2036</v>
      </c>
      <c r="D462" s="213" t="s">
        <v>1127</v>
      </c>
      <c r="E462" s="213" t="s">
        <v>142</v>
      </c>
      <c r="F462" s="213" t="s">
        <v>132</v>
      </c>
      <c r="G462" s="4">
        <v>506.01</v>
      </c>
      <c r="H462" s="4">
        <v>4</v>
      </c>
      <c r="I462" s="4">
        <v>1293.06</v>
      </c>
      <c r="J462" s="4">
        <v>10</v>
      </c>
      <c r="K462" s="4">
        <v>246.01</v>
      </c>
      <c r="L462" s="4">
        <v>2</v>
      </c>
      <c r="M462" s="4">
        <v>2527.08</v>
      </c>
      <c r="N462" s="4">
        <v>17</v>
      </c>
      <c r="O462" s="4">
        <v>2383.06</v>
      </c>
      <c r="P462" s="4">
        <v>12</v>
      </c>
      <c r="Q462" s="4">
        <v>0</v>
      </c>
      <c r="R462" s="4">
        <v>0</v>
      </c>
      <c r="S462" s="4">
        <v>690.02</v>
      </c>
      <c r="T462" s="4">
        <v>3</v>
      </c>
      <c r="U462" s="4">
        <v>0</v>
      </c>
      <c r="V462" s="4">
        <v>0</v>
      </c>
      <c r="W462" s="4">
        <v>4099.04</v>
      </c>
      <c r="X462" s="4">
        <v>20</v>
      </c>
      <c r="Y462" s="4">
        <v>600.02</v>
      </c>
      <c r="Z462" s="4">
        <v>4</v>
      </c>
      <c r="AA462" s="4">
        <v>2227.0100000000002</v>
      </c>
      <c r="AB462" s="4">
        <v>11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623.01</v>
      </c>
      <c r="AV462" s="4">
        <v>2</v>
      </c>
      <c r="AW462" s="4">
        <v>747.94</v>
      </c>
      <c r="AX462" s="4">
        <v>2</v>
      </c>
      <c r="AY462" s="4">
        <v>3740.84</v>
      </c>
      <c r="AZ462" s="4">
        <v>12</v>
      </c>
      <c r="BA462" s="4">
        <v>808</v>
      </c>
      <c r="BB462" s="4">
        <v>4</v>
      </c>
      <c r="BC462" s="4">
        <v>409</v>
      </c>
      <c r="BD462" s="4">
        <v>2</v>
      </c>
      <c r="BE462" s="4">
        <v>672.04</v>
      </c>
      <c r="BF462" s="4">
        <v>2</v>
      </c>
      <c r="BQ462" s="3">
        <f t="shared" si="16"/>
        <v>21572.14</v>
      </c>
      <c r="BR462" s="3">
        <f t="shared" si="15"/>
        <v>107</v>
      </c>
    </row>
    <row r="463" spans="1:70" x14ac:dyDescent="0.25">
      <c r="A463" s="4" t="s">
        <v>2587</v>
      </c>
      <c r="B463" t="s">
        <v>101</v>
      </c>
      <c r="C463" s="338" t="s">
        <v>2037</v>
      </c>
      <c r="D463" s="213" t="s">
        <v>1128</v>
      </c>
      <c r="E463" s="213" t="s">
        <v>142</v>
      </c>
      <c r="F463" s="213" t="s">
        <v>132</v>
      </c>
      <c r="G463" s="4">
        <v>75</v>
      </c>
      <c r="H463" s="4">
        <v>1</v>
      </c>
      <c r="I463" s="4">
        <v>2459.0500000000002</v>
      </c>
      <c r="J463" s="4">
        <v>21</v>
      </c>
      <c r="K463" s="4">
        <v>4743.07</v>
      </c>
      <c r="L463" s="4">
        <v>28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150</v>
      </c>
      <c r="X463" s="4">
        <v>1</v>
      </c>
      <c r="Y463" s="4">
        <v>0</v>
      </c>
      <c r="Z463" s="4">
        <v>0</v>
      </c>
      <c r="AA463" s="4">
        <v>0</v>
      </c>
      <c r="AB463" s="4">
        <v>0</v>
      </c>
      <c r="AC463" s="4">
        <v>1762.02</v>
      </c>
      <c r="AD463" s="4">
        <v>14</v>
      </c>
      <c r="AE463" s="4">
        <v>1217</v>
      </c>
      <c r="AF463" s="4">
        <v>12</v>
      </c>
      <c r="AG463" s="4">
        <v>1256.99</v>
      </c>
      <c r="AH463" s="4">
        <v>8</v>
      </c>
      <c r="AI463" s="4">
        <v>808</v>
      </c>
      <c r="AJ463" s="4">
        <v>8</v>
      </c>
      <c r="AK463" s="4">
        <v>1363.99</v>
      </c>
      <c r="AL463" s="4">
        <v>10</v>
      </c>
      <c r="AM463" s="4">
        <v>1239</v>
      </c>
      <c r="AN463" s="4">
        <v>4</v>
      </c>
      <c r="AO463" s="4">
        <v>0</v>
      </c>
      <c r="AP463" s="4">
        <v>0</v>
      </c>
      <c r="AQ463" s="4">
        <v>1683.02</v>
      </c>
      <c r="AR463" s="4">
        <v>9</v>
      </c>
      <c r="AS463" s="4">
        <v>891.01</v>
      </c>
      <c r="AT463" s="4">
        <v>9</v>
      </c>
      <c r="AU463" s="4">
        <v>1273.02</v>
      </c>
      <c r="AV463" s="4">
        <v>8</v>
      </c>
      <c r="AW463" s="4">
        <v>1637.91</v>
      </c>
      <c r="AX463" s="4">
        <v>11</v>
      </c>
      <c r="AY463" s="4">
        <v>2915.86</v>
      </c>
      <c r="AZ463" s="4">
        <v>13</v>
      </c>
      <c r="BA463" s="4">
        <v>656.94</v>
      </c>
      <c r="BB463" s="4">
        <v>3</v>
      </c>
      <c r="BC463" s="4">
        <v>2136.0300000000002</v>
      </c>
      <c r="BD463" s="4">
        <v>9</v>
      </c>
      <c r="BE463" s="4">
        <v>1996.18</v>
      </c>
      <c r="BF463" s="4">
        <v>8</v>
      </c>
      <c r="BQ463" s="3">
        <f t="shared" si="16"/>
        <v>28264.089999999997</v>
      </c>
      <c r="BR463" s="3">
        <f t="shared" si="15"/>
        <v>177</v>
      </c>
    </row>
    <row r="464" spans="1:70" x14ac:dyDescent="0.25">
      <c r="A464" s="4" t="s">
        <v>2588</v>
      </c>
      <c r="B464" t="s">
        <v>101</v>
      </c>
      <c r="C464" s="338" t="s">
        <v>2038</v>
      </c>
      <c r="D464" s="213" t="s">
        <v>1129</v>
      </c>
      <c r="E464" s="213" t="s">
        <v>142</v>
      </c>
      <c r="F464" s="213" t="s">
        <v>132</v>
      </c>
      <c r="G464" s="4">
        <v>3313.08</v>
      </c>
      <c r="H464" s="4">
        <v>28</v>
      </c>
      <c r="I464" s="4">
        <v>2860.09</v>
      </c>
      <c r="J464" s="4">
        <v>25</v>
      </c>
      <c r="K464" s="4">
        <v>900.04</v>
      </c>
      <c r="L464" s="4">
        <v>6</v>
      </c>
      <c r="M464" s="4">
        <v>905.03</v>
      </c>
      <c r="N464" s="4">
        <v>7</v>
      </c>
      <c r="O464" s="4">
        <v>0</v>
      </c>
      <c r="P464" s="4">
        <v>0</v>
      </c>
      <c r="Q464" s="4">
        <v>3521.03</v>
      </c>
      <c r="R464" s="4">
        <v>19</v>
      </c>
      <c r="S464" s="4">
        <v>2335.04</v>
      </c>
      <c r="T464" s="4">
        <v>12</v>
      </c>
      <c r="U464" s="4">
        <v>3003.11</v>
      </c>
      <c r="V464" s="4">
        <v>20</v>
      </c>
      <c r="W464" s="4">
        <v>840.02</v>
      </c>
      <c r="X464" s="4">
        <v>6</v>
      </c>
      <c r="Y464" s="4">
        <v>1724.02</v>
      </c>
      <c r="Z464" s="4">
        <v>11</v>
      </c>
      <c r="AA464" s="4">
        <v>0</v>
      </c>
      <c r="AB464" s="4">
        <v>0</v>
      </c>
      <c r="AC464" s="4">
        <v>622</v>
      </c>
      <c r="AD464" s="4">
        <v>4</v>
      </c>
      <c r="AE464" s="4">
        <v>1725</v>
      </c>
      <c r="AF464" s="4">
        <v>6</v>
      </c>
      <c r="AG464" s="4">
        <v>891</v>
      </c>
      <c r="AH464" s="4">
        <v>6</v>
      </c>
      <c r="AI464" s="4">
        <v>472</v>
      </c>
      <c r="AJ464" s="4">
        <v>5</v>
      </c>
      <c r="AK464" s="4">
        <v>874.01</v>
      </c>
      <c r="AL464" s="4">
        <v>4</v>
      </c>
      <c r="AM464" s="4">
        <v>300</v>
      </c>
      <c r="AN464" s="4">
        <v>2</v>
      </c>
      <c r="AO464" s="4">
        <v>1698.02</v>
      </c>
      <c r="AP464" s="4">
        <v>5</v>
      </c>
      <c r="AQ464" s="4">
        <v>0</v>
      </c>
      <c r="AR464" s="4">
        <v>0</v>
      </c>
      <c r="AS464" s="4">
        <v>474</v>
      </c>
      <c r="AT464" s="4">
        <v>3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Q464" s="3">
        <f t="shared" si="16"/>
        <v>26457.49</v>
      </c>
      <c r="BR464" s="3">
        <f t="shared" si="15"/>
        <v>169</v>
      </c>
    </row>
    <row r="465" spans="1:70" x14ac:dyDescent="0.25">
      <c r="A465" s="4" t="s">
        <v>2589</v>
      </c>
      <c r="B465" t="s">
        <v>101</v>
      </c>
      <c r="C465" s="338" t="s">
        <v>2039</v>
      </c>
      <c r="D465" s="213" t="s">
        <v>1130</v>
      </c>
      <c r="E465" s="213" t="s">
        <v>142</v>
      </c>
      <c r="F465" s="213" t="s">
        <v>132</v>
      </c>
      <c r="G465" s="4">
        <v>2220.06</v>
      </c>
      <c r="H465" s="4">
        <v>16</v>
      </c>
      <c r="I465" s="4">
        <v>0</v>
      </c>
      <c r="J465" s="4">
        <v>0</v>
      </c>
      <c r="K465" s="4">
        <v>1209.03</v>
      </c>
      <c r="L465" s="4">
        <v>10</v>
      </c>
      <c r="M465" s="4">
        <v>0</v>
      </c>
      <c r="N465" s="4">
        <v>0</v>
      </c>
      <c r="O465" s="4">
        <v>1923.08</v>
      </c>
      <c r="P465" s="4">
        <v>13</v>
      </c>
      <c r="Q465" s="4">
        <v>479</v>
      </c>
      <c r="R465" s="4">
        <v>6</v>
      </c>
      <c r="S465" s="4">
        <v>3420.13</v>
      </c>
      <c r="T465" s="4">
        <v>14</v>
      </c>
      <c r="U465" s="4">
        <v>1695</v>
      </c>
      <c r="V465" s="4">
        <v>12</v>
      </c>
      <c r="W465" s="4">
        <v>0</v>
      </c>
      <c r="X465" s="4">
        <v>0</v>
      </c>
      <c r="Y465" s="4">
        <v>1963.01</v>
      </c>
      <c r="Z465" s="4">
        <v>10</v>
      </c>
      <c r="AA465" s="4">
        <v>1019.03</v>
      </c>
      <c r="AB465" s="4">
        <v>8</v>
      </c>
      <c r="AC465" s="4">
        <v>344</v>
      </c>
      <c r="AD465" s="4">
        <v>3</v>
      </c>
      <c r="AE465" s="4">
        <v>763</v>
      </c>
      <c r="AF465" s="4">
        <v>4</v>
      </c>
      <c r="AG465" s="4">
        <v>1430.04</v>
      </c>
      <c r="AH465" s="4">
        <v>9</v>
      </c>
      <c r="AI465" s="4">
        <v>1590.05</v>
      </c>
      <c r="AJ465" s="4">
        <v>5</v>
      </c>
      <c r="AK465" s="4">
        <v>0</v>
      </c>
      <c r="AL465" s="4">
        <v>0</v>
      </c>
      <c r="AM465" s="4">
        <v>824.99</v>
      </c>
      <c r="AN465" s="4">
        <v>5</v>
      </c>
      <c r="AO465" s="4">
        <v>315</v>
      </c>
      <c r="AP465" s="4">
        <v>2</v>
      </c>
      <c r="AQ465" s="4">
        <v>1314.01</v>
      </c>
      <c r="AR465" s="4">
        <v>8</v>
      </c>
      <c r="AS465" s="4">
        <v>551.02</v>
      </c>
      <c r="AT465" s="4">
        <v>4</v>
      </c>
      <c r="AU465" s="4">
        <v>1295</v>
      </c>
      <c r="AV465" s="4">
        <v>10</v>
      </c>
      <c r="AW465" s="4">
        <v>562.96</v>
      </c>
      <c r="AX465" s="4">
        <v>4</v>
      </c>
      <c r="AY465" s="4">
        <v>0</v>
      </c>
      <c r="AZ465" s="4">
        <v>0</v>
      </c>
      <c r="BA465" s="4">
        <v>172</v>
      </c>
      <c r="BB465" s="4">
        <v>3</v>
      </c>
      <c r="BC465" s="4">
        <v>1277.95</v>
      </c>
      <c r="BD465" s="4">
        <v>6</v>
      </c>
      <c r="BE465" s="4">
        <v>572.04</v>
      </c>
      <c r="BF465" s="4">
        <v>4</v>
      </c>
      <c r="BQ465" s="3">
        <f t="shared" si="16"/>
        <v>24940.400000000001</v>
      </c>
      <c r="BR465" s="3">
        <f t="shared" si="15"/>
        <v>156</v>
      </c>
    </row>
    <row r="466" spans="1:70" x14ac:dyDescent="0.25">
      <c r="A466" s="4" t="s">
        <v>2590</v>
      </c>
      <c r="B466" t="s">
        <v>102</v>
      </c>
      <c r="C466" s="338" t="s">
        <v>2040</v>
      </c>
      <c r="D466" s="213" t="s">
        <v>1131</v>
      </c>
      <c r="E466" s="213" t="s">
        <v>156</v>
      </c>
      <c r="F466" s="213" t="s">
        <v>131</v>
      </c>
      <c r="G466" s="4">
        <v>2802.03</v>
      </c>
      <c r="H466" s="4">
        <v>17</v>
      </c>
      <c r="I466" s="4">
        <v>621.01</v>
      </c>
      <c r="J466" s="4">
        <v>11</v>
      </c>
      <c r="K466" s="4">
        <v>1419.02</v>
      </c>
      <c r="L466" s="4">
        <v>12</v>
      </c>
      <c r="M466" s="4">
        <v>1955.04</v>
      </c>
      <c r="N466" s="4">
        <v>10</v>
      </c>
      <c r="O466" s="4">
        <v>150</v>
      </c>
      <c r="P466" s="4">
        <v>1</v>
      </c>
      <c r="Q466" s="4">
        <v>0</v>
      </c>
      <c r="R466" s="4">
        <v>0</v>
      </c>
      <c r="S466" s="4">
        <v>1432.01</v>
      </c>
      <c r="T466" s="4">
        <v>14</v>
      </c>
      <c r="U466" s="4">
        <v>996.01</v>
      </c>
      <c r="V466" s="4">
        <v>8</v>
      </c>
      <c r="W466" s="4">
        <v>1810.02</v>
      </c>
      <c r="X466" s="4">
        <v>19</v>
      </c>
      <c r="Y466" s="4">
        <v>755.97</v>
      </c>
      <c r="Z466" s="4">
        <v>5</v>
      </c>
      <c r="AA466" s="4">
        <v>814.01</v>
      </c>
      <c r="AB466" s="4">
        <v>9</v>
      </c>
      <c r="AC466" s="4">
        <v>696.02</v>
      </c>
      <c r="AD466" s="4">
        <v>6</v>
      </c>
      <c r="AE466" s="4">
        <v>0</v>
      </c>
      <c r="AF466" s="4">
        <v>0</v>
      </c>
      <c r="AG466" s="4">
        <v>731.99</v>
      </c>
      <c r="AH466" s="4">
        <v>6</v>
      </c>
      <c r="AI466" s="4">
        <v>1983.01</v>
      </c>
      <c r="AJ466" s="4">
        <v>15</v>
      </c>
      <c r="AK466" s="4">
        <v>379.01</v>
      </c>
      <c r="AL466" s="4">
        <v>3</v>
      </c>
      <c r="AM466" s="4">
        <v>995.01</v>
      </c>
      <c r="AN466" s="4">
        <v>6</v>
      </c>
      <c r="AO466" s="4">
        <v>697.01</v>
      </c>
      <c r="AP466" s="4">
        <v>7</v>
      </c>
      <c r="AQ466" s="4">
        <v>0</v>
      </c>
      <c r="AR466" s="4">
        <v>0</v>
      </c>
      <c r="AS466" s="4">
        <v>0</v>
      </c>
      <c r="AT466" s="4">
        <v>0</v>
      </c>
      <c r="AU466" s="4">
        <v>253.99</v>
      </c>
      <c r="AV466" s="4">
        <v>3</v>
      </c>
      <c r="AW466" s="4">
        <v>150</v>
      </c>
      <c r="AX466" s="4">
        <v>1</v>
      </c>
      <c r="AY466" s="4">
        <v>399</v>
      </c>
      <c r="AZ466" s="4">
        <v>6</v>
      </c>
      <c r="BA466" s="4">
        <v>967.95</v>
      </c>
      <c r="BB466" s="4">
        <v>8</v>
      </c>
      <c r="BC466" s="4">
        <v>1485.88</v>
      </c>
      <c r="BD466" s="4">
        <v>7</v>
      </c>
      <c r="BE466" s="4">
        <v>44</v>
      </c>
      <c r="BF466" s="4">
        <v>1</v>
      </c>
      <c r="BQ466" s="3">
        <f t="shared" si="16"/>
        <v>21537.989999999998</v>
      </c>
      <c r="BR466" s="3">
        <f t="shared" si="15"/>
        <v>175</v>
      </c>
    </row>
    <row r="467" spans="1:70" x14ac:dyDescent="0.25">
      <c r="A467" s="4" t="s">
        <v>2591</v>
      </c>
      <c r="B467" t="s">
        <v>102</v>
      </c>
      <c r="C467" s="338" t="s">
        <v>1775</v>
      </c>
      <c r="D467" s="213" t="s">
        <v>866</v>
      </c>
      <c r="E467" s="213" t="s">
        <v>156</v>
      </c>
      <c r="F467" s="213" t="s">
        <v>131</v>
      </c>
      <c r="G467" s="4">
        <v>1699.02</v>
      </c>
      <c r="H467" s="4">
        <v>15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525</v>
      </c>
      <c r="R467" s="4">
        <v>3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1520.01</v>
      </c>
      <c r="AF467" s="4">
        <v>13</v>
      </c>
      <c r="AG467" s="4">
        <v>0</v>
      </c>
      <c r="AH467" s="4">
        <v>0</v>
      </c>
      <c r="AI467" s="4">
        <v>0</v>
      </c>
      <c r="AJ467" s="4">
        <v>0</v>
      </c>
      <c r="AK467" s="4">
        <v>1020.02</v>
      </c>
      <c r="AL467" s="4">
        <v>8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Q467" s="3">
        <f t="shared" si="16"/>
        <v>4764.0499999999993</v>
      </c>
      <c r="BR467" s="3">
        <f t="shared" si="15"/>
        <v>39</v>
      </c>
    </row>
    <row r="468" spans="1:70" x14ac:dyDescent="0.25">
      <c r="A468" s="4" t="s">
        <v>2592</v>
      </c>
      <c r="B468" t="s">
        <v>102</v>
      </c>
      <c r="C468" s="338" t="s">
        <v>2041</v>
      </c>
      <c r="D468" s="213" t="s">
        <v>1132</v>
      </c>
      <c r="E468" s="213" t="s">
        <v>156</v>
      </c>
      <c r="F468" s="213" t="s">
        <v>131</v>
      </c>
      <c r="G468" s="4">
        <v>0</v>
      </c>
      <c r="H468" s="4">
        <v>0</v>
      </c>
      <c r="I468" s="4">
        <v>0</v>
      </c>
      <c r="J468" s="4">
        <v>0</v>
      </c>
      <c r="K468" s="4">
        <v>1467.01</v>
      </c>
      <c r="L468" s="4">
        <v>13</v>
      </c>
      <c r="M468" s="4">
        <v>1363.02</v>
      </c>
      <c r="N468" s="4">
        <v>7</v>
      </c>
      <c r="O468" s="4">
        <v>2106.0300000000002</v>
      </c>
      <c r="P468" s="4">
        <v>16</v>
      </c>
      <c r="Q468" s="4">
        <v>1015.02</v>
      </c>
      <c r="R468" s="4">
        <v>4</v>
      </c>
      <c r="S468" s="4">
        <v>675.02</v>
      </c>
      <c r="T468" s="4">
        <v>5</v>
      </c>
      <c r="U468" s="4">
        <v>763.02</v>
      </c>
      <c r="V468" s="4">
        <v>7</v>
      </c>
      <c r="W468" s="4">
        <v>0</v>
      </c>
      <c r="X468" s="4">
        <v>0</v>
      </c>
      <c r="Y468" s="4">
        <v>909.02</v>
      </c>
      <c r="Z468" s="4">
        <v>6</v>
      </c>
      <c r="AA468" s="4">
        <v>225</v>
      </c>
      <c r="AB468" s="4">
        <v>3</v>
      </c>
      <c r="AC468" s="4">
        <v>877</v>
      </c>
      <c r="AD468" s="4">
        <v>7</v>
      </c>
      <c r="AE468" s="4">
        <v>281</v>
      </c>
      <c r="AF468" s="4">
        <v>3</v>
      </c>
      <c r="AG468" s="4">
        <v>975.02</v>
      </c>
      <c r="AH468" s="4">
        <v>6</v>
      </c>
      <c r="AI468" s="4">
        <v>525</v>
      </c>
      <c r="AJ468" s="4">
        <v>4</v>
      </c>
      <c r="AK468" s="4">
        <v>0</v>
      </c>
      <c r="AL468" s="4">
        <v>0</v>
      </c>
      <c r="AM468" s="4">
        <v>709.01</v>
      </c>
      <c r="AN468" s="4">
        <v>6</v>
      </c>
      <c r="AO468" s="4">
        <v>1254</v>
      </c>
      <c r="AP468" s="4">
        <v>10</v>
      </c>
      <c r="AQ468" s="4">
        <v>105</v>
      </c>
      <c r="AR468" s="4">
        <v>2</v>
      </c>
      <c r="AS468" s="4">
        <v>1115.01</v>
      </c>
      <c r="AT468" s="4">
        <v>10</v>
      </c>
      <c r="AU468" s="4">
        <v>75</v>
      </c>
      <c r="AV468" s="4">
        <v>1</v>
      </c>
      <c r="AW468" s="4">
        <v>300</v>
      </c>
      <c r="AX468" s="4">
        <v>2</v>
      </c>
      <c r="AY468" s="4">
        <v>0</v>
      </c>
      <c r="AZ468" s="4">
        <v>0</v>
      </c>
      <c r="BA468" s="4">
        <v>385.98</v>
      </c>
      <c r="BB468" s="4">
        <v>3</v>
      </c>
      <c r="BC468" s="4">
        <v>554.98</v>
      </c>
      <c r="BD468" s="4">
        <v>5</v>
      </c>
      <c r="BE468" s="4">
        <v>770.03</v>
      </c>
      <c r="BF468" s="4">
        <v>6</v>
      </c>
      <c r="BQ468" s="3">
        <f t="shared" si="16"/>
        <v>16450.170000000002</v>
      </c>
      <c r="BR468" s="3">
        <f t="shared" si="15"/>
        <v>126</v>
      </c>
    </row>
    <row r="469" spans="1:70" x14ac:dyDescent="0.25">
      <c r="A469" s="4" t="s">
        <v>2593</v>
      </c>
      <c r="B469" t="s">
        <v>103</v>
      </c>
      <c r="C469" s="338" t="s">
        <v>1821</v>
      </c>
      <c r="D469" s="213" t="s">
        <v>912</v>
      </c>
      <c r="E469" s="213" t="s">
        <v>159</v>
      </c>
      <c r="F469" s="213" t="s">
        <v>133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849.01</v>
      </c>
      <c r="P469" s="4">
        <v>7</v>
      </c>
      <c r="Q469" s="4">
        <v>600</v>
      </c>
      <c r="R469" s="4">
        <v>4</v>
      </c>
      <c r="S469" s="4">
        <v>0</v>
      </c>
      <c r="T469" s="4">
        <v>0</v>
      </c>
      <c r="U469" s="4">
        <v>150</v>
      </c>
      <c r="V469" s="4">
        <v>1</v>
      </c>
      <c r="W469" s="4">
        <v>1065.01</v>
      </c>
      <c r="X469" s="4">
        <v>8</v>
      </c>
      <c r="Y469" s="4">
        <v>0</v>
      </c>
      <c r="Z469" s="4">
        <v>0</v>
      </c>
      <c r="AA469" s="4">
        <v>450.02</v>
      </c>
      <c r="AB469" s="4">
        <v>5</v>
      </c>
      <c r="AC469" s="4">
        <v>75</v>
      </c>
      <c r="AD469" s="4">
        <v>1</v>
      </c>
      <c r="AE469" s="4">
        <v>415</v>
      </c>
      <c r="AF469" s="4">
        <v>3</v>
      </c>
      <c r="AG469" s="4">
        <v>450</v>
      </c>
      <c r="AH469" s="4">
        <v>5</v>
      </c>
      <c r="AI469" s="4">
        <v>24</v>
      </c>
      <c r="AJ469" s="4">
        <v>1</v>
      </c>
      <c r="AK469" s="4">
        <v>0</v>
      </c>
      <c r="AL469" s="4">
        <v>0</v>
      </c>
      <c r="AM469" s="4">
        <v>375</v>
      </c>
      <c r="AN469" s="4">
        <v>3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909.01</v>
      </c>
      <c r="AV469" s="4">
        <v>7</v>
      </c>
      <c r="AW469" s="4">
        <v>782.94</v>
      </c>
      <c r="AX469" s="4">
        <v>5</v>
      </c>
      <c r="AY469" s="4">
        <v>571.96</v>
      </c>
      <c r="AZ469" s="4">
        <v>4</v>
      </c>
      <c r="BA469" s="4">
        <v>994.94</v>
      </c>
      <c r="BB469" s="4">
        <v>4</v>
      </c>
      <c r="BC469" s="4">
        <v>150</v>
      </c>
      <c r="BD469" s="4">
        <v>1</v>
      </c>
      <c r="BE469" s="4">
        <v>211.02</v>
      </c>
      <c r="BF469" s="4">
        <v>1</v>
      </c>
      <c r="BQ469" s="3">
        <f t="shared" si="16"/>
        <v>8072.91</v>
      </c>
      <c r="BR469" s="3">
        <f t="shared" si="15"/>
        <v>60</v>
      </c>
    </row>
    <row r="470" spans="1:70" x14ac:dyDescent="0.25">
      <c r="A470" s="4" t="s">
        <v>2594</v>
      </c>
      <c r="B470" t="s">
        <v>103</v>
      </c>
      <c r="C470" s="338" t="s">
        <v>2042</v>
      </c>
      <c r="D470" s="213" t="s">
        <v>1133</v>
      </c>
      <c r="E470" s="213" t="s">
        <v>159</v>
      </c>
      <c r="F470" s="213" t="s">
        <v>133</v>
      </c>
      <c r="G470" s="4">
        <v>1602.08</v>
      </c>
      <c r="H470" s="4">
        <v>13</v>
      </c>
      <c r="I470" s="4">
        <v>1043.03</v>
      </c>
      <c r="J470" s="4">
        <v>9</v>
      </c>
      <c r="K470" s="4">
        <v>827</v>
      </c>
      <c r="L470" s="4">
        <v>5</v>
      </c>
      <c r="M470" s="4">
        <v>465.01</v>
      </c>
      <c r="N470" s="4">
        <v>3</v>
      </c>
      <c r="O470" s="4">
        <v>639.01</v>
      </c>
      <c r="P470" s="4">
        <v>4</v>
      </c>
      <c r="Q470" s="4">
        <v>625.01</v>
      </c>
      <c r="R470" s="4">
        <v>4</v>
      </c>
      <c r="S470" s="4">
        <v>394.01</v>
      </c>
      <c r="T470" s="4">
        <v>3</v>
      </c>
      <c r="U470" s="4">
        <v>300.01</v>
      </c>
      <c r="V470" s="4">
        <v>2</v>
      </c>
      <c r="W470" s="4">
        <v>0</v>
      </c>
      <c r="X470" s="4">
        <v>0</v>
      </c>
      <c r="Y470" s="4">
        <v>799.02</v>
      </c>
      <c r="Z470" s="4">
        <v>4</v>
      </c>
      <c r="AA470" s="4">
        <v>725</v>
      </c>
      <c r="AB470" s="4">
        <v>4</v>
      </c>
      <c r="AC470" s="4">
        <v>1240.04</v>
      </c>
      <c r="AD470" s="4">
        <v>7</v>
      </c>
      <c r="AE470" s="4">
        <v>0</v>
      </c>
      <c r="AF470" s="4">
        <v>0</v>
      </c>
      <c r="AG470" s="4">
        <v>502</v>
      </c>
      <c r="AH470" s="4">
        <v>4</v>
      </c>
      <c r="AI470" s="4">
        <v>364.01</v>
      </c>
      <c r="AJ470" s="4">
        <v>2</v>
      </c>
      <c r="AK470" s="4">
        <v>814</v>
      </c>
      <c r="AL470" s="4">
        <v>4</v>
      </c>
      <c r="AM470" s="4">
        <v>177</v>
      </c>
      <c r="AN470" s="4">
        <v>2</v>
      </c>
      <c r="AO470" s="4">
        <v>450</v>
      </c>
      <c r="AP470" s="4">
        <v>3</v>
      </c>
      <c r="AQ470" s="4">
        <v>0</v>
      </c>
      <c r="AR470" s="4">
        <v>0</v>
      </c>
      <c r="AS470" s="4">
        <v>225</v>
      </c>
      <c r="AT470" s="4">
        <v>1</v>
      </c>
      <c r="AU470" s="4">
        <v>0</v>
      </c>
      <c r="AV470" s="4">
        <v>0</v>
      </c>
      <c r="AW470" s="4">
        <v>225.98</v>
      </c>
      <c r="AX470" s="4">
        <v>1</v>
      </c>
      <c r="AY470" s="4">
        <v>435.98</v>
      </c>
      <c r="AZ470" s="4">
        <v>3</v>
      </c>
      <c r="BA470" s="4">
        <v>150</v>
      </c>
      <c r="BB470" s="4">
        <v>1</v>
      </c>
      <c r="BC470" s="4">
        <v>529.01</v>
      </c>
      <c r="BD470" s="4">
        <v>4</v>
      </c>
      <c r="BE470" s="4">
        <v>422.04</v>
      </c>
      <c r="BF470" s="4">
        <v>2</v>
      </c>
      <c r="BQ470" s="3">
        <f t="shared" si="16"/>
        <v>12954.240000000002</v>
      </c>
      <c r="BR470" s="3">
        <f t="shared" si="15"/>
        <v>85</v>
      </c>
    </row>
    <row r="471" spans="1:70" x14ac:dyDescent="0.25">
      <c r="A471" s="4" t="s">
        <v>2595</v>
      </c>
      <c r="B471" t="s">
        <v>103</v>
      </c>
      <c r="C471" s="338" t="s">
        <v>2043</v>
      </c>
      <c r="D471" s="213" t="s">
        <v>1134</v>
      </c>
      <c r="E471" s="213" t="s">
        <v>159</v>
      </c>
      <c r="F471" s="213" t="s">
        <v>133</v>
      </c>
      <c r="G471" s="4">
        <v>1180.04</v>
      </c>
      <c r="H471" s="4">
        <v>9</v>
      </c>
      <c r="I471" s="4">
        <v>698.03</v>
      </c>
      <c r="J471" s="4">
        <v>6</v>
      </c>
      <c r="K471" s="4">
        <v>0</v>
      </c>
      <c r="L471" s="4">
        <v>0</v>
      </c>
      <c r="M471" s="4">
        <v>745.01</v>
      </c>
      <c r="N471" s="4">
        <v>5</v>
      </c>
      <c r="O471" s="4">
        <v>591.04</v>
      </c>
      <c r="P471" s="4">
        <v>4</v>
      </c>
      <c r="Q471" s="4">
        <v>0</v>
      </c>
      <c r="R471" s="4">
        <v>0</v>
      </c>
      <c r="S471" s="4">
        <v>799.02</v>
      </c>
      <c r="T471" s="4">
        <v>6</v>
      </c>
      <c r="U471" s="4">
        <v>450</v>
      </c>
      <c r="V471" s="4">
        <v>3</v>
      </c>
      <c r="W471" s="4">
        <v>1127.03</v>
      </c>
      <c r="X471" s="4">
        <v>6</v>
      </c>
      <c r="Y471" s="4">
        <v>198.01</v>
      </c>
      <c r="Z471" s="4">
        <v>1</v>
      </c>
      <c r="AA471" s="4">
        <v>741.01</v>
      </c>
      <c r="AB471" s="4">
        <v>5</v>
      </c>
      <c r="AC471" s="4">
        <v>0</v>
      </c>
      <c r="AD471" s="4">
        <v>0</v>
      </c>
      <c r="AE471" s="4">
        <v>562.02</v>
      </c>
      <c r="AF471" s="4">
        <v>4</v>
      </c>
      <c r="AG471" s="4">
        <v>0</v>
      </c>
      <c r="AH471" s="4">
        <v>0</v>
      </c>
      <c r="AI471" s="4">
        <v>300</v>
      </c>
      <c r="AJ471" s="4">
        <v>2</v>
      </c>
      <c r="AK471" s="4">
        <v>150</v>
      </c>
      <c r="AL471" s="4">
        <v>1</v>
      </c>
      <c r="AM471" s="4">
        <v>0</v>
      </c>
      <c r="AN471" s="4">
        <v>0</v>
      </c>
      <c r="AO471" s="4">
        <v>300</v>
      </c>
      <c r="AP471" s="4">
        <v>2</v>
      </c>
      <c r="AQ471" s="4">
        <v>873</v>
      </c>
      <c r="AR471" s="4">
        <v>6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Q471" s="3">
        <f t="shared" si="16"/>
        <v>8714.2099999999991</v>
      </c>
      <c r="BR471" s="3">
        <f t="shared" si="15"/>
        <v>60</v>
      </c>
    </row>
    <row r="472" spans="1:70" x14ac:dyDescent="0.25">
      <c r="A472" s="4" t="s">
        <v>2596</v>
      </c>
      <c r="B472" t="s">
        <v>103</v>
      </c>
      <c r="C472" s="338" t="s">
        <v>2044</v>
      </c>
      <c r="D472" s="213" t="s">
        <v>1135</v>
      </c>
      <c r="E472" s="213" t="s">
        <v>159</v>
      </c>
      <c r="F472" s="213" t="s">
        <v>133</v>
      </c>
      <c r="G472" s="4">
        <v>960.01</v>
      </c>
      <c r="H472" s="4">
        <v>7</v>
      </c>
      <c r="I472" s="4">
        <v>0</v>
      </c>
      <c r="J472" s="4">
        <v>0</v>
      </c>
      <c r="K472" s="4">
        <v>2383.0700000000002</v>
      </c>
      <c r="L472" s="4">
        <v>17</v>
      </c>
      <c r="M472" s="4">
        <v>1288.03</v>
      </c>
      <c r="N472" s="4">
        <v>8</v>
      </c>
      <c r="O472" s="4">
        <v>449.99</v>
      </c>
      <c r="P472" s="4">
        <v>1</v>
      </c>
      <c r="Q472" s="4">
        <v>836.03</v>
      </c>
      <c r="R472" s="4">
        <v>6</v>
      </c>
      <c r="S472" s="4">
        <v>538.02</v>
      </c>
      <c r="T472" s="4">
        <v>4</v>
      </c>
      <c r="U472" s="4">
        <v>349.01</v>
      </c>
      <c r="V472" s="4">
        <v>2</v>
      </c>
      <c r="W472" s="4">
        <v>291</v>
      </c>
      <c r="X472" s="4">
        <v>2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650.01</v>
      </c>
      <c r="AH472" s="4">
        <v>5</v>
      </c>
      <c r="AI472" s="4">
        <v>216</v>
      </c>
      <c r="AJ472" s="4">
        <v>2</v>
      </c>
      <c r="AK472" s="4">
        <v>549</v>
      </c>
      <c r="AL472" s="4">
        <v>4</v>
      </c>
      <c r="AM472" s="4">
        <v>100.99</v>
      </c>
      <c r="AN472" s="4">
        <v>1</v>
      </c>
      <c r="AO472" s="4">
        <v>99</v>
      </c>
      <c r="AP472" s="4">
        <v>1</v>
      </c>
      <c r="AQ472" s="4">
        <v>265</v>
      </c>
      <c r="AR472" s="4">
        <v>2</v>
      </c>
      <c r="AS472" s="4">
        <v>346</v>
      </c>
      <c r="AT472" s="4">
        <v>2</v>
      </c>
      <c r="AU472" s="4">
        <v>225</v>
      </c>
      <c r="AV472" s="4">
        <v>2</v>
      </c>
      <c r="AW472" s="4">
        <v>210.98</v>
      </c>
      <c r="AX472" s="4">
        <v>1</v>
      </c>
      <c r="AY472" s="4">
        <v>0</v>
      </c>
      <c r="AZ472" s="4">
        <v>0</v>
      </c>
      <c r="BA472" s="4">
        <v>1428.88</v>
      </c>
      <c r="BB472" s="4">
        <v>4</v>
      </c>
      <c r="BC472" s="4">
        <v>285.98</v>
      </c>
      <c r="BD472" s="4">
        <v>2</v>
      </c>
      <c r="BE472" s="4">
        <v>150</v>
      </c>
      <c r="BF472" s="4">
        <v>1</v>
      </c>
      <c r="BQ472" s="3">
        <f t="shared" si="16"/>
        <v>11622</v>
      </c>
      <c r="BR472" s="3">
        <f t="shared" si="15"/>
        <v>74</v>
      </c>
    </row>
    <row r="473" spans="1:70" x14ac:dyDescent="0.25">
      <c r="A473" s="4" t="s">
        <v>2597</v>
      </c>
      <c r="B473" t="s">
        <v>104</v>
      </c>
      <c r="C473" s="338" t="s">
        <v>2045</v>
      </c>
      <c r="D473" s="213" t="s">
        <v>1136</v>
      </c>
      <c r="E473" s="213" t="s">
        <v>154</v>
      </c>
      <c r="F473" s="213" t="s">
        <v>126</v>
      </c>
      <c r="G473" s="4">
        <v>1917.06</v>
      </c>
      <c r="H473" s="4">
        <v>8</v>
      </c>
      <c r="I473" s="4">
        <v>1866.03</v>
      </c>
      <c r="J473" s="4">
        <v>8</v>
      </c>
      <c r="K473" s="4">
        <v>588.03</v>
      </c>
      <c r="L473" s="4">
        <v>2</v>
      </c>
      <c r="M473" s="4">
        <v>0</v>
      </c>
      <c r="N473" s="4">
        <v>0</v>
      </c>
      <c r="O473" s="4">
        <v>379.01</v>
      </c>
      <c r="P473" s="4">
        <v>2</v>
      </c>
      <c r="Q473" s="4">
        <v>346.99</v>
      </c>
      <c r="R473" s="4">
        <v>2</v>
      </c>
      <c r="S473" s="4">
        <v>150</v>
      </c>
      <c r="T473" s="4">
        <v>1</v>
      </c>
      <c r="U473" s="4">
        <v>2400.11</v>
      </c>
      <c r="V473" s="4">
        <v>8</v>
      </c>
      <c r="W473" s="4">
        <v>1755.04</v>
      </c>
      <c r="X473" s="4">
        <v>4</v>
      </c>
      <c r="Y473" s="4">
        <v>844.99</v>
      </c>
      <c r="Z473" s="4">
        <v>3</v>
      </c>
      <c r="AA473" s="4">
        <v>0</v>
      </c>
      <c r="AB473" s="4">
        <v>0</v>
      </c>
      <c r="AC473" s="4">
        <v>0</v>
      </c>
      <c r="AD473" s="4">
        <v>0</v>
      </c>
      <c r="AE473" s="4">
        <v>918.04</v>
      </c>
      <c r="AF473" s="4">
        <v>4</v>
      </c>
      <c r="AG473" s="4">
        <v>225</v>
      </c>
      <c r="AH473" s="4">
        <v>2</v>
      </c>
      <c r="AI473" s="4">
        <v>300</v>
      </c>
      <c r="AJ473" s="4">
        <v>2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225.01</v>
      </c>
      <c r="AR473" s="4">
        <v>2</v>
      </c>
      <c r="AS473" s="4">
        <v>150.01</v>
      </c>
      <c r="AT473" s="4">
        <v>1</v>
      </c>
      <c r="AU473" s="4">
        <v>0</v>
      </c>
      <c r="AV473" s="4">
        <v>0</v>
      </c>
      <c r="AW473" s="4">
        <v>111.01</v>
      </c>
      <c r="AX473" s="4">
        <v>1</v>
      </c>
      <c r="AY473" s="4">
        <v>3352.79</v>
      </c>
      <c r="AZ473" s="4">
        <v>8</v>
      </c>
      <c r="BA473" s="4">
        <v>1556.9</v>
      </c>
      <c r="BB473" s="4">
        <v>3</v>
      </c>
      <c r="BC473" s="4">
        <v>913.92</v>
      </c>
      <c r="BD473" s="4">
        <v>3</v>
      </c>
      <c r="BE473" s="4">
        <v>844.08</v>
      </c>
      <c r="BF473" s="4">
        <v>2</v>
      </c>
      <c r="BQ473" s="3">
        <f t="shared" si="16"/>
        <v>18844.02</v>
      </c>
      <c r="BR473" s="3">
        <f t="shared" si="15"/>
        <v>66</v>
      </c>
    </row>
    <row r="474" spans="1:70" x14ac:dyDescent="0.25">
      <c r="A474" s="4" t="s">
        <v>2598</v>
      </c>
      <c r="B474" t="s">
        <v>104</v>
      </c>
      <c r="C474" s="338" t="s">
        <v>2046</v>
      </c>
      <c r="D474" s="213" t="s">
        <v>1137</v>
      </c>
      <c r="E474" s="213" t="s">
        <v>154</v>
      </c>
      <c r="F474" s="213" t="s">
        <v>126</v>
      </c>
      <c r="G474" s="4">
        <v>1002.03</v>
      </c>
      <c r="H474" s="4">
        <v>5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Q474" s="3">
        <f t="shared" si="16"/>
        <v>1002.03</v>
      </c>
      <c r="BR474" s="3">
        <f t="shared" si="15"/>
        <v>5</v>
      </c>
    </row>
    <row r="475" spans="1:70" x14ac:dyDescent="0.25">
      <c r="A475" s="4" t="s">
        <v>2599</v>
      </c>
      <c r="B475" t="s">
        <v>104</v>
      </c>
      <c r="C475" s="338" t="s">
        <v>1708</v>
      </c>
      <c r="D475" s="213" t="s">
        <v>799</v>
      </c>
      <c r="E475" s="213" t="s">
        <v>154</v>
      </c>
      <c r="F475" s="213" t="s">
        <v>126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653.01</v>
      </c>
      <c r="AH475" s="4">
        <v>2</v>
      </c>
      <c r="AI475" s="4">
        <v>150.02000000000001</v>
      </c>
      <c r="AJ475" s="4">
        <v>1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150</v>
      </c>
      <c r="AT475" s="4">
        <v>1</v>
      </c>
      <c r="AU475" s="4">
        <v>340</v>
      </c>
      <c r="AV475" s="4">
        <v>1</v>
      </c>
      <c r="AW475" s="4">
        <v>409.99</v>
      </c>
      <c r="AX475" s="4">
        <v>2</v>
      </c>
      <c r="AY475" s="4">
        <v>0</v>
      </c>
      <c r="AZ475" s="4">
        <v>0</v>
      </c>
      <c r="BA475" s="4">
        <v>0</v>
      </c>
      <c r="BB475" s="4">
        <v>0</v>
      </c>
      <c r="BC475" s="4">
        <v>210.98</v>
      </c>
      <c r="BD475" s="4">
        <v>1</v>
      </c>
      <c r="BE475" s="4">
        <v>464.04</v>
      </c>
      <c r="BF475" s="4">
        <v>2</v>
      </c>
      <c r="BQ475" s="3">
        <f t="shared" si="16"/>
        <v>2378.04</v>
      </c>
      <c r="BR475" s="3">
        <f t="shared" si="15"/>
        <v>10</v>
      </c>
    </row>
    <row r="476" spans="1:70" x14ac:dyDescent="0.25">
      <c r="A476" s="4" t="s">
        <v>2600</v>
      </c>
      <c r="B476" t="s">
        <v>104</v>
      </c>
      <c r="C476" s="338" t="s">
        <v>2047</v>
      </c>
      <c r="D476" s="213" t="s">
        <v>1138</v>
      </c>
      <c r="E476" s="213" t="s">
        <v>154</v>
      </c>
      <c r="F476" s="213" t="s">
        <v>126</v>
      </c>
      <c r="G476" s="4">
        <v>2418.1</v>
      </c>
      <c r="H476" s="4">
        <v>7</v>
      </c>
      <c r="I476" s="4">
        <v>2874.05</v>
      </c>
      <c r="J476" s="4">
        <v>9</v>
      </c>
      <c r="K476" s="4">
        <v>1196.03</v>
      </c>
      <c r="L476" s="4">
        <v>7</v>
      </c>
      <c r="M476" s="4">
        <v>613.01</v>
      </c>
      <c r="N476" s="4">
        <v>4</v>
      </c>
      <c r="O476" s="4">
        <v>0</v>
      </c>
      <c r="P476" s="4">
        <v>0</v>
      </c>
      <c r="Q476" s="4">
        <v>450.01</v>
      </c>
      <c r="R476" s="4">
        <v>3</v>
      </c>
      <c r="S476" s="4">
        <v>1688.06</v>
      </c>
      <c r="T476" s="4">
        <v>4</v>
      </c>
      <c r="U476" s="4">
        <v>2009.08</v>
      </c>
      <c r="V476" s="4">
        <v>5</v>
      </c>
      <c r="W476" s="4">
        <v>1323.05</v>
      </c>
      <c r="X476" s="4">
        <v>6</v>
      </c>
      <c r="Y476" s="4">
        <v>900.01</v>
      </c>
      <c r="Z476" s="4">
        <v>5</v>
      </c>
      <c r="AA476" s="4">
        <v>1722</v>
      </c>
      <c r="AB476" s="4">
        <v>7</v>
      </c>
      <c r="AC476" s="4">
        <v>520.02</v>
      </c>
      <c r="AD476" s="4">
        <v>4</v>
      </c>
      <c r="AE476" s="4">
        <v>1630.05</v>
      </c>
      <c r="AF476" s="4">
        <v>7</v>
      </c>
      <c r="AG476" s="4">
        <v>150.02000000000001</v>
      </c>
      <c r="AH476" s="4">
        <v>1</v>
      </c>
      <c r="AI476" s="4">
        <v>1169.02</v>
      </c>
      <c r="AJ476" s="4">
        <v>6</v>
      </c>
      <c r="AK476" s="4">
        <v>3370.98</v>
      </c>
      <c r="AL476" s="4">
        <v>10</v>
      </c>
      <c r="AM476" s="4">
        <v>524.99</v>
      </c>
      <c r="AN476" s="4">
        <v>3</v>
      </c>
      <c r="AO476" s="4">
        <v>646.01</v>
      </c>
      <c r="AP476" s="4">
        <v>2</v>
      </c>
      <c r="AQ476" s="4">
        <v>1590.04</v>
      </c>
      <c r="AR476" s="4">
        <v>7</v>
      </c>
      <c r="AS476" s="4">
        <v>150</v>
      </c>
      <c r="AT476" s="4">
        <v>1</v>
      </c>
      <c r="AU476" s="4">
        <v>0</v>
      </c>
      <c r="AV476" s="4">
        <v>0</v>
      </c>
      <c r="AW476" s="4">
        <v>1391.92</v>
      </c>
      <c r="AX476" s="4">
        <v>4</v>
      </c>
      <c r="AY476" s="4">
        <v>1265.8800000000001</v>
      </c>
      <c r="AZ476" s="4">
        <v>3</v>
      </c>
      <c r="BA476" s="4">
        <v>571.96</v>
      </c>
      <c r="BB476" s="4">
        <v>4</v>
      </c>
      <c r="BC476" s="4">
        <v>210.98</v>
      </c>
      <c r="BD476" s="4">
        <v>1</v>
      </c>
      <c r="BE476" s="4">
        <v>0</v>
      </c>
      <c r="BF476" s="4">
        <v>0</v>
      </c>
      <c r="BQ476" s="3">
        <f t="shared" si="16"/>
        <v>28385.270000000004</v>
      </c>
      <c r="BR476" s="3">
        <f t="shared" si="15"/>
        <v>110</v>
      </c>
    </row>
    <row r="477" spans="1:70" x14ac:dyDescent="0.25">
      <c r="A477" s="4" t="s">
        <v>2601</v>
      </c>
      <c r="B477" t="s">
        <v>104</v>
      </c>
      <c r="C477" s="338" t="s">
        <v>2048</v>
      </c>
      <c r="D477" s="213" t="s">
        <v>1139</v>
      </c>
      <c r="E477" s="213" t="s">
        <v>154</v>
      </c>
      <c r="F477" s="213" t="s">
        <v>126</v>
      </c>
      <c r="G477" s="4">
        <v>1422.03</v>
      </c>
      <c r="H477" s="4">
        <v>5</v>
      </c>
      <c r="I477" s="4">
        <v>938.02</v>
      </c>
      <c r="J477" s="4">
        <v>4</v>
      </c>
      <c r="K477" s="4">
        <v>1239.99</v>
      </c>
      <c r="L477" s="4">
        <v>4</v>
      </c>
      <c r="M477" s="4">
        <v>0</v>
      </c>
      <c r="N477" s="4">
        <v>0</v>
      </c>
      <c r="O477" s="4">
        <v>686.01</v>
      </c>
      <c r="P477" s="4">
        <v>3</v>
      </c>
      <c r="Q477" s="4">
        <v>150.01</v>
      </c>
      <c r="R477" s="4">
        <v>1</v>
      </c>
      <c r="S477" s="4">
        <v>0</v>
      </c>
      <c r="T477" s="4">
        <v>0</v>
      </c>
      <c r="U477" s="4">
        <v>300</v>
      </c>
      <c r="V477" s="4">
        <v>2</v>
      </c>
      <c r="W477" s="4">
        <v>1378</v>
      </c>
      <c r="X477" s="4">
        <v>5</v>
      </c>
      <c r="Y477" s="4">
        <v>824.01</v>
      </c>
      <c r="Z477" s="4">
        <v>3</v>
      </c>
      <c r="AA477" s="4">
        <v>474</v>
      </c>
      <c r="AB477" s="4">
        <v>3</v>
      </c>
      <c r="AC477" s="4">
        <v>450</v>
      </c>
      <c r="AD477" s="4">
        <v>1</v>
      </c>
      <c r="AE477" s="4">
        <v>439.01</v>
      </c>
      <c r="AF477" s="4">
        <v>2</v>
      </c>
      <c r="AG477" s="4">
        <v>0</v>
      </c>
      <c r="AH477" s="4">
        <v>0</v>
      </c>
      <c r="AI477" s="4">
        <v>0</v>
      </c>
      <c r="AJ477" s="4">
        <v>0</v>
      </c>
      <c r="AK477" s="4">
        <v>1370.01</v>
      </c>
      <c r="AL477" s="4">
        <v>5</v>
      </c>
      <c r="AM477" s="4">
        <v>794.01</v>
      </c>
      <c r="AN477" s="4">
        <v>2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369.01</v>
      </c>
      <c r="AV477" s="4">
        <v>2</v>
      </c>
      <c r="AW477" s="4">
        <v>0</v>
      </c>
      <c r="AX477" s="4">
        <v>0</v>
      </c>
      <c r="AY477" s="4">
        <v>1109.94</v>
      </c>
      <c r="AZ477" s="4">
        <v>3</v>
      </c>
      <c r="BA477" s="4">
        <v>610.97</v>
      </c>
      <c r="BB477" s="4">
        <v>2</v>
      </c>
      <c r="BC477" s="4">
        <v>0</v>
      </c>
      <c r="BD477" s="4">
        <v>0</v>
      </c>
      <c r="BE477" s="4">
        <v>1322.09</v>
      </c>
      <c r="BF477" s="4">
        <v>1</v>
      </c>
      <c r="BQ477" s="3">
        <f t="shared" si="16"/>
        <v>13877.11</v>
      </c>
      <c r="BR477" s="3">
        <f t="shared" si="15"/>
        <v>48</v>
      </c>
    </row>
    <row r="478" spans="1:70" x14ac:dyDescent="0.25">
      <c r="A478" s="4" t="s">
        <v>2602</v>
      </c>
      <c r="B478" t="s">
        <v>105</v>
      </c>
      <c r="C478" s="338" t="s">
        <v>2049</v>
      </c>
      <c r="D478" s="213" t="s">
        <v>1140</v>
      </c>
      <c r="E478" s="213" t="s">
        <v>137</v>
      </c>
      <c r="F478" s="213" t="s">
        <v>127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482</v>
      </c>
      <c r="P478" s="4">
        <v>4</v>
      </c>
      <c r="Q478" s="4">
        <v>0</v>
      </c>
      <c r="R478" s="4">
        <v>0</v>
      </c>
      <c r="S478" s="4">
        <v>1348.03</v>
      </c>
      <c r="T478" s="4">
        <v>5</v>
      </c>
      <c r="U478" s="4">
        <v>829.02</v>
      </c>
      <c r="V478" s="4">
        <v>4</v>
      </c>
      <c r="W478" s="4">
        <v>893.01</v>
      </c>
      <c r="X478" s="4">
        <v>5</v>
      </c>
      <c r="Y478" s="4">
        <v>150</v>
      </c>
      <c r="Z478" s="4">
        <v>4</v>
      </c>
      <c r="AA478" s="4">
        <v>0</v>
      </c>
      <c r="AB478" s="4">
        <v>0</v>
      </c>
      <c r="AC478" s="4">
        <v>911.02</v>
      </c>
      <c r="AD478" s="4">
        <v>2</v>
      </c>
      <c r="AE478" s="4">
        <v>0</v>
      </c>
      <c r="AF478" s="4">
        <v>0</v>
      </c>
      <c r="AG478" s="4">
        <v>0</v>
      </c>
      <c r="AH478" s="4">
        <v>0</v>
      </c>
      <c r="AI478" s="4">
        <v>507</v>
      </c>
      <c r="AJ478" s="4">
        <v>2</v>
      </c>
      <c r="AK478" s="4">
        <v>0</v>
      </c>
      <c r="AL478" s="4">
        <v>0</v>
      </c>
      <c r="AM478" s="4">
        <v>0</v>
      </c>
      <c r="AN478" s="4">
        <v>0</v>
      </c>
      <c r="AO478" s="4">
        <v>300.01</v>
      </c>
      <c r="AP478" s="4">
        <v>2</v>
      </c>
      <c r="AQ478" s="4">
        <v>214</v>
      </c>
      <c r="AR478" s="4">
        <v>2</v>
      </c>
      <c r="AS478" s="4">
        <v>0</v>
      </c>
      <c r="AT478" s="4">
        <v>0</v>
      </c>
      <c r="AU478" s="4">
        <v>274.01</v>
      </c>
      <c r="AV478" s="4">
        <v>2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Q478" s="3">
        <f t="shared" si="16"/>
        <v>5908.1</v>
      </c>
      <c r="BR478" s="3">
        <f t="shared" si="15"/>
        <v>32</v>
      </c>
    </row>
    <row r="479" spans="1:70" x14ac:dyDescent="0.25">
      <c r="A479" s="4" t="s">
        <v>2603</v>
      </c>
      <c r="B479" t="s">
        <v>105</v>
      </c>
      <c r="C479" s="338" t="s">
        <v>2050</v>
      </c>
      <c r="D479" s="213" t="s">
        <v>1141</v>
      </c>
      <c r="E479" s="213" t="s">
        <v>137</v>
      </c>
      <c r="F479" s="213" t="s">
        <v>127</v>
      </c>
      <c r="G479" s="4">
        <v>2318.02</v>
      </c>
      <c r="H479" s="4">
        <v>19</v>
      </c>
      <c r="I479" s="4">
        <v>2452.06</v>
      </c>
      <c r="J479" s="4">
        <v>23</v>
      </c>
      <c r="K479" s="4">
        <v>901</v>
      </c>
      <c r="L479" s="4">
        <v>5</v>
      </c>
      <c r="M479" s="4">
        <v>1504.04</v>
      </c>
      <c r="N479" s="4">
        <v>10</v>
      </c>
      <c r="O479" s="4">
        <v>0</v>
      </c>
      <c r="P479" s="4">
        <v>0</v>
      </c>
      <c r="Q479" s="4">
        <v>681</v>
      </c>
      <c r="R479" s="4">
        <v>6</v>
      </c>
      <c r="S479" s="4">
        <v>1182</v>
      </c>
      <c r="T479" s="4">
        <v>8</v>
      </c>
      <c r="U479" s="4">
        <v>1450.01</v>
      </c>
      <c r="V479" s="4">
        <v>12</v>
      </c>
      <c r="W479" s="4">
        <v>1577.02</v>
      </c>
      <c r="X479" s="4">
        <v>8</v>
      </c>
      <c r="Y479" s="4">
        <v>319</v>
      </c>
      <c r="Z479" s="4">
        <v>4</v>
      </c>
      <c r="AA479" s="4">
        <v>0</v>
      </c>
      <c r="AB479" s="4">
        <v>0</v>
      </c>
      <c r="AC479" s="4">
        <v>547.01</v>
      </c>
      <c r="AD479" s="4">
        <v>7</v>
      </c>
      <c r="AE479" s="4">
        <v>1022.01</v>
      </c>
      <c r="AF479" s="4">
        <v>10</v>
      </c>
      <c r="AG479" s="4">
        <v>1065.01</v>
      </c>
      <c r="AH479" s="4">
        <v>6</v>
      </c>
      <c r="AI479" s="4">
        <v>2249.0700000000002</v>
      </c>
      <c r="AJ479" s="4">
        <v>8</v>
      </c>
      <c r="AK479" s="4">
        <v>1988.03</v>
      </c>
      <c r="AL479" s="4">
        <v>12</v>
      </c>
      <c r="AM479" s="4">
        <v>750</v>
      </c>
      <c r="AN479" s="4">
        <v>4</v>
      </c>
      <c r="AO479" s="4">
        <v>0</v>
      </c>
      <c r="AP479" s="4">
        <v>0</v>
      </c>
      <c r="AQ479" s="4">
        <v>484.01</v>
      </c>
      <c r="AR479" s="4">
        <v>4</v>
      </c>
      <c r="AS479" s="4">
        <v>600.01</v>
      </c>
      <c r="AT479" s="4">
        <v>5</v>
      </c>
      <c r="AU479" s="4">
        <v>1130.01</v>
      </c>
      <c r="AV479" s="4">
        <v>8</v>
      </c>
      <c r="AW479" s="4">
        <v>836.94</v>
      </c>
      <c r="AX479" s="4">
        <v>5</v>
      </c>
      <c r="AY479" s="4">
        <v>0</v>
      </c>
      <c r="AZ479" s="4">
        <v>0</v>
      </c>
      <c r="BA479" s="4">
        <v>944.96</v>
      </c>
      <c r="BB479" s="4">
        <v>7</v>
      </c>
      <c r="BC479" s="4">
        <v>658</v>
      </c>
      <c r="BD479" s="4">
        <v>7</v>
      </c>
      <c r="BE479" s="4">
        <v>115</v>
      </c>
      <c r="BF479" s="4">
        <v>1</v>
      </c>
      <c r="BQ479" s="3">
        <f t="shared" si="16"/>
        <v>24774.209999999992</v>
      </c>
      <c r="BR479" s="3">
        <f t="shared" si="15"/>
        <v>179</v>
      </c>
    </row>
    <row r="480" spans="1:70" x14ac:dyDescent="0.25">
      <c r="A480" s="4" t="s">
        <v>2604</v>
      </c>
      <c r="B480" t="s">
        <v>105</v>
      </c>
      <c r="C480" s="338" t="s">
        <v>2051</v>
      </c>
      <c r="D480" s="213" t="s">
        <v>1142</v>
      </c>
      <c r="E480" s="213" t="s">
        <v>137</v>
      </c>
      <c r="F480" s="213" t="s">
        <v>127</v>
      </c>
      <c r="G480" s="4">
        <v>706.04</v>
      </c>
      <c r="H480" s="4">
        <v>4</v>
      </c>
      <c r="I480" s="4">
        <v>17697.29</v>
      </c>
      <c r="J480" s="4">
        <v>17</v>
      </c>
      <c r="K480" s="4">
        <v>1240</v>
      </c>
      <c r="L480" s="4">
        <v>7</v>
      </c>
      <c r="M480" s="4">
        <v>775.03</v>
      </c>
      <c r="N480" s="4">
        <v>5</v>
      </c>
      <c r="O480" s="4">
        <v>2063.0500000000002</v>
      </c>
      <c r="P480" s="4">
        <v>13</v>
      </c>
      <c r="Q480" s="4">
        <v>628.01</v>
      </c>
      <c r="R480" s="4">
        <v>3</v>
      </c>
      <c r="S480" s="4">
        <v>0</v>
      </c>
      <c r="T480" s="4">
        <v>0</v>
      </c>
      <c r="U480" s="4">
        <v>358.02</v>
      </c>
      <c r="V480" s="4">
        <v>3</v>
      </c>
      <c r="W480" s="4">
        <v>0</v>
      </c>
      <c r="X480" s="4">
        <v>0</v>
      </c>
      <c r="Y480" s="4">
        <v>0</v>
      </c>
      <c r="Z480" s="4">
        <v>0</v>
      </c>
      <c r="AA480" s="4">
        <v>2099.02</v>
      </c>
      <c r="AB480" s="4">
        <v>12</v>
      </c>
      <c r="AC480" s="4">
        <v>531</v>
      </c>
      <c r="AD480" s="4">
        <v>3</v>
      </c>
      <c r="AE480" s="4">
        <v>285</v>
      </c>
      <c r="AF480" s="4">
        <v>2</v>
      </c>
      <c r="AG480" s="4">
        <v>1457.03</v>
      </c>
      <c r="AH480" s="4">
        <v>9</v>
      </c>
      <c r="AI480" s="4">
        <v>0</v>
      </c>
      <c r="AJ480" s="4">
        <v>0</v>
      </c>
      <c r="AK480" s="4">
        <v>150</v>
      </c>
      <c r="AL480" s="4">
        <v>1</v>
      </c>
      <c r="AM480" s="4">
        <v>1259.05</v>
      </c>
      <c r="AN480" s="4">
        <v>5</v>
      </c>
      <c r="AO480" s="4">
        <v>525.01</v>
      </c>
      <c r="AP480" s="4">
        <v>4</v>
      </c>
      <c r="AQ480" s="4">
        <v>150.01</v>
      </c>
      <c r="AR480" s="4">
        <v>3</v>
      </c>
      <c r="AS480" s="4">
        <v>0</v>
      </c>
      <c r="AT480" s="4">
        <v>0</v>
      </c>
      <c r="AU480" s="4">
        <v>0</v>
      </c>
      <c r="AV480" s="4">
        <v>0</v>
      </c>
      <c r="AW480" s="4">
        <v>235.98</v>
      </c>
      <c r="AX480" s="4">
        <v>2</v>
      </c>
      <c r="AY480" s="4">
        <v>484.99</v>
      </c>
      <c r="AZ480" s="4">
        <v>3</v>
      </c>
      <c r="BA480" s="4">
        <v>0</v>
      </c>
      <c r="BB480" s="4">
        <v>0</v>
      </c>
      <c r="BC480" s="4">
        <v>0</v>
      </c>
      <c r="BD480" s="4">
        <v>0</v>
      </c>
      <c r="BE480" s="4">
        <v>1222.0899999999999</v>
      </c>
      <c r="BF480" s="4">
        <v>8</v>
      </c>
      <c r="BQ480" s="3">
        <f t="shared" si="16"/>
        <v>31866.619999999995</v>
      </c>
      <c r="BR480" s="3">
        <f t="shared" si="15"/>
        <v>104</v>
      </c>
    </row>
    <row r="481" spans="1:70" x14ac:dyDescent="0.25">
      <c r="A481" s="4" t="s">
        <v>2605</v>
      </c>
      <c r="B481" t="s">
        <v>106</v>
      </c>
      <c r="C481" s="338" t="s">
        <v>1901</v>
      </c>
      <c r="D481" s="213" t="s">
        <v>992</v>
      </c>
      <c r="E481" s="213" t="s">
        <v>161</v>
      </c>
      <c r="F481" s="213" t="s">
        <v>131</v>
      </c>
      <c r="G481" s="4">
        <v>853.02</v>
      </c>
      <c r="H481" s="4">
        <v>5</v>
      </c>
      <c r="I481" s="4">
        <v>767.02</v>
      </c>
      <c r="J481" s="4">
        <v>8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150.01</v>
      </c>
      <c r="V481" s="4">
        <v>1</v>
      </c>
      <c r="W481" s="4">
        <v>0</v>
      </c>
      <c r="X481" s="4">
        <v>0</v>
      </c>
      <c r="Y481" s="4">
        <v>0</v>
      </c>
      <c r="Z481" s="4">
        <v>0</v>
      </c>
      <c r="AA481" s="4">
        <v>300.01</v>
      </c>
      <c r="AB481" s="4">
        <v>2</v>
      </c>
      <c r="AC481" s="4">
        <v>611.01</v>
      </c>
      <c r="AD481" s="4">
        <v>4</v>
      </c>
      <c r="AE481" s="4">
        <v>0</v>
      </c>
      <c r="AF481" s="4">
        <v>0</v>
      </c>
      <c r="AG481" s="4">
        <v>0</v>
      </c>
      <c r="AH481" s="4">
        <v>0</v>
      </c>
      <c r="AI481" s="4">
        <v>299.99</v>
      </c>
      <c r="AJ481" s="4">
        <v>1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97</v>
      </c>
      <c r="AR481" s="4">
        <v>2</v>
      </c>
      <c r="AS481" s="4">
        <v>450.02</v>
      </c>
      <c r="AT481" s="4">
        <v>2</v>
      </c>
      <c r="AU481" s="4">
        <v>0</v>
      </c>
      <c r="AV481" s="4">
        <v>0</v>
      </c>
      <c r="AW481" s="4">
        <v>0</v>
      </c>
      <c r="AX481" s="4">
        <v>0</v>
      </c>
      <c r="AY481" s="4">
        <v>903.96</v>
      </c>
      <c r="AZ481" s="4">
        <v>7</v>
      </c>
      <c r="BA481" s="4">
        <v>0</v>
      </c>
      <c r="BB481" s="4">
        <v>0</v>
      </c>
      <c r="BC481" s="4">
        <v>0</v>
      </c>
      <c r="BD481" s="4">
        <v>0</v>
      </c>
      <c r="BE481" s="4">
        <v>1664.03</v>
      </c>
      <c r="BF481" s="4">
        <v>12</v>
      </c>
      <c r="BQ481" s="3">
        <f t="shared" si="16"/>
        <v>6096.0699999999988</v>
      </c>
      <c r="BR481" s="3">
        <f t="shared" si="15"/>
        <v>44</v>
      </c>
    </row>
    <row r="482" spans="1:70" x14ac:dyDescent="0.25">
      <c r="A482" s="4" t="s">
        <v>2606</v>
      </c>
      <c r="B482" t="s">
        <v>106</v>
      </c>
      <c r="C482" s="338" t="s">
        <v>2052</v>
      </c>
      <c r="D482" s="213" t="s">
        <v>1143</v>
      </c>
      <c r="E482" s="213" t="s">
        <v>161</v>
      </c>
      <c r="F482" s="213" t="s">
        <v>131</v>
      </c>
      <c r="G482" s="4">
        <v>1271</v>
      </c>
      <c r="H482" s="4">
        <v>14</v>
      </c>
      <c r="I482" s="4">
        <v>0</v>
      </c>
      <c r="J482" s="4">
        <v>0</v>
      </c>
      <c r="K482" s="4">
        <v>954.03</v>
      </c>
      <c r="L482" s="4">
        <v>10</v>
      </c>
      <c r="M482" s="4">
        <v>1036.01</v>
      </c>
      <c r="N482" s="4">
        <v>8</v>
      </c>
      <c r="O482" s="4">
        <v>773</v>
      </c>
      <c r="P482" s="4">
        <v>6</v>
      </c>
      <c r="Q482" s="4">
        <v>0</v>
      </c>
      <c r="R482" s="4">
        <v>0</v>
      </c>
      <c r="S482" s="4">
        <v>204.01</v>
      </c>
      <c r="T482" s="4">
        <v>2</v>
      </c>
      <c r="U482" s="4">
        <v>1999.04</v>
      </c>
      <c r="V482" s="4">
        <v>14</v>
      </c>
      <c r="W482" s="4">
        <v>2552.0100000000002</v>
      </c>
      <c r="X482" s="4">
        <v>8</v>
      </c>
      <c r="Y482" s="4">
        <v>416.01</v>
      </c>
      <c r="Z482" s="4">
        <v>3</v>
      </c>
      <c r="AA482" s="4">
        <v>300</v>
      </c>
      <c r="AB482" s="4">
        <v>2</v>
      </c>
      <c r="AC482" s="4">
        <v>150.01</v>
      </c>
      <c r="AD482" s="4">
        <v>1</v>
      </c>
      <c r="AE482" s="4">
        <v>429.01</v>
      </c>
      <c r="AF482" s="4">
        <v>3</v>
      </c>
      <c r="AG482" s="4">
        <v>265</v>
      </c>
      <c r="AH482" s="4">
        <v>2</v>
      </c>
      <c r="AI482" s="4">
        <v>0</v>
      </c>
      <c r="AJ482" s="4">
        <v>0</v>
      </c>
      <c r="AK482" s="4">
        <v>0</v>
      </c>
      <c r="AL482" s="4">
        <v>0</v>
      </c>
      <c r="AM482" s="4">
        <v>1277.02</v>
      </c>
      <c r="AN482" s="4">
        <v>10</v>
      </c>
      <c r="AO482" s="4">
        <v>759.02</v>
      </c>
      <c r="AP482" s="4">
        <v>7</v>
      </c>
      <c r="AQ482" s="4">
        <v>965.04</v>
      </c>
      <c r="AR482" s="4">
        <v>8</v>
      </c>
      <c r="AS482" s="4">
        <v>0</v>
      </c>
      <c r="AT482" s="4">
        <v>0</v>
      </c>
      <c r="AU482" s="4">
        <v>979.98</v>
      </c>
      <c r="AV482" s="4">
        <v>4</v>
      </c>
      <c r="AW482" s="4">
        <v>1156.96</v>
      </c>
      <c r="AX482" s="4">
        <v>6</v>
      </c>
      <c r="AY482" s="4">
        <v>2651.85</v>
      </c>
      <c r="AZ482" s="4">
        <v>15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Q482" s="3">
        <f t="shared" si="16"/>
        <v>18139</v>
      </c>
      <c r="BR482" s="3">
        <f t="shared" si="15"/>
        <v>123</v>
      </c>
    </row>
    <row r="483" spans="1:70" x14ac:dyDescent="0.25">
      <c r="A483" s="4" t="s">
        <v>2607</v>
      </c>
      <c r="B483" t="s">
        <v>106</v>
      </c>
      <c r="C483" s="338" t="s">
        <v>2053</v>
      </c>
      <c r="D483" s="213" t="s">
        <v>1144</v>
      </c>
      <c r="E483" s="213" t="s">
        <v>161</v>
      </c>
      <c r="F483" s="213" t="s">
        <v>131</v>
      </c>
      <c r="G483" s="4">
        <v>899.03</v>
      </c>
      <c r="H483" s="4">
        <v>8</v>
      </c>
      <c r="I483" s="4">
        <v>0</v>
      </c>
      <c r="J483" s="4">
        <v>0</v>
      </c>
      <c r="K483" s="4">
        <v>1244.01</v>
      </c>
      <c r="L483" s="4">
        <v>10</v>
      </c>
      <c r="M483" s="4">
        <v>1035.03</v>
      </c>
      <c r="N483" s="4">
        <v>6</v>
      </c>
      <c r="O483" s="4">
        <v>0</v>
      </c>
      <c r="P483" s="4">
        <v>0</v>
      </c>
      <c r="Q483" s="4">
        <v>1112.02</v>
      </c>
      <c r="R483" s="4">
        <v>10</v>
      </c>
      <c r="S483" s="4">
        <v>2492.02</v>
      </c>
      <c r="T483" s="4">
        <v>16</v>
      </c>
      <c r="U483" s="4">
        <v>709.01</v>
      </c>
      <c r="V483" s="4">
        <v>5</v>
      </c>
      <c r="W483" s="4">
        <v>1939.01</v>
      </c>
      <c r="X483" s="4">
        <v>14</v>
      </c>
      <c r="Y483" s="4">
        <v>1299.01</v>
      </c>
      <c r="Z483" s="4">
        <v>10</v>
      </c>
      <c r="AA483" s="4">
        <v>150</v>
      </c>
      <c r="AB483" s="4">
        <v>1</v>
      </c>
      <c r="AC483" s="4">
        <v>0</v>
      </c>
      <c r="AD483" s="4">
        <v>0</v>
      </c>
      <c r="AE483" s="4">
        <v>1312.03</v>
      </c>
      <c r="AF483" s="4">
        <v>9</v>
      </c>
      <c r="AG483" s="4">
        <v>0</v>
      </c>
      <c r="AH483" s="4">
        <v>0</v>
      </c>
      <c r="AI483" s="4">
        <v>940.01</v>
      </c>
      <c r="AJ483" s="4">
        <v>7</v>
      </c>
      <c r="AK483" s="4">
        <v>1540.03</v>
      </c>
      <c r="AL483" s="4">
        <v>11</v>
      </c>
      <c r="AM483" s="4">
        <v>150</v>
      </c>
      <c r="AN483" s="4">
        <v>1</v>
      </c>
      <c r="AO483" s="4">
        <v>340</v>
      </c>
      <c r="AP483" s="4">
        <v>3</v>
      </c>
      <c r="AQ483" s="4">
        <v>0</v>
      </c>
      <c r="AR483" s="4">
        <v>0</v>
      </c>
      <c r="AS483" s="4">
        <v>452</v>
      </c>
      <c r="AT483" s="4">
        <v>5</v>
      </c>
      <c r="AU483" s="4">
        <v>701.03</v>
      </c>
      <c r="AV483" s="4">
        <v>6</v>
      </c>
      <c r="AW483" s="4">
        <v>0</v>
      </c>
      <c r="AX483" s="4">
        <v>0</v>
      </c>
      <c r="AY483" s="4">
        <v>0</v>
      </c>
      <c r="AZ483" s="4">
        <v>0</v>
      </c>
      <c r="BA483" s="4">
        <v>1543.98</v>
      </c>
      <c r="BB483" s="4">
        <v>10</v>
      </c>
      <c r="BC483" s="4">
        <v>579.96</v>
      </c>
      <c r="BD483" s="4">
        <v>3</v>
      </c>
      <c r="BE483" s="4">
        <v>0</v>
      </c>
      <c r="BF483" s="4">
        <v>0</v>
      </c>
      <c r="BQ483" s="3">
        <f t="shared" si="16"/>
        <v>18438.180000000004</v>
      </c>
      <c r="BR483" s="3">
        <f t="shared" si="15"/>
        <v>135</v>
      </c>
    </row>
    <row r="484" spans="1:70" x14ac:dyDescent="0.25">
      <c r="A484" s="4" t="s">
        <v>2608</v>
      </c>
      <c r="B484" t="s">
        <v>106</v>
      </c>
      <c r="C484" s="338" t="s">
        <v>2054</v>
      </c>
      <c r="D484" s="213" t="s">
        <v>1145</v>
      </c>
      <c r="E484" s="213" t="s">
        <v>161</v>
      </c>
      <c r="F484" s="213" t="s">
        <v>131</v>
      </c>
      <c r="G484" s="4">
        <v>0</v>
      </c>
      <c r="H484" s="4">
        <v>0</v>
      </c>
      <c r="I484" s="4">
        <v>3891.04</v>
      </c>
      <c r="J484" s="4">
        <v>30</v>
      </c>
      <c r="K484" s="4">
        <v>2415</v>
      </c>
      <c r="L484" s="4">
        <v>13</v>
      </c>
      <c r="M484" s="4">
        <v>300</v>
      </c>
      <c r="N484" s="4">
        <v>3</v>
      </c>
      <c r="O484" s="4">
        <v>75</v>
      </c>
      <c r="P484" s="4">
        <v>1</v>
      </c>
      <c r="Q484" s="4">
        <v>872.02</v>
      </c>
      <c r="R484" s="4">
        <v>5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902.01</v>
      </c>
      <c r="AD484" s="4">
        <v>9</v>
      </c>
      <c r="AE484" s="4">
        <v>0</v>
      </c>
      <c r="AF484" s="4">
        <v>0</v>
      </c>
      <c r="AG484" s="4">
        <v>2042.04</v>
      </c>
      <c r="AH484" s="4">
        <v>12</v>
      </c>
      <c r="AI484" s="4">
        <v>842.01</v>
      </c>
      <c r="AJ484" s="4">
        <v>8</v>
      </c>
      <c r="AK484" s="4">
        <v>739.01</v>
      </c>
      <c r="AL484" s="4">
        <v>8</v>
      </c>
      <c r="AM484" s="4">
        <v>375.01</v>
      </c>
      <c r="AN484" s="4">
        <v>3</v>
      </c>
      <c r="AO484" s="4">
        <v>685</v>
      </c>
      <c r="AP484" s="4">
        <v>4</v>
      </c>
      <c r="AQ484" s="4">
        <v>0</v>
      </c>
      <c r="AR484" s="4">
        <v>0</v>
      </c>
      <c r="AS484" s="4">
        <v>317</v>
      </c>
      <c r="AT484" s="4">
        <v>5</v>
      </c>
      <c r="AU484" s="4">
        <v>0</v>
      </c>
      <c r="AV484" s="4">
        <v>0</v>
      </c>
      <c r="AW484" s="4">
        <v>560.98</v>
      </c>
      <c r="AX484" s="4">
        <v>3</v>
      </c>
      <c r="AY484" s="4">
        <v>0</v>
      </c>
      <c r="AZ484" s="4">
        <v>0</v>
      </c>
      <c r="BA484" s="4">
        <v>334</v>
      </c>
      <c r="BB484" s="4">
        <v>3</v>
      </c>
      <c r="BC484" s="4">
        <v>384.98</v>
      </c>
      <c r="BD484" s="4">
        <v>4</v>
      </c>
      <c r="BE484" s="4">
        <v>361.02</v>
      </c>
      <c r="BF484" s="4">
        <v>3</v>
      </c>
      <c r="BQ484" s="3">
        <f t="shared" si="16"/>
        <v>15096.12</v>
      </c>
      <c r="BR484" s="3">
        <f t="shared" si="15"/>
        <v>114</v>
      </c>
    </row>
    <row r="485" spans="1:70" x14ac:dyDescent="0.25">
      <c r="A485" s="4" t="s">
        <v>2609</v>
      </c>
      <c r="B485" t="s">
        <v>107</v>
      </c>
      <c r="C485" s="338" t="s">
        <v>2055</v>
      </c>
      <c r="D485" s="213" t="s">
        <v>1146</v>
      </c>
      <c r="E485" s="213" t="s">
        <v>142</v>
      </c>
      <c r="F485" s="213" t="s">
        <v>132</v>
      </c>
      <c r="G485" s="4">
        <v>96</v>
      </c>
      <c r="H485" s="4">
        <v>1</v>
      </c>
      <c r="I485" s="4">
        <v>171</v>
      </c>
      <c r="J485" s="4">
        <v>2</v>
      </c>
      <c r="K485" s="4">
        <v>75</v>
      </c>
      <c r="L485" s="4">
        <v>1</v>
      </c>
      <c r="M485" s="4">
        <v>100</v>
      </c>
      <c r="N485" s="4">
        <v>1</v>
      </c>
      <c r="O485" s="4">
        <v>75</v>
      </c>
      <c r="P485" s="4">
        <v>1</v>
      </c>
      <c r="Q485" s="4">
        <v>1294.98</v>
      </c>
      <c r="R485" s="4">
        <v>5</v>
      </c>
      <c r="S485" s="4">
        <v>249</v>
      </c>
      <c r="T485" s="4">
        <v>1</v>
      </c>
      <c r="U485" s="4">
        <v>0</v>
      </c>
      <c r="V485" s="4">
        <v>0</v>
      </c>
      <c r="W485" s="4">
        <v>679.02</v>
      </c>
      <c r="X485" s="4">
        <v>4</v>
      </c>
      <c r="Y485" s="4">
        <v>0</v>
      </c>
      <c r="Z485" s="4">
        <v>0</v>
      </c>
      <c r="AA485" s="4">
        <v>0</v>
      </c>
      <c r="AB485" s="4">
        <v>0</v>
      </c>
      <c r="AC485" s="4">
        <v>175.02</v>
      </c>
      <c r="AD485" s="4">
        <v>2</v>
      </c>
      <c r="AE485" s="4">
        <v>0</v>
      </c>
      <c r="AF485" s="4">
        <v>0</v>
      </c>
      <c r="AG485" s="4">
        <v>75</v>
      </c>
      <c r="AH485" s="4">
        <v>1</v>
      </c>
      <c r="AI485" s="4">
        <v>0</v>
      </c>
      <c r="AJ485" s="4">
        <v>0</v>
      </c>
      <c r="AK485" s="4">
        <v>1150</v>
      </c>
      <c r="AL485" s="4">
        <v>3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579.01</v>
      </c>
      <c r="AT485" s="4">
        <v>4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632.94000000000005</v>
      </c>
      <c r="BD485" s="4">
        <v>1</v>
      </c>
      <c r="BE485" s="4">
        <v>0</v>
      </c>
      <c r="BF485" s="4">
        <v>0</v>
      </c>
      <c r="BQ485" s="3">
        <f t="shared" si="16"/>
        <v>5351.9700000000012</v>
      </c>
      <c r="BR485" s="3">
        <f t="shared" si="15"/>
        <v>27</v>
      </c>
    </row>
    <row r="486" spans="1:70" x14ac:dyDescent="0.25">
      <c r="A486" s="4" t="s">
        <v>2610</v>
      </c>
      <c r="B486" t="s">
        <v>107</v>
      </c>
      <c r="C486" s="338" t="s">
        <v>2056</v>
      </c>
      <c r="D486" s="213" t="s">
        <v>1147</v>
      </c>
      <c r="E486" s="213" t="s">
        <v>142</v>
      </c>
      <c r="F486" s="213" t="s">
        <v>132</v>
      </c>
      <c r="G486" s="4">
        <v>548.01</v>
      </c>
      <c r="H486" s="4">
        <v>6</v>
      </c>
      <c r="I486" s="4">
        <v>96</v>
      </c>
      <c r="J486" s="4">
        <v>1</v>
      </c>
      <c r="K486" s="4">
        <v>0</v>
      </c>
      <c r="L486" s="4">
        <v>0</v>
      </c>
      <c r="M486" s="4">
        <v>847.02</v>
      </c>
      <c r="N486" s="4">
        <v>6</v>
      </c>
      <c r="O486" s="4">
        <v>160</v>
      </c>
      <c r="P486" s="4">
        <v>1</v>
      </c>
      <c r="Q486" s="4">
        <v>0</v>
      </c>
      <c r="R486" s="4">
        <v>0</v>
      </c>
      <c r="S486" s="4">
        <v>300</v>
      </c>
      <c r="T486" s="4">
        <v>7</v>
      </c>
      <c r="U486" s="4">
        <v>150</v>
      </c>
      <c r="V486" s="4">
        <v>1</v>
      </c>
      <c r="W486" s="4">
        <v>449.01</v>
      </c>
      <c r="X486" s="4">
        <v>2</v>
      </c>
      <c r="Y486" s="4">
        <v>887.01</v>
      </c>
      <c r="Z486" s="4">
        <v>4</v>
      </c>
      <c r="AA486" s="4">
        <v>754.01</v>
      </c>
      <c r="AB486" s="4">
        <v>4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1850.01</v>
      </c>
      <c r="AV486" s="4">
        <v>11</v>
      </c>
      <c r="AW486" s="4">
        <v>1018.92</v>
      </c>
      <c r="AX486" s="4">
        <v>5</v>
      </c>
      <c r="AY486" s="4">
        <v>1897.94</v>
      </c>
      <c r="AZ486" s="4">
        <v>9</v>
      </c>
      <c r="BA486" s="4">
        <v>-150</v>
      </c>
      <c r="BB486" s="4">
        <v>1</v>
      </c>
      <c r="BC486" s="4">
        <v>0</v>
      </c>
      <c r="BD486" s="4">
        <v>0</v>
      </c>
      <c r="BE486" s="4">
        <v>858.06</v>
      </c>
      <c r="BF486" s="4">
        <v>5</v>
      </c>
      <c r="BQ486" s="3">
        <f t="shared" si="16"/>
        <v>9665.99</v>
      </c>
      <c r="BR486" s="3">
        <f t="shared" si="15"/>
        <v>63</v>
      </c>
    </row>
    <row r="487" spans="1:70" x14ac:dyDescent="0.25">
      <c r="A487" s="4" t="s">
        <v>2611</v>
      </c>
      <c r="B487" t="s">
        <v>107</v>
      </c>
      <c r="C487" s="338" t="s">
        <v>2057</v>
      </c>
      <c r="D487" s="213" t="s">
        <v>1148</v>
      </c>
      <c r="E487" s="213" t="s">
        <v>142</v>
      </c>
      <c r="F487" s="213" t="s">
        <v>132</v>
      </c>
      <c r="G487" s="4">
        <v>766.02</v>
      </c>
      <c r="H487" s="4">
        <v>5</v>
      </c>
      <c r="I487" s="4">
        <v>0</v>
      </c>
      <c r="J487" s="4">
        <v>0</v>
      </c>
      <c r="K487" s="4">
        <v>0</v>
      </c>
      <c r="L487" s="4">
        <v>0</v>
      </c>
      <c r="M487" s="4">
        <v>1037.02</v>
      </c>
      <c r="N487" s="4">
        <v>6</v>
      </c>
      <c r="O487" s="4">
        <v>400</v>
      </c>
      <c r="P487" s="4">
        <v>2</v>
      </c>
      <c r="Q487" s="4">
        <v>1696.02</v>
      </c>
      <c r="R487" s="4">
        <v>8</v>
      </c>
      <c r="S487" s="4">
        <v>0</v>
      </c>
      <c r="T487" s="4">
        <v>0</v>
      </c>
      <c r="U487" s="4">
        <v>509.01</v>
      </c>
      <c r="V487" s="4">
        <v>6</v>
      </c>
      <c r="W487" s="4">
        <v>469.01</v>
      </c>
      <c r="X487" s="4">
        <v>3</v>
      </c>
      <c r="Y487" s="4">
        <v>1125</v>
      </c>
      <c r="Z487" s="4">
        <v>6</v>
      </c>
      <c r="AA487" s="4">
        <v>1100.01</v>
      </c>
      <c r="AB487" s="4">
        <v>7</v>
      </c>
      <c r="AC487" s="4">
        <v>1133</v>
      </c>
      <c r="AD487" s="4">
        <v>8</v>
      </c>
      <c r="AE487" s="4">
        <v>300</v>
      </c>
      <c r="AF487" s="4">
        <v>1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1039.01</v>
      </c>
      <c r="AP487" s="4">
        <v>4</v>
      </c>
      <c r="AQ487" s="4">
        <v>412</v>
      </c>
      <c r="AR487" s="4">
        <v>4</v>
      </c>
      <c r="AS487" s="4">
        <v>0</v>
      </c>
      <c r="AT487" s="4">
        <v>0</v>
      </c>
      <c r="AU487" s="4">
        <v>1625.01</v>
      </c>
      <c r="AV487" s="4">
        <v>7</v>
      </c>
      <c r="AW487" s="4">
        <v>1808.93</v>
      </c>
      <c r="AX487" s="4">
        <v>12</v>
      </c>
      <c r="AY487" s="4">
        <v>0</v>
      </c>
      <c r="AZ487" s="4">
        <v>0</v>
      </c>
      <c r="BA487" s="4">
        <v>1603.91</v>
      </c>
      <c r="BB487" s="4">
        <v>10</v>
      </c>
      <c r="BC487" s="4">
        <v>29.99</v>
      </c>
      <c r="BD487" s="4">
        <v>1</v>
      </c>
      <c r="BE487" s="4">
        <v>1417.09</v>
      </c>
      <c r="BF487" s="4">
        <v>8</v>
      </c>
      <c r="BQ487" s="3">
        <f t="shared" si="16"/>
        <v>16471.03</v>
      </c>
      <c r="BR487" s="3">
        <f t="shared" si="15"/>
        <v>98</v>
      </c>
    </row>
    <row r="488" spans="1:70" x14ac:dyDescent="0.25">
      <c r="A488" s="4" t="s">
        <v>2612</v>
      </c>
      <c r="B488" t="s">
        <v>107</v>
      </c>
      <c r="C488" s="338" t="s">
        <v>2058</v>
      </c>
      <c r="D488" s="213" t="s">
        <v>1149</v>
      </c>
      <c r="E488" s="213" t="s">
        <v>142</v>
      </c>
      <c r="F488" s="213" t="s">
        <v>132</v>
      </c>
      <c r="G488" s="4">
        <v>246</v>
      </c>
      <c r="H488" s="4">
        <v>1</v>
      </c>
      <c r="I488" s="4">
        <v>888.01</v>
      </c>
      <c r="J488" s="4">
        <v>6</v>
      </c>
      <c r="K488" s="4">
        <v>919.01</v>
      </c>
      <c r="L488" s="4">
        <v>5</v>
      </c>
      <c r="M488" s="4">
        <v>0</v>
      </c>
      <c r="N488" s="4">
        <v>0</v>
      </c>
      <c r="O488" s="4">
        <v>746.03</v>
      </c>
      <c r="P488" s="4">
        <v>2</v>
      </c>
      <c r="Q488" s="4">
        <v>0</v>
      </c>
      <c r="R488" s="4">
        <v>0</v>
      </c>
      <c r="S488" s="4">
        <v>163</v>
      </c>
      <c r="T488" s="4">
        <v>1</v>
      </c>
      <c r="U488" s="4">
        <v>1050</v>
      </c>
      <c r="V488" s="4">
        <v>6</v>
      </c>
      <c r="W488" s="4">
        <v>2322.0100000000002</v>
      </c>
      <c r="X488" s="4">
        <v>9</v>
      </c>
      <c r="Y488" s="4">
        <v>797.02</v>
      </c>
      <c r="Z488" s="4">
        <v>4</v>
      </c>
      <c r="AA488" s="4">
        <v>0</v>
      </c>
      <c r="AB488" s="4">
        <v>0</v>
      </c>
      <c r="AC488" s="4">
        <v>1187</v>
      </c>
      <c r="AD488" s="4">
        <v>3</v>
      </c>
      <c r="AE488" s="4">
        <v>1947.02</v>
      </c>
      <c r="AF488" s="4">
        <v>7</v>
      </c>
      <c r="AG488" s="4">
        <v>300</v>
      </c>
      <c r="AH488" s="4">
        <v>1</v>
      </c>
      <c r="AI488" s="4">
        <v>1050</v>
      </c>
      <c r="AJ488" s="4">
        <v>4</v>
      </c>
      <c r="AK488" s="4">
        <v>840</v>
      </c>
      <c r="AL488" s="4">
        <v>2</v>
      </c>
      <c r="AM488" s="4">
        <v>1961.04</v>
      </c>
      <c r="AN488" s="4">
        <v>9</v>
      </c>
      <c r="AO488" s="4">
        <v>67.97</v>
      </c>
      <c r="AP488" s="4">
        <v>6</v>
      </c>
      <c r="AQ488" s="4">
        <v>3700.95</v>
      </c>
      <c r="AR488" s="4">
        <v>9</v>
      </c>
      <c r="AS488" s="4">
        <v>850</v>
      </c>
      <c r="AT488" s="4">
        <v>6</v>
      </c>
      <c r="AU488" s="4">
        <v>0</v>
      </c>
      <c r="AV488" s="4">
        <v>0</v>
      </c>
      <c r="AW488" s="4">
        <v>0</v>
      </c>
      <c r="AX488" s="4">
        <v>0</v>
      </c>
      <c r="AY488" s="4">
        <v>1353.91</v>
      </c>
      <c r="AZ488" s="4">
        <v>6</v>
      </c>
      <c r="BA488" s="4">
        <v>711.96</v>
      </c>
      <c r="BB488" s="4">
        <v>4</v>
      </c>
      <c r="BC488" s="4">
        <v>0</v>
      </c>
      <c r="BD488" s="4">
        <v>0</v>
      </c>
      <c r="BE488" s="4">
        <v>0</v>
      </c>
      <c r="BF488" s="4">
        <v>0</v>
      </c>
      <c r="BQ488" s="3">
        <f t="shared" si="16"/>
        <v>21100.929999999997</v>
      </c>
      <c r="BR488" s="3">
        <f t="shared" si="15"/>
        <v>91</v>
      </c>
    </row>
    <row r="489" spans="1:70" x14ac:dyDescent="0.25">
      <c r="A489" s="4" t="s">
        <v>2613</v>
      </c>
      <c r="B489" t="s">
        <v>107</v>
      </c>
      <c r="C489" s="338" t="s">
        <v>2059</v>
      </c>
      <c r="D489" s="213" t="s">
        <v>1150</v>
      </c>
      <c r="E489" s="213" t="s">
        <v>142</v>
      </c>
      <c r="F489" s="213" t="s">
        <v>132</v>
      </c>
      <c r="G489" s="4">
        <v>392.02</v>
      </c>
      <c r="H489" s="4">
        <v>4</v>
      </c>
      <c r="I489" s="4">
        <v>2416.0500000000002</v>
      </c>
      <c r="J489" s="4">
        <v>5</v>
      </c>
      <c r="K489" s="4">
        <v>893.02</v>
      </c>
      <c r="L489" s="4">
        <v>3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300.04000000000002</v>
      </c>
      <c r="T489" s="4">
        <v>2</v>
      </c>
      <c r="U489" s="4">
        <v>0</v>
      </c>
      <c r="V489" s="4">
        <v>0</v>
      </c>
      <c r="W489" s="4">
        <v>1799.05</v>
      </c>
      <c r="X489" s="4">
        <v>8</v>
      </c>
      <c r="Y489" s="4">
        <v>0</v>
      </c>
      <c r="Z489" s="4">
        <v>0</v>
      </c>
      <c r="AA489" s="4">
        <v>397</v>
      </c>
      <c r="AB489" s="4">
        <v>3</v>
      </c>
      <c r="AC489" s="4">
        <v>0</v>
      </c>
      <c r="AD489" s="4">
        <v>0</v>
      </c>
      <c r="AE489" s="4">
        <v>2045.02</v>
      </c>
      <c r="AF489" s="4">
        <v>7</v>
      </c>
      <c r="AG489" s="4">
        <v>949.01</v>
      </c>
      <c r="AH489" s="4">
        <v>8</v>
      </c>
      <c r="AI489" s="4">
        <v>542.01</v>
      </c>
      <c r="AJ489" s="4">
        <v>10</v>
      </c>
      <c r="AK489" s="4">
        <v>1407.99</v>
      </c>
      <c r="AL489" s="4">
        <v>4</v>
      </c>
      <c r="AM489" s="4">
        <v>1507.02</v>
      </c>
      <c r="AN489" s="4">
        <v>4</v>
      </c>
      <c r="AO489" s="4">
        <v>944.01</v>
      </c>
      <c r="AP489" s="4">
        <v>6</v>
      </c>
      <c r="AQ489" s="4">
        <v>0</v>
      </c>
      <c r="AR489" s="4">
        <v>0</v>
      </c>
      <c r="AS489" s="4">
        <v>1609.98</v>
      </c>
      <c r="AT489" s="4">
        <v>7</v>
      </c>
      <c r="AU489" s="4">
        <v>0</v>
      </c>
      <c r="AV489" s="4">
        <v>0</v>
      </c>
      <c r="AW489" s="4">
        <v>0</v>
      </c>
      <c r="AX489" s="4">
        <v>0</v>
      </c>
      <c r="AY489" s="4">
        <v>1272.95</v>
      </c>
      <c r="AZ489" s="4">
        <v>5</v>
      </c>
      <c r="BA489" s="4">
        <v>511.99</v>
      </c>
      <c r="BB489" s="4">
        <v>3</v>
      </c>
      <c r="BC489" s="4">
        <v>0</v>
      </c>
      <c r="BD489" s="4">
        <v>0</v>
      </c>
      <c r="BE489" s="4">
        <v>783.06</v>
      </c>
      <c r="BF489" s="4">
        <v>4</v>
      </c>
      <c r="BQ489" s="3">
        <f t="shared" si="16"/>
        <v>17770.220000000005</v>
      </c>
      <c r="BR489" s="3">
        <f t="shared" si="15"/>
        <v>83</v>
      </c>
    </row>
    <row r="490" spans="1:70" x14ac:dyDescent="0.25">
      <c r="A490" s="4" t="s">
        <v>2614</v>
      </c>
      <c r="B490" t="s">
        <v>107</v>
      </c>
      <c r="C490" s="338" t="s">
        <v>2060</v>
      </c>
      <c r="D490" s="213" t="s">
        <v>1151</v>
      </c>
      <c r="E490" s="213" t="s">
        <v>142</v>
      </c>
      <c r="F490" s="213" t="s">
        <v>132</v>
      </c>
      <c r="G490" s="4">
        <v>1180.08</v>
      </c>
      <c r="H490" s="4">
        <v>4</v>
      </c>
      <c r="I490" s="4">
        <v>1038.04</v>
      </c>
      <c r="J490" s="4">
        <v>5</v>
      </c>
      <c r="K490" s="4">
        <v>1236.99</v>
      </c>
      <c r="L490" s="4">
        <v>8</v>
      </c>
      <c r="M490" s="4">
        <v>583.01</v>
      </c>
      <c r="N490" s="4">
        <v>3</v>
      </c>
      <c r="O490" s="4">
        <v>0</v>
      </c>
      <c r="P490" s="4">
        <v>0</v>
      </c>
      <c r="Q490" s="4">
        <v>150</v>
      </c>
      <c r="R490" s="4">
        <v>1</v>
      </c>
      <c r="S490" s="4">
        <v>1584.01</v>
      </c>
      <c r="T490" s="4">
        <v>10</v>
      </c>
      <c r="U490" s="4">
        <v>749.01</v>
      </c>
      <c r="V490" s="4">
        <v>4</v>
      </c>
      <c r="W490" s="4">
        <v>1000</v>
      </c>
      <c r="X490" s="4">
        <v>6</v>
      </c>
      <c r="Y490" s="4">
        <v>3121.03</v>
      </c>
      <c r="Z490" s="4">
        <v>11</v>
      </c>
      <c r="AA490" s="4">
        <v>700</v>
      </c>
      <c r="AB490" s="4">
        <v>2</v>
      </c>
      <c r="AC490" s="4">
        <v>0</v>
      </c>
      <c r="AD490" s="4">
        <v>0</v>
      </c>
      <c r="AE490" s="4">
        <v>893.01</v>
      </c>
      <c r="AF490" s="4">
        <v>3</v>
      </c>
      <c r="AG490" s="4">
        <v>947</v>
      </c>
      <c r="AH490" s="4">
        <v>3</v>
      </c>
      <c r="AI490" s="4">
        <v>642</v>
      </c>
      <c r="AJ490" s="4">
        <v>4</v>
      </c>
      <c r="AK490" s="4">
        <v>1614.01</v>
      </c>
      <c r="AL490" s="4">
        <v>5</v>
      </c>
      <c r="AM490" s="4">
        <v>2072.02</v>
      </c>
      <c r="AN490" s="4">
        <v>4</v>
      </c>
      <c r="AO490" s="4">
        <v>1000.01</v>
      </c>
      <c r="AP490" s="4">
        <v>3</v>
      </c>
      <c r="AQ490" s="4">
        <v>1435.01</v>
      </c>
      <c r="AR490" s="4">
        <v>4</v>
      </c>
      <c r="AS490" s="4">
        <v>0</v>
      </c>
      <c r="AT490" s="4">
        <v>0</v>
      </c>
      <c r="AU490" s="4">
        <v>725</v>
      </c>
      <c r="AV490" s="4">
        <v>3</v>
      </c>
      <c r="AW490" s="4">
        <v>1232.94</v>
      </c>
      <c r="AX490" s="4">
        <v>6</v>
      </c>
      <c r="AY490" s="4">
        <v>1518.93</v>
      </c>
      <c r="AZ490" s="4">
        <v>7</v>
      </c>
      <c r="BA490" s="4">
        <v>771.02</v>
      </c>
      <c r="BB490" s="4">
        <v>2</v>
      </c>
      <c r="BC490" s="4">
        <v>1097.93</v>
      </c>
      <c r="BD490" s="4">
        <v>4</v>
      </c>
      <c r="BE490" s="4">
        <v>2926.21</v>
      </c>
      <c r="BF490" s="4">
        <v>12</v>
      </c>
      <c r="BQ490" s="3">
        <f t="shared" si="16"/>
        <v>28217.259999999995</v>
      </c>
      <c r="BR490" s="3">
        <f t="shared" si="15"/>
        <v>114</v>
      </c>
    </row>
    <row r="491" spans="1:70" x14ac:dyDescent="0.25">
      <c r="A491" s="4" t="s">
        <v>2615</v>
      </c>
      <c r="B491" t="s">
        <v>107</v>
      </c>
      <c r="C491" s="338" t="s">
        <v>2061</v>
      </c>
      <c r="D491" s="213" t="s">
        <v>1152</v>
      </c>
      <c r="E491" s="213" t="s">
        <v>142</v>
      </c>
      <c r="F491" s="213" t="s">
        <v>132</v>
      </c>
      <c r="G491" s="4">
        <v>717.01</v>
      </c>
      <c r="H491" s="4">
        <v>6</v>
      </c>
      <c r="I491" s="4">
        <v>1391</v>
      </c>
      <c r="J491" s="4">
        <v>6</v>
      </c>
      <c r="K491" s="4">
        <v>2244.08</v>
      </c>
      <c r="L491" s="4">
        <v>8</v>
      </c>
      <c r="M491" s="4">
        <v>1689.02</v>
      </c>
      <c r="N491" s="4">
        <v>7</v>
      </c>
      <c r="O491" s="4">
        <v>1646.99</v>
      </c>
      <c r="P491" s="4">
        <v>6</v>
      </c>
      <c r="Q491" s="4">
        <v>0</v>
      </c>
      <c r="R491" s="4">
        <v>0</v>
      </c>
      <c r="S491" s="4">
        <v>680</v>
      </c>
      <c r="T491" s="4">
        <v>3</v>
      </c>
      <c r="U491" s="4">
        <v>374.01</v>
      </c>
      <c r="V491" s="4">
        <v>2</v>
      </c>
      <c r="W491" s="4">
        <v>0</v>
      </c>
      <c r="X491" s="4">
        <v>0</v>
      </c>
      <c r="Y491" s="4">
        <v>600</v>
      </c>
      <c r="Z491" s="4">
        <v>4</v>
      </c>
      <c r="AA491" s="4">
        <v>1321.04</v>
      </c>
      <c r="AB491" s="4">
        <v>5</v>
      </c>
      <c r="AC491" s="4">
        <v>1502.98</v>
      </c>
      <c r="AD491" s="4">
        <v>9</v>
      </c>
      <c r="AE491" s="4">
        <v>0</v>
      </c>
      <c r="AF491" s="4">
        <v>0</v>
      </c>
      <c r="AG491" s="4">
        <v>1600</v>
      </c>
      <c r="AH491" s="4">
        <v>7</v>
      </c>
      <c r="AI491" s="4">
        <v>1452.05</v>
      </c>
      <c r="AJ491" s="4">
        <v>7</v>
      </c>
      <c r="AK491" s="4">
        <v>0</v>
      </c>
      <c r="AL491" s="4">
        <v>0</v>
      </c>
      <c r="AM491" s="4">
        <v>900</v>
      </c>
      <c r="AN491" s="4">
        <v>5</v>
      </c>
      <c r="AO491" s="4">
        <v>1692.04</v>
      </c>
      <c r="AP491" s="4">
        <v>7</v>
      </c>
      <c r="AQ491" s="4">
        <v>600</v>
      </c>
      <c r="AR491" s="4">
        <v>4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Q491" s="3">
        <f t="shared" si="16"/>
        <v>18410.22</v>
      </c>
      <c r="BR491" s="3">
        <f t="shared" si="15"/>
        <v>86</v>
      </c>
    </row>
    <row r="492" spans="1:70" x14ac:dyDescent="0.25">
      <c r="A492" s="4" t="s">
        <v>2616</v>
      </c>
      <c r="B492" t="s">
        <v>108</v>
      </c>
      <c r="C492" s="338" t="s">
        <v>2062</v>
      </c>
      <c r="D492" s="213" t="s">
        <v>1153</v>
      </c>
      <c r="E492" s="213" t="s">
        <v>141</v>
      </c>
      <c r="F492" s="213" t="s">
        <v>132</v>
      </c>
      <c r="G492" s="4">
        <v>2613.0300000000002</v>
      </c>
      <c r="H492" s="4">
        <v>28</v>
      </c>
      <c r="I492" s="4">
        <v>6709.13</v>
      </c>
      <c r="J492" s="4">
        <v>45</v>
      </c>
      <c r="K492" s="4">
        <v>3435.06</v>
      </c>
      <c r="L492" s="4">
        <v>25</v>
      </c>
      <c r="M492" s="4">
        <v>150</v>
      </c>
      <c r="N492" s="4">
        <v>1</v>
      </c>
      <c r="O492" s="4">
        <v>590.03</v>
      </c>
      <c r="P492" s="4">
        <v>5</v>
      </c>
      <c r="Q492" s="4">
        <v>1460.01</v>
      </c>
      <c r="R492" s="4">
        <v>9</v>
      </c>
      <c r="S492" s="4">
        <v>3200.01</v>
      </c>
      <c r="T492" s="4">
        <v>20</v>
      </c>
      <c r="U492" s="4">
        <v>2699.02</v>
      </c>
      <c r="V492" s="4">
        <v>17</v>
      </c>
      <c r="W492" s="4">
        <v>2813.03</v>
      </c>
      <c r="X492" s="4">
        <v>20</v>
      </c>
      <c r="Y492" s="4">
        <v>975</v>
      </c>
      <c r="Z492" s="4">
        <v>8</v>
      </c>
      <c r="AA492" s="4">
        <v>225</v>
      </c>
      <c r="AB492" s="4">
        <v>2</v>
      </c>
      <c r="AC492" s="4">
        <v>1339.03</v>
      </c>
      <c r="AD492" s="4">
        <v>10</v>
      </c>
      <c r="AE492" s="4">
        <v>1611.03</v>
      </c>
      <c r="AF492" s="4">
        <v>11</v>
      </c>
      <c r="AG492" s="4">
        <v>1041</v>
      </c>
      <c r="AH492" s="4">
        <v>9</v>
      </c>
      <c r="AI492" s="4">
        <v>416</v>
      </c>
      <c r="AJ492" s="4">
        <v>3</v>
      </c>
      <c r="AK492" s="4">
        <v>0</v>
      </c>
      <c r="AL492" s="4">
        <v>0</v>
      </c>
      <c r="AM492" s="4">
        <v>1700.01</v>
      </c>
      <c r="AN492" s="4">
        <v>13</v>
      </c>
      <c r="AO492" s="4">
        <v>675</v>
      </c>
      <c r="AP492" s="4">
        <v>5</v>
      </c>
      <c r="AQ492" s="4">
        <v>571.01</v>
      </c>
      <c r="AR492" s="4">
        <v>5</v>
      </c>
      <c r="AS492" s="4">
        <v>1375.98</v>
      </c>
      <c r="AT492" s="4">
        <v>13</v>
      </c>
      <c r="AU492" s="4">
        <v>385</v>
      </c>
      <c r="AV492" s="4">
        <v>4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1096.96</v>
      </c>
      <c r="BD492" s="4">
        <v>8</v>
      </c>
      <c r="BE492" s="4">
        <v>0</v>
      </c>
      <c r="BF492" s="4">
        <v>0</v>
      </c>
      <c r="BQ492" s="3">
        <f t="shared" si="16"/>
        <v>35080.339999999997</v>
      </c>
      <c r="BR492" s="3">
        <f t="shared" si="15"/>
        <v>261</v>
      </c>
    </row>
    <row r="493" spans="1:70" x14ac:dyDescent="0.25">
      <c r="A493" s="4" t="s">
        <v>2617</v>
      </c>
      <c r="B493" t="s">
        <v>108</v>
      </c>
      <c r="C493" s="338" t="s">
        <v>2063</v>
      </c>
      <c r="D493" s="213" t="s">
        <v>1154</v>
      </c>
      <c r="E493" s="213" t="s">
        <v>141</v>
      </c>
      <c r="F493" s="213" t="s">
        <v>132</v>
      </c>
      <c r="G493" s="4">
        <v>0</v>
      </c>
      <c r="H493" s="4">
        <v>0</v>
      </c>
      <c r="I493" s="4">
        <v>0</v>
      </c>
      <c r="J493" s="4">
        <v>0</v>
      </c>
      <c r="K493" s="4">
        <v>1274.01</v>
      </c>
      <c r="L493" s="4">
        <v>7</v>
      </c>
      <c r="M493" s="4">
        <v>4271.05</v>
      </c>
      <c r="N493" s="4">
        <v>27</v>
      </c>
      <c r="O493" s="4">
        <v>1031.04</v>
      </c>
      <c r="P493" s="4">
        <v>9</v>
      </c>
      <c r="Q493" s="4">
        <v>853.01</v>
      </c>
      <c r="R493" s="4">
        <v>10</v>
      </c>
      <c r="S493" s="4">
        <v>487.01</v>
      </c>
      <c r="T493" s="4">
        <v>4</v>
      </c>
      <c r="U493" s="4">
        <v>335.01</v>
      </c>
      <c r="V493" s="4">
        <v>5</v>
      </c>
      <c r="W493" s="4">
        <v>0</v>
      </c>
      <c r="X493" s="4">
        <v>0</v>
      </c>
      <c r="Y493" s="4">
        <v>99</v>
      </c>
      <c r="Z493" s="4">
        <v>2</v>
      </c>
      <c r="AA493" s="4">
        <v>1075.02</v>
      </c>
      <c r="AB493" s="4">
        <v>9</v>
      </c>
      <c r="AC493" s="4">
        <v>0</v>
      </c>
      <c r="AD493" s="4">
        <v>0</v>
      </c>
      <c r="AE493" s="4">
        <v>250</v>
      </c>
      <c r="AF493" s="4">
        <v>3</v>
      </c>
      <c r="AG493" s="4">
        <v>0</v>
      </c>
      <c r="AH493" s="4">
        <v>0</v>
      </c>
      <c r="AI493" s="4">
        <v>2068</v>
      </c>
      <c r="AJ493" s="4">
        <v>18</v>
      </c>
      <c r="AK493" s="4">
        <v>1990</v>
      </c>
      <c r="AL493" s="4">
        <v>15</v>
      </c>
      <c r="AM493" s="4">
        <v>0</v>
      </c>
      <c r="AN493" s="4">
        <v>0</v>
      </c>
      <c r="AO493" s="4">
        <v>600</v>
      </c>
      <c r="AP493" s="4">
        <v>4</v>
      </c>
      <c r="AQ493" s="4">
        <v>52</v>
      </c>
      <c r="AR493" s="4">
        <v>1</v>
      </c>
      <c r="AS493" s="4">
        <v>0</v>
      </c>
      <c r="AT493" s="4">
        <v>0</v>
      </c>
      <c r="AU493" s="4">
        <v>1128</v>
      </c>
      <c r="AV493" s="4">
        <v>9</v>
      </c>
      <c r="AW493" s="4">
        <v>451.01</v>
      </c>
      <c r="AX493" s="4">
        <v>4</v>
      </c>
      <c r="AY493" s="4">
        <v>375.01</v>
      </c>
      <c r="AZ493" s="4">
        <v>4</v>
      </c>
      <c r="BA493" s="4">
        <v>210.98</v>
      </c>
      <c r="BB493" s="4">
        <v>1</v>
      </c>
      <c r="BC493" s="4">
        <v>471</v>
      </c>
      <c r="BD493" s="4">
        <v>5</v>
      </c>
      <c r="BE493" s="4">
        <v>211.02</v>
      </c>
      <c r="BF493" s="4">
        <v>1</v>
      </c>
      <c r="BQ493" s="3">
        <f t="shared" si="16"/>
        <v>17232.170000000002</v>
      </c>
      <c r="BR493" s="3">
        <f t="shared" si="15"/>
        <v>138</v>
      </c>
    </row>
    <row r="494" spans="1:70" x14ac:dyDescent="0.25">
      <c r="A494" s="4" t="s">
        <v>2618</v>
      </c>
      <c r="B494" t="s">
        <v>109</v>
      </c>
      <c r="C494" s="338" t="s">
        <v>2064</v>
      </c>
      <c r="D494" s="213" t="s">
        <v>1155</v>
      </c>
      <c r="E494" s="213" t="s">
        <v>145</v>
      </c>
      <c r="F494" s="213" t="s">
        <v>127</v>
      </c>
      <c r="G494" s="4">
        <v>2403.0300000000002</v>
      </c>
      <c r="H494" s="4">
        <v>16</v>
      </c>
      <c r="I494" s="4">
        <v>6317.06</v>
      </c>
      <c r="J494" s="4">
        <v>51</v>
      </c>
      <c r="K494" s="4">
        <v>2376.02</v>
      </c>
      <c r="L494" s="4">
        <v>16</v>
      </c>
      <c r="M494" s="4">
        <v>4597.08</v>
      </c>
      <c r="N494" s="4">
        <v>24</v>
      </c>
      <c r="O494" s="4">
        <v>6277.11</v>
      </c>
      <c r="P494" s="4">
        <v>39</v>
      </c>
      <c r="Q494" s="4">
        <v>0</v>
      </c>
      <c r="R494" s="4">
        <v>0</v>
      </c>
      <c r="S494" s="4">
        <v>0</v>
      </c>
      <c r="T494" s="4">
        <v>0</v>
      </c>
      <c r="U494" s="4">
        <v>3138</v>
      </c>
      <c r="V494" s="4">
        <v>21</v>
      </c>
      <c r="W494" s="4">
        <v>3824.08</v>
      </c>
      <c r="X494" s="4">
        <v>22</v>
      </c>
      <c r="Y494" s="4">
        <v>5854.06</v>
      </c>
      <c r="Z494" s="4">
        <v>34</v>
      </c>
      <c r="AA494" s="4">
        <v>2628.03</v>
      </c>
      <c r="AB494" s="4">
        <v>14</v>
      </c>
      <c r="AC494" s="4">
        <v>6025.07</v>
      </c>
      <c r="AD494" s="4">
        <v>28</v>
      </c>
      <c r="AE494" s="4">
        <v>1674.01</v>
      </c>
      <c r="AF494" s="4">
        <v>15</v>
      </c>
      <c r="AG494" s="4">
        <v>0</v>
      </c>
      <c r="AH494" s="4">
        <v>0</v>
      </c>
      <c r="AI494" s="4">
        <v>2718.05</v>
      </c>
      <c r="AJ494" s="4">
        <v>16</v>
      </c>
      <c r="AK494" s="4">
        <v>3587.07</v>
      </c>
      <c r="AL494" s="4">
        <v>23</v>
      </c>
      <c r="AM494" s="4">
        <v>1424.01</v>
      </c>
      <c r="AN494" s="4">
        <v>10</v>
      </c>
      <c r="AO494" s="4">
        <v>1719.06</v>
      </c>
      <c r="AP494" s="4">
        <v>14</v>
      </c>
      <c r="AQ494" s="4">
        <v>3307.04</v>
      </c>
      <c r="AR494" s="4">
        <v>20</v>
      </c>
      <c r="AS494" s="4">
        <v>0</v>
      </c>
      <c r="AT494" s="4">
        <v>0</v>
      </c>
      <c r="AU494" s="4">
        <v>4645.0600000000004</v>
      </c>
      <c r="AV494" s="4">
        <v>21</v>
      </c>
      <c r="AW494" s="4">
        <v>4026.81</v>
      </c>
      <c r="AX494" s="4">
        <v>19</v>
      </c>
      <c r="AY494" s="4">
        <v>4849.82</v>
      </c>
      <c r="AZ494" s="4">
        <v>27</v>
      </c>
      <c r="BA494" s="4">
        <v>4150.79</v>
      </c>
      <c r="BB494" s="4">
        <v>27</v>
      </c>
      <c r="BC494" s="4">
        <v>641.96</v>
      </c>
      <c r="BD494" s="4">
        <v>3</v>
      </c>
      <c r="BE494" s="4">
        <v>0</v>
      </c>
      <c r="BF494" s="4">
        <v>0</v>
      </c>
      <c r="BQ494" s="3">
        <f t="shared" si="16"/>
        <v>76183.22</v>
      </c>
      <c r="BR494" s="3">
        <f t="shared" si="15"/>
        <v>460</v>
      </c>
    </row>
    <row r="495" spans="1:70" x14ac:dyDescent="0.25">
      <c r="A495" s="4" t="s">
        <v>2619</v>
      </c>
      <c r="B495" t="s">
        <v>109</v>
      </c>
      <c r="C495" s="338" t="s">
        <v>2065</v>
      </c>
      <c r="D495" s="213" t="s">
        <v>1156</v>
      </c>
      <c r="E495" s="213" t="s">
        <v>145</v>
      </c>
      <c r="F495" s="213" t="s">
        <v>127</v>
      </c>
      <c r="G495" s="4">
        <v>3227.03</v>
      </c>
      <c r="H495" s="4">
        <v>23</v>
      </c>
      <c r="I495" s="4">
        <v>0</v>
      </c>
      <c r="J495" s="4">
        <v>0</v>
      </c>
      <c r="K495" s="4">
        <v>3304.07</v>
      </c>
      <c r="L495" s="4">
        <v>24</v>
      </c>
      <c r="M495" s="4">
        <v>2521.02</v>
      </c>
      <c r="N495" s="4">
        <v>14</v>
      </c>
      <c r="O495" s="4">
        <v>1896.04</v>
      </c>
      <c r="P495" s="4">
        <v>17</v>
      </c>
      <c r="Q495" s="4">
        <v>4442.12</v>
      </c>
      <c r="R495" s="4">
        <v>31</v>
      </c>
      <c r="S495" s="4">
        <v>3582.06</v>
      </c>
      <c r="T495" s="4">
        <v>29</v>
      </c>
      <c r="U495" s="4">
        <v>2224.0700000000002</v>
      </c>
      <c r="V495" s="4">
        <v>15</v>
      </c>
      <c r="W495" s="4">
        <v>0</v>
      </c>
      <c r="X495" s="4">
        <v>0</v>
      </c>
      <c r="Y495" s="4">
        <v>1926.04</v>
      </c>
      <c r="Z495" s="4">
        <v>15</v>
      </c>
      <c r="AA495" s="4">
        <v>1075.03</v>
      </c>
      <c r="AB495" s="4">
        <v>7</v>
      </c>
      <c r="AC495" s="4">
        <v>2277.0500000000002</v>
      </c>
      <c r="AD495" s="4">
        <v>16</v>
      </c>
      <c r="AE495" s="4">
        <v>1658.99</v>
      </c>
      <c r="AF495" s="4">
        <v>11</v>
      </c>
      <c r="AG495" s="4">
        <v>1684.02</v>
      </c>
      <c r="AH495" s="4">
        <v>13</v>
      </c>
      <c r="AI495" s="4">
        <v>1290.04</v>
      </c>
      <c r="AJ495" s="4">
        <v>10</v>
      </c>
      <c r="AK495" s="4">
        <v>0</v>
      </c>
      <c r="AL495" s="4">
        <v>0</v>
      </c>
      <c r="AM495" s="4">
        <v>1744</v>
      </c>
      <c r="AN495" s="4">
        <v>13</v>
      </c>
      <c r="AO495" s="4">
        <v>986.02</v>
      </c>
      <c r="AP495" s="4">
        <v>7</v>
      </c>
      <c r="AQ495" s="4">
        <v>1525</v>
      </c>
      <c r="AR495" s="4">
        <v>13</v>
      </c>
      <c r="AS495" s="4">
        <v>2997.03</v>
      </c>
      <c r="AT495" s="4">
        <v>19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2946.86</v>
      </c>
      <c r="BD495" s="4">
        <v>19</v>
      </c>
      <c r="BE495" s="4">
        <v>3090.21</v>
      </c>
      <c r="BF495" s="4">
        <v>19</v>
      </c>
      <c r="BQ495" s="3">
        <f t="shared" si="16"/>
        <v>44396.7</v>
      </c>
      <c r="BR495" s="3">
        <f t="shared" si="15"/>
        <v>315</v>
      </c>
    </row>
    <row r="496" spans="1:70" x14ac:dyDescent="0.25">
      <c r="A496" s="4" t="s">
        <v>2620</v>
      </c>
      <c r="B496" t="s">
        <v>109</v>
      </c>
      <c r="C496" s="338" t="s">
        <v>2066</v>
      </c>
      <c r="D496" s="213" t="s">
        <v>1157</v>
      </c>
      <c r="E496" s="213" t="s">
        <v>145</v>
      </c>
      <c r="F496" s="213" t="s">
        <v>127</v>
      </c>
      <c r="G496" s="4">
        <v>3507.07</v>
      </c>
      <c r="H496" s="4">
        <v>23</v>
      </c>
      <c r="I496" s="4">
        <v>4701.05</v>
      </c>
      <c r="J496" s="4">
        <v>32</v>
      </c>
      <c r="K496" s="4">
        <v>4144.1400000000003</v>
      </c>
      <c r="L496" s="4">
        <v>34</v>
      </c>
      <c r="M496" s="4">
        <v>4646.0200000000004</v>
      </c>
      <c r="N496" s="4">
        <v>26</v>
      </c>
      <c r="O496" s="4">
        <v>0</v>
      </c>
      <c r="P496" s="4">
        <v>0</v>
      </c>
      <c r="Q496" s="4">
        <v>3384.06</v>
      </c>
      <c r="R496" s="4">
        <v>22</v>
      </c>
      <c r="S496" s="4">
        <v>2197.0100000000002</v>
      </c>
      <c r="T496" s="4">
        <v>12</v>
      </c>
      <c r="U496" s="4">
        <v>1919.01</v>
      </c>
      <c r="V496" s="4">
        <v>13</v>
      </c>
      <c r="W496" s="4">
        <v>3003.04</v>
      </c>
      <c r="X496" s="4">
        <v>21</v>
      </c>
      <c r="Y496" s="4">
        <v>0</v>
      </c>
      <c r="Z496" s="4">
        <v>0</v>
      </c>
      <c r="AA496" s="4">
        <v>1508.01</v>
      </c>
      <c r="AB496" s="4">
        <v>11</v>
      </c>
      <c r="AC496" s="4">
        <v>0</v>
      </c>
      <c r="AD496" s="4">
        <v>0</v>
      </c>
      <c r="AE496" s="4">
        <v>2032.04</v>
      </c>
      <c r="AF496" s="4">
        <v>16</v>
      </c>
      <c r="AG496" s="4">
        <v>2479.06</v>
      </c>
      <c r="AH496" s="4">
        <v>16</v>
      </c>
      <c r="AI496" s="4">
        <v>1964.05</v>
      </c>
      <c r="AJ496" s="4">
        <v>14</v>
      </c>
      <c r="AK496" s="4">
        <v>3043.02</v>
      </c>
      <c r="AL496" s="4">
        <v>23</v>
      </c>
      <c r="AM496" s="4">
        <v>1789.99</v>
      </c>
      <c r="AN496" s="4">
        <v>13</v>
      </c>
      <c r="AO496" s="4">
        <v>1355.03</v>
      </c>
      <c r="AP496" s="4">
        <v>10</v>
      </c>
      <c r="AQ496" s="4">
        <v>0</v>
      </c>
      <c r="AR496" s="4">
        <v>0</v>
      </c>
      <c r="AS496" s="4">
        <v>1650.02</v>
      </c>
      <c r="AT496" s="4">
        <v>9</v>
      </c>
      <c r="AU496" s="4">
        <v>1660</v>
      </c>
      <c r="AV496" s="4">
        <v>10</v>
      </c>
      <c r="AW496" s="4">
        <v>1552.98</v>
      </c>
      <c r="AX496" s="4">
        <v>13</v>
      </c>
      <c r="AY496" s="4">
        <v>1908.95</v>
      </c>
      <c r="AZ496" s="4">
        <v>12</v>
      </c>
      <c r="BA496" s="4">
        <v>946.96</v>
      </c>
      <c r="BB496" s="4">
        <v>7</v>
      </c>
      <c r="BC496" s="4">
        <v>918.92</v>
      </c>
      <c r="BD496" s="4">
        <v>5</v>
      </c>
      <c r="BE496" s="4">
        <v>783.06</v>
      </c>
      <c r="BF496" s="4">
        <v>4</v>
      </c>
      <c r="BQ496" s="3">
        <f t="shared" si="16"/>
        <v>51093.489999999991</v>
      </c>
      <c r="BR496" s="3">
        <f t="shared" si="15"/>
        <v>346</v>
      </c>
    </row>
    <row r="497" spans="1:70" x14ac:dyDescent="0.25">
      <c r="A497" s="4" t="s">
        <v>2621</v>
      </c>
      <c r="B497" t="s">
        <v>110</v>
      </c>
      <c r="C497" s="338" t="s">
        <v>2067</v>
      </c>
      <c r="D497" s="213" t="s">
        <v>1158</v>
      </c>
      <c r="E497" s="213" t="s">
        <v>138</v>
      </c>
      <c r="F497" s="213" t="s">
        <v>129</v>
      </c>
      <c r="G497" s="4">
        <v>2700.04</v>
      </c>
      <c r="H497" s="4">
        <v>17</v>
      </c>
      <c r="I497" s="4">
        <v>4755.1499999999996</v>
      </c>
      <c r="J497" s="4">
        <v>37</v>
      </c>
      <c r="K497" s="4">
        <v>2011.05</v>
      </c>
      <c r="L497" s="4">
        <v>14</v>
      </c>
      <c r="M497" s="4">
        <v>1475</v>
      </c>
      <c r="N497" s="4">
        <v>8</v>
      </c>
      <c r="O497" s="4">
        <v>1419.01</v>
      </c>
      <c r="P497" s="4">
        <v>6</v>
      </c>
      <c r="Q497" s="4">
        <v>0</v>
      </c>
      <c r="R497" s="4">
        <v>0</v>
      </c>
      <c r="S497" s="4">
        <v>610</v>
      </c>
      <c r="T497" s="4">
        <v>4</v>
      </c>
      <c r="U497" s="4">
        <v>1699.04</v>
      </c>
      <c r="V497" s="4">
        <v>14</v>
      </c>
      <c r="W497" s="4">
        <v>1275.02</v>
      </c>
      <c r="X497" s="4">
        <v>9</v>
      </c>
      <c r="Y497" s="4">
        <v>1984.07</v>
      </c>
      <c r="Z497" s="4">
        <v>14</v>
      </c>
      <c r="AA497" s="4">
        <v>1125.05</v>
      </c>
      <c r="AB497" s="4">
        <v>3</v>
      </c>
      <c r="AC497" s="4">
        <v>0</v>
      </c>
      <c r="AD497" s="4">
        <v>0</v>
      </c>
      <c r="AE497" s="4">
        <v>860.03</v>
      </c>
      <c r="AF497" s="4">
        <v>6</v>
      </c>
      <c r="AG497" s="4">
        <v>812.02</v>
      </c>
      <c r="AH497" s="4">
        <v>5</v>
      </c>
      <c r="AI497" s="4">
        <v>791.01</v>
      </c>
      <c r="AJ497" s="4">
        <v>9</v>
      </c>
      <c r="AK497" s="4">
        <v>940.02</v>
      </c>
      <c r="AL497" s="4">
        <v>8</v>
      </c>
      <c r="AM497" s="4">
        <v>946.05</v>
      </c>
      <c r="AN497" s="4">
        <v>5</v>
      </c>
      <c r="AO497" s="4">
        <v>1365.02</v>
      </c>
      <c r="AP497" s="4">
        <v>9</v>
      </c>
      <c r="AQ497" s="4">
        <v>2077.0300000000002</v>
      </c>
      <c r="AR497" s="4">
        <v>6</v>
      </c>
      <c r="AS497" s="4">
        <v>3734.99</v>
      </c>
      <c r="AT497" s="4">
        <v>9</v>
      </c>
      <c r="AU497" s="4">
        <v>0</v>
      </c>
      <c r="AV497" s="4">
        <v>0</v>
      </c>
      <c r="AW497" s="4">
        <v>360.98</v>
      </c>
      <c r="AX497" s="4">
        <v>3</v>
      </c>
      <c r="AY497" s="4">
        <v>1281.95</v>
      </c>
      <c r="AZ497" s="4">
        <v>8</v>
      </c>
      <c r="BA497" s="4">
        <v>2532.7800000000002</v>
      </c>
      <c r="BB497" s="4">
        <v>4</v>
      </c>
      <c r="BC497" s="4">
        <v>421.96</v>
      </c>
      <c r="BD497" s="4">
        <v>1</v>
      </c>
      <c r="BE497" s="4">
        <v>0</v>
      </c>
      <c r="BF497" s="4">
        <v>0</v>
      </c>
      <c r="BQ497" s="3">
        <f t="shared" si="16"/>
        <v>35177.269999999997</v>
      </c>
      <c r="BR497" s="3">
        <f t="shared" si="15"/>
        <v>199</v>
      </c>
    </row>
    <row r="498" spans="1:70" x14ac:dyDescent="0.25">
      <c r="A498" s="4" t="s">
        <v>2622</v>
      </c>
      <c r="B498" t="s">
        <v>110</v>
      </c>
      <c r="C498" s="338" t="s">
        <v>2068</v>
      </c>
      <c r="D498" s="213" t="s">
        <v>1159</v>
      </c>
      <c r="E498" s="213" t="s">
        <v>138</v>
      </c>
      <c r="F498" s="213" t="s">
        <v>129</v>
      </c>
      <c r="G498" s="4">
        <v>3053.06</v>
      </c>
      <c r="H498" s="4">
        <v>11</v>
      </c>
      <c r="I498" s="4">
        <v>0</v>
      </c>
      <c r="J498" s="4">
        <v>0</v>
      </c>
      <c r="K498" s="4">
        <v>1768.05</v>
      </c>
      <c r="L498" s="4">
        <v>10</v>
      </c>
      <c r="M498" s="4">
        <v>750.03</v>
      </c>
      <c r="N498" s="4">
        <v>8</v>
      </c>
      <c r="O498" s="4">
        <v>900.03</v>
      </c>
      <c r="P498" s="4">
        <v>3</v>
      </c>
      <c r="Q498" s="4">
        <v>2100.02</v>
      </c>
      <c r="R498" s="4">
        <v>9</v>
      </c>
      <c r="S498" s="4">
        <v>3303.99</v>
      </c>
      <c r="T498" s="4">
        <v>3</v>
      </c>
      <c r="U498" s="4">
        <v>600.02</v>
      </c>
      <c r="V498" s="4">
        <v>2</v>
      </c>
      <c r="W498" s="4">
        <v>0</v>
      </c>
      <c r="X498" s="4">
        <v>0</v>
      </c>
      <c r="Y498" s="4">
        <v>529</v>
      </c>
      <c r="Z498" s="4">
        <v>3</v>
      </c>
      <c r="AA498" s="4">
        <v>2022.07</v>
      </c>
      <c r="AB498" s="4">
        <v>5</v>
      </c>
      <c r="AC498" s="4">
        <v>825.03</v>
      </c>
      <c r="AD498" s="4">
        <v>5</v>
      </c>
      <c r="AE498" s="4">
        <v>1399.04</v>
      </c>
      <c r="AF498" s="4">
        <v>5</v>
      </c>
      <c r="AG498" s="4">
        <v>2249.0500000000002</v>
      </c>
      <c r="AH498" s="4">
        <v>6</v>
      </c>
      <c r="AI498" s="4">
        <v>3145.15</v>
      </c>
      <c r="AJ498" s="4">
        <v>12</v>
      </c>
      <c r="AK498" s="4">
        <v>0</v>
      </c>
      <c r="AL498" s="4">
        <v>0</v>
      </c>
      <c r="AM498" s="4">
        <v>3725.15</v>
      </c>
      <c r="AN498" s="4">
        <v>9</v>
      </c>
      <c r="AO498" s="4">
        <v>3733.04</v>
      </c>
      <c r="AP498" s="4">
        <v>6</v>
      </c>
      <c r="AQ498" s="4">
        <v>675.02</v>
      </c>
      <c r="AR498" s="4">
        <v>4</v>
      </c>
      <c r="AS498" s="4">
        <v>1603.05</v>
      </c>
      <c r="AT498" s="4">
        <v>7</v>
      </c>
      <c r="AU498" s="4">
        <v>1725.05</v>
      </c>
      <c r="AV498" s="4">
        <v>10</v>
      </c>
      <c r="AW498" s="4">
        <v>4459.8900000000003</v>
      </c>
      <c r="AX498" s="4">
        <v>13</v>
      </c>
      <c r="AY498" s="4">
        <v>0</v>
      </c>
      <c r="AZ498" s="4">
        <v>0</v>
      </c>
      <c r="BA498" s="4">
        <v>2112.98</v>
      </c>
      <c r="BB498" s="4">
        <v>6</v>
      </c>
      <c r="BC498" s="4">
        <v>1046.96</v>
      </c>
      <c r="BD498" s="4">
        <v>6</v>
      </c>
      <c r="BE498" s="4">
        <v>492.04</v>
      </c>
      <c r="BF498" s="4">
        <v>3</v>
      </c>
      <c r="BQ498" s="3">
        <f t="shared" si="16"/>
        <v>42217.720000000008</v>
      </c>
      <c r="BR498" s="3">
        <f t="shared" si="15"/>
        <v>146</v>
      </c>
    </row>
    <row r="499" spans="1:70" x14ac:dyDescent="0.25">
      <c r="A499" s="4" t="s">
        <v>2623</v>
      </c>
      <c r="B499" t="s">
        <v>110</v>
      </c>
      <c r="C499" s="338" t="s">
        <v>2069</v>
      </c>
      <c r="D499" s="213" t="s">
        <v>1160</v>
      </c>
      <c r="E499" s="213" t="s">
        <v>138</v>
      </c>
      <c r="F499" s="213" t="s">
        <v>129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1542.02</v>
      </c>
      <c r="P499" s="4">
        <v>11</v>
      </c>
      <c r="Q499" s="4">
        <v>2525.0300000000002</v>
      </c>
      <c r="R499" s="4">
        <v>15</v>
      </c>
      <c r="S499" s="4">
        <v>2513.02</v>
      </c>
      <c r="T499" s="4">
        <v>13</v>
      </c>
      <c r="U499" s="4">
        <v>1809.03</v>
      </c>
      <c r="V499" s="4">
        <v>12</v>
      </c>
      <c r="W499" s="4">
        <v>5405</v>
      </c>
      <c r="X499" s="4">
        <v>15</v>
      </c>
      <c r="Y499" s="4">
        <v>940.02</v>
      </c>
      <c r="Z499" s="4">
        <v>7</v>
      </c>
      <c r="AA499" s="4">
        <v>825.01</v>
      </c>
      <c r="AB499" s="4">
        <v>6</v>
      </c>
      <c r="AC499" s="4">
        <v>1895.04</v>
      </c>
      <c r="AD499" s="4">
        <v>15</v>
      </c>
      <c r="AE499" s="4">
        <v>0</v>
      </c>
      <c r="AF499" s="4">
        <v>0</v>
      </c>
      <c r="AG499" s="4">
        <v>825.01</v>
      </c>
      <c r="AH499" s="4">
        <v>6</v>
      </c>
      <c r="AI499" s="4">
        <v>950.02</v>
      </c>
      <c r="AJ499" s="4">
        <v>7</v>
      </c>
      <c r="AK499" s="4">
        <v>1283.01</v>
      </c>
      <c r="AL499" s="4">
        <v>9</v>
      </c>
      <c r="AM499" s="4">
        <v>830.01</v>
      </c>
      <c r="AN499" s="4">
        <v>7</v>
      </c>
      <c r="AO499" s="4">
        <v>1774.06</v>
      </c>
      <c r="AP499" s="4">
        <v>9</v>
      </c>
      <c r="AQ499" s="4">
        <v>1229.04</v>
      </c>
      <c r="AR499" s="4">
        <v>9</v>
      </c>
      <c r="AS499" s="4">
        <v>0</v>
      </c>
      <c r="AT499" s="4">
        <v>0</v>
      </c>
      <c r="AU499" s="4">
        <v>1105.03</v>
      </c>
      <c r="AV499" s="4">
        <v>10</v>
      </c>
      <c r="AW499" s="4">
        <v>2116.9499999999998</v>
      </c>
      <c r="AX499" s="4">
        <v>8</v>
      </c>
      <c r="AY499" s="4">
        <v>1577.92</v>
      </c>
      <c r="AZ499" s="4">
        <v>11</v>
      </c>
      <c r="BA499" s="4">
        <v>1444.91</v>
      </c>
      <c r="BB499" s="4">
        <v>6</v>
      </c>
      <c r="BC499" s="4">
        <v>1762.88</v>
      </c>
      <c r="BD499" s="4">
        <v>8</v>
      </c>
      <c r="BE499" s="4">
        <v>1094.08</v>
      </c>
      <c r="BF499" s="4">
        <v>6</v>
      </c>
      <c r="BQ499" s="3">
        <f t="shared" si="16"/>
        <v>33447.090000000004</v>
      </c>
      <c r="BR499" s="3">
        <f t="shared" si="15"/>
        <v>190</v>
      </c>
    </row>
    <row r="500" spans="1:70" x14ac:dyDescent="0.25">
      <c r="A500" s="4" t="s">
        <v>2624</v>
      </c>
      <c r="B500" t="s">
        <v>110</v>
      </c>
      <c r="C500" s="338" t="s">
        <v>2070</v>
      </c>
      <c r="D500" s="213" t="s">
        <v>1161</v>
      </c>
      <c r="E500" s="213" t="s">
        <v>138</v>
      </c>
      <c r="F500" s="213" t="s">
        <v>129</v>
      </c>
      <c r="G500" s="4">
        <v>3917.11</v>
      </c>
      <c r="H500" s="4">
        <v>26</v>
      </c>
      <c r="I500" s="4">
        <v>7370.24</v>
      </c>
      <c r="J500" s="4">
        <v>32</v>
      </c>
      <c r="K500" s="4">
        <v>3083.1</v>
      </c>
      <c r="L500" s="4">
        <v>16</v>
      </c>
      <c r="M500" s="4">
        <v>3300.13</v>
      </c>
      <c r="N500" s="4">
        <v>17</v>
      </c>
      <c r="O500" s="4">
        <v>1704.05</v>
      </c>
      <c r="P500" s="4">
        <v>12</v>
      </c>
      <c r="Q500" s="4">
        <v>0</v>
      </c>
      <c r="R500" s="4">
        <v>0</v>
      </c>
      <c r="S500" s="4">
        <v>2218.0500000000002</v>
      </c>
      <c r="T500" s="4">
        <v>7</v>
      </c>
      <c r="U500" s="4">
        <v>0</v>
      </c>
      <c r="V500" s="4">
        <v>0</v>
      </c>
      <c r="W500" s="4">
        <v>2012.02</v>
      </c>
      <c r="X500" s="4">
        <v>15</v>
      </c>
      <c r="Y500" s="4">
        <v>1342.05</v>
      </c>
      <c r="Z500" s="4">
        <v>11</v>
      </c>
      <c r="AA500" s="4">
        <v>1820.04</v>
      </c>
      <c r="AB500" s="4">
        <v>10</v>
      </c>
      <c r="AC500" s="4">
        <v>0</v>
      </c>
      <c r="AD500" s="4">
        <v>0</v>
      </c>
      <c r="AE500" s="4">
        <v>2087.06</v>
      </c>
      <c r="AF500" s="4">
        <v>12</v>
      </c>
      <c r="AG500" s="4">
        <v>0</v>
      </c>
      <c r="AH500" s="4">
        <v>0</v>
      </c>
      <c r="AI500" s="4">
        <v>1390.01</v>
      </c>
      <c r="AJ500" s="4">
        <v>9</v>
      </c>
      <c r="AK500" s="4">
        <v>1319.02</v>
      </c>
      <c r="AL500" s="4">
        <v>8</v>
      </c>
      <c r="AM500" s="4">
        <v>1295.02</v>
      </c>
      <c r="AN500" s="4">
        <v>8</v>
      </c>
      <c r="AO500" s="4">
        <v>4115.16</v>
      </c>
      <c r="AP500" s="4">
        <v>4</v>
      </c>
      <c r="AQ500" s="4">
        <v>0</v>
      </c>
      <c r="AR500" s="4">
        <v>0</v>
      </c>
      <c r="AS500" s="4">
        <v>5065.92</v>
      </c>
      <c r="AT500" s="4">
        <v>10</v>
      </c>
      <c r="AU500" s="4">
        <v>1966.05</v>
      </c>
      <c r="AV500" s="4">
        <v>13</v>
      </c>
      <c r="AW500" s="4">
        <v>1342.93</v>
      </c>
      <c r="AX500" s="4">
        <v>8</v>
      </c>
      <c r="AY500" s="4">
        <v>1978.9</v>
      </c>
      <c r="AZ500" s="4">
        <v>7</v>
      </c>
      <c r="BA500" s="4">
        <v>934.94</v>
      </c>
      <c r="BB500" s="4">
        <v>7</v>
      </c>
      <c r="BC500" s="4">
        <v>1967.92</v>
      </c>
      <c r="BD500" s="4">
        <v>8</v>
      </c>
      <c r="BE500" s="4">
        <v>3603.05</v>
      </c>
      <c r="BF500" s="4">
        <v>6</v>
      </c>
      <c r="BQ500" s="3">
        <f t="shared" si="16"/>
        <v>53832.770000000004</v>
      </c>
      <c r="BR500" s="3">
        <f t="shared" si="15"/>
        <v>246</v>
      </c>
    </row>
    <row r="501" spans="1:70" x14ac:dyDescent="0.25">
      <c r="A501" s="4" t="s">
        <v>2625</v>
      </c>
      <c r="B501" t="s">
        <v>111</v>
      </c>
      <c r="C501" s="338" t="s">
        <v>2071</v>
      </c>
      <c r="D501" s="213" t="s">
        <v>1162</v>
      </c>
      <c r="E501" s="213" t="s">
        <v>138</v>
      </c>
      <c r="F501" s="213" t="s">
        <v>128</v>
      </c>
      <c r="G501" s="4">
        <v>450.02</v>
      </c>
      <c r="H501" s="4">
        <v>3</v>
      </c>
      <c r="I501" s="4">
        <v>1138.01</v>
      </c>
      <c r="J501" s="4">
        <v>7</v>
      </c>
      <c r="K501" s="4">
        <v>1164.02</v>
      </c>
      <c r="L501" s="4">
        <v>6</v>
      </c>
      <c r="M501" s="4">
        <v>599.02</v>
      </c>
      <c r="N501" s="4">
        <v>3</v>
      </c>
      <c r="O501" s="4">
        <v>697.01</v>
      </c>
      <c r="P501" s="4">
        <v>4</v>
      </c>
      <c r="Q501" s="4">
        <v>1360.03</v>
      </c>
      <c r="R501" s="4">
        <v>7</v>
      </c>
      <c r="S501" s="4">
        <v>0</v>
      </c>
      <c r="T501" s="4">
        <v>0</v>
      </c>
      <c r="U501" s="4">
        <v>650.01</v>
      </c>
      <c r="V501" s="4">
        <v>4</v>
      </c>
      <c r="W501" s="4">
        <v>1550.01</v>
      </c>
      <c r="X501" s="4">
        <v>8</v>
      </c>
      <c r="Y501" s="4">
        <v>696.01</v>
      </c>
      <c r="Z501" s="4">
        <v>6</v>
      </c>
      <c r="AA501" s="4">
        <v>350</v>
      </c>
      <c r="AB501" s="4">
        <v>1</v>
      </c>
      <c r="AC501" s="4">
        <v>475</v>
      </c>
      <c r="AD501" s="4">
        <v>2</v>
      </c>
      <c r="AE501" s="4">
        <v>758.01</v>
      </c>
      <c r="AF501" s="4">
        <v>4</v>
      </c>
      <c r="AG501" s="4">
        <v>1099.04</v>
      </c>
      <c r="AH501" s="4">
        <v>6</v>
      </c>
      <c r="AI501" s="4">
        <v>274.01</v>
      </c>
      <c r="AJ501" s="4">
        <v>2</v>
      </c>
      <c r="AK501" s="4">
        <v>0</v>
      </c>
      <c r="AL501" s="4">
        <v>0</v>
      </c>
      <c r="AM501" s="4">
        <v>750.01</v>
      </c>
      <c r="AN501" s="4">
        <v>4</v>
      </c>
      <c r="AO501" s="4">
        <v>349</v>
      </c>
      <c r="AP501" s="4">
        <v>2</v>
      </c>
      <c r="AQ501" s="4">
        <v>525</v>
      </c>
      <c r="AR501" s="4">
        <v>4</v>
      </c>
      <c r="AS501" s="4">
        <v>1099.03</v>
      </c>
      <c r="AT501" s="4">
        <v>6</v>
      </c>
      <c r="AU501" s="4">
        <v>901.05</v>
      </c>
      <c r="AV501" s="4">
        <v>5</v>
      </c>
      <c r="AW501" s="4">
        <v>1332.97</v>
      </c>
      <c r="AX501" s="4">
        <v>8</v>
      </c>
      <c r="AY501" s="4">
        <v>906.94</v>
      </c>
      <c r="AZ501" s="4">
        <v>4</v>
      </c>
      <c r="BA501" s="4">
        <v>0</v>
      </c>
      <c r="BB501" s="4">
        <v>0</v>
      </c>
      <c r="BC501" s="4">
        <v>1573.94</v>
      </c>
      <c r="BD501" s="4">
        <v>8</v>
      </c>
      <c r="BE501" s="4">
        <v>1780.12</v>
      </c>
      <c r="BF501" s="4">
        <v>8</v>
      </c>
      <c r="BQ501" s="3">
        <f t="shared" si="16"/>
        <v>20478.259999999995</v>
      </c>
      <c r="BR501" s="3">
        <f t="shared" si="15"/>
        <v>112</v>
      </c>
    </row>
    <row r="502" spans="1:70" x14ac:dyDescent="0.25">
      <c r="A502" s="4" t="s">
        <v>2626</v>
      </c>
      <c r="B502" t="s">
        <v>111</v>
      </c>
      <c r="C502" s="338" t="s">
        <v>2072</v>
      </c>
      <c r="D502" s="213" t="s">
        <v>1163</v>
      </c>
      <c r="E502" s="213" t="s">
        <v>138</v>
      </c>
      <c r="F502" s="213" t="s">
        <v>128</v>
      </c>
      <c r="G502" s="4">
        <v>1270</v>
      </c>
      <c r="H502" s="4">
        <v>9</v>
      </c>
      <c r="I502" s="4">
        <v>0</v>
      </c>
      <c r="J502" s="4">
        <v>0</v>
      </c>
      <c r="K502" s="4">
        <v>150</v>
      </c>
      <c r="L502" s="4">
        <v>1</v>
      </c>
      <c r="M502" s="4">
        <v>1021.01</v>
      </c>
      <c r="N502" s="4">
        <v>6</v>
      </c>
      <c r="O502" s="4">
        <v>643</v>
      </c>
      <c r="P502" s="4">
        <v>6</v>
      </c>
      <c r="Q502" s="4">
        <v>1800.04</v>
      </c>
      <c r="R502" s="4">
        <v>9</v>
      </c>
      <c r="S502" s="4">
        <v>1746.01</v>
      </c>
      <c r="T502" s="4">
        <v>12</v>
      </c>
      <c r="U502" s="4">
        <v>579</v>
      </c>
      <c r="V502" s="4">
        <v>3</v>
      </c>
      <c r="W502" s="4">
        <v>778.03</v>
      </c>
      <c r="X502" s="4">
        <v>5</v>
      </c>
      <c r="Y502" s="4">
        <v>0</v>
      </c>
      <c r="Z502" s="4">
        <v>0</v>
      </c>
      <c r="AA502" s="4">
        <v>0</v>
      </c>
      <c r="AB502" s="4">
        <v>0</v>
      </c>
      <c r="AC502" s="4">
        <v>1299.01</v>
      </c>
      <c r="AD502" s="4">
        <v>11</v>
      </c>
      <c r="AE502" s="4">
        <v>375.01</v>
      </c>
      <c r="AF502" s="4">
        <v>3</v>
      </c>
      <c r="AG502" s="4">
        <v>450.01</v>
      </c>
      <c r="AH502" s="4">
        <v>2</v>
      </c>
      <c r="AI502" s="4">
        <v>896.01</v>
      </c>
      <c r="AJ502" s="4">
        <v>6</v>
      </c>
      <c r="AK502" s="4">
        <v>1684.04</v>
      </c>
      <c r="AL502" s="4">
        <v>10</v>
      </c>
      <c r="AM502" s="4">
        <v>1267.03</v>
      </c>
      <c r="AN502" s="4">
        <v>5</v>
      </c>
      <c r="AO502" s="4">
        <v>300</v>
      </c>
      <c r="AP502" s="4">
        <v>1</v>
      </c>
      <c r="AQ502" s="4">
        <v>300.01</v>
      </c>
      <c r="AR502" s="4">
        <v>2</v>
      </c>
      <c r="AS502" s="4">
        <v>525.01</v>
      </c>
      <c r="AT502" s="4">
        <v>4</v>
      </c>
      <c r="AU502" s="4">
        <v>726.99</v>
      </c>
      <c r="AV502" s="4">
        <v>4</v>
      </c>
      <c r="AW502" s="4">
        <v>421.96</v>
      </c>
      <c r="AX502" s="4">
        <v>2</v>
      </c>
      <c r="AY502" s="4">
        <v>0</v>
      </c>
      <c r="AZ502" s="4">
        <v>0</v>
      </c>
      <c r="BA502" s="4">
        <v>1267.92</v>
      </c>
      <c r="BB502" s="4">
        <v>7</v>
      </c>
      <c r="BC502" s="4">
        <v>88</v>
      </c>
      <c r="BD502" s="4">
        <v>2</v>
      </c>
      <c r="BE502" s="4">
        <v>225.01</v>
      </c>
      <c r="BF502" s="4">
        <v>2</v>
      </c>
      <c r="BQ502" s="3">
        <f t="shared" si="16"/>
        <v>17813.100000000002</v>
      </c>
      <c r="BR502" s="3">
        <f t="shared" si="15"/>
        <v>112</v>
      </c>
    </row>
    <row r="503" spans="1:70" x14ac:dyDescent="0.25">
      <c r="A503" s="4" t="s">
        <v>2627</v>
      </c>
      <c r="B503" t="s">
        <v>111</v>
      </c>
      <c r="C503" s="338" t="s">
        <v>2073</v>
      </c>
      <c r="D503" s="213" t="s">
        <v>1164</v>
      </c>
      <c r="E503" s="213" t="s">
        <v>138</v>
      </c>
      <c r="F503" s="213" t="s">
        <v>128</v>
      </c>
      <c r="G503" s="4">
        <v>1417.01</v>
      </c>
      <c r="H503" s="4">
        <v>9</v>
      </c>
      <c r="I503" s="4">
        <v>2321</v>
      </c>
      <c r="J503" s="4">
        <v>12</v>
      </c>
      <c r="K503" s="4">
        <v>2658.04</v>
      </c>
      <c r="L503" s="4">
        <v>17</v>
      </c>
      <c r="M503" s="4">
        <v>630.01</v>
      </c>
      <c r="N503" s="4">
        <v>5</v>
      </c>
      <c r="O503" s="4">
        <v>750.02</v>
      </c>
      <c r="P503" s="4">
        <v>5</v>
      </c>
      <c r="Q503" s="4">
        <v>1034.99</v>
      </c>
      <c r="R503" s="4">
        <v>5</v>
      </c>
      <c r="S503" s="4">
        <v>900.04</v>
      </c>
      <c r="T503" s="4">
        <v>5</v>
      </c>
      <c r="U503" s="4">
        <v>450.01</v>
      </c>
      <c r="V503" s="4">
        <v>3</v>
      </c>
      <c r="W503" s="4">
        <v>0</v>
      </c>
      <c r="X503" s="4">
        <v>0</v>
      </c>
      <c r="Y503" s="4">
        <v>300.02</v>
      </c>
      <c r="Z503" s="4">
        <v>2</v>
      </c>
      <c r="AA503" s="4">
        <v>790.01</v>
      </c>
      <c r="AB503" s="4">
        <v>5</v>
      </c>
      <c r="AC503" s="4">
        <v>0</v>
      </c>
      <c r="AD503" s="4">
        <v>0</v>
      </c>
      <c r="AE503" s="4">
        <v>544</v>
      </c>
      <c r="AF503" s="4">
        <v>4</v>
      </c>
      <c r="AG503" s="4">
        <v>879.02</v>
      </c>
      <c r="AH503" s="4">
        <v>5</v>
      </c>
      <c r="AI503" s="4">
        <v>1506.05</v>
      </c>
      <c r="AJ503" s="4">
        <v>10</v>
      </c>
      <c r="AK503" s="4">
        <v>1146.01</v>
      </c>
      <c r="AL503" s="4">
        <v>7</v>
      </c>
      <c r="AM503" s="4">
        <v>1915.02</v>
      </c>
      <c r="AN503" s="4">
        <v>10</v>
      </c>
      <c r="AO503" s="4">
        <v>0</v>
      </c>
      <c r="AP503" s="4">
        <v>0</v>
      </c>
      <c r="AQ503" s="4">
        <v>1047.02</v>
      </c>
      <c r="AR503" s="4">
        <v>7</v>
      </c>
      <c r="AS503" s="4">
        <v>0</v>
      </c>
      <c r="AT503" s="4">
        <v>0</v>
      </c>
      <c r="AU503" s="4">
        <v>279</v>
      </c>
      <c r="AV503" s="4">
        <v>2</v>
      </c>
      <c r="AW503" s="4">
        <v>809.96</v>
      </c>
      <c r="AX503" s="4">
        <v>7</v>
      </c>
      <c r="AY503" s="4">
        <v>871.02</v>
      </c>
      <c r="AZ503" s="4">
        <v>8</v>
      </c>
      <c r="BA503" s="4">
        <v>918.96</v>
      </c>
      <c r="BB503" s="4">
        <v>6</v>
      </c>
      <c r="BC503" s="4">
        <v>373.01</v>
      </c>
      <c r="BD503" s="4">
        <v>3</v>
      </c>
      <c r="BE503" s="4">
        <v>565.02</v>
      </c>
      <c r="BF503" s="4">
        <v>6</v>
      </c>
      <c r="BQ503" s="3">
        <f t="shared" si="16"/>
        <v>22105.239999999998</v>
      </c>
      <c r="BR503" s="3">
        <f t="shared" si="15"/>
        <v>143</v>
      </c>
    </row>
    <row r="504" spans="1:70" x14ac:dyDescent="0.25">
      <c r="A504" s="4" t="s">
        <v>2628</v>
      </c>
      <c r="B504" t="s">
        <v>111</v>
      </c>
      <c r="C504" s="338" t="s">
        <v>1726</v>
      </c>
      <c r="D504" s="213" t="s">
        <v>817</v>
      </c>
      <c r="E504" s="213" t="s">
        <v>138</v>
      </c>
      <c r="F504" s="213" t="s">
        <v>128</v>
      </c>
      <c r="G504" s="4">
        <v>375.01</v>
      </c>
      <c r="H504" s="4">
        <v>3</v>
      </c>
      <c r="I504" s="4">
        <v>1017.03</v>
      </c>
      <c r="J504" s="4">
        <v>6</v>
      </c>
      <c r="K504" s="4">
        <v>742.03</v>
      </c>
      <c r="L504" s="4">
        <v>6</v>
      </c>
      <c r="M504" s="4">
        <v>160</v>
      </c>
      <c r="N504" s="4">
        <v>1</v>
      </c>
      <c r="O504" s="4">
        <v>1019.03</v>
      </c>
      <c r="P504" s="4">
        <v>6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944.02</v>
      </c>
      <c r="X504" s="4">
        <v>6</v>
      </c>
      <c r="Y504" s="4">
        <v>1887.04</v>
      </c>
      <c r="Z504" s="4">
        <v>7</v>
      </c>
      <c r="AA504" s="4">
        <v>250</v>
      </c>
      <c r="AB504" s="4">
        <v>2</v>
      </c>
      <c r="AC504" s="4">
        <v>399</v>
      </c>
      <c r="AD504" s="4">
        <v>4</v>
      </c>
      <c r="AE504" s="4">
        <v>0</v>
      </c>
      <c r="AF504" s="4">
        <v>0</v>
      </c>
      <c r="AG504" s="4">
        <v>75</v>
      </c>
      <c r="AH504" s="4">
        <v>1</v>
      </c>
      <c r="AI504" s="4">
        <v>364</v>
      </c>
      <c r="AJ504" s="4">
        <v>2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115</v>
      </c>
      <c r="AT504" s="4">
        <v>1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596.96</v>
      </c>
      <c r="BB504" s="4">
        <v>4</v>
      </c>
      <c r="BC504" s="4">
        <v>634.99</v>
      </c>
      <c r="BD504" s="4">
        <v>5</v>
      </c>
      <c r="BE504" s="4">
        <v>0</v>
      </c>
      <c r="BF504" s="4">
        <v>0</v>
      </c>
      <c r="BQ504" s="3">
        <f t="shared" si="16"/>
        <v>8579.1099999999988</v>
      </c>
      <c r="BR504" s="3">
        <f t="shared" si="15"/>
        <v>54</v>
      </c>
    </row>
    <row r="505" spans="1:70" x14ac:dyDescent="0.25">
      <c r="A505" s="4" t="s">
        <v>2629</v>
      </c>
      <c r="B505" t="s">
        <v>112</v>
      </c>
      <c r="C505" s="338" t="s">
        <v>2074</v>
      </c>
      <c r="D505" s="213" t="s">
        <v>1165</v>
      </c>
      <c r="E505" s="213" t="s">
        <v>138</v>
      </c>
      <c r="F505" s="213" t="s">
        <v>129</v>
      </c>
      <c r="G505" s="4">
        <v>2511.0500000000002</v>
      </c>
      <c r="H505" s="4">
        <v>20</v>
      </c>
      <c r="I505" s="4">
        <v>4478.09</v>
      </c>
      <c r="J505" s="4">
        <v>33</v>
      </c>
      <c r="K505" s="4">
        <v>1889</v>
      </c>
      <c r="L505" s="4">
        <v>14</v>
      </c>
      <c r="M505" s="4">
        <v>2368.06</v>
      </c>
      <c r="N505" s="4">
        <v>11</v>
      </c>
      <c r="O505" s="4">
        <v>3912.01</v>
      </c>
      <c r="P505" s="4">
        <v>15</v>
      </c>
      <c r="Q505" s="4">
        <v>922.02</v>
      </c>
      <c r="R505" s="4">
        <v>7</v>
      </c>
      <c r="S505" s="4">
        <v>1852.04</v>
      </c>
      <c r="T505" s="4">
        <v>8</v>
      </c>
      <c r="U505" s="4">
        <v>1837.06</v>
      </c>
      <c r="V505" s="4">
        <v>17</v>
      </c>
      <c r="W505" s="4">
        <v>2892.1</v>
      </c>
      <c r="X505" s="4">
        <v>17</v>
      </c>
      <c r="Y505" s="4">
        <v>2303.0500000000002</v>
      </c>
      <c r="Z505" s="4">
        <v>13</v>
      </c>
      <c r="AA505" s="4">
        <v>1699</v>
      </c>
      <c r="AB505" s="4">
        <v>11</v>
      </c>
      <c r="AC505" s="4">
        <v>2413.04</v>
      </c>
      <c r="AD505" s="4">
        <v>13</v>
      </c>
      <c r="AE505" s="4">
        <v>4130.99</v>
      </c>
      <c r="AF505" s="4">
        <v>16</v>
      </c>
      <c r="AG505" s="4">
        <v>357.01</v>
      </c>
      <c r="AH505" s="4">
        <v>6</v>
      </c>
      <c r="AI505" s="4">
        <v>-150</v>
      </c>
      <c r="AJ505" s="4">
        <v>1</v>
      </c>
      <c r="AK505" s="4">
        <v>0</v>
      </c>
      <c r="AL505" s="4">
        <v>0</v>
      </c>
      <c r="AM505" s="4">
        <v>59</v>
      </c>
      <c r="AN505" s="4">
        <v>1</v>
      </c>
      <c r="AO505" s="4">
        <v>0</v>
      </c>
      <c r="AP505" s="4">
        <v>1</v>
      </c>
      <c r="AQ505" s="4">
        <v>15</v>
      </c>
      <c r="AR505" s="4">
        <v>1</v>
      </c>
      <c r="AS505" s="4">
        <v>150</v>
      </c>
      <c r="AT505" s="4">
        <v>1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-210.98</v>
      </c>
      <c r="BB505" s="4">
        <v>2</v>
      </c>
      <c r="BC505" s="4">
        <v>0</v>
      </c>
      <c r="BD505" s="4">
        <v>0</v>
      </c>
      <c r="BE505" s="4">
        <v>0</v>
      </c>
      <c r="BF505" s="4">
        <v>0</v>
      </c>
      <c r="BQ505" s="3">
        <f t="shared" si="16"/>
        <v>33427.54</v>
      </c>
      <c r="BR505" s="3">
        <f t="shared" si="15"/>
        <v>208</v>
      </c>
    </row>
    <row r="506" spans="1:70" x14ac:dyDescent="0.25">
      <c r="A506" s="4" t="s">
        <v>2630</v>
      </c>
      <c r="B506" t="s">
        <v>112</v>
      </c>
      <c r="C506" s="338" t="s">
        <v>2075</v>
      </c>
      <c r="D506" s="213" t="s">
        <v>1166</v>
      </c>
      <c r="E506" s="213" t="s">
        <v>138</v>
      </c>
      <c r="F506" s="213" t="s">
        <v>129</v>
      </c>
      <c r="G506" s="4">
        <v>2787.04</v>
      </c>
      <c r="H506" s="4">
        <v>22</v>
      </c>
      <c r="I506" s="4">
        <v>2636.03</v>
      </c>
      <c r="J506" s="4">
        <v>21</v>
      </c>
      <c r="K506" s="4">
        <v>1925.03</v>
      </c>
      <c r="L506" s="4">
        <v>11</v>
      </c>
      <c r="M506" s="4">
        <v>1346.02</v>
      </c>
      <c r="N506" s="4">
        <v>11</v>
      </c>
      <c r="O506" s="4">
        <v>372</v>
      </c>
      <c r="P506" s="4">
        <v>2</v>
      </c>
      <c r="Q506" s="4">
        <v>1379.02</v>
      </c>
      <c r="R506" s="4">
        <v>8</v>
      </c>
      <c r="S506" s="4">
        <v>450.02</v>
      </c>
      <c r="T506" s="4">
        <v>4</v>
      </c>
      <c r="U506" s="4">
        <v>1252.01</v>
      </c>
      <c r="V506" s="4">
        <v>9</v>
      </c>
      <c r="W506" s="4">
        <v>1530.02</v>
      </c>
      <c r="X506" s="4">
        <v>9</v>
      </c>
      <c r="Y506" s="4">
        <v>2023.02</v>
      </c>
      <c r="Z506" s="4">
        <v>13</v>
      </c>
      <c r="AA506" s="4">
        <v>150</v>
      </c>
      <c r="AB506" s="4">
        <v>1</v>
      </c>
      <c r="AC506" s="4">
        <v>0</v>
      </c>
      <c r="AD506" s="4">
        <v>0</v>
      </c>
      <c r="AE506" s="4">
        <v>530</v>
      </c>
      <c r="AF506" s="4">
        <v>3</v>
      </c>
      <c r="AG506" s="4">
        <v>1853.06</v>
      </c>
      <c r="AH506" s="4">
        <v>8</v>
      </c>
      <c r="AI506" s="4">
        <v>1947.02</v>
      </c>
      <c r="AJ506" s="4">
        <v>13</v>
      </c>
      <c r="AK506" s="4">
        <v>1454.02</v>
      </c>
      <c r="AL506" s="4">
        <v>11</v>
      </c>
      <c r="AM506" s="4">
        <v>1663.02</v>
      </c>
      <c r="AN506" s="4">
        <v>12</v>
      </c>
      <c r="AO506" s="4">
        <v>2486.0300000000002</v>
      </c>
      <c r="AP506" s="4">
        <v>8</v>
      </c>
      <c r="AQ506" s="4">
        <v>425.01</v>
      </c>
      <c r="AR506" s="4">
        <v>2</v>
      </c>
      <c r="AS506" s="4">
        <v>938.02</v>
      </c>
      <c r="AT506" s="4">
        <v>6</v>
      </c>
      <c r="AU506" s="4">
        <v>1240.02</v>
      </c>
      <c r="AV506" s="4">
        <v>8</v>
      </c>
      <c r="AW506" s="4">
        <v>2127.9499999999998</v>
      </c>
      <c r="AX506" s="4">
        <v>17</v>
      </c>
      <c r="AY506" s="4">
        <v>1567.97</v>
      </c>
      <c r="AZ506" s="4">
        <v>10</v>
      </c>
      <c r="BA506" s="4">
        <v>3686.8</v>
      </c>
      <c r="BB506" s="4">
        <v>25</v>
      </c>
      <c r="BC506" s="4">
        <v>902.96</v>
      </c>
      <c r="BD506" s="4">
        <v>7</v>
      </c>
      <c r="BE506" s="4">
        <v>974.08</v>
      </c>
      <c r="BF506" s="4">
        <v>6</v>
      </c>
      <c r="BQ506" s="3">
        <f t="shared" si="16"/>
        <v>37646.170000000006</v>
      </c>
      <c r="BR506" s="3">
        <f t="shared" si="15"/>
        <v>247</v>
      </c>
    </row>
    <row r="507" spans="1:70" x14ac:dyDescent="0.25">
      <c r="A507" s="4" t="s">
        <v>2631</v>
      </c>
      <c r="B507" t="s">
        <v>112</v>
      </c>
      <c r="C507" s="338" t="s">
        <v>2076</v>
      </c>
      <c r="D507" s="213" t="s">
        <v>1167</v>
      </c>
      <c r="E507" s="213" t="s">
        <v>138</v>
      </c>
      <c r="F507" s="213" t="s">
        <v>129</v>
      </c>
      <c r="G507" s="4">
        <v>1623.03</v>
      </c>
      <c r="H507" s="4">
        <v>14</v>
      </c>
      <c r="I507" s="4">
        <v>0</v>
      </c>
      <c r="J507" s="4">
        <v>0</v>
      </c>
      <c r="K507" s="4">
        <v>1468.03</v>
      </c>
      <c r="L507" s="4">
        <v>10</v>
      </c>
      <c r="M507" s="4">
        <v>475.01</v>
      </c>
      <c r="N507" s="4">
        <v>2</v>
      </c>
      <c r="O507" s="4">
        <v>930.02</v>
      </c>
      <c r="P507" s="4">
        <v>5</v>
      </c>
      <c r="Q507" s="4">
        <v>300</v>
      </c>
      <c r="R507" s="4">
        <v>2</v>
      </c>
      <c r="S507" s="4">
        <v>150</v>
      </c>
      <c r="T507" s="4">
        <v>1</v>
      </c>
      <c r="U507" s="4">
        <v>450.01</v>
      </c>
      <c r="V507" s="4">
        <v>3</v>
      </c>
      <c r="W507" s="4">
        <v>0</v>
      </c>
      <c r="X507" s="4">
        <v>0</v>
      </c>
      <c r="Y507" s="4">
        <v>864.02</v>
      </c>
      <c r="Z507" s="4">
        <v>6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395</v>
      </c>
      <c r="AH507" s="4">
        <v>2</v>
      </c>
      <c r="AI507" s="4">
        <v>1230.03</v>
      </c>
      <c r="AJ507" s="4">
        <v>5</v>
      </c>
      <c r="AK507" s="4">
        <v>1129.01</v>
      </c>
      <c r="AL507" s="4">
        <v>9</v>
      </c>
      <c r="AM507" s="4">
        <v>675.02</v>
      </c>
      <c r="AN507" s="4">
        <v>5</v>
      </c>
      <c r="AO507" s="4">
        <v>1107.03</v>
      </c>
      <c r="AP507" s="4">
        <v>5</v>
      </c>
      <c r="AQ507" s="4">
        <v>424.02</v>
      </c>
      <c r="AR507" s="4">
        <v>3</v>
      </c>
      <c r="AS507" s="4">
        <v>375.01</v>
      </c>
      <c r="AT507" s="4">
        <v>3</v>
      </c>
      <c r="AU507" s="4">
        <v>342</v>
      </c>
      <c r="AV507" s="4">
        <v>4</v>
      </c>
      <c r="AW507" s="4">
        <v>525</v>
      </c>
      <c r="AX507" s="4">
        <v>5</v>
      </c>
      <c r="AY507" s="4">
        <v>0</v>
      </c>
      <c r="AZ507" s="4">
        <v>0</v>
      </c>
      <c r="BA507" s="4">
        <v>1775.87</v>
      </c>
      <c r="BB507" s="4">
        <v>9</v>
      </c>
      <c r="BC507" s="4">
        <v>468.99</v>
      </c>
      <c r="BD507" s="4">
        <v>4</v>
      </c>
      <c r="BE507" s="4">
        <v>1058.08</v>
      </c>
      <c r="BF507" s="4">
        <v>4</v>
      </c>
      <c r="BQ507" s="3">
        <f t="shared" si="16"/>
        <v>15765.18</v>
      </c>
      <c r="BR507" s="3">
        <f t="shared" si="15"/>
        <v>101</v>
      </c>
    </row>
    <row r="508" spans="1:70" x14ac:dyDescent="0.25">
      <c r="A508" s="4" t="s">
        <v>2632</v>
      </c>
      <c r="B508" t="s">
        <v>112</v>
      </c>
      <c r="C508" s="338" t="s">
        <v>2077</v>
      </c>
      <c r="D508" s="213" t="s">
        <v>1168</v>
      </c>
      <c r="E508" s="213" t="s">
        <v>138</v>
      </c>
      <c r="F508" s="213" t="s">
        <v>129</v>
      </c>
      <c r="G508" s="4">
        <v>3797.1</v>
      </c>
      <c r="H508" s="4">
        <v>37</v>
      </c>
      <c r="I508" s="4">
        <v>2965.03</v>
      </c>
      <c r="J508" s="4">
        <v>32</v>
      </c>
      <c r="K508" s="4">
        <v>513</v>
      </c>
      <c r="L508" s="4">
        <v>3</v>
      </c>
      <c r="M508" s="4">
        <v>2139.0300000000002</v>
      </c>
      <c r="N508" s="4">
        <v>11</v>
      </c>
      <c r="O508" s="4">
        <v>10767.16</v>
      </c>
      <c r="P508" s="4">
        <v>16</v>
      </c>
      <c r="Q508" s="4">
        <v>1694.04</v>
      </c>
      <c r="R508" s="4">
        <v>11</v>
      </c>
      <c r="S508" s="4">
        <v>1564.07</v>
      </c>
      <c r="T508" s="4">
        <v>13</v>
      </c>
      <c r="U508" s="4">
        <v>1731.03</v>
      </c>
      <c r="V508" s="4">
        <v>15</v>
      </c>
      <c r="W508" s="4">
        <v>2864.02</v>
      </c>
      <c r="X508" s="4">
        <v>25</v>
      </c>
      <c r="Y508" s="4">
        <v>97</v>
      </c>
      <c r="Z508" s="4">
        <v>2</v>
      </c>
      <c r="AA508" s="4">
        <v>1470.01</v>
      </c>
      <c r="AB508" s="4">
        <v>13</v>
      </c>
      <c r="AC508" s="4">
        <v>709.01</v>
      </c>
      <c r="AD508" s="4">
        <v>3</v>
      </c>
      <c r="AE508" s="4">
        <v>0</v>
      </c>
      <c r="AF508" s="4">
        <v>0</v>
      </c>
      <c r="AG508" s="4">
        <v>2203.0700000000002</v>
      </c>
      <c r="AH508" s="4">
        <v>13</v>
      </c>
      <c r="AI508" s="4">
        <v>1764.03</v>
      </c>
      <c r="AJ508" s="4">
        <v>14</v>
      </c>
      <c r="AK508" s="4">
        <v>2542.04</v>
      </c>
      <c r="AL508" s="4">
        <v>19</v>
      </c>
      <c r="AM508" s="4">
        <v>3037.02</v>
      </c>
      <c r="AN508" s="4">
        <v>16</v>
      </c>
      <c r="AO508" s="4">
        <v>1837.03</v>
      </c>
      <c r="AP508" s="4">
        <v>14</v>
      </c>
      <c r="AQ508" s="4">
        <v>2687.03</v>
      </c>
      <c r="AR508" s="4">
        <v>19</v>
      </c>
      <c r="AS508" s="4">
        <v>1402.02</v>
      </c>
      <c r="AT508" s="4">
        <v>10</v>
      </c>
      <c r="AU508" s="4">
        <v>1235.06</v>
      </c>
      <c r="AV508" s="4">
        <v>7</v>
      </c>
      <c r="AW508" s="4">
        <v>2175.0300000000002</v>
      </c>
      <c r="AX508" s="4">
        <v>14</v>
      </c>
      <c r="AY508" s="4">
        <v>2146.96</v>
      </c>
      <c r="AZ508" s="4">
        <v>12</v>
      </c>
      <c r="BA508" s="4">
        <v>682.98</v>
      </c>
      <c r="BB508" s="4">
        <v>4</v>
      </c>
      <c r="BC508" s="4">
        <v>1668.92</v>
      </c>
      <c r="BD508" s="4">
        <v>11</v>
      </c>
      <c r="BE508" s="4">
        <v>2460.19</v>
      </c>
      <c r="BF508" s="4">
        <v>14</v>
      </c>
      <c r="BQ508" s="3">
        <f t="shared" si="16"/>
        <v>56151.87999999999</v>
      </c>
      <c r="BR508" s="3">
        <f t="shared" si="15"/>
        <v>348</v>
      </c>
    </row>
    <row r="509" spans="1:70" x14ac:dyDescent="0.25">
      <c r="A509" s="4" t="s">
        <v>2633</v>
      </c>
      <c r="B509" t="s">
        <v>113</v>
      </c>
      <c r="C509" s="338" t="s">
        <v>2078</v>
      </c>
      <c r="D509" s="213" t="s">
        <v>1169</v>
      </c>
      <c r="E509" s="213" t="s">
        <v>145</v>
      </c>
      <c r="F509" s="213" t="s">
        <v>131</v>
      </c>
      <c r="G509" s="4">
        <v>366</v>
      </c>
      <c r="H509" s="4">
        <v>4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150</v>
      </c>
      <c r="T509" s="4">
        <v>1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599.99</v>
      </c>
      <c r="AD509" s="4">
        <v>4</v>
      </c>
      <c r="AE509" s="4">
        <v>0</v>
      </c>
      <c r="AF509" s="4">
        <v>0</v>
      </c>
      <c r="AG509" s="4">
        <v>793.03</v>
      </c>
      <c r="AH509" s="4">
        <v>5</v>
      </c>
      <c r="AI509" s="4">
        <v>2969.04</v>
      </c>
      <c r="AJ509" s="4">
        <v>21</v>
      </c>
      <c r="AK509" s="4">
        <v>0</v>
      </c>
      <c r="AL509" s="4">
        <v>0</v>
      </c>
      <c r="AM509" s="4">
        <v>1969.01</v>
      </c>
      <c r="AN509" s="4">
        <v>12</v>
      </c>
      <c r="AO509" s="4">
        <v>1184.02</v>
      </c>
      <c r="AP509" s="4">
        <v>8</v>
      </c>
      <c r="AQ509" s="4">
        <v>1339.04</v>
      </c>
      <c r="AR509" s="4">
        <v>11</v>
      </c>
      <c r="AS509" s="4">
        <v>1737.02</v>
      </c>
      <c r="AT509" s="4">
        <v>14</v>
      </c>
      <c r="AU509" s="4">
        <v>1707.04</v>
      </c>
      <c r="AV509" s="4">
        <v>10</v>
      </c>
      <c r="AW509" s="4">
        <v>2559.9</v>
      </c>
      <c r="AX509" s="4">
        <v>16</v>
      </c>
      <c r="AY509" s="4">
        <v>2267.92</v>
      </c>
      <c r="AZ509" s="4">
        <v>17</v>
      </c>
      <c r="BA509" s="4">
        <v>2065.9299999999998</v>
      </c>
      <c r="BB509" s="4">
        <v>15</v>
      </c>
      <c r="BC509" s="4">
        <v>210.98</v>
      </c>
      <c r="BD509" s="4">
        <v>1</v>
      </c>
      <c r="BE509" s="4">
        <v>422.04</v>
      </c>
      <c r="BF509" s="4">
        <v>1</v>
      </c>
      <c r="BQ509" s="3">
        <f t="shared" si="16"/>
        <v>20340.960000000003</v>
      </c>
      <c r="BR509" s="3">
        <f t="shared" si="15"/>
        <v>140</v>
      </c>
    </row>
    <row r="510" spans="1:70" x14ac:dyDescent="0.25">
      <c r="A510" s="4" t="s">
        <v>2634</v>
      </c>
      <c r="B510" t="s">
        <v>113</v>
      </c>
      <c r="C510" s="338" t="s">
        <v>2079</v>
      </c>
      <c r="D510" s="213" t="s">
        <v>1170</v>
      </c>
      <c r="E510" s="213" t="s">
        <v>145</v>
      </c>
      <c r="F510" s="213" t="s">
        <v>131</v>
      </c>
      <c r="G510" s="4">
        <v>0</v>
      </c>
      <c r="H510" s="4">
        <v>0</v>
      </c>
      <c r="I510" s="4">
        <v>4059.05</v>
      </c>
      <c r="J510" s="4">
        <v>32</v>
      </c>
      <c r="K510" s="4">
        <v>3591.03</v>
      </c>
      <c r="L510" s="4">
        <v>34</v>
      </c>
      <c r="M510" s="4">
        <v>1473.06</v>
      </c>
      <c r="N510" s="4">
        <v>13</v>
      </c>
      <c r="O510" s="4">
        <v>3023.06</v>
      </c>
      <c r="P510" s="4">
        <v>16</v>
      </c>
      <c r="Q510" s="4">
        <v>824.99</v>
      </c>
      <c r="R510" s="4">
        <v>7</v>
      </c>
      <c r="S510" s="4">
        <v>3580.08</v>
      </c>
      <c r="T510" s="4">
        <v>20</v>
      </c>
      <c r="U510" s="4">
        <v>2102.04</v>
      </c>
      <c r="V510" s="4">
        <v>16</v>
      </c>
      <c r="W510" s="4">
        <v>5369.1</v>
      </c>
      <c r="X510" s="4">
        <v>36</v>
      </c>
      <c r="Y510" s="4">
        <v>1471.01</v>
      </c>
      <c r="Z510" s="4">
        <v>13</v>
      </c>
      <c r="AA510" s="4">
        <v>115</v>
      </c>
      <c r="AB510" s="4">
        <v>1</v>
      </c>
      <c r="AC510" s="4">
        <v>0</v>
      </c>
      <c r="AD510" s="4">
        <v>0</v>
      </c>
      <c r="AE510" s="4">
        <v>0</v>
      </c>
      <c r="AF510" s="4">
        <v>0</v>
      </c>
      <c r="AG510" s="4">
        <v>75</v>
      </c>
      <c r="AH510" s="4">
        <v>1</v>
      </c>
      <c r="AI510" s="4">
        <v>0</v>
      </c>
      <c r="AJ510" s="4">
        <v>0</v>
      </c>
      <c r="AK510" s="4">
        <v>2240.0500000000002</v>
      </c>
      <c r="AL510" s="4">
        <v>14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Q510" s="3">
        <f t="shared" si="16"/>
        <v>27923.469999999994</v>
      </c>
      <c r="BR510" s="3">
        <f t="shared" si="15"/>
        <v>203</v>
      </c>
    </row>
    <row r="511" spans="1:70" x14ac:dyDescent="0.25">
      <c r="A511" s="4" t="s">
        <v>2635</v>
      </c>
      <c r="B511" t="s">
        <v>114</v>
      </c>
      <c r="C511" s="338" t="s">
        <v>2080</v>
      </c>
      <c r="D511" s="213" t="s">
        <v>1171</v>
      </c>
      <c r="E511" s="213" t="s">
        <v>157</v>
      </c>
      <c r="F511" s="213" t="s">
        <v>133</v>
      </c>
      <c r="G511" s="4">
        <v>1717.04</v>
      </c>
      <c r="H511" s="4">
        <v>12</v>
      </c>
      <c r="I511" s="4">
        <v>3341.03</v>
      </c>
      <c r="J511" s="4">
        <v>13</v>
      </c>
      <c r="K511" s="4">
        <v>0</v>
      </c>
      <c r="L511" s="4">
        <v>0</v>
      </c>
      <c r="M511" s="4">
        <v>0</v>
      </c>
      <c r="N511" s="4">
        <v>0</v>
      </c>
      <c r="O511" s="4">
        <v>514</v>
      </c>
      <c r="P511" s="4">
        <v>2</v>
      </c>
      <c r="Q511" s="4">
        <v>225</v>
      </c>
      <c r="R511" s="4">
        <v>1</v>
      </c>
      <c r="S511" s="4">
        <v>0</v>
      </c>
      <c r="T511" s="4">
        <v>0</v>
      </c>
      <c r="U511" s="4">
        <v>0</v>
      </c>
      <c r="V511" s="4">
        <v>0</v>
      </c>
      <c r="W511" s="4">
        <v>907.03</v>
      </c>
      <c r="X511" s="4">
        <v>3</v>
      </c>
      <c r="Y511" s="4">
        <v>270</v>
      </c>
      <c r="Z511" s="4">
        <v>3</v>
      </c>
      <c r="AA511" s="4">
        <v>150</v>
      </c>
      <c r="AB511" s="4">
        <v>1</v>
      </c>
      <c r="AC511" s="4">
        <v>610</v>
      </c>
      <c r="AD511" s="4">
        <v>3</v>
      </c>
      <c r="AE511" s="4">
        <v>0</v>
      </c>
      <c r="AF511" s="4">
        <v>0</v>
      </c>
      <c r="AG511" s="4">
        <v>0</v>
      </c>
      <c r="AH511" s="4">
        <v>0</v>
      </c>
      <c r="AI511" s="4">
        <v>229</v>
      </c>
      <c r="AJ511" s="4">
        <v>2</v>
      </c>
      <c r="AK511" s="4">
        <v>150</v>
      </c>
      <c r="AL511" s="4">
        <v>1</v>
      </c>
      <c r="AM511" s="4">
        <v>0</v>
      </c>
      <c r="AN511" s="4">
        <v>0</v>
      </c>
      <c r="AO511" s="4">
        <v>199</v>
      </c>
      <c r="AP511" s="4">
        <v>2</v>
      </c>
      <c r="AQ511" s="4">
        <v>631.02</v>
      </c>
      <c r="AR511" s="4">
        <v>2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1789.92</v>
      </c>
      <c r="AZ511" s="4">
        <v>12</v>
      </c>
      <c r="BA511" s="4">
        <v>0</v>
      </c>
      <c r="BB511" s="4">
        <v>0</v>
      </c>
      <c r="BC511" s="4">
        <v>0</v>
      </c>
      <c r="BD511" s="4">
        <v>0</v>
      </c>
      <c r="BE511" s="4">
        <v>693.02</v>
      </c>
      <c r="BF511" s="4">
        <v>5</v>
      </c>
      <c r="BQ511" s="3">
        <f t="shared" si="16"/>
        <v>11426.06</v>
      </c>
      <c r="BR511" s="3">
        <f t="shared" si="15"/>
        <v>62</v>
      </c>
    </row>
    <row r="512" spans="1:70" x14ac:dyDescent="0.25">
      <c r="A512" s="4" t="s">
        <v>2636</v>
      </c>
      <c r="B512" t="s">
        <v>114</v>
      </c>
      <c r="C512" s="338" t="s">
        <v>2081</v>
      </c>
      <c r="D512" s="213" t="s">
        <v>1172</v>
      </c>
      <c r="E512" s="213" t="s">
        <v>157</v>
      </c>
      <c r="F512" s="213" t="s">
        <v>133</v>
      </c>
      <c r="G512" s="4">
        <v>2349.0300000000002</v>
      </c>
      <c r="H512" s="4">
        <v>14</v>
      </c>
      <c r="I512" s="4">
        <v>3752.05</v>
      </c>
      <c r="J512" s="4">
        <v>20</v>
      </c>
      <c r="K512" s="4">
        <v>465.01</v>
      </c>
      <c r="L512" s="4">
        <v>3</v>
      </c>
      <c r="M512" s="4">
        <v>525</v>
      </c>
      <c r="N512" s="4">
        <v>2</v>
      </c>
      <c r="O512" s="4">
        <v>349.03</v>
      </c>
      <c r="P512" s="4">
        <v>2</v>
      </c>
      <c r="Q512" s="4">
        <v>677</v>
      </c>
      <c r="R512" s="4">
        <v>3</v>
      </c>
      <c r="S512" s="4">
        <v>315</v>
      </c>
      <c r="T512" s="4">
        <v>2</v>
      </c>
      <c r="U512" s="4">
        <v>525.03</v>
      </c>
      <c r="V512" s="4">
        <v>3</v>
      </c>
      <c r="W512" s="4">
        <v>0</v>
      </c>
      <c r="X512" s="4">
        <v>0</v>
      </c>
      <c r="Y512" s="4">
        <v>818</v>
      </c>
      <c r="Z512" s="4">
        <v>5</v>
      </c>
      <c r="AA512" s="4">
        <v>1146.04</v>
      </c>
      <c r="AB512" s="4">
        <v>6</v>
      </c>
      <c r="AC512" s="4">
        <v>0</v>
      </c>
      <c r="AD512" s="4">
        <v>0</v>
      </c>
      <c r="AE512" s="4">
        <v>609.01</v>
      </c>
      <c r="AF512" s="4">
        <v>4</v>
      </c>
      <c r="AG512" s="4">
        <v>1149</v>
      </c>
      <c r="AH512" s="4">
        <v>6</v>
      </c>
      <c r="AI512" s="4">
        <v>1158.99</v>
      </c>
      <c r="AJ512" s="4">
        <v>6</v>
      </c>
      <c r="AK512" s="4">
        <v>1831</v>
      </c>
      <c r="AL512" s="4">
        <v>9</v>
      </c>
      <c r="AM512" s="4">
        <v>900</v>
      </c>
      <c r="AN512" s="4">
        <v>4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989</v>
      </c>
      <c r="AV512" s="4">
        <v>5</v>
      </c>
      <c r="AW512" s="4">
        <v>0</v>
      </c>
      <c r="AX512" s="4">
        <v>0</v>
      </c>
      <c r="AY512" s="4">
        <v>0</v>
      </c>
      <c r="AZ512" s="4">
        <v>0</v>
      </c>
      <c r="BA512" s="4">
        <v>571.96</v>
      </c>
      <c r="BB512" s="4">
        <v>2</v>
      </c>
      <c r="BC512" s="4">
        <v>752.96</v>
      </c>
      <c r="BD512" s="4">
        <v>4</v>
      </c>
      <c r="BE512" s="4">
        <v>261.01</v>
      </c>
      <c r="BF512" s="4">
        <v>2</v>
      </c>
      <c r="BQ512" s="3">
        <f t="shared" si="16"/>
        <v>19144.119999999995</v>
      </c>
      <c r="BR512" s="3">
        <f t="shared" si="15"/>
        <v>102</v>
      </c>
    </row>
    <row r="513" spans="1:70" x14ac:dyDescent="0.25">
      <c r="A513" s="4" t="s">
        <v>2637</v>
      </c>
      <c r="B513" t="s">
        <v>114</v>
      </c>
      <c r="C513" s="338" t="s">
        <v>2082</v>
      </c>
      <c r="D513" s="213" t="s">
        <v>1173</v>
      </c>
      <c r="E513" s="213" t="s">
        <v>157</v>
      </c>
      <c r="F513" s="213" t="s">
        <v>133</v>
      </c>
      <c r="G513" s="4">
        <v>0</v>
      </c>
      <c r="H513" s="4">
        <v>0</v>
      </c>
      <c r="I513" s="4">
        <v>0</v>
      </c>
      <c r="J513" s="4">
        <v>0</v>
      </c>
      <c r="K513" s="4">
        <v>1534.03</v>
      </c>
      <c r="L513" s="4">
        <v>10</v>
      </c>
      <c r="M513" s="4">
        <v>1796.01</v>
      </c>
      <c r="N513" s="4">
        <v>9</v>
      </c>
      <c r="O513" s="4">
        <v>0</v>
      </c>
      <c r="P513" s="4">
        <v>0</v>
      </c>
      <c r="Q513" s="4">
        <v>765</v>
      </c>
      <c r="R513" s="4">
        <v>5</v>
      </c>
      <c r="S513" s="4">
        <v>1217</v>
      </c>
      <c r="T513" s="4">
        <v>7</v>
      </c>
      <c r="U513" s="4">
        <v>1051.02</v>
      </c>
      <c r="V513" s="4">
        <v>7</v>
      </c>
      <c r="W513" s="4">
        <v>0</v>
      </c>
      <c r="X513" s="4">
        <v>0</v>
      </c>
      <c r="Y513" s="4">
        <v>835.01</v>
      </c>
      <c r="Z513" s="4">
        <v>5</v>
      </c>
      <c r="AA513" s="4">
        <v>340.01</v>
      </c>
      <c r="AB513" s="4">
        <v>2</v>
      </c>
      <c r="AC513" s="4">
        <v>375.01</v>
      </c>
      <c r="AD513" s="4">
        <v>2</v>
      </c>
      <c r="AE513" s="4">
        <v>579</v>
      </c>
      <c r="AF513" s="4">
        <v>3</v>
      </c>
      <c r="AG513" s="4">
        <v>465.02</v>
      </c>
      <c r="AH513" s="4">
        <v>3</v>
      </c>
      <c r="AI513" s="4">
        <v>678</v>
      </c>
      <c r="AJ513" s="4">
        <v>5</v>
      </c>
      <c r="AK513" s="4">
        <v>0</v>
      </c>
      <c r="AL513" s="4">
        <v>0</v>
      </c>
      <c r="AM513" s="4">
        <v>249</v>
      </c>
      <c r="AN513" s="4">
        <v>2</v>
      </c>
      <c r="AO513" s="4">
        <v>450</v>
      </c>
      <c r="AP513" s="4">
        <v>3</v>
      </c>
      <c r="AQ513" s="4">
        <v>450</v>
      </c>
      <c r="AR513" s="4">
        <v>3</v>
      </c>
      <c r="AS513" s="4">
        <v>604</v>
      </c>
      <c r="AT513" s="4">
        <v>4</v>
      </c>
      <c r="AU513" s="4">
        <v>0</v>
      </c>
      <c r="AV513" s="4">
        <v>0</v>
      </c>
      <c r="AW513" s="4">
        <v>1923.93</v>
      </c>
      <c r="AX513" s="4">
        <v>11</v>
      </c>
      <c r="AY513" s="4">
        <v>0</v>
      </c>
      <c r="AZ513" s="4">
        <v>0</v>
      </c>
      <c r="BA513" s="4">
        <v>589.98</v>
      </c>
      <c r="BB513" s="4">
        <v>3</v>
      </c>
      <c r="BC513" s="4">
        <v>0</v>
      </c>
      <c r="BD513" s="4">
        <v>0</v>
      </c>
      <c r="BE513" s="4">
        <v>0</v>
      </c>
      <c r="BF513" s="4">
        <v>0</v>
      </c>
      <c r="BQ513" s="3">
        <f t="shared" si="16"/>
        <v>13902.02</v>
      </c>
      <c r="BR513" s="3">
        <f t="shared" si="15"/>
        <v>84</v>
      </c>
    </row>
    <row r="514" spans="1:70" x14ac:dyDescent="0.25">
      <c r="A514" s="4" t="s">
        <v>2638</v>
      </c>
      <c r="B514" t="s">
        <v>114</v>
      </c>
      <c r="C514" s="338" t="s">
        <v>2083</v>
      </c>
      <c r="D514" s="213" t="s">
        <v>1174</v>
      </c>
      <c r="E514" s="213" t="s">
        <v>157</v>
      </c>
      <c r="F514" s="213" t="s">
        <v>133</v>
      </c>
      <c r="G514" s="4">
        <v>1257.02</v>
      </c>
      <c r="H514" s="4">
        <v>9</v>
      </c>
      <c r="I514" s="4">
        <v>0</v>
      </c>
      <c r="J514" s="4">
        <v>0</v>
      </c>
      <c r="K514" s="4">
        <v>829.04</v>
      </c>
      <c r="L514" s="4">
        <v>5</v>
      </c>
      <c r="M514" s="4">
        <v>1128.02</v>
      </c>
      <c r="N514" s="4">
        <v>6</v>
      </c>
      <c r="O514" s="4">
        <v>1041.03</v>
      </c>
      <c r="P514" s="4">
        <v>7</v>
      </c>
      <c r="Q514" s="4">
        <v>0</v>
      </c>
      <c r="R514" s="4">
        <v>0</v>
      </c>
      <c r="S514" s="4">
        <v>672.01</v>
      </c>
      <c r="T514" s="4">
        <v>4</v>
      </c>
      <c r="U514" s="4">
        <v>699.02</v>
      </c>
      <c r="V514" s="4">
        <v>4</v>
      </c>
      <c r="W514" s="4">
        <v>2311.09</v>
      </c>
      <c r="X514" s="4">
        <v>14</v>
      </c>
      <c r="Y514" s="4">
        <v>525.01</v>
      </c>
      <c r="Z514" s="4">
        <v>3</v>
      </c>
      <c r="AA514" s="4">
        <v>1125.02</v>
      </c>
      <c r="AB514" s="4">
        <v>6</v>
      </c>
      <c r="AC514" s="4">
        <v>450.01</v>
      </c>
      <c r="AD514" s="4">
        <v>3</v>
      </c>
      <c r="AE514" s="4">
        <v>429.02</v>
      </c>
      <c r="AF514" s="4">
        <v>2</v>
      </c>
      <c r="AG514" s="4">
        <v>0</v>
      </c>
      <c r="AH514" s="4">
        <v>0</v>
      </c>
      <c r="AI514" s="4">
        <v>897</v>
      </c>
      <c r="AJ514" s="4">
        <v>4</v>
      </c>
      <c r="AK514" s="4">
        <v>1707.99</v>
      </c>
      <c r="AL514" s="4">
        <v>10</v>
      </c>
      <c r="AM514" s="4">
        <v>165</v>
      </c>
      <c r="AN514" s="4">
        <v>2</v>
      </c>
      <c r="AO514" s="4">
        <v>375.01</v>
      </c>
      <c r="AP514" s="4">
        <v>2</v>
      </c>
      <c r="AQ514" s="4">
        <v>225</v>
      </c>
      <c r="AR514" s="4">
        <v>1</v>
      </c>
      <c r="AS514" s="4">
        <v>624</v>
      </c>
      <c r="AT514" s="4">
        <v>3</v>
      </c>
      <c r="AU514" s="4">
        <v>225</v>
      </c>
      <c r="AV514" s="4">
        <v>1</v>
      </c>
      <c r="AW514" s="4">
        <v>360.98</v>
      </c>
      <c r="AX514" s="4">
        <v>2</v>
      </c>
      <c r="AY514" s="4">
        <v>0</v>
      </c>
      <c r="AZ514" s="4">
        <v>0</v>
      </c>
      <c r="BA514" s="4">
        <v>265</v>
      </c>
      <c r="BB514" s="4">
        <v>2</v>
      </c>
      <c r="BC514" s="4">
        <v>721.96</v>
      </c>
      <c r="BD514" s="4">
        <v>4</v>
      </c>
      <c r="BE514" s="4">
        <v>497.04</v>
      </c>
      <c r="BF514" s="4">
        <v>2</v>
      </c>
      <c r="BQ514" s="3">
        <f t="shared" si="16"/>
        <v>16530.27</v>
      </c>
      <c r="BR514" s="3">
        <f t="shared" si="15"/>
        <v>96</v>
      </c>
    </row>
    <row r="515" spans="1:70" x14ac:dyDescent="0.25">
      <c r="A515" s="4" t="s">
        <v>2639</v>
      </c>
      <c r="B515" t="s">
        <v>115</v>
      </c>
      <c r="C515" s="338" t="s">
        <v>2084</v>
      </c>
      <c r="D515" s="213" t="s">
        <v>1175</v>
      </c>
      <c r="E515" s="213" t="s">
        <v>142</v>
      </c>
      <c r="F515" s="213" t="s">
        <v>132</v>
      </c>
      <c r="G515" s="4">
        <v>0</v>
      </c>
      <c r="H515" s="4">
        <v>0</v>
      </c>
      <c r="I515" s="4">
        <v>616.02</v>
      </c>
      <c r="J515" s="4">
        <v>5</v>
      </c>
      <c r="K515" s="4">
        <v>0</v>
      </c>
      <c r="L515" s="4">
        <v>0</v>
      </c>
      <c r="M515" s="4">
        <v>0</v>
      </c>
      <c r="N515" s="4">
        <v>0</v>
      </c>
      <c r="O515" s="4">
        <v>649.01</v>
      </c>
      <c r="P515" s="4">
        <v>3</v>
      </c>
      <c r="Q515" s="4">
        <v>225</v>
      </c>
      <c r="R515" s="4">
        <v>1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770</v>
      </c>
      <c r="AJ515" s="4">
        <v>4</v>
      </c>
      <c r="AK515" s="4">
        <v>934.04</v>
      </c>
      <c r="AL515" s="4">
        <v>5</v>
      </c>
      <c r="AM515" s="4">
        <v>0</v>
      </c>
      <c r="AN515" s="4">
        <v>0</v>
      </c>
      <c r="AO515" s="4">
        <v>199.01</v>
      </c>
      <c r="AP515" s="4">
        <v>1</v>
      </c>
      <c r="AQ515" s="4">
        <v>1813</v>
      </c>
      <c r="AR515" s="4">
        <v>11</v>
      </c>
      <c r="AS515" s="4">
        <v>1022.02</v>
      </c>
      <c r="AT515" s="4">
        <v>6</v>
      </c>
      <c r="AU515" s="4">
        <v>0</v>
      </c>
      <c r="AV515" s="4">
        <v>0</v>
      </c>
      <c r="AW515" s="4">
        <v>186.01</v>
      </c>
      <c r="AX515" s="4">
        <v>2</v>
      </c>
      <c r="AY515" s="4">
        <v>0</v>
      </c>
      <c r="AZ515" s="4">
        <v>0</v>
      </c>
      <c r="BA515" s="4">
        <v>115</v>
      </c>
      <c r="BB515" s="4">
        <v>1</v>
      </c>
      <c r="BC515" s="4">
        <v>0</v>
      </c>
      <c r="BD515" s="4">
        <v>0</v>
      </c>
      <c r="BE515" s="4">
        <v>0</v>
      </c>
      <c r="BF515" s="4">
        <v>0</v>
      </c>
      <c r="BQ515" s="3">
        <f t="shared" si="16"/>
        <v>6529.1100000000006</v>
      </c>
      <c r="BR515" s="3">
        <f t="shared" si="15"/>
        <v>39</v>
      </c>
    </row>
    <row r="516" spans="1:70" x14ac:dyDescent="0.25">
      <c r="A516" s="4" t="s">
        <v>2640</v>
      </c>
      <c r="B516" t="s">
        <v>115</v>
      </c>
      <c r="C516" s="338" t="s">
        <v>2085</v>
      </c>
      <c r="D516" s="213" t="s">
        <v>1176</v>
      </c>
      <c r="E516" s="213" t="s">
        <v>142</v>
      </c>
      <c r="F516" s="213" t="s">
        <v>132</v>
      </c>
      <c r="G516" s="4">
        <v>1973.03</v>
      </c>
      <c r="H516" s="4">
        <v>11</v>
      </c>
      <c r="I516" s="4">
        <v>2561.09</v>
      </c>
      <c r="J516" s="4">
        <v>17</v>
      </c>
      <c r="K516" s="4">
        <v>1445.05</v>
      </c>
      <c r="L516" s="4">
        <v>10</v>
      </c>
      <c r="M516" s="4">
        <v>579.02</v>
      </c>
      <c r="N516" s="4">
        <v>3</v>
      </c>
      <c r="O516" s="4">
        <v>600</v>
      </c>
      <c r="P516" s="4">
        <v>4</v>
      </c>
      <c r="Q516" s="4">
        <v>698.02</v>
      </c>
      <c r="R516" s="4">
        <v>4</v>
      </c>
      <c r="S516" s="4">
        <v>375</v>
      </c>
      <c r="T516" s="4">
        <v>3</v>
      </c>
      <c r="U516" s="4">
        <v>867.01</v>
      </c>
      <c r="V516" s="4">
        <v>4</v>
      </c>
      <c r="W516" s="4">
        <v>0</v>
      </c>
      <c r="X516" s="4">
        <v>0</v>
      </c>
      <c r="Y516" s="4">
        <v>520</v>
      </c>
      <c r="Z516" s="4">
        <v>4</v>
      </c>
      <c r="AA516" s="4">
        <v>1728.04</v>
      </c>
      <c r="AB516" s="4">
        <v>6</v>
      </c>
      <c r="AC516" s="4">
        <v>398.02</v>
      </c>
      <c r="AD516" s="4">
        <v>2</v>
      </c>
      <c r="AE516" s="4">
        <v>300</v>
      </c>
      <c r="AF516" s="4">
        <v>2</v>
      </c>
      <c r="AG516" s="4">
        <v>750.02</v>
      </c>
      <c r="AH516" s="4">
        <v>4</v>
      </c>
      <c r="AI516" s="4">
        <v>533.01</v>
      </c>
      <c r="AJ516" s="4">
        <v>3</v>
      </c>
      <c r="AK516" s="4">
        <v>0</v>
      </c>
      <c r="AL516" s="4">
        <v>0</v>
      </c>
      <c r="AM516" s="4">
        <v>729</v>
      </c>
      <c r="AN516" s="4">
        <v>4</v>
      </c>
      <c r="AO516" s="4">
        <v>949.01</v>
      </c>
      <c r="AP516" s="4">
        <v>6</v>
      </c>
      <c r="AQ516" s="4">
        <v>0</v>
      </c>
      <c r="AR516" s="4">
        <v>0</v>
      </c>
      <c r="AS516" s="4">
        <v>350</v>
      </c>
      <c r="AT516" s="4">
        <v>2</v>
      </c>
      <c r="AU516" s="4">
        <v>225</v>
      </c>
      <c r="AV516" s="4">
        <v>2</v>
      </c>
      <c r="AW516" s="4">
        <v>821.96</v>
      </c>
      <c r="AX516" s="4">
        <v>5</v>
      </c>
      <c r="AY516" s="4">
        <v>1449.92</v>
      </c>
      <c r="AZ516" s="4">
        <v>6</v>
      </c>
      <c r="BA516" s="4">
        <v>791.96</v>
      </c>
      <c r="BB516" s="4">
        <v>2</v>
      </c>
      <c r="BC516" s="4">
        <v>785.97</v>
      </c>
      <c r="BD516" s="4">
        <v>3</v>
      </c>
      <c r="BE516" s="4">
        <v>766.04</v>
      </c>
      <c r="BF516" s="4">
        <v>3</v>
      </c>
      <c r="BQ516" s="3">
        <f t="shared" si="16"/>
        <v>20196.170000000006</v>
      </c>
      <c r="BR516" s="3">
        <f t="shared" si="15"/>
        <v>110</v>
      </c>
    </row>
    <row r="517" spans="1:70" x14ac:dyDescent="0.25">
      <c r="A517" s="4" t="s">
        <v>2641</v>
      </c>
      <c r="B517" t="s">
        <v>115</v>
      </c>
      <c r="C517" s="338" t="s">
        <v>1981</v>
      </c>
      <c r="D517" s="213" t="s">
        <v>1072</v>
      </c>
      <c r="E517" s="213" t="s">
        <v>142</v>
      </c>
      <c r="F517" s="213" t="s">
        <v>132</v>
      </c>
      <c r="G517" s="4">
        <v>1342.01</v>
      </c>
      <c r="H517" s="4">
        <v>6</v>
      </c>
      <c r="I517" s="4">
        <v>0</v>
      </c>
      <c r="J517" s="4">
        <v>0</v>
      </c>
      <c r="K517" s="4">
        <v>346.01</v>
      </c>
      <c r="L517" s="4">
        <v>2</v>
      </c>
      <c r="M517" s="4">
        <v>1467.03</v>
      </c>
      <c r="N517" s="4">
        <v>8</v>
      </c>
      <c r="O517" s="4">
        <v>0</v>
      </c>
      <c r="P517" s="4">
        <v>0</v>
      </c>
      <c r="Q517" s="4">
        <v>1666.02</v>
      </c>
      <c r="R517" s="4">
        <v>7</v>
      </c>
      <c r="S517" s="4">
        <v>830</v>
      </c>
      <c r="T517" s="4">
        <v>4</v>
      </c>
      <c r="U517" s="4">
        <v>986</v>
      </c>
      <c r="V517" s="4">
        <v>6</v>
      </c>
      <c r="W517" s="4">
        <v>2711.04</v>
      </c>
      <c r="X517" s="4">
        <v>13</v>
      </c>
      <c r="Y517" s="4">
        <v>1900.02</v>
      </c>
      <c r="Z517" s="4">
        <v>9</v>
      </c>
      <c r="AA517" s="4">
        <v>0</v>
      </c>
      <c r="AB517" s="4">
        <v>0</v>
      </c>
      <c r="AC517" s="4">
        <v>1100.02</v>
      </c>
      <c r="AD517" s="4">
        <v>4</v>
      </c>
      <c r="AE517" s="4">
        <v>2500.06</v>
      </c>
      <c r="AF517" s="4">
        <v>11</v>
      </c>
      <c r="AG517" s="4">
        <v>799.03</v>
      </c>
      <c r="AH517" s="4">
        <v>1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210.98</v>
      </c>
      <c r="AZ517" s="4">
        <v>1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Q517" s="3">
        <f t="shared" si="16"/>
        <v>15858.220000000001</v>
      </c>
      <c r="BR517" s="3">
        <f t="shared" ref="BR517:BR580" si="17">H517+J517+L517+N517+P517+R517+T517+V517+X517+Z517+AB517+AD517+AF517+AH517+AJ517+AL517+AN517+AP517+AR517+AT517+AV517+AX517+AZ517+BB517+BD517+BF517</f>
        <v>72</v>
      </c>
    </row>
    <row r="518" spans="1:70" x14ac:dyDescent="0.25">
      <c r="A518" s="4" t="s">
        <v>2642</v>
      </c>
      <c r="B518" t="s">
        <v>115</v>
      </c>
      <c r="C518" s="338" t="s">
        <v>2086</v>
      </c>
      <c r="D518" s="213" t="s">
        <v>1177</v>
      </c>
      <c r="E518" s="213" t="s">
        <v>142</v>
      </c>
      <c r="F518" s="213" t="s">
        <v>132</v>
      </c>
      <c r="G518" s="4">
        <v>2027.02</v>
      </c>
      <c r="H518" s="4">
        <v>15</v>
      </c>
      <c r="I518" s="4">
        <v>2037.1</v>
      </c>
      <c r="J518" s="4">
        <v>12</v>
      </c>
      <c r="K518" s="4">
        <v>1584.04</v>
      </c>
      <c r="L518" s="4">
        <v>7</v>
      </c>
      <c r="M518" s="4">
        <v>1212.01</v>
      </c>
      <c r="N518" s="4">
        <v>6</v>
      </c>
      <c r="O518" s="4">
        <v>2539.04</v>
      </c>
      <c r="P518" s="4">
        <v>14</v>
      </c>
      <c r="Q518" s="4">
        <v>0</v>
      </c>
      <c r="R518" s="4">
        <v>0</v>
      </c>
      <c r="S518" s="4">
        <v>1148.02</v>
      </c>
      <c r="T518" s="4">
        <v>7</v>
      </c>
      <c r="U518" s="4">
        <v>953</v>
      </c>
      <c r="V518" s="4">
        <v>5</v>
      </c>
      <c r="W518" s="4">
        <v>1646.02</v>
      </c>
      <c r="X518" s="4">
        <v>8</v>
      </c>
      <c r="Y518" s="4">
        <v>698.04</v>
      </c>
      <c r="Z518" s="4">
        <v>4</v>
      </c>
      <c r="AA518" s="4">
        <v>556</v>
      </c>
      <c r="AB518" s="4">
        <v>3</v>
      </c>
      <c r="AC518" s="4">
        <v>702</v>
      </c>
      <c r="AD518" s="4">
        <v>5</v>
      </c>
      <c r="AE518" s="4">
        <v>0</v>
      </c>
      <c r="AF518" s="4">
        <v>0</v>
      </c>
      <c r="AG518" s="4">
        <v>1130.02</v>
      </c>
      <c r="AH518" s="4">
        <v>7</v>
      </c>
      <c r="AI518" s="4">
        <v>1752.98</v>
      </c>
      <c r="AJ518" s="4">
        <v>6</v>
      </c>
      <c r="AK518" s="4">
        <v>2842.04</v>
      </c>
      <c r="AL518" s="4">
        <v>18</v>
      </c>
      <c r="AM518" s="4">
        <v>1666.04</v>
      </c>
      <c r="AN518" s="4">
        <v>9</v>
      </c>
      <c r="AO518" s="4">
        <v>1570.03</v>
      </c>
      <c r="AP518" s="4">
        <v>6</v>
      </c>
      <c r="AQ518" s="4">
        <v>199.01</v>
      </c>
      <c r="AR518" s="4">
        <v>1</v>
      </c>
      <c r="AS518" s="4">
        <v>0</v>
      </c>
      <c r="AT518" s="4">
        <v>0</v>
      </c>
      <c r="AU518" s="4">
        <v>1854.02</v>
      </c>
      <c r="AV518" s="4">
        <v>10</v>
      </c>
      <c r="AW518" s="4">
        <v>2136.92</v>
      </c>
      <c r="AX518" s="4">
        <v>13</v>
      </c>
      <c r="AY518" s="4">
        <v>568.99</v>
      </c>
      <c r="AZ518" s="4">
        <v>3</v>
      </c>
      <c r="BA518" s="4">
        <v>650.98</v>
      </c>
      <c r="BB518" s="4">
        <v>4</v>
      </c>
      <c r="BC518" s="4">
        <v>1241.02</v>
      </c>
      <c r="BD518" s="4">
        <v>6</v>
      </c>
      <c r="BE518" s="4">
        <v>1987.16</v>
      </c>
      <c r="BF518" s="4">
        <v>8</v>
      </c>
      <c r="BQ518" s="3">
        <f t="shared" ref="BQ518:BQ581" si="18">G518+I518+K518+M518+O518+Q518+S518+U518+W518+Y518+AA518+AC518+AE518+AG518+AI518+AK518+AM518+AO518+AQ518+AS518+AU518+AW518+AY518+BA518+BC518+BE518</f>
        <v>32701.5</v>
      </c>
      <c r="BR518" s="3">
        <f t="shared" si="17"/>
        <v>177</v>
      </c>
    </row>
    <row r="519" spans="1:70" x14ac:dyDescent="0.25">
      <c r="A519" s="4" t="s">
        <v>2643</v>
      </c>
      <c r="B519" t="s">
        <v>116</v>
      </c>
      <c r="C519" s="338" t="s">
        <v>2087</v>
      </c>
      <c r="D519" s="213" t="s">
        <v>1178</v>
      </c>
      <c r="E519" s="213" t="s">
        <v>139</v>
      </c>
      <c r="F519" s="213" t="s">
        <v>130</v>
      </c>
      <c r="G519" s="4">
        <v>370</v>
      </c>
      <c r="H519" s="4">
        <v>1</v>
      </c>
      <c r="I519" s="4">
        <v>0</v>
      </c>
      <c r="J519" s="4">
        <v>0</v>
      </c>
      <c r="K519" s="4">
        <v>710.01</v>
      </c>
      <c r="L519" s="4">
        <v>5</v>
      </c>
      <c r="M519" s="4">
        <v>0</v>
      </c>
      <c r="N519" s="4">
        <v>0</v>
      </c>
      <c r="O519" s="4">
        <v>525.01</v>
      </c>
      <c r="P519" s="4">
        <v>3</v>
      </c>
      <c r="Q519" s="4">
        <v>0</v>
      </c>
      <c r="R519" s="4">
        <v>0</v>
      </c>
      <c r="S519" s="4">
        <v>676</v>
      </c>
      <c r="T519" s="4">
        <v>3</v>
      </c>
      <c r="U519" s="4">
        <v>140</v>
      </c>
      <c r="V519" s="4">
        <v>1</v>
      </c>
      <c r="W519" s="4">
        <v>1562.04</v>
      </c>
      <c r="X519" s="4">
        <v>11</v>
      </c>
      <c r="Y519" s="4">
        <v>675.02</v>
      </c>
      <c r="Z519" s="4">
        <v>4</v>
      </c>
      <c r="AA519" s="4">
        <v>0</v>
      </c>
      <c r="AB519" s="4">
        <v>0</v>
      </c>
      <c r="AC519" s="4">
        <v>1536.05</v>
      </c>
      <c r="AD519" s="4">
        <v>11</v>
      </c>
      <c r="AE519" s="4">
        <v>0</v>
      </c>
      <c r="AF519" s="4">
        <v>0</v>
      </c>
      <c r="AG519" s="4">
        <v>700</v>
      </c>
      <c r="AH519" s="4">
        <v>5</v>
      </c>
      <c r="AI519" s="4">
        <v>0</v>
      </c>
      <c r="AJ519" s="4">
        <v>0</v>
      </c>
      <c r="AK519" s="4">
        <v>240.01</v>
      </c>
      <c r="AL519" s="4">
        <v>2</v>
      </c>
      <c r="AM519" s="4">
        <v>300</v>
      </c>
      <c r="AN519" s="4">
        <v>2</v>
      </c>
      <c r="AO519" s="4">
        <v>0</v>
      </c>
      <c r="AP519" s="4">
        <v>0</v>
      </c>
      <c r="AQ519" s="4">
        <v>4656.04</v>
      </c>
      <c r="AR519" s="4">
        <v>25</v>
      </c>
      <c r="AS519" s="4">
        <v>0</v>
      </c>
      <c r="AT519" s="4">
        <v>0</v>
      </c>
      <c r="AU519" s="4">
        <v>1075</v>
      </c>
      <c r="AV519" s="4">
        <v>6</v>
      </c>
      <c r="AW519" s="4">
        <v>3364.86</v>
      </c>
      <c r="AX519" s="4">
        <v>13</v>
      </c>
      <c r="AY519" s="4">
        <v>868.96</v>
      </c>
      <c r="AZ519" s="4">
        <v>4</v>
      </c>
      <c r="BA519" s="4">
        <v>0</v>
      </c>
      <c r="BB519" s="4">
        <v>0</v>
      </c>
      <c r="BC519" s="4">
        <v>0</v>
      </c>
      <c r="BD519" s="4">
        <v>0</v>
      </c>
      <c r="BE519" s="4">
        <v>597.04</v>
      </c>
      <c r="BF519" s="4">
        <v>2</v>
      </c>
      <c r="BQ519" s="3">
        <f t="shared" si="18"/>
        <v>17996.04</v>
      </c>
      <c r="BR519" s="3">
        <f t="shared" si="17"/>
        <v>98</v>
      </c>
    </row>
    <row r="520" spans="1:70" x14ac:dyDescent="0.25">
      <c r="A520" s="4" t="s">
        <v>2644</v>
      </c>
      <c r="B520" t="s">
        <v>116</v>
      </c>
      <c r="C520" s="338" t="s">
        <v>1951</v>
      </c>
      <c r="D520" s="213" t="s">
        <v>1042</v>
      </c>
      <c r="E520" s="213" t="s">
        <v>139</v>
      </c>
      <c r="F520" s="213" t="s">
        <v>130</v>
      </c>
      <c r="G520" s="4">
        <v>809.02</v>
      </c>
      <c r="H520" s="4">
        <v>5</v>
      </c>
      <c r="I520" s="4">
        <v>2779.01</v>
      </c>
      <c r="J520" s="4">
        <v>17</v>
      </c>
      <c r="K520" s="4">
        <v>5350.06</v>
      </c>
      <c r="L520" s="4">
        <v>18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370.01</v>
      </c>
      <c r="X520" s="4">
        <v>2</v>
      </c>
      <c r="Y520" s="4">
        <v>1210.02</v>
      </c>
      <c r="Z520" s="4">
        <v>3</v>
      </c>
      <c r="AA520" s="4">
        <v>0</v>
      </c>
      <c r="AB520" s="4">
        <v>0</v>
      </c>
      <c r="AC520" s="4">
        <v>4181.08</v>
      </c>
      <c r="AD520" s="4">
        <v>18</v>
      </c>
      <c r="AE520" s="4">
        <v>1361.03</v>
      </c>
      <c r="AF520" s="4">
        <v>7</v>
      </c>
      <c r="AG520" s="4">
        <v>975.05</v>
      </c>
      <c r="AH520" s="4">
        <v>5</v>
      </c>
      <c r="AI520" s="4">
        <v>3245.13</v>
      </c>
      <c r="AJ520" s="4">
        <v>12</v>
      </c>
      <c r="AK520" s="4">
        <v>2743.01</v>
      </c>
      <c r="AL520" s="4">
        <v>10</v>
      </c>
      <c r="AM520" s="4">
        <v>2459.08</v>
      </c>
      <c r="AN520" s="4">
        <v>11</v>
      </c>
      <c r="AO520" s="4">
        <v>1015</v>
      </c>
      <c r="AP520" s="4">
        <v>8</v>
      </c>
      <c r="AQ520" s="4">
        <v>2217.0300000000002</v>
      </c>
      <c r="AR520" s="4">
        <v>16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Q520" s="3">
        <f t="shared" si="18"/>
        <v>28714.530000000006</v>
      </c>
      <c r="BR520" s="3">
        <f t="shared" si="17"/>
        <v>132</v>
      </c>
    </row>
    <row r="521" spans="1:70" x14ac:dyDescent="0.25">
      <c r="A521" s="4" t="s">
        <v>2645</v>
      </c>
      <c r="B521" t="s">
        <v>116</v>
      </c>
      <c r="C521" s="338" t="s">
        <v>2088</v>
      </c>
      <c r="D521" s="213" t="s">
        <v>1179</v>
      </c>
      <c r="E521" s="213" t="s">
        <v>139</v>
      </c>
      <c r="F521" s="213" t="s">
        <v>130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160</v>
      </c>
      <c r="AB521" s="4">
        <v>1</v>
      </c>
      <c r="AC521" s="4">
        <v>190</v>
      </c>
      <c r="AD521" s="4">
        <v>1</v>
      </c>
      <c r="AE521" s="4">
        <v>0</v>
      </c>
      <c r="AF521" s="4">
        <v>0</v>
      </c>
      <c r="AG521" s="4">
        <v>0</v>
      </c>
      <c r="AH521" s="4">
        <v>0</v>
      </c>
      <c r="AI521" s="4">
        <v>592.99</v>
      </c>
      <c r="AJ521" s="4">
        <v>4</v>
      </c>
      <c r="AK521" s="4">
        <v>75.010000000000005</v>
      </c>
      <c r="AL521" s="4">
        <v>1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75</v>
      </c>
      <c r="AZ521" s="4">
        <v>1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Q521" s="3">
        <f t="shared" si="18"/>
        <v>1093</v>
      </c>
      <c r="BR521" s="3">
        <f t="shared" si="17"/>
        <v>8</v>
      </c>
    </row>
    <row r="522" spans="1:70" x14ac:dyDescent="0.25">
      <c r="A522" s="4" t="s">
        <v>2646</v>
      </c>
      <c r="B522" t="s">
        <v>116</v>
      </c>
      <c r="C522" s="338" t="s">
        <v>2089</v>
      </c>
      <c r="D522" s="213" t="s">
        <v>1180</v>
      </c>
      <c r="E522" s="213" t="s">
        <v>139</v>
      </c>
      <c r="F522" s="213" t="s">
        <v>130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1488</v>
      </c>
      <c r="P522" s="4">
        <v>13</v>
      </c>
      <c r="Q522" s="4">
        <v>3335.05</v>
      </c>
      <c r="R522" s="4">
        <v>17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1759.03</v>
      </c>
      <c r="AD522" s="4">
        <v>13</v>
      </c>
      <c r="AE522" s="4">
        <v>0</v>
      </c>
      <c r="AF522" s="4">
        <v>0</v>
      </c>
      <c r="AG522" s="4">
        <v>1592.02</v>
      </c>
      <c r="AH522" s="4">
        <v>10</v>
      </c>
      <c r="AI522" s="4">
        <v>0</v>
      </c>
      <c r="AJ522" s="4">
        <v>0</v>
      </c>
      <c r="AK522" s="4">
        <v>0</v>
      </c>
      <c r="AL522" s="4">
        <v>0</v>
      </c>
      <c r="AM522" s="4">
        <v>3816.95</v>
      </c>
      <c r="AN522" s="4">
        <v>26</v>
      </c>
      <c r="AO522" s="4">
        <v>0</v>
      </c>
      <c r="AP522" s="4">
        <v>0</v>
      </c>
      <c r="AQ522" s="4">
        <v>1330</v>
      </c>
      <c r="AR522" s="4">
        <v>7</v>
      </c>
      <c r="AS522" s="4">
        <v>0</v>
      </c>
      <c r="AT522" s="4">
        <v>0</v>
      </c>
      <c r="AU522" s="4">
        <v>1012.03</v>
      </c>
      <c r="AV522" s="4">
        <v>5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1130.0999999999999</v>
      </c>
      <c r="BF522" s="4">
        <v>6</v>
      </c>
      <c r="BQ522" s="3">
        <f t="shared" si="18"/>
        <v>15463.18</v>
      </c>
      <c r="BR522" s="3">
        <f t="shared" si="17"/>
        <v>97</v>
      </c>
    </row>
    <row r="523" spans="1:70" x14ac:dyDescent="0.25">
      <c r="A523" s="4" t="s">
        <v>2647</v>
      </c>
      <c r="B523" t="s">
        <v>116</v>
      </c>
      <c r="C523" s="338" t="s">
        <v>1667</v>
      </c>
      <c r="D523" s="213" t="s">
        <v>758</v>
      </c>
      <c r="E523" s="213" t="s">
        <v>139</v>
      </c>
      <c r="F523" s="213" t="s">
        <v>130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3105.03</v>
      </c>
      <c r="P523" s="4">
        <v>16</v>
      </c>
      <c r="Q523" s="4">
        <v>2176.02</v>
      </c>
      <c r="R523" s="4">
        <v>14</v>
      </c>
      <c r="S523" s="4">
        <v>3511.09</v>
      </c>
      <c r="T523" s="4">
        <v>14</v>
      </c>
      <c r="U523" s="4">
        <v>3056.07</v>
      </c>
      <c r="V523" s="4">
        <v>13</v>
      </c>
      <c r="W523" s="4">
        <v>4744.17</v>
      </c>
      <c r="X523" s="4">
        <v>21</v>
      </c>
      <c r="Y523" s="4">
        <v>4071.07</v>
      </c>
      <c r="Z523" s="4">
        <v>18</v>
      </c>
      <c r="AA523" s="4">
        <v>0</v>
      </c>
      <c r="AB523" s="4">
        <v>0</v>
      </c>
      <c r="AC523" s="4">
        <v>2955.07</v>
      </c>
      <c r="AD523" s="4">
        <v>19</v>
      </c>
      <c r="AE523" s="4">
        <v>2390.0300000000002</v>
      </c>
      <c r="AF523" s="4">
        <v>16</v>
      </c>
      <c r="AG523" s="4">
        <v>1292.04</v>
      </c>
      <c r="AH523" s="4">
        <v>8</v>
      </c>
      <c r="AI523" s="4">
        <v>6590.1</v>
      </c>
      <c r="AJ523" s="4">
        <v>33</v>
      </c>
      <c r="AK523" s="4">
        <v>2587.0300000000002</v>
      </c>
      <c r="AL523" s="4">
        <v>18</v>
      </c>
      <c r="AM523" s="4">
        <v>2190.9699999999998</v>
      </c>
      <c r="AN523" s="4">
        <v>12</v>
      </c>
      <c r="AO523" s="4">
        <v>0</v>
      </c>
      <c r="AP523" s="4">
        <v>0</v>
      </c>
      <c r="AQ523" s="4">
        <v>2385.0500000000002</v>
      </c>
      <c r="AR523" s="4">
        <v>12</v>
      </c>
      <c r="AS523" s="4">
        <v>1003.99</v>
      </c>
      <c r="AT523" s="4">
        <v>8</v>
      </c>
      <c r="AU523" s="4">
        <v>3062.02</v>
      </c>
      <c r="AV523" s="4">
        <v>14</v>
      </c>
      <c r="AW523" s="4">
        <v>3484.85</v>
      </c>
      <c r="AX523" s="4">
        <v>12</v>
      </c>
      <c r="AY523" s="4">
        <v>3929.74</v>
      </c>
      <c r="AZ523" s="4">
        <v>20</v>
      </c>
      <c r="BA523" s="4">
        <v>3185.82</v>
      </c>
      <c r="BB523" s="4">
        <v>12</v>
      </c>
      <c r="BC523" s="4">
        <v>0</v>
      </c>
      <c r="BD523" s="4">
        <v>0</v>
      </c>
      <c r="BE523" s="4">
        <v>1393.08</v>
      </c>
      <c r="BF523" s="4">
        <v>9</v>
      </c>
      <c r="BQ523" s="3">
        <f t="shared" si="18"/>
        <v>57113.239999999991</v>
      </c>
      <c r="BR523" s="3">
        <f t="shared" si="17"/>
        <v>289</v>
      </c>
    </row>
    <row r="524" spans="1:70" x14ac:dyDescent="0.25">
      <c r="A524" s="4" t="s">
        <v>2648</v>
      </c>
      <c r="B524" t="s">
        <v>116</v>
      </c>
      <c r="C524" s="338" t="s">
        <v>2090</v>
      </c>
      <c r="D524" s="213" t="s">
        <v>1181</v>
      </c>
      <c r="E524" s="213" t="s">
        <v>139</v>
      </c>
      <c r="F524" s="213" t="s">
        <v>130</v>
      </c>
      <c r="G524" s="4">
        <v>3460.03</v>
      </c>
      <c r="H524" s="4">
        <v>15</v>
      </c>
      <c r="I524" s="4">
        <v>3773.07</v>
      </c>
      <c r="J524" s="4">
        <v>18</v>
      </c>
      <c r="K524" s="4">
        <v>11250.1</v>
      </c>
      <c r="L524" s="4">
        <v>46</v>
      </c>
      <c r="M524" s="4">
        <v>2755.09</v>
      </c>
      <c r="N524" s="4">
        <v>15</v>
      </c>
      <c r="O524" s="4">
        <v>4398.0200000000004</v>
      </c>
      <c r="P524" s="4">
        <v>17</v>
      </c>
      <c r="Q524" s="4">
        <v>2096.04</v>
      </c>
      <c r="R524" s="4">
        <v>12</v>
      </c>
      <c r="S524" s="4">
        <v>1150.01</v>
      </c>
      <c r="T524" s="4">
        <v>5</v>
      </c>
      <c r="U524" s="4">
        <v>4075.02</v>
      </c>
      <c r="V524" s="4">
        <v>23</v>
      </c>
      <c r="W524" s="4">
        <v>6372.12</v>
      </c>
      <c r="X524" s="4">
        <v>28</v>
      </c>
      <c r="Y524" s="4">
        <v>9885.17</v>
      </c>
      <c r="Z524" s="4">
        <v>57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3362.03</v>
      </c>
      <c r="AL524" s="4">
        <v>24</v>
      </c>
      <c r="AM524" s="4">
        <v>2653.06</v>
      </c>
      <c r="AN524" s="4">
        <v>15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4021.76</v>
      </c>
      <c r="AZ524" s="4">
        <v>23</v>
      </c>
      <c r="BA524" s="4">
        <v>6252.6</v>
      </c>
      <c r="BB524" s="4">
        <v>25</v>
      </c>
      <c r="BC524" s="4">
        <v>4772.87</v>
      </c>
      <c r="BD524" s="4">
        <v>25</v>
      </c>
      <c r="BE524" s="4">
        <v>4510.3100000000004</v>
      </c>
      <c r="BF524" s="4">
        <v>22</v>
      </c>
      <c r="BQ524" s="3">
        <f t="shared" si="18"/>
        <v>74787.299999999988</v>
      </c>
      <c r="BR524" s="3">
        <f t="shared" si="17"/>
        <v>370</v>
      </c>
    </row>
    <row r="525" spans="1:70" x14ac:dyDescent="0.25">
      <c r="A525" s="4" t="s">
        <v>2649</v>
      </c>
      <c r="B525" t="s">
        <v>116</v>
      </c>
      <c r="C525" s="338" t="s">
        <v>1954</v>
      </c>
      <c r="D525" s="213" t="s">
        <v>1045</v>
      </c>
      <c r="E525" s="213" t="s">
        <v>139</v>
      </c>
      <c r="F525" s="213" t="s">
        <v>130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225.01</v>
      </c>
      <c r="X525" s="4">
        <v>1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Q525" s="3">
        <f t="shared" si="18"/>
        <v>225.01</v>
      </c>
      <c r="BR525" s="3">
        <f t="shared" si="17"/>
        <v>1</v>
      </c>
    </row>
    <row r="526" spans="1:70" x14ac:dyDescent="0.25">
      <c r="A526" s="4" t="s">
        <v>2650</v>
      </c>
      <c r="B526" t="s">
        <v>116</v>
      </c>
      <c r="C526" s="338" t="s">
        <v>1818</v>
      </c>
      <c r="D526" s="213" t="s">
        <v>909</v>
      </c>
      <c r="E526" s="213" t="s">
        <v>139</v>
      </c>
      <c r="F526" s="213" t="s">
        <v>130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700.03</v>
      </c>
      <c r="N526" s="4">
        <v>5</v>
      </c>
      <c r="O526" s="4">
        <v>0</v>
      </c>
      <c r="P526" s="4">
        <v>0</v>
      </c>
      <c r="Q526" s="4">
        <v>75</v>
      </c>
      <c r="R526" s="4">
        <v>1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Q526" s="3">
        <f t="shared" si="18"/>
        <v>775.03</v>
      </c>
      <c r="BR526" s="3">
        <f t="shared" si="17"/>
        <v>6</v>
      </c>
    </row>
    <row r="527" spans="1:70" x14ac:dyDescent="0.25">
      <c r="A527" s="4" t="s">
        <v>2651</v>
      </c>
      <c r="B527" t="s">
        <v>116</v>
      </c>
      <c r="C527" s="338" t="s">
        <v>2091</v>
      </c>
      <c r="D527" s="213" t="s">
        <v>1182</v>
      </c>
      <c r="E527" s="213" t="s">
        <v>139</v>
      </c>
      <c r="F527" s="213" t="s">
        <v>130</v>
      </c>
      <c r="G527" s="4">
        <v>1340.04</v>
      </c>
      <c r="H527" s="4">
        <v>7</v>
      </c>
      <c r="I527" s="4">
        <v>1942.06</v>
      </c>
      <c r="J527" s="4">
        <v>11</v>
      </c>
      <c r="K527" s="4">
        <v>2501.12</v>
      </c>
      <c r="L527" s="4">
        <v>10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1025.02</v>
      </c>
      <c r="V527" s="4">
        <v>4</v>
      </c>
      <c r="W527" s="4">
        <v>0</v>
      </c>
      <c r="X527" s="4">
        <v>0</v>
      </c>
      <c r="Y527" s="4">
        <v>1597.03</v>
      </c>
      <c r="Z527" s="4">
        <v>7</v>
      </c>
      <c r="AA527" s="4">
        <v>1132.04</v>
      </c>
      <c r="AB527" s="4">
        <v>7</v>
      </c>
      <c r="AC527" s="4">
        <v>-150.02000000000001</v>
      </c>
      <c r="AD527" s="4">
        <v>1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703.06</v>
      </c>
      <c r="BF527" s="4">
        <v>2</v>
      </c>
      <c r="BQ527" s="3">
        <f t="shared" si="18"/>
        <v>10090.35</v>
      </c>
      <c r="BR527" s="3">
        <f t="shared" si="17"/>
        <v>49</v>
      </c>
    </row>
    <row r="528" spans="1:70" x14ac:dyDescent="0.25">
      <c r="A528" s="4" t="s">
        <v>2652</v>
      </c>
      <c r="B528" t="s">
        <v>116</v>
      </c>
      <c r="C528" s="338" t="s">
        <v>2092</v>
      </c>
      <c r="D528" s="213" t="s">
        <v>1183</v>
      </c>
      <c r="E528" s="213" t="s">
        <v>139</v>
      </c>
      <c r="F528" s="213" t="s">
        <v>130</v>
      </c>
      <c r="G528" s="4">
        <v>5130.1000000000004</v>
      </c>
      <c r="H528" s="4">
        <v>32</v>
      </c>
      <c r="I528" s="4">
        <v>4265.1000000000004</v>
      </c>
      <c r="J528" s="4">
        <v>22</v>
      </c>
      <c r="K528" s="4">
        <v>4483.09</v>
      </c>
      <c r="L528" s="4">
        <v>28</v>
      </c>
      <c r="M528" s="4">
        <v>1609.04</v>
      </c>
      <c r="N528" s="4">
        <v>11</v>
      </c>
      <c r="O528" s="4">
        <v>0</v>
      </c>
      <c r="P528" s="4">
        <v>0</v>
      </c>
      <c r="Q528" s="4">
        <v>2305</v>
      </c>
      <c r="R528" s="4">
        <v>15</v>
      </c>
      <c r="S528" s="4">
        <v>2250.0300000000002</v>
      </c>
      <c r="T528" s="4">
        <v>13</v>
      </c>
      <c r="U528" s="4">
        <v>3801.06</v>
      </c>
      <c r="V528" s="4">
        <v>21</v>
      </c>
      <c r="W528" s="4">
        <v>6146.09</v>
      </c>
      <c r="X528" s="4">
        <v>34</v>
      </c>
      <c r="Y528" s="4">
        <v>5160.12</v>
      </c>
      <c r="Z528" s="4">
        <v>23</v>
      </c>
      <c r="AA528" s="4">
        <v>4020.09</v>
      </c>
      <c r="AB528" s="4">
        <v>17</v>
      </c>
      <c r="AC528" s="4">
        <v>0</v>
      </c>
      <c r="AD528" s="4">
        <v>0</v>
      </c>
      <c r="AE528" s="4">
        <v>3040.12</v>
      </c>
      <c r="AF528" s="4">
        <v>16</v>
      </c>
      <c r="AG528" s="4">
        <v>3272.07</v>
      </c>
      <c r="AH528" s="4">
        <v>17</v>
      </c>
      <c r="AI528" s="4">
        <v>6038.11</v>
      </c>
      <c r="AJ528" s="4">
        <v>32</v>
      </c>
      <c r="AK528" s="4">
        <v>3859.06</v>
      </c>
      <c r="AL528" s="4">
        <v>23</v>
      </c>
      <c r="AM528" s="4">
        <v>3733.04</v>
      </c>
      <c r="AN528" s="4">
        <v>20</v>
      </c>
      <c r="AO528" s="4">
        <v>2847</v>
      </c>
      <c r="AP528" s="4">
        <v>12</v>
      </c>
      <c r="AQ528" s="4">
        <v>0</v>
      </c>
      <c r="AR528" s="4">
        <v>0</v>
      </c>
      <c r="AS528" s="4">
        <v>3044.09</v>
      </c>
      <c r="AT528" s="4">
        <v>18</v>
      </c>
      <c r="AU528" s="4">
        <v>3803.04</v>
      </c>
      <c r="AV528" s="4">
        <v>22</v>
      </c>
      <c r="AW528" s="4">
        <v>5528.69</v>
      </c>
      <c r="AX528" s="4">
        <v>28</v>
      </c>
      <c r="AY528" s="4">
        <v>4893.6400000000003</v>
      </c>
      <c r="AZ528" s="4">
        <v>23</v>
      </c>
      <c r="BA528" s="4">
        <v>4580.75</v>
      </c>
      <c r="BB528" s="4">
        <v>23</v>
      </c>
      <c r="BC528" s="4">
        <v>898.95</v>
      </c>
      <c r="BD528" s="4">
        <v>6</v>
      </c>
      <c r="BE528" s="4">
        <v>0</v>
      </c>
      <c r="BF528" s="4">
        <v>0</v>
      </c>
      <c r="BQ528" s="3">
        <f t="shared" si="18"/>
        <v>84708.28</v>
      </c>
      <c r="BR528" s="3">
        <f t="shared" si="17"/>
        <v>456</v>
      </c>
    </row>
    <row r="529" spans="1:70" x14ac:dyDescent="0.25">
      <c r="A529" s="4" t="s">
        <v>2653</v>
      </c>
      <c r="B529" t="s">
        <v>116</v>
      </c>
      <c r="C529" s="338" t="s">
        <v>2035</v>
      </c>
      <c r="D529" s="213" t="s">
        <v>1126</v>
      </c>
      <c r="E529" s="213" t="s">
        <v>139</v>
      </c>
      <c r="F529" s="213" t="s">
        <v>130</v>
      </c>
      <c r="G529" s="4">
        <v>1615.03</v>
      </c>
      <c r="H529" s="4">
        <v>13</v>
      </c>
      <c r="I529" s="4">
        <v>3141.08</v>
      </c>
      <c r="J529" s="4">
        <v>17</v>
      </c>
      <c r="K529" s="4">
        <v>3562.08</v>
      </c>
      <c r="L529" s="4">
        <v>24</v>
      </c>
      <c r="M529" s="4">
        <v>4419.01</v>
      </c>
      <c r="N529" s="4">
        <v>28</v>
      </c>
      <c r="O529" s="4">
        <v>806.99</v>
      </c>
      <c r="P529" s="4">
        <v>7</v>
      </c>
      <c r="Q529" s="4">
        <v>0</v>
      </c>
      <c r="R529" s="4">
        <v>0</v>
      </c>
      <c r="S529" s="4">
        <v>1285.01</v>
      </c>
      <c r="T529" s="4">
        <v>9</v>
      </c>
      <c r="U529" s="4">
        <v>1265.99</v>
      </c>
      <c r="V529" s="4">
        <v>9</v>
      </c>
      <c r="W529" s="4">
        <v>2714.07</v>
      </c>
      <c r="X529" s="4">
        <v>25</v>
      </c>
      <c r="Y529" s="4">
        <v>5300.04</v>
      </c>
      <c r="Z529" s="4">
        <v>33</v>
      </c>
      <c r="AA529" s="4">
        <v>4748.03</v>
      </c>
      <c r="AB529" s="4">
        <v>31</v>
      </c>
      <c r="AC529" s="4">
        <v>0</v>
      </c>
      <c r="AD529" s="4">
        <v>0</v>
      </c>
      <c r="AE529" s="4">
        <v>1487.04</v>
      </c>
      <c r="AF529" s="4">
        <v>10</v>
      </c>
      <c r="AG529" s="4">
        <v>1786</v>
      </c>
      <c r="AH529" s="4">
        <v>9</v>
      </c>
      <c r="AI529" s="4">
        <v>1743.03</v>
      </c>
      <c r="AJ529" s="4">
        <v>12</v>
      </c>
      <c r="AK529" s="4">
        <v>2519.0500000000002</v>
      </c>
      <c r="AL529" s="4">
        <v>23</v>
      </c>
      <c r="AM529" s="4">
        <v>0</v>
      </c>
      <c r="AN529" s="4">
        <v>0</v>
      </c>
      <c r="AO529" s="4">
        <v>2766</v>
      </c>
      <c r="AP529" s="4">
        <v>11</v>
      </c>
      <c r="AQ529" s="4">
        <v>0</v>
      </c>
      <c r="AR529" s="4">
        <v>0</v>
      </c>
      <c r="AS529" s="4">
        <v>2137.04</v>
      </c>
      <c r="AT529" s="4">
        <v>13</v>
      </c>
      <c r="AU529" s="4">
        <v>639.02</v>
      </c>
      <c r="AV529" s="4">
        <v>4</v>
      </c>
      <c r="AW529" s="4">
        <v>2562.94</v>
      </c>
      <c r="AX529" s="4">
        <v>21</v>
      </c>
      <c r="AY529" s="4">
        <v>3103.86</v>
      </c>
      <c r="AZ529" s="4">
        <v>17</v>
      </c>
      <c r="BA529" s="4">
        <v>2821.79</v>
      </c>
      <c r="BB529" s="4">
        <v>13</v>
      </c>
      <c r="BC529" s="4">
        <v>2012.84</v>
      </c>
      <c r="BD529" s="4">
        <v>8</v>
      </c>
      <c r="BE529" s="4">
        <v>0</v>
      </c>
      <c r="BF529" s="4">
        <v>0</v>
      </c>
      <c r="BQ529" s="3">
        <f t="shared" si="18"/>
        <v>52435.94</v>
      </c>
      <c r="BR529" s="3">
        <f t="shared" si="17"/>
        <v>337</v>
      </c>
    </row>
    <row r="530" spans="1:70" x14ac:dyDescent="0.25">
      <c r="A530" s="4" t="s">
        <v>2654</v>
      </c>
      <c r="B530" t="s">
        <v>116</v>
      </c>
      <c r="C530" s="338" t="s">
        <v>2093</v>
      </c>
      <c r="D530" s="213" t="s">
        <v>1184</v>
      </c>
      <c r="E530" s="213" t="s">
        <v>139</v>
      </c>
      <c r="F530" s="213" t="s">
        <v>130</v>
      </c>
      <c r="G530" s="4">
        <v>5595.14</v>
      </c>
      <c r="H530" s="4">
        <v>33</v>
      </c>
      <c r="I530" s="4">
        <v>4127.0200000000004</v>
      </c>
      <c r="J530" s="4">
        <v>23</v>
      </c>
      <c r="K530" s="4">
        <v>0</v>
      </c>
      <c r="L530" s="4">
        <v>0</v>
      </c>
      <c r="M530" s="4">
        <v>12207.31</v>
      </c>
      <c r="N530" s="4">
        <v>46</v>
      </c>
      <c r="O530" s="4">
        <v>4053.07</v>
      </c>
      <c r="P530" s="4">
        <v>24</v>
      </c>
      <c r="Q530" s="4">
        <v>5296.08</v>
      </c>
      <c r="R530" s="4">
        <v>33</v>
      </c>
      <c r="S530" s="4">
        <v>4333.08</v>
      </c>
      <c r="T530" s="4">
        <v>22</v>
      </c>
      <c r="U530" s="4">
        <v>4780.0200000000004</v>
      </c>
      <c r="V530" s="4">
        <v>19</v>
      </c>
      <c r="W530" s="4">
        <v>7216.2</v>
      </c>
      <c r="X530" s="4">
        <v>35</v>
      </c>
      <c r="Y530" s="4">
        <v>0</v>
      </c>
      <c r="Z530" s="4">
        <v>0</v>
      </c>
      <c r="AA530" s="4">
        <v>5790.09</v>
      </c>
      <c r="AB530" s="4">
        <v>30</v>
      </c>
      <c r="AC530" s="4">
        <v>0</v>
      </c>
      <c r="AD530" s="4">
        <v>0</v>
      </c>
      <c r="AE530" s="4">
        <v>4207.0600000000004</v>
      </c>
      <c r="AF530" s="4">
        <v>19</v>
      </c>
      <c r="AG530" s="4">
        <v>3879.11</v>
      </c>
      <c r="AH530" s="4">
        <v>23</v>
      </c>
      <c r="AI530" s="4">
        <v>6213.18</v>
      </c>
      <c r="AJ530" s="4">
        <v>32</v>
      </c>
      <c r="AK530" s="4">
        <v>4448.01</v>
      </c>
      <c r="AL530" s="4">
        <v>25</v>
      </c>
      <c r="AM530" s="4">
        <v>3558.05</v>
      </c>
      <c r="AN530" s="4">
        <v>20</v>
      </c>
      <c r="AO530" s="4">
        <v>3405</v>
      </c>
      <c r="AP530" s="4">
        <v>16</v>
      </c>
      <c r="AQ530" s="4">
        <v>0</v>
      </c>
      <c r="AR530" s="4">
        <v>0</v>
      </c>
      <c r="AS530" s="4">
        <v>2712.04</v>
      </c>
      <c r="AT530" s="4">
        <v>12</v>
      </c>
      <c r="AU530" s="4">
        <v>3521.05</v>
      </c>
      <c r="AV530" s="4">
        <v>13</v>
      </c>
      <c r="AW530" s="4">
        <v>4557.6499999999996</v>
      </c>
      <c r="AX530" s="4">
        <v>24</v>
      </c>
      <c r="AY530" s="4">
        <v>4786.68</v>
      </c>
      <c r="AZ530" s="4">
        <v>19</v>
      </c>
      <c r="BA530" s="4">
        <v>3221.76</v>
      </c>
      <c r="BB530" s="4">
        <v>12</v>
      </c>
      <c r="BC530" s="4">
        <v>4082.74</v>
      </c>
      <c r="BD530" s="4">
        <v>21</v>
      </c>
      <c r="BE530" s="4">
        <v>1844.08</v>
      </c>
      <c r="BF530" s="4">
        <v>11</v>
      </c>
      <c r="BQ530" s="3">
        <f t="shared" si="18"/>
        <v>103834.41999999997</v>
      </c>
      <c r="BR530" s="3">
        <f t="shared" si="17"/>
        <v>512</v>
      </c>
    </row>
    <row r="531" spans="1:70" x14ac:dyDescent="0.25">
      <c r="A531" s="4" t="s">
        <v>2655</v>
      </c>
      <c r="B531" t="s">
        <v>116</v>
      </c>
      <c r="C531" s="338" t="s">
        <v>2094</v>
      </c>
      <c r="D531" s="213" t="s">
        <v>1185</v>
      </c>
      <c r="E531" s="213" t="s">
        <v>139</v>
      </c>
      <c r="F531" s="213" t="s">
        <v>130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1926.06</v>
      </c>
      <c r="X531" s="4">
        <v>8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Q531" s="3">
        <f t="shared" si="18"/>
        <v>1926.06</v>
      </c>
      <c r="BR531" s="3">
        <f t="shared" si="17"/>
        <v>8</v>
      </c>
    </row>
    <row r="532" spans="1:70" x14ac:dyDescent="0.25">
      <c r="A532" s="4" t="s">
        <v>2656</v>
      </c>
      <c r="B532" t="s">
        <v>116</v>
      </c>
      <c r="C532" s="338" t="s">
        <v>2095</v>
      </c>
      <c r="D532" s="213" t="s">
        <v>1186</v>
      </c>
      <c r="E532" s="213" t="s">
        <v>139</v>
      </c>
      <c r="F532" s="213" t="s">
        <v>130</v>
      </c>
      <c r="G532" s="4">
        <v>5053.18</v>
      </c>
      <c r="H532" s="4">
        <v>29</v>
      </c>
      <c r="I532" s="4">
        <v>5637.13</v>
      </c>
      <c r="J532" s="4">
        <v>27</v>
      </c>
      <c r="K532" s="4">
        <v>0</v>
      </c>
      <c r="L532" s="4">
        <v>0</v>
      </c>
      <c r="M532" s="4">
        <v>4330.03</v>
      </c>
      <c r="N532" s="4">
        <v>21</v>
      </c>
      <c r="O532" s="4">
        <v>3174.03</v>
      </c>
      <c r="P532" s="4">
        <v>23</v>
      </c>
      <c r="Q532" s="4">
        <v>1725.97</v>
      </c>
      <c r="R532" s="4">
        <v>7</v>
      </c>
      <c r="S532" s="4">
        <v>5119.1099999999997</v>
      </c>
      <c r="T532" s="4">
        <v>23</v>
      </c>
      <c r="U532" s="4">
        <v>3797.99</v>
      </c>
      <c r="V532" s="4">
        <v>17</v>
      </c>
      <c r="W532" s="4">
        <v>6442.03</v>
      </c>
      <c r="X532" s="4">
        <v>34</v>
      </c>
      <c r="Y532" s="4">
        <v>0</v>
      </c>
      <c r="Z532" s="4">
        <v>0</v>
      </c>
      <c r="AA532" s="4">
        <v>4079.05</v>
      </c>
      <c r="AB532" s="4">
        <v>18</v>
      </c>
      <c r="AC532" s="4">
        <v>3218.07</v>
      </c>
      <c r="AD532" s="4">
        <v>18</v>
      </c>
      <c r="AE532" s="4">
        <v>4947.96</v>
      </c>
      <c r="AF532" s="4">
        <v>18</v>
      </c>
      <c r="AG532" s="4">
        <v>3250.09</v>
      </c>
      <c r="AH532" s="4">
        <v>19</v>
      </c>
      <c r="AI532" s="4">
        <v>6035.06</v>
      </c>
      <c r="AJ532" s="4">
        <v>29</v>
      </c>
      <c r="AK532" s="4">
        <v>4158.05</v>
      </c>
      <c r="AL532" s="4">
        <v>21</v>
      </c>
      <c r="AM532" s="4">
        <v>0</v>
      </c>
      <c r="AN532" s="4">
        <v>0</v>
      </c>
      <c r="AO532" s="4">
        <v>2507.02</v>
      </c>
      <c r="AP532" s="4">
        <v>16</v>
      </c>
      <c r="AQ532" s="4">
        <v>0</v>
      </c>
      <c r="AR532" s="4">
        <v>0</v>
      </c>
      <c r="AS532" s="4">
        <v>5132.05</v>
      </c>
      <c r="AT532" s="4">
        <v>25</v>
      </c>
      <c r="AU532" s="4">
        <v>4414.08</v>
      </c>
      <c r="AV532" s="4">
        <v>22</v>
      </c>
      <c r="AW532" s="4">
        <v>6041.67</v>
      </c>
      <c r="AX532" s="4">
        <v>25</v>
      </c>
      <c r="AY532" s="4">
        <v>7190.71</v>
      </c>
      <c r="AZ532" s="4">
        <v>23</v>
      </c>
      <c r="BA532" s="4">
        <v>0</v>
      </c>
      <c r="BB532" s="4">
        <v>0</v>
      </c>
      <c r="BC532" s="4">
        <v>4088.79</v>
      </c>
      <c r="BD532" s="4">
        <v>23</v>
      </c>
      <c r="BE532" s="4">
        <v>2693.25</v>
      </c>
      <c r="BF532" s="4">
        <v>9</v>
      </c>
      <c r="BQ532" s="3">
        <f t="shared" si="18"/>
        <v>93035.319999999992</v>
      </c>
      <c r="BR532" s="3">
        <f t="shared" si="17"/>
        <v>447</v>
      </c>
    </row>
    <row r="533" spans="1:70" x14ac:dyDescent="0.25">
      <c r="A533" s="4" t="s">
        <v>2657</v>
      </c>
      <c r="B533" t="s">
        <v>116</v>
      </c>
      <c r="C533" s="338" t="s">
        <v>2011</v>
      </c>
      <c r="D533" s="213" t="s">
        <v>1102</v>
      </c>
      <c r="E533" s="213" t="s">
        <v>139</v>
      </c>
      <c r="F533" s="213" t="s">
        <v>130</v>
      </c>
      <c r="G533" s="4">
        <v>3081.07</v>
      </c>
      <c r="H533" s="4">
        <v>11</v>
      </c>
      <c r="I533" s="4">
        <v>4914.13</v>
      </c>
      <c r="J533" s="4">
        <v>22</v>
      </c>
      <c r="K533" s="4">
        <v>3456.02</v>
      </c>
      <c r="L533" s="4">
        <v>23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Q533" s="3">
        <f t="shared" si="18"/>
        <v>11451.220000000001</v>
      </c>
      <c r="BR533" s="3">
        <f t="shared" si="17"/>
        <v>56</v>
      </c>
    </row>
    <row r="534" spans="1:70" x14ac:dyDescent="0.25">
      <c r="A534" s="4" t="s">
        <v>2658</v>
      </c>
      <c r="B534" t="s">
        <v>117</v>
      </c>
      <c r="C534" s="338" t="s">
        <v>2088</v>
      </c>
      <c r="D534" s="213" t="s">
        <v>1179</v>
      </c>
      <c r="E534" s="213" t="s">
        <v>139</v>
      </c>
      <c r="F534" s="213" t="s">
        <v>130</v>
      </c>
      <c r="G534" s="4">
        <v>0</v>
      </c>
      <c r="H534" s="4">
        <v>0</v>
      </c>
      <c r="I534" s="4">
        <v>1092.03</v>
      </c>
      <c r="J534" s="4">
        <v>2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349.01</v>
      </c>
      <c r="AB534" s="4">
        <v>2</v>
      </c>
      <c r="AC534" s="4">
        <v>1193</v>
      </c>
      <c r="AD534" s="4">
        <v>5</v>
      </c>
      <c r="AE534" s="4">
        <v>0</v>
      </c>
      <c r="AF534" s="4">
        <v>0</v>
      </c>
      <c r="AG534" s="4">
        <v>339.02</v>
      </c>
      <c r="AH534" s="4">
        <v>2</v>
      </c>
      <c r="AI534" s="4">
        <v>0</v>
      </c>
      <c r="AJ534" s="4">
        <v>0</v>
      </c>
      <c r="AK534" s="4">
        <v>2566.9899999999998</v>
      </c>
      <c r="AL534" s="4">
        <v>7</v>
      </c>
      <c r="AM534" s="4">
        <v>1984.03</v>
      </c>
      <c r="AN534" s="4">
        <v>8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285.98</v>
      </c>
      <c r="AX534" s="4">
        <v>1</v>
      </c>
      <c r="AY534" s="4">
        <v>2150.92</v>
      </c>
      <c r="AZ534" s="4">
        <v>4</v>
      </c>
      <c r="BA534" s="4">
        <v>421.96</v>
      </c>
      <c r="BB534" s="4">
        <v>1</v>
      </c>
      <c r="BC534" s="4">
        <v>801.97</v>
      </c>
      <c r="BD534" s="4">
        <v>1</v>
      </c>
      <c r="BE534" s="4">
        <v>0</v>
      </c>
      <c r="BF534" s="4">
        <v>0</v>
      </c>
      <c r="BQ534" s="3">
        <f t="shared" si="18"/>
        <v>11184.909999999998</v>
      </c>
      <c r="BR534" s="3">
        <f t="shared" si="17"/>
        <v>33</v>
      </c>
    </row>
    <row r="535" spans="1:70" x14ac:dyDescent="0.25">
      <c r="A535" s="4" t="s">
        <v>2659</v>
      </c>
      <c r="B535" t="s">
        <v>117</v>
      </c>
      <c r="C535" s="338" t="s">
        <v>1667</v>
      </c>
      <c r="D535" s="213" t="s">
        <v>758</v>
      </c>
      <c r="E535" s="213" t="s">
        <v>139</v>
      </c>
      <c r="F535" s="213" t="s">
        <v>130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1054.03</v>
      </c>
      <c r="AF535" s="4">
        <v>3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Q535" s="3">
        <f t="shared" si="18"/>
        <v>1054.03</v>
      </c>
      <c r="BR535" s="3">
        <f t="shared" si="17"/>
        <v>3</v>
      </c>
    </row>
    <row r="536" spans="1:70" x14ac:dyDescent="0.25">
      <c r="A536" s="4" t="s">
        <v>2660</v>
      </c>
      <c r="B536" t="s">
        <v>117</v>
      </c>
      <c r="C536" s="338" t="s">
        <v>2091</v>
      </c>
      <c r="D536" s="213" t="s">
        <v>1182</v>
      </c>
      <c r="E536" s="213" t="s">
        <v>139</v>
      </c>
      <c r="F536" s="213" t="s">
        <v>130</v>
      </c>
      <c r="G536" s="4">
        <v>626.02</v>
      </c>
      <c r="H536" s="4">
        <v>2</v>
      </c>
      <c r="I536" s="4">
        <v>600.02</v>
      </c>
      <c r="J536" s="4">
        <v>2</v>
      </c>
      <c r="K536" s="4">
        <v>1438.03</v>
      </c>
      <c r="L536" s="4">
        <v>6</v>
      </c>
      <c r="M536" s="4">
        <v>2789.09</v>
      </c>
      <c r="N536" s="4">
        <v>13</v>
      </c>
      <c r="O536" s="4">
        <v>1152.01</v>
      </c>
      <c r="P536" s="4">
        <v>5</v>
      </c>
      <c r="Q536" s="4">
        <v>0</v>
      </c>
      <c r="R536" s="4">
        <v>0</v>
      </c>
      <c r="S536" s="4">
        <v>150.01</v>
      </c>
      <c r="T536" s="4">
        <v>1</v>
      </c>
      <c r="U536" s="4">
        <v>300</v>
      </c>
      <c r="V536" s="4">
        <v>1</v>
      </c>
      <c r="W536" s="4">
        <v>1289.02</v>
      </c>
      <c r="X536" s="4">
        <v>8</v>
      </c>
      <c r="Y536" s="4">
        <v>2061.0500000000002</v>
      </c>
      <c r="Z536" s="4">
        <v>8</v>
      </c>
      <c r="AA536" s="4">
        <v>599.01</v>
      </c>
      <c r="AB536" s="4">
        <v>3</v>
      </c>
      <c r="AC536" s="4">
        <v>0</v>
      </c>
      <c r="AD536" s="4">
        <v>0</v>
      </c>
      <c r="AE536" s="4">
        <v>300</v>
      </c>
      <c r="AF536" s="4">
        <v>1</v>
      </c>
      <c r="AG536" s="4">
        <v>229.01</v>
      </c>
      <c r="AH536" s="4">
        <v>2</v>
      </c>
      <c r="AI536" s="4">
        <v>1885.04</v>
      </c>
      <c r="AJ536" s="4">
        <v>8</v>
      </c>
      <c r="AK536" s="4">
        <v>4118.03</v>
      </c>
      <c r="AL536" s="4">
        <v>16</v>
      </c>
      <c r="AM536" s="4">
        <v>2019.04</v>
      </c>
      <c r="AN536" s="4">
        <v>8</v>
      </c>
      <c r="AO536" s="4">
        <v>0</v>
      </c>
      <c r="AP536" s="4">
        <v>0</v>
      </c>
      <c r="AQ536" s="4">
        <v>1175.03</v>
      </c>
      <c r="AR536" s="4">
        <v>3</v>
      </c>
      <c r="AS536" s="4">
        <v>1452.02</v>
      </c>
      <c r="AT536" s="4">
        <v>5</v>
      </c>
      <c r="AU536" s="4">
        <v>900.03</v>
      </c>
      <c r="AV536" s="4">
        <v>3</v>
      </c>
      <c r="AW536" s="4">
        <v>421.96</v>
      </c>
      <c r="AX536" s="4">
        <v>2</v>
      </c>
      <c r="AY536" s="4">
        <v>0</v>
      </c>
      <c r="AZ536" s="4">
        <v>0</v>
      </c>
      <c r="BA536" s="4">
        <v>1079.9000000000001</v>
      </c>
      <c r="BB536" s="4">
        <v>5</v>
      </c>
      <c r="BC536" s="4">
        <v>75</v>
      </c>
      <c r="BD536" s="4">
        <v>1</v>
      </c>
      <c r="BE536" s="4">
        <v>0</v>
      </c>
      <c r="BF536" s="4">
        <v>0</v>
      </c>
      <c r="BQ536" s="3">
        <f t="shared" si="18"/>
        <v>24659.32</v>
      </c>
      <c r="BR536" s="3">
        <f t="shared" si="17"/>
        <v>103</v>
      </c>
    </row>
    <row r="537" spans="1:70" x14ac:dyDescent="0.25">
      <c r="A537" s="4" t="s">
        <v>2661</v>
      </c>
      <c r="B537" t="s">
        <v>117</v>
      </c>
      <c r="C537" s="338" t="s">
        <v>2092</v>
      </c>
      <c r="D537" s="213" t="s">
        <v>1183</v>
      </c>
      <c r="E537" s="213" t="s">
        <v>139</v>
      </c>
      <c r="F537" s="213" t="s">
        <v>130</v>
      </c>
      <c r="G537" s="4">
        <v>0</v>
      </c>
      <c r="H537" s="4">
        <v>0</v>
      </c>
      <c r="I537" s="4">
        <v>0</v>
      </c>
      <c r="J537" s="4">
        <v>0</v>
      </c>
      <c r="K537" s="4">
        <v>493.01</v>
      </c>
      <c r="L537" s="4">
        <v>1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2049.08</v>
      </c>
      <c r="AF537" s="4">
        <v>4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Q537" s="3">
        <f t="shared" si="18"/>
        <v>2542.09</v>
      </c>
      <c r="BR537" s="3">
        <f t="shared" si="17"/>
        <v>5</v>
      </c>
    </row>
    <row r="538" spans="1:70" x14ac:dyDescent="0.25">
      <c r="A538" s="4" t="s">
        <v>2662</v>
      </c>
      <c r="B538" t="s">
        <v>117</v>
      </c>
      <c r="C538" s="338" t="s">
        <v>2096</v>
      </c>
      <c r="D538" s="213" t="s">
        <v>1187</v>
      </c>
      <c r="E538" s="213" t="s">
        <v>139</v>
      </c>
      <c r="F538" s="213" t="s">
        <v>130</v>
      </c>
      <c r="G538" s="4">
        <v>3387.11</v>
      </c>
      <c r="H538" s="4">
        <v>11</v>
      </c>
      <c r="I538" s="4">
        <v>7940.23</v>
      </c>
      <c r="J538" s="4">
        <v>28</v>
      </c>
      <c r="K538" s="4">
        <v>3435.09</v>
      </c>
      <c r="L538" s="4">
        <v>12</v>
      </c>
      <c r="M538" s="4">
        <v>0</v>
      </c>
      <c r="N538" s="4">
        <v>0</v>
      </c>
      <c r="O538" s="4">
        <v>1690.01</v>
      </c>
      <c r="P538" s="4">
        <v>5</v>
      </c>
      <c r="Q538" s="4">
        <v>549.03</v>
      </c>
      <c r="R538" s="4">
        <v>2</v>
      </c>
      <c r="S538" s="4">
        <v>725.01</v>
      </c>
      <c r="T538" s="4">
        <v>3</v>
      </c>
      <c r="U538" s="4">
        <v>1295.01</v>
      </c>
      <c r="V538" s="4">
        <v>6</v>
      </c>
      <c r="W538" s="4">
        <v>6508.09</v>
      </c>
      <c r="X538" s="4">
        <v>23</v>
      </c>
      <c r="Y538" s="4">
        <v>2224.0100000000002</v>
      </c>
      <c r="Z538" s="4">
        <v>9</v>
      </c>
      <c r="AA538" s="4">
        <v>2687.05</v>
      </c>
      <c r="AB538" s="4">
        <v>13</v>
      </c>
      <c r="AC538" s="4">
        <v>2191.04</v>
      </c>
      <c r="AD538" s="4">
        <v>7</v>
      </c>
      <c r="AE538" s="4">
        <v>2972.08</v>
      </c>
      <c r="AF538" s="4">
        <v>11</v>
      </c>
      <c r="AG538" s="4">
        <v>0</v>
      </c>
      <c r="AH538" s="4">
        <v>0</v>
      </c>
      <c r="AI538" s="4">
        <v>2497.0300000000002</v>
      </c>
      <c r="AJ538" s="4">
        <v>14</v>
      </c>
      <c r="AK538" s="4">
        <v>447</v>
      </c>
      <c r="AL538" s="4">
        <v>3</v>
      </c>
      <c r="AM538" s="4">
        <v>2039.04</v>
      </c>
      <c r="AN538" s="4">
        <v>8</v>
      </c>
      <c r="AO538" s="4">
        <v>2014.01</v>
      </c>
      <c r="AP538" s="4">
        <v>10</v>
      </c>
      <c r="AQ538" s="4">
        <v>1790.96</v>
      </c>
      <c r="AR538" s="4">
        <v>4</v>
      </c>
      <c r="AS538" s="4">
        <v>450.01</v>
      </c>
      <c r="AT538" s="4">
        <v>1</v>
      </c>
      <c r="AU538" s="4">
        <v>0</v>
      </c>
      <c r="AV538" s="4">
        <v>0</v>
      </c>
      <c r="AW538" s="4">
        <v>1708.97</v>
      </c>
      <c r="AX538" s="4">
        <v>7</v>
      </c>
      <c r="AY538" s="4">
        <v>3413.82</v>
      </c>
      <c r="AZ538" s="4">
        <v>9</v>
      </c>
      <c r="BA538" s="4">
        <v>150</v>
      </c>
      <c r="BB538" s="4">
        <v>1</v>
      </c>
      <c r="BC538" s="4">
        <v>432.98</v>
      </c>
      <c r="BD538" s="4">
        <v>2</v>
      </c>
      <c r="BE538" s="4">
        <v>1074.02</v>
      </c>
      <c r="BF538" s="4">
        <v>3</v>
      </c>
      <c r="BQ538" s="3">
        <f t="shared" si="18"/>
        <v>51621.599999999999</v>
      </c>
      <c r="BR538" s="3">
        <f t="shared" si="17"/>
        <v>192</v>
      </c>
    </row>
    <row r="539" spans="1:70" x14ac:dyDescent="0.25">
      <c r="A539" s="4" t="s">
        <v>2663</v>
      </c>
      <c r="B539" t="s">
        <v>117</v>
      </c>
      <c r="C539" s="338" t="s">
        <v>2094</v>
      </c>
      <c r="D539" s="213" t="s">
        <v>1185</v>
      </c>
      <c r="E539" s="213" t="s">
        <v>139</v>
      </c>
      <c r="F539" s="213" t="s">
        <v>130</v>
      </c>
      <c r="G539" s="4">
        <v>1899.03</v>
      </c>
      <c r="H539" s="4">
        <v>12</v>
      </c>
      <c r="I539" s="4">
        <v>3692.15</v>
      </c>
      <c r="J539" s="4">
        <v>14</v>
      </c>
      <c r="K539" s="4">
        <v>4823.1000000000004</v>
      </c>
      <c r="L539" s="4">
        <v>20</v>
      </c>
      <c r="M539" s="4">
        <v>2218.0500000000002</v>
      </c>
      <c r="N539" s="4">
        <v>13</v>
      </c>
      <c r="O539" s="4">
        <v>0</v>
      </c>
      <c r="P539" s="4">
        <v>0</v>
      </c>
      <c r="Q539" s="4">
        <v>1908.04</v>
      </c>
      <c r="R539" s="4">
        <v>6</v>
      </c>
      <c r="S539" s="4">
        <v>1011.99</v>
      </c>
      <c r="T539" s="4">
        <v>5</v>
      </c>
      <c r="U539" s="4">
        <v>884</v>
      </c>
      <c r="V539" s="4">
        <v>4</v>
      </c>
      <c r="W539" s="4">
        <v>712.02</v>
      </c>
      <c r="X539" s="4">
        <v>3</v>
      </c>
      <c r="Y539" s="4">
        <v>4479</v>
      </c>
      <c r="Z539" s="4">
        <v>13</v>
      </c>
      <c r="AA539" s="4">
        <v>2170</v>
      </c>
      <c r="AB539" s="4">
        <v>9</v>
      </c>
      <c r="AC539" s="4">
        <v>2348.0300000000002</v>
      </c>
      <c r="AD539" s="4">
        <v>9</v>
      </c>
      <c r="AE539" s="4">
        <v>1223</v>
      </c>
      <c r="AF539" s="4">
        <v>6</v>
      </c>
      <c r="AG539" s="4">
        <v>272</v>
      </c>
      <c r="AH539" s="4">
        <v>2</v>
      </c>
      <c r="AI539" s="4">
        <v>922</v>
      </c>
      <c r="AJ539" s="4">
        <v>5</v>
      </c>
      <c r="AK539" s="4">
        <v>1084.01</v>
      </c>
      <c r="AL539" s="4">
        <v>5</v>
      </c>
      <c r="AM539" s="4">
        <v>0</v>
      </c>
      <c r="AN539" s="4">
        <v>0</v>
      </c>
      <c r="AO539" s="4">
        <v>2444</v>
      </c>
      <c r="AP539" s="4">
        <v>8</v>
      </c>
      <c r="AQ539" s="4">
        <v>695</v>
      </c>
      <c r="AR539" s="4">
        <v>3</v>
      </c>
      <c r="AS539" s="4">
        <v>0</v>
      </c>
      <c r="AT539" s="4">
        <v>0</v>
      </c>
      <c r="AU539" s="4">
        <v>259.01</v>
      </c>
      <c r="AV539" s="4">
        <v>2</v>
      </c>
      <c r="AW539" s="4">
        <v>0</v>
      </c>
      <c r="AX539" s="4">
        <v>0</v>
      </c>
      <c r="AY539" s="4">
        <v>1345.92</v>
      </c>
      <c r="AZ539" s="4">
        <v>4</v>
      </c>
      <c r="BA539" s="4">
        <v>532.97</v>
      </c>
      <c r="BB539" s="4">
        <v>2</v>
      </c>
      <c r="BC539" s="4">
        <v>1504.98</v>
      </c>
      <c r="BD539" s="4">
        <v>4</v>
      </c>
      <c r="BE539" s="4">
        <v>0</v>
      </c>
      <c r="BF539" s="4">
        <v>0</v>
      </c>
      <c r="BQ539" s="3">
        <f t="shared" si="18"/>
        <v>36428.300000000003</v>
      </c>
      <c r="BR539" s="3">
        <f t="shared" si="17"/>
        <v>149</v>
      </c>
    </row>
    <row r="540" spans="1:70" x14ac:dyDescent="0.25">
      <c r="A540" s="4" t="s">
        <v>2664</v>
      </c>
      <c r="B540" t="s">
        <v>118</v>
      </c>
      <c r="C540" s="338" t="s">
        <v>2097</v>
      </c>
      <c r="D540" s="213" t="s">
        <v>1188</v>
      </c>
      <c r="E540" s="213" t="s">
        <v>138</v>
      </c>
      <c r="F540" s="213" t="s">
        <v>128</v>
      </c>
      <c r="G540" s="4">
        <v>747.01</v>
      </c>
      <c r="H540" s="4">
        <v>6</v>
      </c>
      <c r="I540" s="4">
        <v>0</v>
      </c>
      <c r="J540" s="4">
        <v>0</v>
      </c>
      <c r="K540" s="4">
        <v>1807.89</v>
      </c>
      <c r="L540" s="4">
        <v>11</v>
      </c>
      <c r="M540" s="4">
        <v>500</v>
      </c>
      <c r="N540" s="4">
        <v>4</v>
      </c>
      <c r="O540" s="4">
        <v>1960.05</v>
      </c>
      <c r="P540" s="4">
        <v>9</v>
      </c>
      <c r="Q540" s="4">
        <v>400</v>
      </c>
      <c r="R540" s="4">
        <v>2</v>
      </c>
      <c r="S540" s="4">
        <v>238</v>
      </c>
      <c r="T540" s="4">
        <v>3</v>
      </c>
      <c r="U540" s="4">
        <v>150.01</v>
      </c>
      <c r="V540" s="4">
        <v>1</v>
      </c>
      <c r="W540" s="4">
        <v>0</v>
      </c>
      <c r="X540" s="4">
        <v>0</v>
      </c>
      <c r="Y540" s="4">
        <v>550.01</v>
      </c>
      <c r="Z540" s="4">
        <v>4</v>
      </c>
      <c r="AA540" s="4">
        <v>989.04</v>
      </c>
      <c r="AB540" s="4">
        <v>6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Q540" s="3">
        <f t="shared" si="18"/>
        <v>7342.01</v>
      </c>
      <c r="BR540" s="3">
        <f t="shared" si="17"/>
        <v>46</v>
      </c>
    </row>
    <row r="541" spans="1:70" x14ac:dyDescent="0.25">
      <c r="A541" s="4" t="s">
        <v>2665</v>
      </c>
      <c r="B541" t="s">
        <v>118</v>
      </c>
      <c r="C541" s="338" t="s">
        <v>2098</v>
      </c>
      <c r="D541" s="213" t="s">
        <v>1189</v>
      </c>
      <c r="E541" s="213" t="s">
        <v>138</v>
      </c>
      <c r="F541" s="213" t="s">
        <v>128</v>
      </c>
      <c r="G541" s="4">
        <v>2462.11</v>
      </c>
      <c r="H541" s="4">
        <v>19</v>
      </c>
      <c r="I541" s="4">
        <v>2582.0300000000002</v>
      </c>
      <c r="J541" s="4">
        <v>24</v>
      </c>
      <c r="K541" s="4">
        <v>2247.1</v>
      </c>
      <c r="L541" s="4">
        <v>12</v>
      </c>
      <c r="M541" s="4">
        <v>2257.0300000000002</v>
      </c>
      <c r="N541" s="4">
        <v>13</v>
      </c>
      <c r="O541" s="4">
        <v>1800.03</v>
      </c>
      <c r="P541" s="4">
        <v>13</v>
      </c>
      <c r="Q541" s="4">
        <v>3158.02</v>
      </c>
      <c r="R541" s="4">
        <v>23</v>
      </c>
      <c r="S541" s="4">
        <v>0</v>
      </c>
      <c r="T541" s="4">
        <v>0</v>
      </c>
      <c r="U541" s="4">
        <v>1500.03</v>
      </c>
      <c r="V541" s="4">
        <v>9</v>
      </c>
      <c r="W541" s="4">
        <v>1522.04</v>
      </c>
      <c r="X541" s="4">
        <v>10</v>
      </c>
      <c r="Y541" s="4">
        <v>790.04</v>
      </c>
      <c r="Z541" s="4">
        <v>6</v>
      </c>
      <c r="AA541" s="4">
        <v>2189.0100000000002</v>
      </c>
      <c r="AB541" s="4">
        <v>12</v>
      </c>
      <c r="AC541" s="4">
        <v>225.01</v>
      </c>
      <c r="AD541" s="4">
        <v>2</v>
      </c>
      <c r="AE541" s="4">
        <v>1114.04</v>
      </c>
      <c r="AF541" s="4">
        <v>8</v>
      </c>
      <c r="AG541" s="4">
        <v>765.03</v>
      </c>
      <c r="AH541" s="4">
        <v>5</v>
      </c>
      <c r="AI541" s="4">
        <v>315</v>
      </c>
      <c r="AJ541" s="4">
        <v>2</v>
      </c>
      <c r="AK541" s="4">
        <v>0</v>
      </c>
      <c r="AL541" s="4">
        <v>0</v>
      </c>
      <c r="AM541" s="4">
        <v>948.98</v>
      </c>
      <c r="AN541" s="4">
        <v>4</v>
      </c>
      <c r="AO541" s="4">
        <v>1695.02</v>
      </c>
      <c r="AP541" s="4">
        <v>9</v>
      </c>
      <c r="AQ541" s="4">
        <v>472.01</v>
      </c>
      <c r="AR541" s="4">
        <v>5</v>
      </c>
      <c r="AS541" s="4">
        <v>460.99</v>
      </c>
      <c r="AT541" s="4">
        <v>3</v>
      </c>
      <c r="AU541" s="4">
        <v>225</v>
      </c>
      <c r="AV541" s="4">
        <v>1</v>
      </c>
      <c r="AW541" s="4">
        <v>820.96</v>
      </c>
      <c r="AX541" s="4">
        <v>6</v>
      </c>
      <c r="AY541" s="4">
        <v>0</v>
      </c>
      <c r="AZ541" s="4">
        <v>0</v>
      </c>
      <c r="BA541" s="4">
        <v>1508.92</v>
      </c>
      <c r="BB541" s="4">
        <v>11</v>
      </c>
      <c r="BC541" s="4">
        <v>150</v>
      </c>
      <c r="BD541" s="4">
        <v>2</v>
      </c>
      <c r="BE541" s="4">
        <v>1130.0999999999999</v>
      </c>
      <c r="BF541" s="4">
        <v>6</v>
      </c>
      <c r="BQ541" s="3">
        <f t="shared" si="18"/>
        <v>30338.5</v>
      </c>
      <c r="BR541" s="3">
        <f t="shared" si="17"/>
        <v>205</v>
      </c>
    </row>
    <row r="542" spans="1:70" x14ac:dyDescent="0.25">
      <c r="A542" s="4" t="s">
        <v>2666</v>
      </c>
      <c r="B542" t="s">
        <v>118</v>
      </c>
      <c r="C542" s="338" t="s">
        <v>2099</v>
      </c>
      <c r="D542" s="213" t="s">
        <v>1190</v>
      </c>
      <c r="E542" s="213" t="s">
        <v>138</v>
      </c>
      <c r="F542" s="213" t="s">
        <v>128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836.02</v>
      </c>
      <c r="AD542" s="4">
        <v>7</v>
      </c>
      <c r="AE542" s="4">
        <v>761.02</v>
      </c>
      <c r="AF542" s="4">
        <v>4</v>
      </c>
      <c r="AG542" s="4">
        <v>1565.06</v>
      </c>
      <c r="AH542" s="4">
        <v>10</v>
      </c>
      <c r="AI542" s="4">
        <v>750.02</v>
      </c>
      <c r="AJ542" s="4">
        <v>5</v>
      </c>
      <c r="AK542" s="4">
        <v>3091.04</v>
      </c>
      <c r="AL542" s="4">
        <v>18</v>
      </c>
      <c r="AM542" s="4">
        <v>0</v>
      </c>
      <c r="AN542" s="4">
        <v>0</v>
      </c>
      <c r="AO542" s="4">
        <v>1572.04</v>
      </c>
      <c r="AP542" s="4">
        <v>9</v>
      </c>
      <c r="AQ542" s="4">
        <v>1197.05</v>
      </c>
      <c r="AR542" s="4">
        <v>6</v>
      </c>
      <c r="AS542" s="4">
        <v>1341.05</v>
      </c>
      <c r="AT542" s="4">
        <v>7</v>
      </c>
      <c r="AU542" s="4">
        <v>450.01</v>
      </c>
      <c r="AV542" s="4">
        <v>4</v>
      </c>
      <c r="AW542" s="4">
        <v>1822.87</v>
      </c>
      <c r="AX542" s="4">
        <v>9</v>
      </c>
      <c r="AY542" s="4">
        <v>1238.93</v>
      </c>
      <c r="AZ542" s="4">
        <v>6</v>
      </c>
      <c r="BA542" s="4">
        <v>0</v>
      </c>
      <c r="BB542" s="4">
        <v>0</v>
      </c>
      <c r="BC542" s="4">
        <v>1477.96</v>
      </c>
      <c r="BD542" s="4">
        <v>7</v>
      </c>
      <c r="BE542" s="4">
        <v>2606.15</v>
      </c>
      <c r="BF542" s="4">
        <v>10</v>
      </c>
      <c r="BQ542" s="3">
        <f t="shared" si="18"/>
        <v>18709.22</v>
      </c>
      <c r="BR542" s="3">
        <f t="shared" si="17"/>
        <v>102</v>
      </c>
    </row>
    <row r="543" spans="1:70" x14ac:dyDescent="0.25">
      <c r="A543" s="4" t="s">
        <v>2667</v>
      </c>
      <c r="B543" t="s">
        <v>118</v>
      </c>
      <c r="C543" s="338" t="s">
        <v>2100</v>
      </c>
      <c r="D543" s="213" t="s">
        <v>1191</v>
      </c>
      <c r="E543" s="213" t="s">
        <v>138</v>
      </c>
      <c r="F543" s="213" t="s">
        <v>128</v>
      </c>
      <c r="G543" s="4">
        <v>2414.1</v>
      </c>
      <c r="H543" s="4">
        <v>19</v>
      </c>
      <c r="I543" s="4">
        <v>1396.03</v>
      </c>
      <c r="J543" s="4">
        <v>12</v>
      </c>
      <c r="K543" s="4">
        <v>1316.02</v>
      </c>
      <c r="L543" s="4">
        <v>10</v>
      </c>
      <c r="M543" s="4">
        <v>2239.0300000000002</v>
      </c>
      <c r="N543" s="4">
        <v>13</v>
      </c>
      <c r="O543" s="4">
        <v>1056.03</v>
      </c>
      <c r="P543" s="4">
        <v>5</v>
      </c>
      <c r="Q543" s="4">
        <v>0</v>
      </c>
      <c r="R543" s="4">
        <v>0</v>
      </c>
      <c r="S543" s="4">
        <v>2018.02</v>
      </c>
      <c r="T543" s="4">
        <v>13</v>
      </c>
      <c r="U543" s="4">
        <v>889.01</v>
      </c>
      <c r="V543" s="4">
        <v>6</v>
      </c>
      <c r="W543" s="4">
        <v>1496.01</v>
      </c>
      <c r="X543" s="4">
        <v>9</v>
      </c>
      <c r="Y543" s="4">
        <v>475</v>
      </c>
      <c r="Z543" s="4">
        <v>3</v>
      </c>
      <c r="AA543" s="4">
        <v>1252.01</v>
      </c>
      <c r="AB543" s="4">
        <v>9</v>
      </c>
      <c r="AC543" s="4">
        <v>895.01</v>
      </c>
      <c r="AD543" s="4">
        <v>6</v>
      </c>
      <c r="AE543" s="4">
        <v>1459.02</v>
      </c>
      <c r="AF543" s="4">
        <v>9</v>
      </c>
      <c r="AG543" s="4">
        <v>0</v>
      </c>
      <c r="AH543" s="4">
        <v>0</v>
      </c>
      <c r="AI543" s="4">
        <v>1573.05</v>
      </c>
      <c r="AJ543" s="4">
        <v>10</v>
      </c>
      <c r="AK543" s="4">
        <v>0</v>
      </c>
      <c r="AL543" s="4">
        <v>0</v>
      </c>
      <c r="AM543" s="4">
        <v>2144</v>
      </c>
      <c r="AN543" s="4">
        <v>16</v>
      </c>
      <c r="AO543" s="4">
        <v>0</v>
      </c>
      <c r="AP543" s="4">
        <v>0</v>
      </c>
      <c r="AQ543" s="4">
        <v>1820.04</v>
      </c>
      <c r="AR543" s="4">
        <v>11</v>
      </c>
      <c r="AS543" s="4">
        <v>0</v>
      </c>
      <c r="AT543" s="4">
        <v>0</v>
      </c>
      <c r="AU543" s="4">
        <v>500</v>
      </c>
      <c r="AV543" s="4">
        <v>3</v>
      </c>
      <c r="AW543" s="4">
        <v>908.96</v>
      </c>
      <c r="AX543" s="4">
        <v>6</v>
      </c>
      <c r="AY543" s="4">
        <v>2299.88</v>
      </c>
      <c r="AZ543" s="4">
        <v>14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Q543" s="3">
        <f t="shared" si="18"/>
        <v>26151.22</v>
      </c>
      <c r="BR543" s="3">
        <f t="shared" si="17"/>
        <v>174</v>
      </c>
    </row>
    <row r="544" spans="1:70" x14ac:dyDescent="0.25">
      <c r="A544" s="4" t="s">
        <v>2668</v>
      </c>
      <c r="B544" t="s">
        <v>119</v>
      </c>
      <c r="C544" s="338" t="s">
        <v>2101</v>
      </c>
      <c r="D544" s="213" t="s">
        <v>1192</v>
      </c>
      <c r="E544" s="213" t="s">
        <v>144</v>
      </c>
      <c r="F544" s="213" t="s">
        <v>126</v>
      </c>
      <c r="G544" s="4">
        <v>0</v>
      </c>
      <c r="H544" s="4">
        <v>0</v>
      </c>
      <c r="I544" s="4">
        <v>7078.08</v>
      </c>
      <c r="J544" s="4">
        <v>25</v>
      </c>
      <c r="K544" s="4">
        <v>4165.13</v>
      </c>
      <c r="L544" s="4">
        <v>10</v>
      </c>
      <c r="M544" s="4">
        <v>1572.02</v>
      </c>
      <c r="N544" s="4">
        <v>8</v>
      </c>
      <c r="O544" s="4">
        <v>1190.01</v>
      </c>
      <c r="P544" s="4">
        <v>6</v>
      </c>
      <c r="Q544" s="4">
        <v>993</v>
      </c>
      <c r="R544" s="4">
        <v>6</v>
      </c>
      <c r="S544" s="4">
        <v>0</v>
      </c>
      <c r="T544" s="4">
        <v>0</v>
      </c>
      <c r="U544" s="4">
        <v>3052</v>
      </c>
      <c r="V544" s="4">
        <v>8</v>
      </c>
      <c r="W544" s="4">
        <v>5876.06</v>
      </c>
      <c r="X544" s="4">
        <v>10</v>
      </c>
      <c r="Y544" s="4">
        <v>2408.0100000000002</v>
      </c>
      <c r="Z544" s="4">
        <v>11</v>
      </c>
      <c r="AA544" s="4">
        <v>450</v>
      </c>
      <c r="AB544" s="4">
        <v>2</v>
      </c>
      <c r="AC544" s="4">
        <v>150</v>
      </c>
      <c r="AD544" s="4">
        <v>1</v>
      </c>
      <c r="AE544" s="4">
        <v>150</v>
      </c>
      <c r="AF544" s="4">
        <v>1</v>
      </c>
      <c r="AG544" s="4">
        <v>1301.04</v>
      </c>
      <c r="AH544" s="4">
        <v>6</v>
      </c>
      <c r="AI544" s="4">
        <v>1756.01</v>
      </c>
      <c r="AJ544" s="4">
        <v>6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1692.03</v>
      </c>
      <c r="AR544" s="4">
        <v>6</v>
      </c>
      <c r="AS544" s="4">
        <v>0</v>
      </c>
      <c r="AT544" s="4">
        <v>0</v>
      </c>
      <c r="AU544" s="4">
        <v>0</v>
      </c>
      <c r="AV544" s="4">
        <v>0</v>
      </c>
      <c r="AW544" s="4">
        <v>985.97</v>
      </c>
      <c r="AX544" s="4">
        <v>5</v>
      </c>
      <c r="AY544" s="4">
        <v>4559.93</v>
      </c>
      <c r="AZ544" s="4">
        <v>15</v>
      </c>
      <c r="BA544" s="4">
        <v>2672.84</v>
      </c>
      <c r="BB544" s="4">
        <v>9</v>
      </c>
      <c r="BC544" s="4">
        <v>3763.99</v>
      </c>
      <c r="BD544" s="4">
        <v>9</v>
      </c>
      <c r="BE544" s="4">
        <v>3182.13</v>
      </c>
      <c r="BF544" s="4">
        <v>5</v>
      </c>
      <c r="BQ544" s="3">
        <f t="shared" si="18"/>
        <v>46998.249999999985</v>
      </c>
      <c r="BR544" s="3">
        <f t="shared" si="17"/>
        <v>149</v>
      </c>
    </row>
    <row r="545" spans="1:70" x14ac:dyDescent="0.25">
      <c r="A545" s="4" t="s">
        <v>2669</v>
      </c>
      <c r="B545" t="s">
        <v>119</v>
      </c>
      <c r="C545" s="338" t="s">
        <v>1825</v>
      </c>
      <c r="D545" s="213" t="s">
        <v>916</v>
      </c>
      <c r="E545" s="213" t="s">
        <v>144</v>
      </c>
      <c r="F545" s="213" t="s">
        <v>126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1619.02</v>
      </c>
      <c r="V545" s="4">
        <v>9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Q545" s="3">
        <f t="shared" si="18"/>
        <v>1619.02</v>
      </c>
      <c r="BR545" s="3">
        <f t="shared" si="17"/>
        <v>9</v>
      </c>
    </row>
    <row r="546" spans="1:70" x14ac:dyDescent="0.25">
      <c r="A546" s="4" t="s">
        <v>2670</v>
      </c>
      <c r="B546" t="s">
        <v>119</v>
      </c>
      <c r="C546" s="338" t="s">
        <v>2102</v>
      </c>
      <c r="D546" s="213" t="s">
        <v>1193</v>
      </c>
      <c r="E546" s="213" t="s">
        <v>144</v>
      </c>
      <c r="F546" s="213" t="s">
        <v>126</v>
      </c>
      <c r="G546" s="4">
        <v>1218.03</v>
      </c>
      <c r="H546" s="4">
        <v>5</v>
      </c>
      <c r="I546" s="4">
        <v>0</v>
      </c>
      <c r="J546" s="4">
        <v>0</v>
      </c>
      <c r="K546" s="4">
        <v>3467.08</v>
      </c>
      <c r="L546" s="4">
        <v>15</v>
      </c>
      <c r="M546" s="4">
        <v>224.01</v>
      </c>
      <c r="N546" s="4">
        <v>1</v>
      </c>
      <c r="O546" s="4">
        <v>624</v>
      </c>
      <c r="P546" s="4">
        <v>4</v>
      </c>
      <c r="Q546" s="4">
        <v>450</v>
      </c>
      <c r="R546" s="4">
        <v>2</v>
      </c>
      <c r="S546" s="4">
        <v>1274</v>
      </c>
      <c r="T546" s="4">
        <v>3</v>
      </c>
      <c r="U546" s="4">
        <v>2791.07</v>
      </c>
      <c r="V546" s="4">
        <v>11</v>
      </c>
      <c r="W546" s="4">
        <v>3000.99</v>
      </c>
      <c r="X546" s="4">
        <v>13</v>
      </c>
      <c r="Y546" s="4">
        <v>2423.02</v>
      </c>
      <c r="Z546" s="4">
        <v>8</v>
      </c>
      <c r="AA546" s="4">
        <v>0</v>
      </c>
      <c r="AB546" s="4">
        <v>0</v>
      </c>
      <c r="AC546" s="4">
        <v>1235</v>
      </c>
      <c r="AD546" s="4">
        <v>7</v>
      </c>
      <c r="AE546" s="4">
        <v>3538.02</v>
      </c>
      <c r="AF546" s="4">
        <v>9</v>
      </c>
      <c r="AG546" s="4">
        <v>450</v>
      </c>
      <c r="AH546" s="4">
        <v>3</v>
      </c>
      <c r="AI546" s="4">
        <v>2697.02</v>
      </c>
      <c r="AJ546" s="4">
        <v>10</v>
      </c>
      <c r="AK546" s="4">
        <v>1748.01</v>
      </c>
      <c r="AL546" s="4">
        <v>9</v>
      </c>
      <c r="AM546" s="4">
        <v>1837.99</v>
      </c>
      <c r="AN546" s="4">
        <v>7</v>
      </c>
      <c r="AO546" s="4">
        <v>525</v>
      </c>
      <c r="AP546" s="4">
        <v>2</v>
      </c>
      <c r="AQ546" s="4">
        <v>615</v>
      </c>
      <c r="AR546" s="4">
        <v>3</v>
      </c>
      <c r="AS546" s="4">
        <v>150</v>
      </c>
      <c r="AT546" s="4">
        <v>1</v>
      </c>
      <c r="AU546" s="4">
        <v>1736.01</v>
      </c>
      <c r="AV546" s="4">
        <v>8</v>
      </c>
      <c r="AW546" s="4">
        <v>1400.9</v>
      </c>
      <c r="AX546" s="4">
        <v>6</v>
      </c>
      <c r="AY546" s="4">
        <v>2889.78</v>
      </c>
      <c r="AZ546" s="4">
        <v>13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Q546" s="3">
        <f t="shared" si="18"/>
        <v>34294.93</v>
      </c>
      <c r="BR546" s="3">
        <f t="shared" si="17"/>
        <v>140</v>
      </c>
    </row>
    <row r="547" spans="1:70" x14ac:dyDescent="0.25">
      <c r="A547" s="4" t="s">
        <v>2671</v>
      </c>
      <c r="B547" t="s">
        <v>119</v>
      </c>
      <c r="C547" s="338" t="s">
        <v>2103</v>
      </c>
      <c r="D547" s="213" t="s">
        <v>1194</v>
      </c>
      <c r="E547" s="213" t="s">
        <v>144</v>
      </c>
      <c r="F547" s="213" t="s">
        <v>126</v>
      </c>
      <c r="G547" s="4">
        <v>4981.1000000000004</v>
      </c>
      <c r="H547" s="4">
        <v>14</v>
      </c>
      <c r="I547" s="4">
        <v>3955.1</v>
      </c>
      <c r="J547" s="4">
        <v>7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1827.07</v>
      </c>
      <c r="AB547" s="4">
        <v>7</v>
      </c>
      <c r="AC547" s="4">
        <v>0</v>
      </c>
      <c r="AD547" s="4">
        <v>0</v>
      </c>
      <c r="AE547" s="4">
        <v>1647.05</v>
      </c>
      <c r="AF547" s="4">
        <v>5</v>
      </c>
      <c r="AG547" s="4">
        <v>1707.03</v>
      </c>
      <c r="AH547" s="4">
        <v>9</v>
      </c>
      <c r="AI547" s="4">
        <v>790</v>
      </c>
      <c r="AJ547" s="4">
        <v>5</v>
      </c>
      <c r="AK547" s="4">
        <v>2272.0100000000002</v>
      </c>
      <c r="AL547" s="4">
        <v>11</v>
      </c>
      <c r="AM547" s="4">
        <v>0</v>
      </c>
      <c r="AN547" s="4">
        <v>0</v>
      </c>
      <c r="AO547" s="4">
        <v>912</v>
      </c>
      <c r="AP547" s="4">
        <v>3</v>
      </c>
      <c r="AQ547" s="4">
        <v>1749.99</v>
      </c>
      <c r="AR547" s="4">
        <v>9</v>
      </c>
      <c r="AS547" s="4">
        <v>1588.99</v>
      </c>
      <c r="AT547" s="4">
        <v>4</v>
      </c>
      <c r="AU547" s="4">
        <v>523.99</v>
      </c>
      <c r="AV547" s="4">
        <v>1</v>
      </c>
      <c r="AW547" s="4">
        <v>1614.95</v>
      </c>
      <c r="AX547" s="4">
        <v>5</v>
      </c>
      <c r="AY547" s="4">
        <v>0</v>
      </c>
      <c r="AZ547" s="4">
        <v>0</v>
      </c>
      <c r="BA547" s="4">
        <v>4324.91</v>
      </c>
      <c r="BB547" s="4">
        <v>5</v>
      </c>
      <c r="BC547" s="4">
        <v>0</v>
      </c>
      <c r="BD547" s="4">
        <v>0</v>
      </c>
      <c r="BE547" s="4">
        <v>648.03</v>
      </c>
      <c r="BF547" s="4">
        <v>2</v>
      </c>
      <c r="BQ547" s="3">
        <f t="shared" si="18"/>
        <v>28542.220000000005</v>
      </c>
      <c r="BR547" s="3">
        <f t="shared" si="17"/>
        <v>87</v>
      </c>
    </row>
    <row r="548" spans="1:70" x14ac:dyDescent="0.25">
      <c r="A548" s="4" t="s">
        <v>2672</v>
      </c>
      <c r="B548" t="s">
        <v>119</v>
      </c>
      <c r="C548" s="338" t="s">
        <v>2104</v>
      </c>
      <c r="D548" s="213" t="s">
        <v>1195</v>
      </c>
      <c r="E548" s="213" t="s">
        <v>144</v>
      </c>
      <c r="F548" s="213" t="s">
        <v>126</v>
      </c>
      <c r="G548" s="4">
        <v>2518.04</v>
      </c>
      <c r="H548" s="4">
        <v>12</v>
      </c>
      <c r="I548" s="4">
        <v>3796.09</v>
      </c>
      <c r="J548" s="4">
        <v>23</v>
      </c>
      <c r="K548" s="4">
        <v>2685.05</v>
      </c>
      <c r="L548" s="4">
        <v>13</v>
      </c>
      <c r="M548" s="4">
        <v>4077</v>
      </c>
      <c r="N548" s="4">
        <v>14</v>
      </c>
      <c r="O548" s="4">
        <v>1474.05</v>
      </c>
      <c r="P548" s="4">
        <v>7</v>
      </c>
      <c r="Q548" s="4">
        <v>1486</v>
      </c>
      <c r="R548" s="4">
        <v>6</v>
      </c>
      <c r="S548" s="4">
        <v>3073.04</v>
      </c>
      <c r="T548" s="4">
        <v>7</v>
      </c>
      <c r="U548" s="4">
        <v>0.01</v>
      </c>
      <c r="V548" s="4">
        <v>1</v>
      </c>
      <c r="W548" s="4">
        <v>3953.05</v>
      </c>
      <c r="X548" s="4">
        <v>16</v>
      </c>
      <c r="Y548" s="4">
        <v>2689.03</v>
      </c>
      <c r="Z548" s="4">
        <v>13</v>
      </c>
      <c r="AA548" s="4">
        <v>1155.01</v>
      </c>
      <c r="AB548" s="4">
        <v>6</v>
      </c>
      <c r="AC548" s="4">
        <v>1229</v>
      </c>
      <c r="AD548" s="4">
        <v>3</v>
      </c>
      <c r="AE548" s="4">
        <v>700</v>
      </c>
      <c r="AF548" s="4">
        <v>3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1999.01</v>
      </c>
      <c r="AN548" s="4">
        <v>11</v>
      </c>
      <c r="AO548" s="4">
        <v>450</v>
      </c>
      <c r="AP548" s="4">
        <v>2</v>
      </c>
      <c r="AQ548" s="4">
        <v>0</v>
      </c>
      <c r="AR548" s="4">
        <v>0</v>
      </c>
      <c r="AS548" s="4">
        <v>514</v>
      </c>
      <c r="AT548" s="4">
        <v>4</v>
      </c>
      <c r="AU548" s="4">
        <v>1529.99</v>
      </c>
      <c r="AV548" s="4">
        <v>6</v>
      </c>
      <c r="AW548" s="4">
        <v>1787.01</v>
      </c>
      <c r="AX548" s="4">
        <v>9</v>
      </c>
      <c r="AY548" s="4">
        <v>3170.8</v>
      </c>
      <c r="AZ548" s="4">
        <v>13</v>
      </c>
      <c r="BA548" s="4">
        <v>2172.87</v>
      </c>
      <c r="BB548" s="4">
        <v>9</v>
      </c>
      <c r="BC548" s="4">
        <v>660.96</v>
      </c>
      <c r="BD548" s="4">
        <v>4</v>
      </c>
      <c r="BE548" s="4">
        <v>1001.05</v>
      </c>
      <c r="BF548" s="4">
        <v>6</v>
      </c>
      <c r="BQ548" s="3">
        <f t="shared" si="18"/>
        <v>42121.060000000005</v>
      </c>
      <c r="BR548" s="3">
        <f t="shared" si="17"/>
        <v>188</v>
      </c>
    </row>
    <row r="549" spans="1:70" x14ac:dyDescent="0.25">
      <c r="A549" s="4" t="s">
        <v>2673</v>
      </c>
      <c r="B549" t="s">
        <v>119</v>
      </c>
      <c r="C549" s="338" t="s">
        <v>2105</v>
      </c>
      <c r="D549" s="213" t="s">
        <v>1196</v>
      </c>
      <c r="E549" s="213" t="s">
        <v>144</v>
      </c>
      <c r="F549" s="213" t="s">
        <v>126</v>
      </c>
      <c r="G549" s="4">
        <v>1402.03</v>
      </c>
      <c r="H549" s="4">
        <v>6</v>
      </c>
      <c r="I549" s="4">
        <v>2952.1</v>
      </c>
      <c r="J549" s="4">
        <v>17</v>
      </c>
      <c r="K549" s="4">
        <v>2867.06</v>
      </c>
      <c r="L549" s="4">
        <v>16</v>
      </c>
      <c r="M549" s="4">
        <v>1329.02</v>
      </c>
      <c r="N549" s="4">
        <v>11</v>
      </c>
      <c r="O549" s="4">
        <v>0</v>
      </c>
      <c r="P549" s="4">
        <v>0</v>
      </c>
      <c r="Q549" s="4">
        <v>1563</v>
      </c>
      <c r="R549" s="4">
        <v>11</v>
      </c>
      <c r="S549" s="4">
        <v>1650.04</v>
      </c>
      <c r="T549" s="4">
        <v>13</v>
      </c>
      <c r="U549" s="4">
        <v>2847.03</v>
      </c>
      <c r="V549" s="4">
        <v>15</v>
      </c>
      <c r="W549" s="4">
        <v>3115</v>
      </c>
      <c r="X549" s="4">
        <v>14</v>
      </c>
      <c r="Y549" s="4">
        <v>1731.99</v>
      </c>
      <c r="Z549" s="4">
        <v>8</v>
      </c>
      <c r="AA549" s="4">
        <v>2166.9899999999998</v>
      </c>
      <c r="AB549" s="4">
        <v>3</v>
      </c>
      <c r="AC549" s="4">
        <v>0</v>
      </c>
      <c r="AD549" s="4">
        <v>0</v>
      </c>
      <c r="AE549" s="4">
        <v>2144.0500000000002</v>
      </c>
      <c r="AF549" s="4">
        <v>6</v>
      </c>
      <c r="AG549" s="4">
        <v>2170</v>
      </c>
      <c r="AH549" s="4">
        <v>8</v>
      </c>
      <c r="AI549" s="4">
        <v>2074</v>
      </c>
      <c r="AJ549" s="4">
        <v>9</v>
      </c>
      <c r="AK549" s="4">
        <v>3141</v>
      </c>
      <c r="AL549" s="4">
        <v>18</v>
      </c>
      <c r="AM549" s="4">
        <v>2940.01</v>
      </c>
      <c r="AN549" s="4">
        <v>19</v>
      </c>
      <c r="AO549" s="4">
        <v>399</v>
      </c>
      <c r="AP549" s="4">
        <v>3</v>
      </c>
      <c r="AQ549" s="4">
        <v>1050</v>
      </c>
      <c r="AR549" s="4">
        <v>6</v>
      </c>
      <c r="AS549" s="4">
        <v>915</v>
      </c>
      <c r="AT549" s="4">
        <v>5</v>
      </c>
      <c r="AU549" s="4">
        <v>390</v>
      </c>
      <c r="AV549" s="4">
        <v>3</v>
      </c>
      <c r="AW549" s="4">
        <v>0</v>
      </c>
      <c r="AX549" s="4">
        <v>0</v>
      </c>
      <c r="AY549" s="4">
        <v>2950.84</v>
      </c>
      <c r="AZ549" s="4">
        <v>9</v>
      </c>
      <c r="BA549" s="4">
        <v>1666.86</v>
      </c>
      <c r="BB549" s="4">
        <v>10</v>
      </c>
      <c r="BC549" s="4">
        <v>2912.91</v>
      </c>
      <c r="BD549" s="4">
        <v>7</v>
      </c>
      <c r="BE549" s="4">
        <v>919.08</v>
      </c>
      <c r="BF549" s="4">
        <v>5</v>
      </c>
      <c r="BQ549" s="3">
        <f t="shared" si="18"/>
        <v>45297.010000000009</v>
      </c>
      <c r="BR549" s="3">
        <f t="shared" si="17"/>
        <v>222</v>
      </c>
    </row>
    <row r="550" spans="1:70" x14ac:dyDescent="0.25">
      <c r="A550" s="4" t="s">
        <v>2674</v>
      </c>
      <c r="B550" t="s">
        <v>120</v>
      </c>
      <c r="C550" s="338" t="s">
        <v>2106</v>
      </c>
      <c r="D550" s="213" t="s">
        <v>1197</v>
      </c>
      <c r="E550" s="213" t="s">
        <v>142</v>
      </c>
      <c r="F550" s="213" t="s">
        <v>132</v>
      </c>
      <c r="G550" s="4">
        <v>361.01</v>
      </c>
      <c r="H550" s="4">
        <v>3</v>
      </c>
      <c r="I550" s="4">
        <v>1120.06</v>
      </c>
      <c r="J550" s="4">
        <v>7</v>
      </c>
      <c r="K550" s="4">
        <v>887.02</v>
      </c>
      <c r="L550" s="4">
        <v>6</v>
      </c>
      <c r="M550" s="4">
        <v>346.01</v>
      </c>
      <c r="N550" s="4">
        <v>2</v>
      </c>
      <c r="O550" s="4">
        <v>649.02</v>
      </c>
      <c r="P550" s="4">
        <v>4</v>
      </c>
      <c r="Q550" s="4">
        <v>0</v>
      </c>
      <c r="R550" s="4">
        <v>0</v>
      </c>
      <c r="S550" s="4">
        <v>150</v>
      </c>
      <c r="T550" s="4">
        <v>1</v>
      </c>
      <c r="U550" s="4">
        <v>315.02</v>
      </c>
      <c r="V550" s="4">
        <v>2</v>
      </c>
      <c r="W550" s="4">
        <v>450.01</v>
      </c>
      <c r="X550" s="4">
        <v>2</v>
      </c>
      <c r="Y550" s="4">
        <v>0</v>
      </c>
      <c r="Z550" s="4">
        <v>0</v>
      </c>
      <c r="AA550" s="4">
        <v>249</v>
      </c>
      <c r="AB550" s="4">
        <v>1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Q550" s="3">
        <f t="shared" si="18"/>
        <v>4527.1500000000005</v>
      </c>
      <c r="BR550" s="3">
        <f t="shared" si="17"/>
        <v>28</v>
      </c>
    </row>
    <row r="551" spans="1:70" x14ac:dyDescent="0.25">
      <c r="A551" s="4" t="s">
        <v>2675</v>
      </c>
      <c r="B551" t="s">
        <v>120</v>
      </c>
      <c r="C551" s="338" t="s">
        <v>2107</v>
      </c>
      <c r="D551" s="213" t="s">
        <v>1198</v>
      </c>
      <c r="E551" s="213" t="s">
        <v>142</v>
      </c>
      <c r="F551" s="213" t="s">
        <v>132</v>
      </c>
      <c r="G551" s="4">
        <v>96</v>
      </c>
      <c r="H551" s="4">
        <v>1</v>
      </c>
      <c r="I551" s="4">
        <v>0</v>
      </c>
      <c r="J551" s="4">
        <v>0</v>
      </c>
      <c r="K551" s="4">
        <v>603.02</v>
      </c>
      <c r="L551" s="4">
        <v>4</v>
      </c>
      <c r="M551" s="4">
        <v>569</v>
      </c>
      <c r="N551" s="4">
        <v>4</v>
      </c>
      <c r="O551" s="4">
        <v>1050.02</v>
      </c>
      <c r="P551" s="4">
        <v>4</v>
      </c>
      <c r="Q551" s="4">
        <v>96</v>
      </c>
      <c r="R551" s="4">
        <v>1</v>
      </c>
      <c r="S551" s="4">
        <v>449.01</v>
      </c>
      <c r="T551" s="4">
        <v>2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150</v>
      </c>
      <c r="AB551" s="4">
        <v>1</v>
      </c>
      <c r="AC551" s="4">
        <v>600</v>
      </c>
      <c r="AD551" s="4">
        <v>4</v>
      </c>
      <c r="AE551" s="4">
        <v>150</v>
      </c>
      <c r="AF551" s="4">
        <v>1</v>
      </c>
      <c r="AG551" s="4">
        <v>115</v>
      </c>
      <c r="AH551" s="4">
        <v>1</v>
      </c>
      <c r="AI551" s="4">
        <v>150</v>
      </c>
      <c r="AJ551" s="4">
        <v>3</v>
      </c>
      <c r="AK551" s="4">
        <v>0</v>
      </c>
      <c r="AL551" s="4">
        <v>0</v>
      </c>
      <c r="AM551" s="4">
        <v>150</v>
      </c>
      <c r="AN551" s="4">
        <v>1</v>
      </c>
      <c r="AO551" s="4">
        <v>443.99</v>
      </c>
      <c r="AP551" s="4">
        <v>1</v>
      </c>
      <c r="AQ551" s="4">
        <v>250</v>
      </c>
      <c r="AR551" s="4">
        <v>2</v>
      </c>
      <c r="AS551" s="4">
        <v>160</v>
      </c>
      <c r="AT551" s="4">
        <v>1</v>
      </c>
      <c r="AU551" s="4">
        <v>150</v>
      </c>
      <c r="AV551" s="4">
        <v>1</v>
      </c>
      <c r="AW551" s="4">
        <v>150</v>
      </c>
      <c r="AX551" s="4">
        <v>1</v>
      </c>
      <c r="AY551" s="4">
        <v>0</v>
      </c>
      <c r="AZ551" s="4">
        <v>0</v>
      </c>
      <c r="BA551" s="4">
        <v>175</v>
      </c>
      <c r="BB551" s="4">
        <v>1</v>
      </c>
      <c r="BC551" s="4">
        <v>509.96</v>
      </c>
      <c r="BD551" s="4">
        <v>2</v>
      </c>
      <c r="BE551" s="4">
        <v>361.02</v>
      </c>
      <c r="BF551" s="4">
        <v>2</v>
      </c>
      <c r="BQ551" s="3">
        <f t="shared" si="18"/>
        <v>6378.02</v>
      </c>
      <c r="BR551" s="3">
        <f t="shared" si="17"/>
        <v>38</v>
      </c>
    </row>
    <row r="552" spans="1:70" x14ac:dyDescent="0.25">
      <c r="A552" s="4" t="s">
        <v>2676</v>
      </c>
      <c r="B552" t="s">
        <v>120</v>
      </c>
      <c r="C552" s="338" t="s">
        <v>2108</v>
      </c>
      <c r="D552" s="213" t="s">
        <v>1199</v>
      </c>
      <c r="E552" s="213" t="s">
        <v>142</v>
      </c>
      <c r="F552" s="213" t="s">
        <v>132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300</v>
      </c>
      <c r="AD552" s="4">
        <v>2</v>
      </c>
      <c r="AE552" s="4">
        <v>0</v>
      </c>
      <c r="AF552" s="4">
        <v>0</v>
      </c>
      <c r="AG552" s="4">
        <v>450</v>
      </c>
      <c r="AH552" s="4">
        <v>1</v>
      </c>
      <c r="AI552" s="4">
        <v>825</v>
      </c>
      <c r="AJ552" s="4">
        <v>1</v>
      </c>
      <c r="AK552" s="4">
        <v>450</v>
      </c>
      <c r="AL552" s="4">
        <v>1</v>
      </c>
      <c r="AM552" s="4">
        <v>100</v>
      </c>
      <c r="AN552" s="4">
        <v>1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70</v>
      </c>
      <c r="AV552" s="4">
        <v>1</v>
      </c>
      <c r="AW552" s="4">
        <v>449.01</v>
      </c>
      <c r="AX552" s="4">
        <v>2</v>
      </c>
      <c r="AY552" s="4">
        <v>596.96</v>
      </c>
      <c r="AZ552" s="4">
        <v>3</v>
      </c>
      <c r="BA552" s="4">
        <v>0</v>
      </c>
      <c r="BB552" s="4">
        <v>0</v>
      </c>
      <c r="BC552" s="4">
        <v>421.96</v>
      </c>
      <c r="BD552" s="4">
        <v>2</v>
      </c>
      <c r="BE552" s="4">
        <v>0</v>
      </c>
      <c r="BF552" s="4">
        <v>0</v>
      </c>
      <c r="BQ552" s="3">
        <f t="shared" si="18"/>
        <v>3662.9300000000003</v>
      </c>
      <c r="BR552" s="3">
        <f t="shared" si="17"/>
        <v>14</v>
      </c>
    </row>
    <row r="553" spans="1:70" x14ac:dyDescent="0.25">
      <c r="A553" s="4" t="s">
        <v>2677</v>
      </c>
      <c r="B553" t="s">
        <v>120</v>
      </c>
      <c r="C553" s="338" t="s">
        <v>2109</v>
      </c>
      <c r="D553" s="213" t="s">
        <v>1200</v>
      </c>
      <c r="E553" s="213" t="s">
        <v>142</v>
      </c>
      <c r="F553" s="213" t="s">
        <v>132</v>
      </c>
      <c r="G553" s="4">
        <v>292.01</v>
      </c>
      <c r="H553" s="4">
        <v>2</v>
      </c>
      <c r="I553" s="4">
        <v>879.02</v>
      </c>
      <c r="J553" s="4">
        <v>5</v>
      </c>
      <c r="K553" s="4">
        <v>1762.06</v>
      </c>
      <c r="L553" s="4">
        <v>3</v>
      </c>
      <c r="M553" s="4">
        <v>222</v>
      </c>
      <c r="N553" s="4">
        <v>1</v>
      </c>
      <c r="O553" s="4">
        <v>0</v>
      </c>
      <c r="P553" s="4">
        <v>0</v>
      </c>
      <c r="Q553" s="4">
        <v>150</v>
      </c>
      <c r="R553" s="4">
        <v>1</v>
      </c>
      <c r="S553" s="4">
        <v>150</v>
      </c>
      <c r="T553" s="4">
        <v>1</v>
      </c>
      <c r="U553" s="4">
        <v>701.02</v>
      </c>
      <c r="V553" s="4">
        <v>3</v>
      </c>
      <c r="W553" s="4">
        <v>1153.02</v>
      </c>
      <c r="X553" s="4">
        <v>4</v>
      </c>
      <c r="Y553" s="4">
        <v>150.02000000000001</v>
      </c>
      <c r="Z553" s="4">
        <v>1</v>
      </c>
      <c r="AA553" s="4">
        <v>697</v>
      </c>
      <c r="AB553" s="4">
        <v>2</v>
      </c>
      <c r="AC553" s="4">
        <v>150</v>
      </c>
      <c r="AD553" s="4">
        <v>1</v>
      </c>
      <c r="AE553" s="4">
        <v>121</v>
      </c>
      <c r="AF553" s="4">
        <v>2</v>
      </c>
      <c r="AG553" s="4">
        <v>0</v>
      </c>
      <c r="AH553" s="4">
        <v>0</v>
      </c>
      <c r="AI553" s="4">
        <v>300</v>
      </c>
      <c r="AJ553" s="4">
        <v>2</v>
      </c>
      <c r="AK553" s="4">
        <v>649.01</v>
      </c>
      <c r="AL553" s="4">
        <v>3</v>
      </c>
      <c r="AM553" s="4">
        <v>649.99</v>
      </c>
      <c r="AN553" s="4">
        <v>3</v>
      </c>
      <c r="AO553" s="4">
        <v>0</v>
      </c>
      <c r="AP553" s="4">
        <v>0</v>
      </c>
      <c r="AQ553" s="4">
        <v>300</v>
      </c>
      <c r="AR553" s="4">
        <v>2</v>
      </c>
      <c r="AS553" s="4">
        <v>0</v>
      </c>
      <c r="AT553" s="4">
        <v>0</v>
      </c>
      <c r="AU553" s="4">
        <v>0</v>
      </c>
      <c r="AV553" s="4">
        <v>0</v>
      </c>
      <c r="AW553" s="4">
        <v>150</v>
      </c>
      <c r="AX553" s="4">
        <v>1</v>
      </c>
      <c r="AY553" s="4">
        <v>70</v>
      </c>
      <c r="AZ553" s="4">
        <v>1</v>
      </c>
      <c r="BA553" s="4">
        <v>210.98</v>
      </c>
      <c r="BB553" s="4">
        <v>1</v>
      </c>
      <c r="BC553" s="4">
        <v>843.92</v>
      </c>
      <c r="BD553" s="4">
        <v>2</v>
      </c>
      <c r="BE553" s="4">
        <v>211.02</v>
      </c>
      <c r="BF553" s="4">
        <v>1</v>
      </c>
      <c r="BQ553" s="3">
        <f t="shared" si="18"/>
        <v>9812.0700000000015</v>
      </c>
      <c r="BR553" s="3">
        <f t="shared" si="17"/>
        <v>42</v>
      </c>
    </row>
    <row r="554" spans="1:70" x14ac:dyDescent="0.25">
      <c r="A554" s="4" t="s">
        <v>2678</v>
      </c>
      <c r="B554" t="s">
        <v>121</v>
      </c>
      <c r="C554" s="338" t="s">
        <v>2110</v>
      </c>
      <c r="D554" s="213" t="s">
        <v>1201</v>
      </c>
      <c r="E554" s="213" t="s">
        <v>140</v>
      </c>
      <c r="F554" s="213" t="s">
        <v>131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71</v>
      </c>
      <c r="AB554" s="4">
        <v>1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600.01</v>
      </c>
      <c r="AP554" s="4">
        <v>3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-111.01</v>
      </c>
      <c r="AZ554" s="4">
        <v>1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Q554" s="3">
        <f t="shared" si="18"/>
        <v>560</v>
      </c>
      <c r="BR554" s="3">
        <f t="shared" si="17"/>
        <v>5</v>
      </c>
    </row>
    <row r="555" spans="1:70" x14ac:dyDescent="0.25">
      <c r="A555" s="4" t="s">
        <v>2679</v>
      </c>
      <c r="B555" t="s">
        <v>121</v>
      </c>
      <c r="C555" s="338" t="s">
        <v>2111</v>
      </c>
      <c r="D555" s="213" t="s">
        <v>1202</v>
      </c>
      <c r="E555" s="213" t="s">
        <v>140</v>
      </c>
      <c r="F555" s="213" t="s">
        <v>131</v>
      </c>
      <c r="G555" s="4">
        <v>868.03</v>
      </c>
      <c r="H555" s="4">
        <v>8</v>
      </c>
      <c r="I555" s="4">
        <v>0</v>
      </c>
      <c r="J555" s="4">
        <v>0</v>
      </c>
      <c r="K555" s="4">
        <v>1465.02</v>
      </c>
      <c r="L555" s="4">
        <v>11</v>
      </c>
      <c r="M555" s="4">
        <v>1676.02</v>
      </c>
      <c r="N555" s="4">
        <v>14</v>
      </c>
      <c r="O555" s="4">
        <v>871.04</v>
      </c>
      <c r="P555" s="4">
        <v>6</v>
      </c>
      <c r="Q555" s="4">
        <v>928.04</v>
      </c>
      <c r="R555" s="4">
        <v>8</v>
      </c>
      <c r="S555" s="4">
        <v>700</v>
      </c>
      <c r="T555" s="4">
        <v>3</v>
      </c>
      <c r="U555" s="4">
        <v>350</v>
      </c>
      <c r="V555" s="4">
        <v>3</v>
      </c>
      <c r="W555" s="4">
        <v>0</v>
      </c>
      <c r="X555" s="4">
        <v>0</v>
      </c>
      <c r="Y555" s="4">
        <v>1382.99</v>
      </c>
      <c r="Z555" s="4">
        <v>11</v>
      </c>
      <c r="AA555" s="4">
        <v>565</v>
      </c>
      <c r="AB555" s="4">
        <v>6</v>
      </c>
      <c r="AC555" s="4">
        <v>225</v>
      </c>
      <c r="AD555" s="4">
        <v>2</v>
      </c>
      <c r="AE555" s="4">
        <v>400</v>
      </c>
      <c r="AF555" s="4">
        <v>5</v>
      </c>
      <c r="AG555" s="4">
        <v>937</v>
      </c>
      <c r="AH555" s="4">
        <v>4</v>
      </c>
      <c r="AI555" s="4">
        <v>0</v>
      </c>
      <c r="AJ555" s="4">
        <v>0</v>
      </c>
      <c r="AK555" s="4">
        <v>0</v>
      </c>
      <c r="AL555" s="4">
        <v>0</v>
      </c>
      <c r="AM555" s="4">
        <v>649.01</v>
      </c>
      <c r="AN555" s="4">
        <v>6</v>
      </c>
      <c r="AO555" s="4">
        <v>1350.03</v>
      </c>
      <c r="AP555" s="4">
        <v>8</v>
      </c>
      <c r="AQ555" s="4">
        <v>504.01</v>
      </c>
      <c r="AR555" s="4">
        <v>4</v>
      </c>
      <c r="AS555" s="4">
        <v>600.02</v>
      </c>
      <c r="AT555" s="4">
        <v>4</v>
      </c>
      <c r="AU555" s="4">
        <v>375</v>
      </c>
      <c r="AV555" s="4">
        <v>3</v>
      </c>
      <c r="AW555" s="4">
        <v>415</v>
      </c>
      <c r="AX555" s="4">
        <v>3</v>
      </c>
      <c r="AY555" s="4">
        <v>0</v>
      </c>
      <c r="AZ555" s="4">
        <v>0</v>
      </c>
      <c r="BA555" s="4">
        <v>607.97</v>
      </c>
      <c r="BB555" s="4">
        <v>4</v>
      </c>
      <c r="BC555" s="4">
        <v>124</v>
      </c>
      <c r="BD555" s="4">
        <v>2</v>
      </c>
      <c r="BE555" s="4">
        <v>969.07</v>
      </c>
      <c r="BF555" s="4">
        <v>7</v>
      </c>
      <c r="BQ555" s="3">
        <f t="shared" si="18"/>
        <v>15962.250000000002</v>
      </c>
      <c r="BR555" s="3">
        <f t="shared" si="17"/>
        <v>122</v>
      </c>
    </row>
    <row r="556" spans="1:70" x14ac:dyDescent="0.25">
      <c r="A556" s="4" t="s">
        <v>2680</v>
      </c>
      <c r="B556" t="s">
        <v>121</v>
      </c>
      <c r="C556" s="338" t="s">
        <v>2112</v>
      </c>
      <c r="D556" s="213" t="s">
        <v>1203</v>
      </c>
      <c r="E556" s="213" t="s">
        <v>140</v>
      </c>
      <c r="F556" s="213" t="s">
        <v>131</v>
      </c>
      <c r="G556" s="4">
        <v>3191.09</v>
      </c>
      <c r="H556" s="4">
        <v>26</v>
      </c>
      <c r="I556" s="4">
        <v>6243.13</v>
      </c>
      <c r="J556" s="4">
        <v>48</v>
      </c>
      <c r="K556" s="4">
        <v>2604.06</v>
      </c>
      <c r="L556" s="4">
        <v>19</v>
      </c>
      <c r="M556" s="4">
        <v>1998.05</v>
      </c>
      <c r="N556" s="4">
        <v>17</v>
      </c>
      <c r="O556" s="4">
        <v>2457.08</v>
      </c>
      <c r="P556" s="4">
        <v>22</v>
      </c>
      <c r="Q556" s="4">
        <v>1380.01</v>
      </c>
      <c r="R556" s="4">
        <v>17</v>
      </c>
      <c r="S556" s="4">
        <v>1944.03</v>
      </c>
      <c r="T556" s="4">
        <v>17</v>
      </c>
      <c r="U556" s="4">
        <v>3269.02</v>
      </c>
      <c r="V556" s="4">
        <v>25</v>
      </c>
      <c r="W556" s="4">
        <v>1967.03</v>
      </c>
      <c r="X556" s="4">
        <v>16</v>
      </c>
      <c r="Y556" s="4">
        <v>415</v>
      </c>
      <c r="Z556" s="4">
        <v>4</v>
      </c>
      <c r="AA556" s="4">
        <v>0</v>
      </c>
      <c r="AB556" s="4">
        <v>0</v>
      </c>
      <c r="AC556" s="4">
        <v>2126.98</v>
      </c>
      <c r="AD556" s="4">
        <v>18</v>
      </c>
      <c r="AE556" s="4">
        <v>1849.05</v>
      </c>
      <c r="AF556" s="4">
        <v>14</v>
      </c>
      <c r="AG556" s="4">
        <v>876</v>
      </c>
      <c r="AH556" s="4">
        <v>9</v>
      </c>
      <c r="AI556" s="4">
        <v>2870.01</v>
      </c>
      <c r="AJ556" s="4">
        <v>21</v>
      </c>
      <c r="AK556" s="4">
        <v>2667.01</v>
      </c>
      <c r="AL556" s="4">
        <v>24</v>
      </c>
      <c r="AM556" s="4">
        <v>1477.01</v>
      </c>
      <c r="AN556" s="4">
        <v>11</v>
      </c>
      <c r="AO556" s="4">
        <v>300</v>
      </c>
      <c r="AP556" s="4">
        <v>2</v>
      </c>
      <c r="AQ556" s="4">
        <v>860.01</v>
      </c>
      <c r="AR556" s="4">
        <v>7</v>
      </c>
      <c r="AS556" s="4">
        <v>1231.99</v>
      </c>
      <c r="AT556" s="4">
        <v>11</v>
      </c>
      <c r="AU556" s="4">
        <v>1100.01</v>
      </c>
      <c r="AV556" s="4">
        <v>9</v>
      </c>
      <c r="AW556" s="4">
        <v>1738.99</v>
      </c>
      <c r="AX556" s="4">
        <v>16</v>
      </c>
      <c r="AY556" s="4">
        <v>5609.94</v>
      </c>
      <c r="AZ556" s="4">
        <v>21</v>
      </c>
      <c r="BA556" s="4">
        <v>2329.9299999999998</v>
      </c>
      <c r="BB556" s="4">
        <v>16</v>
      </c>
      <c r="BC556" s="4">
        <v>2242.89</v>
      </c>
      <c r="BD556" s="4">
        <v>12</v>
      </c>
      <c r="BE556" s="4">
        <v>1898.06</v>
      </c>
      <c r="BF556" s="4">
        <v>17</v>
      </c>
      <c r="BQ556" s="3">
        <f t="shared" si="18"/>
        <v>54646.38</v>
      </c>
      <c r="BR556" s="3">
        <f t="shared" si="17"/>
        <v>419</v>
      </c>
    </row>
    <row r="557" spans="1:70" x14ac:dyDescent="0.25">
      <c r="A557" s="4" t="s">
        <v>2681</v>
      </c>
      <c r="B557" t="s">
        <v>122</v>
      </c>
      <c r="C557" s="338" t="s">
        <v>2113</v>
      </c>
      <c r="D557" s="213" t="s">
        <v>1204</v>
      </c>
      <c r="E557" s="213" t="s">
        <v>153</v>
      </c>
      <c r="F557" s="213" t="s">
        <v>127</v>
      </c>
      <c r="G557" s="4">
        <v>1169.03</v>
      </c>
      <c r="H557" s="4">
        <v>8</v>
      </c>
      <c r="I557" s="4">
        <v>900</v>
      </c>
      <c r="J557" s="4">
        <v>8</v>
      </c>
      <c r="K557" s="4">
        <v>1080.01</v>
      </c>
      <c r="L557" s="4">
        <v>9</v>
      </c>
      <c r="M557" s="4">
        <v>0</v>
      </c>
      <c r="N557" s="4">
        <v>0</v>
      </c>
      <c r="O557" s="4">
        <v>1099.05</v>
      </c>
      <c r="P557" s="4">
        <v>9</v>
      </c>
      <c r="Q557" s="4">
        <v>238</v>
      </c>
      <c r="R557" s="4">
        <v>2</v>
      </c>
      <c r="S557" s="4">
        <v>0</v>
      </c>
      <c r="T557" s="4">
        <v>0</v>
      </c>
      <c r="U557" s="4">
        <v>75</v>
      </c>
      <c r="V557" s="4">
        <v>1</v>
      </c>
      <c r="W557" s="4">
        <v>150</v>
      </c>
      <c r="X557" s="4">
        <v>1</v>
      </c>
      <c r="Y557" s="4">
        <v>300.01</v>
      </c>
      <c r="Z557" s="4">
        <v>2</v>
      </c>
      <c r="AA557" s="4">
        <v>560.01</v>
      </c>
      <c r="AB557" s="4">
        <v>3</v>
      </c>
      <c r="AC557" s="4">
        <v>545</v>
      </c>
      <c r="AD557" s="4">
        <v>4</v>
      </c>
      <c r="AE557" s="4">
        <v>0</v>
      </c>
      <c r="AF557" s="4">
        <v>0</v>
      </c>
      <c r="AG557" s="4">
        <v>415</v>
      </c>
      <c r="AH557" s="4">
        <v>3</v>
      </c>
      <c r="AI557" s="4">
        <v>1181</v>
      </c>
      <c r="AJ557" s="4">
        <v>7</v>
      </c>
      <c r="AK557" s="4">
        <v>1322.01</v>
      </c>
      <c r="AL557" s="4">
        <v>7</v>
      </c>
      <c r="AM557" s="4">
        <v>1665.02</v>
      </c>
      <c r="AN557" s="4">
        <v>6</v>
      </c>
      <c r="AO557" s="4">
        <v>646</v>
      </c>
      <c r="AP557" s="4">
        <v>5</v>
      </c>
      <c r="AQ557" s="4">
        <v>796.01</v>
      </c>
      <c r="AR557" s="4">
        <v>6</v>
      </c>
      <c r="AS557" s="4">
        <v>300</v>
      </c>
      <c r="AT557" s="4">
        <v>1</v>
      </c>
      <c r="AU557" s="4">
        <v>0</v>
      </c>
      <c r="AV557" s="4">
        <v>0</v>
      </c>
      <c r="AW557" s="4">
        <v>360.98</v>
      </c>
      <c r="AX557" s="4">
        <v>1</v>
      </c>
      <c r="AY557" s="4">
        <v>753.96</v>
      </c>
      <c r="AZ557" s="4">
        <v>3</v>
      </c>
      <c r="BA557" s="4">
        <v>610</v>
      </c>
      <c r="BB557" s="4">
        <v>4</v>
      </c>
      <c r="BC557" s="4">
        <v>0</v>
      </c>
      <c r="BD557" s="4">
        <v>0</v>
      </c>
      <c r="BE557" s="4">
        <v>712.04</v>
      </c>
      <c r="BF557" s="4">
        <v>2</v>
      </c>
      <c r="BQ557" s="3">
        <f t="shared" si="18"/>
        <v>14878.130000000001</v>
      </c>
      <c r="BR557" s="3">
        <f t="shared" si="17"/>
        <v>92</v>
      </c>
    </row>
    <row r="558" spans="1:70" x14ac:dyDescent="0.25">
      <c r="A558" s="4" t="s">
        <v>2682</v>
      </c>
      <c r="B558" t="s">
        <v>122</v>
      </c>
      <c r="C558" s="338" t="s">
        <v>1838</v>
      </c>
      <c r="D558" s="213" t="s">
        <v>929</v>
      </c>
      <c r="E558" s="213" t="s">
        <v>153</v>
      </c>
      <c r="F558" s="213" t="s">
        <v>127</v>
      </c>
      <c r="G558" s="4">
        <v>1260.04</v>
      </c>
      <c r="H558" s="4">
        <v>9</v>
      </c>
      <c r="I558" s="4">
        <v>1875.02</v>
      </c>
      <c r="J558" s="4">
        <v>12</v>
      </c>
      <c r="K558" s="4">
        <v>2039.04</v>
      </c>
      <c r="L558" s="4">
        <v>12</v>
      </c>
      <c r="M558" s="4">
        <v>1196.02</v>
      </c>
      <c r="N558" s="4">
        <v>9</v>
      </c>
      <c r="O558" s="4">
        <v>0</v>
      </c>
      <c r="P558" s="4">
        <v>0</v>
      </c>
      <c r="Q558" s="4">
        <v>0</v>
      </c>
      <c r="R558" s="4">
        <v>0</v>
      </c>
      <c r="S558" s="4">
        <v>724</v>
      </c>
      <c r="T558" s="4">
        <v>4</v>
      </c>
      <c r="U558" s="4">
        <v>277</v>
      </c>
      <c r="V558" s="4">
        <v>2</v>
      </c>
      <c r="W558" s="4">
        <v>150.01</v>
      </c>
      <c r="X558" s="4">
        <v>1</v>
      </c>
      <c r="Y558" s="4">
        <v>574</v>
      </c>
      <c r="Z558" s="4">
        <v>4</v>
      </c>
      <c r="AA558" s="4">
        <v>935.02</v>
      </c>
      <c r="AB558" s="4">
        <v>6</v>
      </c>
      <c r="AC558" s="4">
        <v>0</v>
      </c>
      <c r="AD558" s="4">
        <v>0</v>
      </c>
      <c r="AE558" s="4">
        <v>300.01</v>
      </c>
      <c r="AF558" s="4">
        <v>2</v>
      </c>
      <c r="AG558" s="4">
        <v>203</v>
      </c>
      <c r="AH558" s="4">
        <v>2</v>
      </c>
      <c r="AI558" s="4">
        <v>0</v>
      </c>
      <c r="AJ558" s="4">
        <v>0</v>
      </c>
      <c r="AK558" s="4">
        <v>672.01</v>
      </c>
      <c r="AL558" s="4">
        <v>4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Q558" s="3">
        <f t="shared" si="18"/>
        <v>10205.170000000002</v>
      </c>
      <c r="BR558" s="3">
        <f t="shared" si="17"/>
        <v>67</v>
      </c>
    </row>
    <row r="559" spans="1:70" x14ac:dyDescent="0.25">
      <c r="A559" s="4" t="s">
        <v>2683</v>
      </c>
      <c r="B559" t="s">
        <v>122</v>
      </c>
      <c r="C559" s="338" t="s">
        <v>2114</v>
      </c>
      <c r="D559" s="213" t="s">
        <v>1205</v>
      </c>
      <c r="E559" s="213" t="s">
        <v>153</v>
      </c>
      <c r="F559" s="213" t="s">
        <v>127</v>
      </c>
      <c r="G559" s="4">
        <v>342.02</v>
      </c>
      <c r="H559" s="4">
        <v>3</v>
      </c>
      <c r="I559" s="4">
        <v>0</v>
      </c>
      <c r="J559" s="4">
        <v>0</v>
      </c>
      <c r="K559" s="4">
        <v>0</v>
      </c>
      <c r="L559" s="4">
        <v>0</v>
      </c>
      <c r="M559" s="4">
        <v>1277.03</v>
      </c>
      <c r="N559" s="4">
        <v>7</v>
      </c>
      <c r="O559" s="4">
        <v>0</v>
      </c>
      <c r="P559" s="4">
        <v>0</v>
      </c>
      <c r="Q559" s="4">
        <v>877.03</v>
      </c>
      <c r="R559" s="4">
        <v>6</v>
      </c>
      <c r="S559" s="4">
        <v>659</v>
      </c>
      <c r="T559" s="4">
        <v>3</v>
      </c>
      <c r="U559" s="4">
        <v>1034.02</v>
      </c>
      <c r="V559" s="4">
        <v>4</v>
      </c>
      <c r="W559" s="4">
        <v>2420</v>
      </c>
      <c r="X559" s="4">
        <v>11</v>
      </c>
      <c r="Y559" s="4">
        <v>0</v>
      </c>
      <c r="Z559" s="4">
        <v>0</v>
      </c>
      <c r="AA559" s="4">
        <v>0</v>
      </c>
      <c r="AB559" s="4">
        <v>0</v>
      </c>
      <c r="AC559" s="4">
        <v>644.99</v>
      </c>
      <c r="AD559" s="4">
        <v>5</v>
      </c>
      <c r="AE559" s="4">
        <v>590</v>
      </c>
      <c r="AF559" s="4">
        <v>3</v>
      </c>
      <c r="AG559" s="4">
        <v>0</v>
      </c>
      <c r="AH559" s="4">
        <v>0</v>
      </c>
      <c r="AI559" s="4">
        <v>300</v>
      </c>
      <c r="AJ559" s="4">
        <v>2</v>
      </c>
      <c r="AK559" s="4">
        <v>0</v>
      </c>
      <c r="AL559" s="4">
        <v>0</v>
      </c>
      <c r="AM559" s="4">
        <v>215</v>
      </c>
      <c r="AN559" s="4">
        <v>1</v>
      </c>
      <c r="AO559" s="4">
        <v>0</v>
      </c>
      <c r="AP559" s="4">
        <v>0</v>
      </c>
      <c r="AQ559" s="4">
        <v>150</v>
      </c>
      <c r="AR559" s="4">
        <v>1</v>
      </c>
      <c r="AS559" s="4">
        <v>649.01</v>
      </c>
      <c r="AT559" s="4">
        <v>3</v>
      </c>
      <c r="AU559" s="4">
        <v>185</v>
      </c>
      <c r="AV559" s="4">
        <v>1</v>
      </c>
      <c r="AW559" s="4">
        <v>615.01</v>
      </c>
      <c r="AX559" s="4">
        <v>3</v>
      </c>
      <c r="AY559" s="4">
        <v>0</v>
      </c>
      <c r="AZ559" s="4">
        <v>0</v>
      </c>
      <c r="BA559" s="4">
        <v>772</v>
      </c>
      <c r="BB559" s="4">
        <v>3</v>
      </c>
      <c r="BC559" s="4">
        <v>354</v>
      </c>
      <c r="BD559" s="4">
        <v>2</v>
      </c>
      <c r="BE559" s="4">
        <v>797.05</v>
      </c>
      <c r="BF559" s="4">
        <v>5</v>
      </c>
      <c r="BQ559" s="3">
        <f t="shared" si="18"/>
        <v>11881.16</v>
      </c>
      <c r="BR559" s="3">
        <f t="shared" si="17"/>
        <v>63</v>
      </c>
    </row>
    <row r="560" spans="1:70" x14ac:dyDescent="0.25">
      <c r="A560" s="4" t="s">
        <v>2684</v>
      </c>
      <c r="B560" t="s">
        <v>122</v>
      </c>
      <c r="C560" s="338" t="s">
        <v>2115</v>
      </c>
      <c r="D560" s="213" t="s">
        <v>1206</v>
      </c>
      <c r="E560" s="213" t="s">
        <v>153</v>
      </c>
      <c r="F560" s="213" t="s">
        <v>127</v>
      </c>
      <c r="G560" s="4">
        <v>1433.02</v>
      </c>
      <c r="H560" s="4">
        <v>8</v>
      </c>
      <c r="I560" s="4">
        <v>0</v>
      </c>
      <c r="J560" s="4">
        <v>0</v>
      </c>
      <c r="K560" s="4">
        <v>1270.03</v>
      </c>
      <c r="L560" s="4">
        <v>6</v>
      </c>
      <c r="M560" s="4">
        <v>493</v>
      </c>
      <c r="N560" s="4">
        <v>3</v>
      </c>
      <c r="O560" s="4">
        <v>579.01</v>
      </c>
      <c r="P560" s="4">
        <v>3</v>
      </c>
      <c r="Q560" s="4">
        <v>689</v>
      </c>
      <c r="R560" s="4">
        <v>3</v>
      </c>
      <c r="S560" s="4">
        <v>319.02</v>
      </c>
      <c r="T560" s="4">
        <v>2</v>
      </c>
      <c r="U560" s="4">
        <v>504</v>
      </c>
      <c r="V560" s="4">
        <v>4</v>
      </c>
      <c r="W560" s="4">
        <v>0</v>
      </c>
      <c r="X560" s="4">
        <v>0</v>
      </c>
      <c r="Y560" s="4">
        <v>499.02</v>
      </c>
      <c r="Z560" s="4">
        <v>4</v>
      </c>
      <c r="AA560" s="4">
        <v>597</v>
      </c>
      <c r="AB560" s="4">
        <v>3</v>
      </c>
      <c r="AC560" s="4">
        <v>700.04</v>
      </c>
      <c r="AD560" s="4">
        <v>3</v>
      </c>
      <c r="AE560" s="4">
        <v>315.02</v>
      </c>
      <c r="AF560" s="4">
        <v>2</v>
      </c>
      <c r="AG560" s="4">
        <v>525.02</v>
      </c>
      <c r="AH560" s="4">
        <v>3</v>
      </c>
      <c r="AI560" s="4">
        <v>1273</v>
      </c>
      <c r="AJ560" s="4">
        <v>6</v>
      </c>
      <c r="AK560" s="4">
        <v>0</v>
      </c>
      <c r="AL560" s="4">
        <v>0</v>
      </c>
      <c r="AM560" s="4">
        <v>703</v>
      </c>
      <c r="AN560" s="4">
        <v>4</v>
      </c>
      <c r="AO560" s="4">
        <v>897.03</v>
      </c>
      <c r="AP560" s="4">
        <v>5</v>
      </c>
      <c r="AQ560" s="4">
        <v>0</v>
      </c>
      <c r="AR560" s="4">
        <v>0</v>
      </c>
      <c r="AS560" s="4">
        <v>396</v>
      </c>
      <c r="AT560" s="4">
        <v>2</v>
      </c>
      <c r="AU560" s="4">
        <v>1443.01</v>
      </c>
      <c r="AV560" s="4">
        <v>7</v>
      </c>
      <c r="AW560" s="4">
        <v>400</v>
      </c>
      <c r="AX560" s="4">
        <v>2</v>
      </c>
      <c r="AY560" s="4">
        <v>1074.92</v>
      </c>
      <c r="AZ560" s="4">
        <v>6</v>
      </c>
      <c r="BA560" s="4">
        <v>435.98</v>
      </c>
      <c r="BB560" s="4">
        <v>2</v>
      </c>
      <c r="BC560" s="4">
        <v>571.97</v>
      </c>
      <c r="BD560" s="4">
        <v>2</v>
      </c>
      <c r="BE560" s="4">
        <v>211.02</v>
      </c>
      <c r="BF560" s="4">
        <v>1</v>
      </c>
      <c r="BQ560" s="3">
        <f t="shared" si="18"/>
        <v>15329.11</v>
      </c>
      <c r="BR560" s="3">
        <f t="shared" si="17"/>
        <v>81</v>
      </c>
    </row>
    <row r="561" spans="1:70" x14ac:dyDescent="0.25">
      <c r="A561" s="4" t="s">
        <v>2685</v>
      </c>
      <c r="B561" t="s">
        <v>123</v>
      </c>
      <c r="C561" s="338" t="s">
        <v>2116</v>
      </c>
      <c r="D561" s="213" t="s">
        <v>1207</v>
      </c>
      <c r="E561" s="213" t="s">
        <v>138</v>
      </c>
      <c r="F561" s="213" t="s">
        <v>128</v>
      </c>
      <c r="G561" s="4">
        <v>2952.1</v>
      </c>
      <c r="H561" s="4">
        <v>21</v>
      </c>
      <c r="I561" s="4">
        <v>3494.05</v>
      </c>
      <c r="J561" s="4">
        <v>21</v>
      </c>
      <c r="K561" s="4">
        <v>4338.08</v>
      </c>
      <c r="L561" s="4">
        <v>31</v>
      </c>
      <c r="M561" s="4">
        <v>0</v>
      </c>
      <c r="N561" s="4">
        <v>0</v>
      </c>
      <c r="O561" s="4">
        <v>2959.06</v>
      </c>
      <c r="P561" s="4">
        <v>17</v>
      </c>
      <c r="Q561" s="4">
        <v>1651.06</v>
      </c>
      <c r="R561" s="4">
        <v>13</v>
      </c>
      <c r="S561" s="4">
        <v>1800.04</v>
      </c>
      <c r="T561" s="4">
        <v>8</v>
      </c>
      <c r="U561" s="4">
        <v>129.01</v>
      </c>
      <c r="V561" s="4">
        <v>1</v>
      </c>
      <c r="W561" s="4">
        <v>803.03</v>
      </c>
      <c r="X561" s="4">
        <v>6</v>
      </c>
      <c r="Y561" s="4">
        <v>0</v>
      </c>
      <c r="Z561" s="4">
        <v>0</v>
      </c>
      <c r="AA561" s="4">
        <v>0</v>
      </c>
      <c r="AB561" s="4">
        <v>0</v>
      </c>
      <c r="AC561" s="4">
        <v>600.02</v>
      </c>
      <c r="AD561" s="4">
        <v>2</v>
      </c>
      <c r="AE561" s="4">
        <v>809</v>
      </c>
      <c r="AF561" s="4">
        <v>5</v>
      </c>
      <c r="AG561" s="4">
        <v>765</v>
      </c>
      <c r="AH561" s="4">
        <v>5</v>
      </c>
      <c r="AI561" s="4">
        <v>773.99</v>
      </c>
      <c r="AJ561" s="4">
        <v>4</v>
      </c>
      <c r="AK561" s="4">
        <v>0</v>
      </c>
      <c r="AL561" s="4">
        <v>0</v>
      </c>
      <c r="AM561" s="4">
        <v>2617.02</v>
      </c>
      <c r="AN561" s="4">
        <v>15</v>
      </c>
      <c r="AO561" s="4">
        <v>279.01</v>
      </c>
      <c r="AP561" s="4">
        <v>2</v>
      </c>
      <c r="AQ561" s="4">
        <v>0</v>
      </c>
      <c r="AR561" s="4">
        <v>0</v>
      </c>
      <c r="AS561" s="4">
        <v>708.01</v>
      </c>
      <c r="AT561" s="4">
        <v>4</v>
      </c>
      <c r="AU561" s="4">
        <v>150</v>
      </c>
      <c r="AV561" s="4">
        <v>1</v>
      </c>
      <c r="AW561" s="4">
        <v>1651.89</v>
      </c>
      <c r="AX561" s="4">
        <v>8</v>
      </c>
      <c r="AY561" s="4">
        <v>2293.8200000000002</v>
      </c>
      <c r="AZ561" s="4">
        <v>12</v>
      </c>
      <c r="BA561" s="4">
        <v>0</v>
      </c>
      <c r="BB561" s="4">
        <v>0</v>
      </c>
      <c r="BC561" s="4">
        <v>75</v>
      </c>
      <c r="BD561" s="4">
        <v>1</v>
      </c>
      <c r="BE561" s="4">
        <v>1946.12</v>
      </c>
      <c r="BF561" s="4">
        <v>11</v>
      </c>
      <c r="BQ561" s="3">
        <f t="shared" si="18"/>
        <v>30795.309999999994</v>
      </c>
      <c r="BR561" s="3">
        <f t="shared" si="17"/>
        <v>188</v>
      </c>
    </row>
    <row r="562" spans="1:70" x14ac:dyDescent="0.25">
      <c r="A562" s="4" t="s">
        <v>2686</v>
      </c>
      <c r="B562" t="s">
        <v>123</v>
      </c>
      <c r="C562" s="338" t="s">
        <v>2117</v>
      </c>
      <c r="D562" s="213" t="s">
        <v>1208</v>
      </c>
      <c r="E562" s="213" t="s">
        <v>138</v>
      </c>
      <c r="F562" s="213" t="s">
        <v>128</v>
      </c>
      <c r="G562" s="4">
        <v>1508.02</v>
      </c>
      <c r="H562" s="4">
        <v>12</v>
      </c>
      <c r="I562" s="4">
        <v>0</v>
      </c>
      <c r="J562" s="4">
        <v>0</v>
      </c>
      <c r="K562" s="4">
        <v>0</v>
      </c>
      <c r="L562" s="4">
        <v>0</v>
      </c>
      <c r="M562" s="4">
        <v>1346.02</v>
      </c>
      <c r="N562" s="4">
        <v>7</v>
      </c>
      <c r="O562" s="4">
        <v>2837.06</v>
      </c>
      <c r="P562" s="4">
        <v>17</v>
      </c>
      <c r="Q562" s="4">
        <v>1542.05</v>
      </c>
      <c r="R562" s="4">
        <v>10</v>
      </c>
      <c r="S562" s="4">
        <v>829.04</v>
      </c>
      <c r="T562" s="4">
        <v>6</v>
      </c>
      <c r="U562" s="4">
        <v>1675.05</v>
      </c>
      <c r="V562" s="4">
        <v>10</v>
      </c>
      <c r="W562" s="4">
        <v>0</v>
      </c>
      <c r="X562" s="4">
        <v>0</v>
      </c>
      <c r="Y562" s="4">
        <v>2247.06</v>
      </c>
      <c r="Z562" s="4">
        <v>16</v>
      </c>
      <c r="AA562" s="4">
        <v>2912.1</v>
      </c>
      <c r="AB562" s="4">
        <v>16</v>
      </c>
      <c r="AC562" s="4">
        <v>2742.06</v>
      </c>
      <c r="AD562" s="4">
        <v>13</v>
      </c>
      <c r="AE562" s="4">
        <v>390.01</v>
      </c>
      <c r="AF562" s="4">
        <v>3</v>
      </c>
      <c r="AG562" s="4">
        <v>1874.04</v>
      </c>
      <c r="AH562" s="4">
        <v>11</v>
      </c>
      <c r="AI562" s="4">
        <v>1627.04</v>
      </c>
      <c r="AJ562" s="4">
        <v>9</v>
      </c>
      <c r="AK562" s="4">
        <v>2832.05</v>
      </c>
      <c r="AL562" s="4">
        <v>15</v>
      </c>
      <c r="AM562" s="4">
        <v>0</v>
      </c>
      <c r="AN562" s="4">
        <v>0</v>
      </c>
      <c r="AO562" s="4">
        <v>1648.03</v>
      </c>
      <c r="AP562" s="4">
        <v>8</v>
      </c>
      <c r="AQ562" s="4">
        <v>240</v>
      </c>
      <c r="AR562" s="4">
        <v>2</v>
      </c>
      <c r="AS562" s="4">
        <v>1235.01</v>
      </c>
      <c r="AT562" s="4">
        <v>6</v>
      </c>
      <c r="AU562" s="4">
        <v>597.02</v>
      </c>
      <c r="AV562" s="4">
        <v>5</v>
      </c>
      <c r="AW562" s="4">
        <v>1039.02</v>
      </c>
      <c r="AX562" s="4">
        <v>5</v>
      </c>
      <c r="AY562" s="4">
        <v>843.92</v>
      </c>
      <c r="AZ562" s="4">
        <v>3</v>
      </c>
      <c r="BA562" s="4">
        <v>3170.81</v>
      </c>
      <c r="BB562" s="4">
        <v>16</v>
      </c>
      <c r="BC562" s="4">
        <v>826</v>
      </c>
      <c r="BD562" s="4">
        <v>5</v>
      </c>
      <c r="BE562" s="4">
        <v>1270.0999999999999</v>
      </c>
      <c r="BF562" s="4">
        <v>7</v>
      </c>
      <c r="BQ562" s="3">
        <f t="shared" si="18"/>
        <v>35231.509999999995</v>
      </c>
      <c r="BR562" s="3">
        <f t="shared" si="17"/>
        <v>202</v>
      </c>
    </row>
    <row r="563" spans="1:70" x14ac:dyDescent="0.25">
      <c r="A563" s="4" t="s">
        <v>2687</v>
      </c>
      <c r="B563" t="s">
        <v>123</v>
      </c>
      <c r="C563" s="338" t="s">
        <v>2118</v>
      </c>
      <c r="D563" s="213" t="s">
        <v>1209</v>
      </c>
      <c r="E563" s="213" t="s">
        <v>138</v>
      </c>
      <c r="F563" s="213" t="s">
        <v>128</v>
      </c>
      <c r="G563" s="4">
        <v>1113.02</v>
      </c>
      <c r="H563" s="4">
        <v>9</v>
      </c>
      <c r="I563" s="4">
        <v>2594.0500000000002</v>
      </c>
      <c r="J563" s="4">
        <v>15</v>
      </c>
      <c r="K563" s="4">
        <v>2874.04</v>
      </c>
      <c r="L563" s="4">
        <v>20</v>
      </c>
      <c r="M563" s="4">
        <v>2811.06</v>
      </c>
      <c r="N563" s="4">
        <v>23</v>
      </c>
      <c r="O563" s="4">
        <v>2449</v>
      </c>
      <c r="P563" s="4">
        <v>7</v>
      </c>
      <c r="Q563" s="4">
        <v>3324.16</v>
      </c>
      <c r="R563" s="4">
        <v>5</v>
      </c>
      <c r="S563" s="4">
        <v>0</v>
      </c>
      <c r="T563" s="4">
        <v>0</v>
      </c>
      <c r="U563" s="4">
        <v>1240.02</v>
      </c>
      <c r="V563" s="4">
        <v>8</v>
      </c>
      <c r="W563" s="4">
        <v>2638.06</v>
      </c>
      <c r="X563" s="4">
        <v>15</v>
      </c>
      <c r="Y563" s="4">
        <v>3073.05</v>
      </c>
      <c r="Z563" s="4">
        <v>18</v>
      </c>
      <c r="AA563" s="4">
        <v>925.01</v>
      </c>
      <c r="AB563" s="4">
        <v>6</v>
      </c>
      <c r="AC563" s="4">
        <v>300</v>
      </c>
      <c r="AD563" s="4">
        <v>2</v>
      </c>
      <c r="AE563" s="4">
        <v>1144.04</v>
      </c>
      <c r="AF563" s="4">
        <v>5</v>
      </c>
      <c r="AG563" s="4">
        <v>150</v>
      </c>
      <c r="AH563" s="4">
        <v>1</v>
      </c>
      <c r="AI563" s="4">
        <v>160</v>
      </c>
      <c r="AJ563" s="4">
        <v>1</v>
      </c>
      <c r="AK563" s="4">
        <v>1515.03</v>
      </c>
      <c r="AL563" s="4">
        <v>9</v>
      </c>
      <c r="AM563" s="4">
        <v>1489.98</v>
      </c>
      <c r="AN563" s="4">
        <v>9</v>
      </c>
      <c r="AO563" s="4">
        <v>375</v>
      </c>
      <c r="AP563" s="4">
        <v>3</v>
      </c>
      <c r="AQ563" s="4">
        <v>1049.01</v>
      </c>
      <c r="AR563" s="4">
        <v>7</v>
      </c>
      <c r="AS563" s="4">
        <v>347</v>
      </c>
      <c r="AT563" s="4">
        <v>2</v>
      </c>
      <c r="AU563" s="4">
        <v>0</v>
      </c>
      <c r="AV563" s="4">
        <v>0</v>
      </c>
      <c r="AW563" s="4">
        <v>360.98</v>
      </c>
      <c r="AX563" s="4">
        <v>2</v>
      </c>
      <c r="AY563" s="4">
        <v>0</v>
      </c>
      <c r="AZ563" s="4">
        <v>0</v>
      </c>
      <c r="BA563" s="4">
        <v>746.96</v>
      </c>
      <c r="BB563" s="4">
        <v>4</v>
      </c>
      <c r="BC563" s="4">
        <v>1803.89</v>
      </c>
      <c r="BD563" s="4">
        <v>10</v>
      </c>
      <c r="BE563" s="4">
        <v>211.02</v>
      </c>
      <c r="BF563" s="4">
        <v>1</v>
      </c>
      <c r="BQ563" s="3">
        <f t="shared" si="18"/>
        <v>32694.379999999994</v>
      </c>
      <c r="BR563" s="3">
        <f t="shared" si="17"/>
        <v>182</v>
      </c>
    </row>
    <row r="564" spans="1:70" x14ac:dyDescent="0.25">
      <c r="A564" s="4" t="s">
        <v>2688</v>
      </c>
      <c r="B564" t="s">
        <v>123</v>
      </c>
      <c r="C564" s="338" t="s">
        <v>2119</v>
      </c>
      <c r="D564" s="213" t="s">
        <v>1210</v>
      </c>
      <c r="E564" s="213" t="s">
        <v>138</v>
      </c>
      <c r="F564" s="213" t="s">
        <v>128</v>
      </c>
      <c r="G564" s="4">
        <v>2657.03</v>
      </c>
      <c r="H564" s="4">
        <v>16</v>
      </c>
      <c r="I564" s="4">
        <v>2904.03</v>
      </c>
      <c r="J564" s="4">
        <v>19</v>
      </c>
      <c r="K564" s="4">
        <v>3664.09</v>
      </c>
      <c r="L564" s="4">
        <v>20</v>
      </c>
      <c r="M564" s="4">
        <v>2172.04</v>
      </c>
      <c r="N564" s="4">
        <v>16</v>
      </c>
      <c r="O564" s="4">
        <v>675</v>
      </c>
      <c r="P564" s="4">
        <v>4</v>
      </c>
      <c r="Q564" s="4">
        <v>1233.03</v>
      </c>
      <c r="R564" s="4">
        <v>6</v>
      </c>
      <c r="S564" s="4">
        <v>2805.05</v>
      </c>
      <c r="T564" s="4">
        <v>14</v>
      </c>
      <c r="U564" s="4">
        <v>1293.03</v>
      </c>
      <c r="V564" s="4">
        <v>9</v>
      </c>
      <c r="W564" s="4">
        <v>1875.09</v>
      </c>
      <c r="X564" s="4">
        <v>14</v>
      </c>
      <c r="Y564" s="4">
        <v>525.01</v>
      </c>
      <c r="Z564" s="4">
        <v>4</v>
      </c>
      <c r="AA564" s="4">
        <v>1472.04</v>
      </c>
      <c r="AB564" s="4">
        <v>11</v>
      </c>
      <c r="AC564" s="4">
        <v>0</v>
      </c>
      <c r="AD564" s="4">
        <v>0</v>
      </c>
      <c r="AE564" s="4">
        <v>375.02</v>
      </c>
      <c r="AF564" s="4">
        <v>3</v>
      </c>
      <c r="AG564" s="4">
        <v>2449.04</v>
      </c>
      <c r="AH564" s="4">
        <v>12</v>
      </c>
      <c r="AI564" s="4">
        <v>653.02</v>
      </c>
      <c r="AJ564" s="4">
        <v>5</v>
      </c>
      <c r="AK564" s="4">
        <v>2432.0500000000002</v>
      </c>
      <c r="AL564" s="4">
        <v>14</v>
      </c>
      <c r="AM564" s="4">
        <v>2194.04</v>
      </c>
      <c r="AN564" s="4">
        <v>10</v>
      </c>
      <c r="AO564" s="4">
        <v>0</v>
      </c>
      <c r="AP564" s="4">
        <v>0</v>
      </c>
      <c r="AQ564" s="4">
        <v>1708.06</v>
      </c>
      <c r="AR564" s="4">
        <v>14</v>
      </c>
      <c r="AS564" s="4">
        <v>1699.03</v>
      </c>
      <c r="AT564" s="4">
        <v>12</v>
      </c>
      <c r="AU564" s="4">
        <v>1959.04</v>
      </c>
      <c r="AV564" s="4">
        <v>9</v>
      </c>
      <c r="AW564" s="4">
        <v>1246.99</v>
      </c>
      <c r="AX564" s="4">
        <v>7</v>
      </c>
      <c r="AY564" s="4">
        <v>210.98</v>
      </c>
      <c r="AZ564" s="4">
        <v>1</v>
      </c>
      <c r="BA564" s="4">
        <v>1127.9000000000001</v>
      </c>
      <c r="BB564" s="4">
        <v>5</v>
      </c>
      <c r="BC564" s="4">
        <v>1494.88</v>
      </c>
      <c r="BD564" s="4">
        <v>6</v>
      </c>
      <c r="BE564" s="4">
        <v>444.02</v>
      </c>
      <c r="BF564" s="4">
        <v>2</v>
      </c>
      <c r="BQ564" s="3">
        <f t="shared" si="18"/>
        <v>39269.51</v>
      </c>
      <c r="BR564" s="3">
        <f t="shared" si="17"/>
        <v>233</v>
      </c>
    </row>
    <row r="565" spans="1:70" x14ac:dyDescent="0.25">
      <c r="A565" s="4" t="s">
        <v>2689</v>
      </c>
      <c r="B565" t="s">
        <v>124</v>
      </c>
      <c r="C565" s="338" t="s">
        <v>1968</v>
      </c>
      <c r="D565" s="213" t="s">
        <v>1059</v>
      </c>
      <c r="E565" s="213" t="s">
        <v>145</v>
      </c>
      <c r="F565" s="213" t="s">
        <v>127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2454.0700000000002</v>
      </c>
      <c r="Z565" s="4">
        <v>9</v>
      </c>
      <c r="AA565" s="4">
        <v>1318.06</v>
      </c>
      <c r="AB565" s="4">
        <v>7</v>
      </c>
      <c r="AC565" s="4">
        <v>0</v>
      </c>
      <c r="AD565" s="4">
        <v>0</v>
      </c>
      <c r="AE565" s="4">
        <v>1542.01</v>
      </c>
      <c r="AF565" s="4">
        <v>8</v>
      </c>
      <c r="AG565" s="4">
        <v>645.02</v>
      </c>
      <c r="AH565" s="4">
        <v>5</v>
      </c>
      <c r="AI565" s="4">
        <v>0</v>
      </c>
      <c r="AJ565" s="4">
        <v>0</v>
      </c>
      <c r="AK565" s="4">
        <v>0</v>
      </c>
      <c r="AL565" s="4">
        <v>0</v>
      </c>
      <c r="AM565" s="4">
        <v>1000.01</v>
      </c>
      <c r="AN565" s="4">
        <v>4</v>
      </c>
      <c r="AO565" s="4">
        <v>0</v>
      </c>
      <c r="AP565" s="4">
        <v>0</v>
      </c>
      <c r="AQ565" s="4">
        <v>1215.03</v>
      </c>
      <c r="AR565" s="4">
        <v>8</v>
      </c>
      <c r="AS565" s="4">
        <v>409</v>
      </c>
      <c r="AT565" s="4">
        <v>3</v>
      </c>
      <c r="AU565" s="4">
        <v>0</v>
      </c>
      <c r="AV565" s="4">
        <v>0</v>
      </c>
      <c r="AW565" s="4">
        <v>405.98</v>
      </c>
      <c r="AX565" s="4">
        <v>6</v>
      </c>
      <c r="AY565" s="4">
        <v>0</v>
      </c>
      <c r="AZ565" s="4">
        <v>0</v>
      </c>
      <c r="BA565" s="4">
        <v>770.97</v>
      </c>
      <c r="BB565" s="4">
        <v>4</v>
      </c>
      <c r="BC565" s="4">
        <v>0</v>
      </c>
      <c r="BD565" s="4">
        <v>0</v>
      </c>
      <c r="BE565" s="4">
        <v>1331.1</v>
      </c>
      <c r="BF565" s="4">
        <v>7</v>
      </c>
      <c r="BQ565" s="3">
        <f t="shared" si="18"/>
        <v>11091.25</v>
      </c>
      <c r="BR565" s="3">
        <f t="shared" si="17"/>
        <v>61</v>
      </c>
    </row>
    <row r="566" spans="1:70" x14ac:dyDescent="0.25">
      <c r="A566" s="4" t="s">
        <v>2690</v>
      </c>
      <c r="B566" t="s">
        <v>124</v>
      </c>
      <c r="C566" s="338" t="s">
        <v>2120</v>
      </c>
      <c r="D566" s="213" t="s">
        <v>1211</v>
      </c>
      <c r="E566" s="213" t="s">
        <v>145</v>
      </c>
      <c r="F566" s="213" t="s">
        <v>127</v>
      </c>
      <c r="G566" s="4">
        <v>2268.0700000000002</v>
      </c>
      <c r="H566" s="4">
        <v>14</v>
      </c>
      <c r="I566" s="4">
        <v>4997.13</v>
      </c>
      <c r="J566" s="4">
        <v>33</v>
      </c>
      <c r="K566" s="4">
        <v>2811.08</v>
      </c>
      <c r="L566" s="4">
        <v>10</v>
      </c>
      <c r="M566" s="4">
        <v>1450.01</v>
      </c>
      <c r="N566" s="4">
        <v>11</v>
      </c>
      <c r="O566" s="4">
        <v>1686.04</v>
      </c>
      <c r="P566" s="4">
        <v>11</v>
      </c>
      <c r="Q566" s="4">
        <v>1441.07</v>
      </c>
      <c r="R566" s="4">
        <v>11</v>
      </c>
      <c r="S566" s="4">
        <v>75</v>
      </c>
      <c r="T566" s="4">
        <v>1</v>
      </c>
      <c r="U566" s="4">
        <v>2010.02</v>
      </c>
      <c r="V566" s="4">
        <v>12</v>
      </c>
      <c r="W566" s="4">
        <v>7290.12</v>
      </c>
      <c r="X566" s="4">
        <v>41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-150.01</v>
      </c>
      <c r="AX566" s="4">
        <v>1</v>
      </c>
      <c r="AY566" s="4">
        <v>-75</v>
      </c>
      <c r="AZ566" s="4">
        <v>1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Q566" s="3">
        <f t="shared" si="18"/>
        <v>23803.530000000002</v>
      </c>
      <c r="BR566" s="3">
        <f t="shared" si="17"/>
        <v>146</v>
      </c>
    </row>
    <row r="567" spans="1:70" x14ac:dyDescent="0.25">
      <c r="A567" s="4" t="s">
        <v>2691</v>
      </c>
      <c r="B567" t="s">
        <v>124</v>
      </c>
      <c r="C567" s="338" t="s">
        <v>1620</v>
      </c>
      <c r="D567" s="213" t="s">
        <v>711</v>
      </c>
      <c r="E567" s="213" t="s">
        <v>145</v>
      </c>
      <c r="F567" s="213" t="s">
        <v>127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1050.03</v>
      </c>
      <c r="Z567" s="4">
        <v>8</v>
      </c>
      <c r="AA567" s="4">
        <v>443.01</v>
      </c>
      <c r="AB567" s="4">
        <v>4</v>
      </c>
      <c r="AC567" s="4">
        <v>900.02</v>
      </c>
      <c r="AD567" s="4">
        <v>6</v>
      </c>
      <c r="AE567" s="4">
        <v>0</v>
      </c>
      <c r="AF567" s="4">
        <v>0</v>
      </c>
      <c r="AG567" s="4">
        <v>1115.03</v>
      </c>
      <c r="AH567" s="4">
        <v>8</v>
      </c>
      <c r="AI567" s="4">
        <v>2043.02</v>
      </c>
      <c r="AJ567" s="4">
        <v>8</v>
      </c>
      <c r="AK567" s="4">
        <v>4239.12</v>
      </c>
      <c r="AL567" s="4">
        <v>24</v>
      </c>
      <c r="AM567" s="4">
        <v>150</v>
      </c>
      <c r="AN567" s="4">
        <v>1</v>
      </c>
      <c r="AO567" s="4">
        <v>935.03</v>
      </c>
      <c r="AP567" s="4">
        <v>7</v>
      </c>
      <c r="AQ567" s="4">
        <v>265</v>
      </c>
      <c r="AR567" s="4">
        <v>2</v>
      </c>
      <c r="AS567" s="4">
        <v>374.99</v>
      </c>
      <c r="AT567" s="4">
        <v>1</v>
      </c>
      <c r="AU567" s="4">
        <v>300.02</v>
      </c>
      <c r="AV567" s="4">
        <v>2</v>
      </c>
      <c r="AW567" s="4">
        <v>875.98</v>
      </c>
      <c r="AX567" s="4">
        <v>9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898.06</v>
      </c>
      <c r="BF567" s="4">
        <v>5</v>
      </c>
      <c r="BQ567" s="3">
        <f t="shared" si="18"/>
        <v>13589.31</v>
      </c>
      <c r="BR567" s="3">
        <f t="shared" si="17"/>
        <v>85</v>
      </c>
    </row>
    <row r="568" spans="1:70" x14ac:dyDescent="0.25">
      <c r="A568" s="4" t="s">
        <v>2692</v>
      </c>
      <c r="B568" t="s">
        <v>124</v>
      </c>
      <c r="C568" s="338" t="s">
        <v>1615</v>
      </c>
      <c r="D568" s="213" t="s">
        <v>706</v>
      </c>
      <c r="E568" s="213" t="s">
        <v>145</v>
      </c>
      <c r="F568" s="213" t="s">
        <v>127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172.01</v>
      </c>
      <c r="AB568" s="4">
        <v>2</v>
      </c>
      <c r="AC568" s="4">
        <v>300.02</v>
      </c>
      <c r="AD568" s="4">
        <v>2</v>
      </c>
      <c r="AE568" s="4">
        <v>0</v>
      </c>
      <c r="AF568" s="4">
        <v>0</v>
      </c>
      <c r="AG568" s="4">
        <v>0</v>
      </c>
      <c r="AH568" s="4">
        <v>0</v>
      </c>
      <c r="AI568" s="4">
        <v>450</v>
      </c>
      <c r="AJ568" s="4">
        <v>3</v>
      </c>
      <c r="AK568" s="4">
        <v>0</v>
      </c>
      <c r="AL568" s="4">
        <v>0</v>
      </c>
      <c r="AM568" s="4">
        <v>985.01</v>
      </c>
      <c r="AN568" s="4">
        <v>6</v>
      </c>
      <c r="AO568" s="4">
        <v>0</v>
      </c>
      <c r="AP568" s="4">
        <v>0</v>
      </c>
      <c r="AQ568" s="4">
        <v>0</v>
      </c>
      <c r="AR568" s="4">
        <v>0</v>
      </c>
      <c r="AS568" s="4">
        <v>1192.02</v>
      </c>
      <c r="AT568" s="4">
        <v>7</v>
      </c>
      <c r="AU568" s="4">
        <v>1049.02</v>
      </c>
      <c r="AV568" s="4">
        <v>9</v>
      </c>
      <c r="AW568" s="4">
        <v>853.02</v>
      </c>
      <c r="AX568" s="4">
        <v>3</v>
      </c>
      <c r="AY568" s="4">
        <v>3103.84</v>
      </c>
      <c r="AZ568" s="4">
        <v>22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Q568" s="3">
        <f t="shared" si="18"/>
        <v>8104.9400000000005</v>
      </c>
      <c r="BR568" s="3">
        <f t="shared" si="17"/>
        <v>54</v>
      </c>
    </row>
    <row r="569" spans="1:70" x14ac:dyDescent="0.25">
      <c r="A569" s="4" t="s">
        <v>2693</v>
      </c>
      <c r="B569" t="s">
        <v>29</v>
      </c>
      <c r="C569" s="338" t="s">
        <v>2125</v>
      </c>
      <c r="D569" s="1" t="s">
        <v>2121</v>
      </c>
      <c r="E569" s="213" t="str">
        <f>VLOOKUP(B569,'Sales and count'!A:C,3,0)</f>
        <v>Qunfudah</v>
      </c>
      <c r="F569" s="213" t="str">
        <f>VLOOKUP(B569,'Sales and count'!A:D,4,0)</f>
        <v>Ahlam Al Zahrani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561.96</v>
      </c>
      <c r="AX569" s="4">
        <v>3</v>
      </c>
      <c r="AY569" s="4">
        <v>421.96</v>
      </c>
      <c r="AZ569" s="4">
        <v>2</v>
      </c>
      <c r="BA569" s="4">
        <v>658.96</v>
      </c>
      <c r="BB569" s="4">
        <v>4</v>
      </c>
      <c r="BC569" s="4">
        <v>1293.92</v>
      </c>
      <c r="BD569" s="4">
        <v>9</v>
      </c>
      <c r="BE569" s="4">
        <v>783.06</v>
      </c>
      <c r="BF569" s="4">
        <v>5</v>
      </c>
      <c r="BQ569" s="3">
        <f t="shared" si="18"/>
        <v>3719.86</v>
      </c>
      <c r="BR569" s="3">
        <f t="shared" si="17"/>
        <v>23</v>
      </c>
    </row>
    <row r="570" spans="1:70" x14ac:dyDescent="0.25">
      <c r="A570" s="4" t="s">
        <v>2694</v>
      </c>
      <c r="B570" t="s">
        <v>52</v>
      </c>
      <c r="C570" s="338" t="s">
        <v>2126</v>
      </c>
      <c r="D570" s="1" t="s">
        <v>2122</v>
      </c>
      <c r="E570" s="213" t="str">
        <f>VLOOKUP(B570,'Sales and count'!A:C,3,0)</f>
        <v>Makkah</v>
      </c>
      <c r="F570" s="213" t="str">
        <f>VLOOKUP(B570,'Sales and count'!A:D,4,0)</f>
        <v>Maram Zamzami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97</v>
      </c>
      <c r="BB570" s="4">
        <v>2</v>
      </c>
      <c r="BC570" s="4">
        <v>210.98</v>
      </c>
      <c r="BD570" s="4">
        <v>1</v>
      </c>
      <c r="BE570" s="4">
        <v>0</v>
      </c>
      <c r="BF570" s="4">
        <v>0</v>
      </c>
      <c r="BQ570" s="3">
        <f t="shared" si="18"/>
        <v>307.98</v>
      </c>
      <c r="BR570" s="3">
        <f t="shared" si="17"/>
        <v>3</v>
      </c>
    </row>
    <row r="571" spans="1:70" x14ac:dyDescent="0.25">
      <c r="A571" s="4" t="s">
        <v>2695</v>
      </c>
      <c r="B571" t="s">
        <v>76</v>
      </c>
      <c r="C571" s="338" t="s">
        <v>2127</v>
      </c>
      <c r="D571" s="1" t="s">
        <v>2123</v>
      </c>
      <c r="E571" s="213" t="str">
        <f>VLOOKUP(B571,'Sales and count'!A:C,3,0)</f>
        <v>Jeddah</v>
      </c>
      <c r="F571" s="213" t="str">
        <f>VLOOKUP(B571,'Sales and count'!A:D,4,0)</f>
        <v>Saleh Bin Hoiel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1266.04</v>
      </c>
      <c r="AP571" s="4">
        <v>12</v>
      </c>
      <c r="AQ571" s="4">
        <v>934.01</v>
      </c>
      <c r="AR571" s="4">
        <v>7</v>
      </c>
      <c r="AS571" s="4">
        <v>0</v>
      </c>
      <c r="AT571" s="4">
        <v>0</v>
      </c>
      <c r="AU571" s="4">
        <v>97</v>
      </c>
      <c r="AV571" s="4">
        <v>2</v>
      </c>
      <c r="AW571" s="4">
        <v>665</v>
      </c>
      <c r="AX571" s="4">
        <v>5</v>
      </c>
      <c r="AY571" s="4">
        <v>1413.95</v>
      </c>
      <c r="AZ571" s="4">
        <v>14</v>
      </c>
      <c r="BA571" s="4">
        <v>150</v>
      </c>
      <c r="BB571" s="4">
        <v>2</v>
      </c>
      <c r="BC571" s="4">
        <v>617.96</v>
      </c>
      <c r="BD571" s="4">
        <v>7</v>
      </c>
      <c r="BE571" s="4">
        <v>858.06</v>
      </c>
      <c r="BF571" s="4">
        <v>5</v>
      </c>
      <c r="BQ571" s="3">
        <f t="shared" si="18"/>
        <v>6002.02</v>
      </c>
      <c r="BR571" s="3">
        <f t="shared" si="17"/>
        <v>54</v>
      </c>
    </row>
    <row r="572" spans="1:70" x14ac:dyDescent="0.25">
      <c r="A572" t="s">
        <v>2696</v>
      </c>
      <c r="B572" t="s">
        <v>17</v>
      </c>
      <c r="C572" s="338" t="s">
        <v>1659</v>
      </c>
      <c r="D572" s="1" t="s">
        <v>2711</v>
      </c>
      <c r="E572" s="213" t="str">
        <f>VLOOKUP(B572,'Sales and count'!A:C,3,0)</f>
        <v>Jeddah</v>
      </c>
      <c r="F572" s="213" t="str">
        <f>VLOOKUP(B572,'Sales and count'!A:D,4,0)</f>
        <v>Saleh Bin Hoiel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1424.98</v>
      </c>
      <c r="AV572" s="4">
        <v>8</v>
      </c>
      <c r="AW572" s="4">
        <v>2326.9699999999998</v>
      </c>
      <c r="AX572" s="4">
        <v>19</v>
      </c>
      <c r="AY572" s="4">
        <v>4102.7700000000004</v>
      </c>
      <c r="AZ572" s="4">
        <v>28</v>
      </c>
      <c r="BA572" s="4">
        <v>2810.78</v>
      </c>
      <c r="BB572" s="4">
        <v>16</v>
      </c>
      <c r="BC572" s="4">
        <v>950.97</v>
      </c>
      <c r="BD572" s="4">
        <v>5</v>
      </c>
      <c r="BE572" s="4">
        <v>1691.1</v>
      </c>
      <c r="BF572" s="4">
        <v>12</v>
      </c>
      <c r="BQ572" s="3">
        <f t="shared" si="18"/>
        <v>13307.57</v>
      </c>
      <c r="BR572" s="3">
        <f t="shared" si="17"/>
        <v>88</v>
      </c>
    </row>
    <row r="573" spans="1:70" x14ac:dyDescent="0.25">
      <c r="A573" t="s">
        <v>2697</v>
      </c>
      <c r="B573" t="s">
        <v>20</v>
      </c>
      <c r="C573" s="338" t="s">
        <v>1908</v>
      </c>
      <c r="D573" s="1" t="s">
        <v>2712</v>
      </c>
      <c r="E573" s="213" t="str">
        <f>VLOOKUP(B573,'Sales and count'!A:C,3,0)</f>
        <v>Abha</v>
      </c>
      <c r="F573" s="213" t="str">
        <f>VLOOKUP(B573,'Sales and count'!A:D,4,0)</f>
        <v>Ahmed Jaffari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1017</v>
      </c>
      <c r="AR573" s="4">
        <v>7</v>
      </c>
      <c r="AS573" s="4">
        <v>465.99</v>
      </c>
      <c r="AT573" s="4">
        <v>4</v>
      </c>
      <c r="AU573" s="4">
        <v>450.01</v>
      </c>
      <c r="AV573" s="4">
        <v>3</v>
      </c>
      <c r="AW573" s="4">
        <v>409.99</v>
      </c>
      <c r="AX573" s="4">
        <v>2</v>
      </c>
      <c r="AY573" s="4">
        <v>1635.92</v>
      </c>
      <c r="AZ573" s="4">
        <v>8</v>
      </c>
      <c r="BA573" s="4">
        <v>810.98</v>
      </c>
      <c r="BB573" s="4">
        <v>6</v>
      </c>
      <c r="BC573" s="4">
        <v>581.98</v>
      </c>
      <c r="BD573" s="4">
        <v>5</v>
      </c>
      <c r="BE573" s="4">
        <v>0</v>
      </c>
      <c r="BF573" s="4">
        <v>0</v>
      </c>
      <c r="BQ573" s="3">
        <f t="shared" si="18"/>
        <v>5371.869999999999</v>
      </c>
      <c r="BR573" s="3">
        <f t="shared" si="17"/>
        <v>35</v>
      </c>
    </row>
    <row r="574" spans="1:70" x14ac:dyDescent="0.25">
      <c r="A574" t="s">
        <v>2698</v>
      </c>
      <c r="B574" t="s">
        <v>22</v>
      </c>
      <c r="C574" s="338" t="s">
        <v>1877</v>
      </c>
      <c r="D574" s="1" t="s">
        <v>968</v>
      </c>
      <c r="E574" s="213" t="str">
        <f>VLOOKUP(B574,'Sales and count'!A:C,3,0)</f>
        <v>Makkah</v>
      </c>
      <c r="F574" s="213" t="str">
        <f>VLOOKUP(B574,'Sales and count'!A:D,4,0)</f>
        <v>Maram Zamzami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686.96</v>
      </c>
      <c r="BD574" s="4">
        <v>5</v>
      </c>
      <c r="BE574" s="4">
        <v>651.02</v>
      </c>
      <c r="BF574" s="4">
        <v>5</v>
      </c>
      <c r="BQ574" s="3">
        <f t="shared" si="18"/>
        <v>1337.98</v>
      </c>
      <c r="BR574" s="3">
        <f t="shared" si="17"/>
        <v>10</v>
      </c>
    </row>
    <row r="575" spans="1:70" x14ac:dyDescent="0.25">
      <c r="A575" t="s">
        <v>2699</v>
      </c>
      <c r="B575" t="s">
        <v>34</v>
      </c>
      <c r="C575" s="338" t="s">
        <v>1639</v>
      </c>
      <c r="D575" s="1" t="s">
        <v>730</v>
      </c>
      <c r="E575" s="213" t="str">
        <f>VLOOKUP(B575,'Sales and count'!A:C,3,0)</f>
        <v>Jeddah</v>
      </c>
      <c r="F575" s="213" t="str">
        <f>VLOOKUP(B575,'Sales and count'!A:D,4,0)</f>
        <v>Saleh Bin Hoiel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747.01</v>
      </c>
      <c r="AR575" s="4">
        <v>5</v>
      </c>
      <c r="AS575" s="4">
        <v>812</v>
      </c>
      <c r="AT575" s="4">
        <v>7</v>
      </c>
      <c r="AU575" s="4">
        <v>1112.01</v>
      </c>
      <c r="AV575" s="4">
        <v>8</v>
      </c>
      <c r="AW575" s="4">
        <v>878.97</v>
      </c>
      <c r="AX575" s="4">
        <v>7</v>
      </c>
      <c r="AY575" s="4">
        <v>2305.87</v>
      </c>
      <c r="AZ575" s="4">
        <v>17</v>
      </c>
      <c r="BA575" s="4">
        <v>0</v>
      </c>
      <c r="BB575" s="4">
        <v>0</v>
      </c>
      <c r="BC575" s="4">
        <v>968.96</v>
      </c>
      <c r="BD575" s="4">
        <v>6</v>
      </c>
      <c r="BE575" s="4">
        <v>1183.06</v>
      </c>
      <c r="BF575" s="4">
        <v>8</v>
      </c>
      <c r="BQ575" s="3">
        <f t="shared" si="18"/>
        <v>8007.8799999999992</v>
      </c>
      <c r="BR575" s="3">
        <f t="shared" si="17"/>
        <v>58</v>
      </c>
    </row>
    <row r="576" spans="1:70" x14ac:dyDescent="0.25">
      <c r="A576" t="s">
        <v>2700</v>
      </c>
      <c r="B576" t="s">
        <v>66</v>
      </c>
      <c r="C576" s="338" t="s">
        <v>2005</v>
      </c>
      <c r="D576" s="1" t="s">
        <v>1096</v>
      </c>
      <c r="E576" s="213" t="str">
        <f>VLOOKUP(B576,'Sales and count'!A:C,3,0)</f>
        <v>Makkah</v>
      </c>
      <c r="F576" s="213" t="str">
        <f>VLOOKUP(B576,'Sales and count'!A:D,4,0)</f>
        <v>Maram Zamzami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597.03</v>
      </c>
      <c r="AR576" s="4">
        <v>3</v>
      </c>
      <c r="AS576" s="4">
        <v>1188.01</v>
      </c>
      <c r="AT576" s="4">
        <v>6</v>
      </c>
      <c r="AU576" s="4">
        <v>2483.08</v>
      </c>
      <c r="AV576" s="4">
        <v>14</v>
      </c>
      <c r="AW576" s="4">
        <v>3023.87</v>
      </c>
      <c r="AX576" s="4">
        <v>17</v>
      </c>
      <c r="AY576" s="4">
        <v>2449.9499999999998</v>
      </c>
      <c r="AZ576" s="4">
        <v>12</v>
      </c>
      <c r="BA576" s="4">
        <v>1290.92</v>
      </c>
      <c r="BB576" s="4">
        <v>7</v>
      </c>
      <c r="BC576" s="4">
        <v>2070.86</v>
      </c>
      <c r="BD576" s="4">
        <v>12</v>
      </c>
      <c r="BE576" s="4">
        <v>235</v>
      </c>
      <c r="BF576" s="4">
        <v>2</v>
      </c>
      <c r="BQ576" s="3">
        <f t="shared" si="18"/>
        <v>13338.72</v>
      </c>
      <c r="BR576" s="3">
        <f t="shared" si="17"/>
        <v>73</v>
      </c>
    </row>
    <row r="577" spans="1:70" x14ac:dyDescent="0.25">
      <c r="A577" t="s">
        <v>2701</v>
      </c>
      <c r="B577" t="s">
        <v>72</v>
      </c>
      <c r="C577" s="338" t="s">
        <v>2052</v>
      </c>
      <c r="D577" s="1" t="s">
        <v>1143</v>
      </c>
      <c r="E577" s="213" t="str">
        <f>VLOOKUP(B577,'Sales and count'!A:C,3,0)</f>
        <v>Muthnab</v>
      </c>
      <c r="F577" s="213" t="str">
        <f>VLOOKUP(B577,'Sales and count'!A:D,4,0)</f>
        <v>Lina Al Ghathami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257.98</v>
      </c>
      <c r="BD577" s="4">
        <v>2</v>
      </c>
      <c r="BE577" s="4">
        <v>0</v>
      </c>
      <c r="BF577" s="4">
        <v>0</v>
      </c>
      <c r="BQ577" s="3">
        <f t="shared" si="18"/>
        <v>257.98</v>
      </c>
      <c r="BR577" s="3">
        <f t="shared" si="17"/>
        <v>2</v>
      </c>
    </row>
    <row r="578" spans="1:70" x14ac:dyDescent="0.25">
      <c r="A578" t="s">
        <v>2702</v>
      </c>
      <c r="B578" t="s">
        <v>80</v>
      </c>
      <c r="C578" s="338" t="s">
        <v>2049</v>
      </c>
      <c r="D578" s="1" t="s">
        <v>1140</v>
      </c>
      <c r="E578" s="213" t="str">
        <f>VLOOKUP(B578,'Sales and count'!A:C,3,0)</f>
        <v>Arar</v>
      </c>
      <c r="F578" s="213" t="str">
        <f>VLOOKUP(B578,'Sales and count'!A:D,4,0)</f>
        <v>Mohammed Sanad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421.96</v>
      </c>
      <c r="AX578" s="4">
        <v>2</v>
      </c>
      <c r="AY578" s="4">
        <v>465</v>
      </c>
      <c r="AZ578" s="4">
        <v>2</v>
      </c>
      <c r="BA578" s="4">
        <v>945.98</v>
      </c>
      <c r="BB578" s="4">
        <v>3</v>
      </c>
      <c r="BC578" s="4">
        <v>610.99</v>
      </c>
      <c r="BD578" s="4">
        <v>4</v>
      </c>
      <c r="BE578" s="4">
        <v>0</v>
      </c>
      <c r="BF578" s="4">
        <v>0</v>
      </c>
      <c r="BQ578" s="3">
        <f t="shared" si="18"/>
        <v>2443.9300000000003</v>
      </c>
      <c r="BR578" s="3">
        <f t="shared" si="17"/>
        <v>11</v>
      </c>
    </row>
    <row r="579" spans="1:70" x14ac:dyDescent="0.25">
      <c r="A579" t="s">
        <v>2703</v>
      </c>
      <c r="B579" t="s">
        <v>84</v>
      </c>
      <c r="C579" s="338" t="s">
        <v>2033</v>
      </c>
      <c r="D579" s="1" t="s">
        <v>1124</v>
      </c>
      <c r="E579" s="213" t="str">
        <f>VLOOKUP(B579,'Sales and count'!A:C,3,0)</f>
        <v>Makkah</v>
      </c>
      <c r="F579" s="213" t="str">
        <f>VLOOKUP(B579,'Sales and count'!A:D,4,0)</f>
        <v>Maram Zamzami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1015</v>
      </c>
      <c r="AV579" s="4">
        <v>10</v>
      </c>
      <c r="AW579" s="4">
        <v>1361</v>
      </c>
      <c r="AX579" s="4">
        <v>7</v>
      </c>
      <c r="AY579" s="4">
        <v>1688.89</v>
      </c>
      <c r="AZ579" s="4">
        <v>5</v>
      </c>
      <c r="BA579" s="4">
        <v>0</v>
      </c>
      <c r="BB579" s="4">
        <v>0</v>
      </c>
      <c r="BC579" s="4">
        <v>1404.03</v>
      </c>
      <c r="BD579" s="4">
        <v>5</v>
      </c>
      <c r="BE579" s="4">
        <v>2503.15</v>
      </c>
      <c r="BF579" s="4">
        <v>8</v>
      </c>
      <c r="BQ579" s="3">
        <f t="shared" si="18"/>
        <v>7972.07</v>
      </c>
      <c r="BR579" s="3">
        <f t="shared" si="17"/>
        <v>35</v>
      </c>
    </row>
    <row r="580" spans="1:70" x14ac:dyDescent="0.25">
      <c r="A580" t="s">
        <v>2704</v>
      </c>
      <c r="B580" t="s">
        <v>100</v>
      </c>
      <c r="C580" s="338" t="s">
        <v>1950</v>
      </c>
      <c r="D580" s="1" t="s">
        <v>1041</v>
      </c>
      <c r="E580" s="213" t="str">
        <f>VLOOKUP(B580,'Sales and count'!A:C,3,0)</f>
        <v>Makkah</v>
      </c>
      <c r="F580" s="213" t="str">
        <f>VLOOKUP(B580,'Sales and count'!A:D,4,0)</f>
        <v>Maram Zamzami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2948.07</v>
      </c>
      <c r="AR580" s="4">
        <v>17</v>
      </c>
      <c r="AS580" s="4">
        <v>3165.08</v>
      </c>
      <c r="AT580" s="4">
        <v>17</v>
      </c>
      <c r="AU580" s="4">
        <v>0</v>
      </c>
      <c r="AV580" s="4">
        <v>0</v>
      </c>
      <c r="AW580" s="4">
        <v>2051.9499999999998</v>
      </c>
      <c r="AX580" s="4">
        <v>11</v>
      </c>
      <c r="AY580" s="4">
        <v>3414.8</v>
      </c>
      <c r="AZ580" s="4">
        <v>16</v>
      </c>
      <c r="BA580" s="4">
        <v>3353.73</v>
      </c>
      <c r="BB580" s="4">
        <v>17</v>
      </c>
      <c r="BC580" s="4">
        <v>3713.82</v>
      </c>
      <c r="BD580" s="4">
        <v>15</v>
      </c>
      <c r="BE580" s="4">
        <v>351.02</v>
      </c>
      <c r="BF580" s="4">
        <v>2</v>
      </c>
      <c r="BQ580" s="3">
        <f t="shared" si="18"/>
        <v>18998.47</v>
      </c>
      <c r="BR580" s="3">
        <f t="shared" si="17"/>
        <v>95</v>
      </c>
    </row>
    <row r="581" spans="1:70" x14ac:dyDescent="0.25">
      <c r="A581" t="s">
        <v>2705</v>
      </c>
      <c r="B581" t="s">
        <v>100</v>
      </c>
      <c r="C581" s="338" t="s">
        <v>1951</v>
      </c>
      <c r="D581" s="1" t="s">
        <v>1042</v>
      </c>
      <c r="E581" s="213" t="str">
        <f>VLOOKUP(B581,'Sales and count'!A:C,3,0)</f>
        <v>Makkah</v>
      </c>
      <c r="F581" s="213" t="str">
        <f>VLOOKUP(B581,'Sales and count'!A:D,4,0)</f>
        <v>Maram Zamzami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300.02</v>
      </c>
      <c r="AR581" s="4">
        <v>2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1410.88</v>
      </c>
      <c r="AZ581" s="4">
        <v>7</v>
      </c>
      <c r="BA581" s="4">
        <v>981.94</v>
      </c>
      <c r="BB581" s="4">
        <v>5</v>
      </c>
      <c r="BC581" s="4">
        <v>1565.89</v>
      </c>
      <c r="BD581" s="4">
        <v>9</v>
      </c>
      <c r="BE581" s="4">
        <v>919.08</v>
      </c>
      <c r="BF581" s="4">
        <v>4</v>
      </c>
      <c r="BQ581" s="3">
        <f t="shared" si="18"/>
        <v>5177.8100000000004</v>
      </c>
      <c r="BR581" s="3">
        <f t="shared" ref="BR581:BR600" si="19">H581+J581+L581+N581+P581+R581+T581+V581+X581+Z581+AB581+AD581+AF581+AH581+AJ581+AL581+AN581+AP581+AR581+AT581+AV581+AX581+AZ581+BB581+BD581+BF581</f>
        <v>27</v>
      </c>
    </row>
    <row r="582" spans="1:70" x14ac:dyDescent="0.25">
      <c r="A582" t="s">
        <v>2706</v>
      </c>
      <c r="B582" t="s">
        <v>100</v>
      </c>
      <c r="C582" s="338" t="s">
        <v>1953</v>
      </c>
      <c r="D582" s="1" t="s">
        <v>1044</v>
      </c>
      <c r="E582" s="213" t="str">
        <f>VLOOKUP(B582,'Sales and count'!A:C,3,0)</f>
        <v>Makkah</v>
      </c>
      <c r="F582" s="213" t="str">
        <f>VLOOKUP(B582,'Sales and count'!A:D,4,0)</f>
        <v>Maram Zamzami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349.01</v>
      </c>
      <c r="AR582" s="4">
        <v>2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521.02</v>
      </c>
      <c r="BD582" s="4">
        <v>2</v>
      </c>
      <c r="BE582" s="4">
        <v>844.08</v>
      </c>
      <c r="BF582" s="4">
        <v>1</v>
      </c>
      <c r="BQ582" s="3">
        <f t="shared" ref="BQ582:BQ600" si="20">G582+I582+K582+M582+O582+Q582+S582+U582+W582+Y582+AA582+AC582+AE582+AG582+AI582+AK582+AM582+AO582+AQ582+AS582+AU582+AW582+AY582+BA582+BC582+BE582</f>
        <v>1714.1100000000001</v>
      </c>
      <c r="BR582" s="3">
        <f t="shared" si="19"/>
        <v>5</v>
      </c>
    </row>
    <row r="583" spans="1:70" x14ac:dyDescent="0.25">
      <c r="A583" t="s">
        <v>2707</v>
      </c>
      <c r="B583" t="s">
        <v>100</v>
      </c>
      <c r="C583" s="338" t="s">
        <v>2092</v>
      </c>
      <c r="D583" s="1" t="s">
        <v>1183</v>
      </c>
      <c r="E583" s="213" t="str">
        <f>VLOOKUP(B583,'Sales and count'!A:C,3,0)</f>
        <v>Makkah</v>
      </c>
      <c r="F583" s="213" t="str">
        <f>VLOOKUP(B583,'Sales and count'!A:D,4,0)</f>
        <v>Maram Zamzami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1265.93</v>
      </c>
      <c r="BD583" s="4">
        <v>4</v>
      </c>
      <c r="BE583" s="4">
        <v>222</v>
      </c>
      <c r="BF583" s="4">
        <v>1</v>
      </c>
      <c r="BQ583" s="3">
        <f t="shared" si="20"/>
        <v>1487.93</v>
      </c>
      <c r="BR583" s="3">
        <f t="shared" si="19"/>
        <v>5</v>
      </c>
    </row>
    <row r="584" spans="1:70" x14ac:dyDescent="0.25">
      <c r="A584" t="s">
        <v>2708</v>
      </c>
      <c r="B584" t="s">
        <v>113</v>
      </c>
      <c r="C584" s="338" t="s">
        <v>1698</v>
      </c>
      <c r="D584" s="1" t="s">
        <v>789</v>
      </c>
      <c r="E584" s="213" t="str">
        <f>VLOOKUP(B584,'Sales and count'!A:C,3,0)</f>
        <v>Riyadh</v>
      </c>
      <c r="F584" s="213" t="str">
        <f>VLOOKUP(B584,'Sales and count'!A:D,4,0)</f>
        <v>Lina Al Ghathami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770.98</v>
      </c>
      <c r="BD584" s="4">
        <v>5</v>
      </c>
      <c r="BE584" s="4">
        <v>1580.11</v>
      </c>
      <c r="BF584" s="4">
        <v>9</v>
      </c>
      <c r="BQ584" s="3">
        <f t="shared" si="20"/>
        <v>2351.09</v>
      </c>
      <c r="BR584" s="3">
        <f t="shared" si="19"/>
        <v>14</v>
      </c>
    </row>
    <row r="585" spans="1:70" x14ac:dyDescent="0.25">
      <c r="A585" t="s">
        <v>2709</v>
      </c>
      <c r="B585" t="s">
        <v>116</v>
      </c>
      <c r="C585" s="338" t="s">
        <v>2031</v>
      </c>
      <c r="D585" s="1" t="s">
        <v>1122</v>
      </c>
      <c r="E585" s="213" t="str">
        <f>VLOOKUP(B585,'Sales and count'!A:C,3,0)</f>
        <v>Makkah</v>
      </c>
      <c r="F585" s="213" t="str">
        <f>VLOOKUP(B585,'Sales and count'!A:D,4,0)</f>
        <v>Maram Zamzami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2971.85</v>
      </c>
      <c r="BB585" s="4">
        <v>16</v>
      </c>
      <c r="BC585" s="4">
        <v>3168.77</v>
      </c>
      <c r="BD585" s="4">
        <v>14</v>
      </c>
      <c r="BE585" s="4">
        <v>0</v>
      </c>
      <c r="BF585" s="4">
        <v>0</v>
      </c>
      <c r="BQ585" s="3">
        <f t="shared" si="20"/>
        <v>6140.62</v>
      </c>
      <c r="BR585" s="3">
        <f t="shared" si="19"/>
        <v>30</v>
      </c>
    </row>
    <row r="586" spans="1:70" x14ac:dyDescent="0.25">
      <c r="A586" t="s">
        <v>2710</v>
      </c>
      <c r="B586" t="s">
        <v>124</v>
      </c>
      <c r="C586" s="338" t="s">
        <v>1854</v>
      </c>
      <c r="D586" s="1" t="s">
        <v>945</v>
      </c>
      <c r="E586" s="213" t="str">
        <f>VLOOKUP(B586,'Sales and count'!A:C,3,0)</f>
        <v>Riyadh</v>
      </c>
      <c r="F586" s="213" t="str">
        <f>VLOOKUP(B586,'Sales and count'!A:D,4,0)</f>
        <v>Mohammed Sanad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3453.77</v>
      </c>
      <c r="BB586" s="4">
        <v>17</v>
      </c>
      <c r="BC586" s="4">
        <v>2251.84</v>
      </c>
      <c r="BD586" s="4">
        <v>14</v>
      </c>
      <c r="BE586" s="4">
        <v>0</v>
      </c>
      <c r="BF586" s="4">
        <v>0</v>
      </c>
      <c r="BQ586" s="3">
        <f t="shared" si="20"/>
        <v>5705.6100000000006</v>
      </c>
      <c r="BR586" s="3">
        <f t="shared" si="19"/>
        <v>31</v>
      </c>
    </row>
    <row r="587" spans="1:70" x14ac:dyDescent="0.25">
      <c r="A587" t="s">
        <v>2713</v>
      </c>
      <c r="B587" t="s">
        <v>52</v>
      </c>
      <c r="C587" s="338" t="s">
        <v>1986</v>
      </c>
      <c r="D587" s="1" t="s">
        <v>1077</v>
      </c>
      <c r="E587" s="213" t="str">
        <f>VLOOKUP(B587,'Sales and count'!A:C,3,0)</f>
        <v>Makkah</v>
      </c>
      <c r="F587" s="213" t="str">
        <f>VLOOKUP(B587,'Sales and count'!A:D,4,0)</f>
        <v>Maram Zamzami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140</v>
      </c>
      <c r="AX587" s="4">
        <v>2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Q587" s="3">
        <f t="shared" si="20"/>
        <v>140</v>
      </c>
      <c r="BR587" s="3">
        <f t="shared" si="19"/>
        <v>2</v>
      </c>
    </row>
    <row r="588" spans="1:70" x14ac:dyDescent="0.25">
      <c r="A588" t="s">
        <v>2714</v>
      </c>
      <c r="B588" t="s">
        <v>52</v>
      </c>
      <c r="C588" s="338" t="s">
        <v>1877</v>
      </c>
      <c r="D588" s="1" t="s">
        <v>968</v>
      </c>
      <c r="E588" s="213" t="str">
        <f>VLOOKUP(B588,'Sales and count'!A:C,3,0)</f>
        <v>Makkah</v>
      </c>
      <c r="F588" s="213" t="str">
        <f>VLOOKUP(B588,'Sales and count'!A:D,4,0)</f>
        <v>Maram Zamzami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150</v>
      </c>
      <c r="AP588" s="4">
        <v>1</v>
      </c>
      <c r="AQ588" s="4">
        <v>0</v>
      </c>
      <c r="AR588" s="4">
        <v>0</v>
      </c>
      <c r="AS588" s="4">
        <v>0</v>
      </c>
      <c r="AT588" s="4">
        <v>0</v>
      </c>
      <c r="AU588" s="4">
        <v>1875.06</v>
      </c>
      <c r="AV588" s="4">
        <v>9</v>
      </c>
      <c r="AW588" s="4">
        <v>1240.95</v>
      </c>
      <c r="AX588" s="4">
        <v>9</v>
      </c>
      <c r="AY588" s="4">
        <v>0</v>
      </c>
      <c r="AZ588" s="4">
        <v>0</v>
      </c>
      <c r="BA588" s="4">
        <v>1320.95</v>
      </c>
      <c r="BB588" s="4">
        <v>8</v>
      </c>
      <c r="BC588" s="4">
        <v>0</v>
      </c>
      <c r="BD588" s="4">
        <v>0</v>
      </c>
      <c r="BE588" s="4">
        <v>0</v>
      </c>
      <c r="BF588" s="4">
        <v>0</v>
      </c>
      <c r="BQ588" s="3">
        <f t="shared" si="20"/>
        <v>4586.96</v>
      </c>
      <c r="BR588" s="3">
        <f t="shared" si="19"/>
        <v>27</v>
      </c>
    </row>
    <row r="589" spans="1:70" x14ac:dyDescent="0.25">
      <c r="A589" t="s">
        <v>2715</v>
      </c>
      <c r="B589" t="s">
        <v>71</v>
      </c>
      <c r="C589" s="338" t="s">
        <v>2727</v>
      </c>
      <c r="D589" s="1" t="s">
        <v>2734</v>
      </c>
      <c r="E589" s="213" t="str">
        <f>VLOOKUP(B589,'Sales and count'!A:C,3,0)</f>
        <v>Riyadh</v>
      </c>
      <c r="F589" s="213" t="str">
        <f>VLOOKUP(B589,'Sales and count'!A:D,4,0)</f>
        <v>Lina Al Ghathami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2871.05</v>
      </c>
      <c r="AR589" s="4">
        <v>20</v>
      </c>
      <c r="AS589" s="4">
        <v>375</v>
      </c>
      <c r="AT589" s="4">
        <v>3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Q589" s="3">
        <f t="shared" si="20"/>
        <v>3246.05</v>
      </c>
      <c r="BR589" s="3">
        <f t="shared" si="19"/>
        <v>23</v>
      </c>
    </row>
    <row r="590" spans="1:70" x14ac:dyDescent="0.25">
      <c r="A590" t="s">
        <v>2716</v>
      </c>
      <c r="B590" t="s">
        <v>84</v>
      </c>
      <c r="C590" s="338" t="s">
        <v>2728</v>
      </c>
      <c r="D590" s="1" t="s">
        <v>2735</v>
      </c>
      <c r="E590" s="213" t="str">
        <f>VLOOKUP(B590,'Sales and count'!A:C,3,0)</f>
        <v>Makkah</v>
      </c>
      <c r="F590" s="213" t="str">
        <f>VLOOKUP(B590,'Sales and count'!A:D,4,0)</f>
        <v>Maram Zamzami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571</v>
      </c>
      <c r="AZ590" s="4">
        <v>3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Q590" s="3">
        <f t="shared" si="20"/>
        <v>571</v>
      </c>
      <c r="BR590" s="3">
        <f t="shared" si="19"/>
        <v>3</v>
      </c>
    </row>
    <row r="591" spans="1:70" x14ac:dyDescent="0.25">
      <c r="A591" t="s">
        <v>2717</v>
      </c>
      <c r="B591" t="s">
        <v>84</v>
      </c>
      <c r="C591" s="338" t="s">
        <v>2004</v>
      </c>
      <c r="D591" s="1" t="s">
        <v>1095</v>
      </c>
      <c r="E591" s="213" t="str">
        <f>VLOOKUP(B591,'Sales and count'!A:C,3,0)</f>
        <v>Makkah</v>
      </c>
      <c r="F591" s="213" t="str">
        <f>VLOOKUP(B591,'Sales and count'!A:D,4,0)</f>
        <v>Maram Zamzami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150</v>
      </c>
      <c r="AX591" s="4">
        <v>1</v>
      </c>
      <c r="AY591" s="4">
        <v>150.01</v>
      </c>
      <c r="AZ591" s="4">
        <v>1</v>
      </c>
      <c r="BA591" s="4">
        <v>1178.92</v>
      </c>
      <c r="BB591" s="4">
        <v>5</v>
      </c>
      <c r="BC591" s="4">
        <v>0</v>
      </c>
      <c r="BD591" s="4">
        <v>0</v>
      </c>
      <c r="BE591" s="4">
        <v>361.02</v>
      </c>
      <c r="BF591" s="4">
        <v>2</v>
      </c>
      <c r="BQ591" s="3">
        <f t="shared" si="20"/>
        <v>1839.95</v>
      </c>
      <c r="BR591" s="3">
        <f t="shared" si="19"/>
        <v>9</v>
      </c>
    </row>
    <row r="592" spans="1:70" x14ac:dyDescent="0.25">
      <c r="A592" t="s">
        <v>2718</v>
      </c>
      <c r="B592" t="s">
        <v>87</v>
      </c>
      <c r="C592" s="338" t="s">
        <v>1621</v>
      </c>
      <c r="D592" s="1" t="s">
        <v>712</v>
      </c>
      <c r="E592" s="213" t="str">
        <f>VLOOKUP(B592,'Sales and count'!A:C,3,0)</f>
        <v>Riyadh</v>
      </c>
      <c r="F592" s="213" t="str">
        <f>VLOOKUP(B592,'Sales and count'!A:D,4,0)</f>
        <v>Mohammed Sanad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665.01</v>
      </c>
      <c r="AT592" s="4">
        <v>5</v>
      </c>
      <c r="AU592" s="4">
        <v>300</v>
      </c>
      <c r="AV592" s="4">
        <v>2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Q592" s="3">
        <f t="shared" si="20"/>
        <v>965.01</v>
      </c>
      <c r="BR592" s="3">
        <f t="shared" si="19"/>
        <v>7</v>
      </c>
    </row>
    <row r="593" spans="1:70" x14ac:dyDescent="0.25">
      <c r="A593" t="s">
        <v>2719</v>
      </c>
      <c r="B593" t="s">
        <v>93</v>
      </c>
      <c r="C593" s="338" t="s">
        <v>2729</v>
      </c>
      <c r="D593" s="1" t="s">
        <v>2736</v>
      </c>
      <c r="E593" s="213" t="str">
        <f>VLOOKUP(B593,'Sales and count'!A:C,3,0)</f>
        <v>Makkah</v>
      </c>
      <c r="F593" s="213" t="str">
        <f>VLOOKUP(B593,'Sales and count'!A:D,4,0)</f>
        <v>Maram Zamzami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375</v>
      </c>
      <c r="AR593" s="4">
        <v>3</v>
      </c>
      <c r="AS593" s="4">
        <v>0</v>
      </c>
      <c r="AT593" s="4">
        <v>0</v>
      </c>
      <c r="AU593" s="4">
        <v>1296</v>
      </c>
      <c r="AV593" s="4">
        <v>9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Q593" s="3">
        <f t="shared" si="20"/>
        <v>1671</v>
      </c>
      <c r="BR593" s="3">
        <f t="shared" si="19"/>
        <v>12</v>
      </c>
    </row>
    <row r="594" spans="1:70" x14ac:dyDescent="0.25">
      <c r="A594" t="s">
        <v>2720</v>
      </c>
      <c r="B594" t="s">
        <v>94</v>
      </c>
      <c r="C594" s="338" t="s">
        <v>2058</v>
      </c>
      <c r="D594" s="1" t="s">
        <v>1149</v>
      </c>
      <c r="E594" s="213" t="str">
        <f>VLOOKUP(B594,'Sales and count'!A:C,3,0)</f>
        <v>Madinah</v>
      </c>
      <c r="F594" s="213" t="str">
        <f>VLOOKUP(B594,'Sales and count'!A:D,4,0)</f>
        <v>Mohammed Haidar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465</v>
      </c>
      <c r="AP594" s="4">
        <v>1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Q594" s="3">
        <f t="shared" si="20"/>
        <v>465</v>
      </c>
      <c r="BR594" s="3">
        <f t="shared" si="19"/>
        <v>1</v>
      </c>
    </row>
    <row r="595" spans="1:70" x14ac:dyDescent="0.25">
      <c r="A595" t="s">
        <v>2721</v>
      </c>
      <c r="B595" t="s">
        <v>99</v>
      </c>
      <c r="C595" s="338" t="s">
        <v>1991</v>
      </c>
      <c r="D595" s="1" t="s">
        <v>1082</v>
      </c>
      <c r="E595" s="213" t="str">
        <f>VLOOKUP(B595,'Sales and count'!A:C,3,0)</f>
        <v>Madinah</v>
      </c>
      <c r="F595" s="213" t="str">
        <f>VLOOKUP(B595,'Sales and count'!A:D,4,0)</f>
        <v>Mohammed Haidar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300.01</v>
      </c>
      <c r="AR595" s="4">
        <v>2</v>
      </c>
      <c r="AS595" s="4">
        <v>300</v>
      </c>
      <c r="AT595" s="4">
        <v>2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Q595" s="3">
        <f t="shared" si="20"/>
        <v>600.01</v>
      </c>
      <c r="BR595" s="3">
        <f t="shared" si="19"/>
        <v>4</v>
      </c>
    </row>
    <row r="596" spans="1:70" x14ac:dyDescent="0.25">
      <c r="A596" t="s">
        <v>2722</v>
      </c>
      <c r="B596" t="s">
        <v>100</v>
      </c>
      <c r="C596" s="338" t="s">
        <v>2730</v>
      </c>
      <c r="D596" s="1" t="s">
        <v>2737</v>
      </c>
      <c r="E596" s="213" t="str">
        <f>VLOOKUP(B596,'Sales and count'!A:C,3,0)</f>
        <v>Makkah</v>
      </c>
      <c r="F596" s="213" t="str">
        <f>VLOOKUP(B596,'Sales and count'!A:D,4,0)</f>
        <v>Maram Zamzami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210.98</v>
      </c>
      <c r="AX596" s="4">
        <v>1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Q596" s="3">
        <f t="shared" si="20"/>
        <v>210.98</v>
      </c>
      <c r="BR596" s="3">
        <f t="shared" si="19"/>
        <v>1</v>
      </c>
    </row>
    <row r="597" spans="1:70" x14ac:dyDescent="0.25">
      <c r="A597" t="s">
        <v>2723</v>
      </c>
      <c r="B597" t="s">
        <v>102</v>
      </c>
      <c r="C597" s="338" t="s">
        <v>2731</v>
      </c>
      <c r="D597" s="1" t="s">
        <v>2738</v>
      </c>
      <c r="E597" s="213" t="str">
        <f>VLOOKUP(B597,'Sales and count'!A:C,3,0)</f>
        <v>Buraidah</v>
      </c>
      <c r="F597" s="213" t="str">
        <f>VLOOKUP(B597,'Sales and count'!A:D,4,0)</f>
        <v>Lina Al Ghathami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154.01</v>
      </c>
      <c r="AR597" s="4">
        <v>2</v>
      </c>
      <c r="AS597" s="4">
        <v>0</v>
      </c>
      <c r="AT597" s="4">
        <v>0</v>
      </c>
      <c r="AU597" s="4">
        <v>396</v>
      </c>
      <c r="AV597" s="4">
        <v>6</v>
      </c>
      <c r="AW597" s="4">
        <v>1153.92</v>
      </c>
      <c r="AX597" s="4">
        <v>6</v>
      </c>
      <c r="AY597" s="4">
        <v>0</v>
      </c>
      <c r="AZ597" s="4">
        <v>0</v>
      </c>
      <c r="BA597" s="4">
        <v>285.98</v>
      </c>
      <c r="BB597" s="4">
        <v>2</v>
      </c>
      <c r="BC597" s="4">
        <v>0</v>
      </c>
      <c r="BD597" s="4">
        <v>0</v>
      </c>
      <c r="BE597" s="4">
        <v>1282.0899999999999</v>
      </c>
      <c r="BF597" s="4">
        <v>8</v>
      </c>
      <c r="BQ597" s="3">
        <f t="shared" si="20"/>
        <v>3272</v>
      </c>
      <c r="BR597" s="3">
        <f t="shared" si="19"/>
        <v>24</v>
      </c>
    </row>
    <row r="598" spans="1:70" x14ac:dyDescent="0.25">
      <c r="A598" t="s">
        <v>2724</v>
      </c>
      <c r="B598" t="s">
        <v>105</v>
      </c>
      <c r="C598" s="338" t="s">
        <v>1936</v>
      </c>
      <c r="D598" s="1" t="s">
        <v>1027</v>
      </c>
      <c r="E598" s="213" t="str">
        <f>VLOOKUP(B598,'Sales and count'!A:C,3,0)</f>
        <v>Arar</v>
      </c>
      <c r="F598" s="213" t="str">
        <f>VLOOKUP(B598,'Sales and count'!A:D,4,0)</f>
        <v>Mohammed Sanad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37</v>
      </c>
      <c r="AV598" s="4">
        <v>1</v>
      </c>
      <c r="AW598" s="4">
        <v>0</v>
      </c>
      <c r="AX598" s="4">
        <v>0</v>
      </c>
      <c r="AY598" s="4">
        <v>210.98</v>
      </c>
      <c r="AZ598" s="4">
        <v>1</v>
      </c>
      <c r="BA598" s="4">
        <v>105</v>
      </c>
      <c r="BB598" s="4">
        <v>2</v>
      </c>
      <c r="BC598" s="4">
        <v>0</v>
      </c>
      <c r="BD598" s="4">
        <v>0</v>
      </c>
      <c r="BE598" s="4">
        <v>0</v>
      </c>
      <c r="BF598" s="4">
        <v>0</v>
      </c>
      <c r="BQ598" s="3">
        <f t="shared" si="20"/>
        <v>352.98</v>
      </c>
      <c r="BR598" s="3">
        <f t="shared" si="19"/>
        <v>4</v>
      </c>
    </row>
    <row r="599" spans="1:70" x14ac:dyDescent="0.25">
      <c r="A599" t="s">
        <v>2725</v>
      </c>
      <c r="B599" t="s">
        <v>108</v>
      </c>
      <c r="C599" s="338" t="s">
        <v>2732</v>
      </c>
      <c r="D599" s="1" t="s">
        <v>2739</v>
      </c>
      <c r="E599" s="213" t="str">
        <f>VLOOKUP(B599,'Sales and count'!A:C,3,0)</f>
        <v>Yanbu</v>
      </c>
      <c r="F599" s="213" t="str">
        <f>VLOOKUP(B599,'Sales and count'!A:D,4,0)</f>
        <v>Mohammed Haidar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932.94</v>
      </c>
      <c r="AX599" s="4">
        <v>6</v>
      </c>
      <c r="AY599" s="4">
        <v>1719.95</v>
      </c>
      <c r="AZ599" s="4">
        <v>12</v>
      </c>
      <c r="BA599" s="4">
        <v>2625.87</v>
      </c>
      <c r="BB599" s="4">
        <v>17</v>
      </c>
      <c r="BC599" s="4">
        <v>0</v>
      </c>
      <c r="BD599" s="4">
        <v>0</v>
      </c>
      <c r="BE599" s="4">
        <v>1449.09</v>
      </c>
      <c r="BF599" s="4">
        <v>11</v>
      </c>
      <c r="BQ599" s="3">
        <f t="shared" si="20"/>
        <v>6727.85</v>
      </c>
      <c r="BR599" s="3">
        <f t="shared" si="19"/>
        <v>46</v>
      </c>
    </row>
    <row r="600" spans="1:70" x14ac:dyDescent="0.25">
      <c r="A600" t="s">
        <v>2726</v>
      </c>
      <c r="B600" t="s">
        <v>110</v>
      </c>
      <c r="C600" s="338" t="s">
        <v>2733</v>
      </c>
      <c r="D600" s="1" t="s">
        <v>2740</v>
      </c>
      <c r="E600" s="213" t="str">
        <f>VLOOKUP(B600,'Sales and count'!A:C,3,0)</f>
        <v>Jeddah</v>
      </c>
      <c r="F600" s="213" t="str">
        <f>VLOOKUP(B600,'Sales and count'!A:D,4,0)</f>
        <v>Ahlam Al Zahrani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150.01</v>
      </c>
      <c r="AR600" s="4">
        <v>1</v>
      </c>
      <c r="AS600" s="4">
        <v>2399.96</v>
      </c>
      <c r="AT600" s="4">
        <v>3</v>
      </c>
      <c r="AU600" s="4">
        <v>895.01</v>
      </c>
      <c r="AV600" s="4">
        <v>6</v>
      </c>
      <c r="AW600" s="4">
        <v>0</v>
      </c>
      <c r="AX600" s="4">
        <v>0</v>
      </c>
      <c r="AY600" s="4">
        <v>631.99</v>
      </c>
      <c r="AZ600" s="4">
        <v>3</v>
      </c>
      <c r="BA600" s="4">
        <v>0</v>
      </c>
      <c r="BB600" s="4">
        <v>0</v>
      </c>
      <c r="BC600" s="4">
        <v>0</v>
      </c>
      <c r="BD600" s="4">
        <v>0</v>
      </c>
      <c r="BE600" s="4">
        <v>397.03</v>
      </c>
      <c r="BF600" s="4">
        <v>3</v>
      </c>
      <c r="BQ600" s="3">
        <f t="shared" si="20"/>
        <v>4474</v>
      </c>
      <c r="BR600" s="3">
        <f t="shared" si="19"/>
        <v>16</v>
      </c>
    </row>
    <row r="601" spans="1:70" x14ac:dyDescent="0.25">
      <c r="A601" t="s">
        <v>2763</v>
      </c>
      <c r="B601" t="s">
        <v>44</v>
      </c>
      <c r="C601" s="338" t="s">
        <v>1854</v>
      </c>
      <c r="D601" s="1" t="s">
        <v>945</v>
      </c>
      <c r="E601" s="213" t="str">
        <f>VLOOKUP(B601,'Sales and count'!A:C,3,0)</f>
        <v>Riyadh</v>
      </c>
      <c r="F601" s="213" t="str">
        <f>VLOOKUP(B601,'Sales and count'!A:D,4,0)</f>
        <v>Mohammed Sanad</v>
      </c>
      <c r="BE601" s="4">
        <v>1780.13</v>
      </c>
      <c r="BF601" s="4">
        <v>8</v>
      </c>
    </row>
    <row r="602" spans="1:70" x14ac:dyDescent="0.25">
      <c r="A602" t="s">
        <v>2764</v>
      </c>
      <c r="B602" t="s">
        <v>56</v>
      </c>
      <c r="C602" s="338" t="s">
        <v>2761</v>
      </c>
      <c r="D602" s="1" t="s">
        <v>2762</v>
      </c>
      <c r="E602" s="213" t="str">
        <f>VLOOKUP(B602,'Sales and count'!A:C,3,0)</f>
        <v>Madinah</v>
      </c>
      <c r="F602" s="213" t="str">
        <f>VLOOKUP(B602,'Sales and count'!A:D,4,0)</f>
        <v>Mohammed Haidar</v>
      </c>
      <c r="BE602" s="4">
        <v>690.06</v>
      </c>
      <c r="BF602" s="4">
        <v>5</v>
      </c>
    </row>
    <row r="603" spans="1:70" x14ac:dyDescent="0.25">
      <c r="A603" t="s">
        <v>2765</v>
      </c>
      <c r="B603" t="s">
        <v>107</v>
      </c>
      <c r="C603" s="338" t="s">
        <v>1992</v>
      </c>
      <c r="D603" s="1" t="s">
        <v>1083</v>
      </c>
      <c r="E603" s="213" t="str">
        <f>VLOOKUP(B603,'Sales and count'!A:C,3,0)</f>
        <v>Madinah</v>
      </c>
      <c r="F603" s="213" t="str">
        <f>VLOOKUP(B603,'Sales and count'!A:D,4,0)</f>
        <v>Mohammed Haidar</v>
      </c>
      <c r="BE603" s="4">
        <v>671.03</v>
      </c>
      <c r="BF603" s="4">
        <v>3</v>
      </c>
    </row>
    <row r="604" spans="1:70" x14ac:dyDescent="0.25">
      <c r="A604" t="s">
        <v>2766</v>
      </c>
      <c r="B604" t="s">
        <v>117</v>
      </c>
      <c r="C604" s="338" t="s">
        <v>2031</v>
      </c>
      <c r="D604" s="1" t="s">
        <v>1122</v>
      </c>
      <c r="E604" s="213" t="str">
        <f>VLOOKUP(B604,'Sales and count'!A:C,3,0)</f>
        <v>Makkah</v>
      </c>
      <c r="F604" s="213" t="str">
        <f>VLOOKUP(B604,'Sales and count'!A:D,4,0)</f>
        <v>Maram Zamzami</v>
      </c>
      <c r="BE604" s="4">
        <v>175</v>
      </c>
      <c r="BF604" s="4">
        <v>1</v>
      </c>
    </row>
  </sheetData>
  <autoFilter ref="B3:BR600" xr:uid="{F12C53FD-3428-40DD-9813-4A9415A42D9F}"/>
  <conditionalFormatting sqref="A5:A586">
    <cfRule type="duplicateValues" dxfId="4" priority="1"/>
  </conditionalFormatting>
  <conditionalFormatting sqref="C5:C571">
    <cfRule type="duplicateValues" dxfId="3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9BDE-CFD7-4A08-9735-86DC03E0F37D}">
  <dimension ref="A2:AI71"/>
  <sheetViews>
    <sheetView workbookViewId="0">
      <selection activeCell="A5" sqref="A5"/>
    </sheetView>
  </sheetViews>
  <sheetFormatPr defaultRowHeight="15" x14ac:dyDescent="0.25"/>
  <cols>
    <col min="1" max="1" width="6.28515625" bestFit="1" customWidth="1"/>
    <col min="2" max="2" width="14.28515625" bestFit="1" customWidth="1"/>
    <col min="3" max="33" width="11.140625" bestFit="1" customWidth="1"/>
    <col min="34" max="34" width="16.140625" bestFit="1" customWidth="1"/>
    <col min="35" max="35" width="10.5703125" bestFit="1" customWidth="1"/>
  </cols>
  <sheetData>
    <row r="2" spans="1:35" x14ac:dyDescent="0.25">
      <c r="C2" s="75">
        <v>45931</v>
      </c>
      <c r="D2" s="75">
        <v>45932</v>
      </c>
      <c r="E2" s="75">
        <v>45933</v>
      </c>
      <c r="F2" s="75">
        <v>45934</v>
      </c>
      <c r="G2" s="75">
        <v>45935</v>
      </c>
      <c r="H2" s="75">
        <v>45936</v>
      </c>
      <c r="I2" s="75">
        <v>45937</v>
      </c>
      <c r="J2" s="75">
        <v>45938</v>
      </c>
      <c r="K2" s="75">
        <v>45939</v>
      </c>
      <c r="L2" s="75">
        <v>45940</v>
      </c>
      <c r="M2" s="75">
        <v>45941</v>
      </c>
      <c r="N2" s="75">
        <v>45942</v>
      </c>
      <c r="O2" s="75">
        <v>45943</v>
      </c>
      <c r="P2" s="75">
        <v>45944</v>
      </c>
      <c r="Q2" s="75">
        <v>45945</v>
      </c>
      <c r="R2" s="75">
        <v>45946</v>
      </c>
      <c r="S2" s="75">
        <v>45947</v>
      </c>
      <c r="T2" s="75">
        <v>45948</v>
      </c>
      <c r="U2" s="75">
        <v>45949</v>
      </c>
      <c r="V2" s="75">
        <v>45950</v>
      </c>
      <c r="W2" s="75">
        <v>45951</v>
      </c>
      <c r="X2" s="75">
        <v>45952</v>
      </c>
      <c r="Y2" s="75">
        <v>45953</v>
      </c>
      <c r="Z2" s="75">
        <v>45954</v>
      </c>
      <c r="AA2" s="75">
        <v>45955</v>
      </c>
      <c r="AB2" s="75">
        <v>45956</v>
      </c>
      <c r="AC2" s="75">
        <v>45957</v>
      </c>
      <c r="AD2" s="75">
        <v>45958</v>
      </c>
      <c r="AE2" s="75">
        <v>45959</v>
      </c>
      <c r="AF2" s="75">
        <v>45960</v>
      </c>
      <c r="AG2" s="75">
        <v>45961</v>
      </c>
    </row>
    <row r="3" spans="1:35" x14ac:dyDescent="0.25">
      <c r="A3">
        <v>67</v>
      </c>
      <c r="C3" s="76">
        <v>821505.21</v>
      </c>
      <c r="D3" s="76">
        <v>928451.57999999973</v>
      </c>
      <c r="E3" s="76">
        <v>1161993.1200000001</v>
      </c>
      <c r="F3" s="76">
        <v>1063073.0499999998</v>
      </c>
      <c r="G3" s="76">
        <v>519775.89000000007</v>
      </c>
      <c r="H3" s="76">
        <v>462174.86</v>
      </c>
      <c r="I3" s="76">
        <v>433248.57</v>
      </c>
      <c r="J3" s="76">
        <v>437396.8</v>
      </c>
      <c r="K3" s="76">
        <v>548585.7200000002</v>
      </c>
      <c r="L3" s="76">
        <v>659159.94000000006</v>
      </c>
      <c r="M3" s="76">
        <v>675903.10999999987</v>
      </c>
      <c r="N3" s="76">
        <v>442839.65000000014</v>
      </c>
      <c r="O3" s="76">
        <v>382261.74000000005</v>
      </c>
      <c r="P3" s="76">
        <v>388748.78000000014</v>
      </c>
      <c r="Q3" s="76">
        <v>420745.81000000006</v>
      </c>
      <c r="R3" s="76">
        <v>468575.28</v>
      </c>
      <c r="S3" s="76">
        <v>598723.34000000032</v>
      </c>
      <c r="T3" s="76">
        <v>497426.06000000011</v>
      </c>
      <c r="U3" s="76">
        <v>344887.61999999994</v>
      </c>
      <c r="V3" s="76">
        <v>320617.2</v>
      </c>
      <c r="W3" s="76">
        <v>316836.83</v>
      </c>
      <c r="X3" s="76">
        <v>354651.93000000011</v>
      </c>
      <c r="Y3" s="76">
        <v>491486.00000000006</v>
      </c>
      <c r="Z3" s="76">
        <v>593155.58999999985</v>
      </c>
      <c r="AA3" s="76">
        <v>576566.59999999986</v>
      </c>
      <c r="AB3" s="76">
        <v>419287.24000000005</v>
      </c>
      <c r="AC3" s="76">
        <v>644635.38000000012</v>
      </c>
      <c r="AD3" s="76">
        <v>663176.75000000012</v>
      </c>
      <c r="AE3" s="76">
        <v>792836.5700000003</v>
      </c>
      <c r="AF3" s="76">
        <v>926517.2100000002</v>
      </c>
      <c r="AG3" s="76">
        <v>971986.35000000044</v>
      </c>
      <c r="AH3" s="77">
        <v>18327229.779999997</v>
      </c>
      <c r="AI3" s="76">
        <v>8154107.5000000028</v>
      </c>
    </row>
    <row r="4" spans="1:35" x14ac:dyDescent="0.25">
      <c r="A4" t="s">
        <v>11</v>
      </c>
      <c r="B4" t="s">
        <v>237</v>
      </c>
      <c r="C4" t="s">
        <v>238</v>
      </c>
      <c r="D4" t="s">
        <v>238</v>
      </c>
      <c r="E4" t="s">
        <v>238</v>
      </c>
      <c r="F4" t="s">
        <v>238</v>
      </c>
      <c r="G4" t="s">
        <v>238</v>
      </c>
      <c r="H4" t="s">
        <v>238</v>
      </c>
      <c r="I4" t="s">
        <v>238</v>
      </c>
      <c r="J4" t="s">
        <v>238</v>
      </c>
      <c r="K4" t="s">
        <v>238</v>
      </c>
      <c r="L4" t="s">
        <v>238</v>
      </c>
      <c r="M4" t="s">
        <v>238</v>
      </c>
      <c r="N4" t="s">
        <v>238</v>
      </c>
      <c r="O4" t="s">
        <v>238</v>
      </c>
      <c r="P4" t="s">
        <v>238</v>
      </c>
      <c r="Q4" t="s">
        <v>238</v>
      </c>
      <c r="R4" t="s">
        <v>238</v>
      </c>
      <c r="S4" t="s">
        <v>238</v>
      </c>
      <c r="T4" t="s">
        <v>238</v>
      </c>
      <c r="U4" t="s">
        <v>238</v>
      </c>
      <c r="V4" t="s">
        <v>238</v>
      </c>
      <c r="W4" t="s">
        <v>238</v>
      </c>
      <c r="X4" t="s">
        <v>238</v>
      </c>
      <c r="Y4" t="s">
        <v>238</v>
      </c>
      <c r="Z4" t="s">
        <v>238</v>
      </c>
      <c r="AA4" t="s">
        <v>238</v>
      </c>
      <c r="AB4" t="s">
        <v>238</v>
      </c>
      <c r="AC4" t="s">
        <v>238</v>
      </c>
      <c r="AD4" t="s">
        <v>238</v>
      </c>
      <c r="AE4" t="s">
        <v>238</v>
      </c>
      <c r="AF4" t="s">
        <v>238</v>
      </c>
      <c r="AG4" t="s">
        <v>238</v>
      </c>
      <c r="AH4" t="s">
        <v>239</v>
      </c>
      <c r="AI4" t="s">
        <v>240</v>
      </c>
    </row>
    <row r="5" spans="1:35" x14ac:dyDescent="0.25">
      <c r="A5">
        <v>1</v>
      </c>
      <c r="B5" t="s">
        <v>12</v>
      </c>
      <c r="C5" s="76">
        <v>41262.04</v>
      </c>
      <c r="D5" s="76">
        <v>47873.27</v>
      </c>
      <c r="E5" s="76">
        <v>72489.13</v>
      </c>
      <c r="F5" s="76">
        <v>13605.4</v>
      </c>
      <c r="G5" s="76">
        <v>0</v>
      </c>
      <c r="H5" s="76">
        <v>19779.48</v>
      </c>
      <c r="I5" s="76">
        <v>24930.54</v>
      </c>
      <c r="J5" s="76">
        <v>25500.59</v>
      </c>
      <c r="K5" s="76">
        <v>28710.76</v>
      </c>
      <c r="L5" s="76">
        <v>43365.95</v>
      </c>
      <c r="M5" s="76">
        <v>48646.37</v>
      </c>
      <c r="N5" s="76">
        <v>26460.62</v>
      </c>
      <c r="O5" s="76">
        <v>22320.49</v>
      </c>
      <c r="P5" s="76">
        <v>17025.41</v>
      </c>
      <c r="Q5" s="76">
        <v>23445.61</v>
      </c>
      <c r="R5" s="76">
        <v>24540.68</v>
      </c>
      <c r="S5" s="76">
        <v>45286.04</v>
      </c>
      <c r="T5" s="76">
        <v>35340.82</v>
      </c>
      <c r="U5" s="76">
        <v>23040.62</v>
      </c>
      <c r="V5" s="76">
        <v>21690.53</v>
      </c>
      <c r="W5" s="76">
        <v>16530.34</v>
      </c>
      <c r="X5" s="76">
        <v>13941.32</v>
      </c>
      <c r="Y5" s="76">
        <v>23255.51</v>
      </c>
      <c r="Z5" s="76">
        <v>45187.89</v>
      </c>
      <c r="AA5" s="76">
        <v>19723.55</v>
      </c>
      <c r="AB5" s="76">
        <v>30732.62</v>
      </c>
      <c r="AC5" s="76">
        <v>32014.639999999999</v>
      </c>
      <c r="AD5" s="76">
        <v>38238.699999999997</v>
      </c>
      <c r="AE5" s="76">
        <v>41886.81</v>
      </c>
      <c r="AF5" s="76">
        <v>50032.04</v>
      </c>
      <c r="AG5" s="76">
        <v>58337.15</v>
      </c>
      <c r="AH5" s="76">
        <v>975194.92</v>
      </c>
      <c r="AI5" s="76">
        <v>392624.15</v>
      </c>
    </row>
    <row r="6" spans="1:35" x14ac:dyDescent="0.25">
      <c r="A6">
        <v>2</v>
      </c>
      <c r="B6" t="s">
        <v>13</v>
      </c>
      <c r="C6" s="76">
        <v>18012.52</v>
      </c>
      <c r="D6" s="76">
        <v>20802.689999999999</v>
      </c>
      <c r="E6" s="76">
        <v>24430.71</v>
      </c>
      <c r="F6" s="76">
        <v>32637.9</v>
      </c>
      <c r="G6" s="76">
        <v>15375.28</v>
      </c>
      <c r="H6" s="76">
        <v>13950.24</v>
      </c>
      <c r="I6" s="76">
        <v>17730.47</v>
      </c>
      <c r="J6" s="76">
        <v>15195.31</v>
      </c>
      <c r="K6" s="76">
        <v>14970.42</v>
      </c>
      <c r="L6" s="76">
        <v>17625.400000000001</v>
      </c>
      <c r="M6" s="76">
        <v>12750.21</v>
      </c>
      <c r="N6" s="76">
        <v>10425.290000000001</v>
      </c>
      <c r="O6" s="76">
        <v>11100.26</v>
      </c>
      <c r="P6" s="76">
        <v>11610.25</v>
      </c>
      <c r="Q6" s="76">
        <v>13695.35</v>
      </c>
      <c r="R6" s="76">
        <v>11100.24</v>
      </c>
      <c r="S6" s="76">
        <v>14520.37</v>
      </c>
      <c r="T6" s="76">
        <v>18165.46</v>
      </c>
      <c r="U6" s="76">
        <v>9630.23</v>
      </c>
      <c r="V6" s="76">
        <v>9060.23</v>
      </c>
      <c r="W6" s="76">
        <v>12135.29</v>
      </c>
      <c r="X6" s="76">
        <v>9741.25</v>
      </c>
      <c r="Y6" s="76">
        <v>9940.18</v>
      </c>
      <c r="Z6" s="76">
        <v>14580.24</v>
      </c>
      <c r="AA6" s="76">
        <v>14497.32</v>
      </c>
      <c r="AB6" s="76">
        <v>15030.35</v>
      </c>
      <c r="AC6" s="76">
        <v>18167.240000000002</v>
      </c>
      <c r="AD6" s="76">
        <v>21217.37</v>
      </c>
      <c r="AE6" s="76">
        <v>19953.32</v>
      </c>
      <c r="AF6" s="76">
        <v>20482.25</v>
      </c>
      <c r="AG6" s="76">
        <v>21994.46</v>
      </c>
      <c r="AH6" s="76">
        <v>490528.1</v>
      </c>
      <c r="AI6" s="76">
        <v>213906.44</v>
      </c>
    </row>
    <row r="7" spans="1:35" x14ac:dyDescent="0.25">
      <c r="A7">
        <v>3</v>
      </c>
      <c r="B7" t="s">
        <v>14</v>
      </c>
      <c r="C7" s="76">
        <v>25388.7</v>
      </c>
      <c r="D7" s="76">
        <v>18691.47</v>
      </c>
      <c r="E7" s="76">
        <v>10473.36</v>
      </c>
      <c r="F7" s="76">
        <v>18596.5</v>
      </c>
      <c r="G7" s="76">
        <v>15375.26</v>
      </c>
      <c r="H7" s="76">
        <v>6885.2</v>
      </c>
      <c r="I7" s="76">
        <v>8085.12</v>
      </c>
      <c r="J7" s="76">
        <v>8820.2099999999991</v>
      </c>
      <c r="K7" s="76">
        <v>11445.24</v>
      </c>
      <c r="L7" s="76">
        <v>10860.24</v>
      </c>
      <c r="M7" s="76">
        <v>12765.25</v>
      </c>
      <c r="N7" s="76">
        <v>9435.15</v>
      </c>
      <c r="O7" s="76">
        <v>6345.11</v>
      </c>
      <c r="P7" s="76">
        <v>9675.26</v>
      </c>
      <c r="Q7" s="76">
        <v>8955.15</v>
      </c>
      <c r="R7" s="76">
        <v>6030.13</v>
      </c>
      <c r="S7" s="76">
        <v>9345.06</v>
      </c>
      <c r="T7" s="76">
        <v>10230.23</v>
      </c>
      <c r="U7" s="76">
        <v>9390.24</v>
      </c>
      <c r="V7" s="76">
        <v>6870.08</v>
      </c>
      <c r="W7" s="76">
        <v>8160.24</v>
      </c>
      <c r="X7" s="76">
        <v>7485.22</v>
      </c>
      <c r="Y7" s="76">
        <v>6886.08</v>
      </c>
      <c r="Z7" s="76">
        <v>9441.23</v>
      </c>
      <c r="AA7" s="76">
        <v>13767.21</v>
      </c>
      <c r="AB7" s="76">
        <v>8358.11</v>
      </c>
      <c r="AC7" s="76">
        <v>12108.2</v>
      </c>
      <c r="AD7" s="76">
        <v>13784.16</v>
      </c>
      <c r="AE7" s="76">
        <v>16984.22</v>
      </c>
      <c r="AF7" s="76">
        <v>12118.11</v>
      </c>
      <c r="AG7" s="76">
        <v>15883.22</v>
      </c>
      <c r="AH7" s="76">
        <v>348638.95999999985</v>
      </c>
      <c r="AI7" s="76">
        <v>156821.69999999998</v>
      </c>
    </row>
    <row r="8" spans="1:35" x14ac:dyDescent="0.25">
      <c r="A8">
        <v>4</v>
      </c>
      <c r="B8" t="s">
        <v>15</v>
      </c>
      <c r="C8" s="76">
        <v>15364.42</v>
      </c>
      <c r="D8" s="76">
        <v>17163.419999999998</v>
      </c>
      <c r="E8" s="76">
        <v>19381.599999999999</v>
      </c>
      <c r="F8" s="76">
        <v>17788.39</v>
      </c>
      <c r="G8" s="76">
        <v>11430.32</v>
      </c>
      <c r="H8" s="76">
        <v>10365.26</v>
      </c>
      <c r="I8" s="76">
        <v>6795.19</v>
      </c>
      <c r="J8" s="76">
        <v>9150.2000000000007</v>
      </c>
      <c r="K8" s="76">
        <v>11580.4</v>
      </c>
      <c r="L8" s="76">
        <v>10335.23</v>
      </c>
      <c r="M8" s="76">
        <v>7500.12</v>
      </c>
      <c r="N8" s="76">
        <v>8790.18</v>
      </c>
      <c r="O8" s="76">
        <v>5745.17</v>
      </c>
      <c r="P8" s="76">
        <v>6105.12</v>
      </c>
      <c r="Q8" s="76">
        <v>6195.14</v>
      </c>
      <c r="R8" s="76">
        <v>7605.17</v>
      </c>
      <c r="S8" s="76">
        <v>11340.33</v>
      </c>
      <c r="T8" s="76">
        <v>8310.17</v>
      </c>
      <c r="U8" s="76">
        <v>5805.11</v>
      </c>
      <c r="V8" s="76">
        <v>6300.14</v>
      </c>
      <c r="W8" s="76">
        <v>5490.14</v>
      </c>
      <c r="X8" s="76">
        <v>7305.25</v>
      </c>
      <c r="Y8" s="76">
        <v>7405.18</v>
      </c>
      <c r="Z8" s="76">
        <v>7610.1</v>
      </c>
      <c r="AA8" s="76">
        <v>6445.06</v>
      </c>
      <c r="AB8" s="76">
        <v>5684.05</v>
      </c>
      <c r="AC8" s="76">
        <v>9750.2199999999993</v>
      </c>
      <c r="AD8" s="76">
        <v>9841.2199999999993</v>
      </c>
      <c r="AE8" s="76">
        <v>15339.19</v>
      </c>
      <c r="AF8" s="76">
        <v>13910.23</v>
      </c>
      <c r="AG8" s="76">
        <v>14310.25</v>
      </c>
      <c r="AH8" s="76">
        <v>306141.96999999997</v>
      </c>
      <c r="AI8" s="76">
        <v>145644.72999999998</v>
      </c>
    </row>
    <row r="9" spans="1:35" x14ac:dyDescent="0.25">
      <c r="A9">
        <v>5</v>
      </c>
      <c r="B9" t="s">
        <v>16</v>
      </c>
      <c r="C9" s="76">
        <v>18574.7</v>
      </c>
      <c r="D9" s="76">
        <v>15832.51</v>
      </c>
      <c r="E9" s="76">
        <v>14981.48</v>
      </c>
      <c r="F9" s="76">
        <v>16321.52</v>
      </c>
      <c r="G9" s="76">
        <v>9121.26</v>
      </c>
      <c r="H9" s="76">
        <v>8310.1299999999992</v>
      </c>
      <c r="I9" s="76">
        <v>8415.2199999999993</v>
      </c>
      <c r="J9" s="76">
        <v>8310.14</v>
      </c>
      <c r="K9" s="76">
        <v>11355.24</v>
      </c>
      <c r="L9" s="76">
        <v>7680.15</v>
      </c>
      <c r="M9" s="76">
        <v>9420.2199999999993</v>
      </c>
      <c r="N9" s="76">
        <v>5565.08</v>
      </c>
      <c r="O9" s="76">
        <v>5685.06</v>
      </c>
      <c r="P9" s="76">
        <v>6090.12</v>
      </c>
      <c r="Q9" s="76">
        <v>9765.31</v>
      </c>
      <c r="R9" s="76">
        <v>6375.14</v>
      </c>
      <c r="S9" s="76">
        <v>4515.04</v>
      </c>
      <c r="T9" s="76">
        <v>7245.15</v>
      </c>
      <c r="U9" s="76">
        <v>5745.1</v>
      </c>
      <c r="V9" s="76">
        <v>3735.08</v>
      </c>
      <c r="W9" s="76">
        <v>5775.08</v>
      </c>
      <c r="X9" s="76">
        <v>6040.13</v>
      </c>
      <c r="Y9" s="76">
        <v>7651.13</v>
      </c>
      <c r="Z9" s="76">
        <v>5192.13</v>
      </c>
      <c r="AA9" s="76">
        <v>6572.16</v>
      </c>
      <c r="AB9" s="76">
        <v>3758.08</v>
      </c>
      <c r="AC9" s="76">
        <v>8841.1</v>
      </c>
      <c r="AD9" s="76">
        <v>10101.18</v>
      </c>
      <c r="AE9" s="76">
        <v>14363.29</v>
      </c>
      <c r="AF9" s="76">
        <v>17588.38</v>
      </c>
      <c r="AG9" s="76">
        <v>10815.19</v>
      </c>
      <c r="AH9" s="76">
        <v>279741.5</v>
      </c>
      <c r="AI9" s="76">
        <v>133887.65</v>
      </c>
    </row>
    <row r="10" spans="1:35" x14ac:dyDescent="0.25">
      <c r="A10">
        <v>6</v>
      </c>
      <c r="B10" t="s">
        <v>17</v>
      </c>
      <c r="C10" s="76">
        <v>21540.53</v>
      </c>
      <c r="D10" s="76">
        <v>24537.73</v>
      </c>
      <c r="E10" s="76">
        <v>32001.09</v>
      </c>
      <c r="F10" s="76">
        <v>30787.91</v>
      </c>
      <c r="G10" s="76">
        <v>17790.36</v>
      </c>
      <c r="H10" s="76">
        <v>21045.57</v>
      </c>
      <c r="I10" s="76">
        <v>15736.62</v>
      </c>
      <c r="J10" s="76">
        <v>8055.14</v>
      </c>
      <c r="K10" s="76">
        <v>11993.16</v>
      </c>
      <c r="L10" s="76">
        <v>15180.37</v>
      </c>
      <c r="M10" s="76">
        <v>14746.26</v>
      </c>
      <c r="N10" s="76">
        <v>10530.22</v>
      </c>
      <c r="O10" s="76">
        <v>13065.24</v>
      </c>
      <c r="P10" s="76">
        <v>10185.219999999999</v>
      </c>
      <c r="Q10" s="76">
        <v>12420.26</v>
      </c>
      <c r="R10" s="76">
        <v>7455.11</v>
      </c>
      <c r="S10" s="76">
        <v>14445.29</v>
      </c>
      <c r="T10" s="76">
        <v>9675.2199999999993</v>
      </c>
      <c r="U10" s="76">
        <v>16095.48</v>
      </c>
      <c r="V10" s="76">
        <v>12525.35</v>
      </c>
      <c r="W10" s="76">
        <v>9015.19</v>
      </c>
      <c r="X10" s="76">
        <v>8399.16</v>
      </c>
      <c r="Y10" s="76">
        <v>16396.29</v>
      </c>
      <c r="Z10" s="76">
        <v>14289.22</v>
      </c>
      <c r="AA10" s="76">
        <v>13919.26</v>
      </c>
      <c r="AB10" s="76">
        <v>9897.2000000000007</v>
      </c>
      <c r="AC10" s="76">
        <v>14022.12</v>
      </c>
      <c r="AD10" s="76">
        <v>15285.19</v>
      </c>
      <c r="AE10" s="76">
        <v>17863.25</v>
      </c>
      <c r="AF10" s="76">
        <v>21116.35</v>
      </c>
      <c r="AG10" s="76">
        <v>24962.33</v>
      </c>
      <c r="AH10" s="76">
        <v>484977.68999999989</v>
      </c>
      <c r="AI10" s="76">
        <v>223944.96000000002</v>
      </c>
    </row>
    <row r="11" spans="1:35" x14ac:dyDescent="0.25">
      <c r="A11">
        <v>7</v>
      </c>
      <c r="B11" t="s">
        <v>18</v>
      </c>
      <c r="C11" s="76">
        <v>16722.580000000002</v>
      </c>
      <c r="D11" s="76">
        <v>19726.59</v>
      </c>
      <c r="E11" s="76">
        <v>13522.38</v>
      </c>
      <c r="F11" s="76">
        <v>17155.439999999999</v>
      </c>
      <c r="G11" s="76">
        <v>8070.16</v>
      </c>
      <c r="H11" s="76">
        <v>10230.26</v>
      </c>
      <c r="I11" s="76">
        <v>7290.14</v>
      </c>
      <c r="J11" s="76">
        <v>8580.19</v>
      </c>
      <c r="K11" s="76">
        <v>10290.290000000001</v>
      </c>
      <c r="L11" s="76">
        <v>11400.21</v>
      </c>
      <c r="M11" s="76">
        <v>6060.11</v>
      </c>
      <c r="N11" s="76">
        <v>8430.2199999999993</v>
      </c>
      <c r="O11" s="76">
        <v>6210.14</v>
      </c>
      <c r="P11" s="76">
        <v>12585.39</v>
      </c>
      <c r="Q11" s="76">
        <v>7560.16</v>
      </c>
      <c r="R11" s="76">
        <v>7320.15</v>
      </c>
      <c r="S11" s="76">
        <v>8430.18</v>
      </c>
      <c r="T11" s="76">
        <v>7290.16</v>
      </c>
      <c r="U11" s="76">
        <v>9015.2000000000007</v>
      </c>
      <c r="V11" s="76">
        <v>6015.15</v>
      </c>
      <c r="W11" s="76">
        <v>5775.13</v>
      </c>
      <c r="X11" s="76">
        <v>9589.24</v>
      </c>
      <c r="Y11" s="76">
        <v>6734.09</v>
      </c>
      <c r="Z11" s="76">
        <v>7411.13</v>
      </c>
      <c r="AA11" s="76">
        <v>9992.14</v>
      </c>
      <c r="AB11" s="76">
        <v>7356.16</v>
      </c>
      <c r="AC11" s="76">
        <v>11900.24</v>
      </c>
      <c r="AD11" s="76">
        <v>6698.05</v>
      </c>
      <c r="AE11" s="76">
        <v>12726.18</v>
      </c>
      <c r="AF11" s="76">
        <v>11116.17</v>
      </c>
      <c r="AG11" s="76">
        <v>14900.15</v>
      </c>
      <c r="AH11" s="76">
        <v>306103.77999999997</v>
      </c>
      <c r="AI11" s="76">
        <v>137478.56999999998</v>
      </c>
    </row>
    <row r="12" spans="1:35" x14ac:dyDescent="0.25">
      <c r="A12">
        <v>8</v>
      </c>
      <c r="B12" t="s">
        <v>19</v>
      </c>
      <c r="C12" s="76">
        <v>14668.39</v>
      </c>
      <c r="D12" s="76">
        <v>31776.07</v>
      </c>
      <c r="E12" s="76">
        <v>21190.639999999999</v>
      </c>
      <c r="F12" s="76">
        <v>17418.54</v>
      </c>
      <c r="G12" s="76">
        <v>8145.15</v>
      </c>
      <c r="H12" s="76">
        <v>8865.23</v>
      </c>
      <c r="I12" s="76">
        <v>6315.19</v>
      </c>
      <c r="J12" s="76">
        <v>5895.07</v>
      </c>
      <c r="K12" s="76">
        <v>10230.25</v>
      </c>
      <c r="L12" s="76">
        <v>8550.16</v>
      </c>
      <c r="M12" s="76">
        <v>10875.28</v>
      </c>
      <c r="N12" s="76">
        <v>5160.12</v>
      </c>
      <c r="O12" s="76">
        <v>4860.09</v>
      </c>
      <c r="P12" s="76">
        <v>6045.12</v>
      </c>
      <c r="Q12" s="76">
        <v>6735.08</v>
      </c>
      <c r="R12" s="76">
        <v>7200.13</v>
      </c>
      <c r="S12" s="76">
        <v>8175.19</v>
      </c>
      <c r="T12" s="76">
        <v>5190.09</v>
      </c>
      <c r="U12" s="76">
        <v>4005.05</v>
      </c>
      <c r="V12" s="76">
        <v>5505.13</v>
      </c>
      <c r="W12" s="76">
        <v>8115.14</v>
      </c>
      <c r="X12" s="76">
        <v>7974.15</v>
      </c>
      <c r="Y12" s="76">
        <v>7445.14</v>
      </c>
      <c r="Z12" s="76">
        <v>6062.11</v>
      </c>
      <c r="AA12" s="76">
        <v>9370.18</v>
      </c>
      <c r="AB12" s="76">
        <v>6797.11</v>
      </c>
      <c r="AC12" s="76">
        <v>11031.15</v>
      </c>
      <c r="AD12" s="76">
        <v>9216.1</v>
      </c>
      <c r="AE12" s="76">
        <v>12911.18</v>
      </c>
      <c r="AF12" s="76">
        <v>14332.16</v>
      </c>
      <c r="AG12" s="76">
        <v>17817.23</v>
      </c>
      <c r="AH12" s="76">
        <v>307877.61999999988</v>
      </c>
      <c r="AI12" s="76">
        <v>149090.09</v>
      </c>
    </row>
    <row r="13" spans="1:35" x14ac:dyDescent="0.25">
      <c r="A13">
        <v>9</v>
      </c>
      <c r="B13" t="s">
        <v>20</v>
      </c>
      <c r="C13" s="76">
        <v>13435.36</v>
      </c>
      <c r="D13" s="76">
        <v>15645.4</v>
      </c>
      <c r="E13" s="76">
        <v>17666.490000000002</v>
      </c>
      <c r="F13" s="76">
        <v>13588.3</v>
      </c>
      <c r="G13" s="76">
        <v>9825.23</v>
      </c>
      <c r="H13" s="76">
        <v>8865.17</v>
      </c>
      <c r="I13" s="76">
        <v>10380.200000000001</v>
      </c>
      <c r="J13" s="76">
        <v>8430.24</v>
      </c>
      <c r="K13" s="76">
        <v>9990.19</v>
      </c>
      <c r="L13" s="76">
        <v>7200.1</v>
      </c>
      <c r="M13" s="76">
        <v>7485.14</v>
      </c>
      <c r="N13" s="76">
        <v>7095.18</v>
      </c>
      <c r="O13" s="76">
        <v>6180.13</v>
      </c>
      <c r="P13" s="76">
        <v>5565.11</v>
      </c>
      <c r="Q13" s="76">
        <v>3945.04</v>
      </c>
      <c r="R13" s="76">
        <v>7860.16</v>
      </c>
      <c r="S13" s="76">
        <v>5670.06</v>
      </c>
      <c r="T13" s="76">
        <v>6735.11</v>
      </c>
      <c r="U13" s="76">
        <v>5670.08</v>
      </c>
      <c r="V13" s="76">
        <v>4950.1000000000004</v>
      </c>
      <c r="W13" s="76">
        <v>7185.15</v>
      </c>
      <c r="X13" s="76">
        <v>4740.0600000000004</v>
      </c>
      <c r="Y13" s="76">
        <v>12225.32</v>
      </c>
      <c r="Z13" s="76">
        <v>7461.06</v>
      </c>
      <c r="AA13" s="76">
        <v>6678.07</v>
      </c>
      <c r="AB13" s="76">
        <v>7584.14</v>
      </c>
      <c r="AC13" s="76">
        <v>11739.16</v>
      </c>
      <c r="AD13" s="76">
        <v>12955.14</v>
      </c>
      <c r="AE13" s="76">
        <v>11544.1</v>
      </c>
      <c r="AF13" s="76">
        <v>15557.16</v>
      </c>
      <c r="AG13" s="76">
        <v>13375.19</v>
      </c>
      <c r="AH13" s="76">
        <v>287227.34000000003</v>
      </c>
      <c r="AI13" s="76">
        <v>129607</v>
      </c>
    </row>
    <row r="14" spans="1:35" x14ac:dyDescent="0.25">
      <c r="A14">
        <v>10</v>
      </c>
      <c r="B14" t="s">
        <v>21</v>
      </c>
      <c r="C14" s="76">
        <v>11172.27</v>
      </c>
      <c r="D14" s="76">
        <v>10509.32</v>
      </c>
      <c r="E14" s="76">
        <v>14459.51</v>
      </c>
      <c r="F14" s="76">
        <v>15242.63</v>
      </c>
      <c r="G14" s="76">
        <v>6735.16</v>
      </c>
      <c r="H14" s="76">
        <v>6975.15</v>
      </c>
      <c r="I14" s="76">
        <v>8685.15</v>
      </c>
      <c r="J14" s="76">
        <v>7050.22</v>
      </c>
      <c r="K14" s="76">
        <v>7185.21</v>
      </c>
      <c r="L14" s="76">
        <v>10350.299999999999</v>
      </c>
      <c r="M14" s="76">
        <v>9630.25</v>
      </c>
      <c r="N14" s="76">
        <v>8655.2000000000007</v>
      </c>
      <c r="O14" s="76">
        <v>7800.23</v>
      </c>
      <c r="P14" s="76">
        <v>4920.12</v>
      </c>
      <c r="Q14" s="76">
        <v>5340.15</v>
      </c>
      <c r="R14" s="76">
        <v>3075.03</v>
      </c>
      <c r="S14" s="76">
        <v>6015.09</v>
      </c>
      <c r="T14" s="76">
        <v>7035.16</v>
      </c>
      <c r="U14" s="76">
        <v>7335.16</v>
      </c>
      <c r="V14" s="76">
        <v>6060.16</v>
      </c>
      <c r="W14" s="76">
        <v>3750.05</v>
      </c>
      <c r="X14" s="76">
        <v>5400.11</v>
      </c>
      <c r="Y14" s="76">
        <v>6820.1</v>
      </c>
      <c r="Z14" s="76">
        <v>5199.08</v>
      </c>
      <c r="AA14" s="76">
        <v>8108.23</v>
      </c>
      <c r="AB14" s="76">
        <v>3743.07</v>
      </c>
      <c r="AC14" s="76">
        <v>6153.16</v>
      </c>
      <c r="AD14" s="76">
        <v>8358.24</v>
      </c>
      <c r="AE14" s="76">
        <v>7698.09</v>
      </c>
      <c r="AF14" s="76">
        <v>9219.18</v>
      </c>
      <c r="AG14" s="76">
        <v>10545.16</v>
      </c>
      <c r="AH14" s="76">
        <v>239225.93999999997</v>
      </c>
      <c r="AI14" s="76">
        <v>116650.37000000001</v>
      </c>
    </row>
    <row r="15" spans="1:35" x14ac:dyDescent="0.25">
      <c r="A15">
        <v>11</v>
      </c>
      <c r="B15" t="s">
        <v>22</v>
      </c>
      <c r="C15" s="76">
        <v>34809.19</v>
      </c>
      <c r="D15" s="76">
        <v>25370.71</v>
      </c>
      <c r="E15" s="76">
        <v>21601.46</v>
      </c>
      <c r="F15" s="76">
        <v>28857.96</v>
      </c>
      <c r="G15" s="76">
        <v>16980.52</v>
      </c>
      <c r="H15" s="76">
        <v>9870.2199999999993</v>
      </c>
      <c r="I15" s="76">
        <v>14423.37</v>
      </c>
      <c r="J15" s="76">
        <v>7845.14</v>
      </c>
      <c r="K15" s="76">
        <v>11655.25</v>
      </c>
      <c r="L15" s="76">
        <v>14205.45</v>
      </c>
      <c r="M15" s="76">
        <v>18120.46</v>
      </c>
      <c r="N15" s="76">
        <v>9330.2000000000007</v>
      </c>
      <c r="O15" s="76">
        <v>7695.18</v>
      </c>
      <c r="P15" s="76">
        <v>13245.33</v>
      </c>
      <c r="Q15" s="76">
        <v>11205.26</v>
      </c>
      <c r="R15" s="76">
        <v>9030.25</v>
      </c>
      <c r="S15" s="76">
        <v>12315.32</v>
      </c>
      <c r="T15" s="76">
        <v>14670.38</v>
      </c>
      <c r="U15" s="76">
        <v>7530.19</v>
      </c>
      <c r="V15" s="76">
        <v>6465.11</v>
      </c>
      <c r="W15" s="76">
        <v>9735.23</v>
      </c>
      <c r="X15" s="76">
        <v>9876.2800000000007</v>
      </c>
      <c r="Y15" s="76">
        <v>10454.200000000001</v>
      </c>
      <c r="Z15" s="76">
        <v>7766.12</v>
      </c>
      <c r="AA15" s="76">
        <v>7944.18</v>
      </c>
      <c r="AB15" s="76">
        <v>8880.14</v>
      </c>
      <c r="AC15" s="76">
        <v>11062.21</v>
      </c>
      <c r="AD15" s="76">
        <v>11615.2</v>
      </c>
      <c r="AE15" s="76">
        <v>14655.19</v>
      </c>
      <c r="AF15" s="76">
        <v>18011.28</v>
      </c>
      <c r="AG15" s="76">
        <v>14581.23</v>
      </c>
      <c r="AH15" s="76">
        <v>419808.21000000008</v>
      </c>
      <c r="AI15" s="76">
        <v>213069.93000000002</v>
      </c>
    </row>
    <row r="16" spans="1:35" x14ac:dyDescent="0.25">
      <c r="A16">
        <v>12</v>
      </c>
      <c r="B16" t="s">
        <v>23</v>
      </c>
      <c r="C16" s="76">
        <v>20857.7</v>
      </c>
      <c r="D16" s="76">
        <v>22168.59</v>
      </c>
      <c r="E16" s="76">
        <v>39924.32</v>
      </c>
      <c r="F16" s="76">
        <v>31437.99</v>
      </c>
      <c r="G16" s="76">
        <v>11490.29</v>
      </c>
      <c r="H16" s="76">
        <v>14520.34</v>
      </c>
      <c r="I16" s="76">
        <v>13095.3</v>
      </c>
      <c r="J16" s="76">
        <v>8535.23</v>
      </c>
      <c r="K16" s="76">
        <v>21548.52</v>
      </c>
      <c r="L16" s="76">
        <v>18766.53</v>
      </c>
      <c r="M16" s="76">
        <v>14715.31</v>
      </c>
      <c r="N16" s="76">
        <v>10620.27</v>
      </c>
      <c r="O16" s="76">
        <v>7485.23</v>
      </c>
      <c r="P16" s="76">
        <v>9030.15</v>
      </c>
      <c r="Q16" s="76">
        <v>10785.32</v>
      </c>
      <c r="R16" s="76">
        <v>9660.24</v>
      </c>
      <c r="S16" s="76">
        <v>18900.5</v>
      </c>
      <c r="T16" s="76">
        <v>7845.14</v>
      </c>
      <c r="U16" s="76">
        <v>5835.13</v>
      </c>
      <c r="V16" s="76">
        <v>7365.13</v>
      </c>
      <c r="W16" s="76">
        <v>6600.15</v>
      </c>
      <c r="X16" s="76">
        <v>10320.31</v>
      </c>
      <c r="Y16" s="76">
        <v>11870.24</v>
      </c>
      <c r="Z16" s="76">
        <v>16301.29</v>
      </c>
      <c r="AA16" s="76">
        <v>13594.33</v>
      </c>
      <c r="AB16" s="76">
        <v>8321.19</v>
      </c>
      <c r="AC16" s="76">
        <v>10538.28</v>
      </c>
      <c r="AD16" s="76">
        <v>27634.7</v>
      </c>
      <c r="AE16" s="76">
        <v>22385.59</v>
      </c>
      <c r="AF16" s="76">
        <v>22585.5</v>
      </c>
      <c r="AG16" s="76">
        <v>26811.63</v>
      </c>
      <c r="AH16" s="76">
        <v>481550.44000000012</v>
      </c>
      <c r="AI16" s="76">
        <v>227680.38999999998</v>
      </c>
    </row>
    <row r="17" spans="1:35" x14ac:dyDescent="0.25">
      <c r="A17">
        <v>13</v>
      </c>
      <c r="B17" t="s">
        <v>24</v>
      </c>
      <c r="C17" s="76">
        <v>20094.560000000001</v>
      </c>
      <c r="D17" s="76">
        <v>15962.43</v>
      </c>
      <c r="E17" s="76">
        <v>11967.33</v>
      </c>
      <c r="F17" s="76">
        <v>13272.35</v>
      </c>
      <c r="G17" s="76">
        <v>6765.13</v>
      </c>
      <c r="H17" s="76">
        <v>8220.14</v>
      </c>
      <c r="I17" s="76">
        <v>8055.16</v>
      </c>
      <c r="J17" s="76">
        <v>7170.14</v>
      </c>
      <c r="K17" s="76">
        <v>8010.07</v>
      </c>
      <c r="L17" s="76">
        <v>5520.07</v>
      </c>
      <c r="M17" s="76">
        <v>7470.18</v>
      </c>
      <c r="N17" s="76">
        <v>5850.1</v>
      </c>
      <c r="O17" s="76">
        <v>4815.1099999999997</v>
      </c>
      <c r="P17" s="76">
        <v>5865.08</v>
      </c>
      <c r="Q17" s="76">
        <v>4875.05</v>
      </c>
      <c r="R17" s="76">
        <v>4620.07</v>
      </c>
      <c r="S17" s="76">
        <v>5460.14</v>
      </c>
      <c r="T17" s="76">
        <v>4785.08</v>
      </c>
      <c r="U17" s="76">
        <v>3945.03</v>
      </c>
      <c r="V17" s="76">
        <v>3810.04</v>
      </c>
      <c r="W17" s="76">
        <v>4770.07</v>
      </c>
      <c r="X17" s="76">
        <v>6366.13</v>
      </c>
      <c r="Y17" s="76">
        <v>5622.1</v>
      </c>
      <c r="Z17" s="76">
        <v>3306.05</v>
      </c>
      <c r="AA17" s="76">
        <v>5735.04</v>
      </c>
      <c r="AB17" s="76">
        <v>8706.11</v>
      </c>
      <c r="AC17" s="76">
        <v>9625.17</v>
      </c>
      <c r="AD17" s="76">
        <v>9574.1</v>
      </c>
      <c r="AE17" s="76">
        <v>10739.14</v>
      </c>
      <c r="AF17" s="76">
        <v>11954.21</v>
      </c>
      <c r="AG17" s="76">
        <v>7965.08</v>
      </c>
      <c r="AH17" s="76">
        <v>240896.46000000002</v>
      </c>
      <c r="AI17" s="76">
        <v>118357.66</v>
      </c>
    </row>
    <row r="18" spans="1:35" x14ac:dyDescent="0.25">
      <c r="A18">
        <v>14</v>
      </c>
      <c r="B18" t="s">
        <v>25</v>
      </c>
      <c r="C18" s="76">
        <v>19226.439999999999</v>
      </c>
      <c r="D18" s="76">
        <v>19991.439999999999</v>
      </c>
      <c r="E18" s="76">
        <v>19480.48</v>
      </c>
      <c r="F18" s="76">
        <v>13976.42</v>
      </c>
      <c r="G18" s="76">
        <v>8880.2000000000007</v>
      </c>
      <c r="H18" s="76">
        <v>8235.11</v>
      </c>
      <c r="I18" s="76">
        <v>8505.17</v>
      </c>
      <c r="J18" s="76">
        <v>6840.08</v>
      </c>
      <c r="K18" s="76">
        <v>8235.17</v>
      </c>
      <c r="L18" s="76">
        <v>8415.1200000000008</v>
      </c>
      <c r="M18" s="76">
        <v>9615.11</v>
      </c>
      <c r="N18" s="76">
        <v>6840.12</v>
      </c>
      <c r="O18" s="76">
        <v>5685.07</v>
      </c>
      <c r="P18" s="76">
        <v>6600.09</v>
      </c>
      <c r="Q18" s="76">
        <v>7245.21</v>
      </c>
      <c r="R18" s="76">
        <v>6870.1</v>
      </c>
      <c r="S18" s="76">
        <v>9255.26</v>
      </c>
      <c r="T18" s="76">
        <v>5940.13</v>
      </c>
      <c r="U18" s="76">
        <v>3990.04</v>
      </c>
      <c r="V18" s="76">
        <v>4695.12</v>
      </c>
      <c r="W18" s="76">
        <v>4305.1099999999997</v>
      </c>
      <c r="X18" s="76">
        <v>5070.12</v>
      </c>
      <c r="Y18" s="76">
        <v>4512.0200000000004</v>
      </c>
      <c r="Z18" s="76">
        <v>5835.11</v>
      </c>
      <c r="AA18" s="76">
        <v>7078.08</v>
      </c>
      <c r="AB18" s="76">
        <v>7675.02</v>
      </c>
      <c r="AC18" s="76">
        <v>16439.259999999998</v>
      </c>
      <c r="AD18" s="76">
        <v>11034.14</v>
      </c>
      <c r="AE18" s="76">
        <v>15888.15</v>
      </c>
      <c r="AF18" s="76">
        <v>16208.21</v>
      </c>
      <c r="AG18" s="76">
        <v>11814.23</v>
      </c>
      <c r="AH18" s="76">
        <v>294381.32999999996</v>
      </c>
      <c r="AI18" s="76">
        <v>138240.85999999999</v>
      </c>
    </row>
    <row r="19" spans="1:35" x14ac:dyDescent="0.25">
      <c r="A19">
        <v>15</v>
      </c>
      <c r="B19" t="s">
        <v>26</v>
      </c>
      <c r="C19" s="76">
        <v>19940.580000000002</v>
      </c>
      <c r="D19" s="76">
        <v>37441.14</v>
      </c>
      <c r="E19" s="76">
        <v>25224.63</v>
      </c>
      <c r="F19" s="76">
        <v>43361.39</v>
      </c>
      <c r="G19" s="76">
        <v>24525.65</v>
      </c>
      <c r="H19" s="76">
        <v>12090.3</v>
      </c>
      <c r="I19" s="76">
        <v>15615.39</v>
      </c>
      <c r="J19" s="76">
        <v>14745.36</v>
      </c>
      <c r="K19" s="76">
        <v>16185.4</v>
      </c>
      <c r="L19" s="76">
        <v>17190.48</v>
      </c>
      <c r="M19" s="76">
        <v>28530.79</v>
      </c>
      <c r="N19" s="76">
        <v>12405.28</v>
      </c>
      <c r="O19" s="76">
        <v>10740.23</v>
      </c>
      <c r="P19" s="76">
        <v>9750.2000000000007</v>
      </c>
      <c r="Q19" s="76">
        <v>9495.25</v>
      </c>
      <c r="R19" s="76">
        <v>26986.04</v>
      </c>
      <c r="S19" s="76">
        <v>24135.72</v>
      </c>
      <c r="T19" s="76">
        <v>16185.33</v>
      </c>
      <c r="U19" s="76">
        <v>9045.23</v>
      </c>
      <c r="V19" s="76">
        <v>7755.2</v>
      </c>
      <c r="W19" s="76">
        <v>7860.17</v>
      </c>
      <c r="X19" s="76">
        <v>13245.33</v>
      </c>
      <c r="Y19" s="76">
        <v>11345.17</v>
      </c>
      <c r="Z19" s="76">
        <v>13766.25</v>
      </c>
      <c r="AA19" s="76">
        <v>18759.36</v>
      </c>
      <c r="AB19" s="76">
        <v>13990.24</v>
      </c>
      <c r="AC19" s="76">
        <v>16596.28</v>
      </c>
      <c r="AD19" s="76">
        <v>16331.27</v>
      </c>
      <c r="AE19" s="76">
        <v>18587.419999999998</v>
      </c>
      <c r="AF19" s="76">
        <v>24743.45</v>
      </c>
      <c r="AG19" s="76">
        <v>21949.46</v>
      </c>
      <c r="AH19" s="76">
        <v>558523.98999999987</v>
      </c>
      <c r="AI19" s="76">
        <v>267256.39</v>
      </c>
    </row>
    <row r="20" spans="1:35" x14ac:dyDescent="0.25">
      <c r="A20">
        <v>16</v>
      </c>
      <c r="B20" t="s">
        <v>27</v>
      </c>
      <c r="C20" s="76">
        <v>18894.57</v>
      </c>
      <c r="D20" s="76">
        <v>21527.67</v>
      </c>
      <c r="E20" s="76">
        <v>19504.7</v>
      </c>
      <c r="F20" s="76">
        <v>34554.239999999998</v>
      </c>
      <c r="G20" s="76">
        <v>18945.41</v>
      </c>
      <c r="H20" s="76">
        <v>10785.22</v>
      </c>
      <c r="I20" s="76">
        <v>10830.22</v>
      </c>
      <c r="J20" s="76">
        <v>8880.16</v>
      </c>
      <c r="K20" s="76">
        <v>16245.27</v>
      </c>
      <c r="L20" s="76">
        <v>12030.22</v>
      </c>
      <c r="M20" s="76">
        <v>17160.310000000001</v>
      </c>
      <c r="N20" s="76">
        <v>12615.4</v>
      </c>
      <c r="O20" s="76">
        <v>4590.1000000000004</v>
      </c>
      <c r="P20" s="76">
        <v>6060.14</v>
      </c>
      <c r="Q20" s="76">
        <v>7905.13</v>
      </c>
      <c r="R20" s="76">
        <v>10485.200000000001</v>
      </c>
      <c r="S20" s="76">
        <v>8490.25</v>
      </c>
      <c r="T20" s="76">
        <v>12180.36</v>
      </c>
      <c r="U20" s="76">
        <v>7500.14</v>
      </c>
      <c r="V20" s="76">
        <v>6165.18</v>
      </c>
      <c r="W20" s="76">
        <v>8100.2</v>
      </c>
      <c r="X20" s="76">
        <v>6345.12</v>
      </c>
      <c r="Y20" s="76">
        <v>11823.27</v>
      </c>
      <c r="Z20" s="76">
        <v>7833.14</v>
      </c>
      <c r="AA20" s="76">
        <v>20778.439999999999</v>
      </c>
      <c r="AB20" s="76">
        <v>8642.2099999999991</v>
      </c>
      <c r="AC20" s="76">
        <v>10409.120000000001</v>
      </c>
      <c r="AD20" s="76">
        <v>9705.11</v>
      </c>
      <c r="AE20" s="76">
        <v>18934.39</v>
      </c>
      <c r="AF20" s="76">
        <v>15418.31</v>
      </c>
      <c r="AG20" s="76">
        <v>13289.27</v>
      </c>
      <c r="AH20" s="76">
        <v>396628.47000000009</v>
      </c>
      <c r="AI20" s="76">
        <v>201973.38999999998</v>
      </c>
    </row>
    <row r="21" spans="1:35" x14ac:dyDescent="0.25">
      <c r="A21">
        <v>17</v>
      </c>
      <c r="B21" t="s">
        <v>28</v>
      </c>
      <c r="C21" s="76">
        <v>24824.84</v>
      </c>
      <c r="D21" s="76">
        <v>27314.84</v>
      </c>
      <c r="E21" s="76">
        <v>92476.15</v>
      </c>
      <c r="F21" s="76">
        <v>35874.14</v>
      </c>
      <c r="G21" s="76">
        <v>16149.32</v>
      </c>
      <c r="H21" s="76">
        <v>9496.2000000000007</v>
      </c>
      <c r="I21" s="76">
        <v>7620.16</v>
      </c>
      <c r="J21" s="76">
        <v>21165.65</v>
      </c>
      <c r="K21" s="76">
        <v>28650.7</v>
      </c>
      <c r="L21" s="76">
        <v>47821.23</v>
      </c>
      <c r="M21" s="76">
        <v>33016</v>
      </c>
      <c r="N21" s="76">
        <v>10440.31</v>
      </c>
      <c r="O21" s="76">
        <v>9510.25</v>
      </c>
      <c r="P21" s="76">
        <v>8475.19</v>
      </c>
      <c r="Q21" s="76">
        <v>13890.26</v>
      </c>
      <c r="R21" s="76">
        <v>16005.38</v>
      </c>
      <c r="S21" s="76">
        <v>24990.65</v>
      </c>
      <c r="T21" s="76">
        <v>23325.57</v>
      </c>
      <c r="U21" s="76">
        <v>8715.32</v>
      </c>
      <c r="V21" s="76">
        <v>10485.219999999999</v>
      </c>
      <c r="W21" s="76">
        <v>6345.09</v>
      </c>
      <c r="X21" s="76">
        <v>8340.2099999999991</v>
      </c>
      <c r="Y21" s="76">
        <v>28065.82</v>
      </c>
      <c r="Z21" s="76">
        <v>37815.89</v>
      </c>
      <c r="AA21" s="76">
        <v>38145.75</v>
      </c>
      <c r="AB21" s="76">
        <v>17370.439999999999</v>
      </c>
      <c r="AC21" s="76">
        <v>24120.5</v>
      </c>
      <c r="AD21" s="76">
        <v>20740.41</v>
      </c>
      <c r="AE21" s="76">
        <v>16585.240000000002</v>
      </c>
      <c r="AF21" s="76">
        <v>24675.54</v>
      </c>
      <c r="AG21" s="76">
        <v>34630.800000000003</v>
      </c>
      <c r="AH21" s="76">
        <v>727083.07000000007</v>
      </c>
      <c r="AI21" s="76">
        <v>354849.54</v>
      </c>
    </row>
    <row r="22" spans="1:35" x14ac:dyDescent="0.25">
      <c r="A22">
        <v>18</v>
      </c>
      <c r="B22" t="s">
        <v>30</v>
      </c>
      <c r="C22" s="76">
        <v>20016.68</v>
      </c>
      <c r="D22" s="76">
        <v>21649.78</v>
      </c>
      <c r="E22" s="76">
        <v>17134.45</v>
      </c>
      <c r="F22" s="76">
        <v>21467.61</v>
      </c>
      <c r="G22" s="76">
        <v>12600.25</v>
      </c>
      <c r="H22" s="76">
        <v>11415.1</v>
      </c>
      <c r="I22" s="76">
        <v>10245.24</v>
      </c>
      <c r="J22" s="76">
        <v>8432.2099999999991</v>
      </c>
      <c r="K22" s="76">
        <v>14805.37</v>
      </c>
      <c r="L22" s="76">
        <v>11550.22</v>
      </c>
      <c r="M22" s="76">
        <v>13410.26</v>
      </c>
      <c r="N22" s="76">
        <v>8670.27</v>
      </c>
      <c r="O22" s="76">
        <v>6720.13</v>
      </c>
      <c r="P22" s="76">
        <v>7890.13</v>
      </c>
      <c r="Q22" s="76">
        <v>7530.16</v>
      </c>
      <c r="R22" s="76">
        <v>7540.14</v>
      </c>
      <c r="S22" s="76">
        <v>9870.2000000000007</v>
      </c>
      <c r="T22" s="76">
        <v>8430.1299999999992</v>
      </c>
      <c r="U22" s="76">
        <v>4740.04</v>
      </c>
      <c r="V22" s="76">
        <v>5070.1000000000004</v>
      </c>
      <c r="W22" s="76">
        <v>4845.1400000000003</v>
      </c>
      <c r="X22" s="76">
        <v>6492.16</v>
      </c>
      <c r="Y22" s="76">
        <v>6369.09</v>
      </c>
      <c r="Z22" s="76">
        <v>9405.17</v>
      </c>
      <c r="AA22" s="76">
        <v>8456.14</v>
      </c>
      <c r="AB22" s="76">
        <v>6226.1</v>
      </c>
      <c r="AC22" s="76">
        <v>16025.26</v>
      </c>
      <c r="AD22" s="76">
        <v>15312.21</v>
      </c>
      <c r="AE22" s="76">
        <v>16988.32</v>
      </c>
      <c r="AF22" s="76">
        <v>31765.74</v>
      </c>
      <c r="AG22" s="76">
        <v>14442.28</v>
      </c>
      <c r="AH22" s="76">
        <v>365516.08000000013</v>
      </c>
      <c r="AI22" s="76">
        <v>171397.44</v>
      </c>
    </row>
    <row r="23" spans="1:35" x14ac:dyDescent="0.25">
      <c r="A23">
        <v>19</v>
      </c>
      <c r="B23" t="s">
        <v>32</v>
      </c>
      <c r="C23" s="76">
        <v>16968.580000000002</v>
      </c>
      <c r="D23" s="76">
        <v>17593.419999999998</v>
      </c>
      <c r="E23" s="76">
        <v>27578.77</v>
      </c>
      <c r="F23" s="76">
        <v>20420.61</v>
      </c>
      <c r="G23" s="76">
        <v>7230.18</v>
      </c>
      <c r="H23" s="76">
        <v>8865.2000000000007</v>
      </c>
      <c r="I23" s="76">
        <v>5910.08</v>
      </c>
      <c r="J23" s="76">
        <v>8925.2099999999991</v>
      </c>
      <c r="K23" s="76">
        <v>10770.32</v>
      </c>
      <c r="L23" s="76">
        <v>12000.23</v>
      </c>
      <c r="M23" s="76">
        <v>15435.33</v>
      </c>
      <c r="N23" s="76">
        <v>10740.27</v>
      </c>
      <c r="O23" s="76">
        <v>5145.08</v>
      </c>
      <c r="P23" s="76">
        <v>5850.15</v>
      </c>
      <c r="Q23" s="76">
        <v>8115.22</v>
      </c>
      <c r="R23" s="76">
        <v>8280.17</v>
      </c>
      <c r="S23" s="76">
        <v>12765.29</v>
      </c>
      <c r="T23" s="76">
        <v>7365.14</v>
      </c>
      <c r="U23" s="76">
        <v>5655.14</v>
      </c>
      <c r="V23" s="76">
        <v>5325.1</v>
      </c>
      <c r="W23" s="76">
        <v>5835.16</v>
      </c>
      <c r="X23" s="76">
        <v>8155.18</v>
      </c>
      <c r="Y23" s="76">
        <v>8766.09</v>
      </c>
      <c r="Z23" s="76">
        <v>9712.14</v>
      </c>
      <c r="AA23" s="76">
        <v>8625.1299999999992</v>
      </c>
      <c r="AB23" s="76">
        <v>8282.2099999999991</v>
      </c>
      <c r="AC23" s="76">
        <v>7083.17</v>
      </c>
      <c r="AD23" s="76">
        <v>7632.12</v>
      </c>
      <c r="AE23" s="76">
        <v>9532.2000000000007</v>
      </c>
      <c r="AF23" s="76">
        <v>11464.17</v>
      </c>
      <c r="AG23" s="76">
        <v>20940.32</v>
      </c>
      <c r="AH23" s="76">
        <v>326967.38</v>
      </c>
      <c r="AI23" s="76">
        <v>162438.19999999998</v>
      </c>
    </row>
    <row r="24" spans="1:35" x14ac:dyDescent="0.25">
      <c r="A24">
        <v>20</v>
      </c>
      <c r="B24" t="s">
        <v>33</v>
      </c>
      <c r="C24" s="76">
        <v>5286.14</v>
      </c>
      <c r="D24" s="76">
        <v>6253.22</v>
      </c>
      <c r="E24" s="76">
        <v>10490.3</v>
      </c>
      <c r="F24" s="76">
        <v>8599.31</v>
      </c>
      <c r="G24" s="76">
        <v>3304.02</v>
      </c>
      <c r="H24" s="76">
        <v>2490.08</v>
      </c>
      <c r="I24" s="76">
        <v>2565.0700000000002</v>
      </c>
      <c r="J24" s="76">
        <v>3690.09</v>
      </c>
      <c r="K24" s="76">
        <v>2580.06</v>
      </c>
      <c r="L24" s="76">
        <v>5220.07</v>
      </c>
      <c r="M24" s="76">
        <v>3360.07</v>
      </c>
      <c r="N24" s="76">
        <v>3135.08</v>
      </c>
      <c r="O24" s="76">
        <v>3000.04</v>
      </c>
      <c r="P24" s="76">
        <v>2325.04</v>
      </c>
      <c r="Q24" s="76">
        <v>3090.06</v>
      </c>
      <c r="R24" s="76">
        <v>3360.1</v>
      </c>
      <c r="S24" s="76">
        <v>4275.07</v>
      </c>
      <c r="T24" s="76">
        <v>3960.09</v>
      </c>
      <c r="U24" s="76">
        <v>2715.04</v>
      </c>
      <c r="V24" s="76">
        <v>1740.06</v>
      </c>
      <c r="W24" s="76">
        <v>3165.03</v>
      </c>
      <c r="X24" s="76">
        <v>2695.01</v>
      </c>
      <c r="Y24" s="76">
        <v>2371.04</v>
      </c>
      <c r="Z24" s="76">
        <v>3333.1</v>
      </c>
      <c r="AA24" s="76">
        <v>1979.03</v>
      </c>
      <c r="AB24" s="76">
        <v>4389.0200000000004</v>
      </c>
      <c r="AC24" s="76">
        <v>2215.04</v>
      </c>
      <c r="AD24" s="76">
        <v>4557.1000000000004</v>
      </c>
      <c r="AE24" s="76">
        <v>3363.06</v>
      </c>
      <c r="AF24" s="76">
        <v>4158.1000000000004</v>
      </c>
      <c r="AG24" s="76">
        <v>5130.1000000000004</v>
      </c>
      <c r="AH24" s="76">
        <v>118794.64</v>
      </c>
      <c r="AI24" s="76">
        <v>56973.509999999995</v>
      </c>
    </row>
    <row r="25" spans="1:35" x14ac:dyDescent="0.25">
      <c r="A25">
        <v>21</v>
      </c>
      <c r="B25" t="s">
        <v>34</v>
      </c>
      <c r="C25" s="76">
        <v>10193.25</v>
      </c>
      <c r="D25" s="76">
        <v>13950.38</v>
      </c>
      <c r="E25" s="76">
        <v>19846.5</v>
      </c>
      <c r="F25" s="76">
        <v>22192.57</v>
      </c>
      <c r="G25" s="76">
        <v>7560.17</v>
      </c>
      <c r="H25" s="76">
        <v>9300.2800000000007</v>
      </c>
      <c r="I25" s="76">
        <v>6120.11</v>
      </c>
      <c r="J25" s="76">
        <v>7785.17</v>
      </c>
      <c r="K25" s="76">
        <v>8670.14</v>
      </c>
      <c r="L25" s="76">
        <v>14835.21</v>
      </c>
      <c r="M25" s="76">
        <v>11010.29</v>
      </c>
      <c r="N25" s="76">
        <v>6480.16</v>
      </c>
      <c r="O25" s="76">
        <v>6345.17</v>
      </c>
      <c r="P25" s="76">
        <v>3990.08</v>
      </c>
      <c r="Q25" s="76">
        <v>6885.18</v>
      </c>
      <c r="R25" s="76">
        <v>6825.13</v>
      </c>
      <c r="S25" s="76">
        <v>8040.15</v>
      </c>
      <c r="T25" s="76">
        <v>6165.1</v>
      </c>
      <c r="U25" s="76">
        <v>7365.18</v>
      </c>
      <c r="V25" s="76">
        <v>6495.12</v>
      </c>
      <c r="W25" s="76">
        <v>5040.09</v>
      </c>
      <c r="X25" s="76">
        <v>6750.18</v>
      </c>
      <c r="Y25" s="76">
        <v>7200.12</v>
      </c>
      <c r="Z25" s="76">
        <v>9275.14</v>
      </c>
      <c r="AA25" s="76">
        <v>8693.19</v>
      </c>
      <c r="AB25" s="76">
        <v>6648.15</v>
      </c>
      <c r="AC25" s="76">
        <v>8330.16</v>
      </c>
      <c r="AD25" s="76">
        <v>8742.07</v>
      </c>
      <c r="AE25" s="76">
        <v>19523.45</v>
      </c>
      <c r="AF25" s="76">
        <v>15383.19</v>
      </c>
      <c r="AG25" s="76">
        <v>15850.2</v>
      </c>
      <c r="AH25" s="76">
        <v>301491.28000000003</v>
      </c>
      <c r="AI25" s="76">
        <v>137944.23000000001</v>
      </c>
    </row>
    <row r="26" spans="1:35" x14ac:dyDescent="0.25">
      <c r="A26">
        <v>22</v>
      </c>
      <c r="B26" t="s">
        <v>35</v>
      </c>
      <c r="C26" s="76">
        <v>9957.35</v>
      </c>
      <c r="D26" s="76">
        <v>13890.42</v>
      </c>
      <c r="E26" s="76">
        <v>14002.55</v>
      </c>
      <c r="F26" s="76">
        <v>17023.47</v>
      </c>
      <c r="G26" s="76">
        <v>8385.2099999999991</v>
      </c>
      <c r="H26" s="76">
        <v>9420.2000000000007</v>
      </c>
      <c r="I26" s="76">
        <v>6630.11</v>
      </c>
      <c r="J26" s="76">
        <v>7485.16</v>
      </c>
      <c r="K26" s="76">
        <v>12015.24</v>
      </c>
      <c r="L26" s="76">
        <v>9240.17</v>
      </c>
      <c r="M26" s="76">
        <v>7097.15</v>
      </c>
      <c r="N26" s="76">
        <v>7695.13</v>
      </c>
      <c r="O26" s="76">
        <v>6015.15</v>
      </c>
      <c r="P26" s="76">
        <v>5340.12</v>
      </c>
      <c r="Q26" s="76">
        <v>6420.1</v>
      </c>
      <c r="R26" s="76">
        <v>6225.12</v>
      </c>
      <c r="S26" s="76">
        <v>11025.26</v>
      </c>
      <c r="T26" s="76">
        <v>15120.39</v>
      </c>
      <c r="U26" s="76">
        <v>5205.13</v>
      </c>
      <c r="V26" s="76">
        <v>6810.09</v>
      </c>
      <c r="W26" s="76">
        <v>6570.19</v>
      </c>
      <c r="X26" s="76">
        <v>5700.12</v>
      </c>
      <c r="Y26" s="76">
        <v>12676.33</v>
      </c>
      <c r="Z26" s="76">
        <v>9044.14</v>
      </c>
      <c r="AA26" s="76">
        <v>5217.1000000000004</v>
      </c>
      <c r="AB26" s="76">
        <v>8935.19</v>
      </c>
      <c r="AC26" s="76">
        <v>11238.23</v>
      </c>
      <c r="AD26" s="76">
        <v>11497.12</v>
      </c>
      <c r="AE26" s="76">
        <v>8756.1200000000008</v>
      </c>
      <c r="AF26" s="76">
        <v>18457.41</v>
      </c>
      <c r="AG26" s="76">
        <v>13645.21</v>
      </c>
      <c r="AH26" s="76">
        <v>296740.68</v>
      </c>
      <c r="AI26" s="76">
        <v>122842.16</v>
      </c>
    </row>
    <row r="27" spans="1:35" x14ac:dyDescent="0.25">
      <c r="A27">
        <v>23</v>
      </c>
      <c r="B27" t="s">
        <v>36</v>
      </c>
      <c r="C27" s="76">
        <v>16404.46</v>
      </c>
      <c r="D27" s="76">
        <v>23248.71</v>
      </c>
      <c r="E27" s="76">
        <v>30545.8</v>
      </c>
      <c r="F27" s="76">
        <v>40636.269999999997</v>
      </c>
      <c r="G27" s="76">
        <v>11745.34</v>
      </c>
      <c r="H27" s="76">
        <v>6840.11</v>
      </c>
      <c r="I27" s="76">
        <v>9390.25</v>
      </c>
      <c r="J27" s="76">
        <v>19680.66</v>
      </c>
      <c r="K27" s="76">
        <v>14280.31</v>
      </c>
      <c r="L27" s="76">
        <v>17070.330000000002</v>
      </c>
      <c r="M27" s="76">
        <v>20430.439999999999</v>
      </c>
      <c r="N27" s="76">
        <v>7830.15</v>
      </c>
      <c r="O27" s="76">
        <v>8715.18</v>
      </c>
      <c r="P27" s="76">
        <v>9135.15</v>
      </c>
      <c r="Q27" s="76">
        <v>10110.26</v>
      </c>
      <c r="R27" s="76">
        <v>12645.29</v>
      </c>
      <c r="S27" s="76">
        <v>15030.29</v>
      </c>
      <c r="T27" s="76">
        <v>10665.23</v>
      </c>
      <c r="U27" s="76">
        <v>6120.08</v>
      </c>
      <c r="V27" s="76">
        <v>5355.12</v>
      </c>
      <c r="W27" s="76">
        <v>6990.17</v>
      </c>
      <c r="X27" s="76">
        <v>5295.1</v>
      </c>
      <c r="Y27" s="76">
        <v>8367.15</v>
      </c>
      <c r="Z27" s="76">
        <v>15479.29</v>
      </c>
      <c r="AA27" s="76">
        <v>15629.3</v>
      </c>
      <c r="AB27" s="76">
        <v>8416.14</v>
      </c>
      <c r="AC27" s="76">
        <v>12721.16</v>
      </c>
      <c r="AD27" s="76">
        <v>7967.14</v>
      </c>
      <c r="AE27" s="76">
        <v>16910.330000000002</v>
      </c>
      <c r="AF27" s="76">
        <v>13042.24</v>
      </c>
      <c r="AG27" s="76">
        <v>23835.34</v>
      </c>
      <c r="AH27" s="76">
        <v>430532.79</v>
      </c>
      <c r="AI27" s="76">
        <v>218102.83</v>
      </c>
    </row>
    <row r="28" spans="1:35" x14ac:dyDescent="0.25">
      <c r="A28">
        <v>24</v>
      </c>
      <c r="B28" t="s">
        <v>37</v>
      </c>
      <c r="C28" s="76">
        <v>26494.85</v>
      </c>
      <c r="D28" s="76">
        <v>23507.57</v>
      </c>
      <c r="E28" s="76">
        <v>31480.89</v>
      </c>
      <c r="F28" s="76">
        <v>27917.83</v>
      </c>
      <c r="G28" s="76">
        <v>13665.3</v>
      </c>
      <c r="H28" s="76">
        <v>12810.3</v>
      </c>
      <c r="I28" s="76">
        <v>13290.27</v>
      </c>
      <c r="J28" s="76">
        <v>12540.22</v>
      </c>
      <c r="K28" s="76">
        <v>13860.3</v>
      </c>
      <c r="L28" s="76">
        <v>15015.24</v>
      </c>
      <c r="M28" s="76">
        <v>12495.25</v>
      </c>
      <c r="N28" s="76">
        <v>10665.16</v>
      </c>
      <c r="O28" s="76">
        <v>7590.12</v>
      </c>
      <c r="P28" s="76">
        <v>8415.19</v>
      </c>
      <c r="Q28" s="76">
        <v>7965.12</v>
      </c>
      <c r="R28" s="76">
        <v>10680.2</v>
      </c>
      <c r="S28" s="76">
        <v>11190.14</v>
      </c>
      <c r="T28" s="76">
        <v>10680.2</v>
      </c>
      <c r="U28" s="76">
        <v>7575.18</v>
      </c>
      <c r="V28" s="76">
        <v>8610.2099999999991</v>
      </c>
      <c r="W28" s="76">
        <v>6300.09</v>
      </c>
      <c r="X28" s="76">
        <v>9846.1299999999992</v>
      </c>
      <c r="Y28" s="76">
        <v>10356.15</v>
      </c>
      <c r="Z28" s="76">
        <v>8571.1299999999992</v>
      </c>
      <c r="AA28" s="76">
        <v>9130.11</v>
      </c>
      <c r="AB28" s="76">
        <v>7057.15</v>
      </c>
      <c r="AC28" s="76">
        <v>17851.28</v>
      </c>
      <c r="AD28" s="76">
        <v>15329.21</v>
      </c>
      <c r="AE28" s="76">
        <v>18336.22</v>
      </c>
      <c r="AF28" s="76">
        <v>23769.34</v>
      </c>
      <c r="AG28" s="76">
        <v>25965.47</v>
      </c>
      <c r="AH28" s="76">
        <v>438961.82000000018</v>
      </c>
      <c r="AI28" s="76">
        <v>213743.17999999996</v>
      </c>
    </row>
    <row r="29" spans="1:35" x14ac:dyDescent="0.25">
      <c r="A29">
        <v>25</v>
      </c>
      <c r="B29" t="s">
        <v>38</v>
      </c>
      <c r="C29" s="76">
        <v>10230.280000000001</v>
      </c>
      <c r="D29" s="76">
        <v>13597.37</v>
      </c>
      <c r="E29" s="76">
        <v>22620.61</v>
      </c>
      <c r="F29" s="76">
        <v>14562.37</v>
      </c>
      <c r="G29" s="76">
        <v>7133.15</v>
      </c>
      <c r="H29" s="76">
        <v>5505.11</v>
      </c>
      <c r="I29" s="76">
        <v>7095.16</v>
      </c>
      <c r="J29" s="76">
        <v>4935.1099999999997</v>
      </c>
      <c r="K29" s="76">
        <v>5715.07</v>
      </c>
      <c r="L29" s="76">
        <v>9405.09</v>
      </c>
      <c r="M29" s="76">
        <v>7260.14</v>
      </c>
      <c r="N29" s="76">
        <v>4815.1000000000004</v>
      </c>
      <c r="O29" s="76">
        <v>5370.11</v>
      </c>
      <c r="P29" s="76">
        <v>4185.07</v>
      </c>
      <c r="Q29" s="76">
        <v>5280.14</v>
      </c>
      <c r="R29" s="76">
        <v>3945.05</v>
      </c>
      <c r="S29" s="76">
        <v>7350.11</v>
      </c>
      <c r="T29" s="76">
        <v>6285.11</v>
      </c>
      <c r="U29" s="76">
        <v>1965.04</v>
      </c>
      <c r="V29" s="76">
        <v>3180.08</v>
      </c>
      <c r="W29" s="76">
        <v>4065.06</v>
      </c>
      <c r="X29" s="76">
        <v>3482.04</v>
      </c>
      <c r="Y29" s="76">
        <v>5760.09</v>
      </c>
      <c r="Z29" s="76">
        <v>6140.08</v>
      </c>
      <c r="AA29" s="76">
        <v>5296.06</v>
      </c>
      <c r="AB29" s="76">
        <v>4487.08</v>
      </c>
      <c r="AC29" s="76">
        <v>6731.07</v>
      </c>
      <c r="AD29" s="76">
        <v>10353.16</v>
      </c>
      <c r="AE29" s="76">
        <v>7783.08</v>
      </c>
      <c r="AF29" s="76">
        <v>12985.22</v>
      </c>
      <c r="AG29" s="76">
        <v>12575.22</v>
      </c>
      <c r="AH29" s="76">
        <v>230093.42999999996</v>
      </c>
      <c r="AI29" s="76">
        <v>112874.56000000001</v>
      </c>
    </row>
    <row r="30" spans="1:35" x14ac:dyDescent="0.25">
      <c r="A30">
        <v>26</v>
      </c>
      <c r="B30" t="s">
        <v>39</v>
      </c>
      <c r="C30" s="76">
        <v>8430.16</v>
      </c>
      <c r="D30" s="76">
        <v>7146.11</v>
      </c>
      <c r="E30" s="76">
        <v>10872.22</v>
      </c>
      <c r="F30" s="76">
        <v>35238.31</v>
      </c>
      <c r="G30" s="76">
        <v>3225.04</v>
      </c>
      <c r="H30" s="76">
        <v>3871.71</v>
      </c>
      <c r="I30" s="76">
        <v>4455.1099999999997</v>
      </c>
      <c r="J30" s="76">
        <v>5580.08</v>
      </c>
      <c r="K30" s="76">
        <v>7335.21</v>
      </c>
      <c r="L30" s="76">
        <v>3885.08</v>
      </c>
      <c r="M30" s="76">
        <v>4290.04</v>
      </c>
      <c r="N30" s="76">
        <v>4065.08</v>
      </c>
      <c r="O30" s="76">
        <v>3960.12</v>
      </c>
      <c r="P30" s="76">
        <v>2880.03</v>
      </c>
      <c r="Q30" s="76">
        <v>4245.12</v>
      </c>
      <c r="R30" s="76">
        <v>4245.07</v>
      </c>
      <c r="S30" s="76">
        <v>3195.03</v>
      </c>
      <c r="T30" s="76">
        <v>4605.1099999999997</v>
      </c>
      <c r="U30" s="76">
        <v>3945.05</v>
      </c>
      <c r="V30" s="76">
        <v>2970.03</v>
      </c>
      <c r="W30" s="76">
        <v>2325.0300000000002</v>
      </c>
      <c r="X30" s="76">
        <v>3060.08</v>
      </c>
      <c r="Y30" s="76">
        <v>4523.13</v>
      </c>
      <c r="Z30" s="76">
        <v>4161.1099999999997</v>
      </c>
      <c r="AA30" s="76">
        <v>4029.09</v>
      </c>
      <c r="AB30" s="76">
        <v>2562.0300000000002</v>
      </c>
      <c r="AC30" s="76">
        <v>4782.0600000000004</v>
      </c>
      <c r="AD30" s="76">
        <v>4727.08</v>
      </c>
      <c r="AE30" s="76">
        <v>7428.09</v>
      </c>
      <c r="AF30" s="76">
        <v>7055.09</v>
      </c>
      <c r="AG30" s="76">
        <v>11456.16</v>
      </c>
      <c r="AH30" s="76">
        <v>184548.65999999995</v>
      </c>
      <c r="AI30" s="76">
        <v>98394.150000000009</v>
      </c>
    </row>
    <row r="31" spans="1:35" x14ac:dyDescent="0.25">
      <c r="A31">
        <v>27</v>
      </c>
      <c r="B31" t="s">
        <v>40</v>
      </c>
      <c r="C31" s="76">
        <v>9107.27</v>
      </c>
      <c r="D31" s="76">
        <v>10068.35</v>
      </c>
      <c r="E31" s="76">
        <v>13032.42</v>
      </c>
      <c r="F31" s="76">
        <v>9401.27</v>
      </c>
      <c r="G31" s="76">
        <v>3240.06</v>
      </c>
      <c r="H31" s="76">
        <v>4800.07</v>
      </c>
      <c r="I31" s="76">
        <v>3450.05</v>
      </c>
      <c r="J31" s="76">
        <v>4050.07</v>
      </c>
      <c r="K31" s="76">
        <v>6390.13</v>
      </c>
      <c r="L31" s="76">
        <v>10515.22</v>
      </c>
      <c r="M31" s="76">
        <v>8910.2199999999993</v>
      </c>
      <c r="N31" s="76">
        <v>3600.1</v>
      </c>
      <c r="O31" s="76">
        <v>3540.11</v>
      </c>
      <c r="P31" s="76">
        <v>4275.09</v>
      </c>
      <c r="Q31" s="76">
        <v>2850.05</v>
      </c>
      <c r="R31" s="76">
        <v>5655.11</v>
      </c>
      <c r="S31" s="76">
        <v>6690.1</v>
      </c>
      <c r="T31" s="76">
        <v>4275.0200000000004</v>
      </c>
      <c r="U31" s="76">
        <v>2475.0300000000002</v>
      </c>
      <c r="V31" s="76">
        <v>1500.02</v>
      </c>
      <c r="W31" s="76">
        <v>3075.05</v>
      </c>
      <c r="X31" s="76">
        <v>2100.0500000000002</v>
      </c>
      <c r="Y31" s="76">
        <v>5420.14</v>
      </c>
      <c r="Z31" s="76">
        <v>4672.09</v>
      </c>
      <c r="AA31" s="76">
        <v>4872.0600000000004</v>
      </c>
      <c r="AB31" s="76">
        <v>1215.02</v>
      </c>
      <c r="AC31" s="76">
        <v>2280.0100000000002</v>
      </c>
      <c r="AD31" s="76">
        <v>3660.09</v>
      </c>
      <c r="AE31" s="76">
        <v>5630.11</v>
      </c>
      <c r="AF31" s="76">
        <v>8716.15</v>
      </c>
      <c r="AG31" s="76">
        <v>7340.09</v>
      </c>
      <c r="AH31" s="76">
        <v>166806.62</v>
      </c>
      <c r="AI31" s="76">
        <v>86565.23</v>
      </c>
    </row>
    <row r="32" spans="1:35" x14ac:dyDescent="0.25">
      <c r="A32">
        <v>28</v>
      </c>
      <c r="B32" t="s">
        <v>41</v>
      </c>
      <c r="C32" s="76">
        <v>10677.2</v>
      </c>
      <c r="D32" s="76">
        <v>14913.48</v>
      </c>
      <c r="E32" s="76">
        <v>12387.34</v>
      </c>
      <c r="F32" s="76">
        <v>13558.39</v>
      </c>
      <c r="G32" s="76">
        <v>4500.1000000000004</v>
      </c>
      <c r="H32" s="76">
        <v>5640.14</v>
      </c>
      <c r="I32" s="76">
        <v>4215.04</v>
      </c>
      <c r="J32" s="76">
        <v>5190.1000000000004</v>
      </c>
      <c r="K32" s="76">
        <v>4860.08</v>
      </c>
      <c r="L32" s="76">
        <v>3360.06</v>
      </c>
      <c r="M32" s="76">
        <v>6645.11</v>
      </c>
      <c r="N32" s="76">
        <v>3945.05</v>
      </c>
      <c r="O32" s="76">
        <v>7500.2</v>
      </c>
      <c r="P32" s="76">
        <v>3840.08</v>
      </c>
      <c r="Q32" s="76">
        <v>3585.08</v>
      </c>
      <c r="R32" s="76">
        <v>4710.05</v>
      </c>
      <c r="S32" s="76">
        <v>6105.1</v>
      </c>
      <c r="T32" s="76">
        <v>3015.07</v>
      </c>
      <c r="U32" s="76">
        <v>4395.08</v>
      </c>
      <c r="V32" s="76">
        <v>1995.05</v>
      </c>
      <c r="W32" s="76">
        <v>4560.1400000000003</v>
      </c>
      <c r="X32" s="76">
        <v>4536.1099999999997</v>
      </c>
      <c r="Y32" s="76">
        <v>3375.07</v>
      </c>
      <c r="Z32" s="76">
        <v>4618.0600000000004</v>
      </c>
      <c r="AA32" s="76">
        <v>3187.06</v>
      </c>
      <c r="AB32" s="76">
        <v>9586.24</v>
      </c>
      <c r="AC32" s="76">
        <v>7048.06</v>
      </c>
      <c r="AD32" s="76">
        <v>5607.06</v>
      </c>
      <c r="AE32" s="76">
        <v>8295.09</v>
      </c>
      <c r="AF32" s="76">
        <v>9785.17</v>
      </c>
      <c r="AG32" s="76">
        <v>7955.12</v>
      </c>
      <c r="AH32" s="76">
        <v>193590.98</v>
      </c>
      <c r="AI32" s="76">
        <v>89892.090000000011</v>
      </c>
    </row>
    <row r="33" spans="1:35" x14ac:dyDescent="0.25">
      <c r="A33">
        <v>29</v>
      </c>
      <c r="B33" t="s">
        <v>42</v>
      </c>
      <c r="C33" s="76">
        <v>16036.55</v>
      </c>
      <c r="D33" s="76">
        <v>14632.36</v>
      </c>
      <c r="E33" s="76">
        <v>13027.33</v>
      </c>
      <c r="F33" s="76">
        <v>11645.29</v>
      </c>
      <c r="G33" s="76">
        <v>9645.26</v>
      </c>
      <c r="H33" s="76">
        <v>6975.13</v>
      </c>
      <c r="I33" s="76">
        <v>6420.14</v>
      </c>
      <c r="J33" s="76">
        <v>6135.14</v>
      </c>
      <c r="K33" s="76">
        <v>7440.13</v>
      </c>
      <c r="L33" s="76">
        <v>8670.2099999999991</v>
      </c>
      <c r="M33" s="76">
        <v>11055.3</v>
      </c>
      <c r="N33" s="76">
        <v>8340.18</v>
      </c>
      <c r="O33" s="76">
        <v>2715.05</v>
      </c>
      <c r="P33" s="76">
        <v>10020.280000000001</v>
      </c>
      <c r="Q33" s="76">
        <v>7860.23</v>
      </c>
      <c r="R33" s="76">
        <v>11880.31</v>
      </c>
      <c r="S33" s="76">
        <v>5355.09</v>
      </c>
      <c r="T33" s="76">
        <v>2700.06</v>
      </c>
      <c r="U33" s="76">
        <v>5655.08</v>
      </c>
      <c r="V33" s="76">
        <v>4455.08</v>
      </c>
      <c r="W33" s="76">
        <v>3960.06</v>
      </c>
      <c r="X33" s="76">
        <v>4695.07</v>
      </c>
      <c r="Y33" s="76">
        <v>5642.15</v>
      </c>
      <c r="Z33" s="76">
        <v>7135.11</v>
      </c>
      <c r="AA33" s="76">
        <v>6430.16</v>
      </c>
      <c r="AB33" s="76">
        <v>5601.11</v>
      </c>
      <c r="AC33" s="76">
        <v>11151.17</v>
      </c>
      <c r="AD33" s="76">
        <v>8447.14</v>
      </c>
      <c r="AE33" s="76">
        <v>9315.16</v>
      </c>
      <c r="AF33" s="76">
        <v>12805.19</v>
      </c>
      <c r="AG33" s="76">
        <v>10495.19</v>
      </c>
      <c r="AH33" s="76">
        <v>256341.71</v>
      </c>
      <c r="AI33" s="76">
        <v>120023.02000000002</v>
      </c>
    </row>
    <row r="34" spans="1:35" x14ac:dyDescent="0.25">
      <c r="A34">
        <v>30</v>
      </c>
      <c r="B34" t="s">
        <v>43</v>
      </c>
      <c r="C34" s="76">
        <v>7484.38</v>
      </c>
      <c r="D34" s="76">
        <v>4961.1899999999996</v>
      </c>
      <c r="E34" s="76">
        <v>4419.16</v>
      </c>
      <c r="F34" s="76">
        <v>8525.35</v>
      </c>
      <c r="G34" s="76">
        <v>7231.16</v>
      </c>
      <c r="H34" s="76">
        <v>5310.11</v>
      </c>
      <c r="I34" s="76">
        <v>5325.08</v>
      </c>
      <c r="J34" s="76">
        <v>7995.21</v>
      </c>
      <c r="K34" s="76">
        <v>7335.15</v>
      </c>
      <c r="L34" s="76">
        <v>4710.07</v>
      </c>
      <c r="M34" s="76">
        <v>9525.2199999999993</v>
      </c>
      <c r="N34" s="76">
        <v>6225.13</v>
      </c>
      <c r="O34" s="76">
        <v>4875.09</v>
      </c>
      <c r="P34" s="76">
        <v>5490.14</v>
      </c>
      <c r="Q34" s="76">
        <v>7815.18</v>
      </c>
      <c r="R34" s="76">
        <v>4950.1000000000004</v>
      </c>
      <c r="S34" s="76">
        <v>6960.12</v>
      </c>
      <c r="T34" s="76">
        <v>7215.12</v>
      </c>
      <c r="U34" s="76">
        <v>2805.06</v>
      </c>
      <c r="V34" s="76">
        <v>3435.07</v>
      </c>
      <c r="W34" s="76">
        <v>3435.11</v>
      </c>
      <c r="X34" s="76">
        <v>3477.05</v>
      </c>
      <c r="Y34" s="76">
        <v>4272.1099999999997</v>
      </c>
      <c r="Z34" s="76">
        <v>5286.06</v>
      </c>
      <c r="AA34" s="76">
        <v>5572.09</v>
      </c>
      <c r="AB34" s="76">
        <v>3991.05</v>
      </c>
      <c r="AC34" s="76">
        <v>9209.18</v>
      </c>
      <c r="AD34" s="76">
        <v>9416.2000000000007</v>
      </c>
      <c r="AE34" s="76">
        <v>9041.09</v>
      </c>
      <c r="AF34" s="76">
        <v>11700.16</v>
      </c>
      <c r="AG34" s="76">
        <v>11871.19</v>
      </c>
      <c r="AH34" s="76">
        <v>199864.37999999998</v>
      </c>
      <c r="AI34" s="76">
        <v>79047.210000000006</v>
      </c>
    </row>
    <row r="35" spans="1:35" x14ac:dyDescent="0.25">
      <c r="A35">
        <v>31</v>
      </c>
      <c r="B35" t="s">
        <v>44</v>
      </c>
      <c r="C35" s="76">
        <v>5012.1499999999996</v>
      </c>
      <c r="D35" s="76">
        <v>11739.31</v>
      </c>
      <c r="E35" s="76">
        <v>18860.7</v>
      </c>
      <c r="F35" s="76">
        <v>22750.75</v>
      </c>
      <c r="G35" s="76">
        <v>12245.4</v>
      </c>
      <c r="H35" s="76">
        <v>4845.1499999999996</v>
      </c>
      <c r="I35" s="76">
        <v>2325.0700000000002</v>
      </c>
      <c r="J35" s="76">
        <v>7050.19</v>
      </c>
      <c r="K35" s="76">
        <v>7470.18</v>
      </c>
      <c r="L35" s="76">
        <v>7920.18</v>
      </c>
      <c r="M35" s="76">
        <v>10620.27</v>
      </c>
      <c r="N35" s="76">
        <v>3195.03</v>
      </c>
      <c r="O35" s="76">
        <v>4095.11</v>
      </c>
      <c r="P35" s="76">
        <v>2970.07</v>
      </c>
      <c r="Q35" s="76">
        <v>4320.13</v>
      </c>
      <c r="R35" s="76">
        <v>4620.0600000000004</v>
      </c>
      <c r="S35" s="76">
        <v>11985.25</v>
      </c>
      <c r="T35" s="76">
        <v>9405.2900000000009</v>
      </c>
      <c r="U35" s="76">
        <v>4800.09</v>
      </c>
      <c r="V35" s="76">
        <v>2940.05</v>
      </c>
      <c r="W35" s="76">
        <v>3720.05</v>
      </c>
      <c r="X35" s="76">
        <v>8655.25</v>
      </c>
      <c r="Y35" s="76">
        <v>4907.1099999999997</v>
      </c>
      <c r="Z35" s="76">
        <v>6986.13</v>
      </c>
      <c r="AA35" s="76">
        <v>7058.11</v>
      </c>
      <c r="AB35" s="76">
        <v>3469.08</v>
      </c>
      <c r="AC35" s="76">
        <v>6501.09</v>
      </c>
      <c r="AD35" s="76">
        <v>3985.05</v>
      </c>
      <c r="AE35" s="76">
        <v>7502.03</v>
      </c>
      <c r="AF35" s="76">
        <v>8200.15</v>
      </c>
      <c r="AG35" s="76">
        <v>20385.45</v>
      </c>
      <c r="AH35" s="76">
        <v>240539.92999999993</v>
      </c>
      <c r="AI35" s="76">
        <v>114034.37999999999</v>
      </c>
    </row>
    <row r="36" spans="1:35" x14ac:dyDescent="0.25">
      <c r="A36">
        <v>32</v>
      </c>
      <c r="B36" t="s">
        <v>45</v>
      </c>
      <c r="C36" s="76">
        <v>23992.61</v>
      </c>
      <c r="D36" s="76">
        <v>24002.75</v>
      </c>
      <c r="E36" s="76">
        <v>38155.769999999997</v>
      </c>
      <c r="F36" s="76">
        <v>35184.800000000003</v>
      </c>
      <c r="G36" s="76">
        <v>19500.349999999999</v>
      </c>
      <c r="H36" s="76">
        <v>11700.17</v>
      </c>
      <c r="I36" s="76">
        <v>9945.11</v>
      </c>
      <c r="J36" s="76">
        <v>14220.34</v>
      </c>
      <c r="K36" s="76">
        <v>17580.39</v>
      </c>
      <c r="L36" s="76">
        <v>18360.349999999999</v>
      </c>
      <c r="M36" s="76">
        <v>19350.37</v>
      </c>
      <c r="N36" s="76">
        <v>15630.34</v>
      </c>
      <c r="O36" s="76">
        <v>7905.14</v>
      </c>
      <c r="P36" s="76">
        <v>11490.29</v>
      </c>
      <c r="Q36" s="76">
        <v>12916.34</v>
      </c>
      <c r="R36" s="76">
        <v>11835.24</v>
      </c>
      <c r="S36" s="76">
        <v>21135.41</v>
      </c>
      <c r="T36" s="76">
        <v>17460.310000000001</v>
      </c>
      <c r="U36" s="76">
        <v>15495.3</v>
      </c>
      <c r="V36" s="76">
        <v>11820.32</v>
      </c>
      <c r="W36" s="76">
        <v>9690.19</v>
      </c>
      <c r="X36" s="76">
        <v>7620.14</v>
      </c>
      <c r="Y36" s="76">
        <v>26190.75</v>
      </c>
      <c r="Z36" s="76">
        <v>17873.32</v>
      </c>
      <c r="AA36" s="76">
        <v>31533.55</v>
      </c>
      <c r="AB36" s="76">
        <v>8832.15</v>
      </c>
      <c r="AC36" s="76">
        <v>20883.37</v>
      </c>
      <c r="AD36" s="76">
        <v>20235.34</v>
      </c>
      <c r="AE36" s="76">
        <v>23358.51</v>
      </c>
      <c r="AF36" s="76">
        <v>23375.35</v>
      </c>
      <c r="AG36" s="76">
        <v>25006.49</v>
      </c>
      <c r="AH36" s="76">
        <v>572280.86</v>
      </c>
      <c r="AI36" s="76">
        <v>247623.34999999998</v>
      </c>
    </row>
    <row r="37" spans="1:35" x14ac:dyDescent="0.25">
      <c r="A37">
        <v>33</v>
      </c>
      <c r="B37" t="s">
        <v>46</v>
      </c>
      <c r="C37" s="76">
        <v>4675.1400000000003</v>
      </c>
      <c r="D37" s="76">
        <v>8639.25</v>
      </c>
      <c r="E37" s="76">
        <v>7874.18</v>
      </c>
      <c r="F37" s="76">
        <v>9163.2800000000007</v>
      </c>
      <c r="G37" s="76">
        <v>3495.06</v>
      </c>
      <c r="H37" s="76">
        <v>3120.09</v>
      </c>
      <c r="I37" s="76">
        <v>4590.09</v>
      </c>
      <c r="J37" s="76">
        <v>2580.06</v>
      </c>
      <c r="K37" s="76">
        <v>4515.1000000000004</v>
      </c>
      <c r="L37" s="76">
        <v>4200.07</v>
      </c>
      <c r="M37" s="76">
        <v>5925.14</v>
      </c>
      <c r="N37" s="76">
        <v>4935.1000000000004</v>
      </c>
      <c r="O37" s="76">
        <v>3780.13</v>
      </c>
      <c r="P37" s="76">
        <v>3450.03</v>
      </c>
      <c r="Q37" s="76">
        <v>2025.04</v>
      </c>
      <c r="R37" s="76">
        <v>5295.13</v>
      </c>
      <c r="S37" s="76">
        <v>5340.15</v>
      </c>
      <c r="T37" s="76">
        <v>5100.12</v>
      </c>
      <c r="U37" s="76">
        <v>2355.0300000000002</v>
      </c>
      <c r="V37" s="76">
        <v>2565.04</v>
      </c>
      <c r="W37" s="76">
        <v>1845.06</v>
      </c>
      <c r="X37" s="76">
        <v>3060.05</v>
      </c>
      <c r="Y37" s="76">
        <v>5020.16</v>
      </c>
      <c r="Z37" s="76">
        <v>2995.05</v>
      </c>
      <c r="AA37" s="76">
        <v>3408.07</v>
      </c>
      <c r="AB37" s="76">
        <v>2147.06</v>
      </c>
      <c r="AC37" s="76">
        <v>5682.14</v>
      </c>
      <c r="AD37" s="76">
        <v>3076.03</v>
      </c>
      <c r="AE37" s="76">
        <v>5367.09</v>
      </c>
      <c r="AF37" s="76">
        <v>8746.2800000000007</v>
      </c>
      <c r="AG37" s="76">
        <v>6452.14</v>
      </c>
      <c r="AH37" s="76">
        <v>141422.35999999999</v>
      </c>
      <c r="AI37" s="76">
        <v>63712.55999999999</v>
      </c>
    </row>
    <row r="38" spans="1:35" x14ac:dyDescent="0.25">
      <c r="A38">
        <v>34</v>
      </c>
      <c r="B38" t="s">
        <v>47</v>
      </c>
      <c r="C38" s="76">
        <v>4488.1099999999997</v>
      </c>
      <c r="D38" s="76">
        <v>3319.1</v>
      </c>
      <c r="E38" s="76">
        <v>3455.05</v>
      </c>
      <c r="F38" s="76">
        <v>5952.19</v>
      </c>
      <c r="G38" s="76">
        <v>2250.02</v>
      </c>
      <c r="H38" s="76">
        <v>1665.03</v>
      </c>
      <c r="I38" s="76">
        <v>4425.1099999999997</v>
      </c>
      <c r="J38" s="76">
        <v>2220.0100000000002</v>
      </c>
      <c r="K38" s="76">
        <v>1695.01</v>
      </c>
      <c r="L38" s="76">
        <v>3435.07</v>
      </c>
      <c r="M38" s="76">
        <v>3360.06</v>
      </c>
      <c r="N38" s="76">
        <v>2460.06</v>
      </c>
      <c r="O38" s="76">
        <v>945.02</v>
      </c>
      <c r="P38" s="76">
        <v>1425.06</v>
      </c>
      <c r="Q38" s="76">
        <v>2925.05</v>
      </c>
      <c r="R38" s="76">
        <v>4170.1400000000003</v>
      </c>
      <c r="S38" s="76">
        <v>3090.06</v>
      </c>
      <c r="T38" s="76">
        <v>3900.11</v>
      </c>
      <c r="U38" s="76">
        <v>3165.06</v>
      </c>
      <c r="V38" s="76">
        <v>1545.04</v>
      </c>
      <c r="W38" s="76">
        <v>1125.03</v>
      </c>
      <c r="X38" s="76">
        <v>1800.01</v>
      </c>
      <c r="Y38" s="76">
        <v>2491.06</v>
      </c>
      <c r="Z38" s="76">
        <v>1275</v>
      </c>
      <c r="AA38" s="76">
        <v>2246.0300000000002</v>
      </c>
      <c r="AB38" s="76">
        <v>1867.05</v>
      </c>
      <c r="AC38" s="76">
        <v>1893.04</v>
      </c>
      <c r="AD38" s="76">
        <v>3796.06</v>
      </c>
      <c r="AE38" s="76">
        <v>2637.08</v>
      </c>
      <c r="AF38" s="76">
        <v>3890.05</v>
      </c>
      <c r="AG38" s="76">
        <v>4195.07</v>
      </c>
      <c r="AH38" s="76">
        <v>87105.84</v>
      </c>
      <c r="AI38" s="76">
        <v>38724.819999999992</v>
      </c>
    </row>
    <row r="39" spans="1:35" x14ac:dyDescent="0.25">
      <c r="A39">
        <v>35</v>
      </c>
      <c r="B39" t="s">
        <v>48</v>
      </c>
      <c r="C39" s="76">
        <v>12213.33</v>
      </c>
      <c r="D39" s="76">
        <v>13818.38</v>
      </c>
      <c r="E39" s="76">
        <v>32550.05</v>
      </c>
      <c r="F39" s="76">
        <v>19515.490000000002</v>
      </c>
      <c r="G39" s="76">
        <v>11700.35</v>
      </c>
      <c r="H39" s="76">
        <v>4725.1000000000004</v>
      </c>
      <c r="I39" s="76">
        <v>4770.13</v>
      </c>
      <c r="J39" s="76">
        <v>6675.13</v>
      </c>
      <c r="K39" s="76">
        <v>6465.14</v>
      </c>
      <c r="L39" s="76">
        <v>14880.34</v>
      </c>
      <c r="M39" s="76">
        <v>6540.14</v>
      </c>
      <c r="N39" s="76">
        <v>4545.07</v>
      </c>
      <c r="O39" s="76">
        <v>3915.07</v>
      </c>
      <c r="P39" s="76">
        <v>5970.18</v>
      </c>
      <c r="Q39" s="76">
        <v>4635.13</v>
      </c>
      <c r="R39" s="76">
        <v>7080.13</v>
      </c>
      <c r="S39" s="76">
        <v>7950.17</v>
      </c>
      <c r="T39" s="76">
        <v>10545.37</v>
      </c>
      <c r="U39" s="76">
        <v>2565.08</v>
      </c>
      <c r="V39" s="76">
        <v>5085.12</v>
      </c>
      <c r="W39" s="76">
        <v>1200.02</v>
      </c>
      <c r="X39" s="76">
        <v>4980.16</v>
      </c>
      <c r="Y39" s="76">
        <v>6270.07</v>
      </c>
      <c r="Z39" s="76">
        <v>10076.219999999999</v>
      </c>
      <c r="AA39" s="76">
        <v>5631.05</v>
      </c>
      <c r="AB39" s="76">
        <v>4870.1000000000004</v>
      </c>
      <c r="AC39" s="76">
        <v>14565.39</v>
      </c>
      <c r="AD39" s="76">
        <v>11163.31</v>
      </c>
      <c r="AE39" s="76">
        <v>22735.53</v>
      </c>
      <c r="AF39" s="76">
        <v>22655.3</v>
      </c>
      <c r="AG39" s="76">
        <v>23310.61</v>
      </c>
      <c r="AH39" s="76">
        <v>313602.65999999997</v>
      </c>
      <c r="AI39" s="76">
        <v>138398.65000000002</v>
      </c>
    </row>
    <row r="40" spans="1:35" x14ac:dyDescent="0.25">
      <c r="A40">
        <v>36</v>
      </c>
      <c r="B40" t="s">
        <v>49</v>
      </c>
      <c r="C40" s="76">
        <v>12296.31</v>
      </c>
      <c r="D40" s="76">
        <v>12671.26</v>
      </c>
      <c r="E40" s="76">
        <v>20497.650000000001</v>
      </c>
      <c r="F40" s="76">
        <v>9755.2199999999993</v>
      </c>
      <c r="G40" s="76">
        <v>3923.06</v>
      </c>
      <c r="H40" s="76">
        <v>7650.21</v>
      </c>
      <c r="I40" s="76">
        <v>4920.13</v>
      </c>
      <c r="J40" s="76">
        <v>4065.07</v>
      </c>
      <c r="K40" s="76">
        <v>6278.07</v>
      </c>
      <c r="L40" s="76">
        <v>7155.1</v>
      </c>
      <c r="M40" s="76">
        <v>8010.21</v>
      </c>
      <c r="N40" s="76">
        <v>4725.12</v>
      </c>
      <c r="O40" s="76">
        <v>3645.09</v>
      </c>
      <c r="P40" s="76">
        <v>3390.08</v>
      </c>
      <c r="Q40" s="76">
        <v>3735.07</v>
      </c>
      <c r="R40" s="76">
        <v>4500.05</v>
      </c>
      <c r="S40" s="76">
        <v>4620.0600000000004</v>
      </c>
      <c r="T40" s="76">
        <v>2850.02</v>
      </c>
      <c r="U40" s="76">
        <v>1275.03</v>
      </c>
      <c r="V40" s="76">
        <v>2985.07</v>
      </c>
      <c r="W40" s="76">
        <v>3120.08</v>
      </c>
      <c r="X40" s="76">
        <v>2061.02</v>
      </c>
      <c r="Y40" s="76">
        <v>5492.07</v>
      </c>
      <c r="Z40" s="76">
        <v>4538.1000000000004</v>
      </c>
      <c r="AA40" s="76">
        <v>5878.15</v>
      </c>
      <c r="AB40" s="76">
        <v>1802.03</v>
      </c>
      <c r="AC40" s="76">
        <v>4611.0600000000004</v>
      </c>
      <c r="AD40" s="76">
        <v>8286.1</v>
      </c>
      <c r="AE40" s="76">
        <v>6680.05</v>
      </c>
      <c r="AF40" s="76">
        <v>9238.07</v>
      </c>
      <c r="AG40" s="76">
        <v>9230.1299999999992</v>
      </c>
      <c r="AH40" s="76">
        <v>189884.74000000002</v>
      </c>
      <c r="AI40" s="76">
        <v>101947.41000000002</v>
      </c>
    </row>
    <row r="41" spans="1:35" x14ac:dyDescent="0.25">
      <c r="A41">
        <v>37</v>
      </c>
      <c r="B41" t="s">
        <v>50</v>
      </c>
      <c r="C41" s="76">
        <v>15535.31</v>
      </c>
      <c r="D41" s="76">
        <v>18828.47</v>
      </c>
      <c r="E41" s="76">
        <v>17065.37</v>
      </c>
      <c r="F41" s="76">
        <v>14378.47</v>
      </c>
      <c r="G41" s="76">
        <v>11340.29</v>
      </c>
      <c r="H41" s="76">
        <v>5220.12</v>
      </c>
      <c r="I41" s="76">
        <v>4710.07</v>
      </c>
      <c r="J41" s="76">
        <v>7695.25</v>
      </c>
      <c r="K41" s="76">
        <v>9030.19</v>
      </c>
      <c r="L41" s="76">
        <v>9465.17</v>
      </c>
      <c r="M41" s="76">
        <v>6285.1</v>
      </c>
      <c r="N41" s="76">
        <v>6075.15</v>
      </c>
      <c r="O41" s="76">
        <v>6090.1</v>
      </c>
      <c r="P41" s="76">
        <v>4215.05</v>
      </c>
      <c r="Q41" s="76">
        <v>5460.07</v>
      </c>
      <c r="R41" s="76">
        <v>8220.1200000000008</v>
      </c>
      <c r="S41" s="76">
        <v>5595.07</v>
      </c>
      <c r="T41" s="76">
        <v>4725.1099999999997</v>
      </c>
      <c r="U41" s="76">
        <v>4365.0200000000004</v>
      </c>
      <c r="V41" s="76">
        <v>5895.11</v>
      </c>
      <c r="W41" s="76">
        <v>5535.18</v>
      </c>
      <c r="X41" s="76">
        <v>3210.02</v>
      </c>
      <c r="Y41" s="76">
        <v>8508.11</v>
      </c>
      <c r="Z41" s="76">
        <v>6435.07</v>
      </c>
      <c r="AA41" s="76">
        <v>3692.04</v>
      </c>
      <c r="AB41" s="76">
        <v>5483.08</v>
      </c>
      <c r="AC41" s="76">
        <v>13817.21</v>
      </c>
      <c r="AD41" s="76">
        <v>9290.1</v>
      </c>
      <c r="AE41" s="76">
        <v>12743.12</v>
      </c>
      <c r="AF41" s="76">
        <v>14474.17</v>
      </c>
      <c r="AG41" s="76">
        <v>15425.22</v>
      </c>
      <c r="AH41" s="76">
        <v>268807.92999999993</v>
      </c>
      <c r="AI41" s="76">
        <v>125628.96</v>
      </c>
    </row>
    <row r="42" spans="1:35" x14ac:dyDescent="0.25">
      <c r="A42">
        <v>38</v>
      </c>
      <c r="B42" t="s">
        <v>51</v>
      </c>
      <c r="C42" s="76">
        <v>16775.509999999998</v>
      </c>
      <c r="D42" s="76">
        <v>14240.33</v>
      </c>
      <c r="E42" s="76">
        <v>12679.25</v>
      </c>
      <c r="F42" s="76">
        <v>14636.42</v>
      </c>
      <c r="G42" s="76">
        <v>5551.1</v>
      </c>
      <c r="H42" s="76">
        <v>6315.11</v>
      </c>
      <c r="I42" s="76">
        <v>5040.09</v>
      </c>
      <c r="J42" s="76">
        <v>5070.12</v>
      </c>
      <c r="K42" s="76">
        <v>6525.12</v>
      </c>
      <c r="L42" s="76">
        <v>5880.1</v>
      </c>
      <c r="M42" s="76">
        <v>5310.08</v>
      </c>
      <c r="N42" s="76">
        <v>5010.08</v>
      </c>
      <c r="O42" s="76">
        <v>3195.03</v>
      </c>
      <c r="P42" s="76">
        <v>3330.06</v>
      </c>
      <c r="Q42" s="76">
        <v>5925.1</v>
      </c>
      <c r="R42" s="76">
        <v>6870.14</v>
      </c>
      <c r="S42" s="76">
        <v>5475.09</v>
      </c>
      <c r="T42" s="76">
        <v>4515.08</v>
      </c>
      <c r="U42" s="76">
        <v>2625.08</v>
      </c>
      <c r="V42" s="76">
        <v>3315.05</v>
      </c>
      <c r="W42" s="76">
        <v>3345.07</v>
      </c>
      <c r="X42" s="76">
        <v>5655.17</v>
      </c>
      <c r="Y42" s="76">
        <v>5400.09</v>
      </c>
      <c r="Z42" s="76">
        <v>5895.11</v>
      </c>
      <c r="AA42" s="76">
        <v>4924.1000000000004</v>
      </c>
      <c r="AB42" s="76">
        <v>3674.08</v>
      </c>
      <c r="AC42" s="76">
        <v>10620.21</v>
      </c>
      <c r="AD42" s="76">
        <v>10829.16</v>
      </c>
      <c r="AE42" s="76">
        <v>8545.18</v>
      </c>
      <c r="AF42" s="76">
        <v>11060.24</v>
      </c>
      <c r="AG42" s="76">
        <v>11130.16</v>
      </c>
      <c r="AH42" s="76">
        <v>219362.50999999992</v>
      </c>
      <c r="AI42" s="76">
        <v>103033.30999999998</v>
      </c>
    </row>
    <row r="43" spans="1:35" x14ac:dyDescent="0.25">
      <c r="A43">
        <v>39</v>
      </c>
      <c r="B43" t="s">
        <v>52</v>
      </c>
      <c r="C43" s="76">
        <v>16110.46</v>
      </c>
      <c r="D43" s="76">
        <v>22857.67</v>
      </c>
      <c r="E43" s="76">
        <v>21094.73</v>
      </c>
      <c r="F43" s="76">
        <v>18084.48</v>
      </c>
      <c r="G43" s="76">
        <v>5790.12</v>
      </c>
      <c r="H43" s="76">
        <v>7875.15</v>
      </c>
      <c r="I43" s="76">
        <v>5895.11</v>
      </c>
      <c r="J43" s="76">
        <v>4920.07</v>
      </c>
      <c r="K43" s="76">
        <v>11025.17</v>
      </c>
      <c r="L43" s="76">
        <v>12570.3</v>
      </c>
      <c r="M43" s="76">
        <v>7275.15</v>
      </c>
      <c r="N43" s="76">
        <v>9210.17</v>
      </c>
      <c r="O43" s="76">
        <v>6465.18</v>
      </c>
      <c r="P43" s="76">
        <v>7665.18</v>
      </c>
      <c r="Q43" s="76">
        <v>7500.18</v>
      </c>
      <c r="R43" s="76">
        <v>6960.14</v>
      </c>
      <c r="S43" s="76">
        <v>15015.5</v>
      </c>
      <c r="T43" s="76">
        <v>5625.13</v>
      </c>
      <c r="U43" s="76">
        <v>4650.16</v>
      </c>
      <c r="V43" s="76">
        <v>3870.07</v>
      </c>
      <c r="W43" s="76">
        <v>4095.07</v>
      </c>
      <c r="X43" s="76">
        <v>8385.14</v>
      </c>
      <c r="Y43" s="76">
        <v>5875.08</v>
      </c>
      <c r="Z43" s="76">
        <v>13650.26</v>
      </c>
      <c r="AA43" s="76">
        <v>6300.16</v>
      </c>
      <c r="AB43" s="76">
        <v>5955.08</v>
      </c>
      <c r="AC43" s="76">
        <v>11439.17</v>
      </c>
      <c r="AD43" s="76">
        <v>17598.400000000001</v>
      </c>
      <c r="AE43" s="76">
        <v>11063.18</v>
      </c>
      <c r="AF43" s="76">
        <v>15737.18</v>
      </c>
      <c r="AG43" s="76">
        <v>8205.1</v>
      </c>
      <c r="AH43" s="76">
        <v>308763.94</v>
      </c>
      <c r="AI43" s="76">
        <v>142708.57999999999</v>
      </c>
    </row>
    <row r="44" spans="1:35" x14ac:dyDescent="0.25">
      <c r="A44">
        <v>40</v>
      </c>
      <c r="B44" t="s">
        <v>53</v>
      </c>
      <c r="C44" s="76">
        <v>7658.16</v>
      </c>
      <c r="D44" s="76">
        <v>14016.38</v>
      </c>
      <c r="E44" s="76">
        <v>13469.32</v>
      </c>
      <c r="F44" s="76">
        <v>9395.24</v>
      </c>
      <c r="G44" s="76">
        <v>4695.07</v>
      </c>
      <c r="H44" s="76">
        <v>3946.1</v>
      </c>
      <c r="I44" s="76">
        <v>4920.1099999999997</v>
      </c>
      <c r="J44" s="76">
        <v>5910.13</v>
      </c>
      <c r="K44" s="76">
        <v>5880.08</v>
      </c>
      <c r="L44" s="76">
        <v>6300.12</v>
      </c>
      <c r="M44" s="76">
        <v>4200.04</v>
      </c>
      <c r="N44" s="76">
        <v>4155.07</v>
      </c>
      <c r="O44" s="76">
        <v>3188.05</v>
      </c>
      <c r="P44" s="76">
        <v>3165.08</v>
      </c>
      <c r="Q44" s="76">
        <v>3810.05</v>
      </c>
      <c r="R44" s="76">
        <v>4365.1099999999997</v>
      </c>
      <c r="S44" s="76">
        <v>5550.1</v>
      </c>
      <c r="T44" s="76">
        <v>2895.09</v>
      </c>
      <c r="U44" s="76">
        <v>3885.09</v>
      </c>
      <c r="V44" s="76">
        <v>1920.01</v>
      </c>
      <c r="W44" s="76">
        <v>2685.05</v>
      </c>
      <c r="X44" s="76">
        <v>3960.06</v>
      </c>
      <c r="Y44" s="76">
        <v>5055.1000000000004</v>
      </c>
      <c r="Z44" s="76">
        <v>5445.07</v>
      </c>
      <c r="AA44" s="76">
        <v>4249.07</v>
      </c>
      <c r="AB44" s="76">
        <v>2061.02</v>
      </c>
      <c r="AC44" s="76">
        <v>10009.16</v>
      </c>
      <c r="AD44" s="76">
        <v>4895.07</v>
      </c>
      <c r="AE44" s="76">
        <v>8876.1200000000008</v>
      </c>
      <c r="AF44" s="76">
        <v>9917.1299999999992</v>
      </c>
      <c r="AG44" s="76">
        <v>12809.13</v>
      </c>
      <c r="AH44" s="76">
        <v>183286.38</v>
      </c>
      <c r="AI44" s="76">
        <v>84545.819999999978</v>
      </c>
    </row>
    <row r="45" spans="1:35" x14ac:dyDescent="0.25">
      <c r="A45">
        <v>41</v>
      </c>
      <c r="B45" t="s">
        <v>54</v>
      </c>
      <c r="C45" s="76">
        <v>31505.57</v>
      </c>
      <c r="D45" s="76">
        <v>37882.949999999997</v>
      </c>
      <c r="E45" s="76">
        <v>63988.83</v>
      </c>
      <c r="F45" s="76">
        <v>64318.78</v>
      </c>
      <c r="G45" s="76">
        <v>29408.69</v>
      </c>
      <c r="H45" s="76">
        <v>35115.89</v>
      </c>
      <c r="I45" s="76">
        <v>24465.54</v>
      </c>
      <c r="J45" s="76">
        <v>20655.490000000002</v>
      </c>
      <c r="K45" s="76">
        <v>27870.67</v>
      </c>
      <c r="L45" s="76">
        <v>50011.3</v>
      </c>
      <c r="M45" s="76">
        <v>41100.910000000003</v>
      </c>
      <c r="N45" s="76">
        <v>18045.349999999999</v>
      </c>
      <c r="O45" s="76">
        <v>20490.61</v>
      </c>
      <c r="P45" s="76">
        <v>15690.31</v>
      </c>
      <c r="Q45" s="76">
        <v>21705.58</v>
      </c>
      <c r="R45" s="76">
        <v>20565.53</v>
      </c>
      <c r="S45" s="76">
        <v>37695.919999999998</v>
      </c>
      <c r="T45" s="76">
        <v>24645.54</v>
      </c>
      <c r="U45" s="76">
        <v>18285.41</v>
      </c>
      <c r="V45" s="76">
        <v>16020.41</v>
      </c>
      <c r="W45" s="76">
        <v>20385.599999999999</v>
      </c>
      <c r="X45" s="76">
        <v>19476.490000000002</v>
      </c>
      <c r="Y45" s="76">
        <v>29807.68</v>
      </c>
      <c r="Z45" s="76">
        <v>38990.94</v>
      </c>
      <c r="AA45" s="76">
        <v>35177.64</v>
      </c>
      <c r="AB45" s="76">
        <v>22787.54</v>
      </c>
      <c r="AC45" s="76">
        <v>26937.75</v>
      </c>
      <c r="AD45" s="76">
        <v>38760.959999999999</v>
      </c>
      <c r="AE45" s="76">
        <v>47544.06</v>
      </c>
      <c r="AF45" s="76">
        <v>49348.91</v>
      </c>
      <c r="AG45" s="76">
        <v>62346.43</v>
      </c>
      <c r="AH45" s="76">
        <v>1011033.28</v>
      </c>
      <c r="AI45" s="76">
        <v>444369.96999999986</v>
      </c>
    </row>
    <row r="46" spans="1:35" x14ac:dyDescent="0.25">
      <c r="A46">
        <v>42</v>
      </c>
      <c r="B46" t="s">
        <v>55</v>
      </c>
      <c r="C46" s="76">
        <v>14326.47</v>
      </c>
      <c r="D46" s="76">
        <v>13888.44</v>
      </c>
      <c r="E46" s="76">
        <v>14799.44</v>
      </c>
      <c r="F46" s="76">
        <v>16387.57</v>
      </c>
      <c r="G46" s="76">
        <v>11018.2</v>
      </c>
      <c r="H46" s="76">
        <v>8445.16</v>
      </c>
      <c r="I46" s="76">
        <v>5970.18</v>
      </c>
      <c r="J46" s="76">
        <v>6540.13</v>
      </c>
      <c r="K46" s="76">
        <v>7545.19</v>
      </c>
      <c r="L46" s="76">
        <v>7425.1</v>
      </c>
      <c r="M46" s="76">
        <v>8970.2000000000007</v>
      </c>
      <c r="N46" s="76">
        <v>6630.07</v>
      </c>
      <c r="O46" s="76">
        <v>6270.18</v>
      </c>
      <c r="P46" s="76">
        <v>3270.06</v>
      </c>
      <c r="Q46" s="76">
        <v>3840.1</v>
      </c>
      <c r="R46" s="76">
        <v>5340.11</v>
      </c>
      <c r="S46" s="76">
        <v>6090.14</v>
      </c>
      <c r="T46" s="76">
        <v>5895.15</v>
      </c>
      <c r="U46" s="76">
        <v>5625.14</v>
      </c>
      <c r="V46" s="76">
        <v>4230.1099999999997</v>
      </c>
      <c r="W46" s="76">
        <v>2595.04</v>
      </c>
      <c r="X46" s="76">
        <v>5742.19</v>
      </c>
      <c r="Y46" s="76">
        <v>5583.11</v>
      </c>
      <c r="Z46" s="76">
        <v>6642.1</v>
      </c>
      <c r="AA46" s="76">
        <v>5638.11</v>
      </c>
      <c r="AB46" s="76">
        <v>4563.07</v>
      </c>
      <c r="AC46" s="76">
        <v>11743.18</v>
      </c>
      <c r="AD46" s="76">
        <v>7163.12</v>
      </c>
      <c r="AE46" s="76">
        <v>8729.1</v>
      </c>
      <c r="AF46" s="76">
        <v>11709.17</v>
      </c>
      <c r="AG46" s="76">
        <v>11535.14</v>
      </c>
      <c r="AH46" s="76">
        <v>244150.46999999997</v>
      </c>
      <c r="AI46" s="76">
        <v>121946.15</v>
      </c>
    </row>
    <row r="47" spans="1:35" x14ac:dyDescent="0.25">
      <c r="A47">
        <v>43</v>
      </c>
      <c r="B47" t="s">
        <v>56</v>
      </c>
      <c r="C47" s="76">
        <v>12945.25</v>
      </c>
      <c r="D47" s="76">
        <v>13385.34</v>
      </c>
      <c r="E47" s="76">
        <v>17765.419999999998</v>
      </c>
      <c r="F47" s="76">
        <v>11109.23</v>
      </c>
      <c r="G47" s="76">
        <v>9225.2099999999991</v>
      </c>
      <c r="H47" s="76">
        <v>5273.12</v>
      </c>
      <c r="I47" s="76">
        <v>4950.07</v>
      </c>
      <c r="J47" s="76">
        <v>5700.08</v>
      </c>
      <c r="K47" s="76">
        <v>4425.07</v>
      </c>
      <c r="L47" s="76">
        <v>8625.1299999999992</v>
      </c>
      <c r="M47" s="76">
        <v>6675.12</v>
      </c>
      <c r="N47" s="76">
        <v>4860.09</v>
      </c>
      <c r="O47" s="76">
        <v>6045.17</v>
      </c>
      <c r="P47" s="76">
        <v>4545.12</v>
      </c>
      <c r="Q47" s="76">
        <v>4575.13</v>
      </c>
      <c r="R47" s="76">
        <v>6735.06</v>
      </c>
      <c r="S47" s="76">
        <v>6300.15</v>
      </c>
      <c r="T47" s="76">
        <v>5640.14</v>
      </c>
      <c r="U47" s="76">
        <v>5025.1099999999997</v>
      </c>
      <c r="V47" s="76">
        <v>4185.1000000000004</v>
      </c>
      <c r="W47" s="76">
        <v>3645.06</v>
      </c>
      <c r="X47" s="76">
        <v>3540.07</v>
      </c>
      <c r="Y47" s="76">
        <v>6220.15</v>
      </c>
      <c r="Z47" s="76">
        <v>7231.16</v>
      </c>
      <c r="AA47" s="76">
        <v>6289.1</v>
      </c>
      <c r="AB47" s="76">
        <v>5024.09</v>
      </c>
      <c r="AC47" s="76">
        <v>9040.1200000000008</v>
      </c>
      <c r="AD47" s="76">
        <v>9718.1200000000008</v>
      </c>
      <c r="AE47" s="76">
        <v>10346.120000000001</v>
      </c>
      <c r="AF47" s="76">
        <v>15181.31</v>
      </c>
      <c r="AG47" s="76">
        <v>14415.17</v>
      </c>
      <c r="AH47" s="76">
        <v>238640.58</v>
      </c>
      <c r="AI47" s="76">
        <v>104939.12999999998</v>
      </c>
    </row>
    <row r="48" spans="1:35" x14ac:dyDescent="0.25">
      <c r="A48">
        <v>44</v>
      </c>
      <c r="B48" t="s">
        <v>57</v>
      </c>
      <c r="C48" s="76">
        <v>10913.25</v>
      </c>
      <c r="D48" s="76">
        <v>9904.2099999999991</v>
      </c>
      <c r="E48" s="76">
        <v>7825.19</v>
      </c>
      <c r="F48" s="76">
        <v>11779.42</v>
      </c>
      <c r="G48" s="76">
        <v>5640.15</v>
      </c>
      <c r="H48" s="76">
        <v>5445.11</v>
      </c>
      <c r="I48" s="76">
        <v>4695.07</v>
      </c>
      <c r="J48" s="76">
        <v>3885.09</v>
      </c>
      <c r="K48" s="76">
        <v>6270.11</v>
      </c>
      <c r="L48" s="76">
        <v>5190.09</v>
      </c>
      <c r="M48" s="76">
        <v>2940.08</v>
      </c>
      <c r="N48" s="76">
        <v>2535.0300000000002</v>
      </c>
      <c r="O48" s="76">
        <v>3570.03</v>
      </c>
      <c r="P48" s="76">
        <v>3990.13</v>
      </c>
      <c r="Q48" s="76">
        <v>3390.08</v>
      </c>
      <c r="R48" s="76">
        <v>4335.1000000000004</v>
      </c>
      <c r="S48" s="76">
        <v>3975.12</v>
      </c>
      <c r="T48" s="76">
        <v>4380.13</v>
      </c>
      <c r="U48" s="76">
        <v>2190.02</v>
      </c>
      <c r="V48" s="76">
        <v>2655.09</v>
      </c>
      <c r="W48" s="76">
        <v>945.03</v>
      </c>
      <c r="X48" s="76">
        <v>2130.0500000000002</v>
      </c>
      <c r="Y48" s="76">
        <v>3698.07</v>
      </c>
      <c r="Z48" s="76">
        <v>5360.1</v>
      </c>
      <c r="AA48" s="76">
        <v>2960.07</v>
      </c>
      <c r="AB48" s="76">
        <v>2306.04</v>
      </c>
      <c r="AC48" s="76">
        <v>7412.12</v>
      </c>
      <c r="AD48" s="76">
        <v>7354.1</v>
      </c>
      <c r="AE48" s="76">
        <v>5117.03</v>
      </c>
      <c r="AF48" s="76">
        <v>7235.15</v>
      </c>
      <c r="AG48" s="76">
        <v>5045.04</v>
      </c>
      <c r="AH48" s="76">
        <v>155071.30000000002</v>
      </c>
      <c r="AI48" s="76">
        <v>77022.8</v>
      </c>
    </row>
    <row r="49" spans="1:35" x14ac:dyDescent="0.25">
      <c r="A49">
        <v>45</v>
      </c>
      <c r="B49" t="s">
        <v>59</v>
      </c>
      <c r="C49" s="76">
        <v>9492.18</v>
      </c>
      <c r="D49" s="76">
        <v>14634.32</v>
      </c>
      <c r="E49" s="76">
        <v>13583.35</v>
      </c>
      <c r="F49" s="76">
        <v>15171.34</v>
      </c>
      <c r="G49" s="76">
        <v>9300.14</v>
      </c>
      <c r="H49" s="76">
        <v>8175.15</v>
      </c>
      <c r="I49" s="76">
        <v>6525.12</v>
      </c>
      <c r="J49" s="76">
        <v>5520.11</v>
      </c>
      <c r="K49" s="76">
        <v>8175.08</v>
      </c>
      <c r="L49" s="76">
        <v>8385.09</v>
      </c>
      <c r="M49" s="76">
        <v>10125.1</v>
      </c>
      <c r="N49" s="76">
        <v>5670.12</v>
      </c>
      <c r="O49" s="76">
        <v>6945.13</v>
      </c>
      <c r="P49" s="76">
        <v>4005.06</v>
      </c>
      <c r="Q49" s="76">
        <v>5520.09</v>
      </c>
      <c r="R49" s="76">
        <v>6345.06</v>
      </c>
      <c r="S49" s="76">
        <v>4860.1000000000004</v>
      </c>
      <c r="T49" s="76">
        <v>5145.03</v>
      </c>
      <c r="U49" s="76">
        <v>4005.08</v>
      </c>
      <c r="V49" s="76">
        <v>5520.08</v>
      </c>
      <c r="W49" s="76">
        <v>4515.07</v>
      </c>
      <c r="X49" s="76">
        <v>3675.06</v>
      </c>
      <c r="Y49" s="76">
        <v>5823.07</v>
      </c>
      <c r="Z49" s="76">
        <v>4879.04</v>
      </c>
      <c r="AA49" s="76">
        <v>5900.06</v>
      </c>
      <c r="AB49" s="76">
        <v>4793.03</v>
      </c>
      <c r="AC49" s="76">
        <v>8777.15</v>
      </c>
      <c r="AD49" s="76">
        <v>8946.14</v>
      </c>
      <c r="AE49" s="76">
        <v>7604.07</v>
      </c>
      <c r="AF49" s="76">
        <v>12751.17</v>
      </c>
      <c r="AG49" s="76">
        <v>12925.19</v>
      </c>
      <c r="AH49" s="76">
        <v>237691.78</v>
      </c>
      <c r="AI49" s="76">
        <v>114757.09999999999</v>
      </c>
    </row>
    <row r="50" spans="1:35" x14ac:dyDescent="0.25">
      <c r="A50">
        <v>46</v>
      </c>
      <c r="B50" t="s">
        <v>61</v>
      </c>
      <c r="C50" s="76">
        <v>8128.24</v>
      </c>
      <c r="D50" s="76">
        <v>7186.18</v>
      </c>
      <c r="E50" s="76">
        <v>6858.21</v>
      </c>
      <c r="F50" s="76">
        <v>7653.23</v>
      </c>
      <c r="G50" s="76">
        <v>3900.17</v>
      </c>
      <c r="H50" s="76">
        <v>4125.12</v>
      </c>
      <c r="I50" s="76">
        <v>4470.12</v>
      </c>
      <c r="J50" s="76">
        <v>3570.07</v>
      </c>
      <c r="K50" s="76">
        <v>3930.08</v>
      </c>
      <c r="L50" s="76">
        <v>4635.1400000000003</v>
      </c>
      <c r="M50" s="76">
        <v>3285.05</v>
      </c>
      <c r="N50" s="76">
        <v>5370.14</v>
      </c>
      <c r="O50" s="76">
        <v>1695.04</v>
      </c>
      <c r="P50" s="76">
        <v>3180.04</v>
      </c>
      <c r="Q50" s="76">
        <v>2295.06</v>
      </c>
      <c r="R50" s="76">
        <v>2520.0500000000002</v>
      </c>
      <c r="S50" s="76">
        <v>3990.07</v>
      </c>
      <c r="T50" s="76">
        <v>4710.13</v>
      </c>
      <c r="U50" s="76">
        <v>3345.1</v>
      </c>
      <c r="V50" s="76">
        <v>2595.0500000000002</v>
      </c>
      <c r="W50" s="76">
        <v>2865.06</v>
      </c>
      <c r="X50" s="76">
        <v>3240.04</v>
      </c>
      <c r="Y50" s="76">
        <v>3797.08</v>
      </c>
      <c r="Z50" s="76">
        <v>3276.08</v>
      </c>
      <c r="AA50" s="76">
        <v>2755.04</v>
      </c>
      <c r="AB50" s="76">
        <v>2295.0500000000002</v>
      </c>
      <c r="AC50" s="76">
        <v>5282.09</v>
      </c>
      <c r="AD50" s="76">
        <v>4628.09</v>
      </c>
      <c r="AE50" s="76">
        <v>7818.07</v>
      </c>
      <c r="AF50" s="76">
        <v>7701.15</v>
      </c>
      <c r="AG50" s="76">
        <v>6090.08</v>
      </c>
      <c r="AH50" s="76">
        <v>137190.12</v>
      </c>
      <c r="AI50" s="76">
        <v>63111.750000000007</v>
      </c>
    </row>
    <row r="51" spans="1:35" x14ac:dyDescent="0.25">
      <c r="A51">
        <v>47</v>
      </c>
      <c r="B51" t="s">
        <v>62</v>
      </c>
      <c r="C51" s="76">
        <v>7462.28</v>
      </c>
      <c r="D51" s="76">
        <v>7167.13</v>
      </c>
      <c r="E51" s="76">
        <v>7236.22</v>
      </c>
      <c r="F51" s="76">
        <v>8819.25</v>
      </c>
      <c r="G51" s="76">
        <v>10515.25</v>
      </c>
      <c r="H51" s="76">
        <v>9105.2999999999993</v>
      </c>
      <c r="I51" s="76">
        <v>4395.13</v>
      </c>
      <c r="J51" s="76">
        <v>5280.1</v>
      </c>
      <c r="K51" s="76">
        <v>6705.13</v>
      </c>
      <c r="L51" s="76">
        <v>8055.21</v>
      </c>
      <c r="M51" s="76">
        <v>7320.18</v>
      </c>
      <c r="N51" s="76">
        <v>2865.03</v>
      </c>
      <c r="O51" s="76">
        <v>4215.1099999999997</v>
      </c>
      <c r="P51" s="76">
        <v>2985.07</v>
      </c>
      <c r="Q51" s="76">
        <v>3045.05</v>
      </c>
      <c r="R51" s="76">
        <v>2340.04</v>
      </c>
      <c r="S51" s="76">
        <v>5340.13</v>
      </c>
      <c r="T51" s="76">
        <v>3750.11</v>
      </c>
      <c r="U51" s="76">
        <v>2805.05</v>
      </c>
      <c r="V51" s="76">
        <v>5205.1899999999996</v>
      </c>
      <c r="W51" s="76">
        <v>2595.0500000000002</v>
      </c>
      <c r="X51" s="76">
        <v>4275.13</v>
      </c>
      <c r="Y51" s="76">
        <v>3323.08</v>
      </c>
      <c r="Z51" s="76">
        <v>4296.07</v>
      </c>
      <c r="AA51" s="76">
        <v>4315.1000000000004</v>
      </c>
      <c r="AB51" s="76">
        <v>3805.07</v>
      </c>
      <c r="AC51" s="76">
        <v>9230.2000000000007</v>
      </c>
      <c r="AD51" s="76">
        <v>4835.09</v>
      </c>
      <c r="AE51" s="76">
        <v>4332.07</v>
      </c>
      <c r="AF51" s="76">
        <v>5199.12</v>
      </c>
      <c r="AG51" s="76">
        <v>6735.13</v>
      </c>
      <c r="AH51" s="76">
        <v>167553.07000000007</v>
      </c>
      <c r="AI51" s="76">
        <v>84926.210000000021</v>
      </c>
    </row>
    <row r="52" spans="1:35" x14ac:dyDescent="0.25">
      <c r="A52">
        <v>48</v>
      </c>
      <c r="B52" t="s">
        <v>63</v>
      </c>
      <c r="C52" s="76">
        <v>3962.14</v>
      </c>
      <c r="D52" s="76">
        <v>5076.09</v>
      </c>
      <c r="E52" s="76">
        <v>8627.2199999999993</v>
      </c>
      <c r="F52" s="76">
        <v>10525.36</v>
      </c>
      <c r="G52" s="76">
        <v>3615.07</v>
      </c>
      <c r="H52" s="76">
        <v>3413.08</v>
      </c>
      <c r="I52" s="76">
        <v>2805.09</v>
      </c>
      <c r="J52" s="76">
        <v>1125</v>
      </c>
      <c r="K52" s="76">
        <v>2190.0300000000002</v>
      </c>
      <c r="L52" s="76">
        <v>1890.04</v>
      </c>
      <c r="M52" s="76">
        <v>1575.01</v>
      </c>
      <c r="N52" s="76">
        <v>2400.06</v>
      </c>
      <c r="O52" s="76">
        <v>2040.04</v>
      </c>
      <c r="P52" s="76">
        <v>1125.01</v>
      </c>
      <c r="Q52" s="76">
        <v>2340.04</v>
      </c>
      <c r="R52" s="76">
        <v>1620.03</v>
      </c>
      <c r="S52" s="76">
        <v>2025.03</v>
      </c>
      <c r="T52" s="76">
        <v>1890.04</v>
      </c>
      <c r="U52" s="76">
        <v>1050.02</v>
      </c>
      <c r="V52" s="76">
        <v>1395.01</v>
      </c>
      <c r="W52" s="76">
        <v>1275</v>
      </c>
      <c r="X52" s="76">
        <v>1725.03</v>
      </c>
      <c r="Y52" s="76">
        <v>3771.09</v>
      </c>
      <c r="Z52" s="76">
        <v>1695.04</v>
      </c>
      <c r="AA52" s="76">
        <v>3620.04</v>
      </c>
      <c r="AB52" s="76">
        <v>1985.02</v>
      </c>
      <c r="AC52" s="76">
        <v>2475.0500000000002</v>
      </c>
      <c r="AD52" s="76">
        <v>1545.03</v>
      </c>
      <c r="AE52" s="76">
        <v>2337.0300000000002</v>
      </c>
      <c r="AF52" s="76">
        <v>4710.03</v>
      </c>
      <c r="AG52" s="76">
        <v>4644.03</v>
      </c>
      <c r="AH52" s="76">
        <v>90471.799999999988</v>
      </c>
      <c r="AI52" s="76">
        <v>47204.19</v>
      </c>
    </row>
    <row r="53" spans="1:35" x14ac:dyDescent="0.25">
      <c r="A53">
        <v>49</v>
      </c>
      <c r="B53" t="s">
        <v>64</v>
      </c>
      <c r="C53" s="76">
        <v>10264.33</v>
      </c>
      <c r="D53" s="76">
        <v>9848.27</v>
      </c>
      <c r="E53" s="76">
        <v>10118.219999999999</v>
      </c>
      <c r="F53" s="76">
        <v>9471.27</v>
      </c>
      <c r="G53" s="76">
        <v>2393.0700000000002</v>
      </c>
      <c r="H53" s="76">
        <v>4373.1000000000004</v>
      </c>
      <c r="I53" s="76">
        <v>2025.02</v>
      </c>
      <c r="J53" s="76">
        <v>3090.05</v>
      </c>
      <c r="K53" s="76">
        <v>4575.08</v>
      </c>
      <c r="L53" s="76">
        <v>6540.11</v>
      </c>
      <c r="M53" s="76">
        <v>4710.1000000000004</v>
      </c>
      <c r="N53" s="76">
        <v>1845.03</v>
      </c>
      <c r="O53" s="76">
        <v>2100.0300000000002</v>
      </c>
      <c r="P53" s="76">
        <v>3270.06</v>
      </c>
      <c r="Q53" s="76">
        <v>3135.07</v>
      </c>
      <c r="R53" s="76">
        <v>3960.09</v>
      </c>
      <c r="S53" s="76">
        <v>5235.1099999999997</v>
      </c>
      <c r="T53" s="76">
        <v>3660.1</v>
      </c>
      <c r="U53" s="76">
        <v>2670.02</v>
      </c>
      <c r="V53" s="76">
        <v>1725.06</v>
      </c>
      <c r="W53" s="76">
        <v>2025.06</v>
      </c>
      <c r="X53" s="76">
        <v>2025.03</v>
      </c>
      <c r="Y53" s="76">
        <v>2597.02</v>
      </c>
      <c r="Z53" s="76">
        <v>5536.1</v>
      </c>
      <c r="AA53" s="76">
        <v>3120.08</v>
      </c>
      <c r="AB53" s="76">
        <v>2442.0700000000002</v>
      </c>
      <c r="AC53" s="76">
        <v>3935.09</v>
      </c>
      <c r="AD53" s="76">
        <v>2162.0500000000002</v>
      </c>
      <c r="AE53" s="76">
        <v>4188.03</v>
      </c>
      <c r="AF53" s="76">
        <v>9102.07</v>
      </c>
      <c r="AG53" s="76">
        <v>7057.08</v>
      </c>
      <c r="AH53" s="76">
        <v>139198.87</v>
      </c>
      <c r="AI53" s="76">
        <v>69253.649999999994</v>
      </c>
    </row>
    <row r="54" spans="1:35" x14ac:dyDescent="0.25">
      <c r="A54">
        <v>50</v>
      </c>
      <c r="B54" t="s">
        <v>65</v>
      </c>
      <c r="C54" s="76">
        <v>4309.09</v>
      </c>
      <c r="D54" s="76">
        <v>5635.09</v>
      </c>
      <c r="E54" s="76">
        <v>11107.28</v>
      </c>
      <c r="F54" s="76">
        <v>8930.2199999999993</v>
      </c>
      <c r="G54" s="76">
        <v>2685.06</v>
      </c>
      <c r="H54" s="76">
        <v>2145.0100000000002</v>
      </c>
      <c r="I54" s="76">
        <v>2070.0100000000002</v>
      </c>
      <c r="J54" s="76">
        <v>2640.04</v>
      </c>
      <c r="K54" s="76">
        <v>3030.09</v>
      </c>
      <c r="L54" s="76">
        <v>3195.04</v>
      </c>
      <c r="M54" s="76">
        <v>2595.02</v>
      </c>
      <c r="N54" s="76">
        <v>1920.02</v>
      </c>
      <c r="O54" s="76">
        <v>2400.0300000000002</v>
      </c>
      <c r="P54" s="76">
        <v>3465.06</v>
      </c>
      <c r="Q54" s="76">
        <v>1620.01</v>
      </c>
      <c r="R54" s="76">
        <v>2085.06</v>
      </c>
      <c r="S54" s="76">
        <v>2835.06</v>
      </c>
      <c r="T54" s="76">
        <v>1695.03</v>
      </c>
      <c r="U54" s="76">
        <v>825.01</v>
      </c>
      <c r="V54" s="76">
        <v>1275.01</v>
      </c>
      <c r="W54" s="76">
        <v>675</v>
      </c>
      <c r="X54" s="76">
        <v>2871.08</v>
      </c>
      <c r="Y54" s="76">
        <v>2220.0500000000002</v>
      </c>
      <c r="Z54" s="76">
        <v>2121.06</v>
      </c>
      <c r="AA54" s="76">
        <v>3305.07</v>
      </c>
      <c r="AB54" s="76">
        <v>3541.04</v>
      </c>
      <c r="AC54" s="76">
        <v>5851.07</v>
      </c>
      <c r="AD54" s="76">
        <v>4368.04</v>
      </c>
      <c r="AE54" s="76">
        <v>3189.05</v>
      </c>
      <c r="AF54" s="76">
        <v>4070.04</v>
      </c>
      <c r="AG54" s="76">
        <v>4342.05</v>
      </c>
      <c r="AH54" s="76">
        <v>103015.78999999998</v>
      </c>
      <c r="AI54" s="76">
        <v>50261.969999999994</v>
      </c>
    </row>
    <row r="55" spans="1:35" x14ac:dyDescent="0.25">
      <c r="A55">
        <v>51</v>
      </c>
      <c r="B55" t="s">
        <v>58</v>
      </c>
      <c r="C55" s="76">
        <v>6471.13</v>
      </c>
      <c r="D55" s="76">
        <v>7133.16</v>
      </c>
      <c r="E55" s="76">
        <v>17570.41</v>
      </c>
      <c r="F55" s="76">
        <v>7528.17</v>
      </c>
      <c r="G55" s="76">
        <v>4020.09</v>
      </c>
      <c r="H55" s="76">
        <v>5400.15</v>
      </c>
      <c r="I55" s="76">
        <v>2550.0500000000002</v>
      </c>
      <c r="J55" s="76">
        <v>4815.1099999999997</v>
      </c>
      <c r="K55" s="76">
        <v>4725.0600000000004</v>
      </c>
      <c r="L55" s="76">
        <v>6975.16</v>
      </c>
      <c r="M55" s="76">
        <v>6300.08</v>
      </c>
      <c r="N55" s="76">
        <v>4980.12</v>
      </c>
      <c r="O55" s="76">
        <v>4440.09</v>
      </c>
      <c r="P55" s="76">
        <v>3420.09</v>
      </c>
      <c r="Q55" s="76">
        <v>2850.06</v>
      </c>
      <c r="R55" s="76">
        <v>6300.06</v>
      </c>
      <c r="S55" s="76">
        <v>5070.05</v>
      </c>
      <c r="T55" s="76">
        <v>3435.07</v>
      </c>
      <c r="U55" s="76">
        <v>1950.03</v>
      </c>
      <c r="V55" s="76">
        <v>3075.06</v>
      </c>
      <c r="W55" s="76">
        <v>3990.1</v>
      </c>
      <c r="X55" s="76">
        <v>4806.09</v>
      </c>
      <c r="Y55" s="76">
        <v>3847.02</v>
      </c>
      <c r="Z55" s="76">
        <v>6928.07</v>
      </c>
      <c r="AA55" s="76">
        <v>6144.11</v>
      </c>
      <c r="AB55" s="76">
        <v>2417.02</v>
      </c>
      <c r="AC55" s="76">
        <v>3905.06</v>
      </c>
      <c r="AD55" s="76">
        <v>4502.08</v>
      </c>
      <c r="AE55" s="76">
        <v>6532.14</v>
      </c>
      <c r="AF55" s="76">
        <v>6261.13</v>
      </c>
      <c r="AG55" s="76">
        <v>10090.14</v>
      </c>
      <c r="AH55" s="76">
        <v>168432.15999999997</v>
      </c>
      <c r="AI55" s="76">
        <v>78468.69</v>
      </c>
    </row>
    <row r="56" spans="1:35" x14ac:dyDescent="0.25">
      <c r="A56">
        <v>52</v>
      </c>
      <c r="B56" t="s">
        <v>66</v>
      </c>
      <c r="C56" s="76">
        <v>4327.16</v>
      </c>
      <c r="D56" s="76">
        <v>4421.1400000000003</v>
      </c>
      <c r="E56" s="76">
        <v>11241.34</v>
      </c>
      <c r="F56" s="76">
        <v>6566.22</v>
      </c>
      <c r="G56" s="76">
        <v>6975.21</v>
      </c>
      <c r="H56" s="76">
        <v>2625.06</v>
      </c>
      <c r="I56" s="76">
        <v>1695.03</v>
      </c>
      <c r="J56" s="76">
        <v>4575.1899999999996</v>
      </c>
      <c r="K56" s="76">
        <v>3105.07</v>
      </c>
      <c r="L56" s="76">
        <v>2745.07</v>
      </c>
      <c r="M56" s="76">
        <v>4665.1000000000004</v>
      </c>
      <c r="N56" s="76">
        <v>2685.07</v>
      </c>
      <c r="O56" s="76">
        <v>3210.06</v>
      </c>
      <c r="P56" s="76">
        <v>7605.31</v>
      </c>
      <c r="Q56" s="76">
        <v>3000.07</v>
      </c>
      <c r="R56" s="76">
        <v>2820.05</v>
      </c>
      <c r="S56" s="76">
        <v>2445.0700000000002</v>
      </c>
      <c r="T56" s="76">
        <v>6120.17</v>
      </c>
      <c r="U56" s="76">
        <v>6690.21</v>
      </c>
      <c r="V56" s="76">
        <v>1770.05</v>
      </c>
      <c r="W56" s="76">
        <v>2670.06</v>
      </c>
      <c r="X56" s="76">
        <v>3015.09</v>
      </c>
      <c r="Y56" s="76">
        <v>2808.06</v>
      </c>
      <c r="Z56" s="76">
        <v>2470.04</v>
      </c>
      <c r="AA56" s="76">
        <v>2377.06</v>
      </c>
      <c r="AB56" s="76">
        <v>2284.0100000000002</v>
      </c>
      <c r="AC56" s="76">
        <v>4131.08</v>
      </c>
      <c r="AD56" s="76">
        <v>4699.08</v>
      </c>
      <c r="AE56" s="76">
        <v>4444.0600000000004</v>
      </c>
      <c r="AF56" s="76">
        <v>4537.07</v>
      </c>
      <c r="AG56" s="76">
        <v>3692.02</v>
      </c>
      <c r="AH56" s="76">
        <v>126415.28000000001</v>
      </c>
      <c r="AI56" s="76">
        <v>55626.659999999996</v>
      </c>
    </row>
    <row r="57" spans="1:35" x14ac:dyDescent="0.25">
      <c r="A57">
        <v>53</v>
      </c>
      <c r="B57" t="s">
        <v>67</v>
      </c>
      <c r="C57" s="76">
        <v>10503.31</v>
      </c>
      <c r="D57" s="76">
        <v>12144.31</v>
      </c>
      <c r="E57" s="76">
        <v>19492.580000000002</v>
      </c>
      <c r="F57" s="76">
        <v>19692.5</v>
      </c>
      <c r="G57" s="76">
        <v>5928.12</v>
      </c>
      <c r="H57" s="76">
        <v>2595.06</v>
      </c>
      <c r="I57" s="76">
        <v>2670.01</v>
      </c>
      <c r="J57" s="76">
        <v>4155.0600000000004</v>
      </c>
      <c r="K57" s="76">
        <v>4230.05</v>
      </c>
      <c r="L57" s="76">
        <v>9030.18</v>
      </c>
      <c r="M57" s="76">
        <v>7905.17</v>
      </c>
      <c r="N57" s="76">
        <v>4695.08</v>
      </c>
      <c r="O57" s="76">
        <v>3660.1</v>
      </c>
      <c r="P57" s="76">
        <v>3615.09</v>
      </c>
      <c r="Q57" s="76">
        <v>5085.13</v>
      </c>
      <c r="R57" s="76">
        <v>5475.1</v>
      </c>
      <c r="S57" s="76">
        <v>10140.24</v>
      </c>
      <c r="T57" s="76">
        <v>3525.06</v>
      </c>
      <c r="U57" s="76">
        <v>2100.02</v>
      </c>
      <c r="V57" s="76">
        <v>1425.02</v>
      </c>
      <c r="W57" s="76">
        <v>4050.07</v>
      </c>
      <c r="X57" s="76">
        <v>1605.01</v>
      </c>
      <c r="Y57" s="76">
        <v>4170.05</v>
      </c>
      <c r="Z57" s="76">
        <v>7351.08</v>
      </c>
      <c r="AA57" s="76">
        <v>6346.1</v>
      </c>
      <c r="AB57" s="76">
        <v>5587.08</v>
      </c>
      <c r="AC57" s="76">
        <v>9857.16</v>
      </c>
      <c r="AD57" s="76">
        <v>8635.2099999999991</v>
      </c>
      <c r="AE57" s="76">
        <v>13410.25</v>
      </c>
      <c r="AF57" s="76">
        <v>13525.26</v>
      </c>
      <c r="AG57" s="76">
        <v>13295.29</v>
      </c>
      <c r="AH57" s="76">
        <v>225899.75</v>
      </c>
      <c r="AI57" s="76">
        <v>103041.43</v>
      </c>
    </row>
    <row r="58" spans="1:35" x14ac:dyDescent="0.25">
      <c r="A58">
        <v>54</v>
      </c>
      <c r="B58" t="s">
        <v>68</v>
      </c>
      <c r="C58" s="76">
        <v>8035.19</v>
      </c>
      <c r="D58" s="76">
        <v>10266.23</v>
      </c>
      <c r="E58" s="76">
        <v>13657.26</v>
      </c>
      <c r="F58" s="76">
        <v>11681.26</v>
      </c>
      <c r="G58" s="76">
        <v>3795.11</v>
      </c>
      <c r="H58" s="76">
        <v>3750.06</v>
      </c>
      <c r="I58" s="76">
        <v>10290.31</v>
      </c>
      <c r="J58" s="76">
        <v>2865.07</v>
      </c>
      <c r="K58" s="76">
        <v>6315.13</v>
      </c>
      <c r="L58" s="76">
        <v>5475.09</v>
      </c>
      <c r="M58" s="76">
        <v>5070.1000000000004</v>
      </c>
      <c r="N58" s="76">
        <v>5880.12</v>
      </c>
      <c r="O58" s="76">
        <v>3405.08</v>
      </c>
      <c r="P58" s="76">
        <v>3000.08</v>
      </c>
      <c r="Q58" s="76">
        <v>4140.1000000000004</v>
      </c>
      <c r="R58" s="76">
        <v>3495.05</v>
      </c>
      <c r="S58" s="76">
        <v>5370.08</v>
      </c>
      <c r="T58" s="76">
        <v>4590.07</v>
      </c>
      <c r="U58" s="76">
        <v>3840.1</v>
      </c>
      <c r="V58" s="76">
        <v>3795.06</v>
      </c>
      <c r="W58" s="76">
        <v>3795.03</v>
      </c>
      <c r="X58" s="76">
        <v>4155.12</v>
      </c>
      <c r="Y58" s="76">
        <v>5640.12</v>
      </c>
      <c r="Z58" s="76">
        <v>5850.11</v>
      </c>
      <c r="AA58" s="76">
        <v>4040.04</v>
      </c>
      <c r="AB58" s="76">
        <v>2527.0300000000002</v>
      </c>
      <c r="AC58" s="76">
        <v>4232.03</v>
      </c>
      <c r="AD58" s="76">
        <v>8793.1200000000008</v>
      </c>
      <c r="AE58" s="76">
        <v>6412.08</v>
      </c>
      <c r="AF58" s="76">
        <v>7990.1</v>
      </c>
      <c r="AG58" s="76">
        <v>11220.17</v>
      </c>
      <c r="AH58" s="76">
        <v>183371.5</v>
      </c>
      <c r="AI58" s="76">
        <v>87080.93</v>
      </c>
    </row>
    <row r="59" spans="1:35" x14ac:dyDescent="0.25">
      <c r="A59">
        <v>55</v>
      </c>
      <c r="B59" t="s">
        <v>69</v>
      </c>
      <c r="C59" s="76">
        <v>8583.19</v>
      </c>
      <c r="D59" s="76">
        <v>10238.26</v>
      </c>
      <c r="E59" s="76">
        <v>12685.18</v>
      </c>
      <c r="F59" s="76">
        <v>11868.24</v>
      </c>
      <c r="G59" s="76">
        <v>3885.08</v>
      </c>
      <c r="H59" s="76">
        <v>3368.09</v>
      </c>
      <c r="I59" s="76">
        <v>5280.11</v>
      </c>
      <c r="J59" s="76">
        <v>3705.1</v>
      </c>
      <c r="K59" s="76">
        <v>6600.12</v>
      </c>
      <c r="L59" s="76">
        <v>5820.05</v>
      </c>
      <c r="M59" s="76">
        <v>4080.07</v>
      </c>
      <c r="N59" s="76">
        <v>2625.03</v>
      </c>
      <c r="O59" s="76">
        <v>3165.05</v>
      </c>
      <c r="P59" s="76">
        <v>2175.02</v>
      </c>
      <c r="Q59" s="76">
        <v>2370.06</v>
      </c>
      <c r="R59" s="76">
        <v>5940.12</v>
      </c>
      <c r="S59" s="76">
        <v>3900.05</v>
      </c>
      <c r="T59" s="76">
        <v>5235.1099999999997</v>
      </c>
      <c r="U59" s="76">
        <v>1725.04</v>
      </c>
      <c r="V59" s="76">
        <v>1575.02</v>
      </c>
      <c r="W59" s="76">
        <v>2025</v>
      </c>
      <c r="X59" s="76">
        <v>2652.04</v>
      </c>
      <c r="Y59" s="76">
        <v>3602.06</v>
      </c>
      <c r="Z59" s="76">
        <v>6565.16</v>
      </c>
      <c r="AA59" s="76">
        <v>12075.33</v>
      </c>
      <c r="AB59" s="76">
        <v>3152.01</v>
      </c>
      <c r="AC59" s="76">
        <v>5185.09</v>
      </c>
      <c r="AD59" s="76">
        <v>4212.1000000000004</v>
      </c>
      <c r="AE59" s="76">
        <v>11254.16</v>
      </c>
      <c r="AF59" s="76">
        <v>7259.12</v>
      </c>
      <c r="AG59" s="76">
        <v>5925.11</v>
      </c>
      <c r="AH59" s="76">
        <v>168731.17</v>
      </c>
      <c r="AI59" s="76">
        <v>78738.520000000019</v>
      </c>
    </row>
    <row r="60" spans="1:35" x14ac:dyDescent="0.25">
      <c r="A60">
        <v>56</v>
      </c>
      <c r="B60" t="s">
        <v>60</v>
      </c>
      <c r="C60" s="76">
        <v>14988.46</v>
      </c>
      <c r="D60">
        <v>16055.39</v>
      </c>
      <c r="E60">
        <v>12768.37</v>
      </c>
      <c r="F60">
        <v>17680.48</v>
      </c>
      <c r="G60">
        <v>7831.18</v>
      </c>
      <c r="H60">
        <v>5505.12</v>
      </c>
      <c r="I60">
        <v>8430.2199999999993</v>
      </c>
      <c r="J60">
        <v>5595.11</v>
      </c>
      <c r="K60">
        <v>5700.12</v>
      </c>
      <c r="L60">
        <v>4335.09</v>
      </c>
      <c r="M60">
        <v>4215.07</v>
      </c>
      <c r="N60">
        <v>3975.09</v>
      </c>
      <c r="O60">
        <v>3840.06</v>
      </c>
      <c r="P60">
        <v>3285.07</v>
      </c>
      <c r="Q60">
        <v>5505.14</v>
      </c>
      <c r="R60">
        <v>8415.27</v>
      </c>
      <c r="S60">
        <v>5310.09</v>
      </c>
      <c r="T60">
        <v>4785.09</v>
      </c>
      <c r="U60">
        <v>4665.1499999999996</v>
      </c>
      <c r="V60">
        <v>2325</v>
      </c>
      <c r="W60">
        <v>2295.04</v>
      </c>
      <c r="X60">
        <v>3360.05</v>
      </c>
      <c r="Y60">
        <v>2310.04</v>
      </c>
      <c r="Z60">
        <v>4515.09</v>
      </c>
      <c r="AA60">
        <v>3465.04</v>
      </c>
      <c r="AB60">
        <v>4200.12</v>
      </c>
      <c r="AC60">
        <v>7834.07</v>
      </c>
      <c r="AD60">
        <v>7694.16</v>
      </c>
      <c r="AE60">
        <v>7684.1</v>
      </c>
      <c r="AF60">
        <v>11786.22</v>
      </c>
      <c r="AG60">
        <v>9022.1200000000008</v>
      </c>
      <c r="AH60" s="76">
        <v>209376.62</v>
      </c>
      <c r="AI60" s="76">
        <v>107079.69999999998</v>
      </c>
    </row>
    <row r="61" spans="1:35" x14ac:dyDescent="0.25">
      <c r="A61">
        <v>57</v>
      </c>
      <c r="B61" t="s">
        <v>70</v>
      </c>
      <c r="C61" s="76">
        <v>5705.1</v>
      </c>
      <c r="D61">
        <v>6930.19</v>
      </c>
      <c r="E61">
        <v>8936.19</v>
      </c>
      <c r="F61">
        <v>7312.23</v>
      </c>
      <c r="G61">
        <v>2715.07</v>
      </c>
      <c r="H61">
        <v>2400.04</v>
      </c>
      <c r="I61">
        <v>1995.03</v>
      </c>
      <c r="J61">
        <v>2925.01</v>
      </c>
      <c r="K61">
        <v>1425.01</v>
      </c>
      <c r="L61">
        <v>2820.05</v>
      </c>
      <c r="M61">
        <v>4590.08</v>
      </c>
      <c r="N61">
        <v>3480.12</v>
      </c>
      <c r="O61">
        <v>1950.05</v>
      </c>
      <c r="P61">
        <v>1335.04</v>
      </c>
      <c r="Q61">
        <v>3345.12</v>
      </c>
      <c r="R61">
        <v>2745.04</v>
      </c>
      <c r="S61">
        <v>3240.06</v>
      </c>
      <c r="T61">
        <v>1575.02</v>
      </c>
      <c r="U61">
        <v>1920.04</v>
      </c>
      <c r="V61">
        <v>1140.05</v>
      </c>
      <c r="W61">
        <v>1440.02</v>
      </c>
      <c r="X61">
        <v>720.01</v>
      </c>
      <c r="Y61">
        <v>1506.04</v>
      </c>
      <c r="Z61">
        <v>1680.01</v>
      </c>
      <c r="AA61">
        <v>1500.02</v>
      </c>
      <c r="AB61">
        <v>2078.02</v>
      </c>
      <c r="AC61">
        <v>3929.05</v>
      </c>
      <c r="AD61">
        <v>3460.04</v>
      </c>
      <c r="AE61">
        <v>6390.07</v>
      </c>
      <c r="AF61">
        <v>5461.09</v>
      </c>
      <c r="AG61">
        <v>4965.0600000000004</v>
      </c>
      <c r="AH61" s="76">
        <v>101613.97</v>
      </c>
      <c r="AI61" s="76">
        <v>51234.12000000001</v>
      </c>
    </row>
    <row r="62" spans="1:35" x14ac:dyDescent="0.25">
      <c r="A62">
        <v>58</v>
      </c>
      <c r="B62" t="s">
        <v>86</v>
      </c>
      <c r="C62" s="76">
        <v>3546.08</v>
      </c>
      <c r="D62">
        <v>4381.12</v>
      </c>
      <c r="E62">
        <v>8274.2800000000007</v>
      </c>
      <c r="F62">
        <v>3377.08</v>
      </c>
      <c r="G62">
        <v>5259.12</v>
      </c>
      <c r="H62">
        <v>2970.09</v>
      </c>
      <c r="I62">
        <v>3780.07</v>
      </c>
      <c r="J62">
        <v>2685.06</v>
      </c>
      <c r="K62">
        <v>4455.08</v>
      </c>
      <c r="L62">
        <v>6885.16</v>
      </c>
      <c r="M62">
        <v>3585.08</v>
      </c>
      <c r="N62">
        <v>3345.11</v>
      </c>
      <c r="O62">
        <v>2745.07</v>
      </c>
      <c r="P62">
        <v>5310.2</v>
      </c>
      <c r="Q62">
        <v>4650.12</v>
      </c>
      <c r="R62">
        <v>3030.1</v>
      </c>
      <c r="S62">
        <v>5400.16</v>
      </c>
      <c r="T62">
        <v>3345.07</v>
      </c>
      <c r="U62">
        <v>3675.1</v>
      </c>
      <c r="V62">
        <v>4650.13</v>
      </c>
      <c r="W62">
        <v>3840.09</v>
      </c>
      <c r="X62">
        <v>6165.13</v>
      </c>
      <c r="Y62">
        <v>4095.07</v>
      </c>
      <c r="Z62">
        <v>3495.04</v>
      </c>
      <c r="AA62">
        <v>5105.07</v>
      </c>
      <c r="AB62">
        <v>2972.06</v>
      </c>
      <c r="AC62">
        <v>7191.13</v>
      </c>
      <c r="AD62">
        <v>3135.1</v>
      </c>
      <c r="AE62">
        <v>3629.08</v>
      </c>
      <c r="AF62">
        <v>3919.08</v>
      </c>
      <c r="AG62">
        <v>7027.12</v>
      </c>
      <c r="AH62" s="76">
        <v>135923.25000000003</v>
      </c>
      <c r="AI62" s="76">
        <v>52543.33</v>
      </c>
    </row>
    <row r="63" spans="1:35" x14ac:dyDescent="0.25">
      <c r="A63">
        <v>60</v>
      </c>
      <c r="B63" t="s">
        <v>73</v>
      </c>
      <c r="C63" s="76">
        <v>5203.16</v>
      </c>
      <c r="D63">
        <v>10393.209999999999</v>
      </c>
      <c r="E63">
        <v>11542.26</v>
      </c>
      <c r="F63">
        <v>8719.19</v>
      </c>
      <c r="G63">
        <v>3060.05</v>
      </c>
      <c r="H63">
        <v>3855.06</v>
      </c>
      <c r="I63">
        <v>1545.01</v>
      </c>
      <c r="J63">
        <v>1395.01</v>
      </c>
      <c r="K63">
        <v>3885.04</v>
      </c>
      <c r="L63">
        <v>6615.15</v>
      </c>
      <c r="M63">
        <v>4470.07</v>
      </c>
      <c r="N63">
        <v>1995.02</v>
      </c>
      <c r="O63">
        <v>2880.08</v>
      </c>
      <c r="P63">
        <v>750.03</v>
      </c>
      <c r="Q63">
        <v>3360.08</v>
      </c>
      <c r="R63">
        <v>2340.04</v>
      </c>
      <c r="S63">
        <v>4275.0600000000004</v>
      </c>
      <c r="T63">
        <v>1350.01</v>
      </c>
      <c r="U63">
        <v>1770.04</v>
      </c>
      <c r="V63">
        <v>2400.08</v>
      </c>
      <c r="W63">
        <v>2580.0700000000002</v>
      </c>
      <c r="X63">
        <v>1491.02</v>
      </c>
      <c r="Y63">
        <v>3774.04</v>
      </c>
      <c r="Z63">
        <v>2571.06</v>
      </c>
      <c r="AA63">
        <v>2314.0100000000002</v>
      </c>
      <c r="AB63">
        <v>1027</v>
      </c>
      <c r="AC63">
        <v>2502.04</v>
      </c>
      <c r="AD63">
        <v>4170.01</v>
      </c>
      <c r="AE63">
        <v>3842.05</v>
      </c>
      <c r="AF63">
        <v>5914.11</v>
      </c>
      <c r="AG63">
        <v>6345.04</v>
      </c>
      <c r="AH63" s="76">
        <v>118334.09999999996</v>
      </c>
      <c r="AI63" s="76">
        <v>62678.23</v>
      </c>
    </row>
    <row r="64" spans="1:35" x14ac:dyDescent="0.25">
      <c r="A64">
        <v>62</v>
      </c>
      <c r="B64" t="s">
        <v>87</v>
      </c>
      <c r="C64" s="76">
        <v>0</v>
      </c>
      <c r="D64">
        <v>0</v>
      </c>
      <c r="E64">
        <v>0</v>
      </c>
      <c r="F64">
        <v>0</v>
      </c>
      <c r="G64">
        <v>3045.09</v>
      </c>
      <c r="H64">
        <v>5295.1</v>
      </c>
      <c r="I64">
        <v>3480.04</v>
      </c>
      <c r="J64">
        <v>3675.05</v>
      </c>
      <c r="K64">
        <v>2625.01</v>
      </c>
      <c r="L64">
        <v>3570.07</v>
      </c>
      <c r="M64">
        <v>3840.06</v>
      </c>
      <c r="N64">
        <v>4845.07</v>
      </c>
      <c r="O64">
        <v>1965.03</v>
      </c>
      <c r="P64">
        <v>2220.0300000000002</v>
      </c>
      <c r="Q64">
        <v>2565.02</v>
      </c>
      <c r="R64">
        <v>2775.03</v>
      </c>
      <c r="S64">
        <v>3120.02</v>
      </c>
      <c r="T64">
        <v>2790.04</v>
      </c>
      <c r="U64">
        <v>3360.06</v>
      </c>
      <c r="V64">
        <v>1320.02</v>
      </c>
      <c r="W64">
        <v>1200.01</v>
      </c>
      <c r="X64">
        <v>3960.07</v>
      </c>
      <c r="Y64">
        <v>3521.02</v>
      </c>
      <c r="Z64">
        <v>4318.04</v>
      </c>
      <c r="AA64">
        <v>2612.02</v>
      </c>
      <c r="AB64">
        <v>2170.0500000000002</v>
      </c>
      <c r="AC64">
        <v>6420.06</v>
      </c>
      <c r="AD64">
        <v>4760.08</v>
      </c>
      <c r="AE64">
        <v>6116.14</v>
      </c>
      <c r="AF64">
        <v>8284.16</v>
      </c>
      <c r="AG64">
        <v>4887.04</v>
      </c>
      <c r="AH64" s="76">
        <v>98739.43</v>
      </c>
      <c r="AI64" s="76">
        <v>30375.49</v>
      </c>
    </row>
    <row r="65" spans="1:35" x14ac:dyDescent="0.25">
      <c r="A65">
        <v>59</v>
      </c>
      <c r="B65" t="s">
        <v>72</v>
      </c>
      <c r="C65" s="76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2430.04</v>
      </c>
      <c r="M65">
        <v>1410.03</v>
      </c>
      <c r="N65">
        <v>1095.04</v>
      </c>
      <c r="O65">
        <v>345.01</v>
      </c>
      <c r="P65">
        <v>915.03</v>
      </c>
      <c r="Q65">
        <v>825</v>
      </c>
      <c r="R65">
        <v>675</v>
      </c>
      <c r="S65">
        <v>1350.01</v>
      </c>
      <c r="T65">
        <v>1200.01</v>
      </c>
      <c r="U65">
        <v>1665.02</v>
      </c>
      <c r="V65">
        <v>720.02</v>
      </c>
      <c r="W65">
        <v>870.02</v>
      </c>
      <c r="X65">
        <v>1077.02</v>
      </c>
      <c r="Y65">
        <v>1665.01</v>
      </c>
      <c r="Z65">
        <v>1020</v>
      </c>
      <c r="AA65">
        <v>1722.04</v>
      </c>
      <c r="AB65">
        <v>1266.01</v>
      </c>
      <c r="AC65">
        <v>1577</v>
      </c>
      <c r="AD65">
        <v>1266.01</v>
      </c>
      <c r="AE65">
        <v>1218.03</v>
      </c>
      <c r="AF65">
        <v>3385.03</v>
      </c>
      <c r="AG65">
        <v>2275.02</v>
      </c>
      <c r="AH65" s="76">
        <v>29971.399999999998</v>
      </c>
      <c r="AI65" s="76">
        <v>4935.1099999999997</v>
      </c>
    </row>
    <row r="66" spans="1:35" x14ac:dyDescent="0.25">
      <c r="A66">
        <v>63</v>
      </c>
      <c r="B66" t="s">
        <v>241</v>
      </c>
      <c r="C66" s="7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16365.37</v>
      </c>
      <c r="M66">
        <v>60166.68</v>
      </c>
      <c r="N66">
        <v>36300.85</v>
      </c>
      <c r="O66">
        <v>40336.129999999997</v>
      </c>
      <c r="P66">
        <v>40050.94</v>
      </c>
      <c r="Q66">
        <v>30180.83</v>
      </c>
      <c r="R66">
        <v>38940.949999999997</v>
      </c>
      <c r="S66">
        <v>40996.269999999997</v>
      </c>
      <c r="T66">
        <v>35775.910000000003</v>
      </c>
      <c r="U66">
        <v>14820.35</v>
      </c>
      <c r="V66">
        <v>20625.54</v>
      </c>
      <c r="W66">
        <v>16830.37</v>
      </c>
      <c r="X66">
        <v>13845.33</v>
      </c>
      <c r="Y66">
        <v>30625.85</v>
      </c>
      <c r="Z66">
        <v>69861.990000000005</v>
      </c>
      <c r="AA66">
        <v>63361.98</v>
      </c>
      <c r="AB66">
        <v>37876.19</v>
      </c>
      <c r="AC66">
        <v>30730.77</v>
      </c>
      <c r="AD66">
        <v>39751.14</v>
      </c>
      <c r="AE66">
        <v>51746.400000000001</v>
      </c>
      <c r="AF66">
        <v>47308.11</v>
      </c>
      <c r="AG66">
        <v>63831.74</v>
      </c>
      <c r="AH66" s="76">
        <v>840329.69000000006</v>
      </c>
      <c r="AI66" s="76">
        <v>112832.9</v>
      </c>
    </row>
    <row r="67" spans="1:35" x14ac:dyDescent="0.25">
      <c r="A67">
        <v>64</v>
      </c>
      <c r="B67" t="s">
        <v>79</v>
      </c>
      <c r="C67" s="76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2940.08</v>
      </c>
      <c r="R67">
        <v>2700.02</v>
      </c>
      <c r="S67">
        <v>4860.05</v>
      </c>
      <c r="T67">
        <v>4635.07</v>
      </c>
      <c r="U67">
        <v>2790.08</v>
      </c>
      <c r="V67">
        <v>2655.08</v>
      </c>
      <c r="W67">
        <v>2430.0700000000002</v>
      </c>
      <c r="X67">
        <v>2304.0700000000002</v>
      </c>
      <c r="Y67">
        <v>4071.08</v>
      </c>
      <c r="Z67">
        <v>5085.1499999999996</v>
      </c>
      <c r="AA67">
        <v>5190.1899999999996</v>
      </c>
      <c r="AB67">
        <v>4872.1000000000004</v>
      </c>
      <c r="AC67">
        <v>8838.2000000000007</v>
      </c>
      <c r="AD67">
        <v>9072.17</v>
      </c>
      <c r="AE67">
        <v>9026.2000000000007</v>
      </c>
      <c r="AF67">
        <v>12515.39</v>
      </c>
      <c r="AG67">
        <v>8601.18</v>
      </c>
      <c r="AH67" s="76">
        <v>92586.18</v>
      </c>
      <c r="AI67" s="76">
        <v>0</v>
      </c>
    </row>
    <row r="68" spans="1:35" x14ac:dyDescent="0.25">
      <c r="A68">
        <v>65</v>
      </c>
      <c r="B68" t="s">
        <v>93</v>
      </c>
      <c r="C68" s="76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1125.02</v>
      </c>
      <c r="X68">
        <v>945.02</v>
      </c>
      <c r="Y68">
        <v>2465.0300000000002</v>
      </c>
      <c r="Z68">
        <v>2551.04</v>
      </c>
      <c r="AA68">
        <v>1766.02</v>
      </c>
      <c r="AB68">
        <v>1625.02</v>
      </c>
      <c r="AC68">
        <v>3707.06</v>
      </c>
      <c r="AD68">
        <v>4375.0200000000004</v>
      </c>
      <c r="AE68">
        <v>4080.05</v>
      </c>
      <c r="AF68">
        <v>4930.1000000000004</v>
      </c>
      <c r="AG68">
        <v>4400.0600000000004</v>
      </c>
      <c r="AH68" s="76">
        <v>31969.439999999999</v>
      </c>
      <c r="AI68" s="76">
        <v>0</v>
      </c>
    </row>
    <row r="69" spans="1:35" x14ac:dyDescent="0.25">
      <c r="A69">
        <v>61</v>
      </c>
      <c r="B69" t="s">
        <v>77</v>
      </c>
      <c r="C69" s="76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1785.01</v>
      </c>
      <c r="Z69">
        <v>1806.03</v>
      </c>
      <c r="AA69">
        <v>2322.0500000000002</v>
      </c>
      <c r="AB69">
        <v>1608.04</v>
      </c>
      <c r="AC69">
        <v>2706.02</v>
      </c>
      <c r="AD69">
        <v>4587.05</v>
      </c>
      <c r="AE69">
        <v>3312.06</v>
      </c>
      <c r="AF69">
        <v>5592.09</v>
      </c>
      <c r="AG69">
        <v>6225.06</v>
      </c>
      <c r="AH69" s="76">
        <v>29943.410000000003</v>
      </c>
      <c r="AI69" s="76">
        <v>0</v>
      </c>
    </row>
    <row r="70" spans="1:35" x14ac:dyDescent="0.25">
      <c r="A70">
        <v>66</v>
      </c>
      <c r="B70" t="s">
        <v>89</v>
      </c>
      <c r="C70" s="76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1851.04</v>
      </c>
      <c r="AE70">
        <v>1365.02</v>
      </c>
      <c r="AF70">
        <v>4371.12</v>
      </c>
      <c r="AG70">
        <v>3615.06</v>
      </c>
      <c r="AH70" s="76">
        <v>11202.24</v>
      </c>
      <c r="AI70" s="76">
        <v>0</v>
      </c>
    </row>
    <row r="71" spans="1:35" x14ac:dyDescent="0.25">
      <c r="A71">
        <v>67</v>
      </c>
      <c r="B71" t="s">
        <v>80</v>
      </c>
      <c r="C71" s="76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11715.09</v>
      </c>
      <c r="AF71">
        <v>19020.29</v>
      </c>
      <c r="AG71">
        <v>19800.36</v>
      </c>
      <c r="AH71" s="76">
        <v>50535.740000000005</v>
      </c>
      <c r="AI71" s="7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A19C-B40E-447D-8472-D89E686274FB}">
  <dimension ref="A1:AI71"/>
  <sheetViews>
    <sheetView topLeftCell="AA1" workbookViewId="0">
      <selection activeCell="AH5" sqref="AH5"/>
    </sheetView>
  </sheetViews>
  <sheetFormatPr defaultRowHeight="15" x14ac:dyDescent="0.25"/>
  <cols>
    <col min="2" max="33" width="16.7109375" customWidth="1"/>
    <col min="34" max="34" width="16.7109375" style="91" customWidth="1"/>
    <col min="35" max="35" width="16.7109375" style="92" customWidth="1"/>
  </cols>
  <sheetData>
    <row r="1" spans="1:35" s="10" customForma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78"/>
      <c r="AI1" s="79"/>
    </row>
    <row r="2" spans="1:35" x14ac:dyDescent="0.25">
      <c r="A2" s="1"/>
      <c r="B2" s="1"/>
      <c r="C2" s="80">
        <v>45931</v>
      </c>
      <c r="D2" s="80">
        <v>45932</v>
      </c>
      <c r="E2" s="80">
        <v>45933</v>
      </c>
      <c r="F2" s="80">
        <v>45934</v>
      </c>
      <c r="G2" s="80">
        <v>45935</v>
      </c>
      <c r="H2" s="80">
        <v>45936</v>
      </c>
      <c r="I2" s="80">
        <v>45937</v>
      </c>
      <c r="J2" s="80">
        <v>45938</v>
      </c>
      <c r="K2" s="80">
        <v>45939</v>
      </c>
      <c r="L2" s="80">
        <v>45940</v>
      </c>
      <c r="M2" s="80">
        <v>45941</v>
      </c>
      <c r="N2" s="80">
        <v>45942</v>
      </c>
      <c r="O2" s="80">
        <v>45943</v>
      </c>
      <c r="P2" s="80">
        <v>45944</v>
      </c>
      <c r="Q2" s="80">
        <v>45945</v>
      </c>
      <c r="R2" s="80">
        <v>45946</v>
      </c>
      <c r="S2" s="80">
        <v>45947</v>
      </c>
      <c r="T2" s="80">
        <v>45948</v>
      </c>
      <c r="U2" s="80">
        <v>45949</v>
      </c>
      <c r="V2" s="80">
        <v>45950</v>
      </c>
      <c r="W2" s="80">
        <v>45951</v>
      </c>
      <c r="X2" s="80">
        <v>45952</v>
      </c>
      <c r="Y2" s="80">
        <v>45953</v>
      </c>
      <c r="Z2" s="80">
        <v>45954</v>
      </c>
      <c r="AA2" s="80">
        <v>45955</v>
      </c>
      <c r="AB2" s="80">
        <v>45956</v>
      </c>
      <c r="AC2" s="80">
        <v>45957</v>
      </c>
      <c r="AD2" s="80">
        <v>45958</v>
      </c>
      <c r="AE2" s="80">
        <v>45959</v>
      </c>
      <c r="AF2" s="80">
        <v>45960</v>
      </c>
      <c r="AG2" s="80">
        <v>45961</v>
      </c>
      <c r="AH2" s="81"/>
      <c r="AI2" s="82"/>
    </row>
    <row r="3" spans="1:35" x14ac:dyDescent="0.25">
      <c r="A3" s="1"/>
      <c r="B3" s="1"/>
      <c r="C3" s="83">
        <f>SUBTOTAL(9,C5:C101)</f>
        <v>6579</v>
      </c>
      <c r="D3" s="83">
        <f t="shared" ref="D3:AG3" si="0">SUBTOTAL(9,D5:D101)</f>
        <v>7268</v>
      </c>
      <c r="E3" s="83">
        <f t="shared" si="0"/>
        <v>8396</v>
      </c>
      <c r="F3" s="83">
        <f t="shared" si="0"/>
        <v>7567</v>
      </c>
      <c r="G3" s="83">
        <f t="shared" si="0"/>
        <v>3329</v>
      </c>
      <c r="H3" s="83">
        <f t="shared" si="0"/>
        <v>2960</v>
      </c>
      <c r="I3" s="83">
        <f t="shared" si="0"/>
        <v>2881</v>
      </c>
      <c r="J3" s="83">
        <f t="shared" si="0"/>
        <v>2788</v>
      </c>
      <c r="K3" s="83">
        <f t="shared" si="0"/>
        <v>3591</v>
      </c>
      <c r="L3" s="83">
        <f t="shared" si="0"/>
        <v>4065</v>
      </c>
      <c r="M3" s="83">
        <f t="shared" si="0"/>
        <v>3964</v>
      </c>
      <c r="N3" s="83">
        <f t="shared" si="0"/>
        <v>2807</v>
      </c>
      <c r="O3" s="83">
        <f t="shared" si="0"/>
        <v>2364</v>
      </c>
      <c r="P3" s="83">
        <f t="shared" si="0"/>
        <v>2318</v>
      </c>
      <c r="Q3" s="83">
        <f t="shared" si="0"/>
        <v>2589</v>
      </c>
      <c r="R3" s="83">
        <f t="shared" si="0"/>
        <v>2941</v>
      </c>
      <c r="S3" s="83">
        <f t="shared" si="0"/>
        <v>3547</v>
      </c>
      <c r="T3" s="83">
        <f t="shared" si="0"/>
        <v>3000</v>
      </c>
      <c r="U3" s="83">
        <f t="shared" si="0"/>
        <v>2029</v>
      </c>
      <c r="V3" s="83">
        <f t="shared" si="0"/>
        <v>2028</v>
      </c>
      <c r="W3" s="83">
        <f t="shared" si="0"/>
        <v>1998</v>
      </c>
      <c r="X3" s="83">
        <f t="shared" si="0"/>
        <v>2254</v>
      </c>
      <c r="Y3" s="83">
        <f t="shared" si="0"/>
        <v>3056</v>
      </c>
      <c r="Z3" s="83">
        <f t="shared" si="0"/>
        <v>3502</v>
      </c>
      <c r="AA3" s="83">
        <f t="shared" si="0"/>
        <v>3298</v>
      </c>
      <c r="AB3" s="83">
        <f t="shared" si="0"/>
        <v>2643</v>
      </c>
      <c r="AC3" s="83">
        <f t="shared" si="0"/>
        <v>4397</v>
      </c>
      <c r="AD3" s="83">
        <f t="shared" si="0"/>
        <v>4413</v>
      </c>
      <c r="AE3" s="83">
        <f t="shared" si="0"/>
        <v>5106</v>
      </c>
      <c r="AF3" s="83">
        <f t="shared" si="0"/>
        <v>6376</v>
      </c>
      <c r="AG3" s="83">
        <f t="shared" si="0"/>
        <v>6199</v>
      </c>
      <c r="AH3" s="84">
        <f>SUBTOTAL(9,AH5:AH105)</f>
        <v>93762</v>
      </c>
      <c r="AI3" s="85">
        <f>SUBTOTAL(9,AI5:AI105)</f>
        <v>93762</v>
      </c>
    </row>
    <row r="4" spans="1:35" x14ac:dyDescent="0.25">
      <c r="A4" s="2" t="s">
        <v>11</v>
      </c>
      <c r="B4" s="2" t="s">
        <v>237</v>
      </c>
      <c r="C4" s="2" t="s">
        <v>214</v>
      </c>
      <c r="D4" s="2" t="s">
        <v>214</v>
      </c>
      <c r="E4" s="2" t="s">
        <v>214</v>
      </c>
      <c r="F4" s="2" t="s">
        <v>214</v>
      </c>
      <c r="G4" s="2" t="s">
        <v>214</v>
      </c>
      <c r="H4" s="2" t="s">
        <v>214</v>
      </c>
      <c r="I4" s="2" t="s">
        <v>214</v>
      </c>
      <c r="J4" s="2" t="s">
        <v>214</v>
      </c>
      <c r="K4" s="2" t="s">
        <v>214</v>
      </c>
      <c r="L4" s="2" t="s">
        <v>214</v>
      </c>
      <c r="M4" s="2" t="s">
        <v>214</v>
      </c>
      <c r="N4" s="2" t="s">
        <v>214</v>
      </c>
      <c r="O4" s="2" t="s">
        <v>214</v>
      </c>
      <c r="P4" s="2" t="s">
        <v>214</v>
      </c>
      <c r="Q4" s="2" t="s">
        <v>214</v>
      </c>
      <c r="R4" s="2" t="s">
        <v>214</v>
      </c>
      <c r="S4" s="2" t="s">
        <v>214</v>
      </c>
      <c r="T4" s="2" t="s">
        <v>214</v>
      </c>
      <c r="U4" s="2" t="s">
        <v>214</v>
      </c>
      <c r="V4" s="2" t="s">
        <v>214</v>
      </c>
      <c r="W4" s="2" t="s">
        <v>214</v>
      </c>
      <c r="X4" s="2" t="s">
        <v>214</v>
      </c>
      <c r="Y4" s="2" t="s">
        <v>214</v>
      </c>
      <c r="Z4" s="2" t="s">
        <v>214</v>
      </c>
      <c r="AA4" s="2" t="s">
        <v>214</v>
      </c>
      <c r="AB4" s="2" t="s">
        <v>214</v>
      </c>
      <c r="AC4" s="2" t="s">
        <v>214</v>
      </c>
      <c r="AD4" s="2" t="s">
        <v>214</v>
      </c>
      <c r="AE4" s="2" t="s">
        <v>214</v>
      </c>
      <c r="AF4" s="2" t="s">
        <v>214</v>
      </c>
      <c r="AG4" s="2" t="s">
        <v>214</v>
      </c>
      <c r="AH4" s="86" t="s">
        <v>214</v>
      </c>
      <c r="AI4" s="87" t="s">
        <v>0</v>
      </c>
    </row>
    <row r="5" spans="1:35" x14ac:dyDescent="0.25">
      <c r="A5" s="88">
        <v>1</v>
      </c>
      <c r="B5" s="1" t="s">
        <v>12</v>
      </c>
      <c r="C5">
        <v>302</v>
      </c>
      <c r="D5">
        <v>310</v>
      </c>
      <c r="E5">
        <v>387</v>
      </c>
      <c r="F5">
        <v>93</v>
      </c>
      <c r="G5">
        <v>0</v>
      </c>
      <c r="H5">
        <v>115</v>
      </c>
      <c r="I5">
        <v>143</v>
      </c>
      <c r="J5">
        <v>117</v>
      </c>
      <c r="K5">
        <v>146</v>
      </c>
      <c r="L5">
        <v>199</v>
      </c>
      <c r="M5">
        <v>213</v>
      </c>
      <c r="N5">
        <v>129</v>
      </c>
      <c r="O5">
        <v>113</v>
      </c>
      <c r="P5">
        <v>87</v>
      </c>
      <c r="Q5">
        <v>118</v>
      </c>
      <c r="R5">
        <v>127</v>
      </c>
      <c r="S5">
        <v>215</v>
      </c>
      <c r="T5">
        <v>183</v>
      </c>
      <c r="U5">
        <v>95</v>
      </c>
      <c r="V5">
        <v>96</v>
      </c>
      <c r="W5">
        <v>90</v>
      </c>
      <c r="X5">
        <v>78</v>
      </c>
      <c r="Y5">
        <v>133</v>
      </c>
      <c r="Z5">
        <v>192</v>
      </c>
      <c r="AA5">
        <v>107</v>
      </c>
      <c r="AB5">
        <v>170</v>
      </c>
      <c r="AC5">
        <v>179</v>
      </c>
      <c r="AD5">
        <v>233</v>
      </c>
      <c r="AE5">
        <v>219</v>
      </c>
      <c r="AF5">
        <v>258</v>
      </c>
      <c r="AG5">
        <v>251</v>
      </c>
      <c r="AH5" s="89">
        <f>SUM(C5:AB5)</f>
        <v>3958</v>
      </c>
      <c r="AI5" s="90">
        <f>SUM(C5:AB5)</f>
        <v>3958</v>
      </c>
    </row>
    <row r="6" spans="1:35" x14ac:dyDescent="0.25">
      <c r="A6" s="88">
        <v>2</v>
      </c>
      <c r="B6" s="1" t="s">
        <v>13</v>
      </c>
      <c r="C6">
        <v>143</v>
      </c>
      <c r="D6">
        <v>165</v>
      </c>
      <c r="E6">
        <v>185</v>
      </c>
      <c r="F6">
        <v>223</v>
      </c>
      <c r="G6">
        <v>102</v>
      </c>
      <c r="H6">
        <v>98</v>
      </c>
      <c r="I6">
        <v>91</v>
      </c>
      <c r="J6">
        <v>105</v>
      </c>
      <c r="K6">
        <v>98</v>
      </c>
      <c r="L6">
        <v>111</v>
      </c>
      <c r="M6">
        <v>92</v>
      </c>
      <c r="N6">
        <v>64</v>
      </c>
      <c r="O6">
        <v>67</v>
      </c>
      <c r="P6">
        <v>70</v>
      </c>
      <c r="Q6">
        <v>74</v>
      </c>
      <c r="R6">
        <v>69</v>
      </c>
      <c r="S6">
        <v>92</v>
      </c>
      <c r="T6">
        <v>96</v>
      </c>
      <c r="U6">
        <v>61</v>
      </c>
      <c r="V6">
        <v>59</v>
      </c>
      <c r="W6">
        <v>60</v>
      </c>
      <c r="X6">
        <v>66</v>
      </c>
      <c r="Y6">
        <v>72</v>
      </c>
      <c r="Z6">
        <v>90</v>
      </c>
      <c r="AA6">
        <v>101</v>
      </c>
      <c r="AB6">
        <v>102</v>
      </c>
      <c r="AC6">
        <v>136</v>
      </c>
      <c r="AD6">
        <v>174</v>
      </c>
      <c r="AE6">
        <v>143</v>
      </c>
      <c r="AF6">
        <v>154</v>
      </c>
      <c r="AG6">
        <v>139</v>
      </c>
      <c r="AH6" s="89">
        <f t="shared" ref="AH6:AH69" si="1">SUM(C6:AB6)</f>
        <v>2556</v>
      </c>
      <c r="AI6" s="90">
        <f t="shared" ref="AI6:AI69" si="2">SUM(C6:AB6)</f>
        <v>2556</v>
      </c>
    </row>
    <row r="7" spans="1:35" x14ac:dyDescent="0.25">
      <c r="A7" s="88">
        <v>3</v>
      </c>
      <c r="B7" s="1" t="s">
        <v>14</v>
      </c>
      <c r="C7">
        <v>175</v>
      </c>
      <c r="D7">
        <v>151</v>
      </c>
      <c r="E7">
        <v>87</v>
      </c>
      <c r="F7">
        <v>141</v>
      </c>
      <c r="G7">
        <v>87</v>
      </c>
      <c r="H7">
        <v>51</v>
      </c>
      <c r="I7">
        <v>60</v>
      </c>
      <c r="J7">
        <v>60</v>
      </c>
      <c r="K7">
        <v>71</v>
      </c>
      <c r="L7">
        <v>66</v>
      </c>
      <c r="M7">
        <v>77</v>
      </c>
      <c r="N7">
        <v>60</v>
      </c>
      <c r="O7">
        <v>44</v>
      </c>
      <c r="P7">
        <v>48</v>
      </c>
      <c r="Q7">
        <v>54</v>
      </c>
      <c r="R7">
        <v>42</v>
      </c>
      <c r="S7">
        <v>69</v>
      </c>
      <c r="T7">
        <v>65</v>
      </c>
      <c r="U7">
        <v>49</v>
      </c>
      <c r="V7">
        <v>49</v>
      </c>
      <c r="W7">
        <v>44</v>
      </c>
      <c r="X7">
        <v>44</v>
      </c>
      <c r="Y7">
        <v>59</v>
      </c>
      <c r="Z7">
        <v>52</v>
      </c>
      <c r="AA7">
        <v>83</v>
      </c>
      <c r="AB7">
        <v>63</v>
      </c>
      <c r="AC7">
        <v>94</v>
      </c>
      <c r="AD7">
        <v>112</v>
      </c>
      <c r="AE7">
        <v>120</v>
      </c>
      <c r="AF7">
        <v>108</v>
      </c>
      <c r="AG7">
        <v>109</v>
      </c>
      <c r="AH7" s="89">
        <f t="shared" si="1"/>
        <v>1851</v>
      </c>
      <c r="AI7" s="90">
        <f t="shared" si="2"/>
        <v>1851</v>
      </c>
    </row>
    <row r="8" spans="1:35" x14ac:dyDescent="0.25">
      <c r="A8" s="88">
        <v>4</v>
      </c>
      <c r="B8" s="1" t="s">
        <v>15</v>
      </c>
      <c r="C8">
        <v>119</v>
      </c>
      <c r="D8">
        <v>134</v>
      </c>
      <c r="E8">
        <v>152</v>
      </c>
      <c r="F8">
        <v>129</v>
      </c>
      <c r="G8">
        <v>77</v>
      </c>
      <c r="H8">
        <v>53</v>
      </c>
      <c r="I8">
        <v>46</v>
      </c>
      <c r="J8">
        <v>58</v>
      </c>
      <c r="K8">
        <v>59</v>
      </c>
      <c r="L8">
        <v>68</v>
      </c>
      <c r="M8">
        <v>54</v>
      </c>
      <c r="N8">
        <v>62</v>
      </c>
      <c r="O8">
        <v>38</v>
      </c>
      <c r="P8">
        <v>41</v>
      </c>
      <c r="Q8">
        <v>46</v>
      </c>
      <c r="R8">
        <v>60</v>
      </c>
      <c r="S8">
        <v>73</v>
      </c>
      <c r="T8">
        <v>55</v>
      </c>
      <c r="U8">
        <v>43</v>
      </c>
      <c r="V8">
        <v>38</v>
      </c>
      <c r="W8">
        <v>34</v>
      </c>
      <c r="X8">
        <v>51</v>
      </c>
      <c r="Y8">
        <v>41</v>
      </c>
      <c r="Z8">
        <v>58</v>
      </c>
      <c r="AA8">
        <v>56</v>
      </c>
      <c r="AB8">
        <v>59</v>
      </c>
      <c r="AC8">
        <v>66</v>
      </c>
      <c r="AD8">
        <v>84</v>
      </c>
      <c r="AE8">
        <v>128</v>
      </c>
      <c r="AF8">
        <v>108</v>
      </c>
      <c r="AG8">
        <v>103</v>
      </c>
      <c r="AH8" s="89">
        <f t="shared" si="1"/>
        <v>1704</v>
      </c>
      <c r="AI8" s="90">
        <f t="shared" si="2"/>
        <v>1704</v>
      </c>
    </row>
    <row r="9" spans="1:35" x14ac:dyDescent="0.25">
      <c r="A9" s="88">
        <v>5</v>
      </c>
      <c r="B9" s="1" t="s">
        <v>16</v>
      </c>
      <c r="C9">
        <v>139</v>
      </c>
      <c r="D9">
        <v>130</v>
      </c>
      <c r="E9">
        <v>125</v>
      </c>
      <c r="F9">
        <v>149</v>
      </c>
      <c r="G9">
        <v>68</v>
      </c>
      <c r="H9">
        <v>56</v>
      </c>
      <c r="I9">
        <v>63</v>
      </c>
      <c r="J9">
        <v>57</v>
      </c>
      <c r="K9">
        <v>81</v>
      </c>
      <c r="L9">
        <v>54</v>
      </c>
      <c r="M9">
        <v>59</v>
      </c>
      <c r="N9">
        <v>44</v>
      </c>
      <c r="O9">
        <v>43</v>
      </c>
      <c r="P9">
        <v>46</v>
      </c>
      <c r="Q9">
        <v>45</v>
      </c>
      <c r="R9">
        <v>52</v>
      </c>
      <c r="S9">
        <v>45</v>
      </c>
      <c r="T9">
        <v>52</v>
      </c>
      <c r="U9">
        <v>42</v>
      </c>
      <c r="V9">
        <v>36</v>
      </c>
      <c r="W9">
        <v>39</v>
      </c>
      <c r="X9">
        <v>32</v>
      </c>
      <c r="Y9">
        <v>57</v>
      </c>
      <c r="Z9">
        <v>38</v>
      </c>
      <c r="AA9">
        <v>46</v>
      </c>
      <c r="AB9">
        <v>36</v>
      </c>
      <c r="AC9">
        <v>76</v>
      </c>
      <c r="AD9">
        <v>82</v>
      </c>
      <c r="AE9">
        <v>110</v>
      </c>
      <c r="AF9">
        <v>117</v>
      </c>
      <c r="AG9">
        <v>90</v>
      </c>
      <c r="AH9" s="89">
        <f t="shared" si="1"/>
        <v>1634</v>
      </c>
      <c r="AI9" s="90">
        <f t="shared" si="2"/>
        <v>1634</v>
      </c>
    </row>
    <row r="10" spans="1:35" x14ac:dyDescent="0.25">
      <c r="A10" s="88">
        <v>6</v>
      </c>
      <c r="B10" s="1" t="s">
        <v>17</v>
      </c>
      <c r="C10">
        <v>164</v>
      </c>
      <c r="D10">
        <v>196</v>
      </c>
      <c r="E10">
        <v>259</v>
      </c>
      <c r="F10">
        <v>253</v>
      </c>
      <c r="G10">
        <v>135</v>
      </c>
      <c r="H10">
        <v>99</v>
      </c>
      <c r="I10">
        <v>119</v>
      </c>
      <c r="J10">
        <v>74</v>
      </c>
      <c r="K10">
        <v>105</v>
      </c>
      <c r="L10">
        <v>105</v>
      </c>
      <c r="M10">
        <v>106</v>
      </c>
      <c r="N10">
        <v>76</v>
      </c>
      <c r="O10">
        <v>95</v>
      </c>
      <c r="P10">
        <v>75</v>
      </c>
      <c r="Q10">
        <v>87</v>
      </c>
      <c r="R10">
        <v>68</v>
      </c>
      <c r="S10">
        <v>103</v>
      </c>
      <c r="T10">
        <v>74</v>
      </c>
      <c r="U10">
        <v>68</v>
      </c>
      <c r="V10">
        <v>75</v>
      </c>
      <c r="W10">
        <v>77</v>
      </c>
      <c r="X10">
        <v>71</v>
      </c>
      <c r="Y10">
        <v>86</v>
      </c>
      <c r="Z10">
        <v>85</v>
      </c>
      <c r="AA10">
        <v>96</v>
      </c>
      <c r="AB10">
        <v>66</v>
      </c>
      <c r="AC10">
        <v>108</v>
      </c>
      <c r="AD10">
        <v>109</v>
      </c>
      <c r="AE10">
        <v>142</v>
      </c>
      <c r="AF10">
        <v>150</v>
      </c>
      <c r="AG10">
        <v>176</v>
      </c>
      <c r="AH10" s="89">
        <f t="shared" si="1"/>
        <v>2817</v>
      </c>
      <c r="AI10" s="90">
        <f t="shared" si="2"/>
        <v>2817</v>
      </c>
    </row>
    <row r="11" spans="1:35" x14ac:dyDescent="0.25">
      <c r="A11" s="88">
        <v>7</v>
      </c>
      <c r="B11" s="1" t="s">
        <v>18</v>
      </c>
      <c r="C11">
        <v>101</v>
      </c>
      <c r="D11">
        <v>121</v>
      </c>
      <c r="E11">
        <v>96</v>
      </c>
      <c r="F11">
        <v>120</v>
      </c>
      <c r="G11">
        <v>56</v>
      </c>
      <c r="H11">
        <v>51</v>
      </c>
      <c r="I11">
        <v>58</v>
      </c>
      <c r="J11">
        <v>51</v>
      </c>
      <c r="K11">
        <v>62</v>
      </c>
      <c r="L11">
        <v>57</v>
      </c>
      <c r="M11">
        <v>50</v>
      </c>
      <c r="N11">
        <v>42</v>
      </c>
      <c r="O11">
        <v>34</v>
      </c>
      <c r="P11">
        <v>42</v>
      </c>
      <c r="Q11">
        <v>46</v>
      </c>
      <c r="R11">
        <v>45</v>
      </c>
      <c r="S11">
        <v>50</v>
      </c>
      <c r="T11">
        <v>45</v>
      </c>
      <c r="U11">
        <v>40</v>
      </c>
      <c r="V11">
        <v>37</v>
      </c>
      <c r="W11">
        <v>36</v>
      </c>
      <c r="X11">
        <v>41</v>
      </c>
      <c r="Y11">
        <v>47</v>
      </c>
      <c r="Z11">
        <v>43</v>
      </c>
      <c r="AA11">
        <v>49</v>
      </c>
      <c r="AB11">
        <v>34</v>
      </c>
      <c r="AC11">
        <v>70</v>
      </c>
      <c r="AD11">
        <v>46</v>
      </c>
      <c r="AE11">
        <v>86</v>
      </c>
      <c r="AF11">
        <v>76</v>
      </c>
      <c r="AG11">
        <v>86</v>
      </c>
      <c r="AH11" s="89">
        <f t="shared" si="1"/>
        <v>1454</v>
      </c>
      <c r="AI11" s="90">
        <f t="shared" si="2"/>
        <v>1454</v>
      </c>
    </row>
    <row r="12" spans="1:35" x14ac:dyDescent="0.25">
      <c r="A12" s="88">
        <v>8</v>
      </c>
      <c r="B12" s="1" t="s">
        <v>19</v>
      </c>
      <c r="C12">
        <v>150</v>
      </c>
      <c r="D12">
        <v>186</v>
      </c>
      <c r="E12">
        <v>194</v>
      </c>
      <c r="F12">
        <v>150</v>
      </c>
      <c r="G12">
        <v>62</v>
      </c>
      <c r="H12">
        <v>52</v>
      </c>
      <c r="I12">
        <v>34</v>
      </c>
      <c r="J12">
        <v>51</v>
      </c>
      <c r="K12">
        <v>82</v>
      </c>
      <c r="L12">
        <v>70</v>
      </c>
      <c r="M12">
        <v>69</v>
      </c>
      <c r="N12">
        <v>39</v>
      </c>
      <c r="O12">
        <v>39</v>
      </c>
      <c r="P12">
        <v>44</v>
      </c>
      <c r="Q12">
        <v>59</v>
      </c>
      <c r="R12">
        <v>61</v>
      </c>
      <c r="S12">
        <v>63</v>
      </c>
      <c r="T12">
        <v>43</v>
      </c>
      <c r="U12">
        <v>33</v>
      </c>
      <c r="V12">
        <v>39</v>
      </c>
      <c r="W12">
        <v>53</v>
      </c>
      <c r="X12">
        <v>59</v>
      </c>
      <c r="Y12">
        <v>61</v>
      </c>
      <c r="Z12">
        <v>50</v>
      </c>
      <c r="AA12">
        <v>64</v>
      </c>
      <c r="AB12">
        <v>59</v>
      </c>
      <c r="AC12">
        <v>93</v>
      </c>
      <c r="AD12">
        <v>77</v>
      </c>
      <c r="AE12">
        <v>108</v>
      </c>
      <c r="AF12">
        <v>131</v>
      </c>
      <c r="AG12">
        <v>148</v>
      </c>
      <c r="AH12" s="89">
        <f t="shared" si="1"/>
        <v>1866</v>
      </c>
      <c r="AI12" s="90">
        <f t="shared" si="2"/>
        <v>1866</v>
      </c>
    </row>
    <row r="13" spans="1:35" x14ac:dyDescent="0.25">
      <c r="A13" s="88">
        <v>9</v>
      </c>
      <c r="B13" s="1" t="s">
        <v>20</v>
      </c>
      <c r="C13">
        <v>114</v>
      </c>
      <c r="D13">
        <v>144</v>
      </c>
      <c r="E13">
        <v>147</v>
      </c>
      <c r="F13">
        <v>139</v>
      </c>
      <c r="G13">
        <v>63</v>
      </c>
      <c r="H13">
        <v>61</v>
      </c>
      <c r="I13">
        <v>72</v>
      </c>
      <c r="J13">
        <v>53</v>
      </c>
      <c r="K13">
        <v>81</v>
      </c>
      <c r="L13">
        <v>51</v>
      </c>
      <c r="M13">
        <v>50</v>
      </c>
      <c r="N13">
        <v>41</v>
      </c>
      <c r="O13">
        <v>41</v>
      </c>
      <c r="P13">
        <v>40</v>
      </c>
      <c r="Q13">
        <v>33</v>
      </c>
      <c r="R13">
        <v>55</v>
      </c>
      <c r="S13">
        <v>46</v>
      </c>
      <c r="T13">
        <v>41</v>
      </c>
      <c r="U13">
        <v>45</v>
      </c>
      <c r="V13">
        <v>37</v>
      </c>
      <c r="W13">
        <v>42</v>
      </c>
      <c r="X13">
        <v>36</v>
      </c>
      <c r="Y13">
        <v>75</v>
      </c>
      <c r="Z13">
        <v>59</v>
      </c>
      <c r="AA13">
        <v>46</v>
      </c>
      <c r="AB13">
        <v>48</v>
      </c>
      <c r="AC13">
        <v>97</v>
      </c>
      <c r="AD13">
        <v>97</v>
      </c>
      <c r="AE13">
        <v>84</v>
      </c>
      <c r="AF13">
        <v>126</v>
      </c>
      <c r="AG13">
        <v>95</v>
      </c>
      <c r="AH13" s="89">
        <f t="shared" si="1"/>
        <v>1660</v>
      </c>
      <c r="AI13" s="90">
        <f t="shared" si="2"/>
        <v>1660</v>
      </c>
    </row>
    <row r="14" spans="1:35" x14ac:dyDescent="0.25">
      <c r="A14" s="88">
        <v>10</v>
      </c>
      <c r="B14" s="1" t="s">
        <v>21</v>
      </c>
      <c r="C14">
        <v>82</v>
      </c>
      <c r="D14">
        <v>90</v>
      </c>
      <c r="E14">
        <v>119</v>
      </c>
      <c r="F14">
        <v>100</v>
      </c>
      <c r="G14">
        <v>44</v>
      </c>
      <c r="H14">
        <v>40</v>
      </c>
      <c r="I14">
        <v>47</v>
      </c>
      <c r="J14">
        <v>42</v>
      </c>
      <c r="K14">
        <v>43</v>
      </c>
      <c r="L14">
        <v>47</v>
      </c>
      <c r="M14">
        <v>52</v>
      </c>
      <c r="N14">
        <v>49</v>
      </c>
      <c r="O14">
        <v>38</v>
      </c>
      <c r="P14">
        <v>30</v>
      </c>
      <c r="Q14">
        <v>34</v>
      </c>
      <c r="R14">
        <v>23</v>
      </c>
      <c r="S14">
        <v>43</v>
      </c>
      <c r="T14">
        <v>36</v>
      </c>
      <c r="U14">
        <v>27</v>
      </c>
      <c r="V14">
        <v>30</v>
      </c>
      <c r="W14">
        <v>30</v>
      </c>
      <c r="X14">
        <v>27</v>
      </c>
      <c r="Y14">
        <v>49</v>
      </c>
      <c r="Z14">
        <v>34</v>
      </c>
      <c r="AA14">
        <v>38</v>
      </c>
      <c r="AB14">
        <v>34</v>
      </c>
      <c r="AC14">
        <v>35</v>
      </c>
      <c r="AD14">
        <v>52</v>
      </c>
      <c r="AE14">
        <v>47</v>
      </c>
      <c r="AF14">
        <v>60</v>
      </c>
      <c r="AG14">
        <v>66</v>
      </c>
      <c r="AH14" s="89">
        <f t="shared" si="1"/>
        <v>1228</v>
      </c>
      <c r="AI14" s="90">
        <f t="shared" si="2"/>
        <v>1228</v>
      </c>
    </row>
    <row r="15" spans="1:35" x14ac:dyDescent="0.25">
      <c r="A15" s="88">
        <v>11</v>
      </c>
      <c r="B15" s="1" t="s">
        <v>22</v>
      </c>
      <c r="C15">
        <v>144</v>
      </c>
      <c r="D15">
        <v>110</v>
      </c>
      <c r="E15">
        <v>94</v>
      </c>
      <c r="F15">
        <v>96</v>
      </c>
      <c r="G15">
        <v>67</v>
      </c>
      <c r="H15">
        <v>64</v>
      </c>
      <c r="I15">
        <v>80</v>
      </c>
      <c r="J15">
        <v>43</v>
      </c>
      <c r="K15">
        <v>66</v>
      </c>
      <c r="L15">
        <v>66</v>
      </c>
      <c r="M15">
        <v>62</v>
      </c>
      <c r="N15">
        <v>53</v>
      </c>
      <c r="O15">
        <v>34</v>
      </c>
      <c r="P15">
        <v>55</v>
      </c>
      <c r="Q15">
        <v>48</v>
      </c>
      <c r="R15">
        <v>42</v>
      </c>
      <c r="S15">
        <v>50</v>
      </c>
      <c r="T15">
        <v>64</v>
      </c>
      <c r="U15">
        <v>34</v>
      </c>
      <c r="V15">
        <v>38</v>
      </c>
      <c r="W15">
        <v>42</v>
      </c>
      <c r="X15">
        <v>45</v>
      </c>
      <c r="Y15">
        <v>64</v>
      </c>
      <c r="Z15">
        <v>40</v>
      </c>
      <c r="AA15">
        <v>34</v>
      </c>
      <c r="AB15">
        <v>41</v>
      </c>
      <c r="AC15">
        <v>56</v>
      </c>
      <c r="AD15">
        <v>54</v>
      </c>
      <c r="AE15">
        <v>68</v>
      </c>
      <c r="AF15">
        <v>86</v>
      </c>
      <c r="AG15">
        <v>70</v>
      </c>
      <c r="AH15" s="89">
        <f t="shared" si="1"/>
        <v>1576</v>
      </c>
      <c r="AI15" s="90">
        <f t="shared" si="2"/>
        <v>1576</v>
      </c>
    </row>
    <row r="16" spans="1:35" x14ac:dyDescent="0.25">
      <c r="A16" s="88">
        <v>12</v>
      </c>
      <c r="B16" s="1" t="s">
        <v>23</v>
      </c>
      <c r="C16">
        <v>127</v>
      </c>
      <c r="D16">
        <v>160</v>
      </c>
      <c r="E16">
        <v>174</v>
      </c>
      <c r="F16">
        <v>181</v>
      </c>
      <c r="G16">
        <v>80</v>
      </c>
      <c r="H16">
        <v>84</v>
      </c>
      <c r="I16">
        <v>82</v>
      </c>
      <c r="J16">
        <v>61</v>
      </c>
      <c r="K16">
        <v>88</v>
      </c>
      <c r="L16">
        <v>96</v>
      </c>
      <c r="M16">
        <v>81</v>
      </c>
      <c r="N16">
        <v>57</v>
      </c>
      <c r="O16">
        <v>43</v>
      </c>
      <c r="P16">
        <v>48</v>
      </c>
      <c r="Q16">
        <v>48</v>
      </c>
      <c r="R16">
        <v>61</v>
      </c>
      <c r="S16">
        <v>70</v>
      </c>
      <c r="T16">
        <v>49</v>
      </c>
      <c r="U16">
        <v>36</v>
      </c>
      <c r="V16">
        <v>34</v>
      </c>
      <c r="W16">
        <v>33</v>
      </c>
      <c r="X16">
        <v>54</v>
      </c>
      <c r="Y16">
        <v>56</v>
      </c>
      <c r="Z16">
        <v>76</v>
      </c>
      <c r="AA16">
        <v>65</v>
      </c>
      <c r="AB16">
        <v>41</v>
      </c>
      <c r="AC16">
        <v>54</v>
      </c>
      <c r="AD16">
        <v>105</v>
      </c>
      <c r="AE16">
        <v>93</v>
      </c>
      <c r="AF16">
        <v>106</v>
      </c>
      <c r="AG16">
        <v>129</v>
      </c>
      <c r="AH16" s="89">
        <f t="shared" si="1"/>
        <v>1985</v>
      </c>
      <c r="AI16" s="90">
        <f t="shared" si="2"/>
        <v>1985</v>
      </c>
    </row>
    <row r="17" spans="1:35" x14ac:dyDescent="0.25">
      <c r="A17" s="88">
        <v>13</v>
      </c>
      <c r="B17" s="1" t="s">
        <v>24</v>
      </c>
      <c r="C17">
        <v>167</v>
      </c>
      <c r="D17">
        <v>138</v>
      </c>
      <c r="E17">
        <v>95</v>
      </c>
      <c r="F17">
        <v>118</v>
      </c>
      <c r="G17">
        <v>50</v>
      </c>
      <c r="H17">
        <v>59</v>
      </c>
      <c r="I17">
        <v>63</v>
      </c>
      <c r="J17">
        <v>50</v>
      </c>
      <c r="K17">
        <v>69</v>
      </c>
      <c r="L17">
        <v>40</v>
      </c>
      <c r="M17">
        <v>46</v>
      </c>
      <c r="N17">
        <v>44</v>
      </c>
      <c r="O17">
        <v>28</v>
      </c>
      <c r="P17">
        <v>44</v>
      </c>
      <c r="Q17">
        <v>35</v>
      </c>
      <c r="R17">
        <v>34</v>
      </c>
      <c r="S17">
        <v>31</v>
      </c>
      <c r="T17">
        <v>39</v>
      </c>
      <c r="U17">
        <v>38</v>
      </c>
      <c r="V17">
        <v>33</v>
      </c>
      <c r="W17">
        <v>35</v>
      </c>
      <c r="X17">
        <v>51</v>
      </c>
      <c r="Y17">
        <v>45</v>
      </c>
      <c r="Z17">
        <v>30</v>
      </c>
      <c r="AA17">
        <v>47</v>
      </c>
      <c r="AB17">
        <v>55</v>
      </c>
      <c r="AC17">
        <v>74</v>
      </c>
      <c r="AD17">
        <v>88</v>
      </c>
      <c r="AE17">
        <v>94</v>
      </c>
      <c r="AF17">
        <v>98</v>
      </c>
      <c r="AG17">
        <v>63</v>
      </c>
      <c r="AH17" s="89">
        <f t="shared" si="1"/>
        <v>1484</v>
      </c>
      <c r="AI17" s="90">
        <f t="shared" si="2"/>
        <v>1484</v>
      </c>
    </row>
    <row r="18" spans="1:35" x14ac:dyDescent="0.25">
      <c r="A18" s="88">
        <v>14</v>
      </c>
      <c r="B18" s="1" t="s">
        <v>25</v>
      </c>
      <c r="C18">
        <v>164</v>
      </c>
      <c r="D18">
        <v>171</v>
      </c>
      <c r="E18">
        <v>160</v>
      </c>
      <c r="F18">
        <v>149</v>
      </c>
      <c r="G18">
        <v>68</v>
      </c>
      <c r="H18">
        <v>74</v>
      </c>
      <c r="I18">
        <v>66</v>
      </c>
      <c r="J18">
        <v>61</v>
      </c>
      <c r="K18">
        <v>67</v>
      </c>
      <c r="L18">
        <v>66</v>
      </c>
      <c r="M18">
        <v>76</v>
      </c>
      <c r="N18">
        <v>50</v>
      </c>
      <c r="O18">
        <v>53</v>
      </c>
      <c r="P18">
        <v>46</v>
      </c>
      <c r="Q18">
        <v>52</v>
      </c>
      <c r="R18">
        <v>46</v>
      </c>
      <c r="S18">
        <v>52</v>
      </c>
      <c r="T18">
        <v>46</v>
      </c>
      <c r="U18">
        <v>30</v>
      </c>
      <c r="V18">
        <v>40</v>
      </c>
      <c r="W18">
        <v>29</v>
      </c>
      <c r="X18">
        <v>29</v>
      </c>
      <c r="Y18">
        <v>45</v>
      </c>
      <c r="Z18">
        <v>53</v>
      </c>
      <c r="AA18">
        <v>67</v>
      </c>
      <c r="AB18">
        <v>69</v>
      </c>
      <c r="AC18">
        <v>126</v>
      </c>
      <c r="AD18">
        <v>98</v>
      </c>
      <c r="AE18">
        <v>133</v>
      </c>
      <c r="AF18">
        <v>138</v>
      </c>
      <c r="AG18">
        <v>102</v>
      </c>
      <c r="AH18" s="89">
        <f t="shared" si="1"/>
        <v>1829</v>
      </c>
      <c r="AI18" s="90">
        <f t="shared" si="2"/>
        <v>1829</v>
      </c>
    </row>
    <row r="19" spans="1:35" x14ac:dyDescent="0.25">
      <c r="A19" s="88">
        <v>15</v>
      </c>
      <c r="B19" s="1" t="s">
        <v>26</v>
      </c>
      <c r="C19">
        <v>140</v>
      </c>
      <c r="D19">
        <v>188</v>
      </c>
      <c r="E19">
        <v>135</v>
      </c>
      <c r="F19">
        <v>223</v>
      </c>
      <c r="G19">
        <v>118</v>
      </c>
      <c r="H19">
        <v>73</v>
      </c>
      <c r="I19">
        <v>71</v>
      </c>
      <c r="J19">
        <v>92</v>
      </c>
      <c r="K19">
        <v>81</v>
      </c>
      <c r="L19">
        <v>88</v>
      </c>
      <c r="M19">
        <v>128</v>
      </c>
      <c r="N19">
        <v>77</v>
      </c>
      <c r="O19">
        <v>54</v>
      </c>
      <c r="P19">
        <v>55</v>
      </c>
      <c r="Q19">
        <v>59</v>
      </c>
      <c r="R19">
        <v>57</v>
      </c>
      <c r="S19">
        <v>95</v>
      </c>
      <c r="T19">
        <v>102</v>
      </c>
      <c r="U19">
        <v>54</v>
      </c>
      <c r="V19">
        <v>50</v>
      </c>
      <c r="W19">
        <v>47</v>
      </c>
      <c r="X19">
        <v>54</v>
      </c>
      <c r="Y19">
        <v>62</v>
      </c>
      <c r="Z19">
        <v>69</v>
      </c>
      <c r="AA19">
        <v>92</v>
      </c>
      <c r="AB19">
        <v>85</v>
      </c>
      <c r="AC19">
        <v>81</v>
      </c>
      <c r="AD19">
        <v>83</v>
      </c>
      <c r="AE19">
        <v>99</v>
      </c>
      <c r="AF19">
        <v>131</v>
      </c>
      <c r="AG19">
        <v>123</v>
      </c>
      <c r="AH19" s="89">
        <f t="shared" si="1"/>
        <v>2349</v>
      </c>
      <c r="AI19" s="90">
        <f t="shared" si="2"/>
        <v>2349</v>
      </c>
    </row>
    <row r="20" spans="1:35" x14ac:dyDescent="0.25">
      <c r="A20" s="88">
        <v>16</v>
      </c>
      <c r="B20" s="1" t="s">
        <v>27</v>
      </c>
      <c r="C20">
        <v>112</v>
      </c>
      <c r="D20">
        <v>103</v>
      </c>
      <c r="E20">
        <v>110</v>
      </c>
      <c r="F20">
        <v>181</v>
      </c>
      <c r="G20">
        <v>87</v>
      </c>
      <c r="H20">
        <v>66</v>
      </c>
      <c r="I20">
        <v>60</v>
      </c>
      <c r="J20">
        <v>53</v>
      </c>
      <c r="K20">
        <v>91</v>
      </c>
      <c r="L20">
        <v>70</v>
      </c>
      <c r="M20">
        <v>95</v>
      </c>
      <c r="N20">
        <v>62</v>
      </c>
      <c r="O20">
        <v>27</v>
      </c>
      <c r="P20">
        <v>31</v>
      </c>
      <c r="Q20">
        <v>49</v>
      </c>
      <c r="R20">
        <v>59</v>
      </c>
      <c r="S20">
        <v>46</v>
      </c>
      <c r="T20">
        <v>61</v>
      </c>
      <c r="U20">
        <v>45</v>
      </c>
      <c r="V20">
        <v>32</v>
      </c>
      <c r="W20">
        <v>39</v>
      </c>
      <c r="X20">
        <v>42</v>
      </c>
      <c r="Y20">
        <v>64</v>
      </c>
      <c r="Z20">
        <v>51</v>
      </c>
      <c r="AA20">
        <v>86</v>
      </c>
      <c r="AB20">
        <v>49</v>
      </c>
      <c r="AC20">
        <v>75</v>
      </c>
      <c r="AD20">
        <v>70</v>
      </c>
      <c r="AE20">
        <v>95</v>
      </c>
      <c r="AF20">
        <v>105</v>
      </c>
      <c r="AG20">
        <v>82</v>
      </c>
      <c r="AH20" s="89">
        <f t="shared" si="1"/>
        <v>1771</v>
      </c>
      <c r="AI20" s="90">
        <f t="shared" si="2"/>
        <v>1771</v>
      </c>
    </row>
    <row r="21" spans="1:35" x14ac:dyDescent="0.25">
      <c r="A21" s="88">
        <v>17</v>
      </c>
      <c r="B21" s="1" t="s">
        <v>28</v>
      </c>
      <c r="C21">
        <v>174</v>
      </c>
      <c r="D21">
        <v>174</v>
      </c>
      <c r="E21">
        <v>259</v>
      </c>
      <c r="F21">
        <v>252</v>
      </c>
      <c r="G21">
        <v>83</v>
      </c>
      <c r="H21">
        <v>63</v>
      </c>
      <c r="I21">
        <v>59</v>
      </c>
      <c r="J21">
        <v>80</v>
      </c>
      <c r="K21">
        <v>124</v>
      </c>
      <c r="L21">
        <v>192</v>
      </c>
      <c r="M21">
        <v>136</v>
      </c>
      <c r="N21">
        <v>62</v>
      </c>
      <c r="O21">
        <v>58</v>
      </c>
      <c r="P21">
        <v>56</v>
      </c>
      <c r="Q21">
        <v>66</v>
      </c>
      <c r="R21">
        <v>76</v>
      </c>
      <c r="S21">
        <v>110</v>
      </c>
      <c r="T21">
        <v>89</v>
      </c>
      <c r="U21">
        <v>38</v>
      </c>
      <c r="V21">
        <v>60</v>
      </c>
      <c r="W21">
        <v>44</v>
      </c>
      <c r="X21">
        <v>48</v>
      </c>
      <c r="Y21">
        <v>110</v>
      </c>
      <c r="Z21">
        <v>142</v>
      </c>
      <c r="AA21">
        <v>149</v>
      </c>
      <c r="AB21">
        <v>65</v>
      </c>
      <c r="AC21">
        <v>121</v>
      </c>
      <c r="AD21">
        <v>110</v>
      </c>
      <c r="AE21">
        <v>113</v>
      </c>
      <c r="AF21">
        <v>123</v>
      </c>
      <c r="AG21">
        <v>164</v>
      </c>
      <c r="AH21" s="89">
        <f t="shared" si="1"/>
        <v>2769</v>
      </c>
      <c r="AI21" s="90">
        <f t="shared" si="2"/>
        <v>2769</v>
      </c>
    </row>
    <row r="22" spans="1:35" x14ac:dyDescent="0.25">
      <c r="A22" s="88">
        <v>18</v>
      </c>
      <c r="B22" s="1" t="s">
        <v>30</v>
      </c>
      <c r="C22">
        <v>182</v>
      </c>
      <c r="D22">
        <v>197</v>
      </c>
      <c r="E22">
        <v>171</v>
      </c>
      <c r="F22">
        <v>169</v>
      </c>
      <c r="G22">
        <v>89</v>
      </c>
      <c r="H22">
        <v>93</v>
      </c>
      <c r="I22">
        <v>70</v>
      </c>
      <c r="J22">
        <v>62</v>
      </c>
      <c r="K22">
        <v>98</v>
      </c>
      <c r="L22">
        <v>84</v>
      </c>
      <c r="M22">
        <v>104</v>
      </c>
      <c r="N22">
        <v>66</v>
      </c>
      <c r="O22">
        <v>53</v>
      </c>
      <c r="P22">
        <v>55</v>
      </c>
      <c r="Q22">
        <v>58</v>
      </c>
      <c r="R22">
        <v>60</v>
      </c>
      <c r="S22">
        <v>69</v>
      </c>
      <c r="T22">
        <v>53</v>
      </c>
      <c r="U22">
        <v>41</v>
      </c>
      <c r="V22">
        <v>38</v>
      </c>
      <c r="W22">
        <v>35</v>
      </c>
      <c r="X22">
        <v>50</v>
      </c>
      <c r="Y22">
        <v>61</v>
      </c>
      <c r="Z22">
        <v>69</v>
      </c>
      <c r="AA22">
        <v>66</v>
      </c>
      <c r="AB22">
        <v>52</v>
      </c>
      <c r="AC22">
        <v>135</v>
      </c>
      <c r="AD22">
        <v>141</v>
      </c>
      <c r="AE22">
        <v>131</v>
      </c>
      <c r="AF22">
        <v>181</v>
      </c>
      <c r="AG22">
        <v>125</v>
      </c>
      <c r="AH22" s="89">
        <f t="shared" si="1"/>
        <v>2145</v>
      </c>
      <c r="AI22" s="90">
        <f t="shared" si="2"/>
        <v>2145</v>
      </c>
    </row>
    <row r="23" spans="1:35" x14ac:dyDescent="0.25">
      <c r="A23" s="88">
        <v>19</v>
      </c>
      <c r="B23" s="1" t="s">
        <v>32</v>
      </c>
      <c r="C23">
        <v>105</v>
      </c>
      <c r="D23">
        <v>158</v>
      </c>
      <c r="E23">
        <v>255</v>
      </c>
      <c r="F23">
        <v>179</v>
      </c>
      <c r="G23">
        <v>53</v>
      </c>
      <c r="H23">
        <v>59</v>
      </c>
      <c r="I23">
        <v>54</v>
      </c>
      <c r="J23">
        <v>54</v>
      </c>
      <c r="K23">
        <v>64</v>
      </c>
      <c r="L23">
        <v>102</v>
      </c>
      <c r="M23">
        <v>120</v>
      </c>
      <c r="N23">
        <v>63</v>
      </c>
      <c r="O23">
        <v>44</v>
      </c>
      <c r="P23">
        <v>41</v>
      </c>
      <c r="Q23">
        <v>50</v>
      </c>
      <c r="R23">
        <v>68</v>
      </c>
      <c r="S23">
        <v>90</v>
      </c>
      <c r="T23">
        <v>53</v>
      </c>
      <c r="U23">
        <v>40</v>
      </c>
      <c r="V23">
        <v>40</v>
      </c>
      <c r="W23">
        <v>46</v>
      </c>
      <c r="X23">
        <v>53</v>
      </c>
      <c r="Y23">
        <v>76</v>
      </c>
      <c r="Z23">
        <v>74</v>
      </c>
      <c r="AA23">
        <v>67</v>
      </c>
      <c r="AB23">
        <v>46</v>
      </c>
      <c r="AC23">
        <v>51</v>
      </c>
      <c r="AD23">
        <v>56</v>
      </c>
      <c r="AE23">
        <v>61</v>
      </c>
      <c r="AF23">
        <v>93</v>
      </c>
      <c r="AG23">
        <v>155</v>
      </c>
      <c r="AH23" s="89">
        <f t="shared" si="1"/>
        <v>2054</v>
      </c>
      <c r="AI23" s="90">
        <f t="shared" si="2"/>
        <v>2054</v>
      </c>
    </row>
    <row r="24" spans="1:35" x14ac:dyDescent="0.25">
      <c r="A24" s="88">
        <v>20</v>
      </c>
      <c r="B24" s="1" t="s">
        <v>33</v>
      </c>
      <c r="C24">
        <v>64</v>
      </c>
      <c r="D24">
        <v>55</v>
      </c>
      <c r="E24">
        <v>86</v>
      </c>
      <c r="F24">
        <v>81</v>
      </c>
      <c r="G24">
        <v>31</v>
      </c>
      <c r="H24">
        <v>21</v>
      </c>
      <c r="I24">
        <v>23</v>
      </c>
      <c r="J24">
        <v>25</v>
      </c>
      <c r="K24">
        <v>20</v>
      </c>
      <c r="L24">
        <v>45</v>
      </c>
      <c r="M24">
        <v>32</v>
      </c>
      <c r="N24">
        <v>26</v>
      </c>
      <c r="O24">
        <v>19</v>
      </c>
      <c r="P24">
        <v>22</v>
      </c>
      <c r="Q24">
        <v>24</v>
      </c>
      <c r="R24">
        <v>32</v>
      </c>
      <c r="S24">
        <v>33</v>
      </c>
      <c r="T24">
        <v>30</v>
      </c>
      <c r="U24">
        <v>22</v>
      </c>
      <c r="V24">
        <v>12</v>
      </c>
      <c r="W24">
        <v>23</v>
      </c>
      <c r="X24">
        <v>24</v>
      </c>
      <c r="Y24">
        <v>21</v>
      </c>
      <c r="Z24">
        <v>31</v>
      </c>
      <c r="AA24">
        <v>19</v>
      </c>
      <c r="AB24">
        <v>27</v>
      </c>
      <c r="AC24">
        <v>27</v>
      </c>
      <c r="AD24">
        <v>29</v>
      </c>
      <c r="AE24">
        <v>38</v>
      </c>
      <c r="AF24">
        <v>46</v>
      </c>
      <c r="AG24">
        <v>47</v>
      </c>
      <c r="AH24" s="89">
        <f t="shared" si="1"/>
        <v>848</v>
      </c>
      <c r="AI24" s="90">
        <f t="shared" si="2"/>
        <v>848</v>
      </c>
    </row>
    <row r="25" spans="1:35" x14ac:dyDescent="0.25">
      <c r="A25" s="88">
        <v>21</v>
      </c>
      <c r="B25" s="1" t="s">
        <v>34</v>
      </c>
      <c r="C25">
        <v>80</v>
      </c>
      <c r="D25">
        <v>107</v>
      </c>
      <c r="E25">
        <v>129</v>
      </c>
      <c r="F25">
        <v>120</v>
      </c>
      <c r="G25">
        <v>49</v>
      </c>
      <c r="H25">
        <v>49</v>
      </c>
      <c r="I25">
        <v>43</v>
      </c>
      <c r="J25">
        <v>49</v>
      </c>
      <c r="K25">
        <v>53</v>
      </c>
      <c r="L25">
        <v>94</v>
      </c>
      <c r="M25">
        <v>70</v>
      </c>
      <c r="N25">
        <v>43</v>
      </c>
      <c r="O25">
        <v>34</v>
      </c>
      <c r="P25">
        <v>25</v>
      </c>
      <c r="Q25">
        <v>40</v>
      </c>
      <c r="R25">
        <v>48</v>
      </c>
      <c r="S25">
        <v>63</v>
      </c>
      <c r="T25">
        <v>47</v>
      </c>
      <c r="U25">
        <v>39</v>
      </c>
      <c r="V25">
        <v>41</v>
      </c>
      <c r="W25">
        <v>38</v>
      </c>
      <c r="X25">
        <v>37</v>
      </c>
      <c r="Y25">
        <v>45</v>
      </c>
      <c r="Z25">
        <v>64</v>
      </c>
      <c r="AA25">
        <v>48</v>
      </c>
      <c r="AB25">
        <v>38</v>
      </c>
      <c r="AC25">
        <v>49</v>
      </c>
      <c r="AD25">
        <v>66</v>
      </c>
      <c r="AE25">
        <v>67</v>
      </c>
      <c r="AF25">
        <v>102</v>
      </c>
      <c r="AG25">
        <v>117</v>
      </c>
      <c r="AH25" s="89">
        <f t="shared" si="1"/>
        <v>1493</v>
      </c>
      <c r="AI25" s="90">
        <f t="shared" si="2"/>
        <v>1493</v>
      </c>
    </row>
    <row r="26" spans="1:35" x14ac:dyDescent="0.25">
      <c r="A26" s="88">
        <v>22</v>
      </c>
      <c r="B26" s="1" t="s">
        <v>35</v>
      </c>
      <c r="C26">
        <v>101</v>
      </c>
      <c r="D26">
        <v>124</v>
      </c>
      <c r="E26">
        <v>126</v>
      </c>
      <c r="F26">
        <v>114</v>
      </c>
      <c r="G26">
        <v>59</v>
      </c>
      <c r="H26">
        <v>65</v>
      </c>
      <c r="I26">
        <v>52</v>
      </c>
      <c r="J26">
        <v>43</v>
      </c>
      <c r="K26">
        <v>92</v>
      </c>
      <c r="L26">
        <v>70</v>
      </c>
      <c r="M26">
        <v>58</v>
      </c>
      <c r="N26">
        <v>51</v>
      </c>
      <c r="O26">
        <v>44</v>
      </c>
      <c r="P26">
        <v>32</v>
      </c>
      <c r="Q26">
        <v>51</v>
      </c>
      <c r="R26">
        <v>43</v>
      </c>
      <c r="S26">
        <v>67</v>
      </c>
      <c r="T26">
        <v>74</v>
      </c>
      <c r="U26">
        <v>36</v>
      </c>
      <c r="V26">
        <v>49</v>
      </c>
      <c r="W26">
        <v>35</v>
      </c>
      <c r="X26">
        <v>47</v>
      </c>
      <c r="Y26">
        <v>74</v>
      </c>
      <c r="Z26">
        <v>55</v>
      </c>
      <c r="AA26">
        <v>38</v>
      </c>
      <c r="AB26">
        <v>54</v>
      </c>
      <c r="AC26">
        <v>87</v>
      </c>
      <c r="AD26">
        <v>72</v>
      </c>
      <c r="AE26">
        <v>71</v>
      </c>
      <c r="AF26">
        <v>134</v>
      </c>
      <c r="AG26">
        <v>106</v>
      </c>
      <c r="AH26" s="89">
        <f t="shared" si="1"/>
        <v>1654</v>
      </c>
      <c r="AI26" s="90">
        <f t="shared" si="2"/>
        <v>1654</v>
      </c>
    </row>
    <row r="27" spans="1:35" x14ac:dyDescent="0.25">
      <c r="A27" s="88">
        <v>23</v>
      </c>
      <c r="B27" s="1" t="s">
        <v>36</v>
      </c>
      <c r="C27">
        <v>119</v>
      </c>
      <c r="D27">
        <v>166</v>
      </c>
      <c r="E27">
        <v>228</v>
      </c>
      <c r="F27">
        <v>205</v>
      </c>
      <c r="G27">
        <v>67</v>
      </c>
      <c r="H27">
        <v>43</v>
      </c>
      <c r="I27">
        <v>57</v>
      </c>
      <c r="J27">
        <v>62</v>
      </c>
      <c r="K27">
        <v>81</v>
      </c>
      <c r="L27">
        <v>110</v>
      </c>
      <c r="M27">
        <v>109</v>
      </c>
      <c r="N27">
        <v>49</v>
      </c>
      <c r="O27">
        <v>52</v>
      </c>
      <c r="P27">
        <v>56</v>
      </c>
      <c r="Q27">
        <v>57</v>
      </c>
      <c r="R27">
        <v>72</v>
      </c>
      <c r="S27">
        <v>85</v>
      </c>
      <c r="T27">
        <v>67</v>
      </c>
      <c r="U27">
        <v>43</v>
      </c>
      <c r="V27">
        <v>36</v>
      </c>
      <c r="W27">
        <v>43</v>
      </c>
      <c r="X27">
        <v>40</v>
      </c>
      <c r="Y27">
        <v>64</v>
      </c>
      <c r="Z27">
        <v>97</v>
      </c>
      <c r="AA27">
        <v>77</v>
      </c>
      <c r="AB27">
        <v>52</v>
      </c>
      <c r="AC27">
        <v>73</v>
      </c>
      <c r="AD27">
        <v>67</v>
      </c>
      <c r="AE27">
        <v>89</v>
      </c>
      <c r="AF27">
        <v>97</v>
      </c>
      <c r="AG27">
        <v>125</v>
      </c>
      <c r="AH27" s="89">
        <f t="shared" si="1"/>
        <v>2137</v>
      </c>
      <c r="AI27" s="90">
        <f t="shared" si="2"/>
        <v>2137</v>
      </c>
    </row>
    <row r="28" spans="1:35" x14ac:dyDescent="0.25">
      <c r="A28" s="88">
        <v>24</v>
      </c>
      <c r="B28" s="1" t="s">
        <v>37</v>
      </c>
      <c r="C28">
        <v>227</v>
      </c>
      <c r="D28">
        <v>223</v>
      </c>
      <c r="E28">
        <v>278</v>
      </c>
      <c r="F28">
        <v>249</v>
      </c>
      <c r="G28">
        <v>103</v>
      </c>
      <c r="H28">
        <v>96</v>
      </c>
      <c r="I28">
        <v>87</v>
      </c>
      <c r="J28">
        <v>74</v>
      </c>
      <c r="K28">
        <v>100</v>
      </c>
      <c r="L28">
        <v>105</v>
      </c>
      <c r="M28">
        <v>101</v>
      </c>
      <c r="N28">
        <v>75</v>
      </c>
      <c r="O28">
        <v>63</v>
      </c>
      <c r="P28">
        <v>54</v>
      </c>
      <c r="Q28">
        <v>70</v>
      </c>
      <c r="R28">
        <v>81</v>
      </c>
      <c r="S28">
        <v>89</v>
      </c>
      <c r="T28">
        <v>75</v>
      </c>
      <c r="U28">
        <v>53</v>
      </c>
      <c r="V28">
        <v>52</v>
      </c>
      <c r="W28">
        <v>44</v>
      </c>
      <c r="X28">
        <v>69</v>
      </c>
      <c r="Y28">
        <v>86</v>
      </c>
      <c r="Z28">
        <v>82</v>
      </c>
      <c r="AA28">
        <v>82</v>
      </c>
      <c r="AB28">
        <v>55</v>
      </c>
      <c r="AC28">
        <v>137</v>
      </c>
      <c r="AD28">
        <v>121</v>
      </c>
      <c r="AE28">
        <v>137</v>
      </c>
      <c r="AF28">
        <v>188</v>
      </c>
      <c r="AG28">
        <v>198</v>
      </c>
      <c r="AH28" s="89">
        <f t="shared" si="1"/>
        <v>2673</v>
      </c>
      <c r="AI28" s="90">
        <f t="shared" si="2"/>
        <v>2673</v>
      </c>
    </row>
    <row r="29" spans="1:35" x14ac:dyDescent="0.25">
      <c r="A29" s="88">
        <v>25</v>
      </c>
      <c r="B29" s="1" t="s">
        <v>38</v>
      </c>
      <c r="C29">
        <v>96</v>
      </c>
      <c r="D29">
        <v>106</v>
      </c>
      <c r="E29">
        <v>181</v>
      </c>
      <c r="F29">
        <v>124</v>
      </c>
      <c r="G29">
        <v>46</v>
      </c>
      <c r="H29">
        <v>37</v>
      </c>
      <c r="I29">
        <v>48</v>
      </c>
      <c r="J29">
        <v>36</v>
      </c>
      <c r="K29">
        <v>42</v>
      </c>
      <c r="L29">
        <v>74</v>
      </c>
      <c r="M29">
        <v>58</v>
      </c>
      <c r="N29">
        <v>38</v>
      </c>
      <c r="O29">
        <v>31</v>
      </c>
      <c r="P29">
        <v>35</v>
      </c>
      <c r="Q29">
        <v>38</v>
      </c>
      <c r="R29">
        <v>34</v>
      </c>
      <c r="S29">
        <v>61</v>
      </c>
      <c r="T29">
        <v>47</v>
      </c>
      <c r="U29">
        <v>16</v>
      </c>
      <c r="V29">
        <v>22</v>
      </c>
      <c r="W29">
        <v>32</v>
      </c>
      <c r="X29">
        <v>28</v>
      </c>
      <c r="Y29">
        <v>46</v>
      </c>
      <c r="Z29">
        <v>46</v>
      </c>
      <c r="AA29">
        <v>40</v>
      </c>
      <c r="AB29">
        <v>39</v>
      </c>
      <c r="AC29">
        <v>56</v>
      </c>
      <c r="AD29">
        <v>73</v>
      </c>
      <c r="AE29">
        <v>66</v>
      </c>
      <c r="AF29">
        <v>100</v>
      </c>
      <c r="AG29">
        <v>95</v>
      </c>
      <c r="AH29" s="89">
        <f t="shared" si="1"/>
        <v>1401</v>
      </c>
      <c r="AI29" s="90">
        <f t="shared" si="2"/>
        <v>1401</v>
      </c>
    </row>
    <row r="30" spans="1:35" x14ac:dyDescent="0.25">
      <c r="A30" s="88">
        <v>26</v>
      </c>
      <c r="B30" s="1" t="s">
        <v>39</v>
      </c>
      <c r="C30">
        <v>61</v>
      </c>
      <c r="D30">
        <v>64</v>
      </c>
      <c r="E30">
        <v>80</v>
      </c>
      <c r="F30">
        <v>72</v>
      </c>
      <c r="G30">
        <v>29</v>
      </c>
      <c r="H30">
        <v>29</v>
      </c>
      <c r="I30">
        <v>29</v>
      </c>
      <c r="J30">
        <v>34</v>
      </c>
      <c r="K30">
        <v>39</v>
      </c>
      <c r="L30">
        <v>31</v>
      </c>
      <c r="M30">
        <v>35</v>
      </c>
      <c r="N30">
        <v>30</v>
      </c>
      <c r="O30">
        <v>26</v>
      </c>
      <c r="P30">
        <v>22</v>
      </c>
      <c r="Q30">
        <v>24</v>
      </c>
      <c r="R30">
        <v>36</v>
      </c>
      <c r="S30">
        <v>25</v>
      </c>
      <c r="T30">
        <v>28</v>
      </c>
      <c r="U30">
        <v>24</v>
      </c>
      <c r="V30">
        <v>28</v>
      </c>
      <c r="W30">
        <v>20</v>
      </c>
      <c r="X30">
        <v>15</v>
      </c>
      <c r="Y30">
        <v>26</v>
      </c>
      <c r="Z30">
        <v>32</v>
      </c>
      <c r="AA30">
        <v>39</v>
      </c>
      <c r="AB30">
        <v>20</v>
      </c>
      <c r="AC30">
        <v>40</v>
      </c>
      <c r="AD30">
        <v>41</v>
      </c>
      <c r="AE30">
        <v>48</v>
      </c>
      <c r="AF30">
        <v>64</v>
      </c>
      <c r="AG30">
        <v>81</v>
      </c>
      <c r="AH30" s="89">
        <f t="shared" si="1"/>
        <v>898</v>
      </c>
      <c r="AI30" s="90">
        <f t="shared" si="2"/>
        <v>898</v>
      </c>
    </row>
    <row r="31" spans="1:35" x14ac:dyDescent="0.25">
      <c r="A31" s="88">
        <v>27</v>
      </c>
      <c r="B31" s="1" t="s">
        <v>40</v>
      </c>
      <c r="C31">
        <v>72</v>
      </c>
      <c r="D31">
        <v>88</v>
      </c>
      <c r="E31">
        <v>111</v>
      </c>
      <c r="F31">
        <v>74</v>
      </c>
      <c r="G31">
        <v>24</v>
      </c>
      <c r="H31">
        <v>41</v>
      </c>
      <c r="I31">
        <v>29</v>
      </c>
      <c r="J31">
        <v>28</v>
      </c>
      <c r="K31">
        <v>46</v>
      </c>
      <c r="L31">
        <v>79</v>
      </c>
      <c r="M31">
        <v>56</v>
      </c>
      <c r="N31">
        <v>25</v>
      </c>
      <c r="O31">
        <v>22</v>
      </c>
      <c r="P31">
        <v>20</v>
      </c>
      <c r="Q31">
        <v>23</v>
      </c>
      <c r="R31">
        <v>34</v>
      </c>
      <c r="S31">
        <v>49</v>
      </c>
      <c r="T31">
        <v>40</v>
      </c>
      <c r="U31">
        <v>23</v>
      </c>
      <c r="V31">
        <v>15</v>
      </c>
      <c r="W31">
        <v>21</v>
      </c>
      <c r="X31">
        <v>19</v>
      </c>
      <c r="Y31">
        <v>22</v>
      </c>
      <c r="Z31">
        <v>42</v>
      </c>
      <c r="AA31">
        <v>39</v>
      </c>
      <c r="AB31">
        <v>13</v>
      </c>
      <c r="AC31">
        <v>27</v>
      </c>
      <c r="AD31">
        <v>31</v>
      </c>
      <c r="AE31">
        <v>46</v>
      </c>
      <c r="AF31">
        <v>58</v>
      </c>
      <c r="AG31">
        <v>68</v>
      </c>
      <c r="AH31" s="89">
        <f t="shared" si="1"/>
        <v>1055</v>
      </c>
      <c r="AI31" s="90">
        <f t="shared" si="2"/>
        <v>1055</v>
      </c>
    </row>
    <row r="32" spans="1:35" x14ac:dyDescent="0.25">
      <c r="A32" s="88">
        <v>28</v>
      </c>
      <c r="B32" s="1" t="s">
        <v>41</v>
      </c>
      <c r="C32">
        <v>105</v>
      </c>
      <c r="D32">
        <v>90</v>
      </c>
      <c r="E32">
        <v>128</v>
      </c>
      <c r="F32">
        <v>121</v>
      </c>
      <c r="G32">
        <v>37</v>
      </c>
      <c r="H32">
        <v>32</v>
      </c>
      <c r="I32">
        <v>36</v>
      </c>
      <c r="J32">
        <v>39</v>
      </c>
      <c r="K32">
        <v>41</v>
      </c>
      <c r="L32">
        <v>29</v>
      </c>
      <c r="M32">
        <v>35</v>
      </c>
      <c r="N32">
        <v>28</v>
      </c>
      <c r="O32">
        <v>32</v>
      </c>
      <c r="P32">
        <v>26</v>
      </c>
      <c r="Q32">
        <v>28</v>
      </c>
      <c r="R32">
        <v>39</v>
      </c>
      <c r="S32">
        <v>38</v>
      </c>
      <c r="T32">
        <v>22</v>
      </c>
      <c r="U32">
        <v>34</v>
      </c>
      <c r="V32">
        <v>19</v>
      </c>
      <c r="W32">
        <v>25</v>
      </c>
      <c r="X32">
        <v>26</v>
      </c>
      <c r="Y32">
        <v>28</v>
      </c>
      <c r="Z32">
        <v>46</v>
      </c>
      <c r="AA32">
        <v>25</v>
      </c>
      <c r="AB32">
        <v>40</v>
      </c>
      <c r="AC32">
        <v>58</v>
      </c>
      <c r="AD32">
        <v>48</v>
      </c>
      <c r="AE32">
        <v>75</v>
      </c>
      <c r="AF32">
        <v>85</v>
      </c>
      <c r="AG32">
        <v>63</v>
      </c>
      <c r="AH32" s="89">
        <f t="shared" si="1"/>
        <v>1149</v>
      </c>
      <c r="AI32" s="90">
        <f t="shared" si="2"/>
        <v>1149</v>
      </c>
    </row>
    <row r="33" spans="1:35" x14ac:dyDescent="0.25">
      <c r="A33" s="88">
        <v>29</v>
      </c>
      <c r="B33" s="1" t="s">
        <v>42</v>
      </c>
      <c r="C33">
        <v>120</v>
      </c>
      <c r="D33">
        <v>132</v>
      </c>
      <c r="E33">
        <v>118</v>
      </c>
      <c r="F33">
        <v>119</v>
      </c>
      <c r="G33">
        <v>65</v>
      </c>
      <c r="H33">
        <v>52</v>
      </c>
      <c r="I33">
        <v>42</v>
      </c>
      <c r="J33">
        <v>47</v>
      </c>
      <c r="K33">
        <v>60</v>
      </c>
      <c r="L33">
        <v>62</v>
      </c>
      <c r="M33">
        <v>64</v>
      </c>
      <c r="N33">
        <v>57</v>
      </c>
      <c r="O33">
        <v>28</v>
      </c>
      <c r="P33">
        <v>51</v>
      </c>
      <c r="Q33">
        <v>44</v>
      </c>
      <c r="R33">
        <v>67</v>
      </c>
      <c r="S33">
        <v>42</v>
      </c>
      <c r="T33">
        <v>24</v>
      </c>
      <c r="U33">
        <v>36</v>
      </c>
      <c r="V33">
        <v>30</v>
      </c>
      <c r="W33">
        <v>28</v>
      </c>
      <c r="X33">
        <v>42</v>
      </c>
      <c r="Y33">
        <v>40</v>
      </c>
      <c r="Z33">
        <v>47</v>
      </c>
      <c r="AA33">
        <v>38</v>
      </c>
      <c r="AB33">
        <v>38</v>
      </c>
      <c r="AC33">
        <v>78</v>
      </c>
      <c r="AD33">
        <v>72</v>
      </c>
      <c r="AE33">
        <v>74</v>
      </c>
      <c r="AF33">
        <v>108</v>
      </c>
      <c r="AG33">
        <v>81</v>
      </c>
      <c r="AH33" s="89">
        <f t="shared" si="1"/>
        <v>1493</v>
      </c>
      <c r="AI33" s="90">
        <f t="shared" si="2"/>
        <v>1493</v>
      </c>
    </row>
    <row r="34" spans="1:35" x14ac:dyDescent="0.25">
      <c r="A34" s="88">
        <v>30</v>
      </c>
      <c r="B34" s="1" t="s">
        <v>43</v>
      </c>
      <c r="C34">
        <v>54</v>
      </c>
      <c r="D34">
        <v>48</v>
      </c>
      <c r="E34">
        <v>57</v>
      </c>
      <c r="F34">
        <v>75</v>
      </c>
      <c r="G34">
        <v>65</v>
      </c>
      <c r="H34">
        <v>42</v>
      </c>
      <c r="I34">
        <v>44</v>
      </c>
      <c r="J34">
        <v>45</v>
      </c>
      <c r="K34">
        <v>58</v>
      </c>
      <c r="L34">
        <v>41</v>
      </c>
      <c r="M34">
        <v>59</v>
      </c>
      <c r="N34">
        <v>50</v>
      </c>
      <c r="O34">
        <v>35</v>
      </c>
      <c r="P34">
        <v>37</v>
      </c>
      <c r="Q34">
        <v>47</v>
      </c>
      <c r="R34">
        <v>40</v>
      </c>
      <c r="S34">
        <v>50</v>
      </c>
      <c r="T34">
        <v>51</v>
      </c>
      <c r="U34">
        <v>23</v>
      </c>
      <c r="V34">
        <v>26</v>
      </c>
      <c r="W34">
        <v>25</v>
      </c>
      <c r="X34">
        <v>26</v>
      </c>
      <c r="Y34">
        <v>56</v>
      </c>
      <c r="Z34">
        <v>40</v>
      </c>
      <c r="AA34">
        <v>44</v>
      </c>
      <c r="AB34">
        <v>48</v>
      </c>
      <c r="AC34">
        <v>62</v>
      </c>
      <c r="AD34">
        <v>69</v>
      </c>
      <c r="AE34">
        <v>84</v>
      </c>
      <c r="AF34">
        <v>98</v>
      </c>
      <c r="AG34">
        <v>82</v>
      </c>
      <c r="AH34" s="89">
        <f t="shared" si="1"/>
        <v>1186</v>
      </c>
      <c r="AI34" s="90">
        <f t="shared" si="2"/>
        <v>1186</v>
      </c>
    </row>
    <row r="35" spans="1:35" x14ac:dyDescent="0.25">
      <c r="A35" s="88">
        <v>31</v>
      </c>
      <c r="B35" s="1" t="s">
        <v>44</v>
      </c>
      <c r="C35">
        <v>38</v>
      </c>
      <c r="D35">
        <v>82</v>
      </c>
      <c r="E35">
        <v>120</v>
      </c>
      <c r="F35">
        <v>127</v>
      </c>
      <c r="G35">
        <v>52</v>
      </c>
      <c r="H35">
        <v>32</v>
      </c>
      <c r="I35">
        <v>15</v>
      </c>
      <c r="J35">
        <v>35</v>
      </c>
      <c r="K35">
        <v>39</v>
      </c>
      <c r="L35">
        <v>38</v>
      </c>
      <c r="M35">
        <v>55</v>
      </c>
      <c r="N35">
        <v>21</v>
      </c>
      <c r="O35">
        <v>21</v>
      </c>
      <c r="P35">
        <v>16</v>
      </c>
      <c r="Q35">
        <v>21</v>
      </c>
      <c r="R35">
        <v>33</v>
      </c>
      <c r="S35">
        <v>55</v>
      </c>
      <c r="T35">
        <v>38</v>
      </c>
      <c r="U35">
        <v>20</v>
      </c>
      <c r="V35">
        <v>19</v>
      </c>
      <c r="W35">
        <v>26</v>
      </c>
      <c r="X35">
        <v>25</v>
      </c>
      <c r="Y35">
        <v>34</v>
      </c>
      <c r="Z35">
        <v>40</v>
      </c>
      <c r="AA35">
        <v>40</v>
      </c>
      <c r="AB35">
        <v>19</v>
      </c>
      <c r="AC35">
        <v>28</v>
      </c>
      <c r="AD35">
        <v>25</v>
      </c>
      <c r="AE35">
        <v>36</v>
      </c>
      <c r="AF35">
        <v>41</v>
      </c>
      <c r="AG35">
        <v>80</v>
      </c>
      <c r="AH35" s="89">
        <f t="shared" si="1"/>
        <v>1061</v>
      </c>
      <c r="AI35" s="90">
        <f t="shared" si="2"/>
        <v>1061</v>
      </c>
    </row>
    <row r="36" spans="1:35" x14ac:dyDescent="0.25">
      <c r="A36" s="88">
        <v>32</v>
      </c>
      <c r="B36" s="1" t="s">
        <v>45</v>
      </c>
      <c r="C36">
        <v>229</v>
      </c>
      <c r="D36">
        <v>204</v>
      </c>
      <c r="E36">
        <v>305</v>
      </c>
      <c r="F36">
        <v>281</v>
      </c>
      <c r="G36">
        <v>114</v>
      </c>
      <c r="H36">
        <v>81</v>
      </c>
      <c r="I36">
        <v>69</v>
      </c>
      <c r="J36">
        <v>99</v>
      </c>
      <c r="K36">
        <v>126</v>
      </c>
      <c r="L36">
        <v>125</v>
      </c>
      <c r="M36">
        <v>116</v>
      </c>
      <c r="N36">
        <v>93</v>
      </c>
      <c r="O36">
        <v>57</v>
      </c>
      <c r="P36">
        <v>64</v>
      </c>
      <c r="Q36">
        <v>70</v>
      </c>
      <c r="R36">
        <v>89</v>
      </c>
      <c r="S36">
        <v>133</v>
      </c>
      <c r="T36">
        <v>118</v>
      </c>
      <c r="U36">
        <v>71</v>
      </c>
      <c r="V36">
        <v>72</v>
      </c>
      <c r="W36">
        <v>62</v>
      </c>
      <c r="X36">
        <v>61</v>
      </c>
      <c r="Y36">
        <v>85</v>
      </c>
      <c r="Z36">
        <v>109</v>
      </c>
      <c r="AA36">
        <v>108</v>
      </c>
      <c r="AB36">
        <v>60</v>
      </c>
      <c r="AC36">
        <v>130</v>
      </c>
      <c r="AD36">
        <v>120</v>
      </c>
      <c r="AE36">
        <v>138</v>
      </c>
      <c r="AF36">
        <v>177</v>
      </c>
      <c r="AG36">
        <v>175</v>
      </c>
      <c r="AH36" s="89">
        <f t="shared" si="1"/>
        <v>3001</v>
      </c>
      <c r="AI36" s="90">
        <f t="shared" si="2"/>
        <v>3001</v>
      </c>
    </row>
    <row r="37" spans="1:35" x14ac:dyDescent="0.25">
      <c r="A37" s="88">
        <v>33</v>
      </c>
      <c r="B37" s="1" t="s">
        <v>46</v>
      </c>
      <c r="C37">
        <v>39</v>
      </c>
      <c r="D37">
        <v>45</v>
      </c>
      <c r="E37">
        <v>67</v>
      </c>
      <c r="F37">
        <v>47</v>
      </c>
      <c r="G37">
        <v>22</v>
      </c>
      <c r="H37">
        <v>24</v>
      </c>
      <c r="I37">
        <v>26</v>
      </c>
      <c r="J37">
        <v>19</v>
      </c>
      <c r="K37">
        <v>30</v>
      </c>
      <c r="L37">
        <v>31</v>
      </c>
      <c r="M37">
        <v>35</v>
      </c>
      <c r="N37">
        <v>34</v>
      </c>
      <c r="O37">
        <v>23</v>
      </c>
      <c r="P37">
        <v>18</v>
      </c>
      <c r="Q37">
        <v>18</v>
      </c>
      <c r="R37">
        <v>34</v>
      </c>
      <c r="S37">
        <v>33</v>
      </c>
      <c r="T37">
        <v>25</v>
      </c>
      <c r="U37">
        <v>13</v>
      </c>
      <c r="V37">
        <v>21</v>
      </c>
      <c r="W37">
        <v>13</v>
      </c>
      <c r="X37">
        <v>23</v>
      </c>
      <c r="Y37">
        <v>36</v>
      </c>
      <c r="Z37">
        <v>23</v>
      </c>
      <c r="AA37">
        <v>29</v>
      </c>
      <c r="AB37">
        <v>14</v>
      </c>
      <c r="AC37">
        <v>31</v>
      </c>
      <c r="AD37">
        <v>25</v>
      </c>
      <c r="AE37">
        <v>34</v>
      </c>
      <c r="AF37">
        <v>54</v>
      </c>
      <c r="AG37">
        <v>44</v>
      </c>
      <c r="AH37" s="89">
        <f t="shared" si="1"/>
        <v>742</v>
      </c>
      <c r="AI37" s="90">
        <f t="shared" si="2"/>
        <v>742</v>
      </c>
    </row>
    <row r="38" spans="1:35" x14ac:dyDescent="0.25">
      <c r="A38" s="88">
        <v>34</v>
      </c>
      <c r="B38" s="1" t="s">
        <v>47</v>
      </c>
      <c r="C38">
        <v>36</v>
      </c>
      <c r="D38">
        <v>34</v>
      </c>
      <c r="E38">
        <v>37</v>
      </c>
      <c r="F38">
        <v>43</v>
      </c>
      <c r="G38">
        <v>14</v>
      </c>
      <c r="H38">
        <v>10</v>
      </c>
      <c r="I38">
        <v>17</v>
      </c>
      <c r="J38">
        <v>20</v>
      </c>
      <c r="K38">
        <v>14</v>
      </c>
      <c r="L38">
        <v>18</v>
      </c>
      <c r="M38">
        <v>23</v>
      </c>
      <c r="N38">
        <v>20</v>
      </c>
      <c r="O38">
        <v>7</v>
      </c>
      <c r="P38">
        <v>11</v>
      </c>
      <c r="Q38">
        <v>16</v>
      </c>
      <c r="R38">
        <v>28</v>
      </c>
      <c r="S38">
        <v>26</v>
      </c>
      <c r="T38">
        <v>28</v>
      </c>
      <c r="U38">
        <v>20</v>
      </c>
      <c r="V38">
        <v>10</v>
      </c>
      <c r="W38">
        <v>11</v>
      </c>
      <c r="X38">
        <v>18</v>
      </c>
      <c r="Y38">
        <v>15</v>
      </c>
      <c r="Z38">
        <v>14</v>
      </c>
      <c r="AA38">
        <v>18</v>
      </c>
      <c r="AB38">
        <v>13</v>
      </c>
      <c r="AC38">
        <v>14</v>
      </c>
      <c r="AD38">
        <v>19</v>
      </c>
      <c r="AE38">
        <v>21</v>
      </c>
      <c r="AF38">
        <v>27</v>
      </c>
      <c r="AG38">
        <v>28</v>
      </c>
      <c r="AH38" s="89">
        <f t="shared" si="1"/>
        <v>521</v>
      </c>
      <c r="AI38" s="90">
        <f t="shared" si="2"/>
        <v>521</v>
      </c>
    </row>
    <row r="39" spans="1:35" x14ac:dyDescent="0.25">
      <c r="A39" s="88">
        <v>35</v>
      </c>
      <c r="B39" s="1" t="s">
        <v>48</v>
      </c>
      <c r="C39">
        <v>97</v>
      </c>
      <c r="D39">
        <v>104</v>
      </c>
      <c r="E39">
        <v>189</v>
      </c>
      <c r="F39">
        <v>151</v>
      </c>
      <c r="G39">
        <v>58</v>
      </c>
      <c r="H39">
        <v>31</v>
      </c>
      <c r="I39">
        <v>33</v>
      </c>
      <c r="J39">
        <v>39</v>
      </c>
      <c r="K39">
        <v>49</v>
      </c>
      <c r="L39">
        <v>75</v>
      </c>
      <c r="M39">
        <v>44</v>
      </c>
      <c r="N39">
        <v>31</v>
      </c>
      <c r="O39">
        <v>25</v>
      </c>
      <c r="P39">
        <v>33</v>
      </c>
      <c r="Q39">
        <v>33</v>
      </c>
      <c r="R39">
        <v>40</v>
      </c>
      <c r="S39">
        <v>55</v>
      </c>
      <c r="T39">
        <v>38</v>
      </c>
      <c r="U39">
        <v>13</v>
      </c>
      <c r="V39">
        <v>32</v>
      </c>
      <c r="W39">
        <v>10</v>
      </c>
      <c r="X39">
        <v>32</v>
      </c>
      <c r="Y39">
        <v>36</v>
      </c>
      <c r="Z39">
        <v>56</v>
      </c>
      <c r="AA39">
        <v>30</v>
      </c>
      <c r="AB39">
        <v>38</v>
      </c>
      <c r="AC39">
        <v>74</v>
      </c>
      <c r="AD39">
        <v>65</v>
      </c>
      <c r="AE39">
        <v>110</v>
      </c>
      <c r="AF39">
        <v>137</v>
      </c>
      <c r="AG39">
        <v>104</v>
      </c>
      <c r="AH39" s="89">
        <f t="shared" si="1"/>
        <v>1372</v>
      </c>
      <c r="AI39" s="90">
        <f t="shared" si="2"/>
        <v>1372</v>
      </c>
    </row>
    <row r="40" spans="1:35" x14ac:dyDescent="0.25">
      <c r="A40" s="88">
        <v>36</v>
      </c>
      <c r="B40" s="1" t="s">
        <v>49</v>
      </c>
      <c r="C40">
        <v>137</v>
      </c>
      <c r="D40">
        <v>130</v>
      </c>
      <c r="E40">
        <v>162</v>
      </c>
      <c r="F40">
        <v>98</v>
      </c>
      <c r="G40">
        <v>36</v>
      </c>
      <c r="H40">
        <v>42</v>
      </c>
      <c r="I40">
        <v>36</v>
      </c>
      <c r="J40">
        <v>36</v>
      </c>
      <c r="K40">
        <v>56</v>
      </c>
      <c r="L40">
        <v>64</v>
      </c>
      <c r="M40">
        <v>54</v>
      </c>
      <c r="N40">
        <v>35</v>
      </c>
      <c r="O40">
        <v>28</v>
      </c>
      <c r="P40">
        <v>28</v>
      </c>
      <c r="Q40">
        <v>35</v>
      </c>
      <c r="R40">
        <v>41</v>
      </c>
      <c r="S40">
        <v>40</v>
      </c>
      <c r="T40">
        <v>27</v>
      </c>
      <c r="U40">
        <v>9</v>
      </c>
      <c r="V40">
        <v>15</v>
      </c>
      <c r="W40">
        <v>18</v>
      </c>
      <c r="X40">
        <v>24</v>
      </c>
      <c r="Y40">
        <v>39</v>
      </c>
      <c r="Z40">
        <v>40</v>
      </c>
      <c r="AA40">
        <v>27</v>
      </c>
      <c r="AB40">
        <v>18</v>
      </c>
      <c r="AC40">
        <v>46</v>
      </c>
      <c r="AD40">
        <v>65</v>
      </c>
      <c r="AE40">
        <v>59</v>
      </c>
      <c r="AF40">
        <v>97</v>
      </c>
      <c r="AG40">
        <v>74</v>
      </c>
      <c r="AH40" s="89">
        <f t="shared" si="1"/>
        <v>1275</v>
      </c>
      <c r="AI40" s="90">
        <f t="shared" si="2"/>
        <v>1275</v>
      </c>
    </row>
    <row r="41" spans="1:35" x14ac:dyDescent="0.25">
      <c r="A41" s="88">
        <v>37</v>
      </c>
      <c r="B41" s="1" t="s">
        <v>50</v>
      </c>
      <c r="C41">
        <v>173</v>
      </c>
      <c r="D41">
        <v>181</v>
      </c>
      <c r="E41">
        <v>167</v>
      </c>
      <c r="F41">
        <v>126</v>
      </c>
      <c r="G41">
        <v>78</v>
      </c>
      <c r="H41">
        <v>42</v>
      </c>
      <c r="I41">
        <v>35</v>
      </c>
      <c r="J41">
        <v>51</v>
      </c>
      <c r="K41">
        <v>63</v>
      </c>
      <c r="L41">
        <v>68</v>
      </c>
      <c r="M41">
        <v>49</v>
      </c>
      <c r="N41">
        <v>42</v>
      </c>
      <c r="O41">
        <v>53</v>
      </c>
      <c r="P41">
        <v>44</v>
      </c>
      <c r="Q41">
        <v>46</v>
      </c>
      <c r="R41">
        <v>61</v>
      </c>
      <c r="S41">
        <v>52</v>
      </c>
      <c r="T41">
        <v>32</v>
      </c>
      <c r="U41">
        <v>41</v>
      </c>
      <c r="V41">
        <v>44</v>
      </c>
      <c r="W41">
        <v>35</v>
      </c>
      <c r="X41">
        <v>35</v>
      </c>
      <c r="Y41">
        <v>67</v>
      </c>
      <c r="Z41">
        <v>63</v>
      </c>
      <c r="AA41">
        <v>37</v>
      </c>
      <c r="AB41">
        <v>43</v>
      </c>
      <c r="AC41">
        <v>101</v>
      </c>
      <c r="AD41">
        <v>71</v>
      </c>
      <c r="AE41">
        <v>92</v>
      </c>
      <c r="AF41">
        <v>125</v>
      </c>
      <c r="AG41">
        <v>109</v>
      </c>
      <c r="AH41" s="89">
        <f t="shared" si="1"/>
        <v>1728</v>
      </c>
      <c r="AI41" s="90">
        <f t="shared" si="2"/>
        <v>1728</v>
      </c>
    </row>
    <row r="42" spans="1:35" x14ac:dyDescent="0.25">
      <c r="A42" s="88">
        <v>38</v>
      </c>
      <c r="B42" s="1" t="s">
        <v>51</v>
      </c>
      <c r="C42">
        <v>158</v>
      </c>
      <c r="D42">
        <v>147</v>
      </c>
      <c r="E42">
        <v>115</v>
      </c>
      <c r="F42">
        <v>139</v>
      </c>
      <c r="G42">
        <v>50</v>
      </c>
      <c r="H42">
        <v>45</v>
      </c>
      <c r="I42">
        <v>43</v>
      </c>
      <c r="J42">
        <v>48</v>
      </c>
      <c r="K42">
        <v>48</v>
      </c>
      <c r="L42">
        <v>49</v>
      </c>
      <c r="M42">
        <v>41</v>
      </c>
      <c r="N42">
        <v>41</v>
      </c>
      <c r="O42">
        <v>28</v>
      </c>
      <c r="P42">
        <v>28</v>
      </c>
      <c r="Q42">
        <v>45</v>
      </c>
      <c r="R42">
        <v>50</v>
      </c>
      <c r="S42">
        <v>37</v>
      </c>
      <c r="T42">
        <v>41</v>
      </c>
      <c r="U42">
        <v>17</v>
      </c>
      <c r="V42">
        <v>24</v>
      </c>
      <c r="W42">
        <v>22</v>
      </c>
      <c r="X42">
        <v>34</v>
      </c>
      <c r="Y42">
        <v>40</v>
      </c>
      <c r="Z42">
        <v>43</v>
      </c>
      <c r="AA42">
        <v>36</v>
      </c>
      <c r="AB42">
        <v>31</v>
      </c>
      <c r="AC42">
        <v>88</v>
      </c>
      <c r="AD42">
        <v>91</v>
      </c>
      <c r="AE42">
        <v>69</v>
      </c>
      <c r="AF42">
        <v>84</v>
      </c>
      <c r="AG42">
        <v>102</v>
      </c>
      <c r="AH42" s="89">
        <f t="shared" si="1"/>
        <v>1400</v>
      </c>
      <c r="AI42" s="90">
        <f t="shared" si="2"/>
        <v>1400</v>
      </c>
    </row>
    <row r="43" spans="1:35" x14ac:dyDescent="0.25">
      <c r="A43" s="88">
        <v>39</v>
      </c>
      <c r="B43" s="1" t="s">
        <v>52</v>
      </c>
      <c r="C43">
        <v>120</v>
      </c>
      <c r="D43">
        <v>164</v>
      </c>
      <c r="E43">
        <v>158</v>
      </c>
      <c r="F43">
        <v>123</v>
      </c>
      <c r="G43">
        <v>40</v>
      </c>
      <c r="H43">
        <v>45</v>
      </c>
      <c r="I43">
        <v>44</v>
      </c>
      <c r="J43">
        <v>40</v>
      </c>
      <c r="K43">
        <v>74</v>
      </c>
      <c r="L43">
        <v>74</v>
      </c>
      <c r="M43">
        <v>49</v>
      </c>
      <c r="N43">
        <v>53</v>
      </c>
      <c r="O43">
        <v>42</v>
      </c>
      <c r="P43">
        <v>35</v>
      </c>
      <c r="Q43">
        <v>42</v>
      </c>
      <c r="R43">
        <v>52</v>
      </c>
      <c r="S43">
        <v>59</v>
      </c>
      <c r="T43">
        <v>36</v>
      </c>
      <c r="U43">
        <v>22</v>
      </c>
      <c r="V43">
        <v>27</v>
      </c>
      <c r="W43">
        <v>32</v>
      </c>
      <c r="X43">
        <v>51</v>
      </c>
      <c r="Y43">
        <v>39</v>
      </c>
      <c r="Z43">
        <v>60</v>
      </c>
      <c r="AA43">
        <v>44</v>
      </c>
      <c r="AB43">
        <v>40</v>
      </c>
      <c r="AC43">
        <v>64</v>
      </c>
      <c r="AD43">
        <v>90</v>
      </c>
      <c r="AE43">
        <v>78</v>
      </c>
      <c r="AF43">
        <v>118</v>
      </c>
      <c r="AG43">
        <v>71</v>
      </c>
      <c r="AH43" s="89">
        <f t="shared" si="1"/>
        <v>1565</v>
      </c>
      <c r="AI43" s="90">
        <f t="shared" si="2"/>
        <v>1565</v>
      </c>
    </row>
    <row r="44" spans="1:35" x14ac:dyDescent="0.25">
      <c r="A44" s="88">
        <v>40</v>
      </c>
      <c r="B44" s="1" t="s">
        <v>53</v>
      </c>
      <c r="C44">
        <v>82</v>
      </c>
      <c r="D44">
        <v>128</v>
      </c>
      <c r="E44">
        <v>144</v>
      </c>
      <c r="F44">
        <v>79</v>
      </c>
      <c r="G44">
        <v>38</v>
      </c>
      <c r="H44">
        <v>36</v>
      </c>
      <c r="I44">
        <v>36</v>
      </c>
      <c r="J44">
        <v>43</v>
      </c>
      <c r="K44">
        <v>49</v>
      </c>
      <c r="L44">
        <v>49</v>
      </c>
      <c r="M44">
        <v>39</v>
      </c>
      <c r="N44">
        <v>31</v>
      </c>
      <c r="O44">
        <v>28</v>
      </c>
      <c r="P44">
        <v>25</v>
      </c>
      <c r="Q44">
        <v>34</v>
      </c>
      <c r="R44">
        <v>34</v>
      </c>
      <c r="S44">
        <v>47</v>
      </c>
      <c r="T44">
        <v>23</v>
      </c>
      <c r="U44">
        <v>25</v>
      </c>
      <c r="V44">
        <v>14</v>
      </c>
      <c r="W44">
        <v>19</v>
      </c>
      <c r="X44">
        <v>37</v>
      </c>
      <c r="Y44">
        <v>40</v>
      </c>
      <c r="Z44">
        <v>50</v>
      </c>
      <c r="AA44">
        <v>35</v>
      </c>
      <c r="AB44">
        <v>25</v>
      </c>
      <c r="AC44">
        <v>82</v>
      </c>
      <c r="AD44">
        <v>45</v>
      </c>
      <c r="AE44">
        <v>79</v>
      </c>
      <c r="AF44">
        <v>85</v>
      </c>
      <c r="AG44">
        <v>107</v>
      </c>
      <c r="AH44" s="89">
        <f t="shared" si="1"/>
        <v>1190</v>
      </c>
      <c r="AI44" s="90">
        <f t="shared" si="2"/>
        <v>1190</v>
      </c>
    </row>
    <row r="45" spans="1:35" x14ac:dyDescent="0.25">
      <c r="A45" s="88">
        <v>41</v>
      </c>
      <c r="B45" s="1" t="s">
        <v>54</v>
      </c>
      <c r="C45">
        <v>219</v>
      </c>
      <c r="D45">
        <v>246</v>
      </c>
      <c r="E45">
        <v>385</v>
      </c>
      <c r="F45">
        <v>369</v>
      </c>
      <c r="G45">
        <v>163</v>
      </c>
      <c r="H45">
        <v>139</v>
      </c>
      <c r="I45">
        <v>136</v>
      </c>
      <c r="J45">
        <v>114</v>
      </c>
      <c r="K45">
        <v>137</v>
      </c>
      <c r="L45">
        <v>238</v>
      </c>
      <c r="M45">
        <v>191</v>
      </c>
      <c r="N45">
        <v>96</v>
      </c>
      <c r="O45">
        <v>97</v>
      </c>
      <c r="P45">
        <v>92</v>
      </c>
      <c r="Q45">
        <v>102</v>
      </c>
      <c r="R45">
        <v>104</v>
      </c>
      <c r="S45">
        <v>153</v>
      </c>
      <c r="T45">
        <v>132</v>
      </c>
      <c r="U45">
        <v>84</v>
      </c>
      <c r="V45">
        <v>82</v>
      </c>
      <c r="W45">
        <v>75</v>
      </c>
      <c r="X45">
        <v>93</v>
      </c>
      <c r="Y45">
        <v>135</v>
      </c>
      <c r="Z45">
        <v>161</v>
      </c>
      <c r="AA45">
        <v>173</v>
      </c>
      <c r="AB45">
        <v>106</v>
      </c>
      <c r="AC45">
        <v>137</v>
      </c>
      <c r="AD45">
        <v>155</v>
      </c>
      <c r="AE45">
        <v>210</v>
      </c>
      <c r="AF45">
        <v>245</v>
      </c>
      <c r="AG45">
        <v>272</v>
      </c>
      <c r="AH45" s="89">
        <f t="shared" si="1"/>
        <v>4022</v>
      </c>
      <c r="AI45" s="90">
        <f t="shared" si="2"/>
        <v>4022</v>
      </c>
    </row>
    <row r="46" spans="1:35" x14ac:dyDescent="0.25">
      <c r="A46" s="88">
        <v>42</v>
      </c>
      <c r="B46" s="1" t="s">
        <v>55</v>
      </c>
      <c r="C46">
        <v>123</v>
      </c>
      <c r="D46">
        <v>128</v>
      </c>
      <c r="E46">
        <v>122</v>
      </c>
      <c r="F46">
        <v>135</v>
      </c>
      <c r="G46">
        <v>78</v>
      </c>
      <c r="H46">
        <v>57</v>
      </c>
      <c r="I46">
        <v>40</v>
      </c>
      <c r="J46">
        <v>52</v>
      </c>
      <c r="K46">
        <v>55</v>
      </c>
      <c r="L46">
        <v>60</v>
      </c>
      <c r="M46">
        <v>60</v>
      </c>
      <c r="N46">
        <v>50</v>
      </c>
      <c r="O46">
        <v>39</v>
      </c>
      <c r="P46">
        <v>26</v>
      </c>
      <c r="Q46">
        <v>24</v>
      </c>
      <c r="R46">
        <v>35</v>
      </c>
      <c r="S46">
        <v>49</v>
      </c>
      <c r="T46">
        <v>33</v>
      </c>
      <c r="U46">
        <v>36</v>
      </c>
      <c r="V46">
        <v>26</v>
      </c>
      <c r="W46">
        <v>23</v>
      </c>
      <c r="X46">
        <v>29</v>
      </c>
      <c r="Y46">
        <v>41</v>
      </c>
      <c r="Z46">
        <v>49</v>
      </c>
      <c r="AA46">
        <v>36</v>
      </c>
      <c r="AB46">
        <v>34</v>
      </c>
      <c r="AC46">
        <v>83</v>
      </c>
      <c r="AD46">
        <v>52</v>
      </c>
      <c r="AE46">
        <v>76</v>
      </c>
      <c r="AF46">
        <v>98</v>
      </c>
      <c r="AG46">
        <v>97</v>
      </c>
      <c r="AH46" s="89">
        <f t="shared" si="1"/>
        <v>1440</v>
      </c>
      <c r="AI46" s="90">
        <f t="shared" si="2"/>
        <v>1440</v>
      </c>
    </row>
    <row r="47" spans="1:35" x14ac:dyDescent="0.25">
      <c r="A47" s="88">
        <v>43</v>
      </c>
      <c r="B47" s="1" t="s">
        <v>56</v>
      </c>
      <c r="C47">
        <v>130</v>
      </c>
      <c r="D47">
        <v>144</v>
      </c>
      <c r="E47">
        <v>148</v>
      </c>
      <c r="F47">
        <v>121</v>
      </c>
      <c r="G47">
        <v>57</v>
      </c>
      <c r="H47">
        <v>46</v>
      </c>
      <c r="I47">
        <v>43</v>
      </c>
      <c r="J47">
        <v>47</v>
      </c>
      <c r="K47">
        <v>49</v>
      </c>
      <c r="L47">
        <v>70</v>
      </c>
      <c r="M47">
        <v>49</v>
      </c>
      <c r="N47">
        <v>46</v>
      </c>
      <c r="O47">
        <v>42</v>
      </c>
      <c r="P47">
        <v>38</v>
      </c>
      <c r="Q47">
        <v>34</v>
      </c>
      <c r="R47">
        <v>46</v>
      </c>
      <c r="S47">
        <v>54</v>
      </c>
      <c r="T47">
        <v>35</v>
      </c>
      <c r="U47">
        <v>40</v>
      </c>
      <c r="V47">
        <v>33</v>
      </c>
      <c r="W47">
        <v>39</v>
      </c>
      <c r="X47">
        <v>38</v>
      </c>
      <c r="Y47">
        <v>52</v>
      </c>
      <c r="Z47">
        <v>59</v>
      </c>
      <c r="AA47">
        <v>55</v>
      </c>
      <c r="AB47">
        <v>38</v>
      </c>
      <c r="AC47">
        <v>89</v>
      </c>
      <c r="AD47">
        <v>83</v>
      </c>
      <c r="AE47">
        <v>77</v>
      </c>
      <c r="AF47">
        <v>107</v>
      </c>
      <c r="AG47">
        <v>116</v>
      </c>
      <c r="AH47" s="89">
        <f t="shared" si="1"/>
        <v>1553</v>
      </c>
      <c r="AI47" s="90">
        <f t="shared" si="2"/>
        <v>1553</v>
      </c>
    </row>
    <row r="48" spans="1:35" x14ac:dyDescent="0.25">
      <c r="A48" s="88">
        <v>44</v>
      </c>
      <c r="B48" s="1" t="s">
        <v>57</v>
      </c>
      <c r="C48">
        <v>98</v>
      </c>
      <c r="D48">
        <v>97</v>
      </c>
      <c r="E48">
        <v>78</v>
      </c>
      <c r="F48">
        <v>105</v>
      </c>
      <c r="G48">
        <v>36</v>
      </c>
      <c r="H48">
        <v>40</v>
      </c>
      <c r="I48">
        <v>38</v>
      </c>
      <c r="J48">
        <v>33</v>
      </c>
      <c r="K48">
        <v>36</v>
      </c>
      <c r="L48">
        <v>36</v>
      </c>
      <c r="M48">
        <v>24</v>
      </c>
      <c r="N48">
        <v>26</v>
      </c>
      <c r="O48">
        <v>31</v>
      </c>
      <c r="P48">
        <v>32</v>
      </c>
      <c r="Q48">
        <v>24</v>
      </c>
      <c r="R48">
        <v>33</v>
      </c>
      <c r="S48">
        <v>34</v>
      </c>
      <c r="T48">
        <v>23</v>
      </c>
      <c r="U48">
        <v>13</v>
      </c>
      <c r="V48">
        <v>19</v>
      </c>
      <c r="W48">
        <v>9</v>
      </c>
      <c r="X48">
        <v>13</v>
      </c>
      <c r="Y48">
        <v>29</v>
      </c>
      <c r="Z48">
        <v>27</v>
      </c>
      <c r="AA48">
        <v>22</v>
      </c>
      <c r="AB48">
        <v>18</v>
      </c>
      <c r="AC48">
        <v>55</v>
      </c>
      <c r="AD48">
        <v>61</v>
      </c>
      <c r="AE48">
        <v>40</v>
      </c>
      <c r="AF48">
        <v>50</v>
      </c>
      <c r="AG48">
        <v>42</v>
      </c>
      <c r="AH48" s="89">
        <f t="shared" si="1"/>
        <v>974</v>
      </c>
      <c r="AI48" s="90">
        <f t="shared" si="2"/>
        <v>974</v>
      </c>
    </row>
    <row r="49" spans="1:35" x14ac:dyDescent="0.25">
      <c r="A49" s="88">
        <v>45</v>
      </c>
      <c r="B49" s="1" t="s">
        <v>58</v>
      </c>
      <c r="C49">
        <v>66</v>
      </c>
      <c r="D49">
        <v>80</v>
      </c>
      <c r="E49">
        <v>125</v>
      </c>
      <c r="F49">
        <v>63</v>
      </c>
      <c r="G49">
        <v>29</v>
      </c>
      <c r="H49">
        <v>37</v>
      </c>
      <c r="I49">
        <v>20</v>
      </c>
      <c r="J49">
        <v>32</v>
      </c>
      <c r="K49">
        <v>45</v>
      </c>
      <c r="L49">
        <v>49</v>
      </c>
      <c r="M49">
        <v>41</v>
      </c>
      <c r="N49">
        <v>33</v>
      </c>
      <c r="O49">
        <v>35</v>
      </c>
      <c r="P49">
        <v>16</v>
      </c>
      <c r="Q49">
        <v>25</v>
      </c>
      <c r="R49">
        <v>42</v>
      </c>
      <c r="S49">
        <v>42</v>
      </c>
      <c r="T49">
        <v>32</v>
      </c>
      <c r="U49">
        <v>24</v>
      </c>
      <c r="V49">
        <v>28</v>
      </c>
      <c r="W49">
        <v>29</v>
      </c>
      <c r="X49">
        <v>26</v>
      </c>
      <c r="Y49">
        <v>36</v>
      </c>
      <c r="Z49">
        <v>58</v>
      </c>
      <c r="AA49">
        <v>48</v>
      </c>
      <c r="AB49">
        <v>31</v>
      </c>
      <c r="AC49">
        <v>29</v>
      </c>
      <c r="AD49">
        <v>37</v>
      </c>
      <c r="AE49">
        <v>61</v>
      </c>
      <c r="AF49">
        <v>51</v>
      </c>
      <c r="AG49">
        <v>59</v>
      </c>
      <c r="AH49" s="89">
        <f t="shared" si="1"/>
        <v>1092</v>
      </c>
      <c r="AI49" s="90">
        <f t="shared" si="2"/>
        <v>1092</v>
      </c>
    </row>
    <row r="50" spans="1:35" x14ac:dyDescent="0.25">
      <c r="A50" s="88">
        <v>46</v>
      </c>
      <c r="B50" s="1" t="s">
        <v>59</v>
      </c>
      <c r="C50">
        <v>104</v>
      </c>
      <c r="D50">
        <v>148</v>
      </c>
      <c r="E50">
        <v>156</v>
      </c>
      <c r="F50">
        <v>148</v>
      </c>
      <c r="G50">
        <v>71</v>
      </c>
      <c r="H50">
        <v>56</v>
      </c>
      <c r="I50">
        <v>51</v>
      </c>
      <c r="J50">
        <v>41</v>
      </c>
      <c r="K50">
        <v>69</v>
      </c>
      <c r="L50">
        <v>68</v>
      </c>
      <c r="M50">
        <v>75</v>
      </c>
      <c r="N50">
        <v>41</v>
      </c>
      <c r="O50">
        <v>56</v>
      </c>
      <c r="P50">
        <v>36</v>
      </c>
      <c r="Q50">
        <v>34</v>
      </c>
      <c r="R50">
        <v>44</v>
      </c>
      <c r="S50">
        <v>40</v>
      </c>
      <c r="T50">
        <v>45</v>
      </c>
      <c r="U50">
        <v>32</v>
      </c>
      <c r="V50">
        <v>45</v>
      </c>
      <c r="W50">
        <v>32</v>
      </c>
      <c r="X50">
        <v>33</v>
      </c>
      <c r="Y50">
        <v>48</v>
      </c>
      <c r="Z50">
        <v>38</v>
      </c>
      <c r="AA50">
        <v>50</v>
      </c>
      <c r="AB50">
        <v>33</v>
      </c>
      <c r="AC50">
        <v>87</v>
      </c>
      <c r="AD50">
        <v>77</v>
      </c>
      <c r="AE50">
        <v>58</v>
      </c>
      <c r="AF50">
        <v>107</v>
      </c>
      <c r="AG50">
        <v>109</v>
      </c>
      <c r="AH50" s="89">
        <f t="shared" si="1"/>
        <v>1594</v>
      </c>
      <c r="AI50" s="90">
        <f t="shared" si="2"/>
        <v>1594</v>
      </c>
    </row>
    <row r="51" spans="1:35" x14ac:dyDescent="0.25">
      <c r="A51" s="88">
        <v>47</v>
      </c>
      <c r="B51" s="1" t="s">
        <v>60</v>
      </c>
      <c r="C51">
        <v>141</v>
      </c>
      <c r="D51">
        <v>163</v>
      </c>
      <c r="E51">
        <v>117</v>
      </c>
      <c r="F51">
        <v>165</v>
      </c>
      <c r="G51">
        <v>60</v>
      </c>
      <c r="H51">
        <v>45</v>
      </c>
      <c r="I51">
        <v>63</v>
      </c>
      <c r="J51">
        <v>39</v>
      </c>
      <c r="K51">
        <v>55</v>
      </c>
      <c r="L51">
        <v>43</v>
      </c>
      <c r="M51">
        <v>42</v>
      </c>
      <c r="N51">
        <v>23</v>
      </c>
      <c r="O51">
        <v>26</v>
      </c>
      <c r="P51">
        <v>30</v>
      </c>
      <c r="Q51">
        <v>47</v>
      </c>
      <c r="R51">
        <v>41</v>
      </c>
      <c r="S51">
        <v>44</v>
      </c>
      <c r="T51">
        <v>42</v>
      </c>
      <c r="U51">
        <v>22</v>
      </c>
      <c r="V51">
        <v>17</v>
      </c>
      <c r="W51">
        <v>20</v>
      </c>
      <c r="X51">
        <v>25</v>
      </c>
      <c r="Y51">
        <v>23</v>
      </c>
      <c r="Z51">
        <v>39</v>
      </c>
      <c r="AA51">
        <v>22</v>
      </c>
      <c r="AB51">
        <v>34</v>
      </c>
      <c r="AC51">
        <v>73</v>
      </c>
      <c r="AD51">
        <v>60</v>
      </c>
      <c r="AE51">
        <v>64</v>
      </c>
      <c r="AF51">
        <v>100</v>
      </c>
      <c r="AG51">
        <v>74</v>
      </c>
      <c r="AH51" s="89">
        <f t="shared" si="1"/>
        <v>1388</v>
      </c>
      <c r="AI51" s="90">
        <f t="shared" si="2"/>
        <v>1388</v>
      </c>
    </row>
    <row r="52" spans="1:35" x14ac:dyDescent="0.25">
      <c r="A52" s="88">
        <v>48</v>
      </c>
      <c r="B52" s="1" t="s">
        <v>61</v>
      </c>
      <c r="C52">
        <v>67</v>
      </c>
      <c r="D52">
        <v>50</v>
      </c>
      <c r="E52">
        <v>57</v>
      </c>
      <c r="F52">
        <v>63</v>
      </c>
      <c r="G52">
        <v>27</v>
      </c>
      <c r="H52">
        <v>31</v>
      </c>
      <c r="I52">
        <v>30</v>
      </c>
      <c r="J52">
        <v>23</v>
      </c>
      <c r="K52">
        <v>31</v>
      </c>
      <c r="L52">
        <v>31</v>
      </c>
      <c r="M52">
        <v>22</v>
      </c>
      <c r="N52">
        <v>31</v>
      </c>
      <c r="O52">
        <v>14</v>
      </c>
      <c r="P52">
        <v>21</v>
      </c>
      <c r="Q52">
        <v>14</v>
      </c>
      <c r="R52">
        <v>19</v>
      </c>
      <c r="S52">
        <v>27</v>
      </c>
      <c r="T52">
        <v>27</v>
      </c>
      <c r="U52">
        <v>22</v>
      </c>
      <c r="V52">
        <v>22</v>
      </c>
      <c r="W52">
        <v>16</v>
      </c>
      <c r="X52">
        <v>23</v>
      </c>
      <c r="Y52">
        <v>28</v>
      </c>
      <c r="Z52">
        <v>24</v>
      </c>
      <c r="AA52">
        <v>20</v>
      </c>
      <c r="AB52">
        <v>13</v>
      </c>
      <c r="AC52">
        <v>36</v>
      </c>
      <c r="AD52">
        <v>32</v>
      </c>
      <c r="AE52">
        <v>56</v>
      </c>
      <c r="AF52">
        <v>51</v>
      </c>
      <c r="AG52">
        <v>40</v>
      </c>
      <c r="AH52" s="89">
        <f t="shared" si="1"/>
        <v>753</v>
      </c>
      <c r="AI52" s="90">
        <f t="shared" si="2"/>
        <v>753</v>
      </c>
    </row>
    <row r="53" spans="1:35" x14ac:dyDescent="0.25">
      <c r="A53" s="88">
        <v>49</v>
      </c>
      <c r="B53" s="1" t="s">
        <v>62</v>
      </c>
      <c r="C53">
        <v>48</v>
      </c>
      <c r="D53">
        <v>54</v>
      </c>
      <c r="E53">
        <v>55</v>
      </c>
      <c r="F53">
        <v>61</v>
      </c>
      <c r="G53">
        <v>46</v>
      </c>
      <c r="H53">
        <v>44</v>
      </c>
      <c r="I53">
        <v>28</v>
      </c>
      <c r="J53">
        <v>35</v>
      </c>
      <c r="K53">
        <v>39</v>
      </c>
      <c r="L53">
        <v>37</v>
      </c>
      <c r="M53">
        <v>33</v>
      </c>
      <c r="N53">
        <v>15</v>
      </c>
      <c r="O53">
        <v>23</v>
      </c>
      <c r="P53">
        <v>22</v>
      </c>
      <c r="Q53">
        <v>23</v>
      </c>
      <c r="R53">
        <v>22</v>
      </c>
      <c r="S53">
        <v>31</v>
      </c>
      <c r="T53">
        <v>23</v>
      </c>
      <c r="U53">
        <v>20</v>
      </c>
      <c r="V53">
        <v>21</v>
      </c>
      <c r="W53">
        <v>19</v>
      </c>
      <c r="X53">
        <v>20</v>
      </c>
      <c r="Y53">
        <v>13</v>
      </c>
      <c r="Z53">
        <v>29</v>
      </c>
      <c r="AA53">
        <v>20</v>
      </c>
      <c r="AB53">
        <v>27</v>
      </c>
      <c r="AC53">
        <v>42</v>
      </c>
      <c r="AD53">
        <v>27</v>
      </c>
      <c r="AE53">
        <v>32</v>
      </c>
      <c r="AF53">
        <v>38</v>
      </c>
      <c r="AG53">
        <v>39</v>
      </c>
      <c r="AH53" s="89">
        <f t="shared" si="1"/>
        <v>808</v>
      </c>
      <c r="AI53" s="90">
        <f t="shared" si="2"/>
        <v>808</v>
      </c>
    </row>
    <row r="54" spans="1:35" x14ac:dyDescent="0.25">
      <c r="A54" s="88">
        <v>50</v>
      </c>
      <c r="B54" s="1" t="s">
        <v>63</v>
      </c>
      <c r="C54">
        <v>42</v>
      </c>
      <c r="D54">
        <v>57</v>
      </c>
      <c r="E54">
        <v>82</v>
      </c>
      <c r="F54">
        <v>87</v>
      </c>
      <c r="G54">
        <v>27</v>
      </c>
      <c r="H54">
        <v>24</v>
      </c>
      <c r="I54">
        <v>20</v>
      </c>
      <c r="J54">
        <v>10</v>
      </c>
      <c r="K54">
        <v>21</v>
      </c>
      <c r="L54">
        <v>14</v>
      </c>
      <c r="M54">
        <v>14</v>
      </c>
      <c r="N54">
        <v>18</v>
      </c>
      <c r="O54">
        <v>16</v>
      </c>
      <c r="P54">
        <v>11</v>
      </c>
      <c r="Q54">
        <v>17</v>
      </c>
      <c r="R54">
        <v>15</v>
      </c>
      <c r="S54">
        <v>21</v>
      </c>
      <c r="T54">
        <v>17</v>
      </c>
      <c r="U54">
        <v>9</v>
      </c>
      <c r="V54">
        <v>13</v>
      </c>
      <c r="W54">
        <v>14</v>
      </c>
      <c r="X54">
        <v>17</v>
      </c>
      <c r="Y54">
        <v>18</v>
      </c>
      <c r="Z54">
        <v>17</v>
      </c>
      <c r="AA54">
        <v>27</v>
      </c>
      <c r="AB54">
        <v>15</v>
      </c>
      <c r="AC54">
        <v>20</v>
      </c>
      <c r="AD54">
        <v>13</v>
      </c>
      <c r="AE54">
        <v>19</v>
      </c>
      <c r="AF54">
        <v>37</v>
      </c>
      <c r="AG54">
        <v>34</v>
      </c>
      <c r="AH54" s="89">
        <f t="shared" si="1"/>
        <v>643</v>
      </c>
      <c r="AI54" s="90">
        <f t="shared" si="2"/>
        <v>643</v>
      </c>
    </row>
    <row r="55" spans="1:35" x14ac:dyDescent="0.25">
      <c r="A55" s="88">
        <v>51</v>
      </c>
      <c r="B55" s="1" t="s">
        <v>64</v>
      </c>
      <c r="C55">
        <v>71</v>
      </c>
      <c r="D55">
        <v>68</v>
      </c>
      <c r="E55">
        <v>94</v>
      </c>
      <c r="F55">
        <v>75</v>
      </c>
      <c r="G55">
        <v>21</v>
      </c>
      <c r="H55">
        <v>36</v>
      </c>
      <c r="I55">
        <v>17</v>
      </c>
      <c r="J55">
        <v>25</v>
      </c>
      <c r="K55">
        <v>35</v>
      </c>
      <c r="L55">
        <v>50</v>
      </c>
      <c r="M55">
        <v>35</v>
      </c>
      <c r="N55">
        <v>18</v>
      </c>
      <c r="O55">
        <v>21</v>
      </c>
      <c r="P55">
        <v>29</v>
      </c>
      <c r="Q55">
        <v>17</v>
      </c>
      <c r="R55">
        <v>28</v>
      </c>
      <c r="S55">
        <v>36</v>
      </c>
      <c r="T55">
        <v>26</v>
      </c>
      <c r="U55">
        <v>19</v>
      </c>
      <c r="V55">
        <v>11</v>
      </c>
      <c r="W55">
        <v>14</v>
      </c>
      <c r="X55">
        <v>17</v>
      </c>
      <c r="Y55">
        <v>29</v>
      </c>
      <c r="Z55">
        <v>41</v>
      </c>
      <c r="AA55">
        <v>22</v>
      </c>
      <c r="AB55">
        <v>15</v>
      </c>
      <c r="AC55">
        <v>30</v>
      </c>
      <c r="AD55">
        <v>19</v>
      </c>
      <c r="AE55">
        <v>30</v>
      </c>
      <c r="AF55">
        <v>72</v>
      </c>
      <c r="AG55">
        <v>58</v>
      </c>
      <c r="AH55" s="89">
        <f t="shared" si="1"/>
        <v>870</v>
      </c>
      <c r="AI55" s="90">
        <f t="shared" si="2"/>
        <v>870</v>
      </c>
    </row>
    <row r="56" spans="1:35" x14ac:dyDescent="0.25">
      <c r="A56" s="88">
        <v>52</v>
      </c>
      <c r="B56" s="1" t="s">
        <v>65</v>
      </c>
      <c r="C56">
        <v>53</v>
      </c>
      <c r="D56">
        <v>57</v>
      </c>
      <c r="E56">
        <v>86</v>
      </c>
      <c r="F56">
        <v>59</v>
      </c>
      <c r="G56">
        <v>19</v>
      </c>
      <c r="H56">
        <v>17</v>
      </c>
      <c r="I56">
        <v>19</v>
      </c>
      <c r="J56">
        <v>21</v>
      </c>
      <c r="K56">
        <v>20</v>
      </c>
      <c r="L56">
        <v>26</v>
      </c>
      <c r="M56">
        <v>22</v>
      </c>
      <c r="N56">
        <v>18</v>
      </c>
      <c r="O56">
        <v>14</v>
      </c>
      <c r="P56">
        <v>22</v>
      </c>
      <c r="Q56">
        <v>14</v>
      </c>
      <c r="R56">
        <v>18</v>
      </c>
      <c r="S56">
        <v>23</v>
      </c>
      <c r="T56">
        <v>12</v>
      </c>
      <c r="U56">
        <v>10</v>
      </c>
      <c r="V56">
        <v>7</v>
      </c>
      <c r="W56">
        <v>8</v>
      </c>
      <c r="X56">
        <v>19</v>
      </c>
      <c r="Y56">
        <v>20</v>
      </c>
      <c r="Z56">
        <v>17</v>
      </c>
      <c r="AA56">
        <v>31</v>
      </c>
      <c r="AB56">
        <v>25</v>
      </c>
      <c r="AC56">
        <v>50</v>
      </c>
      <c r="AD56">
        <v>34</v>
      </c>
      <c r="AE56">
        <v>24</v>
      </c>
      <c r="AF56">
        <v>42</v>
      </c>
      <c r="AG56">
        <v>34</v>
      </c>
      <c r="AH56" s="89">
        <f t="shared" si="1"/>
        <v>657</v>
      </c>
      <c r="AI56" s="90">
        <f t="shared" si="2"/>
        <v>657</v>
      </c>
    </row>
    <row r="57" spans="1:35" x14ac:dyDescent="0.25">
      <c r="A57" s="88">
        <v>53</v>
      </c>
      <c r="B57" s="1" t="s">
        <v>66</v>
      </c>
      <c r="C57">
        <v>26</v>
      </c>
      <c r="D57">
        <v>27</v>
      </c>
      <c r="E57">
        <v>41</v>
      </c>
      <c r="F57">
        <v>48</v>
      </c>
      <c r="G57">
        <v>30</v>
      </c>
      <c r="H57">
        <v>19</v>
      </c>
      <c r="I57">
        <v>14</v>
      </c>
      <c r="J57">
        <v>19</v>
      </c>
      <c r="K57">
        <v>23</v>
      </c>
      <c r="L57">
        <v>18</v>
      </c>
      <c r="M57">
        <v>23</v>
      </c>
      <c r="N57">
        <v>24</v>
      </c>
      <c r="O57">
        <v>22</v>
      </c>
      <c r="P57">
        <v>18</v>
      </c>
      <c r="Q57">
        <v>17</v>
      </c>
      <c r="R57">
        <v>15</v>
      </c>
      <c r="S57">
        <v>14</v>
      </c>
      <c r="T57">
        <v>22</v>
      </c>
      <c r="U57">
        <v>15</v>
      </c>
      <c r="V57">
        <v>9</v>
      </c>
      <c r="W57">
        <v>17</v>
      </c>
      <c r="X57">
        <v>16</v>
      </c>
      <c r="Y57">
        <v>17</v>
      </c>
      <c r="Z57">
        <v>19</v>
      </c>
      <c r="AA57">
        <v>18</v>
      </c>
      <c r="AB57">
        <v>13</v>
      </c>
      <c r="AC57">
        <v>24</v>
      </c>
      <c r="AD57">
        <v>30</v>
      </c>
      <c r="AE57">
        <v>28</v>
      </c>
      <c r="AF57">
        <v>24</v>
      </c>
      <c r="AG57">
        <v>26</v>
      </c>
      <c r="AH57" s="89">
        <f t="shared" si="1"/>
        <v>544</v>
      </c>
      <c r="AI57" s="90">
        <f t="shared" si="2"/>
        <v>544</v>
      </c>
    </row>
    <row r="58" spans="1:35" x14ac:dyDescent="0.25">
      <c r="A58" s="88">
        <v>54</v>
      </c>
      <c r="B58" s="1" t="s">
        <v>67</v>
      </c>
      <c r="C58">
        <v>86</v>
      </c>
      <c r="D58">
        <v>107</v>
      </c>
      <c r="E58">
        <v>136</v>
      </c>
      <c r="F58">
        <v>104</v>
      </c>
      <c r="G58">
        <v>46</v>
      </c>
      <c r="H58">
        <v>19</v>
      </c>
      <c r="I58">
        <v>23</v>
      </c>
      <c r="J58">
        <v>24</v>
      </c>
      <c r="K58">
        <v>31</v>
      </c>
      <c r="L58">
        <v>50</v>
      </c>
      <c r="M58">
        <v>50</v>
      </c>
      <c r="N58">
        <v>21</v>
      </c>
      <c r="O58">
        <v>24</v>
      </c>
      <c r="P58">
        <v>21</v>
      </c>
      <c r="Q58">
        <v>32</v>
      </c>
      <c r="R58">
        <v>33</v>
      </c>
      <c r="S58">
        <v>41</v>
      </c>
      <c r="T58">
        <v>23</v>
      </c>
      <c r="U58">
        <v>22</v>
      </c>
      <c r="V58">
        <v>13</v>
      </c>
      <c r="W58">
        <v>24</v>
      </c>
      <c r="X58">
        <v>16</v>
      </c>
      <c r="Y58">
        <v>29</v>
      </c>
      <c r="Z58">
        <v>51</v>
      </c>
      <c r="AA58">
        <v>44</v>
      </c>
      <c r="AB58">
        <v>31</v>
      </c>
      <c r="AC58">
        <v>61</v>
      </c>
      <c r="AD58">
        <v>51</v>
      </c>
      <c r="AE58">
        <v>67</v>
      </c>
      <c r="AF58">
        <v>75</v>
      </c>
      <c r="AG58">
        <v>73</v>
      </c>
      <c r="AH58" s="89">
        <f t="shared" si="1"/>
        <v>1101</v>
      </c>
      <c r="AI58" s="90">
        <f t="shared" si="2"/>
        <v>1101</v>
      </c>
    </row>
    <row r="59" spans="1:35" x14ac:dyDescent="0.25">
      <c r="A59" s="88">
        <v>55</v>
      </c>
      <c r="B59" s="1" t="s">
        <v>68</v>
      </c>
      <c r="C59">
        <v>63</v>
      </c>
      <c r="D59">
        <v>92</v>
      </c>
      <c r="E59">
        <v>122</v>
      </c>
      <c r="F59">
        <v>87</v>
      </c>
      <c r="G59">
        <v>25</v>
      </c>
      <c r="H59">
        <v>22</v>
      </c>
      <c r="I59">
        <v>37</v>
      </c>
      <c r="J59">
        <v>17</v>
      </c>
      <c r="K59">
        <v>38</v>
      </c>
      <c r="L59">
        <v>33</v>
      </c>
      <c r="M59">
        <v>37</v>
      </c>
      <c r="N59">
        <v>41</v>
      </c>
      <c r="O59">
        <v>23</v>
      </c>
      <c r="P59">
        <v>15</v>
      </c>
      <c r="Q59">
        <v>30</v>
      </c>
      <c r="R59">
        <v>28</v>
      </c>
      <c r="S59">
        <v>37</v>
      </c>
      <c r="T59">
        <v>33</v>
      </c>
      <c r="U59">
        <v>21</v>
      </c>
      <c r="V59">
        <v>22</v>
      </c>
      <c r="W59">
        <v>25</v>
      </c>
      <c r="X59">
        <v>13</v>
      </c>
      <c r="Y59">
        <v>37</v>
      </c>
      <c r="Z59">
        <v>38</v>
      </c>
      <c r="AA59">
        <v>28</v>
      </c>
      <c r="AB59">
        <v>18</v>
      </c>
      <c r="AC59">
        <v>39</v>
      </c>
      <c r="AD59">
        <v>46</v>
      </c>
      <c r="AE59">
        <v>39</v>
      </c>
      <c r="AF59">
        <v>69</v>
      </c>
      <c r="AG59">
        <v>62</v>
      </c>
      <c r="AH59" s="89">
        <f t="shared" si="1"/>
        <v>982</v>
      </c>
      <c r="AI59" s="90">
        <f t="shared" si="2"/>
        <v>982</v>
      </c>
    </row>
    <row r="60" spans="1:35" x14ac:dyDescent="0.25">
      <c r="A60" s="88">
        <v>56</v>
      </c>
      <c r="B60" s="1" t="s">
        <v>69</v>
      </c>
      <c r="C60">
        <v>71</v>
      </c>
      <c r="D60">
        <v>99</v>
      </c>
      <c r="E60">
        <v>113</v>
      </c>
      <c r="F60">
        <v>92</v>
      </c>
      <c r="G60">
        <v>27</v>
      </c>
      <c r="H60">
        <v>28</v>
      </c>
      <c r="I60">
        <v>38</v>
      </c>
      <c r="J60">
        <v>26</v>
      </c>
      <c r="K60">
        <v>45</v>
      </c>
      <c r="L60">
        <v>38</v>
      </c>
      <c r="M60">
        <v>30</v>
      </c>
      <c r="N60">
        <v>25</v>
      </c>
      <c r="O60">
        <v>19</v>
      </c>
      <c r="P60">
        <v>22</v>
      </c>
      <c r="Q60">
        <v>19</v>
      </c>
      <c r="R60">
        <v>27</v>
      </c>
      <c r="S60">
        <v>26</v>
      </c>
      <c r="T60">
        <v>25</v>
      </c>
      <c r="U60">
        <v>9</v>
      </c>
      <c r="V60">
        <v>18</v>
      </c>
      <c r="W60">
        <v>17</v>
      </c>
      <c r="X60">
        <v>20</v>
      </c>
      <c r="Y60">
        <v>22</v>
      </c>
      <c r="Z60">
        <v>32</v>
      </c>
      <c r="AA60">
        <v>36</v>
      </c>
      <c r="AB60">
        <v>22</v>
      </c>
      <c r="AC60">
        <v>41</v>
      </c>
      <c r="AD60">
        <v>31</v>
      </c>
      <c r="AE60">
        <v>37</v>
      </c>
      <c r="AF60">
        <v>55</v>
      </c>
      <c r="AG60">
        <v>45</v>
      </c>
      <c r="AH60" s="89">
        <f t="shared" si="1"/>
        <v>946</v>
      </c>
      <c r="AI60" s="90">
        <f t="shared" si="2"/>
        <v>946</v>
      </c>
    </row>
    <row r="61" spans="1:35" x14ac:dyDescent="0.25">
      <c r="A61" s="88">
        <v>57</v>
      </c>
      <c r="B61" s="1" t="s">
        <v>70</v>
      </c>
      <c r="C61">
        <v>72</v>
      </c>
      <c r="D61">
        <v>70</v>
      </c>
      <c r="E61">
        <v>101</v>
      </c>
      <c r="F61">
        <v>66</v>
      </c>
      <c r="G61">
        <v>20</v>
      </c>
      <c r="H61">
        <v>20</v>
      </c>
      <c r="I61">
        <v>20</v>
      </c>
      <c r="J61">
        <v>26</v>
      </c>
      <c r="K61">
        <v>17</v>
      </c>
      <c r="L61">
        <v>22</v>
      </c>
      <c r="M61">
        <v>33</v>
      </c>
      <c r="N61">
        <v>20</v>
      </c>
      <c r="O61">
        <v>12</v>
      </c>
      <c r="P61">
        <v>6</v>
      </c>
      <c r="Q61">
        <v>15</v>
      </c>
      <c r="R61">
        <v>20</v>
      </c>
      <c r="S61">
        <v>21</v>
      </c>
      <c r="T61">
        <v>13</v>
      </c>
      <c r="U61">
        <v>14</v>
      </c>
      <c r="V61">
        <v>4</v>
      </c>
      <c r="W61">
        <v>14</v>
      </c>
      <c r="X61">
        <v>8</v>
      </c>
      <c r="Y61">
        <v>15</v>
      </c>
      <c r="Z61">
        <v>16</v>
      </c>
      <c r="AA61">
        <v>14</v>
      </c>
      <c r="AB61">
        <v>22</v>
      </c>
      <c r="AC61">
        <v>36</v>
      </c>
      <c r="AD61">
        <v>27</v>
      </c>
      <c r="AE61">
        <v>55</v>
      </c>
      <c r="AF61">
        <v>51</v>
      </c>
      <c r="AG61">
        <v>48</v>
      </c>
      <c r="AH61" s="89">
        <f t="shared" si="1"/>
        <v>681</v>
      </c>
      <c r="AI61" s="90">
        <f t="shared" si="2"/>
        <v>681</v>
      </c>
    </row>
    <row r="62" spans="1:35" x14ac:dyDescent="0.25">
      <c r="A62" s="88">
        <v>58</v>
      </c>
      <c r="B62" s="1" t="s">
        <v>72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24</v>
      </c>
      <c r="M62">
        <v>13</v>
      </c>
      <c r="N62">
        <v>11</v>
      </c>
      <c r="O62">
        <v>3</v>
      </c>
      <c r="P62">
        <v>7</v>
      </c>
      <c r="Q62">
        <v>7</v>
      </c>
      <c r="R62">
        <v>9</v>
      </c>
      <c r="S62">
        <v>13</v>
      </c>
      <c r="T62">
        <v>11</v>
      </c>
      <c r="U62">
        <v>12</v>
      </c>
      <c r="V62">
        <v>6</v>
      </c>
      <c r="W62">
        <v>6</v>
      </c>
      <c r="X62">
        <v>7</v>
      </c>
      <c r="Y62">
        <v>14</v>
      </c>
      <c r="Z62">
        <v>10</v>
      </c>
      <c r="AA62">
        <v>16</v>
      </c>
      <c r="AB62">
        <v>10</v>
      </c>
      <c r="AC62">
        <v>11</v>
      </c>
      <c r="AD62">
        <v>11</v>
      </c>
      <c r="AE62">
        <v>17</v>
      </c>
      <c r="AF62">
        <v>28</v>
      </c>
      <c r="AG62">
        <v>21</v>
      </c>
      <c r="AH62" s="89">
        <f t="shared" si="1"/>
        <v>179</v>
      </c>
      <c r="AI62" s="90">
        <f t="shared" si="2"/>
        <v>179</v>
      </c>
    </row>
    <row r="63" spans="1:35" x14ac:dyDescent="0.25">
      <c r="A63" s="88">
        <v>59</v>
      </c>
      <c r="B63" s="1" t="s">
        <v>73</v>
      </c>
      <c r="C63">
        <v>51</v>
      </c>
      <c r="D63">
        <v>88</v>
      </c>
      <c r="E63">
        <v>112</v>
      </c>
      <c r="F63">
        <v>74</v>
      </c>
      <c r="G63">
        <v>27</v>
      </c>
      <c r="H63">
        <v>23</v>
      </c>
      <c r="I63">
        <v>14</v>
      </c>
      <c r="J63">
        <v>13</v>
      </c>
      <c r="K63">
        <v>31</v>
      </c>
      <c r="L63">
        <v>49</v>
      </c>
      <c r="M63">
        <v>37</v>
      </c>
      <c r="N63">
        <v>17</v>
      </c>
      <c r="O63">
        <v>15</v>
      </c>
      <c r="P63">
        <v>9</v>
      </c>
      <c r="Q63">
        <v>25</v>
      </c>
      <c r="R63">
        <v>18</v>
      </c>
      <c r="S63">
        <v>34</v>
      </c>
      <c r="T63">
        <v>14</v>
      </c>
      <c r="U63">
        <v>12</v>
      </c>
      <c r="V63">
        <v>15</v>
      </c>
      <c r="W63">
        <v>17</v>
      </c>
      <c r="X63">
        <v>14</v>
      </c>
      <c r="Y63">
        <v>33</v>
      </c>
      <c r="Z63">
        <v>20</v>
      </c>
      <c r="AA63">
        <v>21</v>
      </c>
      <c r="AB63">
        <v>9</v>
      </c>
      <c r="AC63">
        <v>25</v>
      </c>
      <c r="AD63">
        <v>31</v>
      </c>
      <c r="AE63">
        <v>31</v>
      </c>
      <c r="AF63">
        <v>47</v>
      </c>
      <c r="AG63">
        <v>50</v>
      </c>
      <c r="AH63" s="89">
        <f t="shared" si="1"/>
        <v>792</v>
      </c>
      <c r="AI63" s="90">
        <f t="shared" si="2"/>
        <v>792</v>
      </c>
    </row>
    <row r="64" spans="1:35" x14ac:dyDescent="0.25">
      <c r="A64" s="88">
        <v>60</v>
      </c>
      <c r="B64" s="1" t="s">
        <v>77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17</v>
      </c>
      <c r="Z64">
        <v>20</v>
      </c>
      <c r="AA64">
        <v>22</v>
      </c>
      <c r="AB64">
        <v>14</v>
      </c>
      <c r="AC64">
        <v>32</v>
      </c>
      <c r="AD64">
        <v>40</v>
      </c>
      <c r="AE64">
        <v>29</v>
      </c>
      <c r="AF64">
        <v>47</v>
      </c>
      <c r="AG64">
        <v>52</v>
      </c>
      <c r="AH64" s="89">
        <f t="shared" si="1"/>
        <v>73</v>
      </c>
      <c r="AI64" s="90">
        <f t="shared" si="2"/>
        <v>73</v>
      </c>
    </row>
    <row r="65" spans="1:35" x14ac:dyDescent="0.25">
      <c r="A65" s="88">
        <v>61</v>
      </c>
      <c r="B65" s="1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19</v>
      </c>
      <c r="R65">
        <v>26</v>
      </c>
      <c r="S65">
        <v>34</v>
      </c>
      <c r="T65">
        <v>31</v>
      </c>
      <c r="U65">
        <v>22</v>
      </c>
      <c r="V65">
        <v>24</v>
      </c>
      <c r="W65">
        <v>18</v>
      </c>
      <c r="X65">
        <v>21</v>
      </c>
      <c r="Y65">
        <v>26</v>
      </c>
      <c r="Z65">
        <v>31</v>
      </c>
      <c r="AA65">
        <v>31</v>
      </c>
      <c r="AB65">
        <v>35</v>
      </c>
      <c r="AC65">
        <v>67</v>
      </c>
      <c r="AD65">
        <v>67</v>
      </c>
      <c r="AE65">
        <v>72</v>
      </c>
      <c r="AF65">
        <v>98</v>
      </c>
      <c r="AG65">
        <v>64</v>
      </c>
      <c r="AH65" s="89">
        <f t="shared" si="1"/>
        <v>318</v>
      </c>
      <c r="AI65" s="90">
        <f t="shared" si="2"/>
        <v>318</v>
      </c>
    </row>
    <row r="66" spans="1:35" x14ac:dyDescent="0.25">
      <c r="A66" s="88">
        <v>62</v>
      </c>
      <c r="B66" s="1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101</v>
      </c>
      <c r="AF66">
        <v>148</v>
      </c>
      <c r="AG66">
        <v>142</v>
      </c>
      <c r="AH66" s="89">
        <f t="shared" si="1"/>
        <v>0</v>
      </c>
      <c r="AI66" s="90">
        <f t="shared" si="2"/>
        <v>0</v>
      </c>
    </row>
    <row r="67" spans="1:35" x14ac:dyDescent="0.25">
      <c r="A67" s="88">
        <v>63</v>
      </c>
      <c r="B67" s="1" t="s">
        <v>86</v>
      </c>
      <c r="C67">
        <v>36</v>
      </c>
      <c r="D67">
        <v>45</v>
      </c>
      <c r="E67">
        <v>76</v>
      </c>
      <c r="F67">
        <v>32</v>
      </c>
      <c r="G67">
        <v>30</v>
      </c>
      <c r="H67">
        <v>15</v>
      </c>
      <c r="I67">
        <v>22</v>
      </c>
      <c r="J67">
        <v>18</v>
      </c>
      <c r="K67">
        <v>31</v>
      </c>
      <c r="L67">
        <v>41</v>
      </c>
      <c r="M67">
        <v>28</v>
      </c>
      <c r="N67">
        <v>21</v>
      </c>
      <c r="O67">
        <v>17</v>
      </c>
      <c r="P67">
        <v>18</v>
      </c>
      <c r="Q67">
        <v>25</v>
      </c>
      <c r="R67">
        <v>18</v>
      </c>
      <c r="S67">
        <v>36</v>
      </c>
      <c r="T67">
        <v>22</v>
      </c>
      <c r="U67">
        <v>18</v>
      </c>
      <c r="V67">
        <v>25</v>
      </c>
      <c r="W67">
        <v>26</v>
      </c>
      <c r="X67">
        <v>32</v>
      </c>
      <c r="Y67">
        <v>23</v>
      </c>
      <c r="Z67">
        <v>27</v>
      </c>
      <c r="AA67">
        <v>24</v>
      </c>
      <c r="AB67">
        <v>20</v>
      </c>
      <c r="AC67">
        <v>38</v>
      </c>
      <c r="AD67">
        <v>18</v>
      </c>
      <c r="AE67">
        <v>26</v>
      </c>
      <c r="AF67">
        <v>22</v>
      </c>
      <c r="AG67">
        <v>35</v>
      </c>
      <c r="AH67" s="89">
        <f t="shared" si="1"/>
        <v>726</v>
      </c>
      <c r="AI67" s="90">
        <f t="shared" si="2"/>
        <v>726</v>
      </c>
    </row>
    <row r="68" spans="1:35" x14ac:dyDescent="0.25">
      <c r="A68" s="88">
        <v>64</v>
      </c>
      <c r="B68" s="1" t="s">
        <v>87</v>
      </c>
      <c r="C68">
        <v>0</v>
      </c>
      <c r="D68">
        <v>0</v>
      </c>
      <c r="E68">
        <v>0</v>
      </c>
      <c r="F68">
        <v>0</v>
      </c>
      <c r="G68">
        <v>24</v>
      </c>
      <c r="H68">
        <v>36</v>
      </c>
      <c r="I68">
        <v>26</v>
      </c>
      <c r="J68">
        <v>37</v>
      </c>
      <c r="K68">
        <v>27</v>
      </c>
      <c r="L68">
        <v>28</v>
      </c>
      <c r="M68">
        <v>31</v>
      </c>
      <c r="N68">
        <v>34</v>
      </c>
      <c r="O68">
        <v>14</v>
      </c>
      <c r="P68">
        <v>17</v>
      </c>
      <c r="Q68">
        <v>21</v>
      </c>
      <c r="R68">
        <v>27</v>
      </c>
      <c r="S68">
        <v>26</v>
      </c>
      <c r="T68">
        <v>23</v>
      </c>
      <c r="U68">
        <v>21</v>
      </c>
      <c r="V68">
        <v>13</v>
      </c>
      <c r="W68">
        <v>11</v>
      </c>
      <c r="X68">
        <v>29</v>
      </c>
      <c r="Y68">
        <v>29</v>
      </c>
      <c r="Z68">
        <v>31</v>
      </c>
      <c r="AA68">
        <v>22</v>
      </c>
      <c r="AB68">
        <v>19</v>
      </c>
      <c r="AC68">
        <v>50</v>
      </c>
      <c r="AD68">
        <v>42</v>
      </c>
      <c r="AE68">
        <v>48</v>
      </c>
      <c r="AF68">
        <v>56</v>
      </c>
      <c r="AG68">
        <v>49</v>
      </c>
      <c r="AH68" s="89">
        <f t="shared" si="1"/>
        <v>546</v>
      </c>
      <c r="AI68" s="90">
        <f t="shared" si="2"/>
        <v>546</v>
      </c>
    </row>
    <row r="69" spans="1:35" x14ac:dyDescent="0.25">
      <c r="A69" s="88">
        <v>65</v>
      </c>
      <c r="B69" s="1" t="s">
        <v>241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77</v>
      </c>
      <c r="M69">
        <v>222</v>
      </c>
      <c r="N69">
        <v>165</v>
      </c>
      <c r="O69">
        <v>157</v>
      </c>
      <c r="P69">
        <v>174</v>
      </c>
      <c r="Q69">
        <v>137</v>
      </c>
      <c r="R69">
        <v>180</v>
      </c>
      <c r="S69">
        <v>160</v>
      </c>
      <c r="T69">
        <v>179</v>
      </c>
      <c r="U69">
        <v>73</v>
      </c>
      <c r="V69">
        <v>86</v>
      </c>
      <c r="W69">
        <v>77</v>
      </c>
      <c r="X69">
        <v>74</v>
      </c>
      <c r="Y69">
        <v>98</v>
      </c>
      <c r="Z69">
        <v>238</v>
      </c>
      <c r="AA69">
        <v>227</v>
      </c>
      <c r="AB69">
        <v>130</v>
      </c>
      <c r="AC69">
        <v>131</v>
      </c>
      <c r="AD69">
        <v>146</v>
      </c>
      <c r="AE69">
        <v>177</v>
      </c>
      <c r="AF69">
        <v>207</v>
      </c>
      <c r="AG69">
        <v>250</v>
      </c>
      <c r="AH69" s="89">
        <f t="shared" si="1"/>
        <v>2454</v>
      </c>
      <c r="AI69" s="90">
        <f t="shared" si="2"/>
        <v>2454</v>
      </c>
    </row>
    <row r="70" spans="1:35" x14ac:dyDescent="0.25">
      <c r="A70" s="88">
        <v>66</v>
      </c>
      <c r="B70" s="1" t="s">
        <v>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14</v>
      </c>
      <c r="AE70">
        <v>15</v>
      </c>
      <c r="AF70">
        <v>35</v>
      </c>
      <c r="AG70">
        <v>36</v>
      </c>
      <c r="AH70" s="89">
        <f t="shared" ref="AH70:AH71" si="3">SUM(C70:AB70)</f>
        <v>0</v>
      </c>
      <c r="AI70" s="90">
        <f t="shared" ref="AI70:AI71" si="4">SUM(C70:AB70)</f>
        <v>0</v>
      </c>
    </row>
    <row r="71" spans="1:35" x14ac:dyDescent="0.25">
      <c r="A71" s="88">
        <v>67</v>
      </c>
      <c r="B71" s="1" t="s">
        <v>93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11</v>
      </c>
      <c r="X71">
        <v>7</v>
      </c>
      <c r="Y71">
        <v>22</v>
      </c>
      <c r="Z71">
        <v>25</v>
      </c>
      <c r="AA71">
        <v>17</v>
      </c>
      <c r="AB71">
        <v>12</v>
      </c>
      <c r="AC71">
        <v>32</v>
      </c>
      <c r="AD71">
        <v>33</v>
      </c>
      <c r="AE71">
        <v>32</v>
      </c>
      <c r="AF71">
        <v>42</v>
      </c>
      <c r="AG71">
        <v>39</v>
      </c>
      <c r="AH71" s="89">
        <f t="shared" si="3"/>
        <v>94</v>
      </c>
      <c r="AI71" s="90">
        <f t="shared" si="4"/>
        <v>94</v>
      </c>
    </row>
  </sheetData>
  <conditionalFormatting sqref="B1:B1048576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6696-28B5-402F-974C-8C95A15A28A6}">
  <dimension ref="A1:AS12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0" sqref="B10:B20"/>
    </sheetView>
  </sheetViews>
  <sheetFormatPr defaultColWidth="9" defaultRowHeight="15" x14ac:dyDescent="0.25"/>
  <cols>
    <col min="1" max="1" width="22.28515625" style="4" bestFit="1" customWidth="1"/>
    <col min="2" max="2" width="21.28515625" style="4" bestFit="1" customWidth="1"/>
    <col min="3" max="3" width="25.140625" style="4" bestFit="1" customWidth="1"/>
    <col min="4" max="4" width="15.42578125" style="4" bestFit="1" customWidth="1"/>
    <col min="5" max="5" width="22.42578125" style="4" bestFit="1" customWidth="1"/>
    <col min="6" max="6" width="20.140625" style="4" bestFit="1" customWidth="1"/>
    <col min="7" max="7" width="19.140625" style="104" bestFit="1" customWidth="1"/>
    <col min="8" max="8" width="20.85546875" style="4" bestFit="1" customWidth="1"/>
    <col min="9" max="9" width="12.42578125" style="4" bestFit="1" customWidth="1"/>
    <col min="10" max="10" width="22.140625" style="4" bestFit="1" customWidth="1"/>
    <col min="11" max="11" width="10.28515625" style="4" bestFit="1" customWidth="1"/>
    <col min="12" max="13" width="10.140625" style="4" bestFit="1" customWidth="1"/>
    <col min="14" max="14" width="8.7109375" style="4" bestFit="1" customWidth="1"/>
    <col min="15" max="15" width="9" style="4" bestFit="1" customWidth="1"/>
    <col min="16" max="16" width="9.5703125" style="4" bestFit="1" customWidth="1"/>
    <col min="17" max="17" width="12.42578125" style="4" bestFit="1" customWidth="1"/>
    <col min="18" max="18" width="10.28515625" style="4" bestFit="1" customWidth="1"/>
    <col min="19" max="19" width="8.5703125" style="4" bestFit="1" customWidth="1"/>
    <col min="20" max="20" width="10.140625" style="4" bestFit="1" customWidth="1"/>
    <col min="21" max="21" width="8.7109375" style="4" bestFit="1" customWidth="1"/>
    <col min="22" max="22" width="9" style="4" bestFit="1" customWidth="1"/>
    <col min="23" max="23" width="9.5703125" style="4" bestFit="1" customWidth="1"/>
    <col min="24" max="24" width="12.42578125" style="4" bestFit="1" customWidth="1"/>
    <col min="25" max="25" width="10.28515625" style="4" bestFit="1" customWidth="1"/>
    <col min="26" max="26" width="10.140625" style="4" bestFit="1" customWidth="1"/>
    <col min="27" max="27" width="9.85546875" style="4" bestFit="1" customWidth="1"/>
    <col min="28" max="28" width="8.7109375" style="4" bestFit="1" customWidth="1"/>
    <col min="29" max="29" width="9" style="4" bestFit="1" customWidth="1"/>
    <col min="30" max="30" width="9.5703125" style="4" bestFit="1" customWidth="1"/>
    <col min="31" max="31" width="12.42578125" style="4" bestFit="1" customWidth="1"/>
    <col min="32" max="32" width="10.28515625" style="4" bestFit="1" customWidth="1"/>
    <col min="33" max="33" width="8.5703125" style="4" bestFit="1" customWidth="1"/>
    <col min="34" max="34" width="9.85546875" style="4" bestFit="1" customWidth="1"/>
    <col min="35" max="35" width="8.7109375" style="4" bestFit="1" customWidth="1"/>
    <col min="36" max="41" width="10.28515625" style="4" customWidth="1"/>
    <col min="42" max="42" width="19.5703125" style="4" bestFit="1" customWidth="1"/>
    <col min="43" max="43" width="16.42578125" style="4" bestFit="1" customWidth="1"/>
    <col min="44" max="44" width="9" style="4"/>
    <col min="45" max="45" width="4.140625" style="4" bestFit="1" customWidth="1"/>
    <col min="46" max="16384" width="9" style="4"/>
  </cols>
  <sheetData>
    <row r="1" spans="1:43" ht="15.75" thickBot="1" x14ac:dyDescent="0.3">
      <c r="A1" s="93" t="s">
        <v>242</v>
      </c>
      <c r="B1" s="94"/>
      <c r="C1" s="95"/>
      <c r="D1" s="95"/>
      <c r="E1" s="3">
        <f>G1*H1</f>
        <v>0</v>
      </c>
      <c r="F1" s="3"/>
      <c r="G1" s="96">
        <v>0</v>
      </c>
      <c r="H1" s="3">
        <f>J1/29</f>
        <v>0</v>
      </c>
      <c r="I1" s="3"/>
      <c r="J1" s="3"/>
      <c r="K1" s="97" t="s">
        <v>243</v>
      </c>
      <c r="L1" s="97" t="s">
        <v>244</v>
      </c>
      <c r="M1" s="98" t="s">
        <v>245</v>
      </c>
      <c r="N1" s="98" t="s">
        <v>246</v>
      </c>
      <c r="O1" s="98" t="s">
        <v>247</v>
      </c>
      <c r="P1" s="97" t="s">
        <v>248</v>
      </c>
      <c r="Q1" s="97" t="s">
        <v>249</v>
      </c>
      <c r="R1" s="97" t="s">
        <v>243</v>
      </c>
      <c r="S1" s="97" t="s">
        <v>244</v>
      </c>
      <c r="T1" s="98" t="s">
        <v>245</v>
      </c>
      <c r="U1" s="98" t="s">
        <v>246</v>
      </c>
      <c r="V1" s="98" t="s">
        <v>247</v>
      </c>
      <c r="W1" s="97" t="s">
        <v>248</v>
      </c>
      <c r="X1" s="97" t="s">
        <v>249</v>
      </c>
      <c r="Y1" s="97" t="s">
        <v>243</v>
      </c>
      <c r="Z1" s="97" t="s">
        <v>244</v>
      </c>
      <c r="AA1" s="98" t="s">
        <v>245</v>
      </c>
      <c r="AB1" s="98" t="s">
        <v>246</v>
      </c>
      <c r="AC1" s="98" t="s">
        <v>247</v>
      </c>
      <c r="AD1" s="97" t="s">
        <v>248</v>
      </c>
      <c r="AE1" s="97" t="s">
        <v>249</v>
      </c>
      <c r="AF1" s="97" t="s">
        <v>243</v>
      </c>
      <c r="AG1" s="97" t="s">
        <v>244</v>
      </c>
      <c r="AH1" s="98" t="s">
        <v>245</v>
      </c>
      <c r="AI1" s="98" t="s">
        <v>246</v>
      </c>
      <c r="AJ1" s="98" t="s">
        <v>247</v>
      </c>
      <c r="AK1" s="97" t="s">
        <v>248</v>
      </c>
      <c r="AL1" s="97" t="s">
        <v>249</v>
      </c>
      <c r="AM1" s="97" t="s">
        <v>243</v>
      </c>
      <c r="AN1" s="97" t="s">
        <v>244</v>
      </c>
      <c r="AO1" s="97" t="s">
        <v>245</v>
      </c>
      <c r="AP1" s="4">
        <f>34*12</f>
        <v>408</v>
      </c>
    </row>
    <row r="2" spans="1:43" ht="15.75" thickBot="1" x14ac:dyDescent="0.3">
      <c r="D2" s="99"/>
      <c r="E2" s="3">
        <f>E1+J1</f>
        <v>0</v>
      </c>
      <c r="F2" s="3"/>
      <c r="G2" s="100">
        <f>E2/J3</f>
        <v>0</v>
      </c>
      <c r="H2" s="101">
        <f>J1/J3</f>
        <v>0</v>
      </c>
      <c r="I2" s="101"/>
      <c r="K2" s="102">
        <v>46296</v>
      </c>
      <c r="L2" s="102">
        <v>46297</v>
      </c>
      <c r="M2" s="103">
        <v>46298</v>
      </c>
      <c r="N2" s="103">
        <v>46299</v>
      </c>
      <c r="O2" s="103">
        <v>46300</v>
      </c>
      <c r="P2" s="102">
        <v>46301</v>
      </c>
      <c r="Q2" s="102">
        <v>46302</v>
      </c>
      <c r="R2" s="102">
        <v>46303</v>
      </c>
      <c r="S2" s="102">
        <v>46304</v>
      </c>
      <c r="T2" s="103">
        <v>46305</v>
      </c>
      <c r="U2" s="103">
        <v>46306</v>
      </c>
      <c r="V2" s="103">
        <v>46307</v>
      </c>
      <c r="W2" s="102">
        <v>46308</v>
      </c>
      <c r="X2" s="102">
        <v>46309</v>
      </c>
      <c r="Y2" s="102">
        <v>46310</v>
      </c>
      <c r="Z2" s="102">
        <v>46311</v>
      </c>
      <c r="AA2" s="103">
        <v>46312</v>
      </c>
      <c r="AB2" s="103">
        <v>46313</v>
      </c>
      <c r="AC2" s="103">
        <v>46314</v>
      </c>
      <c r="AD2" s="102">
        <v>46315</v>
      </c>
      <c r="AE2" s="102">
        <v>46316</v>
      </c>
      <c r="AF2" s="102">
        <v>46317</v>
      </c>
      <c r="AG2" s="102">
        <v>46318</v>
      </c>
      <c r="AH2" s="103">
        <v>46319</v>
      </c>
      <c r="AI2" s="103">
        <v>46320</v>
      </c>
      <c r="AJ2" s="103">
        <v>46321</v>
      </c>
      <c r="AK2" s="102">
        <v>46322</v>
      </c>
      <c r="AL2" s="102">
        <v>46323</v>
      </c>
      <c r="AM2" s="102">
        <v>46324</v>
      </c>
      <c r="AN2" s="102">
        <v>46325</v>
      </c>
      <c r="AO2" s="102">
        <v>46326</v>
      </c>
    </row>
    <row r="3" spans="1:43" ht="15.75" thickBot="1" x14ac:dyDescent="0.3">
      <c r="H3" s="3"/>
      <c r="I3" s="3"/>
      <c r="J3" s="3">
        <f t="shared" ref="J3:AQ3" si="0">SUBTOTAL(9,J5:J120)</f>
        <v>30795291.540442098</v>
      </c>
      <c r="K3" s="105">
        <f t="shared" si="0"/>
        <v>1560079.5881593467</v>
      </c>
      <c r="L3" s="106">
        <f t="shared" si="0"/>
        <v>1952500.0410830185</v>
      </c>
      <c r="M3" s="107">
        <f t="shared" si="0"/>
        <v>1786284.391941366</v>
      </c>
      <c r="N3" s="107">
        <f t="shared" si="0"/>
        <v>873380.77060126036</v>
      </c>
      <c r="O3" s="107">
        <f t="shared" si="0"/>
        <v>776593.61110291118</v>
      </c>
      <c r="P3" s="108">
        <f t="shared" si="0"/>
        <v>727988.69129634718</v>
      </c>
      <c r="Q3" s="108">
        <f t="shared" si="0"/>
        <v>734958.97288064868</v>
      </c>
      <c r="R3" s="105">
        <f t="shared" si="0"/>
        <v>921790.0023689958</v>
      </c>
      <c r="S3" s="106">
        <f t="shared" si="0"/>
        <v>923858.74621326313</v>
      </c>
      <c r="T3" s="107">
        <f t="shared" si="0"/>
        <v>1135721.7416598303</v>
      </c>
      <c r="U3" s="107">
        <f t="shared" si="0"/>
        <v>744104.60779508715</v>
      </c>
      <c r="V3" s="107">
        <f t="shared" si="0"/>
        <v>642315.38914315274</v>
      </c>
      <c r="W3" s="108">
        <f t="shared" si="0"/>
        <v>653215.57921184006</v>
      </c>
      <c r="X3" s="108">
        <f t="shared" si="0"/>
        <v>706980.27137243934</v>
      </c>
      <c r="Y3" s="105">
        <f t="shared" si="0"/>
        <v>787348.25336185005</v>
      </c>
      <c r="Z3" s="106">
        <f t="shared" si="0"/>
        <v>1006036.3747655945</v>
      </c>
      <c r="AA3" s="107">
        <f t="shared" si="0"/>
        <v>835826.29352036398</v>
      </c>
      <c r="AB3" s="107">
        <f t="shared" si="0"/>
        <v>579515.55876598007</v>
      </c>
      <c r="AC3" s="107">
        <f t="shared" si="0"/>
        <v>538733.90934700391</v>
      </c>
      <c r="AD3" s="108">
        <f t="shared" si="0"/>
        <v>532381.74387092155</v>
      </c>
      <c r="AE3" s="108">
        <f t="shared" si="0"/>
        <v>595922.55408119131</v>
      </c>
      <c r="AF3" s="105">
        <f t="shared" si="0"/>
        <v>825845.19535858231</v>
      </c>
      <c r="AG3" s="106">
        <f t="shared" si="0"/>
        <v>996680.8700585271</v>
      </c>
      <c r="AH3" s="107">
        <f t="shared" si="0"/>
        <v>968806.34731046937</v>
      </c>
      <c r="AI3" s="107">
        <f t="shared" si="0"/>
        <v>704529.43243380403</v>
      </c>
      <c r="AJ3" s="107">
        <f t="shared" si="0"/>
        <v>1083182.4941730869</v>
      </c>
      <c r="AK3" s="108">
        <f t="shared" si="0"/>
        <v>1114337.6060783418</v>
      </c>
      <c r="AL3" s="108">
        <f t="shared" si="0"/>
        <v>1332205.3365489109</v>
      </c>
      <c r="AM3" s="105">
        <f t="shared" si="0"/>
        <v>1556829.2612516708</v>
      </c>
      <c r="AN3" s="109">
        <f t="shared" si="0"/>
        <v>1633231.1746451063</v>
      </c>
      <c r="AO3" s="109">
        <f t="shared" si="0"/>
        <v>1564106.7300411924</v>
      </c>
      <c r="AP3" s="3">
        <f t="shared" si="0"/>
        <v>22785912.451121617</v>
      </c>
      <c r="AQ3" s="110">
        <f t="shared" si="0"/>
        <v>29795291.540442102</v>
      </c>
    </row>
    <row r="4" spans="1:43" s="104" customFormat="1" ht="15.75" thickBot="1" x14ac:dyDescent="0.3">
      <c r="A4" s="111" t="s">
        <v>250</v>
      </c>
      <c r="B4" s="112" t="s">
        <v>251</v>
      </c>
      <c r="C4" s="112" t="s">
        <v>252</v>
      </c>
      <c r="D4" s="112" t="s">
        <v>135</v>
      </c>
      <c r="E4" s="112" t="s">
        <v>253</v>
      </c>
      <c r="F4" s="112" t="s">
        <v>254</v>
      </c>
      <c r="G4" s="112" t="s">
        <v>255</v>
      </c>
      <c r="H4" s="112" t="s">
        <v>256</v>
      </c>
      <c r="I4" s="112" t="s">
        <v>518</v>
      </c>
      <c r="J4" s="112" t="s">
        <v>257</v>
      </c>
      <c r="K4" s="113">
        <v>5.0659679130186576E-2</v>
      </c>
      <c r="L4" s="114">
        <v>6.3402550955521442E-2</v>
      </c>
      <c r="M4" s="115">
        <v>5.8005113853054992E-2</v>
      </c>
      <c r="N4" s="115">
        <v>2.8360854108307031E-2</v>
      </c>
      <c r="O4" s="116">
        <v>2.5217933400079842E-2</v>
      </c>
      <c r="P4" s="113">
        <v>2.3639610306670143E-2</v>
      </c>
      <c r="Q4" s="114">
        <v>2.3865952751752968E-2</v>
      </c>
      <c r="R4" s="114">
        <v>2.9932822722540227E-2</v>
      </c>
      <c r="S4" s="114">
        <v>0.03</v>
      </c>
      <c r="T4" s="115">
        <v>3.687972040038448E-2</v>
      </c>
      <c r="U4" s="115">
        <v>2.416293435046352E-2</v>
      </c>
      <c r="V4" s="116">
        <v>2.0857584293353035E-2</v>
      </c>
      <c r="W4" s="113">
        <v>2.1211540678353409E-2</v>
      </c>
      <c r="X4" s="114">
        <v>2.2957414462012597E-2</v>
      </c>
      <c r="Y4" s="114">
        <v>2.5567163484322288E-2</v>
      </c>
      <c r="Z4" s="114">
        <v>3.2668512764180549E-2</v>
      </c>
      <c r="AA4" s="115">
        <v>2.7141366478791427E-2</v>
      </c>
      <c r="AB4" s="115">
        <v>1.8818317014629583E-2</v>
      </c>
      <c r="AC4" s="116">
        <v>1.7494035042321599E-2</v>
      </c>
      <c r="AD4" s="113">
        <v>1.7287764370464503E-2</v>
      </c>
      <c r="AE4" s="114">
        <v>1.9351093114302623E-2</v>
      </c>
      <c r="AF4" s="114">
        <v>2.6817255302617807E-2</v>
      </c>
      <c r="AG4" s="114">
        <v>3.2364716169341327E-2</v>
      </c>
      <c r="AH4" s="115">
        <v>3.145956082403633E-2</v>
      </c>
      <c r="AI4" s="115">
        <v>2.2877829602898119E-2</v>
      </c>
      <c r="AJ4" s="116">
        <v>3.517363986473683E-2</v>
      </c>
      <c r="AK4" s="113">
        <v>3.6185324130311634E-2</v>
      </c>
      <c r="AL4" s="114">
        <v>4.326003326837756E-2</v>
      </c>
      <c r="AM4" s="114">
        <v>5.0554132900711625E-2</v>
      </c>
      <c r="AN4" s="114">
        <v>5.3035093774002978E-2</v>
      </c>
      <c r="AO4" s="114">
        <v>5.0790450481273064E-2</v>
      </c>
      <c r="AP4" s="96" t="s">
        <v>258</v>
      </c>
      <c r="AQ4" s="117" t="s">
        <v>259</v>
      </c>
    </row>
    <row r="5" spans="1:43" x14ac:dyDescent="0.25">
      <c r="A5" s="118">
        <v>63</v>
      </c>
      <c r="B5" s="4" t="s">
        <v>96</v>
      </c>
      <c r="C5" s="4" t="s">
        <v>326</v>
      </c>
      <c r="D5" s="4" t="s">
        <v>139</v>
      </c>
      <c r="E5" s="4" t="s">
        <v>296</v>
      </c>
      <c r="F5" s="4" t="s">
        <v>130</v>
      </c>
      <c r="G5" s="119">
        <v>46010</v>
      </c>
      <c r="H5" s="4">
        <v>11</v>
      </c>
      <c r="I5" s="4" t="s">
        <v>519</v>
      </c>
      <c r="J5" s="120">
        <v>930000</v>
      </c>
      <c r="K5" s="121">
        <f t="shared" ref="K5:T14" si="1">$J5*K$4</f>
        <v>47113.501591073516</v>
      </c>
      <c r="L5" s="122">
        <f t="shared" si="1"/>
        <v>58964.37238863494</v>
      </c>
      <c r="M5" s="123">
        <f t="shared" si="1"/>
        <v>53944.755883341146</v>
      </c>
      <c r="N5" s="123">
        <f t="shared" si="1"/>
        <v>26375.59432072554</v>
      </c>
      <c r="O5" s="123">
        <f t="shared" si="1"/>
        <v>23452.678062074254</v>
      </c>
      <c r="P5" s="124">
        <f t="shared" si="1"/>
        <v>21984.837585203233</v>
      </c>
      <c r="Q5" s="122">
        <f t="shared" si="1"/>
        <v>22195.336059130259</v>
      </c>
      <c r="R5" s="125">
        <f t="shared" si="1"/>
        <v>27837.525131962411</v>
      </c>
      <c r="S5" s="122">
        <f t="shared" si="1"/>
        <v>27900</v>
      </c>
      <c r="T5" s="123">
        <f t="shared" si="1"/>
        <v>34298.139972357567</v>
      </c>
      <c r="U5" s="123">
        <f t="shared" ref="U5:AD14" si="2">$J5*U$4</f>
        <v>22471.528945931073</v>
      </c>
      <c r="V5" s="123">
        <f t="shared" si="2"/>
        <v>19397.553392818321</v>
      </c>
      <c r="W5" s="124">
        <f t="shared" si="2"/>
        <v>19726.73283086867</v>
      </c>
      <c r="X5" s="122">
        <f t="shared" si="2"/>
        <v>21350.395449671716</v>
      </c>
      <c r="Y5" s="125">
        <f t="shared" si="2"/>
        <v>23777.462040419727</v>
      </c>
      <c r="Z5" s="122">
        <f t="shared" si="2"/>
        <v>30381.716870687909</v>
      </c>
      <c r="AA5" s="123">
        <f t="shared" si="2"/>
        <v>25241.470825276028</v>
      </c>
      <c r="AB5" s="123">
        <f t="shared" si="2"/>
        <v>17501.034823605514</v>
      </c>
      <c r="AC5" s="123">
        <f t="shared" si="2"/>
        <v>16269.452589359087</v>
      </c>
      <c r="AD5" s="124">
        <f t="shared" si="2"/>
        <v>16077.620864531988</v>
      </c>
      <c r="AE5" s="122">
        <f t="shared" ref="AE5:AO14" si="3">$J5*AE$4</f>
        <v>17996.516596301441</v>
      </c>
      <c r="AF5" s="125">
        <f t="shared" si="3"/>
        <v>24940.047431434559</v>
      </c>
      <c r="AG5" s="122">
        <f t="shared" si="3"/>
        <v>30099.186037487434</v>
      </c>
      <c r="AH5" s="123">
        <f t="shared" si="3"/>
        <v>29257.391566353788</v>
      </c>
      <c r="AI5" s="123">
        <f t="shared" si="3"/>
        <v>21276.381530695249</v>
      </c>
      <c r="AJ5" s="123">
        <f t="shared" si="3"/>
        <v>32711.485074205251</v>
      </c>
      <c r="AK5" s="124">
        <f t="shared" si="3"/>
        <v>33652.351441189821</v>
      </c>
      <c r="AL5" s="122">
        <f t="shared" si="3"/>
        <v>40231.830939591127</v>
      </c>
      <c r="AM5" s="125">
        <f t="shared" si="3"/>
        <v>47015.343597661813</v>
      </c>
      <c r="AN5" s="125">
        <f t="shared" si="3"/>
        <v>49322.637209822773</v>
      </c>
      <c r="AO5" s="125">
        <f t="shared" si="3"/>
        <v>47235.118947583949</v>
      </c>
      <c r="AP5" s="3">
        <f>SUM(K5:AJ5)</f>
        <v>712542.71786415053</v>
      </c>
      <c r="AQ5" s="110">
        <f t="shared" ref="AQ5:AQ36" si="4">SUM(K5:AO5)</f>
        <v>930000</v>
      </c>
    </row>
    <row r="6" spans="1:43" x14ac:dyDescent="0.25">
      <c r="A6" s="118">
        <v>7</v>
      </c>
      <c r="B6" s="4" t="s">
        <v>54</v>
      </c>
      <c r="C6" s="4" t="s">
        <v>268</v>
      </c>
      <c r="D6" s="4" t="s">
        <v>144</v>
      </c>
      <c r="E6" s="4" t="s">
        <v>266</v>
      </c>
      <c r="F6" s="4" t="s">
        <v>126</v>
      </c>
      <c r="G6" s="119">
        <v>45811</v>
      </c>
      <c r="H6" s="4">
        <v>7</v>
      </c>
      <c r="I6" s="4" t="s">
        <v>519</v>
      </c>
      <c r="J6" s="120">
        <v>863000</v>
      </c>
      <c r="K6" s="121">
        <f t="shared" si="1"/>
        <v>43719.303089351015</v>
      </c>
      <c r="L6" s="122">
        <f t="shared" si="1"/>
        <v>54716.401474615006</v>
      </c>
      <c r="M6" s="123">
        <f t="shared" si="1"/>
        <v>50058.41325518646</v>
      </c>
      <c r="N6" s="123">
        <f t="shared" si="1"/>
        <v>24475.417095468969</v>
      </c>
      <c r="O6" s="123">
        <f t="shared" si="1"/>
        <v>21763.076524268905</v>
      </c>
      <c r="P6" s="124">
        <f t="shared" si="1"/>
        <v>20400.983694656334</v>
      </c>
      <c r="Q6" s="122">
        <f t="shared" si="1"/>
        <v>20596.31722476281</v>
      </c>
      <c r="R6" s="125">
        <f t="shared" si="1"/>
        <v>25832.026009552217</v>
      </c>
      <c r="S6" s="122">
        <f t="shared" si="1"/>
        <v>25890</v>
      </c>
      <c r="T6" s="123">
        <f t="shared" si="1"/>
        <v>31827.198705531806</v>
      </c>
      <c r="U6" s="123">
        <f t="shared" si="2"/>
        <v>20852.612344450019</v>
      </c>
      <c r="V6" s="123">
        <f t="shared" si="2"/>
        <v>18000.095245163669</v>
      </c>
      <c r="W6" s="124">
        <f t="shared" si="2"/>
        <v>18305.559605418992</v>
      </c>
      <c r="X6" s="122">
        <f t="shared" si="2"/>
        <v>19812.248680716872</v>
      </c>
      <c r="Y6" s="125">
        <f t="shared" si="2"/>
        <v>22064.462086970136</v>
      </c>
      <c r="Z6" s="122">
        <f t="shared" si="2"/>
        <v>28192.926515487812</v>
      </c>
      <c r="AA6" s="123">
        <f t="shared" si="2"/>
        <v>23422.999271197001</v>
      </c>
      <c r="AB6" s="123">
        <f t="shared" si="2"/>
        <v>16240.20758362533</v>
      </c>
      <c r="AC6" s="123">
        <f t="shared" si="2"/>
        <v>15097.35224152354</v>
      </c>
      <c r="AD6" s="124">
        <f t="shared" si="2"/>
        <v>14919.340651710867</v>
      </c>
      <c r="AE6" s="122">
        <f t="shared" si="3"/>
        <v>16699.993357643165</v>
      </c>
      <c r="AF6" s="125">
        <f t="shared" si="3"/>
        <v>23143.291326159168</v>
      </c>
      <c r="AG6" s="122">
        <f t="shared" si="3"/>
        <v>27930.750054141565</v>
      </c>
      <c r="AH6" s="123">
        <f t="shared" si="3"/>
        <v>27149.600991143354</v>
      </c>
      <c r="AI6" s="123">
        <f t="shared" si="3"/>
        <v>19743.566947301078</v>
      </c>
      <c r="AJ6" s="123">
        <f t="shared" si="3"/>
        <v>30354.851203267885</v>
      </c>
      <c r="AK6" s="124">
        <f t="shared" si="3"/>
        <v>31227.934724458941</v>
      </c>
      <c r="AL6" s="122">
        <f t="shared" si="3"/>
        <v>37333.40871060983</v>
      </c>
      <c r="AM6" s="125">
        <f t="shared" si="3"/>
        <v>43628.216693314134</v>
      </c>
      <c r="AN6" s="125">
        <f t="shared" si="3"/>
        <v>45769.285926964571</v>
      </c>
      <c r="AO6" s="125">
        <f t="shared" si="3"/>
        <v>43832.158765338652</v>
      </c>
      <c r="AP6" s="3">
        <f t="shared" ref="AP6:AP69" si="5">SUM(K6:AJ6)</f>
        <v>661208.99517931405</v>
      </c>
      <c r="AQ6" s="110">
        <f t="shared" si="4"/>
        <v>863000.00000000023</v>
      </c>
    </row>
    <row r="7" spans="1:43" x14ac:dyDescent="0.25">
      <c r="A7" s="118">
        <v>61</v>
      </c>
      <c r="B7" s="4" t="s">
        <v>116</v>
      </c>
      <c r="C7" s="4" t="s">
        <v>324</v>
      </c>
      <c r="D7" s="4" t="s">
        <v>139</v>
      </c>
      <c r="E7" s="4" t="s">
        <v>296</v>
      </c>
      <c r="F7" s="4" t="s">
        <v>130</v>
      </c>
      <c r="G7" s="119">
        <v>46168</v>
      </c>
      <c r="H7" s="4">
        <v>4</v>
      </c>
      <c r="I7" s="4" t="s">
        <v>519</v>
      </c>
      <c r="J7" s="120">
        <v>750000</v>
      </c>
      <c r="K7" s="121">
        <f t="shared" si="1"/>
        <v>37994.759347639934</v>
      </c>
      <c r="L7" s="122">
        <f t="shared" si="1"/>
        <v>47551.913216641078</v>
      </c>
      <c r="M7" s="123">
        <f t="shared" si="1"/>
        <v>43503.835389791246</v>
      </c>
      <c r="N7" s="123">
        <f t="shared" si="1"/>
        <v>21270.640581230273</v>
      </c>
      <c r="O7" s="123">
        <f t="shared" si="1"/>
        <v>18913.450050059881</v>
      </c>
      <c r="P7" s="124">
        <f t="shared" si="1"/>
        <v>17729.707730002607</v>
      </c>
      <c r="Q7" s="122">
        <f t="shared" si="1"/>
        <v>17899.464563814727</v>
      </c>
      <c r="R7" s="125">
        <f t="shared" si="1"/>
        <v>22449.61704190517</v>
      </c>
      <c r="S7" s="122">
        <f t="shared" si="1"/>
        <v>22500</v>
      </c>
      <c r="T7" s="123">
        <f t="shared" si="1"/>
        <v>27659.790300288361</v>
      </c>
      <c r="U7" s="123">
        <f t="shared" si="2"/>
        <v>18122.200762847639</v>
      </c>
      <c r="V7" s="123">
        <f t="shared" si="2"/>
        <v>15643.188220014776</v>
      </c>
      <c r="W7" s="124">
        <f t="shared" si="2"/>
        <v>15908.655508765058</v>
      </c>
      <c r="X7" s="122">
        <f t="shared" si="2"/>
        <v>17218.060846509448</v>
      </c>
      <c r="Y7" s="125">
        <f t="shared" si="2"/>
        <v>19175.372613241714</v>
      </c>
      <c r="Z7" s="122">
        <f t="shared" si="2"/>
        <v>24501.384573135412</v>
      </c>
      <c r="AA7" s="123">
        <f t="shared" si="2"/>
        <v>20356.02485909357</v>
      </c>
      <c r="AB7" s="123">
        <f t="shared" si="2"/>
        <v>14113.737760972188</v>
      </c>
      <c r="AC7" s="123">
        <f t="shared" si="2"/>
        <v>13120.526281741199</v>
      </c>
      <c r="AD7" s="124">
        <f t="shared" si="2"/>
        <v>12965.823277848378</v>
      </c>
      <c r="AE7" s="122">
        <f t="shared" si="3"/>
        <v>14513.319835726967</v>
      </c>
      <c r="AF7" s="125">
        <f t="shared" si="3"/>
        <v>20112.941476963355</v>
      </c>
      <c r="AG7" s="122">
        <f t="shared" si="3"/>
        <v>24273.537127005995</v>
      </c>
      <c r="AH7" s="123">
        <f t="shared" si="3"/>
        <v>23594.670618027249</v>
      </c>
      <c r="AI7" s="123">
        <f t="shared" si="3"/>
        <v>17158.372202173588</v>
      </c>
      <c r="AJ7" s="123">
        <f t="shared" si="3"/>
        <v>26380.229898552621</v>
      </c>
      <c r="AK7" s="124">
        <f t="shared" si="3"/>
        <v>27138.993097733724</v>
      </c>
      <c r="AL7" s="122">
        <f t="shared" si="3"/>
        <v>32445.024951283169</v>
      </c>
      <c r="AM7" s="125">
        <f t="shared" si="3"/>
        <v>37915.599675533718</v>
      </c>
      <c r="AN7" s="125">
        <f t="shared" si="3"/>
        <v>39776.320330502233</v>
      </c>
      <c r="AO7" s="125">
        <f t="shared" si="3"/>
        <v>38092.837860954794</v>
      </c>
      <c r="AP7" s="3">
        <f t="shared" si="5"/>
        <v>574631.22408399254</v>
      </c>
      <c r="AQ7" s="110">
        <f t="shared" si="4"/>
        <v>750000.00000000012</v>
      </c>
    </row>
    <row r="8" spans="1:43" x14ac:dyDescent="0.25">
      <c r="A8" s="118">
        <v>80</v>
      </c>
      <c r="B8" s="4" t="s">
        <v>12</v>
      </c>
      <c r="C8" s="4" t="s">
        <v>345</v>
      </c>
      <c r="D8" s="4" t="s">
        <v>145</v>
      </c>
      <c r="E8" s="4" t="s">
        <v>343</v>
      </c>
      <c r="F8" s="4" t="s">
        <v>127</v>
      </c>
      <c r="G8" s="119">
        <v>45476</v>
      </c>
      <c r="H8" s="4">
        <v>10</v>
      </c>
      <c r="I8" s="4" t="s">
        <v>519</v>
      </c>
      <c r="J8" s="120">
        <v>656000</v>
      </c>
      <c r="K8" s="121">
        <f t="shared" si="1"/>
        <v>33232.749509402391</v>
      </c>
      <c r="L8" s="122">
        <f t="shared" si="1"/>
        <v>41592.073426822062</v>
      </c>
      <c r="M8" s="123">
        <f t="shared" si="1"/>
        <v>38051.354687604078</v>
      </c>
      <c r="N8" s="123">
        <f t="shared" si="1"/>
        <v>18604.720295049414</v>
      </c>
      <c r="O8" s="123">
        <f t="shared" si="1"/>
        <v>16542.964310452375</v>
      </c>
      <c r="P8" s="124">
        <f t="shared" si="1"/>
        <v>15507.584361175614</v>
      </c>
      <c r="Q8" s="122">
        <f t="shared" si="1"/>
        <v>15656.065005149947</v>
      </c>
      <c r="R8" s="125">
        <f t="shared" si="1"/>
        <v>19635.93170598639</v>
      </c>
      <c r="S8" s="122">
        <f t="shared" si="1"/>
        <v>19680</v>
      </c>
      <c r="T8" s="123">
        <f t="shared" si="1"/>
        <v>24193.096582652219</v>
      </c>
      <c r="U8" s="123">
        <f t="shared" si="2"/>
        <v>15850.88493390407</v>
      </c>
      <c r="V8" s="123">
        <f t="shared" si="2"/>
        <v>13682.575296439591</v>
      </c>
      <c r="W8" s="124">
        <f t="shared" si="2"/>
        <v>13914.770684999836</v>
      </c>
      <c r="X8" s="122">
        <f t="shared" si="2"/>
        <v>15060.063887080263</v>
      </c>
      <c r="Y8" s="125">
        <f t="shared" si="2"/>
        <v>16772.05924571542</v>
      </c>
      <c r="Z8" s="122">
        <f t="shared" si="2"/>
        <v>21430.54437330244</v>
      </c>
      <c r="AA8" s="123">
        <f t="shared" si="2"/>
        <v>17804.736410087175</v>
      </c>
      <c r="AB8" s="123">
        <f t="shared" si="2"/>
        <v>12344.815961597007</v>
      </c>
      <c r="AC8" s="123">
        <f t="shared" si="2"/>
        <v>11476.086987762968</v>
      </c>
      <c r="AD8" s="124">
        <f t="shared" si="2"/>
        <v>11340.773427024715</v>
      </c>
      <c r="AE8" s="122">
        <f t="shared" si="3"/>
        <v>12694.317082982521</v>
      </c>
      <c r="AF8" s="125">
        <f t="shared" si="3"/>
        <v>17592.119478517281</v>
      </c>
      <c r="AG8" s="122">
        <f t="shared" si="3"/>
        <v>21231.253807087909</v>
      </c>
      <c r="AH8" s="123">
        <f t="shared" si="3"/>
        <v>20637.471900567831</v>
      </c>
      <c r="AI8" s="123">
        <f t="shared" si="3"/>
        <v>15007.856219501165</v>
      </c>
      <c r="AJ8" s="123">
        <f t="shared" si="3"/>
        <v>23073.907751267361</v>
      </c>
      <c r="AK8" s="124">
        <f t="shared" si="3"/>
        <v>23737.572629484432</v>
      </c>
      <c r="AL8" s="122">
        <f t="shared" si="3"/>
        <v>28378.58182405568</v>
      </c>
      <c r="AM8" s="125">
        <f t="shared" si="3"/>
        <v>33163.511182866823</v>
      </c>
      <c r="AN8" s="125">
        <f t="shared" si="3"/>
        <v>34791.021515745953</v>
      </c>
      <c r="AO8" s="125">
        <f t="shared" si="3"/>
        <v>33318.535515715128</v>
      </c>
      <c r="AP8" s="3">
        <f t="shared" si="5"/>
        <v>502610.77733213198</v>
      </c>
      <c r="AQ8" s="110">
        <f t="shared" si="4"/>
        <v>656000</v>
      </c>
    </row>
    <row r="9" spans="1:43" x14ac:dyDescent="0.25">
      <c r="A9" s="118">
        <v>64</v>
      </c>
      <c r="B9" s="4" t="s">
        <v>100</v>
      </c>
      <c r="C9" s="4" t="s">
        <v>327</v>
      </c>
      <c r="D9" s="4" t="s">
        <v>139</v>
      </c>
      <c r="E9" s="4" t="s">
        <v>296</v>
      </c>
      <c r="F9" s="4" t="s">
        <v>130</v>
      </c>
      <c r="G9" s="119">
        <v>46055</v>
      </c>
      <c r="H9" s="4">
        <v>10</v>
      </c>
      <c r="I9" s="4" t="s">
        <v>519</v>
      </c>
      <c r="J9" s="120">
        <v>650000</v>
      </c>
      <c r="K9" s="121">
        <f t="shared" si="1"/>
        <v>32928.791434621271</v>
      </c>
      <c r="L9" s="122">
        <f t="shared" si="1"/>
        <v>41211.658121088934</v>
      </c>
      <c r="M9" s="123">
        <f t="shared" si="1"/>
        <v>37703.324004485745</v>
      </c>
      <c r="N9" s="123">
        <f t="shared" si="1"/>
        <v>18434.55517039957</v>
      </c>
      <c r="O9" s="123">
        <f t="shared" si="1"/>
        <v>16391.656710051899</v>
      </c>
      <c r="P9" s="124">
        <f t="shared" si="1"/>
        <v>15365.746699335592</v>
      </c>
      <c r="Q9" s="122">
        <f t="shared" si="1"/>
        <v>15512.869288639429</v>
      </c>
      <c r="R9" s="125">
        <f t="shared" si="1"/>
        <v>19456.334769651148</v>
      </c>
      <c r="S9" s="122">
        <f t="shared" si="1"/>
        <v>19500</v>
      </c>
      <c r="T9" s="123">
        <f t="shared" si="1"/>
        <v>23971.818260249911</v>
      </c>
      <c r="U9" s="123">
        <f t="shared" si="2"/>
        <v>15705.907327801287</v>
      </c>
      <c r="V9" s="123">
        <f t="shared" si="2"/>
        <v>13557.429790679473</v>
      </c>
      <c r="W9" s="124">
        <f t="shared" si="2"/>
        <v>13787.501440929716</v>
      </c>
      <c r="X9" s="122">
        <f t="shared" si="2"/>
        <v>14922.319400308188</v>
      </c>
      <c r="Y9" s="125">
        <f t="shared" si="2"/>
        <v>16618.656264809488</v>
      </c>
      <c r="Z9" s="122">
        <f t="shared" si="2"/>
        <v>21234.533296717356</v>
      </c>
      <c r="AA9" s="123">
        <f t="shared" si="2"/>
        <v>17641.888211214427</v>
      </c>
      <c r="AB9" s="123">
        <f t="shared" si="2"/>
        <v>12231.906059509229</v>
      </c>
      <c r="AC9" s="123">
        <f t="shared" si="2"/>
        <v>11371.122777509039</v>
      </c>
      <c r="AD9" s="124">
        <f t="shared" si="2"/>
        <v>11237.046840801928</v>
      </c>
      <c r="AE9" s="122">
        <f t="shared" si="3"/>
        <v>12578.210524296705</v>
      </c>
      <c r="AF9" s="125">
        <f t="shared" si="3"/>
        <v>17431.215946701574</v>
      </c>
      <c r="AG9" s="122">
        <f t="shared" si="3"/>
        <v>21037.065510071861</v>
      </c>
      <c r="AH9" s="123">
        <f t="shared" si="3"/>
        <v>20448.714535623614</v>
      </c>
      <c r="AI9" s="123">
        <f t="shared" si="3"/>
        <v>14870.589241883778</v>
      </c>
      <c r="AJ9" s="123">
        <f t="shared" si="3"/>
        <v>22862.865912078938</v>
      </c>
      <c r="AK9" s="124">
        <f t="shared" si="3"/>
        <v>23520.460684702561</v>
      </c>
      <c r="AL9" s="122">
        <f t="shared" si="3"/>
        <v>28119.021624445413</v>
      </c>
      <c r="AM9" s="125">
        <f t="shared" si="3"/>
        <v>32860.186385462555</v>
      </c>
      <c r="AN9" s="125">
        <f t="shared" si="3"/>
        <v>34472.810953101936</v>
      </c>
      <c r="AO9" s="125">
        <f t="shared" si="3"/>
        <v>33013.792812827494</v>
      </c>
      <c r="AP9" s="3">
        <f t="shared" si="5"/>
        <v>498013.72753946012</v>
      </c>
      <c r="AQ9" s="110">
        <f t="shared" si="4"/>
        <v>650000.00000000012</v>
      </c>
    </row>
    <row r="10" spans="1:43" x14ac:dyDescent="0.25">
      <c r="A10" s="118">
        <v>81</v>
      </c>
      <c r="B10" s="4" t="s">
        <v>71</v>
      </c>
      <c r="C10" s="4" t="s">
        <v>346</v>
      </c>
      <c r="D10" s="4" t="s">
        <v>145</v>
      </c>
      <c r="E10" s="4" t="s">
        <v>343</v>
      </c>
      <c r="F10" s="4" t="s">
        <v>131</v>
      </c>
      <c r="G10" s="119">
        <v>46084</v>
      </c>
      <c r="H10" s="4">
        <v>5</v>
      </c>
      <c r="I10" s="4" t="s">
        <v>519</v>
      </c>
      <c r="J10" s="120">
        <v>581000</v>
      </c>
      <c r="K10" s="121">
        <f t="shared" si="1"/>
        <v>29433.273574638402</v>
      </c>
      <c r="L10" s="122">
        <f t="shared" si="1"/>
        <v>36836.882105157958</v>
      </c>
      <c r="M10" s="123">
        <f t="shared" si="1"/>
        <v>33700.971148624951</v>
      </c>
      <c r="N10" s="123">
        <f t="shared" si="1"/>
        <v>16477.656236926385</v>
      </c>
      <c r="O10" s="123">
        <f t="shared" si="1"/>
        <v>14651.619305446387</v>
      </c>
      <c r="P10" s="124">
        <f t="shared" si="1"/>
        <v>13734.613588175353</v>
      </c>
      <c r="Q10" s="122">
        <f t="shared" si="1"/>
        <v>13866.118548768474</v>
      </c>
      <c r="R10" s="125">
        <f t="shared" si="1"/>
        <v>17390.970001795871</v>
      </c>
      <c r="S10" s="122">
        <f t="shared" si="1"/>
        <v>17430</v>
      </c>
      <c r="T10" s="123">
        <f t="shared" si="1"/>
        <v>21427.117552623382</v>
      </c>
      <c r="U10" s="123">
        <f t="shared" si="2"/>
        <v>14038.664857619306</v>
      </c>
      <c r="V10" s="123">
        <f t="shared" si="2"/>
        <v>12118.256474438112</v>
      </c>
      <c r="W10" s="124">
        <f t="shared" si="2"/>
        <v>12323.90513412333</v>
      </c>
      <c r="X10" s="122">
        <f t="shared" si="2"/>
        <v>13338.25780242932</v>
      </c>
      <c r="Y10" s="125">
        <f t="shared" si="2"/>
        <v>14854.521984391249</v>
      </c>
      <c r="Z10" s="122">
        <f t="shared" si="2"/>
        <v>18980.4059159889</v>
      </c>
      <c r="AA10" s="123">
        <f t="shared" si="2"/>
        <v>15769.133924177819</v>
      </c>
      <c r="AB10" s="123">
        <f t="shared" si="2"/>
        <v>10933.442185499787</v>
      </c>
      <c r="AC10" s="123">
        <f t="shared" si="2"/>
        <v>10164.03435958885</v>
      </c>
      <c r="AD10" s="124">
        <f t="shared" si="2"/>
        <v>10044.191099239877</v>
      </c>
      <c r="AE10" s="122">
        <f t="shared" si="3"/>
        <v>11242.985099409823</v>
      </c>
      <c r="AF10" s="125">
        <f t="shared" si="3"/>
        <v>15580.825330820946</v>
      </c>
      <c r="AG10" s="122">
        <f t="shared" si="3"/>
        <v>18803.900094387311</v>
      </c>
      <c r="AH10" s="123">
        <f t="shared" si="3"/>
        <v>18278.004838765108</v>
      </c>
      <c r="AI10" s="123">
        <f t="shared" si="3"/>
        <v>13292.018999283808</v>
      </c>
      <c r="AJ10" s="123">
        <f t="shared" si="3"/>
        <v>20435.884761412097</v>
      </c>
      <c r="AK10" s="124">
        <f t="shared" si="3"/>
        <v>21023.673319711059</v>
      </c>
      <c r="AL10" s="122">
        <f t="shared" si="3"/>
        <v>25134.079328927361</v>
      </c>
      <c r="AM10" s="125">
        <f t="shared" si="3"/>
        <v>29371.951215313453</v>
      </c>
      <c r="AN10" s="125">
        <f t="shared" si="3"/>
        <v>30813.389482695729</v>
      </c>
      <c r="AO10" s="125">
        <f t="shared" si="3"/>
        <v>29509.251729619649</v>
      </c>
      <c r="AP10" s="3">
        <f t="shared" si="5"/>
        <v>445147.65492373286</v>
      </c>
      <c r="AQ10" s="110">
        <f t="shared" si="4"/>
        <v>581000.00000000023</v>
      </c>
    </row>
    <row r="11" spans="1:43" x14ac:dyDescent="0.25">
      <c r="A11" s="118">
        <v>49</v>
      </c>
      <c r="B11" s="4" t="s">
        <v>17</v>
      </c>
      <c r="C11" s="4" t="s">
        <v>313</v>
      </c>
      <c r="D11" s="4" t="s">
        <v>138</v>
      </c>
      <c r="E11" s="4" t="s">
        <v>296</v>
      </c>
      <c r="F11" s="4" t="s">
        <v>128</v>
      </c>
      <c r="G11" s="119">
        <v>45490</v>
      </c>
      <c r="H11" s="4">
        <v>9</v>
      </c>
      <c r="I11" s="4" t="s">
        <v>519</v>
      </c>
      <c r="J11" s="120">
        <v>575000</v>
      </c>
      <c r="K11" s="121">
        <f t="shared" si="1"/>
        <v>29129.315499857283</v>
      </c>
      <c r="L11" s="122">
        <f t="shared" si="1"/>
        <v>36456.46679942483</v>
      </c>
      <c r="M11" s="123">
        <f t="shared" si="1"/>
        <v>33352.940465506617</v>
      </c>
      <c r="N11" s="123">
        <f t="shared" si="1"/>
        <v>16307.491112276542</v>
      </c>
      <c r="O11" s="123">
        <f t="shared" si="1"/>
        <v>14500.31170504591</v>
      </c>
      <c r="P11" s="124">
        <f t="shared" si="1"/>
        <v>13592.775926335333</v>
      </c>
      <c r="Q11" s="122">
        <f t="shared" si="1"/>
        <v>13722.922832257957</v>
      </c>
      <c r="R11" s="125">
        <f t="shared" si="1"/>
        <v>17211.37306546063</v>
      </c>
      <c r="S11" s="122">
        <f t="shared" si="1"/>
        <v>17250</v>
      </c>
      <c r="T11" s="123">
        <f t="shared" si="1"/>
        <v>21205.839230221078</v>
      </c>
      <c r="U11" s="123">
        <f t="shared" si="2"/>
        <v>13893.687251516523</v>
      </c>
      <c r="V11" s="123">
        <f t="shared" si="2"/>
        <v>11993.110968677995</v>
      </c>
      <c r="W11" s="124">
        <f t="shared" si="2"/>
        <v>12196.63589005321</v>
      </c>
      <c r="X11" s="122">
        <f t="shared" si="2"/>
        <v>13200.513315657243</v>
      </c>
      <c r="Y11" s="125">
        <f t="shared" si="2"/>
        <v>14701.119003485315</v>
      </c>
      <c r="Z11" s="122">
        <f t="shared" si="2"/>
        <v>18784.394839403816</v>
      </c>
      <c r="AA11" s="123">
        <f t="shared" si="2"/>
        <v>15606.28572530507</v>
      </c>
      <c r="AB11" s="123">
        <f t="shared" si="2"/>
        <v>10820.532283412011</v>
      </c>
      <c r="AC11" s="123">
        <f t="shared" si="2"/>
        <v>10059.070149334919</v>
      </c>
      <c r="AD11" s="124">
        <f t="shared" si="2"/>
        <v>9940.4645130170902</v>
      </c>
      <c r="AE11" s="122">
        <f t="shared" si="3"/>
        <v>11126.878540724008</v>
      </c>
      <c r="AF11" s="125">
        <f t="shared" si="3"/>
        <v>15419.921799005238</v>
      </c>
      <c r="AG11" s="122">
        <f t="shared" si="3"/>
        <v>18609.711797371263</v>
      </c>
      <c r="AH11" s="123">
        <f t="shared" si="3"/>
        <v>18089.247473820891</v>
      </c>
      <c r="AI11" s="123">
        <f t="shared" si="3"/>
        <v>13154.752021666418</v>
      </c>
      <c r="AJ11" s="123">
        <f t="shared" si="3"/>
        <v>20224.842922223677</v>
      </c>
      <c r="AK11" s="124">
        <f t="shared" si="3"/>
        <v>20806.561374929192</v>
      </c>
      <c r="AL11" s="122">
        <f t="shared" si="3"/>
        <v>24874.519129317097</v>
      </c>
      <c r="AM11" s="125">
        <f t="shared" si="3"/>
        <v>29068.626417909185</v>
      </c>
      <c r="AN11" s="125">
        <f t="shared" si="3"/>
        <v>30495.178920051712</v>
      </c>
      <c r="AO11" s="125">
        <f t="shared" si="3"/>
        <v>29204.509026732012</v>
      </c>
      <c r="AP11" s="3">
        <f t="shared" si="5"/>
        <v>440550.60513106087</v>
      </c>
      <c r="AQ11" s="110">
        <f t="shared" si="4"/>
        <v>575000.00000000012</v>
      </c>
    </row>
    <row r="12" spans="1:43" x14ac:dyDescent="0.25">
      <c r="A12" s="118">
        <v>26</v>
      </c>
      <c r="B12" s="4" t="s">
        <v>28</v>
      </c>
      <c r="C12" s="4" t="s">
        <v>290</v>
      </c>
      <c r="D12" s="4" t="s">
        <v>154</v>
      </c>
      <c r="E12" s="4" t="s">
        <v>266</v>
      </c>
      <c r="F12" s="4" t="s">
        <v>126</v>
      </c>
      <c r="G12" s="119">
        <v>45670</v>
      </c>
      <c r="H12" s="4">
        <v>10</v>
      </c>
      <c r="I12" s="4" t="s">
        <v>519</v>
      </c>
      <c r="J12" s="120">
        <v>539000</v>
      </c>
      <c r="K12" s="121">
        <f t="shared" si="1"/>
        <v>27305.567051170565</v>
      </c>
      <c r="L12" s="122">
        <f t="shared" si="1"/>
        <v>34173.974965026056</v>
      </c>
      <c r="M12" s="123">
        <f t="shared" si="1"/>
        <v>31264.756366796639</v>
      </c>
      <c r="N12" s="123">
        <f t="shared" si="1"/>
        <v>15286.500364377491</v>
      </c>
      <c r="O12" s="123">
        <f t="shared" si="1"/>
        <v>13592.466102643035</v>
      </c>
      <c r="P12" s="124">
        <f t="shared" si="1"/>
        <v>12741.749955295207</v>
      </c>
      <c r="Q12" s="122">
        <f t="shared" si="1"/>
        <v>12863.74853319485</v>
      </c>
      <c r="R12" s="125">
        <f t="shared" si="1"/>
        <v>16133.791447449183</v>
      </c>
      <c r="S12" s="122">
        <f t="shared" si="1"/>
        <v>16170</v>
      </c>
      <c r="T12" s="123">
        <f t="shared" si="1"/>
        <v>19878.169295807234</v>
      </c>
      <c r="U12" s="123">
        <f t="shared" si="2"/>
        <v>13023.821614899836</v>
      </c>
      <c r="V12" s="123">
        <f t="shared" si="2"/>
        <v>11242.237934117285</v>
      </c>
      <c r="W12" s="124">
        <f t="shared" si="2"/>
        <v>11433.020425632487</v>
      </c>
      <c r="X12" s="122">
        <f t="shared" si="2"/>
        <v>12374.04639502479</v>
      </c>
      <c r="Y12" s="125">
        <f t="shared" si="2"/>
        <v>13780.701118049714</v>
      </c>
      <c r="Z12" s="122">
        <f t="shared" si="2"/>
        <v>17608.328379893315</v>
      </c>
      <c r="AA12" s="123">
        <f t="shared" si="2"/>
        <v>14629.196532068579</v>
      </c>
      <c r="AB12" s="123">
        <f t="shared" si="2"/>
        <v>10143.072870885346</v>
      </c>
      <c r="AC12" s="123">
        <f t="shared" si="2"/>
        <v>9429.2848878113418</v>
      </c>
      <c r="AD12" s="124">
        <f t="shared" si="2"/>
        <v>9318.1049956803672</v>
      </c>
      <c r="AE12" s="122">
        <f t="shared" si="3"/>
        <v>10430.239188609114</v>
      </c>
      <c r="AF12" s="125">
        <f t="shared" si="3"/>
        <v>14454.500608110999</v>
      </c>
      <c r="AG12" s="122">
        <f t="shared" si="3"/>
        <v>17444.582015274977</v>
      </c>
      <c r="AH12" s="123">
        <f t="shared" si="3"/>
        <v>16956.703284155581</v>
      </c>
      <c r="AI12" s="123">
        <f t="shared" si="3"/>
        <v>12331.150155962087</v>
      </c>
      <c r="AJ12" s="123">
        <f t="shared" si="3"/>
        <v>18958.591887093153</v>
      </c>
      <c r="AK12" s="124">
        <f t="shared" si="3"/>
        <v>19503.889706237969</v>
      </c>
      <c r="AL12" s="122">
        <f t="shared" si="3"/>
        <v>23317.157931655503</v>
      </c>
      <c r="AM12" s="125">
        <f t="shared" si="3"/>
        <v>27248.677633483567</v>
      </c>
      <c r="AN12" s="125">
        <f t="shared" si="3"/>
        <v>28585.915544187606</v>
      </c>
      <c r="AO12" s="125">
        <f t="shared" si="3"/>
        <v>27376.052809406181</v>
      </c>
      <c r="AP12" s="3">
        <f t="shared" si="5"/>
        <v>412968.30637502926</v>
      </c>
      <c r="AQ12" s="110">
        <f t="shared" si="4"/>
        <v>539000</v>
      </c>
    </row>
    <row r="13" spans="1:43" x14ac:dyDescent="0.25">
      <c r="A13" s="118">
        <v>24</v>
      </c>
      <c r="B13" s="4" t="s">
        <v>45</v>
      </c>
      <c r="C13" s="4" t="s">
        <v>288</v>
      </c>
      <c r="D13" s="4" t="s">
        <v>146</v>
      </c>
      <c r="E13" s="4" t="s">
        <v>266</v>
      </c>
      <c r="F13" s="4" t="s">
        <v>126</v>
      </c>
      <c r="G13" s="119">
        <v>45731</v>
      </c>
      <c r="H13" s="4">
        <v>6</v>
      </c>
      <c r="I13" s="4" t="s">
        <v>519</v>
      </c>
      <c r="J13" s="120">
        <v>530000</v>
      </c>
      <c r="K13" s="121">
        <f t="shared" si="1"/>
        <v>26849.629938998885</v>
      </c>
      <c r="L13" s="122">
        <f t="shared" si="1"/>
        <v>33603.352006426365</v>
      </c>
      <c r="M13" s="123">
        <f t="shared" si="1"/>
        <v>30742.710342119146</v>
      </c>
      <c r="N13" s="123">
        <f t="shared" si="1"/>
        <v>15031.252677402726</v>
      </c>
      <c r="O13" s="123">
        <f t="shared" si="1"/>
        <v>13365.504702042317</v>
      </c>
      <c r="P13" s="124">
        <f t="shared" si="1"/>
        <v>12528.993462535176</v>
      </c>
      <c r="Q13" s="122">
        <f t="shared" si="1"/>
        <v>12648.954958429073</v>
      </c>
      <c r="R13" s="125">
        <f t="shared" si="1"/>
        <v>15864.39604294632</v>
      </c>
      <c r="S13" s="122">
        <f t="shared" si="1"/>
        <v>15900</v>
      </c>
      <c r="T13" s="123">
        <f t="shared" si="1"/>
        <v>19546.251812203776</v>
      </c>
      <c r="U13" s="123">
        <f t="shared" si="2"/>
        <v>12806.355205745665</v>
      </c>
      <c r="V13" s="123">
        <f t="shared" si="2"/>
        <v>11054.519675477108</v>
      </c>
      <c r="W13" s="124">
        <f t="shared" si="2"/>
        <v>11242.116559527307</v>
      </c>
      <c r="X13" s="122">
        <f t="shared" si="2"/>
        <v>12167.429664866677</v>
      </c>
      <c r="Y13" s="125">
        <f t="shared" si="2"/>
        <v>13550.596646690812</v>
      </c>
      <c r="Z13" s="122">
        <f t="shared" si="2"/>
        <v>17314.311765015689</v>
      </c>
      <c r="AA13" s="123">
        <f t="shared" si="2"/>
        <v>14384.924233759457</v>
      </c>
      <c r="AB13" s="123">
        <f t="shared" si="2"/>
        <v>9973.7080177536791</v>
      </c>
      <c r="AC13" s="123">
        <f t="shared" si="2"/>
        <v>9271.838572430448</v>
      </c>
      <c r="AD13" s="124">
        <f t="shared" si="2"/>
        <v>9162.5151163461869</v>
      </c>
      <c r="AE13" s="122">
        <f t="shared" si="3"/>
        <v>10256.07935058039</v>
      </c>
      <c r="AF13" s="125">
        <f t="shared" si="3"/>
        <v>14213.145310387437</v>
      </c>
      <c r="AG13" s="122">
        <f t="shared" si="3"/>
        <v>17153.299569750903</v>
      </c>
      <c r="AH13" s="123">
        <f t="shared" si="3"/>
        <v>16673.567236739254</v>
      </c>
      <c r="AI13" s="123">
        <f t="shared" si="3"/>
        <v>12125.249689536004</v>
      </c>
      <c r="AJ13" s="123">
        <f t="shared" si="3"/>
        <v>18642.029128310522</v>
      </c>
      <c r="AK13" s="124">
        <f t="shared" si="3"/>
        <v>19178.221789065166</v>
      </c>
      <c r="AL13" s="122">
        <f t="shared" si="3"/>
        <v>22927.817632240105</v>
      </c>
      <c r="AM13" s="125">
        <f t="shared" si="3"/>
        <v>26793.690437377161</v>
      </c>
      <c r="AN13" s="125">
        <f t="shared" si="3"/>
        <v>28108.599700221577</v>
      </c>
      <c r="AO13" s="125">
        <f t="shared" si="3"/>
        <v>26918.938755074723</v>
      </c>
      <c r="AP13" s="3">
        <f t="shared" si="5"/>
        <v>406072.73168602132</v>
      </c>
      <c r="AQ13" s="110">
        <f t="shared" si="4"/>
        <v>530000</v>
      </c>
    </row>
    <row r="14" spans="1:43" x14ac:dyDescent="0.25">
      <c r="A14" s="118">
        <v>78</v>
      </c>
      <c r="B14" s="4" t="s">
        <v>26</v>
      </c>
      <c r="C14" s="4" t="s">
        <v>342</v>
      </c>
      <c r="D14" s="4" t="s">
        <v>145</v>
      </c>
      <c r="E14" s="4" t="s">
        <v>343</v>
      </c>
      <c r="F14" s="4" t="s">
        <v>131</v>
      </c>
      <c r="G14" s="119">
        <v>45605</v>
      </c>
      <c r="H14" s="4">
        <v>6</v>
      </c>
      <c r="I14" s="4" t="s">
        <v>519</v>
      </c>
      <c r="J14" s="120">
        <v>511000</v>
      </c>
      <c r="K14" s="121">
        <f t="shared" si="1"/>
        <v>25887.096035525341</v>
      </c>
      <c r="L14" s="122">
        <f t="shared" si="1"/>
        <v>32398.703538271457</v>
      </c>
      <c r="M14" s="123">
        <f t="shared" si="1"/>
        <v>29640.613178911102</v>
      </c>
      <c r="N14" s="123">
        <f t="shared" si="1"/>
        <v>14492.396449344893</v>
      </c>
      <c r="O14" s="123">
        <f t="shared" si="1"/>
        <v>12886.363967440799</v>
      </c>
      <c r="P14" s="124">
        <f t="shared" si="1"/>
        <v>12079.840866708442</v>
      </c>
      <c r="Q14" s="122">
        <f t="shared" si="1"/>
        <v>12195.501856145767</v>
      </c>
      <c r="R14" s="125">
        <f t="shared" si="1"/>
        <v>15295.672411218056</v>
      </c>
      <c r="S14" s="122">
        <f t="shared" si="1"/>
        <v>15330</v>
      </c>
      <c r="T14" s="123">
        <f t="shared" si="1"/>
        <v>18845.537124596471</v>
      </c>
      <c r="U14" s="123">
        <f t="shared" si="2"/>
        <v>12347.259453086859</v>
      </c>
      <c r="V14" s="123">
        <f t="shared" si="2"/>
        <v>10658.225573903401</v>
      </c>
      <c r="W14" s="124">
        <f t="shared" si="2"/>
        <v>10839.097286638593</v>
      </c>
      <c r="X14" s="122">
        <f t="shared" si="2"/>
        <v>11731.238790088437</v>
      </c>
      <c r="Y14" s="125">
        <f t="shared" si="2"/>
        <v>13064.820540488688</v>
      </c>
      <c r="Z14" s="122">
        <f t="shared" si="2"/>
        <v>16693.610022496261</v>
      </c>
      <c r="AA14" s="123">
        <f t="shared" si="2"/>
        <v>13869.238270662419</v>
      </c>
      <c r="AB14" s="123">
        <f t="shared" si="2"/>
        <v>9616.1599944757163</v>
      </c>
      <c r="AC14" s="123">
        <f t="shared" si="2"/>
        <v>8939.4519066263365</v>
      </c>
      <c r="AD14" s="124">
        <f t="shared" si="2"/>
        <v>8834.0475933073612</v>
      </c>
      <c r="AE14" s="122">
        <f t="shared" si="3"/>
        <v>9888.4085814086393</v>
      </c>
      <c r="AF14" s="125">
        <f t="shared" si="3"/>
        <v>13703.6174596377</v>
      </c>
      <c r="AG14" s="122">
        <f t="shared" si="3"/>
        <v>16538.369962533419</v>
      </c>
      <c r="AH14" s="123">
        <f t="shared" si="3"/>
        <v>16075.835581082565</v>
      </c>
      <c r="AI14" s="123">
        <f t="shared" si="3"/>
        <v>11690.570927080938</v>
      </c>
      <c r="AJ14" s="123">
        <f t="shared" si="3"/>
        <v>17973.729970880519</v>
      </c>
      <c r="AK14" s="124">
        <f t="shared" si="3"/>
        <v>18490.700630589246</v>
      </c>
      <c r="AL14" s="122">
        <f t="shared" si="3"/>
        <v>22105.877000140932</v>
      </c>
      <c r="AM14" s="125">
        <f t="shared" si="3"/>
        <v>25833.16191226364</v>
      </c>
      <c r="AN14" s="125">
        <f t="shared" si="3"/>
        <v>27100.932918515522</v>
      </c>
      <c r="AO14" s="125">
        <f t="shared" si="3"/>
        <v>25953.920195930536</v>
      </c>
      <c r="AP14" s="3">
        <f t="shared" si="5"/>
        <v>391515.40734256012</v>
      </c>
      <c r="AQ14" s="110">
        <f t="shared" si="4"/>
        <v>511000.00000000006</v>
      </c>
    </row>
    <row r="15" spans="1:43" x14ac:dyDescent="0.25">
      <c r="A15" s="118">
        <v>85</v>
      </c>
      <c r="B15" s="4" t="s">
        <v>13</v>
      </c>
      <c r="C15" s="4" t="s">
        <v>350</v>
      </c>
      <c r="D15" s="4" t="s">
        <v>145</v>
      </c>
      <c r="E15" s="4" t="s">
        <v>343</v>
      </c>
      <c r="F15" s="4" t="s">
        <v>127</v>
      </c>
      <c r="G15" s="119">
        <v>45488</v>
      </c>
      <c r="H15" s="4">
        <v>4</v>
      </c>
      <c r="I15" s="4" t="s">
        <v>519</v>
      </c>
      <c r="J15" s="120">
        <v>476000</v>
      </c>
      <c r="K15" s="121">
        <f t="shared" ref="K15:T24" si="6">$J15*K$4</f>
        <v>24114.007265968808</v>
      </c>
      <c r="L15" s="122">
        <f t="shared" si="6"/>
        <v>30179.614254828208</v>
      </c>
      <c r="M15" s="123">
        <f t="shared" si="6"/>
        <v>27610.434194054174</v>
      </c>
      <c r="N15" s="123">
        <f t="shared" si="6"/>
        <v>13499.766555554146</v>
      </c>
      <c r="O15" s="123">
        <f t="shared" si="6"/>
        <v>12003.736298438005</v>
      </c>
      <c r="P15" s="124">
        <f t="shared" si="6"/>
        <v>11252.454505974987</v>
      </c>
      <c r="Q15" s="122">
        <f t="shared" si="6"/>
        <v>11360.193509834413</v>
      </c>
      <c r="R15" s="125">
        <f t="shared" si="6"/>
        <v>14248.023615929147</v>
      </c>
      <c r="S15" s="122">
        <f t="shared" si="6"/>
        <v>14280</v>
      </c>
      <c r="T15" s="123">
        <f t="shared" si="6"/>
        <v>17554.746910583013</v>
      </c>
      <c r="U15" s="123">
        <f t="shared" ref="U15:AD24" si="7">$J15*U$4</f>
        <v>11501.556750820635</v>
      </c>
      <c r="V15" s="123">
        <f t="shared" si="7"/>
        <v>9928.210123636045</v>
      </c>
      <c r="W15" s="124">
        <f t="shared" si="7"/>
        <v>10096.693362896223</v>
      </c>
      <c r="X15" s="122">
        <f t="shared" si="7"/>
        <v>10927.729283917995</v>
      </c>
      <c r="Y15" s="125">
        <f t="shared" si="7"/>
        <v>12169.969818537409</v>
      </c>
      <c r="Z15" s="122">
        <f t="shared" si="7"/>
        <v>15550.212075749942</v>
      </c>
      <c r="AA15" s="123">
        <f t="shared" si="7"/>
        <v>12919.29044390472</v>
      </c>
      <c r="AB15" s="123">
        <f t="shared" si="7"/>
        <v>8957.5188989636808</v>
      </c>
      <c r="AC15" s="123">
        <f t="shared" si="7"/>
        <v>8327.1606801450816</v>
      </c>
      <c r="AD15" s="124">
        <f t="shared" si="7"/>
        <v>8228.9758403411033</v>
      </c>
      <c r="AE15" s="122">
        <f t="shared" ref="AE15:AO24" si="8">$J15*AE$4</f>
        <v>9211.1203224080491</v>
      </c>
      <c r="AF15" s="125">
        <f t="shared" si="8"/>
        <v>12765.013524046077</v>
      </c>
      <c r="AG15" s="122">
        <f t="shared" si="8"/>
        <v>15405.604896606472</v>
      </c>
      <c r="AH15" s="123">
        <f t="shared" si="8"/>
        <v>14974.750952241293</v>
      </c>
      <c r="AI15" s="123">
        <f t="shared" si="8"/>
        <v>10889.846890979505</v>
      </c>
      <c r="AJ15" s="123">
        <f t="shared" si="8"/>
        <v>16742.652575614731</v>
      </c>
      <c r="AK15" s="124">
        <f t="shared" si="8"/>
        <v>17224.214286028338</v>
      </c>
      <c r="AL15" s="122">
        <f t="shared" si="8"/>
        <v>20591.775835747718</v>
      </c>
      <c r="AM15" s="125">
        <f t="shared" si="8"/>
        <v>24063.767260738732</v>
      </c>
      <c r="AN15" s="125">
        <f t="shared" si="8"/>
        <v>25244.704636425417</v>
      </c>
      <c r="AO15" s="125">
        <f t="shared" si="8"/>
        <v>24176.254429085977</v>
      </c>
      <c r="AP15" s="3">
        <f t="shared" si="5"/>
        <v>364699.28355197387</v>
      </c>
      <c r="AQ15" s="110">
        <f t="shared" si="4"/>
        <v>476000.00000000006</v>
      </c>
    </row>
    <row r="16" spans="1:43" x14ac:dyDescent="0.25">
      <c r="A16" s="118">
        <v>31</v>
      </c>
      <c r="B16" s="4" t="s">
        <v>37</v>
      </c>
      <c r="C16" s="4" t="s">
        <v>293</v>
      </c>
      <c r="D16" s="4" t="s">
        <v>150</v>
      </c>
      <c r="E16" s="4" t="s">
        <v>294</v>
      </c>
      <c r="F16" s="4" t="s">
        <v>133</v>
      </c>
      <c r="G16" s="119">
        <v>45706</v>
      </c>
      <c r="H16" s="4">
        <v>9</v>
      </c>
      <c r="I16" s="4" t="s">
        <v>519</v>
      </c>
      <c r="J16" s="120">
        <v>450000</v>
      </c>
      <c r="K16" s="121">
        <f t="shared" si="6"/>
        <v>22796.855608583959</v>
      </c>
      <c r="L16" s="122">
        <f t="shared" si="6"/>
        <v>28531.147929984651</v>
      </c>
      <c r="M16" s="123">
        <f t="shared" si="6"/>
        <v>26102.301233874747</v>
      </c>
      <c r="N16" s="123">
        <f t="shared" si="6"/>
        <v>12762.384348738164</v>
      </c>
      <c r="O16" s="123">
        <f t="shared" si="6"/>
        <v>11348.070030035929</v>
      </c>
      <c r="P16" s="124">
        <f t="shared" si="6"/>
        <v>10637.824638001564</v>
      </c>
      <c r="Q16" s="122">
        <f t="shared" si="6"/>
        <v>10739.678738288836</v>
      </c>
      <c r="R16" s="125">
        <f t="shared" si="6"/>
        <v>13469.770225143102</v>
      </c>
      <c r="S16" s="122">
        <f t="shared" si="6"/>
        <v>13500</v>
      </c>
      <c r="T16" s="123">
        <f t="shared" si="6"/>
        <v>16595.874180173018</v>
      </c>
      <c r="U16" s="123">
        <f t="shared" si="7"/>
        <v>10873.320457708583</v>
      </c>
      <c r="V16" s="123">
        <f t="shared" si="7"/>
        <v>9385.912932008865</v>
      </c>
      <c r="W16" s="124">
        <f t="shared" si="7"/>
        <v>9545.1933052590339</v>
      </c>
      <c r="X16" s="122">
        <f t="shared" si="7"/>
        <v>10330.836507905669</v>
      </c>
      <c r="Y16" s="125">
        <f t="shared" si="7"/>
        <v>11505.22356794503</v>
      </c>
      <c r="Z16" s="122">
        <f t="shared" si="7"/>
        <v>14700.830743881246</v>
      </c>
      <c r="AA16" s="123">
        <f t="shared" si="7"/>
        <v>12213.614915456143</v>
      </c>
      <c r="AB16" s="123">
        <f t="shared" si="7"/>
        <v>8468.2426565833121</v>
      </c>
      <c r="AC16" s="123">
        <f t="shared" si="7"/>
        <v>7872.3157690447197</v>
      </c>
      <c r="AD16" s="124">
        <f t="shared" si="7"/>
        <v>7779.4939667090266</v>
      </c>
      <c r="AE16" s="122">
        <f t="shared" si="8"/>
        <v>8707.9919014361803</v>
      </c>
      <c r="AF16" s="125">
        <f t="shared" si="8"/>
        <v>12067.764886178013</v>
      </c>
      <c r="AG16" s="122">
        <f t="shared" si="8"/>
        <v>14564.122276203598</v>
      </c>
      <c r="AH16" s="123">
        <f t="shared" si="8"/>
        <v>14156.802370816349</v>
      </c>
      <c r="AI16" s="123">
        <f t="shared" si="8"/>
        <v>10295.023321304154</v>
      </c>
      <c r="AJ16" s="123">
        <f t="shared" si="8"/>
        <v>15828.137939131573</v>
      </c>
      <c r="AK16" s="124">
        <f t="shared" si="8"/>
        <v>16283.395858640235</v>
      </c>
      <c r="AL16" s="122">
        <f t="shared" si="8"/>
        <v>19467.014970769902</v>
      </c>
      <c r="AM16" s="125">
        <f t="shared" si="8"/>
        <v>22749.359805320229</v>
      </c>
      <c r="AN16" s="125">
        <f t="shared" si="8"/>
        <v>23865.79219830134</v>
      </c>
      <c r="AO16" s="125">
        <f t="shared" si="8"/>
        <v>22855.70271657288</v>
      </c>
      <c r="AP16" s="3">
        <f t="shared" si="5"/>
        <v>344778.73445039551</v>
      </c>
      <c r="AQ16" s="110">
        <f t="shared" si="4"/>
        <v>450000.00000000012</v>
      </c>
    </row>
    <row r="17" spans="1:43" x14ac:dyDescent="0.25">
      <c r="A17" s="118">
        <v>40</v>
      </c>
      <c r="B17" s="4" t="s">
        <v>19</v>
      </c>
      <c r="C17" s="4" t="s">
        <v>304</v>
      </c>
      <c r="D17" s="4" t="s">
        <v>138</v>
      </c>
      <c r="E17" s="4" t="s">
        <v>296</v>
      </c>
      <c r="F17" s="4" t="s">
        <v>129</v>
      </c>
      <c r="G17" s="119">
        <v>45641</v>
      </c>
      <c r="H17" s="4">
        <v>5</v>
      </c>
      <c r="I17" s="4" t="s">
        <v>519</v>
      </c>
      <c r="J17" s="120">
        <v>440000</v>
      </c>
      <c r="K17" s="121">
        <f t="shared" si="6"/>
        <v>22290.258817282094</v>
      </c>
      <c r="L17" s="122">
        <f t="shared" si="6"/>
        <v>27897.122420429434</v>
      </c>
      <c r="M17" s="123">
        <f t="shared" si="6"/>
        <v>25522.250095344196</v>
      </c>
      <c r="N17" s="123">
        <f t="shared" si="6"/>
        <v>12478.775807655094</v>
      </c>
      <c r="O17" s="123">
        <f t="shared" si="6"/>
        <v>11095.890696035131</v>
      </c>
      <c r="P17" s="124">
        <f t="shared" si="6"/>
        <v>10401.428534934863</v>
      </c>
      <c r="Q17" s="122">
        <f t="shared" si="6"/>
        <v>10501.019210771306</v>
      </c>
      <c r="R17" s="125">
        <f t="shared" si="6"/>
        <v>13170.4419979177</v>
      </c>
      <c r="S17" s="122">
        <f t="shared" si="6"/>
        <v>13200</v>
      </c>
      <c r="T17" s="123">
        <f t="shared" si="6"/>
        <v>16227.076976169172</v>
      </c>
      <c r="U17" s="123">
        <f t="shared" si="7"/>
        <v>10631.691114203948</v>
      </c>
      <c r="V17" s="123">
        <f t="shared" si="7"/>
        <v>9177.3370890753358</v>
      </c>
      <c r="W17" s="124">
        <f t="shared" si="7"/>
        <v>9333.0778984754998</v>
      </c>
      <c r="X17" s="122">
        <f t="shared" si="7"/>
        <v>10101.262363285543</v>
      </c>
      <c r="Y17" s="125">
        <f t="shared" si="7"/>
        <v>11249.551933101806</v>
      </c>
      <c r="Z17" s="122">
        <f t="shared" si="7"/>
        <v>14374.145616239441</v>
      </c>
      <c r="AA17" s="123">
        <f t="shared" si="7"/>
        <v>11942.201250668228</v>
      </c>
      <c r="AB17" s="123">
        <f t="shared" si="7"/>
        <v>8280.0594864370159</v>
      </c>
      <c r="AC17" s="123">
        <f t="shared" si="7"/>
        <v>7697.3754186215037</v>
      </c>
      <c r="AD17" s="124">
        <f t="shared" si="7"/>
        <v>7606.6163230043812</v>
      </c>
      <c r="AE17" s="122">
        <f t="shared" si="8"/>
        <v>8514.4809702931543</v>
      </c>
      <c r="AF17" s="125">
        <f t="shared" si="8"/>
        <v>11799.592333151835</v>
      </c>
      <c r="AG17" s="122">
        <f t="shared" si="8"/>
        <v>14240.475114510184</v>
      </c>
      <c r="AH17" s="123">
        <f t="shared" si="8"/>
        <v>13842.206762575985</v>
      </c>
      <c r="AI17" s="123">
        <f t="shared" si="8"/>
        <v>10066.245025275173</v>
      </c>
      <c r="AJ17" s="123">
        <f t="shared" si="8"/>
        <v>15476.401540484205</v>
      </c>
      <c r="AK17" s="124">
        <f t="shared" si="8"/>
        <v>15921.54261733712</v>
      </c>
      <c r="AL17" s="122">
        <f t="shared" si="8"/>
        <v>19034.414638086128</v>
      </c>
      <c r="AM17" s="125">
        <f t="shared" si="8"/>
        <v>22243.818476313114</v>
      </c>
      <c r="AN17" s="125">
        <f t="shared" si="8"/>
        <v>23335.441260561311</v>
      </c>
      <c r="AO17" s="125">
        <f t="shared" si="8"/>
        <v>22347.79821176015</v>
      </c>
      <c r="AP17" s="3">
        <f t="shared" si="5"/>
        <v>337116.9847959422</v>
      </c>
      <c r="AQ17" s="110">
        <f t="shared" si="4"/>
        <v>440000</v>
      </c>
    </row>
    <row r="18" spans="1:43" x14ac:dyDescent="0.25">
      <c r="A18" s="118">
        <v>86</v>
      </c>
      <c r="B18" s="4" t="s">
        <v>36</v>
      </c>
      <c r="C18" s="4" t="s">
        <v>288</v>
      </c>
      <c r="D18" s="4" t="s">
        <v>145</v>
      </c>
      <c r="E18" s="4" t="s">
        <v>343</v>
      </c>
      <c r="F18" s="4" t="s">
        <v>131</v>
      </c>
      <c r="G18" s="119">
        <v>45708</v>
      </c>
      <c r="H18" s="4">
        <v>4</v>
      </c>
      <c r="I18" s="4" t="s">
        <v>519</v>
      </c>
      <c r="J18" s="120">
        <v>413000</v>
      </c>
      <c r="K18" s="121">
        <f t="shared" si="6"/>
        <v>20922.447480767056</v>
      </c>
      <c r="L18" s="122">
        <f t="shared" si="6"/>
        <v>26185.253544630355</v>
      </c>
      <c r="M18" s="123">
        <f t="shared" si="6"/>
        <v>23956.11202131171</v>
      </c>
      <c r="N18" s="123">
        <f t="shared" si="6"/>
        <v>11713.032746730803</v>
      </c>
      <c r="O18" s="123">
        <f t="shared" si="6"/>
        <v>10415.006494232975</v>
      </c>
      <c r="P18" s="124">
        <f t="shared" si="6"/>
        <v>9763.1590566547693</v>
      </c>
      <c r="Q18" s="122">
        <f t="shared" si="6"/>
        <v>9856.6384864739757</v>
      </c>
      <c r="R18" s="125">
        <f t="shared" si="6"/>
        <v>12362.255784409113</v>
      </c>
      <c r="S18" s="122">
        <f t="shared" si="6"/>
        <v>12390</v>
      </c>
      <c r="T18" s="123">
        <f t="shared" si="6"/>
        <v>15231.32452535879</v>
      </c>
      <c r="U18" s="123">
        <f t="shared" si="7"/>
        <v>9979.2918867414337</v>
      </c>
      <c r="V18" s="123">
        <f t="shared" si="7"/>
        <v>8614.1823131548026</v>
      </c>
      <c r="W18" s="124">
        <f t="shared" si="7"/>
        <v>8760.366300159958</v>
      </c>
      <c r="X18" s="122">
        <f t="shared" si="7"/>
        <v>9481.4121728112023</v>
      </c>
      <c r="Y18" s="125">
        <f t="shared" si="7"/>
        <v>10559.238519025104</v>
      </c>
      <c r="Z18" s="122">
        <f t="shared" si="7"/>
        <v>13492.095771606566</v>
      </c>
      <c r="AA18" s="123">
        <f t="shared" si="7"/>
        <v>11209.38435574086</v>
      </c>
      <c r="AB18" s="123">
        <f t="shared" si="7"/>
        <v>7771.9649270420177</v>
      </c>
      <c r="AC18" s="123">
        <f t="shared" si="7"/>
        <v>7225.0364724788205</v>
      </c>
      <c r="AD18" s="124">
        <f t="shared" si="7"/>
        <v>7139.8466850018403</v>
      </c>
      <c r="AE18" s="122">
        <f t="shared" si="8"/>
        <v>7992.0014562069828</v>
      </c>
      <c r="AF18" s="125">
        <f t="shared" si="8"/>
        <v>11075.526439981155</v>
      </c>
      <c r="AG18" s="122">
        <f t="shared" si="8"/>
        <v>13366.627777937969</v>
      </c>
      <c r="AH18" s="123">
        <f t="shared" si="8"/>
        <v>12992.798620327005</v>
      </c>
      <c r="AI18" s="123">
        <f t="shared" si="8"/>
        <v>9448.5436259969229</v>
      </c>
      <c r="AJ18" s="123">
        <f t="shared" si="8"/>
        <v>14526.713264136311</v>
      </c>
      <c r="AK18" s="124">
        <f t="shared" si="8"/>
        <v>14944.538865818706</v>
      </c>
      <c r="AL18" s="122">
        <f t="shared" si="8"/>
        <v>17866.393739839932</v>
      </c>
      <c r="AM18" s="125">
        <f t="shared" si="8"/>
        <v>20878.856887993901</v>
      </c>
      <c r="AN18" s="125">
        <f t="shared" si="8"/>
        <v>21903.49372866323</v>
      </c>
      <c r="AO18" s="125">
        <f t="shared" si="8"/>
        <v>20976.456048765776</v>
      </c>
      <c r="AP18" s="3">
        <f t="shared" si="5"/>
        <v>316430.26072891848</v>
      </c>
      <c r="AQ18" s="110">
        <f t="shared" si="4"/>
        <v>413000.00000000012</v>
      </c>
    </row>
    <row r="19" spans="1:43" x14ac:dyDescent="0.25">
      <c r="A19" s="118">
        <v>102</v>
      </c>
      <c r="B19" s="4" t="s">
        <v>25</v>
      </c>
      <c r="C19" s="4" t="s">
        <v>367</v>
      </c>
      <c r="D19" s="4" t="s">
        <v>158</v>
      </c>
      <c r="E19" s="4" t="s">
        <v>296</v>
      </c>
      <c r="F19" s="4" t="s">
        <v>128</v>
      </c>
      <c r="G19" s="119">
        <v>45614</v>
      </c>
      <c r="H19" s="4">
        <v>7</v>
      </c>
      <c r="I19" s="4" t="s">
        <v>519</v>
      </c>
      <c r="J19" s="120">
        <v>408836.54144562897</v>
      </c>
      <c r="K19" s="121">
        <f t="shared" si="6"/>
        <v>20711.528006330791</v>
      </c>
      <c r="L19" s="122">
        <f t="shared" si="6"/>
        <v>25921.279651485645</v>
      </c>
      <c r="M19" s="123">
        <f t="shared" si="6"/>
        <v>23714.610133842943</v>
      </c>
      <c r="N19" s="123">
        <f t="shared" si="6"/>
        <v>11594.953506084305</v>
      </c>
      <c r="O19" s="123">
        <f t="shared" si="6"/>
        <v>10310.012673694853</v>
      </c>
      <c r="P19" s="124">
        <f t="shared" si="6"/>
        <v>9664.7365189014654</v>
      </c>
      <c r="Q19" s="122">
        <f t="shared" si="6"/>
        <v>9757.2735813314757</v>
      </c>
      <c r="R19" s="125">
        <f t="shared" si="6"/>
        <v>12237.631717588481</v>
      </c>
      <c r="S19" s="122">
        <f t="shared" si="6"/>
        <v>12265.096243368869</v>
      </c>
      <c r="T19" s="123">
        <f t="shared" si="6"/>
        <v>15077.777337974998</v>
      </c>
      <c r="U19" s="123">
        <f t="shared" si="7"/>
        <v>9878.6905110212901</v>
      </c>
      <c r="V19" s="123">
        <f t="shared" si="7"/>
        <v>8527.3426254051283</v>
      </c>
      <c r="W19" s="124">
        <f t="shared" si="7"/>
        <v>8672.0529296712793</v>
      </c>
      <c r="X19" s="122">
        <f t="shared" si="7"/>
        <v>9385.8299291830954</v>
      </c>
      <c r="Y19" s="125">
        <f t="shared" si="7"/>
        <v>10452.7906935053</v>
      </c>
      <c r="Z19" s="122">
        <f t="shared" si="7"/>
        <v>13356.08177267996</v>
      </c>
      <c r="AA19" s="123">
        <f t="shared" si="7"/>
        <v>11096.382401297416</v>
      </c>
      <c r="AB19" s="123">
        <f t="shared" si="7"/>
        <v>7693.6156440885925</v>
      </c>
      <c r="AC19" s="123">
        <f t="shared" si="7"/>
        <v>7152.2007826314002</v>
      </c>
      <c r="AD19" s="124">
        <f t="shared" si="7"/>
        <v>7067.8697945476788</v>
      </c>
      <c r="AE19" s="122">
        <f t="shared" si="8"/>
        <v>7911.4339820438099</v>
      </c>
      <c r="AF19" s="125">
        <f t="shared" si="8"/>
        <v>10963.873908986719</v>
      </c>
      <c r="AG19" s="122">
        <f t="shared" si="8"/>
        <v>13231.878623542934</v>
      </c>
      <c r="AH19" s="123">
        <f t="shared" si="8"/>
        <v>12861.818042697414</v>
      </c>
      <c r="AI19" s="123">
        <f t="shared" si="8"/>
        <v>9353.292730631294</v>
      </c>
      <c r="AJ19" s="123">
        <f t="shared" si="8"/>
        <v>14380.269272353107</v>
      </c>
      <c r="AK19" s="124">
        <f t="shared" si="8"/>
        <v>14793.882768525671</v>
      </c>
      <c r="AL19" s="122">
        <f t="shared" si="8"/>
        <v>17686.282384266331</v>
      </c>
      <c r="AM19" s="125">
        <f t="shared" si="8"/>
        <v>20668.376850909623</v>
      </c>
      <c r="AN19" s="125">
        <f t="shared" si="8"/>
        <v>21682.684313807989</v>
      </c>
      <c r="AO19" s="125">
        <f t="shared" si="8"/>
        <v>20764.99211322916</v>
      </c>
      <c r="AP19" s="3">
        <f t="shared" si="5"/>
        <v>313240.32301489025</v>
      </c>
      <c r="AQ19" s="110">
        <f t="shared" si="4"/>
        <v>408836.54144562903</v>
      </c>
    </row>
    <row r="20" spans="1:43" x14ac:dyDescent="0.25">
      <c r="A20" s="118">
        <v>79</v>
      </c>
      <c r="B20" s="4" t="s">
        <v>15</v>
      </c>
      <c r="C20" s="4" t="s">
        <v>344</v>
      </c>
      <c r="D20" s="4" t="s">
        <v>145</v>
      </c>
      <c r="E20" s="4" t="s">
        <v>343</v>
      </c>
      <c r="F20" s="4" t="s">
        <v>131</v>
      </c>
      <c r="G20" s="119">
        <v>45532</v>
      </c>
      <c r="H20" s="4">
        <v>4</v>
      </c>
      <c r="I20" s="4" t="s">
        <v>519</v>
      </c>
      <c r="J20" s="120">
        <v>403000</v>
      </c>
      <c r="K20" s="121">
        <f t="shared" si="6"/>
        <v>20415.850689465191</v>
      </c>
      <c r="L20" s="122">
        <f t="shared" si="6"/>
        <v>25551.228035075143</v>
      </c>
      <c r="M20" s="123">
        <f t="shared" si="6"/>
        <v>23376.060882781163</v>
      </c>
      <c r="N20" s="123">
        <f t="shared" si="6"/>
        <v>11429.424205647734</v>
      </c>
      <c r="O20" s="123">
        <f t="shared" si="6"/>
        <v>10162.827160232177</v>
      </c>
      <c r="P20" s="124">
        <f t="shared" si="6"/>
        <v>9526.7629535880678</v>
      </c>
      <c r="Q20" s="122">
        <f t="shared" si="6"/>
        <v>9617.9789589564461</v>
      </c>
      <c r="R20" s="125">
        <f t="shared" si="6"/>
        <v>12062.927557183712</v>
      </c>
      <c r="S20" s="122">
        <f t="shared" si="6"/>
        <v>12090</v>
      </c>
      <c r="T20" s="123">
        <f t="shared" si="6"/>
        <v>14862.527321354946</v>
      </c>
      <c r="U20" s="123">
        <f t="shared" si="7"/>
        <v>9737.6625432367982</v>
      </c>
      <c r="V20" s="123">
        <f t="shared" si="7"/>
        <v>8405.6064702212734</v>
      </c>
      <c r="W20" s="124">
        <f t="shared" si="7"/>
        <v>8548.2508933764238</v>
      </c>
      <c r="X20" s="122">
        <f t="shared" si="7"/>
        <v>9251.8380281910759</v>
      </c>
      <c r="Y20" s="125">
        <f t="shared" si="7"/>
        <v>10303.566884181882</v>
      </c>
      <c r="Z20" s="122">
        <f t="shared" si="7"/>
        <v>13165.410643964762</v>
      </c>
      <c r="AA20" s="123">
        <f t="shared" si="7"/>
        <v>10937.970690952945</v>
      </c>
      <c r="AB20" s="123">
        <f t="shared" si="7"/>
        <v>7583.7817568957225</v>
      </c>
      <c r="AC20" s="123">
        <f t="shared" si="7"/>
        <v>7050.0961220556046</v>
      </c>
      <c r="AD20" s="124">
        <f t="shared" si="7"/>
        <v>6966.969041297195</v>
      </c>
      <c r="AE20" s="122">
        <f t="shared" si="8"/>
        <v>7798.4905250639567</v>
      </c>
      <c r="AF20" s="125">
        <f t="shared" si="8"/>
        <v>10807.353886954976</v>
      </c>
      <c r="AG20" s="122">
        <f t="shared" si="8"/>
        <v>13042.980616244555</v>
      </c>
      <c r="AH20" s="123">
        <f t="shared" si="8"/>
        <v>12678.20301208664</v>
      </c>
      <c r="AI20" s="123">
        <f t="shared" si="8"/>
        <v>9219.7653299679423</v>
      </c>
      <c r="AJ20" s="123">
        <f t="shared" si="8"/>
        <v>14174.976865488943</v>
      </c>
      <c r="AK20" s="124">
        <f t="shared" si="8"/>
        <v>14582.685624515589</v>
      </c>
      <c r="AL20" s="122">
        <f t="shared" si="8"/>
        <v>17433.793407156158</v>
      </c>
      <c r="AM20" s="125">
        <f t="shared" si="8"/>
        <v>20373.315558986786</v>
      </c>
      <c r="AN20" s="125">
        <f t="shared" si="8"/>
        <v>21373.142790923201</v>
      </c>
      <c r="AO20" s="125">
        <f t="shared" si="8"/>
        <v>20468.551543953046</v>
      </c>
      <c r="AP20" s="3">
        <f t="shared" si="5"/>
        <v>308768.51107446523</v>
      </c>
      <c r="AQ20" s="110">
        <f t="shared" si="4"/>
        <v>403000</v>
      </c>
    </row>
    <row r="21" spans="1:43" x14ac:dyDescent="0.25">
      <c r="A21" s="118">
        <v>66</v>
      </c>
      <c r="B21" s="4" t="s">
        <v>52</v>
      </c>
      <c r="C21" s="4" t="s">
        <v>329</v>
      </c>
      <c r="D21" s="4" t="s">
        <v>139</v>
      </c>
      <c r="E21" s="4" t="s">
        <v>296</v>
      </c>
      <c r="F21" s="4" t="s">
        <v>130</v>
      </c>
      <c r="G21" s="119">
        <v>45739</v>
      </c>
      <c r="H21" s="4">
        <v>6</v>
      </c>
      <c r="I21" s="4" t="s">
        <v>519</v>
      </c>
      <c r="J21" s="120">
        <v>400000</v>
      </c>
      <c r="K21" s="121">
        <f t="shared" si="6"/>
        <v>20263.871652074631</v>
      </c>
      <c r="L21" s="122">
        <f t="shared" si="6"/>
        <v>25361.020382208575</v>
      </c>
      <c r="M21" s="123">
        <f t="shared" si="6"/>
        <v>23202.045541221996</v>
      </c>
      <c r="N21" s="123">
        <f t="shared" si="6"/>
        <v>11344.341643322812</v>
      </c>
      <c r="O21" s="123">
        <f t="shared" si="6"/>
        <v>10087.173360031937</v>
      </c>
      <c r="P21" s="124">
        <f t="shared" si="6"/>
        <v>9455.844122668057</v>
      </c>
      <c r="Q21" s="122">
        <f t="shared" si="6"/>
        <v>9546.3811007011882</v>
      </c>
      <c r="R21" s="125">
        <f t="shared" si="6"/>
        <v>11973.129089016091</v>
      </c>
      <c r="S21" s="122">
        <f t="shared" si="6"/>
        <v>12000</v>
      </c>
      <c r="T21" s="123">
        <f t="shared" si="6"/>
        <v>14751.888160153792</v>
      </c>
      <c r="U21" s="123">
        <f t="shared" si="7"/>
        <v>9665.173740185408</v>
      </c>
      <c r="V21" s="123">
        <f t="shared" si="7"/>
        <v>8343.0337173412136</v>
      </c>
      <c r="W21" s="124">
        <f t="shared" si="7"/>
        <v>8484.6162713413632</v>
      </c>
      <c r="X21" s="122">
        <f t="shared" si="7"/>
        <v>9182.9657848050392</v>
      </c>
      <c r="Y21" s="125">
        <f t="shared" si="7"/>
        <v>10226.865393728915</v>
      </c>
      <c r="Z21" s="122">
        <f t="shared" si="7"/>
        <v>13067.40510567222</v>
      </c>
      <c r="AA21" s="123">
        <f t="shared" si="7"/>
        <v>10856.546591516571</v>
      </c>
      <c r="AB21" s="123">
        <f t="shared" si="7"/>
        <v>7527.3268058518333</v>
      </c>
      <c r="AC21" s="123">
        <f t="shared" si="7"/>
        <v>6997.61401692864</v>
      </c>
      <c r="AD21" s="124">
        <f t="shared" si="7"/>
        <v>6915.1057481858015</v>
      </c>
      <c r="AE21" s="122">
        <f t="shared" si="8"/>
        <v>7740.4372457210493</v>
      </c>
      <c r="AF21" s="125">
        <f t="shared" si="8"/>
        <v>10726.902121047124</v>
      </c>
      <c r="AG21" s="122">
        <f t="shared" si="8"/>
        <v>12945.886467736531</v>
      </c>
      <c r="AH21" s="123">
        <f t="shared" si="8"/>
        <v>12583.824329614532</v>
      </c>
      <c r="AI21" s="123">
        <f t="shared" si="8"/>
        <v>9151.1318411592474</v>
      </c>
      <c r="AJ21" s="123">
        <f t="shared" si="8"/>
        <v>14069.455945894731</v>
      </c>
      <c r="AK21" s="124">
        <f t="shared" si="8"/>
        <v>14474.129652124653</v>
      </c>
      <c r="AL21" s="122">
        <f t="shared" si="8"/>
        <v>17304.013307351022</v>
      </c>
      <c r="AM21" s="125">
        <f t="shared" si="8"/>
        <v>20221.653160284652</v>
      </c>
      <c r="AN21" s="125">
        <f t="shared" si="8"/>
        <v>21214.037509601192</v>
      </c>
      <c r="AO21" s="125">
        <f t="shared" si="8"/>
        <v>20316.180192509226</v>
      </c>
      <c r="AP21" s="3">
        <f t="shared" si="5"/>
        <v>306469.98617812933</v>
      </c>
      <c r="AQ21" s="110">
        <f t="shared" si="4"/>
        <v>400000.00000000012</v>
      </c>
    </row>
    <row r="22" spans="1:43" x14ac:dyDescent="0.25">
      <c r="A22" s="118">
        <v>58</v>
      </c>
      <c r="B22" s="4" t="s">
        <v>119</v>
      </c>
      <c r="C22" s="4" t="s">
        <v>321</v>
      </c>
      <c r="D22" s="4" t="s">
        <v>144</v>
      </c>
      <c r="E22" s="4" t="s">
        <v>266</v>
      </c>
      <c r="F22" s="4" t="s">
        <v>126</v>
      </c>
      <c r="G22" s="119">
        <v>46161</v>
      </c>
      <c r="H22" s="4">
        <v>4</v>
      </c>
      <c r="I22" s="4" t="s">
        <v>520</v>
      </c>
      <c r="J22" s="120">
        <v>387000</v>
      </c>
      <c r="K22" s="121">
        <f t="shared" si="6"/>
        <v>19605.295823382206</v>
      </c>
      <c r="L22" s="122">
        <f t="shared" si="6"/>
        <v>24536.787219786798</v>
      </c>
      <c r="M22" s="123">
        <f t="shared" si="6"/>
        <v>22447.979061132282</v>
      </c>
      <c r="N22" s="123">
        <f t="shared" si="6"/>
        <v>10975.650539914821</v>
      </c>
      <c r="O22" s="123">
        <f t="shared" si="6"/>
        <v>9759.3402258308997</v>
      </c>
      <c r="P22" s="124">
        <f t="shared" si="6"/>
        <v>9148.5291886813447</v>
      </c>
      <c r="Q22" s="122">
        <f t="shared" si="6"/>
        <v>9236.1237149283988</v>
      </c>
      <c r="R22" s="125">
        <f t="shared" si="6"/>
        <v>11584.002393623068</v>
      </c>
      <c r="S22" s="122">
        <f t="shared" si="6"/>
        <v>11610</v>
      </c>
      <c r="T22" s="123">
        <f t="shared" si="6"/>
        <v>14272.451794948794</v>
      </c>
      <c r="U22" s="123">
        <f t="shared" si="7"/>
        <v>9351.0555936293822</v>
      </c>
      <c r="V22" s="123">
        <f t="shared" si="7"/>
        <v>8071.8851215276245</v>
      </c>
      <c r="W22" s="124">
        <f t="shared" si="7"/>
        <v>8208.8662425227685</v>
      </c>
      <c r="X22" s="122">
        <f t="shared" si="7"/>
        <v>8884.5193967988744</v>
      </c>
      <c r="Y22" s="125">
        <f t="shared" si="7"/>
        <v>9894.4922684327248</v>
      </c>
      <c r="Z22" s="122">
        <f t="shared" si="7"/>
        <v>12642.714439737872</v>
      </c>
      <c r="AA22" s="123">
        <f t="shared" si="7"/>
        <v>10503.708827292283</v>
      </c>
      <c r="AB22" s="123">
        <f t="shared" si="7"/>
        <v>7282.6886846616489</v>
      </c>
      <c r="AC22" s="123">
        <f t="shared" si="7"/>
        <v>6770.1915613784586</v>
      </c>
      <c r="AD22" s="124">
        <f t="shared" si="7"/>
        <v>6690.3648113697627</v>
      </c>
      <c r="AE22" s="122">
        <f t="shared" si="8"/>
        <v>7488.8730352351149</v>
      </c>
      <c r="AF22" s="125">
        <f t="shared" si="8"/>
        <v>10378.277802113091</v>
      </c>
      <c r="AG22" s="122">
        <f t="shared" si="8"/>
        <v>12525.145157535093</v>
      </c>
      <c r="AH22" s="123">
        <f t="shared" si="8"/>
        <v>12174.850038902059</v>
      </c>
      <c r="AI22" s="123">
        <f t="shared" si="8"/>
        <v>8853.720056321572</v>
      </c>
      <c r="AJ22" s="123">
        <f t="shared" si="8"/>
        <v>13612.198627653153</v>
      </c>
      <c r="AK22" s="124">
        <f t="shared" si="8"/>
        <v>14003.720438430602</v>
      </c>
      <c r="AL22" s="122">
        <f t="shared" si="8"/>
        <v>16741.632874862116</v>
      </c>
      <c r="AM22" s="125">
        <f t="shared" si="8"/>
        <v>19564.449432575399</v>
      </c>
      <c r="AN22" s="125">
        <f t="shared" si="8"/>
        <v>20524.581290539154</v>
      </c>
      <c r="AO22" s="125">
        <f t="shared" si="8"/>
        <v>19655.904336252675</v>
      </c>
      <c r="AP22" s="3">
        <f t="shared" si="5"/>
        <v>296509.71162734018</v>
      </c>
      <c r="AQ22" s="110">
        <f t="shared" si="4"/>
        <v>387000.00000000012</v>
      </c>
    </row>
    <row r="23" spans="1:43" x14ac:dyDescent="0.25">
      <c r="A23" s="118">
        <v>6</v>
      </c>
      <c r="B23" s="4" t="s">
        <v>23</v>
      </c>
      <c r="C23" s="4" t="s">
        <v>267</v>
      </c>
      <c r="D23" s="4" t="s">
        <v>136</v>
      </c>
      <c r="E23" s="4" t="s">
        <v>266</v>
      </c>
      <c r="F23" s="4" t="s">
        <v>126</v>
      </c>
      <c r="G23" s="119">
        <v>45665</v>
      </c>
      <c r="H23" s="4">
        <v>10</v>
      </c>
      <c r="I23" s="4" t="s">
        <v>520</v>
      </c>
      <c r="J23" s="120">
        <v>380000</v>
      </c>
      <c r="K23" s="121">
        <f t="shared" si="6"/>
        <v>19250.678069470898</v>
      </c>
      <c r="L23" s="122">
        <f t="shared" si="6"/>
        <v>24092.969363098149</v>
      </c>
      <c r="M23" s="123">
        <f t="shared" si="6"/>
        <v>22041.943264160898</v>
      </c>
      <c r="N23" s="123">
        <f t="shared" si="6"/>
        <v>10777.124561156672</v>
      </c>
      <c r="O23" s="123">
        <f t="shared" si="6"/>
        <v>9582.8146920303407</v>
      </c>
      <c r="P23" s="124">
        <f t="shared" si="6"/>
        <v>8983.0519165346541</v>
      </c>
      <c r="Q23" s="122">
        <f t="shared" si="6"/>
        <v>9069.0620456661272</v>
      </c>
      <c r="R23" s="125">
        <f t="shared" si="6"/>
        <v>11374.472634565287</v>
      </c>
      <c r="S23" s="122">
        <f t="shared" si="6"/>
        <v>11400</v>
      </c>
      <c r="T23" s="123">
        <f t="shared" si="6"/>
        <v>14014.293752146103</v>
      </c>
      <c r="U23" s="123">
        <f t="shared" si="7"/>
        <v>9181.915053176137</v>
      </c>
      <c r="V23" s="123">
        <f t="shared" si="7"/>
        <v>7925.8820314741533</v>
      </c>
      <c r="W23" s="124">
        <f t="shared" si="7"/>
        <v>8060.3854577742959</v>
      </c>
      <c r="X23" s="122">
        <f t="shared" si="7"/>
        <v>8723.8174955647864</v>
      </c>
      <c r="Y23" s="125">
        <f t="shared" si="7"/>
        <v>9715.5221240424689</v>
      </c>
      <c r="Z23" s="122">
        <f t="shared" si="7"/>
        <v>12414.034850388609</v>
      </c>
      <c r="AA23" s="123">
        <f t="shared" si="7"/>
        <v>10313.719261940741</v>
      </c>
      <c r="AB23" s="123">
        <f t="shared" si="7"/>
        <v>7150.960465559242</v>
      </c>
      <c r="AC23" s="123">
        <f t="shared" si="7"/>
        <v>6647.7333160822072</v>
      </c>
      <c r="AD23" s="124">
        <f t="shared" si="7"/>
        <v>6569.3504607765117</v>
      </c>
      <c r="AE23" s="122">
        <f t="shared" si="8"/>
        <v>7353.4153834349963</v>
      </c>
      <c r="AF23" s="125">
        <f t="shared" si="8"/>
        <v>10190.557014994767</v>
      </c>
      <c r="AG23" s="122">
        <f t="shared" si="8"/>
        <v>12298.592144349705</v>
      </c>
      <c r="AH23" s="123">
        <f t="shared" si="8"/>
        <v>11954.633113133805</v>
      </c>
      <c r="AI23" s="123">
        <f t="shared" si="8"/>
        <v>8693.5752491012845</v>
      </c>
      <c r="AJ23" s="123">
        <f t="shared" si="8"/>
        <v>13365.983148599995</v>
      </c>
      <c r="AK23" s="124">
        <f t="shared" si="8"/>
        <v>13750.423169518421</v>
      </c>
      <c r="AL23" s="122">
        <f t="shared" si="8"/>
        <v>16438.812641983473</v>
      </c>
      <c r="AM23" s="125">
        <f t="shared" si="8"/>
        <v>19210.570502270417</v>
      </c>
      <c r="AN23" s="125">
        <f t="shared" si="8"/>
        <v>20153.335634121133</v>
      </c>
      <c r="AO23" s="125">
        <f t="shared" si="8"/>
        <v>19300.371182883766</v>
      </c>
      <c r="AP23" s="3">
        <f t="shared" si="5"/>
        <v>291146.48686922283</v>
      </c>
      <c r="AQ23" s="110">
        <f t="shared" si="4"/>
        <v>380000</v>
      </c>
    </row>
    <row r="24" spans="1:43" x14ac:dyDescent="0.25">
      <c r="A24" s="118">
        <v>4</v>
      </c>
      <c r="B24" s="4" t="s">
        <v>20</v>
      </c>
      <c r="C24" s="4" t="s">
        <v>264</v>
      </c>
      <c r="D24" s="4" t="s">
        <v>157</v>
      </c>
      <c r="E24" s="4" t="s">
        <v>261</v>
      </c>
      <c r="F24" s="4" t="s">
        <v>133</v>
      </c>
      <c r="G24" s="119">
        <v>45593</v>
      </c>
      <c r="H24" s="4">
        <v>8</v>
      </c>
      <c r="I24" s="4" t="s">
        <v>520</v>
      </c>
      <c r="J24" s="120">
        <v>360000</v>
      </c>
      <c r="K24" s="121">
        <f t="shared" si="6"/>
        <v>18237.484486867168</v>
      </c>
      <c r="L24" s="122">
        <f t="shared" si="6"/>
        <v>22824.91834398772</v>
      </c>
      <c r="M24" s="123">
        <f t="shared" si="6"/>
        <v>20881.840987099797</v>
      </c>
      <c r="N24" s="123">
        <f t="shared" si="6"/>
        <v>10209.907478990532</v>
      </c>
      <c r="O24" s="123">
        <f t="shared" si="6"/>
        <v>9078.4560240287428</v>
      </c>
      <c r="P24" s="124">
        <f t="shared" si="6"/>
        <v>8510.2597104012511</v>
      </c>
      <c r="Q24" s="122">
        <f t="shared" si="6"/>
        <v>8591.7429906310681</v>
      </c>
      <c r="R24" s="125">
        <f t="shared" si="6"/>
        <v>10775.816180114482</v>
      </c>
      <c r="S24" s="122">
        <f t="shared" si="6"/>
        <v>10800</v>
      </c>
      <c r="T24" s="123">
        <f t="shared" si="6"/>
        <v>13276.699344138413</v>
      </c>
      <c r="U24" s="123">
        <f t="shared" si="7"/>
        <v>8698.6563661668679</v>
      </c>
      <c r="V24" s="123">
        <f t="shared" si="7"/>
        <v>7508.7303456070922</v>
      </c>
      <c r="W24" s="124">
        <f t="shared" si="7"/>
        <v>7636.1546442072276</v>
      </c>
      <c r="X24" s="122">
        <f t="shared" si="7"/>
        <v>8264.6692063245355</v>
      </c>
      <c r="Y24" s="125">
        <f t="shared" si="7"/>
        <v>9204.1788543560233</v>
      </c>
      <c r="Z24" s="122">
        <f t="shared" si="7"/>
        <v>11760.664595104998</v>
      </c>
      <c r="AA24" s="123">
        <f t="shared" si="7"/>
        <v>9770.8919323649134</v>
      </c>
      <c r="AB24" s="123">
        <f t="shared" si="7"/>
        <v>6774.5941252666498</v>
      </c>
      <c r="AC24" s="123">
        <f t="shared" si="7"/>
        <v>6297.8526152357754</v>
      </c>
      <c r="AD24" s="124">
        <f t="shared" si="7"/>
        <v>6223.5951733672209</v>
      </c>
      <c r="AE24" s="122">
        <f t="shared" si="8"/>
        <v>6966.3935211489443</v>
      </c>
      <c r="AF24" s="125">
        <f t="shared" si="8"/>
        <v>9654.2119089424104</v>
      </c>
      <c r="AG24" s="122">
        <f t="shared" si="8"/>
        <v>11651.297820962878</v>
      </c>
      <c r="AH24" s="123">
        <f t="shared" si="8"/>
        <v>11325.441896653079</v>
      </c>
      <c r="AI24" s="123">
        <f t="shared" si="8"/>
        <v>8236.0186570433234</v>
      </c>
      <c r="AJ24" s="123">
        <f t="shared" si="8"/>
        <v>12662.510351305258</v>
      </c>
      <c r="AK24" s="124">
        <f t="shared" si="8"/>
        <v>13026.716686912188</v>
      </c>
      <c r="AL24" s="122">
        <f t="shared" si="8"/>
        <v>15573.611976615921</v>
      </c>
      <c r="AM24" s="125">
        <f t="shared" si="8"/>
        <v>18199.487844256186</v>
      </c>
      <c r="AN24" s="125">
        <f t="shared" si="8"/>
        <v>19092.633758641074</v>
      </c>
      <c r="AO24" s="125">
        <f t="shared" si="8"/>
        <v>18284.562173258302</v>
      </c>
      <c r="AP24" s="3">
        <f t="shared" si="5"/>
        <v>275822.98756031634</v>
      </c>
      <c r="AQ24" s="110">
        <f t="shared" si="4"/>
        <v>359999.99999999994</v>
      </c>
    </row>
    <row r="25" spans="1:43" x14ac:dyDescent="0.25">
      <c r="A25" s="118">
        <v>69</v>
      </c>
      <c r="B25" s="4" t="s">
        <v>22</v>
      </c>
      <c r="C25" s="4" t="s">
        <v>332</v>
      </c>
      <c r="D25" s="4" t="s">
        <v>139</v>
      </c>
      <c r="E25" s="4" t="s">
        <v>296</v>
      </c>
      <c r="F25" s="4" t="s">
        <v>130</v>
      </c>
      <c r="G25" s="119">
        <v>45631</v>
      </c>
      <c r="H25" s="4">
        <v>10</v>
      </c>
      <c r="I25" s="4" t="s">
        <v>520</v>
      </c>
      <c r="J25" s="120">
        <v>355000</v>
      </c>
      <c r="K25" s="121">
        <f t="shared" ref="K25:T34" si="9">$J25*K$4</f>
        <v>17984.186091216234</v>
      </c>
      <c r="L25" s="122">
        <f t="shared" si="9"/>
        <v>22507.905589210113</v>
      </c>
      <c r="M25" s="123">
        <f t="shared" si="9"/>
        <v>20591.815417834521</v>
      </c>
      <c r="N25" s="123">
        <f t="shared" si="9"/>
        <v>10068.103208448996</v>
      </c>
      <c r="O25" s="123">
        <f t="shared" si="9"/>
        <v>8952.3663570283443</v>
      </c>
      <c r="P25" s="124">
        <f t="shared" si="9"/>
        <v>8392.0616588679004</v>
      </c>
      <c r="Q25" s="122">
        <f t="shared" si="9"/>
        <v>8472.4132268723042</v>
      </c>
      <c r="R25" s="125">
        <f t="shared" si="9"/>
        <v>10626.15206650178</v>
      </c>
      <c r="S25" s="122">
        <f t="shared" si="9"/>
        <v>10650</v>
      </c>
      <c r="T25" s="123">
        <f t="shared" si="9"/>
        <v>13092.300742136491</v>
      </c>
      <c r="U25" s="123">
        <f t="shared" ref="U25:AD34" si="10">$J25*U$4</f>
        <v>8577.8416944145501</v>
      </c>
      <c r="V25" s="123">
        <f t="shared" si="10"/>
        <v>7404.4424241403276</v>
      </c>
      <c r="W25" s="124">
        <f t="shared" si="10"/>
        <v>7530.0969408154606</v>
      </c>
      <c r="X25" s="122">
        <f t="shared" si="10"/>
        <v>8149.8821340144723</v>
      </c>
      <c r="Y25" s="125">
        <f t="shared" si="10"/>
        <v>9076.3430369344114</v>
      </c>
      <c r="Z25" s="122">
        <f t="shared" si="10"/>
        <v>11597.322031284095</v>
      </c>
      <c r="AA25" s="123">
        <f t="shared" si="10"/>
        <v>9635.1850999709568</v>
      </c>
      <c r="AB25" s="123">
        <f t="shared" si="10"/>
        <v>6680.5025401935018</v>
      </c>
      <c r="AC25" s="123">
        <f t="shared" si="10"/>
        <v>6210.3824400241674</v>
      </c>
      <c r="AD25" s="124">
        <f t="shared" si="10"/>
        <v>6137.1563515148991</v>
      </c>
      <c r="AE25" s="122">
        <f t="shared" ref="AE25:AO34" si="11">$J25*AE$4</f>
        <v>6869.6380555774313</v>
      </c>
      <c r="AF25" s="125">
        <f t="shared" si="11"/>
        <v>9520.1256324293208</v>
      </c>
      <c r="AG25" s="122">
        <f t="shared" si="11"/>
        <v>11489.474240116171</v>
      </c>
      <c r="AH25" s="123">
        <f t="shared" si="11"/>
        <v>11168.144092532897</v>
      </c>
      <c r="AI25" s="123">
        <f t="shared" si="11"/>
        <v>8121.6295090288322</v>
      </c>
      <c r="AJ25" s="123">
        <f t="shared" si="11"/>
        <v>12486.642151981574</v>
      </c>
      <c r="AK25" s="124">
        <f t="shared" si="11"/>
        <v>12845.79006626063</v>
      </c>
      <c r="AL25" s="122">
        <f t="shared" si="11"/>
        <v>15357.311810274034</v>
      </c>
      <c r="AM25" s="125">
        <f t="shared" si="11"/>
        <v>17946.717179752628</v>
      </c>
      <c r="AN25" s="125">
        <f t="shared" si="11"/>
        <v>18827.458289771057</v>
      </c>
      <c r="AO25" s="125">
        <f t="shared" si="11"/>
        <v>18030.609920851937</v>
      </c>
      <c r="AP25" s="3">
        <f t="shared" si="5"/>
        <v>271992.11273308971</v>
      </c>
      <c r="AQ25" s="110">
        <f t="shared" si="4"/>
        <v>355000</v>
      </c>
    </row>
    <row r="26" spans="1:43" x14ac:dyDescent="0.25">
      <c r="A26" s="118">
        <v>2</v>
      </c>
      <c r="B26" s="4" t="s">
        <v>74</v>
      </c>
      <c r="C26" s="4" t="s">
        <v>262</v>
      </c>
      <c r="D26" s="4" t="s">
        <v>157</v>
      </c>
      <c r="E26" s="4" t="s">
        <v>261</v>
      </c>
      <c r="F26" s="4" t="s">
        <v>133</v>
      </c>
      <c r="G26" s="119">
        <v>46021</v>
      </c>
      <c r="H26" s="4">
        <v>5</v>
      </c>
      <c r="I26" s="4" t="s">
        <v>520</v>
      </c>
      <c r="J26" s="120">
        <v>350000</v>
      </c>
      <c r="K26" s="121">
        <f t="shared" si="9"/>
        <v>17730.887695565303</v>
      </c>
      <c r="L26" s="122">
        <f t="shared" si="9"/>
        <v>22190.892834432503</v>
      </c>
      <c r="M26" s="123">
        <f t="shared" si="9"/>
        <v>20301.789848569246</v>
      </c>
      <c r="N26" s="123">
        <f t="shared" si="9"/>
        <v>9926.2989379074606</v>
      </c>
      <c r="O26" s="123">
        <f t="shared" si="9"/>
        <v>8826.2766900279439</v>
      </c>
      <c r="P26" s="124">
        <f t="shared" si="9"/>
        <v>8273.8636073345497</v>
      </c>
      <c r="Q26" s="122">
        <f t="shared" si="9"/>
        <v>8353.0834631135385</v>
      </c>
      <c r="R26" s="125">
        <f t="shared" si="9"/>
        <v>10476.48795288908</v>
      </c>
      <c r="S26" s="122">
        <f t="shared" si="9"/>
        <v>10500</v>
      </c>
      <c r="T26" s="123">
        <f t="shared" si="9"/>
        <v>12907.902140134569</v>
      </c>
      <c r="U26" s="123">
        <f t="shared" si="10"/>
        <v>8457.0270226622324</v>
      </c>
      <c r="V26" s="123">
        <f t="shared" si="10"/>
        <v>7300.1545026735621</v>
      </c>
      <c r="W26" s="124">
        <f t="shared" si="10"/>
        <v>7424.0392374236935</v>
      </c>
      <c r="X26" s="122">
        <f t="shared" si="10"/>
        <v>8035.0950617044091</v>
      </c>
      <c r="Y26" s="125">
        <f t="shared" si="10"/>
        <v>8948.5072195128014</v>
      </c>
      <c r="Z26" s="122">
        <f t="shared" si="10"/>
        <v>11433.979467463192</v>
      </c>
      <c r="AA26" s="123">
        <f t="shared" si="10"/>
        <v>9499.4782675770002</v>
      </c>
      <c r="AB26" s="123">
        <f t="shared" si="10"/>
        <v>6586.4109551203537</v>
      </c>
      <c r="AC26" s="123">
        <f t="shared" si="10"/>
        <v>6122.9122648125594</v>
      </c>
      <c r="AD26" s="124">
        <f t="shared" si="10"/>
        <v>6050.7175296625765</v>
      </c>
      <c r="AE26" s="122">
        <f t="shared" si="11"/>
        <v>6772.8825900059182</v>
      </c>
      <c r="AF26" s="125">
        <f t="shared" si="11"/>
        <v>9386.039355916233</v>
      </c>
      <c r="AG26" s="122">
        <f t="shared" si="11"/>
        <v>11327.650659269464</v>
      </c>
      <c r="AH26" s="123">
        <f t="shared" si="11"/>
        <v>11010.846288412715</v>
      </c>
      <c r="AI26" s="123">
        <f t="shared" si="11"/>
        <v>8007.2403610143419</v>
      </c>
      <c r="AJ26" s="123">
        <f t="shared" si="11"/>
        <v>12310.77395265789</v>
      </c>
      <c r="AK26" s="124">
        <f t="shared" si="11"/>
        <v>12664.863445609071</v>
      </c>
      <c r="AL26" s="122">
        <f t="shared" si="11"/>
        <v>15141.011643932146</v>
      </c>
      <c r="AM26" s="125">
        <f t="shared" si="11"/>
        <v>17693.94651524907</v>
      </c>
      <c r="AN26" s="125">
        <f t="shared" si="11"/>
        <v>18562.282820901044</v>
      </c>
      <c r="AO26" s="125">
        <f t="shared" si="11"/>
        <v>17776.657668445572</v>
      </c>
      <c r="AP26" s="3">
        <f t="shared" si="5"/>
        <v>268161.23790586309</v>
      </c>
      <c r="AQ26" s="110">
        <f t="shared" si="4"/>
        <v>349999.99999999994</v>
      </c>
    </row>
    <row r="27" spans="1:43" x14ac:dyDescent="0.25">
      <c r="A27" s="118">
        <v>44</v>
      </c>
      <c r="B27" s="4" t="s">
        <v>32</v>
      </c>
      <c r="C27" s="4" t="s">
        <v>308</v>
      </c>
      <c r="D27" s="4" t="s">
        <v>138</v>
      </c>
      <c r="E27" s="4" t="s">
        <v>296</v>
      </c>
      <c r="F27" s="4" t="s">
        <v>129</v>
      </c>
      <c r="G27" s="119">
        <v>45689</v>
      </c>
      <c r="H27" s="4">
        <v>4</v>
      </c>
      <c r="I27" s="4" t="s">
        <v>520</v>
      </c>
      <c r="J27" s="120">
        <v>350000</v>
      </c>
      <c r="K27" s="121">
        <f t="shared" si="9"/>
        <v>17730.887695565303</v>
      </c>
      <c r="L27" s="122">
        <f t="shared" si="9"/>
        <v>22190.892834432503</v>
      </c>
      <c r="M27" s="123">
        <f t="shared" si="9"/>
        <v>20301.789848569246</v>
      </c>
      <c r="N27" s="123">
        <f t="shared" si="9"/>
        <v>9926.2989379074606</v>
      </c>
      <c r="O27" s="123">
        <f t="shared" si="9"/>
        <v>8826.2766900279439</v>
      </c>
      <c r="P27" s="124">
        <f t="shared" si="9"/>
        <v>8273.8636073345497</v>
      </c>
      <c r="Q27" s="122">
        <f t="shared" si="9"/>
        <v>8353.0834631135385</v>
      </c>
      <c r="R27" s="125">
        <f t="shared" si="9"/>
        <v>10476.48795288908</v>
      </c>
      <c r="S27" s="122">
        <f t="shared" si="9"/>
        <v>10500</v>
      </c>
      <c r="T27" s="123">
        <f t="shared" si="9"/>
        <v>12907.902140134569</v>
      </c>
      <c r="U27" s="123">
        <f t="shared" si="10"/>
        <v>8457.0270226622324</v>
      </c>
      <c r="V27" s="123">
        <f t="shared" si="10"/>
        <v>7300.1545026735621</v>
      </c>
      <c r="W27" s="124">
        <f t="shared" si="10"/>
        <v>7424.0392374236935</v>
      </c>
      <c r="X27" s="122">
        <f t="shared" si="10"/>
        <v>8035.0950617044091</v>
      </c>
      <c r="Y27" s="125">
        <f t="shared" si="10"/>
        <v>8948.5072195128014</v>
      </c>
      <c r="Z27" s="122">
        <f t="shared" si="10"/>
        <v>11433.979467463192</v>
      </c>
      <c r="AA27" s="123">
        <f t="shared" si="10"/>
        <v>9499.4782675770002</v>
      </c>
      <c r="AB27" s="123">
        <f t="shared" si="10"/>
        <v>6586.4109551203537</v>
      </c>
      <c r="AC27" s="123">
        <f t="shared" si="10"/>
        <v>6122.9122648125594</v>
      </c>
      <c r="AD27" s="124">
        <f t="shared" si="10"/>
        <v>6050.7175296625765</v>
      </c>
      <c r="AE27" s="122">
        <f t="shared" si="11"/>
        <v>6772.8825900059182</v>
      </c>
      <c r="AF27" s="125">
        <f t="shared" si="11"/>
        <v>9386.039355916233</v>
      </c>
      <c r="AG27" s="122">
        <f t="shared" si="11"/>
        <v>11327.650659269464</v>
      </c>
      <c r="AH27" s="123">
        <f t="shared" si="11"/>
        <v>11010.846288412715</v>
      </c>
      <c r="AI27" s="123">
        <f t="shared" si="11"/>
        <v>8007.2403610143419</v>
      </c>
      <c r="AJ27" s="123">
        <f t="shared" si="11"/>
        <v>12310.77395265789</v>
      </c>
      <c r="AK27" s="124">
        <f t="shared" si="11"/>
        <v>12664.863445609071</v>
      </c>
      <c r="AL27" s="122">
        <f t="shared" si="11"/>
        <v>15141.011643932146</v>
      </c>
      <c r="AM27" s="125">
        <f t="shared" si="11"/>
        <v>17693.94651524907</v>
      </c>
      <c r="AN27" s="125">
        <f t="shared" si="11"/>
        <v>18562.282820901044</v>
      </c>
      <c r="AO27" s="125">
        <f t="shared" si="11"/>
        <v>17776.657668445572</v>
      </c>
      <c r="AP27" s="3">
        <f t="shared" si="5"/>
        <v>268161.23790586309</v>
      </c>
      <c r="AQ27" s="110">
        <f t="shared" si="4"/>
        <v>349999.99999999994</v>
      </c>
    </row>
    <row r="28" spans="1:43" x14ac:dyDescent="0.25">
      <c r="A28" s="118">
        <v>57</v>
      </c>
      <c r="B28" s="4" t="s">
        <v>53</v>
      </c>
      <c r="C28" s="4" t="s">
        <v>320</v>
      </c>
      <c r="D28" s="4" t="s">
        <v>159</v>
      </c>
      <c r="E28" s="4" t="s">
        <v>261</v>
      </c>
      <c r="F28" s="4" t="s">
        <v>133</v>
      </c>
      <c r="G28" s="119">
        <v>45744</v>
      </c>
      <c r="H28" s="4">
        <v>5</v>
      </c>
      <c r="I28" s="4" t="s">
        <v>520</v>
      </c>
      <c r="J28" s="120">
        <v>350000</v>
      </c>
      <c r="K28" s="121">
        <f t="shared" si="9"/>
        <v>17730.887695565303</v>
      </c>
      <c r="L28" s="122">
        <f t="shared" si="9"/>
        <v>22190.892834432503</v>
      </c>
      <c r="M28" s="123">
        <f t="shared" si="9"/>
        <v>20301.789848569246</v>
      </c>
      <c r="N28" s="123">
        <f t="shared" si="9"/>
        <v>9926.2989379074606</v>
      </c>
      <c r="O28" s="123">
        <f t="shared" si="9"/>
        <v>8826.2766900279439</v>
      </c>
      <c r="P28" s="124">
        <f t="shared" si="9"/>
        <v>8273.8636073345497</v>
      </c>
      <c r="Q28" s="122">
        <f t="shared" si="9"/>
        <v>8353.0834631135385</v>
      </c>
      <c r="R28" s="125">
        <f t="shared" si="9"/>
        <v>10476.48795288908</v>
      </c>
      <c r="S28" s="122">
        <f t="shared" si="9"/>
        <v>10500</v>
      </c>
      <c r="T28" s="123">
        <f t="shared" si="9"/>
        <v>12907.902140134569</v>
      </c>
      <c r="U28" s="123">
        <f t="shared" si="10"/>
        <v>8457.0270226622324</v>
      </c>
      <c r="V28" s="123">
        <f t="shared" si="10"/>
        <v>7300.1545026735621</v>
      </c>
      <c r="W28" s="124">
        <f t="shared" si="10"/>
        <v>7424.0392374236935</v>
      </c>
      <c r="X28" s="122">
        <f t="shared" si="10"/>
        <v>8035.0950617044091</v>
      </c>
      <c r="Y28" s="125">
        <f t="shared" si="10"/>
        <v>8948.5072195128014</v>
      </c>
      <c r="Z28" s="122">
        <f t="shared" si="10"/>
        <v>11433.979467463192</v>
      </c>
      <c r="AA28" s="123">
        <f t="shared" si="10"/>
        <v>9499.4782675770002</v>
      </c>
      <c r="AB28" s="123">
        <f t="shared" si="10"/>
        <v>6586.4109551203537</v>
      </c>
      <c r="AC28" s="123">
        <f t="shared" si="10"/>
        <v>6122.9122648125594</v>
      </c>
      <c r="AD28" s="124">
        <f t="shared" si="10"/>
        <v>6050.7175296625765</v>
      </c>
      <c r="AE28" s="122">
        <f t="shared" si="11"/>
        <v>6772.8825900059182</v>
      </c>
      <c r="AF28" s="125">
        <f t="shared" si="11"/>
        <v>9386.039355916233</v>
      </c>
      <c r="AG28" s="122">
        <f t="shared" si="11"/>
        <v>11327.650659269464</v>
      </c>
      <c r="AH28" s="123">
        <f t="shared" si="11"/>
        <v>11010.846288412715</v>
      </c>
      <c r="AI28" s="123">
        <f t="shared" si="11"/>
        <v>8007.2403610143419</v>
      </c>
      <c r="AJ28" s="123">
        <f t="shared" si="11"/>
        <v>12310.77395265789</v>
      </c>
      <c r="AK28" s="124">
        <f t="shared" si="11"/>
        <v>12664.863445609071</v>
      </c>
      <c r="AL28" s="122">
        <f t="shared" si="11"/>
        <v>15141.011643932146</v>
      </c>
      <c r="AM28" s="125">
        <f t="shared" si="11"/>
        <v>17693.94651524907</v>
      </c>
      <c r="AN28" s="125">
        <f t="shared" si="11"/>
        <v>18562.282820901044</v>
      </c>
      <c r="AO28" s="125">
        <f t="shared" si="11"/>
        <v>17776.657668445572</v>
      </c>
      <c r="AP28" s="3">
        <f t="shared" si="5"/>
        <v>268161.23790586309</v>
      </c>
      <c r="AQ28" s="110">
        <f t="shared" si="4"/>
        <v>349999.99999999994</v>
      </c>
    </row>
    <row r="29" spans="1:43" x14ac:dyDescent="0.25">
      <c r="A29" s="118">
        <v>45</v>
      </c>
      <c r="B29" s="4" t="s">
        <v>34</v>
      </c>
      <c r="C29" s="4" t="s">
        <v>309</v>
      </c>
      <c r="D29" s="4" t="s">
        <v>138</v>
      </c>
      <c r="E29" s="4" t="s">
        <v>296</v>
      </c>
      <c r="F29" s="4" t="s">
        <v>128</v>
      </c>
      <c r="G29" s="119">
        <v>45703</v>
      </c>
      <c r="H29" s="4">
        <v>6</v>
      </c>
      <c r="I29" s="4" t="s">
        <v>520</v>
      </c>
      <c r="J29" s="120">
        <v>340000</v>
      </c>
      <c r="K29" s="121">
        <f t="shared" si="9"/>
        <v>17224.290904263435</v>
      </c>
      <c r="L29" s="122">
        <f t="shared" si="9"/>
        <v>21556.86732487729</v>
      </c>
      <c r="M29" s="123">
        <f t="shared" si="9"/>
        <v>19721.738710038699</v>
      </c>
      <c r="N29" s="123">
        <f t="shared" si="9"/>
        <v>9642.6903968243914</v>
      </c>
      <c r="O29" s="123">
        <f t="shared" si="9"/>
        <v>8574.0973560271468</v>
      </c>
      <c r="P29" s="124">
        <f t="shared" si="9"/>
        <v>8037.4675042678482</v>
      </c>
      <c r="Q29" s="122">
        <f t="shared" si="9"/>
        <v>8114.423935596009</v>
      </c>
      <c r="R29" s="125">
        <f t="shared" si="9"/>
        <v>10177.159725663678</v>
      </c>
      <c r="S29" s="122">
        <f t="shared" si="9"/>
        <v>10200</v>
      </c>
      <c r="T29" s="123">
        <f t="shared" si="9"/>
        <v>12539.104936130723</v>
      </c>
      <c r="U29" s="123">
        <f t="shared" si="10"/>
        <v>8215.3976791575969</v>
      </c>
      <c r="V29" s="123">
        <f t="shared" si="10"/>
        <v>7091.578659740032</v>
      </c>
      <c r="W29" s="124">
        <f t="shared" si="10"/>
        <v>7211.9238306401594</v>
      </c>
      <c r="X29" s="122">
        <f t="shared" si="10"/>
        <v>7805.5209170842827</v>
      </c>
      <c r="Y29" s="125">
        <f t="shared" si="10"/>
        <v>8692.8355846695777</v>
      </c>
      <c r="Z29" s="122">
        <f t="shared" si="10"/>
        <v>11107.294339821387</v>
      </c>
      <c r="AA29" s="123">
        <f t="shared" si="10"/>
        <v>9228.0646027890853</v>
      </c>
      <c r="AB29" s="123">
        <f t="shared" si="10"/>
        <v>6398.2277849740585</v>
      </c>
      <c r="AC29" s="123">
        <f t="shared" si="10"/>
        <v>5947.9719143893435</v>
      </c>
      <c r="AD29" s="124">
        <f t="shared" si="10"/>
        <v>5877.8398859579311</v>
      </c>
      <c r="AE29" s="122">
        <f t="shared" si="11"/>
        <v>6579.3716588628913</v>
      </c>
      <c r="AF29" s="125">
        <f t="shared" si="11"/>
        <v>9117.8668028900538</v>
      </c>
      <c r="AG29" s="122">
        <f t="shared" si="11"/>
        <v>11004.003497576052</v>
      </c>
      <c r="AH29" s="123">
        <f t="shared" si="11"/>
        <v>10696.250680172352</v>
      </c>
      <c r="AI29" s="123">
        <f t="shared" si="11"/>
        <v>7778.4620649853605</v>
      </c>
      <c r="AJ29" s="123">
        <f t="shared" si="11"/>
        <v>11959.037554010521</v>
      </c>
      <c r="AK29" s="124">
        <f t="shared" si="11"/>
        <v>12303.010204305956</v>
      </c>
      <c r="AL29" s="122">
        <f t="shared" si="11"/>
        <v>14708.41131124837</v>
      </c>
      <c r="AM29" s="125">
        <f t="shared" si="11"/>
        <v>17188.405186241951</v>
      </c>
      <c r="AN29" s="125">
        <f t="shared" si="11"/>
        <v>18031.931883161011</v>
      </c>
      <c r="AO29" s="125">
        <f t="shared" si="11"/>
        <v>17268.753163632842</v>
      </c>
      <c r="AP29" s="3">
        <f t="shared" si="5"/>
        <v>260499.48825140987</v>
      </c>
      <c r="AQ29" s="110">
        <f t="shared" si="4"/>
        <v>340000</v>
      </c>
    </row>
    <row r="30" spans="1:43" x14ac:dyDescent="0.25">
      <c r="A30" s="118">
        <v>76</v>
      </c>
      <c r="B30" s="4" t="s">
        <v>29</v>
      </c>
      <c r="C30" s="4" t="s">
        <v>339</v>
      </c>
      <c r="D30" s="4" t="s">
        <v>164</v>
      </c>
      <c r="E30" s="4" t="s">
        <v>296</v>
      </c>
      <c r="F30" s="4" t="s">
        <v>129</v>
      </c>
      <c r="G30" s="119">
        <v>46084</v>
      </c>
      <c r="H30" s="4">
        <v>3</v>
      </c>
      <c r="I30" s="4" t="s">
        <v>520</v>
      </c>
      <c r="J30" s="120">
        <v>339858.60593788989</v>
      </c>
      <c r="K30" s="121">
        <f t="shared" si="9"/>
        <v>17217.127926446025</v>
      </c>
      <c r="L30" s="122">
        <f t="shared" si="9"/>
        <v>21547.902580649545</v>
      </c>
      <c r="M30" s="123">
        <f t="shared" si="9"/>
        <v>19713.537131367855</v>
      </c>
      <c r="N30" s="123">
        <f t="shared" si="9"/>
        <v>9638.6803404571056</v>
      </c>
      <c r="O30" s="123">
        <f t="shared" si="9"/>
        <v>8570.5316899856862</v>
      </c>
      <c r="P30" s="124">
        <f t="shared" si="9"/>
        <v>8034.1250037398886</v>
      </c>
      <c r="Q30" s="122">
        <f t="shared" si="9"/>
        <v>8111.0494315903106</v>
      </c>
      <c r="R30" s="125">
        <f t="shared" si="9"/>
        <v>10172.927402268515</v>
      </c>
      <c r="S30" s="122">
        <f t="shared" si="9"/>
        <v>10195.758178136697</v>
      </c>
      <c r="T30" s="123">
        <f t="shared" si="9"/>
        <v>12533.890362653829</v>
      </c>
      <c r="U30" s="123">
        <f t="shared" si="10"/>
        <v>8211.9811837172856</v>
      </c>
      <c r="V30" s="123">
        <f t="shared" si="10"/>
        <v>7088.6295211709903</v>
      </c>
      <c r="W30" s="124">
        <f t="shared" si="10"/>
        <v>7208.9246447400328</v>
      </c>
      <c r="X30" s="122">
        <f t="shared" si="10"/>
        <v>7802.2748749979537</v>
      </c>
      <c r="Y30" s="125">
        <f t="shared" si="10"/>
        <v>8689.2205395678957</v>
      </c>
      <c r="Z30" s="122">
        <f t="shared" si="10"/>
        <v>11102.675206098564</v>
      </c>
      <c r="AA30" s="123">
        <f t="shared" si="10"/>
        <v>9224.2269747314294</v>
      </c>
      <c r="AB30" s="123">
        <f t="shared" si="10"/>
        <v>6395.566986689284</v>
      </c>
      <c r="AC30" s="123">
        <f t="shared" si="10"/>
        <v>5945.4983617120133</v>
      </c>
      <c r="AD30" s="124">
        <f t="shared" si="10"/>
        <v>5875.3954987287889</v>
      </c>
      <c r="AE30" s="122">
        <f t="shared" si="11"/>
        <v>6576.6355292011895</v>
      </c>
      <c r="AF30" s="125">
        <f t="shared" si="11"/>
        <v>9114.0750022281736</v>
      </c>
      <c r="AG30" s="122">
        <f t="shared" si="11"/>
        <v>10999.427318887827</v>
      </c>
      <c r="AH30" s="123">
        <f t="shared" si="11"/>
        <v>10691.802485075241</v>
      </c>
      <c r="AI30" s="123">
        <f t="shared" si="11"/>
        <v>7775.2272757255441</v>
      </c>
      <c r="AJ30" s="123">
        <f t="shared" si="11"/>
        <v>11954.064210190849</v>
      </c>
      <c r="AK30" s="124">
        <f t="shared" si="11"/>
        <v>12297.8938143384</v>
      </c>
      <c r="AL30" s="122">
        <f t="shared" si="11"/>
        <v>14702.294599417535</v>
      </c>
      <c r="AM30" s="125">
        <f t="shared" si="11"/>
        <v>17181.257132034665</v>
      </c>
      <c r="AN30" s="125">
        <f t="shared" si="11"/>
        <v>18024.433035817918</v>
      </c>
      <c r="AO30" s="125">
        <f t="shared" si="11"/>
        <v>17261.571695522893</v>
      </c>
      <c r="AP30" s="3">
        <f t="shared" si="5"/>
        <v>260391.15566075846</v>
      </c>
      <c r="AQ30" s="110">
        <f t="shared" si="4"/>
        <v>339858.60593788989</v>
      </c>
    </row>
    <row r="31" spans="1:43" x14ac:dyDescent="0.25">
      <c r="A31" s="118">
        <v>5</v>
      </c>
      <c r="B31" s="4" t="s">
        <v>48</v>
      </c>
      <c r="C31" s="4" t="s">
        <v>265</v>
      </c>
      <c r="D31" s="4" t="s">
        <v>136</v>
      </c>
      <c r="E31" s="4" t="s">
        <v>266</v>
      </c>
      <c r="F31" s="4" t="s">
        <v>126</v>
      </c>
      <c r="G31" s="119">
        <v>45728</v>
      </c>
      <c r="H31" s="4">
        <v>6</v>
      </c>
      <c r="I31" s="4" t="s">
        <v>520</v>
      </c>
      <c r="J31" s="120">
        <v>339000</v>
      </c>
      <c r="K31" s="121">
        <f t="shared" si="9"/>
        <v>17173.631225133249</v>
      </c>
      <c r="L31" s="122">
        <f t="shared" si="9"/>
        <v>21493.464773921769</v>
      </c>
      <c r="M31" s="123">
        <f t="shared" si="9"/>
        <v>19663.733596185641</v>
      </c>
      <c r="N31" s="123">
        <f t="shared" si="9"/>
        <v>9614.3295427160829</v>
      </c>
      <c r="O31" s="123">
        <f t="shared" si="9"/>
        <v>8548.8794226270657</v>
      </c>
      <c r="P31" s="124">
        <f t="shared" si="9"/>
        <v>8013.8278939611782</v>
      </c>
      <c r="Q31" s="122">
        <f t="shared" si="9"/>
        <v>8090.557982844256</v>
      </c>
      <c r="R31" s="125">
        <f t="shared" si="9"/>
        <v>10147.226902941136</v>
      </c>
      <c r="S31" s="122">
        <f t="shared" si="9"/>
        <v>10170</v>
      </c>
      <c r="T31" s="123">
        <f t="shared" si="9"/>
        <v>12502.225215730339</v>
      </c>
      <c r="U31" s="123">
        <f t="shared" si="10"/>
        <v>8191.2347448071332</v>
      </c>
      <c r="V31" s="123">
        <f t="shared" si="10"/>
        <v>7070.7210754466787</v>
      </c>
      <c r="W31" s="124">
        <f t="shared" si="10"/>
        <v>7190.7122899618053</v>
      </c>
      <c r="X31" s="122">
        <f t="shared" si="10"/>
        <v>7782.5635026222708</v>
      </c>
      <c r="Y31" s="125">
        <f t="shared" si="10"/>
        <v>8667.2684211852556</v>
      </c>
      <c r="Z31" s="122">
        <f t="shared" si="10"/>
        <v>11074.625827057205</v>
      </c>
      <c r="AA31" s="123">
        <f t="shared" si="10"/>
        <v>9200.9232363102929</v>
      </c>
      <c r="AB31" s="123">
        <f t="shared" si="10"/>
        <v>6379.4094679594291</v>
      </c>
      <c r="AC31" s="123">
        <f t="shared" si="10"/>
        <v>5930.4778793470223</v>
      </c>
      <c r="AD31" s="124">
        <f t="shared" si="10"/>
        <v>5860.5521215874669</v>
      </c>
      <c r="AE31" s="122">
        <f t="shared" si="11"/>
        <v>6560.0205657485894</v>
      </c>
      <c r="AF31" s="125">
        <f t="shared" si="11"/>
        <v>9091.0495475874359</v>
      </c>
      <c r="AG31" s="122">
        <f t="shared" si="11"/>
        <v>10971.638781406709</v>
      </c>
      <c r="AH31" s="123">
        <f t="shared" si="11"/>
        <v>10664.791119348316</v>
      </c>
      <c r="AI31" s="123">
        <f t="shared" si="11"/>
        <v>7755.5842353824628</v>
      </c>
      <c r="AJ31" s="123">
        <f t="shared" si="11"/>
        <v>11923.863914145786</v>
      </c>
      <c r="AK31" s="124">
        <f t="shared" si="11"/>
        <v>12266.824880175644</v>
      </c>
      <c r="AL31" s="122">
        <f t="shared" si="11"/>
        <v>14665.151277979992</v>
      </c>
      <c r="AM31" s="125">
        <f t="shared" si="11"/>
        <v>17137.851053341241</v>
      </c>
      <c r="AN31" s="125">
        <f t="shared" si="11"/>
        <v>17978.89678938701</v>
      </c>
      <c r="AO31" s="125">
        <f t="shared" si="11"/>
        <v>17217.96271315157</v>
      </c>
      <c r="AP31" s="3">
        <f t="shared" si="5"/>
        <v>259733.3132859646</v>
      </c>
      <c r="AQ31" s="110">
        <f t="shared" si="4"/>
        <v>339000.00000000006</v>
      </c>
    </row>
    <row r="32" spans="1:43" x14ac:dyDescent="0.25">
      <c r="A32" s="118">
        <v>1</v>
      </c>
      <c r="B32" s="4" t="s">
        <v>24</v>
      </c>
      <c r="C32" s="4" t="s">
        <v>260</v>
      </c>
      <c r="D32" s="4" t="s">
        <v>157</v>
      </c>
      <c r="E32" s="4" t="s">
        <v>261</v>
      </c>
      <c r="F32" s="4" t="s">
        <v>133</v>
      </c>
      <c r="G32" s="119">
        <v>45603</v>
      </c>
      <c r="H32" s="4">
        <v>5</v>
      </c>
      <c r="I32" s="4" t="s">
        <v>520</v>
      </c>
      <c r="J32" s="120">
        <v>320000</v>
      </c>
      <c r="K32" s="121">
        <f t="shared" si="9"/>
        <v>16211.097321659705</v>
      </c>
      <c r="L32" s="122">
        <f t="shared" si="9"/>
        <v>20288.816305766861</v>
      </c>
      <c r="M32" s="123">
        <f t="shared" si="9"/>
        <v>18561.636432977597</v>
      </c>
      <c r="N32" s="123">
        <f t="shared" si="9"/>
        <v>9075.4733146582494</v>
      </c>
      <c r="O32" s="123">
        <f t="shared" si="9"/>
        <v>8069.7386880255499</v>
      </c>
      <c r="P32" s="124">
        <f t="shared" si="9"/>
        <v>7564.6752981344453</v>
      </c>
      <c r="Q32" s="122">
        <f t="shared" si="9"/>
        <v>7637.1048805609498</v>
      </c>
      <c r="R32" s="125">
        <f t="shared" si="9"/>
        <v>9578.5032712128723</v>
      </c>
      <c r="S32" s="122">
        <f t="shared" si="9"/>
        <v>9600</v>
      </c>
      <c r="T32" s="123">
        <f t="shared" si="9"/>
        <v>11801.510528123034</v>
      </c>
      <c r="U32" s="123">
        <f t="shared" si="10"/>
        <v>7732.138992148326</v>
      </c>
      <c r="V32" s="123">
        <f t="shared" si="10"/>
        <v>6674.4269738729708</v>
      </c>
      <c r="W32" s="124">
        <f t="shared" si="10"/>
        <v>6787.6930170730911</v>
      </c>
      <c r="X32" s="122">
        <f t="shared" si="10"/>
        <v>7346.3726278440308</v>
      </c>
      <c r="Y32" s="125">
        <f t="shared" si="10"/>
        <v>8181.492314983132</v>
      </c>
      <c r="Z32" s="122">
        <f t="shared" si="10"/>
        <v>10453.924084537775</v>
      </c>
      <c r="AA32" s="123">
        <f t="shared" si="10"/>
        <v>8685.2372732132571</v>
      </c>
      <c r="AB32" s="123">
        <f t="shared" si="10"/>
        <v>6021.8614446814663</v>
      </c>
      <c r="AC32" s="123">
        <f t="shared" si="10"/>
        <v>5598.0912135429116</v>
      </c>
      <c r="AD32" s="124">
        <f t="shared" si="10"/>
        <v>5532.0845985486412</v>
      </c>
      <c r="AE32" s="122">
        <f t="shared" si="11"/>
        <v>6192.3497965768393</v>
      </c>
      <c r="AF32" s="125">
        <f t="shared" si="11"/>
        <v>8581.521696837699</v>
      </c>
      <c r="AG32" s="122">
        <f t="shared" si="11"/>
        <v>10356.709174189225</v>
      </c>
      <c r="AH32" s="123">
        <f t="shared" si="11"/>
        <v>10067.059463691625</v>
      </c>
      <c r="AI32" s="123">
        <f t="shared" si="11"/>
        <v>7320.9054729273985</v>
      </c>
      <c r="AJ32" s="123">
        <f t="shared" si="11"/>
        <v>11255.564756715785</v>
      </c>
      <c r="AK32" s="124">
        <f t="shared" si="11"/>
        <v>11579.303721699724</v>
      </c>
      <c r="AL32" s="122">
        <f t="shared" si="11"/>
        <v>13843.210645880819</v>
      </c>
      <c r="AM32" s="125">
        <f t="shared" si="11"/>
        <v>16177.32252822772</v>
      </c>
      <c r="AN32" s="125">
        <f t="shared" si="11"/>
        <v>16971.230007680952</v>
      </c>
      <c r="AO32" s="125">
        <f t="shared" si="11"/>
        <v>16252.94415400738</v>
      </c>
      <c r="AP32" s="3">
        <f t="shared" si="5"/>
        <v>245175.98894250346</v>
      </c>
      <c r="AQ32" s="110">
        <f t="shared" si="4"/>
        <v>320000</v>
      </c>
    </row>
    <row r="33" spans="1:45" x14ac:dyDescent="0.25">
      <c r="A33" s="118">
        <v>73</v>
      </c>
      <c r="B33" s="4" t="s">
        <v>50</v>
      </c>
      <c r="C33" s="4" t="s">
        <v>336</v>
      </c>
      <c r="D33" s="4" t="s">
        <v>143</v>
      </c>
      <c r="E33" s="4" t="s">
        <v>335</v>
      </c>
      <c r="F33" s="4" t="s">
        <v>133</v>
      </c>
      <c r="G33" s="119">
        <v>45743</v>
      </c>
      <c r="H33" s="4">
        <v>5</v>
      </c>
      <c r="I33" s="4" t="s">
        <v>520</v>
      </c>
      <c r="J33" s="120">
        <v>320000</v>
      </c>
      <c r="K33" s="121">
        <f t="shared" si="9"/>
        <v>16211.097321659705</v>
      </c>
      <c r="L33" s="122">
        <f t="shared" si="9"/>
        <v>20288.816305766861</v>
      </c>
      <c r="M33" s="123">
        <f t="shared" si="9"/>
        <v>18561.636432977597</v>
      </c>
      <c r="N33" s="123">
        <f t="shared" si="9"/>
        <v>9075.4733146582494</v>
      </c>
      <c r="O33" s="123">
        <f t="shared" si="9"/>
        <v>8069.7386880255499</v>
      </c>
      <c r="P33" s="124">
        <f t="shared" si="9"/>
        <v>7564.6752981344453</v>
      </c>
      <c r="Q33" s="122">
        <f t="shared" si="9"/>
        <v>7637.1048805609498</v>
      </c>
      <c r="R33" s="125">
        <f t="shared" si="9"/>
        <v>9578.5032712128723</v>
      </c>
      <c r="S33" s="122">
        <f t="shared" si="9"/>
        <v>9600</v>
      </c>
      <c r="T33" s="123">
        <f t="shared" si="9"/>
        <v>11801.510528123034</v>
      </c>
      <c r="U33" s="123">
        <f t="shared" si="10"/>
        <v>7732.138992148326</v>
      </c>
      <c r="V33" s="123">
        <f t="shared" si="10"/>
        <v>6674.4269738729708</v>
      </c>
      <c r="W33" s="124">
        <f t="shared" si="10"/>
        <v>6787.6930170730911</v>
      </c>
      <c r="X33" s="122">
        <f t="shared" si="10"/>
        <v>7346.3726278440308</v>
      </c>
      <c r="Y33" s="125">
        <f t="shared" si="10"/>
        <v>8181.492314983132</v>
      </c>
      <c r="Z33" s="122">
        <f t="shared" si="10"/>
        <v>10453.924084537775</v>
      </c>
      <c r="AA33" s="123">
        <f t="shared" si="10"/>
        <v>8685.2372732132571</v>
      </c>
      <c r="AB33" s="123">
        <f t="shared" si="10"/>
        <v>6021.8614446814663</v>
      </c>
      <c r="AC33" s="123">
        <f t="shared" si="10"/>
        <v>5598.0912135429116</v>
      </c>
      <c r="AD33" s="124">
        <f t="shared" si="10"/>
        <v>5532.0845985486412</v>
      </c>
      <c r="AE33" s="122">
        <f t="shared" si="11"/>
        <v>6192.3497965768393</v>
      </c>
      <c r="AF33" s="125">
        <f t="shared" si="11"/>
        <v>8581.521696837699</v>
      </c>
      <c r="AG33" s="122">
        <f t="shared" si="11"/>
        <v>10356.709174189225</v>
      </c>
      <c r="AH33" s="123">
        <f t="shared" si="11"/>
        <v>10067.059463691625</v>
      </c>
      <c r="AI33" s="123">
        <f t="shared" si="11"/>
        <v>7320.9054729273985</v>
      </c>
      <c r="AJ33" s="123">
        <f t="shared" si="11"/>
        <v>11255.564756715785</v>
      </c>
      <c r="AK33" s="124">
        <f t="shared" si="11"/>
        <v>11579.303721699724</v>
      </c>
      <c r="AL33" s="122">
        <f t="shared" si="11"/>
        <v>13843.210645880819</v>
      </c>
      <c r="AM33" s="125">
        <f t="shared" si="11"/>
        <v>16177.32252822772</v>
      </c>
      <c r="AN33" s="125">
        <f t="shared" si="11"/>
        <v>16971.230007680952</v>
      </c>
      <c r="AO33" s="125">
        <f t="shared" si="11"/>
        <v>16252.94415400738</v>
      </c>
      <c r="AP33" s="3">
        <f t="shared" si="5"/>
        <v>245175.98894250346</v>
      </c>
      <c r="AQ33" s="110">
        <f t="shared" si="4"/>
        <v>320000</v>
      </c>
    </row>
    <row r="34" spans="1:45" x14ac:dyDescent="0.25">
      <c r="A34" s="118">
        <v>33</v>
      </c>
      <c r="B34" s="4" t="s">
        <v>16</v>
      </c>
      <c r="C34" s="4" t="s">
        <v>297</v>
      </c>
      <c r="D34" s="4" t="s">
        <v>138</v>
      </c>
      <c r="E34" s="4" t="s">
        <v>296</v>
      </c>
      <c r="F34" s="4" t="s">
        <v>128</v>
      </c>
      <c r="G34" s="119">
        <v>45518</v>
      </c>
      <c r="H34" s="4">
        <v>4</v>
      </c>
      <c r="I34" s="4" t="s">
        <v>520</v>
      </c>
      <c r="J34" s="120">
        <v>315000</v>
      </c>
      <c r="K34" s="121">
        <f t="shared" si="9"/>
        <v>15957.798926008771</v>
      </c>
      <c r="L34" s="122">
        <f t="shared" si="9"/>
        <v>19971.803550989254</v>
      </c>
      <c r="M34" s="123">
        <f t="shared" si="9"/>
        <v>18271.610863712322</v>
      </c>
      <c r="N34" s="123">
        <f t="shared" si="9"/>
        <v>8933.6690441167157</v>
      </c>
      <c r="O34" s="123">
        <f t="shared" si="9"/>
        <v>7943.6490210251504</v>
      </c>
      <c r="P34" s="124">
        <f t="shared" si="9"/>
        <v>7446.4772466010945</v>
      </c>
      <c r="Q34" s="122">
        <f t="shared" si="9"/>
        <v>7517.775116802185</v>
      </c>
      <c r="R34" s="125">
        <f t="shared" si="9"/>
        <v>9428.8391576001723</v>
      </c>
      <c r="S34" s="122">
        <f t="shared" si="9"/>
        <v>9450</v>
      </c>
      <c r="T34" s="123">
        <f t="shared" si="9"/>
        <v>11617.111926121112</v>
      </c>
      <c r="U34" s="123">
        <f t="shared" si="10"/>
        <v>7611.3243203960092</v>
      </c>
      <c r="V34" s="123">
        <f t="shared" si="10"/>
        <v>6570.1390524062062</v>
      </c>
      <c r="W34" s="124">
        <f t="shared" si="10"/>
        <v>6681.6353136813241</v>
      </c>
      <c r="X34" s="122">
        <f t="shared" si="10"/>
        <v>7231.5855555339685</v>
      </c>
      <c r="Y34" s="125">
        <f t="shared" si="10"/>
        <v>8053.6564975615202</v>
      </c>
      <c r="Z34" s="122">
        <f t="shared" si="10"/>
        <v>10290.581520716873</v>
      </c>
      <c r="AA34" s="123">
        <f t="shared" si="10"/>
        <v>8549.5304408192987</v>
      </c>
      <c r="AB34" s="123">
        <f t="shared" si="10"/>
        <v>5927.7698596083192</v>
      </c>
      <c r="AC34" s="123">
        <f t="shared" si="10"/>
        <v>5510.6210383313037</v>
      </c>
      <c r="AD34" s="124">
        <f t="shared" si="10"/>
        <v>5445.6457766963185</v>
      </c>
      <c r="AE34" s="122">
        <f t="shared" si="11"/>
        <v>6095.5943310053262</v>
      </c>
      <c r="AF34" s="125">
        <f t="shared" si="11"/>
        <v>8447.4354203246094</v>
      </c>
      <c r="AG34" s="122">
        <f t="shared" si="11"/>
        <v>10194.885593342518</v>
      </c>
      <c r="AH34" s="123">
        <f t="shared" si="11"/>
        <v>9909.7616595714444</v>
      </c>
      <c r="AI34" s="123">
        <f t="shared" si="11"/>
        <v>7206.5163249129073</v>
      </c>
      <c r="AJ34" s="123">
        <f t="shared" si="11"/>
        <v>11079.696557392101</v>
      </c>
      <c r="AK34" s="124">
        <f t="shared" si="11"/>
        <v>11398.377101048165</v>
      </c>
      <c r="AL34" s="122">
        <f t="shared" si="11"/>
        <v>13626.910479538932</v>
      </c>
      <c r="AM34" s="125">
        <f t="shared" si="11"/>
        <v>15924.551863724162</v>
      </c>
      <c r="AN34" s="125">
        <f t="shared" si="11"/>
        <v>16706.054538810939</v>
      </c>
      <c r="AO34" s="125">
        <f t="shared" si="11"/>
        <v>15998.991901601015</v>
      </c>
      <c r="AP34" s="3">
        <f t="shared" si="5"/>
        <v>241345.11411527681</v>
      </c>
      <c r="AQ34" s="110">
        <f t="shared" si="4"/>
        <v>315000</v>
      </c>
    </row>
    <row r="35" spans="1:45" x14ac:dyDescent="0.25">
      <c r="A35" s="118">
        <v>13</v>
      </c>
      <c r="B35" s="4" t="s">
        <v>94</v>
      </c>
      <c r="C35" s="4" t="s">
        <v>275</v>
      </c>
      <c r="D35" s="4" t="s">
        <v>142</v>
      </c>
      <c r="E35" s="4" t="s">
        <v>270</v>
      </c>
      <c r="F35" s="4" t="s">
        <v>132</v>
      </c>
      <c r="G35" s="119">
        <v>46022</v>
      </c>
      <c r="H35" s="4">
        <v>10</v>
      </c>
      <c r="I35" s="4" t="s">
        <v>520</v>
      </c>
      <c r="J35" s="120">
        <v>307000</v>
      </c>
      <c r="K35" s="121">
        <f t="shared" ref="K35:T44" si="12">$J35*K$4</f>
        <v>15552.521492967278</v>
      </c>
      <c r="L35" s="122">
        <f t="shared" si="12"/>
        <v>19464.583143345084</v>
      </c>
      <c r="M35" s="123">
        <f t="shared" si="12"/>
        <v>17807.569952887883</v>
      </c>
      <c r="N35" s="123">
        <f t="shared" si="12"/>
        <v>8706.7822112502581</v>
      </c>
      <c r="O35" s="123">
        <f t="shared" si="12"/>
        <v>7741.9055538245111</v>
      </c>
      <c r="P35" s="124">
        <f t="shared" si="12"/>
        <v>7257.3603641477339</v>
      </c>
      <c r="Q35" s="122">
        <f t="shared" si="12"/>
        <v>7326.8474947881614</v>
      </c>
      <c r="R35" s="125">
        <f t="shared" si="12"/>
        <v>9189.3765758198497</v>
      </c>
      <c r="S35" s="122">
        <f t="shared" si="12"/>
        <v>9210</v>
      </c>
      <c r="T35" s="123">
        <f t="shared" si="12"/>
        <v>11322.074162918036</v>
      </c>
      <c r="U35" s="123">
        <f t="shared" ref="U35:AD44" si="13">$J35*U$4</f>
        <v>7418.0208455923002</v>
      </c>
      <c r="V35" s="123">
        <f t="shared" si="13"/>
        <v>6403.2783780593818</v>
      </c>
      <c r="W35" s="124">
        <f t="shared" si="13"/>
        <v>6511.9429882544964</v>
      </c>
      <c r="X35" s="122">
        <f t="shared" si="13"/>
        <v>7047.9262398378678</v>
      </c>
      <c r="Y35" s="125">
        <f t="shared" si="13"/>
        <v>7849.1191896869423</v>
      </c>
      <c r="Z35" s="122">
        <f t="shared" si="13"/>
        <v>10029.233418603428</v>
      </c>
      <c r="AA35" s="123">
        <f t="shared" si="13"/>
        <v>8332.3995089889686</v>
      </c>
      <c r="AB35" s="123">
        <f t="shared" si="13"/>
        <v>5777.2233234912819</v>
      </c>
      <c r="AC35" s="123">
        <f t="shared" si="13"/>
        <v>5370.6687579927311</v>
      </c>
      <c r="AD35" s="124">
        <f t="shared" si="13"/>
        <v>5307.3436617326024</v>
      </c>
      <c r="AE35" s="122">
        <f t="shared" ref="AE35:AO44" si="14">$J35*AE$4</f>
        <v>5940.7855860909049</v>
      </c>
      <c r="AF35" s="125">
        <f t="shared" si="14"/>
        <v>8232.897377903666</v>
      </c>
      <c r="AG35" s="122">
        <f t="shared" si="14"/>
        <v>9935.9678639877875</v>
      </c>
      <c r="AH35" s="123">
        <f t="shared" si="14"/>
        <v>9658.0851729791539</v>
      </c>
      <c r="AI35" s="123">
        <f t="shared" si="14"/>
        <v>7023.4936880897221</v>
      </c>
      <c r="AJ35" s="123">
        <f t="shared" si="14"/>
        <v>10798.307438474207</v>
      </c>
      <c r="AK35" s="124">
        <f t="shared" si="14"/>
        <v>11108.894508005671</v>
      </c>
      <c r="AL35" s="122">
        <f t="shared" si="14"/>
        <v>13280.830213391911</v>
      </c>
      <c r="AM35" s="125">
        <f t="shared" si="14"/>
        <v>15520.118800518469</v>
      </c>
      <c r="AN35" s="125">
        <f t="shared" si="14"/>
        <v>16281.773788618915</v>
      </c>
      <c r="AO35" s="125">
        <f t="shared" si="14"/>
        <v>15592.66829775083</v>
      </c>
      <c r="AP35" s="3">
        <f t="shared" si="5"/>
        <v>235215.71439171425</v>
      </c>
      <c r="AQ35" s="110">
        <f t="shared" si="4"/>
        <v>307000.00000000006</v>
      </c>
    </row>
    <row r="36" spans="1:45" x14ac:dyDescent="0.25">
      <c r="A36" s="118">
        <v>75</v>
      </c>
      <c r="B36" s="4" t="s">
        <v>68</v>
      </c>
      <c r="C36" s="4" t="s">
        <v>338</v>
      </c>
      <c r="D36" s="4" t="s">
        <v>152</v>
      </c>
      <c r="E36" s="4" t="s">
        <v>266</v>
      </c>
      <c r="F36" s="4" t="s">
        <v>126</v>
      </c>
      <c r="G36" s="119">
        <v>45883</v>
      </c>
      <c r="H36" s="4">
        <v>4</v>
      </c>
      <c r="I36" s="4" t="s">
        <v>520</v>
      </c>
      <c r="J36" s="120">
        <v>306000</v>
      </c>
      <c r="K36" s="121">
        <f t="shared" si="12"/>
        <v>15501.861813837093</v>
      </c>
      <c r="L36" s="122">
        <f t="shared" si="12"/>
        <v>19401.180592389563</v>
      </c>
      <c r="M36" s="123">
        <f t="shared" si="12"/>
        <v>17749.564839034829</v>
      </c>
      <c r="N36" s="123">
        <f t="shared" si="12"/>
        <v>8678.4213571419514</v>
      </c>
      <c r="O36" s="123">
        <f t="shared" si="12"/>
        <v>7716.6876204244318</v>
      </c>
      <c r="P36" s="124">
        <f t="shared" si="12"/>
        <v>7233.7207538410639</v>
      </c>
      <c r="Q36" s="122">
        <f t="shared" si="12"/>
        <v>7302.9815420364084</v>
      </c>
      <c r="R36" s="125">
        <f t="shared" si="12"/>
        <v>9159.44375309731</v>
      </c>
      <c r="S36" s="122">
        <f t="shared" si="12"/>
        <v>9180</v>
      </c>
      <c r="T36" s="123">
        <f t="shared" si="12"/>
        <v>11285.194442517652</v>
      </c>
      <c r="U36" s="123">
        <f t="shared" si="13"/>
        <v>7393.8579112418374</v>
      </c>
      <c r="V36" s="123">
        <f t="shared" si="13"/>
        <v>6382.4207937660285</v>
      </c>
      <c r="W36" s="124">
        <f t="shared" si="13"/>
        <v>6490.7314475761432</v>
      </c>
      <c r="X36" s="122">
        <f t="shared" si="13"/>
        <v>7024.968825375855</v>
      </c>
      <c r="Y36" s="125">
        <f t="shared" si="13"/>
        <v>7823.5520262026203</v>
      </c>
      <c r="Z36" s="122">
        <f t="shared" si="13"/>
        <v>9996.5649058392482</v>
      </c>
      <c r="AA36" s="123">
        <f t="shared" si="13"/>
        <v>8305.2581425101762</v>
      </c>
      <c r="AB36" s="123">
        <f t="shared" si="13"/>
        <v>5758.4050064766525</v>
      </c>
      <c r="AC36" s="123">
        <f t="shared" si="13"/>
        <v>5353.174722950409</v>
      </c>
      <c r="AD36" s="124">
        <f t="shared" si="13"/>
        <v>5290.0558973621382</v>
      </c>
      <c r="AE36" s="122">
        <f t="shared" si="14"/>
        <v>5921.434492976603</v>
      </c>
      <c r="AF36" s="125">
        <f t="shared" si="14"/>
        <v>8206.0801226010499</v>
      </c>
      <c r="AG36" s="122">
        <f t="shared" si="14"/>
        <v>9903.6031478184468</v>
      </c>
      <c r="AH36" s="123">
        <f t="shared" si="14"/>
        <v>9626.6256121551178</v>
      </c>
      <c r="AI36" s="123">
        <f t="shared" si="14"/>
        <v>7000.6158584868244</v>
      </c>
      <c r="AJ36" s="123">
        <f t="shared" si="14"/>
        <v>10763.13379860947</v>
      </c>
      <c r="AK36" s="124">
        <f t="shared" si="14"/>
        <v>11072.70918387536</v>
      </c>
      <c r="AL36" s="122">
        <f t="shared" si="14"/>
        <v>13237.570180123534</v>
      </c>
      <c r="AM36" s="125">
        <f t="shared" si="14"/>
        <v>15469.564667617757</v>
      </c>
      <c r="AN36" s="125">
        <f t="shared" si="14"/>
        <v>16228.738694844911</v>
      </c>
      <c r="AO36" s="125">
        <f t="shared" si="14"/>
        <v>15541.877847269558</v>
      </c>
      <c r="AP36" s="3">
        <f t="shared" si="5"/>
        <v>234449.53942626889</v>
      </c>
      <c r="AQ36" s="110">
        <f t="shared" si="4"/>
        <v>306000</v>
      </c>
    </row>
    <row r="37" spans="1:45" x14ac:dyDescent="0.25">
      <c r="A37" s="118">
        <v>99</v>
      </c>
      <c r="B37" s="4" t="s">
        <v>30</v>
      </c>
      <c r="C37" s="4" t="s">
        <v>363</v>
      </c>
      <c r="D37" s="4" t="s">
        <v>151</v>
      </c>
      <c r="E37" s="4" t="s">
        <v>364</v>
      </c>
      <c r="F37" s="4" t="s">
        <v>126</v>
      </c>
      <c r="G37" s="119">
        <v>45651</v>
      </c>
      <c r="H37" s="4">
        <v>9</v>
      </c>
      <c r="I37" s="4" t="s">
        <v>520</v>
      </c>
      <c r="J37" s="120">
        <v>301000</v>
      </c>
      <c r="K37" s="121">
        <f t="shared" si="12"/>
        <v>15248.563418186159</v>
      </c>
      <c r="L37" s="122">
        <f t="shared" si="12"/>
        <v>19084.167837611953</v>
      </c>
      <c r="M37" s="123">
        <f t="shared" si="12"/>
        <v>17459.539269769553</v>
      </c>
      <c r="N37" s="123">
        <f t="shared" si="12"/>
        <v>8536.6170866004159</v>
      </c>
      <c r="O37" s="123">
        <f t="shared" si="12"/>
        <v>7590.5979534240323</v>
      </c>
      <c r="P37" s="124">
        <f t="shared" si="12"/>
        <v>7115.5227023077132</v>
      </c>
      <c r="Q37" s="122">
        <f t="shared" si="12"/>
        <v>7183.6517782776436</v>
      </c>
      <c r="R37" s="125">
        <f t="shared" si="12"/>
        <v>9009.7796394846082</v>
      </c>
      <c r="S37" s="122">
        <f t="shared" si="12"/>
        <v>9030</v>
      </c>
      <c r="T37" s="123">
        <f t="shared" si="12"/>
        <v>11100.795840515728</v>
      </c>
      <c r="U37" s="123">
        <f t="shared" si="13"/>
        <v>7273.0432394895197</v>
      </c>
      <c r="V37" s="123">
        <f t="shared" si="13"/>
        <v>6278.1328722992639</v>
      </c>
      <c r="W37" s="124">
        <f t="shared" si="13"/>
        <v>6384.6737441843761</v>
      </c>
      <c r="X37" s="122">
        <f t="shared" si="13"/>
        <v>6910.1817530657918</v>
      </c>
      <c r="Y37" s="125">
        <f t="shared" si="13"/>
        <v>7695.7162087810084</v>
      </c>
      <c r="Z37" s="122">
        <f t="shared" si="13"/>
        <v>9833.2223420183454</v>
      </c>
      <c r="AA37" s="123">
        <f t="shared" si="13"/>
        <v>8169.5513101162196</v>
      </c>
      <c r="AB37" s="123">
        <f t="shared" si="13"/>
        <v>5664.3134214035044</v>
      </c>
      <c r="AC37" s="123">
        <f t="shared" si="13"/>
        <v>5265.704547738801</v>
      </c>
      <c r="AD37" s="124">
        <f t="shared" si="13"/>
        <v>5203.6170755098155</v>
      </c>
      <c r="AE37" s="122">
        <f t="shared" si="14"/>
        <v>5824.6790274050891</v>
      </c>
      <c r="AF37" s="125">
        <f t="shared" si="14"/>
        <v>8071.9938460879603</v>
      </c>
      <c r="AG37" s="122">
        <f t="shared" si="14"/>
        <v>9741.7795669717398</v>
      </c>
      <c r="AH37" s="123">
        <f t="shared" si="14"/>
        <v>9469.3278080349355</v>
      </c>
      <c r="AI37" s="123">
        <f t="shared" si="14"/>
        <v>6886.2267104723342</v>
      </c>
      <c r="AJ37" s="123">
        <f t="shared" si="14"/>
        <v>10587.265599285785</v>
      </c>
      <c r="AK37" s="124">
        <f t="shared" si="14"/>
        <v>10891.782563223802</v>
      </c>
      <c r="AL37" s="122">
        <f t="shared" si="14"/>
        <v>13021.270013781645</v>
      </c>
      <c r="AM37" s="125">
        <f t="shared" si="14"/>
        <v>15216.794003114199</v>
      </c>
      <c r="AN37" s="125">
        <f t="shared" si="14"/>
        <v>15963.563225974896</v>
      </c>
      <c r="AO37" s="125">
        <f t="shared" si="14"/>
        <v>15287.925594863193</v>
      </c>
      <c r="AP37" s="3">
        <f t="shared" si="5"/>
        <v>230618.6645990423</v>
      </c>
      <c r="AQ37" s="110">
        <f t="shared" ref="AQ37:AQ68" si="15">SUM(K37:AO37)</f>
        <v>301000.00000000006</v>
      </c>
    </row>
    <row r="38" spans="1:45" x14ac:dyDescent="0.25">
      <c r="A38" s="118">
        <v>55</v>
      </c>
      <c r="B38" s="4" t="s">
        <v>51</v>
      </c>
      <c r="C38" s="4" t="s">
        <v>318</v>
      </c>
      <c r="D38" s="4" t="s">
        <v>159</v>
      </c>
      <c r="E38" s="4" t="s">
        <v>261</v>
      </c>
      <c r="F38" s="4" t="s">
        <v>133</v>
      </c>
      <c r="G38" s="119">
        <v>45736</v>
      </c>
      <c r="H38" s="4">
        <v>6</v>
      </c>
      <c r="I38" s="4" t="s">
        <v>520</v>
      </c>
      <c r="J38" s="120">
        <v>300000</v>
      </c>
      <c r="K38" s="121">
        <f t="shared" si="12"/>
        <v>15197.903739055973</v>
      </c>
      <c r="L38" s="122">
        <f t="shared" si="12"/>
        <v>19020.765286656431</v>
      </c>
      <c r="M38" s="123">
        <f t="shared" si="12"/>
        <v>17401.534155916499</v>
      </c>
      <c r="N38" s="123">
        <f t="shared" si="12"/>
        <v>8508.2562324921091</v>
      </c>
      <c r="O38" s="123">
        <f t="shared" si="12"/>
        <v>7565.380020023953</v>
      </c>
      <c r="P38" s="124">
        <f t="shared" si="12"/>
        <v>7091.8830920010423</v>
      </c>
      <c r="Q38" s="122">
        <f t="shared" si="12"/>
        <v>7159.7858255258907</v>
      </c>
      <c r="R38" s="125">
        <f t="shared" si="12"/>
        <v>8979.8468167620686</v>
      </c>
      <c r="S38" s="122">
        <f t="shared" si="12"/>
        <v>9000</v>
      </c>
      <c r="T38" s="123">
        <f t="shared" si="12"/>
        <v>11063.916120115344</v>
      </c>
      <c r="U38" s="123">
        <f t="shared" si="13"/>
        <v>7248.880305139056</v>
      </c>
      <c r="V38" s="123">
        <f t="shared" si="13"/>
        <v>6257.2752880059106</v>
      </c>
      <c r="W38" s="124">
        <f t="shared" si="13"/>
        <v>6363.4622035060229</v>
      </c>
      <c r="X38" s="122">
        <f t="shared" si="13"/>
        <v>6887.224338603779</v>
      </c>
      <c r="Y38" s="125">
        <f t="shared" si="13"/>
        <v>7670.1490452966864</v>
      </c>
      <c r="Z38" s="122">
        <f t="shared" si="13"/>
        <v>9800.5538292541642</v>
      </c>
      <c r="AA38" s="123">
        <f t="shared" si="13"/>
        <v>8142.4099436374281</v>
      </c>
      <c r="AB38" s="123">
        <f t="shared" si="13"/>
        <v>5645.495104388875</v>
      </c>
      <c r="AC38" s="123">
        <f t="shared" si="13"/>
        <v>5248.2105126964798</v>
      </c>
      <c r="AD38" s="124">
        <f t="shared" si="13"/>
        <v>5186.3293111393514</v>
      </c>
      <c r="AE38" s="122">
        <f t="shared" si="14"/>
        <v>5805.3279342907872</v>
      </c>
      <c r="AF38" s="125">
        <f t="shared" si="14"/>
        <v>8045.1765907853423</v>
      </c>
      <c r="AG38" s="122">
        <f t="shared" si="14"/>
        <v>9709.4148508023991</v>
      </c>
      <c r="AH38" s="123">
        <f t="shared" si="14"/>
        <v>9437.8682472108994</v>
      </c>
      <c r="AI38" s="123">
        <f t="shared" si="14"/>
        <v>6863.3488808694356</v>
      </c>
      <c r="AJ38" s="123">
        <f t="shared" si="14"/>
        <v>10552.09195942105</v>
      </c>
      <c r="AK38" s="124">
        <f t="shared" si="14"/>
        <v>10855.597239093489</v>
      </c>
      <c r="AL38" s="122">
        <f t="shared" si="14"/>
        <v>12978.009980513269</v>
      </c>
      <c r="AM38" s="125">
        <f t="shared" si="14"/>
        <v>15166.239870213487</v>
      </c>
      <c r="AN38" s="125">
        <f t="shared" si="14"/>
        <v>15910.528132200894</v>
      </c>
      <c r="AO38" s="125">
        <f t="shared" si="14"/>
        <v>15237.135144381919</v>
      </c>
      <c r="AP38" s="3">
        <f t="shared" si="5"/>
        <v>229852.489633597</v>
      </c>
      <c r="AQ38" s="110">
        <f t="shared" si="15"/>
        <v>300000</v>
      </c>
    </row>
    <row r="39" spans="1:45" x14ac:dyDescent="0.25">
      <c r="A39" s="118">
        <v>109</v>
      </c>
      <c r="B39" s="4" t="s">
        <v>117</v>
      </c>
      <c r="C39" s="4" t="s">
        <v>374</v>
      </c>
      <c r="D39" s="4" t="s">
        <v>139</v>
      </c>
      <c r="E39" s="4" t="s">
        <v>296</v>
      </c>
      <c r="F39" s="4" t="s">
        <v>130</v>
      </c>
      <c r="G39" s="119">
        <v>46213</v>
      </c>
      <c r="H39" s="4" t="s">
        <v>373</v>
      </c>
      <c r="I39" s="4" t="s">
        <v>520</v>
      </c>
      <c r="J39" s="120">
        <v>300000</v>
      </c>
      <c r="K39" s="121">
        <f t="shared" si="12"/>
        <v>15197.903739055973</v>
      </c>
      <c r="L39" s="122">
        <f t="shared" si="12"/>
        <v>19020.765286656431</v>
      </c>
      <c r="M39" s="123">
        <f t="shared" si="12"/>
        <v>17401.534155916499</v>
      </c>
      <c r="N39" s="123">
        <f t="shared" si="12"/>
        <v>8508.2562324921091</v>
      </c>
      <c r="O39" s="123">
        <f t="shared" si="12"/>
        <v>7565.380020023953</v>
      </c>
      <c r="P39" s="124">
        <f t="shared" si="12"/>
        <v>7091.8830920010423</v>
      </c>
      <c r="Q39" s="122">
        <f t="shared" si="12"/>
        <v>7159.7858255258907</v>
      </c>
      <c r="R39" s="125">
        <f t="shared" si="12"/>
        <v>8979.8468167620686</v>
      </c>
      <c r="S39" s="122">
        <f t="shared" si="12"/>
        <v>9000</v>
      </c>
      <c r="T39" s="123">
        <f t="shared" si="12"/>
        <v>11063.916120115344</v>
      </c>
      <c r="U39" s="123">
        <f t="shared" si="13"/>
        <v>7248.880305139056</v>
      </c>
      <c r="V39" s="123">
        <f t="shared" si="13"/>
        <v>6257.2752880059106</v>
      </c>
      <c r="W39" s="124">
        <f t="shared" si="13"/>
        <v>6363.4622035060229</v>
      </c>
      <c r="X39" s="122">
        <f t="shared" si="13"/>
        <v>6887.224338603779</v>
      </c>
      <c r="Y39" s="125">
        <f t="shared" si="13"/>
        <v>7670.1490452966864</v>
      </c>
      <c r="Z39" s="122">
        <f t="shared" si="13"/>
        <v>9800.5538292541642</v>
      </c>
      <c r="AA39" s="123">
        <f t="shared" si="13"/>
        <v>8142.4099436374281</v>
      </c>
      <c r="AB39" s="123">
        <f t="shared" si="13"/>
        <v>5645.495104388875</v>
      </c>
      <c r="AC39" s="123">
        <f t="shared" si="13"/>
        <v>5248.2105126964798</v>
      </c>
      <c r="AD39" s="124">
        <f t="shared" si="13"/>
        <v>5186.3293111393514</v>
      </c>
      <c r="AE39" s="122">
        <f t="shared" si="14"/>
        <v>5805.3279342907872</v>
      </c>
      <c r="AF39" s="125">
        <f t="shared" si="14"/>
        <v>8045.1765907853423</v>
      </c>
      <c r="AG39" s="122">
        <f t="shared" si="14"/>
        <v>9709.4148508023991</v>
      </c>
      <c r="AH39" s="123">
        <f t="shared" si="14"/>
        <v>9437.8682472108994</v>
      </c>
      <c r="AI39" s="123">
        <f t="shared" si="14"/>
        <v>6863.3488808694356</v>
      </c>
      <c r="AJ39" s="123">
        <f t="shared" si="14"/>
        <v>10552.09195942105</v>
      </c>
      <c r="AK39" s="124">
        <f t="shared" si="14"/>
        <v>10855.597239093489</v>
      </c>
      <c r="AL39" s="122">
        <f t="shared" si="14"/>
        <v>12978.009980513269</v>
      </c>
      <c r="AM39" s="125">
        <f t="shared" si="14"/>
        <v>15166.239870213487</v>
      </c>
      <c r="AN39" s="125">
        <f t="shared" si="14"/>
        <v>15910.528132200894</v>
      </c>
      <c r="AO39" s="125">
        <f t="shared" si="14"/>
        <v>15237.135144381919</v>
      </c>
      <c r="AP39" s="3">
        <f t="shared" si="5"/>
        <v>229852.489633597</v>
      </c>
      <c r="AQ39" s="110">
        <f t="shared" si="15"/>
        <v>300000</v>
      </c>
      <c r="AS39" s="4">
        <f>AS38*3500</f>
        <v>0</v>
      </c>
    </row>
    <row r="40" spans="1:45" x14ac:dyDescent="0.25">
      <c r="A40" s="118">
        <v>53</v>
      </c>
      <c r="B40" s="4" t="s">
        <v>35</v>
      </c>
      <c r="C40" s="4" t="s">
        <v>316</v>
      </c>
      <c r="D40" s="4" t="s">
        <v>148</v>
      </c>
      <c r="E40" s="4" t="s">
        <v>266</v>
      </c>
      <c r="F40" s="4" t="s">
        <v>126</v>
      </c>
      <c r="G40" s="119">
        <v>45704</v>
      </c>
      <c r="H40" s="4">
        <v>4</v>
      </c>
      <c r="I40" s="4" t="s">
        <v>520</v>
      </c>
      <c r="J40" s="120">
        <v>295000</v>
      </c>
      <c r="K40" s="121">
        <f t="shared" si="12"/>
        <v>14944.605343405039</v>
      </c>
      <c r="L40" s="122">
        <f t="shared" si="12"/>
        <v>18703.752531878825</v>
      </c>
      <c r="M40" s="123">
        <f t="shared" si="12"/>
        <v>17111.508586651224</v>
      </c>
      <c r="N40" s="123">
        <f t="shared" si="12"/>
        <v>8366.4519619505736</v>
      </c>
      <c r="O40" s="123">
        <f t="shared" si="12"/>
        <v>7439.2903530235535</v>
      </c>
      <c r="P40" s="124">
        <f t="shared" si="12"/>
        <v>6973.6850404676925</v>
      </c>
      <c r="Q40" s="122">
        <f t="shared" si="12"/>
        <v>7040.4560617671259</v>
      </c>
      <c r="R40" s="125">
        <f t="shared" si="12"/>
        <v>8830.1827031493667</v>
      </c>
      <c r="S40" s="122">
        <f t="shared" si="12"/>
        <v>8850</v>
      </c>
      <c r="T40" s="123">
        <f t="shared" si="12"/>
        <v>10879.517518113422</v>
      </c>
      <c r="U40" s="123">
        <f t="shared" si="13"/>
        <v>7128.0656333867382</v>
      </c>
      <c r="V40" s="123">
        <f t="shared" si="13"/>
        <v>6152.9873665391451</v>
      </c>
      <c r="W40" s="124">
        <f t="shared" si="13"/>
        <v>6257.4045001142558</v>
      </c>
      <c r="X40" s="122">
        <f t="shared" si="13"/>
        <v>6772.4372662937158</v>
      </c>
      <c r="Y40" s="125">
        <f t="shared" si="13"/>
        <v>7542.3132278750745</v>
      </c>
      <c r="Z40" s="122">
        <f t="shared" si="13"/>
        <v>9637.2112654332614</v>
      </c>
      <c r="AA40" s="123">
        <f t="shared" si="13"/>
        <v>8006.7031112434706</v>
      </c>
      <c r="AB40" s="123">
        <f t="shared" si="13"/>
        <v>5551.403519315727</v>
      </c>
      <c r="AC40" s="123">
        <f t="shared" si="13"/>
        <v>5160.7403374848718</v>
      </c>
      <c r="AD40" s="124">
        <f t="shared" si="13"/>
        <v>5099.8904892870287</v>
      </c>
      <c r="AE40" s="122">
        <f t="shared" si="14"/>
        <v>5708.5724687192733</v>
      </c>
      <c r="AF40" s="125">
        <f t="shared" si="14"/>
        <v>7911.0903142722536</v>
      </c>
      <c r="AG40" s="122">
        <f t="shared" si="14"/>
        <v>9547.591269955692</v>
      </c>
      <c r="AH40" s="123">
        <f t="shared" si="14"/>
        <v>9280.5704430907172</v>
      </c>
      <c r="AI40" s="123">
        <f t="shared" si="14"/>
        <v>6748.9597328549453</v>
      </c>
      <c r="AJ40" s="123">
        <f t="shared" si="14"/>
        <v>10376.223760097366</v>
      </c>
      <c r="AK40" s="124">
        <f t="shared" si="14"/>
        <v>10674.670618441933</v>
      </c>
      <c r="AL40" s="122">
        <f t="shared" si="14"/>
        <v>12761.70981417138</v>
      </c>
      <c r="AM40" s="125">
        <f t="shared" si="14"/>
        <v>14913.469205709929</v>
      </c>
      <c r="AN40" s="125">
        <f t="shared" si="14"/>
        <v>15645.352663330879</v>
      </c>
      <c r="AO40" s="125">
        <f t="shared" si="14"/>
        <v>14983.182891975554</v>
      </c>
      <c r="AP40" s="3">
        <f t="shared" si="5"/>
        <v>226021.61480637037</v>
      </c>
      <c r="AQ40" s="110">
        <f t="shared" si="15"/>
        <v>295000.00000000006</v>
      </c>
    </row>
    <row r="41" spans="1:45" x14ac:dyDescent="0.25">
      <c r="A41" s="118">
        <v>82</v>
      </c>
      <c r="B41" s="4" t="s">
        <v>109</v>
      </c>
      <c r="C41" s="4" t="s">
        <v>347</v>
      </c>
      <c r="D41" s="4" t="s">
        <v>145</v>
      </c>
      <c r="E41" s="4" t="s">
        <v>343</v>
      </c>
      <c r="F41" s="4" t="s">
        <v>127</v>
      </c>
      <c r="G41" s="119">
        <v>46085</v>
      </c>
      <c r="H41" s="4">
        <v>3</v>
      </c>
      <c r="I41" s="4" t="s">
        <v>520</v>
      </c>
      <c r="J41" s="120">
        <v>286000</v>
      </c>
      <c r="K41" s="121">
        <f t="shared" si="12"/>
        <v>14488.668231233361</v>
      </c>
      <c r="L41" s="122">
        <f t="shared" si="12"/>
        <v>18133.129573279133</v>
      </c>
      <c r="M41" s="123">
        <f t="shared" si="12"/>
        <v>16589.462561973727</v>
      </c>
      <c r="N41" s="123">
        <f t="shared" si="12"/>
        <v>8111.2042749758111</v>
      </c>
      <c r="O41" s="123">
        <f t="shared" si="12"/>
        <v>7212.3289524228348</v>
      </c>
      <c r="P41" s="124">
        <f t="shared" si="12"/>
        <v>6760.928547707661</v>
      </c>
      <c r="Q41" s="122">
        <f t="shared" si="12"/>
        <v>6825.6624870013493</v>
      </c>
      <c r="R41" s="125">
        <f t="shared" si="12"/>
        <v>8560.7872986465045</v>
      </c>
      <c r="S41" s="122">
        <f t="shared" si="12"/>
        <v>8580</v>
      </c>
      <c r="T41" s="123">
        <f t="shared" si="12"/>
        <v>10547.600034509962</v>
      </c>
      <c r="U41" s="123">
        <f t="shared" si="13"/>
        <v>6910.5992242325665</v>
      </c>
      <c r="V41" s="123">
        <f t="shared" si="13"/>
        <v>5965.2691078989683</v>
      </c>
      <c r="W41" s="124">
        <f t="shared" si="13"/>
        <v>6066.5006340090749</v>
      </c>
      <c r="X41" s="122">
        <f t="shared" si="13"/>
        <v>6565.8205361356031</v>
      </c>
      <c r="Y41" s="125">
        <f t="shared" si="13"/>
        <v>7312.2087565161746</v>
      </c>
      <c r="Z41" s="122">
        <f t="shared" si="13"/>
        <v>9343.1946505556371</v>
      </c>
      <c r="AA41" s="123">
        <f t="shared" si="13"/>
        <v>7762.4308129343481</v>
      </c>
      <c r="AB41" s="123">
        <f t="shared" si="13"/>
        <v>5382.0386661840612</v>
      </c>
      <c r="AC41" s="123">
        <f t="shared" si="13"/>
        <v>5003.2940221039771</v>
      </c>
      <c r="AD41" s="124">
        <f t="shared" si="13"/>
        <v>4944.3006099528484</v>
      </c>
      <c r="AE41" s="122">
        <f t="shared" si="14"/>
        <v>5534.41263069055</v>
      </c>
      <c r="AF41" s="125">
        <f t="shared" si="14"/>
        <v>7669.7350165486932</v>
      </c>
      <c r="AG41" s="122">
        <f t="shared" si="14"/>
        <v>9256.3088244316205</v>
      </c>
      <c r="AH41" s="123">
        <f t="shared" si="14"/>
        <v>8997.4343956743905</v>
      </c>
      <c r="AI41" s="123">
        <f t="shared" si="14"/>
        <v>6543.0592664288624</v>
      </c>
      <c r="AJ41" s="123">
        <f t="shared" si="14"/>
        <v>10059.661001314733</v>
      </c>
      <c r="AK41" s="124">
        <f t="shared" si="14"/>
        <v>10349.002701269128</v>
      </c>
      <c r="AL41" s="122">
        <f t="shared" si="14"/>
        <v>12372.369514755983</v>
      </c>
      <c r="AM41" s="125">
        <f t="shared" si="14"/>
        <v>14458.482009603526</v>
      </c>
      <c r="AN41" s="125">
        <f t="shared" si="14"/>
        <v>15168.036819364852</v>
      </c>
      <c r="AO41" s="125">
        <f t="shared" si="14"/>
        <v>14526.068837644096</v>
      </c>
      <c r="AP41" s="3">
        <f t="shared" si="5"/>
        <v>219126.04011736246</v>
      </c>
      <c r="AQ41" s="110">
        <f t="shared" si="15"/>
        <v>286000</v>
      </c>
    </row>
    <row r="42" spans="1:45" x14ac:dyDescent="0.25">
      <c r="A42" s="118">
        <v>88</v>
      </c>
      <c r="B42" s="4" t="s">
        <v>27</v>
      </c>
      <c r="C42" s="4" t="s">
        <v>352</v>
      </c>
      <c r="D42" s="4" t="s">
        <v>145</v>
      </c>
      <c r="E42" s="4" t="s">
        <v>343</v>
      </c>
      <c r="F42" s="4" t="s">
        <v>131</v>
      </c>
      <c r="G42" s="119">
        <v>45611</v>
      </c>
      <c r="H42" s="4">
        <v>5</v>
      </c>
      <c r="I42" s="4" t="s">
        <v>520</v>
      </c>
      <c r="J42" s="120">
        <v>276000</v>
      </c>
      <c r="K42" s="121">
        <f t="shared" si="12"/>
        <v>13982.071439931495</v>
      </c>
      <c r="L42" s="122">
        <f t="shared" si="12"/>
        <v>17499.104063723917</v>
      </c>
      <c r="M42" s="123">
        <f t="shared" si="12"/>
        <v>16009.411423443178</v>
      </c>
      <c r="N42" s="123">
        <f t="shared" si="12"/>
        <v>7827.595733892741</v>
      </c>
      <c r="O42" s="123">
        <f t="shared" si="12"/>
        <v>6960.1496184220368</v>
      </c>
      <c r="P42" s="124">
        <f t="shared" si="12"/>
        <v>6524.5324446409595</v>
      </c>
      <c r="Q42" s="122">
        <f t="shared" si="12"/>
        <v>6587.0029594838188</v>
      </c>
      <c r="R42" s="125">
        <f t="shared" si="12"/>
        <v>8261.4590714211026</v>
      </c>
      <c r="S42" s="122">
        <f t="shared" si="12"/>
        <v>8280</v>
      </c>
      <c r="T42" s="123">
        <f t="shared" si="12"/>
        <v>10178.802830506116</v>
      </c>
      <c r="U42" s="123">
        <f t="shared" si="13"/>
        <v>6668.969880727931</v>
      </c>
      <c r="V42" s="123">
        <f t="shared" si="13"/>
        <v>5756.6932649654373</v>
      </c>
      <c r="W42" s="124">
        <f t="shared" si="13"/>
        <v>5854.3852272255408</v>
      </c>
      <c r="X42" s="122">
        <f t="shared" si="13"/>
        <v>6336.2463915154767</v>
      </c>
      <c r="Y42" s="125">
        <f t="shared" si="13"/>
        <v>7056.5371216729518</v>
      </c>
      <c r="Z42" s="122">
        <f t="shared" si="13"/>
        <v>9016.5095229138315</v>
      </c>
      <c r="AA42" s="123">
        <f t="shared" si="13"/>
        <v>7491.017148146434</v>
      </c>
      <c r="AB42" s="123">
        <f t="shared" si="13"/>
        <v>5193.8554960377651</v>
      </c>
      <c r="AC42" s="123">
        <f t="shared" si="13"/>
        <v>4828.3536716807612</v>
      </c>
      <c r="AD42" s="124">
        <f t="shared" si="13"/>
        <v>4771.422966248203</v>
      </c>
      <c r="AE42" s="122">
        <f t="shared" si="14"/>
        <v>5340.901699547524</v>
      </c>
      <c r="AF42" s="125">
        <f t="shared" si="14"/>
        <v>7401.5624635225149</v>
      </c>
      <c r="AG42" s="122">
        <f t="shared" si="14"/>
        <v>8932.6616627382064</v>
      </c>
      <c r="AH42" s="123">
        <f t="shared" si="14"/>
        <v>8682.8387874340278</v>
      </c>
      <c r="AI42" s="123">
        <f t="shared" si="14"/>
        <v>6314.280970399881</v>
      </c>
      <c r="AJ42" s="123">
        <f t="shared" si="14"/>
        <v>9707.9246026673645</v>
      </c>
      <c r="AK42" s="124">
        <f t="shared" si="14"/>
        <v>9987.1494599660109</v>
      </c>
      <c r="AL42" s="122">
        <f t="shared" si="14"/>
        <v>11939.769182072207</v>
      </c>
      <c r="AM42" s="125">
        <f t="shared" si="14"/>
        <v>13952.940680596408</v>
      </c>
      <c r="AN42" s="125">
        <f t="shared" si="14"/>
        <v>14637.685881624822</v>
      </c>
      <c r="AO42" s="125">
        <f t="shared" si="14"/>
        <v>14018.164332831366</v>
      </c>
      <c r="AP42" s="3">
        <f t="shared" si="5"/>
        <v>211464.29046290921</v>
      </c>
      <c r="AQ42" s="110">
        <f t="shared" si="15"/>
        <v>276000</v>
      </c>
    </row>
    <row r="43" spans="1:45" x14ac:dyDescent="0.25">
      <c r="A43" s="118">
        <v>36</v>
      </c>
      <c r="B43" s="4" t="s">
        <v>38</v>
      </c>
      <c r="C43" s="4" t="s">
        <v>300</v>
      </c>
      <c r="D43" s="4" t="s">
        <v>138</v>
      </c>
      <c r="E43" s="4" t="s">
        <v>296</v>
      </c>
      <c r="F43" s="4" t="s">
        <v>128</v>
      </c>
      <c r="G43" s="119">
        <v>45716</v>
      </c>
      <c r="H43" s="4">
        <v>5</v>
      </c>
      <c r="I43" s="4" t="s">
        <v>520</v>
      </c>
      <c r="J43" s="120">
        <v>275000</v>
      </c>
      <c r="K43" s="121">
        <f t="shared" si="12"/>
        <v>13931.411760801308</v>
      </c>
      <c r="L43" s="122">
        <f t="shared" si="12"/>
        <v>17435.701512768395</v>
      </c>
      <c r="M43" s="123">
        <f t="shared" si="12"/>
        <v>15951.406309590122</v>
      </c>
      <c r="N43" s="123">
        <f t="shared" si="12"/>
        <v>7799.2348797844334</v>
      </c>
      <c r="O43" s="123">
        <f t="shared" si="12"/>
        <v>6934.9316850219566</v>
      </c>
      <c r="P43" s="124">
        <f t="shared" si="12"/>
        <v>6500.8928343342895</v>
      </c>
      <c r="Q43" s="122">
        <f t="shared" si="12"/>
        <v>6563.1370067320659</v>
      </c>
      <c r="R43" s="125">
        <f t="shared" si="12"/>
        <v>8231.526248698563</v>
      </c>
      <c r="S43" s="122">
        <f t="shared" si="12"/>
        <v>8250</v>
      </c>
      <c r="T43" s="123">
        <f t="shared" si="12"/>
        <v>10141.923110105732</v>
      </c>
      <c r="U43" s="123">
        <f t="shared" si="13"/>
        <v>6644.8069463774682</v>
      </c>
      <c r="V43" s="123">
        <f t="shared" si="13"/>
        <v>5735.8356806720849</v>
      </c>
      <c r="W43" s="124">
        <f t="shared" si="13"/>
        <v>5833.1736865471876</v>
      </c>
      <c r="X43" s="122">
        <f t="shared" si="13"/>
        <v>6313.2889770534639</v>
      </c>
      <c r="Y43" s="125">
        <f t="shared" si="13"/>
        <v>7030.9699581886289</v>
      </c>
      <c r="Z43" s="122">
        <f t="shared" si="13"/>
        <v>8983.8410101496502</v>
      </c>
      <c r="AA43" s="123">
        <f t="shared" si="13"/>
        <v>7463.8757816676425</v>
      </c>
      <c r="AB43" s="123">
        <f t="shared" si="13"/>
        <v>5175.0371790231356</v>
      </c>
      <c r="AC43" s="123">
        <f t="shared" si="13"/>
        <v>4810.85963663844</v>
      </c>
      <c r="AD43" s="124">
        <f t="shared" si="13"/>
        <v>4754.1352018777388</v>
      </c>
      <c r="AE43" s="122">
        <f t="shared" si="14"/>
        <v>5321.5506064332212</v>
      </c>
      <c r="AF43" s="125">
        <f t="shared" si="14"/>
        <v>7374.745208219897</v>
      </c>
      <c r="AG43" s="122">
        <f t="shared" si="14"/>
        <v>8900.2969465688657</v>
      </c>
      <c r="AH43" s="123">
        <f t="shared" si="14"/>
        <v>8651.3792266099899</v>
      </c>
      <c r="AI43" s="123">
        <f t="shared" si="14"/>
        <v>6291.4031407969824</v>
      </c>
      <c r="AJ43" s="123">
        <f t="shared" si="14"/>
        <v>9672.7509628026291</v>
      </c>
      <c r="AK43" s="124">
        <f t="shared" si="14"/>
        <v>9950.9641358357003</v>
      </c>
      <c r="AL43" s="122">
        <f t="shared" si="14"/>
        <v>11896.509148803829</v>
      </c>
      <c r="AM43" s="125">
        <f t="shared" si="14"/>
        <v>13902.386547695696</v>
      </c>
      <c r="AN43" s="125">
        <f t="shared" si="14"/>
        <v>14584.650787850818</v>
      </c>
      <c r="AO43" s="125">
        <f t="shared" si="14"/>
        <v>13967.373882350093</v>
      </c>
      <c r="AP43" s="3">
        <f t="shared" si="5"/>
        <v>210698.11549746388</v>
      </c>
      <c r="AQ43" s="110">
        <f t="shared" si="15"/>
        <v>275000</v>
      </c>
    </row>
    <row r="44" spans="1:45" x14ac:dyDescent="0.25">
      <c r="A44" s="118">
        <v>23</v>
      </c>
      <c r="B44" s="4" t="s">
        <v>73</v>
      </c>
      <c r="C44" s="4" t="s">
        <v>287</v>
      </c>
      <c r="D44" s="4" t="s">
        <v>146</v>
      </c>
      <c r="E44" s="4" t="s">
        <v>266</v>
      </c>
      <c r="F44" s="4" t="s">
        <v>126</v>
      </c>
      <c r="G44" s="119">
        <v>45931</v>
      </c>
      <c r="H44" s="4">
        <v>5</v>
      </c>
      <c r="I44" s="4" t="s">
        <v>520</v>
      </c>
      <c r="J44" s="120">
        <v>272000</v>
      </c>
      <c r="K44" s="121">
        <f t="shared" si="12"/>
        <v>13779.43272341075</v>
      </c>
      <c r="L44" s="122">
        <f t="shared" si="12"/>
        <v>17245.493859901831</v>
      </c>
      <c r="M44" s="123">
        <f t="shared" si="12"/>
        <v>15777.390968030957</v>
      </c>
      <c r="N44" s="123">
        <f t="shared" si="12"/>
        <v>7714.1523174595122</v>
      </c>
      <c r="O44" s="123">
        <f t="shared" si="12"/>
        <v>6859.2778848217167</v>
      </c>
      <c r="P44" s="124">
        <f t="shared" si="12"/>
        <v>6429.9740034142787</v>
      </c>
      <c r="Q44" s="122">
        <f t="shared" si="12"/>
        <v>6491.539148476807</v>
      </c>
      <c r="R44" s="125">
        <f t="shared" si="12"/>
        <v>8141.7277805309413</v>
      </c>
      <c r="S44" s="122">
        <f t="shared" si="12"/>
        <v>8160</v>
      </c>
      <c r="T44" s="123">
        <f t="shared" si="12"/>
        <v>10031.283948904578</v>
      </c>
      <c r="U44" s="123">
        <f t="shared" si="13"/>
        <v>6572.318143326077</v>
      </c>
      <c r="V44" s="123">
        <f t="shared" si="13"/>
        <v>5673.262927792025</v>
      </c>
      <c r="W44" s="124">
        <f t="shared" si="13"/>
        <v>5769.539064512127</v>
      </c>
      <c r="X44" s="122">
        <f t="shared" si="13"/>
        <v>6244.4167336674263</v>
      </c>
      <c r="Y44" s="125">
        <f t="shared" si="13"/>
        <v>6954.2684677356619</v>
      </c>
      <c r="Z44" s="122">
        <f t="shared" si="13"/>
        <v>8885.83547185711</v>
      </c>
      <c r="AA44" s="123">
        <f t="shared" si="13"/>
        <v>7382.451682231268</v>
      </c>
      <c r="AB44" s="123">
        <f t="shared" si="13"/>
        <v>5118.5822279792465</v>
      </c>
      <c r="AC44" s="123">
        <f t="shared" si="13"/>
        <v>4758.3775315114754</v>
      </c>
      <c r="AD44" s="124">
        <f t="shared" si="13"/>
        <v>4702.2719087663445</v>
      </c>
      <c r="AE44" s="122">
        <f t="shared" si="14"/>
        <v>5263.4973270903138</v>
      </c>
      <c r="AF44" s="125">
        <f t="shared" si="14"/>
        <v>7294.2934423120432</v>
      </c>
      <c r="AG44" s="122">
        <f t="shared" si="14"/>
        <v>8803.2027980608418</v>
      </c>
      <c r="AH44" s="123">
        <f t="shared" si="14"/>
        <v>8557.0005441378817</v>
      </c>
      <c r="AI44" s="123">
        <f t="shared" si="14"/>
        <v>6222.7696519882884</v>
      </c>
      <c r="AJ44" s="123">
        <f t="shared" si="14"/>
        <v>9567.2300432084176</v>
      </c>
      <c r="AK44" s="124">
        <f t="shared" si="14"/>
        <v>9842.4081634447648</v>
      </c>
      <c r="AL44" s="122">
        <f t="shared" si="14"/>
        <v>11766.729048998695</v>
      </c>
      <c r="AM44" s="125">
        <f t="shared" si="14"/>
        <v>13750.724148993562</v>
      </c>
      <c r="AN44" s="125">
        <f t="shared" si="14"/>
        <v>14425.54550652881</v>
      </c>
      <c r="AO44" s="125">
        <f t="shared" si="14"/>
        <v>13815.002530906273</v>
      </c>
      <c r="AP44" s="3">
        <f t="shared" si="5"/>
        <v>208399.59060112794</v>
      </c>
      <c r="AQ44" s="110">
        <f t="shared" si="15"/>
        <v>272000.00000000006</v>
      </c>
    </row>
    <row r="45" spans="1:45" x14ac:dyDescent="0.25">
      <c r="A45" s="118">
        <v>12</v>
      </c>
      <c r="B45" s="4" t="s">
        <v>99</v>
      </c>
      <c r="C45" s="4" t="s">
        <v>274</v>
      </c>
      <c r="D45" s="4" t="s">
        <v>142</v>
      </c>
      <c r="E45" s="4" t="s">
        <v>270</v>
      </c>
      <c r="F45" s="4" t="s">
        <v>132</v>
      </c>
      <c r="G45" s="119">
        <v>46056</v>
      </c>
      <c r="H45" s="4">
        <v>8</v>
      </c>
      <c r="I45" s="4" t="s">
        <v>520</v>
      </c>
      <c r="J45" s="120">
        <v>263000</v>
      </c>
      <c r="K45" s="121">
        <f t="shared" ref="K45:T54" si="16">$J45*K$4</f>
        <v>13323.49561123907</v>
      </c>
      <c r="L45" s="122">
        <f t="shared" si="16"/>
        <v>16674.87090130214</v>
      </c>
      <c r="M45" s="123">
        <f t="shared" si="16"/>
        <v>15255.344943353462</v>
      </c>
      <c r="N45" s="123">
        <f t="shared" si="16"/>
        <v>7458.9046304847488</v>
      </c>
      <c r="O45" s="123">
        <f t="shared" si="16"/>
        <v>6632.3164842209981</v>
      </c>
      <c r="P45" s="124">
        <f t="shared" si="16"/>
        <v>6217.2175106542472</v>
      </c>
      <c r="Q45" s="122">
        <f t="shared" si="16"/>
        <v>6276.7455737110304</v>
      </c>
      <c r="R45" s="125">
        <f t="shared" si="16"/>
        <v>7872.33237602808</v>
      </c>
      <c r="S45" s="122">
        <f t="shared" si="16"/>
        <v>7890</v>
      </c>
      <c r="T45" s="123">
        <f t="shared" si="16"/>
        <v>9699.3664653011183</v>
      </c>
      <c r="U45" s="123">
        <f t="shared" ref="U45:AD54" si="17">$J45*U$4</f>
        <v>6354.8517341719053</v>
      </c>
      <c r="V45" s="123">
        <f t="shared" si="17"/>
        <v>5485.5446691518482</v>
      </c>
      <c r="W45" s="124">
        <f t="shared" si="17"/>
        <v>5578.635198406947</v>
      </c>
      <c r="X45" s="122">
        <f t="shared" si="17"/>
        <v>6037.8000035093128</v>
      </c>
      <c r="Y45" s="125">
        <f t="shared" si="17"/>
        <v>6724.163996376762</v>
      </c>
      <c r="Z45" s="122">
        <f t="shared" si="17"/>
        <v>8591.8188569794838</v>
      </c>
      <c r="AA45" s="123">
        <f t="shared" si="17"/>
        <v>7138.1793839221455</v>
      </c>
      <c r="AB45" s="123">
        <f t="shared" si="17"/>
        <v>4949.2173748475807</v>
      </c>
      <c r="AC45" s="123">
        <f t="shared" si="17"/>
        <v>4600.9312161305807</v>
      </c>
      <c r="AD45" s="124">
        <f t="shared" si="17"/>
        <v>4546.6820294321642</v>
      </c>
      <c r="AE45" s="122">
        <f t="shared" ref="AE45:AO54" si="18">$J45*AE$4</f>
        <v>5089.3374890615896</v>
      </c>
      <c r="AF45" s="125">
        <f t="shared" si="18"/>
        <v>7052.9381445884837</v>
      </c>
      <c r="AG45" s="122">
        <f t="shared" si="18"/>
        <v>8511.9203525367684</v>
      </c>
      <c r="AH45" s="123">
        <f t="shared" si="18"/>
        <v>8273.864496721555</v>
      </c>
      <c r="AI45" s="123">
        <f t="shared" si="18"/>
        <v>6016.8691855622055</v>
      </c>
      <c r="AJ45" s="123">
        <f t="shared" si="18"/>
        <v>9250.6672844257864</v>
      </c>
      <c r="AK45" s="124">
        <f t="shared" si="18"/>
        <v>9516.7402462719601</v>
      </c>
      <c r="AL45" s="122">
        <f t="shared" si="18"/>
        <v>11377.388749583299</v>
      </c>
      <c r="AM45" s="125">
        <f t="shared" si="18"/>
        <v>13295.736952887157</v>
      </c>
      <c r="AN45" s="125">
        <f t="shared" si="18"/>
        <v>13948.229662562784</v>
      </c>
      <c r="AO45" s="125">
        <f t="shared" si="18"/>
        <v>13357.888476574815</v>
      </c>
      <c r="AP45" s="3">
        <f t="shared" si="5"/>
        <v>201504.01591212003</v>
      </c>
      <c r="AQ45" s="110">
        <f t="shared" si="15"/>
        <v>263000</v>
      </c>
    </row>
    <row r="46" spans="1:45" x14ac:dyDescent="0.25">
      <c r="A46" s="118">
        <v>97</v>
      </c>
      <c r="B46" s="4" t="s">
        <v>60</v>
      </c>
      <c r="C46" s="4" t="s">
        <v>361</v>
      </c>
      <c r="D46" s="4" t="s">
        <v>162</v>
      </c>
      <c r="E46" s="4" t="s">
        <v>294</v>
      </c>
      <c r="F46" s="4" t="s">
        <v>133</v>
      </c>
      <c r="G46" s="119">
        <v>45908</v>
      </c>
      <c r="H46" s="4">
        <v>6</v>
      </c>
      <c r="I46" s="4" t="s">
        <v>520</v>
      </c>
      <c r="J46" s="120">
        <v>260000</v>
      </c>
      <c r="K46" s="121">
        <f t="shared" si="16"/>
        <v>13171.51657384851</v>
      </c>
      <c r="L46" s="122">
        <f t="shared" si="16"/>
        <v>16484.663248435576</v>
      </c>
      <c r="M46" s="123">
        <f t="shared" si="16"/>
        <v>15081.329601794298</v>
      </c>
      <c r="N46" s="123">
        <f t="shared" si="16"/>
        <v>7373.8220681598277</v>
      </c>
      <c r="O46" s="123">
        <f t="shared" si="16"/>
        <v>6556.6626840207591</v>
      </c>
      <c r="P46" s="124">
        <f t="shared" si="16"/>
        <v>6146.2986797342373</v>
      </c>
      <c r="Q46" s="122">
        <f t="shared" si="16"/>
        <v>6205.1477154557715</v>
      </c>
      <c r="R46" s="125">
        <f t="shared" si="16"/>
        <v>7782.5339078604593</v>
      </c>
      <c r="S46" s="122">
        <f t="shared" si="16"/>
        <v>7800</v>
      </c>
      <c r="T46" s="123">
        <f t="shared" si="16"/>
        <v>9588.7273040999644</v>
      </c>
      <c r="U46" s="123">
        <f t="shared" si="17"/>
        <v>6282.362931120515</v>
      </c>
      <c r="V46" s="123">
        <f t="shared" si="17"/>
        <v>5422.9719162717893</v>
      </c>
      <c r="W46" s="124">
        <f t="shared" si="17"/>
        <v>5515.0005763718864</v>
      </c>
      <c r="X46" s="122">
        <f t="shared" si="17"/>
        <v>5968.9277601232752</v>
      </c>
      <c r="Y46" s="125">
        <f t="shared" si="17"/>
        <v>6647.4625059237951</v>
      </c>
      <c r="Z46" s="122">
        <f t="shared" si="17"/>
        <v>8493.8133186869436</v>
      </c>
      <c r="AA46" s="123">
        <f t="shared" si="17"/>
        <v>7056.755284485771</v>
      </c>
      <c r="AB46" s="123">
        <f t="shared" si="17"/>
        <v>4892.7624238036915</v>
      </c>
      <c r="AC46" s="123">
        <f t="shared" si="17"/>
        <v>4548.4491110036161</v>
      </c>
      <c r="AD46" s="124">
        <f t="shared" si="17"/>
        <v>4494.8187363207708</v>
      </c>
      <c r="AE46" s="122">
        <f t="shared" si="18"/>
        <v>5031.2842097186822</v>
      </c>
      <c r="AF46" s="125">
        <f t="shared" si="18"/>
        <v>6972.48637868063</v>
      </c>
      <c r="AG46" s="122">
        <f t="shared" si="18"/>
        <v>8414.8262040287445</v>
      </c>
      <c r="AH46" s="123">
        <f t="shared" si="18"/>
        <v>8179.4858142494459</v>
      </c>
      <c r="AI46" s="123">
        <f t="shared" si="18"/>
        <v>5948.2356967535106</v>
      </c>
      <c r="AJ46" s="123">
        <f t="shared" si="18"/>
        <v>9145.1463648315766</v>
      </c>
      <c r="AK46" s="124">
        <f t="shared" si="18"/>
        <v>9408.1842738810246</v>
      </c>
      <c r="AL46" s="122">
        <f t="shared" si="18"/>
        <v>11247.608649778165</v>
      </c>
      <c r="AM46" s="125">
        <f t="shared" si="18"/>
        <v>13144.074554185023</v>
      </c>
      <c r="AN46" s="125">
        <f t="shared" si="18"/>
        <v>13789.124381240774</v>
      </c>
      <c r="AO46" s="125">
        <f t="shared" si="18"/>
        <v>13205.517125130997</v>
      </c>
      <c r="AP46" s="3">
        <f t="shared" si="5"/>
        <v>199205.49101578398</v>
      </c>
      <c r="AQ46" s="110">
        <f t="shared" si="15"/>
        <v>260000</v>
      </c>
    </row>
    <row r="47" spans="1:45" x14ac:dyDescent="0.25">
      <c r="A47" s="118">
        <v>91</v>
      </c>
      <c r="B47" s="4" t="s">
        <v>59</v>
      </c>
      <c r="C47" s="4" t="s">
        <v>355</v>
      </c>
      <c r="D47" s="4" t="s">
        <v>145</v>
      </c>
      <c r="E47" s="4" t="s">
        <v>343</v>
      </c>
      <c r="F47" s="4" t="s">
        <v>131</v>
      </c>
      <c r="G47" s="119">
        <v>45845</v>
      </c>
      <c r="H47" s="4">
        <v>4</v>
      </c>
      <c r="I47" s="4" t="s">
        <v>520</v>
      </c>
      <c r="J47" s="120">
        <v>257000</v>
      </c>
      <c r="K47" s="121">
        <f t="shared" si="16"/>
        <v>13019.53753645795</v>
      </c>
      <c r="L47" s="122">
        <f t="shared" si="16"/>
        <v>16294.45559556901</v>
      </c>
      <c r="M47" s="123">
        <f t="shared" si="16"/>
        <v>14907.314260235133</v>
      </c>
      <c r="N47" s="123">
        <f t="shared" si="16"/>
        <v>7288.7395058349075</v>
      </c>
      <c r="O47" s="123">
        <f t="shared" si="16"/>
        <v>6481.0088838205193</v>
      </c>
      <c r="P47" s="124">
        <f t="shared" si="16"/>
        <v>6075.3798488142265</v>
      </c>
      <c r="Q47" s="122">
        <f t="shared" si="16"/>
        <v>6133.5498572005126</v>
      </c>
      <c r="R47" s="125">
        <f t="shared" si="16"/>
        <v>7692.7354396928386</v>
      </c>
      <c r="S47" s="122">
        <f t="shared" si="16"/>
        <v>7710</v>
      </c>
      <c r="T47" s="123">
        <f t="shared" si="16"/>
        <v>9478.0881428988123</v>
      </c>
      <c r="U47" s="123">
        <f t="shared" si="17"/>
        <v>6209.8741280691247</v>
      </c>
      <c r="V47" s="123">
        <f t="shared" si="17"/>
        <v>5360.3991633917303</v>
      </c>
      <c r="W47" s="124">
        <f t="shared" si="17"/>
        <v>5451.3659543368258</v>
      </c>
      <c r="X47" s="122">
        <f t="shared" si="17"/>
        <v>5900.0555167372377</v>
      </c>
      <c r="Y47" s="125">
        <f t="shared" si="17"/>
        <v>6570.7610154708282</v>
      </c>
      <c r="Z47" s="122">
        <f t="shared" si="17"/>
        <v>8395.8077803944016</v>
      </c>
      <c r="AA47" s="123">
        <f t="shared" si="17"/>
        <v>6975.3311850493965</v>
      </c>
      <c r="AB47" s="123">
        <f t="shared" si="17"/>
        <v>4836.3074727598032</v>
      </c>
      <c r="AC47" s="123">
        <f t="shared" si="17"/>
        <v>4495.9670058766505</v>
      </c>
      <c r="AD47" s="124">
        <f t="shared" si="17"/>
        <v>4442.9554432093773</v>
      </c>
      <c r="AE47" s="122">
        <f t="shared" si="18"/>
        <v>4973.2309303757738</v>
      </c>
      <c r="AF47" s="125">
        <f t="shared" si="18"/>
        <v>6892.0346127727762</v>
      </c>
      <c r="AG47" s="122">
        <f t="shared" si="18"/>
        <v>8317.7320555207207</v>
      </c>
      <c r="AH47" s="123">
        <f t="shared" si="18"/>
        <v>8085.1071317773367</v>
      </c>
      <c r="AI47" s="123">
        <f t="shared" si="18"/>
        <v>5879.6022079448167</v>
      </c>
      <c r="AJ47" s="123">
        <f t="shared" si="18"/>
        <v>9039.6254452373651</v>
      </c>
      <c r="AK47" s="124">
        <f t="shared" si="18"/>
        <v>9299.6283014900891</v>
      </c>
      <c r="AL47" s="122">
        <f t="shared" si="18"/>
        <v>11117.828549973034</v>
      </c>
      <c r="AM47" s="125">
        <f t="shared" si="18"/>
        <v>12992.412155482887</v>
      </c>
      <c r="AN47" s="125">
        <f t="shared" si="18"/>
        <v>13630.019099918765</v>
      </c>
      <c r="AO47" s="125">
        <f t="shared" si="18"/>
        <v>13053.145773687178</v>
      </c>
      <c r="AP47" s="3">
        <f t="shared" si="5"/>
        <v>196906.96611944807</v>
      </c>
      <c r="AQ47" s="110">
        <f t="shared" si="15"/>
        <v>257000.00000000003</v>
      </c>
    </row>
    <row r="48" spans="1:45" x14ac:dyDescent="0.25">
      <c r="A48" s="118">
        <v>11</v>
      </c>
      <c r="B48" s="4" t="s">
        <v>42</v>
      </c>
      <c r="C48" s="4" t="s">
        <v>273</v>
      </c>
      <c r="D48" s="4" t="s">
        <v>142</v>
      </c>
      <c r="E48" s="4" t="s">
        <v>270</v>
      </c>
      <c r="F48" s="4" t="s">
        <v>132</v>
      </c>
      <c r="G48" s="119">
        <v>45741</v>
      </c>
      <c r="H48" s="4">
        <v>6</v>
      </c>
      <c r="I48" s="4" t="s">
        <v>520</v>
      </c>
      <c r="J48" s="120">
        <v>254000</v>
      </c>
      <c r="K48" s="121">
        <f t="shared" si="16"/>
        <v>12867.558499067391</v>
      </c>
      <c r="L48" s="122">
        <f t="shared" si="16"/>
        <v>16104.247942702446</v>
      </c>
      <c r="M48" s="123">
        <f t="shared" si="16"/>
        <v>14733.298918675968</v>
      </c>
      <c r="N48" s="123">
        <f t="shared" si="16"/>
        <v>7203.6569435099864</v>
      </c>
      <c r="O48" s="123">
        <f t="shared" si="16"/>
        <v>6405.3550836202803</v>
      </c>
      <c r="P48" s="124">
        <f t="shared" si="16"/>
        <v>6004.4610178942166</v>
      </c>
      <c r="Q48" s="122">
        <f t="shared" si="16"/>
        <v>6061.9519989452538</v>
      </c>
      <c r="R48" s="125">
        <f t="shared" si="16"/>
        <v>7602.9369715252178</v>
      </c>
      <c r="S48" s="122">
        <f t="shared" si="16"/>
        <v>7620</v>
      </c>
      <c r="T48" s="123">
        <f t="shared" si="16"/>
        <v>9367.4489816976584</v>
      </c>
      <c r="U48" s="123">
        <f t="shared" si="17"/>
        <v>6137.3853250177344</v>
      </c>
      <c r="V48" s="123">
        <f t="shared" si="17"/>
        <v>5297.8264105116705</v>
      </c>
      <c r="W48" s="124">
        <f t="shared" si="17"/>
        <v>5387.7313323017661</v>
      </c>
      <c r="X48" s="122">
        <f t="shared" si="17"/>
        <v>5831.1832733512001</v>
      </c>
      <c r="Y48" s="125">
        <f t="shared" si="17"/>
        <v>6494.0595250178612</v>
      </c>
      <c r="Z48" s="122">
        <f t="shared" si="17"/>
        <v>8297.8022421018595</v>
      </c>
      <c r="AA48" s="123">
        <f t="shared" si="17"/>
        <v>6893.907085613022</v>
      </c>
      <c r="AB48" s="123">
        <f t="shared" si="17"/>
        <v>4779.852521715914</v>
      </c>
      <c r="AC48" s="123">
        <f t="shared" si="17"/>
        <v>4443.4849007496859</v>
      </c>
      <c r="AD48" s="124">
        <f t="shared" si="17"/>
        <v>4391.0921500979839</v>
      </c>
      <c r="AE48" s="122">
        <f t="shared" si="18"/>
        <v>4915.1776510328664</v>
      </c>
      <c r="AF48" s="125">
        <f t="shared" si="18"/>
        <v>6811.5828468649233</v>
      </c>
      <c r="AG48" s="122">
        <f t="shared" si="18"/>
        <v>8220.6379070126968</v>
      </c>
      <c r="AH48" s="123">
        <f t="shared" si="18"/>
        <v>7990.7284493052275</v>
      </c>
      <c r="AI48" s="123">
        <f t="shared" si="18"/>
        <v>5810.9687191361227</v>
      </c>
      <c r="AJ48" s="123">
        <f t="shared" si="18"/>
        <v>8934.1045256431553</v>
      </c>
      <c r="AK48" s="124">
        <f t="shared" si="18"/>
        <v>9191.0723290991555</v>
      </c>
      <c r="AL48" s="122">
        <f t="shared" si="18"/>
        <v>10988.0484501679</v>
      </c>
      <c r="AM48" s="125">
        <f t="shared" si="18"/>
        <v>12840.749756780753</v>
      </c>
      <c r="AN48" s="125">
        <f t="shared" si="18"/>
        <v>13470.913818596757</v>
      </c>
      <c r="AO48" s="125">
        <f t="shared" si="18"/>
        <v>12900.774422243358</v>
      </c>
      <c r="AP48" s="3">
        <f t="shared" si="5"/>
        <v>194608.44122311211</v>
      </c>
      <c r="AQ48" s="110">
        <f t="shared" si="15"/>
        <v>254000</v>
      </c>
    </row>
    <row r="49" spans="1:43" x14ac:dyDescent="0.25">
      <c r="A49" s="118">
        <v>96</v>
      </c>
      <c r="B49" s="4" t="s">
        <v>77</v>
      </c>
      <c r="C49" s="4" t="s">
        <v>360</v>
      </c>
      <c r="D49" s="4" t="s">
        <v>160</v>
      </c>
      <c r="E49" s="4" t="s">
        <v>294</v>
      </c>
      <c r="F49" s="4" t="s">
        <v>133</v>
      </c>
      <c r="G49" s="119">
        <v>45953</v>
      </c>
      <c r="H49" s="4">
        <v>4</v>
      </c>
      <c r="I49" s="4" t="s">
        <v>520</v>
      </c>
      <c r="J49" s="120">
        <v>250000</v>
      </c>
      <c r="K49" s="121">
        <f t="shared" si="16"/>
        <v>12664.919782546644</v>
      </c>
      <c r="L49" s="122">
        <f t="shared" si="16"/>
        <v>15850.637738880361</v>
      </c>
      <c r="M49" s="123">
        <f t="shared" si="16"/>
        <v>14501.278463263749</v>
      </c>
      <c r="N49" s="123">
        <f t="shared" si="16"/>
        <v>7090.2135270767576</v>
      </c>
      <c r="O49" s="123">
        <f t="shared" si="16"/>
        <v>6304.4833500199602</v>
      </c>
      <c r="P49" s="124">
        <f t="shared" si="16"/>
        <v>5909.9025766675359</v>
      </c>
      <c r="Q49" s="122">
        <f t="shared" si="16"/>
        <v>5966.4881879382419</v>
      </c>
      <c r="R49" s="125">
        <f t="shared" si="16"/>
        <v>7483.2056806350565</v>
      </c>
      <c r="S49" s="122">
        <f t="shared" si="16"/>
        <v>7500</v>
      </c>
      <c r="T49" s="123">
        <f t="shared" si="16"/>
        <v>9219.9301000961204</v>
      </c>
      <c r="U49" s="123">
        <f t="shared" si="17"/>
        <v>6040.7335876158795</v>
      </c>
      <c r="V49" s="123">
        <f t="shared" si="17"/>
        <v>5214.3960733382582</v>
      </c>
      <c r="W49" s="124">
        <f t="shared" si="17"/>
        <v>5302.8851695883523</v>
      </c>
      <c r="X49" s="122">
        <f t="shared" si="17"/>
        <v>5739.3536155031497</v>
      </c>
      <c r="Y49" s="125">
        <f t="shared" si="17"/>
        <v>6391.7908710805723</v>
      </c>
      <c r="Z49" s="122">
        <f t="shared" si="17"/>
        <v>8167.1281910451371</v>
      </c>
      <c r="AA49" s="123">
        <f t="shared" si="17"/>
        <v>6785.3416196978569</v>
      </c>
      <c r="AB49" s="123">
        <f t="shared" si="17"/>
        <v>4704.5792536573954</v>
      </c>
      <c r="AC49" s="123">
        <f t="shared" si="17"/>
        <v>4373.5087605804001</v>
      </c>
      <c r="AD49" s="124">
        <f t="shared" si="17"/>
        <v>4321.9410926161263</v>
      </c>
      <c r="AE49" s="122">
        <f t="shared" si="18"/>
        <v>4837.7732785756552</v>
      </c>
      <c r="AF49" s="125">
        <f t="shared" si="18"/>
        <v>6704.3138256544516</v>
      </c>
      <c r="AG49" s="122">
        <f t="shared" si="18"/>
        <v>8091.1790423353323</v>
      </c>
      <c r="AH49" s="123">
        <f t="shared" si="18"/>
        <v>7864.8902060090822</v>
      </c>
      <c r="AI49" s="123">
        <f t="shared" si="18"/>
        <v>5719.4574007245301</v>
      </c>
      <c r="AJ49" s="123">
        <f t="shared" si="18"/>
        <v>8793.4099661842083</v>
      </c>
      <c r="AK49" s="124">
        <f t="shared" si="18"/>
        <v>9046.3310325779094</v>
      </c>
      <c r="AL49" s="122">
        <f t="shared" si="18"/>
        <v>10815.008317094391</v>
      </c>
      <c r="AM49" s="125">
        <f t="shared" si="18"/>
        <v>12638.533225177905</v>
      </c>
      <c r="AN49" s="125">
        <f t="shared" si="18"/>
        <v>13258.773443500744</v>
      </c>
      <c r="AO49" s="125">
        <f t="shared" si="18"/>
        <v>12697.612620318267</v>
      </c>
      <c r="AP49" s="3">
        <f t="shared" si="5"/>
        <v>191543.74136133082</v>
      </c>
      <c r="AQ49" s="110">
        <f t="shared" si="15"/>
        <v>250000.00000000003</v>
      </c>
    </row>
    <row r="50" spans="1:43" x14ac:dyDescent="0.25">
      <c r="A50" s="118">
        <v>110</v>
      </c>
      <c r="B50" s="4" t="s">
        <v>123</v>
      </c>
      <c r="C50" s="4" t="s">
        <v>375</v>
      </c>
      <c r="D50" s="4" t="s">
        <v>138</v>
      </c>
      <c r="E50" s="4" t="s">
        <v>296</v>
      </c>
      <c r="F50" s="4" t="s">
        <v>128</v>
      </c>
      <c r="G50" s="119">
        <v>46240</v>
      </c>
      <c r="H50" s="4" t="s">
        <v>373</v>
      </c>
      <c r="I50" s="4" t="s">
        <v>520</v>
      </c>
      <c r="J50" s="120">
        <v>250000</v>
      </c>
      <c r="K50" s="121">
        <f t="shared" si="16"/>
        <v>12664.919782546644</v>
      </c>
      <c r="L50" s="122">
        <f t="shared" si="16"/>
        <v>15850.637738880361</v>
      </c>
      <c r="M50" s="123">
        <f t="shared" si="16"/>
        <v>14501.278463263749</v>
      </c>
      <c r="N50" s="123">
        <f t="shared" si="16"/>
        <v>7090.2135270767576</v>
      </c>
      <c r="O50" s="123">
        <f t="shared" si="16"/>
        <v>6304.4833500199602</v>
      </c>
      <c r="P50" s="124">
        <f t="shared" si="16"/>
        <v>5909.9025766675359</v>
      </c>
      <c r="Q50" s="122">
        <f t="shared" si="16"/>
        <v>5966.4881879382419</v>
      </c>
      <c r="R50" s="125">
        <f t="shared" si="16"/>
        <v>7483.2056806350565</v>
      </c>
      <c r="S50" s="122">
        <f t="shared" si="16"/>
        <v>7500</v>
      </c>
      <c r="T50" s="123">
        <f t="shared" si="16"/>
        <v>9219.9301000961204</v>
      </c>
      <c r="U50" s="123">
        <f t="shared" si="17"/>
        <v>6040.7335876158795</v>
      </c>
      <c r="V50" s="123">
        <f t="shared" si="17"/>
        <v>5214.3960733382582</v>
      </c>
      <c r="W50" s="124">
        <f t="shared" si="17"/>
        <v>5302.8851695883523</v>
      </c>
      <c r="X50" s="122">
        <f t="shared" si="17"/>
        <v>5739.3536155031497</v>
      </c>
      <c r="Y50" s="125">
        <f t="shared" si="17"/>
        <v>6391.7908710805723</v>
      </c>
      <c r="Z50" s="122">
        <f t="shared" si="17"/>
        <v>8167.1281910451371</v>
      </c>
      <c r="AA50" s="123">
        <f t="shared" si="17"/>
        <v>6785.3416196978569</v>
      </c>
      <c r="AB50" s="123">
        <f t="shared" si="17"/>
        <v>4704.5792536573954</v>
      </c>
      <c r="AC50" s="123">
        <f t="shared" si="17"/>
        <v>4373.5087605804001</v>
      </c>
      <c r="AD50" s="124">
        <f t="shared" si="17"/>
        <v>4321.9410926161263</v>
      </c>
      <c r="AE50" s="122">
        <f t="shared" si="18"/>
        <v>4837.7732785756552</v>
      </c>
      <c r="AF50" s="125">
        <f t="shared" si="18"/>
        <v>6704.3138256544516</v>
      </c>
      <c r="AG50" s="122">
        <f t="shared" si="18"/>
        <v>8091.1790423353323</v>
      </c>
      <c r="AH50" s="123">
        <f t="shared" si="18"/>
        <v>7864.8902060090822</v>
      </c>
      <c r="AI50" s="123">
        <f t="shared" si="18"/>
        <v>5719.4574007245301</v>
      </c>
      <c r="AJ50" s="123">
        <f t="shared" si="18"/>
        <v>8793.4099661842083</v>
      </c>
      <c r="AK50" s="124">
        <f t="shared" si="18"/>
        <v>9046.3310325779094</v>
      </c>
      <c r="AL50" s="122">
        <f t="shared" si="18"/>
        <v>10815.008317094391</v>
      </c>
      <c r="AM50" s="125">
        <f t="shared" si="18"/>
        <v>12638.533225177905</v>
      </c>
      <c r="AN50" s="125">
        <f t="shared" si="18"/>
        <v>13258.773443500744</v>
      </c>
      <c r="AO50" s="125">
        <f t="shared" si="18"/>
        <v>12697.612620318267</v>
      </c>
      <c r="AP50" s="3">
        <f t="shared" si="5"/>
        <v>191543.74136133082</v>
      </c>
      <c r="AQ50" s="110">
        <f t="shared" si="15"/>
        <v>250000.00000000003</v>
      </c>
    </row>
    <row r="51" spans="1:43" x14ac:dyDescent="0.25">
      <c r="A51" s="118">
        <v>113</v>
      </c>
      <c r="B51" s="4" t="s">
        <v>124</v>
      </c>
      <c r="C51" s="4" t="s">
        <v>381</v>
      </c>
      <c r="D51" s="4" t="s">
        <v>145</v>
      </c>
      <c r="E51" s="4" t="s">
        <v>343</v>
      </c>
      <c r="F51" s="4" t="s">
        <v>127</v>
      </c>
      <c r="G51" s="119">
        <v>46288</v>
      </c>
      <c r="I51" s="4" t="s">
        <v>520</v>
      </c>
      <c r="J51" s="120">
        <v>250000</v>
      </c>
      <c r="K51" s="121">
        <f t="shared" si="16"/>
        <v>12664.919782546644</v>
      </c>
      <c r="L51" s="122">
        <f t="shared" si="16"/>
        <v>15850.637738880361</v>
      </c>
      <c r="M51" s="123">
        <f t="shared" si="16"/>
        <v>14501.278463263749</v>
      </c>
      <c r="N51" s="123">
        <f t="shared" si="16"/>
        <v>7090.2135270767576</v>
      </c>
      <c r="O51" s="123">
        <f t="shared" si="16"/>
        <v>6304.4833500199602</v>
      </c>
      <c r="P51" s="124">
        <f t="shared" si="16"/>
        <v>5909.9025766675359</v>
      </c>
      <c r="Q51" s="122">
        <f t="shared" si="16"/>
        <v>5966.4881879382419</v>
      </c>
      <c r="R51" s="125">
        <f t="shared" si="16"/>
        <v>7483.2056806350565</v>
      </c>
      <c r="S51" s="122">
        <f t="shared" si="16"/>
        <v>7500</v>
      </c>
      <c r="T51" s="123">
        <f t="shared" si="16"/>
        <v>9219.9301000961204</v>
      </c>
      <c r="U51" s="123">
        <f t="shared" si="17"/>
        <v>6040.7335876158795</v>
      </c>
      <c r="V51" s="123">
        <f t="shared" si="17"/>
        <v>5214.3960733382582</v>
      </c>
      <c r="W51" s="124">
        <f t="shared" si="17"/>
        <v>5302.8851695883523</v>
      </c>
      <c r="X51" s="122">
        <f t="shared" si="17"/>
        <v>5739.3536155031497</v>
      </c>
      <c r="Y51" s="125">
        <f t="shared" si="17"/>
        <v>6391.7908710805723</v>
      </c>
      <c r="Z51" s="122">
        <f t="shared" si="17"/>
        <v>8167.1281910451371</v>
      </c>
      <c r="AA51" s="123">
        <f t="shared" si="17"/>
        <v>6785.3416196978569</v>
      </c>
      <c r="AB51" s="123">
        <f t="shared" si="17"/>
        <v>4704.5792536573954</v>
      </c>
      <c r="AC51" s="123">
        <f t="shared" si="17"/>
        <v>4373.5087605804001</v>
      </c>
      <c r="AD51" s="124">
        <f t="shared" si="17"/>
        <v>4321.9410926161263</v>
      </c>
      <c r="AE51" s="122">
        <f t="shared" si="18"/>
        <v>4837.7732785756552</v>
      </c>
      <c r="AF51" s="125">
        <f t="shared" si="18"/>
        <v>6704.3138256544516</v>
      </c>
      <c r="AG51" s="122">
        <f t="shared" si="18"/>
        <v>8091.1790423353323</v>
      </c>
      <c r="AH51" s="123">
        <f t="shared" si="18"/>
        <v>7864.8902060090822</v>
      </c>
      <c r="AI51" s="123">
        <f t="shared" si="18"/>
        <v>5719.4574007245301</v>
      </c>
      <c r="AJ51" s="123">
        <f t="shared" si="18"/>
        <v>8793.4099661842083</v>
      </c>
      <c r="AK51" s="124">
        <f t="shared" si="18"/>
        <v>9046.3310325779094</v>
      </c>
      <c r="AL51" s="122">
        <f t="shared" si="18"/>
        <v>10815.008317094391</v>
      </c>
      <c r="AM51" s="125">
        <f t="shared" si="18"/>
        <v>12638.533225177905</v>
      </c>
      <c r="AN51" s="125">
        <f t="shared" si="18"/>
        <v>13258.773443500744</v>
      </c>
      <c r="AO51" s="125">
        <f t="shared" si="18"/>
        <v>12697.612620318267</v>
      </c>
      <c r="AP51" s="3">
        <f t="shared" si="5"/>
        <v>191543.74136133082</v>
      </c>
      <c r="AQ51" s="110">
        <f t="shared" si="15"/>
        <v>250000.00000000003</v>
      </c>
    </row>
    <row r="52" spans="1:43" x14ac:dyDescent="0.25">
      <c r="A52" s="118">
        <v>101</v>
      </c>
      <c r="B52" s="4" t="s">
        <v>49</v>
      </c>
      <c r="C52" s="4" t="s">
        <v>366</v>
      </c>
      <c r="D52" s="4" t="s">
        <v>158</v>
      </c>
      <c r="E52" s="4" t="s">
        <v>296</v>
      </c>
      <c r="F52" s="4" t="s">
        <v>128</v>
      </c>
      <c r="G52" s="119">
        <v>45729</v>
      </c>
      <c r="H52" s="4">
        <v>5</v>
      </c>
      <c r="I52" s="4" t="s">
        <v>520</v>
      </c>
      <c r="J52" s="120">
        <v>249499.22586651801</v>
      </c>
      <c r="K52" s="121">
        <f t="shared" si="16"/>
        <v>12639.550725627749</v>
      </c>
      <c r="L52" s="122">
        <f t="shared" si="16"/>
        <v>15818.887381365061</v>
      </c>
      <c r="M52" s="123">
        <f t="shared" si="16"/>
        <v>14472.231002636461</v>
      </c>
      <c r="N52" s="123">
        <f t="shared" si="16"/>
        <v>7076.011144935861</v>
      </c>
      <c r="O52" s="123">
        <f t="shared" si="16"/>
        <v>6291.8548612733293</v>
      </c>
      <c r="P52" s="124">
        <f t="shared" si="16"/>
        <v>5898.0644713003612</v>
      </c>
      <c r="Q52" s="122">
        <f t="shared" si="16"/>
        <v>5954.536736129261</v>
      </c>
      <c r="R52" s="125">
        <f t="shared" si="16"/>
        <v>7468.2160972735064</v>
      </c>
      <c r="S52" s="122">
        <f t="shared" si="16"/>
        <v>7484.9767759955403</v>
      </c>
      <c r="T52" s="123">
        <f t="shared" si="16"/>
        <v>9201.4616900695601</v>
      </c>
      <c r="U52" s="123">
        <f t="shared" si="17"/>
        <v>6028.6334151041447</v>
      </c>
      <c r="V52" s="123">
        <f t="shared" si="17"/>
        <v>5203.9511346372274</v>
      </c>
      <c r="W52" s="124">
        <f t="shared" si="17"/>
        <v>5292.2629786853322</v>
      </c>
      <c r="X52" s="122">
        <f t="shared" si="17"/>
        <v>5727.8571361689483</v>
      </c>
      <c r="Y52" s="125">
        <f t="shared" si="17"/>
        <v>6378.9874969411185</v>
      </c>
      <c r="Z52" s="122">
        <f t="shared" si="17"/>
        <v>8150.7686448735094</v>
      </c>
      <c r="AA52" s="123">
        <f t="shared" si="17"/>
        <v>6771.7499254179229</v>
      </c>
      <c r="AB52" s="123">
        <f t="shared" si="17"/>
        <v>4695.1555272608057</v>
      </c>
      <c r="AC52" s="123">
        <f t="shared" si="17"/>
        <v>4364.7482003409777</v>
      </c>
      <c r="AD52" s="124">
        <f t="shared" si="17"/>
        <v>4313.2838273936659</v>
      </c>
      <c r="AE52" s="122">
        <f t="shared" si="18"/>
        <v>4828.0827516894115</v>
      </c>
      <c r="AF52" s="125">
        <f t="shared" si="18"/>
        <v>6690.8844378679178</v>
      </c>
      <c r="AG52" s="122">
        <f t="shared" si="18"/>
        <v>8074.9716296402394</v>
      </c>
      <c r="AH52" s="123">
        <f t="shared" si="18"/>
        <v>7849.1360716977015</v>
      </c>
      <c r="AI52" s="123">
        <f t="shared" si="18"/>
        <v>5708.0007754291901</v>
      </c>
      <c r="AJ52" s="123">
        <f t="shared" si="18"/>
        <v>8775.7959171595357</v>
      </c>
      <c r="AK52" s="124">
        <f t="shared" si="18"/>
        <v>9028.2103582417876</v>
      </c>
      <c r="AL52" s="122">
        <f t="shared" si="18"/>
        <v>10793.344811420016</v>
      </c>
      <c r="AM52" s="125">
        <f t="shared" si="18"/>
        <v>12613.217023080619</v>
      </c>
      <c r="AN52" s="125">
        <f t="shared" si="18"/>
        <v>13232.214840371933</v>
      </c>
      <c r="AO52" s="125">
        <f t="shared" si="18"/>
        <v>12672.178076489346</v>
      </c>
      <c r="AP52" s="3">
        <f t="shared" si="5"/>
        <v>191160.06075691429</v>
      </c>
      <c r="AQ52" s="110">
        <f t="shared" si="15"/>
        <v>249499.22586651795</v>
      </c>
    </row>
    <row r="53" spans="1:43" x14ac:dyDescent="0.25">
      <c r="A53" s="118">
        <v>35</v>
      </c>
      <c r="B53" s="4" t="s">
        <v>18</v>
      </c>
      <c r="C53" s="4" t="s">
        <v>299</v>
      </c>
      <c r="D53" s="4" t="s">
        <v>138</v>
      </c>
      <c r="E53" s="4" t="s">
        <v>296</v>
      </c>
      <c r="F53" s="4" t="s">
        <v>129</v>
      </c>
      <c r="G53" s="119">
        <v>45545</v>
      </c>
      <c r="H53" s="4">
        <v>4</v>
      </c>
      <c r="I53" s="4" t="s">
        <v>520</v>
      </c>
      <c r="J53" s="120">
        <v>245000</v>
      </c>
      <c r="K53" s="121">
        <f t="shared" si="16"/>
        <v>12411.621386895711</v>
      </c>
      <c r="L53" s="122">
        <f t="shared" si="16"/>
        <v>15533.624984102753</v>
      </c>
      <c r="M53" s="123">
        <f t="shared" si="16"/>
        <v>14211.252893998473</v>
      </c>
      <c r="N53" s="123">
        <f t="shared" si="16"/>
        <v>6948.409256535223</v>
      </c>
      <c r="O53" s="123">
        <f t="shared" si="16"/>
        <v>6178.3936830195616</v>
      </c>
      <c r="P53" s="124">
        <f t="shared" si="16"/>
        <v>5791.7045251341851</v>
      </c>
      <c r="Q53" s="122">
        <f t="shared" si="16"/>
        <v>5847.1584241794772</v>
      </c>
      <c r="R53" s="125">
        <f t="shared" si="16"/>
        <v>7333.5415670223556</v>
      </c>
      <c r="S53" s="122">
        <f t="shared" si="16"/>
        <v>7350</v>
      </c>
      <c r="T53" s="123">
        <f t="shared" si="16"/>
        <v>9035.5314980941985</v>
      </c>
      <c r="U53" s="123">
        <f t="shared" si="17"/>
        <v>5919.9189158635627</v>
      </c>
      <c r="V53" s="123">
        <f t="shared" si="17"/>
        <v>5110.1081518714936</v>
      </c>
      <c r="W53" s="124">
        <f t="shared" si="17"/>
        <v>5196.8274661965852</v>
      </c>
      <c r="X53" s="122">
        <f t="shared" si="17"/>
        <v>5624.5665431930865</v>
      </c>
      <c r="Y53" s="125">
        <f t="shared" si="17"/>
        <v>6263.9550536589604</v>
      </c>
      <c r="Z53" s="122">
        <f t="shared" si="17"/>
        <v>8003.7856272242343</v>
      </c>
      <c r="AA53" s="123">
        <f t="shared" si="17"/>
        <v>6649.6347873038994</v>
      </c>
      <c r="AB53" s="123">
        <f t="shared" si="17"/>
        <v>4610.4876685842482</v>
      </c>
      <c r="AC53" s="123">
        <f t="shared" si="17"/>
        <v>4286.0385853687922</v>
      </c>
      <c r="AD53" s="124">
        <f t="shared" si="17"/>
        <v>4235.5022707638036</v>
      </c>
      <c r="AE53" s="122">
        <f t="shared" si="18"/>
        <v>4741.0178130041422</v>
      </c>
      <c r="AF53" s="125">
        <f t="shared" si="18"/>
        <v>6570.2275491413629</v>
      </c>
      <c r="AG53" s="122">
        <f t="shared" si="18"/>
        <v>7929.3554614886252</v>
      </c>
      <c r="AH53" s="123">
        <f t="shared" si="18"/>
        <v>7707.5924018889009</v>
      </c>
      <c r="AI53" s="123">
        <f t="shared" si="18"/>
        <v>5605.0682527100389</v>
      </c>
      <c r="AJ53" s="123">
        <f t="shared" si="18"/>
        <v>8617.5417668605241</v>
      </c>
      <c r="AK53" s="124">
        <f t="shared" si="18"/>
        <v>8865.4044119263508</v>
      </c>
      <c r="AL53" s="122">
        <f t="shared" si="18"/>
        <v>10598.708150752502</v>
      </c>
      <c r="AM53" s="125">
        <f t="shared" si="18"/>
        <v>12385.762560674348</v>
      </c>
      <c r="AN53" s="125">
        <f t="shared" si="18"/>
        <v>12993.597974630729</v>
      </c>
      <c r="AO53" s="125">
        <f t="shared" si="18"/>
        <v>12443.6603679119</v>
      </c>
      <c r="AP53" s="3">
        <f t="shared" si="5"/>
        <v>187712.86653410419</v>
      </c>
      <c r="AQ53" s="110">
        <f t="shared" si="15"/>
        <v>245000</v>
      </c>
    </row>
    <row r="54" spans="1:43" x14ac:dyDescent="0.25">
      <c r="A54" s="118">
        <v>32</v>
      </c>
      <c r="B54" s="4" t="s">
        <v>21</v>
      </c>
      <c r="C54" s="4" t="s">
        <v>295</v>
      </c>
      <c r="D54" s="4" t="s">
        <v>138</v>
      </c>
      <c r="E54" s="4" t="s">
        <v>296</v>
      </c>
      <c r="F54" s="4" t="s">
        <v>128</v>
      </c>
      <c r="G54" s="119">
        <v>45553</v>
      </c>
      <c r="H54" s="4">
        <v>4</v>
      </c>
      <c r="I54" s="4" t="s">
        <v>520</v>
      </c>
      <c r="J54" s="120">
        <v>240000</v>
      </c>
      <c r="K54" s="121">
        <f t="shared" si="16"/>
        <v>12158.322991244779</v>
      </c>
      <c r="L54" s="122">
        <f t="shared" si="16"/>
        <v>15216.612229325146</v>
      </c>
      <c r="M54" s="123">
        <f t="shared" si="16"/>
        <v>13921.227324733198</v>
      </c>
      <c r="N54" s="123">
        <f t="shared" si="16"/>
        <v>6806.6049859936875</v>
      </c>
      <c r="O54" s="123">
        <f t="shared" si="16"/>
        <v>6052.3040160191622</v>
      </c>
      <c r="P54" s="124">
        <f t="shared" si="16"/>
        <v>5673.5064736008344</v>
      </c>
      <c r="Q54" s="122">
        <f t="shared" si="16"/>
        <v>5727.8286604207124</v>
      </c>
      <c r="R54" s="125">
        <f t="shared" si="16"/>
        <v>7183.8774534096547</v>
      </c>
      <c r="S54" s="122">
        <f t="shared" si="16"/>
        <v>7200</v>
      </c>
      <c r="T54" s="123">
        <f t="shared" si="16"/>
        <v>8851.1328960922747</v>
      </c>
      <c r="U54" s="123">
        <f t="shared" si="17"/>
        <v>5799.104244111245</v>
      </c>
      <c r="V54" s="123">
        <f t="shared" si="17"/>
        <v>5005.8202304047281</v>
      </c>
      <c r="W54" s="124">
        <f t="shared" si="17"/>
        <v>5090.7697628048181</v>
      </c>
      <c r="X54" s="122">
        <f t="shared" si="17"/>
        <v>5509.7794708830234</v>
      </c>
      <c r="Y54" s="125">
        <f t="shared" si="17"/>
        <v>6136.1192362373486</v>
      </c>
      <c r="Z54" s="122">
        <f t="shared" si="17"/>
        <v>7840.4430634033315</v>
      </c>
      <c r="AA54" s="123">
        <f t="shared" si="17"/>
        <v>6513.9279549099429</v>
      </c>
      <c r="AB54" s="123">
        <f t="shared" si="17"/>
        <v>4516.3960835111002</v>
      </c>
      <c r="AC54" s="123">
        <f t="shared" si="17"/>
        <v>4198.5684101571842</v>
      </c>
      <c r="AD54" s="124">
        <f t="shared" si="17"/>
        <v>4149.0634489114809</v>
      </c>
      <c r="AE54" s="122">
        <f t="shared" si="18"/>
        <v>4644.2623474326292</v>
      </c>
      <c r="AF54" s="125">
        <f t="shared" si="18"/>
        <v>6436.1412726282742</v>
      </c>
      <c r="AG54" s="122">
        <f t="shared" si="18"/>
        <v>7767.5318806419182</v>
      </c>
      <c r="AH54" s="123">
        <f t="shared" si="18"/>
        <v>7550.2945977687195</v>
      </c>
      <c r="AI54" s="123">
        <f t="shared" si="18"/>
        <v>5490.6791046955486</v>
      </c>
      <c r="AJ54" s="123">
        <f t="shared" si="18"/>
        <v>8441.67356753684</v>
      </c>
      <c r="AK54" s="124">
        <f t="shared" si="18"/>
        <v>8684.4777912747923</v>
      </c>
      <c r="AL54" s="122">
        <f t="shared" si="18"/>
        <v>10382.407984410615</v>
      </c>
      <c r="AM54" s="125">
        <f t="shared" si="18"/>
        <v>12132.99189617079</v>
      </c>
      <c r="AN54" s="125">
        <f t="shared" si="18"/>
        <v>12728.422505760715</v>
      </c>
      <c r="AO54" s="125">
        <f t="shared" si="18"/>
        <v>12189.708115505535</v>
      </c>
      <c r="AP54" s="3">
        <f t="shared" si="5"/>
        <v>183881.99170687763</v>
      </c>
      <c r="AQ54" s="110">
        <f t="shared" si="15"/>
        <v>240000.00000000006</v>
      </c>
    </row>
    <row r="55" spans="1:43" x14ac:dyDescent="0.25">
      <c r="A55" s="118">
        <v>83</v>
      </c>
      <c r="B55" s="4" t="s">
        <v>87</v>
      </c>
      <c r="C55" s="4" t="s">
        <v>348</v>
      </c>
      <c r="D55" s="4" t="s">
        <v>145</v>
      </c>
      <c r="E55" s="4" t="s">
        <v>343</v>
      </c>
      <c r="F55" s="4" t="s">
        <v>127</v>
      </c>
      <c r="G55" s="119">
        <v>45935</v>
      </c>
      <c r="H55" s="4">
        <v>3</v>
      </c>
      <c r="I55" s="4" t="s">
        <v>520</v>
      </c>
      <c r="J55" s="120">
        <v>237000</v>
      </c>
      <c r="K55" s="121">
        <f t="shared" ref="K55:T64" si="19">$J55*K$4</f>
        <v>12006.343953854219</v>
      </c>
      <c r="L55" s="122">
        <f t="shared" si="19"/>
        <v>15026.404576458581</v>
      </c>
      <c r="M55" s="123">
        <f t="shared" si="19"/>
        <v>13747.211983174033</v>
      </c>
      <c r="N55" s="123">
        <f t="shared" si="19"/>
        <v>6721.5224236687664</v>
      </c>
      <c r="O55" s="123">
        <f t="shared" si="19"/>
        <v>5976.6502158189223</v>
      </c>
      <c r="P55" s="124">
        <f t="shared" si="19"/>
        <v>5602.5876426808236</v>
      </c>
      <c r="Q55" s="122">
        <f t="shared" si="19"/>
        <v>5656.2308021654535</v>
      </c>
      <c r="R55" s="125">
        <f t="shared" si="19"/>
        <v>7094.0789852420339</v>
      </c>
      <c r="S55" s="122">
        <f t="shared" si="19"/>
        <v>7110</v>
      </c>
      <c r="T55" s="123">
        <f t="shared" si="19"/>
        <v>8740.4937348911226</v>
      </c>
      <c r="U55" s="123">
        <f t="shared" ref="U55:AD64" si="20">$J55*U$4</f>
        <v>5726.6154410598538</v>
      </c>
      <c r="V55" s="123">
        <f t="shared" si="20"/>
        <v>4943.2474775246692</v>
      </c>
      <c r="W55" s="124">
        <f t="shared" si="20"/>
        <v>5027.1351407697575</v>
      </c>
      <c r="X55" s="122">
        <f t="shared" si="20"/>
        <v>5440.9072274969858</v>
      </c>
      <c r="Y55" s="125">
        <f t="shared" si="20"/>
        <v>6059.4177457843825</v>
      </c>
      <c r="Z55" s="122">
        <f t="shared" si="20"/>
        <v>7742.4375251107904</v>
      </c>
      <c r="AA55" s="123">
        <f t="shared" si="20"/>
        <v>6432.5038554735684</v>
      </c>
      <c r="AB55" s="123">
        <f t="shared" si="20"/>
        <v>4459.941132467211</v>
      </c>
      <c r="AC55" s="123">
        <f t="shared" si="20"/>
        <v>4146.0863050302187</v>
      </c>
      <c r="AD55" s="124">
        <f t="shared" si="20"/>
        <v>4097.2001558000875</v>
      </c>
      <c r="AE55" s="122">
        <f t="shared" ref="AE55:AO64" si="21">$J55*AE$4</f>
        <v>4586.2090680897218</v>
      </c>
      <c r="AF55" s="125">
        <f t="shared" si="21"/>
        <v>6355.6895067204205</v>
      </c>
      <c r="AG55" s="122">
        <f t="shared" si="21"/>
        <v>7670.4377321338943</v>
      </c>
      <c r="AH55" s="123">
        <f t="shared" si="21"/>
        <v>7455.9159152966104</v>
      </c>
      <c r="AI55" s="123">
        <f t="shared" si="21"/>
        <v>5422.0456158868546</v>
      </c>
      <c r="AJ55" s="123">
        <f t="shared" si="21"/>
        <v>8336.1526479426284</v>
      </c>
      <c r="AK55" s="124">
        <f t="shared" si="21"/>
        <v>8575.9218188838568</v>
      </c>
      <c r="AL55" s="122">
        <f t="shared" si="21"/>
        <v>10252.627884605481</v>
      </c>
      <c r="AM55" s="125">
        <f t="shared" si="21"/>
        <v>11981.329497468656</v>
      </c>
      <c r="AN55" s="125">
        <f t="shared" si="21"/>
        <v>12569.317224438706</v>
      </c>
      <c r="AO55" s="125">
        <f t="shared" si="21"/>
        <v>12037.336764061716</v>
      </c>
      <c r="AP55" s="3">
        <f t="shared" si="5"/>
        <v>181583.46681054161</v>
      </c>
      <c r="AQ55" s="110">
        <f t="shared" si="15"/>
        <v>237000.00000000003</v>
      </c>
    </row>
    <row r="56" spans="1:43" x14ac:dyDescent="0.25">
      <c r="A56" s="118">
        <v>38</v>
      </c>
      <c r="B56" s="4" t="s">
        <v>110</v>
      </c>
      <c r="C56" s="4" t="s">
        <v>302</v>
      </c>
      <c r="D56" s="4" t="s">
        <v>138</v>
      </c>
      <c r="E56" s="4" t="s">
        <v>296</v>
      </c>
      <c r="F56" s="4" t="s">
        <v>129</v>
      </c>
      <c r="G56" s="119">
        <v>46085</v>
      </c>
      <c r="H56" s="4">
        <v>4</v>
      </c>
      <c r="I56" s="4" t="s">
        <v>520</v>
      </c>
      <c r="J56" s="120">
        <v>235000</v>
      </c>
      <c r="K56" s="121">
        <f t="shared" si="19"/>
        <v>11905.024595593846</v>
      </c>
      <c r="L56" s="122">
        <f t="shared" si="19"/>
        <v>14899.599474547538</v>
      </c>
      <c r="M56" s="123">
        <f t="shared" si="19"/>
        <v>13631.201755467922</v>
      </c>
      <c r="N56" s="123">
        <f t="shared" si="19"/>
        <v>6664.800715452152</v>
      </c>
      <c r="O56" s="123">
        <f t="shared" si="19"/>
        <v>5926.2143490187627</v>
      </c>
      <c r="P56" s="124">
        <f t="shared" si="19"/>
        <v>5555.3084220674837</v>
      </c>
      <c r="Q56" s="122">
        <f t="shared" si="19"/>
        <v>5608.4988966619476</v>
      </c>
      <c r="R56" s="125">
        <f t="shared" si="19"/>
        <v>7034.2133397969537</v>
      </c>
      <c r="S56" s="122">
        <f t="shared" si="19"/>
        <v>7050</v>
      </c>
      <c r="T56" s="123">
        <f t="shared" si="19"/>
        <v>8666.7342940903527</v>
      </c>
      <c r="U56" s="123">
        <f t="shared" si="20"/>
        <v>5678.2895723589272</v>
      </c>
      <c r="V56" s="123">
        <f t="shared" si="20"/>
        <v>4901.5323089379635</v>
      </c>
      <c r="W56" s="124">
        <f t="shared" si="20"/>
        <v>4984.7120594130511</v>
      </c>
      <c r="X56" s="122">
        <f t="shared" si="20"/>
        <v>5394.9923985729602</v>
      </c>
      <c r="Y56" s="125">
        <f t="shared" si="20"/>
        <v>6008.2834188157376</v>
      </c>
      <c r="Z56" s="122">
        <f t="shared" si="20"/>
        <v>7677.1004995824287</v>
      </c>
      <c r="AA56" s="123">
        <f t="shared" si="20"/>
        <v>6378.2211225159854</v>
      </c>
      <c r="AB56" s="123">
        <f t="shared" si="20"/>
        <v>4422.3044984379521</v>
      </c>
      <c r="AC56" s="123">
        <f t="shared" si="20"/>
        <v>4111.0982349455762</v>
      </c>
      <c r="AD56" s="124">
        <f t="shared" si="20"/>
        <v>4062.6246270591582</v>
      </c>
      <c r="AE56" s="122">
        <f t="shared" si="21"/>
        <v>4547.5068818611162</v>
      </c>
      <c r="AF56" s="125">
        <f t="shared" si="21"/>
        <v>6302.0549961151846</v>
      </c>
      <c r="AG56" s="122">
        <f t="shared" si="21"/>
        <v>7605.708299795212</v>
      </c>
      <c r="AH56" s="123">
        <f t="shared" si="21"/>
        <v>7392.9967936485373</v>
      </c>
      <c r="AI56" s="123">
        <f t="shared" si="21"/>
        <v>5376.2899566810584</v>
      </c>
      <c r="AJ56" s="123">
        <f t="shared" si="21"/>
        <v>8265.8053682131558</v>
      </c>
      <c r="AK56" s="124">
        <f t="shared" si="21"/>
        <v>8503.5511706232337</v>
      </c>
      <c r="AL56" s="122">
        <f t="shared" si="21"/>
        <v>10166.107818068727</v>
      </c>
      <c r="AM56" s="125">
        <f t="shared" si="21"/>
        <v>11880.221231667232</v>
      </c>
      <c r="AN56" s="125">
        <f t="shared" si="21"/>
        <v>12463.2470368907</v>
      </c>
      <c r="AO56" s="125">
        <f t="shared" si="21"/>
        <v>11935.75586309917</v>
      </c>
      <c r="AP56" s="3">
        <f t="shared" si="5"/>
        <v>180051.116879651</v>
      </c>
      <c r="AQ56" s="110">
        <f t="shared" si="15"/>
        <v>235000.00000000006</v>
      </c>
    </row>
    <row r="57" spans="1:43" x14ac:dyDescent="0.25">
      <c r="A57" s="118">
        <v>17</v>
      </c>
      <c r="B57" s="4" t="s">
        <v>92</v>
      </c>
      <c r="C57" s="4" t="s">
        <v>278</v>
      </c>
      <c r="D57" s="4" t="s">
        <v>163</v>
      </c>
      <c r="E57" s="4" t="s">
        <v>279</v>
      </c>
      <c r="F57" s="4" t="s">
        <v>129</v>
      </c>
      <c r="G57" s="119">
        <v>46014</v>
      </c>
      <c r="H57" s="4">
        <v>4</v>
      </c>
      <c r="I57" s="4" t="s">
        <v>520</v>
      </c>
      <c r="J57" s="120">
        <v>230916.8324596087</v>
      </c>
      <c r="K57" s="121">
        <f t="shared" si="19"/>
        <v>11698.172638162829</v>
      </c>
      <c r="L57" s="122">
        <f t="shared" si="19"/>
        <v>14640.716236507949</v>
      </c>
      <c r="M57" s="123">
        <f t="shared" si="19"/>
        <v>13394.357157406428</v>
      </c>
      <c r="N57" s="123">
        <f t="shared" si="19"/>
        <v>6548.9985965393398</v>
      </c>
      <c r="O57" s="123">
        <f t="shared" si="19"/>
        <v>5823.2453019238073</v>
      </c>
      <c r="P57" s="124">
        <f t="shared" si="19"/>
        <v>5458.7839325957884</v>
      </c>
      <c r="Q57" s="122">
        <f t="shared" si="19"/>
        <v>5511.0502130654777</v>
      </c>
      <c r="R57" s="125">
        <f t="shared" si="19"/>
        <v>6911.9926096639902</v>
      </c>
      <c r="S57" s="122">
        <f t="shared" si="19"/>
        <v>6927.5049737882609</v>
      </c>
      <c r="T57" s="123">
        <f t="shared" si="19"/>
        <v>8516.1482168527964</v>
      </c>
      <c r="U57" s="123">
        <f t="shared" si="20"/>
        <v>5579.6282631385084</v>
      </c>
      <c r="V57" s="123">
        <f t="shared" si="20"/>
        <v>4816.367297780369</v>
      </c>
      <c r="W57" s="124">
        <f t="shared" si="20"/>
        <v>4898.1017850335093</v>
      </c>
      <c r="X57" s="122">
        <f t="shared" si="20"/>
        <v>5301.2534290303611</v>
      </c>
      <c r="Y57" s="125">
        <f t="shared" si="20"/>
        <v>5903.8884067766749</v>
      </c>
      <c r="Z57" s="122">
        <f t="shared" si="20"/>
        <v>7543.7094886708683</v>
      </c>
      <c r="AA57" s="123">
        <f t="shared" si="20"/>
        <v>6267.3983759079201</v>
      </c>
      <c r="AB57" s="123">
        <f t="shared" si="20"/>
        <v>4345.4661572390232</v>
      </c>
      <c r="AC57" s="123">
        <f t="shared" si="20"/>
        <v>4039.6671589103003</v>
      </c>
      <c r="AD57" s="124">
        <f t="shared" si="20"/>
        <v>3992.0357887357445</v>
      </c>
      <c r="AE57" s="122">
        <f t="shared" si="21"/>
        <v>4468.4931265857067</v>
      </c>
      <c r="AF57" s="125">
        <f t="shared" si="21"/>
        <v>6192.555649741149</v>
      </c>
      <c r="AG57" s="122">
        <f t="shared" si="21"/>
        <v>7473.5577412785797</v>
      </c>
      <c r="AH57" s="123">
        <f t="shared" si="21"/>
        <v>7264.5421360568671</v>
      </c>
      <c r="AI57" s="123">
        <f t="shared" si="21"/>
        <v>5282.8759454519013</v>
      </c>
      <c r="AJ57" s="123">
        <f t="shared" si="21"/>
        <v>8122.1855036400484</v>
      </c>
      <c r="AK57" s="124">
        <f t="shared" si="21"/>
        <v>8355.8004296958079</v>
      </c>
      <c r="AL57" s="122">
        <f t="shared" si="21"/>
        <v>9989.4698544310395</v>
      </c>
      <c r="AM57" s="125">
        <f t="shared" si="21"/>
        <v>11673.800237174419</v>
      </c>
      <c r="AN57" s="125">
        <f t="shared" si="21"/>
        <v>12246.695863491082</v>
      </c>
      <c r="AO57" s="125">
        <f t="shared" si="21"/>
        <v>11728.369944332184</v>
      </c>
      <c r="AP57" s="3">
        <f t="shared" si="5"/>
        <v>176922.6961304842</v>
      </c>
      <c r="AQ57" s="110">
        <f t="shared" si="15"/>
        <v>230916.83245960873</v>
      </c>
    </row>
    <row r="58" spans="1:43" x14ac:dyDescent="0.25">
      <c r="A58" s="118">
        <v>25</v>
      </c>
      <c r="B58" s="4" t="s">
        <v>69</v>
      </c>
      <c r="C58" s="4" t="s">
        <v>289</v>
      </c>
      <c r="D58" s="4" t="s">
        <v>146</v>
      </c>
      <c r="E58" s="4" t="s">
        <v>266</v>
      </c>
      <c r="F58" s="4" t="s">
        <v>126</v>
      </c>
      <c r="G58" s="119">
        <v>45897</v>
      </c>
      <c r="H58" s="4">
        <v>4</v>
      </c>
      <c r="I58" s="4" t="s">
        <v>520</v>
      </c>
      <c r="J58" s="120">
        <v>227000</v>
      </c>
      <c r="K58" s="121">
        <f t="shared" si="19"/>
        <v>11499.747162552352</v>
      </c>
      <c r="L58" s="122">
        <f t="shared" si="19"/>
        <v>14392.379066903368</v>
      </c>
      <c r="M58" s="123">
        <f t="shared" si="19"/>
        <v>13167.160844643484</v>
      </c>
      <c r="N58" s="123">
        <f t="shared" si="19"/>
        <v>6437.9138825856962</v>
      </c>
      <c r="O58" s="123">
        <f t="shared" si="19"/>
        <v>5724.4708818181243</v>
      </c>
      <c r="P58" s="124">
        <f t="shared" si="19"/>
        <v>5366.1915396141221</v>
      </c>
      <c r="Q58" s="122">
        <f t="shared" si="19"/>
        <v>5417.5712746479239</v>
      </c>
      <c r="R58" s="125">
        <f t="shared" si="19"/>
        <v>6794.7507580166312</v>
      </c>
      <c r="S58" s="122">
        <f t="shared" si="19"/>
        <v>6810</v>
      </c>
      <c r="T58" s="123">
        <f t="shared" si="19"/>
        <v>8371.6965308872768</v>
      </c>
      <c r="U58" s="123">
        <f t="shared" si="20"/>
        <v>5484.9860975552192</v>
      </c>
      <c r="V58" s="123">
        <f t="shared" si="20"/>
        <v>4734.6716345911391</v>
      </c>
      <c r="W58" s="124">
        <f t="shared" si="20"/>
        <v>4815.0197339862243</v>
      </c>
      <c r="X58" s="122">
        <f t="shared" si="20"/>
        <v>5211.3330828768594</v>
      </c>
      <c r="Y58" s="125">
        <f t="shared" si="20"/>
        <v>5803.7461109411597</v>
      </c>
      <c r="Z58" s="122">
        <f t="shared" si="20"/>
        <v>7415.7523974689848</v>
      </c>
      <c r="AA58" s="123">
        <f t="shared" si="20"/>
        <v>6161.0901906856543</v>
      </c>
      <c r="AB58" s="123">
        <f t="shared" si="20"/>
        <v>4271.7579623209158</v>
      </c>
      <c r="AC58" s="123">
        <f t="shared" si="20"/>
        <v>3971.1459546070032</v>
      </c>
      <c r="AD58" s="124">
        <f t="shared" si="20"/>
        <v>3924.3225120954421</v>
      </c>
      <c r="AE58" s="122">
        <f t="shared" si="21"/>
        <v>4392.6981369466957</v>
      </c>
      <c r="AF58" s="125">
        <f t="shared" si="21"/>
        <v>6087.5169536942421</v>
      </c>
      <c r="AG58" s="122">
        <f t="shared" si="21"/>
        <v>7346.7905704404811</v>
      </c>
      <c r="AH58" s="123">
        <f t="shared" si="21"/>
        <v>7141.3203070562467</v>
      </c>
      <c r="AI58" s="123">
        <f t="shared" si="21"/>
        <v>5193.2673198578732</v>
      </c>
      <c r="AJ58" s="123">
        <f t="shared" si="21"/>
        <v>7984.4162492952601</v>
      </c>
      <c r="AK58" s="124">
        <f t="shared" si="21"/>
        <v>8214.0685775807415</v>
      </c>
      <c r="AL58" s="122">
        <f t="shared" si="21"/>
        <v>9820.0275519217066</v>
      </c>
      <c r="AM58" s="125">
        <f t="shared" si="21"/>
        <v>11475.788168461539</v>
      </c>
      <c r="AN58" s="125">
        <f t="shared" si="21"/>
        <v>12038.966286698676</v>
      </c>
      <c r="AO58" s="125">
        <f t="shared" si="21"/>
        <v>11529.432259248986</v>
      </c>
      <c r="AP58" s="3">
        <f t="shared" si="5"/>
        <v>173921.71715608836</v>
      </c>
      <c r="AQ58" s="110">
        <f t="shared" si="15"/>
        <v>226999.99999999997</v>
      </c>
    </row>
    <row r="59" spans="1:43" x14ac:dyDescent="0.25">
      <c r="A59" s="118">
        <v>9</v>
      </c>
      <c r="B59" s="4" t="s">
        <v>56</v>
      </c>
      <c r="C59" s="4" t="s">
        <v>271</v>
      </c>
      <c r="D59" s="4" t="s">
        <v>142</v>
      </c>
      <c r="E59" s="4" t="s">
        <v>270</v>
      </c>
      <c r="F59" s="4" t="s">
        <v>132</v>
      </c>
      <c r="G59" s="119">
        <v>45808</v>
      </c>
      <c r="H59" s="4">
        <v>8</v>
      </c>
      <c r="I59" s="4" t="s">
        <v>520</v>
      </c>
      <c r="J59" s="120">
        <v>226000</v>
      </c>
      <c r="K59" s="121">
        <f t="shared" si="19"/>
        <v>11449.087483422167</v>
      </c>
      <c r="L59" s="122">
        <f t="shared" si="19"/>
        <v>14328.976515947847</v>
      </c>
      <c r="M59" s="123">
        <f t="shared" si="19"/>
        <v>13109.155730790428</v>
      </c>
      <c r="N59" s="123">
        <f t="shared" si="19"/>
        <v>6409.5530284773895</v>
      </c>
      <c r="O59" s="123">
        <f t="shared" si="19"/>
        <v>5699.2529484180441</v>
      </c>
      <c r="P59" s="124">
        <f t="shared" si="19"/>
        <v>5342.5519293074522</v>
      </c>
      <c r="Q59" s="122">
        <f t="shared" si="19"/>
        <v>5393.705321896171</v>
      </c>
      <c r="R59" s="125">
        <f t="shared" si="19"/>
        <v>6764.8179352940915</v>
      </c>
      <c r="S59" s="122">
        <f t="shared" si="19"/>
        <v>6780</v>
      </c>
      <c r="T59" s="123">
        <f t="shared" si="19"/>
        <v>8334.8168104868928</v>
      </c>
      <c r="U59" s="123">
        <f t="shared" si="20"/>
        <v>5460.8231632047555</v>
      </c>
      <c r="V59" s="123">
        <f t="shared" si="20"/>
        <v>4713.8140502977858</v>
      </c>
      <c r="W59" s="124">
        <f t="shared" si="20"/>
        <v>4793.8081933078702</v>
      </c>
      <c r="X59" s="122">
        <f t="shared" si="20"/>
        <v>5188.3756684148466</v>
      </c>
      <c r="Y59" s="125">
        <f t="shared" si="20"/>
        <v>5778.1789474568368</v>
      </c>
      <c r="Z59" s="122">
        <f t="shared" si="20"/>
        <v>7383.0838847048044</v>
      </c>
      <c r="AA59" s="123">
        <f t="shared" si="20"/>
        <v>6133.9488242068628</v>
      </c>
      <c r="AB59" s="123">
        <f t="shared" si="20"/>
        <v>4252.9396453062855</v>
      </c>
      <c r="AC59" s="123">
        <f t="shared" si="20"/>
        <v>3953.6519195646815</v>
      </c>
      <c r="AD59" s="124">
        <f t="shared" si="20"/>
        <v>3907.0347477249779</v>
      </c>
      <c r="AE59" s="122">
        <f t="shared" si="21"/>
        <v>4373.347043832393</v>
      </c>
      <c r="AF59" s="125">
        <f t="shared" si="21"/>
        <v>6060.6996983916242</v>
      </c>
      <c r="AG59" s="122">
        <f t="shared" si="21"/>
        <v>7314.4258542711395</v>
      </c>
      <c r="AH59" s="123">
        <f t="shared" si="21"/>
        <v>7109.8607462322107</v>
      </c>
      <c r="AI59" s="123">
        <f t="shared" si="21"/>
        <v>5170.3894902549746</v>
      </c>
      <c r="AJ59" s="123">
        <f t="shared" si="21"/>
        <v>7949.2426094305238</v>
      </c>
      <c r="AK59" s="124">
        <f t="shared" si="21"/>
        <v>8177.883253450429</v>
      </c>
      <c r="AL59" s="122">
        <f t="shared" si="21"/>
        <v>9776.7675186533288</v>
      </c>
      <c r="AM59" s="125">
        <f t="shared" si="21"/>
        <v>11425.234035560827</v>
      </c>
      <c r="AN59" s="125">
        <f t="shared" si="21"/>
        <v>11985.931192924672</v>
      </c>
      <c r="AO59" s="125">
        <f t="shared" si="21"/>
        <v>11478.641808767712</v>
      </c>
      <c r="AP59" s="3">
        <f t="shared" si="5"/>
        <v>173155.54219064303</v>
      </c>
      <c r="AQ59" s="110">
        <f t="shared" si="15"/>
        <v>226000</v>
      </c>
    </row>
    <row r="60" spans="1:43" x14ac:dyDescent="0.25">
      <c r="A60" s="118">
        <v>37</v>
      </c>
      <c r="B60" s="4" t="s">
        <v>95</v>
      </c>
      <c r="C60" s="4" t="s">
        <v>301</v>
      </c>
      <c r="D60" s="4" t="s">
        <v>138</v>
      </c>
      <c r="E60" s="4" t="s">
        <v>296</v>
      </c>
      <c r="F60" s="4" t="s">
        <v>129</v>
      </c>
      <c r="G60" s="119">
        <v>46010</v>
      </c>
      <c r="H60" s="4">
        <v>4</v>
      </c>
      <c r="I60" s="4" t="s">
        <v>520</v>
      </c>
      <c r="J60" s="120">
        <v>225000</v>
      </c>
      <c r="K60" s="121">
        <f t="shared" si="19"/>
        <v>11398.42780429198</v>
      </c>
      <c r="L60" s="122">
        <f t="shared" si="19"/>
        <v>14265.573964992325</v>
      </c>
      <c r="M60" s="123">
        <f t="shared" si="19"/>
        <v>13051.150616937373</v>
      </c>
      <c r="N60" s="123">
        <f t="shared" si="19"/>
        <v>6381.1921743690818</v>
      </c>
      <c r="O60" s="123">
        <f t="shared" si="19"/>
        <v>5674.0350150179647</v>
      </c>
      <c r="P60" s="124">
        <f t="shared" si="19"/>
        <v>5318.9123190007822</v>
      </c>
      <c r="Q60" s="122">
        <f t="shared" si="19"/>
        <v>5369.839369144418</v>
      </c>
      <c r="R60" s="125">
        <f t="shared" si="19"/>
        <v>6734.885112571551</v>
      </c>
      <c r="S60" s="122">
        <f t="shared" si="19"/>
        <v>6750</v>
      </c>
      <c r="T60" s="123">
        <f t="shared" si="19"/>
        <v>8297.9370900865088</v>
      </c>
      <c r="U60" s="123">
        <f t="shared" si="20"/>
        <v>5436.6602288542917</v>
      </c>
      <c r="V60" s="123">
        <f t="shared" si="20"/>
        <v>4692.9564660044325</v>
      </c>
      <c r="W60" s="124">
        <f t="shared" si="20"/>
        <v>4772.5966526295169</v>
      </c>
      <c r="X60" s="122">
        <f t="shared" si="20"/>
        <v>5165.4182539528347</v>
      </c>
      <c r="Y60" s="125">
        <f t="shared" si="20"/>
        <v>5752.6117839725148</v>
      </c>
      <c r="Z60" s="122">
        <f t="shared" si="20"/>
        <v>7350.4153719406231</v>
      </c>
      <c r="AA60" s="123">
        <f t="shared" si="20"/>
        <v>6106.8074577280713</v>
      </c>
      <c r="AB60" s="123">
        <f t="shared" si="20"/>
        <v>4234.121328291656</v>
      </c>
      <c r="AC60" s="123">
        <f t="shared" si="20"/>
        <v>3936.1578845223598</v>
      </c>
      <c r="AD60" s="124">
        <f t="shared" si="20"/>
        <v>3889.7469833545133</v>
      </c>
      <c r="AE60" s="122">
        <f t="shared" si="21"/>
        <v>4353.9959507180902</v>
      </c>
      <c r="AF60" s="125">
        <f t="shared" si="21"/>
        <v>6033.8824430890063</v>
      </c>
      <c r="AG60" s="122">
        <f t="shared" si="21"/>
        <v>7282.0611381017989</v>
      </c>
      <c r="AH60" s="123">
        <f t="shared" si="21"/>
        <v>7078.4011854081746</v>
      </c>
      <c r="AI60" s="123">
        <f t="shared" si="21"/>
        <v>5147.5116606520769</v>
      </c>
      <c r="AJ60" s="123">
        <f t="shared" si="21"/>
        <v>7914.0689695657866</v>
      </c>
      <c r="AK60" s="124">
        <f t="shared" si="21"/>
        <v>8141.6979293201175</v>
      </c>
      <c r="AL60" s="122">
        <f t="shared" si="21"/>
        <v>9733.507485384951</v>
      </c>
      <c r="AM60" s="125">
        <f t="shared" si="21"/>
        <v>11374.679902660115</v>
      </c>
      <c r="AN60" s="125">
        <f t="shared" si="21"/>
        <v>11932.89609915067</v>
      </c>
      <c r="AO60" s="125">
        <f t="shared" si="21"/>
        <v>11427.85135828644</v>
      </c>
      <c r="AP60" s="3">
        <f t="shared" si="5"/>
        <v>172389.36722519776</v>
      </c>
      <c r="AQ60" s="110">
        <f t="shared" si="15"/>
        <v>225000.00000000006</v>
      </c>
    </row>
    <row r="61" spans="1:43" x14ac:dyDescent="0.25">
      <c r="A61" s="118">
        <v>41</v>
      </c>
      <c r="B61" s="4" t="s">
        <v>33</v>
      </c>
      <c r="C61" s="4" t="s">
        <v>305</v>
      </c>
      <c r="D61" s="4" t="s">
        <v>138</v>
      </c>
      <c r="E61" s="4" t="s">
        <v>296</v>
      </c>
      <c r="F61" s="4" t="s">
        <v>129</v>
      </c>
      <c r="G61" s="119">
        <v>45698</v>
      </c>
      <c r="H61" s="4">
        <v>4</v>
      </c>
      <c r="I61" s="4" t="s">
        <v>520</v>
      </c>
      <c r="J61" s="120">
        <v>225000</v>
      </c>
      <c r="K61" s="121">
        <f t="shared" si="19"/>
        <v>11398.42780429198</v>
      </c>
      <c r="L61" s="122">
        <f t="shared" si="19"/>
        <v>14265.573964992325</v>
      </c>
      <c r="M61" s="123">
        <f t="shared" si="19"/>
        <v>13051.150616937373</v>
      </c>
      <c r="N61" s="123">
        <f t="shared" si="19"/>
        <v>6381.1921743690818</v>
      </c>
      <c r="O61" s="123">
        <f t="shared" si="19"/>
        <v>5674.0350150179647</v>
      </c>
      <c r="P61" s="124">
        <f t="shared" si="19"/>
        <v>5318.9123190007822</v>
      </c>
      <c r="Q61" s="122">
        <f t="shared" si="19"/>
        <v>5369.839369144418</v>
      </c>
      <c r="R61" s="125">
        <f t="shared" si="19"/>
        <v>6734.885112571551</v>
      </c>
      <c r="S61" s="122">
        <f t="shared" si="19"/>
        <v>6750</v>
      </c>
      <c r="T61" s="123">
        <f t="shared" si="19"/>
        <v>8297.9370900865088</v>
      </c>
      <c r="U61" s="123">
        <f t="shared" si="20"/>
        <v>5436.6602288542917</v>
      </c>
      <c r="V61" s="123">
        <f t="shared" si="20"/>
        <v>4692.9564660044325</v>
      </c>
      <c r="W61" s="124">
        <f t="shared" si="20"/>
        <v>4772.5966526295169</v>
      </c>
      <c r="X61" s="122">
        <f t="shared" si="20"/>
        <v>5165.4182539528347</v>
      </c>
      <c r="Y61" s="125">
        <f t="shared" si="20"/>
        <v>5752.6117839725148</v>
      </c>
      <c r="Z61" s="122">
        <f t="shared" si="20"/>
        <v>7350.4153719406231</v>
      </c>
      <c r="AA61" s="123">
        <f t="shared" si="20"/>
        <v>6106.8074577280713</v>
      </c>
      <c r="AB61" s="123">
        <f t="shared" si="20"/>
        <v>4234.121328291656</v>
      </c>
      <c r="AC61" s="123">
        <f t="shared" si="20"/>
        <v>3936.1578845223598</v>
      </c>
      <c r="AD61" s="124">
        <f t="shared" si="20"/>
        <v>3889.7469833545133</v>
      </c>
      <c r="AE61" s="122">
        <f t="shared" si="21"/>
        <v>4353.9959507180902</v>
      </c>
      <c r="AF61" s="125">
        <f t="shared" si="21"/>
        <v>6033.8824430890063</v>
      </c>
      <c r="AG61" s="122">
        <f t="shared" si="21"/>
        <v>7282.0611381017989</v>
      </c>
      <c r="AH61" s="123">
        <f t="shared" si="21"/>
        <v>7078.4011854081746</v>
      </c>
      <c r="AI61" s="123">
        <f t="shared" si="21"/>
        <v>5147.5116606520769</v>
      </c>
      <c r="AJ61" s="123">
        <f t="shared" si="21"/>
        <v>7914.0689695657866</v>
      </c>
      <c r="AK61" s="124">
        <f t="shared" si="21"/>
        <v>8141.6979293201175</v>
      </c>
      <c r="AL61" s="122">
        <f t="shared" si="21"/>
        <v>9733.507485384951</v>
      </c>
      <c r="AM61" s="125">
        <f t="shared" si="21"/>
        <v>11374.679902660115</v>
      </c>
      <c r="AN61" s="125">
        <f t="shared" si="21"/>
        <v>11932.89609915067</v>
      </c>
      <c r="AO61" s="125">
        <f t="shared" si="21"/>
        <v>11427.85135828644</v>
      </c>
      <c r="AP61" s="3">
        <f t="shared" si="5"/>
        <v>172389.36722519776</v>
      </c>
      <c r="AQ61" s="110">
        <f t="shared" si="15"/>
        <v>225000.00000000006</v>
      </c>
    </row>
    <row r="62" spans="1:43" x14ac:dyDescent="0.25">
      <c r="A62" s="118">
        <v>52</v>
      </c>
      <c r="B62" s="4" t="s">
        <v>75</v>
      </c>
      <c r="C62" s="4" t="s">
        <v>315</v>
      </c>
      <c r="D62" s="4" t="s">
        <v>150</v>
      </c>
      <c r="E62" s="4" t="s">
        <v>294</v>
      </c>
      <c r="F62" s="4" t="s">
        <v>133</v>
      </c>
      <c r="G62" s="119">
        <v>45974</v>
      </c>
      <c r="H62" s="4">
        <v>4</v>
      </c>
      <c r="I62" s="4" t="s">
        <v>520</v>
      </c>
      <c r="J62" s="120">
        <v>220000</v>
      </c>
      <c r="K62" s="121">
        <f t="shared" si="19"/>
        <v>11145.129408641047</v>
      </c>
      <c r="L62" s="122">
        <f t="shared" si="19"/>
        <v>13948.561210214717</v>
      </c>
      <c r="M62" s="123">
        <f t="shared" si="19"/>
        <v>12761.125047672098</v>
      </c>
      <c r="N62" s="123">
        <f t="shared" si="19"/>
        <v>6239.3879038275472</v>
      </c>
      <c r="O62" s="123">
        <f t="shared" si="19"/>
        <v>5547.9453480175653</v>
      </c>
      <c r="P62" s="124">
        <f t="shared" si="19"/>
        <v>5200.7142674674315</v>
      </c>
      <c r="Q62" s="122">
        <f t="shared" si="19"/>
        <v>5250.5096053856532</v>
      </c>
      <c r="R62" s="125">
        <f t="shared" si="19"/>
        <v>6585.22099895885</v>
      </c>
      <c r="S62" s="122">
        <f t="shared" si="19"/>
        <v>6600</v>
      </c>
      <c r="T62" s="123">
        <f t="shared" si="19"/>
        <v>8113.5384880845859</v>
      </c>
      <c r="U62" s="123">
        <f t="shared" si="20"/>
        <v>5315.845557101974</v>
      </c>
      <c r="V62" s="123">
        <f t="shared" si="20"/>
        <v>4588.6685445376679</v>
      </c>
      <c r="W62" s="124">
        <f t="shared" si="20"/>
        <v>4666.5389492377499</v>
      </c>
      <c r="X62" s="122">
        <f t="shared" si="20"/>
        <v>5050.6311816427715</v>
      </c>
      <c r="Y62" s="125">
        <f t="shared" si="20"/>
        <v>5624.7759665509029</v>
      </c>
      <c r="Z62" s="122">
        <f t="shared" si="20"/>
        <v>7187.0728081197203</v>
      </c>
      <c r="AA62" s="123">
        <f t="shared" si="20"/>
        <v>5971.1006253341138</v>
      </c>
      <c r="AB62" s="123">
        <f t="shared" si="20"/>
        <v>4140.029743218508</v>
      </c>
      <c r="AC62" s="123">
        <f t="shared" si="20"/>
        <v>3848.6877093107519</v>
      </c>
      <c r="AD62" s="124">
        <f t="shared" si="20"/>
        <v>3803.3081615021906</v>
      </c>
      <c r="AE62" s="122">
        <f t="shared" si="21"/>
        <v>4257.2404851465772</v>
      </c>
      <c r="AF62" s="125">
        <f t="shared" si="21"/>
        <v>5899.7961665759176</v>
      </c>
      <c r="AG62" s="122">
        <f t="shared" si="21"/>
        <v>7120.2375572550918</v>
      </c>
      <c r="AH62" s="123">
        <f t="shared" si="21"/>
        <v>6921.1033812879923</v>
      </c>
      <c r="AI62" s="123">
        <f t="shared" si="21"/>
        <v>5033.1225126375866</v>
      </c>
      <c r="AJ62" s="123">
        <f t="shared" si="21"/>
        <v>7738.2007702421024</v>
      </c>
      <c r="AK62" s="124">
        <f t="shared" si="21"/>
        <v>7960.7713086685599</v>
      </c>
      <c r="AL62" s="122">
        <f t="shared" si="21"/>
        <v>9517.2073190430638</v>
      </c>
      <c r="AM62" s="125">
        <f t="shared" si="21"/>
        <v>11121.909238156557</v>
      </c>
      <c r="AN62" s="125">
        <f t="shared" si="21"/>
        <v>11667.720630280655</v>
      </c>
      <c r="AO62" s="125">
        <f t="shared" si="21"/>
        <v>11173.899105880075</v>
      </c>
      <c r="AP62" s="3">
        <f t="shared" si="5"/>
        <v>168558.4923979711</v>
      </c>
      <c r="AQ62" s="110">
        <f t="shared" si="15"/>
        <v>220000</v>
      </c>
    </row>
    <row r="63" spans="1:43" x14ac:dyDescent="0.25">
      <c r="A63" s="118">
        <v>16</v>
      </c>
      <c r="B63" s="4" t="s">
        <v>101</v>
      </c>
      <c r="C63" s="4" t="s">
        <v>262</v>
      </c>
      <c r="D63" s="4" t="s">
        <v>142</v>
      </c>
      <c r="E63" s="4" t="s">
        <v>270</v>
      </c>
      <c r="F63" s="4" t="s">
        <v>132</v>
      </c>
      <c r="G63" s="119">
        <v>46034</v>
      </c>
      <c r="H63" s="4">
        <v>3</v>
      </c>
      <c r="I63" s="4" t="s">
        <v>520</v>
      </c>
      <c r="J63" s="120">
        <v>215000</v>
      </c>
      <c r="K63" s="121">
        <f t="shared" si="19"/>
        <v>10891.831012990115</v>
      </c>
      <c r="L63" s="122">
        <f t="shared" si="19"/>
        <v>13631.548455437111</v>
      </c>
      <c r="M63" s="123">
        <f t="shared" si="19"/>
        <v>12471.099478406823</v>
      </c>
      <c r="N63" s="123">
        <f t="shared" si="19"/>
        <v>6097.5836332860117</v>
      </c>
      <c r="O63" s="123">
        <f t="shared" si="19"/>
        <v>5421.8556810171658</v>
      </c>
      <c r="P63" s="124">
        <f t="shared" si="19"/>
        <v>5082.5162159340807</v>
      </c>
      <c r="Q63" s="122">
        <f t="shared" si="19"/>
        <v>5131.1798416268884</v>
      </c>
      <c r="R63" s="125">
        <f t="shared" si="19"/>
        <v>6435.5568853461491</v>
      </c>
      <c r="S63" s="122">
        <f t="shared" si="19"/>
        <v>6450</v>
      </c>
      <c r="T63" s="123">
        <f t="shared" si="19"/>
        <v>7929.139886082663</v>
      </c>
      <c r="U63" s="123">
        <f t="shared" si="20"/>
        <v>5195.0308853496572</v>
      </c>
      <c r="V63" s="123">
        <f t="shared" si="20"/>
        <v>4484.3806230709024</v>
      </c>
      <c r="W63" s="124">
        <f t="shared" si="20"/>
        <v>4560.4812458459828</v>
      </c>
      <c r="X63" s="122">
        <f t="shared" si="20"/>
        <v>4935.8441093327083</v>
      </c>
      <c r="Y63" s="125">
        <f t="shared" si="20"/>
        <v>5496.940149129292</v>
      </c>
      <c r="Z63" s="122">
        <f t="shared" si="20"/>
        <v>7023.7302442988184</v>
      </c>
      <c r="AA63" s="123">
        <f t="shared" si="20"/>
        <v>5835.3937929401563</v>
      </c>
      <c r="AB63" s="123">
        <f t="shared" si="20"/>
        <v>4045.9381581453604</v>
      </c>
      <c r="AC63" s="123">
        <f t="shared" si="20"/>
        <v>3761.2175340991439</v>
      </c>
      <c r="AD63" s="124">
        <f t="shared" si="20"/>
        <v>3716.8693396498684</v>
      </c>
      <c r="AE63" s="122">
        <f t="shared" si="21"/>
        <v>4160.4850195750641</v>
      </c>
      <c r="AF63" s="125">
        <f t="shared" si="21"/>
        <v>5765.7098900628289</v>
      </c>
      <c r="AG63" s="122">
        <f t="shared" si="21"/>
        <v>6958.4139764083857</v>
      </c>
      <c r="AH63" s="123">
        <f t="shared" si="21"/>
        <v>6763.805577167811</v>
      </c>
      <c r="AI63" s="123">
        <f t="shared" si="21"/>
        <v>4918.7333646230954</v>
      </c>
      <c r="AJ63" s="123">
        <f t="shared" si="21"/>
        <v>7562.3325709184182</v>
      </c>
      <c r="AK63" s="124">
        <f t="shared" si="21"/>
        <v>7779.8446880170013</v>
      </c>
      <c r="AL63" s="122">
        <f t="shared" si="21"/>
        <v>9300.9071527011747</v>
      </c>
      <c r="AM63" s="125">
        <f t="shared" si="21"/>
        <v>10869.138573652999</v>
      </c>
      <c r="AN63" s="125">
        <f t="shared" si="21"/>
        <v>11402.545161410641</v>
      </c>
      <c r="AO63" s="125">
        <f t="shared" si="21"/>
        <v>10919.946853473708</v>
      </c>
      <c r="AP63" s="3">
        <f t="shared" si="5"/>
        <v>164727.61757074451</v>
      </c>
      <c r="AQ63" s="110">
        <f t="shared" si="15"/>
        <v>215000.00000000003</v>
      </c>
    </row>
    <row r="64" spans="1:43" x14ac:dyDescent="0.25">
      <c r="A64" s="118">
        <v>43</v>
      </c>
      <c r="B64" s="4" t="s">
        <v>46</v>
      </c>
      <c r="C64" s="4" t="s">
        <v>307</v>
      </c>
      <c r="D64" s="4" t="s">
        <v>138</v>
      </c>
      <c r="E64" s="4" t="s">
        <v>296</v>
      </c>
      <c r="F64" s="4" t="s">
        <v>129</v>
      </c>
      <c r="G64" s="119">
        <v>45724</v>
      </c>
      <c r="H64" s="4">
        <v>3</v>
      </c>
      <c r="I64" s="4" t="s">
        <v>520</v>
      </c>
      <c r="J64" s="120">
        <v>215000</v>
      </c>
      <c r="K64" s="121">
        <f t="shared" si="19"/>
        <v>10891.831012990115</v>
      </c>
      <c r="L64" s="122">
        <f t="shared" si="19"/>
        <v>13631.548455437111</v>
      </c>
      <c r="M64" s="123">
        <f t="shared" si="19"/>
        <v>12471.099478406823</v>
      </c>
      <c r="N64" s="123">
        <f t="shared" si="19"/>
        <v>6097.5836332860117</v>
      </c>
      <c r="O64" s="123">
        <f t="shared" si="19"/>
        <v>5421.8556810171658</v>
      </c>
      <c r="P64" s="124">
        <f t="shared" si="19"/>
        <v>5082.5162159340807</v>
      </c>
      <c r="Q64" s="122">
        <f t="shared" si="19"/>
        <v>5131.1798416268884</v>
      </c>
      <c r="R64" s="125">
        <f t="shared" si="19"/>
        <v>6435.5568853461491</v>
      </c>
      <c r="S64" s="122">
        <f t="shared" si="19"/>
        <v>6450</v>
      </c>
      <c r="T64" s="123">
        <f t="shared" si="19"/>
        <v>7929.139886082663</v>
      </c>
      <c r="U64" s="123">
        <f t="shared" si="20"/>
        <v>5195.0308853496572</v>
      </c>
      <c r="V64" s="123">
        <f t="shared" si="20"/>
        <v>4484.3806230709024</v>
      </c>
      <c r="W64" s="124">
        <f t="shared" si="20"/>
        <v>4560.4812458459828</v>
      </c>
      <c r="X64" s="122">
        <f t="shared" si="20"/>
        <v>4935.8441093327083</v>
      </c>
      <c r="Y64" s="125">
        <f t="shared" si="20"/>
        <v>5496.940149129292</v>
      </c>
      <c r="Z64" s="122">
        <f t="shared" si="20"/>
        <v>7023.7302442988184</v>
      </c>
      <c r="AA64" s="123">
        <f t="shared" si="20"/>
        <v>5835.3937929401563</v>
      </c>
      <c r="AB64" s="123">
        <f t="shared" si="20"/>
        <v>4045.9381581453604</v>
      </c>
      <c r="AC64" s="123">
        <f t="shared" si="20"/>
        <v>3761.2175340991439</v>
      </c>
      <c r="AD64" s="124">
        <f t="shared" si="20"/>
        <v>3716.8693396498684</v>
      </c>
      <c r="AE64" s="122">
        <f t="shared" si="21"/>
        <v>4160.4850195750641</v>
      </c>
      <c r="AF64" s="125">
        <f t="shared" si="21"/>
        <v>5765.7098900628289</v>
      </c>
      <c r="AG64" s="122">
        <f t="shared" si="21"/>
        <v>6958.4139764083857</v>
      </c>
      <c r="AH64" s="123">
        <f t="shared" si="21"/>
        <v>6763.805577167811</v>
      </c>
      <c r="AI64" s="123">
        <f t="shared" si="21"/>
        <v>4918.7333646230954</v>
      </c>
      <c r="AJ64" s="123">
        <f t="shared" si="21"/>
        <v>7562.3325709184182</v>
      </c>
      <c r="AK64" s="124">
        <f t="shared" si="21"/>
        <v>7779.8446880170013</v>
      </c>
      <c r="AL64" s="122">
        <f t="shared" si="21"/>
        <v>9300.9071527011747</v>
      </c>
      <c r="AM64" s="125">
        <f t="shared" si="21"/>
        <v>10869.138573652999</v>
      </c>
      <c r="AN64" s="125">
        <f t="shared" si="21"/>
        <v>11402.545161410641</v>
      </c>
      <c r="AO64" s="125">
        <f t="shared" si="21"/>
        <v>10919.946853473708</v>
      </c>
      <c r="AP64" s="3">
        <f t="shared" si="5"/>
        <v>164727.61757074451</v>
      </c>
      <c r="AQ64" s="110">
        <f t="shared" si="15"/>
        <v>215000.00000000003</v>
      </c>
    </row>
    <row r="65" spans="1:43" x14ac:dyDescent="0.25">
      <c r="A65" s="118">
        <v>84</v>
      </c>
      <c r="B65" s="4" t="s">
        <v>88</v>
      </c>
      <c r="C65" s="4" t="s">
        <v>349</v>
      </c>
      <c r="D65" s="4" t="s">
        <v>145</v>
      </c>
      <c r="E65" s="4" t="s">
        <v>343</v>
      </c>
      <c r="F65" s="4" t="s">
        <v>127</v>
      </c>
      <c r="G65" s="119">
        <v>45963</v>
      </c>
      <c r="H65" s="4">
        <v>4</v>
      </c>
      <c r="I65" s="4" t="s">
        <v>520</v>
      </c>
      <c r="J65" s="120">
        <v>213000</v>
      </c>
      <c r="K65" s="121">
        <f t="shared" ref="K65:T74" si="22">$J65*K$4</f>
        <v>10790.51165472974</v>
      </c>
      <c r="L65" s="122">
        <f t="shared" si="22"/>
        <v>13504.743353526068</v>
      </c>
      <c r="M65" s="123">
        <f t="shared" si="22"/>
        <v>12355.089250700714</v>
      </c>
      <c r="N65" s="123">
        <f t="shared" si="22"/>
        <v>6040.8619250693973</v>
      </c>
      <c r="O65" s="123">
        <f t="shared" si="22"/>
        <v>5371.4198142170062</v>
      </c>
      <c r="P65" s="124">
        <f t="shared" si="22"/>
        <v>5035.2369953207408</v>
      </c>
      <c r="Q65" s="122">
        <f t="shared" si="22"/>
        <v>5083.4479361233825</v>
      </c>
      <c r="R65" s="125">
        <f t="shared" si="22"/>
        <v>6375.691239901068</v>
      </c>
      <c r="S65" s="122">
        <f t="shared" si="22"/>
        <v>6390</v>
      </c>
      <c r="T65" s="123">
        <f t="shared" si="22"/>
        <v>7855.380445281894</v>
      </c>
      <c r="U65" s="123">
        <f t="shared" ref="U65:AD74" si="23">$J65*U$4</f>
        <v>5146.7050166487297</v>
      </c>
      <c r="V65" s="123">
        <f t="shared" si="23"/>
        <v>4442.6654544841967</v>
      </c>
      <c r="W65" s="124">
        <f t="shared" si="23"/>
        <v>4518.0581644892764</v>
      </c>
      <c r="X65" s="122">
        <f t="shared" si="23"/>
        <v>4889.9292804086836</v>
      </c>
      <c r="Y65" s="125">
        <f t="shared" si="23"/>
        <v>5445.805822160647</v>
      </c>
      <c r="Z65" s="122">
        <f t="shared" si="23"/>
        <v>6958.3932187704568</v>
      </c>
      <c r="AA65" s="123">
        <f t="shared" si="23"/>
        <v>5781.1110599825743</v>
      </c>
      <c r="AB65" s="123">
        <f t="shared" si="23"/>
        <v>4008.3015241161011</v>
      </c>
      <c r="AC65" s="123">
        <f t="shared" si="23"/>
        <v>3726.2294640145005</v>
      </c>
      <c r="AD65" s="124">
        <f t="shared" si="23"/>
        <v>3682.2938109089391</v>
      </c>
      <c r="AE65" s="122">
        <f t="shared" ref="AE65:AO74" si="24">$J65*AE$4</f>
        <v>4121.7828333464586</v>
      </c>
      <c r="AF65" s="125">
        <f t="shared" si="24"/>
        <v>5712.075379457593</v>
      </c>
      <c r="AG65" s="122">
        <f t="shared" si="24"/>
        <v>6893.6845440697025</v>
      </c>
      <c r="AH65" s="123">
        <f t="shared" si="24"/>
        <v>6700.8864555197379</v>
      </c>
      <c r="AI65" s="123">
        <f t="shared" si="24"/>
        <v>4872.9777054172991</v>
      </c>
      <c r="AJ65" s="123">
        <f t="shared" si="24"/>
        <v>7491.9852911889448</v>
      </c>
      <c r="AK65" s="124">
        <f t="shared" si="24"/>
        <v>7707.4740397563783</v>
      </c>
      <c r="AL65" s="122">
        <f t="shared" si="24"/>
        <v>9214.3870861644209</v>
      </c>
      <c r="AM65" s="125">
        <f t="shared" si="24"/>
        <v>10768.030307851575</v>
      </c>
      <c r="AN65" s="125">
        <f t="shared" si="24"/>
        <v>11296.474973862634</v>
      </c>
      <c r="AO65" s="125">
        <f t="shared" si="24"/>
        <v>10818.365952511163</v>
      </c>
      <c r="AP65" s="3">
        <f t="shared" si="5"/>
        <v>163195.26763985385</v>
      </c>
      <c r="AQ65" s="110">
        <f t="shared" si="15"/>
        <v>213000.00000000003</v>
      </c>
    </row>
    <row r="66" spans="1:43" x14ac:dyDescent="0.25">
      <c r="A66" s="118">
        <v>98</v>
      </c>
      <c r="B66" s="4" t="s">
        <v>82</v>
      </c>
      <c r="C66" s="4" t="s">
        <v>362</v>
      </c>
      <c r="D66" s="4" t="s">
        <v>147</v>
      </c>
      <c r="E66" s="4" t="s">
        <v>341</v>
      </c>
      <c r="F66" s="4" t="s">
        <v>127</v>
      </c>
      <c r="G66" s="119">
        <v>46061</v>
      </c>
      <c r="H66" s="4">
        <v>6</v>
      </c>
      <c r="I66" s="4" t="s">
        <v>520</v>
      </c>
      <c r="J66" s="120">
        <v>212000</v>
      </c>
      <c r="K66" s="121">
        <f t="shared" si="22"/>
        <v>10739.851975599555</v>
      </c>
      <c r="L66" s="122">
        <f t="shared" si="22"/>
        <v>13441.340802570545</v>
      </c>
      <c r="M66" s="123">
        <f t="shared" si="22"/>
        <v>12297.084136847658</v>
      </c>
      <c r="N66" s="123">
        <f t="shared" si="22"/>
        <v>6012.5010709610906</v>
      </c>
      <c r="O66" s="123">
        <f t="shared" si="22"/>
        <v>5346.2018808169269</v>
      </c>
      <c r="P66" s="124">
        <f t="shared" si="22"/>
        <v>5011.5973850140699</v>
      </c>
      <c r="Q66" s="122">
        <f t="shared" si="22"/>
        <v>5059.5819833716296</v>
      </c>
      <c r="R66" s="125">
        <f t="shared" si="22"/>
        <v>6345.7584171785284</v>
      </c>
      <c r="S66" s="122">
        <f t="shared" si="22"/>
        <v>6360</v>
      </c>
      <c r="T66" s="123">
        <f t="shared" si="22"/>
        <v>7818.50072488151</v>
      </c>
      <c r="U66" s="123">
        <f t="shared" si="23"/>
        <v>5122.542082298266</v>
      </c>
      <c r="V66" s="123">
        <f t="shared" si="23"/>
        <v>4421.8078701908435</v>
      </c>
      <c r="W66" s="124">
        <f t="shared" si="23"/>
        <v>4496.8466238109231</v>
      </c>
      <c r="X66" s="122">
        <f t="shared" si="23"/>
        <v>4866.9718659466707</v>
      </c>
      <c r="Y66" s="125">
        <f t="shared" si="23"/>
        <v>5420.238658676325</v>
      </c>
      <c r="Z66" s="122">
        <f t="shared" si="23"/>
        <v>6925.7247060062764</v>
      </c>
      <c r="AA66" s="123">
        <f t="shared" si="23"/>
        <v>5753.9696935037828</v>
      </c>
      <c r="AB66" s="123">
        <f t="shared" si="23"/>
        <v>3989.4832071014716</v>
      </c>
      <c r="AC66" s="123">
        <f t="shared" si="23"/>
        <v>3708.7354289721789</v>
      </c>
      <c r="AD66" s="124">
        <f t="shared" si="23"/>
        <v>3665.0060465384749</v>
      </c>
      <c r="AE66" s="122">
        <f t="shared" si="24"/>
        <v>4102.4317402321558</v>
      </c>
      <c r="AF66" s="125">
        <f t="shared" si="24"/>
        <v>5685.2581241549751</v>
      </c>
      <c r="AG66" s="122">
        <f t="shared" si="24"/>
        <v>6861.3198279003618</v>
      </c>
      <c r="AH66" s="123">
        <f t="shared" si="24"/>
        <v>6669.4268946957018</v>
      </c>
      <c r="AI66" s="123">
        <f t="shared" si="24"/>
        <v>4850.0998758144015</v>
      </c>
      <c r="AJ66" s="123">
        <f t="shared" si="24"/>
        <v>7456.8116513242085</v>
      </c>
      <c r="AK66" s="124">
        <f t="shared" si="24"/>
        <v>7671.2887156260667</v>
      </c>
      <c r="AL66" s="122">
        <f t="shared" si="24"/>
        <v>9171.1270528960431</v>
      </c>
      <c r="AM66" s="125">
        <f t="shared" si="24"/>
        <v>10717.476174950865</v>
      </c>
      <c r="AN66" s="125">
        <f t="shared" si="24"/>
        <v>11243.439880088632</v>
      </c>
      <c r="AO66" s="125">
        <f t="shared" si="24"/>
        <v>10767.575502029889</v>
      </c>
      <c r="AP66" s="3">
        <f t="shared" si="5"/>
        <v>162429.09267440854</v>
      </c>
      <c r="AQ66" s="110">
        <f t="shared" si="15"/>
        <v>212000.00000000003</v>
      </c>
    </row>
    <row r="67" spans="1:43" x14ac:dyDescent="0.25">
      <c r="A67" s="118">
        <v>30</v>
      </c>
      <c r="B67" s="4" t="s">
        <v>67</v>
      </c>
      <c r="C67" s="4" t="s">
        <v>289</v>
      </c>
      <c r="D67" s="4" t="s">
        <v>136</v>
      </c>
      <c r="E67" s="4" t="s">
        <v>266</v>
      </c>
      <c r="F67" s="4" t="s">
        <v>126</v>
      </c>
      <c r="G67" s="119">
        <v>45874</v>
      </c>
      <c r="H67" s="4">
        <v>5</v>
      </c>
      <c r="I67" s="4" t="s">
        <v>520</v>
      </c>
      <c r="J67" s="120">
        <v>211000</v>
      </c>
      <c r="K67" s="121">
        <f t="shared" si="22"/>
        <v>10689.192296469368</v>
      </c>
      <c r="L67" s="122">
        <f t="shared" si="22"/>
        <v>13377.938251615024</v>
      </c>
      <c r="M67" s="123">
        <f t="shared" si="22"/>
        <v>12239.079022994603</v>
      </c>
      <c r="N67" s="123">
        <f t="shared" si="22"/>
        <v>5984.1402168527839</v>
      </c>
      <c r="O67" s="123">
        <f t="shared" si="22"/>
        <v>5320.9839474168466</v>
      </c>
      <c r="P67" s="124">
        <f t="shared" si="22"/>
        <v>4987.9577747073999</v>
      </c>
      <c r="Q67" s="122">
        <f t="shared" si="22"/>
        <v>5035.7160306198766</v>
      </c>
      <c r="R67" s="125">
        <f t="shared" si="22"/>
        <v>6315.8255944559878</v>
      </c>
      <c r="S67" s="122">
        <f t="shared" si="22"/>
        <v>6330</v>
      </c>
      <c r="T67" s="123">
        <f t="shared" si="22"/>
        <v>7781.6210044811251</v>
      </c>
      <c r="U67" s="123">
        <f t="shared" si="23"/>
        <v>5098.3791479478023</v>
      </c>
      <c r="V67" s="123">
        <f t="shared" si="23"/>
        <v>4400.9502858974902</v>
      </c>
      <c r="W67" s="124">
        <f t="shared" si="23"/>
        <v>4475.635083132569</v>
      </c>
      <c r="X67" s="122">
        <f t="shared" si="23"/>
        <v>4844.0144514846579</v>
      </c>
      <c r="Y67" s="125">
        <f t="shared" si="23"/>
        <v>5394.671495192003</v>
      </c>
      <c r="Z67" s="122">
        <f t="shared" si="23"/>
        <v>6893.056193242096</v>
      </c>
      <c r="AA67" s="123">
        <f t="shared" si="23"/>
        <v>5726.8283270249913</v>
      </c>
      <c r="AB67" s="123">
        <f t="shared" si="23"/>
        <v>3970.6648900868422</v>
      </c>
      <c r="AC67" s="123">
        <f t="shared" si="23"/>
        <v>3691.2413939298576</v>
      </c>
      <c r="AD67" s="124">
        <f t="shared" si="23"/>
        <v>3647.7182821680103</v>
      </c>
      <c r="AE67" s="122">
        <f t="shared" si="24"/>
        <v>4083.0806471178535</v>
      </c>
      <c r="AF67" s="125">
        <f t="shared" si="24"/>
        <v>5658.4408688523572</v>
      </c>
      <c r="AG67" s="122">
        <f t="shared" si="24"/>
        <v>6828.9551117310202</v>
      </c>
      <c r="AH67" s="123">
        <f t="shared" si="24"/>
        <v>6637.9673338716657</v>
      </c>
      <c r="AI67" s="123">
        <f t="shared" si="24"/>
        <v>4827.2220462115029</v>
      </c>
      <c r="AJ67" s="123">
        <f t="shared" si="24"/>
        <v>7421.6380114594713</v>
      </c>
      <c r="AK67" s="124">
        <f t="shared" si="24"/>
        <v>7635.1033914957552</v>
      </c>
      <c r="AL67" s="122">
        <f t="shared" si="24"/>
        <v>9127.8670196276653</v>
      </c>
      <c r="AM67" s="125">
        <f t="shared" si="24"/>
        <v>10666.922042050153</v>
      </c>
      <c r="AN67" s="125">
        <f t="shared" si="24"/>
        <v>11190.404786314628</v>
      </c>
      <c r="AO67" s="125">
        <f t="shared" si="24"/>
        <v>10716.785051548617</v>
      </c>
      <c r="AP67" s="3">
        <f t="shared" si="5"/>
        <v>161662.91770896321</v>
      </c>
      <c r="AQ67" s="110">
        <f t="shared" si="15"/>
        <v>211000.00000000006</v>
      </c>
    </row>
    <row r="68" spans="1:43" x14ac:dyDescent="0.25">
      <c r="A68" s="118">
        <v>22</v>
      </c>
      <c r="B68" s="4" t="s">
        <v>43</v>
      </c>
      <c r="C68" s="4" t="s">
        <v>286</v>
      </c>
      <c r="D68" s="4" t="s">
        <v>156</v>
      </c>
      <c r="E68" s="4" t="s">
        <v>285</v>
      </c>
      <c r="F68" s="4" t="s">
        <v>131</v>
      </c>
      <c r="G68" s="119">
        <v>45726</v>
      </c>
      <c r="H68" s="4">
        <v>5</v>
      </c>
      <c r="I68" s="4" t="s">
        <v>520</v>
      </c>
      <c r="J68" s="120">
        <v>209000</v>
      </c>
      <c r="K68" s="121">
        <f t="shared" si="22"/>
        <v>10587.872938208995</v>
      </c>
      <c r="L68" s="122">
        <f t="shared" si="22"/>
        <v>13251.133149703981</v>
      </c>
      <c r="M68" s="123">
        <f t="shared" si="22"/>
        <v>12123.068795288493</v>
      </c>
      <c r="N68" s="123">
        <f t="shared" si="22"/>
        <v>5927.4185086361695</v>
      </c>
      <c r="O68" s="123">
        <f t="shared" si="22"/>
        <v>5270.548080616687</v>
      </c>
      <c r="P68" s="124">
        <f t="shared" si="22"/>
        <v>4940.67855409406</v>
      </c>
      <c r="Q68" s="122">
        <f t="shared" si="22"/>
        <v>4987.9841251163707</v>
      </c>
      <c r="R68" s="125">
        <f t="shared" si="22"/>
        <v>6255.9599490109076</v>
      </c>
      <c r="S68" s="122">
        <f t="shared" si="22"/>
        <v>6270</v>
      </c>
      <c r="T68" s="123">
        <f t="shared" si="22"/>
        <v>7707.8615636803561</v>
      </c>
      <c r="U68" s="123">
        <f t="shared" si="23"/>
        <v>5050.0532792468757</v>
      </c>
      <c r="V68" s="123">
        <f t="shared" si="23"/>
        <v>4359.2351173107845</v>
      </c>
      <c r="W68" s="124">
        <f t="shared" si="23"/>
        <v>4433.2120017758625</v>
      </c>
      <c r="X68" s="122">
        <f t="shared" si="23"/>
        <v>4798.0996225606332</v>
      </c>
      <c r="Y68" s="125">
        <f t="shared" si="23"/>
        <v>5343.5371682233581</v>
      </c>
      <c r="Z68" s="122">
        <f t="shared" si="23"/>
        <v>6827.7191677137344</v>
      </c>
      <c r="AA68" s="123">
        <f t="shared" si="23"/>
        <v>5672.5455940674083</v>
      </c>
      <c r="AB68" s="123">
        <f t="shared" si="23"/>
        <v>3933.0282560575829</v>
      </c>
      <c r="AC68" s="123">
        <f t="shared" si="23"/>
        <v>3656.2533238452143</v>
      </c>
      <c r="AD68" s="124">
        <f t="shared" si="23"/>
        <v>3613.1427534270811</v>
      </c>
      <c r="AE68" s="122">
        <f t="shared" si="24"/>
        <v>4044.3784608892483</v>
      </c>
      <c r="AF68" s="125">
        <f t="shared" si="24"/>
        <v>5604.8063582471214</v>
      </c>
      <c r="AG68" s="122">
        <f t="shared" si="24"/>
        <v>6764.225679392337</v>
      </c>
      <c r="AH68" s="123">
        <f t="shared" si="24"/>
        <v>6575.0482122235926</v>
      </c>
      <c r="AI68" s="123">
        <f t="shared" si="24"/>
        <v>4781.4663870057066</v>
      </c>
      <c r="AJ68" s="123">
        <f t="shared" si="24"/>
        <v>7351.2907317299978</v>
      </c>
      <c r="AK68" s="124">
        <f t="shared" si="24"/>
        <v>7562.7327432351312</v>
      </c>
      <c r="AL68" s="122">
        <f t="shared" si="24"/>
        <v>9041.3469530909097</v>
      </c>
      <c r="AM68" s="125">
        <f t="shared" si="24"/>
        <v>10565.813776248729</v>
      </c>
      <c r="AN68" s="125">
        <f t="shared" si="24"/>
        <v>11084.334598766622</v>
      </c>
      <c r="AO68" s="125">
        <f t="shared" si="24"/>
        <v>10615.204150586071</v>
      </c>
      <c r="AP68" s="3">
        <f t="shared" si="5"/>
        <v>160130.56777807255</v>
      </c>
      <c r="AQ68" s="110">
        <f t="shared" si="15"/>
        <v>209000</v>
      </c>
    </row>
    <row r="69" spans="1:43" x14ac:dyDescent="0.25">
      <c r="A69" s="118">
        <v>87</v>
      </c>
      <c r="B69" s="4" t="s">
        <v>64</v>
      </c>
      <c r="C69" s="4" t="s">
        <v>351</v>
      </c>
      <c r="D69" s="4" t="s">
        <v>145</v>
      </c>
      <c r="E69" s="4" t="s">
        <v>343</v>
      </c>
      <c r="F69" s="4" t="s">
        <v>127</v>
      </c>
      <c r="G69" s="119">
        <v>45832</v>
      </c>
      <c r="H69" s="4">
        <v>4</v>
      </c>
      <c r="I69" s="4" t="s">
        <v>520</v>
      </c>
      <c r="J69" s="120">
        <v>208000</v>
      </c>
      <c r="K69" s="121">
        <f t="shared" si="22"/>
        <v>10537.213259078808</v>
      </c>
      <c r="L69" s="122">
        <f t="shared" si="22"/>
        <v>13187.73059874846</v>
      </c>
      <c r="M69" s="123">
        <f t="shared" si="22"/>
        <v>12065.063681435438</v>
      </c>
      <c r="N69" s="123">
        <f t="shared" si="22"/>
        <v>5899.0576545278627</v>
      </c>
      <c r="O69" s="123">
        <f t="shared" si="22"/>
        <v>5245.3301472166067</v>
      </c>
      <c r="P69" s="124">
        <f t="shared" si="22"/>
        <v>4917.0389437873901</v>
      </c>
      <c r="Q69" s="122">
        <f t="shared" si="22"/>
        <v>4964.1181723646177</v>
      </c>
      <c r="R69" s="125">
        <f t="shared" si="22"/>
        <v>6226.0271262883671</v>
      </c>
      <c r="S69" s="122">
        <f t="shared" si="22"/>
        <v>6240</v>
      </c>
      <c r="T69" s="123">
        <f t="shared" si="22"/>
        <v>7670.9818432799721</v>
      </c>
      <c r="U69" s="123">
        <f t="shared" si="23"/>
        <v>5025.890344896412</v>
      </c>
      <c r="V69" s="123">
        <f t="shared" si="23"/>
        <v>4338.3775330174312</v>
      </c>
      <c r="W69" s="124">
        <f t="shared" si="23"/>
        <v>4412.0004610975093</v>
      </c>
      <c r="X69" s="122">
        <f t="shared" si="23"/>
        <v>4775.1422080986204</v>
      </c>
      <c r="Y69" s="125">
        <f t="shared" si="23"/>
        <v>5317.9700047390361</v>
      </c>
      <c r="Z69" s="122">
        <f t="shared" si="23"/>
        <v>6795.050654949554</v>
      </c>
      <c r="AA69" s="123">
        <f t="shared" si="23"/>
        <v>5645.4042275886168</v>
      </c>
      <c r="AB69" s="123">
        <f t="shared" si="23"/>
        <v>3914.2099390429535</v>
      </c>
      <c r="AC69" s="123">
        <f t="shared" si="23"/>
        <v>3638.7592888028926</v>
      </c>
      <c r="AD69" s="124">
        <f t="shared" si="23"/>
        <v>3595.8549890566169</v>
      </c>
      <c r="AE69" s="122">
        <f t="shared" si="24"/>
        <v>4025.0273677749456</v>
      </c>
      <c r="AF69" s="125">
        <f t="shared" si="24"/>
        <v>5577.9891029445043</v>
      </c>
      <c r="AG69" s="122">
        <f t="shared" si="24"/>
        <v>6731.8609632229964</v>
      </c>
      <c r="AH69" s="123">
        <f t="shared" si="24"/>
        <v>6543.5886513995565</v>
      </c>
      <c r="AI69" s="123">
        <f t="shared" si="24"/>
        <v>4758.5885574028089</v>
      </c>
      <c r="AJ69" s="123">
        <f t="shared" si="24"/>
        <v>7316.1170918652606</v>
      </c>
      <c r="AK69" s="124">
        <f t="shared" si="24"/>
        <v>7526.5474191048197</v>
      </c>
      <c r="AL69" s="122">
        <f t="shared" si="24"/>
        <v>8998.0869198225319</v>
      </c>
      <c r="AM69" s="125">
        <f t="shared" si="24"/>
        <v>10515.259643348018</v>
      </c>
      <c r="AN69" s="125">
        <f t="shared" si="24"/>
        <v>11031.299504992619</v>
      </c>
      <c r="AO69" s="125">
        <f t="shared" si="24"/>
        <v>10564.413700104797</v>
      </c>
      <c r="AP69" s="3">
        <f t="shared" si="5"/>
        <v>159364.39281262722</v>
      </c>
      <c r="AQ69" s="110">
        <f t="shared" ref="AQ69:AQ100" si="25">SUM(K69:AO69)</f>
        <v>208000</v>
      </c>
    </row>
    <row r="70" spans="1:43" x14ac:dyDescent="0.25">
      <c r="A70" s="118">
        <v>50</v>
      </c>
      <c r="B70" s="4" t="s">
        <v>76</v>
      </c>
      <c r="C70" s="4" t="s">
        <v>314</v>
      </c>
      <c r="D70" s="4" t="s">
        <v>138</v>
      </c>
      <c r="E70" s="4" t="s">
        <v>296</v>
      </c>
      <c r="F70" s="4" t="s">
        <v>128</v>
      </c>
      <c r="G70" s="119">
        <v>45989</v>
      </c>
      <c r="H70" s="4">
        <v>5</v>
      </c>
      <c r="I70" s="4" t="s">
        <v>520</v>
      </c>
      <c r="J70" s="120">
        <v>205000</v>
      </c>
      <c r="K70" s="121">
        <f t="shared" si="22"/>
        <v>10385.234221688248</v>
      </c>
      <c r="L70" s="122">
        <f t="shared" si="22"/>
        <v>12997.522945881896</v>
      </c>
      <c r="M70" s="123">
        <f t="shared" si="22"/>
        <v>11891.048339876274</v>
      </c>
      <c r="N70" s="123">
        <f t="shared" si="22"/>
        <v>5813.9750922029416</v>
      </c>
      <c r="O70" s="123">
        <f t="shared" si="22"/>
        <v>5169.6763470163678</v>
      </c>
      <c r="P70" s="124">
        <f t="shared" si="22"/>
        <v>4846.1201128673792</v>
      </c>
      <c r="Q70" s="122">
        <f t="shared" si="22"/>
        <v>4892.5203141093589</v>
      </c>
      <c r="R70" s="125">
        <f t="shared" si="22"/>
        <v>6136.2286581207463</v>
      </c>
      <c r="S70" s="122">
        <f t="shared" si="22"/>
        <v>6150</v>
      </c>
      <c r="T70" s="123">
        <f t="shared" si="22"/>
        <v>7560.3426820788181</v>
      </c>
      <c r="U70" s="123">
        <f t="shared" si="23"/>
        <v>4953.4015418450217</v>
      </c>
      <c r="V70" s="123">
        <f t="shared" si="23"/>
        <v>4275.8047801373723</v>
      </c>
      <c r="W70" s="124">
        <f t="shared" si="23"/>
        <v>4348.3658390624487</v>
      </c>
      <c r="X70" s="122">
        <f t="shared" si="23"/>
        <v>4706.2699647125828</v>
      </c>
      <c r="Y70" s="125">
        <f t="shared" si="23"/>
        <v>5241.2685142860691</v>
      </c>
      <c r="Z70" s="122">
        <f t="shared" si="23"/>
        <v>6697.0451166570128</v>
      </c>
      <c r="AA70" s="123">
        <f t="shared" si="23"/>
        <v>5563.9801281522423</v>
      </c>
      <c r="AB70" s="123">
        <f t="shared" si="23"/>
        <v>3857.7549879990647</v>
      </c>
      <c r="AC70" s="123">
        <f t="shared" si="23"/>
        <v>3586.277183675928</v>
      </c>
      <c r="AD70" s="124">
        <f t="shared" si="23"/>
        <v>3543.991695945223</v>
      </c>
      <c r="AE70" s="122">
        <f t="shared" si="24"/>
        <v>3966.9740884320377</v>
      </c>
      <c r="AF70" s="125">
        <f t="shared" si="24"/>
        <v>5497.5373370366506</v>
      </c>
      <c r="AG70" s="122">
        <f t="shared" si="24"/>
        <v>6634.7668147149725</v>
      </c>
      <c r="AH70" s="123">
        <f t="shared" si="24"/>
        <v>6449.2099689274473</v>
      </c>
      <c r="AI70" s="123">
        <f t="shared" si="24"/>
        <v>4689.955068594114</v>
      </c>
      <c r="AJ70" s="123">
        <f t="shared" si="24"/>
        <v>7210.5961722710499</v>
      </c>
      <c r="AK70" s="124">
        <f t="shared" si="24"/>
        <v>7417.9914467138851</v>
      </c>
      <c r="AL70" s="122">
        <f t="shared" si="24"/>
        <v>8868.3068200174002</v>
      </c>
      <c r="AM70" s="125">
        <f t="shared" si="24"/>
        <v>10363.597244645884</v>
      </c>
      <c r="AN70" s="125">
        <f t="shared" si="24"/>
        <v>10872.194223670611</v>
      </c>
      <c r="AO70" s="125">
        <f t="shared" si="24"/>
        <v>10412.042348660978</v>
      </c>
      <c r="AP70" s="3">
        <f t="shared" ref="AP70:AP116" si="26">SUM(K70:AJ70)</f>
        <v>157065.86791629126</v>
      </c>
      <c r="AQ70" s="110">
        <f t="shared" si="25"/>
        <v>205000</v>
      </c>
    </row>
    <row r="71" spans="1:43" x14ac:dyDescent="0.25">
      <c r="A71" s="118">
        <v>89</v>
      </c>
      <c r="B71" s="4" t="s">
        <v>58</v>
      </c>
      <c r="C71" s="4" t="s">
        <v>353</v>
      </c>
      <c r="D71" s="4" t="s">
        <v>145</v>
      </c>
      <c r="E71" s="4" t="s">
        <v>343</v>
      </c>
      <c r="F71" s="4" t="s">
        <v>131</v>
      </c>
      <c r="G71" s="119">
        <v>45875</v>
      </c>
      <c r="H71" s="4">
        <v>4</v>
      </c>
      <c r="I71" s="4" t="s">
        <v>520</v>
      </c>
      <c r="J71" s="120">
        <v>202000</v>
      </c>
      <c r="K71" s="121">
        <f t="shared" si="22"/>
        <v>10233.255184297688</v>
      </c>
      <c r="L71" s="122">
        <f t="shared" si="22"/>
        <v>12807.315293015332</v>
      </c>
      <c r="M71" s="123">
        <f t="shared" si="22"/>
        <v>11717.032998317109</v>
      </c>
      <c r="N71" s="123">
        <f t="shared" si="22"/>
        <v>5728.8925298780205</v>
      </c>
      <c r="O71" s="123">
        <f t="shared" si="22"/>
        <v>5094.0225468161279</v>
      </c>
      <c r="P71" s="124">
        <f t="shared" si="22"/>
        <v>4775.2012819473684</v>
      </c>
      <c r="Q71" s="122">
        <f t="shared" si="22"/>
        <v>4820.9224558541</v>
      </c>
      <c r="R71" s="125">
        <f t="shared" si="22"/>
        <v>6046.4301899531256</v>
      </c>
      <c r="S71" s="122">
        <f t="shared" si="22"/>
        <v>6060</v>
      </c>
      <c r="T71" s="123">
        <f t="shared" si="22"/>
        <v>7449.7035208776651</v>
      </c>
      <c r="U71" s="123">
        <f t="shared" si="23"/>
        <v>4880.9127387936314</v>
      </c>
      <c r="V71" s="123">
        <f t="shared" si="23"/>
        <v>4213.2320272573133</v>
      </c>
      <c r="W71" s="124">
        <f t="shared" si="23"/>
        <v>4284.731217027389</v>
      </c>
      <c r="X71" s="122">
        <f t="shared" si="23"/>
        <v>4637.3977213265443</v>
      </c>
      <c r="Y71" s="125">
        <f t="shared" si="23"/>
        <v>5164.5670238331022</v>
      </c>
      <c r="Z71" s="122">
        <f t="shared" si="23"/>
        <v>6599.0395783644708</v>
      </c>
      <c r="AA71" s="123">
        <f t="shared" si="23"/>
        <v>5482.5560287158678</v>
      </c>
      <c r="AB71" s="123">
        <f t="shared" si="23"/>
        <v>3801.300036955176</v>
      </c>
      <c r="AC71" s="123">
        <f t="shared" si="23"/>
        <v>3533.7950785489629</v>
      </c>
      <c r="AD71" s="124">
        <f t="shared" si="23"/>
        <v>3492.1284028338296</v>
      </c>
      <c r="AE71" s="122">
        <f t="shared" si="24"/>
        <v>3908.9208090891298</v>
      </c>
      <c r="AF71" s="125">
        <f t="shared" si="24"/>
        <v>5417.0855711287968</v>
      </c>
      <c r="AG71" s="122">
        <f t="shared" si="24"/>
        <v>6537.6726662069477</v>
      </c>
      <c r="AH71" s="123">
        <f t="shared" si="24"/>
        <v>6354.8312864553382</v>
      </c>
      <c r="AI71" s="123">
        <f t="shared" si="24"/>
        <v>4621.32157978542</v>
      </c>
      <c r="AJ71" s="123">
        <f t="shared" si="24"/>
        <v>7105.0752526768401</v>
      </c>
      <c r="AK71" s="124">
        <f t="shared" si="24"/>
        <v>7309.4354743229505</v>
      </c>
      <c r="AL71" s="122">
        <f t="shared" si="24"/>
        <v>8738.5267202122668</v>
      </c>
      <c r="AM71" s="125">
        <f t="shared" si="24"/>
        <v>10211.934845943748</v>
      </c>
      <c r="AN71" s="125">
        <f t="shared" si="24"/>
        <v>10713.088942348602</v>
      </c>
      <c r="AO71" s="125">
        <f t="shared" si="24"/>
        <v>10259.670997217159</v>
      </c>
      <c r="AP71" s="3">
        <f t="shared" si="26"/>
        <v>154767.3430199553</v>
      </c>
      <c r="AQ71" s="110">
        <f t="shared" si="25"/>
        <v>202000.00000000006</v>
      </c>
    </row>
    <row r="72" spans="1:43" x14ac:dyDescent="0.25">
      <c r="A72" s="118">
        <v>48</v>
      </c>
      <c r="B72" s="4" t="s">
        <v>112</v>
      </c>
      <c r="C72" s="4" t="s">
        <v>312</v>
      </c>
      <c r="D72" s="4" t="s">
        <v>138</v>
      </c>
      <c r="E72" s="4" t="s">
        <v>296</v>
      </c>
      <c r="F72" s="4" t="s">
        <v>129</v>
      </c>
      <c r="G72" s="119">
        <v>46138</v>
      </c>
      <c r="H72" s="4">
        <v>3</v>
      </c>
      <c r="I72" s="4" t="s">
        <v>520</v>
      </c>
      <c r="J72" s="120">
        <v>200000</v>
      </c>
      <c r="K72" s="121">
        <f t="shared" si="22"/>
        <v>10131.935826037316</v>
      </c>
      <c r="L72" s="122">
        <f t="shared" si="22"/>
        <v>12680.510191104288</v>
      </c>
      <c r="M72" s="123">
        <f t="shared" si="22"/>
        <v>11601.022770610998</v>
      </c>
      <c r="N72" s="123">
        <f t="shared" si="22"/>
        <v>5672.1708216614061</v>
      </c>
      <c r="O72" s="123">
        <f t="shared" si="22"/>
        <v>5043.5866800159683</v>
      </c>
      <c r="P72" s="124">
        <f t="shared" si="22"/>
        <v>4727.9220613340285</v>
      </c>
      <c r="Q72" s="122">
        <f t="shared" si="22"/>
        <v>4773.1905503505941</v>
      </c>
      <c r="R72" s="125">
        <f t="shared" si="22"/>
        <v>5986.5645445080454</v>
      </c>
      <c r="S72" s="122">
        <f t="shared" si="22"/>
        <v>6000</v>
      </c>
      <c r="T72" s="123">
        <f t="shared" si="22"/>
        <v>7375.9440800768962</v>
      </c>
      <c r="U72" s="123">
        <f t="shared" si="23"/>
        <v>4832.586870092704</v>
      </c>
      <c r="V72" s="123">
        <f t="shared" si="23"/>
        <v>4171.5168586706068</v>
      </c>
      <c r="W72" s="124">
        <f t="shared" si="23"/>
        <v>4242.3081356706816</v>
      </c>
      <c r="X72" s="122">
        <f t="shared" si="23"/>
        <v>4591.4828924025196</v>
      </c>
      <c r="Y72" s="125">
        <f t="shared" si="23"/>
        <v>5113.4326968644573</v>
      </c>
      <c r="Z72" s="122">
        <f t="shared" si="23"/>
        <v>6533.70255283611</v>
      </c>
      <c r="AA72" s="123">
        <f t="shared" si="23"/>
        <v>5428.2732957582857</v>
      </c>
      <c r="AB72" s="123">
        <f t="shared" si="23"/>
        <v>3763.6634029259167</v>
      </c>
      <c r="AC72" s="123">
        <f t="shared" si="23"/>
        <v>3498.80700846432</v>
      </c>
      <c r="AD72" s="124">
        <f t="shared" si="23"/>
        <v>3457.5528740929008</v>
      </c>
      <c r="AE72" s="122">
        <f t="shared" si="24"/>
        <v>3870.2186228605246</v>
      </c>
      <c r="AF72" s="125">
        <f t="shared" si="24"/>
        <v>5363.4510605235619</v>
      </c>
      <c r="AG72" s="122">
        <f t="shared" si="24"/>
        <v>6472.9432338682655</v>
      </c>
      <c r="AH72" s="123">
        <f t="shared" si="24"/>
        <v>6291.912164807266</v>
      </c>
      <c r="AI72" s="123">
        <f t="shared" si="24"/>
        <v>4575.5659205796237</v>
      </c>
      <c r="AJ72" s="123">
        <f t="shared" si="24"/>
        <v>7034.7279729473657</v>
      </c>
      <c r="AK72" s="124">
        <f t="shared" si="24"/>
        <v>7237.0648260623266</v>
      </c>
      <c r="AL72" s="122">
        <f t="shared" si="24"/>
        <v>8652.0066536755112</v>
      </c>
      <c r="AM72" s="125">
        <f t="shared" si="24"/>
        <v>10110.826580142326</v>
      </c>
      <c r="AN72" s="125">
        <f t="shared" si="24"/>
        <v>10607.018754800596</v>
      </c>
      <c r="AO72" s="125">
        <f t="shared" si="24"/>
        <v>10158.090096254613</v>
      </c>
      <c r="AP72" s="3">
        <f t="shared" si="26"/>
        <v>153234.99308906466</v>
      </c>
      <c r="AQ72" s="110">
        <f t="shared" si="25"/>
        <v>200000.00000000006</v>
      </c>
    </row>
    <row r="73" spans="1:43" x14ac:dyDescent="0.25">
      <c r="A73" s="118">
        <v>68</v>
      </c>
      <c r="B73" s="4" t="s">
        <v>84</v>
      </c>
      <c r="C73" s="4" t="s">
        <v>331</v>
      </c>
      <c r="D73" s="4" t="s">
        <v>139</v>
      </c>
      <c r="E73" s="4" t="s">
        <v>296</v>
      </c>
      <c r="F73" s="4" t="s">
        <v>130</v>
      </c>
      <c r="G73" s="119">
        <v>46031</v>
      </c>
      <c r="H73" s="4">
        <v>6</v>
      </c>
      <c r="I73" s="4" t="s">
        <v>520</v>
      </c>
      <c r="J73" s="120">
        <v>200000</v>
      </c>
      <c r="K73" s="121">
        <f t="shared" si="22"/>
        <v>10131.935826037316</v>
      </c>
      <c r="L73" s="122">
        <f t="shared" si="22"/>
        <v>12680.510191104288</v>
      </c>
      <c r="M73" s="123">
        <f t="shared" si="22"/>
        <v>11601.022770610998</v>
      </c>
      <c r="N73" s="123">
        <f t="shared" si="22"/>
        <v>5672.1708216614061</v>
      </c>
      <c r="O73" s="123">
        <f t="shared" si="22"/>
        <v>5043.5866800159683</v>
      </c>
      <c r="P73" s="124">
        <f t="shared" si="22"/>
        <v>4727.9220613340285</v>
      </c>
      <c r="Q73" s="122">
        <f t="shared" si="22"/>
        <v>4773.1905503505941</v>
      </c>
      <c r="R73" s="125">
        <f t="shared" si="22"/>
        <v>5986.5645445080454</v>
      </c>
      <c r="S73" s="122">
        <f t="shared" si="22"/>
        <v>6000</v>
      </c>
      <c r="T73" s="123">
        <f t="shared" si="22"/>
        <v>7375.9440800768962</v>
      </c>
      <c r="U73" s="123">
        <f t="shared" si="23"/>
        <v>4832.586870092704</v>
      </c>
      <c r="V73" s="123">
        <f t="shared" si="23"/>
        <v>4171.5168586706068</v>
      </c>
      <c r="W73" s="124">
        <f t="shared" si="23"/>
        <v>4242.3081356706816</v>
      </c>
      <c r="X73" s="122">
        <f t="shared" si="23"/>
        <v>4591.4828924025196</v>
      </c>
      <c r="Y73" s="125">
        <f t="shared" si="23"/>
        <v>5113.4326968644573</v>
      </c>
      <c r="Z73" s="122">
        <f t="shared" si="23"/>
        <v>6533.70255283611</v>
      </c>
      <c r="AA73" s="123">
        <f t="shared" si="23"/>
        <v>5428.2732957582857</v>
      </c>
      <c r="AB73" s="123">
        <f t="shared" si="23"/>
        <v>3763.6634029259167</v>
      </c>
      <c r="AC73" s="123">
        <f t="shared" si="23"/>
        <v>3498.80700846432</v>
      </c>
      <c r="AD73" s="124">
        <f t="shared" si="23"/>
        <v>3457.5528740929008</v>
      </c>
      <c r="AE73" s="122">
        <f t="shared" si="24"/>
        <v>3870.2186228605246</v>
      </c>
      <c r="AF73" s="125">
        <f t="shared" si="24"/>
        <v>5363.4510605235619</v>
      </c>
      <c r="AG73" s="122">
        <f t="shared" si="24"/>
        <v>6472.9432338682655</v>
      </c>
      <c r="AH73" s="123">
        <f t="shared" si="24"/>
        <v>6291.912164807266</v>
      </c>
      <c r="AI73" s="123">
        <f t="shared" si="24"/>
        <v>4575.5659205796237</v>
      </c>
      <c r="AJ73" s="123">
        <f t="shared" si="24"/>
        <v>7034.7279729473657</v>
      </c>
      <c r="AK73" s="124">
        <f t="shared" si="24"/>
        <v>7237.0648260623266</v>
      </c>
      <c r="AL73" s="122">
        <f t="shared" si="24"/>
        <v>8652.0066536755112</v>
      </c>
      <c r="AM73" s="125">
        <f t="shared" si="24"/>
        <v>10110.826580142326</v>
      </c>
      <c r="AN73" s="125">
        <f t="shared" si="24"/>
        <v>10607.018754800596</v>
      </c>
      <c r="AO73" s="125">
        <f t="shared" si="24"/>
        <v>10158.090096254613</v>
      </c>
      <c r="AP73" s="3">
        <f t="shared" si="26"/>
        <v>153234.99308906466</v>
      </c>
      <c r="AQ73" s="110">
        <f t="shared" si="25"/>
        <v>200000.00000000006</v>
      </c>
    </row>
    <row r="74" spans="1:43" x14ac:dyDescent="0.25">
      <c r="A74" s="118">
        <v>14</v>
      </c>
      <c r="B74" s="4" t="s">
        <v>107</v>
      </c>
      <c r="C74" s="4" t="s">
        <v>276</v>
      </c>
      <c r="D74" s="4" t="s">
        <v>142</v>
      </c>
      <c r="E74" s="4" t="s">
        <v>270</v>
      </c>
      <c r="F74" s="4" t="s">
        <v>132</v>
      </c>
      <c r="G74" s="119">
        <v>46078</v>
      </c>
      <c r="H74" s="4">
        <v>7</v>
      </c>
      <c r="I74" s="4" t="s">
        <v>521</v>
      </c>
      <c r="J74" s="120">
        <v>198000</v>
      </c>
      <c r="K74" s="121">
        <f t="shared" si="22"/>
        <v>10030.616467776941</v>
      </c>
      <c r="L74" s="122">
        <f t="shared" si="22"/>
        <v>12553.705089193245</v>
      </c>
      <c r="M74" s="123">
        <f t="shared" si="22"/>
        <v>11485.012542904888</v>
      </c>
      <c r="N74" s="123">
        <f t="shared" si="22"/>
        <v>5615.4491134447926</v>
      </c>
      <c r="O74" s="123">
        <f t="shared" si="22"/>
        <v>4993.1508132158087</v>
      </c>
      <c r="P74" s="124">
        <f t="shared" si="22"/>
        <v>4680.6428407206886</v>
      </c>
      <c r="Q74" s="122">
        <f t="shared" si="22"/>
        <v>4725.4586448470873</v>
      </c>
      <c r="R74" s="125">
        <f t="shared" si="22"/>
        <v>5926.6988990629652</v>
      </c>
      <c r="S74" s="122">
        <f t="shared" si="22"/>
        <v>5940</v>
      </c>
      <c r="T74" s="123">
        <f t="shared" si="22"/>
        <v>7302.1846392761272</v>
      </c>
      <c r="U74" s="123">
        <f t="shared" si="23"/>
        <v>4784.2610013917765</v>
      </c>
      <c r="V74" s="123">
        <f t="shared" si="23"/>
        <v>4129.8016900839011</v>
      </c>
      <c r="W74" s="124">
        <f t="shared" si="23"/>
        <v>4199.8850543139752</v>
      </c>
      <c r="X74" s="122">
        <f t="shared" si="23"/>
        <v>4545.568063478494</v>
      </c>
      <c r="Y74" s="125">
        <f t="shared" si="23"/>
        <v>5062.2983698958133</v>
      </c>
      <c r="Z74" s="122">
        <f t="shared" si="23"/>
        <v>6468.3655273077484</v>
      </c>
      <c r="AA74" s="123">
        <f t="shared" si="23"/>
        <v>5373.9905628007027</v>
      </c>
      <c r="AB74" s="123">
        <f t="shared" si="23"/>
        <v>3726.0267688966574</v>
      </c>
      <c r="AC74" s="123">
        <f t="shared" si="23"/>
        <v>3463.8189383796766</v>
      </c>
      <c r="AD74" s="124">
        <f t="shared" si="23"/>
        <v>3422.9773453519715</v>
      </c>
      <c r="AE74" s="122">
        <f t="shared" si="24"/>
        <v>3831.5164366319191</v>
      </c>
      <c r="AF74" s="125">
        <f t="shared" si="24"/>
        <v>5309.816549918326</v>
      </c>
      <c r="AG74" s="122">
        <f t="shared" si="24"/>
        <v>6408.2138015295832</v>
      </c>
      <c r="AH74" s="123">
        <f t="shared" si="24"/>
        <v>6228.9930431591929</v>
      </c>
      <c r="AI74" s="123">
        <f t="shared" si="24"/>
        <v>4529.8102613738274</v>
      </c>
      <c r="AJ74" s="123">
        <f t="shared" si="24"/>
        <v>6964.3806932178923</v>
      </c>
      <c r="AK74" s="124">
        <f t="shared" si="24"/>
        <v>7164.6941778017035</v>
      </c>
      <c r="AL74" s="122">
        <f t="shared" si="24"/>
        <v>8565.4865871387574</v>
      </c>
      <c r="AM74" s="125">
        <f t="shared" si="24"/>
        <v>10009.718314340902</v>
      </c>
      <c r="AN74" s="125">
        <f t="shared" si="24"/>
        <v>10500.94856725259</v>
      </c>
      <c r="AO74" s="125">
        <f t="shared" si="24"/>
        <v>10056.509195292067</v>
      </c>
      <c r="AP74" s="3">
        <f t="shared" si="26"/>
        <v>151702.64315817395</v>
      </c>
      <c r="AQ74" s="110">
        <f t="shared" si="25"/>
        <v>197999.99999999994</v>
      </c>
    </row>
    <row r="75" spans="1:43" x14ac:dyDescent="0.25">
      <c r="A75" s="118">
        <v>104</v>
      </c>
      <c r="B75" s="4" t="s">
        <v>90</v>
      </c>
      <c r="C75" s="4" t="s">
        <v>369</v>
      </c>
      <c r="D75" s="4" t="s">
        <v>158</v>
      </c>
      <c r="E75" s="4" t="s">
        <v>296</v>
      </c>
      <c r="F75" s="4" t="s">
        <v>128</v>
      </c>
      <c r="G75" s="119">
        <v>46000</v>
      </c>
      <c r="H75" s="4">
        <v>4</v>
      </c>
      <c r="I75" s="4" t="s">
        <v>521</v>
      </c>
      <c r="J75" s="120">
        <v>195370.29620659901</v>
      </c>
      <c r="K75" s="121">
        <f t="shared" ref="K75:T84" si="27">$J75*K$4</f>
        <v>9897.3965173958131</v>
      </c>
      <c r="L75" s="122">
        <f t="shared" si="27"/>
        <v>12386.975160434211</v>
      </c>
      <c r="M75" s="123">
        <f t="shared" si="27"/>
        <v>11332.476274968854</v>
      </c>
      <c r="N75" s="123">
        <f t="shared" si="27"/>
        <v>5540.8684678120853</v>
      </c>
      <c r="O75" s="123">
        <f t="shared" si="27"/>
        <v>4926.8351180918853</v>
      </c>
      <c r="P75" s="124">
        <f t="shared" si="27"/>
        <v>4618.4776678227163</v>
      </c>
      <c r="Q75" s="122">
        <f t="shared" si="27"/>
        <v>4662.6982583626741</v>
      </c>
      <c r="R75" s="125">
        <f t="shared" si="27"/>
        <v>5847.9844416023016</v>
      </c>
      <c r="S75" s="122">
        <f t="shared" si="27"/>
        <v>5861.1088861979706</v>
      </c>
      <c r="T75" s="123">
        <f t="shared" si="27"/>
        <v>7205.2018986396679</v>
      </c>
      <c r="U75" s="123">
        <f t="shared" ref="U75:AD84" si="28">$J75*U$4</f>
        <v>4720.7196412706644</v>
      </c>
      <c r="V75" s="123">
        <f t="shared" si="28"/>
        <v>4074.9524215464894</v>
      </c>
      <c r="W75" s="124">
        <f t="shared" si="28"/>
        <v>4144.1049853282293</v>
      </c>
      <c r="X75" s="122">
        <f t="shared" si="28"/>
        <v>4485.1968635810608</v>
      </c>
      <c r="Y75" s="125">
        <f t="shared" si="28"/>
        <v>4995.0643030945876</v>
      </c>
      <c r="Z75" s="122">
        <f t="shared" si="28"/>
        <v>6382.4570153670147</v>
      </c>
      <c r="AA75" s="123">
        <f t="shared" si="28"/>
        <v>5302.6168084133387</v>
      </c>
      <c r="AB75" s="123">
        <f t="shared" si="28"/>
        <v>3676.5401692578639</v>
      </c>
      <c r="AC75" s="123">
        <f t="shared" si="28"/>
        <v>3417.8148080669939</v>
      </c>
      <c r="AD75" s="124">
        <f t="shared" si="28"/>
        <v>3377.5156458075389</v>
      </c>
      <c r="AE75" s="122">
        <f t="shared" ref="AE75:AO84" si="29">$J75*AE$4</f>
        <v>3780.6287936627818</v>
      </c>
      <c r="AF75" s="125">
        <f t="shared" si="29"/>
        <v>5239.295111920429</v>
      </c>
      <c r="AG75" s="122">
        <f t="shared" si="29"/>
        <v>6323.1041846467197</v>
      </c>
      <c r="AH75" s="123">
        <f t="shared" si="29"/>
        <v>6146.2637167214962</v>
      </c>
      <c r="AI75" s="123">
        <f t="shared" si="29"/>
        <v>4469.6483460823047</v>
      </c>
      <c r="AJ75" s="123">
        <f t="shared" si="29"/>
        <v>6871.8844390378736</v>
      </c>
      <c r="AK75" s="124">
        <f t="shared" si="29"/>
        <v>7069.5374936707785</v>
      </c>
      <c r="AL75" s="122">
        <f t="shared" si="29"/>
        <v>8451.725513550251</v>
      </c>
      <c r="AM75" s="125">
        <f t="shared" si="29"/>
        <v>9876.7759192798021</v>
      </c>
      <c r="AN75" s="125">
        <f t="shared" si="29"/>
        <v>10361.481979971717</v>
      </c>
      <c r="AO75" s="125">
        <f t="shared" si="29"/>
        <v>9922.9453549929185</v>
      </c>
      <c r="AP75" s="3">
        <f t="shared" si="26"/>
        <v>149687.82994513359</v>
      </c>
      <c r="AQ75" s="110">
        <f t="shared" si="25"/>
        <v>195370.29620659907</v>
      </c>
    </row>
    <row r="76" spans="1:43" x14ac:dyDescent="0.25">
      <c r="A76" s="118">
        <v>34</v>
      </c>
      <c r="B76" s="4" t="s">
        <v>39</v>
      </c>
      <c r="C76" s="4" t="s">
        <v>298</v>
      </c>
      <c r="D76" s="4" t="s">
        <v>138</v>
      </c>
      <c r="E76" s="4" t="s">
        <v>296</v>
      </c>
      <c r="F76" s="4" t="s">
        <v>129</v>
      </c>
      <c r="G76" s="119">
        <v>45725</v>
      </c>
      <c r="H76" s="4">
        <v>5</v>
      </c>
      <c r="I76" s="4" t="s">
        <v>521</v>
      </c>
      <c r="J76" s="120">
        <v>195000</v>
      </c>
      <c r="K76" s="121">
        <f t="shared" si="27"/>
        <v>9878.6374303863831</v>
      </c>
      <c r="L76" s="122">
        <f t="shared" si="27"/>
        <v>12363.497436326681</v>
      </c>
      <c r="M76" s="123">
        <f t="shared" si="27"/>
        <v>11310.997201345723</v>
      </c>
      <c r="N76" s="123">
        <f t="shared" si="27"/>
        <v>5530.3665511198715</v>
      </c>
      <c r="O76" s="123">
        <f t="shared" si="27"/>
        <v>4917.4970130155689</v>
      </c>
      <c r="P76" s="124">
        <f t="shared" si="27"/>
        <v>4609.7240098006778</v>
      </c>
      <c r="Q76" s="122">
        <f t="shared" si="27"/>
        <v>4653.8607865918284</v>
      </c>
      <c r="R76" s="125">
        <f t="shared" si="27"/>
        <v>5836.9004308953445</v>
      </c>
      <c r="S76" s="122">
        <f t="shared" si="27"/>
        <v>5850</v>
      </c>
      <c r="T76" s="123">
        <f t="shared" si="27"/>
        <v>7191.5454780749733</v>
      </c>
      <c r="U76" s="123">
        <f t="shared" si="28"/>
        <v>4711.7721983403862</v>
      </c>
      <c r="V76" s="123">
        <f t="shared" si="28"/>
        <v>4067.2289372038417</v>
      </c>
      <c r="W76" s="124">
        <f t="shared" si="28"/>
        <v>4136.2504322789146</v>
      </c>
      <c r="X76" s="122">
        <f t="shared" si="28"/>
        <v>4476.6958200924564</v>
      </c>
      <c r="Y76" s="125">
        <f t="shared" si="28"/>
        <v>4985.5968794428463</v>
      </c>
      <c r="Z76" s="122">
        <f t="shared" si="28"/>
        <v>6370.3599890152072</v>
      </c>
      <c r="AA76" s="123">
        <f t="shared" si="28"/>
        <v>5292.5664633643282</v>
      </c>
      <c r="AB76" s="123">
        <f t="shared" si="28"/>
        <v>3669.5718178527686</v>
      </c>
      <c r="AC76" s="123">
        <f t="shared" si="28"/>
        <v>3411.336833252712</v>
      </c>
      <c r="AD76" s="124">
        <f t="shared" si="28"/>
        <v>3371.1140522405781</v>
      </c>
      <c r="AE76" s="122">
        <f t="shared" si="29"/>
        <v>3773.4631572890116</v>
      </c>
      <c r="AF76" s="125">
        <f t="shared" si="29"/>
        <v>5229.3647840104722</v>
      </c>
      <c r="AG76" s="122">
        <f t="shared" si="29"/>
        <v>6311.1196530215584</v>
      </c>
      <c r="AH76" s="123">
        <f t="shared" si="29"/>
        <v>6134.6143606870846</v>
      </c>
      <c r="AI76" s="123">
        <f t="shared" si="29"/>
        <v>4461.1767725651334</v>
      </c>
      <c r="AJ76" s="123">
        <f t="shared" si="29"/>
        <v>6858.8597736236816</v>
      </c>
      <c r="AK76" s="124">
        <f t="shared" si="29"/>
        <v>7056.1382054107689</v>
      </c>
      <c r="AL76" s="122">
        <f t="shared" si="29"/>
        <v>8435.706487333624</v>
      </c>
      <c r="AM76" s="125">
        <f t="shared" si="29"/>
        <v>9858.0559156387662</v>
      </c>
      <c r="AN76" s="125">
        <f t="shared" si="29"/>
        <v>10341.843285930581</v>
      </c>
      <c r="AO76" s="125">
        <f t="shared" si="29"/>
        <v>9904.1378438482479</v>
      </c>
      <c r="AP76" s="3">
        <f t="shared" si="26"/>
        <v>149404.11826183807</v>
      </c>
      <c r="AQ76" s="110">
        <f t="shared" si="25"/>
        <v>195000.00000000006</v>
      </c>
    </row>
    <row r="77" spans="1:43" x14ac:dyDescent="0.25">
      <c r="A77" s="118">
        <v>100</v>
      </c>
      <c r="B77" s="4" t="s">
        <v>85</v>
      </c>
      <c r="C77" s="4" t="s">
        <v>365</v>
      </c>
      <c r="D77" s="4" t="s">
        <v>151</v>
      </c>
      <c r="E77" s="4" t="s">
        <v>364</v>
      </c>
      <c r="F77" s="4" t="s">
        <v>126</v>
      </c>
      <c r="G77" s="119">
        <v>46038</v>
      </c>
      <c r="H77" s="4">
        <v>5</v>
      </c>
      <c r="I77" s="4" t="s">
        <v>521</v>
      </c>
      <c r="J77" s="120">
        <v>189000</v>
      </c>
      <c r="K77" s="121">
        <f t="shared" si="27"/>
        <v>9574.6793556052635</v>
      </c>
      <c r="L77" s="122">
        <f t="shared" si="27"/>
        <v>11983.082130593553</v>
      </c>
      <c r="M77" s="123">
        <f t="shared" si="27"/>
        <v>10962.966518227393</v>
      </c>
      <c r="N77" s="123">
        <f t="shared" si="27"/>
        <v>5360.2014264700292</v>
      </c>
      <c r="O77" s="123">
        <f t="shared" si="27"/>
        <v>4766.1894126150901</v>
      </c>
      <c r="P77" s="124">
        <f t="shared" si="27"/>
        <v>4467.8863479606571</v>
      </c>
      <c r="Q77" s="122">
        <f t="shared" si="27"/>
        <v>4510.6650700813107</v>
      </c>
      <c r="R77" s="125">
        <f t="shared" si="27"/>
        <v>5657.303494560103</v>
      </c>
      <c r="S77" s="122">
        <f t="shared" si="27"/>
        <v>5670</v>
      </c>
      <c r="T77" s="123">
        <f t="shared" si="27"/>
        <v>6970.2671556726664</v>
      </c>
      <c r="U77" s="123">
        <f t="shared" si="28"/>
        <v>4566.7945922376057</v>
      </c>
      <c r="V77" s="123">
        <f t="shared" si="28"/>
        <v>3942.0834314437234</v>
      </c>
      <c r="W77" s="124">
        <f t="shared" si="28"/>
        <v>4008.9811882087943</v>
      </c>
      <c r="X77" s="122">
        <f t="shared" si="28"/>
        <v>4338.9513333203813</v>
      </c>
      <c r="Y77" s="125">
        <f t="shared" si="28"/>
        <v>4832.1938985369125</v>
      </c>
      <c r="Z77" s="122">
        <f t="shared" si="28"/>
        <v>6174.3489124301241</v>
      </c>
      <c r="AA77" s="123">
        <f t="shared" si="28"/>
        <v>5129.7182644915792</v>
      </c>
      <c r="AB77" s="123">
        <f t="shared" si="28"/>
        <v>3556.6619157649911</v>
      </c>
      <c r="AC77" s="123">
        <f t="shared" si="28"/>
        <v>3306.3726229987824</v>
      </c>
      <c r="AD77" s="124">
        <f t="shared" si="28"/>
        <v>3267.3874660177912</v>
      </c>
      <c r="AE77" s="122">
        <f t="shared" si="29"/>
        <v>3657.3565986031958</v>
      </c>
      <c r="AF77" s="125">
        <f t="shared" si="29"/>
        <v>5068.4612521947656</v>
      </c>
      <c r="AG77" s="122">
        <f t="shared" si="29"/>
        <v>6116.9313560055107</v>
      </c>
      <c r="AH77" s="123">
        <f t="shared" si="29"/>
        <v>5945.8569957428663</v>
      </c>
      <c r="AI77" s="123">
        <f t="shared" si="29"/>
        <v>4323.9097949477446</v>
      </c>
      <c r="AJ77" s="123">
        <f t="shared" si="29"/>
        <v>6647.8179344352611</v>
      </c>
      <c r="AK77" s="124">
        <f t="shared" si="29"/>
        <v>6839.0262606288989</v>
      </c>
      <c r="AL77" s="122">
        <f t="shared" si="29"/>
        <v>8176.1462877233589</v>
      </c>
      <c r="AM77" s="125">
        <f t="shared" si="29"/>
        <v>9554.7311182344965</v>
      </c>
      <c r="AN77" s="125">
        <f t="shared" si="29"/>
        <v>10023.632723286562</v>
      </c>
      <c r="AO77" s="125">
        <f t="shared" si="29"/>
        <v>9599.3951409606088</v>
      </c>
      <c r="AP77" s="3">
        <f t="shared" si="26"/>
        <v>144807.06846916612</v>
      </c>
      <c r="AQ77" s="110">
        <f t="shared" si="25"/>
        <v>189000.00000000003</v>
      </c>
    </row>
    <row r="78" spans="1:43" x14ac:dyDescent="0.25">
      <c r="A78" s="118">
        <v>28</v>
      </c>
      <c r="B78" s="4" t="s">
        <v>55</v>
      </c>
      <c r="C78" s="4" t="s">
        <v>291</v>
      </c>
      <c r="D78" s="4" t="s">
        <v>153</v>
      </c>
      <c r="E78" s="4" t="s">
        <v>292</v>
      </c>
      <c r="F78" s="4" t="s">
        <v>127</v>
      </c>
      <c r="G78" s="119">
        <v>45798</v>
      </c>
      <c r="H78" s="4">
        <v>6</v>
      </c>
      <c r="I78" s="4" t="s">
        <v>521</v>
      </c>
      <c r="J78" s="120">
        <v>188000</v>
      </c>
      <c r="K78" s="121">
        <f t="shared" si="27"/>
        <v>9524.0196764750763</v>
      </c>
      <c r="L78" s="122">
        <f t="shared" si="27"/>
        <v>11919.67957963803</v>
      </c>
      <c r="M78" s="123">
        <f t="shared" si="27"/>
        <v>10904.961404374339</v>
      </c>
      <c r="N78" s="123">
        <f t="shared" si="27"/>
        <v>5331.8405723617216</v>
      </c>
      <c r="O78" s="123">
        <f t="shared" si="27"/>
        <v>4740.9714792150107</v>
      </c>
      <c r="P78" s="124">
        <f t="shared" si="27"/>
        <v>4444.2467376539871</v>
      </c>
      <c r="Q78" s="122">
        <f t="shared" si="27"/>
        <v>4486.7991173295577</v>
      </c>
      <c r="R78" s="125">
        <f t="shared" si="27"/>
        <v>5627.3706718375624</v>
      </c>
      <c r="S78" s="122">
        <f t="shared" si="27"/>
        <v>5640</v>
      </c>
      <c r="T78" s="123">
        <f t="shared" si="27"/>
        <v>6933.3874352722823</v>
      </c>
      <c r="U78" s="123">
        <f t="shared" si="28"/>
        <v>4542.631657887142</v>
      </c>
      <c r="V78" s="123">
        <f t="shared" si="28"/>
        <v>3921.2258471503706</v>
      </c>
      <c r="W78" s="124">
        <f t="shared" si="28"/>
        <v>3987.769647530441</v>
      </c>
      <c r="X78" s="122">
        <f t="shared" si="28"/>
        <v>4315.9939188583685</v>
      </c>
      <c r="Y78" s="125">
        <f t="shared" si="28"/>
        <v>4806.6267350525904</v>
      </c>
      <c r="Z78" s="122">
        <f t="shared" si="28"/>
        <v>6141.6803996659428</v>
      </c>
      <c r="AA78" s="123">
        <f t="shared" si="28"/>
        <v>5102.5768980127887</v>
      </c>
      <c r="AB78" s="123">
        <f t="shared" si="28"/>
        <v>3537.8435987503617</v>
      </c>
      <c r="AC78" s="123">
        <f t="shared" si="28"/>
        <v>3288.8785879564607</v>
      </c>
      <c r="AD78" s="124">
        <f t="shared" si="28"/>
        <v>3250.0997016473266</v>
      </c>
      <c r="AE78" s="122">
        <f t="shared" si="29"/>
        <v>3638.005505488893</v>
      </c>
      <c r="AF78" s="125">
        <f t="shared" si="29"/>
        <v>5041.6439968921477</v>
      </c>
      <c r="AG78" s="122">
        <f t="shared" si="29"/>
        <v>6084.56663983617</v>
      </c>
      <c r="AH78" s="123">
        <f t="shared" si="29"/>
        <v>5914.3974349188302</v>
      </c>
      <c r="AI78" s="123">
        <f t="shared" si="29"/>
        <v>4301.031965344846</v>
      </c>
      <c r="AJ78" s="123">
        <f t="shared" si="29"/>
        <v>6612.6442945705239</v>
      </c>
      <c r="AK78" s="124">
        <f t="shared" si="29"/>
        <v>6802.8409364985873</v>
      </c>
      <c r="AL78" s="122">
        <f t="shared" si="29"/>
        <v>8132.8862544549811</v>
      </c>
      <c r="AM78" s="125">
        <f t="shared" si="29"/>
        <v>9504.1769853337846</v>
      </c>
      <c r="AN78" s="125">
        <f t="shared" si="29"/>
        <v>9970.5976295125602</v>
      </c>
      <c r="AO78" s="125">
        <f t="shared" si="29"/>
        <v>9548.6046904793366</v>
      </c>
      <c r="AP78" s="3">
        <f t="shared" si="26"/>
        <v>144040.89350372078</v>
      </c>
      <c r="AQ78" s="110">
        <f t="shared" si="25"/>
        <v>188000.00000000009</v>
      </c>
    </row>
    <row r="79" spans="1:43" x14ac:dyDescent="0.25">
      <c r="A79" s="118">
        <v>27</v>
      </c>
      <c r="B79" s="4" t="s">
        <v>104</v>
      </c>
      <c r="C79" s="4" t="s">
        <v>289</v>
      </c>
      <c r="D79" s="4" t="s">
        <v>154</v>
      </c>
      <c r="E79" s="4" t="s">
        <v>266</v>
      </c>
      <c r="F79" s="4" t="s">
        <v>126</v>
      </c>
      <c r="G79" s="119">
        <v>46065</v>
      </c>
      <c r="H79" s="4">
        <v>4</v>
      </c>
      <c r="I79" s="4" t="s">
        <v>521</v>
      </c>
      <c r="J79" s="120">
        <v>179000</v>
      </c>
      <c r="K79" s="121">
        <f t="shared" si="27"/>
        <v>9068.0825643033968</v>
      </c>
      <c r="L79" s="122">
        <f t="shared" si="27"/>
        <v>11349.056621038339</v>
      </c>
      <c r="M79" s="123">
        <f t="shared" si="27"/>
        <v>10382.915379696844</v>
      </c>
      <c r="N79" s="123">
        <f t="shared" si="27"/>
        <v>5076.5928853869582</v>
      </c>
      <c r="O79" s="123">
        <f t="shared" si="27"/>
        <v>4514.0100786142921</v>
      </c>
      <c r="P79" s="124">
        <f t="shared" si="27"/>
        <v>4231.4902448939556</v>
      </c>
      <c r="Q79" s="122">
        <f t="shared" si="27"/>
        <v>4272.0055425637811</v>
      </c>
      <c r="R79" s="125">
        <f t="shared" si="27"/>
        <v>5357.9752673347002</v>
      </c>
      <c r="S79" s="122">
        <f t="shared" si="27"/>
        <v>5370</v>
      </c>
      <c r="T79" s="123">
        <f t="shared" si="27"/>
        <v>6601.4699516688215</v>
      </c>
      <c r="U79" s="123">
        <f t="shared" si="28"/>
        <v>4325.1652487329702</v>
      </c>
      <c r="V79" s="123">
        <f t="shared" si="28"/>
        <v>3733.5075885101933</v>
      </c>
      <c r="W79" s="124">
        <f t="shared" si="28"/>
        <v>3796.8657814252601</v>
      </c>
      <c r="X79" s="122">
        <f t="shared" si="28"/>
        <v>4109.3771887002549</v>
      </c>
      <c r="Y79" s="125">
        <f t="shared" si="28"/>
        <v>4576.5222636936896</v>
      </c>
      <c r="Z79" s="122">
        <f t="shared" si="28"/>
        <v>5847.6637847883185</v>
      </c>
      <c r="AA79" s="123">
        <f t="shared" si="28"/>
        <v>4858.3045997036652</v>
      </c>
      <c r="AB79" s="123">
        <f t="shared" si="28"/>
        <v>3368.4787456186955</v>
      </c>
      <c r="AC79" s="123">
        <f t="shared" si="28"/>
        <v>3131.4322725755665</v>
      </c>
      <c r="AD79" s="124">
        <f t="shared" si="28"/>
        <v>3094.5098223131463</v>
      </c>
      <c r="AE79" s="122">
        <f t="shared" si="29"/>
        <v>3463.8456674601694</v>
      </c>
      <c r="AF79" s="125">
        <f t="shared" si="29"/>
        <v>4800.2886991685873</v>
      </c>
      <c r="AG79" s="122">
        <f t="shared" si="29"/>
        <v>5793.2841943120975</v>
      </c>
      <c r="AH79" s="123">
        <f t="shared" si="29"/>
        <v>5631.2613875025027</v>
      </c>
      <c r="AI79" s="123">
        <f t="shared" si="29"/>
        <v>4095.1314989187636</v>
      </c>
      <c r="AJ79" s="123">
        <f t="shared" si="29"/>
        <v>6296.0815357878928</v>
      </c>
      <c r="AK79" s="124">
        <f t="shared" si="29"/>
        <v>6477.1730193257827</v>
      </c>
      <c r="AL79" s="122">
        <f t="shared" si="29"/>
        <v>7743.5459550395835</v>
      </c>
      <c r="AM79" s="125">
        <f t="shared" si="29"/>
        <v>9049.189789227381</v>
      </c>
      <c r="AN79" s="125">
        <f t="shared" si="29"/>
        <v>9493.2817855465328</v>
      </c>
      <c r="AO79" s="125">
        <f t="shared" si="29"/>
        <v>9091.4906361478788</v>
      </c>
      <c r="AP79" s="3">
        <f t="shared" si="26"/>
        <v>137145.3188147129</v>
      </c>
      <c r="AQ79" s="110">
        <f t="shared" si="25"/>
        <v>179000.00000000009</v>
      </c>
    </row>
    <row r="80" spans="1:43" x14ac:dyDescent="0.25">
      <c r="A80" s="118">
        <v>94</v>
      </c>
      <c r="B80" s="4" t="s">
        <v>40</v>
      </c>
      <c r="C80" s="4" t="s">
        <v>358</v>
      </c>
      <c r="D80" s="4" t="s">
        <v>145</v>
      </c>
      <c r="E80" s="4" t="s">
        <v>343</v>
      </c>
      <c r="F80" s="4" t="s">
        <v>131</v>
      </c>
      <c r="G80" s="119">
        <v>45722</v>
      </c>
      <c r="H80" s="4">
        <v>4</v>
      </c>
      <c r="I80" s="4" t="s">
        <v>521</v>
      </c>
      <c r="J80" s="120">
        <v>178000</v>
      </c>
      <c r="K80" s="121">
        <f t="shared" si="27"/>
        <v>9017.4228851732114</v>
      </c>
      <c r="L80" s="122">
        <f t="shared" si="27"/>
        <v>11285.654070082817</v>
      </c>
      <c r="M80" s="123">
        <f t="shared" si="27"/>
        <v>10324.910265843788</v>
      </c>
      <c r="N80" s="123">
        <f t="shared" si="27"/>
        <v>5048.2320312786514</v>
      </c>
      <c r="O80" s="123">
        <f t="shared" si="27"/>
        <v>4488.7921452142118</v>
      </c>
      <c r="P80" s="124">
        <f t="shared" si="27"/>
        <v>4207.8506345872856</v>
      </c>
      <c r="Q80" s="122">
        <f t="shared" si="27"/>
        <v>4248.1395898120281</v>
      </c>
      <c r="R80" s="125">
        <f t="shared" si="27"/>
        <v>5328.0424446121606</v>
      </c>
      <c r="S80" s="122">
        <f t="shared" si="27"/>
        <v>5340</v>
      </c>
      <c r="T80" s="123">
        <f t="shared" si="27"/>
        <v>6564.5902312684375</v>
      </c>
      <c r="U80" s="123">
        <f t="shared" si="28"/>
        <v>4301.0023143825065</v>
      </c>
      <c r="V80" s="123">
        <f t="shared" si="28"/>
        <v>3712.65000421684</v>
      </c>
      <c r="W80" s="124">
        <f t="shared" si="28"/>
        <v>3775.6542407469069</v>
      </c>
      <c r="X80" s="122">
        <f t="shared" si="28"/>
        <v>4086.4197742382421</v>
      </c>
      <c r="Y80" s="125">
        <f t="shared" si="28"/>
        <v>4550.9551002093676</v>
      </c>
      <c r="Z80" s="122">
        <f t="shared" si="28"/>
        <v>5814.9952720241381</v>
      </c>
      <c r="AA80" s="123">
        <f t="shared" si="28"/>
        <v>4831.1632332248737</v>
      </c>
      <c r="AB80" s="123">
        <f t="shared" si="28"/>
        <v>3349.6604286040661</v>
      </c>
      <c r="AC80" s="123">
        <f t="shared" si="28"/>
        <v>3113.9382375332448</v>
      </c>
      <c r="AD80" s="124">
        <f t="shared" si="28"/>
        <v>3077.2220579426817</v>
      </c>
      <c r="AE80" s="122">
        <f t="shared" si="29"/>
        <v>3444.494574345867</v>
      </c>
      <c r="AF80" s="125">
        <f t="shared" si="29"/>
        <v>4773.4714438659694</v>
      </c>
      <c r="AG80" s="122">
        <f t="shared" si="29"/>
        <v>5760.9194781427559</v>
      </c>
      <c r="AH80" s="123">
        <f t="shared" si="29"/>
        <v>5599.8018266784666</v>
      </c>
      <c r="AI80" s="123">
        <f t="shared" si="29"/>
        <v>4072.2536693158654</v>
      </c>
      <c r="AJ80" s="123">
        <f t="shared" si="29"/>
        <v>6260.9078959231556</v>
      </c>
      <c r="AK80" s="124">
        <f t="shared" si="29"/>
        <v>6440.9876951954711</v>
      </c>
      <c r="AL80" s="122">
        <f t="shared" si="29"/>
        <v>7700.2859217712057</v>
      </c>
      <c r="AM80" s="125">
        <f t="shared" si="29"/>
        <v>8998.6356563266691</v>
      </c>
      <c r="AN80" s="125">
        <f t="shared" si="29"/>
        <v>9440.2466917725305</v>
      </c>
      <c r="AO80" s="125">
        <f t="shared" si="29"/>
        <v>9040.7001856666047</v>
      </c>
      <c r="AP80" s="3">
        <f t="shared" si="26"/>
        <v>136379.14384926751</v>
      </c>
      <c r="AQ80" s="110">
        <f t="shared" si="25"/>
        <v>178000</v>
      </c>
    </row>
    <row r="81" spans="1:43" x14ac:dyDescent="0.25">
      <c r="A81" s="118">
        <v>65</v>
      </c>
      <c r="B81" s="4" t="s">
        <v>62</v>
      </c>
      <c r="C81" s="4" t="s">
        <v>328</v>
      </c>
      <c r="D81" s="4" t="s">
        <v>139</v>
      </c>
      <c r="E81" s="4" t="s">
        <v>296</v>
      </c>
      <c r="F81" s="4" t="s">
        <v>130</v>
      </c>
      <c r="G81" s="119">
        <v>45821</v>
      </c>
      <c r="H81" s="4">
        <v>4</v>
      </c>
      <c r="I81" s="4" t="s">
        <v>521</v>
      </c>
      <c r="J81" s="120">
        <v>170000</v>
      </c>
      <c r="K81" s="121">
        <f t="shared" si="27"/>
        <v>8612.1454521317173</v>
      </c>
      <c r="L81" s="122">
        <f t="shared" si="27"/>
        <v>10778.433662438645</v>
      </c>
      <c r="M81" s="123">
        <f t="shared" si="27"/>
        <v>9860.8693550193493</v>
      </c>
      <c r="N81" s="123">
        <f t="shared" si="27"/>
        <v>4821.3451984121957</v>
      </c>
      <c r="O81" s="123">
        <f t="shared" si="27"/>
        <v>4287.0486780135734</v>
      </c>
      <c r="P81" s="124">
        <f t="shared" si="27"/>
        <v>4018.7337521339241</v>
      </c>
      <c r="Q81" s="122">
        <f t="shared" si="27"/>
        <v>4057.2119677980045</v>
      </c>
      <c r="R81" s="125">
        <f t="shared" si="27"/>
        <v>5088.5798628318389</v>
      </c>
      <c r="S81" s="122">
        <f t="shared" si="27"/>
        <v>5100</v>
      </c>
      <c r="T81" s="123">
        <f t="shared" si="27"/>
        <v>6269.5524680653616</v>
      </c>
      <c r="U81" s="123">
        <f t="shared" si="28"/>
        <v>4107.6988395787985</v>
      </c>
      <c r="V81" s="123">
        <f t="shared" si="28"/>
        <v>3545.789329870016</v>
      </c>
      <c r="W81" s="124">
        <f t="shared" si="28"/>
        <v>3605.9619153200797</v>
      </c>
      <c r="X81" s="122">
        <f t="shared" si="28"/>
        <v>3902.7604585421414</v>
      </c>
      <c r="Y81" s="125">
        <f t="shared" si="28"/>
        <v>4346.4177923347888</v>
      </c>
      <c r="Z81" s="122">
        <f t="shared" si="28"/>
        <v>5553.6471699106933</v>
      </c>
      <c r="AA81" s="123">
        <f t="shared" si="28"/>
        <v>4614.0323013945426</v>
      </c>
      <c r="AB81" s="123">
        <f t="shared" si="28"/>
        <v>3199.1138924870293</v>
      </c>
      <c r="AC81" s="123">
        <f t="shared" si="28"/>
        <v>2973.9859571946718</v>
      </c>
      <c r="AD81" s="124">
        <f t="shared" si="28"/>
        <v>2938.9199429789655</v>
      </c>
      <c r="AE81" s="122">
        <f t="shared" si="29"/>
        <v>3289.6858294314457</v>
      </c>
      <c r="AF81" s="125">
        <f t="shared" si="29"/>
        <v>4558.9334014450269</v>
      </c>
      <c r="AG81" s="122">
        <f t="shared" si="29"/>
        <v>5502.0017487880259</v>
      </c>
      <c r="AH81" s="123">
        <f t="shared" si="29"/>
        <v>5348.125340086176</v>
      </c>
      <c r="AI81" s="123">
        <f t="shared" si="29"/>
        <v>3889.2310324926802</v>
      </c>
      <c r="AJ81" s="123">
        <f t="shared" si="29"/>
        <v>5979.5187770052607</v>
      </c>
      <c r="AK81" s="124">
        <f t="shared" si="29"/>
        <v>6151.505102152978</v>
      </c>
      <c r="AL81" s="122">
        <f t="shared" si="29"/>
        <v>7354.2056556241851</v>
      </c>
      <c r="AM81" s="125">
        <f t="shared" si="29"/>
        <v>8594.2025931209755</v>
      </c>
      <c r="AN81" s="125">
        <f t="shared" si="29"/>
        <v>9015.9659415805054</v>
      </c>
      <c r="AO81" s="125">
        <f t="shared" si="29"/>
        <v>8634.3765818164211</v>
      </c>
      <c r="AP81" s="3">
        <f t="shared" si="26"/>
        <v>130249.74412570494</v>
      </c>
      <c r="AQ81" s="110">
        <f t="shared" si="25"/>
        <v>170000</v>
      </c>
    </row>
    <row r="82" spans="1:43" x14ac:dyDescent="0.25">
      <c r="A82" s="118">
        <v>67</v>
      </c>
      <c r="B82" s="4" t="s">
        <v>57</v>
      </c>
      <c r="C82" s="4" t="s">
        <v>330</v>
      </c>
      <c r="D82" s="4" t="s">
        <v>139</v>
      </c>
      <c r="E82" s="4" t="s">
        <v>296</v>
      </c>
      <c r="F82" s="4" t="s">
        <v>130</v>
      </c>
      <c r="G82" s="119">
        <v>45825</v>
      </c>
      <c r="H82" s="4">
        <v>4</v>
      </c>
      <c r="I82" s="4" t="s">
        <v>521</v>
      </c>
      <c r="J82" s="120">
        <v>170000</v>
      </c>
      <c r="K82" s="121">
        <f t="shared" si="27"/>
        <v>8612.1454521317173</v>
      </c>
      <c r="L82" s="122">
        <f t="shared" si="27"/>
        <v>10778.433662438645</v>
      </c>
      <c r="M82" s="123">
        <f t="shared" si="27"/>
        <v>9860.8693550193493</v>
      </c>
      <c r="N82" s="123">
        <f t="shared" si="27"/>
        <v>4821.3451984121957</v>
      </c>
      <c r="O82" s="123">
        <f t="shared" si="27"/>
        <v>4287.0486780135734</v>
      </c>
      <c r="P82" s="124">
        <f t="shared" si="27"/>
        <v>4018.7337521339241</v>
      </c>
      <c r="Q82" s="122">
        <f t="shared" si="27"/>
        <v>4057.2119677980045</v>
      </c>
      <c r="R82" s="125">
        <f t="shared" si="27"/>
        <v>5088.5798628318389</v>
      </c>
      <c r="S82" s="122">
        <f t="shared" si="27"/>
        <v>5100</v>
      </c>
      <c r="T82" s="123">
        <f t="shared" si="27"/>
        <v>6269.5524680653616</v>
      </c>
      <c r="U82" s="123">
        <f t="shared" si="28"/>
        <v>4107.6988395787985</v>
      </c>
      <c r="V82" s="123">
        <f t="shared" si="28"/>
        <v>3545.789329870016</v>
      </c>
      <c r="W82" s="124">
        <f t="shared" si="28"/>
        <v>3605.9619153200797</v>
      </c>
      <c r="X82" s="122">
        <f t="shared" si="28"/>
        <v>3902.7604585421414</v>
      </c>
      <c r="Y82" s="125">
        <f t="shared" si="28"/>
        <v>4346.4177923347888</v>
      </c>
      <c r="Z82" s="122">
        <f t="shared" si="28"/>
        <v>5553.6471699106933</v>
      </c>
      <c r="AA82" s="123">
        <f t="shared" si="28"/>
        <v>4614.0323013945426</v>
      </c>
      <c r="AB82" s="123">
        <f t="shared" si="28"/>
        <v>3199.1138924870293</v>
      </c>
      <c r="AC82" s="123">
        <f t="shared" si="28"/>
        <v>2973.9859571946718</v>
      </c>
      <c r="AD82" s="124">
        <f t="shared" si="28"/>
        <v>2938.9199429789655</v>
      </c>
      <c r="AE82" s="122">
        <f t="shared" si="29"/>
        <v>3289.6858294314457</v>
      </c>
      <c r="AF82" s="125">
        <f t="shared" si="29"/>
        <v>4558.9334014450269</v>
      </c>
      <c r="AG82" s="122">
        <f t="shared" si="29"/>
        <v>5502.0017487880259</v>
      </c>
      <c r="AH82" s="123">
        <f t="shared" si="29"/>
        <v>5348.125340086176</v>
      </c>
      <c r="AI82" s="123">
        <f t="shared" si="29"/>
        <v>3889.2310324926802</v>
      </c>
      <c r="AJ82" s="123">
        <f t="shared" si="29"/>
        <v>5979.5187770052607</v>
      </c>
      <c r="AK82" s="124">
        <f t="shared" si="29"/>
        <v>6151.505102152978</v>
      </c>
      <c r="AL82" s="122">
        <f t="shared" si="29"/>
        <v>7354.2056556241851</v>
      </c>
      <c r="AM82" s="125">
        <f t="shared" si="29"/>
        <v>8594.2025931209755</v>
      </c>
      <c r="AN82" s="125">
        <f t="shared" si="29"/>
        <v>9015.9659415805054</v>
      </c>
      <c r="AO82" s="125">
        <f t="shared" si="29"/>
        <v>8634.3765818164211</v>
      </c>
      <c r="AP82" s="3">
        <f t="shared" si="26"/>
        <v>130249.74412570494</v>
      </c>
      <c r="AQ82" s="110">
        <f t="shared" si="25"/>
        <v>170000</v>
      </c>
    </row>
    <row r="83" spans="1:43" x14ac:dyDescent="0.25">
      <c r="A83" s="118">
        <v>39</v>
      </c>
      <c r="B83" s="4" t="s">
        <v>78</v>
      </c>
      <c r="C83" s="4" t="s">
        <v>303</v>
      </c>
      <c r="D83" s="4" t="s">
        <v>138</v>
      </c>
      <c r="E83" s="4" t="s">
        <v>296</v>
      </c>
      <c r="F83" s="4" t="s">
        <v>129</v>
      </c>
      <c r="G83" s="119">
        <v>46008</v>
      </c>
      <c r="H83" s="4">
        <v>5</v>
      </c>
      <c r="I83" s="4" t="s">
        <v>521</v>
      </c>
      <c r="J83" s="120">
        <v>165000</v>
      </c>
      <c r="K83" s="121">
        <f t="shared" si="27"/>
        <v>8358.8470564807849</v>
      </c>
      <c r="L83" s="122">
        <f t="shared" si="27"/>
        <v>10461.420907661039</v>
      </c>
      <c r="M83" s="123">
        <f t="shared" si="27"/>
        <v>9570.8437857540739</v>
      </c>
      <c r="N83" s="123">
        <f t="shared" si="27"/>
        <v>4679.5409278706602</v>
      </c>
      <c r="O83" s="123">
        <f t="shared" si="27"/>
        <v>4160.9590110131739</v>
      </c>
      <c r="P83" s="124">
        <f t="shared" si="27"/>
        <v>3900.5357006005734</v>
      </c>
      <c r="Q83" s="122">
        <f t="shared" si="27"/>
        <v>3937.8822040392397</v>
      </c>
      <c r="R83" s="125">
        <f t="shared" si="27"/>
        <v>4938.9157492191371</v>
      </c>
      <c r="S83" s="122">
        <f t="shared" si="27"/>
        <v>4950</v>
      </c>
      <c r="T83" s="123">
        <f t="shared" si="27"/>
        <v>6085.1538660634396</v>
      </c>
      <c r="U83" s="123">
        <f t="shared" si="28"/>
        <v>3986.8841678264807</v>
      </c>
      <c r="V83" s="123">
        <f t="shared" si="28"/>
        <v>3441.5014084032509</v>
      </c>
      <c r="W83" s="124">
        <f t="shared" si="28"/>
        <v>3499.9042119283126</v>
      </c>
      <c r="X83" s="122">
        <f t="shared" si="28"/>
        <v>3787.9733862320786</v>
      </c>
      <c r="Y83" s="125">
        <f t="shared" si="28"/>
        <v>4218.5819749131779</v>
      </c>
      <c r="Z83" s="122">
        <f t="shared" si="28"/>
        <v>5390.3046060897905</v>
      </c>
      <c r="AA83" s="123">
        <f t="shared" si="28"/>
        <v>4478.3254690005851</v>
      </c>
      <c r="AB83" s="123">
        <f t="shared" si="28"/>
        <v>3105.0223074138812</v>
      </c>
      <c r="AC83" s="123">
        <f t="shared" si="28"/>
        <v>2886.5157819830638</v>
      </c>
      <c r="AD83" s="124">
        <f t="shared" si="28"/>
        <v>2852.4811211266428</v>
      </c>
      <c r="AE83" s="122">
        <f t="shared" si="29"/>
        <v>3192.9303638599326</v>
      </c>
      <c r="AF83" s="125">
        <f t="shared" si="29"/>
        <v>4424.8471249319382</v>
      </c>
      <c r="AG83" s="122">
        <f t="shared" si="29"/>
        <v>5340.1781679413189</v>
      </c>
      <c r="AH83" s="123">
        <f t="shared" si="29"/>
        <v>5190.8275359659947</v>
      </c>
      <c r="AI83" s="123">
        <f t="shared" si="29"/>
        <v>3774.8418844781895</v>
      </c>
      <c r="AJ83" s="123">
        <f t="shared" si="29"/>
        <v>5803.6505776815766</v>
      </c>
      <c r="AK83" s="124">
        <f t="shared" si="29"/>
        <v>5970.5784815014194</v>
      </c>
      <c r="AL83" s="122">
        <f t="shared" si="29"/>
        <v>7137.9054892822969</v>
      </c>
      <c r="AM83" s="125">
        <f t="shared" si="29"/>
        <v>8341.4319286174177</v>
      </c>
      <c r="AN83" s="125">
        <f t="shared" si="29"/>
        <v>8750.7904727104906</v>
      </c>
      <c r="AO83" s="125">
        <f t="shared" si="29"/>
        <v>8380.4243294100561</v>
      </c>
      <c r="AP83" s="3">
        <f t="shared" si="26"/>
        <v>126418.86929847833</v>
      </c>
      <c r="AQ83" s="110">
        <f t="shared" si="25"/>
        <v>164999.99999999997</v>
      </c>
    </row>
    <row r="84" spans="1:43" x14ac:dyDescent="0.25">
      <c r="A84" s="118">
        <v>51</v>
      </c>
      <c r="B84" s="4" t="s">
        <v>98</v>
      </c>
      <c r="C84" s="4" t="s">
        <v>262</v>
      </c>
      <c r="D84" s="4" t="s">
        <v>150</v>
      </c>
      <c r="E84" s="4" t="s">
        <v>294</v>
      </c>
      <c r="F84" s="4" t="s">
        <v>133</v>
      </c>
      <c r="G84" s="119">
        <v>46023</v>
      </c>
      <c r="H84" s="4">
        <v>4</v>
      </c>
      <c r="I84" s="4" t="s">
        <v>521</v>
      </c>
      <c r="J84" s="120">
        <v>165000</v>
      </c>
      <c r="K84" s="121">
        <f t="shared" si="27"/>
        <v>8358.8470564807849</v>
      </c>
      <c r="L84" s="122">
        <f t="shared" si="27"/>
        <v>10461.420907661039</v>
      </c>
      <c r="M84" s="123">
        <f t="shared" si="27"/>
        <v>9570.8437857540739</v>
      </c>
      <c r="N84" s="123">
        <f t="shared" si="27"/>
        <v>4679.5409278706602</v>
      </c>
      <c r="O84" s="123">
        <f t="shared" si="27"/>
        <v>4160.9590110131739</v>
      </c>
      <c r="P84" s="124">
        <f t="shared" si="27"/>
        <v>3900.5357006005734</v>
      </c>
      <c r="Q84" s="122">
        <f t="shared" si="27"/>
        <v>3937.8822040392397</v>
      </c>
      <c r="R84" s="125">
        <f t="shared" si="27"/>
        <v>4938.9157492191371</v>
      </c>
      <c r="S84" s="122">
        <f t="shared" si="27"/>
        <v>4950</v>
      </c>
      <c r="T84" s="123">
        <f t="shared" si="27"/>
        <v>6085.1538660634396</v>
      </c>
      <c r="U84" s="123">
        <f t="shared" si="28"/>
        <v>3986.8841678264807</v>
      </c>
      <c r="V84" s="123">
        <f t="shared" si="28"/>
        <v>3441.5014084032509</v>
      </c>
      <c r="W84" s="124">
        <f t="shared" si="28"/>
        <v>3499.9042119283126</v>
      </c>
      <c r="X84" s="122">
        <f t="shared" si="28"/>
        <v>3787.9733862320786</v>
      </c>
      <c r="Y84" s="125">
        <f t="shared" si="28"/>
        <v>4218.5819749131779</v>
      </c>
      <c r="Z84" s="122">
        <f t="shared" si="28"/>
        <v>5390.3046060897905</v>
      </c>
      <c r="AA84" s="123">
        <f t="shared" si="28"/>
        <v>4478.3254690005851</v>
      </c>
      <c r="AB84" s="123">
        <f t="shared" si="28"/>
        <v>3105.0223074138812</v>
      </c>
      <c r="AC84" s="123">
        <f t="shared" si="28"/>
        <v>2886.5157819830638</v>
      </c>
      <c r="AD84" s="124">
        <f t="shared" si="28"/>
        <v>2852.4811211266428</v>
      </c>
      <c r="AE84" s="122">
        <f t="shared" si="29"/>
        <v>3192.9303638599326</v>
      </c>
      <c r="AF84" s="125">
        <f t="shared" si="29"/>
        <v>4424.8471249319382</v>
      </c>
      <c r="AG84" s="122">
        <f t="shared" si="29"/>
        <v>5340.1781679413189</v>
      </c>
      <c r="AH84" s="123">
        <f t="shared" si="29"/>
        <v>5190.8275359659947</v>
      </c>
      <c r="AI84" s="123">
        <f t="shared" si="29"/>
        <v>3774.8418844781895</v>
      </c>
      <c r="AJ84" s="123">
        <f t="shared" si="29"/>
        <v>5803.6505776815766</v>
      </c>
      <c r="AK84" s="124">
        <f t="shared" si="29"/>
        <v>5970.5784815014194</v>
      </c>
      <c r="AL84" s="122">
        <f t="shared" si="29"/>
        <v>7137.9054892822969</v>
      </c>
      <c r="AM84" s="125">
        <f t="shared" si="29"/>
        <v>8341.4319286174177</v>
      </c>
      <c r="AN84" s="125">
        <f t="shared" si="29"/>
        <v>8750.7904727104906</v>
      </c>
      <c r="AO84" s="125">
        <f t="shared" si="29"/>
        <v>8380.4243294100561</v>
      </c>
      <c r="AP84" s="3">
        <f t="shared" si="26"/>
        <v>126418.86929847833</v>
      </c>
      <c r="AQ84" s="110">
        <f t="shared" si="25"/>
        <v>164999.99999999997</v>
      </c>
    </row>
    <row r="85" spans="1:43" x14ac:dyDescent="0.25">
      <c r="A85" s="118">
        <v>56</v>
      </c>
      <c r="B85" s="4" t="s">
        <v>103</v>
      </c>
      <c r="C85" s="4" t="s">
        <v>319</v>
      </c>
      <c r="D85" s="4" t="s">
        <v>159</v>
      </c>
      <c r="E85" s="4" t="s">
        <v>261</v>
      </c>
      <c r="F85" s="4" t="s">
        <v>133</v>
      </c>
      <c r="G85" s="119">
        <v>46047</v>
      </c>
      <c r="H85" s="4">
        <v>4</v>
      </c>
      <c r="I85" s="4" t="s">
        <v>521</v>
      </c>
      <c r="J85" s="120">
        <v>165000</v>
      </c>
      <c r="K85" s="121">
        <f t="shared" ref="K85:T94" si="30">$J85*K$4</f>
        <v>8358.8470564807849</v>
      </c>
      <c r="L85" s="122">
        <f t="shared" si="30"/>
        <v>10461.420907661039</v>
      </c>
      <c r="M85" s="123">
        <f t="shared" si="30"/>
        <v>9570.8437857540739</v>
      </c>
      <c r="N85" s="123">
        <f t="shared" si="30"/>
        <v>4679.5409278706602</v>
      </c>
      <c r="O85" s="123">
        <f t="shared" si="30"/>
        <v>4160.9590110131739</v>
      </c>
      <c r="P85" s="124">
        <f t="shared" si="30"/>
        <v>3900.5357006005734</v>
      </c>
      <c r="Q85" s="122">
        <f t="shared" si="30"/>
        <v>3937.8822040392397</v>
      </c>
      <c r="R85" s="125">
        <f t="shared" si="30"/>
        <v>4938.9157492191371</v>
      </c>
      <c r="S85" s="122">
        <f t="shared" si="30"/>
        <v>4950</v>
      </c>
      <c r="T85" s="123">
        <f t="shared" si="30"/>
        <v>6085.1538660634396</v>
      </c>
      <c r="U85" s="123">
        <f t="shared" ref="U85:AD94" si="31">$J85*U$4</f>
        <v>3986.8841678264807</v>
      </c>
      <c r="V85" s="123">
        <f t="shared" si="31"/>
        <v>3441.5014084032509</v>
      </c>
      <c r="W85" s="124">
        <f t="shared" si="31"/>
        <v>3499.9042119283126</v>
      </c>
      <c r="X85" s="122">
        <f t="shared" si="31"/>
        <v>3787.9733862320786</v>
      </c>
      <c r="Y85" s="125">
        <f t="shared" si="31"/>
        <v>4218.5819749131779</v>
      </c>
      <c r="Z85" s="122">
        <f t="shared" si="31"/>
        <v>5390.3046060897905</v>
      </c>
      <c r="AA85" s="123">
        <f t="shared" si="31"/>
        <v>4478.3254690005851</v>
      </c>
      <c r="AB85" s="123">
        <f t="shared" si="31"/>
        <v>3105.0223074138812</v>
      </c>
      <c r="AC85" s="123">
        <f t="shared" si="31"/>
        <v>2886.5157819830638</v>
      </c>
      <c r="AD85" s="124">
        <f t="shared" si="31"/>
        <v>2852.4811211266428</v>
      </c>
      <c r="AE85" s="122">
        <f t="shared" ref="AE85:AO94" si="32">$J85*AE$4</f>
        <v>3192.9303638599326</v>
      </c>
      <c r="AF85" s="125">
        <f t="shared" si="32"/>
        <v>4424.8471249319382</v>
      </c>
      <c r="AG85" s="122">
        <f t="shared" si="32"/>
        <v>5340.1781679413189</v>
      </c>
      <c r="AH85" s="123">
        <f t="shared" si="32"/>
        <v>5190.8275359659947</v>
      </c>
      <c r="AI85" s="123">
        <f t="shared" si="32"/>
        <v>3774.8418844781895</v>
      </c>
      <c r="AJ85" s="123">
        <f t="shared" si="32"/>
        <v>5803.6505776815766</v>
      </c>
      <c r="AK85" s="124">
        <f t="shared" si="32"/>
        <v>5970.5784815014194</v>
      </c>
      <c r="AL85" s="122">
        <f t="shared" si="32"/>
        <v>7137.9054892822969</v>
      </c>
      <c r="AM85" s="125">
        <f t="shared" si="32"/>
        <v>8341.4319286174177</v>
      </c>
      <c r="AN85" s="125">
        <f t="shared" si="32"/>
        <v>8750.7904727104906</v>
      </c>
      <c r="AO85" s="125">
        <f t="shared" si="32"/>
        <v>8380.4243294100561</v>
      </c>
      <c r="AP85" s="3">
        <f t="shared" si="26"/>
        <v>126418.86929847833</v>
      </c>
      <c r="AQ85" s="110">
        <f t="shared" si="25"/>
        <v>164999.99999999997</v>
      </c>
    </row>
    <row r="86" spans="1:43" x14ac:dyDescent="0.25">
      <c r="A86" s="118">
        <v>29</v>
      </c>
      <c r="B86" s="4" t="s">
        <v>70</v>
      </c>
      <c r="C86" s="4" t="s">
        <v>289</v>
      </c>
      <c r="D86" s="4" t="s">
        <v>153</v>
      </c>
      <c r="E86" s="4" t="s">
        <v>292</v>
      </c>
      <c r="F86" s="4" t="s">
        <v>127</v>
      </c>
      <c r="G86" s="119">
        <v>45901</v>
      </c>
      <c r="H86" s="4">
        <v>5</v>
      </c>
      <c r="I86" s="4" t="s">
        <v>521</v>
      </c>
      <c r="J86" s="120">
        <v>163000</v>
      </c>
      <c r="K86" s="121">
        <f t="shared" si="30"/>
        <v>8257.5276982204123</v>
      </c>
      <c r="L86" s="122">
        <f t="shared" si="30"/>
        <v>10334.615805749994</v>
      </c>
      <c r="M86" s="123">
        <f t="shared" si="30"/>
        <v>9454.8335580479634</v>
      </c>
      <c r="N86" s="123">
        <f t="shared" si="30"/>
        <v>4622.8192196540458</v>
      </c>
      <c r="O86" s="123">
        <f t="shared" si="30"/>
        <v>4110.5231442130143</v>
      </c>
      <c r="P86" s="124">
        <f t="shared" si="30"/>
        <v>3853.2564799872334</v>
      </c>
      <c r="Q86" s="122">
        <f t="shared" si="30"/>
        <v>3890.1502985357338</v>
      </c>
      <c r="R86" s="125">
        <f t="shared" si="30"/>
        <v>4879.0501037740569</v>
      </c>
      <c r="S86" s="122">
        <f t="shared" si="30"/>
        <v>4890</v>
      </c>
      <c r="T86" s="123">
        <f t="shared" si="30"/>
        <v>6011.3944252626707</v>
      </c>
      <c r="U86" s="123">
        <f t="shared" si="31"/>
        <v>3938.5582991255537</v>
      </c>
      <c r="V86" s="123">
        <f t="shared" si="31"/>
        <v>3399.7862398165448</v>
      </c>
      <c r="W86" s="124">
        <f t="shared" si="31"/>
        <v>3457.4811305716057</v>
      </c>
      <c r="X86" s="122">
        <f t="shared" si="31"/>
        <v>3742.0585573080534</v>
      </c>
      <c r="Y86" s="125">
        <f t="shared" si="31"/>
        <v>4167.4476479445329</v>
      </c>
      <c r="Z86" s="122">
        <f t="shared" si="31"/>
        <v>5324.9675805614297</v>
      </c>
      <c r="AA86" s="123">
        <f t="shared" si="31"/>
        <v>4424.0427360430022</v>
      </c>
      <c r="AB86" s="123">
        <f t="shared" si="31"/>
        <v>3067.3856733846219</v>
      </c>
      <c r="AC86" s="123">
        <f t="shared" si="31"/>
        <v>2851.5277118984209</v>
      </c>
      <c r="AD86" s="124">
        <f t="shared" si="31"/>
        <v>2817.905592385714</v>
      </c>
      <c r="AE86" s="122">
        <f t="shared" si="32"/>
        <v>3154.2281776313275</v>
      </c>
      <c r="AF86" s="125">
        <f t="shared" si="32"/>
        <v>4371.2126143267024</v>
      </c>
      <c r="AG86" s="122">
        <f t="shared" si="32"/>
        <v>5275.4487356026366</v>
      </c>
      <c r="AH86" s="123">
        <f t="shared" si="32"/>
        <v>5127.9084143179216</v>
      </c>
      <c r="AI86" s="123">
        <f t="shared" si="32"/>
        <v>3729.0862252723932</v>
      </c>
      <c r="AJ86" s="123">
        <f t="shared" si="32"/>
        <v>5733.3032979521031</v>
      </c>
      <c r="AK86" s="124">
        <f t="shared" si="32"/>
        <v>5898.2078332407964</v>
      </c>
      <c r="AL86" s="122">
        <f t="shared" si="32"/>
        <v>7051.3854227455422</v>
      </c>
      <c r="AM86" s="125">
        <f t="shared" si="32"/>
        <v>8240.3236628159957</v>
      </c>
      <c r="AN86" s="125">
        <f t="shared" si="32"/>
        <v>8644.7202851624861</v>
      </c>
      <c r="AO86" s="125">
        <f t="shared" si="32"/>
        <v>8278.8434284475097</v>
      </c>
      <c r="AP86" s="3">
        <f t="shared" si="26"/>
        <v>124886.51936758767</v>
      </c>
      <c r="AQ86" s="110">
        <f t="shared" si="25"/>
        <v>163000</v>
      </c>
    </row>
    <row r="87" spans="1:43" x14ac:dyDescent="0.25">
      <c r="A87" s="118">
        <v>92</v>
      </c>
      <c r="B87" s="4" t="s">
        <v>14</v>
      </c>
      <c r="C87" s="4" t="s">
        <v>356</v>
      </c>
      <c r="D87" s="4" t="s">
        <v>145</v>
      </c>
      <c r="E87" s="4" t="s">
        <v>343</v>
      </c>
      <c r="F87" s="4" t="s">
        <v>131</v>
      </c>
      <c r="G87" s="119">
        <v>45568</v>
      </c>
      <c r="H87" s="4">
        <v>3</v>
      </c>
      <c r="I87" s="4" t="s">
        <v>521</v>
      </c>
      <c r="J87" s="120">
        <v>156000</v>
      </c>
      <c r="K87" s="121">
        <f t="shared" si="30"/>
        <v>7902.9099443091054</v>
      </c>
      <c r="L87" s="122">
        <f t="shared" si="30"/>
        <v>9890.7979490613452</v>
      </c>
      <c r="M87" s="123">
        <f t="shared" si="30"/>
        <v>9048.7977610765793</v>
      </c>
      <c r="N87" s="123">
        <f t="shared" si="30"/>
        <v>4424.2932408958968</v>
      </c>
      <c r="O87" s="123">
        <f t="shared" si="30"/>
        <v>3933.9976104124553</v>
      </c>
      <c r="P87" s="124">
        <f t="shared" si="30"/>
        <v>3687.7792078405423</v>
      </c>
      <c r="Q87" s="122">
        <f t="shared" si="30"/>
        <v>3723.0886292734631</v>
      </c>
      <c r="R87" s="125">
        <f t="shared" si="30"/>
        <v>4669.5203447162758</v>
      </c>
      <c r="S87" s="122">
        <f t="shared" si="30"/>
        <v>4680</v>
      </c>
      <c r="T87" s="123">
        <f t="shared" si="30"/>
        <v>5753.2363824599788</v>
      </c>
      <c r="U87" s="123">
        <f t="shared" si="31"/>
        <v>3769.417758672309</v>
      </c>
      <c r="V87" s="123">
        <f t="shared" si="31"/>
        <v>3253.7831497630732</v>
      </c>
      <c r="W87" s="124">
        <f t="shared" si="31"/>
        <v>3309.0003458231317</v>
      </c>
      <c r="X87" s="122">
        <f t="shared" si="31"/>
        <v>3581.356656073965</v>
      </c>
      <c r="Y87" s="125">
        <f t="shared" si="31"/>
        <v>3988.4775035542771</v>
      </c>
      <c r="Z87" s="122">
        <f t="shared" si="31"/>
        <v>5096.2879912121653</v>
      </c>
      <c r="AA87" s="123">
        <f t="shared" si="31"/>
        <v>4234.0531706914626</v>
      </c>
      <c r="AB87" s="123">
        <f t="shared" si="31"/>
        <v>2935.657454282215</v>
      </c>
      <c r="AC87" s="123">
        <f t="shared" si="31"/>
        <v>2729.0694666021695</v>
      </c>
      <c r="AD87" s="124">
        <f t="shared" si="31"/>
        <v>2696.8912417924626</v>
      </c>
      <c r="AE87" s="122">
        <f t="shared" si="32"/>
        <v>3018.7705258312089</v>
      </c>
      <c r="AF87" s="125">
        <f t="shared" si="32"/>
        <v>4183.4918272083778</v>
      </c>
      <c r="AG87" s="122">
        <f t="shared" si="32"/>
        <v>5048.8957224172473</v>
      </c>
      <c r="AH87" s="123">
        <f t="shared" si="32"/>
        <v>4907.6914885496672</v>
      </c>
      <c r="AI87" s="123">
        <f t="shared" si="32"/>
        <v>3568.9414180521067</v>
      </c>
      <c r="AJ87" s="123">
        <f t="shared" si="32"/>
        <v>5487.0878188989454</v>
      </c>
      <c r="AK87" s="124">
        <f t="shared" si="32"/>
        <v>5644.9105643286148</v>
      </c>
      <c r="AL87" s="122">
        <f t="shared" si="32"/>
        <v>6748.5651898668993</v>
      </c>
      <c r="AM87" s="125">
        <f t="shared" si="32"/>
        <v>7886.4447325110132</v>
      </c>
      <c r="AN87" s="125">
        <f t="shared" si="32"/>
        <v>8273.474628744465</v>
      </c>
      <c r="AO87" s="125">
        <f t="shared" si="32"/>
        <v>7923.3102750785984</v>
      </c>
      <c r="AP87" s="3">
        <f t="shared" si="26"/>
        <v>119523.29460947045</v>
      </c>
      <c r="AQ87" s="110">
        <f t="shared" si="25"/>
        <v>156000.00000000006</v>
      </c>
    </row>
    <row r="88" spans="1:43" x14ac:dyDescent="0.25">
      <c r="A88" s="118">
        <v>18</v>
      </c>
      <c r="B88" s="4" t="s">
        <v>97</v>
      </c>
      <c r="C88" s="4" t="s">
        <v>280</v>
      </c>
      <c r="D88" s="4" t="s">
        <v>163</v>
      </c>
      <c r="E88" s="4" t="s">
        <v>279</v>
      </c>
      <c r="F88" s="4" t="s">
        <v>129</v>
      </c>
      <c r="G88" s="119">
        <v>46019</v>
      </c>
      <c r="H88" s="4">
        <v>4</v>
      </c>
      <c r="I88" s="4" t="s">
        <v>521</v>
      </c>
      <c r="J88" s="120">
        <v>152972.2567471872</v>
      </c>
      <c r="K88" s="121">
        <f t="shared" si="30"/>
        <v>7749.5254426330221</v>
      </c>
      <c r="L88" s="122">
        <f t="shared" si="30"/>
        <v>9698.8313031946454</v>
      </c>
      <c r="M88" s="123">
        <f t="shared" si="30"/>
        <v>8873.1731689793542</v>
      </c>
      <c r="N88" s="123">
        <f t="shared" si="30"/>
        <v>4338.4238562254623</v>
      </c>
      <c r="O88" s="123">
        <f t="shared" si="30"/>
        <v>3857.6441827104813</v>
      </c>
      <c r="P88" s="124">
        <f t="shared" si="30"/>
        <v>3616.2045372353978</v>
      </c>
      <c r="Q88" s="122">
        <f t="shared" si="30"/>
        <v>3650.8286518573941</v>
      </c>
      <c r="R88" s="125">
        <f t="shared" si="30"/>
        <v>4578.8914426804622</v>
      </c>
      <c r="S88" s="122">
        <f t="shared" si="30"/>
        <v>4589.1677024156161</v>
      </c>
      <c r="T88" s="123">
        <f t="shared" si="30"/>
        <v>5641.5740578520927</v>
      </c>
      <c r="U88" s="123">
        <f t="shared" si="31"/>
        <v>3696.2585972245347</v>
      </c>
      <c r="V88" s="123">
        <f t="shared" si="31"/>
        <v>3190.6317396488994</v>
      </c>
      <c r="W88" s="124">
        <f t="shared" si="31"/>
        <v>3244.777246652483</v>
      </c>
      <c r="X88" s="122">
        <f t="shared" si="31"/>
        <v>3511.8474993345794</v>
      </c>
      <c r="Y88" s="125">
        <f t="shared" si="31"/>
        <v>3911.0666968210585</v>
      </c>
      <c r="Z88" s="122">
        <f t="shared" si="31"/>
        <v>4997.3761221109889</v>
      </c>
      <c r="AA88" s="123">
        <f t="shared" si="31"/>
        <v>4151.8760814631823</v>
      </c>
      <c r="AB88" s="123">
        <f t="shared" si="31"/>
        <v>2878.6804219118781</v>
      </c>
      <c r="AC88" s="123">
        <f t="shared" si="31"/>
        <v>2676.1020200383095</v>
      </c>
      <c r="AD88" s="124">
        <f t="shared" si="31"/>
        <v>2644.5483298635713</v>
      </c>
      <c r="AE88" s="122">
        <f t="shared" si="32"/>
        <v>2960.1803842198274</v>
      </c>
      <c r="AF88" s="125">
        <f t="shared" si="32"/>
        <v>4102.2960634069186</v>
      </c>
      <c r="AG88" s="122">
        <f t="shared" si="32"/>
        <v>4950.9036714063222</v>
      </c>
      <c r="AH88" s="123">
        <f t="shared" si="32"/>
        <v>4812.4400155282374</v>
      </c>
      <c r="AI88" s="123">
        <f t="shared" si="32"/>
        <v>3499.6732238329309</v>
      </c>
      <c r="AJ88" s="123">
        <f t="shared" si="32"/>
        <v>5380.591068121621</v>
      </c>
      <c r="AK88" s="124">
        <f t="shared" si="32"/>
        <v>5535.3506933422195</v>
      </c>
      <c r="AL88" s="122">
        <f t="shared" si="32"/>
        <v>6617.5849160221123</v>
      </c>
      <c r="AM88" s="125">
        <f t="shared" si="32"/>
        <v>7733.3797977190825</v>
      </c>
      <c r="AN88" s="125">
        <f t="shared" si="32"/>
        <v>8112.897981407933</v>
      </c>
      <c r="AO88" s="125">
        <f t="shared" si="32"/>
        <v>7769.5298313266012</v>
      </c>
      <c r="AP88" s="3">
        <f t="shared" si="26"/>
        <v>117203.51352736924</v>
      </c>
      <c r="AQ88" s="110">
        <f t="shared" si="25"/>
        <v>152972.25674718717</v>
      </c>
    </row>
    <row r="89" spans="1:43" x14ac:dyDescent="0.25">
      <c r="A89" s="118">
        <v>103</v>
      </c>
      <c r="B89" s="4" t="s">
        <v>81</v>
      </c>
      <c r="C89" s="4" t="s">
        <v>368</v>
      </c>
      <c r="D89" s="4" t="s">
        <v>158</v>
      </c>
      <c r="E89" s="4" t="s">
        <v>296</v>
      </c>
      <c r="F89" s="4" t="s">
        <v>128</v>
      </c>
      <c r="G89" s="119">
        <v>45962</v>
      </c>
      <c r="H89" s="4">
        <v>5</v>
      </c>
      <c r="I89" s="4" t="s">
        <v>521</v>
      </c>
      <c r="J89" s="120">
        <v>152837.781778668</v>
      </c>
      <c r="K89" s="121">
        <f t="shared" si="30"/>
        <v>7742.7129838767969</v>
      </c>
      <c r="L89" s="122">
        <f t="shared" si="30"/>
        <v>9690.3052471508636</v>
      </c>
      <c r="M89" s="123">
        <f t="shared" si="30"/>
        <v>8865.3729331200102</v>
      </c>
      <c r="N89" s="123">
        <f t="shared" si="30"/>
        <v>4334.6100312620702</v>
      </c>
      <c r="O89" s="123">
        <f t="shared" si="30"/>
        <v>3854.253001910386</v>
      </c>
      <c r="P89" s="124">
        <f t="shared" si="30"/>
        <v>3613.025601383602</v>
      </c>
      <c r="Q89" s="122">
        <f t="shared" si="30"/>
        <v>3647.6192786124211</v>
      </c>
      <c r="R89" s="125">
        <f t="shared" si="30"/>
        <v>4574.8662272871579</v>
      </c>
      <c r="S89" s="122">
        <f t="shared" si="30"/>
        <v>4585.1334533600393</v>
      </c>
      <c r="T89" s="123">
        <f t="shared" si="30"/>
        <v>5636.6146586122532</v>
      </c>
      <c r="U89" s="123">
        <f t="shared" si="31"/>
        <v>3693.0092873884241</v>
      </c>
      <c r="V89" s="123">
        <f t="shared" si="31"/>
        <v>3187.8269166576642</v>
      </c>
      <c r="W89" s="124">
        <f t="shared" si="31"/>
        <v>3241.9248253875176</v>
      </c>
      <c r="X89" s="122">
        <f t="shared" si="31"/>
        <v>3508.760301747518</v>
      </c>
      <c r="Y89" s="125">
        <f t="shared" si="31"/>
        <v>3907.6285533163787</v>
      </c>
      <c r="Z89" s="122">
        <f t="shared" si="31"/>
        <v>4992.9830248854569</v>
      </c>
      <c r="AA89" s="123">
        <f t="shared" si="31"/>
        <v>4148.2262470603782</v>
      </c>
      <c r="AB89" s="123">
        <f t="shared" si="31"/>
        <v>2876.1498293237514</v>
      </c>
      <c r="AC89" s="123">
        <f t="shared" si="31"/>
        <v>2673.7495102267194</v>
      </c>
      <c r="AD89" s="124">
        <f t="shared" si="31"/>
        <v>2642.2235582940853</v>
      </c>
      <c r="AE89" s="122">
        <f t="shared" si="32"/>
        <v>2957.5781465824689</v>
      </c>
      <c r="AF89" s="125">
        <f t="shared" si="32"/>
        <v>4098.6898138443275</v>
      </c>
      <c r="AG89" s="122">
        <f t="shared" si="32"/>
        <v>4946.5514272183173</v>
      </c>
      <c r="AH89" s="123">
        <f t="shared" si="32"/>
        <v>4808.2094920767977</v>
      </c>
      <c r="AI89" s="123">
        <f t="shared" si="32"/>
        <v>3496.5967284172934</v>
      </c>
      <c r="AJ89" s="123">
        <f t="shared" si="32"/>
        <v>5375.8610940081053</v>
      </c>
      <c r="AK89" s="124">
        <f t="shared" si="32"/>
        <v>5530.4846730189392</v>
      </c>
      <c r="AL89" s="122">
        <f t="shared" si="32"/>
        <v>6611.7675244102074</v>
      </c>
      <c r="AM89" s="125">
        <f t="shared" si="32"/>
        <v>7726.5815322887438</v>
      </c>
      <c r="AN89" s="125">
        <f t="shared" si="32"/>
        <v>8105.7660888422606</v>
      </c>
      <c r="AO89" s="125">
        <f t="shared" si="32"/>
        <v>7762.6997870970554</v>
      </c>
      <c r="AP89" s="3">
        <f t="shared" si="26"/>
        <v>117100.48217301079</v>
      </c>
      <c r="AQ89" s="110">
        <f t="shared" si="25"/>
        <v>152837.78177866802</v>
      </c>
    </row>
    <row r="90" spans="1:43" x14ac:dyDescent="0.25">
      <c r="A90" s="118">
        <v>105</v>
      </c>
      <c r="B90" s="4" t="s">
        <v>106</v>
      </c>
      <c r="C90" s="4" t="s">
        <v>289</v>
      </c>
      <c r="D90" s="4" t="s">
        <v>161</v>
      </c>
      <c r="E90" s="4" t="s">
        <v>285</v>
      </c>
      <c r="F90" s="4" t="s">
        <v>131</v>
      </c>
      <c r="G90" s="119">
        <v>46077</v>
      </c>
      <c r="H90" s="4">
        <v>3</v>
      </c>
      <c r="I90" s="4" t="s">
        <v>521</v>
      </c>
      <c r="J90" s="120">
        <v>152000</v>
      </c>
      <c r="K90" s="121">
        <f t="shared" si="30"/>
        <v>7700.2712277883593</v>
      </c>
      <c r="L90" s="122">
        <f t="shared" si="30"/>
        <v>9637.18774523926</v>
      </c>
      <c r="M90" s="123">
        <f t="shared" si="30"/>
        <v>8816.7773056643582</v>
      </c>
      <c r="N90" s="123">
        <f t="shared" si="30"/>
        <v>4310.8498244626689</v>
      </c>
      <c r="O90" s="123">
        <f t="shared" si="30"/>
        <v>3833.1258768121361</v>
      </c>
      <c r="P90" s="124">
        <f t="shared" si="30"/>
        <v>3593.2207666138615</v>
      </c>
      <c r="Q90" s="122">
        <f t="shared" si="30"/>
        <v>3627.6248182664513</v>
      </c>
      <c r="R90" s="125">
        <f t="shared" si="30"/>
        <v>4549.7890538261145</v>
      </c>
      <c r="S90" s="122">
        <f t="shared" si="30"/>
        <v>4560</v>
      </c>
      <c r="T90" s="123">
        <f t="shared" si="30"/>
        <v>5605.7175008584409</v>
      </c>
      <c r="U90" s="123">
        <f t="shared" si="31"/>
        <v>3672.766021270455</v>
      </c>
      <c r="V90" s="123">
        <f t="shared" si="31"/>
        <v>3170.3528125896614</v>
      </c>
      <c r="W90" s="124">
        <f t="shared" si="31"/>
        <v>3224.1541831097184</v>
      </c>
      <c r="X90" s="122">
        <f t="shared" si="31"/>
        <v>3489.5269982259147</v>
      </c>
      <c r="Y90" s="125">
        <f t="shared" si="31"/>
        <v>3886.2088496169877</v>
      </c>
      <c r="Z90" s="122">
        <f t="shared" si="31"/>
        <v>4965.6139401554437</v>
      </c>
      <c r="AA90" s="123">
        <f t="shared" si="31"/>
        <v>4125.4877047762966</v>
      </c>
      <c r="AB90" s="123">
        <f t="shared" si="31"/>
        <v>2860.3841862236968</v>
      </c>
      <c r="AC90" s="123">
        <f t="shared" si="31"/>
        <v>2659.0933264328833</v>
      </c>
      <c r="AD90" s="124">
        <f t="shared" si="31"/>
        <v>2627.7401843106045</v>
      </c>
      <c r="AE90" s="122">
        <f t="shared" si="32"/>
        <v>2941.3661533739987</v>
      </c>
      <c r="AF90" s="125">
        <f t="shared" si="32"/>
        <v>4076.2228059979066</v>
      </c>
      <c r="AG90" s="122">
        <f t="shared" si="32"/>
        <v>4919.4368577398818</v>
      </c>
      <c r="AH90" s="123">
        <f t="shared" si="32"/>
        <v>4781.8532452535219</v>
      </c>
      <c r="AI90" s="123">
        <f t="shared" si="32"/>
        <v>3477.4300996405141</v>
      </c>
      <c r="AJ90" s="123">
        <f t="shared" si="32"/>
        <v>5346.3932594399985</v>
      </c>
      <c r="AK90" s="124">
        <f t="shared" si="32"/>
        <v>5500.1692678073687</v>
      </c>
      <c r="AL90" s="122">
        <f t="shared" si="32"/>
        <v>6575.525056793389</v>
      </c>
      <c r="AM90" s="125">
        <f t="shared" si="32"/>
        <v>7684.2282009081673</v>
      </c>
      <c r="AN90" s="125">
        <f t="shared" si="32"/>
        <v>8061.3342536484524</v>
      </c>
      <c r="AO90" s="125">
        <f t="shared" si="32"/>
        <v>7720.1484731535056</v>
      </c>
      <c r="AP90" s="3">
        <f t="shared" si="26"/>
        <v>116458.59474768912</v>
      </c>
      <c r="AQ90" s="110">
        <f t="shared" si="25"/>
        <v>151999.99999999997</v>
      </c>
    </row>
    <row r="91" spans="1:43" x14ac:dyDescent="0.25">
      <c r="A91" s="118">
        <v>3</v>
      </c>
      <c r="B91" s="4" t="s">
        <v>114</v>
      </c>
      <c r="C91" s="4" t="s">
        <v>263</v>
      </c>
      <c r="D91" s="4" t="s">
        <v>157</v>
      </c>
      <c r="E91" s="4" t="s">
        <v>261</v>
      </c>
      <c r="F91" s="4" t="s">
        <v>133</v>
      </c>
      <c r="G91" s="119">
        <v>45777</v>
      </c>
      <c r="H91" s="4">
        <v>4</v>
      </c>
      <c r="I91" s="4" t="s">
        <v>521</v>
      </c>
      <c r="J91" s="120">
        <v>150000</v>
      </c>
      <c r="K91" s="121">
        <f t="shared" si="30"/>
        <v>7598.9518695279867</v>
      </c>
      <c r="L91" s="122">
        <f t="shared" si="30"/>
        <v>9510.3826433282156</v>
      </c>
      <c r="M91" s="123">
        <f t="shared" si="30"/>
        <v>8700.7670779582495</v>
      </c>
      <c r="N91" s="123">
        <f t="shared" si="30"/>
        <v>4254.1281162460546</v>
      </c>
      <c r="O91" s="123">
        <f t="shared" si="30"/>
        <v>3782.6900100119765</v>
      </c>
      <c r="P91" s="124">
        <f t="shared" si="30"/>
        <v>3545.9415460005212</v>
      </c>
      <c r="Q91" s="122">
        <f t="shared" si="30"/>
        <v>3579.8929127629453</v>
      </c>
      <c r="R91" s="125">
        <f t="shared" si="30"/>
        <v>4489.9234083810343</v>
      </c>
      <c r="S91" s="122">
        <f t="shared" si="30"/>
        <v>4500</v>
      </c>
      <c r="T91" s="123">
        <f t="shared" si="30"/>
        <v>5531.9580600576719</v>
      </c>
      <c r="U91" s="123">
        <f t="shared" si="31"/>
        <v>3624.440152569528</v>
      </c>
      <c r="V91" s="123">
        <f t="shared" si="31"/>
        <v>3128.6376440029553</v>
      </c>
      <c r="W91" s="124">
        <f t="shared" si="31"/>
        <v>3181.7311017530114</v>
      </c>
      <c r="X91" s="122">
        <f t="shared" si="31"/>
        <v>3443.6121693018895</v>
      </c>
      <c r="Y91" s="125">
        <f t="shared" si="31"/>
        <v>3835.0745226483432</v>
      </c>
      <c r="Z91" s="122">
        <f t="shared" si="31"/>
        <v>4900.2769146270821</v>
      </c>
      <c r="AA91" s="123">
        <f t="shared" si="31"/>
        <v>4071.2049718187141</v>
      </c>
      <c r="AB91" s="123">
        <f t="shared" si="31"/>
        <v>2822.7475521944375</v>
      </c>
      <c r="AC91" s="123">
        <f t="shared" si="31"/>
        <v>2624.1052563482399</v>
      </c>
      <c r="AD91" s="124">
        <f t="shared" si="31"/>
        <v>2593.1646555696757</v>
      </c>
      <c r="AE91" s="122">
        <f t="shared" si="32"/>
        <v>2902.6639671453936</v>
      </c>
      <c r="AF91" s="125">
        <f t="shared" si="32"/>
        <v>4022.5882953926712</v>
      </c>
      <c r="AG91" s="122">
        <f t="shared" si="32"/>
        <v>4854.7074254011995</v>
      </c>
      <c r="AH91" s="123">
        <f t="shared" si="32"/>
        <v>4718.9341236054497</v>
      </c>
      <c r="AI91" s="123">
        <f t="shared" si="32"/>
        <v>3431.6744404347178</v>
      </c>
      <c r="AJ91" s="123">
        <f t="shared" si="32"/>
        <v>5276.045979710525</v>
      </c>
      <c r="AK91" s="124">
        <f t="shared" si="32"/>
        <v>5427.7986195467447</v>
      </c>
      <c r="AL91" s="122">
        <f t="shared" si="32"/>
        <v>6489.0049902566343</v>
      </c>
      <c r="AM91" s="125">
        <f t="shared" si="32"/>
        <v>7583.1199351067435</v>
      </c>
      <c r="AN91" s="125">
        <f t="shared" si="32"/>
        <v>7955.2640661004471</v>
      </c>
      <c r="AO91" s="125">
        <f t="shared" si="32"/>
        <v>7618.5675721909593</v>
      </c>
      <c r="AP91" s="3">
        <f t="shared" si="26"/>
        <v>114926.2448167985</v>
      </c>
      <c r="AQ91" s="110">
        <f t="shared" si="25"/>
        <v>150000</v>
      </c>
    </row>
    <row r="92" spans="1:43" x14ac:dyDescent="0.25">
      <c r="A92" s="118">
        <v>77</v>
      </c>
      <c r="B92" s="4" t="s">
        <v>79</v>
      </c>
      <c r="C92" s="4" t="s">
        <v>340</v>
      </c>
      <c r="D92" s="4" t="s">
        <v>149</v>
      </c>
      <c r="E92" s="4" t="s">
        <v>341</v>
      </c>
      <c r="F92" s="4" t="s">
        <v>127</v>
      </c>
      <c r="G92" s="119">
        <v>45945</v>
      </c>
      <c r="H92" s="4">
        <v>4</v>
      </c>
      <c r="I92" s="4" t="s">
        <v>521</v>
      </c>
      <c r="J92" s="120">
        <v>150000</v>
      </c>
      <c r="K92" s="121">
        <f t="shared" si="30"/>
        <v>7598.9518695279867</v>
      </c>
      <c r="L92" s="122">
        <f t="shared" si="30"/>
        <v>9510.3826433282156</v>
      </c>
      <c r="M92" s="123">
        <f t="shared" si="30"/>
        <v>8700.7670779582495</v>
      </c>
      <c r="N92" s="123">
        <f t="shared" si="30"/>
        <v>4254.1281162460546</v>
      </c>
      <c r="O92" s="123">
        <f t="shared" si="30"/>
        <v>3782.6900100119765</v>
      </c>
      <c r="P92" s="124">
        <f t="shared" si="30"/>
        <v>3545.9415460005212</v>
      </c>
      <c r="Q92" s="122">
        <f t="shared" si="30"/>
        <v>3579.8929127629453</v>
      </c>
      <c r="R92" s="125">
        <f t="shared" si="30"/>
        <v>4489.9234083810343</v>
      </c>
      <c r="S92" s="122">
        <f t="shared" si="30"/>
        <v>4500</v>
      </c>
      <c r="T92" s="123">
        <f t="shared" si="30"/>
        <v>5531.9580600576719</v>
      </c>
      <c r="U92" s="123">
        <f t="shared" si="31"/>
        <v>3624.440152569528</v>
      </c>
      <c r="V92" s="123">
        <f t="shared" si="31"/>
        <v>3128.6376440029553</v>
      </c>
      <c r="W92" s="124">
        <f t="shared" si="31"/>
        <v>3181.7311017530114</v>
      </c>
      <c r="X92" s="122">
        <f t="shared" si="31"/>
        <v>3443.6121693018895</v>
      </c>
      <c r="Y92" s="125">
        <f t="shared" si="31"/>
        <v>3835.0745226483432</v>
      </c>
      <c r="Z92" s="122">
        <f t="shared" si="31"/>
        <v>4900.2769146270821</v>
      </c>
      <c r="AA92" s="123">
        <f t="shared" si="31"/>
        <v>4071.2049718187141</v>
      </c>
      <c r="AB92" s="123">
        <f t="shared" si="31"/>
        <v>2822.7475521944375</v>
      </c>
      <c r="AC92" s="123">
        <f t="shared" si="31"/>
        <v>2624.1052563482399</v>
      </c>
      <c r="AD92" s="124">
        <f t="shared" si="31"/>
        <v>2593.1646555696757</v>
      </c>
      <c r="AE92" s="122">
        <f t="shared" si="32"/>
        <v>2902.6639671453936</v>
      </c>
      <c r="AF92" s="125">
        <f t="shared" si="32"/>
        <v>4022.5882953926712</v>
      </c>
      <c r="AG92" s="122">
        <f t="shared" si="32"/>
        <v>4854.7074254011995</v>
      </c>
      <c r="AH92" s="123">
        <f t="shared" si="32"/>
        <v>4718.9341236054497</v>
      </c>
      <c r="AI92" s="123">
        <f t="shared" si="32"/>
        <v>3431.6744404347178</v>
      </c>
      <c r="AJ92" s="123">
        <f t="shared" si="32"/>
        <v>5276.045979710525</v>
      </c>
      <c r="AK92" s="124">
        <f t="shared" si="32"/>
        <v>5427.7986195467447</v>
      </c>
      <c r="AL92" s="122">
        <f t="shared" si="32"/>
        <v>6489.0049902566343</v>
      </c>
      <c r="AM92" s="125">
        <f t="shared" si="32"/>
        <v>7583.1199351067435</v>
      </c>
      <c r="AN92" s="125">
        <f t="shared" si="32"/>
        <v>7955.2640661004471</v>
      </c>
      <c r="AO92" s="125">
        <f t="shared" si="32"/>
        <v>7618.5675721909593</v>
      </c>
      <c r="AP92" s="3">
        <f t="shared" si="26"/>
        <v>114926.2448167985</v>
      </c>
      <c r="AQ92" s="110">
        <f t="shared" si="25"/>
        <v>150000</v>
      </c>
    </row>
    <row r="93" spans="1:43" x14ac:dyDescent="0.25">
      <c r="A93" s="118">
        <v>107</v>
      </c>
      <c r="B93" s="4" t="s">
        <v>41</v>
      </c>
      <c r="C93" s="4" t="s">
        <v>371</v>
      </c>
      <c r="D93" s="4" t="s">
        <v>141</v>
      </c>
      <c r="E93" s="4" t="s">
        <v>270</v>
      </c>
      <c r="F93" s="4" t="s">
        <v>132</v>
      </c>
      <c r="G93" s="119">
        <v>45739</v>
      </c>
      <c r="H93" s="4">
        <v>3</v>
      </c>
      <c r="I93" s="4" t="s">
        <v>522</v>
      </c>
      <c r="J93" s="120">
        <v>147000</v>
      </c>
      <c r="K93" s="121">
        <f t="shared" si="30"/>
        <v>7446.9728321374268</v>
      </c>
      <c r="L93" s="122">
        <f t="shared" si="30"/>
        <v>9320.1749904616518</v>
      </c>
      <c r="M93" s="123">
        <f t="shared" si="30"/>
        <v>8526.7517363990846</v>
      </c>
      <c r="N93" s="123">
        <f t="shared" si="30"/>
        <v>4169.0455539211334</v>
      </c>
      <c r="O93" s="123">
        <f t="shared" si="30"/>
        <v>3707.0362098117366</v>
      </c>
      <c r="P93" s="124">
        <f t="shared" si="30"/>
        <v>3475.0227150805108</v>
      </c>
      <c r="Q93" s="122">
        <f t="shared" si="30"/>
        <v>3508.2950545076865</v>
      </c>
      <c r="R93" s="125">
        <f t="shared" si="30"/>
        <v>4400.1249402134135</v>
      </c>
      <c r="S93" s="122">
        <f t="shared" si="30"/>
        <v>4410</v>
      </c>
      <c r="T93" s="123">
        <f t="shared" si="30"/>
        <v>5421.3188988565189</v>
      </c>
      <c r="U93" s="123">
        <f t="shared" si="31"/>
        <v>3551.9513495181372</v>
      </c>
      <c r="V93" s="123">
        <f t="shared" si="31"/>
        <v>3066.0648911228959</v>
      </c>
      <c r="W93" s="124">
        <f t="shared" si="31"/>
        <v>3118.0964797179513</v>
      </c>
      <c r="X93" s="122">
        <f t="shared" si="31"/>
        <v>3374.7399259158519</v>
      </c>
      <c r="Y93" s="125">
        <f t="shared" si="31"/>
        <v>3758.3730321953763</v>
      </c>
      <c r="Z93" s="122">
        <f t="shared" si="31"/>
        <v>4802.2713763345409</v>
      </c>
      <c r="AA93" s="123">
        <f t="shared" si="31"/>
        <v>3989.7808723823396</v>
      </c>
      <c r="AB93" s="123">
        <f t="shared" si="31"/>
        <v>2766.2926011505488</v>
      </c>
      <c r="AC93" s="123">
        <f t="shared" si="31"/>
        <v>2571.6231512212753</v>
      </c>
      <c r="AD93" s="124">
        <f t="shared" si="31"/>
        <v>2541.3013624582818</v>
      </c>
      <c r="AE93" s="122">
        <f t="shared" si="32"/>
        <v>2844.6106878024857</v>
      </c>
      <c r="AF93" s="125">
        <f t="shared" si="32"/>
        <v>3942.1365294848179</v>
      </c>
      <c r="AG93" s="122">
        <f t="shared" si="32"/>
        <v>4757.6132768931748</v>
      </c>
      <c r="AH93" s="123">
        <f t="shared" si="32"/>
        <v>4624.5554411333405</v>
      </c>
      <c r="AI93" s="123">
        <f t="shared" si="32"/>
        <v>3363.0409516260233</v>
      </c>
      <c r="AJ93" s="123">
        <f t="shared" si="32"/>
        <v>5170.5250601163143</v>
      </c>
      <c r="AK93" s="124">
        <f t="shared" si="32"/>
        <v>5319.2426471558101</v>
      </c>
      <c r="AL93" s="122">
        <f t="shared" si="32"/>
        <v>6359.2248904515009</v>
      </c>
      <c r="AM93" s="125">
        <f t="shared" si="32"/>
        <v>7431.4575364046086</v>
      </c>
      <c r="AN93" s="125">
        <f t="shared" si="32"/>
        <v>7796.1587847784376</v>
      </c>
      <c r="AO93" s="125">
        <f t="shared" si="32"/>
        <v>7466.1962207471406</v>
      </c>
      <c r="AP93" s="3">
        <f t="shared" si="26"/>
        <v>112627.71992046252</v>
      </c>
      <c r="AQ93" s="110">
        <f t="shared" si="25"/>
        <v>147000.00000000003</v>
      </c>
    </row>
    <row r="94" spans="1:43" x14ac:dyDescent="0.25">
      <c r="A94" s="118">
        <v>47</v>
      </c>
      <c r="B94" s="4" t="s">
        <v>61</v>
      </c>
      <c r="C94" s="4" t="s">
        <v>311</v>
      </c>
      <c r="D94" s="4" t="s">
        <v>138</v>
      </c>
      <c r="E94" s="4" t="s">
        <v>296</v>
      </c>
      <c r="F94" s="4" t="s">
        <v>128</v>
      </c>
      <c r="G94" s="119">
        <v>45807</v>
      </c>
      <c r="H94" s="4">
        <v>5</v>
      </c>
      <c r="I94" s="4" t="s">
        <v>522</v>
      </c>
      <c r="J94" s="120">
        <v>145000</v>
      </c>
      <c r="K94" s="121">
        <f t="shared" si="30"/>
        <v>7345.6534738770533</v>
      </c>
      <c r="L94" s="122">
        <f t="shared" si="30"/>
        <v>9193.3698885506092</v>
      </c>
      <c r="M94" s="123">
        <f t="shared" si="30"/>
        <v>8410.7415086929741</v>
      </c>
      <c r="N94" s="123">
        <f t="shared" si="30"/>
        <v>4112.32384570452</v>
      </c>
      <c r="O94" s="123">
        <f t="shared" si="30"/>
        <v>3656.600343011577</v>
      </c>
      <c r="P94" s="124">
        <f t="shared" si="30"/>
        <v>3427.7434944671709</v>
      </c>
      <c r="Q94" s="122">
        <f t="shared" si="30"/>
        <v>3460.5631490041806</v>
      </c>
      <c r="R94" s="125">
        <f t="shared" si="30"/>
        <v>4340.2592947683333</v>
      </c>
      <c r="S94" s="122">
        <f t="shared" si="30"/>
        <v>4350</v>
      </c>
      <c r="T94" s="123">
        <f t="shared" si="30"/>
        <v>5347.5594580557499</v>
      </c>
      <c r="U94" s="123">
        <f t="shared" si="31"/>
        <v>3503.6254808172102</v>
      </c>
      <c r="V94" s="123">
        <f t="shared" si="31"/>
        <v>3024.3497225361903</v>
      </c>
      <c r="W94" s="124">
        <f t="shared" si="31"/>
        <v>3075.6733983612444</v>
      </c>
      <c r="X94" s="122">
        <f t="shared" si="31"/>
        <v>3328.8250969918267</v>
      </c>
      <c r="Y94" s="125">
        <f t="shared" si="31"/>
        <v>3707.2387052267318</v>
      </c>
      <c r="Z94" s="122">
        <f t="shared" si="31"/>
        <v>4736.9343508061793</v>
      </c>
      <c r="AA94" s="123">
        <f t="shared" si="31"/>
        <v>3935.498139424757</v>
      </c>
      <c r="AB94" s="123">
        <f t="shared" si="31"/>
        <v>2728.6559671212895</v>
      </c>
      <c r="AC94" s="123">
        <f t="shared" si="31"/>
        <v>2536.6350811366319</v>
      </c>
      <c r="AD94" s="124">
        <f t="shared" si="31"/>
        <v>2506.725833717353</v>
      </c>
      <c r="AE94" s="122">
        <f t="shared" si="32"/>
        <v>2805.9085015738801</v>
      </c>
      <c r="AF94" s="125">
        <f t="shared" si="32"/>
        <v>3888.502018879582</v>
      </c>
      <c r="AG94" s="122">
        <f t="shared" si="32"/>
        <v>4692.8838445544925</v>
      </c>
      <c r="AH94" s="123">
        <f t="shared" si="32"/>
        <v>4561.6363194852674</v>
      </c>
      <c r="AI94" s="123">
        <f t="shared" si="32"/>
        <v>3317.2852924202271</v>
      </c>
      <c r="AJ94" s="123">
        <f t="shared" si="32"/>
        <v>5100.1777803868408</v>
      </c>
      <c r="AK94" s="124">
        <f t="shared" si="32"/>
        <v>5246.8719988951871</v>
      </c>
      <c r="AL94" s="122">
        <f t="shared" si="32"/>
        <v>6272.7048239147462</v>
      </c>
      <c r="AM94" s="125">
        <f t="shared" si="32"/>
        <v>7330.3492706031857</v>
      </c>
      <c r="AN94" s="125">
        <f t="shared" si="32"/>
        <v>7690.0885972304322</v>
      </c>
      <c r="AO94" s="125">
        <f t="shared" si="32"/>
        <v>7364.6153197845942</v>
      </c>
      <c r="AP94" s="3">
        <f t="shared" si="26"/>
        <v>111095.36998957187</v>
      </c>
      <c r="AQ94" s="110">
        <f t="shared" si="25"/>
        <v>145000</v>
      </c>
    </row>
    <row r="95" spans="1:43" x14ac:dyDescent="0.25">
      <c r="A95" s="118">
        <v>74</v>
      </c>
      <c r="B95" s="4" t="s">
        <v>63</v>
      </c>
      <c r="C95" s="4" t="s">
        <v>337</v>
      </c>
      <c r="D95" s="4" t="s">
        <v>152</v>
      </c>
      <c r="E95" s="4" t="s">
        <v>266</v>
      </c>
      <c r="F95" s="4" t="s">
        <v>126</v>
      </c>
      <c r="G95" s="119">
        <v>45867</v>
      </c>
      <c r="H95" s="4">
        <v>4</v>
      </c>
      <c r="I95" s="4" t="s">
        <v>522</v>
      </c>
      <c r="J95" s="120">
        <v>142000</v>
      </c>
      <c r="K95" s="121">
        <f t="shared" ref="K95:T104" si="33">$J95*K$4</f>
        <v>7193.6744364864935</v>
      </c>
      <c r="L95" s="122">
        <f t="shared" si="33"/>
        <v>9003.1622356840453</v>
      </c>
      <c r="M95" s="123">
        <f t="shared" si="33"/>
        <v>8236.7261671338092</v>
      </c>
      <c r="N95" s="123">
        <f t="shared" si="33"/>
        <v>4027.2412833795984</v>
      </c>
      <c r="O95" s="123">
        <f t="shared" si="33"/>
        <v>3580.9465428113376</v>
      </c>
      <c r="P95" s="124">
        <f t="shared" si="33"/>
        <v>3356.8246635471601</v>
      </c>
      <c r="Q95" s="122">
        <f t="shared" si="33"/>
        <v>3388.9652907489217</v>
      </c>
      <c r="R95" s="125">
        <f t="shared" si="33"/>
        <v>4250.4608266007126</v>
      </c>
      <c r="S95" s="122">
        <f t="shared" si="33"/>
        <v>4260</v>
      </c>
      <c r="T95" s="123">
        <f t="shared" si="33"/>
        <v>5236.920296854596</v>
      </c>
      <c r="U95" s="123">
        <f t="shared" ref="U95:AD104" si="34">$J95*U$4</f>
        <v>3431.13667776582</v>
      </c>
      <c r="V95" s="123">
        <f t="shared" si="34"/>
        <v>2961.7769696561309</v>
      </c>
      <c r="W95" s="124">
        <f t="shared" si="34"/>
        <v>3012.0387763261842</v>
      </c>
      <c r="X95" s="122">
        <f t="shared" si="34"/>
        <v>3259.9528536057887</v>
      </c>
      <c r="Y95" s="125">
        <f t="shared" si="34"/>
        <v>3630.5372147737648</v>
      </c>
      <c r="Z95" s="122">
        <f t="shared" si="34"/>
        <v>4638.9288125136381</v>
      </c>
      <c r="AA95" s="123">
        <f t="shared" si="34"/>
        <v>3854.0740399883825</v>
      </c>
      <c r="AB95" s="123">
        <f t="shared" si="34"/>
        <v>2672.2010160774007</v>
      </c>
      <c r="AC95" s="123">
        <f t="shared" si="34"/>
        <v>2484.1529760096669</v>
      </c>
      <c r="AD95" s="124">
        <f t="shared" si="34"/>
        <v>2454.8625406059596</v>
      </c>
      <c r="AE95" s="122">
        <f t="shared" ref="AE95:AO104" si="35">$J95*AE$4</f>
        <v>2747.8552222309722</v>
      </c>
      <c r="AF95" s="125">
        <f t="shared" si="35"/>
        <v>3808.0502529717287</v>
      </c>
      <c r="AG95" s="122">
        <f t="shared" si="35"/>
        <v>4595.7896960464686</v>
      </c>
      <c r="AH95" s="123">
        <f t="shared" si="35"/>
        <v>4467.2576370131592</v>
      </c>
      <c r="AI95" s="123">
        <f t="shared" si="35"/>
        <v>3248.6518036115331</v>
      </c>
      <c r="AJ95" s="123">
        <f t="shared" si="35"/>
        <v>4994.6568607926301</v>
      </c>
      <c r="AK95" s="124">
        <f t="shared" si="35"/>
        <v>5138.3160265042525</v>
      </c>
      <c r="AL95" s="122">
        <f t="shared" si="35"/>
        <v>6142.9247241096136</v>
      </c>
      <c r="AM95" s="125">
        <f t="shared" si="35"/>
        <v>7178.6868719010508</v>
      </c>
      <c r="AN95" s="125">
        <f t="shared" si="35"/>
        <v>7530.9833159084228</v>
      </c>
      <c r="AO95" s="125">
        <f t="shared" si="35"/>
        <v>7212.2439683407747</v>
      </c>
      <c r="AP95" s="3">
        <f t="shared" si="26"/>
        <v>108796.84509323587</v>
      </c>
      <c r="AQ95" s="110">
        <f t="shared" si="25"/>
        <v>141999.99999999997</v>
      </c>
    </row>
    <row r="96" spans="1:43" x14ac:dyDescent="0.25">
      <c r="A96" s="118">
        <v>95</v>
      </c>
      <c r="B96" s="4" t="s">
        <v>44</v>
      </c>
      <c r="C96" s="4" t="s">
        <v>359</v>
      </c>
      <c r="D96" s="4" t="s">
        <v>145</v>
      </c>
      <c r="E96" s="4" t="s">
        <v>343</v>
      </c>
      <c r="F96" s="4" t="s">
        <v>127</v>
      </c>
      <c r="G96" s="119">
        <v>45723</v>
      </c>
      <c r="H96" s="4">
        <v>4</v>
      </c>
      <c r="I96" s="4" t="s">
        <v>522</v>
      </c>
      <c r="J96" s="120">
        <v>142000</v>
      </c>
      <c r="K96" s="121">
        <f t="shared" si="33"/>
        <v>7193.6744364864935</v>
      </c>
      <c r="L96" s="122">
        <f t="shared" si="33"/>
        <v>9003.1622356840453</v>
      </c>
      <c r="M96" s="123">
        <f t="shared" si="33"/>
        <v>8236.7261671338092</v>
      </c>
      <c r="N96" s="123">
        <f t="shared" si="33"/>
        <v>4027.2412833795984</v>
      </c>
      <c r="O96" s="123">
        <f t="shared" si="33"/>
        <v>3580.9465428113376</v>
      </c>
      <c r="P96" s="124">
        <f t="shared" si="33"/>
        <v>3356.8246635471601</v>
      </c>
      <c r="Q96" s="122">
        <f t="shared" si="33"/>
        <v>3388.9652907489217</v>
      </c>
      <c r="R96" s="125">
        <f t="shared" si="33"/>
        <v>4250.4608266007126</v>
      </c>
      <c r="S96" s="122">
        <f t="shared" si="33"/>
        <v>4260</v>
      </c>
      <c r="T96" s="123">
        <f t="shared" si="33"/>
        <v>5236.920296854596</v>
      </c>
      <c r="U96" s="123">
        <f t="shared" si="34"/>
        <v>3431.13667776582</v>
      </c>
      <c r="V96" s="123">
        <f t="shared" si="34"/>
        <v>2961.7769696561309</v>
      </c>
      <c r="W96" s="124">
        <f t="shared" si="34"/>
        <v>3012.0387763261842</v>
      </c>
      <c r="X96" s="122">
        <f t="shared" si="34"/>
        <v>3259.9528536057887</v>
      </c>
      <c r="Y96" s="125">
        <f t="shared" si="34"/>
        <v>3630.5372147737648</v>
      </c>
      <c r="Z96" s="122">
        <f t="shared" si="34"/>
        <v>4638.9288125136381</v>
      </c>
      <c r="AA96" s="123">
        <f t="shared" si="34"/>
        <v>3854.0740399883825</v>
      </c>
      <c r="AB96" s="123">
        <f t="shared" si="34"/>
        <v>2672.2010160774007</v>
      </c>
      <c r="AC96" s="123">
        <f t="shared" si="34"/>
        <v>2484.1529760096669</v>
      </c>
      <c r="AD96" s="124">
        <f t="shared" si="34"/>
        <v>2454.8625406059596</v>
      </c>
      <c r="AE96" s="122">
        <f t="shared" si="35"/>
        <v>2747.8552222309722</v>
      </c>
      <c r="AF96" s="125">
        <f t="shared" si="35"/>
        <v>3808.0502529717287</v>
      </c>
      <c r="AG96" s="122">
        <f t="shared" si="35"/>
        <v>4595.7896960464686</v>
      </c>
      <c r="AH96" s="123">
        <f t="shared" si="35"/>
        <v>4467.2576370131592</v>
      </c>
      <c r="AI96" s="123">
        <f t="shared" si="35"/>
        <v>3248.6518036115331</v>
      </c>
      <c r="AJ96" s="123">
        <f t="shared" si="35"/>
        <v>4994.6568607926301</v>
      </c>
      <c r="AK96" s="124">
        <f t="shared" si="35"/>
        <v>5138.3160265042525</v>
      </c>
      <c r="AL96" s="122">
        <f t="shared" si="35"/>
        <v>6142.9247241096136</v>
      </c>
      <c r="AM96" s="125">
        <f t="shared" si="35"/>
        <v>7178.6868719010508</v>
      </c>
      <c r="AN96" s="125">
        <f t="shared" si="35"/>
        <v>7530.9833159084228</v>
      </c>
      <c r="AO96" s="125">
        <f t="shared" si="35"/>
        <v>7212.2439683407747</v>
      </c>
      <c r="AP96" s="3">
        <f t="shared" si="26"/>
        <v>108796.84509323587</v>
      </c>
      <c r="AQ96" s="110">
        <f t="shared" si="25"/>
        <v>141999.99999999997</v>
      </c>
    </row>
    <row r="97" spans="1:45" x14ac:dyDescent="0.25">
      <c r="A97" s="118">
        <v>70</v>
      </c>
      <c r="B97" s="4" t="s">
        <v>66</v>
      </c>
      <c r="C97" s="4" t="s">
        <v>333</v>
      </c>
      <c r="D97" s="4" t="s">
        <v>139</v>
      </c>
      <c r="E97" s="4" t="s">
        <v>296</v>
      </c>
      <c r="F97" s="4" t="s">
        <v>130</v>
      </c>
      <c r="G97" s="119">
        <v>45872</v>
      </c>
      <c r="H97" s="4">
        <v>4</v>
      </c>
      <c r="I97" s="4" t="s">
        <v>522</v>
      </c>
      <c r="J97" s="120">
        <v>140000</v>
      </c>
      <c r="K97" s="121">
        <f t="shared" si="33"/>
        <v>7092.3550782261209</v>
      </c>
      <c r="L97" s="122">
        <f t="shared" si="33"/>
        <v>8876.3571337730027</v>
      </c>
      <c r="M97" s="123">
        <f t="shared" si="33"/>
        <v>8120.7159394276987</v>
      </c>
      <c r="N97" s="123">
        <f t="shared" si="33"/>
        <v>3970.5195751629844</v>
      </c>
      <c r="O97" s="123">
        <f t="shared" si="33"/>
        <v>3530.510676011178</v>
      </c>
      <c r="P97" s="124">
        <f t="shared" si="33"/>
        <v>3309.5454429338201</v>
      </c>
      <c r="Q97" s="122">
        <f t="shared" si="33"/>
        <v>3341.2333852454158</v>
      </c>
      <c r="R97" s="125">
        <f t="shared" si="33"/>
        <v>4190.5951811556315</v>
      </c>
      <c r="S97" s="122">
        <f t="shared" si="33"/>
        <v>4200</v>
      </c>
      <c r="T97" s="123">
        <f t="shared" si="33"/>
        <v>5163.160856053827</v>
      </c>
      <c r="U97" s="123">
        <f t="shared" si="34"/>
        <v>3382.810809064893</v>
      </c>
      <c r="V97" s="123">
        <f t="shared" si="34"/>
        <v>2920.0618010694247</v>
      </c>
      <c r="W97" s="124">
        <f t="shared" si="34"/>
        <v>2969.6156949694773</v>
      </c>
      <c r="X97" s="122">
        <f t="shared" si="34"/>
        <v>3214.0380246817635</v>
      </c>
      <c r="Y97" s="125">
        <f t="shared" si="34"/>
        <v>3579.4028878051204</v>
      </c>
      <c r="Z97" s="122">
        <f t="shared" si="34"/>
        <v>4573.5917869852765</v>
      </c>
      <c r="AA97" s="123">
        <f t="shared" si="34"/>
        <v>3799.7913070307995</v>
      </c>
      <c r="AB97" s="123">
        <f t="shared" si="34"/>
        <v>2634.5643820481419</v>
      </c>
      <c r="AC97" s="123">
        <f t="shared" si="34"/>
        <v>2449.164905925024</v>
      </c>
      <c r="AD97" s="124">
        <f t="shared" si="34"/>
        <v>2420.2870118650303</v>
      </c>
      <c r="AE97" s="122">
        <f t="shared" si="35"/>
        <v>2709.1530360023671</v>
      </c>
      <c r="AF97" s="125">
        <f t="shared" si="35"/>
        <v>3754.4157423664929</v>
      </c>
      <c r="AG97" s="122">
        <f t="shared" si="35"/>
        <v>4531.0602637077855</v>
      </c>
      <c r="AH97" s="123">
        <f t="shared" si="35"/>
        <v>4404.3385153650861</v>
      </c>
      <c r="AI97" s="123">
        <f t="shared" si="35"/>
        <v>3202.8961444057368</v>
      </c>
      <c r="AJ97" s="123">
        <f t="shared" si="35"/>
        <v>4924.3095810631567</v>
      </c>
      <c r="AK97" s="124">
        <f t="shared" si="35"/>
        <v>5065.9453782436285</v>
      </c>
      <c r="AL97" s="122">
        <f t="shared" si="35"/>
        <v>6056.404657572858</v>
      </c>
      <c r="AM97" s="125">
        <f t="shared" si="35"/>
        <v>7077.5786060996279</v>
      </c>
      <c r="AN97" s="125">
        <f t="shared" si="35"/>
        <v>7424.9131283604165</v>
      </c>
      <c r="AO97" s="125">
        <f t="shared" si="35"/>
        <v>7110.6630673782292</v>
      </c>
      <c r="AP97" s="3">
        <f t="shared" si="26"/>
        <v>107264.49516234524</v>
      </c>
      <c r="AQ97" s="110">
        <f t="shared" si="25"/>
        <v>140000</v>
      </c>
    </row>
    <row r="98" spans="1:45" x14ac:dyDescent="0.25">
      <c r="A98" s="118">
        <v>59</v>
      </c>
      <c r="B98" s="4" t="s">
        <v>115</v>
      </c>
      <c r="C98" s="4" t="s">
        <v>322</v>
      </c>
      <c r="D98" s="4" t="s">
        <v>142</v>
      </c>
      <c r="E98" s="4" t="s">
        <v>270</v>
      </c>
      <c r="F98" s="4" t="s">
        <v>132</v>
      </c>
      <c r="G98" s="119">
        <v>46239</v>
      </c>
      <c r="H98" s="4">
        <v>2</v>
      </c>
      <c r="I98" s="4" t="s">
        <v>522</v>
      </c>
      <c r="J98" s="120">
        <v>136000</v>
      </c>
      <c r="K98" s="121">
        <f t="shared" si="33"/>
        <v>6889.7163617053748</v>
      </c>
      <c r="L98" s="122">
        <f t="shared" si="33"/>
        <v>8622.7469299509157</v>
      </c>
      <c r="M98" s="123">
        <f t="shared" si="33"/>
        <v>7888.6954840154785</v>
      </c>
      <c r="N98" s="123">
        <f t="shared" si="33"/>
        <v>3857.0761587297561</v>
      </c>
      <c r="O98" s="123">
        <f t="shared" si="33"/>
        <v>3429.6389424108584</v>
      </c>
      <c r="P98" s="124">
        <f t="shared" si="33"/>
        <v>3214.9870017071394</v>
      </c>
      <c r="Q98" s="122">
        <f t="shared" si="33"/>
        <v>3245.7695742384035</v>
      </c>
      <c r="R98" s="125">
        <f t="shared" si="33"/>
        <v>4070.8638902654707</v>
      </c>
      <c r="S98" s="122">
        <f t="shared" si="33"/>
        <v>4080</v>
      </c>
      <c r="T98" s="123">
        <f t="shared" si="33"/>
        <v>5015.6419744522891</v>
      </c>
      <c r="U98" s="123">
        <f t="shared" si="34"/>
        <v>3286.1590716630385</v>
      </c>
      <c r="V98" s="123">
        <f t="shared" si="34"/>
        <v>2836.6314638960125</v>
      </c>
      <c r="W98" s="124">
        <f t="shared" si="34"/>
        <v>2884.7695322560635</v>
      </c>
      <c r="X98" s="122">
        <f t="shared" si="34"/>
        <v>3122.2083668337132</v>
      </c>
      <c r="Y98" s="125">
        <f t="shared" si="34"/>
        <v>3477.134233867831</v>
      </c>
      <c r="Z98" s="122">
        <f t="shared" si="34"/>
        <v>4442.917735928555</v>
      </c>
      <c r="AA98" s="123">
        <f t="shared" si="34"/>
        <v>3691.225841115634</v>
      </c>
      <c r="AB98" s="123">
        <f t="shared" si="34"/>
        <v>2559.2911139896232</v>
      </c>
      <c r="AC98" s="123">
        <f t="shared" si="34"/>
        <v>2379.1887657557377</v>
      </c>
      <c r="AD98" s="124">
        <f t="shared" si="34"/>
        <v>2351.1359543831722</v>
      </c>
      <c r="AE98" s="122">
        <f t="shared" si="35"/>
        <v>2631.7486635451569</v>
      </c>
      <c r="AF98" s="125">
        <f t="shared" si="35"/>
        <v>3647.1467211560216</v>
      </c>
      <c r="AG98" s="122">
        <f t="shared" si="35"/>
        <v>4401.6013990304209</v>
      </c>
      <c r="AH98" s="123">
        <f t="shared" si="35"/>
        <v>4278.5002720689408</v>
      </c>
      <c r="AI98" s="123">
        <f t="shared" si="35"/>
        <v>3111.3848259941442</v>
      </c>
      <c r="AJ98" s="123">
        <f t="shared" si="35"/>
        <v>4783.6150216042088</v>
      </c>
      <c r="AK98" s="124">
        <f t="shared" si="35"/>
        <v>4921.2040817223824</v>
      </c>
      <c r="AL98" s="122">
        <f t="shared" si="35"/>
        <v>5883.3645244993477</v>
      </c>
      <c r="AM98" s="125">
        <f t="shared" si="35"/>
        <v>6875.3620744967811</v>
      </c>
      <c r="AN98" s="125">
        <f t="shared" si="35"/>
        <v>7212.7727532644049</v>
      </c>
      <c r="AO98" s="125">
        <f t="shared" si="35"/>
        <v>6907.5012654531365</v>
      </c>
      <c r="AP98" s="3">
        <f t="shared" si="26"/>
        <v>104199.79530056397</v>
      </c>
      <c r="AQ98" s="110">
        <f t="shared" si="25"/>
        <v>136000.00000000003</v>
      </c>
    </row>
    <row r="99" spans="1:45" x14ac:dyDescent="0.25">
      <c r="A99" s="118">
        <v>10</v>
      </c>
      <c r="B99" s="4" t="s">
        <v>86</v>
      </c>
      <c r="C99" s="4" t="s">
        <v>272</v>
      </c>
      <c r="D99" s="4" t="s">
        <v>142</v>
      </c>
      <c r="E99" s="4" t="s">
        <v>270</v>
      </c>
      <c r="F99" s="4" t="s">
        <v>132</v>
      </c>
      <c r="G99" s="119">
        <v>45921</v>
      </c>
      <c r="H99" s="4">
        <v>5</v>
      </c>
      <c r="I99" s="4" t="s">
        <v>522</v>
      </c>
      <c r="J99" s="120">
        <v>135000</v>
      </c>
      <c r="K99" s="121">
        <f t="shared" si="33"/>
        <v>6839.0566825751876</v>
      </c>
      <c r="L99" s="122">
        <f t="shared" si="33"/>
        <v>8559.3443789953944</v>
      </c>
      <c r="M99" s="123">
        <f t="shared" si="33"/>
        <v>7830.6903701624242</v>
      </c>
      <c r="N99" s="123">
        <f t="shared" si="33"/>
        <v>3828.7153046214494</v>
      </c>
      <c r="O99" s="123">
        <f t="shared" si="33"/>
        <v>3404.4210090107786</v>
      </c>
      <c r="P99" s="124">
        <f t="shared" si="33"/>
        <v>3191.3473914004694</v>
      </c>
      <c r="Q99" s="122">
        <f t="shared" si="33"/>
        <v>3221.9036214866505</v>
      </c>
      <c r="R99" s="125">
        <f t="shared" si="33"/>
        <v>4040.9310675429306</v>
      </c>
      <c r="S99" s="122">
        <f t="shared" si="33"/>
        <v>4050</v>
      </c>
      <c r="T99" s="123">
        <f t="shared" si="33"/>
        <v>4978.7622540519051</v>
      </c>
      <c r="U99" s="123">
        <f t="shared" si="34"/>
        <v>3261.9961373125752</v>
      </c>
      <c r="V99" s="123">
        <f t="shared" si="34"/>
        <v>2815.7738796026597</v>
      </c>
      <c r="W99" s="124">
        <f t="shared" si="34"/>
        <v>2863.5579915777103</v>
      </c>
      <c r="X99" s="122">
        <f t="shared" si="34"/>
        <v>3099.2509523717008</v>
      </c>
      <c r="Y99" s="125">
        <f t="shared" si="34"/>
        <v>3451.567070383509</v>
      </c>
      <c r="Z99" s="122">
        <f t="shared" si="34"/>
        <v>4410.2492231643737</v>
      </c>
      <c r="AA99" s="123">
        <f t="shared" si="34"/>
        <v>3664.0844746368425</v>
      </c>
      <c r="AB99" s="123">
        <f t="shared" si="34"/>
        <v>2540.4727969749938</v>
      </c>
      <c r="AC99" s="123">
        <f t="shared" si="34"/>
        <v>2361.694730713416</v>
      </c>
      <c r="AD99" s="124">
        <f t="shared" si="34"/>
        <v>2333.8481900127081</v>
      </c>
      <c r="AE99" s="122">
        <f t="shared" si="35"/>
        <v>2612.3975704308541</v>
      </c>
      <c r="AF99" s="125">
        <f t="shared" si="35"/>
        <v>3620.3294658534041</v>
      </c>
      <c r="AG99" s="122">
        <f t="shared" si="35"/>
        <v>4369.2366828610793</v>
      </c>
      <c r="AH99" s="123">
        <f t="shared" si="35"/>
        <v>4247.0407112449047</v>
      </c>
      <c r="AI99" s="123">
        <f t="shared" si="35"/>
        <v>3088.506996391246</v>
      </c>
      <c r="AJ99" s="123">
        <f t="shared" si="35"/>
        <v>4748.4413817394725</v>
      </c>
      <c r="AK99" s="124">
        <f t="shared" si="35"/>
        <v>4885.0187575920709</v>
      </c>
      <c r="AL99" s="122">
        <f t="shared" si="35"/>
        <v>5840.1044912309708</v>
      </c>
      <c r="AM99" s="125">
        <f t="shared" si="35"/>
        <v>6824.8079415960692</v>
      </c>
      <c r="AN99" s="125">
        <f t="shared" si="35"/>
        <v>7159.7376594904017</v>
      </c>
      <c r="AO99" s="125">
        <f t="shared" si="35"/>
        <v>6856.7108149718633</v>
      </c>
      <c r="AP99" s="3">
        <f t="shared" si="26"/>
        <v>103433.62033511861</v>
      </c>
      <c r="AQ99" s="110">
        <f t="shared" si="25"/>
        <v>135000</v>
      </c>
    </row>
    <row r="100" spans="1:45" x14ac:dyDescent="0.25">
      <c r="A100" s="118">
        <v>21</v>
      </c>
      <c r="B100" s="4" t="s">
        <v>102</v>
      </c>
      <c r="C100" s="4" t="s">
        <v>284</v>
      </c>
      <c r="D100" s="4" t="s">
        <v>156</v>
      </c>
      <c r="E100" s="4" t="s">
        <v>285</v>
      </c>
      <c r="F100" s="4" t="s">
        <v>131</v>
      </c>
      <c r="G100" s="119">
        <v>46033</v>
      </c>
      <c r="H100" s="4">
        <v>4</v>
      </c>
      <c r="I100" s="4" t="s">
        <v>522</v>
      </c>
      <c r="J100" s="120">
        <v>135000</v>
      </c>
      <c r="K100" s="121">
        <f t="shared" si="33"/>
        <v>6839.0566825751876</v>
      </c>
      <c r="L100" s="122">
        <f t="shared" si="33"/>
        <v>8559.3443789953944</v>
      </c>
      <c r="M100" s="123">
        <f t="shared" si="33"/>
        <v>7830.6903701624242</v>
      </c>
      <c r="N100" s="123">
        <f t="shared" si="33"/>
        <v>3828.7153046214494</v>
      </c>
      <c r="O100" s="123">
        <f t="shared" si="33"/>
        <v>3404.4210090107786</v>
      </c>
      <c r="P100" s="124">
        <f t="shared" si="33"/>
        <v>3191.3473914004694</v>
      </c>
      <c r="Q100" s="122">
        <f t="shared" si="33"/>
        <v>3221.9036214866505</v>
      </c>
      <c r="R100" s="125">
        <f t="shared" si="33"/>
        <v>4040.9310675429306</v>
      </c>
      <c r="S100" s="122">
        <f t="shared" si="33"/>
        <v>4050</v>
      </c>
      <c r="T100" s="123">
        <f t="shared" si="33"/>
        <v>4978.7622540519051</v>
      </c>
      <c r="U100" s="123">
        <f t="shared" si="34"/>
        <v>3261.9961373125752</v>
      </c>
      <c r="V100" s="123">
        <f t="shared" si="34"/>
        <v>2815.7738796026597</v>
      </c>
      <c r="W100" s="124">
        <f t="shared" si="34"/>
        <v>2863.5579915777103</v>
      </c>
      <c r="X100" s="122">
        <f t="shared" si="34"/>
        <v>3099.2509523717008</v>
      </c>
      <c r="Y100" s="125">
        <f t="shared" si="34"/>
        <v>3451.567070383509</v>
      </c>
      <c r="Z100" s="122">
        <f t="shared" si="34"/>
        <v>4410.2492231643737</v>
      </c>
      <c r="AA100" s="123">
        <f t="shared" si="34"/>
        <v>3664.0844746368425</v>
      </c>
      <c r="AB100" s="123">
        <f t="shared" si="34"/>
        <v>2540.4727969749938</v>
      </c>
      <c r="AC100" s="123">
        <f t="shared" si="34"/>
        <v>2361.694730713416</v>
      </c>
      <c r="AD100" s="124">
        <f t="shared" si="34"/>
        <v>2333.8481900127081</v>
      </c>
      <c r="AE100" s="122">
        <f t="shared" si="35"/>
        <v>2612.3975704308541</v>
      </c>
      <c r="AF100" s="125">
        <f t="shared" si="35"/>
        <v>3620.3294658534041</v>
      </c>
      <c r="AG100" s="122">
        <f t="shared" si="35"/>
        <v>4369.2366828610793</v>
      </c>
      <c r="AH100" s="123">
        <f t="shared" si="35"/>
        <v>4247.0407112449047</v>
      </c>
      <c r="AI100" s="123">
        <f t="shared" si="35"/>
        <v>3088.506996391246</v>
      </c>
      <c r="AJ100" s="123">
        <f t="shared" si="35"/>
        <v>4748.4413817394725</v>
      </c>
      <c r="AK100" s="124">
        <f t="shared" si="35"/>
        <v>4885.0187575920709</v>
      </c>
      <c r="AL100" s="122">
        <f t="shared" si="35"/>
        <v>5840.1044912309708</v>
      </c>
      <c r="AM100" s="125">
        <f t="shared" si="35"/>
        <v>6824.8079415960692</v>
      </c>
      <c r="AN100" s="125">
        <f t="shared" si="35"/>
        <v>7159.7376594904017</v>
      </c>
      <c r="AO100" s="125">
        <f t="shared" si="35"/>
        <v>6856.7108149718633</v>
      </c>
      <c r="AP100" s="3">
        <f t="shared" si="26"/>
        <v>103433.62033511861</v>
      </c>
      <c r="AQ100" s="110">
        <f t="shared" si="25"/>
        <v>135000</v>
      </c>
    </row>
    <row r="101" spans="1:45" x14ac:dyDescent="0.25">
      <c r="A101" s="118">
        <v>8</v>
      </c>
      <c r="B101" s="4" t="s">
        <v>91</v>
      </c>
      <c r="C101" s="4" t="s">
        <v>269</v>
      </c>
      <c r="D101" s="4" t="s">
        <v>142</v>
      </c>
      <c r="E101" s="4" t="s">
        <v>270</v>
      </c>
      <c r="F101" s="4" t="s">
        <v>132</v>
      </c>
      <c r="G101" s="119">
        <v>46013</v>
      </c>
      <c r="H101" s="4">
        <v>3</v>
      </c>
      <c r="I101" s="4" t="s">
        <v>522</v>
      </c>
      <c r="J101" s="120">
        <v>133000</v>
      </c>
      <c r="K101" s="121">
        <f t="shared" si="33"/>
        <v>6737.7373243148149</v>
      </c>
      <c r="L101" s="122">
        <f t="shared" si="33"/>
        <v>8432.5392770843519</v>
      </c>
      <c r="M101" s="123">
        <f t="shared" si="33"/>
        <v>7714.6801424563137</v>
      </c>
      <c r="N101" s="123">
        <f t="shared" si="33"/>
        <v>3771.993596404835</v>
      </c>
      <c r="O101" s="123">
        <f t="shared" si="33"/>
        <v>3353.985142210619</v>
      </c>
      <c r="P101" s="124">
        <f t="shared" si="33"/>
        <v>3144.068170787129</v>
      </c>
      <c r="Q101" s="122">
        <f t="shared" si="33"/>
        <v>3174.1717159831446</v>
      </c>
      <c r="R101" s="125">
        <f t="shared" si="33"/>
        <v>3981.0654220978504</v>
      </c>
      <c r="S101" s="122">
        <f t="shared" si="33"/>
        <v>3990</v>
      </c>
      <c r="T101" s="123">
        <f t="shared" si="33"/>
        <v>4905.0028132511361</v>
      </c>
      <c r="U101" s="123">
        <f t="shared" si="34"/>
        <v>3213.6702686116482</v>
      </c>
      <c r="V101" s="123">
        <f t="shared" si="34"/>
        <v>2774.0587110159536</v>
      </c>
      <c r="W101" s="124">
        <f t="shared" si="34"/>
        <v>2821.1349102210033</v>
      </c>
      <c r="X101" s="122">
        <f t="shared" si="34"/>
        <v>3053.3361234476756</v>
      </c>
      <c r="Y101" s="125">
        <f t="shared" si="34"/>
        <v>3400.432743414864</v>
      </c>
      <c r="Z101" s="122">
        <f t="shared" si="34"/>
        <v>4344.9121976360129</v>
      </c>
      <c r="AA101" s="123">
        <f t="shared" si="34"/>
        <v>3609.80174167926</v>
      </c>
      <c r="AB101" s="123">
        <f t="shared" si="34"/>
        <v>2502.8361629457345</v>
      </c>
      <c r="AC101" s="123">
        <f t="shared" si="34"/>
        <v>2326.7066606287726</v>
      </c>
      <c r="AD101" s="124">
        <f t="shared" si="34"/>
        <v>2299.2726612717788</v>
      </c>
      <c r="AE101" s="122">
        <f t="shared" si="35"/>
        <v>2573.695384202249</v>
      </c>
      <c r="AF101" s="125">
        <f t="shared" si="35"/>
        <v>3566.6949552481683</v>
      </c>
      <c r="AG101" s="122">
        <f t="shared" si="35"/>
        <v>4304.5072505223961</v>
      </c>
      <c r="AH101" s="123">
        <f t="shared" si="35"/>
        <v>4184.1215895968317</v>
      </c>
      <c r="AI101" s="123">
        <f t="shared" si="35"/>
        <v>3042.7513371854498</v>
      </c>
      <c r="AJ101" s="123">
        <f t="shared" si="35"/>
        <v>4678.0941020099981</v>
      </c>
      <c r="AK101" s="124">
        <f t="shared" si="35"/>
        <v>4812.6481093314478</v>
      </c>
      <c r="AL101" s="122">
        <f t="shared" si="35"/>
        <v>5753.5844246942152</v>
      </c>
      <c r="AM101" s="125">
        <f t="shared" si="35"/>
        <v>6723.6996757946463</v>
      </c>
      <c r="AN101" s="125">
        <f t="shared" si="35"/>
        <v>7053.6674719423963</v>
      </c>
      <c r="AO101" s="125">
        <f t="shared" si="35"/>
        <v>6755.1299140093179</v>
      </c>
      <c r="AP101" s="3">
        <f t="shared" si="26"/>
        <v>101901.27040422799</v>
      </c>
      <c r="AQ101" s="110">
        <f t="shared" ref="AQ101:AQ116" si="36">SUM(K101:AO101)</f>
        <v>133000</v>
      </c>
    </row>
    <row r="102" spans="1:45" x14ac:dyDescent="0.25">
      <c r="A102" s="118">
        <v>54</v>
      </c>
      <c r="B102" s="4" t="s">
        <v>65</v>
      </c>
      <c r="C102" s="4" t="s">
        <v>317</v>
      </c>
      <c r="D102" s="4" t="s">
        <v>148</v>
      </c>
      <c r="E102" s="4" t="s">
        <v>266</v>
      </c>
      <c r="F102" s="4" t="s">
        <v>126</v>
      </c>
      <c r="G102" s="119">
        <v>45851</v>
      </c>
      <c r="H102" s="4">
        <v>4</v>
      </c>
      <c r="I102" s="4" t="s">
        <v>522</v>
      </c>
      <c r="J102" s="120">
        <v>132000</v>
      </c>
      <c r="K102" s="121">
        <f t="shared" si="33"/>
        <v>6687.0776451846277</v>
      </c>
      <c r="L102" s="122">
        <f t="shared" si="33"/>
        <v>8369.1367261288306</v>
      </c>
      <c r="M102" s="123">
        <f t="shared" si="33"/>
        <v>7656.6750286032593</v>
      </c>
      <c r="N102" s="123">
        <f t="shared" si="33"/>
        <v>3743.6327422965282</v>
      </c>
      <c r="O102" s="123">
        <f t="shared" si="33"/>
        <v>3328.7672088105392</v>
      </c>
      <c r="P102" s="124">
        <f t="shared" si="33"/>
        <v>3120.4285604804586</v>
      </c>
      <c r="Q102" s="122">
        <f t="shared" si="33"/>
        <v>3150.3057632313917</v>
      </c>
      <c r="R102" s="125">
        <f t="shared" si="33"/>
        <v>3951.1325993753098</v>
      </c>
      <c r="S102" s="122">
        <f t="shared" si="33"/>
        <v>3960</v>
      </c>
      <c r="T102" s="123">
        <f t="shared" si="33"/>
        <v>4868.1230928507512</v>
      </c>
      <c r="U102" s="123">
        <f t="shared" si="34"/>
        <v>3189.5073342611845</v>
      </c>
      <c r="V102" s="123">
        <f t="shared" si="34"/>
        <v>2753.2011267226007</v>
      </c>
      <c r="W102" s="124">
        <f t="shared" si="34"/>
        <v>2799.9233695426501</v>
      </c>
      <c r="X102" s="122">
        <f t="shared" si="34"/>
        <v>3030.3787089856628</v>
      </c>
      <c r="Y102" s="125">
        <f t="shared" si="34"/>
        <v>3374.865579930542</v>
      </c>
      <c r="Z102" s="122">
        <f t="shared" si="34"/>
        <v>4312.2436848718326</v>
      </c>
      <c r="AA102" s="123">
        <f t="shared" si="34"/>
        <v>3582.6603752004685</v>
      </c>
      <c r="AB102" s="123">
        <f t="shared" si="34"/>
        <v>2484.0178459311051</v>
      </c>
      <c r="AC102" s="123">
        <f t="shared" si="34"/>
        <v>2309.2126255864509</v>
      </c>
      <c r="AD102" s="124">
        <f t="shared" si="34"/>
        <v>2281.9848969013146</v>
      </c>
      <c r="AE102" s="122">
        <f t="shared" si="35"/>
        <v>2554.3442910879462</v>
      </c>
      <c r="AF102" s="125">
        <f t="shared" si="35"/>
        <v>3539.8776999455504</v>
      </c>
      <c r="AG102" s="122">
        <f t="shared" si="35"/>
        <v>4272.1425343530555</v>
      </c>
      <c r="AH102" s="123">
        <f t="shared" si="35"/>
        <v>4152.6620287727956</v>
      </c>
      <c r="AI102" s="123">
        <f t="shared" si="35"/>
        <v>3019.8735075825516</v>
      </c>
      <c r="AJ102" s="123">
        <f t="shared" si="35"/>
        <v>4642.9204621452618</v>
      </c>
      <c r="AK102" s="124">
        <f t="shared" si="35"/>
        <v>4776.4627852011354</v>
      </c>
      <c r="AL102" s="122">
        <f t="shared" si="35"/>
        <v>5710.3243914258383</v>
      </c>
      <c r="AM102" s="125">
        <f t="shared" si="35"/>
        <v>6673.1455428939344</v>
      </c>
      <c r="AN102" s="125">
        <f t="shared" si="35"/>
        <v>7000.6323781683932</v>
      </c>
      <c r="AO102" s="125">
        <f t="shared" si="35"/>
        <v>6704.3394635280447</v>
      </c>
      <c r="AP102" s="3">
        <f t="shared" si="26"/>
        <v>101135.09543878269</v>
      </c>
      <c r="AQ102" s="110">
        <f t="shared" si="36"/>
        <v>132000.00000000003</v>
      </c>
    </row>
    <row r="103" spans="1:45" x14ac:dyDescent="0.25">
      <c r="A103" s="118">
        <v>62</v>
      </c>
      <c r="B103" s="4" t="s">
        <v>93</v>
      </c>
      <c r="C103" s="4" t="s">
        <v>325</v>
      </c>
      <c r="D103" s="4" t="s">
        <v>139</v>
      </c>
      <c r="E103" s="4" t="s">
        <v>296</v>
      </c>
      <c r="F103" s="4" t="s">
        <v>130</v>
      </c>
      <c r="G103" s="119">
        <v>45951</v>
      </c>
      <c r="H103" s="4">
        <v>4</v>
      </c>
      <c r="I103" s="4" t="s">
        <v>522</v>
      </c>
      <c r="J103" s="120">
        <v>130000</v>
      </c>
      <c r="K103" s="121">
        <f t="shared" si="33"/>
        <v>6585.7582869242551</v>
      </c>
      <c r="L103" s="122">
        <f t="shared" si="33"/>
        <v>8242.331624217788</v>
      </c>
      <c r="M103" s="123">
        <f t="shared" si="33"/>
        <v>7540.6648008971488</v>
      </c>
      <c r="N103" s="123">
        <f t="shared" si="33"/>
        <v>3686.9110340799139</v>
      </c>
      <c r="O103" s="123">
        <f t="shared" si="33"/>
        <v>3278.3313420103796</v>
      </c>
      <c r="P103" s="124">
        <f t="shared" si="33"/>
        <v>3073.1493398671187</v>
      </c>
      <c r="Q103" s="122">
        <f t="shared" si="33"/>
        <v>3102.5738577278858</v>
      </c>
      <c r="R103" s="125">
        <f t="shared" si="33"/>
        <v>3891.2669539302296</v>
      </c>
      <c r="S103" s="122">
        <f t="shared" si="33"/>
        <v>3900</v>
      </c>
      <c r="T103" s="123">
        <f t="shared" si="33"/>
        <v>4794.3636520499822</v>
      </c>
      <c r="U103" s="123">
        <f t="shared" si="34"/>
        <v>3141.1814655602575</v>
      </c>
      <c r="V103" s="123">
        <f t="shared" si="34"/>
        <v>2711.4859581358946</v>
      </c>
      <c r="W103" s="124">
        <f t="shared" si="34"/>
        <v>2757.5002881859432</v>
      </c>
      <c r="X103" s="122">
        <f t="shared" si="34"/>
        <v>2984.4638800616376</v>
      </c>
      <c r="Y103" s="125">
        <f t="shared" si="34"/>
        <v>3323.7312529618976</v>
      </c>
      <c r="Z103" s="122">
        <f t="shared" si="34"/>
        <v>4246.9066593434718</v>
      </c>
      <c r="AA103" s="123">
        <f t="shared" si="34"/>
        <v>3528.3776422428855</v>
      </c>
      <c r="AB103" s="123">
        <f t="shared" si="34"/>
        <v>2446.3812119018457</v>
      </c>
      <c r="AC103" s="123">
        <f t="shared" si="34"/>
        <v>2274.224555501808</v>
      </c>
      <c r="AD103" s="124">
        <f t="shared" si="34"/>
        <v>2247.4093681603854</v>
      </c>
      <c r="AE103" s="122">
        <f t="shared" si="35"/>
        <v>2515.6421048593411</v>
      </c>
      <c r="AF103" s="125">
        <f t="shared" si="35"/>
        <v>3486.243189340315</v>
      </c>
      <c r="AG103" s="122">
        <f t="shared" si="35"/>
        <v>4207.4131020143723</v>
      </c>
      <c r="AH103" s="123">
        <f t="shared" si="35"/>
        <v>4089.7429071247229</v>
      </c>
      <c r="AI103" s="123">
        <f t="shared" si="35"/>
        <v>2974.1178483767553</v>
      </c>
      <c r="AJ103" s="123">
        <f t="shared" si="35"/>
        <v>4572.5731824157883</v>
      </c>
      <c r="AK103" s="124">
        <f t="shared" si="35"/>
        <v>4704.0921369405123</v>
      </c>
      <c r="AL103" s="122">
        <f t="shared" si="35"/>
        <v>5623.8043248890826</v>
      </c>
      <c r="AM103" s="125">
        <f t="shared" si="35"/>
        <v>6572.0372770925114</v>
      </c>
      <c r="AN103" s="125">
        <f t="shared" si="35"/>
        <v>6894.5621906203869</v>
      </c>
      <c r="AO103" s="125">
        <f t="shared" si="35"/>
        <v>6602.7585625654983</v>
      </c>
      <c r="AP103" s="3">
        <f t="shared" si="26"/>
        <v>99602.745507891988</v>
      </c>
      <c r="AQ103" s="110">
        <f t="shared" si="36"/>
        <v>130000</v>
      </c>
    </row>
    <row r="104" spans="1:45" x14ac:dyDescent="0.25">
      <c r="A104" s="118">
        <v>93</v>
      </c>
      <c r="B104" s="4" t="s">
        <v>47</v>
      </c>
      <c r="C104" s="4" t="s">
        <v>357</v>
      </c>
      <c r="D104" s="4" t="s">
        <v>145</v>
      </c>
      <c r="E104" s="4" t="s">
        <v>343</v>
      </c>
      <c r="F104" s="4" t="s">
        <v>127</v>
      </c>
      <c r="G104" s="119">
        <v>45727</v>
      </c>
      <c r="H104" s="4">
        <v>2</v>
      </c>
      <c r="I104" s="4" t="s">
        <v>522</v>
      </c>
      <c r="J104" s="120">
        <v>129000</v>
      </c>
      <c r="K104" s="121">
        <f t="shared" si="33"/>
        <v>6535.0986077940679</v>
      </c>
      <c r="L104" s="122">
        <f t="shared" si="33"/>
        <v>8178.9290732622658</v>
      </c>
      <c r="M104" s="123">
        <f t="shared" si="33"/>
        <v>7482.6596870440935</v>
      </c>
      <c r="N104" s="123">
        <f t="shared" si="33"/>
        <v>3658.5501799716071</v>
      </c>
      <c r="O104" s="123">
        <f t="shared" si="33"/>
        <v>3253.1134086102998</v>
      </c>
      <c r="P104" s="124">
        <f t="shared" si="33"/>
        <v>3049.5097295604482</v>
      </c>
      <c r="Q104" s="122">
        <f t="shared" si="33"/>
        <v>3078.7079049761328</v>
      </c>
      <c r="R104" s="125">
        <f t="shared" si="33"/>
        <v>3861.3341312076891</v>
      </c>
      <c r="S104" s="122">
        <f t="shared" si="33"/>
        <v>3870</v>
      </c>
      <c r="T104" s="123">
        <f t="shared" si="33"/>
        <v>4757.4839316495982</v>
      </c>
      <c r="U104" s="123">
        <f t="shared" si="34"/>
        <v>3117.0185312097942</v>
      </c>
      <c r="V104" s="123">
        <f t="shared" si="34"/>
        <v>2690.6283738425414</v>
      </c>
      <c r="W104" s="124">
        <f t="shared" si="34"/>
        <v>2736.28874750759</v>
      </c>
      <c r="X104" s="122">
        <f t="shared" si="34"/>
        <v>2961.5064655996252</v>
      </c>
      <c r="Y104" s="125">
        <f t="shared" si="34"/>
        <v>3298.1640894775751</v>
      </c>
      <c r="Z104" s="122">
        <f t="shared" si="34"/>
        <v>4214.2381465792905</v>
      </c>
      <c r="AA104" s="123">
        <f t="shared" si="34"/>
        <v>3501.236275764094</v>
      </c>
      <c r="AB104" s="123">
        <f t="shared" si="34"/>
        <v>2427.5628948872163</v>
      </c>
      <c r="AC104" s="123">
        <f t="shared" si="34"/>
        <v>2256.7305204594863</v>
      </c>
      <c r="AD104" s="124">
        <f t="shared" si="34"/>
        <v>2230.1216037899208</v>
      </c>
      <c r="AE104" s="122">
        <f t="shared" si="35"/>
        <v>2496.2910117450383</v>
      </c>
      <c r="AF104" s="125">
        <f t="shared" si="35"/>
        <v>3459.4259340376971</v>
      </c>
      <c r="AG104" s="122">
        <f t="shared" si="35"/>
        <v>4175.0483858450316</v>
      </c>
      <c r="AH104" s="123">
        <f t="shared" si="35"/>
        <v>4058.2833463006864</v>
      </c>
      <c r="AI104" s="123">
        <f t="shared" si="35"/>
        <v>2951.2400187738572</v>
      </c>
      <c r="AJ104" s="123">
        <f t="shared" si="35"/>
        <v>4537.3995425510511</v>
      </c>
      <c r="AK104" s="124">
        <f t="shared" si="35"/>
        <v>4667.9068128102008</v>
      </c>
      <c r="AL104" s="122">
        <f t="shared" si="35"/>
        <v>5580.5442916207048</v>
      </c>
      <c r="AM104" s="125">
        <f t="shared" si="35"/>
        <v>6521.4831441917995</v>
      </c>
      <c r="AN104" s="125">
        <f t="shared" si="35"/>
        <v>6841.5270968463838</v>
      </c>
      <c r="AO104" s="125">
        <f t="shared" si="35"/>
        <v>6551.9681120842251</v>
      </c>
      <c r="AP104" s="3">
        <f t="shared" si="26"/>
        <v>98836.570542446701</v>
      </c>
      <c r="AQ104" s="110">
        <f t="shared" si="36"/>
        <v>129000.00000000004</v>
      </c>
    </row>
    <row r="105" spans="1:45" x14ac:dyDescent="0.25">
      <c r="A105" s="118">
        <v>20</v>
      </c>
      <c r="B105" s="4" t="s">
        <v>80</v>
      </c>
      <c r="C105" s="4" t="s">
        <v>283</v>
      </c>
      <c r="D105" s="4" t="s">
        <v>137</v>
      </c>
      <c r="E105" s="4" t="s">
        <v>282</v>
      </c>
      <c r="F105" s="4" t="s">
        <v>127</v>
      </c>
      <c r="G105" s="119">
        <v>45959</v>
      </c>
      <c r="H105" s="4">
        <v>5</v>
      </c>
      <c r="I105" s="4" t="s">
        <v>522</v>
      </c>
      <c r="J105" s="120">
        <v>123000</v>
      </c>
      <c r="K105" s="121">
        <f t="shared" ref="K105:T116" si="37">$J105*K$4</f>
        <v>6231.1405330129492</v>
      </c>
      <c r="L105" s="122">
        <f t="shared" si="37"/>
        <v>7798.5137675291371</v>
      </c>
      <c r="M105" s="123">
        <f t="shared" si="37"/>
        <v>7134.6290039257638</v>
      </c>
      <c r="N105" s="123">
        <f t="shared" si="37"/>
        <v>3488.3850553217649</v>
      </c>
      <c r="O105" s="123">
        <f t="shared" si="37"/>
        <v>3101.8058082098205</v>
      </c>
      <c r="P105" s="124">
        <f t="shared" si="37"/>
        <v>2907.6720677204275</v>
      </c>
      <c r="Q105" s="122">
        <f t="shared" si="37"/>
        <v>2935.5121884656151</v>
      </c>
      <c r="R105" s="125">
        <f t="shared" si="37"/>
        <v>3681.7371948724481</v>
      </c>
      <c r="S105" s="122">
        <f t="shared" si="37"/>
        <v>3690</v>
      </c>
      <c r="T105" s="123">
        <f t="shared" si="37"/>
        <v>4536.2056092472912</v>
      </c>
      <c r="U105" s="123">
        <f t="shared" ref="U105:AD116" si="38">$J105*U$4</f>
        <v>2972.0409251070128</v>
      </c>
      <c r="V105" s="123">
        <f t="shared" si="38"/>
        <v>2565.4828680824235</v>
      </c>
      <c r="W105" s="124">
        <f t="shared" si="38"/>
        <v>2609.0195034374692</v>
      </c>
      <c r="X105" s="122">
        <f t="shared" si="38"/>
        <v>2823.7619788275497</v>
      </c>
      <c r="Y105" s="125">
        <f t="shared" si="38"/>
        <v>3144.7611085716412</v>
      </c>
      <c r="Z105" s="122">
        <f t="shared" si="38"/>
        <v>4018.2270699942073</v>
      </c>
      <c r="AA105" s="123">
        <f t="shared" si="38"/>
        <v>3338.3880768913455</v>
      </c>
      <c r="AB105" s="123">
        <f t="shared" si="38"/>
        <v>2314.6529927994388</v>
      </c>
      <c r="AC105" s="123">
        <f t="shared" si="38"/>
        <v>2151.7663102055567</v>
      </c>
      <c r="AD105" s="124">
        <f t="shared" si="38"/>
        <v>2126.3950175671339</v>
      </c>
      <c r="AE105" s="122">
        <f t="shared" ref="AE105:AO116" si="39">$J105*AE$4</f>
        <v>2380.1844530592225</v>
      </c>
      <c r="AF105" s="125">
        <f t="shared" si="39"/>
        <v>3298.5224022219904</v>
      </c>
      <c r="AG105" s="122">
        <f t="shared" si="39"/>
        <v>3980.8600888289834</v>
      </c>
      <c r="AH105" s="123">
        <f t="shared" si="39"/>
        <v>3869.5259813564685</v>
      </c>
      <c r="AI105" s="123">
        <f t="shared" si="39"/>
        <v>2813.9730411564688</v>
      </c>
      <c r="AJ105" s="123">
        <f t="shared" si="39"/>
        <v>4326.3577033626298</v>
      </c>
      <c r="AK105" s="124">
        <f t="shared" si="39"/>
        <v>4450.7948680283307</v>
      </c>
      <c r="AL105" s="122">
        <f t="shared" si="39"/>
        <v>5320.9840920104398</v>
      </c>
      <c r="AM105" s="125">
        <f t="shared" si="39"/>
        <v>6218.1583467875298</v>
      </c>
      <c r="AN105" s="125">
        <f t="shared" si="39"/>
        <v>6523.3165342023667</v>
      </c>
      <c r="AO105" s="125">
        <f t="shared" si="39"/>
        <v>6247.225409196587</v>
      </c>
      <c r="AP105" s="3">
        <f t="shared" si="26"/>
        <v>94239.520749774761</v>
      </c>
      <c r="AQ105" s="110">
        <f t="shared" si="36"/>
        <v>123000.00000000001</v>
      </c>
    </row>
    <row r="106" spans="1:45" x14ac:dyDescent="0.25">
      <c r="A106" s="118">
        <v>108</v>
      </c>
      <c r="B106" s="4" t="s">
        <v>122</v>
      </c>
      <c r="C106" s="4" t="s">
        <v>372</v>
      </c>
      <c r="D106" s="4" t="s">
        <v>153</v>
      </c>
      <c r="E106" s="4" t="s">
        <v>292</v>
      </c>
      <c r="F106" s="4" t="s">
        <v>127</v>
      </c>
      <c r="G106" s="119">
        <v>46205</v>
      </c>
      <c r="H106" s="4" t="s">
        <v>373</v>
      </c>
      <c r="I106" s="4" t="s">
        <v>522</v>
      </c>
      <c r="J106" s="120">
        <v>123000</v>
      </c>
      <c r="K106" s="121">
        <f t="shared" si="37"/>
        <v>6231.1405330129492</v>
      </c>
      <c r="L106" s="122">
        <f t="shared" si="37"/>
        <v>7798.5137675291371</v>
      </c>
      <c r="M106" s="123">
        <f t="shared" si="37"/>
        <v>7134.6290039257638</v>
      </c>
      <c r="N106" s="123">
        <f t="shared" si="37"/>
        <v>3488.3850553217649</v>
      </c>
      <c r="O106" s="123">
        <f t="shared" si="37"/>
        <v>3101.8058082098205</v>
      </c>
      <c r="P106" s="124">
        <f t="shared" si="37"/>
        <v>2907.6720677204275</v>
      </c>
      <c r="Q106" s="122">
        <f t="shared" si="37"/>
        <v>2935.5121884656151</v>
      </c>
      <c r="R106" s="125">
        <f t="shared" si="37"/>
        <v>3681.7371948724481</v>
      </c>
      <c r="S106" s="122">
        <f t="shared" si="37"/>
        <v>3690</v>
      </c>
      <c r="T106" s="123">
        <f t="shared" si="37"/>
        <v>4536.2056092472912</v>
      </c>
      <c r="U106" s="123">
        <f t="shared" si="38"/>
        <v>2972.0409251070128</v>
      </c>
      <c r="V106" s="123">
        <f t="shared" si="38"/>
        <v>2565.4828680824235</v>
      </c>
      <c r="W106" s="124">
        <f t="shared" si="38"/>
        <v>2609.0195034374692</v>
      </c>
      <c r="X106" s="122">
        <f t="shared" si="38"/>
        <v>2823.7619788275497</v>
      </c>
      <c r="Y106" s="125">
        <f t="shared" si="38"/>
        <v>3144.7611085716412</v>
      </c>
      <c r="Z106" s="122">
        <f t="shared" si="38"/>
        <v>4018.2270699942073</v>
      </c>
      <c r="AA106" s="123">
        <f t="shared" si="38"/>
        <v>3338.3880768913455</v>
      </c>
      <c r="AB106" s="123">
        <f t="shared" si="38"/>
        <v>2314.6529927994388</v>
      </c>
      <c r="AC106" s="123">
        <f t="shared" si="38"/>
        <v>2151.7663102055567</v>
      </c>
      <c r="AD106" s="124">
        <f t="shared" si="38"/>
        <v>2126.3950175671339</v>
      </c>
      <c r="AE106" s="122">
        <f t="shared" si="39"/>
        <v>2380.1844530592225</v>
      </c>
      <c r="AF106" s="125">
        <f t="shared" si="39"/>
        <v>3298.5224022219904</v>
      </c>
      <c r="AG106" s="122">
        <f t="shared" si="39"/>
        <v>3980.8600888289834</v>
      </c>
      <c r="AH106" s="123">
        <f t="shared" si="39"/>
        <v>3869.5259813564685</v>
      </c>
      <c r="AI106" s="123">
        <f t="shared" si="39"/>
        <v>2813.9730411564688</v>
      </c>
      <c r="AJ106" s="123">
        <f t="shared" si="39"/>
        <v>4326.3577033626298</v>
      </c>
      <c r="AK106" s="124">
        <f t="shared" si="39"/>
        <v>4450.7948680283307</v>
      </c>
      <c r="AL106" s="122">
        <f t="shared" si="39"/>
        <v>5320.9840920104398</v>
      </c>
      <c r="AM106" s="125">
        <f t="shared" si="39"/>
        <v>6218.1583467875298</v>
      </c>
      <c r="AN106" s="125">
        <f t="shared" si="39"/>
        <v>6523.3165342023667</v>
      </c>
      <c r="AO106" s="125">
        <f t="shared" si="39"/>
        <v>6247.225409196587</v>
      </c>
      <c r="AP106" s="3">
        <f t="shared" si="26"/>
        <v>94239.520749774761</v>
      </c>
      <c r="AQ106" s="110">
        <f t="shared" si="36"/>
        <v>123000.00000000001</v>
      </c>
      <c r="AS106" s="4">
        <f>31-14</f>
        <v>17</v>
      </c>
    </row>
    <row r="107" spans="1:45" x14ac:dyDescent="0.25">
      <c r="A107" s="118">
        <v>42</v>
      </c>
      <c r="B107" s="4" t="s">
        <v>118</v>
      </c>
      <c r="C107" s="4" t="s">
        <v>306</v>
      </c>
      <c r="D107" s="4" t="s">
        <v>138</v>
      </c>
      <c r="E107" s="4" t="s">
        <v>296</v>
      </c>
      <c r="F107" s="4" t="s">
        <v>128</v>
      </c>
      <c r="G107" s="119">
        <v>46166</v>
      </c>
      <c r="H107" s="4">
        <v>3</v>
      </c>
      <c r="I107" s="4" t="s">
        <v>522</v>
      </c>
      <c r="J107" s="120">
        <v>120000</v>
      </c>
      <c r="K107" s="121">
        <f t="shared" si="37"/>
        <v>6079.1614956223893</v>
      </c>
      <c r="L107" s="122">
        <f t="shared" si="37"/>
        <v>7608.3061146625732</v>
      </c>
      <c r="M107" s="123">
        <f t="shared" si="37"/>
        <v>6960.6136623665989</v>
      </c>
      <c r="N107" s="123">
        <f t="shared" si="37"/>
        <v>3403.3024929968437</v>
      </c>
      <c r="O107" s="123">
        <f t="shared" si="37"/>
        <v>3026.1520080095811</v>
      </c>
      <c r="P107" s="124">
        <f t="shared" si="37"/>
        <v>2836.7532368004172</v>
      </c>
      <c r="Q107" s="122">
        <f t="shared" si="37"/>
        <v>2863.9143302103562</v>
      </c>
      <c r="R107" s="125">
        <f t="shared" si="37"/>
        <v>3591.9387267048273</v>
      </c>
      <c r="S107" s="122">
        <f t="shared" si="37"/>
        <v>3600</v>
      </c>
      <c r="T107" s="123">
        <f t="shared" si="37"/>
        <v>4425.5664480461373</v>
      </c>
      <c r="U107" s="123">
        <f t="shared" si="38"/>
        <v>2899.5521220556225</v>
      </c>
      <c r="V107" s="123">
        <f t="shared" si="38"/>
        <v>2502.9101152023641</v>
      </c>
      <c r="W107" s="124">
        <f t="shared" si="38"/>
        <v>2545.3848814024091</v>
      </c>
      <c r="X107" s="122">
        <f t="shared" si="38"/>
        <v>2754.8897354415117</v>
      </c>
      <c r="Y107" s="125">
        <f t="shared" si="38"/>
        <v>3068.0596181186743</v>
      </c>
      <c r="Z107" s="122">
        <f t="shared" si="38"/>
        <v>3920.2215317016658</v>
      </c>
      <c r="AA107" s="123">
        <f t="shared" si="38"/>
        <v>3256.9639774549714</v>
      </c>
      <c r="AB107" s="123">
        <f t="shared" si="38"/>
        <v>2258.1980417555501</v>
      </c>
      <c r="AC107" s="123">
        <f t="shared" si="38"/>
        <v>2099.2842050785921</v>
      </c>
      <c r="AD107" s="124">
        <f t="shared" si="38"/>
        <v>2074.5317244557405</v>
      </c>
      <c r="AE107" s="122">
        <f t="shared" si="39"/>
        <v>2322.1311737163146</v>
      </c>
      <c r="AF107" s="125">
        <f t="shared" si="39"/>
        <v>3218.0706363141371</v>
      </c>
      <c r="AG107" s="122">
        <f t="shared" si="39"/>
        <v>3883.7659403209591</v>
      </c>
      <c r="AH107" s="123">
        <f t="shared" si="39"/>
        <v>3775.1472988843598</v>
      </c>
      <c r="AI107" s="123">
        <f t="shared" si="39"/>
        <v>2745.3395523477743</v>
      </c>
      <c r="AJ107" s="123">
        <f t="shared" si="39"/>
        <v>4220.83678376842</v>
      </c>
      <c r="AK107" s="124">
        <f t="shared" si="39"/>
        <v>4342.2388956373961</v>
      </c>
      <c r="AL107" s="122">
        <f t="shared" si="39"/>
        <v>5191.2039922053073</v>
      </c>
      <c r="AM107" s="125">
        <f t="shared" si="39"/>
        <v>6066.495948085395</v>
      </c>
      <c r="AN107" s="125">
        <f t="shared" si="39"/>
        <v>6364.2112528803573</v>
      </c>
      <c r="AO107" s="125">
        <f t="shared" si="39"/>
        <v>6094.8540577527674</v>
      </c>
      <c r="AP107" s="3">
        <f t="shared" si="26"/>
        <v>91940.995853438813</v>
      </c>
      <c r="AQ107" s="110">
        <f t="shared" si="36"/>
        <v>120000.00000000003</v>
      </c>
    </row>
    <row r="108" spans="1:45" x14ac:dyDescent="0.25">
      <c r="A108" s="118">
        <v>90</v>
      </c>
      <c r="B108" s="4" t="s">
        <v>113</v>
      </c>
      <c r="C108" s="4" t="s">
        <v>354</v>
      </c>
      <c r="D108" s="4" t="s">
        <v>145</v>
      </c>
      <c r="E108" s="4" t="s">
        <v>343</v>
      </c>
      <c r="F108" s="4" t="s">
        <v>131</v>
      </c>
      <c r="G108" s="119">
        <v>46142</v>
      </c>
      <c r="H108" s="4">
        <v>2</v>
      </c>
      <c r="I108" s="4" t="s">
        <v>522</v>
      </c>
      <c r="J108" s="120">
        <v>114000</v>
      </c>
      <c r="K108" s="121">
        <f t="shared" si="37"/>
        <v>5775.2034208412697</v>
      </c>
      <c r="L108" s="122">
        <f t="shared" si="37"/>
        <v>7227.8908089294446</v>
      </c>
      <c r="M108" s="123">
        <f t="shared" si="37"/>
        <v>6612.5829792482691</v>
      </c>
      <c r="N108" s="123">
        <f t="shared" si="37"/>
        <v>3233.1373683470015</v>
      </c>
      <c r="O108" s="123">
        <f t="shared" si="37"/>
        <v>2874.8444076091018</v>
      </c>
      <c r="P108" s="124">
        <f t="shared" si="37"/>
        <v>2694.915574960396</v>
      </c>
      <c r="Q108" s="122">
        <f t="shared" si="37"/>
        <v>2720.7186136998384</v>
      </c>
      <c r="R108" s="125">
        <f t="shared" si="37"/>
        <v>3412.3417903695859</v>
      </c>
      <c r="S108" s="122">
        <f t="shared" si="37"/>
        <v>3420</v>
      </c>
      <c r="T108" s="123">
        <f t="shared" si="37"/>
        <v>4204.2881256438304</v>
      </c>
      <c r="U108" s="123">
        <f t="shared" si="38"/>
        <v>2754.5745159528415</v>
      </c>
      <c r="V108" s="123">
        <f t="shared" si="38"/>
        <v>2377.7646094422462</v>
      </c>
      <c r="W108" s="124">
        <f t="shared" si="38"/>
        <v>2418.1156373322888</v>
      </c>
      <c r="X108" s="122">
        <f t="shared" si="38"/>
        <v>2617.1452486694361</v>
      </c>
      <c r="Y108" s="125">
        <f t="shared" si="38"/>
        <v>2914.6566372127409</v>
      </c>
      <c r="Z108" s="122">
        <f t="shared" si="38"/>
        <v>3724.2104551165826</v>
      </c>
      <c r="AA108" s="123">
        <f t="shared" si="38"/>
        <v>3094.1157785822224</v>
      </c>
      <c r="AB108" s="123">
        <f t="shared" si="38"/>
        <v>2145.2881396677726</v>
      </c>
      <c r="AC108" s="123">
        <f t="shared" si="38"/>
        <v>1994.3199948246622</v>
      </c>
      <c r="AD108" s="124">
        <f t="shared" si="38"/>
        <v>1970.8051382329534</v>
      </c>
      <c r="AE108" s="122">
        <f t="shared" si="39"/>
        <v>2206.0246150304988</v>
      </c>
      <c r="AF108" s="125">
        <f t="shared" si="39"/>
        <v>3057.16710449843</v>
      </c>
      <c r="AG108" s="122">
        <f t="shared" si="39"/>
        <v>3689.5776433049114</v>
      </c>
      <c r="AH108" s="123">
        <f t="shared" si="39"/>
        <v>3586.3899339401414</v>
      </c>
      <c r="AI108" s="123">
        <f t="shared" si="39"/>
        <v>2608.0725747303854</v>
      </c>
      <c r="AJ108" s="123">
        <f t="shared" si="39"/>
        <v>4009.7949445799986</v>
      </c>
      <c r="AK108" s="124">
        <f t="shared" si="39"/>
        <v>4125.126950855526</v>
      </c>
      <c r="AL108" s="122">
        <f t="shared" si="39"/>
        <v>4931.6437925950422</v>
      </c>
      <c r="AM108" s="125">
        <f t="shared" si="39"/>
        <v>5763.1711506811253</v>
      </c>
      <c r="AN108" s="125">
        <f t="shared" si="39"/>
        <v>6046.0006902363393</v>
      </c>
      <c r="AO108" s="125">
        <f t="shared" si="39"/>
        <v>5790.1113548651292</v>
      </c>
      <c r="AP108" s="3">
        <f t="shared" si="26"/>
        <v>87343.946060766873</v>
      </c>
      <c r="AQ108" s="110">
        <f t="shared" si="36"/>
        <v>114000.00000000004</v>
      </c>
    </row>
    <row r="109" spans="1:45" x14ac:dyDescent="0.25">
      <c r="A109" s="118">
        <v>106</v>
      </c>
      <c r="B109" s="4" t="s">
        <v>108</v>
      </c>
      <c r="C109" s="4" t="s">
        <v>370</v>
      </c>
      <c r="D109" s="4" t="s">
        <v>141</v>
      </c>
      <c r="E109" s="4" t="s">
        <v>270</v>
      </c>
      <c r="F109" s="4" t="s">
        <v>132</v>
      </c>
      <c r="G109" s="119">
        <v>46081</v>
      </c>
      <c r="H109" s="4">
        <v>5</v>
      </c>
      <c r="I109" s="4" t="s">
        <v>522</v>
      </c>
      <c r="J109" s="120">
        <v>107000</v>
      </c>
      <c r="K109" s="121">
        <f t="shared" si="37"/>
        <v>5420.5856669299637</v>
      </c>
      <c r="L109" s="122">
        <f t="shared" si="37"/>
        <v>6784.0729522407946</v>
      </c>
      <c r="M109" s="123">
        <f t="shared" si="37"/>
        <v>6206.5471822768841</v>
      </c>
      <c r="N109" s="123">
        <f t="shared" si="37"/>
        <v>3034.6113895888525</v>
      </c>
      <c r="O109" s="123">
        <f t="shared" si="37"/>
        <v>2698.3188738085432</v>
      </c>
      <c r="P109" s="124">
        <f t="shared" si="37"/>
        <v>2529.4383028137054</v>
      </c>
      <c r="Q109" s="122">
        <f t="shared" si="37"/>
        <v>2553.6569444375677</v>
      </c>
      <c r="R109" s="125">
        <f t="shared" si="37"/>
        <v>3202.8120313118043</v>
      </c>
      <c r="S109" s="122">
        <f t="shared" si="37"/>
        <v>3210</v>
      </c>
      <c r="T109" s="123">
        <f t="shared" si="37"/>
        <v>3946.1300828411395</v>
      </c>
      <c r="U109" s="123">
        <f t="shared" si="38"/>
        <v>2585.4339754995967</v>
      </c>
      <c r="V109" s="123">
        <f t="shared" si="38"/>
        <v>2231.7615193887746</v>
      </c>
      <c r="W109" s="124">
        <f t="shared" si="38"/>
        <v>2269.6348525838148</v>
      </c>
      <c r="X109" s="122">
        <f t="shared" si="38"/>
        <v>2456.4433474353477</v>
      </c>
      <c r="Y109" s="125">
        <f t="shared" si="38"/>
        <v>2735.686492822485</v>
      </c>
      <c r="Z109" s="122">
        <f t="shared" si="38"/>
        <v>3495.5308657673186</v>
      </c>
      <c r="AA109" s="123">
        <f t="shared" si="38"/>
        <v>2904.1262132306829</v>
      </c>
      <c r="AB109" s="123">
        <f t="shared" si="38"/>
        <v>2013.5599205653655</v>
      </c>
      <c r="AC109" s="123">
        <f t="shared" si="38"/>
        <v>1871.8617495284111</v>
      </c>
      <c r="AD109" s="124">
        <f t="shared" si="38"/>
        <v>1849.7907876397019</v>
      </c>
      <c r="AE109" s="122">
        <f t="shared" si="39"/>
        <v>2070.5669632303807</v>
      </c>
      <c r="AF109" s="125">
        <f t="shared" si="39"/>
        <v>2869.4463173801055</v>
      </c>
      <c r="AG109" s="122">
        <f t="shared" si="39"/>
        <v>3463.024630119522</v>
      </c>
      <c r="AH109" s="123">
        <f t="shared" si="39"/>
        <v>3366.1730081718874</v>
      </c>
      <c r="AI109" s="123">
        <f t="shared" si="39"/>
        <v>2447.9277675100989</v>
      </c>
      <c r="AJ109" s="123">
        <f t="shared" si="39"/>
        <v>3763.579465526841</v>
      </c>
      <c r="AK109" s="124">
        <f t="shared" si="39"/>
        <v>3871.8296819433449</v>
      </c>
      <c r="AL109" s="122">
        <f t="shared" si="39"/>
        <v>4628.8235597163984</v>
      </c>
      <c r="AM109" s="125">
        <f t="shared" si="39"/>
        <v>5409.2922203761436</v>
      </c>
      <c r="AN109" s="125">
        <f t="shared" si="39"/>
        <v>5674.7550338183182</v>
      </c>
      <c r="AO109" s="125">
        <f t="shared" si="39"/>
        <v>5434.5782014962178</v>
      </c>
      <c r="AP109" s="3">
        <f t="shared" si="26"/>
        <v>81980.721302649574</v>
      </c>
      <c r="AQ109" s="110">
        <f t="shared" si="36"/>
        <v>107000</v>
      </c>
    </row>
    <row r="110" spans="1:45" x14ac:dyDescent="0.25">
      <c r="A110" s="118">
        <v>15</v>
      </c>
      <c r="B110" s="4" t="s">
        <v>89</v>
      </c>
      <c r="C110" s="4" t="s">
        <v>277</v>
      </c>
      <c r="D110" s="4" t="s">
        <v>142</v>
      </c>
      <c r="E110" s="4" t="s">
        <v>270</v>
      </c>
      <c r="F110" s="4" t="s">
        <v>132</v>
      </c>
      <c r="G110" s="119">
        <v>45958</v>
      </c>
      <c r="H110" s="4">
        <v>5</v>
      </c>
      <c r="I110" s="4" t="s">
        <v>523</v>
      </c>
      <c r="J110" s="120">
        <v>98000</v>
      </c>
      <c r="K110" s="121">
        <f t="shared" si="37"/>
        <v>4964.6485547582843</v>
      </c>
      <c r="L110" s="122">
        <f t="shared" si="37"/>
        <v>6213.4499936411012</v>
      </c>
      <c r="M110" s="123">
        <f t="shared" si="37"/>
        <v>5684.5011575993894</v>
      </c>
      <c r="N110" s="123">
        <f t="shared" si="37"/>
        <v>2779.3637026140891</v>
      </c>
      <c r="O110" s="123">
        <f t="shared" si="37"/>
        <v>2471.3574732078246</v>
      </c>
      <c r="P110" s="124">
        <f t="shared" si="37"/>
        <v>2316.6818100536739</v>
      </c>
      <c r="Q110" s="122">
        <f t="shared" si="37"/>
        <v>2338.8633696717907</v>
      </c>
      <c r="R110" s="125">
        <f t="shared" si="37"/>
        <v>2933.4166268089421</v>
      </c>
      <c r="S110" s="122">
        <f t="shared" si="37"/>
        <v>2940</v>
      </c>
      <c r="T110" s="123">
        <f t="shared" si="37"/>
        <v>3614.2125992376791</v>
      </c>
      <c r="U110" s="123">
        <f t="shared" si="38"/>
        <v>2367.967566345425</v>
      </c>
      <c r="V110" s="123">
        <f t="shared" si="38"/>
        <v>2044.0432607485975</v>
      </c>
      <c r="W110" s="124">
        <f t="shared" si="38"/>
        <v>2078.7309864786339</v>
      </c>
      <c r="X110" s="122">
        <f t="shared" si="38"/>
        <v>2249.8266172772346</v>
      </c>
      <c r="Y110" s="125">
        <f t="shared" si="38"/>
        <v>2505.5820214635842</v>
      </c>
      <c r="Z110" s="122">
        <f t="shared" si="38"/>
        <v>3201.5142508896938</v>
      </c>
      <c r="AA110" s="123">
        <f t="shared" si="38"/>
        <v>2659.8539149215599</v>
      </c>
      <c r="AB110" s="123">
        <f t="shared" si="38"/>
        <v>1844.1950674336993</v>
      </c>
      <c r="AC110" s="123">
        <f t="shared" si="38"/>
        <v>1714.4154341475166</v>
      </c>
      <c r="AD110" s="124">
        <f t="shared" si="38"/>
        <v>1694.2009083055214</v>
      </c>
      <c r="AE110" s="122">
        <f t="shared" si="39"/>
        <v>1896.407125201657</v>
      </c>
      <c r="AF110" s="125">
        <f t="shared" si="39"/>
        <v>2628.0910196565451</v>
      </c>
      <c r="AG110" s="122">
        <f t="shared" si="39"/>
        <v>3171.74218459545</v>
      </c>
      <c r="AH110" s="123">
        <f t="shared" si="39"/>
        <v>3083.0369607555604</v>
      </c>
      <c r="AI110" s="123">
        <f t="shared" si="39"/>
        <v>2242.0273010840156</v>
      </c>
      <c r="AJ110" s="123">
        <f t="shared" si="39"/>
        <v>3447.0167067442094</v>
      </c>
      <c r="AK110" s="124">
        <f t="shared" si="39"/>
        <v>3546.1617647705402</v>
      </c>
      <c r="AL110" s="122">
        <f t="shared" si="39"/>
        <v>4239.4832603010009</v>
      </c>
      <c r="AM110" s="125">
        <f t="shared" si="39"/>
        <v>4954.3050242697391</v>
      </c>
      <c r="AN110" s="125">
        <f t="shared" si="39"/>
        <v>5197.4391898522917</v>
      </c>
      <c r="AO110" s="125">
        <f t="shared" si="39"/>
        <v>4977.4641471647601</v>
      </c>
      <c r="AP110" s="3">
        <f t="shared" si="26"/>
        <v>75085.146613641686</v>
      </c>
      <c r="AQ110" s="110">
        <f t="shared" si="36"/>
        <v>98000.000000000015</v>
      </c>
    </row>
    <row r="111" spans="1:45" x14ac:dyDescent="0.25">
      <c r="A111" s="118">
        <v>19</v>
      </c>
      <c r="B111" s="4" t="s">
        <v>105</v>
      </c>
      <c r="C111" s="4" t="s">
        <v>281</v>
      </c>
      <c r="D111" s="4" t="s">
        <v>137</v>
      </c>
      <c r="E111" s="4" t="s">
        <v>282</v>
      </c>
      <c r="F111" s="4" t="s">
        <v>127</v>
      </c>
      <c r="G111" s="119">
        <v>46069</v>
      </c>
      <c r="H111" s="4">
        <v>3</v>
      </c>
      <c r="I111" s="4" t="s">
        <v>523</v>
      </c>
      <c r="J111" s="120">
        <v>95000</v>
      </c>
      <c r="K111" s="121">
        <f t="shared" si="37"/>
        <v>4812.6695173677244</v>
      </c>
      <c r="L111" s="122">
        <f t="shared" si="37"/>
        <v>6023.2423407745373</v>
      </c>
      <c r="M111" s="123">
        <f t="shared" si="37"/>
        <v>5510.4858160402246</v>
      </c>
      <c r="N111" s="123">
        <f t="shared" si="37"/>
        <v>2694.281140289168</v>
      </c>
      <c r="O111" s="123">
        <f t="shared" si="37"/>
        <v>2395.7036730075852</v>
      </c>
      <c r="P111" s="124">
        <f t="shared" si="37"/>
        <v>2245.7629791336635</v>
      </c>
      <c r="Q111" s="122">
        <f t="shared" si="37"/>
        <v>2267.2655114165318</v>
      </c>
      <c r="R111" s="125">
        <f t="shared" si="37"/>
        <v>2843.6181586413218</v>
      </c>
      <c r="S111" s="122">
        <f t="shared" si="37"/>
        <v>2850</v>
      </c>
      <c r="T111" s="123">
        <f t="shared" si="37"/>
        <v>3503.5734380365257</v>
      </c>
      <c r="U111" s="123">
        <f t="shared" si="38"/>
        <v>2295.4787632940343</v>
      </c>
      <c r="V111" s="123">
        <f t="shared" si="38"/>
        <v>1981.4705078685383</v>
      </c>
      <c r="W111" s="124">
        <f t="shared" si="38"/>
        <v>2015.096364443574</v>
      </c>
      <c r="X111" s="122">
        <f t="shared" si="38"/>
        <v>2180.9543738911966</v>
      </c>
      <c r="Y111" s="125">
        <f t="shared" si="38"/>
        <v>2428.8805310106172</v>
      </c>
      <c r="Z111" s="122">
        <f t="shared" si="38"/>
        <v>3103.5087125971522</v>
      </c>
      <c r="AA111" s="123">
        <f t="shared" si="38"/>
        <v>2578.4298154851854</v>
      </c>
      <c r="AB111" s="123">
        <f t="shared" si="38"/>
        <v>1787.7401163898105</v>
      </c>
      <c r="AC111" s="123">
        <f t="shared" si="38"/>
        <v>1661.9333290205518</v>
      </c>
      <c r="AD111" s="124">
        <f t="shared" si="38"/>
        <v>1642.3376151941279</v>
      </c>
      <c r="AE111" s="122">
        <f t="shared" si="39"/>
        <v>1838.3538458587491</v>
      </c>
      <c r="AF111" s="125">
        <f t="shared" si="39"/>
        <v>2547.6392537486918</v>
      </c>
      <c r="AG111" s="122">
        <f t="shared" si="39"/>
        <v>3074.6480360874261</v>
      </c>
      <c r="AH111" s="123">
        <f t="shared" si="39"/>
        <v>2988.6582782834512</v>
      </c>
      <c r="AI111" s="123">
        <f t="shared" si="39"/>
        <v>2173.3938122753211</v>
      </c>
      <c r="AJ111" s="123">
        <f t="shared" si="39"/>
        <v>3341.4957871499987</v>
      </c>
      <c r="AK111" s="124">
        <f t="shared" si="39"/>
        <v>3437.6057923796052</v>
      </c>
      <c r="AL111" s="122">
        <f t="shared" si="39"/>
        <v>4109.7031604958684</v>
      </c>
      <c r="AM111" s="125">
        <f t="shared" si="39"/>
        <v>4802.6426255676042</v>
      </c>
      <c r="AN111" s="125">
        <f t="shared" si="39"/>
        <v>5038.3339085302832</v>
      </c>
      <c r="AO111" s="125">
        <f t="shared" si="39"/>
        <v>4825.0927957209415</v>
      </c>
      <c r="AP111" s="3">
        <f t="shared" si="26"/>
        <v>72786.621717305708</v>
      </c>
      <c r="AQ111" s="110">
        <f t="shared" si="36"/>
        <v>95000</v>
      </c>
    </row>
    <row r="112" spans="1:45" x14ac:dyDescent="0.25">
      <c r="A112" s="118">
        <v>111</v>
      </c>
      <c r="B112" s="4" t="s">
        <v>121</v>
      </c>
      <c r="C112" s="4" t="s">
        <v>376</v>
      </c>
      <c r="D112" s="4" t="s">
        <v>377</v>
      </c>
      <c r="E112" s="4" t="s">
        <v>343</v>
      </c>
      <c r="F112" s="4" t="s">
        <v>131</v>
      </c>
      <c r="G112" s="104" t="s">
        <v>373</v>
      </c>
      <c r="H112" s="4" t="s">
        <v>373</v>
      </c>
      <c r="I112" s="4" t="s">
        <v>523</v>
      </c>
      <c r="J112" s="120">
        <v>95000</v>
      </c>
      <c r="K112" s="121">
        <f t="shared" si="37"/>
        <v>4812.6695173677244</v>
      </c>
      <c r="L112" s="122">
        <f t="shared" si="37"/>
        <v>6023.2423407745373</v>
      </c>
      <c r="M112" s="123">
        <f t="shared" si="37"/>
        <v>5510.4858160402246</v>
      </c>
      <c r="N112" s="123">
        <f t="shared" si="37"/>
        <v>2694.281140289168</v>
      </c>
      <c r="O112" s="123">
        <f t="shared" si="37"/>
        <v>2395.7036730075852</v>
      </c>
      <c r="P112" s="124">
        <f t="shared" si="37"/>
        <v>2245.7629791336635</v>
      </c>
      <c r="Q112" s="122">
        <f t="shared" si="37"/>
        <v>2267.2655114165318</v>
      </c>
      <c r="R112" s="125">
        <f t="shared" si="37"/>
        <v>2843.6181586413218</v>
      </c>
      <c r="S112" s="122">
        <f t="shared" si="37"/>
        <v>2850</v>
      </c>
      <c r="T112" s="123">
        <f t="shared" si="37"/>
        <v>3503.5734380365257</v>
      </c>
      <c r="U112" s="123">
        <f t="shared" si="38"/>
        <v>2295.4787632940343</v>
      </c>
      <c r="V112" s="123">
        <f t="shared" si="38"/>
        <v>1981.4705078685383</v>
      </c>
      <c r="W112" s="124">
        <f t="shared" si="38"/>
        <v>2015.096364443574</v>
      </c>
      <c r="X112" s="122">
        <f t="shared" si="38"/>
        <v>2180.9543738911966</v>
      </c>
      <c r="Y112" s="125">
        <f t="shared" si="38"/>
        <v>2428.8805310106172</v>
      </c>
      <c r="Z112" s="122">
        <f t="shared" si="38"/>
        <v>3103.5087125971522</v>
      </c>
      <c r="AA112" s="123">
        <f t="shared" si="38"/>
        <v>2578.4298154851854</v>
      </c>
      <c r="AB112" s="123">
        <f t="shared" si="38"/>
        <v>1787.7401163898105</v>
      </c>
      <c r="AC112" s="123">
        <f t="shared" si="38"/>
        <v>1661.9333290205518</v>
      </c>
      <c r="AD112" s="124">
        <f t="shared" si="38"/>
        <v>1642.3376151941279</v>
      </c>
      <c r="AE112" s="122">
        <f t="shared" si="39"/>
        <v>1838.3538458587491</v>
      </c>
      <c r="AF112" s="125">
        <f t="shared" si="39"/>
        <v>2547.6392537486918</v>
      </c>
      <c r="AG112" s="122">
        <f t="shared" si="39"/>
        <v>3074.6480360874261</v>
      </c>
      <c r="AH112" s="123">
        <f t="shared" si="39"/>
        <v>2988.6582782834512</v>
      </c>
      <c r="AI112" s="123">
        <f t="shared" si="39"/>
        <v>2173.3938122753211</v>
      </c>
      <c r="AJ112" s="123">
        <f t="shared" si="39"/>
        <v>3341.4957871499987</v>
      </c>
      <c r="AK112" s="124">
        <f t="shared" si="39"/>
        <v>3437.6057923796052</v>
      </c>
      <c r="AL112" s="122">
        <f t="shared" si="39"/>
        <v>4109.7031604958684</v>
      </c>
      <c r="AM112" s="125">
        <f t="shared" si="39"/>
        <v>4802.6426255676042</v>
      </c>
      <c r="AN112" s="125">
        <f t="shared" si="39"/>
        <v>5038.3339085302832</v>
      </c>
      <c r="AO112" s="125">
        <f t="shared" si="39"/>
        <v>4825.0927957209415</v>
      </c>
      <c r="AP112" s="3">
        <f t="shared" si="26"/>
        <v>72786.621717305708</v>
      </c>
      <c r="AQ112" s="110">
        <f t="shared" si="36"/>
        <v>95000</v>
      </c>
    </row>
    <row r="113" spans="1:43" x14ac:dyDescent="0.25">
      <c r="A113" s="118">
        <v>46</v>
      </c>
      <c r="B113" s="4" t="s">
        <v>111</v>
      </c>
      <c r="C113" s="4" t="s">
        <v>310</v>
      </c>
      <c r="D113" s="4" t="s">
        <v>138</v>
      </c>
      <c r="E113" s="4" t="s">
        <v>296</v>
      </c>
      <c r="F113" s="4" t="s">
        <v>128</v>
      </c>
      <c r="G113" s="119">
        <v>46086</v>
      </c>
      <c r="H113" s="4">
        <v>3</v>
      </c>
      <c r="I113" s="4" t="s">
        <v>523</v>
      </c>
      <c r="J113" s="120">
        <v>85000</v>
      </c>
      <c r="K113" s="121">
        <f t="shared" si="37"/>
        <v>4306.0727260658587</v>
      </c>
      <c r="L113" s="122">
        <f t="shared" si="37"/>
        <v>5389.2168312193226</v>
      </c>
      <c r="M113" s="123">
        <f t="shared" si="37"/>
        <v>4930.4346775096747</v>
      </c>
      <c r="N113" s="123">
        <f t="shared" si="37"/>
        <v>2410.6725992060979</v>
      </c>
      <c r="O113" s="123">
        <f t="shared" si="37"/>
        <v>2143.5243390067867</v>
      </c>
      <c r="P113" s="124">
        <f t="shared" si="37"/>
        <v>2009.366876066962</v>
      </c>
      <c r="Q113" s="122">
        <f t="shared" si="37"/>
        <v>2028.6059838990022</v>
      </c>
      <c r="R113" s="125">
        <f t="shared" si="37"/>
        <v>2544.2899314159195</v>
      </c>
      <c r="S113" s="122">
        <f t="shared" si="37"/>
        <v>2550</v>
      </c>
      <c r="T113" s="123">
        <f t="shared" si="37"/>
        <v>3134.7762340326808</v>
      </c>
      <c r="U113" s="123">
        <f t="shared" si="38"/>
        <v>2053.8494197893992</v>
      </c>
      <c r="V113" s="123">
        <f t="shared" si="38"/>
        <v>1772.894664935008</v>
      </c>
      <c r="W113" s="124">
        <f t="shared" si="38"/>
        <v>1802.9809576600398</v>
      </c>
      <c r="X113" s="122">
        <f t="shared" si="38"/>
        <v>1951.3802292710707</v>
      </c>
      <c r="Y113" s="125">
        <f t="shared" si="38"/>
        <v>2173.2088961673944</v>
      </c>
      <c r="Z113" s="122">
        <f t="shared" si="38"/>
        <v>2776.8235849553466</v>
      </c>
      <c r="AA113" s="123">
        <f t="shared" si="38"/>
        <v>2307.0161506972713</v>
      </c>
      <c r="AB113" s="123">
        <f t="shared" si="38"/>
        <v>1599.5569462435146</v>
      </c>
      <c r="AC113" s="123">
        <f t="shared" si="38"/>
        <v>1486.9929785973359</v>
      </c>
      <c r="AD113" s="124">
        <f t="shared" si="38"/>
        <v>1469.4599714894828</v>
      </c>
      <c r="AE113" s="122">
        <f t="shared" si="39"/>
        <v>1644.8429147157228</v>
      </c>
      <c r="AF113" s="125">
        <f t="shared" si="39"/>
        <v>2279.4667007225135</v>
      </c>
      <c r="AG113" s="122">
        <f t="shared" si="39"/>
        <v>2751.000874394013</v>
      </c>
      <c r="AH113" s="123">
        <f t="shared" si="39"/>
        <v>2674.062670043088</v>
      </c>
      <c r="AI113" s="123">
        <f t="shared" si="39"/>
        <v>1944.6155162463401</v>
      </c>
      <c r="AJ113" s="123">
        <f t="shared" si="39"/>
        <v>2989.7593885026304</v>
      </c>
      <c r="AK113" s="124">
        <f t="shared" si="39"/>
        <v>3075.752551076489</v>
      </c>
      <c r="AL113" s="122">
        <f t="shared" si="39"/>
        <v>3677.1028278120925</v>
      </c>
      <c r="AM113" s="125">
        <f t="shared" si="39"/>
        <v>4297.1012965604878</v>
      </c>
      <c r="AN113" s="125">
        <f t="shared" si="39"/>
        <v>4507.9829707902527</v>
      </c>
      <c r="AO113" s="125">
        <f t="shared" si="39"/>
        <v>4317.1882909082105</v>
      </c>
      <c r="AP113" s="3">
        <f t="shared" si="26"/>
        <v>65124.872062852468</v>
      </c>
      <c r="AQ113" s="110">
        <f t="shared" si="36"/>
        <v>85000</v>
      </c>
    </row>
    <row r="114" spans="1:43" x14ac:dyDescent="0.25">
      <c r="A114" s="118">
        <v>115</v>
      </c>
      <c r="B114" s="4" t="s">
        <v>383</v>
      </c>
      <c r="C114" s="4" t="s">
        <v>383</v>
      </c>
      <c r="D114" s="4" t="s">
        <v>139</v>
      </c>
      <c r="E114" s="4" t="s">
        <v>296</v>
      </c>
      <c r="F114" s="4" t="s">
        <v>130</v>
      </c>
      <c r="G114" s="104" t="s">
        <v>373</v>
      </c>
      <c r="I114" s="4" t="s">
        <v>523</v>
      </c>
      <c r="J114" s="120">
        <v>80000</v>
      </c>
      <c r="K114" s="121">
        <f t="shared" si="37"/>
        <v>4052.7743304149262</v>
      </c>
      <c r="L114" s="122">
        <f t="shared" si="37"/>
        <v>5072.2040764417152</v>
      </c>
      <c r="M114" s="123">
        <f t="shared" si="37"/>
        <v>4640.4091082443992</v>
      </c>
      <c r="N114" s="123">
        <f t="shared" si="37"/>
        <v>2268.8683286645623</v>
      </c>
      <c r="O114" s="123">
        <f t="shared" si="37"/>
        <v>2017.4346720063875</v>
      </c>
      <c r="P114" s="124">
        <f t="shared" si="37"/>
        <v>1891.1688245336113</v>
      </c>
      <c r="Q114" s="122">
        <f t="shared" si="37"/>
        <v>1909.2762201402375</v>
      </c>
      <c r="R114" s="125">
        <f t="shared" si="37"/>
        <v>2394.6258178032181</v>
      </c>
      <c r="S114" s="122">
        <f t="shared" si="37"/>
        <v>2400</v>
      </c>
      <c r="T114" s="123">
        <f t="shared" si="37"/>
        <v>2950.3776320307584</v>
      </c>
      <c r="U114" s="123">
        <f t="shared" si="38"/>
        <v>1933.0347480370815</v>
      </c>
      <c r="V114" s="123">
        <f t="shared" si="38"/>
        <v>1668.6067434682427</v>
      </c>
      <c r="W114" s="124">
        <f t="shared" si="38"/>
        <v>1696.9232542682728</v>
      </c>
      <c r="X114" s="122">
        <f t="shared" si="38"/>
        <v>1836.5931569610077</v>
      </c>
      <c r="Y114" s="125">
        <f t="shared" si="38"/>
        <v>2045.373078745783</v>
      </c>
      <c r="Z114" s="122">
        <f t="shared" si="38"/>
        <v>2613.4810211344438</v>
      </c>
      <c r="AA114" s="123">
        <f t="shared" si="38"/>
        <v>2171.3093183033143</v>
      </c>
      <c r="AB114" s="123">
        <f t="shared" si="38"/>
        <v>1505.4653611703666</v>
      </c>
      <c r="AC114" s="123">
        <f t="shared" si="38"/>
        <v>1399.5228033857279</v>
      </c>
      <c r="AD114" s="124">
        <f t="shared" si="38"/>
        <v>1383.0211496371603</v>
      </c>
      <c r="AE114" s="122">
        <f t="shared" si="39"/>
        <v>1548.0874491442098</v>
      </c>
      <c r="AF114" s="125">
        <f t="shared" si="39"/>
        <v>2145.3804242094247</v>
      </c>
      <c r="AG114" s="122">
        <f t="shared" si="39"/>
        <v>2589.1772935473064</v>
      </c>
      <c r="AH114" s="123">
        <f t="shared" si="39"/>
        <v>2516.7648659229062</v>
      </c>
      <c r="AI114" s="123">
        <f t="shared" si="39"/>
        <v>1830.2263682318496</v>
      </c>
      <c r="AJ114" s="123">
        <f t="shared" si="39"/>
        <v>2813.8911891789462</v>
      </c>
      <c r="AK114" s="124">
        <f t="shared" si="39"/>
        <v>2894.8259304249309</v>
      </c>
      <c r="AL114" s="122">
        <f t="shared" si="39"/>
        <v>3460.8026614702048</v>
      </c>
      <c r="AM114" s="125">
        <f t="shared" si="39"/>
        <v>4044.33063205693</v>
      </c>
      <c r="AN114" s="125">
        <f t="shared" si="39"/>
        <v>4242.8075019202379</v>
      </c>
      <c r="AO114" s="125">
        <f t="shared" si="39"/>
        <v>4063.2360385018451</v>
      </c>
      <c r="AP114" s="3">
        <f t="shared" si="26"/>
        <v>61293.997235625866</v>
      </c>
      <c r="AQ114" s="110">
        <f t="shared" si="36"/>
        <v>80000</v>
      </c>
    </row>
    <row r="115" spans="1:43" x14ac:dyDescent="0.25">
      <c r="A115" s="118">
        <v>60</v>
      </c>
      <c r="B115" s="4" t="s">
        <v>120</v>
      </c>
      <c r="C115" s="4" t="s">
        <v>323</v>
      </c>
      <c r="D115" s="4" t="s">
        <v>142</v>
      </c>
      <c r="E115" s="4" t="s">
        <v>270</v>
      </c>
      <c r="F115" s="4" t="s">
        <v>132</v>
      </c>
      <c r="G115" s="119">
        <v>0</v>
      </c>
      <c r="H115" s="4">
        <v>2</v>
      </c>
      <c r="I115" s="4" t="s">
        <v>523</v>
      </c>
      <c r="J115" s="120">
        <v>60000</v>
      </c>
      <c r="K115" s="121">
        <f t="shared" si="37"/>
        <v>3039.5807478111947</v>
      </c>
      <c r="L115" s="122">
        <f t="shared" si="37"/>
        <v>3804.1530573312866</v>
      </c>
      <c r="M115" s="123">
        <f t="shared" si="37"/>
        <v>3480.3068311832994</v>
      </c>
      <c r="N115" s="123">
        <f t="shared" si="37"/>
        <v>1701.6512464984219</v>
      </c>
      <c r="O115" s="123">
        <f t="shared" si="37"/>
        <v>1513.0760040047905</v>
      </c>
      <c r="P115" s="124">
        <f t="shared" si="37"/>
        <v>1418.3766184002086</v>
      </c>
      <c r="Q115" s="122">
        <f t="shared" si="37"/>
        <v>1431.9571651051781</v>
      </c>
      <c r="R115" s="125">
        <f t="shared" si="37"/>
        <v>1795.9693633524137</v>
      </c>
      <c r="S115" s="122">
        <f t="shared" si="37"/>
        <v>1800</v>
      </c>
      <c r="T115" s="123">
        <f t="shared" si="37"/>
        <v>2212.7832240230687</v>
      </c>
      <c r="U115" s="123">
        <f t="shared" si="38"/>
        <v>1449.7760610278112</v>
      </c>
      <c r="V115" s="123">
        <f t="shared" si="38"/>
        <v>1251.455057601182</v>
      </c>
      <c r="W115" s="124">
        <f t="shared" si="38"/>
        <v>1272.6924407012045</v>
      </c>
      <c r="X115" s="122">
        <f t="shared" si="38"/>
        <v>1377.4448677207558</v>
      </c>
      <c r="Y115" s="125">
        <f t="shared" si="38"/>
        <v>1534.0298090593371</v>
      </c>
      <c r="Z115" s="122">
        <f t="shared" si="38"/>
        <v>1960.1107658508329</v>
      </c>
      <c r="AA115" s="123">
        <f t="shared" si="38"/>
        <v>1628.4819887274857</v>
      </c>
      <c r="AB115" s="123">
        <f t="shared" si="38"/>
        <v>1129.099020877775</v>
      </c>
      <c r="AC115" s="123">
        <f t="shared" si="38"/>
        <v>1049.642102539296</v>
      </c>
      <c r="AD115" s="124">
        <f t="shared" si="38"/>
        <v>1037.2658622278702</v>
      </c>
      <c r="AE115" s="122">
        <f t="shared" si="39"/>
        <v>1161.0655868581573</v>
      </c>
      <c r="AF115" s="125">
        <f t="shared" si="39"/>
        <v>1609.0353181570686</v>
      </c>
      <c r="AG115" s="122">
        <f t="shared" si="39"/>
        <v>1941.8829701604795</v>
      </c>
      <c r="AH115" s="123">
        <f t="shared" si="39"/>
        <v>1887.5736494421799</v>
      </c>
      <c r="AI115" s="123">
        <f t="shared" si="39"/>
        <v>1372.6697761738872</v>
      </c>
      <c r="AJ115" s="123">
        <f t="shared" si="39"/>
        <v>2110.41839188421</v>
      </c>
      <c r="AK115" s="124">
        <f t="shared" si="39"/>
        <v>2171.1194478186981</v>
      </c>
      <c r="AL115" s="122">
        <f t="shared" si="39"/>
        <v>2595.6019961026536</v>
      </c>
      <c r="AM115" s="125">
        <f t="shared" si="39"/>
        <v>3033.2479740426975</v>
      </c>
      <c r="AN115" s="125">
        <f t="shared" si="39"/>
        <v>3182.1056264401786</v>
      </c>
      <c r="AO115" s="125">
        <f t="shared" si="39"/>
        <v>3047.4270288763837</v>
      </c>
      <c r="AP115" s="3">
        <f t="shared" si="26"/>
        <v>45970.497926719407</v>
      </c>
      <c r="AQ115" s="110">
        <f t="shared" si="36"/>
        <v>60000.000000000015</v>
      </c>
    </row>
    <row r="116" spans="1:43" x14ac:dyDescent="0.25">
      <c r="A116" s="118">
        <v>72</v>
      </c>
      <c r="B116" s="4" t="s">
        <v>83</v>
      </c>
      <c r="C116" s="4" t="s">
        <v>334</v>
      </c>
      <c r="D116" s="4" t="s">
        <v>143</v>
      </c>
      <c r="E116" s="4" t="s">
        <v>335</v>
      </c>
      <c r="F116" s="4" t="s">
        <v>133</v>
      </c>
      <c r="G116" s="119">
        <v>46079</v>
      </c>
      <c r="H116" s="4">
        <v>4</v>
      </c>
      <c r="I116" s="4" t="s">
        <v>523</v>
      </c>
      <c r="J116" s="120">
        <v>60000</v>
      </c>
      <c r="K116" s="121">
        <f t="shared" si="37"/>
        <v>3039.5807478111947</v>
      </c>
      <c r="L116" s="122">
        <f t="shared" si="37"/>
        <v>3804.1530573312866</v>
      </c>
      <c r="M116" s="123">
        <f t="shared" si="37"/>
        <v>3480.3068311832994</v>
      </c>
      <c r="N116" s="123">
        <f t="shared" si="37"/>
        <v>1701.6512464984219</v>
      </c>
      <c r="O116" s="123">
        <f t="shared" si="37"/>
        <v>1513.0760040047905</v>
      </c>
      <c r="P116" s="124">
        <f t="shared" si="37"/>
        <v>1418.3766184002086</v>
      </c>
      <c r="Q116" s="122">
        <f t="shared" si="37"/>
        <v>1431.9571651051781</v>
      </c>
      <c r="R116" s="125">
        <f t="shared" si="37"/>
        <v>1795.9693633524137</v>
      </c>
      <c r="S116" s="122">
        <f t="shared" si="37"/>
        <v>1800</v>
      </c>
      <c r="T116" s="123">
        <f t="shared" si="37"/>
        <v>2212.7832240230687</v>
      </c>
      <c r="U116" s="123">
        <f t="shared" si="38"/>
        <v>1449.7760610278112</v>
      </c>
      <c r="V116" s="123">
        <f t="shared" si="38"/>
        <v>1251.455057601182</v>
      </c>
      <c r="W116" s="124">
        <f t="shared" si="38"/>
        <v>1272.6924407012045</v>
      </c>
      <c r="X116" s="122">
        <f t="shared" si="38"/>
        <v>1377.4448677207558</v>
      </c>
      <c r="Y116" s="125">
        <f t="shared" si="38"/>
        <v>1534.0298090593371</v>
      </c>
      <c r="Z116" s="122">
        <f t="shared" si="38"/>
        <v>1960.1107658508329</v>
      </c>
      <c r="AA116" s="123">
        <f t="shared" si="38"/>
        <v>1628.4819887274857</v>
      </c>
      <c r="AB116" s="123">
        <f t="shared" si="38"/>
        <v>1129.099020877775</v>
      </c>
      <c r="AC116" s="123">
        <f t="shared" si="38"/>
        <v>1049.642102539296</v>
      </c>
      <c r="AD116" s="124">
        <f t="shared" si="38"/>
        <v>1037.2658622278702</v>
      </c>
      <c r="AE116" s="122">
        <f t="shared" si="39"/>
        <v>1161.0655868581573</v>
      </c>
      <c r="AF116" s="125">
        <f t="shared" si="39"/>
        <v>1609.0353181570686</v>
      </c>
      <c r="AG116" s="122">
        <f t="shared" si="39"/>
        <v>1941.8829701604795</v>
      </c>
      <c r="AH116" s="123">
        <f t="shared" si="39"/>
        <v>1887.5736494421799</v>
      </c>
      <c r="AI116" s="123">
        <f t="shared" si="39"/>
        <v>1372.6697761738872</v>
      </c>
      <c r="AJ116" s="123">
        <f t="shared" si="39"/>
        <v>2110.41839188421</v>
      </c>
      <c r="AK116" s="124">
        <f t="shared" si="39"/>
        <v>2171.1194478186981</v>
      </c>
      <c r="AL116" s="122">
        <f t="shared" si="39"/>
        <v>2595.6019961026536</v>
      </c>
      <c r="AM116" s="125">
        <f t="shared" si="39"/>
        <v>3033.2479740426975</v>
      </c>
      <c r="AN116" s="125">
        <f t="shared" si="39"/>
        <v>3182.1056264401786</v>
      </c>
      <c r="AO116" s="125">
        <f t="shared" si="39"/>
        <v>3047.4270288763837</v>
      </c>
      <c r="AP116" s="3">
        <f t="shared" si="26"/>
        <v>45970.497926719407</v>
      </c>
      <c r="AQ116" s="110">
        <f t="shared" si="36"/>
        <v>60000.000000000015</v>
      </c>
    </row>
    <row r="117" spans="1:43" s="182" customFormat="1" x14ac:dyDescent="0.25">
      <c r="A117" s="181">
        <v>112</v>
      </c>
      <c r="B117" s="4" t="s">
        <v>557</v>
      </c>
      <c r="C117" s="182" t="s">
        <v>378</v>
      </c>
      <c r="D117" s="182" t="s">
        <v>379</v>
      </c>
      <c r="E117" s="182" t="s">
        <v>380</v>
      </c>
      <c r="F117" s="4" t="s">
        <v>690</v>
      </c>
      <c r="G117" s="119">
        <v>46296</v>
      </c>
      <c r="H117" s="121">
        <v>6</v>
      </c>
      <c r="I117" s="122"/>
      <c r="J117" s="120">
        <v>1000000</v>
      </c>
      <c r="K117" s="121">
        <v>50659.679130186574</v>
      </c>
      <c r="L117" s="121">
        <v>63402.550955521445</v>
      </c>
      <c r="M117" s="121">
        <v>58005.113853054994</v>
      </c>
      <c r="N117" s="121">
        <v>28360.85410830703</v>
      </c>
      <c r="O117" s="121">
        <v>25217.933400079841</v>
      </c>
      <c r="P117" s="121">
        <v>23639.610306670143</v>
      </c>
      <c r="Q117" s="121">
        <v>23865.952751752968</v>
      </c>
      <c r="R117" s="121">
        <v>29932.822722540226</v>
      </c>
      <c r="S117" s="121">
        <v>30000</v>
      </c>
      <c r="T117" s="121">
        <v>36879.720400384482</v>
      </c>
      <c r="U117" s="121">
        <v>24162.934350463518</v>
      </c>
      <c r="V117" s="121">
        <v>20857.584293353033</v>
      </c>
      <c r="W117" s="121">
        <v>21211.540678353409</v>
      </c>
      <c r="X117" s="121">
        <v>22957.414462012599</v>
      </c>
      <c r="Y117" s="121">
        <v>25567.163484322289</v>
      </c>
      <c r="Z117" s="121">
        <v>32668.512764180548</v>
      </c>
      <c r="AA117" s="121">
        <v>27141.366478791428</v>
      </c>
      <c r="AB117" s="121">
        <v>18818.317014629582</v>
      </c>
      <c r="AC117" s="121">
        <v>17494.0350423216</v>
      </c>
      <c r="AD117" s="121">
        <v>17287.764370464505</v>
      </c>
      <c r="AE117" s="121">
        <v>19351.093114302621</v>
      </c>
      <c r="AF117" s="121">
        <v>26817.255302617807</v>
      </c>
      <c r="AG117" s="121">
        <v>32364.716169341329</v>
      </c>
      <c r="AH117" s="121">
        <v>31459.560824036329</v>
      </c>
      <c r="AI117" s="121">
        <v>22877.82960289812</v>
      </c>
      <c r="AJ117" s="121">
        <v>35173.639864736833</v>
      </c>
      <c r="AK117" s="121">
        <v>36185.324130311637</v>
      </c>
      <c r="AL117" s="121">
        <v>43260.033268377563</v>
      </c>
      <c r="AM117" s="121">
        <v>50554.132900711622</v>
      </c>
      <c r="AN117" s="121">
        <v>53035.093774002977</v>
      </c>
      <c r="AO117" s="121">
        <v>50790.450481273067</v>
      </c>
    </row>
    <row r="118" spans="1:43" x14ac:dyDescent="0.25">
      <c r="A118" s="118">
        <v>114</v>
      </c>
      <c r="B118" s="4" t="s">
        <v>382</v>
      </c>
      <c r="C118" s="4" t="s">
        <v>382</v>
      </c>
      <c r="D118" s="4" t="s">
        <v>524</v>
      </c>
      <c r="E118" s="4" t="s">
        <v>294</v>
      </c>
      <c r="F118" s="4" t="s">
        <v>133</v>
      </c>
      <c r="G118" s="104" t="s">
        <v>373</v>
      </c>
      <c r="I118" s="4" t="s">
        <v>523</v>
      </c>
      <c r="J118" s="120">
        <v>50000</v>
      </c>
      <c r="K118" s="121">
        <f t="shared" ref="K118:T120" si="40">$J118*K$4</f>
        <v>2532.9839565093289</v>
      </c>
      <c r="L118" s="122">
        <f t="shared" si="40"/>
        <v>3170.1275477760719</v>
      </c>
      <c r="M118" s="123">
        <f t="shared" si="40"/>
        <v>2900.2556926527495</v>
      </c>
      <c r="N118" s="123">
        <f t="shared" si="40"/>
        <v>1418.0427054153515</v>
      </c>
      <c r="O118" s="123">
        <f t="shared" si="40"/>
        <v>1260.8966700039921</v>
      </c>
      <c r="P118" s="124">
        <f t="shared" si="40"/>
        <v>1181.9805153335071</v>
      </c>
      <c r="Q118" s="122">
        <f t="shared" si="40"/>
        <v>1193.2976375876485</v>
      </c>
      <c r="R118" s="125">
        <f t="shared" si="40"/>
        <v>1496.6411361270114</v>
      </c>
      <c r="S118" s="122">
        <f t="shared" si="40"/>
        <v>1500</v>
      </c>
      <c r="T118" s="123">
        <f t="shared" si="40"/>
        <v>1843.986020019224</v>
      </c>
      <c r="U118" s="123">
        <f t="shared" ref="U118:AD120" si="41">$J118*U$4</f>
        <v>1208.146717523176</v>
      </c>
      <c r="V118" s="123">
        <f t="shared" si="41"/>
        <v>1042.8792146676517</v>
      </c>
      <c r="W118" s="124">
        <f t="shared" si="41"/>
        <v>1060.5770339176704</v>
      </c>
      <c r="X118" s="122">
        <f t="shared" si="41"/>
        <v>1147.8707231006299</v>
      </c>
      <c r="Y118" s="125">
        <f t="shared" si="41"/>
        <v>1278.3581742161143</v>
      </c>
      <c r="Z118" s="122">
        <f t="shared" si="41"/>
        <v>1633.4256382090275</v>
      </c>
      <c r="AA118" s="123">
        <f t="shared" si="41"/>
        <v>1357.0683239395714</v>
      </c>
      <c r="AB118" s="123">
        <f t="shared" si="41"/>
        <v>940.91585073147917</v>
      </c>
      <c r="AC118" s="123">
        <f t="shared" si="41"/>
        <v>874.70175211608</v>
      </c>
      <c r="AD118" s="124">
        <f t="shared" si="41"/>
        <v>864.38821852322519</v>
      </c>
      <c r="AE118" s="122">
        <f t="shared" ref="AE118:AO120" si="42">$J118*AE$4</f>
        <v>967.55465571513116</v>
      </c>
      <c r="AF118" s="125">
        <f t="shared" si="42"/>
        <v>1340.8627651308905</v>
      </c>
      <c r="AG118" s="122">
        <f t="shared" si="42"/>
        <v>1618.2358084670664</v>
      </c>
      <c r="AH118" s="123">
        <f t="shared" si="42"/>
        <v>1572.9780412018165</v>
      </c>
      <c r="AI118" s="123">
        <f t="shared" si="42"/>
        <v>1143.8914801449059</v>
      </c>
      <c r="AJ118" s="123">
        <f t="shared" si="42"/>
        <v>1758.6819932368414</v>
      </c>
      <c r="AK118" s="124">
        <f t="shared" si="42"/>
        <v>1809.2662065155816</v>
      </c>
      <c r="AL118" s="122">
        <f t="shared" si="42"/>
        <v>2163.0016634188778</v>
      </c>
      <c r="AM118" s="125">
        <f t="shared" si="42"/>
        <v>2527.7066450355815</v>
      </c>
      <c r="AN118" s="125">
        <f t="shared" si="42"/>
        <v>2651.754688700149</v>
      </c>
      <c r="AO118" s="125">
        <f t="shared" si="42"/>
        <v>2539.5225240636532</v>
      </c>
      <c r="AP118" s="3">
        <f>SUM(K118:V118)</f>
        <v>20749.237813615717</v>
      </c>
      <c r="AQ118" s="110">
        <f>SUM(K118:AO118)</f>
        <v>50000.000000000015</v>
      </c>
    </row>
    <row r="119" spans="1:43" x14ac:dyDescent="0.25">
      <c r="A119" s="118">
        <v>71</v>
      </c>
      <c r="B119" s="4" t="s">
        <v>72</v>
      </c>
      <c r="C119" s="4" t="s">
        <v>289</v>
      </c>
      <c r="D119" s="4" t="s">
        <v>155</v>
      </c>
      <c r="E119" s="4" t="s">
        <v>285</v>
      </c>
      <c r="F119" s="4" t="s">
        <v>131</v>
      </c>
      <c r="G119" s="119">
        <v>45940</v>
      </c>
      <c r="H119" s="4">
        <v>3</v>
      </c>
      <c r="I119" s="4" t="s">
        <v>523</v>
      </c>
      <c r="J119" s="120">
        <v>41000</v>
      </c>
      <c r="K119" s="121">
        <f t="shared" si="40"/>
        <v>2077.0468443376494</v>
      </c>
      <c r="L119" s="122">
        <f t="shared" si="40"/>
        <v>2599.5045891763789</v>
      </c>
      <c r="M119" s="123">
        <f t="shared" si="40"/>
        <v>2378.2096679752549</v>
      </c>
      <c r="N119" s="123">
        <f t="shared" si="40"/>
        <v>1162.7950184405884</v>
      </c>
      <c r="O119" s="123">
        <f t="shared" si="40"/>
        <v>1033.9352694032734</v>
      </c>
      <c r="P119" s="124">
        <f t="shared" si="40"/>
        <v>969.22402257347585</v>
      </c>
      <c r="Q119" s="122">
        <f t="shared" si="40"/>
        <v>978.50406282187168</v>
      </c>
      <c r="R119" s="125">
        <f t="shared" si="40"/>
        <v>1227.2457316241494</v>
      </c>
      <c r="S119" s="122">
        <f t="shared" si="40"/>
        <v>1230</v>
      </c>
      <c r="T119" s="123">
        <f t="shared" si="40"/>
        <v>1512.0685364157637</v>
      </c>
      <c r="U119" s="123">
        <f t="shared" si="41"/>
        <v>990.68030836900436</v>
      </c>
      <c r="V119" s="123">
        <f t="shared" si="41"/>
        <v>855.16095602747441</v>
      </c>
      <c r="W119" s="124">
        <f t="shared" si="41"/>
        <v>869.67316781248974</v>
      </c>
      <c r="X119" s="122">
        <f t="shared" si="41"/>
        <v>941.25399294251645</v>
      </c>
      <c r="Y119" s="125">
        <f t="shared" si="41"/>
        <v>1048.2537028572137</v>
      </c>
      <c r="Z119" s="122">
        <f t="shared" si="41"/>
        <v>1339.4090233314025</v>
      </c>
      <c r="AA119" s="123">
        <f t="shared" si="41"/>
        <v>1112.7960256304484</v>
      </c>
      <c r="AB119" s="123">
        <f t="shared" si="41"/>
        <v>771.55099759981294</v>
      </c>
      <c r="AC119" s="123">
        <f t="shared" si="41"/>
        <v>717.25543673518553</v>
      </c>
      <c r="AD119" s="124">
        <f t="shared" si="41"/>
        <v>708.79833918904467</v>
      </c>
      <c r="AE119" s="122">
        <f t="shared" si="42"/>
        <v>793.39481768640758</v>
      </c>
      <c r="AF119" s="125">
        <f t="shared" si="42"/>
        <v>1099.5074674073301</v>
      </c>
      <c r="AG119" s="122">
        <f t="shared" si="42"/>
        <v>1326.9533629429943</v>
      </c>
      <c r="AH119" s="123">
        <f t="shared" si="42"/>
        <v>1289.8419937854894</v>
      </c>
      <c r="AI119" s="123">
        <f t="shared" si="42"/>
        <v>937.99101371882284</v>
      </c>
      <c r="AJ119" s="123">
        <f t="shared" si="42"/>
        <v>1442.1192344542101</v>
      </c>
      <c r="AK119" s="124">
        <f t="shared" si="42"/>
        <v>1483.598289342777</v>
      </c>
      <c r="AL119" s="122">
        <f t="shared" si="42"/>
        <v>1773.66136400348</v>
      </c>
      <c r="AM119" s="125">
        <f t="shared" si="42"/>
        <v>2072.7194489291765</v>
      </c>
      <c r="AN119" s="125">
        <f t="shared" si="42"/>
        <v>2174.4388447341221</v>
      </c>
      <c r="AO119" s="125">
        <f t="shared" si="42"/>
        <v>2082.4084697321955</v>
      </c>
      <c r="AP119" s="3">
        <f>SUM(K119:V119)</f>
        <v>17014.375007164886</v>
      </c>
      <c r="AQ119" s="110">
        <f>SUM(K119:AO119)</f>
        <v>41000</v>
      </c>
    </row>
    <row r="120" spans="1:43" ht="15.75" thickBot="1" x14ac:dyDescent="0.3">
      <c r="A120" s="118">
        <v>116</v>
      </c>
      <c r="B120" s="4" t="s">
        <v>384</v>
      </c>
      <c r="C120" s="4" t="s">
        <v>384</v>
      </c>
      <c r="D120" s="4" t="s">
        <v>144</v>
      </c>
      <c r="E120" s="4" t="s">
        <v>266</v>
      </c>
      <c r="F120" s="4" t="s">
        <v>126</v>
      </c>
      <c r="G120" s="104" t="s">
        <v>373</v>
      </c>
      <c r="I120" s="4" t="s">
        <v>523</v>
      </c>
      <c r="J120" s="120">
        <v>30000</v>
      </c>
      <c r="K120" s="126">
        <f t="shared" si="40"/>
        <v>1519.7903739055973</v>
      </c>
      <c r="L120" s="127">
        <f t="shared" si="40"/>
        <v>1902.0765286656433</v>
      </c>
      <c r="M120" s="128">
        <f t="shared" si="40"/>
        <v>1740.1534155916497</v>
      </c>
      <c r="N120" s="128">
        <f t="shared" si="40"/>
        <v>850.82562324921093</v>
      </c>
      <c r="O120" s="128">
        <f t="shared" si="40"/>
        <v>756.53800200239527</v>
      </c>
      <c r="P120" s="129">
        <f t="shared" si="40"/>
        <v>709.1883092001043</v>
      </c>
      <c r="Q120" s="127">
        <f t="shared" si="40"/>
        <v>715.97858255258905</v>
      </c>
      <c r="R120" s="130">
        <f t="shared" si="40"/>
        <v>897.98468167620683</v>
      </c>
      <c r="S120" s="127">
        <f t="shared" si="40"/>
        <v>900</v>
      </c>
      <c r="T120" s="128">
        <f t="shared" si="40"/>
        <v>1106.3916120115343</v>
      </c>
      <c r="U120" s="128">
        <f t="shared" si="41"/>
        <v>724.88803051390562</v>
      </c>
      <c r="V120" s="128">
        <f t="shared" si="41"/>
        <v>625.72752880059102</v>
      </c>
      <c r="W120" s="129">
        <f t="shared" si="41"/>
        <v>636.34622035060227</v>
      </c>
      <c r="X120" s="127">
        <f t="shared" si="41"/>
        <v>688.72243386037792</v>
      </c>
      <c r="Y120" s="130">
        <f t="shared" si="41"/>
        <v>767.01490452966857</v>
      </c>
      <c r="Z120" s="127">
        <f t="shared" si="41"/>
        <v>980.05538292541644</v>
      </c>
      <c r="AA120" s="128">
        <f t="shared" si="41"/>
        <v>814.24099436374286</v>
      </c>
      <c r="AB120" s="128">
        <f t="shared" si="41"/>
        <v>564.54951043888752</v>
      </c>
      <c r="AC120" s="128">
        <f t="shared" si="41"/>
        <v>524.82105126964802</v>
      </c>
      <c r="AD120" s="129">
        <f t="shared" si="41"/>
        <v>518.63293111393511</v>
      </c>
      <c r="AE120" s="127">
        <f t="shared" si="42"/>
        <v>580.53279342907865</v>
      </c>
      <c r="AF120" s="130">
        <f t="shared" si="42"/>
        <v>804.51765907853428</v>
      </c>
      <c r="AG120" s="127">
        <f t="shared" si="42"/>
        <v>970.94148508023977</v>
      </c>
      <c r="AH120" s="128">
        <f t="shared" si="42"/>
        <v>943.78682472108994</v>
      </c>
      <c r="AI120" s="128">
        <f t="shared" si="42"/>
        <v>686.33488808694358</v>
      </c>
      <c r="AJ120" s="128">
        <f t="shared" si="42"/>
        <v>1055.209195942105</v>
      </c>
      <c r="AK120" s="129">
        <f t="shared" si="42"/>
        <v>1085.559723909349</v>
      </c>
      <c r="AL120" s="127">
        <f t="shared" si="42"/>
        <v>1297.8009980513268</v>
      </c>
      <c r="AM120" s="130">
        <f t="shared" si="42"/>
        <v>1516.6239870213487</v>
      </c>
      <c r="AN120" s="130">
        <f t="shared" si="42"/>
        <v>1591.0528132200893</v>
      </c>
      <c r="AO120" s="130">
        <f t="shared" si="42"/>
        <v>1523.7135144381919</v>
      </c>
      <c r="AP120" s="3">
        <f>SUM(K120:V120)</f>
        <v>12449.542688169429</v>
      </c>
      <c r="AQ120" s="110">
        <f>SUM(K120:AO120)</f>
        <v>30000.000000000007</v>
      </c>
    </row>
  </sheetData>
  <autoFilter ref="A4:AS120" xr:uid="{0B396696-28B5-402F-974C-8C95A15A28A6}">
    <sortState xmlns:xlrd2="http://schemas.microsoft.com/office/spreadsheetml/2017/richdata2" ref="A5:AS120">
      <sortCondition descending="1" ref="J4"/>
    </sortState>
  </autoFilter>
  <conditionalFormatting sqref="B1:B1048576">
    <cfRule type="duplicateValues" dxfId="1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5C4-DDC3-41F1-AC06-A2B729BCB8F1}">
  <dimension ref="A1:AT120"/>
  <sheetViews>
    <sheetView topLeftCell="AD1" workbookViewId="0">
      <selection activeCell="AQ5" sqref="AQ5"/>
    </sheetView>
  </sheetViews>
  <sheetFormatPr defaultColWidth="9" defaultRowHeight="15" x14ac:dyDescent="0.25"/>
  <cols>
    <col min="1" max="1" width="11.140625" style="4" customWidth="1"/>
    <col min="2" max="2" width="21.42578125" style="4" bestFit="1" customWidth="1"/>
    <col min="3" max="3" width="16.85546875" style="4" customWidth="1"/>
    <col min="4" max="4" width="12.140625" style="4" hidden="1" customWidth="1"/>
    <col min="5" max="5" width="16.85546875" style="4" hidden="1" customWidth="1"/>
    <col min="6" max="6" width="22.28515625" style="4" bestFit="1" customWidth="1"/>
    <col min="7" max="7" width="15.85546875" style="104" bestFit="1" customWidth="1"/>
    <col min="8" max="8" width="17.28515625" style="4" bestFit="1" customWidth="1"/>
    <col min="9" max="9" width="17.28515625" style="4" customWidth="1"/>
    <col min="10" max="10" width="6.28515625" style="4" customWidth="1"/>
    <col min="11" max="11" width="18.5703125" style="4" bestFit="1" customWidth="1"/>
    <col min="12" max="14" width="10.5703125" style="4" bestFit="1" customWidth="1"/>
    <col min="15" max="15" width="9" style="4"/>
    <col min="16" max="17" width="9.7109375" style="4" bestFit="1" customWidth="1"/>
    <col min="18" max="18" width="13.140625" style="4" bestFit="1" customWidth="1"/>
    <col min="19" max="19" width="10.42578125" style="4" bestFit="1" customWidth="1"/>
    <col min="20" max="20" width="9" style="4"/>
    <col min="21" max="21" width="10.5703125" style="4" bestFit="1" customWidth="1"/>
    <col min="22" max="22" width="9" style="4"/>
    <col min="23" max="24" width="9.7109375" style="4" customWidth="1"/>
    <col min="25" max="25" width="13.140625" style="4" customWidth="1"/>
    <col min="26" max="26" width="10.42578125" style="4" customWidth="1"/>
    <col min="27" max="27" width="10.5703125" style="4" customWidth="1"/>
    <col min="28" max="28" width="10.140625" style="4" customWidth="1"/>
    <col min="29" max="29" width="9" style="4"/>
    <col min="30" max="31" width="9.7109375" style="4" customWidth="1"/>
    <col min="32" max="32" width="13.140625" style="4" customWidth="1"/>
    <col min="33" max="33" width="10.42578125" style="4" customWidth="1"/>
    <col min="34" max="34" width="9" style="4"/>
    <col min="35" max="35" width="10.140625" style="4" customWidth="1"/>
    <col min="36" max="36" width="9" style="4"/>
    <col min="37" max="38" width="10.5703125" style="4" customWidth="1"/>
    <col min="39" max="39" width="13.140625" style="4" customWidth="1"/>
    <col min="40" max="42" width="10.5703125" style="4" customWidth="1"/>
    <col min="43" max="43" width="15.85546875" style="4" bestFit="1" customWidth="1"/>
    <col min="44" max="44" width="12.85546875" style="4" bestFit="1" customWidth="1"/>
    <col min="45" max="45" width="9" style="4"/>
    <col min="46" max="46" width="8" style="4" bestFit="1" customWidth="1"/>
    <col min="47" max="16384" width="9" style="4"/>
  </cols>
  <sheetData>
    <row r="1" spans="1:44" ht="15.75" thickBot="1" x14ac:dyDescent="0.3">
      <c r="A1" s="93" t="s">
        <v>242</v>
      </c>
      <c r="B1" s="94"/>
      <c r="C1" s="95"/>
      <c r="D1" s="95"/>
      <c r="E1" s="3">
        <f>G1*H1</f>
        <v>0</v>
      </c>
      <c r="F1" s="3"/>
      <c r="G1" s="96">
        <v>0</v>
      </c>
      <c r="H1" s="3">
        <f>K1/29</f>
        <v>0</v>
      </c>
      <c r="I1" s="3"/>
      <c r="J1" s="3"/>
      <c r="K1" s="3"/>
      <c r="L1" s="97" t="s">
        <v>243</v>
      </c>
      <c r="M1" s="97" t="s">
        <v>244</v>
      </c>
      <c r="N1" s="98" t="s">
        <v>245</v>
      </c>
      <c r="O1" s="98" t="s">
        <v>246</v>
      </c>
      <c r="P1" s="98" t="s">
        <v>247</v>
      </c>
      <c r="Q1" s="97" t="s">
        <v>248</v>
      </c>
      <c r="R1" s="97" t="s">
        <v>249</v>
      </c>
      <c r="S1" s="97" t="s">
        <v>243</v>
      </c>
      <c r="T1" s="97" t="s">
        <v>244</v>
      </c>
      <c r="U1" s="98" t="s">
        <v>245</v>
      </c>
      <c r="V1" s="98" t="s">
        <v>246</v>
      </c>
      <c r="W1" s="98" t="s">
        <v>247</v>
      </c>
      <c r="X1" s="97" t="s">
        <v>248</v>
      </c>
      <c r="Y1" s="97" t="s">
        <v>249</v>
      </c>
      <c r="Z1" s="97" t="s">
        <v>243</v>
      </c>
      <c r="AA1" s="97" t="s">
        <v>244</v>
      </c>
      <c r="AB1" s="98" t="s">
        <v>245</v>
      </c>
      <c r="AC1" s="98" t="s">
        <v>246</v>
      </c>
      <c r="AD1" s="98" t="s">
        <v>247</v>
      </c>
      <c r="AE1" s="97" t="s">
        <v>248</v>
      </c>
      <c r="AF1" s="97" t="s">
        <v>249</v>
      </c>
      <c r="AG1" s="97" t="s">
        <v>243</v>
      </c>
      <c r="AH1" s="97" t="s">
        <v>244</v>
      </c>
      <c r="AI1" s="98" t="s">
        <v>245</v>
      </c>
      <c r="AJ1" s="98" t="s">
        <v>246</v>
      </c>
      <c r="AK1" s="98" t="s">
        <v>247</v>
      </c>
      <c r="AL1" s="97" t="s">
        <v>248</v>
      </c>
      <c r="AM1" s="97" t="s">
        <v>249</v>
      </c>
      <c r="AN1" s="97" t="s">
        <v>243</v>
      </c>
      <c r="AO1" s="97" t="s">
        <v>244</v>
      </c>
      <c r="AP1" s="97" t="s">
        <v>245</v>
      </c>
      <c r="AQ1" s="4">
        <f>34*12</f>
        <v>408</v>
      </c>
    </row>
    <row r="2" spans="1:44" ht="15.75" thickBot="1" x14ac:dyDescent="0.3">
      <c r="D2" s="99"/>
      <c r="E2" s="3">
        <f>E1+K1</f>
        <v>0</v>
      </c>
      <c r="F2" s="3"/>
      <c r="G2" s="100">
        <f>E2/K3</f>
        <v>0</v>
      </c>
      <c r="H2" s="101">
        <f>K1/K3</f>
        <v>0</v>
      </c>
      <c r="I2" s="101"/>
      <c r="J2" s="101"/>
      <c r="L2" s="102">
        <v>46296</v>
      </c>
      <c r="M2" s="102">
        <v>46297</v>
      </c>
      <c r="N2" s="103">
        <v>46298</v>
      </c>
      <c r="O2" s="103">
        <v>46299</v>
      </c>
      <c r="P2" s="103">
        <v>46300</v>
      </c>
      <c r="Q2" s="102">
        <v>46301</v>
      </c>
      <c r="R2" s="102">
        <v>46302</v>
      </c>
      <c r="S2" s="102">
        <v>46303</v>
      </c>
      <c r="T2" s="102">
        <v>46304</v>
      </c>
      <c r="U2" s="103">
        <v>46305</v>
      </c>
      <c r="V2" s="103">
        <v>46306</v>
      </c>
      <c r="W2" s="103">
        <v>46307</v>
      </c>
      <c r="X2" s="102">
        <v>46308</v>
      </c>
      <c r="Y2" s="102">
        <v>46309</v>
      </c>
      <c r="Z2" s="102">
        <v>46310</v>
      </c>
      <c r="AA2" s="102">
        <v>46311</v>
      </c>
      <c r="AB2" s="103">
        <v>46312</v>
      </c>
      <c r="AC2" s="103">
        <v>46313</v>
      </c>
      <c r="AD2" s="103">
        <v>46314</v>
      </c>
      <c r="AE2" s="102">
        <v>46315</v>
      </c>
      <c r="AF2" s="102">
        <v>46316</v>
      </c>
      <c r="AG2" s="102">
        <v>46317</v>
      </c>
      <c r="AH2" s="102">
        <v>46318</v>
      </c>
      <c r="AI2" s="103">
        <v>46319</v>
      </c>
      <c r="AJ2" s="103">
        <v>46320</v>
      </c>
      <c r="AK2" s="103">
        <v>46321</v>
      </c>
      <c r="AL2" s="102">
        <v>46322</v>
      </c>
      <c r="AM2" s="102">
        <v>46323</v>
      </c>
      <c r="AN2" s="102">
        <v>46324</v>
      </c>
      <c r="AO2" s="102">
        <v>46325</v>
      </c>
      <c r="AP2" s="102">
        <v>46326</v>
      </c>
    </row>
    <row r="3" spans="1:44" ht="15.75" thickBot="1" x14ac:dyDescent="0.3">
      <c r="H3" s="3"/>
      <c r="I3" s="3"/>
      <c r="J3" s="3"/>
      <c r="K3" s="3">
        <f t="shared" ref="K3:AR3" si="0">SUBTOTAL(9,K5:K120)</f>
        <v>2237878.0211947206</v>
      </c>
      <c r="L3" s="105">
        <f t="shared" si="0"/>
        <v>113370.18248622137</v>
      </c>
      <c r="M3" s="106">
        <f t="shared" si="0"/>
        <v>141887.17527103977</v>
      </c>
      <c r="N3" s="107">
        <f t="shared" si="0"/>
        <v>129808.36940864915</v>
      </c>
      <c r="O3" s="107">
        <f t="shared" si="0"/>
        <v>63468.132071290282</v>
      </c>
      <c r="P3" s="107">
        <f t="shared" si="0"/>
        <v>56434.658895990928</v>
      </c>
      <c r="Q3" s="108">
        <f t="shared" si="0"/>
        <v>52902.564334905277</v>
      </c>
      <c r="R3" s="108">
        <f t="shared" si="0"/>
        <v>53409.09111801962</v>
      </c>
      <c r="S3" s="105">
        <f t="shared" si="0"/>
        <v>66986.006083090688</v>
      </c>
      <c r="T3" s="106">
        <f t="shared" si="0"/>
        <v>67136.340635841596</v>
      </c>
      <c r="U3" s="107">
        <f t="shared" si="0"/>
        <v>82532.315711826945</v>
      </c>
      <c r="V3" s="107">
        <f t="shared" si="0"/>
        <v>54073.699710473207</v>
      </c>
      <c r="W3" s="107">
        <f t="shared" si="0"/>
        <v>46676.729465310964</v>
      </c>
      <c r="X3" s="108">
        <f t="shared" si="0"/>
        <v>47468.840679764806</v>
      </c>
      <c r="Y3" s="108">
        <f t="shared" si="0"/>
        <v>51375.893247995809</v>
      </c>
      <c r="Z3" s="105">
        <f t="shared" si="0"/>
        <v>57216.19322585706</v>
      </c>
      <c r="AA3" s="106">
        <f t="shared" si="0"/>
        <v>73108.146700078825</v>
      </c>
      <c r="AB3" s="107">
        <f t="shared" si="0"/>
        <v>60739.067508078493</v>
      </c>
      <c r="AC3" s="107">
        <f t="shared" si="0"/>
        <v>42113.098042914185</v>
      </c>
      <c r="AD3" s="107">
        <f t="shared" si="0"/>
        <v>39149.516523221762</v>
      </c>
      <c r="AE3" s="108">
        <f t="shared" si="0"/>
        <v>38687.907920255704</v>
      </c>
      <c r="AF3" s="108">
        <f t="shared" si="0"/>
        <v>43305.385966590322</v>
      </c>
      <c r="AG3" s="105">
        <f t="shared" si="0"/>
        <v>60013.746230495941</v>
      </c>
      <c r="AH3" s="106">
        <f t="shared" si="0"/>
        <v>72428.286977574331</v>
      </c>
      <c r="AI3" s="107">
        <f t="shared" si="0"/>
        <v>70402.659724549361</v>
      </c>
      <c r="AJ3" s="107">
        <f t="shared" si="0"/>
        <v>51197.792040963621</v>
      </c>
      <c r="AK3" s="107">
        <f t="shared" si="0"/>
        <v>78714.315578712951</v>
      </c>
      <c r="AL3" s="108">
        <f t="shared" si="0"/>
        <v>80978.341561031324</v>
      </c>
      <c r="AM3" s="108">
        <f t="shared" si="0"/>
        <v>96810.677647454533</v>
      </c>
      <c r="AN3" s="105">
        <f t="shared" si="0"/>
        <v>113133.98289905948</v>
      </c>
      <c r="AO3" s="109">
        <f t="shared" si="0"/>
        <v>118686.07070884222</v>
      </c>
      <c r="AP3" s="109">
        <f t="shared" si="0"/>
        <v>113662.83281861979</v>
      </c>
      <c r="AQ3" s="3">
        <f t="shared" si="0"/>
        <v>1575141.6405418694</v>
      </c>
      <c r="AR3" s="110">
        <f t="shared" si="0"/>
        <v>2057878.0211947206</v>
      </c>
    </row>
    <row r="4" spans="1:44" s="104" customFormat="1" ht="15.75" thickBot="1" x14ac:dyDescent="0.3">
      <c r="A4" s="111" t="s">
        <v>250</v>
      </c>
      <c r="B4" s="112" t="s">
        <v>251</v>
      </c>
      <c r="C4" s="112" t="s">
        <v>252</v>
      </c>
      <c r="D4" s="112" t="s">
        <v>135</v>
      </c>
      <c r="E4" s="112" t="s">
        <v>253</v>
      </c>
      <c r="F4" s="112" t="s">
        <v>254</v>
      </c>
      <c r="G4" s="112" t="s">
        <v>255</v>
      </c>
      <c r="H4" s="112" t="s">
        <v>256</v>
      </c>
      <c r="I4" s="112" t="s">
        <v>1605</v>
      </c>
      <c r="J4" s="112" t="s">
        <v>518</v>
      </c>
      <c r="K4" s="112" t="s">
        <v>1602</v>
      </c>
      <c r="L4" s="113">
        <v>5.0659679130186576E-2</v>
      </c>
      <c r="M4" s="114">
        <v>6.3402550955521442E-2</v>
      </c>
      <c r="N4" s="115">
        <v>5.8005113853054992E-2</v>
      </c>
      <c r="O4" s="115">
        <v>2.8360854108307031E-2</v>
      </c>
      <c r="P4" s="116">
        <v>2.5217933400079842E-2</v>
      </c>
      <c r="Q4" s="113">
        <v>2.3639610306670143E-2</v>
      </c>
      <c r="R4" s="114">
        <v>2.3865952751752968E-2</v>
      </c>
      <c r="S4" s="114">
        <v>2.9932822722540227E-2</v>
      </c>
      <c r="T4" s="114">
        <v>0.03</v>
      </c>
      <c r="U4" s="115">
        <v>3.687972040038448E-2</v>
      </c>
      <c r="V4" s="115">
        <v>2.416293435046352E-2</v>
      </c>
      <c r="W4" s="116">
        <v>2.0857584293353035E-2</v>
      </c>
      <c r="X4" s="113">
        <v>2.1211540678353409E-2</v>
      </c>
      <c r="Y4" s="114">
        <v>2.2957414462012597E-2</v>
      </c>
      <c r="Z4" s="114">
        <v>2.5567163484322288E-2</v>
      </c>
      <c r="AA4" s="114">
        <v>3.2668512764180549E-2</v>
      </c>
      <c r="AB4" s="115">
        <v>2.7141366478791427E-2</v>
      </c>
      <c r="AC4" s="115">
        <v>1.8818317014629583E-2</v>
      </c>
      <c r="AD4" s="116">
        <v>1.7494035042321599E-2</v>
      </c>
      <c r="AE4" s="113">
        <v>1.7287764370464503E-2</v>
      </c>
      <c r="AF4" s="114">
        <v>1.9351093114302623E-2</v>
      </c>
      <c r="AG4" s="114">
        <v>2.6817255302617807E-2</v>
      </c>
      <c r="AH4" s="114">
        <v>3.2364716169341327E-2</v>
      </c>
      <c r="AI4" s="115">
        <v>3.145956082403633E-2</v>
      </c>
      <c r="AJ4" s="115">
        <v>2.2877829602898119E-2</v>
      </c>
      <c r="AK4" s="116">
        <v>3.517363986473683E-2</v>
      </c>
      <c r="AL4" s="113">
        <v>3.6185324130311634E-2</v>
      </c>
      <c r="AM4" s="114">
        <v>4.326003326837756E-2</v>
      </c>
      <c r="AN4" s="114">
        <v>5.0554132900711625E-2</v>
      </c>
      <c r="AO4" s="114">
        <v>5.3035093774002978E-2</v>
      </c>
      <c r="AP4" s="114">
        <v>5.0790450481273064E-2</v>
      </c>
      <c r="AQ4" s="96" t="s">
        <v>258</v>
      </c>
      <c r="AR4" s="117" t="s">
        <v>259</v>
      </c>
    </row>
    <row r="5" spans="1:44" x14ac:dyDescent="0.25">
      <c r="A5" s="118">
        <v>63</v>
      </c>
      <c r="B5" s="4" t="s">
        <v>96</v>
      </c>
      <c r="C5" s="4" t="s">
        <v>326</v>
      </c>
      <c r="D5" s="4" t="s">
        <v>139</v>
      </c>
      <c r="E5" s="4" t="s">
        <v>296</v>
      </c>
      <c r="F5" s="4" t="s">
        <v>130</v>
      </c>
      <c r="G5" s="119">
        <v>46010</v>
      </c>
      <c r="H5" s="4">
        <v>11</v>
      </c>
      <c r="I5" s="4" t="s">
        <v>1606</v>
      </c>
      <c r="J5" s="4" t="s">
        <v>519</v>
      </c>
      <c r="K5" s="120">
        <v>59366.312365063452</v>
      </c>
      <c r="L5" s="121">
        <f t="shared" ref="L5:AA20" si="1">$K5*L$4</f>
        <v>3007.4783355565423</v>
      </c>
      <c r="M5" s="122">
        <f t="shared" si="1"/>
        <v>3763.9756447673381</v>
      </c>
      <c r="N5" s="123">
        <f t="shared" si="1"/>
        <v>3443.5497077715318</v>
      </c>
      <c r="O5" s="123">
        <f t="shared" si="1"/>
        <v>1683.6793239337483</v>
      </c>
      <c r="P5" s="123">
        <f t="shared" si="1"/>
        <v>1497.0957114305065</v>
      </c>
      <c r="Q5" s="124">
        <f t="shared" si="1"/>
        <v>1403.3964896541531</v>
      </c>
      <c r="R5" s="122">
        <f t="shared" si="1"/>
        <v>1416.8336059504124</v>
      </c>
      <c r="S5" s="125">
        <f t="shared" si="1"/>
        <v>1777.0013037143922</v>
      </c>
      <c r="T5" s="122">
        <f t="shared" si="1"/>
        <v>1780.9893709519035</v>
      </c>
      <c r="U5" s="123">
        <f t="shared" si="1"/>
        <v>2189.4130012254282</v>
      </c>
      <c r="V5" s="123">
        <f t="shared" si="1"/>
        <v>1434.4643083061389</v>
      </c>
      <c r="W5" s="123">
        <f t="shared" si="1"/>
        <v>1238.2378643398374</v>
      </c>
      <c r="X5" s="124">
        <f t="shared" si="1"/>
        <v>1259.2509496553785</v>
      </c>
      <c r="Y5" s="122">
        <f t="shared" si="1"/>
        <v>1362.8970380460651</v>
      </c>
      <c r="Z5" s="125">
        <f t="shared" si="1"/>
        <v>1517.828213698921</v>
      </c>
      <c r="AA5" s="122">
        <f t="shared" si="1"/>
        <v>1939.4091332604048</v>
      </c>
      <c r="AB5" s="123">
        <f t="shared" ref="AB5:AP20" si="2">$K5*AB$4</f>
        <v>1611.2828403945941</v>
      </c>
      <c r="AC5" s="123">
        <f t="shared" si="2"/>
        <v>1117.1740860752882</v>
      </c>
      <c r="AD5" s="123">
        <f t="shared" si="2"/>
        <v>1038.5563488478301</v>
      </c>
      <c r="AE5" s="124">
        <f t="shared" si="2"/>
        <v>1026.3108197106103</v>
      </c>
      <c r="AF5" s="122">
        <f t="shared" si="2"/>
        <v>1148.803038429118</v>
      </c>
      <c r="AG5" s="125">
        <f t="shared" si="2"/>
        <v>1592.0415550688629</v>
      </c>
      <c r="AH5" s="122">
        <f t="shared" si="2"/>
        <v>1921.3738497157372</v>
      </c>
      <c r="AI5" s="123">
        <f t="shared" si="2"/>
        <v>1867.6381147474538</v>
      </c>
      <c r="AJ5" s="123">
        <f t="shared" si="2"/>
        <v>1358.1723784403453</v>
      </c>
      <c r="AK5" s="123">
        <f t="shared" si="2"/>
        <v>2088.1292912262147</v>
      </c>
      <c r="AL5" s="124">
        <f t="shared" si="2"/>
        <v>2148.1892553511484</v>
      </c>
      <c r="AM5" s="122">
        <f t="shared" si="2"/>
        <v>2568.188647933539</v>
      </c>
      <c r="AN5" s="125">
        <f t="shared" si="2"/>
        <v>3001.2124451285777</v>
      </c>
      <c r="AO5" s="125">
        <f t="shared" si="2"/>
        <v>3148.4979432978926</v>
      </c>
      <c r="AP5" s="125">
        <f t="shared" si="2"/>
        <v>3015.2417484335442</v>
      </c>
      <c r="AQ5" s="3">
        <f>SUM(L5:AK5)</f>
        <v>45484.982324918754</v>
      </c>
      <c r="AR5" s="110">
        <f t="shared" ref="AR5:AR68" si="3">SUM(L5:AP5)</f>
        <v>59366.312365063459</v>
      </c>
    </row>
    <row r="6" spans="1:44" x14ac:dyDescent="0.25">
      <c r="A6" s="118">
        <v>7</v>
      </c>
      <c r="B6" s="4" t="s">
        <v>54</v>
      </c>
      <c r="C6" s="4" t="s">
        <v>268</v>
      </c>
      <c r="D6" s="4" t="s">
        <v>144</v>
      </c>
      <c r="E6" s="4" t="s">
        <v>266</v>
      </c>
      <c r="F6" s="4" t="s">
        <v>126</v>
      </c>
      <c r="G6" s="119">
        <v>45811</v>
      </c>
      <c r="H6" s="4">
        <v>7</v>
      </c>
      <c r="I6" s="4" t="s">
        <v>1606</v>
      </c>
      <c r="J6" s="4" t="s">
        <v>519</v>
      </c>
      <c r="K6" s="120">
        <v>52068.886297911667</v>
      </c>
      <c r="L6" s="121">
        <f t="shared" si="1"/>
        <v>2637.7930725183733</v>
      </c>
      <c r="M6" s="122">
        <f t="shared" si="1"/>
        <v>3301.3002167005966</v>
      </c>
      <c r="N6" s="123">
        <f t="shared" si="1"/>
        <v>3020.2616779121413</v>
      </c>
      <c r="O6" s="123">
        <f t="shared" si="1"/>
        <v>1476.7180878770998</v>
      </c>
      <c r="P6" s="123">
        <f t="shared" si="1"/>
        <v>1313.0697068770662</v>
      </c>
      <c r="Q6" s="124">
        <f t="shared" si="1"/>
        <v>1230.8881811849485</v>
      </c>
      <c r="R6" s="122">
        <f t="shared" si="1"/>
        <v>1242.6735802223575</v>
      </c>
      <c r="S6" s="125">
        <f t="shared" si="1"/>
        <v>1558.5687429154939</v>
      </c>
      <c r="T6" s="122">
        <f t="shared" si="1"/>
        <v>1562.0665889373499</v>
      </c>
      <c r="U6" s="123">
        <f t="shared" si="1"/>
        <v>1920.2859682263929</v>
      </c>
      <c r="V6" s="123">
        <f t="shared" si="1"/>
        <v>1258.1370813181891</v>
      </c>
      <c r="W6" s="123">
        <f t="shared" si="1"/>
        <v>1086.0311850197074</v>
      </c>
      <c r="X6" s="124">
        <f t="shared" si="1"/>
        <v>1104.4612997847119</v>
      </c>
      <c r="Y6" s="122">
        <f t="shared" si="1"/>
        <v>1195.367003316567</v>
      </c>
      <c r="Z6" s="125">
        <f t="shared" si="1"/>
        <v>1331.2537284252962</v>
      </c>
      <c r="AA6" s="122">
        <f t="shared" si="1"/>
        <v>1701.013076639993</v>
      </c>
      <c r="AB6" s="123">
        <f t="shared" si="2"/>
        <v>1413.220725154142</v>
      </c>
      <c r="AC6" s="123">
        <f t="shared" si="2"/>
        <v>979.84880895280435</v>
      </c>
      <c r="AD6" s="123">
        <f t="shared" si="2"/>
        <v>910.89492151032562</v>
      </c>
      <c r="AE6" s="124">
        <f t="shared" si="2"/>
        <v>900.15463735080471</v>
      </c>
      <c r="AF6" s="122">
        <f t="shared" si="2"/>
        <v>1007.5898671089246</v>
      </c>
      <c r="AG6" s="125">
        <f t="shared" si="2"/>
        <v>1396.3446171740754</v>
      </c>
      <c r="AH6" s="122">
        <f t="shared" si="2"/>
        <v>1685.1947262856168</v>
      </c>
      <c r="AI6" s="123">
        <f t="shared" si="2"/>
        <v>1638.0642955289838</v>
      </c>
      <c r="AJ6" s="123">
        <f t="shared" si="2"/>
        <v>1191.2231083362999</v>
      </c>
      <c r="AK6" s="123">
        <f t="shared" si="2"/>
        <v>1831.4522548006751</v>
      </c>
      <c r="AL6" s="124">
        <f t="shared" si="2"/>
        <v>1884.1295277942759</v>
      </c>
      <c r="AM6" s="122">
        <f t="shared" si="2"/>
        <v>2252.5017534950271</v>
      </c>
      <c r="AN6" s="125">
        <f t="shared" si="2"/>
        <v>2632.2973978966688</v>
      </c>
      <c r="AO6" s="125">
        <f t="shared" si="2"/>
        <v>2761.4782675176439</v>
      </c>
      <c r="AP6" s="125">
        <f t="shared" si="2"/>
        <v>2644.60219112912</v>
      </c>
      <c r="AQ6" s="3">
        <f t="shared" ref="AQ6:AQ69" si="4">SUM(L6:AK6)</f>
        <v>39893.877160078926</v>
      </c>
      <c r="AR6" s="110">
        <f t="shared" si="3"/>
        <v>52068.88629791166</v>
      </c>
    </row>
    <row r="7" spans="1:44" x14ac:dyDescent="0.25">
      <c r="A7" s="118">
        <v>61</v>
      </c>
      <c r="B7" s="4" t="s">
        <v>116</v>
      </c>
      <c r="C7" s="4" t="s">
        <v>324</v>
      </c>
      <c r="D7" s="4" t="s">
        <v>139</v>
      </c>
      <c r="E7" s="4" t="s">
        <v>296</v>
      </c>
      <c r="F7" s="4" t="s">
        <v>130</v>
      </c>
      <c r="G7" s="119">
        <v>46168</v>
      </c>
      <c r="H7" s="4">
        <v>4</v>
      </c>
      <c r="I7" s="4" t="s">
        <v>1607</v>
      </c>
      <c r="J7" s="4" t="s">
        <v>519</v>
      </c>
      <c r="K7" s="120">
        <v>75512.120259273783</v>
      </c>
      <c r="L7" s="121">
        <f t="shared" si="1"/>
        <v>3825.4197827748708</v>
      </c>
      <c r="M7" s="122">
        <f t="shared" si="1"/>
        <v>4787.6610524980688</v>
      </c>
      <c r="N7" s="123">
        <f t="shared" si="1"/>
        <v>4380.0891329247561</v>
      </c>
      <c r="O7" s="123">
        <f t="shared" si="1"/>
        <v>2141.5882260821995</v>
      </c>
      <c r="P7" s="123">
        <f t="shared" si="1"/>
        <v>1904.259619597186</v>
      </c>
      <c r="Q7" s="124">
        <f t="shared" si="1"/>
        <v>1785.0770963596437</v>
      </c>
      <c r="R7" s="122">
        <f t="shared" si="1"/>
        <v>1802.1686942925162</v>
      </c>
      <c r="S7" s="125">
        <f t="shared" si="1"/>
        <v>2260.2909091239803</v>
      </c>
      <c r="T7" s="122">
        <f t="shared" si="1"/>
        <v>2265.3636077782135</v>
      </c>
      <c r="U7" s="123">
        <f t="shared" si="1"/>
        <v>2784.8658820022256</v>
      </c>
      <c r="V7" s="123">
        <f t="shared" si="1"/>
        <v>1824.5944044891387</v>
      </c>
      <c r="W7" s="123">
        <f t="shared" si="1"/>
        <v>1575.0004134776143</v>
      </c>
      <c r="X7" s="124">
        <f t="shared" si="1"/>
        <v>1601.7284105883004</v>
      </c>
      <c r="Y7" s="122">
        <f t="shared" si="1"/>
        <v>1733.5630416974864</v>
      </c>
      <c r="Z7" s="125">
        <f t="shared" si="1"/>
        <v>1930.6307237166579</v>
      </c>
      <c r="AA7" s="122">
        <f t="shared" si="1"/>
        <v>2466.8686645404223</v>
      </c>
      <c r="AB7" s="123">
        <f t="shared" si="2"/>
        <v>2049.5021295475203</v>
      </c>
      <c r="AC7" s="123">
        <f t="shared" si="2"/>
        <v>1421.0110174858471</v>
      </c>
      <c r="AD7" s="123">
        <f t="shared" si="2"/>
        <v>1321.0116779357384</v>
      </c>
      <c r="AE7" s="124">
        <f t="shared" si="2"/>
        <v>1305.4357421565041</v>
      </c>
      <c r="AF7" s="122">
        <f t="shared" si="2"/>
        <v>1461.2420703956245</v>
      </c>
      <c r="AG7" s="125">
        <f t="shared" si="2"/>
        <v>2025.0278074349235</v>
      </c>
      <c r="AH7" s="122">
        <f t="shared" si="2"/>
        <v>2443.9283395365651</v>
      </c>
      <c r="AI7" s="123">
        <f t="shared" si="2"/>
        <v>2375.5781402485695</v>
      </c>
      <c r="AJ7" s="123">
        <f t="shared" si="2"/>
        <v>1727.5534202452166</v>
      </c>
      <c r="AK7" s="123">
        <f t="shared" si="2"/>
        <v>2656.0361234223938</v>
      </c>
      <c r="AL7" s="124">
        <f t="shared" si="2"/>
        <v>2732.4305473488935</v>
      </c>
      <c r="AM7" s="122">
        <f t="shared" si="2"/>
        <v>3266.656834581911</v>
      </c>
      <c r="AN7" s="125">
        <f t="shared" si="2"/>
        <v>3817.4497632018456</v>
      </c>
      <c r="AO7" s="125">
        <f t="shared" si="2"/>
        <v>4004.7923790243754</v>
      </c>
      <c r="AP7" s="125">
        <f t="shared" si="2"/>
        <v>3835.2946047645814</v>
      </c>
      <c r="AQ7" s="3">
        <f t="shared" si="4"/>
        <v>57855.4961303522</v>
      </c>
      <c r="AR7" s="110">
        <f t="shared" si="3"/>
        <v>75512.120259273812</v>
      </c>
    </row>
    <row r="8" spans="1:44" x14ac:dyDescent="0.25">
      <c r="A8" s="118">
        <v>80</v>
      </c>
      <c r="B8" s="4" t="s">
        <v>12</v>
      </c>
      <c r="C8" s="4" t="s">
        <v>345</v>
      </c>
      <c r="D8" s="4" t="s">
        <v>145</v>
      </c>
      <c r="E8" s="4" t="s">
        <v>343</v>
      </c>
      <c r="F8" s="4" t="s">
        <v>127</v>
      </c>
      <c r="G8" s="119">
        <v>45476</v>
      </c>
      <c r="H8" s="4">
        <v>10</v>
      </c>
      <c r="I8" s="4" t="s">
        <v>1606</v>
      </c>
      <c r="J8" s="4" t="s">
        <v>519</v>
      </c>
      <c r="K8" s="120">
        <v>40033.334041881149</v>
      </c>
      <c r="L8" s="121">
        <f t="shared" si="1"/>
        <v>2028.0758570732742</v>
      </c>
      <c r="M8" s="122">
        <f t="shared" si="1"/>
        <v>2538.2155015097806</v>
      </c>
      <c r="N8" s="123">
        <f t="shared" si="1"/>
        <v>2322.1380990166981</v>
      </c>
      <c r="O8" s="123">
        <f t="shared" si="1"/>
        <v>1135.3795462309126</v>
      </c>
      <c r="P8" s="123">
        <f t="shared" si="1"/>
        <v>1009.557951651308</v>
      </c>
      <c r="Q8" s="124">
        <f t="shared" si="1"/>
        <v>946.37241602682229</v>
      </c>
      <c r="R8" s="122">
        <f t="shared" si="1"/>
        <v>955.43365873867924</v>
      </c>
      <c r="S8" s="125">
        <f t="shared" si="1"/>
        <v>1198.3106908678633</v>
      </c>
      <c r="T8" s="122">
        <f t="shared" si="1"/>
        <v>1201.0000212564344</v>
      </c>
      <c r="U8" s="123">
        <f t="shared" si="1"/>
        <v>1476.4181661597706</v>
      </c>
      <c r="V8" s="123">
        <f t="shared" si="1"/>
        <v>967.32282228415056</v>
      </c>
      <c r="W8" s="123">
        <f t="shared" si="1"/>
        <v>834.99863932249559</v>
      </c>
      <c r="X8" s="124">
        <f t="shared" si="1"/>
        <v>849.1686935194723</v>
      </c>
      <c r="Y8" s="122">
        <f t="shared" si="1"/>
        <v>919.06184189566352</v>
      </c>
      <c r="Z8" s="125">
        <f t="shared" si="1"/>
        <v>1023.5387962712601</v>
      </c>
      <c r="AA8" s="122">
        <f t="shared" si="1"/>
        <v>1307.8294841398981</v>
      </c>
      <c r="AB8" s="123">
        <f t="shared" si="2"/>
        <v>1086.5593905985727</v>
      </c>
      <c r="AC8" s="123">
        <f t="shared" si="2"/>
        <v>753.35997115268174</v>
      </c>
      <c r="AD8" s="123">
        <f t="shared" si="2"/>
        <v>700.344548589635</v>
      </c>
      <c r="AE8" s="124">
        <f t="shared" si="2"/>
        <v>692.08684588013659</v>
      </c>
      <c r="AF8" s="122">
        <f t="shared" si="2"/>
        <v>774.68877472042311</v>
      </c>
      <c r="AG8" s="125">
        <f t="shared" si="2"/>
        <v>1073.5841396161072</v>
      </c>
      <c r="AH8" s="122">
        <f t="shared" si="2"/>
        <v>1295.6674935779135</v>
      </c>
      <c r="AI8" s="123">
        <f t="shared" si="2"/>
        <v>1259.4311072795242</v>
      </c>
      <c r="AJ8" s="123">
        <f t="shared" si="2"/>
        <v>915.87579464605756</v>
      </c>
      <c r="AK8" s="123">
        <f t="shared" si="2"/>
        <v>1408.1180741738369</v>
      </c>
      <c r="AL8" s="124">
        <f t="shared" si="2"/>
        <v>1448.6191683225081</v>
      </c>
      <c r="AM8" s="122">
        <f t="shared" si="2"/>
        <v>1731.8433624958504</v>
      </c>
      <c r="AN8" s="125">
        <f t="shared" si="2"/>
        <v>2023.8504896118425</v>
      </c>
      <c r="AO8" s="125">
        <f t="shared" si="2"/>
        <v>2123.1716249971523</v>
      </c>
      <c r="AP8" s="125">
        <f t="shared" si="2"/>
        <v>2033.3110702544277</v>
      </c>
      <c r="AQ8" s="3">
        <f t="shared" si="4"/>
        <v>30672.538326199367</v>
      </c>
      <c r="AR8" s="110">
        <f t="shared" si="3"/>
        <v>40033.334041881142</v>
      </c>
    </row>
    <row r="9" spans="1:44" x14ac:dyDescent="0.25">
      <c r="A9" s="118">
        <v>64</v>
      </c>
      <c r="B9" s="4" t="s">
        <v>100</v>
      </c>
      <c r="C9" s="4" t="s">
        <v>327</v>
      </c>
      <c r="D9" s="4" t="s">
        <v>139</v>
      </c>
      <c r="E9" s="4" t="s">
        <v>296</v>
      </c>
      <c r="F9" s="4" t="s">
        <v>130</v>
      </c>
      <c r="G9" s="119">
        <v>46055</v>
      </c>
      <c r="H9" s="4">
        <v>10</v>
      </c>
      <c r="I9" s="4" t="s">
        <v>1607</v>
      </c>
      <c r="J9" s="4" t="s">
        <v>519</v>
      </c>
      <c r="K9" s="120">
        <v>73562.727485953001</v>
      </c>
      <c r="L9" s="121">
        <f t="shared" si="1"/>
        <v>3726.6641703797354</v>
      </c>
      <c r="M9" s="122">
        <f t="shared" si="1"/>
        <v>4664.0645778552725</v>
      </c>
      <c r="N9" s="123">
        <f t="shared" si="1"/>
        <v>4267.0143831639616</v>
      </c>
      <c r="O9" s="123">
        <f t="shared" si="1"/>
        <v>2086.3017820382606</v>
      </c>
      <c r="P9" s="123">
        <f t="shared" si="1"/>
        <v>1855.0999624689857</v>
      </c>
      <c r="Q9" s="124">
        <f t="shared" si="1"/>
        <v>1738.9942108637015</v>
      </c>
      <c r="R9" s="122">
        <f t="shared" si="1"/>
        <v>1755.6445784698337</v>
      </c>
      <c r="S9" s="125">
        <f t="shared" si="1"/>
        <v>2201.9400808235687</v>
      </c>
      <c r="T9" s="122">
        <f t="shared" si="1"/>
        <v>2206.8818245785901</v>
      </c>
      <c r="U9" s="123">
        <f t="shared" si="1"/>
        <v>2712.972821571625</v>
      </c>
      <c r="V9" s="123">
        <f t="shared" si="1"/>
        <v>1777.4913548841207</v>
      </c>
      <c r="W9" s="123">
        <f t="shared" si="1"/>
        <v>1534.3407893872229</v>
      </c>
      <c r="X9" s="124">
        <f t="shared" si="1"/>
        <v>1560.3787864789185</v>
      </c>
      <c r="Y9" s="122">
        <f t="shared" si="1"/>
        <v>1688.810023851109</v>
      </c>
      <c r="Z9" s="125">
        <f t="shared" si="1"/>
        <v>1880.790279986009</v>
      </c>
      <c r="AA9" s="122">
        <f t="shared" si="1"/>
        <v>2403.1849018427911</v>
      </c>
      <c r="AB9" s="123">
        <f t="shared" si="2"/>
        <v>1996.5929458757134</v>
      </c>
      <c r="AC9" s="123">
        <f t="shared" si="2"/>
        <v>1384.3267262914687</v>
      </c>
      <c r="AD9" s="123">
        <f t="shared" si="2"/>
        <v>1286.908932448016</v>
      </c>
      <c r="AE9" s="124">
        <f t="shared" si="2"/>
        <v>1271.735099225848</v>
      </c>
      <c r="AF9" s="122">
        <f t="shared" si="2"/>
        <v>1423.5191893227454</v>
      </c>
      <c r="AG9" s="125">
        <f t="shared" si="2"/>
        <v>1972.7504437477019</v>
      </c>
      <c r="AH9" s="122">
        <f t="shared" si="2"/>
        <v>2380.8367957254727</v>
      </c>
      <c r="AI9" s="123">
        <f t="shared" si="2"/>
        <v>2314.2510997263475</v>
      </c>
      <c r="AJ9" s="123">
        <f t="shared" si="2"/>
        <v>1682.9555445480628</v>
      </c>
      <c r="AK9" s="123">
        <f t="shared" si="2"/>
        <v>2587.4688840586882</v>
      </c>
      <c r="AL9" s="124">
        <f t="shared" si="2"/>
        <v>2661.8911379889942</v>
      </c>
      <c r="AM9" s="122">
        <f t="shared" si="2"/>
        <v>3182.3260383549191</v>
      </c>
      <c r="AN9" s="125">
        <f t="shared" si="2"/>
        <v>3718.8999018637001</v>
      </c>
      <c r="AO9" s="125">
        <f t="shared" si="2"/>
        <v>3901.4061504889437</v>
      </c>
      <c r="AP9" s="125">
        <f t="shared" si="2"/>
        <v>3736.2840676426808</v>
      </c>
      <c r="AQ9" s="3">
        <f t="shared" si="4"/>
        <v>56361.920189613782</v>
      </c>
      <c r="AR9" s="110">
        <f t="shared" si="3"/>
        <v>73562.727485953015</v>
      </c>
    </row>
    <row r="10" spans="1:44" x14ac:dyDescent="0.25">
      <c r="A10" s="118">
        <v>81</v>
      </c>
      <c r="B10" s="4" t="s">
        <v>71</v>
      </c>
      <c r="C10" s="4" t="s">
        <v>346</v>
      </c>
      <c r="D10" s="4" t="s">
        <v>145</v>
      </c>
      <c r="E10" s="4" t="s">
        <v>343</v>
      </c>
      <c r="F10" s="4" t="s">
        <v>131</v>
      </c>
      <c r="G10" s="119">
        <v>46084</v>
      </c>
      <c r="H10" s="4">
        <v>5</v>
      </c>
      <c r="I10" s="4" t="s">
        <v>1606</v>
      </c>
      <c r="J10" s="4" t="s">
        <v>519</v>
      </c>
      <c r="K10" s="120">
        <v>31723.101450860315</v>
      </c>
      <c r="L10" s="121">
        <f t="shared" si="1"/>
        <v>1607.0821405149397</v>
      </c>
      <c r="M10" s="122">
        <f t="shared" si="1"/>
        <v>2011.3255562053473</v>
      </c>
      <c r="N10" s="123">
        <f t="shared" si="1"/>
        <v>1840.1021114291666</v>
      </c>
      <c r="O10" s="123">
        <f t="shared" si="1"/>
        <v>899.69425211087253</v>
      </c>
      <c r="P10" s="123">
        <f t="shared" si="1"/>
        <v>799.99105963177158</v>
      </c>
      <c r="Q10" s="124">
        <f t="shared" si="1"/>
        <v>749.92175601730003</v>
      </c>
      <c r="R10" s="122">
        <f t="shared" si="1"/>
        <v>757.10204036529831</v>
      </c>
      <c r="S10" s="125">
        <f t="shared" si="1"/>
        <v>949.56197193776052</v>
      </c>
      <c r="T10" s="122">
        <f t="shared" si="1"/>
        <v>951.69304352580946</v>
      </c>
      <c r="U10" s="123">
        <f t="shared" si="1"/>
        <v>1169.9391117407597</v>
      </c>
      <c r="V10" s="123">
        <f t="shared" si="1"/>
        <v>766.52321775023188</v>
      </c>
      <c r="W10" s="123">
        <f t="shared" si="1"/>
        <v>661.667262557909</v>
      </c>
      <c r="X10" s="124">
        <f t="shared" si="1"/>
        <v>672.89585686845567</v>
      </c>
      <c r="Y10" s="122">
        <f t="shared" si="1"/>
        <v>728.28038802787341</v>
      </c>
      <c r="Z10" s="125">
        <f t="shared" si="1"/>
        <v>811.06972102388727</v>
      </c>
      <c r="AA10" s="122">
        <f t="shared" si="1"/>
        <v>1036.3465446668247</v>
      </c>
      <c r="AB10" s="123">
        <f t="shared" si="2"/>
        <v>861.00832232167977</v>
      </c>
      <c r="AC10" s="123">
        <f t="shared" si="2"/>
        <v>596.97537978954506</v>
      </c>
      <c r="AD10" s="123">
        <f t="shared" si="2"/>
        <v>554.96504843247351</v>
      </c>
      <c r="AE10" s="124">
        <f t="shared" si="2"/>
        <v>548.42150298281376</v>
      </c>
      <c r="AF10" s="122">
        <f t="shared" si="2"/>
        <v>613.8766900500666</v>
      </c>
      <c r="AG10" s="125">
        <f t="shared" si="2"/>
        <v>850.72651059856639</v>
      </c>
      <c r="AH10" s="122">
        <f t="shared" si="2"/>
        <v>1026.7091744683141</v>
      </c>
      <c r="AI10" s="123">
        <f t="shared" si="2"/>
        <v>997.99483962041518</v>
      </c>
      <c r="AJ10" s="123">
        <f t="shared" si="2"/>
        <v>725.75570946823234</v>
      </c>
      <c r="AK10" s="123">
        <f t="shared" si="2"/>
        <v>1115.8169458250711</v>
      </c>
      <c r="AL10" s="124">
        <f t="shared" si="2"/>
        <v>1147.9107084181398</v>
      </c>
      <c r="AM10" s="122">
        <f t="shared" si="2"/>
        <v>1372.3424241403336</v>
      </c>
      <c r="AN10" s="125">
        <f t="shared" si="2"/>
        <v>1603.7338867695501</v>
      </c>
      <c r="AO10" s="125">
        <f t="shared" si="2"/>
        <v>1682.4376602485868</v>
      </c>
      <c r="AP10" s="125">
        <f t="shared" si="2"/>
        <v>1611.2306133523225</v>
      </c>
      <c r="AQ10" s="3">
        <f t="shared" si="4"/>
        <v>24305.446157931387</v>
      </c>
      <c r="AR10" s="110">
        <f t="shared" si="3"/>
        <v>31723.101450860322</v>
      </c>
    </row>
    <row r="11" spans="1:44" x14ac:dyDescent="0.25">
      <c r="A11" s="118">
        <v>49</v>
      </c>
      <c r="B11" s="4" t="s">
        <v>17</v>
      </c>
      <c r="C11" s="4" t="s">
        <v>313</v>
      </c>
      <c r="D11" s="4" t="s">
        <v>138</v>
      </c>
      <c r="E11" s="4" t="s">
        <v>296</v>
      </c>
      <c r="F11" s="4" t="s">
        <v>128</v>
      </c>
      <c r="G11" s="119">
        <v>45490</v>
      </c>
      <c r="H11" s="4">
        <v>9</v>
      </c>
      <c r="I11" s="4" t="s">
        <v>1606</v>
      </c>
      <c r="J11" s="4" t="s">
        <v>519</v>
      </c>
      <c r="K11" s="120">
        <v>37409.41526190532</v>
      </c>
      <c r="L11" s="121">
        <f t="shared" si="1"/>
        <v>1895.1489736160281</v>
      </c>
      <c r="M11" s="122">
        <f t="shared" si="1"/>
        <v>2371.8523573592138</v>
      </c>
      <c r="N11" s="123">
        <f t="shared" si="1"/>
        <v>2169.9373914430312</v>
      </c>
      <c r="O11" s="123">
        <f t="shared" si="1"/>
        <v>1060.9629685199714</v>
      </c>
      <c r="P11" s="123">
        <f t="shared" si="1"/>
        <v>943.38814261065875</v>
      </c>
      <c r="Q11" s="124">
        <f t="shared" si="1"/>
        <v>884.34399859184032</v>
      </c>
      <c r="R11" s="122">
        <f t="shared" si="1"/>
        <v>892.81133711133873</v>
      </c>
      <c r="S11" s="125">
        <f t="shared" si="1"/>
        <v>1119.7693951885028</v>
      </c>
      <c r="T11" s="122">
        <f t="shared" si="1"/>
        <v>1122.2824578571597</v>
      </c>
      <c r="U11" s="123">
        <f t="shared" si="1"/>
        <v>1379.6487752009441</v>
      </c>
      <c r="V11" s="123">
        <f t="shared" si="1"/>
        <v>903.92124506264634</v>
      </c>
      <c r="W11" s="123">
        <f t="shared" si="1"/>
        <v>780.27003219023766</v>
      </c>
      <c r="X11" s="124">
        <f t="shared" si="1"/>
        <v>793.5113335813196</v>
      </c>
      <c r="Y11" s="122">
        <f t="shared" si="1"/>
        <v>858.82345094909999</v>
      </c>
      <c r="Z11" s="125">
        <f t="shared" si="1"/>
        <v>956.45263585403461</v>
      </c>
      <c r="AA11" s="122">
        <f t="shared" si="1"/>
        <v>1222.1099599840845</v>
      </c>
      <c r="AB11" s="123">
        <f t="shared" si="2"/>
        <v>1015.3426493806654</v>
      </c>
      <c r="AC11" s="123">
        <f t="shared" si="2"/>
        <v>703.98223573045652</v>
      </c>
      <c r="AD11" s="123">
        <f t="shared" si="2"/>
        <v>654.44162150453212</v>
      </c>
      <c r="AE11" s="124">
        <f t="shared" si="2"/>
        <v>646.72515628467784</v>
      </c>
      <c r="AF11" s="122">
        <f t="shared" si="2"/>
        <v>723.91307808474346</v>
      </c>
      <c r="AG11" s="125">
        <f t="shared" si="2"/>
        <v>1003.217839800162</v>
      </c>
      <c r="AH11" s="122">
        <f t="shared" si="2"/>
        <v>1210.7451070125912</v>
      </c>
      <c r="AI11" s="123">
        <f t="shared" si="2"/>
        <v>1176.8837748235435</v>
      </c>
      <c r="AJ11" s="123">
        <f t="shared" si="2"/>
        <v>855.84622790592618</v>
      </c>
      <c r="AK11" s="123">
        <f t="shared" si="2"/>
        <v>1315.8252999726474</v>
      </c>
      <c r="AL11" s="124">
        <f t="shared" si="2"/>
        <v>1353.6718167774709</v>
      </c>
      <c r="AM11" s="122">
        <f t="shared" si="2"/>
        <v>1618.3325487805753</v>
      </c>
      <c r="AN11" s="125">
        <f t="shared" si="2"/>
        <v>1891.2005508882714</v>
      </c>
      <c r="AO11" s="125">
        <f t="shared" si="2"/>
        <v>1984.0118464457669</v>
      </c>
      <c r="AP11" s="125">
        <f t="shared" si="2"/>
        <v>1900.0410533931829</v>
      </c>
      <c r="AQ11" s="3">
        <f t="shared" si="4"/>
        <v>28662.157445620061</v>
      </c>
      <c r="AR11" s="110">
        <f t="shared" si="3"/>
        <v>37409.415261905335</v>
      </c>
    </row>
    <row r="12" spans="1:44" x14ac:dyDescent="0.25">
      <c r="A12" s="118">
        <v>26</v>
      </c>
      <c r="B12" s="4" t="s">
        <v>28</v>
      </c>
      <c r="C12" s="4" t="s">
        <v>290</v>
      </c>
      <c r="D12" s="4" t="s">
        <v>154</v>
      </c>
      <c r="E12" s="4" t="s">
        <v>266</v>
      </c>
      <c r="F12" s="4" t="s">
        <v>126</v>
      </c>
      <c r="G12" s="119">
        <v>45670</v>
      </c>
      <c r="H12" s="4">
        <v>10</v>
      </c>
      <c r="I12" s="4" t="s">
        <v>1606</v>
      </c>
      <c r="J12" s="4" t="s">
        <v>519</v>
      </c>
      <c r="K12" s="120">
        <v>24695.098849355345</v>
      </c>
      <c r="L12" s="121">
        <f t="shared" si="1"/>
        <v>1251.0457837965814</v>
      </c>
      <c r="M12" s="122">
        <f t="shared" si="1"/>
        <v>1565.7322631478912</v>
      </c>
      <c r="N12" s="123">
        <f t="shared" si="1"/>
        <v>1432.4420203693041</v>
      </c>
      <c r="O12" s="123">
        <f t="shared" si="1"/>
        <v>700.37409565678774</v>
      </c>
      <c r="P12" s="123">
        <f t="shared" si="1"/>
        <v>622.75935809143141</v>
      </c>
      <c r="Q12" s="124">
        <f t="shared" si="1"/>
        <v>583.78251328345857</v>
      </c>
      <c r="R12" s="122">
        <f t="shared" si="1"/>
        <v>589.37206233858376</v>
      </c>
      <c r="S12" s="125">
        <f t="shared" si="1"/>
        <v>739.19401597336071</v>
      </c>
      <c r="T12" s="122">
        <f t="shared" si="1"/>
        <v>740.85296548066037</v>
      </c>
      <c r="U12" s="123">
        <f t="shared" si="1"/>
        <v>910.74834082408165</v>
      </c>
      <c r="V12" s="123">
        <f t="shared" si="1"/>
        <v>596.70605227518035</v>
      </c>
      <c r="W12" s="123">
        <f t="shared" si="1"/>
        <v>515.0801058831147</v>
      </c>
      <c r="X12" s="124">
        <f t="shared" si="1"/>
        <v>523.82109379905933</v>
      </c>
      <c r="Y12" s="122">
        <f t="shared" si="1"/>
        <v>566.93561946502109</v>
      </c>
      <c r="Z12" s="125">
        <f t="shared" si="1"/>
        <v>631.38362954296736</v>
      </c>
      <c r="AA12" s="122">
        <f t="shared" si="1"/>
        <v>806.75215197286548</v>
      </c>
      <c r="AB12" s="123">
        <f t="shared" si="2"/>
        <v>670.25872810033388</v>
      </c>
      <c r="AC12" s="123">
        <f t="shared" si="2"/>
        <v>464.72019885478312</v>
      </c>
      <c r="AD12" s="123">
        <f t="shared" si="2"/>
        <v>432.01692464421819</v>
      </c>
      <c r="AE12" s="124">
        <f t="shared" si="2"/>
        <v>426.92305001298428</v>
      </c>
      <c r="AF12" s="122">
        <f t="shared" si="2"/>
        <v>477.87715730078281</v>
      </c>
      <c r="AG12" s="125">
        <f t="shared" si="2"/>
        <v>662.25477056654552</v>
      </c>
      <c r="AH12" s="122">
        <f t="shared" si="2"/>
        <v>799.24986503321338</v>
      </c>
      <c r="AI12" s="123">
        <f t="shared" si="2"/>
        <v>776.896964306884</v>
      </c>
      <c r="AJ12" s="123">
        <f t="shared" si="2"/>
        <v>564.97026350227702</v>
      </c>
      <c r="AK12" s="123">
        <f t="shared" si="2"/>
        <v>868.61651335130182</v>
      </c>
      <c r="AL12" s="124">
        <f t="shared" si="2"/>
        <v>893.60015629400903</v>
      </c>
      <c r="AM12" s="122">
        <f t="shared" si="2"/>
        <v>1068.3107977889847</v>
      </c>
      <c r="AN12" s="125">
        <f t="shared" si="2"/>
        <v>1248.4393092265209</v>
      </c>
      <c r="AO12" s="125">
        <f t="shared" si="2"/>
        <v>1309.7068832338339</v>
      </c>
      <c r="AP12" s="125">
        <f t="shared" si="2"/>
        <v>1254.275195238326</v>
      </c>
      <c r="AQ12" s="3">
        <f t="shared" si="4"/>
        <v>18920.766507573673</v>
      </c>
      <c r="AR12" s="110">
        <f t="shared" si="3"/>
        <v>24695.098849355345</v>
      </c>
    </row>
    <row r="13" spans="1:44" x14ac:dyDescent="0.25">
      <c r="A13" s="118">
        <v>24</v>
      </c>
      <c r="B13" s="4" t="s">
        <v>45</v>
      </c>
      <c r="C13" s="4" t="s">
        <v>288</v>
      </c>
      <c r="D13" s="4" t="s">
        <v>146</v>
      </c>
      <c r="E13" s="4" t="s">
        <v>266</v>
      </c>
      <c r="F13" s="4" t="s">
        <v>126</v>
      </c>
      <c r="G13" s="119">
        <v>45731</v>
      </c>
      <c r="H13" s="4">
        <v>6</v>
      </c>
      <c r="I13" s="4" t="s">
        <v>1606</v>
      </c>
      <c r="J13" s="4" t="s">
        <v>519</v>
      </c>
      <c r="K13" s="120">
        <v>62928.098224094632</v>
      </c>
      <c r="L13" s="121">
        <f t="shared" si="1"/>
        <v>3187.9172643054976</v>
      </c>
      <c r="M13" s="122">
        <f t="shared" si="1"/>
        <v>3989.8019541872181</v>
      </c>
      <c r="N13" s="123">
        <f t="shared" si="1"/>
        <v>3650.1515020448369</v>
      </c>
      <c r="O13" s="123">
        <f t="shared" si="1"/>
        <v>1784.6946130467627</v>
      </c>
      <c r="P13" s="123">
        <f t="shared" si="1"/>
        <v>1586.916590008901</v>
      </c>
      <c r="Q13" s="124">
        <f t="shared" si="1"/>
        <v>1487.5957193574586</v>
      </c>
      <c r="R13" s="122">
        <f t="shared" si="1"/>
        <v>1501.8390189739123</v>
      </c>
      <c r="S13" s="125">
        <f t="shared" si="1"/>
        <v>1883.6156084084232</v>
      </c>
      <c r="T13" s="122">
        <f t="shared" si="1"/>
        <v>1887.8429467228389</v>
      </c>
      <c r="U13" s="123">
        <f t="shared" si="1"/>
        <v>2320.7706678325412</v>
      </c>
      <c r="V13" s="123">
        <f t="shared" si="1"/>
        <v>1520.5275061883185</v>
      </c>
      <c r="W13" s="123">
        <f t="shared" si="1"/>
        <v>1312.5281131294532</v>
      </c>
      <c r="X13" s="124">
        <f t="shared" si="1"/>
        <v>1334.8019152918023</v>
      </c>
      <c r="Y13" s="122">
        <f t="shared" si="1"/>
        <v>1444.6664322367794</v>
      </c>
      <c r="Z13" s="125">
        <f t="shared" si="1"/>
        <v>1608.8929750529185</v>
      </c>
      <c r="AA13" s="122">
        <f t="shared" si="1"/>
        <v>2055.767380059443</v>
      </c>
      <c r="AB13" s="123">
        <f t="shared" si="2"/>
        <v>1707.9545757135363</v>
      </c>
      <c r="AC13" s="123">
        <f t="shared" si="2"/>
        <v>1184.2009015087617</v>
      </c>
      <c r="AD13" s="123">
        <f t="shared" si="2"/>
        <v>1100.8663554789671</v>
      </c>
      <c r="AE13" s="124">
        <f t="shared" si="2"/>
        <v>1087.8861343795938</v>
      </c>
      <c r="AF13" s="122">
        <f t="shared" si="2"/>
        <v>1217.7274882404367</v>
      </c>
      <c r="AG13" s="125">
        <f t="shared" si="2"/>
        <v>1687.5588757837561</v>
      </c>
      <c r="AH13" s="122">
        <f t="shared" si="2"/>
        <v>2036.6500380992547</v>
      </c>
      <c r="AI13" s="123">
        <f t="shared" si="2"/>
        <v>1979.6903336218377</v>
      </c>
      <c r="AJ13" s="123">
        <f t="shared" si="2"/>
        <v>1439.6583084052727</v>
      </c>
      <c r="AK13" s="123">
        <f t="shared" si="2"/>
        <v>2213.4102643070901</v>
      </c>
      <c r="AL13" s="124">
        <f t="shared" si="2"/>
        <v>2277.0736311429523</v>
      </c>
      <c r="AM13" s="122">
        <f t="shared" si="2"/>
        <v>2722.2716226900648</v>
      </c>
      <c r="AN13" s="125">
        <f t="shared" si="2"/>
        <v>3181.2754408099154</v>
      </c>
      <c r="AO13" s="125">
        <f t="shared" si="2"/>
        <v>3337.397590334529</v>
      </c>
      <c r="AP13" s="125">
        <f t="shared" si="2"/>
        <v>3196.1464567315656</v>
      </c>
      <c r="AQ13" s="3">
        <f t="shared" si="4"/>
        <v>48213.933482385597</v>
      </c>
      <c r="AR13" s="110">
        <f t="shared" si="3"/>
        <v>62928.098224094618</v>
      </c>
    </row>
    <row r="14" spans="1:44" x14ac:dyDescent="0.25">
      <c r="A14" s="118">
        <v>78</v>
      </c>
      <c r="B14" s="4" t="s">
        <v>26</v>
      </c>
      <c r="C14" s="4" t="s">
        <v>342</v>
      </c>
      <c r="D14" s="4" t="s">
        <v>145</v>
      </c>
      <c r="E14" s="4" t="s">
        <v>343</v>
      </c>
      <c r="F14" s="4" t="s">
        <v>131</v>
      </c>
      <c r="G14" s="119">
        <v>45605</v>
      </c>
      <c r="H14" s="4">
        <v>6</v>
      </c>
      <c r="I14" s="4" t="s">
        <v>1606</v>
      </c>
      <c r="J14" s="4" t="s">
        <v>519</v>
      </c>
      <c r="K14" s="120">
        <v>23291.639426707385</v>
      </c>
      <c r="L14" s="121">
        <f t="shared" si="1"/>
        <v>1179.9469797729989</v>
      </c>
      <c r="M14" s="122">
        <f t="shared" si="1"/>
        <v>1476.7493555894471</v>
      </c>
      <c r="N14" s="123">
        <f t="shared" si="1"/>
        <v>1351.0341967704665</v>
      </c>
      <c r="O14" s="123">
        <f t="shared" si="1"/>
        <v>660.57078772414013</v>
      </c>
      <c r="P14" s="123">
        <f t="shared" si="1"/>
        <v>587.36701184138064</v>
      </c>
      <c r="Q14" s="124">
        <f t="shared" si="1"/>
        <v>550.60527945083652</v>
      </c>
      <c r="R14" s="122">
        <f t="shared" si="1"/>
        <v>555.87716606866502</v>
      </c>
      <c r="S14" s="125">
        <f t="shared" si="1"/>
        <v>697.18451387696064</v>
      </c>
      <c r="T14" s="122">
        <f t="shared" si="1"/>
        <v>698.74918280122154</v>
      </c>
      <c r="U14" s="123">
        <f t="shared" si="1"/>
        <v>858.98914972353987</v>
      </c>
      <c r="V14" s="123">
        <f t="shared" si="1"/>
        <v>562.79435438219832</v>
      </c>
      <c r="W14" s="123">
        <f t="shared" si="1"/>
        <v>485.80733267293425</v>
      </c>
      <c r="X14" s="124">
        <f t="shared" si="1"/>
        <v>494.05155716514378</v>
      </c>
      <c r="Y14" s="122">
        <f t="shared" si="1"/>
        <v>534.71581981867496</v>
      </c>
      <c r="Z14" s="125">
        <f t="shared" si="1"/>
        <v>595.5011530405144</v>
      </c>
      <c r="AA14" s="122">
        <f t="shared" si="1"/>
        <v>760.90321991008113</v>
      </c>
      <c r="AB14" s="123">
        <f t="shared" si="2"/>
        <v>632.16692157213254</v>
      </c>
      <c r="AC14" s="123">
        <f t="shared" si="2"/>
        <v>438.30945452222483</v>
      </c>
      <c r="AD14" s="123">
        <f t="shared" si="2"/>
        <v>407.46475632393833</v>
      </c>
      <c r="AE14" s="124">
        <f t="shared" si="2"/>
        <v>402.66037421073821</v>
      </c>
      <c r="AF14" s="122">
        <f t="shared" si="2"/>
        <v>450.71868333097677</v>
      </c>
      <c r="AG14" s="125">
        <f t="shared" si="2"/>
        <v>624.6178409225306</v>
      </c>
      <c r="AH14" s="122">
        <f t="shared" si="2"/>
        <v>753.82729916402445</v>
      </c>
      <c r="AI14" s="123">
        <f t="shared" si="2"/>
        <v>732.74474723602361</v>
      </c>
      <c r="AJ14" s="123">
        <f t="shared" si="2"/>
        <v>532.86215797635521</v>
      </c>
      <c r="AK14" s="123">
        <f t="shared" si="2"/>
        <v>819.25173705431098</v>
      </c>
      <c r="AL14" s="124">
        <f t="shared" si="2"/>
        <v>842.81552218175261</v>
      </c>
      <c r="AM14" s="122">
        <f t="shared" si="2"/>
        <v>1007.5970964744159</v>
      </c>
      <c r="AN14" s="125">
        <f t="shared" si="2"/>
        <v>1177.4886350532199</v>
      </c>
      <c r="AO14" s="125">
        <f t="shared" si="2"/>
        <v>1235.274281145691</v>
      </c>
      <c r="AP14" s="125">
        <f t="shared" si="2"/>
        <v>1182.9928589298488</v>
      </c>
      <c r="AQ14" s="3">
        <f t="shared" si="4"/>
        <v>17845.471032922458</v>
      </c>
      <c r="AR14" s="110">
        <f t="shared" si="3"/>
        <v>23291.639426707392</v>
      </c>
    </row>
    <row r="15" spans="1:44" x14ac:dyDescent="0.25">
      <c r="A15" s="118">
        <v>85</v>
      </c>
      <c r="B15" s="4" t="s">
        <v>13</v>
      </c>
      <c r="C15" s="4" t="s">
        <v>350</v>
      </c>
      <c r="D15" s="4" t="s">
        <v>145</v>
      </c>
      <c r="E15" s="4" t="s">
        <v>343</v>
      </c>
      <c r="F15" s="4" t="s">
        <v>127</v>
      </c>
      <c r="G15" s="119">
        <v>45488</v>
      </c>
      <c r="H15" s="4">
        <v>4</v>
      </c>
      <c r="I15" s="4" t="s">
        <v>1606</v>
      </c>
      <c r="J15" s="4" t="s">
        <v>519</v>
      </c>
      <c r="K15" s="120">
        <v>20872.053854482954</v>
      </c>
      <c r="L15" s="121">
        <f t="shared" si="1"/>
        <v>1057.3715510560803</v>
      </c>
      <c r="M15" s="122">
        <f t="shared" si="1"/>
        <v>1323.3414580552433</v>
      </c>
      <c r="N15" s="123">
        <f t="shared" si="1"/>
        <v>1210.685860176379</v>
      </c>
      <c r="O15" s="123">
        <f t="shared" si="1"/>
        <v>591.9492743077185</v>
      </c>
      <c r="P15" s="123">
        <f t="shared" si="1"/>
        <v>526.35006402523095</v>
      </c>
      <c r="Q15" s="124">
        <f t="shared" si="1"/>
        <v>493.40721941980951</v>
      </c>
      <c r="R15" s="122">
        <f t="shared" si="1"/>
        <v>498.13145112313362</v>
      </c>
      <c r="S15" s="125">
        <f t="shared" si="1"/>
        <v>624.75948788155074</v>
      </c>
      <c r="T15" s="122">
        <f t="shared" si="1"/>
        <v>626.16161563448861</v>
      </c>
      <c r="U15" s="123">
        <f t="shared" si="1"/>
        <v>769.75551033509851</v>
      </c>
      <c r="V15" s="123">
        <f t="shared" si="1"/>
        <v>504.33006704521068</v>
      </c>
      <c r="W15" s="123">
        <f t="shared" si="1"/>
        <v>435.34062264528234</v>
      </c>
      <c r="X15" s="124">
        <f t="shared" si="1"/>
        <v>442.72841937514823</v>
      </c>
      <c r="Y15" s="122">
        <f t="shared" si="1"/>
        <v>479.16839101081274</v>
      </c>
      <c r="Z15" s="125">
        <f t="shared" si="1"/>
        <v>533.63921315114487</v>
      </c>
      <c r="AA15" s="122">
        <f t="shared" si="1"/>
        <v>681.85895775984022</v>
      </c>
      <c r="AB15" s="123">
        <f t="shared" si="2"/>
        <v>566.49606282959303</v>
      </c>
      <c r="AC15" s="123">
        <f t="shared" si="2"/>
        <v>392.77692618008155</v>
      </c>
      <c r="AD15" s="123">
        <f t="shared" si="2"/>
        <v>365.13644153554839</v>
      </c>
      <c r="AE15" s="124">
        <f t="shared" si="2"/>
        <v>360.8311489639467</v>
      </c>
      <c r="AF15" s="122">
        <f t="shared" si="2"/>
        <v>403.89705762483862</v>
      </c>
      <c r="AG15" s="125">
        <f t="shared" si="2"/>
        <v>559.7311969056575</v>
      </c>
      <c r="AH15" s="122">
        <f t="shared" si="2"/>
        <v>675.51809887154741</v>
      </c>
      <c r="AI15" s="123">
        <f t="shared" si="2"/>
        <v>656.62564775766839</v>
      </c>
      <c r="AJ15" s="123">
        <f t="shared" si="2"/>
        <v>477.5072915453739</v>
      </c>
      <c r="AK15" s="123">
        <f t="shared" si="2"/>
        <v>734.1461055149756</v>
      </c>
      <c r="AL15" s="124">
        <f t="shared" si="2"/>
        <v>755.262033989786</v>
      </c>
      <c r="AM15" s="122">
        <f t="shared" si="2"/>
        <v>902.92574412430065</v>
      </c>
      <c r="AN15" s="125">
        <f t="shared" si="2"/>
        <v>1055.1685844703416</v>
      </c>
      <c r="AO15" s="125">
        <f t="shared" si="2"/>
        <v>1106.9513334285439</v>
      </c>
      <c r="AP15" s="125">
        <f t="shared" si="2"/>
        <v>1060.101017738581</v>
      </c>
      <c r="AQ15" s="3">
        <f t="shared" si="4"/>
        <v>15991.645140731409</v>
      </c>
      <c r="AR15" s="110">
        <f t="shared" si="3"/>
        <v>20872.053854482961</v>
      </c>
    </row>
    <row r="16" spans="1:44" x14ac:dyDescent="0.25">
      <c r="A16" s="118">
        <v>31</v>
      </c>
      <c r="B16" s="4" t="s">
        <v>37</v>
      </c>
      <c r="C16" s="4" t="s">
        <v>293</v>
      </c>
      <c r="D16" s="4" t="s">
        <v>150</v>
      </c>
      <c r="E16" s="4" t="s">
        <v>294</v>
      </c>
      <c r="F16" s="4" t="s">
        <v>133</v>
      </c>
      <c r="G16" s="119">
        <v>45706</v>
      </c>
      <c r="H16" s="4">
        <v>9</v>
      </c>
      <c r="I16" s="4" t="s">
        <v>1606</v>
      </c>
      <c r="J16" s="4" t="s">
        <v>519</v>
      </c>
      <c r="K16" s="120">
        <v>25129.215611196785</v>
      </c>
      <c r="L16" s="121">
        <f t="shared" si="1"/>
        <v>1273.0379996565046</v>
      </c>
      <c r="M16" s="122">
        <f t="shared" si="1"/>
        <v>1593.2563732611891</v>
      </c>
      <c r="N16" s="123">
        <f t="shared" si="1"/>
        <v>1457.6230125654365</v>
      </c>
      <c r="O16" s="123">
        <f t="shared" si="1"/>
        <v>712.68601780534357</v>
      </c>
      <c r="P16" s="123">
        <f t="shared" si="1"/>
        <v>633.70688567940715</v>
      </c>
      <c r="Q16" s="124">
        <f t="shared" si="1"/>
        <v>594.04486436098375</v>
      </c>
      <c r="R16" s="122">
        <f t="shared" si="1"/>
        <v>599.7326724654356</v>
      </c>
      <c r="S16" s="125">
        <f t="shared" si="1"/>
        <v>752.18835604644369</v>
      </c>
      <c r="T16" s="122">
        <f t="shared" si="1"/>
        <v>753.8764683359035</v>
      </c>
      <c r="U16" s="123">
        <f t="shared" si="1"/>
        <v>926.75844562191423</v>
      </c>
      <c r="V16" s="123">
        <f t="shared" si="1"/>
        <v>607.19558709199089</v>
      </c>
      <c r="W16" s="123">
        <f t="shared" si="1"/>
        <v>524.13473283637995</v>
      </c>
      <c r="X16" s="124">
        <f t="shared" si="1"/>
        <v>533.02937915201414</v>
      </c>
      <c r="Y16" s="122">
        <f t="shared" si="1"/>
        <v>576.90181789152177</v>
      </c>
      <c r="Z16" s="125">
        <f t="shared" si="1"/>
        <v>642.48276376425201</v>
      </c>
      <c r="AA16" s="122">
        <f t="shared" si="1"/>
        <v>820.9341009482273</v>
      </c>
      <c r="AB16" s="123">
        <f t="shared" si="2"/>
        <v>682.04125022805863</v>
      </c>
      <c r="AC16" s="123">
        <f t="shared" si="2"/>
        <v>472.8895457004798</v>
      </c>
      <c r="AD16" s="123">
        <f t="shared" si="2"/>
        <v>439.61137848833152</v>
      </c>
      <c r="AE16" s="124">
        <f t="shared" si="2"/>
        <v>434.42795830096816</v>
      </c>
      <c r="AF16" s="122">
        <f t="shared" si="2"/>
        <v>486.27779118165608</v>
      </c>
      <c r="AG16" s="125">
        <f t="shared" si="2"/>
        <v>673.89659059999315</v>
      </c>
      <c r="AH16" s="122">
        <f t="shared" si="2"/>
        <v>813.29993081456507</v>
      </c>
      <c r="AI16" s="123">
        <f t="shared" si="2"/>
        <v>790.55408698076849</v>
      </c>
      <c r="AJ16" s="123">
        <f t="shared" si="2"/>
        <v>574.90191280744739</v>
      </c>
      <c r="AK16" s="123">
        <f t="shared" si="2"/>
        <v>883.88597999155832</v>
      </c>
      <c r="AL16" s="124">
        <f t="shared" si="2"/>
        <v>909.3088120316429</v>
      </c>
      <c r="AM16" s="122">
        <f t="shared" si="2"/>
        <v>1087.0907033486058</v>
      </c>
      <c r="AN16" s="125">
        <f t="shared" si="2"/>
        <v>1270.3857056990796</v>
      </c>
      <c r="AO16" s="125">
        <f t="shared" si="2"/>
        <v>1332.7303064069611</v>
      </c>
      <c r="AP16" s="125">
        <f t="shared" si="2"/>
        <v>1276.3241811337243</v>
      </c>
      <c r="AQ16" s="3">
        <f t="shared" si="4"/>
        <v>19253.375902576772</v>
      </c>
      <c r="AR16" s="110">
        <f t="shared" si="3"/>
        <v>25129.215611196785</v>
      </c>
    </row>
    <row r="17" spans="1:44" x14ac:dyDescent="0.25">
      <c r="A17" s="118">
        <v>40</v>
      </c>
      <c r="B17" s="4" t="s">
        <v>19</v>
      </c>
      <c r="C17" s="4" t="s">
        <v>304</v>
      </c>
      <c r="D17" s="4" t="s">
        <v>138</v>
      </c>
      <c r="E17" s="4" t="s">
        <v>296</v>
      </c>
      <c r="F17" s="4" t="s">
        <v>129</v>
      </c>
      <c r="G17" s="119">
        <v>45641</v>
      </c>
      <c r="H17" s="4">
        <v>5</v>
      </c>
      <c r="I17" s="4" t="s">
        <v>1606</v>
      </c>
      <c r="J17" s="4" t="s">
        <v>519</v>
      </c>
      <c r="K17" s="120">
        <v>38556.604595544442</v>
      </c>
      <c r="L17" s="121">
        <f t="shared" si="1"/>
        <v>1953.2652171597585</v>
      </c>
      <c r="M17" s="122">
        <f t="shared" si="1"/>
        <v>2444.5870875408987</v>
      </c>
      <c r="N17" s="123">
        <f t="shared" si="1"/>
        <v>2236.4802393517789</v>
      </c>
      <c r="O17" s="123">
        <f t="shared" si="1"/>
        <v>1093.4982378459163</v>
      </c>
      <c r="P17" s="123">
        <f t="shared" si="1"/>
        <v>972.31788682365209</v>
      </c>
      <c r="Q17" s="124">
        <f t="shared" si="1"/>
        <v>911.46310738703778</v>
      </c>
      <c r="R17" s="122">
        <f t="shared" si="1"/>
        <v>920.19010354528507</v>
      </c>
      <c r="S17" s="125">
        <f t="shared" si="1"/>
        <v>1154.1080101415116</v>
      </c>
      <c r="T17" s="122">
        <f t="shared" si="1"/>
        <v>1156.6981378663331</v>
      </c>
      <c r="U17" s="123">
        <f t="shared" si="1"/>
        <v>1421.9567970718583</v>
      </c>
      <c r="V17" s="123">
        <f t="shared" si="1"/>
        <v>931.64070561892038</v>
      </c>
      <c r="W17" s="123">
        <f t="shared" si="1"/>
        <v>804.19763041705119</v>
      </c>
      <c r="X17" s="124">
        <f t="shared" si="1"/>
        <v>817.84498679757894</v>
      </c>
      <c r="Y17" s="122">
        <f t="shared" si="1"/>
        <v>885.1599519478533</v>
      </c>
      <c r="Z17" s="125">
        <f t="shared" si="1"/>
        <v>985.78301309465678</v>
      </c>
      <c r="AA17" s="122">
        <f t="shared" si="1"/>
        <v>1259.5869293730061</v>
      </c>
      <c r="AB17" s="123">
        <f t="shared" si="2"/>
        <v>1046.4789355055254</v>
      </c>
      <c r="AC17" s="123">
        <f t="shared" si="2"/>
        <v>725.57040828667914</v>
      </c>
      <c r="AD17" s="123">
        <f t="shared" si="2"/>
        <v>674.5105919073925</v>
      </c>
      <c r="AE17" s="124">
        <f t="shared" si="2"/>
        <v>666.55749517294112</v>
      </c>
      <c r="AF17" s="122">
        <f t="shared" si="2"/>
        <v>746.11244569972894</v>
      </c>
      <c r="AG17" s="125">
        <f t="shared" si="2"/>
        <v>1033.9823090408024</v>
      </c>
      <c r="AH17" s="122">
        <f t="shared" si="2"/>
        <v>1247.8735641883175</v>
      </c>
      <c r="AI17" s="123">
        <f t="shared" si="2"/>
        <v>1212.9738474418491</v>
      </c>
      <c r="AJ17" s="123">
        <f t="shared" si="2"/>
        <v>882.09143000318431</v>
      </c>
      <c r="AK17" s="123">
        <f t="shared" si="2"/>
        <v>1356.1761244507372</v>
      </c>
      <c r="AL17" s="124">
        <f t="shared" si="2"/>
        <v>1395.1832346540389</v>
      </c>
      <c r="AM17" s="122">
        <f t="shared" si="2"/>
        <v>1667.9599975189317</v>
      </c>
      <c r="AN17" s="125">
        <f t="shared" si="2"/>
        <v>1949.1957129233424</v>
      </c>
      <c r="AO17" s="125">
        <f t="shared" si="2"/>
        <v>2044.8531403318536</v>
      </c>
      <c r="AP17" s="125">
        <f t="shared" si="2"/>
        <v>1958.3073164360255</v>
      </c>
      <c r="AQ17" s="3">
        <f t="shared" si="4"/>
        <v>29541.105193680254</v>
      </c>
      <c r="AR17" s="110">
        <f t="shared" si="3"/>
        <v>38556.60459554445</v>
      </c>
    </row>
    <row r="18" spans="1:44" x14ac:dyDescent="0.25">
      <c r="A18" s="118">
        <v>86</v>
      </c>
      <c r="B18" s="4" t="s">
        <v>36</v>
      </c>
      <c r="C18" s="4" t="s">
        <v>288</v>
      </c>
      <c r="D18" s="4" t="s">
        <v>145</v>
      </c>
      <c r="E18" s="4" t="s">
        <v>343</v>
      </c>
      <c r="F18" s="4" t="s">
        <v>131</v>
      </c>
      <c r="G18" s="119">
        <v>45708</v>
      </c>
      <c r="H18" s="4">
        <v>4</v>
      </c>
      <c r="I18" s="4" t="s">
        <v>1606</v>
      </c>
      <c r="J18" s="4" t="s">
        <v>519</v>
      </c>
      <c r="K18" s="120">
        <v>39638.461265100501</v>
      </c>
      <c r="L18" s="121">
        <f t="shared" si="1"/>
        <v>2008.0717289043209</v>
      </c>
      <c r="M18" s="122">
        <f t="shared" si="1"/>
        <v>2513.1795601589974</v>
      </c>
      <c r="N18" s="123">
        <f t="shared" si="1"/>
        <v>2299.2334586420648</v>
      </c>
      <c r="O18" s="123">
        <f t="shared" si="1"/>
        <v>1124.1806170172947</v>
      </c>
      <c r="P18" s="123">
        <f t="shared" si="1"/>
        <v>999.60007626494905</v>
      </c>
      <c r="Q18" s="124">
        <f t="shared" si="1"/>
        <v>937.037777463015</v>
      </c>
      <c r="R18" s="122">
        <f t="shared" si="1"/>
        <v>946.0096437050787</v>
      </c>
      <c r="S18" s="125">
        <f t="shared" si="1"/>
        <v>1186.4910340425308</v>
      </c>
      <c r="T18" s="122">
        <f t="shared" si="1"/>
        <v>1189.153837953015</v>
      </c>
      <c r="U18" s="123">
        <f t="shared" si="1"/>
        <v>1461.855368558377</v>
      </c>
      <c r="V18" s="123">
        <f t="shared" si="1"/>
        <v>957.78153730201461</v>
      </c>
      <c r="W18" s="123">
        <f t="shared" si="1"/>
        <v>826.76254709564284</v>
      </c>
      <c r="X18" s="124">
        <f t="shared" si="1"/>
        <v>840.79283355201517</v>
      </c>
      <c r="Y18" s="122">
        <f t="shared" si="1"/>
        <v>909.99658389934439</v>
      </c>
      <c r="Z18" s="125">
        <f t="shared" si="1"/>
        <v>1013.443019431801</v>
      </c>
      <c r="AA18" s="122">
        <f t="shared" si="1"/>
        <v>1294.9295777914119</v>
      </c>
      <c r="AB18" s="123">
        <f t="shared" si="2"/>
        <v>1075.8420038514712</v>
      </c>
      <c r="AC18" s="123">
        <f t="shared" si="2"/>
        <v>745.92913005877642</v>
      </c>
      <c r="AD18" s="123">
        <f t="shared" si="2"/>
        <v>693.43663039537546</v>
      </c>
      <c r="AE18" s="124">
        <f t="shared" si="2"/>
        <v>685.26037835884176</v>
      </c>
      <c r="AF18" s="122">
        <f t="shared" si="2"/>
        <v>767.04755484863756</v>
      </c>
      <c r="AG18" s="125">
        <f t="shared" si="2"/>
        <v>1062.994735549127</v>
      </c>
      <c r="AH18" s="122">
        <f t="shared" si="2"/>
        <v>1282.8875482344081</v>
      </c>
      <c r="AI18" s="123">
        <f t="shared" si="2"/>
        <v>1247.0085831406373</v>
      </c>
      <c r="AJ18" s="123">
        <f t="shared" si="2"/>
        <v>906.84196254404662</v>
      </c>
      <c r="AK18" s="123">
        <f t="shared" si="2"/>
        <v>1394.2289613309656</v>
      </c>
      <c r="AL18" s="124">
        <f t="shared" si="2"/>
        <v>1434.3305689044641</v>
      </c>
      <c r="AM18" s="122">
        <f t="shared" si="2"/>
        <v>1714.761153035543</v>
      </c>
      <c r="AN18" s="125">
        <f t="shared" si="2"/>
        <v>2003.8880387756005</v>
      </c>
      <c r="AO18" s="125">
        <f t="shared" si="2"/>
        <v>2102.2295102517896</v>
      </c>
      <c r="AP18" s="125">
        <f t="shared" si="2"/>
        <v>2013.2553040389475</v>
      </c>
      <c r="AQ18" s="3">
        <f t="shared" si="4"/>
        <v>30369.996690094162</v>
      </c>
      <c r="AR18" s="110">
        <f t="shared" si="3"/>
        <v>39638.461265100508</v>
      </c>
    </row>
    <row r="19" spans="1:44" x14ac:dyDescent="0.25">
      <c r="A19" s="118">
        <v>102</v>
      </c>
      <c r="B19" s="4" t="s">
        <v>25</v>
      </c>
      <c r="C19" s="4" t="s">
        <v>367</v>
      </c>
      <c r="D19" s="4" t="s">
        <v>158</v>
      </c>
      <c r="E19" s="4" t="s">
        <v>296</v>
      </c>
      <c r="F19" s="4" t="s">
        <v>128</v>
      </c>
      <c r="G19" s="119">
        <v>45614</v>
      </c>
      <c r="H19" s="4">
        <v>7</v>
      </c>
      <c r="I19" s="4" t="s">
        <v>1607</v>
      </c>
      <c r="J19" s="4" t="s">
        <v>519</v>
      </c>
      <c r="K19" s="120">
        <v>12364.650541648232</v>
      </c>
      <c r="L19" s="121">
        <f t="shared" si="1"/>
        <v>626.3892289967871</v>
      </c>
      <c r="M19" s="122">
        <f t="shared" si="1"/>
        <v>783.95038601406782</v>
      </c>
      <c r="N19" s="123">
        <f t="shared" si="1"/>
        <v>717.21296242154381</v>
      </c>
      <c r="O19" s="123">
        <f t="shared" si="1"/>
        <v>350.67205011188503</v>
      </c>
      <c r="P19" s="123">
        <f t="shared" si="1"/>
        <v>311.81093387454627</v>
      </c>
      <c r="Q19" s="124">
        <f t="shared" si="1"/>
        <v>292.29552038272209</v>
      </c>
      <c r="R19" s="122">
        <f t="shared" si="1"/>
        <v>295.09416561891345</v>
      </c>
      <c r="S19" s="125">
        <f t="shared" si="1"/>
        <v>370.10889268931754</v>
      </c>
      <c r="T19" s="122">
        <f t="shared" si="1"/>
        <v>370.93951624944697</v>
      </c>
      <c r="U19" s="123">
        <f t="shared" si="1"/>
        <v>456.00485482444935</v>
      </c>
      <c r="V19" s="123">
        <f t="shared" si="1"/>
        <v>298.76623930426945</v>
      </c>
      <c r="W19" s="123">
        <f t="shared" si="1"/>
        <v>257.89674093028128</v>
      </c>
      <c r="X19" s="124">
        <f t="shared" si="1"/>
        <v>262.273287937796</v>
      </c>
      <c r="Y19" s="122">
        <f t="shared" si="1"/>
        <v>283.86040716256701</v>
      </c>
      <c r="Z19" s="125">
        <f t="shared" si="1"/>
        <v>316.12904182483447</v>
      </c>
      <c r="AA19" s="122">
        <f t="shared" si="1"/>
        <v>403.93474404446721</v>
      </c>
      <c r="AB19" s="123">
        <f t="shared" si="2"/>
        <v>335.59351173306158</v>
      </c>
      <c r="AC19" s="123">
        <f t="shared" si="2"/>
        <v>232.68191366784782</v>
      </c>
      <c r="AD19" s="123">
        <f t="shared" si="2"/>
        <v>216.30762986165493</v>
      </c>
      <c r="AE19" s="124">
        <f t="shared" si="2"/>
        <v>213.75716508715092</v>
      </c>
      <c r="AF19" s="122">
        <f t="shared" si="2"/>
        <v>239.26950395724731</v>
      </c>
      <c r="AG19" s="125">
        <f t="shared" si="2"/>
        <v>331.58599030303219</v>
      </c>
      <c r="AH19" s="122">
        <f t="shared" si="2"/>
        <v>400.17840531353755</v>
      </c>
      <c r="AI19" s="123">
        <f t="shared" si="2"/>
        <v>388.98647578293634</v>
      </c>
      <c r="AJ19" s="123">
        <f t="shared" si="2"/>
        <v>282.87636819121019</v>
      </c>
      <c r="AK19" s="123">
        <f t="shared" si="2"/>
        <v>434.90976520525811</v>
      </c>
      <c r="AL19" s="124">
        <f t="shared" si="2"/>
        <v>447.41888760757462</v>
      </c>
      <c r="AM19" s="122">
        <f t="shared" si="2"/>
        <v>534.89519378356511</v>
      </c>
      <c r="AN19" s="125">
        <f t="shared" si="2"/>
        <v>625.08418675334076</v>
      </c>
      <c r="AO19" s="125">
        <f t="shared" si="2"/>
        <v>655.7604009590907</v>
      </c>
      <c r="AP19" s="125">
        <f t="shared" si="2"/>
        <v>628.00617105383071</v>
      </c>
      <c r="AQ19" s="3">
        <f t="shared" si="4"/>
        <v>9473.4857014908321</v>
      </c>
      <c r="AR19" s="110">
        <f t="shared" si="3"/>
        <v>12364.650541648232</v>
      </c>
    </row>
    <row r="20" spans="1:44" x14ac:dyDescent="0.25">
      <c r="A20" s="118">
        <v>79</v>
      </c>
      <c r="B20" s="4" t="s">
        <v>15</v>
      </c>
      <c r="C20" s="4" t="s">
        <v>344</v>
      </c>
      <c r="D20" s="4" t="s">
        <v>145</v>
      </c>
      <c r="E20" s="4" t="s">
        <v>343</v>
      </c>
      <c r="F20" s="4" t="s">
        <v>131</v>
      </c>
      <c r="G20" s="119">
        <v>45532</v>
      </c>
      <c r="H20" s="4">
        <v>4</v>
      </c>
      <c r="I20" s="4" t="s">
        <v>1606</v>
      </c>
      <c r="J20" s="4" t="s">
        <v>519</v>
      </c>
      <c r="K20" s="120">
        <v>18206.571291644097</v>
      </c>
      <c r="L20" s="121">
        <f t="shared" si="1"/>
        <v>922.33905969555656</v>
      </c>
      <c r="M20" s="122">
        <f t="shared" si="1"/>
        <v>1154.3430640437987</v>
      </c>
      <c r="N20" s="123">
        <f t="shared" si="1"/>
        <v>1056.0742406455784</v>
      </c>
      <c r="O20" s="123">
        <f t="shared" si="1"/>
        <v>516.35391221480938</v>
      </c>
      <c r="P20" s="123">
        <f t="shared" si="1"/>
        <v>459.13210227648648</v>
      </c>
      <c r="Q20" s="124">
        <f t="shared" si="1"/>
        <v>430.39625035507453</v>
      </c>
      <c r="R20" s="122">
        <f t="shared" si="1"/>
        <v>434.51717021780001</v>
      </c>
      <c r="S20" s="125">
        <f t="shared" si="1"/>
        <v>544.97407085807299</v>
      </c>
      <c r="T20" s="122">
        <f t="shared" si="1"/>
        <v>546.1971387493229</v>
      </c>
      <c r="U20" s="123">
        <f t="shared" si="1"/>
        <v>671.45325868550117</v>
      </c>
      <c r="V20" s="123">
        <f t="shared" si="1"/>
        <v>439.92418686703013</v>
      </c>
      <c r="W20" s="123">
        <f t="shared" si="1"/>
        <v>379.74509540840819</v>
      </c>
      <c r="X20" s="124">
        <f t="shared" si="1"/>
        <v>386.18942756605014</v>
      </c>
      <c r="Y20" s="122">
        <f t="shared" si="1"/>
        <v>417.97580307445355</v>
      </c>
      <c r="Z20" s="125">
        <f t="shared" si="1"/>
        <v>465.4903847024334</v>
      </c>
      <c r="AA20" s="122">
        <f t="shared" ref="V20:AK35" si="5">$K20*AA$4</f>
        <v>594.78160663303834</v>
      </c>
      <c r="AB20" s="123">
        <f t="shared" si="5"/>
        <v>494.1512237487554</v>
      </c>
      <c r="AC20" s="123">
        <f t="shared" si="5"/>
        <v>342.61703031561262</v>
      </c>
      <c r="AD20" s="123">
        <f t="shared" si="5"/>
        <v>318.50639617654826</v>
      </c>
      <c r="AE20" s="124">
        <f t="shared" si="5"/>
        <v>314.75091448400673</v>
      </c>
      <c r="AF20" s="122">
        <f t="shared" si="2"/>
        <v>352.3170563567939</v>
      </c>
      <c r="AG20" s="125">
        <f t="shared" si="2"/>
        <v>488.25027051333183</v>
      </c>
      <c r="AH20" s="122">
        <f t="shared" si="2"/>
        <v>589.25051227093934</v>
      </c>
      <c r="AI20" s="123">
        <f t="shared" si="2"/>
        <v>572.77073694663113</v>
      </c>
      <c r="AJ20" s="123">
        <f t="shared" si="2"/>
        <v>416.52683566325038</v>
      </c>
      <c r="AK20" s="123">
        <f t="shared" si="2"/>
        <v>640.39138178394592</v>
      </c>
      <c r="AL20" s="124">
        <f t="shared" si="2"/>
        <v>658.81068348976817</v>
      </c>
      <c r="AM20" s="122">
        <f t="shared" si="2"/>
        <v>787.61687977961139</v>
      </c>
      <c r="AN20" s="125">
        <f t="shared" si="2"/>
        <v>920.41742474405658</v>
      </c>
      <c r="AO20" s="125">
        <f t="shared" si="2"/>
        <v>965.58721575541517</v>
      </c>
      <c r="AP20" s="125">
        <f t="shared" si="2"/>
        <v>924.71995762201732</v>
      </c>
      <c r="AQ20" s="3">
        <f t="shared" si="4"/>
        <v>13949.419130253231</v>
      </c>
      <c r="AR20" s="110">
        <f t="shared" si="3"/>
        <v>18206.571291644097</v>
      </c>
    </row>
    <row r="21" spans="1:44" x14ac:dyDescent="0.25">
      <c r="A21" s="118">
        <v>66</v>
      </c>
      <c r="B21" s="4" t="s">
        <v>52</v>
      </c>
      <c r="C21" s="4" t="s">
        <v>329</v>
      </c>
      <c r="D21" s="4" t="s">
        <v>139</v>
      </c>
      <c r="E21" s="4" t="s">
        <v>296</v>
      </c>
      <c r="F21" s="4" t="s">
        <v>130</v>
      </c>
      <c r="G21" s="119">
        <v>45739</v>
      </c>
      <c r="H21" s="4">
        <v>6</v>
      </c>
      <c r="I21" s="4" t="s">
        <v>1606</v>
      </c>
      <c r="J21" s="4" t="s">
        <v>519</v>
      </c>
      <c r="K21" s="120">
        <v>49458.87296339326</v>
      </c>
      <c r="L21" s="121">
        <f t="shared" ref="L21:AA36" si="6">$K21*L$4</f>
        <v>2505.5706344661626</v>
      </c>
      <c r="M21" s="122">
        <f t="shared" si="6"/>
        <v>3135.8187132642029</v>
      </c>
      <c r="N21" s="123">
        <f t="shared" si="6"/>
        <v>2868.8675572854095</v>
      </c>
      <c r="O21" s="123">
        <f t="shared" si="6"/>
        <v>1402.6958804760873</v>
      </c>
      <c r="P21" s="123">
        <f t="shared" si="6"/>
        <v>1247.2505644338607</v>
      </c>
      <c r="Q21" s="124">
        <f t="shared" si="6"/>
        <v>1169.1884830617205</v>
      </c>
      <c r="R21" s="122">
        <f t="shared" si="6"/>
        <v>1180.3831252992959</v>
      </c>
      <c r="S21" s="125">
        <f t="shared" si="6"/>
        <v>1480.4436764698883</v>
      </c>
      <c r="T21" s="122">
        <f t="shared" si="6"/>
        <v>1483.7661889017977</v>
      </c>
      <c r="U21" s="123">
        <f t="shared" si="6"/>
        <v>1824.0294062080789</v>
      </c>
      <c r="V21" s="123">
        <f t="shared" si="5"/>
        <v>1195.0715004623864</v>
      </c>
      <c r="W21" s="123">
        <f t="shared" si="5"/>
        <v>1031.5926118882144</v>
      </c>
      <c r="X21" s="124">
        <f t="shared" si="5"/>
        <v>1049.0988957685297</v>
      </c>
      <c r="Y21" s="122">
        <f t="shared" si="5"/>
        <v>1135.4478454446482</v>
      </c>
      <c r="Z21" s="125">
        <f t="shared" si="5"/>
        <v>1264.5230908054029</v>
      </c>
      <c r="AA21" s="122">
        <f t="shared" si="5"/>
        <v>1615.7478227065969</v>
      </c>
      <c r="AB21" s="123">
        <f t="shared" si="5"/>
        <v>1342.3813967274455</v>
      </c>
      <c r="AC21" s="123">
        <f t="shared" si="5"/>
        <v>930.73275061142647</v>
      </c>
      <c r="AD21" s="123">
        <f t="shared" si="5"/>
        <v>865.23525677533405</v>
      </c>
      <c r="AE21" s="124">
        <f t="shared" si="5"/>
        <v>855.03334181988009</v>
      </c>
      <c r="AF21" s="122">
        <f t="shared" si="5"/>
        <v>957.08325604308743</v>
      </c>
      <c r="AG21" s="125">
        <f t="shared" si="5"/>
        <v>1326.3512232390583</v>
      </c>
      <c r="AH21" s="122">
        <f t="shared" si="5"/>
        <v>1600.7223855157324</v>
      </c>
      <c r="AI21" s="123">
        <f t="shared" si="5"/>
        <v>1555.9544222801562</v>
      </c>
      <c r="AJ21" s="123">
        <f t="shared" si="5"/>
        <v>1131.5116680078957</v>
      </c>
      <c r="AK21" s="123">
        <f t="shared" si="5"/>
        <v>1739.6485857301639</v>
      </c>
      <c r="AL21" s="124">
        <f t="shared" ref="AL21:AP35" si="7">$K21*AL$4</f>
        <v>1789.6853493002918</v>
      </c>
      <c r="AM21" s="122">
        <f t="shared" si="7"/>
        <v>2139.5924898128519</v>
      </c>
      <c r="AN21" s="125">
        <f t="shared" si="7"/>
        <v>2500.3504369107959</v>
      </c>
      <c r="AO21" s="125">
        <f t="shared" si="7"/>
        <v>2623.0559655700622</v>
      </c>
      <c r="AP21" s="125">
        <f t="shared" si="7"/>
        <v>2512.0384381068006</v>
      </c>
      <c r="AQ21" s="3">
        <f t="shared" si="4"/>
        <v>37894.150283692463</v>
      </c>
      <c r="AR21" s="110">
        <f t="shared" si="3"/>
        <v>49458.872963393267</v>
      </c>
    </row>
    <row r="22" spans="1:44" x14ac:dyDescent="0.25">
      <c r="A22" s="118">
        <v>58</v>
      </c>
      <c r="B22" s="4" t="s">
        <v>119</v>
      </c>
      <c r="C22" s="4" t="s">
        <v>321</v>
      </c>
      <c r="D22" s="4" t="s">
        <v>144</v>
      </c>
      <c r="E22" s="4" t="s">
        <v>266</v>
      </c>
      <c r="F22" s="4" t="s">
        <v>126</v>
      </c>
      <c r="G22" s="119">
        <v>46161</v>
      </c>
      <c r="H22" s="4">
        <v>4</v>
      </c>
      <c r="I22" s="4" t="s">
        <v>1607</v>
      </c>
      <c r="J22" s="4" t="s">
        <v>520</v>
      </c>
      <c r="K22" s="120">
        <v>23792.291169031469</v>
      </c>
      <c r="L22" s="121">
        <f t="shared" si="6"/>
        <v>1205.3098363951058</v>
      </c>
      <c r="M22" s="122">
        <f t="shared" si="6"/>
        <v>1508.4919531931205</v>
      </c>
      <c r="N22" s="123">
        <f t="shared" si="6"/>
        <v>1380.0745580847051</v>
      </c>
      <c r="O22" s="123">
        <f t="shared" si="6"/>
        <v>674.76969874726319</v>
      </c>
      <c r="P22" s="123">
        <f t="shared" si="6"/>
        <v>599.99241413594336</v>
      </c>
      <c r="Q22" s="124">
        <f t="shared" si="6"/>
        <v>562.44049153873334</v>
      </c>
      <c r="R22" s="122">
        <f t="shared" si="6"/>
        <v>567.82569689605441</v>
      </c>
      <c r="S22" s="125">
        <f t="shared" si="6"/>
        <v>712.17043372567832</v>
      </c>
      <c r="T22" s="122">
        <f t="shared" si="6"/>
        <v>713.76873507094399</v>
      </c>
      <c r="U22" s="123">
        <f t="shared" si="6"/>
        <v>877.45304599841734</v>
      </c>
      <c r="V22" s="123">
        <f t="shared" si="5"/>
        <v>574.89156956442037</v>
      </c>
      <c r="W22" s="123">
        <f t="shared" si="5"/>
        <v>496.24971859007286</v>
      </c>
      <c r="X22" s="124">
        <f t="shared" si="5"/>
        <v>504.67115196313961</v>
      </c>
      <c r="Y22" s="122">
        <f t="shared" si="5"/>
        <v>546.20948936833759</v>
      </c>
      <c r="Z22" s="125">
        <f t="shared" si="5"/>
        <v>608.30139798522498</v>
      </c>
      <c r="AA22" s="122">
        <f t="shared" si="5"/>
        <v>777.25876774460471</v>
      </c>
      <c r="AB22" s="123">
        <f t="shared" si="5"/>
        <v>645.75529398879598</v>
      </c>
      <c r="AC22" s="123">
        <f t="shared" si="5"/>
        <v>447.73087772320605</v>
      </c>
      <c r="AD22" s="123">
        <f t="shared" si="5"/>
        <v>416.22317544815525</v>
      </c>
      <c r="AE22" s="124">
        <f t="shared" si="5"/>
        <v>411.31552356369946</v>
      </c>
      <c r="AF22" s="122">
        <f t="shared" si="5"/>
        <v>460.40684181452792</v>
      </c>
      <c r="AG22" s="125">
        <f t="shared" si="5"/>
        <v>638.043946514136</v>
      </c>
      <c r="AH22" s="122">
        <f t="shared" si="5"/>
        <v>770.03075070402963</v>
      </c>
      <c r="AI22" s="123">
        <f t="shared" si="5"/>
        <v>748.49503117532788</v>
      </c>
      <c r="AJ22" s="123">
        <f t="shared" si="5"/>
        <v>544.31598322763966</v>
      </c>
      <c r="AK22" s="123">
        <f t="shared" si="5"/>
        <v>836.8614811364713</v>
      </c>
      <c r="AL22" s="124">
        <f t="shared" si="7"/>
        <v>860.93176775415475</v>
      </c>
      <c r="AM22" s="122">
        <f t="shared" si="7"/>
        <v>1029.255307503227</v>
      </c>
      <c r="AN22" s="125">
        <f t="shared" si="7"/>
        <v>1202.7986497716445</v>
      </c>
      <c r="AO22" s="125">
        <f t="shared" si="7"/>
        <v>1261.826393247967</v>
      </c>
      <c r="AP22" s="125">
        <f t="shared" si="7"/>
        <v>1208.4211864567233</v>
      </c>
      <c r="AQ22" s="3">
        <f t="shared" si="4"/>
        <v>18229.057864297749</v>
      </c>
      <c r="AR22" s="110">
        <f t="shared" si="3"/>
        <v>23792.291169031465</v>
      </c>
    </row>
    <row r="23" spans="1:44" x14ac:dyDescent="0.25">
      <c r="A23" s="118">
        <v>6</v>
      </c>
      <c r="B23" s="4" t="s">
        <v>23</v>
      </c>
      <c r="C23" s="4" t="s">
        <v>267</v>
      </c>
      <c r="D23" s="4" t="s">
        <v>136</v>
      </c>
      <c r="E23" s="4" t="s">
        <v>266</v>
      </c>
      <c r="F23" s="4" t="s">
        <v>126</v>
      </c>
      <c r="G23" s="119">
        <v>45665</v>
      </c>
      <c r="H23" s="4">
        <v>10</v>
      </c>
      <c r="I23" s="4" t="s">
        <v>1606</v>
      </c>
      <c r="J23" s="4" t="s">
        <v>520</v>
      </c>
      <c r="K23" s="120">
        <v>14453.416499298162</v>
      </c>
      <c r="L23" s="121">
        <f t="shared" si="6"/>
        <v>732.20544218938949</v>
      </c>
      <c r="M23" s="122">
        <f t="shared" si="6"/>
        <v>916.38347607812602</v>
      </c>
      <c r="N23" s="123">
        <f t="shared" si="6"/>
        <v>838.37206960741344</v>
      </c>
      <c r="O23" s="123">
        <f t="shared" si="6"/>
        <v>409.91123670319291</v>
      </c>
      <c r="P23" s="123">
        <f t="shared" si="6"/>
        <v>364.48529468291622</v>
      </c>
      <c r="Q23" s="124">
        <f t="shared" si="6"/>
        <v>341.67313364340515</v>
      </c>
      <c r="R23" s="122">
        <f t="shared" si="6"/>
        <v>344.9445552736567</v>
      </c>
      <c r="S23" s="125">
        <f t="shared" si="6"/>
        <v>432.63155380852987</v>
      </c>
      <c r="T23" s="122">
        <f t="shared" si="6"/>
        <v>433.60249497894483</v>
      </c>
      <c r="U23" s="123">
        <f t="shared" si="6"/>
        <v>533.03795932442006</v>
      </c>
      <c r="V23" s="123">
        <f t="shared" si="5"/>
        <v>349.23695401244777</v>
      </c>
      <c r="W23" s="123">
        <f t="shared" si="5"/>
        <v>301.46335296105093</v>
      </c>
      <c r="X23" s="124">
        <f t="shared" si="5"/>
        <v>306.57923201604729</v>
      </c>
      <c r="Y23" s="122">
        <f t="shared" si="5"/>
        <v>331.81307296647913</v>
      </c>
      <c r="Z23" s="125">
        <f t="shared" si="5"/>
        <v>369.53286254455725</v>
      </c>
      <c r="AA23" s="122">
        <f t="shared" si="5"/>
        <v>472.17162139333976</v>
      </c>
      <c r="AB23" s="123">
        <f t="shared" si="5"/>
        <v>392.28547407806207</v>
      </c>
      <c r="AC23" s="123">
        <f t="shared" si="5"/>
        <v>271.98897362827057</v>
      </c>
      <c r="AD23" s="123">
        <f t="shared" si="5"/>
        <v>252.84857471999123</v>
      </c>
      <c r="AE23" s="124">
        <f t="shared" si="5"/>
        <v>249.86725878805055</v>
      </c>
      <c r="AF23" s="122">
        <f t="shared" si="5"/>
        <v>279.68940849771661</v>
      </c>
      <c r="AG23" s="125">
        <f t="shared" si="5"/>
        <v>387.60096025674733</v>
      </c>
      <c r="AH23" s="122">
        <f t="shared" si="5"/>
        <v>467.78072267705994</v>
      </c>
      <c r="AI23" s="123">
        <f t="shared" si="5"/>
        <v>454.69813547480078</v>
      </c>
      <c r="AJ23" s="123">
        <f t="shared" si="5"/>
        <v>330.66279985065961</v>
      </c>
      <c r="AK23" s="123">
        <f t="shared" si="5"/>
        <v>508.37926676135891</v>
      </c>
      <c r="AL23" s="124">
        <f t="shared" si="7"/>
        <v>523.0015608174981</v>
      </c>
      <c r="AM23" s="122">
        <f t="shared" si="7"/>
        <v>625.2552786013556</v>
      </c>
      <c r="AN23" s="125">
        <f t="shared" si="7"/>
        <v>730.67993857485749</v>
      </c>
      <c r="AO23" s="125">
        <f t="shared" si="7"/>
        <v>766.53829939499985</v>
      </c>
      <c r="AP23" s="125">
        <f t="shared" si="7"/>
        <v>734.09553499281844</v>
      </c>
      <c r="AQ23" s="3">
        <f t="shared" si="4"/>
        <v>11073.845886916633</v>
      </c>
      <c r="AR23" s="110">
        <f t="shared" si="3"/>
        <v>14453.416499298164</v>
      </c>
    </row>
    <row r="24" spans="1:44" x14ac:dyDescent="0.25">
      <c r="A24" s="118">
        <v>4</v>
      </c>
      <c r="B24" s="4" t="s">
        <v>20</v>
      </c>
      <c r="C24" s="4" t="s">
        <v>264</v>
      </c>
      <c r="D24" s="4" t="s">
        <v>157</v>
      </c>
      <c r="E24" s="4" t="s">
        <v>261</v>
      </c>
      <c r="F24" s="4" t="s">
        <v>133</v>
      </c>
      <c r="G24" s="119">
        <v>45593</v>
      </c>
      <c r="H24" s="4">
        <v>8</v>
      </c>
      <c r="I24" s="4" t="s">
        <v>1606</v>
      </c>
      <c r="J24" s="4" t="s">
        <v>520</v>
      </c>
      <c r="K24" s="120">
        <v>18579.711132313452</v>
      </c>
      <c r="L24" s="121">
        <f t="shared" si="6"/>
        <v>941.24220429455499</v>
      </c>
      <c r="M24" s="122">
        <f t="shared" si="6"/>
        <v>1178.0010818053727</v>
      </c>
      <c r="N24" s="123">
        <f t="shared" si="6"/>
        <v>1077.718259586715</v>
      </c>
      <c r="O24" s="123">
        <f t="shared" si="6"/>
        <v>526.93647679802984</v>
      </c>
      <c r="P24" s="123">
        <f t="shared" si="6"/>
        <v>468.54191792740266</v>
      </c>
      <c r="Q24" s="124">
        <f t="shared" si="6"/>
        <v>439.21713077839109</v>
      </c>
      <c r="R24" s="122">
        <f t="shared" si="6"/>
        <v>443.4225080250115</v>
      </c>
      <c r="S24" s="125">
        <f t="shared" si="6"/>
        <v>556.14319955954568</v>
      </c>
      <c r="T24" s="122">
        <f t="shared" si="6"/>
        <v>557.39133396940349</v>
      </c>
      <c r="U24" s="123">
        <f t="shared" si="6"/>
        <v>685.21455167963109</v>
      </c>
      <c r="V24" s="123">
        <f t="shared" si="5"/>
        <v>448.94034034066618</v>
      </c>
      <c r="W24" s="123">
        <f t="shared" si="5"/>
        <v>387.5278910883776</v>
      </c>
      <c r="X24" s="124">
        <f t="shared" si="5"/>
        <v>394.10429847512245</v>
      </c>
      <c r="Y24" s="122">
        <f t="shared" si="5"/>
        <v>426.5421290489893</v>
      </c>
      <c r="Z24" s="125">
        <f t="shared" si="5"/>
        <v>475.03051201134082</v>
      </c>
      <c r="AA24" s="122">
        <f t="shared" si="5"/>
        <v>606.97153028076946</v>
      </c>
      <c r="AB24" s="123">
        <f t="shared" si="5"/>
        <v>504.27874891220023</v>
      </c>
      <c r="AC24" s="123">
        <f t="shared" si="5"/>
        <v>349.63889412811693</v>
      </c>
      <c r="AD24" s="123">
        <f t="shared" si="5"/>
        <v>325.03411762490424</v>
      </c>
      <c r="AE24" s="124">
        <f t="shared" si="5"/>
        <v>321.20166812673119</v>
      </c>
      <c r="AF24" s="122">
        <f t="shared" si="5"/>
        <v>359.53772015824262</v>
      </c>
      <c r="AG24" s="125">
        <f t="shared" si="5"/>
        <v>498.25685688414006</v>
      </c>
      <c r="AH24" s="122">
        <f t="shared" si="5"/>
        <v>601.3270773056762</v>
      </c>
      <c r="AI24" s="123">
        <f t="shared" si="5"/>
        <v>584.50955246003991</v>
      </c>
      <c r="AJ24" s="123">
        <f t="shared" si="5"/>
        <v>425.06346535613642</v>
      </c>
      <c r="AK24" s="123">
        <f t="shared" si="5"/>
        <v>653.51606815883508</v>
      </c>
      <c r="AL24" s="124">
        <f t="shared" si="7"/>
        <v>672.31286957032171</v>
      </c>
      <c r="AM24" s="122">
        <f t="shared" si="7"/>
        <v>803.75892170072484</v>
      </c>
      <c r="AN24" s="125">
        <f t="shared" si="7"/>
        <v>939.28118583980552</v>
      </c>
      <c r="AO24" s="125">
        <f t="shared" si="7"/>
        <v>985.37672219613103</v>
      </c>
      <c r="AP24" s="125">
        <f t="shared" si="7"/>
        <v>943.67189822212424</v>
      </c>
      <c r="AQ24" s="3">
        <f t="shared" si="4"/>
        <v>14235.309534784343</v>
      </c>
      <c r="AR24" s="110">
        <f t="shared" si="3"/>
        <v>18579.711132313452</v>
      </c>
    </row>
    <row r="25" spans="1:44" x14ac:dyDescent="0.25">
      <c r="A25" s="118">
        <v>69</v>
      </c>
      <c r="B25" s="4" t="s">
        <v>22</v>
      </c>
      <c r="C25" s="4" t="s">
        <v>332</v>
      </c>
      <c r="D25" s="4" t="s">
        <v>139</v>
      </c>
      <c r="E25" s="4" t="s">
        <v>296</v>
      </c>
      <c r="F25" s="4" t="s">
        <v>130</v>
      </c>
      <c r="G25" s="119">
        <v>45631</v>
      </c>
      <c r="H25" s="4">
        <v>10</v>
      </c>
      <c r="I25" s="4" t="s">
        <v>1606</v>
      </c>
      <c r="J25" s="4" t="s">
        <v>520</v>
      </c>
      <c r="K25" s="120">
        <v>21447.037986696625</v>
      </c>
      <c r="L25" s="121">
        <f t="shared" si="6"/>
        <v>1086.5000626989738</v>
      </c>
      <c r="M25" s="122">
        <f t="shared" si="6"/>
        <v>1359.7969187965368</v>
      </c>
      <c r="N25" s="123">
        <f t="shared" si="6"/>
        <v>1244.037880229133</v>
      </c>
      <c r="O25" s="123">
        <f t="shared" si="6"/>
        <v>608.25631539602193</v>
      </c>
      <c r="P25" s="123">
        <f t="shared" si="6"/>
        <v>540.84997557749796</v>
      </c>
      <c r="Q25" s="124">
        <f t="shared" si="6"/>
        <v>506.99962023785957</v>
      </c>
      <c r="R25" s="122">
        <f t="shared" si="6"/>
        <v>511.85399525555277</v>
      </c>
      <c r="S25" s="125">
        <f t="shared" si="6"/>
        <v>641.97038597937615</v>
      </c>
      <c r="T25" s="122">
        <f t="shared" si="6"/>
        <v>643.41113960089876</v>
      </c>
      <c r="U25" s="123">
        <f t="shared" si="6"/>
        <v>790.96076436579642</v>
      </c>
      <c r="V25" s="123">
        <f t="shared" si="5"/>
        <v>518.22337088444783</v>
      </c>
      <c r="W25" s="123">
        <f t="shared" si="5"/>
        <v>447.33340265026942</v>
      </c>
      <c r="X25" s="124">
        <f t="shared" si="5"/>
        <v>454.92471868500627</v>
      </c>
      <c r="Y25" s="122">
        <f t="shared" si="5"/>
        <v>492.36854004312266</v>
      </c>
      <c r="Z25" s="125">
        <f t="shared" si="5"/>
        <v>548.33992646034289</v>
      </c>
      <c r="AA25" s="122">
        <f t="shared" si="5"/>
        <v>700.64283422226379</v>
      </c>
      <c r="AB25" s="123">
        <f t="shared" si="5"/>
        <v>582.10191788149416</v>
      </c>
      <c r="AC25" s="123">
        <f t="shared" si="5"/>
        <v>403.59715985846009</v>
      </c>
      <c r="AD25" s="123">
        <f t="shared" si="5"/>
        <v>375.19523409327326</v>
      </c>
      <c r="AE25" s="124">
        <f t="shared" si="5"/>
        <v>370.77133915841267</v>
      </c>
      <c r="AF25" s="122">
        <f t="shared" si="5"/>
        <v>415.02362910655182</v>
      </c>
      <c r="AG25" s="125">
        <f t="shared" si="5"/>
        <v>575.15069317418556</v>
      </c>
      <c r="AH25" s="122">
        <f t="shared" si="5"/>
        <v>694.12729711251791</v>
      </c>
      <c r="AI25" s="123">
        <f t="shared" si="5"/>
        <v>674.71439603790009</v>
      </c>
      <c r="AJ25" s="123">
        <f t="shared" si="5"/>
        <v>490.66168054652854</v>
      </c>
      <c r="AK25" s="123">
        <f t="shared" si="5"/>
        <v>754.37039030939752</v>
      </c>
      <c r="AL25" s="124">
        <f t="shared" si="7"/>
        <v>776.06802118372366</v>
      </c>
      <c r="AM25" s="122">
        <f t="shared" si="7"/>
        <v>927.7995768126533</v>
      </c>
      <c r="AN25" s="125">
        <f t="shared" si="7"/>
        <v>1084.2364087060719</v>
      </c>
      <c r="AO25" s="125">
        <f t="shared" si="7"/>
        <v>1137.4456707990596</v>
      </c>
      <c r="AP25" s="125">
        <f t="shared" si="7"/>
        <v>1089.3047208332973</v>
      </c>
      <c r="AQ25" s="3">
        <f t="shared" si="4"/>
        <v>16432.183588361826</v>
      </c>
      <c r="AR25" s="110">
        <f t="shared" si="3"/>
        <v>21447.037986696632</v>
      </c>
    </row>
    <row r="26" spans="1:44" x14ac:dyDescent="0.25">
      <c r="A26" s="118">
        <v>2</v>
      </c>
      <c r="B26" s="4" t="s">
        <v>74</v>
      </c>
      <c r="C26" s="4" t="s">
        <v>262</v>
      </c>
      <c r="D26" s="4" t="s">
        <v>157</v>
      </c>
      <c r="E26" s="4" t="s">
        <v>261</v>
      </c>
      <c r="F26" s="4" t="s">
        <v>133</v>
      </c>
      <c r="G26" s="119">
        <v>46021</v>
      </c>
      <c r="H26" s="4">
        <v>5</v>
      </c>
      <c r="I26" s="4" t="s">
        <v>1607</v>
      </c>
      <c r="J26" s="4" t="s">
        <v>520</v>
      </c>
      <c r="K26" s="120">
        <v>39928.090223231535</v>
      </c>
      <c r="L26" s="121">
        <f t="shared" si="6"/>
        <v>2022.7442389900493</v>
      </c>
      <c r="M26" s="122">
        <f t="shared" si="6"/>
        <v>2531.5427749350947</v>
      </c>
      <c r="N26" s="123">
        <f t="shared" si="6"/>
        <v>2316.0334193335971</v>
      </c>
      <c r="O26" s="123">
        <f t="shared" si="6"/>
        <v>1132.3947416443898</v>
      </c>
      <c r="P26" s="123">
        <f t="shared" si="6"/>
        <v>1006.903920041832</v>
      </c>
      <c r="Q26" s="124">
        <f t="shared" si="6"/>
        <v>943.88449316675951</v>
      </c>
      <c r="R26" s="122">
        <f t="shared" si="6"/>
        <v>952.92191473537343</v>
      </c>
      <c r="S26" s="125">
        <f t="shared" si="6"/>
        <v>1195.1604463015813</v>
      </c>
      <c r="T26" s="122">
        <f t="shared" si="6"/>
        <v>1197.8427066969459</v>
      </c>
      <c r="U26" s="123">
        <f t="shared" si="6"/>
        <v>1472.5368035541042</v>
      </c>
      <c r="V26" s="123">
        <f t="shared" si="5"/>
        <v>964.77982280332787</v>
      </c>
      <c r="W26" s="123">
        <f t="shared" si="5"/>
        <v>832.80350750365687</v>
      </c>
      <c r="X26" s="124">
        <f t="shared" si="5"/>
        <v>846.93630997904074</v>
      </c>
      <c r="Y26" s="122">
        <f t="shared" si="5"/>
        <v>916.6457159313594</v>
      </c>
      <c r="Z26" s="125">
        <f t="shared" si="5"/>
        <v>1020.848010354131</v>
      </c>
      <c r="AA26" s="122">
        <f t="shared" si="5"/>
        <v>1304.3913251069919</v>
      </c>
      <c r="AB26" s="123">
        <f t="shared" si="5"/>
        <v>1083.7029295469761</v>
      </c>
      <c r="AC26" s="123">
        <f t="shared" si="5"/>
        <v>751.3794596095031</v>
      </c>
      <c r="AD26" s="123">
        <f t="shared" si="5"/>
        <v>698.50340953819091</v>
      </c>
      <c r="AE26" s="124">
        <f t="shared" si="5"/>
        <v>690.26741554187424</v>
      </c>
      <c r="AF26" s="122">
        <f t="shared" si="5"/>
        <v>772.65219178602968</v>
      </c>
      <c r="AG26" s="125">
        <f t="shared" si="5"/>
        <v>1070.7617892623582</v>
      </c>
      <c r="AH26" s="122">
        <f t="shared" si="5"/>
        <v>1292.261307258741</v>
      </c>
      <c r="AI26" s="123">
        <f t="shared" si="5"/>
        <v>1256.1201829653628</v>
      </c>
      <c r="AJ26" s="123">
        <f t="shared" si="5"/>
        <v>913.46804449623335</v>
      </c>
      <c r="AK26" s="123">
        <f t="shared" si="5"/>
        <v>1404.4162659986655</v>
      </c>
      <c r="AL26" s="124">
        <f t="shared" si="7"/>
        <v>1444.8108866319601</v>
      </c>
      <c r="AM26" s="122">
        <f t="shared" si="7"/>
        <v>1727.290511399777</v>
      </c>
      <c r="AN26" s="125">
        <f t="shared" si="7"/>
        <v>2018.5299796168515</v>
      </c>
      <c r="AO26" s="125">
        <f t="shared" si="7"/>
        <v>2117.590009205936</v>
      </c>
      <c r="AP26" s="125">
        <f t="shared" si="7"/>
        <v>2027.9656892948444</v>
      </c>
      <c r="AQ26" s="3">
        <f t="shared" si="4"/>
        <v>30591.903147082165</v>
      </c>
      <c r="AR26" s="110">
        <f t="shared" si="3"/>
        <v>39928.090223231542</v>
      </c>
    </row>
    <row r="27" spans="1:44" x14ac:dyDescent="0.25">
      <c r="A27" s="118">
        <v>44</v>
      </c>
      <c r="B27" s="4" t="s">
        <v>32</v>
      </c>
      <c r="C27" s="4" t="s">
        <v>308</v>
      </c>
      <c r="D27" s="4" t="s">
        <v>138</v>
      </c>
      <c r="E27" s="4" t="s">
        <v>296</v>
      </c>
      <c r="F27" s="4" t="s">
        <v>129</v>
      </c>
      <c r="G27" s="119">
        <v>45689</v>
      </c>
      <c r="H27" s="4">
        <v>4</v>
      </c>
      <c r="I27" s="4" t="s">
        <v>1606</v>
      </c>
      <c r="J27" s="4" t="s">
        <v>520</v>
      </c>
      <c r="K27" s="120">
        <v>37024.180601359789</v>
      </c>
      <c r="L27" s="121">
        <f t="shared" si="6"/>
        <v>1875.6331093229651</v>
      </c>
      <c r="M27" s="122">
        <f t="shared" si="6"/>
        <v>2347.4274971641426</v>
      </c>
      <c r="N27" s="123">
        <f t="shared" si="6"/>
        <v>2147.5918110979446</v>
      </c>
      <c r="O27" s="123">
        <f t="shared" si="6"/>
        <v>1050.0373845147762</v>
      </c>
      <c r="P27" s="123">
        <f t="shared" si="6"/>
        <v>933.67332059761918</v>
      </c>
      <c r="Q27" s="124">
        <f t="shared" si="6"/>
        <v>875.23720133992163</v>
      </c>
      <c r="R27" s="122">
        <f t="shared" si="6"/>
        <v>883.61734490442154</v>
      </c>
      <c r="S27" s="125">
        <f t="shared" si="6"/>
        <v>1108.2382343878153</v>
      </c>
      <c r="T27" s="122">
        <f t="shared" si="6"/>
        <v>1110.7254180407936</v>
      </c>
      <c r="U27" s="123">
        <f t="shared" si="6"/>
        <v>1365.441428631488</v>
      </c>
      <c r="V27" s="123">
        <f t="shared" si="5"/>
        <v>894.61284525036149</v>
      </c>
      <c r="W27" s="123">
        <f t="shared" si="5"/>
        <v>772.23496778518802</v>
      </c>
      <c r="X27" s="124">
        <f t="shared" si="5"/>
        <v>785.33991290844631</v>
      </c>
      <c r="Y27" s="122">
        <f t="shared" si="5"/>
        <v>849.97945918182347</v>
      </c>
      <c r="Z27" s="125">
        <f t="shared" si="5"/>
        <v>946.60327830803953</v>
      </c>
      <c r="AA27" s="122">
        <f t="shared" si="5"/>
        <v>1209.5249165588482</v>
      </c>
      <c r="AB27" s="123">
        <f t="shared" si="5"/>
        <v>1004.8868542784663</v>
      </c>
      <c r="AC27" s="123">
        <f t="shared" si="5"/>
        <v>696.73276776328748</v>
      </c>
      <c r="AD27" s="123">
        <f t="shared" si="5"/>
        <v>647.70231285343175</v>
      </c>
      <c r="AE27" s="124">
        <f t="shared" si="5"/>
        <v>640.0653102458308</v>
      </c>
      <c r="AF27" s="122">
        <f t="shared" si="5"/>
        <v>716.45836629767018</v>
      </c>
      <c r="AG27" s="125">
        <f t="shared" si="5"/>
        <v>992.88690355689516</v>
      </c>
      <c r="AH27" s="122">
        <f t="shared" si="5"/>
        <v>1198.2770965654427</v>
      </c>
      <c r="AI27" s="123">
        <f t="shared" si="5"/>
        <v>1164.7644615885843</v>
      </c>
      <c r="AJ27" s="123">
        <f t="shared" si="5"/>
        <v>847.03289498483525</v>
      </c>
      <c r="AK27" s="123">
        <f t="shared" si="5"/>
        <v>1302.2751947592046</v>
      </c>
      <c r="AL27" s="124">
        <f t="shared" si="7"/>
        <v>1339.7319757194002</v>
      </c>
      <c r="AM27" s="122">
        <f t="shared" si="7"/>
        <v>1601.6672845492435</v>
      </c>
      <c r="AN27" s="125">
        <f t="shared" si="7"/>
        <v>1871.7253466610921</v>
      </c>
      <c r="AO27" s="125">
        <f t="shared" si="7"/>
        <v>1963.5808900987383</v>
      </c>
      <c r="AP27" s="125">
        <f t="shared" si="7"/>
        <v>1880.4748114430752</v>
      </c>
      <c r="AQ27" s="3">
        <f t="shared" si="4"/>
        <v>28367.000292888239</v>
      </c>
      <c r="AR27" s="110">
        <f t="shared" si="3"/>
        <v>37024.180601359789</v>
      </c>
    </row>
    <row r="28" spans="1:44" x14ac:dyDescent="0.25">
      <c r="A28" s="118">
        <v>57</v>
      </c>
      <c r="B28" s="4" t="s">
        <v>53</v>
      </c>
      <c r="C28" s="4" t="s">
        <v>320</v>
      </c>
      <c r="D28" s="4" t="s">
        <v>159</v>
      </c>
      <c r="E28" s="4" t="s">
        <v>261</v>
      </c>
      <c r="F28" s="4" t="s">
        <v>133</v>
      </c>
      <c r="G28" s="119">
        <v>45744</v>
      </c>
      <c r="H28" s="4">
        <v>5</v>
      </c>
      <c r="I28" s="4" t="s">
        <v>1606</v>
      </c>
      <c r="J28" s="4" t="s">
        <v>520</v>
      </c>
      <c r="K28" s="120">
        <v>39837.225308269662</v>
      </c>
      <c r="L28" s="121">
        <f t="shared" si="6"/>
        <v>2018.1410515538892</v>
      </c>
      <c r="M28" s="122">
        <f t="shared" si="6"/>
        <v>2525.7817075341554</v>
      </c>
      <c r="N28" s="123">
        <f t="shared" si="6"/>
        <v>2310.7627895959854</v>
      </c>
      <c r="O28" s="123">
        <f t="shared" si="6"/>
        <v>1129.8177350475926</v>
      </c>
      <c r="P28" s="123">
        <f t="shared" si="6"/>
        <v>1004.6124946679195</v>
      </c>
      <c r="Q28" s="124">
        <f t="shared" si="6"/>
        <v>941.7364819865121</v>
      </c>
      <c r="R28" s="122">
        <f t="shared" si="6"/>
        <v>950.75333696810139</v>
      </c>
      <c r="S28" s="125">
        <f t="shared" si="6"/>
        <v>1192.4406029103288</v>
      </c>
      <c r="T28" s="122">
        <f t="shared" si="6"/>
        <v>1195.1167592480899</v>
      </c>
      <c r="U28" s="123">
        <f t="shared" si="6"/>
        <v>1469.1857308961055</v>
      </c>
      <c r="V28" s="123">
        <f t="shared" si="5"/>
        <v>962.58425982834376</v>
      </c>
      <c r="W28" s="123">
        <f t="shared" si="5"/>
        <v>830.90828488053137</v>
      </c>
      <c r="X28" s="124">
        <f t="shared" si="5"/>
        <v>845.00892513909184</v>
      </c>
      <c r="Y28" s="122">
        <f t="shared" si="5"/>
        <v>914.55969241852415</v>
      </c>
      <c r="Z28" s="125">
        <f t="shared" si="5"/>
        <v>1018.5248522183118</v>
      </c>
      <c r="AA28" s="122">
        <f t="shared" si="5"/>
        <v>1301.4229034727439</v>
      </c>
      <c r="AB28" s="123">
        <f t="shared" si="5"/>
        <v>1081.2367315899317</v>
      </c>
      <c r="AC28" s="123">
        <f t="shared" si="5"/>
        <v>749.66953483424322</v>
      </c>
      <c r="AD28" s="123">
        <f t="shared" si="5"/>
        <v>696.91381553173039</v>
      </c>
      <c r="AE28" s="124">
        <f t="shared" si="5"/>
        <v>688.69656430247107</v>
      </c>
      <c r="AF28" s="122">
        <f t="shared" si="5"/>
        <v>770.89385635577923</v>
      </c>
      <c r="AG28" s="125">
        <f t="shared" si="5"/>
        <v>1068.325041639775</v>
      </c>
      <c r="AH28" s="122">
        <f t="shared" si="5"/>
        <v>1289.3204900762487</v>
      </c>
      <c r="AI28" s="123">
        <f t="shared" si="5"/>
        <v>1253.2616126463488</v>
      </c>
      <c r="AJ28" s="123">
        <f t="shared" si="5"/>
        <v>911.38925245485382</v>
      </c>
      <c r="AK28" s="123">
        <f t="shared" si="5"/>
        <v>1401.2202162034569</v>
      </c>
      <c r="AL28" s="124">
        <f t="shared" si="7"/>
        <v>1441.5229102319915</v>
      </c>
      <c r="AM28" s="122">
        <f t="shared" si="7"/>
        <v>1723.3596921555982</v>
      </c>
      <c r="AN28" s="125">
        <f t="shared" si="7"/>
        <v>2013.9363826298572</v>
      </c>
      <c r="AO28" s="125">
        <f t="shared" si="7"/>
        <v>2112.7709799201662</v>
      </c>
      <c r="AP28" s="125">
        <f t="shared" si="7"/>
        <v>2023.3506193309884</v>
      </c>
      <c r="AQ28" s="3">
        <f t="shared" si="4"/>
        <v>30522.28472400106</v>
      </c>
      <c r="AR28" s="110">
        <f t="shared" si="3"/>
        <v>39837.225308269662</v>
      </c>
    </row>
    <row r="29" spans="1:44" x14ac:dyDescent="0.25">
      <c r="A29" s="118">
        <v>45</v>
      </c>
      <c r="B29" s="4" t="s">
        <v>34</v>
      </c>
      <c r="C29" s="4" t="s">
        <v>309</v>
      </c>
      <c r="D29" s="4" t="s">
        <v>138</v>
      </c>
      <c r="E29" s="4" t="s">
        <v>296</v>
      </c>
      <c r="F29" s="4" t="s">
        <v>128</v>
      </c>
      <c r="G29" s="119">
        <v>45703</v>
      </c>
      <c r="H29" s="4">
        <v>6</v>
      </c>
      <c r="I29" s="4" t="s">
        <v>1606</v>
      </c>
      <c r="J29" s="4" t="s">
        <v>520</v>
      </c>
      <c r="K29" s="120">
        <v>33215.609116818268</v>
      </c>
      <c r="L29" s="121">
        <f t="shared" si="6"/>
        <v>1682.6920999717133</v>
      </c>
      <c r="M29" s="122">
        <f t="shared" si="6"/>
        <v>2105.9543495477528</v>
      </c>
      <c r="N29" s="123">
        <f t="shared" si="6"/>
        <v>1926.6751885196149</v>
      </c>
      <c r="O29" s="123">
        <f t="shared" si="6"/>
        <v>942.02304428063587</v>
      </c>
      <c r="P29" s="123">
        <f t="shared" si="6"/>
        <v>837.6290185510079</v>
      </c>
      <c r="Q29" s="124">
        <f t="shared" si="6"/>
        <v>785.20405562026394</v>
      </c>
      <c r="R29" s="122">
        <f t="shared" si="6"/>
        <v>792.72215780267993</v>
      </c>
      <c r="S29" s="125">
        <f t="shared" si="6"/>
        <v>994.23693931491221</v>
      </c>
      <c r="T29" s="122">
        <f t="shared" si="6"/>
        <v>996.46827350454805</v>
      </c>
      <c r="U29" s="123">
        <f t="shared" si="6"/>
        <v>1224.9823771567194</v>
      </c>
      <c r="V29" s="123">
        <f t="shared" si="5"/>
        <v>802.58658250033739</v>
      </c>
      <c r="W29" s="123">
        <f t="shared" si="5"/>
        <v>692.79736700910257</v>
      </c>
      <c r="X29" s="124">
        <f t="shared" si="5"/>
        <v>704.55424393767703</v>
      </c>
      <c r="Y29" s="122">
        <f t="shared" si="5"/>
        <v>762.54450510300114</v>
      </c>
      <c r="Z29" s="125">
        <f t="shared" si="5"/>
        <v>849.22890852103853</v>
      </c>
      <c r="AA29" s="122">
        <f t="shared" si="5"/>
        <v>1085.1045504028093</v>
      </c>
      <c r="AB29" s="123">
        <f t="shared" si="5"/>
        <v>901.51701985585021</v>
      </c>
      <c r="AC29" s="123">
        <f t="shared" si="5"/>
        <v>625.06186219430674</v>
      </c>
      <c r="AD29" s="123">
        <f t="shared" si="5"/>
        <v>581.07502984167559</v>
      </c>
      <c r="AE29" s="124">
        <f t="shared" si="5"/>
        <v>574.22362383300674</v>
      </c>
      <c r="AF29" s="122">
        <f t="shared" si="5"/>
        <v>642.75834486782946</v>
      </c>
      <c r="AG29" s="125">
        <f t="shared" si="5"/>
        <v>890.75146971767515</v>
      </c>
      <c r="AH29" s="122">
        <f t="shared" si="5"/>
        <v>1075.0137614576095</v>
      </c>
      <c r="AI29" s="123">
        <f t="shared" si="5"/>
        <v>1044.9484753179599</v>
      </c>
      <c r="AJ29" s="123">
        <f t="shared" si="5"/>
        <v>759.90104553103765</v>
      </c>
      <c r="AK29" s="123">
        <f t="shared" si="5"/>
        <v>1168.3138729628351</v>
      </c>
      <c r="AL29" s="124">
        <f t="shared" si="7"/>
        <v>1201.9175820778032</v>
      </c>
      <c r="AM29" s="122">
        <f t="shared" si="7"/>
        <v>1436.9083554229833</v>
      </c>
      <c r="AN29" s="125">
        <f t="shared" si="7"/>
        <v>1679.1863176697195</v>
      </c>
      <c r="AO29" s="125">
        <f t="shared" si="7"/>
        <v>1761.5929442710851</v>
      </c>
      <c r="AP29" s="125">
        <f t="shared" si="7"/>
        <v>1687.0357500530804</v>
      </c>
      <c r="AQ29" s="3">
        <f t="shared" si="4"/>
        <v>25448.968167323601</v>
      </c>
      <c r="AR29" s="110">
        <f t="shared" si="3"/>
        <v>33215.609116818268</v>
      </c>
    </row>
    <row r="30" spans="1:44" x14ac:dyDescent="0.25">
      <c r="A30" s="118">
        <v>76</v>
      </c>
      <c r="B30" s="4" t="s">
        <v>29</v>
      </c>
      <c r="C30" s="4" t="s">
        <v>339</v>
      </c>
      <c r="D30" s="4" t="s">
        <v>164</v>
      </c>
      <c r="E30" s="4" t="s">
        <v>296</v>
      </c>
      <c r="F30" s="4" t="s">
        <v>129</v>
      </c>
      <c r="G30" s="119">
        <v>46084</v>
      </c>
      <c r="H30" s="4">
        <v>3</v>
      </c>
      <c r="I30" s="4" t="s">
        <v>1607</v>
      </c>
      <c r="J30" s="4" t="s">
        <v>520</v>
      </c>
      <c r="K30" s="120">
        <v>13906.971859634808</v>
      </c>
      <c r="L30" s="121">
        <f t="shared" si="6"/>
        <v>704.52273208163354</v>
      </c>
      <c r="M30" s="122">
        <f t="shared" si="6"/>
        <v>881.73749196749873</v>
      </c>
      <c r="N30" s="123">
        <f t="shared" si="6"/>
        <v>806.67548606934895</v>
      </c>
      <c r="O30" s="123">
        <f t="shared" si="6"/>
        <v>394.41359999943415</v>
      </c>
      <c r="P30" s="123">
        <f t="shared" si="6"/>
        <v>350.7050901530551</v>
      </c>
      <c r="Q30" s="124">
        <f t="shared" si="6"/>
        <v>328.75539530759465</v>
      </c>
      <c r="R30" s="122">
        <f t="shared" si="6"/>
        <v>331.90313332200247</v>
      </c>
      <c r="S30" s="125">
        <f t="shared" si="6"/>
        <v>416.27492328180432</v>
      </c>
      <c r="T30" s="122">
        <f t="shared" si="6"/>
        <v>417.20915578904425</v>
      </c>
      <c r="U30" s="123">
        <f t="shared" si="6"/>
        <v>512.88523379934679</v>
      </c>
      <c r="V30" s="123">
        <f t="shared" si="5"/>
        <v>336.03324805809945</v>
      </c>
      <c r="W30" s="123">
        <f t="shared" si="5"/>
        <v>290.06583782762164</v>
      </c>
      <c r="X30" s="124">
        <f t="shared" si="5"/>
        <v>294.9882993133599</v>
      </c>
      <c r="Y30" s="122">
        <f t="shared" si="5"/>
        <v>319.26811689318237</v>
      </c>
      <c r="Z30" s="125">
        <f t="shared" si="5"/>
        <v>355.56182310715269</v>
      </c>
      <c r="AA30" s="122">
        <f t="shared" si="5"/>
        <v>454.32008770757943</v>
      </c>
      <c r="AB30" s="123">
        <f t="shared" si="5"/>
        <v>377.45421985258787</v>
      </c>
      <c r="AC30" s="123">
        <f t="shared" si="5"/>
        <v>261.70580516814056</v>
      </c>
      <c r="AD30" s="123">
        <f t="shared" si="5"/>
        <v>243.28905304503172</v>
      </c>
      <c r="AE30" s="124">
        <f t="shared" si="5"/>
        <v>240.42045261604713</v>
      </c>
      <c r="AF30" s="122">
        <f t="shared" si="5"/>
        <v>269.11510739377945</v>
      </c>
      <c r="AG30" s="125">
        <f t="shared" si="5"/>
        <v>372.94681484614819</v>
      </c>
      <c r="AH30" s="122">
        <f t="shared" si="5"/>
        <v>450.09519701209751</v>
      </c>
      <c r="AI30" s="123">
        <f t="shared" si="5"/>
        <v>437.50722709634289</v>
      </c>
      <c r="AJ30" s="123">
        <f t="shared" si="5"/>
        <v>318.16133249702432</v>
      </c>
      <c r="AK30" s="123">
        <f t="shared" si="5"/>
        <v>489.15881979982419</v>
      </c>
      <c r="AL30" s="124">
        <f t="shared" si="7"/>
        <v>503.22828441200829</v>
      </c>
      <c r="AM30" s="122">
        <f t="shared" si="7"/>
        <v>601.61606531019231</v>
      </c>
      <c r="AN30" s="125">
        <f t="shared" si="7"/>
        <v>703.05490363843478</v>
      </c>
      <c r="AO30" s="125">
        <f t="shared" si="7"/>
        <v>737.55755668815266</v>
      </c>
      <c r="AP30" s="125">
        <f t="shared" si="7"/>
        <v>706.34136558123976</v>
      </c>
      <c r="AQ30" s="3">
        <f t="shared" si="4"/>
        <v>10655.173684004782</v>
      </c>
      <c r="AR30" s="110">
        <f t="shared" si="3"/>
        <v>13906.97185963481</v>
      </c>
    </row>
    <row r="31" spans="1:44" x14ac:dyDescent="0.25">
      <c r="A31" s="118">
        <v>5</v>
      </c>
      <c r="B31" s="4" t="s">
        <v>48</v>
      </c>
      <c r="C31" s="4" t="s">
        <v>265</v>
      </c>
      <c r="D31" s="4" t="s">
        <v>136</v>
      </c>
      <c r="E31" s="4" t="s">
        <v>266</v>
      </c>
      <c r="F31" s="4" t="s">
        <v>126</v>
      </c>
      <c r="G31" s="119">
        <v>45728</v>
      </c>
      <c r="H31" s="4">
        <v>6</v>
      </c>
      <c r="I31" s="4" t="s">
        <v>1607</v>
      </c>
      <c r="J31" s="4" t="s">
        <v>520</v>
      </c>
      <c r="K31" s="120">
        <v>21480.982255901679</v>
      </c>
      <c r="L31" s="121">
        <f t="shared" si="6"/>
        <v>1088.2196684852104</v>
      </c>
      <c r="M31" s="122">
        <f t="shared" si="6"/>
        <v>1361.9490720544582</v>
      </c>
      <c r="N31" s="123">
        <f t="shared" si="6"/>
        <v>1246.0068214290309</v>
      </c>
      <c r="O31" s="123">
        <f t="shared" si="6"/>
        <v>609.21900386275956</v>
      </c>
      <c r="P31" s="123">
        <f t="shared" si="6"/>
        <v>541.70597989762541</v>
      </c>
      <c r="Q31" s="124">
        <f t="shared" si="6"/>
        <v>507.80204953401181</v>
      </c>
      <c r="R31" s="122">
        <f t="shared" si="6"/>
        <v>512.6641075805934</v>
      </c>
      <c r="S31" s="125">
        <f t="shared" si="6"/>
        <v>642.98643377193719</v>
      </c>
      <c r="T31" s="122">
        <f t="shared" si="6"/>
        <v>644.42946767705041</v>
      </c>
      <c r="U31" s="123">
        <f t="shared" si="6"/>
        <v>792.21261952327416</v>
      </c>
      <c r="V31" s="123">
        <f t="shared" si="5"/>
        <v>519.04356403282407</v>
      </c>
      <c r="W31" s="123">
        <f t="shared" si="5"/>
        <v>448.04139810649008</v>
      </c>
      <c r="X31" s="124">
        <f t="shared" si="5"/>
        <v>455.64472893204623</v>
      </c>
      <c r="Y31" s="122">
        <f t="shared" si="5"/>
        <v>493.14781269987321</v>
      </c>
      <c r="Z31" s="125">
        <f t="shared" si="5"/>
        <v>549.20778514046447</v>
      </c>
      <c r="AA31" s="122">
        <f t="shared" si="5"/>
        <v>701.75174301405991</v>
      </c>
      <c r="AB31" s="123">
        <f t="shared" si="5"/>
        <v>583.02321173184328</v>
      </c>
      <c r="AC31" s="123">
        <f t="shared" si="5"/>
        <v>404.23593387719075</v>
      </c>
      <c r="AD31" s="123">
        <f t="shared" si="5"/>
        <v>375.78905632823245</v>
      </c>
      <c r="AE31" s="124">
        <f t="shared" si="5"/>
        <v>371.35815968615725</v>
      </c>
      <c r="AF31" s="122">
        <f t="shared" si="5"/>
        <v>415.68048782063579</v>
      </c>
      <c r="AG31" s="125">
        <f t="shared" si="5"/>
        <v>576.06098530751831</v>
      </c>
      <c r="AH31" s="122">
        <f t="shared" si="5"/>
        <v>695.22589375091525</v>
      </c>
      <c r="AI31" s="123">
        <f t="shared" si="5"/>
        <v>675.78226783958405</v>
      </c>
      <c r="AJ31" s="123">
        <f t="shared" si="5"/>
        <v>491.43825175339668</v>
      </c>
      <c r="AK31" s="123">
        <f t="shared" si="5"/>
        <v>755.56433380988778</v>
      </c>
      <c r="AL31" s="124">
        <f t="shared" si="7"/>
        <v>777.29630556727511</v>
      </c>
      <c r="AM31" s="122">
        <f t="shared" si="7"/>
        <v>929.26800702773471</v>
      </c>
      <c r="AN31" s="125">
        <f t="shared" si="7"/>
        <v>1085.9524318026818</v>
      </c>
      <c r="AO31" s="125">
        <f t="shared" si="7"/>
        <v>1139.2459082994396</v>
      </c>
      <c r="AP31" s="125">
        <f t="shared" si="7"/>
        <v>1091.0287655574796</v>
      </c>
      <c r="AQ31" s="3">
        <f t="shared" si="4"/>
        <v>16458.190837647071</v>
      </c>
      <c r="AR31" s="110">
        <f t="shared" si="3"/>
        <v>21480.982255901679</v>
      </c>
    </row>
    <row r="32" spans="1:44" x14ac:dyDescent="0.25">
      <c r="A32" s="118">
        <v>1</v>
      </c>
      <c r="B32" s="4" t="s">
        <v>24</v>
      </c>
      <c r="C32" s="4" t="s">
        <v>260</v>
      </c>
      <c r="D32" s="4" t="s">
        <v>157</v>
      </c>
      <c r="E32" s="4" t="s">
        <v>261</v>
      </c>
      <c r="F32" s="4" t="s">
        <v>133</v>
      </c>
      <c r="G32" s="119">
        <v>45603</v>
      </c>
      <c r="H32" s="4">
        <v>5</v>
      </c>
      <c r="I32" s="4" t="s">
        <v>1606</v>
      </c>
      <c r="J32" s="4" t="s">
        <v>520</v>
      </c>
      <c r="K32" s="120">
        <v>20873.714931109283</v>
      </c>
      <c r="L32" s="121">
        <f t="shared" si="6"/>
        <v>1057.4557006649809</v>
      </c>
      <c r="M32" s="122">
        <f t="shared" si="6"/>
        <v>1323.4467745506852</v>
      </c>
      <c r="N32" s="123">
        <f t="shared" si="6"/>
        <v>1210.7822111152079</v>
      </c>
      <c r="O32" s="123">
        <f t="shared" si="6"/>
        <v>591.99638385958053</v>
      </c>
      <c r="P32" s="123">
        <f t="shared" si="6"/>
        <v>526.39195294496608</v>
      </c>
      <c r="Q32" s="124">
        <f t="shared" si="6"/>
        <v>493.44648662394548</v>
      </c>
      <c r="R32" s="122">
        <f t="shared" si="6"/>
        <v>498.17109429941462</v>
      </c>
      <c r="S32" s="125">
        <f t="shared" si="6"/>
        <v>624.80920859373521</v>
      </c>
      <c r="T32" s="122">
        <f t="shared" si="6"/>
        <v>626.21144793327846</v>
      </c>
      <c r="U32" s="123">
        <f t="shared" si="6"/>
        <v>769.81677037664122</v>
      </c>
      <c r="V32" s="123">
        <f t="shared" si="5"/>
        <v>504.3702035306838</v>
      </c>
      <c r="W32" s="123">
        <f t="shared" si="5"/>
        <v>435.37526869103374</v>
      </c>
      <c r="X32" s="124">
        <f t="shared" si="5"/>
        <v>442.76365336957747</v>
      </c>
      <c r="Y32" s="122">
        <f t="shared" si="5"/>
        <v>479.20652503537656</v>
      </c>
      <c r="Z32" s="125">
        <f t="shared" si="5"/>
        <v>533.6816821688102</v>
      </c>
      <c r="AA32" s="122">
        <f t="shared" si="5"/>
        <v>681.91322266280974</v>
      </c>
      <c r="AB32" s="123">
        <f t="shared" si="5"/>
        <v>566.54114671905756</v>
      </c>
      <c r="AC32" s="123">
        <f t="shared" si="5"/>
        <v>392.80818484662143</v>
      </c>
      <c r="AD32" s="123">
        <f t="shared" si="5"/>
        <v>365.16550046825739</v>
      </c>
      <c r="AE32" s="124">
        <f t="shared" si="5"/>
        <v>360.85986526526398</v>
      </c>
      <c r="AF32" s="122">
        <f t="shared" si="5"/>
        <v>403.92920127330473</v>
      </c>
      <c r="AG32" s="125">
        <f t="shared" si="5"/>
        <v>559.77574242162291</v>
      </c>
      <c r="AH32" s="122">
        <f t="shared" si="5"/>
        <v>675.57185914509409</v>
      </c>
      <c r="AI32" s="123">
        <f t="shared" si="5"/>
        <v>656.67790449882784</v>
      </c>
      <c r="AJ32" s="123">
        <f t="shared" si="5"/>
        <v>477.54529337338846</v>
      </c>
      <c r="AK32" s="123">
        <f t="shared" si="5"/>
        <v>734.20453162601791</v>
      </c>
      <c r="AL32" s="124">
        <f t="shared" si="7"/>
        <v>755.32214058591501</v>
      </c>
      <c r="AM32" s="122">
        <f t="shared" si="7"/>
        <v>902.99760235441704</v>
      </c>
      <c r="AN32" s="125">
        <f t="shared" si="7"/>
        <v>1055.2525587588673</v>
      </c>
      <c r="AO32" s="125">
        <f t="shared" si="7"/>
        <v>1107.0394287831871</v>
      </c>
      <c r="AP32" s="125">
        <f t="shared" si="7"/>
        <v>1060.1853845687162</v>
      </c>
      <c r="AQ32" s="3">
        <f t="shared" si="4"/>
        <v>15992.917816058181</v>
      </c>
      <c r="AR32" s="110">
        <f t="shared" si="3"/>
        <v>20873.714931109287</v>
      </c>
    </row>
    <row r="33" spans="1:46" x14ac:dyDescent="0.25">
      <c r="A33" s="118">
        <v>73</v>
      </c>
      <c r="B33" s="4" t="s">
        <v>50</v>
      </c>
      <c r="C33" s="4" t="s">
        <v>336</v>
      </c>
      <c r="D33" s="4" t="s">
        <v>143</v>
      </c>
      <c r="E33" s="4" t="s">
        <v>335</v>
      </c>
      <c r="F33" s="4" t="s">
        <v>133</v>
      </c>
      <c r="G33" s="119">
        <v>45743</v>
      </c>
      <c r="H33" s="4">
        <v>5</v>
      </c>
      <c r="I33" s="4" t="s">
        <v>1606</v>
      </c>
      <c r="J33" s="4" t="s">
        <v>520</v>
      </c>
      <c r="K33" s="120">
        <v>29009.549963952872</v>
      </c>
      <c r="L33" s="121">
        <f t="shared" si="6"/>
        <v>1469.6144928849681</v>
      </c>
      <c r="M33" s="122">
        <f t="shared" si="6"/>
        <v>1839.2794697862671</v>
      </c>
      <c r="N33" s="123">
        <f t="shared" si="6"/>
        <v>1682.7022484849736</v>
      </c>
      <c r="O33" s="123">
        <f t="shared" si="6"/>
        <v>822.73561427531092</v>
      </c>
      <c r="P33" s="123">
        <f t="shared" si="6"/>
        <v>731.56089895725211</v>
      </c>
      <c r="Q33" s="124">
        <f t="shared" si="6"/>
        <v>685.77445631972273</v>
      </c>
      <c r="R33" s="122">
        <f t="shared" si="6"/>
        <v>692.34054878931624</v>
      </c>
      <c r="S33" s="125">
        <f t="shared" si="6"/>
        <v>868.33771633167453</v>
      </c>
      <c r="T33" s="122">
        <f t="shared" si="6"/>
        <v>870.28649891858606</v>
      </c>
      <c r="U33" s="123">
        <f t="shared" si="6"/>
        <v>1069.8640916115655</v>
      </c>
      <c r="V33" s="123">
        <f t="shared" si="5"/>
        <v>700.95585131548455</v>
      </c>
      <c r="W33" s="123">
        <f t="shared" si="5"/>
        <v>605.06913368538346</v>
      </c>
      <c r="X33" s="124">
        <f t="shared" si="5"/>
        <v>615.337249121112</v>
      </c>
      <c r="Y33" s="122">
        <f t="shared" si="5"/>
        <v>665.98426187892869</v>
      </c>
      <c r="Z33" s="125">
        <f t="shared" si="5"/>
        <v>741.69190653499879</v>
      </c>
      <c r="AA33" s="122">
        <f t="shared" si="5"/>
        <v>947.69885328052771</v>
      </c>
      <c r="AB33" s="123">
        <f t="shared" si="5"/>
        <v>787.35882695645546</v>
      </c>
      <c r="AC33" s="123">
        <f t="shared" si="5"/>
        <v>545.91090767340131</v>
      </c>
      <c r="AD33" s="123">
        <f t="shared" si="5"/>
        <v>507.49408363137081</v>
      </c>
      <c r="AE33" s="124">
        <f t="shared" si="5"/>
        <v>501.51026427003427</v>
      </c>
      <c r="AF33" s="122">
        <f t="shared" si="5"/>
        <v>561.36650255646634</v>
      </c>
      <c r="AG33" s="125">
        <f t="shared" si="5"/>
        <v>777.95650759737134</v>
      </c>
      <c r="AH33" s="122">
        <f t="shared" si="5"/>
        <v>938.88585078366066</v>
      </c>
      <c r="AI33" s="123">
        <f t="shared" si="5"/>
        <v>912.62770156889633</v>
      </c>
      <c r="AJ33" s="123">
        <f t="shared" si="5"/>
        <v>663.67554093207309</v>
      </c>
      <c r="AK33" s="123">
        <f t="shared" si="5"/>
        <v>1020.3714630701676</v>
      </c>
      <c r="AL33" s="124">
        <f t="shared" si="7"/>
        <v>1049.719968320105</v>
      </c>
      <c r="AM33" s="122">
        <f t="shared" si="7"/>
        <v>1254.9540965412623</v>
      </c>
      <c r="AN33" s="125">
        <f t="shared" si="7"/>
        <v>1466.5526442675075</v>
      </c>
      <c r="AO33" s="125">
        <f t="shared" si="7"/>
        <v>1538.5242026798653</v>
      </c>
      <c r="AP33" s="125">
        <f t="shared" si="7"/>
        <v>1473.4081109281651</v>
      </c>
      <c r="AQ33" s="3">
        <f t="shared" si="4"/>
        <v>22226.390941215966</v>
      </c>
      <c r="AR33" s="110">
        <f t="shared" si="3"/>
        <v>29009.549963952872</v>
      </c>
    </row>
    <row r="34" spans="1:46" x14ac:dyDescent="0.25">
      <c r="A34" s="118">
        <v>33</v>
      </c>
      <c r="B34" s="4" t="s">
        <v>16</v>
      </c>
      <c r="C34" s="4" t="s">
        <v>297</v>
      </c>
      <c r="D34" s="4" t="s">
        <v>138</v>
      </c>
      <c r="E34" s="4" t="s">
        <v>296</v>
      </c>
      <c r="F34" s="4" t="s">
        <v>128</v>
      </c>
      <c r="G34" s="119">
        <v>45518</v>
      </c>
      <c r="H34" s="4">
        <v>4</v>
      </c>
      <c r="I34" s="4" t="s">
        <v>1606</v>
      </c>
      <c r="J34" s="4" t="s">
        <v>520</v>
      </c>
      <c r="K34" s="120">
        <v>15654.226544764731</v>
      </c>
      <c r="L34" s="121">
        <f t="shared" si="6"/>
        <v>793.03809378903054</v>
      </c>
      <c r="M34" s="122">
        <f t="shared" si="6"/>
        <v>992.51789617372219</v>
      </c>
      <c r="N34" s="123">
        <f t="shared" si="6"/>
        <v>908.02519301059385</v>
      </c>
      <c r="O34" s="123">
        <f t="shared" si="6"/>
        <v>443.96723521445983</v>
      </c>
      <c r="P34" s="123">
        <f t="shared" si="6"/>
        <v>394.76724243563899</v>
      </c>
      <c r="Q34" s="124">
        <f t="shared" si="6"/>
        <v>370.05981517056966</v>
      </c>
      <c r="R34" s="122">
        <f t="shared" si="6"/>
        <v>373.60303108259222</v>
      </c>
      <c r="S34" s="125">
        <f t="shared" si="6"/>
        <v>468.57518802292611</v>
      </c>
      <c r="T34" s="122">
        <f t="shared" si="6"/>
        <v>469.62679634294193</v>
      </c>
      <c r="U34" s="123">
        <f t="shared" si="6"/>
        <v>577.32349805520016</v>
      </c>
      <c r="V34" s="123">
        <f t="shared" si="5"/>
        <v>378.25204830843359</v>
      </c>
      <c r="W34" s="123">
        <f t="shared" si="5"/>
        <v>326.509349704675</v>
      </c>
      <c r="X34" s="124">
        <f t="shared" si="5"/>
        <v>332.05026314243685</v>
      </c>
      <c r="Y34" s="122">
        <f t="shared" si="5"/>
        <v>359.38056687040336</v>
      </c>
      <c r="Z34" s="125">
        <f t="shared" si="5"/>
        <v>400.2341692906175</v>
      </c>
      <c r="AA34" s="122">
        <f t="shared" si="5"/>
        <v>511.40029969102062</v>
      </c>
      <c r="AB34" s="123">
        <f t="shared" si="5"/>
        <v>424.87709959348444</v>
      </c>
      <c r="AC34" s="123">
        <f t="shared" si="5"/>
        <v>294.58619773821221</v>
      </c>
      <c r="AD34" s="123">
        <f t="shared" si="5"/>
        <v>273.85558773455517</v>
      </c>
      <c r="AE34" s="124">
        <f t="shared" si="5"/>
        <v>270.62657990776336</v>
      </c>
      <c r="AF34" s="122">
        <f t="shared" si="5"/>
        <v>302.92639550013013</v>
      </c>
      <c r="AG34" s="125">
        <f t="shared" si="5"/>
        <v>419.80338981597242</v>
      </c>
      <c r="AH34" s="122">
        <f t="shared" si="5"/>
        <v>506.6445989718793</v>
      </c>
      <c r="AI34" s="123">
        <f t="shared" si="5"/>
        <v>492.47509213827016</v>
      </c>
      <c r="AJ34" s="123">
        <f t="shared" si="5"/>
        <v>358.13472745629213</v>
      </c>
      <c r="AK34" s="123">
        <f t="shared" si="5"/>
        <v>550.61612684655825</v>
      </c>
      <c r="AL34" s="124">
        <f t="shared" si="7"/>
        <v>566.45326153164012</v>
      </c>
      <c r="AM34" s="122">
        <f t="shared" si="7"/>
        <v>677.20236111724137</v>
      </c>
      <c r="AN34" s="125">
        <f t="shared" si="7"/>
        <v>791.38584920188396</v>
      </c>
      <c r="AO34" s="125">
        <f t="shared" si="7"/>
        <v>830.22337276108419</v>
      </c>
      <c r="AP34" s="125">
        <f t="shared" si="7"/>
        <v>795.08521814450341</v>
      </c>
      <c r="AQ34" s="3">
        <f t="shared" si="4"/>
        <v>11993.876482008376</v>
      </c>
      <c r="AR34" s="110">
        <f t="shared" si="3"/>
        <v>15654.22654476473</v>
      </c>
    </row>
    <row r="35" spans="1:46" x14ac:dyDescent="0.25">
      <c r="A35" s="118">
        <v>13</v>
      </c>
      <c r="B35" s="4" t="s">
        <v>94</v>
      </c>
      <c r="C35" s="4" t="s">
        <v>275</v>
      </c>
      <c r="D35" s="4" t="s">
        <v>142</v>
      </c>
      <c r="E35" s="4" t="s">
        <v>270</v>
      </c>
      <c r="F35" s="4" t="s">
        <v>132</v>
      </c>
      <c r="G35" s="119">
        <v>46022</v>
      </c>
      <c r="H35" s="4">
        <v>10</v>
      </c>
      <c r="I35" s="4" t="s">
        <v>1608</v>
      </c>
      <c r="J35" s="4" t="s">
        <v>520</v>
      </c>
      <c r="K35" s="120">
        <v>1535</v>
      </c>
      <c r="L35" s="121">
        <f t="shared" si="6"/>
        <v>77.762607464836393</v>
      </c>
      <c r="M35" s="122">
        <f t="shared" si="6"/>
        <v>97.322915716725419</v>
      </c>
      <c r="N35" s="123">
        <f t="shared" si="6"/>
        <v>89.037849764439414</v>
      </c>
      <c r="O35" s="123">
        <f t="shared" si="6"/>
        <v>43.533911056251291</v>
      </c>
      <c r="P35" s="123">
        <f t="shared" si="6"/>
        <v>38.709527769122559</v>
      </c>
      <c r="Q35" s="124">
        <f t="shared" si="6"/>
        <v>36.286801820738667</v>
      </c>
      <c r="R35" s="122">
        <f t="shared" si="6"/>
        <v>36.634237473940807</v>
      </c>
      <c r="S35" s="125">
        <f t="shared" si="6"/>
        <v>45.946882879099249</v>
      </c>
      <c r="T35" s="122">
        <f t="shared" si="6"/>
        <v>46.05</v>
      </c>
      <c r="U35" s="123">
        <f t="shared" si="6"/>
        <v>56.610370814590176</v>
      </c>
      <c r="V35" s="123">
        <f t="shared" si="5"/>
        <v>37.090104227961504</v>
      </c>
      <c r="W35" s="123">
        <f t="shared" si="5"/>
        <v>32.016391890296909</v>
      </c>
      <c r="X35" s="124">
        <f t="shared" si="5"/>
        <v>32.559714941272482</v>
      </c>
      <c r="Y35" s="122">
        <f t="shared" si="5"/>
        <v>35.23963119918934</v>
      </c>
      <c r="Z35" s="125">
        <f t="shared" si="5"/>
        <v>39.245595948434712</v>
      </c>
      <c r="AA35" s="122">
        <f t="shared" si="5"/>
        <v>50.146167093017141</v>
      </c>
      <c r="AB35" s="123">
        <f t="shared" si="5"/>
        <v>41.661997544944839</v>
      </c>
      <c r="AC35" s="123">
        <f t="shared" si="5"/>
        <v>28.886116617456409</v>
      </c>
      <c r="AD35" s="123">
        <f t="shared" si="5"/>
        <v>26.853343789963656</v>
      </c>
      <c r="AE35" s="124">
        <f t="shared" si="5"/>
        <v>26.536718308663012</v>
      </c>
      <c r="AF35" s="122">
        <f t="shared" si="5"/>
        <v>29.703927930454526</v>
      </c>
      <c r="AG35" s="125">
        <f t="shared" si="5"/>
        <v>41.164486889518336</v>
      </c>
      <c r="AH35" s="122">
        <f t="shared" si="5"/>
        <v>49.679839319938935</v>
      </c>
      <c r="AI35" s="123">
        <f t="shared" si="5"/>
        <v>48.290425864895766</v>
      </c>
      <c r="AJ35" s="123">
        <f t="shared" si="5"/>
        <v>35.117468440448611</v>
      </c>
      <c r="AK35" s="123">
        <f t="shared" si="5"/>
        <v>53.991537192371034</v>
      </c>
      <c r="AL35" s="124">
        <f t="shared" si="7"/>
        <v>55.544472540028359</v>
      </c>
      <c r="AM35" s="122">
        <f t="shared" si="7"/>
        <v>66.404151066959557</v>
      </c>
      <c r="AN35" s="125">
        <f t="shared" si="7"/>
        <v>77.600594002592345</v>
      </c>
      <c r="AO35" s="125">
        <f t="shared" si="7"/>
        <v>81.408868943094575</v>
      </c>
      <c r="AP35" s="125">
        <f t="shared" si="7"/>
        <v>77.963341488754153</v>
      </c>
      <c r="AQ35" s="3">
        <f t="shared" si="4"/>
        <v>1176.078571958571</v>
      </c>
      <c r="AR35" s="110">
        <f t="shared" si="3"/>
        <v>1535</v>
      </c>
    </row>
    <row r="36" spans="1:46" x14ac:dyDescent="0.25">
      <c r="A36" s="118">
        <v>75</v>
      </c>
      <c r="B36" s="4" t="s">
        <v>68</v>
      </c>
      <c r="C36" s="4" t="s">
        <v>338</v>
      </c>
      <c r="D36" s="4" t="s">
        <v>152</v>
      </c>
      <c r="E36" s="4" t="s">
        <v>266</v>
      </c>
      <c r="F36" s="4" t="s">
        <v>126</v>
      </c>
      <c r="G36" s="119">
        <v>45883</v>
      </c>
      <c r="H36" s="4">
        <v>4</v>
      </c>
      <c r="I36" s="4" t="s">
        <v>1606</v>
      </c>
      <c r="J36" s="4" t="s">
        <v>520</v>
      </c>
      <c r="K36" s="120">
        <v>25267.333086134826</v>
      </c>
      <c r="L36" s="121">
        <f t="shared" si="6"/>
        <v>1280.0349866191373</v>
      </c>
      <c r="M36" s="122">
        <f t="shared" si="6"/>
        <v>1602.0133735037962</v>
      </c>
      <c r="N36" s="123">
        <f t="shared" si="6"/>
        <v>1465.6345324243139</v>
      </c>
      <c r="O36" s="123">
        <f t="shared" si="6"/>
        <v>716.60314736186911</v>
      </c>
      <c r="P36" s="123">
        <f t="shared" si="6"/>
        <v>637.1899229637819</v>
      </c>
      <c r="Q36" s="124">
        <f t="shared" si="6"/>
        <v>597.30990764506032</v>
      </c>
      <c r="R36" s="122">
        <f t="shared" si="6"/>
        <v>603.02897759649829</v>
      </c>
      <c r="S36" s="125">
        <f t="shared" si="6"/>
        <v>756.32260193864897</v>
      </c>
      <c r="T36" s="122">
        <f t="shared" si="6"/>
        <v>758.01999258404476</v>
      </c>
      <c r="U36" s="123">
        <f t="shared" si="6"/>
        <v>931.85217948003628</v>
      </c>
      <c r="V36" s="123">
        <f t="shared" si="6"/>
        <v>610.5329105715706</v>
      </c>
      <c r="W36" s="123">
        <f t="shared" si="6"/>
        <v>527.01552971228523</v>
      </c>
      <c r="X36" s="124">
        <f t="shared" si="6"/>
        <v>535.9590635900538</v>
      </c>
      <c r="Y36" s="122">
        <f t="shared" si="6"/>
        <v>580.07263800812109</v>
      </c>
      <c r="Z36" s="125">
        <f t="shared" si="6"/>
        <v>646.01403582603473</v>
      </c>
      <c r="AA36" s="122">
        <f t="shared" si="6"/>
        <v>825.44619344119701</v>
      </c>
      <c r="AB36" s="123">
        <f t="shared" ref="AB36:AP51" si="8">$K36*AB$4</f>
        <v>685.78994723247729</v>
      </c>
      <c r="AC36" s="123">
        <f t="shared" si="8"/>
        <v>475.48868412912401</v>
      </c>
      <c r="AD36" s="123">
        <f t="shared" si="8"/>
        <v>442.02761043485458</v>
      </c>
      <c r="AE36" s="124">
        <f t="shared" si="8"/>
        <v>436.81570066314055</v>
      </c>
      <c r="AF36" s="122">
        <f t="shared" si="8"/>
        <v>488.95051529989445</v>
      </c>
      <c r="AG36" s="125">
        <f t="shared" si="8"/>
        <v>677.60052218715953</v>
      </c>
      <c r="AH36" s="122">
        <f t="shared" si="8"/>
        <v>817.77006368896093</v>
      </c>
      <c r="AI36" s="123">
        <f t="shared" si="8"/>
        <v>794.89920208444414</v>
      </c>
      <c r="AJ36" s="123">
        <f t="shared" si="8"/>
        <v>578.06174086426245</v>
      </c>
      <c r="AK36" s="123">
        <f t="shared" si="8"/>
        <v>888.74407431405575</v>
      </c>
      <c r="AL36" s="124">
        <f t="shared" si="8"/>
        <v>914.30663763033601</v>
      </c>
      <c r="AM36" s="122">
        <f t="shared" si="8"/>
        <v>1093.0656699093695</v>
      </c>
      <c r="AN36" s="125">
        <f t="shared" si="8"/>
        <v>1277.368114883008</v>
      </c>
      <c r="AO36" s="125">
        <f t="shared" si="8"/>
        <v>1340.0553796421286</v>
      </c>
      <c r="AP36" s="125">
        <f t="shared" si="8"/>
        <v>1283.3392299051634</v>
      </c>
      <c r="AQ36" s="3">
        <f t="shared" si="4"/>
        <v>19359.198054164823</v>
      </c>
      <c r="AR36" s="110">
        <f t="shared" si="3"/>
        <v>25267.33308613483</v>
      </c>
    </row>
    <row r="37" spans="1:46" x14ac:dyDescent="0.25">
      <c r="A37" s="118">
        <v>99</v>
      </c>
      <c r="B37" s="4" t="s">
        <v>30</v>
      </c>
      <c r="C37" s="4" t="s">
        <v>363</v>
      </c>
      <c r="D37" s="4" t="s">
        <v>151</v>
      </c>
      <c r="E37" s="4" t="s">
        <v>364</v>
      </c>
      <c r="F37" s="4" t="s">
        <v>126</v>
      </c>
      <c r="G37" s="119">
        <v>45651</v>
      </c>
      <c r="H37" s="4">
        <v>9</v>
      </c>
      <c r="I37" s="4" t="s">
        <v>1607</v>
      </c>
      <c r="J37" s="4" t="s">
        <v>520</v>
      </c>
      <c r="K37" s="120">
        <v>11205.856672767428</v>
      </c>
      <c r="L37" s="121">
        <f t="shared" ref="L37:AA52" si="9">$K37*L$4</f>
        <v>567.68510342125808</v>
      </c>
      <c r="M37" s="122">
        <f t="shared" si="9"/>
        <v>710.47989869540686</v>
      </c>
      <c r="N37" s="123">
        <f t="shared" si="9"/>
        <v>649.99699212489065</v>
      </c>
      <c r="O37" s="123">
        <f t="shared" si="9"/>
        <v>317.80766625495585</v>
      </c>
      <c r="P37" s="123">
        <f t="shared" si="9"/>
        <v>282.58854726468928</v>
      </c>
      <c r="Q37" s="124">
        <f t="shared" si="9"/>
        <v>264.90208489662126</v>
      </c>
      <c r="R37" s="122">
        <f t="shared" si="9"/>
        <v>267.43844589518318</v>
      </c>
      <c r="S37" s="125">
        <f t="shared" si="9"/>
        <v>335.42292124014187</v>
      </c>
      <c r="T37" s="122">
        <f t="shared" si="9"/>
        <v>336.1757001830228</v>
      </c>
      <c r="U37" s="123">
        <f t="shared" si="9"/>
        <v>413.26886093844547</v>
      </c>
      <c r="V37" s="123">
        <f t="shared" si="9"/>
        <v>270.76637912478293</v>
      </c>
      <c r="W37" s="123">
        <f t="shared" si="9"/>
        <v>233.7271001314792</v>
      </c>
      <c r="X37" s="124">
        <f t="shared" si="9"/>
        <v>237.69348465020428</v>
      </c>
      <c r="Y37" s="122">
        <f t="shared" si="9"/>
        <v>257.2574960386313</v>
      </c>
      <c r="Z37" s="125">
        <f t="shared" si="9"/>
        <v>286.50196953452866</v>
      </c>
      <c r="AA37" s="122">
        <f t="shared" si="9"/>
        <v>366.07867174788049</v>
      </c>
      <c r="AB37" s="123">
        <f t="shared" si="8"/>
        <v>304.14226266439107</v>
      </c>
      <c r="AC37" s="123">
        <f t="shared" si="8"/>
        <v>210.87536328863973</v>
      </c>
      <c r="AD37" s="123">
        <f t="shared" si="8"/>
        <v>196.0356493126267</v>
      </c>
      <c r="AE37" s="124">
        <f t="shared" si="8"/>
        <v>193.72420972800066</v>
      </c>
      <c r="AF37" s="122">
        <f t="shared" si="8"/>
        <v>216.84557590025187</v>
      </c>
      <c r="AG37" s="125">
        <f t="shared" si="8"/>
        <v>300.51031927814745</v>
      </c>
      <c r="AH37" s="122">
        <f t="shared" si="8"/>
        <v>362.67437064843739</v>
      </c>
      <c r="AI37" s="123">
        <f t="shared" si="8"/>
        <v>352.53132958236029</v>
      </c>
      <c r="AJ37" s="123">
        <f t="shared" si="8"/>
        <v>256.3656795140721</v>
      </c>
      <c r="AK37" s="123">
        <f t="shared" si="8"/>
        <v>394.15076698377965</v>
      </c>
      <c r="AL37" s="124">
        <f t="shared" si="8"/>
        <v>405.48755586190487</v>
      </c>
      <c r="AM37" s="122">
        <f t="shared" si="8"/>
        <v>484.76573246458958</v>
      </c>
      <c r="AN37" s="125">
        <f t="shared" si="8"/>
        <v>566.50236750141073</v>
      </c>
      <c r="AO37" s="125">
        <f t="shared" si="8"/>
        <v>594.30365945825758</v>
      </c>
      <c r="AP37" s="125">
        <f t="shared" si="8"/>
        <v>569.15050843843733</v>
      </c>
      <c r="AQ37" s="3">
        <f t="shared" si="4"/>
        <v>8585.6468490428288</v>
      </c>
      <c r="AR37" s="110">
        <f t="shared" si="3"/>
        <v>11205.856672767428</v>
      </c>
    </row>
    <row r="38" spans="1:46" x14ac:dyDescent="0.25">
      <c r="A38" s="118">
        <v>55</v>
      </c>
      <c r="B38" s="4" t="s">
        <v>51</v>
      </c>
      <c r="C38" s="4" t="s">
        <v>318</v>
      </c>
      <c r="D38" s="4" t="s">
        <v>159</v>
      </c>
      <c r="E38" s="4" t="s">
        <v>261</v>
      </c>
      <c r="F38" s="4" t="s">
        <v>133</v>
      </c>
      <c r="G38" s="119">
        <v>45736</v>
      </c>
      <c r="H38" s="4">
        <v>6</v>
      </c>
      <c r="I38" s="4" t="s">
        <v>1607</v>
      </c>
      <c r="J38" s="4" t="s">
        <v>520</v>
      </c>
      <c r="K38" s="120">
        <v>13889.308633978317</v>
      </c>
      <c r="L38" s="121">
        <f t="shared" si="9"/>
        <v>703.62791873747153</v>
      </c>
      <c r="M38" s="122">
        <f t="shared" si="9"/>
        <v>880.61759840277409</v>
      </c>
      <c r="N38" s="123">
        <f t="shared" si="9"/>
        <v>805.65092865413192</v>
      </c>
      <c r="O38" s="123">
        <f t="shared" si="9"/>
        <v>393.91265583350827</v>
      </c>
      <c r="P38" s="123">
        <f t="shared" si="9"/>
        <v>350.25966010481915</v>
      </c>
      <c r="Q38" s="124">
        <f t="shared" si="9"/>
        <v>328.33784353631643</v>
      </c>
      <c r="R38" s="122">
        <f t="shared" si="9"/>
        <v>331.4815836130411</v>
      </c>
      <c r="S38" s="125">
        <f t="shared" si="9"/>
        <v>415.74621307952032</v>
      </c>
      <c r="T38" s="122">
        <f t="shared" si="9"/>
        <v>416.6792590193495</v>
      </c>
      <c r="U38" s="123">
        <f t="shared" si="9"/>
        <v>512.23381897576644</v>
      </c>
      <c r="V38" s="123">
        <f t="shared" si="9"/>
        <v>335.60645269614423</v>
      </c>
      <c r="W38" s="123">
        <f t="shared" si="9"/>
        <v>289.69742560959884</v>
      </c>
      <c r="X38" s="124">
        <f t="shared" si="9"/>
        <v>294.6136350838363</v>
      </c>
      <c r="Y38" s="122">
        <f t="shared" si="9"/>
        <v>318.86261490105022</v>
      </c>
      <c r="Z38" s="125">
        <f t="shared" si="9"/>
        <v>355.11022452913267</v>
      </c>
      <c r="AA38" s="122">
        <f t="shared" si="9"/>
        <v>453.74305639476376</v>
      </c>
      <c r="AB38" s="123">
        <f t="shared" si="8"/>
        <v>376.97481577184743</v>
      </c>
      <c r="AC38" s="123">
        <f t="shared" si="8"/>
        <v>261.37341298823571</v>
      </c>
      <c r="AD38" s="123">
        <f t="shared" si="8"/>
        <v>242.98005195643663</v>
      </c>
      <c r="AE38" s="124">
        <f t="shared" si="8"/>
        <v>240.11509493287534</v>
      </c>
      <c r="AF38" s="122">
        <f t="shared" si="8"/>
        <v>268.7733046694018</v>
      </c>
      <c r="AG38" s="125">
        <f t="shared" si="8"/>
        <v>372.47313561425028</v>
      </c>
      <c r="AH38" s="122">
        <f t="shared" si="8"/>
        <v>449.52353172709013</v>
      </c>
      <c r="AI38" s="123">
        <f t="shared" si="8"/>
        <v>436.95154977445378</v>
      </c>
      <c r="AJ38" s="123">
        <f t="shared" si="8"/>
        <v>317.75723623021759</v>
      </c>
      <c r="AK38" s="123">
        <f t="shared" si="8"/>
        <v>488.53753986173319</v>
      </c>
      <c r="AL38" s="124">
        <f t="shared" si="8"/>
        <v>502.58913486644133</v>
      </c>
      <c r="AM38" s="122">
        <f t="shared" si="8"/>
        <v>600.85195358066562</v>
      </c>
      <c r="AN38" s="125">
        <f t="shared" si="8"/>
        <v>702.16195458114123</v>
      </c>
      <c r="AO38" s="125">
        <f t="shared" si="8"/>
        <v>736.62078585910922</v>
      </c>
      <c r="AP38" s="125">
        <f t="shared" si="8"/>
        <v>705.44424239319414</v>
      </c>
      <c r="AQ38" s="3">
        <f t="shared" si="4"/>
        <v>10641.640562697768</v>
      </c>
      <c r="AR38" s="110">
        <f t="shared" si="3"/>
        <v>13889.30863397832</v>
      </c>
    </row>
    <row r="39" spans="1:46" x14ac:dyDescent="0.25">
      <c r="A39" s="118">
        <v>109</v>
      </c>
      <c r="B39" s="4" t="s">
        <v>117</v>
      </c>
      <c r="C39" s="4" t="s">
        <v>374</v>
      </c>
      <c r="D39" s="4" t="s">
        <v>139</v>
      </c>
      <c r="E39" s="4" t="s">
        <v>296</v>
      </c>
      <c r="F39" s="4" t="s">
        <v>130</v>
      </c>
      <c r="G39" s="119">
        <v>46213</v>
      </c>
      <c r="H39" s="4" t="s">
        <v>373</v>
      </c>
      <c r="I39" s="4" t="s">
        <v>1607</v>
      </c>
      <c r="J39" s="4" t="s">
        <v>520</v>
      </c>
      <c r="K39" s="120">
        <v>33153.607762936459</v>
      </c>
      <c r="L39" s="121">
        <f t="shared" si="9"/>
        <v>1679.5511312784238</v>
      </c>
      <c r="M39" s="122">
        <f t="shared" si="9"/>
        <v>2102.0233055489502</v>
      </c>
      <c r="N39" s="123">
        <f t="shared" si="9"/>
        <v>1923.0787929286571</v>
      </c>
      <c r="O39" s="123">
        <f t="shared" si="9"/>
        <v>940.26463292867641</v>
      </c>
      <c r="P39" s="123">
        <f t="shared" si="9"/>
        <v>836.06547253810163</v>
      </c>
      <c r="Q39" s="124">
        <f t="shared" si="9"/>
        <v>783.73836777601196</v>
      </c>
      <c r="R39" s="122">
        <f t="shared" si="9"/>
        <v>791.24243642039198</v>
      </c>
      <c r="S39" s="125">
        <f t="shared" si="9"/>
        <v>992.38106378061048</v>
      </c>
      <c r="T39" s="122">
        <f t="shared" si="9"/>
        <v>994.60823288809377</v>
      </c>
      <c r="U39" s="123">
        <f t="shared" si="9"/>
        <v>1222.695784561113</v>
      </c>
      <c r="V39" s="123">
        <f t="shared" si="9"/>
        <v>801.08844785685142</v>
      </c>
      <c r="W39" s="123">
        <f t="shared" si="9"/>
        <v>691.50416854421076</v>
      </c>
      <c r="X39" s="124">
        <f t="shared" si="9"/>
        <v>703.23909969770011</v>
      </c>
      <c r="Y39" s="122">
        <f t="shared" si="9"/>
        <v>761.12111432473057</v>
      </c>
      <c r="Z39" s="125">
        <f t="shared" si="9"/>
        <v>847.64370977009298</v>
      </c>
      <c r="AA39" s="122">
        <f t="shared" si="9"/>
        <v>1083.0790583821251</v>
      </c>
      <c r="AB39" s="123">
        <f t="shared" si="8"/>
        <v>899.83421838796278</v>
      </c>
      <c r="AC39" s="123">
        <f t="shared" si="8"/>
        <v>623.89510106162265</v>
      </c>
      <c r="AD39" s="123">
        <f t="shared" si="8"/>
        <v>579.99037598419579</v>
      </c>
      <c r="AE39" s="124">
        <f t="shared" si="8"/>
        <v>573.15175903644831</v>
      </c>
      <c r="AF39" s="122">
        <f t="shared" si="8"/>
        <v>641.55855089564966</v>
      </c>
      <c r="AG39" s="125">
        <f t="shared" si="8"/>
        <v>889.08876358151861</v>
      </c>
      <c r="AH39" s="122">
        <f t="shared" si="8"/>
        <v>1073.0071052371097</v>
      </c>
      <c r="AI39" s="123">
        <f t="shared" si="8"/>
        <v>1042.9979399543427</v>
      </c>
      <c r="AJ39" s="123">
        <f t="shared" si="8"/>
        <v>758.48258912178062</v>
      </c>
      <c r="AK39" s="123">
        <f t="shared" si="8"/>
        <v>1166.1330596702703</v>
      </c>
      <c r="AL39" s="124">
        <f t="shared" si="8"/>
        <v>1199.6740429910717</v>
      </c>
      <c r="AM39" s="122">
        <f t="shared" si="8"/>
        <v>1434.2261747913717</v>
      </c>
      <c r="AN39" s="125">
        <f t="shared" si="8"/>
        <v>1676.0518929855543</v>
      </c>
      <c r="AO39" s="125">
        <f t="shared" si="8"/>
        <v>1758.3046966538482</v>
      </c>
      <c r="AP39" s="125">
        <f t="shared" si="8"/>
        <v>1683.8866733589746</v>
      </c>
      <c r="AQ39" s="3">
        <f t="shared" si="4"/>
        <v>25401.464282155641</v>
      </c>
      <c r="AR39" s="110">
        <f t="shared" si="3"/>
        <v>33153.607762936459</v>
      </c>
      <c r="AT39" s="4">
        <f>AT38*3500</f>
        <v>0</v>
      </c>
    </row>
    <row r="40" spans="1:46" x14ac:dyDescent="0.25">
      <c r="A40" s="118">
        <v>53</v>
      </c>
      <c r="B40" s="4" t="s">
        <v>35</v>
      </c>
      <c r="C40" s="4" t="s">
        <v>316</v>
      </c>
      <c r="D40" s="4" t="s">
        <v>148</v>
      </c>
      <c r="E40" s="4" t="s">
        <v>266</v>
      </c>
      <c r="F40" s="4" t="s">
        <v>126</v>
      </c>
      <c r="G40" s="119">
        <v>45704</v>
      </c>
      <c r="H40" s="4">
        <v>4</v>
      </c>
      <c r="I40" s="4" t="s">
        <v>1606</v>
      </c>
      <c r="J40" s="4" t="s">
        <v>520</v>
      </c>
      <c r="K40" s="120">
        <v>28134.260780632263</v>
      </c>
      <c r="L40" s="121">
        <f t="shared" si="9"/>
        <v>1425.2726237118229</v>
      </c>
      <c r="M40" s="122">
        <f t="shared" si="9"/>
        <v>1783.7839027399655</v>
      </c>
      <c r="N40" s="123">
        <f t="shared" si="9"/>
        <v>1631.9309997521143</v>
      </c>
      <c r="O40" s="123">
        <f t="shared" si="9"/>
        <v>797.91166544457587</v>
      </c>
      <c r="P40" s="123">
        <f t="shared" si="9"/>
        <v>709.48791462646273</v>
      </c>
      <c r="Q40" s="124">
        <f t="shared" si="9"/>
        <v>665.08296112037999</v>
      </c>
      <c r="R40" s="122">
        <f t="shared" si="9"/>
        <v>671.45093849606621</v>
      </c>
      <c r="S40" s="125">
        <f t="shared" si="9"/>
        <v>842.13784037638175</v>
      </c>
      <c r="T40" s="122">
        <f t="shared" si="9"/>
        <v>844.02782341896784</v>
      </c>
      <c r="U40" s="123">
        <f t="shared" si="9"/>
        <v>1037.5836712612206</v>
      </c>
      <c r="V40" s="123">
        <f t="shared" si="9"/>
        <v>679.80629624123787</v>
      </c>
      <c r="W40" s="123">
        <f t="shared" si="9"/>
        <v>586.81271576321376</v>
      </c>
      <c r="X40" s="124">
        <f t="shared" si="9"/>
        <v>596.77101700378421</v>
      </c>
      <c r="Y40" s="122">
        <f t="shared" si="9"/>
        <v>645.88988532332098</v>
      </c>
      <c r="Z40" s="125">
        <f t="shared" si="9"/>
        <v>719.3132448889819</v>
      </c>
      <c r="AA40" s="122">
        <f t="shared" si="9"/>
        <v>919.10445742286925</v>
      </c>
      <c r="AB40" s="123">
        <f t="shared" si="8"/>
        <v>763.60228245702888</v>
      </c>
      <c r="AC40" s="123">
        <f t="shared" si="8"/>
        <v>529.43943834219795</v>
      </c>
      <c r="AD40" s="123">
        <f t="shared" si="8"/>
        <v>492.18174398619504</v>
      </c>
      <c r="AE40" s="124">
        <f t="shared" si="8"/>
        <v>486.37847111277131</v>
      </c>
      <c r="AF40" s="122">
        <f t="shared" si="8"/>
        <v>544.42870006808732</v>
      </c>
      <c r="AG40" s="125">
        <f t="shared" si="8"/>
        <v>754.48365410464282</v>
      </c>
      <c r="AH40" s="122">
        <f t="shared" si="8"/>
        <v>910.55736479939458</v>
      </c>
      <c r="AI40" s="123">
        <f t="shared" si="8"/>
        <v>885.09148826760054</v>
      </c>
      <c r="AJ40" s="123">
        <f t="shared" si="8"/>
        <v>643.65082414280437</v>
      </c>
      <c r="AK40" s="123">
        <f t="shared" si="8"/>
        <v>989.58435655854885</v>
      </c>
      <c r="AL40" s="124">
        <f t="shared" si="8"/>
        <v>1018.0473455138929</v>
      </c>
      <c r="AM40" s="122">
        <f t="shared" si="8"/>
        <v>1217.0890573513618</v>
      </c>
      <c r="AN40" s="125">
        <f t="shared" si="8"/>
        <v>1422.3031585673623</v>
      </c>
      <c r="AO40" s="125">
        <f t="shared" si="8"/>
        <v>1492.1031587630864</v>
      </c>
      <c r="AP40" s="125">
        <f t="shared" si="8"/>
        <v>1428.9517790059258</v>
      </c>
      <c r="AQ40" s="3">
        <f t="shared" si="4"/>
        <v>21555.766281430642</v>
      </c>
      <c r="AR40" s="110">
        <f t="shared" si="3"/>
        <v>28134.26078063227</v>
      </c>
    </row>
    <row r="41" spans="1:46" x14ac:dyDescent="0.25">
      <c r="A41" s="118">
        <v>82</v>
      </c>
      <c r="B41" s="4" t="s">
        <v>109</v>
      </c>
      <c r="C41" s="4" t="s">
        <v>347</v>
      </c>
      <c r="D41" s="4" t="s">
        <v>145</v>
      </c>
      <c r="E41" s="4" t="s">
        <v>343</v>
      </c>
      <c r="F41" s="4" t="s">
        <v>127</v>
      </c>
      <c r="G41" s="119">
        <v>46085</v>
      </c>
      <c r="H41" s="4">
        <v>3</v>
      </c>
      <c r="I41" s="4" t="s">
        <v>1606</v>
      </c>
      <c r="J41" s="4" t="s">
        <v>520</v>
      </c>
      <c r="K41" s="120">
        <v>8520.7833156906472</v>
      </c>
      <c r="L41" s="121">
        <f t="shared" si="9"/>
        <v>431.66014871073543</v>
      </c>
      <c r="M41" s="122">
        <f t="shared" si="9"/>
        <v>540.23939835403326</v>
      </c>
      <c r="N41" s="123">
        <f t="shared" si="9"/>
        <v>494.24900634384738</v>
      </c>
      <c r="O41" s="123">
        <f t="shared" si="9"/>
        <v>241.65669250479911</v>
      </c>
      <c r="P41" s="123">
        <f t="shared" si="9"/>
        <v>214.87654617159822</v>
      </c>
      <c r="Q41" s="124">
        <f t="shared" si="9"/>
        <v>201.42799709050362</v>
      </c>
      <c r="R41" s="122">
        <f t="shared" si="9"/>
        <v>203.35661202019799</v>
      </c>
      <c r="S41" s="125">
        <f t="shared" si="9"/>
        <v>255.05109644574665</v>
      </c>
      <c r="T41" s="122">
        <f t="shared" si="9"/>
        <v>255.62349947071939</v>
      </c>
      <c r="U41" s="123">
        <f t="shared" si="9"/>
        <v>314.24410627493205</v>
      </c>
      <c r="V41" s="123">
        <f t="shared" si="9"/>
        <v>205.88712787155799</v>
      </c>
      <c r="W41" s="123">
        <f t="shared" si="9"/>
        <v>177.72295625241384</v>
      </c>
      <c r="X41" s="124">
        <f t="shared" si="9"/>
        <v>180.7389419122072</v>
      </c>
      <c r="Y41" s="122">
        <f t="shared" si="9"/>
        <v>195.61515411931211</v>
      </c>
      <c r="Z41" s="125">
        <f t="shared" si="9"/>
        <v>217.85226004674851</v>
      </c>
      <c r="AA41" s="122">
        <f t="shared" si="9"/>
        <v>278.36131850945657</v>
      </c>
      <c r="AB41" s="123">
        <f t="shared" si="8"/>
        <v>231.26570265753139</v>
      </c>
      <c r="AC41" s="123">
        <f t="shared" si="8"/>
        <v>160.34680164763319</v>
      </c>
      <c r="AD41" s="123">
        <f t="shared" si="8"/>
        <v>149.06288191272139</v>
      </c>
      <c r="AE41" s="124">
        <f t="shared" si="8"/>
        <v>147.30529421344517</v>
      </c>
      <c r="AF41" s="122">
        <f t="shared" si="8"/>
        <v>164.88647134872596</v>
      </c>
      <c r="AG41" s="125">
        <f t="shared" si="8"/>
        <v>228.50402155516235</v>
      </c>
      <c r="AH41" s="122">
        <f t="shared" si="8"/>
        <v>275.77273355278692</v>
      </c>
      <c r="AI41" s="123">
        <f t="shared" si="8"/>
        <v>268.06010098840386</v>
      </c>
      <c r="AJ41" s="123">
        <f t="shared" si="8"/>
        <v>194.93702877958788</v>
      </c>
      <c r="AK41" s="123">
        <f t="shared" si="8"/>
        <v>299.706963711561</v>
      </c>
      <c r="AL41" s="124">
        <f t="shared" si="8"/>
        <v>308.32730612241755</v>
      </c>
      <c r="AM41" s="122">
        <f t="shared" si="8"/>
        <v>368.60936970941384</v>
      </c>
      <c r="AN41" s="125">
        <f t="shared" si="8"/>
        <v>430.76081215959124</v>
      </c>
      <c r="AO41" s="125">
        <f t="shared" si="8"/>
        <v>451.90054217561351</v>
      </c>
      <c r="AP41" s="125">
        <f t="shared" si="8"/>
        <v>432.77442305724355</v>
      </c>
      <c r="AQ41" s="3">
        <f t="shared" si="4"/>
        <v>6528.4108624663695</v>
      </c>
      <c r="AR41" s="110">
        <f t="shared" si="3"/>
        <v>8520.783315690649</v>
      </c>
    </row>
    <row r="42" spans="1:46" ht="13.9" x14ac:dyDescent="0.25">
      <c r="A42" s="118">
        <v>88</v>
      </c>
      <c r="B42" s="4" t="s">
        <v>27</v>
      </c>
      <c r="C42" s="4" t="s">
        <v>352</v>
      </c>
      <c r="D42" s="4" t="s">
        <v>145</v>
      </c>
      <c r="E42" s="4" t="s">
        <v>343</v>
      </c>
      <c r="F42" s="4" t="s">
        <v>131</v>
      </c>
      <c r="G42" s="119">
        <v>45611</v>
      </c>
      <c r="H42" s="4">
        <v>5</v>
      </c>
      <c r="I42" s="4" t="s">
        <v>1607</v>
      </c>
      <c r="J42" s="4" t="s">
        <v>520</v>
      </c>
      <c r="K42" s="120">
        <v>13919.316944705244</v>
      </c>
      <c r="L42" s="121">
        <f t="shared" si="9"/>
        <v>705.14813013013668</v>
      </c>
      <c r="M42" s="122">
        <f t="shared" si="9"/>
        <v>882.52020185272727</v>
      </c>
      <c r="N42" s="123">
        <f t="shared" si="9"/>
        <v>807.39156413438525</v>
      </c>
      <c r="O42" s="123">
        <f t="shared" si="9"/>
        <v>394.76371715607138</v>
      </c>
      <c r="P42" s="123">
        <f t="shared" si="9"/>
        <v>351.01640768617966</v>
      </c>
      <c r="Q42" s="124">
        <f t="shared" si="9"/>
        <v>329.04722830786244</v>
      </c>
      <c r="R42" s="122">
        <f t="shared" si="9"/>
        <v>332.19776053900983</v>
      </c>
      <c r="S42" s="125">
        <f t="shared" si="9"/>
        <v>416.64444652471235</v>
      </c>
      <c r="T42" s="122">
        <f t="shared" si="9"/>
        <v>417.57950834115729</v>
      </c>
      <c r="U42" s="123">
        <f t="shared" si="9"/>
        <v>513.34051708506342</v>
      </c>
      <c r="V42" s="123">
        <f t="shared" si="9"/>
        <v>336.33154153820726</v>
      </c>
      <c r="W42" s="123">
        <f t="shared" si="9"/>
        <v>290.32332648008685</v>
      </c>
      <c r="X42" s="124">
        <f t="shared" si="9"/>
        <v>295.25015758750919</v>
      </c>
      <c r="Y42" s="122">
        <f t="shared" si="9"/>
        <v>319.5515281277132</v>
      </c>
      <c r="Z42" s="125">
        <f t="shared" si="9"/>
        <v>355.87745191537641</v>
      </c>
      <c r="AA42" s="122">
        <f t="shared" si="9"/>
        <v>454.72338327677789</v>
      </c>
      <c r="AB42" s="123">
        <f t="shared" si="8"/>
        <v>377.78928233069644</v>
      </c>
      <c r="AC42" s="123">
        <f t="shared" si="8"/>
        <v>261.93811889256858</v>
      </c>
      <c r="AD42" s="123">
        <f t="shared" si="8"/>
        <v>243.50501839585436</v>
      </c>
      <c r="AE42" s="124">
        <f t="shared" si="8"/>
        <v>240.63387153787815</v>
      </c>
      <c r="AF42" s="122">
        <f t="shared" si="8"/>
        <v>269.35399828448146</v>
      </c>
      <c r="AG42" s="125">
        <f t="shared" si="8"/>
        <v>373.27787614421459</v>
      </c>
      <c r="AH42" s="122">
        <f t="shared" si="8"/>
        <v>450.49474218648857</v>
      </c>
      <c r="AI42" s="123">
        <f t="shared" si="8"/>
        <v>437.89559805099418</v>
      </c>
      <c r="AJ42" s="123">
        <f t="shared" si="8"/>
        <v>318.44376124969904</v>
      </c>
      <c r="AK42" s="123">
        <f t="shared" si="8"/>
        <v>489.59304137619125</v>
      </c>
      <c r="AL42" s="124">
        <f t="shared" si="8"/>
        <v>503.6749953166983</v>
      </c>
      <c r="AM42" s="122">
        <f t="shared" si="8"/>
        <v>602.15011410104034</v>
      </c>
      <c r="AN42" s="125">
        <f t="shared" si="8"/>
        <v>703.67899870975623</v>
      </c>
      <c r="AO42" s="125">
        <f t="shared" si="8"/>
        <v>738.2122794325112</v>
      </c>
      <c r="AP42" s="125">
        <f t="shared" si="8"/>
        <v>706.9683780131968</v>
      </c>
      <c r="AQ42" s="3">
        <f t="shared" si="4"/>
        <v>10664.632179132044</v>
      </c>
      <c r="AR42" s="110">
        <f t="shared" si="3"/>
        <v>13919.316944705248</v>
      </c>
    </row>
    <row r="43" spans="1:46" ht="13.9" x14ac:dyDescent="0.25">
      <c r="A43" s="118">
        <v>36</v>
      </c>
      <c r="B43" s="4" t="s">
        <v>38</v>
      </c>
      <c r="C43" s="4" t="s">
        <v>300</v>
      </c>
      <c r="D43" s="4" t="s">
        <v>138</v>
      </c>
      <c r="E43" s="4" t="s">
        <v>296</v>
      </c>
      <c r="F43" s="4" t="s">
        <v>128</v>
      </c>
      <c r="G43" s="119">
        <v>45716</v>
      </c>
      <c r="H43" s="4">
        <v>5</v>
      </c>
      <c r="I43" s="4" t="s">
        <v>1606</v>
      </c>
      <c r="J43" s="4" t="s">
        <v>520</v>
      </c>
      <c r="K43" s="120">
        <v>19432.339611712086</v>
      </c>
      <c r="L43" s="121">
        <f t="shared" si="9"/>
        <v>984.43608947814869</v>
      </c>
      <c r="M43" s="122">
        <f t="shared" si="9"/>
        <v>1232.0599024165733</v>
      </c>
      <c r="N43" s="123">
        <f t="shared" si="9"/>
        <v>1127.1750716085901</v>
      </c>
      <c r="O43" s="123">
        <f t="shared" si="9"/>
        <v>551.11774871084219</v>
      </c>
      <c r="P43" s="123">
        <f t="shared" si="9"/>
        <v>490.04344613588876</v>
      </c>
      <c r="Q43" s="124">
        <f t="shared" si="9"/>
        <v>459.37293576774351</v>
      </c>
      <c r="R43" s="122">
        <f t="shared" si="9"/>
        <v>463.77129902913828</v>
      </c>
      <c r="S43" s="125">
        <f t="shared" si="9"/>
        <v>581.66477668157404</v>
      </c>
      <c r="T43" s="122">
        <f t="shared" si="9"/>
        <v>582.97018835136259</v>
      </c>
      <c r="U43" s="123">
        <f t="shared" si="9"/>
        <v>716.65925160525762</v>
      </c>
      <c r="V43" s="123">
        <f t="shared" si="9"/>
        <v>469.54234631371094</v>
      </c>
      <c r="W43" s="123">
        <f t="shared" si="9"/>
        <v>405.31166146834801</v>
      </c>
      <c r="X43" s="124">
        <f t="shared" si="9"/>
        <v>412.18986214940924</v>
      </c>
      <c r="Y43" s="122">
        <f t="shared" si="9"/>
        <v>446.11627443265934</v>
      </c>
      <c r="Z43" s="125">
        <f t="shared" si="9"/>
        <v>496.82980373551482</v>
      </c>
      <c r="AA43" s="122">
        <f t="shared" si="9"/>
        <v>634.82563464310761</v>
      </c>
      <c r="AB43" s="123">
        <f t="shared" si="8"/>
        <v>527.42025094181326</v>
      </c>
      <c r="AC43" s="123">
        <f t="shared" si="8"/>
        <v>365.68392714914199</v>
      </c>
      <c r="AD43" s="123">
        <f t="shared" si="8"/>
        <v>339.95003012158531</v>
      </c>
      <c r="AE43" s="124">
        <f t="shared" si="8"/>
        <v>335.94170837412224</v>
      </c>
      <c r="AF43" s="122">
        <f t="shared" si="8"/>
        <v>376.03701325499185</v>
      </c>
      <c r="AG43" s="125">
        <f t="shared" si="8"/>
        <v>521.12201249445604</v>
      </c>
      <c r="AH43" s="122">
        <f t="shared" si="8"/>
        <v>628.92215603931015</v>
      </c>
      <c r="AI43" s="123">
        <f t="shared" si="8"/>
        <v>611.33286996798688</v>
      </c>
      <c r="AJ43" s="123">
        <f t="shared" si="8"/>
        <v>444.5697544223965</v>
      </c>
      <c r="AK43" s="123">
        <f t="shared" si="8"/>
        <v>683.50611523162081</v>
      </c>
      <c r="AL43" s="124">
        <f t="shared" si="8"/>
        <v>703.16550746009602</v>
      </c>
      <c r="AM43" s="122">
        <f t="shared" si="8"/>
        <v>840.64365808507591</v>
      </c>
      <c r="AN43" s="125">
        <f t="shared" si="8"/>
        <v>982.3850793022558</v>
      </c>
      <c r="AO43" s="125">
        <f t="shared" si="8"/>
        <v>1030.5959535554232</v>
      </c>
      <c r="AP43" s="125">
        <f t="shared" si="8"/>
        <v>986.97728278394379</v>
      </c>
      <c r="AQ43" s="3">
        <f t="shared" si="4"/>
        <v>14888.572130525299</v>
      </c>
      <c r="AR43" s="110">
        <f t="shared" si="3"/>
        <v>19432.339611712097</v>
      </c>
    </row>
    <row r="44" spans="1:46" ht="13.9" x14ac:dyDescent="0.25">
      <c r="A44" s="118">
        <v>23</v>
      </c>
      <c r="B44" s="4" t="s">
        <v>73</v>
      </c>
      <c r="C44" s="4" t="s">
        <v>287</v>
      </c>
      <c r="D44" s="4" t="s">
        <v>146</v>
      </c>
      <c r="E44" s="4" t="s">
        <v>266</v>
      </c>
      <c r="F44" s="4" t="s">
        <v>126</v>
      </c>
      <c r="G44" s="119">
        <v>45931</v>
      </c>
      <c r="H44" s="4">
        <v>5</v>
      </c>
      <c r="I44" s="4" t="s">
        <v>1607</v>
      </c>
      <c r="J44" s="4" t="s">
        <v>520</v>
      </c>
      <c r="K44" s="120">
        <v>14558.895484985547</v>
      </c>
      <c r="L44" s="121">
        <f t="shared" si="9"/>
        <v>737.54897375928988</v>
      </c>
      <c r="M44" s="122">
        <f t="shared" si="9"/>
        <v>923.07111284290716</v>
      </c>
      <c r="N44" s="123">
        <f t="shared" si="9"/>
        <v>844.49039018131498</v>
      </c>
      <c r="O44" s="123">
        <f t="shared" si="9"/>
        <v>412.90271082776502</v>
      </c>
      <c r="P44" s="123">
        <f t="shared" si="9"/>
        <v>367.14525671908865</v>
      </c>
      <c r="Q44" s="124">
        <f t="shared" si="9"/>
        <v>344.16661576059772</v>
      </c>
      <c r="R44" s="122">
        <f t="shared" si="9"/>
        <v>347.46191176237471</v>
      </c>
      <c r="S44" s="125">
        <f t="shared" si="9"/>
        <v>435.7888375880637</v>
      </c>
      <c r="T44" s="122">
        <f t="shared" si="9"/>
        <v>436.76686454956638</v>
      </c>
      <c r="U44" s="123">
        <f t="shared" si="9"/>
        <v>536.92799482468695</v>
      </c>
      <c r="V44" s="123">
        <f t="shared" si="9"/>
        <v>351.78563581896555</v>
      </c>
      <c r="W44" s="123">
        <f t="shared" si="9"/>
        <v>303.66338979620298</v>
      </c>
      <c r="X44" s="124">
        <f t="shared" si="9"/>
        <v>308.81660381166671</v>
      </c>
      <c r="Y44" s="122">
        <f t="shared" si="9"/>
        <v>334.23459775793708</v>
      </c>
      <c r="Z44" s="125">
        <f t="shared" si="9"/>
        <v>372.22966101578709</v>
      </c>
      <c r="AA44" s="122">
        <f t="shared" si="9"/>
        <v>475.6174629836209</v>
      </c>
      <c r="AB44" s="123">
        <f t="shared" si="8"/>
        <v>395.14831788441461</v>
      </c>
      <c r="AC44" s="123">
        <f t="shared" si="8"/>
        <v>273.97391061931734</v>
      </c>
      <c r="AD44" s="123">
        <f t="shared" si="8"/>
        <v>254.69382779183488</v>
      </c>
      <c r="AE44" s="124">
        <f t="shared" si="8"/>
        <v>251.69075463864968</v>
      </c>
      <c r="AF44" s="122">
        <f t="shared" si="8"/>
        <v>281.73054217135535</v>
      </c>
      <c r="AG44" s="125">
        <f t="shared" si="8"/>
        <v>390.42961714498711</v>
      </c>
      <c r="AH44" s="122">
        <f t="shared" si="8"/>
        <v>471.19452011066221</v>
      </c>
      <c r="AI44" s="123">
        <f t="shared" si="8"/>
        <v>458.01645804069074</v>
      </c>
      <c r="AJ44" s="123">
        <f t="shared" si="8"/>
        <v>333.0759301119021</v>
      </c>
      <c r="AK44" s="123">
        <f t="shared" si="8"/>
        <v>512.08934661722469</v>
      </c>
      <c r="AL44" s="124">
        <f t="shared" si="8"/>
        <v>526.81835210353267</v>
      </c>
      <c r="AM44" s="122">
        <f t="shared" si="8"/>
        <v>629.81830303130664</v>
      </c>
      <c r="AN44" s="125">
        <f t="shared" si="8"/>
        <v>736.0123372355298</v>
      </c>
      <c r="AO44" s="125">
        <f t="shared" si="8"/>
        <v>772.13238729211707</v>
      </c>
      <c r="AP44" s="125">
        <f t="shared" si="8"/>
        <v>739.45286019218838</v>
      </c>
      <c r="AQ44" s="3">
        <f t="shared" si="4"/>
        <v>11154.661245130876</v>
      </c>
      <c r="AR44" s="110">
        <f t="shared" si="3"/>
        <v>14558.895484985551</v>
      </c>
    </row>
    <row r="45" spans="1:46" ht="13.9" x14ac:dyDescent="0.25">
      <c r="A45" s="118">
        <v>12</v>
      </c>
      <c r="B45" s="4" t="s">
        <v>99</v>
      </c>
      <c r="C45" s="4" t="s">
        <v>274</v>
      </c>
      <c r="D45" s="4" t="s">
        <v>142</v>
      </c>
      <c r="E45" s="4" t="s">
        <v>270</v>
      </c>
      <c r="F45" s="4" t="s">
        <v>132</v>
      </c>
      <c r="G45" s="119">
        <v>46056</v>
      </c>
      <c r="H45" s="4">
        <v>8</v>
      </c>
      <c r="I45" s="4" t="s">
        <v>1608</v>
      </c>
      <c r="J45" s="4" t="s">
        <v>520</v>
      </c>
      <c r="K45" s="120">
        <v>1315</v>
      </c>
      <c r="L45" s="121">
        <f t="shared" si="9"/>
        <v>66.617478056195353</v>
      </c>
      <c r="M45" s="122">
        <f t="shared" si="9"/>
        <v>83.374354506510699</v>
      </c>
      <c r="N45" s="123">
        <f t="shared" si="9"/>
        <v>76.276724716767319</v>
      </c>
      <c r="O45" s="123">
        <f t="shared" si="9"/>
        <v>37.294523152423743</v>
      </c>
      <c r="P45" s="123">
        <f t="shared" si="9"/>
        <v>33.161582421104995</v>
      </c>
      <c r="Q45" s="124">
        <f t="shared" si="9"/>
        <v>31.086087553271238</v>
      </c>
      <c r="R45" s="122">
        <f t="shared" si="9"/>
        <v>31.383727868555152</v>
      </c>
      <c r="S45" s="125">
        <f t="shared" si="9"/>
        <v>39.361661880140396</v>
      </c>
      <c r="T45" s="122">
        <f t="shared" si="9"/>
        <v>39.449999999999996</v>
      </c>
      <c r="U45" s="123">
        <f t="shared" si="9"/>
        <v>48.49683232650559</v>
      </c>
      <c r="V45" s="123">
        <f t="shared" si="9"/>
        <v>31.774258670859528</v>
      </c>
      <c r="W45" s="123">
        <f t="shared" si="9"/>
        <v>27.42772334575924</v>
      </c>
      <c r="X45" s="124">
        <f t="shared" si="9"/>
        <v>27.893175992034735</v>
      </c>
      <c r="Y45" s="122">
        <f t="shared" si="9"/>
        <v>30.189000017546565</v>
      </c>
      <c r="Z45" s="125">
        <f t="shared" si="9"/>
        <v>33.620819981883805</v>
      </c>
      <c r="AA45" s="122">
        <f t="shared" si="9"/>
        <v>42.959094284897425</v>
      </c>
      <c r="AB45" s="123">
        <f t="shared" si="8"/>
        <v>35.690896919610729</v>
      </c>
      <c r="AC45" s="123">
        <f t="shared" si="8"/>
        <v>24.746086874237903</v>
      </c>
      <c r="AD45" s="123">
        <f t="shared" si="8"/>
        <v>23.004656080652904</v>
      </c>
      <c r="AE45" s="124">
        <f t="shared" si="8"/>
        <v>22.733410147160821</v>
      </c>
      <c r="AF45" s="122">
        <f t="shared" si="8"/>
        <v>25.446687445307948</v>
      </c>
      <c r="AG45" s="125">
        <f t="shared" si="8"/>
        <v>35.264690722942419</v>
      </c>
      <c r="AH45" s="122">
        <f t="shared" si="8"/>
        <v>42.559601762683847</v>
      </c>
      <c r="AI45" s="123">
        <f t="shared" si="8"/>
        <v>41.369322483607775</v>
      </c>
      <c r="AJ45" s="123">
        <f t="shared" si="8"/>
        <v>30.084345927811025</v>
      </c>
      <c r="AK45" s="123">
        <f t="shared" si="8"/>
        <v>46.253336422128932</v>
      </c>
      <c r="AL45" s="124">
        <f t="shared" si="8"/>
        <v>47.583701231359797</v>
      </c>
      <c r="AM45" s="122">
        <f t="shared" si="8"/>
        <v>56.88694374791649</v>
      </c>
      <c r="AN45" s="125">
        <f t="shared" si="8"/>
        <v>66.478684764435783</v>
      </c>
      <c r="AO45" s="125">
        <f t="shared" si="8"/>
        <v>69.74114831281392</v>
      </c>
      <c r="AP45" s="125">
        <f t="shared" si="8"/>
        <v>66.789442382874086</v>
      </c>
      <c r="AQ45" s="3">
        <f t="shared" si="4"/>
        <v>1007.5200795605999</v>
      </c>
      <c r="AR45" s="110">
        <f t="shared" si="3"/>
        <v>1315</v>
      </c>
    </row>
    <row r="46" spans="1:46" ht="13.9" x14ac:dyDescent="0.25">
      <c r="A46" s="118">
        <v>97</v>
      </c>
      <c r="B46" s="4" t="s">
        <v>60</v>
      </c>
      <c r="C46" s="4" t="s">
        <v>361</v>
      </c>
      <c r="D46" s="4" t="s">
        <v>162</v>
      </c>
      <c r="E46" s="4" t="s">
        <v>294</v>
      </c>
      <c r="F46" s="4" t="s">
        <v>133</v>
      </c>
      <c r="G46" s="119">
        <v>45908</v>
      </c>
      <c r="H46" s="4">
        <v>6</v>
      </c>
      <c r="I46" s="4" t="s">
        <v>1607</v>
      </c>
      <c r="J46" s="4" t="s">
        <v>520</v>
      </c>
      <c r="K46" s="120">
        <v>14329.227655643579</v>
      </c>
      <c r="L46" s="121">
        <f t="shared" si="9"/>
        <v>725.91407521829933</v>
      </c>
      <c r="M46" s="122">
        <f t="shared" si="9"/>
        <v>908.5095865902091</v>
      </c>
      <c r="N46" s="123">
        <f t="shared" si="9"/>
        <v>831.16848159195013</v>
      </c>
      <c r="O46" s="123">
        <f t="shared" si="9"/>
        <v>406.38913502642595</v>
      </c>
      <c r="P46" s="123">
        <f t="shared" si="9"/>
        <v>361.353508694602</v>
      </c>
      <c r="Q46" s="124">
        <f t="shared" si="9"/>
        <v>338.73735777497478</v>
      </c>
      <c r="R46" s="122">
        <f t="shared" si="9"/>
        <v>341.9806701987016</v>
      </c>
      <c r="S46" s="125">
        <f t="shared" si="9"/>
        <v>428.91423116729993</v>
      </c>
      <c r="T46" s="122">
        <f t="shared" si="9"/>
        <v>429.87682966930737</v>
      </c>
      <c r="U46" s="123">
        <f t="shared" si="9"/>
        <v>528.45790949359196</v>
      </c>
      <c r="V46" s="123">
        <f t="shared" si="9"/>
        <v>346.23618713616207</v>
      </c>
      <c r="W46" s="123">
        <f t="shared" si="9"/>
        <v>298.87307368623146</v>
      </c>
      <c r="X46" s="124">
        <f t="shared" si="9"/>
        <v>303.94499530707043</v>
      </c>
      <c r="Y46" s="122">
        <f t="shared" si="9"/>
        <v>328.96201821114278</v>
      </c>
      <c r="Z46" s="125">
        <f t="shared" si="9"/>
        <v>366.35770607591155</v>
      </c>
      <c r="AA46" s="122">
        <f t="shared" si="9"/>
        <v>468.11455656924119</v>
      </c>
      <c r="AB46" s="123">
        <f t="shared" si="8"/>
        <v>388.91481915985571</v>
      </c>
      <c r="AC46" s="123">
        <f t="shared" si="8"/>
        <v>269.65194859869837</v>
      </c>
      <c r="AD46" s="123">
        <f t="shared" si="8"/>
        <v>250.67601073723256</v>
      </c>
      <c r="AE46" s="124">
        <f t="shared" si="8"/>
        <v>247.72031132150968</v>
      </c>
      <c r="AF46" s="122">
        <f t="shared" si="8"/>
        <v>277.28621862039915</v>
      </c>
      <c r="AG46" s="125">
        <f t="shared" si="8"/>
        <v>384.27055633072553</v>
      </c>
      <c r="AH46" s="122">
        <f t="shared" si="8"/>
        <v>463.76138600078065</v>
      </c>
      <c r="AI46" s="123">
        <f t="shared" si="8"/>
        <v>450.79120899418268</v>
      </c>
      <c r="AJ46" s="123">
        <f t="shared" si="8"/>
        <v>327.82162864694908</v>
      </c>
      <c r="AK46" s="123">
        <f t="shared" si="8"/>
        <v>504.01109309943445</v>
      </c>
      <c r="AL46" s="124">
        <f t="shared" si="8"/>
        <v>518.50774725648841</v>
      </c>
      <c r="AM46" s="122">
        <f t="shared" si="8"/>
        <v>619.88286509329703</v>
      </c>
      <c r="AN46" s="125">
        <f t="shared" si="8"/>
        <v>724.401679267958</v>
      </c>
      <c r="AO46" s="125">
        <f t="shared" si="8"/>
        <v>759.95193242609412</v>
      </c>
      <c r="AP46" s="125">
        <f t="shared" si="8"/>
        <v>727.78792767885375</v>
      </c>
      <c r="AQ46" s="3">
        <f t="shared" si="4"/>
        <v>10978.695503920888</v>
      </c>
      <c r="AR46" s="110">
        <f t="shared" si="3"/>
        <v>14329.227655643579</v>
      </c>
    </row>
    <row r="47" spans="1:46" ht="13.9" x14ac:dyDescent="0.25">
      <c r="A47" s="118">
        <v>91</v>
      </c>
      <c r="B47" s="4" t="s">
        <v>59</v>
      </c>
      <c r="C47" s="4" t="s">
        <v>355</v>
      </c>
      <c r="D47" s="4" t="s">
        <v>145</v>
      </c>
      <c r="E47" s="4" t="s">
        <v>343</v>
      </c>
      <c r="F47" s="4" t="s">
        <v>131</v>
      </c>
      <c r="G47" s="119">
        <v>45845</v>
      </c>
      <c r="H47" s="4">
        <v>4</v>
      </c>
      <c r="I47" s="4" t="s">
        <v>1607</v>
      </c>
      <c r="J47" s="4" t="s">
        <v>520</v>
      </c>
      <c r="K47" s="120">
        <v>18321.231978036714</v>
      </c>
      <c r="L47" s="121">
        <f t="shared" si="9"/>
        <v>928.14773327705348</v>
      </c>
      <c r="M47" s="122">
        <f t="shared" si="9"/>
        <v>1161.6128440554016</v>
      </c>
      <c r="N47" s="123">
        <f t="shared" si="9"/>
        <v>1062.7251468142515</v>
      </c>
      <c r="O47" s="123">
        <f t="shared" si="9"/>
        <v>519.60578721354875</v>
      </c>
      <c r="P47" s="123">
        <f t="shared" si="9"/>
        <v>462.02360782954293</v>
      </c>
      <c r="Q47" s="124">
        <f t="shared" si="9"/>
        <v>433.10678429889134</v>
      </c>
      <c r="R47" s="122">
        <f t="shared" si="9"/>
        <v>437.2536567417298</v>
      </c>
      <c r="S47" s="125">
        <f t="shared" si="9"/>
        <v>548.40618885710796</v>
      </c>
      <c r="T47" s="122">
        <f t="shared" si="9"/>
        <v>549.63695934110137</v>
      </c>
      <c r="U47" s="123">
        <f t="shared" si="9"/>
        <v>675.6819127405771</v>
      </c>
      <c r="V47" s="123">
        <f t="shared" si="9"/>
        <v>442.694725504914</v>
      </c>
      <c r="W47" s="123">
        <f t="shared" si="9"/>
        <v>382.13664033997594</v>
      </c>
      <c r="X47" s="124">
        <f t="shared" si="9"/>
        <v>388.62155737967504</v>
      </c>
      <c r="Y47" s="122">
        <f t="shared" si="9"/>
        <v>420.60811597446775</v>
      </c>
      <c r="Z47" s="125">
        <f t="shared" si="9"/>
        <v>468.42193321665809</v>
      </c>
      <c r="AA47" s="122">
        <f t="shared" si="9"/>
        <v>598.5274007300053</v>
      </c>
      <c r="AB47" s="123">
        <f t="shared" si="8"/>
        <v>497.26327145884721</v>
      </c>
      <c r="AC47" s="123">
        <f t="shared" si="8"/>
        <v>344.77475146126392</v>
      </c>
      <c r="AD47" s="123">
        <f t="shared" si="8"/>
        <v>320.51227424227733</v>
      </c>
      <c r="AE47" s="124">
        <f t="shared" si="8"/>
        <v>316.73314141291803</v>
      </c>
      <c r="AF47" s="122">
        <f t="shared" si="8"/>
        <v>354.53586597572729</v>
      </c>
      <c r="AG47" s="125">
        <f t="shared" si="8"/>
        <v>491.32515541349602</v>
      </c>
      <c r="AH47" s="122">
        <f t="shared" si="8"/>
        <v>592.96147284181825</v>
      </c>
      <c r="AI47" s="123">
        <f t="shared" si="8"/>
        <v>576.37791178432542</v>
      </c>
      <c r="AJ47" s="123">
        <f t="shared" si="8"/>
        <v>419.15002330869203</v>
      </c>
      <c r="AK47" s="123">
        <f t="shared" si="8"/>
        <v>644.42441547376336</v>
      </c>
      <c r="AL47" s="124">
        <f t="shared" si="8"/>
        <v>662.9597175918891</v>
      </c>
      <c r="AM47" s="122">
        <f t="shared" si="8"/>
        <v>792.57710488753105</v>
      </c>
      <c r="AN47" s="125">
        <f t="shared" si="8"/>
        <v>926.21399632243583</v>
      </c>
      <c r="AO47" s="125">
        <f t="shared" si="8"/>
        <v>971.66825601043922</v>
      </c>
      <c r="AP47" s="125">
        <f t="shared" si="8"/>
        <v>930.54362553639032</v>
      </c>
      <c r="AQ47" s="3">
        <f t="shared" si="4"/>
        <v>14037.26927768803</v>
      </c>
      <c r="AR47" s="110">
        <f t="shared" si="3"/>
        <v>18321.231978036714</v>
      </c>
    </row>
    <row r="48" spans="1:46" ht="13.9" x14ac:dyDescent="0.25">
      <c r="A48" s="118">
        <v>11</v>
      </c>
      <c r="B48" s="4" t="s">
        <v>42</v>
      </c>
      <c r="C48" s="4" t="s">
        <v>273</v>
      </c>
      <c r="D48" s="4" t="s">
        <v>142</v>
      </c>
      <c r="E48" s="4" t="s">
        <v>270</v>
      </c>
      <c r="F48" s="4" t="s">
        <v>132</v>
      </c>
      <c r="G48" s="119">
        <v>45741</v>
      </c>
      <c r="H48" s="4">
        <v>6</v>
      </c>
      <c r="I48" s="4" t="s">
        <v>1606</v>
      </c>
      <c r="J48" s="4" t="s">
        <v>520</v>
      </c>
      <c r="K48" s="120">
        <v>35996.490369257735</v>
      </c>
      <c r="L48" s="121">
        <f t="shared" si="9"/>
        <v>1823.5706519194482</v>
      </c>
      <c r="M48" s="122">
        <f t="shared" si="9"/>
        <v>2282.2693148568005</v>
      </c>
      <c r="N48" s="123">
        <f t="shared" si="9"/>
        <v>2087.9805221791926</v>
      </c>
      <c r="O48" s="123">
        <f t="shared" si="9"/>
        <v>1020.8912117735978</v>
      </c>
      <c r="P48" s="123">
        <f t="shared" si="9"/>
        <v>907.75709676855706</v>
      </c>
      <c r="Q48" s="124">
        <f t="shared" si="9"/>
        <v>850.94300473705766</v>
      </c>
      <c r="R48" s="122">
        <f t="shared" si="9"/>
        <v>859.09053838163584</v>
      </c>
      <c r="S48" s="125">
        <f t="shared" si="9"/>
        <v>1077.4765648566183</v>
      </c>
      <c r="T48" s="122">
        <f t="shared" si="9"/>
        <v>1079.8947110777319</v>
      </c>
      <c r="U48" s="123">
        <f t="shared" si="9"/>
        <v>1327.540500213358</v>
      </c>
      <c r="V48" s="123">
        <f t="shared" si="9"/>
        <v>869.78083363946701</v>
      </c>
      <c r="W48" s="123">
        <f t="shared" si="9"/>
        <v>750.79983214166396</v>
      </c>
      <c r="X48" s="124">
        <f t="shared" si="9"/>
        <v>763.54101974546722</v>
      </c>
      <c r="Y48" s="122">
        <f t="shared" si="9"/>
        <v>826.38634858489468</v>
      </c>
      <c r="Z48" s="125">
        <f t="shared" si="9"/>
        <v>920.3281541326453</v>
      </c>
      <c r="AA48" s="122">
        <f t="shared" si="9"/>
        <v>1175.9518050937986</v>
      </c>
      <c r="AB48" s="123">
        <f t="shared" si="8"/>
        <v>976.99393706231035</v>
      </c>
      <c r="AC48" s="123">
        <f t="shared" si="8"/>
        <v>677.39336718275274</v>
      </c>
      <c r="AD48" s="123">
        <f t="shared" si="8"/>
        <v>629.72386392038675</v>
      </c>
      <c r="AE48" s="124">
        <f t="shared" si="8"/>
        <v>622.29884366742249</v>
      </c>
      <c r="AF48" s="122">
        <f t="shared" si="8"/>
        <v>696.57143692360398</v>
      </c>
      <c r="AG48" s="125">
        <f t="shared" si="8"/>
        <v>965.32707223060788</v>
      </c>
      <c r="AH48" s="122">
        <f t="shared" si="8"/>
        <v>1165.0161938934552</v>
      </c>
      <c r="AI48" s="123">
        <f t="shared" si="8"/>
        <v>1132.4337782235018</v>
      </c>
      <c r="AJ48" s="123">
        <f t="shared" si="8"/>
        <v>823.52157297024166</v>
      </c>
      <c r="AK48" s="123">
        <f t="shared" si="8"/>
        <v>1266.1275886427393</v>
      </c>
      <c r="AL48" s="124">
        <f t="shared" si="8"/>
        <v>1302.5446715652322</v>
      </c>
      <c r="AM48" s="122">
        <f t="shared" si="8"/>
        <v>1557.2093709189221</v>
      </c>
      <c r="AN48" s="125">
        <f t="shared" si="8"/>
        <v>1819.7713580866416</v>
      </c>
      <c r="AO48" s="125">
        <f t="shared" si="8"/>
        <v>1909.0772422685791</v>
      </c>
      <c r="AP48" s="125">
        <f t="shared" si="8"/>
        <v>1828.2779615994077</v>
      </c>
      <c r="AQ48" s="3">
        <f t="shared" si="4"/>
        <v>27579.609764818961</v>
      </c>
      <c r="AR48" s="110">
        <f t="shared" si="3"/>
        <v>35996.490369257743</v>
      </c>
    </row>
    <row r="49" spans="1:44" ht="13.9" x14ac:dyDescent="0.25">
      <c r="A49" s="118">
        <v>96</v>
      </c>
      <c r="B49" s="4" t="s">
        <v>77</v>
      </c>
      <c r="C49" s="4" t="s">
        <v>360</v>
      </c>
      <c r="D49" s="4" t="s">
        <v>160</v>
      </c>
      <c r="E49" s="4" t="s">
        <v>294</v>
      </c>
      <c r="F49" s="4" t="s">
        <v>133</v>
      </c>
      <c r="G49" s="119">
        <v>45953</v>
      </c>
      <c r="H49" s="4">
        <v>4</v>
      </c>
      <c r="I49" s="4" t="s">
        <v>1607</v>
      </c>
      <c r="J49" s="4" t="s">
        <v>520</v>
      </c>
      <c r="K49" s="120">
        <v>14346.188863174042</v>
      </c>
      <c r="L49" s="121">
        <f t="shared" si="9"/>
        <v>726.77332454945315</v>
      </c>
      <c r="M49" s="122">
        <f t="shared" si="9"/>
        <v>909.58497041492637</v>
      </c>
      <c r="N49" s="123">
        <f t="shared" si="9"/>
        <v>832.15231836583985</v>
      </c>
      <c r="O49" s="123">
        <f t="shared" si="9"/>
        <v>406.87016935869809</v>
      </c>
      <c r="P49" s="123">
        <f t="shared" si="9"/>
        <v>361.78123529649014</v>
      </c>
      <c r="Q49" s="124">
        <f t="shared" si="9"/>
        <v>339.13831411132549</v>
      </c>
      <c r="R49" s="122">
        <f t="shared" si="9"/>
        <v>342.3854655762363</v>
      </c>
      <c r="S49" s="125">
        <f t="shared" si="9"/>
        <v>429.42192798546949</v>
      </c>
      <c r="T49" s="122">
        <f t="shared" si="9"/>
        <v>430.38566589522122</v>
      </c>
      <c r="U49" s="123">
        <f t="shared" si="9"/>
        <v>529.0834340849683</v>
      </c>
      <c r="V49" s="123">
        <f t="shared" si="9"/>
        <v>346.64601968022527</v>
      </c>
      <c r="W49" s="123">
        <f t="shared" si="9"/>
        <v>299.22684350201513</v>
      </c>
      <c r="X49" s="124">
        <f t="shared" si="9"/>
        <v>304.30476865055687</v>
      </c>
      <c r="Y49" s="122">
        <f t="shared" si="9"/>
        <v>329.35140368219584</v>
      </c>
      <c r="Z49" s="125">
        <f t="shared" si="9"/>
        <v>366.79135604173445</v>
      </c>
      <c r="AA49" s="122">
        <f t="shared" si="9"/>
        <v>468.66865399394601</v>
      </c>
      <c r="AB49" s="123">
        <f t="shared" si="8"/>
        <v>389.37516950936282</v>
      </c>
      <c r="AC49" s="123">
        <f t="shared" si="8"/>
        <v>269.97112997895749</v>
      </c>
      <c r="AD49" s="123">
        <f t="shared" si="8"/>
        <v>250.97273069613055</v>
      </c>
      <c r="AE49" s="124">
        <f t="shared" si="8"/>
        <v>248.01353268073487</v>
      </c>
      <c r="AF49" s="122">
        <f t="shared" si="8"/>
        <v>277.61443652665218</v>
      </c>
      <c r="AG49" s="125">
        <f t="shared" si="8"/>
        <v>384.72540936331063</v>
      </c>
      <c r="AH49" s="122">
        <f t="shared" si="8"/>
        <v>464.31033066839342</v>
      </c>
      <c r="AI49" s="123">
        <f t="shared" si="8"/>
        <v>451.32480113413641</v>
      </c>
      <c r="AJ49" s="123">
        <f t="shared" si="8"/>
        <v>328.20966426269041</v>
      </c>
      <c r="AK49" s="123">
        <f t="shared" si="8"/>
        <v>504.60768050478202</v>
      </c>
      <c r="AL49" s="124">
        <f t="shared" si="8"/>
        <v>519.12149404861975</v>
      </c>
      <c r="AM49" s="122">
        <f t="shared" si="8"/>
        <v>620.61660749533667</v>
      </c>
      <c r="AN49" s="125">
        <f t="shared" si="8"/>
        <v>725.2591384076095</v>
      </c>
      <c r="AO49" s="125">
        <f t="shared" si="8"/>
        <v>760.85147165799253</v>
      </c>
      <c r="AP49" s="125">
        <f t="shared" si="8"/>
        <v>728.64939505003235</v>
      </c>
      <c r="AQ49" s="3">
        <f t="shared" si="4"/>
        <v>10991.690756514454</v>
      </c>
      <c r="AR49" s="110">
        <f t="shared" si="3"/>
        <v>14346.188863174044</v>
      </c>
    </row>
    <row r="50" spans="1:44" ht="13.9" x14ac:dyDescent="0.25">
      <c r="A50" s="118">
        <v>110</v>
      </c>
      <c r="B50" s="4" t="s">
        <v>123</v>
      </c>
      <c r="C50" s="4" t="s">
        <v>375</v>
      </c>
      <c r="D50" s="4" t="s">
        <v>138</v>
      </c>
      <c r="E50" s="4" t="s">
        <v>296</v>
      </c>
      <c r="F50" s="4" t="s">
        <v>128</v>
      </c>
      <c r="G50" s="119">
        <v>46240</v>
      </c>
      <c r="H50" s="4" t="s">
        <v>373</v>
      </c>
      <c r="I50" s="4" t="s">
        <v>1606</v>
      </c>
      <c r="J50" s="4" t="s">
        <v>520</v>
      </c>
      <c r="K50" s="120">
        <v>11658.609669169082</v>
      </c>
      <c r="L50" s="121">
        <f t="shared" si="9"/>
        <v>590.62142494419641</v>
      </c>
      <c r="M50" s="122">
        <f t="shared" si="9"/>
        <v>739.1855936200277</v>
      </c>
      <c r="N50" s="123">
        <f t="shared" si="9"/>
        <v>676.25898122848037</v>
      </c>
      <c r="O50" s="123">
        <f t="shared" si="9"/>
        <v>330.64812793300206</v>
      </c>
      <c r="P50" s="123">
        <f t="shared" si="9"/>
        <v>294.0060421746328</v>
      </c>
      <c r="Q50" s="124">
        <f t="shared" si="9"/>
        <v>275.60498929673361</v>
      </c>
      <c r="R50" s="122">
        <f t="shared" si="9"/>
        <v>278.24382751551963</v>
      </c>
      <c r="S50" s="125">
        <f t="shared" si="9"/>
        <v>348.97509641853151</v>
      </c>
      <c r="T50" s="122">
        <f t="shared" si="9"/>
        <v>349.75829007507247</v>
      </c>
      <c r="U50" s="123">
        <f t="shared" si="9"/>
        <v>429.96626485617475</v>
      </c>
      <c r="V50" s="123">
        <f t="shared" si="9"/>
        <v>281.70622005381176</v>
      </c>
      <c r="W50" s="123">
        <f t="shared" si="9"/>
        <v>243.17043391799487</v>
      </c>
      <c r="X50" s="124">
        <f t="shared" si="9"/>
        <v>247.29707325062435</v>
      </c>
      <c r="Y50" s="122">
        <f t="shared" si="9"/>
        <v>267.65153422594216</v>
      </c>
      <c r="Z50" s="125">
        <f t="shared" si="9"/>
        <v>298.07757941154648</v>
      </c>
      <c r="AA50" s="122">
        <f t="shared" si="9"/>
        <v>380.86943878984891</v>
      </c>
      <c r="AB50" s="123">
        <f t="shared" si="8"/>
        <v>316.43059766409931</v>
      </c>
      <c r="AC50" s="123">
        <f t="shared" si="8"/>
        <v>219.39541270424951</v>
      </c>
      <c r="AD50" s="123">
        <f t="shared" si="8"/>
        <v>203.95612609719333</v>
      </c>
      <c r="AE50" s="124">
        <f t="shared" si="8"/>
        <v>201.5512968478142</v>
      </c>
      <c r="AF50" s="122">
        <f t="shared" si="8"/>
        <v>225.6068412913998</v>
      </c>
      <c r="AG50" s="125">
        <f t="shared" si="8"/>
        <v>312.65191197167582</v>
      </c>
      <c r="AH50" s="122">
        <f t="shared" si="8"/>
        <v>377.32759287179573</v>
      </c>
      <c r="AI50" s="123">
        <f t="shared" si="8"/>
        <v>366.77474001092281</v>
      </c>
      <c r="AJ50" s="123">
        <f t="shared" si="8"/>
        <v>266.72368541795066</v>
      </c>
      <c r="AK50" s="123">
        <f t="shared" si="8"/>
        <v>410.0757378268919</v>
      </c>
      <c r="AL50" s="124">
        <f t="shared" si="8"/>
        <v>421.8705697876685</v>
      </c>
      <c r="AM50" s="122">
        <f t="shared" si="8"/>
        <v>504.35184215128277</v>
      </c>
      <c r="AN50" s="125">
        <f t="shared" si="8"/>
        <v>589.39090265269533</v>
      </c>
      <c r="AO50" s="125">
        <f t="shared" si="8"/>
        <v>618.31545707888006</v>
      </c>
      <c r="AP50" s="125">
        <f t="shared" si="8"/>
        <v>592.14603708242362</v>
      </c>
      <c r="AQ50" s="3">
        <f t="shared" si="4"/>
        <v>8932.5348604161318</v>
      </c>
      <c r="AR50" s="110">
        <f t="shared" si="3"/>
        <v>11658.609669169084</v>
      </c>
    </row>
    <row r="51" spans="1:44" ht="13.9" x14ac:dyDescent="0.25">
      <c r="A51" s="118">
        <v>113</v>
      </c>
      <c r="B51" s="4" t="s">
        <v>124</v>
      </c>
      <c r="C51" s="4" t="s">
        <v>381</v>
      </c>
      <c r="D51" s="4" t="s">
        <v>145</v>
      </c>
      <c r="E51" s="4" t="s">
        <v>343</v>
      </c>
      <c r="F51" s="4" t="s">
        <v>127</v>
      </c>
      <c r="G51" s="119">
        <v>46288</v>
      </c>
      <c r="I51" s="4" t="s">
        <v>1606</v>
      </c>
      <c r="J51" s="4" t="s">
        <v>520</v>
      </c>
      <c r="K51" s="120">
        <v>13360.647941831441</v>
      </c>
      <c r="L51" s="121">
        <f t="shared" si="9"/>
        <v>676.84613770456849</v>
      </c>
      <c r="M51" s="122">
        <f t="shared" si="9"/>
        <v>847.0991619307506</v>
      </c>
      <c r="N51" s="123">
        <f t="shared" si="9"/>
        <v>774.98590501651756</v>
      </c>
      <c r="O51" s="123">
        <f t="shared" si="9"/>
        <v>378.9193870707341</v>
      </c>
      <c r="P51" s="123">
        <f t="shared" si="9"/>
        <v>336.9279299790191</v>
      </c>
      <c r="Q51" s="124">
        <f t="shared" si="9"/>
        <v>315.84051078950978</v>
      </c>
      <c r="R51" s="122">
        <f t="shared" si="9"/>
        <v>318.86459251255474</v>
      </c>
      <c r="S51" s="125">
        <f t="shared" si="9"/>
        <v>399.92190630111247</v>
      </c>
      <c r="T51" s="122">
        <f t="shared" si="9"/>
        <v>400.81943825494324</v>
      </c>
      <c r="U51" s="123">
        <f t="shared" si="9"/>
        <v>492.7369604627159</v>
      </c>
      <c r="V51" s="123">
        <f t="shared" si="9"/>
        <v>322.83245909812865</v>
      </c>
      <c r="W51" s="123">
        <f t="shared" si="9"/>
        <v>278.67084066056304</v>
      </c>
      <c r="X51" s="124">
        <f t="shared" si="9"/>
        <v>283.39992730731637</v>
      </c>
      <c r="Y51" s="122">
        <f t="shared" si="9"/>
        <v>306.72593228165999</v>
      </c>
      <c r="Z51" s="125">
        <f t="shared" si="9"/>
        <v>341.59387018527855</v>
      </c>
      <c r="AA51" s="122">
        <f t="shared" si="9"/>
        <v>436.47249782544304</v>
      </c>
      <c r="AB51" s="123">
        <f t="shared" si="8"/>
        <v>362.62624218335753</v>
      </c>
      <c r="AC51" s="123">
        <f t="shared" si="8"/>
        <v>251.42490849024233</v>
      </c>
      <c r="AD51" s="123">
        <f t="shared" si="8"/>
        <v>233.73164328252119</v>
      </c>
      <c r="AE51" s="124">
        <f t="shared" si="8"/>
        <v>230.9757334551135</v>
      </c>
      <c r="AF51" s="122">
        <f t="shared" si="8"/>
        <v>258.54314238979589</v>
      </c>
      <c r="AG51" s="125">
        <f t="shared" si="8"/>
        <v>358.29590686448893</v>
      </c>
      <c r="AH51" s="122">
        <f t="shared" si="8"/>
        <v>432.41357847586897</v>
      </c>
      <c r="AI51" s="123">
        <f t="shared" si="8"/>
        <v>420.32011657458202</v>
      </c>
      <c r="AJ51" s="123">
        <f t="shared" si="8"/>
        <v>305.66262699753116</v>
      </c>
      <c r="AK51" s="123">
        <f t="shared" si="8"/>
        <v>469.94261906551645</v>
      </c>
      <c r="AL51" s="124">
        <f t="shared" si="8"/>
        <v>483.45937636615173</v>
      </c>
      <c r="AM51" s="122">
        <f t="shared" si="8"/>
        <v>577.9820744507083</v>
      </c>
      <c r="AN51" s="125">
        <f t="shared" si="8"/>
        <v>675.43597169096597</v>
      </c>
      <c r="AO51" s="125">
        <f t="shared" si="8"/>
        <v>708.5832164764704</v>
      </c>
      <c r="AP51" s="125">
        <f t="shared" si="8"/>
        <v>678.59332768731269</v>
      </c>
      <c r="AQ51" s="3">
        <f t="shared" si="4"/>
        <v>10236.593975159831</v>
      </c>
      <c r="AR51" s="110">
        <f t="shared" si="3"/>
        <v>13360.647941831441</v>
      </c>
    </row>
    <row r="52" spans="1:44" ht="13.9" x14ac:dyDescent="0.25">
      <c r="A52" s="118">
        <v>101</v>
      </c>
      <c r="B52" s="4" t="s">
        <v>49</v>
      </c>
      <c r="C52" s="4" t="s">
        <v>366</v>
      </c>
      <c r="D52" s="4" t="s">
        <v>158</v>
      </c>
      <c r="E52" s="4" t="s">
        <v>296</v>
      </c>
      <c r="F52" s="4" t="s">
        <v>128</v>
      </c>
      <c r="G52" s="119">
        <v>45729</v>
      </c>
      <c r="H52" s="4">
        <v>5</v>
      </c>
      <c r="I52" s="4" t="s">
        <v>1606</v>
      </c>
      <c r="J52" s="4" t="s">
        <v>520</v>
      </c>
      <c r="K52" s="120">
        <v>23970.818286761281</v>
      </c>
      <c r="L52" s="121">
        <f t="shared" si="9"/>
        <v>1214.3539628953351</v>
      </c>
      <c r="M52" s="122">
        <f t="shared" si="9"/>
        <v>1519.8110278719273</v>
      </c>
      <c r="N52" s="123">
        <f t="shared" si="9"/>
        <v>1390.4300438744808</v>
      </c>
      <c r="O52" s="123">
        <f t="shared" si="9"/>
        <v>679.83288028757499</v>
      </c>
      <c r="P52" s="123">
        <f t="shared" si="9"/>
        <v>604.494499100962</v>
      </c>
      <c r="Q52" s="124">
        <f t="shared" si="9"/>
        <v>566.66080303103911</v>
      </c>
      <c r="R52" s="122">
        <f t="shared" si="9"/>
        <v>572.08641665270079</v>
      </c>
      <c r="S52" s="125">
        <f t="shared" si="9"/>
        <v>717.51425429185088</v>
      </c>
      <c r="T52" s="122">
        <f t="shared" si="9"/>
        <v>719.12454860283844</v>
      </c>
      <c r="U52" s="123">
        <f t="shared" si="9"/>
        <v>884.03707618417934</v>
      </c>
      <c r="V52" s="123">
        <f t="shared" si="9"/>
        <v>579.20530858990321</v>
      </c>
      <c r="W52" s="123">
        <f t="shared" si="9"/>
        <v>499.97336299677181</v>
      </c>
      <c r="X52" s="124">
        <f t="shared" si="9"/>
        <v>508.45798718305468</v>
      </c>
      <c r="Y52" s="122">
        <f t="shared" si="9"/>
        <v>550.30801040276947</v>
      </c>
      <c r="Z52" s="125">
        <f t="shared" si="9"/>
        <v>612.86582999060795</v>
      </c>
      <c r="AA52" s="122">
        <f t="shared" ref="AA52:AP67" si="10">$K52*AA$4</f>
        <v>783.09098316891345</v>
      </c>
      <c r="AB52" s="123">
        <f t="shared" si="10"/>
        <v>650.60076391750317</v>
      </c>
      <c r="AC52" s="123">
        <f t="shared" si="10"/>
        <v>451.09045762035379</v>
      </c>
      <c r="AD52" s="123">
        <f t="shared" si="10"/>
        <v>419.34633510172523</v>
      </c>
      <c r="AE52" s="124">
        <f t="shared" si="10"/>
        <v>414.40185830875066</v>
      </c>
      <c r="AF52" s="122">
        <f t="shared" si="10"/>
        <v>463.86153669314564</v>
      </c>
      <c r="AG52" s="125">
        <f t="shared" si="10"/>
        <v>642.83155380873689</v>
      </c>
      <c r="AH52" s="122">
        <f t="shared" si="10"/>
        <v>775.80873019788567</v>
      </c>
      <c r="AI52" s="123">
        <f t="shared" si="10"/>
        <v>754.11141589428883</v>
      </c>
      <c r="AJ52" s="123">
        <f t="shared" si="10"/>
        <v>548.40029620655878</v>
      </c>
      <c r="AK52" s="123">
        <f t="shared" si="10"/>
        <v>843.14092968158923</v>
      </c>
      <c r="AL52" s="124">
        <f t="shared" si="10"/>
        <v>867.39182937525834</v>
      </c>
      <c r="AM52" s="122">
        <f t="shared" si="10"/>
        <v>1036.9783965555262</v>
      </c>
      <c r="AN52" s="125">
        <f t="shared" si="10"/>
        <v>1211.8239334077384</v>
      </c>
      <c r="AO52" s="125">
        <f t="shared" si="10"/>
        <v>1271.2945956779699</v>
      </c>
      <c r="AP52" s="125">
        <f t="shared" si="10"/>
        <v>1217.4886591893437</v>
      </c>
      <c r="AQ52" s="3">
        <f t="shared" si="4"/>
        <v>18365.840872555447</v>
      </c>
      <c r="AR52" s="110">
        <f t="shared" si="3"/>
        <v>23970.818286761281</v>
      </c>
    </row>
    <row r="53" spans="1:44" ht="13.9" x14ac:dyDescent="0.25">
      <c r="A53" s="118">
        <v>35</v>
      </c>
      <c r="B53" s="4" t="s">
        <v>18</v>
      </c>
      <c r="C53" s="4" t="s">
        <v>299</v>
      </c>
      <c r="D53" s="4" t="s">
        <v>138</v>
      </c>
      <c r="E53" s="4" t="s">
        <v>296</v>
      </c>
      <c r="F53" s="4" t="s">
        <v>129</v>
      </c>
      <c r="G53" s="119">
        <v>45545</v>
      </c>
      <c r="H53" s="4">
        <v>4</v>
      </c>
      <c r="I53" s="4" t="s">
        <v>1606</v>
      </c>
      <c r="J53" s="4" t="s">
        <v>520</v>
      </c>
      <c r="K53" s="120">
        <v>18302.317051447139</v>
      </c>
      <c r="L53" s="121">
        <f t="shared" ref="L53:AA68" si="11">$K53*L$4</f>
        <v>927.18950916525455</v>
      </c>
      <c r="M53" s="122">
        <f t="shared" si="11"/>
        <v>1160.4135894584861</v>
      </c>
      <c r="N53" s="123">
        <f t="shared" si="11"/>
        <v>1061.6279843439011</v>
      </c>
      <c r="O53" s="123">
        <f t="shared" si="11"/>
        <v>519.06934374007244</v>
      </c>
      <c r="P53" s="123">
        <f t="shared" si="11"/>
        <v>461.54661247053963</v>
      </c>
      <c r="Q53" s="124">
        <f t="shared" si="11"/>
        <v>432.65964280533444</v>
      </c>
      <c r="R53" s="122">
        <f t="shared" si="11"/>
        <v>436.80223399744011</v>
      </c>
      <c r="S53" s="125">
        <f t="shared" si="11"/>
        <v>547.84001171269233</v>
      </c>
      <c r="T53" s="122">
        <f t="shared" si="11"/>
        <v>549.06951154341414</v>
      </c>
      <c r="U53" s="123">
        <f t="shared" si="11"/>
        <v>674.9843355365598</v>
      </c>
      <c r="V53" s="123">
        <f t="shared" si="11"/>
        <v>442.23768537548625</v>
      </c>
      <c r="W53" s="123">
        <f t="shared" si="11"/>
        <v>381.74212066423127</v>
      </c>
      <c r="X53" s="124">
        <f t="shared" si="11"/>
        <v>388.22034264489218</v>
      </c>
      <c r="Y53" s="122">
        <f t="shared" si="11"/>
        <v>420.17387816523228</v>
      </c>
      <c r="Z53" s="125">
        <f t="shared" si="11"/>
        <v>467.93833219624844</v>
      </c>
      <c r="AA53" s="122">
        <f t="shared" si="11"/>
        <v>597.90947820928011</v>
      </c>
      <c r="AB53" s="123">
        <f t="shared" si="10"/>
        <v>496.7498945043601</v>
      </c>
      <c r="AC53" s="123">
        <f t="shared" si="10"/>
        <v>344.41880437639281</v>
      </c>
      <c r="AD53" s="123">
        <f t="shared" si="10"/>
        <v>320.18137585369635</v>
      </c>
      <c r="AE53" s="124">
        <f t="shared" si="10"/>
        <v>316.40614461895279</v>
      </c>
      <c r="AF53" s="122">
        <f t="shared" si="10"/>
        <v>354.16984147004223</v>
      </c>
      <c r="AG53" s="125">
        <f t="shared" si="10"/>
        <v>490.81790899811307</v>
      </c>
      <c r="AH53" s="122">
        <f t="shared" si="10"/>
        <v>592.34929661138267</v>
      </c>
      <c r="AI53" s="123">
        <f t="shared" si="10"/>
        <v>575.78285650079852</v>
      </c>
      <c r="AJ53" s="123">
        <f t="shared" si="10"/>
        <v>418.71729084122438</v>
      </c>
      <c r="AK53" s="123">
        <f t="shared" si="10"/>
        <v>643.75910865783374</v>
      </c>
      <c r="AL53" s="124">
        <f t="shared" si="10"/>
        <v>662.27527484234417</v>
      </c>
      <c r="AM53" s="122">
        <f t="shared" si="10"/>
        <v>791.75884453399715</v>
      </c>
      <c r="AN53" s="125">
        <f t="shared" si="10"/>
        <v>925.25776860981921</v>
      </c>
      <c r="AO53" s="125">
        <f t="shared" si="10"/>
        <v>970.6651011050327</v>
      </c>
      <c r="AP53" s="125">
        <f t="shared" si="10"/>
        <v>929.58292789408551</v>
      </c>
      <c r="AQ53" s="3">
        <f t="shared" si="4"/>
        <v>14022.777134461863</v>
      </c>
      <c r="AR53" s="110">
        <f t="shared" si="3"/>
        <v>18302.317051447142</v>
      </c>
    </row>
    <row r="54" spans="1:44" ht="13.9" x14ac:dyDescent="0.25">
      <c r="A54" s="118">
        <v>32</v>
      </c>
      <c r="B54" s="4" t="s">
        <v>21</v>
      </c>
      <c r="C54" s="4" t="s">
        <v>295</v>
      </c>
      <c r="D54" s="4" t="s">
        <v>138</v>
      </c>
      <c r="E54" s="4" t="s">
        <v>296</v>
      </c>
      <c r="F54" s="4" t="s">
        <v>128</v>
      </c>
      <c r="G54" s="119">
        <v>45553</v>
      </c>
      <c r="H54" s="4">
        <v>4</v>
      </c>
      <c r="I54" s="4" t="s">
        <v>1607</v>
      </c>
      <c r="J54" s="4" t="s">
        <v>520</v>
      </c>
      <c r="K54" s="120">
        <v>8170.6996859707178</v>
      </c>
      <c r="L54" s="121">
        <f t="shared" si="11"/>
        <v>413.9250243603928</v>
      </c>
      <c r="M54" s="122">
        <f t="shared" si="11"/>
        <v>518.04320318202144</v>
      </c>
      <c r="N54" s="123">
        <f t="shared" si="11"/>
        <v>473.94236554385213</v>
      </c>
      <c r="O54" s="123">
        <f t="shared" si="11"/>
        <v>231.72802175660561</v>
      </c>
      <c r="P54" s="123">
        <f t="shared" si="11"/>
        <v>206.04816051286284</v>
      </c>
      <c r="Q54" s="124">
        <f t="shared" si="11"/>
        <v>193.15215650917989</v>
      </c>
      <c r="R54" s="122">
        <f t="shared" si="11"/>
        <v>195.00153265413996</v>
      </c>
      <c r="S54" s="125">
        <f t="shared" si="11"/>
        <v>244.57210521927661</v>
      </c>
      <c r="T54" s="122">
        <f t="shared" si="11"/>
        <v>245.12099057912152</v>
      </c>
      <c r="U54" s="123">
        <f t="shared" si="11"/>
        <v>301.33311989410936</v>
      </c>
      <c r="V54" s="123">
        <f t="shared" si="11"/>
        <v>197.42808010946337</v>
      </c>
      <c r="W54" s="123">
        <f t="shared" si="11"/>
        <v>170.42105743580743</v>
      </c>
      <c r="X54" s="124">
        <f t="shared" si="11"/>
        <v>173.3131287595773</v>
      </c>
      <c r="Y54" s="122">
        <f t="shared" si="11"/>
        <v>187.57813913546593</v>
      </c>
      <c r="Z54" s="125">
        <f t="shared" si="11"/>
        <v>208.90161465251413</v>
      </c>
      <c r="AA54" s="122">
        <f t="shared" si="11"/>
        <v>266.9246069834204</v>
      </c>
      <c r="AB54" s="123">
        <f t="shared" si="10"/>
        <v>221.76395456507728</v>
      </c>
      <c r="AC54" s="123">
        <f t="shared" si="10"/>
        <v>153.75881692193136</v>
      </c>
      <c r="AD54" s="123">
        <f t="shared" si="10"/>
        <v>142.93850662665781</v>
      </c>
      <c r="AE54" s="124">
        <f t="shared" si="10"/>
        <v>141.25313091289007</v>
      </c>
      <c r="AF54" s="122">
        <f t="shared" si="10"/>
        <v>158.11197043222256</v>
      </c>
      <c r="AG54" s="125">
        <f t="shared" si="10"/>
        <v>219.11573947969589</v>
      </c>
      <c r="AH54" s="122">
        <f t="shared" si="10"/>
        <v>264.44237624136861</v>
      </c>
      <c r="AI54" s="123">
        <f t="shared" si="10"/>
        <v>257.04662374573036</v>
      </c>
      <c r="AJ54" s="123">
        <f t="shared" si="10"/>
        <v>186.92787515209125</v>
      </c>
      <c r="AK54" s="123">
        <f t="shared" si="10"/>
        <v>287.39324819725232</v>
      </c>
      <c r="AL54" s="124">
        <f t="shared" si="10"/>
        <v>295.65941650828591</v>
      </c>
      <c r="AM54" s="122">
        <f t="shared" si="10"/>
        <v>353.46474024101531</v>
      </c>
      <c r="AN54" s="125">
        <f t="shared" si="10"/>
        <v>413.06263781636642</v>
      </c>
      <c r="AO54" s="125">
        <f t="shared" si="10"/>
        <v>433.33382404467369</v>
      </c>
      <c r="AP54" s="125">
        <f t="shared" si="10"/>
        <v>414.99351779764913</v>
      </c>
      <c r="AQ54" s="3">
        <f t="shared" si="4"/>
        <v>6260.1855495627287</v>
      </c>
      <c r="AR54" s="110">
        <f t="shared" si="3"/>
        <v>8170.6996859707197</v>
      </c>
    </row>
    <row r="55" spans="1:44" ht="13.9" x14ac:dyDescent="0.25">
      <c r="A55" s="118">
        <v>83</v>
      </c>
      <c r="B55" s="4" t="s">
        <v>87</v>
      </c>
      <c r="C55" s="4" t="s">
        <v>348</v>
      </c>
      <c r="D55" s="4" t="s">
        <v>145</v>
      </c>
      <c r="E55" s="4" t="s">
        <v>343</v>
      </c>
      <c r="F55" s="4" t="s">
        <v>127</v>
      </c>
      <c r="G55" s="119">
        <v>45935</v>
      </c>
      <c r="H55" s="4">
        <v>3</v>
      </c>
      <c r="I55" s="4" t="s">
        <v>1607</v>
      </c>
      <c r="J55" s="4" t="s">
        <v>520</v>
      </c>
      <c r="K55" s="120">
        <v>11813.119661009028</v>
      </c>
      <c r="L55" s="121">
        <f t="shared" si="11"/>
        <v>598.44885155321583</v>
      </c>
      <c r="M55" s="122">
        <f t="shared" si="11"/>
        <v>748.98192125079709</v>
      </c>
      <c r="N55" s="123">
        <f t="shared" si="11"/>
        <v>685.22135089659105</v>
      </c>
      <c r="O55" s="123">
        <f t="shared" si="11"/>
        <v>335.03016326985045</v>
      </c>
      <c r="P55" s="123">
        <f t="shared" si="11"/>
        <v>297.90246485849946</v>
      </c>
      <c r="Q55" s="124">
        <f t="shared" si="11"/>
        <v>279.25754529231671</v>
      </c>
      <c r="R55" s="122">
        <f t="shared" si="11"/>
        <v>281.93135568044551</v>
      </c>
      <c r="S55" s="125">
        <f t="shared" si="11"/>
        <v>353.60001661313777</v>
      </c>
      <c r="T55" s="122">
        <f t="shared" si="11"/>
        <v>354.39358983027086</v>
      </c>
      <c r="U55" s="123">
        <f t="shared" si="11"/>
        <v>435.66455015429767</v>
      </c>
      <c r="V55" s="123">
        <f t="shared" si="11"/>
        <v>285.43963484313105</v>
      </c>
      <c r="W55" s="123">
        <f t="shared" si="11"/>
        <v>246.39313909696185</v>
      </c>
      <c r="X55" s="124">
        <f t="shared" si="11"/>
        <v>250.57446822774943</v>
      </c>
      <c r="Y55" s="122">
        <f t="shared" si="11"/>
        <v>271.19868414713403</v>
      </c>
      <c r="Z55" s="125">
        <f t="shared" si="11"/>
        <v>302.02796163287968</v>
      </c>
      <c r="AA55" s="122">
        <f t="shared" si="11"/>
        <v>385.91705043046562</v>
      </c>
      <c r="AB55" s="123">
        <f t="shared" si="10"/>
        <v>320.62420997726241</v>
      </c>
      <c r="AC55" s="123">
        <f t="shared" si="10"/>
        <v>222.30303071262145</v>
      </c>
      <c r="AD55" s="123">
        <f t="shared" si="10"/>
        <v>206.65912930883019</v>
      </c>
      <c r="AE55" s="124">
        <f t="shared" si="10"/>
        <v>204.22242917962558</v>
      </c>
      <c r="AF55" s="122">
        <f t="shared" si="10"/>
        <v>228.59677853058474</v>
      </c>
      <c r="AG55" s="125">
        <f t="shared" si="10"/>
        <v>316.79544586965307</v>
      </c>
      <c r="AH55" s="122">
        <f t="shared" si="10"/>
        <v>382.32826490302284</v>
      </c>
      <c r="AI55" s="123">
        <f t="shared" si="10"/>
        <v>371.63555649713294</v>
      </c>
      <c r="AJ55" s="123">
        <f t="shared" si="10"/>
        <v>270.25853868321013</v>
      </c>
      <c r="AK55" s="123">
        <f t="shared" si="10"/>
        <v>415.51041663537359</v>
      </c>
      <c r="AL55" s="124">
        <f t="shared" si="10"/>
        <v>427.46156392376878</v>
      </c>
      <c r="AM55" s="122">
        <f t="shared" si="10"/>
        <v>511.03594953857561</v>
      </c>
      <c r="AN55" s="125">
        <f t="shared" si="10"/>
        <v>597.20202131465987</v>
      </c>
      <c r="AO55" s="125">
        <f t="shared" si="10"/>
        <v>626.50990898513214</v>
      </c>
      <c r="AP55" s="125">
        <f t="shared" si="10"/>
        <v>599.99366917183227</v>
      </c>
      <c r="AQ55" s="3">
        <f t="shared" si="4"/>
        <v>9050.9165480750635</v>
      </c>
      <c r="AR55" s="110">
        <f t="shared" si="3"/>
        <v>11813.119661009034</v>
      </c>
    </row>
    <row r="56" spans="1:44" ht="13.9" x14ac:dyDescent="0.25">
      <c r="A56" s="118">
        <v>38</v>
      </c>
      <c r="B56" s="4" t="s">
        <v>110</v>
      </c>
      <c r="C56" s="4" t="s">
        <v>302</v>
      </c>
      <c r="D56" s="4" t="s">
        <v>138</v>
      </c>
      <c r="E56" s="4" t="s">
        <v>296</v>
      </c>
      <c r="F56" s="4" t="s">
        <v>129</v>
      </c>
      <c r="G56" s="119">
        <v>46085</v>
      </c>
      <c r="H56" s="4">
        <v>4</v>
      </c>
      <c r="I56" s="4" t="s">
        <v>1607</v>
      </c>
      <c r="J56" s="4" t="s">
        <v>520</v>
      </c>
      <c r="K56" s="120">
        <v>10448.481116457382</v>
      </c>
      <c r="L56" s="121">
        <f t="shared" si="11"/>
        <v>529.3167007575446</v>
      </c>
      <c r="M56" s="122">
        <f t="shared" si="11"/>
        <v>662.4603563939927</v>
      </c>
      <c r="N56" s="123">
        <f t="shared" si="11"/>
        <v>606.06533675160563</v>
      </c>
      <c r="O56" s="123">
        <f t="shared" si="11"/>
        <v>296.32784859724876</v>
      </c>
      <c r="P56" s="123">
        <f t="shared" si="11"/>
        <v>263.48910092681416</v>
      </c>
      <c r="Q56" s="124">
        <f t="shared" si="11"/>
        <v>246.9980218896543</v>
      </c>
      <c r="R56" s="122">
        <f t="shared" si="11"/>
        <v>249.36295665295498</v>
      </c>
      <c r="S56" s="125">
        <f t="shared" si="11"/>
        <v>312.75253297872803</v>
      </c>
      <c r="T56" s="122">
        <f t="shared" si="11"/>
        <v>313.45443349372147</v>
      </c>
      <c r="U56" s="123">
        <f t="shared" si="11"/>
        <v>385.33706218364534</v>
      </c>
      <c r="V56" s="123">
        <f t="shared" si="11"/>
        <v>252.4659632790175</v>
      </c>
      <c r="W56" s="123">
        <f t="shared" si="11"/>
        <v>217.93007562401726</v>
      </c>
      <c r="X56" s="124">
        <f t="shared" si="11"/>
        <v>221.62838222874319</v>
      </c>
      <c r="Y56" s="122">
        <f t="shared" si="11"/>
        <v>239.87011148902423</v>
      </c>
      <c r="Z56" s="125">
        <f t="shared" si="11"/>
        <v>267.13802486732015</v>
      </c>
      <c r="AA56" s="122">
        <f t="shared" si="11"/>
        <v>341.33633871928743</v>
      </c>
      <c r="AB56" s="123">
        <f t="shared" si="10"/>
        <v>283.58605512850158</v>
      </c>
      <c r="AC56" s="123">
        <f t="shared" si="10"/>
        <v>196.62282997086587</v>
      </c>
      <c r="AD56" s="123">
        <f t="shared" si="10"/>
        <v>182.78609479034094</v>
      </c>
      <c r="AE56" s="124">
        <f t="shared" si="10"/>
        <v>180.63087957056311</v>
      </c>
      <c r="AF56" s="122">
        <f t="shared" si="10"/>
        <v>202.18953098759943</v>
      </c>
      <c r="AG56" s="125">
        <f t="shared" si="10"/>
        <v>280.19958562461875</v>
      </c>
      <c r="AH56" s="122">
        <f t="shared" si="10"/>
        <v>338.16212573486575</v>
      </c>
      <c r="AI56" s="123">
        <f t="shared" si="10"/>
        <v>328.70462720198606</v>
      </c>
      <c r="AJ56" s="123">
        <f t="shared" si="10"/>
        <v>239.03857059141069</v>
      </c>
      <c r="AK56" s="123">
        <f t="shared" si="10"/>
        <v>367.51111192377533</v>
      </c>
      <c r="AL56" s="124">
        <f t="shared" si="10"/>
        <v>378.08167586845076</v>
      </c>
      <c r="AM56" s="122">
        <f t="shared" si="10"/>
        <v>452.00164070196104</v>
      </c>
      <c r="AN56" s="125">
        <f t="shared" si="10"/>
        <v>528.21390297196228</v>
      </c>
      <c r="AO56" s="125">
        <f t="shared" si="10"/>
        <v>554.13617580721655</v>
      </c>
      <c r="AP56" s="125">
        <f t="shared" si="10"/>
        <v>530.68306274994541</v>
      </c>
      <c r="AQ56" s="3">
        <f t="shared" si="4"/>
        <v>8005.3646583578466</v>
      </c>
      <c r="AR56" s="110">
        <f t="shared" si="3"/>
        <v>10448.481116457382</v>
      </c>
    </row>
    <row r="57" spans="1:44" ht="13.9" x14ac:dyDescent="0.25">
      <c r="A57" s="118">
        <v>17</v>
      </c>
      <c r="B57" s="4" t="s">
        <v>92</v>
      </c>
      <c r="C57" s="4" t="s">
        <v>278</v>
      </c>
      <c r="D57" s="4" t="s">
        <v>163</v>
      </c>
      <c r="E57" s="4" t="s">
        <v>279</v>
      </c>
      <c r="F57" s="4" t="s">
        <v>129</v>
      </c>
      <c r="G57" s="119">
        <v>46014</v>
      </c>
      <c r="H57" s="4">
        <v>4</v>
      </c>
      <c r="I57" s="4" t="s">
        <v>1606</v>
      </c>
      <c r="J57" s="4" t="s">
        <v>520</v>
      </c>
      <c r="K57" s="120">
        <v>16102.703819547714</v>
      </c>
      <c r="L57" s="121">
        <f t="shared" si="11"/>
        <v>815.75780862671706</v>
      </c>
      <c r="M57" s="122">
        <f t="shared" si="11"/>
        <v>1020.9524994405438</v>
      </c>
      <c r="N57" s="123">
        <f t="shared" si="11"/>
        <v>934.03916839488863</v>
      </c>
      <c r="O57" s="123">
        <f t="shared" si="11"/>
        <v>456.68643377547113</v>
      </c>
      <c r="P57" s="123">
        <f t="shared" si="11"/>
        <v>406.07691248256555</v>
      </c>
      <c r="Q57" s="124">
        <f t="shared" si="11"/>
        <v>380.66164317783682</v>
      </c>
      <c r="R57" s="122">
        <f t="shared" si="11"/>
        <v>384.30636853279782</v>
      </c>
      <c r="S57" s="125">
        <f t="shared" si="11"/>
        <v>481.99937878409315</v>
      </c>
      <c r="T57" s="122">
        <f t="shared" si="11"/>
        <v>483.0811145864314</v>
      </c>
      <c r="U57" s="123">
        <f t="shared" si="11"/>
        <v>593.86321455512291</v>
      </c>
      <c r="V57" s="123">
        <f t="shared" si="11"/>
        <v>389.08857525668958</v>
      </c>
      <c r="W57" s="123">
        <f t="shared" si="11"/>
        <v>335.86350226711431</v>
      </c>
      <c r="X57" s="124">
        <f t="shared" si="11"/>
        <v>341.56315709981317</v>
      </c>
      <c r="Y57" s="122">
        <f t="shared" si="11"/>
        <v>369.67644554439016</v>
      </c>
      <c r="Z57" s="125">
        <f t="shared" si="11"/>
        <v>411.70046109399738</v>
      </c>
      <c r="AA57" s="122">
        <f t="shared" si="11"/>
        <v>526.0513852667134</v>
      </c>
      <c r="AB57" s="123">
        <f t="shared" si="10"/>
        <v>437.04938566577903</v>
      </c>
      <c r="AC57" s="123">
        <f t="shared" si="10"/>
        <v>303.02578526893552</v>
      </c>
      <c r="AD57" s="123">
        <f t="shared" si="10"/>
        <v>281.70126489529355</v>
      </c>
      <c r="AE57" s="124">
        <f t="shared" si="10"/>
        <v>278.37974935971965</v>
      </c>
      <c r="AF57" s="122">
        <f t="shared" si="10"/>
        <v>311.60492100410431</v>
      </c>
      <c r="AG57" s="125">
        <f t="shared" si="10"/>
        <v>431.83031939124999</v>
      </c>
      <c r="AH57" s="122">
        <f t="shared" si="10"/>
        <v>521.15943867863029</v>
      </c>
      <c r="AI57" s="123">
        <f t="shared" si="10"/>
        <v>506.58399024250343</v>
      </c>
      <c r="AJ57" s="123">
        <f t="shared" si="10"/>
        <v>368.39491412954931</v>
      </c>
      <c r="AK57" s="123">
        <f t="shared" si="10"/>
        <v>566.39070499729348</v>
      </c>
      <c r="AL57" s="124">
        <f t="shared" si="10"/>
        <v>582.68155708474126</v>
      </c>
      <c r="AM57" s="122">
        <f t="shared" si="10"/>
        <v>696.60350294446448</v>
      </c>
      <c r="AN57" s="125">
        <f t="shared" si="10"/>
        <v>814.05822895421181</v>
      </c>
      <c r="AO57" s="125">
        <f t="shared" si="10"/>
        <v>854.00840708470901</v>
      </c>
      <c r="AP57" s="125">
        <f t="shared" si="10"/>
        <v>817.86358096134484</v>
      </c>
      <c r="AQ57" s="3">
        <f t="shared" si="4"/>
        <v>12337.488542518244</v>
      </c>
      <c r="AR57" s="110">
        <f t="shared" si="3"/>
        <v>16102.703819547716</v>
      </c>
    </row>
    <row r="58" spans="1:44" ht="13.9" x14ac:dyDescent="0.25">
      <c r="A58" s="118">
        <v>25</v>
      </c>
      <c r="B58" s="4" t="s">
        <v>69</v>
      </c>
      <c r="C58" s="4" t="s">
        <v>289</v>
      </c>
      <c r="D58" s="4" t="s">
        <v>146</v>
      </c>
      <c r="E58" s="4" t="s">
        <v>266</v>
      </c>
      <c r="F58" s="4" t="s">
        <v>126</v>
      </c>
      <c r="G58" s="119">
        <v>45897</v>
      </c>
      <c r="H58" s="4">
        <v>4</v>
      </c>
      <c r="I58" s="4" t="s">
        <v>1607</v>
      </c>
      <c r="J58" s="4" t="s">
        <v>520</v>
      </c>
      <c r="K58" s="120">
        <v>15697.066656418716</v>
      </c>
      <c r="L58" s="121">
        <f t="shared" si="11"/>
        <v>795.20836009932282</v>
      </c>
      <c r="M58" s="122">
        <f t="shared" si="11"/>
        <v>995.23406853580423</v>
      </c>
      <c r="N58" s="123">
        <f t="shared" si="11"/>
        <v>910.51013856456086</v>
      </c>
      <c r="O58" s="123">
        <f t="shared" si="11"/>
        <v>445.18221737106205</v>
      </c>
      <c r="P58" s="123">
        <f t="shared" si="11"/>
        <v>395.84758151818113</v>
      </c>
      <c r="Q58" s="124">
        <f t="shared" si="11"/>
        <v>371.07253871556412</v>
      </c>
      <c r="R58" s="122">
        <f t="shared" si="11"/>
        <v>374.62545116320604</v>
      </c>
      <c r="S58" s="125">
        <f t="shared" si="11"/>
        <v>469.85751349047871</v>
      </c>
      <c r="T58" s="122">
        <f t="shared" si="11"/>
        <v>470.91199969256144</v>
      </c>
      <c r="U58" s="123">
        <f t="shared" si="11"/>
        <v>578.90342939492029</v>
      </c>
      <c r="V58" s="123">
        <f t="shared" si="11"/>
        <v>379.28719111389535</v>
      </c>
      <c r="W58" s="123">
        <f t="shared" si="11"/>
        <v>327.40289094463463</v>
      </c>
      <c r="X58" s="124">
        <f t="shared" si="11"/>
        <v>332.95896791345052</v>
      </c>
      <c r="Y58" s="122">
        <f t="shared" si="11"/>
        <v>360.36406506924277</v>
      </c>
      <c r="Z58" s="125">
        <f t="shared" si="11"/>
        <v>401.32946942896154</v>
      </c>
      <c r="AA58" s="122">
        <f t="shared" si="11"/>
        <v>512.79982242540768</v>
      </c>
      <c r="AB58" s="123">
        <f t="shared" si="10"/>
        <v>426.03983876387758</v>
      </c>
      <c r="AC58" s="123">
        <f t="shared" si="10"/>
        <v>295.39237654025902</v>
      </c>
      <c r="AD58" s="123">
        <f t="shared" si="10"/>
        <v>274.60503414904696</v>
      </c>
      <c r="AE58" s="124">
        <f t="shared" si="10"/>
        <v>271.36718966364185</v>
      </c>
      <c r="AF58" s="122">
        <f t="shared" si="10"/>
        <v>303.75539848977348</v>
      </c>
      <c r="AG58" s="125">
        <f t="shared" si="10"/>
        <v>420.95224402739001</v>
      </c>
      <c r="AH58" s="122">
        <f t="shared" si="10"/>
        <v>508.03110702622342</v>
      </c>
      <c r="AI58" s="123">
        <f t="shared" si="10"/>
        <v>493.82282323655716</v>
      </c>
      <c r="AJ58" s="123">
        <f t="shared" si="10"/>
        <v>359.1148162308811</v>
      </c>
      <c r="AK58" s="123">
        <f t="shared" si="10"/>
        <v>552.12296950564064</v>
      </c>
      <c r="AL58" s="124">
        <f t="shared" si="10"/>
        <v>568.00344485761832</v>
      </c>
      <c r="AM58" s="122">
        <f t="shared" si="10"/>
        <v>679.05562577261378</v>
      </c>
      <c r="AN58" s="125">
        <f t="shared" si="10"/>
        <v>793.55159389992082</v>
      </c>
      <c r="AO58" s="125">
        <f t="shared" si="10"/>
        <v>832.495402099942</v>
      </c>
      <c r="AP58" s="125">
        <f t="shared" si="10"/>
        <v>797.26108671407735</v>
      </c>
      <c r="AQ58" s="3">
        <f t="shared" si="4"/>
        <v>12026.699503074546</v>
      </c>
      <c r="AR58" s="110">
        <f t="shared" si="3"/>
        <v>15697.066656418718</v>
      </c>
    </row>
    <row r="59" spans="1:44" ht="13.9" x14ac:dyDescent="0.25">
      <c r="A59" s="118">
        <v>9</v>
      </c>
      <c r="B59" s="4" t="s">
        <v>56</v>
      </c>
      <c r="C59" s="4" t="s">
        <v>271</v>
      </c>
      <c r="D59" s="4" t="s">
        <v>142</v>
      </c>
      <c r="E59" s="4" t="s">
        <v>270</v>
      </c>
      <c r="F59" s="4" t="s">
        <v>132</v>
      </c>
      <c r="G59" s="119">
        <v>45808</v>
      </c>
      <c r="H59" s="4">
        <v>8</v>
      </c>
      <c r="I59" s="4" t="s">
        <v>1607</v>
      </c>
      <c r="J59" s="4" t="s">
        <v>520</v>
      </c>
      <c r="K59" s="120">
        <v>18799.365331094748</v>
      </c>
      <c r="L59" s="121">
        <f t="shared" si="11"/>
        <v>952.36981552441364</v>
      </c>
      <c r="M59" s="122">
        <f t="shared" si="11"/>
        <v>1191.927718336198</v>
      </c>
      <c r="N59" s="123">
        <f t="shared" si="11"/>
        <v>1090.4593263953257</v>
      </c>
      <c r="O59" s="123">
        <f t="shared" si="11"/>
        <v>533.16605748394329</v>
      </c>
      <c r="P59" s="123">
        <f t="shared" si="11"/>
        <v>474.08114288331728</v>
      </c>
      <c r="Q59" s="124">
        <f t="shared" si="11"/>
        <v>444.40967043980476</v>
      </c>
      <c r="R59" s="122">
        <f t="shared" si="11"/>
        <v>448.66476475485007</v>
      </c>
      <c r="S59" s="125">
        <f t="shared" si="11"/>
        <v>562.71806975192783</v>
      </c>
      <c r="T59" s="122">
        <f t="shared" si="11"/>
        <v>563.98095993284244</v>
      </c>
      <c r="U59" s="123">
        <f t="shared" si="11"/>
        <v>693.31533711545569</v>
      </c>
      <c r="V59" s="123">
        <f t="shared" si="11"/>
        <v>454.24783032562232</v>
      </c>
      <c r="W59" s="123">
        <f t="shared" si="11"/>
        <v>392.10934705484738</v>
      </c>
      <c r="X59" s="124">
        <f t="shared" si="11"/>
        <v>398.76350244774306</v>
      </c>
      <c r="Y59" s="122">
        <f t="shared" si="11"/>
        <v>431.58482152873279</v>
      </c>
      <c r="Z59" s="125">
        <f t="shared" si="11"/>
        <v>480.64644682160002</v>
      </c>
      <c r="AA59" s="122">
        <f t="shared" si="11"/>
        <v>614.14730627736208</v>
      </c>
      <c r="AB59" s="123">
        <f t="shared" si="10"/>
        <v>510.24046401992871</v>
      </c>
      <c r="AC59" s="123">
        <f t="shared" si="10"/>
        <v>353.77241647437779</v>
      </c>
      <c r="AD59" s="123">
        <f t="shared" si="10"/>
        <v>328.87675587557732</v>
      </c>
      <c r="AE59" s="124">
        <f t="shared" si="10"/>
        <v>324.9989981582454</v>
      </c>
      <c r="AF59" s="122">
        <f t="shared" si="10"/>
        <v>363.78826901180702</v>
      </c>
      <c r="AG59" s="125">
        <f t="shared" si="10"/>
        <v>504.14737961115003</v>
      </c>
      <c r="AH59" s="122">
        <f t="shared" si="10"/>
        <v>608.43612310463698</v>
      </c>
      <c r="AI59" s="123">
        <f t="shared" si="10"/>
        <v>591.41977708685511</v>
      </c>
      <c r="AJ59" s="123">
        <f t="shared" si="10"/>
        <v>430.08867668741601</v>
      </c>
      <c r="AK59" s="123">
        <f t="shared" si="10"/>
        <v>661.24210584154571</v>
      </c>
      <c r="AL59" s="124">
        <f t="shared" si="10"/>
        <v>680.26112794980679</v>
      </c>
      <c r="AM59" s="122">
        <f t="shared" si="10"/>
        <v>813.26116964754249</v>
      </c>
      <c r="AN59" s="125">
        <f t="shared" si="10"/>
        <v>950.38561339719456</v>
      </c>
      <c r="AO59" s="125">
        <f t="shared" si="10"/>
        <v>997.02610322635053</v>
      </c>
      <c r="AP59" s="125">
        <f t="shared" si="10"/>
        <v>954.82823392832938</v>
      </c>
      <c r="AQ59" s="3">
        <f t="shared" si="4"/>
        <v>14403.603082945527</v>
      </c>
      <c r="AR59" s="110">
        <f t="shared" si="3"/>
        <v>18799.365331094752</v>
      </c>
    </row>
    <row r="60" spans="1:44" ht="13.9" x14ac:dyDescent="0.25">
      <c r="A60" s="118">
        <v>37</v>
      </c>
      <c r="B60" s="4" t="s">
        <v>95</v>
      </c>
      <c r="C60" s="4" t="s">
        <v>301</v>
      </c>
      <c r="D60" s="4" t="s">
        <v>138</v>
      </c>
      <c r="E60" s="4" t="s">
        <v>296</v>
      </c>
      <c r="F60" s="4" t="s">
        <v>129</v>
      </c>
      <c r="G60" s="119">
        <v>46010</v>
      </c>
      <c r="H60" s="4">
        <v>4</v>
      </c>
      <c r="I60" s="4" t="s">
        <v>1606</v>
      </c>
      <c r="J60" s="4" t="s">
        <v>520</v>
      </c>
      <c r="K60" s="120">
        <v>11948.687246923289</v>
      </c>
      <c r="L60" s="121">
        <f t="shared" si="11"/>
        <v>605.31666195608625</v>
      </c>
      <c r="M60" s="122">
        <f t="shared" si="11"/>
        <v>757.57725202464303</v>
      </c>
      <c r="N60" s="123">
        <f t="shared" si="11"/>
        <v>693.08496415233162</v>
      </c>
      <c r="O60" s="123">
        <f t="shared" si="11"/>
        <v>338.87497579578019</v>
      </c>
      <c r="P60" s="123">
        <f t="shared" si="11"/>
        <v>301.32119921129487</v>
      </c>
      <c r="Q60" s="124">
        <f t="shared" si="11"/>
        <v>282.46231019354587</v>
      </c>
      <c r="R60" s="122">
        <f t="shared" si="11"/>
        <v>285.16680528054445</v>
      </c>
      <c r="S60" s="125">
        <f t="shared" si="11"/>
        <v>357.65793712923204</v>
      </c>
      <c r="T60" s="122">
        <f t="shared" si="11"/>
        <v>358.46061740769869</v>
      </c>
      <c r="U60" s="123">
        <f t="shared" si="11"/>
        <v>440.66424481817069</v>
      </c>
      <c r="V60" s="123">
        <f t="shared" si="11"/>
        <v>288.71534552162814</v>
      </c>
      <c r="W60" s="123">
        <f t="shared" si="11"/>
        <v>249.22075144761493</v>
      </c>
      <c r="X60" s="124">
        <f t="shared" si="11"/>
        <v>253.45006559103595</v>
      </c>
      <c r="Y60" s="122">
        <f t="shared" si="11"/>
        <v>274.31096540458219</v>
      </c>
      <c r="Z60" s="125">
        <f t="shared" si="11"/>
        <v>305.49404026512451</v>
      </c>
      <c r="AA60" s="122">
        <f t="shared" si="11"/>
        <v>390.34584184131484</v>
      </c>
      <c r="AB60" s="123">
        <f t="shared" si="10"/>
        <v>324.30369950920641</v>
      </c>
      <c r="AC60" s="123">
        <f t="shared" si="10"/>
        <v>224.85418452126405</v>
      </c>
      <c r="AD60" s="123">
        <f t="shared" si="10"/>
        <v>209.03075340741722</v>
      </c>
      <c r="AE60" s="124">
        <f t="shared" si="10"/>
        <v>206.56608966118404</v>
      </c>
      <c r="AF60" s="122">
        <f t="shared" si="10"/>
        <v>231.22015950889283</v>
      </c>
      <c r="AG60" s="125">
        <f t="shared" si="10"/>
        <v>320.43099643187537</v>
      </c>
      <c r="AH60" s="122">
        <f t="shared" si="10"/>
        <v>386.7158713429007</v>
      </c>
      <c r="AI60" s="123">
        <f t="shared" si="10"/>
        <v>375.90045321197044</v>
      </c>
      <c r="AJ60" s="123">
        <f t="shared" si="10"/>
        <v>273.36003081343284</v>
      </c>
      <c r="AK60" s="123">
        <f t="shared" si="10"/>
        <v>420.27882207965359</v>
      </c>
      <c r="AL60" s="124">
        <f t="shared" si="10"/>
        <v>432.36712096164018</v>
      </c>
      <c r="AM60" s="122">
        <f t="shared" si="10"/>
        <v>516.90060781534021</v>
      </c>
      <c r="AN60" s="125">
        <f t="shared" si="10"/>
        <v>604.05552306999812</v>
      </c>
      <c r="AO60" s="125">
        <f t="shared" si="10"/>
        <v>633.6997486168101</v>
      </c>
      <c r="AP60" s="125">
        <f t="shared" si="10"/>
        <v>606.87920793107628</v>
      </c>
      <c r="AQ60" s="3">
        <f t="shared" si="4"/>
        <v>9154.7850385284273</v>
      </c>
      <c r="AR60" s="110">
        <f t="shared" si="3"/>
        <v>11948.687246923291</v>
      </c>
    </row>
    <row r="61" spans="1:44" ht="13.9" x14ac:dyDescent="0.25">
      <c r="A61" s="118">
        <v>41</v>
      </c>
      <c r="B61" s="4" t="s">
        <v>33</v>
      </c>
      <c r="C61" s="4" t="s">
        <v>305</v>
      </c>
      <c r="D61" s="4" t="s">
        <v>138</v>
      </c>
      <c r="E61" s="4" t="s">
        <v>296</v>
      </c>
      <c r="F61" s="4" t="s">
        <v>129</v>
      </c>
      <c r="G61" s="119">
        <v>45698</v>
      </c>
      <c r="H61" s="4">
        <v>4</v>
      </c>
      <c r="I61" s="4" t="s">
        <v>1606</v>
      </c>
      <c r="J61" s="4" t="s">
        <v>520</v>
      </c>
      <c r="K61" s="120">
        <v>17407.859115587453</v>
      </c>
      <c r="L61" s="121">
        <f t="shared" si="11"/>
        <v>881.87655713915387</v>
      </c>
      <c r="M61" s="122">
        <f t="shared" si="11"/>
        <v>1103.702674602572</v>
      </c>
      <c r="N61" s="123">
        <f t="shared" si="11"/>
        <v>1009.7448499375914</v>
      </c>
      <c r="O61" s="123">
        <f t="shared" si="11"/>
        <v>493.70175271513841</v>
      </c>
      <c r="P61" s="123">
        <f t="shared" si="11"/>
        <v>438.99023181485717</v>
      </c>
      <c r="Q61" s="124">
        <f t="shared" si="11"/>
        <v>411.51500576590297</v>
      </c>
      <c r="R61" s="122">
        <f t="shared" si="11"/>
        <v>415.45514316178236</v>
      </c>
      <c r="S61" s="125">
        <f t="shared" si="11"/>
        <v>521.06636088583514</v>
      </c>
      <c r="T61" s="122">
        <f t="shared" si="11"/>
        <v>522.23577346762352</v>
      </c>
      <c r="U61" s="123">
        <f t="shared" si="11"/>
        <v>641.99697695214957</v>
      </c>
      <c r="V61" s="123">
        <f t="shared" si="11"/>
        <v>420.62495699205755</v>
      </c>
      <c r="W61" s="123">
        <f t="shared" si="11"/>
        <v>363.0858888701793</v>
      </c>
      <c r="X61" s="124">
        <f t="shared" si="11"/>
        <v>369.24751175332847</v>
      </c>
      <c r="Y61" s="122">
        <f t="shared" si="11"/>
        <v>399.63943661286521</v>
      </c>
      <c r="Z61" s="125">
        <f t="shared" si="11"/>
        <v>445.06957992027441</v>
      </c>
      <c r="AA61" s="122">
        <f t="shared" si="11"/>
        <v>568.68886771462542</v>
      </c>
      <c r="AB61" s="123">
        <f t="shared" si="10"/>
        <v>472.47308386732908</v>
      </c>
      <c r="AC61" s="123">
        <f t="shared" si="10"/>
        <v>327.58661138313403</v>
      </c>
      <c r="AD61" s="123">
        <f t="shared" si="10"/>
        <v>304.53369737988436</v>
      </c>
      <c r="AE61" s="124">
        <f t="shared" si="10"/>
        <v>300.9429665845185</v>
      </c>
      <c r="AF61" s="122">
        <f t="shared" si="10"/>
        <v>336.86110266639452</v>
      </c>
      <c r="AG61" s="125">
        <f t="shared" si="10"/>
        <v>466.83100217471133</v>
      </c>
      <c r="AH61" s="122">
        <f t="shared" si="10"/>
        <v>563.40041939186904</v>
      </c>
      <c r="AI61" s="123">
        <f t="shared" si="10"/>
        <v>547.6436026630787</v>
      </c>
      <c r="AJ61" s="123">
        <f t="shared" si="10"/>
        <v>398.25403459766648</v>
      </c>
      <c r="AK61" s="123">
        <f t="shared" si="10"/>
        <v>612.2977673477493</v>
      </c>
      <c r="AL61" s="124">
        <f t="shared" si="10"/>
        <v>629.90902451233205</v>
      </c>
      <c r="AM61" s="122">
        <f t="shared" si="10"/>
        <v>753.06456447154278</v>
      </c>
      <c r="AN61" s="125">
        <f t="shared" si="10"/>
        <v>880.0392232462724</v>
      </c>
      <c r="AO61" s="125">
        <f t="shared" si="10"/>
        <v>923.22744059981312</v>
      </c>
      <c r="AP61" s="125">
        <f t="shared" si="10"/>
        <v>884.15300639522241</v>
      </c>
      <c r="AQ61" s="3">
        <f t="shared" si="4"/>
        <v>13337.465856362272</v>
      </c>
      <c r="AR61" s="110">
        <f t="shared" si="3"/>
        <v>17407.859115587456</v>
      </c>
    </row>
    <row r="62" spans="1:44" ht="13.9" x14ac:dyDescent="0.25">
      <c r="A62" s="118">
        <v>52</v>
      </c>
      <c r="B62" s="4" t="s">
        <v>75</v>
      </c>
      <c r="C62" s="4" t="s">
        <v>315</v>
      </c>
      <c r="D62" s="4" t="s">
        <v>150</v>
      </c>
      <c r="E62" s="4" t="s">
        <v>294</v>
      </c>
      <c r="F62" s="4" t="s">
        <v>133</v>
      </c>
      <c r="G62" s="119">
        <v>45974</v>
      </c>
      <c r="H62" s="4">
        <v>4</v>
      </c>
      <c r="I62" s="4" t="s">
        <v>1607</v>
      </c>
      <c r="J62" s="4" t="s">
        <v>520</v>
      </c>
      <c r="K62" s="120">
        <v>24535.262492599646</v>
      </c>
      <c r="L62" s="121">
        <f t="shared" si="11"/>
        <v>1242.9485252499996</v>
      </c>
      <c r="M62" s="122">
        <f t="shared" si="11"/>
        <v>1555.598230394143</v>
      </c>
      <c r="N62" s="123">
        <f t="shared" si="11"/>
        <v>1423.1706942978324</v>
      </c>
      <c r="O62" s="123">
        <f t="shared" si="11"/>
        <v>695.84100006163612</v>
      </c>
      <c r="P62" s="123">
        <f t="shared" si="11"/>
        <v>618.72861549185484</v>
      </c>
      <c r="Q62" s="124">
        <f t="shared" si="11"/>
        <v>580.004044096916</v>
      </c>
      <c r="R62" s="122">
        <f t="shared" si="11"/>
        <v>585.55741540023996</v>
      </c>
      <c r="S62" s="125">
        <f t="shared" si="11"/>
        <v>734.40966264197561</v>
      </c>
      <c r="T62" s="122">
        <f t="shared" si="11"/>
        <v>736.05787477798935</v>
      </c>
      <c r="U62" s="123">
        <f t="shared" si="11"/>
        <v>904.85362067711537</v>
      </c>
      <c r="V62" s="123">
        <f t="shared" si="11"/>
        <v>592.84393688007515</v>
      </c>
      <c r="W62" s="123">
        <f t="shared" si="11"/>
        <v>511.74630559894018</v>
      </c>
      <c r="X62" s="124">
        <f t="shared" si="11"/>
        <v>520.43071841585606</v>
      </c>
      <c r="Y62" s="122">
        <f t="shared" si="11"/>
        <v>563.2661899768824</v>
      </c>
      <c r="Z62" s="125">
        <f t="shared" si="11"/>
        <v>627.29706727905591</v>
      </c>
      <c r="AA62" s="122">
        <f t="shared" si="11"/>
        <v>801.53053591201183</v>
      </c>
      <c r="AB62" s="123">
        <f t="shared" si="10"/>
        <v>665.92055096499257</v>
      </c>
      <c r="AC62" s="123">
        <f t="shared" si="10"/>
        <v>461.71234762289095</v>
      </c>
      <c r="AD62" s="123">
        <f t="shared" si="10"/>
        <v>429.220741818097</v>
      </c>
      <c r="AE62" s="124">
        <f t="shared" si="10"/>
        <v>424.15983673955827</v>
      </c>
      <c r="AF62" s="122">
        <f t="shared" si="10"/>
        <v>474.78414907815244</v>
      </c>
      <c r="AG62" s="125">
        <f t="shared" si="10"/>
        <v>657.96839818078763</v>
      </c>
      <c r="AH62" s="122">
        <f t="shared" si="10"/>
        <v>794.07680671327353</v>
      </c>
      <c r="AI62" s="123">
        <f t="shared" si="10"/>
        <v>771.86858271963581</v>
      </c>
      <c r="AJ62" s="123">
        <f t="shared" si="10"/>
        <v>561.31355456807205</v>
      </c>
      <c r="AK62" s="123">
        <f t="shared" si="10"/>
        <v>862.99448690148529</v>
      </c>
      <c r="AL62" s="124">
        <f t="shared" si="10"/>
        <v>887.81642591699597</v>
      </c>
      <c r="AM62" s="122">
        <f t="shared" si="10"/>
        <v>1061.3962716782369</v>
      </c>
      <c r="AN62" s="125">
        <f t="shared" si="10"/>
        <v>1240.3589208047276</v>
      </c>
      <c r="AO62" s="125">
        <f t="shared" si="10"/>
        <v>1301.2299470648002</v>
      </c>
      <c r="AP62" s="125">
        <f t="shared" si="10"/>
        <v>1246.1570346754186</v>
      </c>
      <c r="AQ62" s="3">
        <f t="shared" si="4"/>
        <v>18798.303892459466</v>
      </c>
      <c r="AR62" s="110">
        <f t="shared" si="3"/>
        <v>24535.262492599646</v>
      </c>
    </row>
    <row r="63" spans="1:44" ht="13.9" x14ac:dyDescent="0.25">
      <c r="A63" s="118">
        <v>16</v>
      </c>
      <c r="B63" s="4" t="s">
        <v>101</v>
      </c>
      <c r="C63" s="4" t="s">
        <v>262</v>
      </c>
      <c r="D63" s="4" t="s">
        <v>142</v>
      </c>
      <c r="E63" s="4" t="s">
        <v>270</v>
      </c>
      <c r="F63" s="4" t="s">
        <v>132</v>
      </c>
      <c r="G63" s="119">
        <v>46034</v>
      </c>
      <c r="H63" s="4">
        <v>3</v>
      </c>
      <c r="I63" s="4" t="s">
        <v>1607</v>
      </c>
      <c r="J63" s="4" t="s">
        <v>520</v>
      </c>
      <c r="K63" s="120">
        <v>12351.179142390265</v>
      </c>
      <c r="L63" s="121">
        <f t="shared" si="11"/>
        <v>625.70677223294388</v>
      </c>
      <c r="M63" s="122">
        <f t="shared" si="11"/>
        <v>783.09626493617236</v>
      </c>
      <c r="N63" s="123">
        <f t="shared" si="11"/>
        <v>716.43155237382541</v>
      </c>
      <c r="O63" s="123">
        <f t="shared" si="11"/>
        <v>350.28998972289509</v>
      </c>
      <c r="P63" s="123">
        <f t="shared" si="11"/>
        <v>311.47121302525295</v>
      </c>
      <c r="Q63" s="124">
        <f t="shared" si="11"/>
        <v>291.97706175397821</v>
      </c>
      <c r="R63" s="122">
        <f t="shared" si="11"/>
        <v>294.77265784072279</v>
      </c>
      <c r="S63" s="125">
        <f t="shared" si="11"/>
        <v>369.70565568350423</v>
      </c>
      <c r="T63" s="122">
        <f t="shared" si="11"/>
        <v>370.53537427170795</v>
      </c>
      <c r="U63" s="123">
        <f t="shared" si="11"/>
        <v>455.50803338641356</v>
      </c>
      <c r="V63" s="123">
        <f t="shared" si="11"/>
        <v>298.44073076839027</v>
      </c>
      <c r="W63" s="123">
        <f t="shared" si="11"/>
        <v>257.61576008470882</v>
      </c>
      <c r="X63" s="124">
        <f t="shared" si="11"/>
        <v>261.98753880444127</v>
      </c>
      <c r="Y63" s="122">
        <f t="shared" si="11"/>
        <v>283.55113866641864</v>
      </c>
      <c r="Z63" s="125">
        <f t="shared" si="11"/>
        <v>315.78461635764347</v>
      </c>
      <c r="AA63" s="122">
        <f t="shared" si="11"/>
        <v>403.49465346585691</v>
      </c>
      <c r="AB63" s="123">
        <f t="shared" si="10"/>
        <v>335.22787954881898</v>
      </c>
      <c r="AC63" s="123">
        <f t="shared" si="10"/>
        <v>232.42840460598075</v>
      </c>
      <c r="AD63" s="123">
        <f t="shared" si="10"/>
        <v>216.07196073096694</v>
      </c>
      <c r="AE63" s="124">
        <f t="shared" si="10"/>
        <v>213.52427471103874</v>
      </c>
      <c r="AF63" s="122">
        <f t="shared" si="10"/>
        <v>239.00881765582642</v>
      </c>
      <c r="AG63" s="125">
        <f t="shared" si="10"/>
        <v>331.2247243498478</v>
      </c>
      <c r="AH63" s="122">
        <f t="shared" si="10"/>
        <v>399.74240730014958</v>
      </c>
      <c r="AI63" s="123">
        <f t="shared" si="10"/>
        <v>388.56267147859541</v>
      </c>
      <c r="AJ63" s="123">
        <f t="shared" si="10"/>
        <v>282.56817181447383</v>
      </c>
      <c r="AK63" s="123">
        <f t="shared" si="10"/>
        <v>434.43592705928427</v>
      </c>
      <c r="AL63" s="124">
        <f t="shared" si="10"/>
        <v>446.93142065893619</v>
      </c>
      <c r="AM63" s="122">
        <f t="shared" si="10"/>
        <v>534.31242060349393</v>
      </c>
      <c r="AN63" s="125">
        <f t="shared" si="10"/>
        <v>624.40315184489486</v>
      </c>
      <c r="AO63" s="125">
        <f t="shared" si="10"/>
        <v>655.04594403617739</v>
      </c>
      <c r="AP63" s="125">
        <f t="shared" si="10"/>
        <v>627.32195261690549</v>
      </c>
      <c r="AQ63" s="3">
        <f t="shared" si="4"/>
        <v>9463.1642526298583</v>
      </c>
      <c r="AR63" s="110">
        <f t="shared" si="3"/>
        <v>12351.179142390267</v>
      </c>
    </row>
    <row r="64" spans="1:44" ht="13.9" x14ac:dyDescent="0.25">
      <c r="A64" s="118">
        <v>43</v>
      </c>
      <c r="B64" s="4" t="s">
        <v>46</v>
      </c>
      <c r="C64" s="4" t="s">
        <v>307</v>
      </c>
      <c r="D64" s="4" t="s">
        <v>138</v>
      </c>
      <c r="E64" s="4" t="s">
        <v>296</v>
      </c>
      <c r="F64" s="4" t="s">
        <v>129</v>
      </c>
      <c r="G64" s="119">
        <v>45724</v>
      </c>
      <c r="H64" s="4">
        <v>3</v>
      </c>
      <c r="I64" s="4" t="s">
        <v>1607</v>
      </c>
      <c r="J64" s="4" t="s">
        <v>520</v>
      </c>
      <c r="K64" s="120">
        <v>8514.4999682968864</v>
      </c>
      <c r="L64" s="121">
        <f t="shared" si="11"/>
        <v>431.34183634790406</v>
      </c>
      <c r="M64" s="122">
        <f t="shared" si="11"/>
        <v>539.841018100729</v>
      </c>
      <c r="N64" s="123">
        <f t="shared" si="11"/>
        <v>493.88454006289402</v>
      </c>
      <c r="O64" s="123">
        <f t="shared" si="11"/>
        <v>241.47849140605285</v>
      </c>
      <c r="P64" s="123">
        <f t="shared" si="11"/>
        <v>214.71809313549281</v>
      </c>
      <c r="Q64" s="124">
        <f t="shared" si="11"/>
        <v>201.27946120669367</v>
      </c>
      <c r="R64" s="122">
        <f t="shared" si="11"/>
        <v>203.20665394817564</v>
      </c>
      <c r="S64" s="125">
        <f t="shared" si="11"/>
        <v>254.86301812210507</v>
      </c>
      <c r="T64" s="122">
        <f t="shared" si="11"/>
        <v>255.43499904890658</v>
      </c>
      <c r="U64" s="123">
        <f t="shared" si="11"/>
        <v>314.01237817987169</v>
      </c>
      <c r="V64" s="123">
        <f t="shared" si="11"/>
        <v>205.7353037609814</v>
      </c>
      <c r="W64" s="123">
        <f t="shared" si="11"/>
        <v>177.59190080450406</v>
      </c>
      <c r="X64" s="124">
        <f t="shared" si="11"/>
        <v>180.60566243336822</v>
      </c>
      <c r="Y64" s="122">
        <f t="shared" si="11"/>
        <v>195.47090470898473</v>
      </c>
      <c r="Z64" s="125">
        <f t="shared" si="11"/>
        <v>217.69161267670344</v>
      </c>
      <c r="AA64" s="122">
        <f t="shared" si="11"/>
        <v>278.15605089492169</v>
      </c>
      <c r="AB64" s="123">
        <f t="shared" si="10"/>
        <v>231.09516402320378</v>
      </c>
      <c r="AC64" s="123">
        <f t="shared" si="10"/>
        <v>160.22855962446434</v>
      </c>
      <c r="AD64" s="123">
        <f t="shared" si="10"/>
        <v>148.95296081323187</v>
      </c>
      <c r="AE64" s="124">
        <f t="shared" si="10"/>
        <v>147.19666918424406</v>
      </c>
      <c r="AF64" s="122">
        <f t="shared" si="10"/>
        <v>164.76488170823978</v>
      </c>
      <c r="AG64" s="125">
        <f t="shared" si="10"/>
        <v>228.33551942394882</v>
      </c>
      <c r="AH64" s="122">
        <f t="shared" si="10"/>
        <v>275.56937479779447</v>
      </c>
      <c r="AI64" s="123">
        <f t="shared" si="10"/>
        <v>267.86242963889129</v>
      </c>
      <c r="AJ64" s="123">
        <f t="shared" si="10"/>
        <v>194.79327942857762</v>
      </c>
      <c r="AK64" s="123">
        <f t="shared" si="10"/>
        <v>299.48595551318783</v>
      </c>
      <c r="AL64" s="124">
        <f t="shared" si="10"/>
        <v>308.09994116035097</v>
      </c>
      <c r="AM64" s="122">
        <f t="shared" si="10"/>
        <v>368.33755189212297</v>
      </c>
      <c r="AN64" s="125">
        <f t="shared" si="10"/>
        <v>430.44316298038569</v>
      </c>
      <c r="AO64" s="125">
        <f t="shared" si="10"/>
        <v>451.56730425737078</v>
      </c>
      <c r="AP64" s="125">
        <f t="shared" si="10"/>
        <v>432.4552890125841</v>
      </c>
      <c r="AQ64" s="3">
        <f t="shared" si="4"/>
        <v>6523.5967189940748</v>
      </c>
      <c r="AR64" s="110">
        <f t="shared" si="3"/>
        <v>8514.4999682968883</v>
      </c>
    </row>
    <row r="65" spans="1:44" ht="13.9" x14ac:dyDescent="0.25">
      <c r="A65" s="118">
        <v>84</v>
      </c>
      <c r="B65" s="4" t="s">
        <v>88</v>
      </c>
      <c r="C65" s="4" t="s">
        <v>349</v>
      </c>
      <c r="D65" s="4" t="s">
        <v>145</v>
      </c>
      <c r="E65" s="4" t="s">
        <v>343</v>
      </c>
      <c r="F65" s="4" t="s">
        <v>127</v>
      </c>
      <c r="G65" s="119">
        <v>45963</v>
      </c>
      <c r="H65" s="4">
        <v>4</v>
      </c>
      <c r="I65" s="4" t="s">
        <v>1606</v>
      </c>
      <c r="J65" s="4" t="s">
        <v>520</v>
      </c>
      <c r="K65" s="120">
        <v>12617.303225023456</v>
      </c>
      <c r="L65" s="121">
        <f t="shared" si="11"/>
        <v>639.1885328679565</v>
      </c>
      <c r="M65" s="122">
        <f t="shared" si="11"/>
        <v>799.96921064581466</v>
      </c>
      <c r="N65" s="123">
        <f t="shared" si="11"/>
        <v>731.86811008600341</v>
      </c>
      <c r="O65" s="123">
        <f t="shared" si="11"/>
        <v>357.83749600516205</v>
      </c>
      <c r="P65" s="123">
        <f t="shared" si="11"/>
        <v>318.18231241725408</v>
      </c>
      <c r="Q65" s="124">
        <f t="shared" si="11"/>
        <v>298.26813136064692</v>
      </c>
      <c r="R65" s="122">
        <f t="shared" si="11"/>
        <v>301.12396262295016</v>
      </c>
      <c r="S65" s="125">
        <f t="shared" si="11"/>
        <v>377.67150067116216</v>
      </c>
      <c r="T65" s="122">
        <f t="shared" si="11"/>
        <v>378.51909675070362</v>
      </c>
      <c r="U65" s="123">
        <f t="shared" si="11"/>
        <v>465.3226151457344</v>
      </c>
      <c r="V65" s="123">
        <f t="shared" si="11"/>
        <v>304.87106950613338</v>
      </c>
      <c r="W65" s="123">
        <f t="shared" si="11"/>
        <v>263.16646557072181</v>
      </c>
      <c r="X65" s="124">
        <f t="shared" si="11"/>
        <v>267.63244060870471</v>
      </c>
      <c r="Y65" s="122">
        <f t="shared" si="11"/>
        <v>289.66065952975168</v>
      </c>
      <c r="Z65" s="125">
        <f t="shared" si="11"/>
        <v>322.58865428544152</v>
      </c>
      <c r="AA65" s="122">
        <f t="shared" si="11"/>
        <v>412.18853145621517</v>
      </c>
      <c r="AB65" s="123">
        <f t="shared" si="10"/>
        <v>342.45085080439856</v>
      </c>
      <c r="AC65" s="123">
        <f t="shared" si="10"/>
        <v>237.43641195819961</v>
      </c>
      <c r="AD65" s="123">
        <f t="shared" si="10"/>
        <v>220.72754475815765</v>
      </c>
      <c r="AE65" s="124">
        <f t="shared" si="10"/>
        <v>218.12496514490738</v>
      </c>
      <c r="AF65" s="122">
        <f t="shared" si="10"/>
        <v>244.15860955881968</v>
      </c>
      <c r="AG65" s="125">
        <f t="shared" si="10"/>
        <v>338.36144181599701</v>
      </c>
      <c r="AH65" s="122">
        <f t="shared" si="10"/>
        <v>408.35543770039908</v>
      </c>
      <c r="AI65" s="123">
        <f t="shared" si="10"/>
        <v>396.93481824293514</v>
      </c>
      <c r="AJ65" s="123">
        <f t="shared" si="10"/>
        <v>288.65651323018352</v>
      </c>
      <c r="AK65" s="123">
        <f t="shared" si="10"/>
        <v>443.79647970115758</v>
      </c>
      <c r="AL65" s="124">
        <f t="shared" si="10"/>
        <v>456.56120684790005</v>
      </c>
      <c r="AM65" s="122">
        <f t="shared" si="10"/>
        <v>545.82495727172216</v>
      </c>
      <c r="AN65" s="125">
        <f t="shared" si="10"/>
        <v>637.85682408641321</v>
      </c>
      <c r="AO65" s="125">
        <f t="shared" si="10"/>
        <v>669.15985971414921</v>
      </c>
      <c r="AP65" s="125">
        <f t="shared" si="10"/>
        <v>640.8385146577607</v>
      </c>
      <c r="AQ65" s="3">
        <f t="shared" si="4"/>
        <v>9667.061862445511</v>
      </c>
      <c r="AR65" s="110">
        <f t="shared" si="3"/>
        <v>12617.303225023456</v>
      </c>
    </row>
    <row r="66" spans="1:44" ht="13.9" x14ac:dyDescent="0.25">
      <c r="A66" s="118">
        <v>98</v>
      </c>
      <c r="B66" s="4" t="s">
        <v>82</v>
      </c>
      <c r="C66" s="4" t="s">
        <v>362</v>
      </c>
      <c r="D66" s="4" t="s">
        <v>147</v>
      </c>
      <c r="E66" s="4" t="s">
        <v>341</v>
      </c>
      <c r="F66" s="4" t="s">
        <v>127</v>
      </c>
      <c r="G66" s="119">
        <v>46061</v>
      </c>
      <c r="H66" s="4">
        <v>6</v>
      </c>
      <c r="I66" s="4" t="s">
        <v>1608</v>
      </c>
      <c r="J66" s="4" t="s">
        <v>520</v>
      </c>
      <c r="K66" s="120">
        <v>11182.232389751878</v>
      </c>
      <c r="L66" s="121">
        <f t="shared" si="11"/>
        <v>566.48830482400956</v>
      </c>
      <c r="M66" s="122">
        <f t="shared" si="11"/>
        <v>708.98205888772577</v>
      </c>
      <c r="N66" s="123">
        <f t="shared" si="11"/>
        <v>648.62666289887693</v>
      </c>
      <c r="O66" s="123">
        <f t="shared" si="11"/>
        <v>317.13766141093851</v>
      </c>
      <c r="P66" s="123">
        <f t="shared" si="11"/>
        <v>281.9927916689785</v>
      </c>
      <c r="Q66" s="124">
        <f t="shared" si="11"/>
        <v>264.34361605235921</v>
      </c>
      <c r="R66" s="122">
        <f t="shared" si="11"/>
        <v>266.87462987294003</v>
      </c>
      <c r="S66" s="125">
        <f t="shared" si="11"/>
        <v>334.7157797646903</v>
      </c>
      <c r="T66" s="122">
        <f t="shared" si="11"/>
        <v>335.46697169255634</v>
      </c>
      <c r="U66" s="123">
        <f t="shared" si="11"/>
        <v>412.39760398617244</v>
      </c>
      <c r="V66" s="123">
        <f t="shared" si="11"/>
        <v>270.19554712520141</v>
      </c>
      <c r="W66" s="123">
        <f t="shared" si="11"/>
        <v>233.23435465711233</v>
      </c>
      <c r="X66" s="124">
        <f t="shared" si="11"/>
        <v>237.19237721002301</v>
      </c>
      <c r="Y66" s="122">
        <f t="shared" si="11"/>
        <v>256.71514358207543</v>
      </c>
      <c r="Z66" s="125">
        <f t="shared" si="11"/>
        <v>285.89796362847017</v>
      </c>
      <c r="AA66" s="122">
        <f t="shared" si="11"/>
        <v>365.3069015566424</v>
      </c>
      <c r="AB66" s="123">
        <f t="shared" si="10"/>
        <v>303.5010673412674</v>
      </c>
      <c r="AC66" s="123">
        <f t="shared" si="10"/>
        <v>210.4307940416098</v>
      </c>
      <c r="AD66" s="123">
        <f t="shared" si="10"/>
        <v>195.62236527770295</v>
      </c>
      <c r="AE66" s="124">
        <f t="shared" si="10"/>
        <v>193.31579868980666</v>
      </c>
      <c r="AF66" s="122">
        <f t="shared" si="10"/>
        <v>216.38842019985933</v>
      </c>
      <c r="AG66" s="125">
        <f t="shared" si="10"/>
        <v>299.87678084917815</v>
      </c>
      <c r="AH66" s="122">
        <f t="shared" si="10"/>
        <v>361.90977743393495</v>
      </c>
      <c r="AI66" s="123">
        <f t="shared" si="10"/>
        <v>351.78812001390833</v>
      </c>
      <c r="AJ66" s="123">
        <f t="shared" si="10"/>
        <v>255.82520719275169</v>
      </c>
      <c r="AK66" s="123">
        <f t="shared" si="10"/>
        <v>393.31981496092806</v>
      </c>
      <c r="AL66" s="124">
        <f t="shared" si="10"/>
        <v>404.63270352364094</v>
      </c>
      <c r="AM66" s="122">
        <f t="shared" si="10"/>
        <v>483.74374519539538</v>
      </c>
      <c r="AN66" s="125">
        <f t="shared" si="10"/>
        <v>565.30806235815862</v>
      </c>
      <c r="AO66" s="125">
        <f t="shared" si="10"/>
        <v>593.05074339318423</v>
      </c>
      <c r="AP66" s="125">
        <f t="shared" si="10"/>
        <v>567.95062046178055</v>
      </c>
      <c r="AQ66" s="3">
        <f t="shared" si="4"/>
        <v>8567.54651481972</v>
      </c>
      <c r="AR66" s="110">
        <f t="shared" si="3"/>
        <v>11182.23238975188</v>
      </c>
    </row>
    <row r="67" spans="1:44" ht="13.9" x14ac:dyDescent="0.25">
      <c r="A67" s="118">
        <v>30</v>
      </c>
      <c r="B67" s="4" t="s">
        <v>67</v>
      </c>
      <c r="C67" s="4" t="s">
        <v>289</v>
      </c>
      <c r="D67" s="4" t="s">
        <v>136</v>
      </c>
      <c r="E67" s="4" t="s">
        <v>266</v>
      </c>
      <c r="F67" s="4" t="s">
        <v>126</v>
      </c>
      <c r="G67" s="119">
        <v>45874</v>
      </c>
      <c r="H67" s="4">
        <v>5</v>
      </c>
      <c r="I67" s="4" t="s">
        <v>1607</v>
      </c>
      <c r="J67" s="4" t="s">
        <v>520</v>
      </c>
      <c r="K67" s="120">
        <v>18713.551707823121</v>
      </c>
      <c r="L67" s="121">
        <f t="shared" si="11"/>
        <v>948.02252490447427</v>
      </c>
      <c r="M67" s="122">
        <f t="shared" si="11"/>
        <v>1186.4869157140406</v>
      </c>
      <c r="N67" s="123">
        <f t="shared" si="11"/>
        <v>1085.4816974073117</v>
      </c>
      <c r="O67" s="123">
        <f t="shared" si="11"/>
        <v>530.73230983383144</v>
      </c>
      <c r="P67" s="123">
        <f t="shared" si="11"/>
        <v>471.91710064683383</v>
      </c>
      <c r="Q67" s="124">
        <f t="shared" si="11"/>
        <v>442.38106982666011</v>
      </c>
      <c r="R67" s="122">
        <f t="shared" si="11"/>
        <v>446.61674087639267</v>
      </c>
      <c r="S67" s="125">
        <f t="shared" si="11"/>
        <v>560.14942577935938</v>
      </c>
      <c r="T67" s="122">
        <f t="shared" si="11"/>
        <v>561.40655123469355</v>
      </c>
      <c r="U67" s="123">
        <f t="shared" si="11"/>
        <v>690.15055468265416</v>
      </c>
      <c r="V67" s="123">
        <f t="shared" si="11"/>
        <v>452.17432138013453</v>
      </c>
      <c r="W67" s="123">
        <f t="shared" si="11"/>
        <v>390.31948217394137</v>
      </c>
      <c r="X67" s="124">
        <f t="shared" si="11"/>
        <v>396.94326328696002</v>
      </c>
      <c r="Y67" s="122">
        <f t="shared" si="11"/>
        <v>429.61476261279904</v>
      </c>
      <c r="Z67" s="125">
        <f t="shared" si="11"/>
        <v>478.45243588623225</v>
      </c>
      <c r="AA67" s="122">
        <f t="shared" si="11"/>
        <v>611.34390283017228</v>
      </c>
      <c r="AB67" s="123">
        <f t="shared" si="10"/>
        <v>507.91136502184048</v>
      </c>
      <c r="AC67" s="123">
        <f t="shared" si="10"/>
        <v>352.15754850747834</v>
      </c>
      <c r="AD67" s="123">
        <f t="shared" si="10"/>
        <v>327.37552934295491</v>
      </c>
      <c r="AE67" s="124">
        <f t="shared" si="10"/>
        <v>323.51547245934972</v>
      </c>
      <c r="AF67" s="122">
        <f t="shared" si="10"/>
        <v>362.12768159740205</v>
      </c>
      <c r="AG67" s="125">
        <f t="shared" si="10"/>
        <v>501.84609376743208</v>
      </c>
      <c r="AH67" s="122">
        <f t="shared" si="10"/>
        <v>605.65878954398795</v>
      </c>
      <c r="AI67" s="123">
        <f t="shared" si="10"/>
        <v>588.72011818601038</v>
      </c>
      <c r="AJ67" s="123">
        <f t="shared" si="10"/>
        <v>428.12544723660045</v>
      </c>
      <c r="AK67" s="123">
        <f t="shared" si="10"/>
        <v>658.22372836110128</v>
      </c>
      <c r="AL67" s="124">
        <f t="shared" si="10"/>
        <v>677.15593417692651</v>
      </c>
      <c r="AM67" s="122">
        <f t="shared" si="10"/>
        <v>809.54886944993189</v>
      </c>
      <c r="AN67" s="125">
        <f t="shared" si="10"/>
        <v>946.04738008162906</v>
      </c>
      <c r="AO67" s="125">
        <f t="shared" si="10"/>
        <v>992.47496966905283</v>
      </c>
      <c r="AP67" s="125">
        <f t="shared" si="10"/>
        <v>950.46972134493319</v>
      </c>
      <c r="AQ67" s="3">
        <f t="shared" si="4"/>
        <v>14337.85483310065</v>
      </c>
      <c r="AR67" s="110">
        <f t="shared" si="3"/>
        <v>18713.551707823124</v>
      </c>
    </row>
    <row r="68" spans="1:44" ht="13.9" x14ac:dyDescent="0.25">
      <c r="A68" s="118">
        <v>22</v>
      </c>
      <c r="B68" s="4" t="s">
        <v>43</v>
      </c>
      <c r="C68" s="4" t="s">
        <v>286</v>
      </c>
      <c r="D68" s="4" t="s">
        <v>156</v>
      </c>
      <c r="E68" s="4" t="s">
        <v>285</v>
      </c>
      <c r="F68" s="4" t="s">
        <v>131</v>
      </c>
      <c r="G68" s="119">
        <v>45726</v>
      </c>
      <c r="H68" s="4">
        <v>5</v>
      </c>
      <c r="I68" s="4" t="s">
        <v>1606</v>
      </c>
      <c r="J68" s="4" t="s">
        <v>520</v>
      </c>
      <c r="K68" s="120">
        <v>18602.638786447802</v>
      </c>
      <c r="L68" s="121">
        <f t="shared" si="11"/>
        <v>942.40371189620907</v>
      </c>
      <c r="M68" s="122">
        <f t="shared" si="11"/>
        <v>1179.4547535649162</v>
      </c>
      <c r="N68" s="123">
        <f t="shared" si="11"/>
        <v>1079.0481807751614</v>
      </c>
      <c r="O68" s="123">
        <f t="shared" si="11"/>
        <v>527.58672465197992</v>
      </c>
      <c r="P68" s="123">
        <f t="shared" si="11"/>
        <v>469.12010598238277</v>
      </c>
      <c r="Q68" s="124">
        <f t="shared" si="11"/>
        <v>439.75913158737319</v>
      </c>
      <c r="R68" s="122">
        <f t="shared" si="11"/>
        <v>443.96969833529039</v>
      </c>
      <c r="S68" s="125">
        <f t="shared" si="11"/>
        <v>556.82948896619291</v>
      </c>
      <c r="T68" s="122">
        <f t="shared" si="11"/>
        <v>558.07916359343403</v>
      </c>
      <c r="U68" s="123">
        <f t="shared" si="11"/>
        <v>686.06011715354259</v>
      </c>
      <c r="V68" s="123">
        <f t="shared" si="11"/>
        <v>449.4943397423246</v>
      </c>
      <c r="W68" s="123">
        <f t="shared" si="11"/>
        <v>388.00610656713366</v>
      </c>
      <c r="X68" s="124">
        <f t="shared" si="11"/>
        <v>394.59062934345246</v>
      </c>
      <c r="Y68" s="122">
        <f t="shared" si="11"/>
        <v>427.06848870759325</v>
      </c>
      <c r="Z68" s="125">
        <f t="shared" si="11"/>
        <v>475.6167070929057</v>
      </c>
      <c r="AA68" s="122">
        <f t="shared" ref="AA68:AP83" si="12">$K68*AA$4</f>
        <v>607.72054264251017</v>
      </c>
      <c r="AB68" s="123">
        <f t="shared" si="12"/>
        <v>504.90103677555959</v>
      </c>
      <c r="AC68" s="123">
        <f t="shared" si="12"/>
        <v>350.07035399201891</v>
      </c>
      <c r="AD68" s="123">
        <f t="shared" si="12"/>
        <v>325.43521480976881</v>
      </c>
      <c r="AE68" s="124">
        <f t="shared" si="12"/>
        <v>321.59803600897334</v>
      </c>
      <c r="AF68" s="122">
        <f t="shared" si="12"/>
        <v>359.98139532828895</v>
      </c>
      <c r="AG68" s="125">
        <f t="shared" si="12"/>
        <v>498.871713638551</v>
      </c>
      <c r="AH68" s="122">
        <f t="shared" si="12"/>
        <v>602.06912432416334</v>
      </c>
      <c r="AI68" s="123">
        <f t="shared" si="12"/>
        <v>585.23084638983198</v>
      </c>
      <c r="AJ68" s="123">
        <f t="shared" si="12"/>
        <v>425.58800032061629</v>
      </c>
      <c r="AK68" s="123">
        <f t="shared" si="12"/>
        <v>654.32251720829993</v>
      </c>
      <c r="AL68" s="124">
        <f t="shared" si="12"/>
        <v>673.14251416672084</v>
      </c>
      <c r="AM68" s="122">
        <f t="shared" si="12"/>
        <v>804.75077278134268</v>
      </c>
      <c r="AN68" s="125">
        <f t="shared" si="12"/>
        <v>940.44027351401496</v>
      </c>
      <c r="AO68" s="125">
        <f t="shared" si="12"/>
        <v>986.59269248316411</v>
      </c>
      <c r="AP68" s="125">
        <f t="shared" si="12"/>
        <v>944.83640410408668</v>
      </c>
      <c r="AQ68" s="3">
        <f t="shared" si="4"/>
        <v>14252.876129398477</v>
      </c>
      <c r="AR68" s="110">
        <f t="shared" si="3"/>
        <v>18602.638786447809</v>
      </c>
    </row>
    <row r="69" spans="1:44" ht="13.9" x14ac:dyDescent="0.25">
      <c r="A69" s="118">
        <v>87</v>
      </c>
      <c r="B69" s="4" t="s">
        <v>64</v>
      </c>
      <c r="C69" s="4" t="s">
        <v>351</v>
      </c>
      <c r="D69" s="4" t="s">
        <v>145</v>
      </c>
      <c r="E69" s="4" t="s">
        <v>343</v>
      </c>
      <c r="F69" s="4" t="s">
        <v>127</v>
      </c>
      <c r="G69" s="119">
        <v>45832</v>
      </c>
      <c r="H69" s="4">
        <v>4</v>
      </c>
      <c r="I69" s="4" t="s">
        <v>1606</v>
      </c>
      <c r="J69" s="4" t="s">
        <v>520</v>
      </c>
      <c r="K69" s="120">
        <v>15502.736133693283</v>
      </c>
      <c r="L69" s="121">
        <f t="shared" ref="L69:AA84" si="13">$K69*L$4</f>
        <v>785.36363817285087</v>
      </c>
      <c r="M69" s="122">
        <f t="shared" si="13"/>
        <v>982.91301766649178</v>
      </c>
      <c r="N69" s="123">
        <f t="shared" si="13"/>
        <v>899.23797446874846</v>
      </c>
      <c r="O69" s="123">
        <f t="shared" si="13"/>
        <v>439.67083776725502</v>
      </c>
      <c r="P69" s="123">
        <f t="shared" si="13"/>
        <v>390.94696733848849</v>
      </c>
      <c r="Q69" s="124">
        <f t="shared" si="13"/>
        <v>366.47864088764334</v>
      </c>
      <c r="R69" s="122">
        <f t="shared" si="13"/>
        <v>369.98756808961735</v>
      </c>
      <c r="S69" s="125">
        <f t="shared" si="13"/>
        <v>464.04065240415974</v>
      </c>
      <c r="T69" s="122">
        <f t="shared" si="13"/>
        <v>465.08208401079844</v>
      </c>
      <c r="U69" s="123">
        <f t="shared" si="13"/>
        <v>571.73657405154574</v>
      </c>
      <c r="V69" s="123">
        <f t="shared" si="13"/>
        <v>374.59159545098942</v>
      </c>
      <c r="W69" s="123">
        <f t="shared" si="13"/>
        <v>323.34962568611758</v>
      </c>
      <c r="X69" s="124">
        <f t="shared" si="13"/>
        <v>328.83691812561432</v>
      </c>
      <c r="Y69" s="122">
        <f t="shared" si="13"/>
        <v>355.9027387164154</v>
      </c>
      <c r="Z69" s="125">
        <f t="shared" si="13"/>
        <v>396.36098918444657</v>
      </c>
      <c r="AA69" s="122">
        <f t="shared" si="13"/>
        <v>506.45133326328204</v>
      </c>
      <c r="AB69" s="123">
        <f t="shared" si="12"/>
        <v>420.76544282857145</v>
      </c>
      <c r="AC69" s="123">
        <f t="shared" si="12"/>
        <v>291.73540315799312</v>
      </c>
      <c r="AD69" s="123">
        <f t="shared" si="12"/>
        <v>271.20540917469555</v>
      </c>
      <c r="AE69" s="124">
        <f t="shared" si="12"/>
        <v>268.00764937677536</v>
      </c>
      <c r="AF69" s="122">
        <f t="shared" si="12"/>
        <v>299.99489044956255</v>
      </c>
      <c r="AG69" s="125">
        <f t="shared" si="12"/>
        <v>415.74083278637085</v>
      </c>
      <c r="AH69" s="122">
        <f t="shared" si="12"/>
        <v>501.74165481517502</v>
      </c>
      <c r="AI69" s="123">
        <f t="shared" si="12"/>
        <v>487.70927033690964</v>
      </c>
      <c r="AJ69" s="123">
        <f t="shared" si="12"/>
        <v>354.66895564532649</v>
      </c>
      <c r="AK69" s="123">
        <f t="shared" si="12"/>
        <v>545.28765768457015</v>
      </c>
      <c r="AL69" s="124">
        <f t="shared" si="12"/>
        <v>560.97153190438564</v>
      </c>
      <c r="AM69" s="122">
        <f t="shared" si="12"/>
        <v>670.64888089445026</v>
      </c>
      <c r="AN69" s="125">
        <f t="shared" si="12"/>
        <v>783.72738282739454</v>
      </c>
      <c r="AO69" s="125">
        <f t="shared" si="12"/>
        <v>822.18906460404764</v>
      </c>
      <c r="AP69" s="125">
        <f t="shared" si="12"/>
        <v>787.39095192259128</v>
      </c>
      <c r="AQ69" s="3">
        <f t="shared" si="4"/>
        <v>11877.808321540413</v>
      </c>
      <c r="AR69" s="110">
        <f t="shared" ref="AR69:AR116" si="14">SUM(L69:AP69)</f>
        <v>15502.736133693283</v>
      </c>
    </row>
    <row r="70" spans="1:44" ht="13.9" x14ac:dyDescent="0.25">
      <c r="A70" s="118">
        <v>50</v>
      </c>
      <c r="B70" s="4" t="s">
        <v>76</v>
      </c>
      <c r="C70" s="4" t="s">
        <v>314</v>
      </c>
      <c r="D70" s="4" t="s">
        <v>138</v>
      </c>
      <c r="E70" s="4" t="s">
        <v>296</v>
      </c>
      <c r="F70" s="4" t="s">
        <v>128</v>
      </c>
      <c r="G70" s="119">
        <v>45989</v>
      </c>
      <c r="H70" s="4">
        <v>5</v>
      </c>
      <c r="I70" s="4" t="s">
        <v>1606</v>
      </c>
      <c r="J70" s="4" t="s">
        <v>520</v>
      </c>
      <c r="K70" s="120">
        <v>26139.789967984554</v>
      </c>
      <c r="L70" s="121">
        <f t="shared" si="13"/>
        <v>1324.2333723085676</v>
      </c>
      <c r="M70" s="122">
        <f t="shared" si="13"/>
        <v>1657.3293654117688</v>
      </c>
      <c r="N70" s="123">
        <f t="shared" si="13"/>
        <v>1516.2414931878889</v>
      </c>
      <c r="O70" s="123">
        <f t="shared" si="13"/>
        <v>741.34676970379769</v>
      </c>
      <c r="P70" s="123">
        <f t="shared" si="13"/>
        <v>659.19148250470971</v>
      </c>
      <c r="Q70" s="124">
        <f t="shared" si="13"/>
        <v>617.93444834136051</v>
      </c>
      <c r="R70" s="122">
        <f t="shared" si="13"/>
        <v>623.85099231666561</v>
      </c>
      <c r="S70" s="125">
        <f t="shared" si="13"/>
        <v>782.43769911611707</v>
      </c>
      <c r="T70" s="122">
        <f t="shared" si="13"/>
        <v>784.19369903953657</v>
      </c>
      <c r="U70" s="123">
        <f t="shared" si="13"/>
        <v>964.02814534404558</v>
      </c>
      <c r="V70" s="123">
        <f t="shared" si="13"/>
        <v>631.61402893131572</v>
      </c>
      <c r="W70" s="123">
        <f t="shared" si="13"/>
        <v>545.21287266778188</v>
      </c>
      <c r="X70" s="124">
        <f t="shared" si="13"/>
        <v>554.46521822951877</v>
      </c>
      <c r="Y70" s="122">
        <f t="shared" si="13"/>
        <v>600.10199224498035</v>
      </c>
      <c r="Z70" s="125">
        <f t="shared" si="13"/>
        <v>668.3202835573087</v>
      </c>
      <c r="AA70" s="122">
        <f t="shared" si="13"/>
        <v>853.94806222210207</v>
      </c>
      <c r="AB70" s="123">
        <f t="shared" si="12"/>
        <v>709.46961919970443</v>
      </c>
      <c r="AC70" s="123">
        <f t="shared" si="12"/>
        <v>491.90685431336743</v>
      </c>
      <c r="AD70" s="123">
        <f t="shared" si="12"/>
        <v>457.29040169884837</v>
      </c>
      <c r="AE70" s="124">
        <f t="shared" si="12"/>
        <v>451.89852965994885</v>
      </c>
      <c r="AF70" s="122">
        <f t="shared" si="12"/>
        <v>505.8335096587827</v>
      </c>
      <c r="AG70" s="125">
        <f t="shared" si="12"/>
        <v>700.99742112824958</v>
      </c>
      <c r="AH70" s="122">
        <f t="shared" si="12"/>
        <v>846.00688304001596</v>
      </c>
      <c r="AI70" s="123">
        <f t="shared" si="12"/>
        <v>822.34631242534476</v>
      </c>
      <c r="AJ70" s="123">
        <f t="shared" si="12"/>
        <v>598.02166074309628</v>
      </c>
      <c r="AK70" s="123">
        <f t="shared" si="12"/>
        <v>919.43155847374942</v>
      </c>
      <c r="AL70" s="124">
        <f t="shared" si="12"/>
        <v>945.8767726897895</v>
      </c>
      <c r="AM70" s="122">
        <f t="shared" si="12"/>
        <v>1130.8081836434137</v>
      </c>
      <c r="AN70" s="125">
        <f t="shared" si="12"/>
        <v>1321.4744160381797</v>
      </c>
      <c r="AO70" s="125">
        <f t="shared" si="12"/>
        <v>1386.3262121848031</v>
      </c>
      <c r="AP70" s="125">
        <f t="shared" si="12"/>
        <v>1327.6517079597979</v>
      </c>
      <c r="AQ70" s="3">
        <f t="shared" ref="AQ70:AQ116" si="15">SUM(L70:AK70)</f>
        <v>20027.652675468569</v>
      </c>
      <c r="AR70" s="110">
        <f t="shared" si="14"/>
        <v>26139.78996798455</v>
      </c>
    </row>
    <row r="71" spans="1:44" ht="13.9" x14ac:dyDescent="0.25">
      <c r="A71" s="118">
        <v>89</v>
      </c>
      <c r="B71" s="4" t="s">
        <v>58</v>
      </c>
      <c r="C71" s="4" t="s">
        <v>353</v>
      </c>
      <c r="D71" s="4" t="s">
        <v>145</v>
      </c>
      <c r="E71" s="4" t="s">
        <v>343</v>
      </c>
      <c r="F71" s="4" t="s">
        <v>131</v>
      </c>
      <c r="G71" s="119">
        <v>45875</v>
      </c>
      <c r="H71" s="4">
        <v>4</v>
      </c>
      <c r="I71" s="4" t="s">
        <v>1606</v>
      </c>
      <c r="J71" s="4" t="s">
        <v>520</v>
      </c>
      <c r="K71" s="120">
        <v>16665.745349401128</v>
      </c>
      <c r="L71" s="121">
        <f t="shared" si="13"/>
        <v>844.28131186606026</v>
      </c>
      <c r="M71" s="122">
        <f t="shared" si="13"/>
        <v>1056.6507687271494</v>
      </c>
      <c r="N71" s="123">
        <f t="shared" si="13"/>
        <v>966.69845643803421</v>
      </c>
      <c r="O71" s="123">
        <f t="shared" si="13"/>
        <v>472.65477246056179</v>
      </c>
      <c r="P71" s="123">
        <f t="shared" si="13"/>
        <v>420.275656283888</v>
      </c>
      <c r="Q71" s="124">
        <f t="shared" si="13"/>
        <v>393.97172553004287</v>
      </c>
      <c r="R71" s="122">
        <f t="shared" si="13"/>
        <v>397.74389108155407</v>
      </c>
      <c r="S71" s="125">
        <f t="shared" si="13"/>
        <v>498.85280108262322</v>
      </c>
      <c r="T71" s="122">
        <f t="shared" si="13"/>
        <v>499.97236048203382</v>
      </c>
      <c r="U71" s="123">
        <f t="shared" si="13"/>
        <v>614.62802874992155</v>
      </c>
      <c r="V71" s="123">
        <f t="shared" si="13"/>
        <v>402.69331077912216</v>
      </c>
      <c r="W71" s="123">
        <f t="shared" si="13"/>
        <v>347.60718843669036</v>
      </c>
      <c r="X71" s="124">
        <f t="shared" si="13"/>
        <v>353.50613541390118</v>
      </c>
      <c r="Y71" s="122">
        <f t="shared" si="13"/>
        <v>382.60242330456066</v>
      </c>
      <c r="Z71" s="125">
        <f t="shared" si="13"/>
        <v>426.0958359362225</v>
      </c>
      <c r="AA71" s="122">
        <f t="shared" si="13"/>
        <v>544.44511467149334</v>
      </c>
      <c r="AB71" s="123">
        <f t="shared" si="12"/>
        <v>452.33110217030986</v>
      </c>
      <c r="AC71" s="123">
        <f t="shared" si="12"/>
        <v>313.62127927011909</v>
      </c>
      <c r="AD71" s="123">
        <f t="shared" si="12"/>
        <v>291.55113314883158</v>
      </c>
      <c r="AE71" s="124">
        <f t="shared" si="12"/>
        <v>288.11347865861131</v>
      </c>
      <c r="AF71" s="122">
        <f t="shared" si="12"/>
        <v>322.50039007551715</v>
      </c>
      <c r="AG71" s="125">
        <f t="shared" si="12"/>
        <v>446.92954784330544</v>
      </c>
      <c r="AH71" s="122">
        <f t="shared" si="12"/>
        <v>539.38211798388772</v>
      </c>
      <c r="AI71" s="123">
        <f t="shared" si="12"/>
        <v>524.29702949738532</v>
      </c>
      <c r="AJ71" s="123">
        <f t="shared" si="12"/>
        <v>381.27608230889081</v>
      </c>
      <c r="AK71" s="123">
        <f t="shared" si="12"/>
        <v>586.19492499724799</v>
      </c>
      <c r="AL71" s="124">
        <f t="shared" si="12"/>
        <v>603.05539734131355</v>
      </c>
      <c r="AM71" s="122">
        <f t="shared" si="12"/>
        <v>720.96069825740142</v>
      </c>
      <c r="AN71" s="125">
        <f t="shared" si="12"/>
        <v>842.52230528304131</v>
      </c>
      <c r="AO71" s="125">
        <f t="shared" si="12"/>
        <v>883.8693674191428</v>
      </c>
      <c r="AP71" s="125">
        <f t="shared" si="12"/>
        <v>846.46071390226484</v>
      </c>
      <c r="AQ71" s="3">
        <f t="shared" si="15"/>
        <v>12768.876867197963</v>
      </c>
      <c r="AR71" s="110">
        <f t="shared" si="14"/>
        <v>16665.745349401128</v>
      </c>
    </row>
    <row r="72" spans="1:44" ht="13.9" x14ac:dyDescent="0.25">
      <c r="A72" s="118">
        <v>48</v>
      </c>
      <c r="B72" s="4" t="s">
        <v>112</v>
      </c>
      <c r="C72" s="4" t="s">
        <v>312</v>
      </c>
      <c r="D72" s="4" t="s">
        <v>138</v>
      </c>
      <c r="E72" s="4" t="s">
        <v>296</v>
      </c>
      <c r="F72" s="4" t="s">
        <v>129</v>
      </c>
      <c r="G72" s="119">
        <v>46138</v>
      </c>
      <c r="H72" s="4">
        <v>3</v>
      </c>
      <c r="I72" s="4" t="s">
        <v>1606</v>
      </c>
      <c r="J72" s="4" t="s">
        <v>520</v>
      </c>
      <c r="K72" s="120">
        <v>21749.770195929323</v>
      </c>
      <c r="L72" s="121">
        <f t="shared" si="13"/>
        <v>1101.8363792810746</v>
      </c>
      <c r="M72" s="122">
        <f t="shared" si="13"/>
        <v>1378.9909131182906</v>
      </c>
      <c r="N72" s="123">
        <f t="shared" si="13"/>
        <v>1261.5978964926626</v>
      </c>
      <c r="O72" s="123">
        <f t="shared" si="13"/>
        <v>616.84205941595599</v>
      </c>
      <c r="P72" s="123">
        <f t="shared" si="13"/>
        <v>548.48425626798712</v>
      </c>
      <c r="Q72" s="124">
        <f t="shared" si="13"/>
        <v>514.15609169139793</v>
      </c>
      <c r="R72" s="122">
        <f t="shared" si="13"/>
        <v>519.07898785753412</v>
      </c>
      <c r="S72" s="125">
        <f t="shared" si="13"/>
        <v>651.03201553074143</v>
      </c>
      <c r="T72" s="122">
        <f t="shared" si="13"/>
        <v>652.49310587787966</v>
      </c>
      <c r="U72" s="123">
        <f t="shared" si="13"/>
        <v>802.12544359848903</v>
      </c>
      <c r="V72" s="123">
        <f t="shared" si="13"/>
        <v>525.53826938190832</v>
      </c>
      <c r="W72" s="123">
        <f t="shared" si="13"/>
        <v>453.64766522265342</v>
      </c>
      <c r="X72" s="124">
        <f t="shared" si="13"/>
        <v>461.3461352557934</v>
      </c>
      <c r="Y72" s="122">
        <f t="shared" si="13"/>
        <v>499.31848884147837</v>
      </c>
      <c r="Z72" s="125">
        <f t="shared" si="13"/>
        <v>556.07993034576543</v>
      </c>
      <c r="AA72" s="122">
        <f t="shared" si="13"/>
        <v>710.53264526371072</v>
      </c>
      <c r="AB72" s="123">
        <f t="shared" si="12"/>
        <v>590.31848371721298</v>
      </c>
      <c r="AC72" s="123">
        <f t="shared" si="12"/>
        <v>409.29407054234019</v>
      </c>
      <c r="AD72" s="123">
        <f t="shared" si="12"/>
        <v>380.49124197002948</v>
      </c>
      <c r="AE72" s="124">
        <f t="shared" si="12"/>
        <v>376.00490225897772</v>
      </c>
      <c r="AF72" s="122">
        <f t="shared" si="12"/>
        <v>420.88182827611234</v>
      </c>
      <c r="AG72" s="125">
        <f t="shared" si="12"/>
        <v>583.26914011750432</v>
      </c>
      <c r="AH72" s="122">
        <f t="shared" si="12"/>
        <v>703.92513913965183</v>
      </c>
      <c r="AI72" s="123">
        <f t="shared" si="12"/>
        <v>684.23821838765105</v>
      </c>
      <c r="AJ72" s="123">
        <f t="shared" si="12"/>
        <v>497.5875364446631</v>
      </c>
      <c r="AK72" s="123">
        <f t="shared" si="12"/>
        <v>765.01858401240463</v>
      </c>
      <c r="AL72" s="124">
        <f t="shared" si="12"/>
        <v>787.02248429949407</v>
      </c>
      <c r="AM72" s="122">
        <f t="shared" si="12"/>
        <v>940.89578225546916</v>
      </c>
      <c r="AN72" s="125">
        <f t="shared" si="12"/>
        <v>1099.5407730449476</v>
      </c>
      <c r="AO72" s="125">
        <f t="shared" si="12"/>
        <v>1153.5011019041267</v>
      </c>
      <c r="AP72" s="125">
        <f t="shared" si="12"/>
        <v>1104.680626115417</v>
      </c>
      <c r="AQ72" s="3">
        <f t="shared" si="15"/>
        <v>16664.129428309869</v>
      </c>
      <c r="AR72" s="110">
        <f t="shared" si="14"/>
        <v>21749.770195929323</v>
      </c>
    </row>
    <row r="73" spans="1:44" ht="13.9" x14ac:dyDescent="0.25">
      <c r="A73" s="118">
        <v>68</v>
      </c>
      <c r="B73" s="4" t="s">
        <v>84</v>
      </c>
      <c r="C73" s="4" t="s">
        <v>331</v>
      </c>
      <c r="D73" s="4" t="s">
        <v>139</v>
      </c>
      <c r="E73" s="4" t="s">
        <v>296</v>
      </c>
      <c r="F73" s="4" t="s">
        <v>130</v>
      </c>
      <c r="G73" s="119">
        <v>46031</v>
      </c>
      <c r="H73" s="4">
        <v>6</v>
      </c>
      <c r="I73" s="4" t="s">
        <v>1607</v>
      </c>
      <c r="J73" s="4" t="s">
        <v>520</v>
      </c>
      <c r="K73" s="120">
        <v>11931.643418585731</v>
      </c>
      <c r="L73" s="121">
        <f t="shared" si="13"/>
        <v>604.45322708135552</v>
      </c>
      <c r="M73" s="122">
        <f t="shared" si="13"/>
        <v>756.49662982999382</v>
      </c>
      <c r="N73" s="123">
        <f t="shared" si="13"/>
        <v>692.09633494911964</v>
      </c>
      <c r="O73" s="123">
        <f t="shared" si="13"/>
        <v>338.39159826685164</v>
      </c>
      <c r="P73" s="123">
        <f t="shared" si="13"/>
        <v>300.89138908339595</v>
      </c>
      <c r="Q73" s="124">
        <f t="shared" si="13"/>
        <v>282.05940073351223</v>
      </c>
      <c r="R73" s="122">
        <f t="shared" si="13"/>
        <v>284.76003807873133</v>
      </c>
      <c r="S73" s="125">
        <f t="shared" si="13"/>
        <v>357.14776723709053</v>
      </c>
      <c r="T73" s="122">
        <f t="shared" si="13"/>
        <v>357.94930255757191</v>
      </c>
      <c r="U73" s="123">
        <f t="shared" si="13"/>
        <v>440.03567319452941</v>
      </c>
      <c r="V73" s="123">
        <f t="shared" si="13"/>
        <v>288.30351661642715</v>
      </c>
      <c r="W73" s="123">
        <f t="shared" si="13"/>
        <v>248.86525836138284</v>
      </c>
      <c r="X73" s="124">
        <f t="shared" si="13"/>
        <v>253.08853973293895</v>
      </c>
      <c r="Y73" s="122">
        <f t="shared" si="13"/>
        <v>273.91968317341747</v>
      </c>
      <c r="Z73" s="125">
        <f t="shared" si="13"/>
        <v>305.05827791961946</v>
      </c>
      <c r="AA73" s="122">
        <f t="shared" si="13"/>
        <v>389.78904531771877</v>
      </c>
      <c r="AB73" s="123">
        <f t="shared" si="12"/>
        <v>323.84110671809509</v>
      </c>
      <c r="AC73" s="123">
        <f t="shared" si="12"/>
        <v>224.53344835646493</v>
      </c>
      <c r="AD73" s="123">
        <f t="shared" si="12"/>
        <v>208.73258807722465</v>
      </c>
      <c r="AE73" s="124">
        <f t="shared" si="12"/>
        <v>206.27143997291367</v>
      </c>
      <c r="AF73" s="122">
        <f t="shared" si="12"/>
        <v>230.89034279970855</v>
      </c>
      <c r="AG73" s="125">
        <f t="shared" si="12"/>
        <v>319.97392773601302</v>
      </c>
      <c r="AH73" s="122">
        <f t="shared" si="12"/>
        <v>386.16425267631661</v>
      </c>
      <c r="AI73" s="123">
        <f t="shared" si="12"/>
        <v>375.36426185771057</v>
      </c>
      <c r="AJ73" s="123">
        <f t="shared" si="12"/>
        <v>272.97010501294517</v>
      </c>
      <c r="AK73" s="123">
        <f t="shared" si="12"/>
        <v>419.67932859979192</v>
      </c>
      <c r="AL73" s="124">
        <f t="shared" si="12"/>
        <v>431.75038450882425</v>
      </c>
      <c r="AM73" s="122">
        <f t="shared" si="12"/>
        <v>516.16329123443688</v>
      </c>
      <c r="AN73" s="125">
        <f t="shared" si="12"/>
        <v>603.19388710708427</v>
      </c>
      <c r="AO73" s="125">
        <f t="shared" si="12"/>
        <v>632.79582758265974</v>
      </c>
      <c r="AP73" s="125">
        <f t="shared" si="12"/>
        <v>606.01354421188626</v>
      </c>
      <c r="AQ73" s="3">
        <f t="shared" si="15"/>
        <v>9141.7264839408417</v>
      </c>
      <c r="AR73" s="110">
        <f t="shared" si="14"/>
        <v>11931.643418585734</v>
      </c>
    </row>
    <row r="74" spans="1:44" ht="13.9" x14ac:dyDescent="0.25">
      <c r="A74" s="118">
        <v>14</v>
      </c>
      <c r="B74" s="4" t="s">
        <v>107</v>
      </c>
      <c r="C74" s="4" t="s">
        <v>276</v>
      </c>
      <c r="D74" s="4" t="s">
        <v>142</v>
      </c>
      <c r="E74" s="4" t="s">
        <v>270</v>
      </c>
      <c r="F74" s="4" t="s">
        <v>132</v>
      </c>
      <c r="G74" s="119">
        <v>46078</v>
      </c>
      <c r="H74" s="4">
        <v>7</v>
      </c>
      <c r="I74" s="4" t="s">
        <v>1607</v>
      </c>
      <c r="J74" s="4" t="s">
        <v>521</v>
      </c>
      <c r="K74" s="120">
        <v>8597.4436968640712</v>
      </c>
      <c r="L74" s="121">
        <f t="shared" si="13"/>
        <v>435.54373902297891</v>
      </c>
      <c r="M74" s="122">
        <f t="shared" si="13"/>
        <v>545.09986207765087</v>
      </c>
      <c r="N74" s="123">
        <f t="shared" si="13"/>
        <v>498.69570048183044</v>
      </c>
      <c r="O74" s="123">
        <f t="shared" si="13"/>
        <v>243.8308463911458</v>
      </c>
      <c r="P74" s="123">
        <f t="shared" si="13"/>
        <v>216.80976255845437</v>
      </c>
      <c r="Q74" s="124">
        <f t="shared" si="13"/>
        <v>203.24021862740415</v>
      </c>
      <c r="R74" s="122">
        <f t="shared" si="13"/>
        <v>205.18618505521428</v>
      </c>
      <c r="S74" s="125">
        <f t="shared" si="13"/>
        <v>257.34575804525309</v>
      </c>
      <c r="T74" s="122">
        <f t="shared" si="13"/>
        <v>257.92331090592211</v>
      </c>
      <c r="U74" s="123">
        <f t="shared" si="13"/>
        <v>317.07131969839486</v>
      </c>
      <c r="V74" s="123">
        <f t="shared" si="13"/>
        <v>207.73946762913295</v>
      </c>
      <c r="W74" s="123">
        <f t="shared" si="13"/>
        <v>179.32190661469909</v>
      </c>
      <c r="X74" s="124">
        <f t="shared" si="13"/>
        <v>182.36502670588536</v>
      </c>
      <c r="Y74" s="122">
        <f t="shared" si="13"/>
        <v>197.37507826272628</v>
      </c>
      <c r="Z74" s="125">
        <f t="shared" si="13"/>
        <v>219.81224854497989</v>
      </c>
      <c r="AA74" s="122">
        <f t="shared" si="13"/>
        <v>280.86569915032754</v>
      </c>
      <c r="AB74" s="123">
        <f t="shared" si="12"/>
        <v>233.34637015736314</v>
      </c>
      <c r="AC74" s="123">
        <f t="shared" si="12"/>
        <v>161.78942100301703</v>
      </c>
      <c r="AD74" s="123">
        <f t="shared" si="12"/>
        <v>150.40398130732703</v>
      </c>
      <c r="AE74" s="124">
        <f t="shared" si="12"/>
        <v>148.6305808197213</v>
      </c>
      <c r="AF74" s="122">
        <f t="shared" si="12"/>
        <v>166.36993352299081</v>
      </c>
      <c r="AG74" s="125">
        <f t="shared" si="12"/>
        <v>230.55984256868607</v>
      </c>
      <c r="AH74" s="122">
        <f t="shared" si="12"/>
        <v>278.25382503089827</v>
      </c>
      <c r="AI74" s="123">
        <f t="shared" si="12"/>
        <v>270.47180291272304</v>
      </c>
      <c r="AJ74" s="123">
        <f t="shared" si="12"/>
        <v>196.6908519173667</v>
      </c>
      <c r="AK74" s="123">
        <f t="shared" si="12"/>
        <v>302.4033883508485</v>
      </c>
      <c r="AL74" s="124">
        <f t="shared" si="12"/>
        <v>311.10128686313112</v>
      </c>
      <c r="AM74" s="122">
        <f t="shared" si="12"/>
        <v>371.92570034934266</v>
      </c>
      <c r="AN74" s="125">
        <f t="shared" si="12"/>
        <v>434.6363112576517</v>
      </c>
      <c r="AO74" s="125">
        <f t="shared" si="12"/>
        <v>455.96623267989685</v>
      </c>
      <c r="AP74" s="125">
        <f t="shared" si="12"/>
        <v>436.66803835110784</v>
      </c>
      <c r="AQ74" s="3">
        <f t="shared" si="15"/>
        <v>6587.1461273629411</v>
      </c>
      <c r="AR74" s="110">
        <f t="shared" si="14"/>
        <v>8597.443696864073</v>
      </c>
    </row>
    <row r="75" spans="1:44" ht="13.9" x14ac:dyDescent="0.25">
      <c r="A75" s="118">
        <v>104</v>
      </c>
      <c r="B75" s="4" t="s">
        <v>90</v>
      </c>
      <c r="C75" s="4" t="s">
        <v>369</v>
      </c>
      <c r="D75" s="4" t="s">
        <v>158</v>
      </c>
      <c r="E75" s="4" t="s">
        <v>296</v>
      </c>
      <c r="F75" s="4" t="s">
        <v>128</v>
      </c>
      <c r="G75" s="119">
        <v>46000</v>
      </c>
      <c r="H75" s="4">
        <v>4</v>
      </c>
      <c r="I75" s="4" t="s">
        <v>1607</v>
      </c>
      <c r="J75" s="4" t="s">
        <v>521</v>
      </c>
      <c r="K75" s="120">
        <v>10730.122097574005</v>
      </c>
      <c r="L75" s="121">
        <f t="shared" si="13"/>
        <v>543.58454249082365</v>
      </c>
      <c r="M75" s="122">
        <f t="shared" si="13"/>
        <v>680.31711305040244</v>
      </c>
      <c r="N75" s="123">
        <f t="shared" si="13"/>
        <v>622.40195392696137</v>
      </c>
      <c r="O75" s="123">
        <f t="shared" si="13"/>
        <v>304.31542737361781</v>
      </c>
      <c r="P75" s="123">
        <f t="shared" si="13"/>
        <v>270.59150443134627</v>
      </c>
      <c r="Q75" s="124">
        <f t="shared" si="13"/>
        <v>253.65590492963949</v>
      </c>
      <c r="R75" s="122">
        <f t="shared" si="13"/>
        <v>256.08458700124169</v>
      </c>
      <c r="S75" s="125">
        <f t="shared" si="13"/>
        <v>321.1828425378942</v>
      </c>
      <c r="T75" s="122">
        <f t="shared" si="13"/>
        <v>321.90366292722013</v>
      </c>
      <c r="U75" s="123">
        <f t="shared" si="13"/>
        <v>395.72390282051634</v>
      </c>
      <c r="V75" s="123">
        <f t="shared" si="13"/>
        <v>259.27123581613859</v>
      </c>
      <c r="W75" s="123">
        <f t="shared" si="13"/>
        <v>223.8044261281199</v>
      </c>
      <c r="X75" s="124">
        <f t="shared" si="13"/>
        <v>227.60242135638981</v>
      </c>
      <c r="Y75" s="122">
        <f t="shared" si="13"/>
        <v>246.3358602220064</v>
      </c>
      <c r="Z75" s="125">
        <f t="shared" si="13"/>
        <v>274.33878587541375</v>
      </c>
      <c r="AA75" s="122">
        <f t="shared" si="13"/>
        <v>350.53713070581216</v>
      </c>
      <c r="AB75" s="123">
        <f t="shared" si="12"/>
        <v>291.23017621243423</v>
      </c>
      <c r="AC75" s="123">
        <f t="shared" si="12"/>
        <v>201.92283923782978</v>
      </c>
      <c r="AD75" s="123">
        <f t="shared" si="12"/>
        <v>187.713131983349</v>
      </c>
      <c r="AE75" s="124">
        <f t="shared" si="12"/>
        <v>185.49982248917374</v>
      </c>
      <c r="AF75" s="122">
        <f t="shared" si="12"/>
        <v>207.63959183799074</v>
      </c>
      <c r="AG75" s="125">
        <f t="shared" si="12"/>
        <v>287.752423718903</v>
      </c>
      <c r="AH75" s="122">
        <f t="shared" si="12"/>
        <v>347.27735615036011</v>
      </c>
      <c r="AI75" s="123">
        <f t="shared" si="12"/>
        <v>337.56492877796569</v>
      </c>
      <c r="AJ75" s="123">
        <f t="shared" si="12"/>
        <v>245.48190496658984</v>
      </c>
      <c r="AK75" s="123">
        <f t="shared" si="12"/>
        <v>377.41745036472258</v>
      </c>
      <c r="AL75" s="124">
        <f t="shared" si="12"/>
        <v>388.27294605853473</v>
      </c>
      <c r="AM75" s="122">
        <f t="shared" si="12"/>
        <v>464.18543891480465</v>
      </c>
      <c r="AN75" s="125">
        <f t="shared" si="12"/>
        <v>542.45201856161884</v>
      </c>
      <c r="AO75" s="125">
        <f t="shared" si="12"/>
        <v>569.07303165133885</v>
      </c>
      <c r="AP75" s="125">
        <f t="shared" si="12"/>
        <v>544.98773505484633</v>
      </c>
      <c r="AQ75" s="3">
        <f t="shared" si="15"/>
        <v>8221.1509273328629</v>
      </c>
      <c r="AR75" s="110">
        <f t="shared" si="14"/>
        <v>10730.122097574005</v>
      </c>
    </row>
    <row r="76" spans="1:44" ht="13.9" x14ac:dyDescent="0.25">
      <c r="A76" s="118">
        <v>34</v>
      </c>
      <c r="B76" s="4" t="s">
        <v>39</v>
      </c>
      <c r="C76" s="4" t="s">
        <v>298</v>
      </c>
      <c r="D76" s="4" t="s">
        <v>138</v>
      </c>
      <c r="E76" s="4" t="s">
        <v>296</v>
      </c>
      <c r="F76" s="4" t="s">
        <v>129</v>
      </c>
      <c r="G76" s="119">
        <v>45725</v>
      </c>
      <c r="H76" s="4">
        <v>5</v>
      </c>
      <c r="I76" s="4" t="s">
        <v>1607</v>
      </c>
      <c r="J76" s="4" t="s">
        <v>521</v>
      </c>
      <c r="K76" s="120">
        <v>11648.216781810392</v>
      </c>
      <c r="L76" s="121">
        <f t="shared" si="13"/>
        <v>590.09492460536899</v>
      </c>
      <c r="M76" s="122">
        <f t="shared" si="13"/>
        <v>738.52665804969331</v>
      </c>
      <c r="N76" s="123">
        <f t="shared" si="13"/>
        <v>675.65614061397764</v>
      </c>
      <c r="O76" s="123">
        <f t="shared" si="13"/>
        <v>330.35337677085818</v>
      </c>
      <c r="P76" s="123">
        <f t="shared" si="13"/>
        <v>293.74395503338678</v>
      </c>
      <c r="Q76" s="124">
        <f t="shared" si="13"/>
        <v>275.35930548961306</v>
      </c>
      <c r="R76" s="122">
        <f t="shared" si="13"/>
        <v>277.99579135686281</v>
      </c>
      <c r="S76" s="125">
        <f t="shared" si="13"/>
        <v>348.66400796364849</v>
      </c>
      <c r="T76" s="122">
        <f t="shared" si="13"/>
        <v>349.44650345431171</v>
      </c>
      <c r="U76" s="123">
        <f t="shared" si="13"/>
        <v>429.58297807623359</v>
      </c>
      <c r="V76" s="123">
        <f t="shared" si="13"/>
        <v>281.45509739885193</v>
      </c>
      <c r="W76" s="123">
        <f t="shared" si="13"/>
        <v>242.95366339385967</v>
      </c>
      <c r="X76" s="124">
        <f t="shared" si="13"/>
        <v>247.07662409764995</v>
      </c>
      <c r="Y76" s="122">
        <f t="shared" si="13"/>
        <v>267.4129404033917</v>
      </c>
      <c r="Z76" s="125">
        <f t="shared" si="13"/>
        <v>297.81186276137271</v>
      </c>
      <c r="AA76" s="122">
        <f t="shared" si="13"/>
        <v>380.52991861651486</v>
      </c>
      <c r="AB76" s="123">
        <f t="shared" si="12"/>
        <v>316.1485204995243</v>
      </c>
      <c r="AC76" s="123">
        <f t="shared" si="12"/>
        <v>219.19983605523635</v>
      </c>
      <c r="AD76" s="123">
        <f t="shared" si="12"/>
        <v>203.77431256154952</v>
      </c>
      <c r="AE76" s="124">
        <f t="shared" si="12"/>
        <v>201.3716270600284</v>
      </c>
      <c r="AF76" s="122">
        <f t="shared" si="12"/>
        <v>225.40572756039532</v>
      </c>
      <c r="AG76" s="125">
        <f t="shared" si="12"/>
        <v>312.37320325804649</v>
      </c>
      <c r="AH76" s="122">
        <f t="shared" si="12"/>
        <v>376.99123002225178</v>
      </c>
      <c r="AI76" s="123">
        <f t="shared" si="12"/>
        <v>366.44778433892475</v>
      </c>
      <c r="AJ76" s="123">
        <f t="shared" si="12"/>
        <v>266.48591871187642</v>
      </c>
      <c r="AK76" s="123">
        <f t="shared" si="12"/>
        <v>409.71018214978255</v>
      </c>
      <c r="AL76" s="124">
        <f t="shared" si="12"/>
        <v>421.49449978994448</v>
      </c>
      <c r="AM76" s="122">
        <f t="shared" si="12"/>
        <v>503.90224549839132</v>
      </c>
      <c r="AN76" s="125">
        <f t="shared" si="12"/>
        <v>588.86549924394205</v>
      </c>
      <c r="AO76" s="125">
        <f t="shared" si="12"/>
        <v>617.76426932322931</v>
      </c>
      <c r="AP76" s="125">
        <f t="shared" si="12"/>
        <v>591.61817765167461</v>
      </c>
      <c r="AQ76" s="3">
        <f t="shared" si="15"/>
        <v>8924.5720903032106</v>
      </c>
      <c r="AR76" s="110">
        <f t="shared" si="14"/>
        <v>11648.216781810394</v>
      </c>
    </row>
    <row r="77" spans="1:44" ht="13.9" x14ac:dyDescent="0.25">
      <c r="A77" s="118">
        <v>100</v>
      </c>
      <c r="B77" s="4" t="s">
        <v>85</v>
      </c>
      <c r="C77" s="4" t="s">
        <v>365</v>
      </c>
      <c r="D77" s="4" t="s">
        <v>151</v>
      </c>
      <c r="E77" s="4" t="s">
        <v>364</v>
      </c>
      <c r="F77" s="4" t="s">
        <v>126</v>
      </c>
      <c r="G77" s="119">
        <v>46038</v>
      </c>
      <c r="H77" s="4">
        <v>5</v>
      </c>
      <c r="I77" s="4" t="s">
        <v>1607</v>
      </c>
      <c r="J77" s="4" t="s">
        <v>521</v>
      </c>
      <c r="K77" s="120">
        <v>16908.383889394481</v>
      </c>
      <c r="L77" s="121">
        <f t="shared" si="13"/>
        <v>856.57330244674051</v>
      </c>
      <c r="M77" s="122">
        <f t="shared" si="13"/>
        <v>1072.0346711228515</v>
      </c>
      <c r="N77" s="123">
        <f t="shared" si="13"/>
        <v>980.77273257548768</v>
      </c>
      <c r="O77" s="123">
        <f t="shared" si="13"/>
        <v>479.53620869436588</v>
      </c>
      <c r="P77" s="123">
        <f t="shared" si="13"/>
        <v>426.39449882573302</v>
      </c>
      <c r="Q77" s="124">
        <f t="shared" si="13"/>
        <v>399.70760606086515</v>
      </c>
      <c r="R77" s="122">
        <f t="shared" si="13"/>
        <v>403.53469101278978</v>
      </c>
      <c r="S77" s="125">
        <f t="shared" si="13"/>
        <v>506.11565748590021</v>
      </c>
      <c r="T77" s="122">
        <f t="shared" si="13"/>
        <v>507.2515166818344</v>
      </c>
      <c r="U77" s="123">
        <f t="shared" si="13"/>
        <v>623.57647026323389</v>
      </c>
      <c r="V77" s="123">
        <f t="shared" si="13"/>
        <v>408.55616989187388</v>
      </c>
      <c r="W77" s="123">
        <f t="shared" si="13"/>
        <v>352.66804223741781</v>
      </c>
      <c r="X77" s="124">
        <f t="shared" si="13"/>
        <v>358.65287267510649</v>
      </c>
      <c r="Y77" s="122">
        <f t="shared" si="13"/>
        <v>388.17277683164565</v>
      </c>
      <c r="Z77" s="125">
        <f t="shared" si="13"/>
        <v>432.29941515582982</v>
      </c>
      <c r="AA77" s="122">
        <f t="shared" si="13"/>
        <v>552.37175491234836</v>
      </c>
      <c r="AB77" s="123">
        <f t="shared" si="12"/>
        <v>458.91664370614836</v>
      </c>
      <c r="AC77" s="123">
        <f t="shared" si="12"/>
        <v>318.18732823568092</v>
      </c>
      <c r="AD77" s="123">
        <f t="shared" si="12"/>
        <v>295.79586027009304</v>
      </c>
      <c r="AE77" s="124">
        <f t="shared" si="12"/>
        <v>292.30815656520991</v>
      </c>
      <c r="AF77" s="122">
        <f t="shared" si="12"/>
        <v>327.19571105604695</v>
      </c>
      <c r="AG77" s="125">
        <f t="shared" si="12"/>
        <v>453.43644751656166</v>
      </c>
      <c r="AH77" s="122">
        <f t="shared" si="12"/>
        <v>547.23504546251593</v>
      </c>
      <c r="AI77" s="123">
        <f t="shared" si="12"/>
        <v>531.93033140456168</v>
      </c>
      <c r="AJ77" s="123">
        <f t="shared" si="12"/>
        <v>386.82712548195468</v>
      </c>
      <c r="AK77" s="123">
        <f t="shared" si="12"/>
        <v>594.72940562027975</v>
      </c>
      <c r="AL77" s="124">
        <f t="shared" si="12"/>
        <v>611.83535155747859</v>
      </c>
      <c r="AM77" s="122">
        <f t="shared" si="12"/>
        <v>731.45724956970446</v>
      </c>
      <c r="AN77" s="125">
        <f t="shared" si="12"/>
        <v>854.78868628069995</v>
      </c>
      <c r="AO77" s="125">
        <f t="shared" si="12"/>
        <v>896.7377251408775</v>
      </c>
      <c r="AP77" s="125">
        <f t="shared" si="12"/>
        <v>858.7844346526457</v>
      </c>
      <c r="AQ77" s="3">
        <f t="shared" si="15"/>
        <v>12954.780442193076</v>
      </c>
      <c r="AR77" s="110">
        <f t="shared" si="14"/>
        <v>16908.383889394481</v>
      </c>
    </row>
    <row r="78" spans="1:44" ht="13.9" x14ac:dyDescent="0.25">
      <c r="A78" s="118">
        <v>28</v>
      </c>
      <c r="B78" s="4" t="s">
        <v>55</v>
      </c>
      <c r="C78" s="4" t="s">
        <v>291</v>
      </c>
      <c r="D78" s="4" t="s">
        <v>153</v>
      </c>
      <c r="E78" s="4" t="s">
        <v>292</v>
      </c>
      <c r="F78" s="4" t="s">
        <v>127</v>
      </c>
      <c r="G78" s="119">
        <v>45798</v>
      </c>
      <c r="H78" s="4">
        <v>6</v>
      </c>
      <c r="I78" s="4" t="s">
        <v>1606</v>
      </c>
      <c r="J78" s="4" t="s">
        <v>521</v>
      </c>
      <c r="K78" s="120">
        <v>17016.556790170671</v>
      </c>
      <c r="L78" s="121">
        <f t="shared" si="13"/>
        <v>862.05330689064385</v>
      </c>
      <c r="M78" s="122">
        <f t="shared" si="13"/>
        <v>1078.8931089763203</v>
      </c>
      <c r="N78" s="123">
        <f t="shared" si="13"/>
        <v>987.04731400082574</v>
      </c>
      <c r="O78" s="123">
        <f t="shared" si="13"/>
        <v>482.60408455175178</v>
      </c>
      <c r="P78" s="123">
        <f t="shared" si="13"/>
        <v>429.12239583320041</v>
      </c>
      <c r="Q78" s="124">
        <f t="shared" si="13"/>
        <v>402.26477128095638</v>
      </c>
      <c r="R78" s="122">
        <f t="shared" si="13"/>
        <v>406.11634035173438</v>
      </c>
      <c r="S78" s="125">
        <f t="shared" si="13"/>
        <v>509.35357774821682</v>
      </c>
      <c r="T78" s="122">
        <f t="shared" si="13"/>
        <v>510.49670370512013</v>
      </c>
      <c r="U78" s="123">
        <f t="shared" si="13"/>
        <v>627.56585659875839</v>
      </c>
      <c r="V78" s="123">
        <f t="shared" si="13"/>
        <v>411.16994459182814</v>
      </c>
      <c r="W78" s="123">
        <f t="shared" si="13"/>
        <v>354.92426763361374</v>
      </c>
      <c r="X78" s="124">
        <f t="shared" si="13"/>
        <v>360.9473865602161</v>
      </c>
      <c r="Y78" s="122">
        <f t="shared" si="13"/>
        <v>390.65614694832283</v>
      </c>
      <c r="Z78" s="125">
        <f t="shared" si="13"/>
        <v>435.06508939454807</v>
      </c>
      <c r="AA78" s="122">
        <f t="shared" si="13"/>
        <v>555.9056027020938</v>
      </c>
      <c r="AB78" s="123">
        <f t="shared" si="12"/>
        <v>461.85260404918887</v>
      </c>
      <c r="AC78" s="123">
        <f t="shared" si="12"/>
        <v>320.22296017487929</v>
      </c>
      <c r="AD78" s="123">
        <f t="shared" si="12"/>
        <v>297.68824078690125</v>
      </c>
      <c r="AE78" s="124">
        <f t="shared" si="12"/>
        <v>294.17822418509832</v>
      </c>
      <c r="AF78" s="122">
        <f t="shared" si="12"/>
        <v>329.28897493141119</v>
      </c>
      <c r="AG78" s="125">
        <f t="shared" si="12"/>
        <v>456.33734781350148</v>
      </c>
      <c r="AH78" s="122">
        <f t="shared" si="12"/>
        <v>550.73603069335172</v>
      </c>
      <c r="AI78" s="123">
        <f t="shared" si="12"/>
        <v>535.3334033560426</v>
      </c>
      <c r="AJ78" s="123">
        <f t="shared" si="12"/>
        <v>389.30188667356356</v>
      </c>
      <c r="AK78" s="123">
        <f t="shared" si="12"/>
        <v>598.53424027530525</v>
      </c>
      <c r="AL78" s="124">
        <f t="shared" si="12"/>
        <v>615.74962303418101</v>
      </c>
      <c r="AM78" s="122">
        <f t="shared" si="12"/>
        <v>736.13681285601933</v>
      </c>
      <c r="AN78" s="125">
        <f t="shared" si="12"/>
        <v>860.25727348279497</v>
      </c>
      <c r="AO78" s="125">
        <f t="shared" si="12"/>
        <v>902.47468507734868</v>
      </c>
      <c r="AP78" s="125">
        <f t="shared" si="12"/>
        <v>864.2785850129344</v>
      </c>
      <c r="AQ78" s="3">
        <f t="shared" si="15"/>
        <v>13037.659810707393</v>
      </c>
      <c r="AR78" s="110">
        <f t="shared" si="14"/>
        <v>17016.556790170671</v>
      </c>
    </row>
    <row r="79" spans="1:44" ht="13.9" x14ac:dyDescent="0.25">
      <c r="A79" s="118">
        <v>27</v>
      </c>
      <c r="B79" s="4" t="s">
        <v>104</v>
      </c>
      <c r="C79" s="4" t="s">
        <v>289</v>
      </c>
      <c r="D79" s="4" t="s">
        <v>154</v>
      </c>
      <c r="E79" s="4" t="s">
        <v>266</v>
      </c>
      <c r="F79" s="4" t="s">
        <v>126</v>
      </c>
      <c r="G79" s="119">
        <v>46065</v>
      </c>
      <c r="H79" s="4">
        <v>4</v>
      </c>
      <c r="I79" s="4" t="s">
        <v>1607</v>
      </c>
      <c r="J79" s="4" t="s">
        <v>521</v>
      </c>
      <c r="K79" s="120">
        <v>14200.912540861602</v>
      </c>
      <c r="L79" s="121">
        <f t="shared" si="13"/>
        <v>719.41367267589135</v>
      </c>
      <c r="M79" s="122">
        <f t="shared" si="13"/>
        <v>900.37408098688115</v>
      </c>
      <c r="N79" s="123">
        <f t="shared" si="13"/>
        <v>823.72554874995365</v>
      </c>
      <c r="O79" s="123">
        <f t="shared" si="13"/>
        <v>402.75000877620363</v>
      </c>
      <c r="P79" s="123">
        <f t="shared" si="13"/>
        <v>358.1176666758065</v>
      </c>
      <c r="Q79" s="124">
        <f t="shared" si="13"/>
        <v>335.70403846507321</v>
      </c>
      <c r="R79" s="122">
        <f t="shared" si="13"/>
        <v>338.91830773197916</v>
      </c>
      <c r="S79" s="125">
        <f t="shared" si="13"/>
        <v>425.07339758390862</v>
      </c>
      <c r="T79" s="122">
        <f t="shared" si="13"/>
        <v>426.02737622584806</v>
      </c>
      <c r="U79" s="123">
        <f t="shared" si="13"/>
        <v>523.72568393728943</v>
      </c>
      <c r="V79" s="123">
        <f t="shared" si="13"/>
        <v>343.13571744151301</v>
      </c>
      <c r="W79" s="123">
        <f t="shared" si="13"/>
        <v>296.1967303635551</v>
      </c>
      <c r="X79" s="124">
        <f t="shared" si="13"/>
        <v>301.22323403022494</v>
      </c>
      <c r="Y79" s="122">
        <f t="shared" si="13"/>
        <v>326.01623493935222</v>
      </c>
      <c r="Z79" s="125">
        <f t="shared" si="13"/>
        <v>363.07705255877119</v>
      </c>
      <c r="AA79" s="122">
        <f t="shared" si="13"/>
        <v>463.92269260414889</v>
      </c>
      <c r="AB79" s="123">
        <f t="shared" si="12"/>
        <v>385.43217160478986</v>
      </c>
      <c r="AC79" s="123">
        <f t="shared" si="12"/>
        <v>267.2372740909625</v>
      </c>
      <c r="AD79" s="123">
        <f t="shared" si="12"/>
        <v>248.43126162277713</v>
      </c>
      <c r="AE79" s="124">
        <f t="shared" si="12"/>
        <v>245.50202985198973</v>
      </c>
      <c r="AF79" s="122">
        <f t="shared" si="12"/>
        <v>274.8031808862807</v>
      </c>
      <c r="AG79" s="125">
        <f t="shared" si="12"/>
        <v>380.82949713843249</v>
      </c>
      <c r="AH79" s="122">
        <f t="shared" si="12"/>
        <v>459.6085037306255</v>
      </c>
      <c r="AI79" s="123">
        <f t="shared" si="12"/>
        <v>446.75447183605587</v>
      </c>
      <c r="AJ79" s="123">
        <f t="shared" si="12"/>
        <v>324.88605731549069</v>
      </c>
      <c r="AK79" s="123">
        <f t="shared" si="12"/>
        <v>499.49778346289082</v>
      </c>
      <c r="AL79" s="124">
        <f t="shared" si="12"/>
        <v>513.86462323728438</v>
      </c>
      <c r="AM79" s="122">
        <f t="shared" si="12"/>
        <v>614.33194895899305</v>
      </c>
      <c r="AN79" s="125">
        <f t="shared" si="12"/>
        <v>717.91481990209979</v>
      </c>
      <c r="AO79" s="125">
        <f t="shared" si="12"/>
        <v>753.14672828100993</v>
      </c>
      <c r="AP79" s="125">
        <f t="shared" si="12"/>
        <v>721.27074519552082</v>
      </c>
      <c r="AQ79" s="3">
        <f t="shared" si="15"/>
        <v>10880.383675286699</v>
      </c>
      <c r="AR79" s="110">
        <f t="shared" si="14"/>
        <v>14200.912540861607</v>
      </c>
    </row>
    <row r="80" spans="1:44" ht="13.9" x14ac:dyDescent="0.25">
      <c r="A80" s="118">
        <v>94</v>
      </c>
      <c r="B80" s="4" t="s">
        <v>40</v>
      </c>
      <c r="C80" s="4" t="s">
        <v>358</v>
      </c>
      <c r="D80" s="4" t="s">
        <v>145</v>
      </c>
      <c r="E80" s="4" t="s">
        <v>343</v>
      </c>
      <c r="F80" s="4" t="s">
        <v>131</v>
      </c>
      <c r="G80" s="119">
        <v>45722</v>
      </c>
      <c r="H80" s="4">
        <v>4</v>
      </c>
      <c r="I80" s="4" t="s">
        <v>1607</v>
      </c>
      <c r="J80" s="4" t="s">
        <v>521</v>
      </c>
      <c r="K80" s="120">
        <v>9480.6134051756617</v>
      </c>
      <c r="L80" s="121">
        <f t="shared" si="13"/>
        <v>480.28483306354457</v>
      </c>
      <c r="M80" s="122">
        <f t="shared" si="13"/>
        <v>601.09507451124955</v>
      </c>
      <c r="N80" s="123">
        <f t="shared" si="13"/>
        <v>549.92405996401362</v>
      </c>
      <c r="O80" s="123">
        <f t="shared" si="13"/>
        <v>268.87829364144687</v>
      </c>
      <c r="P80" s="123">
        <f t="shared" si="13"/>
        <v>239.08147744362401</v>
      </c>
      <c r="Q80" s="124">
        <f t="shared" si="13"/>
        <v>224.1180063665457</v>
      </c>
      <c r="R80" s="122">
        <f t="shared" si="13"/>
        <v>226.26387158555815</v>
      </c>
      <c r="S80" s="125">
        <f t="shared" si="13"/>
        <v>283.78152035806153</v>
      </c>
      <c r="T80" s="122">
        <f t="shared" si="13"/>
        <v>284.41840215526986</v>
      </c>
      <c r="U80" s="123">
        <f t="shared" si="13"/>
        <v>349.64237160701543</v>
      </c>
      <c r="V80" s="123">
        <f t="shared" si="13"/>
        <v>229.07943931138391</v>
      </c>
      <c r="W80" s="123">
        <f t="shared" si="13"/>
        <v>197.74269325114412</v>
      </c>
      <c r="X80" s="124">
        <f t="shared" si="13"/>
        <v>201.09841689962619</v>
      </c>
      <c r="Y80" s="122">
        <f t="shared" si="13"/>
        <v>217.65037129673024</v>
      </c>
      <c r="Z80" s="125">
        <f t="shared" si="13"/>
        <v>242.39239286178355</v>
      </c>
      <c r="AA80" s="122">
        <f t="shared" si="13"/>
        <v>309.71754003924229</v>
      </c>
      <c r="AB80" s="123">
        <f t="shared" si="12"/>
        <v>257.31680287361536</v>
      </c>
      <c r="AC80" s="123">
        <f t="shared" si="12"/>
        <v>178.40918855174246</v>
      </c>
      <c r="AD80" s="123">
        <f t="shared" si="12"/>
        <v>165.85418313284691</v>
      </c>
      <c r="AE80" s="124">
        <f t="shared" si="12"/>
        <v>163.89861063614396</v>
      </c>
      <c r="AF80" s="122">
        <f t="shared" si="12"/>
        <v>183.46023278425989</v>
      </c>
      <c r="AG80" s="125">
        <f t="shared" si="12"/>
        <v>254.24403011201647</v>
      </c>
      <c r="AH80" s="122">
        <f t="shared" si="12"/>
        <v>306.83736196976287</v>
      </c>
      <c r="AI80" s="123">
        <f t="shared" si="12"/>
        <v>298.25593406929789</v>
      </c>
      <c r="AJ80" s="123">
        <f t="shared" si="12"/>
        <v>216.8958580145605</v>
      </c>
      <c r="AK80" s="123">
        <f t="shared" si="12"/>
        <v>333.46768161044503</v>
      </c>
      <c r="AL80" s="124">
        <f t="shared" si="12"/>
        <v>343.05906902045882</v>
      </c>
      <c r="AM80" s="122">
        <f t="shared" si="12"/>
        <v>410.13165131252538</v>
      </c>
      <c r="AN80" s="125">
        <f t="shared" si="12"/>
        <v>479.2841900655186</v>
      </c>
      <c r="AO80" s="125">
        <f t="shared" si="12"/>
        <v>502.8052209785609</v>
      </c>
      <c r="AP80" s="125">
        <f t="shared" si="12"/>
        <v>481.52462568766805</v>
      </c>
      <c r="AQ80" s="3">
        <f t="shared" si="15"/>
        <v>7263.8086481109312</v>
      </c>
      <c r="AR80" s="110">
        <f t="shared" si="14"/>
        <v>9480.6134051756635</v>
      </c>
    </row>
    <row r="81" spans="1:44" ht="13.9" x14ac:dyDescent="0.25">
      <c r="A81" s="118">
        <v>65</v>
      </c>
      <c r="B81" s="4" t="s">
        <v>62</v>
      </c>
      <c r="C81" s="4" t="s">
        <v>328</v>
      </c>
      <c r="D81" s="4" t="s">
        <v>139</v>
      </c>
      <c r="E81" s="4" t="s">
        <v>296</v>
      </c>
      <c r="F81" s="4" t="s">
        <v>130</v>
      </c>
      <c r="G81" s="119">
        <v>45821</v>
      </c>
      <c r="H81" s="4">
        <v>4</v>
      </c>
      <c r="I81" s="4" t="s">
        <v>1607</v>
      </c>
      <c r="J81" s="4" t="s">
        <v>521</v>
      </c>
      <c r="K81" s="120">
        <v>5711.6372213011136</v>
      </c>
      <c r="L81" s="121">
        <f t="shared" si="13"/>
        <v>289.34970893914488</v>
      </c>
      <c r="M81" s="122">
        <f t="shared" si="13"/>
        <v>362.13236996299673</v>
      </c>
      <c r="N81" s="123">
        <f t="shared" si="13"/>
        <v>331.30416730891773</v>
      </c>
      <c r="O81" s="123">
        <f t="shared" si="13"/>
        <v>161.98690995289704</v>
      </c>
      <c r="P81" s="123">
        <f t="shared" si="13"/>
        <v>144.03568705218856</v>
      </c>
      <c r="Q81" s="124">
        <f t="shared" si="13"/>
        <v>135.02087812463063</v>
      </c>
      <c r="R81" s="122">
        <f t="shared" si="13"/>
        <v>136.31366405872598</v>
      </c>
      <c r="S81" s="125">
        <f t="shared" si="13"/>
        <v>170.9654244006685</v>
      </c>
      <c r="T81" s="122">
        <f t="shared" si="13"/>
        <v>171.34911663903341</v>
      </c>
      <c r="U81" s="123">
        <f t="shared" si="13"/>
        <v>210.64358375001402</v>
      </c>
      <c r="V81" s="123">
        <f t="shared" si="13"/>
        <v>138.00991521196269</v>
      </c>
      <c r="W81" s="123">
        <f t="shared" si="13"/>
        <v>119.13095479634067</v>
      </c>
      <c r="X81" s="124">
        <f t="shared" si="13"/>
        <v>121.15262525962601</v>
      </c>
      <c r="Y81" s="122">
        <f t="shared" si="13"/>
        <v>131.12442294606763</v>
      </c>
      <c r="Z81" s="125">
        <f t="shared" si="13"/>
        <v>146.03036260014585</v>
      </c>
      <c r="AA81" s="122">
        <f t="shared" si="13"/>
        <v>186.59069346844416</v>
      </c>
      <c r="AB81" s="123">
        <f t="shared" si="12"/>
        <v>155.02163901723947</v>
      </c>
      <c r="AC81" s="123">
        <f t="shared" si="12"/>
        <v>107.48339990300238</v>
      </c>
      <c r="AD81" s="123">
        <f t="shared" si="12"/>
        <v>99.919581698470054</v>
      </c>
      <c r="AE81" s="124">
        <f t="shared" si="12"/>
        <v>98.741438451428266</v>
      </c>
      <c r="AF81" s="122">
        <f t="shared" si="12"/>
        <v>110.52642370451454</v>
      </c>
      <c r="AG81" s="125">
        <f t="shared" si="12"/>
        <v>153.17043355956653</v>
      </c>
      <c r="AH81" s="122">
        <f t="shared" si="12"/>
        <v>184.85551752965591</v>
      </c>
      <c r="AI81" s="123">
        <f t="shared" si="12"/>
        <v>179.68559856835225</v>
      </c>
      <c r="AJ81" s="123">
        <f t="shared" si="12"/>
        <v>130.66986310249737</v>
      </c>
      <c r="AK81" s="123">
        <f t="shared" si="12"/>
        <v>200.89907066007154</v>
      </c>
      <c r="AL81" s="124">
        <f t="shared" si="12"/>
        <v>206.67744416753328</v>
      </c>
      <c r="AM81" s="122">
        <f t="shared" si="12"/>
        <v>247.08561621038973</v>
      </c>
      <c r="AN81" s="125">
        <f t="shared" si="12"/>
        <v>288.74686716630777</v>
      </c>
      <c r="AO81" s="125">
        <f t="shared" si="12"/>
        <v>302.91721563479035</v>
      </c>
      <c r="AP81" s="125">
        <f t="shared" si="12"/>
        <v>290.09662745549031</v>
      </c>
      <c r="AQ81" s="3">
        <f t="shared" si="15"/>
        <v>4376.1134506666021</v>
      </c>
      <c r="AR81" s="110">
        <f t="shared" si="14"/>
        <v>5711.6372213011146</v>
      </c>
    </row>
    <row r="82" spans="1:44" ht="13.9" x14ac:dyDescent="0.25">
      <c r="A82" s="118">
        <v>67</v>
      </c>
      <c r="B82" s="4" t="s">
        <v>57</v>
      </c>
      <c r="C82" s="4" t="s">
        <v>330</v>
      </c>
      <c r="D82" s="4" t="s">
        <v>139</v>
      </c>
      <c r="E82" s="4" t="s">
        <v>296</v>
      </c>
      <c r="F82" s="4" t="s">
        <v>130</v>
      </c>
      <c r="G82" s="119">
        <v>45825</v>
      </c>
      <c r="H82" s="4">
        <v>4</v>
      </c>
      <c r="I82" s="4" t="s">
        <v>1607</v>
      </c>
      <c r="J82" s="4" t="s">
        <v>521</v>
      </c>
      <c r="K82" s="120">
        <v>13169.700461650984</v>
      </c>
      <c r="L82" s="121">
        <f t="shared" si="13"/>
        <v>667.17279962790883</v>
      </c>
      <c r="M82" s="122">
        <f t="shared" si="13"/>
        <v>834.99260458878075</v>
      </c>
      <c r="N82" s="123">
        <f t="shared" si="13"/>
        <v>763.90997468869625</v>
      </c>
      <c r="O82" s="123">
        <f t="shared" si="13"/>
        <v>373.50395344298732</v>
      </c>
      <c r="P82" s="123">
        <f t="shared" si="13"/>
        <v>332.11262914091526</v>
      </c>
      <c r="Q82" s="124">
        <f t="shared" si="13"/>
        <v>311.32658676900314</v>
      </c>
      <c r="R82" s="122">
        <f t="shared" si="13"/>
        <v>314.30744897250162</v>
      </c>
      <c r="S82" s="125">
        <f t="shared" si="13"/>
        <v>394.2063092275551</v>
      </c>
      <c r="T82" s="122">
        <f t="shared" si="13"/>
        <v>395.09101384952953</v>
      </c>
      <c r="U82" s="123">
        <f t="shared" si="13"/>
        <v>485.69487078250268</v>
      </c>
      <c r="V82" s="123">
        <f t="shared" si="13"/>
        <v>318.21860767014181</v>
      </c>
      <c r="W82" s="123">
        <f t="shared" si="13"/>
        <v>274.68813749709579</v>
      </c>
      <c r="X82" s="124">
        <f t="shared" si="13"/>
        <v>279.34963706403954</v>
      </c>
      <c r="Y82" s="122">
        <f t="shared" si="13"/>
        <v>302.34227183868029</v>
      </c>
      <c r="Z82" s="125">
        <f t="shared" si="13"/>
        <v>336.71188474258543</v>
      </c>
      <c r="AA82" s="122">
        <f t="shared" si="13"/>
        <v>430.23452763187964</v>
      </c>
      <c r="AB82" s="123">
        <f t="shared" si="12"/>
        <v>357.44366664557799</v>
      </c>
      <c r="AC82" s="123">
        <f t="shared" si="12"/>
        <v>247.83159827506179</v>
      </c>
      <c r="AD82" s="123">
        <f t="shared" si="12"/>
        <v>230.39120137300125</v>
      </c>
      <c r="AE82" s="124">
        <f t="shared" si="12"/>
        <v>227.6746784106198</v>
      </c>
      <c r="AF82" s="122">
        <f t="shared" si="12"/>
        <v>254.84809992088242</v>
      </c>
      <c r="AG82" s="125">
        <f t="shared" si="12"/>
        <v>353.17521953909801</v>
      </c>
      <c r="AH82" s="122">
        <f t="shared" si="12"/>
        <v>426.23361747657754</v>
      </c>
      <c r="AI82" s="123">
        <f t="shared" si="12"/>
        <v>414.31299270764845</v>
      </c>
      <c r="AJ82" s="123">
        <f t="shared" si="12"/>
        <v>301.29416308285988</v>
      </c>
      <c r="AK82" s="123">
        <f t="shared" si="12"/>
        <v>463.22630116457009</v>
      </c>
      <c r="AL82" s="124">
        <f t="shared" si="12"/>
        <v>476.54987990395563</v>
      </c>
      <c r="AM82" s="122">
        <f t="shared" si="12"/>
        <v>569.72168010558892</v>
      </c>
      <c r="AN82" s="125">
        <f t="shared" si="12"/>
        <v>665.78278740086705</v>
      </c>
      <c r="AO82" s="125">
        <f t="shared" si="12"/>
        <v>698.45629895919024</v>
      </c>
      <c r="AP82" s="125">
        <f t="shared" si="12"/>
        <v>668.89501915068331</v>
      </c>
      <c r="AQ82" s="3">
        <f t="shared" si="15"/>
        <v>10090.294796130698</v>
      </c>
      <c r="AR82" s="110">
        <f t="shared" si="14"/>
        <v>13169.700461650984</v>
      </c>
    </row>
    <row r="83" spans="1:44" ht="13.9" x14ac:dyDescent="0.25">
      <c r="A83" s="118">
        <v>39</v>
      </c>
      <c r="B83" s="4" t="s">
        <v>78</v>
      </c>
      <c r="C83" s="4" t="s">
        <v>303</v>
      </c>
      <c r="D83" s="4" t="s">
        <v>138</v>
      </c>
      <c r="E83" s="4" t="s">
        <v>296</v>
      </c>
      <c r="F83" s="4" t="s">
        <v>129</v>
      </c>
      <c r="G83" s="119">
        <v>46008</v>
      </c>
      <c r="H83" s="4">
        <v>5</v>
      </c>
      <c r="I83" s="4" t="s">
        <v>1607</v>
      </c>
      <c r="J83" s="4" t="s">
        <v>521</v>
      </c>
      <c r="K83" s="120">
        <v>7458.512198222661</v>
      </c>
      <c r="L83" s="121">
        <f t="shared" si="13"/>
        <v>377.84583475054256</v>
      </c>
      <c r="M83" s="122">
        <f t="shared" si="13"/>
        <v>472.8886997001905</v>
      </c>
      <c r="N83" s="123">
        <f t="shared" si="13"/>
        <v>432.63184923230489</v>
      </c>
      <c r="O83" s="123">
        <f t="shared" si="13"/>
        <v>211.52977631882126</v>
      </c>
      <c r="P83" s="123">
        <f t="shared" si="13"/>
        <v>188.08826387846216</v>
      </c>
      <c r="Q83" s="124">
        <f t="shared" si="13"/>
        <v>176.3163218335294</v>
      </c>
      <c r="R83" s="122">
        <f t="shared" si="13"/>
        <v>178.00449972115518</v>
      </c>
      <c r="S83" s="125">
        <f t="shared" si="13"/>
        <v>223.25432340330272</v>
      </c>
      <c r="T83" s="122">
        <f t="shared" si="13"/>
        <v>223.75536594667983</v>
      </c>
      <c r="U83" s="123">
        <f t="shared" si="13"/>
        <v>275.06784447330875</v>
      </c>
      <c r="V83" s="123">
        <f t="shared" si="13"/>
        <v>180.21954059778551</v>
      </c>
      <c r="W83" s="123">
        <f t="shared" si="13"/>
        <v>155.56654687743099</v>
      </c>
      <c r="X83" s="124">
        <f t="shared" si="13"/>
        <v>158.20653489259507</v>
      </c>
      <c r="Y83" s="122">
        <f t="shared" si="13"/>
        <v>171.22815580457427</v>
      </c>
      <c r="Z83" s="125">
        <f t="shared" si="13"/>
        <v>190.69300072177077</v>
      </c>
      <c r="AA83" s="122">
        <f t="shared" si="13"/>
        <v>243.65850094943332</v>
      </c>
      <c r="AB83" s="123">
        <f t="shared" si="12"/>
        <v>202.43421295849748</v>
      </c>
      <c r="AC83" s="123">
        <f t="shared" si="12"/>
        <v>140.3566470036358</v>
      </c>
      <c r="AD83" s="123">
        <f t="shared" si="12"/>
        <v>130.47947375929033</v>
      </c>
      <c r="AE83" s="124">
        <f t="shared" si="12"/>
        <v>128.94100143710861</v>
      </c>
      <c r="AF83" s="122">
        <f t="shared" si="12"/>
        <v>144.33036404196866</v>
      </c>
      <c r="AG83" s="125">
        <f t="shared" si="12"/>
        <v>200.01682579742626</v>
      </c>
      <c r="AH83" s="122">
        <f t="shared" si="12"/>
        <v>241.3926303410465</v>
      </c>
      <c r="AI83" s="123">
        <f t="shared" si="12"/>
        <v>234.6415181568027</v>
      </c>
      <c r="AJ83" s="123">
        <f t="shared" si="12"/>
        <v>170.6345711620751</v>
      </c>
      <c r="AK83" s="123">
        <f t="shared" si="12"/>
        <v>262.34302198703051</v>
      </c>
      <c r="AL83" s="124">
        <f t="shared" si="12"/>
        <v>269.88868142257013</v>
      </c>
      <c r="AM83" s="122">
        <f t="shared" si="12"/>
        <v>322.65548582771214</v>
      </c>
      <c r="AN83" s="125">
        <f t="shared" si="12"/>
        <v>377.05861691052723</v>
      </c>
      <c r="AO83" s="125">
        <f t="shared" si="12"/>
        <v>395.56289384728393</v>
      </c>
      <c r="AP83" s="125">
        <f t="shared" si="12"/>
        <v>378.82119446779916</v>
      </c>
      <c r="AQ83" s="3">
        <f t="shared" si="15"/>
        <v>5714.5253257467702</v>
      </c>
      <c r="AR83" s="110">
        <f t="shared" si="14"/>
        <v>7458.5121982226628</v>
      </c>
    </row>
    <row r="84" spans="1:44" ht="13.9" x14ac:dyDescent="0.25">
      <c r="A84" s="118">
        <v>51</v>
      </c>
      <c r="B84" s="4" t="s">
        <v>98</v>
      </c>
      <c r="C84" s="4" t="s">
        <v>262</v>
      </c>
      <c r="D84" s="4" t="s">
        <v>150</v>
      </c>
      <c r="E84" s="4" t="s">
        <v>294</v>
      </c>
      <c r="F84" s="4" t="s">
        <v>133</v>
      </c>
      <c r="G84" s="119">
        <v>46023</v>
      </c>
      <c r="H84" s="4">
        <v>4</v>
      </c>
      <c r="I84" s="4" t="s">
        <v>1607</v>
      </c>
      <c r="J84" s="4" t="s">
        <v>521</v>
      </c>
      <c r="K84" s="120">
        <v>18452.452056006459</v>
      </c>
      <c r="L84" s="121">
        <f t="shared" si="13"/>
        <v>934.79530032243883</v>
      </c>
      <c r="M84" s="122">
        <f t="shared" si="13"/>
        <v>1169.9325317352659</v>
      </c>
      <c r="N84" s="123">
        <f t="shared" si="13"/>
        <v>1070.3365823766933</v>
      </c>
      <c r="O84" s="123">
        <f t="shared" si="13"/>
        <v>523.3273007009293</v>
      </c>
      <c r="P84" s="123">
        <f t="shared" si="13"/>
        <v>465.33270701653726</v>
      </c>
      <c r="Q84" s="124">
        <f t="shared" si="13"/>
        <v>436.20877580650694</v>
      </c>
      <c r="R84" s="122">
        <f t="shared" si="13"/>
        <v>440.38534892263709</v>
      </c>
      <c r="S84" s="125">
        <f t="shared" si="13"/>
        <v>552.33397618861432</v>
      </c>
      <c r="T84" s="122">
        <f t="shared" si="13"/>
        <v>553.57356168019373</v>
      </c>
      <c r="U84" s="123">
        <f t="shared" si="13"/>
        <v>680.52127252701791</v>
      </c>
      <c r="V84" s="123">
        <f t="shared" si="13"/>
        <v>445.86538763435965</v>
      </c>
      <c r="W84" s="123">
        <f t="shared" si="13"/>
        <v>384.87357417721023</v>
      </c>
      <c r="X84" s="124">
        <f t="shared" si="13"/>
        <v>391.40493740134701</v>
      </c>
      <c r="Y84" s="122">
        <f t="shared" si="13"/>
        <v>423.62058969015675</v>
      </c>
      <c r="Z84" s="125">
        <f t="shared" si="13"/>
        <v>471.77685840253605</v>
      </c>
      <c r="AA84" s="122">
        <f t="shared" ref="AA84:AP99" si="16">$K84*AA$4</f>
        <v>602.81416552207668</v>
      </c>
      <c r="AB84" s="123">
        <f t="shared" si="16"/>
        <v>500.82476368439967</v>
      </c>
      <c r="AC84" s="123">
        <f t="shared" si="16"/>
        <v>347.24409248718297</v>
      </c>
      <c r="AD84" s="123">
        <f t="shared" si="16"/>
        <v>322.80784288453623</v>
      </c>
      <c r="AE84" s="124">
        <f t="shared" si="16"/>
        <v>319.00164320153294</v>
      </c>
      <c r="AF84" s="122">
        <f t="shared" si="16"/>
        <v>357.0751179229859</v>
      </c>
      <c r="AG84" s="125">
        <f t="shared" si="16"/>
        <v>494.84411774524011</v>
      </c>
      <c r="AH84" s="122">
        <f t="shared" si="16"/>
        <v>597.20837342102789</v>
      </c>
      <c r="AI84" s="123">
        <f t="shared" si="16"/>
        <v>580.50603780854942</v>
      </c>
      <c r="AJ84" s="123">
        <f t="shared" si="16"/>
        <v>422.15205389296284</v>
      </c>
      <c r="AK84" s="123">
        <f t="shared" si="16"/>
        <v>649.03990323929384</v>
      </c>
      <c r="AL84" s="124">
        <f t="shared" si="16"/>
        <v>667.70795864562911</v>
      </c>
      <c r="AM84" s="122">
        <f t="shared" si="16"/>
        <v>798.25368982598138</v>
      </c>
      <c r="AN84" s="125">
        <f t="shared" si="16"/>
        <v>932.84771358336002</v>
      </c>
      <c r="AO84" s="125">
        <f t="shared" si="16"/>
        <v>978.62752515059663</v>
      </c>
      <c r="AP84" s="125">
        <f t="shared" si="16"/>
        <v>937.20835240866143</v>
      </c>
      <c r="AQ84" s="3">
        <f t="shared" si="15"/>
        <v>14137.806816392234</v>
      </c>
      <c r="AR84" s="110">
        <f t="shared" si="14"/>
        <v>18452.452056006467</v>
      </c>
    </row>
    <row r="85" spans="1:44" ht="13.9" x14ac:dyDescent="0.25">
      <c r="A85" s="118">
        <v>56</v>
      </c>
      <c r="B85" s="4" t="s">
        <v>103</v>
      </c>
      <c r="C85" s="4" t="s">
        <v>319</v>
      </c>
      <c r="D85" s="4" t="s">
        <v>159</v>
      </c>
      <c r="E85" s="4" t="s">
        <v>261</v>
      </c>
      <c r="F85" s="4" t="s">
        <v>133</v>
      </c>
      <c r="G85" s="119">
        <v>46047</v>
      </c>
      <c r="H85" s="4">
        <v>4</v>
      </c>
      <c r="I85" s="4" t="s">
        <v>1607</v>
      </c>
      <c r="J85" s="4" t="s">
        <v>521</v>
      </c>
      <c r="K85" s="120">
        <v>10826.232783423327</v>
      </c>
      <c r="L85" s="121">
        <f t="shared" ref="L85:AA100" si="17">$K85*L$4</f>
        <v>548.45347899693252</v>
      </c>
      <c r="M85" s="122">
        <f t="shared" si="17"/>
        <v>686.41077570733421</v>
      </c>
      <c r="N85" s="123">
        <f t="shared" si="17"/>
        <v>627.97686520214654</v>
      </c>
      <c r="O85" s="123">
        <f t="shared" si="17"/>
        <v>307.04120851323972</v>
      </c>
      <c r="P85" s="123">
        <f t="shared" si="17"/>
        <v>273.01521730613047</v>
      </c>
      <c r="Q85" s="124">
        <f t="shared" si="17"/>
        <v>255.92792408942427</v>
      </c>
      <c r="R85" s="122">
        <f t="shared" si="17"/>
        <v>258.37836008866014</v>
      </c>
      <c r="S85" s="125">
        <f t="shared" si="17"/>
        <v>324.05970665916368</v>
      </c>
      <c r="T85" s="122">
        <f t="shared" si="17"/>
        <v>324.7869835026998</v>
      </c>
      <c r="U85" s="123">
        <f t="shared" si="17"/>
        <v>399.26843804212854</v>
      </c>
      <c r="V85" s="123">
        <f t="shared" si="17"/>
        <v>261.59355200869379</v>
      </c>
      <c r="W85" s="123">
        <f t="shared" si="17"/>
        <v>225.80906285971409</v>
      </c>
      <c r="X85" s="124">
        <f t="shared" si="17"/>
        <v>229.64107707890716</v>
      </c>
      <c r="Y85" s="122">
        <f t="shared" si="17"/>
        <v>248.54231307127759</v>
      </c>
      <c r="Z85" s="125">
        <f t="shared" si="17"/>
        <v>276.79606349311376</v>
      </c>
      <c r="AA85" s="122">
        <f t="shared" si="17"/>
        <v>353.67692387325491</v>
      </c>
      <c r="AB85" s="123">
        <f t="shared" si="16"/>
        <v>293.83875155959868</v>
      </c>
      <c r="AC85" s="123">
        <f t="shared" si="16"/>
        <v>203.73148059263579</v>
      </c>
      <c r="AD85" s="123">
        <f t="shared" si="16"/>
        <v>189.39449568953859</v>
      </c>
      <c r="AE85" s="124">
        <f t="shared" si="16"/>
        <v>187.16136137962056</v>
      </c>
      <c r="AF85" s="122">
        <f t="shared" si="16"/>
        <v>209.49943866914046</v>
      </c>
      <c r="AG85" s="125">
        <f t="shared" si="16"/>
        <v>290.32984851863398</v>
      </c>
      <c r="AH85" s="122">
        <f t="shared" si="16"/>
        <v>350.38795121871414</v>
      </c>
      <c r="AI85" s="123">
        <f t="shared" si="16"/>
        <v>340.5885287452823</v>
      </c>
      <c r="AJ85" s="123">
        <f t="shared" si="16"/>
        <v>247.68070886046831</v>
      </c>
      <c r="AK85" s="123">
        <f t="shared" si="16"/>
        <v>380.79801301593955</v>
      </c>
      <c r="AL85" s="124">
        <f t="shared" si="16"/>
        <v>391.75074237837902</v>
      </c>
      <c r="AM85" s="122">
        <f t="shared" si="16"/>
        <v>468.34319038209293</v>
      </c>
      <c r="AN85" s="125">
        <f t="shared" si="16"/>
        <v>547.31081094722401</v>
      </c>
      <c r="AO85" s="125">
        <f t="shared" si="16"/>
        <v>574.1702708880415</v>
      </c>
      <c r="AP85" s="125">
        <f t="shared" si="16"/>
        <v>549.86924008519759</v>
      </c>
      <c r="AQ85" s="3">
        <f t="shared" si="15"/>
        <v>8294.788528742396</v>
      </c>
      <c r="AR85" s="110">
        <f t="shared" si="14"/>
        <v>10826.232783423331</v>
      </c>
    </row>
    <row r="86" spans="1:44" ht="13.9" x14ac:dyDescent="0.25">
      <c r="A86" s="118">
        <v>29</v>
      </c>
      <c r="B86" s="4" t="s">
        <v>70</v>
      </c>
      <c r="C86" s="4" t="s">
        <v>289</v>
      </c>
      <c r="D86" s="4" t="s">
        <v>153</v>
      </c>
      <c r="E86" s="4" t="s">
        <v>292</v>
      </c>
      <c r="F86" s="4" t="s">
        <v>127</v>
      </c>
      <c r="G86" s="119">
        <v>45901</v>
      </c>
      <c r="H86" s="4">
        <v>5</v>
      </c>
      <c r="I86" s="4" t="s">
        <v>1607</v>
      </c>
      <c r="J86" s="4" t="s">
        <v>521</v>
      </c>
      <c r="K86" s="120">
        <v>17345.96056699297</v>
      </c>
      <c r="L86" s="121">
        <f t="shared" si="17"/>
        <v>878.74079652873309</v>
      </c>
      <c r="M86" s="122">
        <f t="shared" si="17"/>
        <v>1099.7781487212374</v>
      </c>
      <c r="N86" s="123">
        <f t="shared" si="17"/>
        <v>1006.1544175790295</v>
      </c>
      <c r="O86" s="123">
        <f t="shared" si="17"/>
        <v>491.94625700893431</v>
      </c>
      <c r="P86" s="123">
        <f t="shared" si="17"/>
        <v>437.42927833883988</v>
      </c>
      <c r="Q86" s="124">
        <f t="shared" si="17"/>
        <v>410.05174819858087</v>
      </c>
      <c r="R86" s="122">
        <f t="shared" si="17"/>
        <v>413.97787532562432</v>
      </c>
      <c r="S86" s="125">
        <f t="shared" si="17"/>
        <v>519.21356260397397</v>
      </c>
      <c r="T86" s="122">
        <f t="shared" si="17"/>
        <v>520.37881700978903</v>
      </c>
      <c r="U86" s="123">
        <f t="shared" si="17"/>
        <v>639.71417578679541</v>
      </c>
      <c r="V86" s="123">
        <f t="shared" si="17"/>
        <v>419.12930642598008</v>
      </c>
      <c r="W86" s="123">
        <f t="shared" si="17"/>
        <v>361.79483467523369</v>
      </c>
      <c r="X86" s="124">
        <f t="shared" si="17"/>
        <v>367.93454817188552</v>
      </c>
      <c r="Y86" s="122">
        <f t="shared" si="17"/>
        <v>398.21840597818465</v>
      </c>
      <c r="Z86" s="125">
        <f t="shared" si="17"/>
        <v>443.48700960891699</v>
      </c>
      <c r="AA86" s="122">
        <f t="shared" si="17"/>
        <v>566.66673418978235</v>
      </c>
      <c r="AB86" s="123">
        <f t="shared" si="16"/>
        <v>470.79307267542094</v>
      </c>
      <c r="AC86" s="123">
        <f t="shared" si="16"/>
        <v>326.42178487293762</v>
      </c>
      <c r="AD86" s="123">
        <f t="shared" si="16"/>
        <v>303.45084200170362</v>
      </c>
      <c r="AE86" s="124">
        <f t="shared" si="16"/>
        <v>299.8728790615433</v>
      </c>
      <c r="AF86" s="122">
        <f t="shared" si="16"/>
        <v>335.66329808890248</v>
      </c>
      <c r="AG86" s="125">
        <f t="shared" si="16"/>
        <v>465.1710529941916</v>
      </c>
      <c r="AH86" s="122">
        <f t="shared" si="16"/>
        <v>561.39709043531445</v>
      </c>
      <c r="AI86" s="123">
        <f t="shared" si="16"/>
        <v>545.696301508651</v>
      </c>
      <c r="AJ86" s="123">
        <f t="shared" si="16"/>
        <v>396.8379301502552</v>
      </c>
      <c r="AK86" s="123">
        <f t="shared" si="16"/>
        <v>610.12057009133696</v>
      </c>
      <c r="AL86" s="124">
        <f t="shared" si="16"/>
        <v>627.66920546824474</v>
      </c>
      <c r="AM86" s="122">
        <f t="shared" si="16"/>
        <v>750.38683120008113</v>
      </c>
      <c r="AN86" s="125">
        <f t="shared" si="16"/>
        <v>876.9099957942658</v>
      </c>
      <c r="AO86" s="125">
        <f t="shared" si="16"/>
        <v>919.94464527062996</v>
      </c>
      <c r="AP86" s="125">
        <f t="shared" si="16"/>
        <v>881.00915122797164</v>
      </c>
      <c r="AQ86" s="3">
        <f t="shared" si="15"/>
        <v>13290.040738031777</v>
      </c>
      <c r="AR86" s="110">
        <f t="shared" si="14"/>
        <v>17345.96056699297</v>
      </c>
    </row>
    <row r="87" spans="1:44" ht="13.9" x14ac:dyDescent="0.25">
      <c r="A87" s="118">
        <v>92</v>
      </c>
      <c r="B87" s="4" t="s">
        <v>14</v>
      </c>
      <c r="C87" s="4" t="s">
        <v>356</v>
      </c>
      <c r="D87" s="4" t="s">
        <v>145</v>
      </c>
      <c r="E87" s="4" t="s">
        <v>343</v>
      </c>
      <c r="F87" s="4" t="s">
        <v>131</v>
      </c>
      <c r="G87" s="119">
        <v>45568</v>
      </c>
      <c r="H87" s="4">
        <v>3</v>
      </c>
      <c r="I87" s="4" t="s">
        <v>1607</v>
      </c>
      <c r="J87" s="4" t="s">
        <v>521</v>
      </c>
      <c r="K87" s="120">
        <v>6931.684655742949</v>
      </c>
      <c r="L87" s="121">
        <f t="shared" si="17"/>
        <v>351.15692049157559</v>
      </c>
      <c r="M87" s="122">
        <f t="shared" si="17"/>
        <v>439.48648959334844</v>
      </c>
      <c r="N87" s="123">
        <f t="shared" si="17"/>
        <v>402.07315764984406</v>
      </c>
      <c r="O87" s="123">
        <f t="shared" si="17"/>
        <v>196.58849724631622</v>
      </c>
      <c r="P87" s="123">
        <f t="shared" si="17"/>
        <v>174.80276199888107</v>
      </c>
      <c r="Q87" s="124">
        <f t="shared" si="17"/>
        <v>163.86232403048828</v>
      </c>
      <c r="R87" s="122">
        <f t="shared" si="17"/>
        <v>165.43125848401226</v>
      </c>
      <c r="S87" s="125">
        <f t="shared" si="17"/>
        <v>207.48488796890598</v>
      </c>
      <c r="T87" s="122">
        <f t="shared" si="17"/>
        <v>207.95053967228847</v>
      </c>
      <c r="U87" s="123">
        <f t="shared" si="17"/>
        <v>255.63859200743531</v>
      </c>
      <c r="V87" s="123">
        <f t="shared" si="17"/>
        <v>167.4898412748322</v>
      </c>
      <c r="W87" s="123">
        <f t="shared" si="17"/>
        <v>144.57819700210038</v>
      </c>
      <c r="X87" s="124">
        <f t="shared" si="17"/>
        <v>147.0317110448097</v>
      </c>
      <c r="Y87" s="122">
        <f t="shared" si="17"/>
        <v>159.133557561864</v>
      </c>
      <c r="Z87" s="125">
        <f t="shared" si="17"/>
        <v>177.22351481514823</v>
      </c>
      <c r="AA87" s="122">
        <f t="shared" si="17"/>
        <v>226.44782865341298</v>
      </c>
      <c r="AB87" s="123">
        <f t="shared" si="16"/>
        <v>188.13539355693456</v>
      </c>
      <c r="AC87" s="123">
        <f t="shared" si="16"/>
        <v>130.44263929721436</v>
      </c>
      <c r="AD87" s="123">
        <f t="shared" si="16"/>
        <v>121.26313426989007</v>
      </c>
      <c r="AE87" s="124">
        <f t="shared" si="16"/>
        <v>119.83333101884845</v>
      </c>
      <c r="AF87" s="122">
        <f t="shared" si="16"/>
        <v>134.13567521226452</v>
      </c>
      <c r="AG87" s="125">
        <f t="shared" si="16"/>
        <v>185.88875709029708</v>
      </c>
      <c r="AH87" s="122">
        <f t="shared" si="16"/>
        <v>224.34200645849899</v>
      </c>
      <c r="AI87" s="123">
        <f t="shared" si="16"/>
        <v>218.06775504038464</v>
      </c>
      <c r="AJ87" s="123">
        <f t="shared" si="16"/>
        <v>158.58190041511071</v>
      </c>
      <c r="AK87" s="123">
        <f t="shared" si="16"/>
        <v>243.81257973702478</v>
      </c>
      <c r="AL87" s="124">
        <f t="shared" si="16"/>
        <v>250.82525603716621</v>
      </c>
      <c r="AM87" s="122">
        <f t="shared" si="16"/>
        <v>299.8649088133422</v>
      </c>
      <c r="AN87" s="125">
        <f t="shared" si="16"/>
        <v>350.42530731225253</v>
      </c>
      <c r="AO87" s="125">
        <f t="shared" si="16"/>
        <v>367.62254572914486</v>
      </c>
      <c r="AP87" s="125">
        <f t="shared" si="16"/>
        <v>352.06338625931255</v>
      </c>
      <c r="AQ87" s="3">
        <f t="shared" si="15"/>
        <v>5310.8832515917311</v>
      </c>
      <c r="AR87" s="110">
        <f t="shared" si="14"/>
        <v>6931.6846557429499</v>
      </c>
    </row>
    <row r="88" spans="1:44" ht="13.9" x14ac:dyDescent="0.25">
      <c r="A88" s="118">
        <v>18</v>
      </c>
      <c r="B88" s="4" t="s">
        <v>97</v>
      </c>
      <c r="C88" s="4" t="s">
        <v>280</v>
      </c>
      <c r="D88" s="4" t="s">
        <v>163</v>
      </c>
      <c r="E88" s="4" t="s">
        <v>279</v>
      </c>
      <c r="F88" s="4" t="s">
        <v>129</v>
      </c>
      <c r="G88" s="119">
        <v>46019</v>
      </c>
      <c r="H88" s="4">
        <v>4</v>
      </c>
      <c r="I88" s="4" t="s">
        <v>1606</v>
      </c>
      <c r="J88" s="4" t="s">
        <v>521</v>
      </c>
      <c r="K88" s="120">
        <v>15876.000210708471</v>
      </c>
      <c r="L88" s="121">
        <f t="shared" si="17"/>
        <v>804.27307654526567</v>
      </c>
      <c r="M88" s="122">
        <f t="shared" si="17"/>
        <v>1006.578912329313</v>
      </c>
      <c r="N88" s="123">
        <f t="shared" si="17"/>
        <v>920.88919975326985</v>
      </c>
      <c r="O88" s="123">
        <f t="shared" si="17"/>
        <v>450.25692579935463</v>
      </c>
      <c r="P88" s="123">
        <f t="shared" si="17"/>
        <v>400.35991597329979</v>
      </c>
      <c r="Q88" s="124">
        <f t="shared" si="17"/>
        <v>375.30245820976131</v>
      </c>
      <c r="R88" s="122">
        <f t="shared" si="17"/>
        <v>378.89587091558855</v>
      </c>
      <c r="S88" s="125">
        <f t="shared" si="17"/>
        <v>475.21349985014797</v>
      </c>
      <c r="T88" s="122">
        <f t="shared" si="17"/>
        <v>476.28000632125412</v>
      </c>
      <c r="U88" s="123">
        <f t="shared" si="17"/>
        <v>585.50244884737356</v>
      </c>
      <c r="V88" s="123">
        <f t="shared" si="17"/>
        <v>383.61075083929381</v>
      </c>
      <c r="W88" s="123">
        <f t="shared" si="17"/>
        <v>331.13501263614245</v>
      </c>
      <c r="X88" s="124">
        <f t="shared" si="17"/>
        <v>336.75442427899003</v>
      </c>
      <c r="Y88" s="122">
        <f t="shared" si="17"/>
        <v>364.47191683623367</v>
      </c>
      <c r="Z88" s="125">
        <f t="shared" si="17"/>
        <v>405.90429286431856</v>
      </c>
      <c r="AA88" s="122">
        <f t="shared" si="17"/>
        <v>518.64531552766277</v>
      </c>
      <c r="AB88" s="123">
        <f t="shared" si="16"/>
        <v>430.89633993620851</v>
      </c>
      <c r="AC88" s="123">
        <f t="shared" si="16"/>
        <v>298.75960488943809</v>
      </c>
      <c r="AD88" s="123">
        <f t="shared" si="16"/>
        <v>277.73530401803907</v>
      </c>
      <c r="AE88" s="124">
        <f t="shared" si="16"/>
        <v>274.46055078817284</v>
      </c>
      <c r="AF88" s="122">
        <f t="shared" si="16"/>
        <v>307.21795836010767</v>
      </c>
      <c r="AG88" s="125">
        <f t="shared" si="16"/>
        <v>425.75075083498319</v>
      </c>
      <c r="AH88" s="122">
        <f t="shared" si="16"/>
        <v>513.82224072398276</v>
      </c>
      <c r="AI88" s="123">
        <f t="shared" si="16"/>
        <v>499.45199427119672</v>
      </c>
      <c r="AJ88" s="123">
        <f t="shared" si="16"/>
        <v>363.20842759616306</v>
      </c>
      <c r="AK88" s="123">
        <f t="shared" si="16"/>
        <v>558.41671390394583</v>
      </c>
      <c r="AL88" s="124">
        <f t="shared" si="16"/>
        <v>574.47821351738185</v>
      </c>
      <c r="AM88" s="122">
        <f t="shared" si="16"/>
        <v>686.79629728401756</v>
      </c>
      <c r="AN88" s="125">
        <f t="shared" si="16"/>
        <v>802.59742458388178</v>
      </c>
      <c r="AO88" s="125">
        <f t="shared" si="16"/>
        <v>841.98515993101478</v>
      </c>
      <c r="AP88" s="125">
        <f t="shared" si="16"/>
        <v>806.34920254266933</v>
      </c>
      <c r="AQ88" s="3">
        <f t="shared" si="15"/>
        <v>12163.793912849505</v>
      </c>
      <c r="AR88" s="110">
        <f t="shared" si="14"/>
        <v>15876.000210708471</v>
      </c>
    </row>
    <row r="89" spans="1:44" ht="13.9" x14ac:dyDescent="0.25">
      <c r="A89" s="118">
        <v>103</v>
      </c>
      <c r="B89" s="4" t="s">
        <v>81</v>
      </c>
      <c r="C89" s="4" t="s">
        <v>368</v>
      </c>
      <c r="D89" s="4" t="s">
        <v>158</v>
      </c>
      <c r="E89" s="4" t="s">
        <v>296</v>
      </c>
      <c r="F89" s="4" t="s">
        <v>128</v>
      </c>
      <c r="G89" s="119">
        <v>45962</v>
      </c>
      <c r="H89" s="4">
        <v>5</v>
      </c>
      <c r="I89" s="4" t="s">
        <v>1607</v>
      </c>
      <c r="J89" s="4" t="s">
        <v>521</v>
      </c>
      <c r="K89" s="120">
        <v>7093.1634803580819</v>
      </c>
      <c r="L89" s="121">
        <f t="shared" si="17"/>
        <v>359.33738593289792</v>
      </c>
      <c r="M89" s="122">
        <f t="shared" si="17"/>
        <v>449.72465899924708</v>
      </c>
      <c r="N89" s="123">
        <f t="shared" si="17"/>
        <v>411.43975525650234</v>
      </c>
      <c r="O89" s="123">
        <f t="shared" si="17"/>
        <v>201.16817463280691</v>
      </c>
      <c r="P89" s="123">
        <f t="shared" si="17"/>
        <v>178.87492424354866</v>
      </c>
      <c r="Q89" s="124">
        <f t="shared" si="17"/>
        <v>167.67962051716918</v>
      </c>
      <c r="R89" s="122">
        <f t="shared" si="17"/>
        <v>169.28510448268563</v>
      </c>
      <c r="S89" s="125">
        <f t="shared" si="17"/>
        <v>212.3184049995549</v>
      </c>
      <c r="T89" s="122">
        <f t="shared" si="17"/>
        <v>212.79490441074245</v>
      </c>
      <c r="U89" s="123">
        <f t="shared" si="17"/>
        <v>261.59388590982411</v>
      </c>
      <c r="V89" s="123">
        <f t="shared" si="17"/>
        <v>171.39164351299766</v>
      </c>
      <c r="W89" s="123">
        <f t="shared" si="17"/>
        <v>147.94625519810208</v>
      </c>
      <c r="X89" s="124">
        <f t="shared" si="17"/>
        <v>150.45692570182629</v>
      </c>
      <c r="Y89" s="122">
        <f t="shared" si="17"/>
        <v>162.84069386539224</v>
      </c>
      <c r="Z89" s="125">
        <f t="shared" si="17"/>
        <v>181.35207032333955</v>
      </c>
      <c r="AA89" s="122">
        <f t="shared" si="17"/>
        <v>231.72310169649734</v>
      </c>
      <c r="AB89" s="123">
        <f t="shared" si="16"/>
        <v>192.51814951437836</v>
      </c>
      <c r="AC89" s="123">
        <f t="shared" si="16"/>
        <v>133.48139900997168</v>
      </c>
      <c r="AD89" s="123">
        <f t="shared" si="16"/>
        <v>124.08805048630012</v>
      </c>
      <c r="AE89" s="124">
        <f t="shared" si="16"/>
        <v>122.62493888961444</v>
      </c>
      <c r="AF89" s="122">
        <f t="shared" si="16"/>
        <v>137.2604669833801</v>
      </c>
      <c r="AG89" s="125">
        <f t="shared" si="16"/>
        <v>190.21917595596776</v>
      </c>
      <c r="AH89" s="122">
        <f t="shared" si="16"/>
        <v>229.56822278452663</v>
      </c>
      <c r="AI89" s="123">
        <f t="shared" si="16"/>
        <v>223.14780794515829</v>
      </c>
      <c r="AJ89" s="123">
        <f t="shared" si="16"/>
        <v>162.27618544913199</v>
      </c>
      <c r="AK89" s="123">
        <f t="shared" si="16"/>
        <v>249.49237775981848</v>
      </c>
      <c r="AL89" s="124">
        <f t="shared" si="16"/>
        <v>256.66841964604657</v>
      </c>
      <c r="AM89" s="122">
        <f t="shared" si="16"/>
        <v>306.8504881383314</v>
      </c>
      <c r="AN89" s="125">
        <f t="shared" si="16"/>
        <v>358.58872927249666</v>
      </c>
      <c r="AO89" s="125">
        <f t="shared" si="16"/>
        <v>376.18659033512421</v>
      </c>
      <c r="AP89" s="125">
        <f t="shared" si="16"/>
        <v>360.26496850470164</v>
      </c>
      <c r="AQ89" s="3">
        <f t="shared" si="15"/>
        <v>5434.6042844613803</v>
      </c>
      <c r="AR89" s="110">
        <f t="shared" si="14"/>
        <v>7093.163480358081</v>
      </c>
    </row>
    <row r="90" spans="1:44" ht="13.9" x14ac:dyDescent="0.25">
      <c r="A90" s="118">
        <v>105</v>
      </c>
      <c r="B90" s="4" t="s">
        <v>106</v>
      </c>
      <c r="C90" s="4" t="s">
        <v>289</v>
      </c>
      <c r="D90" s="4" t="s">
        <v>161</v>
      </c>
      <c r="E90" s="4" t="s">
        <v>285</v>
      </c>
      <c r="F90" s="4" t="s">
        <v>131</v>
      </c>
      <c r="G90" s="119">
        <v>46077</v>
      </c>
      <c r="H90" s="4">
        <v>3</v>
      </c>
      <c r="I90" s="4" t="s">
        <v>1607</v>
      </c>
      <c r="J90" s="4" t="s">
        <v>521</v>
      </c>
      <c r="K90" s="120">
        <v>10982.802779263211</v>
      </c>
      <c r="L90" s="121">
        <f t="shared" si="17"/>
        <v>556.38526474759567</v>
      </c>
      <c r="M90" s="122">
        <f t="shared" si="17"/>
        <v>696.3377128466783</v>
      </c>
      <c r="N90" s="123">
        <f t="shared" si="17"/>
        <v>637.05872563681135</v>
      </c>
      <c r="O90" s="123">
        <f t="shared" si="17"/>
        <v>311.48166732299291</v>
      </c>
      <c r="P90" s="123">
        <f t="shared" si="17"/>
        <v>276.96358903367144</v>
      </c>
      <c r="Q90" s="124">
        <f t="shared" si="17"/>
        <v>259.6291777767961</v>
      </c>
      <c r="R90" s="122">
        <f t="shared" si="17"/>
        <v>262.115052211717</v>
      </c>
      <c r="S90" s="125">
        <f t="shared" si="17"/>
        <v>328.74628858830778</v>
      </c>
      <c r="T90" s="122">
        <f t="shared" si="17"/>
        <v>329.4840833778963</v>
      </c>
      <c r="U90" s="123">
        <f t="shared" si="17"/>
        <v>405.04269571179282</v>
      </c>
      <c r="V90" s="123">
        <f t="shared" si="17"/>
        <v>265.37674253942527</v>
      </c>
      <c r="W90" s="123">
        <f t="shared" si="17"/>
        <v>229.0747347457544</v>
      </c>
      <c r="X90" s="124">
        <f t="shared" si="17"/>
        <v>232.96216791467447</v>
      </c>
      <c r="Y90" s="122">
        <f t="shared" si="17"/>
        <v>252.13675535808937</v>
      </c>
      <c r="Z90" s="125">
        <f t="shared" si="17"/>
        <v>280.79911417349172</v>
      </c>
      <c r="AA90" s="122">
        <f t="shared" si="17"/>
        <v>358.79183278083781</v>
      </c>
      <c r="AB90" s="123">
        <f t="shared" si="16"/>
        <v>298.08827519627181</v>
      </c>
      <c r="AC90" s="123">
        <f t="shared" si="16"/>
        <v>206.67786440932997</v>
      </c>
      <c r="AD90" s="123">
        <f t="shared" si="16"/>
        <v>192.13353668333767</v>
      </c>
      <c r="AE90" s="124">
        <f t="shared" si="16"/>
        <v>189.86810657518507</v>
      </c>
      <c r="AF90" s="122">
        <f t="shared" si="16"/>
        <v>212.52923923754403</v>
      </c>
      <c r="AG90" s="125">
        <f t="shared" si="16"/>
        <v>294.52862606980193</v>
      </c>
      <c r="AH90" s="122">
        <f t="shared" si="16"/>
        <v>355.45529469470694</v>
      </c>
      <c r="AI90" s="123">
        <f t="shared" si="16"/>
        <v>345.51415205262623</v>
      </c>
      <c r="AJ90" s="123">
        <f t="shared" si="16"/>
        <v>251.26269054621963</v>
      </c>
      <c r="AK90" s="123">
        <f t="shared" si="16"/>
        <v>386.30514966323494</v>
      </c>
      <c r="AL90" s="124">
        <f t="shared" si="16"/>
        <v>397.41627842692674</v>
      </c>
      <c r="AM90" s="122">
        <f t="shared" si="16"/>
        <v>475.11641361095604</v>
      </c>
      <c r="AN90" s="125">
        <f t="shared" si="16"/>
        <v>555.22607132517737</v>
      </c>
      <c r="AO90" s="125">
        <f t="shared" si="16"/>
        <v>582.47397529960494</v>
      </c>
      <c r="AP90" s="125">
        <f t="shared" si="16"/>
        <v>557.82150070575631</v>
      </c>
      <c r="AQ90" s="3">
        <f t="shared" si="15"/>
        <v>8414.7485398947902</v>
      </c>
      <c r="AR90" s="110">
        <f t="shared" si="14"/>
        <v>10982.802779263213</v>
      </c>
    </row>
    <row r="91" spans="1:44" ht="13.9" x14ac:dyDescent="0.25">
      <c r="A91" s="118">
        <v>3</v>
      </c>
      <c r="B91" s="4" t="s">
        <v>114</v>
      </c>
      <c r="C91" s="4" t="s">
        <v>263</v>
      </c>
      <c r="D91" s="4" t="s">
        <v>157</v>
      </c>
      <c r="E91" s="4" t="s">
        <v>261</v>
      </c>
      <c r="F91" s="4" t="s">
        <v>133</v>
      </c>
      <c r="G91" s="119">
        <v>45777</v>
      </c>
      <c r="H91" s="4">
        <v>4</v>
      </c>
      <c r="I91" s="4" t="s">
        <v>1607</v>
      </c>
      <c r="J91" s="4" t="s">
        <v>521</v>
      </c>
      <c r="K91" s="120">
        <v>14918.931161534178</v>
      </c>
      <c r="L91" s="121">
        <f t="shared" si="17"/>
        <v>755.7882656086631</v>
      </c>
      <c r="M91" s="122">
        <f t="shared" si="17"/>
        <v>945.8982931710874</v>
      </c>
      <c r="N91" s="123">
        <f t="shared" si="17"/>
        <v>865.37430059067992</v>
      </c>
      <c r="O91" s="123">
        <f t="shared" si="17"/>
        <v>423.11363012414637</v>
      </c>
      <c r="P91" s="123">
        <f t="shared" si="17"/>
        <v>376.22461243194471</v>
      </c>
      <c r="Q91" s="124">
        <f t="shared" si="17"/>
        <v>352.67771885070573</v>
      </c>
      <c r="R91" s="122">
        <f t="shared" si="17"/>
        <v>356.05450620782972</v>
      </c>
      <c r="S91" s="125">
        <f t="shared" si="17"/>
        <v>446.56572166798367</v>
      </c>
      <c r="T91" s="122">
        <f t="shared" si="17"/>
        <v>447.56793484602531</v>
      </c>
      <c r="U91" s="123">
        <f t="shared" si="17"/>
        <v>550.20600990996377</v>
      </c>
      <c r="V91" s="123">
        <f t="shared" si="17"/>
        <v>360.4851542352348</v>
      </c>
      <c r="W91" s="123">
        <f t="shared" si="17"/>
        <v>311.17286426843043</v>
      </c>
      <c r="X91" s="124">
        <f t="shared" si="17"/>
        <v>316.45351521043648</v>
      </c>
      <c r="Y91" s="122">
        <f t="shared" si="17"/>
        <v>342.5000860055751</v>
      </c>
      <c r="Z91" s="125">
        <f t="shared" si="17"/>
        <v>381.43475201829449</v>
      </c>
      <c r="AA91" s="122">
        <f t="shared" si="17"/>
        <v>487.37929307851022</v>
      </c>
      <c r="AB91" s="123">
        <f t="shared" si="16"/>
        <v>404.92017812706058</v>
      </c>
      <c r="AC91" s="123">
        <f t="shared" si="16"/>
        <v>280.7491761171861</v>
      </c>
      <c r="AD91" s="123">
        <f t="shared" si="16"/>
        <v>260.99230453386258</v>
      </c>
      <c r="AE91" s="124">
        <f t="shared" si="16"/>
        <v>257.91496657978314</v>
      </c>
      <c r="AF91" s="122">
        <f t="shared" si="16"/>
        <v>288.69762607271883</v>
      </c>
      <c r="AG91" s="125">
        <f t="shared" si="16"/>
        <v>400.08478580104247</v>
      </c>
      <c r="AH91" s="122">
        <f t="shared" si="16"/>
        <v>482.84697259299537</v>
      </c>
      <c r="AI91" s="123">
        <f t="shared" si="16"/>
        <v>469.34302230589543</v>
      </c>
      <c r="AJ91" s="123">
        <f t="shared" si="16"/>
        <v>341.31276497094581</v>
      </c>
      <c r="AK91" s="123">
        <f t="shared" si="16"/>
        <v>524.75311184260306</v>
      </c>
      <c r="AL91" s="124">
        <f t="shared" si="16"/>
        <v>539.84635975792082</v>
      </c>
      <c r="AM91" s="122">
        <f t="shared" si="16"/>
        <v>645.39345837660323</v>
      </c>
      <c r="AN91" s="125">
        <f t="shared" si="16"/>
        <v>754.21362867676692</v>
      </c>
      <c r="AO91" s="125">
        <f t="shared" si="16"/>
        <v>791.22691315986026</v>
      </c>
      <c r="AP91" s="125">
        <f t="shared" si="16"/>
        <v>757.73923439342332</v>
      </c>
      <c r="AQ91" s="3">
        <f t="shared" si="15"/>
        <v>11430.511567169602</v>
      </c>
      <c r="AR91" s="110">
        <f t="shared" si="14"/>
        <v>14918.931161534178</v>
      </c>
    </row>
    <row r="92" spans="1:44" ht="13.9" x14ac:dyDescent="0.25">
      <c r="A92" s="118">
        <v>77</v>
      </c>
      <c r="B92" s="4" t="s">
        <v>79</v>
      </c>
      <c r="C92" s="4" t="s">
        <v>340</v>
      </c>
      <c r="D92" s="4" t="s">
        <v>149</v>
      </c>
      <c r="E92" s="4" t="s">
        <v>341</v>
      </c>
      <c r="F92" s="4" t="s">
        <v>127</v>
      </c>
      <c r="G92" s="119">
        <v>45945</v>
      </c>
      <c r="H92" s="4">
        <v>4</v>
      </c>
      <c r="I92" s="4" t="s">
        <v>1607</v>
      </c>
      <c r="J92" s="4" t="s">
        <v>521</v>
      </c>
      <c r="K92" s="120">
        <v>6906.3819529440761</v>
      </c>
      <c r="L92" s="121">
        <f t="shared" si="17"/>
        <v>349.8750936866582</v>
      </c>
      <c r="M92" s="122">
        <f t="shared" si="17"/>
        <v>437.88223368983046</v>
      </c>
      <c r="N92" s="123">
        <f t="shared" si="17"/>
        <v>400.60547149320541</v>
      </c>
      <c r="O92" s="123">
        <f t="shared" si="17"/>
        <v>195.87089098369154</v>
      </c>
      <c r="P92" s="123">
        <f t="shared" si="17"/>
        <v>174.16468012485706</v>
      </c>
      <c r="Q92" s="124">
        <f t="shared" si="17"/>
        <v>163.26417799661746</v>
      </c>
      <c r="R92" s="122">
        <f t="shared" si="17"/>
        <v>164.82738537452272</v>
      </c>
      <c r="S92" s="125">
        <f t="shared" si="17"/>
        <v>206.72750665162619</v>
      </c>
      <c r="T92" s="122">
        <f t="shared" si="17"/>
        <v>207.19145858832226</v>
      </c>
      <c r="U92" s="123">
        <f t="shared" si="17"/>
        <v>254.70543540283884</v>
      </c>
      <c r="V92" s="123">
        <f t="shared" si="17"/>
        <v>166.87845372821374</v>
      </c>
      <c r="W92" s="123">
        <f t="shared" si="17"/>
        <v>144.05044374562323</v>
      </c>
      <c r="X92" s="124">
        <f t="shared" si="17"/>
        <v>146.49500173511913</v>
      </c>
      <c r="Y92" s="122">
        <f t="shared" si="17"/>
        <v>158.55267292670115</v>
      </c>
      <c r="Z92" s="125">
        <f t="shared" si="17"/>
        <v>176.57659647609424</v>
      </c>
      <c r="AA92" s="122">
        <f t="shared" si="17"/>
        <v>225.62122698405975</v>
      </c>
      <c r="AB92" s="123">
        <f t="shared" si="16"/>
        <v>187.44864362736641</v>
      </c>
      <c r="AC92" s="123">
        <f t="shared" si="16"/>
        <v>129.9664850146182</v>
      </c>
      <c r="AD92" s="123">
        <f t="shared" si="16"/>
        <v>120.82048790046115</v>
      </c>
      <c r="AE92" s="124">
        <f t="shared" si="16"/>
        <v>119.39590385492565</v>
      </c>
      <c r="AF92" s="122">
        <f t="shared" si="16"/>
        <v>133.64604025436</v>
      </c>
      <c r="AG92" s="125">
        <f t="shared" si="16"/>
        <v>185.21020804949345</v>
      </c>
      <c r="AH92" s="122">
        <f t="shared" si="16"/>
        <v>223.52309166409628</v>
      </c>
      <c r="AI92" s="123">
        <f t="shared" si="16"/>
        <v>217.27174312267098</v>
      </c>
      <c r="AJ92" s="123">
        <f t="shared" si="16"/>
        <v>158.0030294919853</v>
      </c>
      <c r="AK92" s="123">
        <f t="shared" si="16"/>
        <v>242.92259158117275</v>
      </c>
      <c r="AL92" s="124">
        <f t="shared" si="16"/>
        <v>249.90966953501606</v>
      </c>
      <c r="AM92" s="122">
        <f t="shared" si="16"/>
        <v>298.7703130484831</v>
      </c>
      <c r="AN92" s="125">
        <f t="shared" si="16"/>
        <v>349.1461511122111</v>
      </c>
      <c r="AO92" s="125">
        <f t="shared" si="16"/>
        <v>366.28061451347088</v>
      </c>
      <c r="AP92" s="125">
        <f t="shared" si="16"/>
        <v>350.77825058576406</v>
      </c>
      <c r="AQ92" s="3">
        <f t="shared" si="15"/>
        <v>5291.4969541491328</v>
      </c>
      <c r="AR92" s="110">
        <f t="shared" si="14"/>
        <v>6906.381952944078</v>
      </c>
    </row>
    <row r="93" spans="1:44" ht="13.9" x14ac:dyDescent="0.25">
      <c r="A93" s="118">
        <v>107</v>
      </c>
      <c r="B93" s="4" t="s">
        <v>41</v>
      </c>
      <c r="C93" s="4" t="s">
        <v>371</v>
      </c>
      <c r="D93" s="4" t="s">
        <v>141</v>
      </c>
      <c r="E93" s="4" t="s">
        <v>270</v>
      </c>
      <c r="F93" s="4" t="s">
        <v>132</v>
      </c>
      <c r="G93" s="119">
        <v>45739</v>
      </c>
      <c r="H93" s="4">
        <v>3</v>
      </c>
      <c r="I93" s="4" t="s">
        <v>1606</v>
      </c>
      <c r="J93" s="4" t="s">
        <v>522</v>
      </c>
      <c r="K93" s="120">
        <v>5923.9653345649158</v>
      </c>
      <c r="L93" s="121">
        <f t="shared" si="17"/>
        <v>300.10618302740698</v>
      </c>
      <c r="M93" s="122">
        <f t="shared" si="17"/>
        <v>375.59451398349472</v>
      </c>
      <c r="N93" s="123">
        <f t="shared" si="17"/>
        <v>343.62028369298895</v>
      </c>
      <c r="O93" s="123">
        <f t="shared" si="17"/>
        <v>168.00871659626384</v>
      </c>
      <c r="P93" s="123">
        <f t="shared" si="17"/>
        <v>149.39016327143975</v>
      </c>
      <c r="Q93" s="124">
        <f t="shared" si="17"/>
        <v>140.04023197933742</v>
      </c>
      <c r="R93" s="122">
        <f t="shared" si="17"/>
        <v>141.38107677774875</v>
      </c>
      <c r="S93" s="125">
        <f t="shared" si="17"/>
        <v>177.32100417400534</v>
      </c>
      <c r="T93" s="122">
        <f t="shared" si="17"/>
        <v>177.71896003694746</v>
      </c>
      <c r="U93" s="123">
        <f t="shared" si="17"/>
        <v>218.4741852003242</v>
      </c>
      <c r="V93" s="123">
        <f t="shared" si="17"/>
        <v>143.14038547351373</v>
      </c>
      <c r="W93" s="123">
        <f t="shared" si="17"/>
        <v>123.55960631658904</v>
      </c>
      <c r="X93" s="124">
        <f t="shared" si="17"/>
        <v>125.65643167127918</v>
      </c>
      <c r="Y93" s="122">
        <f t="shared" si="17"/>
        <v>135.99892744420188</v>
      </c>
      <c r="Z93" s="125">
        <f t="shared" si="17"/>
        <v>151.45899018427917</v>
      </c>
      <c r="AA93" s="122">
        <f t="shared" si="17"/>
        <v>193.52713714679706</v>
      </c>
      <c r="AB93" s="123">
        <f t="shared" si="16"/>
        <v>160.78451415308265</v>
      </c>
      <c r="AC93" s="123">
        <f t="shared" si="16"/>
        <v>111.47905764951879</v>
      </c>
      <c r="AD93" s="123">
        <f t="shared" si="16"/>
        <v>103.63405715237704</v>
      </c>
      <c r="AE93" s="124">
        <f t="shared" si="16"/>
        <v>102.41211684275818</v>
      </c>
      <c r="AF93" s="122">
        <f t="shared" si="16"/>
        <v>114.63520479506657</v>
      </c>
      <c r="AG93" s="125">
        <f t="shared" si="16"/>
        <v>158.86449078088506</v>
      </c>
      <c r="AH93" s="122">
        <f t="shared" si="16"/>
        <v>191.72745665021063</v>
      </c>
      <c r="AI93" s="123">
        <f t="shared" si="16"/>
        <v>186.36534776222769</v>
      </c>
      <c r="AJ93" s="123">
        <f t="shared" si="16"/>
        <v>135.52746949765148</v>
      </c>
      <c r="AK93" s="123">
        <f t="shared" si="16"/>
        <v>208.36742324917157</v>
      </c>
      <c r="AL93" s="124">
        <f t="shared" si="16"/>
        <v>214.36060576796149</v>
      </c>
      <c r="AM93" s="122">
        <f t="shared" si="16"/>
        <v>256.27093745399367</v>
      </c>
      <c r="AN93" s="125">
        <f t="shared" si="16"/>
        <v>299.48093082280337</v>
      </c>
      <c r="AO93" s="125">
        <f t="shared" si="16"/>
        <v>314.17805703259324</v>
      </c>
      <c r="AP93" s="125">
        <f t="shared" si="16"/>
        <v>300.88086797799758</v>
      </c>
      <c r="AQ93" s="3">
        <f t="shared" si="15"/>
        <v>4538.7939355095668</v>
      </c>
      <c r="AR93" s="110">
        <f t="shared" si="14"/>
        <v>5923.9653345649167</v>
      </c>
    </row>
    <row r="94" spans="1:44" ht="13.9" x14ac:dyDescent="0.25">
      <c r="A94" s="118">
        <v>47</v>
      </c>
      <c r="B94" s="4" t="s">
        <v>61</v>
      </c>
      <c r="C94" s="4" t="s">
        <v>311</v>
      </c>
      <c r="D94" s="4" t="s">
        <v>138</v>
      </c>
      <c r="E94" s="4" t="s">
        <v>296</v>
      </c>
      <c r="F94" s="4" t="s">
        <v>128</v>
      </c>
      <c r="G94" s="119">
        <v>45807</v>
      </c>
      <c r="H94" s="4">
        <v>5</v>
      </c>
      <c r="I94" s="4" t="s">
        <v>1607</v>
      </c>
      <c r="J94" s="4" t="s">
        <v>522</v>
      </c>
      <c r="K94" s="120">
        <v>5276.0221330867462</v>
      </c>
      <c r="L94" s="121">
        <f t="shared" si="17"/>
        <v>267.28158834593711</v>
      </c>
      <c r="M94" s="122">
        <f t="shared" si="17"/>
        <v>334.51326213549135</v>
      </c>
      <c r="N94" s="123">
        <f t="shared" si="17"/>
        <v>306.03626452093476</v>
      </c>
      <c r="O94" s="123">
        <f t="shared" si="17"/>
        <v>149.63249398867208</v>
      </c>
      <c r="P94" s="123">
        <f t="shared" si="17"/>
        <v>133.05037476952876</v>
      </c>
      <c r="Q94" s="124">
        <f t="shared" si="17"/>
        <v>124.72310719553724</v>
      </c>
      <c r="R94" s="122">
        <f t="shared" si="17"/>
        <v>125.91729494545119</v>
      </c>
      <c r="S94" s="125">
        <f t="shared" si="17"/>
        <v>157.92623518988412</v>
      </c>
      <c r="T94" s="122">
        <f t="shared" si="17"/>
        <v>158.28066399260237</v>
      </c>
      <c r="U94" s="123">
        <f t="shared" si="17"/>
        <v>194.57822109447932</v>
      </c>
      <c r="V94" s="123">
        <f t="shared" si="17"/>
        <v>127.48417643336755</v>
      </c>
      <c r="W94" s="123">
        <f t="shared" si="17"/>
        <v>110.04507637445309</v>
      </c>
      <c r="X94" s="124">
        <f t="shared" si="17"/>
        <v>111.91255809586244</v>
      </c>
      <c r="Y94" s="122">
        <f t="shared" si="17"/>
        <v>121.12382682002422</v>
      </c>
      <c r="Z94" s="125">
        <f t="shared" si="17"/>
        <v>134.89292042353165</v>
      </c>
      <c r="AA94" s="122">
        <f t="shared" si="17"/>
        <v>172.35979639884346</v>
      </c>
      <c r="AB94" s="123">
        <f t="shared" si="16"/>
        <v>143.19845026432225</v>
      </c>
      <c r="AC94" s="123">
        <f t="shared" si="16"/>
        <v>99.285857076628588</v>
      </c>
      <c r="AD94" s="123">
        <f t="shared" si="16"/>
        <v>92.298916080283888</v>
      </c>
      <c r="AE94" s="124">
        <f t="shared" si="16"/>
        <v>91.21062745015918</v>
      </c>
      <c r="AF94" s="122">
        <f t="shared" si="16"/>
        <v>102.09679557048317</v>
      </c>
      <c r="AG94" s="125">
        <f t="shared" si="16"/>
        <v>141.48843252524946</v>
      </c>
      <c r="AH94" s="122">
        <f t="shared" si="16"/>
        <v>170.75695884051532</v>
      </c>
      <c r="AI94" s="123">
        <f t="shared" si="16"/>
        <v>165.98133920480439</v>
      </c>
      <c r="AJ94" s="123">
        <f t="shared" si="16"/>
        <v>120.70393534187764</v>
      </c>
      <c r="AK94" s="123">
        <f t="shared" si="16"/>
        <v>185.57690242757383</v>
      </c>
      <c r="AL94" s="124">
        <f t="shared" si="16"/>
        <v>190.91457100444211</v>
      </c>
      <c r="AM94" s="122">
        <f t="shared" si="16"/>
        <v>228.24089300202897</v>
      </c>
      <c r="AN94" s="125">
        <f t="shared" si="16"/>
        <v>266.7247241031634</v>
      </c>
      <c r="AO94" s="125">
        <f t="shared" si="16"/>
        <v>279.81432858197081</v>
      </c>
      <c r="AP94" s="125">
        <f t="shared" si="16"/>
        <v>267.97154088864306</v>
      </c>
      <c r="AQ94" s="3">
        <f t="shared" si="15"/>
        <v>4042.3560755064987</v>
      </c>
      <c r="AR94" s="110">
        <f t="shared" si="14"/>
        <v>5276.0221330867471</v>
      </c>
    </row>
    <row r="95" spans="1:44" ht="13.9" x14ac:dyDescent="0.25">
      <c r="A95" s="118">
        <v>74</v>
      </c>
      <c r="B95" s="4" t="s">
        <v>63</v>
      </c>
      <c r="C95" s="4" t="s">
        <v>337</v>
      </c>
      <c r="D95" s="4" t="s">
        <v>152</v>
      </c>
      <c r="E95" s="4" t="s">
        <v>266</v>
      </c>
      <c r="F95" s="4" t="s">
        <v>126</v>
      </c>
      <c r="G95" s="119">
        <v>45867</v>
      </c>
      <c r="H95" s="4">
        <v>4</v>
      </c>
      <c r="I95" s="4" t="s">
        <v>1607</v>
      </c>
      <c r="J95" s="4" t="s">
        <v>522</v>
      </c>
      <c r="K95" s="120">
        <v>15635.281039981961</v>
      </c>
      <c r="L95" s="121">
        <f t="shared" si="17"/>
        <v>792.07832059577606</v>
      </c>
      <c r="M95" s="122">
        <f t="shared" si="17"/>
        <v>991.31670284135453</v>
      </c>
      <c r="N95" s="123">
        <f t="shared" si="17"/>
        <v>906.92625684866573</v>
      </c>
      <c r="O95" s="123">
        <f t="shared" si="17"/>
        <v>443.42992451730743</v>
      </c>
      <c r="P95" s="123">
        <f t="shared" si="17"/>
        <v>394.28947595779618</v>
      </c>
      <c r="Q95" s="124">
        <f t="shared" si="17"/>
        <v>369.61195082044185</v>
      </c>
      <c r="R95" s="122">
        <f t="shared" si="17"/>
        <v>373.15087856058847</v>
      </c>
      <c r="S95" s="125">
        <f t="shared" si="17"/>
        <v>468.00809558687445</v>
      </c>
      <c r="T95" s="122">
        <f t="shared" si="17"/>
        <v>469.05843119945882</v>
      </c>
      <c r="U95" s="123">
        <f t="shared" si="17"/>
        <v>576.62479313596737</v>
      </c>
      <c r="V95" s="123">
        <f t="shared" si="17"/>
        <v>377.79426932013109</v>
      </c>
      <c r="W95" s="123">
        <f t="shared" si="17"/>
        <v>326.11419224168827</v>
      </c>
      <c r="X95" s="124">
        <f t="shared" si="17"/>
        <v>331.64839979706517</v>
      </c>
      <c r="Y95" s="122">
        <f t="shared" si="17"/>
        <v>358.94562706491325</v>
      </c>
      <c r="Z95" s="125">
        <f t="shared" si="17"/>
        <v>399.74978647254341</v>
      </c>
      <c r="AA95" s="122">
        <f t="shared" si="17"/>
        <v>510.78137822620084</v>
      </c>
      <c r="AB95" s="123">
        <f t="shared" si="16"/>
        <v>424.36289270504955</v>
      </c>
      <c r="AC95" s="123">
        <f t="shared" si="16"/>
        <v>294.22967522320783</v>
      </c>
      <c r="AD95" s="123">
        <f t="shared" si="16"/>
        <v>273.5241544099909</v>
      </c>
      <c r="AE95" s="124">
        <f t="shared" si="16"/>
        <v>270.29905448519935</v>
      </c>
      <c r="AF95" s="122">
        <f t="shared" si="16"/>
        <v>302.55977927298125</v>
      </c>
      <c r="AG95" s="125">
        <f t="shared" si="16"/>
        <v>419.29532337737589</v>
      </c>
      <c r="AH95" s="122">
        <f t="shared" si="16"/>
        <v>506.03143308690005</v>
      </c>
      <c r="AI95" s="123">
        <f t="shared" si="16"/>
        <v>491.87907487821451</v>
      </c>
      <c r="AJ95" s="123">
        <f t="shared" si="16"/>
        <v>357.70129542613097</v>
      </c>
      <c r="AK95" s="123">
        <f t="shared" si="16"/>
        <v>549.94974448427342</v>
      </c>
      <c r="AL95" s="124">
        <f t="shared" si="16"/>
        <v>565.76771230026327</v>
      </c>
      <c r="AM95" s="122">
        <f t="shared" si="16"/>
        <v>676.38277795005251</v>
      </c>
      <c r="AN95" s="125">
        <f t="shared" si="16"/>
        <v>790.42807563522467</v>
      </c>
      <c r="AO95" s="125">
        <f t="shared" si="16"/>
        <v>829.21859613833408</v>
      </c>
      <c r="AP95" s="125">
        <f t="shared" si="16"/>
        <v>794.12296742199135</v>
      </c>
      <c r="AQ95" s="3">
        <f t="shared" si="15"/>
        <v>11979.360910536099</v>
      </c>
      <c r="AR95" s="110">
        <f t="shared" si="14"/>
        <v>15635.281039981966</v>
      </c>
    </row>
    <row r="96" spans="1:44" ht="13.9" x14ac:dyDescent="0.25">
      <c r="A96" s="118">
        <v>95</v>
      </c>
      <c r="B96" s="4" t="s">
        <v>44</v>
      </c>
      <c r="C96" s="4" t="s">
        <v>359</v>
      </c>
      <c r="D96" s="4" t="s">
        <v>145</v>
      </c>
      <c r="E96" s="4" t="s">
        <v>343</v>
      </c>
      <c r="F96" s="4" t="s">
        <v>127</v>
      </c>
      <c r="G96" s="119">
        <v>45723</v>
      </c>
      <c r="H96" s="4">
        <v>4</v>
      </c>
      <c r="I96" s="4" t="s">
        <v>1607</v>
      </c>
      <c r="J96" s="4" t="s">
        <v>522</v>
      </c>
      <c r="K96" s="120">
        <v>7244.6858458785682</v>
      </c>
      <c r="L96" s="121">
        <f t="shared" si="17"/>
        <v>367.01346035121259</v>
      </c>
      <c r="M96" s="122">
        <f t="shared" si="17"/>
        <v>459.33156350006089</v>
      </c>
      <c r="N96" s="123">
        <f t="shared" si="17"/>
        <v>420.22882731980235</v>
      </c>
      <c r="O96" s="123">
        <f t="shared" si="17"/>
        <v>205.46547833547899</v>
      </c>
      <c r="P96" s="123">
        <f t="shared" si="17"/>
        <v>182.69600516586684</v>
      </c>
      <c r="Q96" s="124">
        <f t="shared" si="17"/>
        <v>171.2615501908183</v>
      </c>
      <c r="R96" s="122">
        <f t="shared" si="17"/>
        <v>172.90133009903138</v>
      </c>
      <c r="S96" s="125">
        <f t="shared" si="17"/>
        <v>216.85389710517958</v>
      </c>
      <c r="T96" s="122">
        <f t="shared" si="17"/>
        <v>217.34057537635704</v>
      </c>
      <c r="U96" s="123">
        <f t="shared" si="17"/>
        <v>267.1819883846245</v>
      </c>
      <c r="V96" s="123">
        <f t="shared" si="17"/>
        <v>175.05286848369613</v>
      </c>
      <c r="W96" s="123">
        <f t="shared" si="17"/>
        <v>151.10664570927386</v>
      </c>
      <c r="X96" s="124">
        <f t="shared" si="17"/>
        <v>153.67094852174444</v>
      </c>
      <c r="Y96" s="122">
        <f t="shared" si="17"/>
        <v>166.3192556109106</v>
      </c>
      <c r="Z96" s="125">
        <f t="shared" si="17"/>
        <v>185.22606741413304</v>
      </c>
      <c r="AA96" s="122">
        <f t="shared" si="17"/>
        <v>236.67311202856217</v>
      </c>
      <c r="AB96" s="123">
        <f t="shared" si="16"/>
        <v>196.63067356670328</v>
      </c>
      <c r="AC96" s="123">
        <f t="shared" si="16"/>
        <v>136.33279491914277</v>
      </c>
      <c r="AD96" s="123">
        <f t="shared" si="16"/>
        <v>126.73878805841098</v>
      </c>
      <c r="AE96" s="124">
        <f t="shared" si="16"/>
        <v>125.24442184158801</v>
      </c>
      <c r="AF96" s="122">
        <f t="shared" si="16"/>
        <v>140.19259038746642</v>
      </c>
      <c r="AG96" s="125">
        <f t="shared" si="16"/>
        <v>194.28258991618722</v>
      </c>
      <c r="AH96" s="122">
        <f t="shared" si="16"/>
        <v>234.47220113790434</v>
      </c>
      <c r="AI96" s="123">
        <f t="shared" si="16"/>
        <v>227.91463501945191</v>
      </c>
      <c r="AJ96" s="123">
        <f t="shared" si="16"/>
        <v>165.74268830853771</v>
      </c>
      <c r="AK96" s="123">
        <f t="shared" si="16"/>
        <v>254.82197087608907</v>
      </c>
      <c r="AL96" s="124">
        <f t="shared" si="16"/>
        <v>262.1513055553969</v>
      </c>
      <c r="AM96" s="122">
        <f t="shared" si="16"/>
        <v>313.4053507116509</v>
      </c>
      <c r="AN96" s="125">
        <f t="shared" si="16"/>
        <v>366.24881107644956</v>
      </c>
      <c r="AO96" s="125">
        <f t="shared" si="16"/>
        <v>384.22259319936194</v>
      </c>
      <c r="AP96" s="125">
        <f t="shared" si="16"/>
        <v>367.96085770747527</v>
      </c>
      <c r="AQ96" s="3">
        <f t="shared" si="15"/>
        <v>5550.6969276282334</v>
      </c>
      <c r="AR96" s="110">
        <f t="shared" si="14"/>
        <v>7244.6858458785673</v>
      </c>
    </row>
    <row r="97" spans="1:46" ht="13.9" x14ac:dyDescent="0.25">
      <c r="A97" s="118">
        <v>70</v>
      </c>
      <c r="B97" s="4" t="s">
        <v>66</v>
      </c>
      <c r="C97" s="4" t="s">
        <v>333</v>
      </c>
      <c r="D97" s="4" t="s">
        <v>139</v>
      </c>
      <c r="E97" s="4" t="s">
        <v>296</v>
      </c>
      <c r="F97" s="4" t="s">
        <v>130</v>
      </c>
      <c r="G97" s="119">
        <v>45872</v>
      </c>
      <c r="H97" s="4">
        <v>4</v>
      </c>
      <c r="I97" s="4" t="s">
        <v>1607</v>
      </c>
      <c r="J97" s="4" t="s">
        <v>522</v>
      </c>
      <c r="K97" s="120">
        <v>11260.107895746125</v>
      </c>
      <c r="L97" s="121">
        <f t="shared" si="17"/>
        <v>570.43345296977907</v>
      </c>
      <c r="M97" s="122">
        <f t="shared" si="17"/>
        <v>713.91956462471296</v>
      </c>
      <c r="N97" s="123">
        <f t="shared" si="17"/>
        <v>653.14384049043747</v>
      </c>
      <c r="O97" s="123">
        <f t="shared" si="17"/>
        <v>319.34627727505193</v>
      </c>
      <c r="P97" s="123">
        <f t="shared" si="17"/>
        <v>283.95665099263897</v>
      </c>
      <c r="Q97" s="124">
        <f t="shared" si="17"/>
        <v>266.18456266649792</v>
      </c>
      <c r="R97" s="122">
        <f t="shared" si="17"/>
        <v>268.73320301951753</v>
      </c>
      <c r="S97" s="125">
        <f t="shared" si="17"/>
        <v>337.04681348004425</v>
      </c>
      <c r="T97" s="122">
        <f t="shared" si="17"/>
        <v>337.80323687238376</v>
      </c>
      <c r="U97" s="123">
        <f t="shared" si="17"/>
        <v>415.26963087327874</v>
      </c>
      <c r="V97" s="123">
        <f t="shared" si="17"/>
        <v>272.07724786404953</v>
      </c>
      <c r="W97" s="123">
        <f t="shared" si="17"/>
        <v>234.85864958777486</v>
      </c>
      <c r="X97" s="124">
        <f t="shared" si="17"/>
        <v>238.84423667326735</v>
      </c>
      <c r="Y97" s="122">
        <f t="shared" si="17"/>
        <v>258.50296384962434</v>
      </c>
      <c r="Z97" s="125">
        <f t="shared" si="17"/>
        <v>287.88901942164938</v>
      </c>
      <c r="AA97" s="122">
        <f t="shared" si="17"/>
        <v>367.85097851823247</v>
      </c>
      <c r="AB97" s="123">
        <f t="shared" si="16"/>
        <v>305.61471498917854</v>
      </c>
      <c r="AC97" s="123">
        <f t="shared" si="16"/>
        <v>211.89628000108422</v>
      </c>
      <c r="AD97" s="123">
        <f t="shared" si="16"/>
        <v>196.98472210850483</v>
      </c>
      <c r="AE97" s="124">
        <f t="shared" si="16"/>
        <v>194.66209208766588</v>
      </c>
      <c r="AF97" s="122">
        <f t="shared" si="16"/>
        <v>217.89539636767742</v>
      </c>
      <c r="AG97" s="125">
        <f t="shared" si="16"/>
        <v>301.9651881752464</v>
      </c>
      <c r="AH97" s="122">
        <f t="shared" si="16"/>
        <v>364.43019608198256</v>
      </c>
      <c r="AI97" s="123">
        <f t="shared" si="16"/>
        <v>354.23804923143695</v>
      </c>
      <c r="AJ97" s="123">
        <f t="shared" si="16"/>
        <v>257.60682974912754</v>
      </c>
      <c r="AK97" s="123">
        <f t="shared" si="16"/>
        <v>396.05897996305384</v>
      </c>
      <c r="AL97" s="124">
        <f t="shared" si="16"/>
        <v>407.45065394985482</v>
      </c>
      <c r="AM97" s="122">
        <f t="shared" si="16"/>
        <v>487.11264217549819</v>
      </c>
      <c r="AN97" s="125">
        <f t="shared" si="16"/>
        <v>569.24499103790197</v>
      </c>
      <c r="AO97" s="125">
        <f t="shared" si="16"/>
        <v>597.18087815628712</v>
      </c>
      <c r="AP97" s="125">
        <f t="shared" si="16"/>
        <v>571.9059524926854</v>
      </c>
      <c r="AQ97" s="3">
        <f t="shared" si="15"/>
        <v>8627.2127779338989</v>
      </c>
      <c r="AR97" s="110">
        <f t="shared" si="14"/>
        <v>11260.107895746125</v>
      </c>
    </row>
    <row r="98" spans="1:46" ht="13.9" x14ac:dyDescent="0.25">
      <c r="A98" s="118">
        <v>59</v>
      </c>
      <c r="B98" s="4" t="s">
        <v>115</v>
      </c>
      <c r="C98" s="4" t="s">
        <v>322</v>
      </c>
      <c r="D98" s="4" t="s">
        <v>142</v>
      </c>
      <c r="E98" s="4" t="s">
        <v>270</v>
      </c>
      <c r="F98" s="4" t="s">
        <v>132</v>
      </c>
      <c r="G98" s="119">
        <v>46239</v>
      </c>
      <c r="H98" s="4">
        <v>2</v>
      </c>
      <c r="I98" s="4" t="s">
        <v>1606</v>
      </c>
      <c r="J98" s="4" t="s">
        <v>522</v>
      </c>
      <c r="K98" s="120">
        <v>12758.755825111184</v>
      </c>
      <c r="L98" s="121">
        <f t="shared" si="17"/>
        <v>646.35447620053151</v>
      </c>
      <c r="M98" s="122">
        <f t="shared" si="17"/>
        <v>808.93766633066787</v>
      </c>
      <c r="N98" s="123">
        <f t="shared" si="17"/>
        <v>740.07308425890278</v>
      </c>
      <c r="O98" s="123">
        <f t="shared" si="17"/>
        <v>361.84921255949081</v>
      </c>
      <c r="P98" s="123">
        <f t="shared" si="17"/>
        <v>321.74945466553459</v>
      </c>
      <c r="Q98" s="124">
        <f t="shared" si="17"/>
        <v>301.61201570358605</v>
      </c>
      <c r="R98" s="122">
        <f t="shared" si="17"/>
        <v>304.49986369325649</v>
      </c>
      <c r="S98" s="125">
        <f t="shared" si="17"/>
        <v>381.90557627323051</v>
      </c>
      <c r="T98" s="122">
        <f t="shared" si="17"/>
        <v>382.76267475333549</v>
      </c>
      <c r="U98" s="123">
        <f t="shared" si="17"/>
        <v>470.53934748687726</v>
      </c>
      <c r="V98" s="123">
        <f t="shared" si="17"/>
        <v>308.28897939575558</v>
      </c>
      <c r="W98" s="123">
        <f t="shared" si="17"/>
        <v>266.11682510056556</v>
      </c>
      <c r="X98" s="124">
        <f t="shared" si="17"/>
        <v>270.6328681895244</v>
      </c>
      <c r="Y98" s="122">
        <f t="shared" si="17"/>
        <v>292.90804549669497</v>
      </c>
      <c r="Z98" s="125">
        <f t="shared" si="17"/>
        <v>326.20519603716696</v>
      </c>
      <c r="AA98" s="122">
        <f t="shared" si="17"/>
        <v>416.80957752770763</v>
      </c>
      <c r="AB98" s="123">
        <f t="shared" si="16"/>
        <v>346.29006766275756</v>
      </c>
      <c r="AC98" s="123">
        <f t="shared" si="16"/>
        <v>240.0983118291941</v>
      </c>
      <c r="AD98" s="123">
        <f t="shared" si="16"/>
        <v>223.20212150091987</v>
      </c>
      <c r="AE98" s="124">
        <f t="shared" si="16"/>
        <v>220.57036436481357</v>
      </c>
      <c r="AF98" s="122">
        <f t="shared" si="16"/>
        <v>246.8958719943775</v>
      </c>
      <c r="AG98" s="125">
        <f t="shared" si="16"/>
        <v>342.15481230576876</v>
      </c>
      <c r="AH98" s="122">
        <f t="shared" si="16"/>
        <v>412.93351095365381</v>
      </c>
      <c r="AI98" s="123">
        <f t="shared" si="16"/>
        <v>401.38485491911314</v>
      </c>
      <c r="AJ98" s="123">
        <f t="shared" si="16"/>
        <v>291.89264171187745</v>
      </c>
      <c r="AK98" s="123">
        <f t="shared" si="16"/>
        <v>448.77188251457397</v>
      </c>
      <c r="AL98" s="124">
        <f t="shared" si="16"/>
        <v>461.67971503114984</v>
      </c>
      <c r="AM98" s="122">
        <f t="shared" si="16"/>
        <v>551.94420145741583</v>
      </c>
      <c r="AN98" s="125">
        <f t="shared" si="16"/>
        <v>645.00783763039942</v>
      </c>
      <c r="AO98" s="125">
        <f t="shared" si="16"/>
        <v>676.6618116243784</v>
      </c>
      <c r="AP98" s="125">
        <f t="shared" si="16"/>
        <v>648.02295593796384</v>
      </c>
      <c r="AQ98" s="3">
        <f t="shared" si="15"/>
        <v>9775.439303429881</v>
      </c>
      <c r="AR98" s="110">
        <f t="shared" si="14"/>
        <v>12758.75582511119</v>
      </c>
    </row>
    <row r="99" spans="1:46" ht="13.9" x14ac:dyDescent="0.25">
      <c r="A99" s="118">
        <v>10</v>
      </c>
      <c r="B99" s="4" t="s">
        <v>86</v>
      </c>
      <c r="C99" s="4" t="s">
        <v>272</v>
      </c>
      <c r="D99" s="4" t="s">
        <v>142</v>
      </c>
      <c r="E99" s="4" t="s">
        <v>270</v>
      </c>
      <c r="F99" s="4" t="s">
        <v>132</v>
      </c>
      <c r="G99" s="119">
        <v>45921</v>
      </c>
      <c r="H99" s="4">
        <v>5</v>
      </c>
      <c r="I99" s="4" t="s">
        <v>1608</v>
      </c>
      <c r="J99" s="4" t="s">
        <v>522</v>
      </c>
      <c r="K99" s="120">
        <v>675</v>
      </c>
      <c r="L99" s="121">
        <f t="shared" si="17"/>
        <v>34.195283412875938</v>
      </c>
      <c r="M99" s="122">
        <f t="shared" si="17"/>
        <v>42.796721894976976</v>
      </c>
      <c r="N99" s="123">
        <f t="shared" si="17"/>
        <v>39.153451850812118</v>
      </c>
      <c r="O99" s="123">
        <f t="shared" si="17"/>
        <v>19.143576523107246</v>
      </c>
      <c r="P99" s="123">
        <f t="shared" si="17"/>
        <v>17.022105045053895</v>
      </c>
      <c r="Q99" s="124">
        <f t="shared" si="17"/>
        <v>15.956736957002347</v>
      </c>
      <c r="R99" s="122">
        <f t="shared" si="17"/>
        <v>16.109518107433253</v>
      </c>
      <c r="S99" s="125">
        <f t="shared" si="17"/>
        <v>20.204655337714652</v>
      </c>
      <c r="T99" s="122">
        <f t="shared" si="17"/>
        <v>20.25</v>
      </c>
      <c r="U99" s="123">
        <f t="shared" si="17"/>
        <v>24.893811270259523</v>
      </c>
      <c r="V99" s="123">
        <f t="shared" si="17"/>
        <v>16.309980686562877</v>
      </c>
      <c r="W99" s="123">
        <f t="shared" si="17"/>
        <v>14.078869398013298</v>
      </c>
      <c r="X99" s="124">
        <f t="shared" si="17"/>
        <v>14.317789957888552</v>
      </c>
      <c r="Y99" s="122">
        <f t="shared" si="17"/>
        <v>15.496254761858504</v>
      </c>
      <c r="Z99" s="125">
        <f t="shared" si="17"/>
        <v>17.257835351917546</v>
      </c>
      <c r="AA99" s="122">
        <f t="shared" si="17"/>
        <v>22.051246115821872</v>
      </c>
      <c r="AB99" s="123">
        <f t="shared" si="16"/>
        <v>18.320422373184211</v>
      </c>
      <c r="AC99" s="123">
        <f t="shared" si="16"/>
        <v>12.702363984874969</v>
      </c>
      <c r="AD99" s="123">
        <f t="shared" si="16"/>
        <v>11.808473653567079</v>
      </c>
      <c r="AE99" s="124">
        <f t="shared" si="16"/>
        <v>11.669240950063539</v>
      </c>
      <c r="AF99" s="122">
        <f t="shared" si="16"/>
        <v>13.061987852154271</v>
      </c>
      <c r="AG99" s="125">
        <f t="shared" si="16"/>
        <v>18.101647329267021</v>
      </c>
      <c r="AH99" s="122">
        <f t="shared" si="16"/>
        <v>21.846183414305397</v>
      </c>
      <c r="AI99" s="123">
        <f t="shared" si="16"/>
        <v>21.235203556224523</v>
      </c>
      <c r="AJ99" s="123">
        <f t="shared" si="16"/>
        <v>15.44253498195623</v>
      </c>
      <c r="AK99" s="123">
        <f t="shared" si="16"/>
        <v>23.742206908697362</v>
      </c>
      <c r="AL99" s="124">
        <f t="shared" si="16"/>
        <v>24.425093787960353</v>
      </c>
      <c r="AM99" s="122">
        <f t="shared" si="16"/>
        <v>29.200522456154854</v>
      </c>
      <c r="AN99" s="125">
        <f t="shared" si="16"/>
        <v>34.124039707980344</v>
      </c>
      <c r="AO99" s="125">
        <f t="shared" si="16"/>
        <v>35.79868829745201</v>
      </c>
      <c r="AP99" s="125">
        <f t="shared" si="16"/>
        <v>34.283554074859317</v>
      </c>
      <c r="AQ99" s="3">
        <f t="shared" si="15"/>
        <v>517.16810167559322</v>
      </c>
      <c r="AR99" s="110">
        <f t="shared" si="14"/>
        <v>675.00000000000023</v>
      </c>
    </row>
    <row r="100" spans="1:46" ht="13.9" x14ac:dyDescent="0.25">
      <c r="A100" s="118">
        <v>21</v>
      </c>
      <c r="B100" s="4" t="s">
        <v>102</v>
      </c>
      <c r="C100" s="4" t="s">
        <v>284</v>
      </c>
      <c r="D100" s="4" t="s">
        <v>156</v>
      </c>
      <c r="E100" s="4" t="s">
        <v>285</v>
      </c>
      <c r="F100" s="4" t="s">
        <v>131</v>
      </c>
      <c r="G100" s="119">
        <v>46033</v>
      </c>
      <c r="H100" s="4">
        <v>4</v>
      </c>
      <c r="I100" s="4" t="s">
        <v>1607</v>
      </c>
      <c r="J100" s="4" t="s">
        <v>522</v>
      </c>
      <c r="K100" s="120">
        <v>15188.291440494548</v>
      </c>
      <c r="L100" s="121">
        <f t="shared" si="17"/>
        <v>769.43397091121301</v>
      </c>
      <c r="M100" s="122">
        <f t="shared" si="17"/>
        <v>962.97642198326571</v>
      </c>
      <c r="N100" s="123">
        <f t="shared" si="17"/>
        <v>880.99857423926687</v>
      </c>
      <c r="O100" s="123">
        <f t="shared" si="17"/>
        <v>430.75291769831432</v>
      </c>
      <c r="P100" s="123">
        <f t="shared" si="17"/>
        <v>383.01732200739423</v>
      </c>
      <c r="Q100" s="124">
        <f t="shared" si="17"/>
        <v>359.0452908774248</v>
      </c>
      <c r="R100" s="122">
        <f t="shared" si="17"/>
        <v>362.4830458986969</v>
      </c>
      <c r="S100" s="125">
        <f t="shared" si="17"/>
        <v>454.62843514659841</v>
      </c>
      <c r="T100" s="122">
        <f t="shared" si="17"/>
        <v>455.64874321483643</v>
      </c>
      <c r="U100" s="123">
        <f t="shared" si="17"/>
        <v>560.13994168499175</v>
      </c>
      <c r="V100" s="123">
        <f t="shared" si="17"/>
        <v>366.99368897237679</v>
      </c>
      <c r="W100" s="123">
        <f t="shared" si="17"/>
        <v>316.79106899212741</v>
      </c>
      <c r="X100" s="124">
        <f t="shared" si="17"/>
        <v>322.16706172473698</v>
      </c>
      <c r="Y100" s="122">
        <f t="shared" si="17"/>
        <v>348.68390156927165</v>
      </c>
      <c r="Z100" s="125">
        <f t="shared" si="17"/>
        <v>388.32153030665694</v>
      </c>
      <c r="AA100" s="122">
        <f t="shared" ref="AA100:AP115" si="18">$K100*AA$4</f>
        <v>496.17889278989031</v>
      </c>
      <c r="AB100" s="123">
        <f t="shared" si="18"/>
        <v>412.23098417315344</v>
      </c>
      <c r="AC100" s="123">
        <f t="shared" si="18"/>
        <v>285.81808323781144</v>
      </c>
      <c r="AD100" s="123">
        <f t="shared" si="18"/>
        <v>265.70450269300483</v>
      </c>
      <c r="AE100" s="124">
        <f t="shared" si="18"/>
        <v>262.57160361321263</v>
      </c>
      <c r="AF100" s="122">
        <f t="shared" si="18"/>
        <v>293.91004191217553</v>
      </c>
      <c r="AG100" s="125">
        <f t="shared" si="18"/>
        <v>407.30828917030709</v>
      </c>
      <c r="AH100" s="122">
        <f t="shared" si="18"/>
        <v>491.56474156884235</v>
      </c>
      <c r="AI100" s="123">
        <f t="shared" si="18"/>
        <v>477.81697838542857</v>
      </c>
      <c r="AJ100" s="123">
        <f t="shared" si="18"/>
        <v>347.47514353479028</v>
      </c>
      <c r="AK100" s="123">
        <f t="shared" si="18"/>
        <v>534.22749328862017</v>
      </c>
      <c r="AL100" s="124">
        <f t="shared" si="18"/>
        <v>549.59324875993298</v>
      </c>
      <c r="AM100" s="122">
        <f t="shared" si="18"/>
        <v>657.04599300560824</v>
      </c>
      <c r="AN100" s="125">
        <f t="shared" si="18"/>
        <v>767.83090401750212</v>
      </c>
      <c r="AO100" s="125">
        <f t="shared" si="18"/>
        <v>805.51246081351508</v>
      </c>
      <c r="AP100" s="125">
        <f t="shared" si="18"/>
        <v>771.42016430358183</v>
      </c>
      <c r="AQ100" s="3">
        <f t="shared" si="15"/>
        <v>11636.888669594406</v>
      </c>
      <c r="AR100" s="110">
        <f t="shared" si="14"/>
        <v>15188.291440494546</v>
      </c>
    </row>
    <row r="101" spans="1:46" ht="13.9" x14ac:dyDescent="0.25">
      <c r="A101" s="118">
        <v>8</v>
      </c>
      <c r="B101" s="4" t="s">
        <v>91</v>
      </c>
      <c r="C101" s="4" t="s">
        <v>269</v>
      </c>
      <c r="D101" s="4" t="s">
        <v>142</v>
      </c>
      <c r="E101" s="4" t="s">
        <v>270</v>
      </c>
      <c r="F101" s="4" t="s">
        <v>132</v>
      </c>
      <c r="G101" s="119">
        <v>46013</v>
      </c>
      <c r="H101" s="4">
        <v>3</v>
      </c>
      <c r="I101" s="4" t="s">
        <v>1607</v>
      </c>
      <c r="J101" s="4" t="s">
        <v>522</v>
      </c>
      <c r="K101" s="120">
        <v>3582.4712208544834</v>
      </c>
      <c r="L101" s="121">
        <f t="shared" ref="L101:AA116" si="19">$K101*L$4</f>
        <v>181.48684254161589</v>
      </c>
      <c r="M101" s="122">
        <f t="shared" si="19"/>
        <v>227.13781412691549</v>
      </c>
      <c r="N101" s="123">
        <f t="shared" si="19"/>
        <v>207.80165104095721</v>
      </c>
      <c r="O101" s="123">
        <f t="shared" si="19"/>
        <v>101.60194364186258</v>
      </c>
      <c r="P101" s="123">
        <f t="shared" si="19"/>
        <v>90.342520655211089</v>
      </c>
      <c r="Q101" s="124">
        <f t="shared" si="19"/>
        <v>84.688223595860819</v>
      </c>
      <c r="R101" s="122">
        <f t="shared" si="19"/>
        <v>85.499088891427874</v>
      </c>
      <c r="S101" s="125">
        <f t="shared" si="19"/>
        <v>107.23347596243951</v>
      </c>
      <c r="T101" s="122">
        <f t="shared" si="19"/>
        <v>107.4741366256345</v>
      </c>
      <c r="U101" s="123">
        <f t="shared" si="19"/>
        <v>132.12053696753739</v>
      </c>
      <c r="V101" s="123">
        <f t="shared" si="19"/>
        <v>86.563016921931776</v>
      </c>
      <c r="W101" s="123">
        <f t="shared" si="19"/>
        <v>74.721695467483741</v>
      </c>
      <c r="X101" s="124">
        <f t="shared" si="19"/>
        <v>75.989734030185275</v>
      </c>
      <c r="Y101" s="122">
        <f t="shared" si="19"/>
        <v>82.244276615388642</v>
      </c>
      <c r="Z101" s="125">
        <f t="shared" si="19"/>
        <v>91.593627381466234</v>
      </c>
      <c r="AA101" s="122">
        <f t="shared" si="19"/>
        <v>117.03400680579416</v>
      </c>
      <c r="AB101" s="123">
        <f t="shared" si="18"/>
        <v>97.233164304934874</v>
      </c>
      <c r="AC101" s="123">
        <f t="shared" si="18"/>
        <v>67.416079129826741</v>
      </c>
      <c r="AD101" s="123">
        <f t="shared" si="18"/>
        <v>62.671877075736973</v>
      </c>
      <c r="AE101" s="124">
        <f t="shared" si="18"/>
        <v>61.932918330102609</v>
      </c>
      <c r="AF101" s="122">
        <f t="shared" si="18"/>
        <v>69.324734174064503</v>
      </c>
      <c r="AG101" s="125">
        <f t="shared" si="18"/>
        <v>96.072045343935585</v>
      </c>
      <c r="AH101" s="122">
        <f t="shared" si="18"/>
        <v>115.94566424778907</v>
      </c>
      <c r="AI101" s="123">
        <f t="shared" si="18"/>
        <v>112.70297127283131</v>
      </c>
      <c r="AJ101" s="123">
        <f t="shared" si="18"/>
        <v>81.959166147995262</v>
      </c>
      <c r="AK101" s="123">
        <f t="shared" si="18"/>
        <v>126.00855254811968</v>
      </c>
      <c r="AL101" s="124">
        <f t="shared" si="18"/>
        <v>129.63288231413273</v>
      </c>
      <c r="AM101" s="122">
        <f t="shared" si="18"/>
        <v>154.97782419717012</v>
      </c>
      <c r="AN101" s="125">
        <f t="shared" si="18"/>
        <v>181.10872621205218</v>
      </c>
      <c r="AO101" s="125">
        <f t="shared" si="18"/>
        <v>189.99669714068446</v>
      </c>
      <c r="AP101" s="125">
        <f t="shared" si="18"/>
        <v>181.95532714339549</v>
      </c>
      <c r="AQ101" s="3">
        <f t="shared" si="15"/>
        <v>2744.7997638470483</v>
      </c>
      <c r="AR101" s="110">
        <f t="shared" si="14"/>
        <v>3582.4712208544834</v>
      </c>
    </row>
    <row r="102" spans="1:46" ht="13.9" x14ac:dyDescent="0.25">
      <c r="A102" s="118">
        <v>54</v>
      </c>
      <c r="B102" s="4" t="s">
        <v>65</v>
      </c>
      <c r="C102" s="4" t="s">
        <v>317</v>
      </c>
      <c r="D102" s="4" t="s">
        <v>148</v>
      </c>
      <c r="E102" s="4" t="s">
        <v>266</v>
      </c>
      <c r="F102" s="4" t="s">
        <v>126</v>
      </c>
      <c r="G102" s="119">
        <v>45851</v>
      </c>
      <c r="H102" s="4">
        <v>4</v>
      </c>
      <c r="I102" s="4" t="s">
        <v>1607</v>
      </c>
      <c r="J102" s="4" t="s">
        <v>522</v>
      </c>
      <c r="K102" s="120">
        <v>9108.3311443587863</v>
      </c>
      <c r="L102" s="121">
        <f t="shared" si="19"/>
        <v>461.42513318470122</v>
      </c>
      <c r="M102" s="122">
        <f t="shared" si="19"/>
        <v>577.49142949997088</v>
      </c>
      <c r="N102" s="123">
        <f t="shared" si="19"/>
        <v>528.32978503985805</v>
      </c>
      <c r="O102" s="123">
        <f t="shared" si="19"/>
        <v>258.32005075530878</v>
      </c>
      <c r="P102" s="123">
        <f t="shared" si="19"/>
        <v>229.69328818431288</v>
      </c>
      <c r="Q102" s="124">
        <f t="shared" si="19"/>
        <v>215.31739879674862</v>
      </c>
      <c r="R102" s="122">
        <f t="shared" si="19"/>
        <v>217.37900073858683</v>
      </c>
      <c r="S102" s="125">
        <f t="shared" si="19"/>
        <v>272.63806144228352</v>
      </c>
      <c r="T102" s="122">
        <f t="shared" si="19"/>
        <v>273.24993433076361</v>
      </c>
      <c r="U102" s="123">
        <f t="shared" si="19"/>
        <v>335.91270591806602</v>
      </c>
      <c r="V102" s="123">
        <f t="shared" si="19"/>
        <v>220.08400748342362</v>
      </c>
      <c r="W102" s="123">
        <f t="shared" si="19"/>
        <v>189.97778461523609</v>
      </c>
      <c r="X102" s="124">
        <f t="shared" si="19"/>
        <v>193.20173658047966</v>
      </c>
      <c r="Y102" s="122">
        <f t="shared" si="19"/>
        <v>209.10373313830215</v>
      </c>
      <c r="Z102" s="125">
        <f t="shared" si="19"/>
        <v>232.87419143716539</v>
      </c>
      <c r="AA102" s="122">
        <f t="shared" si="19"/>
        <v>297.55563224986821</v>
      </c>
      <c r="AB102" s="123">
        <f t="shared" si="18"/>
        <v>247.21255359923151</v>
      </c>
      <c r="AC102" s="123">
        <f t="shared" si="18"/>
        <v>171.4034629487675</v>
      </c>
      <c r="AD102" s="123">
        <f t="shared" si="18"/>
        <v>159.3414642164818</v>
      </c>
      <c r="AE102" s="124">
        <f t="shared" si="18"/>
        <v>157.46268263183799</v>
      </c>
      <c r="AF102" s="122">
        <f t="shared" si="18"/>
        <v>176.25616409038943</v>
      </c>
      <c r="AG102" s="125">
        <f t="shared" si="18"/>
        <v>244.26044167905459</v>
      </c>
      <c r="AH102" s="122">
        <f t="shared" si="18"/>
        <v>294.78855226354403</v>
      </c>
      <c r="AI102" s="123">
        <f t="shared" si="18"/>
        <v>286.54409764141968</v>
      </c>
      <c r="AJ102" s="123">
        <f t="shared" si="18"/>
        <v>208.37884788741033</v>
      </c>
      <c r="AK102" s="123">
        <f t="shared" si="18"/>
        <v>320.37315944044224</v>
      </c>
      <c r="AL102" s="124">
        <f t="shared" si="18"/>
        <v>329.58791474483496</v>
      </c>
      <c r="AM102" s="122">
        <f t="shared" si="18"/>
        <v>394.02670832436053</v>
      </c>
      <c r="AN102" s="125">
        <f t="shared" si="18"/>
        <v>460.46378317560487</v>
      </c>
      <c r="AO102" s="125">
        <f t="shared" si="18"/>
        <v>483.0611963657401</v>
      </c>
      <c r="AP102" s="125">
        <f t="shared" si="18"/>
        <v>462.61624195459217</v>
      </c>
      <c r="AQ102" s="3">
        <f t="shared" si="15"/>
        <v>6978.5752997936543</v>
      </c>
      <c r="AR102" s="110">
        <f t="shared" si="14"/>
        <v>9108.3311443587863</v>
      </c>
    </row>
    <row r="103" spans="1:46" ht="13.9" x14ac:dyDescent="0.25">
      <c r="A103" s="118">
        <v>62</v>
      </c>
      <c r="B103" s="4" t="s">
        <v>93</v>
      </c>
      <c r="C103" s="4" t="s">
        <v>325</v>
      </c>
      <c r="D103" s="4" t="s">
        <v>139</v>
      </c>
      <c r="E103" s="4" t="s">
        <v>296</v>
      </c>
      <c r="F103" s="4" t="s">
        <v>130</v>
      </c>
      <c r="G103" s="119">
        <v>45951</v>
      </c>
      <c r="H103" s="4">
        <v>4</v>
      </c>
      <c r="I103" s="4" t="s">
        <v>1607</v>
      </c>
      <c r="J103" s="4" t="s">
        <v>522</v>
      </c>
      <c r="K103" s="120">
        <v>7564.3979378912481</v>
      </c>
      <c r="L103" s="121">
        <f t="shared" si="19"/>
        <v>383.20997234661564</v>
      </c>
      <c r="M103" s="122">
        <f t="shared" si="19"/>
        <v>479.60212570499118</v>
      </c>
      <c r="N103" s="123">
        <f t="shared" si="19"/>
        <v>438.77376361719627</v>
      </c>
      <c r="O103" s="123">
        <f t="shared" si="19"/>
        <v>214.53278633371224</v>
      </c>
      <c r="P103" s="123">
        <f t="shared" si="19"/>
        <v>190.75848340944279</v>
      </c>
      <c r="Q103" s="124">
        <f t="shared" si="19"/>
        <v>178.81941945632832</v>
      </c>
      <c r="R103" s="122">
        <f t="shared" si="19"/>
        <v>180.53156378117012</v>
      </c>
      <c r="S103" s="125">
        <f t="shared" si="19"/>
        <v>226.42378247764759</v>
      </c>
      <c r="T103" s="122">
        <f t="shared" si="19"/>
        <v>226.93193813673744</v>
      </c>
      <c r="U103" s="123">
        <f t="shared" si="19"/>
        <v>278.97288094667414</v>
      </c>
      <c r="V103" s="123">
        <f t="shared" si="19"/>
        <v>182.77805077404784</v>
      </c>
      <c r="W103" s="123">
        <f t="shared" si="19"/>
        <v>157.77506761803258</v>
      </c>
      <c r="X103" s="124">
        <f t="shared" si="19"/>
        <v>160.45253456683287</v>
      </c>
      <c r="Y103" s="122">
        <f t="shared" si="19"/>
        <v>173.65901861576282</v>
      </c>
      <c r="Z103" s="125">
        <f t="shared" si="19"/>
        <v>193.40019873853592</v>
      </c>
      <c r="AA103" s="122">
        <f t="shared" si="19"/>
        <v>247.11763058734127</v>
      </c>
      <c r="AB103" s="123">
        <f t="shared" si="18"/>
        <v>205.3080966237205</v>
      </c>
      <c r="AC103" s="123">
        <f t="shared" si="18"/>
        <v>142.34923842004781</v>
      </c>
      <c r="AD103" s="123">
        <f t="shared" si="18"/>
        <v>132.33184259953475</v>
      </c>
      <c r="AE103" s="124">
        <f t="shared" si="18"/>
        <v>130.77152915469148</v>
      </c>
      <c r="AF103" s="122">
        <f t="shared" si="18"/>
        <v>146.37936884977228</v>
      </c>
      <c r="AG103" s="125">
        <f t="shared" si="18"/>
        <v>202.85639071102528</v>
      </c>
      <c r="AH103" s="122">
        <f t="shared" si="18"/>
        <v>244.81959225180108</v>
      </c>
      <c r="AI103" s="123">
        <f t="shared" si="18"/>
        <v>237.9726370243047</v>
      </c>
      <c r="AJ103" s="123">
        <f t="shared" si="18"/>
        <v>173.05700707158988</v>
      </c>
      <c r="AK103" s="123">
        <f t="shared" si="18"/>
        <v>266.06740886094468</v>
      </c>
      <c r="AL103" s="124">
        <f t="shared" si="18"/>
        <v>273.72019123325578</v>
      </c>
      <c r="AM103" s="122">
        <f t="shared" si="18"/>
        <v>327.23610644842199</v>
      </c>
      <c r="AN103" s="125">
        <f t="shared" si="18"/>
        <v>382.4115786660231</v>
      </c>
      <c r="AO103" s="125">
        <f t="shared" si="18"/>
        <v>401.17855397993708</v>
      </c>
      <c r="AP103" s="125">
        <f t="shared" si="18"/>
        <v>384.19917888510952</v>
      </c>
      <c r="AQ103" s="3">
        <f t="shared" si="15"/>
        <v>5795.6523286785023</v>
      </c>
      <c r="AR103" s="110">
        <f t="shared" si="14"/>
        <v>7564.3979378912491</v>
      </c>
    </row>
    <row r="104" spans="1:46" ht="13.9" x14ac:dyDescent="0.25">
      <c r="A104" s="118">
        <v>93</v>
      </c>
      <c r="B104" s="4" t="s">
        <v>47</v>
      </c>
      <c r="C104" s="4" t="s">
        <v>357</v>
      </c>
      <c r="D104" s="4" t="s">
        <v>145</v>
      </c>
      <c r="E104" s="4" t="s">
        <v>343</v>
      </c>
      <c r="F104" s="4" t="s">
        <v>127</v>
      </c>
      <c r="G104" s="119">
        <v>45727</v>
      </c>
      <c r="H104" s="4">
        <v>2</v>
      </c>
      <c r="I104" s="4" t="s">
        <v>1607</v>
      </c>
      <c r="J104" s="4" t="s">
        <v>522</v>
      </c>
      <c r="K104" s="120">
        <v>7954.1685042434656</v>
      </c>
      <c r="L104" s="121">
        <f t="shared" si="19"/>
        <v>402.95562417241007</v>
      </c>
      <c r="M104" s="122">
        <f t="shared" si="19"/>
        <v>504.31457389910008</v>
      </c>
      <c r="N104" s="123">
        <f t="shared" si="19"/>
        <v>461.38244969502637</v>
      </c>
      <c r="O104" s="123">
        <f t="shared" si="19"/>
        <v>225.58701250173968</v>
      </c>
      <c r="P104" s="123">
        <f t="shared" si="19"/>
        <v>200.5876915930244</v>
      </c>
      <c r="Q104" s="124">
        <f t="shared" si="19"/>
        <v>188.03344375390486</v>
      </c>
      <c r="R104" s="122">
        <f t="shared" si="19"/>
        <v>189.83380970175614</v>
      </c>
      <c r="S104" s="125">
        <f t="shared" si="19"/>
        <v>238.09071574273261</v>
      </c>
      <c r="T104" s="122">
        <f t="shared" si="19"/>
        <v>238.62505512730397</v>
      </c>
      <c r="U104" s="123">
        <f t="shared" si="19"/>
        <v>293.34751045404346</v>
      </c>
      <c r="V104" s="123">
        <f t="shared" si="19"/>
        <v>192.19605138055948</v>
      </c>
      <c r="W104" s="123">
        <f t="shared" si="19"/>
        <v>165.90474006079191</v>
      </c>
      <c r="X104" s="124">
        <f t="shared" si="19"/>
        <v>168.72016879023775</v>
      </c>
      <c r="Y104" s="122">
        <f t="shared" si="19"/>
        <v>182.60714305260404</v>
      </c>
      <c r="Z104" s="125">
        <f t="shared" si="19"/>
        <v>203.36552652983997</v>
      </c>
      <c r="AA104" s="122">
        <f t="shared" si="19"/>
        <v>259.85085530932054</v>
      </c>
      <c r="AB104" s="123">
        <f t="shared" si="18"/>
        <v>215.88700240773213</v>
      </c>
      <c r="AC104" s="123">
        <f t="shared" si="18"/>
        <v>149.68406450063554</v>
      </c>
      <c r="AD104" s="123">
        <f t="shared" si="18"/>
        <v>139.15050254576596</v>
      </c>
      <c r="AE104" s="124">
        <f t="shared" si="18"/>
        <v>137.50979086433111</v>
      </c>
      <c r="AF104" s="122">
        <f t="shared" si="18"/>
        <v>153.92185537246851</v>
      </c>
      <c r="AG104" s="125">
        <f t="shared" si="18"/>
        <v>213.30896749833863</v>
      </c>
      <c r="AH104" s="122">
        <f t="shared" si="18"/>
        <v>257.43440600295401</v>
      </c>
      <c r="AI104" s="123">
        <f t="shared" si="18"/>
        <v>250.23464786388138</v>
      </c>
      <c r="AJ104" s="123">
        <f t="shared" si="18"/>
        <v>181.97411167282101</v>
      </c>
      <c r="AK104" s="123">
        <f t="shared" si="18"/>
        <v>279.77705839169209</v>
      </c>
      <c r="AL104" s="124">
        <f t="shared" si="18"/>
        <v>287.82416551316589</v>
      </c>
      <c r="AM104" s="122">
        <f t="shared" si="18"/>
        <v>344.09759411585327</v>
      </c>
      <c r="AN104" s="125">
        <f t="shared" si="18"/>
        <v>402.11609167817875</v>
      </c>
      <c r="AO104" s="125">
        <f t="shared" si="18"/>
        <v>421.8500725167732</v>
      </c>
      <c r="AP104" s="125">
        <f t="shared" si="18"/>
        <v>403.9958015344796</v>
      </c>
      <c r="AQ104" s="3">
        <f t="shared" si="15"/>
        <v>6094.2847788850158</v>
      </c>
      <c r="AR104" s="110">
        <f t="shared" si="14"/>
        <v>7954.1685042434674</v>
      </c>
    </row>
    <row r="105" spans="1:46" ht="13.9" x14ac:dyDescent="0.25">
      <c r="A105" s="118">
        <v>20</v>
      </c>
      <c r="B105" s="4" t="s">
        <v>80</v>
      </c>
      <c r="C105" s="4" t="s">
        <v>283</v>
      </c>
      <c r="D105" s="4" t="s">
        <v>137</v>
      </c>
      <c r="E105" s="4" t="s">
        <v>282</v>
      </c>
      <c r="F105" s="4" t="s">
        <v>127</v>
      </c>
      <c r="G105" s="119">
        <v>45959</v>
      </c>
      <c r="H105" s="4">
        <v>5</v>
      </c>
      <c r="I105" s="4" t="s">
        <v>1607</v>
      </c>
      <c r="J105" s="4" t="s">
        <v>522</v>
      </c>
      <c r="K105" s="120">
        <v>9889.3443836341885</v>
      </c>
      <c r="L105" s="121">
        <f t="shared" si="19"/>
        <v>500.99101328282075</v>
      </c>
      <c r="M105" s="122">
        <f t="shared" si="19"/>
        <v>627.00966120006638</v>
      </c>
      <c r="N105" s="123">
        <f t="shared" si="19"/>
        <v>573.63254690477106</v>
      </c>
      <c r="O105" s="123">
        <f t="shared" si="19"/>
        <v>280.47025329105475</v>
      </c>
      <c r="P105" s="123">
        <f t="shared" si="19"/>
        <v>249.38882803694059</v>
      </c>
      <c r="Q105" s="124">
        <f t="shared" si="19"/>
        <v>233.78024741756926</v>
      </c>
      <c r="R105" s="122">
        <f t="shared" si="19"/>
        <v>236.01862580562712</v>
      </c>
      <c r="S105" s="125">
        <f t="shared" si="19"/>
        <v>296.01599227747101</v>
      </c>
      <c r="T105" s="122">
        <f t="shared" si="19"/>
        <v>296.68033150902562</v>
      </c>
      <c r="U105" s="123">
        <f t="shared" si="19"/>
        <v>364.71625581154149</v>
      </c>
      <c r="V105" s="123">
        <f t="shared" si="19"/>
        <v>238.95557911087801</v>
      </c>
      <c r="W105" s="123">
        <f t="shared" si="19"/>
        <v>206.26783408764749</v>
      </c>
      <c r="X105" s="124">
        <f t="shared" si="19"/>
        <v>209.7682306757024</v>
      </c>
      <c r="Y105" s="122">
        <f t="shared" si="19"/>
        <v>227.03377777266658</v>
      </c>
      <c r="Z105" s="125">
        <f t="shared" si="19"/>
        <v>252.84248460913972</v>
      </c>
      <c r="AA105" s="122">
        <f t="shared" si="19"/>
        <v>323.07017322613069</v>
      </c>
      <c r="AB105" s="123">
        <f t="shared" si="18"/>
        <v>268.41032015119322</v>
      </c>
      <c r="AC105" s="123">
        <f t="shared" si="18"/>
        <v>186.10081767807475</v>
      </c>
      <c r="AD105" s="123">
        <f t="shared" si="18"/>
        <v>173.00453719288279</v>
      </c>
      <c r="AE105" s="124">
        <f t="shared" si="18"/>
        <v>170.96465548264436</v>
      </c>
      <c r="AF105" s="122">
        <f t="shared" si="18"/>
        <v>191.36962400711087</v>
      </c>
      <c r="AG105" s="125">
        <f t="shared" si="18"/>
        <v>265.20507311142757</v>
      </c>
      <c r="AH105" s="122">
        <f t="shared" si="18"/>
        <v>320.06582407719026</v>
      </c>
      <c r="AI105" s="123">
        <f t="shared" si="18"/>
        <v>311.11443114678184</v>
      </c>
      <c r="AJ105" s="123">
        <f t="shared" si="18"/>
        <v>226.2467356931605</v>
      </c>
      <c r="AK105" s="123">
        <f t="shared" si="18"/>
        <v>347.84423784830676</v>
      </c>
      <c r="AL105" s="124">
        <f t="shared" si="18"/>
        <v>357.84913195808002</v>
      </c>
      <c r="AM105" s="122">
        <f t="shared" si="18"/>
        <v>427.81336703845778</v>
      </c>
      <c r="AN105" s="125">
        <f t="shared" si="18"/>
        <v>499.94723027114884</v>
      </c>
      <c r="AO105" s="125">
        <f t="shared" si="18"/>
        <v>524.48230674944887</v>
      </c>
      <c r="AP105" s="125">
        <f t="shared" si="18"/>
        <v>502.28425620922815</v>
      </c>
      <c r="AQ105" s="3">
        <f t="shared" si="15"/>
        <v>7576.9680914078244</v>
      </c>
      <c r="AR105" s="110">
        <f t="shared" si="14"/>
        <v>9889.3443836341885</v>
      </c>
    </row>
    <row r="106" spans="1:46" ht="13.9" x14ac:dyDescent="0.25">
      <c r="A106" s="118">
        <v>108</v>
      </c>
      <c r="B106" s="4" t="s">
        <v>122</v>
      </c>
      <c r="C106" s="4" t="s">
        <v>372</v>
      </c>
      <c r="D106" s="4" t="s">
        <v>153</v>
      </c>
      <c r="E106" s="4" t="s">
        <v>292</v>
      </c>
      <c r="F106" s="4" t="s">
        <v>127</v>
      </c>
      <c r="G106" s="119">
        <v>46205</v>
      </c>
      <c r="H106" s="4" t="s">
        <v>373</v>
      </c>
      <c r="I106" s="4" t="s">
        <v>1606</v>
      </c>
      <c r="J106" s="4" t="s">
        <v>522</v>
      </c>
      <c r="K106" s="120">
        <v>11473.396420734558</v>
      </c>
      <c r="L106" s="121">
        <f t="shared" si="19"/>
        <v>581.23858120784382</v>
      </c>
      <c r="M106" s="122">
        <f t="shared" si="19"/>
        <v>727.44260119852015</v>
      </c>
      <c r="N106" s="123">
        <f t="shared" si="19"/>
        <v>665.5156656659417</v>
      </c>
      <c r="O106" s="123">
        <f t="shared" si="19"/>
        <v>325.39532201522485</v>
      </c>
      <c r="P106" s="123">
        <f t="shared" si="19"/>
        <v>289.33534681079851</v>
      </c>
      <c r="Q106" s="124">
        <f t="shared" si="19"/>
        <v>271.22662028010899</v>
      </c>
      <c r="R106" s="122">
        <f t="shared" si="19"/>
        <v>273.82353687938257</v>
      </c>
      <c r="S106" s="125">
        <f t="shared" si="19"/>
        <v>343.43114108727508</v>
      </c>
      <c r="T106" s="122">
        <f t="shared" si="19"/>
        <v>344.20189262203672</v>
      </c>
      <c r="U106" s="123">
        <f t="shared" si="19"/>
        <v>423.13565203946257</v>
      </c>
      <c r="V106" s="123">
        <f t="shared" si="19"/>
        <v>277.23092449105224</v>
      </c>
      <c r="W106" s="123">
        <f t="shared" si="19"/>
        <v>239.30733297652606</v>
      </c>
      <c r="X106" s="124">
        <f t="shared" si="19"/>
        <v>243.36841489728548</v>
      </c>
      <c r="Y106" s="122">
        <f t="shared" si="19"/>
        <v>263.39951691777509</v>
      </c>
      <c r="Z106" s="125">
        <f t="shared" si="19"/>
        <v>293.34220200935863</v>
      </c>
      <c r="AA106" s="122">
        <f t="shared" si="19"/>
        <v>374.81879741927031</v>
      </c>
      <c r="AB106" s="123">
        <f t="shared" si="18"/>
        <v>311.40365701161045</v>
      </c>
      <c r="AC106" s="123">
        <f t="shared" si="18"/>
        <v>215.91001107989931</v>
      </c>
      <c r="AD106" s="123">
        <f t="shared" si="18"/>
        <v>200.71599903877757</v>
      </c>
      <c r="AE106" s="124">
        <f t="shared" si="18"/>
        <v>198.34937385058984</v>
      </c>
      <c r="AF106" s="122">
        <f t="shared" si="18"/>
        <v>222.02276247494086</v>
      </c>
      <c r="AG106" s="125">
        <f t="shared" si="18"/>
        <v>307.68500100298002</v>
      </c>
      <c r="AH106" s="122">
        <f t="shared" si="18"/>
        <v>371.33321865541063</v>
      </c>
      <c r="AI106" s="123">
        <f t="shared" si="18"/>
        <v>360.94801255637952</v>
      </c>
      <c r="AJ106" s="123">
        <f t="shared" si="18"/>
        <v>262.48640828006637</v>
      </c>
      <c r="AK106" s="123">
        <f t="shared" si="18"/>
        <v>403.56111372827792</v>
      </c>
      <c r="AL106" s="124">
        <f t="shared" si="18"/>
        <v>415.16856835983737</v>
      </c>
      <c r="AM106" s="122">
        <f t="shared" si="18"/>
        <v>496.33951086226097</v>
      </c>
      <c r="AN106" s="125">
        <f t="shared" si="18"/>
        <v>580.02760747636387</v>
      </c>
      <c r="AO106" s="125">
        <f t="shared" si="18"/>
        <v>608.49265507996745</v>
      </c>
      <c r="AP106" s="125">
        <f t="shared" si="18"/>
        <v>582.73897275933416</v>
      </c>
      <c r="AQ106" s="3">
        <f t="shared" si="15"/>
        <v>8790.6291061967931</v>
      </c>
      <c r="AR106" s="110">
        <f t="shared" si="14"/>
        <v>11473.396420734558</v>
      </c>
      <c r="AT106" s="4">
        <f>31-14</f>
        <v>17</v>
      </c>
    </row>
    <row r="107" spans="1:46" ht="13.9" x14ac:dyDescent="0.25">
      <c r="A107" s="118">
        <v>42</v>
      </c>
      <c r="B107" s="4" t="s">
        <v>118</v>
      </c>
      <c r="C107" s="4" t="s">
        <v>306</v>
      </c>
      <c r="D107" s="4" t="s">
        <v>138</v>
      </c>
      <c r="E107" s="4" t="s">
        <v>296</v>
      </c>
      <c r="F107" s="4" t="s">
        <v>128</v>
      </c>
      <c r="G107" s="119">
        <v>46166</v>
      </c>
      <c r="H107" s="4">
        <v>3</v>
      </c>
      <c r="I107" s="4" t="s">
        <v>1606</v>
      </c>
      <c r="J107" s="4" t="s">
        <v>522</v>
      </c>
      <c r="K107" s="120">
        <v>7490.4070574682837</v>
      </c>
      <c r="L107" s="121">
        <f t="shared" si="19"/>
        <v>379.46161808582826</v>
      </c>
      <c r="M107" s="122">
        <f t="shared" si="19"/>
        <v>474.91091513873027</v>
      </c>
      <c r="N107" s="123">
        <f t="shared" si="19"/>
        <v>434.48191417417445</v>
      </c>
      <c r="O107" s="123">
        <f t="shared" si="19"/>
        <v>212.43434176869135</v>
      </c>
      <c r="P107" s="123">
        <f t="shared" si="19"/>
        <v>188.89258631472319</v>
      </c>
      <c r="Q107" s="124">
        <f t="shared" si="19"/>
        <v>177.07030387688201</v>
      </c>
      <c r="R107" s="122">
        <f t="shared" si="19"/>
        <v>178.76570092493503</v>
      </c>
      <c r="S107" s="125">
        <f t="shared" si="19"/>
        <v>224.20902657086233</v>
      </c>
      <c r="T107" s="122">
        <f t="shared" si="19"/>
        <v>224.7122117240485</v>
      </c>
      <c r="U107" s="123">
        <f t="shared" si="19"/>
        <v>276.24411796449692</v>
      </c>
      <c r="V107" s="123">
        <f t="shared" si="19"/>
        <v>180.99021398785476</v>
      </c>
      <c r="W107" s="123">
        <f t="shared" si="19"/>
        <v>156.2317965926712</v>
      </c>
      <c r="X107" s="124">
        <f t="shared" si="19"/>
        <v>158.88307399691396</v>
      </c>
      <c r="Y107" s="122">
        <f t="shared" si="19"/>
        <v>171.96037930748361</v>
      </c>
      <c r="Z107" s="125">
        <f t="shared" si="19"/>
        <v>191.50846180241305</v>
      </c>
      <c r="AA107" s="122">
        <f t="shared" si="19"/>
        <v>244.70045856581069</v>
      </c>
      <c r="AB107" s="123">
        <f t="shared" si="18"/>
        <v>203.29988302207241</v>
      </c>
      <c r="AC107" s="123">
        <f t="shared" si="18"/>
        <v>140.95685457605691</v>
      </c>
      <c r="AD107" s="123">
        <f t="shared" si="18"/>
        <v>131.03744354460318</v>
      </c>
      <c r="AE107" s="124">
        <f t="shared" si="18"/>
        <v>129.49239224837606</v>
      </c>
      <c r="AF107" s="122">
        <f t="shared" si="18"/>
        <v>144.94756443309828</v>
      </c>
      <c r="AG107" s="125">
        <f t="shared" si="18"/>
        <v>200.87215838065717</v>
      </c>
      <c r="AH107" s="122">
        <f t="shared" si="18"/>
        <v>242.42489840779214</v>
      </c>
      <c r="AI107" s="123">
        <f t="shared" si="18"/>
        <v>235.64491642121445</v>
      </c>
      <c r="AJ107" s="123">
        <f t="shared" si="18"/>
        <v>171.36425631710489</v>
      </c>
      <c r="AK107" s="123">
        <f t="shared" si="18"/>
        <v>263.46488027967251</v>
      </c>
      <c r="AL107" s="124">
        <f t="shared" si="18"/>
        <v>271.04280724246365</v>
      </c>
      <c r="AM107" s="122">
        <f t="shared" si="18"/>
        <v>324.03525849976802</v>
      </c>
      <c r="AN107" s="125">
        <f t="shared" si="18"/>
        <v>378.6710338636799</v>
      </c>
      <c r="AO107" s="125">
        <f t="shared" si="18"/>
        <v>397.25444069828416</v>
      </c>
      <c r="AP107" s="125">
        <f t="shared" si="18"/>
        <v>380.44114873692115</v>
      </c>
      <c r="AQ107" s="3">
        <f t="shared" si="15"/>
        <v>5738.9623684271683</v>
      </c>
      <c r="AR107" s="110">
        <f t="shared" si="14"/>
        <v>7490.4070574682846</v>
      </c>
    </row>
    <row r="108" spans="1:46" ht="13.9" x14ac:dyDescent="0.25">
      <c r="A108" s="118">
        <v>90</v>
      </c>
      <c r="B108" s="4" t="s">
        <v>113</v>
      </c>
      <c r="C108" s="4" t="s">
        <v>354</v>
      </c>
      <c r="D108" s="4" t="s">
        <v>145</v>
      </c>
      <c r="E108" s="4" t="s">
        <v>343</v>
      </c>
      <c r="F108" s="4" t="s">
        <v>131</v>
      </c>
      <c r="G108" s="119">
        <v>46142</v>
      </c>
      <c r="H108" s="4">
        <v>2</v>
      </c>
      <c r="I108" s="4" t="s">
        <v>1606</v>
      </c>
      <c r="J108" s="4" t="s">
        <v>522</v>
      </c>
      <c r="K108" s="120">
        <v>10507.93395993913</v>
      </c>
      <c r="L108" s="121">
        <f t="shared" si="19"/>
        <v>532.32856273170717</v>
      </c>
      <c r="M108" s="122">
        <f t="shared" si="19"/>
        <v>666.22981833229483</v>
      </c>
      <c r="N108" s="123">
        <f t="shared" si="19"/>
        <v>609.51390570665217</v>
      </c>
      <c r="O108" s="123">
        <f t="shared" si="19"/>
        <v>298.01398201755865</v>
      </c>
      <c r="P108" s="123">
        <f t="shared" si="19"/>
        <v>264.98837877418219</v>
      </c>
      <c r="Q108" s="124">
        <f t="shared" si="19"/>
        <v>248.40346394118626</v>
      </c>
      <c r="R108" s="122">
        <f t="shared" si="19"/>
        <v>250.78185540644773</v>
      </c>
      <c r="S108" s="125">
        <f t="shared" si="19"/>
        <v>314.53212440301809</v>
      </c>
      <c r="T108" s="122">
        <f t="shared" si="19"/>
        <v>315.23801879817387</v>
      </c>
      <c r="U108" s="123">
        <f t="shared" si="19"/>
        <v>387.52966642825999</v>
      </c>
      <c r="V108" s="123">
        <f t="shared" si="19"/>
        <v>253.90251843301536</v>
      </c>
      <c r="W108" s="123">
        <f t="shared" si="19"/>
        <v>219.17011831841734</v>
      </c>
      <c r="X108" s="124">
        <f t="shared" si="19"/>
        <v>222.88946863670006</v>
      </c>
      <c r="Y108" s="122">
        <f t="shared" si="19"/>
        <v>241.23499505777988</v>
      </c>
      <c r="Z108" s="125">
        <f t="shared" si="19"/>
        <v>268.6580654362258</v>
      </c>
      <c r="AA108" s="122">
        <f t="shared" si="19"/>
        <v>343.27857469543773</v>
      </c>
      <c r="AB108" s="123">
        <f t="shared" si="18"/>
        <v>285.19968654164597</v>
      </c>
      <c r="AC108" s="123">
        <f t="shared" si="18"/>
        <v>197.74163242692654</v>
      </c>
      <c r="AD108" s="123">
        <f t="shared" si="18"/>
        <v>183.82616491757631</v>
      </c>
      <c r="AE108" s="124">
        <f t="shared" si="18"/>
        <v>181.65868631982966</v>
      </c>
      <c r="AF108" s="122">
        <f t="shared" si="18"/>
        <v>203.3400084977248</v>
      </c>
      <c r="AG108" s="125">
        <f t="shared" si="18"/>
        <v>281.79394770673537</v>
      </c>
      <c r="AH108" s="122">
        <f t="shared" si="18"/>
        <v>340.08630013961277</v>
      </c>
      <c r="AI108" s="123">
        <f t="shared" si="18"/>
        <v>330.57498754766198</v>
      </c>
      <c r="AJ108" s="123">
        <f t="shared" si="18"/>
        <v>240.39872261399387</v>
      </c>
      <c r="AK108" s="123">
        <f t="shared" si="18"/>
        <v>369.6022848293369</v>
      </c>
      <c r="AL108" s="124">
        <f t="shared" si="18"/>
        <v>380.23299628030645</v>
      </c>
      <c r="AM108" s="122">
        <f t="shared" si="18"/>
        <v>454.57357268888109</v>
      </c>
      <c r="AN108" s="125">
        <f t="shared" si="18"/>
        <v>531.2194899226638</v>
      </c>
      <c r="AO108" s="125">
        <f t="shared" si="18"/>
        <v>557.28926293640222</v>
      </c>
      <c r="AP108" s="125">
        <f t="shared" si="18"/>
        <v>533.70269945277596</v>
      </c>
      <c r="AQ108" s="3">
        <f t="shared" si="15"/>
        <v>8050.9159386581041</v>
      </c>
      <c r="AR108" s="110">
        <f t="shared" si="14"/>
        <v>10507.933959939131</v>
      </c>
    </row>
    <row r="109" spans="1:46" ht="13.9" x14ac:dyDescent="0.25">
      <c r="A109" s="118">
        <v>106</v>
      </c>
      <c r="B109" s="4" t="s">
        <v>108</v>
      </c>
      <c r="C109" s="4" t="s">
        <v>370</v>
      </c>
      <c r="D109" s="4" t="s">
        <v>141</v>
      </c>
      <c r="E109" s="4" t="s">
        <v>270</v>
      </c>
      <c r="F109" s="4" t="s">
        <v>132</v>
      </c>
      <c r="G109" s="119">
        <v>46081</v>
      </c>
      <c r="H109" s="4">
        <v>5</v>
      </c>
      <c r="I109" s="4" t="s">
        <v>1607</v>
      </c>
      <c r="J109" s="4" t="s">
        <v>522</v>
      </c>
      <c r="K109" s="120">
        <v>9838.839509923353</v>
      </c>
      <c r="L109" s="121">
        <f t="shared" si="19"/>
        <v>498.43245258611921</v>
      </c>
      <c r="M109" s="122">
        <f t="shared" si="19"/>
        <v>623.80752337111301</v>
      </c>
      <c r="N109" s="123">
        <f t="shared" si="19"/>
        <v>570.70300595503988</v>
      </c>
      <c r="O109" s="123">
        <f t="shared" si="19"/>
        <v>279.03789193598328</v>
      </c>
      <c r="P109" s="123">
        <f t="shared" si="19"/>
        <v>248.11519949532132</v>
      </c>
      <c r="Q109" s="124">
        <f t="shared" si="19"/>
        <v>232.58633188445751</v>
      </c>
      <c r="R109" s="122">
        <f t="shared" si="19"/>
        <v>234.81327887591107</v>
      </c>
      <c r="S109" s="125">
        <f t="shared" si="19"/>
        <v>294.50423884606028</v>
      </c>
      <c r="T109" s="122">
        <f t="shared" si="19"/>
        <v>295.16518529770059</v>
      </c>
      <c r="U109" s="123">
        <f t="shared" si="19"/>
        <v>362.85365019022913</v>
      </c>
      <c r="V109" s="123">
        <f t="shared" si="19"/>
        <v>237.73523316302465</v>
      </c>
      <c r="W109" s="123">
        <f t="shared" si="19"/>
        <v>205.21442442699859</v>
      </c>
      <c r="X109" s="124">
        <f t="shared" si="19"/>
        <v>208.69694449252992</v>
      </c>
      <c r="Y109" s="122">
        <f t="shared" si="19"/>
        <v>225.87431645453532</v>
      </c>
      <c r="Z109" s="125">
        <f t="shared" si="19"/>
        <v>251.55121824621975</v>
      </c>
      <c r="AA109" s="122">
        <f t="shared" si="19"/>
        <v>321.42025411465494</v>
      </c>
      <c r="AB109" s="123">
        <f t="shared" si="18"/>
        <v>267.03954886484235</v>
      </c>
      <c r="AC109" s="123">
        <f t="shared" si="18"/>
        <v>185.15040095380041</v>
      </c>
      <c r="AD109" s="123">
        <f t="shared" si="18"/>
        <v>172.12100316237741</v>
      </c>
      <c r="AE109" s="124">
        <f t="shared" si="18"/>
        <v>170.09153912637137</v>
      </c>
      <c r="AF109" s="122">
        <f t="shared" si="18"/>
        <v>190.39229949320639</v>
      </c>
      <c r="AG109" s="125">
        <f t="shared" si="18"/>
        <v>263.8506710190976</v>
      </c>
      <c r="AH109" s="122">
        <f t="shared" si="18"/>
        <v>318.43124817437064</v>
      </c>
      <c r="AI109" s="123">
        <f t="shared" si="18"/>
        <v>309.52557000036552</v>
      </c>
      <c r="AJ109" s="123">
        <f t="shared" si="18"/>
        <v>225.09129379828812</v>
      </c>
      <c r="AK109" s="123">
        <f t="shared" si="18"/>
        <v>346.0677976089878</v>
      </c>
      <c r="AL109" s="124">
        <f t="shared" si="18"/>
        <v>356.02159673269301</v>
      </c>
      <c r="AM109" s="122">
        <f t="shared" si="18"/>
        <v>425.62852452151179</v>
      </c>
      <c r="AN109" s="125">
        <f t="shared" si="18"/>
        <v>497.39400017343763</v>
      </c>
      <c r="AO109" s="125">
        <f t="shared" si="18"/>
        <v>521.80377603615057</v>
      </c>
      <c r="AP109" s="125">
        <f t="shared" si="18"/>
        <v>499.719090921955</v>
      </c>
      <c r="AQ109" s="3">
        <f t="shared" si="15"/>
        <v>7538.2725215376067</v>
      </c>
      <c r="AR109" s="110">
        <f t="shared" si="14"/>
        <v>9838.8395099233549</v>
      </c>
    </row>
    <row r="110" spans="1:46" ht="13.9" x14ac:dyDescent="0.25">
      <c r="A110" s="118">
        <v>15</v>
      </c>
      <c r="B110" s="4" t="s">
        <v>89</v>
      </c>
      <c r="C110" s="4" t="s">
        <v>277</v>
      </c>
      <c r="D110" s="4" t="s">
        <v>142</v>
      </c>
      <c r="E110" s="4" t="s">
        <v>270</v>
      </c>
      <c r="F110" s="4" t="s">
        <v>132</v>
      </c>
      <c r="G110" s="119">
        <v>45958</v>
      </c>
      <c r="H110" s="4">
        <v>5</v>
      </c>
      <c r="I110" s="4" t="s">
        <v>1607</v>
      </c>
      <c r="J110" s="4" t="s">
        <v>523</v>
      </c>
      <c r="K110" s="120">
        <v>4888.9300334621157</v>
      </c>
      <c r="L110" s="121">
        <f t="shared" si="19"/>
        <v>247.6716267851231</v>
      </c>
      <c r="M110" s="122">
        <f t="shared" si="19"/>
        <v>309.97063556456095</v>
      </c>
      <c r="N110" s="123">
        <f t="shared" si="19"/>
        <v>283.58294321058997</v>
      </c>
      <c r="O110" s="123">
        <f t="shared" si="19"/>
        <v>138.65423142473966</v>
      </c>
      <c r="P110" s="123">
        <f t="shared" si="19"/>
        <v>123.28871198149776</v>
      </c>
      <c r="Q110" s="124">
        <f t="shared" si="19"/>
        <v>115.57240080762024</v>
      </c>
      <c r="R110" s="122">
        <f t="shared" si="19"/>
        <v>116.67897318523291</v>
      </c>
      <c r="S110" s="125">
        <f t="shared" si="19"/>
        <v>146.33947599452418</v>
      </c>
      <c r="T110" s="122">
        <f t="shared" si="19"/>
        <v>146.66790100386348</v>
      </c>
      <c r="U110" s="123">
        <f t="shared" si="19"/>
        <v>180.30237269112516</v>
      </c>
      <c r="V110" s="123">
        <f t="shared" si="19"/>
        <v>118.13089544255452</v>
      </c>
      <c r="W110" s="123">
        <f t="shared" si="19"/>
        <v>101.97127027724135</v>
      </c>
      <c r="X110" s="124">
        <f t="shared" si="19"/>
        <v>103.70173827840536</v>
      </c>
      <c r="Y110" s="122">
        <f t="shared" si="19"/>
        <v>112.23719305397091</v>
      </c>
      <c r="Z110" s="125">
        <f t="shared" si="19"/>
        <v>124.99607342893914</v>
      </c>
      <c r="AA110" s="122">
        <f t="shared" si="19"/>
        <v>159.71407320134276</v>
      </c>
      <c r="AB110" s="123">
        <f t="shared" si="18"/>
        <v>132.69224172736531</v>
      </c>
      <c r="AC110" s="123">
        <f t="shared" si="18"/>
        <v>92.001435232033714</v>
      </c>
      <c r="AD110" s="123">
        <f t="shared" si="18"/>
        <v>85.527113324844763</v>
      </c>
      <c r="AE110" s="124">
        <f t="shared" si="18"/>
        <v>84.518670442180195</v>
      </c>
      <c r="AF110" s="122">
        <f t="shared" si="18"/>
        <v>94.606140306836039</v>
      </c>
      <c r="AG110" s="125">
        <f t="shared" si="18"/>
        <v>131.10768486398939</v>
      </c>
      <c r="AH110" s="122">
        <f t="shared" si="18"/>
        <v>158.22883290476977</v>
      </c>
      <c r="AI110" s="123">
        <f t="shared" si="18"/>
        <v>153.80359175215941</v>
      </c>
      <c r="AJ110" s="123">
        <f t="shared" si="18"/>
        <v>111.84810824603728</v>
      </c>
      <c r="AK110" s="123">
        <f t="shared" si="18"/>
        <v>171.96146432089225</v>
      </c>
      <c r="AL110" s="124">
        <f t="shared" si="18"/>
        <v>176.90751791124197</v>
      </c>
      <c r="AM110" s="122">
        <f t="shared" si="18"/>
        <v>211.49527589434135</v>
      </c>
      <c r="AN110" s="125">
        <f t="shared" si="18"/>
        <v>247.15561865392434</v>
      </c>
      <c r="AO110" s="125">
        <f t="shared" si="18"/>
        <v>259.2848627792028</v>
      </c>
      <c r="AP110" s="125">
        <f t="shared" si="18"/>
        <v>248.31095877096624</v>
      </c>
      <c r="AQ110" s="3">
        <f t="shared" si="15"/>
        <v>3745.7757994524395</v>
      </c>
      <c r="AR110" s="110">
        <f t="shared" si="14"/>
        <v>4888.9300334621157</v>
      </c>
    </row>
    <row r="111" spans="1:46" ht="13.9" x14ac:dyDescent="0.25">
      <c r="A111" s="118">
        <v>19</v>
      </c>
      <c r="B111" s="4" t="s">
        <v>105</v>
      </c>
      <c r="C111" s="4" t="s">
        <v>281</v>
      </c>
      <c r="D111" s="4" t="s">
        <v>137</v>
      </c>
      <c r="E111" s="4" t="s">
        <v>282</v>
      </c>
      <c r="F111" s="4" t="s">
        <v>127</v>
      </c>
      <c r="G111" s="119">
        <v>46069</v>
      </c>
      <c r="H111" s="4">
        <v>3</v>
      </c>
      <c r="I111" s="4" t="s">
        <v>1607</v>
      </c>
      <c r="J111" s="4" t="s">
        <v>523</v>
      </c>
      <c r="K111" s="120">
        <v>10467.573379981814</v>
      </c>
      <c r="L111" s="121">
        <f t="shared" si="19"/>
        <v>530.28390870156124</v>
      </c>
      <c r="M111" s="122">
        <f t="shared" si="19"/>
        <v>663.67085460495673</v>
      </c>
      <c r="N111" s="123">
        <f t="shared" si="19"/>
        <v>607.17278567105279</v>
      </c>
      <c r="O111" s="123">
        <f t="shared" si="19"/>
        <v>296.86932149766255</v>
      </c>
      <c r="P111" s="123">
        <f t="shared" si="19"/>
        <v>263.97056835683003</v>
      </c>
      <c r="Q111" s="124">
        <f t="shared" si="19"/>
        <v>247.44935555924411</v>
      </c>
      <c r="R111" s="122">
        <f t="shared" si="19"/>
        <v>249.81861171215309</v>
      </c>
      <c r="S111" s="125">
        <f t="shared" si="19"/>
        <v>313.32401831817685</v>
      </c>
      <c r="T111" s="122">
        <f t="shared" si="19"/>
        <v>314.02720139945438</v>
      </c>
      <c r="U111" s="123">
        <f t="shared" si="19"/>
        <v>386.04117952423684</v>
      </c>
      <c r="V111" s="123">
        <f t="shared" si="19"/>
        <v>252.92728838916008</v>
      </c>
      <c r="W111" s="123">
        <f t="shared" si="19"/>
        <v>218.32829411982902</v>
      </c>
      <c r="X111" s="124">
        <f t="shared" si="19"/>
        <v>222.03335855313352</v>
      </c>
      <c r="Y111" s="122">
        <f t="shared" si="19"/>
        <v>240.30842049577257</v>
      </c>
      <c r="Z111" s="125">
        <f t="shared" si="19"/>
        <v>267.62615989013506</v>
      </c>
      <c r="AA111" s="122">
        <f t="shared" si="19"/>
        <v>341.96005457393238</v>
      </c>
      <c r="AB111" s="123">
        <f t="shared" si="18"/>
        <v>284.10424524972785</v>
      </c>
      <c r="AC111" s="123">
        <f t="shared" si="18"/>
        <v>196.98211423839547</v>
      </c>
      <c r="AD111" s="123">
        <f t="shared" si="18"/>
        <v>183.1200955174746</v>
      </c>
      <c r="AE111" s="124">
        <f t="shared" si="18"/>
        <v>180.96094212367228</v>
      </c>
      <c r="AF111" s="122">
        <f t="shared" si="18"/>
        <v>202.55898715682349</v>
      </c>
      <c r="AG111" s="125">
        <f t="shared" si="18"/>
        <v>280.71158772985831</v>
      </c>
      <c r="AH111" s="122">
        <f t="shared" si="18"/>
        <v>338.78004142486424</v>
      </c>
      <c r="AI111" s="123">
        <f t="shared" si="18"/>
        <v>329.30526142760141</v>
      </c>
      <c r="AJ111" s="123">
        <f t="shared" si="18"/>
        <v>239.47536014305626</v>
      </c>
      <c r="AK111" s="123">
        <f t="shared" si="18"/>
        <v>368.18265632518637</v>
      </c>
      <c r="AL111" s="124">
        <f t="shared" si="18"/>
        <v>378.77253561246363</v>
      </c>
      <c r="AM111" s="122">
        <f t="shared" si="18"/>
        <v>452.82757265719658</v>
      </c>
      <c r="AN111" s="125">
        <f t="shared" si="18"/>
        <v>529.17909579955176</v>
      </c>
      <c r="AO111" s="125">
        <f t="shared" si="18"/>
        <v>555.14873579359278</v>
      </c>
      <c r="AP111" s="125">
        <f t="shared" si="18"/>
        <v>531.65276741505841</v>
      </c>
      <c r="AQ111" s="3">
        <f t="shared" si="15"/>
        <v>8019.9926727039492</v>
      </c>
      <c r="AR111" s="110">
        <f t="shared" si="14"/>
        <v>10467.573379981812</v>
      </c>
    </row>
    <row r="112" spans="1:46" ht="13.9" x14ac:dyDescent="0.25">
      <c r="A112" s="118">
        <v>111</v>
      </c>
      <c r="B112" s="4" t="s">
        <v>121</v>
      </c>
      <c r="C112" s="4" t="s">
        <v>376</v>
      </c>
      <c r="D112" s="4" t="s">
        <v>377</v>
      </c>
      <c r="E112" s="4" t="s">
        <v>343</v>
      </c>
      <c r="F112" s="4" t="s">
        <v>131</v>
      </c>
      <c r="G112" s="104" t="s">
        <v>373</v>
      </c>
      <c r="H112" s="4" t="s">
        <v>373</v>
      </c>
      <c r="I112" s="4" t="s">
        <v>1606</v>
      </c>
      <c r="J112" s="4" t="s">
        <v>523</v>
      </c>
      <c r="K112" s="120">
        <v>4776.6781115340737</v>
      </c>
      <c r="L112" s="121">
        <f t="shared" si="19"/>
        <v>241.98498043850174</v>
      </c>
      <c r="M112" s="122">
        <f t="shared" si="19"/>
        <v>302.85357736466301</v>
      </c>
      <c r="N112" s="123">
        <f t="shared" si="19"/>
        <v>277.07175769892967</v>
      </c>
      <c r="O112" s="123">
        <f t="shared" si="19"/>
        <v>135.4706710435614</v>
      </c>
      <c r="P112" s="123">
        <f t="shared" si="19"/>
        <v>120.45795049028543</v>
      </c>
      <c r="Q112" s="124">
        <f t="shared" si="19"/>
        <v>112.91880911706656</v>
      </c>
      <c r="R112" s="122">
        <f t="shared" si="19"/>
        <v>113.9999741202048</v>
      </c>
      <c r="S112" s="125">
        <f t="shared" si="19"/>
        <v>142.97945911518767</v>
      </c>
      <c r="T112" s="122">
        <f t="shared" si="19"/>
        <v>143.3003433460222</v>
      </c>
      <c r="U112" s="123">
        <f t="shared" si="19"/>
        <v>176.16255319601319</v>
      </c>
      <c r="V112" s="123">
        <f t="shared" si="19"/>
        <v>115.41855962229388</v>
      </c>
      <c r="W112" s="123">
        <f t="shared" si="19"/>
        <v>99.629966353536332</v>
      </c>
      <c r="X112" s="124">
        <f t="shared" si="19"/>
        <v>101.32070207020534</v>
      </c>
      <c r="Y112" s="122">
        <f t="shared" si="19"/>
        <v>109.66017915811136</v>
      </c>
      <c r="Z112" s="125">
        <f t="shared" si="19"/>
        <v>122.12611018957551</v>
      </c>
      <c r="AA112" s="122">
        <f t="shared" si="19"/>
        <v>156.04696985703274</v>
      </c>
      <c r="AB112" s="123">
        <f t="shared" si="18"/>
        <v>129.64557117636764</v>
      </c>
      <c r="AC112" s="123">
        <f t="shared" si="18"/>
        <v>89.889042979690359</v>
      </c>
      <c r="AD112" s="123">
        <f t="shared" si="18"/>
        <v>83.563374269067651</v>
      </c>
      <c r="AE112" s="124">
        <f t="shared" si="18"/>
        <v>82.578085665756433</v>
      </c>
      <c r="AF112" s="122">
        <f t="shared" si="18"/>
        <v>92.433942913347067</v>
      </c>
      <c r="AG112" s="125">
        <f t="shared" si="18"/>
        <v>128.09739641543555</v>
      </c>
      <c r="AH112" s="122">
        <f t="shared" si="18"/>
        <v>154.59583131210562</v>
      </c>
      <c r="AI112" s="123">
        <f t="shared" si="18"/>
        <v>150.27219558664919</v>
      </c>
      <c r="AJ112" s="123">
        <f t="shared" si="18"/>
        <v>109.28002790356972</v>
      </c>
      <c r="AK112" s="123">
        <f t="shared" si="18"/>
        <v>168.01315564487072</v>
      </c>
      <c r="AL112" s="124">
        <f t="shared" si="18"/>
        <v>172.84564573202533</v>
      </c>
      <c r="AM112" s="122">
        <f t="shared" si="18"/>
        <v>206.63925401729492</v>
      </c>
      <c r="AN112" s="125">
        <f t="shared" si="18"/>
        <v>241.4808200744138</v>
      </c>
      <c r="AO112" s="125">
        <f t="shared" si="18"/>
        <v>253.33157157343706</v>
      </c>
      <c r="AP112" s="125">
        <f t="shared" si="18"/>
        <v>242.60963308885229</v>
      </c>
      <c r="AQ112" s="3">
        <f t="shared" si="15"/>
        <v>3659.7711870480507</v>
      </c>
      <c r="AR112" s="110">
        <f t="shared" si="14"/>
        <v>4776.6781115340746</v>
      </c>
    </row>
    <row r="113" spans="1:44" ht="13.9" x14ac:dyDescent="0.25">
      <c r="A113" s="118">
        <v>46</v>
      </c>
      <c r="B113" s="4" t="s">
        <v>111</v>
      </c>
      <c r="C113" s="4" t="s">
        <v>310</v>
      </c>
      <c r="D113" s="4" t="s">
        <v>138</v>
      </c>
      <c r="E113" s="4" t="s">
        <v>296</v>
      </c>
      <c r="F113" s="4" t="s">
        <v>128</v>
      </c>
      <c r="G113" s="119">
        <v>46086</v>
      </c>
      <c r="H113" s="4">
        <v>3</v>
      </c>
      <c r="I113" s="4" t="s">
        <v>1606</v>
      </c>
      <c r="J113" s="4" t="s">
        <v>523</v>
      </c>
      <c r="K113" s="120">
        <v>5481.6862887909201</v>
      </c>
      <c r="L113" s="121">
        <f t="shared" si="19"/>
        <v>277.70046848249126</v>
      </c>
      <c r="M113" s="122">
        <f t="shared" si="19"/>
        <v>347.55289424724953</v>
      </c>
      <c r="N113" s="123">
        <f t="shared" si="19"/>
        <v>317.96583728804779</v>
      </c>
      <c r="O113" s="123">
        <f t="shared" si="19"/>
        <v>155.4653051039063</v>
      </c>
      <c r="P113" s="123">
        <f t="shared" si="19"/>
        <v>138.23679975086026</v>
      </c>
      <c r="Q113" s="124">
        <f t="shared" si="19"/>
        <v>129.58492769043423</v>
      </c>
      <c r="R113" s="122">
        <f t="shared" si="19"/>
        <v>130.82566596821619</v>
      </c>
      <c r="S113" s="125">
        <f t="shared" si="19"/>
        <v>164.08234390295806</v>
      </c>
      <c r="T113" s="122">
        <f t="shared" si="19"/>
        <v>164.45058866372759</v>
      </c>
      <c r="U113" s="123">
        <f t="shared" si="19"/>
        <v>202.1630576532304</v>
      </c>
      <c r="V113" s="123">
        <f t="shared" si="19"/>
        <v>132.453625925891</v>
      </c>
      <c r="W113" s="123">
        <f t="shared" si="19"/>
        <v>114.33473383817419</v>
      </c>
      <c r="X113" s="124">
        <f t="shared" si="19"/>
        <v>116.27501170066074</v>
      </c>
      <c r="Y113" s="122">
        <f t="shared" si="19"/>
        <v>125.84534408250484</v>
      </c>
      <c r="Z113" s="125">
        <f t="shared" si="19"/>
        <v>140.15116951528537</v>
      </c>
      <c r="AA113" s="122">
        <f t="shared" si="19"/>
        <v>179.07853849459968</v>
      </c>
      <c r="AB113" s="123">
        <f t="shared" si="18"/>
        <v>148.78045648584046</v>
      </c>
      <c r="AC113" s="123">
        <f t="shared" si="18"/>
        <v>103.15611035721587</v>
      </c>
      <c r="AD113" s="123">
        <f t="shared" si="18"/>
        <v>95.896812027122195</v>
      </c>
      <c r="AE113" s="124">
        <f t="shared" si="18"/>
        <v>94.766100913423458</v>
      </c>
      <c r="AF113" s="122">
        <f t="shared" si="18"/>
        <v>106.07662179778907</v>
      </c>
      <c r="AG113" s="125">
        <f t="shared" si="18"/>
        <v>147.00378069536563</v>
      </c>
      <c r="AH113" s="122">
        <f t="shared" si="18"/>
        <v>177.41322086608815</v>
      </c>
      <c r="AI113" s="123">
        <f t="shared" si="18"/>
        <v>172.45144322050393</v>
      </c>
      <c r="AJ113" s="123">
        <f t="shared" si="18"/>
        <v>125.40908485150165</v>
      </c>
      <c r="AK113" s="123">
        <f t="shared" si="18"/>
        <v>192.81085937339759</v>
      </c>
      <c r="AL113" s="124">
        <f t="shared" si="18"/>
        <v>198.35659514058452</v>
      </c>
      <c r="AM113" s="122">
        <f t="shared" si="18"/>
        <v>237.13793121990432</v>
      </c>
      <c r="AN113" s="125">
        <f t="shared" si="18"/>
        <v>277.12189716354487</v>
      </c>
      <c r="AO113" s="125">
        <f t="shared" si="18"/>
        <v>290.72174636569281</v>
      </c>
      <c r="AP113" s="125">
        <f t="shared" si="18"/>
        <v>278.41731600470877</v>
      </c>
      <c r="AQ113" s="3">
        <f t="shared" si="15"/>
        <v>4199.9308028964842</v>
      </c>
      <c r="AR113" s="110">
        <f t="shared" si="14"/>
        <v>5481.6862887909192</v>
      </c>
    </row>
    <row r="114" spans="1:44" ht="13.9" x14ac:dyDescent="0.25">
      <c r="A114" s="118">
        <v>115</v>
      </c>
      <c r="B114" s="4" t="s">
        <v>383</v>
      </c>
      <c r="C114" s="4" t="s">
        <v>383</v>
      </c>
      <c r="D114" s="4" t="s">
        <v>139</v>
      </c>
      <c r="E114" s="4" t="s">
        <v>296</v>
      </c>
      <c r="F114" s="4" t="s">
        <v>130</v>
      </c>
      <c r="G114" s="104" t="s">
        <v>373</v>
      </c>
      <c r="I114" s="4" t="e">
        <v>#N/A</v>
      </c>
      <c r="J114" s="4" t="s">
        <v>523</v>
      </c>
      <c r="K114" s="120"/>
      <c r="L114" s="121">
        <f t="shared" si="19"/>
        <v>0</v>
      </c>
      <c r="M114" s="122">
        <f t="shared" si="19"/>
        <v>0</v>
      </c>
      <c r="N114" s="123">
        <f t="shared" si="19"/>
        <v>0</v>
      </c>
      <c r="O114" s="123">
        <f t="shared" si="19"/>
        <v>0</v>
      </c>
      <c r="P114" s="123">
        <f t="shared" si="19"/>
        <v>0</v>
      </c>
      <c r="Q114" s="124">
        <f t="shared" si="19"/>
        <v>0</v>
      </c>
      <c r="R114" s="122">
        <f t="shared" si="19"/>
        <v>0</v>
      </c>
      <c r="S114" s="125">
        <f t="shared" si="19"/>
        <v>0</v>
      </c>
      <c r="T114" s="122">
        <f t="shared" si="19"/>
        <v>0</v>
      </c>
      <c r="U114" s="123">
        <f t="shared" si="19"/>
        <v>0</v>
      </c>
      <c r="V114" s="123">
        <f t="shared" si="19"/>
        <v>0</v>
      </c>
      <c r="W114" s="123">
        <f t="shared" si="19"/>
        <v>0</v>
      </c>
      <c r="X114" s="124">
        <f t="shared" si="19"/>
        <v>0</v>
      </c>
      <c r="Y114" s="122">
        <f t="shared" si="19"/>
        <v>0</v>
      </c>
      <c r="Z114" s="125">
        <f t="shared" si="19"/>
        <v>0</v>
      </c>
      <c r="AA114" s="122">
        <f t="shared" si="19"/>
        <v>0</v>
      </c>
      <c r="AB114" s="123">
        <f t="shared" si="18"/>
        <v>0</v>
      </c>
      <c r="AC114" s="123">
        <f t="shared" si="18"/>
        <v>0</v>
      </c>
      <c r="AD114" s="123">
        <f t="shared" si="18"/>
        <v>0</v>
      </c>
      <c r="AE114" s="124">
        <f t="shared" si="18"/>
        <v>0</v>
      </c>
      <c r="AF114" s="122">
        <f t="shared" si="18"/>
        <v>0</v>
      </c>
      <c r="AG114" s="125">
        <f t="shared" si="18"/>
        <v>0</v>
      </c>
      <c r="AH114" s="122">
        <f t="shared" si="18"/>
        <v>0</v>
      </c>
      <c r="AI114" s="123">
        <f t="shared" si="18"/>
        <v>0</v>
      </c>
      <c r="AJ114" s="123">
        <f t="shared" si="18"/>
        <v>0</v>
      </c>
      <c r="AK114" s="123">
        <f t="shared" si="18"/>
        <v>0</v>
      </c>
      <c r="AL114" s="124">
        <f t="shared" si="18"/>
        <v>0</v>
      </c>
      <c r="AM114" s="122">
        <f t="shared" si="18"/>
        <v>0</v>
      </c>
      <c r="AN114" s="125">
        <f t="shared" si="18"/>
        <v>0</v>
      </c>
      <c r="AO114" s="125">
        <f t="shared" si="18"/>
        <v>0</v>
      </c>
      <c r="AP114" s="125">
        <f t="shared" si="18"/>
        <v>0</v>
      </c>
      <c r="AQ114" s="3">
        <f t="shared" si="15"/>
        <v>0</v>
      </c>
      <c r="AR114" s="110">
        <f t="shared" si="14"/>
        <v>0</v>
      </c>
    </row>
    <row r="115" spans="1:44" ht="13.9" x14ac:dyDescent="0.25">
      <c r="A115" s="118">
        <v>60</v>
      </c>
      <c r="B115" s="4" t="s">
        <v>120</v>
      </c>
      <c r="C115" s="4" t="s">
        <v>323</v>
      </c>
      <c r="D115" s="4" t="s">
        <v>142</v>
      </c>
      <c r="E115" s="4" t="s">
        <v>270</v>
      </c>
      <c r="F115" s="4" t="s">
        <v>132</v>
      </c>
      <c r="G115" s="119">
        <v>0</v>
      </c>
      <c r="H115" s="4">
        <v>2</v>
      </c>
      <c r="I115" s="4" t="s">
        <v>1606</v>
      </c>
      <c r="J115" s="4" t="s">
        <v>523</v>
      </c>
      <c r="K115" s="120">
        <v>4989.5172174397767</v>
      </c>
      <c r="L115" s="121">
        <f t="shared" si="19"/>
        <v>252.76734125004046</v>
      </c>
      <c r="M115" s="122">
        <f t="shared" si="19"/>
        <v>316.34811962217702</v>
      </c>
      <c r="N115" s="123">
        <f t="shared" si="19"/>
        <v>289.41751426937236</v>
      </c>
      <c r="O115" s="123">
        <f t="shared" si="19"/>
        <v>141.50696987469556</v>
      </c>
      <c r="P115" s="123">
        <f t="shared" si="19"/>
        <v>125.82531288794799</v>
      </c>
      <c r="Q115" s="124">
        <f t="shared" si="19"/>
        <v>117.95024263869747</v>
      </c>
      <c r="R115" s="122">
        <f t="shared" si="19"/>
        <v>119.07958216547566</v>
      </c>
      <c r="S115" s="125">
        <f t="shared" si="19"/>
        <v>149.35033434068703</v>
      </c>
      <c r="T115" s="122">
        <f t="shared" si="19"/>
        <v>149.68551652319329</v>
      </c>
      <c r="U115" s="123">
        <f t="shared" si="19"/>
        <v>184.01199991208333</v>
      </c>
      <c r="V115" s="123">
        <f t="shared" si="19"/>
        <v>120.56137696550473</v>
      </c>
      <c r="W115" s="123">
        <f t="shared" si="19"/>
        <v>104.06927594588643</v>
      </c>
      <c r="X115" s="124">
        <f t="shared" si="19"/>
        <v>105.83534742306854</v>
      </c>
      <c r="Y115" s="122">
        <f t="shared" si="19"/>
        <v>114.54641472611279</v>
      </c>
      <c r="Z115" s="125">
        <f t="shared" si="19"/>
        <v>127.5678024061236</v>
      </c>
      <c r="AA115" s="122">
        <f t="shared" si="19"/>
        <v>163.00010690502995</v>
      </c>
      <c r="AB115" s="123">
        <f t="shared" si="18"/>
        <v>135.42231535077264</v>
      </c>
      <c r="AC115" s="123">
        <f t="shared" si="18"/>
        <v>93.894316747734209</v>
      </c>
      <c r="AD115" s="123">
        <f t="shared" si="18"/>
        <v>87.286789046158418</v>
      </c>
      <c r="AE115" s="124">
        <f t="shared" si="18"/>
        <v>86.25759797747456</v>
      </c>
      <c r="AF115" s="122">
        <f t="shared" si="18"/>
        <v>96.552612270093249</v>
      </c>
      <c r="AG115" s="125">
        <f t="shared" si="18"/>
        <v>133.8051570568897</v>
      </c>
      <c r="AH115" s="122">
        <f t="shared" si="18"/>
        <v>161.4843085644801</v>
      </c>
      <c r="AI115" s="123">
        <f t="shared" si="18"/>
        <v>156.96802038462314</v>
      </c>
      <c r="AJ115" s="123">
        <f t="shared" si="18"/>
        <v>114.14932470131357</v>
      </c>
      <c r="AK115" s="123">
        <f t="shared" si="18"/>
        <v>175.49948170513051</v>
      </c>
      <c r="AL115" s="124">
        <f t="shared" si="18"/>
        <v>180.5472977668289</v>
      </c>
      <c r="AM115" s="122">
        <f t="shared" si="18"/>
        <v>215.84668081958736</v>
      </c>
      <c r="AN115" s="125">
        <f t="shared" si="18"/>
        <v>252.24071652083933</v>
      </c>
      <c r="AO115" s="125">
        <f t="shared" si="18"/>
        <v>264.61951351392099</v>
      </c>
      <c r="AP115" s="125">
        <f t="shared" si="18"/>
        <v>253.41982715783433</v>
      </c>
      <c r="AQ115" s="3">
        <f t="shared" si="15"/>
        <v>3822.8431816607663</v>
      </c>
      <c r="AR115" s="110">
        <f t="shared" si="14"/>
        <v>4989.5172174397767</v>
      </c>
    </row>
    <row r="116" spans="1:44" ht="13.9" x14ac:dyDescent="0.25">
      <c r="A116" s="118">
        <v>72</v>
      </c>
      <c r="B116" s="4" t="s">
        <v>83</v>
      </c>
      <c r="C116" s="4" t="s">
        <v>334</v>
      </c>
      <c r="D116" s="4" t="s">
        <v>143</v>
      </c>
      <c r="E116" s="4" t="s">
        <v>335</v>
      </c>
      <c r="F116" s="4" t="s">
        <v>133</v>
      </c>
      <c r="G116" s="119">
        <v>46079</v>
      </c>
      <c r="H116" s="4">
        <v>4</v>
      </c>
      <c r="I116" s="4" t="s">
        <v>1607</v>
      </c>
      <c r="J116" s="4" t="s">
        <v>523</v>
      </c>
      <c r="K116" s="120">
        <v>3092.7352492051014</v>
      </c>
      <c r="L116" s="121">
        <f t="shared" si="19"/>
        <v>156.67697535934806</v>
      </c>
      <c r="M116" s="122">
        <f t="shared" si="19"/>
        <v>196.08730422966374</v>
      </c>
      <c r="N116" s="123">
        <f t="shared" si="19"/>
        <v>179.3944602474983</v>
      </c>
      <c r="O116" s="123">
        <f t="shared" si="19"/>
        <v>87.712613198324476</v>
      </c>
      <c r="P116" s="123">
        <f t="shared" si="19"/>
        <v>77.992391538533582</v>
      </c>
      <c r="Q116" s="124">
        <f t="shared" si="19"/>
        <v>73.111056072910969</v>
      </c>
      <c r="R116" s="122">
        <f t="shared" si="19"/>
        <v>73.811073331209897</v>
      </c>
      <c r="S116" s="125">
        <f t="shared" si="19"/>
        <v>92.57429594220757</v>
      </c>
      <c r="T116" s="122">
        <f t="shared" si="19"/>
        <v>92.782057476153042</v>
      </c>
      <c r="U116" s="123">
        <f t="shared" si="19"/>
        <v>114.05921126309755</v>
      </c>
      <c r="V116" s="123">
        <f t="shared" si="19"/>
        <v>74.729558789907301</v>
      </c>
      <c r="W116" s="123">
        <f t="shared" si="19"/>
        <v>64.506986157319602</v>
      </c>
      <c r="X116" s="124">
        <f t="shared" si="19"/>
        <v>65.601679545891471</v>
      </c>
      <c r="Y116" s="122">
        <f t="shared" si="19"/>
        <v>71.001204937277322</v>
      </c>
      <c r="Z116" s="125">
        <f t="shared" si="19"/>
        <v>79.072467730153051</v>
      </c>
      <c r="AA116" s="122">
        <f t="shared" ref="AA116:AP116" si="20">$K116*AA$4</f>
        <v>101.03506096488796</v>
      </c>
      <c r="AB116" s="123">
        <f t="shared" si="20"/>
        <v>83.941060820551982</v>
      </c>
      <c r="AC116" s="123">
        <f t="shared" si="20"/>
        <v>58.200072361861025</v>
      </c>
      <c r="AD116" s="123">
        <f t="shared" si="20"/>
        <v>54.10441882621727</v>
      </c>
      <c r="AE116" s="124">
        <f t="shared" si="20"/>
        <v>53.466478248487611</v>
      </c>
      <c r="AF116" s="122">
        <f t="shared" si="20"/>
        <v>59.847807785253842</v>
      </c>
      <c r="AG116" s="125">
        <f t="shared" si="20"/>
        <v>82.938670761338514</v>
      </c>
      <c r="AH116" s="122">
        <f t="shared" si="20"/>
        <v>100.09549852744023</v>
      </c>
      <c r="AI116" s="123">
        <f t="shared" si="20"/>
        <v>97.296092685009043</v>
      </c>
      <c r="AJ116" s="123">
        <f t="shared" si="20"/>
        <v>70.755070038190965</v>
      </c>
      <c r="AK116" s="123">
        <f t="shared" si="20"/>
        <v>108.78275585251735</v>
      </c>
      <c r="AL116" s="124">
        <f t="shared" si="20"/>
        <v>111.91162744172672</v>
      </c>
      <c r="AM116" s="122">
        <f t="shared" si="20"/>
        <v>133.79182977089664</v>
      </c>
      <c r="AN116" s="125">
        <f t="shared" si="20"/>
        <v>156.35054881503018</v>
      </c>
      <c r="AO116" s="125">
        <f t="shared" si="20"/>
        <v>164.02350395975702</v>
      </c>
      <c r="AP116" s="125">
        <f t="shared" si="20"/>
        <v>157.0814165264394</v>
      </c>
      <c r="AQ116" s="3">
        <f t="shared" si="15"/>
        <v>2369.5763226912513</v>
      </c>
      <c r="AR116" s="110">
        <f t="shared" si="14"/>
        <v>3092.7352492051014</v>
      </c>
    </row>
    <row r="117" spans="1:44" s="182" customFormat="1" ht="13.9" x14ac:dyDescent="0.25">
      <c r="A117" s="181">
        <v>112</v>
      </c>
      <c r="B117" s="4" t="s">
        <v>557</v>
      </c>
      <c r="C117" s="182" t="s">
        <v>378</v>
      </c>
      <c r="D117" s="182" t="s">
        <v>379</v>
      </c>
      <c r="E117" s="182" t="s">
        <v>380</v>
      </c>
      <c r="F117" s="4" t="s">
        <v>690</v>
      </c>
      <c r="G117" s="119">
        <v>46296</v>
      </c>
      <c r="H117" s="121">
        <v>6</v>
      </c>
      <c r="I117" s="4" t="e">
        <v>#N/A</v>
      </c>
      <c r="J117" s="122"/>
      <c r="K117" s="120">
        <v>180000</v>
      </c>
      <c r="L117" s="121">
        <f t="shared" ref="L117:AP117" si="21">$K117*L$4</f>
        <v>9118.742243433584</v>
      </c>
      <c r="M117" s="121">
        <f t="shared" si="21"/>
        <v>11412.45917199386</v>
      </c>
      <c r="N117" s="121">
        <f t="shared" si="21"/>
        <v>10440.920493549898</v>
      </c>
      <c r="O117" s="121">
        <f t="shared" si="21"/>
        <v>5104.9537394952658</v>
      </c>
      <c r="P117" s="121">
        <f t="shared" si="21"/>
        <v>4539.2280120143714</v>
      </c>
      <c r="Q117" s="121">
        <f t="shared" si="21"/>
        <v>4255.1298552006256</v>
      </c>
      <c r="R117" s="121">
        <f t="shared" si="21"/>
        <v>4295.871495315534</v>
      </c>
      <c r="S117" s="121">
        <f t="shared" si="21"/>
        <v>5387.9080900572408</v>
      </c>
      <c r="T117" s="121">
        <f t="shared" si="21"/>
        <v>5400</v>
      </c>
      <c r="U117" s="121">
        <f t="shared" si="21"/>
        <v>6638.3496720692065</v>
      </c>
      <c r="V117" s="121">
        <f t="shared" si="21"/>
        <v>4349.3281830834339</v>
      </c>
      <c r="W117" s="121">
        <f t="shared" si="21"/>
        <v>3754.3651728035461</v>
      </c>
      <c r="X117" s="121">
        <f t="shared" si="21"/>
        <v>3818.0773221036138</v>
      </c>
      <c r="Y117" s="121">
        <f t="shared" si="21"/>
        <v>4132.3346031622677</v>
      </c>
      <c r="Z117" s="121">
        <f t="shared" si="21"/>
        <v>4602.0894271780116</v>
      </c>
      <c r="AA117" s="121">
        <f t="shared" si="21"/>
        <v>5880.3322975524989</v>
      </c>
      <c r="AB117" s="121">
        <f t="shared" si="21"/>
        <v>4885.4459661824567</v>
      </c>
      <c r="AC117" s="121">
        <f t="shared" si="21"/>
        <v>3387.2970626333249</v>
      </c>
      <c r="AD117" s="121">
        <f t="shared" si="21"/>
        <v>3148.9263076178877</v>
      </c>
      <c r="AE117" s="121">
        <f t="shared" si="21"/>
        <v>3111.7975866836105</v>
      </c>
      <c r="AF117" s="121">
        <f t="shared" si="21"/>
        <v>3483.1967605744721</v>
      </c>
      <c r="AG117" s="121">
        <f t="shared" si="21"/>
        <v>4827.1059544712052</v>
      </c>
      <c r="AH117" s="121">
        <f t="shared" si="21"/>
        <v>5825.6489104814391</v>
      </c>
      <c r="AI117" s="121">
        <f t="shared" si="21"/>
        <v>5662.7209483265397</v>
      </c>
      <c r="AJ117" s="121">
        <f t="shared" si="21"/>
        <v>4118.0093285216617</v>
      </c>
      <c r="AK117" s="121">
        <f t="shared" si="21"/>
        <v>6331.2551756526291</v>
      </c>
      <c r="AL117" s="121">
        <f t="shared" si="21"/>
        <v>6513.3583434560942</v>
      </c>
      <c r="AM117" s="121">
        <f t="shared" si="21"/>
        <v>7786.8059883079604</v>
      </c>
      <c r="AN117" s="121">
        <f t="shared" si="21"/>
        <v>9099.7439221280929</v>
      </c>
      <c r="AO117" s="121">
        <f t="shared" si="21"/>
        <v>9546.3168793205368</v>
      </c>
      <c r="AP117" s="121">
        <f t="shared" si="21"/>
        <v>9142.2810866291511</v>
      </c>
    </row>
    <row r="118" spans="1:44" ht="13.9" x14ac:dyDescent="0.25">
      <c r="A118" s="118">
        <v>114</v>
      </c>
      <c r="B118" s="4" t="s">
        <v>382</v>
      </c>
      <c r="C118" s="4" t="s">
        <v>382</v>
      </c>
      <c r="D118" s="4" t="s">
        <v>524</v>
      </c>
      <c r="E118" s="4" t="s">
        <v>294</v>
      </c>
      <c r="F118" s="4" t="s">
        <v>133</v>
      </c>
      <c r="G118" s="104" t="s">
        <v>373</v>
      </c>
      <c r="I118" s="4" t="e">
        <v>#N/A</v>
      </c>
      <c r="J118" s="4" t="s">
        <v>523</v>
      </c>
      <c r="K118" s="120"/>
      <c r="L118" s="121">
        <f t="shared" ref="L118:AA120" si="22">$K118*L$4</f>
        <v>0</v>
      </c>
      <c r="M118" s="122">
        <f t="shared" si="22"/>
        <v>0</v>
      </c>
      <c r="N118" s="123">
        <f t="shared" si="22"/>
        <v>0</v>
      </c>
      <c r="O118" s="123">
        <f t="shared" si="22"/>
        <v>0</v>
      </c>
      <c r="P118" s="123">
        <f t="shared" si="22"/>
        <v>0</v>
      </c>
      <c r="Q118" s="124">
        <f t="shared" si="22"/>
        <v>0</v>
      </c>
      <c r="R118" s="122">
        <f t="shared" si="22"/>
        <v>0</v>
      </c>
      <c r="S118" s="125">
        <f t="shared" si="22"/>
        <v>0</v>
      </c>
      <c r="T118" s="122">
        <f t="shared" si="22"/>
        <v>0</v>
      </c>
      <c r="U118" s="123">
        <f t="shared" si="22"/>
        <v>0</v>
      </c>
      <c r="V118" s="123">
        <f t="shared" si="22"/>
        <v>0</v>
      </c>
      <c r="W118" s="123">
        <f t="shared" si="22"/>
        <v>0</v>
      </c>
      <c r="X118" s="124">
        <f t="shared" si="22"/>
        <v>0</v>
      </c>
      <c r="Y118" s="122">
        <f t="shared" si="22"/>
        <v>0</v>
      </c>
      <c r="Z118" s="125">
        <f t="shared" si="22"/>
        <v>0</v>
      </c>
      <c r="AA118" s="122">
        <f t="shared" si="22"/>
        <v>0</v>
      </c>
      <c r="AB118" s="123">
        <f t="shared" ref="AB118:AP120" si="23">$K118*AB$4</f>
        <v>0</v>
      </c>
      <c r="AC118" s="123">
        <f t="shared" si="23"/>
        <v>0</v>
      </c>
      <c r="AD118" s="123">
        <f t="shared" si="23"/>
        <v>0</v>
      </c>
      <c r="AE118" s="124">
        <f t="shared" si="23"/>
        <v>0</v>
      </c>
      <c r="AF118" s="122">
        <f t="shared" si="23"/>
        <v>0</v>
      </c>
      <c r="AG118" s="125">
        <f t="shared" si="23"/>
        <v>0</v>
      </c>
      <c r="AH118" s="122">
        <f t="shared" si="23"/>
        <v>0</v>
      </c>
      <c r="AI118" s="123">
        <f t="shared" si="23"/>
        <v>0</v>
      </c>
      <c r="AJ118" s="123">
        <f t="shared" si="23"/>
        <v>0</v>
      </c>
      <c r="AK118" s="123">
        <f t="shared" si="23"/>
        <v>0</v>
      </c>
      <c r="AL118" s="124">
        <f t="shared" si="23"/>
        <v>0</v>
      </c>
      <c r="AM118" s="122">
        <f t="shared" si="23"/>
        <v>0</v>
      </c>
      <c r="AN118" s="125">
        <f t="shared" si="23"/>
        <v>0</v>
      </c>
      <c r="AO118" s="125">
        <f t="shared" si="23"/>
        <v>0</v>
      </c>
      <c r="AP118" s="125">
        <f t="shared" si="23"/>
        <v>0</v>
      </c>
      <c r="AQ118" s="3">
        <f>SUM(L118:W118)</f>
        <v>0</v>
      </c>
      <c r="AR118" s="110">
        <f>SUM(L118:AP118)</f>
        <v>0</v>
      </c>
    </row>
    <row r="119" spans="1:44" ht="13.9" x14ac:dyDescent="0.25">
      <c r="A119" s="118">
        <v>71</v>
      </c>
      <c r="B119" s="4" t="s">
        <v>72</v>
      </c>
      <c r="C119" s="4" t="s">
        <v>289</v>
      </c>
      <c r="D119" s="4" t="s">
        <v>155</v>
      </c>
      <c r="E119" s="4" t="s">
        <v>285</v>
      </c>
      <c r="F119" s="4" t="s">
        <v>131</v>
      </c>
      <c r="G119" s="119">
        <v>45940</v>
      </c>
      <c r="H119" s="4">
        <v>3</v>
      </c>
      <c r="I119" s="4" t="s">
        <v>1606</v>
      </c>
      <c r="J119" s="4" t="s">
        <v>523</v>
      </c>
      <c r="K119" s="120">
        <v>4422.0516321967889</v>
      </c>
      <c r="L119" s="121">
        <f t="shared" si="22"/>
        <v>224.01971678420716</v>
      </c>
      <c r="M119" s="122">
        <f t="shared" si="22"/>
        <v>280.36935393830368</v>
      </c>
      <c r="N119" s="123">
        <f t="shared" si="22"/>
        <v>256.50160838966241</v>
      </c>
      <c r="O119" s="123">
        <f t="shared" si="22"/>
        <v>125.41316120013411</v>
      </c>
      <c r="P119" s="123">
        <f t="shared" si="22"/>
        <v>111.51500355245298</v>
      </c>
      <c r="Q119" s="124">
        <f t="shared" si="22"/>
        <v>104.53557734110673</v>
      </c>
      <c r="R119" s="122">
        <f t="shared" si="22"/>
        <v>105.53647531982065</v>
      </c>
      <c r="S119" s="125">
        <f t="shared" si="22"/>
        <v>132.36448757646613</v>
      </c>
      <c r="T119" s="122">
        <f t="shared" si="22"/>
        <v>132.66154896590365</v>
      </c>
      <c r="U119" s="123">
        <f t="shared" si="22"/>
        <v>163.08402779148139</v>
      </c>
      <c r="V119" s="123">
        <f t="shared" si="22"/>
        <v>106.84974328313106</v>
      </c>
      <c r="W119" s="123">
        <f t="shared" si="22"/>
        <v>92.233314668103901</v>
      </c>
      <c r="X119" s="124">
        <f t="shared" si="22"/>
        <v>93.798528078121279</v>
      </c>
      <c r="Y119" s="122">
        <f t="shared" si="22"/>
        <v>101.51887209276097</v>
      </c>
      <c r="Z119" s="125">
        <f t="shared" si="22"/>
        <v>113.05931701648952</v>
      </c>
      <c r="AA119" s="122">
        <f t="shared" si="22"/>
        <v>144.46185019028624</v>
      </c>
      <c r="AB119" s="123">
        <f t="shared" si="23"/>
        <v>120.02052393759084</v>
      </c>
      <c r="AC119" s="123">
        <f t="shared" si="23"/>
        <v>83.21556946973935</v>
      </c>
      <c r="AD119" s="123">
        <f t="shared" si="23"/>
        <v>77.359526212606042</v>
      </c>
      <c r="AE119" s="124">
        <f t="shared" si="23"/>
        <v>76.447386651446052</v>
      </c>
      <c r="AF119" s="122">
        <f t="shared" si="23"/>
        <v>85.571532890893948</v>
      </c>
      <c r="AG119" s="125">
        <f t="shared" si="23"/>
        <v>118.58728758197907</v>
      </c>
      <c r="AH119" s="122">
        <f t="shared" si="23"/>
        <v>143.11844596222161</v>
      </c>
      <c r="AI119" s="123">
        <f t="shared" si="23"/>
        <v>139.11580229012401</v>
      </c>
      <c r="AJ119" s="123">
        <f t="shared" si="23"/>
        <v>101.16694373661564</v>
      </c>
      <c r="AK119" s="123">
        <f t="shared" si="23"/>
        <v>155.53965157416155</v>
      </c>
      <c r="AL119" s="124">
        <f t="shared" si="23"/>
        <v>160.01337163201441</v>
      </c>
      <c r="AM119" s="122">
        <f t="shared" si="23"/>
        <v>191.29810072331637</v>
      </c>
      <c r="AN119" s="125">
        <f t="shared" si="23"/>
        <v>223.55298590788522</v>
      </c>
      <c r="AO119" s="125">
        <f t="shared" si="23"/>
        <v>234.52392298703964</v>
      </c>
      <c r="AP119" s="125">
        <f t="shared" si="23"/>
        <v>224.59799445072375</v>
      </c>
      <c r="AQ119" s="3">
        <f>SUM(L119:W119)</f>
        <v>1835.0840188107743</v>
      </c>
      <c r="AR119" s="110">
        <f>SUM(L119:AP119)</f>
        <v>4422.0516321967898</v>
      </c>
    </row>
    <row r="120" spans="1:44" ht="14.45" thickBot="1" x14ac:dyDescent="0.3">
      <c r="A120" s="118">
        <v>116</v>
      </c>
      <c r="B120" s="4" t="s">
        <v>384</v>
      </c>
      <c r="C120" s="4" t="s">
        <v>384</v>
      </c>
      <c r="D120" s="4" t="s">
        <v>144</v>
      </c>
      <c r="E120" s="4" t="s">
        <v>266</v>
      </c>
      <c r="F120" s="4" t="s">
        <v>126</v>
      </c>
      <c r="G120" s="104" t="s">
        <v>373</v>
      </c>
      <c r="J120" s="4" t="s">
        <v>523</v>
      </c>
      <c r="K120" s="120"/>
      <c r="L120" s="126">
        <f t="shared" si="22"/>
        <v>0</v>
      </c>
      <c r="M120" s="127">
        <f t="shared" si="22"/>
        <v>0</v>
      </c>
      <c r="N120" s="128">
        <f t="shared" si="22"/>
        <v>0</v>
      </c>
      <c r="O120" s="128">
        <f t="shared" si="22"/>
        <v>0</v>
      </c>
      <c r="P120" s="128">
        <f t="shared" si="22"/>
        <v>0</v>
      </c>
      <c r="Q120" s="129">
        <f t="shared" si="22"/>
        <v>0</v>
      </c>
      <c r="R120" s="127">
        <f t="shared" si="22"/>
        <v>0</v>
      </c>
      <c r="S120" s="130">
        <f t="shared" si="22"/>
        <v>0</v>
      </c>
      <c r="T120" s="127">
        <f t="shared" si="22"/>
        <v>0</v>
      </c>
      <c r="U120" s="128">
        <f t="shared" si="22"/>
        <v>0</v>
      </c>
      <c r="V120" s="128">
        <f t="shared" si="22"/>
        <v>0</v>
      </c>
      <c r="W120" s="128">
        <f t="shared" si="22"/>
        <v>0</v>
      </c>
      <c r="X120" s="129">
        <f t="shared" si="22"/>
        <v>0</v>
      </c>
      <c r="Y120" s="127">
        <f t="shared" si="22"/>
        <v>0</v>
      </c>
      <c r="Z120" s="130">
        <f t="shared" si="22"/>
        <v>0</v>
      </c>
      <c r="AA120" s="127">
        <f t="shared" si="22"/>
        <v>0</v>
      </c>
      <c r="AB120" s="128">
        <f t="shared" si="23"/>
        <v>0</v>
      </c>
      <c r="AC120" s="128">
        <f t="shared" si="23"/>
        <v>0</v>
      </c>
      <c r="AD120" s="128">
        <f t="shared" si="23"/>
        <v>0</v>
      </c>
      <c r="AE120" s="129">
        <f t="shared" si="23"/>
        <v>0</v>
      </c>
      <c r="AF120" s="127">
        <f t="shared" si="23"/>
        <v>0</v>
      </c>
      <c r="AG120" s="130">
        <f t="shared" si="23"/>
        <v>0</v>
      </c>
      <c r="AH120" s="127">
        <f t="shared" si="23"/>
        <v>0</v>
      </c>
      <c r="AI120" s="128">
        <f t="shared" si="23"/>
        <v>0</v>
      </c>
      <c r="AJ120" s="128">
        <f t="shared" si="23"/>
        <v>0</v>
      </c>
      <c r="AK120" s="128">
        <f t="shared" si="23"/>
        <v>0</v>
      </c>
      <c r="AL120" s="129">
        <f t="shared" si="23"/>
        <v>0</v>
      </c>
      <c r="AM120" s="127">
        <f t="shared" si="23"/>
        <v>0</v>
      </c>
      <c r="AN120" s="130">
        <f t="shared" si="23"/>
        <v>0</v>
      </c>
      <c r="AO120" s="130">
        <f t="shared" si="23"/>
        <v>0</v>
      </c>
      <c r="AP120" s="130">
        <f t="shared" si="23"/>
        <v>0</v>
      </c>
      <c r="AQ120" s="3">
        <f>SUM(L120:W120)</f>
        <v>0</v>
      </c>
      <c r="AR120" s="110">
        <f>SUM(L120:AP120)</f>
        <v>0</v>
      </c>
    </row>
  </sheetData>
  <autoFilter ref="A4:AT120" xr:uid="{6223C5C4-DDC3-41F1-AC06-A2B729BCB8F1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A442-B638-44A9-979C-BA7A5F60D066}">
  <sheetPr filterMode="1">
    <tabColor theme="0"/>
  </sheetPr>
  <dimension ref="A1:I114"/>
  <sheetViews>
    <sheetView workbookViewId="0">
      <selection activeCell="A92" sqref="A92:XFD92"/>
    </sheetView>
  </sheetViews>
  <sheetFormatPr defaultRowHeight="15" x14ac:dyDescent="0.25"/>
  <cols>
    <col min="1" max="1" width="32.85546875" bestFit="1" customWidth="1"/>
    <col min="2" max="2" width="13.140625" bestFit="1" customWidth="1"/>
    <col min="3" max="3" width="21" bestFit="1" customWidth="1"/>
    <col min="4" max="4" width="14.7109375" bestFit="1" customWidth="1"/>
    <col min="5" max="5" width="18.85546875" bestFit="1" customWidth="1"/>
    <col min="7" max="7" width="8.7109375" bestFit="1" customWidth="1"/>
    <col min="8" max="8" width="10.140625" bestFit="1" customWidth="1"/>
    <col min="9" max="9" width="14.28515625" bestFit="1" customWidth="1"/>
  </cols>
  <sheetData>
    <row r="1" spans="1:9" x14ac:dyDescent="0.25">
      <c r="I1" s="4">
        <f>SUBTOTAL(9,I3:I113)</f>
        <v>2017842.77</v>
      </c>
    </row>
    <row r="2" spans="1:9" ht="36" x14ac:dyDescent="0.25">
      <c r="A2" s="328" t="s">
        <v>125</v>
      </c>
      <c r="B2" s="328" t="s">
        <v>251</v>
      </c>
      <c r="C2" s="328" t="s">
        <v>253</v>
      </c>
      <c r="D2" s="328" t="s">
        <v>135</v>
      </c>
      <c r="E2" s="328" t="s">
        <v>134</v>
      </c>
      <c r="F2" s="328" t="s">
        <v>1374</v>
      </c>
      <c r="G2" s="328" t="s">
        <v>1375</v>
      </c>
      <c r="H2" s="328" t="s">
        <v>1376</v>
      </c>
      <c r="I2" t="s">
        <v>1598</v>
      </c>
    </row>
    <row r="3" spans="1:9" hidden="1" x14ac:dyDescent="0.25">
      <c r="A3" s="329" t="s">
        <v>1377</v>
      </c>
      <c r="B3" s="329" t="s">
        <v>241</v>
      </c>
      <c r="C3" s="329" t="s">
        <v>296</v>
      </c>
      <c r="D3" s="329" t="s">
        <v>139</v>
      </c>
      <c r="E3" s="329">
        <v>0</v>
      </c>
      <c r="F3" s="329" t="s">
        <v>1378</v>
      </c>
      <c r="G3" s="329" t="s">
        <v>1379</v>
      </c>
      <c r="H3" s="329" t="s">
        <v>1380</v>
      </c>
      <c r="I3" s="333"/>
    </row>
    <row r="4" spans="1:9" hidden="1" x14ac:dyDescent="0.25">
      <c r="A4" s="329" t="s">
        <v>1381</v>
      </c>
      <c r="B4" s="329" t="s">
        <v>17</v>
      </c>
      <c r="C4" s="329" t="s">
        <v>296</v>
      </c>
      <c r="D4" s="329" t="s">
        <v>138</v>
      </c>
      <c r="E4" s="329" t="s">
        <v>129</v>
      </c>
      <c r="F4" s="329" t="s">
        <v>1382</v>
      </c>
      <c r="G4" s="329" t="s">
        <v>1379</v>
      </c>
      <c r="H4" s="329" t="s">
        <v>1383</v>
      </c>
      <c r="I4" s="333">
        <v>432866.53</v>
      </c>
    </row>
    <row r="5" spans="1:9" hidden="1" x14ac:dyDescent="0.25">
      <c r="A5" s="329" t="s">
        <v>1384</v>
      </c>
      <c r="B5" s="329" t="s">
        <v>19</v>
      </c>
      <c r="C5" s="329" t="s">
        <v>296</v>
      </c>
      <c r="D5" s="329" t="s">
        <v>138</v>
      </c>
      <c r="E5" s="329" t="s">
        <v>129</v>
      </c>
      <c r="F5" s="329" t="s">
        <v>1385</v>
      </c>
      <c r="G5" s="329" t="s">
        <v>1379</v>
      </c>
      <c r="H5" s="329" t="s">
        <v>1386</v>
      </c>
      <c r="I5" s="333">
        <v>402443.72</v>
      </c>
    </row>
    <row r="6" spans="1:9" hidden="1" x14ac:dyDescent="0.25">
      <c r="A6" s="329" t="s">
        <v>1387</v>
      </c>
      <c r="B6" s="329" t="s">
        <v>32</v>
      </c>
      <c r="C6" s="329" t="s">
        <v>296</v>
      </c>
      <c r="D6" s="329" t="s">
        <v>138</v>
      </c>
      <c r="E6" s="329" t="s">
        <v>129</v>
      </c>
      <c r="F6" s="329" t="s">
        <v>1385</v>
      </c>
      <c r="G6" s="329" t="s">
        <v>1379</v>
      </c>
      <c r="H6" s="329" t="s">
        <v>1388</v>
      </c>
      <c r="I6" s="333">
        <v>341216.7</v>
      </c>
    </row>
    <row r="7" spans="1:9" hidden="1" x14ac:dyDescent="0.25">
      <c r="A7" s="329" t="s">
        <v>1389</v>
      </c>
      <c r="B7" s="329" t="s">
        <v>34</v>
      </c>
      <c r="C7" s="329" t="s">
        <v>296</v>
      </c>
      <c r="D7" s="329" t="s">
        <v>138</v>
      </c>
      <c r="E7" s="329" t="s">
        <v>129</v>
      </c>
      <c r="F7" s="329" t="s">
        <v>1385</v>
      </c>
      <c r="G7" s="329" t="s">
        <v>1379</v>
      </c>
      <c r="H7" s="329" t="s">
        <v>1390</v>
      </c>
      <c r="I7" s="333">
        <v>314286.84000000003</v>
      </c>
    </row>
    <row r="8" spans="1:9" hidden="1" x14ac:dyDescent="0.25">
      <c r="A8" s="329" t="s">
        <v>1391</v>
      </c>
      <c r="B8" s="329" t="s">
        <v>16</v>
      </c>
      <c r="C8" s="329" t="s">
        <v>296</v>
      </c>
      <c r="D8" s="329" t="s">
        <v>138</v>
      </c>
      <c r="E8" s="329" t="s">
        <v>129</v>
      </c>
      <c r="F8" s="329" t="s">
        <v>1382</v>
      </c>
      <c r="G8" s="329" t="s">
        <v>1379</v>
      </c>
      <c r="H8" s="329" t="s">
        <v>1392</v>
      </c>
      <c r="I8" s="333">
        <v>256647.82</v>
      </c>
    </row>
    <row r="9" spans="1:9" hidden="1" x14ac:dyDescent="0.25">
      <c r="A9" s="329" t="s">
        <v>1393</v>
      </c>
      <c r="B9" s="329" t="s">
        <v>18</v>
      </c>
      <c r="C9" s="329" t="s">
        <v>296</v>
      </c>
      <c r="D9" s="329" t="s">
        <v>138</v>
      </c>
      <c r="E9" s="329" t="s">
        <v>129</v>
      </c>
      <c r="F9" s="329" t="s">
        <v>1382</v>
      </c>
      <c r="G9" s="329" t="s">
        <v>1379</v>
      </c>
      <c r="H9" s="329" t="s">
        <v>1394</v>
      </c>
      <c r="I9" s="333">
        <v>241616.56</v>
      </c>
    </row>
    <row r="10" spans="1:9" hidden="1" x14ac:dyDescent="0.25">
      <c r="A10" s="329" t="s">
        <v>1395</v>
      </c>
      <c r="B10" s="329" t="s">
        <v>38</v>
      </c>
      <c r="C10" s="329" t="s">
        <v>296</v>
      </c>
      <c r="D10" s="329" t="s">
        <v>138</v>
      </c>
      <c r="E10" s="329" t="s">
        <v>129</v>
      </c>
      <c r="F10" s="329" t="s">
        <v>1385</v>
      </c>
      <c r="G10" s="329" t="s">
        <v>1379</v>
      </c>
      <c r="H10" s="329" t="s">
        <v>1396</v>
      </c>
      <c r="I10" s="333">
        <v>254997.89</v>
      </c>
    </row>
    <row r="11" spans="1:9" hidden="1" x14ac:dyDescent="0.25">
      <c r="A11" s="329" t="s">
        <v>1397</v>
      </c>
      <c r="B11" s="329" t="s">
        <v>21</v>
      </c>
      <c r="C11" s="329" t="s">
        <v>296</v>
      </c>
      <c r="D11" s="329" t="s">
        <v>138</v>
      </c>
      <c r="E11" s="329" t="s">
        <v>129</v>
      </c>
      <c r="F11" s="329" t="s">
        <v>1382</v>
      </c>
      <c r="G11" s="329" t="s">
        <v>1379</v>
      </c>
      <c r="H11" s="329" t="s">
        <v>1398</v>
      </c>
      <c r="I11" s="333">
        <v>187109.94</v>
      </c>
    </row>
    <row r="12" spans="1:9" hidden="1" x14ac:dyDescent="0.25">
      <c r="A12" s="329" t="s">
        <v>1399</v>
      </c>
      <c r="B12" s="329" t="s">
        <v>39</v>
      </c>
      <c r="C12" s="329" t="s">
        <v>296</v>
      </c>
      <c r="D12" s="329" t="s">
        <v>138</v>
      </c>
      <c r="E12" s="329" t="s">
        <v>129</v>
      </c>
      <c r="F12" s="329" t="s">
        <v>1385</v>
      </c>
      <c r="G12" s="329" t="s">
        <v>1379</v>
      </c>
      <c r="H12" s="329" t="s">
        <v>1400</v>
      </c>
      <c r="I12" s="333">
        <v>138230.14000000001</v>
      </c>
    </row>
    <row r="13" spans="1:9" hidden="1" x14ac:dyDescent="0.25">
      <c r="A13" s="329" t="s">
        <v>1401</v>
      </c>
      <c r="B13" s="329" t="s">
        <v>33</v>
      </c>
      <c r="C13" s="329" t="s">
        <v>296</v>
      </c>
      <c r="D13" s="329" t="s">
        <v>138</v>
      </c>
      <c r="E13" s="329" t="s">
        <v>129</v>
      </c>
      <c r="F13" s="329" t="s">
        <v>1385</v>
      </c>
      <c r="G13" s="329" t="s">
        <v>1379</v>
      </c>
      <c r="H13" s="329" t="s">
        <v>1402</v>
      </c>
      <c r="I13" s="333">
        <v>221491.43</v>
      </c>
    </row>
    <row r="14" spans="1:9" hidden="1" x14ac:dyDescent="0.25">
      <c r="A14" s="329" t="s">
        <v>1403</v>
      </c>
      <c r="B14" s="329" t="s">
        <v>46</v>
      </c>
      <c r="C14" s="329" t="s">
        <v>296</v>
      </c>
      <c r="D14" s="329" t="s">
        <v>138</v>
      </c>
      <c r="E14" s="329" t="s">
        <v>129</v>
      </c>
      <c r="F14" s="329" t="s">
        <v>1385</v>
      </c>
      <c r="G14" s="329" t="s">
        <v>1379</v>
      </c>
      <c r="H14" s="329" t="s">
        <v>1404</v>
      </c>
      <c r="I14" s="333">
        <v>214016.83</v>
      </c>
    </row>
    <row r="15" spans="1:9" hidden="1" x14ac:dyDescent="0.25">
      <c r="A15" s="329" t="s">
        <v>1405</v>
      </c>
      <c r="B15" s="329" t="s">
        <v>61</v>
      </c>
      <c r="C15" s="329" t="s">
        <v>296</v>
      </c>
      <c r="D15" s="329" t="s">
        <v>138</v>
      </c>
      <c r="E15" s="329" t="s">
        <v>129</v>
      </c>
      <c r="F15" s="329" t="s">
        <v>1385</v>
      </c>
      <c r="G15" s="329" t="s">
        <v>1379</v>
      </c>
      <c r="H15" s="329" t="s">
        <v>1406</v>
      </c>
      <c r="I15" s="333">
        <v>91456.290000000008</v>
      </c>
    </row>
    <row r="16" spans="1:9" hidden="1" x14ac:dyDescent="0.25">
      <c r="A16" s="329" t="s">
        <v>1407</v>
      </c>
      <c r="B16" s="329" t="s">
        <v>95</v>
      </c>
      <c r="C16" s="329" t="s">
        <v>296</v>
      </c>
      <c r="D16" s="329" t="s">
        <v>138</v>
      </c>
      <c r="E16" s="329" t="s">
        <v>129</v>
      </c>
      <c r="F16" s="329" t="s">
        <v>1378</v>
      </c>
      <c r="G16" s="329" t="s">
        <v>1379</v>
      </c>
      <c r="H16" s="329" t="s">
        <v>1408</v>
      </c>
      <c r="I16" s="333">
        <v>214892.85</v>
      </c>
    </row>
    <row r="17" spans="1:9" hidden="1" x14ac:dyDescent="0.25">
      <c r="A17" s="329" t="s">
        <v>1409</v>
      </c>
      <c r="B17" s="329" t="s">
        <v>76</v>
      </c>
      <c r="C17" s="329" t="s">
        <v>296</v>
      </c>
      <c r="D17" s="329" t="s">
        <v>138</v>
      </c>
      <c r="E17" s="329" t="s">
        <v>129</v>
      </c>
      <c r="F17" s="329" t="s">
        <v>1385</v>
      </c>
      <c r="G17" s="329" t="s">
        <v>1379</v>
      </c>
      <c r="H17" s="329" t="s">
        <v>1410</v>
      </c>
      <c r="I17" s="333">
        <v>202417.95</v>
      </c>
    </row>
    <row r="18" spans="1:9" hidden="1" x14ac:dyDescent="0.25">
      <c r="A18" s="329" t="s">
        <v>1411</v>
      </c>
      <c r="B18" s="329" t="s">
        <v>92</v>
      </c>
      <c r="C18" s="329" t="s">
        <v>279</v>
      </c>
      <c r="D18" s="329" t="s">
        <v>163</v>
      </c>
      <c r="E18" s="329" t="s">
        <v>129</v>
      </c>
      <c r="F18" s="329" t="s">
        <v>1412</v>
      </c>
      <c r="G18" s="329" t="s">
        <v>1379</v>
      </c>
      <c r="H18" s="329" t="s">
        <v>1413</v>
      </c>
      <c r="I18" s="333">
        <v>121859.25</v>
      </c>
    </row>
    <row r="19" spans="1:9" hidden="1" x14ac:dyDescent="0.25">
      <c r="A19" s="329" t="s">
        <v>1414</v>
      </c>
      <c r="B19" s="329" t="s">
        <v>78</v>
      </c>
      <c r="C19" s="329" t="s">
        <v>296</v>
      </c>
      <c r="D19" s="329" t="s">
        <v>138</v>
      </c>
      <c r="E19" s="329" t="s">
        <v>129</v>
      </c>
      <c r="F19" s="329" t="s">
        <v>1378</v>
      </c>
      <c r="G19" s="329" t="s">
        <v>1379</v>
      </c>
      <c r="H19" s="329" t="s">
        <v>1415</v>
      </c>
      <c r="I19" s="333">
        <v>176041.63</v>
      </c>
    </row>
    <row r="20" spans="1:9" hidden="1" x14ac:dyDescent="0.25">
      <c r="A20" s="329" t="s">
        <v>1416</v>
      </c>
      <c r="B20" s="329" t="s">
        <v>97</v>
      </c>
      <c r="C20" s="329" t="s">
        <v>279</v>
      </c>
      <c r="D20" s="329" t="s">
        <v>163</v>
      </c>
      <c r="E20" s="329" t="s">
        <v>129</v>
      </c>
      <c r="F20" s="329" t="s">
        <v>1385</v>
      </c>
      <c r="G20" s="329" t="s">
        <v>1379</v>
      </c>
      <c r="H20" s="329" t="s">
        <v>1417</v>
      </c>
      <c r="I20" s="333">
        <v>102755.19</v>
      </c>
    </row>
    <row r="21" spans="1:9" hidden="1" x14ac:dyDescent="0.25">
      <c r="A21" s="329" t="s">
        <v>1418</v>
      </c>
      <c r="B21" s="329" t="s">
        <v>110</v>
      </c>
      <c r="C21" s="329" t="s">
        <v>296</v>
      </c>
      <c r="D21" s="329" t="s">
        <v>138</v>
      </c>
      <c r="E21" s="329" t="s">
        <v>129</v>
      </c>
      <c r="F21" s="329" t="s">
        <v>1385</v>
      </c>
      <c r="G21" s="329" t="s">
        <v>1379</v>
      </c>
      <c r="H21" s="329" t="s">
        <v>1419</v>
      </c>
      <c r="I21" s="333">
        <v>238855.87</v>
      </c>
    </row>
    <row r="22" spans="1:9" hidden="1" x14ac:dyDescent="0.25">
      <c r="A22" s="329" t="s">
        <v>1420</v>
      </c>
      <c r="B22" s="329" t="s">
        <v>111</v>
      </c>
      <c r="C22" s="329" t="s">
        <v>296</v>
      </c>
      <c r="D22" s="329" t="s">
        <v>138</v>
      </c>
      <c r="E22" s="329" t="s">
        <v>129</v>
      </c>
      <c r="F22" s="329" t="s">
        <v>1412</v>
      </c>
      <c r="G22" s="329" t="s">
        <v>1379</v>
      </c>
      <c r="H22" s="329" t="s">
        <v>1421</v>
      </c>
      <c r="I22" s="333">
        <v>85249.01</v>
      </c>
    </row>
    <row r="23" spans="1:9" hidden="1" x14ac:dyDescent="0.25">
      <c r="A23" s="329" t="s">
        <v>1422</v>
      </c>
      <c r="B23" s="329" t="s">
        <v>112</v>
      </c>
      <c r="C23" s="329" t="s">
        <v>296</v>
      </c>
      <c r="D23" s="329" t="s">
        <v>138</v>
      </c>
      <c r="E23" s="329" t="s">
        <v>129</v>
      </c>
      <c r="F23" s="329" t="s">
        <v>1412</v>
      </c>
      <c r="G23" s="329" t="s">
        <v>1379</v>
      </c>
      <c r="H23" s="329" t="s">
        <v>1423</v>
      </c>
      <c r="I23" s="333">
        <v>199039.12</v>
      </c>
    </row>
    <row r="24" spans="1:9" hidden="1" x14ac:dyDescent="0.25">
      <c r="A24" s="329" t="s">
        <v>1424</v>
      </c>
      <c r="B24" s="329" t="s">
        <v>118</v>
      </c>
      <c r="C24" s="329" t="s">
        <v>296</v>
      </c>
      <c r="D24" s="329" t="s">
        <v>138</v>
      </c>
      <c r="E24" s="329" t="s">
        <v>129</v>
      </c>
      <c r="F24" s="329" t="s">
        <v>1412</v>
      </c>
      <c r="G24" s="329" t="s">
        <v>1379</v>
      </c>
      <c r="H24" s="329" t="s">
        <v>1425</v>
      </c>
      <c r="I24" s="333">
        <v>120889.81</v>
      </c>
    </row>
    <row r="25" spans="1:9" hidden="1" x14ac:dyDescent="0.25">
      <c r="A25" s="329" t="s">
        <v>1426</v>
      </c>
      <c r="B25" s="329" t="s">
        <v>29</v>
      </c>
      <c r="C25" s="329" t="s">
        <v>296</v>
      </c>
      <c r="D25" s="329" t="s">
        <v>164</v>
      </c>
      <c r="E25" s="329" t="s">
        <v>129</v>
      </c>
      <c r="F25" s="329" t="s">
        <v>1412</v>
      </c>
      <c r="G25" s="329" t="s">
        <v>1379</v>
      </c>
      <c r="H25" s="329" t="s">
        <v>1427</v>
      </c>
      <c r="I25" s="333">
        <v>126573.1</v>
      </c>
    </row>
    <row r="26" spans="1:9" hidden="1" x14ac:dyDescent="0.25">
      <c r="A26" s="329" t="s">
        <v>1428</v>
      </c>
      <c r="B26" s="329" t="s">
        <v>49</v>
      </c>
      <c r="C26" s="329" t="s">
        <v>296</v>
      </c>
      <c r="D26" s="329" t="s">
        <v>158</v>
      </c>
      <c r="E26" s="329" t="s">
        <v>129</v>
      </c>
      <c r="F26" s="329" t="s">
        <v>1385</v>
      </c>
      <c r="G26" s="329" t="s">
        <v>1379</v>
      </c>
      <c r="H26" s="329" t="s">
        <v>1429</v>
      </c>
      <c r="I26" s="333">
        <v>183977.35</v>
      </c>
    </row>
    <row r="27" spans="1:9" hidden="1" x14ac:dyDescent="0.25">
      <c r="A27" s="329" t="s">
        <v>1430</v>
      </c>
      <c r="B27" s="329" t="s">
        <v>81</v>
      </c>
      <c r="C27" s="329" t="s">
        <v>296</v>
      </c>
      <c r="D27" s="329" t="s">
        <v>158</v>
      </c>
      <c r="E27" s="329" t="s">
        <v>129</v>
      </c>
      <c r="F27" s="329" t="s">
        <v>1385</v>
      </c>
      <c r="G27" s="329" t="s">
        <v>1379</v>
      </c>
      <c r="H27" s="329" t="s">
        <v>1431</v>
      </c>
      <c r="I27" s="333">
        <v>85571.39</v>
      </c>
    </row>
    <row r="28" spans="1:9" hidden="1" x14ac:dyDescent="0.25">
      <c r="A28" s="329" t="s">
        <v>1432</v>
      </c>
      <c r="B28" s="329" t="s">
        <v>90</v>
      </c>
      <c r="C28" s="329" t="s">
        <v>296</v>
      </c>
      <c r="D28" s="329" t="s">
        <v>158</v>
      </c>
      <c r="E28" s="329" t="s">
        <v>129</v>
      </c>
      <c r="F28" s="329" t="s">
        <v>1385</v>
      </c>
      <c r="G28" s="329" t="s">
        <v>1379</v>
      </c>
      <c r="H28" s="329" t="s">
        <v>1433</v>
      </c>
      <c r="I28" s="333">
        <v>106975.54</v>
      </c>
    </row>
    <row r="29" spans="1:9" hidden="1" x14ac:dyDescent="0.25">
      <c r="A29" s="329" t="s">
        <v>1434</v>
      </c>
      <c r="B29" s="329" t="s">
        <v>25</v>
      </c>
      <c r="C29" s="329" t="s">
        <v>296</v>
      </c>
      <c r="D29" s="329" t="s">
        <v>158</v>
      </c>
      <c r="E29" s="329" t="s">
        <v>129</v>
      </c>
      <c r="F29" s="329" t="s">
        <v>1382</v>
      </c>
      <c r="G29" s="329" t="s">
        <v>1379</v>
      </c>
      <c r="H29" s="329" t="s">
        <v>1435</v>
      </c>
      <c r="I29" s="333">
        <v>274782.34999999998</v>
      </c>
    </row>
    <row r="30" spans="1:9" hidden="1" x14ac:dyDescent="0.25">
      <c r="A30" s="329" t="s">
        <v>1436</v>
      </c>
      <c r="B30" s="329" t="s">
        <v>37</v>
      </c>
      <c r="C30" s="329" t="s">
        <v>294</v>
      </c>
      <c r="D30" s="329" t="s">
        <v>150</v>
      </c>
      <c r="E30" s="329" t="s">
        <v>133</v>
      </c>
      <c r="F30" s="329" t="s">
        <v>1382</v>
      </c>
      <c r="G30" s="329" t="s">
        <v>1379</v>
      </c>
      <c r="H30" s="329" t="s">
        <v>1437</v>
      </c>
      <c r="I30" s="333">
        <v>308281.81</v>
      </c>
    </row>
    <row r="31" spans="1:9" hidden="1" x14ac:dyDescent="0.25">
      <c r="A31" s="329" t="s">
        <v>1438</v>
      </c>
      <c r="B31" s="329" t="s">
        <v>20</v>
      </c>
      <c r="C31" s="329" t="s">
        <v>261</v>
      </c>
      <c r="D31" s="329" t="s">
        <v>157</v>
      </c>
      <c r="E31" s="329" t="s">
        <v>133</v>
      </c>
      <c r="F31" s="329" t="s">
        <v>1382</v>
      </c>
      <c r="G31" s="329" t="s">
        <v>1379</v>
      </c>
      <c r="H31" s="329" t="s">
        <v>1439</v>
      </c>
      <c r="I31" s="333">
        <v>206371.3</v>
      </c>
    </row>
    <row r="32" spans="1:9" hidden="1" x14ac:dyDescent="0.25">
      <c r="A32" s="329" t="s">
        <v>1440</v>
      </c>
      <c r="B32" s="329" t="s">
        <v>24</v>
      </c>
      <c r="C32" s="329" t="s">
        <v>261</v>
      </c>
      <c r="D32" s="329" t="s">
        <v>157</v>
      </c>
      <c r="E32" s="329" t="s">
        <v>133</v>
      </c>
      <c r="F32" s="329" t="s">
        <v>1382</v>
      </c>
      <c r="G32" s="329" t="s">
        <v>1379</v>
      </c>
      <c r="H32" s="329" t="s">
        <v>1441</v>
      </c>
      <c r="I32" s="333">
        <v>184392.06</v>
      </c>
    </row>
    <row r="33" spans="1:9" hidden="1" x14ac:dyDescent="0.25">
      <c r="A33" s="329" t="s">
        <v>1442</v>
      </c>
      <c r="B33" s="329" t="s">
        <v>50</v>
      </c>
      <c r="C33" s="329" t="s">
        <v>335</v>
      </c>
      <c r="D33" s="329" t="s">
        <v>143</v>
      </c>
      <c r="E33" s="329" t="s">
        <v>133</v>
      </c>
      <c r="F33" s="329" t="s">
        <v>1382</v>
      </c>
      <c r="G33" s="329" t="s">
        <v>1379</v>
      </c>
      <c r="H33" s="329" t="s">
        <v>1443</v>
      </c>
      <c r="I33" s="333">
        <v>224636.45</v>
      </c>
    </row>
    <row r="34" spans="1:9" hidden="1" x14ac:dyDescent="0.25">
      <c r="A34" s="329" t="s">
        <v>1444</v>
      </c>
      <c r="B34" s="329" t="s">
        <v>51</v>
      </c>
      <c r="C34" s="329" t="s">
        <v>261</v>
      </c>
      <c r="D34" s="329" t="s">
        <v>159</v>
      </c>
      <c r="E34" s="329" t="s">
        <v>133</v>
      </c>
      <c r="F34" s="329" t="s">
        <v>1382</v>
      </c>
      <c r="G34" s="329" t="s">
        <v>1379</v>
      </c>
      <c r="H34" s="329" t="s">
        <v>1445</v>
      </c>
      <c r="I34" s="333">
        <v>164197.54</v>
      </c>
    </row>
    <row r="35" spans="1:9" hidden="1" x14ac:dyDescent="0.25">
      <c r="A35" s="329" t="s">
        <v>1446</v>
      </c>
      <c r="B35" s="329" t="s">
        <v>53</v>
      </c>
      <c r="C35" s="329" t="s">
        <v>261</v>
      </c>
      <c r="D35" s="329" t="s">
        <v>159</v>
      </c>
      <c r="E35" s="329" t="s">
        <v>133</v>
      </c>
      <c r="F35" s="329" t="s">
        <v>1382</v>
      </c>
      <c r="G35" s="329" t="s">
        <v>1379</v>
      </c>
      <c r="H35" s="329" t="s">
        <v>1447</v>
      </c>
      <c r="I35" s="333">
        <v>220103.55</v>
      </c>
    </row>
    <row r="36" spans="1:9" hidden="1" x14ac:dyDescent="0.25">
      <c r="A36" s="329" t="s">
        <v>1448</v>
      </c>
      <c r="B36" s="329" t="s">
        <v>60</v>
      </c>
      <c r="C36" s="329" t="s">
        <v>294</v>
      </c>
      <c r="D36" s="329" t="s">
        <v>162</v>
      </c>
      <c r="E36" s="329" t="s">
        <v>133</v>
      </c>
      <c r="F36" s="329" t="s">
        <v>1385</v>
      </c>
      <c r="G36" s="329" t="s">
        <v>1379</v>
      </c>
      <c r="H36" s="329" t="s">
        <v>1449</v>
      </c>
      <c r="I36" s="333">
        <v>147917.44</v>
      </c>
    </row>
    <row r="37" spans="1:9" hidden="1" x14ac:dyDescent="0.25">
      <c r="A37" s="329" t="s">
        <v>1450</v>
      </c>
      <c r="B37" s="329" t="s">
        <v>74</v>
      </c>
      <c r="C37" s="329" t="s">
        <v>261</v>
      </c>
      <c r="D37" s="329" t="s">
        <v>157</v>
      </c>
      <c r="E37" s="329" t="s">
        <v>133</v>
      </c>
      <c r="F37" s="329" t="s">
        <v>1385</v>
      </c>
      <c r="G37" s="329" t="s">
        <v>1379</v>
      </c>
      <c r="H37" s="329" t="s">
        <v>1451</v>
      </c>
      <c r="I37" s="333">
        <v>253250.96</v>
      </c>
    </row>
    <row r="38" spans="1:9" hidden="1" x14ac:dyDescent="0.25">
      <c r="A38" s="329" t="s">
        <v>1452</v>
      </c>
      <c r="B38" s="329" t="s">
        <v>77</v>
      </c>
      <c r="C38" s="329" t="s">
        <v>294</v>
      </c>
      <c r="D38" s="329" t="s">
        <v>160</v>
      </c>
      <c r="E38" s="329" t="s">
        <v>133</v>
      </c>
      <c r="F38" s="329" t="s">
        <v>1412</v>
      </c>
      <c r="G38" s="329" t="s">
        <v>1379</v>
      </c>
      <c r="H38" s="329" t="s">
        <v>1453</v>
      </c>
      <c r="I38" s="333">
        <v>155638.6</v>
      </c>
    </row>
    <row r="39" spans="1:9" hidden="1" x14ac:dyDescent="0.25">
      <c r="A39" s="329" t="s">
        <v>1454</v>
      </c>
      <c r="B39" s="329" t="s">
        <v>75</v>
      </c>
      <c r="C39" s="329" t="s">
        <v>294</v>
      </c>
      <c r="D39" s="329" t="s">
        <v>150</v>
      </c>
      <c r="E39" s="329" t="s">
        <v>133</v>
      </c>
      <c r="F39" s="329" t="s">
        <v>1385</v>
      </c>
      <c r="G39" s="329" t="s">
        <v>1379</v>
      </c>
      <c r="H39" s="329" t="s">
        <v>1455</v>
      </c>
      <c r="I39" s="333">
        <v>171866.75</v>
      </c>
    </row>
    <row r="40" spans="1:9" hidden="1" x14ac:dyDescent="0.25">
      <c r="A40" s="329" t="s">
        <v>1456</v>
      </c>
      <c r="B40" s="329" t="s">
        <v>98</v>
      </c>
      <c r="C40" s="329" t="s">
        <v>294</v>
      </c>
      <c r="D40" s="329" t="s">
        <v>150</v>
      </c>
      <c r="E40" s="329" t="s">
        <v>133</v>
      </c>
      <c r="F40" s="329" t="s">
        <v>1385</v>
      </c>
      <c r="G40" s="329" t="s">
        <v>1379</v>
      </c>
      <c r="H40" s="329" t="s">
        <v>1457</v>
      </c>
      <c r="I40" s="333">
        <v>102631.73</v>
      </c>
    </row>
    <row r="41" spans="1:9" hidden="1" x14ac:dyDescent="0.25">
      <c r="A41" s="329" t="s">
        <v>1458</v>
      </c>
      <c r="B41" s="329" t="s">
        <v>103</v>
      </c>
      <c r="C41" s="329" t="s">
        <v>261</v>
      </c>
      <c r="D41" s="329" t="s">
        <v>159</v>
      </c>
      <c r="E41" s="329" t="s">
        <v>133</v>
      </c>
      <c r="F41" s="329" t="s">
        <v>1412</v>
      </c>
      <c r="G41" s="329" t="s">
        <v>1379</v>
      </c>
      <c r="H41" s="329" t="s">
        <v>1459</v>
      </c>
      <c r="I41" s="333">
        <v>87282.16</v>
      </c>
    </row>
    <row r="42" spans="1:9" hidden="1" x14ac:dyDescent="0.25">
      <c r="A42" s="329" t="s">
        <v>1460</v>
      </c>
      <c r="B42" s="329" t="s">
        <v>114</v>
      </c>
      <c r="C42" s="329" t="s">
        <v>261</v>
      </c>
      <c r="D42" s="329" t="s">
        <v>157</v>
      </c>
      <c r="E42" s="329" t="s">
        <v>133</v>
      </c>
      <c r="F42" s="329" t="s">
        <v>1385</v>
      </c>
      <c r="G42" s="329" t="s">
        <v>1379</v>
      </c>
      <c r="H42" s="329" t="s">
        <v>1461</v>
      </c>
      <c r="I42" s="333">
        <v>107124.7</v>
      </c>
    </row>
    <row r="43" spans="1:9" hidden="1" x14ac:dyDescent="0.25">
      <c r="A43" s="329" t="s">
        <v>1462</v>
      </c>
      <c r="B43" s="329" t="s">
        <v>83</v>
      </c>
      <c r="C43" s="329" t="s">
        <v>335</v>
      </c>
      <c r="D43" s="329" t="s">
        <v>143</v>
      </c>
      <c r="E43" s="329" t="s">
        <v>133</v>
      </c>
      <c r="F43" s="329" t="s">
        <v>1412</v>
      </c>
      <c r="G43" s="329" t="s">
        <v>1379</v>
      </c>
      <c r="H43" s="329" t="s">
        <v>1463</v>
      </c>
      <c r="I43" s="333">
        <v>52572.76</v>
      </c>
    </row>
    <row r="44" spans="1:9" hidden="1" x14ac:dyDescent="0.25">
      <c r="A44" s="329" t="s">
        <v>1464</v>
      </c>
      <c r="B44" s="329" t="s">
        <v>54</v>
      </c>
      <c r="C44" s="329" t="s">
        <v>266</v>
      </c>
      <c r="D44" s="329" t="s">
        <v>144</v>
      </c>
      <c r="E44" s="329" t="s">
        <v>126</v>
      </c>
      <c r="F44" s="329" t="s">
        <v>1382</v>
      </c>
      <c r="G44" s="329" t="s">
        <v>1379</v>
      </c>
      <c r="H44" s="329" t="s">
        <v>1465</v>
      </c>
      <c r="I44" s="333">
        <v>759230.91</v>
      </c>
    </row>
    <row r="45" spans="1:9" hidden="1" x14ac:dyDescent="0.25">
      <c r="A45" s="329" t="s">
        <v>1466</v>
      </c>
      <c r="B45" s="329" t="s">
        <v>28</v>
      </c>
      <c r="C45" s="329" t="s">
        <v>266</v>
      </c>
      <c r="D45" s="329" t="s">
        <v>154</v>
      </c>
      <c r="E45" s="329" t="s">
        <v>126</v>
      </c>
      <c r="F45" s="329" t="s">
        <v>1382</v>
      </c>
      <c r="G45" s="329" t="s">
        <v>1379</v>
      </c>
      <c r="H45" s="329" t="s">
        <v>1467</v>
      </c>
      <c r="I45" s="333">
        <v>435106.53</v>
      </c>
    </row>
    <row r="46" spans="1:9" hidden="1" x14ac:dyDescent="0.25">
      <c r="A46" s="329" t="s">
        <v>1468</v>
      </c>
      <c r="B46" s="329" t="s">
        <v>45</v>
      </c>
      <c r="C46" s="329" t="s">
        <v>266</v>
      </c>
      <c r="D46" s="329" t="s">
        <v>146</v>
      </c>
      <c r="E46" s="329" t="s">
        <v>126</v>
      </c>
      <c r="F46" s="329" t="s">
        <v>1385</v>
      </c>
      <c r="G46" s="329" t="s">
        <v>1379</v>
      </c>
      <c r="H46" s="329" t="s">
        <v>1469</v>
      </c>
      <c r="I46" s="333">
        <v>432660.44</v>
      </c>
    </row>
    <row r="47" spans="1:9" hidden="1" x14ac:dyDescent="0.25">
      <c r="A47" s="329" t="s">
        <v>1470</v>
      </c>
      <c r="B47" s="329" t="s">
        <v>23</v>
      </c>
      <c r="C47" s="329" t="s">
        <v>266</v>
      </c>
      <c r="D47" s="329" t="s">
        <v>136</v>
      </c>
      <c r="E47" s="329" t="s">
        <v>126</v>
      </c>
      <c r="F47" s="329" t="s">
        <v>1382</v>
      </c>
      <c r="G47" s="329" t="s">
        <v>1379</v>
      </c>
      <c r="H47" s="329" t="s">
        <v>1471</v>
      </c>
      <c r="I47" s="333">
        <v>318548.58</v>
      </c>
    </row>
    <row r="48" spans="1:9" hidden="1" x14ac:dyDescent="0.25">
      <c r="A48" s="329" t="s">
        <v>1472</v>
      </c>
      <c r="B48" s="329" t="s">
        <v>30</v>
      </c>
      <c r="C48" s="329" t="s">
        <v>364</v>
      </c>
      <c r="D48" s="329" t="s">
        <v>151</v>
      </c>
      <c r="E48" s="329" t="s">
        <v>126</v>
      </c>
      <c r="F48" s="329" t="s">
        <v>1382</v>
      </c>
      <c r="G48" s="329" t="s">
        <v>1379</v>
      </c>
      <c r="H48" s="329" t="s">
        <v>1473</v>
      </c>
      <c r="I48" s="333">
        <v>232539.2</v>
      </c>
    </row>
    <row r="49" spans="1:9" hidden="1" x14ac:dyDescent="0.25">
      <c r="A49" s="329" t="s">
        <v>1474</v>
      </c>
      <c r="B49" s="329" t="s">
        <v>48</v>
      </c>
      <c r="C49" s="329" t="s">
        <v>266</v>
      </c>
      <c r="D49" s="329" t="s">
        <v>136</v>
      </c>
      <c r="E49" s="329" t="s">
        <v>126</v>
      </c>
      <c r="F49" s="329" t="s">
        <v>1385</v>
      </c>
      <c r="G49" s="329" t="s">
        <v>1379</v>
      </c>
      <c r="H49" s="329" t="s">
        <v>1475</v>
      </c>
      <c r="I49" s="333">
        <v>271440.11</v>
      </c>
    </row>
    <row r="50" spans="1:9" hidden="1" x14ac:dyDescent="0.25">
      <c r="A50" s="329" t="s">
        <v>1476</v>
      </c>
      <c r="B50" s="329" t="s">
        <v>35</v>
      </c>
      <c r="C50" s="329" t="s">
        <v>266</v>
      </c>
      <c r="D50" s="329" t="s">
        <v>148</v>
      </c>
      <c r="E50" s="329" t="s">
        <v>126</v>
      </c>
      <c r="F50" s="329" t="s">
        <v>1385</v>
      </c>
      <c r="G50" s="329" t="s">
        <v>1379</v>
      </c>
      <c r="H50" s="329" t="s">
        <v>1477</v>
      </c>
      <c r="I50" s="333">
        <v>244175.15</v>
      </c>
    </row>
    <row r="51" spans="1:9" hidden="1" x14ac:dyDescent="0.25">
      <c r="A51" s="329" t="s">
        <v>1478</v>
      </c>
      <c r="B51" s="329" t="s">
        <v>67</v>
      </c>
      <c r="C51" s="329" t="s">
        <v>266</v>
      </c>
      <c r="D51" s="329" t="s">
        <v>136</v>
      </c>
      <c r="E51" s="329" t="s">
        <v>126</v>
      </c>
      <c r="F51" s="329" t="s">
        <v>1385</v>
      </c>
      <c r="G51" s="329" t="s">
        <v>1379</v>
      </c>
      <c r="H51" s="329" t="s">
        <v>1479</v>
      </c>
      <c r="I51" s="333">
        <v>274216.63</v>
      </c>
    </row>
    <row r="52" spans="1:9" hidden="1" x14ac:dyDescent="0.25">
      <c r="A52" s="329" t="s">
        <v>1480</v>
      </c>
      <c r="B52" s="329" t="s">
        <v>68</v>
      </c>
      <c r="C52" s="329" t="s">
        <v>266</v>
      </c>
      <c r="D52" s="329" t="s">
        <v>152</v>
      </c>
      <c r="E52" s="329" t="s">
        <v>126</v>
      </c>
      <c r="F52" s="329" t="s">
        <v>1412</v>
      </c>
      <c r="G52" s="329" t="s">
        <v>1379</v>
      </c>
      <c r="H52" s="329" t="s">
        <v>1481</v>
      </c>
      <c r="I52" s="333">
        <v>184521.07</v>
      </c>
    </row>
    <row r="53" spans="1:9" hidden="1" x14ac:dyDescent="0.25">
      <c r="A53" s="329" t="s">
        <v>1482</v>
      </c>
      <c r="B53" s="329" t="s">
        <v>69</v>
      </c>
      <c r="C53" s="329" t="s">
        <v>266</v>
      </c>
      <c r="D53" s="329" t="s">
        <v>146</v>
      </c>
      <c r="E53" s="329" t="s">
        <v>126</v>
      </c>
      <c r="F53" s="329" t="s">
        <v>1385</v>
      </c>
      <c r="G53" s="329" t="s">
        <v>1379</v>
      </c>
      <c r="H53" s="329" t="s">
        <v>1483</v>
      </c>
      <c r="I53" s="333">
        <v>212009.89</v>
      </c>
    </row>
    <row r="54" spans="1:9" hidden="1" x14ac:dyDescent="0.25">
      <c r="A54" s="329" t="s">
        <v>1484</v>
      </c>
      <c r="B54" s="329" t="s">
        <v>73</v>
      </c>
      <c r="C54" s="329" t="s">
        <v>266</v>
      </c>
      <c r="D54" s="329" t="s">
        <v>146</v>
      </c>
      <c r="E54" s="329" t="s">
        <v>126</v>
      </c>
      <c r="F54" s="329" t="s">
        <v>1385</v>
      </c>
      <c r="G54" s="329" t="s">
        <v>1379</v>
      </c>
      <c r="H54" s="329" t="s">
        <v>1485</v>
      </c>
      <c r="I54" s="333">
        <v>215142.39</v>
      </c>
    </row>
    <row r="55" spans="1:9" hidden="1" x14ac:dyDescent="0.25">
      <c r="A55" s="329" t="s">
        <v>1486</v>
      </c>
      <c r="B55" s="329" t="s">
        <v>63</v>
      </c>
      <c r="C55" s="329" t="s">
        <v>266</v>
      </c>
      <c r="D55" s="329" t="s">
        <v>152</v>
      </c>
      <c r="E55" s="329" t="s">
        <v>126</v>
      </c>
      <c r="F55" s="329" t="s">
        <v>1385</v>
      </c>
      <c r="G55" s="329" t="s">
        <v>1379</v>
      </c>
      <c r="H55" s="329" t="s">
        <v>1487</v>
      </c>
      <c r="I55" s="333">
        <v>108931.12</v>
      </c>
    </row>
    <row r="56" spans="1:9" hidden="1" x14ac:dyDescent="0.25">
      <c r="A56" s="329" t="s">
        <v>1488</v>
      </c>
      <c r="B56" s="329" t="s">
        <v>65</v>
      </c>
      <c r="C56" s="329" t="s">
        <v>266</v>
      </c>
      <c r="D56" s="329" t="s">
        <v>148</v>
      </c>
      <c r="E56" s="329" t="s">
        <v>126</v>
      </c>
      <c r="F56" s="329" t="s">
        <v>1385</v>
      </c>
      <c r="G56" s="329" t="s">
        <v>1379</v>
      </c>
      <c r="H56" s="329" t="s">
        <v>1489</v>
      </c>
      <c r="I56" s="333">
        <v>135817.01999999999</v>
      </c>
    </row>
    <row r="57" spans="1:9" hidden="1" x14ac:dyDescent="0.25">
      <c r="A57" s="329" t="s">
        <v>1490</v>
      </c>
      <c r="B57" s="329" t="s">
        <v>85</v>
      </c>
      <c r="C57" s="329" t="s">
        <v>364</v>
      </c>
      <c r="D57" s="329" t="s">
        <v>151</v>
      </c>
      <c r="E57" s="329" t="s">
        <v>126</v>
      </c>
      <c r="F57" s="329" t="s">
        <v>1382</v>
      </c>
      <c r="G57" s="329" t="s">
        <v>1379</v>
      </c>
      <c r="H57" s="329" t="s">
        <v>1491</v>
      </c>
      <c r="I57" s="333">
        <v>168067.55</v>
      </c>
    </row>
    <row r="58" spans="1:9" hidden="1" x14ac:dyDescent="0.25">
      <c r="A58" s="329" t="s">
        <v>1492</v>
      </c>
      <c r="B58" s="329" t="s">
        <v>104</v>
      </c>
      <c r="C58" s="329" t="s">
        <v>266</v>
      </c>
      <c r="D58" s="329" t="s">
        <v>154</v>
      </c>
      <c r="E58" s="329" t="s">
        <v>126</v>
      </c>
      <c r="F58" s="329" t="s">
        <v>1385</v>
      </c>
      <c r="G58" s="329" t="s">
        <v>1379</v>
      </c>
      <c r="H58" s="329" t="s">
        <v>1493</v>
      </c>
      <c r="I58" s="333">
        <v>137932.07</v>
      </c>
    </row>
    <row r="59" spans="1:9" hidden="1" x14ac:dyDescent="0.25">
      <c r="A59" s="329" t="s">
        <v>1494</v>
      </c>
      <c r="B59" s="329" t="s">
        <v>119</v>
      </c>
      <c r="C59" s="329" t="s">
        <v>266</v>
      </c>
      <c r="D59" s="329" t="s">
        <v>144</v>
      </c>
      <c r="E59" s="329" t="s">
        <v>126</v>
      </c>
      <c r="F59" s="329" t="s">
        <v>1385</v>
      </c>
      <c r="G59" s="329" t="s">
        <v>1379</v>
      </c>
      <c r="H59" s="329" t="s">
        <v>1495</v>
      </c>
      <c r="I59" s="333">
        <v>296046.01</v>
      </c>
    </row>
    <row r="60" spans="1:9" hidden="1" x14ac:dyDescent="0.25">
      <c r="A60" s="329" t="s">
        <v>1496</v>
      </c>
      <c r="B60" s="329" t="s">
        <v>26</v>
      </c>
      <c r="C60" s="329" t="s">
        <v>343</v>
      </c>
      <c r="D60" s="329" t="s">
        <v>145</v>
      </c>
      <c r="E60" s="329" t="s">
        <v>131</v>
      </c>
      <c r="F60" s="329" t="s">
        <v>1382</v>
      </c>
      <c r="G60" s="329" t="s">
        <v>1379</v>
      </c>
      <c r="H60" s="329" t="s">
        <v>1497</v>
      </c>
      <c r="I60" s="333">
        <v>408866.25</v>
      </c>
    </row>
    <row r="61" spans="1:9" hidden="1" x14ac:dyDescent="0.25">
      <c r="A61" s="329" t="s">
        <v>1498</v>
      </c>
      <c r="B61" s="329" t="s">
        <v>36</v>
      </c>
      <c r="C61" s="329" t="s">
        <v>343</v>
      </c>
      <c r="D61" s="329" t="s">
        <v>145</v>
      </c>
      <c r="E61" s="329" t="s">
        <v>131</v>
      </c>
      <c r="F61" s="329" t="s">
        <v>1385</v>
      </c>
      <c r="G61" s="329" t="s">
        <v>1379</v>
      </c>
      <c r="H61" s="329" t="s">
        <v>1477</v>
      </c>
      <c r="I61" s="333">
        <v>387751.49</v>
      </c>
    </row>
    <row r="62" spans="1:9" hidden="1" x14ac:dyDescent="0.25">
      <c r="A62" s="329" t="s">
        <v>1499</v>
      </c>
      <c r="B62" s="329" t="s">
        <v>15</v>
      </c>
      <c r="C62" s="329" t="s">
        <v>343</v>
      </c>
      <c r="D62" s="329" t="s">
        <v>145</v>
      </c>
      <c r="E62" s="329" t="s">
        <v>131</v>
      </c>
      <c r="F62" s="329" t="s">
        <v>1382</v>
      </c>
      <c r="G62" s="329" t="s">
        <v>1379</v>
      </c>
      <c r="H62" s="329" t="s">
        <v>1500</v>
      </c>
      <c r="I62" s="333">
        <v>340462.13</v>
      </c>
    </row>
    <row r="63" spans="1:9" hidden="1" x14ac:dyDescent="0.25">
      <c r="A63" s="329" t="s">
        <v>1501</v>
      </c>
      <c r="B63" s="329" t="s">
        <v>27</v>
      </c>
      <c r="C63" s="329" t="s">
        <v>343</v>
      </c>
      <c r="D63" s="329" t="s">
        <v>145</v>
      </c>
      <c r="E63" s="329" t="s">
        <v>131</v>
      </c>
      <c r="F63" s="329" t="s">
        <v>1382</v>
      </c>
      <c r="G63" s="329" t="s">
        <v>1379</v>
      </c>
      <c r="H63" s="329" t="s">
        <v>1502</v>
      </c>
      <c r="I63" s="333">
        <v>232447.35999999999</v>
      </c>
    </row>
    <row r="64" spans="1:9" hidden="1" x14ac:dyDescent="0.25">
      <c r="A64" s="329" t="s">
        <v>1503</v>
      </c>
      <c r="B64" s="329" t="s">
        <v>14</v>
      </c>
      <c r="C64" s="329" t="s">
        <v>343</v>
      </c>
      <c r="D64" s="329" t="s">
        <v>145</v>
      </c>
      <c r="E64" s="329" t="s">
        <v>131</v>
      </c>
      <c r="F64" s="329" t="s">
        <v>1382</v>
      </c>
      <c r="G64" s="329" t="s">
        <v>1379</v>
      </c>
      <c r="H64" s="329" t="s">
        <v>1504</v>
      </c>
      <c r="I64" s="333">
        <v>119289.06</v>
      </c>
    </row>
    <row r="65" spans="1:9" hidden="1" x14ac:dyDescent="0.25">
      <c r="A65" s="329" t="s">
        <v>1505</v>
      </c>
      <c r="B65" s="329" t="s">
        <v>43</v>
      </c>
      <c r="C65" s="329" t="s">
        <v>285</v>
      </c>
      <c r="D65" s="329" t="s">
        <v>156</v>
      </c>
      <c r="E65" s="329" t="s">
        <v>131</v>
      </c>
      <c r="F65" s="329" t="s">
        <v>1385</v>
      </c>
      <c r="G65" s="329" t="s">
        <v>1379</v>
      </c>
      <c r="H65" s="329" t="s">
        <v>1506</v>
      </c>
      <c r="I65" s="333">
        <v>180862.76</v>
      </c>
    </row>
    <row r="66" spans="1:9" hidden="1" x14ac:dyDescent="0.25">
      <c r="A66" s="329" t="s">
        <v>1507</v>
      </c>
      <c r="B66" s="329" t="s">
        <v>59</v>
      </c>
      <c r="C66" s="329" t="s">
        <v>343</v>
      </c>
      <c r="D66" s="329" t="s">
        <v>145</v>
      </c>
      <c r="E66" s="329" t="s">
        <v>131</v>
      </c>
      <c r="F66" s="329" t="s">
        <v>1385</v>
      </c>
      <c r="G66" s="329" t="s">
        <v>1379</v>
      </c>
      <c r="H66" s="329" t="s">
        <v>1508</v>
      </c>
      <c r="I66" s="333">
        <v>228235.4</v>
      </c>
    </row>
    <row r="67" spans="1:9" hidden="1" x14ac:dyDescent="0.25">
      <c r="A67" s="329" t="s">
        <v>1509</v>
      </c>
      <c r="B67" s="329" t="s">
        <v>40</v>
      </c>
      <c r="C67" s="329" t="s">
        <v>343</v>
      </c>
      <c r="D67" s="329" t="s">
        <v>145</v>
      </c>
      <c r="E67" s="329" t="s">
        <v>131</v>
      </c>
      <c r="F67" s="329" t="s">
        <v>1385</v>
      </c>
      <c r="G67" s="329" t="s">
        <v>1379</v>
      </c>
      <c r="H67" s="329" t="s">
        <v>1510</v>
      </c>
      <c r="I67" s="333">
        <v>133922.9</v>
      </c>
    </row>
    <row r="68" spans="1:9" hidden="1" x14ac:dyDescent="0.25">
      <c r="A68" s="329" t="s">
        <v>1511</v>
      </c>
      <c r="B68" s="329" t="s">
        <v>58</v>
      </c>
      <c r="C68" s="329" t="s">
        <v>343</v>
      </c>
      <c r="D68" s="329" t="s">
        <v>145</v>
      </c>
      <c r="E68" s="329" t="s">
        <v>131</v>
      </c>
      <c r="F68" s="329" t="s">
        <v>1385</v>
      </c>
      <c r="G68" s="329" t="s">
        <v>1379</v>
      </c>
      <c r="H68" s="329" t="s">
        <v>1512</v>
      </c>
      <c r="I68" s="333">
        <v>159742.32999999999</v>
      </c>
    </row>
    <row r="69" spans="1:9" hidden="1" x14ac:dyDescent="0.25">
      <c r="A69" s="329" t="s">
        <v>1513</v>
      </c>
      <c r="B69" s="329" t="s">
        <v>72</v>
      </c>
      <c r="C69" s="329" t="s">
        <v>285</v>
      </c>
      <c r="D69" s="329" t="s">
        <v>155</v>
      </c>
      <c r="E69" s="329" t="s">
        <v>131</v>
      </c>
      <c r="F69" s="329" t="s">
        <v>1385</v>
      </c>
      <c r="G69" s="329" t="s">
        <v>1379</v>
      </c>
      <c r="H69" s="329" t="s">
        <v>1380</v>
      </c>
      <c r="I69" s="333">
        <v>30844.32</v>
      </c>
    </row>
    <row r="70" spans="1:9" hidden="1" x14ac:dyDescent="0.25">
      <c r="A70" s="329" t="s">
        <v>1514</v>
      </c>
      <c r="B70" s="329" t="s">
        <v>71</v>
      </c>
      <c r="C70" s="329" t="s">
        <v>343</v>
      </c>
      <c r="D70" s="329" t="s">
        <v>145</v>
      </c>
      <c r="E70" s="329" t="s">
        <v>131</v>
      </c>
      <c r="F70" s="329" t="s">
        <v>1412</v>
      </c>
      <c r="G70" s="329" t="s">
        <v>1379</v>
      </c>
      <c r="H70" s="329" t="s">
        <v>1427</v>
      </c>
      <c r="I70" s="333">
        <v>483439.37</v>
      </c>
    </row>
    <row r="71" spans="1:9" hidden="1" x14ac:dyDescent="0.25">
      <c r="A71" s="329" t="s">
        <v>1515</v>
      </c>
      <c r="B71" s="329" t="s">
        <v>102</v>
      </c>
      <c r="C71" s="329" t="s">
        <v>285</v>
      </c>
      <c r="D71" s="329" t="s">
        <v>156</v>
      </c>
      <c r="E71" s="329" t="s">
        <v>131</v>
      </c>
      <c r="F71" s="329" t="s">
        <v>1385</v>
      </c>
      <c r="G71" s="329" t="s">
        <v>1379</v>
      </c>
      <c r="H71" s="329" t="s">
        <v>1516</v>
      </c>
      <c r="I71" s="333">
        <v>100865.29</v>
      </c>
    </row>
    <row r="72" spans="1:9" hidden="1" x14ac:dyDescent="0.25">
      <c r="A72" s="329" t="s">
        <v>1517</v>
      </c>
      <c r="B72" s="329" t="s">
        <v>106</v>
      </c>
      <c r="C72" s="329" t="s">
        <v>285</v>
      </c>
      <c r="D72" s="329" t="s">
        <v>161</v>
      </c>
      <c r="E72" s="329" t="s">
        <v>131</v>
      </c>
      <c r="F72" s="329" t="s">
        <v>1385</v>
      </c>
      <c r="G72" s="329" t="s">
        <v>1379</v>
      </c>
      <c r="H72" s="329" t="s">
        <v>1518</v>
      </c>
      <c r="I72" s="333">
        <v>108853.31</v>
      </c>
    </row>
    <row r="73" spans="1:9" hidden="1" x14ac:dyDescent="0.25">
      <c r="A73" s="329" t="s">
        <v>1519</v>
      </c>
      <c r="B73" s="329" t="s">
        <v>113</v>
      </c>
      <c r="C73" s="329" t="s">
        <v>343</v>
      </c>
      <c r="D73" s="329" t="s">
        <v>145</v>
      </c>
      <c r="E73" s="329" t="s">
        <v>131</v>
      </c>
      <c r="F73" s="329" t="s">
        <v>1412</v>
      </c>
      <c r="G73" s="329" t="s">
        <v>1379</v>
      </c>
      <c r="H73" s="329" t="s">
        <v>1461</v>
      </c>
      <c r="I73" s="333">
        <v>109148.9</v>
      </c>
    </row>
    <row r="74" spans="1:9" hidden="1" x14ac:dyDescent="0.25">
      <c r="A74" s="329" t="s">
        <v>1520</v>
      </c>
      <c r="B74" s="329" t="s">
        <v>96</v>
      </c>
      <c r="C74" s="329" t="s">
        <v>296</v>
      </c>
      <c r="D74" s="329" t="s">
        <v>139</v>
      </c>
      <c r="E74" s="329" t="s">
        <v>130</v>
      </c>
      <c r="F74" s="329" t="s">
        <v>1378</v>
      </c>
      <c r="G74" s="329" t="s">
        <v>1379</v>
      </c>
      <c r="H74" s="329" t="s">
        <v>1408</v>
      </c>
      <c r="I74" s="333">
        <v>874086.74</v>
      </c>
    </row>
    <row r="75" spans="1:9" hidden="1" x14ac:dyDescent="0.25">
      <c r="A75" s="329" t="s">
        <v>1521</v>
      </c>
      <c r="B75" s="329" t="s">
        <v>22</v>
      </c>
      <c r="C75" s="329" t="s">
        <v>296</v>
      </c>
      <c r="D75" s="329" t="s">
        <v>139</v>
      </c>
      <c r="E75" s="329" t="s">
        <v>130</v>
      </c>
      <c r="F75" s="329" t="s">
        <v>1382</v>
      </c>
      <c r="G75" s="329" t="s">
        <v>1379</v>
      </c>
      <c r="H75" s="329" t="s">
        <v>1522</v>
      </c>
      <c r="I75" s="333">
        <v>274731.96999999997</v>
      </c>
    </row>
    <row r="76" spans="1:9" hidden="1" x14ac:dyDescent="0.25">
      <c r="A76" s="329" t="s">
        <v>1523</v>
      </c>
      <c r="B76" s="329" t="s">
        <v>52</v>
      </c>
      <c r="C76" s="329" t="s">
        <v>296</v>
      </c>
      <c r="D76" s="329" t="s">
        <v>139</v>
      </c>
      <c r="E76" s="329" t="s">
        <v>130</v>
      </c>
      <c r="F76" s="329" t="s">
        <v>1385</v>
      </c>
      <c r="G76" s="329" t="s">
        <v>1379</v>
      </c>
      <c r="H76" s="329" t="s">
        <v>1524</v>
      </c>
      <c r="I76" s="333">
        <v>361608.84</v>
      </c>
    </row>
    <row r="77" spans="1:9" hidden="1" x14ac:dyDescent="0.25">
      <c r="A77" s="329" t="s">
        <v>1525</v>
      </c>
      <c r="B77" s="329" t="s">
        <v>62</v>
      </c>
      <c r="C77" s="329" t="s">
        <v>296</v>
      </c>
      <c r="D77" s="329" t="s">
        <v>139</v>
      </c>
      <c r="E77" s="329" t="s">
        <v>130</v>
      </c>
      <c r="F77" s="329" t="s">
        <v>1385</v>
      </c>
      <c r="G77" s="329" t="s">
        <v>1379</v>
      </c>
      <c r="H77" s="329" t="s">
        <v>1526</v>
      </c>
      <c r="I77" s="333">
        <v>140169.20000000001</v>
      </c>
    </row>
    <row r="78" spans="1:9" hidden="1" x14ac:dyDescent="0.25">
      <c r="A78" s="329" t="s">
        <v>1527</v>
      </c>
      <c r="B78" s="329" t="s">
        <v>57</v>
      </c>
      <c r="C78" s="329" t="s">
        <v>296</v>
      </c>
      <c r="D78" s="329" t="s">
        <v>139</v>
      </c>
      <c r="E78" s="329" t="s">
        <v>130</v>
      </c>
      <c r="F78" s="329" t="s">
        <v>1412</v>
      </c>
      <c r="G78" s="329" t="s">
        <v>1379</v>
      </c>
      <c r="H78" s="329" t="s">
        <v>1528</v>
      </c>
      <c r="I78" s="333">
        <v>182315.22</v>
      </c>
    </row>
    <row r="79" spans="1:9" hidden="1" x14ac:dyDescent="0.25">
      <c r="A79" s="329" t="s">
        <v>1529</v>
      </c>
      <c r="B79" s="329" t="s">
        <v>66</v>
      </c>
      <c r="C79" s="329" t="s">
        <v>296</v>
      </c>
      <c r="D79" s="329" t="s">
        <v>139</v>
      </c>
      <c r="E79" s="329" t="s">
        <v>130</v>
      </c>
      <c r="F79" s="329" t="s">
        <v>1412</v>
      </c>
      <c r="G79" s="329" t="s">
        <v>1379</v>
      </c>
      <c r="H79" s="329" t="s">
        <v>1530</v>
      </c>
      <c r="I79" s="333">
        <v>112612.41</v>
      </c>
    </row>
    <row r="80" spans="1:9" hidden="1" x14ac:dyDescent="0.25">
      <c r="A80" s="329" t="s">
        <v>1531</v>
      </c>
      <c r="B80" s="329" t="s">
        <v>93</v>
      </c>
      <c r="C80" s="329" t="s">
        <v>296</v>
      </c>
      <c r="D80" s="329" t="s">
        <v>139</v>
      </c>
      <c r="E80" s="329" t="s">
        <v>130</v>
      </c>
      <c r="F80" s="329" t="s">
        <v>1385</v>
      </c>
      <c r="G80" s="329" t="s">
        <v>1379</v>
      </c>
      <c r="H80" s="329" t="s">
        <v>1532</v>
      </c>
      <c r="I80" s="333">
        <v>114058</v>
      </c>
    </row>
    <row r="81" spans="1:9" hidden="1" x14ac:dyDescent="0.25">
      <c r="A81" s="329" t="s">
        <v>1533</v>
      </c>
      <c r="B81" s="329" t="s">
        <v>100</v>
      </c>
      <c r="C81" s="329" t="s">
        <v>296</v>
      </c>
      <c r="D81" s="329" t="s">
        <v>139</v>
      </c>
      <c r="E81" s="329" t="s">
        <v>130</v>
      </c>
      <c r="F81" s="329" t="s">
        <v>1534</v>
      </c>
      <c r="G81" s="329" t="s">
        <v>1379</v>
      </c>
      <c r="H81" s="329" t="s">
        <v>1535</v>
      </c>
      <c r="I81" s="333">
        <v>519125.46</v>
      </c>
    </row>
    <row r="82" spans="1:9" hidden="1" x14ac:dyDescent="0.25">
      <c r="A82" s="329" t="s">
        <v>1536</v>
      </c>
      <c r="B82" s="329" t="s">
        <v>84</v>
      </c>
      <c r="C82" s="329" t="s">
        <v>296</v>
      </c>
      <c r="D82" s="329" t="s">
        <v>139</v>
      </c>
      <c r="E82" s="329" t="s">
        <v>130</v>
      </c>
      <c r="F82" s="329" t="s">
        <v>1412</v>
      </c>
      <c r="G82" s="329" t="s">
        <v>1379</v>
      </c>
      <c r="H82" s="329" t="s">
        <v>1537</v>
      </c>
      <c r="I82" s="333">
        <v>169032.59</v>
      </c>
    </row>
    <row r="83" spans="1:9" hidden="1" x14ac:dyDescent="0.25">
      <c r="A83" s="329" t="s">
        <v>1538</v>
      </c>
      <c r="B83" s="329" t="s">
        <v>116</v>
      </c>
      <c r="C83" s="329" t="s">
        <v>296</v>
      </c>
      <c r="D83" s="329" t="s">
        <v>139</v>
      </c>
      <c r="E83" s="329" t="s">
        <v>130</v>
      </c>
      <c r="F83" s="329" t="s">
        <v>1385</v>
      </c>
      <c r="G83" s="329" t="s">
        <v>1379</v>
      </c>
      <c r="H83" s="329" t="s">
        <v>1539</v>
      </c>
      <c r="I83" s="333">
        <v>723175.33</v>
      </c>
    </row>
    <row r="84" spans="1:9" x14ac:dyDescent="0.25">
      <c r="A84" s="329" t="s">
        <v>1540</v>
      </c>
      <c r="B84" s="329" t="s">
        <v>42</v>
      </c>
      <c r="C84" s="329" t="s">
        <v>270</v>
      </c>
      <c r="D84" s="329" t="s">
        <v>142</v>
      </c>
      <c r="E84" s="329" t="s">
        <v>132</v>
      </c>
      <c r="F84" s="329" t="s">
        <v>1385</v>
      </c>
      <c r="G84" s="329" t="s">
        <v>1379</v>
      </c>
      <c r="H84" s="329" t="s">
        <v>1541</v>
      </c>
      <c r="I84" s="333">
        <v>234254.53</v>
      </c>
    </row>
    <row r="85" spans="1:9" x14ac:dyDescent="0.25">
      <c r="A85" s="329" t="s">
        <v>1542</v>
      </c>
      <c r="B85" s="329" t="s">
        <v>56</v>
      </c>
      <c r="C85" s="329" t="s">
        <v>270</v>
      </c>
      <c r="D85" s="329" t="s">
        <v>142</v>
      </c>
      <c r="E85" s="329" t="s">
        <v>132</v>
      </c>
      <c r="F85" s="329" t="s">
        <v>1382</v>
      </c>
      <c r="G85" s="329" t="s">
        <v>1379</v>
      </c>
      <c r="H85" s="329" t="s">
        <v>1543</v>
      </c>
      <c r="I85" s="333">
        <v>199268.94</v>
      </c>
    </row>
    <row r="86" spans="1:9" x14ac:dyDescent="0.25">
      <c r="A86" s="329" t="s">
        <v>1544</v>
      </c>
      <c r="B86" s="329" t="s">
        <v>41</v>
      </c>
      <c r="C86" s="329" t="s">
        <v>270</v>
      </c>
      <c r="D86" s="329" t="s">
        <v>141</v>
      </c>
      <c r="E86" s="329" t="s">
        <v>132</v>
      </c>
      <c r="F86" s="329" t="s">
        <v>1385</v>
      </c>
      <c r="G86" s="329" t="s">
        <v>1379</v>
      </c>
      <c r="H86" s="329" t="s">
        <v>1524</v>
      </c>
      <c r="I86" s="333">
        <v>144291.28</v>
      </c>
    </row>
    <row r="87" spans="1:9" x14ac:dyDescent="0.25">
      <c r="A87" s="329" t="s">
        <v>1545</v>
      </c>
      <c r="B87" s="329" t="s">
        <v>94</v>
      </c>
      <c r="C87" s="329" t="s">
        <v>270</v>
      </c>
      <c r="D87" s="329" t="s">
        <v>142</v>
      </c>
      <c r="E87" s="329" t="s">
        <v>132</v>
      </c>
      <c r="F87" s="329" t="s">
        <v>1382</v>
      </c>
      <c r="G87" s="329" t="s">
        <v>1546</v>
      </c>
      <c r="H87" s="329" t="s">
        <v>1547</v>
      </c>
      <c r="I87" s="333">
        <v>261604.88</v>
      </c>
    </row>
    <row r="88" spans="1:9" x14ac:dyDescent="0.25">
      <c r="A88" s="329" t="s">
        <v>1548</v>
      </c>
      <c r="B88" s="329" t="s">
        <v>86</v>
      </c>
      <c r="C88" s="329" t="s">
        <v>270</v>
      </c>
      <c r="D88" s="329" t="s">
        <v>142</v>
      </c>
      <c r="E88" s="329" t="s">
        <v>132</v>
      </c>
      <c r="F88" s="329" t="s">
        <v>1412</v>
      </c>
      <c r="G88" s="329" t="s">
        <v>1546</v>
      </c>
      <c r="H88" s="329" t="s">
        <v>1549</v>
      </c>
      <c r="I88" s="333">
        <v>121129.4</v>
      </c>
    </row>
    <row r="89" spans="1:9" x14ac:dyDescent="0.25">
      <c r="A89" s="329" t="s">
        <v>1550</v>
      </c>
      <c r="B89" s="329" t="s">
        <v>91</v>
      </c>
      <c r="C89" s="329" t="s">
        <v>270</v>
      </c>
      <c r="D89" s="329" t="s">
        <v>142</v>
      </c>
      <c r="E89" s="329" t="s">
        <v>132</v>
      </c>
      <c r="F89" s="329" t="s">
        <v>1382</v>
      </c>
      <c r="G89" s="329" t="s">
        <v>1379</v>
      </c>
      <c r="H89" s="329" t="s">
        <v>1551</v>
      </c>
      <c r="I89" s="333">
        <v>115012.97</v>
      </c>
    </row>
    <row r="90" spans="1:9" x14ac:dyDescent="0.25">
      <c r="A90" s="329" t="s">
        <v>1552</v>
      </c>
      <c r="B90" s="329" t="s">
        <v>89</v>
      </c>
      <c r="C90" s="329" t="s">
        <v>270</v>
      </c>
      <c r="D90" s="329" t="s">
        <v>142</v>
      </c>
      <c r="E90" s="329" t="s">
        <v>132</v>
      </c>
      <c r="F90" s="329" t="s">
        <v>1385</v>
      </c>
      <c r="G90" s="329" t="s">
        <v>1379</v>
      </c>
      <c r="H90" s="329" t="s">
        <v>1553</v>
      </c>
      <c r="I90" s="333">
        <v>94503.89</v>
      </c>
    </row>
    <row r="91" spans="1:9" x14ac:dyDescent="0.25">
      <c r="A91" s="329" t="s">
        <v>1554</v>
      </c>
      <c r="B91" s="329" t="s">
        <v>101</v>
      </c>
      <c r="C91" s="329" t="s">
        <v>270</v>
      </c>
      <c r="D91" s="329" t="s">
        <v>142</v>
      </c>
      <c r="E91" s="329" t="s">
        <v>132</v>
      </c>
      <c r="F91" s="329" t="s">
        <v>1385</v>
      </c>
      <c r="G91" s="329" t="s">
        <v>1379</v>
      </c>
      <c r="H91" s="329" t="s">
        <v>1555</v>
      </c>
      <c r="I91" s="333">
        <v>182068.13</v>
      </c>
    </row>
    <row r="92" spans="1:9" x14ac:dyDescent="0.25">
      <c r="A92" s="329" t="s">
        <v>1556</v>
      </c>
      <c r="B92" s="329" t="s">
        <v>99</v>
      </c>
      <c r="C92" s="329" t="s">
        <v>270</v>
      </c>
      <c r="D92" s="329" t="s">
        <v>142</v>
      </c>
      <c r="E92" s="329" t="s">
        <v>132</v>
      </c>
      <c r="F92" s="329" t="s">
        <v>1534</v>
      </c>
      <c r="G92" s="329" t="s">
        <v>1546</v>
      </c>
      <c r="H92" s="329" t="s">
        <v>1535</v>
      </c>
      <c r="I92" s="333">
        <v>215584.36</v>
      </c>
    </row>
    <row r="93" spans="1:9" x14ac:dyDescent="0.25">
      <c r="A93" s="329" t="s">
        <v>1557</v>
      </c>
      <c r="B93" s="329" t="s">
        <v>107</v>
      </c>
      <c r="C93" s="329" t="s">
        <v>270</v>
      </c>
      <c r="D93" s="329" t="s">
        <v>142</v>
      </c>
      <c r="E93" s="329" t="s">
        <v>132</v>
      </c>
      <c r="F93" s="329" t="s">
        <v>1412</v>
      </c>
      <c r="G93" s="329" t="s">
        <v>1379</v>
      </c>
      <c r="H93" s="329" t="s">
        <v>1558</v>
      </c>
      <c r="I93" s="333">
        <v>163606.34</v>
      </c>
    </row>
    <row r="94" spans="1:9" x14ac:dyDescent="0.25">
      <c r="A94" s="329" t="s">
        <v>1559</v>
      </c>
      <c r="B94" s="329" t="s">
        <v>108</v>
      </c>
      <c r="C94" s="329" t="s">
        <v>270</v>
      </c>
      <c r="D94" s="329" t="s">
        <v>141</v>
      </c>
      <c r="E94" s="329" t="s">
        <v>132</v>
      </c>
      <c r="F94" s="329" t="s">
        <v>1385</v>
      </c>
      <c r="G94" s="329" t="s">
        <v>1379</v>
      </c>
      <c r="H94" s="329" t="s">
        <v>1560</v>
      </c>
      <c r="I94" s="333">
        <v>103327.51</v>
      </c>
    </row>
    <row r="95" spans="1:9" x14ac:dyDescent="0.25">
      <c r="A95" s="329" t="s">
        <v>1561</v>
      </c>
      <c r="B95" s="329" t="s">
        <v>115</v>
      </c>
      <c r="C95" s="329" t="s">
        <v>270</v>
      </c>
      <c r="D95" s="329" t="s">
        <v>142</v>
      </c>
      <c r="E95" s="329" t="s">
        <v>132</v>
      </c>
      <c r="F95" s="329" t="s">
        <v>1385</v>
      </c>
      <c r="G95" s="329" t="s">
        <v>1379</v>
      </c>
      <c r="H95" s="329" t="s">
        <v>1562</v>
      </c>
      <c r="I95" s="333">
        <v>127360.23</v>
      </c>
    </row>
    <row r="96" spans="1:9" x14ac:dyDescent="0.25">
      <c r="A96" s="329" t="s">
        <v>1563</v>
      </c>
      <c r="B96" s="329" t="s">
        <v>120</v>
      </c>
      <c r="C96" s="329" t="s">
        <v>270</v>
      </c>
      <c r="D96" s="329" t="s">
        <v>142</v>
      </c>
      <c r="E96" s="329" t="s">
        <v>132</v>
      </c>
      <c r="F96" s="329" t="s">
        <v>1385</v>
      </c>
      <c r="G96" s="329" t="s">
        <v>1379</v>
      </c>
      <c r="H96" s="329" t="s">
        <v>1564</v>
      </c>
      <c r="I96" s="333">
        <v>55830.31</v>
      </c>
    </row>
    <row r="97" spans="1:9" hidden="1" x14ac:dyDescent="0.25">
      <c r="A97" s="329" t="s">
        <v>1565</v>
      </c>
      <c r="B97" s="329" t="s">
        <v>12</v>
      </c>
      <c r="C97" s="329" t="s">
        <v>343</v>
      </c>
      <c r="D97" s="329" t="s">
        <v>145</v>
      </c>
      <c r="E97" s="329" t="s">
        <v>127</v>
      </c>
      <c r="F97" s="329" t="s">
        <v>1382</v>
      </c>
      <c r="G97" s="329" t="s">
        <v>1379</v>
      </c>
      <c r="H97" s="329" t="s">
        <v>1566</v>
      </c>
      <c r="I97" s="333">
        <v>547787.06000000006</v>
      </c>
    </row>
    <row r="98" spans="1:9" hidden="1" x14ac:dyDescent="0.25">
      <c r="A98" s="329" t="s">
        <v>1567</v>
      </c>
      <c r="B98" s="329" t="s">
        <v>13</v>
      </c>
      <c r="C98" s="329" t="s">
        <v>343</v>
      </c>
      <c r="D98" s="329" t="s">
        <v>145</v>
      </c>
      <c r="E98" s="329" t="s">
        <v>127</v>
      </c>
      <c r="F98" s="329" t="s">
        <v>1382</v>
      </c>
      <c r="G98" s="329" t="s">
        <v>1379</v>
      </c>
      <c r="H98" s="329" t="s">
        <v>1568</v>
      </c>
      <c r="I98" s="333">
        <v>432532.98</v>
      </c>
    </row>
    <row r="99" spans="1:9" hidden="1" x14ac:dyDescent="0.25">
      <c r="A99" s="329" t="s">
        <v>1569</v>
      </c>
      <c r="B99" s="329" t="s">
        <v>55</v>
      </c>
      <c r="C99" s="329" t="s">
        <v>292</v>
      </c>
      <c r="D99" s="329" t="s">
        <v>153</v>
      </c>
      <c r="E99" s="329" t="s">
        <v>127</v>
      </c>
      <c r="F99" s="329" t="s">
        <v>1412</v>
      </c>
      <c r="G99" s="329" t="s">
        <v>1379</v>
      </c>
      <c r="H99" s="329" t="s">
        <v>1570</v>
      </c>
      <c r="I99" s="333">
        <v>167088.51</v>
      </c>
    </row>
    <row r="100" spans="1:9" hidden="1" x14ac:dyDescent="0.25">
      <c r="A100" s="329" t="s">
        <v>1571</v>
      </c>
      <c r="B100" s="329" t="s">
        <v>44</v>
      </c>
      <c r="C100" s="329" t="s">
        <v>343</v>
      </c>
      <c r="D100" s="329" t="s">
        <v>145</v>
      </c>
      <c r="E100" s="329" t="s">
        <v>127</v>
      </c>
      <c r="F100" s="329" t="s">
        <v>1385</v>
      </c>
      <c r="G100" s="329" t="s">
        <v>1379</v>
      </c>
      <c r="H100" s="329" t="s">
        <v>1572</v>
      </c>
      <c r="I100" s="333">
        <v>112737.34</v>
      </c>
    </row>
    <row r="101" spans="1:9" hidden="1" x14ac:dyDescent="0.25">
      <c r="A101" s="329" t="s">
        <v>1573</v>
      </c>
      <c r="B101" s="329" t="s">
        <v>64</v>
      </c>
      <c r="C101" s="329" t="s">
        <v>343</v>
      </c>
      <c r="D101" s="329" t="s">
        <v>145</v>
      </c>
      <c r="E101" s="329" t="s">
        <v>127</v>
      </c>
      <c r="F101" s="329" t="s">
        <v>1385</v>
      </c>
      <c r="G101" s="329" t="s">
        <v>1379</v>
      </c>
      <c r="H101" s="329" t="s">
        <v>1574</v>
      </c>
      <c r="I101" s="333">
        <v>174320.21</v>
      </c>
    </row>
    <row r="102" spans="1:9" hidden="1" x14ac:dyDescent="0.25">
      <c r="A102" s="329" t="s">
        <v>1575</v>
      </c>
      <c r="B102" s="329" t="s">
        <v>88</v>
      </c>
      <c r="C102" s="329" t="s">
        <v>343</v>
      </c>
      <c r="D102" s="329" t="s">
        <v>145</v>
      </c>
      <c r="E102" s="329" t="s">
        <v>127</v>
      </c>
      <c r="F102" s="329" t="s">
        <v>1385</v>
      </c>
      <c r="G102" s="329" t="s">
        <v>1379</v>
      </c>
      <c r="H102" s="329" t="s">
        <v>1576</v>
      </c>
      <c r="I102" s="333">
        <v>209864.21</v>
      </c>
    </row>
    <row r="103" spans="1:9" hidden="1" x14ac:dyDescent="0.25">
      <c r="A103" s="329" t="s">
        <v>1577</v>
      </c>
      <c r="B103" s="329" t="s">
        <v>70</v>
      </c>
      <c r="C103" s="329" t="s">
        <v>292</v>
      </c>
      <c r="D103" s="329" t="s">
        <v>153</v>
      </c>
      <c r="E103" s="329" t="s">
        <v>127</v>
      </c>
      <c r="F103" s="329" t="s">
        <v>1385</v>
      </c>
      <c r="G103" s="329" t="s">
        <v>1379</v>
      </c>
      <c r="H103" s="329" t="s">
        <v>1578</v>
      </c>
      <c r="I103" s="333">
        <v>111633.13</v>
      </c>
    </row>
    <row r="104" spans="1:9" hidden="1" x14ac:dyDescent="0.25">
      <c r="A104" s="329" t="s">
        <v>1579</v>
      </c>
      <c r="B104" s="329" t="s">
        <v>80</v>
      </c>
      <c r="C104" s="329" t="s">
        <v>282</v>
      </c>
      <c r="D104" s="329" t="s">
        <v>137</v>
      </c>
      <c r="E104" s="329" t="s">
        <v>127</v>
      </c>
      <c r="F104" s="329" t="s">
        <v>1378</v>
      </c>
      <c r="G104" s="329" t="s">
        <v>1379</v>
      </c>
      <c r="H104" s="329" t="s">
        <v>1580</v>
      </c>
      <c r="I104" s="333">
        <v>88108.31</v>
      </c>
    </row>
    <row r="105" spans="1:9" hidden="1" x14ac:dyDescent="0.25">
      <c r="A105" s="329" t="s">
        <v>1581</v>
      </c>
      <c r="B105" s="329" t="s">
        <v>87</v>
      </c>
      <c r="C105" s="329" t="s">
        <v>343</v>
      </c>
      <c r="D105" s="329" t="s">
        <v>145</v>
      </c>
      <c r="E105" s="329" t="s">
        <v>127</v>
      </c>
      <c r="F105" s="329" t="s">
        <v>1385</v>
      </c>
      <c r="G105" s="329" t="s">
        <v>1379</v>
      </c>
      <c r="H105" s="329" t="s">
        <v>1582</v>
      </c>
      <c r="I105" s="333">
        <v>166540.13</v>
      </c>
    </row>
    <row r="106" spans="1:9" hidden="1" x14ac:dyDescent="0.25">
      <c r="A106" s="329" t="s">
        <v>1583</v>
      </c>
      <c r="B106" s="329" t="s">
        <v>79</v>
      </c>
      <c r="C106" s="329" t="s">
        <v>341</v>
      </c>
      <c r="D106" s="329" t="s">
        <v>149</v>
      </c>
      <c r="E106" s="329" t="s">
        <v>127</v>
      </c>
      <c r="F106" s="329" t="s">
        <v>1378</v>
      </c>
      <c r="G106" s="329" t="s">
        <v>1379</v>
      </c>
      <c r="H106" s="329" t="s">
        <v>1584</v>
      </c>
      <c r="I106" s="333">
        <v>119131.01</v>
      </c>
    </row>
    <row r="107" spans="1:9" hidden="1" x14ac:dyDescent="0.25">
      <c r="A107" s="329" t="s">
        <v>1585</v>
      </c>
      <c r="B107" s="329" t="s">
        <v>47</v>
      </c>
      <c r="C107" s="329" t="s">
        <v>343</v>
      </c>
      <c r="D107" s="329" t="s">
        <v>145</v>
      </c>
      <c r="E107" s="329" t="s">
        <v>127</v>
      </c>
      <c r="F107" s="329" t="s">
        <v>1385</v>
      </c>
      <c r="G107" s="329" t="s">
        <v>1379</v>
      </c>
      <c r="H107" s="329" t="s">
        <v>1586</v>
      </c>
      <c r="I107" s="333">
        <v>82835.540000000008</v>
      </c>
    </row>
    <row r="108" spans="1:9" hidden="1" x14ac:dyDescent="0.25">
      <c r="A108" s="329" t="s">
        <v>1587</v>
      </c>
      <c r="B108" s="329" t="s">
        <v>82</v>
      </c>
      <c r="C108" s="329" t="s">
        <v>341</v>
      </c>
      <c r="D108" s="329" t="s">
        <v>147</v>
      </c>
      <c r="E108" s="329" t="s">
        <v>127</v>
      </c>
      <c r="F108" s="329" t="s">
        <v>1412</v>
      </c>
      <c r="G108" s="329" t="s">
        <v>1379</v>
      </c>
      <c r="H108" s="329" t="s">
        <v>1588</v>
      </c>
      <c r="I108" s="333">
        <v>160095.70000000001</v>
      </c>
    </row>
    <row r="109" spans="1:9" hidden="1" x14ac:dyDescent="0.25">
      <c r="A109" s="329" t="s">
        <v>1589</v>
      </c>
      <c r="B109" s="329" t="s">
        <v>109</v>
      </c>
      <c r="C109" s="329" t="s">
        <v>343</v>
      </c>
      <c r="D109" s="329" t="s">
        <v>145</v>
      </c>
      <c r="E109" s="329" t="s">
        <v>127</v>
      </c>
      <c r="F109" s="329" t="s">
        <v>1382</v>
      </c>
      <c r="G109" s="329" t="s">
        <v>1379</v>
      </c>
      <c r="H109" s="329" t="s">
        <v>1427</v>
      </c>
      <c r="I109" s="333">
        <v>235470.58</v>
      </c>
    </row>
    <row r="110" spans="1:9" hidden="1" x14ac:dyDescent="0.25">
      <c r="A110" s="329" t="s">
        <v>1590</v>
      </c>
      <c r="B110" s="329" t="s">
        <v>105</v>
      </c>
      <c r="C110" s="329" t="s">
        <v>282</v>
      </c>
      <c r="D110" s="329" t="s">
        <v>137</v>
      </c>
      <c r="E110" s="329" t="s">
        <v>127</v>
      </c>
      <c r="F110" s="329" t="s">
        <v>1385</v>
      </c>
      <c r="G110" s="329" t="s">
        <v>1379</v>
      </c>
      <c r="H110" s="329" t="s">
        <v>1591</v>
      </c>
      <c r="I110" s="333">
        <v>68126.55</v>
      </c>
    </row>
    <row r="111" spans="1:9" hidden="1" x14ac:dyDescent="0.25">
      <c r="A111" s="329" t="s">
        <v>1592</v>
      </c>
      <c r="B111" s="329" t="s">
        <v>122</v>
      </c>
      <c r="C111" s="329" t="s">
        <v>292</v>
      </c>
      <c r="D111" s="329" t="s">
        <v>153</v>
      </c>
      <c r="E111" s="329" t="s">
        <v>127</v>
      </c>
      <c r="F111" s="329"/>
      <c r="G111" s="329" t="s">
        <v>1379</v>
      </c>
      <c r="H111" s="329" t="s">
        <v>1593</v>
      </c>
      <c r="I111" s="333">
        <v>89193.72</v>
      </c>
    </row>
    <row r="112" spans="1:9" hidden="1" x14ac:dyDescent="0.25">
      <c r="A112" s="329" t="s">
        <v>1594</v>
      </c>
      <c r="B112" s="329" t="s">
        <v>1595</v>
      </c>
      <c r="C112" s="329" t="s">
        <v>343</v>
      </c>
      <c r="D112" s="329" t="s">
        <v>145</v>
      </c>
      <c r="E112" s="329"/>
      <c r="F112" s="329" t="s">
        <v>1382</v>
      </c>
      <c r="G112" s="329" t="s">
        <v>1379</v>
      </c>
      <c r="H112" s="329"/>
      <c r="I112" s="333"/>
    </row>
    <row r="113" spans="1:9" hidden="1" x14ac:dyDescent="0.25">
      <c r="A113" s="330" t="s">
        <v>1596</v>
      </c>
      <c r="B113" s="329"/>
      <c r="I113" s="333"/>
    </row>
    <row r="114" spans="1:9" hidden="1" x14ac:dyDescent="0.25">
      <c r="A114" s="331" t="s">
        <v>1597</v>
      </c>
      <c r="B114" s="332"/>
      <c r="C114" s="332"/>
      <c r="D114" s="332"/>
      <c r="E114" s="332"/>
      <c r="F114" s="332"/>
      <c r="G114" s="332"/>
      <c r="H114" s="332"/>
      <c r="I114" s="333"/>
    </row>
  </sheetData>
  <autoFilter ref="A2:I114" xr:uid="{EE37A442-B638-44A9-979C-BA7A5F60D066}">
    <filterColumn colId="4">
      <filters>
        <filter val="Mohammed Haidar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B05B-D995-4C7D-B1BD-A56185D4D3DF}">
  <sheetPr>
    <tabColor rgb="FFA6A6A6"/>
  </sheetPr>
  <dimension ref="A1:DK1515"/>
  <sheetViews>
    <sheetView workbookViewId="0">
      <selection activeCell="P14" sqref="P14"/>
    </sheetView>
  </sheetViews>
  <sheetFormatPr defaultRowHeight="15" x14ac:dyDescent="0.25"/>
  <sheetData>
    <row r="1" spans="1:110" x14ac:dyDescent="0.25">
      <c r="A1" s="260" t="s">
        <v>1213</v>
      </c>
    </row>
    <row r="3" spans="1:110" x14ac:dyDescent="0.25">
      <c r="A3" t="s">
        <v>1214</v>
      </c>
      <c r="B3">
        <f>_xlfn.LET(_xlpm.f,IF(ISNUMBER('Staff Dashboard'!$B$4),'Staff Dashboard'!$B$4,$G$3),_xlpm.t,IF(ISNUMBER('Staff Dashboard'!$B$5),'Staff Dashboard'!$B$5,$G$4),MIN(_xlpm.f,_xlpm.t))</f>
        <v>46319</v>
      </c>
      <c r="D3" t="s">
        <v>1315</v>
      </c>
      <c r="E3" s="132">
        <f>MIN(IF(ISNUMBER('Staff Weekly Trend'!$E$4),'Staff Weekly Trend'!$E$4,$B$7),IF(ISNUMBER('Staff Weekly Trend'!$E$5),'Staff Weekly Trend'!$E$5,$B$5))</f>
        <v>46296</v>
      </c>
      <c r="F3" t="s">
        <v>1320</v>
      </c>
      <c r="G3" s="132">
        <f>IFERROR(INDEX($B$7:$B$11,MATCH('Staff Dashboard'!$B$3,$A$7:$A$11,0)),$B$7)</f>
        <v>46296</v>
      </c>
      <c r="AH3" t="s">
        <v>1219</v>
      </c>
      <c r="AI3" s="214">
        <f>_xlfn.LET(_xlpm.t,'Staff Daily sales'!G$3,_xlpm.c,OR(_xlpm.t="Count",_xlpm.t="Transactions"),_xlpm.h,IF(_xlpm.c,'Staff Daily sales'!F$2,'Staff Daily sales'!G$2),IF(OR(_xlpm.t="Total",_xlpm.c),IFERROR(IF(ISNUMBER(_xlpm.h),_xlpm.h,DATEVALUE(_xlpm.h)),""),""))</f>
        <v>46296</v>
      </c>
      <c r="AJ3" s="214">
        <f>_xlfn.LET(_xlpm.t,'Staff Daily sales'!H$3,_xlpm.c,OR(_xlpm.t="Count",_xlpm.t="Transactions"),_xlpm.h,IF(_xlpm.c,'Staff Daily sales'!G$2,'Staff Daily sales'!H$2),IF(OR(_xlpm.t="Total",_xlpm.c),IFERROR(IF(ISNUMBER(_xlpm.h),_xlpm.h,DATEVALUE(_xlpm.h)),""),""))</f>
        <v>46296</v>
      </c>
      <c r="AK3" s="214">
        <f>_xlfn.LET(_xlpm.t,'Staff Daily sales'!I$3,_xlpm.c,OR(_xlpm.t="Count",_xlpm.t="Transactions"),_xlpm.h,IF(_xlpm.c,'Staff Daily sales'!H$2,'Staff Daily sales'!I$2),IF(OR(_xlpm.t="Total",_xlpm.c),IFERROR(IF(ISNUMBER(_xlpm.h),_xlpm.h,DATEVALUE(_xlpm.h)),""),""))</f>
        <v>46297</v>
      </c>
      <c r="AL3" s="214">
        <f>_xlfn.LET(_xlpm.t,'Staff Daily sales'!J$3,_xlpm.c,OR(_xlpm.t="Count",_xlpm.t="Transactions"),_xlpm.h,IF(_xlpm.c,'Staff Daily sales'!I$2,'Staff Daily sales'!J$2),IF(OR(_xlpm.t="Total",_xlpm.c),IFERROR(IF(ISNUMBER(_xlpm.h),_xlpm.h,DATEVALUE(_xlpm.h)),""),""))</f>
        <v>46297</v>
      </c>
      <c r="AM3" s="214">
        <f>_xlfn.LET(_xlpm.t,'Staff Daily sales'!K$3,_xlpm.c,OR(_xlpm.t="Count",_xlpm.t="Transactions"),_xlpm.h,IF(_xlpm.c,'Staff Daily sales'!J$2,'Staff Daily sales'!K$2),IF(OR(_xlpm.t="Total",_xlpm.c),IFERROR(IF(ISNUMBER(_xlpm.h),_xlpm.h,DATEVALUE(_xlpm.h)),""),""))</f>
        <v>46298</v>
      </c>
      <c r="AN3" s="214">
        <f>_xlfn.LET(_xlpm.t,'Staff Daily sales'!L$3,_xlpm.c,OR(_xlpm.t="Count",_xlpm.t="Transactions"),_xlpm.h,IF(_xlpm.c,'Staff Daily sales'!K$2,'Staff Daily sales'!L$2),IF(OR(_xlpm.t="Total",_xlpm.c),IFERROR(IF(ISNUMBER(_xlpm.h),_xlpm.h,DATEVALUE(_xlpm.h)),""),""))</f>
        <v>46298</v>
      </c>
      <c r="AO3" s="214">
        <f>_xlfn.LET(_xlpm.t,'Staff Daily sales'!M$3,_xlpm.c,OR(_xlpm.t="Count",_xlpm.t="Transactions"),_xlpm.h,IF(_xlpm.c,'Staff Daily sales'!L$2,'Staff Daily sales'!M$2),IF(OR(_xlpm.t="Total",_xlpm.c),IFERROR(IF(ISNUMBER(_xlpm.h),_xlpm.h,DATEVALUE(_xlpm.h)),""),""))</f>
        <v>46299</v>
      </c>
      <c r="AP3" s="214">
        <f>_xlfn.LET(_xlpm.t,'Staff Daily sales'!N$3,_xlpm.c,OR(_xlpm.t="Count",_xlpm.t="Transactions"),_xlpm.h,IF(_xlpm.c,'Staff Daily sales'!M$2,'Staff Daily sales'!N$2),IF(OR(_xlpm.t="Total",_xlpm.c),IFERROR(IF(ISNUMBER(_xlpm.h),_xlpm.h,DATEVALUE(_xlpm.h)),""),""))</f>
        <v>46299</v>
      </c>
      <c r="AQ3" s="214">
        <f>_xlfn.LET(_xlpm.t,'Staff Daily sales'!O$3,_xlpm.c,OR(_xlpm.t="Count",_xlpm.t="Transactions"),_xlpm.h,IF(_xlpm.c,'Staff Daily sales'!N$2,'Staff Daily sales'!O$2),IF(OR(_xlpm.t="Total",_xlpm.c),IFERROR(IF(ISNUMBER(_xlpm.h),_xlpm.h,DATEVALUE(_xlpm.h)),""),""))</f>
        <v>46300</v>
      </c>
      <c r="AR3" s="214">
        <f>_xlfn.LET(_xlpm.t,'Staff Daily sales'!P$3,_xlpm.c,OR(_xlpm.t="Count",_xlpm.t="Transactions"),_xlpm.h,IF(_xlpm.c,'Staff Daily sales'!O$2,'Staff Daily sales'!P$2),IF(OR(_xlpm.t="Total",_xlpm.c),IFERROR(IF(ISNUMBER(_xlpm.h),_xlpm.h,DATEVALUE(_xlpm.h)),""),""))</f>
        <v>46300</v>
      </c>
      <c r="AS3" s="214">
        <f>_xlfn.LET(_xlpm.t,'Staff Daily sales'!Q$3,_xlpm.c,OR(_xlpm.t="Count",_xlpm.t="Transactions"),_xlpm.h,IF(_xlpm.c,'Staff Daily sales'!P$2,'Staff Daily sales'!Q$2),IF(OR(_xlpm.t="Total",_xlpm.c),IFERROR(IF(ISNUMBER(_xlpm.h),_xlpm.h,DATEVALUE(_xlpm.h)),""),""))</f>
        <v>46301</v>
      </c>
      <c r="AT3" s="214">
        <f>_xlfn.LET(_xlpm.t,'Staff Daily sales'!R$3,_xlpm.c,OR(_xlpm.t="Count",_xlpm.t="Transactions"),_xlpm.h,IF(_xlpm.c,'Staff Daily sales'!Q$2,'Staff Daily sales'!R$2),IF(OR(_xlpm.t="Total",_xlpm.c),IFERROR(IF(ISNUMBER(_xlpm.h),_xlpm.h,DATEVALUE(_xlpm.h)),""),""))</f>
        <v>46301</v>
      </c>
      <c r="AU3" s="214">
        <f>_xlfn.LET(_xlpm.t,'Staff Daily sales'!S$3,_xlpm.c,OR(_xlpm.t="Count",_xlpm.t="Transactions"),_xlpm.h,IF(_xlpm.c,'Staff Daily sales'!R$2,'Staff Daily sales'!S$2),IF(OR(_xlpm.t="Total",_xlpm.c),IFERROR(IF(ISNUMBER(_xlpm.h),_xlpm.h,DATEVALUE(_xlpm.h)),""),""))</f>
        <v>46302</v>
      </c>
      <c r="AV3" s="214">
        <f>_xlfn.LET(_xlpm.t,'Staff Daily sales'!T$3,_xlpm.c,OR(_xlpm.t="Count",_xlpm.t="Transactions"),_xlpm.h,IF(_xlpm.c,'Staff Daily sales'!S$2,'Staff Daily sales'!T$2),IF(OR(_xlpm.t="Total",_xlpm.c),IFERROR(IF(ISNUMBER(_xlpm.h),_xlpm.h,DATEVALUE(_xlpm.h)),""),""))</f>
        <v>46302</v>
      </c>
      <c r="AW3" s="214">
        <f>_xlfn.LET(_xlpm.t,'Staff Daily sales'!U$3,_xlpm.c,OR(_xlpm.t="Count",_xlpm.t="Transactions"),_xlpm.h,IF(_xlpm.c,'Staff Daily sales'!T$2,'Staff Daily sales'!U$2),IF(OR(_xlpm.t="Total",_xlpm.c),IFERROR(IF(ISNUMBER(_xlpm.h),_xlpm.h,DATEVALUE(_xlpm.h)),""),""))</f>
        <v>46303</v>
      </c>
      <c r="AX3" s="214">
        <f>_xlfn.LET(_xlpm.t,'Staff Daily sales'!V$3,_xlpm.c,OR(_xlpm.t="Count",_xlpm.t="Transactions"),_xlpm.h,IF(_xlpm.c,'Staff Daily sales'!U$2,'Staff Daily sales'!V$2),IF(OR(_xlpm.t="Total",_xlpm.c),IFERROR(IF(ISNUMBER(_xlpm.h),_xlpm.h,DATEVALUE(_xlpm.h)),""),""))</f>
        <v>46303</v>
      </c>
      <c r="AY3" s="214">
        <f>_xlfn.LET(_xlpm.t,'Staff Daily sales'!W$3,_xlpm.c,OR(_xlpm.t="Count",_xlpm.t="Transactions"),_xlpm.h,IF(_xlpm.c,'Staff Daily sales'!V$2,'Staff Daily sales'!W$2),IF(OR(_xlpm.t="Total",_xlpm.c),IFERROR(IF(ISNUMBER(_xlpm.h),_xlpm.h,DATEVALUE(_xlpm.h)),""),""))</f>
        <v>46304</v>
      </c>
      <c r="AZ3" s="214">
        <f>_xlfn.LET(_xlpm.t,'Staff Daily sales'!X$3,_xlpm.c,OR(_xlpm.t="Count",_xlpm.t="Transactions"),_xlpm.h,IF(_xlpm.c,'Staff Daily sales'!W$2,'Staff Daily sales'!X$2),IF(OR(_xlpm.t="Total",_xlpm.c),IFERROR(IF(ISNUMBER(_xlpm.h),_xlpm.h,DATEVALUE(_xlpm.h)),""),""))</f>
        <v>46304</v>
      </c>
      <c r="BA3" s="214">
        <f>_xlfn.LET(_xlpm.t,'Staff Daily sales'!Y$3,_xlpm.c,OR(_xlpm.t="Count",_xlpm.t="Transactions"),_xlpm.h,IF(_xlpm.c,'Staff Daily sales'!X$2,'Staff Daily sales'!Y$2),IF(OR(_xlpm.t="Total",_xlpm.c),IFERROR(IF(ISNUMBER(_xlpm.h),_xlpm.h,DATEVALUE(_xlpm.h)),""),""))</f>
        <v>46305</v>
      </c>
      <c r="BB3" s="214">
        <f>_xlfn.LET(_xlpm.t,'Staff Daily sales'!Z$3,_xlpm.c,OR(_xlpm.t="Count",_xlpm.t="Transactions"),_xlpm.h,IF(_xlpm.c,'Staff Daily sales'!Y$2,'Staff Daily sales'!Z$2),IF(OR(_xlpm.t="Total",_xlpm.c),IFERROR(IF(ISNUMBER(_xlpm.h),_xlpm.h,DATEVALUE(_xlpm.h)),""),""))</f>
        <v>46305</v>
      </c>
      <c r="BC3" s="214">
        <f>_xlfn.LET(_xlpm.t,'Staff Daily sales'!AA$3,_xlpm.c,OR(_xlpm.t="Count",_xlpm.t="Transactions"),_xlpm.h,IF(_xlpm.c,'Staff Daily sales'!Z$2,'Staff Daily sales'!AA$2),IF(OR(_xlpm.t="Total",_xlpm.c),IFERROR(IF(ISNUMBER(_xlpm.h),_xlpm.h,DATEVALUE(_xlpm.h)),""),""))</f>
        <v>46306</v>
      </c>
      <c r="BD3" s="214">
        <f>_xlfn.LET(_xlpm.t,'Staff Daily sales'!AB$3,_xlpm.c,OR(_xlpm.t="Count",_xlpm.t="Transactions"),_xlpm.h,IF(_xlpm.c,'Staff Daily sales'!AA$2,'Staff Daily sales'!AB$2),IF(OR(_xlpm.t="Total",_xlpm.c),IFERROR(IF(ISNUMBER(_xlpm.h),_xlpm.h,DATEVALUE(_xlpm.h)),""),""))</f>
        <v>46306</v>
      </c>
      <c r="BE3" s="214">
        <f>_xlfn.LET(_xlpm.t,'Staff Daily sales'!AC$3,_xlpm.c,OR(_xlpm.t="Count",_xlpm.t="Transactions"),_xlpm.h,IF(_xlpm.c,'Staff Daily sales'!AB$2,'Staff Daily sales'!AC$2),IF(OR(_xlpm.t="Total",_xlpm.c),IFERROR(IF(ISNUMBER(_xlpm.h),_xlpm.h,DATEVALUE(_xlpm.h)),""),""))</f>
        <v>46307</v>
      </c>
      <c r="BF3" s="214">
        <f>_xlfn.LET(_xlpm.t,'Staff Daily sales'!AD$3,_xlpm.c,OR(_xlpm.t="Count",_xlpm.t="Transactions"),_xlpm.h,IF(_xlpm.c,'Staff Daily sales'!AC$2,'Staff Daily sales'!AD$2),IF(OR(_xlpm.t="Total",_xlpm.c),IFERROR(IF(ISNUMBER(_xlpm.h),_xlpm.h,DATEVALUE(_xlpm.h)),""),""))</f>
        <v>46307</v>
      </c>
      <c r="BG3" s="214">
        <f>_xlfn.LET(_xlpm.t,'Staff Daily sales'!AE$3,_xlpm.c,OR(_xlpm.t="Count",_xlpm.t="Transactions"),_xlpm.h,IF(_xlpm.c,'Staff Daily sales'!AD$2,'Staff Daily sales'!AE$2),IF(OR(_xlpm.t="Total",_xlpm.c),IFERROR(IF(ISNUMBER(_xlpm.h),_xlpm.h,DATEVALUE(_xlpm.h)),""),""))</f>
        <v>46308</v>
      </c>
      <c r="BH3" s="214">
        <f>_xlfn.LET(_xlpm.t,'Staff Daily sales'!AF$3,_xlpm.c,OR(_xlpm.t="Count",_xlpm.t="Transactions"),_xlpm.h,IF(_xlpm.c,'Staff Daily sales'!AE$2,'Staff Daily sales'!AF$2),IF(OR(_xlpm.t="Total",_xlpm.c),IFERROR(IF(ISNUMBER(_xlpm.h),_xlpm.h,DATEVALUE(_xlpm.h)),""),""))</f>
        <v>46308</v>
      </c>
      <c r="BI3" s="214">
        <f>_xlfn.LET(_xlpm.t,'Staff Daily sales'!AG$3,_xlpm.c,OR(_xlpm.t="Count",_xlpm.t="Transactions"),_xlpm.h,IF(_xlpm.c,'Staff Daily sales'!AF$2,'Staff Daily sales'!AG$2),IF(OR(_xlpm.t="Total",_xlpm.c),IFERROR(IF(ISNUMBER(_xlpm.h),_xlpm.h,DATEVALUE(_xlpm.h)),""),""))</f>
        <v>46309</v>
      </c>
      <c r="BJ3" s="214">
        <f>_xlfn.LET(_xlpm.t,'Staff Daily sales'!AH$3,_xlpm.c,OR(_xlpm.t="Count",_xlpm.t="Transactions"),_xlpm.h,IF(_xlpm.c,'Staff Daily sales'!AG$2,'Staff Daily sales'!AH$2),IF(OR(_xlpm.t="Total",_xlpm.c),IFERROR(IF(ISNUMBER(_xlpm.h),_xlpm.h,DATEVALUE(_xlpm.h)),""),""))</f>
        <v>46309</v>
      </c>
      <c r="BK3" s="214">
        <f>_xlfn.LET(_xlpm.t,'Staff Daily sales'!AI$3,_xlpm.c,OR(_xlpm.t="Count",_xlpm.t="Transactions"),_xlpm.h,IF(_xlpm.c,'Staff Daily sales'!AH$2,'Staff Daily sales'!AI$2),IF(OR(_xlpm.t="Total",_xlpm.c),IFERROR(IF(ISNUMBER(_xlpm.h),_xlpm.h,DATEVALUE(_xlpm.h)),""),""))</f>
        <v>46310</v>
      </c>
      <c r="BL3" s="214">
        <f>_xlfn.LET(_xlpm.t,'Staff Daily sales'!AJ$3,_xlpm.c,OR(_xlpm.t="Count",_xlpm.t="Transactions"),_xlpm.h,IF(_xlpm.c,'Staff Daily sales'!AI$2,'Staff Daily sales'!AJ$2),IF(OR(_xlpm.t="Total",_xlpm.c),IFERROR(IF(ISNUMBER(_xlpm.h),_xlpm.h,DATEVALUE(_xlpm.h)),""),""))</f>
        <v>46310</v>
      </c>
      <c r="BM3" s="214">
        <f>_xlfn.LET(_xlpm.t,'Staff Daily sales'!AK$3,_xlpm.c,OR(_xlpm.t="Count",_xlpm.t="Transactions"),_xlpm.h,IF(_xlpm.c,'Staff Daily sales'!AJ$2,'Staff Daily sales'!AK$2),IF(OR(_xlpm.t="Total",_xlpm.c),IFERROR(IF(ISNUMBER(_xlpm.h),_xlpm.h,DATEVALUE(_xlpm.h)),""),""))</f>
        <v>46311</v>
      </c>
      <c r="BN3" s="214">
        <f>_xlfn.LET(_xlpm.t,'Staff Daily sales'!AL$3,_xlpm.c,OR(_xlpm.t="Count",_xlpm.t="Transactions"),_xlpm.h,IF(_xlpm.c,'Staff Daily sales'!AK$2,'Staff Daily sales'!AL$2),IF(OR(_xlpm.t="Total",_xlpm.c),IFERROR(IF(ISNUMBER(_xlpm.h),_xlpm.h,DATEVALUE(_xlpm.h)),""),""))</f>
        <v>46311</v>
      </c>
      <c r="BO3" s="214">
        <f>_xlfn.LET(_xlpm.t,'Staff Daily sales'!AM$3,_xlpm.c,OR(_xlpm.t="Count",_xlpm.t="Transactions"),_xlpm.h,IF(_xlpm.c,'Staff Daily sales'!AL$2,'Staff Daily sales'!AM$2),IF(OR(_xlpm.t="Total",_xlpm.c),IFERROR(IF(ISNUMBER(_xlpm.h),_xlpm.h,DATEVALUE(_xlpm.h)),""),""))</f>
        <v>46312</v>
      </c>
      <c r="BP3" s="214">
        <f>_xlfn.LET(_xlpm.t,'Staff Daily sales'!AN$3,_xlpm.c,OR(_xlpm.t="Count",_xlpm.t="Transactions"),_xlpm.h,IF(_xlpm.c,'Staff Daily sales'!AM$2,'Staff Daily sales'!AN$2),IF(OR(_xlpm.t="Total",_xlpm.c),IFERROR(IF(ISNUMBER(_xlpm.h),_xlpm.h,DATEVALUE(_xlpm.h)),""),""))</f>
        <v>46312</v>
      </c>
      <c r="BQ3" s="214">
        <f>_xlfn.LET(_xlpm.t,'Staff Daily sales'!AO$3,_xlpm.c,OR(_xlpm.t="Count",_xlpm.t="Transactions"),_xlpm.h,IF(_xlpm.c,'Staff Daily sales'!AN$2,'Staff Daily sales'!AO$2),IF(OR(_xlpm.t="Total",_xlpm.c),IFERROR(IF(ISNUMBER(_xlpm.h),_xlpm.h,DATEVALUE(_xlpm.h)),""),""))</f>
        <v>46313</v>
      </c>
      <c r="BR3" s="214">
        <f>_xlfn.LET(_xlpm.t,'Staff Daily sales'!AP$3,_xlpm.c,OR(_xlpm.t="Count",_xlpm.t="Transactions"),_xlpm.h,IF(_xlpm.c,'Staff Daily sales'!AO$2,'Staff Daily sales'!AP$2),IF(OR(_xlpm.t="Total",_xlpm.c),IFERROR(IF(ISNUMBER(_xlpm.h),_xlpm.h,DATEVALUE(_xlpm.h)),""),""))</f>
        <v>46313</v>
      </c>
      <c r="BS3" s="214">
        <f>_xlfn.LET(_xlpm.t,'Staff Daily sales'!AQ$3,_xlpm.c,OR(_xlpm.t="Count",_xlpm.t="Transactions"),_xlpm.h,IF(_xlpm.c,'Staff Daily sales'!AP$2,'Staff Daily sales'!AQ$2),IF(OR(_xlpm.t="Total",_xlpm.c),IFERROR(IF(ISNUMBER(_xlpm.h),_xlpm.h,DATEVALUE(_xlpm.h)),""),""))</f>
        <v>46314</v>
      </c>
      <c r="BT3" s="214">
        <f>_xlfn.LET(_xlpm.t,'Staff Daily sales'!AR$3,_xlpm.c,OR(_xlpm.t="Count",_xlpm.t="Transactions"),_xlpm.h,IF(_xlpm.c,'Staff Daily sales'!AQ$2,'Staff Daily sales'!AR$2),IF(OR(_xlpm.t="Total",_xlpm.c),IFERROR(IF(ISNUMBER(_xlpm.h),_xlpm.h,DATEVALUE(_xlpm.h)),""),""))</f>
        <v>46314</v>
      </c>
      <c r="BU3" s="214">
        <f>_xlfn.LET(_xlpm.t,'Staff Daily sales'!AS$3,_xlpm.c,OR(_xlpm.t="Count",_xlpm.t="Transactions"),_xlpm.h,IF(_xlpm.c,'Staff Daily sales'!AR$2,'Staff Daily sales'!AS$2),IF(OR(_xlpm.t="Total",_xlpm.c),IFERROR(IF(ISNUMBER(_xlpm.h),_xlpm.h,DATEVALUE(_xlpm.h)),""),""))</f>
        <v>46315</v>
      </c>
      <c r="BV3" s="214">
        <f>_xlfn.LET(_xlpm.t,'Staff Daily sales'!AT$3,_xlpm.c,OR(_xlpm.t="Count",_xlpm.t="Transactions"),_xlpm.h,IF(_xlpm.c,'Staff Daily sales'!AS$2,'Staff Daily sales'!AT$2),IF(OR(_xlpm.t="Total",_xlpm.c),IFERROR(IF(ISNUMBER(_xlpm.h),_xlpm.h,DATEVALUE(_xlpm.h)),""),""))</f>
        <v>46315</v>
      </c>
      <c r="BW3" s="214">
        <f>_xlfn.LET(_xlpm.t,'Staff Daily sales'!AU$3,_xlpm.c,OR(_xlpm.t="Count",_xlpm.t="Transactions"),_xlpm.h,IF(_xlpm.c,'Staff Daily sales'!AT$2,'Staff Daily sales'!AU$2),IF(OR(_xlpm.t="Total",_xlpm.c),IFERROR(IF(ISNUMBER(_xlpm.h),_xlpm.h,DATEVALUE(_xlpm.h)),""),""))</f>
        <v>46316</v>
      </c>
      <c r="BX3" s="214">
        <f>_xlfn.LET(_xlpm.t,'Staff Daily sales'!AV$3,_xlpm.c,OR(_xlpm.t="Count",_xlpm.t="Transactions"),_xlpm.h,IF(_xlpm.c,'Staff Daily sales'!AU$2,'Staff Daily sales'!AV$2),IF(OR(_xlpm.t="Total",_xlpm.c),IFERROR(IF(ISNUMBER(_xlpm.h),_xlpm.h,DATEVALUE(_xlpm.h)),""),""))</f>
        <v>46316</v>
      </c>
      <c r="BY3" s="214">
        <f>_xlfn.LET(_xlpm.t,'Staff Daily sales'!AW$3,_xlpm.c,OR(_xlpm.t="Count",_xlpm.t="Transactions"),_xlpm.h,IF(_xlpm.c,'Staff Daily sales'!AV$2,'Staff Daily sales'!AW$2),IF(OR(_xlpm.t="Total",_xlpm.c),IFERROR(IF(ISNUMBER(_xlpm.h),_xlpm.h,DATEVALUE(_xlpm.h)),""),""))</f>
        <v>46317</v>
      </c>
      <c r="BZ3" s="214">
        <f>_xlfn.LET(_xlpm.t,'Staff Daily sales'!AX$3,_xlpm.c,OR(_xlpm.t="Count",_xlpm.t="Transactions"),_xlpm.h,IF(_xlpm.c,'Staff Daily sales'!AW$2,'Staff Daily sales'!AX$2),IF(OR(_xlpm.t="Total",_xlpm.c),IFERROR(IF(ISNUMBER(_xlpm.h),_xlpm.h,DATEVALUE(_xlpm.h)),""),""))</f>
        <v>46317</v>
      </c>
      <c r="CA3" s="214">
        <f>_xlfn.LET(_xlpm.t,'Staff Daily sales'!AY$3,_xlpm.c,OR(_xlpm.t="Count",_xlpm.t="Transactions"),_xlpm.h,IF(_xlpm.c,'Staff Daily sales'!AX$2,'Staff Daily sales'!AY$2),IF(OR(_xlpm.t="Total",_xlpm.c),IFERROR(IF(ISNUMBER(_xlpm.h),_xlpm.h,DATEVALUE(_xlpm.h)),""),""))</f>
        <v>46318</v>
      </c>
      <c r="CB3" s="214">
        <f>_xlfn.LET(_xlpm.t,'Staff Daily sales'!AZ$3,_xlpm.c,OR(_xlpm.t="Count",_xlpm.t="Transactions"),_xlpm.h,IF(_xlpm.c,'Staff Daily sales'!AY$2,'Staff Daily sales'!AZ$2),IF(OR(_xlpm.t="Total",_xlpm.c),IFERROR(IF(ISNUMBER(_xlpm.h),_xlpm.h,DATEVALUE(_xlpm.h)),""),""))</f>
        <v>46318</v>
      </c>
      <c r="CC3" s="214">
        <f>_xlfn.LET(_xlpm.t,'Staff Daily sales'!BA$3,_xlpm.c,OR(_xlpm.t="Count",_xlpm.t="Transactions"),_xlpm.h,IF(_xlpm.c,'Staff Daily sales'!AZ$2,'Staff Daily sales'!BA$2),IF(OR(_xlpm.t="Total",_xlpm.c),IFERROR(IF(ISNUMBER(_xlpm.h),_xlpm.h,DATEVALUE(_xlpm.h)),""),""))</f>
        <v>46319</v>
      </c>
      <c r="CD3" s="214">
        <f>_xlfn.LET(_xlpm.t,'Staff Daily sales'!BB$3,_xlpm.c,OR(_xlpm.t="Count",_xlpm.t="Transactions"),_xlpm.h,IF(_xlpm.c,'Staff Daily sales'!BA$2,'Staff Daily sales'!BB$2),IF(OR(_xlpm.t="Total",_xlpm.c),IFERROR(IF(ISNUMBER(_xlpm.h),_xlpm.h,DATEVALUE(_xlpm.h)),""),""))</f>
        <v>46319</v>
      </c>
      <c r="CE3" s="214">
        <f>_xlfn.LET(_xlpm.t,'Staff Daily sales'!BC$3,_xlpm.c,OR(_xlpm.t="Count",_xlpm.t="Transactions"),_xlpm.h,IF(_xlpm.c,'Staff Daily sales'!BB$2,'Staff Daily sales'!BC$2),IF(OR(_xlpm.t="Total",_xlpm.c),IFERROR(IF(ISNUMBER(_xlpm.h),_xlpm.h,DATEVALUE(_xlpm.h)),""),""))</f>
        <v>46320</v>
      </c>
      <c r="CF3" s="214">
        <f>_xlfn.LET(_xlpm.t,'Staff Daily sales'!BD$3,_xlpm.c,OR(_xlpm.t="Count",_xlpm.t="Transactions"),_xlpm.h,IF(_xlpm.c,'Staff Daily sales'!BC$2,'Staff Daily sales'!BD$2),IF(OR(_xlpm.t="Total",_xlpm.c),IFERROR(IF(ISNUMBER(_xlpm.h),_xlpm.h,DATEVALUE(_xlpm.h)),""),""))</f>
        <v>46320</v>
      </c>
      <c r="CG3" s="214">
        <f>_xlfn.LET(_xlpm.t,'Staff Daily sales'!BE$3,_xlpm.c,OR(_xlpm.t="Count",_xlpm.t="Transactions"),_xlpm.h,IF(_xlpm.c,'Staff Daily sales'!BD$2,'Staff Daily sales'!BE$2),IF(OR(_xlpm.t="Total",_xlpm.c),IFERROR(IF(ISNUMBER(_xlpm.h),_xlpm.h,DATEVALUE(_xlpm.h)),""),""))</f>
        <v>46321</v>
      </c>
      <c r="CH3" s="214">
        <f>_xlfn.LET(_xlpm.t,'Staff Daily sales'!BF$3,_xlpm.c,OR(_xlpm.t="Count",_xlpm.t="Transactions"),_xlpm.h,IF(_xlpm.c,'Staff Daily sales'!BE$2,'Staff Daily sales'!BF$2),IF(OR(_xlpm.t="Total",_xlpm.c),IFERROR(IF(ISNUMBER(_xlpm.h),_xlpm.h,DATEVALUE(_xlpm.h)),""),""))</f>
        <v>46321</v>
      </c>
      <c r="CI3" s="214">
        <f>_xlfn.LET(_xlpm.t,'Staff Daily sales'!BG$3,_xlpm.c,OR(_xlpm.t="Count",_xlpm.t="Transactions"),_xlpm.h,IF(_xlpm.c,'Staff Daily sales'!BF$2,'Staff Daily sales'!BG$2),IF(OR(_xlpm.t="Total",_xlpm.c),IFERROR(IF(ISNUMBER(_xlpm.h),_xlpm.h,DATEVALUE(_xlpm.h)),""),""))</f>
        <v>46322</v>
      </c>
      <c r="CJ3" s="214">
        <f>_xlfn.LET(_xlpm.t,'Staff Daily sales'!BH$3,_xlpm.c,OR(_xlpm.t="Count",_xlpm.t="Transactions"),_xlpm.h,IF(_xlpm.c,'Staff Daily sales'!BG$2,'Staff Daily sales'!BH$2),IF(OR(_xlpm.t="Total",_xlpm.c),IFERROR(IF(ISNUMBER(_xlpm.h),_xlpm.h,DATEVALUE(_xlpm.h)),""),""))</f>
        <v>46322</v>
      </c>
      <c r="CK3" s="214">
        <f>_xlfn.LET(_xlpm.t,'Staff Daily sales'!BI$3,_xlpm.c,OR(_xlpm.t="Count",_xlpm.t="Transactions"),_xlpm.h,IF(_xlpm.c,'Staff Daily sales'!BH$2,'Staff Daily sales'!BI$2),IF(OR(_xlpm.t="Total",_xlpm.c),IFERROR(IF(ISNUMBER(_xlpm.h),_xlpm.h,DATEVALUE(_xlpm.h)),""),""))</f>
        <v>46323</v>
      </c>
      <c r="CL3" s="214">
        <f>_xlfn.LET(_xlpm.t,'Staff Daily sales'!BJ$3,_xlpm.c,OR(_xlpm.t="Count",_xlpm.t="Transactions"),_xlpm.h,IF(_xlpm.c,'Staff Daily sales'!BI$2,'Staff Daily sales'!BJ$2),IF(OR(_xlpm.t="Total",_xlpm.c),IFERROR(IF(ISNUMBER(_xlpm.h),_xlpm.h,DATEVALUE(_xlpm.h)),""),""))</f>
        <v>46323</v>
      </c>
      <c r="CM3" s="214">
        <f>_xlfn.LET(_xlpm.t,'Staff Daily sales'!BK$3,_xlpm.c,OR(_xlpm.t="Count",_xlpm.t="Transactions"),_xlpm.h,IF(_xlpm.c,'Staff Daily sales'!BJ$2,'Staff Daily sales'!BK$2),IF(OR(_xlpm.t="Total",_xlpm.c),IFERROR(IF(ISNUMBER(_xlpm.h),_xlpm.h,DATEVALUE(_xlpm.h)),""),""))</f>
        <v>46324</v>
      </c>
      <c r="CN3" s="214">
        <f>_xlfn.LET(_xlpm.t,'Staff Daily sales'!BL$3,_xlpm.c,OR(_xlpm.t="Count",_xlpm.t="Transactions"),_xlpm.h,IF(_xlpm.c,'Staff Daily sales'!BK$2,'Staff Daily sales'!BL$2),IF(OR(_xlpm.t="Total",_xlpm.c),IFERROR(IF(ISNUMBER(_xlpm.h),_xlpm.h,DATEVALUE(_xlpm.h)),""),""))</f>
        <v>46324</v>
      </c>
      <c r="CO3" s="214">
        <f>_xlfn.LET(_xlpm.t,'Staff Daily sales'!BM$3,_xlpm.c,OR(_xlpm.t="Count",_xlpm.t="Transactions"),_xlpm.h,IF(_xlpm.c,'Staff Daily sales'!BL$2,'Staff Daily sales'!BM$2),IF(OR(_xlpm.t="Total",_xlpm.c),IFERROR(IF(ISNUMBER(_xlpm.h),_xlpm.h,DATEVALUE(_xlpm.h)),""),""))</f>
        <v>46325</v>
      </c>
      <c r="CP3" s="214">
        <f>_xlfn.LET(_xlpm.t,'Staff Daily sales'!BN$3,_xlpm.c,OR(_xlpm.t="Count",_xlpm.t="Transactions"),_xlpm.h,IF(_xlpm.c,'Staff Daily sales'!BM$2,'Staff Daily sales'!BN$2),IF(OR(_xlpm.t="Total",_xlpm.c),IFERROR(IF(ISNUMBER(_xlpm.h),_xlpm.h,DATEVALUE(_xlpm.h)),""),""))</f>
        <v>46325</v>
      </c>
      <c r="CQ3" s="214">
        <f>_xlfn.LET(_xlpm.t,'Staff Daily sales'!BO$3,_xlpm.c,OR(_xlpm.t="Count",_xlpm.t="Transactions"),_xlpm.h,IF(_xlpm.c,'Staff Daily sales'!BN$2,'Staff Daily sales'!BO$2),IF(OR(_xlpm.t="Total",_xlpm.c),IFERROR(IF(ISNUMBER(_xlpm.h),_xlpm.h,DATEVALUE(_xlpm.h)),""),""))</f>
        <v>46326</v>
      </c>
      <c r="CR3" s="214">
        <f>_xlfn.LET(_xlpm.t,'Staff Daily sales'!BP$3,_xlpm.c,OR(_xlpm.t="Count",_xlpm.t="Transactions"),_xlpm.h,IF(_xlpm.c,'Staff Daily sales'!BO$2,'Staff Daily sales'!BP$2),IF(OR(_xlpm.t="Total",_xlpm.c),IFERROR(IF(ISNUMBER(_xlpm.h),_xlpm.h,DATEVALUE(_xlpm.h)),""),""))</f>
        <v>46326</v>
      </c>
      <c r="CS3" s="214" t="str">
        <f>_xlfn.LET(_xlpm.t,'Staff Daily sales'!BQ$3,_xlpm.c,OR(_xlpm.t="Count",_xlpm.t="Transactions"),_xlpm.h,IF(_xlpm.c,'Staff Daily sales'!BP$2,'Staff Daily sales'!BQ$2),IF(OR(_xlpm.t="Total",_xlpm.c),IFERROR(IF(ISNUMBER(_xlpm.h),_xlpm.h,DATEVALUE(_xlpm.h)),""),""))</f>
        <v/>
      </c>
      <c r="CT3" s="214" t="str">
        <f>_xlfn.LET(_xlpm.t,'Staff Daily sales'!BR$3,_xlpm.c,OR(_xlpm.t="Count",_xlpm.t="Transactions"),_xlpm.h,IF(_xlpm.c,'Staff Daily sales'!BQ$2,'Staff Daily sales'!BR$2),IF(OR(_xlpm.t="Total",_xlpm.c),IFERROR(IF(ISNUMBER(_xlpm.h),_xlpm.h,DATEVALUE(_xlpm.h)),""),""))</f>
        <v/>
      </c>
      <c r="CU3" s="214" t="str">
        <f>_xlfn.LET(_xlpm.t,'Staff Daily sales'!BS$3,_xlpm.c,OR(_xlpm.t="Count",_xlpm.t="Transactions"),_xlpm.h,IF(_xlpm.c,'Staff Daily sales'!BR$2,'Staff Daily sales'!BS$2),IF(OR(_xlpm.t="Total",_xlpm.c),IFERROR(IF(ISNUMBER(_xlpm.h),_xlpm.h,DATEVALUE(_xlpm.h)),""),""))</f>
        <v/>
      </c>
      <c r="CV3" s="214" t="str">
        <f>_xlfn.LET(_xlpm.t,'Staff Daily sales'!BT$3,_xlpm.c,OR(_xlpm.t="Count",_xlpm.t="Transactions"),_xlpm.h,IF(_xlpm.c,'Staff Daily sales'!BS$2,'Staff Daily sales'!BT$2),IF(OR(_xlpm.t="Total",_xlpm.c),IFERROR(IF(ISNUMBER(_xlpm.h),_xlpm.h,DATEVALUE(_xlpm.h)),""),""))</f>
        <v/>
      </c>
      <c r="CW3" s="214" t="str">
        <f>_xlfn.LET(_xlpm.t,'Staff Daily sales'!BU$3,_xlpm.c,OR(_xlpm.t="Count",_xlpm.t="Transactions"),_xlpm.h,IF(_xlpm.c,'Staff Daily sales'!BT$2,'Staff Daily sales'!BU$2),IF(OR(_xlpm.t="Total",_xlpm.c),IFERROR(IF(ISNUMBER(_xlpm.h),_xlpm.h,DATEVALUE(_xlpm.h)),""),""))</f>
        <v/>
      </c>
      <c r="CX3" s="214" t="str">
        <f>_xlfn.LET(_xlpm.t,'Staff Daily sales'!BV$3,_xlpm.c,OR(_xlpm.t="Count",_xlpm.t="Transactions"),_xlpm.h,IF(_xlpm.c,'Staff Daily sales'!BU$2,'Staff Daily sales'!BV$2),IF(OR(_xlpm.t="Total",_xlpm.c),IFERROR(IF(ISNUMBER(_xlpm.h),_xlpm.h,DATEVALUE(_xlpm.h)),""),""))</f>
        <v/>
      </c>
      <c r="CY3" s="214" t="str">
        <f>_xlfn.LET(_xlpm.t,'Staff Daily sales'!BW$3,_xlpm.c,OR(_xlpm.t="Count",_xlpm.t="Transactions"),_xlpm.h,IF(_xlpm.c,'Staff Daily sales'!BV$2,'Staff Daily sales'!BW$2),IF(OR(_xlpm.t="Total",_xlpm.c),IFERROR(IF(ISNUMBER(_xlpm.h),_xlpm.h,DATEVALUE(_xlpm.h)),""),""))</f>
        <v/>
      </c>
      <c r="CZ3" s="214" t="str">
        <f>_xlfn.LET(_xlpm.t,'Staff Daily sales'!BX$3,_xlpm.c,OR(_xlpm.t="Count",_xlpm.t="Transactions"),_xlpm.h,IF(_xlpm.c,'Staff Daily sales'!BW$2,'Staff Daily sales'!BX$2),IF(OR(_xlpm.t="Total",_xlpm.c),IFERROR(IF(ISNUMBER(_xlpm.h),_xlpm.h,DATEVALUE(_xlpm.h)),""),""))</f>
        <v/>
      </c>
      <c r="DA3" s="214" t="str">
        <f>_xlfn.LET(_xlpm.t,'Staff Daily sales'!BY$3,_xlpm.c,OR(_xlpm.t="Count",_xlpm.t="Transactions"),_xlpm.h,IF(_xlpm.c,'Staff Daily sales'!BX$2,'Staff Daily sales'!BY$2),IF(OR(_xlpm.t="Total",_xlpm.c),IFERROR(IF(ISNUMBER(_xlpm.h),_xlpm.h,DATEVALUE(_xlpm.h)),""),""))</f>
        <v/>
      </c>
      <c r="DB3" s="214" t="str">
        <f>_xlfn.LET(_xlpm.t,'Staff Daily sales'!BZ$3,_xlpm.c,OR(_xlpm.t="Count",_xlpm.t="Transactions"),_xlpm.h,IF(_xlpm.c,'Staff Daily sales'!BY$2,'Staff Daily sales'!BZ$2),IF(OR(_xlpm.t="Total",_xlpm.c),IFERROR(IF(ISNUMBER(_xlpm.h),_xlpm.h,DATEVALUE(_xlpm.h)),""),""))</f>
        <v/>
      </c>
      <c r="DC3" s="214" t="str">
        <f>_xlfn.LET(_xlpm.t,'Staff Daily sales'!CA$3,_xlpm.c,OR(_xlpm.t="Count",_xlpm.t="Transactions"),_xlpm.h,IF(_xlpm.c,'Staff Daily sales'!BZ$2,'Staff Daily sales'!CA$2),IF(OR(_xlpm.t="Total",_xlpm.c),IFERROR(IF(ISNUMBER(_xlpm.h),_xlpm.h,DATEVALUE(_xlpm.h)),""),""))</f>
        <v/>
      </c>
      <c r="DD3" s="214" t="str">
        <f>_xlfn.LET(_xlpm.t,'Staff Daily sales'!CB$3,_xlpm.c,OR(_xlpm.t="Count",_xlpm.t="Transactions"),_xlpm.h,IF(_xlpm.c,'Staff Daily sales'!CA$2,'Staff Daily sales'!CB$2),IF(OR(_xlpm.t="Total",_xlpm.c),IFERROR(IF(ISNUMBER(_xlpm.h),_xlpm.h,DATEVALUE(_xlpm.h)),""),""))</f>
        <v/>
      </c>
      <c r="DE3" s="214" t="str">
        <f>_xlfn.LET(_xlpm.t,'Staff Daily sales'!CC$3,_xlpm.c,OR(_xlpm.t="Count",_xlpm.t="Transactions"),_xlpm.h,IF(_xlpm.c,'Staff Daily sales'!CB$2,'Staff Daily sales'!CC$2),IF(OR(_xlpm.t="Total",_xlpm.c),IFERROR(IF(ISNUMBER(_xlpm.h),_xlpm.h,DATEVALUE(_xlpm.h)),""),""))</f>
        <v/>
      </c>
      <c r="DF3" s="214" t="str">
        <f>_xlfn.LET(_xlpm.t,'Staff Daily sales'!CD$3,_xlpm.c,OR(_xlpm.t="Count",_xlpm.t="Transactions"),_xlpm.h,IF(_xlpm.c,'Staff Daily sales'!CC$2,'Staff Daily sales'!CD$2),IF(OR(_xlpm.t="Total",_xlpm.c),IFERROR(IF(ISNUMBER(_xlpm.h),_xlpm.h,DATEVALUE(_xlpm.h)),""),""))</f>
        <v/>
      </c>
    </row>
    <row r="4" spans="1:110" x14ac:dyDescent="0.25">
      <c r="A4" t="s">
        <v>1215</v>
      </c>
      <c r="B4">
        <f>_xlfn.LET(_xlpm.f,IF(ISNUMBER('Staff Dashboard'!$B$4),'Staff Dashboard'!$B$4,$G$3),_xlpm.t,IF(ISNUMBER('Staff Dashboard'!$B$5),'Staff Dashboard'!$B$5,$G$4),MAX(_xlpm.f,_xlpm.t))</f>
        <v>46319</v>
      </c>
      <c r="D4" t="s">
        <v>1316</v>
      </c>
      <c r="E4" s="132">
        <f>MAX(IF(ISNUMBER('Staff Weekly Trend'!$E$4),'Staff Weekly Trend'!$E$4,$B$7),IF(ISNUMBER('Staff Weekly Trend'!$E$5),'Staff Weekly Trend'!$E$5,$B$5))</f>
        <v>46321</v>
      </c>
      <c r="F4" t="s">
        <v>1321</v>
      </c>
      <c r="G4" s="132">
        <f>IFERROR(MIN(INDEX($C$7:$C$11,MATCH('Staff Dashboard'!$B$3,$A$7:$A$11,0)),$B$5),$B$5)</f>
        <v>46321</v>
      </c>
      <c r="AH4" t="s">
        <v>1220</v>
      </c>
      <c r="AI4" t="str">
        <f>IF(ISNUMBER(AI$3),IF('Staff Daily sales'!G$3="Transactions","Count",'Staff Daily sales'!G$3),"")</f>
        <v>Total</v>
      </c>
      <c r="AJ4" t="str">
        <f>IF(ISNUMBER(AJ$3),IF('Staff Daily sales'!H$3="Transactions","Count",'Staff Daily sales'!H$3),"")</f>
        <v>Count</v>
      </c>
      <c r="AK4" t="str">
        <f>IF(ISNUMBER(AK$3),IF('Staff Daily sales'!I$3="Transactions","Count",'Staff Daily sales'!I$3),"")</f>
        <v>Total</v>
      </c>
      <c r="AL4" t="str">
        <f>IF(ISNUMBER(AL$3),IF('Staff Daily sales'!J$3="Transactions","Count",'Staff Daily sales'!J$3),"")</f>
        <v>Count</v>
      </c>
      <c r="AM4" t="str">
        <f>IF(ISNUMBER(AM$3),IF('Staff Daily sales'!K$3="Transactions","Count",'Staff Daily sales'!K$3),"")</f>
        <v>Total</v>
      </c>
      <c r="AN4" t="str">
        <f>IF(ISNUMBER(AN$3),IF('Staff Daily sales'!L$3="Transactions","Count",'Staff Daily sales'!L$3),"")</f>
        <v>Count</v>
      </c>
      <c r="AO4" t="str">
        <f>IF(ISNUMBER(AO$3),IF('Staff Daily sales'!M$3="Transactions","Count",'Staff Daily sales'!M$3),"")</f>
        <v>Total</v>
      </c>
      <c r="AP4" t="str">
        <f>IF(ISNUMBER(AP$3),IF('Staff Daily sales'!N$3="Transactions","Count",'Staff Daily sales'!N$3),"")</f>
        <v>Count</v>
      </c>
      <c r="AQ4" t="str">
        <f>IF(ISNUMBER(AQ$3),IF('Staff Daily sales'!O$3="Transactions","Count",'Staff Daily sales'!O$3),"")</f>
        <v>Total</v>
      </c>
      <c r="AR4" t="str">
        <f>IF(ISNUMBER(AR$3),IF('Staff Daily sales'!P$3="Transactions","Count",'Staff Daily sales'!P$3),"")</f>
        <v>Count</v>
      </c>
      <c r="AS4" t="str">
        <f>IF(ISNUMBER(AS$3),IF('Staff Daily sales'!Q$3="Transactions","Count",'Staff Daily sales'!Q$3),"")</f>
        <v>Total</v>
      </c>
      <c r="AT4" t="str">
        <f>IF(ISNUMBER(AT$3),IF('Staff Daily sales'!R$3="Transactions","Count",'Staff Daily sales'!R$3),"")</f>
        <v>Count</v>
      </c>
      <c r="AU4" t="str">
        <f>IF(ISNUMBER(AU$3),IF('Staff Daily sales'!S$3="Transactions","Count",'Staff Daily sales'!S$3),"")</f>
        <v>Total</v>
      </c>
      <c r="AV4" t="str">
        <f>IF(ISNUMBER(AV$3),IF('Staff Daily sales'!T$3="Transactions","Count",'Staff Daily sales'!T$3),"")</f>
        <v>Count</v>
      </c>
      <c r="AW4" t="str">
        <f>IF(ISNUMBER(AW$3),IF('Staff Daily sales'!U$3="Transactions","Count",'Staff Daily sales'!U$3),"")</f>
        <v>Total</v>
      </c>
      <c r="AX4" t="str">
        <f>IF(ISNUMBER(AX$3),IF('Staff Daily sales'!V$3="Transactions","Count",'Staff Daily sales'!V$3),"")</f>
        <v>Count</v>
      </c>
      <c r="AY4" t="str">
        <f>IF(ISNUMBER(AY$3),IF('Staff Daily sales'!W$3="Transactions","Count",'Staff Daily sales'!W$3),"")</f>
        <v>Total</v>
      </c>
      <c r="AZ4" t="str">
        <f>IF(ISNUMBER(AZ$3),IF('Staff Daily sales'!X$3="Transactions","Count",'Staff Daily sales'!X$3),"")</f>
        <v>Count</v>
      </c>
      <c r="BA4" t="str">
        <f>IF(ISNUMBER(BA$3),IF('Staff Daily sales'!Y$3="Transactions","Count",'Staff Daily sales'!Y$3),"")</f>
        <v>Total</v>
      </c>
      <c r="BB4" t="str">
        <f>IF(ISNUMBER(BB$3),IF('Staff Daily sales'!Z$3="Transactions","Count",'Staff Daily sales'!Z$3),"")</f>
        <v>Count</v>
      </c>
      <c r="BC4" t="str">
        <f>IF(ISNUMBER(BC$3),IF('Staff Daily sales'!AA$3="Transactions","Count",'Staff Daily sales'!AA$3),"")</f>
        <v>Total</v>
      </c>
      <c r="BD4" t="str">
        <f>IF(ISNUMBER(BD$3),IF('Staff Daily sales'!AB$3="Transactions","Count",'Staff Daily sales'!AB$3),"")</f>
        <v>Count</v>
      </c>
      <c r="BE4" t="str">
        <f>IF(ISNUMBER(BE$3),IF('Staff Daily sales'!AC$3="Transactions","Count",'Staff Daily sales'!AC$3),"")</f>
        <v>Total</v>
      </c>
      <c r="BF4" t="str">
        <f>IF(ISNUMBER(BF$3),IF('Staff Daily sales'!AD$3="Transactions","Count",'Staff Daily sales'!AD$3),"")</f>
        <v>Count</v>
      </c>
      <c r="BG4" t="str">
        <f>IF(ISNUMBER(BG$3),IF('Staff Daily sales'!AE$3="Transactions","Count",'Staff Daily sales'!AE$3),"")</f>
        <v>Total</v>
      </c>
      <c r="BH4" t="str">
        <f>IF(ISNUMBER(BH$3),IF('Staff Daily sales'!AF$3="Transactions","Count",'Staff Daily sales'!AF$3),"")</f>
        <v>Count</v>
      </c>
      <c r="BI4" t="str">
        <f>IF(ISNUMBER(BI$3),IF('Staff Daily sales'!AG$3="Transactions","Count",'Staff Daily sales'!AG$3),"")</f>
        <v>Total</v>
      </c>
      <c r="BJ4" t="str">
        <f>IF(ISNUMBER(BJ$3),IF('Staff Daily sales'!AH$3="Transactions","Count",'Staff Daily sales'!AH$3),"")</f>
        <v>Count</v>
      </c>
      <c r="BK4" t="str">
        <f>IF(ISNUMBER(BK$3),IF('Staff Daily sales'!AI$3="Transactions","Count",'Staff Daily sales'!AI$3),"")</f>
        <v>Total</v>
      </c>
      <c r="BL4" t="str">
        <f>IF(ISNUMBER(BL$3),IF('Staff Daily sales'!AJ$3="Transactions","Count",'Staff Daily sales'!AJ$3),"")</f>
        <v>Count</v>
      </c>
      <c r="BM4" t="str">
        <f>IF(ISNUMBER(BM$3),IF('Staff Daily sales'!AK$3="Transactions","Count",'Staff Daily sales'!AK$3),"")</f>
        <v>Total</v>
      </c>
      <c r="BN4" t="str">
        <f>IF(ISNUMBER(BN$3),IF('Staff Daily sales'!AL$3="Transactions","Count",'Staff Daily sales'!AL$3),"")</f>
        <v>Count</v>
      </c>
      <c r="BO4" t="str">
        <f>IF(ISNUMBER(BO$3),IF('Staff Daily sales'!AM$3="Transactions","Count",'Staff Daily sales'!AM$3),"")</f>
        <v>Total</v>
      </c>
      <c r="BP4" t="str">
        <f>IF(ISNUMBER(BP$3),IF('Staff Daily sales'!AN$3="Transactions","Count",'Staff Daily sales'!AN$3),"")</f>
        <v>Count</v>
      </c>
      <c r="BQ4" t="str">
        <f>IF(ISNUMBER(BQ$3),IF('Staff Daily sales'!AO$3="Transactions","Count",'Staff Daily sales'!AO$3),"")</f>
        <v>Total</v>
      </c>
      <c r="BR4" t="str">
        <f>IF(ISNUMBER(BR$3),IF('Staff Daily sales'!AP$3="Transactions","Count",'Staff Daily sales'!AP$3),"")</f>
        <v>Count</v>
      </c>
      <c r="BS4" t="str">
        <f>IF(ISNUMBER(BS$3),IF('Staff Daily sales'!AQ$3="Transactions","Count",'Staff Daily sales'!AQ$3),"")</f>
        <v>Total</v>
      </c>
      <c r="BT4" t="str">
        <f>IF(ISNUMBER(BT$3),IF('Staff Daily sales'!AR$3="Transactions","Count",'Staff Daily sales'!AR$3),"")</f>
        <v>Count</v>
      </c>
      <c r="BU4" t="str">
        <f>IF(ISNUMBER(BU$3),IF('Staff Daily sales'!AS$3="Transactions","Count",'Staff Daily sales'!AS$3),"")</f>
        <v>Total</v>
      </c>
      <c r="BV4" t="str">
        <f>IF(ISNUMBER(BV$3),IF('Staff Daily sales'!AT$3="Transactions","Count",'Staff Daily sales'!AT$3),"")</f>
        <v>Count</v>
      </c>
      <c r="BW4" t="str">
        <f>IF(ISNUMBER(BW$3),IF('Staff Daily sales'!AU$3="Transactions","Count",'Staff Daily sales'!AU$3),"")</f>
        <v>Total</v>
      </c>
      <c r="BX4" t="str">
        <f>IF(ISNUMBER(BX$3),IF('Staff Daily sales'!AV$3="Transactions","Count",'Staff Daily sales'!AV$3),"")</f>
        <v>Count</v>
      </c>
      <c r="BY4" t="str">
        <f>IF(ISNUMBER(BY$3),IF('Staff Daily sales'!AW$3="Transactions","Count",'Staff Daily sales'!AW$3),"")</f>
        <v>Total</v>
      </c>
      <c r="BZ4" t="str">
        <f>IF(ISNUMBER(BZ$3),IF('Staff Daily sales'!AX$3="Transactions","Count",'Staff Daily sales'!AX$3),"")</f>
        <v>Count</v>
      </c>
      <c r="CA4" t="str">
        <f>IF(ISNUMBER(CA$3),IF('Staff Daily sales'!AY$3="Transactions","Count",'Staff Daily sales'!AY$3),"")</f>
        <v>Total</v>
      </c>
      <c r="CB4" t="str">
        <f>IF(ISNUMBER(CB$3),IF('Staff Daily sales'!AZ$3="Transactions","Count",'Staff Daily sales'!AZ$3),"")</f>
        <v>Count</v>
      </c>
      <c r="CC4" t="str">
        <f>IF(ISNUMBER(CC$3),IF('Staff Daily sales'!BA$3="Transactions","Count",'Staff Daily sales'!BA$3),"")</f>
        <v>Total</v>
      </c>
      <c r="CD4" t="str">
        <f>IF(ISNUMBER(CD$3),IF('Staff Daily sales'!BB$3="Transactions","Count",'Staff Daily sales'!BB$3),"")</f>
        <v>Count</v>
      </c>
      <c r="CE4" t="str">
        <f>IF(ISNUMBER(CE$3),IF('Staff Daily sales'!BC$3="Transactions","Count",'Staff Daily sales'!BC$3),"")</f>
        <v>Total</v>
      </c>
      <c r="CF4" t="str">
        <f>IF(ISNUMBER(CF$3),IF('Staff Daily sales'!BD$3="Transactions","Count",'Staff Daily sales'!BD$3),"")</f>
        <v>Count</v>
      </c>
      <c r="CG4" t="str">
        <f>IF(ISNUMBER(CG$3),IF('Staff Daily sales'!BE$3="Transactions","Count",'Staff Daily sales'!BE$3),"")</f>
        <v>Total</v>
      </c>
      <c r="CH4" t="str">
        <f>IF(ISNUMBER(CH$3),IF('Staff Daily sales'!BF$3="Transactions","Count",'Staff Daily sales'!BF$3),"")</f>
        <v>Count</v>
      </c>
      <c r="CI4" t="str">
        <f>IF(ISNUMBER(CI$3),IF('Staff Daily sales'!BG$3="Transactions","Count",'Staff Daily sales'!BG$3),"")</f>
        <v>Total</v>
      </c>
      <c r="CJ4" t="str">
        <f>IF(ISNUMBER(CJ$3),IF('Staff Daily sales'!BH$3="Transactions","Count",'Staff Daily sales'!BH$3),"")</f>
        <v>Count</v>
      </c>
      <c r="CK4" t="str">
        <f>IF(ISNUMBER(CK$3),IF('Staff Daily sales'!BI$3="Transactions","Count",'Staff Daily sales'!BI$3),"")</f>
        <v>Total</v>
      </c>
      <c r="CL4" t="str">
        <f>IF(ISNUMBER(CL$3),IF('Staff Daily sales'!BJ$3="Transactions","Count",'Staff Daily sales'!BJ$3),"")</f>
        <v>Count</v>
      </c>
      <c r="CM4" t="str">
        <f>IF(ISNUMBER(CM$3),IF('Staff Daily sales'!BK$3="Transactions","Count",'Staff Daily sales'!BK$3),"")</f>
        <v>Total</v>
      </c>
      <c r="CN4" t="str">
        <f>IF(ISNUMBER(CN$3),IF('Staff Daily sales'!BL$3="Transactions","Count",'Staff Daily sales'!BL$3),"")</f>
        <v>Count</v>
      </c>
      <c r="CO4" t="str">
        <f>IF(ISNUMBER(CO$3),IF('Staff Daily sales'!BM$3="Transactions","Count",'Staff Daily sales'!BM$3),"")</f>
        <v>Total</v>
      </c>
      <c r="CP4" t="str">
        <f>IF(ISNUMBER(CP$3),IF('Staff Daily sales'!BN$3="Transactions","Count",'Staff Daily sales'!BN$3),"")</f>
        <v>Count</v>
      </c>
      <c r="CQ4" t="str">
        <f>IF(ISNUMBER(CQ$3),IF('Staff Daily sales'!BO$3="Transactions","Count",'Staff Daily sales'!BO$3),"")</f>
        <v>Total</v>
      </c>
      <c r="CR4" t="str">
        <f>IF(ISNUMBER(CR$3),IF('Staff Daily sales'!BP$3="Transactions","Count",'Staff Daily sales'!BP$3),"")</f>
        <v>Count</v>
      </c>
      <c r="CS4" t="str">
        <f>IF(ISNUMBER(CS$3),IF('Staff Daily sales'!BQ$3="Transactions","Count",'Staff Daily sales'!BQ$3),"")</f>
        <v/>
      </c>
      <c r="CT4" t="str">
        <f>IF(ISNUMBER(CT$3),IF('Staff Daily sales'!BR$3="Transactions","Count",'Staff Daily sales'!BR$3),"")</f>
        <v/>
      </c>
      <c r="CU4" t="str">
        <f>IF(ISNUMBER(CU$3),IF('Staff Daily sales'!BS$3="Transactions","Count",'Staff Daily sales'!BS$3),"")</f>
        <v/>
      </c>
      <c r="CV4" t="str">
        <f>IF(ISNUMBER(CV$3),IF('Staff Daily sales'!BT$3="Transactions","Count",'Staff Daily sales'!BT$3),"")</f>
        <v/>
      </c>
      <c r="CW4" t="str">
        <f>IF(ISNUMBER(CW$3),IF('Staff Daily sales'!BU$3="Transactions","Count",'Staff Daily sales'!BU$3),"")</f>
        <v/>
      </c>
      <c r="CX4" t="str">
        <f>IF(ISNUMBER(CX$3),IF('Staff Daily sales'!BV$3="Transactions","Count",'Staff Daily sales'!BV$3),"")</f>
        <v/>
      </c>
      <c r="CY4" t="str">
        <f>IF(ISNUMBER(CY$3),IF('Staff Daily sales'!BW$3="Transactions","Count",'Staff Daily sales'!BW$3),"")</f>
        <v/>
      </c>
      <c r="CZ4" t="str">
        <f>IF(ISNUMBER(CZ$3),IF('Staff Daily sales'!BX$3="Transactions","Count",'Staff Daily sales'!BX$3),"")</f>
        <v/>
      </c>
      <c r="DA4" t="str">
        <f>IF(ISNUMBER(DA$3),IF('Staff Daily sales'!BY$3="Transactions","Count",'Staff Daily sales'!BY$3),"")</f>
        <v/>
      </c>
      <c r="DB4" t="str">
        <f>IF(ISNUMBER(DB$3),IF('Staff Daily sales'!BZ$3="Transactions","Count",'Staff Daily sales'!BZ$3),"")</f>
        <v/>
      </c>
      <c r="DC4" t="str">
        <f>IF(ISNUMBER(DC$3),IF('Staff Daily sales'!CA$3="Transactions","Count",'Staff Daily sales'!CA$3),"")</f>
        <v/>
      </c>
      <c r="DD4" t="str">
        <f>IF(ISNUMBER(DD$3),IF('Staff Daily sales'!CB$3="Transactions","Count",'Staff Daily sales'!CB$3),"")</f>
        <v/>
      </c>
      <c r="DE4" t="str">
        <f>IF(ISNUMBER(DE$3),IF('Staff Daily sales'!CC$3="Transactions","Count",'Staff Daily sales'!CC$3),"")</f>
        <v/>
      </c>
      <c r="DF4" t="str">
        <f>IF(ISNUMBER(DF$3),IF('Staff Daily sales'!CD$3="Transactions","Count",'Staff Daily sales'!CD$3),"")</f>
        <v/>
      </c>
    </row>
    <row r="5" spans="1:110" x14ac:dyDescent="0.25">
      <c r="A5" t="s">
        <v>387</v>
      </c>
      <c r="B5" cm="1">
        <f t="array" ref="B5">_xlfn.LET(_xlpm.d,$AI$3:$DF$3,_xlpm.t,MMULT(_xlfn.SEQUENCE(1,1496,1,0),IFERROR(--'Staff Daily sales'!$G$5:$CD$1500,0)),IFERROR(MAX(_xlfn._xlws.FILTER(_xlpm.d,($AI$4:$DF$4="Total")*(_xlpm.t&gt;0))),$B$7))</f>
        <v>46321</v>
      </c>
      <c r="AH5" t="s">
        <v>1221</v>
      </c>
      <c r="AI5">
        <f t="shared" ref="AI5:CT5" si="0">--AND(AI$4="Total",AI$3&gt;=$B$3,AI$3&lt;=$B$4)</f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0</v>
      </c>
      <c r="BS5">
        <f t="shared" si="0"/>
        <v>0</v>
      </c>
      <c r="BT5">
        <f t="shared" si="0"/>
        <v>0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  <c r="BZ5">
        <f t="shared" si="0"/>
        <v>0</v>
      </c>
      <c r="CA5">
        <f t="shared" si="0"/>
        <v>0</v>
      </c>
      <c r="CB5">
        <f t="shared" si="0"/>
        <v>0</v>
      </c>
      <c r="CC5">
        <f t="shared" si="0"/>
        <v>1</v>
      </c>
      <c r="CD5">
        <f t="shared" si="0"/>
        <v>0</v>
      </c>
      <c r="CE5">
        <f t="shared" si="0"/>
        <v>0</v>
      </c>
      <c r="CF5">
        <f t="shared" si="0"/>
        <v>0</v>
      </c>
      <c r="CG5">
        <f t="shared" si="0"/>
        <v>0</v>
      </c>
      <c r="CH5">
        <f t="shared" si="0"/>
        <v>0</v>
      </c>
      <c r="CI5">
        <f t="shared" si="0"/>
        <v>0</v>
      </c>
      <c r="CJ5">
        <f t="shared" si="0"/>
        <v>0</v>
      </c>
      <c r="CK5">
        <f t="shared" si="0"/>
        <v>0</v>
      </c>
      <c r="CL5">
        <f t="shared" si="0"/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ref="CU5:DF5" si="1">--AND(CU$4="Total",CU$3&gt;=$B$3,CU$3&lt;=$B$4)</f>
        <v>0</v>
      </c>
      <c r="CV5">
        <f t="shared" si="1"/>
        <v>0</v>
      </c>
      <c r="CW5">
        <f t="shared" si="1"/>
        <v>0</v>
      </c>
      <c r="CX5">
        <f t="shared" si="1"/>
        <v>0</v>
      </c>
      <c r="CY5">
        <f t="shared" si="1"/>
        <v>0</v>
      </c>
      <c r="CZ5">
        <f t="shared" si="1"/>
        <v>0</v>
      </c>
      <c r="DA5">
        <f t="shared" si="1"/>
        <v>0</v>
      </c>
      <c r="DB5">
        <f t="shared" si="1"/>
        <v>0</v>
      </c>
      <c r="DC5">
        <f t="shared" si="1"/>
        <v>0</v>
      </c>
      <c r="DD5">
        <f t="shared" si="1"/>
        <v>0</v>
      </c>
      <c r="DE5">
        <f t="shared" si="1"/>
        <v>0</v>
      </c>
      <c r="DF5">
        <f t="shared" si="1"/>
        <v>0</v>
      </c>
    </row>
    <row r="6" spans="1:110" x14ac:dyDescent="0.25">
      <c r="A6" t="s">
        <v>209</v>
      </c>
      <c r="B6" t="s">
        <v>210</v>
      </c>
      <c r="C6" t="s">
        <v>211</v>
      </c>
      <c r="D6" t="s">
        <v>1315</v>
      </c>
      <c r="E6" t="s">
        <v>1316</v>
      </c>
      <c r="AH6" t="s">
        <v>1222</v>
      </c>
      <c r="AI6">
        <f t="shared" ref="AI6:CT6" si="2">--AND(AI$4="Count",AI$3&gt;=$B$3,AI$3&lt;=$B$4)</f>
        <v>0</v>
      </c>
      <c r="AJ6">
        <f t="shared" si="2"/>
        <v>0</v>
      </c>
      <c r="AK6">
        <f t="shared" si="2"/>
        <v>0</v>
      </c>
      <c r="AL6">
        <f t="shared" si="2"/>
        <v>0</v>
      </c>
      <c r="AM6">
        <f t="shared" si="2"/>
        <v>0</v>
      </c>
      <c r="AN6">
        <f t="shared" si="2"/>
        <v>0</v>
      </c>
      <c r="AO6">
        <f t="shared" si="2"/>
        <v>0</v>
      </c>
      <c r="AP6">
        <f t="shared" si="2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2"/>
        <v>0</v>
      </c>
      <c r="AY6">
        <f t="shared" si="2"/>
        <v>0</v>
      </c>
      <c r="AZ6">
        <f t="shared" si="2"/>
        <v>0</v>
      </c>
      <c r="BA6">
        <f t="shared" si="2"/>
        <v>0</v>
      </c>
      <c r="BB6">
        <f t="shared" si="2"/>
        <v>0</v>
      </c>
      <c r="BC6">
        <f t="shared" si="2"/>
        <v>0</v>
      </c>
      <c r="BD6">
        <f t="shared" si="2"/>
        <v>0</v>
      </c>
      <c r="BE6">
        <f t="shared" si="2"/>
        <v>0</v>
      </c>
      <c r="BF6">
        <f t="shared" si="2"/>
        <v>0</v>
      </c>
      <c r="BG6">
        <f t="shared" si="2"/>
        <v>0</v>
      </c>
      <c r="BH6">
        <f t="shared" si="2"/>
        <v>0</v>
      </c>
      <c r="BI6">
        <f t="shared" si="2"/>
        <v>0</v>
      </c>
      <c r="BJ6">
        <f t="shared" si="2"/>
        <v>0</v>
      </c>
      <c r="BK6">
        <f t="shared" si="2"/>
        <v>0</v>
      </c>
      <c r="BL6">
        <f t="shared" si="2"/>
        <v>0</v>
      </c>
      <c r="BM6">
        <f t="shared" si="2"/>
        <v>0</v>
      </c>
      <c r="BN6">
        <f t="shared" si="2"/>
        <v>0</v>
      </c>
      <c r="BO6">
        <f t="shared" si="2"/>
        <v>0</v>
      </c>
      <c r="BP6">
        <f t="shared" si="2"/>
        <v>0</v>
      </c>
      <c r="BQ6">
        <f t="shared" si="2"/>
        <v>0</v>
      </c>
      <c r="BR6">
        <f t="shared" si="2"/>
        <v>0</v>
      </c>
      <c r="BS6">
        <f t="shared" si="2"/>
        <v>0</v>
      </c>
      <c r="BT6">
        <f t="shared" si="2"/>
        <v>0</v>
      </c>
      <c r="BU6">
        <f t="shared" si="2"/>
        <v>0</v>
      </c>
      <c r="BV6">
        <f t="shared" si="2"/>
        <v>0</v>
      </c>
      <c r="BW6">
        <f t="shared" si="2"/>
        <v>0</v>
      </c>
      <c r="BX6">
        <f t="shared" si="2"/>
        <v>0</v>
      </c>
      <c r="BY6">
        <f t="shared" si="2"/>
        <v>0</v>
      </c>
      <c r="BZ6">
        <f t="shared" si="2"/>
        <v>0</v>
      </c>
      <c r="CA6">
        <f t="shared" si="2"/>
        <v>0</v>
      </c>
      <c r="CB6">
        <f t="shared" si="2"/>
        <v>0</v>
      </c>
      <c r="CC6">
        <f t="shared" si="2"/>
        <v>0</v>
      </c>
      <c r="CD6">
        <f t="shared" si="2"/>
        <v>1</v>
      </c>
      <c r="CE6">
        <f t="shared" si="2"/>
        <v>0</v>
      </c>
      <c r="CF6">
        <f t="shared" si="2"/>
        <v>0</v>
      </c>
      <c r="CG6">
        <f t="shared" si="2"/>
        <v>0</v>
      </c>
      <c r="CH6">
        <f t="shared" si="2"/>
        <v>0</v>
      </c>
      <c r="CI6">
        <f t="shared" si="2"/>
        <v>0</v>
      </c>
      <c r="CJ6">
        <f t="shared" si="2"/>
        <v>0</v>
      </c>
      <c r="CK6">
        <f t="shared" si="2"/>
        <v>0</v>
      </c>
      <c r="CL6">
        <f t="shared" si="2"/>
        <v>0</v>
      </c>
      <c r="CM6">
        <f t="shared" si="2"/>
        <v>0</v>
      </c>
      <c r="CN6">
        <f t="shared" si="2"/>
        <v>0</v>
      </c>
      <c r="CO6">
        <f t="shared" si="2"/>
        <v>0</v>
      </c>
      <c r="CP6">
        <f t="shared" si="2"/>
        <v>0</v>
      </c>
      <c r="CQ6">
        <f t="shared" si="2"/>
        <v>0</v>
      </c>
      <c r="CR6">
        <f t="shared" si="2"/>
        <v>0</v>
      </c>
      <c r="CS6">
        <f t="shared" si="2"/>
        <v>0</v>
      </c>
      <c r="CT6">
        <f t="shared" si="2"/>
        <v>0</v>
      </c>
      <c r="CU6">
        <f t="shared" ref="CU6:DF6" si="3">--AND(CU$4="Count",CU$3&gt;=$B$3,CU$3&lt;=$B$4)</f>
        <v>0</v>
      </c>
      <c r="CV6">
        <f t="shared" si="3"/>
        <v>0</v>
      </c>
      <c r="CW6">
        <f t="shared" si="3"/>
        <v>0</v>
      </c>
      <c r="CX6">
        <f t="shared" si="3"/>
        <v>0</v>
      </c>
      <c r="CY6">
        <f t="shared" si="3"/>
        <v>0</v>
      </c>
      <c r="CZ6">
        <f t="shared" si="3"/>
        <v>0</v>
      </c>
      <c r="DA6">
        <f t="shared" si="3"/>
        <v>0</v>
      </c>
      <c r="DB6">
        <f t="shared" si="3"/>
        <v>0</v>
      </c>
      <c r="DC6">
        <f t="shared" si="3"/>
        <v>0</v>
      </c>
      <c r="DD6">
        <f t="shared" si="3"/>
        <v>0</v>
      </c>
      <c r="DE6">
        <f t="shared" si="3"/>
        <v>0</v>
      </c>
      <c r="DF6">
        <f t="shared" si="3"/>
        <v>0</v>
      </c>
    </row>
    <row r="7" spans="1:110" x14ac:dyDescent="0.25">
      <c r="A7" t="str">
        <f>'Weekly Trend'!A115</f>
        <v>WK1</v>
      </c>
      <c r="B7" s="214">
        <f>'Weekly Trend'!B115</f>
        <v>46296</v>
      </c>
      <c r="C7" s="214">
        <f>'Weekly Trend'!C115</f>
        <v>46298</v>
      </c>
      <c r="D7" s="132">
        <f>MAX($B7,$E$3)</f>
        <v>46296</v>
      </c>
      <c r="E7" s="132">
        <f>MIN($C7,$E$4)</f>
        <v>46298</v>
      </c>
      <c r="AH7" t="s">
        <v>1223</v>
      </c>
      <c r="AI7">
        <f t="shared" ref="AI7:CT7" si="4">--AND(AI$4="Total",AI$3&gt;=$D$7,AI$3&lt;=$E$7)</f>
        <v>1</v>
      </c>
      <c r="AJ7">
        <f t="shared" si="4"/>
        <v>0</v>
      </c>
      <c r="AK7">
        <f t="shared" si="4"/>
        <v>1</v>
      </c>
      <c r="AL7">
        <f t="shared" si="4"/>
        <v>0</v>
      </c>
      <c r="AM7">
        <f t="shared" si="4"/>
        <v>1</v>
      </c>
      <c r="AN7">
        <f t="shared" si="4"/>
        <v>0</v>
      </c>
      <c r="AO7">
        <f t="shared" si="4"/>
        <v>0</v>
      </c>
      <c r="AP7">
        <f t="shared" si="4"/>
        <v>0</v>
      </c>
      <c r="AQ7">
        <f t="shared" si="4"/>
        <v>0</v>
      </c>
      <c r="AR7">
        <f t="shared" si="4"/>
        <v>0</v>
      </c>
      <c r="AS7">
        <f t="shared" si="4"/>
        <v>0</v>
      </c>
      <c r="AT7">
        <f t="shared" si="4"/>
        <v>0</v>
      </c>
      <c r="AU7">
        <f t="shared" si="4"/>
        <v>0</v>
      </c>
      <c r="AV7">
        <f t="shared" si="4"/>
        <v>0</v>
      </c>
      <c r="AW7">
        <f t="shared" si="4"/>
        <v>0</v>
      </c>
      <c r="AX7">
        <f t="shared" si="4"/>
        <v>0</v>
      </c>
      <c r="AY7">
        <f t="shared" si="4"/>
        <v>0</v>
      </c>
      <c r="AZ7">
        <f t="shared" si="4"/>
        <v>0</v>
      </c>
      <c r="BA7">
        <f t="shared" si="4"/>
        <v>0</v>
      </c>
      <c r="BB7">
        <f t="shared" si="4"/>
        <v>0</v>
      </c>
      <c r="BC7">
        <f t="shared" si="4"/>
        <v>0</v>
      </c>
      <c r="BD7">
        <f t="shared" si="4"/>
        <v>0</v>
      </c>
      <c r="BE7">
        <f t="shared" si="4"/>
        <v>0</v>
      </c>
      <c r="BF7">
        <f t="shared" si="4"/>
        <v>0</v>
      </c>
      <c r="BG7">
        <f t="shared" si="4"/>
        <v>0</v>
      </c>
      <c r="BH7">
        <f t="shared" si="4"/>
        <v>0</v>
      </c>
      <c r="BI7">
        <f t="shared" si="4"/>
        <v>0</v>
      </c>
      <c r="BJ7">
        <f t="shared" si="4"/>
        <v>0</v>
      </c>
      <c r="BK7">
        <f t="shared" si="4"/>
        <v>0</v>
      </c>
      <c r="BL7">
        <f t="shared" si="4"/>
        <v>0</v>
      </c>
      <c r="BM7">
        <f t="shared" si="4"/>
        <v>0</v>
      </c>
      <c r="BN7">
        <f t="shared" si="4"/>
        <v>0</v>
      </c>
      <c r="BO7">
        <f t="shared" si="4"/>
        <v>0</v>
      </c>
      <c r="BP7">
        <f t="shared" si="4"/>
        <v>0</v>
      </c>
      <c r="BQ7">
        <f t="shared" si="4"/>
        <v>0</v>
      </c>
      <c r="BR7">
        <f t="shared" si="4"/>
        <v>0</v>
      </c>
      <c r="BS7">
        <f t="shared" si="4"/>
        <v>0</v>
      </c>
      <c r="BT7">
        <f t="shared" si="4"/>
        <v>0</v>
      </c>
      <c r="BU7">
        <f t="shared" si="4"/>
        <v>0</v>
      </c>
      <c r="BV7">
        <f t="shared" si="4"/>
        <v>0</v>
      </c>
      <c r="BW7">
        <f t="shared" si="4"/>
        <v>0</v>
      </c>
      <c r="BX7">
        <f t="shared" si="4"/>
        <v>0</v>
      </c>
      <c r="BY7">
        <f t="shared" si="4"/>
        <v>0</v>
      </c>
      <c r="BZ7">
        <f t="shared" si="4"/>
        <v>0</v>
      </c>
      <c r="CA7">
        <f t="shared" si="4"/>
        <v>0</v>
      </c>
      <c r="CB7">
        <f t="shared" si="4"/>
        <v>0</v>
      </c>
      <c r="CC7">
        <f t="shared" si="4"/>
        <v>0</v>
      </c>
      <c r="CD7">
        <f t="shared" si="4"/>
        <v>0</v>
      </c>
      <c r="CE7">
        <f t="shared" si="4"/>
        <v>0</v>
      </c>
      <c r="CF7">
        <f t="shared" si="4"/>
        <v>0</v>
      </c>
      <c r="CG7">
        <f t="shared" si="4"/>
        <v>0</v>
      </c>
      <c r="CH7">
        <f t="shared" si="4"/>
        <v>0</v>
      </c>
      <c r="CI7">
        <f t="shared" si="4"/>
        <v>0</v>
      </c>
      <c r="CJ7">
        <f t="shared" si="4"/>
        <v>0</v>
      </c>
      <c r="CK7">
        <f t="shared" si="4"/>
        <v>0</v>
      </c>
      <c r="CL7">
        <f t="shared" si="4"/>
        <v>0</v>
      </c>
      <c r="CM7">
        <f t="shared" si="4"/>
        <v>0</v>
      </c>
      <c r="CN7">
        <f t="shared" si="4"/>
        <v>0</v>
      </c>
      <c r="CO7">
        <f t="shared" si="4"/>
        <v>0</v>
      </c>
      <c r="CP7">
        <f t="shared" si="4"/>
        <v>0</v>
      </c>
      <c r="CQ7">
        <f t="shared" si="4"/>
        <v>0</v>
      </c>
      <c r="CR7">
        <f t="shared" si="4"/>
        <v>0</v>
      </c>
      <c r="CS7">
        <f t="shared" si="4"/>
        <v>0</v>
      </c>
      <c r="CT7">
        <f t="shared" si="4"/>
        <v>0</v>
      </c>
      <c r="CU7">
        <f t="shared" ref="CU7:DF7" si="5">--AND(CU$4="Total",CU$3&gt;=$D$7,CU$3&lt;=$E$7)</f>
        <v>0</v>
      </c>
      <c r="CV7">
        <f t="shared" si="5"/>
        <v>0</v>
      </c>
      <c r="CW7">
        <f t="shared" si="5"/>
        <v>0</v>
      </c>
      <c r="CX7">
        <f t="shared" si="5"/>
        <v>0</v>
      </c>
      <c r="CY7">
        <f t="shared" si="5"/>
        <v>0</v>
      </c>
      <c r="CZ7">
        <f t="shared" si="5"/>
        <v>0</v>
      </c>
      <c r="DA7">
        <f t="shared" si="5"/>
        <v>0</v>
      </c>
      <c r="DB7">
        <f t="shared" si="5"/>
        <v>0</v>
      </c>
      <c r="DC7">
        <f t="shared" si="5"/>
        <v>0</v>
      </c>
      <c r="DD7">
        <f t="shared" si="5"/>
        <v>0</v>
      </c>
      <c r="DE7">
        <f t="shared" si="5"/>
        <v>0</v>
      </c>
      <c r="DF7">
        <f t="shared" si="5"/>
        <v>0</v>
      </c>
    </row>
    <row r="8" spans="1:110" x14ac:dyDescent="0.25">
      <c r="A8" t="str">
        <f>'Weekly Trend'!A116</f>
        <v>WK2</v>
      </c>
      <c r="B8" s="214">
        <f>'Weekly Trend'!B116</f>
        <v>46299</v>
      </c>
      <c r="C8" s="214">
        <f>'Weekly Trend'!C116</f>
        <v>46305</v>
      </c>
      <c r="D8" s="132">
        <f t="shared" ref="D8:D11" si="6">MAX($B8,$E$3)</f>
        <v>46299</v>
      </c>
      <c r="E8" s="132">
        <f t="shared" ref="E8:E11" si="7">MIN($C8,$E$4)</f>
        <v>46305</v>
      </c>
      <c r="AH8" t="s">
        <v>1224</v>
      </c>
      <c r="AI8">
        <f t="shared" ref="AI8:CT8" si="8">--AND(AI$4="Count",AI$3&gt;=$D$7,AI$3&lt;=$E$7)</f>
        <v>0</v>
      </c>
      <c r="AJ8">
        <f t="shared" si="8"/>
        <v>1</v>
      </c>
      <c r="AK8">
        <f t="shared" si="8"/>
        <v>0</v>
      </c>
      <c r="AL8">
        <f t="shared" si="8"/>
        <v>1</v>
      </c>
      <c r="AM8">
        <f t="shared" si="8"/>
        <v>0</v>
      </c>
      <c r="AN8">
        <f t="shared" si="8"/>
        <v>1</v>
      </c>
      <c r="AO8">
        <f t="shared" si="8"/>
        <v>0</v>
      </c>
      <c r="AP8">
        <f t="shared" si="8"/>
        <v>0</v>
      </c>
      <c r="AQ8">
        <f t="shared" si="8"/>
        <v>0</v>
      </c>
      <c r="AR8">
        <f t="shared" si="8"/>
        <v>0</v>
      </c>
      <c r="AS8">
        <f t="shared" si="8"/>
        <v>0</v>
      </c>
      <c r="AT8">
        <f t="shared" si="8"/>
        <v>0</v>
      </c>
      <c r="AU8">
        <f t="shared" si="8"/>
        <v>0</v>
      </c>
      <c r="AV8">
        <f t="shared" si="8"/>
        <v>0</v>
      </c>
      <c r="AW8">
        <f t="shared" si="8"/>
        <v>0</v>
      </c>
      <c r="AX8">
        <f t="shared" si="8"/>
        <v>0</v>
      </c>
      <c r="AY8">
        <f t="shared" si="8"/>
        <v>0</v>
      </c>
      <c r="AZ8">
        <f t="shared" si="8"/>
        <v>0</v>
      </c>
      <c r="BA8">
        <f t="shared" si="8"/>
        <v>0</v>
      </c>
      <c r="BB8">
        <f t="shared" si="8"/>
        <v>0</v>
      </c>
      <c r="BC8">
        <f t="shared" si="8"/>
        <v>0</v>
      </c>
      <c r="BD8">
        <f t="shared" si="8"/>
        <v>0</v>
      </c>
      <c r="BE8">
        <f t="shared" si="8"/>
        <v>0</v>
      </c>
      <c r="BF8">
        <f t="shared" si="8"/>
        <v>0</v>
      </c>
      <c r="BG8">
        <f t="shared" si="8"/>
        <v>0</v>
      </c>
      <c r="BH8">
        <f t="shared" si="8"/>
        <v>0</v>
      </c>
      <c r="BI8">
        <f t="shared" si="8"/>
        <v>0</v>
      </c>
      <c r="BJ8">
        <f t="shared" si="8"/>
        <v>0</v>
      </c>
      <c r="BK8">
        <f t="shared" si="8"/>
        <v>0</v>
      </c>
      <c r="BL8">
        <f t="shared" si="8"/>
        <v>0</v>
      </c>
      <c r="BM8">
        <f t="shared" si="8"/>
        <v>0</v>
      </c>
      <c r="BN8">
        <f t="shared" si="8"/>
        <v>0</v>
      </c>
      <c r="BO8">
        <f t="shared" si="8"/>
        <v>0</v>
      </c>
      <c r="BP8">
        <f t="shared" si="8"/>
        <v>0</v>
      </c>
      <c r="BQ8">
        <f t="shared" si="8"/>
        <v>0</v>
      </c>
      <c r="BR8">
        <f t="shared" si="8"/>
        <v>0</v>
      </c>
      <c r="BS8">
        <f t="shared" si="8"/>
        <v>0</v>
      </c>
      <c r="BT8">
        <f t="shared" si="8"/>
        <v>0</v>
      </c>
      <c r="BU8">
        <f t="shared" si="8"/>
        <v>0</v>
      </c>
      <c r="BV8">
        <f t="shared" si="8"/>
        <v>0</v>
      </c>
      <c r="BW8">
        <f t="shared" si="8"/>
        <v>0</v>
      </c>
      <c r="BX8">
        <f t="shared" si="8"/>
        <v>0</v>
      </c>
      <c r="BY8">
        <f t="shared" si="8"/>
        <v>0</v>
      </c>
      <c r="BZ8">
        <f t="shared" si="8"/>
        <v>0</v>
      </c>
      <c r="CA8">
        <f t="shared" si="8"/>
        <v>0</v>
      </c>
      <c r="CB8">
        <f t="shared" si="8"/>
        <v>0</v>
      </c>
      <c r="CC8">
        <f t="shared" si="8"/>
        <v>0</v>
      </c>
      <c r="CD8">
        <f t="shared" si="8"/>
        <v>0</v>
      </c>
      <c r="CE8">
        <f t="shared" si="8"/>
        <v>0</v>
      </c>
      <c r="CF8">
        <f t="shared" si="8"/>
        <v>0</v>
      </c>
      <c r="CG8">
        <f t="shared" si="8"/>
        <v>0</v>
      </c>
      <c r="CH8">
        <f t="shared" si="8"/>
        <v>0</v>
      </c>
      <c r="CI8">
        <f t="shared" si="8"/>
        <v>0</v>
      </c>
      <c r="CJ8">
        <f t="shared" si="8"/>
        <v>0</v>
      </c>
      <c r="CK8">
        <f t="shared" si="8"/>
        <v>0</v>
      </c>
      <c r="CL8">
        <f t="shared" si="8"/>
        <v>0</v>
      </c>
      <c r="CM8">
        <f t="shared" si="8"/>
        <v>0</v>
      </c>
      <c r="CN8">
        <f t="shared" si="8"/>
        <v>0</v>
      </c>
      <c r="CO8">
        <f t="shared" si="8"/>
        <v>0</v>
      </c>
      <c r="CP8">
        <f t="shared" si="8"/>
        <v>0</v>
      </c>
      <c r="CQ8">
        <f t="shared" si="8"/>
        <v>0</v>
      </c>
      <c r="CR8">
        <f t="shared" si="8"/>
        <v>0</v>
      </c>
      <c r="CS8">
        <f t="shared" si="8"/>
        <v>0</v>
      </c>
      <c r="CT8">
        <f t="shared" si="8"/>
        <v>0</v>
      </c>
      <c r="CU8">
        <f t="shared" ref="CU8:DF8" si="9">--AND(CU$4="Count",CU$3&gt;=$D$7,CU$3&lt;=$E$7)</f>
        <v>0</v>
      </c>
      <c r="CV8">
        <f t="shared" si="9"/>
        <v>0</v>
      </c>
      <c r="CW8">
        <f t="shared" si="9"/>
        <v>0</v>
      </c>
      <c r="CX8">
        <f t="shared" si="9"/>
        <v>0</v>
      </c>
      <c r="CY8">
        <f t="shared" si="9"/>
        <v>0</v>
      </c>
      <c r="CZ8">
        <f t="shared" si="9"/>
        <v>0</v>
      </c>
      <c r="DA8">
        <f t="shared" si="9"/>
        <v>0</v>
      </c>
      <c r="DB8">
        <f t="shared" si="9"/>
        <v>0</v>
      </c>
      <c r="DC8">
        <f t="shared" si="9"/>
        <v>0</v>
      </c>
      <c r="DD8">
        <f t="shared" si="9"/>
        <v>0</v>
      </c>
      <c r="DE8">
        <f t="shared" si="9"/>
        <v>0</v>
      </c>
      <c r="DF8">
        <f t="shared" si="9"/>
        <v>0</v>
      </c>
    </row>
    <row r="9" spans="1:110" x14ac:dyDescent="0.25">
      <c r="A9" t="str">
        <f>'Weekly Trend'!A117</f>
        <v>WK3</v>
      </c>
      <c r="B9" s="214">
        <f>'Weekly Trend'!B117</f>
        <v>46306</v>
      </c>
      <c r="C9" s="214">
        <f>'Weekly Trend'!C117</f>
        <v>46312</v>
      </c>
      <c r="D9" s="132">
        <f t="shared" si="6"/>
        <v>46306</v>
      </c>
      <c r="E9" s="132">
        <f t="shared" si="7"/>
        <v>46312</v>
      </c>
      <c r="AH9" t="s">
        <v>1225</v>
      </c>
      <c r="AI9">
        <f t="shared" ref="AI9:CT9" si="10">--AND(AI$4="Total",AI$3&gt;=$D$8,AI$3&lt;=$E$8)</f>
        <v>0</v>
      </c>
      <c r="AJ9">
        <f t="shared" si="10"/>
        <v>0</v>
      </c>
      <c r="AK9">
        <f t="shared" si="10"/>
        <v>0</v>
      </c>
      <c r="AL9">
        <f t="shared" si="10"/>
        <v>0</v>
      </c>
      <c r="AM9">
        <f t="shared" si="10"/>
        <v>0</v>
      </c>
      <c r="AN9">
        <f t="shared" si="10"/>
        <v>0</v>
      </c>
      <c r="AO9">
        <f t="shared" si="10"/>
        <v>1</v>
      </c>
      <c r="AP9">
        <f t="shared" si="10"/>
        <v>0</v>
      </c>
      <c r="AQ9">
        <f t="shared" si="10"/>
        <v>1</v>
      </c>
      <c r="AR9">
        <f t="shared" si="10"/>
        <v>0</v>
      </c>
      <c r="AS9">
        <f t="shared" si="10"/>
        <v>1</v>
      </c>
      <c r="AT9">
        <f t="shared" si="10"/>
        <v>0</v>
      </c>
      <c r="AU9">
        <f t="shared" si="10"/>
        <v>1</v>
      </c>
      <c r="AV9">
        <f t="shared" si="10"/>
        <v>0</v>
      </c>
      <c r="AW9">
        <f t="shared" si="10"/>
        <v>1</v>
      </c>
      <c r="AX9">
        <f t="shared" si="10"/>
        <v>0</v>
      </c>
      <c r="AY9">
        <f t="shared" si="10"/>
        <v>1</v>
      </c>
      <c r="AZ9">
        <f t="shared" si="10"/>
        <v>0</v>
      </c>
      <c r="BA9">
        <f t="shared" si="10"/>
        <v>1</v>
      </c>
      <c r="BB9">
        <f t="shared" si="10"/>
        <v>0</v>
      </c>
      <c r="BC9">
        <f t="shared" si="10"/>
        <v>0</v>
      </c>
      <c r="BD9">
        <f t="shared" si="10"/>
        <v>0</v>
      </c>
      <c r="BE9">
        <f t="shared" si="10"/>
        <v>0</v>
      </c>
      <c r="BF9">
        <f t="shared" si="10"/>
        <v>0</v>
      </c>
      <c r="BG9">
        <f t="shared" si="10"/>
        <v>0</v>
      </c>
      <c r="BH9">
        <f t="shared" si="10"/>
        <v>0</v>
      </c>
      <c r="BI9">
        <f t="shared" si="10"/>
        <v>0</v>
      </c>
      <c r="BJ9">
        <f t="shared" si="10"/>
        <v>0</v>
      </c>
      <c r="BK9">
        <f t="shared" si="10"/>
        <v>0</v>
      </c>
      <c r="BL9">
        <f t="shared" si="10"/>
        <v>0</v>
      </c>
      <c r="BM9">
        <f t="shared" si="10"/>
        <v>0</v>
      </c>
      <c r="BN9">
        <f t="shared" si="10"/>
        <v>0</v>
      </c>
      <c r="BO9">
        <f t="shared" si="10"/>
        <v>0</v>
      </c>
      <c r="BP9">
        <f t="shared" si="10"/>
        <v>0</v>
      </c>
      <c r="BQ9">
        <f t="shared" si="10"/>
        <v>0</v>
      </c>
      <c r="BR9">
        <f t="shared" si="10"/>
        <v>0</v>
      </c>
      <c r="BS9">
        <f t="shared" si="10"/>
        <v>0</v>
      </c>
      <c r="BT9">
        <f t="shared" si="10"/>
        <v>0</v>
      </c>
      <c r="BU9">
        <f t="shared" si="10"/>
        <v>0</v>
      </c>
      <c r="BV9">
        <f t="shared" si="10"/>
        <v>0</v>
      </c>
      <c r="BW9">
        <f t="shared" si="10"/>
        <v>0</v>
      </c>
      <c r="BX9">
        <f t="shared" si="10"/>
        <v>0</v>
      </c>
      <c r="BY9">
        <f t="shared" si="10"/>
        <v>0</v>
      </c>
      <c r="BZ9">
        <f t="shared" si="10"/>
        <v>0</v>
      </c>
      <c r="CA9">
        <f t="shared" si="10"/>
        <v>0</v>
      </c>
      <c r="CB9">
        <f t="shared" si="10"/>
        <v>0</v>
      </c>
      <c r="CC9">
        <f t="shared" si="10"/>
        <v>0</v>
      </c>
      <c r="CD9">
        <f t="shared" si="10"/>
        <v>0</v>
      </c>
      <c r="CE9">
        <f t="shared" si="10"/>
        <v>0</v>
      </c>
      <c r="CF9">
        <f t="shared" si="10"/>
        <v>0</v>
      </c>
      <c r="CG9">
        <f t="shared" si="10"/>
        <v>0</v>
      </c>
      <c r="CH9">
        <f t="shared" si="10"/>
        <v>0</v>
      </c>
      <c r="CI9">
        <f t="shared" si="10"/>
        <v>0</v>
      </c>
      <c r="CJ9">
        <f t="shared" si="10"/>
        <v>0</v>
      </c>
      <c r="CK9">
        <f t="shared" si="10"/>
        <v>0</v>
      </c>
      <c r="CL9">
        <f t="shared" si="10"/>
        <v>0</v>
      </c>
      <c r="CM9">
        <f t="shared" si="10"/>
        <v>0</v>
      </c>
      <c r="CN9">
        <f t="shared" si="10"/>
        <v>0</v>
      </c>
      <c r="CO9">
        <f t="shared" si="10"/>
        <v>0</v>
      </c>
      <c r="CP9">
        <f t="shared" si="10"/>
        <v>0</v>
      </c>
      <c r="CQ9">
        <f t="shared" si="10"/>
        <v>0</v>
      </c>
      <c r="CR9">
        <f t="shared" si="10"/>
        <v>0</v>
      </c>
      <c r="CS9">
        <f t="shared" si="10"/>
        <v>0</v>
      </c>
      <c r="CT9">
        <f t="shared" si="10"/>
        <v>0</v>
      </c>
      <c r="CU9">
        <f t="shared" ref="CU9:DF9" si="11">--AND(CU$4="Total",CU$3&gt;=$D$8,CU$3&lt;=$E$8)</f>
        <v>0</v>
      </c>
      <c r="CV9">
        <f t="shared" si="11"/>
        <v>0</v>
      </c>
      <c r="CW9">
        <f t="shared" si="11"/>
        <v>0</v>
      </c>
      <c r="CX9">
        <f t="shared" si="11"/>
        <v>0</v>
      </c>
      <c r="CY9">
        <f t="shared" si="11"/>
        <v>0</v>
      </c>
      <c r="CZ9">
        <f t="shared" si="11"/>
        <v>0</v>
      </c>
      <c r="DA9">
        <f t="shared" si="11"/>
        <v>0</v>
      </c>
      <c r="DB9">
        <f t="shared" si="11"/>
        <v>0</v>
      </c>
      <c r="DC9">
        <f t="shared" si="11"/>
        <v>0</v>
      </c>
      <c r="DD9">
        <f t="shared" si="11"/>
        <v>0</v>
      </c>
      <c r="DE9">
        <f t="shared" si="11"/>
        <v>0</v>
      </c>
      <c r="DF9">
        <f t="shared" si="11"/>
        <v>0</v>
      </c>
    </row>
    <row r="10" spans="1:110" x14ac:dyDescent="0.25">
      <c r="A10" t="str">
        <f>'Weekly Trend'!A118</f>
        <v>WK4</v>
      </c>
      <c r="B10" s="214">
        <f>'Weekly Trend'!B118</f>
        <v>46313</v>
      </c>
      <c r="C10" s="214">
        <f>'Weekly Trend'!C118</f>
        <v>46319</v>
      </c>
      <c r="D10" s="132">
        <f t="shared" si="6"/>
        <v>46313</v>
      </c>
      <c r="E10" s="132">
        <f t="shared" si="7"/>
        <v>46319</v>
      </c>
      <c r="AH10" t="s">
        <v>1226</v>
      </c>
      <c r="AI10">
        <f t="shared" ref="AI10:CT10" si="12">--AND(AI$4="Count",AI$3&gt;=$D$8,AI$3&lt;=$E$8)</f>
        <v>0</v>
      </c>
      <c r="AJ10">
        <f t="shared" si="12"/>
        <v>0</v>
      </c>
      <c r="AK10">
        <f t="shared" si="12"/>
        <v>0</v>
      </c>
      <c r="AL10">
        <f t="shared" si="12"/>
        <v>0</v>
      </c>
      <c r="AM10">
        <f t="shared" si="12"/>
        <v>0</v>
      </c>
      <c r="AN10">
        <f t="shared" si="12"/>
        <v>0</v>
      </c>
      <c r="AO10">
        <f t="shared" si="12"/>
        <v>0</v>
      </c>
      <c r="AP10">
        <f t="shared" si="12"/>
        <v>1</v>
      </c>
      <c r="AQ10">
        <f t="shared" si="12"/>
        <v>0</v>
      </c>
      <c r="AR10">
        <f t="shared" si="12"/>
        <v>1</v>
      </c>
      <c r="AS10">
        <f t="shared" si="12"/>
        <v>0</v>
      </c>
      <c r="AT10">
        <f t="shared" si="12"/>
        <v>1</v>
      </c>
      <c r="AU10">
        <f t="shared" si="12"/>
        <v>0</v>
      </c>
      <c r="AV10">
        <f t="shared" si="12"/>
        <v>1</v>
      </c>
      <c r="AW10">
        <f t="shared" si="12"/>
        <v>0</v>
      </c>
      <c r="AX10">
        <f t="shared" si="12"/>
        <v>1</v>
      </c>
      <c r="AY10">
        <f t="shared" si="12"/>
        <v>0</v>
      </c>
      <c r="AZ10">
        <f t="shared" si="12"/>
        <v>1</v>
      </c>
      <c r="BA10">
        <f t="shared" si="12"/>
        <v>0</v>
      </c>
      <c r="BB10">
        <f t="shared" si="12"/>
        <v>1</v>
      </c>
      <c r="BC10">
        <f t="shared" si="12"/>
        <v>0</v>
      </c>
      <c r="BD10">
        <f t="shared" si="12"/>
        <v>0</v>
      </c>
      <c r="BE10">
        <f t="shared" si="12"/>
        <v>0</v>
      </c>
      <c r="BF10">
        <f t="shared" si="12"/>
        <v>0</v>
      </c>
      <c r="BG10">
        <f t="shared" si="12"/>
        <v>0</v>
      </c>
      <c r="BH10">
        <f t="shared" si="12"/>
        <v>0</v>
      </c>
      <c r="BI10">
        <f t="shared" si="12"/>
        <v>0</v>
      </c>
      <c r="BJ10">
        <f t="shared" si="12"/>
        <v>0</v>
      </c>
      <c r="BK10">
        <f t="shared" si="12"/>
        <v>0</v>
      </c>
      <c r="BL10">
        <f t="shared" si="12"/>
        <v>0</v>
      </c>
      <c r="BM10">
        <f t="shared" si="12"/>
        <v>0</v>
      </c>
      <c r="BN10">
        <f t="shared" si="12"/>
        <v>0</v>
      </c>
      <c r="BO10">
        <f t="shared" si="12"/>
        <v>0</v>
      </c>
      <c r="BP10">
        <f t="shared" si="12"/>
        <v>0</v>
      </c>
      <c r="BQ10">
        <f t="shared" si="12"/>
        <v>0</v>
      </c>
      <c r="BR10">
        <f t="shared" si="12"/>
        <v>0</v>
      </c>
      <c r="BS10">
        <f t="shared" si="12"/>
        <v>0</v>
      </c>
      <c r="BT10">
        <f t="shared" si="12"/>
        <v>0</v>
      </c>
      <c r="BU10">
        <f t="shared" si="12"/>
        <v>0</v>
      </c>
      <c r="BV10">
        <f t="shared" si="12"/>
        <v>0</v>
      </c>
      <c r="BW10">
        <f t="shared" si="12"/>
        <v>0</v>
      </c>
      <c r="BX10">
        <f t="shared" si="12"/>
        <v>0</v>
      </c>
      <c r="BY10">
        <f t="shared" si="12"/>
        <v>0</v>
      </c>
      <c r="BZ10">
        <f t="shared" si="12"/>
        <v>0</v>
      </c>
      <c r="CA10">
        <f t="shared" si="12"/>
        <v>0</v>
      </c>
      <c r="CB10">
        <f t="shared" si="12"/>
        <v>0</v>
      </c>
      <c r="CC10">
        <f t="shared" si="12"/>
        <v>0</v>
      </c>
      <c r="CD10">
        <f t="shared" si="12"/>
        <v>0</v>
      </c>
      <c r="CE10">
        <f t="shared" si="12"/>
        <v>0</v>
      </c>
      <c r="CF10">
        <f t="shared" si="12"/>
        <v>0</v>
      </c>
      <c r="CG10">
        <f t="shared" si="12"/>
        <v>0</v>
      </c>
      <c r="CH10">
        <f t="shared" si="12"/>
        <v>0</v>
      </c>
      <c r="CI10">
        <f t="shared" si="12"/>
        <v>0</v>
      </c>
      <c r="CJ10">
        <f t="shared" si="12"/>
        <v>0</v>
      </c>
      <c r="CK10">
        <f t="shared" si="12"/>
        <v>0</v>
      </c>
      <c r="CL10">
        <f t="shared" si="12"/>
        <v>0</v>
      </c>
      <c r="CM10">
        <f t="shared" si="12"/>
        <v>0</v>
      </c>
      <c r="CN10">
        <f t="shared" si="12"/>
        <v>0</v>
      </c>
      <c r="CO10">
        <f t="shared" si="12"/>
        <v>0</v>
      </c>
      <c r="CP10">
        <f t="shared" si="12"/>
        <v>0</v>
      </c>
      <c r="CQ10">
        <f t="shared" si="12"/>
        <v>0</v>
      </c>
      <c r="CR10">
        <f t="shared" si="12"/>
        <v>0</v>
      </c>
      <c r="CS10">
        <f t="shared" si="12"/>
        <v>0</v>
      </c>
      <c r="CT10">
        <f t="shared" si="12"/>
        <v>0</v>
      </c>
      <c r="CU10">
        <f t="shared" ref="CU10:DF10" si="13">--AND(CU$4="Count",CU$3&gt;=$D$8,CU$3&lt;=$E$8)</f>
        <v>0</v>
      </c>
      <c r="CV10">
        <f t="shared" si="13"/>
        <v>0</v>
      </c>
      <c r="CW10">
        <f t="shared" si="13"/>
        <v>0</v>
      </c>
      <c r="CX10">
        <f t="shared" si="13"/>
        <v>0</v>
      </c>
      <c r="CY10">
        <f t="shared" si="13"/>
        <v>0</v>
      </c>
      <c r="CZ10">
        <f t="shared" si="13"/>
        <v>0</v>
      </c>
      <c r="DA10">
        <f t="shared" si="13"/>
        <v>0</v>
      </c>
      <c r="DB10">
        <f t="shared" si="13"/>
        <v>0</v>
      </c>
      <c r="DC10">
        <f t="shared" si="13"/>
        <v>0</v>
      </c>
      <c r="DD10">
        <f t="shared" si="13"/>
        <v>0</v>
      </c>
      <c r="DE10">
        <f t="shared" si="13"/>
        <v>0</v>
      </c>
      <c r="DF10">
        <f t="shared" si="13"/>
        <v>0</v>
      </c>
    </row>
    <row r="11" spans="1:110" x14ac:dyDescent="0.25">
      <c r="A11" t="str">
        <f>'Weekly Trend'!A119</f>
        <v>WK5</v>
      </c>
      <c r="B11" s="214">
        <f>'Weekly Trend'!B119</f>
        <v>46320</v>
      </c>
      <c r="C11" s="214">
        <f>'Weekly Trend'!C119</f>
        <v>46326</v>
      </c>
      <c r="D11" s="132">
        <f t="shared" si="6"/>
        <v>46320</v>
      </c>
      <c r="E11" s="132">
        <f t="shared" si="7"/>
        <v>46321</v>
      </c>
      <c r="AH11" t="s">
        <v>1227</v>
      </c>
      <c r="AI11">
        <f t="shared" ref="AI11:CT11" si="14">--AND(AI$4="Total",AI$3&gt;=$D$9,AI$3&lt;=$E$9)</f>
        <v>0</v>
      </c>
      <c r="AJ11">
        <f t="shared" si="14"/>
        <v>0</v>
      </c>
      <c r="AK11">
        <f t="shared" si="14"/>
        <v>0</v>
      </c>
      <c r="AL11">
        <f t="shared" si="14"/>
        <v>0</v>
      </c>
      <c r="AM11">
        <f t="shared" si="14"/>
        <v>0</v>
      </c>
      <c r="AN11">
        <f t="shared" si="14"/>
        <v>0</v>
      </c>
      <c r="AO11">
        <f t="shared" si="14"/>
        <v>0</v>
      </c>
      <c r="AP11">
        <f t="shared" si="14"/>
        <v>0</v>
      </c>
      <c r="AQ11">
        <f t="shared" si="14"/>
        <v>0</v>
      </c>
      <c r="AR11">
        <f t="shared" si="14"/>
        <v>0</v>
      </c>
      <c r="AS11">
        <f t="shared" si="14"/>
        <v>0</v>
      </c>
      <c r="AT11">
        <f t="shared" si="14"/>
        <v>0</v>
      </c>
      <c r="AU11">
        <f t="shared" si="14"/>
        <v>0</v>
      </c>
      <c r="AV11">
        <f t="shared" si="14"/>
        <v>0</v>
      </c>
      <c r="AW11">
        <f t="shared" si="14"/>
        <v>0</v>
      </c>
      <c r="AX11">
        <f t="shared" si="14"/>
        <v>0</v>
      </c>
      <c r="AY11">
        <f t="shared" si="14"/>
        <v>0</v>
      </c>
      <c r="AZ11">
        <f t="shared" si="14"/>
        <v>0</v>
      </c>
      <c r="BA11">
        <f t="shared" si="14"/>
        <v>0</v>
      </c>
      <c r="BB11">
        <f t="shared" si="14"/>
        <v>0</v>
      </c>
      <c r="BC11">
        <f t="shared" si="14"/>
        <v>1</v>
      </c>
      <c r="BD11">
        <f t="shared" si="14"/>
        <v>0</v>
      </c>
      <c r="BE11">
        <f t="shared" si="14"/>
        <v>1</v>
      </c>
      <c r="BF11">
        <f t="shared" si="14"/>
        <v>0</v>
      </c>
      <c r="BG11">
        <f t="shared" si="14"/>
        <v>1</v>
      </c>
      <c r="BH11">
        <f t="shared" si="14"/>
        <v>0</v>
      </c>
      <c r="BI11">
        <f t="shared" si="14"/>
        <v>1</v>
      </c>
      <c r="BJ11">
        <f t="shared" si="14"/>
        <v>0</v>
      </c>
      <c r="BK11">
        <f t="shared" si="14"/>
        <v>1</v>
      </c>
      <c r="BL11">
        <f t="shared" si="14"/>
        <v>0</v>
      </c>
      <c r="BM11">
        <f t="shared" si="14"/>
        <v>1</v>
      </c>
      <c r="BN11">
        <f t="shared" si="14"/>
        <v>0</v>
      </c>
      <c r="BO11">
        <f t="shared" si="14"/>
        <v>1</v>
      </c>
      <c r="BP11">
        <f t="shared" si="14"/>
        <v>0</v>
      </c>
      <c r="BQ11">
        <f t="shared" si="14"/>
        <v>0</v>
      </c>
      <c r="BR11">
        <f t="shared" si="14"/>
        <v>0</v>
      </c>
      <c r="BS11">
        <f t="shared" si="14"/>
        <v>0</v>
      </c>
      <c r="BT11">
        <f t="shared" si="14"/>
        <v>0</v>
      </c>
      <c r="BU11">
        <f t="shared" si="14"/>
        <v>0</v>
      </c>
      <c r="BV11">
        <f t="shared" si="14"/>
        <v>0</v>
      </c>
      <c r="BW11">
        <f t="shared" si="14"/>
        <v>0</v>
      </c>
      <c r="BX11">
        <f t="shared" si="14"/>
        <v>0</v>
      </c>
      <c r="BY11">
        <f t="shared" si="14"/>
        <v>0</v>
      </c>
      <c r="BZ11">
        <f t="shared" si="14"/>
        <v>0</v>
      </c>
      <c r="CA11">
        <f t="shared" si="14"/>
        <v>0</v>
      </c>
      <c r="CB11">
        <f t="shared" si="14"/>
        <v>0</v>
      </c>
      <c r="CC11">
        <f t="shared" si="14"/>
        <v>0</v>
      </c>
      <c r="CD11">
        <f t="shared" si="14"/>
        <v>0</v>
      </c>
      <c r="CE11">
        <f t="shared" si="14"/>
        <v>0</v>
      </c>
      <c r="CF11">
        <f t="shared" si="14"/>
        <v>0</v>
      </c>
      <c r="CG11">
        <f t="shared" si="14"/>
        <v>0</v>
      </c>
      <c r="CH11">
        <f t="shared" si="14"/>
        <v>0</v>
      </c>
      <c r="CI11">
        <f t="shared" si="14"/>
        <v>0</v>
      </c>
      <c r="CJ11">
        <f t="shared" si="14"/>
        <v>0</v>
      </c>
      <c r="CK11">
        <f t="shared" si="14"/>
        <v>0</v>
      </c>
      <c r="CL11">
        <f t="shared" si="14"/>
        <v>0</v>
      </c>
      <c r="CM11">
        <f t="shared" si="14"/>
        <v>0</v>
      </c>
      <c r="CN11">
        <f t="shared" si="14"/>
        <v>0</v>
      </c>
      <c r="CO11">
        <f t="shared" si="14"/>
        <v>0</v>
      </c>
      <c r="CP11">
        <f t="shared" si="14"/>
        <v>0</v>
      </c>
      <c r="CQ11">
        <f t="shared" si="14"/>
        <v>0</v>
      </c>
      <c r="CR11">
        <f t="shared" si="14"/>
        <v>0</v>
      </c>
      <c r="CS11">
        <f t="shared" si="14"/>
        <v>0</v>
      </c>
      <c r="CT11">
        <f t="shared" si="14"/>
        <v>0</v>
      </c>
      <c r="CU11">
        <f t="shared" ref="CU11:DF11" si="15">--AND(CU$4="Total",CU$3&gt;=$D$9,CU$3&lt;=$E$9)</f>
        <v>0</v>
      </c>
      <c r="CV11">
        <f t="shared" si="15"/>
        <v>0</v>
      </c>
      <c r="CW11">
        <f t="shared" si="15"/>
        <v>0</v>
      </c>
      <c r="CX11">
        <f t="shared" si="15"/>
        <v>0</v>
      </c>
      <c r="CY11">
        <f t="shared" si="15"/>
        <v>0</v>
      </c>
      <c r="CZ11">
        <f t="shared" si="15"/>
        <v>0</v>
      </c>
      <c r="DA11">
        <f t="shared" si="15"/>
        <v>0</v>
      </c>
      <c r="DB11">
        <f t="shared" si="15"/>
        <v>0</v>
      </c>
      <c r="DC11">
        <f t="shared" si="15"/>
        <v>0</v>
      </c>
      <c r="DD11">
        <f t="shared" si="15"/>
        <v>0</v>
      </c>
      <c r="DE11">
        <f t="shared" si="15"/>
        <v>0</v>
      </c>
      <c r="DF11">
        <f t="shared" si="15"/>
        <v>0</v>
      </c>
    </row>
    <row r="12" spans="1:110" x14ac:dyDescent="0.25">
      <c r="AH12" t="s">
        <v>1228</v>
      </c>
      <c r="AI12">
        <f t="shared" ref="AI12:CT12" si="16">--AND(AI$4="Count",AI$3&gt;=$D$9,AI$3&lt;=$E$9)</f>
        <v>0</v>
      </c>
      <c r="AJ12">
        <f t="shared" si="16"/>
        <v>0</v>
      </c>
      <c r="AK12">
        <f t="shared" si="16"/>
        <v>0</v>
      </c>
      <c r="AL12">
        <f t="shared" si="16"/>
        <v>0</v>
      </c>
      <c r="AM12">
        <f t="shared" si="16"/>
        <v>0</v>
      </c>
      <c r="AN12">
        <f t="shared" si="16"/>
        <v>0</v>
      </c>
      <c r="AO12">
        <f t="shared" si="16"/>
        <v>0</v>
      </c>
      <c r="AP12">
        <f t="shared" si="16"/>
        <v>0</v>
      </c>
      <c r="AQ12">
        <f t="shared" si="16"/>
        <v>0</v>
      </c>
      <c r="AR12">
        <f t="shared" si="16"/>
        <v>0</v>
      </c>
      <c r="AS12">
        <f t="shared" si="16"/>
        <v>0</v>
      </c>
      <c r="AT12">
        <f t="shared" si="16"/>
        <v>0</v>
      </c>
      <c r="AU12">
        <f t="shared" si="16"/>
        <v>0</v>
      </c>
      <c r="AV12">
        <f t="shared" si="16"/>
        <v>0</v>
      </c>
      <c r="AW12">
        <f t="shared" si="16"/>
        <v>0</v>
      </c>
      <c r="AX12">
        <f t="shared" si="16"/>
        <v>0</v>
      </c>
      <c r="AY12">
        <f t="shared" si="16"/>
        <v>0</v>
      </c>
      <c r="AZ12">
        <f t="shared" si="16"/>
        <v>0</v>
      </c>
      <c r="BA12">
        <f t="shared" si="16"/>
        <v>0</v>
      </c>
      <c r="BB12">
        <f t="shared" si="16"/>
        <v>0</v>
      </c>
      <c r="BC12">
        <f t="shared" si="16"/>
        <v>0</v>
      </c>
      <c r="BD12">
        <f t="shared" si="16"/>
        <v>1</v>
      </c>
      <c r="BE12">
        <f t="shared" si="16"/>
        <v>0</v>
      </c>
      <c r="BF12">
        <f t="shared" si="16"/>
        <v>1</v>
      </c>
      <c r="BG12">
        <f t="shared" si="16"/>
        <v>0</v>
      </c>
      <c r="BH12">
        <f t="shared" si="16"/>
        <v>1</v>
      </c>
      <c r="BI12">
        <f t="shared" si="16"/>
        <v>0</v>
      </c>
      <c r="BJ12">
        <f t="shared" si="16"/>
        <v>1</v>
      </c>
      <c r="BK12">
        <f t="shared" si="16"/>
        <v>0</v>
      </c>
      <c r="BL12">
        <f t="shared" si="16"/>
        <v>1</v>
      </c>
      <c r="BM12">
        <f t="shared" si="16"/>
        <v>0</v>
      </c>
      <c r="BN12">
        <f t="shared" si="16"/>
        <v>1</v>
      </c>
      <c r="BO12">
        <f t="shared" si="16"/>
        <v>0</v>
      </c>
      <c r="BP12">
        <f t="shared" si="16"/>
        <v>1</v>
      </c>
      <c r="BQ12">
        <f t="shared" si="16"/>
        <v>0</v>
      </c>
      <c r="BR12">
        <f t="shared" si="16"/>
        <v>0</v>
      </c>
      <c r="BS12">
        <f t="shared" si="16"/>
        <v>0</v>
      </c>
      <c r="BT12">
        <f t="shared" si="16"/>
        <v>0</v>
      </c>
      <c r="BU12">
        <f t="shared" si="16"/>
        <v>0</v>
      </c>
      <c r="BV12">
        <f t="shared" si="16"/>
        <v>0</v>
      </c>
      <c r="BW12">
        <f t="shared" si="16"/>
        <v>0</v>
      </c>
      <c r="BX12">
        <f t="shared" si="16"/>
        <v>0</v>
      </c>
      <c r="BY12">
        <f t="shared" si="16"/>
        <v>0</v>
      </c>
      <c r="BZ12">
        <f t="shared" si="16"/>
        <v>0</v>
      </c>
      <c r="CA12">
        <f t="shared" si="16"/>
        <v>0</v>
      </c>
      <c r="CB12">
        <f t="shared" si="16"/>
        <v>0</v>
      </c>
      <c r="CC12">
        <f t="shared" si="16"/>
        <v>0</v>
      </c>
      <c r="CD12">
        <f t="shared" si="16"/>
        <v>0</v>
      </c>
      <c r="CE12">
        <f t="shared" si="16"/>
        <v>0</v>
      </c>
      <c r="CF12">
        <f t="shared" si="16"/>
        <v>0</v>
      </c>
      <c r="CG12">
        <f t="shared" si="16"/>
        <v>0</v>
      </c>
      <c r="CH12">
        <f t="shared" si="16"/>
        <v>0</v>
      </c>
      <c r="CI12">
        <f t="shared" si="16"/>
        <v>0</v>
      </c>
      <c r="CJ12">
        <f t="shared" si="16"/>
        <v>0</v>
      </c>
      <c r="CK12">
        <f t="shared" si="16"/>
        <v>0</v>
      </c>
      <c r="CL12">
        <f t="shared" si="16"/>
        <v>0</v>
      </c>
      <c r="CM12">
        <f t="shared" si="16"/>
        <v>0</v>
      </c>
      <c r="CN12">
        <f t="shared" si="16"/>
        <v>0</v>
      </c>
      <c r="CO12">
        <f t="shared" si="16"/>
        <v>0</v>
      </c>
      <c r="CP12">
        <f t="shared" si="16"/>
        <v>0</v>
      </c>
      <c r="CQ12">
        <f t="shared" si="16"/>
        <v>0</v>
      </c>
      <c r="CR12">
        <f t="shared" si="16"/>
        <v>0</v>
      </c>
      <c r="CS12">
        <f t="shared" si="16"/>
        <v>0</v>
      </c>
      <c r="CT12">
        <f t="shared" si="16"/>
        <v>0</v>
      </c>
      <c r="CU12">
        <f t="shared" ref="CU12:DF12" si="17">--AND(CU$4="Count",CU$3&gt;=$D$9,CU$3&lt;=$E$9)</f>
        <v>0</v>
      </c>
      <c r="CV12">
        <f t="shared" si="17"/>
        <v>0</v>
      </c>
      <c r="CW12">
        <f t="shared" si="17"/>
        <v>0</v>
      </c>
      <c r="CX12">
        <f t="shared" si="17"/>
        <v>0</v>
      </c>
      <c r="CY12">
        <f t="shared" si="17"/>
        <v>0</v>
      </c>
      <c r="CZ12">
        <f t="shared" si="17"/>
        <v>0</v>
      </c>
      <c r="DA12">
        <f t="shared" si="17"/>
        <v>0</v>
      </c>
      <c r="DB12">
        <f t="shared" si="17"/>
        <v>0</v>
      </c>
      <c r="DC12">
        <f t="shared" si="17"/>
        <v>0</v>
      </c>
      <c r="DD12">
        <f t="shared" si="17"/>
        <v>0</v>
      </c>
      <c r="DE12">
        <f t="shared" si="17"/>
        <v>0</v>
      </c>
      <c r="DF12">
        <f t="shared" si="17"/>
        <v>0</v>
      </c>
    </row>
    <row r="13" spans="1:110" x14ac:dyDescent="0.25">
      <c r="A13" t="s">
        <v>1216</v>
      </c>
      <c r="B13">
        <f>SUMIFS($F$20:$F$1515,$E$20:$E$1515,1)</f>
        <v>576048.26999999967</v>
      </c>
      <c r="AH13" t="s">
        <v>1229</v>
      </c>
      <c r="AI13">
        <f t="shared" ref="AI13:CT13" si="18">--AND(AI$4="Total",AI$3&gt;=$D$10,AI$3&lt;=$E$10)</f>
        <v>0</v>
      </c>
      <c r="AJ13">
        <f t="shared" si="18"/>
        <v>0</v>
      </c>
      <c r="AK13">
        <f t="shared" si="18"/>
        <v>0</v>
      </c>
      <c r="AL13">
        <f t="shared" si="18"/>
        <v>0</v>
      </c>
      <c r="AM13">
        <f t="shared" si="18"/>
        <v>0</v>
      </c>
      <c r="AN13">
        <f t="shared" si="18"/>
        <v>0</v>
      </c>
      <c r="AO13">
        <f t="shared" si="18"/>
        <v>0</v>
      </c>
      <c r="AP13">
        <f t="shared" si="18"/>
        <v>0</v>
      </c>
      <c r="AQ13">
        <f t="shared" si="18"/>
        <v>0</v>
      </c>
      <c r="AR13">
        <f t="shared" si="18"/>
        <v>0</v>
      </c>
      <c r="AS13">
        <f t="shared" si="18"/>
        <v>0</v>
      </c>
      <c r="AT13">
        <f t="shared" si="18"/>
        <v>0</v>
      </c>
      <c r="AU13">
        <f t="shared" si="18"/>
        <v>0</v>
      </c>
      <c r="AV13">
        <f t="shared" si="18"/>
        <v>0</v>
      </c>
      <c r="AW13">
        <f t="shared" si="18"/>
        <v>0</v>
      </c>
      <c r="AX13">
        <f t="shared" si="18"/>
        <v>0</v>
      </c>
      <c r="AY13">
        <f t="shared" si="18"/>
        <v>0</v>
      </c>
      <c r="AZ13">
        <f t="shared" si="18"/>
        <v>0</v>
      </c>
      <c r="BA13">
        <f t="shared" si="18"/>
        <v>0</v>
      </c>
      <c r="BB13">
        <f t="shared" si="18"/>
        <v>0</v>
      </c>
      <c r="BC13">
        <f t="shared" si="18"/>
        <v>0</v>
      </c>
      <c r="BD13">
        <f t="shared" si="18"/>
        <v>0</v>
      </c>
      <c r="BE13">
        <f t="shared" si="18"/>
        <v>0</v>
      </c>
      <c r="BF13">
        <f t="shared" si="18"/>
        <v>0</v>
      </c>
      <c r="BG13">
        <f t="shared" si="18"/>
        <v>0</v>
      </c>
      <c r="BH13">
        <f t="shared" si="18"/>
        <v>0</v>
      </c>
      <c r="BI13">
        <f t="shared" si="18"/>
        <v>0</v>
      </c>
      <c r="BJ13">
        <f t="shared" si="18"/>
        <v>0</v>
      </c>
      <c r="BK13">
        <f t="shared" si="18"/>
        <v>0</v>
      </c>
      <c r="BL13">
        <f t="shared" si="18"/>
        <v>0</v>
      </c>
      <c r="BM13">
        <f t="shared" si="18"/>
        <v>0</v>
      </c>
      <c r="BN13">
        <f t="shared" si="18"/>
        <v>0</v>
      </c>
      <c r="BO13">
        <f t="shared" si="18"/>
        <v>0</v>
      </c>
      <c r="BP13">
        <f t="shared" si="18"/>
        <v>0</v>
      </c>
      <c r="BQ13">
        <f t="shared" si="18"/>
        <v>1</v>
      </c>
      <c r="BR13">
        <f t="shared" si="18"/>
        <v>0</v>
      </c>
      <c r="BS13">
        <f t="shared" si="18"/>
        <v>1</v>
      </c>
      <c r="BT13">
        <f t="shared" si="18"/>
        <v>0</v>
      </c>
      <c r="BU13">
        <f t="shared" si="18"/>
        <v>1</v>
      </c>
      <c r="BV13">
        <f t="shared" si="18"/>
        <v>0</v>
      </c>
      <c r="BW13">
        <f t="shared" si="18"/>
        <v>1</v>
      </c>
      <c r="BX13">
        <f t="shared" si="18"/>
        <v>0</v>
      </c>
      <c r="BY13">
        <f t="shared" si="18"/>
        <v>1</v>
      </c>
      <c r="BZ13">
        <f t="shared" si="18"/>
        <v>0</v>
      </c>
      <c r="CA13">
        <f t="shared" si="18"/>
        <v>1</v>
      </c>
      <c r="CB13">
        <f t="shared" si="18"/>
        <v>0</v>
      </c>
      <c r="CC13">
        <f t="shared" si="18"/>
        <v>1</v>
      </c>
      <c r="CD13">
        <f t="shared" si="18"/>
        <v>0</v>
      </c>
      <c r="CE13">
        <f t="shared" si="18"/>
        <v>0</v>
      </c>
      <c r="CF13">
        <f t="shared" si="18"/>
        <v>0</v>
      </c>
      <c r="CG13">
        <f t="shared" si="18"/>
        <v>0</v>
      </c>
      <c r="CH13">
        <f t="shared" si="18"/>
        <v>0</v>
      </c>
      <c r="CI13">
        <f t="shared" si="18"/>
        <v>0</v>
      </c>
      <c r="CJ13">
        <f t="shared" si="18"/>
        <v>0</v>
      </c>
      <c r="CK13">
        <f t="shared" si="18"/>
        <v>0</v>
      </c>
      <c r="CL13">
        <f t="shared" si="18"/>
        <v>0</v>
      </c>
      <c r="CM13">
        <f t="shared" si="18"/>
        <v>0</v>
      </c>
      <c r="CN13">
        <f t="shared" si="18"/>
        <v>0</v>
      </c>
      <c r="CO13">
        <f t="shared" si="18"/>
        <v>0</v>
      </c>
      <c r="CP13">
        <f t="shared" si="18"/>
        <v>0</v>
      </c>
      <c r="CQ13">
        <f t="shared" si="18"/>
        <v>0</v>
      </c>
      <c r="CR13">
        <f t="shared" si="18"/>
        <v>0</v>
      </c>
      <c r="CS13">
        <f t="shared" si="18"/>
        <v>0</v>
      </c>
      <c r="CT13">
        <f t="shared" si="18"/>
        <v>0</v>
      </c>
      <c r="CU13">
        <f t="shared" ref="CU13:DF13" si="19">--AND(CU$4="Total",CU$3&gt;=$D$10,CU$3&lt;=$E$10)</f>
        <v>0</v>
      </c>
      <c r="CV13">
        <f t="shared" si="19"/>
        <v>0</v>
      </c>
      <c r="CW13">
        <f t="shared" si="19"/>
        <v>0</v>
      </c>
      <c r="CX13">
        <f t="shared" si="19"/>
        <v>0</v>
      </c>
      <c r="CY13">
        <f t="shared" si="19"/>
        <v>0</v>
      </c>
      <c r="CZ13">
        <f t="shared" si="19"/>
        <v>0</v>
      </c>
      <c r="DA13">
        <f t="shared" si="19"/>
        <v>0</v>
      </c>
      <c r="DB13">
        <f t="shared" si="19"/>
        <v>0</v>
      </c>
      <c r="DC13">
        <f t="shared" si="19"/>
        <v>0</v>
      </c>
      <c r="DD13">
        <f t="shared" si="19"/>
        <v>0</v>
      </c>
      <c r="DE13">
        <f t="shared" si="19"/>
        <v>0</v>
      </c>
      <c r="DF13">
        <f t="shared" si="19"/>
        <v>0</v>
      </c>
    </row>
    <row r="14" spans="1:110" x14ac:dyDescent="0.25">
      <c r="A14" t="s">
        <v>1217</v>
      </c>
      <c r="B14">
        <f>SUMIFS($G$20:$G$1515,$E$20:$E$1515,1)</f>
        <v>2996</v>
      </c>
      <c r="AH14" t="s">
        <v>1230</v>
      </c>
      <c r="AI14">
        <f t="shared" ref="AI14:CT14" si="20">--AND(AI$4="Count",AI$3&gt;=$D$10,AI$3&lt;=$E$10)</f>
        <v>0</v>
      </c>
      <c r="AJ14">
        <f t="shared" si="20"/>
        <v>0</v>
      </c>
      <c r="AK14">
        <f t="shared" si="20"/>
        <v>0</v>
      </c>
      <c r="AL14">
        <f t="shared" si="20"/>
        <v>0</v>
      </c>
      <c r="AM14">
        <f t="shared" si="20"/>
        <v>0</v>
      </c>
      <c r="AN14">
        <f t="shared" si="20"/>
        <v>0</v>
      </c>
      <c r="AO14">
        <f t="shared" si="20"/>
        <v>0</v>
      </c>
      <c r="AP14">
        <f t="shared" si="20"/>
        <v>0</v>
      </c>
      <c r="AQ14">
        <f t="shared" si="20"/>
        <v>0</v>
      </c>
      <c r="AR14">
        <f t="shared" si="20"/>
        <v>0</v>
      </c>
      <c r="AS14">
        <f t="shared" si="20"/>
        <v>0</v>
      </c>
      <c r="AT14">
        <f t="shared" si="20"/>
        <v>0</v>
      </c>
      <c r="AU14">
        <f t="shared" si="20"/>
        <v>0</v>
      </c>
      <c r="AV14">
        <f t="shared" si="20"/>
        <v>0</v>
      </c>
      <c r="AW14">
        <f t="shared" si="20"/>
        <v>0</v>
      </c>
      <c r="AX14">
        <f t="shared" si="20"/>
        <v>0</v>
      </c>
      <c r="AY14">
        <f t="shared" si="20"/>
        <v>0</v>
      </c>
      <c r="AZ14">
        <f t="shared" si="20"/>
        <v>0</v>
      </c>
      <c r="BA14">
        <f t="shared" si="20"/>
        <v>0</v>
      </c>
      <c r="BB14">
        <f t="shared" si="20"/>
        <v>0</v>
      </c>
      <c r="BC14">
        <f t="shared" si="20"/>
        <v>0</v>
      </c>
      <c r="BD14">
        <f t="shared" si="20"/>
        <v>0</v>
      </c>
      <c r="BE14">
        <f t="shared" si="20"/>
        <v>0</v>
      </c>
      <c r="BF14">
        <f t="shared" si="20"/>
        <v>0</v>
      </c>
      <c r="BG14">
        <f t="shared" si="20"/>
        <v>0</v>
      </c>
      <c r="BH14">
        <f t="shared" si="20"/>
        <v>0</v>
      </c>
      <c r="BI14">
        <f t="shared" si="20"/>
        <v>0</v>
      </c>
      <c r="BJ14">
        <f t="shared" si="20"/>
        <v>0</v>
      </c>
      <c r="BK14">
        <f t="shared" si="20"/>
        <v>0</v>
      </c>
      <c r="BL14">
        <f t="shared" si="20"/>
        <v>0</v>
      </c>
      <c r="BM14">
        <f t="shared" si="20"/>
        <v>0</v>
      </c>
      <c r="BN14">
        <f t="shared" si="20"/>
        <v>0</v>
      </c>
      <c r="BO14">
        <f t="shared" si="20"/>
        <v>0</v>
      </c>
      <c r="BP14">
        <f t="shared" si="20"/>
        <v>0</v>
      </c>
      <c r="BQ14">
        <f t="shared" si="20"/>
        <v>0</v>
      </c>
      <c r="BR14">
        <f t="shared" si="20"/>
        <v>1</v>
      </c>
      <c r="BS14">
        <f t="shared" si="20"/>
        <v>0</v>
      </c>
      <c r="BT14">
        <f t="shared" si="20"/>
        <v>1</v>
      </c>
      <c r="BU14">
        <f t="shared" si="20"/>
        <v>0</v>
      </c>
      <c r="BV14">
        <f t="shared" si="20"/>
        <v>1</v>
      </c>
      <c r="BW14">
        <f t="shared" si="20"/>
        <v>0</v>
      </c>
      <c r="BX14">
        <f t="shared" si="20"/>
        <v>1</v>
      </c>
      <c r="BY14">
        <f t="shared" si="20"/>
        <v>0</v>
      </c>
      <c r="BZ14">
        <f t="shared" si="20"/>
        <v>1</v>
      </c>
      <c r="CA14">
        <f t="shared" si="20"/>
        <v>0</v>
      </c>
      <c r="CB14">
        <f t="shared" si="20"/>
        <v>1</v>
      </c>
      <c r="CC14">
        <f t="shared" si="20"/>
        <v>0</v>
      </c>
      <c r="CD14">
        <f t="shared" si="20"/>
        <v>1</v>
      </c>
      <c r="CE14">
        <f t="shared" si="20"/>
        <v>0</v>
      </c>
      <c r="CF14">
        <f t="shared" si="20"/>
        <v>0</v>
      </c>
      <c r="CG14">
        <f t="shared" si="20"/>
        <v>0</v>
      </c>
      <c r="CH14">
        <f t="shared" si="20"/>
        <v>0</v>
      </c>
      <c r="CI14">
        <f t="shared" si="20"/>
        <v>0</v>
      </c>
      <c r="CJ14">
        <f t="shared" si="20"/>
        <v>0</v>
      </c>
      <c r="CK14">
        <f t="shared" si="20"/>
        <v>0</v>
      </c>
      <c r="CL14">
        <f t="shared" si="20"/>
        <v>0</v>
      </c>
      <c r="CM14">
        <f t="shared" si="20"/>
        <v>0</v>
      </c>
      <c r="CN14">
        <f t="shared" si="20"/>
        <v>0</v>
      </c>
      <c r="CO14">
        <f t="shared" si="20"/>
        <v>0</v>
      </c>
      <c r="CP14">
        <f t="shared" si="20"/>
        <v>0</v>
      </c>
      <c r="CQ14">
        <f t="shared" si="20"/>
        <v>0</v>
      </c>
      <c r="CR14">
        <f t="shared" si="20"/>
        <v>0</v>
      </c>
      <c r="CS14">
        <f t="shared" si="20"/>
        <v>0</v>
      </c>
      <c r="CT14">
        <f t="shared" si="20"/>
        <v>0</v>
      </c>
      <c r="CU14">
        <f t="shared" ref="CU14:DF14" si="21">--AND(CU$4="Count",CU$3&gt;=$D$10,CU$3&lt;=$E$10)</f>
        <v>0</v>
      </c>
      <c r="CV14">
        <f t="shared" si="21"/>
        <v>0</v>
      </c>
      <c r="CW14">
        <f t="shared" si="21"/>
        <v>0</v>
      </c>
      <c r="CX14">
        <f t="shared" si="21"/>
        <v>0</v>
      </c>
      <c r="CY14">
        <f t="shared" si="21"/>
        <v>0</v>
      </c>
      <c r="CZ14">
        <f t="shared" si="21"/>
        <v>0</v>
      </c>
      <c r="DA14">
        <f t="shared" si="21"/>
        <v>0</v>
      </c>
      <c r="DB14">
        <f t="shared" si="21"/>
        <v>0</v>
      </c>
      <c r="DC14">
        <f t="shared" si="21"/>
        <v>0</v>
      </c>
      <c r="DD14">
        <f t="shared" si="21"/>
        <v>0</v>
      </c>
      <c r="DE14">
        <f t="shared" si="21"/>
        <v>0</v>
      </c>
      <c r="DF14">
        <f t="shared" si="21"/>
        <v>0</v>
      </c>
    </row>
    <row r="15" spans="1:110" x14ac:dyDescent="0.25">
      <c r="A15" t="s">
        <v>1218</v>
      </c>
      <c r="B15">
        <f>IFERROR(B13/B14,0)</f>
        <v>192.27245327102793</v>
      </c>
      <c r="AH15" t="s">
        <v>1231</v>
      </c>
      <c r="AI15">
        <f t="shared" ref="AI15:CT15" si="22">--AND(AI$4="Total",AI$3&gt;=$D$11,AI$3&lt;=$E$11)</f>
        <v>0</v>
      </c>
      <c r="AJ15">
        <f t="shared" si="22"/>
        <v>0</v>
      </c>
      <c r="AK15">
        <f t="shared" si="22"/>
        <v>0</v>
      </c>
      <c r="AL15">
        <f t="shared" si="22"/>
        <v>0</v>
      </c>
      <c r="AM15">
        <f t="shared" si="22"/>
        <v>0</v>
      </c>
      <c r="AN15">
        <f t="shared" si="22"/>
        <v>0</v>
      </c>
      <c r="AO15">
        <f t="shared" si="22"/>
        <v>0</v>
      </c>
      <c r="AP15">
        <f t="shared" si="22"/>
        <v>0</v>
      </c>
      <c r="AQ15">
        <f t="shared" si="22"/>
        <v>0</v>
      </c>
      <c r="AR15">
        <f t="shared" si="22"/>
        <v>0</v>
      </c>
      <c r="AS15">
        <f t="shared" si="22"/>
        <v>0</v>
      </c>
      <c r="AT15">
        <f t="shared" si="22"/>
        <v>0</v>
      </c>
      <c r="AU15">
        <f t="shared" si="22"/>
        <v>0</v>
      </c>
      <c r="AV15">
        <f t="shared" si="22"/>
        <v>0</v>
      </c>
      <c r="AW15">
        <f t="shared" si="22"/>
        <v>0</v>
      </c>
      <c r="AX15">
        <f t="shared" si="22"/>
        <v>0</v>
      </c>
      <c r="AY15">
        <f t="shared" si="22"/>
        <v>0</v>
      </c>
      <c r="AZ15">
        <f t="shared" si="22"/>
        <v>0</v>
      </c>
      <c r="BA15">
        <f t="shared" si="22"/>
        <v>0</v>
      </c>
      <c r="BB15">
        <f t="shared" si="22"/>
        <v>0</v>
      </c>
      <c r="BC15">
        <f t="shared" si="22"/>
        <v>0</v>
      </c>
      <c r="BD15">
        <f t="shared" si="22"/>
        <v>0</v>
      </c>
      <c r="BE15">
        <f t="shared" si="22"/>
        <v>0</v>
      </c>
      <c r="BF15">
        <f t="shared" si="22"/>
        <v>0</v>
      </c>
      <c r="BG15">
        <f t="shared" si="22"/>
        <v>0</v>
      </c>
      <c r="BH15">
        <f t="shared" si="22"/>
        <v>0</v>
      </c>
      <c r="BI15">
        <f t="shared" si="22"/>
        <v>0</v>
      </c>
      <c r="BJ15">
        <f t="shared" si="22"/>
        <v>0</v>
      </c>
      <c r="BK15">
        <f t="shared" si="22"/>
        <v>0</v>
      </c>
      <c r="BL15">
        <f t="shared" si="22"/>
        <v>0</v>
      </c>
      <c r="BM15">
        <f t="shared" si="22"/>
        <v>0</v>
      </c>
      <c r="BN15">
        <f t="shared" si="22"/>
        <v>0</v>
      </c>
      <c r="BO15">
        <f t="shared" si="22"/>
        <v>0</v>
      </c>
      <c r="BP15">
        <f t="shared" si="22"/>
        <v>0</v>
      </c>
      <c r="BQ15">
        <f t="shared" si="22"/>
        <v>0</v>
      </c>
      <c r="BR15">
        <f t="shared" si="22"/>
        <v>0</v>
      </c>
      <c r="BS15">
        <f t="shared" si="22"/>
        <v>0</v>
      </c>
      <c r="BT15">
        <f t="shared" si="22"/>
        <v>0</v>
      </c>
      <c r="BU15">
        <f t="shared" si="22"/>
        <v>0</v>
      </c>
      <c r="BV15">
        <f t="shared" si="22"/>
        <v>0</v>
      </c>
      <c r="BW15">
        <f t="shared" si="22"/>
        <v>0</v>
      </c>
      <c r="BX15">
        <f t="shared" si="22"/>
        <v>0</v>
      </c>
      <c r="BY15">
        <f t="shared" si="22"/>
        <v>0</v>
      </c>
      <c r="BZ15">
        <f t="shared" si="22"/>
        <v>0</v>
      </c>
      <c r="CA15">
        <f t="shared" si="22"/>
        <v>0</v>
      </c>
      <c r="CB15">
        <f t="shared" si="22"/>
        <v>0</v>
      </c>
      <c r="CC15">
        <f t="shared" si="22"/>
        <v>0</v>
      </c>
      <c r="CD15">
        <f t="shared" si="22"/>
        <v>0</v>
      </c>
      <c r="CE15">
        <f t="shared" si="22"/>
        <v>1</v>
      </c>
      <c r="CF15">
        <f t="shared" si="22"/>
        <v>0</v>
      </c>
      <c r="CG15">
        <f t="shared" si="22"/>
        <v>1</v>
      </c>
      <c r="CH15">
        <f t="shared" si="22"/>
        <v>0</v>
      </c>
      <c r="CI15">
        <f t="shared" si="22"/>
        <v>0</v>
      </c>
      <c r="CJ15">
        <f t="shared" si="22"/>
        <v>0</v>
      </c>
      <c r="CK15">
        <f t="shared" si="22"/>
        <v>0</v>
      </c>
      <c r="CL15">
        <f t="shared" si="22"/>
        <v>0</v>
      </c>
      <c r="CM15">
        <f t="shared" si="22"/>
        <v>0</v>
      </c>
      <c r="CN15">
        <f t="shared" si="22"/>
        <v>0</v>
      </c>
      <c r="CO15">
        <f t="shared" si="22"/>
        <v>0</v>
      </c>
      <c r="CP15">
        <f t="shared" si="22"/>
        <v>0</v>
      </c>
      <c r="CQ15">
        <f t="shared" si="22"/>
        <v>0</v>
      </c>
      <c r="CR15">
        <f t="shared" si="22"/>
        <v>0</v>
      </c>
      <c r="CS15">
        <f t="shared" si="22"/>
        <v>0</v>
      </c>
      <c r="CT15">
        <f t="shared" si="22"/>
        <v>0</v>
      </c>
      <c r="CU15">
        <f t="shared" ref="CU15:DF15" si="23">--AND(CU$4="Total",CU$3&gt;=$D$11,CU$3&lt;=$E$11)</f>
        <v>0</v>
      </c>
      <c r="CV15">
        <f t="shared" si="23"/>
        <v>0</v>
      </c>
      <c r="CW15">
        <f t="shared" si="23"/>
        <v>0</v>
      </c>
      <c r="CX15">
        <f t="shared" si="23"/>
        <v>0</v>
      </c>
      <c r="CY15">
        <f t="shared" si="23"/>
        <v>0</v>
      </c>
      <c r="CZ15">
        <f t="shared" si="23"/>
        <v>0</v>
      </c>
      <c r="DA15">
        <f t="shared" si="23"/>
        <v>0</v>
      </c>
      <c r="DB15">
        <f t="shared" si="23"/>
        <v>0</v>
      </c>
      <c r="DC15">
        <f t="shared" si="23"/>
        <v>0</v>
      </c>
      <c r="DD15">
        <f t="shared" si="23"/>
        <v>0</v>
      </c>
      <c r="DE15">
        <f t="shared" si="23"/>
        <v>0</v>
      </c>
      <c r="DF15">
        <f t="shared" si="23"/>
        <v>0</v>
      </c>
    </row>
    <row r="16" spans="1:110" x14ac:dyDescent="0.25">
      <c r="AH16" t="s">
        <v>1232</v>
      </c>
      <c r="AI16">
        <f t="shared" ref="AI16:CT16" si="24">--AND(AI$4="Count",AI$3&gt;=$D$11,AI$3&lt;=$E$11)</f>
        <v>0</v>
      </c>
      <c r="AJ16">
        <f t="shared" si="24"/>
        <v>0</v>
      </c>
      <c r="AK16">
        <f t="shared" si="24"/>
        <v>0</v>
      </c>
      <c r="AL16">
        <f t="shared" si="24"/>
        <v>0</v>
      </c>
      <c r="AM16">
        <f t="shared" si="24"/>
        <v>0</v>
      </c>
      <c r="AN16">
        <f t="shared" si="24"/>
        <v>0</v>
      </c>
      <c r="AO16">
        <f t="shared" si="24"/>
        <v>0</v>
      </c>
      <c r="AP16">
        <f t="shared" si="24"/>
        <v>0</v>
      </c>
      <c r="AQ16">
        <f t="shared" si="24"/>
        <v>0</v>
      </c>
      <c r="AR16">
        <f t="shared" si="24"/>
        <v>0</v>
      </c>
      <c r="AS16">
        <f t="shared" si="24"/>
        <v>0</v>
      </c>
      <c r="AT16">
        <f t="shared" si="24"/>
        <v>0</v>
      </c>
      <c r="AU16">
        <f t="shared" si="24"/>
        <v>0</v>
      </c>
      <c r="AV16">
        <f t="shared" si="24"/>
        <v>0</v>
      </c>
      <c r="AW16">
        <f t="shared" si="24"/>
        <v>0</v>
      </c>
      <c r="AX16">
        <f t="shared" si="24"/>
        <v>0</v>
      </c>
      <c r="AY16">
        <f t="shared" si="24"/>
        <v>0</v>
      </c>
      <c r="AZ16">
        <f t="shared" si="24"/>
        <v>0</v>
      </c>
      <c r="BA16">
        <f t="shared" si="24"/>
        <v>0</v>
      </c>
      <c r="BB16">
        <f t="shared" si="24"/>
        <v>0</v>
      </c>
      <c r="BC16">
        <f t="shared" si="24"/>
        <v>0</v>
      </c>
      <c r="BD16">
        <f t="shared" si="24"/>
        <v>0</v>
      </c>
      <c r="BE16">
        <f t="shared" si="24"/>
        <v>0</v>
      </c>
      <c r="BF16">
        <f t="shared" si="24"/>
        <v>0</v>
      </c>
      <c r="BG16">
        <f t="shared" si="24"/>
        <v>0</v>
      </c>
      <c r="BH16">
        <f t="shared" si="24"/>
        <v>0</v>
      </c>
      <c r="BI16">
        <f t="shared" si="24"/>
        <v>0</v>
      </c>
      <c r="BJ16">
        <f t="shared" si="24"/>
        <v>0</v>
      </c>
      <c r="BK16">
        <f t="shared" si="24"/>
        <v>0</v>
      </c>
      <c r="BL16">
        <f t="shared" si="24"/>
        <v>0</v>
      </c>
      <c r="BM16">
        <f t="shared" si="24"/>
        <v>0</v>
      </c>
      <c r="BN16">
        <f t="shared" si="24"/>
        <v>0</v>
      </c>
      <c r="BO16">
        <f t="shared" si="24"/>
        <v>0</v>
      </c>
      <c r="BP16">
        <f t="shared" si="24"/>
        <v>0</v>
      </c>
      <c r="BQ16">
        <f t="shared" si="24"/>
        <v>0</v>
      </c>
      <c r="BR16">
        <f t="shared" si="24"/>
        <v>0</v>
      </c>
      <c r="BS16">
        <f t="shared" si="24"/>
        <v>0</v>
      </c>
      <c r="BT16">
        <f t="shared" si="24"/>
        <v>0</v>
      </c>
      <c r="BU16">
        <f t="shared" si="24"/>
        <v>0</v>
      </c>
      <c r="BV16">
        <f t="shared" si="24"/>
        <v>0</v>
      </c>
      <c r="BW16">
        <f t="shared" si="24"/>
        <v>0</v>
      </c>
      <c r="BX16">
        <f t="shared" si="24"/>
        <v>0</v>
      </c>
      <c r="BY16">
        <f t="shared" si="24"/>
        <v>0</v>
      </c>
      <c r="BZ16">
        <f t="shared" si="24"/>
        <v>0</v>
      </c>
      <c r="CA16">
        <f t="shared" si="24"/>
        <v>0</v>
      </c>
      <c r="CB16">
        <f t="shared" si="24"/>
        <v>0</v>
      </c>
      <c r="CC16">
        <f t="shared" si="24"/>
        <v>0</v>
      </c>
      <c r="CD16">
        <f t="shared" si="24"/>
        <v>0</v>
      </c>
      <c r="CE16">
        <f t="shared" si="24"/>
        <v>0</v>
      </c>
      <c r="CF16">
        <f t="shared" si="24"/>
        <v>1</v>
      </c>
      <c r="CG16">
        <f t="shared" si="24"/>
        <v>0</v>
      </c>
      <c r="CH16">
        <f t="shared" si="24"/>
        <v>1</v>
      </c>
      <c r="CI16">
        <f t="shared" si="24"/>
        <v>0</v>
      </c>
      <c r="CJ16">
        <f t="shared" si="24"/>
        <v>0</v>
      </c>
      <c r="CK16">
        <f t="shared" si="24"/>
        <v>0</v>
      </c>
      <c r="CL16">
        <f t="shared" si="24"/>
        <v>0</v>
      </c>
      <c r="CM16">
        <f t="shared" si="24"/>
        <v>0</v>
      </c>
      <c r="CN16">
        <f t="shared" si="24"/>
        <v>0</v>
      </c>
      <c r="CO16">
        <f t="shared" si="24"/>
        <v>0</v>
      </c>
      <c r="CP16">
        <f t="shared" si="24"/>
        <v>0</v>
      </c>
      <c r="CQ16">
        <f t="shared" si="24"/>
        <v>0</v>
      </c>
      <c r="CR16">
        <f t="shared" si="24"/>
        <v>0</v>
      </c>
      <c r="CS16">
        <f t="shared" si="24"/>
        <v>0</v>
      </c>
      <c r="CT16">
        <f t="shared" si="24"/>
        <v>0</v>
      </c>
      <c r="CU16">
        <f t="shared" ref="CU16:DF16" si="25">--AND(CU$4="Count",CU$3&gt;=$D$11,CU$3&lt;=$E$11)</f>
        <v>0</v>
      </c>
      <c r="CV16">
        <f t="shared" si="25"/>
        <v>0</v>
      </c>
      <c r="CW16">
        <f t="shared" si="25"/>
        <v>0</v>
      </c>
      <c r="CX16">
        <f t="shared" si="25"/>
        <v>0</v>
      </c>
      <c r="CY16">
        <f t="shared" si="25"/>
        <v>0</v>
      </c>
      <c r="CZ16">
        <f t="shared" si="25"/>
        <v>0</v>
      </c>
      <c r="DA16">
        <f t="shared" si="25"/>
        <v>0</v>
      </c>
      <c r="DB16">
        <f t="shared" si="25"/>
        <v>0</v>
      </c>
      <c r="DC16">
        <f t="shared" si="25"/>
        <v>0</v>
      </c>
      <c r="DD16">
        <f t="shared" si="25"/>
        <v>0</v>
      </c>
      <c r="DE16">
        <f t="shared" si="25"/>
        <v>0</v>
      </c>
      <c r="DF16">
        <f t="shared" si="25"/>
        <v>0</v>
      </c>
    </row>
    <row r="19" spans="1:115" x14ac:dyDescent="0.25">
      <c r="A19" t="s">
        <v>125</v>
      </c>
      <c r="B19" t="s">
        <v>1233</v>
      </c>
      <c r="C19" t="s">
        <v>135</v>
      </c>
      <c r="D19" t="s">
        <v>134</v>
      </c>
      <c r="E19" t="s">
        <v>1234</v>
      </c>
      <c r="F19" t="s">
        <v>213</v>
      </c>
      <c r="G19" t="s">
        <v>1235</v>
      </c>
      <c r="H19" t="s">
        <v>1236</v>
      </c>
      <c r="I19" t="s">
        <v>1237</v>
      </c>
      <c r="J19" t="s">
        <v>1238</v>
      </c>
      <c r="K19" t="s">
        <v>1239</v>
      </c>
      <c r="L19" t="s">
        <v>1240</v>
      </c>
      <c r="M19" t="s">
        <v>1223</v>
      </c>
      <c r="N19" t="s">
        <v>1224</v>
      </c>
      <c r="O19" t="s">
        <v>1225</v>
      </c>
      <c r="P19" t="s">
        <v>1226</v>
      </c>
      <c r="Q19" t="s">
        <v>1227</v>
      </c>
      <c r="R19" t="s">
        <v>1228</v>
      </c>
      <c r="S19" t="s">
        <v>1229</v>
      </c>
      <c r="T19" t="s">
        <v>1230</v>
      </c>
      <c r="U19" t="s">
        <v>1231</v>
      </c>
      <c r="V19" t="s">
        <v>1232</v>
      </c>
      <c r="W19" t="s">
        <v>1241</v>
      </c>
      <c r="X19" t="s">
        <v>1242</v>
      </c>
      <c r="Y19" t="s">
        <v>1243</v>
      </c>
      <c r="Z19" t="s">
        <v>1244</v>
      </c>
      <c r="AA19" t="s">
        <v>1245</v>
      </c>
      <c r="AB19" t="s">
        <v>1246</v>
      </c>
      <c r="AC19" t="s">
        <v>1251</v>
      </c>
      <c r="AD19" t="s">
        <v>1247</v>
      </c>
      <c r="AE19" t="s">
        <v>1248</v>
      </c>
      <c r="AF19" t="s">
        <v>1249</v>
      </c>
      <c r="AG19" t="s">
        <v>1250</v>
      </c>
      <c r="AI19" s="10" t="s">
        <v>1290</v>
      </c>
      <c r="AJ19" s="10" t="s">
        <v>1291</v>
      </c>
      <c r="AK19" s="10" t="s">
        <v>1292</v>
      </c>
      <c r="AL19" s="10" t="s">
        <v>1293</v>
      </c>
      <c r="AM19" s="10" t="s">
        <v>1294</v>
      </c>
      <c r="AN19" s="10" t="s">
        <v>1308</v>
      </c>
      <c r="AP19" s="10" t="s">
        <v>1322</v>
      </c>
      <c r="DH19" t="s">
        <v>1329</v>
      </c>
      <c r="DI19" t="s">
        <v>1336</v>
      </c>
      <c r="DJ19" t="s">
        <v>1337</v>
      </c>
      <c r="DK19" t="s">
        <v>1338</v>
      </c>
    </row>
    <row r="20" spans="1:115" x14ac:dyDescent="0.25">
      <c r="A20" t="str">
        <f>IF('Staff Daily sales'!$B5="","",TRIM('Staff Daily sales'!$B5&amp;""))</f>
        <v>ALAQUEQ</v>
      </c>
      <c r="B20" t="str">
        <f>IF('Staff Daily sales'!$D5="","",TRIM('Staff Daily sales'!$D5&amp;""))</f>
        <v>2958-Ahmed Alshebani</v>
      </c>
      <c r="C20" t="str">
        <f>IFERROR(TRIM('Staff Daily sales'!$E5&amp;""),"")</f>
        <v>Riyadh</v>
      </c>
      <c r="D20" t="str">
        <f>IFERROR(IF(TRIM('Staff Daily sales'!$F5&amp;"")="","Unassigned",TRIM('Staff Daily sales'!$F5&amp;"")),"Unassigned")</f>
        <v>Mohammed Sanad</v>
      </c>
      <c r="E20">
        <f t="shared" ref="E20:E83" si="26">--AND($A20&lt;&gt;"",$B20&lt;&gt;"")</f>
        <v>1</v>
      </c>
      <c r="F20">
        <f>IF($E20=0,0,SUMPRODUCT($AI$5:$DF$5,'Staff Daily sales'!$G5:$CD5))</f>
        <v>0</v>
      </c>
      <c r="G20">
        <f>IF($E20=0,0,SUMPRODUCT($AI$6:$DF$6,'Staff Daily sales'!$G5:$CD5))</f>
        <v>0</v>
      </c>
      <c r="H20">
        <f t="shared" ref="H20:H83" si="27">IF($E20=0,0,SUMIFS($F$20:$F$1515,$A$20:$A$1515,$A20))</f>
        <v>14237.07</v>
      </c>
      <c r="I20">
        <f t="shared" ref="I20:I83" si="28">IF($E20=0,0,SUMIFS($G$20:$G$1515,$A$20:$A$1515,$A20))</f>
        <v>59</v>
      </c>
      <c r="J20">
        <f t="shared" ref="J20:J83" si="29">IF($E20=0,0,SUMIFS($F$20:$F$1515,$D$20:$D$1515,$D20))</f>
        <v>64682.640000000014</v>
      </c>
      <c r="K20">
        <f t="shared" ref="K20:K83" si="30">IF($E20=0,0,SUMIFS($G$20:$G$1515,$D$20:$D$1515,$D20))</f>
        <v>326</v>
      </c>
      <c r="L20">
        <f>--AND($E20=1,OR('Staff Dashboard'!$B$6="All",$DH20='Staff Dashboard'!$B$6),OR('Staff Dashboard'!$B$7="All",$D20='Staff Dashboard'!$B$7),OR('Staff Dashboard'!$B$8="All",$A20='Staff Dashboard'!$B$8))</f>
        <v>0</v>
      </c>
      <c r="M20">
        <f>IF($E20=0,0,SUMPRODUCT($AI$7:$DF$7,'Staff Daily sales'!$G5:$CD5))</f>
        <v>18053.41</v>
      </c>
      <c r="N20">
        <f>IF($E20=0,0,SUMPRODUCT($AI$8:$DF$8,'Staff Daily sales'!$G5:$CD5))</f>
        <v>128</v>
      </c>
      <c r="O20">
        <f>IF($E20=0,0,SUMPRODUCT($AI$9:$DF$9,'Staff Daily sales'!$G5:$CD5))</f>
        <v>18311.46</v>
      </c>
      <c r="P20">
        <f>IF($E20=0,0,SUMPRODUCT($AI$10:$DF$10,'Staff Daily sales'!$G5:$CD5))</f>
        <v>129</v>
      </c>
      <c r="Q20">
        <f>IF($E20=0,0,SUMPRODUCT($AI$11:$DF$11,'Staff Daily sales'!$G5:$CD5))</f>
        <v>23098.69</v>
      </c>
      <c r="R20">
        <f>IF($E20=0,0,SUMPRODUCT($AI$12:$DF$12,'Staff Daily sales'!$G5:$CD5))</f>
        <v>66</v>
      </c>
      <c r="S20">
        <f>IF($E20=0,0,SUMPRODUCT($AI$13:$DF$13,'Staff Daily sales'!$G5:$CD5))</f>
        <v>8302.7100000000009</v>
      </c>
      <c r="T20">
        <f>IF($E20=0,0,SUMPRODUCT($AI$14:$DF$14,'Staff Daily sales'!$G5:$CD5))</f>
        <v>65</v>
      </c>
      <c r="U20">
        <f>IF($E20=0,0,SUMPRODUCT($AI$15:$DF$15,'Staff Daily sales'!$G5:$CD5))</f>
        <v>6199.34</v>
      </c>
      <c r="V20">
        <f>IF($E20=0,0,SUMPRODUCT($AI$16:$DF$16,'Staff Daily sales'!$G5:$CD5))</f>
        <v>22</v>
      </c>
      <c r="W20">
        <f t="shared" ref="W20:W83" si="31">IF($E20=0,0,SUMIFS(M$20:M$1515,$A$20:$A$1515,$A20))</f>
        <v>69855.45</v>
      </c>
      <c r="X20">
        <f t="shared" ref="X20:X83" si="32">IF($E20=0,0,SUMIFS(O$20:O$1515,$A$20:$A$1515,$A20))</f>
        <v>102813.89</v>
      </c>
      <c r="Y20">
        <f t="shared" ref="Y20:Y83" si="33">IF($E20=0,0,SUMIFS(Q$20:Q$1515,$A$20:$A$1515,$A20))</f>
        <v>81316.7</v>
      </c>
      <c r="Z20">
        <f t="shared" ref="Z20:Z83" si="34">IF($E20=0,0,SUMIFS(S$20:S$1515,$A$20:$A$1515,$A20))</f>
        <v>70730.17</v>
      </c>
      <c r="AA20">
        <f t="shared" ref="AA20:AA83" si="35">IF($E20=0,0,SUMIFS(U$20:U$1515,$A$20:$A$1515,$A20))</f>
        <v>20466.300000000003</v>
      </c>
      <c r="AB20">
        <f>--AND($E20=1,OR('Staff Weekly Trend'!$B$3="All",$DH20='Staff Weekly Trend'!$B$3),OR('Staff Weekly Trend'!$B$4="All",$D20='Staff Weekly Trend'!$B$4),OR('Staff Weekly Trend'!$B$5="All",$A20='Staff Weekly Trend'!$B$5))</f>
        <v>1</v>
      </c>
      <c r="AC20" t="str">
        <f t="shared" ref="AC20:AC83" si="36">IF(OR($E20=0,AND($F20=0,$G20=0)),"",COUNTIFS($A$20:$A$1515,$A20,$E$20:$E$1515,1,$F$20:$F$1515,"&gt;"&amp;$F20)+1)</f>
        <v/>
      </c>
      <c r="AD20" t="str" cm="1">
        <f t="array" ref="AD20:AD28">_xlfn.VSTACK("All",_xlfn._xlws.SORT(_xlfn.UNIQUE(_xlfn._xlws.FILTER($D$20:$D$1515,$E$20:$E$1515=1))))</f>
        <v>All</v>
      </c>
      <c r="AE20" t="str" cm="1">
        <f t="array" ref="AE20:AE31">_xlfn.VSTACK("All",_xlfn._xlws.SORT(_xlfn.UNIQUE(_xlfn._xlws.FILTER($A$20:$A$1515,($E$20:$E$1515=1)*(('Staff Dashboard'!$B$6="All")+($DH$20:$DH$1515='Staff Dashboard'!$B$6))*(('Staff Dashboard'!$B$7="All")+($D$20:$D$1515='Staff Dashboard'!$B$7))))))</f>
        <v>All</v>
      </c>
      <c r="AF20" t="str" cm="1">
        <f t="array" ref="AF20:AF25">_xlfn.VSTACK("Month to date",$A$7:$A$11)</f>
        <v>Month to date</v>
      </c>
      <c r="AG20" t="str" cm="1">
        <f t="array" ref="AG20:AG132">_xlfn.VSTACK("All",_xlfn._xlws.SORT(_xlfn.UNIQUE(_xlfn._xlws.FILTER($A$20:$A$1515,($E$20:$E$1515=1)*(('Staff Weekly Trend'!$B$3="All")+($DH$20:$DH$1515='Staff Weekly Trend'!$B$3))*(('Staff Weekly Trend'!$B$4="All")+($D$20:$D$1515='Staff Weekly Trend'!$B$4))))))</f>
        <v>All</v>
      </c>
      <c r="AI20">
        <f t="shared" ref="AI20:AI83" si="37">IF($E20=0,0,SUMIFS(N$20:N$1515,$A$20:$A$1515,$A20))</f>
        <v>454</v>
      </c>
      <c r="AJ20">
        <f t="shared" ref="AJ20:AJ83" si="38">IF($E20=0,0,SUMIFS(P$20:P$1515,$A$20:$A$1515,$A20))</f>
        <v>589</v>
      </c>
      <c r="AK20">
        <f t="shared" ref="AK20:AK83" si="39">IF($E20=0,0,SUMIFS(R$20:R$1515,$A$20:$A$1515,$A20))</f>
        <v>397</v>
      </c>
      <c r="AL20">
        <f t="shared" ref="AL20:AL83" si="40">IF($E20=0,0,SUMIFS(T$20:T$1515,$A$20:$A$1515,$A20))</f>
        <v>386</v>
      </c>
      <c r="AM20">
        <f t="shared" ref="AM20:AM83" si="41">IF($E20=0,0,SUMIFS(V$20:V$1515,$A$20:$A$1515,$A20))</f>
        <v>101</v>
      </c>
      <c r="AN20" s="132" cm="1">
        <f t="array" ref="AN20:AN50">_xlfn.TOCOL(_xlfn._xlws.FILTER($AI$3:$DF$3,($AI$4:$DF$4="Total")*($AI$3:$DF$3&lt;&gt;"")))</f>
        <v>46296</v>
      </c>
      <c r="AP20" s="132" cm="1">
        <f t="array" ref="AP20:AP45">_xlfn._xlws.FILTER(_xlfn.ANCHORARRAY($AN$20),(_xlfn.ANCHORARRAY($AN$20)&gt;=$G$3)*(_xlfn.ANCHORARRAY($AN$20)&lt;=$G$4),$G$3)</f>
        <v>46296</v>
      </c>
      <c r="DH20" t="str" cm="1">
        <f t="array" ref="DH20">IF($A20="","",_xlfn.LET(_xlpm.c,IFERROR(_xlfn.XLOOKUP($A20,TRIM('Sales and count'!$A$4:$A$300&amp;""),TRIM('Sales and count'!$B$4:$B$300&amp;"")),""),IF(OR(_xlpm.c="",_xlpm.c="0",LEFT(_xlpm.c,1)="#"),"Not set",_xlpm.c)))</f>
        <v>KSA</v>
      </c>
      <c r="DI20" t="str" cm="1">
        <f t="array" ref="DI20:DI21">_xlfn.VSTACK("All",_xlfn._xlws.SORT(_xlfn.UNIQUE(_xlfn._xlws.FILTER($DH$20:$DH$1515,$E$20:$E$1515=1))))</f>
        <v>All</v>
      </c>
      <c r="DJ20" t="str" cm="1">
        <f t="array" ref="DJ20:DJ28">_xlfn.VSTACK("All",_xlfn._xlws.SORT(_xlfn.UNIQUE(_xlfn._xlws.FILTER($D$20:$D$1515,($E$20:$E$1515=1)*(('Staff Dashboard'!$B$6="All")+($DH$20:$DH$1515='Staff Dashboard'!$B$6))))))</f>
        <v>All</v>
      </c>
      <c r="DK20" t="str" cm="1">
        <f t="array" ref="DK20:DK28">_xlfn.VSTACK("All",_xlfn._xlws.SORT(_xlfn.UNIQUE(_xlfn._xlws.FILTER($D$20:$D$1515,($E$20:$E$1515=1)*(('Staff Weekly Trend'!$B$3="All")+($DH$20:$DH$1515='Staff Weekly Trend'!$B$3))))))</f>
        <v>All</v>
      </c>
    </row>
    <row r="21" spans="1:115" x14ac:dyDescent="0.25">
      <c r="A21" t="str">
        <f>IF('Staff Daily sales'!$B6="","",TRIM('Staff Daily sales'!$B6&amp;""))</f>
        <v>ALAQUEQ</v>
      </c>
      <c r="B21" t="str">
        <f>IF('Staff Daily sales'!$D6="","",TRIM('Staff Daily sales'!$D6&amp;""))</f>
        <v>4321TALdosari</v>
      </c>
      <c r="C21" t="str">
        <f>IFERROR(TRIM('Staff Daily sales'!$E6&amp;""),"")</f>
        <v>Riyadh</v>
      </c>
      <c r="D21" t="str">
        <f>IFERROR(IF(TRIM('Staff Daily sales'!$F6&amp;"")="","Unassigned",TRIM('Staff Daily sales'!$F6&amp;"")),"Unassigned")</f>
        <v>Mohammed Sanad</v>
      </c>
      <c r="E21">
        <f t="shared" si="26"/>
        <v>1</v>
      </c>
      <c r="F21">
        <f>IF($E21=0,0,SUMPRODUCT($AI$5:$DF$5,'Staff Daily sales'!$G6:$CD6))</f>
        <v>1845.88</v>
      </c>
      <c r="G21">
        <f>IF($E21=0,0,SUMPRODUCT($AI$6:$DF$6,'Staff Daily sales'!$G6:$CD6))</f>
        <v>11</v>
      </c>
      <c r="H21">
        <f t="shared" si="27"/>
        <v>14237.07</v>
      </c>
      <c r="I21">
        <f t="shared" si="28"/>
        <v>59</v>
      </c>
      <c r="J21">
        <f t="shared" si="29"/>
        <v>64682.640000000014</v>
      </c>
      <c r="K21">
        <f t="shared" si="30"/>
        <v>326</v>
      </c>
      <c r="L21">
        <f>--AND($E21=1,OR('Staff Dashboard'!$B$6="All",$DH21='Staff Dashboard'!$B$6),OR('Staff Dashboard'!$B$7="All",$D21='Staff Dashboard'!$B$7),OR('Staff Dashboard'!$B$8="All",$A21='Staff Dashboard'!$B$8))</f>
        <v>0</v>
      </c>
      <c r="M21">
        <f>IF($E21=0,0,SUMPRODUCT($AI$7:$DF$7,'Staff Daily sales'!$G6:$CD6))</f>
        <v>12653.34</v>
      </c>
      <c r="N21">
        <f>IF($E21=0,0,SUMPRODUCT($AI$8:$DF$8,'Staff Daily sales'!$G6:$CD6))</f>
        <v>81</v>
      </c>
      <c r="O21">
        <f>IF($E21=0,0,SUMPRODUCT($AI$9:$DF$9,'Staff Daily sales'!$G6:$CD6))</f>
        <v>23298.39</v>
      </c>
      <c r="P21">
        <f>IF($E21=0,0,SUMPRODUCT($AI$10:$DF$10,'Staff Daily sales'!$G6:$CD6))</f>
        <v>111</v>
      </c>
      <c r="Q21">
        <f>IF($E21=0,0,SUMPRODUCT($AI$11:$DF$11,'Staff Daily sales'!$G6:$CD6))</f>
        <v>14708.2</v>
      </c>
      <c r="R21">
        <f>IF($E21=0,0,SUMPRODUCT($AI$12:$DF$12,'Staff Daily sales'!$G6:$CD6))</f>
        <v>64</v>
      </c>
      <c r="S21">
        <f>IF($E21=0,0,SUMPRODUCT($AI$13:$DF$13,'Staff Daily sales'!$G6:$CD6))</f>
        <v>8911.61</v>
      </c>
      <c r="T21">
        <f>IF($E21=0,0,SUMPRODUCT($AI$14:$DF$14,'Staff Daily sales'!$G6:$CD6))</f>
        <v>50</v>
      </c>
      <c r="U21">
        <f>IF($E21=0,0,SUMPRODUCT($AI$15:$DF$15,'Staff Daily sales'!$G6:$CD6))</f>
        <v>1102</v>
      </c>
      <c r="V21">
        <f>IF($E21=0,0,SUMPRODUCT($AI$16:$DF$16,'Staff Daily sales'!$G6:$CD6))</f>
        <v>9</v>
      </c>
      <c r="W21">
        <f t="shared" si="31"/>
        <v>69855.45</v>
      </c>
      <c r="X21">
        <f t="shared" si="32"/>
        <v>102813.89</v>
      </c>
      <c r="Y21">
        <f t="shared" si="33"/>
        <v>81316.7</v>
      </c>
      <c r="Z21">
        <f t="shared" si="34"/>
        <v>70730.17</v>
      </c>
      <c r="AA21">
        <f t="shared" si="35"/>
        <v>20466.300000000003</v>
      </c>
      <c r="AB21">
        <f>--AND($E21=1,OR('Staff Weekly Trend'!$B$3="All",$DH21='Staff Weekly Trend'!$B$3),OR('Staff Weekly Trend'!$B$4="All",$D21='Staff Weekly Trend'!$B$4),OR('Staff Weekly Trend'!$B$5="All",$A21='Staff Weekly Trend'!$B$5))</f>
        <v>1</v>
      </c>
      <c r="AC21">
        <f t="shared" si="36"/>
        <v>4</v>
      </c>
      <c r="AD21" t="str">
        <v>Ahlam Al Zahrani</v>
      </c>
      <c r="AE21" t="str">
        <v>ALSHAWGIYAH</v>
      </c>
      <c r="AF21" t="str">
        <v>WK1</v>
      </c>
      <c r="AG21" t="str">
        <v>ABHATIMESQ</v>
      </c>
      <c r="AI21">
        <f t="shared" si="37"/>
        <v>454</v>
      </c>
      <c r="AJ21">
        <f t="shared" si="38"/>
        <v>589</v>
      </c>
      <c r="AK21">
        <f t="shared" si="39"/>
        <v>397</v>
      </c>
      <c r="AL21">
        <f t="shared" si="40"/>
        <v>386</v>
      </c>
      <c r="AM21">
        <f t="shared" si="41"/>
        <v>101</v>
      </c>
      <c r="AN21" s="132">
        <v>46297</v>
      </c>
      <c r="AP21" s="132">
        <v>46297</v>
      </c>
      <c r="DH21" t="str" cm="1">
        <f t="array" ref="DH21">IF($A21="","",_xlfn.LET(_xlpm.c,IFERROR(_xlfn.XLOOKUP($A21,TRIM('Sales and count'!$A$4:$A$300&amp;""),TRIM('Sales and count'!$B$4:$B$300&amp;"")),""),IF(OR(_xlpm.c="",_xlpm.c="0",LEFT(_xlpm.c,1)="#"),"Not set",_xlpm.c)))</f>
        <v>KSA</v>
      </c>
      <c r="DI21" t="str">
        <v>KSA</v>
      </c>
      <c r="DJ21" t="str">
        <v>Ahlam Al Zahrani</v>
      </c>
      <c r="DK21" t="str">
        <v>Ahlam Al Zahrani</v>
      </c>
    </row>
    <row r="22" spans="1:115" x14ac:dyDescent="0.25">
      <c r="A22" t="str">
        <f>IF('Staff Daily sales'!$B7="","",TRIM('Staff Daily sales'!$B7&amp;""))</f>
        <v>ALAQUEQ</v>
      </c>
      <c r="B22" t="str">
        <f>IF('Staff Daily sales'!$D7="","",TRIM('Staff Daily sales'!$D7&amp;""))</f>
        <v>4339-MAlyahea</v>
      </c>
      <c r="C22" t="str">
        <f>IFERROR(TRIM('Staff Daily sales'!$E7&amp;""),"")</f>
        <v>Riyadh</v>
      </c>
      <c r="D22" t="str">
        <f>IFERROR(IF(TRIM('Staff Daily sales'!$F7&amp;"")="","Unassigned",TRIM('Staff Daily sales'!$F7&amp;"")),"Unassigned")</f>
        <v>Mohammed Sanad</v>
      </c>
      <c r="E22">
        <f t="shared" si="26"/>
        <v>1</v>
      </c>
      <c r="F22">
        <f>IF($E22=0,0,SUMPRODUCT($AI$5:$DF$5,'Staff Daily sales'!$G7:$CD7))</f>
        <v>2779.81</v>
      </c>
      <c r="G22">
        <f>IF($E22=0,0,SUMPRODUCT($AI$6:$DF$6,'Staff Daily sales'!$G7:$CD7))</f>
        <v>10</v>
      </c>
      <c r="H22">
        <f t="shared" si="27"/>
        <v>14237.07</v>
      </c>
      <c r="I22">
        <f t="shared" si="28"/>
        <v>59</v>
      </c>
      <c r="J22">
        <f t="shared" si="29"/>
        <v>64682.640000000014</v>
      </c>
      <c r="K22">
        <f t="shared" si="30"/>
        <v>326</v>
      </c>
      <c r="L22">
        <f>--AND($E22=1,OR('Staff Dashboard'!$B$6="All",$DH22='Staff Dashboard'!$B$6),OR('Staff Dashboard'!$B$7="All",$D22='Staff Dashboard'!$B$7),OR('Staff Dashboard'!$B$8="All",$A22='Staff Dashboard'!$B$8))</f>
        <v>0</v>
      </c>
      <c r="M22">
        <f>IF($E22=0,0,SUMPRODUCT($AI$7:$DF$7,'Staff Daily sales'!$G7:$CD7))</f>
        <v>1622</v>
      </c>
      <c r="N22">
        <f>IF($E22=0,0,SUMPRODUCT($AI$8:$DF$8,'Staff Daily sales'!$G7:$CD7))</f>
        <v>11</v>
      </c>
      <c r="O22">
        <f>IF($E22=0,0,SUMPRODUCT($AI$9:$DF$9,'Staff Daily sales'!$G7:$CD7))</f>
        <v>14191.259999999998</v>
      </c>
      <c r="P22">
        <f>IF($E22=0,0,SUMPRODUCT($AI$10:$DF$10,'Staff Daily sales'!$G7:$CD7))</f>
        <v>81</v>
      </c>
      <c r="Q22">
        <f>IF($E22=0,0,SUMPRODUCT($AI$11:$DF$11,'Staff Daily sales'!$G7:$CD7))</f>
        <v>4037.05</v>
      </c>
      <c r="R22">
        <f>IF($E22=0,0,SUMPRODUCT($AI$12:$DF$12,'Staff Daily sales'!$G7:$CD7))</f>
        <v>24</v>
      </c>
      <c r="S22">
        <f>IF($E22=0,0,SUMPRODUCT($AI$13:$DF$13,'Staff Daily sales'!$G7:$CD7))</f>
        <v>11767.89</v>
      </c>
      <c r="T22">
        <f>IF($E22=0,0,SUMPRODUCT($AI$14:$DF$14,'Staff Daily sales'!$G7:$CD7))</f>
        <v>55</v>
      </c>
      <c r="U22">
        <f>IF($E22=0,0,SUMPRODUCT($AI$15:$DF$15,'Staff Daily sales'!$G7:$CD7))</f>
        <v>1812.88</v>
      </c>
      <c r="V22">
        <f>IF($E22=0,0,SUMPRODUCT($AI$16:$DF$16,'Staff Daily sales'!$G7:$CD7))</f>
        <v>8</v>
      </c>
      <c r="W22">
        <f t="shared" si="31"/>
        <v>69855.45</v>
      </c>
      <c r="X22">
        <f t="shared" si="32"/>
        <v>102813.89</v>
      </c>
      <c r="Y22">
        <f t="shared" si="33"/>
        <v>81316.7</v>
      </c>
      <c r="Z22">
        <f t="shared" si="34"/>
        <v>70730.17</v>
      </c>
      <c r="AA22">
        <f t="shared" si="35"/>
        <v>20466.300000000003</v>
      </c>
      <c r="AB22">
        <f>--AND($E22=1,OR('Staff Weekly Trend'!$B$3="All",$DH22='Staff Weekly Trend'!$B$3),OR('Staff Weekly Trend'!$B$4="All",$D22='Staff Weekly Trend'!$B$4),OR('Staff Weekly Trend'!$B$5="All",$A22='Staff Weekly Trend'!$B$5))</f>
        <v>1</v>
      </c>
      <c r="AC22">
        <f t="shared" si="36"/>
        <v>2</v>
      </c>
      <c r="AD22" t="str">
        <v>Ahmed Jaffari</v>
      </c>
      <c r="AE22" t="str">
        <v>HAABRAJ1</v>
      </c>
      <c r="AF22" t="str">
        <v>WK2</v>
      </c>
      <c r="AG22" t="str">
        <v>ALAQUEQ</v>
      </c>
      <c r="AI22">
        <f t="shared" si="37"/>
        <v>454</v>
      </c>
      <c r="AJ22">
        <f t="shared" si="38"/>
        <v>589</v>
      </c>
      <c r="AK22">
        <f t="shared" si="39"/>
        <v>397</v>
      </c>
      <c r="AL22">
        <f t="shared" si="40"/>
        <v>386</v>
      </c>
      <c r="AM22">
        <f t="shared" si="41"/>
        <v>101</v>
      </c>
      <c r="AN22" s="132">
        <v>46298</v>
      </c>
      <c r="AP22" s="132">
        <v>46298</v>
      </c>
      <c r="DH22" t="str" cm="1">
        <f t="array" ref="DH22">IF($A22="","",_xlfn.LET(_xlpm.c,IFERROR(_xlfn.XLOOKUP($A22,TRIM('Sales and count'!$A$4:$A$300&amp;""),TRIM('Sales and count'!$B$4:$B$300&amp;"")),""),IF(OR(_xlpm.c="",_xlpm.c="0",LEFT(_xlpm.c,1)="#"),"Not set",_xlpm.c)))</f>
        <v>KSA</v>
      </c>
      <c r="DJ22" t="str">
        <v>Ahmed Jaffari</v>
      </c>
      <c r="DK22" t="str">
        <v>Ahmed Jaffari</v>
      </c>
    </row>
    <row r="23" spans="1:115" x14ac:dyDescent="0.25">
      <c r="A23" t="str">
        <f>IF('Staff Daily sales'!$B8="","",TRIM('Staff Daily sales'!$B8&amp;""))</f>
        <v>ALAQUEQ</v>
      </c>
      <c r="B23" t="str">
        <f>IF('Staff Daily sales'!$D8="","",TRIM('Staff Daily sales'!$D8&amp;""))</f>
        <v>5146-EAbdouh</v>
      </c>
      <c r="C23" t="str">
        <f>IFERROR(TRIM('Staff Daily sales'!$E8&amp;""),"")</f>
        <v>Riyadh</v>
      </c>
      <c r="D23" t="str">
        <f>IFERROR(IF(TRIM('Staff Daily sales'!$F8&amp;"")="","Unassigned",TRIM('Staff Daily sales'!$F8&amp;"")),"Unassigned")</f>
        <v>Mohammed Sanad</v>
      </c>
      <c r="E23">
        <f t="shared" si="26"/>
        <v>1</v>
      </c>
      <c r="F23">
        <f>IF($E23=0,0,SUMPRODUCT($AI$5:$DF$5,'Staff Daily sales'!$G8:$CD8))</f>
        <v>1673.88</v>
      </c>
      <c r="G23">
        <f>IF($E23=0,0,SUMPRODUCT($AI$6:$DF$6,'Staff Daily sales'!$G8:$CD8))</f>
        <v>10</v>
      </c>
      <c r="H23">
        <f t="shared" si="27"/>
        <v>14237.07</v>
      </c>
      <c r="I23">
        <f t="shared" si="28"/>
        <v>59</v>
      </c>
      <c r="J23">
        <f t="shared" si="29"/>
        <v>64682.640000000014</v>
      </c>
      <c r="K23">
        <f t="shared" si="30"/>
        <v>326</v>
      </c>
      <c r="L23">
        <f>--AND($E23=1,OR('Staff Dashboard'!$B$6="All",$DH23='Staff Dashboard'!$B$6),OR('Staff Dashboard'!$B$7="All",$D23='Staff Dashboard'!$B$7),OR('Staff Dashboard'!$B$8="All",$A23='Staff Dashboard'!$B$8))</f>
        <v>0</v>
      </c>
      <c r="M23">
        <f>IF($E23=0,0,SUMPRODUCT($AI$7:$DF$7,'Staff Daily sales'!$G8:$CD8))</f>
        <v>26068.43</v>
      </c>
      <c r="N23">
        <f>IF($E23=0,0,SUMPRODUCT($AI$8:$DF$8,'Staff Daily sales'!$G8:$CD8))</f>
        <v>159</v>
      </c>
      <c r="O23">
        <f>IF($E23=0,0,SUMPRODUCT($AI$9:$DF$9,'Staff Daily sales'!$G8:$CD8))</f>
        <v>40705.660000000003</v>
      </c>
      <c r="P23">
        <f>IF($E23=0,0,SUMPRODUCT($AI$10:$DF$10,'Staff Daily sales'!$G8:$CD8))</f>
        <v>224</v>
      </c>
      <c r="Q23">
        <f>IF($E23=0,0,SUMPRODUCT($AI$11:$DF$11,'Staff Daily sales'!$G8:$CD8))</f>
        <v>18717.29</v>
      </c>
      <c r="R23">
        <f>IF($E23=0,0,SUMPRODUCT($AI$12:$DF$12,'Staff Daily sales'!$G8:$CD8))</f>
        <v>108</v>
      </c>
      <c r="S23">
        <f>IF($E23=0,0,SUMPRODUCT($AI$13:$DF$13,'Staff Daily sales'!$G8:$CD8))</f>
        <v>13494.100000000002</v>
      </c>
      <c r="T23">
        <f>IF($E23=0,0,SUMPRODUCT($AI$14:$DF$14,'Staff Daily sales'!$G8:$CD8))</f>
        <v>78</v>
      </c>
      <c r="U23">
        <f>IF($E23=0,0,SUMPRODUCT($AI$15:$DF$15,'Staff Daily sales'!$G8:$CD8))</f>
        <v>6682.7199999999993</v>
      </c>
      <c r="V23">
        <f>IF($E23=0,0,SUMPRODUCT($AI$16:$DF$16,'Staff Daily sales'!$G8:$CD8))</f>
        <v>37</v>
      </c>
      <c r="W23">
        <f t="shared" si="31"/>
        <v>69855.45</v>
      </c>
      <c r="X23">
        <f t="shared" si="32"/>
        <v>102813.89</v>
      </c>
      <c r="Y23">
        <f t="shared" si="33"/>
        <v>81316.7</v>
      </c>
      <c r="Z23">
        <f t="shared" si="34"/>
        <v>70730.17</v>
      </c>
      <c r="AA23">
        <f t="shared" si="35"/>
        <v>20466.300000000003</v>
      </c>
      <c r="AB23">
        <f>--AND($E23=1,OR('Staff Weekly Trend'!$B$3="All",$DH23='Staff Weekly Trend'!$B$3),OR('Staff Weekly Trend'!$B$4="All",$D23='Staff Weekly Trend'!$B$4),OR('Staff Weekly Trend'!$B$5="All",$A23='Staff Weekly Trend'!$B$5))</f>
        <v>1</v>
      </c>
      <c r="AC23">
        <f t="shared" si="36"/>
        <v>5</v>
      </c>
      <c r="AD23" t="str">
        <v>Hamzah Al Makhadam</v>
      </c>
      <c r="AE23" t="str">
        <v>HAABRAJ2</v>
      </c>
      <c r="AF23" t="str">
        <v>WK3</v>
      </c>
      <c r="AG23" t="str">
        <v>ALAZIZIYAH</v>
      </c>
      <c r="AI23">
        <f t="shared" si="37"/>
        <v>454</v>
      </c>
      <c r="AJ23">
        <f t="shared" si="38"/>
        <v>589</v>
      </c>
      <c r="AK23">
        <f t="shared" si="39"/>
        <v>397</v>
      </c>
      <c r="AL23">
        <f t="shared" si="40"/>
        <v>386</v>
      </c>
      <c r="AM23">
        <f t="shared" si="41"/>
        <v>101</v>
      </c>
      <c r="AN23" s="132">
        <v>46299</v>
      </c>
      <c r="AP23" s="132">
        <v>46299</v>
      </c>
      <c r="DH23" t="str" cm="1">
        <f t="array" ref="DH23">IF($A23="","",_xlfn.LET(_xlpm.c,IFERROR(_xlfn.XLOOKUP($A23,TRIM('Sales and count'!$A$4:$A$300&amp;""),TRIM('Sales and count'!$B$4:$B$300&amp;"")),""),IF(OR(_xlpm.c="",_xlpm.c="0",LEFT(_xlpm.c,1)="#"),"Not set",_xlpm.c)))</f>
        <v>KSA</v>
      </c>
      <c r="DJ23" t="str">
        <v>Hamzah Al Makhadam</v>
      </c>
      <c r="DK23" t="str">
        <v>Hamzah Al Makhadam</v>
      </c>
    </row>
    <row r="24" spans="1:115" x14ac:dyDescent="0.25">
      <c r="A24" t="str">
        <f>IF('Staff Daily sales'!$B9="","",TRIM('Staff Daily sales'!$B9&amp;""))</f>
        <v>ALAQUEQ</v>
      </c>
      <c r="B24" t="str">
        <f>IF('Staff Daily sales'!$D9="","",TRIM('Staff Daily sales'!$D9&amp;""))</f>
        <v>6491-WNjmi</v>
      </c>
      <c r="C24" t="str">
        <f>IFERROR(TRIM('Staff Daily sales'!$E9&amp;""),"")</f>
        <v>Riyadh</v>
      </c>
      <c r="D24" t="str">
        <f>IFERROR(IF(TRIM('Staff Daily sales'!$F9&amp;"")="","Unassigned",TRIM('Staff Daily sales'!$F9&amp;"")),"Unassigned")</f>
        <v>Mohammed Sanad</v>
      </c>
      <c r="E24">
        <f t="shared" si="26"/>
        <v>1</v>
      </c>
      <c r="F24">
        <f>IF($E24=0,0,SUMPRODUCT($AI$5:$DF$5,'Staff Daily sales'!$G9:$CD9))</f>
        <v>2583.84</v>
      </c>
      <c r="G24">
        <f>IF($E24=0,0,SUMPRODUCT($AI$6:$DF$6,'Staff Daily sales'!$G9:$CD9))</f>
        <v>12</v>
      </c>
      <c r="H24">
        <f t="shared" si="27"/>
        <v>14237.07</v>
      </c>
      <c r="I24">
        <f t="shared" si="28"/>
        <v>59</v>
      </c>
      <c r="J24">
        <f t="shared" si="29"/>
        <v>64682.640000000014</v>
      </c>
      <c r="K24">
        <f t="shared" si="30"/>
        <v>326</v>
      </c>
      <c r="L24">
        <f>--AND($E24=1,OR('Staff Dashboard'!$B$6="All",$DH24='Staff Dashboard'!$B$6),OR('Staff Dashboard'!$B$7="All",$D24='Staff Dashboard'!$B$7),OR('Staff Dashboard'!$B$8="All",$A24='Staff Dashboard'!$B$8))</f>
        <v>0</v>
      </c>
      <c r="M24">
        <f>IF($E24=0,0,SUMPRODUCT($AI$7:$DF$7,'Staff Daily sales'!$G9:$CD9))</f>
        <v>0</v>
      </c>
      <c r="N24">
        <f>IF($E24=0,0,SUMPRODUCT($AI$8:$DF$8,'Staff Daily sales'!$G9:$CD9))</f>
        <v>0</v>
      </c>
      <c r="O24">
        <f>IF($E24=0,0,SUMPRODUCT($AI$9:$DF$9,'Staff Daily sales'!$G9:$CD9))</f>
        <v>0</v>
      </c>
      <c r="P24">
        <f>IF($E24=0,0,SUMPRODUCT($AI$10:$DF$10,'Staff Daily sales'!$G9:$CD9))</f>
        <v>0</v>
      </c>
      <c r="Q24">
        <f>IF($E24=0,0,SUMPRODUCT($AI$11:$DF$11,'Staff Daily sales'!$G9:$CD9))</f>
        <v>13489.350000000002</v>
      </c>
      <c r="R24">
        <f>IF($E24=0,0,SUMPRODUCT($AI$12:$DF$12,'Staff Daily sales'!$G9:$CD9))</f>
        <v>87</v>
      </c>
      <c r="S24">
        <f>IF($E24=0,0,SUMPRODUCT($AI$13:$DF$13,'Staff Daily sales'!$G9:$CD9))</f>
        <v>12401.41</v>
      </c>
      <c r="T24">
        <f>IF($E24=0,0,SUMPRODUCT($AI$14:$DF$14,'Staff Daily sales'!$G9:$CD9))</f>
        <v>70</v>
      </c>
      <c r="U24">
        <f>IF($E24=0,0,SUMPRODUCT($AI$15:$DF$15,'Staff Daily sales'!$G9:$CD9))</f>
        <v>2485.21</v>
      </c>
      <c r="V24">
        <f>IF($E24=0,0,SUMPRODUCT($AI$16:$DF$16,'Staff Daily sales'!$G9:$CD9))</f>
        <v>12</v>
      </c>
      <c r="W24">
        <f t="shared" si="31"/>
        <v>69855.45</v>
      </c>
      <c r="X24">
        <f t="shared" si="32"/>
        <v>102813.89</v>
      </c>
      <c r="Y24">
        <f t="shared" si="33"/>
        <v>81316.7</v>
      </c>
      <c r="Z24">
        <f t="shared" si="34"/>
        <v>70730.17</v>
      </c>
      <c r="AA24">
        <f t="shared" si="35"/>
        <v>20466.300000000003</v>
      </c>
      <c r="AB24">
        <f>--AND($E24=1,OR('Staff Weekly Trend'!$B$3="All",$DH24='Staff Weekly Trend'!$B$3),OR('Staff Weekly Trend'!$B$4="All",$D24='Staff Weekly Trend'!$B$4),OR('Staff Weekly Trend'!$B$5="All",$A24='Staff Weekly Trend'!$B$5))</f>
        <v>1</v>
      </c>
      <c r="AC24">
        <f t="shared" si="36"/>
        <v>3</v>
      </c>
      <c r="AD24" t="str">
        <v>Lina Al Ghathami</v>
      </c>
      <c r="AE24" t="str">
        <v>HADANAMAK</v>
      </c>
      <c r="AF24" t="str">
        <v>WK4</v>
      </c>
      <c r="AG24" t="str">
        <v>ALBUSTAN</v>
      </c>
      <c r="AI24">
        <f t="shared" si="37"/>
        <v>454</v>
      </c>
      <c r="AJ24">
        <f t="shared" si="38"/>
        <v>589</v>
      </c>
      <c r="AK24">
        <f t="shared" si="39"/>
        <v>397</v>
      </c>
      <c r="AL24">
        <f t="shared" si="40"/>
        <v>386</v>
      </c>
      <c r="AM24">
        <f t="shared" si="41"/>
        <v>101</v>
      </c>
      <c r="AN24" s="132">
        <v>46300</v>
      </c>
      <c r="AP24" s="132">
        <v>46300</v>
      </c>
      <c r="DH24" t="str" cm="1">
        <f t="array" ref="DH24">IF($A24="","",_xlfn.LET(_xlpm.c,IFERROR(_xlfn.XLOOKUP($A24,TRIM('Sales and count'!$A$4:$A$300&amp;""),TRIM('Sales and count'!$B$4:$B$300&amp;"")),""),IF(OR(_xlpm.c="",_xlpm.c="0",LEFT(_xlpm.c,1)="#"),"Not set",_xlpm.c)))</f>
        <v>KSA</v>
      </c>
      <c r="DJ24" t="str">
        <v>Lina Al Ghathami</v>
      </c>
      <c r="DK24" t="str">
        <v>Lina Al Ghathami</v>
      </c>
    </row>
    <row r="25" spans="1:115" x14ac:dyDescent="0.25">
      <c r="A25" t="str">
        <f>IF('Staff Daily sales'!$B10="","",TRIM('Staff Daily sales'!$B10&amp;""))</f>
        <v>ALAQUEQ</v>
      </c>
      <c r="B25" t="str">
        <f>IF('Staff Daily sales'!$D10="","",TRIM('Staff Daily sales'!$D10&amp;""))</f>
        <v>7074-MAlanazi</v>
      </c>
      <c r="C25" t="str">
        <f>IFERROR(TRIM('Staff Daily sales'!$E10&amp;""),"")</f>
        <v>Riyadh</v>
      </c>
      <c r="D25" t="str">
        <f>IFERROR(IF(TRIM('Staff Daily sales'!$F10&amp;"")="","Unassigned",TRIM('Staff Daily sales'!$F10&amp;"")),"Unassigned")</f>
        <v>Mohammed Sanad</v>
      </c>
      <c r="E25">
        <f t="shared" si="26"/>
        <v>1</v>
      </c>
      <c r="F25">
        <f>IF($E25=0,0,SUMPRODUCT($AI$5:$DF$5,'Staff Daily sales'!$G10:$CD10))</f>
        <v>5353.66</v>
      </c>
      <c r="G25">
        <f>IF($E25=0,0,SUMPRODUCT($AI$6:$DF$6,'Staff Daily sales'!$G10:$CD10))</f>
        <v>16</v>
      </c>
      <c r="H25">
        <f t="shared" si="27"/>
        <v>14237.07</v>
      </c>
      <c r="I25">
        <f t="shared" si="28"/>
        <v>59</v>
      </c>
      <c r="J25">
        <f t="shared" si="29"/>
        <v>64682.640000000014</v>
      </c>
      <c r="K25">
        <f t="shared" si="30"/>
        <v>326</v>
      </c>
      <c r="L25">
        <f>--AND($E25=1,OR('Staff Dashboard'!$B$6="All",$DH25='Staff Dashboard'!$B$6),OR('Staff Dashboard'!$B$7="All",$D25='Staff Dashboard'!$B$7),OR('Staff Dashboard'!$B$8="All",$A25='Staff Dashboard'!$B$8))</f>
        <v>0</v>
      </c>
      <c r="M25">
        <f>IF($E25=0,0,SUMPRODUCT($AI$7:$DF$7,'Staff Daily sales'!$G10:$CD10))</f>
        <v>11458.27</v>
      </c>
      <c r="N25">
        <f>IF($E25=0,0,SUMPRODUCT($AI$8:$DF$8,'Staff Daily sales'!$G10:$CD10))</f>
        <v>75</v>
      </c>
      <c r="O25">
        <f>IF($E25=0,0,SUMPRODUCT($AI$9:$DF$9,'Staff Daily sales'!$G10:$CD10))</f>
        <v>6307.12</v>
      </c>
      <c r="P25">
        <f>IF($E25=0,0,SUMPRODUCT($AI$10:$DF$10,'Staff Daily sales'!$G10:$CD10))</f>
        <v>44</v>
      </c>
      <c r="Q25">
        <f>IF($E25=0,0,SUMPRODUCT($AI$11:$DF$11,'Staff Daily sales'!$G10:$CD10))</f>
        <v>7116.12</v>
      </c>
      <c r="R25">
        <f>IF($E25=0,0,SUMPRODUCT($AI$12:$DF$12,'Staff Daily sales'!$G10:$CD10))</f>
        <v>47</v>
      </c>
      <c r="S25">
        <f>IF($E25=0,0,SUMPRODUCT($AI$13:$DF$13,'Staff Daily sales'!$G10:$CD10))</f>
        <v>15852.449999999999</v>
      </c>
      <c r="T25">
        <f>IF($E25=0,0,SUMPRODUCT($AI$14:$DF$14,'Staff Daily sales'!$G10:$CD10))</f>
        <v>68</v>
      </c>
      <c r="U25">
        <f>IF($E25=0,0,SUMPRODUCT($AI$15:$DF$15,'Staff Daily sales'!$G10:$CD10))</f>
        <v>2184.15</v>
      </c>
      <c r="V25">
        <f>IF($E25=0,0,SUMPRODUCT($AI$16:$DF$16,'Staff Daily sales'!$G10:$CD10))</f>
        <v>13</v>
      </c>
      <c r="W25">
        <f t="shared" si="31"/>
        <v>69855.45</v>
      </c>
      <c r="X25">
        <f t="shared" si="32"/>
        <v>102813.89</v>
      </c>
      <c r="Y25">
        <f t="shared" si="33"/>
        <v>81316.7</v>
      </c>
      <c r="Z25">
        <f t="shared" si="34"/>
        <v>70730.17</v>
      </c>
      <c r="AA25">
        <f t="shared" si="35"/>
        <v>20466.300000000003</v>
      </c>
      <c r="AB25">
        <f>--AND($E25=1,OR('Staff Weekly Trend'!$B$3="All",$DH25='Staff Weekly Trend'!$B$3),OR('Staff Weekly Trend'!$B$4="All",$D25='Staff Weekly Trend'!$B$4),OR('Staff Weekly Trend'!$B$5="All",$A25='Staff Weekly Trend'!$B$5))</f>
        <v>1</v>
      </c>
      <c r="AC25">
        <f t="shared" si="36"/>
        <v>1</v>
      </c>
      <c r="AD25" t="str">
        <v>Maram Zamzami</v>
      </c>
      <c r="AE25" t="str">
        <v>HADARTAW2</v>
      </c>
      <c r="AF25" t="str">
        <v>WK5</v>
      </c>
      <c r="AG25" t="str">
        <v>ALHAZIM</v>
      </c>
      <c r="AI25">
        <f t="shared" si="37"/>
        <v>454</v>
      </c>
      <c r="AJ25">
        <f t="shared" si="38"/>
        <v>589</v>
      </c>
      <c r="AK25">
        <f t="shared" si="39"/>
        <v>397</v>
      </c>
      <c r="AL25">
        <f t="shared" si="40"/>
        <v>386</v>
      </c>
      <c r="AM25">
        <f t="shared" si="41"/>
        <v>101</v>
      </c>
      <c r="AN25" s="132">
        <v>46301</v>
      </c>
      <c r="AP25" s="132">
        <v>46301</v>
      </c>
      <c r="DH25" t="str" cm="1">
        <f t="array" ref="DH25">IF($A25="","",_xlfn.LET(_xlpm.c,IFERROR(_xlfn.XLOOKUP($A25,TRIM('Sales and count'!$A$4:$A$300&amp;""),TRIM('Sales and count'!$B$4:$B$300&amp;"")),""),IF(OR(_xlpm.c="",_xlpm.c="0",LEFT(_xlpm.c,1)="#"),"Not set",_xlpm.c)))</f>
        <v>KSA</v>
      </c>
      <c r="DJ25" t="str">
        <v>Maram Zamzami</v>
      </c>
      <c r="DK25" t="str">
        <v>Maram Zamzami</v>
      </c>
    </row>
    <row r="26" spans="1:115" x14ac:dyDescent="0.25">
      <c r="A26" t="str">
        <f>IF('Staff Daily sales'!$B11="","",TRIM('Staff Daily sales'!$B11&amp;""))</f>
        <v>ALAQUEQ</v>
      </c>
      <c r="B26" t="str">
        <f>IF('Staff Daily sales'!$D11="","",TRIM('Staff Daily sales'!$D11&amp;""))</f>
        <v>7296-AAlhaqbani</v>
      </c>
      <c r="C26" t="str">
        <f>IFERROR(TRIM('Staff Daily sales'!$E11&amp;""),"")</f>
        <v>Riyadh</v>
      </c>
      <c r="D26" t="str">
        <f>IFERROR(IF(TRIM('Staff Daily sales'!$F11&amp;"")="","Unassigned",TRIM('Staff Daily sales'!$F11&amp;"")),"Unassigned")</f>
        <v>Mohammed Sanad</v>
      </c>
      <c r="E26">
        <f t="shared" si="26"/>
        <v>1</v>
      </c>
      <c r="F26">
        <f>IF($E26=0,0,SUMPRODUCT($AI$5:$DF$5,'Staff Daily sales'!$G11:$CD11))</f>
        <v>0</v>
      </c>
      <c r="G26">
        <f>IF($E26=0,0,SUMPRODUCT($AI$6:$DF$6,'Staff Daily sales'!$G11:$CD11))</f>
        <v>0</v>
      </c>
      <c r="H26">
        <f t="shared" si="27"/>
        <v>14237.07</v>
      </c>
      <c r="I26">
        <f t="shared" si="28"/>
        <v>59</v>
      </c>
      <c r="J26">
        <f t="shared" si="29"/>
        <v>64682.640000000014</v>
      </c>
      <c r="K26">
        <f t="shared" si="30"/>
        <v>326</v>
      </c>
      <c r="L26">
        <f>--AND($E26=1,OR('Staff Dashboard'!$B$6="All",$DH26='Staff Dashboard'!$B$6),OR('Staff Dashboard'!$B$7="All",$D26='Staff Dashboard'!$B$7),OR('Staff Dashboard'!$B$8="All",$A26='Staff Dashboard'!$B$8))</f>
        <v>0</v>
      </c>
      <c r="M26">
        <f>IF($E26=0,0,SUMPRODUCT($AI$7:$DF$7,'Staff Daily sales'!$G11:$CD11))</f>
        <v>0</v>
      </c>
      <c r="N26">
        <f>IF($E26=0,0,SUMPRODUCT($AI$8:$DF$8,'Staff Daily sales'!$G11:$CD11))</f>
        <v>0</v>
      </c>
      <c r="O26">
        <f>IF($E26=0,0,SUMPRODUCT($AI$9:$DF$9,'Staff Daily sales'!$G11:$CD11))</f>
        <v>0</v>
      </c>
      <c r="P26">
        <f>IF($E26=0,0,SUMPRODUCT($AI$10:$DF$10,'Staff Daily sales'!$G11:$CD11))</f>
        <v>0</v>
      </c>
      <c r="Q26">
        <f>IF($E26=0,0,SUMPRODUCT($AI$11:$DF$11,'Staff Daily sales'!$G11:$CD11))</f>
        <v>150</v>
      </c>
      <c r="R26">
        <f>IF($E26=0,0,SUMPRODUCT($AI$12:$DF$12,'Staff Daily sales'!$G11:$CD11))</f>
        <v>1</v>
      </c>
      <c r="S26">
        <f>IF($E26=0,0,SUMPRODUCT($AI$13:$DF$13,'Staff Daily sales'!$G11:$CD11))</f>
        <v>0</v>
      </c>
      <c r="T26">
        <f>IF($E26=0,0,SUMPRODUCT($AI$14:$DF$14,'Staff Daily sales'!$G11:$CD11))</f>
        <v>0</v>
      </c>
      <c r="U26">
        <f>IF($E26=0,0,SUMPRODUCT($AI$15:$DF$15,'Staff Daily sales'!$G11:$CD11))</f>
        <v>0</v>
      </c>
      <c r="V26">
        <f>IF($E26=0,0,SUMPRODUCT($AI$16:$DF$16,'Staff Daily sales'!$G11:$CD11))</f>
        <v>0</v>
      </c>
      <c r="W26">
        <f t="shared" si="31"/>
        <v>69855.45</v>
      </c>
      <c r="X26">
        <f t="shared" si="32"/>
        <v>102813.89</v>
      </c>
      <c r="Y26">
        <f t="shared" si="33"/>
        <v>81316.7</v>
      </c>
      <c r="Z26">
        <f t="shared" si="34"/>
        <v>70730.17</v>
      </c>
      <c r="AA26">
        <f t="shared" si="35"/>
        <v>20466.300000000003</v>
      </c>
      <c r="AB26">
        <f>--AND($E26=1,OR('Staff Weekly Trend'!$B$3="All",$DH26='Staff Weekly Trend'!$B$3),OR('Staff Weekly Trend'!$B$4="All",$D26='Staff Weekly Trend'!$B$4),OR('Staff Weekly Trend'!$B$5="All",$A26='Staff Weekly Trend'!$B$5))</f>
        <v>1</v>
      </c>
      <c r="AC26" t="str">
        <f t="shared" si="36"/>
        <v/>
      </c>
      <c r="AD26" t="str">
        <v>Mohammed Haidar</v>
      </c>
      <c r="AE26" t="str">
        <v>HADIYAFAML</v>
      </c>
      <c r="AG26" t="str">
        <v>ALSHATEA</v>
      </c>
      <c r="AI26">
        <f t="shared" si="37"/>
        <v>454</v>
      </c>
      <c r="AJ26">
        <f t="shared" si="38"/>
        <v>589</v>
      </c>
      <c r="AK26">
        <f t="shared" si="39"/>
        <v>397</v>
      </c>
      <c r="AL26">
        <f t="shared" si="40"/>
        <v>386</v>
      </c>
      <c r="AM26">
        <f t="shared" si="41"/>
        <v>101</v>
      </c>
      <c r="AN26" s="132">
        <v>46302</v>
      </c>
      <c r="AP26" s="132">
        <v>46302</v>
      </c>
      <c r="DH26" t="str" cm="1">
        <f t="array" ref="DH26">IF($A26="","",_xlfn.LET(_xlpm.c,IFERROR(_xlfn.XLOOKUP($A26,TRIM('Sales and count'!$A$4:$A$300&amp;""),TRIM('Sales and count'!$B$4:$B$300&amp;"")),""),IF(OR(_xlpm.c="",_xlpm.c="0",LEFT(_xlpm.c,1)="#"),"Not set",_xlpm.c)))</f>
        <v>KSA</v>
      </c>
      <c r="DJ26" t="str">
        <v>Mohammed Haidar</v>
      </c>
      <c r="DK26" t="str">
        <v>Mohammed Haidar</v>
      </c>
    </row>
    <row r="27" spans="1:115" x14ac:dyDescent="0.25">
      <c r="A27" t="str">
        <f>IF('Staff Daily sales'!$B12="","",TRIM('Staff Daily sales'!$B12&amp;""))</f>
        <v>MEDAD</v>
      </c>
      <c r="B27" t="str">
        <f>IF('Staff Daily sales'!$D12="","",TRIM('Staff Daily sales'!$D12&amp;""))</f>
        <v>2900-Raed Ramzi</v>
      </c>
      <c r="C27" t="str">
        <f>IFERROR(TRIM('Staff Daily sales'!$E12&amp;""),"")</f>
        <v>Riyadh</v>
      </c>
      <c r="D27" t="str">
        <f>IFERROR(IF(TRIM('Staff Daily sales'!$F12&amp;"")="","Unassigned",TRIM('Staff Daily sales'!$F12&amp;"")),"Unassigned")</f>
        <v>Mohammed Sanad</v>
      </c>
      <c r="E27">
        <f t="shared" si="26"/>
        <v>1</v>
      </c>
      <c r="F27">
        <f>IF($E27=0,0,SUMPRODUCT($AI$5:$DF$5,'Staff Daily sales'!$G12:$CD12))</f>
        <v>4450.79</v>
      </c>
      <c r="G27">
        <f>IF($E27=0,0,SUMPRODUCT($AI$6:$DF$6,'Staff Daily sales'!$G12:$CD12))</f>
        <v>20</v>
      </c>
      <c r="H27">
        <f t="shared" si="27"/>
        <v>10224.459999999999</v>
      </c>
      <c r="I27">
        <f t="shared" si="28"/>
        <v>51</v>
      </c>
      <c r="J27">
        <f t="shared" si="29"/>
        <v>64682.640000000014</v>
      </c>
      <c r="K27">
        <f t="shared" si="30"/>
        <v>326</v>
      </c>
      <c r="L27">
        <f>--AND($E27=1,OR('Staff Dashboard'!$B$6="All",$DH27='Staff Dashboard'!$B$6),OR('Staff Dashboard'!$B$7="All",$D27='Staff Dashboard'!$B$7),OR('Staff Dashboard'!$B$8="All",$A27='Staff Dashboard'!$B$8))</f>
        <v>0</v>
      </c>
      <c r="M27">
        <f>IF($E27=0,0,SUMPRODUCT($AI$7:$DF$7,'Staff Daily sales'!$G12:$CD12))</f>
        <v>8870.1899999999987</v>
      </c>
      <c r="N27">
        <f>IF($E27=0,0,SUMPRODUCT($AI$8:$DF$8,'Staff Daily sales'!$G12:$CD12))</f>
        <v>70</v>
      </c>
      <c r="O27">
        <f>IF($E27=0,0,SUMPRODUCT($AI$9:$DF$9,'Staff Daily sales'!$G12:$CD12))</f>
        <v>25661.329999999998</v>
      </c>
      <c r="P27">
        <f>IF($E27=0,0,SUMPRODUCT($AI$10:$DF$10,'Staff Daily sales'!$G12:$CD12))</f>
        <v>158</v>
      </c>
      <c r="Q27">
        <f>IF($E27=0,0,SUMPRODUCT($AI$11:$DF$11,'Staff Daily sales'!$G12:$CD12))</f>
        <v>16411.169999999998</v>
      </c>
      <c r="R27">
        <f>IF($E27=0,0,SUMPRODUCT($AI$12:$DF$12,'Staff Daily sales'!$G12:$CD12))</f>
        <v>100</v>
      </c>
      <c r="S27">
        <f>IF($E27=0,0,SUMPRODUCT($AI$13:$DF$13,'Staff Daily sales'!$G12:$CD12))</f>
        <v>15558.779999999999</v>
      </c>
      <c r="T27">
        <f>IF($E27=0,0,SUMPRODUCT($AI$14:$DF$14,'Staff Daily sales'!$G12:$CD12))</f>
        <v>89</v>
      </c>
      <c r="U27">
        <f>IF($E27=0,0,SUMPRODUCT($AI$15:$DF$15,'Staff Daily sales'!$G12:$CD12))</f>
        <v>6394.2400000000007</v>
      </c>
      <c r="V27">
        <f>IF($E27=0,0,SUMPRODUCT($AI$16:$DF$16,'Staff Daily sales'!$G12:$CD12))</f>
        <v>29</v>
      </c>
      <c r="W27">
        <f t="shared" si="31"/>
        <v>46369.05</v>
      </c>
      <c r="X27">
        <f t="shared" si="32"/>
        <v>89517.48</v>
      </c>
      <c r="Y27">
        <f t="shared" si="33"/>
        <v>60162.9</v>
      </c>
      <c r="Z27">
        <f t="shared" si="34"/>
        <v>64915.709999999992</v>
      </c>
      <c r="AA27">
        <f t="shared" si="35"/>
        <v>18306.169999999998</v>
      </c>
      <c r="AB27">
        <f>--AND($E27=1,OR('Staff Weekly Trend'!$B$3="All",$DH27='Staff Weekly Trend'!$B$3),OR('Staff Weekly Trend'!$B$4="All",$D27='Staff Weekly Trend'!$B$4),OR('Staff Weekly Trend'!$B$5="All",$A27='Staff Weekly Trend'!$B$5))</f>
        <v>1</v>
      </c>
      <c r="AC27">
        <f t="shared" si="36"/>
        <v>1</v>
      </c>
      <c r="AD27" t="str">
        <v>Mohammed Sanad</v>
      </c>
      <c r="AE27" t="str">
        <v>HAMAJAZCC</v>
      </c>
      <c r="AG27" t="str">
        <v>ALSHAWGIYAH</v>
      </c>
      <c r="AI27">
        <f t="shared" si="37"/>
        <v>322</v>
      </c>
      <c r="AJ27">
        <f t="shared" si="38"/>
        <v>546</v>
      </c>
      <c r="AK27">
        <f t="shared" si="39"/>
        <v>373</v>
      </c>
      <c r="AL27">
        <f t="shared" si="40"/>
        <v>379</v>
      </c>
      <c r="AM27">
        <f t="shared" si="41"/>
        <v>96</v>
      </c>
      <c r="AN27" s="132">
        <v>46303</v>
      </c>
      <c r="AP27" s="132">
        <v>46303</v>
      </c>
      <c r="DH27" t="str" cm="1">
        <f t="array" ref="DH27">IF($A27="","",_xlfn.LET(_xlpm.c,IFERROR(_xlfn.XLOOKUP($A27,TRIM('Sales and count'!$A$4:$A$300&amp;""),TRIM('Sales and count'!$B$4:$B$300&amp;"")),""),IF(OR(_xlpm.c="",_xlpm.c="0",LEFT(_xlpm.c,1)="#"),"Not set",_xlpm.c)))</f>
        <v>KSA</v>
      </c>
      <c r="DJ27" t="str">
        <v>Mohammed Sanad</v>
      </c>
      <c r="DK27" t="str">
        <v>Mohammed Sanad</v>
      </c>
    </row>
    <row r="28" spans="1:115" x14ac:dyDescent="0.25">
      <c r="A28" t="str">
        <f>IF('Staff Daily sales'!$B13="","",TRIM('Staff Daily sales'!$B13&amp;""))</f>
        <v>MEDAD</v>
      </c>
      <c r="B28" t="str">
        <f>IF('Staff Daily sales'!$D13="","",TRIM('Staff Daily sales'!$D13&amp;""))</f>
        <v>2959-Faisal Alamodi</v>
      </c>
      <c r="C28" t="str">
        <f>IFERROR(TRIM('Staff Daily sales'!$E13&amp;""),"")</f>
        <v>Riyadh</v>
      </c>
      <c r="D28" t="str">
        <f>IFERROR(IF(TRIM('Staff Daily sales'!$F13&amp;"")="","Unassigned",TRIM('Staff Daily sales'!$F13&amp;"")),"Unassigned")</f>
        <v>Mohammed Sanad</v>
      </c>
      <c r="E28">
        <f t="shared" si="26"/>
        <v>1</v>
      </c>
      <c r="F28">
        <f>IF($E28=0,0,SUMPRODUCT($AI$5:$DF$5,'Staff Daily sales'!$G13:$CD13))</f>
        <v>0</v>
      </c>
      <c r="G28">
        <f>IF($E28=0,0,SUMPRODUCT($AI$6:$DF$6,'Staff Daily sales'!$G13:$CD13))</f>
        <v>0</v>
      </c>
      <c r="H28">
        <f t="shared" si="27"/>
        <v>10224.459999999999</v>
      </c>
      <c r="I28">
        <f t="shared" si="28"/>
        <v>51</v>
      </c>
      <c r="J28">
        <f t="shared" si="29"/>
        <v>64682.640000000014</v>
      </c>
      <c r="K28">
        <f t="shared" si="30"/>
        <v>326</v>
      </c>
      <c r="L28">
        <f>--AND($E28=1,OR('Staff Dashboard'!$B$6="All",$DH28='Staff Dashboard'!$B$6),OR('Staff Dashboard'!$B$7="All",$D28='Staff Dashboard'!$B$7),OR('Staff Dashboard'!$B$8="All",$A28='Staff Dashboard'!$B$8))</f>
        <v>0</v>
      </c>
      <c r="M28">
        <f>IF($E28=0,0,SUMPRODUCT($AI$7:$DF$7,'Staff Daily sales'!$G13:$CD13))</f>
        <v>6225.2</v>
      </c>
      <c r="N28">
        <f>IF($E28=0,0,SUMPRODUCT($AI$8:$DF$8,'Staff Daily sales'!$G13:$CD13))</f>
        <v>48</v>
      </c>
      <c r="O28">
        <f>IF($E28=0,0,SUMPRODUCT($AI$9:$DF$9,'Staff Daily sales'!$G13:$CD13))</f>
        <v>13057.260000000002</v>
      </c>
      <c r="P28">
        <f>IF($E28=0,0,SUMPRODUCT($AI$10:$DF$10,'Staff Daily sales'!$G13:$CD13))</f>
        <v>75</v>
      </c>
      <c r="Q28">
        <f>IF($E28=0,0,SUMPRODUCT($AI$11:$DF$11,'Staff Daily sales'!$G13:$CD13))</f>
        <v>7010.06</v>
      </c>
      <c r="R28">
        <f>IF($E28=0,0,SUMPRODUCT($AI$12:$DF$12,'Staff Daily sales'!$G13:$CD13))</f>
        <v>42</v>
      </c>
      <c r="S28">
        <f>IF($E28=0,0,SUMPRODUCT($AI$13:$DF$13,'Staff Daily sales'!$G13:$CD13))</f>
        <v>5011.0300000000007</v>
      </c>
      <c r="T28">
        <f>IF($E28=0,0,SUMPRODUCT($AI$14:$DF$14,'Staff Daily sales'!$G13:$CD13))</f>
        <v>31</v>
      </c>
      <c r="U28">
        <f>IF($E28=0,0,SUMPRODUCT($AI$15:$DF$15,'Staff Daily sales'!$G13:$CD13))</f>
        <v>75</v>
      </c>
      <c r="V28">
        <f>IF($E28=0,0,SUMPRODUCT($AI$16:$DF$16,'Staff Daily sales'!$G13:$CD13))</f>
        <v>1</v>
      </c>
      <c r="W28">
        <f t="shared" si="31"/>
        <v>46369.05</v>
      </c>
      <c r="X28">
        <f t="shared" si="32"/>
        <v>89517.48</v>
      </c>
      <c r="Y28">
        <f t="shared" si="33"/>
        <v>60162.9</v>
      </c>
      <c r="Z28">
        <f t="shared" si="34"/>
        <v>64915.709999999992</v>
      </c>
      <c r="AA28">
        <f t="shared" si="35"/>
        <v>18306.169999999998</v>
      </c>
      <c r="AB28">
        <f>--AND($E28=1,OR('Staff Weekly Trend'!$B$3="All",$DH28='Staff Weekly Trend'!$B$3),OR('Staff Weekly Trend'!$B$4="All",$D28='Staff Weekly Trend'!$B$4),OR('Staff Weekly Trend'!$B$5="All",$A28='Staff Weekly Trend'!$B$5))</f>
        <v>1</v>
      </c>
      <c r="AC28" t="str">
        <f t="shared" si="36"/>
        <v/>
      </c>
      <c r="AD28" t="str">
        <v>Saleh Bin Hoiel</v>
      </c>
      <c r="AE28" t="str">
        <v>HAMAKHLTON</v>
      </c>
      <c r="AG28" t="str">
        <v>ALWATANIAH</v>
      </c>
      <c r="AI28">
        <f t="shared" si="37"/>
        <v>322</v>
      </c>
      <c r="AJ28">
        <f t="shared" si="38"/>
        <v>546</v>
      </c>
      <c r="AK28">
        <f t="shared" si="39"/>
        <v>373</v>
      </c>
      <c r="AL28">
        <f t="shared" si="40"/>
        <v>379</v>
      </c>
      <c r="AM28">
        <f t="shared" si="41"/>
        <v>96</v>
      </c>
      <c r="AN28" s="132">
        <v>46304</v>
      </c>
      <c r="AP28" s="132">
        <v>46304</v>
      </c>
      <c r="DH28" t="str" cm="1">
        <f t="array" ref="DH28">IF($A28="","",_xlfn.LET(_xlpm.c,IFERROR(_xlfn.XLOOKUP($A28,TRIM('Sales and count'!$A$4:$A$300&amp;""),TRIM('Sales and count'!$B$4:$B$300&amp;"")),""),IF(OR(_xlpm.c="",_xlpm.c="0",LEFT(_xlpm.c,1)="#"),"Not set",_xlpm.c)))</f>
        <v>KSA</v>
      </c>
      <c r="DJ28" t="str">
        <v>Saleh Bin Hoiel</v>
      </c>
      <c r="DK28" t="str">
        <v>Saleh Bin Hoiel</v>
      </c>
    </row>
    <row r="29" spans="1:115" x14ac:dyDescent="0.25">
      <c r="A29" t="str">
        <f>IF('Staff Daily sales'!$B14="","",TRIM('Staff Daily sales'!$B14&amp;""))</f>
        <v>MEDAD</v>
      </c>
      <c r="B29" t="str">
        <f>IF('Staff Daily sales'!$D14="","",TRIM('Staff Daily sales'!$D14&amp;""))</f>
        <v>3516-AAbdil</v>
      </c>
      <c r="C29" t="str">
        <f>IFERROR(TRIM('Staff Daily sales'!$E14&amp;""),"")</f>
        <v>Riyadh</v>
      </c>
      <c r="D29" t="str">
        <f>IFERROR(IF(TRIM('Staff Daily sales'!$F14&amp;"")="","Unassigned",TRIM('Staff Daily sales'!$F14&amp;"")),"Unassigned")</f>
        <v>Mohammed Sanad</v>
      </c>
      <c r="E29">
        <f t="shared" si="26"/>
        <v>1</v>
      </c>
      <c r="F29">
        <f>IF($E29=0,0,SUMPRODUCT($AI$5:$DF$5,'Staff Daily sales'!$G14:$CD14))</f>
        <v>2187.85</v>
      </c>
      <c r="G29">
        <f>IF($E29=0,0,SUMPRODUCT($AI$6:$DF$6,'Staff Daily sales'!$G14:$CD14))</f>
        <v>18</v>
      </c>
      <c r="H29">
        <f t="shared" si="27"/>
        <v>10224.459999999999</v>
      </c>
      <c r="I29">
        <f t="shared" si="28"/>
        <v>51</v>
      </c>
      <c r="J29">
        <f t="shared" si="29"/>
        <v>64682.640000000014</v>
      </c>
      <c r="K29">
        <f t="shared" si="30"/>
        <v>326</v>
      </c>
      <c r="L29">
        <f>--AND($E29=1,OR('Staff Dashboard'!$B$6="All",$DH29='Staff Dashboard'!$B$6),OR('Staff Dashboard'!$B$7="All",$D29='Staff Dashboard'!$B$7),OR('Staff Dashboard'!$B$8="All",$A29='Staff Dashboard'!$B$8))</f>
        <v>0</v>
      </c>
      <c r="M29">
        <f>IF($E29=0,0,SUMPRODUCT($AI$7:$DF$7,'Staff Daily sales'!$G14:$CD14))</f>
        <v>13141.18</v>
      </c>
      <c r="N29">
        <f>IF($E29=0,0,SUMPRODUCT($AI$8:$DF$8,'Staff Daily sales'!$G14:$CD14))</f>
        <v>95</v>
      </c>
      <c r="O29">
        <f>IF($E29=0,0,SUMPRODUCT($AI$9:$DF$9,'Staff Daily sales'!$G14:$CD14))</f>
        <v>16167.39</v>
      </c>
      <c r="P29">
        <f>IF($E29=0,0,SUMPRODUCT($AI$10:$DF$10,'Staff Daily sales'!$G14:$CD14))</f>
        <v>95</v>
      </c>
      <c r="Q29">
        <f>IF($E29=0,0,SUMPRODUCT($AI$11:$DF$11,'Staff Daily sales'!$G14:$CD14))</f>
        <v>17976.32</v>
      </c>
      <c r="R29">
        <f>IF($E29=0,0,SUMPRODUCT($AI$12:$DF$12,'Staff Daily sales'!$G14:$CD14))</f>
        <v>108</v>
      </c>
      <c r="S29">
        <f>IF($E29=0,0,SUMPRODUCT($AI$13:$DF$13,'Staff Daily sales'!$G14:$CD14))</f>
        <v>20401.489999999998</v>
      </c>
      <c r="T29">
        <f>IF($E29=0,0,SUMPRODUCT($AI$14:$DF$14,'Staff Daily sales'!$G14:$CD14))</f>
        <v>125</v>
      </c>
      <c r="U29">
        <f>IF($E29=0,0,SUMPRODUCT($AI$15:$DF$15,'Staff Daily sales'!$G14:$CD14))</f>
        <v>3676.78</v>
      </c>
      <c r="V29">
        <f>IF($E29=0,0,SUMPRODUCT($AI$16:$DF$16,'Staff Daily sales'!$G14:$CD14))</f>
        <v>20</v>
      </c>
      <c r="W29">
        <f t="shared" si="31"/>
        <v>46369.05</v>
      </c>
      <c r="X29">
        <f t="shared" si="32"/>
        <v>89517.48</v>
      </c>
      <c r="Y29">
        <f t="shared" si="33"/>
        <v>60162.9</v>
      </c>
      <c r="Z29">
        <f t="shared" si="34"/>
        <v>64915.709999999992</v>
      </c>
      <c r="AA29">
        <f t="shared" si="35"/>
        <v>18306.169999999998</v>
      </c>
      <c r="AB29">
        <f>--AND($E29=1,OR('Staff Weekly Trend'!$B$3="All",$DH29='Staff Weekly Trend'!$B$3),OR('Staff Weekly Trend'!$B$4="All",$D29='Staff Weekly Trend'!$B$4),OR('Staff Weekly Trend'!$B$5="All",$A29='Staff Weekly Trend'!$B$5))</f>
        <v>1</v>
      </c>
      <c r="AC29">
        <f t="shared" si="36"/>
        <v>3</v>
      </c>
      <c r="AE29" t="str">
        <v>HAMAKKMAL</v>
      </c>
      <c r="AG29" t="str">
        <v>ANDLUSMALL</v>
      </c>
      <c r="AI29">
        <f t="shared" si="37"/>
        <v>322</v>
      </c>
      <c r="AJ29">
        <f t="shared" si="38"/>
        <v>546</v>
      </c>
      <c r="AK29">
        <f t="shared" si="39"/>
        <v>373</v>
      </c>
      <c r="AL29">
        <f t="shared" si="40"/>
        <v>379</v>
      </c>
      <c r="AM29">
        <f t="shared" si="41"/>
        <v>96</v>
      </c>
      <c r="AN29" s="132">
        <v>46305</v>
      </c>
      <c r="AP29" s="132">
        <v>46305</v>
      </c>
      <c r="DH29" t="str" cm="1">
        <f t="array" ref="DH29">IF($A29="","",_xlfn.LET(_xlpm.c,IFERROR(_xlfn.XLOOKUP($A29,TRIM('Sales and count'!$A$4:$A$300&amp;""),TRIM('Sales and count'!$B$4:$B$300&amp;"")),""),IF(OR(_xlpm.c="",_xlpm.c="0",LEFT(_xlpm.c,1)="#"),"Not set",_xlpm.c)))</f>
        <v>KSA</v>
      </c>
    </row>
    <row r="30" spans="1:115" x14ac:dyDescent="0.25">
      <c r="A30" t="str">
        <f>IF('Staff Daily sales'!$B15="","",TRIM('Staff Daily sales'!$B15&amp;""))</f>
        <v>MEDAD</v>
      </c>
      <c r="B30" t="str">
        <f>IF('Staff Daily sales'!$D15="","",TRIM('Staff Daily sales'!$D15&amp;""))</f>
        <v>7194-AAlhaib</v>
      </c>
      <c r="C30" t="str">
        <f>IFERROR(TRIM('Staff Daily sales'!$E15&amp;""),"")</f>
        <v>Riyadh</v>
      </c>
      <c r="D30" t="str">
        <f>IFERROR(IF(TRIM('Staff Daily sales'!$F15&amp;"")="","Unassigned",TRIM('Staff Daily sales'!$F15&amp;"")),"Unassigned")</f>
        <v>Mohammed Sanad</v>
      </c>
      <c r="E30">
        <f t="shared" si="26"/>
        <v>1</v>
      </c>
      <c r="F30">
        <f>IF($E30=0,0,SUMPRODUCT($AI$5:$DF$5,'Staff Daily sales'!$G15:$CD15))</f>
        <v>3585.82</v>
      </c>
      <c r="G30">
        <f>IF($E30=0,0,SUMPRODUCT($AI$6:$DF$6,'Staff Daily sales'!$G15:$CD15))</f>
        <v>13</v>
      </c>
      <c r="H30">
        <f t="shared" si="27"/>
        <v>10224.459999999999</v>
      </c>
      <c r="I30">
        <f t="shared" si="28"/>
        <v>51</v>
      </c>
      <c r="J30">
        <f t="shared" si="29"/>
        <v>64682.640000000014</v>
      </c>
      <c r="K30">
        <f t="shared" si="30"/>
        <v>326</v>
      </c>
      <c r="L30">
        <f>--AND($E30=1,OR('Staff Dashboard'!$B$6="All",$DH30='Staff Dashboard'!$B$6),OR('Staff Dashboard'!$B$7="All",$D30='Staff Dashboard'!$B$7),OR('Staff Dashboard'!$B$8="All",$A30='Staff Dashboard'!$B$8))</f>
        <v>0</v>
      </c>
      <c r="M30">
        <f>IF($E30=0,0,SUMPRODUCT($AI$7:$DF$7,'Staff Daily sales'!$G15:$CD15))</f>
        <v>18132.48</v>
      </c>
      <c r="N30">
        <f>IF($E30=0,0,SUMPRODUCT($AI$8:$DF$8,'Staff Daily sales'!$G15:$CD15))</f>
        <v>109</v>
      </c>
      <c r="O30">
        <f>IF($E30=0,0,SUMPRODUCT($AI$9:$DF$9,'Staff Daily sales'!$G15:$CD15))</f>
        <v>34631.5</v>
      </c>
      <c r="P30">
        <f>IF($E30=0,0,SUMPRODUCT($AI$10:$DF$10,'Staff Daily sales'!$G15:$CD15))</f>
        <v>218</v>
      </c>
      <c r="Q30">
        <f>IF($E30=0,0,SUMPRODUCT($AI$11:$DF$11,'Staff Daily sales'!$G15:$CD15))</f>
        <v>18615.349999999999</v>
      </c>
      <c r="R30">
        <f>IF($E30=0,0,SUMPRODUCT($AI$12:$DF$12,'Staff Daily sales'!$G15:$CD15))</f>
        <v>122</v>
      </c>
      <c r="S30">
        <f>IF($E30=0,0,SUMPRODUCT($AI$13:$DF$13,'Staff Daily sales'!$G15:$CD15))</f>
        <v>23944.41</v>
      </c>
      <c r="T30">
        <f>IF($E30=0,0,SUMPRODUCT($AI$14:$DF$14,'Staff Daily sales'!$G15:$CD15))</f>
        <v>134</v>
      </c>
      <c r="U30">
        <f>IF($E30=0,0,SUMPRODUCT($AI$15:$DF$15,'Staff Daily sales'!$G15:$CD15))</f>
        <v>8160.15</v>
      </c>
      <c r="V30">
        <f>IF($E30=0,0,SUMPRODUCT($AI$16:$DF$16,'Staff Daily sales'!$G15:$CD15))</f>
        <v>46</v>
      </c>
      <c r="W30">
        <f t="shared" si="31"/>
        <v>46369.05</v>
      </c>
      <c r="X30">
        <f t="shared" si="32"/>
        <v>89517.48</v>
      </c>
      <c r="Y30">
        <f t="shared" si="33"/>
        <v>60162.9</v>
      </c>
      <c r="Z30">
        <f t="shared" si="34"/>
        <v>64915.709999999992</v>
      </c>
      <c r="AA30">
        <f t="shared" si="35"/>
        <v>18306.169999999998</v>
      </c>
      <c r="AB30">
        <f>--AND($E30=1,OR('Staff Weekly Trend'!$B$3="All",$DH30='Staff Weekly Trend'!$B$3),OR('Staff Weekly Trend'!$B$4="All",$D30='Staff Weekly Trend'!$B$4),OR('Staff Weekly Trend'!$B$5="All",$A30='Staff Weekly Trend'!$B$5))</f>
        <v>1</v>
      </c>
      <c r="AC30">
        <f t="shared" si="36"/>
        <v>2</v>
      </c>
      <c r="AE30" t="str">
        <v>HAMYANYARD</v>
      </c>
      <c r="AG30" t="str">
        <v>BURNPLAZ</v>
      </c>
      <c r="AI30">
        <f t="shared" si="37"/>
        <v>322</v>
      </c>
      <c r="AJ30">
        <f t="shared" si="38"/>
        <v>546</v>
      </c>
      <c r="AK30">
        <f t="shared" si="39"/>
        <v>373</v>
      </c>
      <c r="AL30">
        <f t="shared" si="40"/>
        <v>379</v>
      </c>
      <c r="AM30">
        <f t="shared" si="41"/>
        <v>96</v>
      </c>
      <c r="AN30" s="132">
        <v>46306</v>
      </c>
      <c r="AP30" s="132">
        <v>46306</v>
      </c>
      <c r="DH30" t="str" cm="1">
        <f t="array" ref="DH30">IF($A30="","",_xlfn.LET(_xlpm.c,IFERROR(_xlfn.XLOOKUP($A30,TRIM('Sales and count'!$A$4:$A$300&amp;""),TRIM('Sales and count'!$B$4:$B$300&amp;"")),""),IF(OR(_xlpm.c="",_xlpm.c="0",LEFT(_xlpm.c,1)="#"),"Not set",_xlpm.c)))</f>
        <v>KSA</v>
      </c>
    </row>
    <row r="31" spans="1:115" x14ac:dyDescent="0.25">
      <c r="A31" t="str">
        <f>IF('Staff Daily sales'!$B16="","",TRIM('Staff Daily sales'!$B16&amp;""))</f>
        <v>MEDAD</v>
      </c>
      <c r="B31" t="str">
        <f>IF('Staff Daily sales'!$D16="","",TRIM('Staff Daily sales'!$D16&amp;""))</f>
        <v>7295-RAlsaqer</v>
      </c>
      <c r="C31" t="str">
        <f>IFERROR(TRIM('Staff Daily sales'!$E16&amp;""),"")</f>
        <v>Riyadh</v>
      </c>
      <c r="D31" t="str">
        <f>IFERROR(IF(TRIM('Staff Daily sales'!$F16&amp;"")="","Unassigned",TRIM('Staff Daily sales'!$F16&amp;"")),"Unassigned")</f>
        <v>Mohammed Sanad</v>
      </c>
      <c r="E31">
        <f t="shared" si="26"/>
        <v>1</v>
      </c>
      <c r="F31">
        <f>IF($E31=0,0,SUMPRODUCT($AI$5:$DF$5,'Staff Daily sales'!$G16:$CD16))</f>
        <v>0</v>
      </c>
      <c r="G31">
        <f>IF($E31=0,0,SUMPRODUCT($AI$6:$DF$6,'Staff Daily sales'!$G16:$CD16))</f>
        <v>0</v>
      </c>
      <c r="H31">
        <f t="shared" si="27"/>
        <v>10224.459999999999</v>
      </c>
      <c r="I31">
        <f t="shared" si="28"/>
        <v>51</v>
      </c>
      <c r="J31">
        <f t="shared" si="29"/>
        <v>64682.640000000014</v>
      </c>
      <c r="K31">
        <f t="shared" si="30"/>
        <v>326</v>
      </c>
      <c r="L31">
        <f>--AND($E31=1,OR('Staff Dashboard'!$B$6="All",$DH31='Staff Dashboard'!$B$6),OR('Staff Dashboard'!$B$7="All",$D31='Staff Dashboard'!$B$7),OR('Staff Dashboard'!$B$8="All",$A31='Staff Dashboard'!$B$8))</f>
        <v>0</v>
      </c>
      <c r="M31">
        <f>IF($E31=0,0,SUMPRODUCT($AI$7:$DF$7,'Staff Daily sales'!$G16:$CD16))</f>
        <v>0</v>
      </c>
      <c r="N31">
        <f>IF($E31=0,0,SUMPRODUCT($AI$8:$DF$8,'Staff Daily sales'!$G16:$CD16))</f>
        <v>0</v>
      </c>
      <c r="O31">
        <f>IF($E31=0,0,SUMPRODUCT($AI$9:$DF$9,'Staff Daily sales'!$G16:$CD16))</f>
        <v>0</v>
      </c>
      <c r="P31">
        <f>IF($E31=0,0,SUMPRODUCT($AI$10:$DF$10,'Staff Daily sales'!$G16:$CD16))</f>
        <v>0</v>
      </c>
      <c r="Q31">
        <f>IF($E31=0,0,SUMPRODUCT($AI$11:$DF$11,'Staff Daily sales'!$G16:$CD16))</f>
        <v>150</v>
      </c>
      <c r="R31">
        <f>IF($E31=0,0,SUMPRODUCT($AI$12:$DF$12,'Staff Daily sales'!$G16:$CD16))</f>
        <v>1</v>
      </c>
      <c r="S31">
        <f>IF($E31=0,0,SUMPRODUCT($AI$13:$DF$13,'Staff Daily sales'!$G16:$CD16))</f>
        <v>0</v>
      </c>
      <c r="T31">
        <f>IF($E31=0,0,SUMPRODUCT($AI$14:$DF$14,'Staff Daily sales'!$G16:$CD16))</f>
        <v>0</v>
      </c>
      <c r="U31">
        <f>IF($E31=0,0,SUMPRODUCT($AI$15:$DF$15,'Staff Daily sales'!$G16:$CD16))</f>
        <v>0</v>
      </c>
      <c r="V31">
        <f>IF($E31=0,0,SUMPRODUCT($AI$16:$DF$16,'Staff Daily sales'!$G16:$CD16))</f>
        <v>0</v>
      </c>
      <c r="W31">
        <f t="shared" si="31"/>
        <v>46369.05</v>
      </c>
      <c r="X31">
        <f t="shared" si="32"/>
        <v>89517.48</v>
      </c>
      <c r="Y31">
        <f t="shared" si="33"/>
        <v>60162.9</v>
      </c>
      <c r="Z31">
        <f t="shared" si="34"/>
        <v>64915.709999999992</v>
      </c>
      <c r="AA31">
        <f t="shared" si="35"/>
        <v>18306.169999999998</v>
      </c>
      <c r="AB31">
        <f>--AND($E31=1,OR('Staff Weekly Trend'!$B$3="All",$DH31='Staff Weekly Trend'!$B$3),OR('Staff Weekly Trend'!$B$4="All",$D31='Staff Weekly Trend'!$B$4),OR('Staff Weekly Trend'!$B$5="All",$A31='Staff Weekly Trend'!$B$5))</f>
        <v>1</v>
      </c>
      <c r="AC31" t="str">
        <f t="shared" si="36"/>
        <v/>
      </c>
      <c r="AE31" t="str">
        <v>HATASSPLZ</v>
      </c>
      <c r="AG31" t="str">
        <v>DAMNAKHL</v>
      </c>
      <c r="AI31">
        <f t="shared" si="37"/>
        <v>322</v>
      </c>
      <c r="AJ31">
        <f t="shared" si="38"/>
        <v>546</v>
      </c>
      <c r="AK31">
        <f t="shared" si="39"/>
        <v>373</v>
      </c>
      <c r="AL31">
        <f t="shared" si="40"/>
        <v>379</v>
      </c>
      <c r="AM31">
        <f t="shared" si="41"/>
        <v>96</v>
      </c>
      <c r="AN31" s="132">
        <v>46307</v>
      </c>
      <c r="AP31" s="132">
        <v>46307</v>
      </c>
      <c r="DH31" t="str" cm="1">
        <f t="array" ref="DH31">IF($A31="","",_xlfn.LET(_xlpm.c,IFERROR(_xlfn.XLOOKUP($A31,TRIM('Sales and count'!$A$4:$A$300&amp;""),TRIM('Sales and count'!$B$4:$B$300&amp;"")),""),IF(OR(_xlpm.c="",_xlpm.c="0",LEFT(_xlpm.c,1)="#"),"Not set",_xlpm.c)))</f>
        <v>KSA</v>
      </c>
    </row>
    <row r="32" spans="1:115" x14ac:dyDescent="0.25">
      <c r="A32" t="str">
        <f>IF('Staff Daily sales'!$B17="","",TRIM('Staff Daily sales'!$B17&amp;""))</f>
        <v>SMARTSH</v>
      </c>
      <c r="B32" t="str">
        <f>IF('Staff Daily sales'!$D17="","",TRIM('Staff Daily sales'!$D17&amp;""))</f>
        <v>4348-MSaqar</v>
      </c>
      <c r="C32" t="str">
        <f>IFERROR(TRIM('Staff Daily sales'!$E17&amp;""),"")</f>
        <v>Riyadh</v>
      </c>
      <c r="D32" t="str">
        <f>IFERROR(IF(TRIM('Staff Daily sales'!$F17&amp;"")="","Unassigned",TRIM('Staff Daily sales'!$F17&amp;"")),"Unassigned")</f>
        <v>Lina Al Ghathami</v>
      </c>
      <c r="E32">
        <f t="shared" si="26"/>
        <v>1</v>
      </c>
      <c r="F32">
        <f>IF($E32=0,0,SUMPRODUCT($AI$5:$DF$5,'Staff Daily sales'!$G17:$CD17))</f>
        <v>421.96</v>
      </c>
      <c r="G32">
        <f>IF($E32=0,0,SUMPRODUCT($AI$6:$DF$6,'Staff Daily sales'!$G17:$CD17))</f>
        <v>2</v>
      </c>
      <c r="H32">
        <f t="shared" si="27"/>
        <v>2373.86</v>
      </c>
      <c r="I32">
        <f t="shared" si="28"/>
        <v>11</v>
      </c>
      <c r="J32">
        <f t="shared" si="29"/>
        <v>62915.250000000007</v>
      </c>
      <c r="K32">
        <f t="shared" si="30"/>
        <v>385</v>
      </c>
      <c r="L32">
        <f>--AND($E32=1,OR('Staff Dashboard'!$B$6="All",$DH32='Staff Dashboard'!$B$6),OR('Staff Dashboard'!$B$7="All",$D32='Staff Dashboard'!$B$7),OR('Staff Dashboard'!$B$8="All",$A32='Staff Dashboard'!$B$8))</f>
        <v>0</v>
      </c>
      <c r="M32">
        <f>IF($E32=0,0,SUMPRODUCT($AI$7:$DF$7,'Staff Daily sales'!$G17:$CD17))</f>
        <v>0</v>
      </c>
      <c r="N32">
        <f>IF($E32=0,0,SUMPRODUCT($AI$8:$DF$8,'Staff Daily sales'!$G17:$CD17))</f>
        <v>0</v>
      </c>
      <c r="O32">
        <f>IF($E32=0,0,SUMPRODUCT($AI$9:$DF$9,'Staff Daily sales'!$G17:$CD17))</f>
        <v>525</v>
      </c>
      <c r="P32">
        <f>IF($E32=0,0,SUMPRODUCT($AI$10:$DF$10,'Staff Daily sales'!$G17:$CD17))</f>
        <v>4</v>
      </c>
      <c r="Q32">
        <f>IF($E32=0,0,SUMPRODUCT($AI$11:$DF$11,'Staff Daily sales'!$G17:$CD17))</f>
        <v>397</v>
      </c>
      <c r="R32">
        <f>IF($E32=0,0,SUMPRODUCT($AI$12:$DF$12,'Staff Daily sales'!$G17:$CD17))</f>
        <v>1</v>
      </c>
      <c r="S32">
        <f>IF($E32=0,0,SUMPRODUCT($AI$13:$DF$13,'Staff Daily sales'!$G17:$CD17))</f>
        <v>827.96</v>
      </c>
      <c r="T32">
        <f>IF($E32=0,0,SUMPRODUCT($AI$14:$DF$14,'Staff Daily sales'!$G17:$CD17))</f>
        <v>5</v>
      </c>
      <c r="U32">
        <f>IF($E32=0,0,SUMPRODUCT($AI$15:$DF$15,'Staff Daily sales'!$G17:$CD17))</f>
        <v>484.02</v>
      </c>
      <c r="V32">
        <f>IF($E32=0,0,SUMPRODUCT($AI$16:$DF$16,'Staff Daily sales'!$G17:$CD17))</f>
        <v>3</v>
      </c>
      <c r="W32">
        <f t="shared" si="31"/>
        <v>10152.209999999999</v>
      </c>
      <c r="X32">
        <f t="shared" si="32"/>
        <v>13529.200000000003</v>
      </c>
      <c r="Y32">
        <f t="shared" si="33"/>
        <v>13278.24</v>
      </c>
      <c r="Z32">
        <f t="shared" si="34"/>
        <v>9393.8100000000013</v>
      </c>
      <c r="AA32">
        <f t="shared" si="35"/>
        <v>2087.0100000000002</v>
      </c>
      <c r="AB32">
        <f>--AND($E32=1,OR('Staff Weekly Trend'!$B$3="All",$DH32='Staff Weekly Trend'!$B$3),OR('Staff Weekly Trend'!$B$4="All",$D32='Staff Weekly Trend'!$B$4),OR('Staff Weekly Trend'!$B$5="All",$A32='Staff Weekly Trend'!$B$5))</f>
        <v>1</v>
      </c>
      <c r="AC32">
        <f t="shared" si="36"/>
        <v>2</v>
      </c>
      <c r="AG32" t="str">
        <v>HAABRAJ1</v>
      </c>
      <c r="AI32">
        <f t="shared" si="37"/>
        <v>70</v>
      </c>
      <c r="AJ32">
        <f t="shared" si="38"/>
        <v>85</v>
      </c>
      <c r="AK32">
        <f t="shared" si="39"/>
        <v>88</v>
      </c>
      <c r="AL32">
        <f t="shared" si="40"/>
        <v>54</v>
      </c>
      <c r="AM32">
        <f t="shared" si="41"/>
        <v>13</v>
      </c>
      <c r="AN32" s="132">
        <v>46308</v>
      </c>
      <c r="AP32" s="132">
        <v>46308</v>
      </c>
      <c r="DH32" t="str" cm="1">
        <f t="array" ref="DH32">IF($A32="","",_xlfn.LET(_xlpm.c,IFERROR(_xlfn.XLOOKUP($A32,TRIM('Sales and count'!$A$4:$A$300&amp;""),TRIM('Sales and count'!$B$4:$B$300&amp;"")),""),IF(OR(_xlpm.c="",_xlpm.c="0",LEFT(_xlpm.c,1)="#"),"Not set",_xlpm.c)))</f>
        <v>KSA</v>
      </c>
    </row>
    <row r="33" spans="1:112" x14ac:dyDescent="0.25">
      <c r="A33" t="str">
        <f>IF('Staff Daily sales'!$B18="","",TRIM('Staff Daily sales'!$B18&amp;""))</f>
        <v>SMARTSH</v>
      </c>
      <c r="B33" t="str">
        <f>IF('Staff Daily sales'!$D18="","",TRIM('Staff Daily sales'!$D18&amp;""))</f>
        <v>5365-SAI-Sharari</v>
      </c>
      <c r="C33" t="str">
        <f>IFERROR(TRIM('Staff Daily sales'!$E18&amp;""),"")</f>
        <v>Riyadh</v>
      </c>
      <c r="D33" t="str">
        <f>IFERROR(IF(TRIM('Staff Daily sales'!$F18&amp;"")="","Unassigned",TRIM('Staff Daily sales'!$F18&amp;"")),"Unassigned")</f>
        <v>Lina Al Ghathami</v>
      </c>
      <c r="E33">
        <f t="shared" si="26"/>
        <v>1</v>
      </c>
      <c r="F33">
        <f>IF($E33=0,0,SUMPRODUCT($AI$5:$DF$5,'Staff Daily sales'!$G18:$CD18))</f>
        <v>1951.9</v>
      </c>
      <c r="G33">
        <f>IF($E33=0,0,SUMPRODUCT($AI$6:$DF$6,'Staff Daily sales'!$G18:$CD18))</f>
        <v>9</v>
      </c>
      <c r="H33">
        <f t="shared" si="27"/>
        <v>2373.86</v>
      </c>
      <c r="I33">
        <f t="shared" si="28"/>
        <v>11</v>
      </c>
      <c r="J33">
        <f t="shared" si="29"/>
        <v>62915.250000000007</v>
      </c>
      <c r="K33">
        <f t="shared" si="30"/>
        <v>385</v>
      </c>
      <c r="L33">
        <f>--AND($E33=1,OR('Staff Dashboard'!$B$6="All",$DH33='Staff Dashboard'!$B$6),OR('Staff Dashboard'!$B$7="All",$D33='Staff Dashboard'!$B$7),OR('Staff Dashboard'!$B$8="All",$A33='Staff Dashboard'!$B$8))</f>
        <v>0</v>
      </c>
      <c r="M33">
        <f>IF($E33=0,0,SUMPRODUCT($AI$7:$DF$7,'Staff Daily sales'!$G18:$CD18))</f>
        <v>8829.2099999999991</v>
      </c>
      <c r="N33">
        <f>IF($E33=0,0,SUMPRODUCT($AI$8:$DF$8,'Staff Daily sales'!$G18:$CD18))</f>
        <v>61</v>
      </c>
      <c r="O33">
        <f>IF($E33=0,0,SUMPRODUCT($AI$9:$DF$9,'Staff Daily sales'!$G18:$CD18))</f>
        <v>11535.170000000002</v>
      </c>
      <c r="P33">
        <f>IF($E33=0,0,SUMPRODUCT($AI$10:$DF$10,'Staff Daily sales'!$G18:$CD18))</f>
        <v>72</v>
      </c>
      <c r="Q33">
        <f>IF($E33=0,0,SUMPRODUCT($AI$11:$DF$11,'Staff Daily sales'!$G18:$CD18))</f>
        <v>5282.08</v>
      </c>
      <c r="R33">
        <f>IF($E33=0,0,SUMPRODUCT($AI$12:$DF$12,'Staff Daily sales'!$G18:$CD18))</f>
        <v>34</v>
      </c>
      <c r="S33">
        <f>IF($E33=0,0,SUMPRODUCT($AI$13:$DF$13,'Staff Daily sales'!$G18:$CD18))</f>
        <v>7705.85</v>
      </c>
      <c r="T33">
        <f>IF($E33=0,0,SUMPRODUCT($AI$14:$DF$14,'Staff Daily sales'!$G18:$CD18))</f>
        <v>42</v>
      </c>
      <c r="U33">
        <f>IF($E33=0,0,SUMPRODUCT($AI$15:$DF$15,'Staff Daily sales'!$G18:$CD18))</f>
        <v>210.98</v>
      </c>
      <c r="V33">
        <f>IF($E33=0,0,SUMPRODUCT($AI$16:$DF$16,'Staff Daily sales'!$G18:$CD18))</f>
        <v>1</v>
      </c>
      <c r="W33">
        <f t="shared" si="31"/>
        <v>10152.209999999999</v>
      </c>
      <c r="X33">
        <f t="shared" si="32"/>
        <v>13529.200000000003</v>
      </c>
      <c r="Y33">
        <f t="shared" si="33"/>
        <v>13278.24</v>
      </c>
      <c r="Z33">
        <f t="shared" si="34"/>
        <v>9393.8100000000013</v>
      </c>
      <c r="AA33">
        <f t="shared" si="35"/>
        <v>2087.0100000000002</v>
      </c>
      <c r="AB33">
        <f>--AND($E33=1,OR('Staff Weekly Trend'!$B$3="All",$DH33='Staff Weekly Trend'!$B$3),OR('Staff Weekly Trend'!$B$4="All",$D33='Staff Weekly Trend'!$B$4),OR('Staff Weekly Trend'!$B$5="All",$A33='Staff Weekly Trend'!$B$5))</f>
        <v>1</v>
      </c>
      <c r="AC33">
        <f t="shared" si="36"/>
        <v>1</v>
      </c>
      <c r="AG33" t="str">
        <v>HAABRAJ2</v>
      </c>
      <c r="AI33">
        <f t="shared" si="37"/>
        <v>70</v>
      </c>
      <c r="AJ33">
        <f t="shared" si="38"/>
        <v>85</v>
      </c>
      <c r="AK33">
        <f t="shared" si="39"/>
        <v>88</v>
      </c>
      <c r="AL33">
        <f t="shared" si="40"/>
        <v>54</v>
      </c>
      <c r="AM33">
        <f t="shared" si="41"/>
        <v>13</v>
      </c>
      <c r="AN33" s="132">
        <v>46309</v>
      </c>
      <c r="AP33" s="132">
        <v>46309</v>
      </c>
      <c r="DH33" t="str" cm="1">
        <f t="array" ref="DH33">IF($A33="","",_xlfn.LET(_xlpm.c,IFERROR(_xlfn.XLOOKUP($A33,TRIM('Sales and count'!$A$4:$A$300&amp;""),TRIM('Sales and count'!$B$4:$B$300&amp;"")),""),IF(OR(_xlpm.c="",_xlpm.c="0",LEFT(_xlpm.c,1)="#"),"Not set",_xlpm.c)))</f>
        <v>KSA</v>
      </c>
    </row>
    <row r="34" spans="1:112" x14ac:dyDescent="0.25">
      <c r="A34" t="str">
        <f>IF('Staff Daily sales'!$B19="","",TRIM('Staff Daily sales'!$B19&amp;""))</f>
        <v>SMARTSH</v>
      </c>
      <c r="B34" t="str">
        <f>IF('Staff Daily sales'!$D19="","",TRIM('Staff Daily sales'!$D19&amp;""))</f>
        <v>6287-AAlOtaibi</v>
      </c>
      <c r="C34" t="str">
        <f>IFERROR(TRIM('Staff Daily sales'!$E19&amp;""),"")</f>
        <v>Riyadh</v>
      </c>
      <c r="D34" t="str">
        <f>IFERROR(IF(TRIM('Staff Daily sales'!$F19&amp;"")="","Unassigned",TRIM('Staff Daily sales'!$F19&amp;"")),"Unassigned")</f>
        <v>Lina Al Ghathami</v>
      </c>
      <c r="E34">
        <f t="shared" si="26"/>
        <v>1</v>
      </c>
      <c r="F34">
        <f>IF($E34=0,0,SUMPRODUCT($AI$5:$DF$5,'Staff Daily sales'!$G19:$CD19))</f>
        <v>0</v>
      </c>
      <c r="G34">
        <f>IF($E34=0,0,SUMPRODUCT($AI$6:$DF$6,'Staff Daily sales'!$G19:$CD19))</f>
        <v>0</v>
      </c>
      <c r="H34">
        <f t="shared" si="27"/>
        <v>2373.86</v>
      </c>
      <c r="I34">
        <f t="shared" si="28"/>
        <v>11</v>
      </c>
      <c r="J34">
        <f t="shared" si="29"/>
        <v>62915.250000000007</v>
      </c>
      <c r="K34">
        <f t="shared" si="30"/>
        <v>385</v>
      </c>
      <c r="L34">
        <f>--AND($E34=1,OR('Staff Dashboard'!$B$6="All",$DH34='Staff Dashboard'!$B$6),OR('Staff Dashboard'!$B$7="All",$D34='Staff Dashboard'!$B$7),OR('Staff Dashboard'!$B$8="All",$A34='Staff Dashboard'!$B$8))</f>
        <v>0</v>
      </c>
      <c r="M34">
        <f>IF($E34=0,0,SUMPRODUCT($AI$7:$DF$7,'Staff Daily sales'!$G19:$CD19))</f>
        <v>1323</v>
      </c>
      <c r="N34">
        <f>IF($E34=0,0,SUMPRODUCT($AI$8:$DF$8,'Staff Daily sales'!$G19:$CD19))</f>
        <v>9</v>
      </c>
      <c r="O34">
        <f>IF($E34=0,0,SUMPRODUCT($AI$9:$DF$9,'Staff Daily sales'!$G19:$CD19))</f>
        <v>1469.03</v>
      </c>
      <c r="P34">
        <f>IF($E34=0,0,SUMPRODUCT($AI$10:$DF$10,'Staff Daily sales'!$G19:$CD19))</f>
        <v>9</v>
      </c>
      <c r="Q34">
        <f>IF($E34=0,0,SUMPRODUCT($AI$11:$DF$11,'Staff Daily sales'!$G19:$CD19))</f>
        <v>7599.16</v>
      </c>
      <c r="R34">
        <f>IF($E34=0,0,SUMPRODUCT($AI$12:$DF$12,'Staff Daily sales'!$G19:$CD19))</f>
        <v>53</v>
      </c>
      <c r="S34">
        <f>IF($E34=0,0,SUMPRODUCT($AI$13:$DF$13,'Staff Daily sales'!$G19:$CD19))</f>
        <v>860</v>
      </c>
      <c r="T34">
        <f>IF($E34=0,0,SUMPRODUCT($AI$14:$DF$14,'Staff Daily sales'!$G19:$CD19))</f>
        <v>7</v>
      </c>
      <c r="U34">
        <f>IF($E34=0,0,SUMPRODUCT($AI$15:$DF$15,'Staff Daily sales'!$G19:$CD19))</f>
        <v>1392.01</v>
      </c>
      <c r="V34">
        <f>IF($E34=0,0,SUMPRODUCT($AI$16:$DF$16,'Staff Daily sales'!$G19:$CD19))</f>
        <v>9</v>
      </c>
      <c r="W34">
        <f t="shared" si="31"/>
        <v>10152.209999999999</v>
      </c>
      <c r="X34">
        <f t="shared" si="32"/>
        <v>13529.200000000003</v>
      </c>
      <c r="Y34">
        <f t="shared" si="33"/>
        <v>13278.24</v>
      </c>
      <c r="Z34">
        <f t="shared" si="34"/>
        <v>9393.8100000000013</v>
      </c>
      <c r="AA34">
        <f t="shared" si="35"/>
        <v>2087.0100000000002</v>
      </c>
      <c r="AB34">
        <f>--AND($E34=1,OR('Staff Weekly Trend'!$B$3="All",$DH34='Staff Weekly Trend'!$B$3),OR('Staff Weekly Trend'!$B$4="All",$D34='Staff Weekly Trend'!$B$4),OR('Staff Weekly Trend'!$B$5="All",$A34='Staff Weekly Trend'!$B$5))</f>
        <v>1</v>
      </c>
      <c r="AC34" t="str">
        <f t="shared" si="36"/>
        <v/>
      </c>
      <c r="AG34" t="str">
        <v>HAAJAWED</v>
      </c>
      <c r="AI34">
        <f t="shared" si="37"/>
        <v>70</v>
      </c>
      <c r="AJ34">
        <f t="shared" si="38"/>
        <v>85</v>
      </c>
      <c r="AK34">
        <f t="shared" si="39"/>
        <v>88</v>
      </c>
      <c r="AL34">
        <f t="shared" si="40"/>
        <v>54</v>
      </c>
      <c r="AM34">
        <f t="shared" si="41"/>
        <v>13</v>
      </c>
      <c r="AN34" s="132">
        <v>46310</v>
      </c>
      <c r="AP34" s="132">
        <v>46310</v>
      </c>
      <c r="DH34" t="str" cm="1">
        <f t="array" ref="DH34">IF($A34="","",_xlfn.LET(_xlpm.c,IFERROR(_xlfn.XLOOKUP($A34,TRIM('Sales and count'!$A$4:$A$300&amp;""),TRIM('Sales and count'!$B$4:$B$300&amp;"")),""),IF(OR(_xlpm.c="",_xlpm.c="0",LEFT(_xlpm.c,1)="#"),"Not set",_xlpm.c)))</f>
        <v>KSA</v>
      </c>
    </row>
    <row r="35" spans="1:112" x14ac:dyDescent="0.25">
      <c r="A35" t="str">
        <f>IF('Staff Daily sales'!$B20="","",TRIM('Staff Daily sales'!$B20&amp;""))</f>
        <v>ALAZIZIYAH</v>
      </c>
      <c r="B35" t="str">
        <f>IF('Staff Daily sales'!$D20="","",TRIM('Staff Daily sales'!$D20&amp;""))</f>
        <v>3121-Awd Al-quthary</v>
      </c>
      <c r="C35" t="str">
        <f>IFERROR(TRIM('Staff Daily sales'!$E20&amp;""),"")</f>
        <v>Riyadh</v>
      </c>
      <c r="D35" t="str">
        <f>IFERROR(IF(TRIM('Staff Daily sales'!$F20&amp;"")="","Unassigned",TRIM('Staff Daily sales'!$F20&amp;"")),"Unassigned")</f>
        <v>Lina Al Ghathami</v>
      </c>
      <c r="E35">
        <f t="shared" si="26"/>
        <v>1</v>
      </c>
      <c r="F35">
        <f>IF($E35=0,0,SUMPRODUCT($AI$5:$DF$5,'Staff Daily sales'!$G20:$CD20))</f>
        <v>1067.96</v>
      </c>
      <c r="G35">
        <f>IF($E35=0,0,SUMPRODUCT($AI$6:$DF$6,'Staff Daily sales'!$G20:$CD20))</f>
        <v>7</v>
      </c>
      <c r="H35">
        <f t="shared" si="27"/>
        <v>6014.7900000000009</v>
      </c>
      <c r="I35">
        <f t="shared" si="28"/>
        <v>39</v>
      </c>
      <c r="J35">
        <f t="shared" si="29"/>
        <v>62915.250000000007</v>
      </c>
      <c r="K35">
        <f t="shared" si="30"/>
        <v>385</v>
      </c>
      <c r="L35">
        <f>--AND($E35=1,OR('Staff Dashboard'!$B$6="All",$DH35='Staff Dashboard'!$B$6),OR('Staff Dashboard'!$B$7="All",$D35='Staff Dashboard'!$B$7),OR('Staff Dashboard'!$B$8="All",$A35='Staff Dashboard'!$B$8))</f>
        <v>0</v>
      </c>
      <c r="M35">
        <f>IF($E35=0,0,SUMPRODUCT($AI$7:$DF$7,'Staff Daily sales'!$G20:$CD20))</f>
        <v>8026.2000000000007</v>
      </c>
      <c r="N35">
        <f>IF($E35=0,0,SUMPRODUCT($AI$8:$DF$8,'Staff Daily sales'!$G20:$CD20))</f>
        <v>64</v>
      </c>
      <c r="O35">
        <f>IF($E35=0,0,SUMPRODUCT($AI$9:$DF$9,'Staff Daily sales'!$G20:$CD20))</f>
        <v>10912.21</v>
      </c>
      <c r="P35">
        <f>IF($E35=0,0,SUMPRODUCT($AI$10:$DF$10,'Staff Daily sales'!$G20:$CD20))</f>
        <v>62</v>
      </c>
      <c r="Q35">
        <f>IF($E35=0,0,SUMPRODUCT($AI$11:$DF$11,'Staff Daily sales'!$G20:$CD20))</f>
        <v>5125.05</v>
      </c>
      <c r="R35">
        <f>IF($E35=0,0,SUMPRODUCT($AI$12:$DF$12,'Staff Daily sales'!$G20:$CD20))</f>
        <v>33</v>
      </c>
      <c r="S35">
        <f>IF($E35=0,0,SUMPRODUCT($AI$13:$DF$13,'Staff Daily sales'!$G20:$CD20))</f>
        <v>6684.03</v>
      </c>
      <c r="T35">
        <f>IF($E35=0,0,SUMPRODUCT($AI$14:$DF$14,'Staff Daily sales'!$G20:$CD20))</f>
        <v>32</v>
      </c>
      <c r="U35">
        <f>IF($E35=0,0,SUMPRODUCT($AI$15:$DF$15,'Staff Daily sales'!$G20:$CD20))</f>
        <v>0</v>
      </c>
      <c r="V35">
        <f>IF($E35=0,0,SUMPRODUCT($AI$16:$DF$16,'Staff Daily sales'!$G20:$CD20))</f>
        <v>0</v>
      </c>
      <c r="W35">
        <f t="shared" si="31"/>
        <v>39837.880000000005</v>
      </c>
      <c r="X35">
        <f t="shared" si="32"/>
        <v>61212.87000000001</v>
      </c>
      <c r="Y35">
        <f t="shared" si="33"/>
        <v>48165.78</v>
      </c>
      <c r="Z35">
        <f t="shared" si="34"/>
        <v>42987.689999999995</v>
      </c>
      <c r="AA35">
        <f t="shared" si="35"/>
        <v>9561.0800000000017</v>
      </c>
      <c r="AB35">
        <f>--AND($E35=1,OR('Staff Weekly Trend'!$B$3="All",$DH35='Staff Weekly Trend'!$B$3),OR('Staff Weekly Trend'!$B$4="All",$D35='Staff Weekly Trend'!$B$4),OR('Staff Weekly Trend'!$B$5="All",$A35='Staff Weekly Trend'!$B$5))</f>
        <v>1</v>
      </c>
      <c r="AC35">
        <f t="shared" si="36"/>
        <v>4</v>
      </c>
      <c r="AG35" t="str">
        <v>HAALITMED</v>
      </c>
      <c r="AI35">
        <f t="shared" si="37"/>
        <v>294</v>
      </c>
      <c r="AJ35">
        <f t="shared" si="38"/>
        <v>407</v>
      </c>
      <c r="AK35">
        <f t="shared" si="39"/>
        <v>291</v>
      </c>
      <c r="AL35">
        <f t="shared" si="40"/>
        <v>268</v>
      </c>
      <c r="AM35">
        <f t="shared" si="41"/>
        <v>52</v>
      </c>
      <c r="AN35" s="132">
        <v>46311</v>
      </c>
      <c r="AP35" s="132">
        <v>46311</v>
      </c>
      <c r="DH35" t="str" cm="1">
        <f t="array" ref="DH35">IF($A35="","",_xlfn.LET(_xlpm.c,IFERROR(_xlfn.XLOOKUP($A35,TRIM('Sales and count'!$A$4:$A$300&amp;""),TRIM('Sales and count'!$B$4:$B$300&amp;"")),""),IF(OR(_xlpm.c="",_xlpm.c="0",LEFT(_xlpm.c,1)="#"),"Not set",_xlpm.c)))</f>
        <v>KSA</v>
      </c>
    </row>
    <row r="36" spans="1:112" x14ac:dyDescent="0.25">
      <c r="A36" t="str">
        <f>IF('Staff Daily sales'!$B21="","",TRIM('Staff Daily sales'!$B21&amp;""))</f>
        <v>ALAZIZIYAH</v>
      </c>
      <c r="B36" t="str">
        <f>IF('Staff Daily sales'!$D21="","",TRIM('Staff Daily sales'!$D21&amp;""))</f>
        <v>3514-AGhazi</v>
      </c>
      <c r="C36" t="str">
        <f>IFERROR(TRIM('Staff Daily sales'!$E21&amp;""),"")</f>
        <v>Riyadh</v>
      </c>
      <c r="D36" t="str">
        <f>IFERROR(IF(TRIM('Staff Daily sales'!$F21&amp;"")="","Unassigned",TRIM('Staff Daily sales'!$F21&amp;"")),"Unassigned")</f>
        <v>Lina Al Ghathami</v>
      </c>
      <c r="E36">
        <f t="shared" si="26"/>
        <v>1</v>
      </c>
      <c r="F36">
        <f>IF($E36=0,0,SUMPRODUCT($AI$5:$DF$5,'Staff Daily sales'!$G21:$CD21))</f>
        <v>2178.96</v>
      </c>
      <c r="G36">
        <f>IF($E36=0,0,SUMPRODUCT($AI$6:$DF$6,'Staff Daily sales'!$G21:$CD21))</f>
        <v>15</v>
      </c>
      <c r="H36">
        <f t="shared" si="27"/>
        <v>6014.7900000000009</v>
      </c>
      <c r="I36">
        <f t="shared" si="28"/>
        <v>39</v>
      </c>
      <c r="J36">
        <f t="shared" si="29"/>
        <v>62915.250000000007</v>
      </c>
      <c r="K36">
        <f t="shared" si="30"/>
        <v>385</v>
      </c>
      <c r="L36">
        <f>--AND($E36=1,OR('Staff Dashboard'!$B$6="All",$DH36='Staff Dashboard'!$B$6),OR('Staff Dashboard'!$B$7="All",$D36='Staff Dashboard'!$B$7),OR('Staff Dashboard'!$B$8="All",$A36='Staff Dashboard'!$B$8))</f>
        <v>0</v>
      </c>
      <c r="M36">
        <f>IF($E36=0,0,SUMPRODUCT($AI$7:$DF$7,'Staff Daily sales'!$G21:$CD21))</f>
        <v>5242.0600000000004</v>
      </c>
      <c r="N36">
        <f>IF($E36=0,0,SUMPRODUCT($AI$8:$DF$8,'Staff Daily sales'!$G21:$CD21))</f>
        <v>34</v>
      </c>
      <c r="O36">
        <f>IF($E36=0,0,SUMPRODUCT($AI$9:$DF$9,'Staff Daily sales'!$G21:$CD21))</f>
        <v>16982.250000000004</v>
      </c>
      <c r="P36">
        <f>IF($E36=0,0,SUMPRODUCT($AI$10:$DF$10,'Staff Daily sales'!$G21:$CD21))</f>
        <v>106</v>
      </c>
      <c r="Q36">
        <f>IF($E36=0,0,SUMPRODUCT($AI$11:$DF$11,'Staff Daily sales'!$G21:$CD21))</f>
        <v>16205.330000000002</v>
      </c>
      <c r="R36">
        <f>IF($E36=0,0,SUMPRODUCT($AI$12:$DF$12,'Staff Daily sales'!$G21:$CD21))</f>
        <v>65</v>
      </c>
      <c r="S36">
        <f>IF($E36=0,0,SUMPRODUCT($AI$13:$DF$13,'Staff Daily sales'!$G21:$CD21))</f>
        <v>10486.099999999999</v>
      </c>
      <c r="T36">
        <f>IF($E36=0,0,SUMPRODUCT($AI$14:$DF$14,'Staff Daily sales'!$G21:$CD21))</f>
        <v>71</v>
      </c>
      <c r="U36">
        <f>IF($E36=0,0,SUMPRODUCT($AI$15:$DF$15,'Staff Daily sales'!$G21:$CD21))</f>
        <v>2281.9</v>
      </c>
      <c r="V36">
        <f>IF($E36=0,0,SUMPRODUCT($AI$16:$DF$16,'Staff Daily sales'!$G21:$CD21))</f>
        <v>12</v>
      </c>
      <c r="W36">
        <f t="shared" si="31"/>
        <v>39837.880000000005</v>
      </c>
      <c r="X36">
        <f t="shared" si="32"/>
        <v>61212.87000000001</v>
      </c>
      <c r="Y36">
        <f t="shared" si="33"/>
        <v>48165.78</v>
      </c>
      <c r="Z36">
        <f t="shared" si="34"/>
        <v>42987.689999999995</v>
      </c>
      <c r="AA36">
        <f t="shared" si="35"/>
        <v>9561.0800000000017</v>
      </c>
      <c r="AB36">
        <f>--AND($E36=1,OR('Staff Weekly Trend'!$B$3="All",$DH36='Staff Weekly Trend'!$B$3),OR('Staff Weekly Trend'!$B$4="All",$D36='Staff Weekly Trend'!$B$4),OR('Staff Weekly Trend'!$B$5="All",$A36='Staff Weekly Trend'!$B$5))</f>
        <v>1</v>
      </c>
      <c r="AC36">
        <f t="shared" si="36"/>
        <v>1</v>
      </c>
      <c r="AG36" t="str">
        <v>HAARARSOQ</v>
      </c>
      <c r="AI36">
        <f t="shared" si="37"/>
        <v>294</v>
      </c>
      <c r="AJ36">
        <f t="shared" si="38"/>
        <v>407</v>
      </c>
      <c r="AK36">
        <f t="shared" si="39"/>
        <v>291</v>
      </c>
      <c r="AL36">
        <f t="shared" si="40"/>
        <v>268</v>
      </c>
      <c r="AM36">
        <f t="shared" si="41"/>
        <v>52</v>
      </c>
      <c r="AN36" s="132">
        <v>46312</v>
      </c>
      <c r="AP36" s="132">
        <v>46312</v>
      </c>
      <c r="DH36" t="str" cm="1">
        <f t="array" ref="DH36">IF($A36="","",_xlfn.LET(_xlpm.c,IFERROR(_xlfn.XLOOKUP($A36,TRIM('Sales and count'!$A$4:$A$300&amp;""),TRIM('Sales and count'!$B$4:$B$300&amp;"")),""),IF(OR(_xlpm.c="",_xlpm.c="0",LEFT(_xlpm.c,1)="#"),"Not set",_xlpm.c)))</f>
        <v>KSA</v>
      </c>
    </row>
    <row r="37" spans="1:112" x14ac:dyDescent="0.25">
      <c r="A37" t="str">
        <f>IF('Staff Daily sales'!$B22="","",TRIM('Staff Daily sales'!$B22&amp;""))</f>
        <v>ALAZIZIYAH</v>
      </c>
      <c r="B37" t="str">
        <f>IF('Staff Daily sales'!$D22="","",TRIM('Staff Daily sales'!$D22&amp;""))</f>
        <v>3695-EAlmutairi</v>
      </c>
      <c r="C37" t="str">
        <f>IFERROR(TRIM('Staff Daily sales'!$E22&amp;""),"")</f>
        <v>Riyadh</v>
      </c>
      <c r="D37" t="str">
        <f>IFERROR(IF(TRIM('Staff Daily sales'!$F22&amp;"")="","Unassigned",TRIM('Staff Daily sales'!$F22&amp;"")),"Unassigned")</f>
        <v>Lina Al Ghathami</v>
      </c>
      <c r="E37">
        <f t="shared" si="26"/>
        <v>1</v>
      </c>
      <c r="F37">
        <f>IF($E37=0,0,SUMPRODUCT($AI$5:$DF$5,'Staff Daily sales'!$G22:$CD22))</f>
        <v>1137.97</v>
      </c>
      <c r="G37">
        <f>IF($E37=0,0,SUMPRODUCT($AI$6:$DF$6,'Staff Daily sales'!$G22:$CD22))</f>
        <v>6</v>
      </c>
      <c r="H37">
        <f t="shared" si="27"/>
        <v>6014.7900000000009</v>
      </c>
      <c r="I37">
        <f t="shared" si="28"/>
        <v>39</v>
      </c>
      <c r="J37">
        <f t="shared" si="29"/>
        <v>62915.250000000007</v>
      </c>
      <c r="K37">
        <f t="shared" si="30"/>
        <v>385</v>
      </c>
      <c r="L37">
        <f>--AND($E37=1,OR('Staff Dashboard'!$B$6="All",$DH37='Staff Dashboard'!$B$6),OR('Staff Dashboard'!$B$7="All",$D37='Staff Dashboard'!$B$7),OR('Staff Dashboard'!$B$8="All",$A37='Staff Dashboard'!$B$8))</f>
        <v>0</v>
      </c>
      <c r="M37">
        <f>IF($E37=0,0,SUMPRODUCT($AI$7:$DF$7,'Staff Daily sales'!$G22:$CD22))</f>
        <v>13767.36</v>
      </c>
      <c r="N37">
        <f>IF($E37=0,0,SUMPRODUCT($AI$8:$DF$8,'Staff Daily sales'!$G22:$CD22))</f>
        <v>93</v>
      </c>
      <c r="O37">
        <f>IF($E37=0,0,SUMPRODUCT($AI$9:$DF$9,'Staff Daily sales'!$G22:$CD22))</f>
        <v>15760.180000000002</v>
      </c>
      <c r="P37">
        <f>IF($E37=0,0,SUMPRODUCT($AI$10:$DF$10,'Staff Daily sales'!$G22:$CD22))</f>
        <v>108</v>
      </c>
      <c r="Q37">
        <f>IF($E37=0,0,SUMPRODUCT($AI$11:$DF$11,'Staff Daily sales'!$G22:$CD22))</f>
        <v>13359.19</v>
      </c>
      <c r="R37">
        <f>IF($E37=0,0,SUMPRODUCT($AI$12:$DF$12,'Staff Daily sales'!$G22:$CD22))</f>
        <v>93</v>
      </c>
      <c r="S37">
        <f>IF($E37=0,0,SUMPRODUCT($AI$13:$DF$13,'Staff Daily sales'!$G22:$CD22))</f>
        <v>10665.75</v>
      </c>
      <c r="T37">
        <f>IF($E37=0,0,SUMPRODUCT($AI$14:$DF$14,'Staff Daily sales'!$G22:$CD22))</f>
        <v>61</v>
      </c>
      <c r="U37">
        <f>IF($E37=0,0,SUMPRODUCT($AI$15:$DF$15,'Staff Daily sales'!$G22:$CD22))</f>
        <v>4591.22</v>
      </c>
      <c r="V37">
        <f>IF($E37=0,0,SUMPRODUCT($AI$16:$DF$16,'Staff Daily sales'!$G22:$CD22))</f>
        <v>24</v>
      </c>
      <c r="W37">
        <f t="shared" si="31"/>
        <v>39837.880000000005</v>
      </c>
      <c r="X37">
        <f t="shared" si="32"/>
        <v>61212.87000000001</v>
      </c>
      <c r="Y37">
        <f t="shared" si="33"/>
        <v>48165.78</v>
      </c>
      <c r="Z37">
        <f t="shared" si="34"/>
        <v>42987.689999999995</v>
      </c>
      <c r="AA37">
        <f t="shared" si="35"/>
        <v>9561.0800000000017</v>
      </c>
      <c r="AB37">
        <f>--AND($E37=1,OR('Staff Weekly Trend'!$B$3="All",$DH37='Staff Weekly Trend'!$B$3),OR('Staff Weekly Trend'!$B$4="All",$D37='Staff Weekly Trend'!$B$4),OR('Staff Weekly Trend'!$B$5="All",$A37='Staff Weekly Trend'!$B$5))</f>
        <v>1</v>
      </c>
      <c r="AC37">
        <f t="shared" si="36"/>
        <v>3</v>
      </c>
      <c r="AG37" t="str">
        <v>HAAZZANPLZ</v>
      </c>
      <c r="AI37">
        <f t="shared" si="37"/>
        <v>294</v>
      </c>
      <c r="AJ37">
        <f t="shared" si="38"/>
        <v>407</v>
      </c>
      <c r="AK37">
        <f t="shared" si="39"/>
        <v>291</v>
      </c>
      <c r="AL37">
        <f t="shared" si="40"/>
        <v>268</v>
      </c>
      <c r="AM37">
        <f t="shared" si="41"/>
        <v>52</v>
      </c>
      <c r="AN37" s="132">
        <v>46313</v>
      </c>
      <c r="AP37" s="132">
        <v>46313</v>
      </c>
      <c r="DH37" t="str" cm="1">
        <f t="array" ref="DH37">IF($A37="","",_xlfn.LET(_xlpm.c,IFERROR(_xlfn.XLOOKUP($A37,TRIM('Sales and count'!$A$4:$A$300&amp;""),TRIM('Sales and count'!$B$4:$B$300&amp;"")),""),IF(OR(_xlpm.c="",_xlpm.c="0",LEFT(_xlpm.c,1)="#"),"Not set",_xlpm.c)))</f>
        <v>KSA</v>
      </c>
    </row>
    <row r="38" spans="1:112" x14ac:dyDescent="0.25">
      <c r="A38" t="str">
        <f>IF('Staff Daily sales'!$B23="","",TRIM('Staff Daily sales'!$B23&amp;""))</f>
        <v>ALAZIZIYAH</v>
      </c>
      <c r="B38" t="str">
        <f>IF('Staff Daily sales'!$D23="","",TRIM('Staff Daily sales'!$D23&amp;""))</f>
        <v>4502-HAltharwi</v>
      </c>
      <c r="C38" t="str">
        <f>IFERROR(TRIM('Staff Daily sales'!$E23&amp;""),"")</f>
        <v>Riyadh</v>
      </c>
      <c r="D38" t="str">
        <f>IFERROR(IF(TRIM('Staff Daily sales'!$F23&amp;"")="","Unassigned",TRIM('Staff Daily sales'!$F23&amp;"")),"Unassigned")</f>
        <v>Lina Al Ghathami</v>
      </c>
      <c r="E38">
        <f t="shared" si="26"/>
        <v>1</v>
      </c>
      <c r="F38">
        <f>IF($E38=0,0,SUMPRODUCT($AI$5:$DF$5,'Staff Daily sales'!$G23:$CD23))</f>
        <v>1629.9</v>
      </c>
      <c r="G38">
        <f>IF($E38=0,0,SUMPRODUCT($AI$6:$DF$6,'Staff Daily sales'!$G23:$CD23))</f>
        <v>11</v>
      </c>
      <c r="H38">
        <f t="shared" si="27"/>
        <v>6014.7900000000009</v>
      </c>
      <c r="I38">
        <f t="shared" si="28"/>
        <v>39</v>
      </c>
      <c r="J38">
        <f t="shared" si="29"/>
        <v>62915.250000000007</v>
      </c>
      <c r="K38">
        <f t="shared" si="30"/>
        <v>385</v>
      </c>
      <c r="L38">
        <f>--AND($E38=1,OR('Staff Dashboard'!$B$6="All",$DH38='Staff Dashboard'!$B$6),OR('Staff Dashboard'!$B$7="All",$D38='Staff Dashboard'!$B$7),OR('Staff Dashboard'!$B$8="All",$A38='Staff Dashboard'!$B$8))</f>
        <v>0</v>
      </c>
      <c r="M38">
        <f>IF($E38=0,0,SUMPRODUCT($AI$7:$DF$7,'Staff Daily sales'!$G23:$CD23))</f>
        <v>12802.26</v>
      </c>
      <c r="N38">
        <f>IF($E38=0,0,SUMPRODUCT($AI$8:$DF$8,'Staff Daily sales'!$G23:$CD23))</f>
        <v>103</v>
      </c>
      <c r="O38">
        <f>IF($E38=0,0,SUMPRODUCT($AI$9:$DF$9,'Staff Daily sales'!$G23:$CD23))</f>
        <v>17558.23</v>
      </c>
      <c r="P38">
        <f>IF($E38=0,0,SUMPRODUCT($AI$10:$DF$10,'Staff Daily sales'!$G23:$CD23))</f>
        <v>131</v>
      </c>
      <c r="Q38">
        <f>IF($E38=0,0,SUMPRODUCT($AI$11:$DF$11,'Staff Daily sales'!$G23:$CD23))</f>
        <v>13476.21</v>
      </c>
      <c r="R38">
        <f>IF($E38=0,0,SUMPRODUCT($AI$12:$DF$12,'Staff Daily sales'!$G23:$CD23))</f>
        <v>100</v>
      </c>
      <c r="S38">
        <f>IF($E38=0,0,SUMPRODUCT($AI$13:$DF$13,'Staff Daily sales'!$G23:$CD23))</f>
        <v>15151.81</v>
      </c>
      <c r="T38">
        <f>IF($E38=0,0,SUMPRODUCT($AI$14:$DF$14,'Staff Daily sales'!$G23:$CD23))</f>
        <v>104</v>
      </c>
      <c r="U38">
        <f>IF($E38=0,0,SUMPRODUCT($AI$15:$DF$15,'Staff Daily sales'!$G23:$CD23))</f>
        <v>2687.96</v>
      </c>
      <c r="V38">
        <f>IF($E38=0,0,SUMPRODUCT($AI$16:$DF$16,'Staff Daily sales'!$G23:$CD23))</f>
        <v>16</v>
      </c>
      <c r="W38">
        <f t="shared" si="31"/>
        <v>39837.880000000005</v>
      </c>
      <c r="X38">
        <f t="shared" si="32"/>
        <v>61212.87000000001</v>
      </c>
      <c r="Y38">
        <f t="shared" si="33"/>
        <v>48165.78</v>
      </c>
      <c r="Z38">
        <f t="shared" si="34"/>
        <v>42987.689999999995</v>
      </c>
      <c r="AA38">
        <f t="shared" si="35"/>
        <v>9561.0800000000017</v>
      </c>
      <c r="AB38">
        <f>--AND($E38=1,OR('Staff Weekly Trend'!$B$3="All",$DH38='Staff Weekly Trend'!$B$3),OR('Staff Weekly Trend'!$B$4="All",$D38='Staff Weekly Trend'!$B$4),OR('Staff Weekly Trend'!$B$5="All",$A38='Staff Weekly Trend'!$B$5))</f>
        <v>1</v>
      </c>
      <c r="AC38">
        <f t="shared" si="36"/>
        <v>2</v>
      </c>
      <c r="AG38" t="str">
        <v>HABAHAB</v>
      </c>
      <c r="AI38">
        <f t="shared" si="37"/>
        <v>294</v>
      </c>
      <c r="AJ38">
        <f t="shared" si="38"/>
        <v>407</v>
      </c>
      <c r="AK38">
        <f t="shared" si="39"/>
        <v>291</v>
      </c>
      <c r="AL38">
        <f t="shared" si="40"/>
        <v>268</v>
      </c>
      <c r="AM38">
        <f t="shared" si="41"/>
        <v>52</v>
      </c>
      <c r="AN38" s="132">
        <v>46314</v>
      </c>
      <c r="AP38" s="132">
        <v>46314</v>
      </c>
      <c r="DH38" t="str" cm="1">
        <f t="array" ref="DH38">IF($A38="","",_xlfn.LET(_xlpm.c,IFERROR(_xlfn.XLOOKUP($A38,TRIM('Sales and count'!$A$4:$A$300&amp;""),TRIM('Sales and count'!$B$4:$B$300&amp;"")),""),IF(OR(_xlpm.c="",_xlpm.c="0",LEFT(_xlpm.c,1)="#"),"Not set",_xlpm.c)))</f>
        <v>KSA</v>
      </c>
    </row>
    <row r="39" spans="1:112" x14ac:dyDescent="0.25">
      <c r="A39" t="str">
        <f>IF('Staff Daily sales'!$B24="","",TRIM('Staff Daily sales'!$B24&amp;""))</f>
        <v>HAMDANYA</v>
      </c>
      <c r="B39" t="str">
        <f>IF('Staff Daily sales'!$D24="","",TRIM('Staff Daily sales'!$D24&amp;""))</f>
        <v>3255-Khaled Al-Fifi</v>
      </c>
      <c r="C39" t="str">
        <f>IFERROR(TRIM('Staff Daily sales'!$E24&amp;""),"")</f>
        <v>Jeddah</v>
      </c>
      <c r="D39" t="str">
        <f>IFERROR(IF(TRIM('Staff Daily sales'!$F24&amp;"")="","Unassigned",TRIM('Staff Daily sales'!$F24&amp;"")),"Unassigned")</f>
        <v>Saleh Bin Hoiel</v>
      </c>
      <c r="E39">
        <f t="shared" si="26"/>
        <v>1</v>
      </c>
      <c r="F39">
        <f>IF($E39=0,0,SUMPRODUCT($AI$5:$DF$5,'Staff Daily sales'!$G24:$CD24))</f>
        <v>0</v>
      </c>
      <c r="G39">
        <f>IF($E39=0,0,SUMPRODUCT($AI$6:$DF$6,'Staff Daily sales'!$G24:$CD24))</f>
        <v>0</v>
      </c>
      <c r="H39">
        <f t="shared" si="27"/>
        <v>5688.76</v>
      </c>
      <c r="I39">
        <f t="shared" si="28"/>
        <v>32</v>
      </c>
      <c r="J39">
        <f t="shared" si="29"/>
        <v>69638.36</v>
      </c>
      <c r="K39">
        <f t="shared" si="30"/>
        <v>362</v>
      </c>
      <c r="L39">
        <f>--AND($E39=1,OR('Staff Dashboard'!$B$6="All",$DH39='Staff Dashboard'!$B$6),OR('Staff Dashboard'!$B$7="All",$D39='Staff Dashboard'!$B$7),OR('Staff Dashboard'!$B$8="All",$A39='Staff Dashboard'!$B$8))</f>
        <v>0</v>
      </c>
      <c r="M39">
        <f>IF($E39=0,0,SUMPRODUCT($AI$7:$DF$7,'Staff Daily sales'!$G24:$CD24))</f>
        <v>4243.1000000000004</v>
      </c>
      <c r="N39">
        <f>IF($E39=0,0,SUMPRODUCT($AI$8:$DF$8,'Staff Daily sales'!$G24:$CD24))</f>
        <v>35</v>
      </c>
      <c r="O39">
        <f>IF($E39=0,0,SUMPRODUCT($AI$9:$DF$9,'Staff Daily sales'!$G24:$CD24))</f>
        <v>8626.130000000001</v>
      </c>
      <c r="P39">
        <f>IF($E39=0,0,SUMPRODUCT($AI$10:$DF$10,'Staff Daily sales'!$G24:$CD24))</f>
        <v>58</v>
      </c>
      <c r="Q39">
        <f>IF($E39=0,0,SUMPRODUCT($AI$11:$DF$11,'Staff Daily sales'!$G24:$CD24))</f>
        <v>4858.1099999999997</v>
      </c>
      <c r="R39">
        <f>IF($E39=0,0,SUMPRODUCT($AI$12:$DF$12,'Staff Daily sales'!$G24:$CD24))</f>
        <v>37</v>
      </c>
      <c r="S39">
        <f>IF($E39=0,0,SUMPRODUCT($AI$13:$DF$13,'Staff Daily sales'!$G24:$CD24))</f>
        <v>4418.07</v>
      </c>
      <c r="T39">
        <f>IF($E39=0,0,SUMPRODUCT($AI$14:$DF$14,'Staff Daily sales'!$G24:$CD24))</f>
        <v>33</v>
      </c>
      <c r="U39">
        <f>IF($E39=0,0,SUMPRODUCT($AI$15:$DF$15,'Staff Daily sales'!$G24:$CD24))</f>
        <v>3360.08</v>
      </c>
      <c r="V39">
        <f>IF($E39=0,0,SUMPRODUCT($AI$16:$DF$16,'Staff Daily sales'!$G24:$CD24))</f>
        <v>19</v>
      </c>
      <c r="W39">
        <f t="shared" si="31"/>
        <v>35588.86</v>
      </c>
      <c r="X39">
        <f t="shared" si="32"/>
        <v>50707.840000000004</v>
      </c>
      <c r="Y39">
        <f t="shared" si="33"/>
        <v>37549.689999999995</v>
      </c>
      <c r="Z39">
        <f t="shared" si="34"/>
        <v>34288.6</v>
      </c>
      <c r="AA39">
        <f t="shared" si="35"/>
        <v>12083.18</v>
      </c>
      <c r="AB39">
        <f>--AND($E39=1,OR('Staff Weekly Trend'!$B$3="All",$DH39='Staff Weekly Trend'!$B$3),OR('Staff Weekly Trend'!$B$4="All",$D39='Staff Weekly Trend'!$B$4),OR('Staff Weekly Trend'!$B$5="All",$A39='Staff Weekly Trend'!$B$5))</f>
        <v>1</v>
      </c>
      <c r="AC39" t="str">
        <f t="shared" si="36"/>
        <v/>
      </c>
      <c r="AG39" t="str">
        <v>HABAHAML</v>
      </c>
      <c r="AI39">
        <f t="shared" si="37"/>
        <v>218</v>
      </c>
      <c r="AJ39">
        <f t="shared" si="38"/>
        <v>335</v>
      </c>
      <c r="AK39">
        <f t="shared" si="39"/>
        <v>250</v>
      </c>
      <c r="AL39">
        <f t="shared" si="40"/>
        <v>219</v>
      </c>
      <c r="AM39">
        <f t="shared" si="41"/>
        <v>70</v>
      </c>
      <c r="AN39" s="132">
        <v>46315</v>
      </c>
      <c r="AP39" s="132">
        <v>46315</v>
      </c>
      <c r="DH39" t="str" cm="1">
        <f t="array" ref="DH39">IF($A39="","",_xlfn.LET(_xlpm.c,IFERROR(_xlfn.XLOOKUP($A39,TRIM('Sales and count'!$A$4:$A$300&amp;""),TRIM('Sales and count'!$B$4:$B$300&amp;"")),""),IF(OR(_xlpm.c="",_xlpm.c="0",LEFT(_xlpm.c,1)="#"),"Not set",_xlpm.c)))</f>
        <v>KSA</v>
      </c>
    </row>
    <row r="40" spans="1:112" x14ac:dyDescent="0.25">
      <c r="A40" t="str">
        <f>IF('Staff Daily sales'!$B25="","",TRIM('Staff Daily sales'!$B25&amp;""))</f>
        <v>HAMDANYA</v>
      </c>
      <c r="B40" t="str">
        <f>IF('Staff Daily sales'!$D25="","",TRIM('Staff Daily sales'!$D25&amp;""))</f>
        <v>4298-AAlmagnone</v>
      </c>
      <c r="C40" t="str">
        <f>IFERROR(TRIM('Staff Daily sales'!$E25&amp;""),"")</f>
        <v>Jeddah</v>
      </c>
      <c r="D40" t="str">
        <f>IFERROR(IF(TRIM('Staff Daily sales'!$F25&amp;"")="","Unassigned",TRIM('Staff Daily sales'!$F25&amp;"")),"Unassigned")</f>
        <v>Saleh Bin Hoiel</v>
      </c>
      <c r="E40">
        <f t="shared" si="26"/>
        <v>1</v>
      </c>
      <c r="F40">
        <f>IF($E40=0,0,SUMPRODUCT($AI$5:$DF$5,'Staff Daily sales'!$G25:$CD25))</f>
        <v>0</v>
      </c>
      <c r="G40">
        <f>IF($E40=0,0,SUMPRODUCT($AI$6:$DF$6,'Staff Daily sales'!$G25:$CD25))</f>
        <v>0</v>
      </c>
      <c r="H40">
        <f t="shared" si="27"/>
        <v>5688.76</v>
      </c>
      <c r="I40">
        <f t="shared" si="28"/>
        <v>32</v>
      </c>
      <c r="J40">
        <f t="shared" si="29"/>
        <v>69638.36</v>
      </c>
      <c r="K40">
        <f t="shared" si="30"/>
        <v>362</v>
      </c>
      <c r="L40">
        <f>--AND($E40=1,OR('Staff Dashboard'!$B$6="All",$DH40='Staff Dashboard'!$B$6),OR('Staff Dashboard'!$B$7="All",$D40='Staff Dashboard'!$B$7),OR('Staff Dashboard'!$B$8="All",$A40='Staff Dashboard'!$B$8))</f>
        <v>0</v>
      </c>
      <c r="M40">
        <f>IF($E40=0,0,SUMPRODUCT($AI$7:$DF$7,'Staff Daily sales'!$G25:$CD25))</f>
        <v>2911.06</v>
      </c>
      <c r="N40">
        <f>IF($E40=0,0,SUMPRODUCT($AI$8:$DF$8,'Staff Daily sales'!$G25:$CD25))</f>
        <v>20</v>
      </c>
      <c r="O40">
        <f>IF($E40=0,0,SUMPRODUCT($AI$9:$DF$9,'Staff Daily sales'!$G25:$CD25))</f>
        <v>4736.0599999999995</v>
      </c>
      <c r="P40">
        <f>IF($E40=0,0,SUMPRODUCT($AI$10:$DF$10,'Staff Daily sales'!$G25:$CD25))</f>
        <v>37</v>
      </c>
      <c r="Q40">
        <f>IF($E40=0,0,SUMPRODUCT($AI$11:$DF$11,'Staff Daily sales'!$G25:$CD25))</f>
        <v>4249.0599999999995</v>
      </c>
      <c r="R40">
        <f>IF($E40=0,0,SUMPRODUCT($AI$12:$DF$12,'Staff Daily sales'!$G25:$CD25))</f>
        <v>28</v>
      </c>
      <c r="S40">
        <f>IF($E40=0,0,SUMPRODUCT($AI$13:$DF$13,'Staff Daily sales'!$G25:$CD25))</f>
        <v>4687.96</v>
      </c>
      <c r="T40">
        <f>IF($E40=0,0,SUMPRODUCT($AI$14:$DF$14,'Staff Daily sales'!$G25:$CD25))</f>
        <v>33</v>
      </c>
      <c r="U40">
        <f>IF($E40=0,0,SUMPRODUCT($AI$15:$DF$15,'Staff Daily sales'!$G25:$CD25))</f>
        <v>2956.11</v>
      </c>
      <c r="V40">
        <f>IF($E40=0,0,SUMPRODUCT($AI$16:$DF$16,'Staff Daily sales'!$G25:$CD25))</f>
        <v>15</v>
      </c>
      <c r="W40">
        <f t="shared" si="31"/>
        <v>35588.86</v>
      </c>
      <c r="X40">
        <f t="shared" si="32"/>
        <v>50707.840000000004</v>
      </c>
      <c r="Y40">
        <f t="shared" si="33"/>
        <v>37549.689999999995</v>
      </c>
      <c r="Z40">
        <f t="shared" si="34"/>
        <v>34288.6</v>
      </c>
      <c r="AA40">
        <f t="shared" si="35"/>
        <v>12083.18</v>
      </c>
      <c r="AB40">
        <f>--AND($E40=1,OR('Staff Weekly Trend'!$B$3="All",$DH40='Staff Weekly Trend'!$B$3),OR('Staff Weekly Trend'!$B$4="All",$D40='Staff Weekly Trend'!$B$4),OR('Staff Weekly Trend'!$B$5="All",$A40='Staff Weekly Trend'!$B$5))</f>
        <v>1</v>
      </c>
      <c r="AC40" t="str">
        <f t="shared" si="36"/>
        <v/>
      </c>
      <c r="AG40" t="str">
        <v>HACFRONT</v>
      </c>
      <c r="AI40">
        <f t="shared" si="37"/>
        <v>218</v>
      </c>
      <c r="AJ40">
        <f t="shared" si="38"/>
        <v>335</v>
      </c>
      <c r="AK40">
        <f t="shared" si="39"/>
        <v>250</v>
      </c>
      <c r="AL40">
        <f t="shared" si="40"/>
        <v>219</v>
      </c>
      <c r="AM40">
        <f t="shared" si="41"/>
        <v>70</v>
      </c>
      <c r="AN40" s="132">
        <v>46316</v>
      </c>
      <c r="AP40" s="132">
        <v>46316</v>
      </c>
      <c r="DH40" t="str" cm="1">
        <f t="array" ref="DH40">IF($A40="","",_xlfn.LET(_xlpm.c,IFERROR(_xlfn.XLOOKUP($A40,TRIM('Sales and count'!$A$4:$A$300&amp;""),TRIM('Sales and count'!$B$4:$B$300&amp;"")),""),IF(OR(_xlpm.c="",_xlpm.c="0",LEFT(_xlpm.c,1)="#"),"Not set",_xlpm.c)))</f>
        <v>KSA</v>
      </c>
    </row>
    <row r="41" spans="1:112" x14ac:dyDescent="0.25">
      <c r="A41" t="str">
        <f>IF('Staff Daily sales'!$B26="","",TRIM('Staff Daily sales'!$B26&amp;""))</f>
        <v>HAMDANYA</v>
      </c>
      <c r="B41" t="str">
        <f>IF('Staff Daily sales'!$D26="","",TRIM('Staff Daily sales'!$D26&amp;""))</f>
        <v>5234-MSaiadi</v>
      </c>
      <c r="C41" t="str">
        <f>IFERROR(TRIM('Staff Daily sales'!$E26&amp;""),"")</f>
        <v>Jeddah</v>
      </c>
      <c r="D41" t="str">
        <f>IFERROR(IF(TRIM('Staff Daily sales'!$F26&amp;"")="","Unassigned",TRIM('Staff Daily sales'!$F26&amp;"")),"Unassigned")</f>
        <v>Saleh Bin Hoiel</v>
      </c>
      <c r="E41">
        <f t="shared" si="26"/>
        <v>1</v>
      </c>
      <c r="F41">
        <f>IF($E41=0,0,SUMPRODUCT($AI$5:$DF$5,'Staff Daily sales'!$G26:$CD26))</f>
        <v>225.98</v>
      </c>
      <c r="G41">
        <f>IF($E41=0,0,SUMPRODUCT($AI$6:$DF$6,'Staff Daily sales'!$G26:$CD26))</f>
        <v>1</v>
      </c>
      <c r="H41">
        <f t="shared" si="27"/>
        <v>5688.76</v>
      </c>
      <c r="I41">
        <f t="shared" si="28"/>
        <v>32</v>
      </c>
      <c r="J41">
        <f t="shared" si="29"/>
        <v>69638.36</v>
      </c>
      <c r="K41">
        <f t="shared" si="30"/>
        <v>362</v>
      </c>
      <c r="L41">
        <f>--AND($E41=1,OR('Staff Dashboard'!$B$6="All",$DH41='Staff Dashboard'!$B$6),OR('Staff Dashboard'!$B$7="All",$D41='Staff Dashboard'!$B$7),OR('Staff Dashboard'!$B$8="All",$A41='Staff Dashboard'!$B$8))</f>
        <v>0</v>
      </c>
      <c r="M41">
        <f>IF($E41=0,0,SUMPRODUCT($AI$7:$DF$7,'Staff Daily sales'!$G26:$CD26))</f>
        <v>5115.07</v>
      </c>
      <c r="N41">
        <f>IF($E41=0,0,SUMPRODUCT($AI$8:$DF$8,'Staff Daily sales'!$G26:$CD26))</f>
        <v>30</v>
      </c>
      <c r="O41">
        <f>IF($E41=0,0,SUMPRODUCT($AI$9:$DF$9,'Staff Daily sales'!$G26:$CD26))</f>
        <v>9289.1</v>
      </c>
      <c r="P41">
        <f>IF($E41=0,0,SUMPRODUCT($AI$10:$DF$10,'Staff Daily sales'!$G26:$CD26))</f>
        <v>57</v>
      </c>
      <c r="Q41">
        <f>IF($E41=0,0,SUMPRODUCT($AI$11:$DF$11,'Staff Daily sales'!$G26:$CD26))</f>
        <v>5658.07</v>
      </c>
      <c r="R41">
        <f>IF($E41=0,0,SUMPRODUCT($AI$12:$DF$12,'Staff Daily sales'!$G26:$CD26))</f>
        <v>38</v>
      </c>
      <c r="S41">
        <f>IF($E41=0,0,SUMPRODUCT($AI$13:$DF$13,'Staff Daily sales'!$G26:$CD26))</f>
        <v>4644.84</v>
      </c>
      <c r="T41">
        <f>IF($E41=0,0,SUMPRODUCT($AI$14:$DF$14,'Staff Daily sales'!$G26:$CD26))</f>
        <v>29</v>
      </c>
      <c r="U41">
        <f>IF($E41=0,0,SUMPRODUCT($AI$15:$DF$15,'Staff Daily sales'!$G26:$CD26))</f>
        <v>0</v>
      </c>
      <c r="V41">
        <f>IF($E41=0,0,SUMPRODUCT($AI$16:$DF$16,'Staff Daily sales'!$G26:$CD26))</f>
        <v>0</v>
      </c>
      <c r="W41">
        <f t="shared" si="31"/>
        <v>35588.86</v>
      </c>
      <c r="X41">
        <f t="shared" si="32"/>
        <v>50707.840000000004</v>
      </c>
      <c r="Y41">
        <f t="shared" si="33"/>
        <v>37549.689999999995</v>
      </c>
      <c r="Z41">
        <f t="shared" si="34"/>
        <v>34288.6</v>
      </c>
      <c r="AA41">
        <f t="shared" si="35"/>
        <v>12083.18</v>
      </c>
      <c r="AB41">
        <f>--AND($E41=1,OR('Staff Weekly Trend'!$B$3="All",$DH41='Staff Weekly Trend'!$B$3),OR('Staff Weekly Trend'!$B$4="All",$D41='Staff Weekly Trend'!$B$4),OR('Staff Weekly Trend'!$B$5="All",$A41='Staff Weekly Trend'!$B$5))</f>
        <v>1</v>
      </c>
      <c r="AC41">
        <f t="shared" si="36"/>
        <v>4</v>
      </c>
      <c r="AG41" t="str">
        <v>HACOMPLZ</v>
      </c>
      <c r="AI41">
        <f t="shared" si="37"/>
        <v>218</v>
      </c>
      <c r="AJ41">
        <f t="shared" si="38"/>
        <v>335</v>
      </c>
      <c r="AK41">
        <f t="shared" si="39"/>
        <v>250</v>
      </c>
      <c r="AL41">
        <f t="shared" si="40"/>
        <v>219</v>
      </c>
      <c r="AM41">
        <f t="shared" si="41"/>
        <v>70</v>
      </c>
      <c r="AN41" s="132">
        <v>46317</v>
      </c>
      <c r="AP41" s="132">
        <v>46317</v>
      </c>
      <c r="DH41" t="str" cm="1">
        <f t="array" ref="DH41">IF($A41="","",_xlfn.LET(_xlpm.c,IFERROR(_xlfn.XLOOKUP($A41,TRIM('Sales and count'!$A$4:$A$300&amp;""),TRIM('Sales and count'!$B$4:$B$300&amp;"")),""),IF(OR(_xlpm.c="",_xlpm.c="0",LEFT(_xlpm.c,1)="#"),"Not set",_xlpm.c)))</f>
        <v>KSA</v>
      </c>
    </row>
    <row r="42" spans="1:112" x14ac:dyDescent="0.25">
      <c r="A42" t="str">
        <f>IF('Staff Daily sales'!$B27="","",TRIM('Staff Daily sales'!$B27&amp;""))</f>
        <v>HAMDANYA</v>
      </c>
      <c r="B42" t="str">
        <f>IF('Staff Daily sales'!$D27="","",TRIM('Staff Daily sales'!$D27&amp;""))</f>
        <v>5490-Mhamid</v>
      </c>
      <c r="C42" t="str">
        <f>IFERROR(TRIM('Staff Daily sales'!$E27&amp;""),"")</f>
        <v>Jeddah</v>
      </c>
      <c r="D42" t="str">
        <f>IFERROR(IF(TRIM('Staff Daily sales'!$F27&amp;"")="","Unassigned",TRIM('Staff Daily sales'!$F27&amp;"")),"Unassigned")</f>
        <v>Saleh Bin Hoiel</v>
      </c>
      <c r="E42">
        <f t="shared" si="26"/>
        <v>1</v>
      </c>
      <c r="F42">
        <f>IF($E42=0,0,SUMPRODUCT($AI$5:$DF$5,'Staff Daily sales'!$G27:$CD27))</f>
        <v>2995.89</v>
      </c>
      <c r="G42">
        <f>IF($E42=0,0,SUMPRODUCT($AI$6:$DF$6,'Staff Daily sales'!$G27:$CD27))</f>
        <v>16</v>
      </c>
      <c r="H42">
        <f t="shared" si="27"/>
        <v>5688.76</v>
      </c>
      <c r="I42">
        <f t="shared" si="28"/>
        <v>32</v>
      </c>
      <c r="J42">
        <f t="shared" si="29"/>
        <v>69638.36</v>
      </c>
      <c r="K42">
        <f t="shared" si="30"/>
        <v>362</v>
      </c>
      <c r="L42">
        <f>--AND($E42=1,OR('Staff Dashboard'!$B$6="All",$DH42='Staff Dashboard'!$B$6),OR('Staff Dashboard'!$B$7="All",$D42='Staff Dashboard'!$B$7),OR('Staff Dashboard'!$B$8="All",$A42='Staff Dashboard'!$B$8))</f>
        <v>0</v>
      </c>
      <c r="M42">
        <f>IF($E42=0,0,SUMPRODUCT($AI$7:$DF$7,'Staff Daily sales'!$G27:$CD27))</f>
        <v>10727.34</v>
      </c>
      <c r="N42">
        <f>IF($E42=0,0,SUMPRODUCT($AI$8:$DF$8,'Staff Daily sales'!$G27:$CD27))</f>
        <v>54</v>
      </c>
      <c r="O42">
        <f>IF($E42=0,0,SUMPRODUCT($AI$9:$DF$9,'Staff Daily sales'!$G27:$CD27))</f>
        <v>7584.14</v>
      </c>
      <c r="P42">
        <f>IF($E42=0,0,SUMPRODUCT($AI$10:$DF$10,'Staff Daily sales'!$G27:$CD27))</f>
        <v>46</v>
      </c>
      <c r="Q42">
        <f>IF($E42=0,0,SUMPRODUCT($AI$11:$DF$11,'Staff Daily sales'!$G27:$CD27))</f>
        <v>5540.1</v>
      </c>
      <c r="R42">
        <f>IF($E42=0,0,SUMPRODUCT($AI$12:$DF$12,'Staff Daily sales'!$G27:$CD27))</f>
        <v>34</v>
      </c>
      <c r="S42">
        <f>IF($E42=0,0,SUMPRODUCT($AI$13:$DF$13,'Staff Daily sales'!$G27:$CD27))</f>
        <v>7827.7800000000007</v>
      </c>
      <c r="T42">
        <f>IF($E42=0,0,SUMPRODUCT($AI$14:$DF$14,'Staff Daily sales'!$G27:$CD27))</f>
        <v>48</v>
      </c>
      <c r="U42">
        <f>IF($E42=0,0,SUMPRODUCT($AI$15:$DF$15,'Staff Daily sales'!$G27:$CD27))</f>
        <v>1976.91</v>
      </c>
      <c r="V42">
        <f>IF($E42=0,0,SUMPRODUCT($AI$16:$DF$16,'Staff Daily sales'!$G27:$CD27))</f>
        <v>10</v>
      </c>
      <c r="W42">
        <f t="shared" si="31"/>
        <v>35588.86</v>
      </c>
      <c r="X42">
        <f t="shared" si="32"/>
        <v>50707.840000000004</v>
      </c>
      <c r="Y42">
        <f t="shared" si="33"/>
        <v>37549.689999999995</v>
      </c>
      <c r="Z42">
        <f t="shared" si="34"/>
        <v>34288.6</v>
      </c>
      <c r="AA42">
        <f t="shared" si="35"/>
        <v>12083.18</v>
      </c>
      <c r="AB42">
        <f>--AND($E42=1,OR('Staff Weekly Trend'!$B$3="All",$DH42='Staff Weekly Trend'!$B$3),OR('Staff Weekly Trend'!$B$4="All",$D42='Staff Weekly Trend'!$B$4),OR('Staff Weekly Trend'!$B$5="All",$A42='Staff Weekly Trend'!$B$5))</f>
        <v>1</v>
      </c>
      <c r="AC42">
        <f t="shared" si="36"/>
        <v>1</v>
      </c>
      <c r="AG42" t="str">
        <v>HADANAMAK</v>
      </c>
      <c r="AI42">
        <f t="shared" si="37"/>
        <v>218</v>
      </c>
      <c r="AJ42">
        <f t="shared" si="38"/>
        <v>335</v>
      </c>
      <c r="AK42">
        <f t="shared" si="39"/>
        <v>250</v>
      </c>
      <c r="AL42">
        <f t="shared" si="40"/>
        <v>219</v>
      </c>
      <c r="AM42">
        <f t="shared" si="41"/>
        <v>70</v>
      </c>
      <c r="AN42" s="132">
        <v>46318</v>
      </c>
      <c r="AP42" s="132">
        <v>46318</v>
      </c>
      <c r="DH42" t="str" cm="1">
        <f t="array" ref="DH42">IF($A42="","",_xlfn.LET(_xlpm.c,IFERROR(_xlfn.XLOOKUP($A42,TRIM('Sales and count'!$A$4:$A$300&amp;""),TRIM('Sales and count'!$B$4:$B$300&amp;"")),""),IF(OR(_xlpm.c="",_xlpm.c="0",LEFT(_xlpm.c,1)="#"),"Not set",_xlpm.c)))</f>
        <v>KSA</v>
      </c>
    </row>
    <row r="43" spans="1:112" x14ac:dyDescent="0.25">
      <c r="A43" t="str">
        <f>IF('Staff Daily sales'!$B28="","",TRIM('Staff Daily sales'!$B28&amp;""))</f>
        <v>HAMDANYA</v>
      </c>
      <c r="B43" t="str">
        <f>IF('Staff Daily sales'!$D28="","",TRIM('Staff Daily sales'!$D28&amp;""))</f>
        <v>7041-NAsiri</v>
      </c>
      <c r="C43" t="str">
        <f>IFERROR(TRIM('Staff Daily sales'!$E28&amp;""),"")</f>
        <v>Jeddah</v>
      </c>
      <c r="D43" t="str">
        <f>IFERROR(IF(TRIM('Staff Daily sales'!$F28&amp;"")="","Unassigned",TRIM('Staff Daily sales'!$F28&amp;"")),"Unassigned")</f>
        <v>Saleh Bin Hoiel</v>
      </c>
      <c r="E43">
        <f t="shared" si="26"/>
        <v>1</v>
      </c>
      <c r="F43">
        <f>IF($E43=0,0,SUMPRODUCT($AI$5:$DF$5,'Staff Daily sales'!$G28:$CD28))</f>
        <v>587.98</v>
      </c>
      <c r="G43">
        <f>IF($E43=0,0,SUMPRODUCT($AI$6:$DF$6,'Staff Daily sales'!$G28:$CD28))</f>
        <v>5</v>
      </c>
      <c r="H43">
        <f t="shared" si="27"/>
        <v>5688.76</v>
      </c>
      <c r="I43">
        <f t="shared" si="28"/>
        <v>32</v>
      </c>
      <c r="J43">
        <f t="shared" si="29"/>
        <v>69638.36</v>
      </c>
      <c r="K43">
        <f t="shared" si="30"/>
        <v>362</v>
      </c>
      <c r="L43">
        <f>--AND($E43=1,OR('Staff Dashboard'!$B$6="All",$DH43='Staff Dashboard'!$B$6),OR('Staff Dashboard'!$B$7="All",$D43='Staff Dashboard'!$B$7),OR('Staff Dashboard'!$B$8="All",$A43='Staff Dashboard'!$B$8))</f>
        <v>0</v>
      </c>
      <c r="M43">
        <f>IF($E43=0,0,SUMPRODUCT($AI$7:$DF$7,'Staff Daily sales'!$G28:$CD28))</f>
        <v>6491.1200000000008</v>
      </c>
      <c r="N43">
        <f>IF($E43=0,0,SUMPRODUCT($AI$8:$DF$8,'Staff Daily sales'!$G28:$CD28))</f>
        <v>38</v>
      </c>
      <c r="O43">
        <f>IF($E43=0,0,SUMPRODUCT($AI$9:$DF$9,'Staff Daily sales'!$G28:$CD28))</f>
        <v>11158.23</v>
      </c>
      <c r="P43">
        <f>IF($E43=0,0,SUMPRODUCT($AI$10:$DF$10,'Staff Daily sales'!$G28:$CD28))</f>
        <v>77</v>
      </c>
      <c r="Q43">
        <f>IF($E43=0,0,SUMPRODUCT($AI$11:$DF$11,'Staff Daily sales'!$G28:$CD28))</f>
        <v>7538.1599999999989</v>
      </c>
      <c r="R43">
        <f>IF($E43=0,0,SUMPRODUCT($AI$12:$DF$12,'Staff Daily sales'!$G28:$CD28))</f>
        <v>51</v>
      </c>
      <c r="S43">
        <f>IF($E43=0,0,SUMPRODUCT($AI$13:$DF$13,'Staff Daily sales'!$G28:$CD28))</f>
        <v>4620.0599999999995</v>
      </c>
      <c r="T43">
        <f>IF($E43=0,0,SUMPRODUCT($AI$14:$DF$14,'Staff Daily sales'!$G28:$CD28))</f>
        <v>30</v>
      </c>
      <c r="U43">
        <f>IF($E43=0,0,SUMPRODUCT($AI$15:$DF$15,'Staff Daily sales'!$G28:$CD28))</f>
        <v>2201.06</v>
      </c>
      <c r="V43">
        <f>IF($E43=0,0,SUMPRODUCT($AI$16:$DF$16,'Staff Daily sales'!$G28:$CD28))</f>
        <v>12</v>
      </c>
      <c r="W43">
        <f t="shared" si="31"/>
        <v>35588.86</v>
      </c>
      <c r="X43">
        <f t="shared" si="32"/>
        <v>50707.840000000004</v>
      </c>
      <c r="Y43">
        <f t="shared" si="33"/>
        <v>37549.689999999995</v>
      </c>
      <c r="Z43">
        <f t="shared" si="34"/>
        <v>34288.6</v>
      </c>
      <c r="AA43">
        <f t="shared" si="35"/>
        <v>12083.18</v>
      </c>
      <c r="AB43">
        <f>--AND($E43=1,OR('Staff Weekly Trend'!$B$3="All",$DH43='Staff Weekly Trend'!$B$3),OR('Staff Weekly Trend'!$B$4="All",$D43='Staff Weekly Trend'!$B$4),OR('Staff Weekly Trend'!$B$5="All",$A43='Staff Weekly Trend'!$B$5))</f>
        <v>1</v>
      </c>
      <c r="AC43">
        <f t="shared" si="36"/>
        <v>3</v>
      </c>
      <c r="AG43" t="str">
        <v>HADANAYAN</v>
      </c>
      <c r="AI43">
        <f t="shared" si="37"/>
        <v>218</v>
      </c>
      <c r="AJ43">
        <f t="shared" si="38"/>
        <v>335</v>
      </c>
      <c r="AK43">
        <f t="shared" si="39"/>
        <v>250</v>
      </c>
      <c r="AL43">
        <f t="shared" si="40"/>
        <v>219</v>
      </c>
      <c r="AM43">
        <f t="shared" si="41"/>
        <v>70</v>
      </c>
      <c r="AN43" s="132">
        <v>46319</v>
      </c>
      <c r="AP43" s="132">
        <v>46319</v>
      </c>
      <c r="DH43" t="str" cm="1">
        <f t="array" ref="DH43">IF($A43="","",_xlfn.LET(_xlpm.c,IFERROR(_xlfn.XLOOKUP($A43,TRIM('Sales and count'!$A$4:$A$300&amp;""),TRIM('Sales and count'!$B$4:$B$300&amp;"")),""),IF(OR(_xlpm.c="",_xlpm.c="0",LEFT(_xlpm.c,1)="#"),"Not set",_xlpm.c)))</f>
        <v>KSA</v>
      </c>
    </row>
    <row r="44" spans="1:112" x14ac:dyDescent="0.25">
      <c r="A44" t="str">
        <f>IF('Staff Daily sales'!$B29="","",TRIM('Staff Daily sales'!$B29&amp;""))</f>
        <v>HAMDANYA</v>
      </c>
      <c r="B44" t="str">
        <f>IF('Staff Daily sales'!$D29="","",TRIM('Staff Daily sales'!$D29&amp;""))</f>
        <v>7212-MAlhaj</v>
      </c>
      <c r="C44" t="str">
        <f>IFERROR(TRIM('Staff Daily sales'!$E29&amp;""),"")</f>
        <v>Jeddah</v>
      </c>
      <c r="D44" t="str">
        <f>IFERROR(IF(TRIM('Staff Daily sales'!$F29&amp;"")="","Unassigned",TRIM('Staff Daily sales'!$F29&amp;"")),"Unassigned")</f>
        <v>Saleh Bin Hoiel</v>
      </c>
      <c r="E44">
        <f t="shared" si="26"/>
        <v>1</v>
      </c>
      <c r="F44">
        <f>IF($E44=0,0,SUMPRODUCT($AI$5:$DF$5,'Staff Daily sales'!$G29:$CD29))</f>
        <v>1878.91</v>
      </c>
      <c r="G44">
        <f>IF($E44=0,0,SUMPRODUCT($AI$6:$DF$6,'Staff Daily sales'!$G29:$CD29))</f>
        <v>10</v>
      </c>
      <c r="H44">
        <f t="shared" si="27"/>
        <v>5688.76</v>
      </c>
      <c r="I44">
        <f t="shared" si="28"/>
        <v>32</v>
      </c>
      <c r="J44">
        <f t="shared" si="29"/>
        <v>69638.36</v>
      </c>
      <c r="K44">
        <f t="shared" si="30"/>
        <v>362</v>
      </c>
      <c r="L44">
        <f>--AND($E44=1,OR('Staff Dashboard'!$B$6="All",$DH44='Staff Dashboard'!$B$6),OR('Staff Dashboard'!$B$7="All",$D44='Staff Dashboard'!$B$7),OR('Staff Dashboard'!$B$8="All",$A44='Staff Dashboard'!$B$8))</f>
        <v>0</v>
      </c>
      <c r="M44">
        <f>IF($E44=0,0,SUMPRODUCT($AI$7:$DF$7,'Staff Daily sales'!$G29:$CD29))</f>
        <v>6101.17</v>
      </c>
      <c r="N44">
        <f>IF($E44=0,0,SUMPRODUCT($AI$8:$DF$8,'Staff Daily sales'!$G29:$CD29))</f>
        <v>41</v>
      </c>
      <c r="O44">
        <f>IF($E44=0,0,SUMPRODUCT($AI$9:$DF$9,'Staff Daily sales'!$G29:$CD29))</f>
        <v>9314.1800000000021</v>
      </c>
      <c r="P44">
        <f>IF($E44=0,0,SUMPRODUCT($AI$10:$DF$10,'Staff Daily sales'!$G29:$CD29))</f>
        <v>60</v>
      </c>
      <c r="Q44">
        <f>IF($E44=0,0,SUMPRODUCT($AI$11:$DF$11,'Staff Daily sales'!$G29:$CD29))</f>
        <v>9706.19</v>
      </c>
      <c r="R44">
        <f>IF($E44=0,0,SUMPRODUCT($AI$12:$DF$12,'Staff Daily sales'!$G29:$CD29))</f>
        <v>62</v>
      </c>
      <c r="S44">
        <f>IF($E44=0,0,SUMPRODUCT($AI$13:$DF$13,'Staff Daily sales'!$G29:$CD29))</f>
        <v>8089.89</v>
      </c>
      <c r="T44">
        <f>IF($E44=0,0,SUMPRODUCT($AI$14:$DF$14,'Staff Daily sales'!$G29:$CD29))</f>
        <v>46</v>
      </c>
      <c r="U44">
        <f>IF($E44=0,0,SUMPRODUCT($AI$15:$DF$15,'Staff Daily sales'!$G29:$CD29))</f>
        <v>1589.02</v>
      </c>
      <c r="V44">
        <f>IF($E44=0,0,SUMPRODUCT($AI$16:$DF$16,'Staff Daily sales'!$G29:$CD29))</f>
        <v>14</v>
      </c>
      <c r="W44">
        <f t="shared" si="31"/>
        <v>35588.86</v>
      </c>
      <c r="X44">
        <f t="shared" si="32"/>
        <v>50707.840000000004</v>
      </c>
      <c r="Y44">
        <f t="shared" si="33"/>
        <v>37549.689999999995</v>
      </c>
      <c r="Z44">
        <f t="shared" si="34"/>
        <v>34288.6</v>
      </c>
      <c r="AA44">
        <f t="shared" si="35"/>
        <v>12083.18</v>
      </c>
      <c r="AB44">
        <f>--AND($E44=1,OR('Staff Weekly Trend'!$B$3="All",$DH44='Staff Weekly Trend'!$B$3),OR('Staff Weekly Trend'!$B$4="All",$D44='Staff Weekly Trend'!$B$4),OR('Staff Weekly Trend'!$B$5="All",$A44='Staff Weekly Trend'!$B$5))</f>
        <v>1</v>
      </c>
      <c r="AC44">
        <f t="shared" si="36"/>
        <v>2</v>
      </c>
      <c r="AG44" t="str">
        <v>HADARALEMN</v>
      </c>
      <c r="AI44">
        <f t="shared" si="37"/>
        <v>218</v>
      </c>
      <c r="AJ44">
        <f t="shared" si="38"/>
        <v>335</v>
      </c>
      <c r="AK44">
        <f t="shared" si="39"/>
        <v>250</v>
      </c>
      <c r="AL44">
        <f t="shared" si="40"/>
        <v>219</v>
      </c>
      <c r="AM44">
        <f t="shared" si="41"/>
        <v>70</v>
      </c>
      <c r="AN44" s="132">
        <v>46320</v>
      </c>
      <c r="AP44" s="132">
        <v>46320</v>
      </c>
      <c r="DH44" t="str" cm="1">
        <f t="array" ref="DH44">IF($A44="","",_xlfn.LET(_xlpm.c,IFERROR(_xlfn.XLOOKUP($A44,TRIM('Sales and count'!$A$4:$A$300&amp;""),TRIM('Sales and count'!$B$4:$B$300&amp;"")),""),IF(OR(_xlpm.c="",_xlpm.c="0",LEFT(_xlpm.c,1)="#"),"Not set",_xlpm.c)))</f>
        <v>KSA</v>
      </c>
    </row>
    <row r="45" spans="1:112" x14ac:dyDescent="0.25">
      <c r="A45" t="str">
        <f>IF('Staff Daily sales'!$B30="","",TRIM('Staff Daily sales'!$B30&amp;""))</f>
        <v>SALAMA</v>
      </c>
      <c r="B45" t="str">
        <f>IF('Staff Daily sales'!$D30="","",TRIM('Staff Daily sales'!$D30&amp;""))</f>
        <v>2901-Abdulkhaliq Alamri</v>
      </c>
      <c r="C45" t="str">
        <f>IFERROR(TRIM('Staff Daily sales'!$E30&amp;""),"")</f>
        <v>Jeddah</v>
      </c>
      <c r="D45" t="str">
        <f>IFERROR(IF(TRIM('Staff Daily sales'!$F30&amp;"")="","Unassigned",TRIM('Staff Daily sales'!$F30&amp;"")),"Unassigned")</f>
        <v>Saleh Bin Hoiel</v>
      </c>
      <c r="E45">
        <f t="shared" si="26"/>
        <v>1</v>
      </c>
      <c r="F45">
        <f>IF($E45=0,0,SUMPRODUCT($AI$5:$DF$5,'Staff Daily sales'!$G30:$CD30))</f>
        <v>115</v>
      </c>
      <c r="G45">
        <f>IF($E45=0,0,SUMPRODUCT($AI$6:$DF$6,'Staff Daily sales'!$G30:$CD30))</f>
        <v>1</v>
      </c>
      <c r="H45">
        <f t="shared" si="27"/>
        <v>21564.929999999997</v>
      </c>
      <c r="I45">
        <f t="shared" si="28"/>
        <v>55</v>
      </c>
      <c r="J45">
        <f t="shared" si="29"/>
        <v>69638.36</v>
      </c>
      <c r="K45">
        <f t="shared" si="30"/>
        <v>362</v>
      </c>
      <c r="L45">
        <f>--AND($E45=1,OR('Staff Dashboard'!$B$6="All",$DH45='Staff Dashboard'!$B$6),OR('Staff Dashboard'!$B$7="All",$D45='Staff Dashboard'!$B$7),OR('Staff Dashboard'!$B$8="All",$A45='Staff Dashboard'!$B$8))</f>
        <v>0</v>
      </c>
      <c r="M45">
        <f>IF($E45=0,0,SUMPRODUCT($AI$7:$DF$7,'Staff Daily sales'!$G30:$CD30))</f>
        <v>178.02</v>
      </c>
      <c r="N45">
        <f>IF($E45=0,0,SUMPRODUCT($AI$8:$DF$8,'Staff Daily sales'!$G30:$CD30))</f>
        <v>7</v>
      </c>
      <c r="O45">
        <f>IF($E45=0,0,SUMPRODUCT($AI$9:$DF$9,'Staff Daily sales'!$G30:$CD30))</f>
        <v>3349</v>
      </c>
      <c r="P45">
        <f>IF($E45=0,0,SUMPRODUCT($AI$10:$DF$10,'Staff Daily sales'!$G30:$CD30))</f>
        <v>42</v>
      </c>
      <c r="Q45">
        <f>IF($E45=0,0,SUMPRODUCT($AI$11:$DF$11,'Staff Daily sales'!$G30:$CD30))</f>
        <v>1320.02</v>
      </c>
      <c r="R45">
        <f>IF($E45=0,0,SUMPRODUCT($AI$12:$DF$12,'Staff Daily sales'!$G30:$CD30))</f>
        <v>13</v>
      </c>
      <c r="S45">
        <f>IF($E45=0,0,SUMPRODUCT($AI$13:$DF$13,'Staff Daily sales'!$G30:$CD30))</f>
        <v>2198.94</v>
      </c>
      <c r="T45">
        <f>IF($E45=0,0,SUMPRODUCT($AI$14:$DF$14,'Staff Daily sales'!$G30:$CD30))</f>
        <v>26</v>
      </c>
      <c r="U45">
        <f>IF($E45=0,0,SUMPRODUCT($AI$15:$DF$15,'Staff Daily sales'!$G30:$CD30))</f>
        <v>136.03</v>
      </c>
      <c r="V45">
        <f>IF($E45=0,0,SUMPRODUCT($AI$16:$DF$16,'Staff Daily sales'!$G30:$CD30))</f>
        <v>6</v>
      </c>
      <c r="W45">
        <f t="shared" si="31"/>
        <v>49630.92</v>
      </c>
      <c r="X45">
        <f t="shared" si="32"/>
        <v>95147.790000000008</v>
      </c>
      <c r="Y45">
        <f t="shared" si="33"/>
        <v>62344.13</v>
      </c>
      <c r="Z45">
        <f t="shared" si="34"/>
        <v>88779.50999999998</v>
      </c>
      <c r="AA45">
        <f t="shared" si="35"/>
        <v>16142.02</v>
      </c>
      <c r="AB45">
        <f>--AND($E45=1,OR('Staff Weekly Trend'!$B$3="All",$DH45='Staff Weekly Trend'!$B$3),OR('Staff Weekly Trend'!$B$4="All",$D45='Staff Weekly Trend'!$B$4),OR('Staff Weekly Trend'!$B$5="All",$A45='Staff Weekly Trend'!$B$5))</f>
        <v>1</v>
      </c>
      <c r="AC45">
        <f t="shared" si="36"/>
        <v>6</v>
      </c>
      <c r="AG45" t="str">
        <v>HADARENMAL</v>
      </c>
      <c r="AI45">
        <f t="shared" si="37"/>
        <v>367</v>
      </c>
      <c r="AJ45">
        <f t="shared" si="38"/>
        <v>551</v>
      </c>
      <c r="AK45">
        <f t="shared" si="39"/>
        <v>375</v>
      </c>
      <c r="AL45">
        <f t="shared" si="40"/>
        <v>416</v>
      </c>
      <c r="AM45">
        <f t="shared" si="41"/>
        <v>93</v>
      </c>
      <c r="AN45" s="132">
        <v>46321</v>
      </c>
      <c r="AP45" s="132">
        <v>46321</v>
      </c>
      <c r="DH45" t="str" cm="1">
        <f t="array" ref="DH45">IF($A45="","",_xlfn.LET(_xlpm.c,IFERROR(_xlfn.XLOOKUP($A45,TRIM('Sales and count'!$A$4:$A$300&amp;""),TRIM('Sales and count'!$B$4:$B$300&amp;"")),""),IF(OR(_xlpm.c="",_xlpm.c="0",LEFT(_xlpm.c,1)="#"),"Not set",_xlpm.c)))</f>
        <v>KSA</v>
      </c>
    </row>
    <row r="46" spans="1:112" x14ac:dyDescent="0.25">
      <c r="A46" t="str">
        <f>IF('Staff Daily sales'!$B31="","",TRIM('Staff Daily sales'!$B31&amp;""))</f>
        <v>SALAMA</v>
      </c>
      <c r="B46" t="str">
        <f>IF('Staff Daily sales'!$D31="","",TRIM('Staff Daily sales'!$D31&amp;""))</f>
        <v>2987-Ramzy Ameen</v>
      </c>
      <c r="C46" t="str">
        <f>IFERROR(TRIM('Staff Daily sales'!$E31&amp;""),"")</f>
        <v>Jeddah</v>
      </c>
      <c r="D46" t="str">
        <f>IFERROR(IF(TRIM('Staff Daily sales'!$F31&amp;"")="","Unassigned",TRIM('Staff Daily sales'!$F31&amp;"")),"Unassigned")</f>
        <v>Saleh Bin Hoiel</v>
      </c>
      <c r="E46">
        <f t="shared" si="26"/>
        <v>1</v>
      </c>
      <c r="F46">
        <f>IF($E46=0,0,SUMPRODUCT($AI$5:$DF$5,'Staff Daily sales'!$G31:$CD31))</f>
        <v>11399.55</v>
      </c>
      <c r="G46">
        <f>IF($E46=0,0,SUMPRODUCT($AI$6:$DF$6,'Staff Daily sales'!$G31:$CD31))</f>
        <v>3</v>
      </c>
      <c r="H46">
        <f t="shared" si="27"/>
        <v>21564.929999999997</v>
      </c>
      <c r="I46">
        <f t="shared" si="28"/>
        <v>55</v>
      </c>
      <c r="J46">
        <f t="shared" si="29"/>
        <v>69638.36</v>
      </c>
      <c r="K46">
        <f t="shared" si="30"/>
        <v>362</v>
      </c>
      <c r="L46">
        <f>--AND($E46=1,OR('Staff Dashboard'!$B$6="All",$DH46='Staff Dashboard'!$B$6),OR('Staff Dashboard'!$B$7="All",$D46='Staff Dashboard'!$B$7),OR('Staff Dashboard'!$B$8="All",$A46='Staff Dashboard'!$B$8))</f>
        <v>0</v>
      </c>
      <c r="M46">
        <f>IF($E46=0,0,SUMPRODUCT($AI$7:$DF$7,'Staff Daily sales'!$G31:$CD31))</f>
        <v>30194.48</v>
      </c>
      <c r="N46">
        <f>IF($E46=0,0,SUMPRODUCT($AI$8:$DF$8,'Staff Daily sales'!$G31:$CD31))</f>
        <v>206</v>
      </c>
      <c r="O46">
        <f>IF($E46=0,0,SUMPRODUCT($AI$9:$DF$9,'Staff Daily sales'!$G31:$CD31))</f>
        <v>37933.68</v>
      </c>
      <c r="P46">
        <f>IF($E46=0,0,SUMPRODUCT($AI$10:$DF$10,'Staff Daily sales'!$G31:$CD31))</f>
        <v>219</v>
      </c>
      <c r="Q46">
        <f>IF($E46=0,0,SUMPRODUCT($AI$11:$DF$11,'Staff Daily sales'!$G31:$CD31))</f>
        <v>20862.350000000002</v>
      </c>
      <c r="R46">
        <f>IF($E46=0,0,SUMPRODUCT($AI$12:$DF$12,'Staff Daily sales'!$G31:$CD31))</f>
        <v>133</v>
      </c>
      <c r="S46">
        <f>IF($E46=0,0,SUMPRODUCT($AI$13:$DF$13,'Staff Daily sales'!$G31:$CD31))</f>
        <v>25045.39</v>
      </c>
      <c r="T46">
        <f>IF($E46=0,0,SUMPRODUCT($AI$14:$DF$14,'Staff Daily sales'!$G31:$CD31))</f>
        <v>87</v>
      </c>
      <c r="U46">
        <f>IF($E46=0,0,SUMPRODUCT($AI$15:$DF$15,'Staff Daily sales'!$G31:$CD31))</f>
        <v>2109.84</v>
      </c>
      <c r="V46">
        <f>IF($E46=0,0,SUMPRODUCT($AI$16:$DF$16,'Staff Daily sales'!$G31:$CD31))</f>
        <v>9</v>
      </c>
      <c r="W46">
        <f t="shared" si="31"/>
        <v>49630.92</v>
      </c>
      <c r="X46">
        <f t="shared" si="32"/>
        <v>95147.790000000008</v>
      </c>
      <c r="Y46">
        <f t="shared" si="33"/>
        <v>62344.13</v>
      </c>
      <c r="Z46">
        <f t="shared" si="34"/>
        <v>88779.50999999998</v>
      </c>
      <c r="AA46">
        <f t="shared" si="35"/>
        <v>16142.02</v>
      </c>
      <c r="AB46">
        <f>--AND($E46=1,OR('Staff Weekly Trend'!$B$3="All",$DH46='Staff Weekly Trend'!$B$3),OR('Staff Weekly Trend'!$B$4="All",$D46='Staff Weekly Trend'!$B$4),OR('Staff Weekly Trend'!$B$5="All",$A46='Staff Weekly Trend'!$B$5))</f>
        <v>1</v>
      </c>
      <c r="AC46">
        <f t="shared" si="36"/>
        <v>1</v>
      </c>
      <c r="AG46" t="str">
        <v>HADARTAW2</v>
      </c>
      <c r="AI46">
        <f t="shared" si="37"/>
        <v>367</v>
      </c>
      <c r="AJ46">
        <f t="shared" si="38"/>
        <v>551</v>
      </c>
      <c r="AK46">
        <f t="shared" si="39"/>
        <v>375</v>
      </c>
      <c r="AL46">
        <f t="shared" si="40"/>
        <v>416</v>
      </c>
      <c r="AM46">
        <f t="shared" si="41"/>
        <v>93</v>
      </c>
      <c r="AN46" s="132">
        <v>46322</v>
      </c>
      <c r="AP46" s="132"/>
      <c r="DH46" t="str" cm="1">
        <f t="array" ref="DH46">IF($A46="","",_xlfn.LET(_xlpm.c,IFERROR(_xlfn.XLOOKUP($A46,TRIM('Sales and count'!$A$4:$A$300&amp;""),TRIM('Sales and count'!$B$4:$B$300&amp;"")),""),IF(OR(_xlpm.c="",_xlpm.c="0",LEFT(_xlpm.c,1)="#"),"Not set",_xlpm.c)))</f>
        <v>KSA</v>
      </c>
    </row>
    <row r="47" spans="1:112" x14ac:dyDescent="0.25">
      <c r="A47" t="str">
        <f>IF('Staff Daily sales'!$B32="","",TRIM('Staff Daily sales'!$B32&amp;""))</f>
        <v>SALAMA</v>
      </c>
      <c r="B47" t="str">
        <f>IF('Staff Daily sales'!$D32="","",TRIM('Staff Daily sales'!$D32&amp;""))</f>
        <v>3016-SAlQurashi</v>
      </c>
      <c r="C47" t="str">
        <f>IFERROR(TRIM('Staff Daily sales'!$E32&amp;""),"")</f>
        <v>Jeddah</v>
      </c>
      <c r="D47" t="str">
        <f>IFERROR(IF(TRIM('Staff Daily sales'!$F32&amp;"")="","Unassigned",TRIM('Staff Daily sales'!$F32&amp;"")),"Unassigned")</f>
        <v>Saleh Bin Hoiel</v>
      </c>
      <c r="E47">
        <f t="shared" si="26"/>
        <v>1</v>
      </c>
      <c r="F47">
        <f>IF($E47=0,0,SUMPRODUCT($AI$5:$DF$5,'Staff Daily sales'!$G32:$CD32))</f>
        <v>0</v>
      </c>
      <c r="G47">
        <f>IF($E47=0,0,SUMPRODUCT($AI$6:$DF$6,'Staff Daily sales'!$G32:$CD32))</f>
        <v>0</v>
      </c>
      <c r="H47">
        <f t="shared" si="27"/>
        <v>21564.929999999997</v>
      </c>
      <c r="I47">
        <f t="shared" si="28"/>
        <v>55</v>
      </c>
      <c r="J47">
        <f t="shared" si="29"/>
        <v>69638.36</v>
      </c>
      <c r="K47">
        <f t="shared" si="30"/>
        <v>362</v>
      </c>
      <c r="L47">
        <f>--AND($E47=1,OR('Staff Dashboard'!$B$6="All",$DH47='Staff Dashboard'!$B$6),OR('Staff Dashboard'!$B$7="All",$D47='Staff Dashboard'!$B$7),OR('Staff Dashboard'!$B$8="All",$A47='Staff Dashboard'!$B$8))</f>
        <v>0</v>
      </c>
      <c r="M47">
        <f>IF($E47=0,0,SUMPRODUCT($AI$7:$DF$7,'Staff Daily sales'!$G32:$CD32))</f>
        <v>0</v>
      </c>
      <c r="N47">
        <f>IF($E47=0,0,SUMPRODUCT($AI$8:$DF$8,'Staff Daily sales'!$G32:$CD32))</f>
        <v>0</v>
      </c>
      <c r="O47">
        <f>IF($E47=0,0,SUMPRODUCT($AI$9:$DF$9,'Staff Daily sales'!$G32:$CD32))</f>
        <v>0</v>
      </c>
      <c r="P47">
        <f>IF($E47=0,0,SUMPRODUCT($AI$10:$DF$10,'Staff Daily sales'!$G32:$CD32))</f>
        <v>0</v>
      </c>
      <c r="Q47">
        <f>IF($E47=0,0,SUMPRODUCT($AI$11:$DF$11,'Staff Daily sales'!$G32:$CD32))</f>
        <v>6882.06</v>
      </c>
      <c r="R47">
        <f>IF($E47=0,0,SUMPRODUCT($AI$12:$DF$12,'Staff Daily sales'!$G32:$CD32))</f>
        <v>34</v>
      </c>
      <c r="S47">
        <f>IF($E47=0,0,SUMPRODUCT($AI$13:$DF$13,'Staff Daily sales'!$G32:$CD32))</f>
        <v>8449.0400000000009</v>
      </c>
      <c r="T47">
        <f>IF($E47=0,0,SUMPRODUCT($AI$14:$DF$14,'Staff Daily sales'!$G32:$CD32))</f>
        <v>37</v>
      </c>
      <c r="U47">
        <f>IF($E47=0,0,SUMPRODUCT($AI$15:$DF$15,'Staff Daily sales'!$G32:$CD32))</f>
        <v>1788.04</v>
      </c>
      <c r="V47">
        <f>IF($E47=0,0,SUMPRODUCT($AI$16:$DF$16,'Staff Daily sales'!$G32:$CD32))</f>
        <v>11</v>
      </c>
      <c r="W47">
        <f t="shared" si="31"/>
        <v>49630.92</v>
      </c>
      <c r="X47">
        <f t="shared" si="32"/>
        <v>95147.790000000008</v>
      </c>
      <c r="Y47">
        <f t="shared" si="33"/>
        <v>62344.13</v>
      </c>
      <c r="Z47">
        <f t="shared" si="34"/>
        <v>88779.50999999998</v>
      </c>
      <c r="AA47">
        <f t="shared" si="35"/>
        <v>16142.02</v>
      </c>
      <c r="AB47">
        <f>--AND($E47=1,OR('Staff Weekly Trend'!$B$3="All",$DH47='Staff Weekly Trend'!$B$3),OR('Staff Weekly Trend'!$B$4="All",$D47='Staff Weekly Trend'!$B$4),OR('Staff Weekly Trend'!$B$5="All",$A47='Staff Weekly Trend'!$B$5))</f>
        <v>1</v>
      </c>
      <c r="AC47" t="str">
        <f t="shared" si="36"/>
        <v/>
      </c>
      <c r="AG47" t="str">
        <v>HADIYAFAML</v>
      </c>
      <c r="AI47">
        <f t="shared" si="37"/>
        <v>367</v>
      </c>
      <c r="AJ47">
        <f t="shared" si="38"/>
        <v>551</v>
      </c>
      <c r="AK47">
        <f t="shared" si="39"/>
        <v>375</v>
      </c>
      <c r="AL47">
        <f t="shared" si="40"/>
        <v>416</v>
      </c>
      <c r="AM47">
        <f t="shared" si="41"/>
        <v>93</v>
      </c>
      <c r="AN47" s="132">
        <v>46323</v>
      </c>
      <c r="AP47" s="132"/>
      <c r="DH47" t="str" cm="1">
        <f t="array" ref="DH47">IF($A47="","",_xlfn.LET(_xlpm.c,IFERROR(_xlfn.XLOOKUP($A47,TRIM('Sales and count'!$A$4:$A$300&amp;""),TRIM('Sales and count'!$B$4:$B$300&amp;"")),""),IF(OR(_xlpm.c="",_xlpm.c="0",LEFT(_xlpm.c,1)="#"),"Not set",_xlpm.c)))</f>
        <v>KSA</v>
      </c>
    </row>
    <row r="48" spans="1:112" x14ac:dyDescent="0.25">
      <c r="A48" t="str">
        <f>IF('Staff Daily sales'!$B33="","",TRIM('Staff Daily sales'!$B33&amp;""))</f>
        <v>SALAMA</v>
      </c>
      <c r="B48" t="str">
        <f>IF('Staff Daily sales'!$D33="","",TRIM('Staff Daily sales'!$D33&amp;""))</f>
        <v>3074- FAlMasoudi</v>
      </c>
      <c r="C48" t="str">
        <f>IFERROR(TRIM('Staff Daily sales'!$E33&amp;""),"")</f>
        <v>Jeddah</v>
      </c>
      <c r="D48" t="str">
        <f>IFERROR(IF(TRIM('Staff Daily sales'!$F33&amp;"")="","Unassigned",TRIM('Staff Daily sales'!$F33&amp;"")),"Unassigned")</f>
        <v>Saleh Bin Hoiel</v>
      </c>
      <c r="E48">
        <f t="shared" si="26"/>
        <v>1</v>
      </c>
      <c r="F48">
        <f>IF($E48=0,0,SUMPRODUCT($AI$5:$DF$5,'Staff Daily sales'!$G33:$CD33))</f>
        <v>1343.9</v>
      </c>
      <c r="G48">
        <f>IF($E48=0,0,SUMPRODUCT($AI$6:$DF$6,'Staff Daily sales'!$G33:$CD33))</f>
        <v>7</v>
      </c>
      <c r="H48">
        <f t="shared" si="27"/>
        <v>21564.929999999997</v>
      </c>
      <c r="I48">
        <f t="shared" si="28"/>
        <v>55</v>
      </c>
      <c r="J48">
        <f t="shared" si="29"/>
        <v>69638.36</v>
      </c>
      <c r="K48">
        <f t="shared" si="30"/>
        <v>362</v>
      </c>
      <c r="L48">
        <f>--AND($E48=1,OR('Staff Dashboard'!$B$6="All",$DH48='Staff Dashboard'!$B$6),OR('Staff Dashboard'!$B$7="All",$D48='Staff Dashboard'!$B$7),OR('Staff Dashboard'!$B$8="All",$A48='Staff Dashboard'!$B$8))</f>
        <v>0</v>
      </c>
      <c r="M48">
        <f>IF($E48=0,0,SUMPRODUCT($AI$7:$DF$7,'Staff Daily sales'!$G33:$CD33))</f>
        <v>7344.2000000000007</v>
      </c>
      <c r="N48">
        <f>IF($E48=0,0,SUMPRODUCT($AI$8:$DF$8,'Staff Daily sales'!$G33:$CD33))</f>
        <v>69</v>
      </c>
      <c r="O48">
        <f>IF($E48=0,0,SUMPRODUCT($AI$9:$DF$9,'Staff Daily sales'!$G33:$CD33))</f>
        <v>19607.37</v>
      </c>
      <c r="P48">
        <f>IF($E48=0,0,SUMPRODUCT($AI$10:$DF$10,'Staff Daily sales'!$G33:$CD33))</f>
        <v>91</v>
      </c>
      <c r="Q48">
        <f>IF($E48=0,0,SUMPRODUCT($AI$11:$DF$11,'Staff Daily sales'!$G33:$CD33))</f>
        <v>5605.15</v>
      </c>
      <c r="R48">
        <f>IF($E48=0,0,SUMPRODUCT($AI$12:$DF$12,'Staff Daily sales'!$G33:$CD33))</f>
        <v>36</v>
      </c>
      <c r="S48">
        <f>IF($E48=0,0,SUMPRODUCT($AI$13:$DF$13,'Staff Daily sales'!$G33:$CD33))</f>
        <v>5920.8600000000006</v>
      </c>
      <c r="T48">
        <f>IF($E48=0,0,SUMPRODUCT($AI$14:$DF$14,'Staff Daily sales'!$G33:$CD33))</f>
        <v>29</v>
      </c>
      <c r="U48">
        <f>IF($E48=0,0,SUMPRODUCT($AI$15:$DF$15,'Staff Daily sales'!$G33:$CD33))</f>
        <v>1776.04</v>
      </c>
      <c r="V48">
        <f>IF($E48=0,0,SUMPRODUCT($AI$16:$DF$16,'Staff Daily sales'!$G33:$CD33))</f>
        <v>12</v>
      </c>
      <c r="W48">
        <f t="shared" si="31"/>
        <v>49630.92</v>
      </c>
      <c r="X48">
        <f t="shared" si="32"/>
        <v>95147.790000000008</v>
      </c>
      <c r="Y48">
        <f t="shared" si="33"/>
        <v>62344.13</v>
      </c>
      <c r="Z48">
        <f t="shared" si="34"/>
        <v>88779.50999999998</v>
      </c>
      <c r="AA48">
        <f t="shared" si="35"/>
        <v>16142.02</v>
      </c>
      <c r="AB48">
        <f>--AND($E48=1,OR('Staff Weekly Trend'!$B$3="All",$DH48='Staff Weekly Trend'!$B$3),OR('Staff Weekly Trend'!$B$4="All",$D48='Staff Weekly Trend'!$B$4),OR('Staff Weekly Trend'!$B$5="All",$A48='Staff Weekly Trend'!$B$5))</f>
        <v>1</v>
      </c>
      <c r="AC48">
        <f t="shared" si="36"/>
        <v>5</v>
      </c>
      <c r="AG48" t="str">
        <v>HADLHTBHHT</v>
      </c>
      <c r="AI48">
        <f t="shared" si="37"/>
        <v>367</v>
      </c>
      <c r="AJ48">
        <f t="shared" si="38"/>
        <v>551</v>
      </c>
      <c r="AK48">
        <f t="shared" si="39"/>
        <v>375</v>
      </c>
      <c r="AL48">
        <f t="shared" si="40"/>
        <v>416</v>
      </c>
      <c r="AM48">
        <f t="shared" si="41"/>
        <v>93</v>
      </c>
      <c r="AN48" s="132">
        <v>46324</v>
      </c>
      <c r="AP48" s="132"/>
      <c r="DH48" t="str" cm="1">
        <f t="array" ref="DH48">IF($A48="","",_xlfn.LET(_xlpm.c,IFERROR(_xlfn.XLOOKUP($A48,TRIM('Sales and count'!$A$4:$A$300&amp;""),TRIM('Sales and count'!$B$4:$B$300&amp;"")),""),IF(OR(_xlpm.c="",_xlpm.c="0",LEFT(_xlpm.c,1)="#"),"Not set",_xlpm.c)))</f>
        <v>KSA</v>
      </c>
    </row>
    <row r="49" spans="1:112" x14ac:dyDescent="0.25">
      <c r="A49" t="str">
        <f>IF('Staff Daily sales'!$B34="","",TRIM('Staff Daily sales'!$B34&amp;""))</f>
        <v>SALAMA</v>
      </c>
      <c r="B49" t="str">
        <f>IF('Staff Daily sales'!$D34="","",TRIM('Staff Daily sales'!$D34&amp;""))</f>
        <v>3247-Afnan Alharbi</v>
      </c>
      <c r="C49" t="str">
        <f>IFERROR(TRIM('Staff Daily sales'!$E34&amp;""),"")</f>
        <v>Jeddah</v>
      </c>
      <c r="D49" t="str">
        <f>IFERROR(IF(TRIM('Staff Daily sales'!$F34&amp;"")="","Unassigned",TRIM('Staff Daily sales'!$F34&amp;"")),"Unassigned")</f>
        <v>Saleh Bin Hoiel</v>
      </c>
      <c r="E49">
        <f t="shared" si="26"/>
        <v>1</v>
      </c>
      <c r="F49">
        <f>IF($E49=0,0,SUMPRODUCT($AI$5:$DF$5,'Staff Daily sales'!$G34:$CD34))</f>
        <v>3329.85</v>
      </c>
      <c r="G49">
        <f>IF($E49=0,0,SUMPRODUCT($AI$6:$DF$6,'Staff Daily sales'!$G34:$CD34))</f>
        <v>16</v>
      </c>
      <c r="H49">
        <f t="shared" si="27"/>
        <v>21564.929999999997</v>
      </c>
      <c r="I49">
        <f t="shared" si="28"/>
        <v>55</v>
      </c>
      <c r="J49">
        <f t="shared" si="29"/>
        <v>69638.36</v>
      </c>
      <c r="K49">
        <f t="shared" si="30"/>
        <v>362</v>
      </c>
      <c r="L49">
        <f>--AND($E49=1,OR('Staff Dashboard'!$B$6="All",$DH49='Staff Dashboard'!$B$6),OR('Staff Dashboard'!$B$7="All",$D49='Staff Dashboard'!$B$7),OR('Staff Dashboard'!$B$8="All",$A49='Staff Dashboard'!$B$8))</f>
        <v>0</v>
      </c>
      <c r="M49">
        <f>IF($E49=0,0,SUMPRODUCT($AI$7:$DF$7,'Staff Daily sales'!$G34:$CD34))</f>
        <v>0</v>
      </c>
      <c r="N49">
        <f>IF($E49=0,0,SUMPRODUCT($AI$8:$DF$8,'Staff Daily sales'!$G34:$CD34))</f>
        <v>0</v>
      </c>
      <c r="O49">
        <f>IF($E49=0,0,SUMPRODUCT($AI$9:$DF$9,'Staff Daily sales'!$G34:$CD34))</f>
        <v>0</v>
      </c>
      <c r="P49">
        <f>IF($E49=0,0,SUMPRODUCT($AI$10:$DF$10,'Staff Daily sales'!$G34:$CD34))</f>
        <v>0</v>
      </c>
      <c r="Q49">
        <f>IF($E49=0,0,SUMPRODUCT($AI$11:$DF$11,'Staff Daily sales'!$G34:$CD34))</f>
        <v>21650.48</v>
      </c>
      <c r="R49">
        <f>IF($E49=0,0,SUMPRODUCT($AI$12:$DF$12,'Staff Daily sales'!$G34:$CD34))</f>
        <v>123</v>
      </c>
      <c r="S49">
        <f>IF($E49=0,0,SUMPRODUCT($AI$13:$DF$13,'Staff Daily sales'!$G34:$CD34))</f>
        <v>22741.839999999997</v>
      </c>
      <c r="T49">
        <f>IF($E49=0,0,SUMPRODUCT($AI$14:$DF$14,'Staff Daily sales'!$G34:$CD34))</f>
        <v>89</v>
      </c>
      <c r="U49">
        <f>IF($E49=0,0,SUMPRODUCT($AI$15:$DF$15,'Staff Daily sales'!$G34:$CD34))</f>
        <v>6485.1</v>
      </c>
      <c r="V49">
        <f>IF($E49=0,0,SUMPRODUCT($AI$16:$DF$16,'Staff Daily sales'!$G34:$CD34))</f>
        <v>31</v>
      </c>
      <c r="W49">
        <f t="shared" si="31"/>
        <v>49630.92</v>
      </c>
      <c r="X49">
        <f t="shared" si="32"/>
        <v>95147.790000000008</v>
      </c>
      <c r="Y49">
        <f t="shared" si="33"/>
        <v>62344.13</v>
      </c>
      <c r="Z49">
        <f t="shared" si="34"/>
        <v>88779.50999999998</v>
      </c>
      <c r="AA49">
        <f t="shared" si="35"/>
        <v>16142.02</v>
      </c>
      <c r="AB49">
        <f>--AND($E49=1,OR('Staff Weekly Trend'!$B$3="All",$DH49='Staff Weekly Trend'!$B$3),OR('Staff Weekly Trend'!$B$4="All",$D49='Staff Weekly Trend'!$B$4),OR('Staff Weekly Trend'!$B$5="All",$A49='Staff Weekly Trend'!$B$5))</f>
        <v>1</v>
      </c>
      <c r="AC49">
        <f t="shared" si="36"/>
        <v>2</v>
      </c>
      <c r="AG49" t="str">
        <v>HAFALLSQ</v>
      </c>
      <c r="AI49">
        <f t="shared" si="37"/>
        <v>367</v>
      </c>
      <c r="AJ49">
        <f t="shared" si="38"/>
        <v>551</v>
      </c>
      <c r="AK49">
        <f t="shared" si="39"/>
        <v>375</v>
      </c>
      <c r="AL49">
        <f t="shared" si="40"/>
        <v>416</v>
      </c>
      <c r="AM49">
        <f t="shared" si="41"/>
        <v>93</v>
      </c>
      <c r="AN49" s="132">
        <v>46325</v>
      </c>
      <c r="AP49" s="132"/>
      <c r="DH49" t="str" cm="1">
        <f t="array" ref="DH49">IF($A49="","",_xlfn.LET(_xlpm.c,IFERROR(_xlfn.XLOOKUP($A49,TRIM('Sales and count'!$A$4:$A$300&amp;""),TRIM('Sales and count'!$B$4:$B$300&amp;"")),""),IF(OR(_xlpm.c="",_xlpm.c="0",LEFT(_xlpm.c,1)="#"),"Not set",_xlpm.c)))</f>
        <v>KSA</v>
      </c>
    </row>
    <row r="50" spans="1:112" x14ac:dyDescent="0.25">
      <c r="A50" t="str">
        <f>IF('Staff Daily sales'!$B35="","",TRIM('Staff Daily sales'!$B35&amp;""))</f>
        <v>SALAMA</v>
      </c>
      <c r="B50" t="str">
        <f>IF('Staff Daily sales'!$D35="","",TRIM('Staff Daily sales'!$D35&amp;""))</f>
        <v>3490-NAlmukhlafi</v>
      </c>
      <c r="C50" t="str">
        <f>IFERROR(TRIM('Staff Daily sales'!$E35&amp;""),"")</f>
        <v>Jeddah</v>
      </c>
      <c r="D50" t="str">
        <f>IFERROR(IF(TRIM('Staff Daily sales'!$F35&amp;"")="","Unassigned",TRIM('Staff Daily sales'!$F35&amp;"")),"Unassigned")</f>
        <v>Saleh Bin Hoiel</v>
      </c>
      <c r="E50">
        <f t="shared" si="26"/>
        <v>1</v>
      </c>
      <c r="F50">
        <f>IF($E50=0,0,SUMPRODUCT($AI$5:$DF$5,'Staff Daily sales'!$G35:$CD35))</f>
        <v>0</v>
      </c>
      <c r="G50">
        <f>IF($E50=0,0,SUMPRODUCT($AI$6:$DF$6,'Staff Daily sales'!$G35:$CD35))</f>
        <v>0</v>
      </c>
      <c r="H50">
        <f t="shared" si="27"/>
        <v>21564.929999999997</v>
      </c>
      <c r="I50">
        <f t="shared" si="28"/>
        <v>55</v>
      </c>
      <c r="J50">
        <f t="shared" si="29"/>
        <v>69638.36</v>
      </c>
      <c r="K50">
        <f t="shared" si="30"/>
        <v>362</v>
      </c>
      <c r="L50">
        <f>--AND($E50=1,OR('Staff Dashboard'!$B$6="All",$DH50='Staff Dashboard'!$B$6),OR('Staff Dashboard'!$B$7="All",$D50='Staff Dashboard'!$B$7),OR('Staff Dashboard'!$B$8="All",$A50='Staff Dashboard'!$B$8))</f>
        <v>0</v>
      </c>
      <c r="M50">
        <f>IF($E50=0,0,SUMPRODUCT($AI$7:$DF$7,'Staff Daily sales'!$G35:$CD35))</f>
        <v>1912.04</v>
      </c>
      <c r="N50">
        <f>IF($E50=0,0,SUMPRODUCT($AI$8:$DF$8,'Staff Daily sales'!$G35:$CD35))</f>
        <v>12</v>
      </c>
      <c r="O50">
        <f>IF($E50=0,0,SUMPRODUCT($AI$9:$DF$9,'Staff Daily sales'!$G35:$CD35))</f>
        <v>19052.41</v>
      </c>
      <c r="P50">
        <f>IF($E50=0,0,SUMPRODUCT($AI$10:$DF$10,'Staff Daily sales'!$G35:$CD35))</f>
        <v>111</v>
      </c>
      <c r="Q50">
        <f>IF($E50=0,0,SUMPRODUCT($AI$11:$DF$11,'Staff Daily sales'!$G35:$CD35))</f>
        <v>0</v>
      </c>
      <c r="R50">
        <f>IF($E50=0,0,SUMPRODUCT($AI$12:$DF$12,'Staff Daily sales'!$G35:$CD35))</f>
        <v>0</v>
      </c>
      <c r="S50">
        <f>IF($E50=0,0,SUMPRODUCT($AI$13:$DF$13,'Staff Daily sales'!$G35:$CD35))</f>
        <v>1798.04</v>
      </c>
      <c r="T50">
        <f>IF($E50=0,0,SUMPRODUCT($AI$14:$DF$14,'Staff Daily sales'!$G35:$CD35))</f>
        <v>13</v>
      </c>
      <c r="U50">
        <f>IF($E50=0,0,SUMPRODUCT($AI$15:$DF$15,'Staff Daily sales'!$G35:$CD35))</f>
        <v>0</v>
      </c>
      <c r="V50">
        <f>IF($E50=0,0,SUMPRODUCT($AI$16:$DF$16,'Staff Daily sales'!$G35:$CD35))</f>
        <v>0</v>
      </c>
      <c r="W50">
        <f t="shared" si="31"/>
        <v>49630.92</v>
      </c>
      <c r="X50">
        <f t="shared" si="32"/>
        <v>95147.790000000008</v>
      </c>
      <c r="Y50">
        <f t="shared" si="33"/>
        <v>62344.13</v>
      </c>
      <c r="Z50">
        <f t="shared" si="34"/>
        <v>88779.50999999998</v>
      </c>
      <c r="AA50">
        <f t="shared" si="35"/>
        <v>16142.02</v>
      </c>
      <c r="AB50">
        <f>--AND($E50=1,OR('Staff Weekly Trend'!$B$3="All",$DH50='Staff Weekly Trend'!$B$3),OR('Staff Weekly Trend'!$B$4="All",$D50='Staff Weekly Trend'!$B$4),OR('Staff Weekly Trend'!$B$5="All",$A50='Staff Weekly Trend'!$B$5))</f>
        <v>1</v>
      </c>
      <c r="AC50" t="str">
        <f t="shared" si="36"/>
        <v/>
      </c>
      <c r="AG50" t="str">
        <v>HAGRIDPLZA</v>
      </c>
      <c r="AI50">
        <f t="shared" si="37"/>
        <v>367</v>
      </c>
      <c r="AJ50">
        <f t="shared" si="38"/>
        <v>551</v>
      </c>
      <c r="AK50">
        <f t="shared" si="39"/>
        <v>375</v>
      </c>
      <c r="AL50">
        <f t="shared" si="40"/>
        <v>416</v>
      </c>
      <c r="AM50">
        <f t="shared" si="41"/>
        <v>93</v>
      </c>
      <c r="AN50" s="132">
        <v>46326</v>
      </c>
      <c r="AP50" s="132"/>
      <c r="DH50" t="str" cm="1">
        <f t="array" ref="DH50">IF($A50="","",_xlfn.LET(_xlpm.c,IFERROR(_xlfn.XLOOKUP($A50,TRIM('Sales and count'!$A$4:$A$300&amp;""),TRIM('Sales and count'!$B$4:$B$300&amp;"")),""),IF(OR(_xlpm.c="",_xlpm.c="0",LEFT(_xlpm.c,1)="#"),"Not set",_xlpm.c)))</f>
        <v>KSA</v>
      </c>
    </row>
    <row r="51" spans="1:112" x14ac:dyDescent="0.25">
      <c r="A51" t="str">
        <f>IF('Staff Daily sales'!$B36="","",TRIM('Staff Daily sales'!$B36&amp;""))</f>
        <v>SALAMA</v>
      </c>
      <c r="B51" t="str">
        <f>IF('Staff Daily sales'!$D36="","",TRIM('Staff Daily sales'!$D36&amp;""))</f>
        <v>4642-MAlnami</v>
      </c>
      <c r="C51" t="str">
        <f>IFERROR(TRIM('Staff Daily sales'!$E36&amp;""),"")</f>
        <v>Jeddah</v>
      </c>
      <c r="D51" t="str">
        <f>IFERROR(IF(TRIM('Staff Daily sales'!$F36&amp;"")="","Unassigned",TRIM('Staff Daily sales'!$F36&amp;"")),"Unassigned")</f>
        <v>Saleh Bin Hoiel</v>
      </c>
      <c r="E51">
        <f t="shared" si="26"/>
        <v>1</v>
      </c>
      <c r="F51">
        <f>IF($E51=0,0,SUMPRODUCT($AI$5:$DF$5,'Staff Daily sales'!$G36:$CD36))</f>
        <v>2565.85</v>
      </c>
      <c r="G51">
        <f>IF($E51=0,0,SUMPRODUCT($AI$6:$DF$6,'Staff Daily sales'!$G36:$CD36))</f>
        <v>12</v>
      </c>
      <c r="H51">
        <f t="shared" si="27"/>
        <v>21564.929999999997</v>
      </c>
      <c r="I51">
        <f t="shared" si="28"/>
        <v>55</v>
      </c>
      <c r="J51">
        <f t="shared" si="29"/>
        <v>69638.36</v>
      </c>
      <c r="K51">
        <f t="shared" si="30"/>
        <v>362</v>
      </c>
      <c r="L51">
        <f>--AND($E51=1,OR('Staff Dashboard'!$B$6="All",$DH51='Staff Dashboard'!$B$6),OR('Staff Dashboard'!$B$7="All",$D51='Staff Dashboard'!$B$7),OR('Staff Dashboard'!$B$8="All",$A51='Staff Dashboard'!$B$8))</f>
        <v>0</v>
      </c>
      <c r="M51">
        <f>IF($E51=0,0,SUMPRODUCT($AI$7:$DF$7,'Staff Daily sales'!$G36:$CD36))</f>
        <v>10002.18</v>
      </c>
      <c r="N51">
        <f>IF($E51=0,0,SUMPRODUCT($AI$8:$DF$8,'Staff Daily sales'!$G36:$CD36))</f>
        <v>73</v>
      </c>
      <c r="O51">
        <f>IF($E51=0,0,SUMPRODUCT($AI$9:$DF$9,'Staff Daily sales'!$G36:$CD36))</f>
        <v>15205.33</v>
      </c>
      <c r="P51">
        <f>IF($E51=0,0,SUMPRODUCT($AI$10:$DF$10,'Staff Daily sales'!$G36:$CD36))</f>
        <v>88</v>
      </c>
      <c r="Q51">
        <f>IF($E51=0,0,SUMPRODUCT($AI$11:$DF$11,'Staff Daily sales'!$G36:$CD36))</f>
        <v>6024.07</v>
      </c>
      <c r="R51">
        <f>IF($E51=0,0,SUMPRODUCT($AI$12:$DF$12,'Staff Daily sales'!$G36:$CD36))</f>
        <v>36</v>
      </c>
      <c r="S51">
        <f>IF($E51=0,0,SUMPRODUCT($AI$13:$DF$13,'Staff Daily sales'!$G36:$CD36))</f>
        <v>11959.900000000001</v>
      </c>
      <c r="T51">
        <f>IF($E51=0,0,SUMPRODUCT($AI$14:$DF$14,'Staff Daily sales'!$G36:$CD36))</f>
        <v>64</v>
      </c>
      <c r="U51">
        <f>IF($E51=0,0,SUMPRODUCT($AI$15:$DF$15,'Staff Daily sales'!$G36:$CD36))</f>
        <v>1204.9000000000001</v>
      </c>
      <c r="V51">
        <f>IF($E51=0,0,SUMPRODUCT($AI$16:$DF$16,'Staff Daily sales'!$G36:$CD36))</f>
        <v>7</v>
      </c>
      <c r="W51">
        <f t="shared" si="31"/>
        <v>49630.92</v>
      </c>
      <c r="X51">
        <f t="shared" si="32"/>
        <v>95147.790000000008</v>
      </c>
      <c r="Y51">
        <f t="shared" si="33"/>
        <v>62344.13</v>
      </c>
      <c r="Z51">
        <f t="shared" si="34"/>
        <v>88779.50999999998</v>
      </c>
      <c r="AA51">
        <f t="shared" si="35"/>
        <v>16142.02</v>
      </c>
      <c r="AB51">
        <f>--AND($E51=1,OR('Staff Weekly Trend'!$B$3="All",$DH51='Staff Weekly Trend'!$B$3),OR('Staff Weekly Trend'!$B$4="All",$D51='Staff Weekly Trend'!$B$4),OR('Staff Weekly Trend'!$B$5="All",$A51='Staff Weekly Trend'!$B$5))</f>
        <v>1</v>
      </c>
      <c r="AC51">
        <f t="shared" si="36"/>
        <v>4</v>
      </c>
      <c r="AG51" t="str">
        <v>HAHAILZONE</v>
      </c>
      <c r="AI51">
        <f t="shared" si="37"/>
        <v>367</v>
      </c>
      <c r="AJ51">
        <f t="shared" si="38"/>
        <v>551</v>
      </c>
      <c r="AK51">
        <f t="shared" si="39"/>
        <v>375</v>
      </c>
      <c r="AL51">
        <f t="shared" si="40"/>
        <v>416</v>
      </c>
      <c r="AM51">
        <f t="shared" si="41"/>
        <v>93</v>
      </c>
      <c r="AN51" s="132"/>
      <c r="AP51" s="132"/>
      <c r="DH51" t="str" cm="1">
        <f t="array" ref="DH51">IF($A51="","",_xlfn.LET(_xlpm.c,IFERROR(_xlfn.XLOOKUP($A51,TRIM('Sales and count'!$A$4:$A$300&amp;""),TRIM('Sales and count'!$B$4:$B$300&amp;"")),""),IF(OR(_xlpm.c="",_xlpm.c="0",LEFT(_xlpm.c,1)="#"),"Not set",_xlpm.c)))</f>
        <v>KSA</v>
      </c>
    </row>
    <row r="52" spans="1:112" x14ac:dyDescent="0.25">
      <c r="A52" t="str">
        <f>IF('Staff Daily sales'!$B37="","",TRIM('Staff Daily sales'!$B37&amp;""))</f>
        <v>TAHLIAST</v>
      </c>
      <c r="B52" t="str">
        <f>IF('Staff Daily sales'!$D37="","",TRIM('Staff Daily sales'!$D37&amp;""))</f>
        <v>2996-AAli</v>
      </c>
      <c r="C52" t="str">
        <f>IFERROR(TRIM('Staff Daily sales'!$E37&amp;""),"")</f>
        <v>Jeddah</v>
      </c>
      <c r="D52" t="str">
        <f>IFERROR(IF(TRIM('Staff Daily sales'!$F37&amp;"")="","Unassigned",TRIM('Staff Daily sales'!$F37&amp;"")),"Unassigned")</f>
        <v>Ahlam Al Zahrani</v>
      </c>
      <c r="E52">
        <f t="shared" si="26"/>
        <v>1</v>
      </c>
      <c r="F52">
        <f>IF($E52=0,0,SUMPRODUCT($AI$5:$DF$5,'Staff Daily sales'!$G37:$CD37))</f>
        <v>932.97</v>
      </c>
      <c r="G52">
        <f>IF($E52=0,0,SUMPRODUCT($AI$6:$DF$6,'Staff Daily sales'!$G37:$CD37))</f>
        <v>7</v>
      </c>
      <c r="H52">
        <f t="shared" si="27"/>
        <v>7662.69</v>
      </c>
      <c r="I52">
        <f t="shared" si="28"/>
        <v>46</v>
      </c>
      <c r="J52">
        <f t="shared" si="29"/>
        <v>62016.170000000006</v>
      </c>
      <c r="K52">
        <f t="shared" si="30"/>
        <v>398</v>
      </c>
      <c r="L52">
        <f>--AND($E52=1,OR('Staff Dashboard'!$B$6="All",$DH52='Staff Dashboard'!$B$6),OR('Staff Dashboard'!$B$7="All",$D52='Staff Dashboard'!$B$7),OR('Staff Dashboard'!$B$8="All",$A52='Staff Dashboard'!$B$8))</f>
        <v>0</v>
      </c>
      <c r="M52">
        <f>IF($E52=0,0,SUMPRODUCT($AI$7:$DF$7,'Staff Daily sales'!$G37:$CD37))</f>
        <v>15853.240000000002</v>
      </c>
      <c r="N52">
        <f>IF($E52=0,0,SUMPRODUCT($AI$8:$DF$8,'Staff Daily sales'!$G37:$CD37))</f>
        <v>91</v>
      </c>
      <c r="O52">
        <f>IF($E52=0,0,SUMPRODUCT($AI$9:$DF$9,'Staff Daily sales'!$G37:$CD37))</f>
        <v>22879.48</v>
      </c>
      <c r="P52">
        <f>IF($E52=0,0,SUMPRODUCT($AI$10:$DF$10,'Staff Daily sales'!$G37:$CD37))</f>
        <v>63</v>
      </c>
      <c r="Q52">
        <f>IF($E52=0,0,SUMPRODUCT($AI$11:$DF$11,'Staff Daily sales'!$G37:$CD37))</f>
        <v>7065.13</v>
      </c>
      <c r="R52">
        <f>IF($E52=0,0,SUMPRODUCT($AI$12:$DF$12,'Staff Daily sales'!$G37:$CD37))</f>
        <v>41</v>
      </c>
      <c r="S52">
        <f>IF($E52=0,0,SUMPRODUCT($AI$13:$DF$13,'Staff Daily sales'!$G37:$CD37))</f>
        <v>12965.91</v>
      </c>
      <c r="T52">
        <f>IF($E52=0,0,SUMPRODUCT($AI$14:$DF$14,'Staff Daily sales'!$G37:$CD37))</f>
        <v>50</v>
      </c>
      <c r="U52">
        <f>IF($E52=0,0,SUMPRODUCT($AI$15:$DF$15,'Staff Daily sales'!$G37:$CD37))</f>
        <v>2911.1</v>
      </c>
      <c r="V52">
        <f>IF($E52=0,0,SUMPRODUCT($AI$16:$DF$16,'Staff Daily sales'!$G37:$CD37))</f>
        <v>20</v>
      </c>
      <c r="W52">
        <f t="shared" si="31"/>
        <v>26930.47</v>
      </c>
      <c r="X52">
        <f t="shared" si="32"/>
        <v>52313.969999999994</v>
      </c>
      <c r="Y52">
        <f t="shared" si="33"/>
        <v>28542.61</v>
      </c>
      <c r="Z52">
        <f t="shared" si="34"/>
        <v>36152.44</v>
      </c>
      <c r="AA52">
        <f t="shared" si="35"/>
        <v>6362.14</v>
      </c>
      <c r="AB52">
        <f>--AND($E52=1,OR('Staff Weekly Trend'!$B$3="All",$DH52='Staff Weekly Trend'!$B$3),OR('Staff Weekly Trend'!$B$4="All",$D52='Staff Weekly Trend'!$B$4),OR('Staff Weekly Trend'!$B$5="All",$A52='Staff Weekly Trend'!$B$5))</f>
        <v>1</v>
      </c>
      <c r="AC52">
        <f t="shared" si="36"/>
        <v>3</v>
      </c>
      <c r="AG52" t="str">
        <v>HAJADBUR</v>
      </c>
      <c r="AI52">
        <f t="shared" si="37"/>
        <v>175</v>
      </c>
      <c r="AJ52">
        <f t="shared" si="38"/>
        <v>246</v>
      </c>
      <c r="AK52">
        <f t="shared" si="39"/>
        <v>176</v>
      </c>
      <c r="AL52">
        <f t="shared" si="40"/>
        <v>181</v>
      </c>
      <c r="AM52">
        <f t="shared" si="41"/>
        <v>35</v>
      </c>
      <c r="AN52" s="132"/>
      <c r="AP52" s="132"/>
      <c r="DH52" t="str" cm="1">
        <f t="array" ref="DH52">IF($A52="","",_xlfn.LET(_xlpm.c,IFERROR(_xlfn.XLOOKUP($A52,TRIM('Sales and count'!$A$4:$A$300&amp;""),TRIM('Sales and count'!$B$4:$B$300&amp;"")),""),IF(OR(_xlpm.c="",_xlpm.c="0",LEFT(_xlpm.c,1)="#"),"Not set",_xlpm.c)))</f>
        <v>KSA</v>
      </c>
    </row>
    <row r="53" spans="1:112" x14ac:dyDescent="0.25">
      <c r="A53" t="str">
        <f>IF('Staff Daily sales'!$B38="","",TRIM('Staff Daily sales'!$B38&amp;""))</f>
        <v>TAHLIAST</v>
      </c>
      <c r="B53" t="str">
        <f>IF('Staff Daily sales'!$D38="","",TRIM('Staff Daily sales'!$D38&amp;""))</f>
        <v>4297-AMubarak</v>
      </c>
      <c r="C53" t="str">
        <f>IFERROR(TRIM('Staff Daily sales'!$E38&amp;""),"")</f>
        <v>Jeddah</v>
      </c>
      <c r="D53" t="str">
        <f>IFERROR(IF(TRIM('Staff Daily sales'!$F38&amp;"")="","Unassigned",TRIM('Staff Daily sales'!$F38&amp;"")),"Unassigned")</f>
        <v>Ahlam Al Zahrani</v>
      </c>
      <c r="E53">
        <f t="shared" si="26"/>
        <v>1</v>
      </c>
      <c r="F53">
        <f>IF($E53=0,0,SUMPRODUCT($AI$5:$DF$5,'Staff Daily sales'!$G38:$CD38))</f>
        <v>2495.85</v>
      </c>
      <c r="G53">
        <f>IF($E53=0,0,SUMPRODUCT($AI$6:$DF$6,'Staff Daily sales'!$G38:$CD38))</f>
        <v>14</v>
      </c>
      <c r="H53">
        <f t="shared" si="27"/>
        <v>7662.69</v>
      </c>
      <c r="I53">
        <f t="shared" si="28"/>
        <v>46</v>
      </c>
      <c r="J53">
        <f t="shared" si="29"/>
        <v>62016.170000000006</v>
      </c>
      <c r="K53">
        <f t="shared" si="30"/>
        <v>398</v>
      </c>
      <c r="L53">
        <f>--AND($E53=1,OR('Staff Dashboard'!$B$6="All",$DH53='Staff Dashboard'!$B$6),OR('Staff Dashboard'!$B$7="All",$D53='Staff Dashboard'!$B$7),OR('Staff Dashboard'!$B$8="All",$A53='Staff Dashboard'!$B$8))</f>
        <v>0</v>
      </c>
      <c r="M53">
        <f>IF($E53=0,0,SUMPRODUCT($AI$7:$DF$7,'Staff Daily sales'!$G38:$CD38))</f>
        <v>0</v>
      </c>
      <c r="N53">
        <f>IF($E53=0,0,SUMPRODUCT($AI$8:$DF$8,'Staff Daily sales'!$G38:$CD38))</f>
        <v>0</v>
      </c>
      <c r="O53">
        <f>IF($E53=0,0,SUMPRODUCT($AI$9:$DF$9,'Staff Daily sales'!$G38:$CD38))</f>
        <v>2024.03</v>
      </c>
      <c r="P53">
        <f>IF($E53=0,0,SUMPRODUCT($AI$10:$DF$10,'Staff Daily sales'!$G38:$CD38))</f>
        <v>14</v>
      </c>
      <c r="Q53">
        <f>IF($E53=0,0,SUMPRODUCT($AI$11:$DF$11,'Staff Daily sales'!$G38:$CD38))</f>
        <v>5317.14</v>
      </c>
      <c r="R53">
        <f>IF($E53=0,0,SUMPRODUCT($AI$12:$DF$12,'Staff Daily sales'!$G38:$CD38))</f>
        <v>31</v>
      </c>
      <c r="S53">
        <f>IF($E53=0,0,SUMPRODUCT($AI$13:$DF$13,'Staff Daily sales'!$G38:$CD38))</f>
        <v>5426.8099999999995</v>
      </c>
      <c r="T53">
        <f>IF($E53=0,0,SUMPRODUCT($AI$14:$DF$14,'Staff Daily sales'!$G38:$CD38))</f>
        <v>31</v>
      </c>
      <c r="U53">
        <f>IF($E53=0,0,SUMPRODUCT($AI$15:$DF$15,'Staff Daily sales'!$G38:$CD38))</f>
        <v>521.99</v>
      </c>
      <c r="V53">
        <f>IF($E53=0,0,SUMPRODUCT($AI$16:$DF$16,'Staff Daily sales'!$G38:$CD38))</f>
        <v>3</v>
      </c>
      <c r="W53">
        <f t="shared" si="31"/>
        <v>26930.47</v>
      </c>
      <c r="X53">
        <f t="shared" si="32"/>
        <v>52313.969999999994</v>
      </c>
      <c r="Y53">
        <f t="shared" si="33"/>
        <v>28542.61</v>
      </c>
      <c r="Z53">
        <f t="shared" si="34"/>
        <v>36152.44</v>
      </c>
      <c r="AA53">
        <f t="shared" si="35"/>
        <v>6362.14</v>
      </c>
      <c r="AB53">
        <f>--AND($E53=1,OR('Staff Weekly Trend'!$B$3="All",$DH53='Staff Weekly Trend'!$B$3),OR('Staff Weekly Trend'!$B$4="All",$D53='Staff Weekly Trend'!$B$4),OR('Staff Weekly Trend'!$B$5="All",$A53='Staff Weekly Trend'!$B$5))</f>
        <v>1</v>
      </c>
      <c r="AC53">
        <f t="shared" si="36"/>
        <v>2</v>
      </c>
      <c r="AG53" t="str">
        <v>HAJEDSULTN</v>
      </c>
      <c r="AI53">
        <f t="shared" si="37"/>
        <v>175</v>
      </c>
      <c r="AJ53">
        <f t="shared" si="38"/>
        <v>246</v>
      </c>
      <c r="AK53">
        <f t="shared" si="39"/>
        <v>176</v>
      </c>
      <c r="AL53">
        <f t="shared" si="40"/>
        <v>181</v>
      </c>
      <c r="AM53">
        <f t="shared" si="41"/>
        <v>35</v>
      </c>
      <c r="AN53" s="132"/>
      <c r="AP53" s="132"/>
      <c r="DH53" t="str" cm="1">
        <f t="array" ref="DH53">IF($A53="","",_xlfn.LET(_xlpm.c,IFERROR(_xlfn.XLOOKUP($A53,TRIM('Sales and count'!$A$4:$A$300&amp;""),TRIM('Sales and count'!$B$4:$B$300&amp;"")),""),IF(OR(_xlpm.c="",_xlpm.c="0",LEFT(_xlpm.c,1)="#"),"Not set",_xlpm.c)))</f>
        <v>KSA</v>
      </c>
    </row>
    <row r="54" spans="1:112" x14ac:dyDescent="0.25">
      <c r="A54" t="str">
        <f>IF('Staff Daily sales'!$B39="","",TRIM('Staff Daily sales'!$B39&amp;""))</f>
        <v>TAHLIAST</v>
      </c>
      <c r="B54" t="str">
        <f>IF('Staff Daily sales'!$D39="","",TRIM('Staff Daily sales'!$D39&amp;""))</f>
        <v>5320-MAlnashri</v>
      </c>
      <c r="C54" t="str">
        <f>IFERROR(TRIM('Staff Daily sales'!$E39&amp;""),"")</f>
        <v>Jeddah</v>
      </c>
      <c r="D54" t="str">
        <f>IFERROR(IF(TRIM('Staff Daily sales'!$F39&amp;"")="","Unassigned",TRIM('Staff Daily sales'!$F39&amp;"")),"Unassigned")</f>
        <v>Ahlam Al Zahrani</v>
      </c>
      <c r="E54">
        <f t="shared" si="26"/>
        <v>1</v>
      </c>
      <c r="F54">
        <f>IF($E54=0,0,SUMPRODUCT($AI$5:$DF$5,'Staff Daily sales'!$G39:$CD39))</f>
        <v>0</v>
      </c>
      <c r="G54">
        <f>IF($E54=0,0,SUMPRODUCT($AI$6:$DF$6,'Staff Daily sales'!$G39:$CD39))</f>
        <v>0</v>
      </c>
      <c r="H54">
        <f t="shared" si="27"/>
        <v>7662.69</v>
      </c>
      <c r="I54">
        <f t="shared" si="28"/>
        <v>46</v>
      </c>
      <c r="J54">
        <f t="shared" si="29"/>
        <v>62016.170000000006</v>
      </c>
      <c r="K54">
        <f t="shared" si="30"/>
        <v>398</v>
      </c>
      <c r="L54">
        <f>--AND($E54=1,OR('Staff Dashboard'!$B$6="All",$DH54='Staff Dashboard'!$B$6),OR('Staff Dashboard'!$B$7="All",$D54='Staff Dashboard'!$B$7),OR('Staff Dashboard'!$B$8="All",$A54='Staff Dashboard'!$B$8))</f>
        <v>0</v>
      </c>
      <c r="M54">
        <f>IF($E54=0,0,SUMPRODUCT($AI$7:$DF$7,'Staff Daily sales'!$G39:$CD39))</f>
        <v>7523.13</v>
      </c>
      <c r="N54">
        <f>IF($E54=0,0,SUMPRODUCT($AI$8:$DF$8,'Staff Daily sales'!$G39:$CD39))</f>
        <v>60</v>
      </c>
      <c r="O54">
        <f>IF($E54=0,0,SUMPRODUCT($AI$9:$DF$9,'Staff Daily sales'!$G39:$CD39))</f>
        <v>10887.160000000002</v>
      </c>
      <c r="P54">
        <f>IF($E54=0,0,SUMPRODUCT($AI$10:$DF$10,'Staff Daily sales'!$G39:$CD39))</f>
        <v>63</v>
      </c>
      <c r="Q54">
        <f>IF($E54=0,0,SUMPRODUCT($AI$11:$DF$11,'Staff Daily sales'!$G39:$CD39))</f>
        <v>7784.19</v>
      </c>
      <c r="R54">
        <f>IF($E54=0,0,SUMPRODUCT($AI$12:$DF$12,'Staff Daily sales'!$G39:$CD39))</f>
        <v>50</v>
      </c>
      <c r="S54">
        <f>IF($E54=0,0,SUMPRODUCT($AI$13:$DF$13,'Staff Daily sales'!$G39:$CD39))</f>
        <v>4314.12</v>
      </c>
      <c r="T54">
        <f>IF($E54=0,0,SUMPRODUCT($AI$14:$DF$14,'Staff Daily sales'!$G39:$CD39))</f>
        <v>23</v>
      </c>
      <c r="U54">
        <f>IF($E54=0,0,SUMPRODUCT($AI$15:$DF$15,'Staff Daily sales'!$G39:$CD39))</f>
        <v>0</v>
      </c>
      <c r="V54">
        <f>IF($E54=0,0,SUMPRODUCT($AI$16:$DF$16,'Staff Daily sales'!$G39:$CD39))</f>
        <v>0</v>
      </c>
      <c r="W54">
        <f t="shared" si="31"/>
        <v>26930.47</v>
      </c>
      <c r="X54">
        <f t="shared" si="32"/>
        <v>52313.969999999994</v>
      </c>
      <c r="Y54">
        <f t="shared" si="33"/>
        <v>28542.61</v>
      </c>
      <c r="Z54">
        <f t="shared" si="34"/>
        <v>36152.44</v>
      </c>
      <c r="AA54">
        <f t="shared" si="35"/>
        <v>6362.14</v>
      </c>
      <c r="AB54">
        <f>--AND($E54=1,OR('Staff Weekly Trend'!$B$3="All",$DH54='Staff Weekly Trend'!$B$3),OR('Staff Weekly Trend'!$B$4="All",$D54='Staff Weekly Trend'!$B$4),OR('Staff Weekly Trend'!$B$5="All",$A54='Staff Weekly Trend'!$B$5))</f>
        <v>1</v>
      </c>
      <c r="AC54" t="str">
        <f t="shared" si="36"/>
        <v/>
      </c>
      <c r="AG54" t="str">
        <v>HAJUBAILML</v>
      </c>
      <c r="AI54">
        <f t="shared" si="37"/>
        <v>175</v>
      </c>
      <c r="AJ54">
        <f t="shared" si="38"/>
        <v>246</v>
      </c>
      <c r="AK54">
        <f t="shared" si="39"/>
        <v>176</v>
      </c>
      <c r="AL54">
        <f t="shared" si="40"/>
        <v>181</v>
      </c>
      <c r="AM54">
        <f t="shared" si="41"/>
        <v>35</v>
      </c>
      <c r="AN54" s="132"/>
      <c r="AP54" s="132"/>
      <c r="DH54" t="str" cm="1">
        <f t="array" ref="DH54">IF($A54="","",_xlfn.LET(_xlpm.c,IFERROR(_xlfn.XLOOKUP($A54,TRIM('Sales and count'!$A$4:$A$300&amp;""),TRIM('Sales and count'!$B$4:$B$300&amp;"")),""),IF(OR(_xlpm.c="",_xlpm.c="0",LEFT(_xlpm.c,1)="#"),"Not set",_xlpm.c)))</f>
        <v>KSA</v>
      </c>
    </row>
    <row r="55" spans="1:112" x14ac:dyDescent="0.25">
      <c r="A55" t="str">
        <f>IF('Staff Daily sales'!$B40="","",TRIM('Staff Daily sales'!$B40&amp;""))</f>
        <v>TAHLIAST</v>
      </c>
      <c r="B55" t="str">
        <f>IF('Staff Daily sales'!$D40="","",TRIM('Staff Daily sales'!$D40&amp;""))</f>
        <v>7061-RAli</v>
      </c>
      <c r="C55" t="str">
        <f>IFERROR(TRIM('Staff Daily sales'!$E40&amp;""),"")</f>
        <v>Jeddah</v>
      </c>
      <c r="D55" t="str">
        <f>IFERROR(IF(TRIM('Staff Daily sales'!$F40&amp;"")="","Unassigned",TRIM('Staff Daily sales'!$F40&amp;"")),"Unassigned")</f>
        <v>Ahlam Al Zahrani</v>
      </c>
      <c r="E55">
        <f t="shared" si="26"/>
        <v>1</v>
      </c>
      <c r="F55">
        <f>IF($E55=0,0,SUMPRODUCT($AI$5:$DF$5,'Staff Daily sales'!$G40:$CD40))</f>
        <v>4233.87</v>
      </c>
      <c r="G55">
        <f>IF($E55=0,0,SUMPRODUCT($AI$6:$DF$6,'Staff Daily sales'!$G40:$CD40))</f>
        <v>25</v>
      </c>
      <c r="H55">
        <f t="shared" si="27"/>
        <v>7662.69</v>
      </c>
      <c r="I55">
        <f t="shared" si="28"/>
        <v>46</v>
      </c>
      <c r="J55">
        <f t="shared" si="29"/>
        <v>62016.170000000006</v>
      </c>
      <c r="K55">
        <f t="shared" si="30"/>
        <v>398</v>
      </c>
      <c r="L55">
        <f>--AND($E55=1,OR('Staff Dashboard'!$B$6="All",$DH55='Staff Dashboard'!$B$6),OR('Staff Dashboard'!$B$7="All",$D55='Staff Dashboard'!$B$7),OR('Staff Dashboard'!$B$8="All",$A55='Staff Dashboard'!$B$8))</f>
        <v>0</v>
      </c>
      <c r="M55">
        <f>IF($E55=0,0,SUMPRODUCT($AI$7:$DF$7,'Staff Daily sales'!$G40:$CD40))</f>
        <v>3554.1000000000004</v>
      </c>
      <c r="N55">
        <f>IF($E55=0,0,SUMPRODUCT($AI$8:$DF$8,'Staff Daily sales'!$G40:$CD40))</f>
        <v>24</v>
      </c>
      <c r="O55">
        <f>IF($E55=0,0,SUMPRODUCT($AI$9:$DF$9,'Staff Daily sales'!$G40:$CD40))</f>
        <v>16523.299999999996</v>
      </c>
      <c r="P55">
        <f>IF($E55=0,0,SUMPRODUCT($AI$10:$DF$10,'Staff Daily sales'!$G40:$CD40))</f>
        <v>106</v>
      </c>
      <c r="Q55">
        <f>IF($E55=0,0,SUMPRODUCT($AI$11:$DF$11,'Staff Daily sales'!$G40:$CD40))</f>
        <v>8376.15</v>
      </c>
      <c r="R55">
        <f>IF($E55=0,0,SUMPRODUCT($AI$12:$DF$12,'Staff Daily sales'!$G40:$CD40))</f>
        <v>54</v>
      </c>
      <c r="S55">
        <f>IF($E55=0,0,SUMPRODUCT($AI$13:$DF$13,'Staff Daily sales'!$G40:$CD40))</f>
        <v>13445.599999999999</v>
      </c>
      <c r="T55">
        <f>IF($E55=0,0,SUMPRODUCT($AI$14:$DF$14,'Staff Daily sales'!$G40:$CD40))</f>
        <v>77</v>
      </c>
      <c r="U55">
        <f>IF($E55=0,0,SUMPRODUCT($AI$15:$DF$15,'Staff Daily sales'!$G40:$CD40))</f>
        <v>2929.05</v>
      </c>
      <c r="V55">
        <f>IF($E55=0,0,SUMPRODUCT($AI$16:$DF$16,'Staff Daily sales'!$G40:$CD40))</f>
        <v>12</v>
      </c>
      <c r="W55">
        <f t="shared" si="31"/>
        <v>26930.47</v>
      </c>
      <c r="X55">
        <f t="shared" si="32"/>
        <v>52313.969999999994</v>
      </c>
      <c r="Y55">
        <f t="shared" si="33"/>
        <v>28542.61</v>
      </c>
      <c r="Z55">
        <f t="shared" si="34"/>
        <v>36152.44</v>
      </c>
      <c r="AA55">
        <f t="shared" si="35"/>
        <v>6362.14</v>
      </c>
      <c r="AB55">
        <f>--AND($E55=1,OR('Staff Weekly Trend'!$B$3="All",$DH55='Staff Weekly Trend'!$B$3),OR('Staff Weekly Trend'!$B$4="All",$D55='Staff Weekly Trend'!$B$4),OR('Staff Weekly Trend'!$B$5="All",$A55='Staff Weekly Trend'!$B$5))</f>
        <v>1</v>
      </c>
      <c r="AC55">
        <f t="shared" si="36"/>
        <v>1</v>
      </c>
      <c r="AG55" t="str">
        <v>HAJWALK</v>
      </c>
      <c r="AI55">
        <f t="shared" si="37"/>
        <v>175</v>
      </c>
      <c r="AJ55">
        <f t="shared" si="38"/>
        <v>246</v>
      </c>
      <c r="AK55">
        <f t="shared" si="39"/>
        <v>176</v>
      </c>
      <c r="AL55">
        <f t="shared" si="40"/>
        <v>181</v>
      </c>
      <c r="AM55">
        <f t="shared" si="41"/>
        <v>35</v>
      </c>
      <c r="AN55" s="132"/>
      <c r="AP55" s="132"/>
      <c r="DH55" t="str" cm="1">
        <f t="array" ref="DH55">IF($A55="","",_xlfn.LET(_xlpm.c,IFERROR(_xlfn.XLOOKUP($A55,TRIM('Sales and count'!$A$4:$A$300&amp;""),TRIM('Sales and count'!$B$4:$B$300&amp;"")),""),IF(OR(_xlpm.c="",_xlpm.c="0",LEFT(_xlpm.c,1)="#"),"Not set",_xlpm.c)))</f>
        <v>KSA</v>
      </c>
    </row>
    <row r="56" spans="1:112" x14ac:dyDescent="0.25">
      <c r="A56" t="str">
        <f>IF('Staff Daily sales'!$B41="","",TRIM('Staff Daily sales'!$B41&amp;""))</f>
        <v>ANDLUSMALL</v>
      </c>
      <c r="B56" t="str">
        <f>IF('Staff Daily sales'!$D41="","",TRIM('Staff Daily sales'!$D41&amp;""))</f>
        <v>2900</v>
      </c>
      <c r="C56" t="str">
        <f>IFERROR(TRIM('Staff Daily sales'!$E41&amp;""),"")</f>
        <v>Jeddah</v>
      </c>
      <c r="D56" t="str">
        <f>IFERROR(IF(TRIM('Staff Daily sales'!$F41&amp;"")="","Unassigned",TRIM('Staff Daily sales'!$F41&amp;"")),"Unassigned")</f>
        <v>Ahlam Al Zahrani</v>
      </c>
      <c r="E56">
        <f t="shared" si="26"/>
        <v>1</v>
      </c>
      <c r="F56">
        <f>IF($E56=0,0,SUMPRODUCT($AI$5:$DF$5,'Staff Daily sales'!$G41:$CD41))</f>
        <v>0</v>
      </c>
      <c r="G56">
        <f>IF($E56=0,0,SUMPRODUCT($AI$6:$DF$6,'Staff Daily sales'!$G41:$CD41))</f>
        <v>0</v>
      </c>
      <c r="H56">
        <f t="shared" si="27"/>
        <v>7057.74</v>
      </c>
      <c r="I56">
        <f t="shared" si="28"/>
        <v>60</v>
      </c>
      <c r="J56">
        <f t="shared" si="29"/>
        <v>62016.170000000006</v>
      </c>
      <c r="K56">
        <f t="shared" si="30"/>
        <v>398</v>
      </c>
      <c r="L56">
        <f>--AND($E56=1,OR('Staff Dashboard'!$B$6="All",$DH56='Staff Dashboard'!$B$6),OR('Staff Dashboard'!$B$7="All",$D56='Staff Dashboard'!$B$7),OR('Staff Dashboard'!$B$8="All",$A56='Staff Dashboard'!$B$8))</f>
        <v>0</v>
      </c>
      <c r="M56">
        <f>IF($E56=0,0,SUMPRODUCT($AI$7:$DF$7,'Staff Daily sales'!$G41:$CD41))</f>
        <v>0</v>
      </c>
      <c r="N56">
        <f>IF($E56=0,0,SUMPRODUCT($AI$8:$DF$8,'Staff Daily sales'!$G41:$CD41))</f>
        <v>0</v>
      </c>
      <c r="O56">
        <f>IF($E56=0,0,SUMPRODUCT($AI$9:$DF$9,'Staff Daily sales'!$G41:$CD41))</f>
        <v>0</v>
      </c>
      <c r="P56">
        <f>IF($E56=0,0,SUMPRODUCT($AI$10:$DF$10,'Staff Daily sales'!$G41:$CD41))</f>
        <v>0</v>
      </c>
      <c r="Q56">
        <f>IF($E56=0,0,SUMPRODUCT($AI$11:$DF$11,'Staff Daily sales'!$G41:$CD41))</f>
        <v>0</v>
      </c>
      <c r="R56">
        <f>IF($E56=0,0,SUMPRODUCT($AI$12:$DF$12,'Staff Daily sales'!$G41:$CD41))</f>
        <v>1</v>
      </c>
      <c r="S56">
        <f>IF($E56=0,0,SUMPRODUCT($AI$13:$DF$13,'Staff Daily sales'!$G41:$CD41))</f>
        <v>285.98</v>
      </c>
      <c r="T56">
        <f>IF($E56=0,0,SUMPRODUCT($AI$14:$DF$14,'Staff Daily sales'!$G41:$CD41))</f>
        <v>2</v>
      </c>
      <c r="U56">
        <f>IF($E56=0,0,SUMPRODUCT($AI$15:$DF$15,'Staff Daily sales'!$G41:$CD41))</f>
        <v>0</v>
      </c>
      <c r="V56">
        <f>IF($E56=0,0,SUMPRODUCT($AI$16:$DF$16,'Staff Daily sales'!$G41:$CD41))</f>
        <v>0</v>
      </c>
      <c r="W56">
        <f t="shared" si="31"/>
        <v>35997.760000000002</v>
      </c>
      <c r="X56">
        <f t="shared" si="32"/>
        <v>61379.990000000005</v>
      </c>
      <c r="Y56">
        <f t="shared" si="33"/>
        <v>43626.770000000004</v>
      </c>
      <c r="Z56">
        <f t="shared" si="34"/>
        <v>38493.57</v>
      </c>
      <c r="AA56">
        <f t="shared" si="35"/>
        <v>10337.049999999999</v>
      </c>
      <c r="AB56">
        <f>--AND($E56=1,OR('Staff Weekly Trend'!$B$3="All",$DH56='Staff Weekly Trend'!$B$3),OR('Staff Weekly Trend'!$B$4="All",$D56='Staff Weekly Trend'!$B$4),OR('Staff Weekly Trend'!$B$5="All",$A56='Staff Weekly Trend'!$B$5))</f>
        <v>1</v>
      </c>
      <c r="AC56" t="str">
        <f t="shared" si="36"/>
        <v/>
      </c>
      <c r="AG56" t="str">
        <v>HAKADIMALL</v>
      </c>
      <c r="AI56">
        <f t="shared" si="37"/>
        <v>321</v>
      </c>
      <c r="AJ56">
        <f t="shared" si="38"/>
        <v>435</v>
      </c>
      <c r="AK56">
        <f t="shared" si="39"/>
        <v>355</v>
      </c>
      <c r="AL56">
        <f t="shared" si="40"/>
        <v>309</v>
      </c>
      <c r="AM56">
        <f t="shared" si="41"/>
        <v>74</v>
      </c>
      <c r="AN56" s="132"/>
      <c r="AP56" s="132"/>
      <c r="DH56" t="str" cm="1">
        <f t="array" ref="DH56">IF($A56="","",_xlfn.LET(_xlpm.c,IFERROR(_xlfn.XLOOKUP($A56,TRIM('Sales and count'!$A$4:$A$300&amp;""),TRIM('Sales and count'!$B$4:$B$300&amp;"")),""),IF(OR(_xlpm.c="",_xlpm.c="0",LEFT(_xlpm.c,1)="#"),"Not set",_xlpm.c)))</f>
        <v>KSA</v>
      </c>
    </row>
    <row r="57" spans="1:112" x14ac:dyDescent="0.25">
      <c r="A57" t="str">
        <f>IF('Staff Daily sales'!$B42="","",TRIM('Staff Daily sales'!$B42&amp;""))</f>
        <v>ANDLUSMALL</v>
      </c>
      <c r="B57" t="str">
        <f>IF('Staff Daily sales'!$D42="","",TRIM('Staff Daily sales'!$D42&amp;""))</f>
        <v>3476-Hamid Alzahrani</v>
      </c>
      <c r="C57" t="str">
        <f>IFERROR(TRIM('Staff Daily sales'!$E42&amp;""),"")</f>
        <v>Jeddah</v>
      </c>
      <c r="D57" t="str">
        <f>IFERROR(IF(TRIM('Staff Daily sales'!$F42&amp;"")="","Unassigned",TRIM('Staff Daily sales'!$F42&amp;"")),"Unassigned")</f>
        <v>Ahlam Al Zahrani</v>
      </c>
      <c r="E57">
        <f t="shared" si="26"/>
        <v>1</v>
      </c>
      <c r="F57">
        <f>IF($E57=0,0,SUMPRODUCT($AI$5:$DF$5,'Staff Daily sales'!$G42:$CD42))</f>
        <v>0</v>
      </c>
      <c r="G57">
        <f>IF($E57=0,0,SUMPRODUCT($AI$6:$DF$6,'Staff Daily sales'!$G42:$CD42))</f>
        <v>0</v>
      </c>
      <c r="H57">
        <f t="shared" si="27"/>
        <v>7057.74</v>
      </c>
      <c r="I57">
        <f t="shared" si="28"/>
        <v>60</v>
      </c>
      <c r="J57">
        <f t="shared" si="29"/>
        <v>62016.170000000006</v>
      </c>
      <c r="K57">
        <f t="shared" si="30"/>
        <v>398</v>
      </c>
      <c r="L57">
        <f>--AND($E57=1,OR('Staff Dashboard'!$B$6="All",$DH57='Staff Dashboard'!$B$6),OR('Staff Dashboard'!$B$7="All",$D57='Staff Dashboard'!$B$7),OR('Staff Dashboard'!$B$8="All",$A57='Staff Dashboard'!$B$8))</f>
        <v>0</v>
      </c>
      <c r="M57">
        <f>IF($E57=0,0,SUMPRODUCT($AI$7:$DF$7,'Staff Daily sales'!$G42:$CD42))</f>
        <v>890.01</v>
      </c>
      <c r="N57">
        <f>IF($E57=0,0,SUMPRODUCT($AI$8:$DF$8,'Staff Daily sales'!$G42:$CD42))</f>
        <v>10</v>
      </c>
      <c r="O57">
        <f>IF($E57=0,0,SUMPRODUCT($AI$9:$DF$9,'Staff Daily sales'!$G42:$CD42))</f>
        <v>198.01</v>
      </c>
      <c r="P57">
        <f>IF($E57=0,0,SUMPRODUCT($AI$10:$DF$10,'Staff Daily sales'!$G42:$CD42))</f>
        <v>1</v>
      </c>
      <c r="Q57">
        <f>IF($E57=0,0,SUMPRODUCT($AI$11:$DF$11,'Staff Daily sales'!$G42:$CD42))</f>
        <v>0</v>
      </c>
      <c r="R57">
        <f>IF($E57=0,0,SUMPRODUCT($AI$12:$DF$12,'Staff Daily sales'!$G42:$CD42))</f>
        <v>0</v>
      </c>
      <c r="S57">
        <f>IF($E57=0,0,SUMPRODUCT($AI$13:$DF$13,'Staff Daily sales'!$G42:$CD42))</f>
        <v>499.01</v>
      </c>
      <c r="T57">
        <f>IF($E57=0,0,SUMPRODUCT($AI$14:$DF$14,'Staff Daily sales'!$G42:$CD42))</f>
        <v>3</v>
      </c>
      <c r="U57">
        <f>IF($E57=0,0,SUMPRODUCT($AI$15:$DF$15,'Staff Daily sales'!$G42:$CD42))</f>
        <v>0</v>
      </c>
      <c r="V57">
        <f>IF($E57=0,0,SUMPRODUCT($AI$16:$DF$16,'Staff Daily sales'!$G42:$CD42))</f>
        <v>0</v>
      </c>
      <c r="W57">
        <f t="shared" si="31"/>
        <v>35997.760000000002</v>
      </c>
      <c r="X57">
        <f t="shared" si="32"/>
        <v>61379.990000000005</v>
      </c>
      <c r="Y57">
        <f t="shared" si="33"/>
        <v>43626.770000000004</v>
      </c>
      <c r="Z57">
        <f t="shared" si="34"/>
        <v>38493.57</v>
      </c>
      <c r="AA57">
        <f t="shared" si="35"/>
        <v>10337.049999999999</v>
      </c>
      <c r="AB57">
        <f>--AND($E57=1,OR('Staff Weekly Trend'!$B$3="All",$DH57='Staff Weekly Trend'!$B$3),OR('Staff Weekly Trend'!$B$4="All",$D57='Staff Weekly Trend'!$B$4),OR('Staff Weekly Trend'!$B$5="All",$A57='Staff Weekly Trend'!$B$5))</f>
        <v>1</v>
      </c>
      <c r="AC57" t="str">
        <f t="shared" si="36"/>
        <v/>
      </c>
      <c r="AG57" t="str">
        <v>HAKHAMBLV</v>
      </c>
      <c r="AI57">
        <f t="shared" si="37"/>
        <v>321</v>
      </c>
      <c r="AJ57">
        <f t="shared" si="38"/>
        <v>435</v>
      </c>
      <c r="AK57">
        <f t="shared" si="39"/>
        <v>355</v>
      </c>
      <c r="AL57">
        <f t="shared" si="40"/>
        <v>309</v>
      </c>
      <c r="AM57">
        <f t="shared" si="41"/>
        <v>74</v>
      </c>
      <c r="AN57" s="132"/>
      <c r="AP57" s="132"/>
      <c r="DH57" t="str" cm="1">
        <f t="array" ref="DH57">IF($A57="","",_xlfn.LET(_xlpm.c,IFERROR(_xlfn.XLOOKUP($A57,TRIM('Sales and count'!$A$4:$A$300&amp;""),TRIM('Sales and count'!$B$4:$B$300&amp;"")),""),IF(OR(_xlpm.c="",_xlpm.c="0",LEFT(_xlpm.c,1)="#"),"Not set",_xlpm.c)))</f>
        <v>KSA</v>
      </c>
    </row>
    <row r="58" spans="1:112" x14ac:dyDescent="0.25">
      <c r="A58" t="str">
        <f>IF('Staff Daily sales'!$B43="","",TRIM('Staff Daily sales'!$B43&amp;""))</f>
        <v>ANDLUSMALL</v>
      </c>
      <c r="B58" t="str">
        <f>IF('Staff Daily sales'!$D43="","",TRIM('Staff Daily sales'!$D43&amp;""))</f>
        <v>3478-Mohammed Alshamrani</v>
      </c>
      <c r="C58" t="str">
        <f>IFERROR(TRIM('Staff Daily sales'!$E43&amp;""),"")</f>
        <v>Jeddah</v>
      </c>
      <c r="D58" t="str">
        <f>IFERROR(IF(TRIM('Staff Daily sales'!$F43&amp;"")="","Unassigned",TRIM('Staff Daily sales'!$F43&amp;"")),"Unassigned")</f>
        <v>Ahlam Al Zahrani</v>
      </c>
      <c r="E58">
        <f t="shared" si="26"/>
        <v>1</v>
      </c>
      <c r="F58">
        <f>IF($E58=0,0,SUMPRODUCT($AI$5:$DF$5,'Staff Daily sales'!$G43:$CD43))</f>
        <v>3004.91</v>
      </c>
      <c r="G58">
        <f>IF($E58=0,0,SUMPRODUCT($AI$6:$DF$6,'Staff Daily sales'!$G43:$CD43))</f>
        <v>25</v>
      </c>
      <c r="H58">
        <f t="shared" si="27"/>
        <v>7057.74</v>
      </c>
      <c r="I58">
        <f t="shared" si="28"/>
        <v>60</v>
      </c>
      <c r="J58">
        <f t="shared" si="29"/>
        <v>62016.170000000006</v>
      </c>
      <c r="K58">
        <f t="shared" si="30"/>
        <v>398</v>
      </c>
      <c r="L58">
        <f>--AND($E58=1,OR('Staff Dashboard'!$B$6="All",$DH58='Staff Dashboard'!$B$6),OR('Staff Dashboard'!$B$7="All",$D58='Staff Dashboard'!$B$7),OR('Staff Dashboard'!$B$8="All",$A58='Staff Dashboard'!$B$8))</f>
        <v>0</v>
      </c>
      <c r="M58">
        <f>IF($E58=0,0,SUMPRODUCT($AI$7:$DF$7,'Staff Daily sales'!$G43:$CD43))</f>
        <v>14477.380000000001</v>
      </c>
      <c r="N58">
        <f>IF($E58=0,0,SUMPRODUCT($AI$8:$DF$8,'Staff Daily sales'!$G43:$CD43))</f>
        <v>121</v>
      </c>
      <c r="O58">
        <f>IF($E58=0,0,SUMPRODUCT($AI$9:$DF$9,'Staff Daily sales'!$G43:$CD43))</f>
        <v>12061.24</v>
      </c>
      <c r="P58">
        <f>IF($E58=0,0,SUMPRODUCT($AI$10:$DF$10,'Staff Daily sales'!$G43:$CD43))</f>
        <v>80</v>
      </c>
      <c r="Q58">
        <f>IF($E58=0,0,SUMPRODUCT($AI$11:$DF$11,'Staff Daily sales'!$G43:$CD43))</f>
        <v>6953.13</v>
      </c>
      <c r="R58">
        <f>IF($E58=0,0,SUMPRODUCT($AI$12:$DF$12,'Staff Daily sales'!$G43:$CD43))</f>
        <v>58</v>
      </c>
      <c r="S58">
        <f>IF($E58=0,0,SUMPRODUCT($AI$13:$DF$13,'Staff Daily sales'!$G43:$CD43))</f>
        <v>10642.76</v>
      </c>
      <c r="T58">
        <f>IF($E58=0,0,SUMPRODUCT($AI$14:$DF$14,'Staff Daily sales'!$G43:$CD43))</f>
        <v>80</v>
      </c>
      <c r="U58">
        <f>IF($E58=0,0,SUMPRODUCT($AI$15:$DF$15,'Staff Daily sales'!$G43:$CD43))</f>
        <v>1790.03</v>
      </c>
      <c r="V58">
        <f>IF($E58=0,0,SUMPRODUCT($AI$16:$DF$16,'Staff Daily sales'!$G43:$CD43))</f>
        <v>18</v>
      </c>
      <c r="W58">
        <f t="shared" si="31"/>
        <v>35997.760000000002</v>
      </c>
      <c r="X58">
        <f t="shared" si="32"/>
        <v>61379.990000000005</v>
      </c>
      <c r="Y58">
        <f t="shared" si="33"/>
        <v>43626.770000000004</v>
      </c>
      <c r="Z58">
        <f t="shared" si="34"/>
        <v>38493.57</v>
      </c>
      <c r="AA58">
        <f t="shared" si="35"/>
        <v>10337.049999999999</v>
      </c>
      <c r="AB58">
        <f>--AND($E58=1,OR('Staff Weekly Trend'!$B$3="All",$DH58='Staff Weekly Trend'!$B$3),OR('Staff Weekly Trend'!$B$4="All",$D58='Staff Weekly Trend'!$B$4),OR('Staff Weekly Trend'!$B$5="All",$A58='Staff Weekly Trend'!$B$5))</f>
        <v>1</v>
      </c>
      <c r="AC58">
        <f t="shared" si="36"/>
        <v>2</v>
      </c>
      <c r="AG58" t="str">
        <v>HAKHAYLPLZ</v>
      </c>
      <c r="AI58">
        <f t="shared" si="37"/>
        <v>321</v>
      </c>
      <c r="AJ58">
        <f t="shared" si="38"/>
        <v>435</v>
      </c>
      <c r="AK58">
        <f t="shared" si="39"/>
        <v>355</v>
      </c>
      <c r="AL58">
        <f t="shared" si="40"/>
        <v>309</v>
      </c>
      <c r="AM58">
        <f t="shared" si="41"/>
        <v>74</v>
      </c>
      <c r="AN58" s="132"/>
      <c r="AP58" s="132"/>
      <c r="DH58" t="str" cm="1">
        <f t="array" ref="DH58">IF($A58="","",_xlfn.LET(_xlpm.c,IFERROR(_xlfn.XLOOKUP($A58,TRIM('Sales and count'!$A$4:$A$300&amp;""),TRIM('Sales and count'!$B$4:$B$300&amp;"")),""),IF(OR(_xlpm.c="",_xlpm.c="0",LEFT(_xlpm.c,1)="#"),"Not set",_xlpm.c)))</f>
        <v>KSA</v>
      </c>
    </row>
    <row r="59" spans="1:112" x14ac:dyDescent="0.25">
      <c r="A59" t="str">
        <f>IF('Staff Daily sales'!$B44="","",TRIM('Staff Daily sales'!$B44&amp;""))</f>
        <v>ANDLUSMALL</v>
      </c>
      <c r="B59" t="str">
        <f>IF('Staff Daily sales'!$D44="","",TRIM('Staff Daily sales'!$D44&amp;""))</f>
        <v>4305-AAlzhrani</v>
      </c>
      <c r="C59" t="str">
        <f>IFERROR(TRIM('Staff Daily sales'!$E44&amp;""),"")</f>
        <v>Jeddah</v>
      </c>
      <c r="D59" t="str">
        <f>IFERROR(IF(TRIM('Staff Daily sales'!$F44&amp;"")="","Unassigned",TRIM('Staff Daily sales'!$F44&amp;"")),"Unassigned")</f>
        <v>Ahlam Al Zahrani</v>
      </c>
      <c r="E59">
        <f t="shared" si="26"/>
        <v>1</v>
      </c>
      <c r="F59">
        <f>IF($E59=0,0,SUMPRODUCT($AI$5:$DF$5,'Staff Daily sales'!$G44:$CD44))</f>
        <v>0</v>
      </c>
      <c r="G59">
        <f>IF($E59=0,0,SUMPRODUCT($AI$6:$DF$6,'Staff Daily sales'!$G44:$CD44))</f>
        <v>0</v>
      </c>
      <c r="H59">
        <f t="shared" si="27"/>
        <v>7057.74</v>
      </c>
      <c r="I59">
        <f t="shared" si="28"/>
        <v>60</v>
      </c>
      <c r="J59">
        <f t="shared" si="29"/>
        <v>62016.170000000006</v>
      </c>
      <c r="K59">
        <f t="shared" si="30"/>
        <v>398</v>
      </c>
      <c r="L59">
        <f>--AND($E59=1,OR('Staff Dashboard'!$B$6="All",$DH59='Staff Dashboard'!$B$6),OR('Staff Dashboard'!$B$7="All",$D59='Staff Dashboard'!$B$7),OR('Staff Dashboard'!$B$8="All",$A59='Staff Dashboard'!$B$8))</f>
        <v>0</v>
      </c>
      <c r="M59">
        <f>IF($E59=0,0,SUMPRODUCT($AI$7:$DF$7,'Staff Daily sales'!$G44:$CD44))</f>
        <v>5115.13</v>
      </c>
      <c r="N59">
        <f>IF($E59=0,0,SUMPRODUCT($AI$8:$DF$8,'Staff Daily sales'!$G44:$CD44))</f>
        <v>44</v>
      </c>
      <c r="O59">
        <f>IF($E59=0,0,SUMPRODUCT($AI$9:$DF$9,'Staff Daily sales'!$G44:$CD44))</f>
        <v>7718.09</v>
      </c>
      <c r="P59">
        <f>IF($E59=0,0,SUMPRODUCT($AI$10:$DF$10,'Staff Daily sales'!$G44:$CD44))</f>
        <v>65</v>
      </c>
      <c r="Q59">
        <f>IF($E59=0,0,SUMPRODUCT($AI$11:$DF$11,'Staff Daily sales'!$G44:$CD44))</f>
        <v>5814.07</v>
      </c>
      <c r="R59">
        <f>IF($E59=0,0,SUMPRODUCT($AI$12:$DF$12,'Staff Daily sales'!$G44:$CD44))</f>
        <v>47</v>
      </c>
      <c r="S59">
        <f>IF($E59=0,0,SUMPRODUCT($AI$13:$DF$13,'Staff Daily sales'!$G44:$CD44))</f>
        <v>1757.03</v>
      </c>
      <c r="T59">
        <f>IF($E59=0,0,SUMPRODUCT($AI$14:$DF$14,'Staff Daily sales'!$G44:$CD44))</f>
        <v>21</v>
      </c>
      <c r="U59">
        <f>IF($E59=0,0,SUMPRODUCT($AI$15:$DF$15,'Staff Daily sales'!$G44:$CD44))</f>
        <v>0</v>
      </c>
      <c r="V59">
        <f>IF($E59=0,0,SUMPRODUCT($AI$16:$DF$16,'Staff Daily sales'!$G44:$CD44))</f>
        <v>0</v>
      </c>
      <c r="W59">
        <f t="shared" si="31"/>
        <v>35997.760000000002</v>
      </c>
      <c r="X59">
        <f t="shared" si="32"/>
        <v>61379.990000000005</v>
      </c>
      <c r="Y59">
        <f t="shared" si="33"/>
        <v>43626.770000000004</v>
      </c>
      <c r="Z59">
        <f t="shared" si="34"/>
        <v>38493.57</v>
      </c>
      <c r="AA59">
        <f t="shared" si="35"/>
        <v>10337.049999999999</v>
      </c>
      <c r="AB59">
        <f>--AND($E59=1,OR('Staff Weekly Trend'!$B$3="All",$DH59='Staff Weekly Trend'!$B$3),OR('Staff Weekly Trend'!$B$4="All",$D59='Staff Weekly Trend'!$B$4),OR('Staff Weekly Trend'!$B$5="All",$A59='Staff Weekly Trend'!$B$5))</f>
        <v>1</v>
      </c>
      <c r="AC59" t="str">
        <f t="shared" si="36"/>
        <v/>
      </c>
      <c r="AG59" t="str">
        <v>HAKHMAVE</v>
      </c>
      <c r="AI59">
        <f t="shared" si="37"/>
        <v>321</v>
      </c>
      <c r="AJ59">
        <f t="shared" si="38"/>
        <v>435</v>
      </c>
      <c r="AK59">
        <f t="shared" si="39"/>
        <v>355</v>
      </c>
      <c r="AL59">
        <f t="shared" si="40"/>
        <v>309</v>
      </c>
      <c r="AM59">
        <f t="shared" si="41"/>
        <v>74</v>
      </c>
      <c r="AN59" s="132"/>
      <c r="AP59" s="132"/>
      <c r="DH59" t="str" cm="1">
        <f t="array" ref="DH59">IF($A59="","",_xlfn.LET(_xlpm.c,IFERROR(_xlfn.XLOOKUP($A59,TRIM('Sales and count'!$A$4:$A$300&amp;""),TRIM('Sales and count'!$B$4:$B$300&amp;"")),""),IF(OR(_xlpm.c="",_xlpm.c="0",LEFT(_xlpm.c,1)="#"),"Not set",_xlpm.c)))</f>
        <v>KSA</v>
      </c>
    </row>
    <row r="60" spans="1:112" x14ac:dyDescent="0.25">
      <c r="A60" t="str">
        <f>IF('Staff Daily sales'!$B45="","",TRIM('Staff Daily sales'!$B45&amp;""))</f>
        <v>ANDLUSMALL</v>
      </c>
      <c r="B60" t="str">
        <f>IF('Staff Daily sales'!$D45="","",TRIM('Staff Daily sales'!$D45&amp;""))</f>
        <v>4447-MAlGhamdi</v>
      </c>
      <c r="C60" t="str">
        <f>IFERROR(TRIM('Staff Daily sales'!$E45&amp;""),"")</f>
        <v>Jeddah</v>
      </c>
      <c r="D60" t="str">
        <f>IFERROR(IF(TRIM('Staff Daily sales'!$F45&amp;"")="","Unassigned",TRIM('Staff Daily sales'!$F45&amp;"")),"Unassigned")</f>
        <v>Ahlam Al Zahrani</v>
      </c>
      <c r="E60">
        <f t="shared" si="26"/>
        <v>1</v>
      </c>
      <c r="F60">
        <f>IF($E60=0,0,SUMPRODUCT($AI$5:$DF$5,'Staff Daily sales'!$G45:$CD45))</f>
        <v>0</v>
      </c>
      <c r="G60">
        <f>IF($E60=0,0,SUMPRODUCT($AI$6:$DF$6,'Staff Daily sales'!$G45:$CD45))</f>
        <v>0</v>
      </c>
      <c r="H60">
        <f t="shared" si="27"/>
        <v>7057.74</v>
      </c>
      <c r="I60">
        <f t="shared" si="28"/>
        <v>60</v>
      </c>
      <c r="J60">
        <f t="shared" si="29"/>
        <v>62016.170000000006</v>
      </c>
      <c r="K60">
        <f t="shared" si="30"/>
        <v>398</v>
      </c>
      <c r="L60">
        <f>--AND($E60=1,OR('Staff Dashboard'!$B$6="All",$DH60='Staff Dashboard'!$B$6),OR('Staff Dashboard'!$B$7="All",$D60='Staff Dashboard'!$B$7),OR('Staff Dashboard'!$B$8="All",$A60='Staff Dashboard'!$B$8))</f>
        <v>0</v>
      </c>
      <c r="M60">
        <f>IF($E60=0,0,SUMPRODUCT($AI$7:$DF$7,'Staff Daily sales'!$G45:$CD45))</f>
        <v>4572</v>
      </c>
      <c r="N60">
        <f>IF($E60=0,0,SUMPRODUCT($AI$8:$DF$8,'Staff Daily sales'!$G45:$CD45))</f>
        <v>47</v>
      </c>
      <c r="O60">
        <f>IF($E60=0,0,SUMPRODUCT($AI$9:$DF$9,'Staff Daily sales'!$G45:$CD45))</f>
        <v>14829.29</v>
      </c>
      <c r="P60">
        <f>IF($E60=0,0,SUMPRODUCT($AI$10:$DF$10,'Staff Daily sales'!$G45:$CD45))</f>
        <v>103</v>
      </c>
      <c r="Q60">
        <f>IF($E60=0,0,SUMPRODUCT($AI$11:$DF$11,'Staff Daily sales'!$G45:$CD45))</f>
        <v>13031.23</v>
      </c>
      <c r="R60">
        <f>IF($E60=0,0,SUMPRODUCT($AI$12:$DF$12,'Staff Daily sales'!$G45:$CD45))</f>
        <v>110</v>
      </c>
      <c r="S60">
        <f>IF($E60=0,0,SUMPRODUCT($AI$13:$DF$13,'Staff Daily sales'!$G45:$CD45))</f>
        <v>7695.97</v>
      </c>
      <c r="T60">
        <f>IF($E60=0,0,SUMPRODUCT($AI$14:$DF$14,'Staff Daily sales'!$G45:$CD45))</f>
        <v>66</v>
      </c>
      <c r="U60">
        <f>IF($E60=0,0,SUMPRODUCT($AI$15:$DF$15,'Staff Daily sales'!$G45:$CD45))</f>
        <v>3307.9700000000003</v>
      </c>
      <c r="V60">
        <f>IF($E60=0,0,SUMPRODUCT($AI$16:$DF$16,'Staff Daily sales'!$G45:$CD45))</f>
        <v>28</v>
      </c>
      <c r="W60">
        <f t="shared" si="31"/>
        <v>35997.760000000002</v>
      </c>
      <c r="X60">
        <f t="shared" si="32"/>
        <v>61379.990000000005</v>
      </c>
      <c r="Y60">
        <f t="shared" si="33"/>
        <v>43626.770000000004</v>
      </c>
      <c r="Z60">
        <f t="shared" si="34"/>
        <v>38493.57</v>
      </c>
      <c r="AA60">
        <f t="shared" si="35"/>
        <v>10337.049999999999</v>
      </c>
      <c r="AB60">
        <f>--AND($E60=1,OR('Staff Weekly Trend'!$B$3="All",$DH60='Staff Weekly Trend'!$B$3),OR('Staff Weekly Trend'!$B$4="All",$D60='Staff Weekly Trend'!$B$4),OR('Staff Weekly Trend'!$B$5="All",$A60='Staff Weekly Trend'!$B$5))</f>
        <v>1</v>
      </c>
      <c r="AC60" t="str">
        <f t="shared" si="36"/>
        <v/>
      </c>
      <c r="AG60" t="str">
        <v>HAKHURAIS</v>
      </c>
      <c r="AI60">
        <f t="shared" si="37"/>
        <v>321</v>
      </c>
      <c r="AJ60">
        <f t="shared" si="38"/>
        <v>435</v>
      </c>
      <c r="AK60">
        <f t="shared" si="39"/>
        <v>355</v>
      </c>
      <c r="AL60">
        <f t="shared" si="40"/>
        <v>309</v>
      </c>
      <c r="AM60">
        <f t="shared" si="41"/>
        <v>74</v>
      </c>
      <c r="AN60" s="132"/>
      <c r="AP60" s="132"/>
      <c r="DH60" t="str" cm="1">
        <f t="array" ref="DH60">IF($A60="","",_xlfn.LET(_xlpm.c,IFERROR(_xlfn.XLOOKUP($A60,TRIM('Sales and count'!$A$4:$A$300&amp;""),TRIM('Sales and count'!$B$4:$B$300&amp;"")),""),IF(OR(_xlpm.c="",_xlpm.c="0",LEFT(_xlpm.c,1)="#"),"Not set",_xlpm.c)))</f>
        <v>KSA</v>
      </c>
    </row>
    <row r="61" spans="1:112" x14ac:dyDescent="0.25">
      <c r="A61" t="str">
        <f>IF('Staff Daily sales'!$B46="","",TRIM('Staff Daily sales'!$B46&amp;""))</f>
        <v>ANDLUSMALL</v>
      </c>
      <c r="B61" t="str">
        <f>IF('Staff Daily sales'!$D46="","",TRIM('Staff Daily sales'!$D46&amp;""))</f>
        <v>4449-RAlZahrani</v>
      </c>
      <c r="C61" t="str">
        <f>IFERROR(TRIM('Staff Daily sales'!$E46&amp;""),"")</f>
        <v>Jeddah</v>
      </c>
      <c r="D61" t="str">
        <f>IFERROR(IF(TRIM('Staff Daily sales'!$F46&amp;"")="","Unassigned",TRIM('Staff Daily sales'!$F46&amp;"")),"Unassigned")</f>
        <v>Ahlam Al Zahrani</v>
      </c>
      <c r="E61">
        <f t="shared" si="26"/>
        <v>1</v>
      </c>
      <c r="F61">
        <f>IF($E61=0,0,SUMPRODUCT($AI$5:$DF$5,'Staff Daily sales'!$G46:$CD46))</f>
        <v>3495.85</v>
      </c>
      <c r="G61">
        <f>IF($E61=0,0,SUMPRODUCT($AI$6:$DF$6,'Staff Daily sales'!$G46:$CD46))</f>
        <v>30</v>
      </c>
      <c r="H61">
        <f t="shared" si="27"/>
        <v>7057.74</v>
      </c>
      <c r="I61">
        <f t="shared" si="28"/>
        <v>60</v>
      </c>
      <c r="J61">
        <f t="shared" si="29"/>
        <v>62016.170000000006</v>
      </c>
      <c r="K61">
        <f t="shared" si="30"/>
        <v>398</v>
      </c>
      <c r="L61">
        <f>--AND($E61=1,OR('Staff Dashboard'!$B$6="All",$DH61='Staff Dashboard'!$B$6),OR('Staff Dashboard'!$B$7="All",$D61='Staff Dashboard'!$B$7),OR('Staff Dashboard'!$B$8="All",$A61='Staff Dashboard'!$B$8))</f>
        <v>0</v>
      </c>
      <c r="M61">
        <f>IF($E61=0,0,SUMPRODUCT($AI$7:$DF$7,'Staff Daily sales'!$G46:$CD46))</f>
        <v>0</v>
      </c>
      <c r="N61">
        <f>IF($E61=0,0,SUMPRODUCT($AI$8:$DF$8,'Staff Daily sales'!$G46:$CD46))</f>
        <v>0</v>
      </c>
      <c r="O61">
        <f>IF($E61=0,0,SUMPRODUCT($AI$9:$DF$9,'Staff Daily sales'!$G46:$CD46))</f>
        <v>11654.180000000002</v>
      </c>
      <c r="P61">
        <f>IF($E61=0,0,SUMPRODUCT($AI$10:$DF$10,'Staff Daily sales'!$G46:$CD46))</f>
        <v>79</v>
      </c>
      <c r="Q61">
        <f>IF($E61=0,0,SUMPRODUCT($AI$11:$DF$11,'Staff Daily sales'!$G46:$CD46))</f>
        <v>7873.18</v>
      </c>
      <c r="R61">
        <f>IF($E61=0,0,SUMPRODUCT($AI$12:$DF$12,'Staff Daily sales'!$G46:$CD46))</f>
        <v>56</v>
      </c>
      <c r="S61">
        <f>IF($E61=0,0,SUMPRODUCT($AI$13:$DF$13,'Staff Daily sales'!$G46:$CD46))</f>
        <v>8850.7800000000007</v>
      </c>
      <c r="T61">
        <f>IF($E61=0,0,SUMPRODUCT($AI$14:$DF$14,'Staff Daily sales'!$G46:$CD46))</f>
        <v>67</v>
      </c>
      <c r="U61">
        <f>IF($E61=0,0,SUMPRODUCT($AI$15:$DF$15,'Staff Daily sales'!$G46:$CD46))</f>
        <v>1612.06</v>
      </c>
      <c r="V61">
        <f>IF($E61=0,0,SUMPRODUCT($AI$16:$DF$16,'Staff Daily sales'!$G46:$CD46))</f>
        <v>8</v>
      </c>
      <c r="W61">
        <f t="shared" si="31"/>
        <v>35997.760000000002</v>
      </c>
      <c r="X61">
        <f t="shared" si="32"/>
        <v>61379.990000000005</v>
      </c>
      <c r="Y61">
        <f t="shared" si="33"/>
        <v>43626.770000000004</v>
      </c>
      <c r="Z61">
        <f t="shared" si="34"/>
        <v>38493.57</v>
      </c>
      <c r="AA61">
        <f t="shared" si="35"/>
        <v>10337.049999999999</v>
      </c>
      <c r="AB61">
        <f>--AND($E61=1,OR('Staff Weekly Trend'!$B$3="All",$DH61='Staff Weekly Trend'!$B$3),OR('Staff Weekly Trend'!$B$4="All",$D61='Staff Weekly Trend'!$B$4),OR('Staff Weekly Trend'!$B$5="All",$A61='Staff Weekly Trend'!$B$5))</f>
        <v>1</v>
      </c>
      <c r="AC61">
        <f t="shared" si="36"/>
        <v>1</v>
      </c>
      <c r="AG61" t="str">
        <v>HALAVANDAP</v>
      </c>
      <c r="AI61">
        <f t="shared" si="37"/>
        <v>321</v>
      </c>
      <c r="AJ61">
        <f t="shared" si="38"/>
        <v>435</v>
      </c>
      <c r="AK61">
        <f t="shared" si="39"/>
        <v>355</v>
      </c>
      <c r="AL61">
        <f t="shared" si="40"/>
        <v>309</v>
      </c>
      <c r="AM61">
        <f t="shared" si="41"/>
        <v>74</v>
      </c>
      <c r="AN61" s="132"/>
      <c r="DH61" t="str" cm="1">
        <f t="array" ref="DH61">IF($A61="","",_xlfn.LET(_xlpm.c,IFERROR(_xlfn.XLOOKUP($A61,TRIM('Sales and count'!$A$4:$A$300&amp;""),TRIM('Sales and count'!$B$4:$B$300&amp;"")),""),IF(OR(_xlpm.c="",_xlpm.c="0",LEFT(_xlpm.c,1)="#"),"Not set",_xlpm.c)))</f>
        <v>KSA</v>
      </c>
    </row>
    <row r="62" spans="1:112" x14ac:dyDescent="0.25">
      <c r="A62" t="str">
        <f>IF('Staff Daily sales'!$B47="","",TRIM('Staff Daily sales'!$B47&amp;""))</f>
        <v>ANDLUSMALL</v>
      </c>
      <c r="B62" t="str">
        <f>IF('Staff Daily sales'!$D47="","",TRIM('Staff Daily sales'!$D47&amp;""))</f>
        <v>4538-MAl-Shahrani</v>
      </c>
      <c r="C62" t="str">
        <f>IFERROR(TRIM('Staff Daily sales'!$E47&amp;""),"")</f>
        <v>Jeddah</v>
      </c>
      <c r="D62" t="str">
        <f>IFERROR(IF(TRIM('Staff Daily sales'!$F47&amp;"")="","Unassigned",TRIM('Staff Daily sales'!$F47&amp;"")),"Unassigned")</f>
        <v>Ahlam Al Zahrani</v>
      </c>
      <c r="E62">
        <f t="shared" si="26"/>
        <v>1</v>
      </c>
      <c r="F62">
        <f>IF($E62=0,0,SUMPRODUCT($AI$5:$DF$5,'Staff Daily sales'!$G47:$CD47))</f>
        <v>556.98</v>
      </c>
      <c r="G62">
        <f>IF($E62=0,0,SUMPRODUCT($AI$6:$DF$6,'Staff Daily sales'!$G47:$CD47))</f>
        <v>5</v>
      </c>
      <c r="H62">
        <f t="shared" si="27"/>
        <v>7057.74</v>
      </c>
      <c r="I62">
        <f t="shared" si="28"/>
        <v>60</v>
      </c>
      <c r="J62">
        <f t="shared" si="29"/>
        <v>62016.170000000006</v>
      </c>
      <c r="K62">
        <f t="shared" si="30"/>
        <v>398</v>
      </c>
      <c r="L62">
        <f>--AND($E62=1,OR('Staff Dashboard'!$B$6="All",$DH62='Staff Dashboard'!$B$6),OR('Staff Dashboard'!$B$7="All",$D62='Staff Dashboard'!$B$7),OR('Staff Dashboard'!$B$8="All",$A62='Staff Dashboard'!$B$8))</f>
        <v>0</v>
      </c>
      <c r="M62">
        <f>IF($E62=0,0,SUMPRODUCT($AI$7:$DF$7,'Staff Daily sales'!$G47:$CD47))</f>
        <v>10943.240000000002</v>
      </c>
      <c r="N62">
        <f>IF($E62=0,0,SUMPRODUCT($AI$8:$DF$8,'Staff Daily sales'!$G47:$CD47))</f>
        <v>99</v>
      </c>
      <c r="O62">
        <f>IF($E62=0,0,SUMPRODUCT($AI$9:$DF$9,'Staff Daily sales'!$G47:$CD47))</f>
        <v>14919.18</v>
      </c>
      <c r="P62">
        <f>IF($E62=0,0,SUMPRODUCT($AI$10:$DF$10,'Staff Daily sales'!$G47:$CD47))</f>
        <v>107</v>
      </c>
      <c r="Q62">
        <f>IF($E62=0,0,SUMPRODUCT($AI$11:$DF$11,'Staff Daily sales'!$G47:$CD47))</f>
        <v>9955.16</v>
      </c>
      <c r="R62">
        <f>IF($E62=0,0,SUMPRODUCT($AI$12:$DF$12,'Staff Daily sales'!$G47:$CD47))</f>
        <v>83</v>
      </c>
      <c r="S62">
        <f>IF($E62=0,0,SUMPRODUCT($AI$13:$DF$13,'Staff Daily sales'!$G47:$CD47))</f>
        <v>8762.0399999999991</v>
      </c>
      <c r="T62">
        <f>IF($E62=0,0,SUMPRODUCT($AI$14:$DF$14,'Staff Daily sales'!$G47:$CD47))</f>
        <v>70</v>
      </c>
      <c r="U62">
        <f>IF($E62=0,0,SUMPRODUCT($AI$15:$DF$15,'Staff Daily sales'!$G47:$CD47))</f>
        <v>3626.99</v>
      </c>
      <c r="V62">
        <f>IF($E62=0,0,SUMPRODUCT($AI$16:$DF$16,'Staff Daily sales'!$G47:$CD47))</f>
        <v>20</v>
      </c>
      <c r="W62">
        <f t="shared" si="31"/>
        <v>35997.760000000002</v>
      </c>
      <c r="X62">
        <f t="shared" si="32"/>
        <v>61379.990000000005</v>
      </c>
      <c r="Y62">
        <f t="shared" si="33"/>
        <v>43626.770000000004</v>
      </c>
      <c r="Z62">
        <f t="shared" si="34"/>
        <v>38493.57</v>
      </c>
      <c r="AA62">
        <f t="shared" si="35"/>
        <v>10337.049999999999</v>
      </c>
      <c r="AB62">
        <f>--AND($E62=1,OR('Staff Weekly Trend'!$B$3="All",$DH62='Staff Weekly Trend'!$B$3),OR('Staff Weekly Trend'!$B$4="All",$D62='Staff Weekly Trend'!$B$4),OR('Staff Weekly Trend'!$B$5="All",$A62='Staff Weekly Trend'!$B$5))</f>
        <v>1</v>
      </c>
      <c r="AC62">
        <f t="shared" si="36"/>
        <v>3</v>
      </c>
      <c r="AG62" t="str">
        <v>HALELEMALL</v>
      </c>
      <c r="AI62">
        <f t="shared" si="37"/>
        <v>321</v>
      </c>
      <c r="AJ62">
        <f t="shared" si="38"/>
        <v>435</v>
      </c>
      <c r="AK62">
        <f t="shared" si="39"/>
        <v>355</v>
      </c>
      <c r="AL62">
        <f t="shared" si="40"/>
        <v>309</v>
      </c>
      <c r="AM62">
        <f t="shared" si="41"/>
        <v>74</v>
      </c>
      <c r="AN62" s="132"/>
      <c r="DH62" t="str" cm="1">
        <f t="array" ref="DH62">IF($A62="","",_xlfn.LET(_xlpm.c,IFERROR(_xlfn.XLOOKUP($A62,TRIM('Sales and count'!$A$4:$A$300&amp;""),TRIM('Sales and count'!$B$4:$B$300&amp;"")),""),IF(OR(_xlpm.c="",_xlpm.c="0",LEFT(_xlpm.c,1)="#"),"Not set",_xlpm.c)))</f>
        <v>KSA</v>
      </c>
    </row>
    <row r="63" spans="1:112" x14ac:dyDescent="0.25">
      <c r="A63" t="str">
        <f>IF('Staff Daily sales'!$B48="","",TRIM('Staff Daily sales'!$B48&amp;""))</f>
        <v>ABHATIMESQ</v>
      </c>
      <c r="B63" t="str">
        <f>IF('Staff Daily sales'!$D48="","",TRIM('Staff Daily sales'!$D48&amp;""))</f>
        <v>3412-Ali Asiri</v>
      </c>
      <c r="C63" t="str">
        <f>IFERROR(TRIM('Staff Daily sales'!$E48&amp;""),"")</f>
        <v>Abha</v>
      </c>
      <c r="D63" t="str">
        <f>IFERROR(IF(TRIM('Staff Daily sales'!$F48&amp;"")="","Unassigned",TRIM('Staff Daily sales'!$F48&amp;"")),"Unassigned")</f>
        <v>Ahmed Jaffari</v>
      </c>
      <c r="E63">
        <f t="shared" si="26"/>
        <v>1</v>
      </c>
      <c r="F63">
        <f>IF($E63=0,0,SUMPRODUCT($AI$5:$DF$5,'Staff Daily sales'!$G48:$CD48))</f>
        <v>0</v>
      </c>
      <c r="G63">
        <f>IF($E63=0,0,SUMPRODUCT($AI$6:$DF$6,'Staff Daily sales'!$G48:$CD48))</f>
        <v>0</v>
      </c>
      <c r="H63">
        <f t="shared" si="27"/>
        <v>3209.85</v>
      </c>
      <c r="I63">
        <f t="shared" si="28"/>
        <v>21</v>
      </c>
      <c r="J63">
        <f t="shared" si="29"/>
        <v>44058.899999999994</v>
      </c>
      <c r="K63">
        <f t="shared" si="30"/>
        <v>244</v>
      </c>
      <c r="L63">
        <f>--AND($E63=1,OR('Staff Dashboard'!$B$6="All",$DH63='Staff Dashboard'!$B$6),OR('Staff Dashboard'!$B$7="All",$D63='Staff Dashboard'!$B$7),OR('Staff Dashboard'!$B$8="All",$A63='Staff Dashboard'!$B$8))</f>
        <v>0</v>
      </c>
      <c r="M63">
        <f>IF($E63=0,0,SUMPRODUCT($AI$7:$DF$7,'Staff Daily sales'!$G48:$CD48))</f>
        <v>2609.04</v>
      </c>
      <c r="N63">
        <f>IF($E63=0,0,SUMPRODUCT($AI$8:$DF$8,'Staff Daily sales'!$G48:$CD48))</f>
        <v>20</v>
      </c>
      <c r="O63">
        <f>IF($E63=0,0,SUMPRODUCT($AI$9:$DF$9,'Staff Daily sales'!$G48:$CD48))</f>
        <v>5446.09</v>
      </c>
      <c r="P63">
        <f>IF($E63=0,0,SUMPRODUCT($AI$10:$DF$10,'Staff Daily sales'!$G48:$CD48))</f>
        <v>43</v>
      </c>
      <c r="Q63">
        <f>IF($E63=0,0,SUMPRODUCT($AI$11:$DF$11,'Staff Daily sales'!$G48:$CD48))</f>
        <v>3322.0299999999997</v>
      </c>
      <c r="R63">
        <f>IF($E63=0,0,SUMPRODUCT($AI$12:$DF$12,'Staff Daily sales'!$G48:$CD48))</f>
        <v>21</v>
      </c>
      <c r="S63">
        <f>IF($E63=0,0,SUMPRODUCT($AI$13:$DF$13,'Staff Daily sales'!$G48:$CD48))</f>
        <v>1911.01</v>
      </c>
      <c r="T63">
        <f>IF($E63=0,0,SUMPRODUCT($AI$14:$DF$14,'Staff Daily sales'!$G48:$CD48))</f>
        <v>13</v>
      </c>
      <c r="U63">
        <f>IF($E63=0,0,SUMPRODUCT($AI$15:$DF$15,'Staff Daily sales'!$G48:$CD48))</f>
        <v>0</v>
      </c>
      <c r="V63">
        <f>IF($E63=0,0,SUMPRODUCT($AI$16:$DF$16,'Staff Daily sales'!$G48:$CD48))</f>
        <v>0</v>
      </c>
      <c r="W63">
        <f t="shared" si="31"/>
        <v>22563.51</v>
      </c>
      <c r="X63">
        <f t="shared" si="32"/>
        <v>29116.400000000001</v>
      </c>
      <c r="Y63">
        <f t="shared" si="33"/>
        <v>25659.19</v>
      </c>
      <c r="Z63">
        <f t="shared" si="34"/>
        <v>21945.629999999997</v>
      </c>
      <c r="AA63">
        <f t="shared" si="35"/>
        <v>8028.0499999999993</v>
      </c>
      <c r="AB63">
        <f>--AND($E63=1,OR('Staff Weekly Trend'!$B$3="All",$DH63='Staff Weekly Trend'!$B$3),OR('Staff Weekly Trend'!$B$4="All",$D63='Staff Weekly Trend'!$B$4),OR('Staff Weekly Trend'!$B$5="All",$A63='Staff Weekly Trend'!$B$5))</f>
        <v>1</v>
      </c>
      <c r="AC63" t="str">
        <f t="shared" si="36"/>
        <v/>
      </c>
      <c r="AG63" t="str">
        <v>HAMAHMAL</v>
      </c>
      <c r="AI63">
        <f t="shared" si="37"/>
        <v>170</v>
      </c>
      <c r="AJ63">
        <f t="shared" si="38"/>
        <v>208</v>
      </c>
      <c r="AK63">
        <f t="shared" si="39"/>
        <v>178</v>
      </c>
      <c r="AL63">
        <f t="shared" si="40"/>
        <v>148</v>
      </c>
      <c r="AM63">
        <f t="shared" si="41"/>
        <v>44</v>
      </c>
      <c r="AN63" s="132"/>
      <c r="DH63" t="str" cm="1">
        <f t="array" ref="DH63">IF($A63="","",_xlfn.LET(_xlpm.c,IFERROR(_xlfn.XLOOKUP($A63,TRIM('Sales and count'!$A$4:$A$300&amp;""),TRIM('Sales and count'!$B$4:$B$300&amp;"")),""),IF(OR(_xlpm.c="",_xlpm.c="0",LEFT(_xlpm.c,1)="#"),"Not set",_xlpm.c)))</f>
        <v>KSA</v>
      </c>
    </row>
    <row r="64" spans="1:112" x14ac:dyDescent="0.25">
      <c r="A64" t="str">
        <f>IF('Staff Daily sales'!$B49="","",TRIM('Staff Daily sales'!$B49&amp;""))</f>
        <v>ABHATIMESQ</v>
      </c>
      <c r="B64" t="str">
        <f>IF('Staff Daily sales'!$D49="","",TRIM('Staff Daily sales'!$D49&amp;""))</f>
        <v>3427-Abdullah Alqahtani</v>
      </c>
      <c r="C64" t="str">
        <f>IFERROR(TRIM('Staff Daily sales'!$E49&amp;""),"")</f>
        <v>Abha</v>
      </c>
      <c r="D64" t="str">
        <f>IFERROR(IF(TRIM('Staff Daily sales'!$F49&amp;"")="","Unassigned",TRIM('Staff Daily sales'!$F49&amp;"")),"Unassigned")</f>
        <v>Ahmed Jaffari</v>
      </c>
      <c r="E64">
        <f t="shared" si="26"/>
        <v>1</v>
      </c>
      <c r="F64">
        <f>IF($E64=0,0,SUMPRODUCT($AI$5:$DF$5,'Staff Daily sales'!$G49:$CD49))</f>
        <v>150</v>
      </c>
      <c r="G64">
        <f>IF($E64=0,0,SUMPRODUCT($AI$6:$DF$6,'Staff Daily sales'!$G49:$CD49))</f>
        <v>2</v>
      </c>
      <c r="H64">
        <f t="shared" si="27"/>
        <v>3209.85</v>
      </c>
      <c r="I64">
        <f t="shared" si="28"/>
        <v>21</v>
      </c>
      <c r="J64">
        <f t="shared" si="29"/>
        <v>44058.899999999994</v>
      </c>
      <c r="K64">
        <f t="shared" si="30"/>
        <v>244</v>
      </c>
      <c r="L64">
        <f>--AND($E64=1,OR('Staff Dashboard'!$B$6="All",$DH64='Staff Dashboard'!$B$6),OR('Staff Dashboard'!$B$7="All",$D64='Staff Dashboard'!$B$7),OR('Staff Dashboard'!$B$8="All",$A64='Staff Dashboard'!$B$8))</f>
        <v>0</v>
      </c>
      <c r="M64">
        <f>IF($E64=0,0,SUMPRODUCT($AI$7:$DF$7,'Staff Daily sales'!$G49:$CD49))</f>
        <v>1902.05</v>
      </c>
      <c r="N64">
        <f>IF($E64=0,0,SUMPRODUCT($AI$8:$DF$8,'Staff Daily sales'!$G49:$CD49))</f>
        <v>14</v>
      </c>
      <c r="O64">
        <f>IF($E64=0,0,SUMPRODUCT($AI$9:$DF$9,'Staff Daily sales'!$G49:$CD49))</f>
        <v>1334.02</v>
      </c>
      <c r="P64">
        <f>IF($E64=0,0,SUMPRODUCT($AI$10:$DF$10,'Staff Daily sales'!$G49:$CD49))</f>
        <v>8</v>
      </c>
      <c r="Q64">
        <f>IF($E64=0,0,SUMPRODUCT($AI$11:$DF$11,'Staff Daily sales'!$G49:$CD49))</f>
        <v>1359.01</v>
      </c>
      <c r="R64">
        <f>IF($E64=0,0,SUMPRODUCT($AI$12:$DF$12,'Staff Daily sales'!$G49:$CD49))</f>
        <v>10</v>
      </c>
      <c r="S64">
        <f>IF($E64=0,0,SUMPRODUCT($AI$13:$DF$13,'Staff Daily sales'!$G49:$CD49))</f>
        <v>1280.96</v>
      </c>
      <c r="T64">
        <f>IF($E64=0,0,SUMPRODUCT($AI$14:$DF$14,'Staff Daily sales'!$G49:$CD49))</f>
        <v>9</v>
      </c>
      <c r="U64">
        <f>IF($E64=0,0,SUMPRODUCT($AI$15:$DF$15,'Staff Daily sales'!$G49:$CD49))</f>
        <v>1268.01</v>
      </c>
      <c r="V64">
        <f>IF($E64=0,0,SUMPRODUCT($AI$16:$DF$16,'Staff Daily sales'!$G49:$CD49))</f>
        <v>5</v>
      </c>
      <c r="W64">
        <f t="shared" si="31"/>
        <v>22563.51</v>
      </c>
      <c r="X64">
        <f t="shared" si="32"/>
        <v>29116.400000000001</v>
      </c>
      <c r="Y64">
        <f t="shared" si="33"/>
        <v>25659.19</v>
      </c>
      <c r="Z64">
        <f t="shared" si="34"/>
        <v>21945.629999999997</v>
      </c>
      <c r="AA64">
        <f t="shared" si="35"/>
        <v>8028.0499999999993</v>
      </c>
      <c r="AB64">
        <f>--AND($E64=1,OR('Staff Weekly Trend'!$B$3="All",$DH64='Staff Weekly Trend'!$B$3),OR('Staff Weekly Trend'!$B$4="All",$D64='Staff Weekly Trend'!$B$4),OR('Staff Weekly Trend'!$B$5="All",$A64='Staff Weekly Trend'!$B$5))</f>
        <v>1</v>
      </c>
      <c r="AC64">
        <f t="shared" si="36"/>
        <v>6</v>
      </c>
      <c r="AG64" t="str">
        <v>HAMAJAZCC</v>
      </c>
      <c r="AI64">
        <f t="shared" si="37"/>
        <v>170</v>
      </c>
      <c r="AJ64">
        <f t="shared" si="38"/>
        <v>208</v>
      </c>
      <c r="AK64">
        <f t="shared" si="39"/>
        <v>178</v>
      </c>
      <c r="AL64">
        <f t="shared" si="40"/>
        <v>148</v>
      </c>
      <c r="AM64">
        <f t="shared" si="41"/>
        <v>44</v>
      </c>
      <c r="AN64" s="132"/>
      <c r="DH64" t="str" cm="1">
        <f t="array" ref="DH64">IF($A64="","",_xlfn.LET(_xlpm.c,IFERROR(_xlfn.XLOOKUP($A64,TRIM('Sales and count'!$A$4:$A$300&amp;""),TRIM('Sales and count'!$B$4:$B$300&amp;"")),""),IF(OR(_xlpm.c="",_xlpm.c="0",LEFT(_xlpm.c,1)="#"),"Not set",_xlpm.c)))</f>
        <v>KSA</v>
      </c>
    </row>
    <row r="65" spans="1:112" x14ac:dyDescent="0.25">
      <c r="A65" t="str">
        <f>IF('Staff Daily sales'!$B50="","",TRIM('Staff Daily sales'!$B50&amp;""))</f>
        <v>ABHATIMESQ</v>
      </c>
      <c r="B65" t="str">
        <f>IF('Staff Daily sales'!$D50="","",TRIM('Staff Daily sales'!$D50&amp;""))</f>
        <v>3430-Manar Alqahtani</v>
      </c>
      <c r="C65" t="str">
        <f>IFERROR(TRIM('Staff Daily sales'!$E50&amp;""),"")</f>
        <v>Abha</v>
      </c>
      <c r="D65" t="str">
        <f>IFERROR(IF(TRIM('Staff Daily sales'!$F50&amp;"")="","Unassigned",TRIM('Staff Daily sales'!$F50&amp;"")),"Unassigned")</f>
        <v>Ahmed Jaffari</v>
      </c>
      <c r="E65">
        <f t="shared" si="26"/>
        <v>1</v>
      </c>
      <c r="F65">
        <f>IF($E65=0,0,SUMPRODUCT($AI$5:$DF$5,'Staff Daily sales'!$G50:$CD50))</f>
        <v>385.98</v>
      </c>
      <c r="G65">
        <f>IF($E65=0,0,SUMPRODUCT($AI$6:$DF$6,'Staff Daily sales'!$G50:$CD50))</f>
        <v>2</v>
      </c>
      <c r="H65">
        <f t="shared" si="27"/>
        <v>3209.85</v>
      </c>
      <c r="I65">
        <f t="shared" si="28"/>
        <v>21</v>
      </c>
      <c r="J65">
        <f t="shared" si="29"/>
        <v>44058.899999999994</v>
      </c>
      <c r="K65">
        <f t="shared" si="30"/>
        <v>244</v>
      </c>
      <c r="L65">
        <f>--AND($E65=1,OR('Staff Dashboard'!$B$6="All",$DH65='Staff Dashboard'!$B$6),OR('Staff Dashboard'!$B$7="All",$D65='Staff Dashboard'!$B$7),OR('Staff Dashboard'!$B$8="All",$A65='Staff Dashboard'!$B$8))</f>
        <v>0</v>
      </c>
      <c r="M65">
        <f>IF($E65=0,0,SUMPRODUCT($AI$7:$DF$7,'Staff Daily sales'!$G50:$CD50))</f>
        <v>5428.12</v>
      </c>
      <c r="N65">
        <f>IF($E65=0,0,SUMPRODUCT($AI$8:$DF$8,'Staff Daily sales'!$G50:$CD50))</f>
        <v>43</v>
      </c>
      <c r="O65">
        <f>IF($E65=0,0,SUMPRODUCT($AI$9:$DF$9,'Staff Daily sales'!$G50:$CD50))</f>
        <v>5524.01</v>
      </c>
      <c r="P65">
        <f>IF($E65=0,0,SUMPRODUCT($AI$10:$DF$10,'Staff Daily sales'!$G50:$CD50))</f>
        <v>38</v>
      </c>
      <c r="Q65">
        <f>IF($E65=0,0,SUMPRODUCT($AI$11:$DF$11,'Staff Daily sales'!$G50:$CD50))</f>
        <v>3834.0600000000004</v>
      </c>
      <c r="R65">
        <f>IF($E65=0,0,SUMPRODUCT($AI$12:$DF$12,'Staff Daily sales'!$G50:$CD50))</f>
        <v>29</v>
      </c>
      <c r="S65">
        <f>IF($E65=0,0,SUMPRODUCT($AI$13:$DF$13,'Staff Daily sales'!$G50:$CD50))</f>
        <v>3177.93</v>
      </c>
      <c r="T65">
        <f>IF($E65=0,0,SUMPRODUCT($AI$14:$DF$14,'Staff Daily sales'!$G50:$CD50))</f>
        <v>23</v>
      </c>
      <c r="U65">
        <f>IF($E65=0,0,SUMPRODUCT($AI$15:$DF$15,'Staff Daily sales'!$G50:$CD50))</f>
        <v>996.04</v>
      </c>
      <c r="V65">
        <f>IF($E65=0,0,SUMPRODUCT($AI$16:$DF$16,'Staff Daily sales'!$G50:$CD50))</f>
        <v>5</v>
      </c>
      <c r="W65">
        <f t="shared" si="31"/>
        <v>22563.51</v>
      </c>
      <c r="X65">
        <f t="shared" si="32"/>
        <v>29116.400000000001</v>
      </c>
      <c r="Y65">
        <f t="shared" si="33"/>
        <v>25659.19</v>
      </c>
      <c r="Z65">
        <f t="shared" si="34"/>
        <v>21945.629999999997</v>
      </c>
      <c r="AA65">
        <f t="shared" si="35"/>
        <v>8028.0499999999993</v>
      </c>
      <c r="AB65">
        <f>--AND($E65=1,OR('Staff Weekly Trend'!$B$3="All",$DH65='Staff Weekly Trend'!$B$3),OR('Staff Weekly Trend'!$B$4="All",$D65='Staff Weekly Trend'!$B$4),OR('Staff Weekly Trend'!$B$5="All",$A65='Staff Weekly Trend'!$B$5))</f>
        <v>1</v>
      </c>
      <c r="AC65">
        <f t="shared" si="36"/>
        <v>4</v>
      </c>
      <c r="AG65" t="str">
        <v>HAMAKANMAL</v>
      </c>
      <c r="AI65">
        <f t="shared" si="37"/>
        <v>170</v>
      </c>
      <c r="AJ65">
        <f t="shared" si="38"/>
        <v>208</v>
      </c>
      <c r="AK65">
        <f t="shared" si="39"/>
        <v>178</v>
      </c>
      <c r="AL65">
        <f t="shared" si="40"/>
        <v>148</v>
      </c>
      <c r="AM65">
        <f t="shared" si="41"/>
        <v>44</v>
      </c>
      <c r="AN65" s="132"/>
      <c r="DH65" t="str" cm="1">
        <f t="array" ref="DH65">IF($A65="","",_xlfn.LET(_xlpm.c,IFERROR(_xlfn.XLOOKUP($A65,TRIM('Sales and count'!$A$4:$A$300&amp;""),TRIM('Sales and count'!$B$4:$B$300&amp;"")),""),IF(OR(_xlpm.c="",_xlpm.c="0",LEFT(_xlpm.c,1)="#"),"Not set",_xlpm.c)))</f>
        <v>KSA</v>
      </c>
    </row>
    <row r="66" spans="1:112" x14ac:dyDescent="0.25">
      <c r="A66" t="str">
        <f>IF('Staff Daily sales'!$B51="","",TRIM('Staff Daily sales'!$B51&amp;""))</f>
        <v>ABHATIMESQ</v>
      </c>
      <c r="B66" t="str">
        <f>IF('Staff Daily sales'!$D51="","",TRIM('Staff Daily sales'!$D51&amp;""))</f>
        <v>3436-Abdullah Alshahrani</v>
      </c>
      <c r="C66" t="str">
        <f>IFERROR(TRIM('Staff Daily sales'!$E51&amp;""),"")</f>
        <v>Abha</v>
      </c>
      <c r="D66" t="str">
        <f>IFERROR(IF(TRIM('Staff Daily sales'!$F51&amp;"")="","Unassigned",TRIM('Staff Daily sales'!$F51&amp;"")),"Unassigned")</f>
        <v>Ahmed Jaffari</v>
      </c>
      <c r="E66">
        <f t="shared" si="26"/>
        <v>1</v>
      </c>
      <c r="F66">
        <f>IF($E66=0,0,SUMPRODUCT($AI$5:$DF$5,'Staff Daily sales'!$G51:$CD51))</f>
        <v>385.98</v>
      </c>
      <c r="G66">
        <f>IF($E66=0,0,SUMPRODUCT($AI$6:$DF$6,'Staff Daily sales'!$G51:$CD51))</f>
        <v>2</v>
      </c>
      <c r="H66">
        <f t="shared" si="27"/>
        <v>3209.85</v>
      </c>
      <c r="I66">
        <f t="shared" si="28"/>
        <v>21</v>
      </c>
      <c r="J66">
        <f t="shared" si="29"/>
        <v>44058.899999999994</v>
      </c>
      <c r="K66">
        <f t="shared" si="30"/>
        <v>244</v>
      </c>
      <c r="L66">
        <f>--AND($E66=1,OR('Staff Dashboard'!$B$6="All",$DH66='Staff Dashboard'!$B$6),OR('Staff Dashboard'!$B$7="All",$D66='Staff Dashboard'!$B$7),OR('Staff Dashboard'!$B$8="All",$A66='Staff Dashboard'!$B$8))</f>
        <v>0</v>
      </c>
      <c r="M66">
        <f>IF($E66=0,0,SUMPRODUCT($AI$7:$DF$7,'Staff Daily sales'!$G51:$CD51))</f>
        <v>4725.1000000000004</v>
      </c>
      <c r="N66">
        <f>IF($E66=0,0,SUMPRODUCT($AI$8:$DF$8,'Staff Daily sales'!$G51:$CD51))</f>
        <v>38</v>
      </c>
      <c r="O66">
        <f>IF($E66=0,0,SUMPRODUCT($AI$9:$DF$9,'Staff Daily sales'!$G51:$CD51))</f>
        <v>4347.07</v>
      </c>
      <c r="P66">
        <f>IF($E66=0,0,SUMPRODUCT($AI$10:$DF$10,'Staff Daily sales'!$G51:$CD51))</f>
        <v>27</v>
      </c>
      <c r="Q66">
        <f>IF($E66=0,0,SUMPRODUCT($AI$11:$DF$11,'Staff Daily sales'!$G51:$CD51))</f>
        <v>3825.0499999999997</v>
      </c>
      <c r="R66">
        <f>IF($E66=0,0,SUMPRODUCT($AI$12:$DF$12,'Staff Daily sales'!$G51:$CD51))</f>
        <v>29</v>
      </c>
      <c r="S66">
        <f>IF($E66=0,0,SUMPRODUCT($AI$13:$DF$13,'Staff Daily sales'!$G51:$CD51))</f>
        <v>2453.9900000000002</v>
      </c>
      <c r="T66">
        <f>IF($E66=0,0,SUMPRODUCT($AI$14:$DF$14,'Staff Daily sales'!$G51:$CD51))</f>
        <v>16</v>
      </c>
      <c r="U66">
        <f>IF($E66=0,0,SUMPRODUCT($AI$15:$DF$15,'Staff Daily sales'!$G51:$CD51))</f>
        <v>1565.96</v>
      </c>
      <c r="V66">
        <f>IF($E66=0,0,SUMPRODUCT($AI$16:$DF$16,'Staff Daily sales'!$G51:$CD51))</f>
        <v>8</v>
      </c>
      <c r="W66">
        <f t="shared" si="31"/>
        <v>22563.51</v>
      </c>
      <c r="X66">
        <f t="shared" si="32"/>
        <v>29116.400000000001</v>
      </c>
      <c r="Y66">
        <f t="shared" si="33"/>
        <v>25659.19</v>
      </c>
      <c r="Z66">
        <f t="shared" si="34"/>
        <v>21945.629999999997</v>
      </c>
      <c r="AA66">
        <f t="shared" si="35"/>
        <v>8028.0499999999993</v>
      </c>
      <c r="AB66">
        <f>--AND($E66=1,OR('Staff Weekly Trend'!$B$3="All",$DH66='Staff Weekly Trend'!$B$3),OR('Staff Weekly Trend'!$B$4="All",$D66='Staff Weekly Trend'!$B$4),OR('Staff Weekly Trend'!$B$5="All",$A66='Staff Weekly Trend'!$B$5))</f>
        <v>1</v>
      </c>
      <c r="AC66">
        <f t="shared" si="36"/>
        <v>4</v>
      </c>
      <c r="AG66" t="str">
        <v>HAMAKHLTON</v>
      </c>
      <c r="AI66">
        <f t="shared" si="37"/>
        <v>170</v>
      </c>
      <c r="AJ66">
        <f t="shared" si="38"/>
        <v>208</v>
      </c>
      <c r="AK66">
        <f t="shared" si="39"/>
        <v>178</v>
      </c>
      <c r="AL66">
        <f t="shared" si="40"/>
        <v>148</v>
      </c>
      <c r="AM66">
        <f t="shared" si="41"/>
        <v>44</v>
      </c>
      <c r="AN66" s="132"/>
      <c r="DH66" t="str" cm="1">
        <f t="array" ref="DH66">IF($A66="","",_xlfn.LET(_xlpm.c,IFERROR(_xlfn.XLOOKUP($A66,TRIM('Sales and count'!$A$4:$A$300&amp;""),TRIM('Sales and count'!$B$4:$B$300&amp;"")),""),IF(OR(_xlpm.c="",_xlpm.c="0",LEFT(_xlpm.c,1)="#"),"Not set",_xlpm.c)))</f>
        <v>KSA</v>
      </c>
    </row>
    <row r="67" spans="1:112" x14ac:dyDescent="0.25">
      <c r="A67" t="str">
        <f>IF('Staff Daily sales'!$B52="","",TRIM('Staff Daily sales'!$B52&amp;""))</f>
        <v>ABHATIMESQ</v>
      </c>
      <c r="B67" t="str">
        <f>IF('Staff Daily sales'!$D52="","",TRIM('Staff Daily sales'!$D52&amp;""))</f>
        <v>3439-Bashir Alsaifi</v>
      </c>
      <c r="C67" t="str">
        <f>IFERROR(TRIM('Staff Daily sales'!$E52&amp;""),"")</f>
        <v>Abha</v>
      </c>
      <c r="D67" t="str">
        <f>IFERROR(IF(TRIM('Staff Daily sales'!$F52&amp;"")="","Unassigned",TRIM('Staff Daily sales'!$F52&amp;"")),"Unassigned")</f>
        <v>Ahmed Jaffari</v>
      </c>
      <c r="E67">
        <f t="shared" si="26"/>
        <v>1</v>
      </c>
      <c r="F67">
        <f>IF($E67=0,0,SUMPRODUCT($AI$5:$DF$5,'Staff Daily sales'!$G52:$CD52))</f>
        <v>0</v>
      </c>
      <c r="G67">
        <f>IF($E67=0,0,SUMPRODUCT($AI$6:$DF$6,'Staff Daily sales'!$G52:$CD52))</f>
        <v>0</v>
      </c>
      <c r="H67">
        <f t="shared" si="27"/>
        <v>3209.85</v>
      </c>
      <c r="I67">
        <f t="shared" si="28"/>
        <v>21</v>
      </c>
      <c r="J67">
        <f t="shared" si="29"/>
        <v>44058.899999999994</v>
      </c>
      <c r="K67">
        <f t="shared" si="30"/>
        <v>244</v>
      </c>
      <c r="L67">
        <f>--AND($E67=1,OR('Staff Dashboard'!$B$6="All",$DH67='Staff Dashboard'!$B$6),OR('Staff Dashboard'!$B$7="All",$D67='Staff Dashboard'!$B$7),OR('Staff Dashboard'!$B$8="All",$A67='Staff Dashboard'!$B$8))</f>
        <v>0</v>
      </c>
      <c r="M67">
        <f>IF($E67=0,0,SUMPRODUCT($AI$7:$DF$7,'Staff Daily sales'!$G52:$CD52))</f>
        <v>3819.08</v>
      </c>
      <c r="N67">
        <f>IF($E67=0,0,SUMPRODUCT($AI$8:$DF$8,'Staff Daily sales'!$G52:$CD52))</f>
        <v>26</v>
      </c>
      <c r="O67">
        <f>IF($E67=0,0,SUMPRODUCT($AI$9:$DF$9,'Staff Daily sales'!$G52:$CD52))</f>
        <v>2815.0699999999997</v>
      </c>
      <c r="P67">
        <f>IF($E67=0,0,SUMPRODUCT($AI$10:$DF$10,'Staff Daily sales'!$G52:$CD52))</f>
        <v>18</v>
      </c>
      <c r="Q67">
        <f>IF($E67=0,0,SUMPRODUCT($AI$11:$DF$11,'Staff Daily sales'!$G52:$CD52))</f>
        <v>2432.02</v>
      </c>
      <c r="R67">
        <f>IF($E67=0,0,SUMPRODUCT($AI$12:$DF$12,'Staff Daily sales'!$G52:$CD52))</f>
        <v>19</v>
      </c>
      <c r="S67">
        <f>IF($E67=0,0,SUMPRODUCT($AI$13:$DF$13,'Staff Daily sales'!$G52:$CD52))</f>
        <v>0</v>
      </c>
      <c r="T67">
        <f>IF($E67=0,0,SUMPRODUCT($AI$14:$DF$14,'Staff Daily sales'!$G52:$CD52))</f>
        <v>0</v>
      </c>
      <c r="U67">
        <f>IF($E67=0,0,SUMPRODUCT($AI$15:$DF$15,'Staff Daily sales'!$G52:$CD52))</f>
        <v>0</v>
      </c>
      <c r="V67">
        <f>IF($E67=0,0,SUMPRODUCT($AI$16:$DF$16,'Staff Daily sales'!$G52:$CD52))</f>
        <v>0</v>
      </c>
      <c r="W67">
        <f t="shared" si="31"/>
        <v>22563.51</v>
      </c>
      <c r="X67">
        <f t="shared" si="32"/>
        <v>29116.400000000001</v>
      </c>
      <c r="Y67">
        <f t="shared" si="33"/>
        <v>25659.19</v>
      </c>
      <c r="Z67">
        <f t="shared" si="34"/>
        <v>21945.629999999997</v>
      </c>
      <c r="AA67">
        <f t="shared" si="35"/>
        <v>8028.0499999999993</v>
      </c>
      <c r="AB67">
        <f>--AND($E67=1,OR('Staff Weekly Trend'!$B$3="All",$DH67='Staff Weekly Trend'!$B$3),OR('Staff Weekly Trend'!$B$4="All",$D67='Staff Weekly Trend'!$B$4),OR('Staff Weekly Trend'!$B$5="All",$A67='Staff Weekly Trend'!$B$5))</f>
        <v>1</v>
      </c>
      <c r="AC67" t="str">
        <f t="shared" si="36"/>
        <v/>
      </c>
      <c r="AG67" t="str">
        <v>HAMAKKMAL</v>
      </c>
      <c r="AI67">
        <f t="shared" si="37"/>
        <v>170</v>
      </c>
      <c r="AJ67">
        <f t="shared" si="38"/>
        <v>208</v>
      </c>
      <c r="AK67">
        <f t="shared" si="39"/>
        <v>178</v>
      </c>
      <c r="AL67">
        <f t="shared" si="40"/>
        <v>148</v>
      </c>
      <c r="AM67">
        <f t="shared" si="41"/>
        <v>44</v>
      </c>
      <c r="AN67" s="132"/>
      <c r="DH67" t="str" cm="1">
        <f t="array" ref="DH67">IF($A67="","",_xlfn.LET(_xlpm.c,IFERROR(_xlfn.XLOOKUP($A67,TRIM('Sales and count'!$A$4:$A$300&amp;""),TRIM('Sales and count'!$B$4:$B$300&amp;"")),""),IF(OR(_xlpm.c="",_xlpm.c="0",LEFT(_xlpm.c,1)="#"),"Not set",_xlpm.c)))</f>
        <v>KSA</v>
      </c>
    </row>
    <row r="68" spans="1:112" x14ac:dyDescent="0.25">
      <c r="A68" t="str">
        <f>IF('Staff Daily sales'!$B53="","",TRIM('Staff Daily sales'!$B53&amp;""))</f>
        <v>ABHATIMESQ</v>
      </c>
      <c r="B68" t="str">
        <f>IF('Staff Daily sales'!$D53="","",TRIM('Staff Daily sales'!$D53&amp;""))</f>
        <v>3440-Sarah Asiri</v>
      </c>
      <c r="C68" t="str">
        <f>IFERROR(TRIM('Staff Daily sales'!$E53&amp;""),"")</f>
        <v>Abha</v>
      </c>
      <c r="D68" t="str">
        <f>IFERROR(IF(TRIM('Staff Daily sales'!$F53&amp;"")="","Unassigned",TRIM('Staff Daily sales'!$F53&amp;"")),"Unassigned")</f>
        <v>Ahmed Jaffari</v>
      </c>
      <c r="E68">
        <f t="shared" si="26"/>
        <v>1</v>
      </c>
      <c r="F68">
        <f>IF($E68=0,0,SUMPRODUCT($AI$5:$DF$5,'Staff Daily sales'!$G53:$CD53))</f>
        <v>632.94000000000005</v>
      </c>
      <c r="G68">
        <f>IF($E68=0,0,SUMPRODUCT($AI$6:$DF$6,'Staff Daily sales'!$G53:$CD53))</f>
        <v>3</v>
      </c>
      <c r="H68">
        <f t="shared" si="27"/>
        <v>3209.85</v>
      </c>
      <c r="I68">
        <f t="shared" si="28"/>
        <v>21</v>
      </c>
      <c r="J68">
        <f t="shared" si="29"/>
        <v>44058.899999999994</v>
      </c>
      <c r="K68">
        <f t="shared" si="30"/>
        <v>244</v>
      </c>
      <c r="L68">
        <f>--AND($E68=1,OR('Staff Dashboard'!$B$6="All",$DH68='Staff Dashboard'!$B$6),OR('Staff Dashboard'!$B$7="All",$D68='Staff Dashboard'!$B$7),OR('Staff Dashboard'!$B$8="All",$A68='Staff Dashboard'!$B$8))</f>
        <v>0</v>
      </c>
      <c r="M68">
        <f>IF($E68=0,0,SUMPRODUCT($AI$7:$DF$7,'Staff Daily sales'!$G53:$CD53))</f>
        <v>4080.12</v>
      </c>
      <c r="N68">
        <f>IF($E68=0,0,SUMPRODUCT($AI$8:$DF$8,'Staff Daily sales'!$G53:$CD53))</f>
        <v>29</v>
      </c>
      <c r="O68">
        <f>IF($E68=0,0,SUMPRODUCT($AI$9:$DF$9,'Staff Daily sales'!$G53:$CD53))</f>
        <v>4116.09</v>
      </c>
      <c r="P68">
        <f>IF($E68=0,0,SUMPRODUCT($AI$10:$DF$10,'Staff Daily sales'!$G53:$CD53))</f>
        <v>31</v>
      </c>
      <c r="Q68">
        <f>IF($E68=0,0,SUMPRODUCT($AI$11:$DF$11,'Staff Daily sales'!$G53:$CD53))</f>
        <v>5208</v>
      </c>
      <c r="R68">
        <f>IF($E68=0,0,SUMPRODUCT($AI$12:$DF$12,'Staff Daily sales'!$G53:$CD53))</f>
        <v>31</v>
      </c>
      <c r="S68">
        <f>IF($E68=0,0,SUMPRODUCT($AI$13:$DF$13,'Staff Daily sales'!$G53:$CD53))</f>
        <v>2922.92</v>
      </c>
      <c r="T68">
        <f>IF($E68=0,0,SUMPRODUCT($AI$14:$DF$14,'Staff Daily sales'!$G53:$CD53))</f>
        <v>20</v>
      </c>
      <c r="U68">
        <f>IF($E68=0,0,SUMPRODUCT($AI$15:$DF$15,'Staff Daily sales'!$G53:$CD53))</f>
        <v>1675.08</v>
      </c>
      <c r="V68">
        <f>IF($E68=0,0,SUMPRODUCT($AI$16:$DF$16,'Staff Daily sales'!$G53:$CD53))</f>
        <v>9</v>
      </c>
      <c r="W68">
        <f t="shared" si="31"/>
        <v>22563.51</v>
      </c>
      <c r="X68">
        <f t="shared" si="32"/>
        <v>29116.400000000001</v>
      </c>
      <c r="Y68">
        <f t="shared" si="33"/>
        <v>25659.19</v>
      </c>
      <c r="Z68">
        <f t="shared" si="34"/>
        <v>21945.629999999997</v>
      </c>
      <c r="AA68">
        <f t="shared" si="35"/>
        <v>8028.0499999999993</v>
      </c>
      <c r="AB68">
        <f>--AND($E68=1,OR('Staff Weekly Trend'!$B$3="All",$DH68='Staff Weekly Trend'!$B$3),OR('Staff Weekly Trend'!$B$4="All",$D68='Staff Weekly Trend'!$B$4),OR('Staff Weekly Trend'!$B$5="All",$A68='Staff Weekly Trend'!$B$5))</f>
        <v>1</v>
      </c>
      <c r="AC68">
        <f t="shared" si="36"/>
        <v>3</v>
      </c>
      <c r="AG68" t="str">
        <v>HAMALQARYD</v>
      </c>
      <c r="AI68">
        <f t="shared" si="37"/>
        <v>170</v>
      </c>
      <c r="AJ68">
        <f t="shared" si="38"/>
        <v>208</v>
      </c>
      <c r="AK68">
        <f t="shared" si="39"/>
        <v>178</v>
      </c>
      <c r="AL68">
        <f t="shared" si="40"/>
        <v>148</v>
      </c>
      <c r="AM68">
        <f t="shared" si="41"/>
        <v>44</v>
      </c>
      <c r="AN68" s="132"/>
      <c r="DH68" t="str" cm="1">
        <f t="array" ref="DH68">IF($A68="","",_xlfn.LET(_xlpm.c,IFERROR(_xlfn.XLOOKUP($A68,TRIM('Sales and count'!$A$4:$A$300&amp;""),TRIM('Sales and count'!$B$4:$B$300&amp;"")),""),IF(OR(_xlpm.c="",_xlpm.c="0",LEFT(_xlpm.c,1)="#"),"Not set",_xlpm.c)))</f>
        <v>KSA</v>
      </c>
    </row>
    <row r="69" spans="1:112" x14ac:dyDescent="0.25">
      <c r="A69" t="str">
        <f>IF('Staff Daily sales'!$B54="","",TRIM('Staff Daily sales'!$B54&amp;""))</f>
        <v>ABHATIMESQ</v>
      </c>
      <c r="B69" t="str">
        <f>IF('Staff Daily sales'!$D54="","",TRIM('Staff Daily sales'!$D54&amp;""))</f>
        <v>4599-AAlGhamdi</v>
      </c>
      <c r="C69" t="str">
        <f>IFERROR(TRIM('Staff Daily sales'!$E54&amp;""),"")</f>
        <v>Abha</v>
      </c>
      <c r="D69" t="str">
        <f>IFERROR(IF(TRIM('Staff Daily sales'!$F54&amp;"")="","Unassigned",TRIM('Staff Daily sales'!$F54&amp;"")),"Unassigned")</f>
        <v>Ahmed Jaffari</v>
      </c>
      <c r="E69">
        <f t="shared" si="26"/>
        <v>1</v>
      </c>
      <c r="F69">
        <f>IF($E69=0,0,SUMPRODUCT($AI$5:$DF$5,'Staff Daily sales'!$G54:$CD54))</f>
        <v>843.97</v>
      </c>
      <c r="G69">
        <f>IF($E69=0,0,SUMPRODUCT($AI$6:$DF$6,'Staff Daily sales'!$G54:$CD54))</f>
        <v>6</v>
      </c>
      <c r="H69">
        <f t="shared" si="27"/>
        <v>3209.85</v>
      </c>
      <c r="I69">
        <f t="shared" si="28"/>
        <v>21</v>
      </c>
      <c r="J69">
        <f t="shared" si="29"/>
        <v>44058.899999999994</v>
      </c>
      <c r="K69">
        <f t="shared" si="30"/>
        <v>244</v>
      </c>
      <c r="L69">
        <f>--AND($E69=1,OR('Staff Dashboard'!$B$6="All",$DH69='Staff Dashboard'!$B$6),OR('Staff Dashboard'!$B$7="All",$D69='Staff Dashboard'!$B$7),OR('Staff Dashboard'!$B$8="All",$A69='Staff Dashboard'!$B$8))</f>
        <v>0</v>
      </c>
      <c r="M69">
        <f>IF($E69=0,0,SUMPRODUCT($AI$7:$DF$7,'Staff Daily sales'!$G54:$CD54))</f>
        <v>0</v>
      </c>
      <c r="N69">
        <f>IF($E69=0,0,SUMPRODUCT($AI$8:$DF$8,'Staff Daily sales'!$G54:$CD54))</f>
        <v>0</v>
      </c>
      <c r="O69">
        <f>IF($E69=0,0,SUMPRODUCT($AI$9:$DF$9,'Staff Daily sales'!$G54:$CD54))</f>
        <v>5534.05</v>
      </c>
      <c r="P69">
        <f>IF($E69=0,0,SUMPRODUCT($AI$10:$DF$10,'Staff Daily sales'!$G54:$CD54))</f>
        <v>43</v>
      </c>
      <c r="Q69">
        <f>IF($E69=0,0,SUMPRODUCT($AI$11:$DF$11,'Staff Daily sales'!$G54:$CD54))</f>
        <v>5679.02</v>
      </c>
      <c r="R69">
        <f>IF($E69=0,0,SUMPRODUCT($AI$12:$DF$12,'Staff Daily sales'!$G54:$CD54))</f>
        <v>39</v>
      </c>
      <c r="S69">
        <f>IF($E69=0,0,SUMPRODUCT($AI$13:$DF$13,'Staff Daily sales'!$G54:$CD54))</f>
        <v>5408.93</v>
      </c>
      <c r="T69">
        <f>IF($E69=0,0,SUMPRODUCT($AI$14:$DF$14,'Staff Daily sales'!$G54:$CD54))</f>
        <v>37</v>
      </c>
      <c r="U69">
        <f>IF($E69=0,0,SUMPRODUCT($AI$15:$DF$15,'Staff Daily sales'!$G54:$CD54))</f>
        <v>1940.98</v>
      </c>
      <c r="V69">
        <f>IF($E69=0,0,SUMPRODUCT($AI$16:$DF$16,'Staff Daily sales'!$G54:$CD54))</f>
        <v>12</v>
      </c>
      <c r="W69">
        <f t="shared" si="31"/>
        <v>22563.51</v>
      </c>
      <c r="X69">
        <f t="shared" si="32"/>
        <v>29116.400000000001</v>
      </c>
      <c r="Y69">
        <f t="shared" si="33"/>
        <v>25659.19</v>
      </c>
      <c r="Z69">
        <f t="shared" si="34"/>
        <v>21945.629999999997</v>
      </c>
      <c r="AA69">
        <f t="shared" si="35"/>
        <v>8028.0499999999993</v>
      </c>
      <c r="AB69">
        <f>--AND($E69=1,OR('Staff Weekly Trend'!$B$3="All",$DH69='Staff Weekly Trend'!$B$3),OR('Staff Weekly Trend'!$B$4="All",$D69='Staff Weekly Trend'!$B$4),OR('Staff Weekly Trend'!$B$5="All",$A69='Staff Weekly Trend'!$B$5))</f>
        <v>1</v>
      </c>
      <c r="AC69">
        <f t="shared" si="36"/>
        <v>1</v>
      </c>
      <c r="AG69" t="str">
        <v>HAMANRMAD</v>
      </c>
      <c r="AI69">
        <f t="shared" si="37"/>
        <v>170</v>
      </c>
      <c r="AJ69">
        <f t="shared" si="38"/>
        <v>208</v>
      </c>
      <c r="AK69">
        <f t="shared" si="39"/>
        <v>178</v>
      </c>
      <c r="AL69">
        <f t="shared" si="40"/>
        <v>148</v>
      </c>
      <c r="AM69">
        <f t="shared" si="41"/>
        <v>44</v>
      </c>
      <c r="AN69" s="132"/>
      <c r="DH69" t="str" cm="1">
        <f t="array" ref="DH69">IF($A69="","",_xlfn.LET(_xlpm.c,IFERROR(_xlfn.XLOOKUP($A69,TRIM('Sales and count'!$A$4:$A$300&amp;""),TRIM('Sales and count'!$B$4:$B$300&amp;"")),""),IF(OR(_xlpm.c="",_xlpm.c="0",LEFT(_xlpm.c,1)="#"),"Not set",_xlpm.c)))</f>
        <v>KSA</v>
      </c>
    </row>
    <row r="70" spans="1:112" x14ac:dyDescent="0.25">
      <c r="A70" t="str">
        <f>IF('Staff Daily sales'!$B55="","",TRIM('Staff Daily sales'!$B55&amp;""))</f>
        <v>ALSHATEA</v>
      </c>
      <c r="B70" t="str">
        <f>IF('Staff Daily sales'!$D55="","",TRIM('Staff Daily sales'!$D55&amp;""))</f>
        <v>2992-MHayel</v>
      </c>
      <c r="C70" t="str">
        <f>IFERROR(TRIM('Staff Daily sales'!$E55&amp;""),"")</f>
        <v>Jeddah</v>
      </c>
      <c r="D70" t="str">
        <f>IFERROR(IF(TRIM('Staff Daily sales'!$F55&amp;"")="","Unassigned",TRIM('Staff Daily sales'!$F55&amp;"")),"Unassigned")</f>
        <v>Saleh Bin Hoiel</v>
      </c>
      <c r="E70">
        <f t="shared" si="26"/>
        <v>1</v>
      </c>
      <c r="F70">
        <f>IF($E70=0,0,SUMPRODUCT($AI$5:$DF$5,'Staff Daily sales'!$G55:$CD55))</f>
        <v>3300.78</v>
      </c>
      <c r="G70">
        <f>IF($E70=0,0,SUMPRODUCT($AI$6:$DF$6,'Staff Daily sales'!$G55:$CD55))</f>
        <v>15</v>
      </c>
      <c r="H70">
        <f t="shared" si="27"/>
        <v>3722.7400000000002</v>
      </c>
      <c r="I70">
        <f t="shared" si="28"/>
        <v>17</v>
      </c>
      <c r="J70">
        <f t="shared" si="29"/>
        <v>69638.36</v>
      </c>
      <c r="K70">
        <f t="shared" si="30"/>
        <v>362</v>
      </c>
      <c r="L70">
        <f>--AND($E70=1,OR('Staff Dashboard'!$B$6="All",$DH70='Staff Dashboard'!$B$6),OR('Staff Dashboard'!$B$7="All",$D70='Staff Dashboard'!$B$7),OR('Staff Dashboard'!$B$8="All",$A70='Staff Dashboard'!$B$8))</f>
        <v>0</v>
      </c>
      <c r="M70">
        <f>IF($E70=0,0,SUMPRODUCT($AI$7:$DF$7,'Staff Daily sales'!$G55:$CD55))</f>
        <v>4851.1299999999992</v>
      </c>
      <c r="N70">
        <f>IF($E70=0,0,SUMPRODUCT($AI$8:$DF$8,'Staff Daily sales'!$G55:$CD55))</f>
        <v>29</v>
      </c>
      <c r="O70">
        <f>IF($E70=0,0,SUMPRODUCT($AI$9:$DF$9,'Staff Daily sales'!$G55:$CD55))</f>
        <v>8727.2199999999993</v>
      </c>
      <c r="P70">
        <f>IF($E70=0,0,SUMPRODUCT($AI$10:$DF$10,'Staff Daily sales'!$G55:$CD55))</f>
        <v>48</v>
      </c>
      <c r="Q70">
        <f>IF($E70=0,0,SUMPRODUCT($AI$11:$DF$11,'Staff Daily sales'!$G55:$CD55))</f>
        <v>1718.04</v>
      </c>
      <c r="R70">
        <f>IF($E70=0,0,SUMPRODUCT($AI$12:$DF$12,'Staff Daily sales'!$G55:$CD55))</f>
        <v>9</v>
      </c>
      <c r="S70">
        <f>IF($E70=0,0,SUMPRODUCT($AI$13:$DF$13,'Staff Daily sales'!$G55:$CD55))</f>
        <v>9191.630000000001</v>
      </c>
      <c r="T70">
        <f>IF($E70=0,0,SUMPRODUCT($AI$14:$DF$14,'Staff Daily sales'!$G55:$CD55))</f>
        <v>48</v>
      </c>
      <c r="U70">
        <f>IF($E70=0,0,SUMPRODUCT($AI$15:$DF$15,'Staff Daily sales'!$G55:$CD55))</f>
        <v>3447.95</v>
      </c>
      <c r="V70">
        <f>IF($E70=0,0,SUMPRODUCT($AI$16:$DF$16,'Staff Daily sales'!$G55:$CD55))</f>
        <v>24</v>
      </c>
      <c r="W70">
        <f t="shared" si="31"/>
        <v>23662.370000000003</v>
      </c>
      <c r="X70">
        <f t="shared" si="32"/>
        <v>38384.769999999997</v>
      </c>
      <c r="Y70">
        <f t="shared" si="33"/>
        <v>27171.360000000004</v>
      </c>
      <c r="Z70">
        <f t="shared" si="34"/>
        <v>22815.490000000005</v>
      </c>
      <c r="AA70">
        <f t="shared" si="35"/>
        <v>5385.98</v>
      </c>
      <c r="AB70">
        <f>--AND($E70=1,OR('Staff Weekly Trend'!$B$3="All",$DH70='Staff Weekly Trend'!$B$3),OR('Staff Weekly Trend'!$B$4="All",$D70='Staff Weekly Trend'!$B$4),OR('Staff Weekly Trend'!$B$5="All",$A70='Staff Weekly Trend'!$B$5))</f>
        <v>1</v>
      </c>
      <c r="AC70">
        <f t="shared" si="36"/>
        <v>1</v>
      </c>
      <c r="AG70" t="str">
        <v>HAMAYASMAD</v>
      </c>
      <c r="AI70">
        <f t="shared" si="37"/>
        <v>153</v>
      </c>
      <c r="AJ70">
        <f t="shared" si="38"/>
        <v>225</v>
      </c>
      <c r="AK70">
        <f t="shared" si="39"/>
        <v>145</v>
      </c>
      <c r="AL70">
        <f t="shared" si="40"/>
        <v>126</v>
      </c>
      <c r="AM70">
        <f t="shared" si="41"/>
        <v>31</v>
      </c>
      <c r="AN70" s="132"/>
      <c r="DH70" t="str" cm="1">
        <f t="array" ref="DH70">IF($A70="","",_xlfn.LET(_xlpm.c,IFERROR(_xlfn.XLOOKUP($A70,TRIM('Sales and count'!$A$4:$A$300&amp;""),TRIM('Sales and count'!$B$4:$B$300&amp;"")),""),IF(OR(_xlpm.c="",_xlpm.c="0",LEFT(_xlpm.c,1)="#"),"Not set",_xlpm.c)))</f>
        <v>KSA</v>
      </c>
    </row>
    <row r="71" spans="1:112" x14ac:dyDescent="0.25">
      <c r="A71" t="str">
        <f>IF('Staff Daily sales'!$B56="","",TRIM('Staff Daily sales'!$B56&amp;""))</f>
        <v>ALSHATEA</v>
      </c>
      <c r="B71" t="str">
        <f>IF('Staff Daily sales'!$D56="","",TRIM('Staff Daily sales'!$D56&amp;""))</f>
        <v>3029- RAlawi</v>
      </c>
      <c r="C71" t="str">
        <f>IFERROR(TRIM('Staff Daily sales'!$E56&amp;""),"")</f>
        <v>Jeddah</v>
      </c>
      <c r="D71" t="str">
        <f>IFERROR(IF(TRIM('Staff Daily sales'!$F56&amp;"")="","Unassigned",TRIM('Staff Daily sales'!$F56&amp;"")),"Unassigned")</f>
        <v>Saleh Bin Hoiel</v>
      </c>
      <c r="E71">
        <f t="shared" si="26"/>
        <v>1</v>
      </c>
      <c r="F71">
        <f>IF($E71=0,0,SUMPRODUCT($AI$5:$DF$5,'Staff Daily sales'!$G56:$CD56))</f>
        <v>0</v>
      </c>
      <c r="G71">
        <f>IF($E71=0,0,SUMPRODUCT($AI$6:$DF$6,'Staff Daily sales'!$G56:$CD56))</f>
        <v>0</v>
      </c>
      <c r="H71">
        <f t="shared" si="27"/>
        <v>3722.7400000000002</v>
      </c>
      <c r="I71">
        <f t="shared" si="28"/>
        <v>17</v>
      </c>
      <c r="J71">
        <f t="shared" si="29"/>
        <v>69638.36</v>
      </c>
      <c r="K71">
        <f t="shared" si="30"/>
        <v>362</v>
      </c>
      <c r="L71">
        <f>--AND($E71=1,OR('Staff Dashboard'!$B$6="All",$DH71='Staff Dashboard'!$B$6),OR('Staff Dashboard'!$B$7="All",$D71='Staff Dashboard'!$B$7),OR('Staff Dashboard'!$B$8="All",$A71='Staff Dashboard'!$B$8))</f>
        <v>0</v>
      </c>
      <c r="M71">
        <f>IF($E71=0,0,SUMPRODUCT($AI$7:$DF$7,'Staff Daily sales'!$G56:$CD56))</f>
        <v>4442.0200000000004</v>
      </c>
      <c r="N71">
        <f>IF($E71=0,0,SUMPRODUCT($AI$8:$DF$8,'Staff Daily sales'!$G56:$CD56))</f>
        <v>25</v>
      </c>
      <c r="O71">
        <f>IF($E71=0,0,SUMPRODUCT($AI$9:$DF$9,'Staff Daily sales'!$G56:$CD56))</f>
        <v>9975.119999999999</v>
      </c>
      <c r="P71">
        <f>IF($E71=0,0,SUMPRODUCT($AI$10:$DF$10,'Staff Daily sales'!$G56:$CD56))</f>
        <v>60</v>
      </c>
      <c r="Q71">
        <f>IF($E71=0,0,SUMPRODUCT($AI$11:$DF$11,'Staff Daily sales'!$G56:$CD56))</f>
        <v>13156.2</v>
      </c>
      <c r="R71">
        <f>IF($E71=0,0,SUMPRODUCT($AI$12:$DF$12,'Staff Daily sales'!$G56:$CD56))</f>
        <v>65</v>
      </c>
      <c r="S71">
        <f>IF($E71=0,0,SUMPRODUCT($AI$13:$DF$13,'Staff Daily sales'!$G56:$CD56))</f>
        <v>3773.04</v>
      </c>
      <c r="T71">
        <f>IF($E71=0,0,SUMPRODUCT($AI$14:$DF$14,'Staff Daily sales'!$G56:$CD56))</f>
        <v>24</v>
      </c>
      <c r="U71">
        <f>IF($E71=0,0,SUMPRODUCT($AI$15:$DF$15,'Staff Daily sales'!$G56:$CD56))</f>
        <v>0</v>
      </c>
      <c r="V71">
        <f>IF($E71=0,0,SUMPRODUCT($AI$16:$DF$16,'Staff Daily sales'!$G56:$CD56))</f>
        <v>0</v>
      </c>
      <c r="W71">
        <f t="shared" si="31"/>
        <v>23662.370000000003</v>
      </c>
      <c r="X71">
        <f t="shared" si="32"/>
        <v>38384.769999999997</v>
      </c>
      <c r="Y71">
        <f t="shared" si="33"/>
        <v>27171.360000000004</v>
      </c>
      <c r="Z71">
        <f t="shared" si="34"/>
        <v>22815.490000000005</v>
      </c>
      <c r="AA71">
        <f t="shared" si="35"/>
        <v>5385.98</v>
      </c>
      <c r="AB71">
        <f>--AND($E71=1,OR('Staff Weekly Trend'!$B$3="All",$DH71='Staff Weekly Trend'!$B$3),OR('Staff Weekly Trend'!$B$4="All",$D71='Staff Weekly Trend'!$B$4),OR('Staff Weekly Trend'!$B$5="All",$A71='Staff Weekly Trend'!$B$5))</f>
        <v>1</v>
      </c>
      <c r="AC71" t="str">
        <f t="shared" si="36"/>
        <v/>
      </c>
      <c r="AG71" t="str">
        <v>HAMDANYA</v>
      </c>
      <c r="AI71">
        <f t="shared" si="37"/>
        <v>153</v>
      </c>
      <c r="AJ71">
        <f t="shared" si="38"/>
        <v>225</v>
      </c>
      <c r="AK71">
        <f t="shared" si="39"/>
        <v>145</v>
      </c>
      <c r="AL71">
        <f t="shared" si="40"/>
        <v>126</v>
      </c>
      <c r="AM71">
        <f t="shared" si="41"/>
        <v>31</v>
      </c>
      <c r="AN71" s="132"/>
      <c r="DH71" t="str" cm="1">
        <f t="array" ref="DH71">IF($A71="","",_xlfn.LET(_xlpm.c,IFERROR(_xlfn.XLOOKUP($A71,TRIM('Sales and count'!$A$4:$A$300&amp;""),TRIM('Sales and count'!$B$4:$B$300&amp;"")),""),IF(OR(_xlpm.c="",_xlpm.c="0",LEFT(_xlpm.c,1)="#"),"Not set",_xlpm.c)))</f>
        <v>KSA</v>
      </c>
    </row>
    <row r="72" spans="1:112" x14ac:dyDescent="0.25">
      <c r="A72" t="str">
        <f>IF('Staff Daily sales'!$B57="","",TRIM('Staff Daily sales'!$B57&amp;""))</f>
        <v>ALSHATEA</v>
      </c>
      <c r="B72" t="str">
        <f>IF('Staff Daily sales'!$D57="","",TRIM('Staff Daily sales'!$D57&amp;""))</f>
        <v>4645-AAlgamdi</v>
      </c>
      <c r="C72" t="str">
        <f>IFERROR(TRIM('Staff Daily sales'!$E57&amp;""),"")</f>
        <v>Jeddah</v>
      </c>
      <c r="D72" t="str">
        <f>IFERROR(IF(TRIM('Staff Daily sales'!$F57&amp;"")="","Unassigned",TRIM('Staff Daily sales'!$F57&amp;"")),"Unassigned")</f>
        <v>Saleh Bin Hoiel</v>
      </c>
      <c r="E72">
        <f t="shared" si="26"/>
        <v>1</v>
      </c>
      <c r="F72">
        <f>IF($E72=0,0,SUMPRODUCT($AI$5:$DF$5,'Staff Daily sales'!$G57:$CD57))</f>
        <v>421.96</v>
      </c>
      <c r="G72">
        <f>IF($E72=0,0,SUMPRODUCT($AI$6:$DF$6,'Staff Daily sales'!$G57:$CD57))</f>
        <v>2</v>
      </c>
      <c r="H72">
        <f t="shared" si="27"/>
        <v>3722.7400000000002</v>
      </c>
      <c r="I72">
        <f t="shared" si="28"/>
        <v>17</v>
      </c>
      <c r="J72">
        <f t="shared" si="29"/>
        <v>69638.36</v>
      </c>
      <c r="K72">
        <f t="shared" si="30"/>
        <v>362</v>
      </c>
      <c r="L72">
        <f>--AND($E72=1,OR('Staff Dashboard'!$B$6="All",$DH72='Staff Dashboard'!$B$6),OR('Staff Dashboard'!$B$7="All",$D72='Staff Dashboard'!$B$7),OR('Staff Dashboard'!$B$8="All",$A72='Staff Dashboard'!$B$8))</f>
        <v>0</v>
      </c>
      <c r="M72">
        <f>IF($E72=0,0,SUMPRODUCT($AI$7:$DF$7,'Staff Daily sales'!$G57:$CD57))</f>
        <v>0</v>
      </c>
      <c r="N72">
        <f>IF($E72=0,0,SUMPRODUCT($AI$8:$DF$8,'Staff Daily sales'!$G57:$CD57))</f>
        <v>0</v>
      </c>
      <c r="O72">
        <f>IF($E72=0,0,SUMPRODUCT($AI$9:$DF$9,'Staff Daily sales'!$G57:$CD57))</f>
        <v>3425.0699999999997</v>
      </c>
      <c r="P72">
        <f>IF($E72=0,0,SUMPRODUCT($AI$10:$DF$10,'Staff Daily sales'!$G57:$CD57))</f>
        <v>22</v>
      </c>
      <c r="Q72">
        <f>IF($E72=0,0,SUMPRODUCT($AI$11:$DF$11,'Staff Daily sales'!$G57:$CD57))</f>
        <v>7977.06</v>
      </c>
      <c r="R72">
        <f>IF($E72=0,0,SUMPRODUCT($AI$12:$DF$12,'Staff Daily sales'!$G57:$CD57))</f>
        <v>43</v>
      </c>
      <c r="S72">
        <f>IF($E72=0,0,SUMPRODUCT($AI$13:$DF$13,'Staff Daily sales'!$G57:$CD57))</f>
        <v>5935.9000000000005</v>
      </c>
      <c r="T72">
        <f>IF($E72=0,0,SUMPRODUCT($AI$14:$DF$14,'Staff Daily sales'!$G57:$CD57))</f>
        <v>29</v>
      </c>
      <c r="U72">
        <f>IF($E72=0,0,SUMPRODUCT($AI$15:$DF$15,'Staff Daily sales'!$G57:$CD57))</f>
        <v>1938.03</v>
      </c>
      <c r="V72">
        <f>IF($E72=0,0,SUMPRODUCT($AI$16:$DF$16,'Staff Daily sales'!$G57:$CD57))</f>
        <v>7</v>
      </c>
      <c r="W72">
        <f t="shared" si="31"/>
        <v>23662.370000000003</v>
      </c>
      <c r="X72">
        <f t="shared" si="32"/>
        <v>38384.769999999997</v>
      </c>
      <c r="Y72">
        <f t="shared" si="33"/>
        <v>27171.360000000004</v>
      </c>
      <c r="Z72">
        <f t="shared" si="34"/>
        <v>22815.490000000005</v>
      </c>
      <c r="AA72">
        <f t="shared" si="35"/>
        <v>5385.98</v>
      </c>
      <c r="AB72">
        <f>--AND($E72=1,OR('Staff Weekly Trend'!$B$3="All",$DH72='Staff Weekly Trend'!$B$3),OR('Staff Weekly Trend'!$B$4="All",$D72='Staff Weekly Trend'!$B$4),OR('Staff Weekly Trend'!$B$5="All",$A72='Staff Weekly Trend'!$B$5))</f>
        <v>1</v>
      </c>
      <c r="AC72">
        <f t="shared" si="36"/>
        <v>2</v>
      </c>
      <c r="AG72" t="str">
        <v>HAMUJANPRK</v>
      </c>
      <c r="AI72">
        <f t="shared" si="37"/>
        <v>153</v>
      </c>
      <c r="AJ72">
        <f t="shared" si="38"/>
        <v>225</v>
      </c>
      <c r="AK72">
        <f t="shared" si="39"/>
        <v>145</v>
      </c>
      <c r="AL72">
        <f t="shared" si="40"/>
        <v>126</v>
      </c>
      <c r="AM72">
        <f t="shared" si="41"/>
        <v>31</v>
      </c>
      <c r="AN72" s="132"/>
      <c r="DH72" t="str" cm="1">
        <f t="array" ref="DH72">IF($A72="","",_xlfn.LET(_xlpm.c,IFERROR(_xlfn.XLOOKUP($A72,TRIM('Sales and count'!$A$4:$A$300&amp;""),TRIM('Sales and count'!$B$4:$B$300&amp;"")),""),IF(OR(_xlpm.c="",_xlpm.c="0",LEFT(_xlpm.c,1)="#"),"Not set",_xlpm.c)))</f>
        <v>KSA</v>
      </c>
    </row>
    <row r="73" spans="1:112" x14ac:dyDescent="0.25">
      <c r="A73" t="str">
        <f>IF('Staff Daily sales'!$B58="","",TRIM('Staff Daily sales'!$B58&amp;""))</f>
        <v>ALSHATEA</v>
      </c>
      <c r="B73" t="str">
        <f>IF('Staff Daily sales'!$D58="","",TRIM('Staff Daily sales'!$D58&amp;""))</f>
        <v>5108-MAlwasabi</v>
      </c>
      <c r="C73" t="str">
        <f>IFERROR(TRIM('Staff Daily sales'!$E58&amp;""),"")</f>
        <v>Jeddah</v>
      </c>
      <c r="D73" t="str">
        <f>IFERROR(IF(TRIM('Staff Daily sales'!$F58&amp;"")="","Unassigned",TRIM('Staff Daily sales'!$F58&amp;"")),"Unassigned")</f>
        <v>Saleh Bin Hoiel</v>
      </c>
      <c r="E73">
        <f t="shared" si="26"/>
        <v>1</v>
      </c>
      <c r="F73">
        <f>IF($E73=0,0,SUMPRODUCT($AI$5:$DF$5,'Staff Daily sales'!$G58:$CD58))</f>
        <v>0</v>
      </c>
      <c r="G73">
        <f>IF($E73=0,0,SUMPRODUCT($AI$6:$DF$6,'Staff Daily sales'!$G58:$CD58))</f>
        <v>0</v>
      </c>
      <c r="H73">
        <f t="shared" si="27"/>
        <v>3722.7400000000002</v>
      </c>
      <c r="I73">
        <f t="shared" si="28"/>
        <v>17</v>
      </c>
      <c r="J73">
        <f t="shared" si="29"/>
        <v>69638.36</v>
      </c>
      <c r="K73">
        <f t="shared" si="30"/>
        <v>362</v>
      </c>
      <c r="L73">
        <f>--AND($E73=1,OR('Staff Dashboard'!$B$6="All",$DH73='Staff Dashboard'!$B$6),OR('Staff Dashboard'!$B$7="All",$D73='Staff Dashboard'!$B$7),OR('Staff Dashboard'!$B$8="All",$A73='Staff Dashboard'!$B$8))</f>
        <v>0</v>
      </c>
      <c r="M73">
        <f>IF($E73=0,0,SUMPRODUCT($AI$7:$DF$7,'Staff Daily sales'!$G58:$CD58))</f>
        <v>14369.220000000001</v>
      </c>
      <c r="N73">
        <f>IF($E73=0,0,SUMPRODUCT($AI$8:$DF$8,'Staff Daily sales'!$G58:$CD58))</f>
        <v>99</v>
      </c>
      <c r="O73">
        <f>IF($E73=0,0,SUMPRODUCT($AI$9:$DF$9,'Staff Daily sales'!$G58:$CD58))</f>
        <v>16257.360000000002</v>
      </c>
      <c r="P73">
        <f>IF($E73=0,0,SUMPRODUCT($AI$10:$DF$10,'Staff Daily sales'!$G58:$CD58))</f>
        <v>95</v>
      </c>
      <c r="Q73">
        <f>IF($E73=0,0,SUMPRODUCT($AI$11:$DF$11,'Staff Daily sales'!$G58:$CD58))</f>
        <v>4320.0600000000004</v>
      </c>
      <c r="R73">
        <f>IF($E73=0,0,SUMPRODUCT($AI$12:$DF$12,'Staff Daily sales'!$G58:$CD58))</f>
        <v>28</v>
      </c>
      <c r="S73">
        <f>IF($E73=0,0,SUMPRODUCT($AI$13:$DF$13,'Staff Daily sales'!$G58:$CD58))</f>
        <v>3914.92</v>
      </c>
      <c r="T73">
        <f>IF($E73=0,0,SUMPRODUCT($AI$14:$DF$14,'Staff Daily sales'!$G58:$CD58))</f>
        <v>25</v>
      </c>
      <c r="U73">
        <f>IF($E73=0,0,SUMPRODUCT($AI$15:$DF$15,'Staff Daily sales'!$G58:$CD58))</f>
        <v>0</v>
      </c>
      <c r="V73">
        <f>IF($E73=0,0,SUMPRODUCT($AI$16:$DF$16,'Staff Daily sales'!$G58:$CD58))</f>
        <v>0</v>
      </c>
      <c r="W73">
        <f t="shared" si="31"/>
        <v>23662.370000000003</v>
      </c>
      <c r="X73">
        <f t="shared" si="32"/>
        <v>38384.769999999997</v>
      </c>
      <c r="Y73">
        <f t="shared" si="33"/>
        <v>27171.360000000004</v>
      </c>
      <c r="Z73">
        <f t="shared" si="34"/>
        <v>22815.490000000005</v>
      </c>
      <c r="AA73">
        <f t="shared" si="35"/>
        <v>5385.98</v>
      </c>
      <c r="AB73">
        <f>--AND($E73=1,OR('Staff Weekly Trend'!$B$3="All",$DH73='Staff Weekly Trend'!$B$3),OR('Staff Weekly Trend'!$B$4="All",$D73='Staff Weekly Trend'!$B$4),OR('Staff Weekly Trend'!$B$5="All",$A73='Staff Weekly Trend'!$B$5))</f>
        <v>1</v>
      </c>
      <c r="AC73" t="str">
        <f t="shared" si="36"/>
        <v/>
      </c>
      <c r="AG73" t="str">
        <v>HAMUNAIRA</v>
      </c>
      <c r="AI73">
        <f t="shared" si="37"/>
        <v>153</v>
      </c>
      <c r="AJ73">
        <f t="shared" si="38"/>
        <v>225</v>
      </c>
      <c r="AK73">
        <f t="shared" si="39"/>
        <v>145</v>
      </c>
      <c r="AL73">
        <f t="shared" si="40"/>
        <v>126</v>
      </c>
      <c r="AM73">
        <f t="shared" si="41"/>
        <v>31</v>
      </c>
      <c r="AN73" s="132"/>
      <c r="DH73" t="str" cm="1">
        <f t="array" ref="DH73">IF($A73="","",_xlfn.LET(_xlpm.c,IFERROR(_xlfn.XLOOKUP($A73,TRIM('Sales and count'!$A$4:$A$300&amp;""),TRIM('Sales and count'!$B$4:$B$300&amp;"")),""),IF(OR(_xlpm.c="",_xlpm.c="0",LEFT(_xlpm.c,1)="#"),"Not set",_xlpm.c)))</f>
        <v>KSA</v>
      </c>
    </row>
    <row r="74" spans="1:112" x14ac:dyDescent="0.25">
      <c r="A74" t="str">
        <f>IF('Staff Daily sales'!$B59="","",TRIM('Staff Daily sales'!$B59&amp;""))</f>
        <v>ALSHAWGIYAH</v>
      </c>
      <c r="B74" t="str">
        <f>IF('Staff Daily sales'!$D59="","",TRIM('Staff Daily sales'!$D59&amp;""))</f>
        <v>3620-RAlmawlid</v>
      </c>
      <c r="C74" t="str">
        <f>IFERROR(TRIM('Staff Daily sales'!$E59&amp;""),"")</f>
        <v>Makkah</v>
      </c>
      <c r="D74" t="str">
        <f>IFERROR(IF(TRIM('Staff Daily sales'!$F59&amp;"")="","Unassigned",TRIM('Staff Daily sales'!$F59&amp;"")),"Unassigned")</f>
        <v>Maram Zamzami</v>
      </c>
      <c r="E74">
        <f t="shared" si="26"/>
        <v>1</v>
      </c>
      <c r="F74">
        <f>IF($E74=0,0,SUMPRODUCT($AI$5:$DF$5,'Staff Daily sales'!$G59:$CD59))</f>
        <v>471.01</v>
      </c>
      <c r="G74">
        <f>IF($E74=0,0,SUMPRODUCT($AI$6:$DF$6,'Staff Daily sales'!$G59:$CD59))</f>
        <v>3</v>
      </c>
      <c r="H74">
        <f t="shared" si="27"/>
        <v>7037.78</v>
      </c>
      <c r="I74">
        <f t="shared" si="28"/>
        <v>36</v>
      </c>
      <c r="J74">
        <f t="shared" si="29"/>
        <v>89423.479999999967</v>
      </c>
      <c r="K74">
        <f t="shared" si="30"/>
        <v>413</v>
      </c>
      <c r="L74">
        <f>--AND($E74=1,OR('Staff Dashboard'!$B$6="All",$DH74='Staff Dashboard'!$B$6),OR('Staff Dashboard'!$B$7="All",$D74='Staff Dashboard'!$B$7),OR('Staff Dashboard'!$B$8="All",$A74='Staff Dashboard'!$B$8))</f>
        <v>1</v>
      </c>
      <c r="M74">
        <f>IF($E74=0,0,SUMPRODUCT($AI$7:$DF$7,'Staff Daily sales'!$G59:$CD59))</f>
        <v>5406.13</v>
      </c>
      <c r="N74">
        <f>IF($E74=0,0,SUMPRODUCT($AI$8:$DF$8,'Staff Daily sales'!$G59:$CD59))</f>
        <v>29</v>
      </c>
      <c r="O74">
        <f>IF($E74=0,0,SUMPRODUCT($AI$9:$DF$9,'Staff Daily sales'!$G59:$CD59))</f>
        <v>9537.1</v>
      </c>
      <c r="P74">
        <f>IF($E74=0,0,SUMPRODUCT($AI$10:$DF$10,'Staff Daily sales'!$G59:$CD59))</f>
        <v>60</v>
      </c>
      <c r="Q74">
        <f>IF($E74=0,0,SUMPRODUCT($AI$11:$DF$11,'Staff Daily sales'!$G59:$CD59))</f>
        <v>7046.09</v>
      </c>
      <c r="R74">
        <f>IF($E74=0,0,SUMPRODUCT($AI$12:$DF$12,'Staff Daily sales'!$G59:$CD59))</f>
        <v>37</v>
      </c>
      <c r="S74">
        <f>IF($E74=0,0,SUMPRODUCT($AI$13:$DF$13,'Staff Daily sales'!$G59:$CD59))</f>
        <v>5222.05</v>
      </c>
      <c r="T74">
        <f>IF($E74=0,0,SUMPRODUCT($AI$14:$DF$14,'Staff Daily sales'!$G59:$CD59))</f>
        <v>27</v>
      </c>
      <c r="U74">
        <f>IF($E74=0,0,SUMPRODUCT($AI$15:$DF$15,'Staff Daily sales'!$G59:$CD59))</f>
        <v>3182.12</v>
      </c>
      <c r="V74">
        <f>IF($E74=0,0,SUMPRODUCT($AI$16:$DF$16,'Staff Daily sales'!$G59:$CD59))</f>
        <v>16</v>
      </c>
      <c r="W74">
        <f t="shared" si="31"/>
        <v>28935.53</v>
      </c>
      <c r="X74">
        <f t="shared" si="32"/>
        <v>59731.88</v>
      </c>
      <c r="Y74">
        <f t="shared" si="33"/>
        <v>50311.839999999997</v>
      </c>
      <c r="Z74">
        <f t="shared" si="34"/>
        <v>39812.939999999995</v>
      </c>
      <c r="AA74">
        <f t="shared" si="35"/>
        <v>9199.09</v>
      </c>
      <c r="AB74">
        <f>--AND($E74=1,OR('Staff Weekly Trend'!$B$3="All",$DH74='Staff Weekly Trend'!$B$3),OR('Staff Weekly Trend'!$B$4="All",$D74='Staff Weekly Trend'!$B$4),OR('Staff Weekly Trend'!$B$5="All",$A74='Staff Weekly Trend'!$B$5))</f>
        <v>1</v>
      </c>
      <c r="AC74">
        <f t="shared" si="36"/>
        <v>3</v>
      </c>
      <c r="AG74" t="str">
        <v>HAMYANYARD</v>
      </c>
      <c r="AI74">
        <f t="shared" si="37"/>
        <v>191</v>
      </c>
      <c r="AJ74">
        <f t="shared" si="38"/>
        <v>385</v>
      </c>
      <c r="AK74">
        <f t="shared" si="39"/>
        <v>318</v>
      </c>
      <c r="AL74">
        <f t="shared" si="40"/>
        <v>228</v>
      </c>
      <c r="AM74">
        <f t="shared" si="41"/>
        <v>57</v>
      </c>
      <c r="AN74" s="132"/>
      <c r="DH74" t="str" cm="1">
        <f t="array" ref="DH74">IF($A74="","",_xlfn.LET(_xlpm.c,IFERROR(_xlfn.XLOOKUP($A74,TRIM('Sales and count'!$A$4:$A$300&amp;""),TRIM('Sales and count'!$B$4:$B$300&amp;"")),""),IF(OR(_xlpm.c="",_xlpm.c="0",LEFT(_xlpm.c,1)="#"),"Not set",_xlpm.c)))</f>
        <v>KSA</v>
      </c>
    </row>
    <row r="75" spans="1:112" x14ac:dyDescent="0.25">
      <c r="A75" t="str">
        <f>IF('Staff Daily sales'!$B60="","",TRIM('Staff Daily sales'!$B60&amp;""))</f>
        <v>ALSHAWGIYAH</v>
      </c>
      <c r="B75" t="str">
        <f>IF('Staff Daily sales'!$D60="","",TRIM('Staff Daily sales'!$D60&amp;""))</f>
        <v>3645-FAlZahrani</v>
      </c>
      <c r="C75" t="str">
        <f>IFERROR(TRIM('Staff Daily sales'!$E60&amp;""),"")</f>
        <v>Makkah</v>
      </c>
      <c r="D75" t="str">
        <f>IFERROR(IF(TRIM('Staff Daily sales'!$F60&amp;"")="","Unassigned",TRIM('Staff Daily sales'!$F60&amp;"")),"Unassigned")</f>
        <v>Maram Zamzami</v>
      </c>
      <c r="E75">
        <f t="shared" si="26"/>
        <v>1</v>
      </c>
      <c r="F75">
        <f>IF($E75=0,0,SUMPRODUCT($AI$5:$DF$5,'Staff Daily sales'!$G60:$CD60))</f>
        <v>3150.88</v>
      </c>
      <c r="G75">
        <f>IF($E75=0,0,SUMPRODUCT($AI$6:$DF$6,'Staff Daily sales'!$G60:$CD60))</f>
        <v>15</v>
      </c>
      <c r="H75">
        <f t="shared" si="27"/>
        <v>7037.78</v>
      </c>
      <c r="I75">
        <f t="shared" si="28"/>
        <v>36</v>
      </c>
      <c r="J75">
        <f t="shared" si="29"/>
        <v>89423.479999999967</v>
      </c>
      <c r="K75">
        <f t="shared" si="30"/>
        <v>413</v>
      </c>
      <c r="L75">
        <f>--AND($E75=1,OR('Staff Dashboard'!$B$6="All",$DH75='Staff Dashboard'!$B$6),OR('Staff Dashboard'!$B$7="All",$D75='Staff Dashboard'!$B$7),OR('Staff Dashboard'!$B$8="All",$A75='Staff Dashboard'!$B$8))</f>
        <v>1</v>
      </c>
      <c r="M75">
        <f>IF($E75=0,0,SUMPRODUCT($AI$7:$DF$7,'Staff Daily sales'!$G60:$CD60))</f>
        <v>1459.02</v>
      </c>
      <c r="N75">
        <f>IF($E75=0,0,SUMPRODUCT($AI$8:$DF$8,'Staff Daily sales'!$G60:$CD60))</f>
        <v>9</v>
      </c>
      <c r="O75">
        <f>IF($E75=0,0,SUMPRODUCT($AI$9:$DF$9,'Staff Daily sales'!$G60:$CD60))</f>
        <v>5646.0999999999995</v>
      </c>
      <c r="P75">
        <f>IF($E75=0,0,SUMPRODUCT($AI$10:$DF$10,'Staff Daily sales'!$G60:$CD60))</f>
        <v>32</v>
      </c>
      <c r="Q75">
        <f>IF($E75=0,0,SUMPRODUCT($AI$11:$DF$11,'Staff Daily sales'!$G60:$CD60))</f>
        <v>8741.07</v>
      </c>
      <c r="R75">
        <f>IF($E75=0,0,SUMPRODUCT($AI$12:$DF$12,'Staff Daily sales'!$G60:$CD60))</f>
        <v>54</v>
      </c>
      <c r="S75">
        <f>IF($E75=0,0,SUMPRODUCT($AI$13:$DF$13,'Staff Daily sales'!$G60:$CD60))</f>
        <v>6200.77</v>
      </c>
      <c r="T75">
        <f>IF($E75=0,0,SUMPRODUCT($AI$14:$DF$14,'Staff Daily sales'!$G60:$CD60))</f>
        <v>34</v>
      </c>
      <c r="U75">
        <f>IF($E75=0,0,SUMPRODUCT($AI$15:$DF$15,'Staff Daily sales'!$G60:$CD60))</f>
        <v>722.94</v>
      </c>
      <c r="V75">
        <f>IF($E75=0,0,SUMPRODUCT($AI$16:$DF$16,'Staff Daily sales'!$G60:$CD60))</f>
        <v>4</v>
      </c>
      <c r="W75">
        <f t="shared" si="31"/>
        <v>28935.53</v>
      </c>
      <c r="X75">
        <f t="shared" si="32"/>
        <v>59731.88</v>
      </c>
      <c r="Y75">
        <f t="shared" si="33"/>
        <v>50311.839999999997</v>
      </c>
      <c r="Z75">
        <f t="shared" si="34"/>
        <v>39812.939999999995</v>
      </c>
      <c r="AA75">
        <f t="shared" si="35"/>
        <v>9199.09</v>
      </c>
      <c r="AB75">
        <f>--AND($E75=1,OR('Staff Weekly Trend'!$B$3="All",$DH75='Staff Weekly Trend'!$B$3),OR('Staff Weekly Trend'!$B$4="All",$D75='Staff Weekly Trend'!$B$4),OR('Staff Weekly Trend'!$B$5="All",$A75='Staff Weekly Trend'!$B$5))</f>
        <v>1</v>
      </c>
      <c r="AC75">
        <f t="shared" si="36"/>
        <v>2</v>
      </c>
      <c r="AG75" t="str">
        <v>HANAJRPAR</v>
      </c>
      <c r="AI75">
        <f t="shared" si="37"/>
        <v>191</v>
      </c>
      <c r="AJ75">
        <f t="shared" si="38"/>
        <v>385</v>
      </c>
      <c r="AK75">
        <f t="shared" si="39"/>
        <v>318</v>
      </c>
      <c r="AL75">
        <f t="shared" si="40"/>
        <v>228</v>
      </c>
      <c r="AM75">
        <f t="shared" si="41"/>
        <v>57</v>
      </c>
      <c r="AN75" s="132"/>
      <c r="DH75" t="str" cm="1">
        <f t="array" ref="DH75">IF($A75="","",_xlfn.LET(_xlpm.c,IFERROR(_xlfn.XLOOKUP($A75,TRIM('Sales and count'!$A$4:$A$300&amp;""),TRIM('Sales and count'!$B$4:$B$300&amp;"")),""),IF(OR(_xlpm.c="",_xlpm.c="0",LEFT(_xlpm.c,1)="#"),"Not set",_xlpm.c)))</f>
        <v>KSA</v>
      </c>
    </row>
    <row r="76" spans="1:112" x14ac:dyDescent="0.25">
      <c r="A76" t="str">
        <f>IF('Staff Daily sales'!$B61="","",TRIM('Staff Daily sales'!$B61&amp;""))</f>
        <v>ALSHAWGIYAH</v>
      </c>
      <c r="B76" t="str">
        <f>IF('Staff Daily sales'!$D61="","",TRIM('Staff Daily sales'!$D61&amp;""))</f>
        <v>3658-NSulimani</v>
      </c>
      <c r="C76" t="str">
        <f>IFERROR(TRIM('Staff Daily sales'!$E61&amp;""),"")</f>
        <v>Makkah</v>
      </c>
      <c r="D76" t="str">
        <f>IFERROR(IF(TRIM('Staff Daily sales'!$F61&amp;"")="","Unassigned",TRIM('Staff Daily sales'!$F61&amp;"")),"Unassigned")</f>
        <v>Maram Zamzami</v>
      </c>
      <c r="E76">
        <f t="shared" si="26"/>
        <v>1</v>
      </c>
      <c r="F76">
        <f>IF($E76=0,0,SUMPRODUCT($AI$5:$DF$5,'Staff Daily sales'!$G61:$CD61))</f>
        <v>3167.91</v>
      </c>
      <c r="G76">
        <f>IF($E76=0,0,SUMPRODUCT($AI$6:$DF$6,'Staff Daily sales'!$G61:$CD61))</f>
        <v>16</v>
      </c>
      <c r="H76">
        <f t="shared" si="27"/>
        <v>7037.78</v>
      </c>
      <c r="I76">
        <f t="shared" si="28"/>
        <v>36</v>
      </c>
      <c r="J76">
        <f t="shared" si="29"/>
        <v>89423.479999999967</v>
      </c>
      <c r="K76">
        <f t="shared" si="30"/>
        <v>413</v>
      </c>
      <c r="L76">
        <f>--AND($E76=1,OR('Staff Dashboard'!$B$6="All",$DH76='Staff Dashboard'!$B$6),OR('Staff Dashboard'!$B$7="All",$D76='Staff Dashboard'!$B$7),OR('Staff Dashboard'!$B$8="All",$A76='Staff Dashboard'!$B$8))</f>
        <v>1</v>
      </c>
      <c r="M76">
        <f>IF($E76=0,0,SUMPRODUCT($AI$7:$DF$7,'Staff Daily sales'!$G61:$CD61))</f>
        <v>4763.09</v>
      </c>
      <c r="N76">
        <f>IF($E76=0,0,SUMPRODUCT($AI$8:$DF$8,'Staff Daily sales'!$G61:$CD61))</f>
        <v>35</v>
      </c>
      <c r="O76">
        <f>IF($E76=0,0,SUMPRODUCT($AI$9:$DF$9,'Staff Daily sales'!$G61:$CD61))</f>
        <v>12895.22</v>
      </c>
      <c r="P76">
        <f>IF($E76=0,0,SUMPRODUCT($AI$10:$DF$10,'Staff Daily sales'!$G61:$CD61))</f>
        <v>82</v>
      </c>
      <c r="Q76">
        <f>IF($E76=0,0,SUMPRODUCT($AI$11:$DF$11,'Staff Daily sales'!$G61:$CD61))</f>
        <v>11783.28</v>
      </c>
      <c r="R76">
        <f>IF($E76=0,0,SUMPRODUCT($AI$12:$DF$12,'Staff Daily sales'!$G61:$CD61))</f>
        <v>78</v>
      </c>
      <c r="S76">
        <f>IF($E76=0,0,SUMPRODUCT($AI$13:$DF$13,'Staff Daily sales'!$G61:$CD61))</f>
        <v>10776.91</v>
      </c>
      <c r="T76">
        <f>IF($E76=0,0,SUMPRODUCT($AI$14:$DF$14,'Staff Daily sales'!$G61:$CD61))</f>
        <v>70</v>
      </c>
      <c r="U76">
        <f>IF($E76=0,0,SUMPRODUCT($AI$15:$DF$15,'Staff Daily sales'!$G61:$CD61))</f>
        <v>194</v>
      </c>
      <c r="V76">
        <f>IF($E76=0,0,SUMPRODUCT($AI$16:$DF$16,'Staff Daily sales'!$G61:$CD61))</f>
        <v>2</v>
      </c>
      <c r="W76">
        <f t="shared" si="31"/>
        <v>28935.53</v>
      </c>
      <c r="X76">
        <f t="shared" si="32"/>
        <v>59731.88</v>
      </c>
      <c r="Y76">
        <f t="shared" si="33"/>
        <v>50311.839999999997</v>
      </c>
      <c r="Z76">
        <f t="shared" si="34"/>
        <v>39812.939999999995</v>
      </c>
      <c r="AA76">
        <f t="shared" si="35"/>
        <v>9199.09</v>
      </c>
      <c r="AB76">
        <f>--AND($E76=1,OR('Staff Weekly Trend'!$B$3="All",$DH76='Staff Weekly Trend'!$B$3),OR('Staff Weekly Trend'!$B$4="All",$D76='Staff Weekly Trend'!$B$4),OR('Staff Weekly Trend'!$B$5="All",$A76='Staff Weekly Trend'!$B$5))</f>
        <v>1</v>
      </c>
      <c r="AC76">
        <f t="shared" si="36"/>
        <v>1</v>
      </c>
      <c r="AG76" t="str">
        <v>HANJFRONT</v>
      </c>
      <c r="AI76">
        <f t="shared" si="37"/>
        <v>191</v>
      </c>
      <c r="AJ76">
        <f t="shared" si="38"/>
        <v>385</v>
      </c>
      <c r="AK76">
        <f t="shared" si="39"/>
        <v>318</v>
      </c>
      <c r="AL76">
        <f t="shared" si="40"/>
        <v>228</v>
      </c>
      <c r="AM76">
        <f t="shared" si="41"/>
        <v>57</v>
      </c>
      <c r="AN76" s="132"/>
      <c r="DH76" t="str" cm="1">
        <f t="array" ref="DH76">IF($A76="","",_xlfn.LET(_xlpm.c,IFERROR(_xlfn.XLOOKUP($A76,TRIM('Sales and count'!$A$4:$A$300&amp;""),TRIM('Sales and count'!$B$4:$B$300&amp;"")),""),IF(OR(_xlpm.c="",_xlpm.c="0",LEFT(_xlpm.c,1)="#"),"Not set",_xlpm.c)))</f>
        <v>KSA</v>
      </c>
    </row>
    <row r="77" spans="1:112" x14ac:dyDescent="0.25">
      <c r="A77" t="str">
        <f>IF('Staff Daily sales'!$B62="","",TRIM('Staff Daily sales'!$B62&amp;""))</f>
        <v>ALSHAWGIYAH</v>
      </c>
      <c r="B77" t="str">
        <f>IF('Staff Daily sales'!$D62="","",TRIM('Staff Daily sales'!$D62&amp;""))</f>
        <v>3676-ATazi</v>
      </c>
      <c r="C77" t="str">
        <f>IFERROR(TRIM('Staff Daily sales'!$E62&amp;""),"")</f>
        <v>Makkah</v>
      </c>
      <c r="D77" t="str">
        <f>IFERROR(IF(TRIM('Staff Daily sales'!$F62&amp;"")="","Unassigned",TRIM('Staff Daily sales'!$F62&amp;"")),"Unassigned")</f>
        <v>Maram Zamzami</v>
      </c>
      <c r="E77">
        <f t="shared" si="26"/>
        <v>1</v>
      </c>
      <c r="F77">
        <f>IF($E77=0,0,SUMPRODUCT($AI$5:$DF$5,'Staff Daily sales'!$G62:$CD62))</f>
        <v>247.98</v>
      </c>
      <c r="G77">
        <f>IF($E77=0,0,SUMPRODUCT($AI$6:$DF$6,'Staff Daily sales'!$G62:$CD62))</f>
        <v>2</v>
      </c>
      <c r="H77">
        <f t="shared" si="27"/>
        <v>7037.78</v>
      </c>
      <c r="I77">
        <f t="shared" si="28"/>
        <v>36</v>
      </c>
      <c r="J77">
        <f t="shared" si="29"/>
        <v>89423.479999999967</v>
      </c>
      <c r="K77">
        <f t="shared" si="30"/>
        <v>413</v>
      </c>
      <c r="L77">
        <f>--AND($E77=1,OR('Staff Dashboard'!$B$6="All",$DH77='Staff Dashboard'!$B$6),OR('Staff Dashboard'!$B$7="All",$D77='Staff Dashboard'!$B$7),OR('Staff Dashboard'!$B$8="All",$A77='Staff Dashboard'!$B$8))</f>
        <v>1</v>
      </c>
      <c r="M77">
        <f>IF($E77=0,0,SUMPRODUCT($AI$7:$DF$7,'Staff Daily sales'!$G62:$CD62))</f>
        <v>0</v>
      </c>
      <c r="N77">
        <f>IF($E77=0,0,SUMPRODUCT($AI$8:$DF$8,'Staff Daily sales'!$G62:$CD62))</f>
        <v>0</v>
      </c>
      <c r="O77">
        <f>IF($E77=0,0,SUMPRODUCT($AI$9:$DF$9,'Staff Daily sales'!$G62:$CD62))</f>
        <v>4199.07</v>
      </c>
      <c r="P77">
        <f>IF($E77=0,0,SUMPRODUCT($AI$10:$DF$10,'Staff Daily sales'!$G62:$CD62))</f>
        <v>26</v>
      </c>
      <c r="Q77">
        <f>IF($E77=0,0,SUMPRODUCT($AI$11:$DF$11,'Staff Daily sales'!$G62:$CD62))</f>
        <v>830.03</v>
      </c>
      <c r="R77">
        <f>IF($E77=0,0,SUMPRODUCT($AI$12:$DF$12,'Staff Daily sales'!$G62:$CD62))</f>
        <v>5</v>
      </c>
      <c r="S77">
        <f>IF($E77=0,0,SUMPRODUCT($AI$13:$DF$13,'Staff Daily sales'!$G62:$CD62))</f>
        <v>444.98</v>
      </c>
      <c r="T77">
        <f>IF($E77=0,0,SUMPRODUCT($AI$14:$DF$14,'Staff Daily sales'!$G62:$CD62))</f>
        <v>4</v>
      </c>
      <c r="U77">
        <f>IF($E77=0,0,SUMPRODUCT($AI$15:$DF$15,'Staff Daily sales'!$G62:$CD62))</f>
        <v>300.01</v>
      </c>
      <c r="V77">
        <f>IF($E77=0,0,SUMPRODUCT($AI$16:$DF$16,'Staff Daily sales'!$G62:$CD62))</f>
        <v>1</v>
      </c>
      <c r="W77">
        <f t="shared" si="31"/>
        <v>28935.53</v>
      </c>
      <c r="X77">
        <f t="shared" si="32"/>
        <v>59731.88</v>
      </c>
      <c r="Y77">
        <f t="shared" si="33"/>
        <v>50311.839999999997</v>
      </c>
      <c r="Z77">
        <f t="shared" si="34"/>
        <v>39812.939999999995</v>
      </c>
      <c r="AA77">
        <f t="shared" si="35"/>
        <v>9199.09</v>
      </c>
      <c r="AB77">
        <f>--AND($E77=1,OR('Staff Weekly Trend'!$B$3="All",$DH77='Staff Weekly Trend'!$B$3),OR('Staff Weekly Trend'!$B$4="All",$D77='Staff Weekly Trend'!$B$4),OR('Staff Weekly Trend'!$B$5="All",$A77='Staff Weekly Trend'!$B$5))</f>
        <v>1</v>
      </c>
      <c r="AC77">
        <f t="shared" si="36"/>
        <v>4</v>
      </c>
      <c r="AG77" t="str">
        <v>HAOBHRPLZ</v>
      </c>
      <c r="AI77">
        <f t="shared" si="37"/>
        <v>191</v>
      </c>
      <c r="AJ77">
        <f t="shared" si="38"/>
        <v>385</v>
      </c>
      <c r="AK77">
        <f t="shared" si="39"/>
        <v>318</v>
      </c>
      <c r="AL77">
        <f t="shared" si="40"/>
        <v>228</v>
      </c>
      <c r="AM77">
        <f t="shared" si="41"/>
        <v>57</v>
      </c>
      <c r="AN77" s="132"/>
      <c r="DH77" t="str" cm="1">
        <f t="array" ref="DH77">IF($A77="","",_xlfn.LET(_xlpm.c,IFERROR(_xlfn.XLOOKUP($A77,TRIM('Sales and count'!$A$4:$A$300&amp;""),TRIM('Sales and count'!$B$4:$B$300&amp;"")),""),IF(OR(_xlpm.c="",_xlpm.c="0",LEFT(_xlpm.c,1)="#"),"Not set",_xlpm.c)))</f>
        <v>KSA</v>
      </c>
    </row>
    <row r="78" spans="1:112" x14ac:dyDescent="0.25">
      <c r="A78" t="str">
        <f>IF('Staff Daily sales'!$B63="","",TRIM('Staff Daily sales'!$B63&amp;""))</f>
        <v>ALSHAWGIYAH</v>
      </c>
      <c r="B78" t="str">
        <f>IF('Staff Daily sales'!$D63="","",TRIM('Staff Daily sales'!$D63&amp;""))</f>
        <v>3689-HAlshmrani</v>
      </c>
      <c r="C78" t="str">
        <f>IFERROR(TRIM('Staff Daily sales'!$E63&amp;""),"")</f>
        <v>Makkah</v>
      </c>
      <c r="D78" t="str">
        <f>IFERROR(IF(TRIM('Staff Daily sales'!$F63&amp;"")="","Unassigned",TRIM('Staff Daily sales'!$F63&amp;"")),"Unassigned")</f>
        <v>Maram Zamzami</v>
      </c>
      <c r="E78">
        <f t="shared" si="26"/>
        <v>1</v>
      </c>
      <c r="F78">
        <f>IF($E78=0,0,SUMPRODUCT($AI$5:$DF$5,'Staff Daily sales'!$G63:$CD63))</f>
        <v>0</v>
      </c>
      <c r="G78">
        <f>IF($E78=0,0,SUMPRODUCT($AI$6:$DF$6,'Staff Daily sales'!$G63:$CD63))</f>
        <v>0</v>
      </c>
      <c r="H78">
        <f t="shared" si="27"/>
        <v>7037.78</v>
      </c>
      <c r="I78">
        <f t="shared" si="28"/>
        <v>36</v>
      </c>
      <c r="J78">
        <f t="shared" si="29"/>
        <v>89423.479999999967</v>
      </c>
      <c r="K78">
        <f t="shared" si="30"/>
        <v>413</v>
      </c>
      <c r="L78">
        <f>--AND($E78=1,OR('Staff Dashboard'!$B$6="All",$DH78='Staff Dashboard'!$B$6),OR('Staff Dashboard'!$B$7="All",$D78='Staff Dashboard'!$B$7),OR('Staff Dashboard'!$B$8="All",$A78='Staff Dashboard'!$B$8))</f>
        <v>1</v>
      </c>
      <c r="M78">
        <f>IF($E78=0,0,SUMPRODUCT($AI$7:$DF$7,'Staff Daily sales'!$G63:$CD63))</f>
        <v>3552.12</v>
      </c>
      <c r="N78">
        <f>IF($E78=0,0,SUMPRODUCT($AI$8:$DF$8,'Staff Daily sales'!$G63:$CD63))</f>
        <v>21</v>
      </c>
      <c r="O78">
        <f>IF($E78=0,0,SUMPRODUCT($AI$9:$DF$9,'Staff Daily sales'!$G63:$CD63))</f>
        <v>3909.0299999999997</v>
      </c>
      <c r="P78">
        <f>IF($E78=0,0,SUMPRODUCT($AI$10:$DF$10,'Staff Daily sales'!$G63:$CD63))</f>
        <v>26</v>
      </c>
      <c r="Q78">
        <f>IF($E78=0,0,SUMPRODUCT($AI$11:$DF$11,'Staff Daily sales'!$G63:$CD63))</f>
        <v>6456.09</v>
      </c>
      <c r="R78">
        <f>IF($E78=0,0,SUMPRODUCT($AI$12:$DF$12,'Staff Daily sales'!$G63:$CD63))</f>
        <v>45</v>
      </c>
      <c r="S78">
        <f>IF($E78=0,0,SUMPRODUCT($AI$13:$DF$13,'Staff Daily sales'!$G63:$CD63))</f>
        <v>5391.1</v>
      </c>
      <c r="T78">
        <f>IF($E78=0,0,SUMPRODUCT($AI$14:$DF$14,'Staff Daily sales'!$G63:$CD63))</f>
        <v>29</v>
      </c>
      <c r="U78">
        <f>IF($E78=0,0,SUMPRODUCT($AI$15:$DF$15,'Staff Daily sales'!$G63:$CD63))</f>
        <v>0</v>
      </c>
      <c r="V78">
        <f>IF($E78=0,0,SUMPRODUCT($AI$16:$DF$16,'Staff Daily sales'!$G63:$CD63))</f>
        <v>0</v>
      </c>
      <c r="W78">
        <f t="shared" si="31"/>
        <v>28935.53</v>
      </c>
      <c r="X78">
        <f t="shared" si="32"/>
        <v>59731.88</v>
      </c>
      <c r="Y78">
        <f t="shared" si="33"/>
        <v>50311.839999999997</v>
      </c>
      <c r="Z78">
        <f t="shared" si="34"/>
        <v>39812.939999999995</v>
      </c>
      <c r="AA78">
        <f t="shared" si="35"/>
        <v>9199.09</v>
      </c>
      <c r="AB78">
        <f>--AND($E78=1,OR('Staff Weekly Trend'!$B$3="All",$DH78='Staff Weekly Trend'!$B$3),OR('Staff Weekly Trend'!$B$4="All",$D78='Staff Weekly Trend'!$B$4),OR('Staff Weekly Trend'!$B$5="All",$A78='Staff Weekly Trend'!$B$5))</f>
        <v>1</v>
      </c>
      <c r="AC78" t="str">
        <f t="shared" si="36"/>
        <v/>
      </c>
      <c r="AG78" t="str">
        <v>HAOTHARAR</v>
      </c>
      <c r="AI78">
        <f t="shared" si="37"/>
        <v>191</v>
      </c>
      <c r="AJ78">
        <f t="shared" si="38"/>
        <v>385</v>
      </c>
      <c r="AK78">
        <f t="shared" si="39"/>
        <v>318</v>
      </c>
      <c r="AL78">
        <f t="shared" si="40"/>
        <v>228</v>
      </c>
      <c r="AM78">
        <f t="shared" si="41"/>
        <v>57</v>
      </c>
      <c r="AN78" s="132"/>
      <c r="DH78" t="str" cm="1">
        <f t="array" ref="DH78">IF($A78="","",_xlfn.LET(_xlpm.c,IFERROR(_xlfn.XLOOKUP($A78,TRIM('Sales and count'!$A$4:$A$300&amp;""),TRIM('Sales and count'!$B$4:$B$300&amp;"")),""),IF(OR(_xlpm.c="",_xlpm.c="0",LEFT(_xlpm.c,1)="#"),"Not set",_xlpm.c)))</f>
        <v>KSA</v>
      </c>
    </row>
    <row r="79" spans="1:112" x14ac:dyDescent="0.25">
      <c r="A79" t="str">
        <f>IF('Staff Daily sales'!$B64="","",TRIM('Staff Daily sales'!$B64&amp;""))</f>
        <v>ALSHAWGIYAH</v>
      </c>
      <c r="B79" t="str">
        <f>IF('Staff Daily sales'!$D64="","",TRIM('Staff Daily sales'!$D64&amp;""))</f>
        <v>4563-AAlsaadi</v>
      </c>
      <c r="C79" t="str">
        <f>IFERROR(TRIM('Staff Daily sales'!$E64&amp;""),"")</f>
        <v>Makkah</v>
      </c>
      <c r="D79" t="str">
        <f>IFERROR(IF(TRIM('Staff Daily sales'!$F64&amp;"")="","Unassigned",TRIM('Staff Daily sales'!$F64&amp;"")),"Unassigned")</f>
        <v>Maram Zamzami</v>
      </c>
      <c r="E79">
        <f t="shared" si="26"/>
        <v>1</v>
      </c>
      <c r="F79">
        <f>IF($E79=0,0,SUMPRODUCT($AI$5:$DF$5,'Staff Daily sales'!$G64:$CD64))</f>
        <v>0</v>
      </c>
      <c r="G79">
        <f>IF($E79=0,0,SUMPRODUCT($AI$6:$DF$6,'Staff Daily sales'!$G64:$CD64))</f>
        <v>0</v>
      </c>
      <c r="H79">
        <f t="shared" si="27"/>
        <v>7037.78</v>
      </c>
      <c r="I79">
        <f t="shared" si="28"/>
        <v>36</v>
      </c>
      <c r="J79">
        <f t="shared" si="29"/>
        <v>89423.479999999967</v>
      </c>
      <c r="K79">
        <f t="shared" si="30"/>
        <v>413</v>
      </c>
      <c r="L79">
        <f>--AND($E79=1,OR('Staff Dashboard'!$B$6="All",$DH79='Staff Dashboard'!$B$6),OR('Staff Dashboard'!$B$7="All",$D79='Staff Dashboard'!$B$7),OR('Staff Dashboard'!$B$8="All",$A79='Staff Dashboard'!$B$8))</f>
        <v>1</v>
      </c>
      <c r="M79">
        <f>IF($E79=0,0,SUMPRODUCT($AI$7:$DF$7,'Staff Daily sales'!$G64:$CD64))</f>
        <v>4175.03</v>
      </c>
      <c r="N79">
        <f>IF($E79=0,0,SUMPRODUCT($AI$8:$DF$8,'Staff Daily sales'!$G64:$CD64))</f>
        <v>30</v>
      </c>
      <c r="O79">
        <f>IF($E79=0,0,SUMPRODUCT($AI$9:$DF$9,'Staff Daily sales'!$G64:$CD64))</f>
        <v>0</v>
      </c>
      <c r="P79">
        <f>IF($E79=0,0,SUMPRODUCT($AI$10:$DF$10,'Staff Daily sales'!$G64:$CD64))</f>
        <v>0</v>
      </c>
      <c r="Q79">
        <f>IF($E79=0,0,SUMPRODUCT($AI$11:$DF$11,'Staff Daily sales'!$G64:$CD64))</f>
        <v>0</v>
      </c>
      <c r="R79">
        <f>IF($E79=0,0,SUMPRODUCT($AI$12:$DF$12,'Staff Daily sales'!$G64:$CD64))</f>
        <v>0</v>
      </c>
      <c r="S79">
        <f>IF($E79=0,0,SUMPRODUCT($AI$13:$DF$13,'Staff Daily sales'!$G64:$CD64))</f>
        <v>0</v>
      </c>
      <c r="T79">
        <f>IF($E79=0,0,SUMPRODUCT($AI$14:$DF$14,'Staff Daily sales'!$G64:$CD64))</f>
        <v>0</v>
      </c>
      <c r="U79">
        <f>IF($E79=0,0,SUMPRODUCT($AI$15:$DF$15,'Staff Daily sales'!$G64:$CD64))</f>
        <v>0</v>
      </c>
      <c r="V79">
        <f>IF($E79=0,0,SUMPRODUCT($AI$16:$DF$16,'Staff Daily sales'!$G64:$CD64))</f>
        <v>0</v>
      </c>
      <c r="W79">
        <f t="shared" si="31"/>
        <v>28935.53</v>
      </c>
      <c r="X79">
        <f t="shared" si="32"/>
        <v>59731.88</v>
      </c>
      <c r="Y79">
        <f t="shared" si="33"/>
        <v>50311.839999999997</v>
      </c>
      <c r="Z79">
        <f t="shared" si="34"/>
        <v>39812.939999999995</v>
      </c>
      <c r="AA79">
        <f t="shared" si="35"/>
        <v>9199.09</v>
      </c>
      <c r="AB79">
        <f>--AND($E79=1,OR('Staff Weekly Trend'!$B$3="All",$DH79='Staff Weekly Trend'!$B$3),OR('Staff Weekly Trend'!$B$4="All",$D79='Staff Weekly Trend'!$B$4),OR('Staff Weekly Trend'!$B$5="All",$A79='Staff Weekly Trend'!$B$5))</f>
        <v>1</v>
      </c>
      <c r="AC79" t="str">
        <f t="shared" si="36"/>
        <v/>
      </c>
      <c r="AG79" t="str">
        <v>HAOTHASS</v>
      </c>
      <c r="AI79">
        <f t="shared" si="37"/>
        <v>191</v>
      </c>
      <c r="AJ79">
        <f t="shared" si="38"/>
        <v>385</v>
      </c>
      <c r="AK79">
        <f t="shared" si="39"/>
        <v>318</v>
      </c>
      <c r="AL79">
        <f t="shared" si="40"/>
        <v>228</v>
      </c>
      <c r="AM79">
        <f t="shared" si="41"/>
        <v>57</v>
      </c>
      <c r="AN79" s="132"/>
      <c r="DH79" t="str" cm="1">
        <f t="array" ref="DH79">IF($A79="","",_xlfn.LET(_xlpm.c,IFERROR(_xlfn.XLOOKUP($A79,TRIM('Sales and count'!$A$4:$A$300&amp;""),TRIM('Sales and count'!$B$4:$B$300&amp;"")),""),IF(OR(_xlpm.c="",_xlpm.c="0",LEFT(_xlpm.c,1)="#"),"Not set",_xlpm.c)))</f>
        <v>KSA</v>
      </c>
    </row>
    <row r="80" spans="1:112" x14ac:dyDescent="0.25">
      <c r="A80" t="str">
        <f>IF('Staff Daily sales'!$B65="","",TRIM('Staff Daily sales'!$B65&amp;""))</f>
        <v>ALSHAWGIYAH</v>
      </c>
      <c r="B80" t="str">
        <f>IF('Staff Daily sales'!$D65="","",TRIM('Staff Daily sales'!$D65&amp;""))</f>
        <v>5425-AAlsubhi</v>
      </c>
      <c r="C80" t="str">
        <f>IFERROR(TRIM('Staff Daily sales'!$E65&amp;""),"")</f>
        <v>Makkah</v>
      </c>
      <c r="D80" t="str">
        <f>IFERROR(IF(TRIM('Staff Daily sales'!$F65&amp;"")="","Unassigned",TRIM('Staff Daily sales'!$F65&amp;"")),"Unassigned")</f>
        <v>Maram Zamzami</v>
      </c>
      <c r="E80">
        <f t="shared" si="26"/>
        <v>1</v>
      </c>
      <c r="F80">
        <f>IF($E80=0,0,SUMPRODUCT($AI$5:$DF$5,'Staff Daily sales'!$G65:$CD65))</f>
        <v>0</v>
      </c>
      <c r="G80">
        <f>IF($E80=0,0,SUMPRODUCT($AI$6:$DF$6,'Staff Daily sales'!$G65:$CD65))</f>
        <v>0</v>
      </c>
      <c r="H80">
        <f t="shared" si="27"/>
        <v>7037.78</v>
      </c>
      <c r="I80">
        <f t="shared" si="28"/>
        <v>36</v>
      </c>
      <c r="J80">
        <f t="shared" si="29"/>
        <v>89423.479999999967</v>
      </c>
      <c r="K80">
        <f t="shared" si="30"/>
        <v>413</v>
      </c>
      <c r="L80">
        <f>--AND($E80=1,OR('Staff Dashboard'!$B$6="All",$DH80='Staff Dashboard'!$B$6),OR('Staff Dashboard'!$B$7="All",$D80='Staff Dashboard'!$B$7),OR('Staff Dashboard'!$B$8="All",$A80='Staff Dashboard'!$B$8))</f>
        <v>1</v>
      </c>
      <c r="M80">
        <f>IF($E80=0,0,SUMPRODUCT($AI$7:$DF$7,'Staff Daily sales'!$G65:$CD65))</f>
        <v>9580.14</v>
      </c>
      <c r="N80">
        <f>IF($E80=0,0,SUMPRODUCT($AI$8:$DF$8,'Staff Daily sales'!$G65:$CD65))</f>
        <v>67</v>
      </c>
      <c r="O80">
        <f>IF($E80=0,0,SUMPRODUCT($AI$9:$DF$9,'Staff Daily sales'!$G65:$CD65))</f>
        <v>23545.360000000001</v>
      </c>
      <c r="P80">
        <f>IF($E80=0,0,SUMPRODUCT($AI$10:$DF$10,'Staff Daily sales'!$G65:$CD65))</f>
        <v>159</v>
      </c>
      <c r="Q80">
        <f>IF($E80=0,0,SUMPRODUCT($AI$11:$DF$11,'Staff Daily sales'!$G65:$CD65))</f>
        <v>15455.279999999999</v>
      </c>
      <c r="R80">
        <f>IF($E80=0,0,SUMPRODUCT($AI$12:$DF$12,'Staff Daily sales'!$G65:$CD65))</f>
        <v>99</v>
      </c>
      <c r="S80">
        <f>IF($E80=0,0,SUMPRODUCT($AI$13:$DF$13,'Staff Daily sales'!$G65:$CD65))</f>
        <v>11777.13</v>
      </c>
      <c r="T80">
        <f>IF($E80=0,0,SUMPRODUCT($AI$14:$DF$14,'Staff Daily sales'!$G65:$CD65))</f>
        <v>64</v>
      </c>
      <c r="U80">
        <f>IF($E80=0,0,SUMPRODUCT($AI$15:$DF$15,'Staff Daily sales'!$G65:$CD65))</f>
        <v>3462.04</v>
      </c>
      <c r="V80">
        <f>IF($E80=0,0,SUMPRODUCT($AI$16:$DF$16,'Staff Daily sales'!$G65:$CD65))</f>
        <v>24</v>
      </c>
      <c r="W80">
        <f t="shared" si="31"/>
        <v>28935.53</v>
      </c>
      <c r="X80">
        <f t="shared" si="32"/>
        <v>59731.88</v>
      </c>
      <c r="Y80">
        <f t="shared" si="33"/>
        <v>50311.839999999997</v>
      </c>
      <c r="Z80">
        <f t="shared" si="34"/>
        <v>39812.939999999995</v>
      </c>
      <c r="AA80">
        <f t="shared" si="35"/>
        <v>9199.09</v>
      </c>
      <c r="AB80">
        <f>--AND($E80=1,OR('Staff Weekly Trend'!$B$3="All",$DH80='Staff Weekly Trend'!$B$3),OR('Staff Weekly Trend'!$B$4="All",$D80='Staff Weekly Trend'!$B$4),OR('Staff Weekly Trend'!$B$5="All",$A80='Staff Weekly Trend'!$B$5))</f>
        <v>1</v>
      </c>
      <c r="AC80" t="str">
        <f t="shared" si="36"/>
        <v/>
      </c>
      <c r="AG80" t="str">
        <v>HAOTHDMM</v>
      </c>
      <c r="AI80">
        <f t="shared" si="37"/>
        <v>191</v>
      </c>
      <c r="AJ80">
        <f t="shared" si="38"/>
        <v>385</v>
      </c>
      <c r="AK80">
        <f t="shared" si="39"/>
        <v>318</v>
      </c>
      <c r="AL80">
        <f t="shared" si="40"/>
        <v>228</v>
      </c>
      <c r="AM80">
        <f t="shared" si="41"/>
        <v>57</v>
      </c>
      <c r="AN80" s="132"/>
      <c r="DH80" t="str" cm="1">
        <f t="array" ref="DH80">IF($A80="","",_xlfn.LET(_xlpm.c,IFERROR(_xlfn.XLOOKUP($A80,TRIM('Sales and count'!$A$4:$A$300&amp;""),TRIM('Sales and count'!$B$4:$B$300&amp;"")),""),IF(OR(_xlpm.c="",_xlpm.c="0",LEFT(_xlpm.c,1)="#"),"Not set",_xlpm.c)))</f>
        <v>KSA</v>
      </c>
    </row>
    <row r="81" spans="1:112" x14ac:dyDescent="0.25">
      <c r="A81" t="str">
        <f>IF('Staff Daily sales'!$B66="","",TRIM('Staff Daily sales'!$B66&amp;""))</f>
        <v>ALBUSTAN</v>
      </c>
      <c r="B81" t="str">
        <f>IF('Staff Daily sales'!$D66="","",TRIM('Staff Daily sales'!$D66&amp;""))</f>
        <v>4107-MAlsailek</v>
      </c>
      <c r="C81" t="str">
        <f>IFERROR(TRIM('Staff Daily sales'!$E66&amp;""),"")</f>
        <v>Al Hasa</v>
      </c>
      <c r="D81" t="str">
        <f>IFERROR(IF(TRIM('Staff Daily sales'!$F66&amp;"")="","Unassigned",TRIM('Staff Daily sales'!$F66&amp;"")),"Unassigned")</f>
        <v>Hamzah Al Makhadam</v>
      </c>
      <c r="E81">
        <f t="shared" si="26"/>
        <v>1</v>
      </c>
      <c r="F81">
        <f>IF($E81=0,0,SUMPRODUCT($AI$5:$DF$5,'Staff Daily sales'!$G66:$CD66))</f>
        <v>0</v>
      </c>
      <c r="G81">
        <f>IF($E81=0,0,SUMPRODUCT($AI$6:$DF$6,'Staff Daily sales'!$G66:$CD66))</f>
        <v>0</v>
      </c>
      <c r="H81">
        <f t="shared" si="27"/>
        <v>6553.6699999999992</v>
      </c>
      <c r="I81">
        <f t="shared" si="28"/>
        <v>40</v>
      </c>
      <c r="J81">
        <f t="shared" si="29"/>
        <v>128104.23999999996</v>
      </c>
      <c r="K81">
        <f t="shared" si="30"/>
        <v>596</v>
      </c>
      <c r="L81">
        <f>--AND($E81=1,OR('Staff Dashboard'!$B$6="All",$DH81='Staff Dashboard'!$B$6),OR('Staff Dashboard'!$B$7="All",$D81='Staff Dashboard'!$B$7),OR('Staff Dashboard'!$B$8="All",$A81='Staff Dashboard'!$B$8))</f>
        <v>0</v>
      </c>
      <c r="M81">
        <f>IF($E81=0,0,SUMPRODUCT($AI$7:$DF$7,'Staff Daily sales'!$G66:$CD66))</f>
        <v>5112.1499999999996</v>
      </c>
      <c r="N81">
        <f>IF($E81=0,0,SUMPRODUCT($AI$8:$DF$8,'Staff Daily sales'!$G66:$CD66))</f>
        <v>24</v>
      </c>
      <c r="O81">
        <f>IF($E81=0,0,SUMPRODUCT($AI$9:$DF$9,'Staff Daily sales'!$G66:$CD66))</f>
        <v>4986.08</v>
      </c>
      <c r="P81">
        <f>IF($E81=0,0,SUMPRODUCT($AI$10:$DF$10,'Staff Daily sales'!$G66:$CD66))</f>
        <v>25</v>
      </c>
      <c r="Q81">
        <f>IF($E81=0,0,SUMPRODUCT($AI$11:$DF$11,'Staff Daily sales'!$G66:$CD66))</f>
        <v>2016.07</v>
      </c>
      <c r="R81">
        <f>IF($E81=0,0,SUMPRODUCT($AI$12:$DF$12,'Staff Daily sales'!$G66:$CD66))</f>
        <v>17</v>
      </c>
      <c r="S81">
        <f>IF($E81=0,0,SUMPRODUCT($AI$13:$DF$13,'Staff Daily sales'!$G66:$CD66))</f>
        <v>0</v>
      </c>
      <c r="T81">
        <f>IF($E81=0,0,SUMPRODUCT($AI$14:$DF$14,'Staff Daily sales'!$G66:$CD66))</f>
        <v>0</v>
      </c>
      <c r="U81">
        <f>IF($E81=0,0,SUMPRODUCT($AI$15:$DF$15,'Staff Daily sales'!$G66:$CD66))</f>
        <v>0</v>
      </c>
      <c r="V81">
        <f>IF($E81=0,0,SUMPRODUCT($AI$16:$DF$16,'Staff Daily sales'!$G66:$CD66))</f>
        <v>0</v>
      </c>
      <c r="W81">
        <f t="shared" si="31"/>
        <v>43596.02</v>
      </c>
      <c r="X81">
        <f t="shared" si="32"/>
        <v>68349.11</v>
      </c>
      <c r="Y81">
        <f t="shared" si="33"/>
        <v>55182.79</v>
      </c>
      <c r="Z81">
        <f t="shared" si="34"/>
        <v>34775.4</v>
      </c>
      <c r="AA81">
        <f t="shared" si="35"/>
        <v>13525.18</v>
      </c>
      <c r="AB81">
        <f>--AND($E81=1,OR('Staff Weekly Trend'!$B$3="All",$DH81='Staff Weekly Trend'!$B$3),OR('Staff Weekly Trend'!$B$4="All",$D81='Staff Weekly Trend'!$B$4),OR('Staff Weekly Trend'!$B$5="All",$A81='Staff Weekly Trend'!$B$5))</f>
        <v>1</v>
      </c>
      <c r="AC81" t="str">
        <f t="shared" si="36"/>
        <v/>
      </c>
      <c r="AG81" t="str">
        <v>HAOTHHAFR</v>
      </c>
      <c r="AI81">
        <f t="shared" si="37"/>
        <v>201</v>
      </c>
      <c r="AJ81">
        <f t="shared" si="38"/>
        <v>364</v>
      </c>
      <c r="AK81">
        <f t="shared" si="39"/>
        <v>295</v>
      </c>
      <c r="AL81">
        <f t="shared" si="40"/>
        <v>206</v>
      </c>
      <c r="AM81">
        <f t="shared" si="41"/>
        <v>62</v>
      </c>
      <c r="DH81" t="str" cm="1">
        <f t="array" ref="DH81">IF($A81="","",_xlfn.LET(_xlpm.c,IFERROR(_xlfn.XLOOKUP($A81,TRIM('Sales and count'!$A$4:$A$300&amp;""),TRIM('Sales and count'!$B$4:$B$300&amp;"")),""),IF(OR(_xlpm.c="",_xlpm.c="0",LEFT(_xlpm.c,1)="#"),"Not set",_xlpm.c)))</f>
        <v>KSA</v>
      </c>
    </row>
    <row r="82" spans="1:112" x14ac:dyDescent="0.25">
      <c r="A82" t="str">
        <f>IF('Staff Daily sales'!$B67="","",TRIM('Staff Daily sales'!$B67&amp;""))</f>
        <v>ALBUSTAN</v>
      </c>
      <c r="B82" t="str">
        <f>IF('Staff Daily sales'!$D67="","",TRIM('Staff Daily sales'!$D67&amp;""))</f>
        <v>4113-AAlatafi</v>
      </c>
      <c r="C82" t="str">
        <f>IFERROR(TRIM('Staff Daily sales'!$E67&amp;""),"")</f>
        <v>Al Hasa</v>
      </c>
      <c r="D82" t="str">
        <f>IFERROR(IF(TRIM('Staff Daily sales'!$F67&amp;"")="","Unassigned",TRIM('Staff Daily sales'!$F67&amp;"")),"Unassigned")</f>
        <v>Hamzah Al Makhadam</v>
      </c>
      <c r="E82">
        <f t="shared" si="26"/>
        <v>1</v>
      </c>
      <c r="F82">
        <f>IF($E82=0,0,SUMPRODUCT($AI$5:$DF$5,'Staff Daily sales'!$G67:$CD67))</f>
        <v>1492.93</v>
      </c>
      <c r="G82">
        <f>IF($E82=0,0,SUMPRODUCT($AI$6:$DF$6,'Staff Daily sales'!$G67:$CD67))</f>
        <v>9</v>
      </c>
      <c r="H82">
        <f t="shared" si="27"/>
        <v>6553.6699999999992</v>
      </c>
      <c r="I82">
        <f t="shared" si="28"/>
        <v>40</v>
      </c>
      <c r="J82">
        <f t="shared" si="29"/>
        <v>128104.23999999996</v>
      </c>
      <c r="K82">
        <f t="shared" si="30"/>
        <v>596</v>
      </c>
      <c r="L82">
        <f>--AND($E82=1,OR('Staff Dashboard'!$B$6="All",$DH82='Staff Dashboard'!$B$6),OR('Staff Dashboard'!$B$7="All",$D82='Staff Dashboard'!$B$7),OR('Staff Dashboard'!$B$8="All",$A82='Staff Dashboard'!$B$8))</f>
        <v>0</v>
      </c>
      <c r="M82">
        <f>IF($E82=0,0,SUMPRODUCT($AI$7:$DF$7,'Staff Daily sales'!$G67:$CD67))</f>
        <v>0</v>
      </c>
      <c r="N82">
        <f>IF($E82=0,0,SUMPRODUCT($AI$8:$DF$8,'Staff Daily sales'!$G67:$CD67))</f>
        <v>0</v>
      </c>
      <c r="O82">
        <f>IF($E82=0,0,SUMPRODUCT($AI$9:$DF$9,'Staff Daily sales'!$G67:$CD67))</f>
        <v>3868.08</v>
      </c>
      <c r="P82">
        <f>IF($E82=0,0,SUMPRODUCT($AI$10:$DF$10,'Staff Daily sales'!$G67:$CD67))</f>
        <v>24</v>
      </c>
      <c r="Q82">
        <f>IF($E82=0,0,SUMPRODUCT($AI$11:$DF$11,'Staff Daily sales'!$G67:$CD67))</f>
        <v>5811.1</v>
      </c>
      <c r="R82">
        <f>IF($E82=0,0,SUMPRODUCT($AI$12:$DF$12,'Staff Daily sales'!$G67:$CD67))</f>
        <v>35</v>
      </c>
      <c r="S82">
        <f>IF($E82=0,0,SUMPRODUCT($AI$13:$DF$13,'Staff Daily sales'!$G67:$CD67))</f>
        <v>5693.89</v>
      </c>
      <c r="T82">
        <f>IF($E82=0,0,SUMPRODUCT($AI$14:$DF$14,'Staff Daily sales'!$G67:$CD67))</f>
        <v>34</v>
      </c>
      <c r="U82">
        <f>IF($E82=0,0,SUMPRODUCT($AI$15:$DF$15,'Staff Daily sales'!$G67:$CD67))</f>
        <v>1955.94</v>
      </c>
      <c r="V82">
        <f>IF($E82=0,0,SUMPRODUCT($AI$16:$DF$16,'Staff Daily sales'!$G67:$CD67))</f>
        <v>12</v>
      </c>
      <c r="W82">
        <f t="shared" si="31"/>
        <v>43596.02</v>
      </c>
      <c r="X82">
        <f t="shared" si="32"/>
        <v>68349.11</v>
      </c>
      <c r="Y82">
        <f t="shared" si="33"/>
        <v>55182.79</v>
      </c>
      <c r="Z82">
        <f t="shared" si="34"/>
        <v>34775.4</v>
      </c>
      <c r="AA82">
        <f t="shared" si="35"/>
        <v>13525.18</v>
      </c>
      <c r="AB82">
        <f>--AND($E82=1,OR('Staff Weekly Trend'!$B$3="All",$DH82='Staff Weekly Trend'!$B$3),OR('Staff Weekly Trend'!$B$4="All",$D82='Staff Weekly Trend'!$B$4),OR('Staff Weekly Trend'!$B$5="All",$A82='Staff Weekly Trend'!$B$5))</f>
        <v>1</v>
      </c>
      <c r="AC82">
        <f t="shared" si="36"/>
        <v>2</v>
      </c>
      <c r="AG82" t="str">
        <v>HAOTHHAIL</v>
      </c>
      <c r="AI82">
        <f t="shared" si="37"/>
        <v>201</v>
      </c>
      <c r="AJ82">
        <f t="shared" si="38"/>
        <v>364</v>
      </c>
      <c r="AK82">
        <f t="shared" si="39"/>
        <v>295</v>
      </c>
      <c r="AL82">
        <f t="shared" si="40"/>
        <v>206</v>
      </c>
      <c r="AM82">
        <f t="shared" si="41"/>
        <v>62</v>
      </c>
      <c r="DH82" t="str" cm="1">
        <f t="array" ref="DH82">IF($A82="","",_xlfn.LET(_xlpm.c,IFERROR(_xlfn.XLOOKUP($A82,TRIM('Sales and count'!$A$4:$A$300&amp;""),TRIM('Sales and count'!$B$4:$B$300&amp;"")),""),IF(OR(_xlpm.c="",_xlpm.c="0",LEFT(_xlpm.c,1)="#"),"Not set",_xlpm.c)))</f>
        <v>KSA</v>
      </c>
    </row>
    <row r="83" spans="1:112" x14ac:dyDescent="0.25">
      <c r="A83" t="str">
        <f>IF('Staff Daily sales'!$B68="","",TRIM('Staff Daily sales'!$B68&amp;""))</f>
        <v>ALBUSTAN</v>
      </c>
      <c r="B83" t="str">
        <f>IF('Staff Daily sales'!$D68="","",TRIM('Staff Daily sales'!$D68&amp;""))</f>
        <v>4116-HMubarki</v>
      </c>
      <c r="C83" t="str">
        <f>IFERROR(TRIM('Staff Daily sales'!$E68&amp;""),"")</f>
        <v>Al Hasa</v>
      </c>
      <c r="D83" t="str">
        <f>IFERROR(IF(TRIM('Staff Daily sales'!$F68&amp;"")="","Unassigned",TRIM('Staff Daily sales'!$F68&amp;"")),"Unassigned")</f>
        <v>Hamzah Al Makhadam</v>
      </c>
      <c r="E83">
        <f t="shared" si="26"/>
        <v>1</v>
      </c>
      <c r="F83">
        <f>IF($E83=0,0,SUMPRODUCT($AI$5:$DF$5,'Staff Daily sales'!$G68:$CD68))</f>
        <v>929.99</v>
      </c>
      <c r="G83">
        <f>IF($E83=0,0,SUMPRODUCT($AI$6:$DF$6,'Staff Daily sales'!$G68:$CD68))</f>
        <v>6</v>
      </c>
      <c r="H83">
        <f t="shared" si="27"/>
        <v>6553.6699999999992</v>
      </c>
      <c r="I83">
        <f t="shared" si="28"/>
        <v>40</v>
      </c>
      <c r="J83">
        <f t="shared" si="29"/>
        <v>128104.23999999996</v>
      </c>
      <c r="K83">
        <f t="shared" si="30"/>
        <v>596</v>
      </c>
      <c r="L83">
        <f>--AND($E83=1,OR('Staff Dashboard'!$B$6="All",$DH83='Staff Dashboard'!$B$6),OR('Staff Dashboard'!$B$7="All",$D83='Staff Dashboard'!$B$7),OR('Staff Dashboard'!$B$8="All",$A83='Staff Dashboard'!$B$8))</f>
        <v>0</v>
      </c>
      <c r="M83">
        <f>IF($E83=0,0,SUMPRODUCT($AI$7:$DF$7,'Staff Daily sales'!$G68:$CD68))</f>
        <v>11781.369999999999</v>
      </c>
      <c r="N83">
        <f>IF($E83=0,0,SUMPRODUCT($AI$8:$DF$8,'Staff Daily sales'!$G68:$CD68))</f>
        <v>30</v>
      </c>
      <c r="O83">
        <f>IF($E83=0,0,SUMPRODUCT($AI$9:$DF$9,'Staff Daily sales'!$G68:$CD68))</f>
        <v>11076.17</v>
      </c>
      <c r="P83">
        <f>IF($E83=0,0,SUMPRODUCT($AI$10:$DF$10,'Staff Daily sales'!$G68:$CD68))</f>
        <v>49</v>
      </c>
      <c r="Q83">
        <f>IF($E83=0,0,SUMPRODUCT($AI$11:$DF$11,'Staff Daily sales'!$G68:$CD68))</f>
        <v>13948.150000000001</v>
      </c>
      <c r="R83">
        <f>IF($E83=0,0,SUMPRODUCT($AI$12:$DF$12,'Staff Daily sales'!$G68:$CD68))</f>
        <v>44</v>
      </c>
      <c r="S83">
        <f>IF($E83=0,0,SUMPRODUCT($AI$13:$DF$13,'Staff Daily sales'!$G68:$CD68))</f>
        <v>4719.91</v>
      </c>
      <c r="T83">
        <f>IF($E83=0,0,SUMPRODUCT($AI$14:$DF$14,'Staff Daily sales'!$G68:$CD68))</f>
        <v>23</v>
      </c>
      <c r="U83">
        <f>IF($E83=0,0,SUMPRODUCT($AI$15:$DF$15,'Staff Daily sales'!$G68:$CD68))</f>
        <v>1004.08</v>
      </c>
      <c r="V83">
        <f>IF($E83=0,0,SUMPRODUCT($AI$16:$DF$16,'Staff Daily sales'!$G68:$CD68))</f>
        <v>4</v>
      </c>
      <c r="W83">
        <f t="shared" si="31"/>
        <v>43596.02</v>
      </c>
      <c r="X83">
        <f t="shared" si="32"/>
        <v>68349.11</v>
      </c>
      <c r="Y83">
        <f t="shared" si="33"/>
        <v>55182.79</v>
      </c>
      <c r="Z83">
        <f t="shared" si="34"/>
        <v>34775.4</v>
      </c>
      <c r="AA83">
        <f t="shared" si="35"/>
        <v>13525.18</v>
      </c>
      <c r="AB83">
        <f>--AND($E83=1,OR('Staff Weekly Trend'!$B$3="All",$DH83='Staff Weekly Trend'!$B$3),OR('Staff Weekly Trend'!$B$4="All",$D83='Staff Weekly Trend'!$B$4),OR('Staff Weekly Trend'!$B$5="All",$A83='Staff Weekly Trend'!$B$5))</f>
        <v>1</v>
      </c>
      <c r="AC83">
        <f t="shared" si="36"/>
        <v>5</v>
      </c>
      <c r="AG83" t="str">
        <v>HAOTHMTH</v>
      </c>
      <c r="AI83">
        <f t="shared" si="37"/>
        <v>201</v>
      </c>
      <c r="AJ83">
        <f t="shared" si="38"/>
        <v>364</v>
      </c>
      <c r="AK83">
        <f t="shared" si="39"/>
        <v>295</v>
      </c>
      <c r="AL83">
        <f t="shared" si="40"/>
        <v>206</v>
      </c>
      <c r="AM83">
        <f t="shared" si="41"/>
        <v>62</v>
      </c>
      <c r="DH83" t="str" cm="1">
        <f t="array" ref="DH83">IF($A83="","",_xlfn.LET(_xlpm.c,IFERROR(_xlfn.XLOOKUP($A83,TRIM('Sales and count'!$A$4:$A$300&amp;""),TRIM('Sales and count'!$B$4:$B$300&amp;"")),""),IF(OR(_xlpm.c="",_xlpm.c="0",LEFT(_xlpm.c,1)="#"),"Not set",_xlpm.c)))</f>
        <v>KSA</v>
      </c>
    </row>
    <row r="84" spans="1:112" x14ac:dyDescent="0.25">
      <c r="A84" t="str">
        <f>IF('Staff Daily sales'!$B69="","",TRIM('Staff Daily sales'!$B69&amp;""))</f>
        <v>ALBUSTAN</v>
      </c>
      <c r="B84" t="str">
        <f>IF('Staff Daily sales'!$D69="","",TRIM('Staff Daily sales'!$D69&amp;""))</f>
        <v>4120-RAlljizan</v>
      </c>
      <c r="C84" t="str">
        <f>IFERROR(TRIM('Staff Daily sales'!$E69&amp;""),"")</f>
        <v>Al Hasa</v>
      </c>
      <c r="D84" t="str">
        <f>IFERROR(IF(TRIM('Staff Daily sales'!$F69&amp;"")="","Unassigned",TRIM('Staff Daily sales'!$F69&amp;"")),"Unassigned")</f>
        <v>Hamzah Al Makhadam</v>
      </c>
      <c r="E84">
        <f t="shared" ref="E84:E147" si="42">--AND($A84&lt;&gt;"",$B84&lt;&gt;"")</f>
        <v>1</v>
      </c>
      <c r="F84">
        <f>IF($E84=0,0,SUMPRODUCT($AI$5:$DF$5,'Staff Daily sales'!$G69:$CD69))</f>
        <v>1533.92</v>
      </c>
      <c r="G84">
        <f>IF($E84=0,0,SUMPRODUCT($AI$6:$DF$6,'Staff Daily sales'!$G69:$CD69))</f>
        <v>11</v>
      </c>
      <c r="H84">
        <f t="shared" ref="H84:H147" si="43">IF($E84=0,0,SUMIFS($F$20:$F$1515,$A$20:$A$1515,$A84))</f>
        <v>6553.6699999999992</v>
      </c>
      <c r="I84">
        <f t="shared" ref="I84:I147" si="44">IF($E84=0,0,SUMIFS($G$20:$G$1515,$A$20:$A$1515,$A84))</f>
        <v>40</v>
      </c>
      <c r="J84">
        <f t="shared" ref="J84:J147" si="45">IF($E84=0,0,SUMIFS($F$20:$F$1515,$D$20:$D$1515,$D84))</f>
        <v>128104.23999999996</v>
      </c>
      <c r="K84">
        <f t="shared" ref="K84:K147" si="46">IF($E84=0,0,SUMIFS($G$20:$G$1515,$D$20:$D$1515,$D84))</f>
        <v>596</v>
      </c>
      <c r="L84">
        <f>--AND($E84=1,OR('Staff Dashboard'!$B$6="All",$DH84='Staff Dashboard'!$B$6),OR('Staff Dashboard'!$B$7="All",$D84='Staff Dashboard'!$B$7),OR('Staff Dashboard'!$B$8="All",$A84='Staff Dashboard'!$B$8))</f>
        <v>0</v>
      </c>
      <c r="M84">
        <f>IF($E84=0,0,SUMPRODUCT($AI$7:$DF$7,'Staff Daily sales'!$G69:$CD69))</f>
        <v>6347.16</v>
      </c>
      <c r="N84">
        <f>IF($E84=0,0,SUMPRODUCT($AI$8:$DF$8,'Staff Daily sales'!$G69:$CD69))</f>
        <v>41</v>
      </c>
      <c r="O84">
        <f>IF($E84=0,0,SUMPRODUCT($AI$9:$DF$9,'Staff Daily sales'!$G69:$CD69))</f>
        <v>9816.2000000000007</v>
      </c>
      <c r="P84">
        <f>IF($E84=0,0,SUMPRODUCT($AI$10:$DF$10,'Staff Daily sales'!$G69:$CD69))</f>
        <v>61</v>
      </c>
      <c r="Q84">
        <f>IF($E84=0,0,SUMPRODUCT($AI$11:$DF$11,'Staff Daily sales'!$G69:$CD69))</f>
        <v>5538.04</v>
      </c>
      <c r="R84">
        <f>IF($E84=0,0,SUMPRODUCT($AI$12:$DF$12,'Staff Daily sales'!$G69:$CD69))</f>
        <v>35</v>
      </c>
      <c r="S84">
        <f>IF($E84=0,0,SUMPRODUCT($AI$13:$DF$13,'Staff Daily sales'!$G69:$CD69))</f>
        <v>4182.8500000000004</v>
      </c>
      <c r="T84">
        <f>IF($E84=0,0,SUMPRODUCT($AI$14:$DF$14,'Staff Daily sales'!$G69:$CD69))</f>
        <v>29</v>
      </c>
      <c r="U84">
        <f>IF($E84=0,0,SUMPRODUCT($AI$15:$DF$15,'Staff Daily sales'!$G69:$CD69))</f>
        <v>1739.08</v>
      </c>
      <c r="V84">
        <f>IF($E84=0,0,SUMPRODUCT($AI$16:$DF$16,'Staff Daily sales'!$G69:$CD69))</f>
        <v>7</v>
      </c>
      <c r="W84">
        <f t="shared" ref="W84:W147" si="47">IF($E84=0,0,SUMIFS(M$20:M$1515,$A$20:$A$1515,$A84))</f>
        <v>43596.02</v>
      </c>
      <c r="X84">
        <f t="shared" ref="X84:X147" si="48">IF($E84=0,0,SUMIFS(O$20:O$1515,$A$20:$A$1515,$A84))</f>
        <v>68349.11</v>
      </c>
      <c r="Y84">
        <f t="shared" ref="Y84:Y147" si="49">IF($E84=0,0,SUMIFS(Q$20:Q$1515,$A$20:$A$1515,$A84))</f>
        <v>55182.79</v>
      </c>
      <c r="Z84">
        <f t="shared" ref="Z84:Z147" si="50">IF($E84=0,0,SUMIFS(S$20:S$1515,$A$20:$A$1515,$A84))</f>
        <v>34775.4</v>
      </c>
      <c r="AA84">
        <f t="shared" ref="AA84:AA147" si="51">IF($E84=0,0,SUMIFS(U$20:U$1515,$A$20:$A$1515,$A84))</f>
        <v>13525.18</v>
      </c>
      <c r="AB84">
        <f>--AND($E84=1,OR('Staff Weekly Trend'!$B$3="All",$DH84='Staff Weekly Trend'!$B$3),OR('Staff Weekly Trend'!$B$4="All",$D84='Staff Weekly Trend'!$B$4),OR('Staff Weekly Trend'!$B$5="All",$A84='Staff Weekly Trend'!$B$5))</f>
        <v>1</v>
      </c>
      <c r="AC84">
        <f t="shared" ref="AC84:AC147" si="52">IF(OR($E84=0,AND($F84=0,$G84=0)),"",COUNTIFS($A$20:$A$1515,$A84,$E$20:$E$1515,1,$F$20:$F$1515,"&gt;"&amp;$F84)+1)</f>
        <v>1</v>
      </c>
      <c r="AG84" t="str">
        <v>HAOTHONZAH</v>
      </c>
      <c r="AI84">
        <f t="shared" ref="AI84:AI147" si="53">IF($E84=0,0,SUMIFS(N$20:N$1515,$A$20:$A$1515,$A84))</f>
        <v>201</v>
      </c>
      <c r="AJ84">
        <f t="shared" ref="AJ84:AJ147" si="54">IF($E84=0,0,SUMIFS(P$20:P$1515,$A$20:$A$1515,$A84))</f>
        <v>364</v>
      </c>
      <c r="AK84">
        <f t="shared" ref="AK84:AK147" si="55">IF($E84=0,0,SUMIFS(R$20:R$1515,$A$20:$A$1515,$A84))</f>
        <v>295</v>
      </c>
      <c r="AL84">
        <f t="shared" ref="AL84:AL147" si="56">IF($E84=0,0,SUMIFS(T$20:T$1515,$A$20:$A$1515,$A84))</f>
        <v>206</v>
      </c>
      <c r="AM84">
        <f t="shared" ref="AM84:AM147" si="57">IF($E84=0,0,SUMIFS(V$20:V$1515,$A$20:$A$1515,$A84))</f>
        <v>62</v>
      </c>
      <c r="DH84" t="str" cm="1">
        <f t="array" ref="DH84">IF($A84="","",_xlfn.LET(_xlpm.c,IFERROR(_xlfn.XLOOKUP($A84,TRIM('Sales and count'!$A$4:$A$300&amp;""),TRIM('Sales and count'!$B$4:$B$300&amp;"")),""),IF(OR(_xlpm.c="",_xlpm.c="0",LEFT(_xlpm.c,1)="#"),"Not set",_xlpm.c)))</f>
        <v>KSA</v>
      </c>
    </row>
    <row r="85" spans="1:112" x14ac:dyDescent="0.25">
      <c r="A85" t="str">
        <f>IF('Staff Daily sales'!$B70="","",TRIM('Staff Daily sales'!$B70&amp;""))</f>
        <v>ALBUSTAN</v>
      </c>
      <c r="B85" t="str">
        <f>IF('Staff Daily sales'!$D70="","",TRIM('Staff Daily sales'!$D70&amp;""))</f>
        <v>4147-SAlshomri</v>
      </c>
      <c r="C85" t="str">
        <f>IFERROR(TRIM('Staff Daily sales'!$E70&amp;""),"")</f>
        <v>Al Hasa</v>
      </c>
      <c r="D85" t="str">
        <f>IFERROR(IF(TRIM('Staff Daily sales'!$F70&amp;"")="","Unassigned",TRIM('Staff Daily sales'!$F70&amp;"")),"Unassigned")</f>
        <v>Hamzah Al Makhadam</v>
      </c>
      <c r="E85">
        <f t="shared" si="42"/>
        <v>1</v>
      </c>
      <c r="F85">
        <f>IF($E85=0,0,SUMPRODUCT($AI$5:$DF$5,'Staff Daily sales'!$G70:$CD70))</f>
        <v>0</v>
      </c>
      <c r="G85">
        <f>IF($E85=0,0,SUMPRODUCT($AI$6:$DF$6,'Staff Daily sales'!$G70:$CD70))</f>
        <v>0</v>
      </c>
      <c r="H85">
        <f t="shared" si="43"/>
        <v>6553.6699999999992</v>
      </c>
      <c r="I85">
        <f t="shared" si="44"/>
        <v>40</v>
      </c>
      <c r="J85">
        <f t="shared" si="45"/>
        <v>128104.23999999996</v>
      </c>
      <c r="K85">
        <f t="shared" si="46"/>
        <v>596</v>
      </c>
      <c r="L85">
        <f>--AND($E85=1,OR('Staff Dashboard'!$B$6="All",$DH85='Staff Dashboard'!$B$6),OR('Staff Dashboard'!$B$7="All",$D85='Staff Dashboard'!$B$7),OR('Staff Dashboard'!$B$8="All",$A85='Staff Dashboard'!$B$8))</f>
        <v>0</v>
      </c>
      <c r="M85">
        <f>IF($E85=0,0,SUMPRODUCT($AI$7:$DF$7,'Staff Daily sales'!$G70:$CD70))</f>
        <v>0</v>
      </c>
      <c r="N85">
        <f>IF($E85=0,0,SUMPRODUCT($AI$8:$DF$8,'Staff Daily sales'!$G70:$CD70))</f>
        <v>0</v>
      </c>
      <c r="O85">
        <f>IF($E85=0,0,SUMPRODUCT($AI$9:$DF$9,'Staff Daily sales'!$G70:$CD70))</f>
        <v>5623.0999999999995</v>
      </c>
      <c r="P85">
        <f>IF($E85=0,0,SUMPRODUCT($AI$10:$DF$10,'Staff Daily sales'!$G70:$CD70))</f>
        <v>32</v>
      </c>
      <c r="Q85">
        <f>IF($E85=0,0,SUMPRODUCT($AI$11:$DF$11,'Staff Daily sales'!$G70:$CD70))</f>
        <v>9295.11</v>
      </c>
      <c r="R85">
        <f>IF($E85=0,0,SUMPRODUCT($AI$12:$DF$12,'Staff Daily sales'!$G70:$CD70))</f>
        <v>55</v>
      </c>
      <c r="S85">
        <f>IF($E85=0,0,SUMPRODUCT($AI$13:$DF$13,'Staff Daily sales'!$G70:$CD70))</f>
        <v>3349.04</v>
      </c>
      <c r="T85">
        <f>IF($E85=0,0,SUMPRODUCT($AI$14:$DF$14,'Staff Daily sales'!$G70:$CD70))</f>
        <v>18</v>
      </c>
      <c r="U85">
        <f>IF($E85=0,0,SUMPRODUCT($AI$15:$DF$15,'Staff Daily sales'!$G70:$CD70))</f>
        <v>5728.07</v>
      </c>
      <c r="V85">
        <f>IF($E85=0,0,SUMPRODUCT($AI$16:$DF$16,'Staff Daily sales'!$G70:$CD70))</f>
        <v>19</v>
      </c>
      <c r="W85">
        <f t="shared" si="47"/>
        <v>43596.02</v>
      </c>
      <c r="X85">
        <f t="shared" si="48"/>
        <v>68349.11</v>
      </c>
      <c r="Y85">
        <f t="shared" si="49"/>
        <v>55182.79</v>
      </c>
      <c r="Z85">
        <f t="shared" si="50"/>
        <v>34775.4</v>
      </c>
      <c r="AA85">
        <f t="shared" si="51"/>
        <v>13525.18</v>
      </c>
      <c r="AB85">
        <f>--AND($E85=1,OR('Staff Weekly Trend'!$B$3="All",$DH85='Staff Weekly Trend'!$B$3),OR('Staff Weekly Trend'!$B$4="All",$D85='Staff Weekly Trend'!$B$4),OR('Staff Weekly Trend'!$B$5="All",$A85='Staff Weekly Trend'!$B$5))</f>
        <v>1</v>
      </c>
      <c r="AC85" t="str">
        <f t="shared" si="52"/>
        <v/>
      </c>
      <c r="AG85" t="str">
        <v>HAOTRABWAH</v>
      </c>
      <c r="AI85">
        <f t="shared" si="53"/>
        <v>201</v>
      </c>
      <c r="AJ85">
        <f t="shared" si="54"/>
        <v>364</v>
      </c>
      <c r="AK85">
        <f t="shared" si="55"/>
        <v>295</v>
      </c>
      <c r="AL85">
        <f t="shared" si="56"/>
        <v>206</v>
      </c>
      <c r="AM85">
        <f t="shared" si="57"/>
        <v>62</v>
      </c>
      <c r="DH85" t="str" cm="1">
        <f t="array" ref="DH85">IF($A85="","",_xlfn.LET(_xlpm.c,IFERROR(_xlfn.XLOOKUP($A85,TRIM('Sales and count'!$A$4:$A$300&amp;""),TRIM('Sales and count'!$B$4:$B$300&amp;"")),""),IF(OR(_xlpm.c="",_xlpm.c="0",LEFT(_xlpm.c,1)="#"),"Not set",_xlpm.c)))</f>
        <v>KSA</v>
      </c>
    </row>
    <row r="86" spans="1:112" x14ac:dyDescent="0.25">
      <c r="A86" t="str">
        <f>IF('Staff Daily sales'!$B71="","",TRIM('Staff Daily sales'!$B71&amp;""))</f>
        <v>ALBUSTAN</v>
      </c>
      <c r="B86" t="str">
        <f>IF('Staff Daily sales'!$D71="","",TRIM('Staff Daily sales'!$D71&amp;""))</f>
        <v>4192-MAlawad</v>
      </c>
      <c r="C86" t="str">
        <f>IFERROR(TRIM('Staff Daily sales'!$E71&amp;""),"")</f>
        <v>Al Hasa</v>
      </c>
      <c r="D86" t="str">
        <f>IFERROR(IF(TRIM('Staff Daily sales'!$F71&amp;"")="","Unassigned",TRIM('Staff Daily sales'!$F71&amp;"")),"Unassigned")</f>
        <v>Hamzah Al Makhadam</v>
      </c>
      <c r="E86">
        <f t="shared" si="42"/>
        <v>1</v>
      </c>
      <c r="F86">
        <f>IF($E86=0,0,SUMPRODUCT($AI$5:$DF$5,'Staff Daily sales'!$G71:$CD71))</f>
        <v>1354.9</v>
      </c>
      <c r="G86">
        <f>IF($E86=0,0,SUMPRODUCT($AI$6:$DF$6,'Staff Daily sales'!$G71:$CD71))</f>
        <v>8</v>
      </c>
      <c r="H86">
        <f t="shared" si="43"/>
        <v>6553.6699999999992</v>
      </c>
      <c r="I86">
        <f t="shared" si="44"/>
        <v>40</v>
      </c>
      <c r="J86">
        <f t="shared" si="45"/>
        <v>128104.23999999996</v>
      </c>
      <c r="K86">
        <f t="shared" si="46"/>
        <v>596</v>
      </c>
      <c r="L86">
        <f>--AND($E86=1,OR('Staff Dashboard'!$B$6="All",$DH86='Staff Dashboard'!$B$6),OR('Staff Dashboard'!$B$7="All",$D86='Staff Dashboard'!$B$7),OR('Staff Dashboard'!$B$8="All",$A86='Staff Dashboard'!$B$8))</f>
        <v>0</v>
      </c>
      <c r="M86">
        <f>IF($E86=0,0,SUMPRODUCT($AI$7:$DF$7,'Staff Daily sales'!$G71:$CD71))</f>
        <v>4212.1000000000004</v>
      </c>
      <c r="N86">
        <f>IF($E86=0,0,SUMPRODUCT($AI$8:$DF$8,'Staff Daily sales'!$G71:$CD71))</f>
        <v>27</v>
      </c>
      <c r="O86">
        <f>IF($E86=0,0,SUMPRODUCT($AI$9:$DF$9,'Staff Daily sales'!$G71:$CD71))</f>
        <v>13576.189999999999</v>
      </c>
      <c r="P86">
        <f>IF($E86=0,0,SUMPRODUCT($AI$10:$DF$10,'Staff Daily sales'!$G71:$CD71))</f>
        <v>68</v>
      </c>
      <c r="Q86">
        <f>IF($E86=0,0,SUMPRODUCT($AI$11:$DF$11,'Staff Daily sales'!$G71:$CD71))</f>
        <v>0</v>
      </c>
      <c r="R86">
        <f>IF($E86=0,0,SUMPRODUCT($AI$12:$DF$12,'Staff Daily sales'!$G71:$CD71))</f>
        <v>0</v>
      </c>
      <c r="S86">
        <f>IF($E86=0,0,SUMPRODUCT($AI$13:$DF$13,'Staff Daily sales'!$G71:$CD71))</f>
        <v>7935.75</v>
      </c>
      <c r="T86">
        <f>IF($E86=0,0,SUMPRODUCT($AI$14:$DF$14,'Staff Daily sales'!$G71:$CD71))</f>
        <v>47</v>
      </c>
      <c r="U86">
        <f>IF($E86=0,0,SUMPRODUCT($AI$15:$DF$15,'Staff Daily sales'!$G71:$CD71))</f>
        <v>1804.97</v>
      </c>
      <c r="V86">
        <f>IF($E86=0,0,SUMPRODUCT($AI$16:$DF$16,'Staff Daily sales'!$G71:$CD71))</f>
        <v>13</v>
      </c>
      <c r="W86">
        <f t="shared" si="47"/>
        <v>43596.02</v>
      </c>
      <c r="X86">
        <f t="shared" si="48"/>
        <v>68349.11</v>
      </c>
      <c r="Y86">
        <f t="shared" si="49"/>
        <v>55182.79</v>
      </c>
      <c r="Z86">
        <f t="shared" si="50"/>
        <v>34775.4</v>
      </c>
      <c r="AA86">
        <f t="shared" si="51"/>
        <v>13525.18</v>
      </c>
      <c r="AB86">
        <f>--AND($E86=1,OR('Staff Weekly Trend'!$B$3="All",$DH86='Staff Weekly Trend'!$B$3),OR('Staff Weekly Trend'!$B$4="All",$D86='Staff Weekly Trend'!$B$4),OR('Staff Weekly Trend'!$B$5="All",$A86='Staff Weekly Trend'!$B$5))</f>
        <v>1</v>
      </c>
      <c r="AC86">
        <f t="shared" si="52"/>
        <v>3</v>
      </c>
      <c r="AG86" t="str">
        <v>HAPALMJED</v>
      </c>
      <c r="AI86">
        <f t="shared" si="53"/>
        <v>201</v>
      </c>
      <c r="AJ86">
        <f t="shared" si="54"/>
        <v>364</v>
      </c>
      <c r="AK86">
        <f t="shared" si="55"/>
        <v>295</v>
      </c>
      <c r="AL86">
        <f t="shared" si="56"/>
        <v>206</v>
      </c>
      <c r="AM86">
        <f t="shared" si="57"/>
        <v>62</v>
      </c>
      <c r="DH86" t="str" cm="1">
        <f t="array" ref="DH86">IF($A86="","",_xlfn.LET(_xlpm.c,IFERROR(_xlfn.XLOOKUP($A86,TRIM('Sales and count'!$A$4:$A$300&amp;""),TRIM('Sales and count'!$B$4:$B$300&amp;"")),""),IF(OR(_xlpm.c="",_xlpm.c="0",LEFT(_xlpm.c,1)="#"),"Not set",_xlpm.c)))</f>
        <v>KSA</v>
      </c>
    </row>
    <row r="87" spans="1:112" x14ac:dyDescent="0.25">
      <c r="A87" t="str">
        <f>IF('Staff Daily sales'!$B72="","",TRIM('Staff Daily sales'!$B72&amp;""))</f>
        <v>ALBUSTAN</v>
      </c>
      <c r="B87" t="str">
        <f>IF('Staff Daily sales'!$D72="","",TRIM('Staff Daily sales'!$D72&amp;""))</f>
        <v>4205-TShammari</v>
      </c>
      <c r="C87" t="str">
        <f>IFERROR(TRIM('Staff Daily sales'!$E72&amp;""),"")</f>
        <v>Al Hasa</v>
      </c>
      <c r="D87" t="str">
        <f>IFERROR(IF(TRIM('Staff Daily sales'!$F72&amp;"")="","Unassigned",TRIM('Staff Daily sales'!$F72&amp;"")),"Unassigned")</f>
        <v>Hamzah Al Makhadam</v>
      </c>
      <c r="E87">
        <f t="shared" si="42"/>
        <v>1</v>
      </c>
      <c r="F87">
        <f>IF($E87=0,0,SUMPRODUCT($AI$5:$DF$5,'Staff Daily sales'!$G72:$CD72))</f>
        <v>1030.95</v>
      </c>
      <c r="G87">
        <f>IF($E87=0,0,SUMPRODUCT($AI$6:$DF$6,'Staff Daily sales'!$G72:$CD72))</f>
        <v>5</v>
      </c>
      <c r="H87">
        <f t="shared" si="43"/>
        <v>6553.6699999999992</v>
      </c>
      <c r="I87">
        <f t="shared" si="44"/>
        <v>40</v>
      </c>
      <c r="J87">
        <f t="shared" si="45"/>
        <v>128104.23999999996</v>
      </c>
      <c r="K87">
        <f t="shared" si="46"/>
        <v>596</v>
      </c>
      <c r="L87">
        <f>--AND($E87=1,OR('Staff Dashboard'!$B$6="All",$DH87='Staff Dashboard'!$B$6),OR('Staff Dashboard'!$B$7="All",$D87='Staff Dashboard'!$B$7),OR('Staff Dashboard'!$B$8="All",$A87='Staff Dashboard'!$B$8))</f>
        <v>0</v>
      </c>
      <c r="M87">
        <f>IF($E87=0,0,SUMPRODUCT($AI$7:$DF$7,'Staff Daily sales'!$G72:$CD72))</f>
        <v>6786.08</v>
      </c>
      <c r="N87">
        <f>IF($E87=0,0,SUMPRODUCT($AI$8:$DF$8,'Staff Daily sales'!$G72:$CD72))</f>
        <v>35</v>
      </c>
      <c r="O87">
        <f>IF($E87=0,0,SUMPRODUCT($AI$9:$DF$9,'Staff Daily sales'!$G72:$CD72))</f>
        <v>2552.04</v>
      </c>
      <c r="P87">
        <f>IF($E87=0,0,SUMPRODUCT($AI$10:$DF$10,'Staff Daily sales'!$G72:$CD72))</f>
        <v>16</v>
      </c>
      <c r="Q87">
        <f>IF($E87=0,0,SUMPRODUCT($AI$11:$DF$11,'Staff Daily sales'!$G72:$CD72))</f>
        <v>4248.0599999999995</v>
      </c>
      <c r="R87">
        <f>IF($E87=0,0,SUMPRODUCT($AI$12:$DF$12,'Staff Daily sales'!$G72:$CD72))</f>
        <v>26</v>
      </c>
      <c r="S87">
        <f>IF($E87=0,0,SUMPRODUCT($AI$13:$DF$13,'Staff Daily sales'!$G72:$CD72))</f>
        <v>4086.95</v>
      </c>
      <c r="T87">
        <f>IF($E87=0,0,SUMPRODUCT($AI$14:$DF$14,'Staff Daily sales'!$G72:$CD72))</f>
        <v>19</v>
      </c>
      <c r="U87">
        <f>IF($E87=0,0,SUMPRODUCT($AI$15:$DF$15,'Staff Daily sales'!$G72:$CD72))</f>
        <v>0</v>
      </c>
      <c r="V87">
        <f>IF($E87=0,0,SUMPRODUCT($AI$16:$DF$16,'Staff Daily sales'!$G72:$CD72))</f>
        <v>0</v>
      </c>
      <c r="W87">
        <f t="shared" si="47"/>
        <v>43596.02</v>
      </c>
      <c r="X87">
        <f t="shared" si="48"/>
        <v>68349.11</v>
      </c>
      <c r="Y87">
        <f t="shared" si="49"/>
        <v>55182.79</v>
      </c>
      <c r="Z87">
        <f t="shared" si="50"/>
        <v>34775.4</v>
      </c>
      <c r="AA87">
        <f t="shared" si="51"/>
        <v>13525.18</v>
      </c>
      <c r="AB87">
        <f>--AND($E87=1,OR('Staff Weekly Trend'!$B$3="All",$DH87='Staff Weekly Trend'!$B$3),OR('Staff Weekly Trend'!$B$4="All",$D87='Staff Weekly Trend'!$B$4),OR('Staff Weekly Trend'!$B$5="All",$A87='Staff Weekly Trend'!$B$5))</f>
        <v>1</v>
      </c>
      <c r="AC87">
        <f t="shared" si="52"/>
        <v>4</v>
      </c>
      <c r="AG87" t="str">
        <v>HAPARKTAIF</v>
      </c>
      <c r="AI87">
        <f t="shared" si="53"/>
        <v>201</v>
      </c>
      <c r="AJ87">
        <f t="shared" si="54"/>
        <v>364</v>
      </c>
      <c r="AK87">
        <f t="shared" si="55"/>
        <v>295</v>
      </c>
      <c r="AL87">
        <f t="shared" si="56"/>
        <v>206</v>
      </c>
      <c r="AM87">
        <f t="shared" si="57"/>
        <v>62</v>
      </c>
      <c r="DH87" t="str" cm="1">
        <f t="array" ref="DH87">IF($A87="","",_xlfn.LET(_xlpm.c,IFERROR(_xlfn.XLOOKUP($A87,TRIM('Sales and count'!$A$4:$A$300&amp;""),TRIM('Sales and count'!$B$4:$B$300&amp;"")),""),IF(OR(_xlpm.c="",_xlpm.c="0",LEFT(_xlpm.c,1)="#"),"Not set",_xlpm.c)))</f>
        <v>KSA</v>
      </c>
    </row>
    <row r="88" spans="1:112" x14ac:dyDescent="0.25">
      <c r="A88" t="str">
        <f>IF('Staff Daily sales'!$B73="","",TRIM('Staff Daily sales'!$B73&amp;""))</f>
        <v>ALBUSTAN</v>
      </c>
      <c r="B88" t="str">
        <f>IF('Staff Daily sales'!$D73="","",TRIM('Staff Daily sales'!$D73&amp;""))</f>
        <v>5121-GAlhaji</v>
      </c>
      <c r="C88" t="str">
        <f>IFERROR(TRIM('Staff Daily sales'!$E73&amp;""),"")</f>
        <v>Al Hasa</v>
      </c>
      <c r="D88" t="str">
        <f>IFERROR(IF(TRIM('Staff Daily sales'!$F73&amp;"")="","Unassigned",TRIM('Staff Daily sales'!$F73&amp;"")),"Unassigned")</f>
        <v>Hamzah Al Makhadam</v>
      </c>
      <c r="E88">
        <f t="shared" si="42"/>
        <v>1</v>
      </c>
      <c r="F88">
        <f>IF($E88=0,0,SUMPRODUCT($AI$5:$DF$5,'Staff Daily sales'!$G73:$CD73))</f>
        <v>210.98</v>
      </c>
      <c r="G88">
        <f>IF($E88=0,0,SUMPRODUCT($AI$6:$DF$6,'Staff Daily sales'!$G73:$CD73))</f>
        <v>1</v>
      </c>
      <c r="H88">
        <f t="shared" si="43"/>
        <v>6553.6699999999992</v>
      </c>
      <c r="I88">
        <f t="shared" si="44"/>
        <v>40</v>
      </c>
      <c r="J88">
        <f t="shared" si="45"/>
        <v>128104.23999999996</v>
      </c>
      <c r="K88">
        <f t="shared" si="46"/>
        <v>596</v>
      </c>
      <c r="L88">
        <f>--AND($E88=1,OR('Staff Dashboard'!$B$6="All",$DH88='Staff Dashboard'!$B$6),OR('Staff Dashboard'!$B$7="All",$D88='Staff Dashboard'!$B$7),OR('Staff Dashboard'!$B$8="All",$A88='Staff Dashboard'!$B$8))</f>
        <v>0</v>
      </c>
      <c r="M88">
        <f>IF($E88=0,0,SUMPRODUCT($AI$7:$DF$7,'Staff Daily sales'!$G73:$CD73))</f>
        <v>4959.09</v>
      </c>
      <c r="N88">
        <f>IF($E88=0,0,SUMPRODUCT($AI$8:$DF$8,'Staff Daily sales'!$G73:$CD73))</f>
        <v>28</v>
      </c>
      <c r="O88">
        <f>IF($E88=0,0,SUMPRODUCT($AI$9:$DF$9,'Staff Daily sales'!$G73:$CD73))</f>
        <v>13928.24</v>
      </c>
      <c r="P88">
        <f>IF($E88=0,0,SUMPRODUCT($AI$10:$DF$10,'Staff Daily sales'!$G73:$CD73))</f>
        <v>73</v>
      </c>
      <c r="Q88">
        <f>IF($E88=0,0,SUMPRODUCT($AI$11:$DF$11,'Staff Daily sales'!$G73:$CD73))</f>
        <v>10408.219999999999</v>
      </c>
      <c r="R88">
        <f>IF($E88=0,0,SUMPRODUCT($AI$12:$DF$12,'Staff Daily sales'!$G73:$CD73))</f>
        <v>64</v>
      </c>
      <c r="S88">
        <f>IF($E88=0,0,SUMPRODUCT($AI$13:$DF$13,'Staff Daily sales'!$G73:$CD73))</f>
        <v>4807.0099999999993</v>
      </c>
      <c r="T88">
        <f>IF($E88=0,0,SUMPRODUCT($AI$14:$DF$14,'Staff Daily sales'!$G73:$CD73))</f>
        <v>36</v>
      </c>
      <c r="U88">
        <f>IF($E88=0,0,SUMPRODUCT($AI$15:$DF$15,'Staff Daily sales'!$G73:$CD73))</f>
        <v>1293.04</v>
      </c>
      <c r="V88">
        <f>IF($E88=0,0,SUMPRODUCT($AI$16:$DF$16,'Staff Daily sales'!$G73:$CD73))</f>
        <v>7</v>
      </c>
      <c r="W88">
        <f t="shared" si="47"/>
        <v>43596.02</v>
      </c>
      <c r="X88">
        <f t="shared" si="48"/>
        <v>68349.11</v>
      </c>
      <c r="Y88">
        <f t="shared" si="49"/>
        <v>55182.79</v>
      </c>
      <c r="Z88">
        <f t="shared" si="50"/>
        <v>34775.4</v>
      </c>
      <c r="AA88">
        <f t="shared" si="51"/>
        <v>13525.18</v>
      </c>
      <c r="AB88">
        <f>--AND($E88=1,OR('Staff Weekly Trend'!$B$3="All",$DH88='Staff Weekly Trend'!$B$3),OR('Staff Weekly Trend'!$B$4="All",$D88='Staff Weekly Trend'!$B$4),OR('Staff Weekly Trend'!$B$5="All",$A88='Staff Weekly Trend'!$B$5))</f>
        <v>1</v>
      </c>
      <c r="AC88">
        <f t="shared" si="52"/>
        <v>6</v>
      </c>
      <c r="AG88" t="str">
        <v>HAQATIFCC</v>
      </c>
      <c r="AI88">
        <f t="shared" si="53"/>
        <v>201</v>
      </c>
      <c r="AJ88">
        <f t="shared" si="54"/>
        <v>364</v>
      </c>
      <c r="AK88">
        <f t="shared" si="55"/>
        <v>295</v>
      </c>
      <c r="AL88">
        <f t="shared" si="56"/>
        <v>206</v>
      </c>
      <c r="AM88">
        <f t="shared" si="57"/>
        <v>62</v>
      </c>
      <c r="DH88" t="str" cm="1">
        <f t="array" ref="DH88">IF($A88="","",_xlfn.LET(_xlpm.c,IFERROR(_xlfn.XLOOKUP($A88,TRIM('Sales and count'!$A$4:$A$300&amp;""),TRIM('Sales and count'!$B$4:$B$300&amp;"")),""),IF(OR(_xlpm.c="",_xlpm.c="0",LEFT(_xlpm.c,1)="#"),"Not set",_xlpm.c)))</f>
        <v>KSA</v>
      </c>
    </row>
    <row r="89" spans="1:112" x14ac:dyDescent="0.25">
      <c r="A89" t="str">
        <f>IF('Staff Daily sales'!$B74="","",TRIM('Staff Daily sales'!$B74&amp;""))</f>
        <v>ALBUSTAN</v>
      </c>
      <c r="B89" t="str">
        <f>IF('Staff Daily sales'!$D74="","",TRIM('Staff Daily sales'!$D74&amp;""))</f>
        <v>5123-ZAli</v>
      </c>
      <c r="C89" t="str">
        <f>IFERROR(TRIM('Staff Daily sales'!$E74&amp;""),"")</f>
        <v>Al Hasa</v>
      </c>
      <c r="D89" t="str">
        <f>IFERROR(IF(TRIM('Staff Daily sales'!$F74&amp;"")="","Unassigned",TRIM('Staff Daily sales'!$F74&amp;"")),"Unassigned")</f>
        <v>Hamzah Al Makhadam</v>
      </c>
      <c r="E89">
        <f t="shared" si="42"/>
        <v>1</v>
      </c>
      <c r="F89">
        <f>IF($E89=0,0,SUMPRODUCT($AI$5:$DF$5,'Staff Daily sales'!$G74:$CD74))</f>
        <v>0</v>
      </c>
      <c r="G89">
        <f>IF($E89=0,0,SUMPRODUCT($AI$6:$DF$6,'Staff Daily sales'!$G74:$CD74))</f>
        <v>0</v>
      </c>
      <c r="H89">
        <f t="shared" si="43"/>
        <v>6553.6699999999992</v>
      </c>
      <c r="I89">
        <f t="shared" si="44"/>
        <v>40</v>
      </c>
      <c r="J89">
        <f t="shared" si="45"/>
        <v>128104.23999999996</v>
      </c>
      <c r="K89">
        <f t="shared" si="46"/>
        <v>596</v>
      </c>
      <c r="L89">
        <f>--AND($E89=1,OR('Staff Dashboard'!$B$6="All",$DH89='Staff Dashboard'!$B$6),OR('Staff Dashboard'!$B$7="All",$D89='Staff Dashboard'!$B$7),OR('Staff Dashboard'!$B$8="All",$A89='Staff Dashboard'!$B$8))</f>
        <v>0</v>
      </c>
      <c r="M89">
        <f>IF($E89=0,0,SUMPRODUCT($AI$7:$DF$7,'Staff Daily sales'!$G74:$CD74))</f>
        <v>4398.07</v>
      </c>
      <c r="N89">
        <f>IF($E89=0,0,SUMPRODUCT($AI$8:$DF$8,'Staff Daily sales'!$G74:$CD74))</f>
        <v>16</v>
      </c>
      <c r="O89">
        <f>IF($E89=0,0,SUMPRODUCT($AI$9:$DF$9,'Staff Daily sales'!$G74:$CD74))</f>
        <v>2923.01</v>
      </c>
      <c r="P89">
        <f>IF($E89=0,0,SUMPRODUCT($AI$10:$DF$10,'Staff Daily sales'!$G74:$CD74))</f>
        <v>16</v>
      </c>
      <c r="Q89">
        <f>IF($E89=0,0,SUMPRODUCT($AI$11:$DF$11,'Staff Daily sales'!$G74:$CD74))</f>
        <v>3918.04</v>
      </c>
      <c r="R89">
        <f>IF($E89=0,0,SUMPRODUCT($AI$12:$DF$12,'Staff Daily sales'!$G74:$CD74))</f>
        <v>19</v>
      </c>
      <c r="S89">
        <f>IF($E89=0,0,SUMPRODUCT($AI$13:$DF$13,'Staff Daily sales'!$G74:$CD74))</f>
        <v>0</v>
      </c>
      <c r="T89">
        <f>IF($E89=0,0,SUMPRODUCT($AI$14:$DF$14,'Staff Daily sales'!$G74:$CD74))</f>
        <v>0</v>
      </c>
      <c r="U89">
        <f>IF($E89=0,0,SUMPRODUCT($AI$15:$DF$15,'Staff Daily sales'!$G74:$CD74))</f>
        <v>0</v>
      </c>
      <c r="V89">
        <f>IF($E89=0,0,SUMPRODUCT($AI$16:$DF$16,'Staff Daily sales'!$G74:$CD74))</f>
        <v>0</v>
      </c>
      <c r="W89">
        <f t="shared" si="47"/>
        <v>43596.02</v>
      </c>
      <c r="X89">
        <f t="shared" si="48"/>
        <v>68349.11</v>
      </c>
      <c r="Y89">
        <f t="shared" si="49"/>
        <v>55182.79</v>
      </c>
      <c r="Z89">
        <f t="shared" si="50"/>
        <v>34775.4</v>
      </c>
      <c r="AA89">
        <f t="shared" si="51"/>
        <v>13525.18</v>
      </c>
      <c r="AB89">
        <f>--AND($E89=1,OR('Staff Weekly Trend'!$B$3="All",$DH89='Staff Weekly Trend'!$B$3),OR('Staff Weekly Trend'!$B$4="All",$D89='Staff Weekly Trend'!$B$4),OR('Staff Weekly Trend'!$B$5="All",$A89='Staff Weekly Trend'!$B$5))</f>
        <v>1</v>
      </c>
      <c r="AC89" t="str">
        <f t="shared" si="52"/>
        <v/>
      </c>
      <c r="AG89" t="str">
        <v>HAQURSOQ</v>
      </c>
      <c r="AI89">
        <f t="shared" si="53"/>
        <v>201</v>
      </c>
      <c r="AJ89">
        <f t="shared" si="54"/>
        <v>364</v>
      </c>
      <c r="AK89">
        <f t="shared" si="55"/>
        <v>295</v>
      </c>
      <c r="AL89">
        <f t="shared" si="56"/>
        <v>206</v>
      </c>
      <c r="AM89">
        <f t="shared" si="57"/>
        <v>62</v>
      </c>
      <c r="DH89" t="str" cm="1">
        <f t="array" ref="DH89">IF($A89="","",_xlfn.LET(_xlpm.c,IFERROR(_xlfn.XLOOKUP($A89,TRIM('Sales and count'!$A$4:$A$300&amp;""),TRIM('Sales and count'!$B$4:$B$300&amp;"")),""),IF(OR(_xlpm.c="",_xlpm.c="0",LEFT(_xlpm.c,1)="#"),"Not set",_xlpm.c)))</f>
        <v>KSA</v>
      </c>
    </row>
    <row r="90" spans="1:112" x14ac:dyDescent="0.25">
      <c r="A90" t="str">
        <f>IF('Staff Daily sales'!$B75="","",TRIM('Staff Daily sales'!$B75&amp;""))</f>
        <v>ALHAZIM</v>
      </c>
      <c r="B90" t="str">
        <f>IF('Staff Daily sales'!$D75="","",TRIM('Staff Daily sales'!$D75&amp;""))</f>
        <v>3394-Aisha Mishikhi</v>
      </c>
      <c r="C90" t="str">
        <f>IFERROR(TRIM('Staff Daily sales'!$E75&amp;""),"")</f>
        <v>Abha</v>
      </c>
      <c r="D90" t="str">
        <f>IFERROR(IF(TRIM('Staff Daily sales'!$F75&amp;"")="","Unassigned",TRIM('Staff Daily sales'!$F75&amp;"")),"Unassigned")</f>
        <v>Ahmed Jaffari</v>
      </c>
      <c r="E90">
        <f t="shared" si="42"/>
        <v>1</v>
      </c>
      <c r="F90">
        <f>IF($E90=0,0,SUMPRODUCT($AI$5:$DF$5,'Staff Daily sales'!$G75:$CD75))</f>
        <v>739.97</v>
      </c>
      <c r="G90">
        <f>IF($E90=0,0,SUMPRODUCT($AI$6:$DF$6,'Staff Daily sales'!$G75:$CD75))</f>
        <v>6</v>
      </c>
      <c r="H90">
        <f t="shared" si="43"/>
        <v>4966.76</v>
      </c>
      <c r="I90">
        <f t="shared" si="44"/>
        <v>30</v>
      </c>
      <c r="J90">
        <f t="shared" si="45"/>
        <v>44058.899999999994</v>
      </c>
      <c r="K90">
        <f t="shared" si="46"/>
        <v>244</v>
      </c>
      <c r="L90">
        <f>--AND($E90=1,OR('Staff Dashboard'!$B$6="All",$DH90='Staff Dashboard'!$B$6),OR('Staff Dashboard'!$B$7="All",$D90='Staff Dashboard'!$B$7),OR('Staff Dashboard'!$B$8="All",$A90='Staff Dashboard'!$B$8))</f>
        <v>0</v>
      </c>
      <c r="M90">
        <f>IF($E90=0,0,SUMPRODUCT($AI$7:$DF$7,'Staff Daily sales'!$G75:$CD75))</f>
        <v>3680.06</v>
      </c>
      <c r="N90">
        <f>IF($E90=0,0,SUMPRODUCT($AI$8:$DF$8,'Staff Daily sales'!$G75:$CD75))</f>
        <v>35</v>
      </c>
      <c r="O90">
        <f>IF($E90=0,0,SUMPRODUCT($AI$9:$DF$9,'Staff Daily sales'!$G75:$CD75))</f>
        <v>6097.04</v>
      </c>
      <c r="P90">
        <f>IF($E90=0,0,SUMPRODUCT($AI$10:$DF$10,'Staff Daily sales'!$G75:$CD75))</f>
        <v>38</v>
      </c>
      <c r="Q90">
        <f>IF($E90=0,0,SUMPRODUCT($AI$11:$DF$11,'Staff Daily sales'!$G75:$CD75))</f>
        <v>1018.01</v>
      </c>
      <c r="R90">
        <f>IF($E90=0,0,SUMPRODUCT($AI$12:$DF$12,'Staff Daily sales'!$G75:$CD75))</f>
        <v>7</v>
      </c>
      <c r="S90">
        <f>IF($E90=0,0,SUMPRODUCT($AI$13:$DF$13,'Staff Daily sales'!$G75:$CD75))</f>
        <v>3890.99</v>
      </c>
      <c r="T90">
        <f>IF($E90=0,0,SUMPRODUCT($AI$14:$DF$14,'Staff Daily sales'!$G75:$CD75))</f>
        <v>27</v>
      </c>
      <c r="U90">
        <f>IF($E90=0,0,SUMPRODUCT($AI$15:$DF$15,'Staff Daily sales'!$G75:$CD75))</f>
        <v>2578.98</v>
      </c>
      <c r="V90">
        <f>IF($E90=0,0,SUMPRODUCT($AI$16:$DF$16,'Staff Daily sales'!$G75:$CD75))</f>
        <v>15</v>
      </c>
      <c r="W90">
        <f t="shared" si="47"/>
        <v>19640.34</v>
      </c>
      <c r="X90">
        <f t="shared" si="48"/>
        <v>35127.630000000005</v>
      </c>
      <c r="Y90">
        <f t="shared" si="49"/>
        <v>26982.299999999996</v>
      </c>
      <c r="Z90">
        <f t="shared" si="50"/>
        <v>24334.59</v>
      </c>
      <c r="AA90">
        <f t="shared" si="51"/>
        <v>7690.1</v>
      </c>
      <c r="AB90">
        <f>--AND($E90=1,OR('Staff Weekly Trend'!$B$3="All",$DH90='Staff Weekly Trend'!$B$3),OR('Staff Weekly Trend'!$B$4="All",$D90='Staff Weekly Trend'!$B$4),OR('Staff Weekly Trend'!$B$5="All",$A90='Staff Weekly Trend'!$B$5))</f>
        <v>1</v>
      </c>
      <c r="AC90">
        <f t="shared" si="52"/>
        <v>4</v>
      </c>
      <c r="AG90" t="str">
        <v>HARASHABH</v>
      </c>
      <c r="AI90">
        <f t="shared" si="53"/>
        <v>168</v>
      </c>
      <c r="AJ90">
        <f t="shared" si="54"/>
        <v>255</v>
      </c>
      <c r="AK90">
        <f t="shared" si="55"/>
        <v>169</v>
      </c>
      <c r="AL90">
        <f t="shared" si="56"/>
        <v>153</v>
      </c>
      <c r="AM90">
        <f t="shared" si="57"/>
        <v>44</v>
      </c>
      <c r="DH90" t="str" cm="1">
        <f t="array" ref="DH90">IF($A90="","",_xlfn.LET(_xlpm.c,IFERROR(_xlfn.XLOOKUP($A90,TRIM('Sales and count'!$A$4:$A$300&amp;""),TRIM('Sales and count'!$B$4:$B$300&amp;"")),""),IF(OR(_xlpm.c="",_xlpm.c="0",LEFT(_xlpm.c,1)="#"),"Not set",_xlpm.c)))</f>
        <v>KSA</v>
      </c>
    </row>
    <row r="91" spans="1:112" x14ac:dyDescent="0.25">
      <c r="A91" t="str">
        <f>IF('Staff Daily sales'!$B76="","",TRIM('Staff Daily sales'!$B76&amp;""))</f>
        <v>ALHAZIM</v>
      </c>
      <c r="B91" t="str">
        <f>IF('Staff Daily sales'!$D76="","",TRIM('Staff Daily sales'!$D76&amp;""))</f>
        <v>3424-Abdulrahman Asiri</v>
      </c>
      <c r="C91" t="str">
        <f>IFERROR(TRIM('Staff Daily sales'!$E76&amp;""),"")</f>
        <v>Abha</v>
      </c>
      <c r="D91" t="str">
        <f>IFERROR(IF(TRIM('Staff Daily sales'!$F76&amp;"")="","Unassigned",TRIM('Staff Daily sales'!$F76&amp;"")),"Unassigned")</f>
        <v>Ahmed Jaffari</v>
      </c>
      <c r="E91">
        <f t="shared" si="42"/>
        <v>1</v>
      </c>
      <c r="F91">
        <f>IF($E91=0,0,SUMPRODUCT($AI$5:$DF$5,'Staff Daily sales'!$G76:$CD76))</f>
        <v>746.96</v>
      </c>
      <c r="G91">
        <f>IF($E91=0,0,SUMPRODUCT($AI$6:$DF$6,'Staff Daily sales'!$G76:$CD76))</f>
        <v>4</v>
      </c>
      <c r="H91">
        <f t="shared" si="43"/>
        <v>4966.76</v>
      </c>
      <c r="I91">
        <f t="shared" si="44"/>
        <v>30</v>
      </c>
      <c r="J91">
        <f t="shared" si="45"/>
        <v>44058.899999999994</v>
      </c>
      <c r="K91">
        <f t="shared" si="46"/>
        <v>244</v>
      </c>
      <c r="L91">
        <f>--AND($E91=1,OR('Staff Dashboard'!$B$6="All",$DH91='Staff Dashboard'!$B$6),OR('Staff Dashboard'!$B$7="All",$D91='Staff Dashboard'!$B$7),OR('Staff Dashboard'!$B$8="All",$A91='Staff Dashboard'!$B$8))</f>
        <v>0</v>
      </c>
      <c r="M91">
        <f>IF($E91=0,0,SUMPRODUCT($AI$7:$DF$7,'Staff Daily sales'!$G76:$CD76))</f>
        <v>1297.05</v>
      </c>
      <c r="N91">
        <f>IF($E91=0,0,SUMPRODUCT($AI$8:$DF$8,'Staff Daily sales'!$G76:$CD76))</f>
        <v>10</v>
      </c>
      <c r="O91">
        <f>IF($E91=0,0,SUMPRODUCT($AI$9:$DF$9,'Staff Daily sales'!$G76:$CD76))</f>
        <v>13780.310000000001</v>
      </c>
      <c r="P91">
        <f>IF($E91=0,0,SUMPRODUCT($AI$10:$DF$10,'Staff Daily sales'!$G76:$CD76))</f>
        <v>104</v>
      </c>
      <c r="Q91">
        <f>IF($E91=0,0,SUMPRODUCT($AI$11:$DF$11,'Staff Daily sales'!$G76:$CD76))</f>
        <v>6438.11</v>
      </c>
      <c r="R91">
        <f>IF($E91=0,0,SUMPRODUCT($AI$12:$DF$12,'Staff Daily sales'!$G76:$CD76))</f>
        <v>42</v>
      </c>
      <c r="S91">
        <f>IF($E91=0,0,SUMPRODUCT($AI$13:$DF$13,'Staff Daily sales'!$G76:$CD76))</f>
        <v>6115.9400000000005</v>
      </c>
      <c r="T91">
        <f>IF($E91=0,0,SUMPRODUCT($AI$14:$DF$14,'Staff Daily sales'!$G76:$CD76))</f>
        <v>36</v>
      </c>
      <c r="U91">
        <f>IF($E91=0,0,SUMPRODUCT($AI$15:$DF$15,'Staff Daily sales'!$G76:$CD76))</f>
        <v>1889.14</v>
      </c>
      <c r="V91">
        <f>IF($E91=0,0,SUMPRODUCT($AI$16:$DF$16,'Staff Daily sales'!$G76:$CD76))</f>
        <v>10</v>
      </c>
      <c r="W91">
        <f t="shared" si="47"/>
        <v>19640.34</v>
      </c>
      <c r="X91">
        <f t="shared" si="48"/>
        <v>35127.630000000005</v>
      </c>
      <c r="Y91">
        <f t="shared" si="49"/>
        <v>26982.299999999996</v>
      </c>
      <c r="Z91">
        <f t="shared" si="50"/>
        <v>24334.59</v>
      </c>
      <c r="AA91">
        <f t="shared" si="51"/>
        <v>7690.1</v>
      </c>
      <c r="AB91">
        <f>--AND($E91=1,OR('Staff Weekly Trend'!$B$3="All",$DH91='Staff Weekly Trend'!$B$3),OR('Staff Weekly Trend'!$B$4="All",$D91='Staff Weekly Trend'!$B$4),OR('Staff Weekly Trend'!$B$5="All",$A91='Staff Weekly Trend'!$B$5))</f>
        <v>1</v>
      </c>
      <c r="AC91">
        <f t="shared" si="52"/>
        <v>3</v>
      </c>
      <c r="AG91" t="str">
        <v>HARASHID</v>
      </c>
      <c r="AI91">
        <f t="shared" si="53"/>
        <v>168</v>
      </c>
      <c r="AJ91">
        <f t="shared" si="54"/>
        <v>255</v>
      </c>
      <c r="AK91">
        <f t="shared" si="55"/>
        <v>169</v>
      </c>
      <c r="AL91">
        <f t="shared" si="56"/>
        <v>153</v>
      </c>
      <c r="AM91">
        <f t="shared" si="57"/>
        <v>44</v>
      </c>
      <c r="DH91" t="str" cm="1">
        <f t="array" ref="DH91">IF($A91="","",_xlfn.LET(_xlpm.c,IFERROR(_xlfn.XLOOKUP($A91,TRIM('Sales and count'!$A$4:$A$300&amp;""),TRIM('Sales and count'!$B$4:$B$300&amp;"")),""),IF(OR(_xlpm.c="",_xlpm.c="0",LEFT(_xlpm.c,1)="#"),"Not set",_xlpm.c)))</f>
        <v>KSA</v>
      </c>
    </row>
    <row r="92" spans="1:112" x14ac:dyDescent="0.25">
      <c r="A92" t="str">
        <f>IF('Staff Daily sales'!$B77="","",TRIM('Staff Daily sales'!$B77&amp;""))</f>
        <v>ALHAZIM</v>
      </c>
      <c r="B92" t="str">
        <f>IF('Staff Daily sales'!$D77="","",TRIM('Staff Daily sales'!$D77&amp;""))</f>
        <v>3433-Khaled Asiri</v>
      </c>
      <c r="C92" t="str">
        <f>IFERROR(TRIM('Staff Daily sales'!$E77&amp;""),"")</f>
        <v>Abha</v>
      </c>
      <c r="D92" t="str">
        <f>IFERROR(IF(TRIM('Staff Daily sales'!$F77&amp;"")="","Unassigned",TRIM('Staff Daily sales'!$F77&amp;"")),"Unassigned")</f>
        <v>Ahmed Jaffari</v>
      </c>
      <c r="E92">
        <f t="shared" si="42"/>
        <v>1</v>
      </c>
      <c r="F92">
        <f>IF($E92=0,0,SUMPRODUCT($AI$5:$DF$5,'Staff Daily sales'!$G77:$CD77))</f>
        <v>1974.86</v>
      </c>
      <c r="G92">
        <f>IF($E92=0,0,SUMPRODUCT($AI$6:$DF$6,'Staff Daily sales'!$G77:$CD77))</f>
        <v>10</v>
      </c>
      <c r="H92">
        <f t="shared" si="43"/>
        <v>4966.76</v>
      </c>
      <c r="I92">
        <f t="shared" si="44"/>
        <v>30</v>
      </c>
      <c r="J92">
        <f t="shared" si="45"/>
        <v>44058.899999999994</v>
      </c>
      <c r="K92">
        <f t="shared" si="46"/>
        <v>244</v>
      </c>
      <c r="L92">
        <f>--AND($E92=1,OR('Staff Dashboard'!$B$6="All",$DH92='Staff Dashboard'!$B$6),OR('Staff Dashboard'!$B$7="All",$D92='Staff Dashboard'!$B$7),OR('Staff Dashboard'!$B$8="All",$A92='Staff Dashboard'!$B$8))</f>
        <v>0</v>
      </c>
      <c r="M92">
        <f>IF($E92=0,0,SUMPRODUCT($AI$7:$DF$7,'Staff Daily sales'!$G77:$CD77))</f>
        <v>0</v>
      </c>
      <c r="N92">
        <f>IF($E92=0,0,SUMPRODUCT($AI$8:$DF$8,'Staff Daily sales'!$G77:$CD77))</f>
        <v>0</v>
      </c>
      <c r="O92">
        <f>IF($E92=0,0,SUMPRODUCT($AI$9:$DF$9,'Staff Daily sales'!$G77:$CD77))</f>
        <v>0</v>
      </c>
      <c r="P92">
        <f>IF($E92=0,0,SUMPRODUCT($AI$10:$DF$10,'Staff Daily sales'!$G77:$CD77))</f>
        <v>0</v>
      </c>
      <c r="Q92">
        <f>IF($E92=0,0,SUMPRODUCT($AI$11:$DF$11,'Staff Daily sales'!$G77:$CD77))</f>
        <v>9500.07</v>
      </c>
      <c r="R92">
        <f>IF($E92=0,0,SUMPRODUCT($AI$12:$DF$12,'Staff Daily sales'!$G77:$CD77))</f>
        <v>46</v>
      </c>
      <c r="S92">
        <f>IF($E92=0,0,SUMPRODUCT($AI$13:$DF$13,'Staff Daily sales'!$G77:$CD77))</f>
        <v>6180.86</v>
      </c>
      <c r="T92">
        <f>IF($E92=0,0,SUMPRODUCT($AI$14:$DF$14,'Staff Daily sales'!$G77:$CD77))</f>
        <v>32</v>
      </c>
      <c r="U92">
        <f>IF($E92=0,0,SUMPRODUCT($AI$15:$DF$15,'Staff Daily sales'!$G77:$CD77))</f>
        <v>2125.98</v>
      </c>
      <c r="V92">
        <f>IF($E92=0,0,SUMPRODUCT($AI$16:$DF$16,'Staff Daily sales'!$G77:$CD77))</f>
        <v>9</v>
      </c>
      <c r="W92">
        <f t="shared" si="47"/>
        <v>19640.34</v>
      </c>
      <c r="X92">
        <f t="shared" si="48"/>
        <v>35127.630000000005</v>
      </c>
      <c r="Y92">
        <f t="shared" si="49"/>
        <v>26982.299999999996</v>
      </c>
      <c r="Z92">
        <f t="shared" si="50"/>
        <v>24334.59</v>
      </c>
      <c r="AA92">
        <f t="shared" si="51"/>
        <v>7690.1</v>
      </c>
      <c r="AB92">
        <f>--AND($E92=1,OR('Staff Weekly Trend'!$B$3="All",$DH92='Staff Weekly Trend'!$B$3),OR('Staff Weekly Trend'!$B$4="All",$D92='Staff Weekly Trend'!$B$4),OR('Staff Weekly Trend'!$B$5="All",$A92='Staff Weekly Trend'!$B$5))</f>
        <v>1</v>
      </c>
      <c r="AC92">
        <f t="shared" si="52"/>
        <v>1</v>
      </c>
      <c r="AG92" t="str">
        <v>HARASHJIZ</v>
      </c>
      <c r="AI92">
        <f t="shared" si="53"/>
        <v>168</v>
      </c>
      <c r="AJ92">
        <f t="shared" si="54"/>
        <v>255</v>
      </c>
      <c r="AK92">
        <f t="shared" si="55"/>
        <v>169</v>
      </c>
      <c r="AL92">
        <f t="shared" si="56"/>
        <v>153</v>
      </c>
      <c r="AM92">
        <f t="shared" si="57"/>
        <v>44</v>
      </c>
      <c r="DH92" t="str" cm="1">
        <f t="array" ref="DH92">IF($A92="","",_xlfn.LET(_xlpm.c,IFERROR(_xlfn.XLOOKUP($A92,TRIM('Sales and count'!$A$4:$A$300&amp;""),TRIM('Sales and count'!$B$4:$B$300&amp;"")),""),IF(OR(_xlpm.c="",_xlpm.c="0",LEFT(_xlpm.c,1)="#"),"Not set",_xlpm.c)))</f>
        <v>KSA</v>
      </c>
    </row>
    <row r="93" spans="1:112" x14ac:dyDescent="0.25">
      <c r="A93" t="str">
        <f>IF('Staff Daily sales'!$B78="","",TRIM('Staff Daily sales'!$B78&amp;""))</f>
        <v>ALHAZIM</v>
      </c>
      <c r="B93" t="str">
        <f>IF('Staff Daily sales'!$D78="","",TRIM('Staff Daily sales'!$D78&amp;""))</f>
        <v>3435-Khaled H Asiri</v>
      </c>
      <c r="C93" t="str">
        <f>IFERROR(TRIM('Staff Daily sales'!$E78&amp;""),"")</f>
        <v>Abha</v>
      </c>
      <c r="D93" t="str">
        <f>IFERROR(IF(TRIM('Staff Daily sales'!$F78&amp;"")="","Unassigned",TRIM('Staff Daily sales'!$F78&amp;"")),"Unassigned")</f>
        <v>Ahmed Jaffari</v>
      </c>
      <c r="E93">
        <f t="shared" si="42"/>
        <v>1</v>
      </c>
      <c r="F93">
        <f>IF($E93=0,0,SUMPRODUCT($AI$5:$DF$5,'Staff Daily sales'!$G78:$CD78))</f>
        <v>725.98</v>
      </c>
      <c r="G93">
        <f>IF($E93=0,0,SUMPRODUCT($AI$6:$DF$6,'Staff Daily sales'!$G78:$CD78))</f>
        <v>5</v>
      </c>
      <c r="H93">
        <f t="shared" si="43"/>
        <v>4966.76</v>
      </c>
      <c r="I93">
        <f t="shared" si="44"/>
        <v>30</v>
      </c>
      <c r="J93">
        <f t="shared" si="45"/>
        <v>44058.899999999994</v>
      </c>
      <c r="K93">
        <f t="shared" si="46"/>
        <v>244</v>
      </c>
      <c r="L93">
        <f>--AND($E93=1,OR('Staff Dashboard'!$B$6="All",$DH93='Staff Dashboard'!$B$6),OR('Staff Dashboard'!$B$7="All",$D93='Staff Dashboard'!$B$7),OR('Staff Dashboard'!$B$8="All",$A93='Staff Dashboard'!$B$8))</f>
        <v>0</v>
      </c>
      <c r="M93">
        <f>IF($E93=0,0,SUMPRODUCT($AI$7:$DF$7,'Staff Daily sales'!$G78:$CD78))</f>
        <v>8721.18</v>
      </c>
      <c r="N93">
        <f>IF($E93=0,0,SUMPRODUCT($AI$8:$DF$8,'Staff Daily sales'!$G78:$CD78))</f>
        <v>75</v>
      </c>
      <c r="O93">
        <f>IF($E93=0,0,SUMPRODUCT($AI$9:$DF$9,'Staff Daily sales'!$G78:$CD78))</f>
        <v>8991.18</v>
      </c>
      <c r="P93">
        <f>IF($E93=0,0,SUMPRODUCT($AI$10:$DF$10,'Staff Daily sales'!$G78:$CD78))</f>
        <v>65</v>
      </c>
      <c r="Q93">
        <f>IF($E93=0,0,SUMPRODUCT($AI$11:$DF$11,'Staff Daily sales'!$G78:$CD78))</f>
        <v>4062.0299999999997</v>
      </c>
      <c r="R93">
        <f>IF($E93=0,0,SUMPRODUCT($AI$12:$DF$12,'Staff Daily sales'!$G78:$CD78))</f>
        <v>35</v>
      </c>
      <c r="S93">
        <f>IF($E93=0,0,SUMPRODUCT($AI$13:$DF$13,'Staff Daily sales'!$G78:$CD78))</f>
        <v>3719.82</v>
      </c>
      <c r="T93">
        <f>IF($E93=0,0,SUMPRODUCT($AI$14:$DF$14,'Staff Daily sales'!$G78:$CD78))</f>
        <v>25</v>
      </c>
      <c r="U93">
        <f>IF($E93=0,0,SUMPRODUCT($AI$15:$DF$15,'Staff Daily sales'!$G78:$CD78))</f>
        <v>626.02</v>
      </c>
      <c r="V93">
        <f>IF($E93=0,0,SUMPRODUCT($AI$16:$DF$16,'Staff Daily sales'!$G78:$CD78))</f>
        <v>6</v>
      </c>
      <c r="W93">
        <f t="shared" si="47"/>
        <v>19640.34</v>
      </c>
      <c r="X93">
        <f t="shared" si="48"/>
        <v>35127.630000000005</v>
      </c>
      <c r="Y93">
        <f t="shared" si="49"/>
        <v>26982.299999999996</v>
      </c>
      <c r="Z93">
        <f t="shared" si="50"/>
        <v>24334.59</v>
      </c>
      <c r="AA93">
        <f t="shared" si="51"/>
        <v>7690.1</v>
      </c>
      <c r="AB93">
        <f>--AND($E93=1,OR('Staff Weekly Trend'!$B$3="All",$DH93='Staff Weekly Trend'!$B$3),OR('Staff Weekly Trend'!$B$4="All",$D93='Staff Weekly Trend'!$B$4),OR('Staff Weekly Trend'!$B$5="All",$A93='Staff Weekly Trend'!$B$5))</f>
        <v>1</v>
      </c>
      <c r="AC93">
        <f t="shared" si="52"/>
        <v>5</v>
      </c>
      <c r="AG93" t="str">
        <v>HARASHMAD</v>
      </c>
      <c r="AI93">
        <f t="shared" si="53"/>
        <v>168</v>
      </c>
      <c r="AJ93">
        <f t="shared" si="54"/>
        <v>255</v>
      </c>
      <c r="AK93">
        <f t="shared" si="55"/>
        <v>169</v>
      </c>
      <c r="AL93">
        <f t="shared" si="56"/>
        <v>153</v>
      </c>
      <c r="AM93">
        <f t="shared" si="57"/>
        <v>44</v>
      </c>
      <c r="DH93" t="str" cm="1">
        <f t="array" ref="DH93">IF($A93="","",_xlfn.LET(_xlpm.c,IFERROR(_xlfn.XLOOKUP($A93,TRIM('Sales and count'!$A$4:$A$300&amp;""),TRIM('Sales and count'!$B$4:$B$300&amp;"")),""),IF(OR(_xlpm.c="",_xlpm.c="0",LEFT(_xlpm.c,1)="#"),"Not set",_xlpm.c)))</f>
        <v>KSA</v>
      </c>
    </row>
    <row r="94" spans="1:112" x14ac:dyDescent="0.25">
      <c r="A94" t="str">
        <f>IF('Staff Daily sales'!$B79="","",TRIM('Staff Daily sales'!$B79&amp;""))</f>
        <v>ALHAZIM</v>
      </c>
      <c r="B94" t="str">
        <f>IF('Staff Daily sales'!$D79="","",TRIM('Staff Daily sales'!$D79&amp;""))</f>
        <v>6456-MALASMARI</v>
      </c>
      <c r="C94" t="str">
        <f>IFERROR(TRIM('Staff Daily sales'!$E79&amp;""),"")</f>
        <v>Abha</v>
      </c>
      <c r="D94" t="str">
        <f>IFERROR(IF(TRIM('Staff Daily sales'!$F79&amp;"")="","Unassigned",TRIM('Staff Daily sales'!$F79&amp;"")),"Unassigned")</f>
        <v>Ahmed Jaffari</v>
      </c>
      <c r="E94">
        <f t="shared" si="42"/>
        <v>1</v>
      </c>
      <c r="F94">
        <f>IF($E94=0,0,SUMPRODUCT($AI$5:$DF$5,'Staff Daily sales'!$G79:$CD79))</f>
        <v>778.99</v>
      </c>
      <c r="G94">
        <f>IF($E94=0,0,SUMPRODUCT($AI$6:$DF$6,'Staff Daily sales'!$G79:$CD79))</f>
        <v>5</v>
      </c>
      <c r="H94">
        <f t="shared" si="43"/>
        <v>4966.76</v>
      </c>
      <c r="I94">
        <f t="shared" si="44"/>
        <v>30</v>
      </c>
      <c r="J94">
        <f t="shared" si="45"/>
        <v>44058.899999999994</v>
      </c>
      <c r="K94">
        <f t="shared" si="46"/>
        <v>244</v>
      </c>
      <c r="L94">
        <f>--AND($E94=1,OR('Staff Dashboard'!$B$6="All",$DH94='Staff Dashboard'!$B$6),OR('Staff Dashboard'!$B$7="All",$D94='Staff Dashboard'!$B$7),OR('Staff Dashboard'!$B$8="All",$A94='Staff Dashboard'!$B$8))</f>
        <v>0</v>
      </c>
      <c r="M94">
        <f>IF($E94=0,0,SUMPRODUCT($AI$7:$DF$7,'Staff Daily sales'!$G79:$CD79))</f>
        <v>5942.05</v>
      </c>
      <c r="N94">
        <f>IF($E94=0,0,SUMPRODUCT($AI$8:$DF$8,'Staff Daily sales'!$G79:$CD79))</f>
        <v>48</v>
      </c>
      <c r="O94">
        <f>IF($E94=0,0,SUMPRODUCT($AI$9:$DF$9,'Staff Daily sales'!$G79:$CD79))</f>
        <v>6259.1</v>
      </c>
      <c r="P94">
        <f>IF($E94=0,0,SUMPRODUCT($AI$10:$DF$10,'Staff Daily sales'!$G79:$CD79))</f>
        <v>48</v>
      </c>
      <c r="Q94">
        <f>IF($E94=0,0,SUMPRODUCT($AI$11:$DF$11,'Staff Daily sales'!$G79:$CD79))</f>
        <v>5964.08</v>
      </c>
      <c r="R94">
        <f>IF($E94=0,0,SUMPRODUCT($AI$12:$DF$12,'Staff Daily sales'!$G79:$CD79))</f>
        <v>39</v>
      </c>
      <c r="S94">
        <f>IF($E94=0,0,SUMPRODUCT($AI$13:$DF$13,'Staff Daily sales'!$G79:$CD79))</f>
        <v>4426.9799999999996</v>
      </c>
      <c r="T94">
        <f>IF($E94=0,0,SUMPRODUCT($AI$14:$DF$14,'Staff Daily sales'!$G79:$CD79))</f>
        <v>33</v>
      </c>
      <c r="U94">
        <f>IF($E94=0,0,SUMPRODUCT($AI$15:$DF$15,'Staff Daily sales'!$G79:$CD79))</f>
        <v>469.98</v>
      </c>
      <c r="V94">
        <f>IF($E94=0,0,SUMPRODUCT($AI$16:$DF$16,'Staff Daily sales'!$G79:$CD79))</f>
        <v>4</v>
      </c>
      <c r="W94">
        <f t="shared" si="47"/>
        <v>19640.34</v>
      </c>
      <c r="X94">
        <f t="shared" si="48"/>
        <v>35127.630000000005</v>
      </c>
      <c r="Y94">
        <f t="shared" si="49"/>
        <v>26982.299999999996</v>
      </c>
      <c r="Z94">
        <f t="shared" si="50"/>
        <v>24334.59</v>
      </c>
      <c r="AA94">
        <f t="shared" si="51"/>
        <v>7690.1</v>
      </c>
      <c r="AB94">
        <f>--AND($E94=1,OR('Staff Weekly Trend'!$B$3="All",$DH94='Staff Weekly Trend'!$B$3),OR('Staff Weekly Trend'!$B$4="All",$D94='Staff Weekly Trend'!$B$4),OR('Staff Weekly Trend'!$B$5="All",$A94='Staff Weekly Trend'!$B$5))</f>
        <v>1</v>
      </c>
      <c r="AC94">
        <f t="shared" si="52"/>
        <v>2</v>
      </c>
      <c r="AG94" t="str">
        <v>HARSHNRYD</v>
      </c>
      <c r="AI94">
        <f t="shared" si="53"/>
        <v>168</v>
      </c>
      <c r="AJ94">
        <f t="shared" si="54"/>
        <v>255</v>
      </c>
      <c r="AK94">
        <f t="shared" si="55"/>
        <v>169</v>
      </c>
      <c r="AL94">
        <f t="shared" si="56"/>
        <v>153</v>
      </c>
      <c r="AM94">
        <f t="shared" si="57"/>
        <v>44</v>
      </c>
      <c r="DH94" t="str" cm="1">
        <f t="array" ref="DH94">IF($A94="","",_xlfn.LET(_xlpm.c,IFERROR(_xlfn.XLOOKUP($A94,TRIM('Sales and count'!$A$4:$A$300&amp;""),TRIM('Sales and count'!$B$4:$B$300&amp;"")),""),IF(OR(_xlpm.c="",_xlpm.c="0",LEFT(_xlpm.c,1)="#"),"Not set",_xlpm.c)))</f>
        <v>KSA</v>
      </c>
    </row>
    <row r="95" spans="1:112" x14ac:dyDescent="0.25">
      <c r="A95" t="str">
        <f>IF('Staff Daily sales'!$B80="","",TRIM('Staff Daily sales'!$B80&amp;""))</f>
        <v>SHIHAR</v>
      </c>
      <c r="B95" t="str">
        <f>IF('Staff Daily sales'!$D80="","",TRIM('Staff Daily sales'!$D80&amp;""))</f>
        <v>3528-SAlHarthi</v>
      </c>
      <c r="C95" t="str">
        <f>IFERROR(TRIM('Staff Daily sales'!$E80&amp;""),"")</f>
        <v>Taif</v>
      </c>
      <c r="D95" t="str">
        <f>IFERROR(IF(TRIM('Staff Daily sales'!$F80&amp;"")="","Unassigned",TRIM('Staff Daily sales'!$F80&amp;"")),"Unassigned")</f>
        <v>Saleh Bin Hoiel</v>
      </c>
      <c r="E95">
        <f t="shared" si="42"/>
        <v>1</v>
      </c>
      <c r="F95">
        <f>IF($E95=0,0,SUMPRODUCT($AI$5:$DF$5,'Staff Daily sales'!$G80:$CD80))</f>
        <v>0</v>
      </c>
      <c r="G95">
        <f>IF($E95=0,0,SUMPRODUCT($AI$6:$DF$6,'Staff Daily sales'!$G80:$CD80))</f>
        <v>0</v>
      </c>
      <c r="H95">
        <f t="shared" si="43"/>
        <v>6150.7000000000007</v>
      </c>
      <c r="I95">
        <f t="shared" si="44"/>
        <v>33</v>
      </c>
      <c r="J95">
        <f t="shared" si="45"/>
        <v>69638.36</v>
      </c>
      <c r="K95">
        <f t="shared" si="46"/>
        <v>362</v>
      </c>
      <c r="L95">
        <f>--AND($E95=1,OR('Staff Dashboard'!$B$6="All",$DH95='Staff Dashboard'!$B$6),OR('Staff Dashboard'!$B$7="All",$D95='Staff Dashboard'!$B$7),OR('Staff Dashboard'!$B$8="All",$A95='Staff Dashboard'!$B$8))</f>
        <v>0</v>
      </c>
      <c r="M95">
        <f>IF($E95=0,0,SUMPRODUCT($AI$7:$DF$7,'Staff Daily sales'!$G80:$CD80))</f>
        <v>4317.1099999999997</v>
      </c>
      <c r="N95">
        <f>IF($E95=0,0,SUMPRODUCT($AI$8:$DF$8,'Staff Daily sales'!$G80:$CD80))</f>
        <v>34</v>
      </c>
      <c r="O95">
        <f>IF($E95=0,0,SUMPRODUCT($AI$9:$DF$9,'Staff Daily sales'!$G80:$CD80))</f>
        <v>7298.1599999999989</v>
      </c>
      <c r="P95">
        <f>IF($E95=0,0,SUMPRODUCT($AI$10:$DF$10,'Staff Daily sales'!$G80:$CD80))</f>
        <v>47</v>
      </c>
      <c r="Q95">
        <f>IF($E95=0,0,SUMPRODUCT($AI$11:$DF$11,'Staff Daily sales'!$G80:$CD80))</f>
        <v>4114.0599999999995</v>
      </c>
      <c r="R95">
        <f>IF($E95=0,0,SUMPRODUCT($AI$12:$DF$12,'Staff Daily sales'!$G80:$CD80))</f>
        <v>31</v>
      </c>
      <c r="S95">
        <f>IF($E95=0,0,SUMPRODUCT($AI$13:$DF$13,'Staff Daily sales'!$G80:$CD80))</f>
        <v>0</v>
      </c>
      <c r="T95">
        <f>IF($E95=0,0,SUMPRODUCT($AI$14:$DF$14,'Staff Daily sales'!$G80:$CD80))</f>
        <v>0</v>
      </c>
      <c r="U95">
        <f>IF($E95=0,0,SUMPRODUCT($AI$15:$DF$15,'Staff Daily sales'!$G80:$CD80))</f>
        <v>0</v>
      </c>
      <c r="V95">
        <f>IF($E95=0,0,SUMPRODUCT($AI$16:$DF$16,'Staff Daily sales'!$G80:$CD80))</f>
        <v>0</v>
      </c>
      <c r="W95">
        <f t="shared" si="47"/>
        <v>35910.550000000003</v>
      </c>
      <c r="X95">
        <f t="shared" si="48"/>
        <v>47497.889999999992</v>
      </c>
      <c r="Y95">
        <f t="shared" si="49"/>
        <v>41491.54</v>
      </c>
      <c r="Z95">
        <f t="shared" si="50"/>
        <v>28447.440000000002</v>
      </c>
      <c r="AA95">
        <f t="shared" si="51"/>
        <v>7906.91</v>
      </c>
      <c r="AB95">
        <f>--AND($E95=1,OR('Staff Weekly Trend'!$B$3="All",$DH95='Staff Weekly Trend'!$B$3),OR('Staff Weekly Trend'!$B$4="All",$D95='Staff Weekly Trend'!$B$4),OR('Staff Weekly Trend'!$B$5="All",$A95='Staff Weekly Trend'!$B$5))</f>
        <v>1</v>
      </c>
      <c r="AC95" t="str">
        <f t="shared" si="52"/>
        <v/>
      </c>
      <c r="AG95" t="str">
        <v>HARYDGALL</v>
      </c>
      <c r="AI95">
        <f t="shared" si="53"/>
        <v>287</v>
      </c>
      <c r="AJ95">
        <f t="shared" si="54"/>
        <v>318</v>
      </c>
      <c r="AK95">
        <f t="shared" si="55"/>
        <v>291</v>
      </c>
      <c r="AL95">
        <f t="shared" si="56"/>
        <v>193</v>
      </c>
      <c r="AM95">
        <f t="shared" si="57"/>
        <v>48</v>
      </c>
      <c r="DH95" t="str" cm="1">
        <f t="array" ref="DH95">IF($A95="","",_xlfn.LET(_xlpm.c,IFERROR(_xlfn.XLOOKUP($A95,TRIM('Sales and count'!$A$4:$A$300&amp;""),TRIM('Sales and count'!$B$4:$B$300&amp;"")),""),IF(OR(_xlpm.c="",_xlpm.c="0",LEFT(_xlpm.c,1)="#"),"Not set",_xlpm.c)))</f>
        <v>KSA</v>
      </c>
    </row>
    <row r="96" spans="1:112" x14ac:dyDescent="0.25">
      <c r="A96" t="str">
        <f>IF('Staff Daily sales'!$B81="","",TRIM('Staff Daily sales'!$B81&amp;""))</f>
        <v>SHIHAR</v>
      </c>
      <c r="B96" t="str">
        <f>IF('Staff Daily sales'!$D81="","",TRIM('Staff Daily sales'!$D81&amp;""))</f>
        <v>3530-BBnder</v>
      </c>
      <c r="C96" t="str">
        <f>IFERROR(TRIM('Staff Daily sales'!$E81&amp;""),"")</f>
        <v>Taif</v>
      </c>
      <c r="D96" t="str">
        <f>IFERROR(IF(TRIM('Staff Daily sales'!$F81&amp;"")="","Unassigned",TRIM('Staff Daily sales'!$F81&amp;"")),"Unassigned")</f>
        <v>Saleh Bin Hoiel</v>
      </c>
      <c r="E96">
        <f t="shared" si="42"/>
        <v>1</v>
      </c>
      <c r="F96">
        <f>IF($E96=0,0,SUMPRODUCT($AI$5:$DF$5,'Staff Daily sales'!$G81:$CD81))</f>
        <v>536.96</v>
      </c>
      <c r="G96">
        <f>IF($E96=0,0,SUMPRODUCT($AI$6:$DF$6,'Staff Daily sales'!$G81:$CD81))</f>
        <v>3</v>
      </c>
      <c r="H96">
        <f t="shared" si="43"/>
        <v>6150.7000000000007</v>
      </c>
      <c r="I96">
        <f t="shared" si="44"/>
        <v>33</v>
      </c>
      <c r="J96">
        <f t="shared" si="45"/>
        <v>69638.36</v>
      </c>
      <c r="K96">
        <f t="shared" si="46"/>
        <v>362</v>
      </c>
      <c r="L96">
        <f>--AND($E96=1,OR('Staff Dashboard'!$B$6="All",$DH96='Staff Dashboard'!$B$6),OR('Staff Dashboard'!$B$7="All",$D96='Staff Dashboard'!$B$7),OR('Staff Dashboard'!$B$8="All",$A96='Staff Dashboard'!$B$8))</f>
        <v>0</v>
      </c>
      <c r="M96">
        <f>IF($E96=0,0,SUMPRODUCT($AI$7:$DF$7,'Staff Daily sales'!$G81:$CD81))</f>
        <v>7916.13</v>
      </c>
      <c r="N96">
        <f>IF($E96=0,0,SUMPRODUCT($AI$8:$DF$8,'Staff Daily sales'!$G81:$CD81))</f>
        <v>65</v>
      </c>
      <c r="O96">
        <f>IF($E96=0,0,SUMPRODUCT($AI$9:$DF$9,'Staff Daily sales'!$G81:$CD81))</f>
        <v>9715.18</v>
      </c>
      <c r="P96">
        <f>IF($E96=0,0,SUMPRODUCT($AI$10:$DF$10,'Staff Daily sales'!$G81:$CD81))</f>
        <v>63</v>
      </c>
      <c r="Q96">
        <f>IF($E96=0,0,SUMPRODUCT($AI$11:$DF$11,'Staff Daily sales'!$G81:$CD81))</f>
        <v>7952.079999999999</v>
      </c>
      <c r="R96">
        <f>IF($E96=0,0,SUMPRODUCT($AI$12:$DF$12,'Staff Daily sales'!$G81:$CD81))</f>
        <v>45</v>
      </c>
      <c r="S96">
        <f>IF($E96=0,0,SUMPRODUCT($AI$13:$DF$13,'Staff Daily sales'!$G81:$CD81))</f>
        <v>4020.91</v>
      </c>
      <c r="T96">
        <f>IF($E96=0,0,SUMPRODUCT($AI$14:$DF$14,'Staff Daily sales'!$G81:$CD81))</f>
        <v>26</v>
      </c>
      <c r="U96">
        <f>IF($E96=0,0,SUMPRODUCT($AI$15:$DF$15,'Staff Daily sales'!$G81:$CD81))</f>
        <v>936</v>
      </c>
      <c r="V96">
        <f>IF($E96=0,0,SUMPRODUCT($AI$16:$DF$16,'Staff Daily sales'!$G81:$CD81))</f>
        <v>5</v>
      </c>
      <c r="W96">
        <f t="shared" si="47"/>
        <v>35910.550000000003</v>
      </c>
      <c r="X96">
        <f t="shared" si="48"/>
        <v>47497.889999999992</v>
      </c>
      <c r="Y96">
        <f t="shared" si="49"/>
        <v>41491.54</v>
      </c>
      <c r="Z96">
        <f t="shared" si="50"/>
        <v>28447.440000000002</v>
      </c>
      <c r="AA96">
        <f t="shared" si="51"/>
        <v>7906.91</v>
      </c>
      <c r="AB96">
        <f>--AND($E96=1,OR('Staff Weekly Trend'!$B$3="All",$DH96='Staff Weekly Trend'!$B$3),OR('Staff Weekly Trend'!$B$4="All",$D96='Staff Weekly Trend'!$B$4),OR('Staff Weekly Trend'!$B$5="All",$A96='Staff Weekly Trend'!$B$5))</f>
        <v>1</v>
      </c>
      <c r="AC96">
        <f t="shared" si="52"/>
        <v>4</v>
      </c>
      <c r="AG96" t="str">
        <v>HASALMMAL</v>
      </c>
      <c r="AI96">
        <f t="shared" si="53"/>
        <v>287</v>
      </c>
      <c r="AJ96">
        <f t="shared" si="54"/>
        <v>318</v>
      </c>
      <c r="AK96">
        <f t="shared" si="55"/>
        <v>291</v>
      </c>
      <c r="AL96">
        <f t="shared" si="56"/>
        <v>193</v>
      </c>
      <c r="AM96">
        <f t="shared" si="57"/>
        <v>48</v>
      </c>
      <c r="DH96" t="str" cm="1">
        <f t="array" ref="DH96">IF($A96="","",_xlfn.LET(_xlpm.c,IFERROR(_xlfn.XLOOKUP($A96,TRIM('Sales and count'!$A$4:$A$300&amp;""),TRIM('Sales and count'!$B$4:$B$300&amp;"")),""),IF(OR(_xlpm.c="",_xlpm.c="0",LEFT(_xlpm.c,1)="#"),"Not set",_xlpm.c)))</f>
        <v>KSA</v>
      </c>
    </row>
    <row r="97" spans="1:112" x14ac:dyDescent="0.25">
      <c r="A97" t="str">
        <f>IF('Staff Daily sales'!$B82="","",TRIM('Staff Daily sales'!$B82&amp;""))</f>
        <v>SHIHAR</v>
      </c>
      <c r="B97" t="str">
        <f>IF('Staff Daily sales'!$D82="","",TRIM('Staff Daily sales'!$D82&amp;""))</f>
        <v>3534-WAlmaliki</v>
      </c>
      <c r="C97" t="str">
        <f>IFERROR(TRIM('Staff Daily sales'!$E82&amp;""),"")</f>
        <v>Taif</v>
      </c>
      <c r="D97" t="str">
        <f>IFERROR(IF(TRIM('Staff Daily sales'!$F82&amp;"")="","Unassigned",TRIM('Staff Daily sales'!$F82&amp;"")),"Unassigned")</f>
        <v>Saleh Bin Hoiel</v>
      </c>
      <c r="E97">
        <f t="shared" si="42"/>
        <v>1</v>
      </c>
      <c r="F97">
        <f>IF($E97=0,0,SUMPRODUCT($AI$5:$DF$5,'Staff Daily sales'!$G82:$CD82))</f>
        <v>982.97</v>
      </c>
      <c r="G97">
        <f>IF($E97=0,0,SUMPRODUCT($AI$6:$DF$6,'Staff Daily sales'!$G82:$CD82))</f>
        <v>7</v>
      </c>
      <c r="H97">
        <f t="shared" si="43"/>
        <v>6150.7000000000007</v>
      </c>
      <c r="I97">
        <f t="shared" si="44"/>
        <v>33</v>
      </c>
      <c r="J97">
        <f t="shared" si="45"/>
        <v>69638.36</v>
      </c>
      <c r="K97">
        <f t="shared" si="46"/>
        <v>362</v>
      </c>
      <c r="L97">
        <f>--AND($E97=1,OR('Staff Dashboard'!$B$6="All",$DH97='Staff Dashboard'!$B$6),OR('Staff Dashboard'!$B$7="All",$D97='Staff Dashboard'!$B$7),OR('Staff Dashboard'!$B$8="All",$A97='Staff Dashboard'!$B$8))</f>
        <v>0</v>
      </c>
      <c r="M97">
        <f>IF($E97=0,0,SUMPRODUCT($AI$7:$DF$7,'Staff Daily sales'!$G82:$CD82))</f>
        <v>75</v>
      </c>
      <c r="N97">
        <f>IF($E97=0,0,SUMPRODUCT($AI$8:$DF$8,'Staff Daily sales'!$G82:$CD82))</f>
        <v>1</v>
      </c>
      <c r="O97">
        <f>IF($E97=0,0,SUMPRODUCT($AI$9:$DF$9,'Staff Daily sales'!$G82:$CD82))</f>
        <v>75</v>
      </c>
      <c r="P97">
        <f>IF($E97=0,0,SUMPRODUCT($AI$10:$DF$10,'Staff Daily sales'!$G82:$CD82))</f>
        <v>1</v>
      </c>
      <c r="Q97">
        <f>IF($E97=0,0,SUMPRODUCT($AI$11:$DF$11,'Staff Daily sales'!$G82:$CD82))</f>
        <v>750</v>
      </c>
      <c r="R97">
        <f>IF($E97=0,0,SUMPRODUCT($AI$12:$DF$12,'Staff Daily sales'!$G82:$CD82))</f>
        <v>10</v>
      </c>
      <c r="S97">
        <f>IF($E97=0,0,SUMPRODUCT($AI$13:$DF$13,'Staff Daily sales'!$G82:$CD82))</f>
        <v>3213.8900000000003</v>
      </c>
      <c r="T97">
        <f>IF($E97=0,0,SUMPRODUCT($AI$14:$DF$14,'Staff Daily sales'!$G82:$CD82))</f>
        <v>23</v>
      </c>
      <c r="U97">
        <f>IF($E97=0,0,SUMPRODUCT($AI$15:$DF$15,'Staff Daily sales'!$G82:$CD82))</f>
        <v>1933.88</v>
      </c>
      <c r="V97">
        <f>IF($E97=0,0,SUMPRODUCT($AI$16:$DF$16,'Staff Daily sales'!$G82:$CD82))</f>
        <v>10</v>
      </c>
      <c r="W97">
        <f t="shared" si="47"/>
        <v>35910.550000000003</v>
      </c>
      <c r="X97">
        <f t="shared" si="48"/>
        <v>47497.889999999992</v>
      </c>
      <c r="Y97">
        <f t="shared" si="49"/>
        <v>41491.54</v>
      </c>
      <c r="Z97">
        <f t="shared" si="50"/>
        <v>28447.440000000002</v>
      </c>
      <c r="AA97">
        <f t="shared" si="51"/>
        <v>7906.91</v>
      </c>
      <c r="AB97">
        <f>--AND($E97=1,OR('Staff Weekly Trend'!$B$3="All",$DH97='Staff Weekly Trend'!$B$3),OR('Staff Weekly Trend'!$B$4="All",$D97='Staff Weekly Trend'!$B$4),OR('Staff Weekly Trend'!$B$5="All",$A97='Staff Weekly Trend'!$B$5))</f>
        <v>1</v>
      </c>
      <c r="AC97">
        <f t="shared" si="52"/>
        <v>3</v>
      </c>
      <c r="AG97" t="str">
        <v>HASEHSA</v>
      </c>
      <c r="AI97">
        <f t="shared" si="53"/>
        <v>287</v>
      </c>
      <c r="AJ97">
        <f t="shared" si="54"/>
        <v>318</v>
      </c>
      <c r="AK97">
        <f t="shared" si="55"/>
        <v>291</v>
      </c>
      <c r="AL97">
        <f t="shared" si="56"/>
        <v>193</v>
      </c>
      <c r="AM97">
        <f t="shared" si="57"/>
        <v>48</v>
      </c>
      <c r="DH97" t="str" cm="1">
        <f t="array" ref="DH97">IF($A97="","",_xlfn.LET(_xlpm.c,IFERROR(_xlfn.XLOOKUP($A97,TRIM('Sales and count'!$A$4:$A$300&amp;""),TRIM('Sales and count'!$B$4:$B$300&amp;"")),""),IF(OR(_xlpm.c="",_xlpm.c="0",LEFT(_xlpm.c,1)="#"),"Not set",_xlpm.c)))</f>
        <v>KSA</v>
      </c>
    </row>
    <row r="98" spans="1:112" x14ac:dyDescent="0.25">
      <c r="A98" t="str">
        <f>IF('Staff Daily sales'!$B83="","",TRIM('Staff Daily sales'!$B83&amp;""))</f>
        <v>SHIHAR</v>
      </c>
      <c r="B98" t="str">
        <f>IF('Staff Daily sales'!$D83="","",TRIM('Staff Daily sales'!$D83&amp;""))</f>
        <v>3711-TIbrahim</v>
      </c>
      <c r="C98" t="str">
        <f>IFERROR(TRIM('Staff Daily sales'!$E83&amp;""),"")</f>
        <v>Taif</v>
      </c>
      <c r="D98" t="str">
        <f>IFERROR(IF(TRIM('Staff Daily sales'!$F83&amp;"")="","Unassigned",TRIM('Staff Daily sales'!$F83&amp;"")),"Unassigned")</f>
        <v>Saleh Bin Hoiel</v>
      </c>
      <c r="E98">
        <f t="shared" si="42"/>
        <v>1</v>
      </c>
      <c r="F98">
        <f>IF($E98=0,0,SUMPRODUCT($AI$5:$DF$5,'Staff Daily sales'!$G83:$CD83))</f>
        <v>0</v>
      </c>
      <c r="G98">
        <f>IF($E98=0,0,SUMPRODUCT($AI$6:$DF$6,'Staff Daily sales'!$G83:$CD83))</f>
        <v>0</v>
      </c>
      <c r="H98">
        <f t="shared" si="43"/>
        <v>6150.7000000000007</v>
      </c>
      <c r="I98">
        <f t="shared" si="44"/>
        <v>33</v>
      </c>
      <c r="J98">
        <f t="shared" si="45"/>
        <v>69638.36</v>
      </c>
      <c r="K98">
        <f t="shared" si="46"/>
        <v>362</v>
      </c>
      <c r="L98">
        <f>--AND($E98=1,OR('Staff Dashboard'!$B$6="All",$DH98='Staff Dashboard'!$B$6),OR('Staff Dashboard'!$B$7="All",$D98='Staff Dashboard'!$B$7),OR('Staff Dashboard'!$B$8="All",$A98='Staff Dashboard'!$B$8))</f>
        <v>0</v>
      </c>
      <c r="M98">
        <f>IF($E98=0,0,SUMPRODUCT($AI$7:$DF$7,'Staff Daily sales'!$G83:$CD83))</f>
        <v>3722.0299999999997</v>
      </c>
      <c r="N98">
        <f>IF($E98=0,0,SUMPRODUCT($AI$8:$DF$8,'Staff Daily sales'!$G83:$CD83))</f>
        <v>32</v>
      </c>
      <c r="O98">
        <f>IF($E98=0,0,SUMPRODUCT($AI$9:$DF$9,'Staff Daily sales'!$G83:$CD83))</f>
        <v>7473.1399999999994</v>
      </c>
      <c r="P98">
        <f>IF($E98=0,0,SUMPRODUCT($AI$10:$DF$10,'Staff Daily sales'!$G83:$CD83))</f>
        <v>54</v>
      </c>
      <c r="Q98">
        <f>IF($E98=0,0,SUMPRODUCT($AI$11:$DF$11,'Staff Daily sales'!$G83:$CD83))</f>
        <v>7860.13</v>
      </c>
      <c r="R98">
        <f>IF($E98=0,0,SUMPRODUCT($AI$12:$DF$12,'Staff Daily sales'!$G83:$CD83))</f>
        <v>51</v>
      </c>
      <c r="S98">
        <f>IF($E98=0,0,SUMPRODUCT($AI$13:$DF$13,'Staff Daily sales'!$G83:$CD83))</f>
        <v>2696.98</v>
      </c>
      <c r="T98">
        <f>IF($E98=0,0,SUMPRODUCT($AI$14:$DF$14,'Staff Daily sales'!$G83:$CD83))</f>
        <v>19</v>
      </c>
      <c r="U98">
        <f>IF($E98=0,0,SUMPRODUCT($AI$15:$DF$15,'Staff Daily sales'!$G83:$CD83))</f>
        <v>1177.04</v>
      </c>
      <c r="V98">
        <f>IF($E98=0,0,SUMPRODUCT($AI$16:$DF$16,'Staff Daily sales'!$G83:$CD83))</f>
        <v>9</v>
      </c>
      <c r="W98">
        <f t="shared" si="47"/>
        <v>35910.550000000003</v>
      </c>
      <c r="X98">
        <f t="shared" si="48"/>
        <v>47497.889999999992</v>
      </c>
      <c r="Y98">
        <f t="shared" si="49"/>
        <v>41491.54</v>
      </c>
      <c r="Z98">
        <f t="shared" si="50"/>
        <v>28447.440000000002</v>
      </c>
      <c r="AA98">
        <f t="shared" si="51"/>
        <v>7906.91</v>
      </c>
      <c r="AB98">
        <f>--AND($E98=1,OR('Staff Weekly Trend'!$B$3="All",$DH98='Staff Weekly Trend'!$B$3),OR('Staff Weekly Trend'!$B$4="All",$D98='Staff Weekly Trend'!$B$4),OR('Staff Weekly Trend'!$B$5="All",$A98='Staff Weekly Trend'!$B$5))</f>
        <v>1</v>
      </c>
      <c r="AC98" t="str">
        <f t="shared" si="52"/>
        <v/>
      </c>
      <c r="AG98" t="str">
        <v>HASHKAVNUE</v>
      </c>
      <c r="AI98">
        <f t="shared" si="53"/>
        <v>287</v>
      </c>
      <c r="AJ98">
        <f t="shared" si="54"/>
        <v>318</v>
      </c>
      <c r="AK98">
        <f t="shared" si="55"/>
        <v>291</v>
      </c>
      <c r="AL98">
        <f t="shared" si="56"/>
        <v>193</v>
      </c>
      <c r="AM98">
        <f t="shared" si="57"/>
        <v>48</v>
      </c>
      <c r="DH98" t="str" cm="1">
        <f t="array" ref="DH98">IF($A98="","",_xlfn.LET(_xlpm.c,IFERROR(_xlfn.XLOOKUP($A98,TRIM('Sales and count'!$A$4:$A$300&amp;""),TRIM('Sales and count'!$B$4:$B$300&amp;"")),""),IF(OR(_xlpm.c="",_xlpm.c="0",LEFT(_xlpm.c,1)="#"),"Not set",_xlpm.c)))</f>
        <v>KSA</v>
      </c>
    </row>
    <row r="99" spans="1:112" x14ac:dyDescent="0.25">
      <c r="A99" t="str">
        <f>IF('Staff Daily sales'!$B84="","",TRIM('Staff Daily sales'!$B84&amp;""))</f>
        <v>SHIHAR</v>
      </c>
      <c r="B99" t="str">
        <f>IF('Staff Daily sales'!$D84="","",TRIM('Staff Daily sales'!$D84&amp;""))</f>
        <v>4609-BAl-Zahrani</v>
      </c>
      <c r="C99" t="str">
        <f>IFERROR(TRIM('Staff Daily sales'!$E84&amp;""),"")</f>
        <v>Taif</v>
      </c>
      <c r="D99" t="str">
        <f>IFERROR(IF(TRIM('Staff Daily sales'!$F84&amp;"")="","Unassigned",TRIM('Staff Daily sales'!$F84&amp;"")),"Unassigned")</f>
        <v>Saleh Bin Hoiel</v>
      </c>
      <c r="E99">
        <f t="shared" si="42"/>
        <v>1</v>
      </c>
      <c r="F99">
        <f>IF($E99=0,0,SUMPRODUCT($AI$5:$DF$5,'Staff Daily sales'!$G84:$CD84))</f>
        <v>0</v>
      </c>
      <c r="G99">
        <f>IF($E99=0,0,SUMPRODUCT($AI$6:$DF$6,'Staff Daily sales'!$G84:$CD84))</f>
        <v>0</v>
      </c>
      <c r="H99">
        <f t="shared" si="43"/>
        <v>6150.7000000000007</v>
      </c>
      <c r="I99">
        <f t="shared" si="44"/>
        <v>33</v>
      </c>
      <c r="J99">
        <f t="shared" si="45"/>
        <v>69638.36</v>
      </c>
      <c r="K99">
        <f t="shared" si="46"/>
        <v>362</v>
      </c>
      <c r="L99">
        <f>--AND($E99=1,OR('Staff Dashboard'!$B$6="All",$DH99='Staff Dashboard'!$B$6),OR('Staff Dashboard'!$B$7="All",$D99='Staff Dashboard'!$B$7),OR('Staff Dashboard'!$B$8="All",$A99='Staff Dashboard'!$B$8))</f>
        <v>0</v>
      </c>
      <c r="M99">
        <f>IF($E99=0,0,SUMPRODUCT($AI$7:$DF$7,'Staff Daily sales'!$G84:$CD84))</f>
        <v>2010.02</v>
      </c>
      <c r="N99">
        <f>IF($E99=0,0,SUMPRODUCT($AI$8:$DF$8,'Staff Daily sales'!$G84:$CD84))</f>
        <v>17</v>
      </c>
      <c r="O99">
        <f>IF($E99=0,0,SUMPRODUCT($AI$9:$DF$9,'Staff Daily sales'!$G84:$CD84))</f>
        <v>2785.05</v>
      </c>
      <c r="P99">
        <f>IF($E99=0,0,SUMPRODUCT($AI$10:$DF$10,'Staff Daily sales'!$G84:$CD84))</f>
        <v>15</v>
      </c>
      <c r="Q99">
        <f>IF($E99=0,0,SUMPRODUCT($AI$11:$DF$11,'Staff Daily sales'!$G84:$CD84))</f>
        <v>619.03</v>
      </c>
      <c r="R99">
        <f>IF($E99=0,0,SUMPRODUCT($AI$12:$DF$12,'Staff Daily sales'!$G84:$CD84))</f>
        <v>4</v>
      </c>
      <c r="S99">
        <f>IF($E99=0,0,SUMPRODUCT($AI$13:$DF$13,'Staff Daily sales'!$G84:$CD84))</f>
        <v>1332.03</v>
      </c>
      <c r="T99">
        <f>IF($E99=0,0,SUMPRODUCT($AI$14:$DF$14,'Staff Daily sales'!$G84:$CD84))</f>
        <v>10</v>
      </c>
      <c r="U99">
        <f>IF($E99=0,0,SUMPRODUCT($AI$15:$DF$15,'Staff Daily sales'!$G84:$CD84))</f>
        <v>0</v>
      </c>
      <c r="V99">
        <f>IF($E99=0,0,SUMPRODUCT($AI$16:$DF$16,'Staff Daily sales'!$G84:$CD84))</f>
        <v>0</v>
      </c>
      <c r="W99">
        <f t="shared" si="47"/>
        <v>35910.550000000003</v>
      </c>
      <c r="X99">
        <f t="shared" si="48"/>
        <v>47497.889999999992</v>
      </c>
      <c r="Y99">
        <f t="shared" si="49"/>
        <v>41491.54</v>
      </c>
      <c r="Z99">
        <f t="shared" si="50"/>
        <v>28447.440000000002</v>
      </c>
      <c r="AA99">
        <f t="shared" si="51"/>
        <v>7906.91</v>
      </c>
      <c r="AB99">
        <f>--AND($E99=1,OR('Staff Weekly Trend'!$B$3="All",$DH99='Staff Weekly Trend'!$B$3),OR('Staff Weekly Trend'!$B$4="All",$D99='Staff Weekly Trend'!$B$4),OR('Staff Weekly Trend'!$B$5="All",$A99='Staff Weekly Trend'!$B$5))</f>
        <v>1</v>
      </c>
      <c r="AC99" t="str">
        <f t="shared" si="52"/>
        <v/>
      </c>
      <c r="AG99" t="str">
        <v>HASOUQBRZ</v>
      </c>
      <c r="AI99">
        <f t="shared" si="53"/>
        <v>287</v>
      </c>
      <c r="AJ99">
        <f t="shared" si="54"/>
        <v>318</v>
      </c>
      <c r="AK99">
        <f t="shared" si="55"/>
        <v>291</v>
      </c>
      <c r="AL99">
        <f t="shared" si="56"/>
        <v>193</v>
      </c>
      <c r="AM99">
        <f t="shared" si="57"/>
        <v>48</v>
      </c>
      <c r="DH99" t="str" cm="1">
        <f t="array" ref="DH99">IF($A99="","",_xlfn.LET(_xlpm.c,IFERROR(_xlfn.XLOOKUP($A99,TRIM('Sales and count'!$A$4:$A$300&amp;""),TRIM('Sales and count'!$B$4:$B$300&amp;"")),""),IF(OR(_xlpm.c="",_xlpm.c="0",LEFT(_xlpm.c,1)="#"),"Not set",_xlpm.c)))</f>
        <v>KSA</v>
      </c>
    </row>
    <row r="100" spans="1:112" x14ac:dyDescent="0.25">
      <c r="A100" t="str">
        <f>IF('Staff Daily sales'!$B85="","",TRIM('Staff Daily sales'!$B85&amp;""))</f>
        <v>SHIHAR</v>
      </c>
      <c r="B100" t="str">
        <f>IF('Staff Daily sales'!$D85="","",TRIM('Staff Daily sales'!$D85&amp;""))</f>
        <v>5565-RAlqurashi</v>
      </c>
      <c r="C100" t="str">
        <f>IFERROR(TRIM('Staff Daily sales'!$E85&amp;""),"")</f>
        <v>Taif</v>
      </c>
      <c r="D100" t="str">
        <f>IFERROR(IF(TRIM('Staff Daily sales'!$F85&amp;"")="","Unassigned",TRIM('Staff Daily sales'!$F85&amp;"")),"Unassigned")</f>
        <v>Saleh Bin Hoiel</v>
      </c>
      <c r="E100">
        <f t="shared" si="42"/>
        <v>1</v>
      </c>
      <c r="F100">
        <f>IF($E100=0,0,SUMPRODUCT($AI$5:$DF$5,'Staff Daily sales'!$G85:$CD85))</f>
        <v>0</v>
      </c>
      <c r="G100">
        <f>IF($E100=0,0,SUMPRODUCT($AI$6:$DF$6,'Staff Daily sales'!$G85:$CD85))</f>
        <v>0</v>
      </c>
      <c r="H100">
        <f t="shared" si="43"/>
        <v>6150.7000000000007</v>
      </c>
      <c r="I100">
        <f t="shared" si="44"/>
        <v>33</v>
      </c>
      <c r="J100">
        <f t="shared" si="45"/>
        <v>69638.36</v>
      </c>
      <c r="K100">
        <f t="shared" si="46"/>
        <v>362</v>
      </c>
      <c r="L100">
        <f>--AND($E100=1,OR('Staff Dashboard'!$B$6="All",$DH100='Staff Dashboard'!$B$6),OR('Staff Dashboard'!$B$7="All",$D100='Staff Dashboard'!$B$7),OR('Staff Dashboard'!$B$8="All",$A100='Staff Dashboard'!$B$8))</f>
        <v>0</v>
      </c>
      <c r="M100">
        <f>IF($E100=0,0,SUMPRODUCT($AI$7:$DF$7,'Staff Daily sales'!$G85:$CD85))</f>
        <v>9856.14</v>
      </c>
      <c r="N100">
        <f>IF($E100=0,0,SUMPRODUCT($AI$8:$DF$8,'Staff Daily sales'!$G85:$CD85))</f>
        <v>74</v>
      </c>
      <c r="O100">
        <f>IF($E100=0,0,SUMPRODUCT($AI$9:$DF$9,'Staff Daily sales'!$G85:$CD85))</f>
        <v>8797.2100000000009</v>
      </c>
      <c r="P100">
        <f>IF($E100=0,0,SUMPRODUCT($AI$10:$DF$10,'Staff Daily sales'!$G85:$CD85))</f>
        <v>55</v>
      </c>
      <c r="Q100">
        <f>IF($E100=0,0,SUMPRODUCT($AI$11:$DF$11,'Staff Daily sales'!$G85:$CD85))</f>
        <v>8903.1299999999992</v>
      </c>
      <c r="R100">
        <f>IF($E100=0,0,SUMPRODUCT($AI$12:$DF$12,'Staff Daily sales'!$G85:$CD85))</f>
        <v>63</v>
      </c>
      <c r="S100">
        <f>IF($E100=0,0,SUMPRODUCT($AI$13:$DF$13,'Staff Daily sales'!$G85:$CD85))</f>
        <v>2630.96</v>
      </c>
      <c r="T100">
        <f>IF($E100=0,0,SUMPRODUCT($AI$14:$DF$14,'Staff Daily sales'!$G85:$CD85))</f>
        <v>18</v>
      </c>
      <c r="U100">
        <f>IF($E100=0,0,SUMPRODUCT($AI$15:$DF$15,'Staff Daily sales'!$G85:$CD85))</f>
        <v>0</v>
      </c>
      <c r="V100">
        <f>IF($E100=0,0,SUMPRODUCT($AI$16:$DF$16,'Staff Daily sales'!$G85:$CD85))</f>
        <v>0</v>
      </c>
      <c r="W100">
        <f t="shared" si="47"/>
        <v>35910.550000000003</v>
      </c>
      <c r="X100">
        <f t="shared" si="48"/>
        <v>47497.889999999992</v>
      </c>
      <c r="Y100">
        <f t="shared" si="49"/>
        <v>41491.54</v>
      </c>
      <c r="Z100">
        <f t="shared" si="50"/>
        <v>28447.440000000002</v>
      </c>
      <c r="AA100">
        <f t="shared" si="51"/>
        <v>7906.91</v>
      </c>
      <c r="AB100">
        <f>--AND($E100=1,OR('Staff Weekly Trend'!$B$3="All",$DH100='Staff Weekly Trend'!$B$3),OR('Staff Weekly Trend'!$B$4="All",$D100='Staff Weekly Trend'!$B$4),OR('Staff Weekly Trend'!$B$5="All",$A100='Staff Weekly Trend'!$B$5))</f>
        <v>1</v>
      </c>
      <c r="AC100" t="str">
        <f t="shared" si="52"/>
        <v/>
      </c>
      <c r="AG100" t="str">
        <v>HASOUQEBQ</v>
      </c>
      <c r="AI100">
        <f t="shared" si="53"/>
        <v>287</v>
      </c>
      <c r="AJ100">
        <f t="shared" si="54"/>
        <v>318</v>
      </c>
      <c r="AK100">
        <f t="shared" si="55"/>
        <v>291</v>
      </c>
      <c r="AL100">
        <f t="shared" si="56"/>
        <v>193</v>
      </c>
      <c r="AM100">
        <f t="shared" si="57"/>
        <v>48</v>
      </c>
      <c r="DH100" t="str" cm="1">
        <f t="array" ref="DH100">IF($A100="","",_xlfn.LET(_xlpm.c,IFERROR(_xlfn.XLOOKUP($A100,TRIM('Sales and count'!$A$4:$A$300&amp;""),TRIM('Sales and count'!$B$4:$B$300&amp;"")),""),IF(OR(_xlpm.c="",_xlpm.c="0",LEFT(_xlpm.c,1)="#"),"Not set",_xlpm.c)))</f>
        <v>KSA</v>
      </c>
    </row>
    <row r="101" spans="1:112" x14ac:dyDescent="0.25">
      <c r="A101" t="str">
        <f>IF('Staff Daily sales'!$B86="","",TRIM('Staff Daily sales'!$B86&amp;""))</f>
        <v>SHIHAR</v>
      </c>
      <c r="B101" t="str">
        <f>IF('Staff Daily sales'!$D86="","",TRIM('Staff Daily sales'!$D86&amp;""))</f>
        <v>5566-SNasser</v>
      </c>
      <c r="C101" t="str">
        <f>IFERROR(TRIM('Staff Daily sales'!$E86&amp;""),"")</f>
        <v>Taif</v>
      </c>
      <c r="D101" t="str">
        <f>IFERROR(IF(TRIM('Staff Daily sales'!$F86&amp;"")="","Unassigned",TRIM('Staff Daily sales'!$F86&amp;"")),"Unassigned")</f>
        <v>Saleh Bin Hoiel</v>
      </c>
      <c r="E101">
        <f t="shared" si="42"/>
        <v>1</v>
      </c>
      <c r="F101">
        <f>IF($E101=0,0,SUMPRODUCT($AI$5:$DF$5,'Staff Daily sales'!$G86:$CD86))</f>
        <v>2985.88</v>
      </c>
      <c r="G101">
        <f>IF($E101=0,0,SUMPRODUCT($AI$6:$DF$6,'Staff Daily sales'!$G86:$CD86))</f>
        <v>11</v>
      </c>
      <c r="H101">
        <f t="shared" si="43"/>
        <v>6150.7000000000007</v>
      </c>
      <c r="I101">
        <f t="shared" si="44"/>
        <v>33</v>
      </c>
      <c r="J101">
        <f t="shared" si="45"/>
        <v>69638.36</v>
      </c>
      <c r="K101">
        <f t="shared" si="46"/>
        <v>362</v>
      </c>
      <c r="L101">
        <f>--AND($E101=1,OR('Staff Dashboard'!$B$6="All",$DH101='Staff Dashboard'!$B$6),OR('Staff Dashboard'!$B$7="All",$D101='Staff Dashboard'!$B$7),OR('Staff Dashboard'!$B$8="All",$A101='Staff Dashboard'!$B$8))</f>
        <v>0</v>
      </c>
      <c r="M101">
        <f>IF($E101=0,0,SUMPRODUCT($AI$7:$DF$7,'Staff Daily sales'!$G86:$CD86))</f>
        <v>3584.07</v>
      </c>
      <c r="N101">
        <f>IF($E101=0,0,SUMPRODUCT($AI$8:$DF$8,'Staff Daily sales'!$G86:$CD86))</f>
        <v>33</v>
      </c>
      <c r="O101">
        <f>IF($E101=0,0,SUMPRODUCT($AI$9:$DF$9,'Staff Daily sales'!$G86:$CD86))</f>
        <v>9954.130000000001</v>
      </c>
      <c r="P101">
        <f>IF($E101=0,0,SUMPRODUCT($AI$10:$DF$10,'Staff Daily sales'!$G86:$CD86))</f>
        <v>75</v>
      </c>
      <c r="Q101">
        <f>IF($E101=0,0,SUMPRODUCT($AI$11:$DF$11,'Staff Daily sales'!$G86:$CD86))</f>
        <v>11293.11</v>
      </c>
      <c r="R101">
        <f>IF($E101=0,0,SUMPRODUCT($AI$12:$DF$12,'Staff Daily sales'!$G86:$CD86))</f>
        <v>87</v>
      </c>
      <c r="S101">
        <f>IF($E101=0,0,SUMPRODUCT($AI$13:$DF$13,'Staff Daily sales'!$G86:$CD86))</f>
        <v>7365.85</v>
      </c>
      <c r="T101">
        <f>IF($E101=0,0,SUMPRODUCT($AI$14:$DF$14,'Staff Daily sales'!$G86:$CD86))</f>
        <v>43</v>
      </c>
      <c r="U101">
        <f>IF($E101=0,0,SUMPRODUCT($AI$15:$DF$15,'Staff Daily sales'!$G86:$CD86))</f>
        <v>3227.05</v>
      </c>
      <c r="V101">
        <f>IF($E101=0,0,SUMPRODUCT($AI$16:$DF$16,'Staff Daily sales'!$G86:$CD86))</f>
        <v>21</v>
      </c>
      <c r="W101">
        <f t="shared" si="47"/>
        <v>35910.550000000003</v>
      </c>
      <c r="X101">
        <f t="shared" si="48"/>
        <v>47497.889999999992</v>
      </c>
      <c r="Y101">
        <f t="shared" si="49"/>
        <v>41491.54</v>
      </c>
      <c r="Z101">
        <f t="shared" si="50"/>
        <v>28447.440000000002</v>
      </c>
      <c r="AA101">
        <f t="shared" si="51"/>
        <v>7906.91</v>
      </c>
      <c r="AB101">
        <f>--AND($E101=1,OR('Staff Weekly Trend'!$B$3="All",$DH101='Staff Weekly Trend'!$B$3),OR('Staff Weekly Trend'!$B$4="All",$D101='Staff Weekly Trend'!$B$4),OR('Staff Weekly Trend'!$B$5="All",$A101='Staff Weekly Trend'!$B$5))</f>
        <v>1</v>
      </c>
      <c r="AC101">
        <f t="shared" si="52"/>
        <v>1</v>
      </c>
      <c r="AG101" t="str">
        <v>HASULITMAL</v>
      </c>
      <c r="AI101">
        <f t="shared" si="53"/>
        <v>287</v>
      </c>
      <c r="AJ101">
        <f t="shared" si="54"/>
        <v>318</v>
      </c>
      <c r="AK101">
        <f t="shared" si="55"/>
        <v>291</v>
      </c>
      <c r="AL101">
        <f t="shared" si="56"/>
        <v>193</v>
      </c>
      <c r="AM101">
        <f t="shared" si="57"/>
        <v>48</v>
      </c>
      <c r="DH101" t="str" cm="1">
        <f t="array" ref="DH101">IF($A101="","",_xlfn.LET(_xlpm.c,IFERROR(_xlfn.XLOOKUP($A101,TRIM('Sales and count'!$A$4:$A$300&amp;""),TRIM('Sales and count'!$B$4:$B$300&amp;"")),""),IF(OR(_xlpm.c="",_xlpm.c="0",LEFT(_xlpm.c,1)="#"),"Not set",_xlpm.c)))</f>
        <v>KSA</v>
      </c>
    </row>
    <row r="102" spans="1:112" x14ac:dyDescent="0.25">
      <c r="A102" t="str">
        <f>IF('Staff Daily sales'!$B87="","",TRIM('Staff Daily sales'!$B87&amp;""))</f>
        <v>SHIHAR</v>
      </c>
      <c r="B102" t="str">
        <f>IF('Staff Daily sales'!$D87="","",TRIM('Staff Daily sales'!$D87&amp;""))</f>
        <v>5867-ARazeq</v>
      </c>
      <c r="C102" t="str">
        <f>IFERROR(TRIM('Staff Daily sales'!$E87&amp;""),"")</f>
        <v>Taif</v>
      </c>
      <c r="D102" t="str">
        <f>IFERROR(IF(TRIM('Staff Daily sales'!$F87&amp;"")="","Unassigned",TRIM('Staff Daily sales'!$F87&amp;"")),"Unassigned")</f>
        <v>Saleh Bin Hoiel</v>
      </c>
      <c r="E102">
        <f t="shared" si="42"/>
        <v>1</v>
      </c>
      <c r="F102">
        <f>IF($E102=0,0,SUMPRODUCT($AI$5:$DF$5,'Staff Daily sales'!$G87:$CD87))</f>
        <v>1644.89</v>
      </c>
      <c r="G102">
        <f>IF($E102=0,0,SUMPRODUCT($AI$6:$DF$6,'Staff Daily sales'!$G87:$CD87))</f>
        <v>12</v>
      </c>
      <c r="H102">
        <f t="shared" si="43"/>
        <v>6150.7000000000007</v>
      </c>
      <c r="I102">
        <f t="shared" si="44"/>
        <v>33</v>
      </c>
      <c r="J102">
        <f t="shared" si="45"/>
        <v>69638.36</v>
      </c>
      <c r="K102">
        <f t="shared" si="46"/>
        <v>362</v>
      </c>
      <c r="L102">
        <f>--AND($E102=1,OR('Staff Dashboard'!$B$6="All",$DH102='Staff Dashboard'!$B$6),OR('Staff Dashboard'!$B$7="All",$D102='Staff Dashboard'!$B$7),OR('Staff Dashboard'!$B$8="All",$A102='Staff Dashboard'!$B$8))</f>
        <v>0</v>
      </c>
      <c r="M102">
        <f>IF($E102=0,0,SUMPRODUCT($AI$7:$DF$7,'Staff Daily sales'!$G87:$CD87))</f>
        <v>4430.05</v>
      </c>
      <c r="N102">
        <f>IF($E102=0,0,SUMPRODUCT($AI$8:$DF$8,'Staff Daily sales'!$G87:$CD87))</f>
        <v>31</v>
      </c>
      <c r="O102">
        <f>IF($E102=0,0,SUMPRODUCT($AI$9:$DF$9,'Staff Daily sales'!$G87:$CD87))</f>
        <v>1400.02</v>
      </c>
      <c r="P102">
        <f>IF($E102=0,0,SUMPRODUCT($AI$10:$DF$10,'Staff Daily sales'!$G87:$CD87))</f>
        <v>8</v>
      </c>
      <c r="Q102">
        <f>IF($E102=0,0,SUMPRODUCT($AI$11:$DF$11,'Staff Daily sales'!$G87:$CD87))</f>
        <v>0</v>
      </c>
      <c r="R102">
        <f>IF($E102=0,0,SUMPRODUCT($AI$12:$DF$12,'Staff Daily sales'!$G87:$CD87))</f>
        <v>0</v>
      </c>
      <c r="S102">
        <f>IF($E102=0,0,SUMPRODUCT($AI$13:$DF$13,'Staff Daily sales'!$G87:$CD87))</f>
        <v>7186.8200000000006</v>
      </c>
      <c r="T102">
        <f>IF($E102=0,0,SUMPRODUCT($AI$14:$DF$14,'Staff Daily sales'!$G87:$CD87))</f>
        <v>54</v>
      </c>
      <c r="U102">
        <f>IF($E102=0,0,SUMPRODUCT($AI$15:$DF$15,'Staff Daily sales'!$G87:$CD87))</f>
        <v>632.94000000000005</v>
      </c>
      <c r="V102">
        <f>IF($E102=0,0,SUMPRODUCT($AI$16:$DF$16,'Staff Daily sales'!$G87:$CD87))</f>
        <v>3</v>
      </c>
      <c r="W102">
        <f t="shared" si="47"/>
        <v>35910.550000000003</v>
      </c>
      <c r="X102">
        <f t="shared" si="48"/>
        <v>47497.889999999992</v>
      </c>
      <c r="Y102">
        <f t="shared" si="49"/>
        <v>41491.54</v>
      </c>
      <c r="Z102">
        <f t="shared" si="50"/>
        <v>28447.440000000002</v>
      </c>
      <c r="AA102">
        <f t="shared" si="51"/>
        <v>7906.91</v>
      </c>
      <c r="AB102">
        <f>--AND($E102=1,OR('Staff Weekly Trend'!$B$3="All",$DH102='Staff Weekly Trend'!$B$3),OR('Staff Weekly Trend'!$B$4="All",$D102='Staff Weekly Trend'!$B$4),OR('Staff Weekly Trend'!$B$5="All",$A102='Staff Weekly Trend'!$B$5))</f>
        <v>1</v>
      </c>
      <c r="AC102">
        <f t="shared" si="52"/>
        <v>2</v>
      </c>
      <c r="AG102" t="str">
        <v>HASULTANA</v>
      </c>
      <c r="AI102">
        <f t="shared" si="53"/>
        <v>287</v>
      </c>
      <c r="AJ102">
        <f t="shared" si="54"/>
        <v>318</v>
      </c>
      <c r="AK102">
        <f t="shared" si="55"/>
        <v>291</v>
      </c>
      <c r="AL102">
        <f t="shared" si="56"/>
        <v>193</v>
      </c>
      <c r="AM102">
        <f t="shared" si="57"/>
        <v>48</v>
      </c>
      <c r="DH102" t="str" cm="1">
        <f t="array" ref="DH102">IF($A102="","",_xlfn.LET(_xlpm.c,IFERROR(_xlfn.XLOOKUP($A102,TRIM('Sales and count'!$A$4:$A$300&amp;""),TRIM('Sales and count'!$B$4:$B$300&amp;"")),""),IF(OR(_xlpm.c="",_xlpm.c="0",LEFT(_xlpm.c,1)="#"),"Not set",_xlpm.c)))</f>
        <v>KSA</v>
      </c>
    </row>
    <row r="103" spans="1:112" x14ac:dyDescent="0.25">
      <c r="A103" t="str">
        <f>IF('Staff Daily sales'!$B88="","",TRIM('Staff Daily sales'!$B88&amp;""))</f>
        <v>KFAHADRD</v>
      </c>
      <c r="B103" t="str">
        <f>IF('Staff Daily sales'!$D88="","",TRIM('Staff Daily sales'!$D88&amp;""))</f>
        <v>2960-Hussain Alowayni</v>
      </c>
      <c r="C103" t="str">
        <f>IFERROR(TRIM('Staff Daily sales'!$E88&amp;""),"")</f>
        <v>Riyadh</v>
      </c>
      <c r="D103" t="str">
        <f>IFERROR(IF(TRIM('Staff Daily sales'!$F88&amp;"")="","Unassigned",TRIM('Staff Daily sales'!$F88&amp;"")),"Unassigned")</f>
        <v>Lina Al Ghathami</v>
      </c>
      <c r="E103">
        <f t="shared" si="42"/>
        <v>1</v>
      </c>
      <c r="F103">
        <f>IF($E103=0,0,SUMPRODUCT($AI$5:$DF$5,'Staff Daily sales'!$G88:$CD88))</f>
        <v>3511.81</v>
      </c>
      <c r="G103">
        <f>IF($E103=0,0,SUMPRODUCT($AI$6:$DF$6,'Staff Daily sales'!$G88:$CD88))</f>
        <v>15</v>
      </c>
      <c r="H103">
        <f t="shared" si="43"/>
        <v>10103.44</v>
      </c>
      <c r="I103">
        <f t="shared" si="44"/>
        <v>53</v>
      </c>
      <c r="J103">
        <f t="shared" si="45"/>
        <v>62915.250000000007</v>
      </c>
      <c r="K103">
        <f t="shared" si="46"/>
        <v>385</v>
      </c>
      <c r="L103">
        <f>--AND($E103=1,OR('Staff Dashboard'!$B$6="All",$DH103='Staff Dashboard'!$B$6),OR('Staff Dashboard'!$B$7="All",$D103='Staff Dashboard'!$B$7),OR('Staff Dashboard'!$B$8="All",$A103='Staff Dashboard'!$B$8))</f>
        <v>0</v>
      </c>
      <c r="M103">
        <f>IF($E103=0,0,SUMPRODUCT($AI$7:$DF$7,'Staff Daily sales'!$G88:$CD88))</f>
        <v>14462.29</v>
      </c>
      <c r="N103">
        <f>IF($E103=0,0,SUMPRODUCT($AI$8:$DF$8,'Staff Daily sales'!$G88:$CD88))</f>
        <v>87</v>
      </c>
      <c r="O103">
        <f>IF($E103=0,0,SUMPRODUCT($AI$9:$DF$9,'Staff Daily sales'!$G88:$CD88))</f>
        <v>22460.390000000003</v>
      </c>
      <c r="P103">
        <f>IF($E103=0,0,SUMPRODUCT($AI$10:$DF$10,'Staff Daily sales'!$G88:$CD88))</f>
        <v>118</v>
      </c>
      <c r="Q103">
        <f>IF($E103=0,0,SUMPRODUCT($AI$11:$DF$11,'Staff Daily sales'!$G88:$CD88))</f>
        <v>11960.300000000001</v>
      </c>
      <c r="R103">
        <f>IF($E103=0,0,SUMPRODUCT($AI$12:$DF$12,'Staff Daily sales'!$G88:$CD88))</f>
        <v>61</v>
      </c>
      <c r="S103">
        <f>IF($E103=0,0,SUMPRODUCT($AI$13:$DF$13,'Staff Daily sales'!$G88:$CD88))</f>
        <v>11985.64</v>
      </c>
      <c r="T103">
        <f>IF($E103=0,0,SUMPRODUCT($AI$14:$DF$14,'Staff Daily sales'!$G88:$CD88))</f>
        <v>56</v>
      </c>
      <c r="U103">
        <f>IF($E103=0,0,SUMPRODUCT($AI$15:$DF$15,'Staff Daily sales'!$G88:$CD88))</f>
        <v>0</v>
      </c>
      <c r="V103">
        <f>IF($E103=0,0,SUMPRODUCT($AI$16:$DF$16,'Staff Daily sales'!$G88:$CD88))</f>
        <v>0</v>
      </c>
      <c r="W103">
        <f t="shared" si="47"/>
        <v>48194.930000000008</v>
      </c>
      <c r="X103">
        <f t="shared" si="48"/>
        <v>83079.569999999992</v>
      </c>
      <c r="Y103">
        <f t="shared" si="49"/>
        <v>63345.97</v>
      </c>
      <c r="Z103">
        <f t="shared" si="50"/>
        <v>53120.86</v>
      </c>
      <c r="AA103">
        <f t="shared" si="51"/>
        <v>21378.58</v>
      </c>
      <c r="AB103">
        <f>--AND($E103=1,OR('Staff Weekly Trend'!$B$3="All",$DH103='Staff Weekly Trend'!$B$3),OR('Staff Weekly Trend'!$B$4="All",$D103='Staff Weekly Trend'!$B$4),OR('Staff Weekly Trend'!$B$5="All",$A103='Staff Weekly Trend'!$B$5))</f>
        <v>1</v>
      </c>
      <c r="AC103">
        <f t="shared" si="52"/>
        <v>1</v>
      </c>
      <c r="AG103" t="str">
        <v>HATABUKPR</v>
      </c>
      <c r="AI103">
        <f t="shared" si="53"/>
        <v>294</v>
      </c>
      <c r="AJ103">
        <f t="shared" si="54"/>
        <v>458</v>
      </c>
      <c r="AK103">
        <f t="shared" si="55"/>
        <v>340</v>
      </c>
      <c r="AL103">
        <f t="shared" si="56"/>
        <v>269</v>
      </c>
      <c r="AM103">
        <f t="shared" si="57"/>
        <v>82</v>
      </c>
      <c r="DH103" t="str" cm="1">
        <f t="array" ref="DH103">IF($A103="","",_xlfn.LET(_xlpm.c,IFERROR(_xlfn.XLOOKUP($A103,TRIM('Sales and count'!$A$4:$A$300&amp;""),TRIM('Sales and count'!$B$4:$B$300&amp;"")),""),IF(OR(_xlpm.c="",_xlpm.c="0",LEFT(_xlpm.c,1)="#"),"Not set",_xlpm.c)))</f>
        <v>KSA</v>
      </c>
    </row>
    <row r="104" spans="1:112" x14ac:dyDescent="0.25">
      <c r="A104" t="str">
        <f>IF('Staff Daily sales'!$B89="","",TRIM('Staff Daily sales'!$B89&amp;""))</f>
        <v>KFAHADRD</v>
      </c>
      <c r="B104" t="str">
        <f>IF('Staff Daily sales'!$D89="","",TRIM('Staff Daily sales'!$D89&amp;""))</f>
        <v>3512-Nhazazi</v>
      </c>
      <c r="C104" t="str">
        <f>IFERROR(TRIM('Staff Daily sales'!$E89&amp;""),"")</f>
        <v>Riyadh</v>
      </c>
      <c r="D104" t="str">
        <f>IFERROR(IF(TRIM('Staff Daily sales'!$F89&amp;"")="","Unassigned",TRIM('Staff Daily sales'!$F89&amp;"")),"Unassigned")</f>
        <v>Lina Al Ghathami</v>
      </c>
      <c r="E104">
        <f t="shared" si="42"/>
        <v>1</v>
      </c>
      <c r="F104">
        <f>IF($E104=0,0,SUMPRODUCT($AI$5:$DF$5,'Staff Daily sales'!$G89:$CD89))</f>
        <v>2119.86</v>
      </c>
      <c r="G104">
        <f>IF($E104=0,0,SUMPRODUCT($AI$6:$DF$6,'Staff Daily sales'!$G89:$CD89))</f>
        <v>11</v>
      </c>
      <c r="H104">
        <f t="shared" si="43"/>
        <v>10103.44</v>
      </c>
      <c r="I104">
        <f t="shared" si="44"/>
        <v>53</v>
      </c>
      <c r="J104">
        <f t="shared" si="45"/>
        <v>62915.250000000007</v>
      </c>
      <c r="K104">
        <f t="shared" si="46"/>
        <v>385</v>
      </c>
      <c r="L104">
        <f>--AND($E104=1,OR('Staff Dashboard'!$B$6="All",$DH104='Staff Dashboard'!$B$6),OR('Staff Dashboard'!$B$7="All",$D104='Staff Dashboard'!$B$7),OR('Staff Dashboard'!$B$8="All",$A104='Staff Dashboard'!$B$8))</f>
        <v>0</v>
      </c>
      <c r="M104">
        <f>IF($E104=0,0,SUMPRODUCT($AI$7:$DF$7,'Staff Daily sales'!$G89:$CD89))</f>
        <v>4320.12</v>
      </c>
      <c r="N104">
        <f>IF($E104=0,0,SUMPRODUCT($AI$8:$DF$8,'Staff Daily sales'!$G89:$CD89))</f>
        <v>32</v>
      </c>
      <c r="O104">
        <f>IF($E104=0,0,SUMPRODUCT($AI$9:$DF$9,'Staff Daily sales'!$G89:$CD89))</f>
        <v>10948.3</v>
      </c>
      <c r="P104">
        <f>IF($E104=0,0,SUMPRODUCT($AI$10:$DF$10,'Staff Daily sales'!$G89:$CD89))</f>
        <v>60</v>
      </c>
      <c r="Q104">
        <f>IF($E104=0,0,SUMPRODUCT($AI$11:$DF$11,'Staff Daily sales'!$G89:$CD89))</f>
        <v>11618.11</v>
      </c>
      <c r="R104">
        <f>IF($E104=0,0,SUMPRODUCT($AI$12:$DF$12,'Staff Daily sales'!$G89:$CD89))</f>
        <v>75</v>
      </c>
      <c r="S104">
        <f>IF($E104=0,0,SUMPRODUCT($AI$13:$DF$13,'Staff Daily sales'!$G89:$CD89))</f>
        <v>6154.82</v>
      </c>
      <c r="T104">
        <f>IF($E104=0,0,SUMPRODUCT($AI$14:$DF$14,'Staff Daily sales'!$G89:$CD89))</f>
        <v>35</v>
      </c>
      <c r="U104">
        <f>IF($E104=0,0,SUMPRODUCT($AI$15:$DF$15,'Staff Daily sales'!$G89:$CD89))</f>
        <v>9686.130000000001</v>
      </c>
      <c r="V104">
        <f>IF($E104=0,0,SUMPRODUCT($AI$16:$DF$16,'Staff Daily sales'!$G89:$CD89))</f>
        <v>38</v>
      </c>
      <c r="W104">
        <f t="shared" si="47"/>
        <v>48194.930000000008</v>
      </c>
      <c r="X104">
        <f t="shared" si="48"/>
        <v>83079.569999999992</v>
      </c>
      <c r="Y104">
        <f t="shared" si="49"/>
        <v>63345.97</v>
      </c>
      <c r="Z104">
        <f t="shared" si="50"/>
        <v>53120.86</v>
      </c>
      <c r="AA104">
        <f t="shared" si="51"/>
        <v>21378.58</v>
      </c>
      <c r="AB104">
        <f>--AND($E104=1,OR('Staff Weekly Trend'!$B$3="All",$DH104='Staff Weekly Trend'!$B$3),OR('Staff Weekly Trend'!$B$4="All",$D104='Staff Weekly Trend'!$B$4),OR('Staff Weekly Trend'!$B$5="All",$A104='Staff Weekly Trend'!$B$5))</f>
        <v>1</v>
      </c>
      <c r="AC104">
        <f t="shared" si="52"/>
        <v>2</v>
      </c>
      <c r="AG104" t="str">
        <v>HATAIFJRY</v>
      </c>
      <c r="AI104">
        <f t="shared" si="53"/>
        <v>294</v>
      </c>
      <c r="AJ104">
        <f t="shared" si="54"/>
        <v>458</v>
      </c>
      <c r="AK104">
        <f t="shared" si="55"/>
        <v>340</v>
      </c>
      <c r="AL104">
        <f t="shared" si="56"/>
        <v>269</v>
      </c>
      <c r="AM104">
        <f t="shared" si="57"/>
        <v>82</v>
      </c>
      <c r="DH104" t="str" cm="1">
        <f t="array" ref="DH104">IF($A104="","",_xlfn.LET(_xlpm.c,IFERROR(_xlfn.XLOOKUP($A104,TRIM('Sales and count'!$A$4:$A$300&amp;""),TRIM('Sales and count'!$B$4:$B$300&amp;"")),""),IF(OR(_xlpm.c="",_xlpm.c="0",LEFT(_xlpm.c,1)="#"),"Not set",_xlpm.c)))</f>
        <v>KSA</v>
      </c>
    </row>
    <row r="105" spans="1:112" x14ac:dyDescent="0.25">
      <c r="A105" t="str">
        <f>IF('Staff Daily sales'!$B90="","",TRIM('Staff Daily sales'!$B90&amp;""))</f>
        <v>KFAHADRD</v>
      </c>
      <c r="B105" t="str">
        <f>IF('Staff Daily sales'!$D90="","",TRIM('Staff Daily sales'!$D90&amp;""))</f>
        <v>3521-AAlMutairi</v>
      </c>
      <c r="C105" t="str">
        <f>IFERROR(TRIM('Staff Daily sales'!$E90&amp;""),"")</f>
        <v>Riyadh</v>
      </c>
      <c r="D105" t="str">
        <f>IFERROR(IF(TRIM('Staff Daily sales'!$F90&amp;"")="","Unassigned",TRIM('Staff Daily sales'!$F90&amp;"")),"Unassigned")</f>
        <v>Lina Al Ghathami</v>
      </c>
      <c r="E105">
        <f t="shared" si="42"/>
        <v>1</v>
      </c>
      <c r="F105">
        <f>IF($E105=0,0,SUMPRODUCT($AI$5:$DF$5,'Staff Daily sales'!$G90:$CD90))</f>
        <v>372</v>
      </c>
      <c r="G105">
        <f>IF($E105=0,0,SUMPRODUCT($AI$6:$DF$6,'Staff Daily sales'!$G90:$CD90))</f>
        <v>3</v>
      </c>
      <c r="H105">
        <f t="shared" si="43"/>
        <v>10103.44</v>
      </c>
      <c r="I105">
        <f t="shared" si="44"/>
        <v>53</v>
      </c>
      <c r="J105">
        <f t="shared" si="45"/>
        <v>62915.250000000007</v>
      </c>
      <c r="K105">
        <f t="shared" si="46"/>
        <v>385</v>
      </c>
      <c r="L105">
        <f>--AND($E105=1,OR('Staff Dashboard'!$B$6="All",$DH105='Staff Dashboard'!$B$6),OR('Staff Dashboard'!$B$7="All",$D105='Staff Dashboard'!$B$7),OR('Staff Dashboard'!$B$8="All",$A105='Staff Dashboard'!$B$8))</f>
        <v>0</v>
      </c>
      <c r="M105">
        <f>IF($E105=0,0,SUMPRODUCT($AI$7:$DF$7,'Staff Daily sales'!$G90:$CD90))</f>
        <v>9490.18</v>
      </c>
      <c r="N105">
        <f>IF($E105=0,0,SUMPRODUCT($AI$8:$DF$8,'Staff Daily sales'!$G90:$CD90))</f>
        <v>53</v>
      </c>
      <c r="O105">
        <f>IF($E105=0,0,SUMPRODUCT($AI$9:$DF$9,'Staff Daily sales'!$G90:$CD90))</f>
        <v>14543.23</v>
      </c>
      <c r="P105">
        <f>IF($E105=0,0,SUMPRODUCT($AI$10:$DF$10,'Staff Daily sales'!$G90:$CD90))</f>
        <v>73</v>
      </c>
      <c r="Q105">
        <f>IF($E105=0,0,SUMPRODUCT($AI$11:$DF$11,'Staff Daily sales'!$G90:$CD90))</f>
        <v>7308.06</v>
      </c>
      <c r="R105">
        <f>IF($E105=0,0,SUMPRODUCT($AI$12:$DF$12,'Staff Daily sales'!$G90:$CD90))</f>
        <v>39</v>
      </c>
      <c r="S105">
        <f>IF($E105=0,0,SUMPRODUCT($AI$13:$DF$13,'Staff Daily sales'!$G90:$CD90))</f>
        <v>5382.02</v>
      </c>
      <c r="T105">
        <f>IF($E105=0,0,SUMPRODUCT($AI$14:$DF$14,'Staff Daily sales'!$G90:$CD90))</f>
        <v>14</v>
      </c>
      <c r="U105">
        <f>IF($E105=0,0,SUMPRODUCT($AI$15:$DF$15,'Staff Daily sales'!$G90:$CD90))</f>
        <v>4179.3500000000004</v>
      </c>
      <c r="V105">
        <f>IF($E105=0,0,SUMPRODUCT($AI$16:$DF$16,'Staff Daily sales'!$G90:$CD90))</f>
        <v>7</v>
      </c>
      <c r="W105">
        <f t="shared" si="47"/>
        <v>48194.930000000008</v>
      </c>
      <c r="X105">
        <f t="shared" si="48"/>
        <v>83079.569999999992</v>
      </c>
      <c r="Y105">
        <f t="shared" si="49"/>
        <v>63345.97</v>
      </c>
      <c r="Z105">
        <f t="shared" si="50"/>
        <v>53120.86</v>
      </c>
      <c r="AA105">
        <f t="shared" si="51"/>
        <v>21378.58</v>
      </c>
      <c r="AB105">
        <f>--AND($E105=1,OR('Staff Weekly Trend'!$B$3="All",$DH105='Staff Weekly Trend'!$B$3),OR('Staff Weekly Trend'!$B$4="All",$D105='Staff Weekly Trend'!$B$4),OR('Staff Weekly Trend'!$B$5="All",$A105='Staff Weekly Trend'!$B$5))</f>
        <v>1</v>
      </c>
      <c r="AC105">
        <f t="shared" si="52"/>
        <v>6</v>
      </c>
      <c r="AG105" t="str">
        <v>HATASSPLZ</v>
      </c>
      <c r="AI105">
        <f t="shared" si="53"/>
        <v>294</v>
      </c>
      <c r="AJ105">
        <f t="shared" si="54"/>
        <v>458</v>
      </c>
      <c r="AK105">
        <f t="shared" si="55"/>
        <v>340</v>
      </c>
      <c r="AL105">
        <f t="shared" si="56"/>
        <v>269</v>
      </c>
      <c r="AM105">
        <f t="shared" si="57"/>
        <v>82</v>
      </c>
      <c r="DH105" t="str" cm="1">
        <f t="array" ref="DH105">IF($A105="","",_xlfn.LET(_xlpm.c,IFERROR(_xlfn.XLOOKUP($A105,TRIM('Sales and count'!$A$4:$A$300&amp;""),TRIM('Sales and count'!$B$4:$B$300&amp;"")),""),IF(OR(_xlpm.c="",_xlpm.c="0",LEFT(_xlpm.c,1)="#"),"Not set",_xlpm.c)))</f>
        <v>KSA</v>
      </c>
    </row>
    <row r="106" spans="1:112" x14ac:dyDescent="0.25">
      <c r="A106" t="str">
        <f>IF('Staff Daily sales'!$B91="","",TRIM('Staff Daily sales'!$B91&amp;""))</f>
        <v>KFAHADRD</v>
      </c>
      <c r="B106" t="str">
        <f>IF('Staff Daily sales'!$D91="","",TRIM('Staff Daily sales'!$D91&amp;""))</f>
        <v>4354-KALoudi</v>
      </c>
      <c r="C106" t="str">
        <f>IFERROR(TRIM('Staff Daily sales'!$E91&amp;""),"")</f>
        <v>Riyadh</v>
      </c>
      <c r="D106" t="str">
        <f>IFERROR(IF(TRIM('Staff Daily sales'!$F91&amp;"")="","Unassigned",TRIM('Staff Daily sales'!$F91&amp;"")),"Unassigned")</f>
        <v>Lina Al Ghathami</v>
      </c>
      <c r="E106">
        <f t="shared" si="42"/>
        <v>1</v>
      </c>
      <c r="F106">
        <f>IF($E106=0,0,SUMPRODUCT($AI$5:$DF$5,'Staff Daily sales'!$G91:$CD91))</f>
        <v>1141.93</v>
      </c>
      <c r="G106">
        <f>IF($E106=0,0,SUMPRODUCT($AI$6:$DF$6,'Staff Daily sales'!$G91:$CD91))</f>
        <v>6</v>
      </c>
      <c r="H106">
        <f t="shared" si="43"/>
        <v>10103.44</v>
      </c>
      <c r="I106">
        <f t="shared" si="44"/>
        <v>53</v>
      </c>
      <c r="J106">
        <f t="shared" si="45"/>
        <v>62915.250000000007</v>
      </c>
      <c r="K106">
        <f t="shared" si="46"/>
        <v>385</v>
      </c>
      <c r="L106">
        <f>--AND($E106=1,OR('Staff Dashboard'!$B$6="All",$DH106='Staff Dashboard'!$B$6),OR('Staff Dashboard'!$B$7="All",$D106='Staff Dashboard'!$B$7),OR('Staff Dashboard'!$B$8="All",$A106='Staff Dashboard'!$B$8))</f>
        <v>0</v>
      </c>
      <c r="M106">
        <f>IF($E106=0,0,SUMPRODUCT($AI$7:$DF$7,'Staff Daily sales'!$G91:$CD91))</f>
        <v>16419.29</v>
      </c>
      <c r="N106">
        <f>IF($E106=0,0,SUMPRODUCT($AI$8:$DF$8,'Staff Daily sales'!$G91:$CD91))</f>
        <v>97</v>
      </c>
      <c r="O106">
        <f>IF($E106=0,0,SUMPRODUCT($AI$9:$DF$9,'Staff Daily sales'!$G91:$CD91))</f>
        <v>22209.34</v>
      </c>
      <c r="P106">
        <f>IF($E106=0,0,SUMPRODUCT($AI$10:$DF$10,'Staff Daily sales'!$G91:$CD91))</f>
        <v>134</v>
      </c>
      <c r="Q106">
        <f>IF($E106=0,0,SUMPRODUCT($AI$11:$DF$11,'Staff Daily sales'!$G91:$CD91))</f>
        <v>17517.25</v>
      </c>
      <c r="R106">
        <f>IF($E106=0,0,SUMPRODUCT($AI$12:$DF$12,'Staff Daily sales'!$G91:$CD91))</f>
        <v>82</v>
      </c>
      <c r="S106">
        <f>IF($E106=0,0,SUMPRODUCT($AI$13:$DF$13,'Staff Daily sales'!$G91:$CD91))</f>
        <v>13208.670000000002</v>
      </c>
      <c r="T106">
        <f>IF($E106=0,0,SUMPRODUCT($AI$14:$DF$14,'Staff Daily sales'!$G91:$CD91))</f>
        <v>74</v>
      </c>
      <c r="U106">
        <f>IF($E106=0,0,SUMPRODUCT($AI$15:$DF$15,'Staff Daily sales'!$G91:$CD91))</f>
        <v>2076.12</v>
      </c>
      <c r="V106">
        <f>IF($E106=0,0,SUMPRODUCT($AI$16:$DF$16,'Staff Daily sales'!$G91:$CD91))</f>
        <v>12</v>
      </c>
      <c r="W106">
        <f t="shared" si="47"/>
        <v>48194.930000000008</v>
      </c>
      <c r="X106">
        <f t="shared" si="48"/>
        <v>83079.569999999992</v>
      </c>
      <c r="Y106">
        <f t="shared" si="49"/>
        <v>63345.97</v>
      </c>
      <c r="Z106">
        <f t="shared" si="50"/>
        <v>53120.86</v>
      </c>
      <c r="AA106">
        <f t="shared" si="51"/>
        <v>21378.58</v>
      </c>
      <c r="AB106">
        <f>--AND($E106=1,OR('Staff Weekly Trend'!$B$3="All",$DH106='Staff Weekly Trend'!$B$3),OR('Staff Weekly Trend'!$B$4="All",$D106='Staff Weekly Trend'!$B$4),OR('Staff Weekly Trend'!$B$5="All",$A106='Staff Weekly Trend'!$B$5))</f>
        <v>1</v>
      </c>
      <c r="AC106">
        <f t="shared" si="52"/>
        <v>4</v>
      </c>
      <c r="AG106" t="str">
        <v>HATERATIF</v>
      </c>
      <c r="AI106">
        <f t="shared" si="53"/>
        <v>294</v>
      </c>
      <c r="AJ106">
        <f t="shared" si="54"/>
        <v>458</v>
      </c>
      <c r="AK106">
        <f t="shared" si="55"/>
        <v>340</v>
      </c>
      <c r="AL106">
        <f t="shared" si="56"/>
        <v>269</v>
      </c>
      <c r="AM106">
        <f t="shared" si="57"/>
        <v>82</v>
      </c>
      <c r="DH106" t="str" cm="1">
        <f t="array" ref="DH106">IF($A106="","",_xlfn.LET(_xlpm.c,IFERROR(_xlfn.XLOOKUP($A106,TRIM('Sales and count'!$A$4:$A$300&amp;""),TRIM('Sales and count'!$B$4:$B$300&amp;"")),""),IF(OR(_xlpm.c="",_xlpm.c="0",LEFT(_xlpm.c,1)="#"),"Not set",_xlpm.c)))</f>
        <v>KSA</v>
      </c>
    </row>
    <row r="107" spans="1:112" x14ac:dyDescent="0.25">
      <c r="A107" t="str">
        <f>IF('Staff Daily sales'!$B92="","",TRIM('Staff Daily sales'!$B92&amp;""))</f>
        <v>KFAHADRD</v>
      </c>
      <c r="B107" t="str">
        <f>IF('Staff Daily sales'!$D92="","",TRIM('Staff Daily sales'!$D92&amp;""))</f>
        <v>4501-FAhmad</v>
      </c>
      <c r="C107" t="str">
        <f>IFERROR(TRIM('Staff Daily sales'!$E92&amp;""),"")</f>
        <v>Riyadh</v>
      </c>
      <c r="D107" t="str">
        <f>IFERROR(IF(TRIM('Staff Daily sales'!$F92&amp;"")="","Unassigned",TRIM('Staff Daily sales'!$F92&amp;"")),"Unassigned")</f>
        <v>Lina Al Ghathami</v>
      </c>
      <c r="E107">
        <f t="shared" si="42"/>
        <v>1</v>
      </c>
      <c r="F107">
        <f>IF($E107=0,0,SUMPRODUCT($AI$5:$DF$5,'Staff Daily sales'!$G92:$CD92))</f>
        <v>1950.9</v>
      </c>
      <c r="G107">
        <f>IF($E107=0,0,SUMPRODUCT($AI$6:$DF$6,'Staff Daily sales'!$G92:$CD92))</f>
        <v>12</v>
      </c>
      <c r="H107">
        <f t="shared" si="43"/>
        <v>10103.44</v>
      </c>
      <c r="I107">
        <f t="shared" si="44"/>
        <v>53</v>
      </c>
      <c r="J107">
        <f t="shared" si="45"/>
        <v>62915.250000000007</v>
      </c>
      <c r="K107">
        <f t="shared" si="46"/>
        <v>385</v>
      </c>
      <c r="L107">
        <f>--AND($E107=1,OR('Staff Dashboard'!$B$6="All",$DH107='Staff Dashboard'!$B$6),OR('Staff Dashboard'!$B$7="All",$D107='Staff Dashboard'!$B$7),OR('Staff Dashboard'!$B$8="All",$A107='Staff Dashboard'!$B$8))</f>
        <v>0</v>
      </c>
      <c r="M107">
        <f>IF($E107=0,0,SUMPRODUCT($AI$7:$DF$7,'Staff Daily sales'!$G92:$CD92))</f>
        <v>3503.05</v>
      </c>
      <c r="N107">
        <f>IF($E107=0,0,SUMPRODUCT($AI$8:$DF$8,'Staff Daily sales'!$G92:$CD92))</f>
        <v>25</v>
      </c>
      <c r="O107">
        <f>IF($E107=0,0,SUMPRODUCT($AI$9:$DF$9,'Staff Daily sales'!$G92:$CD92))</f>
        <v>12243.29</v>
      </c>
      <c r="P107">
        <f>IF($E107=0,0,SUMPRODUCT($AI$10:$DF$10,'Staff Daily sales'!$G92:$CD92))</f>
        <v>68</v>
      </c>
      <c r="Q107">
        <f>IF($E107=0,0,SUMPRODUCT($AI$11:$DF$11,'Staff Daily sales'!$G92:$CD92))</f>
        <v>7453.23</v>
      </c>
      <c r="R107">
        <f>IF($E107=0,0,SUMPRODUCT($AI$12:$DF$12,'Staff Daily sales'!$G92:$CD92))</f>
        <v>42</v>
      </c>
      <c r="S107">
        <f>IF($E107=0,0,SUMPRODUCT($AI$13:$DF$13,'Staff Daily sales'!$G92:$CD92))</f>
        <v>8901.89</v>
      </c>
      <c r="T107">
        <f>IF($E107=0,0,SUMPRODUCT($AI$14:$DF$14,'Staff Daily sales'!$G92:$CD92))</f>
        <v>52</v>
      </c>
      <c r="U107">
        <f>IF($E107=0,0,SUMPRODUCT($AI$15:$DF$15,'Staff Daily sales'!$G92:$CD92))</f>
        <v>2904.99</v>
      </c>
      <c r="V107">
        <f>IF($E107=0,0,SUMPRODUCT($AI$16:$DF$16,'Staff Daily sales'!$G92:$CD92))</f>
        <v>12</v>
      </c>
      <c r="W107">
        <f t="shared" si="47"/>
        <v>48194.930000000008</v>
      </c>
      <c r="X107">
        <f t="shared" si="48"/>
        <v>83079.569999999992</v>
      </c>
      <c r="Y107">
        <f t="shared" si="49"/>
        <v>63345.97</v>
      </c>
      <c r="Z107">
        <f t="shared" si="50"/>
        <v>53120.86</v>
      </c>
      <c r="AA107">
        <f t="shared" si="51"/>
        <v>21378.58</v>
      </c>
      <c r="AB107">
        <f>--AND($E107=1,OR('Staff Weekly Trend'!$B$3="All",$DH107='Staff Weekly Trend'!$B$3),OR('Staff Weekly Trend'!$B$4="All",$D107='Staff Weekly Trend'!$B$4),OR('Staff Weekly Trend'!$B$5="All",$A107='Staff Weekly Trend'!$B$5))</f>
        <v>1</v>
      </c>
      <c r="AC107">
        <f t="shared" si="52"/>
        <v>3</v>
      </c>
      <c r="AG107" t="str">
        <v>HATHEGATE</v>
      </c>
      <c r="AI107">
        <f t="shared" si="53"/>
        <v>294</v>
      </c>
      <c r="AJ107">
        <f t="shared" si="54"/>
        <v>458</v>
      </c>
      <c r="AK107">
        <f t="shared" si="55"/>
        <v>340</v>
      </c>
      <c r="AL107">
        <f t="shared" si="56"/>
        <v>269</v>
      </c>
      <c r="AM107">
        <f t="shared" si="57"/>
        <v>82</v>
      </c>
      <c r="DH107" t="str" cm="1">
        <f t="array" ref="DH107">IF($A107="","",_xlfn.LET(_xlpm.c,IFERROR(_xlfn.XLOOKUP($A107,TRIM('Sales and count'!$A$4:$A$300&amp;""),TRIM('Sales and count'!$B$4:$B$300&amp;"")),""),IF(OR(_xlpm.c="",_xlpm.c="0",LEFT(_xlpm.c,1)="#"),"Not set",_xlpm.c)))</f>
        <v>KSA</v>
      </c>
    </row>
    <row r="108" spans="1:112" x14ac:dyDescent="0.25">
      <c r="A108" t="str">
        <f>IF('Staff Daily sales'!$B93="","",TRIM('Staff Daily sales'!$B93&amp;""))</f>
        <v>KFAHADRD</v>
      </c>
      <c r="B108" t="str">
        <f>IF('Staff Daily sales'!$D93="","",TRIM('Staff Daily sales'!$D93&amp;""))</f>
        <v>4542-YAdress</v>
      </c>
      <c r="C108" t="str">
        <f>IFERROR(TRIM('Staff Daily sales'!$E93&amp;""),"")</f>
        <v>Riyadh</v>
      </c>
      <c r="D108" t="str">
        <f>IFERROR(IF(TRIM('Staff Daily sales'!$F93&amp;"")="","Unassigned",TRIM('Staff Daily sales'!$F93&amp;"")),"Unassigned")</f>
        <v>Lina Al Ghathami</v>
      </c>
      <c r="E108">
        <f t="shared" si="42"/>
        <v>1</v>
      </c>
      <c r="F108">
        <f>IF($E108=0,0,SUMPRODUCT($AI$5:$DF$5,'Staff Daily sales'!$G93:$CD93))</f>
        <v>1006.94</v>
      </c>
      <c r="G108">
        <f>IF($E108=0,0,SUMPRODUCT($AI$6:$DF$6,'Staff Daily sales'!$G93:$CD93))</f>
        <v>6</v>
      </c>
      <c r="H108">
        <f t="shared" si="43"/>
        <v>10103.44</v>
      </c>
      <c r="I108">
        <f t="shared" si="44"/>
        <v>53</v>
      </c>
      <c r="J108">
        <f t="shared" si="45"/>
        <v>62915.250000000007</v>
      </c>
      <c r="K108">
        <f t="shared" si="46"/>
        <v>385</v>
      </c>
      <c r="L108">
        <f>--AND($E108=1,OR('Staff Dashboard'!$B$6="All",$DH108='Staff Dashboard'!$B$6),OR('Staff Dashboard'!$B$7="All",$D108='Staff Dashboard'!$B$7),OR('Staff Dashboard'!$B$8="All",$A108='Staff Dashboard'!$B$8))</f>
        <v>0</v>
      </c>
      <c r="M108">
        <f>IF($E108=0,0,SUMPRODUCT($AI$7:$DF$7,'Staff Daily sales'!$G93:$CD93))</f>
        <v>0</v>
      </c>
      <c r="N108">
        <f>IF($E108=0,0,SUMPRODUCT($AI$8:$DF$8,'Staff Daily sales'!$G93:$CD93))</f>
        <v>0</v>
      </c>
      <c r="O108">
        <f>IF($E108=0,0,SUMPRODUCT($AI$9:$DF$9,'Staff Daily sales'!$G93:$CD93))</f>
        <v>675.02</v>
      </c>
      <c r="P108">
        <f>IF($E108=0,0,SUMPRODUCT($AI$10:$DF$10,'Staff Daily sales'!$G93:$CD93))</f>
        <v>5</v>
      </c>
      <c r="Q108">
        <f>IF($E108=0,0,SUMPRODUCT($AI$11:$DF$11,'Staff Daily sales'!$G93:$CD93))</f>
        <v>7489.02</v>
      </c>
      <c r="R108">
        <f>IF($E108=0,0,SUMPRODUCT($AI$12:$DF$12,'Staff Daily sales'!$G93:$CD93))</f>
        <v>41</v>
      </c>
      <c r="S108">
        <f>IF($E108=0,0,SUMPRODUCT($AI$13:$DF$13,'Staff Daily sales'!$G93:$CD93))</f>
        <v>7487.82</v>
      </c>
      <c r="T108">
        <f>IF($E108=0,0,SUMPRODUCT($AI$14:$DF$14,'Staff Daily sales'!$G93:$CD93))</f>
        <v>38</v>
      </c>
      <c r="U108">
        <f>IF($E108=0,0,SUMPRODUCT($AI$15:$DF$15,'Staff Daily sales'!$G93:$CD93))</f>
        <v>2531.9899999999998</v>
      </c>
      <c r="V108">
        <f>IF($E108=0,0,SUMPRODUCT($AI$16:$DF$16,'Staff Daily sales'!$G93:$CD93))</f>
        <v>13</v>
      </c>
      <c r="W108">
        <f t="shared" si="47"/>
        <v>48194.930000000008</v>
      </c>
      <c r="X108">
        <f t="shared" si="48"/>
        <v>83079.569999999992</v>
      </c>
      <c r="Y108">
        <f t="shared" si="49"/>
        <v>63345.97</v>
      </c>
      <c r="Z108">
        <f t="shared" si="50"/>
        <v>53120.86</v>
      </c>
      <c r="AA108">
        <f t="shared" si="51"/>
        <v>21378.58</v>
      </c>
      <c r="AB108">
        <f>--AND($E108=1,OR('Staff Weekly Trend'!$B$3="All",$DH108='Staff Weekly Trend'!$B$3),OR('Staff Weekly Trend'!$B$4="All",$D108='Staff Weekly Trend'!$B$4),OR('Staff Weekly Trend'!$B$5="All",$A108='Staff Weekly Trend'!$B$5))</f>
        <v>1</v>
      </c>
      <c r="AC108">
        <f t="shared" si="52"/>
        <v>5</v>
      </c>
      <c r="AG108" t="str">
        <v>HAVILLAGE</v>
      </c>
      <c r="AI108">
        <f t="shared" si="53"/>
        <v>294</v>
      </c>
      <c r="AJ108">
        <f t="shared" si="54"/>
        <v>458</v>
      </c>
      <c r="AK108">
        <f t="shared" si="55"/>
        <v>340</v>
      </c>
      <c r="AL108">
        <f t="shared" si="56"/>
        <v>269</v>
      </c>
      <c r="AM108">
        <f t="shared" si="57"/>
        <v>82</v>
      </c>
      <c r="DH108" t="str" cm="1">
        <f t="array" ref="DH108">IF($A108="","",_xlfn.LET(_xlpm.c,IFERROR(_xlfn.XLOOKUP($A108,TRIM('Sales and count'!$A$4:$A$300&amp;""),TRIM('Sales and count'!$B$4:$B$300&amp;"")),""),IF(OR(_xlpm.c="",_xlpm.c="0",LEFT(_xlpm.c,1)="#"),"Not set",_xlpm.c)))</f>
        <v>KSA</v>
      </c>
    </row>
    <row r="109" spans="1:112" x14ac:dyDescent="0.25">
      <c r="A109" t="str">
        <f>IF('Staff Daily sales'!$B94="","",TRIM('Staff Daily sales'!$B94&amp;""))</f>
        <v>OTHAFAN</v>
      </c>
      <c r="B109" t="str">
        <f>IF('Staff Daily sales'!$D94="","",TRIM('Staff Daily sales'!$D94&amp;""))</f>
        <v>2930-Waleed Mohammed</v>
      </c>
      <c r="C109" t="str">
        <f>IFERROR(TRIM('Staff Daily sales'!$E94&amp;""),"")</f>
        <v>Riyadh</v>
      </c>
      <c r="D109" t="str">
        <f>IFERROR(IF(TRIM('Staff Daily sales'!$F94&amp;"")="","Unassigned",TRIM('Staff Daily sales'!$F94&amp;"")),"Unassigned")</f>
        <v>Lina Al Ghathami</v>
      </c>
      <c r="E109">
        <f t="shared" si="42"/>
        <v>1</v>
      </c>
      <c r="F109">
        <f>IF($E109=0,0,SUMPRODUCT($AI$5:$DF$5,'Staff Daily sales'!$G94:$CD94))</f>
        <v>843.92</v>
      </c>
      <c r="G109">
        <f>IF($E109=0,0,SUMPRODUCT($AI$6:$DF$6,'Staff Daily sales'!$G94:$CD94))</f>
        <v>4</v>
      </c>
      <c r="H109">
        <f t="shared" si="43"/>
        <v>4334.7800000000007</v>
      </c>
      <c r="I109">
        <f t="shared" si="44"/>
        <v>21</v>
      </c>
      <c r="J109">
        <f t="shared" si="45"/>
        <v>62915.250000000007</v>
      </c>
      <c r="K109">
        <f t="shared" si="46"/>
        <v>385</v>
      </c>
      <c r="L109">
        <f>--AND($E109=1,OR('Staff Dashboard'!$B$6="All",$DH109='Staff Dashboard'!$B$6),OR('Staff Dashboard'!$B$7="All",$D109='Staff Dashboard'!$B$7),OR('Staff Dashboard'!$B$8="All",$A109='Staff Dashboard'!$B$8))</f>
        <v>0</v>
      </c>
      <c r="M109">
        <f>IF($E109=0,0,SUMPRODUCT($AI$7:$DF$7,'Staff Daily sales'!$G94:$CD94))</f>
        <v>12075.32</v>
      </c>
      <c r="N109">
        <f>IF($E109=0,0,SUMPRODUCT($AI$8:$DF$8,'Staff Daily sales'!$G94:$CD94))</f>
        <v>71</v>
      </c>
      <c r="O109">
        <f>IF($E109=0,0,SUMPRODUCT($AI$9:$DF$9,'Staff Daily sales'!$G94:$CD94))</f>
        <v>8896.130000000001</v>
      </c>
      <c r="P109">
        <f>IF($E109=0,0,SUMPRODUCT($AI$10:$DF$10,'Staff Daily sales'!$G94:$CD94))</f>
        <v>49</v>
      </c>
      <c r="Q109">
        <f>IF($E109=0,0,SUMPRODUCT($AI$11:$DF$11,'Staff Daily sales'!$G94:$CD94))</f>
        <v>6191.18</v>
      </c>
      <c r="R109">
        <f>IF($E109=0,0,SUMPRODUCT($AI$12:$DF$12,'Staff Daily sales'!$G94:$CD94))</f>
        <v>31</v>
      </c>
      <c r="S109">
        <f>IF($E109=0,0,SUMPRODUCT($AI$13:$DF$13,'Staff Daily sales'!$G94:$CD94))</f>
        <v>7007.95</v>
      </c>
      <c r="T109">
        <f>IF($E109=0,0,SUMPRODUCT($AI$14:$DF$14,'Staff Daily sales'!$G94:$CD94))</f>
        <v>40</v>
      </c>
      <c r="U109">
        <f>IF($E109=0,0,SUMPRODUCT($AI$15:$DF$15,'Staff Daily sales'!$G94:$CD94))</f>
        <v>3575.12</v>
      </c>
      <c r="V109">
        <f>IF($E109=0,0,SUMPRODUCT($AI$16:$DF$16,'Staff Daily sales'!$G94:$CD94))</f>
        <v>15</v>
      </c>
      <c r="W109">
        <f t="shared" si="47"/>
        <v>19649.46</v>
      </c>
      <c r="X109">
        <f t="shared" si="48"/>
        <v>48646.84</v>
      </c>
      <c r="Y109">
        <f t="shared" si="49"/>
        <v>29021.45</v>
      </c>
      <c r="Z109">
        <f t="shared" si="50"/>
        <v>28207.520000000004</v>
      </c>
      <c r="AA109">
        <f t="shared" si="51"/>
        <v>10527.22</v>
      </c>
      <c r="AB109">
        <f>--AND($E109=1,OR('Staff Weekly Trend'!$B$3="All",$DH109='Staff Weekly Trend'!$B$3),OR('Staff Weekly Trend'!$B$4="All",$D109='Staff Weekly Trend'!$B$4),OR('Staff Weekly Trend'!$B$5="All",$A109='Staff Weekly Trend'!$B$5))</f>
        <v>1</v>
      </c>
      <c r="AC109">
        <f t="shared" si="52"/>
        <v>3</v>
      </c>
      <c r="AG109" t="str">
        <v>HAWADILABN</v>
      </c>
      <c r="AI109">
        <f t="shared" si="53"/>
        <v>120</v>
      </c>
      <c r="AJ109">
        <f t="shared" si="54"/>
        <v>266</v>
      </c>
      <c r="AK109">
        <f t="shared" si="55"/>
        <v>164</v>
      </c>
      <c r="AL109">
        <f t="shared" si="56"/>
        <v>153</v>
      </c>
      <c r="AM109">
        <f t="shared" si="57"/>
        <v>49</v>
      </c>
      <c r="DH109" t="str" cm="1">
        <f t="array" ref="DH109">IF($A109="","",_xlfn.LET(_xlpm.c,IFERROR(_xlfn.XLOOKUP($A109,TRIM('Sales and count'!$A$4:$A$300&amp;""),TRIM('Sales and count'!$B$4:$B$300&amp;"")),""),IF(OR(_xlpm.c="",_xlpm.c="0",LEFT(_xlpm.c,1)="#"),"Not set",_xlpm.c)))</f>
        <v>KSA</v>
      </c>
    </row>
    <row r="110" spans="1:112" x14ac:dyDescent="0.25">
      <c r="A110" t="str">
        <f>IF('Staff Daily sales'!$B95="","",TRIM('Staff Daily sales'!$B95&amp;""))</f>
        <v>OTHAFAN</v>
      </c>
      <c r="B110" t="str">
        <f>IF('Staff Daily sales'!$D95="","",TRIM('Staff Daily sales'!$D95&amp;""))</f>
        <v>3701-AAlanzi</v>
      </c>
      <c r="C110" t="str">
        <f>IFERROR(TRIM('Staff Daily sales'!$E95&amp;""),"")</f>
        <v>Riyadh</v>
      </c>
      <c r="D110" t="str">
        <f>IFERROR(IF(TRIM('Staff Daily sales'!$F95&amp;"")="","Unassigned",TRIM('Staff Daily sales'!$F95&amp;"")),"Unassigned")</f>
        <v>Lina Al Ghathami</v>
      </c>
      <c r="E110">
        <f t="shared" si="42"/>
        <v>1</v>
      </c>
      <c r="F110">
        <f>IF($E110=0,0,SUMPRODUCT($AI$5:$DF$5,'Staff Daily sales'!$G95:$CD95))</f>
        <v>0</v>
      </c>
      <c r="G110">
        <f>IF($E110=0,0,SUMPRODUCT($AI$6:$DF$6,'Staff Daily sales'!$G95:$CD95))</f>
        <v>0</v>
      </c>
      <c r="H110">
        <f t="shared" si="43"/>
        <v>4334.7800000000007</v>
      </c>
      <c r="I110">
        <f t="shared" si="44"/>
        <v>21</v>
      </c>
      <c r="J110">
        <f t="shared" si="45"/>
        <v>62915.250000000007</v>
      </c>
      <c r="K110">
        <f t="shared" si="46"/>
        <v>385</v>
      </c>
      <c r="L110">
        <f>--AND($E110=1,OR('Staff Dashboard'!$B$6="All",$DH110='Staff Dashboard'!$B$6),OR('Staff Dashboard'!$B$7="All",$D110='Staff Dashboard'!$B$7),OR('Staff Dashboard'!$B$8="All",$A110='Staff Dashboard'!$B$8))</f>
        <v>0</v>
      </c>
      <c r="M110">
        <f>IF($E110=0,0,SUMPRODUCT($AI$7:$DF$7,'Staff Daily sales'!$G95:$CD95))</f>
        <v>6398.0999999999995</v>
      </c>
      <c r="N110">
        <f>IF($E110=0,0,SUMPRODUCT($AI$8:$DF$8,'Staff Daily sales'!$G95:$CD95))</f>
        <v>43</v>
      </c>
      <c r="O110">
        <f>IF($E110=0,0,SUMPRODUCT($AI$9:$DF$9,'Staff Daily sales'!$G95:$CD95))</f>
        <v>11103.17</v>
      </c>
      <c r="P110">
        <f>IF($E110=0,0,SUMPRODUCT($AI$10:$DF$10,'Staff Daily sales'!$G95:$CD95))</f>
        <v>59</v>
      </c>
      <c r="Q110">
        <f>IF($E110=0,0,SUMPRODUCT($AI$11:$DF$11,'Staff Daily sales'!$G95:$CD95))</f>
        <v>6136.09</v>
      </c>
      <c r="R110">
        <f>IF($E110=0,0,SUMPRODUCT($AI$12:$DF$12,'Staff Daily sales'!$G95:$CD95))</f>
        <v>36</v>
      </c>
      <c r="S110">
        <f>IF($E110=0,0,SUMPRODUCT($AI$13:$DF$13,'Staff Daily sales'!$G95:$CD95))</f>
        <v>0</v>
      </c>
      <c r="T110">
        <f>IF($E110=0,0,SUMPRODUCT($AI$14:$DF$14,'Staff Daily sales'!$G95:$CD95))</f>
        <v>0</v>
      </c>
      <c r="U110">
        <f>IF($E110=0,0,SUMPRODUCT($AI$15:$DF$15,'Staff Daily sales'!$G95:$CD95))</f>
        <v>0</v>
      </c>
      <c r="V110">
        <f>IF($E110=0,0,SUMPRODUCT($AI$16:$DF$16,'Staff Daily sales'!$G95:$CD95))</f>
        <v>0</v>
      </c>
      <c r="W110">
        <f t="shared" si="47"/>
        <v>19649.46</v>
      </c>
      <c r="X110">
        <f t="shared" si="48"/>
        <v>48646.84</v>
      </c>
      <c r="Y110">
        <f t="shared" si="49"/>
        <v>29021.45</v>
      </c>
      <c r="Z110">
        <f t="shared" si="50"/>
        <v>28207.520000000004</v>
      </c>
      <c r="AA110">
        <f t="shared" si="51"/>
        <v>10527.22</v>
      </c>
      <c r="AB110">
        <f>--AND($E110=1,OR('Staff Weekly Trend'!$B$3="All",$DH110='Staff Weekly Trend'!$B$3),OR('Staff Weekly Trend'!$B$4="All",$D110='Staff Weekly Trend'!$B$4),OR('Staff Weekly Trend'!$B$5="All",$A110='Staff Weekly Trend'!$B$5))</f>
        <v>1</v>
      </c>
      <c r="AC110" t="str">
        <f t="shared" si="52"/>
        <v/>
      </c>
      <c r="AG110" t="str">
        <v>HAWAHABLVD</v>
      </c>
      <c r="AI110">
        <f t="shared" si="53"/>
        <v>120</v>
      </c>
      <c r="AJ110">
        <f t="shared" si="54"/>
        <v>266</v>
      </c>
      <c r="AK110">
        <f t="shared" si="55"/>
        <v>164</v>
      </c>
      <c r="AL110">
        <f t="shared" si="56"/>
        <v>153</v>
      </c>
      <c r="AM110">
        <f t="shared" si="57"/>
        <v>49</v>
      </c>
      <c r="DH110" t="str" cm="1">
        <f t="array" ref="DH110">IF($A110="","",_xlfn.LET(_xlpm.c,IFERROR(_xlfn.XLOOKUP($A110,TRIM('Sales and count'!$A$4:$A$300&amp;""),TRIM('Sales and count'!$B$4:$B$300&amp;"")),""),IF(OR(_xlpm.c="",_xlpm.c="0",LEFT(_xlpm.c,1)="#"),"Not set",_xlpm.c)))</f>
        <v>KSA</v>
      </c>
    </row>
    <row r="111" spans="1:112" x14ac:dyDescent="0.25">
      <c r="A111" t="str">
        <f>IF('Staff Daily sales'!$B96="","",TRIM('Staff Daily sales'!$B96&amp;""))</f>
        <v>OTHAFAN</v>
      </c>
      <c r="B111" t="str">
        <f>IF('Staff Daily sales'!$D96="","",TRIM('Staff Daily sales'!$D96&amp;""))</f>
        <v>4314-TQassem</v>
      </c>
      <c r="C111" t="str">
        <f>IFERROR(TRIM('Staff Daily sales'!$E96&amp;""),"")</f>
        <v>Riyadh</v>
      </c>
      <c r="D111" t="str">
        <f>IFERROR(IF(TRIM('Staff Daily sales'!$F96&amp;"")="","Unassigned",TRIM('Staff Daily sales'!$F96&amp;"")),"Unassigned")</f>
        <v>Lina Al Ghathami</v>
      </c>
      <c r="E111">
        <f t="shared" si="42"/>
        <v>1</v>
      </c>
      <c r="F111">
        <f>IF($E111=0,0,SUMPRODUCT($AI$5:$DF$5,'Staff Daily sales'!$G96:$CD96))</f>
        <v>954.94</v>
      </c>
      <c r="G111">
        <f>IF($E111=0,0,SUMPRODUCT($AI$6:$DF$6,'Staff Daily sales'!$G96:$CD96))</f>
        <v>6</v>
      </c>
      <c r="H111">
        <f t="shared" si="43"/>
        <v>4334.7800000000007</v>
      </c>
      <c r="I111">
        <f t="shared" si="44"/>
        <v>21</v>
      </c>
      <c r="J111">
        <f t="shared" si="45"/>
        <v>62915.250000000007</v>
      </c>
      <c r="K111">
        <f t="shared" si="46"/>
        <v>385</v>
      </c>
      <c r="L111">
        <f>--AND($E111=1,OR('Staff Dashboard'!$B$6="All",$DH111='Staff Dashboard'!$B$6),OR('Staff Dashboard'!$B$7="All",$D111='Staff Dashboard'!$B$7),OR('Staff Dashboard'!$B$8="All",$A111='Staff Dashboard'!$B$8))</f>
        <v>0</v>
      </c>
      <c r="M111">
        <f>IF($E111=0,0,SUMPRODUCT($AI$7:$DF$7,'Staff Daily sales'!$G96:$CD96))</f>
        <v>1176.04</v>
      </c>
      <c r="N111">
        <f>IF($E111=0,0,SUMPRODUCT($AI$8:$DF$8,'Staff Daily sales'!$G96:$CD96))</f>
        <v>6</v>
      </c>
      <c r="O111">
        <f>IF($E111=0,0,SUMPRODUCT($AI$9:$DF$9,'Staff Daily sales'!$G96:$CD96))</f>
        <v>13214.24</v>
      </c>
      <c r="P111">
        <f>IF($E111=0,0,SUMPRODUCT($AI$10:$DF$10,'Staff Daily sales'!$G96:$CD96))</f>
        <v>71</v>
      </c>
      <c r="Q111">
        <f>IF($E111=0,0,SUMPRODUCT($AI$11:$DF$11,'Staff Daily sales'!$G96:$CD96))</f>
        <v>9256.07</v>
      </c>
      <c r="R111">
        <f>IF($E111=0,0,SUMPRODUCT($AI$12:$DF$12,'Staff Daily sales'!$G96:$CD96))</f>
        <v>51</v>
      </c>
      <c r="S111">
        <f>IF($E111=0,0,SUMPRODUCT($AI$13:$DF$13,'Staff Daily sales'!$G96:$CD96))</f>
        <v>9716.9800000000014</v>
      </c>
      <c r="T111">
        <f>IF($E111=0,0,SUMPRODUCT($AI$14:$DF$14,'Staff Daily sales'!$G96:$CD96))</f>
        <v>52</v>
      </c>
      <c r="U111">
        <f>IF($E111=0,0,SUMPRODUCT($AI$15:$DF$15,'Staff Daily sales'!$G96:$CD96))</f>
        <v>3878.91</v>
      </c>
      <c r="V111">
        <f>IF($E111=0,0,SUMPRODUCT($AI$16:$DF$16,'Staff Daily sales'!$G96:$CD96))</f>
        <v>16</v>
      </c>
      <c r="W111">
        <f t="shared" si="47"/>
        <v>19649.46</v>
      </c>
      <c r="X111">
        <f t="shared" si="48"/>
        <v>48646.84</v>
      </c>
      <c r="Y111">
        <f t="shared" si="49"/>
        <v>29021.45</v>
      </c>
      <c r="Z111">
        <f t="shared" si="50"/>
        <v>28207.520000000004</v>
      </c>
      <c r="AA111">
        <f t="shared" si="51"/>
        <v>10527.22</v>
      </c>
      <c r="AB111">
        <f>--AND($E111=1,OR('Staff Weekly Trend'!$B$3="All",$DH111='Staff Weekly Trend'!$B$3),OR('Staff Weekly Trend'!$B$4="All",$D111='Staff Weekly Trend'!$B$4),OR('Staff Weekly Trend'!$B$5="All",$A111='Staff Weekly Trend'!$B$5))</f>
        <v>1</v>
      </c>
      <c r="AC111">
        <f t="shared" si="52"/>
        <v>2</v>
      </c>
      <c r="AG111" t="str">
        <v>JEDDARAB</v>
      </c>
      <c r="AI111">
        <f t="shared" si="53"/>
        <v>120</v>
      </c>
      <c r="AJ111">
        <f t="shared" si="54"/>
        <v>266</v>
      </c>
      <c r="AK111">
        <f t="shared" si="55"/>
        <v>164</v>
      </c>
      <c r="AL111">
        <f t="shared" si="56"/>
        <v>153</v>
      </c>
      <c r="AM111">
        <f t="shared" si="57"/>
        <v>49</v>
      </c>
      <c r="DH111" t="str" cm="1">
        <f t="array" ref="DH111">IF($A111="","",_xlfn.LET(_xlpm.c,IFERROR(_xlfn.XLOOKUP($A111,TRIM('Sales and count'!$A$4:$A$300&amp;""),TRIM('Sales and count'!$B$4:$B$300&amp;"")),""),IF(OR(_xlpm.c="",_xlpm.c="0",LEFT(_xlpm.c,1)="#"),"Not set",_xlpm.c)))</f>
        <v>KSA</v>
      </c>
    </row>
    <row r="112" spans="1:112" x14ac:dyDescent="0.25">
      <c r="A112" t="str">
        <f>IF('Staff Daily sales'!$B97="","",TRIM('Staff Daily sales'!$B97&amp;""))</f>
        <v>OTHAFAN</v>
      </c>
      <c r="B112" t="str">
        <f>IF('Staff Daily sales'!$D97="","",TRIM('Staff Daily sales'!$D97&amp;""))</f>
        <v>7248-AAlotaibi</v>
      </c>
      <c r="C112" t="str">
        <f>IFERROR(TRIM('Staff Daily sales'!$E97&amp;""),"")</f>
        <v>Riyadh</v>
      </c>
      <c r="D112" t="str">
        <f>IFERROR(IF(TRIM('Staff Daily sales'!$F97&amp;"")="","Unassigned",TRIM('Staff Daily sales'!$F97&amp;"")),"Unassigned")</f>
        <v>Lina Al Ghathami</v>
      </c>
      <c r="E112">
        <f t="shared" si="42"/>
        <v>1</v>
      </c>
      <c r="F112">
        <f>IF($E112=0,0,SUMPRODUCT($AI$5:$DF$5,'Staff Daily sales'!$G97:$CD97))</f>
        <v>2535.92</v>
      </c>
      <c r="G112">
        <f>IF($E112=0,0,SUMPRODUCT($AI$6:$DF$6,'Staff Daily sales'!$G97:$CD97))</f>
        <v>11</v>
      </c>
      <c r="H112">
        <f t="shared" si="43"/>
        <v>4334.7800000000007</v>
      </c>
      <c r="I112">
        <f t="shared" si="44"/>
        <v>21</v>
      </c>
      <c r="J112">
        <f t="shared" si="45"/>
        <v>62915.250000000007</v>
      </c>
      <c r="K112">
        <f t="shared" si="46"/>
        <v>385</v>
      </c>
      <c r="L112">
        <f>--AND($E112=1,OR('Staff Dashboard'!$B$6="All",$DH112='Staff Dashboard'!$B$6),OR('Staff Dashboard'!$B$7="All",$D112='Staff Dashboard'!$B$7),OR('Staff Dashboard'!$B$8="All",$A112='Staff Dashboard'!$B$8))</f>
        <v>0</v>
      </c>
      <c r="M112">
        <f>IF($E112=0,0,SUMPRODUCT($AI$7:$DF$7,'Staff Daily sales'!$G97:$CD97))</f>
        <v>0</v>
      </c>
      <c r="N112">
        <f>IF($E112=0,0,SUMPRODUCT($AI$8:$DF$8,'Staff Daily sales'!$G97:$CD97))</f>
        <v>0</v>
      </c>
      <c r="O112">
        <f>IF($E112=0,0,SUMPRODUCT($AI$9:$DF$9,'Staff Daily sales'!$G97:$CD97))</f>
        <v>15433.3</v>
      </c>
      <c r="P112">
        <f>IF($E112=0,0,SUMPRODUCT($AI$10:$DF$10,'Staff Daily sales'!$G97:$CD97))</f>
        <v>87</v>
      </c>
      <c r="Q112">
        <f>IF($E112=0,0,SUMPRODUCT($AI$11:$DF$11,'Staff Daily sales'!$G97:$CD97))</f>
        <v>7438.11</v>
      </c>
      <c r="R112">
        <f>IF($E112=0,0,SUMPRODUCT($AI$12:$DF$12,'Staff Daily sales'!$G97:$CD97))</f>
        <v>46</v>
      </c>
      <c r="S112">
        <f>IF($E112=0,0,SUMPRODUCT($AI$13:$DF$13,'Staff Daily sales'!$G97:$CD97))</f>
        <v>11482.590000000002</v>
      </c>
      <c r="T112">
        <f>IF($E112=0,0,SUMPRODUCT($AI$14:$DF$14,'Staff Daily sales'!$G97:$CD97))</f>
        <v>61</v>
      </c>
      <c r="U112">
        <f>IF($E112=0,0,SUMPRODUCT($AI$15:$DF$15,'Staff Daily sales'!$G97:$CD97))</f>
        <v>3073.19</v>
      </c>
      <c r="V112">
        <f>IF($E112=0,0,SUMPRODUCT($AI$16:$DF$16,'Staff Daily sales'!$G97:$CD97))</f>
        <v>18</v>
      </c>
      <c r="W112">
        <f t="shared" si="47"/>
        <v>19649.46</v>
      </c>
      <c r="X112">
        <f t="shared" si="48"/>
        <v>48646.84</v>
      </c>
      <c r="Y112">
        <f t="shared" si="49"/>
        <v>29021.45</v>
      </c>
      <c r="Z112">
        <f t="shared" si="50"/>
        <v>28207.520000000004</v>
      </c>
      <c r="AA112">
        <f t="shared" si="51"/>
        <v>10527.22</v>
      </c>
      <c r="AB112">
        <f>--AND($E112=1,OR('Staff Weekly Trend'!$B$3="All",$DH112='Staff Weekly Trend'!$B$3),OR('Staff Weekly Trend'!$B$4="All",$D112='Staff Weekly Trend'!$B$4),OR('Staff Weekly Trend'!$B$5="All",$A112='Staff Weekly Trend'!$B$5))</f>
        <v>1</v>
      </c>
      <c r="AC112">
        <f t="shared" si="52"/>
        <v>1</v>
      </c>
      <c r="AG112" t="str">
        <v>JEDDAZIZ</v>
      </c>
      <c r="AI112">
        <f t="shared" si="53"/>
        <v>120</v>
      </c>
      <c r="AJ112">
        <f t="shared" si="54"/>
        <v>266</v>
      </c>
      <c r="AK112">
        <f t="shared" si="55"/>
        <v>164</v>
      </c>
      <c r="AL112">
        <f t="shared" si="56"/>
        <v>153</v>
      </c>
      <c r="AM112">
        <f t="shared" si="57"/>
        <v>49</v>
      </c>
      <c r="DH112" t="str" cm="1">
        <f t="array" ref="DH112">IF($A112="","",_xlfn.LET(_xlpm.c,IFERROR(_xlfn.XLOOKUP($A112,TRIM('Sales and count'!$A$4:$A$300&amp;""),TRIM('Sales and count'!$B$4:$B$300&amp;"")),""),IF(OR(_xlpm.c="",_xlpm.c="0",LEFT(_xlpm.c,1)="#"),"Not set",_xlpm.c)))</f>
        <v>KSA</v>
      </c>
    </row>
    <row r="113" spans="1:112" x14ac:dyDescent="0.25">
      <c r="A113" t="str">
        <f>IF('Staff Daily sales'!$B98="","",TRIM('Staff Daily sales'!$B98&amp;""))</f>
        <v>ALWATANIAH</v>
      </c>
      <c r="B113" t="str">
        <f>IF('Staff Daily sales'!$D98="","",TRIM('Staff Daily sales'!$D98&amp;""))</f>
        <v>4163-SAlShammari</v>
      </c>
      <c r="C113" t="str">
        <f>IFERROR(TRIM('Staff Daily sales'!$E98&amp;""),"")</f>
        <v>Hafer Al Batin</v>
      </c>
      <c r="D113" t="str">
        <f>IFERROR(IF(TRIM('Staff Daily sales'!$F98&amp;"")="","Unassigned",TRIM('Staff Daily sales'!$F98&amp;"")),"Unassigned")</f>
        <v>Hamzah Al Makhadam</v>
      </c>
      <c r="E113">
        <f t="shared" si="42"/>
        <v>1</v>
      </c>
      <c r="F113">
        <f>IF($E113=0,0,SUMPRODUCT($AI$5:$DF$5,'Staff Daily sales'!$G98:$CD98))</f>
        <v>1416.92</v>
      </c>
      <c r="G113">
        <f>IF($E113=0,0,SUMPRODUCT($AI$6:$DF$6,'Staff Daily sales'!$G98:$CD98))</f>
        <v>8</v>
      </c>
      <c r="H113">
        <f t="shared" si="43"/>
        <v>15482.039999999999</v>
      </c>
      <c r="I113">
        <f t="shared" si="44"/>
        <v>68</v>
      </c>
      <c r="J113">
        <f t="shared" si="45"/>
        <v>128104.23999999996</v>
      </c>
      <c r="K113">
        <f t="shared" si="46"/>
        <v>596</v>
      </c>
      <c r="L113">
        <f>--AND($E113=1,OR('Staff Dashboard'!$B$6="All",$DH113='Staff Dashboard'!$B$6),OR('Staff Dashboard'!$B$7="All",$D113='Staff Dashboard'!$B$7),OR('Staff Dashboard'!$B$8="All",$A113='Staff Dashboard'!$B$8))</f>
        <v>0</v>
      </c>
      <c r="M113">
        <f>IF($E113=0,0,SUMPRODUCT($AI$7:$DF$7,'Staff Daily sales'!$G98:$CD98))</f>
        <v>9478.18</v>
      </c>
      <c r="N113">
        <f>IF($E113=0,0,SUMPRODUCT($AI$8:$DF$8,'Staff Daily sales'!$G98:$CD98))</f>
        <v>55</v>
      </c>
      <c r="O113">
        <f>IF($E113=0,0,SUMPRODUCT($AI$9:$DF$9,'Staff Daily sales'!$G98:$CD98))</f>
        <v>10805.21</v>
      </c>
      <c r="P113">
        <f>IF($E113=0,0,SUMPRODUCT($AI$10:$DF$10,'Staff Daily sales'!$G98:$CD98))</f>
        <v>55</v>
      </c>
      <c r="Q113">
        <f>IF($E113=0,0,SUMPRODUCT($AI$11:$DF$11,'Staff Daily sales'!$G98:$CD98))</f>
        <v>7662.1100000000006</v>
      </c>
      <c r="R113">
        <f>IF($E113=0,0,SUMPRODUCT($AI$12:$DF$12,'Staff Daily sales'!$G98:$CD98))</f>
        <v>27</v>
      </c>
      <c r="S113">
        <f>IF($E113=0,0,SUMPRODUCT($AI$13:$DF$13,'Staff Daily sales'!$G98:$CD98))</f>
        <v>5037.07</v>
      </c>
      <c r="T113">
        <f>IF($E113=0,0,SUMPRODUCT($AI$14:$DF$14,'Staff Daily sales'!$G98:$CD98))</f>
        <v>24</v>
      </c>
      <c r="U113">
        <f>IF($E113=0,0,SUMPRODUCT($AI$15:$DF$15,'Staff Daily sales'!$G98:$CD98))</f>
        <v>2120.9300000000003</v>
      </c>
      <c r="V113">
        <f>IF($E113=0,0,SUMPRODUCT($AI$16:$DF$16,'Staff Daily sales'!$G98:$CD98))</f>
        <v>11</v>
      </c>
      <c r="W113">
        <f t="shared" si="47"/>
        <v>55080.15</v>
      </c>
      <c r="X113">
        <f t="shared" si="48"/>
        <v>71016.11</v>
      </c>
      <c r="Y113">
        <f t="shared" si="49"/>
        <v>61666.83</v>
      </c>
      <c r="Z113">
        <f t="shared" si="50"/>
        <v>58455.210000000006</v>
      </c>
      <c r="AA113">
        <f t="shared" si="51"/>
        <v>13726.849999999999</v>
      </c>
      <c r="AB113">
        <f>--AND($E113=1,OR('Staff Weekly Trend'!$B$3="All",$DH113='Staff Weekly Trend'!$B$3),OR('Staff Weekly Trend'!$B$4="All",$D113='Staff Weekly Trend'!$B$4),OR('Staff Weekly Trend'!$B$5="All",$A113='Staff Weekly Trend'!$B$5))</f>
        <v>1</v>
      </c>
      <c r="AC113">
        <f t="shared" si="52"/>
        <v>5</v>
      </c>
      <c r="AG113" t="str">
        <v>JEDDHAIFA</v>
      </c>
      <c r="AI113">
        <f t="shared" si="53"/>
        <v>338</v>
      </c>
      <c r="AJ113">
        <f t="shared" si="54"/>
        <v>427</v>
      </c>
      <c r="AK113">
        <f t="shared" si="55"/>
        <v>320</v>
      </c>
      <c r="AL113">
        <f t="shared" si="56"/>
        <v>288</v>
      </c>
      <c r="AM113">
        <f t="shared" si="57"/>
        <v>69</v>
      </c>
      <c r="DH113" t="str" cm="1">
        <f t="array" ref="DH113">IF($A113="","",_xlfn.LET(_xlpm.c,IFERROR(_xlfn.XLOOKUP($A113,TRIM('Sales and count'!$A$4:$A$300&amp;""),TRIM('Sales and count'!$B$4:$B$300&amp;"")),""),IF(OR(_xlpm.c="",_xlpm.c="0",LEFT(_xlpm.c,1)="#"),"Not set",_xlpm.c)))</f>
        <v>KSA</v>
      </c>
    </row>
    <row r="114" spans="1:112" x14ac:dyDescent="0.25">
      <c r="A114" t="str">
        <f>IF('Staff Daily sales'!$B99="","",TRIM('Staff Daily sales'!$B99&amp;""))</f>
        <v>ALWATANIAH</v>
      </c>
      <c r="B114" t="str">
        <f>IF('Staff Daily sales'!$D99="","",TRIM('Staff Daily sales'!$D99&amp;""))</f>
        <v>4172-AAlHumaidi</v>
      </c>
      <c r="C114" t="str">
        <f>IFERROR(TRIM('Staff Daily sales'!$E99&amp;""),"")</f>
        <v>Hafer Al Batin</v>
      </c>
      <c r="D114" t="str">
        <f>IFERROR(IF(TRIM('Staff Daily sales'!$F99&amp;"")="","Unassigned",TRIM('Staff Daily sales'!$F99&amp;"")),"Unassigned")</f>
        <v>Hamzah Al Makhadam</v>
      </c>
      <c r="E114">
        <f t="shared" si="42"/>
        <v>1</v>
      </c>
      <c r="F114">
        <f>IF($E114=0,0,SUMPRODUCT($AI$5:$DF$5,'Staff Daily sales'!$G99:$CD99))</f>
        <v>430.98</v>
      </c>
      <c r="G114">
        <f>IF($E114=0,0,SUMPRODUCT($AI$6:$DF$6,'Staff Daily sales'!$G99:$CD99))</f>
        <v>7</v>
      </c>
      <c r="H114">
        <f t="shared" si="43"/>
        <v>15482.039999999999</v>
      </c>
      <c r="I114">
        <f t="shared" si="44"/>
        <v>68</v>
      </c>
      <c r="J114">
        <f t="shared" si="45"/>
        <v>128104.23999999996</v>
      </c>
      <c r="K114">
        <f t="shared" si="46"/>
        <v>596</v>
      </c>
      <c r="L114">
        <f>--AND($E114=1,OR('Staff Dashboard'!$B$6="All",$DH114='Staff Dashboard'!$B$6),OR('Staff Dashboard'!$B$7="All",$D114='Staff Dashboard'!$B$7),OR('Staff Dashboard'!$B$8="All",$A114='Staff Dashboard'!$B$8))</f>
        <v>0</v>
      </c>
      <c r="M114">
        <f>IF($E114=0,0,SUMPRODUCT($AI$7:$DF$7,'Staff Daily sales'!$G99:$CD99))</f>
        <v>1559.01</v>
      </c>
      <c r="N114">
        <f>IF($E114=0,0,SUMPRODUCT($AI$8:$DF$8,'Staff Daily sales'!$G99:$CD99))</f>
        <v>24</v>
      </c>
      <c r="O114">
        <f>IF($E114=0,0,SUMPRODUCT($AI$9:$DF$9,'Staff Daily sales'!$G99:$CD99))</f>
        <v>2060</v>
      </c>
      <c r="P114">
        <f>IF($E114=0,0,SUMPRODUCT($AI$10:$DF$10,'Staff Daily sales'!$G99:$CD99))</f>
        <v>36</v>
      </c>
      <c r="Q114">
        <f>IF($E114=0,0,SUMPRODUCT($AI$11:$DF$11,'Staff Daily sales'!$G99:$CD99))</f>
        <v>2438.9899999999998</v>
      </c>
      <c r="R114">
        <f>IF($E114=0,0,SUMPRODUCT($AI$12:$DF$12,'Staff Daily sales'!$G99:$CD99))</f>
        <v>33</v>
      </c>
      <c r="S114">
        <f>IF($E114=0,0,SUMPRODUCT($AI$13:$DF$13,'Staff Daily sales'!$G99:$CD99))</f>
        <v>1924.99</v>
      </c>
      <c r="T114">
        <f>IF($E114=0,0,SUMPRODUCT($AI$14:$DF$14,'Staff Daily sales'!$G99:$CD99))</f>
        <v>35</v>
      </c>
      <c r="U114">
        <f>IF($E114=0,0,SUMPRODUCT($AI$15:$DF$15,'Staff Daily sales'!$G99:$CD99))</f>
        <v>948.98</v>
      </c>
      <c r="V114">
        <f>IF($E114=0,0,SUMPRODUCT($AI$16:$DF$16,'Staff Daily sales'!$G99:$CD99))</f>
        <v>10</v>
      </c>
      <c r="W114">
        <f t="shared" si="47"/>
        <v>55080.15</v>
      </c>
      <c r="X114">
        <f t="shared" si="48"/>
        <v>71016.11</v>
      </c>
      <c r="Y114">
        <f t="shared" si="49"/>
        <v>61666.83</v>
      </c>
      <c r="Z114">
        <f t="shared" si="50"/>
        <v>58455.210000000006</v>
      </c>
      <c r="AA114">
        <f t="shared" si="51"/>
        <v>13726.849999999999</v>
      </c>
      <c r="AB114">
        <f>--AND($E114=1,OR('Staff Weekly Trend'!$B$3="All",$DH114='Staff Weekly Trend'!$B$3),OR('Staff Weekly Trend'!$B$4="All",$D114='Staff Weekly Trend'!$B$4),OR('Staff Weekly Trend'!$B$5="All",$A114='Staff Weekly Trend'!$B$5))</f>
        <v>1</v>
      </c>
      <c r="AC114">
        <f t="shared" si="52"/>
        <v>9</v>
      </c>
      <c r="AG114" t="str">
        <v>JEDDPARK</v>
      </c>
      <c r="AI114">
        <f t="shared" si="53"/>
        <v>338</v>
      </c>
      <c r="AJ114">
        <f t="shared" si="54"/>
        <v>427</v>
      </c>
      <c r="AK114">
        <f t="shared" si="55"/>
        <v>320</v>
      </c>
      <c r="AL114">
        <f t="shared" si="56"/>
        <v>288</v>
      </c>
      <c r="AM114">
        <f t="shared" si="57"/>
        <v>69</v>
      </c>
      <c r="DH114" t="str" cm="1">
        <f t="array" ref="DH114">IF($A114="","",_xlfn.LET(_xlpm.c,IFERROR(_xlfn.XLOOKUP($A114,TRIM('Sales and count'!$A$4:$A$300&amp;""),TRIM('Sales and count'!$B$4:$B$300&amp;"")),""),IF(OR(_xlpm.c="",_xlpm.c="0",LEFT(_xlpm.c,1)="#"),"Not set",_xlpm.c)))</f>
        <v>KSA</v>
      </c>
    </row>
    <row r="115" spans="1:112" x14ac:dyDescent="0.25">
      <c r="A115" t="str">
        <f>IF('Staff Daily sales'!$B100="","",TRIM('Staff Daily sales'!$B100&amp;""))</f>
        <v>ALWATANIAH</v>
      </c>
      <c r="B115" t="str">
        <f>IF('Staff Daily sales'!$D100="","",TRIM('Staff Daily sales'!$D100&amp;""))</f>
        <v>4184-SAlBuaiji</v>
      </c>
      <c r="C115" t="str">
        <f>IFERROR(TRIM('Staff Daily sales'!$E100&amp;""),"")</f>
        <v>Hafer Al Batin</v>
      </c>
      <c r="D115" t="str">
        <f>IFERROR(IF(TRIM('Staff Daily sales'!$F100&amp;"")="","Unassigned",TRIM('Staff Daily sales'!$F100&amp;"")),"Unassigned")</f>
        <v>Hamzah Al Makhadam</v>
      </c>
      <c r="E115">
        <f t="shared" si="42"/>
        <v>1</v>
      </c>
      <c r="F115">
        <f>IF($E115=0,0,SUMPRODUCT($AI$5:$DF$5,'Staff Daily sales'!$G100:$CD100))</f>
        <v>2448.87</v>
      </c>
      <c r="G115">
        <f>IF($E115=0,0,SUMPRODUCT($AI$6:$DF$6,'Staff Daily sales'!$G100:$CD100))</f>
        <v>9</v>
      </c>
      <c r="H115">
        <f t="shared" si="43"/>
        <v>15482.039999999999</v>
      </c>
      <c r="I115">
        <f t="shared" si="44"/>
        <v>68</v>
      </c>
      <c r="J115">
        <f t="shared" si="45"/>
        <v>128104.23999999996</v>
      </c>
      <c r="K115">
        <f t="shared" si="46"/>
        <v>596</v>
      </c>
      <c r="L115">
        <f>--AND($E115=1,OR('Staff Dashboard'!$B$6="All",$DH115='Staff Dashboard'!$B$6),OR('Staff Dashboard'!$B$7="All",$D115='Staff Dashboard'!$B$7),OR('Staff Dashboard'!$B$8="All",$A115='Staff Dashboard'!$B$8))</f>
        <v>0</v>
      </c>
      <c r="M115">
        <f>IF($E115=0,0,SUMPRODUCT($AI$7:$DF$7,'Staff Daily sales'!$G100:$CD100))</f>
        <v>5042.1100000000006</v>
      </c>
      <c r="N115">
        <f>IF($E115=0,0,SUMPRODUCT($AI$8:$DF$8,'Staff Daily sales'!$G100:$CD100))</f>
        <v>22</v>
      </c>
      <c r="O115">
        <f>IF($E115=0,0,SUMPRODUCT($AI$9:$DF$9,'Staff Daily sales'!$G100:$CD100))</f>
        <v>11065.16</v>
      </c>
      <c r="P115">
        <f>IF($E115=0,0,SUMPRODUCT($AI$10:$DF$10,'Staff Daily sales'!$G100:$CD100))</f>
        <v>62</v>
      </c>
      <c r="Q115">
        <f>IF($E115=0,0,SUMPRODUCT($AI$11:$DF$11,'Staff Daily sales'!$G100:$CD100))</f>
        <v>8952.08</v>
      </c>
      <c r="R115">
        <f>IF($E115=0,0,SUMPRODUCT($AI$12:$DF$12,'Staff Daily sales'!$G100:$CD100))</f>
        <v>42</v>
      </c>
      <c r="S115">
        <f>IF($E115=0,0,SUMPRODUCT($AI$13:$DF$13,'Staff Daily sales'!$G100:$CD100))</f>
        <v>10933.66</v>
      </c>
      <c r="T115">
        <f>IF($E115=0,0,SUMPRODUCT($AI$14:$DF$14,'Staff Daily sales'!$G100:$CD100))</f>
        <v>45</v>
      </c>
      <c r="U115">
        <f>IF($E115=0,0,SUMPRODUCT($AI$15:$DF$15,'Staff Daily sales'!$G100:$CD100))</f>
        <v>422.04</v>
      </c>
      <c r="V115">
        <f>IF($E115=0,0,SUMPRODUCT($AI$16:$DF$16,'Staff Daily sales'!$G100:$CD100))</f>
        <v>2</v>
      </c>
      <c r="W115">
        <f t="shared" si="47"/>
        <v>55080.15</v>
      </c>
      <c r="X115">
        <f t="shared" si="48"/>
        <v>71016.11</v>
      </c>
      <c r="Y115">
        <f t="shared" si="49"/>
        <v>61666.83</v>
      </c>
      <c r="Z115">
        <f t="shared" si="50"/>
        <v>58455.210000000006</v>
      </c>
      <c r="AA115">
        <f t="shared" si="51"/>
        <v>13726.849999999999</v>
      </c>
      <c r="AB115">
        <f>--AND($E115=1,OR('Staff Weekly Trend'!$B$3="All",$DH115='Staff Weekly Trend'!$B$3),OR('Staff Weekly Trend'!$B$4="All",$D115='Staff Weekly Trend'!$B$4),OR('Staff Weekly Trend'!$B$5="All",$A115='Staff Weekly Trend'!$B$5))</f>
        <v>1</v>
      </c>
      <c r="AC115">
        <f t="shared" si="52"/>
        <v>3</v>
      </c>
      <c r="AG115" t="str">
        <v>JEDDSALAM</v>
      </c>
      <c r="AI115">
        <f t="shared" si="53"/>
        <v>338</v>
      </c>
      <c r="AJ115">
        <f t="shared" si="54"/>
        <v>427</v>
      </c>
      <c r="AK115">
        <f t="shared" si="55"/>
        <v>320</v>
      </c>
      <c r="AL115">
        <f t="shared" si="56"/>
        <v>288</v>
      </c>
      <c r="AM115">
        <f t="shared" si="57"/>
        <v>69</v>
      </c>
      <c r="DH115" t="str" cm="1">
        <f t="array" ref="DH115">IF($A115="","",_xlfn.LET(_xlpm.c,IFERROR(_xlfn.XLOOKUP($A115,TRIM('Sales and count'!$A$4:$A$300&amp;""),TRIM('Sales and count'!$B$4:$B$300&amp;"")),""),IF(OR(_xlpm.c="",_xlpm.c="0",LEFT(_xlpm.c,1)="#"),"Not set",_xlpm.c)))</f>
        <v>KSA</v>
      </c>
    </row>
    <row r="116" spans="1:112" x14ac:dyDescent="0.25">
      <c r="A116" t="str">
        <f>IF('Staff Daily sales'!$B101="","",TRIM('Staff Daily sales'!$B101&amp;""))</f>
        <v>ALWATANIAH</v>
      </c>
      <c r="B116" t="str">
        <f>IF('Staff Daily sales'!$D101="","",TRIM('Staff Daily sales'!$D101&amp;""))</f>
        <v>5489-AAlkhaldi</v>
      </c>
      <c r="C116" t="str">
        <f>IFERROR(TRIM('Staff Daily sales'!$E101&amp;""),"")</f>
        <v>Hafer Al Batin</v>
      </c>
      <c r="D116" t="str">
        <f>IFERROR(IF(TRIM('Staff Daily sales'!$F101&amp;"")="","Unassigned",TRIM('Staff Daily sales'!$F101&amp;"")),"Unassigned")</f>
        <v>Hamzah Al Makhadam</v>
      </c>
      <c r="E116">
        <f t="shared" si="42"/>
        <v>1</v>
      </c>
      <c r="F116">
        <f>IF($E116=0,0,SUMPRODUCT($AI$5:$DF$5,'Staff Daily sales'!$G101:$CD101))</f>
        <v>3238.89</v>
      </c>
      <c r="G116">
        <f>IF($E116=0,0,SUMPRODUCT($AI$6:$DF$6,'Staff Daily sales'!$G101:$CD101))</f>
        <v>17</v>
      </c>
      <c r="H116">
        <f t="shared" si="43"/>
        <v>15482.039999999999</v>
      </c>
      <c r="I116">
        <f t="shared" si="44"/>
        <v>68</v>
      </c>
      <c r="J116">
        <f t="shared" si="45"/>
        <v>128104.23999999996</v>
      </c>
      <c r="K116">
        <f t="shared" si="46"/>
        <v>596</v>
      </c>
      <c r="L116">
        <f>--AND($E116=1,OR('Staff Dashboard'!$B$6="All",$DH116='Staff Dashboard'!$B$6),OR('Staff Dashboard'!$B$7="All",$D116='Staff Dashboard'!$B$7),OR('Staff Dashboard'!$B$8="All",$A116='Staff Dashboard'!$B$8))</f>
        <v>0</v>
      </c>
      <c r="M116">
        <f>IF($E116=0,0,SUMPRODUCT($AI$7:$DF$7,'Staff Daily sales'!$G101:$CD101))</f>
        <v>9994.27</v>
      </c>
      <c r="N116">
        <f>IF($E116=0,0,SUMPRODUCT($AI$8:$DF$8,'Staff Daily sales'!$G101:$CD101))</f>
        <v>69</v>
      </c>
      <c r="O116">
        <f>IF($E116=0,0,SUMPRODUCT($AI$9:$DF$9,'Staff Daily sales'!$G101:$CD101))</f>
        <v>9454.18</v>
      </c>
      <c r="P116">
        <f>IF($E116=0,0,SUMPRODUCT($AI$10:$DF$10,'Staff Daily sales'!$G101:$CD101))</f>
        <v>60</v>
      </c>
      <c r="Q116">
        <f>IF($E116=0,0,SUMPRODUCT($AI$11:$DF$11,'Staff Daily sales'!$G101:$CD101))</f>
        <v>3999.08</v>
      </c>
      <c r="R116">
        <f>IF($E116=0,0,SUMPRODUCT($AI$12:$DF$12,'Staff Daily sales'!$G101:$CD101))</f>
        <v>25</v>
      </c>
      <c r="S116">
        <f>IF($E116=0,0,SUMPRODUCT($AI$13:$DF$13,'Staff Daily sales'!$G101:$CD101))</f>
        <v>9250.68</v>
      </c>
      <c r="T116">
        <f>IF($E116=0,0,SUMPRODUCT($AI$14:$DF$14,'Staff Daily sales'!$G101:$CD101))</f>
        <v>48</v>
      </c>
      <c r="U116">
        <f>IF($E116=0,0,SUMPRODUCT($AI$15:$DF$15,'Staff Daily sales'!$G101:$CD101))</f>
        <v>2206.02</v>
      </c>
      <c r="V116">
        <f>IF($E116=0,0,SUMPRODUCT($AI$16:$DF$16,'Staff Daily sales'!$G101:$CD101))</f>
        <v>10</v>
      </c>
      <c r="W116">
        <f t="shared" si="47"/>
        <v>55080.15</v>
      </c>
      <c r="X116">
        <f t="shared" si="48"/>
        <v>71016.11</v>
      </c>
      <c r="Y116">
        <f t="shared" si="49"/>
        <v>61666.83</v>
      </c>
      <c r="Z116">
        <f t="shared" si="50"/>
        <v>58455.210000000006</v>
      </c>
      <c r="AA116">
        <f t="shared" si="51"/>
        <v>13726.849999999999</v>
      </c>
      <c r="AB116">
        <f>--AND($E116=1,OR('Staff Weekly Trend'!$B$3="All",$DH116='Staff Weekly Trend'!$B$3),OR('Staff Weekly Trend'!$B$4="All",$D116='Staff Weekly Trend'!$B$4),OR('Staff Weekly Trend'!$B$5="All",$A116='Staff Weekly Trend'!$B$5))</f>
        <v>1</v>
      </c>
      <c r="AC116">
        <f t="shared" si="52"/>
        <v>1</v>
      </c>
      <c r="AG116" t="str">
        <v>JEDDYASMN</v>
      </c>
      <c r="AI116">
        <f t="shared" si="53"/>
        <v>338</v>
      </c>
      <c r="AJ116">
        <f t="shared" si="54"/>
        <v>427</v>
      </c>
      <c r="AK116">
        <f t="shared" si="55"/>
        <v>320</v>
      </c>
      <c r="AL116">
        <f t="shared" si="56"/>
        <v>288</v>
      </c>
      <c r="AM116">
        <f t="shared" si="57"/>
        <v>69</v>
      </c>
      <c r="DH116" t="str" cm="1">
        <f t="array" ref="DH116">IF($A116="","",_xlfn.LET(_xlpm.c,IFERROR(_xlfn.XLOOKUP($A116,TRIM('Sales and count'!$A$4:$A$300&amp;""),TRIM('Sales and count'!$B$4:$B$300&amp;"")),""),IF(OR(_xlpm.c="",_xlpm.c="0",LEFT(_xlpm.c,1)="#"),"Not set",_xlpm.c)))</f>
        <v>KSA</v>
      </c>
    </row>
    <row r="117" spans="1:112" x14ac:dyDescent="0.25">
      <c r="A117" t="str">
        <f>IF('Staff Daily sales'!$B102="","",TRIM('Staff Daily sales'!$B102&amp;""))</f>
        <v>ALWATANIAH</v>
      </c>
      <c r="B117" t="str">
        <f>IF('Staff Daily sales'!$D102="","",TRIM('Staff Daily sales'!$D102&amp;""))</f>
        <v>5492-OAMATRAFI</v>
      </c>
      <c r="C117" t="str">
        <f>IFERROR(TRIM('Staff Daily sales'!$E102&amp;""),"")</f>
        <v>Hafer Al Batin</v>
      </c>
      <c r="D117" t="str">
        <f>IFERROR(IF(TRIM('Staff Daily sales'!$F102&amp;"")="","Unassigned",TRIM('Staff Daily sales'!$F102&amp;"")),"Unassigned")</f>
        <v>Hamzah Al Makhadam</v>
      </c>
      <c r="E117">
        <f t="shared" si="42"/>
        <v>1</v>
      </c>
      <c r="F117">
        <f>IF($E117=0,0,SUMPRODUCT($AI$5:$DF$5,'Staff Daily sales'!$G102:$CD102))</f>
        <v>1490.89</v>
      </c>
      <c r="G117">
        <f>IF($E117=0,0,SUMPRODUCT($AI$6:$DF$6,'Staff Daily sales'!$G102:$CD102))</f>
        <v>5</v>
      </c>
      <c r="H117">
        <f t="shared" si="43"/>
        <v>15482.039999999999</v>
      </c>
      <c r="I117">
        <f t="shared" si="44"/>
        <v>68</v>
      </c>
      <c r="J117">
        <f t="shared" si="45"/>
        <v>128104.23999999996</v>
      </c>
      <c r="K117">
        <f t="shared" si="46"/>
        <v>596</v>
      </c>
      <c r="L117">
        <f>--AND($E117=1,OR('Staff Dashboard'!$B$6="All",$DH117='Staff Dashboard'!$B$6),OR('Staff Dashboard'!$B$7="All",$D117='Staff Dashboard'!$B$7),OR('Staff Dashboard'!$B$8="All",$A117='Staff Dashboard'!$B$8))</f>
        <v>0</v>
      </c>
      <c r="M117">
        <f>IF($E117=0,0,SUMPRODUCT($AI$7:$DF$7,'Staff Daily sales'!$G102:$CD102))</f>
        <v>6592.15</v>
      </c>
      <c r="N117">
        <f>IF($E117=0,0,SUMPRODUCT($AI$8:$DF$8,'Staff Daily sales'!$G102:$CD102))</f>
        <v>36</v>
      </c>
      <c r="O117">
        <f>IF($E117=0,0,SUMPRODUCT($AI$9:$DF$9,'Staff Daily sales'!$G102:$CD102))</f>
        <v>9283.17</v>
      </c>
      <c r="P117">
        <f>IF($E117=0,0,SUMPRODUCT($AI$10:$DF$10,'Staff Daily sales'!$G102:$CD102))</f>
        <v>55</v>
      </c>
      <c r="Q117">
        <f>IF($E117=0,0,SUMPRODUCT($AI$11:$DF$11,'Staff Daily sales'!$G102:$CD102))</f>
        <v>4859.09</v>
      </c>
      <c r="R117">
        <f>IF($E117=0,0,SUMPRODUCT($AI$12:$DF$12,'Staff Daily sales'!$G102:$CD102))</f>
        <v>30</v>
      </c>
      <c r="S117">
        <f>IF($E117=0,0,SUMPRODUCT($AI$13:$DF$13,'Staff Daily sales'!$G102:$CD102))</f>
        <v>3433.88</v>
      </c>
      <c r="T117">
        <f>IF($E117=0,0,SUMPRODUCT($AI$14:$DF$14,'Staff Daily sales'!$G102:$CD102))</f>
        <v>17</v>
      </c>
      <c r="U117">
        <f>IF($E117=0,0,SUMPRODUCT($AI$15:$DF$15,'Staff Daily sales'!$G102:$CD102))</f>
        <v>1759.98</v>
      </c>
      <c r="V117">
        <f>IF($E117=0,0,SUMPRODUCT($AI$16:$DF$16,'Staff Daily sales'!$G102:$CD102))</f>
        <v>10</v>
      </c>
      <c r="W117">
        <f t="shared" si="47"/>
        <v>55080.15</v>
      </c>
      <c r="X117">
        <f t="shared" si="48"/>
        <v>71016.11</v>
      </c>
      <c r="Y117">
        <f t="shared" si="49"/>
        <v>61666.83</v>
      </c>
      <c r="Z117">
        <f t="shared" si="50"/>
        <v>58455.210000000006</v>
      </c>
      <c r="AA117">
        <f t="shared" si="51"/>
        <v>13726.849999999999</v>
      </c>
      <c r="AB117">
        <f>--AND($E117=1,OR('Staff Weekly Trend'!$B$3="All",$DH117='Staff Weekly Trend'!$B$3),OR('Staff Weekly Trend'!$B$4="All",$D117='Staff Weekly Trend'!$B$4),OR('Staff Weekly Trend'!$B$5="All",$A117='Staff Weekly Trend'!$B$5))</f>
        <v>1</v>
      </c>
      <c r="AC117">
        <f t="shared" si="52"/>
        <v>4</v>
      </c>
      <c r="AG117" t="str">
        <v>JIZWFPLZ</v>
      </c>
      <c r="AI117">
        <f t="shared" si="53"/>
        <v>338</v>
      </c>
      <c r="AJ117">
        <f t="shared" si="54"/>
        <v>427</v>
      </c>
      <c r="AK117">
        <f t="shared" si="55"/>
        <v>320</v>
      </c>
      <c r="AL117">
        <f t="shared" si="56"/>
        <v>288</v>
      </c>
      <c r="AM117">
        <f t="shared" si="57"/>
        <v>69</v>
      </c>
      <c r="DH117" t="str" cm="1">
        <f t="array" ref="DH117">IF($A117="","",_xlfn.LET(_xlpm.c,IFERROR(_xlfn.XLOOKUP($A117,TRIM('Sales and count'!$A$4:$A$300&amp;""),TRIM('Sales and count'!$B$4:$B$300&amp;"")),""),IF(OR(_xlpm.c="",_xlpm.c="0",LEFT(_xlpm.c,1)="#"),"Not set",_xlpm.c)))</f>
        <v>KSA</v>
      </c>
    </row>
    <row r="118" spans="1:112" x14ac:dyDescent="0.25">
      <c r="A118" t="str">
        <f>IF('Staff Daily sales'!$B103="","",TRIM('Staff Daily sales'!$B103&amp;""))</f>
        <v>ALWATANIAH</v>
      </c>
      <c r="B118" t="str">
        <f>IF('Staff Daily sales'!$D103="","",TRIM('Staff Daily sales'!$D103&amp;""))</f>
        <v>5497-SALSHAMARI</v>
      </c>
      <c r="C118" t="str">
        <f>IFERROR(TRIM('Staff Daily sales'!$E103&amp;""),"")</f>
        <v>Hafer Al Batin</v>
      </c>
      <c r="D118" t="str">
        <f>IFERROR(IF(TRIM('Staff Daily sales'!$F103&amp;"")="","Unassigned",TRIM('Staff Daily sales'!$F103&amp;"")),"Unassigned")</f>
        <v>Hamzah Al Makhadam</v>
      </c>
      <c r="E118">
        <f t="shared" si="42"/>
        <v>1</v>
      </c>
      <c r="F118">
        <f>IF($E118=0,0,SUMPRODUCT($AI$5:$DF$5,'Staff Daily sales'!$G103:$CD103))</f>
        <v>1054.9000000000001</v>
      </c>
      <c r="G118">
        <f>IF($E118=0,0,SUMPRODUCT($AI$6:$DF$6,'Staff Daily sales'!$G103:$CD103))</f>
        <v>5</v>
      </c>
      <c r="H118">
        <f t="shared" si="43"/>
        <v>15482.039999999999</v>
      </c>
      <c r="I118">
        <f t="shared" si="44"/>
        <v>68</v>
      </c>
      <c r="J118">
        <f t="shared" si="45"/>
        <v>128104.23999999996</v>
      </c>
      <c r="K118">
        <f t="shared" si="46"/>
        <v>596</v>
      </c>
      <c r="L118">
        <f>--AND($E118=1,OR('Staff Dashboard'!$B$6="All",$DH118='Staff Dashboard'!$B$6),OR('Staff Dashboard'!$B$7="All",$D118='Staff Dashboard'!$B$7),OR('Staff Dashboard'!$B$8="All",$A118='Staff Dashboard'!$B$8))</f>
        <v>0</v>
      </c>
      <c r="M118">
        <f>IF($E118=0,0,SUMPRODUCT($AI$7:$DF$7,'Staff Daily sales'!$G103:$CD103))</f>
        <v>0</v>
      </c>
      <c r="N118">
        <f>IF($E118=0,0,SUMPRODUCT($AI$8:$DF$8,'Staff Daily sales'!$G103:$CD103))</f>
        <v>0</v>
      </c>
      <c r="O118">
        <f>IF($E118=0,0,SUMPRODUCT($AI$9:$DF$9,'Staff Daily sales'!$G103:$CD103))</f>
        <v>0</v>
      </c>
      <c r="P118">
        <f>IF($E118=0,0,SUMPRODUCT($AI$10:$DF$10,'Staff Daily sales'!$G103:$CD103))</f>
        <v>0</v>
      </c>
      <c r="Q118">
        <f>IF($E118=0,0,SUMPRODUCT($AI$11:$DF$11,'Staff Daily sales'!$G103:$CD103))</f>
        <v>9807.1800000000021</v>
      </c>
      <c r="R118">
        <f>IF($E118=0,0,SUMPRODUCT($AI$12:$DF$12,'Staff Daily sales'!$G103:$CD103))</f>
        <v>49</v>
      </c>
      <c r="S118">
        <f>IF($E118=0,0,SUMPRODUCT($AI$13:$DF$13,'Staff Daily sales'!$G103:$CD103))</f>
        <v>5236.7900000000009</v>
      </c>
      <c r="T118">
        <f>IF($E118=0,0,SUMPRODUCT($AI$14:$DF$14,'Staff Daily sales'!$G103:$CD103))</f>
        <v>24</v>
      </c>
      <c r="U118">
        <f>IF($E118=0,0,SUMPRODUCT($AI$15:$DF$15,'Staff Daily sales'!$G103:$CD103))</f>
        <v>2774.97</v>
      </c>
      <c r="V118">
        <f>IF($E118=0,0,SUMPRODUCT($AI$16:$DF$16,'Staff Daily sales'!$G103:$CD103))</f>
        <v>8</v>
      </c>
      <c r="W118">
        <f t="shared" si="47"/>
        <v>55080.15</v>
      </c>
      <c r="X118">
        <f t="shared" si="48"/>
        <v>71016.11</v>
      </c>
      <c r="Y118">
        <f t="shared" si="49"/>
        <v>61666.83</v>
      </c>
      <c r="Z118">
        <f t="shared" si="50"/>
        <v>58455.210000000006</v>
      </c>
      <c r="AA118">
        <f t="shared" si="51"/>
        <v>13726.849999999999</v>
      </c>
      <c r="AB118">
        <f>--AND($E118=1,OR('Staff Weekly Trend'!$B$3="All",$DH118='Staff Weekly Trend'!$B$3),OR('Staff Weekly Trend'!$B$4="All",$D118='Staff Weekly Trend'!$B$4),OR('Staff Weekly Trend'!$B$5="All",$A118='Staff Weekly Trend'!$B$5))</f>
        <v>1</v>
      </c>
      <c r="AC118">
        <f t="shared" si="52"/>
        <v>8</v>
      </c>
      <c r="AG118" t="str">
        <v>JUBGALRY</v>
      </c>
      <c r="AI118">
        <f t="shared" si="53"/>
        <v>338</v>
      </c>
      <c r="AJ118">
        <f t="shared" si="54"/>
        <v>427</v>
      </c>
      <c r="AK118">
        <f t="shared" si="55"/>
        <v>320</v>
      </c>
      <c r="AL118">
        <f t="shared" si="56"/>
        <v>288</v>
      </c>
      <c r="AM118">
        <f t="shared" si="57"/>
        <v>69</v>
      </c>
      <c r="DH118" t="str" cm="1">
        <f t="array" ref="DH118">IF($A118="","",_xlfn.LET(_xlpm.c,IFERROR(_xlfn.XLOOKUP($A118,TRIM('Sales and count'!$A$4:$A$300&amp;""),TRIM('Sales and count'!$B$4:$B$300&amp;"")),""),IF(OR(_xlpm.c="",_xlpm.c="0",LEFT(_xlpm.c,1)="#"),"Not set",_xlpm.c)))</f>
        <v>KSA</v>
      </c>
    </row>
    <row r="119" spans="1:112" x14ac:dyDescent="0.25">
      <c r="A119" t="str">
        <f>IF('Staff Daily sales'!$B104="","",TRIM('Staff Daily sales'!$B104&amp;""))</f>
        <v>ALWATANIAH</v>
      </c>
      <c r="B119" t="str">
        <f>IF('Staff Daily sales'!$D104="","",TRIM('Staff Daily sales'!$D104&amp;""))</f>
        <v>5982-HAlsaid</v>
      </c>
      <c r="C119" t="str">
        <f>IFERROR(TRIM('Staff Daily sales'!$E104&amp;""),"")</f>
        <v>Hafer Al Batin</v>
      </c>
      <c r="D119" t="str">
        <f>IFERROR(IF(TRIM('Staff Daily sales'!$F104&amp;"")="","Unassigned",TRIM('Staff Daily sales'!$F104&amp;"")),"Unassigned")</f>
        <v>Hamzah Al Makhadam</v>
      </c>
      <c r="E119">
        <f t="shared" si="42"/>
        <v>1</v>
      </c>
      <c r="F119">
        <f>IF($E119=0,0,SUMPRODUCT($AI$5:$DF$5,'Staff Daily sales'!$G104:$CD104))</f>
        <v>1066.92</v>
      </c>
      <c r="G119">
        <f>IF($E119=0,0,SUMPRODUCT($AI$6:$DF$6,'Staff Daily sales'!$G104:$CD104))</f>
        <v>7</v>
      </c>
      <c r="H119">
        <f t="shared" si="43"/>
        <v>15482.039999999999</v>
      </c>
      <c r="I119">
        <f t="shared" si="44"/>
        <v>68</v>
      </c>
      <c r="J119">
        <f t="shared" si="45"/>
        <v>128104.23999999996</v>
      </c>
      <c r="K119">
        <f t="shared" si="46"/>
        <v>596</v>
      </c>
      <c r="L119">
        <f>--AND($E119=1,OR('Staff Dashboard'!$B$6="All",$DH119='Staff Dashboard'!$B$6),OR('Staff Dashboard'!$B$7="All",$D119='Staff Dashboard'!$B$7),OR('Staff Dashboard'!$B$8="All",$A119='Staff Dashboard'!$B$8))</f>
        <v>0</v>
      </c>
      <c r="M119">
        <f>IF($E119=0,0,SUMPRODUCT($AI$7:$DF$7,'Staff Daily sales'!$G104:$CD104))</f>
        <v>8240.2199999999993</v>
      </c>
      <c r="N119">
        <f>IF($E119=0,0,SUMPRODUCT($AI$8:$DF$8,'Staff Daily sales'!$G104:$CD104))</f>
        <v>44</v>
      </c>
      <c r="O119">
        <f>IF($E119=0,0,SUMPRODUCT($AI$9:$DF$9,'Staff Daily sales'!$G104:$CD104))</f>
        <v>4803.0599999999995</v>
      </c>
      <c r="P119">
        <f>IF($E119=0,0,SUMPRODUCT($AI$10:$DF$10,'Staff Daily sales'!$G104:$CD104))</f>
        <v>29</v>
      </c>
      <c r="Q119">
        <f>IF($E119=0,0,SUMPRODUCT($AI$11:$DF$11,'Staff Daily sales'!$G104:$CD104))</f>
        <v>9495.16</v>
      </c>
      <c r="R119">
        <f>IF($E119=0,0,SUMPRODUCT($AI$12:$DF$12,'Staff Daily sales'!$G104:$CD104))</f>
        <v>46</v>
      </c>
      <c r="S119">
        <f>IF($E119=0,0,SUMPRODUCT($AI$13:$DF$13,'Staff Daily sales'!$G104:$CD104))</f>
        <v>5532.7999999999993</v>
      </c>
      <c r="T119">
        <f>IF($E119=0,0,SUMPRODUCT($AI$14:$DF$14,'Staff Daily sales'!$G104:$CD104))</f>
        <v>30</v>
      </c>
      <c r="U119">
        <f>IF($E119=0,0,SUMPRODUCT($AI$15:$DF$15,'Staff Daily sales'!$G104:$CD104))</f>
        <v>2761.99</v>
      </c>
      <c r="V119">
        <f>IF($E119=0,0,SUMPRODUCT($AI$16:$DF$16,'Staff Daily sales'!$G104:$CD104))</f>
        <v>14</v>
      </c>
      <c r="W119">
        <f t="shared" si="47"/>
        <v>55080.15</v>
      </c>
      <c r="X119">
        <f t="shared" si="48"/>
        <v>71016.11</v>
      </c>
      <c r="Y119">
        <f t="shared" si="49"/>
        <v>61666.83</v>
      </c>
      <c r="Z119">
        <f t="shared" si="50"/>
        <v>58455.210000000006</v>
      </c>
      <c r="AA119">
        <f t="shared" si="51"/>
        <v>13726.849999999999</v>
      </c>
      <c r="AB119">
        <f>--AND($E119=1,OR('Staff Weekly Trend'!$B$3="All",$DH119='Staff Weekly Trend'!$B$3),OR('Staff Weekly Trend'!$B$4="All",$D119='Staff Weekly Trend'!$B$4),OR('Staff Weekly Trend'!$B$5="All",$A119='Staff Weekly Trend'!$B$5))</f>
        <v>1</v>
      </c>
      <c r="AC119">
        <f t="shared" si="52"/>
        <v>7</v>
      </c>
      <c r="AG119" t="str">
        <v>KFAHADRD</v>
      </c>
      <c r="AI119">
        <f t="shared" si="53"/>
        <v>338</v>
      </c>
      <c r="AJ119">
        <f t="shared" si="54"/>
        <v>427</v>
      </c>
      <c r="AK119">
        <f t="shared" si="55"/>
        <v>320</v>
      </c>
      <c r="AL119">
        <f t="shared" si="56"/>
        <v>288</v>
      </c>
      <c r="AM119">
        <f t="shared" si="57"/>
        <v>69</v>
      </c>
      <c r="DH119" t="str" cm="1">
        <f t="array" ref="DH119">IF($A119="","",_xlfn.LET(_xlpm.c,IFERROR(_xlfn.XLOOKUP($A119,TRIM('Sales and count'!$A$4:$A$300&amp;""),TRIM('Sales and count'!$B$4:$B$300&amp;"")),""),IF(OR(_xlpm.c="",_xlpm.c="0",LEFT(_xlpm.c,1)="#"),"Not set",_xlpm.c)))</f>
        <v>KSA</v>
      </c>
    </row>
    <row r="120" spans="1:112" x14ac:dyDescent="0.25">
      <c r="A120" t="str">
        <f>IF('Staff Daily sales'!$B105="","",TRIM('Staff Daily sales'!$B105&amp;""))</f>
        <v>ALWATANIAH</v>
      </c>
      <c r="B120" t="str">
        <f>IF('Staff Daily sales'!$D105="","",TRIM('Staff Daily sales'!$D105&amp;""))</f>
        <v>5985-MAlshamari</v>
      </c>
      <c r="C120" t="str">
        <f>IFERROR(TRIM('Staff Daily sales'!$E105&amp;""),"")</f>
        <v>Hafer Al Batin</v>
      </c>
      <c r="D120" t="str">
        <f>IFERROR(IF(TRIM('Staff Daily sales'!$F105&amp;"")="","Unassigned",TRIM('Staff Daily sales'!$F105&amp;"")),"Unassigned")</f>
        <v>Hamzah Al Makhadam</v>
      </c>
      <c r="E120">
        <f t="shared" si="42"/>
        <v>1</v>
      </c>
      <c r="F120">
        <f>IF($E120=0,0,SUMPRODUCT($AI$5:$DF$5,'Staff Daily sales'!$G105:$CD105))</f>
        <v>0</v>
      </c>
      <c r="G120">
        <f>IF($E120=0,0,SUMPRODUCT($AI$6:$DF$6,'Staff Daily sales'!$G105:$CD105))</f>
        <v>0</v>
      </c>
      <c r="H120">
        <f t="shared" si="43"/>
        <v>15482.039999999999</v>
      </c>
      <c r="I120">
        <f t="shared" si="44"/>
        <v>68</v>
      </c>
      <c r="J120">
        <f t="shared" si="45"/>
        <v>128104.23999999996</v>
      </c>
      <c r="K120">
        <f t="shared" si="46"/>
        <v>596</v>
      </c>
      <c r="L120">
        <f>--AND($E120=1,OR('Staff Dashboard'!$B$6="All",$DH120='Staff Dashboard'!$B$6),OR('Staff Dashboard'!$B$7="All",$D120='Staff Dashboard'!$B$7),OR('Staff Dashboard'!$B$8="All",$A120='Staff Dashboard'!$B$8))</f>
        <v>0</v>
      </c>
      <c r="M120">
        <f>IF($E120=0,0,SUMPRODUCT($AI$7:$DF$7,'Staff Daily sales'!$G105:$CD105))</f>
        <v>0</v>
      </c>
      <c r="N120">
        <f>IF($E120=0,0,SUMPRODUCT($AI$8:$DF$8,'Staff Daily sales'!$G105:$CD105))</f>
        <v>0</v>
      </c>
      <c r="O120">
        <f>IF($E120=0,0,SUMPRODUCT($AI$9:$DF$9,'Staff Daily sales'!$G105:$CD105))</f>
        <v>1240.03</v>
      </c>
      <c r="P120">
        <f>IF($E120=0,0,SUMPRODUCT($AI$10:$DF$10,'Staff Daily sales'!$G105:$CD105))</f>
        <v>8</v>
      </c>
      <c r="Q120">
        <f>IF($E120=0,0,SUMPRODUCT($AI$11:$DF$11,'Staff Daily sales'!$G105:$CD105))</f>
        <v>75</v>
      </c>
      <c r="R120">
        <f>IF($E120=0,0,SUMPRODUCT($AI$12:$DF$12,'Staff Daily sales'!$G105:$CD105))</f>
        <v>1</v>
      </c>
      <c r="S120">
        <f>IF($E120=0,0,SUMPRODUCT($AI$13:$DF$13,'Staff Daily sales'!$G105:$CD105))</f>
        <v>0</v>
      </c>
      <c r="T120">
        <f>IF($E120=0,0,SUMPRODUCT($AI$14:$DF$14,'Staff Daily sales'!$G105:$CD105))</f>
        <v>0</v>
      </c>
      <c r="U120">
        <f>IF($E120=0,0,SUMPRODUCT($AI$15:$DF$15,'Staff Daily sales'!$G105:$CD105))</f>
        <v>0</v>
      </c>
      <c r="V120">
        <f>IF($E120=0,0,SUMPRODUCT($AI$16:$DF$16,'Staff Daily sales'!$G105:$CD105))</f>
        <v>0</v>
      </c>
      <c r="W120">
        <f t="shared" si="47"/>
        <v>55080.15</v>
      </c>
      <c r="X120">
        <f t="shared" si="48"/>
        <v>71016.11</v>
      </c>
      <c r="Y120">
        <f t="shared" si="49"/>
        <v>61666.83</v>
      </c>
      <c r="Z120">
        <f t="shared" si="50"/>
        <v>58455.210000000006</v>
      </c>
      <c r="AA120">
        <f t="shared" si="51"/>
        <v>13726.849999999999</v>
      </c>
      <c r="AB120">
        <f>--AND($E120=1,OR('Staff Weekly Trend'!$B$3="All",$DH120='Staff Weekly Trend'!$B$3),OR('Staff Weekly Trend'!$B$4="All",$D120='Staff Weekly Trend'!$B$4),OR('Staff Weekly Trend'!$B$5="All",$A120='Staff Weekly Trend'!$B$5))</f>
        <v>1</v>
      </c>
      <c r="AC120" t="str">
        <f t="shared" si="52"/>
        <v/>
      </c>
      <c r="AG120" t="str">
        <v>MADNOOR</v>
      </c>
      <c r="AI120">
        <f t="shared" si="53"/>
        <v>338</v>
      </c>
      <c r="AJ120">
        <f t="shared" si="54"/>
        <v>427</v>
      </c>
      <c r="AK120">
        <f t="shared" si="55"/>
        <v>320</v>
      </c>
      <c r="AL120">
        <f t="shared" si="56"/>
        <v>288</v>
      </c>
      <c r="AM120">
        <f t="shared" si="57"/>
        <v>69</v>
      </c>
      <c r="DH120" t="str" cm="1">
        <f t="array" ref="DH120">IF($A120="","",_xlfn.LET(_xlpm.c,IFERROR(_xlfn.XLOOKUP($A120,TRIM('Sales and count'!$A$4:$A$300&amp;""),TRIM('Sales and count'!$B$4:$B$300&amp;"")),""),IF(OR(_xlpm.c="",_xlpm.c="0",LEFT(_xlpm.c,1)="#"),"Not set",_xlpm.c)))</f>
        <v>KSA</v>
      </c>
    </row>
    <row r="121" spans="1:112" x14ac:dyDescent="0.25">
      <c r="A121" t="str">
        <f>IF('Staff Daily sales'!$B106="","",TRIM('Staff Daily sales'!$B106&amp;""))</f>
        <v>ALWATANIAH</v>
      </c>
      <c r="B121" t="str">
        <f>IF('Staff Daily sales'!$D106="","",TRIM('Staff Daily sales'!$D106&amp;""))</f>
        <v>6197-AAlshammari</v>
      </c>
      <c r="C121" t="str">
        <f>IFERROR(TRIM('Staff Daily sales'!$E106&amp;""),"")</f>
        <v>Hafer Al Batin</v>
      </c>
      <c r="D121" t="str">
        <f>IFERROR(IF(TRIM('Staff Daily sales'!$F106&amp;"")="","Unassigned",TRIM('Staff Daily sales'!$F106&amp;"")),"Unassigned")</f>
        <v>Hamzah Al Makhadam</v>
      </c>
      <c r="E121">
        <f t="shared" si="42"/>
        <v>1</v>
      </c>
      <c r="F121">
        <f>IF($E121=0,0,SUMPRODUCT($AI$5:$DF$5,'Staff Daily sales'!$G106:$CD106))</f>
        <v>2962.75</v>
      </c>
      <c r="G121">
        <f>IF($E121=0,0,SUMPRODUCT($AI$6:$DF$6,'Staff Daily sales'!$G106:$CD106))</f>
        <v>4</v>
      </c>
      <c r="H121">
        <f t="shared" si="43"/>
        <v>15482.039999999999</v>
      </c>
      <c r="I121">
        <f t="shared" si="44"/>
        <v>68</v>
      </c>
      <c r="J121">
        <f t="shared" si="45"/>
        <v>128104.23999999996</v>
      </c>
      <c r="K121">
        <f t="shared" si="46"/>
        <v>596</v>
      </c>
      <c r="L121">
        <f>--AND($E121=1,OR('Staff Dashboard'!$B$6="All",$DH121='Staff Dashboard'!$B$6),OR('Staff Dashboard'!$B$7="All",$D121='Staff Dashboard'!$B$7),OR('Staff Dashboard'!$B$8="All",$A121='Staff Dashboard'!$B$8))</f>
        <v>0</v>
      </c>
      <c r="M121">
        <f>IF($E121=0,0,SUMPRODUCT($AI$7:$DF$7,'Staff Daily sales'!$G106:$CD106))</f>
        <v>5272.09</v>
      </c>
      <c r="N121">
        <f>IF($E121=0,0,SUMPRODUCT($AI$8:$DF$8,'Staff Daily sales'!$G106:$CD106))</f>
        <v>32</v>
      </c>
      <c r="O121">
        <f>IF($E121=0,0,SUMPRODUCT($AI$9:$DF$9,'Staff Daily sales'!$G106:$CD106))</f>
        <v>9506.1400000000012</v>
      </c>
      <c r="P121">
        <f>IF($E121=0,0,SUMPRODUCT($AI$10:$DF$10,'Staff Daily sales'!$G106:$CD106))</f>
        <v>52</v>
      </c>
      <c r="Q121">
        <f>IF($E121=0,0,SUMPRODUCT($AI$11:$DF$11,'Staff Daily sales'!$G106:$CD106))</f>
        <v>6674.08</v>
      </c>
      <c r="R121">
        <f>IF($E121=0,0,SUMPRODUCT($AI$12:$DF$12,'Staff Daily sales'!$G106:$CD106))</f>
        <v>34</v>
      </c>
      <c r="S121">
        <f>IF($E121=0,0,SUMPRODUCT($AI$13:$DF$13,'Staff Daily sales'!$G106:$CD106))</f>
        <v>10339.59</v>
      </c>
      <c r="T121">
        <f>IF($E121=0,0,SUMPRODUCT($AI$14:$DF$14,'Staff Daily sales'!$G106:$CD106))</f>
        <v>45</v>
      </c>
      <c r="U121">
        <f>IF($E121=0,0,SUMPRODUCT($AI$15:$DF$15,'Staff Daily sales'!$G106:$CD106))</f>
        <v>210.98</v>
      </c>
      <c r="V121">
        <f>IF($E121=0,0,SUMPRODUCT($AI$16:$DF$16,'Staff Daily sales'!$G106:$CD106))</f>
        <v>1</v>
      </c>
      <c r="W121">
        <f t="shared" si="47"/>
        <v>55080.15</v>
      </c>
      <c r="X121">
        <f t="shared" si="48"/>
        <v>71016.11</v>
      </c>
      <c r="Y121">
        <f t="shared" si="49"/>
        <v>61666.83</v>
      </c>
      <c r="Z121">
        <f t="shared" si="50"/>
        <v>58455.210000000006</v>
      </c>
      <c r="AA121">
        <f t="shared" si="51"/>
        <v>13726.849999999999</v>
      </c>
      <c r="AB121">
        <f>--AND($E121=1,OR('Staff Weekly Trend'!$B$3="All",$DH121='Staff Weekly Trend'!$B$3),OR('Staff Weekly Trend'!$B$4="All",$D121='Staff Weekly Trend'!$B$4),OR('Staff Weekly Trend'!$B$5="All",$A121='Staff Weekly Trend'!$B$5))</f>
        <v>1</v>
      </c>
      <c r="AC121">
        <f t="shared" si="52"/>
        <v>2</v>
      </c>
      <c r="AG121" t="str">
        <v>MEDAD</v>
      </c>
      <c r="AI121">
        <f t="shared" si="53"/>
        <v>338</v>
      </c>
      <c r="AJ121">
        <f t="shared" si="54"/>
        <v>427</v>
      </c>
      <c r="AK121">
        <f t="shared" si="55"/>
        <v>320</v>
      </c>
      <c r="AL121">
        <f t="shared" si="56"/>
        <v>288</v>
      </c>
      <c r="AM121">
        <f t="shared" si="57"/>
        <v>69</v>
      </c>
      <c r="DH121" t="str" cm="1">
        <f t="array" ref="DH121">IF($A121="","",_xlfn.LET(_xlpm.c,IFERROR(_xlfn.XLOOKUP($A121,TRIM('Sales and count'!$A$4:$A$300&amp;""),TRIM('Sales and count'!$B$4:$B$300&amp;"")),""),IF(OR(_xlpm.c="",_xlpm.c="0",LEFT(_xlpm.c,1)="#"),"Not set",_xlpm.c)))</f>
        <v>KSA</v>
      </c>
    </row>
    <row r="122" spans="1:112" x14ac:dyDescent="0.25">
      <c r="A122" t="str">
        <f>IF('Staff Daily sales'!$B107="","",TRIM('Staff Daily sales'!$B107&amp;""))</f>
        <v>ALWATANIAH</v>
      </c>
      <c r="B122" t="str">
        <f>IF('Staff Daily sales'!$D107="","",TRIM('Staff Daily sales'!$D107&amp;""))</f>
        <v>6198-Aeshah Sami L Aldhafeeri</v>
      </c>
      <c r="C122" t="str">
        <f>IFERROR(TRIM('Staff Daily sales'!$E107&amp;""),"")</f>
        <v>Hafer Al Batin</v>
      </c>
      <c r="D122" t="str">
        <f>IFERROR(IF(TRIM('Staff Daily sales'!$F107&amp;"")="","Unassigned",TRIM('Staff Daily sales'!$F107&amp;"")),"Unassigned")</f>
        <v>Hamzah Al Makhadam</v>
      </c>
      <c r="E122">
        <f t="shared" si="42"/>
        <v>1</v>
      </c>
      <c r="F122">
        <f>IF($E122=0,0,SUMPRODUCT($AI$5:$DF$5,'Staff Daily sales'!$G107:$CD107))</f>
        <v>1370.92</v>
      </c>
      <c r="G122">
        <f>IF($E122=0,0,SUMPRODUCT($AI$6:$DF$6,'Staff Daily sales'!$G107:$CD107))</f>
        <v>6</v>
      </c>
      <c r="H122">
        <f t="shared" si="43"/>
        <v>15482.039999999999</v>
      </c>
      <c r="I122">
        <f t="shared" si="44"/>
        <v>68</v>
      </c>
      <c r="J122">
        <f t="shared" si="45"/>
        <v>128104.23999999996</v>
      </c>
      <c r="K122">
        <f t="shared" si="46"/>
        <v>596</v>
      </c>
      <c r="L122">
        <f>--AND($E122=1,OR('Staff Dashboard'!$B$6="All",$DH122='Staff Dashboard'!$B$6),OR('Staff Dashboard'!$B$7="All",$D122='Staff Dashboard'!$B$7),OR('Staff Dashboard'!$B$8="All",$A122='Staff Dashboard'!$B$8))</f>
        <v>0</v>
      </c>
      <c r="M122">
        <f>IF($E122=0,0,SUMPRODUCT($AI$7:$DF$7,'Staff Daily sales'!$G107:$CD107))</f>
        <v>8902.1200000000008</v>
      </c>
      <c r="N122">
        <f>IF($E122=0,0,SUMPRODUCT($AI$8:$DF$8,'Staff Daily sales'!$G107:$CD107))</f>
        <v>56</v>
      </c>
      <c r="O122">
        <f>IF($E122=0,0,SUMPRODUCT($AI$9:$DF$9,'Staff Daily sales'!$G107:$CD107))</f>
        <v>12799.16</v>
      </c>
      <c r="P122">
        <f>IF($E122=0,0,SUMPRODUCT($AI$10:$DF$10,'Staff Daily sales'!$G107:$CD107))</f>
        <v>70</v>
      </c>
      <c r="Q122">
        <f>IF($E122=0,0,SUMPRODUCT($AI$11:$DF$11,'Staff Daily sales'!$G107:$CD107))</f>
        <v>7704.06</v>
      </c>
      <c r="R122">
        <f>IF($E122=0,0,SUMPRODUCT($AI$12:$DF$12,'Staff Daily sales'!$G107:$CD107))</f>
        <v>33</v>
      </c>
      <c r="S122">
        <f>IF($E122=0,0,SUMPRODUCT($AI$13:$DF$13,'Staff Daily sales'!$G107:$CD107))</f>
        <v>6765.75</v>
      </c>
      <c r="T122">
        <f>IF($E122=0,0,SUMPRODUCT($AI$14:$DF$14,'Staff Daily sales'!$G107:$CD107))</f>
        <v>20</v>
      </c>
      <c r="U122">
        <f>IF($E122=0,0,SUMPRODUCT($AI$15:$DF$15,'Staff Daily sales'!$G107:$CD107))</f>
        <v>520.96</v>
      </c>
      <c r="V122">
        <f>IF($E122=0,0,SUMPRODUCT($AI$16:$DF$16,'Staff Daily sales'!$G107:$CD107))</f>
        <v>3</v>
      </c>
      <c r="W122">
        <f t="shared" si="47"/>
        <v>55080.15</v>
      </c>
      <c r="X122">
        <f t="shared" si="48"/>
        <v>71016.11</v>
      </c>
      <c r="Y122">
        <f t="shared" si="49"/>
        <v>61666.83</v>
      </c>
      <c r="Z122">
        <f t="shared" si="50"/>
        <v>58455.210000000006</v>
      </c>
      <c r="AA122">
        <f t="shared" si="51"/>
        <v>13726.849999999999</v>
      </c>
      <c r="AB122">
        <f>--AND($E122=1,OR('Staff Weekly Trend'!$B$3="All",$DH122='Staff Weekly Trend'!$B$3),OR('Staff Weekly Trend'!$B$4="All",$D122='Staff Weekly Trend'!$B$4),OR('Staff Weekly Trend'!$B$5="All",$A122='Staff Weekly Trend'!$B$5))</f>
        <v>1</v>
      </c>
      <c r="AC122">
        <f t="shared" si="52"/>
        <v>6</v>
      </c>
      <c r="AG122" t="str">
        <v>MILAGROPLZ</v>
      </c>
      <c r="AI122">
        <f t="shared" si="53"/>
        <v>338</v>
      </c>
      <c r="AJ122">
        <f t="shared" si="54"/>
        <v>427</v>
      </c>
      <c r="AK122">
        <f t="shared" si="55"/>
        <v>320</v>
      </c>
      <c r="AL122">
        <f t="shared" si="56"/>
        <v>288</v>
      </c>
      <c r="AM122">
        <f t="shared" si="57"/>
        <v>69</v>
      </c>
      <c r="DH122" t="str" cm="1">
        <f t="array" ref="DH122">IF($A122="","",_xlfn.LET(_xlpm.c,IFERROR(_xlfn.XLOOKUP($A122,TRIM('Sales and count'!$A$4:$A$300&amp;""),TRIM('Sales and count'!$B$4:$B$300&amp;"")),""),IF(OR(_xlpm.c="",_xlpm.c="0",LEFT(_xlpm.c,1)="#"),"Not set",_xlpm.c)))</f>
        <v>KSA</v>
      </c>
    </row>
    <row r="123" spans="1:112" x14ac:dyDescent="0.25">
      <c r="A123" t="str">
        <f>IF('Staff Daily sales'!$B108="","",TRIM('Staff Daily sales'!$B108&amp;""))</f>
        <v>HAKHAYLPLZ</v>
      </c>
      <c r="B123" t="str">
        <f>IF('Staff Daily sales'!$D108="","",TRIM('Staff Daily sales'!$D108&amp;""))</f>
        <v>6103-FTalbi</v>
      </c>
      <c r="C123" t="str">
        <f>IFERROR(TRIM('Staff Daily sales'!$E108&amp;""),"")</f>
        <v>Qunfudah</v>
      </c>
      <c r="D123" t="str">
        <f>IFERROR(IF(TRIM('Staff Daily sales'!$F108&amp;"")="","Unassigned",TRIM('Staff Daily sales'!$F108&amp;"")),"Unassigned")</f>
        <v>Ahlam Al Zahrani</v>
      </c>
      <c r="E123">
        <f t="shared" si="42"/>
        <v>1</v>
      </c>
      <c r="F123">
        <f>IF($E123=0,0,SUMPRODUCT($AI$5:$DF$5,'Staff Daily sales'!$G108:$CD108))</f>
        <v>857</v>
      </c>
      <c r="G123">
        <f>IF($E123=0,0,SUMPRODUCT($AI$6:$DF$6,'Staff Daily sales'!$G108:$CD108))</f>
        <v>9</v>
      </c>
      <c r="H123">
        <f t="shared" si="43"/>
        <v>2301.9300000000003</v>
      </c>
      <c r="I123">
        <f t="shared" si="44"/>
        <v>18</v>
      </c>
      <c r="J123">
        <f t="shared" si="45"/>
        <v>62016.170000000006</v>
      </c>
      <c r="K123">
        <f t="shared" si="46"/>
        <v>398</v>
      </c>
      <c r="L123">
        <f>--AND($E123=1,OR('Staff Dashboard'!$B$6="All",$DH123='Staff Dashboard'!$B$6),OR('Staff Dashboard'!$B$7="All",$D123='Staff Dashboard'!$B$7),OR('Staff Dashboard'!$B$8="All",$A123='Staff Dashboard'!$B$8))</f>
        <v>0</v>
      </c>
      <c r="M123">
        <f>IF($E123=0,0,SUMPRODUCT($AI$7:$DF$7,'Staff Daily sales'!$G108:$CD108))</f>
        <v>3917.02</v>
      </c>
      <c r="N123">
        <f>IF($E123=0,0,SUMPRODUCT($AI$8:$DF$8,'Staff Daily sales'!$G108:$CD108))</f>
        <v>26</v>
      </c>
      <c r="O123">
        <f>IF($E123=0,0,SUMPRODUCT($AI$9:$DF$9,'Staff Daily sales'!$G108:$CD108))</f>
        <v>11336.02</v>
      </c>
      <c r="P123">
        <f>IF($E123=0,0,SUMPRODUCT($AI$10:$DF$10,'Staff Daily sales'!$G108:$CD108))</f>
        <v>77</v>
      </c>
      <c r="Q123">
        <f>IF($E123=0,0,SUMPRODUCT($AI$11:$DF$11,'Staff Daily sales'!$G108:$CD108))</f>
        <v>6381.99</v>
      </c>
      <c r="R123">
        <f>IF($E123=0,0,SUMPRODUCT($AI$12:$DF$12,'Staff Daily sales'!$G108:$CD108))</f>
        <v>50</v>
      </c>
      <c r="S123">
        <f>IF($E123=0,0,SUMPRODUCT($AI$13:$DF$13,'Staff Daily sales'!$G108:$CD108))</f>
        <v>4806.9400000000005</v>
      </c>
      <c r="T123">
        <f>IF($E123=0,0,SUMPRODUCT($AI$14:$DF$14,'Staff Daily sales'!$G108:$CD108))</f>
        <v>39</v>
      </c>
      <c r="U123">
        <f>IF($E123=0,0,SUMPRODUCT($AI$15:$DF$15,'Staff Daily sales'!$G108:$CD108))</f>
        <v>497</v>
      </c>
      <c r="V123">
        <f>IF($E123=0,0,SUMPRODUCT($AI$16:$DF$16,'Staff Daily sales'!$G108:$CD108))</f>
        <v>3</v>
      </c>
      <c r="W123">
        <f t="shared" si="47"/>
        <v>20399.400000000001</v>
      </c>
      <c r="X123">
        <f t="shared" si="48"/>
        <v>26181.32</v>
      </c>
      <c r="Y123">
        <f t="shared" si="49"/>
        <v>17080.060000000001</v>
      </c>
      <c r="Z123">
        <f t="shared" si="50"/>
        <v>15507.620000000003</v>
      </c>
      <c r="AA123">
        <f t="shared" si="51"/>
        <v>3503.98</v>
      </c>
      <c r="AB123">
        <f>--AND($E123=1,OR('Staff Weekly Trend'!$B$3="All",$DH123='Staff Weekly Trend'!$B$3),OR('Staff Weekly Trend'!$B$4="All",$D123='Staff Weekly Trend'!$B$4),OR('Staff Weekly Trend'!$B$5="All",$A123='Staff Weekly Trend'!$B$5))</f>
        <v>1</v>
      </c>
      <c r="AC123">
        <f t="shared" si="52"/>
        <v>1</v>
      </c>
      <c r="AG123" t="str">
        <v>OTHAFAN</v>
      </c>
      <c r="AI123">
        <f t="shared" si="53"/>
        <v>144</v>
      </c>
      <c r="AJ123">
        <f t="shared" si="54"/>
        <v>179</v>
      </c>
      <c r="AK123">
        <f t="shared" si="55"/>
        <v>133</v>
      </c>
      <c r="AL123">
        <f t="shared" si="56"/>
        <v>113</v>
      </c>
      <c r="AM123">
        <f t="shared" si="57"/>
        <v>23</v>
      </c>
      <c r="DH123" t="str" cm="1">
        <f t="array" ref="DH123">IF($A123="","",_xlfn.LET(_xlpm.c,IFERROR(_xlfn.XLOOKUP($A123,TRIM('Sales and count'!$A$4:$A$300&amp;""),TRIM('Sales and count'!$B$4:$B$300&amp;"")),""),IF(OR(_xlpm.c="",_xlpm.c="0",LEFT(_xlpm.c,1)="#"),"Not set",_xlpm.c)))</f>
        <v>KSA</v>
      </c>
    </row>
    <row r="124" spans="1:112" x14ac:dyDescent="0.25">
      <c r="A124" t="str">
        <f>IF('Staff Daily sales'!$B109="","",TRIM('Staff Daily sales'!$B109&amp;""))</f>
        <v>HAKHAYLPLZ</v>
      </c>
      <c r="B124" t="str">
        <f>IF('Staff Daily sales'!$D109="","",TRIM('Staff Daily sales'!$D109&amp;""))</f>
        <v>6104-WAlessa</v>
      </c>
      <c r="C124" t="str">
        <f>IFERROR(TRIM('Staff Daily sales'!$E109&amp;""),"")</f>
        <v>Qunfudah</v>
      </c>
      <c r="D124" t="str">
        <f>IFERROR(IF(TRIM('Staff Daily sales'!$F109&amp;"")="","Unassigned",TRIM('Staff Daily sales'!$F109&amp;"")),"Unassigned")</f>
        <v>Ahlam Al Zahrani</v>
      </c>
      <c r="E124">
        <f t="shared" si="42"/>
        <v>1</v>
      </c>
      <c r="F124">
        <f>IF($E124=0,0,SUMPRODUCT($AI$5:$DF$5,'Staff Daily sales'!$G109:$CD109))</f>
        <v>0</v>
      </c>
      <c r="G124">
        <f>IF($E124=0,0,SUMPRODUCT($AI$6:$DF$6,'Staff Daily sales'!$G109:$CD109))</f>
        <v>0</v>
      </c>
      <c r="H124">
        <f t="shared" si="43"/>
        <v>2301.9300000000003</v>
      </c>
      <c r="I124">
        <f t="shared" si="44"/>
        <v>18</v>
      </c>
      <c r="J124">
        <f t="shared" si="45"/>
        <v>62016.170000000006</v>
      </c>
      <c r="K124">
        <f t="shared" si="46"/>
        <v>398</v>
      </c>
      <c r="L124">
        <f>--AND($E124=1,OR('Staff Dashboard'!$B$6="All",$DH124='Staff Dashboard'!$B$6),OR('Staff Dashboard'!$B$7="All",$D124='Staff Dashboard'!$B$7),OR('Staff Dashboard'!$B$8="All",$A124='Staff Dashboard'!$B$8))</f>
        <v>0</v>
      </c>
      <c r="M124">
        <f>IF($E124=0,0,SUMPRODUCT($AI$7:$DF$7,'Staff Daily sales'!$G109:$CD109))</f>
        <v>7873.11</v>
      </c>
      <c r="N124">
        <f>IF($E124=0,0,SUMPRODUCT($AI$8:$DF$8,'Staff Daily sales'!$G109:$CD109))</f>
        <v>58</v>
      </c>
      <c r="O124">
        <f>IF($E124=0,0,SUMPRODUCT($AI$9:$DF$9,'Staff Daily sales'!$G109:$CD109))</f>
        <v>5524.1399999999994</v>
      </c>
      <c r="P124">
        <f>IF($E124=0,0,SUMPRODUCT($AI$10:$DF$10,'Staff Daily sales'!$G109:$CD109))</f>
        <v>32</v>
      </c>
      <c r="Q124">
        <f>IF($E124=0,0,SUMPRODUCT($AI$11:$DF$11,'Staff Daily sales'!$G109:$CD109))</f>
        <v>3183.02</v>
      </c>
      <c r="R124">
        <f>IF($E124=0,0,SUMPRODUCT($AI$12:$DF$12,'Staff Daily sales'!$G109:$CD109))</f>
        <v>23</v>
      </c>
      <c r="S124">
        <f>IF($E124=0,0,SUMPRODUCT($AI$13:$DF$13,'Staff Daily sales'!$G109:$CD109))</f>
        <v>2714.96</v>
      </c>
      <c r="T124">
        <f>IF($E124=0,0,SUMPRODUCT($AI$14:$DF$14,'Staff Daily sales'!$G109:$CD109))</f>
        <v>21</v>
      </c>
      <c r="U124">
        <f>IF($E124=0,0,SUMPRODUCT($AI$15:$DF$15,'Staff Daily sales'!$G109:$CD109))</f>
        <v>0</v>
      </c>
      <c r="V124">
        <f>IF($E124=0,0,SUMPRODUCT($AI$16:$DF$16,'Staff Daily sales'!$G109:$CD109))</f>
        <v>0</v>
      </c>
      <c r="W124">
        <f t="shared" si="47"/>
        <v>20399.400000000001</v>
      </c>
      <c r="X124">
        <f t="shared" si="48"/>
        <v>26181.32</v>
      </c>
      <c r="Y124">
        <f t="shared" si="49"/>
        <v>17080.060000000001</v>
      </c>
      <c r="Z124">
        <f t="shared" si="50"/>
        <v>15507.620000000003</v>
      </c>
      <c r="AA124">
        <f t="shared" si="51"/>
        <v>3503.98</v>
      </c>
      <c r="AB124">
        <f>--AND($E124=1,OR('Staff Weekly Trend'!$B$3="All",$DH124='Staff Weekly Trend'!$B$3),OR('Staff Weekly Trend'!$B$4="All",$D124='Staff Weekly Trend'!$B$4),OR('Staff Weekly Trend'!$B$5="All",$A124='Staff Weekly Trend'!$B$5))</f>
        <v>1</v>
      </c>
      <c r="AC124" t="str">
        <f t="shared" si="52"/>
        <v/>
      </c>
      <c r="AG124" t="str">
        <v>RYDNAKHL</v>
      </c>
      <c r="AI124">
        <f t="shared" si="53"/>
        <v>144</v>
      </c>
      <c r="AJ124">
        <f t="shared" si="54"/>
        <v>179</v>
      </c>
      <c r="AK124">
        <f t="shared" si="55"/>
        <v>133</v>
      </c>
      <c r="AL124">
        <f t="shared" si="56"/>
        <v>113</v>
      </c>
      <c r="AM124">
        <f t="shared" si="57"/>
        <v>23</v>
      </c>
      <c r="DH124" t="str" cm="1">
        <f t="array" ref="DH124">IF($A124="","",_xlfn.LET(_xlpm.c,IFERROR(_xlfn.XLOOKUP($A124,TRIM('Sales and count'!$A$4:$A$300&amp;""),TRIM('Sales and count'!$B$4:$B$300&amp;"")),""),IF(OR(_xlpm.c="",_xlpm.c="0",LEFT(_xlpm.c,1)="#"),"Not set",_xlpm.c)))</f>
        <v>KSA</v>
      </c>
    </row>
    <row r="125" spans="1:112" x14ac:dyDescent="0.25">
      <c r="A125" t="str">
        <f>IF('Staff Daily sales'!$B110="","",TRIM('Staff Daily sales'!$B110&amp;""))</f>
        <v>HAKHAYLPLZ</v>
      </c>
      <c r="B125" t="str">
        <f>IF('Staff Daily sales'!$D110="","",TRIM('Staff Daily sales'!$D110&amp;""))</f>
        <v>6105-ZBishwih</v>
      </c>
      <c r="C125" t="str">
        <f>IFERROR(TRIM('Staff Daily sales'!$E110&amp;""),"")</f>
        <v>Qunfudah</v>
      </c>
      <c r="D125" t="str">
        <f>IFERROR(IF(TRIM('Staff Daily sales'!$F110&amp;"")="","Unassigned",TRIM('Staff Daily sales'!$F110&amp;"")),"Unassigned")</f>
        <v>Ahlam Al Zahrani</v>
      </c>
      <c r="E125">
        <f t="shared" si="42"/>
        <v>1</v>
      </c>
      <c r="F125">
        <f>IF($E125=0,0,SUMPRODUCT($AI$5:$DF$5,'Staff Daily sales'!$G110:$CD110))</f>
        <v>785.97</v>
      </c>
      <c r="G125">
        <f>IF($E125=0,0,SUMPRODUCT($AI$6:$DF$6,'Staff Daily sales'!$G110:$CD110))</f>
        <v>5</v>
      </c>
      <c r="H125">
        <f t="shared" si="43"/>
        <v>2301.9300000000003</v>
      </c>
      <c r="I125">
        <f t="shared" si="44"/>
        <v>18</v>
      </c>
      <c r="J125">
        <f t="shared" si="45"/>
        <v>62016.170000000006</v>
      </c>
      <c r="K125">
        <f t="shared" si="46"/>
        <v>398</v>
      </c>
      <c r="L125">
        <f>--AND($E125=1,OR('Staff Dashboard'!$B$6="All",$DH125='Staff Dashboard'!$B$6),OR('Staff Dashboard'!$B$7="All",$D125='Staff Dashboard'!$B$7),OR('Staff Dashboard'!$B$8="All",$A125='Staff Dashboard'!$B$8))</f>
        <v>0</v>
      </c>
      <c r="M125">
        <f>IF($E125=0,0,SUMPRODUCT($AI$7:$DF$7,'Staff Daily sales'!$G110:$CD110))</f>
        <v>8609.27</v>
      </c>
      <c r="N125">
        <f>IF($E125=0,0,SUMPRODUCT($AI$8:$DF$8,'Staff Daily sales'!$G110:$CD110))</f>
        <v>60</v>
      </c>
      <c r="O125">
        <f>IF($E125=0,0,SUMPRODUCT($AI$9:$DF$9,'Staff Daily sales'!$G110:$CD110))</f>
        <v>9321.16</v>
      </c>
      <c r="P125">
        <f>IF($E125=0,0,SUMPRODUCT($AI$10:$DF$10,'Staff Daily sales'!$G110:$CD110))</f>
        <v>70</v>
      </c>
      <c r="Q125">
        <f>IF($E125=0,0,SUMPRODUCT($AI$11:$DF$11,'Staff Daily sales'!$G110:$CD110))</f>
        <v>7515.05</v>
      </c>
      <c r="R125">
        <f>IF($E125=0,0,SUMPRODUCT($AI$12:$DF$12,'Staff Daily sales'!$G110:$CD110))</f>
        <v>60</v>
      </c>
      <c r="S125">
        <f>IF($E125=0,0,SUMPRODUCT($AI$13:$DF$13,'Staff Daily sales'!$G110:$CD110))</f>
        <v>6342.8400000000011</v>
      </c>
      <c r="T125">
        <f>IF($E125=0,0,SUMPRODUCT($AI$14:$DF$14,'Staff Daily sales'!$G110:$CD110))</f>
        <v>44</v>
      </c>
      <c r="U125">
        <f>IF($E125=0,0,SUMPRODUCT($AI$15:$DF$15,'Staff Daily sales'!$G110:$CD110))</f>
        <v>930</v>
      </c>
      <c r="V125">
        <f>IF($E125=0,0,SUMPRODUCT($AI$16:$DF$16,'Staff Daily sales'!$G110:$CD110))</f>
        <v>6</v>
      </c>
      <c r="W125">
        <f t="shared" si="47"/>
        <v>20399.400000000001</v>
      </c>
      <c r="X125">
        <f t="shared" si="48"/>
        <v>26181.32</v>
      </c>
      <c r="Y125">
        <f t="shared" si="49"/>
        <v>17080.060000000001</v>
      </c>
      <c r="Z125">
        <f t="shared" si="50"/>
        <v>15507.620000000003</v>
      </c>
      <c r="AA125">
        <f t="shared" si="51"/>
        <v>3503.98</v>
      </c>
      <c r="AB125">
        <f>--AND($E125=1,OR('Staff Weekly Trend'!$B$3="All",$DH125='Staff Weekly Trend'!$B$3),OR('Staff Weekly Trend'!$B$4="All",$D125='Staff Weekly Trend'!$B$4),OR('Staff Weekly Trend'!$B$5="All",$A125='Staff Weekly Trend'!$B$5))</f>
        <v>1</v>
      </c>
      <c r="AC125">
        <f t="shared" si="52"/>
        <v>2</v>
      </c>
      <c r="AG125" t="str">
        <v>RYDTALA</v>
      </c>
      <c r="AI125">
        <f t="shared" si="53"/>
        <v>144</v>
      </c>
      <c r="AJ125">
        <f t="shared" si="54"/>
        <v>179</v>
      </c>
      <c r="AK125">
        <f t="shared" si="55"/>
        <v>133</v>
      </c>
      <c r="AL125">
        <f t="shared" si="56"/>
        <v>113</v>
      </c>
      <c r="AM125">
        <f t="shared" si="57"/>
        <v>23</v>
      </c>
      <c r="DH125" t="str" cm="1">
        <f t="array" ref="DH125">IF($A125="","",_xlfn.LET(_xlpm.c,IFERROR(_xlfn.XLOOKUP($A125,TRIM('Sales and count'!$A$4:$A$300&amp;""),TRIM('Sales and count'!$B$4:$B$300&amp;"")),""),IF(OR(_xlpm.c="",_xlpm.c="0",LEFT(_xlpm.c,1)="#"),"Not set",_xlpm.c)))</f>
        <v>KSA</v>
      </c>
    </row>
    <row r="126" spans="1:112" x14ac:dyDescent="0.25">
      <c r="A126" t="str">
        <f>IF('Staff Daily sales'!$B111="","",TRIM('Staff Daily sales'!$B111&amp;""))</f>
        <v>MILAGROPLZ</v>
      </c>
      <c r="B126" t="str">
        <f>IF('Staff Daily sales'!$D111="","",TRIM('Staff Daily sales'!$D111&amp;""))</f>
        <v>4044-SAL-Balawi</v>
      </c>
      <c r="C126" t="str">
        <f>IFERROR(TRIM('Staff Daily sales'!$E111&amp;""),"")</f>
        <v>Tabuk</v>
      </c>
      <c r="D126" t="str">
        <f>IFERROR(IF(TRIM('Staff Daily sales'!$F111&amp;"")="","Unassigned",TRIM('Staff Daily sales'!$F111&amp;"")),"Unassigned")</f>
        <v>Hamzah Al Makhadam</v>
      </c>
      <c r="E126">
        <f t="shared" si="42"/>
        <v>1</v>
      </c>
      <c r="F126">
        <f>IF($E126=0,0,SUMPRODUCT($AI$5:$DF$5,'Staff Daily sales'!$G111:$CD111))</f>
        <v>1177.97</v>
      </c>
      <c r="G126">
        <f>IF($E126=0,0,SUMPRODUCT($AI$6:$DF$6,'Staff Daily sales'!$G111:$CD111))</f>
        <v>8</v>
      </c>
      <c r="H126">
        <f t="shared" si="43"/>
        <v>5630.76</v>
      </c>
      <c r="I126">
        <f t="shared" si="44"/>
        <v>33</v>
      </c>
      <c r="J126">
        <f t="shared" si="45"/>
        <v>128104.23999999996</v>
      </c>
      <c r="K126">
        <f t="shared" si="46"/>
        <v>596</v>
      </c>
      <c r="L126">
        <f>--AND($E126=1,OR('Staff Dashboard'!$B$6="All",$DH126='Staff Dashboard'!$B$6),OR('Staff Dashboard'!$B$7="All",$D126='Staff Dashboard'!$B$7),OR('Staff Dashboard'!$B$8="All",$A126='Staff Dashboard'!$B$8))</f>
        <v>0</v>
      </c>
      <c r="M126">
        <f>IF($E126=0,0,SUMPRODUCT($AI$7:$DF$7,'Staff Daily sales'!$G111:$CD111))</f>
        <v>9151.25</v>
      </c>
      <c r="N126">
        <f>IF($E126=0,0,SUMPRODUCT($AI$8:$DF$8,'Staff Daily sales'!$G111:$CD111))</f>
        <v>69</v>
      </c>
      <c r="O126">
        <f>IF($E126=0,0,SUMPRODUCT($AI$9:$DF$9,'Staff Daily sales'!$G111:$CD111))</f>
        <v>9107.16</v>
      </c>
      <c r="P126">
        <f>IF($E126=0,0,SUMPRODUCT($AI$10:$DF$10,'Staff Daily sales'!$G111:$CD111))</f>
        <v>58</v>
      </c>
      <c r="Q126">
        <f>IF($E126=0,0,SUMPRODUCT($AI$11:$DF$11,'Staff Daily sales'!$G111:$CD111))</f>
        <v>12048.130000000001</v>
      </c>
      <c r="R126">
        <f>IF($E126=0,0,SUMPRODUCT($AI$12:$DF$12,'Staff Daily sales'!$G111:$CD111))</f>
        <v>84</v>
      </c>
      <c r="S126">
        <f>IF($E126=0,0,SUMPRODUCT($AI$13:$DF$13,'Staff Daily sales'!$G111:$CD111))</f>
        <v>6503.9100000000008</v>
      </c>
      <c r="T126">
        <f>IF($E126=0,0,SUMPRODUCT($AI$14:$DF$14,'Staff Daily sales'!$G111:$CD111))</f>
        <v>48</v>
      </c>
      <c r="U126">
        <f>IF($E126=0,0,SUMPRODUCT($AI$15:$DF$15,'Staff Daily sales'!$G111:$CD111))</f>
        <v>2620.94</v>
      </c>
      <c r="V126">
        <f>IF($E126=0,0,SUMPRODUCT($AI$16:$DF$16,'Staff Daily sales'!$G111:$CD111))</f>
        <v>18</v>
      </c>
      <c r="W126">
        <f t="shared" si="47"/>
        <v>27083.510000000002</v>
      </c>
      <c r="X126">
        <f t="shared" si="48"/>
        <v>49240.820000000007</v>
      </c>
      <c r="Y126">
        <f t="shared" si="49"/>
        <v>41910.67</v>
      </c>
      <c r="Z126">
        <f t="shared" si="50"/>
        <v>36626.65</v>
      </c>
      <c r="AA126">
        <f t="shared" si="51"/>
        <v>7656.11</v>
      </c>
      <c r="AB126">
        <f>--AND($E126=1,OR('Staff Weekly Trend'!$B$3="All",$DH126='Staff Weekly Trend'!$B$3),OR('Staff Weekly Trend'!$B$4="All",$D126='Staff Weekly Trend'!$B$4),OR('Staff Weekly Trend'!$B$5="All",$A126='Staff Weekly Trend'!$B$5))</f>
        <v>1</v>
      </c>
      <c r="AC126">
        <f t="shared" si="52"/>
        <v>3</v>
      </c>
      <c r="AG126" t="str">
        <v>RYDUWALK</v>
      </c>
      <c r="AI126">
        <f t="shared" si="53"/>
        <v>202</v>
      </c>
      <c r="AJ126">
        <f t="shared" si="54"/>
        <v>314</v>
      </c>
      <c r="AK126">
        <f t="shared" si="55"/>
        <v>269</v>
      </c>
      <c r="AL126">
        <f t="shared" si="56"/>
        <v>218</v>
      </c>
      <c r="AM126">
        <f t="shared" si="57"/>
        <v>53</v>
      </c>
      <c r="DH126" t="str" cm="1">
        <f t="array" ref="DH126">IF($A126="","",_xlfn.LET(_xlpm.c,IFERROR(_xlfn.XLOOKUP($A126,TRIM('Sales and count'!$A$4:$A$300&amp;""),TRIM('Sales and count'!$B$4:$B$300&amp;"")),""),IF(OR(_xlpm.c="",_xlpm.c="0",LEFT(_xlpm.c,1)="#"),"Not set",_xlpm.c)))</f>
        <v>KSA</v>
      </c>
    </row>
    <row r="127" spans="1:112" x14ac:dyDescent="0.25">
      <c r="A127" t="str">
        <f>IF('Staff Daily sales'!$B112="","",TRIM('Staff Daily sales'!$B112&amp;""))</f>
        <v>MILAGROPLZ</v>
      </c>
      <c r="B127" t="str">
        <f>IF('Staff Daily sales'!$D112="","",TRIM('Staff Daily sales'!$D112&amp;""))</f>
        <v>4046-TAl-Sabi</v>
      </c>
      <c r="C127" t="str">
        <f>IFERROR(TRIM('Staff Daily sales'!$E112&amp;""),"")</f>
        <v>Tabuk</v>
      </c>
      <c r="D127" t="str">
        <f>IFERROR(IF(TRIM('Staff Daily sales'!$F112&amp;"")="","Unassigned",TRIM('Staff Daily sales'!$F112&amp;"")),"Unassigned")</f>
        <v>Hamzah Al Makhadam</v>
      </c>
      <c r="E127">
        <f t="shared" si="42"/>
        <v>1</v>
      </c>
      <c r="F127">
        <f>IF($E127=0,0,SUMPRODUCT($AI$5:$DF$5,'Staff Daily sales'!$G112:$CD112))</f>
        <v>0</v>
      </c>
      <c r="G127">
        <f>IF($E127=0,0,SUMPRODUCT($AI$6:$DF$6,'Staff Daily sales'!$G112:$CD112))</f>
        <v>0</v>
      </c>
      <c r="H127">
        <f t="shared" si="43"/>
        <v>5630.76</v>
      </c>
      <c r="I127">
        <f t="shared" si="44"/>
        <v>33</v>
      </c>
      <c r="J127">
        <f t="shared" si="45"/>
        <v>128104.23999999996</v>
      </c>
      <c r="K127">
        <f t="shared" si="46"/>
        <v>596</v>
      </c>
      <c r="L127">
        <f>--AND($E127=1,OR('Staff Dashboard'!$B$6="All",$DH127='Staff Dashboard'!$B$6),OR('Staff Dashboard'!$B$7="All",$D127='Staff Dashboard'!$B$7),OR('Staff Dashboard'!$B$8="All",$A127='Staff Dashboard'!$B$8))</f>
        <v>0</v>
      </c>
      <c r="M127">
        <f>IF($E127=0,0,SUMPRODUCT($AI$7:$DF$7,'Staff Daily sales'!$G112:$CD112))</f>
        <v>1307.05</v>
      </c>
      <c r="N127">
        <f>IF($E127=0,0,SUMPRODUCT($AI$8:$DF$8,'Staff Daily sales'!$G112:$CD112))</f>
        <v>8</v>
      </c>
      <c r="O127">
        <f>IF($E127=0,0,SUMPRODUCT($AI$9:$DF$9,'Staff Daily sales'!$G112:$CD112))</f>
        <v>2576.0500000000002</v>
      </c>
      <c r="P127">
        <f>IF($E127=0,0,SUMPRODUCT($AI$10:$DF$10,'Staff Daily sales'!$G112:$CD112))</f>
        <v>18</v>
      </c>
      <c r="Q127">
        <f>IF($E127=0,0,SUMPRODUCT($AI$11:$DF$11,'Staff Daily sales'!$G112:$CD112))</f>
        <v>3912.04</v>
      </c>
      <c r="R127">
        <f>IF($E127=0,0,SUMPRODUCT($AI$12:$DF$12,'Staff Daily sales'!$G112:$CD112))</f>
        <v>20</v>
      </c>
      <c r="S127">
        <f>IF($E127=0,0,SUMPRODUCT($AI$13:$DF$13,'Staff Daily sales'!$G112:$CD112))</f>
        <v>75</v>
      </c>
      <c r="T127">
        <f>IF($E127=0,0,SUMPRODUCT($AI$14:$DF$14,'Staff Daily sales'!$G112:$CD112))</f>
        <v>1</v>
      </c>
      <c r="U127">
        <f>IF($E127=0,0,SUMPRODUCT($AI$15:$DF$15,'Staff Daily sales'!$G112:$CD112))</f>
        <v>0</v>
      </c>
      <c r="V127">
        <f>IF($E127=0,0,SUMPRODUCT($AI$16:$DF$16,'Staff Daily sales'!$G112:$CD112))</f>
        <v>0</v>
      </c>
      <c r="W127">
        <f t="shared" si="47"/>
        <v>27083.510000000002</v>
      </c>
      <c r="X127">
        <f t="shared" si="48"/>
        <v>49240.820000000007</v>
      </c>
      <c r="Y127">
        <f t="shared" si="49"/>
        <v>41910.67</v>
      </c>
      <c r="Z127">
        <f t="shared" si="50"/>
        <v>36626.65</v>
      </c>
      <c r="AA127">
        <f t="shared" si="51"/>
        <v>7656.11</v>
      </c>
      <c r="AB127">
        <f>--AND($E127=1,OR('Staff Weekly Trend'!$B$3="All",$DH127='Staff Weekly Trend'!$B$3),OR('Staff Weekly Trend'!$B$4="All",$D127='Staff Weekly Trend'!$B$4),OR('Staff Weekly Trend'!$B$5="All",$A127='Staff Weekly Trend'!$B$5))</f>
        <v>1</v>
      </c>
      <c r="AC127" t="str">
        <f t="shared" si="52"/>
        <v/>
      </c>
      <c r="AG127" t="str">
        <v>RYDVIEW</v>
      </c>
      <c r="AI127">
        <f t="shared" si="53"/>
        <v>202</v>
      </c>
      <c r="AJ127">
        <f t="shared" si="54"/>
        <v>314</v>
      </c>
      <c r="AK127">
        <f t="shared" si="55"/>
        <v>269</v>
      </c>
      <c r="AL127">
        <f t="shared" si="56"/>
        <v>218</v>
      </c>
      <c r="AM127">
        <f t="shared" si="57"/>
        <v>53</v>
      </c>
      <c r="DH127" t="str" cm="1">
        <f t="array" ref="DH127">IF($A127="","",_xlfn.LET(_xlpm.c,IFERROR(_xlfn.XLOOKUP($A127,TRIM('Sales and count'!$A$4:$A$300&amp;""),TRIM('Sales and count'!$B$4:$B$300&amp;"")),""),IF(OR(_xlpm.c="",_xlpm.c="0",LEFT(_xlpm.c,1)="#"),"Not set",_xlpm.c)))</f>
        <v>KSA</v>
      </c>
    </row>
    <row r="128" spans="1:112" x14ac:dyDescent="0.25">
      <c r="A128" t="str">
        <f>IF('Staff Daily sales'!$B113="","",TRIM('Staff Daily sales'!$B113&amp;""))</f>
        <v>MILAGROPLZ</v>
      </c>
      <c r="B128" t="str">
        <f>IF('Staff Daily sales'!$D113="","",TRIM('Staff Daily sales'!$D113&amp;""))</f>
        <v>4053-TOtayf</v>
      </c>
      <c r="C128" t="str">
        <f>IFERROR(TRIM('Staff Daily sales'!$E113&amp;""),"")</f>
        <v>Tabuk</v>
      </c>
      <c r="D128" t="str">
        <f>IFERROR(IF(TRIM('Staff Daily sales'!$F113&amp;"")="","Unassigned",TRIM('Staff Daily sales'!$F113&amp;"")),"Unassigned")</f>
        <v>Hamzah Al Makhadam</v>
      </c>
      <c r="E128">
        <f t="shared" si="42"/>
        <v>1</v>
      </c>
      <c r="F128">
        <f>IF($E128=0,0,SUMPRODUCT($AI$5:$DF$5,'Staff Daily sales'!$G113:$CD113))</f>
        <v>447.01</v>
      </c>
      <c r="G128">
        <f>IF($E128=0,0,SUMPRODUCT($AI$6:$DF$6,'Staff Daily sales'!$G113:$CD113))</f>
        <v>3</v>
      </c>
      <c r="H128">
        <f t="shared" si="43"/>
        <v>5630.76</v>
      </c>
      <c r="I128">
        <f t="shared" si="44"/>
        <v>33</v>
      </c>
      <c r="J128">
        <f t="shared" si="45"/>
        <v>128104.23999999996</v>
      </c>
      <c r="K128">
        <f t="shared" si="46"/>
        <v>596</v>
      </c>
      <c r="L128">
        <f>--AND($E128=1,OR('Staff Dashboard'!$B$6="All",$DH128='Staff Dashboard'!$B$6),OR('Staff Dashboard'!$B$7="All",$D128='Staff Dashboard'!$B$7),OR('Staff Dashboard'!$B$8="All",$A128='Staff Dashboard'!$B$8))</f>
        <v>0</v>
      </c>
      <c r="M128">
        <f>IF($E128=0,0,SUMPRODUCT($AI$7:$DF$7,'Staff Daily sales'!$G113:$CD113))</f>
        <v>0</v>
      </c>
      <c r="N128">
        <f>IF($E128=0,0,SUMPRODUCT($AI$8:$DF$8,'Staff Daily sales'!$G113:$CD113))</f>
        <v>0</v>
      </c>
      <c r="O128">
        <f>IF($E128=0,0,SUMPRODUCT($AI$9:$DF$9,'Staff Daily sales'!$G113:$CD113))</f>
        <v>0</v>
      </c>
      <c r="P128">
        <f>IF($E128=0,0,SUMPRODUCT($AI$10:$DF$10,'Staff Daily sales'!$G113:$CD113))</f>
        <v>0</v>
      </c>
      <c r="Q128">
        <f>IF($E128=0,0,SUMPRODUCT($AI$11:$DF$11,'Staff Daily sales'!$G113:$CD113))</f>
        <v>5865.13</v>
      </c>
      <c r="R128">
        <f>IF($E128=0,0,SUMPRODUCT($AI$12:$DF$12,'Staff Daily sales'!$G113:$CD113))</f>
        <v>35</v>
      </c>
      <c r="S128">
        <f>IF($E128=0,0,SUMPRODUCT($AI$13:$DF$13,'Staff Daily sales'!$G113:$CD113))</f>
        <v>4287.04</v>
      </c>
      <c r="T128">
        <f>IF($E128=0,0,SUMPRODUCT($AI$14:$DF$14,'Staff Daily sales'!$G113:$CD113))</f>
        <v>28</v>
      </c>
      <c r="U128">
        <f>IF($E128=0,0,SUMPRODUCT($AI$15:$DF$15,'Staff Daily sales'!$G113:$CD113))</f>
        <v>1476.07</v>
      </c>
      <c r="V128">
        <f>IF($E128=0,0,SUMPRODUCT($AI$16:$DF$16,'Staff Daily sales'!$G113:$CD113))</f>
        <v>10</v>
      </c>
      <c r="W128">
        <f t="shared" si="47"/>
        <v>27083.510000000002</v>
      </c>
      <c r="X128">
        <f t="shared" si="48"/>
        <v>49240.820000000007</v>
      </c>
      <c r="Y128">
        <f t="shared" si="49"/>
        <v>41910.67</v>
      </c>
      <c r="Z128">
        <f t="shared" si="50"/>
        <v>36626.65</v>
      </c>
      <c r="AA128">
        <f t="shared" si="51"/>
        <v>7656.11</v>
      </c>
      <c r="AB128">
        <f>--AND($E128=1,OR('Staff Weekly Trend'!$B$3="All",$DH128='Staff Weekly Trend'!$B$3),OR('Staff Weekly Trend'!$B$4="All",$D128='Staff Weekly Trend'!$B$4),OR('Staff Weekly Trend'!$B$5="All",$A128='Staff Weekly Trend'!$B$5))</f>
        <v>1</v>
      </c>
      <c r="AC128">
        <f t="shared" si="52"/>
        <v>5</v>
      </c>
      <c r="AG128" t="str">
        <v>SALAMA</v>
      </c>
      <c r="AI128">
        <f t="shared" si="53"/>
        <v>202</v>
      </c>
      <c r="AJ128">
        <f t="shared" si="54"/>
        <v>314</v>
      </c>
      <c r="AK128">
        <f t="shared" si="55"/>
        <v>269</v>
      </c>
      <c r="AL128">
        <f t="shared" si="56"/>
        <v>218</v>
      </c>
      <c r="AM128">
        <f t="shared" si="57"/>
        <v>53</v>
      </c>
      <c r="DH128" t="str" cm="1">
        <f t="array" ref="DH128">IF($A128="","",_xlfn.LET(_xlpm.c,IFERROR(_xlfn.XLOOKUP($A128,TRIM('Sales and count'!$A$4:$A$300&amp;""),TRIM('Sales and count'!$B$4:$B$300&amp;"")),""),IF(OR(_xlpm.c="",_xlpm.c="0",LEFT(_xlpm.c,1)="#"),"Not set",_xlpm.c)))</f>
        <v>KSA</v>
      </c>
    </row>
    <row r="129" spans="1:112" x14ac:dyDescent="0.25">
      <c r="A129" t="str">
        <f>IF('Staff Daily sales'!$B114="","",TRIM('Staff Daily sales'!$B114&amp;""))</f>
        <v>MILAGROPLZ</v>
      </c>
      <c r="B129" t="str">
        <f>IF('Staff Daily sales'!$D114="","",TRIM('Staff Daily sales'!$D114&amp;""))</f>
        <v>4062-SAl-Balawi</v>
      </c>
      <c r="C129" t="str">
        <f>IFERROR(TRIM('Staff Daily sales'!$E114&amp;""),"")</f>
        <v>Tabuk</v>
      </c>
      <c r="D129" t="str">
        <f>IFERROR(IF(TRIM('Staff Daily sales'!$F114&amp;"")="","Unassigned",TRIM('Staff Daily sales'!$F114&amp;"")),"Unassigned")</f>
        <v>Hamzah Al Makhadam</v>
      </c>
      <c r="E129">
        <f t="shared" si="42"/>
        <v>1</v>
      </c>
      <c r="F129">
        <f>IF($E129=0,0,SUMPRODUCT($AI$5:$DF$5,'Staff Daily sales'!$G114:$CD114))</f>
        <v>0</v>
      </c>
      <c r="G129">
        <f>IF($E129=0,0,SUMPRODUCT($AI$6:$DF$6,'Staff Daily sales'!$G114:$CD114))</f>
        <v>0</v>
      </c>
      <c r="H129">
        <f t="shared" si="43"/>
        <v>5630.76</v>
      </c>
      <c r="I129">
        <f t="shared" si="44"/>
        <v>33</v>
      </c>
      <c r="J129">
        <f t="shared" si="45"/>
        <v>128104.23999999996</v>
      </c>
      <c r="K129">
        <f t="shared" si="46"/>
        <v>596</v>
      </c>
      <c r="L129">
        <f>--AND($E129=1,OR('Staff Dashboard'!$B$6="All",$DH129='Staff Dashboard'!$B$6),OR('Staff Dashboard'!$B$7="All",$D129='Staff Dashboard'!$B$7),OR('Staff Dashboard'!$B$8="All",$A129='Staff Dashboard'!$B$8))</f>
        <v>0</v>
      </c>
      <c r="M129">
        <f>IF($E129=0,0,SUMPRODUCT($AI$7:$DF$7,'Staff Daily sales'!$G114:$CD114))</f>
        <v>0</v>
      </c>
      <c r="N129">
        <f>IF($E129=0,0,SUMPRODUCT($AI$8:$DF$8,'Staff Daily sales'!$G114:$CD114))</f>
        <v>0</v>
      </c>
      <c r="O129">
        <f>IF($E129=0,0,SUMPRODUCT($AI$9:$DF$9,'Staff Daily sales'!$G114:$CD114))</f>
        <v>9702.15</v>
      </c>
      <c r="P129">
        <f>IF($E129=0,0,SUMPRODUCT($AI$10:$DF$10,'Staff Daily sales'!$G114:$CD114))</f>
        <v>62</v>
      </c>
      <c r="Q129">
        <f>IF($E129=0,0,SUMPRODUCT($AI$11:$DF$11,'Staff Daily sales'!$G114:$CD114))</f>
        <v>0</v>
      </c>
      <c r="R129">
        <f>IF($E129=0,0,SUMPRODUCT($AI$12:$DF$12,'Staff Daily sales'!$G114:$CD114))</f>
        <v>0</v>
      </c>
      <c r="S129">
        <f>IF($E129=0,0,SUMPRODUCT($AI$13:$DF$13,'Staff Daily sales'!$G114:$CD114))</f>
        <v>0</v>
      </c>
      <c r="T129">
        <f>IF($E129=0,0,SUMPRODUCT($AI$14:$DF$14,'Staff Daily sales'!$G114:$CD114))</f>
        <v>0</v>
      </c>
      <c r="U129">
        <f>IF($E129=0,0,SUMPRODUCT($AI$15:$DF$15,'Staff Daily sales'!$G114:$CD114))</f>
        <v>0</v>
      </c>
      <c r="V129">
        <f>IF($E129=0,0,SUMPRODUCT($AI$16:$DF$16,'Staff Daily sales'!$G114:$CD114))</f>
        <v>0</v>
      </c>
      <c r="W129">
        <f t="shared" si="47"/>
        <v>27083.510000000002</v>
      </c>
      <c r="X129">
        <f t="shared" si="48"/>
        <v>49240.820000000007</v>
      </c>
      <c r="Y129">
        <f t="shared" si="49"/>
        <v>41910.67</v>
      </c>
      <c r="Z129">
        <f t="shared" si="50"/>
        <v>36626.65</v>
      </c>
      <c r="AA129">
        <f t="shared" si="51"/>
        <v>7656.11</v>
      </c>
      <c r="AB129">
        <f>--AND($E129=1,OR('Staff Weekly Trend'!$B$3="All",$DH129='Staff Weekly Trend'!$B$3),OR('Staff Weekly Trend'!$B$4="All",$D129='Staff Weekly Trend'!$B$4),OR('Staff Weekly Trend'!$B$5="All",$A129='Staff Weekly Trend'!$B$5))</f>
        <v>1</v>
      </c>
      <c r="AC129" t="str">
        <f t="shared" si="52"/>
        <v/>
      </c>
      <c r="AG129" t="str">
        <v>SHIHAR</v>
      </c>
      <c r="AI129">
        <f t="shared" si="53"/>
        <v>202</v>
      </c>
      <c r="AJ129">
        <f t="shared" si="54"/>
        <v>314</v>
      </c>
      <c r="AK129">
        <f t="shared" si="55"/>
        <v>269</v>
      </c>
      <c r="AL129">
        <f t="shared" si="56"/>
        <v>218</v>
      </c>
      <c r="AM129">
        <f t="shared" si="57"/>
        <v>53</v>
      </c>
      <c r="DH129" t="str" cm="1">
        <f t="array" ref="DH129">IF($A129="","",_xlfn.LET(_xlpm.c,IFERROR(_xlfn.XLOOKUP($A129,TRIM('Sales and count'!$A$4:$A$300&amp;""),TRIM('Sales and count'!$B$4:$B$300&amp;"")),""),IF(OR(_xlpm.c="",_xlpm.c="0",LEFT(_xlpm.c,1)="#"),"Not set",_xlpm.c)))</f>
        <v>KSA</v>
      </c>
    </row>
    <row r="130" spans="1:112" x14ac:dyDescent="0.25">
      <c r="A130" t="str">
        <f>IF('Staff Daily sales'!$B115="","",TRIM('Staff Daily sales'!$B115&amp;""))</f>
        <v>MILAGROPLZ</v>
      </c>
      <c r="B130" t="str">
        <f>IF('Staff Daily sales'!$D115="","",TRIM('Staff Daily sales'!$D115&amp;""))</f>
        <v>4067-MAL-Johani</v>
      </c>
      <c r="C130" t="str">
        <f>IFERROR(TRIM('Staff Daily sales'!$E115&amp;""),"")</f>
        <v>Tabuk</v>
      </c>
      <c r="D130" t="str">
        <f>IFERROR(IF(TRIM('Staff Daily sales'!$F115&amp;"")="","Unassigned",TRIM('Staff Daily sales'!$F115&amp;"")),"Unassigned")</f>
        <v>Hamzah Al Makhadam</v>
      </c>
      <c r="E130">
        <f t="shared" si="42"/>
        <v>1</v>
      </c>
      <c r="F130">
        <f>IF($E130=0,0,SUMPRODUCT($AI$5:$DF$5,'Staff Daily sales'!$G115:$CD115))</f>
        <v>1480.92</v>
      </c>
      <c r="G130">
        <f>IF($E130=0,0,SUMPRODUCT($AI$6:$DF$6,'Staff Daily sales'!$G115:$CD115))</f>
        <v>10</v>
      </c>
      <c r="H130">
        <f t="shared" si="43"/>
        <v>5630.76</v>
      </c>
      <c r="I130">
        <f t="shared" si="44"/>
        <v>33</v>
      </c>
      <c r="J130">
        <f t="shared" si="45"/>
        <v>128104.23999999996</v>
      </c>
      <c r="K130">
        <f t="shared" si="46"/>
        <v>596</v>
      </c>
      <c r="L130">
        <f>--AND($E130=1,OR('Staff Dashboard'!$B$6="All",$DH130='Staff Dashboard'!$B$6),OR('Staff Dashboard'!$B$7="All",$D130='Staff Dashboard'!$B$7),OR('Staff Dashboard'!$B$8="All",$A130='Staff Dashboard'!$B$8))</f>
        <v>0</v>
      </c>
      <c r="M130">
        <f>IF($E130=0,0,SUMPRODUCT($AI$7:$DF$7,'Staff Daily sales'!$G115:$CD115))</f>
        <v>1374.02</v>
      </c>
      <c r="N130">
        <f>IF($E130=0,0,SUMPRODUCT($AI$8:$DF$8,'Staff Daily sales'!$G115:$CD115))</f>
        <v>11</v>
      </c>
      <c r="O130">
        <f>IF($E130=0,0,SUMPRODUCT($AI$9:$DF$9,'Staff Daily sales'!$G115:$CD115))</f>
        <v>0</v>
      </c>
      <c r="P130">
        <f>IF($E130=0,0,SUMPRODUCT($AI$10:$DF$10,'Staff Daily sales'!$G115:$CD115))</f>
        <v>0</v>
      </c>
      <c r="Q130">
        <f>IF($E130=0,0,SUMPRODUCT($AI$11:$DF$11,'Staff Daily sales'!$G115:$CD115))</f>
        <v>0</v>
      </c>
      <c r="R130">
        <f>IF($E130=0,0,SUMPRODUCT($AI$12:$DF$12,'Staff Daily sales'!$G115:$CD115))</f>
        <v>0</v>
      </c>
      <c r="S130">
        <f>IF($E130=0,0,SUMPRODUCT($AI$13:$DF$13,'Staff Daily sales'!$G115:$CD115))</f>
        <v>6623.89</v>
      </c>
      <c r="T130">
        <f>IF($E130=0,0,SUMPRODUCT($AI$14:$DF$14,'Staff Daily sales'!$G115:$CD115))</f>
        <v>46</v>
      </c>
      <c r="U130">
        <f>IF($E130=0,0,SUMPRODUCT($AI$15:$DF$15,'Staff Daily sales'!$G115:$CD115))</f>
        <v>919.08</v>
      </c>
      <c r="V130">
        <f>IF($E130=0,0,SUMPRODUCT($AI$16:$DF$16,'Staff Daily sales'!$G115:$CD115))</f>
        <v>5</v>
      </c>
      <c r="W130">
        <f t="shared" si="47"/>
        <v>27083.510000000002</v>
      </c>
      <c r="X130">
        <f t="shared" si="48"/>
        <v>49240.820000000007</v>
      </c>
      <c r="Y130">
        <f t="shared" si="49"/>
        <v>41910.67</v>
      </c>
      <c r="Z130">
        <f t="shared" si="50"/>
        <v>36626.65</v>
      </c>
      <c r="AA130">
        <f t="shared" si="51"/>
        <v>7656.11</v>
      </c>
      <c r="AB130">
        <f>--AND($E130=1,OR('Staff Weekly Trend'!$B$3="All",$DH130='Staff Weekly Trend'!$B$3),OR('Staff Weekly Trend'!$B$4="All",$D130='Staff Weekly Trend'!$B$4),OR('Staff Weekly Trend'!$B$5="All",$A130='Staff Weekly Trend'!$B$5))</f>
        <v>1</v>
      </c>
      <c r="AC130">
        <f t="shared" si="52"/>
        <v>2</v>
      </c>
      <c r="AG130" t="str">
        <v>SMARTSH</v>
      </c>
      <c r="AI130">
        <f t="shared" si="53"/>
        <v>202</v>
      </c>
      <c r="AJ130">
        <f t="shared" si="54"/>
        <v>314</v>
      </c>
      <c r="AK130">
        <f t="shared" si="55"/>
        <v>269</v>
      </c>
      <c r="AL130">
        <f t="shared" si="56"/>
        <v>218</v>
      </c>
      <c r="AM130">
        <f t="shared" si="57"/>
        <v>53</v>
      </c>
      <c r="DH130" t="str" cm="1">
        <f t="array" ref="DH130">IF($A130="","",_xlfn.LET(_xlpm.c,IFERROR(_xlfn.XLOOKUP($A130,TRIM('Sales and count'!$A$4:$A$300&amp;""),TRIM('Sales and count'!$B$4:$B$300&amp;"")),""),IF(OR(_xlpm.c="",_xlpm.c="0",LEFT(_xlpm.c,1)="#"),"Not set",_xlpm.c)))</f>
        <v>KSA</v>
      </c>
    </row>
    <row r="131" spans="1:112" x14ac:dyDescent="0.25">
      <c r="A131" t="str">
        <f>IF('Staff Daily sales'!$B116="","",TRIM('Staff Daily sales'!$B116&amp;""))</f>
        <v>MILAGROPLZ</v>
      </c>
      <c r="B131" t="str">
        <f>IF('Staff Daily sales'!$D116="","",TRIM('Staff Daily sales'!$D116&amp;""))</f>
        <v>4080-LAL-Huwiti</v>
      </c>
      <c r="C131" t="str">
        <f>IFERROR(TRIM('Staff Daily sales'!$E116&amp;""),"")</f>
        <v>Tabuk</v>
      </c>
      <c r="D131" t="str">
        <f>IFERROR(IF(TRIM('Staff Daily sales'!$F116&amp;"")="","Unassigned",TRIM('Staff Daily sales'!$F116&amp;"")),"Unassigned")</f>
        <v>Hamzah Al Makhadam</v>
      </c>
      <c r="E131">
        <f t="shared" si="42"/>
        <v>1</v>
      </c>
      <c r="F131">
        <f>IF($E131=0,0,SUMPRODUCT($AI$5:$DF$5,'Staff Daily sales'!$G116:$CD116))</f>
        <v>1902.87</v>
      </c>
      <c r="G131">
        <f>IF($E131=0,0,SUMPRODUCT($AI$6:$DF$6,'Staff Daily sales'!$G116:$CD116))</f>
        <v>6</v>
      </c>
      <c r="H131">
        <f t="shared" si="43"/>
        <v>5630.76</v>
      </c>
      <c r="I131">
        <f t="shared" si="44"/>
        <v>33</v>
      </c>
      <c r="J131">
        <f t="shared" si="45"/>
        <v>128104.23999999996</v>
      </c>
      <c r="K131">
        <f t="shared" si="46"/>
        <v>596</v>
      </c>
      <c r="L131">
        <f>--AND($E131=1,OR('Staff Dashboard'!$B$6="All",$DH131='Staff Dashboard'!$B$6),OR('Staff Dashboard'!$B$7="All",$D131='Staff Dashboard'!$B$7),OR('Staff Dashboard'!$B$8="All",$A131='Staff Dashboard'!$B$8))</f>
        <v>0</v>
      </c>
      <c r="M131">
        <f>IF($E131=0,0,SUMPRODUCT($AI$7:$DF$7,'Staff Daily sales'!$G116:$CD116))</f>
        <v>6224.08</v>
      </c>
      <c r="N131">
        <f>IF($E131=0,0,SUMPRODUCT($AI$8:$DF$8,'Staff Daily sales'!$G116:$CD116))</f>
        <v>53</v>
      </c>
      <c r="O131">
        <f>IF($E131=0,0,SUMPRODUCT($AI$9:$DF$9,'Staff Daily sales'!$G116:$CD116))</f>
        <v>12103.19</v>
      </c>
      <c r="P131">
        <f>IF($E131=0,0,SUMPRODUCT($AI$10:$DF$10,'Staff Daily sales'!$G116:$CD116))</f>
        <v>81</v>
      </c>
      <c r="Q131">
        <f>IF($E131=0,0,SUMPRODUCT($AI$11:$DF$11,'Staff Daily sales'!$G116:$CD116))</f>
        <v>10835.140000000001</v>
      </c>
      <c r="R131">
        <f>IF($E131=0,0,SUMPRODUCT($AI$12:$DF$12,'Staff Daily sales'!$G116:$CD116))</f>
        <v>76</v>
      </c>
      <c r="S131">
        <f>IF($E131=0,0,SUMPRODUCT($AI$13:$DF$13,'Staff Daily sales'!$G116:$CD116))</f>
        <v>9733.7900000000009</v>
      </c>
      <c r="T131">
        <f>IF($E131=0,0,SUMPRODUCT($AI$14:$DF$14,'Staff Daily sales'!$G116:$CD116))</f>
        <v>37</v>
      </c>
      <c r="U131">
        <f>IF($E131=0,0,SUMPRODUCT($AI$15:$DF$15,'Staff Daily sales'!$G116:$CD116))</f>
        <v>607.98</v>
      </c>
      <c r="V131">
        <f>IF($E131=0,0,SUMPRODUCT($AI$16:$DF$16,'Staff Daily sales'!$G116:$CD116))</f>
        <v>4</v>
      </c>
      <c r="W131">
        <f t="shared" si="47"/>
        <v>27083.510000000002</v>
      </c>
      <c r="X131">
        <f t="shared" si="48"/>
        <v>49240.820000000007</v>
      </c>
      <c r="Y131">
        <f t="shared" si="49"/>
        <v>41910.67</v>
      </c>
      <c r="Z131">
        <f t="shared" si="50"/>
        <v>36626.65</v>
      </c>
      <c r="AA131">
        <f t="shared" si="51"/>
        <v>7656.11</v>
      </c>
      <c r="AB131">
        <f>--AND($E131=1,OR('Staff Weekly Trend'!$B$3="All",$DH131='Staff Weekly Trend'!$B$3),OR('Staff Weekly Trend'!$B$4="All",$D131='Staff Weekly Trend'!$B$4),OR('Staff Weekly Trend'!$B$5="All",$A131='Staff Weekly Trend'!$B$5))</f>
        <v>1</v>
      </c>
      <c r="AC131">
        <f t="shared" si="52"/>
        <v>1</v>
      </c>
      <c r="AG131" t="str">
        <v>TAHLIAST</v>
      </c>
      <c r="AI131">
        <f t="shared" si="53"/>
        <v>202</v>
      </c>
      <c r="AJ131">
        <f t="shared" si="54"/>
        <v>314</v>
      </c>
      <c r="AK131">
        <f t="shared" si="55"/>
        <v>269</v>
      </c>
      <c r="AL131">
        <f t="shared" si="56"/>
        <v>218</v>
      </c>
      <c r="AM131">
        <f t="shared" si="57"/>
        <v>53</v>
      </c>
      <c r="DH131" t="str" cm="1">
        <f t="array" ref="DH131">IF($A131="","",_xlfn.LET(_xlpm.c,IFERROR(_xlfn.XLOOKUP($A131,TRIM('Sales and count'!$A$4:$A$300&amp;""),TRIM('Sales and count'!$B$4:$B$300&amp;"")),""),IF(OR(_xlpm.c="",_xlpm.c="0",LEFT(_xlpm.c,1)="#"),"Not set",_xlpm.c)))</f>
        <v>KSA</v>
      </c>
    </row>
    <row r="132" spans="1:112" x14ac:dyDescent="0.25">
      <c r="A132" t="str">
        <f>IF('Staff Daily sales'!$B117="","",TRIM('Staff Daily sales'!$B117&amp;""))</f>
        <v>MILAGROPLZ</v>
      </c>
      <c r="B132" t="str">
        <f>IF('Staff Daily sales'!$D117="","",TRIM('Staff Daily sales'!$D117&amp;""))</f>
        <v>5707-RHawsawi</v>
      </c>
      <c r="C132" t="str">
        <f>IFERROR(TRIM('Staff Daily sales'!$E117&amp;""),"")</f>
        <v>Tabuk</v>
      </c>
      <c r="D132" t="str">
        <f>IFERROR(IF(TRIM('Staff Daily sales'!$F117&amp;"")="","Unassigned",TRIM('Staff Daily sales'!$F117&amp;"")),"Unassigned")</f>
        <v>Hamzah Al Makhadam</v>
      </c>
      <c r="E132">
        <f t="shared" si="42"/>
        <v>1</v>
      </c>
      <c r="F132">
        <f>IF($E132=0,0,SUMPRODUCT($AI$5:$DF$5,'Staff Daily sales'!$G117:$CD117))</f>
        <v>621.99</v>
      </c>
      <c r="G132">
        <f>IF($E132=0,0,SUMPRODUCT($AI$6:$DF$6,'Staff Daily sales'!$G117:$CD117))</f>
        <v>6</v>
      </c>
      <c r="H132">
        <f t="shared" si="43"/>
        <v>5630.76</v>
      </c>
      <c r="I132">
        <f t="shared" si="44"/>
        <v>33</v>
      </c>
      <c r="J132">
        <f t="shared" si="45"/>
        <v>128104.23999999996</v>
      </c>
      <c r="K132">
        <f t="shared" si="46"/>
        <v>596</v>
      </c>
      <c r="L132">
        <f>--AND($E132=1,OR('Staff Dashboard'!$B$6="All",$DH132='Staff Dashboard'!$B$6),OR('Staff Dashboard'!$B$7="All",$D132='Staff Dashboard'!$B$7),OR('Staff Dashboard'!$B$8="All",$A132='Staff Dashboard'!$B$8))</f>
        <v>0</v>
      </c>
      <c r="M132">
        <f>IF($E132=0,0,SUMPRODUCT($AI$7:$DF$7,'Staff Daily sales'!$G117:$CD117))</f>
        <v>9027.11</v>
      </c>
      <c r="N132">
        <f>IF($E132=0,0,SUMPRODUCT($AI$8:$DF$8,'Staff Daily sales'!$G117:$CD117))</f>
        <v>61</v>
      </c>
      <c r="O132">
        <f>IF($E132=0,0,SUMPRODUCT($AI$9:$DF$9,'Staff Daily sales'!$G117:$CD117))</f>
        <v>15752.27</v>
      </c>
      <c r="P132">
        <f>IF($E132=0,0,SUMPRODUCT($AI$10:$DF$10,'Staff Daily sales'!$G117:$CD117))</f>
        <v>95</v>
      </c>
      <c r="Q132">
        <f>IF($E132=0,0,SUMPRODUCT($AI$11:$DF$11,'Staff Daily sales'!$G117:$CD117))</f>
        <v>9250.23</v>
      </c>
      <c r="R132">
        <f>IF($E132=0,0,SUMPRODUCT($AI$12:$DF$12,'Staff Daily sales'!$G117:$CD117))</f>
        <v>54</v>
      </c>
      <c r="S132">
        <f>IF($E132=0,0,SUMPRODUCT($AI$13:$DF$13,'Staff Daily sales'!$G117:$CD117))</f>
        <v>9403.0199999999986</v>
      </c>
      <c r="T132">
        <f>IF($E132=0,0,SUMPRODUCT($AI$14:$DF$14,'Staff Daily sales'!$G117:$CD117))</f>
        <v>58</v>
      </c>
      <c r="U132">
        <f>IF($E132=0,0,SUMPRODUCT($AI$15:$DF$15,'Staff Daily sales'!$G117:$CD117))</f>
        <v>2032.04</v>
      </c>
      <c r="V132">
        <f>IF($E132=0,0,SUMPRODUCT($AI$16:$DF$16,'Staff Daily sales'!$G117:$CD117))</f>
        <v>16</v>
      </c>
      <c r="W132">
        <f t="shared" si="47"/>
        <v>27083.510000000002</v>
      </c>
      <c r="X132">
        <f t="shared" si="48"/>
        <v>49240.820000000007</v>
      </c>
      <c r="Y132">
        <f t="shared" si="49"/>
        <v>41910.67</v>
      </c>
      <c r="Z132">
        <f t="shared" si="50"/>
        <v>36626.65</v>
      </c>
      <c r="AA132">
        <f t="shared" si="51"/>
        <v>7656.11</v>
      </c>
      <c r="AB132">
        <f>--AND($E132=1,OR('Staff Weekly Trend'!$B$3="All",$DH132='Staff Weekly Trend'!$B$3),OR('Staff Weekly Trend'!$B$4="All",$D132='Staff Weekly Trend'!$B$4),OR('Staff Weekly Trend'!$B$5="All",$A132='Staff Weekly Trend'!$B$5))</f>
        <v>1</v>
      </c>
      <c r="AC132">
        <f t="shared" si="52"/>
        <v>4</v>
      </c>
      <c r="AG132" t="str">
        <v>YANBUMALL</v>
      </c>
      <c r="AI132">
        <f t="shared" si="53"/>
        <v>202</v>
      </c>
      <c r="AJ132">
        <f t="shared" si="54"/>
        <v>314</v>
      </c>
      <c r="AK132">
        <f t="shared" si="55"/>
        <v>269</v>
      </c>
      <c r="AL132">
        <f t="shared" si="56"/>
        <v>218</v>
      </c>
      <c r="AM132">
        <f t="shared" si="57"/>
        <v>53</v>
      </c>
      <c r="DH132" t="str" cm="1">
        <f t="array" ref="DH132">IF($A132="","",_xlfn.LET(_xlpm.c,IFERROR(_xlfn.XLOOKUP($A132,TRIM('Sales and count'!$A$4:$A$300&amp;""),TRIM('Sales and count'!$B$4:$B$300&amp;"")),""),IF(OR(_xlpm.c="",_xlpm.c="0",LEFT(_xlpm.c,1)="#"),"Not set",_xlpm.c)))</f>
        <v>KSA</v>
      </c>
    </row>
    <row r="133" spans="1:112" x14ac:dyDescent="0.25">
      <c r="A133" t="str">
        <f>IF('Staff Daily sales'!$B118="","",TRIM('Staff Daily sales'!$B118&amp;""))</f>
        <v>JEDDPARK</v>
      </c>
      <c r="B133" t="str">
        <f>IF('Staff Daily sales'!$D118="","",TRIM('Staff Daily sales'!$D118&amp;""))</f>
        <v>4309-NAlmuolad</v>
      </c>
      <c r="C133" t="str">
        <f>IFERROR(TRIM('Staff Daily sales'!$E118&amp;""),"")</f>
        <v>Jeddah</v>
      </c>
      <c r="D133" t="str">
        <f>IFERROR(IF(TRIM('Staff Daily sales'!$F118&amp;"")="","Unassigned",TRIM('Staff Daily sales'!$F118&amp;"")),"Unassigned")</f>
        <v>Ahlam Al Zahrani</v>
      </c>
      <c r="E133">
        <f t="shared" si="42"/>
        <v>1</v>
      </c>
      <c r="F133">
        <f>IF($E133=0,0,SUMPRODUCT($AI$5:$DF$5,'Staff Daily sales'!$G118:$CD118))</f>
        <v>1802.96</v>
      </c>
      <c r="G133">
        <f>IF($E133=0,0,SUMPRODUCT($AI$6:$DF$6,'Staff Daily sales'!$G118:$CD118))</f>
        <v>17</v>
      </c>
      <c r="H133">
        <f t="shared" si="43"/>
        <v>10511.57</v>
      </c>
      <c r="I133">
        <f t="shared" si="44"/>
        <v>77</v>
      </c>
      <c r="J133">
        <f t="shared" si="45"/>
        <v>62016.170000000006</v>
      </c>
      <c r="K133">
        <f t="shared" si="46"/>
        <v>398</v>
      </c>
      <c r="L133">
        <f>--AND($E133=1,OR('Staff Dashboard'!$B$6="All",$DH133='Staff Dashboard'!$B$6),OR('Staff Dashboard'!$B$7="All",$D133='Staff Dashboard'!$B$7),OR('Staff Dashboard'!$B$8="All",$A133='Staff Dashboard'!$B$8))</f>
        <v>0</v>
      </c>
      <c r="M133">
        <f>IF($E133=0,0,SUMPRODUCT($AI$7:$DF$7,'Staff Daily sales'!$G118:$CD118))</f>
        <v>10560.24</v>
      </c>
      <c r="N133">
        <f>IF($E133=0,0,SUMPRODUCT($AI$8:$DF$8,'Staff Daily sales'!$G118:$CD118))</f>
        <v>95</v>
      </c>
      <c r="O133">
        <f>IF($E133=0,0,SUMPRODUCT($AI$9:$DF$9,'Staff Daily sales'!$G118:$CD118))</f>
        <v>19114.39</v>
      </c>
      <c r="P133">
        <f>IF($E133=0,0,SUMPRODUCT($AI$10:$DF$10,'Staff Daily sales'!$G118:$CD118))</f>
        <v>139</v>
      </c>
      <c r="Q133">
        <f>IF($E133=0,0,SUMPRODUCT($AI$11:$DF$11,'Staff Daily sales'!$G118:$CD118))</f>
        <v>0</v>
      </c>
      <c r="R133">
        <f>IF($E133=0,0,SUMPRODUCT($AI$12:$DF$12,'Staff Daily sales'!$G118:$CD118))</f>
        <v>0</v>
      </c>
      <c r="S133">
        <f>IF($E133=0,0,SUMPRODUCT($AI$13:$DF$13,'Staff Daily sales'!$G118:$CD118))</f>
        <v>12392.829999999998</v>
      </c>
      <c r="T133">
        <f>IF($E133=0,0,SUMPRODUCT($AI$14:$DF$14,'Staff Daily sales'!$G118:$CD118))</f>
        <v>78</v>
      </c>
      <c r="U133">
        <f>IF($E133=0,0,SUMPRODUCT($AI$15:$DF$15,'Staff Daily sales'!$G118:$CD118))</f>
        <v>1401.01</v>
      </c>
      <c r="V133">
        <f>IF($E133=0,0,SUMPRODUCT($AI$16:$DF$16,'Staff Daily sales'!$G118:$CD118))</f>
        <v>9</v>
      </c>
      <c r="W133">
        <f t="shared" si="47"/>
        <v>38493.69</v>
      </c>
      <c r="X133">
        <f t="shared" si="48"/>
        <v>63233.03</v>
      </c>
      <c r="Y133">
        <f t="shared" si="49"/>
        <v>52349.009999999995</v>
      </c>
      <c r="Z133">
        <f t="shared" si="50"/>
        <v>49865.2</v>
      </c>
      <c r="AA133">
        <f t="shared" si="51"/>
        <v>10553.14</v>
      </c>
      <c r="AB133">
        <f>--AND($E133=1,OR('Staff Weekly Trend'!$B$3="All",$DH133='Staff Weekly Trend'!$B$3),OR('Staff Weekly Trend'!$B$4="All",$D133='Staff Weekly Trend'!$B$4),OR('Staff Weekly Trend'!$B$5="All",$A133='Staff Weekly Trend'!$B$5))</f>
        <v>1</v>
      </c>
      <c r="AC133">
        <f t="shared" si="52"/>
        <v>3</v>
      </c>
      <c r="AI133">
        <f t="shared" si="53"/>
        <v>322</v>
      </c>
      <c r="AJ133">
        <f t="shared" si="54"/>
        <v>418</v>
      </c>
      <c r="AK133">
        <f t="shared" si="55"/>
        <v>356</v>
      </c>
      <c r="AL133">
        <f t="shared" si="56"/>
        <v>327</v>
      </c>
      <c r="AM133">
        <f t="shared" si="57"/>
        <v>61</v>
      </c>
      <c r="DH133" t="str" cm="1">
        <f t="array" ref="DH133">IF($A133="","",_xlfn.LET(_xlpm.c,IFERROR(_xlfn.XLOOKUP($A133,TRIM('Sales and count'!$A$4:$A$300&amp;""),TRIM('Sales and count'!$B$4:$B$300&amp;"")),""),IF(OR(_xlpm.c="",_xlpm.c="0",LEFT(_xlpm.c,1)="#"),"Not set",_xlpm.c)))</f>
        <v>KSA</v>
      </c>
    </row>
    <row r="134" spans="1:112" x14ac:dyDescent="0.25">
      <c r="A134" t="str">
        <f>IF('Staff Daily sales'!$B119="","",TRIM('Staff Daily sales'!$B119&amp;""))</f>
        <v>JEDDPARK</v>
      </c>
      <c r="B134" t="str">
        <f>IF('Staff Daily sales'!$D119="","",TRIM('Staff Daily sales'!$D119&amp;""))</f>
        <v>5320-MAlnashri</v>
      </c>
      <c r="C134" t="str">
        <f>IFERROR(TRIM('Staff Daily sales'!$E119&amp;""),"")</f>
        <v>Jeddah</v>
      </c>
      <c r="D134" t="str">
        <f>IFERROR(IF(TRIM('Staff Daily sales'!$F119&amp;"")="","Unassigned",TRIM('Staff Daily sales'!$F119&amp;"")),"Unassigned")</f>
        <v>Ahlam Al Zahrani</v>
      </c>
      <c r="E134">
        <f t="shared" si="42"/>
        <v>1</v>
      </c>
      <c r="F134">
        <f>IF($E134=0,0,SUMPRODUCT($AI$5:$DF$5,'Staff Daily sales'!$G119:$CD119))</f>
        <v>0</v>
      </c>
      <c r="G134">
        <f>IF($E134=0,0,SUMPRODUCT($AI$6:$DF$6,'Staff Daily sales'!$G119:$CD119))</f>
        <v>0</v>
      </c>
      <c r="H134">
        <f t="shared" si="43"/>
        <v>10511.57</v>
      </c>
      <c r="I134">
        <f t="shared" si="44"/>
        <v>77</v>
      </c>
      <c r="J134">
        <f t="shared" si="45"/>
        <v>62016.170000000006</v>
      </c>
      <c r="K134">
        <f t="shared" si="46"/>
        <v>398</v>
      </c>
      <c r="L134">
        <f>--AND($E134=1,OR('Staff Dashboard'!$B$6="All",$DH134='Staff Dashboard'!$B$6),OR('Staff Dashboard'!$B$7="All",$D134='Staff Dashboard'!$B$7),OR('Staff Dashboard'!$B$8="All",$A134='Staff Dashboard'!$B$8))</f>
        <v>0</v>
      </c>
      <c r="M134">
        <f>IF($E134=0,0,SUMPRODUCT($AI$7:$DF$7,'Staff Daily sales'!$G119:$CD119))</f>
        <v>267</v>
      </c>
      <c r="N134">
        <f>IF($E134=0,0,SUMPRODUCT($AI$8:$DF$8,'Staff Daily sales'!$G119:$CD119))</f>
        <v>3</v>
      </c>
      <c r="O134">
        <f>IF($E134=0,0,SUMPRODUCT($AI$9:$DF$9,'Staff Daily sales'!$G119:$CD119))</f>
        <v>0</v>
      </c>
      <c r="P134">
        <f>IF($E134=0,0,SUMPRODUCT($AI$10:$DF$10,'Staff Daily sales'!$G119:$CD119))</f>
        <v>0</v>
      </c>
      <c r="Q134">
        <f>IF($E134=0,0,SUMPRODUCT($AI$11:$DF$11,'Staff Daily sales'!$G119:$CD119))</f>
        <v>0</v>
      </c>
      <c r="R134">
        <f>IF($E134=0,0,SUMPRODUCT($AI$12:$DF$12,'Staff Daily sales'!$G119:$CD119))</f>
        <v>0</v>
      </c>
      <c r="S134">
        <f>IF($E134=0,0,SUMPRODUCT($AI$13:$DF$13,'Staff Daily sales'!$G119:$CD119))</f>
        <v>0</v>
      </c>
      <c r="T134">
        <f>IF($E134=0,0,SUMPRODUCT($AI$14:$DF$14,'Staff Daily sales'!$G119:$CD119))</f>
        <v>0</v>
      </c>
      <c r="U134">
        <f>IF($E134=0,0,SUMPRODUCT($AI$15:$DF$15,'Staff Daily sales'!$G119:$CD119))</f>
        <v>0</v>
      </c>
      <c r="V134">
        <f>IF($E134=0,0,SUMPRODUCT($AI$16:$DF$16,'Staff Daily sales'!$G119:$CD119))</f>
        <v>0</v>
      </c>
      <c r="W134">
        <f t="shared" si="47"/>
        <v>38493.69</v>
      </c>
      <c r="X134">
        <f t="shared" si="48"/>
        <v>63233.03</v>
      </c>
      <c r="Y134">
        <f t="shared" si="49"/>
        <v>52349.009999999995</v>
      </c>
      <c r="Z134">
        <f t="shared" si="50"/>
        <v>49865.2</v>
      </c>
      <c r="AA134">
        <f t="shared" si="51"/>
        <v>10553.14</v>
      </c>
      <c r="AB134">
        <f>--AND($E134=1,OR('Staff Weekly Trend'!$B$3="All",$DH134='Staff Weekly Trend'!$B$3),OR('Staff Weekly Trend'!$B$4="All",$D134='Staff Weekly Trend'!$B$4),OR('Staff Weekly Trend'!$B$5="All",$A134='Staff Weekly Trend'!$B$5))</f>
        <v>1</v>
      </c>
      <c r="AC134" t="str">
        <f t="shared" si="52"/>
        <v/>
      </c>
      <c r="AI134">
        <f t="shared" si="53"/>
        <v>322</v>
      </c>
      <c r="AJ134">
        <f t="shared" si="54"/>
        <v>418</v>
      </c>
      <c r="AK134">
        <f t="shared" si="55"/>
        <v>356</v>
      </c>
      <c r="AL134">
        <f t="shared" si="56"/>
        <v>327</v>
      </c>
      <c r="AM134">
        <f t="shared" si="57"/>
        <v>61</v>
      </c>
      <c r="DH134" t="str" cm="1">
        <f t="array" ref="DH134">IF($A134="","",_xlfn.LET(_xlpm.c,IFERROR(_xlfn.XLOOKUP($A134,TRIM('Sales and count'!$A$4:$A$300&amp;""),TRIM('Sales and count'!$B$4:$B$300&amp;"")),""),IF(OR(_xlpm.c="",_xlpm.c="0",LEFT(_xlpm.c,1)="#"),"Not set",_xlpm.c)))</f>
        <v>KSA</v>
      </c>
    </row>
    <row r="135" spans="1:112" x14ac:dyDescent="0.25">
      <c r="A135" t="str">
        <f>IF('Staff Daily sales'!$B120="","",TRIM('Staff Daily sales'!$B120&amp;""))</f>
        <v>JEDDPARK</v>
      </c>
      <c r="B135" t="str">
        <f>IF('Staff Daily sales'!$D120="","",TRIM('Staff Daily sales'!$D120&amp;""))</f>
        <v>5561-FZaki</v>
      </c>
      <c r="C135" t="str">
        <f>IFERROR(TRIM('Staff Daily sales'!$E120&amp;""),"")</f>
        <v>Jeddah</v>
      </c>
      <c r="D135" t="str">
        <f>IFERROR(IF(TRIM('Staff Daily sales'!$F120&amp;"")="","Unassigned",TRIM('Staff Daily sales'!$F120&amp;"")),"Unassigned")</f>
        <v>Ahlam Al Zahrani</v>
      </c>
      <c r="E135">
        <f t="shared" si="42"/>
        <v>1</v>
      </c>
      <c r="F135">
        <f>IF($E135=0,0,SUMPRODUCT($AI$5:$DF$5,'Staff Daily sales'!$G120:$CD120))</f>
        <v>0</v>
      </c>
      <c r="G135">
        <f>IF($E135=0,0,SUMPRODUCT($AI$6:$DF$6,'Staff Daily sales'!$G120:$CD120))</f>
        <v>0</v>
      </c>
      <c r="H135">
        <f t="shared" si="43"/>
        <v>10511.57</v>
      </c>
      <c r="I135">
        <f t="shared" si="44"/>
        <v>77</v>
      </c>
      <c r="J135">
        <f t="shared" si="45"/>
        <v>62016.170000000006</v>
      </c>
      <c r="K135">
        <f t="shared" si="46"/>
        <v>398</v>
      </c>
      <c r="L135">
        <f>--AND($E135=1,OR('Staff Dashboard'!$B$6="All",$DH135='Staff Dashboard'!$B$6),OR('Staff Dashboard'!$B$7="All",$D135='Staff Dashboard'!$B$7),OR('Staff Dashboard'!$B$8="All",$A135='Staff Dashboard'!$B$8))</f>
        <v>0</v>
      </c>
      <c r="M135">
        <f>IF($E135=0,0,SUMPRODUCT($AI$7:$DF$7,'Staff Daily sales'!$G120:$CD120))</f>
        <v>9785.16</v>
      </c>
      <c r="N135">
        <f>IF($E135=0,0,SUMPRODUCT($AI$8:$DF$8,'Staff Daily sales'!$G120:$CD120))</f>
        <v>95</v>
      </c>
      <c r="O135">
        <f>IF($E135=0,0,SUMPRODUCT($AI$9:$DF$9,'Staff Daily sales'!$G120:$CD120))</f>
        <v>2482.0500000000002</v>
      </c>
      <c r="P135">
        <f>IF($E135=0,0,SUMPRODUCT($AI$10:$DF$10,'Staff Daily sales'!$G120:$CD120))</f>
        <v>17</v>
      </c>
      <c r="Q135">
        <f>IF($E135=0,0,SUMPRODUCT($AI$11:$DF$11,'Staff Daily sales'!$G120:$CD120))</f>
        <v>0</v>
      </c>
      <c r="R135">
        <f>IF($E135=0,0,SUMPRODUCT($AI$12:$DF$12,'Staff Daily sales'!$G120:$CD120))</f>
        <v>0</v>
      </c>
      <c r="S135">
        <f>IF($E135=0,0,SUMPRODUCT($AI$13:$DF$13,'Staff Daily sales'!$G120:$CD120))</f>
        <v>0</v>
      </c>
      <c r="T135">
        <f>IF($E135=0,0,SUMPRODUCT($AI$14:$DF$14,'Staff Daily sales'!$G120:$CD120))</f>
        <v>0</v>
      </c>
      <c r="U135">
        <f>IF($E135=0,0,SUMPRODUCT($AI$15:$DF$15,'Staff Daily sales'!$G120:$CD120))</f>
        <v>0</v>
      </c>
      <c r="V135">
        <f>IF($E135=0,0,SUMPRODUCT($AI$16:$DF$16,'Staff Daily sales'!$G120:$CD120))</f>
        <v>0</v>
      </c>
      <c r="W135">
        <f t="shared" si="47"/>
        <v>38493.69</v>
      </c>
      <c r="X135">
        <f t="shared" si="48"/>
        <v>63233.03</v>
      </c>
      <c r="Y135">
        <f t="shared" si="49"/>
        <v>52349.009999999995</v>
      </c>
      <c r="Z135">
        <f t="shared" si="50"/>
        <v>49865.2</v>
      </c>
      <c r="AA135">
        <f t="shared" si="51"/>
        <v>10553.14</v>
      </c>
      <c r="AB135">
        <f>--AND($E135=1,OR('Staff Weekly Trend'!$B$3="All",$DH135='Staff Weekly Trend'!$B$3),OR('Staff Weekly Trend'!$B$4="All",$D135='Staff Weekly Trend'!$B$4),OR('Staff Weekly Trend'!$B$5="All",$A135='Staff Weekly Trend'!$B$5))</f>
        <v>1</v>
      </c>
      <c r="AC135" t="str">
        <f t="shared" si="52"/>
        <v/>
      </c>
      <c r="AI135">
        <f t="shared" si="53"/>
        <v>322</v>
      </c>
      <c r="AJ135">
        <f t="shared" si="54"/>
        <v>418</v>
      </c>
      <c r="AK135">
        <f t="shared" si="55"/>
        <v>356</v>
      </c>
      <c r="AL135">
        <f t="shared" si="56"/>
        <v>327</v>
      </c>
      <c r="AM135">
        <f t="shared" si="57"/>
        <v>61</v>
      </c>
      <c r="DH135" t="str" cm="1">
        <f t="array" ref="DH135">IF($A135="","",_xlfn.LET(_xlpm.c,IFERROR(_xlfn.XLOOKUP($A135,TRIM('Sales and count'!$A$4:$A$300&amp;""),TRIM('Sales and count'!$B$4:$B$300&amp;"")),""),IF(OR(_xlpm.c="",_xlpm.c="0",LEFT(_xlpm.c,1)="#"),"Not set",_xlpm.c)))</f>
        <v>KSA</v>
      </c>
    </row>
    <row r="136" spans="1:112" x14ac:dyDescent="0.25">
      <c r="A136" t="str">
        <f>IF('Staff Daily sales'!$B121="","",TRIM('Staff Daily sales'!$B121&amp;""))</f>
        <v>JEDDPARK</v>
      </c>
      <c r="B136" t="str">
        <f>IF('Staff Daily sales'!$D121="","",TRIM('Staff Daily sales'!$D121&amp;""))</f>
        <v>5589-RAobidy</v>
      </c>
      <c r="C136" t="str">
        <f>IFERROR(TRIM('Staff Daily sales'!$E121&amp;""),"")</f>
        <v>Jeddah</v>
      </c>
      <c r="D136" t="str">
        <f>IFERROR(IF(TRIM('Staff Daily sales'!$F121&amp;"")="","Unassigned",TRIM('Staff Daily sales'!$F121&amp;"")),"Unassigned")</f>
        <v>Ahlam Al Zahrani</v>
      </c>
      <c r="E136">
        <f t="shared" si="42"/>
        <v>1</v>
      </c>
      <c r="F136">
        <f>IF($E136=0,0,SUMPRODUCT($AI$5:$DF$5,'Staff Daily sales'!$G121:$CD121))</f>
        <v>1700.95</v>
      </c>
      <c r="G136">
        <f>IF($E136=0,0,SUMPRODUCT($AI$6:$DF$6,'Staff Daily sales'!$G121:$CD121))</f>
        <v>12</v>
      </c>
      <c r="H136">
        <f t="shared" si="43"/>
        <v>10511.57</v>
      </c>
      <c r="I136">
        <f t="shared" si="44"/>
        <v>77</v>
      </c>
      <c r="J136">
        <f t="shared" si="45"/>
        <v>62016.170000000006</v>
      </c>
      <c r="K136">
        <f t="shared" si="46"/>
        <v>398</v>
      </c>
      <c r="L136">
        <f>--AND($E136=1,OR('Staff Dashboard'!$B$6="All",$DH136='Staff Dashboard'!$B$6),OR('Staff Dashboard'!$B$7="All",$D136='Staff Dashboard'!$B$7),OR('Staff Dashboard'!$B$8="All",$A136='Staff Dashboard'!$B$8))</f>
        <v>0</v>
      </c>
      <c r="M136">
        <f>IF($E136=0,0,SUMPRODUCT($AI$7:$DF$7,'Staff Daily sales'!$G121:$CD121))</f>
        <v>2790.02</v>
      </c>
      <c r="N136">
        <f>IF($E136=0,0,SUMPRODUCT($AI$8:$DF$8,'Staff Daily sales'!$G121:$CD121))</f>
        <v>25</v>
      </c>
      <c r="O136">
        <f>IF($E136=0,0,SUMPRODUCT($AI$9:$DF$9,'Staff Daily sales'!$G121:$CD121))</f>
        <v>9611.1299999999992</v>
      </c>
      <c r="P136">
        <f>IF($E136=0,0,SUMPRODUCT($AI$10:$DF$10,'Staff Daily sales'!$G121:$CD121))</f>
        <v>57</v>
      </c>
      <c r="Q136">
        <f>IF($E136=0,0,SUMPRODUCT($AI$11:$DF$11,'Staff Daily sales'!$G121:$CD121))</f>
        <v>6958.04</v>
      </c>
      <c r="R136">
        <f>IF($E136=0,0,SUMPRODUCT($AI$12:$DF$12,'Staff Daily sales'!$G121:$CD121))</f>
        <v>44</v>
      </c>
      <c r="S136">
        <f>IF($E136=0,0,SUMPRODUCT($AI$13:$DF$13,'Staff Daily sales'!$G121:$CD121))</f>
        <v>6420.9800000000005</v>
      </c>
      <c r="T136">
        <f>IF($E136=0,0,SUMPRODUCT($AI$14:$DF$14,'Staff Daily sales'!$G121:$CD121))</f>
        <v>48</v>
      </c>
      <c r="U136">
        <f>IF($E136=0,0,SUMPRODUCT($AI$15:$DF$15,'Staff Daily sales'!$G121:$CD121))</f>
        <v>1628.92</v>
      </c>
      <c r="V136">
        <f>IF($E136=0,0,SUMPRODUCT($AI$16:$DF$16,'Staff Daily sales'!$G121:$CD121))</f>
        <v>15</v>
      </c>
      <c r="W136">
        <f t="shared" si="47"/>
        <v>38493.69</v>
      </c>
      <c r="X136">
        <f t="shared" si="48"/>
        <v>63233.03</v>
      </c>
      <c r="Y136">
        <f t="shared" si="49"/>
        <v>52349.009999999995</v>
      </c>
      <c r="Z136">
        <f t="shared" si="50"/>
        <v>49865.2</v>
      </c>
      <c r="AA136">
        <f t="shared" si="51"/>
        <v>10553.14</v>
      </c>
      <c r="AB136">
        <f>--AND($E136=1,OR('Staff Weekly Trend'!$B$3="All",$DH136='Staff Weekly Trend'!$B$3),OR('Staff Weekly Trend'!$B$4="All",$D136='Staff Weekly Trend'!$B$4),OR('Staff Weekly Trend'!$B$5="All",$A136='Staff Weekly Trend'!$B$5))</f>
        <v>1</v>
      </c>
      <c r="AC136">
        <f t="shared" si="52"/>
        <v>4</v>
      </c>
      <c r="AI136">
        <f t="shared" si="53"/>
        <v>322</v>
      </c>
      <c r="AJ136">
        <f t="shared" si="54"/>
        <v>418</v>
      </c>
      <c r="AK136">
        <f t="shared" si="55"/>
        <v>356</v>
      </c>
      <c r="AL136">
        <f t="shared" si="56"/>
        <v>327</v>
      </c>
      <c r="AM136">
        <f t="shared" si="57"/>
        <v>61</v>
      </c>
      <c r="DH136" t="str" cm="1">
        <f t="array" ref="DH136">IF($A136="","",_xlfn.LET(_xlpm.c,IFERROR(_xlfn.XLOOKUP($A136,TRIM('Sales and count'!$A$4:$A$300&amp;""),TRIM('Sales and count'!$B$4:$B$300&amp;"")),""),IF(OR(_xlpm.c="",_xlpm.c="0",LEFT(_xlpm.c,1)="#"),"Not set",_xlpm.c)))</f>
        <v>KSA</v>
      </c>
    </row>
    <row r="137" spans="1:112" x14ac:dyDescent="0.25">
      <c r="A137" t="str">
        <f>IF('Staff Daily sales'!$B122="","",TRIM('Staff Daily sales'!$B122&amp;""))</f>
        <v>JEDDPARK</v>
      </c>
      <c r="B137" t="str">
        <f>IF('Staff Daily sales'!$D122="","",TRIM('Staff Daily sales'!$D122&amp;""))</f>
        <v>6943-STulbah</v>
      </c>
      <c r="C137" t="str">
        <f>IFERROR(TRIM('Staff Daily sales'!$E122&amp;""),"")</f>
        <v>Jeddah</v>
      </c>
      <c r="D137" t="str">
        <f>IFERROR(IF(TRIM('Staff Daily sales'!$F122&amp;"")="","Unassigned",TRIM('Staff Daily sales'!$F122&amp;"")),"Unassigned")</f>
        <v>Ahlam Al Zahrani</v>
      </c>
      <c r="E137">
        <f t="shared" si="42"/>
        <v>1</v>
      </c>
      <c r="F137">
        <f>IF($E137=0,0,SUMPRODUCT($AI$5:$DF$5,'Staff Daily sales'!$G122:$CD122))</f>
        <v>4288.76</v>
      </c>
      <c r="G137">
        <f>IF($E137=0,0,SUMPRODUCT($AI$6:$DF$6,'Staff Daily sales'!$G122:$CD122))</f>
        <v>27</v>
      </c>
      <c r="H137">
        <f t="shared" si="43"/>
        <v>10511.57</v>
      </c>
      <c r="I137">
        <f t="shared" si="44"/>
        <v>77</v>
      </c>
      <c r="J137">
        <f t="shared" si="45"/>
        <v>62016.170000000006</v>
      </c>
      <c r="K137">
        <f t="shared" si="46"/>
        <v>398</v>
      </c>
      <c r="L137">
        <f>--AND($E137=1,OR('Staff Dashboard'!$B$6="All",$DH137='Staff Dashboard'!$B$6),OR('Staff Dashboard'!$B$7="All",$D137='Staff Dashboard'!$B$7),OR('Staff Dashboard'!$B$8="All",$A137='Staff Dashboard'!$B$8))</f>
        <v>0</v>
      </c>
      <c r="M137">
        <f>IF($E137=0,0,SUMPRODUCT($AI$7:$DF$7,'Staff Daily sales'!$G122:$CD122))</f>
        <v>15091.269999999999</v>
      </c>
      <c r="N137">
        <f>IF($E137=0,0,SUMPRODUCT($AI$8:$DF$8,'Staff Daily sales'!$G122:$CD122))</f>
        <v>104</v>
      </c>
      <c r="O137">
        <f>IF($E137=0,0,SUMPRODUCT($AI$9:$DF$9,'Staff Daily sales'!$G122:$CD122))</f>
        <v>21169.360000000001</v>
      </c>
      <c r="P137">
        <f>IF($E137=0,0,SUMPRODUCT($AI$10:$DF$10,'Staff Daily sales'!$G122:$CD122))</f>
        <v>137</v>
      </c>
      <c r="Q137">
        <f>IF($E137=0,0,SUMPRODUCT($AI$11:$DF$11,'Staff Daily sales'!$G122:$CD122))</f>
        <v>27158.55</v>
      </c>
      <c r="R137">
        <f>IF($E137=0,0,SUMPRODUCT($AI$12:$DF$12,'Staff Daily sales'!$G122:$CD122))</f>
        <v>190</v>
      </c>
      <c r="S137">
        <f>IF($E137=0,0,SUMPRODUCT($AI$13:$DF$13,'Staff Daily sales'!$G122:$CD122))</f>
        <v>13821.67</v>
      </c>
      <c r="T137">
        <f>IF($E137=0,0,SUMPRODUCT($AI$14:$DF$14,'Staff Daily sales'!$G122:$CD122))</f>
        <v>95</v>
      </c>
      <c r="U137">
        <f>IF($E137=0,0,SUMPRODUCT($AI$15:$DF$15,'Staff Daily sales'!$G122:$CD122))</f>
        <v>5102.0599999999995</v>
      </c>
      <c r="V137">
        <f>IF($E137=0,0,SUMPRODUCT($AI$16:$DF$16,'Staff Daily sales'!$G122:$CD122))</f>
        <v>19</v>
      </c>
      <c r="W137">
        <f t="shared" si="47"/>
        <v>38493.69</v>
      </c>
      <c r="X137">
        <f t="shared" si="48"/>
        <v>63233.03</v>
      </c>
      <c r="Y137">
        <f t="shared" si="49"/>
        <v>52349.009999999995</v>
      </c>
      <c r="Z137">
        <f t="shared" si="50"/>
        <v>49865.2</v>
      </c>
      <c r="AA137">
        <f t="shared" si="51"/>
        <v>10553.14</v>
      </c>
      <c r="AB137">
        <f>--AND($E137=1,OR('Staff Weekly Trend'!$B$3="All",$DH137='Staff Weekly Trend'!$B$3),OR('Staff Weekly Trend'!$B$4="All",$D137='Staff Weekly Trend'!$B$4),OR('Staff Weekly Trend'!$B$5="All",$A137='Staff Weekly Trend'!$B$5))</f>
        <v>1</v>
      </c>
      <c r="AC137">
        <f t="shared" si="52"/>
        <v>1</v>
      </c>
      <c r="AI137">
        <f t="shared" si="53"/>
        <v>322</v>
      </c>
      <c r="AJ137">
        <f t="shared" si="54"/>
        <v>418</v>
      </c>
      <c r="AK137">
        <f t="shared" si="55"/>
        <v>356</v>
      </c>
      <c r="AL137">
        <f t="shared" si="56"/>
        <v>327</v>
      </c>
      <c r="AM137">
        <f t="shared" si="57"/>
        <v>61</v>
      </c>
      <c r="DH137" t="str" cm="1">
        <f t="array" ref="DH137">IF($A137="","",_xlfn.LET(_xlpm.c,IFERROR(_xlfn.XLOOKUP($A137,TRIM('Sales and count'!$A$4:$A$300&amp;""),TRIM('Sales and count'!$B$4:$B$300&amp;"")),""),IF(OR(_xlpm.c="",_xlpm.c="0",LEFT(_xlpm.c,1)="#"),"Not set",_xlpm.c)))</f>
        <v>KSA</v>
      </c>
    </row>
    <row r="138" spans="1:112" x14ac:dyDescent="0.25">
      <c r="A138" t="str">
        <f>IF('Staff Daily sales'!$B123="","",TRIM('Staff Daily sales'!$B123&amp;""))</f>
        <v>JEDDPARK</v>
      </c>
      <c r="B138" t="str">
        <f>IF('Staff Daily sales'!$D123="","",TRIM('Staff Daily sales'!$D123&amp;""))</f>
        <v>7214-HSadiq</v>
      </c>
      <c r="C138" t="str">
        <f>IFERROR(TRIM('Staff Daily sales'!$E123&amp;""),"")</f>
        <v>Jeddah</v>
      </c>
      <c r="D138" t="str">
        <f>IFERROR(IF(TRIM('Staff Daily sales'!$F123&amp;"")="","Unassigned",TRIM('Staff Daily sales'!$F123&amp;"")),"Unassigned")</f>
        <v>Ahlam Al Zahrani</v>
      </c>
      <c r="E138">
        <f t="shared" si="42"/>
        <v>1</v>
      </c>
      <c r="F138">
        <f>IF($E138=0,0,SUMPRODUCT($AI$5:$DF$5,'Staff Daily sales'!$G123:$CD123))</f>
        <v>2718.9</v>
      </c>
      <c r="G138">
        <f>IF($E138=0,0,SUMPRODUCT($AI$6:$DF$6,'Staff Daily sales'!$G123:$CD123))</f>
        <v>21</v>
      </c>
      <c r="H138">
        <f t="shared" si="43"/>
        <v>10511.57</v>
      </c>
      <c r="I138">
        <f t="shared" si="44"/>
        <v>77</v>
      </c>
      <c r="J138">
        <f t="shared" si="45"/>
        <v>62016.170000000006</v>
      </c>
      <c r="K138">
        <f t="shared" si="46"/>
        <v>398</v>
      </c>
      <c r="L138">
        <f>--AND($E138=1,OR('Staff Dashboard'!$B$6="All",$DH138='Staff Dashboard'!$B$6),OR('Staff Dashboard'!$B$7="All",$D138='Staff Dashboard'!$B$7),OR('Staff Dashboard'!$B$8="All",$A138='Staff Dashboard'!$B$8))</f>
        <v>0</v>
      </c>
      <c r="M138">
        <f>IF($E138=0,0,SUMPRODUCT($AI$7:$DF$7,'Staff Daily sales'!$G123:$CD123))</f>
        <v>0</v>
      </c>
      <c r="N138">
        <f>IF($E138=0,0,SUMPRODUCT($AI$8:$DF$8,'Staff Daily sales'!$G123:$CD123))</f>
        <v>0</v>
      </c>
      <c r="O138">
        <f>IF($E138=0,0,SUMPRODUCT($AI$9:$DF$9,'Staff Daily sales'!$G123:$CD123))</f>
        <v>10706.1</v>
      </c>
      <c r="P138">
        <f>IF($E138=0,0,SUMPRODUCT($AI$10:$DF$10,'Staff Daily sales'!$G123:$CD123))</f>
        <v>67</v>
      </c>
      <c r="Q138">
        <f>IF($E138=0,0,SUMPRODUCT($AI$11:$DF$11,'Staff Daily sales'!$G123:$CD123))</f>
        <v>18232.420000000002</v>
      </c>
      <c r="R138">
        <f>IF($E138=0,0,SUMPRODUCT($AI$12:$DF$12,'Staff Daily sales'!$G123:$CD123))</f>
        <v>122</v>
      </c>
      <c r="S138">
        <f>IF($E138=0,0,SUMPRODUCT($AI$13:$DF$13,'Staff Daily sales'!$G123:$CD123))</f>
        <v>17229.72</v>
      </c>
      <c r="T138">
        <f>IF($E138=0,0,SUMPRODUCT($AI$14:$DF$14,'Staff Daily sales'!$G123:$CD123))</f>
        <v>106</v>
      </c>
      <c r="U138">
        <f>IF($E138=0,0,SUMPRODUCT($AI$15:$DF$15,'Staff Daily sales'!$G123:$CD123))</f>
        <v>2421.15</v>
      </c>
      <c r="V138">
        <f>IF($E138=0,0,SUMPRODUCT($AI$16:$DF$16,'Staff Daily sales'!$G123:$CD123))</f>
        <v>18</v>
      </c>
      <c r="W138">
        <f t="shared" si="47"/>
        <v>38493.69</v>
      </c>
      <c r="X138">
        <f t="shared" si="48"/>
        <v>63233.03</v>
      </c>
      <c r="Y138">
        <f t="shared" si="49"/>
        <v>52349.009999999995</v>
      </c>
      <c r="Z138">
        <f t="shared" si="50"/>
        <v>49865.2</v>
      </c>
      <c r="AA138">
        <f t="shared" si="51"/>
        <v>10553.14</v>
      </c>
      <c r="AB138">
        <f>--AND($E138=1,OR('Staff Weekly Trend'!$B$3="All",$DH138='Staff Weekly Trend'!$B$3),OR('Staff Weekly Trend'!$B$4="All",$D138='Staff Weekly Trend'!$B$4),OR('Staff Weekly Trend'!$B$5="All",$A138='Staff Weekly Trend'!$B$5))</f>
        <v>1</v>
      </c>
      <c r="AC138">
        <f t="shared" si="52"/>
        <v>2</v>
      </c>
      <c r="AI138">
        <f t="shared" si="53"/>
        <v>322</v>
      </c>
      <c r="AJ138">
        <f t="shared" si="54"/>
        <v>418</v>
      </c>
      <c r="AK138">
        <f t="shared" si="55"/>
        <v>356</v>
      </c>
      <c r="AL138">
        <f t="shared" si="56"/>
        <v>327</v>
      </c>
      <c r="AM138">
        <f t="shared" si="57"/>
        <v>61</v>
      </c>
      <c r="DH138" t="str" cm="1">
        <f t="array" ref="DH138">IF($A138="","",_xlfn.LET(_xlpm.c,IFERROR(_xlfn.XLOOKUP($A138,TRIM('Sales and count'!$A$4:$A$300&amp;""),TRIM('Sales and count'!$B$4:$B$300&amp;"")),""),IF(OR(_xlpm.c="",_xlpm.c="0",LEFT(_xlpm.c,1)="#"),"Not set",_xlpm.c)))</f>
        <v>KSA</v>
      </c>
    </row>
    <row r="139" spans="1:112" x14ac:dyDescent="0.25">
      <c r="A139" t="str">
        <f>IF('Staff Daily sales'!$B124="","",TRIM('Staff Daily sales'!$B124&amp;""))</f>
        <v>JEDDPARK</v>
      </c>
      <c r="B139" t="str">
        <f>IF('Staff Daily sales'!$D124="","",TRIM('Staff Daily sales'!$D124&amp;""))</f>
        <v>7217-SFulfulan</v>
      </c>
      <c r="C139" t="str">
        <f>IFERROR(TRIM('Staff Daily sales'!$E124&amp;""),"")</f>
        <v>Jeddah</v>
      </c>
      <c r="D139" t="str">
        <f>IFERROR(IF(TRIM('Staff Daily sales'!$F124&amp;"")="","Unassigned",TRIM('Staff Daily sales'!$F124&amp;"")),"Unassigned")</f>
        <v>Ahlam Al Zahrani</v>
      </c>
      <c r="E139">
        <f t="shared" si="42"/>
        <v>1</v>
      </c>
      <c r="F139">
        <f>IF($E139=0,0,SUMPRODUCT($AI$5:$DF$5,'Staff Daily sales'!$G124:$CD124))</f>
        <v>0</v>
      </c>
      <c r="G139">
        <f>IF($E139=0,0,SUMPRODUCT($AI$6:$DF$6,'Staff Daily sales'!$G124:$CD124))</f>
        <v>0</v>
      </c>
      <c r="H139">
        <f t="shared" si="43"/>
        <v>10511.57</v>
      </c>
      <c r="I139">
        <f t="shared" si="44"/>
        <v>77</v>
      </c>
      <c r="J139">
        <f t="shared" si="45"/>
        <v>62016.170000000006</v>
      </c>
      <c r="K139">
        <f t="shared" si="46"/>
        <v>398</v>
      </c>
      <c r="L139">
        <f>--AND($E139=1,OR('Staff Dashboard'!$B$6="All",$DH139='Staff Dashboard'!$B$6),OR('Staff Dashboard'!$B$7="All",$D139='Staff Dashboard'!$B$7),OR('Staff Dashboard'!$B$8="All",$A139='Staff Dashboard'!$B$8))</f>
        <v>0</v>
      </c>
      <c r="M139">
        <f>IF($E139=0,0,SUMPRODUCT($AI$7:$DF$7,'Staff Daily sales'!$G124:$CD124))</f>
        <v>0</v>
      </c>
      <c r="N139">
        <f>IF($E139=0,0,SUMPRODUCT($AI$8:$DF$8,'Staff Daily sales'!$G124:$CD124))</f>
        <v>0</v>
      </c>
      <c r="O139">
        <f>IF($E139=0,0,SUMPRODUCT($AI$9:$DF$9,'Staff Daily sales'!$G124:$CD124))</f>
        <v>150</v>
      </c>
      <c r="P139">
        <f>IF($E139=0,0,SUMPRODUCT($AI$10:$DF$10,'Staff Daily sales'!$G124:$CD124))</f>
        <v>1</v>
      </c>
      <c r="Q139">
        <f>IF($E139=0,0,SUMPRODUCT($AI$11:$DF$11,'Staff Daily sales'!$G124:$CD124))</f>
        <v>0</v>
      </c>
      <c r="R139">
        <f>IF($E139=0,0,SUMPRODUCT($AI$12:$DF$12,'Staff Daily sales'!$G124:$CD124))</f>
        <v>0</v>
      </c>
      <c r="S139">
        <f>IF($E139=0,0,SUMPRODUCT($AI$13:$DF$13,'Staff Daily sales'!$G124:$CD124))</f>
        <v>0</v>
      </c>
      <c r="T139">
        <f>IF($E139=0,0,SUMPRODUCT($AI$14:$DF$14,'Staff Daily sales'!$G124:$CD124))</f>
        <v>0</v>
      </c>
      <c r="U139">
        <f>IF($E139=0,0,SUMPRODUCT($AI$15:$DF$15,'Staff Daily sales'!$G124:$CD124))</f>
        <v>0</v>
      </c>
      <c r="V139">
        <f>IF($E139=0,0,SUMPRODUCT($AI$16:$DF$16,'Staff Daily sales'!$G124:$CD124))</f>
        <v>0</v>
      </c>
      <c r="W139">
        <f t="shared" si="47"/>
        <v>38493.69</v>
      </c>
      <c r="X139">
        <f t="shared" si="48"/>
        <v>63233.03</v>
      </c>
      <c r="Y139">
        <f t="shared" si="49"/>
        <v>52349.009999999995</v>
      </c>
      <c r="Z139">
        <f t="shared" si="50"/>
        <v>49865.2</v>
      </c>
      <c r="AA139">
        <f t="shared" si="51"/>
        <v>10553.14</v>
      </c>
      <c r="AB139">
        <f>--AND($E139=1,OR('Staff Weekly Trend'!$B$3="All",$DH139='Staff Weekly Trend'!$B$3),OR('Staff Weekly Trend'!$B$4="All",$D139='Staff Weekly Trend'!$B$4),OR('Staff Weekly Trend'!$B$5="All",$A139='Staff Weekly Trend'!$B$5))</f>
        <v>1</v>
      </c>
      <c r="AC139" t="str">
        <f t="shared" si="52"/>
        <v/>
      </c>
      <c r="AI139">
        <f t="shared" si="53"/>
        <v>322</v>
      </c>
      <c r="AJ139">
        <f t="shared" si="54"/>
        <v>418</v>
      </c>
      <c r="AK139">
        <f t="shared" si="55"/>
        <v>356</v>
      </c>
      <c r="AL139">
        <f t="shared" si="56"/>
        <v>327</v>
      </c>
      <c r="AM139">
        <f t="shared" si="57"/>
        <v>61</v>
      </c>
      <c r="DH139" t="str" cm="1">
        <f t="array" ref="DH139">IF($A139="","",_xlfn.LET(_xlpm.c,IFERROR(_xlfn.XLOOKUP($A139,TRIM('Sales and count'!$A$4:$A$300&amp;""),TRIM('Sales and count'!$B$4:$B$300&amp;"")),""),IF(OR(_xlpm.c="",_xlpm.c="0",LEFT(_xlpm.c,1)="#"),"Not set",_xlpm.c)))</f>
        <v>KSA</v>
      </c>
    </row>
    <row r="140" spans="1:112" x14ac:dyDescent="0.25">
      <c r="A140" t="str">
        <f>IF('Staff Daily sales'!$B125="","",TRIM('Staff Daily sales'!$B125&amp;""))</f>
        <v>JEDDAZIZ</v>
      </c>
      <c r="B140" t="str">
        <f>IF('Staff Daily sales'!$D125="","",TRIM('Staff Daily sales'!$D125&amp;""))</f>
        <v>4493-RAlghanem</v>
      </c>
      <c r="C140" t="str">
        <f>IFERROR(TRIM('Staff Daily sales'!$E125&amp;""),"")</f>
        <v>Jeddah</v>
      </c>
      <c r="D140" t="str">
        <f>IFERROR(IF(TRIM('Staff Daily sales'!$F125&amp;"")="","Unassigned",TRIM('Staff Daily sales'!$F125&amp;"")),"Unassigned")</f>
        <v>Ahlam Al Zahrani</v>
      </c>
      <c r="E140">
        <f t="shared" si="42"/>
        <v>1</v>
      </c>
      <c r="F140">
        <f>IF($E140=0,0,SUMPRODUCT($AI$5:$DF$5,'Staff Daily sales'!$G125:$CD125))</f>
        <v>1256.94</v>
      </c>
      <c r="G140">
        <f>IF($E140=0,0,SUMPRODUCT($AI$6:$DF$6,'Staff Daily sales'!$G125:$CD125))</f>
        <v>8</v>
      </c>
      <c r="H140">
        <f t="shared" si="43"/>
        <v>2389.8900000000003</v>
      </c>
      <c r="I140">
        <f t="shared" si="44"/>
        <v>17</v>
      </c>
      <c r="J140">
        <f t="shared" si="45"/>
        <v>62016.170000000006</v>
      </c>
      <c r="K140">
        <f t="shared" si="46"/>
        <v>398</v>
      </c>
      <c r="L140">
        <f>--AND($E140=1,OR('Staff Dashboard'!$B$6="All",$DH140='Staff Dashboard'!$B$6),OR('Staff Dashboard'!$B$7="All",$D140='Staff Dashboard'!$B$7),OR('Staff Dashboard'!$B$8="All",$A140='Staff Dashboard'!$B$8))</f>
        <v>0</v>
      </c>
      <c r="M140">
        <f>IF($E140=0,0,SUMPRODUCT($AI$7:$DF$7,'Staff Daily sales'!$G125:$CD125))</f>
        <v>3915.12</v>
      </c>
      <c r="N140">
        <f>IF($E140=0,0,SUMPRODUCT($AI$8:$DF$8,'Staff Daily sales'!$G125:$CD125))</f>
        <v>39</v>
      </c>
      <c r="O140">
        <f>IF($E140=0,0,SUMPRODUCT($AI$9:$DF$9,'Staff Daily sales'!$G125:$CD125))</f>
        <v>6809.1500000000005</v>
      </c>
      <c r="P140">
        <f>IF($E140=0,0,SUMPRODUCT($AI$10:$DF$10,'Staff Daily sales'!$G125:$CD125))</f>
        <v>57</v>
      </c>
      <c r="Q140">
        <f>IF($E140=0,0,SUMPRODUCT($AI$11:$DF$11,'Staff Daily sales'!$G125:$CD125))</f>
        <v>7891.12</v>
      </c>
      <c r="R140">
        <f>IF($E140=0,0,SUMPRODUCT($AI$12:$DF$12,'Staff Daily sales'!$G125:$CD125))</f>
        <v>58</v>
      </c>
      <c r="S140">
        <f>IF($E140=0,0,SUMPRODUCT($AI$13:$DF$13,'Staff Daily sales'!$G125:$CD125))</f>
        <v>6319.99</v>
      </c>
      <c r="T140">
        <f>IF($E140=0,0,SUMPRODUCT($AI$14:$DF$14,'Staff Daily sales'!$G125:$CD125))</f>
        <v>47</v>
      </c>
      <c r="U140">
        <f>IF($E140=0,0,SUMPRODUCT($AI$15:$DF$15,'Staff Daily sales'!$G125:$CD125))</f>
        <v>1348.04</v>
      </c>
      <c r="V140">
        <f>IF($E140=0,0,SUMPRODUCT($AI$16:$DF$16,'Staff Daily sales'!$G125:$CD125))</f>
        <v>9</v>
      </c>
      <c r="W140">
        <f t="shared" si="47"/>
        <v>18074.45</v>
      </c>
      <c r="X140">
        <f t="shared" si="48"/>
        <v>29760.500000000004</v>
      </c>
      <c r="Y140">
        <f t="shared" si="49"/>
        <v>32289.670000000002</v>
      </c>
      <c r="Z140">
        <f t="shared" si="50"/>
        <v>21819.769999999997</v>
      </c>
      <c r="AA140">
        <f t="shared" si="51"/>
        <v>6864.22</v>
      </c>
      <c r="AB140">
        <f>--AND($E140=1,OR('Staff Weekly Trend'!$B$3="All",$DH140='Staff Weekly Trend'!$B$3),OR('Staff Weekly Trend'!$B$4="All",$D140='Staff Weekly Trend'!$B$4),OR('Staff Weekly Trend'!$B$5="All",$A140='Staff Weekly Trend'!$B$5))</f>
        <v>1</v>
      </c>
      <c r="AC140">
        <f t="shared" si="52"/>
        <v>1</v>
      </c>
      <c r="AI140">
        <f t="shared" si="53"/>
        <v>146</v>
      </c>
      <c r="AJ140">
        <f t="shared" si="54"/>
        <v>223</v>
      </c>
      <c r="AK140">
        <f t="shared" si="55"/>
        <v>217</v>
      </c>
      <c r="AL140">
        <f t="shared" si="56"/>
        <v>166</v>
      </c>
      <c r="AM140">
        <f t="shared" si="57"/>
        <v>41</v>
      </c>
      <c r="DH140" t="str" cm="1">
        <f t="array" ref="DH140">IF($A140="","",_xlfn.LET(_xlpm.c,IFERROR(_xlfn.XLOOKUP($A140,TRIM('Sales and count'!$A$4:$A$300&amp;""),TRIM('Sales and count'!$B$4:$B$300&amp;"")),""),IF(OR(_xlpm.c="",_xlpm.c="0",LEFT(_xlpm.c,1)="#"),"Not set",_xlpm.c)))</f>
        <v>KSA</v>
      </c>
    </row>
    <row r="141" spans="1:112" x14ac:dyDescent="0.25">
      <c r="A141" t="str">
        <f>IF('Staff Daily sales'!$B126="","",TRIM('Staff Daily sales'!$B126&amp;""))</f>
        <v>JEDDAZIZ</v>
      </c>
      <c r="B141" t="str">
        <f>IF('Staff Daily sales'!$D126="","",TRIM('Staff Daily sales'!$D126&amp;""))</f>
        <v>5236-BTumayhi</v>
      </c>
      <c r="C141" t="str">
        <f>IFERROR(TRIM('Staff Daily sales'!$E126&amp;""),"")</f>
        <v>Jeddah</v>
      </c>
      <c r="D141" t="str">
        <f>IFERROR(IF(TRIM('Staff Daily sales'!$F126&amp;"")="","Unassigned",TRIM('Staff Daily sales'!$F126&amp;"")),"Unassigned")</f>
        <v>Ahlam Al Zahrani</v>
      </c>
      <c r="E141">
        <f t="shared" si="42"/>
        <v>1</v>
      </c>
      <c r="F141">
        <f>IF($E141=0,0,SUMPRODUCT($AI$5:$DF$5,'Staff Daily sales'!$G126:$CD126))</f>
        <v>995.95</v>
      </c>
      <c r="G141">
        <f>IF($E141=0,0,SUMPRODUCT($AI$6:$DF$6,'Staff Daily sales'!$G126:$CD126))</f>
        <v>7</v>
      </c>
      <c r="H141">
        <f t="shared" si="43"/>
        <v>2389.8900000000003</v>
      </c>
      <c r="I141">
        <f t="shared" si="44"/>
        <v>17</v>
      </c>
      <c r="J141">
        <f t="shared" si="45"/>
        <v>62016.170000000006</v>
      </c>
      <c r="K141">
        <f t="shared" si="46"/>
        <v>398</v>
      </c>
      <c r="L141">
        <f>--AND($E141=1,OR('Staff Dashboard'!$B$6="All",$DH141='Staff Dashboard'!$B$6),OR('Staff Dashboard'!$B$7="All",$D141='Staff Dashboard'!$B$7),OR('Staff Dashboard'!$B$8="All",$A141='Staff Dashboard'!$B$8))</f>
        <v>0</v>
      </c>
      <c r="M141">
        <f>IF($E141=0,0,SUMPRODUCT($AI$7:$DF$7,'Staff Daily sales'!$G126:$CD126))</f>
        <v>0</v>
      </c>
      <c r="N141">
        <f>IF($E141=0,0,SUMPRODUCT($AI$8:$DF$8,'Staff Daily sales'!$G126:$CD126))</f>
        <v>0</v>
      </c>
      <c r="O141">
        <f>IF($E141=0,0,SUMPRODUCT($AI$9:$DF$9,'Staff Daily sales'!$G126:$CD126))</f>
        <v>1347.05</v>
      </c>
      <c r="P141">
        <f>IF($E141=0,0,SUMPRODUCT($AI$10:$DF$10,'Staff Daily sales'!$G126:$CD126))</f>
        <v>11</v>
      </c>
      <c r="Q141">
        <f>IF($E141=0,0,SUMPRODUCT($AI$11:$DF$11,'Staff Daily sales'!$G126:$CD126))</f>
        <v>9851.19</v>
      </c>
      <c r="R141">
        <f>IF($E141=0,0,SUMPRODUCT($AI$12:$DF$12,'Staff Daily sales'!$G126:$CD126))</f>
        <v>69</v>
      </c>
      <c r="S141">
        <f>IF($E141=0,0,SUMPRODUCT($AI$13:$DF$13,'Staff Daily sales'!$G126:$CD126))</f>
        <v>6555.95</v>
      </c>
      <c r="T141">
        <f>IF($E141=0,0,SUMPRODUCT($AI$14:$DF$14,'Staff Daily sales'!$G126:$CD126))</f>
        <v>54</v>
      </c>
      <c r="U141">
        <f>IF($E141=0,0,SUMPRODUCT($AI$15:$DF$15,'Staff Daily sales'!$G126:$CD126))</f>
        <v>2531.06</v>
      </c>
      <c r="V141">
        <f>IF($E141=0,0,SUMPRODUCT($AI$16:$DF$16,'Staff Daily sales'!$G126:$CD126))</f>
        <v>14</v>
      </c>
      <c r="W141">
        <f t="shared" si="47"/>
        <v>18074.45</v>
      </c>
      <c r="X141">
        <f t="shared" si="48"/>
        <v>29760.500000000004</v>
      </c>
      <c r="Y141">
        <f t="shared" si="49"/>
        <v>32289.670000000002</v>
      </c>
      <c r="Z141">
        <f t="shared" si="50"/>
        <v>21819.769999999997</v>
      </c>
      <c r="AA141">
        <f t="shared" si="51"/>
        <v>6864.22</v>
      </c>
      <c r="AB141">
        <f>--AND($E141=1,OR('Staff Weekly Trend'!$B$3="All",$DH141='Staff Weekly Trend'!$B$3),OR('Staff Weekly Trend'!$B$4="All",$D141='Staff Weekly Trend'!$B$4),OR('Staff Weekly Trend'!$B$5="All",$A141='Staff Weekly Trend'!$B$5))</f>
        <v>1</v>
      </c>
      <c r="AC141">
        <f t="shared" si="52"/>
        <v>2</v>
      </c>
      <c r="AI141">
        <f t="shared" si="53"/>
        <v>146</v>
      </c>
      <c r="AJ141">
        <f t="shared" si="54"/>
        <v>223</v>
      </c>
      <c r="AK141">
        <f t="shared" si="55"/>
        <v>217</v>
      </c>
      <c r="AL141">
        <f t="shared" si="56"/>
        <v>166</v>
      </c>
      <c r="AM141">
        <f t="shared" si="57"/>
        <v>41</v>
      </c>
      <c r="DH141" t="str" cm="1">
        <f t="array" ref="DH141">IF($A141="","",_xlfn.LET(_xlpm.c,IFERROR(_xlfn.XLOOKUP($A141,TRIM('Sales and count'!$A$4:$A$300&amp;""),TRIM('Sales and count'!$B$4:$B$300&amp;"")),""),IF(OR(_xlpm.c="",_xlpm.c="0",LEFT(_xlpm.c,1)="#"),"Not set",_xlpm.c)))</f>
        <v>KSA</v>
      </c>
    </row>
    <row r="142" spans="1:112" x14ac:dyDescent="0.25">
      <c r="A142" t="str">
        <f>IF('Staff Daily sales'!$B127="","",TRIM('Staff Daily sales'!$B127&amp;""))</f>
        <v>JEDDAZIZ</v>
      </c>
      <c r="B142" t="str">
        <f>IF('Staff Daily sales'!$D127="","",TRIM('Staff Daily sales'!$D127&amp;""))</f>
        <v>7216-MAlmuwallad</v>
      </c>
      <c r="C142" t="str">
        <f>IFERROR(TRIM('Staff Daily sales'!$E127&amp;""),"")</f>
        <v>Jeddah</v>
      </c>
      <c r="D142" t="str">
        <f>IFERROR(IF(TRIM('Staff Daily sales'!$F127&amp;"")="","Unassigned",TRIM('Staff Daily sales'!$F127&amp;"")),"Unassigned")</f>
        <v>Ahlam Al Zahrani</v>
      </c>
      <c r="E142">
        <f t="shared" si="42"/>
        <v>1</v>
      </c>
      <c r="F142">
        <f>IF($E142=0,0,SUMPRODUCT($AI$5:$DF$5,'Staff Daily sales'!$G127:$CD127))</f>
        <v>137</v>
      </c>
      <c r="G142">
        <f>IF($E142=0,0,SUMPRODUCT($AI$6:$DF$6,'Staff Daily sales'!$G127:$CD127))</f>
        <v>2</v>
      </c>
      <c r="H142">
        <f t="shared" si="43"/>
        <v>2389.8900000000003</v>
      </c>
      <c r="I142">
        <f t="shared" si="44"/>
        <v>17</v>
      </c>
      <c r="J142">
        <f t="shared" si="45"/>
        <v>62016.170000000006</v>
      </c>
      <c r="K142">
        <f t="shared" si="46"/>
        <v>398</v>
      </c>
      <c r="L142">
        <f>--AND($E142=1,OR('Staff Dashboard'!$B$6="All",$DH142='Staff Dashboard'!$B$6),OR('Staff Dashboard'!$B$7="All",$D142='Staff Dashboard'!$B$7),OR('Staff Dashboard'!$B$8="All",$A142='Staff Dashboard'!$B$8))</f>
        <v>0</v>
      </c>
      <c r="M142">
        <f>IF($E142=0,0,SUMPRODUCT($AI$7:$DF$7,'Staff Daily sales'!$G127:$CD127))</f>
        <v>5902.13</v>
      </c>
      <c r="N142">
        <f>IF($E142=0,0,SUMPRODUCT($AI$8:$DF$8,'Staff Daily sales'!$G127:$CD127))</f>
        <v>47</v>
      </c>
      <c r="O142">
        <f>IF($E142=0,0,SUMPRODUCT($AI$9:$DF$9,'Staff Daily sales'!$G127:$CD127))</f>
        <v>10201.170000000002</v>
      </c>
      <c r="P142">
        <f>IF($E142=0,0,SUMPRODUCT($AI$10:$DF$10,'Staff Daily sales'!$G127:$CD127))</f>
        <v>76</v>
      </c>
      <c r="Q142">
        <f>IF($E142=0,0,SUMPRODUCT($AI$11:$DF$11,'Staff Daily sales'!$G127:$CD127))</f>
        <v>8620.14</v>
      </c>
      <c r="R142">
        <f>IF($E142=0,0,SUMPRODUCT($AI$12:$DF$12,'Staff Daily sales'!$G127:$CD127))</f>
        <v>49</v>
      </c>
      <c r="S142">
        <f>IF($E142=0,0,SUMPRODUCT($AI$13:$DF$13,'Staff Daily sales'!$G127:$CD127))</f>
        <v>5602.8899999999994</v>
      </c>
      <c r="T142">
        <f>IF($E142=0,0,SUMPRODUCT($AI$14:$DF$14,'Staff Daily sales'!$G127:$CD127))</f>
        <v>43</v>
      </c>
      <c r="U142">
        <f>IF($E142=0,0,SUMPRODUCT($AI$15:$DF$15,'Staff Daily sales'!$G127:$CD127))</f>
        <v>1224.08</v>
      </c>
      <c r="V142">
        <f>IF($E142=0,0,SUMPRODUCT($AI$16:$DF$16,'Staff Daily sales'!$G127:$CD127))</f>
        <v>7</v>
      </c>
      <c r="W142">
        <f t="shared" si="47"/>
        <v>18074.45</v>
      </c>
      <c r="X142">
        <f t="shared" si="48"/>
        <v>29760.500000000004</v>
      </c>
      <c r="Y142">
        <f t="shared" si="49"/>
        <v>32289.670000000002</v>
      </c>
      <c r="Z142">
        <f t="shared" si="50"/>
        <v>21819.769999999997</v>
      </c>
      <c r="AA142">
        <f t="shared" si="51"/>
        <v>6864.22</v>
      </c>
      <c r="AB142">
        <f>--AND($E142=1,OR('Staff Weekly Trend'!$B$3="All",$DH142='Staff Weekly Trend'!$B$3),OR('Staff Weekly Trend'!$B$4="All",$D142='Staff Weekly Trend'!$B$4),OR('Staff Weekly Trend'!$B$5="All",$A142='Staff Weekly Trend'!$B$5))</f>
        <v>1</v>
      </c>
      <c r="AC142">
        <f t="shared" si="52"/>
        <v>3</v>
      </c>
      <c r="AI142">
        <f t="shared" si="53"/>
        <v>146</v>
      </c>
      <c r="AJ142">
        <f t="shared" si="54"/>
        <v>223</v>
      </c>
      <c r="AK142">
        <f t="shared" si="55"/>
        <v>217</v>
      </c>
      <c r="AL142">
        <f t="shared" si="56"/>
        <v>166</v>
      </c>
      <c r="AM142">
        <f t="shared" si="57"/>
        <v>41</v>
      </c>
      <c r="DH142" t="str" cm="1">
        <f t="array" ref="DH142">IF($A142="","",_xlfn.LET(_xlpm.c,IFERROR(_xlfn.XLOOKUP($A142,TRIM('Sales and count'!$A$4:$A$300&amp;""),TRIM('Sales and count'!$B$4:$B$300&amp;"")),""),IF(OR(_xlpm.c="",_xlpm.c="0",LEFT(_xlpm.c,1)="#"),"Not set",_xlpm.c)))</f>
        <v>KSA</v>
      </c>
    </row>
    <row r="143" spans="1:112" x14ac:dyDescent="0.25">
      <c r="A143" t="str">
        <f>IF('Staff Daily sales'!$B128="","",TRIM('Staff Daily sales'!$B128&amp;""))</f>
        <v>JEDDAZIZ</v>
      </c>
      <c r="B143" t="str">
        <f>IF('Staff Daily sales'!$D128="","",TRIM('Staff Daily sales'!$D128&amp;""))</f>
        <v>7252-MBawarid</v>
      </c>
      <c r="C143" t="str">
        <f>IFERROR(TRIM('Staff Daily sales'!$E128&amp;""),"")</f>
        <v>Jeddah</v>
      </c>
      <c r="D143" t="str">
        <f>IFERROR(IF(TRIM('Staff Daily sales'!$F128&amp;"")="","Unassigned",TRIM('Staff Daily sales'!$F128&amp;"")),"Unassigned")</f>
        <v>Ahlam Al Zahrani</v>
      </c>
      <c r="E143">
        <f t="shared" si="42"/>
        <v>1</v>
      </c>
      <c r="F143">
        <f>IF($E143=0,0,SUMPRODUCT($AI$5:$DF$5,'Staff Daily sales'!$G128:$CD128))</f>
        <v>0</v>
      </c>
      <c r="G143">
        <f>IF($E143=0,0,SUMPRODUCT($AI$6:$DF$6,'Staff Daily sales'!$G128:$CD128))</f>
        <v>0</v>
      </c>
      <c r="H143">
        <f t="shared" si="43"/>
        <v>2389.8900000000003</v>
      </c>
      <c r="I143">
        <f t="shared" si="44"/>
        <v>17</v>
      </c>
      <c r="J143">
        <f t="shared" si="45"/>
        <v>62016.170000000006</v>
      </c>
      <c r="K143">
        <f t="shared" si="46"/>
        <v>398</v>
      </c>
      <c r="L143">
        <f>--AND($E143=1,OR('Staff Dashboard'!$B$6="All",$DH143='Staff Dashboard'!$B$6),OR('Staff Dashboard'!$B$7="All",$D143='Staff Dashboard'!$B$7),OR('Staff Dashboard'!$B$8="All",$A143='Staff Dashboard'!$B$8))</f>
        <v>0</v>
      </c>
      <c r="M143">
        <f>IF($E143=0,0,SUMPRODUCT($AI$7:$DF$7,'Staff Daily sales'!$G128:$CD128))</f>
        <v>8257.2000000000007</v>
      </c>
      <c r="N143">
        <f>IF($E143=0,0,SUMPRODUCT($AI$8:$DF$8,'Staff Daily sales'!$G128:$CD128))</f>
        <v>60</v>
      </c>
      <c r="O143">
        <f>IF($E143=0,0,SUMPRODUCT($AI$9:$DF$9,'Staff Daily sales'!$G128:$CD128))</f>
        <v>11403.130000000001</v>
      </c>
      <c r="P143">
        <f>IF($E143=0,0,SUMPRODUCT($AI$10:$DF$10,'Staff Daily sales'!$G128:$CD128))</f>
        <v>79</v>
      </c>
      <c r="Q143">
        <f>IF($E143=0,0,SUMPRODUCT($AI$11:$DF$11,'Staff Daily sales'!$G128:$CD128))</f>
        <v>5927.22</v>
      </c>
      <c r="R143">
        <f>IF($E143=0,0,SUMPRODUCT($AI$12:$DF$12,'Staff Daily sales'!$G128:$CD128))</f>
        <v>41</v>
      </c>
      <c r="S143">
        <f>IF($E143=0,0,SUMPRODUCT($AI$13:$DF$13,'Staff Daily sales'!$G128:$CD128))</f>
        <v>3340.94</v>
      </c>
      <c r="T143">
        <f>IF($E143=0,0,SUMPRODUCT($AI$14:$DF$14,'Staff Daily sales'!$G128:$CD128))</f>
        <v>22</v>
      </c>
      <c r="U143">
        <f>IF($E143=0,0,SUMPRODUCT($AI$15:$DF$15,'Staff Daily sales'!$G128:$CD128))</f>
        <v>1761.04</v>
      </c>
      <c r="V143">
        <f>IF($E143=0,0,SUMPRODUCT($AI$16:$DF$16,'Staff Daily sales'!$G128:$CD128))</f>
        <v>11</v>
      </c>
      <c r="W143">
        <f t="shared" si="47"/>
        <v>18074.45</v>
      </c>
      <c r="X143">
        <f t="shared" si="48"/>
        <v>29760.500000000004</v>
      </c>
      <c r="Y143">
        <f t="shared" si="49"/>
        <v>32289.670000000002</v>
      </c>
      <c r="Z143">
        <f t="shared" si="50"/>
        <v>21819.769999999997</v>
      </c>
      <c r="AA143">
        <f t="shared" si="51"/>
        <v>6864.22</v>
      </c>
      <c r="AB143">
        <f>--AND($E143=1,OR('Staff Weekly Trend'!$B$3="All",$DH143='Staff Weekly Trend'!$B$3),OR('Staff Weekly Trend'!$B$4="All",$D143='Staff Weekly Trend'!$B$4),OR('Staff Weekly Trend'!$B$5="All",$A143='Staff Weekly Trend'!$B$5))</f>
        <v>1</v>
      </c>
      <c r="AC143" t="str">
        <f t="shared" si="52"/>
        <v/>
      </c>
      <c r="AI143">
        <f t="shared" si="53"/>
        <v>146</v>
      </c>
      <c r="AJ143">
        <f t="shared" si="54"/>
        <v>223</v>
      </c>
      <c r="AK143">
        <f t="shared" si="55"/>
        <v>217</v>
      </c>
      <c r="AL143">
        <f t="shared" si="56"/>
        <v>166</v>
      </c>
      <c r="AM143">
        <f t="shared" si="57"/>
        <v>41</v>
      </c>
      <c r="DH143" t="str" cm="1">
        <f t="array" ref="DH143">IF($A143="","",_xlfn.LET(_xlpm.c,IFERROR(_xlfn.XLOOKUP($A143,TRIM('Sales and count'!$A$4:$A$300&amp;""),TRIM('Sales and count'!$B$4:$B$300&amp;"")),""),IF(OR(_xlpm.c="",_xlpm.c="0",LEFT(_xlpm.c,1)="#"),"Not set",_xlpm.c)))</f>
        <v>KSA</v>
      </c>
    </row>
    <row r="144" spans="1:112" x14ac:dyDescent="0.25">
      <c r="A144" t="str">
        <f>IF('Staff Daily sales'!$B129="","",TRIM('Staff Daily sales'!$B129&amp;""))</f>
        <v>JEDDARAB</v>
      </c>
      <c r="B144" t="str">
        <f>IF('Staff Daily sales'!$D129="","",TRIM('Staff Daily sales'!$D129&amp;""))</f>
        <v>2983-Abdullah Al-Qarni</v>
      </c>
      <c r="C144" t="str">
        <f>IFERROR(TRIM('Staff Daily sales'!$E129&amp;""),"")</f>
        <v>Jeddah</v>
      </c>
      <c r="D144" t="str">
        <f>IFERROR(IF(TRIM('Staff Daily sales'!$F129&amp;"")="","Unassigned",TRIM('Staff Daily sales'!$F129&amp;"")),"Unassigned")</f>
        <v>Saleh Bin Hoiel</v>
      </c>
      <c r="E144">
        <f t="shared" si="42"/>
        <v>1</v>
      </c>
      <c r="F144">
        <f>IF($E144=0,0,SUMPRODUCT($AI$5:$DF$5,'Staff Daily sales'!$G129:$CD129))</f>
        <v>858.95</v>
      </c>
      <c r="G144">
        <f>IF($E144=0,0,SUMPRODUCT($AI$6:$DF$6,'Staff Daily sales'!$G129:$CD129))</f>
        <v>4</v>
      </c>
      <c r="H144">
        <f t="shared" si="43"/>
        <v>6469.6200000000008</v>
      </c>
      <c r="I144">
        <f t="shared" si="44"/>
        <v>44</v>
      </c>
      <c r="J144">
        <f t="shared" si="45"/>
        <v>69638.36</v>
      </c>
      <c r="K144">
        <f t="shared" si="46"/>
        <v>362</v>
      </c>
      <c r="L144">
        <f>--AND($E144=1,OR('Staff Dashboard'!$B$6="All",$DH144='Staff Dashboard'!$B$6),OR('Staff Dashboard'!$B$7="All",$D144='Staff Dashboard'!$B$7),OR('Staff Dashboard'!$B$8="All",$A144='Staff Dashboard'!$B$8))</f>
        <v>0</v>
      </c>
      <c r="M144">
        <f>IF($E144=0,0,SUMPRODUCT($AI$7:$DF$7,'Staff Daily sales'!$G129:$CD129))</f>
        <v>7468.1200000000008</v>
      </c>
      <c r="N144">
        <f>IF($E144=0,0,SUMPRODUCT($AI$8:$DF$8,'Staff Daily sales'!$G129:$CD129))</f>
        <v>58</v>
      </c>
      <c r="O144">
        <f>IF($E144=0,0,SUMPRODUCT($AI$9:$DF$9,'Staff Daily sales'!$G129:$CD129))</f>
        <v>10998.17</v>
      </c>
      <c r="P144">
        <f>IF($E144=0,0,SUMPRODUCT($AI$10:$DF$10,'Staff Daily sales'!$G129:$CD129))</f>
        <v>70</v>
      </c>
      <c r="Q144">
        <f>IF($E144=0,0,SUMPRODUCT($AI$11:$DF$11,'Staff Daily sales'!$G129:$CD129))</f>
        <v>3963.08</v>
      </c>
      <c r="R144">
        <f>IF($E144=0,0,SUMPRODUCT($AI$12:$DF$12,'Staff Daily sales'!$G129:$CD129))</f>
        <v>33</v>
      </c>
      <c r="S144">
        <f>IF($E144=0,0,SUMPRODUCT($AI$13:$DF$13,'Staff Daily sales'!$G129:$CD129))</f>
        <v>3847.9399999999996</v>
      </c>
      <c r="T144">
        <f>IF($E144=0,0,SUMPRODUCT($AI$14:$DF$14,'Staff Daily sales'!$G129:$CD129))</f>
        <v>21</v>
      </c>
      <c r="U144">
        <f>IF($E144=0,0,SUMPRODUCT($AI$15:$DF$15,'Staff Daily sales'!$G129:$CD129))</f>
        <v>2019.92</v>
      </c>
      <c r="V144">
        <f>IF($E144=0,0,SUMPRODUCT($AI$16:$DF$16,'Staff Daily sales'!$G129:$CD129))</f>
        <v>10</v>
      </c>
      <c r="W144">
        <f t="shared" si="47"/>
        <v>36936.79</v>
      </c>
      <c r="X144">
        <f t="shared" si="48"/>
        <v>61993.979999999996</v>
      </c>
      <c r="Y144">
        <f t="shared" si="49"/>
        <v>41233.72</v>
      </c>
      <c r="Z144">
        <f t="shared" si="50"/>
        <v>42589.340000000004</v>
      </c>
      <c r="AA144">
        <f t="shared" si="51"/>
        <v>12967.07</v>
      </c>
      <c r="AB144">
        <f>--AND($E144=1,OR('Staff Weekly Trend'!$B$3="All",$DH144='Staff Weekly Trend'!$B$3),OR('Staff Weekly Trend'!$B$4="All",$D144='Staff Weekly Trend'!$B$4),OR('Staff Weekly Trend'!$B$5="All",$A144='Staff Weekly Trend'!$B$5))</f>
        <v>1</v>
      </c>
      <c r="AC144">
        <f t="shared" si="52"/>
        <v>5</v>
      </c>
      <c r="AI144">
        <f t="shared" si="53"/>
        <v>289</v>
      </c>
      <c r="AJ144">
        <f t="shared" si="54"/>
        <v>401</v>
      </c>
      <c r="AK144">
        <f t="shared" si="55"/>
        <v>305</v>
      </c>
      <c r="AL144">
        <f t="shared" si="56"/>
        <v>282</v>
      </c>
      <c r="AM144">
        <f t="shared" si="57"/>
        <v>73</v>
      </c>
      <c r="DH144" t="str" cm="1">
        <f t="array" ref="DH144">IF($A144="","",_xlfn.LET(_xlpm.c,IFERROR(_xlfn.XLOOKUP($A144,TRIM('Sales and count'!$A$4:$A$300&amp;""),TRIM('Sales and count'!$B$4:$B$300&amp;"")),""),IF(OR(_xlpm.c="",_xlpm.c="0",LEFT(_xlpm.c,1)="#"),"Not set",_xlpm.c)))</f>
        <v>KSA</v>
      </c>
    </row>
    <row r="145" spans="1:112" x14ac:dyDescent="0.25">
      <c r="A145" t="str">
        <f>IF('Staff Daily sales'!$B130="","",TRIM('Staff Daily sales'!$B130&amp;""))</f>
        <v>JEDDARAB</v>
      </c>
      <c r="B145" t="str">
        <f>IF('Staff Daily sales'!$D130="","",TRIM('Staff Daily sales'!$D130&amp;""))</f>
        <v>4295-AAl-Juhani</v>
      </c>
      <c r="C145" t="str">
        <f>IFERROR(TRIM('Staff Daily sales'!$E130&amp;""),"")</f>
        <v>Jeddah</v>
      </c>
      <c r="D145" t="str">
        <f>IFERROR(IF(TRIM('Staff Daily sales'!$F130&amp;"")="","Unassigned",TRIM('Staff Daily sales'!$F130&amp;"")),"Unassigned")</f>
        <v>Saleh Bin Hoiel</v>
      </c>
      <c r="E145">
        <f t="shared" si="42"/>
        <v>1</v>
      </c>
      <c r="F145">
        <f>IF($E145=0,0,SUMPRODUCT($AI$5:$DF$5,'Staff Daily sales'!$G130:$CD130))</f>
        <v>2016.9</v>
      </c>
      <c r="G145">
        <f>IF($E145=0,0,SUMPRODUCT($AI$6:$DF$6,'Staff Daily sales'!$G130:$CD130))</f>
        <v>14</v>
      </c>
      <c r="H145">
        <f t="shared" si="43"/>
        <v>6469.6200000000008</v>
      </c>
      <c r="I145">
        <f t="shared" si="44"/>
        <v>44</v>
      </c>
      <c r="J145">
        <f t="shared" si="45"/>
        <v>69638.36</v>
      </c>
      <c r="K145">
        <f t="shared" si="46"/>
        <v>362</v>
      </c>
      <c r="L145">
        <f>--AND($E145=1,OR('Staff Dashboard'!$B$6="All",$DH145='Staff Dashboard'!$B$6),OR('Staff Dashboard'!$B$7="All",$D145='Staff Dashboard'!$B$7),OR('Staff Dashboard'!$B$8="All",$A145='Staff Dashboard'!$B$8))</f>
        <v>0</v>
      </c>
      <c r="M145">
        <f>IF($E145=0,0,SUMPRODUCT($AI$7:$DF$7,'Staff Daily sales'!$G130:$CD130))</f>
        <v>5567.2</v>
      </c>
      <c r="N145">
        <f>IF($E145=0,0,SUMPRODUCT($AI$8:$DF$8,'Staff Daily sales'!$G130:$CD130))</f>
        <v>40</v>
      </c>
      <c r="O145">
        <f>IF($E145=0,0,SUMPRODUCT($AI$9:$DF$9,'Staff Daily sales'!$G130:$CD130))</f>
        <v>10487.17</v>
      </c>
      <c r="P145">
        <f>IF($E145=0,0,SUMPRODUCT($AI$10:$DF$10,'Staff Daily sales'!$G130:$CD130))</f>
        <v>58</v>
      </c>
      <c r="Q145">
        <f>IF($E145=0,0,SUMPRODUCT($AI$11:$DF$11,'Staff Daily sales'!$G130:$CD130))</f>
        <v>7603.130000000001</v>
      </c>
      <c r="R145">
        <f>IF($E145=0,0,SUMPRODUCT($AI$12:$DF$12,'Staff Daily sales'!$G130:$CD130))</f>
        <v>62</v>
      </c>
      <c r="S145">
        <f>IF($E145=0,0,SUMPRODUCT($AI$13:$DF$13,'Staff Daily sales'!$G130:$CD130))</f>
        <v>10868.89</v>
      </c>
      <c r="T145">
        <f>IF($E145=0,0,SUMPRODUCT($AI$14:$DF$14,'Staff Daily sales'!$G130:$CD130))</f>
        <v>69</v>
      </c>
      <c r="U145">
        <f>IF($E145=0,0,SUMPRODUCT($AI$15:$DF$15,'Staff Daily sales'!$G130:$CD130))</f>
        <v>1902</v>
      </c>
      <c r="V145">
        <f>IF($E145=0,0,SUMPRODUCT($AI$16:$DF$16,'Staff Daily sales'!$G130:$CD130))</f>
        <v>14</v>
      </c>
      <c r="W145">
        <f t="shared" si="47"/>
        <v>36936.79</v>
      </c>
      <c r="X145">
        <f t="shared" si="48"/>
        <v>61993.979999999996</v>
      </c>
      <c r="Y145">
        <f t="shared" si="49"/>
        <v>41233.72</v>
      </c>
      <c r="Z145">
        <f t="shared" si="50"/>
        <v>42589.340000000004</v>
      </c>
      <c r="AA145">
        <f t="shared" si="51"/>
        <v>12967.07</v>
      </c>
      <c r="AB145">
        <f>--AND($E145=1,OR('Staff Weekly Trend'!$B$3="All",$DH145='Staff Weekly Trend'!$B$3),OR('Staff Weekly Trend'!$B$4="All",$D145='Staff Weekly Trend'!$B$4),OR('Staff Weekly Trend'!$B$5="All",$A145='Staff Weekly Trend'!$B$5))</f>
        <v>1</v>
      </c>
      <c r="AC145">
        <f t="shared" si="52"/>
        <v>1</v>
      </c>
      <c r="AI145">
        <f t="shared" si="53"/>
        <v>289</v>
      </c>
      <c r="AJ145">
        <f t="shared" si="54"/>
        <v>401</v>
      </c>
      <c r="AK145">
        <f t="shared" si="55"/>
        <v>305</v>
      </c>
      <c r="AL145">
        <f t="shared" si="56"/>
        <v>282</v>
      </c>
      <c r="AM145">
        <f t="shared" si="57"/>
        <v>73</v>
      </c>
      <c r="DH145" t="str" cm="1">
        <f t="array" ref="DH145">IF($A145="","",_xlfn.LET(_xlpm.c,IFERROR(_xlfn.XLOOKUP($A145,TRIM('Sales and count'!$A$4:$A$300&amp;""),TRIM('Sales and count'!$B$4:$B$300&amp;"")),""),IF(OR(_xlpm.c="",_xlpm.c="0",LEFT(_xlpm.c,1)="#"),"Not set",_xlpm.c)))</f>
        <v>KSA</v>
      </c>
    </row>
    <row r="146" spans="1:112" x14ac:dyDescent="0.25">
      <c r="A146" t="str">
        <f>IF('Staff Daily sales'!$B131="","",TRIM('Staff Daily sales'!$B131&amp;""))</f>
        <v>JEDDARAB</v>
      </c>
      <c r="B146" t="str">
        <f>IF('Staff Daily sales'!$D131="","",TRIM('Staff Daily sales'!$D131&amp;""))</f>
        <v>4303-FAlzubali</v>
      </c>
      <c r="C146" t="str">
        <f>IFERROR(TRIM('Staff Daily sales'!$E131&amp;""),"")</f>
        <v>Jeddah</v>
      </c>
      <c r="D146" t="str">
        <f>IFERROR(IF(TRIM('Staff Daily sales'!$F131&amp;"")="","Unassigned",TRIM('Staff Daily sales'!$F131&amp;"")),"Unassigned")</f>
        <v>Saleh Bin Hoiel</v>
      </c>
      <c r="E146">
        <f t="shared" si="42"/>
        <v>1</v>
      </c>
      <c r="F146">
        <f>IF($E146=0,0,SUMPRODUCT($AI$5:$DF$5,'Staff Daily sales'!$G131:$CD131))</f>
        <v>1312.91</v>
      </c>
      <c r="G146">
        <f>IF($E146=0,0,SUMPRODUCT($AI$6:$DF$6,'Staff Daily sales'!$G131:$CD131))</f>
        <v>8</v>
      </c>
      <c r="H146">
        <f t="shared" si="43"/>
        <v>6469.6200000000008</v>
      </c>
      <c r="I146">
        <f t="shared" si="44"/>
        <v>44</v>
      </c>
      <c r="J146">
        <f t="shared" si="45"/>
        <v>69638.36</v>
      </c>
      <c r="K146">
        <f t="shared" si="46"/>
        <v>362</v>
      </c>
      <c r="L146">
        <f>--AND($E146=1,OR('Staff Dashboard'!$B$6="All",$DH146='Staff Dashboard'!$B$6),OR('Staff Dashboard'!$B$7="All",$D146='Staff Dashboard'!$B$7),OR('Staff Dashboard'!$B$8="All",$A146='Staff Dashboard'!$B$8))</f>
        <v>0</v>
      </c>
      <c r="M146">
        <f>IF($E146=0,0,SUMPRODUCT($AI$7:$DF$7,'Staff Daily sales'!$G131:$CD131))</f>
        <v>7685.1500000000005</v>
      </c>
      <c r="N146">
        <f>IF($E146=0,0,SUMPRODUCT($AI$8:$DF$8,'Staff Daily sales'!$G131:$CD131))</f>
        <v>63</v>
      </c>
      <c r="O146">
        <f>IF($E146=0,0,SUMPRODUCT($AI$9:$DF$9,'Staff Daily sales'!$G131:$CD131))</f>
        <v>10853.18</v>
      </c>
      <c r="P146">
        <f>IF($E146=0,0,SUMPRODUCT($AI$10:$DF$10,'Staff Daily sales'!$G131:$CD131))</f>
        <v>77</v>
      </c>
      <c r="Q146">
        <f>IF($E146=0,0,SUMPRODUCT($AI$11:$DF$11,'Staff Daily sales'!$G131:$CD131))</f>
        <v>6216.12</v>
      </c>
      <c r="R146">
        <f>IF($E146=0,0,SUMPRODUCT($AI$12:$DF$12,'Staff Daily sales'!$G131:$CD131))</f>
        <v>47</v>
      </c>
      <c r="S146">
        <f>IF($E146=0,0,SUMPRODUCT($AI$13:$DF$13,'Staff Daily sales'!$G131:$CD131))</f>
        <v>4852.84</v>
      </c>
      <c r="T146">
        <f>IF($E146=0,0,SUMPRODUCT($AI$14:$DF$14,'Staff Daily sales'!$G131:$CD131))</f>
        <v>31</v>
      </c>
      <c r="U146">
        <f>IF($E146=0,0,SUMPRODUCT($AI$15:$DF$15,'Staff Daily sales'!$G131:$CD131))</f>
        <v>732.04</v>
      </c>
      <c r="V146">
        <f>IF($E146=0,0,SUMPRODUCT($AI$16:$DF$16,'Staff Daily sales'!$G131:$CD131))</f>
        <v>5</v>
      </c>
      <c r="W146">
        <f t="shared" si="47"/>
        <v>36936.79</v>
      </c>
      <c r="X146">
        <f t="shared" si="48"/>
        <v>61993.979999999996</v>
      </c>
      <c r="Y146">
        <f t="shared" si="49"/>
        <v>41233.72</v>
      </c>
      <c r="Z146">
        <f t="shared" si="50"/>
        <v>42589.340000000004</v>
      </c>
      <c r="AA146">
        <f t="shared" si="51"/>
        <v>12967.07</v>
      </c>
      <c r="AB146">
        <f>--AND($E146=1,OR('Staff Weekly Trend'!$B$3="All",$DH146='Staff Weekly Trend'!$B$3),OR('Staff Weekly Trend'!$B$4="All",$D146='Staff Weekly Trend'!$B$4),OR('Staff Weekly Trend'!$B$5="All",$A146='Staff Weekly Trend'!$B$5))</f>
        <v>1</v>
      </c>
      <c r="AC146">
        <f t="shared" si="52"/>
        <v>3</v>
      </c>
      <c r="AI146">
        <f t="shared" si="53"/>
        <v>289</v>
      </c>
      <c r="AJ146">
        <f t="shared" si="54"/>
        <v>401</v>
      </c>
      <c r="AK146">
        <f t="shared" si="55"/>
        <v>305</v>
      </c>
      <c r="AL146">
        <f t="shared" si="56"/>
        <v>282</v>
      </c>
      <c r="AM146">
        <f t="shared" si="57"/>
        <v>73</v>
      </c>
      <c r="DH146" t="str" cm="1">
        <f t="array" ref="DH146">IF($A146="","",_xlfn.LET(_xlpm.c,IFERROR(_xlfn.XLOOKUP($A146,TRIM('Sales and count'!$A$4:$A$300&amp;""),TRIM('Sales and count'!$B$4:$B$300&amp;"")),""),IF(OR(_xlpm.c="",_xlpm.c="0",LEFT(_xlpm.c,1)="#"),"Not set",_xlpm.c)))</f>
        <v>KSA</v>
      </c>
    </row>
    <row r="147" spans="1:112" x14ac:dyDescent="0.25">
      <c r="A147" t="str">
        <f>IF('Staff Daily sales'!$B132="","",TRIM('Staff Daily sales'!$B132&amp;""))</f>
        <v>JEDDARAB</v>
      </c>
      <c r="B147" t="str">
        <f>IF('Staff Daily sales'!$D132="","",TRIM('Staff Daily sales'!$D132&amp;""))</f>
        <v>5149-MAl-Kamoukh</v>
      </c>
      <c r="C147" t="str">
        <f>IFERROR(TRIM('Staff Daily sales'!$E132&amp;""),"")</f>
        <v>Jeddah</v>
      </c>
      <c r="D147" t="str">
        <f>IFERROR(IF(TRIM('Staff Daily sales'!$F132&amp;"")="","Unassigned",TRIM('Staff Daily sales'!$F132&amp;"")),"Unassigned")</f>
        <v>Saleh Bin Hoiel</v>
      </c>
      <c r="E147">
        <f t="shared" si="42"/>
        <v>1</v>
      </c>
      <c r="F147">
        <f>IF($E147=0,0,SUMPRODUCT($AI$5:$DF$5,'Staff Daily sales'!$G132:$CD132))</f>
        <v>926.94</v>
      </c>
      <c r="G147">
        <f>IF($E147=0,0,SUMPRODUCT($AI$6:$DF$6,'Staff Daily sales'!$G132:$CD132))</f>
        <v>6</v>
      </c>
      <c r="H147">
        <f t="shared" si="43"/>
        <v>6469.6200000000008</v>
      </c>
      <c r="I147">
        <f t="shared" si="44"/>
        <v>44</v>
      </c>
      <c r="J147">
        <f t="shared" si="45"/>
        <v>69638.36</v>
      </c>
      <c r="K147">
        <f t="shared" si="46"/>
        <v>362</v>
      </c>
      <c r="L147">
        <f>--AND($E147=1,OR('Staff Dashboard'!$B$6="All",$DH147='Staff Dashboard'!$B$6),OR('Staff Dashboard'!$B$7="All",$D147='Staff Dashboard'!$B$7),OR('Staff Dashboard'!$B$8="All",$A147='Staff Dashboard'!$B$8))</f>
        <v>0</v>
      </c>
      <c r="M147">
        <f>IF($E147=0,0,SUMPRODUCT($AI$7:$DF$7,'Staff Daily sales'!$G132:$CD132))</f>
        <v>9508.23</v>
      </c>
      <c r="N147">
        <f>IF($E147=0,0,SUMPRODUCT($AI$8:$DF$8,'Staff Daily sales'!$G132:$CD132))</f>
        <v>73</v>
      </c>
      <c r="O147">
        <f>IF($E147=0,0,SUMPRODUCT($AI$9:$DF$9,'Staff Daily sales'!$G132:$CD132))</f>
        <v>15775.19</v>
      </c>
      <c r="P147">
        <f>IF($E147=0,0,SUMPRODUCT($AI$10:$DF$10,'Staff Daily sales'!$G132:$CD132))</f>
        <v>104</v>
      </c>
      <c r="Q147">
        <f>IF($E147=0,0,SUMPRODUCT($AI$11:$DF$11,'Staff Daily sales'!$G132:$CD132))</f>
        <v>14419.22</v>
      </c>
      <c r="R147">
        <f>IF($E147=0,0,SUMPRODUCT($AI$12:$DF$12,'Staff Daily sales'!$G132:$CD132))</f>
        <v>100</v>
      </c>
      <c r="S147">
        <f>IF($E147=0,0,SUMPRODUCT($AI$13:$DF$13,'Staff Daily sales'!$G132:$CD132))</f>
        <v>6426.01</v>
      </c>
      <c r="T147">
        <f>IF($E147=0,0,SUMPRODUCT($AI$14:$DF$14,'Staff Daily sales'!$G132:$CD132))</f>
        <v>48</v>
      </c>
      <c r="U147">
        <f>IF($E147=0,0,SUMPRODUCT($AI$15:$DF$15,'Staff Daily sales'!$G132:$CD132))</f>
        <v>2987</v>
      </c>
      <c r="V147">
        <f>IF($E147=0,0,SUMPRODUCT($AI$16:$DF$16,'Staff Daily sales'!$G132:$CD132))</f>
        <v>17</v>
      </c>
      <c r="W147">
        <f t="shared" si="47"/>
        <v>36936.79</v>
      </c>
      <c r="X147">
        <f t="shared" si="48"/>
        <v>61993.979999999996</v>
      </c>
      <c r="Y147">
        <f t="shared" si="49"/>
        <v>41233.72</v>
      </c>
      <c r="Z147">
        <f t="shared" si="50"/>
        <v>42589.340000000004</v>
      </c>
      <c r="AA147">
        <f t="shared" si="51"/>
        <v>12967.07</v>
      </c>
      <c r="AB147">
        <f>--AND($E147=1,OR('Staff Weekly Trend'!$B$3="All",$DH147='Staff Weekly Trend'!$B$3),OR('Staff Weekly Trend'!$B$4="All",$D147='Staff Weekly Trend'!$B$4),OR('Staff Weekly Trend'!$B$5="All",$A147='Staff Weekly Trend'!$B$5))</f>
        <v>1</v>
      </c>
      <c r="AC147">
        <f t="shared" si="52"/>
        <v>4</v>
      </c>
      <c r="AI147">
        <f t="shared" si="53"/>
        <v>289</v>
      </c>
      <c r="AJ147">
        <f t="shared" si="54"/>
        <v>401</v>
      </c>
      <c r="AK147">
        <f t="shared" si="55"/>
        <v>305</v>
      </c>
      <c r="AL147">
        <f t="shared" si="56"/>
        <v>282</v>
      </c>
      <c r="AM147">
        <f t="shared" si="57"/>
        <v>73</v>
      </c>
      <c r="DH147" t="str" cm="1">
        <f t="array" ref="DH147">IF($A147="","",_xlfn.LET(_xlpm.c,IFERROR(_xlfn.XLOOKUP($A147,TRIM('Sales and count'!$A$4:$A$300&amp;""),TRIM('Sales and count'!$B$4:$B$300&amp;"")),""),IF(OR(_xlpm.c="",_xlpm.c="0",LEFT(_xlpm.c,1)="#"),"Not set",_xlpm.c)))</f>
        <v>KSA</v>
      </c>
    </row>
    <row r="148" spans="1:112" x14ac:dyDescent="0.25">
      <c r="A148" t="str">
        <f>IF('Staff Daily sales'!$B133="","",TRIM('Staff Daily sales'!$B133&amp;""))</f>
        <v>JEDDARAB</v>
      </c>
      <c r="B148" t="str">
        <f>IF('Staff Daily sales'!$D133="","",TRIM('Staff Daily sales'!$D133&amp;""))</f>
        <v>5331-AAl-Daghreeri</v>
      </c>
      <c r="C148" t="str">
        <f>IFERROR(TRIM('Staff Daily sales'!$E133&amp;""),"")</f>
        <v>Jeddah</v>
      </c>
      <c r="D148" t="str">
        <f>IFERROR(IF(TRIM('Staff Daily sales'!$F133&amp;"")="","Unassigned",TRIM('Staff Daily sales'!$F133&amp;"")),"Unassigned")</f>
        <v>Saleh Bin Hoiel</v>
      </c>
      <c r="E148">
        <f t="shared" ref="E148:E211" si="58">--AND($A148&lt;&gt;"",$B148&lt;&gt;"")</f>
        <v>1</v>
      </c>
      <c r="F148">
        <f>IF($E148=0,0,SUMPRODUCT($AI$5:$DF$5,'Staff Daily sales'!$G133:$CD133))</f>
        <v>0</v>
      </c>
      <c r="G148">
        <f>IF($E148=0,0,SUMPRODUCT($AI$6:$DF$6,'Staff Daily sales'!$G133:$CD133))</f>
        <v>0</v>
      </c>
      <c r="H148">
        <f t="shared" ref="H148:H211" si="59">IF($E148=0,0,SUMIFS($F$20:$F$1515,$A$20:$A$1515,$A148))</f>
        <v>6469.6200000000008</v>
      </c>
      <c r="I148">
        <f t="shared" ref="I148:I211" si="60">IF($E148=0,0,SUMIFS($G$20:$G$1515,$A$20:$A$1515,$A148))</f>
        <v>44</v>
      </c>
      <c r="J148">
        <f t="shared" ref="J148:J211" si="61">IF($E148=0,0,SUMIFS($F$20:$F$1515,$D$20:$D$1515,$D148))</f>
        <v>69638.36</v>
      </c>
      <c r="K148">
        <f t="shared" ref="K148:K211" si="62">IF($E148=0,0,SUMIFS($G$20:$G$1515,$D$20:$D$1515,$D148))</f>
        <v>362</v>
      </c>
      <c r="L148">
        <f>--AND($E148=1,OR('Staff Dashboard'!$B$6="All",$DH148='Staff Dashboard'!$B$6),OR('Staff Dashboard'!$B$7="All",$D148='Staff Dashboard'!$B$7),OR('Staff Dashboard'!$B$8="All",$A148='Staff Dashboard'!$B$8))</f>
        <v>0</v>
      </c>
      <c r="M148">
        <f>IF($E148=0,0,SUMPRODUCT($AI$7:$DF$7,'Staff Daily sales'!$G133:$CD133))</f>
        <v>0</v>
      </c>
      <c r="N148">
        <f>IF($E148=0,0,SUMPRODUCT($AI$8:$DF$8,'Staff Daily sales'!$G133:$CD133))</f>
        <v>0</v>
      </c>
      <c r="O148">
        <f>IF($E148=0,0,SUMPRODUCT($AI$9:$DF$9,'Staff Daily sales'!$G133:$CD133))</f>
        <v>15</v>
      </c>
      <c r="P148">
        <f>IF($E148=0,0,SUMPRODUCT($AI$10:$DF$10,'Staff Daily sales'!$G133:$CD133))</f>
        <v>1</v>
      </c>
      <c r="Q148">
        <f>IF($E148=0,0,SUMPRODUCT($AI$11:$DF$11,'Staff Daily sales'!$G133:$CD133))</f>
        <v>0</v>
      </c>
      <c r="R148">
        <f>IF($E148=0,0,SUMPRODUCT($AI$12:$DF$12,'Staff Daily sales'!$G133:$CD133))</f>
        <v>0</v>
      </c>
      <c r="S148">
        <f>IF($E148=0,0,SUMPRODUCT($AI$13:$DF$13,'Staff Daily sales'!$G133:$CD133))</f>
        <v>0</v>
      </c>
      <c r="T148">
        <f>IF($E148=0,0,SUMPRODUCT($AI$14:$DF$14,'Staff Daily sales'!$G133:$CD133))</f>
        <v>0</v>
      </c>
      <c r="U148">
        <f>IF($E148=0,0,SUMPRODUCT($AI$15:$DF$15,'Staff Daily sales'!$G133:$CD133))</f>
        <v>0</v>
      </c>
      <c r="V148">
        <f>IF($E148=0,0,SUMPRODUCT($AI$16:$DF$16,'Staff Daily sales'!$G133:$CD133))</f>
        <v>0</v>
      </c>
      <c r="W148">
        <f t="shared" ref="W148:W211" si="63">IF($E148=0,0,SUMIFS(M$20:M$1515,$A$20:$A$1515,$A148))</f>
        <v>36936.79</v>
      </c>
      <c r="X148">
        <f t="shared" ref="X148:X211" si="64">IF($E148=0,0,SUMIFS(O$20:O$1515,$A$20:$A$1515,$A148))</f>
        <v>61993.979999999996</v>
      </c>
      <c r="Y148">
        <f t="shared" ref="Y148:Y211" si="65">IF($E148=0,0,SUMIFS(Q$20:Q$1515,$A$20:$A$1515,$A148))</f>
        <v>41233.72</v>
      </c>
      <c r="Z148">
        <f t="shared" ref="Z148:Z211" si="66">IF($E148=0,0,SUMIFS(S$20:S$1515,$A$20:$A$1515,$A148))</f>
        <v>42589.340000000004</v>
      </c>
      <c r="AA148">
        <f t="shared" ref="AA148:AA211" si="67">IF($E148=0,0,SUMIFS(U$20:U$1515,$A$20:$A$1515,$A148))</f>
        <v>12967.07</v>
      </c>
      <c r="AB148">
        <f>--AND($E148=1,OR('Staff Weekly Trend'!$B$3="All",$DH148='Staff Weekly Trend'!$B$3),OR('Staff Weekly Trend'!$B$4="All",$D148='Staff Weekly Trend'!$B$4),OR('Staff Weekly Trend'!$B$5="All",$A148='Staff Weekly Trend'!$B$5))</f>
        <v>1</v>
      </c>
      <c r="AC148" t="str">
        <f t="shared" ref="AC148:AC211" si="68">IF(OR($E148=0,AND($F148=0,$G148=0)),"",COUNTIFS($A$20:$A$1515,$A148,$E$20:$E$1515,1,$F$20:$F$1515,"&gt;"&amp;$F148)+1)</f>
        <v/>
      </c>
      <c r="AI148">
        <f t="shared" ref="AI148:AI211" si="69">IF($E148=0,0,SUMIFS(N$20:N$1515,$A$20:$A$1515,$A148))</f>
        <v>289</v>
      </c>
      <c r="AJ148">
        <f t="shared" ref="AJ148:AJ211" si="70">IF($E148=0,0,SUMIFS(P$20:P$1515,$A$20:$A$1515,$A148))</f>
        <v>401</v>
      </c>
      <c r="AK148">
        <f t="shared" ref="AK148:AK211" si="71">IF($E148=0,0,SUMIFS(R$20:R$1515,$A$20:$A$1515,$A148))</f>
        <v>305</v>
      </c>
      <c r="AL148">
        <f t="shared" ref="AL148:AL211" si="72">IF($E148=0,0,SUMIFS(T$20:T$1515,$A$20:$A$1515,$A148))</f>
        <v>282</v>
      </c>
      <c r="AM148">
        <f t="shared" ref="AM148:AM211" si="73">IF($E148=0,0,SUMIFS(V$20:V$1515,$A$20:$A$1515,$A148))</f>
        <v>73</v>
      </c>
      <c r="DH148" t="str" cm="1">
        <f t="array" ref="DH148">IF($A148="","",_xlfn.LET(_xlpm.c,IFERROR(_xlfn.XLOOKUP($A148,TRIM('Sales and count'!$A$4:$A$300&amp;""),TRIM('Sales and count'!$B$4:$B$300&amp;"")),""),IF(OR(_xlpm.c="",_xlpm.c="0",LEFT(_xlpm.c,1)="#"),"Not set",_xlpm.c)))</f>
        <v>KSA</v>
      </c>
    </row>
    <row r="149" spans="1:112" x14ac:dyDescent="0.25">
      <c r="A149" t="str">
        <f>IF('Staff Daily sales'!$B134="","",TRIM('Staff Daily sales'!$B134&amp;""))</f>
        <v>JEDDARAB</v>
      </c>
      <c r="B149" t="str">
        <f>IF('Staff Daily sales'!$D134="","",TRIM('Staff Daily sales'!$D134&amp;""))</f>
        <v>7255-MAlghamdi</v>
      </c>
      <c r="C149" t="str">
        <f>IFERROR(TRIM('Staff Daily sales'!$E134&amp;""),"")</f>
        <v>Jeddah</v>
      </c>
      <c r="D149" t="str">
        <f>IFERROR(IF(TRIM('Staff Daily sales'!$F134&amp;"")="","Unassigned",TRIM('Staff Daily sales'!$F134&amp;"")),"Unassigned")</f>
        <v>Saleh Bin Hoiel</v>
      </c>
      <c r="E149">
        <f t="shared" si="58"/>
        <v>1</v>
      </c>
      <c r="F149">
        <f>IF($E149=0,0,SUMPRODUCT($AI$5:$DF$5,'Staff Daily sales'!$G134:$CD134))</f>
        <v>1353.92</v>
      </c>
      <c r="G149">
        <f>IF($E149=0,0,SUMPRODUCT($AI$6:$DF$6,'Staff Daily sales'!$G134:$CD134))</f>
        <v>12</v>
      </c>
      <c r="H149">
        <f t="shared" si="59"/>
        <v>6469.6200000000008</v>
      </c>
      <c r="I149">
        <f t="shared" si="60"/>
        <v>44</v>
      </c>
      <c r="J149">
        <f t="shared" si="61"/>
        <v>69638.36</v>
      </c>
      <c r="K149">
        <f t="shared" si="62"/>
        <v>362</v>
      </c>
      <c r="L149">
        <f>--AND($E149=1,OR('Staff Dashboard'!$B$6="All",$DH149='Staff Dashboard'!$B$6),OR('Staff Dashboard'!$B$7="All",$D149='Staff Dashboard'!$B$7),OR('Staff Dashboard'!$B$8="All",$A149='Staff Dashboard'!$B$8))</f>
        <v>0</v>
      </c>
      <c r="M149">
        <f>IF($E149=0,0,SUMPRODUCT($AI$7:$DF$7,'Staff Daily sales'!$G134:$CD134))</f>
        <v>6708.0899999999992</v>
      </c>
      <c r="N149">
        <f>IF($E149=0,0,SUMPRODUCT($AI$8:$DF$8,'Staff Daily sales'!$G134:$CD134))</f>
        <v>55</v>
      </c>
      <c r="O149">
        <f>IF($E149=0,0,SUMPRODUCT($AI$9:$DF$9,'Staff Daily sales'!$G134:$CD134))</f>
        <v>13865.27</v>
      </c>
      <c r="P149">
        <f>IF($E149=0,0,SUMPRODUCT($AI$10:$DF$10,'Staff Daily sales'!$G134:$CD134))</f>
        <v>91</v>
      </c>
      <c r="Q149">
        <f>IF($E149=0,0,SUMPRODUCT($AI$11:$DF$11,'Staff Daily sales'!$G134:$CD134))</f>
        <v>9032.1700000000019</v>
      </c>
      <c r="R149">
        <f>IF($E149=0,0,SUMPRODUCT($AI$12:$DF$12,'Staff Daily sales'!$G134:$CD134))</f>
        <v>63</v>
      </c>
      <c r="S149">
        <f>IF($E149=0,0,SUMPRODUCT($AI$13:$DF$13,'Staff Daily sales'!$G134:$CD134))</f>
        <v>10737.800000000001</v>
      </c>
      <c r="T149">
        <f>IF($E149=0,0,SUMPRODUCT($AI$14:$DF$14,'Staff Daily sales'!$G134:$CD134))</f>
        <v>69</v>
      </c>
      <c r="U149">
        <f>IF($E149=0,0,SUMPRODUCT($AI$15:$DF$15,'Staff Daily sales'!$G134:$CD134))</f>
        <v>3174.09</v>
      </c>
      <c r="V149">
        <f>IF($E149=0,0,SUMPRODUCT($AI$16:$DF$16,'Staff Daily sales'!$G134:$CD134))</f>
        <v>13</v>
      </c>
      <c r="W149">
        <f t="shared" si="63"/>
        <v>36936.79</v>
      </c>
      <c r="X149">
        <f t="shared" si="64"/>
        <v>61993.979999999996</v>
      </c>
      <c r="Y149">
        <f t="shared" si="65"/>
        <v>41233.72</v>
      </c>
      <c r="Z149">
        <f t="shared" si="66"/>
        <v>42589.340000000004</v>
      </c>
      <c r="AA149">
        <f t="shared" si="67"/>
        <v>12967.07</v>
      </c>
      <c r="AB149">
        <f>--AND($E149=1,OR('Staff Weekly Trend'!$B$3="All",$DH149='Staff Weekly Trend'!$B$3),OR('Staff Weekly Trend'!$B$4="All",$D149='Staff Weekly Trend'!$B$4),OR('Staff Weekly Trend'!$B$5="All",$A149='Staff Weekly Trend'!$B$5))</f>
        <v>1</v>
      </c>
      <c r="AC149">
        <f t="shared" si="68"/>
        <v>2</v>
      </c>
      <c r="AI149">
        <f t="shared" si="69"/>
        <v>289</v>
      </c>
      <c r="AJ149">
        <f t="shared" si="70"/>
        <v>401</v>
      </c>
      <c r="AK149">
        <f t="shared" si="71"/>
        <v>305</v>
      </c>
      <c r="AL149">
        <f t="shared" si="72"/>
        <v>282</v>
      </c>
      <c r="AM149">
        <f t="shared" si="73"/>
        <v>73</v>
      </c>
      <c r="DH149" t="str" cm="1">
        <f t="array" ref="DH149">IF($A149="","",_xlfn.LET(_xlpm.c,IFERROR(_xlfn.XLOOKUP($A149,TRIM('Sales and count'!$A$4:$A$300&amp;""),TRIM('Sales and count'!$B$4:$B$300&amp;"")),""),IF(OR(_xlpm.c="",_xlpm.c="0",LEFT(_xlpm.c,1)="#"),"Not set",_xlpm.c)))</f>
        <v>KSA</v>
      </c>
    </row>
    <row r="150" spans="1:112" x14ac:dyDescent="0.25">
      <c r="A150" t="str">
        <f>IF('Staff Daily sales'!$B135="","",TRIM('Staff Daily sales'!$B135&amp;""))</f>
        <v>JUBGALRY</v>
      </c>
      <c r="B150" t="str">
        <f>IF('Staff Daily sales'!$D135="","",TRIM('Staff Daily sales'!$D135&amp;""))</f>
        <v>4326-BAlKhaldi</v>
      </c>
      <c r="C150" t="str">
        <f>IFERROR(TRIM('Staff Daily sales'!$E135&amp;""),"")</f>
        <v>Jubail</v>
      </c>
      <c r="D150" t="str">
        <f>IFERROR(IF(TRIM('Staff Daily sales'!$F135&amp;"")="","Unassigned",TRIM('Staff Daily sales'!$F135&amp;"")),"Unassigned")</f>
        <v>Hamzah Al Makhadam</v>
      </c>
      <c r="E150">
        <f t="shared" si="58"/>
        <v>1</v>
      </c>
      <c r="F150">
        <f>IF($E150=0,0,SUMPRODUCT($AI$5:$DF$5,'Staff Daily sales'!$G135:$CD135))</f>
        <v>0</v>
      </c>
      <c r="G150">
        <f>IF($E150=0,0,SUMPRODUCT($AI$6:$DF$6,'Staff Daily sales'!$G135:$CD135))</f>
        <v>0</v>
      </c>
      <c r="H150">
        <f t="shared" si="59"/>
        <v>7726.49</v>
      </c>
      <c r="I150">
        <f t="shared" si="60"/>
        <v>39</v>
      </c>
      <c r="J150">
        <f t="shared" si="61"/>
        <v>128104.23999999996</v>
      </c>
      <c r="K150">
        <f t="shared" si="62"/>
        <v>596</v>
      </c>
      <c r="L150">
        <f>--AND($E150=1,OR('Staff Dashboard'!$B$6="All",$DH150='Staff Dashboard'!$B$6),OR('Staff Dashboard'!$B$7="All",$D150='Staff Dashboard'!$B$7),OR('Staff Dashboard'!$B$8="All",$A150='Staff Dashboard'!$B$8))</f>
        <v>0</v>
      </c>
      <c r="M150">
        <f>IF($E150=0,0,SUMPRODUCT($AI$7:$DF$7,'Staff Daily sales'!$G135:$CD135))</f>
        <v>0</v>
      </c>
      <c r="N150">
        <f>IF($E150=0,0,SUMPRODUCT($AI$8:$DF$8,'Staff Daily sales'!$G135:$CD135))</f>
        <v>0</v>
      </c>
      <c r="O150">
        <f>IF($E150=0,0,SUMPRODUCT($AI$9:$DF$9,'Staff Daily sales'!$G135:$CD135))</f>
        <v>958.01</v>
      </c>
      <c r="P150">
        <f>IF($E150=0,0,SUMPRODUCT($AI$10:$DF$10,'Staff Daily sales'!$G135:$CD135))</f>
        <v>5</v>
      </c>
      <c r="Q150">
        <f>IF($E150=0,0,SUMPRODUCT($AI$11:$DF$11,'Staff Daily sales'!$G135:$CD135))</f>
        <v>0</v>
      </c>
      <c r="R150">
        <f>IF($E150=0,0,SUMPRODUCT($AI$12:$DF$12,'Staff Daily sales'!$G135:$CD135))</f>
        <v>0</v>
      </c>
      <c r="S150">
        <f>IF($E150=0,0,SUMPRODUCT($AI$13:$DF$13,'Staff Daily sales'!$G135:$CD135))</f>
        <v>0</v>
      </c>
      <c r="T150">
        <f>IF($E150=0,0,SUMPRODUCT($AI$14:$DF$14,'Staff Daily sales'!$G135:$CD135))</f>
        <v>0</v>
      </c>
      <c r="U150">
        <f>IF($E150=0,0,SUMPRODUCT($AI$15:$DF$15,'Staff Daily sales'!$G135:$CD135))</f>
        <v>0</v>
      </c>
      <c r="V150">
        <f>IF($E150=0,0,SUMPRODUCT($AI$16:$DF$16,'Staff Daily sales'!$G135:$CD135))</f>
        <v>0</v>
      </c>
      <c r="W150">
        <f t="shared" si="63"/>
        <v>28065.53</v>
      </c>
      <c r="X150">
        <f t="shared" si="64"/>
        <v>50508.95</v>
      </c>
      <c r="Y150">
        <f t="shared" si="65"/>
        <v>37554.57</v>
      </c>
      <c r="Z150">
        <f t="shared" si="66"/>
        <v>39585.35</v>
      </c>
      <c r="AA150">
        <f t="shared" si="67"/>
        <v>11364.080000000002</v>
      </c>
      <c r="AB150">
        <f>--AND($E150=1,OR('Staff Weekly Trend'!$B$3="All",$DH150='Staff Weekly Trend'!$B$3),OR('Staff Weekly Trend'!$B$4="All",$D150='Staff Weekly Trend'!$B$4),OR('Staff Weekly Trend'!$B$5="All",$A150='Staff Weekly Trend'!$B$5))</f>
        <v>1</v>
      </c>
      <c r="AC150" t="str">
        <f t="shared" si="68"/>
        <v/>
      </c>
      <c r="AI150">
        <f t="shared" si="69"/>
        <v>241</v>
      </c>
      <c r="AJ150">
        <f t="shared" si="70"/>
        <v>353</v>
      </c>
      <c r="AK150">
        <f t="shared" si="71"/>
        <v>270</v>
      </c>
      <c r="AL150">
        <f t="shared" si="72"/>
        <v>268</v>
      </c>
      <c r="AM150">
        <f t="shared" si="73"/>
        <v>76</v>
      </c>
      <c r="DH150" t="str" cm="1">
        <f t="array" ref="DH150">IF($A150="","",_xlfn.LET(_xlpm.c,IFERROR(_xlfn.XLOOKUP($A150,TRIM('Sales and count'!$A$4:$A$300&amp;""),TRIM('Sales and count'!$B$4:$B$300&amp;"")),""),IF(OR(_xlpm.c="",_xlpm.c="0",LEFT(_xlpm.c,1)="#"),"Not set",_xlpm.c)))</f>
        <v>KSA</v>
      </c>
    </row>
    <row r="151" spans="1:112" x14ac:dyDescent="0.25">
      <c r="A151" t="str">
        <f>IF('Staff Daily sales'!$B136="","",TRIM('Staff Daily sales'!$B136&amp;""))</f>
        <v>JUBGALRY</v>
      </c>
      <c r="B151" t="str">
        <f>IF('Staff Daily sales'!$D136="","",TRIM('Staff Daily sales'!$D136&amp;""))</f>
        <v>4330-LAlQahtani</v>
      </c>
      <c r="C151" t="str">
        <f>IFERROR(TRIM('Staff Daily sales'!$E136&amp;""),"")</f>
        <v>Jubail</v>
      </c>
      <c r="D151" t="str">
        <f>IFERROR(IF(TRIM('Staff Daily sales'!$F136&amp;"")="","Unassigned",TRIM('Staff Daily sales'!$F136&amp;"")),"Unassigned")</f>
        <v>Hamzah Al Makhadam</v>
      </c>
      <c r="E151">
        <f t="shared" si="58"/>
        <v>1</v>
      </c>
      <c r="F151">
        <f>IF($E151=0,0,SUMPRODUCT($AI$5:$DF$5,'Staff Daily sales'!$G136:$CD136))</f>
        <v>0</v>
      </c>
      <c r="G151">
        <f>IF($E151=0,0,SUMPRODUCT($AI$6:$DF$6,'Staff Daily sales'!$G136:$CD136))</f>
        <v>0</v>
      </c>
      <c r="H151">
        <f t="shared" si="59"/>
        <v>7726.49</v>
      </c>
      <c r="I151">
        <f t="shared" si="60"/>
        <v>39</v>
      </c>
      <c r="J151">
        <f t="shared" si="61"/>
        <v>128104.23999999996</v>
      </c>
      <c r="K151">
        <f t="shared" si="62"/>
        <v>596</v>
      </c>
      <c r="L151">
        <f>--AND($E151=1,OR('Staff Dashboard'!$B$6="All",$DH151='Staff Dashboard'!$B$6),OR('Staff Dashboard'!$B$7="All",$D151='Staff Dashboard'!$B$7),OR('Staff Dashboard'!$B$8="All",$A151='Staff Dashboard'!$B$8))</f>
        <v>0</v>
      </c>
      <c r="M151">
        <f>IF($E151=0,0,SUMPRODUCT($AI$7:$DF$7,'Staff Daily sales'!$G136:$CD136))</f>
        <v>6325.08</v>
      </c>
      <c r="N151">
        <f>IF($E151=0,0,SUMPRODUCT($AI$8:$DF$8,'Staff Daily sales'!$G136:$CD136))</f>
        <v>55</v>
      </c>
      <c r="O151">
        <f>IF($E151=0,0,SUMPRODUCT($AI$9:$DF$9,'Staff Daily sales'!$G136:$CD136))</f>
        <v>10880.220000000001</v>
      </c>
      <c r="P151">
        <f>IF($E151=0,0,SUMPRODUCT($AI$10:$DF$10,'Staff Daily sales'!$G136:$CD136))</f>
        <v>80</v>
      </c>
      <c r="Q151">
        <f>IF($E151=0,0,SUMPRODUCT($AI$11:$DF$11,'Staff Daily sales'!$G136:$CD136))</f>
        <v>8900.1</v>
      </c>
      <c r="R151">
        <f>IF($E151=0,0,SUMPRODUCT($AI$12:$DF$12,'Staff Daily sales'!$G136:$CD136))</f>
        <v>67</v>
      </c>
      <c r="S151">
        <f>IF($E151=0,0,SUMPRODUCT($AI$13:$DF$13,'Staff Daily sales'!$G136:$CD136))</f>
        <v>6707</v>
      </c>
      <c r="T151">
        <f>IF($E151=0,0,SUMPRODUCT($AI$14:$DF$14,'Staff Daily sales'!$G136:$CD136))</f>
        <v>54</v>
      </c>
      <c r="U151">
        <f>IF($E151=0,0,SUMPRODUCT($AI$15:$DF$15,'Staff Daily sales'!$G136:$CD136))</f>
        <v>2669.09</v>
      </c>
      <c r="V151">
        <f>IF($E151=0,0,SUMPRODUCT($AI$16:$DF$16,'Staff Daily sales'!$G136:$CD136))</f>
        <v>20</v>
      </c>
      <c r="W151">
        <f t="shared" si="63"/>
        <v>28065.53</v>
      </c>
      <c r="X151">
        <f t="shared" si="64"/>
        <v>50508.95</v>
      </c>
      <c r="Y151">
        <f t="shared" si="65"/>
        <v>37554.57</v>
      </c>
      <c r="Z151">
        <f t="shared" si="66"/>
        <v>39585.35</v>
      </c>
      <c r="AA151">
        <f t="shared" si="67"/>
        <v>11364.080000000002</v>
      </c>
      <c r="AB151">
        <f>--AND($E151=1,OR('Staff Weekly Trend'!$B$3="All",$DH151='Staff Weekly Trend'!$B$3),OR('Staff Weekly Trend'!$B$4="All",$D151='Staff Weekly Trend'!$B$4),OR('Staff Weekly Trend'!$B$5="All",$A151='Staff Weekly Trend'!$B$5))</f>
        <v>1</v>
      </c>
      <c r="AC151" t="str">
        <f t="shared" si="68"/>
        <v/>
      </c>
      <c r="AI151">
        <f t="shared" si="69"/>
        <v>241</v>
      </c>
      <c r="AJ151">
        <f t="shared" si="70"/>
        <v>353</v>
      </c>
      <c r="AK151">
        <f t="shared" si="71"/>
        <v>270</v>
      </c>
      <c r="AL151">
        <f t="shared" si="72"/>
        <v>268</v>
      </c>
      <c r="AM151">
        <f t="shared" si="73"/>
        <v>76</v>
      </c>
      <c r="DH151" t="str" cm="1">
        <f t="array" ref="DH151">IF($A151="","",_xlfn.LET(_xlpm.c,IFERROR(_xlfn.XLOOKUP($A151,TRIM('Sales and count'!$A$4:$A$300&amp;""),TRIM('Sales and count'!$B$4:$B$300&amp;"")),""),IF(OR(_xlpm.c="",_xlpm.c="0",LEFT(_xlpm.c,1)="#"),"Not set",_xlpm.c)))</f>
        <v>KSA</v>
      </c>
    </row>
    <row r="152" spans="1:112" x14ac:dyDescent="0.25">
      <c r="A152" t="str">
        <f>IF('Staff Daily sales'!$B137="","",TRIM('Staff Daily sales'!$B137&amp;""))</f>
        <v>JUBGALRY</v>
      </c>
      <c r="B152" t="str">
        <f>IF('Staff Daily sales'!$D137="","",TRIM('Staff Daily sales'!$D137&amp;""))</f>
        <v>4333-JAlhusaini</v>
      </c>
      <c r="C152" t="str">
        <f>IFERROR(TRIM('Staff Daily sales'!$E137&amp;""),"")</f>
        <v>Jubail</v>
      </c>
      <c r="D152" t="str">
        <f>IFERROR(IF(TRIM('Staff Daily sales'!$F137&amp;"")="","Unassigned",TRIM('Staff Daily sales'!$F137&amp;"")),"Unassigned")</f>
        <v>Hamzah Al Makhadam</v>
      </c>
      <c r="E152">
        <f t="shared" si="58"/>
        <v>1</v>
      </c>
      <c r="F152">
        <f>IF($E152=0,0,SUMPRODUCT($AI$5:$DF$5,'Staff Daily sales'!$G137:$CD137))</f>
        <v>477.98</v>
      </c>
      <c r="G152">
        <f>IF($E152=0,0,SUMPRODUCT($AI$6:$DF$6,'Staff Daily sales'!$G137:$CD137))</f>
        <v>5</v>
      </c>
      <c r="H152">
        <f t="shared" si="59"/>
        <v>7726.49</v>
      </c>
      <c r="I152">
        <f t="shared" si="60"/>
        <v>39</v>
      </c>
      <c r="J152">
        <f t="shared" si="61"/>
        <v>128104.23999999996</v>
      </c>
      <c r="K152">
        <f t="shared" si="62"/>
        <v>596</v>
      </c>
      <c r="L152">
        <f>--AND($E152=1,OR('Staff Dashboard'!$B$6="All",$DH152='Staff Dashboard'!$B$6),OR('Staff Dashboard'!$B$7="All",$D152='Staff Dashboard'!$B$7),OR('Staff Dashboard'!$B$8="All",$A152='Staff Dashboard'!$B$8))</f>
        <v>0</v>
      </c>
      <c r="M152">
        <f>IF($E152=0,0,SUMPRODUCT($AI$7:$DF$7,'Staff Daily sales'!$G137:$CD137))</f>
        <v>0</v>
      </c>
      <c r="N152">
        <f>IF($E152=0,0,SUMPRODUCT($AI$8:$DF$8,'Staff Daily sales'!$G137:$CD137))</f>
        <v>0</v>
      </c>
      <c r="O152">
        <f>IF($E152=0,0,SUMPRODUCT($AI$9:$DF$9,'Staff Daily sales'!$G137:$CD137))</f>
        <v>649.02</v>
      </c>
      <c r="P152">
        <f>IF($E152=0,0,SUMPRODUCT($AI$10:$DF$10,'Staff Daily sales'!$G137:$CD137))</f>
        <v>5</v>
      </c>
      <c r="Q152">
        <f>IF($E152=0,0,SUMPRODUCT($AI$11:$DF$11,'Staff Daily sales'!$G137:$CD137))</f>
        <v>2629.1000000000004</v>
      </c>
      <c r="R152">
        <f>IF($E152=0,0,SUMPRODUCT($AI$12:$DF$12,'Staff Daily sales'!$G137:$CD137))</f>
        <v>18</v>
      </c>
      <c r="S152">
        <f>IF($E152=0,0,SUMPRODUCT($AI$13:$DF$13,'Staff Daily sales'!$G137:$CD137))</f>
        <v>1913.99</v>
      </c>
      <c r="T152">
        <f>IF($E152=0,0,SUMPRODUCT($AI$14:$DF$14,'Staff Daily sales'!$G137:$CD137))</f>
        <v>14</v>
      </c>
      <c r="U152">
        <f>IF($E152=0,0,SUMPRODUCT($AI$15:$DF$15,'Staff Daily sales'!$G137:$CD137))</f>
        <v>1931.14</v>
      </c>
      <c r="V152">
        <f>IF($E152=0,0,SUMPRODUCT($AI$16:$DF$16,'Staff Daily sales'!$G137:$CD137))</f>
        <v>9</v>
      </c>
      <c r="W152">
        <f t="shared" si="63"/>
        <v>28065.53</v>
      </c>
      <c r="X152">
        <f t="shared" si="64"/>
        <v>50508.95</v>
      </c>
      <c r="Y152">
        <f t="shared" si="65"/>
        <v>37554.57</v>
      </c>
      <c r="Z152">
        <f t="shared" si="66"/>
        <v>39585.35</v>
      </c>
      <c r="AA152">
        <f t="shared" si="67"/>
        <v>11364.080000000002</v>
      </c>
      <c r="AB152">
        <f>--AND($E152=1,OR('Staff Weekly Trend'!$B$3="All",$DH152='Staff Weekly Trend'!$B$3),OR('Staff Weekly Trend'!$B$4="All",$D152='Staff Weekly Trend'!$B$4),OR('Staff Weekly Trend'!$B$5="All",$A152='Staff Weekly Trend'!$B$5))</f>
        <v>1</v>
      </c>
      <c r="AC152">
        <f t="shared" si="68"/>
        <v>4</v>
      </c>
      <c r="AI152">
        <f t="shared" si="69"/>
        <v>241</v>
      </c>
      <c r="AJ152">
        <f t="shared" si="70"/>
        <v>353</v>
      </c>
      <c r="AK152">
        <f t="shared" si="71"/>
        <v>270</v>
      </c>
      <c r="AL152">
        <f t="shared" si="72"/>
        <v>268</v>
      </c>
      <c r="AM152">
        <f t="shared" si="73"/>
        <v>76</v>
      </c>
      <c r="DH152" t="str" cm="1">
        <f t="array" ref="DH152">IF($A152="","",_xlfn.LET(_xlpm.c,IFERROR(_xlfn.XLOOKUP($A152,TRIM('Sales and count'!$A$4:$A$300&amp;""),TRIM('Sales and count'!$B$4:$B$300&amp;"")),""),IF(OR(_xlpm.c="",_xlpm.c="0",LEFT(_xlpm.c,1)="#"),"Not set",_xlpm.c)))</f>
        <v>KSA</v>
      </c>
    </row>
    <row r="153" spans="1:112" x14ac:dyDescent="0.25">
      <c r="A153" t="str">
        <f>IF('Staff Daily sales'!$B138="","",TRIM('Staff Daily sales'!$B138&amp;""))</f>
        <v>JUBGALRY</v>
      </c>
      <c r="B153" t="str">
        <f>IF('Staff Daily sales'!$D138="","",TRIM('Staff Daily sales'!$D138&amp;""))</f>
        <v>5046-AAlbuainain</v>
      </c>
      <c r="C153" t="str">
        <f>IFERROR(TRIM('Staff Daily sales'!$E138&amp;""),"")</f>
        <v>Jubail</v>
      </c>
      <c r="D153" t="str">
        <f>IFERROR(IF(TRIM('Staff Daily sales'!$F138&amp;"")="","Unassigned",TRIM('Staff Daily sales'!$F138&amp;"")),"Unassigned")</f>
        <v>Hamzah Al Makhadam</v>
      </c>
      <c r="E153">
        <f t="shared" si="58"/>
        <v>1</v>
      </c>
      <c r="F153">
        <f>IF($E153=0,0,SUMPRODUCT($AI$5:$DF$5,'Staff Daily sales'!$G138:$CD138))</f>
        <v>1344.9</v>
      </c>
      <c r="G153">
        <f>IF($E153=0,0,SUMPRODUCT($AI$6:$DF$6,'Staff Daily sales'!$G138:$CD138))</f>
        <v>6</v>
      </c>
      <c r="H153">
        <f t="shared" si="59"/>
        <v>7726.49</v>
      </c>
      <c r="I153">
        <f t="shared" si="60"/>
        <v>39</v>
      </c>
      <c r="J153">
        <f t="shared" si="61"/>
        <v>128104.23999999996</v>
      </c>
      <c r="K153">
        <f t="shared" si="62"/>
        <v>596</v>
      </c>
      <c r="L153">
        <f>--AND($E153=1,OR('Staff Dashboard'!$B$6="All",$DH153='Staff Dashboard'!$B$6),OR('Staff Dashboard'!$B$7="All",$D153='Staff Dashboard'!$B$7),OR('Staff Dashboard'!$B$8="All",$A153='Staff Dashboard'!$B$8))</f>
        <v>0</v>
      </c>
      <c r="M153">
        <f>IF($E153=0,0,SUMPRODUCT($AI$7:$DF$7,'Staff Daily sales'!$G138:$CD138))</f>
        <v>6596.15</v>
      </c>
      <c r="N153">
        <f>IF($E153=0,0,SUMPRODUCT($AI$8:$DF$8,'Staff Daily sales'!$G138:$CD138))</f>
        <v>49</v>
      </c>
      <c r="O153">
        <f>IF($E153=0,0,SUMPRODUCT($AI$9:$DF$9,'Staff Daily sales'!$G138:$CD138))</f>
        <v>9383.23</v>
      </c>
      <c r="P153">
        <f>IF($E153=0,0,SUMPRODUCT($AI$10:$DF$10,'Staff Daily sales'!$G138:$CD138))</f>
        <v>66</v>
      </c>
      <c r="Q153">
        <f>IF($E153=0,0,SUMPRODUCT($AI$11:$DF$11,'Staff Daily sales'!$G138:$CD138))</f>
        <v>6692.08</v>
      </c>
      <c r="R153">
        <f>IF($E153=0,0,SUMPRODUCT($AI$12:$DF$12,'Staff Daily sales'!$G138:$CD138))</f>
        <v>46</v>
      </c>
      <c r="S153">
        <f>IF($E153=0,0,SUMPRODUCT($AI$13:$DF$13,'Staff Daily sales'!$G138:$CD138))</f>
        <v>8286.7799999999988</v>
      </c>
      <c r="T153">
        <f>IF($E153=0,0,SUMPRODUCT($AI$14:$DF$14,'Staff Daily sales'!$G138:$CD138))</f>
        <v>58</v>
      </c>
      <c r="U153">
        <f>IF($E153=0,0,SUMPRODUCT($AI$15:$DF$15,'Staff Daily sales'!$G138:$CD138))</f>
        <v>1359.08</v>
      </c>
      <c r="V153">
        <f>IF($E153=0,0,SUMPRODUCT($AI$16:$DF$16,'Staff Daily sales'!$G138:$CD138))</f>
        <v>7</v>
      </c>
      <c r="W153">
        <f t="shared" si="63"/>
        <v>28065.53</v>
      </c>
      <c r="X153">
        <f t="shared" si="64"/>
        <v>50508.95</v>
      </c>
      <c r="Y153">
        <f t="shared" si="65"/>
        <v>37554.57</v>
      </c>
      <c r="Z153">
        <f t="shared" si="66"/>
        <v>39585.35</v>
      </c>
      <c r="AA153">
        <f t="shared" si="67"/>
        <v>11364.080000000002</v>
      </c>
      <c r="AB153">
        <f>--AND($E153=1,OR('Staff Weekly Trend'!$B$3="All",$DH153='Staff Weekly Trend'!$B$3),OR('Staff Weekly Trend'!$B$4="All",$D153='Staff Weekly Trend'!$B$4),OR('Staff Weekly Trend'!$B$5="All",$A153='Staff Weekly Trend'!$B$5))</f>
        <v>1</v>
      </c>
      <c r="AC153">
        <f t="shared" si="68"/>
        <v>3</v>
      </c>
      <c r="AI153">
        <f t="shared" si="69"/>
        <v>241</v>
      </c>
      <c r="AJ153">
        <f t="shared" si="70"/>
        <v>353</v>
      </c>
      <c r="AK153">
        <f t="shared" si="71"/>
        <v>270</v>
      </c>
      <c r="AL153">
        <f t="shared" si="72"/>
        <v>268</v>
      </c>
      <c r="AM153">
        <f t="shared" si="73"/>
        <v>76</v>
      </c>
      <c r="DH153" t="str" cm="1">
        <f t="array" ref="DH153">IF($A153="","",_xlfn.LET(_xlpm.c,IFERROR(_xlfn.XLOOKUP($A153,TRIM('Sales and count'!$A$4:$A$300&amp;""),TRIM('Sales and count'!$B$4:$B$300&amp;"")),""),IF(OR(_xlpm.c="",_xlpm.c="0",LEFT(_xlpm.c,1)="#"),"Not set",_xlpm.c)))</f>
        <v>KSA</v>
      </c>
    </row>
    <row r="154" spans="1:112" x14ac:dyDescent="0.25">
      <c r="A154" t="str">
        <f>IF('Staff Daily sales'!$B139="","",TRIM('Staff Daily sales'!$B139&amp;""))</f>
        <v>JUBGALRY</v>
      </c>
      <c r="B154" t="str">
        <f>IF('Staff Daily sales'!$D139="","",TRIM('Staff Daily sales'!$D139&amp;""))</f>
        <v>7302-FAlshutayb</v>
      </c>
      <c r="C154" t="str">
        <f>IFERROR(TRIM('Staff Daily sales'!$E139&amp;""),"")</f>
        <v>Jubail</v>
      </c>
      <c r="D154" t="str">
        <f>IFERROR(IF(TRIM('Staff Daily sales'!$F139&amp;"")="","Unassigned",TRIM('Staff Daily sales'!$F139&amp;"")),"Unassigned")</f>
        <v>Hamzah Al Makhadam</v>
      </c>
      <c r="E154">
        <f t="shared" si="58"/>
        <v>1</v>
      </c>
      <c r="F154">
        <f>IF($E154=0,0,SUMPRODUCT($AI$5:$DF$5,'Staff Daily sales'!$G139:$CD139))</f>
        <v>3142.76</v>
      </c>
      <c r="G154">
        <f>IF($E154=0,0,SUMPRODUCT($AI$6:$DF$6,'Staff Daily sales'!$G139:$CD139))</f>
        <v>13</v>
      </c>
      <c r="H154">
        <f t="shared" si="59"/>
        <v>7726.49</v>
      </c>
      <c r="I154">
        <f t="shared" si="60"/>
        <v>39</v>
      </c>
      <c r="J154">
        <f t="shared" si="61"/>
        <v>128104.23999999996</v>
      </c>
      <c r="K154">
        <f t="shared" si="62"/>
        <v>596</v>
      </c>
      <c r="L154">
        <f>--AND($E154=1,OR('Staff Dashboard'!$B$6="All",$DH154='Staff Dashboard'!$B$6),OR('Staff Dashboard'!$B$7="All",$D154='Staff Dashboard'!$B$7),OR('Staff Dashboard'!$B$8="All",$A154='Staff Dashboard'!$B$8))</f>
        <v>0</v>
      </c>
      <c r="M154">
        <f>IF($E154=0,0,SUMPRODUCT($AI$7:$DF$7,'Staff Daily sales'!$G139:$CD139))</f>
        <v>6929.119999999999</v>
      </c>
      <c r="N154">
        <f>IF($E154=0,0,SUMPRODUCT($AI$8:$DF$8,'Staff Daily sales'!$G139:$CD139))</f>
        <v>63</v>
      </c>
      <c r="O154">
        <f>IF($E154=0,0,SUMPRODUCT($AI$9:$DF$9,'Staff Daily sales'!$G139:$CD139))</f>
        <v>10325.24</v>
      </c>
      <c r="P154">
        <f>IF($E154=0,0,SUMPRODUCT($AI$10:$DF$10,'Staff Daily sales'!$G139:$CD139))</f>
        <v>66</v>
      </c>
      <c r="Q154">
        <f>IF($E154=0,0,SUMPRODUCT($AI$11:$DF$11,'Staff Daily sales'!$G139:$CD139))</f>
        <v>7473.1100000000006</v>
      </c>
      <c r="R154">
        <f>IF($E154=0,0,SUMPRODUCT($AI$12:$DF$12,'Staff Daily sales'!$G139:$CD139))</f>
        <v>61</v>
      </c>
      <c r="S154">
        <f>IF($E154=0,0,SUMPRODUCT($AI$13:$DF$13,'Staff Daily sales'!$G139:$CD139))</f>
        <v>9014.7400000000016</v>
      </c>
      <c r="T154">
        <f>IF($E154=0,0,SUMPRODUCT($AI$14:$DF$14,'Staff Daily sales'!$G139:$CD139))</f>
        <v>58</v>
      </c>
      <c r="U154">
        <f>IF($E154=0,0,SUMPRODUCT($AI$15:$DF$15,'Staff Daily sales'!$G139:$CD139))</f>
        <v>2905.91</v>
      </c>
      <c r="V154">
        <f>IF($E154=0,0,SUMPRODUCT($AI$16:$DF$16,'Staff Daily sales'!$G139:$CD139))</f>
        <v>26</v>
      </c>
      <c r="W154">
        <f t="shared" si="63"/>
        <v>28065.53</v>
      </c>
      <c r="X154">
        <f t="shared" si="64"/>
        <v>50508.95</v>
      </c>
      <c r="Y154">
        <f t="shared" si="65"/>
        <v>37554.57</v>
      </c>
      <c r="Z154">
        <f t="shared" si="66"/>
        <v>39585.35</v>
      </c>
      <c r="AA154">
        <f t="shared" si="67"/>
        <v>11364.080000000002</v>
      </c>
      <c r="AB154">
        <f>--AND($E154=1,OR('Staff Weekly Trend'!$B$3="All",$DH154='Staff Weekly Trend'!$B$3),OR('Staff Weekly Trend'!$B$4="All",$D154='Staff Weekly Trend'!$B$4),OR('Staff Weekly Trend'!$B$5="All",$A154='Staff Weekly Trend'!$B$5))</f>
        <v>1</v>
      </c>
      <c r="AC154">
        <f t="shared" si="68"/>
        <v>1</v>
      </c>
      <c r="AI154">
        <f t="shared" si="69"/>
        <v>241</v>
      </c>
      <c r="AJ154">
        <f t="shared" si="70"/>
        <v>353</v>
      </c>
      <c r="AK154">
        <f t="shared" si="71"/>
        <v>270</v>
      </c>
      <c r="AL154">
        <f t="shared" si="72"/>
        <v>268</v>
      </c>
      <c r="AM154">
        <f t="shared" si="73"/>
        <v>76</v>
      </c>
      <c r="DH154" t="str" cm="1">
        <f t="array" ref="DH154">IF($A154="","",_xlfn.LET(_xlpm.c,IFERROR(_xlfn.XLOOKUP($A154,TRIM('Sales and count'!$A$4:$A$300&amp;""),TRIM('Sales and count'!$B$4:$B$300&amp;"")),""),IF(OR(_xlpm.c="",_xlpm.c="0",LEFT(_xlpm.c,1)="#"),"Not set",_xlpm.c)))</f>
        <v>KSA</v>
      </c>
    </row>
    <row r="155" spans="1:112" x14ac:dyDescent="0.25">
      <c r="A155" t="str">
        <f>IF('Staff Daily sales'!$B140="","",TRIM('Staff Daily sales'!$B140&amp;""))</f>
        <v>JUBGALRY</v>
      </c>
      <c r="B155" t="str">
        <f>IF('Staff Daily sales'!$D140="","",TRIM('Staff Daily sales'!$D140&amp;""))</f>
        <v>7303-IAlSabkhah</v>
      </c>
      <c r="C155" t="str">
        <f>IFERROR(TRIM('Staff Daily sales'!$E140&amp;""),"")</f>
        <v>Jubail</v>
      </c>
      <c r="D155" t="str">
        <f>IFERROR(IF(TRIM('Staff Daily sales'!$F140&amp;"")="","Unassigned",TRIM('Staff Daily sales'!$F140&amp;"")),"Unassigned")</f>
        <v>Hamzah Al Makhadam</v>
      </c>
      <c r="E155">
        <f t="shared" si="58"/>
        <v>1</v>
      </c>
      <c r="F155">
        <f>IF($E155=0,0,SUMPRODUCT($AI$5:$DF$5,'Staff Daily sales'!$G140:$CD140))</f>
        <v>2760.85</v>
      </c>
      <c r="G155">
        <f>IF($E155=0,0,SUMPRODUCT($AI$6:$DF$6,'Staff Daily sales'!$G140:$CD140))</f>
        <v>15</v>
      </c>
      <c r="H155">
        <f t="shared" si="59"/>
        <v>7726.49</v>
      </c>
      <c r="I155">
        <f t="shared" si="60"/>
        <v>39</v>
      </c>
      <c r="J155">
        <f t="shared" si="61"/>
        <v>128104.23999999996</v>
      </c>
      <c r="K155">
        <f t="shared" si="62"/>
        <v>596</v>
      </c>
      <c r="L155">
        <f>--AND($E155=1,OR('Staff Dashboard'!$B$6="All",$DH155='Staff Dashboard'!$B$6),OR('Staff Dashboard'!$B$7="All",$D155='Staff Dashboard'!$B$7),OR('Staff Dashboard'!$B$8="All",$A155='Staff Dashboard'!$B$8))</f>
        <v>0</v>
      </c>
      <c r="M155">
        <f>IF($E155=0,0,SUMPRODUCT($AI$7:$DF$7,'Staff Daily sales'!$G140:$CD140))</f>
        <v>8215.18</v>
      </c>
      <c r="N155">
        <f>IF($E155=0,0,SUMPRODUCT($AI$8:$DF$8,'Staff Daily sales'!$G140:$CD140))</f>
        <v>74</v>
      </c>
      <c r="O155">
        <f>IF($E155=0,0,SUMPRODUCT($AI$9:$DF$9,'Staff Daily sales'!$G140:$CD140))</f>
        <v>18313.23</v>
      </c>
      <c r="P155">
        <f>IF($E155=0,0,SUMPRODUCT($AI$10:$DF$10,'Staff Daily sales'!$G140:$CD140))</f>
        <v>131</v>
      </c>
      <c r="Q155">
        <f>IF($E155=0,0,SUMPRODUCT($AI$11:$DF$11,'Staff Daily sales'!$G140:$CD140))</f>
        <v>11860.179999999998</v>
      </c>
      <c r="R155">
        <f>IF($E155=0,0,SUMPRODUCT($AI$12:$DF$12,'Staff Daily sales'!$G140:$CD140))</f>
        <v>78</v>
      </c>
      <c r="S155">
        <f>IF($E155=0,0,SUMPRODUCT($AI$13:$DF$13,'Staff Daily sales'!$G140:$CD140))</f>
        <v>13662.839999999998</v>
      </c>
      <c r="T155">
        <f>IF($E155=0,0,SUMPRODUCT($AI$14:$DF$14,'Staff Daily sales'!$G140:$CD140))</f>
        <v>84</v>
      </c>
      <c r="U155">
        <f>IF($E155=0,0,SUMPRODUCT($AI$15:$DF$15,'Staff Daily sales'!$G140:$CD140))</f>
        <v>2498.86</v>
      </c>
      <c r="V155">
        <f>IF($E155=0,0,SUMPRODUCT($AI$16:$DF$16,'Staff Daily sales'!$G140:$CD140))</f>
        <v>14</v>
      </c>
      <c r="W155">
        <f t="shared" si="63"/>
        <v>28065.53</v>
      </c>
      <c r="X155">
        <f t="shared" si="64"/>
        <v>50508.95</v>
      </c>
      <c r="Y155">
        <f t="shared" si="65"/>
        <v>37554.57</v>
      </c>
      <c r="Z155">
        <f t="shared" si="66"/>
        <v>39585.35</v>
      </c>
      <c r="AA155">
        <f t="shared" si="67"/>
        <v>11364.080000000002</v>
      </c>
      <c r="AB155">
        <f>--AND($E155=1,OR('Staff Weekly Trend'!$B$3="All",$DH155='Staff Weekly Trend'!$B$3),OR('Staff Weekly Trend'!$B$4="All",$D155='Staff Weekly Trend'!$B$4),OR('Staff Weekly Trend'!$B$5="All",$A155='Staff Weekly Trend'!$B$5))</f>
        <v>1</v>
      </c>
      <c r="AC155">
        <f t="shared" si="68"/>
        <v>2</v>
      </c>
      <c r="AI155">
        <f t="shared" si="69"/>
        <v>241</v>
      </c>
      <c r="AJ155">
        <f t="shared" si="70"/>
        <v>353</v>
      </c>
      <c r="AK155">
        <f t="shared" si="71"/>
        <v>270</v>
      </c>
      <c r="AL155">
        <f t="shared" si="72"/>
        <v>268</v>
      </c>
      <c r="AM155">
        <f t="shared" si="73"/>
        <v>76</v>
      </c>
      <c r="DH155" t="str" cm="1">
        <f t="array" ref="DH155">IF($A155="","",_xlfn.LET(_xlpm.c,IFERROR(_xlfn.XLOOKUP($A155,TRIM('Sales and count'!$A$4:$A$300&amp;""),TRIM('Sales and count'!$B$4:$B$300&amp;"")),""),IF(OR(_xlpm.c="",_xlpm.c="0",LEFT(_xlpm.c,1)="#"),"Not set",_xlpm.c)))</f>
        <v>KSA</v>
      </c>
    </row>
    <row r="156" spans="1:112" x14ac:dyDescent="0.25">
      <c r="A156" t="str">
        <f>IF('Staff Daily sales'!$B141="","",TRIM('Staff Daily sales'!$B141&amp;""))</f>
        <v>RYDNAKHL</v>
      </c>
      <c r="B156" t="str">
        <f>IF('Staff Daily sales'!$D141="","",TRIM('Staff Daily sales'!$D141&amp;""))</f>
        <v>3423-Reem Alshahrani</v>
      </c>
      <c r="C156" t="str">
        <f>IFERROR(TRIM('Staff Daily sales'!$E141&amp;""),"")</f>
        <v>Riyadh</v>
      </c>
      <c r="D156" t="str">
        <f>IFERROR(IF(TRIM('Staff Daily sales'!$F141&amp;"")="","Unassigned",TRIM('Staff Daily sales'!$F141&amp;"")),"Unassigned")</f>
        <v>Lina Al Ghathami</v>
      </c>
      <c r="E156">
        <f t="shared" si="58"/>
        <v>1</v>
      </c>
      <c r="F156">
        <f>IF($E156=0,0,SUMPRODUCT($AI$5:$DF$5,'Staff Daily sales'!$G141:$CD141))</f>
        <v>2973.8</v>
      </c>
      <c r="G156">
        <f>IF($E156=0,0,SUMPRODUCT($AI$6:$DF$6,'Staff Daily sales'!$G141:$CD141))</f>
        <v>16</v>
      </c>
      <c r="H156">
        <f t="shared" si="59"/>
        <v>9697.5600000000013</v>
      </c>
      <c r="I156">
        <f t="shared" si="60"/>
        <v>51</v>
      </c>
      <c r="J156">
        <f t="shared" si="61"/>
        <v>62915.250000000007</v>
      </c>
      <c r="K156">
        <f t="shared" si="62"/>
        <v>385</v>
      </c>
      <c r="L156">
        <f>--AND($E156=1,OR('Staff Dashboard'!$B$6="All",$DH156='Staff Dashboard'!$B$6),OR('Staff Dashboard'!$B$7="All",$D156='Staff Dashboard'!$B$7),OR('Staff Dashboard'!$B$8="All",$A156='Staff Dashboard'!$B$8))</f>
        <v>0</v>
      </c>
      <c r="M156">
        <f>IF($E156=0,0,SUMPRODUCT($AI$7:$DF$7,'Staff Daily sales'!$G141:$CD141))</f>
        <v>5672.0499999999993</v>
      </c>
      <c r="N156">
        <f>IF($E156=0,0,SUMPRODUCT($AI$8:$DF$8,'Staff Daily sales'!$G141:$CD141))</f>
        <v>46</v>
      </c>
      <c r="O156">
        <f>IF($E156=0,0,SUMPRODUCT($AI$9:$DF$9,'Staff Daily sales'!$G141:$CD141))</f>
        <v>12276.19</v>
      </c>
      <c r="P156">
        <f>IF($E156=0,0,SUMPRODUCT($AI$10:$DF$10,'Staff Daily sales'!$G141:$CD141))</f>
        <v>86</v>
      </c>
      <c r="Q156">
        <f>IF($E156=0,0,SUMPRODUCT($AI$11:$DF$11,'Staff Daily sales'!$G141:$CD141))</f>
        <v>10895.19</v>
      </c>
      <c r="R156">
        <f>IF($E156=0,0,SUMPRODUCT($AI$12:$DF$12,'Staff Daily sales'!$G141:$CD141))</f>
        <v>73</v>
      </c>
      <c r="S156">
        <f>IF($E156=0,0,SUMPRODUCT($AI$13:$DF$13,'Staff Daily sales'!$G141:$CD141))</f>
        <v>7257.78</v>
      </c>
      <c r="T156">
        <f>IF($E156=0,0,SUMPRODUCT($AI$14:$DF$14,'Staff Daily sales'!$G141:$CD141))</f>
        <v>51</v>
      </c>
      <c r="U156">
        <f>IF($E156=0,0,SUMPRODUCT($AI$15:$DF$15,'Staff Daily sales'!$G141:$CD141))</f>
        <v>2126.0100000000002</v>
      </c>
      <c r="V156">
        <f>IF($E156=0,0,SUMPRODUCT($AI$16:$DF$16,'Staff Daily sales'!$G141:$CD141))</f>
        <v>15</v>
      </c>
      <c r="W156">
        <f t="shared" si="63"/>
        <v>42043.74</v>
      </c>
      <c r="X156">
        <f t="shared" si="64"/>
        <v>62649.959999999992</v>
      </c>
      <c r="Y156">
        <f t="shared" si="65"/>
        <v>52166.929999999993</v>
      </c>
      <c r="Z156">
        <f t="shared" si="66"/>
        <v>46966.060000000005</v>
      </c>
      <c r="AA156">
        <f t="shared" si="67"/>
        <v>8991.8700000000008</v>
      </c>
      <c r="AB156">
        <f>--AND($E156=1,OR('Staff Weekly Trend'!$B$3="All",$DH156='Staff Weekly Trend'!$B$3),OR('Staff Weekly Trend'!$B$4="All",$D156='Staff Weekly Trend'!$B$4),OR('Staff Weekly Trend'!$B$5="All",$A156='Staff Weekly Trend'!$B$5))</f>
        <v>1</v>
      </c>
      <c r="AC156">
        <f t="shared" si="68"/>
        <v>2</v>
      </c>
      <c r="AI156">
        <f t="shared" si="69"/>
        <v>320</v>
      </c>
      <c r="AJ156">
        <f t="shared" si="70"/>
        <v>389</v>
      </c>
      <c r="AK156">
        <f t="shared" si="71"/>
        <v>344</v>
      </c>
      <c r="AL156">
        <f t="shared" si="72"/>
        <v>278</v>
      </c>
      <c r="AM156">
        <f t="shared" si="73"/>
        <v>55</v>
      </c>
      <c r="DH156" t="str" cm="1">
        <f t="array" ref="DH156">IF($A156="","",_xlfn.LET(_xlpm.c,IFERROR(_xlfn.XLOOKUP($A156,TRIM('Sales and count'!$A$4:$A$300&amp;""),TRIM('Sales and count'!$B$4:$B$300&amp;"")),""),IF(OR(_xlpm.c="",_xlpm.c="0",LEFT(_xlpm.c,1)="#"),"Not set",_xlpm.c)))</f>
        <v>KSA</v>
      </c>
    </row>
    <row r="157" spans="1:112" x14ac:dyDescent="0.25">
      <c r="A157" t="str">
        <f>IF('Staff Daily sales'!$B142="","",TRIM('Staff Daily sales'!$B142&amp;""))</f>
        <v>RYDNAKHL</v>
      </c>
      <c r="B157" t="str">
        <f>IF('Staff Daily sales'!$D142="","",TRIM('Staff Daily sales'!$D142&amp;""))</f>
        <v>4144-MALqahtani</v>
      </c>
      <c r="C157" t="str">
        <f>IFERROR(TRIM('Staff Daily sales'!$E142&amp;""),"")</f>
        <v>Riyadh</v>
      </c>
      <c r="D157" t="str">
        <f>IFERROR(IF(TRIM('Staff Daily sales'!$F142&amp;"")="","Unassigned",TRIM('Staff Daily sales'!$F142&amp;"")),"Unassigned")</f>
        <v>Lina Al Ghathami</v>
      </c>
      <c r="E157">
        <f t="shared" si="58"/>
        <v>1</v>
      </c>
      <c r="F157">
        <f>IF($E157=0,0,SUMPRODUCT($AI$5:$DF$5,'Staff Daily sales'!$G142:$CD142))</f>
        <v>0</v>
      </c>
      <c r="G157">
        <f>IF($E157=0,0,SUMPRODUCT($AI$6:$DF$6,'Staff Daily sales'!$G142:$CD142))</f>
        <v>0</v>
      </c>
      <c r="H157">
        <f t="shared" si="59"/>
        <v>9697.5600000000013</v>
      </c>
      <c r="I157">
        <f t="shared" si="60"/>
        <v>51</v>
      </c>
      <c r="J157">
        <f t="shared" si="61"/>
        <v>62915.250000000007</v>
      </c>
      <c r="K157">
        <f t="shared" si="62"/>
        <v>385</v>
      </c>
      <c r="L157">
        <f>--AND($E157=1,OR('Staff Dashboard'!$B$6="All",$DH157='Staff Dashboard'!$B$6),OR('Staff Dashboard'!$B$7="All",$D157='Staff Dashboard'!$B$7),OR('Staff Dashboard'!$B$8="All",$A157='Staff Dashboard'!$B$8))</f>
        <v>0</v>
      </c>
      <c r="M157">
        <f>IF($E157=0,0,SUMPRODUCT($AI$7:$DF$7,'Staff Daily sales'!$G142:$CD142))</f>
        <v>0</v>
      </c>
      <c r="N157">
        <f>IF($E157=0,0,SUMPRODUCT($AI$8:$DF$8,'Staff Daily sales'!$G142:$CD142))</f>
        <v>0</v>
      </c>
      <c r="O157">
        <f>IF($E157=0,0,SUMPRODUCT($AI$9:$DF$9,'Staff Daily sales'!$G142:$CD142))</f>
        <v>0</v>
      </c>
      <c r="P157">
        <f>IF($E157=0,0,SUMPRODUCT($AI$10:$DF$10,'Staff Daily sales'!$G142:$CD142))</f>
        <v>0</v>
      </c>
      <c r="Q157">
        <f>IF($E157=0,0,SUMPRODUCT($AI$11:$DF$11,'Staff Daily sales'!$G142:$CD142))</f>
        <v>3377.02</v>
      </c>
      <c r="R157">
        <f>IF($E157=0,0,SUMPRODUCT($AI$12:$DF$12,'Staff Daily sales'!$G142:$CD142))</f>
        <v>24</v>
      </c>
      <c r="S157">
        <f>IF($E157=0,0,SUMPRODUCT($AI$13:$DF$13,'Staff Daily sales'!$G142:$CD142))</f>
        <v>3020.08</v>
      </c>
      <c r="T157">
        <f>IF($E157=0,0,SUMPRODUCT($AI$14:$DF$14,'Staff Daily sales'!$G142:$CD142))</f>
        <v>16</v>
      </c>
      <c r="U157">
        <f>IF($E157=0,0,SUMPRODUCT($AI$15:$DF$15,'Staff Daily sales'!$G142:$CD142))</f>
        <v>0</v>
      </c>
      <c r="V157">
        <f>IF($E157=0,0,SUMPRODUCT($AI$16:$DF$16,'Staff Daily sales'!$G142:$CD142))</f>
        <v>0</v>
      </c>
      <c r="W157">
        <f t="shared" si="63"/>
        <v>42043.74</v>
      </c>
      <c r="X157">
        <f t="shared" si="64"/>
        <v>62649.959999999992</v>
      </c>
      <c r="Y157">
        <f t="shared" si="65"/>
        <v>52166.929999999993</v>
      </c>
      <c r="Z157">
        <f t="shared" si="66"/>
        <v>46966.060000000005</v>
      </c>
      <c r="AA157">
        <f t="shared" si="67"/>
        <v>8991.8700000000008</v>
      </c>
      <c r="AB157">
        <f>--AND($E157=1,OR('Staff Weekly Trend'!$B$3="All",$DH157='Staff Weekly Trend'!$B$3),OR('Staff Weekly Trend'!$B$4="All",$D157='Staff Weekly Trend'!$B$4),OR('Staff Weekly Trend'!$B$5="All",$A157='Staff Weekly Trend'!$B$5))</f>
        <v>1</v>
      </c>
      <c r="AC157" t="str">
        <f t="shared" si="68"/>
        <v/>
      </c>
      <c r="AI157">
        <f t="shared" si="69"/>
        <v>320</v>
      </c>
      <c r="AJ157">
        <f t="shared" si="70"/>
        <v>389</v>
      </c>
      <c r="AK157">
        <f t="shared" si="71"/>
        <v>344</v>
      </c>
      <c r="AL157">
        <f t="shared" si="72"/>
        <v>278</v>
      </c>
      <c r="AM157">
        <f t="shared" si="73"/>
        <v>55</v>
      </c>
      <c r="DH157" t="str" cm="1">
        <f t="array" ref="DH157">IF($A157="","",_xlfn.LET(_xlpm.c,IFERROR(_xlfn.XLOOKUP($A157,TRIM('Sales and count'!$A$4:$A$300&amp;""),TRIM('Sales and count'!$B$4:$B$300&amp;"")),""),IF(OR(_xlpm.c="",_xlpm.c="0",LEFT(_xlpm.c,1)="#"),"Not set",_xlpm.c)))</f>
        <v>KSA</v>
      </c>
    </row>
    <row r="158" spans="1:112" x14ac:dyDescent="0.25">
      <c r="A158" t="str">
        <f>IF('Staff Daily sales'!$B143="","",TRIM('Staff Daily sales'!$B143&amp;""))</f>
        <v>RYDNAKHL</v>
      </c>
      <c r="B158" t="str">
        <f>IF('Staff Daily sales'!$D143="","",TRIM('Staff Daily sales'!$D143&amp;""))</f>
        <v>5369-AAlmutari</v>
      </c>
      <c r="C158" t="str">
        <f>IFERROR(TRIM('Staff Daily sales'!$E143&amp;""),"")</f>
        <v>Riyadh</v>
      </c>
      <c r="D158" t="str">
        <f>IFERROR(IF(TRIM('Staff Daily sales'!$F143&amp;"")="","Unassigned",TRIM('Staff Daily sales'!$F143&amp;"")),"Unassigned")</f>
        <v>Lina Al Ghathami</v>
      </c>
      <c r="E158">
        <f t="shared" si="58"/>
        <v>1</v>
      </c>
      <c r="F158">
        <f>IF($E158=0,0,SUMPRODUCT($AI$5:$DF$5,'Staff Daily sales'!$G143:$CD143))</f>
        <v>6723.76</v>
      </c>
      <c r="G158">
        <f>IF($E158=0,0,SUMPRODUCT($AI$6:$DF$6,'Staff Daily sales'!$G143:$CD143))</f>
        <v>35</v>
      </c>
      <c r="H158">
        <f t="shared" si="59"/>
        <v>9697.5600000000013</v>
      </c>
      <c r="I158">
        <f t="shared" si="60"/>
        <v>51</v>
      </c>
      <c r="J158">
        <f t="shared" si="61"/>
        <v>62915.250000000007</v>
      </c>
      <c r="K158">
        <f t="shared" si="62"/>
        <v>385</v>
      </c>
      <c r="L158">
        <f>--AND($E158=1,OR('Staff Dashboard'!$B$6="All",$DH158='Staff Dashboard'!$B$6),OR('Staff Dashboard'!$B$7="All",$D158='Staff Dashboard'!$B$7),OR('Staff Dashboard'!$B$8="All",$A158='Staff Dashboard'!$B$8))</f>
        <v>0</v>
      </c>
      <c r="M158">
        <f>IF($E158=0,0,SUMPRODUCT($AI$7:$DF$7,'Staff Daily sales'!$G143:$CD143))</f>
        <v>16536.349999999999</v>
      </c>
      <c r="N158">
        <f>IF($E158=0,0,SUMPRODUCT($AI$8:$DF$8,'Staff Daily sales'!$G143:$CD143))</f>
        <v>104</v>
      </c>
      <c r="O158">
        <f>IF($E158=0,0,SUMPRODUCT($AI$9:$DF$9,'Staff Daily sales'!$G143:$CD143))</f>
        <v>25905.34</v>
      </c>
      <c r="P158">
        <f>IF($E158=0,0,SUMPRODUCT($AI$10:$DF$10,'Staff Daily sales'!$G143:$CD143))</f>
        <v>146</v>
      </c>
      <c r="Q158">
        <f>IF($E158=0,0,SUMPRODUCT($AI$11:$DF$11,'Staff Daily sales'!$G143:$CD143))</f>
        <v>13175.24</v>
      </c>
      <c r="R158">
        <f>IF($E158=0,0,SUMPRODUCT($AI$12:$DF$12,'Staff Daily sales'!$G143:$CD143))</f>
        <v>73</v>
      </c>
      <c r="S158">
        <f>IF($E158=0,0,SUMPRODUCT($AI$13:$DF$13,'Staff Daily sales'!$G143:$CD143))</f>
        <v>16499.550000000003</v>
      </c>
      <c r="T158">
        <f>IF($E158=0,0,SUMPRODUCT($AI$14:$DF$14,'Staff Daily sales'!$G143:$CD143))</f>
        <v>104</v>
      </c>
      <c r="U158">
        <f>IF($E158=0,0,SUMPRODUCT($AI$15:$DF$15,'Staff Daily sales'!$G143:$CD143))</f>
        <v>5430.9400000000005</v>
      </c>
      <c r="V158">
        <f>IF($E158=0,0,SUMPRODUCT($AI$16:$DF$16,'Staff Daily sales'!$G143:$CD143))</f>
        <v>31</v>
      </c>
      <c r="W158">
        <f t="shared" si="63"/>
        <v>42043.74</v>
      </c>
      <c r="X158">
        <f t="shared" si="64"/>
        <v>62649.959999999992</v>
      </c>
      <c r="Y158">
        <f t="shared" si="65"/>
        <v>52166.929999999993</v>
      </c>
      <c r="Z158">
        <f t="shared" si="66"/>
        <v>46966.060000000005</v>
      </c>
      <c r="AA158">
        <f t="shared" si="67"/>
        <v>8991.8700000000008</v>
      </c>
      <c r="AB158">
        <f>--AND($E158=1,OR('Staff Weekly Trend'!$B$3="All",$DH158='Staff Weekly Trend'!$B$3),OR('Staff Weekly Trend'!$B$4="All",$D158='Staff Weekly Trend'!$B$4),OR('Staff Weekly Trend'!$B$5="All",$A158='Staff Weekly Trend'!$B$5))</f>
        <v>1</v>
      </c>
      <c r="AC158">
        <f t="shared" si="68"/>
        <v>1</v>
      </c>
      <c r="AI158">
        <f t="shared" si="69"/>
        <v>320</v>
      </c>
      <c r="AJ158">
        <f t="shared" si="70"/>
        <v>389</v>
      </c>
      <c r="AK158">
        <f t="shared" si="71"/>
        <v>344</v>
      </c>
      <c r="AL158">
        <f t="shared" si="72"/>
        <v>278</v>
      </c>
      <c r="AM158">
        <f t="shared" si="73"/>
        <v>55</v>
      </c>
      <c r="DH158" t="str" cm="1">
        <f t="array" ref="DH158">IF($A158="","",_xlfn.LET(_xlpm.c,IFERROR(_xlfn.XLOOKUP($A158,TRIM('Sales and count'!$A$4:$A$300&amp;""),TRIM('Sales and count'!$B$4:$B$300&amp;"")),""),IF(OR(_xlpm.c="",_xlpm.c="0",LEFT(_xlpm.c,1)="#"),"Not set",_xlpm.c)))</f>
        <v>KSA</v>
      </c>
    </row>
    <row r="159" spans="1:112" x14ac:dyDescent="0.25">
      <c r="A159" t="str">
        <f>IF('Staff Daily sales'!$B144="","",TRIM('Staff Daily sales'!$B144&amp;""))</f>
        <v>RYDNAKHL</v>
      </c>
      <c r="B159" t="str">
        <f>IF('Staff Daily sales'!$D144="","",TRIM('Staff Daily sales'!$D144&amp;""))</f>
        <v>6177-MAlharthy</v>
      </c>
      <c r="C159" t="str">
        <f>IFERROR(TRIM('Staff Daily sales'!$E144&amp;""),"")</f>
        <v>Riyadh</v>
      </c>
      <c r="D159" t="str">
        <f>IFERROR(IF(TRIM('Staff Daily sales'!$F144&amp;"")="","Unassigned",TRIM('Staff Daily sales'!$F144&amp;"")),"Unassigned")</f>
        <v>Lina Al Ghathami</v>
      </c>
      <c r="E159">
        <f t="shared" si="58"/>
        <v>1</v>
      </c>
      <c r="F159">
        <f>IF($E159=0,0,SUMPRODUCT($AI$5:$DF$5,'Staff Daily sales'!$G144:$CD144))</f>
        <v>0</v>
      </c>
      <c r="G159">
        <f>IF($E159=0,0,SUMPRODUCT($AI$6:$DF$6,'Staff Daily sales'!$G144:$CD144))</f>
        <v>0</v>
      </c>
      <c r="H159">
        <f t="shared" si="59"/>
        <v>9697.5600000000013</v>
      </c>
      <c r="I159">
        <f t="shared" si="60"/>
        <v>51</v>
      </c>
      <c r="J159">
        <f t="shared" si="61"/>
        <v>62915.250000000007</v>
      </c>
      <c r="K159">
        <f t="shared" si="62"/>
        <v>385</v>
      </c>
      <c r="L159">
        <f>--AND($E159=1,OR('Staff Dashboard'!$B$6="All",$DH159='Staff Dashboard'!$B$6),OR('Staff Dashboard'!$B$7="All",$D159='Staff Dashboard'!$B$7),OR('Staff Dashboard'!$B$8="All",$A159='Staff Dashboard'!$B$8))</f>
        <v>0</v>
      </c>
      <c r="M159">
        <f>IF($E159=0,0,SUMPRODUCT($AI$7:$DF$7,'Staff Daily sales'!$G144:$CD144))</f>
        <v>9183.19</v>
      </c>
      <c r="N159">
        <f>IF($E159=0,0,SUMPRODUCT($AI$8:$DF$8,'Staff Daily sales'!$G144:$CD144))</f>
        <v>74</v>
      </c>
      <c r="O159">
        <f>IF($E159=0,0,SUMPRODUCT($AI$9:$DF$9,'Staff Daily sales'!$G144:$CD144))</f>
        <v>4531.0599999999995</v>
      </c>
      <c r="P159">
        <f>IF($E159=0,0,SUMPRODUCT($AI$10:$DF$10,'Staff Daily sales'!$G144:$CD144))</f>
        <v>24</v>
      </c>
      <c r="Q159">
        <f>IF($E159=0,0,SUMPRODUCT($AI$11:$DF$11,'Staff Daily sales'!$G144:$CD144))</f>
        <v>7732.15</v>
      </c>
      <c r="R159">
        <f>IF($E159=0,0,SUMPRODUCT($AI$12:$DF$12,'Staff Daily sales'!$G144:$CD144))</f>
        <v>52</v>
      </c>
      <c r="S159">
        <f>IF($E159=0,0,SUMPRODUCT($AI$13:$DF$13,'Staff Daily sales'!$G144:$CD144))</f>
        <v>0</v>
      </c>
      <c r="T159">
        <f>IF($E159=0,0,SUMPRODUCT($AI$14:$DF$14,'Staff Daily sales'!$G144:$CD144))</f>
        <v>0</v>
      </c>
      <c r="U159">
        <f>IF($E159=0,0,SUMPRODUCT($AI$15:$DF$15,'Staff Daily sales'!$G144:$CD144))</f>
        <v>0</v>
      </c>
      <c r="V159">
        <f>IF($E159=0,0,SUMPRODUCT($AI$16:$DF$16,'Staff Daily sales'!$G144:$CD144))</f>
        <v>0</v>
      </c>
      <c r="W159">
        <f t="shared" si="63"/>
        <v>42043.74</v>
      </c>
      <c r="X159">
        <f t="shared" si="64"/>
        <v>62649.959999999992</v>
      </c>
      <c r="Y159">
        <f t="shared" si="65"/>
        <v>52166.929999999993</v>
      </c>
      <c r="Z159">
        <f t="shared" si="66"/>
        <v>46966.060000000005</v>
      </c>
      <c r="AA159">
        <f t="shared" si="67"/>
        <v>8991.8700000000008</v>
      </c>
      <c r="AB159">
        <f>--AND($E159=1,OR('Staff Weekly Trend'!$B$3="All",$DH159='Staff Weekly Trend'!$B$3),OR('Staff Weekly Trend'!$B$4="All",$D159='Staff Weekly Trend'!$B$4),OR('Staff Weekly Trend'!$B$5="All",$A159='Staff Weekly Trend'!$B$5))</f>
        <v>1</v>
      </c>
      <c r="AC159" t="str">
        <f t="shared" si="68"/>
        <v/>
      </c>
      <c r="AI159">
        <f t="shared" si="69"/>
        <v>320</v>
      </c>
      <c r="AJ159">
        <f t="shared" si="70"/>
        <v>389</v>
      </c>
      <c r="AK159">
        <f t="shared" si="71"/>
        <v>344</v>
      </c>
      <c r="AL159">
        <f t="shared" si="72"/>
        <v>278</v>
      </c>
      <c r="AM159">
        <f t="shared" si="73"/>
        <v>55</v>
      </c>
      <c r="DH159" t="str" cm="1">
        <f t="array" ref="DH159">IF($A159="","",_xlfn.LET(_xlpm.c,IFERROR(_xlfn.XLOOKUP($A159,TRIM('Sales and count'!$A$4:$A$300&amp;""),TRIM('Sales and count'!$B$4:$B$300&amp;"")),""),IF(OR(_xlpm.c="",_xlpm.c="0",LEFT(_xlpm.c,1)="#"),"Not set",_xlpm.c)))</f>
        <v>KSA</v>
      </c>
    </row>
    <row r="160" spans="1:112" x14ac:dyDescent="0.25">
      <c r="A160" t="str">
        <f>IF('Staff Daily sales'!$B145="","",TRIM('Staff Daily sales'!$B145&amp;""))</f>
        <v>RYDNAKHL</v>
      </c>
      <c r="B160" t="str">
        <f>IF('Staff Daily sales'!$D145="","",TRIM('Staff Daily sales'!$D145&amp;""))</f>
        <v>7298-YAldawsari</v>
      </c>
      <c r="C160" t="str">
        <f>IFERROR(TRIM('Staff Daily sales'!$E145&amp;""),"")</f>
        <v>Riyadh</v>
      </c>
      <c r="D160" t="str">
        <f>IFERROR(IF(TRIM('Staff Daily sales'!$F145&amp;"")="","Unassigned",TRIM('Staff Daily sales'!$F145&amp;"")),"Unassigned")</f>
        <v>Lina Al Ghathami</v>
      </c>
      <c r="E160">
        <f t="shared" si="58"/>
        <v>1</v>
      </c>
      <c r="F160">
        <f>IF($E160=0,0,SUMPRODUCT($AI$5:$DF$5,'Staff Daily sales'!$G145:$CD145))</f>
        <v>0</v>
      </c>
      <c r="G160">
        <f>IF($E160=0,0,SUMPRODUCT($AI$6:$DF$6,'Staff Daily sales'!$G145:$CD145))</f>
        <v>0</v>
      </c>
      <c r="H160">
        <f t="shared" si="59"/>
        <v>9697.5600000000013</v>
      </c>
      <c r="I160">
        <f t="shared" si="60"/>
        <v>51</v>
      </c>
      <c r="J160">
        <f t="shared" si="61"/>
        <v>62915.250000000007</v>
      </c>
      <c r="K160">
        <f t="shared" si="62"/>
        <v>385</v>
      </c>
      <c r="L160">
        <f>--AND($E160=1,OR('Staff Dashboard'!$B$6="All",$DH160='Staff Dashboard'!$B$6),OR('Staff Dashboard'!$B$7="All",$D160='Staff Dashboard'!$B$7),OR('Staff Dashboard'!$B$8="All",$A160='Staff Dashboard'!$B$8))</f>
        <v>0</v>
      </c>
      <c r="M160">
        <f>IF($E160=0,0,SUMPRODUCT($AI$7:$DF$7,'Staff Daily sales'!$G145:$CD145))</f>
        <v>10652.150000000001</v>
      </c>
      <c r="N160">
        <f>IF($E160=0,0,SUMPRODUCT($AI$8:$DF$8,'Staff Daily sales'!$G145:$CD145))</f>
        <v>96</v>
      </c>
      <c r="O160">
        <f>IF($E160=0,0,SUMPRODUCT($AI$9:$DF$9,'Staff Daily sales'!$G145:$CD145))</f>
        <v>19937.37</v>
      </c>
      <c r="P160">
        <f>IF($E160=0,0,SUMPRODUCT($AI$10:$DF$10,'Staff Daily sales'!$G145:$CD145))</f>
        <v>133</v>
      </c>
      <c r="Q160">
        <f>IF($E160=0,0,SUMPRODUCT($AI$11:$DF$11,'Staff Daily sales'!$G145:$CD145))</f>
        <v>16987.329999999998</v>
      </c>
      <c r="R160">
        <f>IF($E160=0,0,SUMPRODUCT($AI$12:$DF$12,'Staff Daily sales'!$G145:$CD145))</f>
        <v>122</v>
      </c>
      <c r="S160">
        <f>IF($E160=0,0,SUMPRODUCT($AI$13:$DF$13,'Staff Daily sales'!$G145:$CD145))</f>
        <v>20188.650000000001</v>
      </c>
      <c r="T160">
        <f>IF($E160=0,0,SUMPRODUCT($AI$14:$DF$14,'Staff Daily sales'!$G145:$CD145))</f>
        <v>107</v>
      </c>
      <c r="U160">
        <f>IF($E160=0,0,SUMPRODUCT($AI$15:$DF$15,'Staff Daily sales'!$G145:$CD145))</f>
        <v>1434.92</v>
      </c>
      <c r="V160">
        <f>IF($E160=0,0,SUMPRODUCT($AI$16:$DF$16,'Staff Daily sales'!$G145:$CD145))</f>
        <v>9</v>
      </c>
      <c r="W160">
        <f t="shared" si="63"/>
        <v>42043.74</v>
      </c>
      <c r="X160">
        <f t="shared" si="64"/>
        <v>62649.959999999992</v>
      </c>
      <c r="Y160">
        <f t="shared" si="65"/>
        <v>52166.929999999993</v>
      </c>
      <c r="Z160">
        <f t="shared" si="66"/>
        <v>46966.060000000005</v>
      </c>
      <c r="AA160">
        <f t="shared" si="67"/>
        <v>8991.8700000000008</v>
      </c>
      <c r="AB160">
        <f>--AND($E160=1,OR('Staff Weekly Trend'!$B$3="All",$DH160='Staff Weekly Trend'!$B$3),OR('Staff Weekly Trend'!$B$4="All",$D160='Staff Weekly Trend'!$B$4),OR('Staff Weekly Trend'!$B$5="All",$A160='Staff Weekly Trend'!$B$5))</f>
        <v>1</v>
      </c>
      <c r="AC160" t="str">
        <f t="shared" si="68"/>
        <v/>
      </c>
      <c r="AI160">
        <f t="shared" si="69"/>
        <v>320</v>
      </c>
      <c r="AJ160">
        <f t="shared" si="70"/>
        <v>389</v>
      </c>
      <c r="AK160">
        <f t="shared" si="71"/>
        <v>344</v>
      </c>
      <c r="AL160">
        <f t="shared" si="72"/>
        <v>278</v>
      </c>
      <c r="AM160">
        <f t="shared" si="73"/>
        <v>55</v>
      </c>
      <c r="DH160" t="str" cm="1">
        <f t="array" ref="DH160">IF($A160="","",_xlfn.LET(_xlpm.c,IFERROR(_xlfn.XLOOKUP($A160,TRIM('Sales and count'!$A$4:$A$300&amp;""),TRIM('Sales and count'!$B$4:$B$300&amp;"")),""),IF(OR(_xlpm.c="",_xlpm.c="0",LEFT(_xlpm.c,1)="#"),"Not set",_xlpm.c)))</f>
        <v>KSA</v>
      </c>
    </row>
    <row r="161" spans="1:112" x14ac:dyDescent="0.25">
      <c r="A161" t="str">
        <f>IF('Staff Daily sales'!$B146="","",TRIM('Staff Daily sales'!$B146&amp;""))</f>
        <v>JIZWFPLZ</v>
      </c>
      <c r="B161" t="str">
        <f>IF('Staff Daily sales'!$D146="","",TRIM('Staff Daily sales'!$D146&amp;""))</f>
        <v>4392-WHazazi</v>
      </c>
      <c r="C161" t="str">
        <f>IFERROR(TRIM('Staff Daily sales'!$E146&amp;""),"")</f>
        <v>Jizan</v>
      </c>
      <c r="D161" t="str">
        <f>IFERROR(IF(TRIM('Staff Daily sales'!$F146&amp;"")="","Unassigned",TRIM('Staff Daily sales'!$F146&amp;"")),"Unassigned")</f>
        <v>Ahmed Jaffari</v>
      </c>
      <c r="E161">
        <f t="shared" si="58"/>
        <v>1</v>
      </c>
      <c r="F161">
        <f>IF($E161=0,0,SUMPRODUCT($AI$5:$DF$5,'Staff Daily sales'!$G146:$CD146))</f>
        <v>1205.94</v>
      </c>
      <c r="G161">
        <f>IF($E161=0,0,SUMPRODUCT($AI$6:$DF$6,'Staff Daily sales'!$G146:$CD146))</f>
        <v>7</v>
      </c>
      <c r="H161">
        <f t="shared" si="59"/>
        <v>7405.6900000000014</v>
      </c>
      <c r="I161">
        <f t="shared" si="60"/>
        <v>39</v>
      </c>
      <c r="J161">
        <f t="shared" si="61"/>
        <v>44058.899999999994</v>
      </c>
      <c r="K161">
        <f t="shared" si="62"/>
        <v>244</v>
      </c>
      <c r="L161">
        <f>--AND($E161=1,OR('Staff Dashboard'!$B$6="All",$DH161='Staff Dashboard'!$B$6),OR('Staff Dashboard'!$B$7="All",$D161='Staff Dashboard'!$B$7),OR('Staff Dashboard'!$B$8="All",$A161='Staff Dashboard'!$B$8))</f>
        <v>0</v>
      </c>
      <c r="M161">
        <f>IF($E161=0,0,SUMPRODUCT($AI$7:$DF$7,'Staff Daily sales'!$G146:$CD146))</f>
        <v>4155.09</v>
      </c>
      <c r="N161">
        <f>IF($E161=0,0,SUMPRODUCT($AI$8:$DF$8,'Staff Daily sales'!$G146:$CD146))</f>
        <v>26</v>
      </c>
      <c r="O161">
        <f>IF($E161=0,0,SUMPRODUCT($AI$9:$DF$9,'Staff Daily sales'!$G146:$CD146))</f>
        <v>6636.18</v>
      </c>
      <c r="P161">
        <f>IF($E161=0,0,SUMPRODUCT($AI$10:$DF$10,'Staff Daily sales'!$G146:$CD146))</f>
        <v>44</v>
      </c>
      <c r="Q161">
        <f>IF($E161=0,0,SUMPRODUCT($AI$11:$DF$11,'Staff Daily sales'!$G146:$CD146))</f>
        <v>5311.1</v>
      </c>
      <c r="R161">
        <f>IF($E161=0,0,SUMPRODUCT($AI$12:$DF$12,'Staff Daily sales'!$G146:$CD146))</f>
        <v>32</v>
      </c>
      <c r="S161">
        <f>IF($E161=0,0,SUMPRODUCT($AI$13:$DF$13,'Staff Daily sales'!$G146:$CD146))</f>
        <v>5049.82</v>
      </c>
      <c r="T161">
        <f>IF($E161=0,0,SUMPRODUCT($AI$14:$DF$14,'Staff Daily sales'!$G146:$CD146))</f>
        <v>29</v>
      </c>
      <c r="U161">
        <f>IF($E161=0,0,SUMPRODUCT($AI$15:$DF$15,'Staff Daily sales'!$G146:$CD146))</f>
        <v>918.92</v>
      </c>
      <c r="V161">
        <f>IF($E161=0,0,SUMPRODUCT($AI$16:$DF$16,'Staff Daily sales'!$G146:$CD146))</f>
        <v>5</v>
      </c>
      <c r="W161">
        <f t="shared" si="63"/>
        <v>56644.52</v>
      </c>
      <c r="X161">
        <f t="shared" si="64"/>
        <v>63910.55</v>
      </c>
      <c r="Y161">
        <f t="shared" si="65"/>
        <v>40969.93</v>
      </c>
      <c r="Z161">
        <f t="shared" si="66"/>
        <v>39460.049999999996</v>
      </c>
      <c r="AA161">
        <f t="shared" si="67"/>
        <v>13012.289999999999</v>
      </c>
      <c r="AB161">
        <f>--AND($E161=1,OR('Staff Weekly Trend'!$B$3="All",$DH161='Staff Weekly Trend'!$B$3),OR('Staff Weekly Trend'!$B$4="All",$D161='Staff Weekly Trend'!$B$4),OR('Staff Weekly Trend'!$B$5="All",$A161='Staff Weekly Trend'!$B$5))</f>
        <v>1</v>
      </c>
      <c r="AC161">
        <f t="shared" si="68"/>
        <v>2</v>
      </c>
      <c r="AI161">
        <f t="shared" si="69"/>
        <v>398</v>
      </c>
      <c r="AJ161">
        <f t="shared" si="70"/>
        <v>437</v>
      </c>
      <c r="AK161">
        <f t="shared" si="71"/>
        <v>283</v>
      </c>
      <c r="AL161">
        <f t="shared" si="72"/>
        <v>257</v>
      </c>
      <c r="AM161">
        <f t="shared" si="73"/>
        <v>77</v>
      </c>
      <c r="DH161" t="str" cm="1">
        <f t="array" ref="DH161">IF($A161="","",_xlfn.LET(_xlpm.c,IFERROR(_xlfn.XLOOKUP($A161,TRIM('Sales and count'!$A$4:$A$300&amp;""),TRIM('Sales and count'!$B$4:$B$300&amp;"")),""),IF(OR(_xlpm.c="",_xlpm.c="0",LEFT(_xlpm.c,1)="#"),"Not set",_xlpm.c)))</f>
        <v>KSA</v>
      </c>
    </row>
    <row r="162" spans="1:112" x14ac:dyDescent="0.25">
      <c r="A162" t="str">
        <f>IF('Staff Daily sales'!$B147="","",TRIM('Staff Daily sales'!$B147&amp;""))</f>
        <v>JIZWFPLZ</v>
      </c>
      <c r="B162" t="str">
        <f>IF('Staff Daily sales'!$D147="","",TRIM('Staff Daily sales'!$D147&amp;""))</f>
        <v>4395-MShawk</v>
      </c>
      <c r="C162" t="str">
        <f>IFERROR(TRIM('Staff Daily sales'!$E147&amp;""),"")</f>
        <v>Jizan</v>
      </c>
      <c r="D162" t="str">
        <f>IFERROR(IF(TRIM('Staff Daily sales'!$F147&amp;"")="","Unassigned",TRIM('Staff Daily sales'!$F147&amp;"")),"Unassigned")</f>
        <v>Ahmed Jaffari</v>
      </c>
      <c r="E162">
        <f t="shared" si="58"/>
        <v>1</v>
      </c>
      <c r="F162">
        <f>IF($E162=0,0,SUMPRODUCT($AI$5:$DF$5,'Staff Daily sales'!$G147:$CD147))</f>
        <v>2099.9</v>
      </c>
      <c r="G162">
        <f>IF($E162=0,0,SUMPRODUCT($AI$6:$DF$6,'Staff Daily sales'!$G147:$CD147))</f>
        <v>6</v>
      </c>
      <c r="H162">
        <f t="shared" si="59"/>
        <v>7405.6900000000014</v>
      </c>
      <c r="I162">
        <f t="shared" si="60"/>
        <v>39</v>
      </c>
      <c r="J162">
        <f t="shared" si="61"/>
        <v>44058.899999999994</v>
      </c>
      <c r="K162">
        <f t="shared" si="62"/>
        <v>244</v>
      </c>
      <c r="L162">
        <f>--AND($E162=1,OR('Staff Dashboard'!$B$6="All",$DH162='Staff Dashboard'!$B$6),OR('Staff Dashboard'!$B$7="All",$D162='Staff Dashboard'!$B$7),OR('Staff Dashboard'!$B$8="All",$A162='Staff Dashboard'!$B$8))</f>
        <v>0</v>
      </c>
      <c r="M162">
        <f>IF($E162=0,0,SUMPRODUCT($AI$7:$DF$7,'Staff Daily sales'!$G147:$CD147))</f>
        <v>10523.32</v>
      </c>
      <c r="N162">
        <f>IF($E162=0,0,SUMPRODUCT($AI$8:$DF$8,'Staff Daily sales'!$G147:$CD147))</f>
        <v>65</v>
      </c>
      <c r="O162">
        <f>IF($E162=0,0,SUMPRODUCT($AI$9:$DF$9,'Staff Daily sales'!$G147:$CD147))</f>
        <v>10615.300000000001</v>
      </c>
      <c r="P162">
        <f>IF($E162=0,0,SUMPRODUCT($AI$10:$DF$10,'Staff Daily sales'!$G147:$CD147))</f>
        <v>70</v>
      </c>
      <c r="Q162">
        <f>IF($E162=0,0,SUMPRODUCT($AI$11:$DF$11,'Staff Daily sales'!$G147:$CD147))</f>
        <v>5846.12</v>
      </c>
      <c r="R162">
        <f>IF($E162=0,0,SUMPRODUCT($AI$12:$DF$12,'Staff Daily sales'!$G147:$CD147))</f>
        <v>41</v>
      </c>
      <c r="S162">
        <f>IF($E162=0,0,SUMPRODUCT($AI$13:$DF$13,'Staff Daily sales'!$G147:$CD147))</f>
        <v>8630.82</v>
      </c>
      <c r="T162">
        <f>IF($E162=0,0,SUMPRODUCT($AI$14:$DF$14,'Staff Daily sales'!$G147:$CD147))</f>
        <v>51</v>
      </c>
      <c r="U162">
        <f>IF($E162=0,0,SUMPRODUCT($AI$15:$DF$15,'Staff Daily sales'!$G147:$CD147))</f>
        <v>2970.0299999999997</v>
      </c>
      <c r="V162">
        <f>IF($E162=0,0,SUMPRODUCT($AI$16:$DF$16,'Staff Daily sales'!$G147:$CD147))</f>
        <v>16</v>
      </c>
      <c r="W162">
        <f t="shared" si="63"/>
        <v>56644.52</v>
      </c>
      <c r="X162">
        <f t="shared" si="64"/>
        <v>63910.55</v>
      </c>
      <c r="Y162">
        <f t="shared" si="65"/>
        <v>40969.93</v>
      </c>
      <c r="Z162">
        <f t="shared" si="66"/>
        <v>39460.049999999996</v>
      </c>
      <c r="AA162">
        <f t="shared" si="67"/>
        <v>13012.289999999999</v>
      </c>
      <c r="AB162">
        <f>--AND($E162=1,OR('Staff Weekly Trend'!$B$3="All",$DH162='Staff Weekly Trend'!$B$3),OR('Staff Weekly Trend'!$B$4="All",$D162='Staff Weekly Trend'!$B$4),OR('Staff Weekly Trend'!$B$5="All",$A162='Staff Weekly Trend'!$B$5))</f>
        <v>1</v>
      </c>
      <c r="AC162">
        <f t="shared" si="68"/>
        <v>1</v>
      </c>
      <c r="AI162">
        <f t="shared" si="69"/>
        <v>398</v>
      </c>
      <c r="AJ162">
        <f t="shared" si="70"/>
        <v>437</v>
      </c>
      <c r="AK162">
        <f t="shared" si="71"/>
        <v>283</v>
      </c>
      <c r="AL162">
        <f t="shared" si="72"/>
        <v>257</v>
      </c>
      <c r="AM162">
        <f t="shared" si="73"/>
        <v>77</v>
      </c>
      <c r="DH162" t="str" cm="1">
        <f t="array" ref="DH162">IF($A162="","",_xlfn.LET(_xlpm.c,IFERROR(_xlfn.XLOOKUP($A162,TRIM('Sales and count'!$A$4:$A$300&amp;""),TRIM('Sales and count'!$B$4:$B$300&amp;"")),""),IF(OR(_xlpm.c="",_xlpm.c="0",LEFT(_xlpm.c,1)="#"),"Not set",_xlpm.c)))</f>
        <v>KSA</v>
      </c>
    </row>
    <row r="163" spans="1:112" x14ac:dyDescent="0.25">
      <c r="A163" t="str">
        <f>IF('Staff Daily sales'!$B148="","",TRIM('Staff Daily sales'!$B148&amp;""))</f>
        <v>JIZWFPLZ</v>
      </c>
      <c r="B163" t="str">
        <f>IF('Staff Daily sales'!$D148="","",TRIM('Staff Daily sales'!$D148&amp;""))</f>
        <v>4401-ZAgeeli</v>
      </c>
      <c r="C163" t="str">
        <f>IFERROR(TRIM('Staff Daily sales'!$E148&amp;""),"")</f>
        <v>Jizan</v>
      </c>
      <c r="D163" t="str">
        <f>IFERROR(IF(TRIM('Staff Daily sales'!$F148&amp;"")="","Unassigned",TRIM('Staff Daily sales'!$F148&amp;"")),"Unassigned")</f>
        <v>Ahmed Jaffari</v>
      </c>
      <c r="E163">
        <f t="shared" si="58"/>
        <v>1</v>
      </c>
      <c r="F163">
        <f>IF($E163=0,0,SUMPRODUCT($AI$5:$DF$5,'Staff Daily sales'!$G148:$CD148))</f>
        <v>421.96</v>
      </c>
      <c r="G163">
        <f>IF($E163=0,0,SUMPRODUCT($AI$6:$DF$6,'Staff Daily sales'!$G148:$CD148))</f>
        <v>2</v>
      </c>
      <c r="H163">
        <f t="shared" si="59"/>
        <v>7405.6900000000014</v>
      </c>
      <c r="I163">
        <f t="shared" si="60"/>
        <v>39</v>
      </c>
      <c r="J163">
        <f t="shared" si="61"/>
        <v>44058.899999999994</v>
      </c>
      <c r="K163">
        <f t="shared" si="62"/>
        <v>244</v>
      </c>
      <c r="L163">
        <f>--AND($E163=1,OR('Staff Dashboard'!$B$6="All",$DH163='Staff Dashboard'!$B$6),OR('Staff Dashboard'!$B$7="All",$D163='Staff Dashboard'!$B$7),OR('Staff Dashboard'!$B$8="All",$A163='Staff Dashboard'!$B$8))</f>
        <v>0</v>
      </c>
      <c r="M163">
        <f>IF($E163=0,0,SUMPRODUCT($AI$7:$DF$7,'Staff Daily sales'!$G148:$CD148))</f>
        <v>7035.15</v>
      </c>
      <c r="N163">
        <f>IF($E163=0,0,SUMPRODUCT($AI$8:$DF$8,'Staff Daily sales'!$G148:$CD148))</f>
        <v>52</v>
      </c>
      <c r="O163">
        <f>IF($E163=0,0,SUMPRODUCT($AI$9:$DF$9,'Staff Daily sales'!$G148:$CD148))</f>
        <v>11346.27</v>
      </c>
      <c r="P163">
        <f>IF($E163=0,0,SUMPRODUCT($AI$10:$DF$10,'Staff Daily sales'!$G148:$CD148))</f>
        <v>72</v>
      </c>
      <c r="Q163">
        <f>IF($E163=0,0,SUMPRODUCT($AI$11:$DF$11,'Staff Daily sales'!$G148:$CD148))</f>
        <v>1943.04</v>
      </c>
      <c r="R163">
        <f>IF($E163=0,0,SUMPRODUCT($AI$12:$DF$12,'Staff Daily sales'!$G148:$CD148))</f>
        <v>16</v>
      </c>
      <c r="S163">
        <f>IF($E163=0,0,SUMPRODUCT($AI$13:$DF$13,'Staff Daily sales'!$G148:$CD148))</f>
        <v>4319.92</v>
      </c>
      <c r="T163">
        <f>IF($E163=0,0,SUMPRODUCT($AI$14:$DF$14,'Staff Daily sales'!$G148:$CD148))</f>
        <v>28</v>
      </c>
      <c r="U163">
        <f>IF($E163=0,0,SUMPRODUCT($AI$15:$DF$15,'Staff Daily sales'!$G148:$CD148))</f>
        <v>3122.0299999999997</v>
      </c>
      <c r="V163">
        <f>IF($E163=0,0,SUMPRODUCT($AI$16:$DF$16,'Staff Daily sales'!$G148:$CD148))</f>
        <v>23</v>
      </c>
      <c r="W163">
        <f t="shared" si="63"/>
        <v>56644.52</v>
      </c>
      <c r="X163">
        <f t="shared" si="64"/>
        <v>63910.55</v>
      </c>
      <c r="Y163">
        <f t="shared" si="65"/>
        <v>40969.93</v>
      </c>
      <c r="Z163">
        <f t="shared" si="66"/>
        <v>39460.049999999996</v>
      </c>
      <c r="AA163">
        <f t="shared" si="67"/>
        <v>13012.289999999999</v>
      </c>
      <c r="AB163">
        <f>--AND($E163=1,OR('Staff Weekly Trend'!$B$3="All",$DH163='Staff Weekly Trend'!$B$3),OR('Staff Weekly Trend'!$B$4="All",$D163='Staff Weekly Trend'!$B$4),OR('Staff Weekly Trend'!$B$5="All",$A163='Staff Weekly Trend'!$B$5))</f>
        <v>1</v>
      </c>
      <c r="AC163">
        <f t="shared" si="68"/>
        <v>7</v>
      </c>
      <c r="AI163">
        <f t="shared" si="69"/>
        <v>398</v>
      </c>
      <c r="AJ163">
        <f t="shared" si="70"/>
        <v>437</v>
      </c>
      <c r="AK163">
        <f t="shared" si="71"/>
        <v>283</v>
      </c>
      <c r="AL163">
        <f t="shared" si="72"/>
        <v>257</v>
      </c>
      <c r="AM163">
        <f t="shared" si="73"/>
        <v>77</v>
      </c>
      <c r="DH163" t="str" cm="1">
        <f t="array" ref="DH163">IF($A163="","",_xlfn.LET(_xlpm.c,IFERROR(_xlfn.XLOOKUP($A163,TRIM('Sales and count'!$A$4:$A$300&amp;""),TRIM('Sales and count'!$B$4:$B$300&amp;"")),""),IF(OR(_xlpm.c="",_xlpm.c="0",LEFT(_xlpm.c,1)="#"),"Not set",_xlpm.c)))</f>
        <v>KSA</v>
      </c>
    </row>
    <row r="164" spans="1:112" x14ac:dyDescent="0.25">
      <c r="A164" t="str">
        <f>IF('Staff Daily sales'!$B149="","",TRIM('Staff Daily sales'!$B149&amp;""))</f>
        <v>JIZWFPLZ</v>
      </c>
      <c r="B164" t="str">
        <f>IF('Staff Daily sales'!$D149="","",TRIM('Staff Daily sales'!$D149&amp;""))</f>
        <v>4410-AHakami</v>
      </c>
      <c r="C164" t="str">
        <f>IFERROR(TRIM('Staff Daily sales'!$E149&amp;""),"")</f>
        <v>Jizan</v>
      </c>
      <c r="D164" t="str">
        <f>IFERROR(IF(TRIM('Staff Daily sales'!$F149&amp;"")="","Unassigned",TRIM('Staff Daily sales'!$F149&amp;"")),"Unassigned")</f>
        <v>Ahmed Jaffari</v>
      </c>
      <c r="E164">
        <f t="shared" si="58"/>
        <v>1</v>
      </c>
      <c r="F164">
        <f>IF($E164=0,0,SUMPRODUCT($AI$5:$DF$5,'Staff Daily sales'!$G149:$CD149))</f>
        <v>882.98</v>
      </c>
      <c r="G164">
        <f>IF($E164=0,0,SUMPRODUCT($AI$6:$DF$6,'Staff Daily sales'!$G149:$CD149))</f>
        <v>6</v>
      </c>
      <c r="H164">
        <f t="shared" si="59"/>
        <v>7405.6900000000014</v>
      </c>
      <c r="I164">
        <f t="shared" si="60"/>
        <v>39</v>
      </c>
      <c r="J164">
        <f t="shared" si="61"/>
        <v>44058.899999999994</v>
      </c>
      <c r="K164">
        <f t="shared" si="62"/>
        <v>244</v>
      </c>
      <c r="L164">
        <f>--AND($E164=1,OR('Staff Dashboard'!$B$6="All",$DH164='Staff Dashboard'!$B$6),OR('Staff Dashboard'!$B$7="All",$D164='Staff Dashboard'!$B$7),OR('Staff Dashboard'!$B$8="All",$A164='Staff Dashboard'!$B$8))</f>
        <v>0</v>
      </c>
      <c r="M164">
        <f>IF($E164=0,0,SUMPRODUCT($AI$7:$DF$7,'Staff Daily sales'!$G149:$CD149))</f>
        <v>7176.1500000000005</v>
      </c>
      <c r="N164">
        <f>IF($E164=0,0,SUMPRODUCT($AI$8:$DF$8,'Staff Daily sales'!$G149:$CD149))</f>
        <v>50</v>
      </c>
      <c r="O164">
        <f>IF($E164=0,0,SUMPRODUCT($AI$9:$DF$9,'Staff Daily sales'!$G149:$CD149))</f>
        <v>10195.25</v>
      </c>
      <c r="P164">
        <f>IF($E164=0,0,SUMPRODUCT($AI$10:$DF$10,'Staff Daily sales'!$G149:$CD149))</f>
        <v>79</v>
      </c>
      <c r="Q164">
        <f>IF($E164=0,0,SUMPRODUCT($AI$11:$DF$11,'Staff Daily sales'!$G149:$CD149))</f>
        <v>9390.27</v>
      </c>
      <c r="R164">
        <f>IF($E164=0,0,SUMPRODUCT($AI$12:$DF$12,'Staff Daily sales'!$G149:$CD149))</f>
        <v>58</v>
      </c>
      <c r="S164">
        <f>IF($E164=0,0,SUMPRODUCT($AI$13:$DF$13,'Staff Daily sales'!$G149:$CD149))</f>
        <v>3825.94</v>
      </c>
      <c r="T164">
        <f>IF($E164=0,0,SUMPRODUCT($AI$14:$DF$14,'Staff Daily sales'!$G149:$CD149))</f>
        <v>31</v>
      </c>
      <c r="U164">
        <f>IF($E164=0,0,SUMPRODUCT($AI$15:$DF$15,'Staff Daily sales'!$G149:$CD149))</f>
        <v>0</v>
      </c>
      <c r="V164">
        <f>IF($E164=0,0,SUMPRODUCT($AI$16:$DF$16,'Staff Daily sales'!$G149:$CD149))</f>
        <v>0</v>
      </c>
      <c r="W164">
        <f t="shared" si="63"/>
        <v>56644.52</v>
      </c>
      <c r="X164">
        <f t="shared" si="64"/>
        <v>63910.55</v>
      </c>
      <c r="Y164">
        <f t="shared" si="65"/>
        <v>40969.93</v>
      </c>
      <c r="Z164">
        <f t="shared" si="66"/>
        <v>39460.049999999996</v>
      </c>
      <c r="AA164">
        <f t="shared" si="67"/>
        <v>13012.289999999999</v>
      </c>
      <c r="AB164">
        <f>--AND($E164=1,OR('Staff Weekly Trend'!$B$3="All",$DH164='Staff Weekly Trend'!$B$3),OR('Staff Weekly Trend'!$B$4="All",$D164='Staff Weekly Trend'!$B$4),OR('Staff Weekly Trend'!$B$5="All",$A164='Staff Weekly Trend'!$B$5))</f>
        <v>1</v>
      </c>
      <c r="AC164">
        <f t="shared" si="68"/>
        <v>4</v>
      </c>
      <c r="AI164">
        <f t="shared" si="69"/>
        <v>398</v>
      </c>
      <c r="AJ164">
        <f t="shared" si="70"/>
        <v>437</v>
      </c>
      <c r="AK164">
        <f t="shared" si="71"/>
        <v>283</v>
      </c>
      <c r="AL164">
        <f t="shared" si="72"/>
        <v>257</v>
      </c>
      <c r="AM164">
        <f t="shared" si="73"/>
        <v>77</v>
      </c>
      <c r="DH164" t="str" cm="1">
        <f t="array" ref="DH164">IF($A164="","",_xlfn.LET(_xlpm.c,IFERROR(_xlfn.XLOOKUP($A164,TRIM('Sales and count'!$A$4:$A$300&amp;""),TRIM('Sales and count'!$B$4:$B$300&amp;"")),""),IF(OR(_xlpm.c="",_xlpm.c="0",LEFT(_xlpm.c,1)="#"),"Not set",_xlpm.c)))</f>
        <v>KSA</v>
      </c>
    </row>
    <row r="165" spans="1:112" x14ac:dyDescent="0.25">
      <c r="A165" t="str">
        <f>IF('Staff Daily sales'!$B150="","",TRIM('Staff Daily sales'!$B150&amp;""))</f>
        <v>JIZWFPLZ</v>
      </c>
      <c r="B165" t="str">
        <f>IF('Staff Daily sales'!$D150="","",TRIM('Staff Daily sales'!$D150&amp;""))</f>
        <v>5228-SFaqihi</v>
      </c>
      <c r="C165" t="str">
        <f>IFERROR(TRIM('Staff Daily sales'!$E150&amp;""),"")</f>
        <v>Jizan</v>
      </c>
      <c r="D165" t="str">
        <f>IFERROR(IF(TRIM('Staff Daily sales'!$F150&amp;"")="","Unassigned",TRIM('Staff Daily sales'!$F150&amp;"")),"Unassigned")</f>
        <v>Ahmed Jaffari</v>
      </c>
      <c r="E165">
        <f t="shared" si="58"/>
        <v>1</v>
      </c>
      <c r="F165">
        <f>IF($E165=0,0,SUMPRODUCT($AI$5:$DF$5,'Staff Daily sales'!$G150:$CD150))</f>
        <v>512</v>
      </c>
      <c r="G165">
        <f>IF($E165=0,0,SUMPRODUCT($AI$6:$DF$6,'Staff Daily sales'!$G150:$CD150))</f>
        <v>3</v>
      </c>
      <c r="H165">
        <f t="shared" si="59"/>
        <v>7405.6900000000014</v>
      </c>
      <c r="I165">
        <f t="shared" si="60"/>
        <v>39</v>
      </c>
      <c r="J165">
        <f t="shared" si="61"/>
        <v>44058.899999999994</v>
      </c>
      <c r="K165">
        <f t="shared" si="62"/>
        <v>244</v>
      </c>
      <c r="L165">
        <f>--AND($E165=1,OR('Staff Dashboard'!$B$6="All",$DH165='Staff Dashboard'!$B$6),OR('Staff Dashboard'!$B$7="All",$D165='Staff Dashboard'!$B$7),OR('Staff Dashboard'!$B$8="All",$A165='Staff Dashboard'!$B$8))</f>
        <v>0</v>
      </c>
      <c r="M165">
        <f>IF($E165=0,0,SUMPRODUCT($AI$7:$DF$7,'Staff Daily sales'!$G150:$CD150))</f>
        <v>4819.13</v>
      </c>
      <c r="N165">
        <f>IF($E165=0,0,SUMPRODUCT($AI$8:$DF$8,'Staff Daily sales'!$G150:$CD150))</f>
        <v>36</v>
      </c>
      <c r="O165">
        <f>IF($E165=0,0,SUMPRODUCT($AI$9:$DF$9,'Staff Daily sales'!$G150:$CD150))</f>
        <v>10486.249999999998</v>
      </c>
      <c r="P165">
        <f>IF($E165=0,0,SUMPRODUCT($AI$10:$DF$10,'Staff Daily sales'!$G150:$CD150))</f>
        <v>70</v>
      </c>
      <c r="Q165">
        <f>IF($E165=0,0,SUMPRODUCT($AI$11:$DF$11,'Staff Daily sales'!$G150:$CD150))</f>
        <v>685.02</v>
      </c>
      <c r="R165">
        <f>IF($E165=0,0,SUMPRODUCT($AI$12:$DF$12,'Staff Daily sales'!$G150:$CD150))</f>
        <v>7</v>
      </c>
      <c r="S165">
        <f>IF($E165=0,0,SUMPRODUCT($AI$13:$DF$13,'Staff Daily sales'!$G150:$CD150))</f>
        <v>2388.86</v>
      </c>
      <c r="T165">
        <f>IF($E165=0,0,SUMPRODUCT($AI$14:$DF$14,'Staff Daily sales'!$G150:$CD150))</f>
        <v>13</v>
      </c>
      <c r="U165">
        <f>IF($E165=0,0,SUMPRODUCT($AI$15:$DF$15,'Staff Daily sales'!$G150:$CD150))</f>
        <v>0</v>
      </c>
      <c r="V165">
        <f>IF($E165=0,0,SUMPRODUCT($AI$16:$DF$16,'Staff Daily sales'!$G150:$CD150))</f>
        <v>0</v>
      </c>
      <c r="W165">
        <f t="shared" si="63"/>
        <v>56644.52</v>
      </c>
      <c r="X165">
        <f t="shared" si="64"/>
        <v>63910.55</v>
      </c>
      <c r="Y165">
        <f t="shared" si="65"/>
        <v>40969.93</v>
      </c>
      <c r="Z165">
        <f t="shared" si="66"/>
        <v>39460.049999999996</v>
      </c>
      <c r="AA165">
        <f t="shared" si="67"/>
        <v>13012.289999999999</v>
      </c>
      <c r="AB165">
        <f>--AND($E165=1,OR('Staff Weekly Trend'!$B$3="All",$DH165='Staff Weekly Trend'!$B$3),OR('Staff Weekly Trend'!$B$4="All",$D165='Staff Weekly Trend'!$B$4),OR('Staff Weekly Trend'!$B$5="All",$A165='Staff Weekly Trend'!$B$5))</f>
        <v>1</v>
      </c>
      <c r="AC165">
        <f t="shared" si="68"/>
        <v>6</v>
      </c>
      <c r="AI165">
        <f t="shared" si="69"/>
        <v>398</v>
      </c>
      <c r="AJ165">
        <f t="shared" si="70"/>
        <v>437</v>
      </c>
      <c r="AK165">
        <f t="shared" si="71"/>
        <v>283</v>
      </c>
      <c r="AL165">
        <f t="shared" si="72"/>
        <v>257</v>
      </c>
      <c r="AM165">
        <f t="shared" si="73"/>
        <v>77</v>
      </c>
      <c r="DH165" t="str" cm="1">
        <f t="array" ref="DH165">IF($A165="","",_xlfn.LET(_xlpm.c,IFERROR(_xlfn.XLOOKUP($A165,TRIM('Sales and count'!$A$4:$A$300&amp;""),TRIM('Sales and count'!$B$4:$B$300&amp;"")),""),IF(OR(_xlpm.c="",_xlpm.c="0",LEFT(_xlpm.c,1)="#"),"Not set",_xlpm.c)))</f>
        <v>KSA</v>
      </c>
    </row>
    <row r="166" spans="1:112" x14ac:dyDescent="0.25">
      <c r="A166" t="str">
        <f>IF('Staff Daily sales'!$B151="","",TRIM('Staff Daily sales'!$B151&amp;""))</f>
        <v>JIZWFPLZ</v>
      </c>
      <c r="B166" t="str">
        <f>IF('Staff Daily sales'!$D151="","",TRIM('Staff Daily sales'!$D151&amp;""))</f>
        <v>5405-HHarisi</v>
      </c>
      <c r="C166" t="str">
        <f>IFERROR(TRIM('Staff Daily sales'!$E151&amp;""),"")</f>
        <v>Jizan</v>
      </c>
      <c r="D166" t="str">
        <f>IFERROR(IF(TRIM('Staff Daily sales'!$F151&amp;"")="","Unassigned",TRIM('Staff Daily sales'!$F151&amp;"")),"Unassigned")</f>
        <v>Ahmed Jaffari</v>
      </c>
      <c r="E166">
        <f t="shared" si="58"/>
        <v>1</v>
      </c>
      <c r="F166">
        <f>IF($E166=0,0,SUMPRODUCT($AI$5:$DF$5,'Staff Daily sales'!$G151:$CD151))</f>
        <v>421.96</v>
      </c>
      <c r="G166">
        <f>IF($E166=0,0,SUMPRODUCT($AI$6:$DF$6,'Staff Daily sales'!$G151:$CD151))</f>
        <v>2</v>
      </c>
      <c r="H166">
        <f t="shared" si="59"/>
        <v>7405.6900000000014</v>
      </c>
      <c r="I166">
        <f t="shared" si="60"/>
        <v>39</v>
      </c>
      <c r="J166">
        <f t="shared" si="61"/>
        <v>44058.899999999994</v>
      </c>
      <c r="K166">
        <f t="shared" si="62"/>
        <v>244</v>
      </c>
      <c r="L166">
        <f>--AND($E166=1,OR('Staff Dashboard'!$B$6="All",$DH166='Staff Dashboard'!$B$6),OR('Staff Dashboard'!$B$7="All",$D166='Staff Dashboard'!$B$7),OR('Staff Dashboard'!$B$8="All",$A166='Staff Dashboard'!$B$8))</f>
        <v>0</v>
      </c>
      <c r="M166">
        <f>IF($E166=0,0,SUMPRODUCT($AI$7:$DF$7,'Staff Daily sales'!$G151:$CD151))</f>
        <v>4649.1499999999996</v>
      </c>
      <c r="N166">
        <f>IF($E166=0,0,SUMPRODUCT($AI$8:$DF$8,'Staff Daily sales'!$G151:$CD151))</f>
        <v>41</v>
      </c>
      <c r="O166">
        <f>IF($E166=0,0,SUMPRODUCT($AI$9:$DF$9,'Staff Daily sales'!$G151:$CD151))</f>
        <v>0</v>
      </c>
      <c r="P166">
        <f>IF($E166=0,0,SUMPRODUCT($AI$10:$DF$10,'Staff Daily sales'!$G151:$CD151))</f>
        <v>0</v>
      </c>
      <c r="Q166">
        <f>IF($E166=0,0,SUMPRODUCT($AI$11:$DF$11,'Staff Daily sales'!$G151:$CD151))</f>
        <v>6315.1100000000006</v>
      </c>
      <c r="R166">
        <f>IF($E166=0,0,SUMPRODUCT($AI$12:$DF$12,'Staff Daily sales'!$G151:$CD151))</f>
        <v>43</v>
      </c>
      <c r="S166">
        <f>IF($E166=0,0,SUMPRODUCT($AI$13:$DF$13,'Staff Daily sales'!$G151:$CD151))</f>
        <v>3823.8900000000003</v>
      </c>
      <c r="T166">
        <f>IF($E166=0,0,SUMPRODUCT($AI$14:$DF$14,'Staff Daily sales'!$G151:$CD151))</f>
        <v>32</v>
      </c>
      <c r="U166">
        <f>IF($E166=0,0,SUMPRODUCT($AI$15:$DF$15,'Staff Daily sales'!$G151:$CD151))</f>
        <v>0</v>
      </c>
      <c r="V166">
        <f>IF($E166=0,0,SUMPRODUCT($AI$16:$DF$16,'Staff Daily sales'!$G151:$CD151))</f>
        <v>0</v>
      </c>
      <c r="W166">
        <f t="shared" si="63"/>
        <v>56644.52</v>
      </c>
      <c r="X166">
        <f t="shared" si="64"/>
        <v>63910.55</v>
      </c>
      <c r="Y166">
        <f t="shared" si="65"/>
        <v>40969.93</v>
      </c>
      <c r="Z166">
        <f t="shared" si="66"/>
        <v>39460.049999999996</v>
      </c>
      <c r="AA166">
        <f t="shared" si="67"/>
        <v>13012.289999999999</v>
      </c>
      <c r="AB166">
        <f>--AND($E166=1,OR('Staff Weekly Trend'!$B$3="All",$DH166='Staff Weekly Trend'!$B$3),OR('Staff Weekly Trend'!$B$4="All",$D166='Staff Weekly Trend'!$B$4),OR('Staff Weekly Trend'!$B$5="All",$A166='Staff Weekly Trend'!$B$5))</f>
        <v>1</v>
      </c>
      <c r="AC166">
        <f t="shared" si="68"/>
        <v>7</v>
      </c>
      <c r="AI166">
        <f t="shared" si="69"/>
        <v>398</v>
      </c>
      <c r="AJ166">
        <f t="shared" si="70"/>
        <v>437</v>
      </c>
      <c r="AK166">
        <f t="shared" si="71"/>
        <v>283</v>
      </c>
      <c r="AL166">
        <f t="shared" si="72"/>
        <v>257</v>
      </c>
      <c r="AM166">
        <f t="shared" si="73"/>
        <v>77</v>
      </c>
      <c r="DH166" t="str" cm="1">
        <f t="array" ref="DH166">IF($A166="","",_xlfn.LET(_xlpm.c,IFERROR(_xlfn.XLOOKUP($A166,TRIM('Sales and count'!$A$4:$A$300&amp;""),TRIM('Sales and count'!$B$4:$B$300&amp;"")),""),IF(OR(_xlpm.c="",_xlpm.c="0",LEFT(_xlpm.c,1)="#"),"Not set",_xlpm.c)))</f>
        <v>KSA</v>
      </c>
    </row>
    <row r="167" spans="1:112" x14ac:dyDescent="0.25">
      <c r="A167" t="str">
        <f>IF('Staff Daily sales'!$B152="","",TRIM('Staff Daily sales'!$B152&amp;""))</f>
        <v>JIZWFPLZ</v>
      </c>
      <c r="B167" t="str">
        <f>IF('Staff Daily sales'!$D152="","",TRIM('Staff Daily sales'!$D152&amp;""))</f>
        <v>5411-AAbsi</v>
      </c>
      <c r="C167" t="str">
        <f>IFERROR(TRIM('Staff Daily sales'!$E152&amp;""),"")</f>
        <v>Jizan</v>
      </c>
      <c r="D167" t="str">
        <f>IFERROR(IF(TRIM('Staff Daily sales'!$F152&amp;"")="","Unassigned",TRIM('Staff Daily sales'!$F152&amp;"")),"Unassigned")</f>
        <v>Ahmed Jaffari</v>
      </c>
      <c r="E167">
        <f t="shared" si="58"/>
        <v>1</v>
      </c>
      <c r="F167">
        <f>IF($E167=0,0,SUMPRODUCT($AI$5:$DF$5,'Staff Daily sales'!$G152:$CD152))</f>
        <v>1050.98</v>
      </c>
      <c r="G167">
        <f>IF($E167=0,0,SUMPRODUCT($AI$6:$DF$6,'Staff Daily sales'!$G152:$CD152))</f>
        <v>9</v>
      </c>
      <c r="H167">
        <f t="shared" si="59"/>
        <v>7405.6900000000014</v>
      </c>
      <c r="I167">
        <f t="shared" si="60"/>
        <v>39</v>
      </c>
      <c r="J167">
        <f t="shared" si="61"/>
        <v>44058.899999999994</v>
      </c>
      <c r="K167">
        <f t="shared" si="62"/>
        <v>244</v>
      </c>
      <c r="L167">
        <f>--AND($E167=1,OR('Staff Dashboard'!$B$6="All",$DH167='Staff Dashboard'!$B$6),OR('Staff Dashboard'!$B$7="All",$D167='Staff Dashboard'!$B$7),OR('Staff Dashboard'!$B$8="All",$A167='Staff Dashboard'!$B$8))</f>
        <v>0</v>
      </c>
      <c r="M167">
        <f>IF($E167=0,0,SUMPRODUCT($AI$7:$DF$7,'Staff Daily sales'!$G152:$CD152))</f>
        <v>8648.2800000000007</v>
      </c>
      <c r="N167">
        <f>IF($E167=0,0,SUMPRODUCT($AI$8:$DF$8,'Staff Daily sales'!$G152:$CD152))</f>
        <v>63</v>
      </c>
      <c r="O167">
        <f>IF($E167=0,0,SUMPRODUCT($AI$9:$DF$9,'Staff Daily sales'!$G152:$CD152))</f>
        <v>11781.230000000001</v>
      </c>
      <c r="P167">
        <f>IF($E167=0,0,SUMPRODUCT($AI$10:$DF$10,'Staff Daily sales'!$G152:$CD152))</f>
        <v>82</v>
      </c>
      <c r="Q167">
        <f>IF($E167=0,0,SUMPRODUCT($AI$11:$DF$11,'Staff Daily sales'!$G152:$CD152))</f>
        <v>7510.21</v>
      </c>
      <c r="R167">
        <f>IF($E167=0,0,SUMPRODUCT($AI$12:$DF$12,'Staff Daily sales'!$G152:$CD152))</f>
        <v>50</v>
      </c>
      <c r="S167">
        <f>IF($E167=0,0,SUMPRODUCT($AI$13:$DF$13,'Staff Daily sales'!$G152:$CD152))</f>
        <v>8546.8000000000011</v>
      </c>
      <c r="T167">
        <f>IF($E167=0,0,SUMPRODUCT($AI$14:$DF$14,'Staff Daily sales'!$G152:$CD152))</f>
        <v>54</v>
      </c>
      <c r="U167">
        <f>IF($E167=0,0,SUMPRODUCT($AI$15:$DF$15,'Staff Daily sales'!$G152:$CD152))</f>
        <v>1924.14</v>
      </c>
      <c r="V167">
        <f>IF($E167=0,0,SUMPRODUCT($AI$16:$DF$16,'Staff Daily sales'!$G152:$CD152))</f>
        <v>13</v>
      </c>
      <c r="W167">
        <f t="shared" si="63"/>
        <v>56644.52</v>
      </c>
      <c r="X167">
        <f t="shared" si="64"/>
        <v>63910.55</v>
      </c>
      <c r="Y167">
        <f t="shared" si="65"/>
        <v>40969.93</v>
      </c>
      <c r="Z167">
        <f t="shared" si="66"/>
        <v>39460.049999999996</v>
      </c>
      <c r="AA167">
        <f t="shared" si="67"/>
        <v>13012.289999999999</v>
      </c>
      <c r="AB167">
        <f>--AND($E167=1,OR('Staff Weekly Trend'!$B$3="All",$DH167='Staff Weekly Trend'!$B$3),OR('Staff Weekly Trend'!$B$4="All",$D167='Staff Weekly Trend'!$B$4),OR('Staff Weekly Trend'!$B$5="All",$A167='Staff Weekly Trend'!$B$5))</f>
        <v>1</v>
      </c>
      <c r="AC167">
        <f t="shared" si="68"/>
        <v>3</v>
      </c>
      <c r="AI167">
        <f t="shared" si="69"/>
        <v>398</v>
      </c>
      <c r="AJ167">
        <f t="shared" si="70"/>
        <v>437</v>
      </c>
      <c r="AK167">
        <f t="shared" si="71"/>
        <v>283</v>
      </c>
      <c r="AL167">
        <f t="shared" si="72"/>
        <v>257</v>
      </c>
      <c r="AM167">
        <f t="shared" si="73"/>
        <v>77</v>
      </c>
      <c r="DH167" t="str" cm="1">
        <f t="array" ref="DH167">IF($A167="","",_xlfn.LET(_xlpm.c,IFERROR(_xlfn.XLOOKUP($A167,TRIM('Sales and count'!$A$4:$A$300&amp;""),TRIM('Sales and count'!$B$4:$B$300&amp;"")),""),IF(OR(_xlpm.c="",_xlpm.c="0",LEFT(_xlpm.c,1)="#"),"Not set",_xlpm.c)))</f>
        <v>KSA</v>
      </c>
    </row>
    <row r="168" spans="1:112" x14ac:dyDescent="0.25">
      <c r="A168" t="str">
        <f>IF('Staff Daily sales'!$B153="","",TRIM('Staff Daily sales'!$B153&amp;""))</f>
        <v>JIZWFPLZ</v>
      </c>
      <c r="B168" t="str">
        <f>IF('Staff Daily sales'!$D153="","",TRIM('Staff Daily sales'!$D153&amp;""))</f>
        <v>5703-AGesiri</v>
      </c>
      <c r="C168" t="str">
        <f>IFERROR(TRIM('Staff Daily sales'!$E153&amp;""),"")</f>
        <v>Jizan</v>
      </c>
      <c r="D168" t="str">
        <f>IFERROR(IF(TRIM('Staff Daily sales'!$F153&amp;"")="","Unassigned",TRIM('Staff Daily sales'!$F153&amp;"")),"Unassigned")</f>
        <v>Ahmed Jaffari</v>
      </c>
      <c r="E168">
        <f t="shared" si="58"/>
        <v>1</v>
      </c>
      <c r="F168">
        <f>IF($E168=0,0,SUMPRODUCT($AI$5:$DF$5,'Staff Daily sales'!$G153:$CD153))</f>
        <v>809.97</v>
      </c>
      <c r="G168">
        <f>IF($E168=0,0,SUMPRODUCT($AI$6:$DF$6,'Staff Daily sales'!$G153:$CD153))</f>
        <v>4</v>
      </c>
      <c r="H168">
        <f t="shared" si="59"/>
        <v>7405.6900000000014</v>
      </c>
      <c r="I168">
        <f t="shared" si="60"/>
        <v>39</v>
      </c>
      <c r="J168">
        <f t="shared" si="61"/>
        <v>44058.899999999994</v>
      </c>
      <c r="K168">
        <f t="shared" si="62"/>
        <v>244</v>
      </c>
      <c r="L168">
        <f>--AND($E168=1,OR('Staff Dashboard'!$B$6="All",$DH168='Staff Dashboard'!$B$6),OR('Staff Dashboard'!$B$7="All",$D168='Staff Dashboard'!$B$7),OR('Staff Dashboard'!$B$8="All",$A168='Staff Dashboard'!$B$8))</f>
        <v>0</v>
      </c>
      <c r="M168">
        <f>IF($E168=0,0,SUMPRODUCT($AI$7:$DF$7,'Staff Daily sales'!$G153:$CD153))</f>
        <v>9638.25</v>
      </c>
      <c r="N168">
        <f>IF($E168=0,0,SUMPRODUCT($AI$8:$DF$8,'Staff Daily sales'!$G153:$CD153))</f>
        <v>65</v>
      </c>
      <c r="O168">
        <f>IF($E168=0,0,SUMPRODUCT($AI$9:$DF$9,'Staff Daily sales'!$G153:$CD153))</f>
        <v>2850.0699999999997</v>
      </c>
      <c r="P168">
        <f>IF($E168=0,0,SUMPRODUCT($AI$10:$DF$10,'Staff Daily sales'!$G153:$CD153))</f>
        <v>20</v>
      </c>
      <c r="Q168">
        <f>IF($E168=0,0,SUMPRODUCT($AI$11:$DF$11,'Staff Daily sales'!$G153:$CD153))</f>
        <v>3969.06</v>
      </c>
      <c r="R168">
        <f>IF($E168=0,0,SUMPRODUCT($AI$12:$DF$12,'Staff Daily sales'!$G153:$CD153))</f>
        <v>36</v>
      </c>
      <c r="S168">
        <f>IF($E168=0,0,SUMPRODUCT($AI$13:$DF$13,'Staff Daily sales'!$G153:$CD153))</f>
        <v>2874</v>
      </c>
      <c r="T168">
        <f>IF($E168=0,0,SUMPRODUCT($AI$14:$DF$14,'Staff Daily sales'!$G153:$CD153))</f>
        <v>19</v>
      </c>
      <c r="U168">
        <f>IF($E168=0,0,SUMPRODUCT($AI$15:$DF$15,'Staff Daily sales'!$G153:$CD153))</f>
        <v>4077.17</v>
      </c>
      <c r="V168">
        <f>IF($E168=0,0,SUMPRODUCT($AI$16:$DF$16,'Staff Daily sales'!$G153:$CD153))</f>
        <v>20</v>
      </c>
      <c r="W168">
        <f t="shared" si="63"/>
        <v>56644.52</v>
      </c>
      <c r="X168">
        <f t="shared" si="64"/>
        <v>63910.55</v>
      </c>
      <c r="Y168">
        <f t="shared" si="65"/>
        <v>40969.93</v>
      </c>
      <c r="Z168">
        <f t="shared" si="66"/>
        <v>39460.049999999996</v>
      </c>
      <c r="AA168">
        <f t="shared" si="67"/>
        <v>13012.289999999999</v>
      </c>
      <c r="AB168">
        <f>--AND($E168=1,OR('Staff Weekly Trend'!$B$3="All",$DH168='Staff Weekly Trend'!$B$3),OR('Staff Weekly Trend'!$B$4="All",$D168='Staff Weekly Trend'!$B$4),OR('Staff Weekly Trend'!$B$5="All",$A168='Staff Weekly Trend'!$B$5))</f>
        <v>1</v>
      </c>
      <c r="AC168">
        <f t="shared" si="68"/>
        <v>5</v>
      </c>
      <c r="AI168">
        <f t="shared" si="69"/>
        <v>398</v>
      </c>
      <c r="AJ168">
        <f t="shared" si="70"/>
        <v>437</v>
      </c>
      <c r="AK168">
        <f t="shared" si="71"/>
        <v>283</v>
      </c>
      <c r="AL168">
        <f t="shared" si="72"/>
        <v>257</v>
      </c>
      <c r="AM168">
        <f t="shared" si="73"/>
        <v>77</v>
      </c>
      <c r="DH168" t="str" cm="1">
        <f t="array" ref="DH168">IF($A168="","",_xlfn.LET(_xlpm.c,IFERROR(_xlfn.XLOOKUP($A168,TRIM('Sales and count'!$A$4:$A$300&amp;""),TRIM('Sales and count'!$B$4:$B$300&amp;"")),""),IF(OR(_xlpm.c="",_xlpm.c="0",LEFT(_xlpm.c,1)="#"),"Not set",_xlpm.c)))</f>
        <v>KSA</v>
      </c>
    </row>
    <row r="169" spans="1:112" x14ac:dyDescent="0.25">
      <c r="A169" t="str">
        <f>IF('Staff Daily sales'!$B154="","",TRIM('Staff Daily sales'!$B154&amp;""))</f>
        <v>JEDDYASMN</v>
      </c>
      <c r="B169" t="str">
        <f>IF('Staff Daily sales'!$D154="","",TRIM('Staff Daily sales'!$D154&amp;""))</f>
        <v>3494-Yousif Alshahri</v>
      </c>
      <c r="C169" t="str">
        <f>IFERROR(TRIM('Staff Daily sales'!$E154&amp;""),"")</f>
        <v>Jeddah</v>
      </c>
      <c r="D169" t="str">
        <f>IFERROR(IF(TRIM('Staff Daily sales'!$F154&amp;"")="","Unassigned",TRIM('Staff Daily sales'!$F154&amp;"")),"Unassigned")</f>
        <v>Saleh Bin Hoiel</v>
      </c>
      <c r="E169">
        <f t="shared" si="58"/>
        <v>1</v>
      </c>
      <c r="F169">
        <f>IF($E169=0,0,SUMPRODUCT($AI$5:$DF$5,'Staff Daily sales'!$G154:$CD154))</f>
        <v>1054.9000000000001</v>
      </c>
      <c r="G169">
        <f>IF($E169=0,0,SUMPRODUCT($AI$6:$DF$6,'Staff Daily sales'!$G154:$CD154))</f>
        <v>3</v>
      </c>
      <c r="H169">
        <f t="shared" si="59"/>
        <v>3925.88</v>
      </c>
      <c r="I169">
        <f t="shared" si="60"/>
        <v>24</v>
      </c>
      <c r="J169">
        <f t="shared" si="61"/>
        <v>69638.36</v>
      </c>
      <c r="K169">
        <f t="shared" si="62"/>
        <v>362</v>
      </c>
      <c r="L169">
        <f>--AND($E169=1,OR('Staff Dashboard'!$B$6="All",$DH169='Staff Dashboard'!$B$6),OR('Staff Dashboard'!$B$7="All",$D169='Staff Dashboard'!$B$7),OR('Staff Dashboard'!$B$8="All",$A169='Staff Dashboard'!$B$8))</f>
        <v>0</v>
      </c>
      <c r="M169">
        <f>IF($E169=0,0,SUMPRODUCT($AI$7:$DF$7,'Staff Daily sales'!$G154:$CD154))</f>
        <v>7907.17</v>
      </c>
      <c r="N169">
        <f>IF($E169=0,0,SUMPRODUCT($AI$8:$DF$8,'Staff Daily sales'!$G154:$CD154))</f>
        <v>52</v>
      </c>
      <c r="O169">
        <f>IF($E169=0,0,SUMPRODUCT($AI$9:$DF$9,'Staff Daily sales'!$G154:$CD154))</f>
        <v>10737.25</v>
      </c>
      <c r="P169">
        <f>IF($E169=0,0,SUMPRODUCT($AI$10:$DF$10,'Staff Daily sales'!$G154:$CD154))</f>
        <v>71</v>
      </c>
      <c r="Q169">
        <f>IF($E169=0,0,SUMPRODUCT($AI$11:$DF$11,'Staff Daily sales'!$G154:$CD154))</f>
        <v>5650.0599999999995</v>
      </c>
      <c r="R169">
        <f>IF($E169=0,0,SUMPRODUCT($AI$12:$DF$12,'Staff Daily sales'!$G154:$CD154))</f>
        <v>32</v>
      </c>
      <c r="S169">
        <f>IF($E169=0,0,SUMPRODUCT($AI$13:$DF$13,'Staff Daily sales'!$G154:$CD154))</f>
        <v>3052.94</v>
      </c>
      <c r="T169">
        <f>IF($E169=0,0,SUMPRODUCT($AI$14:$DF$14,'Staff Daily sales'!$G154:$CD154))</f>
        <v>18</v>
      </c>
      <c r="U169">
        <f>IF($E169=0,0,SUMPRODUCT($AI$15:$DF$15,'Staff Daily sales'!$G154:$CD154))</f>
        <v>2026.92</v>
      </c>
      <c r="V169">
        <f>IF($E169=0,0,SUMPRODUCT($AI$16:$DF$16,'Staff Daily sales'!$G154:$CD154))</f>
        <v>15</v>
      </c>
      <c r="W169">
        <f t="shared" si="63"/>
        <v>29017.520000000004</v>
      </c>
      <c r="X169">
        <f t="shared" si="64"/>
        <v>45289.760000000002</v>
      </c>
      <c r="Y169">
        <f t="shared" si="65"/>
        <v>25421.55</v>
      </c>
      <c r="Z169">
        <f t="shared" si="66"/>
        <v>23534.7</v>
      </c>
      <c r="AA169">
        <f t="shared" si="67"/>
        <v>7546.91</v>
      </c>
      <c r="AB169">
        <f>--AND($E169=1,OR('Staff Weekly Trend'!$B$3="All",$DH169='Staff Weekly Trend'!$B$3),OR('Staff Weekly Trend'!$B$4="All",$D169='Staff Weekly Trend'!$B$4),OR('Staff Weekly Trend'!$B$5="All",$A169='Staff Weekly Trend'!$B$5))</f>
        <v>1</v>
      </c>
      <c r="AC169">
        <f t="shared" si="68"/>
        <v>1</v>
      </c>
      <c r="AI169">
        <f t="shared" si="69"/>
        <v>224</v>
      </c>
      <c r="AJ169">
        <f t="shared" si="70"/>
        <v>288</v>
      </c>
      <c r="AK169">
        <f t="shared" si="71"/>
        <v>194</v>
      </c>
      <c r="AL169">
        <f t="shared" si="72"/>
        <v>161</v>
      </c>
      <c r="AM169">
        <f t="shared" si="73"/>
        <v>52</v>
      </c>
      <c r="DH169" t="str" cm="1">
        <f t="array" ref="DH169">IF($A169="","",_xlfn.LET(_xlpm.c,IFERROR(_xlfn.XLOOKUP($A169,TRIM('Sales and count'!$A$4:$A$300&amp;""),TRIM('Sales and count'!$B$4:$B$300&amp;"")),""),IF(OR(_xlpm.c="",_xlpm.c="0",LEFT(_xlpm.c,1)="#"),"Not set",_xlpm.c)))</f>
        <v>KSA</v>
      </c>
    </row>
    <row r="170" spans="1:112" x14ac:dyDescent="0.25">
      <c r="A170" t="str">
        <f>IF('Staff Daily sales'!$B155="","",TRIM('Staff Daily sales'!$B155&amp;""))</f>
        <v>JEDDYASMN</v>
      </c>
      <c r="B170" t="str">
        <f>IF('Staff Daily sales'!$D155="","",TRIM('Staff Daily sales'!$D155&amp;""))</f>
        <v>4310-SAlmaloi</v>
      </c>
      <c r="C170" t="str">
        <f>IFERROR(TRIM('Staff Daily sales'!$E155&amp;""),"")</f>
        <v>Jeddah</v>
      </c>
      <c r="D170" t="str">
        <f>IFERROR(IF(TRIM('Staff Daily sales'!$F155&amp;"")="","Unassigned",TRIM('Staff Daily sales'!$F155&amp;"")),"Unassigned")</f>
        <v>Saleh Bin Hoiel</v>
      </c>
      <c r="E170">
        <f t="shared" si="58"/>
        <v>1</v>
      </c>
      <c r="F170">
        <f>IF($E170=0,0,SUMPRODUCT($AI$5:$DF$5,'Staff Daily sales'!$G155:$CD155))</f>
        <v>950.97</v>
      </c>
      <c r="G170">
        <f>IF($E170=0,0,SUMPRODUCT($AI$6:$DF$6,'Staff Daily sales'!$G155:$CD155))</f>
        <v>9</v>
      </c>
      <c r="H170">
        <f t="shared" si="59"/>
        <v>3925.88</v>
      </c>
      <c r="I170">
        <f t="shared" si="60"/>
        <v>24</v>
      </c>
      <c r="J170">
        <f t="shared" si="61"/>
        <v>69638.36</v>
      </c>
      <c r="K170">
        <f t="shared" si="62"/>
        <v>362</v>
      </c>
      <c r="L170">
        <f>--AND($E170=1,OR('Staff Dashboard'!$B$6="All",$DH170='Staff Dashboard'!$B$6),OR('Staff Dashboard'!$B$7="All",$D170='Staff Dashboard'!$B$7),OR('Staff Dashboard'!$B$8="All",$A170='Staff Dashboard'!$B$8))</f>
        <v>0</v>
      </c>
      <c r="M170">
        <f>IF($E170=0,0,SUMPRODUCT($AI$7:$DF$7,'Staff Daily sales'!$G155:$CD155))</f>
        <v>4302.1000000000004</v>
      </c>
      <c r="N170">
        <f>IF($E170=0,0,SUMPRODUCT($AI$8:$DF$8,'Staff Daily sales'!$G155:$CD155))</f>
        <v>36</v>
      </c>
      <c r="O170">
        <f>IF($E170=0,0,SUMPRODUCT($AI$9:$DF$9,'Staff Daily sales'!$G155:$CD155))</f>
        <v>8425.18</v>
      </c>
      <c r="P170">
        <f>IF($E170=0,0,SUMPRODUCT($AI$10:$DF$10,'Staff Daily sales'!$G155:$CD155))</f>
        <v>47</v>
      </c>
      <c r="Q170">
        <f>IF($E170=0,0,SUMPRODUCT($AI$11:$DF$11,'Staff Daily sales'!$G155:$CD155))</f>
        <v>6241.17</v>
      </c>
      <c r="R170">
        <f>IF($E170=0,0,SUMPRODUCT($AI$12:$DF$12,'Staff Daily sales'!$G155:$CD155))</f>
        <v>53</v>
      </c>
      <c r="S170">
        <f>IF($E170=0,0,SUMPRODUCT($AI$13:$DF$13,'Staff Daily sales'!$G155:$CD155))</f>
        <v>8279.85</v>
      </c>
      <c r="T170">
        <f>IF($E170=0,0,SUMPRODUCT($AI$14:$DF$14,'Staff Daily sales'!$G155:$CD155))</f>
        <v>59</v>
      </c>
      <c r="U170">
        <f>IF($E170=0,0,SUMPRODUCT($AI$15:$DF$15,'Staff Daily sales'!$G155:$CD155))</f>
        <v>1118.99</v>
      </c>
      <c r="V170">
        <f>IF($E170=0,0,SUMPRODUCT($AI$16:$DF$16,'Staff Daily sales'!$G155:$CD155))</f>
        <v>7</v>
      </c>
      <c r="W170">
        <f t="shared" si="63"/>
        <v>29017.520000000004</v>
      </c>
      <c r="X170">
        <f t="shared" si="64"/>
        <v>45289.760000000002</v>
      </c>
      <c r="Y170">
        <f t="shared" si="65"/>
        <v>25421.55</v>
      </c>
      <c r="Z170">
        <f t="shared" si="66"/>
        <v>23534.7</v>
      </c>
      <c r="AA170">
        <f t="shared" si="67"/>
        <v>7546.91</v>
      </c>
      <c r="AB170">
        <f>--AND($E170=1,OR('Staff Weekly Trend'!$B$3="All",$DH170='Staff Weekly Trend'!$B$3),OR('Staff Weekly Trend'!$B$4="All",$D170='Staff Weekly Trend'!$B$4),OR('Staff Weekly Trend'!$B$5="All",$A170='Staff Weekly Trend'!$B$5))</f>
        <v>1</v>
      </c>
      <c r="AC170">
        <f t="shared" si="68"/>
        <v>3</v>
      </c>
      <c r="AI170">
        <f t="shared" si="69"/>
        <v>224</v>
      </c>
      <c r="AJ170">
        <f t="shared" si="70"/>
        <v>288</v>
      </c>
      <c r="AK170">
        <f t="shared" si="71"/>
        <v>194</v>
      </c>
      <c r="AL170">
        <f t="shared" si="72"/>
        <v>161</v>
      </c>
      <c r="AM170">
        <f t="shared" si="73"/>
        <v>52</v>
      </c>
      <c r="DH170" t="str" cm="1">
        <f t="array" ref="DH170">IF($A170="","",_xlfn.LET(_xlpm.c,IFERROR(_xlfn.XLOOKUP($A170,TRIM('Sales and count'!$A$4:$A$300&amp;""),TRIM('Sales and count'!$B$4:$B$300&amp;"")),""),IF(OR(_xlpm.c="",_xlpm.c="0",LEFT(_xlpm.c,1)="#"),"Not set",_xlpm.c)))</f>
        <v>KSA</v>
      </c>
    </row>
    <row r="171" spans="1:112" x14ac:dyDescent="0.25">
      <c r="A171" t="str">
        <f>IF('Staff Daily sales'!$B156="","",TRIM('Staff Daily sales'!$B156&amp;""))</f>
        <v>JEDDYASMN</v>
      </c>
      <c r="B171" t="str">
        <f>IF('Staff Daily sales'!$D156="","",TRIM('Staff Daily sales'!$D156&amp;""))</f>
        <v>4442-AAl-Mutairi</v>
      </c>
      <c r="C171" t="str">
        <f>IFERROR(TRIM('Staff Daily sales'!$E156&amp;""),"")</f>
        <v>Jeddah</v>
      </c>
      <c r="D171" t="str">
        <f>IFERROR(IF(TRIM('Staff Daily sales'!$F156&amp;"")="","Unassigned",TRIM('Staff Daily sales'!$F156&amp;"")),"Unassigned")</f>
        <v>Saleh Bin Hoiel</v>
      </c>
      <c r="E171">
        <f t="shared" si="58"/>
        <v>1</v>
      </c>
      <c r="F171">
        <f>IF($E171=0,0,SUMPRODUCT($AI$5:$DF$5,'Staff Daily sales'!$G156:$CD156))</f>
        <v>931.01</v>
      </c>
      <c r="G171">
        <f>IF($E171=0,0,SUMPRODUCT($AI$6:$DF$6,'Staff Daily sales'!$G156:$CD156))</f>
        <v>6</v>
      </c>
      <c r="H171">
        <f t="shared" si="59"/>
        <v>3925.88</v>
      </c>
      <c r="I171">
        <f t="shared" si="60"/>
        <v>24</v>
      </c>
      <c r="J171">
        <f t="shared" si="61"/>
        <v>69638.36</v>
      </c>
      <c r="K171">
        <f t="shared" si="62"/>
        <v>362</v>
      </c>
      <c r="L171">
        <f>--AND($E171=1,OR('Staff Dashboard'!$B$6="All",$DH171='Staff Dashboard'!$B$6),OR('Staff Dashboard'!$B$7="All",$D171='Staff Dashboard'!$B$7),OR('Staff Dashboard'!$B$8="All",$A171='Staff Dashboard'!$B$8))</f>
        <v>0</v>
      </c>
      <c r="M171">
        <f>IF($E171=0,0,SUMPRODUCT($AI$7:$DF$7,'Staff Daily sales'!$G156:$CD156))</f>
        <v>7354.0599999999995</v>
      </c>
      <c r="N171">
        <f>IF($E171=0,0,SUMPRODUCT($AI$8:$DF$8,'Staff Daily sales'!$G156:$CD156))</f>
        <v>64</v>
      </c>
      <c r="O171">
        <f>IF($E171=0,0,SUMPRODUCT($AI$9:$DF$9,'Staff Daily sales'!$G156:$CD156))</f>
        <v>5067.1099999999997</v>
      </c>
      <c r="P171">
        <f>IF($E171=0,0,SUMPRODUCT($AI$10:$DF$10,'Staff Daily sales'!$G156:$CD156))</f>
        <v>33</v>
      </c>
      <c r="Q171">
        <f>IF($E171=0,0,SUMPRODUCT($AI$11:$DF$11,'Staff Daily sales'!$G156:$CD156))</f>
        <v>5221.0700000000006</v>
      </c>
      <c r="R171">
        <f>IF($E171=0,0,SUMPRODUCT($AI$12:$DF$12,'Staff Daily sales'!$G156:$CD156))</f>
        <v>46</v>
      </c>
      <c r="S171">
        <f>IF($E171=0,0,SUMPRODUCT($AI$13:$DF$13,'Staff Daily sales'!$G156:$CD156))</f>
        <v>5572</v>
      </c>
      <c r="T171">
        <f>IF($E171=0,0,SUMPRODUCT($AI$14:$DF$14,'Staff Daily sales'!$G156:$CD156))</f>
        <v>39</v>
      </c>
      <c r="U171">
        <f>IF($E171=0,0,SUMPRODUCT($AI$15:$DF$15,'Staff Daily sales'!$G156:$CD156))</f>
        <v>1796.06</v>
      </c>
      <c r="V171">
        <f>IF($E171=0,0,SUMPRODUCT($AI$16:$DF$16,'Staff Daily sales'!$G156:$CD156))</f>
        <v>13</v>
      </c>
      <c r="W171">
        <f t="shared" si="63"/>
        <v>29017.520000000004</v>
      </c>
      <c r="X171">
        <f t="shared" si="64"/>
        <v>45289.760000000002</v>
      </c>
      <c r="Y171">
        <f t="shared" si="65"/>
        <v>25421.55</v>
      </c>
      <c r="Z171">
        <f t="shared" si="66"/>
        <v>23534.7</v>
      </c>
      <c r="AA171">
        <f t="shared" si="67"/>
        <v>7546.91</v>
      </c>
      <c r="AB171">
        <f>--AND($E171=1,OR('Staff Weekly Trend'!$B$3="All",$DH171='Staff Weekly Trend'!$B$3),OR('Staff Weekly Trend'!$B$4="All",$D171='Staff Weekly Trend'!$B$4),OR('Staff Weekly Trend'!$B$5="All",$A171='Staff Weekly Trend'!$B$5))</f>
        <v>1</v>
      </c>
      <c r="AC171">
        <f t="shared" si="68"/>
        <v>4</v>
      </c>
      <c r="AI171">
        <f t="shared" si="69"/>
        <v>224</v>
      </c>
      <c r="AJ171">
        <f t="shared" si="70"/>
        <v>288</v>
      </c>
      <c r="AK171">
        <f t="shared" si="71"/>
        <v>194</v>
      </c>
      <c r="AL171">
        <f t="shared" si="72"/>
        <v>161</v>
      </c>
      <c r="AM171">
        <f t="shared" si="73"/>
        <v>52</v>
      </c>
      <c r="DH171" t="str" cm="1">
        <f t="array" ref="DH171">IF($A171="","",_xlfn.LET(_xlpm.c,IFERROR(_xlfn.XLOOKUP($A171,TRIM('Sales and count'!$A$4:$A$300&amp;""),TRIM('Sales and count'!$B$4:$B$300&amp;"")),""),IF(OR(_xlpm.c="",_xlpm.c="0",LEFT(_xlpm.c,1)="#"),"Not set",_xlpm.c)))</f>
        <v>KSA</v>
      </c>
    </row>
    <row r="172" spans="1:112" x14ac:dyDescent="0.25">
      <c r="A172" t="str">
        <f>IF('Staff Daily sales'!$B157="","",TRIM('Staff Daily sales'!$B157&amp;""))</f>
        <v>JEDDYASMN</v>
      </c>
      <c r="B172" t="str">
        <f>IF('Staff Daily sales'!$D157="","",TRIM('Staff Daily sales'!$D157&amp;""))</f>
        <v>4443-RAl-Ghamdi</v>
      </c>
      <c r="C172" t="str">
        <f>IFERROR(TRIM('Staff Daily sales'!$E157&amp;""),"")</f>
        <v>Jeddah</v>
      </c>
      <c r="D172" t="str">
        <f>IFERROR(IF(TRIM('Staff Daily sales'!$F157&amp;"")="","Unassigned",TRIM('Staff Daily sales'!$F157&amp;"")),"Unassigned")</f>
        <v>Saleh Bin Hoiel</v>
      </c>
      <c r="E172">
        <f t="shared" si="58"/>
        <v>1</v>
      </c>
      <c r="F172">
        <f>IF($E172=0,0,SUMPRODUCT($AI$5:$DF$5,'Staff Daily sales'!$G157:$CD157))</f>
        <v>989</v>
      </c>
      <c r="G172">
        <f>IF($E172=0,0,SUMPRODUCT($AI$6:$DF$6,'Staff Daily sales'!$G157:$CD157))</f>
        <v>6</v>
      </c>
      <c r="H172">
        <f t="shared" si="59"/>
        <v>3925.88</v>
      </c>
      <c r="I172">
        <f t="shared" si="60"/>
        <v>24</v>
      </c>
      <c r="J172">
        <f t="shared" si="61"/>
        <v>69638.36</v>
      </c>
      <c r="K172">
        <f t="shared" si="62"/>
        <v>362</v>
      </c>
      <c r="L172">
        <f>--AND($E172=1,OR('Staff Dashboard'!$B$6="All",$DH172='Staff Dashboard'!$B$6),OR('Staff Dashboard'!$B$7="All",$D172='Staff Dashboard'!$B$7),OR('Staff Dashboard'!$B$8="All",$A172='Staff Dashboard'!$B$8))</f>
        <v>0</v>
      </c>
      <c r="M172">
        <f>IF($E172=0,0,SUMPRODUCT($AI$7:$DF$7,'Staff Daily sales'!$G157:$CD157))</f>
        <v>3225.08</v>
      </c>
      <c r="N172">
        <f>IF($E172=0,0,SUMPRODUCT($AI$8:$DF$8,'Staff Daily sales'!$G157:$CD157))</f>
        <v>24</v>
      </c>
      <c r="O172">
        <f>IF($E172=0,0,SUMPRODUCT($AI$9:$DF$9,'Staff Daily sales'!$G157:$CD157))</f>
        <v>8963.0999999999985</v>
      </c>
      <c r="P172">
        <f>IF($E172=0,0,SUMPRODUCT($AI$10:$DF$10,'Staff Daily sales'!$G157:$CD157))</f>
        <v>59</v>
      </c>
      <c r="Q172">
        <f>IF($E172=0,0,SUMPRODUCT($AI$11:$DF$11,'Staff Daily sales'!$G157:$CD157))</f>
        <v>4897.1400000000003</v>
      </c>
      <c r="R172">
        <f>IF($E172=0,0,SUMPRODUCT($AI$12:$DF$12,'Staff Daily sales'!$G157:$CD157))</f>
        <v>35</v>
      </c>
      <c r="S172">
        <f>IF($E172=0,0,SUMPRODUCT($AI$13:$DF$13,'Staff Daily sales'!$G157:$CD157))</f>
        <v>4494.88</v>
      </c>
      <c r="T172">
        <f>IF($E172=0,0,SUMPRODUCT($AI$14:$DF$14,'Staff Daily sales'!$G157:$CD157))</f>
        <v>29</v>
      </c>
      <c r="U172">
        <f>IF($E172=0,0,SUMPRODUCT($AI$15:$DF$15,'Staff Daily sales'!$G157:$CD157))</f>
        <v>1828.92</v>
      </c>
      <c r="V172">
        <f>IF($E172=0,0,SUMPRODUCT($AI$16:$DF$16,'Staff Daily sales'!$G157:$CD157))</f>
        <v>12</v>
      </c>
      <c r="W172">
        <f t="shared" si="63"/>
        <v>29017.520000000004</v>
      </c>
      <c r="X172">
        <f t="shared" si="64"/>
        <v>45289.760000000002</v>
      </c>
      <c r="Y172">
        <f t="shared" si="65"/>
        <v>25421.55</v>
      </c>
      <c r="Z172">
        <f t="shared" si="66"/>
        <v>23534.7</v>
      </c>
      <c r="AA172">
        <f t="shared" si="67"/>
        <v>7546.91</v>
      </c>
      <c r="AB172">
        <f>--AND($E172=1,OR('Staff Weekly Trend'!$B$3="All",$DH172='Staff Weekly Trend'!$B$3),OR('Staff Weekly Trend'!$B$4="All",$D172='Staff Weekly Trend'!$B$4),OR('Staff Weekly Trend'!$B$5="All",$A172='Staff Weekly Trend'!$B$5))</f>
        <v>1</v>
      </c>
      <c r="AC172">
        <f t="shared" si="68"/>
        <v>2</v>
      </c>
      <c r="AI172">
        <f t="shared" si="69"/>
        <v>224</v>
      </c>
      <c r="AJ172">
        <f t="shared" si="70"/>
        <v>288</v>
      </c>
      <c r="AK172">
        <f t="shared" si="71"/>
        <v>194</v>
      </c>
      <c r="AL172">
        <f t="shared" si="72"/>
        <v>161</v>
      </c>
      <c r="AM172">
        <f t="shared" si="73"/>
        <v>52</v>
      </c>
      <c r="DH172" t="str" cm="1">
        <f t="array" ref="DH172">IF($A172="","",_xlfn.LET(_xlpm.c,IFERROR(_xlfn.XLOOKUP($A172,TRIM('Sales and count'!$A$4:$A$300&amp;""),TRIM('Sales and count'!$B$4:$B$300&amp;"")),""),IF(OR(_xlpm.c="",_xlpm.c="0",LEFT(_xlpm.c,1)="#"),"Not set",_xlpm.c)))</f>
        <v>KSA</v>
      </c>
    </row>
    <row r="173" spans="1:112" x14ac:dyDescent="0.25">
      <c r="A173" t="str">
        <f>IF('Staff Daily sales'!$B158="","",TRIM('Staff Daily sales'!$B158&amp;""))</f>
        <v>JEDDYASMN</v>
      </c>
      <c r="B173" t="str">
        <f>IF('Staff Daily sales'!$D158="","",TRIM('Staff Daily sales'!$D158&amp;""))</f>
        <v>5561-FZaki</v>
      </c>
      <c r="C173" t="str">
        <f>IFERROR(TRIM('Staff Daily sales'!$E158&amp;""),"")</f>
        <v>Jeddah</v>
      </c>
      <c r="D173" t="str">
        <f>IFERROR(IF(TRIM('Staff Daily sales'!$F158&amp;"")="","Unassigned",TRIM('Staff Daily sales'!$F158&amp;"")),"Unassigned")</f>
        <v>Saleh Bin Hoiel</v>
      </c>
      <c r="E173">
        <f t="shared" si="58"/>
        <v>1</v>
      </c>
      <c r="F173">
        <f>IF($E173=0,0,SUMPRODUCT($AI$5:$DF$5,'Staff Daily sales'!$G158:$CD158))</f>
        <v>0</v>
      </c>
      <c r="G173">
        <f>IF($E173=0,0,SUMPRODUCT($AI$6:$DF$6,'Staff Daily sales'!$G158:$CD158))</f>
        <v>0</v>
      </c>
      <c r="H173">
        <f t="shared" si="59"/>
        <v>3925.88</v>
      </c>
      <c r="I173">
        <f t="shared" si="60"/>
        <v>24</v>
      </c>
      <c r="J173">
        <f t="shared" si="61"/>
        <v>69638.36</v>
      </c>
      <c r="K173">
        <f t="shared" si="62"/>
        <v>362</v>
      </c>
      <c r="L173">
        <f>--AND($E173=1,OR('Staff Dashboard'!$B$6="All",$DH173='Staff Dashboard'!$B$6),OR('Staff Dashboard'!$B$7="All",$D173='Staff Dashboard'!$B$7),OR('Staff Dashboard'!$B$8="All",$A173='Staff Dashboard'!$B$8))</f>
        <v>0</v>
      </c>
      <c r="M173">
        <f>IF($E173=0,0,SUMPRODUCT($AI$7:$DF$7,'Staff Daily sales'!$G158:$CD158))</f>
        <v>0</v>
      </c>
      <c r="N173">
        <f>IF($E173=0,0,SUMPRODUCT($AI$8:$DF$8,'Staff Daily sales'!$G158:$CD158))</f>
        <v>0</v>
      </c>
      <c r="O173">
        <f>IF($E173=0,0,SUMPRODUCT($AI$9:$DF$9,'Staff Daily sales'!$G158:$CD158))</f>
        <v>12097.12</v>
      </c>
      <c r="P173">
        <f>IF($E173=0,0,SUMPRODUCT($AI$10:$DF$10,'Staff Daily sales'!$G158:$CD158))</f>
        <v>78</v>
      </c>
      <c r="Q173">
        <f>IF($E173=0,0,SUMPRODUCT($AI$11:$DF$11,'Staff Daily sales'!$G158:$CD158))</f>
        <v>3412.1099999999997</v>
      </c>
      <c r="R173">
        <f>IF($E173=0,0,SUMPRODUCT($AI$12:$DF$12,'Staff Daily sales'!$G158:$CD158))</f>
        <v>28</v>
      </c>
      <c r="S173">
        <f>IF($E173=0,0,SUMPRODUCT($AI$13:$DF$13,'Staff Daily sales'!$G158:$CD158))</f>
        <v>2135.0299999999997</v>
      </c>
      <c r="T173">
        <f>IF($E173=0,0,SUMPRODUCT($AI$14:$DF$14,'Staff Daily sales'!$G158:$CD158))</f>
        <v>16</v>
      </c>
      <c r="U173">
        <f>IF($E173=0,0,SUMPRODUCT($AI$15:$DF$15,'Staff Daily sales'!$G158:$CD158))</f>
        <v>776.02</v>
      </c>
      <c r="V173">
        <f>IF($E173=0,0,SUMPRODUCT($AI$16:$DF$16,'Staff Daily sales'!$G158:$CD158))</f>
        <v>5</v>
      </c>
      <c r="W173">
        <f t="shared" si="63"/>
        <v>29017.520000000004</v>
      </c>
      <c r="X173">
        <f t="shared" si="64"/>
        <v>45289.760000000002</v>
      </c>
      <c r="Y173">
        <f t="shared" si="65"/>
        <v>25421.55</v>
      </c>
      <c r="Z173">
        <f t="shared" si="66"/>
        <v>23534.7</v>
      </c>
      <c r="AA173">
        <f t="shared" si="67"/>
        <v>7546.91</v>
      </c>
      <c r="AB173">
        <f>--AND($E173=1,OR('Staff Weekly Trend'!$B$3="All",$DH173='Staff Weekly Trend'!$B$3),OR('Staff Weekly Trend'!$B$4="All",$D173='Staff Weekly Trend'!$B$4),OR('Staff Weekly Trend'!$B$5="All",$A173='Staff Weekly Trend'!$B$5))</f>
        <v>1</v>
      </c>
      <c r="AC173" t="str">
        <f t="shared" si="68"/>
        <v/>
      </c>
      <c r="AI173">
        <f t="shared" si="69"/>
        <v>224</v>
      </c>
      <c r="AJ173">
        <f t="shared" si="70"/>
        <v>288</v>
      </c>
      <c r="AK173">
        <f t="shared" si="71"/>
        <v>194</v>
      </c>
      <c r="AL173">
        <f t="shared" si="72"/>
        <v>161</v>
      </c>
      <c r="AM173">
        <f t="shared" si="73"/>
        <v>52</v>
      </c>
      <c r="DH173" t="str" cm="1">
        <f t="array" ref="DH173">IF($A173="","",_xlfn.LET(_xlpm.c,IFERROR(_xlfn.XLOOKUP($A173,TRIM('Sales and count'!$A$4:$A$300&amp;""),TRIM('Sales and count'!$B$4:$B$300&amp;"")),""),IF(OR(_xlpm.c="",_xlpm.c="0",LEFT(_xlpm.c,1)="#"),"Not set",_xlpm.c)))</f>
        <v>KSA</v>
      </c>
    </row>
    <row r="174" spans="1:112" x14ac:dyDescent="0.25">
      <c r="A174" t="str">
        <f>IF('Staff Daily sales'!$B159="","",TRIM('Staff Daily sales'!$B159&amp;""))</f>
        <v>JEDDYASMN</v>
      </c>
      <c r="B174" t="str">
        <f>IF('Staff Daily sales'!$D159="","",TRIM('Staff Daily sales'!$D159&amp;""))</f>
        <v>7214-HSadiq</v>
      </c>
      <c r="C174" t="str">
        <f>IFERROR(TRIM('Staff Daily sales'!$E159&amp;""),"")</f>
        <v>Jeddah</v>
      </c>
      <c r="D174" t="str">
        <f>IFERROR(IF(TRIM('Staff Daily sales'!$F159&amp;"")="","Unassigned",TRIM('Staff Daily sales'!$F159&amp;"")),"Unassigned")</f>
        <v>Saleh Bin Hoiel</v>
      </c>
      <c r="E174">
        <f t="shared" si="58"/>
        <v>1</v>
      </c>
      <c r="F174">
        <f>IF($E174=0,0,SUMPRODUCT($AI$5:$DF$5,'Staff Daily sales'!$G159:$CD159))</f>
        <v>0</v>
      </c>
      <c r="G174">
        <f>IF($E174=0,0,SUMPRODUCT($AI$6:$DF$6,'Staff Daily sales'!$G159:$CD159))</f>
        <v>0</v>
      </c>
      <c r="H174">
        <f t="shared" si="59"/>
        <v>3925.88</v>
      </c>
      <c r="I174">
        <f t="shared" si="60"/>
        <v>24</v>
      </c>
      <c r="J174">
        <f t="shared" si="61"/>
        <v>69638.36</v>
      </c>
      <c r="K174">
        <f t="shared" si="62"/>
        <v>362</v>
      </c>
      <c r="L174">
        <f>--AND($E174=1,OR('Staff Dashboard'!$B$6="All",$DH174='Staff Dashboard'!$B$6),OR('Staff Dashboard'!$B$7="All",$D174='Staff Dashboard'!$B$7),OR('Staff Dashboard'!$B$8="All",$A174='Staff Dashboard'!$B$8))</f>
        <v>0</v>
      </c>
      <c r="M174">
        <f>IF($E174=0,0,SUMPRODUCT($AI$7:$DF$7,'Staff Daily sales'!$G159:$CD159))</f>
        <v>6229.1100000000006</v>
      </c>
      <c r="N174">
        <f>IF($E174=0,0,SUMPRODUCT($AI$8:$DF$8,'Staff Daily sales'!$G159:$CD159))</f>
        <v>48</v>
      </c>
      <c r="O174">
        <f>IF($E174=0,0,SUMPRODUCT($AI$9:$DF$9,'Staff Daily sales'!$G159:$CD159))</f>
        <v>0</v>
      </c>
      <c r="P174">
        <f>IF($E174=0,0,SUMPRODUCT($AI$10:$DF$10,'Staff Daily sales'!$G159:$CD159))</f>
        <v>0</v>
      </c>
      <c r="Q174">
        <f>IF($E174=0,0,SUMPRODUCT($AI$11:$DF$11,'Staff Daily sales'!$G159:$CD159))</f>
        <v>0</v>
      </c>
      <c r="R174">
        <f>IF($E174=0,0,SUMPRODUCT($AI$12:$DF$12,'Staff Daily sales'!$G159:$CD159))</f>
        <v>0</v>
      </c>
      <c r="S174">
        <f>IF($E174=0,0,SUMPRODUCT($AI$13:$DF$13,'Staff Daily sales'!$G159:$CD159))</f>
        <v>0</v>
      </c>
      <c r="T174">
        <f>IF($E174=0,0,SUMPRODUCT($AI$14:$DF$14,'Staff Daily sales'!$G159:$CD159))</f>
        <v>0</v>
      </c>
      <c r="U174">
        <f>IF($E174=0,0,SUMPRODUCT($AI$15:$DF$15,'Staff Daily sales'!$G159:$CD159))</f>
        <v>0</v>
      </c>
      <c r="V174">
        <f>IF($E174=0,0,SUMPRODUCT($AI$16:$DF$16,'Staff Daily sales'!$G159:$CD159))</f>
        <v>0</v>
      </c>
      <c r="W174">
        <f t="shared" si="63"/>
        <v>29017.520000000004</v>
      </c>
      <c r="X174">
        <f t="shared" si="64"/>
        <v>45289.760000000002</v>
      </c>
      <c r="Y174">
        <f t="shared" si="65"/>
        <v>25421.55</v>
      </c>
      <c r="Z174">
        <f t="shared" si="66"/>
        <v>23534.7</v>
      </c>
      <c r="AA174">
        <f t="shared" si="67"/>
        <v>7546.91</v>
      </c>
      <c r="AB174">
        <f>--AND($E174=1,OR('Staff Weekly Trend'!$B$3="All",$DH174='Staff Weekly Trend'!$B$3),OR('Staff Weekly Trend'!$B$4="All",$D174='Staff Weekly Trend'!$B$4),OR('Staff Weekly Trend'!$B$5="All",$A174='Staff Weekly Trend'!$B$5))</f>
        <v>1</v>
      </c>
      <c r="AC174" t="str">
        <f t="shared" si="68"/>
        <v/>
      </c>
      <c r="AI174">
        <f t="shared" si="69"/>
        <v>224</v>
      </c>
      <c r="AJ174">
        <f t="shared" si="70"/>
        <v>288</v>
      </c>
      <c r="AK174">
        <f t="shared" si="71"/>
        <v>194</v>
      </c>
      <c r="AL174">
        <f t="shared" si="72"/>
        <v>161</v>
      </c>
      <c r="AM174">
        <f t="shared" si="73"/>
        <v>52</v>
      </c>
      <c r="DH174" t="str" cm="1">
        <f t="array" ref="DH174">IF($A174="","",_xlfn.LET(_xlpm.c,IFERROR(_xlfn.XLOOKUP($A174,TRIM('Sales and count'!$A$4:$A$300&amp;""),TRIM('Sales and count'!$B$4:$B$300&amp;"")),""),IF(OR(_xlpm.c="",_xlpm.c="0",LEFT(_xlpm.c,1)="#"),"Not set",_xlpm.c)))</f>
        <v>KSA</v>
      </c>
    </row>
    <row r="175" spans="1:112" x14ac:dyDescent="0.25">
      <c r="A175" t="str">
        <f>IF('Staff Daily sales'!$B160="","",TRIM('Staff Daily sales'!$B160&amp;""))</f>
        <v>JEDDSALAM</v>
      </c>
      <c r="B175" t="str">
        <f>IF('Staff Daily sales'!$D160="","",TRIM('Staff Daily sales'!$D160&amp;""))</f>
        <v>3251-MAlmalki</v>
      </c>
      <c r="C175" t="str">
        <f>IFERROR(TRIM('Staff Daily sales'!$E160&amp;""),"")</f>
        <v>Jeddah</v>
      </c>
      <c r="D175" t="str">
        <f>IFERROR(IF(TRIM('Staff Daily sales'!$F160&amp;"")="","Unassigned",TRIM('Staff Daily sales'!$F160&amp;"")),"Unassigned")</f>
        <v>Ahlam Al Zahrani</v>
      </c>
      <c r="E175">
        <f t="shared" si="58"/>
        <v>1</v>
      </c>
      <c r="F175">
        <f>IF($E175=0,0,SUMPRODUCT($AI$5:$DF$5,'Staff Daily sales'!$G160:$CD160))</f>
        <v>1293.94</v>
      </c>
      <c r="G175">
        <f>IF($E175=0,0,SUMPRODUCT($AI$6:$DF$6,'Staff Daily sales'!$G160:$CD160))</f>
        <v>4</v>
      </c>
      <c r="H175">
        <f t="shared" si="59"/>
        <v>2059.9</v>
      </c>
      <c r="I175">
        <f t="shared" si="60"/>
        <v>11</v>
      </c>
      <c r="J175">
        <f t="shared" si="61"/>
        <v>62016.170000000006</v>
      </c>
      <c r="K175">
        <f t="shared" si="62"/>
        <v>398</v>
      </c>
      <c r="L175">
        <f>--AND($E175=1,OR('Staff Dashboard'!$B$6="All",$DH175='Staff Dashboard'!$B$6),OR('Staff Dashboard'!$B$7="All",$D175='Staff Dashboard'!$B$7),OR('Staff Dashboard'!$B$8="All",$A175='Staff Dashboard'!$B$8))</f>
        <v>0</v>
      </c>
      <c r="M175">
        <f>IF($E175=0,0,SUMPRODUCT($AI$7:$DF$7,'Staff Daily sales'!$G160:$CD160))</f>
        <v>5338.1299999999992</v>
      </c>
      <c r="N175">
        <f>IF($E175=0,0,SUMPRODUCT($AI$8:$DF$8,'Staff Daily sales'!$G160:$CD160))</f>
        <v>46</v>
      </c>
      <c r="O175">
        <f>IF($E175=0,0,SUMPRODUCT($AI$9:$DF$9,'Staff Daily sales'!$G160:$CD160))</f>
        <v>3013.0699999999997</v>
      </c>
      <c r="P175">
        <f>IF($E175=0,0,SUMPRODUCT($AI$10:$DF$10,'Staff Daily sales'!$G160:$CD160))</f>
        <v>17</v>
      </c>
      <c r="Q175">
        <f>IF($E175=0,0,SUMPRODUCT($AI$11:$DF$11,'Staff Daily sales'!$G160:$CD160))</f>
        <v>3688.09</v>
      </c>
      <c r="R175">
        <f>IF($E175=0,0,SUMPRODUCT($AI$12:$DF$12,'Staff Daily sales'!$G160:$CD160))</f>
        <v>24</v>
      </c>
      <c r="S175">
        <f>IF($E175=0,0,SUMPRODUCT($AI$13:$DF$13,'Staff Daily sales'!$G160:$CD160))</f>
        <v>4604.0200000000004</v>
      </c>
      <c r="T175">
        <f>IF($E175=0,0,SUMPRODUCT($AI$14:$DF$14,'Staff Daily sales'!$G160:$CD160))</f>
        <v>22</v>
      </c>
      <c r="U175">
        <f>IF($E175=0,0,SUMPRODUCT($AI$15:$DF$15,'Staff Daily sales'!$G160:$CD160))</f>
        <v>1144.0899999999999</v>
      </c>
      <c r="V175">
        <f>IF($E175=0,0,SUMPRODUCT($AI$16:$DF$16,'Staff Daily sales'!$G160:$CD160))</f>
        <v>8</v>
      </c>
      <c r="W175">
        <f t="shared" si="63"/>
        <v>15668.409999999998</v>
      </c>
      <c r="X175">
        <f t="shared" si="64"/>
        <v>23479.43</v>
      </c>
      <c r="Y175">
        <f t="shared" si="65"/>
        <v>17906.330000000002</v>
      </c>
      <c r="Z175">
        <f t="shared" si="66"/>
        <v>14483.800000000001</v>
      </c>
      <c r="AA175">
        <f t="shared" si="67"/>
        <v>6739.3099999999995</v>
      </c>
      <c r="AB175">
        <f>--AND($E175=1,OR('Staff Weekly Trend'!$B$3="All",$DH175='Staff Weekly Trend'!$B$3),OR('Staff Weekly Trend'!$B$4="All",$D175='Staff Weekly Trend'!$B$4),OR('Staff Weekly Trend'!$B$5="All",$A175='Staff Weekly Trend'!$B$5))</f>
        <v>1</v>
      </c>
      <c r="AC175">
        <f t="shared" si="68"/>
        <v>1</v>
      </c>
      <c r="AI175">
        <f t="shared" si="69"/>
        <v>117</v>
      </c>
      <c r="AJ175">
        <f t="shared" si="70"/>
        <v>152</v>
      </c>
      <c r="AK175">
        <f t="shared" si="71"/>
        <v>123</v>
      </c>
      <c r="AL175">
        <f t="shared" si="72"/>
        <v>90</v>
      </c>
      <c r="AM175">
        <f t="shared" si="73"/>
        <v>39</v>
      </c>
      <c r="DH175" t="str" cm="1">
        <f t="array" ref="DH175">IF($A175="","",_xlfn.LET(_xlpm.c,IFERROR(_xlfn.XLOOKUP($A175,TRIM('Sales and count'!$A$4:$A$300&amp;""),TRIM('Sales and count'!$B$4:$B$300&amp;"")),""),IF(OR(_xlpm.c="",_xlpm.c="0",LEFT(_xlpm.c,1)="#"),"Not set",_xlpm.c)))</f>
        <v>KSA</v>
      </c>
    </row>
    <row r="176" spans="1:112" x14ac:dyDescent="0.25">
      <c r="A176" t="str">
        <f>IF('Staff Daily sales'!$B161="","",TRIM('Staff Daily sales'!$B161&amp;""))</f>
        <v>JEDDSALAM</v>
      </c>
      <c r="B176" t="str">
        <f>IF('Staff Daily sales'!$D161="","",TRIM('Staff Daily sales'!$D161&amp;""))</f>
        <v>4301-RAGHAD HZAZI</v>
      </c>
      <c r="C176" t="str">
        <f>IFERROR(TRIM('Staff Daily sales'!$E161&amp;""),"")</f>
        <v>Jeddah</v>
      </c>
      <c r="D176" t="str">
        <f>IFERROR(IF(TRIM('Staff Daily sales'!$F161&amp;"")="","Unassigned",TRIM('Staff Daily sales'!$F161&amp;"")),"Unassigned")</f>
        <v>Ahlam Al Zahrani</v>
      </c>
      <c r="E176">
        <f t="shared" si="58"/>
        <v>1</v>
      </c>
      <c r="F176">
        <f>IF($E176=0,0,SUMPRODUCT($AI$5:$DF$5,'Staff Daily sales'!$G161:$CD161))</f>
        <v>119</v>
      </c>
      <c r="G176">
        <f>IF($E176=0,0,SUMPRODUCT($AI$6:$DF$6,'Staff Daily sales'!$G161:$CD161))</f>
        <v>2</v>
      </c>
      <c r="H176">
        <f t="shared" si="59"/>
        <v>2059.9</v>
      </c>
      <c r="I176">
        <f t="shared" si="60"/>
        <v>11</v>
      </c>
      <c r="J176">
        <f t="shared" si="61"/>
        <v>62016.170000000006</v>
      </c>
      <c r="K176">
        <f t="shared" si="62"/>
        <v>398</v>
      </c>
      <c r="L176">
        <f>--AND($E176=1,OR('Staff Dashboard'!$B$6="All",$DH176='Staff Dashboard'!$B$6),OR('Staff Dashboard'!$B$7="All",$D176='Staff Dashboard'!$B$7),OR('Staff Dashboard'!$B$8="All",$A176='Staff Dashboard'!$B$8))</f>
        <v>0</v>
      </c>
      <c r="M176">
        <f>IF($E176=0,0,SUMPRODUCT($AI$7:$DF$7,'Staff Daily sales'!$G161:$CD161))</f>
        <v>3083.1099999999997</v>
      </c>
      <c r="N176">
        <f>IF($E176=0,0,SUMPRODUCT($AI$8:$DF$8,'Staff Daily sales'!$G161:$CD161))</f>
        <v>26</v>
      </c>
      <c r="O176">
        <f>IF($E176=0,0,SUMPRODUCT($AI$9:$DF$9,'Staff Daily sales'!$G161:$CD161))</f>
        <v>3243.0299999999997</v>
      </c>
      <c r="P176">
        <f>IF($E176=0,0,SUMPRODUCT($AI$10:$DF$10,'Staff Daily sales'!$G161:$CD161))</f>
        <v>29</v>
      </c>
      <c r="Q176">
        <f>IF($E176=0,0,SUMPRODUCT($AI$11:$DF$11,'Staff Daily sales'!$G161:$CD161))</f>
        <v>3857.06</v>
      </c>
      <c r="R176">
        <f>IF($E176=0,0,SUMPRODUCT($AI$12:$DF$12,'Staff Daily sales'!$G161:$CD161))</f>
        <v>26</v>
      </c>
      <c r="S176">
        <f>IF($E176=0,0,SUMPRODUCT($AI$13:$DF$13,'Staff Daily sales'!$G161:$CD161))</f>
        <v>1941.99</v>
      </c>
      <c r="T176">
        <f>IF($E176=0,0,SUMPRODUCT($AI$14:$DF$14,'Staff Daily sales'!$G161:$CD161))</f>
        <v>17</v>
      </c>
      <c r="U176">
        <f>IF($E176=0,0,SUMPRODUCT($AI$15:$DF$15,'Staff Daily sales'!$G161:$CD161))</f>
        <v>1355.02</v>
      </c>
      <c r="V176">
        <f>IF($E176=0,0,SUMPRODUCT($AI$16:$DF$16,'Staff Daily sales'!$G161:$CD161))</f>
        <v>9</v>
      </c>
      <c r="W176">
        <f t="shared" si="63"/>
        <v>15668.409999999998</v>
      </c>
      <c r="X176">
        <f t="shared" si="64"/>
        <v>23479.43</v>
      </c>
      <c r="Y176">
        <f t="shared" si="65"/>
        <v>17906.330000000002</v>
      </c>
      <c r="Z176">
        <f t="shared" si="66"/>
        <v>14483.800000000001</v>
      </c>
      <c r="AA176">
        <f t="shared" si="67"/>
        <v>6739.3099999999995</v>
      </c>
      <c r="AB176">
        <f>--AND($E176=1,OR('Staff Weekly Trend'!$B$3="All",$DH176='Staff Weekly Trend'!$B$3),OR('Staff Weekly Trend'!$B$4="All",$D176='Staff Weekly Trend'!$B$4),OR('Staff Weekly Trend'!$B$5="All",$A176='Staff Weekly Trend'!$B$5))</f>
        <v>1</v>
      </c>
      <c r="AC176">
        <f t="shared" si="68"/>
        <v>4</v>
      </c>
      <c r="AI176">
        <f t="shared" si="69"/>
        <v>117</v>
      </c>
      <c r="AJ176">
        <f t="shared" si="70"/>
        <v>152</v>
      </c>
      <c r="AK176">
        <f t="shared" si="71"/>
        <v>123</v>
      </c>
      <c r="AL176">
        <f t="shared" si="72"/>
        <v>90</v>
      </c>
      <c r="AM176">
        <f t="shared" si="73"/>
        <v>39</v>
      </c>
      <c r="DH176" t="str" cm="1">
        <f t="array" ref="DH176">IF($A176="","",_xlfn.LET(_xlpm.c,IFERROR(_xlfn.XLOOKUP($A176,TRIM('Sales and count'!$A$4:$A$300&amp;""),TRIM('Sales and count'!$B$4:$B$300&amp;"")),""),IF(OR(_xlpm.c="",_xlpm.c="0",LEFT(_xlpm.c,1)="#"),"Not set",_xlpm.c)))</f>
        <v>KSA</v>
      </c>
    </row>
    <row r="177" spans="1:112" x14ac:dyDescent="0.25">
      <c r="A177" t="str">
        <f>IF('Staff Daily sales'!$B162="","",TRIM('Staff Daily sales'!$B162&amp;""))</f>
        <v>JEDDSALAM</v>
      </c>
      <c r="B177" t="str">
        <f>IF('Staff Daily sales'!$D162="","",TRIM('Staff Daily sales'!$D162&amp;""))</f>
        <v>6134-HAlzahrani</v>
      </c>
      <c r="C177" t="str">
        <f>IFERROR(TRIM('Staff Daily sales'!$E162&amp;""),"")</f>
        <v>Jeddah</v>
      </c>
      <c r="D177" t="str">
        <f>IFERROR(IF(TRIM('Staff Daily sales'!$F162&amp;"")="","Unassigned",TRIM('Staff Daily sales'!$F162&amp;"")),"Unassigned")</f>
        <v>Ahlam Al Zahrani</v>
      </c>
      <c r="E177">
        <f t="shared" si="58"/>
        <v>1</v>
      </c>
      <c r="F177">
        <f>IF($E177=0,0,SUMPRODUCT($AI$5:$DF$5,'Staff Daily sales'!$G162:$CD162))</f>
        <v>210.98</v>
      </c>
      <c r="G177">
        <f>IF($E177=0,0,SUMPRODUCT($AI$6:$DF$6,'Staff Daily sales'!$G162:$CD162))</f>
        <v>1</v>
      </c>
      <c r="H177">
        <f t="shared" si="59"/>
        <v>2059.9</v>
      </c>
      <c r="I177">
        <f t="shared" si="60"/>
        <v>11</v>
      </c>
      <c r="J177">
        <f t="shared" si="61"/>
        <v>62016.170000000006</v>
      </c>
      <c r="K177">
        <f t="shared" si="62"/>
        <v>398</v>
      </c>
      <c r="L177">
        <f>--AND($E177=1,OR('Staff Dashboard'!$B$6="All",$DH177='Staff Dashboard'!$B$6),OR('Staff Dashboard'!$B$7="All",$D177='Staff Dashboard'!$B$7),OR('Staff Dashboard'!$B$8="All",$A177='Staff Dashboard'!$B$8))</f>
        <v>0</v>
      </c>
      <c r="M177">
        <f>IF($E177=0,0,SUMPRODUCT($AI$7:$DF$7,'Staff Daily sales'!$G162:$CD162))</f>
        <v>4445.09</v>
      </c>
      <c r="N177">
        <f>IF($E177=0,0,SUMPRODUCT($AI$8:$DF$8,'Staff Daily sales'!$G162:$CD162))</f>
        <v>21</v>
      </c>
      <c r="O177">
        <f>IF($E177=0,0,SUMPRODUCT($AI$9:$DF$9,'Staff Daily sales'!$G162:$CD162))</f>
        <v>3713.09</v>
      </c>
      <c r="P177">
        <f>IF($E177=0,0,SUMPRODUCT($AI$10:$DF$10,'Staff Daily sales'!$G162:$CD162))</f>
        <v>32</v>
      </c>
      <c r="Q177">
        <f>IF($E177=0,0,SUMPRODUCT($AI$11:$DF$11,'Staff Daily sales'!$G162:$CD162))</f>
        <v>4708.05</v>
      </c>
      <c r="R177">
        <f>IF($E177=0,0,SUMPRODUCT($AI$12:$DF$12,'Staff Daily sales'!$G162:$CD162))</f>
        <v>37</v>
      </c>
      <c r="S177">
        <f>IF($E177=0,0,SUMPRODUCT($AI$13:$DF$13,'Staff Daily sales'!$G162:$CD162))</f>
        <v>2861.94</v>
      </c>
      <c r="T177">
        <f>IF($E177=0,0,SUMPRODUCT($AI$14:$DF$14,'Staff Daily sales'!$G162:$CD162))</f>
        <v>22</v>
      </c>
      <c r="U177">
        <f>IF($E177=0,0,SUMPRODUCT($AI$15:$DF$15,'Staff Daily sales'!$G162:$CD162))</f>
        <v>3954.22</v>
      </c>
      <c r="V177">
        <f>IF($E177=0,0,SUMPRODUCT($AI$16:$DF$16,'Staff Daily sales'!$G162:$CD162))</f>
        <v>20</v>
      </c>
      <c r="W177">
        <f t="shared" si="63"/>
        <v>15668.409999999998</v>
      </c>
      <c r="X177">
        <f t="shared" si="64"/>
        <v>23479.43</v>
      </c>
      <c r="Y177">
        <f t="shared" si="65"/>
        <v>17906.330000000002</v>
      </c>
      <c r="Z177">
        <f t="shared" si="66"/>
        <v>14483.800000000001</v>
      </c>
      <c r="AA177">
        <f t="shared" si="67"/>
        <v>6739.3099999999995</v>
      </c>
      <c r="AB177">
        <f>--AND($E177=1,OR('Staff Weekly Trend'!$B$3="All",$DH177='Staff Weekly Trend'!$B$3),OR('Staff Weekly Trend'!$B$4="All",$D177='Staff Weekly Trend'!$B$4),OR('Staff Weekly Trend'!$B$5="All",$A177='Staff Weekly Trend'!$B$5))</f>
        <v>1</v>
      </c>
      <c r="AC177">
        <f t="shared" si="68"/>
        <v>3</v>
      </c>
      <c r="AI177">
        <f t="shared" si="69"/>
        <v>117</v>
      </c>
      <c r="AJ177">
        <f t="shared" si="70"/>
        <v>152</v>
      </c>
      <c r="AK177">
        <f t="shared" si="71"/>
        <v>123</v>
      </c>
      <c r="AL177">
        <f t="shared" si="72"/>
        <v>90</v>
      </c>
      <c r="AM177">
        <f t="shared" si="73"/>
        <v>39</v>
      </c>
      <c r="DH177" t="str" cm="1">
        <f t="array" ref="DH177">IF($A177="","",_xlfn.LET(_xlpm.c,IFERROR(_xlfn.XLOOKUP($A177,TRIM('Sales and count'!$A$4:$A$300&amp;""),TRIM('Sales and count'!$B$4:$B$300&amp;"")),""),IF(OR(_xlpm.c="",_xlpm.c="0",LEFT(_xlpm.c,1)="#"),"Not set",_xlpm.c)))</f>
        <v>KSA</v>
      </c>
    </row>
    <row r="178" spans="1:112" x14ac:dyDescent="0.25">
      <c r="A178" t="str">
        <f>IF('Staff Daily sales'!$B163="","",TRIM('Staff Daily sales'!$B163&amp;""))</f>
        <v>JEDDSALAM</v>
      </c>
      <c r="B178" t="str">
        <f>IF('Staff Daily sales'!$D163="","",TRIM('Staff Daily sales'!$D163&amp;""))</f>
        <v>7043-SJizani</v>
      </c>
      <c r="C178" t="str">
        <f>IFERROR(TRIM('Staff Daily sales'!$E163&amp;""),"")</f>
        <v>Jeddah</v>
      </c>
      <c r="D178" t="str">
        <f>IFERROR(IF(TRIM('Staff Daily sales'!$F163&amp;"")="","Unassigned",TRIM('Staff Daily sales'!$F163&amp;"")),"Unassigned")</f>
        <v>Ahlam Al Zahrani</v>
      </c>
      <c r="E178">
        <f t="shared" si="58"/>
        <v>1</v>
      </c>
      <c r="F178">
        <f>IF($E178=0,0,SUMPRODUCT($AI$5:$DF$5,'Staff Daily sales'!$G163:$CD163))</f>
        <v>435.98</v>
      </c>
      <c r="G178">
        <f>IF($E178=0,0,SUMPRODUCT($AI$6:$DF$6,'Staff Daily sales'!$G163:$CD163))</f>
        <v>4</v>
      </c>
      <c r="H178">
        <f t="shared" si="59"/>
        <v>2059.9</v>
      </c>
      <c r="I178">
        <f t="shared" si="60"/>
        <v>11</v>
      </c>
      <c r="J178">
        <f t="shared" si="61"/>
        <v>62016.170000000006</v>
      </c>
      <c r="K178">
        <f t="shared" si="62"/>
        <v>398</v>
      </c>
      <c r="L178">
        <f>--AND($E178=1,OR('Staff Dashboard'!$B$6="All",$DH178='Staff Dashboard'!$B$6),OR('Staff Dashboard'!$B$7="All",$D178='Staff Dashboard'!$B$7),OR('Staff Dashboard'!$B$8="All",$A178='Staff Dashboard'!$B$8))</f>
        <v>0</v>
      </c>
      <c r="M178">
        <f>IF($E178=0,0,SUMPRODUCT($AI$7:$DF$7,'Staff Daily sales'!$G163:$CD163))</f>
        <v>2802.08</v>
      </c>
      <c r="N178">
        <f>IF($E178=0,0,SUMPRODUCT($AI$8:$DF$8,'Staff Daily sales'!$G163:$CD163))</f>
        <v>24</v>
      </c>
      <c r="O178">
        <f>IF($E178=0,0,SUMPRODUCT($AI$9:$DF$9,'Staff Daily sales'!$G163:$CD163))</f>
        <v>13510.24</v>
      </c>
      <c r="P178">
        <f>IF($E178=0,0,SUMPRODUCT($AI$10:$DF$10,'Staff Daily sales'!$G163:$CD163))</f>
        <v>74</v>
      </c>
      <c r="Q178">
        <f>IF($E178=0,0,SUMPRODUCT($AI$11:$DF$11,'Staff Daily sales'!$G163:$CD163))</f>
        <v>5653.13</v>
      </c>
      <c r="R178">
        <f>IF($E178=0,0,SUMPRODUCT($AI$12:$DF$12,'Staff Daily sales'!$G163:$CD163))</f>
        <v>36</v>
      </c>
      <c r="S178">
        <f>IF($E178=0,0,SUMPRODUCT($AI$13:$DF$13,'Staff Daily sales'!$G163:$CD163))</f>
        <v>5075.8500000000004</v>
      </c>
      <c r="T178">
        <f>IF($E178=0,0,SUMPRODUCT($AI$14:$DF$14,'Staff Daily sales'!$G163:$CD163))</f>
        <v>29</v>
      </c>
      <c r="U178">
        <f>IF($E178=0,0,SUMPRODUCT($AI$15:$DF$15,'Staff Daily sales'!$G163:$CD163))</f>
        <v>285.98</v>
      </c>
      <c r="V178">
        <f>IF($E178=0,0,SUMPRODUCT($AI$16:$DF$16,'Staff Daily sales'!$G163:$CD163))</f>
        <v>2</v>
      </c>
      <c r="W178">
        <f t="shared" si="63"/>
        <v>15668.409999999998</v>
      </c>
      <c r="X178">
        <f t="shared" si="64"/>
        <v>23479.43</v>
      </c>
      <c r="Y178">
        <f t="shared" si="65"/>
        <v>17906.330000000002</v>
      </c>
      <c r="Z178">
        <f t="shared" si="66"/>
        <v>14483.800000000001</v>
      </c>
      <c r="AA178">
        <f t="shared" si="67"/>
        <v>6739.3099999999995</v>
      </c>
      <c r="AB178">
        <f>--AND($E178=1,OR('Staff Weekly Trend'!$B$3="All",$DH178='Staff Weekly Trend'!$B$3),OR('Staff Weekly Trend'!$B$4="All",$D178='Staff Weekly Trend'!$B$4),OR('Staff Weekly Trend'!$B$5="All",$A178='Staff Weekly Trend'!$B$5))</f>
        <v>1</v>
      </c>
      <c r="AC178">
        <f t="shared" si="68"/>
        <v>2</v>
      </c>
      <c r="AI178">
        <f t="shared" si="69"/>
        <v>117</v>
      </c>
      <c r="AJ178">
        <f t="shared" si="70"/>
        <v>152</v>
      </c>
      <c r="AK178">
        <f t="shared" si="71"/>
        <v>123</v>
      </c>
      <c r="AL178">
        <f t="shared" si="72"/>
        <v>90</v>
      </c>
      <c r="AM178">
        <f t="shared" si="73"/>
        <v>39</v>
      </c>
      <c r="DH178" t="str" cm="1">
        <f t="array" ref="DH178">IF($A178="","",_xlfn.LET(_xlpm.c,IFERROR(_xlfn.XLOOKUP($A178,TRIM('Sales and count'!$A$4:$A$300&amp;""),TRIM('Sales and count'!$B$4:$B$300&amp;"")),""),IF(OR(_xlpm.c="",_xlpm.c="0",LEFT(_xlpm.c,1)="#"),"Not set",_xlpm.c)))</f>
        <v>KSA</v>
      </c>
    </row>
    <row r="179" spans="1:112" x14ac:dyDescent="0.25">
      <c r="A179" t="str">
        <f>IF('Staff Daily sales'!$B164="","",TRIM('Staff Daily sales'!$B164&amp;""))</f>
        <v>RYDVIEW</v>
      </c>
      <c r="B179" t="str">
        <f>IF('Staff Daily sales'!$D164="","",TRIM('Staff Daily sales'!$D164&amp;""))</f>
        <v>4510-KAlkhazem</v>
      </c>
      <c r="C179" t="str">
        <f>IFERROR(TRIM('Staff Daily sales'!$E164&amp;""),"")</f>
        <v>Riyadh</v>
      </c>
      <c r="D179" t="str">
        <f>IFERROR(IF(TRIM('Staff Daily sales'!$F164&amp;"")="","Unassigned",TRIM('Staff Daily sales'!$F164&amp;"")),"Unassigned")</f>
        <v>Lina Al Ghathami</v>
      </c>
      <c r="E179">
        <f t="shared" si="58"/>
        <v>1</v>
      </c>
      <c r="F179">
        <f>IF($E179=0,0,SUMPRODUCT($AI$5:$DF$5,'Staff Daily sales'!$G164:$CD164))</f>
        <v>925</v>
      </c>
      <c r="G179">
        <f>IF($E179=0,0,SUMPRODUCT($AI$6:$DF$6,'Staff Daily sales'!$G164:$CD164))</f>
        <v>8</v>
      </c>
      <c r="H179">
        <f t="shared" si="59"/>
        <v>925</v>
      </c>
      <c r="I179">
        <f t="shared" si="60"/>
        <v>8</v>
      </c>
      <c r="J179">
        <f t="shared" si="61"/>
        <v>62915.250000000007</v>
      </c>
      <c r="K179">
        <f t="shared" si="62"/>
        <v>385</v>
      </c>
      <c r="L179">
        <f>--AND($E179=1,OR('Staff Dashboard'!$B$6="All",$DH179='Staff Dashboard'!$B$6),OR('Staff Dashboard'!$B$7="All",$D179='Staff Dashboard'!$B$7),OR('Staff Dashboard'!$B$8="All",$A179='Staff Dashboard'!$B$8))</f>
        <v>0</v>
      </c>
      <c r="M179">
        <f>IF($E179=0,0,SUMPRODUCT($AI$7:$DF$7,'Staff Daily sales'!$G164:$CD164))</f>
        <v>11346.3</v>
      </c>
      <c r="N179">
        <f>IF($E179=0,0,SUMPRODUCT($AI$8:$DF$8,'Staff Daily sales'!$G164:$CD164))</f>
        <v>110</v>
      </c>
      <c r="O179">
        <f>IF($E179=0,0,SUMPRODUCT($AI$9:$DF$9,'Staff Daily sales'!$G164:$CD164))</f>
        <v>29744.420000000002</v>
      </c>
      <c r="P179">
        <f>IF($E179=0,0,SUMPRODUCT($AI$10:$DF$10,'Staff Daily sales'!$G164:$CD164))</f>
        <v>211</v>
      </c>
      <c r="Q179">
        <f>IF($E179=0,0,SUMPRODUCT($AI$11:$DF$11,'Staff Daily sales'!$G164:$CD164))</f>
        <v>22068.350000000002</v>
      </c>
      <c r="R179">
        <f>IF($E179=0,0,SUMPRODUCT($AI$12:$DF$12,'Staff Daily sales'!$G164:$CD164))</f>
        <v>152</v>
      </c>
      <c r="S179">
        <f>IF($E179=0,0,SUMPRODUCT($AI$13:$DF$13,'Staff Daily sales'!$G164:$CD164))</f>
        <v>4989.96</v>
      </c>
      <c r="T179">
        <f>IF($E179=0,0,SUMPRODUCT($AI$14:$DF$14,'Staff Daily sales'!$G164:$CD164))</f>
        <v>36</v>
      </c>
      <c r="U179">
        <f>IF($E179=0,0,SUMPRODUCT($AI$15:$DF$15,'Staff Daily sales'!$G164:$CD164))</f>
        <v>5703.99</v>
      </c>
      <c r="V179">
        <f>IF($E179=0,0,SUMPRODUCT($AI$16:$DF$16,'Staff Daily sales'!$G164:$CD164))</f>
        <v>41</v>
      </c>
      <c r="W179">
        <f t="shared" si="63"/>
        <v>11346.3</v>
      </c>
      <c r="X179">
        <f t="shared" si="64"/>
        <v>29744.420000000002</v>
      </c>
      <c r="Y179">
        <f t="shared" si="65"/>
        <v>22068.350000000002</v>
      </c>
      <c r="Z179">
        <f t="shared" si="66"/>
        <v>18453.650000000001</v>
      </c>
      <c r="AA179">
        <f t="shared" si="67"/>
        <v>5703.99</v>
      </c>
      <c r="AB179">
        <f>--AND($E179=1,OR('Staff Weekly Trend'!$B$3="All",$DH179='Staff Weekly Trend'!$B$3),OR('Staff Weekly Trend'!$B$4="All",$D179='Staff Weekly Trend'!$B$4),OR('Staff Weekly Trend'!$B$5="All",$A179='Staff Weekly Trend'!$B$5))</f>
        <v>1</v>
      </c>
      <c r="AC179">
        <f t="shared" si="68"/>
        <v>1</v>
      </c>
      <c r="AI179">
        <f t="shared" si="69"/>
        <v>110</v>
      </c>
      <c r="AJ179">
        <f t="shared" si="70"/>
        <v>211</v>
      </c>
      <c r="AK179">
        <f t="shared" si="71"/>
        <v>152</v>
      </c>
      <c r="AL179">
        <f t="shared" si="72"/>
        <v>130</v>
      </c>
      <c r="AM179">
        <f t="shared" si="73"/>
        <v>41</v>
      </c>
      <c r="DH179" t="str" cm="1">
        <f t="array" ref="DH179">IF($A179="","",_xlfn.LET(_xlpm.c,IFERROR(_xlfn.XLOOKUP($A179,TRIM('Sales and count'!$A$4:$A$300&amp;""),TRIM('Sales and count'!$B$4:$B$300&amp;"")),""),IF(OR(_xlpm.c="",_xlpm.c="0",LEFT(_xlpm.c,1)="#"),"Not set",_xlpm.c)))</f>
        <v>KSA</v>
      </c>
    </row>
    <row r="180" spans="1:112" x14ac:dyDescent="0.25">
      <c r="A180" t="str">
        <f>IF('Staff Daily sales'!$B165="","",TRIM('Staff Daily sales'!$B165&amp;""))</f>
        <v>RYDVIEW</v>
      </c>
      <c r="B180" t="str">
        <f>IF('Staff Daily sales'!$D165="","",TRIM('Staff Daily sales'!$D165&amp;""))</f>
        <v>6177-MAlharthy</v>
      </c>
      <c r="C180" t="str">
        <f>IFERROR(TRIM('Staff Daily sales'!$E165&amp;""),"")</f>
        <v>Riyadh</v>
      </c>
      <c r="D180" t="str">
        <f>IFERROR(IF(TRIM('Staff Daily sales'!$F165&amp;"")="","Unassigned",TRIM('Staff Daily sales'!$F165&amp;"")),"Unassigned")</f>
        <v>Lina Al Ghathami</v>
      </c>
      <c r="E180">
        <f t="shared" si="58"/>
        <v>1</v>
      </c>
      <c r="F180">
        <f>IF($E180=0,0,SUMPRODUCT($AI$5:$DF$5,'Staff Daily sales'!$G165:$CD165))</f>
        <v>0</v>
      </c>
      <c r="G180">
        <f>IF($E180=0,0,SUMPRODUCT($AI$6:$DF$6,'Staff Daily sales'!$G165:$CD165))</f>
        <v>0</v>
      </c>
      <c r="H180">
        <f t="shared" si="59"/>
        <v>925</v>
      </c>
      <c r="I180">
        <f t="shared" si="60"/>
        <v>8</v>
      </c>
      <c r="J180">
        <f t="shared" si="61"/>
        <v>62915.250000000007</v>
      </c>
      <c r="K180">
        <f t="shared" si="62"/>
        <v>385</v>
      </c>
      <c r="L180">
        <f>--AND($E180=1,OR('Staff Dashboard'!$B$6="All",$DH180='Staff Dashboard'!$B$6),OR('Staff Dashboard'!$B$7="All",$D180='Staff Dashboard'!$B$7),OR('Staff Dashboard'!$B$8="All",$A180='Staff Dashboard'!$B$8))</f>
        <v>0</v>
      </c>
      <c r="M180">
        <f>IF($E180=0,0,SUMPRODUCT($AI$7:$DF$7,'Staff Daily sales'!$G165:$CD165))</f>
        <v>0</v>
      </c>
      <c r="N180">
        <f>IF($E180=0,0,SUMPRODUCT($AI$8:$DF$8,'Staff Daily sales'!$G165:$CD165))</f>
        <v>0</v>
      </c>
      <c r="O180">
        <f>IF($E180=0,0,SUMPRODUCT($AI$9:$DF$9,'Staff Daily sales'!$G165:$CD165))</f>
        <v>0</v>
      </c>
      <c r="P180">
        <f>IF($E180=0,0,SUMPRODUCT($AI$10:$DF$10,'Staff Daily sales'!$G165:$CD165))</f>
        <v>0</v>
      </c>
      <c r="Q180">
        <f>IF($E180=0,0,SUMPRODUCT($AI$11:$DF$11,'Staff Daily sales'!$G165:$CD165))</f>
        <v>0</v>
      </c>
      <c r="R180">
        <f>IF($E180=0,0,SUMPRODUCT($AI$12:$DF$12,'Staff Daily sales'!$G165:$CD165))</f>
        <v>0</v>
      </c>
      <c r="S180">
        <f>IF($E180=0,0,SUMPRODUCT($AI$13:$DF$13,'Staff Daily sales'!$G165:$CD165))</f>
        <v>13463.69</v>
      </c>
      <c r="T180">
        <f>IF($E180=0,0,SUMPRODUCT($AI$14:$DF$14,'Staff Daily sales'!$G165:$CD165))</f>
        <v>94</v>
      </c>
      <c r="U180">
        <f>IF($E180=0,0,SUMPRODUCT($AI$15:$DF$15,'Staff Daily sales'!$G165:$CD165))</f>
        <v>0</v>
      </c>
      <c r="V180">
        <f>IF($E180=0,0,SUMPRODUCT($AI$16:$DF$16,'Staff Daily sales'!$G165:$CD165))</f>
        <v>0</v>
      </c>
      <c r="W180">
        <f t="shared" si="63"/>
        <v>11346.3</v>
      </c>
      <c r="X180">
        <f t="shared" si="64"/>
        <v>29744.420000000002</v>
      </c>
      <c r="Y180">
        <f t="shared" si="65"/>
        <v>22068.350000000002</v>
      </c>
      <c r="Z180">
        <f t="shared" si="66"/>
        <v>18453.650000000001</v>
      </c>
      <c r="AA180">
        <f t="shared" si="67"/>
        <v>5703.99</v>
      </c>
      <c r="AB180">
        <f>--AND($E180=1,OR('Staff Weekly Trend'!$B$3="All",$DH180='Staff Weekly Trend'!$B$3),OR('Staff Weekly Trend'!$B$4="All",$D180='Staff Weekly Trend'!$B$4),OR('Staff Weekly Trend'!$B$5="All",$A180='Staff Weekly Trend'!$B$5))</f>
        <v>1</v>
      </c>
      <c r="AC180" t="str">
        <f t="shared" si="68"/>
        <v/>
      </c>
      <c r="AI180">
        <f t="shared" si="69"/>
        <v>110</v>
      </c>
      <c r="AJ180">
        <f t="shared" si="70"/>
        <v>211</v>
      </c>
      <c r="AK180">
        <f t="shared" si="71"/>
        <v>152</v>
      </c>
      <c r="AL180">
        <f t="shared" si="72"/>
        <v>130</v>
      </c>
      <c r="AM180">
        <f t="shared" si="73"/>
        <v>41</v>
      </c>
      <c r="DH180" t="str" cm="1">
        <f t="array" ref="DH180">IF($A180="","",_xlfn.LET(_xlpm.c,IFERROR(_xlfn.XLOOKUP($A180,TRIM('Sales and count'!$A$4:$A$300&amp;""),TRIM('Sales and count'!$B$4:$B$300&amp;"")),""),IF(OR(_xlpm.c="",_xlpm.c="0",LEFT(_xlpm.c,1)="#"),"Not set",_xlpm.c)))</f>
        <v>KSA</v>
      </c>
    </row>
    <row r="181" spans="1:112" x14ac:dyDescent="0.25">
      <c r="A181" t="str">
        <f>IF('Staff Daily sales'!$B166="","",TRIM('Staff Daily sales'!$B166&amp;""))</f>
        <v>YANBUMALL</v>
      </c>
      <c r="B181" t="str">
        <f>IF('Staff Daily sales'!$D166="","",TRIM('Staff Daily sales'!$D166&amp;""))</f>
        <v>4553-TAlbeladi</v>
      </c>
      <c r="C181" t="str">
        <f>IFERROR(TRIM('Staff Daily sales'!$E166&amp;""),"")</f>
        <v>Yanbu</v>
      </c>
      <c r="D181" t="str">
        <f>IFERROR(IF(TRIM('Staff Daily sales'!$F166&amp;"")="","Unassigned",TRIM('Staff Daily sales'!$F166&amp;"")),"Unassigned")</f>
        <v>Mohammed Haidar</v>
      </c>
      <c r="E181">
        <f t="shared" si="58"/>
        <v>1</v>
      </c>
      <c r="F181">
        <f>IF($E181=0,0,SUMPRODUCT($AI$5:$DF$5,'Staff Daily sales'!$G166:$CD166))</f>
        <v>882.94</v>
      </c>
      <c r="G181">
        <f>IF($E181=0,0,SUMPRODUCT($AI$6:$DF$6,'Staff Daily sales'!$G166:$CD166))</f>
        <v>5</v>
      </c>
      <c r="H181">
        <f t="shared" si="59"/>
        <v>2652.86</v>
      </c>
      <c r="I181">
        <f t="shared" si="60"/>
        <v>17</v>
      </c>
      <c r="J181">
        <f t="shared" si="61"/>
        <v>55209.230000000018</v>
      </c>
      <c r="K181">
        <f t="shared" si="62"/>
        <v>272</v>
      </c>
      <c r="L181">
        <f>--AND($E181=1,OR('Staff Dashboard'!$B$6="All",$DH181='Staff Dashboard'!$B$6),OR('Staff Dashboard'!$B$7="All",$D181='Staff Dashboard'!$B$7),OR('Staff Dashboard'!$B$8="All",$A181='Staff Dashboard'!$B$8))</f>
        <v>0</v>
      </c>
      <c r="M181">
        <f>IF($E181=0,0,SUMPRODUCT($AI$7:$DF$7,'Staff Daily sales'!$G166:$CD166))</f>
        <v>11250.18</v>
      </c>
      <c r="N181">
        <f>IF($E181=0,0,SUMPRODUCT($AI$8:$DF$8,'Staff Daily sales'!$G166:$CD166))</f>
        <v>64</v>
      </c>
      <c r="O181">
        <f>IF($E181=0,0,SUMPRODUCT($AI$9:$DF$9,'Staff Daily sales'!$G166:$CD166))</f>
        <v>9108.09</v>
      </c>
      <c r="P181">
        <f>IF($E181=0,0,SUMPRODUCT($AI$10:$DF$10,'Staff Daily sales'!$G166:$CD166))</f>
        <v>39</v>
      </c>
      <c r="Q181">
        <f>IF($E181=0,0,SUMPRODUCT($AI$11:$DF$11,'Staff Daily sales'!$G166:$CD166))</f>
        <v>2826.09</v>
      </c>
      <c r="R181">
        <f>IF($E181=0,0,SUMPRODUCT($AI$12:$DF$12,'Staff Daily sales'!$G166:$CD166))</f>
        <v>18</v>
      </c>
      <c r="S181">
        <f>IF($E181=0,0,SUMPRODUCT($AI$13:$DF$13,'Staff Daily sales'!$G166:$CD166))</f>
        <v>8092.01</v>
      </c>
      <c r="T181">
        <f>IF($E181=0,0,SUMPRODUCT($AI$14:$DF$14,'Staff Daily sales'!$G166:$CD166))</f>
        <v>41</v>
      </c>
      <c r="U181">
        <f>IF($E181=0,0,SUMPRODUCT($AI$15:$DF$15,'Staff Daily sales'!$G166:$CD166))</f>
        <v>3336.97</v>
      </c>
      <c r="V181">
        <f>IF($E181=0,0,SUMPRODUCT($AI$16:$DF$16,'Staff Daily sales'!$G166:$CD166))</f>
        <v>18</v>
      </c>
      <c r="W181">
        <f t="shared" si="63"/>
        <v>16869.28</v>
      </c>
      <c r="X181">
        <f t="shared" si="64"/>
        <v>30931.47</v>
      </c>
      <c r="Y181">
        <f t="shared" si="65"/>
        <v>22073.5</v>
      </c>
      <c r="Z181">
        <f t="shared" si="66"/>
        <v>20789.96</v>
      </c>
      <c r="AA181">
        <f t="shared" si="67"/>
        <v>5051.03</v>
      </c>
      <c r="AB181">
        <f>--AND($E181=1,OR('Staff Weekly Trend'!$B$3="All",$DH181='Staff Weekly Trend'!$B$3),OR('Staff Weekly Trend'!$B$4="All",$D181='Staff Weekly Trend'!$B$4),OR('Staff Weekly Trend'!$B$5="All",$A181='Staff Weekly Trend'!$B$5))</f>
        <v>1</v>
      </c>
      <c r="AC181">
        <f t="shared" si="68"/>
        <v>2</v>
      </c>
      <c r="AI181">
        <f t="shared" si="69"/>
        <v>107</v>
      </c>
      <c r="AJ181">
        <f t="shared" si="70"/>
        <v>187</v>
      </c>
      <c r="AK181">
        <f t="shared" si="71"/>
        <v>157</v>
      </c>
      <c r="AL181">
        <f t="shared" si="72"/>
        <v>127</v>
      </c>
      <c r="AM181">
        <f t="shared" si="73"/>
        <v>29</v>
      </c>
      <c r="DH181" t="str" cm="1">
        <f t="array" ref="DH181">IF($A181="","",_xlfn.LET(_xlpm.c,IFERROR(_xlfn.XLOOKUP($A181,TRIM('Sales and count'!$A$4:$A$300&amp;""),TRIM('Sales and count'!$B$4:$B$300&amp;"")),""),IF(OR(_xlpm.c="",_xlpm.c="0",LEFT(_xlpm.c,1)="#"),"Not set",_xlpm.c)))</f>
        <v>KSA</v>
      </c>
    </row>
    <row r="182" spans="1:112" x14ac:dyDescent="0.25">
      <c r="A182" t="str">
        <f>IF('Staff Daily sales'!$B167="","",TRIM('Staff Daily sales'!$B167&amp;""))</f>
        <v>YANBUMALL</v>
      </c>
      <c r="B182" t="str">
        <f>IF('Staff Daily sales'!$D167="","",TRIM('Staff Daily sales'!$D167&amp;""))</f>
        <v>4558-HAlOqbi</v>
      </c>
      <c r="C182" t="str">
        <f>IFERROR(TRIM('Staff Daily sales'!$E167&amp;""),"")</f>
        <v>Yanbu</v>
      </c>
      <c r="D182" t="str">
        <f>IFERROR(IF(TRIM('Staff Daily sales'!$F167&amp;"")="","Unassigned",TRIM('Staff Daily sales'!$F167&amp;"")),"Unassigned")</f>
        <v>Mohammed Haidar</v>
      </c>
      <c r="E182">
        <f t="shared" si="58"/>
        <v>1</v>
      </c>
      <c r="F182">
        <f>IF($E182=0,0,SUMPRODUCT($AI$5:$DF$5,'Staff Daily sales'!$G167:$CD167))</f>
        <v>811</v>
      </c>
      <c r="G182">
        <f>IF($E182=0,0,SUMPRODUCT($AI$6:$DF$6,'Staff Daily sales'!$G167:$CD167))</f>
        <v>7</v>
      </c>
      <c r="H182">
        <f t="shared" si="59"/>
        <v>2652.86</v>
      </c>
      <c r="I182">
        <f t="shared" si="60"/>
        <v>17</v>
      </c>
      <c r="J182">
        <f t="shared" si="61"/>
        <v>55209.230000000018</v>
      </c>
      <c r="K182">
        <f t="shared" si="62"/>
        <v>272</v>
      </c>
      <c r="L182">
        <f>--AND($E182=1,OR('Staff Dashboard'!$B$6="All",$DH182='Staff Dashboard'!$B$6),OR('Staff Dashboard'!$B$7="All",$D182='Staff Dashboard'!$B$7),OR('Staff Dashboard'!$B$8="All",$A182='Staff Dashboard'!$B$8))</f>
        <v>0</v>
      </c>
      <c r="M182">
        <f>IF($E182=0,0,SUMPRODUCT($AI$7:$DF$7,'Staff Daily sales'!$G167:$CD167))</f>
        <v>5619.1</v>
      </c>
      <c r="N182">
        <f>IF($E182=0,0,SUMPRODUCT($AI$8:$DF$8,'Staff Daily sales'!$G167:$CD167))</f>
        <v>42</v>
      </c>
      <c r="O182">
        <f>IF($E182=0,0,SUMPRODUCT($AI$9:$DF$9,'Staff Daily sales'!$G167:$CD167))</f>
        <v>6981.07</v>
      </c>
      <c r="P182">
        <f>IF($E182=0,0,SUMPRODUCT($AI$10:$DF$10,'Staff Daily sales'!$G167:$CD167))</f>
        <v>54</v>
      </c>
      <c r="Q182">
        <f>IF($E182=0,0,SUMPRODUCT($AI$11:$DF$11,'Staff Daily sales'!$G167:$CD167))</f>
        <v>11308.22</v>
      </c>
      <c r="R182">
        <f>IF($E182=0,0,SUMPRODUCT($AI$12:$DF$12,'Staff Daily sales'!$G167:$CD167))</f>
        <v>89</v>
      </c>
      <c r="S182">
        <f>IF($E182=0,0,SUMPRODUCT($AI$13:$DF$13,'Staff Daily sales'!$G167:$CD167))</f>
        <v>8504.9499999999989</v>
      </c>
      <c r="T182">
        <f>IF($E182=0,0,SUMPRODUCT($AI$14:$DF$14,'Staff Daily sales'!$G167:$CD167))</f>
        <v>66</v>
      </c>
      <c r="U182">
        <f>IF($E182=0,0,SUMPRODUCT($AI$15:$DF$15,'Staff Daily sales'!$G167:$CD167))</f>
        <v>1142.06</v>
      </c>
      <c r="V182">
        <f>IF($E182=0,0,SUMPRODUCT($AI$16:$DF$16,'Staff Daily sales'!$G167:$CD167))</f>
        <v>7</v>
      </c>
      <c r="W182">
        <f t="shared" si="63"/>
        <v>16869.28</v>
      </c>
      <c r="X182">
        <f t="shared" si="64"/>
        <v>30931.47</v>
      </c>
      <c r="Y182">
        <f t="shared" si="65"/>
        <v>22073.5</v>
      </c>
      <c r="Z182">
        <f t="shared" si="66"/>
        <v>20789.96</v>
      </c>
      <c r="AA182">
        <f t="shared" si="67"/>
        <v>5051.03</v>
      </c>
      <c r="AB182">
        <f>--AND($E182=1,OR('Staff Weekly Trend'!$B$3="All",$DH182='Staff Weekly Trend'!$B$3),OR('Staff Weekly Trend'!$B$4="All",$D182='Staff Weekly Trend'!$B$4),OR('Staff Weekly Trend'!$B$5="All",$A182='Staff Weekly Trend'!$B$5))</f>
        <v>1</v>
      </c>
      <c r="AC182">
        <f t="shared" si="68"/>
        <v>3</v>
      </c>
      <c r="AI182">
        <f t="shared" si="69"/>
        <v>107</v>
      </c>
      <c r="AJ182">
        <f t="shared" si="70"/>
        <v>187</v>
      </c>
      <c r="AK182">
        <f t="shared" si="71"/>
        <v>157</v>
      </c>
      <c r="AL182">
        <f t="shared" si="72"/>
        <v>127</v>
      </c>
      <c r="AM182">
        <f t="shared" si="73"/>
        <v>29</v>
      </c>
      <c r="DH182" t="str" cm="1">
        <f t="array" ref="DH182">IF($A182="","",_xlfn.LET(_xlpm.c,IFERROR(_xlfn.XLOOKUP($A182,TRIM('Sales and count'!$A$4:$A$300&amp;""),TRIM('Sales and count'!$B$4:$B$300&amp;"")),""),IF(OR(_xlpm.c="",_xlpm.c="0",LEFT(_xlpm.c,1)="#"),"Not set",_xlpm.c)))</f>
        <v>KSA</v>
      </c>
    </row>
    <row r="183" spans="1:112" x14ac:dyDescent="0.25">
      <c r="A183" t="str">
        <f>IF('Staff Daily sales'!$B168="","",TRIM('Staff Daily sales'!$B168&amp;""))</f>
        <v>YANBUMALL</v>
      </c>
      <c r="B183" t="str">
        <f>IF('Staff Daily sales'!$D168="","",TRIM('Staff Daily sales'!$D168&amp;""))</f>
        <v>6122-TSaleh</v>
      </c>
      <c r="C183" t="str">
        <f>IFERROR(TRIM('Staff Daily sales'!$E168&amp;""),"")</f>
        <v>Yanbu</v>
      </c>
      <c r="D183" t="str">
        <f>IFERROR(IF(TRIM('Staff Daily sales'!$F168&amp;"")="","Unassigned",TRIM('Staff Daily sales'!$F168&amp;"")),"Unassigned")</f>
        <v>Mohammed Haidar</v>
      </c>
      <c r="E183">
        <f t="shared" si="58"/>
        <v>1</v>
      </c>
      <c r="F183">
        <f>IF($E183=0,0,SUMPRODUCT($AI$5:$DF$5,'Staff Daily sales'!$G168:$CD168))</f>
        <v>958.92</v>
      </c>
      <c r="G183">
        <f>IF($E183=0,0,SUMPRODUCT($AI$6:$DF$6,'Staff Daily sales'!$G168:$CD168))</f>
        <v>5</v>
      </c>
      <c r="H183">
        <f t="shared" si="59"/>
        <v>2652.86</v>
      </c>
      <c r="I183">
        <f t="shared" si="60"/>
        <v>17</v>
      </c>
      <c r="J183">
        <f t="shared" si="61"/>
        <v>55209.230000000018</v>
      </c>
      <c r="K183">
        <f t="shared" si="62"/>
        <v>272</v>
      </c>
      <c r="L183">
        <f>--AND($E183=1,OR('Staff Dashboard'!$B$6="All",$DH183='Staff Dashboard'!$B$6),OR('Staff Dashboard'!$B$7="All",$D183='Staff Dashboard'!$B$7),OR('Staff Dashboard'!$B$8="All",$A183='Staff Dashboard'!$B$8))</f>
        <v>0</v>
      </c>
      <c r="M183">
        <f>IF($E183=0,0,SUMPRODUCT($AI$7:$DF$7,'Staff Daily sales'!$G168:$CD168))</f>
        <v>0</v>
      </c>
      <c r="N183">
        <f>IF($E183=0,0,SUMPRODUCT($AI$8:$DF$8,'Staff Daily sales'!$G168:$CD168))</f>
        <v>1</v>
      </c>
      <c r="O183">
        <f>IF($E183=0,0,SUMPRODUCT($AI$9:$DF$9,'Staff Daily sales'!$G168:$CD168))</f>
        <v>14842.310000000001</v>
      </c>
      <c r="P183">
        <f>IF($E183=0,0,SUMPRODUCT($AI$10:$DF$10,'Staff Daily sales'!$G168:$CD168))</f>
        <v>94</v>
      </c>
      <c r="Q183">
        <f>IF($E183=0,0,SUMPRODUCT($AI$11:$DF$11,'Staff Daily sales'!$G168:$CD168))</f>
        <v>7939.19</v>
      </c>
      <c r="R183">
        <f>IF($E183=0,0,SUMPRODUCT($AI$12:$DF$12,'Staff Daily sales'!$G168:$CD168))</f>
        <v>50</v>
      </c>
      <c r="S183">
        <f>IF($E183=0,0,SUMPRODUCT($AI$13:$DF$13,'Staff Daily sales'!$G168:$CD168))</f>
        <v>4193</v>
      </c>
      <c r="T183">
        <f>IF($E183=0,0,SUMPRODUCT($AI$14:$DF$14,'Staff Daily sales'!$G168:$CD168))</f>
        <v>20</v>
      </c>
      <c r="U183">
        <f>IF($E183=0,0,SUMPRODUCT($AI$15:$DF$15,'Staff Daily sales'!$G168:$CD168))</f>
        <v>572</v>
      </c>
      <c r="V183">
        <f>IF($E183=0,0,SUMPRODUCT($AI$16:$DF$16,'Staff Daily sales'!$G168:$CD168))</f>
        <v>4</v>
      </c>
      <c r="W183">
        <f t="shared" si="63"/>
        <v>16869.28</v>
      </c>
      <c r="X183">
        <f t="shared" si="64"/>
        <v>30931.47</v>
      </c>
      <c r="Y183">
        <f t="shared" si="65"/>
        <v>22073.5</v>
      </c>
      <c r="Z183">
        <f t="shared" si="66"/>
        <v>20789.96</v>
      </c>
      <c r="AA183">
        <f t="shared" si="67"/>
        <v>5051.03</v>
      </c>
      <c r="AB183">
        <f>--AND($E183=1,OR('Staff Weekly Trend'!$B$3="All",$DH183='Staff Weekly Trend'!$B$3),OR('Staff Weekly Trend'!$B$4="All",$D183='Staff Weekly Trend'!$B$4),OR('Staff Weekly Trend'!$B$5="All",$A183='Staff Weekly Trend'!$B$5))</f>
        <v>1</v>
      </c>
      <c r="AC183">
        <f t="shared" si="68"/>
        <v>1</v>
      </c>
      <c r="AI183">
        <f t="shared" si="69"/>
        <v>107</v>
      </c>
      <c r="AJ183">
        <f t="shared" si="70"/>
        <v>187</v>
      </c>
      <c r="AK183">
        <f t="shared" si="71"/>
        <v>157</v>
      </c>
      <c r="AL183">
        <f t="shared" si="72"/>
        <v>127</v>
      </c>
      <c r="AM183">
        <f t="shared" si="73"/>
        <v>29</v>
      </c>
      <c r="DH183" t="str" cm="1">
        <f t="array" ref="DH183">IF($A183="","",_xlfn.LET(_xlpm.c,IFERROR(_xlfn.XLOOKUP($A183,TRIM('Sales and count'!$A$4:$A$300&amp;""),TRIM('Sales and count'!$B$4:$B$300&amp;"")),""),IF(OR(_xlpm.c="",_xlpm.c="0",LEFT(_xlpm.c,1)="#"),"Not set",_xlpm.c)))</f>
        <v>KSA</v>
      </c>
    </row>
    <row r="184" spans="1:112" x14ac:dyDescent="0.25">
      <c r="A184" t="str">
        <f>IF('Staff Daily sales'!$B169="","",TRIM('Staff Daily sales'!$B169&amp;""))</f>
        <v>MADNOOR</v>
      </c>
      <c r="B184" t="str">
        <f>IF('Staff Daily sales'!$D169="","",TRIM('Staff Daily sales'!$D169&amp;""))</f>
        <v>3699-MAlharbi</v>
      </c>
      <c r="C184" t="str">
        <f>IFERROR(TRIM('Staff Daily sales'!$E169&amp;""),"")</f>
        <v>Madinah</v>
      </c>
      <c r="D184" t="str">
        <f>IFERROR(IF(TRIM('Staff Daily sales'!$F169&amp;"")="","Unassigned",TRIM('Staff Daily sales'!$F169&amp;"")),"Unassigned")</f>
        <v>Mohammed Haidar</v>
      </c>
      <c r="E184">
        <f t="shared" si="58"/>
        <v>1</v>
      </c>
      <c r="F184">
        <f>IF($E184=0,0,SUMPRODUCT($AI$5:$DF$5,'Staff Daily sales'!$G169:$CD169))</f>
        <v>2734.85</v>
      </c>
      <c r="G184">
        <f>IF($E184=0,0,SUMPRODUCT($AI$6:$DF$6,'Staff Daily sales'!$G169:$CD169))</f>
        <v>16</v>
      </c>
      <c r="H184">
        <f t="shared" si="59"/>
        <v>4751.71</v>
      </c>
      <c r="I184">
        <f t="shared" si="60"/>
        <v>26</v>
      </c>
      <c r="J184">
        <f t="shared" si="61"/>
        <v>55209.230000000018</v>
      </c>
      <c r="K184">
        <f t="shared" si="62"/>
        <v>272</v>
      </c>
      <c r="L184">
        <f>--AND($E184=1,OR('Staff Dashboard'!$B$6="All",$DH184='Staff Dashboard'!$B$6),OR('Staff Dashboard'!$B$7="All",$D184='Staff Dashboard'!$B$7),OR('Staff Dashboard'!$B$8="All",$A184='Staff Dashboard'!$B$8))</f>
        <v>0</v>
      </c>
      <c r="M184">
        <f>IF($E184=0,0,SUMPRODUCT($AI$7:$DF$7,'Staff Daily sales'!$G169:$CD169))</f>
        <v>6677.1</v>
      </c>
      <c r="N184">
        <f>IF($E184=0,0,SUMPRODUCT($AI$8:$DF$8,'Staff Daily sales'!$G169:$CD169))</f>
        <v>52</v>
      </c>
      <c r="O184">
        <f>IF($E184=0,0,SUMPRODUCT($AI$9:$DF$9,'Staff Daily sales'!$G169:$CD169))</f>
        <v>13635.19</v>
      </c>
      <c r="P184">
        <f>IF($E184=0,0,SUMPRODUCT($AI$10:$DF$10,'Staff Daily sales'!$G169:$CD169))</f>
        <v>77</v>
      </c>
      <c r="Q184">
        <f>IF($E184=0,0,SUMPRODUCT($AI$11:$DF$11,'Staff Daily sales'!$G169:$CD169))</f>
        <v>9886.16</v>
      </c>
      <c r="R184">
        <f>IF($E184=0,0,SUMPRODUCT($AI$12:$DF$12,'Staff Daily sales'!$G169:$CD169))</f>
        <v>32</v>
      </c>
      <c r="S184">
        <f>IF($E184=0,0,SUMPRODUCT($AI$13:$DF$13,'Staff Daily sales'!$G169:$CD169))</f>
        <v>6313.82</v>
      </c>
      <c r="T184">
        <f>IF($E184=0,0,SUMPRODUCT($AI$14:$DF$14,'Staff Daily sales'!$G169:$CD169))</f>
        <v>35</v>
      </c>
      <c r="U184">
        <f>IF($E184=0,0,SUMPRODUCT($AI$15:$DF$15,'Staff Daily sales'!$G169:$CD169))</f>
        <v>5960.27</v>
      </c>
      <c r="V184">
        <f>IF($E184=0,0,SUMPRODUCT($AI$16:$DF$16,'Staff Daily sales'!$G169:$CD169))</f>
        <v>22</v>
      </c>
      <c r="W184">
        <f t="shared" si="63"/>
        <v>18075.309999999998</v>
      </c>
      <c r="X184">
        <f t="shared" si="64"/>
        <v>36121.380000000005</v>
      </c>
      <c r="Y184">
        <f t="shared" si="65"/>
        <v>27509.269999999997</v>
      </c>
      <c r="Z184">
        <f t="shared" si="66"/>
        <v>23106.39</v>
      </c>
      <c r="AA184">
        <f t="shared" si="67"/>
        <v>11654.18</v>
      </c>
      <c r="AB184">
        <f>--AND($E184=1,OR('Staff Weekly Trend'!$B$3="All",$DH184='Staff Weekly Trend'!$B$3),OR('Staff Weekly Trend'!$B$4="All",$D184='Staff Weekly Trend'!$B$4),OR('Staff Weekly Trend'!$B$5="All",$A184='Staff Weekly Trend'!$B$5))</f>
        <v>1</v>
      </c>
      <c r="AC184">
        <f t="shared" si="68"/>
        <v>1</v>
      </c>
      <c r="AI184">
        <f t="shared" si="69"/>
        <v>151</v>
      </c>
      <c r="AJ184">
        <f t="shared" si="70"/>
        <v>224</v>
      </c>
      <c r="AK184">
        <f t="shared" si="71"/>
        <v>117</v>
      </c>
      <c r="AL184">
        <f t="shared" si="72"/>
        <v>128</v>
      </c>
      <c r="AM184">
        <f t="shared" si="73"/>
        <v>48</v>
      </c>
      <c r="DH184" t="str" cm="1">
        <f t="array" ref="DH184">IF($A184="","",_xlfn.LET(_xlpm.c,IFERROR(_xlfn.XLOOKUP($A184,TRIM('Sales and count'!$A$4:$A$300&amp;""),TRIM('Sales and count'!$B$4:$B$300&amp;"")),""),IF(OR(_xlpm.c="",_xlpm.c="0",LEFT(_xlpm.c,1)="#"),"Not set",_xlpm.c)))</f>
        <v>KSA</v>
      </c>
    </row>
    <row r="185" spans="1:112" x14ac:dyDescent="0.25">
      <c r="A185" t="str">
        <f>IF('Staff Daily sales'!$B170="","",TRIM('Staff Daily sales'!$B170&amp;""))</f>
        <v>MADNOOR</v>
      </c>
      <c r="B185" t="str">
        <f>IF('Staff Daily sales'!$D170="","",TRIM('Staff Daily sales'!$D170&amp;""))</f>
        <v>4617-AAlharbi</v>
      </c>
      <c r="C185" t="str">
        <f>IFERROR(TRIM('Staff Daily sales'!$E170&amp;""),"")</f>
        <v>Madinah</v>
      </c>
      <c r="D185" t="str">
        <f>IFERROR(IF(TRIM('Staff Daily sales'!$F170&amp;"")="","Unassigned",TRIM('Staff Daily sales'!$F170&amp;"")),"Unassigned")</f>
        <v>Mohammed Haidar</v>
      </c>
      <c r="E185">
        <f t="shared" si="58"/>
        <v>1</v>
      </c>
      <c r="F185">
        <f>IF($E185=0,0,SUMPRODUCT($AI$5:$DF$5,'Staff Daily sales'!$G170:$CD170))</f>
        <v>0</v>
      </c>
      <c r="G185">
        <f>IF($E185=0,0,SUMPRODUCT($AI$6:$DF$6,'Staff Daily sales'!$G170:$CD170))</f>
        <v>0</v>
      </c>
      <c r="H185">
        <f t="shared" si="59"/>
        <v>4751.71</v>
      </c>
      <c r="I185">
        <f t="shared" si="60"/>
        <v>26</v>
      </c>
      <c r="J185">
        <f t="shared" si="61"/>
        <v>55209.230000000018</v>
      </c>
      <c r="K185">
        <f t="shared" si="62"/>
        <v>272</v>
      </c>
      <c r="L185">
        <f>--AND($E185=1,OR('Staff Dashboard'!$B$6="All",$DH185='Staff Dashboard'!$B$6),OR('Staff Dashboard'!$B$7="All",$D185='Staff Dashboard'!$B$7),OR('Staff Dashboard'!$B$8="All",$A185='Staff Dashboard'!$B$8))</f>
        <v>0</v>
      </c>
      <c r="M185">
        <f>IF($E185=0,0,SUMPRODUCT($AI$7:$DF$7,'Staff Daily sales'!$G170:$CD170))</f>
        <v>5550.06</v>
      </c>
      <c r="N185">
        <f>IF($E185=0,0,SUMPRODUCT($AI$8:$DF$8,'Staff Daily sales'!$G170:$CD170))</f>
        <v>49</v>
      </c>
      <c r="O185">
        <f>IF($E185=0,0,SUMPRODUCT($AI$9:$DF$9,'Staff Daily sales'!$G170:$CD170))</f>
        <v>12705.06</v>
      </c>
      <c r="P185">
        <f>IF($E185=0,0,SUMPRODUCT($AI$10:$DF$10,'Staff Daily sales'!$G170:$CD170))</f>
        <v>80</v>
      </c>
      <c r="Q185">
        <f>IF($E185=0,0,SUMPRODUCT($AI$11:$DF$11,'Staff Daily sales'!$G170:$CD170))</f>
        <v>8153.03</v>
      </c>
      <c r="R185">
        <f>IF($E185=0,0,SUMPRODUCT($AI$12:$DF$12,'Staff Daily sales'!$G170:$CD170))</f>
        <v>35</v>
      </c>
      <c r="S185">
        <f>IF($E185=0,0,SUMPRODUCT($AI$13:$DF$13,'Staff Daily sales'!$G170:$CD170))</f>
        <v>4604.8900000000003</v>
      </c>
      <c r="T185">
        <f>IF($E185=0,0,SUMPRODUCT($AI$14:$DF$14,'Staff Daily sales'!$G170:$CD170))</f>
        <v>23</v>
      </c>
      <c r="U185">
        <f>IF($E185=0,0,SUMPRODUCT($AI$15:$DF$15,'Staff Daily sales'!$G170:$CD170))</f>
        <v>3116.96</v>
      </c>
      <c r="V185">
        <f>IF($E185=0,0,SUMPRODUCT($AI$16:$DF$16,'Staff Daily sales'!$G170:$CD170))</f>
        <v>14</v>
      </c>
      <c r="W185">
        <f t="shared" si="63"/>
        <v>18075.309999999998</v>
      </c>
      <c r="X185">
        <f t="shared" si="64"/>
        <v>36121.380000000005</v>
      </c>
      <c r="Y185">
        <f t="shared" si="65"/>
        <v>27509.269999999997</v>
      </c>
      <c r="Z185">
        <f t="shared" si="66"/>
        <v>23106.39</v>
      </c>
      <c r="AA185">
        <f t="shared" si="67"/>
        <v>11654.18</v>
      </c>
      <c r="AB185">
        <f>--AND($E185=1,OR('Staff Weekly Trend'!$B$3="All",$DH185='Staff Weekly Trend'!$B$3),OR('Staff Weekly Trend'!$B$4="All",$D185='Staff Weekly Trend'!$B$4),OR('Staff Weekly Trend'!$B$5="All",$A185='Staff Weekly Trend'!$B$5))</f>
        <v>1</v>
      </c>
      <c r="AC185" t="str">
        <f t="shared" si="68"/>
        <v/>
      </c>
      <c r="AI185">
        <f t="shared" si="69"/>
        <v>151</v>
      </c>
      <c r="AJ185">
        <f t="shared" si="70"/>
        <v>224</v>
      </c>
      <c r="AK185">
        <f t="shared" si="71"/>
        <v>117</v>
      </c>
      <c r="AL185">
        <f t="shared" si="72"/>
        <v>128</v>
      </c>
      <c r="AM185">
        <f t="shared" si="73"/>
        <v>48</v>
      </c>
      <c r="DH185" t="str" cm="1">
        <f t="array" ref="DH185">IF($A185="","",_xlfn.LET(_xlpm.c,IFERROR(_xlfn.XLOOKUP($A185,TRIM('Sales and count'!$A$4:$A$300&amp;""),TRIM('Sales and count'!$B$4:$B$300&amp;"")),""),IF(OR(_xlpm.c="",_xlpm.c="0",LEFT(_xlpm.c,1)="#"),"Not set",_xlpm.c)))</f>
        <v>KSA</v>
      </c>
    </row>
    <row r="186" spans="1:112" x14ac:dyDescent="0.25">
      <c r="A186" t="str">
        <f>IF('Staff Daily sales'!$B171="","",TRIM('Staff Daily sales'!$B171&amp;""))</f>
        <v>MADNOOR</v>
      </c>
      <c r="B186" t="str">
        <f>IF('Staff Daily sales'!$D171="","",TRIM('Staff Daily sales'!$D171&amp;""))</f>
        <v>5263-MAlharbi</v>
      </c>
      <c r="C186" t="str">
        <f>IFERROR(TRIM('Staff Daily sales'!$E171&amp;""),"")</f>
        <v>Madinah</v>
      </c>
      <c r="D186" t="str">
        <f>IFERROR(IF(TRIM('Staff Daily sales'!$F171&amp;"")="","Unassigned",TRIM('Staff Daily sales'!$F171&amp;"")),"Unassigned")</f>
        <v>Mohammed Haidar</v>
      </c>
      <c r="E186">
        <f t="shared" si="58"/>
        <v>1</v>
      </c>
      <c r="F186">
        <f>IF($E186=0,0,SUMPRODUCT($AI$5:$DF$5,'Staff Daily sales'!$G171:$CD171))</f>
        <v>2016.86</v>
      </c>
      <c r="G186">
        <f>IF($E186=0,0,SUMPRODUCT($AI$6:$DF$6,'Staff Daily sales'!$G171:$CD171))</f>
        <v>10</v>
      </c>
      <c r="H186">
        <f t="shared" si="59"/>
        <v>4751.71</v>
      </c>
      <c r="I186">
        <f t="shared" si="60"/>
        <v>26</v>
      </c>
      <c r="J186">
        <f t="shared" si="61"/>
        <v>55209.230000000018</v>
      </c>
      <c r="K186">
        <f t="shared" si="62"/>
        <v>272</v>
      </c>
      <c r="L186">
        <f>--AND($E186=1,OR('Staff Dashboard'!$B$6="All",$DH186='Staff Dashboard'!$B$6),OR('Staff Dashboard'!$B$7="All",$D186='Staff Dashboard'!$B$7),OR('Staff Dashboard'!$B$8="All",$A186='Staff Dashboard'!$B$8))</f>
        <v>0</v>
      </c>
      <c r="M186">
        <f>IF($E186=0,0,SUMPRODUCT($AI$7:$DF$7,'Staff Daily sales'!$G171:$CD171))</f>
        <v>5848.15</v>
      </c>
      <c r="N186">
        <f>IF($E186=0,0,SUMPRODUCT($AI$8:$DF$8,'Staff Daily sales'!$G171:$CD171))</f>
        <v>50</v>
      </c>
      <c r="O186">
        <f>IF($E186=0,0,SUMPRODUCT($AI$9:$DF$9,'Staff Daily sales'!$G171:$CD171))</f>
        <v>9781.130000000001</v>
      </c>
      <c r="P186">
        <f>IF($E186=0,0,SUMPRODUCT($AI$10:$DF$10,'Staff Daily sales'!$G171:$CD171))</f>
        <v>67</v>
      </c>
      <c r="Q186">
        <f>IF($E186=0,0,SUMPRODUCT($AI$11:$DF$11,'Staff Daily sales'!$G171:$CD171))</f>
        <v>9470.08</v>
      </c>
      <c r="R186">
        <f>IF($E186=0,0,SUMPRODUCT($AI$12:$DF$12,'Staff Daily sales'!$G171:$CD171))</f>
        <v>50</v>
      </c>
      <c r="S186">
        <f>IF($E186=0,0,SUMPRODUCT($AI$13:$DF$13,'Staff Daily sales'!$G171:$CD171))</f>
        <v>12187.68</v>
      </c>
      <c r="T186">
        <f>IF($E186=0,0,SUMPRODUCT($AI$14:$DF$14,'Staff Daily sales'!$G171:$CD171))</f>
        <v>70</v>
      </c>
      <c r="U186">
        <f>IF($E186=0,0,SUMPRODUCT($AI$15:$DF$15,'Staff Daily sales'!$G171:$CD171))</f>
        <v>2576.9499999999998</v>
      </c>
      <c r="V186">
        <f>IF($E186=0,0,SUMPRODUCT($AI$16:$DF$16,'Staff Daily sales'!$G171:$CD171))</f>
        <v>12</v>
      </c>
      <c r="W186">
        <f t="shared" si="63"/>
        <v>18075.309999999998</v>
      </c>
      <c r="X186">
        <f t="shared" si="64"/>
        <v>36121.380000000005</v>
      </c>
      <c r="Y186">
        <f t="shared" si="65"/>
        <v>27509.269999999997</v>
      </c>
      <c r="Z186">
        <f t="shared" si="66"/>
        <v>23106.39</v>
      </c>
      <c r="AA186">
        <f t="shared" si="67"/>
        <v>11654.18</v>
      </c>
      <c r="AB186">
        <f>--AND($E186=1,OR('Staff Weekly Trend'!$B$3="All",$DH186='Staff Weekly Trend'!$B$3),OR('Staff Weekly Trend'!$B$4="All",$D186='Staff Weekly Trend'!$B$4),OR('Staff Weekly Trend'!$B$5="All",$A186='Staff Weekly Trend'!$B$5))</f>
        <v>1</v>
      </c>
      <c r="AC186">
        <f t="shared" si="68"/>
        <v>2</v>
      </c>
      <c r="AI186">
        <f t="shared" si="69"/>
        <v>151</v>
      </c>
      <c r="AJ186">
        <f t="shared" si="70"/>
        <v>224</v>
      </c>
      <c r="AK186">
        <f t="shared" si="71"/>
        <v>117</v>
      </c>
      <c r="AL186">
        <f t="shared" si="72"/>
        <v>128</v>
      </c>
      <c r="AM186">
        <f t="shared" si="73"/>
        <v>48</v>
      </c>
      <c r="DH186" t="str" cm="1">
        <f t="array" ref="DH186">IF($A186="","",_xlfn.LET(_xlpm.c,IFERROR(_xlfn.XLOOKUP($A186,TRIM('Sales and count'!$A$4:$A$300&amp;""),TRIM('Sales and count'!$B$4:$B$300&amp;"")),""),IF(OR(_xlpm.c="",_xlpm.c="0",LEFT(_xlpm.c,1)="#"),"Not set",_xlpm.c)))</f>
        <v>KSA</v>
      </c>
    </row>
    <row r="187" spans="1:112" x14ac:dyDescent="0.25">
      <c r="A187" t="str">
        <f>IF('Staff Daily sales'!$B172="","",TRIM('Staff Daily sales'!$B172&amp;""))</f>
        <v>BURNPLAZ</v>
      </c>
      <c r="B187" t="str">
        <f>IF('Staff Daily sales'!$D172="","",TRIM('Staff Daily sales'!$D172&amp;""))</f>
        <v>4416-NAlsaad</v>
      </c>
      <c r="C187" t="str">
        <f>IFERROR(TRIM('Staff Daily sales'!$E172&amp;""),"")</f>
        <v>Buraidah</v>
      </c>
      <c r="D187" t="str">
        <f>IFERROR(IF(TRIM('Staff Daily sales'!$F172&amp;"")="","Unassigned",TRIM('Staff Daily sales'!$F172&amp;"")),"Unassigned")</f>
        <v>Lina Al Ghathami</v>
      </c>
      <c r="E187">
        <f t="shared" si="58"/>
        <v>1</v>
      </c>
      <c r="F187">
        <f>IF($E187=0,0,SUMPRODUCT($AI$5:$DF$5,'Staff Daily sales'!$G172:$CD172))</f>
        <v>1159.96</v>
      </c>
      <c r="G187">
        <f>IF($E187=0,0,SUMPRODUCT($AI$6:$DF$6,'Staff Daily sales'!$G172:$CD172))</f>
        <v>7</v>
      </c>
      <c r="H187">
        <f t="shared" si="59"/>
        <v>3783.8500000000004</v>
      </c>
      <c r="I187">
        <f t="shared" si="60"/>
        <v>25</v>
      </c>
      <c r="J187">
        <f t="shared" si="61"/>
        <v>62915.250000000007</v>
      </c>
      <c r="K187">
        <f t="shared" si="62"/>
        <v>385</v>
      </c>
      <c r="L187">
        <f>--AND($E187=1,OR('Staff Dashboard'!$B$6="All",$DH187='Staff Dashboard'!$B$6),OR('Staff Dashboard'!$B$7="All",$D187='Staff Dashboard'!$B$7),OR('Staff Dashboard'!$B$8="All",$A187='Staff Dashboard'!$B$8))</f>
        <v>0</v>
      </c>
      <c r="M187">
        <f>IF($E187=0,0,SUMPRODUCT($AI$7:$DF$7,'Staff Daily sales'!$G172:$CD172))</f>
        <v>6131.07</v>
      </c>
      <c r="N187">
        <f>IF($E187=0,0,SUMPRODUCT($AI$8:$DF$8,'Staff Daily sales'!$G172:$CD172))</f>
        <v>47</v>
      </c>
      <c r="O187">
        <f>IF($E187=0,0,SUMPRODUCT($AI$9:$DF$9,'Staff Daily sales'!$G172:$CD172))</f>
        <v>8242.06</v>
      </c>
      <c r="P187">
        <f>IF($E187=0,0,SUMPRODUCT($AI$10:$DF$10,'Staff Daily sales'!$G172:$CD172))</f>
        <v>70</v>
      </c>
      <c r="Q187">
        <f>IF($E187=0,0,SUMPRODUCT($AI$11:$DF$11,'Staff Daily sales'!$G172:$CD172))</f>
        <v>6114.07</v>
      </c>
      <c r="R187">
        <f>IF($E187=0,0,SUMPRODUCT($AI$12:$DF$12,'Staff Daily sales'!$G172:$CD172))</f>
        <v>48</v>
      </c>
      <c r="S187">
        <f>IF($E187=0,0,SUMPRODUCT($AI$13:$DF$13,'Staff Daily sales'!$G172:$CD172))</f>
        <v>8104.87</v>
      </c>
      <c r="T187">
        <f>IF($E187=0,0,SUMPRODUCT($AI$14:$DF$14,'Staff Daily sales'!$G172:$CD172))</f>
        <v>53</v>
      </c>
      <c r="U187">
        <f>IF($E187=0,0,SUMPRODUCT($AI$15:$DF$15,'Staff Daily sales'!$G172:$CD172))</f>
        <v>4224.99</v>
      </c>
      <c r="V187">
        <f>IF($E187=0,0,SUMPRODUCT($AI$16:$DF$16,'Staff Daily sales'!$G172:$CD172))</f>
        <v>26</v>
      </c>
      <c r="W187">
        <f t="shared" si="63"/>
        <v>18818.22</v>
      </c>
      <c r="X187">
        <f t="shared" si="64"/>
        <v>28460.44</v>
      </c>
      <c r="Y187">
        <f t="shared" si="65"/>
        <v>27894.32</v>
      </c>
      <c r="Z187">
        <f t="shared" si="66"/>
        <v>25803.550000000003</v>
      </c>
      <c r="AA187">
        <f t="shared" si="67"/>
        <v>7834.09</v>
      </c>
      <c r="AB187">
        <f>--AND($E187=1,OR('Staff Weekly Trend'!$B$3="All",$DH187='Staff Weekly Trend'!$B$3),OR('Staff Weekly Trend'!$B$4="All",$D187='Staff Weekly Trend'!$B$4),OR('Staff Weekly Trend'!$B$5="All",$A187='Staff Weekly Trend'!$B$5))</f>
        <v>1</v>
      </c>
      <c r="AC187">
        <f t="shared" si="68"/>
        <v>1</v>
      </c>
      <c r="AI187">
        <f t="shared" si="69"/>
        <v>158</v>
      </c>
      <c r="AJ187">
        <f t="shared" si="70"/>
        <v>213</v>
      </c>
      <c r="AK187">
        <f t="shared" si="71"/>
        <v>204</v>
      </c>
      <c r="AL187">
        <f t="shared" si="72"/>
        <v>168</v>
      </c>
      <c r="AM187">
        <f t="shared" si="73"/>
        <v>56</v>
      </c>
      <c r="DH187" t="str" cm="1">
        <f t="array" ref="DH187">IF($A187="","",_xlfn.LET(_xlpm.c,IFERROR(_xlfn.XLOOKUP($A187,TRIM('Sales and count'!$A$4:$A$300&amp;""),TRIM('Sales and count'!$B$4:$B$300&amp;"")),""),IF(OR(_xlpm.c="",_xlpm.c="0",LEFT(_xlpm.c,1)="#"),"Not set",_xlpm.c)))</f>
        <v>KSA</v>
      </c>
    </row>
    <row r="188" spans="1:112" x14ac:dyDescent="0.25">
      <c r="A188" t="str">
        <f>IF('Staff Daily sales'!$B173="","",TRIM('Staff Daily sales'!$B173&amp;""))</f>
        <v>BURNPLAZ</v>
      </c>
      <c r="B188" t="str">
        <f>IF('Staff Daily sales'!$D173="","",TRIM('Staff Daily sales'!$D173&amp;""))</f>
        <v>4419-SAljarbou</v>
      </c>
      <c r="C188" t="str">
        <f>IFERROR(TRIM('Staff Daily sales'!$E173&amp;""),"")</f>
        <v>Buraidah</v>
      </c>
      <c r="D188" t="str">
        <f>IFERROR(IF(TRIM('Staff Daily sales'!$F173&amp;"")="","Unassigned",TRIM('Staff Daily sales'!$F173&amp;"")),"Unassigned")</f>
        <v>Lina Al Ghathami</v>
      </c>
      <c r="E188">
        <f t="shared" si="58"/>
        <v>1</v>
      </c>
      <c r="F188">
        <f>IF($E188=0,0,SUMPRODUCT($AI$5:$DF$5,'Staff Daily sales'!$G173:$CD173))</f>
        <v>951.98</v>
      </c>
      <c r="G188">
        <f>IF($E188=0,0,SUMPRODUCT($AI$6:$DF$6,'Staff Daily sales'!$G173:$CD173))</f>
        <v>6</v>
      </c>
      <c r="H188">
        <f t="shared" si="59"/>
        <v>3783.8500000000004</v>
      </c>
      <c r="I188">
        <f t="shared" si="60"/>
        <v>25</v>
      </c>
      <c r="J188">
        <f t="shared" si="61"/>
        <v>62915.250000000007</v>
      </c>
      <c r="K188">
        <f t="shared" si="62"/>
        <v>385</v>
      </c>
      <c r="L188">
        <f>--AND($E188=1,OR('Staff Dashboard'!$B$6="All",$DH188='Staff Dashboard'!$B$6),OR('Staff Dashboard'!$B$7="All",$D188='Staff Dashboard'!$B$7),OR('Staff Dashboard'!$B$8="All",$A188='Staff Dashboard'!$B$8))</f>
        <v>0</v>
      </c>
      <c r="M188">
        <f>IF($E188=0,0,SUMPRODUCT($AI$7:$DF$7,'Staff Daily sales'!$G173:$CD173))</f>
        <v>7430.1299999999992</v>
      </c>
      <c r="N188">
        <f>IF($E188=0,0,SUMPRODUCT($AI$8:$DF$8,'Staff Daily sales'!$G173:$CD173))</f>
        <v>63</v>
      </c>
      <c r="O188">
        <f>IF($E188=0,0,SUMPRODUCT($AI$9:$DF$9,'Staff Daily sales'!$G173:$CD173))</f>
        <v>5530.09</v>
      </c>
      <c r="P188">
        <f>IF($E188=0,0,SUMPRODUCT($AI$10:$DF$10,'Staff Daily sales'!$G173:$CD173))</f>
        <v>48</v>
      </c>
      <c r="Q188">
        <f>IF($E188=0,0,SUMPRODUCT($AI$11:$DF$11,'Staff Daily sales'!$G173:$CD173))</f>
        <v>6217.0400000000009</v>
      </c>
      <c r="R188">
        <f>IF($E188=0,0,SUMPRODUCT($AI$12:$DF$12,'Staff Daily sales'!$G173:$CD173))</f>
        <v>42</v>
      </c>
      <c r="S188">
        <f>IF($E188=0,0,SUMPRODUCT($AI$13:$DF$13,'Staff Daily sales'!$G173:$CD173))</f>
        <v>7534.8799999999992</v>
      </c>
      <c r="T188">
        <f>IF($E188=0,0,SUMPRODUCT($AI$14:$DF$14,'Staff Daily sales'!$G173:$CD173))</f>
        <v>53</v>
      </c>
      <c r="U188">
        <f>IF($E188=0,0,SUMPRODUCT($AI$15:$DF$15,'Staff Daily sales'!$G173:$CD173))</f>
        <v>733</v>
      </c>
      <c r="V188">
        <f>IF($E188=0,0,SUMPRODUCT($AI$16:$DF$16,'Staff Daily sales'!$G173:$CD173))</f>
        <v>6</v>
      </c>
      <c r="W188">
        <f t="shared" si="63"/>
        <v>18818.22</v>
      </c>
      <c r="X188">
        <f t="shared" si="64"/>
        <v>28460.44</v>
      </c>
      <c r="Y188">
        <f t="shared" si="65"/>
        <v>27894.32</v>
      </c>
      <c r="Z188">
        <f t="shared" si="66"/>
        <v>25803.550000000003</v>
      </c>
      <c r="AA188">
        <f t="shared" si="67"/>
        <v>7834.09</v>
      </c>
      <c r="AB188">
        <f>--AND($E188=1,OR('Staff Weekly Trend'!$B$3="All",$DH188='Staff Weekly Trend'!$B$3),OR('Staff Weekly Trend'!$B$4="All",$D188='Staff Weekly Trend'!$B$4),OR('Staff Weekly Trend'!$B$5="All",$A188='Staff Weekly Trend'!$B$5))</f>
        <v>1</v>
      </c>
      <c r="AC188">
        <f t="shared" si="68"/>
        <v>2</v>
      </c>
      <c r="AI188">
        <f t="shared" si="69"/>
        <v>158</v>
      </c>
      <c r="AJ188">
        <f t="shared" si="70"/>
        <v>213</v>
      </c>
      <c r="AK188">
        <f t="shared" si="71"/>
        <v>204</v>
      </c>
      <c r="AL188">
        <f t="shared" si="72"/>
        <v>168</v>
      </c>
      <c r="AM188">
        <f t="shared" si="73"/>
        <v>56</v>
      </c>
      <c r="DH188" t="str" cm="1">
        <f t="array" ref="DH188">IF($A188="","",_xlfn.LET(_xlpm.c,IFERROR(_xlfn.XLOOKUP($A188,TRIM('Sales and count'!$A$4:$A$300&amp;""),TRIM('Sales and count'!$B$4:$B$300&amp;"")),""),IF(OR(_xlpm.c="",_xlpm.c="0",LEFT(_xlpm.c,1)="#"),"Not set",_xlpm.c)))</f>
        <v>KSA</v>
      </c>
    </row>
    <row r="189" spans="1:112" x14ac:dyDescent="0.25">
      <c r="A189" t="str">
        <f>IF('Staff Daily sales'!$B174="","",TRIM('Staff Daily sales'!$B174&amp;""))</f>
        <v>BURNPLAZ</v>
      </c>
      <c r="B189" t="str">
        <f>IF('Staff Daily sales'!$D174="","",TRIM('Staff Daily sales'!$D174&amp;""))</f>
        <v>4429-SDakheel</v>
      </c>
      <c r="C189" t="str">
        <f>IFERROR(TRIM('Staff Daily sales'!$E174&amp;""),"")</f>
        <v>Buraidah</v>
      </c>
      <c r="D189" t="str">
        <f>IFERROR(IF(TRIM('Staff Daily sales'!$F174&amp;"")="","Unassigned",TRIM('Staff Daily sales'!$F174&amp;"")),"Unassigned")</f>
        <v>Lina Al Ghathami</v>
      </c>
      <c r="E189">
        <f t="shared" si="58"/>
        <v>1</v>
      </c>
      <c r="F189">
        <f>IF($E189=0,0,SUMPRODUCT($AI$5:$DF$5,'Staff Daily sales'!$G174:$CD174))</f>
        <v>836.96</v>
      </c>
      <c r="G189">
        <f>IF($E189=0,0,SUMPRODUCT($AI$6:$DF$6,'Staff Daily sales'!$G174:$CD174))</f>
        <v>6</v>
      </c>
      <c r="H189">
        <f t="shared" si="59"/>
        <v>3783.8500000000004</v>
      </c>
      <c r="I189">
        <f t="shared" si="60"/>
        <v>25</v>
      </c>
      <c r="J189">
        <f t="shared" si="61"/>
        <v>62915.250000000007</v>
      </c>
      <c r="K189">
        <f t="shared" si="62"/>
        <v>385</v>
      </c>
      <c r="L189">
        <f>--AND($E189=1,OR('Staff Dashboard'!$B$6="All",$DH189='Staff Dashboard'!$B$6),OR('Staff Dashboard'!$B$7="All",$D189='Staff Dashboard'!$B$7),OR('Staff Dashboard'!$B$8="All",$A189='Staff Dashboard'!$B$8))</f>
        <v>0</v>
      </c>
      <c r="M189">
        <f>IF($E189=0,0,SUMPRODUCT($AI$7:$DF$7,'Staff Daily sales'!$G174:$CD174))</f>
        <v>5257.02</v>
      </c>
      <c r="N189">
        <f>IF($E189=0,0,SUMPRODUCT($AI$8:$DF$8,'Staff Daily sales'!$G174:$CD174))</f>
        <v>48</v>
      </c>
      <c r="O189">
        <f>IF($E189=0,0,SUMPRODUCT($AI$9:$DF$9,'Staff Daily sales'!$G174:$CD174))</f>
        <v>8765.19</v>
      </c>
      <c r="P189">
        <f>IF($E189=0,0,SUMPRODUCT($AI$10:$DF$10,'Staff Daily sales'!$G174:$CD174))</f>
        <v>63</v>
      </c>
      <c r="Q189">
        <f>IF($E189=0,0,SUMPRODUCT($AI$11:$DF$11,'Staff Daily sales'!$G174:$CD174))</f>
        <v>3867.0699999999997</v>
      </c>
      <c r="R189">
        <f>IF($E189=0,0,SUMPRODUCT($AI$12:$DF$12,'Staff Daily sales'!$G174:$CD174))</f>
        <v>32</v>
      </c>
      <c r="S189">
        <f>IF($E189=0,0,SUMPRODUCT($AI$13:$DF$13,'Staff Daily sales'!$G174:$CD174))</f>
        <v>5819.9400000000005</v>
      </c>
      <c r="T189">
        <f>IF($E189=0,0,SUMPRODUCT($AI$14:$DF$14,'Staff Daily sales'!$G174:$CD174))</f>
        <v>37</v>
      </c>
      <c r="U189">
        <f>IF($E189=0,0,SUMPRODUCT($AI$15:$DF$15,'Staff Daily sales'!$G174:$CD174))</f>
        <v>1326</v>
      </c>
      <c r="V189">
        <f>IF($E189=0,0,SUMPRODUCT($AI$16:$DF$16,'Staff Daily sales'!$G174:$CD174))</f>
        <v>14</v>
      </c>
      <c r="W189">
        <f t="shared" si="63"/>
        <v>18818.22</v>
      </c>
      <c r="X189">
        <f t="shared" si="64"/>
        <v>28460.44</v>
      </c>
      <c r="Y189">
        <f t="shared" si="65"/>
        <v>27894.32</v>
      </c>
      <c r="Z189">
        <f t="shared" si="66"/>
        <v>25803.550000000003</v>
      </c>
      <c r="AA189">
        <f t="shared" si="67"/>
        <v>7834.09</v>
      </c>
      <c r="AB189">
        <f>--AND($E189=1,OR('Staff Weekly Trend'!$B$3="All",$DH189='Staff Weekly Trend'!$B$3),OR('Staff Weekly Trend'!$B$4="All",$D189='Staff Weekly Trend'!$B$4),OR('Staff Weekly Trend'!$B$5="All",$A189='Staff Weekly Trend'!$B$5))</f>
        <v>1</v>
      </c>
      <c r="AC189">
        <f t="shared" si="68"/>
        <v>3</v>
      </c>
      <c r="AI189">
        <f t="shared" si="69"/>
        <v>158</v>
      </c>
      <c r="AJ189">
        <f t="shared" si="70"/>
        <v>213</v>
      </c>
      <c r="AK189">
        <f t="shared" si="71"/>
        <v>204</v>
      </c>
      <c r="AL189">
        <f t="shared" si="72"/>
        <v>168</v>
      </c>
      <c r="AM189">
        <f t="shared" si="73"/>
        <v>56</v>
      </c>
      <c r="DH189" t="str" cm="1">
        <f t="array" ref="DH189">IF($A189="","",_xlfn.LET(_xlpm.c,IFERROR(_xlfn.XLOOKUP($A189,TRIM('Sales and count'!$A$4:$A$300&amp;""),TRIM('Sales and count'!$B$4:$B$300&amp;"")),""),IF(OR(_xlpm.c="",_xlpm.c="0",LEFT(_xlpm.c,1)="#"),"Not set",_xlpm.c)))</f>
        <v>KSA</v>
      </c>
    </row>
    <row r="190" spans="1:112" x14ac:dyDescent="0.25">
      <c r="A190" t="str">
        <f>IF('Staff Daily sales'!$B175="","",TRIM('Staff Daily sales'!$B175&amp;""))</f>
        <v>BURNPLAZ</v>
      </c>
      <c r="B190" t="str">
        <f>IF('Staff Daily sales'!$D175="","",TRIM('Staff Daily sales'!$D175&amp;""))</f>
        <v>4432-SAlharbi</v>
      </c>
      <c r="C190" t="str">
        <f>IFERROR(TRIM('Staff Daily sales'!$E175&amp;""),"")</f>
        <v>Buraidah</v>
      </c>
      <c r="D190" t="str">
        <f>IFERROR(IF(TRIM('Staff Daily sales'!$F175&amp;"")="","Unassigned",TRIM('Staff Daily sales'!$F175&amp;"")),"Unassigned")</f>
        <v>Lina Al Ghathami</v>
      </c>
      <c r="E190">
        <f t="shared" si="58"/>
        <v>1</v>
      </c>
      <c r="F190">
        <f>IF($E190=0,0,SUMPRODUCT($AI$5:$DF$5,'Staff Daily sales'!$G175:$CD175))</f>
        <v>834.95</v>
      </c>
      <c r="G190">
        <f>IF($E190=0,0,SUMPRODUCT($AI$6:$DF$6,'Staff Daily sales'!$G175:$CD175))</f>
        <v>6</v>
      </c>
      <c r="H190">
        <f t="shared" si="59"/>
        <v>3783.8500000000004</v>
      </c>
      <c r="I190">
        <f t="shared" si="60"/>
        <v>25</v>
      </c>
      <c r="J190">
        <f t="shared" si="61"/>
        <v>62915.250000000007</v>
      </c>
      <c r="K190">
        <f t="shared" si="62"/>
        <v>385</v>
      </c>
      <c r="L190">
        <f>--AND($E190=1,OR('Staff Dashboard'!$B$6="All",$DH190='Staff Dashboard'!$B$6),OR('Staff Dashboard'!$B$7="All",$D190='Staff Dashboard'!$B$7),OR('Staff Dashboard'!$B$8="All",$A190='Staff Dashboard'!$B$8))</f>
        <v>0</v>
      </c>
      <c r="M190">
        <f>IF($E190=0,0,SUMPRODUCT($AI$7:$DF$7,'Staff Daily sales'!$G175:$CD175))</f>
        <v>0</v>
      </c>
      <c r="N190">
        <f>IF($E190=0,0,SUMPRODUCT($AI$8:$DF$8,'Staff Daily sales'!$G175:$CD175))</f>
        <v>0</v>
      </c>
      <c r="O190">
        <f>IF($E190=0,0,SUMPRODUCT($AI$9:$DF$9,'Staff Daily sales'!$G175:$CD175))</f>
        <v>970.01</v>
      </c>
      <c r="P190">
        <f>IF($E190=0,0,SUMPRODUCT($AI$10:$DF$10,'Staff Daily sales'!$G175:$CD175))</f>
        <v>6</v>
      </c>
      <c r="Q190">
        <f>IF($E190=0,0,SUMPRODUCT($AI$11:$DF$11,'Staff Daily sales'!$G175:$CD175))</f>
        <v>8374.14</v>
      </c>
      <c r="R190">
        <f>IF($E190=0,0,SUMPRODUCT($AI$12:$DF$12,'Staff Daily sales'!$G175:$CD175))</f>
        <v>58</v>
      </c>
      <c r="S190">
        <f>IF($E190=0,0,SUMPRODUCT($AI$13:$DF$13,'Staff Daily sales'!$G175:$CD175))</f>
        <v>2595.84</v>
      </c>
      <c r="T190">
        <f>IF($E190=0,0,SUMPRODUCT($AI$14:$DF$14,'Staff Daily sales'!$G175:$CD175))</f>
        <v>14</v>
      </c>
      <c r="U190">
        <f>IF($E190=0,0,SUMPRODUCT($AI$15:$DF$15,'Staff Daily sales'!$G175:$CD175))</f>
        <v>1550.1</v>
      </c>
      <c r="V190">
        <f>IF($E190=0,0,SUMPRODUCT($AI$16:$DF$16,'Staff Daily sales'!$G175:$CD175))</f>
        <v>10</v>
      </c>
      <c r="W190">
        <f t="shared" si="63"/>
        <v>18818.22</v>
      </c>
      <c r="X190">
        <f t="shared" si="64"/>
        <v>28460.44</v>
      </c>
      <c r="Y190">
        <f t="shared" si="65"/>
        <v>27894.32</v>
      </c>
      <c r="Z190">
        <f t="shared" si="66"/>
        <v>25803.550000000003</v>
      </c>
      <c r="AA190">
        <f t="shared" si="67"/>
        <v>7834.09</v>
      </c>
      <c r="AB190">
        <f>--AND($E190=1,OR('Staff Weekly Trend'!$B$3="All",$DH190='Staff Weekly Trend'!$B$3),OR('Staff Weekly Trend'!$B$4="All",$D190='Staff Weekly Trend'!$B$4),OR('Staff Weekly Trend'!$B$5="All",$A190='Staff Weekly Trend'!$B$5))</f>
        <v>1</v>
      </c>
      <c r="AC190">
        <f t="shared" si="68"/>
        <v>4</v>
      </c>
      <c r="AI190">
        <f t="shared" si="69"/>
        <v>158</v>
      </c>
      <c r="AJ190">
        <f t="shared" si="70"/>
        <v>213</v>
      </c>
      <c r="AK190">
        <f t="shared" si="71"/>
        <v>204</v>
      </c>
      <c r="AL190">
        <f t="shared" si="72"/>
        <v>168</v>
      </c>
      <c r="AM190">
        <f t="shared" si="73"/>
        <v>56</v>
      </c>
      <c r="DH190" t="str" cm="1">
        <f t="array" ref="DH190">IF($A190="","",_xlfn.LET(_xlpm.c,IFERROR(_xlfn.XLOOKUP($A190,TRIM('Sales and count'!$A$4:$A$300&amp;""),TRIM('Sales and count'!$B$4:$B$300&amp;"")),""),IF(OR(_xlpm.c="",_xlpm.c="0",LEFT(_xlpm.c,1)="#"),"Not set",_xlpm.c)))</f>
        <v>KSA</v>
      </c>
    </row>
    <row r="191" spans="1:112" x14ac:dyDescent="0.25">
      <c r="A191" t="str">
        <f>IF('Staff Daily sales'!$B176="","",TRIM('Staff Daily sales'!$B176&amp;""))</f>
        <v>BURNPLAZ</v>
      </c>
      <c r="B191" t="str">
        <f>IF('Staff Daily sales'!$D176="","",TRIM('Staff Daily sales'!$D176&amp;""))</f>
        <v>4545-KAlharbi</v>
      </c>
      <c r="C191" t="str">
        <f>IFERROR(TRIM('Staff Daily sales'!$E176&amp;""),"")</f>
        <v>Buraidah</v>
      </c>
      <c r="D191" t="str">
        <f>IFERROR(IF(TRIM('Staff Daily sales'!$F176&amp;"")="","Unassigned",TRIM('Staff Daily sales'!$F176&amp;"")),"Unassigned")</f>
        <v>Lina Al Ghathami</v>
      </c>
      <c r="E191">
        <f t="shared" si="58"/>
        <v>1</v>
      </c>
      <c r="F191">
        <f>IF($E191=0,0,SUMPRODUCT($AI$5:$DF$5,'Staff Daily sales'!$G176:$CD176))</f>
        <v>0</v>
      </c>
      <c r="G191">
        <f>IF($E191=0,0,SUMPRODUCT($AI$6:$DF$6,'Staff Daily sales'!$G176:$CD176))</f>
        <v>0</v>
      </c>
      <c r="H191">
        <f t="shared" si="59"/>
        <v>3783.8500000000004</v>
      </c>
      <c r="I191">
        <f t="shared" si="60"/>
        <v>25</v>
      </c>
      <c r="J191">
        <f t="shared" si="61"/>
        <v>62915.250000000007</v>
      </c>
      <c r="K191">
        <f t="shared" si="62"/>
        <v>385</v>
      </c>
      <c r="L191">
        <f>--AND($E191=1,OR('Staff Dashboard'!$B$6="All",$DH191='Staff Dashboard'!$B$6),OR('Staff Dashboard'!$B$7="All",$D191='Staff Dashboard'!$B$7),OR('Staff Dashboard'!$B$8="All",$A191='Staff Dashboard'!$B$8))</f>
        <v>0</v>
      </c>
      <c r="M191">
        <f>IF($E191=0,0,SUMPRODUCT($AI$7:$DF$7,'Staff Daily sales'!$G176:$CD176))</f>
        <v>0</v>
      </c>
      <c r="N191">
        <f>IF($E191=0,0,SUMPRODUCT($AI$8:$DF$8,'Staff Daily sales'!$G176:$CD176))</f>
        <v>0</v>
      </c>
      <c r="O191">
        <f>IF($E191=0,0,SUMPRODUCT($AI$9:$DF$9,'Staff Daily sales'!$G176:$CD176))</f>
        <v>4953.0899999999992</v>
      </c>
      <c r="P191">
        <f>IF($E191=0,0,SUMPRODUCT($AI$10:$DF$10,'Staff Daily sales'!$G176:$CD176))</f>
        <v>26</v>
      </c>
      <c r="Q191">
        <f>IF($E191=0,0,SUMPRODUCT($AI$11:$DF$11,'Staff Daily sales'!$G176:$CD176))</f>
        <v>3322</v>
      </c>
      <c r="R191">
        <f>IF($E191=0,0,SUMPRODUCT($AI$12:$DF$12,'Staff Daily sales'!$G176:$CD176))</f>
        <v>24</v>
      </c>
      <c r="S191">
        <f>IF($E191=0,0,SUMPRODUCT($AI$13:$DF$13,'Staff Daily sales'!$G176:$CD176))</f>
        <v>1748.02</v>
      </c>
      <c r="T191">
        <f>IF($E191=0,0,SUMPRODUCT($AI$14:$DF$14,'Staff Daily sales'!$G176:$CD176))</f>
        <v>11</v>
      </c>
      <c r="U191">
        <f>IF($E191=0,0,SUMPRODUCT($AI$15:$DF$15,'Staff Daily sales'!$G176:$CD176))</f>
        <v>0</v>
      </c>
      <c r="V191">
        <f>IF($E191=0,0,SUMPRODUCT($AI$16:$DF$16,'Staff Daily sales'!$G176:$CD176))</f>
        <v>0</v>
      </c>
      <c r="W191">
        <f t="shared" si="63"/>
        <v>18818.22</v>
      </c>
      <c r="X191">
        <f t="shared" si="64"/>
        <v>28460.44</v>
      </c>
      <c r="Y191">
        <f t="shared" si="65"/>
        <v>27894.32</v>
      </c>
      <c r="Z191">
        <f t="shared" si="66"/>
        <v>25803.550000000003</v>
      </c>
      <c r="AA191">
        <f t="shared" si="67"/>
        <v>7834.09</v>
      </c>
      <c r="AB191">
        <f>--AND($E191=1,OR('Staff Weekly Trend'!$B$3="All",$DH191='Staff Weekly Trend'!$B$3),OR('Staff Weekly Trend'!$B$4="All",$D191='Staff Weekly Trend'!$B$4),OR('Staff Weekly Trend'!$B$5="All",$A191='Staff Weekly Trend'!$B$5))</f>
        <v>1</v>
      </c>
      <c r="AC191" t="str">
        <f t="shared" si="68"/>
        <v/>
      </c>
      <c r="AI191">
        <f t="shared" si="69"/>
        <v>158</v>
      </c>
      <c r="AJ191">
        <f t="shared" si="70"/>
        <v>213</v>
      </c>
      <c r="AK191">
        <f t="shared" si="71"/>
        <v>204</v>
      </c>
      <c r="AL191">
        <f t="shared" si="72"/>
        <v>168</v>
      </c>
      <c r="AM191">
        <f t="shared" si="73"/>
        <v>56</v>
      </c>
      <c r="DH191" t="str" cm="1">
        <f t="array" ref="DH191">IF($A191="","",_xlfn.LET(_xlpm.c,IFERROR(_xlfn.XLOOKUP($A191,TRIM('Sales and count'!$A$4:$A$300&amp;""),TRIM('Sales and count'!$B$4:$B$300&amp;"")),""),IF(OR(_xlpm.c="",_xlpm.c="0",LEFT(_xlpm.c,1)="#"),"Not set",_xlpm.c)))</f>
        <v>KSA</v>
      </c>
    </row>
    <row r="192" spans="1:112" x14ac:dyDescent="0.25">
      <c r="A192" t="str">
        <f>IF('Staff Daily sales'!$B177="","",TRIM('Staff Daily sales'!$B177&amp;""))</f>
        <v>RYDUWALK</v>
      </c>
      <c r="B192" t="str">
        <f>IF('Staff Daily sales'!$D177="","",TRIM('Staff Daily sales'!$D177&amp;""))</f>
        <v>3150-Saud Alotaibi</v>
      </c>
      <c r="C192" t="str">
        <f>IFERROR(TRIM('Staff Daily sales'!$E177&amp;""),"")</f>
        <v>Riyadh</v>
      </c>
      <c r="D192" t="str">
        <f>IFERROR(IF(TRIM('Staff Daily sales'!$F177&amp;"")="","Unassigned",TRIM('Staff Daily sales'!$F177&amp;"")),"Unassigned")</f>
        <v>Mohammed Sanad</v>
      </c>
      <c r="E192">
        <f t="shared" si="58"/>
        <v>1</v>
      </c>
      <c r="F192">
        <f>IF($E192=0,0,SUMPRODUCT($AI$5:$DF$5,'Staff Daily sales'!$G177:$CD177))</f>
        <v>1856.94</v>
      </c>
      <c r="G192">
        <f>IF($E192=0,0,SUMPRODUCT($AI$6:$DF$6,'Staff Daily sales'!$G177:$CD177))</f>
        <v>11</v>
      </c>
      <c r="H192">
        <f t="shared" si="59"/>
        <v>2428.9</v>
      </c>
      <c r="I192">
        <f t="shared" si="60"/>
        <v>15</v>
      </c>
      <c r="J192">
        <f t="shared" si="61"/>
        <v>64682.640000000014</v>
      </c>
      <c r="K192">
        <f t="shared" si="62"/>
        <v>326</v>
      </c>
      <c r="L192">
        <f>--AND($E192=1,OR('Staff Dashboard'!$B$6="All",$DH192='Staff Dashboard'!$B$6),OR('Staff Dashboard'!$B$7="All",$D192='Staff Dashboard'!$B$7),OR('Staff Dashboard'!$B$8="All",$A192='Staff Dashboard'!$B$8))</f>
        <v>0</v>
      </c>
      <c r="M192">
        <f>IF($E192=0,0,SUMPRODUCT($AI$7:$DF$7,'Staff Daily sales'!$G177:$CD177))</f>
        <v>0</v>
      </c>
      <c r="N192">
        <f>IF($E192=0,0,SUMPRODUCT($AI$8:$DF$8,'Staff Daily sales'!$G177:$CD177))</f>
        <v>0</v>
      </c>
      <c r="O192">
        <f>IF($E192=0,0,SUMPRODUCT($AI$9:$DF$9,'Staff Daily sales'!$G177:$CD177))</f>
        <v>0</v>
      </c>
      <c r="P192">
        <f>IF($E192=0,0,SUMPRODUCT($AI$10:$DF$10,'Staff Daily sales'!$G177:$CD177))</f>
        <v>0</v>
      </c>
      <c r="Q192">
        <f>IF($E192=0,0,SUMPRODUCT($AI$11:$DF$11,'Staff Daily sales'!$G177:$CD177))</f>
        <v>13081.18</v>
      </c>
      <c r="R192">
        <f>IF($E192=0,0,SUMPRODUCT($AI$12:$DF$12,'Staff Daily sales'!$G177:$CD177))</f>
        <v>78</v>
      </c>
      <c r="S192">
        <f>IF($E192=0,0,SUMPRODUCT($AI$13:$DF$13,'Staff Daily sales'!$G177:$CD177))</f>
        <v>10830.720000000001</v>
      </c>
      <c r="T192">
        <f>IF($E192=0,0,SUMPRODUCT($AI$14:$DF$14,'Staff Daily sales'!$G177:$CD177))</f>
        <v>60</v>
      </c>
      <c r="U192">
        <f>IF($E192=0,0,SUMPRODUCT($AI$15:$DF$15,'Staff Daily sales'!$G177:$CD177))</f>
        <v>670.96</v>
      </c>
      <c r="V192">
        <f>IF($E192=0,0,SUMPRODUCT($AI$16:$DF$16,'Staff Daily sales'!$G177:$CD177))</f>
        <v>4</v>
      </c>
      <c r="W192">
        <f t="shared" si="63"/>
        <v>7013.15</v>
      </c>
      <c r="X192">
        <f t="shared" si="64"/>
        <v>23361.440000000002</v>
      </c>
      <c r="Y192">
        <f t="shared" si="65"/>
        <v>14850.18</v>
      </c>
      <c r="Z192">
        <f t="shared" si="66"/>
        <v>14329.720000000001</v>
      </c>
      <c r="AA192">
        <f t="shared" si="67"/>
        <v>2737.07</v>
      </c>
      <c r="AB192">
        <f>--AND($E192=1,OR('Staff Weekly Trend'!$B$3="All",$DH192='Staff Weekly Trend'!$B$3),OR('Staff Weekly Trend'!$B$4="All",$D192='Staff Weekly Trend'!$B$4),OR('Staff Weekly Trend'!$B$5="All",$A192='Staff Weekly Trend'!$B$5))</f>
        <v>1</v>
      </c>
      <c r="AC192">
        <f t="shared" si="68"/>
        <v>1</v>
      </c>
      <c r="AI192">
        <f t="shared" si="69"/>
        <v>42</v>
      </c>
      <c r="AJ192">
        <f t="shared" si="70"/>
        <v>154</v>
      </c>
      <c r="AK192">
        <f t="shared" si="71"/>
        <v>94</v>
      </c>
      <c r="AL192">
        <f t="shared" si="72"/>
        <v>83</v>
      </c>
      <c r="AM192">
        <f t="shared" si="73"/>
        <v>14</v>
      </c>
      <c r="DH192" t="str" cm="1">
        <f t="array" ref="DH192">IF($A192="","",_xlfn.LET(_xlpm.c,IFERROR(_xlfn.XLOOKUP($A192,TRIM('Sales and count'!$A$4:$A$300&amp;""),TRIM('Sales and count'!$B$4:$B$300&amp;"")),""),IF(OR(_xlpm.c="",_xlpm.c="0",LEFT(_xlpm.c,1)="#"),"Not set",_xlpm.c)))</f>
        <v>KSA</v>
      </c>
    </row>
    <row r="193" spans="1:112" x14ac:dyDescent="0.25">
      <c r="A193" t="str">
        <f>IF('Staff Daily sales'!$B178="","",TRIM('Staff Daily sales'!$B178&amp;""))</f>
        <v>RYDUWALK</v>
      </c>
      <c r="B193" t="str">
        <f>IF('Staff Daily sales'!$D178="","",TRIM('Staff Daily sales'!$D178&amp;""))</f>
        <v>4490-NAldawsari</v>
      </c>
      <c r="C193" t="str">
        <f>IFERROR(TRIM('Staff Daily sales'!$E178&amp;""),"")</f>
        <v>Riyadh</v>
      </c>
      <c r="D193" t="str">
        <f>IFERROR(IF(TRIM('Staff Daily sales'!$F178&amp;"")="","Unassigned",TRIM('Staff Daily sales'!$F178&amp;"")),"Unassigned")</f>
        <v>Mohammed Sanad</v>
      </c>
      <c r="E193">
        <f t="shared" si="58"/>
        <v>1</v>
      </c>
      <c r="F193">
        <f>IF($E193=0,0,SUMPRODUCT($AI$5:$DF$5,'Staff Daily sales'!$G178:$CD178))</f>
        <v>571.96</v>
      </c>
      <c r="G193">
        <f>IF($E193=0,0,SUMPRODUCT($AI$6:$DF$6,'Staff Daily sales'!$G178:$CD178))</f>
        <v>4</v>
      </c>
      <c r="H193">
        <f t="shared" si="59"/>
        <v>2428.9</v>
      </c>
      <c r="I193">
        <f t="shared" si="60"/>
        <v>15</v>
      </c>
      <c r="J193">
        <f t="shared" si="61"/>
        <v>64682.640000000014</v>
      </c>
      <c r="K193">
        <f t="shared" si="62"/>
        <v>326</v>
      </c>
      <c r="L193">
        <f>--AND($E193=1,OR('Staff Dashboard'!$B$6="All",$DH193='Staff Dashboard'!$B$6),OR('Staff Dashboard'!$B$7="All",$D193='Staff Dashboard'!$B$7),OR('Staff Dashboard'!$B$8="All",$A193='Staff Dashboard'!$B$8))</f>
        <v>0</v>
      </c>
      <c r="M193">
        <f>IF($E193=0,0,SUMPRODUCT($AI$7:$DF$7,'Staff Daily sales'!$G178:$CD178))</f>
        <v>1814.07</v>
      </c>
      <c r="N193">
        <f>IF($E193=0,0,SUMPRODUCT($AI$8:$DF$8,'Staff Daily sales'!$G178:$CD178))</f>
        <v>9</v>
      </c>
      <c r="O193">
        <f>IF($E193=0,0,SUMPRODUCT($AI$9:$DF$9,'Staff Daily sales'!$G178:$CD178))</f>
        <v>9668.25</v>
      </c>
      <c r="P193">
        <f>IF($E193=0,0,SUMPRODUCT($AI$10:$DF$10,'Staff Daily sales'!$G178:$CD178))</f>
        <v>57</v>
      </c>
      <c r="Q193">
        <f>IF($E193=0,0,SUMPRODUCT($AI$11:$DF$11,'Staff Daily sales'!$G178:$CD178))</f>
        <v>1769</v>
      </c>
      <c r="R193">
        <f>IF($E193=0,0,SUMPRODUCT($AI$12:$DF$12,'Staff Daily sales'!$G178:$CD178))</f>
        <v>16</v>
      </c>
      <c r="S193">
        <f>IF($E193=0,0,SUMPRODUCT($AI$13:$DF$13,'Staff Daily sales'!$G178:$CD178))</f>
        <v>3499.0000000000005</v>
      </c>
      <c r="T193">
        <f>IF($E193=0,0,SUMPRODUCT($AI$14:$DF$14,'Staff Daily sales'!$G178:$CD178))</f>
        <v>23</v>
      </c>
      <c r="U193">
        <f>IF($E193=0,0,SUMPRODUCT($AI$15:$DF$15,'Staff Daily sales'!$G178:$CD178))</f>
        <v>285.98</v>
      </c>
      <c r="V193">
        <f>IF($E193=0,0,SUMPRODUCT($AI$16:$DF$16,'Staff Daily sales'!$G178:$CD178))</f>
        <v>2</v>
      </c>
      <c r="W193">
        <f t="shared" si="63"/>
        <v>7013.15</v>
      </c>
      <c r="X193">
        <f t="shared" si="64"/>
        <v>23361.440000000002</v>
      </c>
      <c r="Y193">
        <f t="shared" si="65"/>
        <v>14850.18</v>
      </c>
      <c r="Z193">
        <f t="shared" si="66"/>
        <v>14329.720000000001</v>
      </c>
      <c r="AA193">
        <f t="shared" si="67"/>
        <v>2737.07</v>
      </c>
      <c r="AB193">
        <f>--AND($E193=1,OR('Staff Weekly Trend'!$B$3="All",$DH193='Staff Weekly Trend'!$B$3),OR('Staff Weekly Trend'!$B$4="All",$D193='Staff Weekly Trend'!$B$4),OR('Staff Weekly Trend'!$B$5="All",$A193='Staff Weekly Trend'!$B$5))</f>
        <v>1</v>
      </c>
      <c r="AC193">
        <f t="shared" si="68"/>
        <v>2</v>
      </c>
      <c r="AI193">
        <f t="shared" si="69"/>
        <v>42</v>
      </c>
      <c r="AJ193">
        <f t="shared" si="70"/>
        <v>154</v>
      </c>
      <c r="AK193">
        <f t="shared" si="71"/>
        <v>94</v>
      </c>
      <c r="AL193">
        <f t="shared" si="72"/>
        <v>83</v>
      </c>
      <c r="AM193">
        <f t="shared" si="73"/>
        <v>14</v>
      </c>
      <c r="DH193" t="str" cm="1">
        <f t="array" ref="DH193">IF($A193="","",_xlfn.LET(_xlpm.c,IFERROR(_xlfn.XLOOKUP($A193,TRIM('Sales and count'!$A$4:$A$300&amp;""),TRIM('Sales and count'!$B$4:$B$300&amp;"")),""),IF(OR(_xlpm.c="",_xlpm.c="0",LEFT(_xlpm.c,1)="#"),"Not set",_xlpm.c)))</f>
        <v>KSA</v>
      </c>
    </row>
    <row r="194" spans="1:112" x14ac:dyDescent="0.25">
      <c r="A194" t="str">
        <f>IF('Staff Daily sales'!$B179="","",TRIM('Staff Daily sales'!$B179&amp;""))</f>
        <v>RYDUWALK</v>
      </c>
      <c r="B194" t="str">
        <f>IF('Staff Daily sales'!$D179="","",TRIM('Staff Daily sales'!$D179&amp;""))</f>
        <v>6491-WNjmi</v>
      </c>
      <c r="C194" t="str">
        <f>IFERROR(TRIM('Staff Daily sales'!$E179&amp;""),"")</f>
        <v>Riyadh</v>
      </c>
      <c r="D194" t="str">
        <f>IFERROR(IF(TRIM('Staff Daily sales'!$F179&amp;"")="","Unassigned",TRIM('Staff Daily sales'!$F179&amp;"")),"Unassigned")</f>
        <v>Mohammed Sanad</v>
      </c>
      <c r="E194">
        <f t="shared" si="58"/>
        <v>1</v>
      </c>
      <c r="F194">
        <f>IF($E194=0,0,SUMPRODUCT($AI$5:$DF$5,'Staff Daily sales'!$G179:$CD179))</f>
        <v>0</v>
      </c>
      <c r="G194">
        <f>IF($E194=0,0,SUMPRODUCT($AI$6:$DF$6,'Staff Daily sales'!$G179:$CD179))</f>
        <v>0</v>
      </c>
      <c r="H194">
        <f t="shared" si="59"/>
        <v>2428.9</v>
      </c>
      <c r="I194">
        <f t="shared" si="60"/>
        <v>15</v>
      </c>
      <c r="J194">
        <f t="shared" si="61"/>
        <v>64682.640000000014</v>
      </c>
      <c r="K194">
        <f t="shared" si="62"/>
        <v>326</v>
      </c>
      <c r="L194">
        <f>--AND($E194=1,OR('Staff Dashboard'!$B$6="All",$DH194='Staff Dashboard'!$B$6),OR('Staff Dashboard'!$B$7="All",$D194='Staff Dashboard'!$B$7),OR('Staff Dashboard'!$B$8="All",$A194='Staff Dashboard'!$B$8))</f>
        <v>0</v>
      </c>
      <c r="M194">
        <f>IF($E194=0,0,SUMPRODUCT($AI$7:$DF$7,'Staff Daily sales'!$G179:$CD179))</f>
        <v>5199.08</v>
      </c>
      <c r="N194">
        <f>IF($E194=0,0,SUMPRODUCT($AI$8:$DF$8,'Staff Daily sales'!$G179:$CD179))</f>
        <v>33</v>
      </c>
      <c r="O194">
        <f>IF($E194=0,0,SUMPRODUCT($AI$9:$DF$9,'Staff Daily sales'!$G179:$CD179))</f>
        <v>13693.19</v>
      </c>
      <c r="P194">
        <f>IF($E194=0,0,SUMPRODUCT($AI$10:$DF$10,'Staff Daily sales'!$G179:$CD179))</f>
        <v>97</v>
      </c>
      <c r="Q194">
        <f>IF($E194=0,0,SUMPRODUCT($AI$11:$DF$11,'Staff Daily sales'!$G179:$CD179))</f>
        <v>0</v>
      </c>
      <c r="R194">
        <f>IF($E194=0,0,SUMPRODUCT($AI$12:$DF$12,'Staff Daily sales'!$G179:$CD179))</f>
        <v>0</v>
      </c>
      <c r="S194">
        <f>IF($E194=0,0,SUMPRODUCT($AI$13:$DF$13,'Staff Daily sales'!$G179:$CD179))</f>
        <v>0</v>
      </c>
      <c r="T194">
        <f>IF($E194=0,0,SUMPRODUCT($AI$14:$DF$14,'Staff Daily sales'!$G179:$CD179))</f>
        <v>0</v>
      </c>
      <c r="U194">
        <f>IF($E194=0,0,SUMPRODUCT($AI$15:$DF$15,'Staff Daily sales'!$G179:$CD179))</f>
        <v>0</v>
      </c>
      <c r="V194">
        <f>IF($E194=0,0,SUMPRODUCT($AI$16:$DF$16,'Staff Daily sales'!$G179:$CD179))</f>
        <v>0</v>
      </c>
      <c r="W194">
        <f t="shared" si="63"/>
        <v>7013.15</v>
      </c>
      <c r="X194">
        <f t="shared" si="64"/>
        <v>23361.440000000002</v>
      </c>
      <c r="Y194">
        <f t="shared" si="65"/>
        <v>14850.18</v>
      </c>
      <c r="Z194">
        <f t="shared" si="66"/>
        <v>14329.720000000001</v>
      </c>
      <c r="AA194">
        <f t="shared" si="67"/>
        <v>2737.07</v>
      </c>
      <c r="AB194">
        <f>--AND($E194=1,OR('Staff Weekly Trend'!$B$3="All",$DH194='Staff Weekly Trend'!$B$3),OR('Staff Weekly Trend'!$B$4="All",$D194='Staff Weekly Trend'!$B$4),OR('Staff Weekly Trend'!$B$5="All",$A194='Staff Weekly Trend'!$B$5))</f>
        <v>1</v>
      </c>
      <c r="AC194" t="str">
        <f t="shared" si="68"/>
        <v/>
      </c>
      <c r="AI194">
        <f t="shared" si="69"/>
        <v>42</v>
      </c>
      <c r="AJ194">
        <f t="shared" si="70"/>
        <v>154</v>
      </c>
      <c r="AK194">
        <f t="shared" si="71"/>
        <v>94</v>
      </c>
      <c r="AL194">
        <f t="shared" si="72"/>
        <v>83</v>
      </c>
      <c r="AM194">
        <f t="shared" si="73"/>
        <v>14</v>
      </c>
      <c r="DH194" t="str" cm="1">
        <f t="array" ref="DH194">IF($A194="","",_xlfn.LET(_xlpm.c,IFERROR(_xlfn.XLOOKUP($A194,TRIM('Sales and count'!$A$4:$A$300&amp;""),TRIM('Sales and count'!$B$4:$B$300&amp;"")),""),IF(OR(_xlpm.c="",_xlpm.c="0",LEFT(_xlpm.c,1)="#"),"Not set",_xlpm.c)))</f>
        <v>KSA</v>
      </c>
    </row>
    <row r="195" spans="1:112" x14ac:dyDescent="0.25">
      <c r="A195" t="str">
        <f>IF('Staff Daily sales'!$B180="","",TRIM('Staff Daily sales'!$B180&amp;""))</f>
        <v>DAMNAKHL</v>
      </c>
      <c r="B195" t="str">
        <f>IF('Staff Daily sales'!$D180="","",TRIM('Staff Daily sales'!$D180&amp;""))</f>
        <v>4464-SALAMIRI</v>
      </c>
      <c r="C195" t="str">
        <f>IFERROR(TRIM('Staff Daily sales'!$E180&amp;""),"")</f>
        <v>Dammam</v>
      </c>
      <c r="D195" t="str">
        <f>IFERROR(IF(TRIM('Staff Daily sales'!$F180&amp;"")="","Unassigned",TRIM('Staff Daily sales'!$F180&amp;"")),"Unassigned")</f>
        <v>Hamzah Al Makhadam</v>
      </c>
      <c r="E195">
        <f t="shared" si="58"/>
        <v>1</v>
      </c>
      <c r="F195">
        <f>IF($E195=0,0,SUMPRODUCT($AI$5:$DF$5,'Staff Daily sales'!$G180:$CD180))</f>
        <v>0</v>
      </c>
      <c r="G195">
        <f>IF($E195=0,0,SUMPRODUCT($AI$6:$DF$6,'Staff Daily sales'!$G180:$CD180))</f>
        <v>0</v>
      </c>
      <c r="H195">
        <f t="shared" si="59"/>
        <v>13884.32</v>
      </c>
      <c r="I195">
        <f t="shared" si="60"/>
        <v>73</v>
      </c>
      <c r="J195">
        <f t="shared" si="61"/>
        <v>128104.23999999996</v>
      </c>
      <c r="K195">
        <f t="shared" si="62"/>
        <v>596</v>
      </c>
      <c r="L195">
        <f>--AND($E195=1,OR('Staff Dashboard'!$B$6="All",$DH195='Staff Dashboard'!$B$6),OR('Staff Dashboard'!$B$7="All",$D195='Staff Dashboard'!$B$7),OR('Staff Dashboard'!$B$8="All",$A195='Staff Dashboard'!$B$8))</f>
        <v>0</v>
      </c>
      <c r="M195">
        <f>IF($E195=0,0,SUMPRODUCT($AI$7:$DF$7,'Staff Daily sales'!$G180:$CD180))</f>
        <v>9525.19</v>
      </c>
      <c r="N195">
        <f>IF($E195=0,0,SUMPRODUCT($AI$8:$DF$8,'Staff Daily sales'!$G180:$CD180))</f>
        <v>55</v>
      </c>
      <c r="O195">
        <f>IF($E195=0,0,SUMPRODUCT($AI$9:$DF$9,'Staff Daily sales'!$G180:$CD180))</f>
        <v>13962.490000000002</v>
      </c>
      <c r="P195">
        <f>IF($E195=0,0,SUMPRODUCT($AI$10:$DF$10,'Staff Daily sales'!$G180:$CD180))</f>
        <v>86</v>
      </c>
      <c r="Q195">
        <f>IF($E195=0,0,SUMPRODUCT($AI$11:$DF$11,'Staff Daily sales'!$G180:$CD180))</f>
        <v>3962.16</v>
      </c>
      <c r="R195">
        <f>IF($E195=0,0,SUMPRODUCT($AI$12:$DF$12,'Staff Daily sales'!$G180:$CD180))</f>
        <v>25</v>
      </c>
      <c r="S195">
        <f>IF($E195=0,0,SUMPRODUCT($AI$13:$DF$13,'Staff Daily sales'!$G180:$CD180))</f>
        <v>10043.98</v>
      </c>
      <c r="T195">
        <f>IF($E195=0,0,SUMPRODUCT($AI$14:$DF$14,'Staff Daily sales'!$G180:$CD180))</f>
        <v>59</v>
      </c>
      <c r="U195">
        <f>IF($E195=0,0,SUMPRODUCT($AI$15:$DF$15,'Staff Daily sales'!$G180:$CD180))</f>
        <v>816.02</v>
      </c>
      <c r="V195">
        <f>IF($E195=0,0,SUMPRODUCT($AI$16:$DF$16,'Staff Daily sales'!$G180:$CD180))</f>
        <v>5</v>
      </c>
      <c r="W195">
        <f t="shared" si="63"/>
        <v>62875.380000000005</v>
      </c>
      <c r="X195">
        <f t="shared" si="64"/>
        <v>85915.080000000016</v>
      </c>
      <c r="Y195">
        <f t="shared" si="65"/>
        <v>60517.43</v>
      </c>
      <c r="Z195">
        <f t="shared" si="66"/>
        <v>66793.070000000007</v>
      </c>
      <c r="AA195">
        <f t="shared" si="67"/>
        <v>19405.370000000003</v>
      </c>
      <c r="AB195">
        <f>--AND($E195=1,OR('Staff Weekly Trend'!$B$3="All",$DH195='Staff Weekly Trend'!$B$3),OR('Staff Weekly Trend'!$B$4="All",$D195='Staff Weekly Trend'!$B$4),OR('Staff Weekly Trend'!$B$5="All",$A195='Staff Weekly Trend'!$B$5))</f>
        <v>1</v>
      </c>
      <c r="AC195" t="str">
        <f t="shared" si="68"/>
        <v/>
      </c>
      <c r="AI195">
        <f t="shared" si="69"/>
        <v>377</v>
      </c>
      <c r="AJ195">
        <f t="shared" si="70"/>
        <v>544</v>
      </c>
      <c r="AK195">
        <f t="shared" si="71"/>
        <v>394</v>
      </c>
      <c r="AL195">
        <f t="shared" si="72"/>
        <v>375</v>
      </c>
      <c r="AM195">
        <f t="shared" si="73"/>
        <v>109</v>
      </c>
      <c r="DH195" t="str" cm="1">
        <f t="array" ref="DH195">IF($A195="","",_xlfn.LET(_xlpm.c,IFERROR(_xlfn.XLOOKUP($A195,TRIM('Sales and count'!$A$4:$A$300&amp;""),TRIM('Sales and count'!$B$4:$B$300&amp;"")),""),IF(OR(_xlpm.c="",_xlpm.c="0",LEFT(_xlpm.c,1)="#"),"Not set",_xlpm.c)))</f>
        <v>KSA</v>
      </c>
    </row>
    <row r="196" spans="1:112" x14ac:dyDescent="0.25">
      <c r="A196" t="str">
        <f>IF('Staff Daily sales'!$B181="","",TRIM('Staff Daily sales'!$B181&amp;""))</f>
        <v>DAMNAKHL</v>
      </c>
      <c r="B196" t="str">
        <f>IF('Staff Daily sales'!$D181="","",TRIM('Staff Daily sales'!$D181&amp;""))</f>
        <v>4469-RAlghamdi</v>
      </c>
      <c r="C196" t="str">
        <f>IFERROR(TRIM('Staff Daily sales'!$E181&amp;""),"")</f>
        <v>Dammam</v>
      </c>
      <c r="D196" t="str">
        <f>IFERROR(IF(TRIM('Staff Daily sales'!$F181&amp;"")="","Unassigned",TRIM('Staff Daily sales'!$F181&amp;"")),"Unassigned")</f>
        <v>Hamzah Al Makhadam</v>
      </c>
      <c r="E196">
        <f t="shared" si="58"/>
        <v>1</v>
      </c>
      <c r="F196">
        <f>IF($E196=0,0,SUMPRODUCT($AI$5:$DF$5,'Staff Daily sales'!$G181:$CD181))</f>
        <v>0</v>
      </c>
      <c r="G196">
        <f>IF($E196=0,0,SUMPRODUCT($AI$6:$DF$6,'Staff Daily sales'!$G181:$CD181))</f>
        <v>0</v>
      </c>
      <c r="H196">
        <f t="shared" si="59"/>
        <v>13884.32</v>
      </c>
      <c r="I196">
        <f t="shared" si="60"/>
        <v>73</v>
      </c>
      <c r="J196">
        <f t="shared" si="61"/>
        <v>128104.23999999996</v>
      </c>
      <c r="K196">
        <f t="shared" si="62"/>
        <v>596</v>
      </c>
      <c r="L196">
        <f>--AND($E196=1,OR('Staff Dashboard'!$B$6="All",$DH196='Staff Dashboard'!$B$6),OR('Staff Dashboard'!$B$7="All",$D196='Staff Dashboard'!$B$7),OR('Staff Dashboard'!$B$8="All",$A196='Staff Dashboard'!$B$8))</f>
        <v>0</v>
      </c>
      <c r="M196">
        <f>IF($E196=0,0,SUMPRODUCT($AI$7:$DF$7,'Staff Daily sales'!$G181:$CD181))</f>
        <v>225.99</v>
      </c>
      <c r="N196">
        <f>IF($E196=0,0,SUMPRODUCT($AI$8:$DF$8,'Staff Daily sales'!$G181:$CD181))</f>
        <v>3</v>
      </c>
      <c r="O196">
        <f>IF($E196=0,0,SUMPRODUCT($AI$9:$DF$9,'Staff Daily sales'!$G181:$CD181))</f>
        <v>1517</v>
      </c>
      <c r="P196">
        <f>IF($E196=0,0,SUMPRODUCT($AI$10:$DF$10,'Staff Daily sales'!$G181:$CD181))</f>
        <v>32</v>
      </c>
      <c r="Q196">
        <f>IF($E196=0,0,SUMPRODUCT($AI$11:$DF$11,'Staff Daily sales'!$G181:$CD181))</f>
        <v>2525</v>
      </c>
      <c r="R196">
        <f>IF($E196=0,0,SUMPRODUCT($AI$12:$DF$12,'Staff Daily sales'!$G181:$CD181))</f>
        <v>43</v>
      </c>
      <c r="S196">
        <f>IF($E196=0,0,SUMPRODUCT($AI$13:$DF$13,'Staff Daily sales'!$G181:$CD181))</f>
        <v>187</v>
      </c>
      <c r="T196">
        <f>IF($E196=0,0,SUMPRODUCT($AI$14:$DF$14,'Staff Daily sales'!$G181:$CD181))</f>
        <v>3</v>
      </c>
      <c r="U196">
        <f>IF($E196=0,0,SUMPRODUCT($AI$15:$DF$15,'Staff Daily sales'!$G181:$CD181))</f>
        <v>0</v>
      </c>
      <c r="V196">
        <f>IF($E196=0,0,SUMPRODUCT($AI$16:$DF$16,'Staff Daily sales'!$G181:$CD181))</f>
        <v>0</v>
      </c>
      <c r="W196">
        <f t="shared" si="63"/>
        <v>62875.380000000005</v>
      </c>
      <c r="X196">
        <f t="shared" si="64"/>
        <v>85915.080000000016</v>
      </c>
      <c r="Y196">
        <f t="shared" si="65"/>
        <v>60517.43</v>
      </c>
      <c r="Z196">
        <f t="shared" si="66"/>
        <v>66793.070000000007</v>
      </c>
      <c r="AA196">
        <f t="shared" si="67"/>
        <v>19405.370000000003</v>
      </c>
      <c r="AB196">
        <f>--AND($E196=1,OR('Staff Weekly Trend'!$B$3="All",$DH196='Staff Weekly Trend'!$B$3),OR('Staff Weekly Trend'!$B$4="All",$D196='Staff Weekly Trend'!$B$4),OR('Staff Weekly Trend'!$B$5="All",$A196='Staff Weekly Trend'!$B$5))</f>
        <v>1</v>
      </c>
      <c r="AC196" t="str">
        <f t="shared" si="68"/>
        <v/>
      </c>
      <c r="AI196">
        <f t="shared" si="69"/>
        <v>377</v>
      </c>
      <c r="AJ196">
        <f t="shared" si="70"/>
        <v>544</v>
      </c>
      <c r="AK196">
        <f t="shared" si="71"/>
        <v>394</v>
      </c>
      <c r="AL196">
        <f t="shared" si="72"/>
        <v>375</v>
      </c>
      <c r="AM196">
        <f t="shared" si="73"/>
        <v>109</v>
      </c>
      <c r="DH196" t="str" cm="1">
        <f t="array" ref="DH196">IF($A196="","",_xlfn.LET(_xlpm.c,IFERROR(_xlfn.XLOOKUP($A196,TRIM('Sales and count'!$A$4:$A$300&amp;""),TRIM('Sales and count'!$B$4:$B$300&amp;"")),""),IF(OR(_xlpm.c="",_xlpm.c="0",LEFT(_xlpm.c,1)="#"),"Not set",_xlpm.c)))</f>
        <v>KSA</v>
      </c>
    </row>
    <row r="197" spans="1:112" x14ac:dyDescent="0.25">
      <c r="A197" t="str">
        <f>IF('Staff Daily sales'!$B182="","",TRIM('Staff Daily sales'!$B182&amp;""))</f>
        <v>DAMNAKHL</v>
      </c>
      <c r="B197" t="str">
        <f>IF('Staff Daily sales'!$D182="","",TRIM('Staff Daily sales'!$D182&amp;""))</f>
        <v>4880-NAlghamdi</v>
      </c>
      <c r="C197" t="str">
        <f>IFERROR(TRIM('Staff Daily sales'!$E182&amp;""),"")</f>
        <v>Dammam</v>
      </c>
      <c r="D197" t="str">
        <f>IFERROR(IF(TRIM('Staff Daily sales'!$F182&amp;"")="","Unassigned",TRIM('Staff Daily sales'!$F182&amp;"")),"Unassigned")</f>
        <v>Hamzah Al Makhadam</v>
      </c>
      <c r="E197">
        <f t="shared" si="58"/>
        <v>1</v>
      </c>
      <c r="F197">
        <f>IF($E197=0,0,SUMPRODUCT($AI$5:$DF$5,'Staff Daily sales'!$G182:$CD182))</f>
        <v>0</v>
      </c>
      <c r="G197">
        <f>IF($E197=0,0,SUMPRODUCT($AI$6:$DF$6,'Staff Daily sales'!$G182:$CD182))</f>
        <v>0</v>
      </c>
      <c r="H197">
        <f t="shared" si="59"/>
        <v>13884.32</v>
      </c>
      <c r="I197">
        <f t="shared" si="60"/>
        <v>73</v>
      </c>
      <c r="J197">
        <f t="shared" si="61"/>
        <v>128104.23999999996</v>
      </c>
      <c r="K197">
        <f t="shared" si="62"/>
        <v>596</v>
      </c>
      <c r="L197">
        <f>--AND($E197=1,OR('Staff Dashboard'!$B$6="All",$DH197='Staff Dashboard'!$B$6),OR('Staff Dashboard'!$B$7="All",$D197='Staff Dashboard'!$B$7),OR('Staff Dashboard'!$B$8="All",$A197='Staff Dashboard'!$B$8))</f>
        <v>0</v>
      </c>
      <c r="M197">
        <f>IF($E197=0,0,SUMPRODUCT($AI$7:$DF$7,'Staff Daily sales'!$G182:$CD182))</f>
        <v>3168.98</v>
      </c>
      <c r="N197">
        <f>IF($E197=0,0,SUMPRODUCT($AI$8:$DF$8,'Staff Daily sales'!$G182:$CD182))</f>
        <v>53</v>
      </c>
      <c r="O197">
        <f>IF($E197=0,0,SUMPRODUCT($AI$9:$DF$9,'Staff Daily sales'!$G182:$CD182))</f>
        <v>12697.150000000001</v>
      </c>
      <c r="P197">
        <f>IF($E197=0,0,SUMPRODUCT($AI$10:$DF$10,'Staff Daily sales'!$G182:$CD182))</f>
        <v>91</v>
      </c>
      <c r="Q197">
        <f>IF($E197=0,0,SUMPRODUCT($AI$11:$DF$11,'Staff Daily sales'!$G182:$CD182))</f>
        <v>10062.18</v>
      </c>
      <c r="R197">
        <f>IF($E197=0,0,SUMPRODUCT($AI$12:$DF$12,'Staff Daily sales'!$G182:$CD182))</f>
        <v>80</v>
      </c>
      <c r="S197">
        <f>IF($E197=0,0,SUMPRODUCT($AI$13:$DF$13,'Staff Daily sales'!$G182:$CD182))</f>
        <v>3973.09</v>
      </c>
      <c r="T197">
        <f>IF($E197=0,0,SUMPRODUCT($AI$14:$DF$14,'Staff Daily sales'!$G182:$CD182))</f>
        <v>29</v>
      </c>
      <c r="U197">
        <f>IF($E197=0,0,SUMPRODUCT($AI$15:$DF$15,'Staff Daily sales'!$G182:$CD182))</f>
        <v>0</v>
      </c>
      <c r="V197">
        <f>IF($E197=0,0,SUMPRODUCT($AI$16:$DF$16,'Staff Daily sales'!$G182:$CD182))</f>
        <v>0</v>
      </c>
      <c r="W197">
        <f t="shared" si="63"/>
        <v>62875.380000000005</v>
      </c>
      <c r="X197">
        <f t="shared" si="64"/>
        <v>85915.080000000016</v>
      </c>
      <c r="Y197">
        <f t="shared" si="65"/>
        <v>60517.43</v>
      </c>
      <c r="Z197">
        <f t="shared" si="66"/>
        <v>66793.070000000007</v>
      </c>
      <c r="AA197">
        <f t="shared" si="67"/>
        <v>19405.370000000003</v>
      </c>
      <c r="AB197">
        <f>--AND($E197=1,OR('Staff Weekly Trend'!$B$3="All",$DH197='Staff Weekly Trend'!$B$3),OR('Staff Weekly Trend'!$B$4="All",$D197='Staff Weekly Trend'!$B$4),OR('Staff Weekly Trend'!$B$5="All",$A197='Staff Weekly Trend'!$B$5))</f>
        <v>1</v>
      </c>
      <c r="AC197" t="str">
        <f t="shared" si="68"/>
        <v/>
      </c>
      <c r="AI197">
        <f t="shared" si="69"/>
        <v>377</v>
      </c>
      <c r="AJ197">
        <f t="shared" si="70"/>
        <v>544</v>
      </c>
      <c r="AK197">
        <f t="shared" si="71"/>
        <v>394</v>
      </c>
      <c r="AL197">
        <f t="shared" si="72"/>
        <v>375</v>
      </c>
      <c r="AM197">
        <f t="shared" si="73"/>
        <v>109</v>
      </c>
      <c r="DH197" t="str" cm="1">
        <f t="array" ref="DH197">IF($A197="","",_xlfn.LET(_xlpm.c,IFERROR(_xlfn.XLOOKUP($A197,TRIM('Sales and count'!$A$4:$A$300&amp;""),TRIM('Sales and count'!$B$4:$B$300&amp;"")),""),IF(OR(_xlpm.c="",_xlpm.c="0",LEFT(_xlpm.c,1)="#"),"Not set",_xlpm.c)))</f>
        <v>KSA</v>
      </c>
    </row>
    <row r="198" spans="1:112" x14ac:dyDescent="0.25">
      <c r="A198" t="str">
        <f>IF('Staff Daily sales'!$B183="","",TRIM('Staff Daily sales'!$B183&amp;""))</f>
        <v>DAMNAKHL</v>
      </c>
      <c r="B198" t="str">
        <f>IF('Staff Daily sales'!$D183="","",TRIM('Staff Daily sales'!$D183&amp;""))</f>
        <v>5047-BAlawad</v>
      </c>
      <c r="C198" t="str">
        <f>IFERROR(TRIM('Staff Daily sales'!$E183&amp;""),"")</f>
        <v>Dammam</v>
      </c>
      <c r="D198" t="str">
        <f>IFERROR(IF(TRIM('Staff Daily sales'!$F183&amp;"")="","Unassigned",TRIM('Staff Daily sales'!$F183&amp;"")),"Unassigned")</f>
        <v>Hamzah Al Makhadam</v>
      </c>
      <c r="E198">
        <f t="shared" si="58"/>
        <v>1</v>
      </c>
      <c r="F198">
        <f>IF($E198=0,0,SUMPRODUCT($AI$5:$DF$5,'Staff Daily sales'!$G183:$CD183))</f>
        <v>2890.87</v>
      </c>
      <c r="G198">
        <f>IF($E198=0,0,SUMPRODUCT($AI$6:$DF$6,'Staff Daily sales'!$G183:$CD183))</f>
        <v>15</v>
      </c>
      <c r="H198">
        <f t="shared" si="59"/>
        <v>13884.32</v>
      </c>
      <c r="I198">
        <f t="shared" si="60"/>
        <v>73</v>
      </c>
      <c r="J198">
        <f t="shared" si="61"/>
        <v>128104.23999999996</v>
      </c>
      <c r="K198">
        <f t="shared" si="62"/>
        <v>596</v>
      </c>
      <c r="L198">
        <f>--AND($E198=1,OR('Staff Dashboard'!$B$6="All",$DH198='Staff Dashboard'!$B$6),OR('Staff Dashboard'!$B$7="All",$D198='Staff Dashboard'!$B$7),OR('Staff Dashboard'!$B$8="All",$A198='Staff Dashboard'!$B$8))</f>
        <v>0</v>
      </c>
      <c r="M198">
        <f>IF($E198=0,0,SUMPRODUCT($AI$7:$DF$7,'Staff Daily sales'!$G183:$CD183))</f>
        <v>10048.290000000001</v>
      </c>
      <c r="N198">
        <f>IF($E198=0,0,SUMPRODUCT($AI$8:$DF$8,'Staff Daily sales'!$G183:$CD183))</f>
        <v>49</v>
      </c>
      <c r="O198">
        <f>IF($E198=0,0,SUMPRODUCT($AI$9:$DF$9,'Staff Daily sales'!$G183:$CD183))</f>
        <v>11560.2</v>
      </c>
      <c r="P198">
        <f>IF($E198=0,0,SUMPRODUCT($AI$10:$DF$10,'Staff Daily sales'!$G183:$CD183))</f>
        <v>75</v>
      </c>
      <c r="Q198">
        <f>IF($E198=0,0,SUMPRODUCT($AI$11:$DF$11,'Staff Daily sales'!$G183:$CD183))</f>
        <v>10340.209999999999</v>
      </c>
      <c r="R198">
        <f>IF($E198=0,0,SUMPRODUCT($AI$12:$DF$12,'Staff Daily sales'!$G183:$CD183))</f>
        <v>63</v>
      </c>
      <c r="S198">
        <f>IF($E198=0,0,SUMPRODUCT($AI$13:$DF$13,'Staff Daily sales'!$G183:$CD183))</f>
        <v>11216.73</v>
      </c>
      <c r="T198">
        <f>IF($E198=0,0,SUMPRODUCT($AI$14:$DF$14,'Staff Daily sales'!$G183:$CD183))</f>
        <v>56</v>
      </c>
      <c r="U198">
        <f>IF($E198=0,0,SUMPRODUCT($AI$15:$DF$15,'Staff Daily sales'!$G183:$CD183))</f>
        <v>4139.0200000000004</v>
      </c>
      <c r="V198">
        <f>IF($E198=0,0,SUMPRODUCT($AI$16:$DF$16,'Staff Daily sales'!$G183:$CD183))</f>
        <v>28</v>
      </c>
      <c r="W198">
        <f t="shared" si="63"/>
        <v>62875.380000000005</v>
      </c>
      <c r="X198">
        <f t="shared" si="64"/>
        <v>85915.080000000016</v>
      </c>
      <c r="Y198">
        <f t="shared" si="65"/>
        <v>60517.43</v>
      </c>
      <c r="Z198">
        <f t="shared" si="66"/>
        <v>66793.070000000007</v>
      </c>
      <c r="AA198">
        <f t="shared" si="67"/>
        <v>19405.370000000003</v>
      </c>
      <c r="AB198">
        <f>--AND($E198=1,OR('Staff Weekly Trend'!$B$3="All",$DH198='Staff Weekly Trend'!$B$3),OR('Staff Weekly Trend'!$B$4="All",$D198='Staff Weekly Trend'!$B$4),OR('Staff Weekly Trend'!$B$5="All",$A198='Staff Weekly Trend'!$B$5))</f>
        <v>1</v>
      </c>
      <c r="AC198">
        <f t="shared" si="68"/>
        <v>3</v>
      </c>
      <c r="AI198">
        <f t="shared" si="69"/>
        <v>377</v>
      </c>
      <c r="AJ198">
        <f t="shared" si="70"/>
        <v>544</v>
      </c>
      <c r="AK198">
        <f t="shared" si="71"/>
        <v>394</v>
      </c>
      <c r="AL198">
        <f t="shared" si="72"/>
        <v>375</v>
      </c>
      <c r="AM198">
        <f t="shared" si="73"/>
        <v>109</v>
      </c>
      <c r="DH198" t="str" cm="1">
        <f t="array" ref="DH198">IF($A198="","",_xlfn.LET(_xlpm.c,IFERROR(_xlfn.XLOOKUP($A198,TRIM('Sales and count'!$A$4:$A$300&amp;""),TRIM('Sales and count'!$B$4:$B$300&amp;"")),""),IF(OR(_xlpm.c="",_xlpm.c="0",LEFT(_xlpm.c,1)="#"),"Not set",_xlpm.c)))</f>
        <v>KSA</v>
      </c>
    </row>
    <row r="199" spans="1:112" x14ac:dyDescent="0.25">
      <c r="A199" t="str">
        <f>IF('Staff Daily sales'!$B184="","",TRIM('Staff Daily sales'!$B184&amp;""))</f>
        <v>DAMNAKHL</v>
      </c>
      <c r="B199" t="str">
        <f>IF('Staff Daily sales'!$D184="","",TRIM('Staff Daily sales'!$D184&amp;""))</f>
        <v>5126-AAlkhdrawi</v>
      </c>
      <c r="C199" t="str">
        <f>IFERROR(TRIM('Staff Daily sales'!$E184&amp;""),"")</f>
        <v>Dammam</v>
      </c>
      <c r="D199" t="str">
        <f>IFERROR(IF(TRIM('Staff Daily sales'!$F184&amp;"")="","Unassigned",TRIM('Staff Daily sales'!$F184&amp;"")),"Unassigned")</f>
        <v>Hamzah Al Makhadam</v>
      </c>
      <c r="E199">
        <f t="shared" si="58"/>
        <v>1</v>
      </c>
      <c r="F199">
        <f>IF($E199=0,0,SUMPRODUCT($AI$5:$DF$5,'Staff Daily sales'!$G184:$CD184))</f>
        <v>2675.85</v>
      </c>
      <c r="G199">
        <f>IF($E199=0,0,SUMPRODUCT($AI$6:$DF$6,'Staff Daily sales'!$G184:$CD184))</f>
        <v>14</v>
      </c>
      <c r="H199">
        <f t="shared" si="59"/>
        <v>13884.32</v>
      </c>
      <c r="I199">
        <f t="shared" si="60"/>
        <v>73</v>
      </c>
      <c r="J199">
        <f t="shared" si="61"/>
        <v>128104.23999999996</v>
      </c>
      <c r="K199">
        <f t="shared" si="62"/>
        <v>596</v>
      </c>
      <c r="L199">
        <f>--AND($E199=1,OR('Staff Dashboard'!$B$6="All",$DH199='Staff Dashboard'!$B$6),OR('Staff Dashboard'!$B$7="All",$D199='Staff Dashboard'!$B$7),OR('Staff Dashboard'!$B$8="All",$A199='Staff Dashboard'!$B$8))</f>
        <v>0</v>
      </c>
      <c r="M199">
        <f>IF($E199=0,0,SUMPRODUCT($AI$7:$DF$7,'Staff Daily sales'!$G184:$CD184))</f>
        <v>14017.41</v>
      </c>
      <c r="N199">
        <f>IF($E199=0,0,SUMPRODUCT($AI$8:$DF$8,'Staff Daily sales'!$G184:$CD184))</f>
        <v>62</v>
      </c>
      <c r="O199">
        <f>IF($E199=0,0,SUMPRODUCT($AI$9:$DF$9,'Staff Daily sales'!$G184:$CD184))</f>
        <v>16347.59</v>
      </c>
      <c r="P199">
        <f>IF($E199=0,0,SUMPRODUCT($AI$10:$DF$10,'Staff Daily sales'!$G184:$CD184))</f>
        <v>74</v>
      </c>
      <c r="Q199">
        <f>IF($E199=0,0,SUMPRODUCT($AI$11:$DF$11,'Staff Daily sales'!$G184:$CD184))</f>
        <v>13138.33</v>
      </c>
      <c r="R199">
        <f>IF($E199=0,0,SUMPRODUCT($AI$12:$DF$12,'Staff Daily sales'!$G184:$CD184))</f>
        <v>69</v>
      </c>
      <c r="S199">
        <f>IF($E199=0,0,SUMPRODUCT($AI$13:$DF$13,'Staff Daily sales'!$G184:$CD184))</f>
        <v>12753.720000000001</v>
      </c>
      <c r="T199">
        <f>IF($E199=0,0,SUMPRODUCT($AI$14:$DF$14,'Staff Daily sales'!$G184:$CD184))</f>
        <v>67</v>
      </c>
      <c r="U199">
        <f>IF($E199=0,0,SUMPRODUCT($AI$15:$DF$15,'Staff Daily sales'!$G184:$CD184))</f>
        <v>5017.18</v>
      </c>
      <c r="V199">
        <f>IF($E199=0,0,SUMPRODUCT($AI$16:$DF$16,'Staff Daily sales'!$G184:$CD184))</f>
        <v>23</v>
      </c>
      <c r="W199">
        <f t="shared" si="63"/>
        <v>62875.380000000005</v>
      </c>
      <c r="X199">
        <f t="shared" si="64"/>
        <v>85915.080000000016</v>
      </c>
      <c r="Y199">
        <f t="shared" si="65"/>
        <v>60517.43</v>
      </c>
      <c r="Z199">
        <f t="shared" si="66"/>
        <v>66793.070000000007</v>
      </c>
      <c r="AA199">
        <f t="shared" si="67"/>
        <v>19405.370000000003</v>
      </c>
      <c r="AB199">
        <f>--AND($E199=1,OR('Staff Weekly Trend'!$B$3="All",$DH199='Staff Weekly Trend'!$B$3),OR('Staff Weekly Trend'!$B$4="All",$D199='Staff Weekly Trend'!$B$4),OR('Staff Weekly Trend'!$B$5="All",$A199='Staff Weekly Trend'!$B$5))</f>
        <v>1</v>
      </c>
      <c r="AC199">
        <f t="shared" si="68"/>
        <v>4</v>
      </c>
      <c r="AI199">
        <f t="shared" si="69"/>
        <v>377</v>
      </c>
      <c r="AJ199">
        <f t="shared" si="70"/>
        <v>544</v>
      </c>
      <c r="AK199">
        <f t="shared" si="71"/>
        <v>394</v>
      </c>
      <c r="AL199">
        <f t="shared" si="72"/>
        <v>375</v>
      </c>
      <c r="AM199">
        <f t="shared" si="73"/>
        <v>109</v>
      </c>
      <c r="DH199" t="str" cm="1">
        <f t="array" ref="DH199">IF($A199="","",_xlfn.LET(_xlpm.c,IFERROR(_xlfn.XLOOKUP($A199,TRIM('Sales and count'!$A$4:$A$300&amp;""),TRIM('Sales and count'!$B$4:$B$300&amp;"")),""),IF(OR(_xlpm.c="",_xlpm.c="0",LEFT(_xlpm.c,1)="#"),"Not set",_xlpm.c)))</f>
        <v>KSA</v>
      </c>
    </row>
    <row r="200" spans="1:112" x14ac:dyDescent="0.25">
      <c r="A200" t="str">
        <f>IF('Staff Daily sales'!$B185="","",TRIM('Staff Daily sales'!$B185&amp;""))</f>
        <v>DAMNAKHL</v>
      </c>
      <c r="B200" t="str">
        <f>IF('Staff Daily sales'!$D185="","",TRIM('Staff Daily sales'!$D185&amp;""))</f>
        <v>6782-SAlanzi</v>
      </c>
      <c r="C200" t="str">
        <f>IFERROR(TRIM('Staff Daily sales'!$E185&amp;""),"")</f>
        <v>Dammam</v>
      </c>
      <c r="D200" t="str">
        <f>IFERROR(IF(TRIM('Staff Daily sales'!$F185&amp;"")="","Unassigned",TRIM('Staff Daily sales'!$F185&amp;"")),"Unassigned")</f>
        <v>Hamzah Al Makhadam</v>
      </c>
      <c r="E200">
        <f t="shared" si="58"/>
        <v>1</v>
      </c>
      <c r="F200">
        <f>IF($E200=0,0,SUMPRODUCT($AI$5:$DF$5,'Staff Daily sales'!$G185:$CD185))</f>
        <v>2974.85</v>
      </c>
      <c r="G200">
        <f>IF($E200=0,0,SUMPRODUCT($AI$6:$DF$6,'Staff Daily sales'!$G185:$CD185))</f>
        <v>17</v>
      </c>
      <c r="H200">
        <f t="shared" si="59"/>
        <v>13884.32</v>
      </c>
      <c r="I200">
        <f t="shared" si="60"/>
        <v>73</v>
      </c>
      <c r="J200">
        <f t="shared" si="61"/>
        <v>128104.23999999996</v>
      </c>
      <c r="K200">
        <f t="shared" si="62"/>
        <v>596</v>
      </c>
      <c r="L200">
        <f>--AND($E200=1,OR('Staff Dashboard'!$B$6="All",$DH200='Staff Dashboard'!$B$6),OR('Staff Dashboard'!$B$7="All",$D200='Staff Dashboard'!$B$7),OR('Staff Dashboard'!$B$8="All",$A200='Staff Dashboard'!$B$8))</f>
        <v>0</v>
      </c>
      <c r="M200">
        <f>IF($E200=0,0,SUMPRODUCT($AI$7:$DF$7,'Staff Daily sales'!$G185:$CD185))</f>
        <v>10692.189999999999</v>
      </c>
      <c r="N200">
        <f>IF($E200=0,0,SUMPRODUCT($AI$8:$DF$8,'Staff Daily sales'!$G185:$CD185))</f>
        <v>57</v>
      </c>
      <c r="O200">
        <f>IF($E200=0,0,SUMPRODUCT($AI$9:$DF$9,'Staff Daily sales'!$G185:$CD185))</f>
        <v>14703.300000000003</v>
      </c>
      <c r="P200">
        <f>IF($E200=0,0,SUMPRODUCT($AI$10:$DF$10,'Staff Daily sales'!$G185:$CD185))</f>
        <v>88</v>
      </c>
      <c r="Q200">
        <f>IF($E200=0,0,SUMPRODUCT($AI$11:$DF$11,'Staff Daily sales'!$G185:$CD185))</f>
        <v>8574.2199999999993</v>
      </c>
      <c r="R200">
        <f>IF($E200=0,0,SUMPRODUCT($AI$12:$DF$12,'Staff Daily sales'!$G185:$CD185))</f>
        <v>47</v>
      </c>
      <c r="S200">
        <f>IF($E200=0,0,SUMPRODUCT($AI$13:$DF$13,'Staff Daily sales'!$G185:$CD185))</f>
        <v>12691.89</v>
      </c>
      <c r="T200">
        <f>IF($E200=0,0,SUMPRODUCT($AI$14:$DF$14,'Staff Daily sales'!$G185:$CD185))</f>
        <v>65</v>
      </c>
      <c r="U200">
        <f>IF($E200=0,0,SUMPRODUCT($AI$15:$DF$15,'Staff Daily sales'!$G185:$CD185))</f>
        <v>2981</v>
      </c>
      <c r="V200">
        <f>IF($E200=0,0,SUMPRODUCT($AI$16:$DF$16,'Staff Daily sales'!$G185:$CD185))</f>
        <v>11</v>
      </c>
      <c r="W200">
        <f t="shared" si="63"/>
        <v>62875.380000000005</v>
      </c>
      <c r="X200">
        <f t="shared" si="64"/>
        <v>85915.080000000016</v>
      </c>
      <c r="Y200">
        <f t="shared" si="65"/>
        <v>60517.43</v>
      </c>
      <c r="Z200">
        <f t="shared" si="66"/>
        <v>66793.070000000007</v>
      </c>
      <c r="AA200">
        <f t="shared" si="67"/>
        <v>19405.370000000003</v>
      </c>
      <c r="AB200">
        <f>--AND($E200=1,OR('Staff Weekly Trend'!$B$3="All",$DH200='Staff Weekly Trend'!$B$3),OR('Staff Weekly Trend'!$B$4="All",$D200='Staff Weekly Trend'!$B$4),OR('Staff Weekly Trend'!$B$5="All",$A200='Staff Weekly Trend'!$B$5))</f>
        <v>1</v>
      </c>
      <c r="AC200">
        <f t="shared" si="68"/>
        <v>2</v>
      </c>
      <c r="AI200">
        <f t="shared" si="69"/>
        <v>377</v>
      </c>
      <c r="AJ200">
        <f t="shared" si="70"/>
        <v>544</v>
      </c>
      <c r="AK200">
        <f t="shared" si="71"/>
        <v>394</v>
      </c>
      <c r="AL200">
        <f t="shared" si="72"/>
        <v>375</v>
      </c>
      <c r="AM200">
        <f t="shared" si="73"/>
        <v>109</v>
      </c>
      <c r="DH200" t="str" cm="1">
        <f t="array" ref="DH200">IF($A200="","",_xlfn.LET(_xlpm.c,IFERROR(_xlfn.XLOOKUP($A200,TRIM('Sales and count'!$A$4:$A$300&amp;""),TRIM('Sales and count'!$B$4:$B$300&amp;"")),""),IF(OR(_xlpm.c="",_xlpm.c="0",LEFT(_xlpm.c,1)="#"),"Not set",_xlpm.c)))</f>
        <v>KSA</v>
      </c>
    </row>
    <row r="201" spans="1:112" x14ac:dyDescent="0.25">
      <c r="A201" t="str">
        <f>IF('Staff Daily sales'!$B186="","",TRIM('Staff Daily sales'!$B186&amp;""))</f>
        <v>DAMNAKHL</v>
      </c>
      <c r="B201" t="str">
        <f>IF('Staff Daily sales'!$D186="","",TRIM('Staff Daily sales'!$D186&amp;""))</f>
        <v>7299-MAlyami</v>
      </c>
      <c r="C201" t="str">
        <f>IFERROR(TRIM('Staff Daily sales'!$E186&amp;""),"")</f>
        <v>Dammam</v>
      </c>
      <c r="D201" t="str">
        <f>IFERROR(IF(TRIM('Staff Daily sales'!$F186&amp;"")="","Unassigned",TRIM('Staff Daily sales'!$F186&amp;"")),"Unassigned")</f>
        <v>Hamzah Al Makhadam</v>
      </c>
      <c r="E201">
        <f t="shared" si="58"/>
        <v>1</v>
      </c>
      <c r="F201">
        <f>IF($E201=0,0,SUMPRODUCT($AI$5:$DF$5,'Staff Daily sales'!$G186:$CD186))</f>
        <v>5342.75</v>
      </c>
      <c r="G201">
        <f>IF($E201=0,0,SUMPRODUCT($AI$6:$DF$6,'Staff Daily sales'!$G186:$CD186))</f>
        <v>27</v>
      </c>
      <c r="H201">
        <f t="shared" si="59"/>
        <v>13884.32</v>
      </c>
      <c r="I201">
        <f t="shared" si="60"/>
        <v>73</v>
      </c>
      <c r="J201">
        <f t="shared" si="61"/>
        <v>128104.23999999996</v>
      </c>
      <c r="K201">
        <f t="shared" si="62"/>
        <v>596</v>
      </c>
      <c r="L201">
        <f>--AND($E201=1,OR('Staff Dashboard'!$B$6="All",$DH201='Staff Dashboard'!$B$6),OR('Staff Dashboard'!$B$7="All",$D201='Staff Dashboard'!$B$7),OR('Staff Dashboard'!$B$8="All",$A201='Staff Dashboard'!$B$8))</f>
        <v>0</v>
      </c>
      <c r="M201">
        <f>IF($E201=0,0,SUMPRODUCT($AI$7:$DF$7,'Staff Daily sales'!$G186:$CD186))</f>
        <v>15197.330000000002</v>
      </c>
      <c r="N201">
        <f>IF($E201=0,0,SUMPRODUCT($AI$8:$DF$8,'Staff Daily sales'!$G186:$CD186))</f>
        <v>98</v>
      </c>
      <c r="O201">
        <f>IF($E201=0,0,SUMPRODUCT($AI$9:$DF$9,'Staff Daily sales'!$G186:$CD186))</f>
        <v>15127.349999999999</v>
      </c>
      <c r="P201">
        <f>IF($E201=0,0,SUMPRODUCT($AI$10:$DF$10,'Staff Daily sales'!$G186:$CD186))</f>
        <v>98</v>
      </c>
      <c r="Q201">
        <f>IF($E201=0,0,SUMPRODUCT($AI$11:$DF$11,'Staff Daily sales'!$G186:$CD186))</f>
        <v>11915.330000000002</v>
      </c>
      <c r="R201">
        <f>IF($E201=0,0,SUMPRODUCT($AI$12:$DF$12,'Staff Daily sales'!$G186:$CD186))</f>
        <v>67</v>
      </c>
      <c r="S201">
        <f>IF($E201=0,0,SUMPRODUCT($AI$13:$DF$13,'Staff Daily sales'!$G186:$CD186))</f>
        <v>15926.66</v>
      </c>
      <c r="T201">
        <f>IF($E201=0,0,SUMPRODUCT($AI$14:$DF$14,'Staff Daily sales'!$G186:$CD186))</f>
        <v>96</v>
      </c>
      <c r="U201">
        <f>IF($E201=0,0,SUMPRODUCT($AI$15:$DF$15,'Staff Daily sales'!$G186:$CD186))</f>
        <v>6452.15</v>
      </c>
      <c r="V201">
        <f>IF($E201=0,0,SUMPRODUCT($AI$16:$DF$16,'Staff Daily sales'!$G186:$CD186))</f>
        <v>42</v>
      </c>
      <c r="W201">
        <f t="shared" si="63"/>
        <v>62875.380000000005</v>
      </c>
      <c r="X201">
        <f t="shared" si="64"/>
        <v>85915.080000000016</v>
      </c>
      <c r="Y201">
        <f t="shared" si="65"/>
        <v>60517.43</v>
      </c>
      <c r="Z201">
        <f t="shared" si="66"/>
        <v>66793.070000000007</v>
      </c>
      <c r="AA201">
        <f t="shared" si="67"/>
        <v>19405.370000000003</v>
      </c>
      <c r="AB201">
        <f>--AND($E201=1,OR('Staff Weekly Trend'!$B$3="All",$DH201='Staff Weekly Trend'!$B$3),OR('Staff Weekly Trend'!$B$4="All",$D201='Staff Weekly Trend'!$B$4),OR('Staff Weekly Trend'!$B$5="All",$A201='Staff Weekly Trend'!$B$5))</f>
        <v>1</v>
      </c>
      <c r="AC201">
        <f t="shared" si="68"/>
        <v>1</v>
      </c>
      <c r="AI201">
        <f t="shared" si="69"/>
        <v>377</v>
      </c>
      <c r="AJ201">
        <f t="shared" si="70"/>
        <v>544</v>
      </c>
      <c r="AK201">
        <f t="shared" si="71"/>
        <v>394</v>
      </c>
      <c r="AL201">
        <f t="shared" si="72"/>
        <v>375</v>
      </c>
      <c r="AM201">
        <f t="shared" si="73"/>
        <v>109</v>
      </c>
      <c r="DH201" t="str" cm="1">
        <f t="array" ref="DH201">IF($A201="","",_xlfn.LET(_xlpm.c,IFERROR(_xlfn.XLOOKUP($A201,TRIM('Sales and count'!$A$4:$A$300&amp;""),TRIM('Sales and count'!$B$4:$B$300&amp;"")),""),IF(OR(_xlpm.c="",_xlpm.c="0",LEFT(_xlpm.c,1)="#"),"Not set",_xlpm.c)))</f>
        <v>KSA</v>
      </c>
    </row>
    <row r="202" spans="1:112" x14ac:dyDescent="0.25">
      <c r="A202" t="str">
        <f>IF('Staff Daily sales'!$B187="","",TRIM('Staff Daily sales'!$B187&amp;""))</f>
        <v>JEDDHAIFA</v>
      </c>
      <c r="B202" t="str">
        <f>IF('Staff Daily sales'!$D187="","",TRIM('Staff Daily sales'!$D187&amp;""))</f>
        <v>4628-RAlghamdi</v>
      </c>
      <c r="C202" t="str">
        <f>IFERROR(TRIM('Staff Daily sales'!$E187&amp;""),"")</f>
        <v>Jeddah</v>
      </c>
      <c r="D202" t="str">
        <f>IFERROR(IF(TRIM('Staff Daily sales'!$F187&amp;"")="","Unassigned",TRIM('Staff Daily sales'!$F187&amp;"")),"Unassigned")</f>
        <v>Ahlam Al Zahrani</v>
      </c>
      <c r="E202">
        <f t="shared" si="58"/>
        <v>1</v>
      </c>
      <c r="F202">
        <f>IF($E202=0,0,SUMPRODUCT($AI$5:$DF$5,'Staff Daily sales'!$G187:$CD187))</f>
        <v>0</v>
      </c>
      <c r="G202">
        <f>IF($E202=0,0,SUMPRODUCT($AI$6:$DF$6,'Staff Daily sales'!$G187:$CD187))</f>
        <v>0</v>
      </c>
      <c r="H202">
        <f t="shared" si="59"/>
        <v>4057.83</v>
      </c>
      <c r="I202">
        <f t="shared" si="60"/>
        <v>22</v>
      </c>
      <c r="J202">
        <f t="shared" si="61"/>
        <v>62016.170000000006</v>
      </c>
      <c r="K202">
        <f t="shared" si="62"/>
        <v>398</v>
      </c>
      <c r="L202">
        <f>--AND($E202=1,OR('Staff Dashboard'!$B$6="All",$DH202='Staff Dashboard'!$B$6),OR('Staff Dashboard'!$B$7="All",$D202='Staff Dashboard'!$B$7),OR('Staff Dashboard'!$B$8="All",$A202='Staff Dashboard'!$B$8))</f>
        <v>0</v>
      </c>
      <c r="M202">
        <f>IF($E202=0,0,SUMPRODUCT($AI$7:$DF$7,'Staff Daily sales'!$G187:$CD187))</f>
        <v>8085.15</v>
      </c>
      <c r="N202">
        <f>IF($E202=0,0,SUMPRODUCT($AI$8:$DF$8,'Staff Daily sales'!$G187:$CD187))</f>
        <v>54</v>
      </c>
      <c r="O202">
        <f>IF($E202=0,0,SUMPRODUCT($AI$9:$DF$9,'Staff Daily sales'!$G187:$CD187))</f>
        <v>12703.230000000001</v>
      </c>
      <c r="P202">
        <f>IF($E202=0,0,SUMPRODUCT($AI$10:$DF$10,'Staff Daily sales'!$G187:$CD187))</f>
        <v>71</v>
      </c>
      <c r="Q202">
        <f>IF($E202=0,0,SUMPRODUCT($AI$11:$DF$11,'Staff Daily sales'!$G187:$CD187))</f>
        <v>12842.180000000002</v>
      </c>
      <c r="R202">
        <f>IF($E202=0,0,SUMPRODUCT($AI$12:$DF$12,'Staff Daily sales'!$G187:$CD187))</f>
        <v>69</v>
      </c>
      <c r="S202">
        <f>IF($E202=0,0,SUMPRODUCT($AI$13:$DF$13,'Staff Daily sales'!$G187:$CD187))</f>
        <v>2600.0500000000002</v>
      </c>
      <c r="T202">
        <f>IF($E202=0,0,SUMPRODUCT($AI$14:$DF$14,'Staff Daily sales'!$G187:$CD187))</f>
        <v>19</v>
      </c>
      <c r="U202">
        <f>IF($E202=0,0,SUMPRODUCT($AI$15:$DF$15,'Staff Daily sales'!$G187:$CD187))</f>
        <v>0</v>
      </c>
      <c r="V202">
        <f>IF($E202=0,0,SUMPRODUCT($AI$16:$DF$16,'Staff Daily sales'!$G187:$CD187))</f>
        <v>0</v>
      </c>
      <c r="W202">
        <f t="shared" si="63"/>
        <v>23335.449999999997</v>
      </c>
      <c r="X202">
        <f t="shared" si="64"/>
        <v>35608.630000000005</v>
      </c>
      <c r="Y202">
        <f t="shared" si="65"/>
        <v>29434.510000000002</v>
      </c>
      <c r="Z202">
        <f t="shared" si="66"/>
        <v>24913.79</v>
      </c>
      <c r="AA202">
        <f t="shared" si="67"/>
        <v>7961.3</v>
      </c>
      <c r="AB202">
        <f>--AND($E202=1,OR('Staff Weekly Trend'!$B$3="All",$DH202='Staff Weekly Trend'!$B$3),OR('Staff Weekly Trend'!$B$4="All",$D202='Staff Weekly Trend'!$B$4),OR('Staff Weekly Trend'!$B$5="All",$A202='Staff Weekly Trend'!$B$5))</f>
        <v>1</v>
      </c>
      <c r="AC202" t="str">
        <f t="shared" si="68"/>
        <v/>
      </c>
      <c r="AI202">
        <f t="shared" si="69"/>
        <v>162</v>
      </c>
      <c r="AJ202">
        <f t="shared" si="70"/>
        <v>204</v>
      </c>
      <c r="AK202">
        <f t="shared" si="71"/>
        <v>169</v>
      </c>
      <c r="AL202">
        <f t="shared" si="72"/>
        <v>146</v>
      </c>
      <c r="AM202">
        <f t="shared" si="73"/>
        <v>45</v>
      </c>
      <c r="DH202" t="str" cm="1">
        <f t="array" ref="DH202">IF($A202="","",_xlfn.LET(_xlpm.c,IFERROR(_xlfn.XLOOKUP($A202,TRIM('Sales and count'!$A$4:$A$300&amp;""),TRIM('Sales and count'!$B$4:$B$300&amp;"")),""),IF(OR(_xlpm.c="",_xlpm.c="0",LEFT(_xlpm.c,1)="#"),"Not set",_xlpm.c)))</f>
        <v>KSA</v>
      </c>
    </row>
    <row r="203" spans="1:112" x14ac:dyDescent="0.25">
      <c r="A203" t="str">
        <f>IF('Staff Daily sales'!$B188="","",TRIM('Staff Daily sales'!$B188&amp;""))</f>
        <v>JEDDHAIFA</v>
      </c>
      <c r="B203" t="str">
        <f>IF('Staff Daily sales'!$D188="","",TRIM('Staff Daily sales'!$D188&amp;""))</f>
        <v>5398-MAkhaldi</v>
      </c>
      <c r="C203" t="str">
        <f>IFERROR(TRIM('Staff Daily sales'!$E188&amp;""),"")</f>
        <v>Jeddah</v>
      </c>
      <c r="D203" t="str">
        <f>IFERROR(IF(TRIM('Staff Daily sales'!$F188&amp;"")="","Unassigned",TRIM('Staff Daily sales'!$F188&amp;"")),"Unassigned")</f>
        <v>Ahlam Al Zahrani</v>
      </c>
      <c r="E203">
        <f t="shared" si="58"/>
        <v>1</v>
      </c>
      <c r="F203">
        <f>IF($E203=0,0,SUMPRODUCT($AI$5:$DF$5,'Staff Daily sales'!$G188:$CD188))</f>
        <v>3154.91</v>
      </c>
      <c r="G203">
        <f>IF($E203=0,0,SUMPRODUCT($AI$6:$DF$6,'Staff Daily sales'!$G188:$CD188))</f>
        <v>17</v>
      </c>
      <c r="H203">
        <f t="shared" si="59"/>
        <v>4057.83</v>
      </c>
      <c r="I203">
        <f t="shared" si="60"/>
        <v>22</v>
      </c>
      <c r="J203">
        <f t="shared" si="61"/>
        <v>62016.170000000006</v>
      </c>
      <c r="K203">
        <f t="shared" si="62"/>
        <v>398</v>
      </c>
      <c r="L203">
        <f>--AND($E203=1,OR('Staff Dashboard'!$B$6="All",$DH203='Staff Dashboard'!$B$6),OR('Staff Dashboard'!$B$7="All",$D203='Staff Dashboard'!$B$7),OR('Staff Dashboard'!$B$8="All",$A203='Staff Dashboard'!$B$8))</f>
        <v>0</v>
      </c>
      <c r="M203">
        <f>IF($E203=0,0,SUMPRODUCT($AI$7:$DF$7,'Staff Daily sales'!$G188:$CD188))</f>
        <v>8791.16</v>
      </c>
      <c r="N203">
        <f>IF($E203=0,0,SUMPRODUCT($AI$8:$DF$8,'Staff Daily sales'!$G188:$CD188))</f>
        <v>61</v>
      </c>
      <c r="O203">
        <f>IF($E203=0,0,SUMPRODUCT($AI$9:$DF$9,'Staff Daily sales'!$G188:$CD188))</f>
        <v>10168.18</v>
      </c>
      <c r="P203">
        <f>IF($E203=0,0,SUMPRODUCT($AI$10:$DF$10,'Staff Daily sales'!$G188:$CD188))</f>
        <v>55</v>
      </c>
      <c r="Q203">
        <f>IF($E203=0,0,SUMPRODUCT($AI$11:$DF$11,'Staff Daily sales'!$G188:$CD188))</f>
        <v>9928.2199999999993</v>
      </c>
      <c r="R203">
        <f>IF($E203=0,0,SUMPRODUCT($AI$12:$DF$12,'Staff Daily sales'!$G188:$CD188))</f>
        <v>55</v>
      </c>
      <c r="S203">
        <f>IF($E203=0,0,SUMPRODUCT($AI$13:$DF$13,'Staff Daily sales'!$G188:$CD188))</f>
        <v>17146.73</v>
      </c>
      <c r="T203">
        <f>IF($E203=0,0,SUMPRODUCT($AI$14:$DF$14,'Staff Daily sales'!$G188:$CD188))</f>
        <v>96</v>
      </c>
      <c r="U203">
        <f>IF($E203=0,0,SUMPRODUCT($AI$15:$DF$15,'Staff Daily sales'!$G188:$CD188))</f>
        <v>5223.2700000000004</v>
      </c>
      <c r="V203">
        <f>IF($E203=0,0,SUMPRODUCT($AI$16:$DF$16,'Staff Daily sales'!$G188:$CD188))</f>
        <v>28</v>
      </c>
      <c r="W203">
        <f t="shared" si="63"/>
        <v>23335.449999999997</v>
      </c>
      <c r="X203">
        <f t="shared" si="64"/>
        <v>35608.630000000005</v>
      </c>
      <c r="Y203">
        <f t="shared" si="65"/>
        <v>29434.510000000002</v>
      </c>
      <c r="Z203">
        <f t="shared" si="66"/>
        <v>24913.79</v>
      </c>
      <c r="AA203">
        <f t="shared" si="67"/>
        <v>7961.3</v>
      </c>
      <c r="AB203">
        <f>--AND($E203=1,OR('Staff Weekly Trend'!$B$3="All",$DH203='Staff Weekly Trend'!$B$3),OR('Staff Weekly Trend'!$B$4="All",$D203='Staff Weekly Trend'!$B$4),OR('Staff Weekly Trend'!$B$5="All",$A203='Staff Weekly Trend'!$B$5))</f>
        <v>1</v>
      </c>
      <c r="AC203">
        <f t="shared" si="68"/>
        <v>1</v>
      </c>
      <c r="AI203">
        <f t="shared" si="69"/>
        <v>162</v>
      </c>
      <c r="AJ203">
        <f t="shared" si="70"/>
        <v>204</v>
      </c>
      <c r="AK203">
        <f t="shared" si="71"/>
        <v>169</v>
      </c>
      <c r="AL203">
        <f t="shared" si="72"/>
        <v>146</v>
      </c>
      <c r="AM203">
        <f t="shared" si="73"/>
        <v>45</v>
      </c>
      <c r="DH203" t="str" cm="1">
        <f t="array" ref="DH203">IF($A203="","",_xlfn.LET(_xlpm.c,IFERROR(_xlfn.XLOOKUP($A203,TRIM('Sales and count'!$A$4:$A$300&amp;""),TRIM('Sales and count'!$B$4:$B$300&amp;"")),""),IF(OR(_xlpm.c="",_xlpm.c="0",LEFT(_xlpm.c,1)="#"),"Not set",_xlpm.c)))</f>
        <v>KSA</v>
      </c>
    </row>
    <row r="204" spans="1:112" x14ac:dyDescent="0.25">
      <c r="A204" t="str">
        <f>IF('Staff Daily sales'!$B189="","",TRIM('Staff Daily sales'!$B189&amp;""))</f>
        <v>JEDDHAIFA</v>
      </c>
      <c r="B204" t="str">
        <f>IF('Staff Daily sales'!$D189="","",TRIM('Staff Daily sales'!$D189&amp;""))</f>
        <v>7133-FKhuzaee</v>
      </c>
      <c r="C204" t="str">
        <f>IFERROR(TRIM('Staff Daily sales'!$E189&amp;""),"")</f>
        <v>Jeddah</v>
      </c>
      <c r="D204" t="str">
        <f>IFERROR(IF(TRIM('Staff Daily sales'!$F189&amp;"")="","Unassigned",TRIM('Staff Daily sales'!$F189&amp;"")),"Unassigned")</f>
        <v>Ahlam Al Zahrani</v>
      </c>
      <c r="E204">
        <f t="shared" si="58"/>
        <v>1</v>
      </c>
      <c r="F204">
        <f>IF($E204=0,0,SUMPRODUCT($AI$5:$DF$5,'Staff Daily sales'!$G189:$CD189))</f>
        <v>902.92</v>
      </c>
      <c r="G204">
        <f>IF($E204=0,0,SUMPRODUCT($AI$6:$DF$6,'Staff Daily sales'!$G189:$CD189))</f>
        <v>5</v>
      </c>
      <c r="H204">
        <f t="shared" si="59"/>
        <v>4057.83</v>
      </c>
      <c r="I204">
        <f t="shared" si="60"/>
        <v>22</v>
      </c>
      <c r="J204">
        <f t="shared" si="61"/>
        <v>62016.170000000006</v>
      </c>
      <c r="K204">
        <f t="shared" si="62"/>
        <v>398</v>
      </c>
      <c r="L204">
        <f>--AND($E204=1,OR('Staff Dashboard'!$B$6="All",$DH204='Staff Dashboard'!$B$6),OR('Staff Dashboard'!$B$7="All",$D204='Staff Dashboard'!$B$7),OR('Staff Dashboard'!$B$8="All",$A204='Staff Dashboard'!$B$8))</f>
        <v>0</v>
      </c>
      <c r="M204">
        <f>IF($E204=0,0,SUMPRODUCT($AI$7:$DF$7,'Staff Daily sales'!$G189:$CD189))</f>
        <v>6459.1399999999994</v>
      </c>
      <c r="N204">
        <f>IF($E204=0,0,SUMPRODUCT($AI$8:$DF$8,'Staff Daily sales'!$G189:$CD189))</f>
        <v>47</v>
      </c>
      <c r="O204">
        <f>IF($E204=0,0,SUMPRODUCT($AI$9:$DF$9,'Staff Daily sales'!$G189:$CD189))</f>
        <v>12737.220000000001</v>
      </c>
      <c r="P204">
        <f>IF($E204=0,0,SUMPRODUCT($AI$10:$DF$10,'Staff Daily sales'!$G189:$CD189))</f>
        <v>78</v>
      </c>
      <c r="Q204">
        <f>IF($E204=0,0,SUMPRODUCT($AI$11:$DF$11,'Staff Daily sales'!$G189:$CD189))</f>
        <v>6664.11</v>
      </c>
      <c r="R204">
        <f>IF($E204=0,0,SUMPRODUCT($AI$12:$DF$12,'Staff Daily sales'!$G189:$CD189))</f>
        <v>45</v>
      </c>
      <c r="S204">
        <f>IF($E204=0,0,SUMPRODUCT($AI$13:$DF$13,'Staff Daily sales'!$G189:$CD189))</f>
        <v>5167.01</v>
      </c>
      <c r="T204">
        <f>IF($E204=0,0,SUMPRODUCT($AI$14:$DF$14,'Staff Daily sales'!$G189:$CD189))</f>
        <v>31</v>
      </c>
      <c r="U204">
        <f>IF($E204=0,0,SUMPRODUCT($AI$15:$DF$15,'Staff Daily sales'!$G189:$CD189))</f>
        <v>2738.0299999999997</v>
      </c>
      <c r="V204">
        <f>IF($E204=0,0,SUMPRODUCT($AI$16:$DF$16,'Staff Daily sales'!$G189:$CD189))</f>
        <v>17</v>
      </c>
      <c r="W204">
        <f t="shared" si="63"/>
        <v>23335.449999999997</v>
      </c>
      <c r="X204">
        <f t="shared" si="64"/>
        <v>35608.630000000005</v>
      </c>
      <c r="Y204">
        <f t="shared" si="65"/>
        <v>29434.510000000002</v>
      </c>
      <c r="Z204">
        <f t="shared" si="66"/>
        <v>24913.79</v>
      </c>
      <c r="AA204">
        <f t="shared" si="67"/>
        <v>7961.3</v>
      </c>
      <c r="AB204">
        <f>--AND($E204=1,OR('Staff Weekly Trend'!$B$3="All",$DH204='Staff Weekly Trend'!$B$3),OR('Staff Weekly Trend'!$B$4="All",$D204='Staff Weekly Trend'!$B$4),OR('Staff Weekly Trend'!$B$5="All",$A204='Staff Weekly Trend'!$B$5))</f>
        <v>1</v>
      </c>
      <c r="AC204">
        <f t="shared" si="68"/>
        <v>2</v>
      </c>
      <c r="AI204">
        <f t="shared" si="69"/>
        <v>162</v>
      </c>
      <c r="AJ204">
        <f t="shared" si="70"/>
        <v>204</v>
      </c>
      <c r="AK204">
        <f t="shared" si="71"/>
        <v>169</v>
      </c>
      <c r="AL204">
        <f t="shared" si="72"/>
        <v>146</v>
      </c>
      <c r="AM204">
        <f t="shared" si="73"/>
        <v>45</v>
      </c>
      <c r="DH204" t="str" cm="1">
        <f t="array" ref="DH204">IF($A204="","",_xlfn.LET(_xlpm.c,IFERROR(_xlfn.XLOOKUP($A204,TRIM('Sales and count'!$A$4:$A$300&amp;""),TRIM('Sales and count'!$B$4:$B$300&amp;"")),""),IF(OR(_xlpm.c="",_xlpm.c="0",LEFT(_xlpm.c,1)="#"),"Not set",_xlpm.c)))</f>
        <v>KSA</v>
      </c>
    </row>
    <row r="205" spans="1:112" x14ac:dyDescent="0.25">
      <c r="A205" t="str">
        <f>IF('Staff Daily sales'!$B190="","",TRIM('Staff Daily sales'!$B190&amp;""))</f>
        <v>RYDTALA</v>
      </c>
      <c r="B205" t="str">
        <f>IF('Staff Daily sales'!$D190="","",TRIM('Staff Daily sales'!$D190&amp;""))</f>
        <v>6176-NALYusr</v>
      </c>
      <c r="C205" t="str">
        <f>IFERROR(TRIM('Staff Daily sales'!$E190&amp;""),"")</f>
        <v>Riyadh</v>
      </c>
      <c r="D205" t="str">
        <f>IFERROR(IF(TRIM('Staff Daily sales'!$F190&amp;"")="","Unassigned",TRIM('Staff Daily sales'!$F190&amp;"")),"Unassigned")</f>
        <v>Mohammed Sanad</v>
      </c>
      <c r="E205">
        <f t="shared" si="58"/>
        <v>1</v>
      </c>
      <c r="F205">
        <f>IF($E205=0,0,SUMPRODUCT($AI$5:$DF$5,'Staff Daily sales'!$G190:$CD190))</f>
        <v>0</v>
      </c>
      <c r="G205">
        <f>IF($E205=0,0,SUMPRODUCT($AI$6:$DF$6,'Staff Daily sales'!$G190:$CD190))</f>
        <v>0</v>
      </c>
      <c r="H205">
        <f t="shared" si="59"/>
        <v>1000.96</v>
      </c>
      <c r="I205">
        <f t="shared" si="60"/>
        <v>6</v>
      </c>
      <c r="J205">
        <f t="shared" si="61"/>
        <v>64682.640000000014</v>
      </c>
      <c r="K205">
        <f t="shared" si="62"/>
        <v>326</v>
      </c>
      <c r="L205">
        <f>--AND($E205=1,OR('Staff Dashboard'!$B$6="All",$DH205='Staff Dashboard'!$B$6),OR('Staff Dashboard'!$B$7="All",$D205='Staff Dashboard'!$B$7),OR('Staff Dashboard'!$B$8="All",$A205='Staff Dashboard'!$B$8))</f>
        <v>0</v>
      </c>
      <c r="M205">
        <f>IF($E205=0,0,SUMPRODUCT($AI$7:$DF$7,'Staff Daily sales'!$G190:$CD190))</f>
        <v>3083.0699999999997</v>
      </c>
      <c r="N205">
        <f>IF($E205=0,0,SUMPRODUCT($AI$8:$DF$8,'Staff Daily sales'!$G190:$CD190))</f>
        <v>31</v>
      </c>
      <c r="O205">
        <f>IF($E205=0,0,SUMPRODUCT($AI$9:$DF$9,'Staff Daily sales'!$G190:$CD190))</f>
        <v>0</v>
      </c>
      <c r="P205">
        <f>IF($E205=0,0,SUMPRODUCT($AI$10:$DF$10,'Staff Daily sales'!$G190:$CD190))</f>
        <v>0</v>
      </c>
      <c r="Q205">
        <f>IF($E205=0,0,SUMPRODUCT($AI$11:$DF$11,'Staff Daily sales'!$G190:$CD190))</f>
        <v>0</v>
      </c>
      <c r="R205">
        <f>IF($E205=0,0,SUMPRODUCT($AI$12:$DF$12,'Staff Daily sales'!$G190:$CD190))</f>
        <v>0</v>
      </c>
      <c r="S205">
        <f>IF($E205=0,0,SUMPRODUCT($AI$13:$DF$13,'Staff Daily sales'!$G190:$CD190))</f>
        <v>0</v>
      </c>
      <c r="T205">
        <f>IF($E205=0,0,SUMPRODUCT($AI$14:$DF$14,'Staff Daily sales'!$G190:$CD190))</f>
        <v>0</v>
      </c>
      <c r="U205">
        <f>IF($E205=0,0,SUMPRODUCT($AI$15:$DF$15,'Staff Daily sales'!$G190:$CD190))</f>
        <v>0</v>
      </c>
      <c r="V205">
        <f>IF($E205=0,0,SUMPRODUCT($AI$16:$DF$16,'Staff Daily sales'!$G190:$CD190))</f>
        <v>0</v>
      </c>
      <c r="W205">
        <f t="shared" si="63"/>
        <v>3083.0699999999997</v>
      </c>
      <c r="X205">
        <f t="shared" si="64"/>
        <v>5489.08</v>
      </c>
      <c r="Y205">
        <f t="shared" si="65"/>
        <v>3863.0299999999997</v>
      </c>
      <c r="Z205">
        <f t="shared" si="66"/>
        <v>4207.87</v>
      </c>
      <c r="AA205">
        <f t="shared" si="67"/>
        <v>2320.08</v>
      </c>
      <c r="AB205">
        <f>--AND($E205=1,OR('Staff Weekly Trend'!$B$3="All",$DH205='Staff Weekly Trend'!$B$3),OR('Staff Weekly Trend'!$B$4="All",$D205='Staff Weekly Trend'!$B$4),OR('Staff Weekly Trend'!$B$5="All",$A205='Staff Weekly Trend'!$B$5))</f>
        <v>1</v>
      </c>
      <c r="AC205" t="str">
        <f t="shared" si="68"/>
        <v/>
      </c>
      <c r="AI205">
        <f t="shared" si="69"/>
        <v>31</v>
      </c>
      <c r="AJ205">
        <f t="shared" si="70"/>
        <v>43</v>
      </c>
      <c r="AK205">
        <f t="shared" si="71"/>
        <v>25</v>
      </c>
      <c r="AL205">
        <f t="shared" si="72"/>
        <v>28</v>
      </c>
      <c r="AM205">
        <f t="shared" si="73"/>
        <v>14</v>
      </c>
      <c r="DH205" t="str" cm="1">
        <f t="array" ref="DH205">IF($A205="","",_xlfn.LET(_xlpm.c,IFERROR(_xlfn.XLOOKUP($A205,TRIM('Sales and count'!$A$4:$A$300&amp;""),TRIM('Sales and count'!$B$4:$B$300&amp;"")),""),IF(OR(_xlpm.c="",_xlpm.c="0",LEFT(_xlpm.c,1)="#"),"Not set",_xlpm.c)))</f>
        <v>KSA</v>
      </c>
    </row>
    <row r="206" spans="1:112" x14ac:dyDescent="0.25">
      <c r="A206" t="str">
        <f>IF('Staff Daily sales'!$B191="","",TRIM('Staff Daily sales'!$B191&amp;""))</f>
        <v>RYDTALA</v>
      </c>
      <c r="B206" t="str">
        <f>IF('Staff Daily sales'!$D191="","",TRIM('Staff Daily sales'!$D191&amp;""))</f>
        <v>6827-MAlDossari</v>
      </c>
      <c r="C206" t="str">
        <f>IFERROR(TRIM('Staff Daily sales'!$E191&amp;""),"")</f>
        <v>Riyadh</v>
      </c>
      <c r="D206" t="str">
        <f>IFERROR(IF(TRIM('Staff Daily sales'!$F191&amp;"")="","Unassigned",TRIM('Staff Daily sales'!$F191&amp;"")),"Unassigned")</f>
        <v>Mohammed Sanad</v>
      </c>
      <c r="E206">
        <f t="shared" si="58"/>
        <v>1</v>
      </c>
      <c r="F206">
        <f>IF($E206=0,0,SUMPRODUCT($AI$5:$DF$5,'Staff Daily sales'!$G191:$CD191))</f>
        <v>1000.96</v>
      </c>
      <c r="G206">
        <f>IF($E206=0,0,SUMPRODUCT($AI$6:$DF$6,'Staff Daily sales'!$G191:$CD191))</f>
        <v>6</v>
      </c>
      <c r="H206">
        <f t="shared" si="59"/>
        <v>1000.96</v>
      </c>
      <c r="I206">
        <f t="shared" si="60"/>
        <v>6</v>
      </c>
      <c r="J206">
        <f t="shared" si="61"/>
        <v>64682.640000000014</v>
      </c>
      <c r="K206">
        <f t="shared" si="62"/>
        <v>326</v>
      </c>
      <c r="L206">
        <f>--AND($E206=1,OR('Staff Dashboard'!$B$6="All",$DH206='Staff Dashboard'!$B$6),OR('Staff Dashboard'!$B$7="All",$D206='Staff Dashboard'!$B$7),OR('Staff Dashboard'!$B$8="All",$A206='Staff Dashboard'!$B$8))</f>
        <v>0</v>
      </c>
      <c r="M206">
        <f>IF($E206=0,0,SUMPRODUCT($AI$7:$DF$7,'Staff Daily sales'!$G191:$CD191))</f>
        <v>0</v>
      </c>
      <c r="N206">
        <f>IF($E206=0,0,SUMPRODUCT($AI$8:$DF$8,'Staff Daily sales'!$G191:$CD191))</f>
        <v>0</v>
      </c>
      <c r="O206">
        <f>IF($E206=0,0,SUMPRODUCT($AI$9:$DF$9,'Staff Daily sales'!$G191:$CD191))</f>
        <v>5114.07</v>
      </c>
      <c r="P206">
        <f>IF($E206=0,0,SUMPRODUCT($AI$10:$DF$10,'Staff Daily sales'!$G191:$CD191))</f>
        <v>40</v>
      </c>
      <c r="Q206">
        <f>IF($E206=0,0,SUMPRODUCT($AI$11:$DF$11,'Staff Daily sales'!$G191:$CD191))</f>
        <v>3550.0299999999997</v>
      </c>
      <c r="R206">
        <f>IF($E206=0,0,SUMPRODUCT($AI$12:$DF$12,'Staff Daily sales'!$G191:$CD191))</f>
        <v>23</v>
      </c>
      <c r="S206">
        <f>IF($E206=0,0,SUMPRODUCT($AI$13:$DF$13,'Staff Daily sales'!$G191:$CD191))</f>
        <v>4207.87</v>
      </c>
      <c r="T206">
        <f>IF($E206=0,0,SUMPRODUCT($AI$14:$DF$14,'Staff Daily sales'!$G191:$CD191))</f>
        <v>28</v>
      </c>
      <c r="U206">
        <f>IF($E206=0,0,SUMPRODUCT($AI$15:$DF$15,'Staff Daily sales'!$G191:$CD191))</f>
        <v>2095.08</v>
      </c>
      <c r="V206">
        <f>IF($E206=0,0,SUMPRODUCT($AI$16:$DF$16,'Staff Daily sales'!$G191:$CD191))</f>
        <v>12</v>
      </c>
      <c r="W206">
        <f t="shared" si="63"/>
        <v>3083.0699999999997</v>
      </c>
      <c r="X206">
        <f t="shared" si="64"/>
        <v>5489.08</v>
      </c>
      <c r="Y206">
        <f t="shared" si="65"/>
        <v>3863.0299999999997</v>
      </c>
      <c r="Z206">
        <f t="shared" si="66"/>
        <v>4207.87</v>
      </c>
      <c r="AA206">
        <f t="shared" si="67"/>
        <v>2320.08</v>
      </c>
      <c r="AB206">
        <f>--AND($E206=1,OR('Staff Weekly Trend'!$B$3="All",$DH206='Staff Weekly Trend'!$B$3),OR('Staff Weekly Trend'!$B$4="All",$D206='Staff Weekly Trend'!$B$4),OR('Staff Weekly Trend'!$B$5="All",$A206='Staff Weekly Trend'!$B$5))</f>
        <v>1</v>
      </c>
      <c r="AC206">
        <f t="shared" si="68"/>
        <v>1</v>
      </c>
      <c r="AI206">
        <f t="shared" si="69"/>
        <v>31</v>
      </c>
      <c r="AJ206">
        <f t="shared" si="70"/>
        <v>43</v>
      </c>
      <c r="AK206">
        <f t="shared" si="71"/>
        <v>25</v>
      </c>
      <c r="AL206">
        <f t="shared" si="72"/>
        <v>28</v>
      </c>
      <c r="AM206">
        <f t="shared" si="73"/>
        <v>14</v>
      </c>
      <c r="DH206" t="str" cm="1">
        <f t="array" ref="DH206">IF($A206="","",_xlfn.LET(_xlpm.c,IFERROR(_xlfn.XLOOKUP($A206,TRIM('Sales and count'!$A$4:$A$300&amp;""),TRIM('Sales and count'!$B$4:$B$300&amp;"")),""),IF(OR(_xlpm.c="",_xlpm.c="0",LEFT(_xlpm.c,1)="#"),"Not set",_xlpm.c)))</f>
        <v>KSA</v>
      </c>
    </row>
    <row r="207" spans="1:112" x14ac:dyDescent="0.25">
      <c r="A207" t="str">
        <f>IF('Staff Daily sales'!$B192="","",TRIM('Staff Daily sales'!$B192&amp;""))</f>
        <v>RYDTALA</v>
      </c>
      <c r="B207" t="str">
        <f>IF('Staff Daily sales'!$D192="","",TRIM('Staff Daily sales'!$D192&amp;""))</f>
        <v>7196-MAlkahtani</v>
      </c>
      <c r="C207" t="str">
        <f>IFERROR(TRIM('Staff Daily sales'!$E192&amp;""),"")</f>
        <v>Riyadh</v>
      </c>
      <c r="D207" t="str">
        <f>IFERROR(IF(TRIM('Staff Daily sales'!$F192&amp;"")="","Unassigned",TRIM('Staff Daily sales'!$F192&amp;"")),"Unassigned")</f>
        <v>Mohammed Sanad</v>
      </c>
      <c r="E207">
        <f t="shared" si="58"/>
        <v>1</v>
      </c>
      <c r="F207">
        <f>IF($E207=0,0,SUMPRODUCT($AI$5:$DF$5,'Staff Daily sales'!$G192:$CD192))</f>
        <v>0</v>
      </c>
      <c r="G207">
        <f>IF($E207=0,0,SUMPRODUCT($AI$6:$DF$6,'Staff Daily sales'!$G192:$CD192))</f>
        <v>0</v>
      </c>
      <c r="H207">
        <f t="shared" si="59"/>
        <v>1000.96</v>
      </c>
      <c r="I207">
        <f t="shared" si="60"/>
        <v>6</v>
      </c>
      <c r="J207">
        <f t="shared" si="61"/>
        <v>64682.640000000014</v>
      </c>
      <c r="K207">
        <f t="shared" si="62"/>
        <v>326</v>
      </c>
      <c r="L207">
        <f>--AND($E207=1,OR('Staff Dashboard'!$B$6="All",$DH207='Staff Dashboard'!$B$6),OR('Staff Dashboard'!$B$7="All",$D207='Staff Dashboard'!$B$7),OR('Staff Dashboard'!$B$8="All",$A207='Staff Dashboard'!$B$8))</f>
        <v>0</v>
      </c>
      <c r="M207">
        <f>IF($E207=0,0,SUMPRODUCT($AI$7:$DF$7,'Staff Daily sales'!$G192:$CD192))</f>
        <v>0</v>
      </c>
      <c r="N207">
        <f>IF($E207=0,0,SUMPRODUCT($AI$8:$DF$8,'Staff Daily sales'!$G192:$CD192))</f>
        <v>0</v>
      </c>
      <c r="O207">
        <f>IF($E207=0,0,SUMPRODUCT($AI$9:$DF$9,'Staff Daily sales'!$G192:$CD192))</f>
        <v>375.01</v>
      </c>
      <c r="P207">
        <f>IF($E207=0,0,SUMPRODUCT($AI$10:$DF$10,'Staff Daily sales'!$G192:$CD192))</f>
        <v>3</v>
      </c>
      <c r="Q207">
        <f>IF($E207=0,0,SUMPRODUCT($AI$11:$DF$11,'Staff Daily sales'!$G192:$CD192))</f>
        <v>313</v>
      </c>
      <c r="R207">
        <f>IF($E207=0,0,SUMPRODUCT($AI$12:$DF$12,'Staff Daily sales'!$G192:$CD192))</f>
        <v>2</v>
      </c>
      <c r="S207">
        <f>IF($E207=0,0,SUMPRODUCT($AI$13:$DF$13,'Staff Daily sales'!$G192:$CD192))</f>
        <v>0</v>
      </c>
      <c r="T207">
        <f>IF($E207=0,0,SUMPRODUCT($AI$14:$DF$14,'Staff Daily sales'!$G192:$CD192))</f>
        <v>0</v>
      </c>
      <c r="U207">
        <f>IF($E207=0,0,SUMPRODUCT($AI$15:$DF$15,'Staff Daily sales'!$G192:$CD192))</f>
        <v>225</v>
      </c>
      <c r="V207">
        <f>IF($E207=0,0,SUMPRODUCT($AI$16:$DF$16,'Staff Daily sales'!$G192:$CD192))</f>
        <v>2</v>
      </c>
      <c r="W207">
        <f t="shared" si="63"/>
        <v>3083.0699999999997</v>
      </c>
      <c r="X207">
        <f t="shared" si="64"/>
        <v>5489.08</v>
      </c>
      <c r="Y207">
        <f t="shared" si="65"/>
        <v>3863.0299999999997</v>
      </c>
      <c r="Z207">
        <f t="shared" si="66"/>
        <v>4207.87</v>
      </c>
      <c r="AA207">
        <f t="shared" si="67"/>
        <v>2320.08</v>
      </c>
      <c r="AB207">
        <f>--AND($E207=1,OR('Staff Weekly Trend'!$B$3="All",$DH207='Staff Weekly Trend'!$B$3),OR('Staff Weekly Trend'!$B$4="All",$D207='Staff Weekly Trend'!$B$4),OR('Staff Weekly Trend'!$B$5="All",$A207='Staff Weekly Trend'!$B$5))</f>
        <v>1</v>
      </c>
      <c r="AC207" t="str">
        <f t="shared" si="68"/>
        <v/>
      </c>
      <c r="AI207">
        <f t="shared" si="69"/>
        <v>31</v>
      </c>
      <c r="AJ207">
        <f t="shared" si="70"/>
        <v>43</v>
      </c>
      <c r="AK207">
        <f t="shared" si="71"/>
        <v>25</v>
      </c>
      <c r="AL207">
        <f t="shared" si="72"/>
        <v>28</v>
      </c>
      <c r="AM207">
        <f t="shared" si="73"/>
        <v>14</v>
      </c>
      <c r="DH207" t="str" cm="1">
        <f t="array" ref="DH207">IF($A207="","",_xlfn.LET(_xlpm.c,IFERROR(_xlfn.XLOOKUP($A207,TRIM('Sales and count'!$A$4:$A$300&amp;""),TRIM('Sales and count'!$B$4:$B$300&amp;"")),""),IF(OR(_xlpm.c="",_xlpm.c="0",LEFT(_xlpm.c,1)="#"),"Not set",_xlpm.c)))</f>
        <v>KSA</v>
      </c>
    </row>
    <row r="208" spans="1:112" x14ac:dyDescent="0.25">
      <c r="A208" t="str">
        <f>IF('Staff Daily sales'!$B193="","",TRIM('Staff Daily sales'!$B193&amp;""))</f>
        <v>HASEHSA</v>
      </c>
      <c r="B208" t="str">
        <f>IF('Staff Daily sales'!$D193="","",TRIM('Staff Daily sales'!$D193&amp;""))</f>
        <v>4090-HibahAlMohaimeed</v>
      </c>
      <c r="C208" t="str">
        <f>IFERROR(TRIM('Staff Daily sales'!$E193&amp;""),"")</f>
        <v>Al Hasa</v>
      </c>
      <c r="D208" t="str">
        <f>IFERROR(IF(TRIM('Staff Daily sales'!$F193&amp;"")="","Unassigned",TRIM('Staff Daily sales'!$F193&amp;"")),"Unassigned")</f>
        <v>Hamzah Al Makhadam</v>
      </c>
      <c r="E208">
        <f t="shared" si="58"/>
        <v>1</v>
      </c>
      <c r="F208">
        <f>IF($E208=0,0,SUMPRODUCT($AI$5:$DF$5,'Staff Daily sales'!$G193:$CD193))</f>
        <v>2887.88</v>
      </c>
      <c r="G208">
        <f>IF($E208=0,0,SUMPRODUCT($AI$6:$DF$6,'Staff Daily sales'!$G193:$CD193))</f>
        <v>16</v>
      </c>
      <c r="H208">
        <f t="shared" si="59"/>
        <v>6733.65</v>
      </c>
      <c r="I208">
        <f t="shared" si="60"/>
        <v>39</v>
      </c>
      <c r="J208">
        <f t="shared" si="61"/>
        <v>128104.23999999996</v>
      </c>
      <c r="K208">
        <f t="shared" si="62"/>
        <v>596</v>
      </c>
      <c r="L208">
        <f>--AND($E208=1,OR('Staff Dashboard'!$B$6="All",$DH208='Staff Dashboard'!$B$6),OR('Staff Dashboard'!$B$7="All",$D208='Staff Dashboard'!$B$7),OR('Staff Dashboard'!$B$8="All",$A208='Staff Dashboard'!$B$8))</f>
        <v>0</v>
      </c>
      <c r="M208">
        <f>IF($E208=0,0,SUMPRODUCT($AI$7:$DF$7,'Staff Daily sales'!$G193:$CD193))</f>
        <v>18185.27</v>
      </c>
      <c r="N208">
        <f>IF($E208=0,0,SUMPRODUCT($AI$8:$DF$8,'Staff Daily sales'!$G193:$CD193))</f>
        <v>106</v>
      </c>
      <c r="O208">
        <f>IF($E208=0,0,SUMPRODUCT($AI$9:$DF$9,'Staff Daily sales'!$G193:$CD193))</f>
        <v>11400.19</v>
      </c>
      <c r="P208">
        <f>IF($E208=0,0,SUMPRODUCT($AI$10:$DF$10,'Staff Daily sales'!$G193:$CD193))</f>
        <v>60</v>
      </c>
      <c r="Q208">
        <f>IF($E208=0,0,SUMPRODUCT($AI$11:$DF$11,'Staff Daily sales'!$G193:$CD193))</f>
        <v>4101.0600000000004</v>
      </c>
      <c r="R208">
        <f>IF($E208=0,0,SUMPRODUCT($AI$12:$DF$12,'Staff Daily sales'!$G193:$CD193))</f>
        <v>25</v>
      </c>
      <c r="S208">
        <f>IF($E208=0,0,SUMPRODUCT($AI$13:$DF$13,'Staff Daily sales'!$G193:$CD193))</f>
        <v>2887.88</v>
      </c>
      <c r="T208">
        <f>IF($E208=0,0,SUMPRODUCT($AI$14:$DF$14,'Staff Daily sales'!$G193:$CD193))</f>
        <v>16</v>
      </c>
      <c r="U208">
        <f>IF($E208=0,0,SUMPRODUCT($AI$15:$DF$15,'Staff Daily sales'!$G193:$CD193))</f>
        <v>2619</v>
      </c>
      <c r="V208">
        <f>IF($E208=0,0,SUMPRODUCT($AI$16:$DF$16,'Staff Daily sales'!$G193:$CD193))</f>
        <v>11</v>
      </c>
      <c r="W208">
        <f t="shared" si="63"/>
        <v>49486.85</v>
      </c>
      <c r="X208">
        <f t="shared" si="64"/>
        <v>45043.579999999994</v>
      </c>
      <c r="Y208">
        <f t="shared" si="65"/>
        <v>31293.3</v>
      </c>
      <c r="Z208">
        <f t="shared" si="66"/>
        <v>34121.399999999994</v>
      </c>
      <c r="AA208">
        <f t="shared" si="67"/>
        <v>11524.03</v>
      </c>
      <c r="AB208">
        <f>--AND($E208=1,OR('Staff Weekly Trend'!$B$3="All",$DH208='Staff Weekly Trend'!$B$3),OR('Staff Weekly Trend'!$B$4="All",$D208='Staff Weekly Trend'!$B$4),OR('Staff Weekly Trend'!$B$5="All",$A208='Staff Weekly Trend'!$B$5))</f>
        <v>1</v>
      </c>
      <c r="AC208">
        <f t="shared" si="68"/>
        <v>1</v>
      </c>
      <c r="AI208">
        <f t="shared" si="69"/>
        <v>282</v>
      </c>
      <c r="AJ208">
        <f t="shared" si="70"/>
        <v>272</v>
      </c>
      <c r="AK208">
        <f t="shared" si="71"/>
        <v>215</v>
      </c>
      <c r="AL208">
        <f t="shared" si="72"/>
        <v>192</v>
      </c>
      <c r="AM208">
        <f t="shared" si="73"/>
        <v>60</v>
      </c>
      <c r="DH208" t="str" cm="1">
        <f t="array" ref="DH208">IF($A208="","",_xlfn.LET(_xlpm.c,IFERROR(_xlfn.XLOOKUP($A208,TRIM('Sales and count'!$A$4:$A$300&amp;""),TRIM('Sales and count'!$B$4:$B$300&amp;"")),""),IF(OR(_xlpm.c="",_xlpm.c="0",LEFT(_xlpm.c,1)="#"),"Not set",_xlpm.c)))</f>
        <v>KSA</v>
      </c>
    </row>
    <row r="209" spans="1:112" x14ac:dyDescent="0.25">
      <c r="A209" t="str">
        <f>IF('Staff Daily sales'!$B194="","",TRIM('Staff Daily sales'!$B194&amp;""))</f>
        <v>HASEHSA</v>
      </c>
      <c r="B209" t="str">
        <f>IF('Staff Daily sales'!$D194="","",TRIM('Staff Daily sales'!$D194&amp;""))</f>
        <v>4103-ZAlHadhari</v>
      </c>
      <c r="C209" t="str">
        <f>IFERROR(TRIM('Staff Daily sales'!$E194&amp;""),"")</f>
        <v>Al Hasa</v>
      </c>
      <c r="D209" t="str">
        <f>IFERROR(IF(TRIM('Staff Daily sales'!$F194&amp;"")="","Unassigned",TRIM('Staff Daily sales'!$F194&amp;"")),"Unassigned")</f>
        <v>Hamzah Al Makhadam</v>
      </c>
      <c r="E209">
        <f t="shared" si="58"/>
        <v>1</v>
      </c>
      <c r="F209">
        <f>IF($E209=0,0,SUMPRODUCT($AI$5:$DF$5,'Staff Daily sales'!$G194:$CD194))</f>
        <v>1925.88</v>
      </c>
      <c r="G209">
        <f>IF($E209=0,0,SUMPRODUCT($AI$6:$DF$6,'Staff Daily sales'!$G194:$CD194))</f>
        <v>11</v>
      </c>
      <c r="H209">
        <f t="shared" si="59"/>
        <v>6733.65</v>
      </c>
      <c r="I209">
        <f t="shared" si="60"/>
        <v>39</v>
      </c>
      <c r="J209">
        <f t="shared" si="61"/>
        <v>128104.23999999996</v>
      </c>
      <c r="K209">
        <f t="shared" si="62"/>
        <v>596</v>
      </c>
      <c r="L209">
        <f>--AND($E209=1,OR('Staff Dashboard'!$B$6="All",$DH209='Staff Dashboard'!$B$6),OR('Staff Dashboard'!$B$7="All",$D209='Staff Dashboard'!$B$7),OR('Staff Dashboard'!$B$8="All",$A209='Staff Dashboard'!$B$8))</f>
        <v>0</v>
      </c>
      <c r="M209">
        <f>IF($E209=0,0,SUMPRODUCT($AI$7:$DF$7,'Staff Daily sales'!$G194:$CD194))</f>
        <v>6067.15</v>
      </c>
      <c r="N209">
        <f>IF($E209=0,0,SUMPRODUCT($AI$8:$DF$8,'Staff Daily sales'!$G194:$CD194))</f>
        <v>42</v>
      </c>
      <c r="O209">
        <f>IF($E209=0,0,SUMPRODUCT($AI$9:$DF$9,'Staff Daily sales'!$G194:$CD194))</f>
        <v>8725.16</v>
      </c>
      <c r="P209">
        <f>IF($E209=0,0,SUMPRODUCT($AI$10:$DF$10,'Staff Daily sales'!$G194:$CD194))</f>
        <v>60</v>
      </c>
      <c r="Q209">
        <f>IF($E209=0,0,SUMPRODUCT($AI$11:$DF$11,'Staff Daily sales'!$G194:$CD194))</f>
        <v>6942.0400000000009</v>
      </c>
      <c r="R209">
        <f>IF($E209=0,0,SUMPRODUCT($AI$12:$DF$12,'Staff Daily sales'!$G194:$CD194))</f>
        <v>49</v>
      </c>
      <c r="S209">
        <f>IF($E209=0,0,SUMPRODUCT($AI$13:$DF$13,'Staff Daily sales'!$G194:$CD194))</f>
        <v>4295.91</v>
      </c>
      <c r="T209">
        <f>IF($E209=0,0,SUMPRODUCT($AI$14:$DF$14,'Staff Daily sales'!$G194:$CD194))</f>
        <v>25</v>
      </c>
      <c r="U209">
        <f>IF($E209=0,0,SUMPRODUCT($AI$15:$DF$15,'Staff Daily sales'!$G194:$CD194))</f>
        <v>2930.09</v>
      </c>
      <c r="V209">
        <f>IF($E209=0,0,SUMPRODUCT($AI$16:$DF$16,'Staff Daily sales'!$G194:$CD194))</f>
        <v>15</v>
      </c>
      <c r="W209">
        <f t="shared" si="63"/>
        <v>49486.85</v>
      </c>
      <c r="X209">
        <f t="shared" si="64"/>
        <v>45043.579999999994</v>
      </c>
      <c r="Y209">
        <f t="shared" si="65"/>
        <v>31293.3</v>
      </c>
      <c r="Z209">
        <f t="shared" si="66"/>
        <v>34121.399999999994</v>
      </c>
      <c r="AA209">
        <f t="shared" si="67"/>
        <v>11524.03</v>
      </c>
      <c r="AB209">
        <f>--AND($E209=1,OR('Staff Weekly Trend'!$B$3="All",$DH209='Staff Weekly Trend'!$B$3),OR('Staff Weekly Trend'!$B$4="All",$D209='Staff Weekly Trend'!$B$4),OR('Staff Weekly Trend'!$B$5="All",$A209='Staff Weekly Trend'!$B$5))</f>
        <v>1</v>
      </c>
      <c r="AC209">
        <f t="shared" si="68"/>
        <v>2</v>
      </c>
      <c r="AI209">
        <f t="shared" si="69"/>
        <v>282</v>
      </c>
      <c r="AJ209">
        <f t="shared" si="70"/>
        <v>272</v>
      </c>
      <c r="AK209">
        <f t="shared" si="71"/>
        <v>215</v>
      </c>
      <c r="AL209">
        <f t="shared" si="72"/>
        <v>192</v>
      </c>
      <c r="AM209">
        <f t="shared" si="73"/>
        <v>60</v>
      </c>
      <c r="DH209" t="str" cm="1">
        <f t="array" ref="DH209">IF($A209="","",_xlfn.LET(_xlpm.c,IFERROR(_xlfn.XLOOKUP($A209,TRIM('Sales and count'!$A$4:$A$300&amp;""),TRIM('Sales and count'!$B$4:$B$300&amp;"")),""),IF(OR(_xlpm.c="",_xlpm.c="0",LEFT(_xlpm.c,1)="#"),"Not set",_xlpm.c)))</f>
        <v>KSA</v>
      </c>
    </row>
    <row r="210" spans="1:112" x14ac:dyDescent="0.25">
      <c r="A210" t="str">
        <f>IF('Staff Daily sales'!$B195="","",TRIM('Staff Daily sales'!$B195&amp;""))</f>
        <v>HASEHSA</v>
      </c>
      <c r="B210" t="str">
        <f>IF('Staff Daily sales'!$D195="","",TRIM('Staff Daily sales'!$D195&amp;""))</f>
        <v>4106-SAlhajjiahmed</v>
      </c>
      <c r="C210" t="str">
        <f>IFERROR(TRIM('Staff Daily sales'!$E195&amp;""),"")</f>
        <v>Al Hasa</v>
      </c>
      <c r="D210" t="str">
        <f>IFERROR(IF(TRIM('Staff Daily sales'!$F195&amp;"")="","Unassigned",TRIM('Staff Daily sales'!$F195&amp;"")),"Unassigned")</f>
        <v>Hamzah Al Makhadam</v>
      </c>
      <c r="E210">
        <f t="shared" si="58"/>
        <v>1</v>
      </c>
      <c r="F210">
        <f>IF($E210=0,0,SUMPRODUCT($AI$5:$DF$5,'Staff Daily sales'!$G195:$CD195))</f>
        <v>0</v>
      </c>
      <c r="G210">
        <f>IF($E210=0,0,SUMPRODUCT($AI$6:$DF$6,'Staff Daily sales'!$G195:$CD195))</f>
        <v>0</v>
      </c>
      <c r="H210">
        <f t="shared" si="59"/>
        <v>6733.65</v>
      </c>
      <c r="I210">
        <f t="shared" si="60"/>
        <v>39</v>
      </c>
      <c r="J210">
        <f t="shared" si="61"/>
        <v>128104.23999999996</v>
      </c>
      <c r="K210">
        <f t="shared" si="62"/>
        <v>596</v>
      </c>
      <c r="L210">
        <f>--AND($E210=1,OR('Staff Dashboard'!$B$6="All",$DH210='Staff Dashboard'!$B$6),OR('Staff Dashboard'!$B$7="All",$D210='Staff Dashboard'!$B$7),OR('Staff Dashboard'!$B$8="All",$A210='Staff Dashboard'!$B$8))</f>
        <v>0</v>
      </c>
      <c r="M210">
        <f>IF($E210=0,0,SUMPRODUCT($AI$7:$DF$7,'Staff Daily sales'!$G195:$CD195))</f>
        <v>8444.130000000001</v>
      </c>
      <c r="N210">
        <f>IF($E210=0,0,SUMPRODUCT($AI$8:$DF$8,'Staff Daily sales'!$G195:$CD195))</f>
        <v>38</v>
      </c>
      <c r="O210">
        <f>IF($E210=0,0,SUMPRODUCT($AI$9:$DF$9,'Staff Daily sales'!$G195:$CD195))</f>
        <v>8867.0300000000007</v>
      </c>
      <c r="P210">
        <f>IF($E210=0,0,SUMPRODUCT($AI$10:$DF$10,'Staff Daily sales'!$G195:$CD195))</f>
        <v>45</v>
      </c>
      <c r="Q210">
        <f>IF($E210=0,0,SUMPRODUCT($AI$11:$DF$11,'Staff Daily sales'!$G195:$CD195))</f>
        <v>2352.0299999999997</v>
      </c>
      <c r="R210">
        <f>IF($E210=0,0,SUMPRODUCT($AI$12:$DF$12,'Staff Daily sales'!$G195:$CD195))</f>
        <v>21</v>
      </c>
      <c r="S210">
        <f>IF($E210=0,0,SUMPRODUCT($AI$13:$DF$13,'Staff Daily sales'!$G195:$CD195))</f>
        <v>5861.79</v>
      </c>
      <c r="T210">
        <f>IF($E210=0,0,SUMPRODUCT($AI$14:$DF$14,'Staff Daily sales'!$G195:$CD195))</f>
        <v>38</v>
      </c>
      <c r="U210">
        <f>IF($E210=0,0,SUMPRODUCT($AI$15:$DF$15,'Staff Daily sales'!$G195:$CD195))</f>
        <v>539.02</v>
      </c>
      <c r="V210">
        <f>IF($E210=0,0,SUMPRODUCT($AI$16:$DF$16,'Staff Daily sales'!$G195:$CD195))</f>
        <v>7</v>
      </c>
      <c r="W210">
        <f t="shared" si="63"/>
        <v>49486.85</v>
      </c>
      <c r="X210">
        <f t="shared" si="64"/>
        <v>45043.579999999994</v>
      </c>
      <c r="Y210">
        <f t="shared" si="65"/>
        <v>31293.3</v>
      </c>
      <c r="Z210">
        <f t="shared" si="66"/>
        <v>34121.399999999994</v>
      </c>
      <c r="AA210">
        <f t="shared" si="67"/>
        <v>11524.03</v>
      </c>
      <c r="AB210">
        <f>--AND($E210=1,OR('Staff Weekly Trend'!$B$3="All",$DH210='Staff Weekly Trend'!$B$3),OR('Staff Weekly Trend'!$B$4="All",$D210='Staff Weekly Trend'!$B$4),OR('Staff Weekly Trend'!$B$5="All",$A210='Staff Weekly Trend'!$B$5))</f>
        <v>1</v>
      </c>
      <c r="AC210" t="str">
        <f t="shared" si="68"/>
        <v/>
      </c>
      <c r="AI210">
        <f t="shared" si="69"/>
        <v>282</v>
      </c>
      <c r="AJ210">
        <f t="shared" si="70"/>
        <v>272</v>
      </c>
      <c r="AK210">
        <f t="shared" si="71"/>
        <v>215</v>
      </c>
      <c r="AL210">
        <f t="shared" si="72"/>
        <v>192</v>
      </c>
      <c r="AM210">
        <f t="shared" si="73"/>
        <v>60</v>
      </c>
      <c r="DH210" t="str" cm="1">
        <f t="array" ref="DH210">IF($A210="","",_xlfn.LET(_xlpm.c,IFERROR(_xlfn.XLOOKUP($A210,TRIM('Sales and count'!$A$4:$A$300&amp;""),TRIM('Sales and count'!$B$4:$B$300&amp;"")),""),IF(OR(_xlpm.c="",_xlpm.c="0",LEFT(_xlpm.c,1)="#"),"Not set",_xlpm.c)))</f>
        <v>KSA</v>
      </c>
    </row>
    <row r="211" spans="1:112" x14ac:dyDescent="0.25">
      <c r="A211" t="str">
        <f>IF('Staff Daily sales'!$B196="","",TRIM('Staff Daily sales'!$B196&amp;""))</f>
        <v>HASEHSA</v>
      </c>
      <c r="B211" t="str">
        <f>IF('Staff Daily sales'!$D196="","",TRIM('Staff Daily sales'!$D196&amp;""))</f>
        <v>4107-MAlsailek</v>
      </c>
      <c r="C211" t="str">
        <f>IFERROR(TRIM('Staff Daily sales'!$E196&amp;""),"")</f>
        <v>Al Hasa</v>
      </c>
      <c r="D211" t="str">
        <f>IFERROR(IF(TRIM('Staff Daily sales'!$F196&amp;"")="","Unassigned",TRIM('Staff Daily sales'!$F196&amp;"")),"Unassigned")</f>
        <v>Hamzah Al Makhadam</v>
      </c>
      <c r="E211">
        <f t="shared" si="58"/>
        <v>1</v>
      </c>
      <c r="F211">
        <f>IF($E211=0,0,SUMPRODUCT($AI$5:$DF$5,'Staff Daily sales'!$G196:$CD196))</f>
        <v>505.99</v>
      </c>
      <c r="G211">
        <f>IF($E211=0,0,SUMPRODUCT($AI$6:$DF$6,'Staff Daily sales'!$G196:$CD196))</f>
        <v>4</v>
      </c>
      <c r="H211">
        <f t="shared" si="59"/>
        <v>6733.65</v>
      </c>
      <c r="I211">
        <f t="shared" si="60"/>
        <v>39</v>
      </c>
      <c r="J211">
        <f t="shared" si="61"/>
        <v>128104.23999999996</v>
      </c>
      <c r="K211">
        <f t="shared" si="62"/>
        <v>596</v>
      </c>
      <c r="L211">
        <f>--AND($E211=1,OR('Staff Dashboard'!$B$6="All",$DH211='Staff Dashboard'!$B$6),OR('Staff Dashboard'!$B$7="All",$D211='Staff Dashboard'!$B$7),OR('Staff Dashboard'!$B$8="All",$A211='Staff Dashboard'!$B$8))</f>
        <v>0</v>
      </c>
      <c r="M211">
        <f>IF($E211=0,0,SUMPRODUCT($AI$7:$DF$7,'Staff Daily sales'!$G196:$CD196))</f>
        <v>0</v>
      </c>
      <c r="N211">
        <f>IF($E211=0,0,SUMPRODUCT($AI$8:$DF$8,'Staff Daily sales'!$G196:$CD196))</f>
        <v>0</v>
      </c>
      <c r="O211">
        <f>IF($E211=0,0,SUMPRODUCT($AI$9:$DF$9,'Staff Daily sales'!$G196:$CD196))</f>
        <v>0</v>
      </c>
      <c r="P211">
        <f>IF($E211=0,0,SUMPRODUCT($AI$10:$DF$10,'Staff Daily sales'!$G196:$CD196))</f>
        <v>0</v>
      </c>
      <c r="Q211">
        <f>IF($E211=0,0,SUMPRODUCT($AI$11:$DF$11,'Staff Daily sales'!$G196:$CD196))</f>
        <v>5241.05</v>
      </c>
      <c r="R211">
        <f>IF($E211=0,0,SUMPRODUCT($AI$12:$DF$12,'Staff Daily sales'!$G196:$CD196))</f>
        <v>34</v>
      </c>
      <c r="S211">
        <f>IF($E211=0,0,SUMPRODUCT($AI$13:$DF$13,'Staff Daily sales'!$G196:$CD196))</f>
        <v>5672.91</v>
      </c>
      <c r="T211">
        <f>IF($E211=0,0,SUMPRODUCT($AI$14:$DF$14,'Staff Daily sales'!$G196:$CD196))</f>
        <v>39</v>
      </c>
      <c r="U211">
        <f>IF($E211=0,0,SUMPRODUCT($AI$15:$DF$15,'Staff Daily sales'!$G196:$CD196))</f>
        <v>1799.97</v>
      </c>
      <c r="V211">
        <f>IF($E211=0,0,SUMPRODUCT($AI$16:$DF$16,'Staff Daily sales'!$G196:$CD196))</f>
        <v>8</v>
      </c>
      <c r="W211">
        <f t="shared" si="63"/>
        <v>49486.85</v>
      </c>
      <c r="X211">
        <f t="shared" si="64"/>
        <v>45043.579999999994</v>
      </c>
      <c r="Y211">
        <f t="shared" si="65"/>
        <v>31293.3</v>
      </c>
      <c r="Z211">
        <f t="shared" si="66"/>
        <v>34121.399999999994</v>
      </c>
      <c r="AA211">
        <f t="shared" si="67"/>
        <v>11524.03</v>
      </c>
      <c r="AB211">
        <f>--AND($E211=1,OR('Staff Weekly Trend'!$B$3="All",$DH211='Staff Weekly Trend'!$B$3),OR('Staff Weekly Trend'!$B$4="All",$D211='Staff Weekly Trend'!$B$4),OR('Staff Weekly Trend'!$B$5="All",$A211='Staff Weekly Trend'!$B$5))</f>
        <v>1</v>
      </c>
      <c r="AC211">
        <f t="shared" si="68"/>
        <v>4</v>
      </c>
      <c r="AI211">
        <f t="shared" si="69"/>
        <v>282</v>
      </c>
      <c r="AJ211">
        <f t="shared" si="70"/>
        <v>272</v>
      </c>
      <c r="AK211">
        <f t="shared" si="71"/>
        <v>215</v>
      </c>
      <c r="AL211">
        <f t="shared" si="72"/>
        <v>192</v>
      </c>
      <c r="AM211">
        <f t="shared" si="73"/>
        <v>60</v>
      </c>
      <c r="DH211" t="str" cm="1">
        <f t="array" ref="DH211">IF($A211="","",_xlfn.LET(_xlpm.c,IFERROR(_xlfn.XLOOKUP($A211,TRIM('Sales and count'!$A$4:$A$300&amp;""),TRIM('Sales and count'!$B$4:$B$300&amp;"")),""),IF(OR(_xlpm.c="",_xlpm.c="0",LEFT(_xlpm.c,1)="#"),"Not set",_xlpm.c)))</f>
        <v>KSA</v>
      </c>
    </row>
    <row r="212" spans="1:112" x14ac:dyDescent="0.25">
      <c r="A212" t="str">
        <f>IF('Staff Daily sales'!$B197="","",TRIM('Staff Daily sales'!$B197&amp;""))</f>
        <v>HASEHSA</v>
      </c>
      <c r="B212" t="str">
        <f>IF('Staff Daily sales'!$D197="","",TRIM('Staff Daily sales'!$D197&amp;""))</f>
        <v>4109-HAlZahrani</v>
      </c>
      <c r="C212" t="str">
        <f>IFERROR(TRIM('Staff Daily sales'!$E197&amp;""),"")</f>
        <v>Al Hasa</v>
      </c>
      <c r="D212" t="str">
        <f>IFERROR(IF(TRIM('Staff Daily sales'!$F197&amp;"")="","Unassigned",TRIM('Staff Daily sales'!$F197&amp;"")),"Unassigned")</f>
        <v>Hamzah Al Makhadam</v>
      </c>
      <c r="E212">
        <f t="shared" ref="E212:E275" si="74">--AND($A212&lt;&gt;"",$B212&lt;&gt;"")</f>
        <v>1</v>
      </c>
      <c r="F212">
        <f>IF($E212=0,0,SUMPRODUCT($AI$5:$DF$5,'Staff Daily sales'!$G197:$CD197))</f>
        <v>1413.9</v>
      </c>
      <c r="G212">
        <f>IF($E212=0,0,SUMPRODUCT($AI$6:$DF$6,'Staff Daily sales'!$G197:$CD197))</f>
        <v>8</v>
      </c>
      <c r="H212">
        <f t="shared" ref="H212:H275" si="75">IF($E212=0,0,SUMIFS($F$20:$F$1515,$A$20:$A$1515,$A212))</f>
        <v>6733.65</v>
      </c>
      <c r="I212">
        <f t="shared" ref="I212:I275" si="76">IF($E212=0,0,SUMIFS($G$20:$G$1515,$A$20:$A$1515,$A212))</f>
        <v>39</v>
      </c>
      <c r="J212">
        <f t="shared" ref="J212:J275" si="77">IF($E212=0,0,SUMIFS($F$20:$F$1515,$D$20:$D$1515,$D212))</f>
        <v>128104.23999999996</v>
      </c>
      <c r="K212">
        <f t="shared" ref="K212:K275" si="78">IF($E212=0,0,SUMIFS($G$20:$G$1515,$D$20:$D$1515,$D212))</f>
        <v>596</v>
      </c>
      <c r="L212">
        <f>--AND($E212=1,OR('Staff Dashboard'!$B$6="All",$DH212='Staff Dashboard'!$B$6),OR('Staff Dashboard'!$B$7="All",$D212='Staff Dashboard'!$B$7),OR('Staff Dashboard'!$B$8="All",$A212='Staff Dashboard'!$B$8))</f>
        <v>0</v>
      </c>
      <c r="M212">
        <f>IF($E212=0,0,SUMPRODUCT($AI$7:$DF$7,'Staff Daily sales'!$G197:$CD197))</f>
        <v>6191.16</v>
      </c>
      <c r="N212">
        <f>IF($E212=0,0,SUMPRODUCT($AI$8:$DF$8,'Staff Daily sales'!$G197:$CD197))</f>
        <v>43</v>
      </c>
      <c r="O212">
        <f>IF($E212=0,0,SUMPRODUCT($AI$9:$DF$9,'Staff Daily sales'!$G197:$CD197))</f>
        <v>7442.1299999999992</v>
      </c>
      <c r="P212">
        <f>IF($E212=0,0,SUMPRODUCT($AI$10:$DF$10,'Staff Daily sales'!$G197:$CD197))</f>
        <v>50</v>
      </c>
      <c r="Q212">
        <f>IF($E212=0,0,SUMPRODUCT($AI$11:$DF$11,'Staff Daily sales'!$G197:$CD197))</f>
        <v>6004.09</v>
      </c>
      <c r="R212">
        <f>IF($E212=0,0,SUMPRODUCT($AI$12:$DF$12,'Staff Daily sales'!$G197:$CD197))</f>
        <v>40</v>
      </c>
      <c r="S212">
        <f>IF($E212=0,0,SUMPRODUCT($AI$13:$DF$13,'Staff Daily sales'!$G197:$CD197))</f>
        <v>7114.85</v>
      </c>
      <c r="T212">
        <f>IF($E212=0,0,SUMPRODUCT($AI$14:$DF$14,'Staff Daily sales'!$G197:$CD197))</f>
        <v>31</v>
      </c>
      <c r="U212">
        <f>IF($E212=0,0,SUMPRODUCT($AI$15:$DF$15,'Staff Daily sales'!$G197:$CD197))</f>
        <v>3635.95</v>
      </c>
      <c r="V212">
        <f>IF($E212=0,0,SUMPRODUCT($AI$16:$DF$16,'Staff Daily sales'!$G197:$CD197))</f>
        <v>19</v>
      </c>
      <c r="W212">
        <f t="shared" ref="W212:W275" si="79">IF($E212=0,0,SUMIFS(M$20:M$1515,$A$20:$A$1515,$A212))</f>
        <v>49486.85</v>
      </c>
      <c r="X212">
        <f t="shared" ref="X212:X275" si="80">IF($E212=0,0,SUMIFS(O$20:O$1515,$A$20:$A$1515,$A212))</f>
        <v>45043.579999999994</v>
      </c>
      <c r="Y212">
        <f t="shared" ref="Y212:Y275" si="81">IF($E212=0,0,SUMIFS(Q$20:Q$1515,$A$20:$A$1515,$A212))</f>
        <v>31293.3</v>
      </c>
      <c r="Z212">
        <f t="shared" ref="Z212:Z275" si="82">IF($E212=0,0,SUMIFS(S$20:S$1515,$A$20:$A$1515,$A212))</f>
        <v>34121.399999999994</v>
      </c>
      <c r="AA212">
        <f t="shared" ref="AA212:AA275" si="83">IF($E212=0,0,SUMIFS(U$20:U$1515,$A$20:$A$1515,$A212))</f>
        <v>11524.03</v>
      </c>
      <c r="AB212">
        <f>--AND($E212=1,OR('Staff Weekly Trend'!$B$3="All",$DH212='Staff Weekly Trend'!$B$3),OR('Staff Weekly Trend'!$B$4="All",$D212='Staff Weekly Trend'!$B$4),OR('Staff Weekly Trend'!$B$5="All",$A212='Staff Weekly Trend'!$B$5))</f>
        <v>1</v>
      </c>
      <c r="AC212">
        <f t="shared" ref="AC212:AC275" si="84">IF(OR($E212=0,AND($F212=0,$G212=0)),"",COUNTIFS($A$20:$A$1515,$A212,$E$20:$E$1515,1,$F$20:$F$1515,"&gt;"&amp;$F212)+1)</f>
        <v>3</v>
      </c>
      <c r="AI212">
        <f t="shared" ref="AI212:AI275" si="85">IF($E212=0,0,SUMIFS(N$20:N$1515,$A$20:$A$1515,$A212))</f>
        <v>282</v>
      </c>
      <c r="AJ212">
        <f t="shared" ref="AJ212:AJ275" si="86">IF($E212=0,0,SUMIFS(P$20:P$1515,$A$20:$A$1515,$A212))</f>
        <v>272</v>
      </c>
      <c r="AK212">
        <f t="shared" ref="AK212:AK275" si="87">IF($E212=0,0,SUMIFS(R$20:R$1515,$A$20:$A$1515,$A212))</f>
        <v>215</v>
      </c>
      <c r="AL212">
        <f t="shared" ref="AL212:AL275" si="88">IF($E212=0,0,SUMIFS(T$20:T$1515,$A$20:$A$1515,$A212))</f>
        <v>192</v>
      </c>
      <c r="AM212">
        <f t="shared" ref="AM212:AM275" si="89">IF($E212=0,0,SUMIFS(V$20:V$1515,$A$20:$A$1515,$A212))</f>
        <v>60</v>
      </c>
      <c r="DH212" t="str" cm="1">
        <f t="array" ref="DH212">IF($A212="","",_xlfn.LET(_xlpm.c,IFERROR(_xlfn.XLOOKUP($A212,TRIM('Sales and count'!$A$4:$A$300&amp;""),TRIM('Sales and count'!$B$4:$B$300&amp;"")),""),IF(OR(_xlpm.c="",_xlpm.c="0",LEFT(_xlpm.c,1)="#"),"Not set",_xlpm.c)))</f>
        <v>KSA</v>
      </c>
    </row>
    <row r="213" spans="1:112" x14ac:dyDescent="0.25">
      <c r="A213" t="str">
        <f>IF('Staff Daily sales'!$B198="","",TRIM('Staff Daily sales'!$B198&amp;""))</f>
        <v>HASEHSA</v>
      </c>
      <c r="B213" t="str">
        <f>IF('Staff Daily sales'!$D198="","",TRIM('Staff Daily sales'!$D198&amp;""))</f>
        <v>4117-TAlamer</v>
      </c>
      <c r="C213" t="str">
        <f>IFERROR(TRIM('Staff Daily sales'!$E198&amp;""),"")</f>
        <v>Al Hasa</v>
      </c>
      <c r="D213" t="str">
        <f>IFERROR(IF(TRIM('Staff Daily sales'!$F198&amp;"")="","Unassigned",TRIM('Staff Daily sales'!$F198&amp;"")),"Unassigned")</f>
        <v>Hamzah Al Makhadam</v>
      </c>
      <c r="E213">
        <f t="shared" si="74"/>
        <v>1</v>
      </c>
      <c r="F213">
        <f>IF($E213=0,0,SUMPRODUCT($AI$5:$DF$5,'Staff Daily sales'!$G198:$CD198))</f>
        <v>0</v>
      </c>
      <c r="G213">
        <f>IF($E213=0,0,SUMPRODUCT($AI$6:$DF$6,'Staff Daily sales'!$G198:$CD198))</f>
        <v>0</v>
      </c>
      <c r="H213">
        <f t="shared" si="75"/>
        <v>6733.65</v>
      </c>
      <c r="I213">
        <f t="shared" si="76"/>
        <v>39</v>
      </c>
      <c r="J213">
        <f t="shared" si="77"/>
        <v>128104.23999999996</v>
      </c>
      <c r="K213">
        <f t="shared" si="78"/>
        <v>596</v>
      </c>
      <c r="L213">
        <f>--AND($E213=1,OR('Staff Dashboard'!$B$6="All",$DH213='Staff Dashboard'!$B$6),OR('Staff Dashboard'!$B$7="All",$D213='Staff Dashboard'!$B$7),OR('Staff Dashboard'!$B$8="All",$A213='Staff Dashboard'!$B$8))</f>
        <v>0</v>
      </c>
      <c r="M213">
        <f>IF($E213=0,0,SUMPRODUCT($AI$7:$DF$7,'Staff Daily sales'!$G198:$CD198))</f>
        <v>0</v>
      </c>
      <c r="N213">
        <f>IF($E213=0,0,SUMPRODUCT($AI$8:$DF$8,'Staff Daily sales'!$G198:$CD198))</f>
        <v>0</v>
      </c>
      <c r="O213">
        <f>IF($E213=0,0,SUMPRODUCT($AI$9:$DF$9,'Staff Daily sales'!$G198:$CD198))</f>
        <v>0</v>
      </c>
      <c r="P213">
        <f>IF($E213=0,0,SUMPRODUCT($AI$10:$DF$10,'Staff Daily sales'!$G198:$CD198))</f>
        <v>0</v>
      </c>
      <c r="Q213">
        <f>IF($E213=0,0,SUMPRODUCT($AI$11:$DF$11,'Staff Daily sales'!$G198:$CD198))</f>
        <v>1789.01</v>
      </c>
      <c r="R213">
        <f>IF($E213=0,0,SUMPRODUCT($AI$12:$DF$12,'Staff Daily sales'!$G198:$CD198))</f>
        <v>14</v>
      </c>
      <c r="S213">
        <f>IF($E213=0,0,SUMPRODUCT($AI$13:$DF$13,'Staff Daily sales'!$G198:$CD198))</f>
        <v>1010.01</v>
      </c>
      <c r="T213">
        <f>IF($E213=0,0,SUMPRODUCT($AI$14:$DF$14,'Staff Daily sales'!$G198:$CD198))</f>
        <v>8</v>
      </c>
      <c r="U213">
        <f>IF($E213=0,0,SUMPRODUCT($AI$15:$DF$15,'Staff Daily sales'!$G198:$CD198))</f>
        <v>0</v>
      </c>
      <c r="V213">
        <f>IF($E213=0,0,SUMPRODUCT($AI$16:$DF$16,'Staff Daily sales'!$G198:$CD198))</f>
        <v>0</v>
      </c>
      <c r="W213">
        <f t="shared" si="79"/>
        <v>49486.85</v>
      </c>
      <c r="X213">
        <f t="shared" si="80"/>
        <v>45043.579999999994</v>
      </c>
      <c r="Y213">
        <f t="shared" si="81"/>
        <v>31293.3</v>
      </c>
      <c r="Z213">
        <f t="shared" si="82"/>
        <v>34121.399999999994</v>
      </c>
      <c r="AA213">
        <f t="shared" si="83"/>
        <v>11524.03</v>
      </c>
      <c r="AB213">
        <f>--AND($E213=1,OR('Staff Weekly Trend'!$B$3="All",$DH213='Staff Weekly Trend'!$B$3),OR('Staff Weekly Trend'!$B$4="All",$D213='Staff Weekly Trend'!$B$4),OR('Staff Weekly Trend'!$B$5="All",$A213='Staff Weekly Trend'!$B$5))</f>
        <v>1</v>
      </c>
      <c r="AC213" t="str">
        <f t="shared" si="84"/>
        <v/>
      </c>
      <c r="AI213">
        <f t="shared" si="85"/>
        <v>282</v>
      </c>
      <c r="AJ213">
        <f t="shared" si="86"/>
        <v>272</v>
      </c>
      <c r="AK213">
        <f t="shared" si="87"/>
        <v>215</v>
      </c>
      <c r="AL213">
        <f t="shared" si="88"/>
        <v>192</v>
      </c>
      <c r="AM213">
        <f t="shared" si="89"/>
        <v>60</v>
      </c>
      <c r="DH213" t="str" cm="1">
        <f t="array" ref="DH213">IF($A213="","",_xlfn.LET(_xlpm.c,IFERROR(_xlfn.XLOOKUP($A213,TRIM('Sales and count'!$A$4:$A$300&amp;""),TRIM('Sales and count'!$B$4:$B$300&amp;"")),""),IF(OR(_xlpm.c="",_xlpm.c="0",LEFT(_xlpm.c,1)="#"),"Not set",_xlpm.c)))</f>
        <v>KSA</v>
      </c>
    </row>
    <row r="214" spans="1:112" x14ac:dyDescent="0.25">
      <c r="A214" t="str">
        <f>IF('Staff Daily sales'!$B199="","",TRIM('Staff Daily sales'!$B199&amp;""))</f>
        <v>HASEHSA</v>
      </c>
      <c r="B214" t="str">
        <f>IF('Staff Daily sales'!$D199="","",TRIM('Staff Daily sales'!$D199&amp;""))</f>
        <v>4125-FAlIbrahim</v>
      </c>
      <c r="C214" t="str">
        <f>IFERROR(TRIM('Staff Daily sales'!$E199&amp;""),"")</f>
        <v>Al Hasa</v>
      </c>
      <c r="D214" t="str">
        <f>IFERROR(IF(TRIM('Staff Daily sales'!$F199&amp;"")="","Unassigned",TRIM('Staff Daily sales'!$F199&amp;"")),"Unassigned")</f>
        <v>Hamzah Al Makhadam</v>
      </c>
      <c r="E214">
        <f t="shared" si="74"/>
        <v>1</v>
      </c>
      <c r="F214">
        <f>IF($E214=0,0,SUMPRODUCT($AI$5:$DF$5,'Staff Daily sales'!$G199:$CD199))</f>
        <v>0</v>
      </c>
      <c r="G214">
        <f>IF($E214=0,0,SUMPRODUCT($AI$6:$DF$6,'Staff Daily sales'!$G199:$CD199))</f>
        <v>0</v>
      </c>
      <c r="H214">
        <f t="shared" si="75"/>
        <v>6733.65</v>
      </c>
      <c r="I214">
        <f t="shared" si="76"/>
        <v>39</v>
      </c>
      <c r="J214">
        <f t="shared" si="77"/>
        <v>128104.23999999996</v>
      </c>
      <c r="K214">
        <f t="shared" si="78"/>
        <v>596</v>
      </c>
      <c r="L214">
        <f>--AND($E214=1,OR('Staff Dashboard'!$B$6="All",$DH214='Staff Dashboard'!$B$6),OR('Staff Dashboard'!$B$7="All",$D214='Staff Dashboard'!$B$7),OR('Staff Dashboard'!$B$8="All",$A214='Staff Dashboard'!$B$8))</f>
        <v>0</v>
      </c>
      <c r="M214">
        <f>IF($E214=0,0,SUMPRODUCT($AI$7:$DF$7,'Staff Daily sales'!$G199:$CD199))</f>
        <v>10599.140000000001</v>
      </c>
      <c r="N214">
        <f>IF($E214=0,0,SUMPRODUCT($AI$8:$DF$8,'Staff Daily sales'!$G199:$CD199))</f>
        <v>53</v>
      </c>
      <c r="O214">
        <f>IF($E214=0,0,SUMPRODUCT($AI$9:$DF$9,'Staff Daily sales'!$G199:$CD199))</f>
        <v>8609.07</v>
      </c>
      <c r="P214">
        <f>IF($E214=0,0,SUMPRODUCT($AI$10:$DF$10,'Staff Daily sales'!$G199:$CD199))</f>
        <v>57</v>
      </c>
      <c r="Q214">
        <f>IF($E214=0,0,SUMPRODUCT($AI$11:$DF$11,'Staff Daily sales'!$G199:$CD199))</f>
        <v>4864.0200000000004</v>
      </c>
      <c r="R214">
        <f>IF($E214=0,0,SUMPRODUCT($AI$12:$DF$12,'Staff Daily sales'!$G199:$CD199))</f>
        <v>32</v>
      </c>
      <c r="S214">
        <f>IF($E214=0,0,SUMPRODUCT($AI$13:$DF$13,'Staff Daily sales'!$G199:$CD199))</f>
        <v>7278.05</v>
      </c>
      <c r="T214">
        <f>IF($E214=0,0,SUMPRODUCT($AI$14:$DF$14,'Staff Daily sales'!$G199:$CD199))</f>
        <v>35</v>
      </c>
      <c r="U214">
        <f>IF($E214=0,0,SUMPRODUCT($AI$15:$DF$15,'Staff Daily sales'!$G199:$CD199))</f>
        <v>0</v>
      </c>
      <c r="V214">
        <f>IF($E214=0,0,SUMPRODUCT($AI$16:$DF$16,'Staff Daily sales'!$G199:$CD199))</f>
        <v>0</v>
      </c>
      <c r="W214">
        <f t="shared" si="79"/>
        <v>49486.85</v>
      </c>
      <c r="X214">
        <f t="shared" si="80"/>
        <v>45043.579999999994</v>
      </c>
      <c r="Y214">
        <f t="shared" si="81"/>
        <v>31293.3</v>
      </c>
      <c r="Z214">
        <f t="shared" si="82"/>
        <v>34121.399999999994</v>
      </c>
      <c r="AA214">
        <f t="shared" si="83"/>
        <v>11524.03</v>
      </c>
      <c r="AB214">
        <f>--AND($E214=1,OR('Staff Weekly Trend'!$B$3="All",$DH214='Staff Weekly Trend'!$B$3),OR('Staff Weekly Trend'!$B$4="All",$D214='Staff Weekly Trend'!$B$4),OR('Staff Weekly Trend'!$B$5="All",$A214='Staff Weekly Trend'!$B$5))</f>
        <v>1</v>
      </c>
      <c r="AC214" t="str">
        <f t="shared" si="84"/>
        <v/>
      </c>
      <c r="AI214">
        <f t="shared" si="85"/>
        <v>282</v>
      </c>
      <c r="AJ214">
        <f t="shared" si="86"/>
        <v>272</v>
      </c>
      <c r="AK214">
        <f t="shared" si="87"/>
        <v>215</v>
      </c>
      <c r="AL214">
        <f t="shared" si="88"/>
        <v>192</v>
      </c>
      <c r="AM214">
        <f t="shared" si="89"/>
        <v>60</v>
      </c>
      <c r="DH214" t="str" cm="1">
        <f t="array" ref="DH214">IF($A214="","",_xlfn.LET(_xlpm.c,IFERROR(_xlfn.XLOOKUP($A214,TRIM('Sales and count'!$A$4:$A$300&amp;""),TRIM('Sales and count'!$B$4:$B$300&amp;"")),""),IF(OR(_xlpm.c="",_xlpm.c="0",LEFT(_xlpm.c,1)="#"),"Not set",_xlpm.c)))</f>
        <v>KSA</v>
      </c>
    </row>
    <row r="215" spans="1:112" x14ac:dyDescent="0.25">
      <c r="A215" t="str">
        <f>IF('Staff Daily sales'!$B200="","",TRIM('Staff Daily sales'!$B200&amp;""))</f>
        <v>HATAIFJRY</v>
      </c>
      <c r="B215" t="str">
        <f>IF('Staff Daily sales'!$D200="","",TRIM('Staff Daily sales'!$D200&amp;""))</f>
        <v>3542-MAlShehri</v>
      </c>
      <c r="C215" t="str">
        <f>IFERROR(TRIM('Staff Daily sales'!$E200&amp;""),"")</f>
        <v>Taif</v>
      </c>
      <c r="D215" t="str">
        <f>IFERROR(IF(TRIM('Staff Daily sales'!$F200&amp;"")="","Unassigned",TRIM('Staff Daily sales'!$F200&amp;"")),"Unassigned")</f>
        <v>Saleh Bin Hoiel</v>
      </c>
      <c r="E215">
        <f t="shared" si="74"/>
        <v>1</v>
      </c>
      <c r="F215">
        <f>IF($E215=0,0,SUMPRODUCT($AI$5:$DF$5,'Staff Daily sales'!$G200:$CD200))</f>
        <v>494.97</v>
      </c>
      <c r="G215">
        <f>IF($E215=0,0,SUMPRODUCT($AI$6:$DF$6,'Staff Daily sales'!$G200:$CD200))</f>
        <v>6</v>
      </c>
      <c r="H215">
        <f t="shared" si="75"/>
        <v>3271.79</v>
      </c>
      <c r="I215">
        <f t="shared" si="76"/>
        <v>28</v>
      </c>
      <c r="J215">
        <f t="shared" si="77"/>
        <v>69638.36</v>
      </c>
      <c r="K215">
        <f t="shared" si="78"/>
        <v>362</v>
      </c>
      <c r="L215">
        <f>--AND($E215=1,OR('Staff Dashboard'!$B$6="All",$DH215='Staff Dashboard'!$B$6),OR('Staff Dashboard'!$B$7="All",$D215='Staff Dashboard'!$B$7),OR('Staff Dashboard'!$B$8="All",$A215='Staff Dashboard'!$B$8))</f>
        <v>0</v>
      </c>
      <c r="M215">
        <f>IF($E215=0,0,SUMPRODUCT($AI$7:$DF$7,'Staff Daily sales'!$G200:$CD200))</f>
        <v>3826.04</v>
      </c>
      <c r="N215">
        <f>IF($E215=0,0,SUMPRODUCT($AI$8:$DF$8,'Staff Daily sales'!$G200:$CD200))</f>
        <v>22</v>
      </c>
      <c r="O215">
        <f>IF($E215=0,0,SUMPRODUCT($AI$9:$DF$9,'Staff Daily sales'!$G200:$CD200))</f>
        <v>3706.0700000000006</v>
      </c>
      <c r="P215">
        <f>IF($E215=0,0,SUMPRODUCT($AI$10:$DF$10,'Staff Daily sales'!$G200:$CD200))</f>
        <v>28</v>
      </c>
      <c r="Q215">
        <f>IF($E215=0,0,SUMPRODUCT($AI$11:$DF$11,'Staff Daily sales'!$G200:$CD200))</f>
        <v>1842.02</v>
      </c>
      <c r="R215">
        <f>IF($E215=0,0,SUMPRODUCT($AI$12:$DF$12,'Staff Daily sales'!$G200:$CD200))</f>
        <v>18</v>
      </c>
      <c r="S215">
        <f>IF($E215=0,0,SUMPRODUCT($AI$13:$DF$13,'Staff Daily sales'!$G200:$CD200))</f>
        <v>2517</v>
      </c>
      <c r="T215">
        <f>IF($E215=0,0,SUMPRODUCT($AI$14:$DF$14,'Staff Daily sales'!$G200:$CD200))</f>
        <v>21</v>
      </c>
      <c r="U215">
        <f>IF($E215=0,0,SUMPRODUCT($AI$15:$DF$15,'Staff Daily sales'!$G200:$CD200))</f>
        <v>1976.1</v>
      </c>
      <c r="V215">
        <f>IF($E215=0,0,SUMPRODUCT($AI$16:$DF$16,'Staff Daily sales'!$G200:$CD200))</f>
        <v>7</v>
      </c>
      <c r="W215">
        <f t="shared" si="79"/>
        <v>21836.440000000002</v>
      </c>
      <c r="X215">
        <f t="shared" si="80"/>
        <v>21437.359999999997</v>
      </c>
      <c r="Y215">
        <f t="shared" si="81"/>
        <v>24221.29</v>
      </c>
      <c r="Z215">
        <f t="shared" si="82"/>
        <v>22481.47</v>
      </c>
      <c r="AA215">
        <f t="shared" si="83"/>
        <v>6540.1399999999994</v>
      </c>
      <c r="AB215">
        <f>--AND($E215=1,OR('Staff Weekly Trend'!$B$3="All",$DH215='Staff Weekly Trend'!$B$3),OR('Staff Weekly Trend'!$B$4="All",$D215='Staff Weekly Trend'!$B$4),OR('Staff Weekly Trend'!$B$5="All",$A215='Staff Weekly Trend'!$B$5))</f>
        <v>1</v>
      </c>
      <c r="AC215">
        <f t="shared" si="84"/>
        <v>5</v>
      </c>
      <c r="AI215">
        <f t="shared" si="85"/>
        <v>213</v>
      </c>
      <c r="AJ215">
        <f t="shared" si="86"/>
        <v>178</v>
      </c>
      <c r="AK215">
        <f t="shared" si="87"/>
        <v>186</v>
      </c>
      <c r="AL215">
        <f t="shared" si="88"/>
        <v>187</v>
      </c>
      <c r="AM215">
        <f t="shared" si="89"/>
        <v>36</v>
      </c>
      <c r="DH215" t="str" cm="1">
        <f t="array" ref="DH215">IF($A215="","",_xlfn.LET(_xlpm.c,IFERROR(_xlfn.XLOOKUP($A215,TRIM('Sales and count'!$A$4:$A$300&amp;""),TRIM('Sales and count'!$B$4:$B$300&amp;"")),""),IF(OR(_xlpm.c="",_xlpm.c="0",LEFT(_xlpm.c,1)="#"),"Not set",_xlpm.c)))</f>
        <v>KSA</v>
      </c>
    </row>
    <row r="216" spans="1:112" x14ac:dyDescent="0.25">
      <c r="A216" t="str">
        <f>IF('Staff Daily sales'!$B201="","",TRIM('Staff Daily sales'!$B201&amp;""))</f>
        <v>HATAIFJRY</v>
      </c>
      <c r="B216" t="str">
        <f>IF('Staff Daily sales'!$D201="","",TRIM('Staff Daily sales'!$D201&amp;""))</f>
        <v>3588-RAassimi</v>
      </c>
      <c r="C216" t="str">
        <f>IFERROR(TRIM('Staff Daily sales'!$E201&amp;""),"")</f>
        <v>Taif</v>
      </c>
      <c r="D216" t="str">
        <f>IFERROR(IF(TRIM('Staff Daily sales'!$F201&amp;"")="","Unassigned",TRIM('Staff Daily sales'!$F201&amp;"")),"Unassigned")</f>
        <v>Saleh Bin Hoiel</v>
      </c>
      <c r="E216">
        <f t="shared" si="74"/>
        <v>1</v>
      </c>
      <c r="F216">
        <f>IF($E216=0,0,SUMPRODUCT($AI$5:$DF$5,'Staff Daily sales'!$G201:$CD201))</f>
        <v>799.94</v>
      </c>
      <c r="G216">
        <f>IF($E216=0,0,SUMPRODUCT($AI$6:$DF$6,'Staff Daily sales'!$G201:$CD201))</f>
        <v>8</v>
      </c>
      <c r="H216">
        <f t="shared" si="75"/>
        <v>3271.79</v>
      </c>
      <c r="I216">
        <f t="shared" si="76"/>
        <v>28</v>
      </c>
      <c r="J216">
        <f t="shared" si="77"/>
        <v>69638.36</v>
      </c>
      <c r="K216">
        <f t="shared" si="78"/>
        <v>362</v>
      </c>
      <c r="L216">
        <f>--AND($E216=1,OR('Staff Dashboard'!$B$6="All",$DH216='Staff Dashboard'!$B$6),OR('Staff Dashboard'!$B$7="All",$D216='Staff Dashboard'!$B$7),OR('Staff Dashboard'!$B$8="All",$A216='Staff Dashboard'!$B$8))</f>
        <v>0</v>
      </c>
      <c r="M216">
        <f>IF($E216=0,0,SUMPRODUCT($AI$7:$DF$7,'Staff Daily sales'!$G201:$CD201))</f>
        <v>0</v>
      </c>
      <c r="N216">
        <f>IF($E216=0,0,SUMPRODUCT($AI$8:$DF$8,'Staff Daily sales'!$G201:$CD201))</f>
        <v>0</v>
      </c>
      <c r="O216">
        <f>IF($E216=0,0,SUMPRODUCT($AI$9:$DF$9,'Staff Daily sales'!$G201:$CD201))</f>
        <v>5980.08</v>
      </c>
      <c r="P216">
        <f>IF($E216=0,0,SUMPRODUCT($AI$10:$DF$10,'Staff Daily sales'!$G201:$CD201))</f>
        <v>51</v>
      </c>
      <c r="Q216">
        <f>IF($E216=0,0,SUMPRODUCT($AI$11:$DF$11,'Staff Daily sales'!$G201:$CD201))</f>
        <v>6018.0599999999995</v>
      </c>
      <c r="R216">
        <f>IF($E216=0,0,SUMPRODUCT($AI$12:$DF$12,'Staff Daily sales'!$G201:$CD201))</f>
        <v>48</v>
      </c>
      <c r="S216">
        <f>IF($E216=0,0,SUMPRODUCT($AI$13:$DF$13,'Staff Daily sales'!$G201:$CD201))</f>
        <v>1963.88</v>
      </c>
      <c r="T216">
        <f>IF($E216=0,0,SUMPRODUCT($AI$14:$DF$14,'Staff Daily sales'!$G201:$CD201))</f>
        <v>19</v>
      </c>
      <c r="U216">
        <f>IF($E216=0,0,SUMPRODUCT($AI$15:$DF$15,'Staff Daily sales'!$G201:$CD201))</f>
        <v>1816.11</v>
      </c>
      <c r="V216">
        <f>IF($E216=0,0,SUMPRODUCT($AI$16:$DF$16,'Staff Daily sales'!$G201:$CD201))</f>
        <v>10</v>
      </c>
      <c r="W216">
        <f t="shared" si="79"/>
        <v>21836.440000000002</v>
      </c>
      <c r="X216">
        <f t="shared" si="80"/>
        <v>21437.359999999997</v>
      </c>
      <c r="Y216">
        <f t="shared" si="81"/>
        <v>24221.29</v>
      </c>
      <c r="Z216">
        <f t="shared" si="82"/>
        <v>22481.47</v>
      </c>
      <c r="AA216">
        <f t="shared" si="83"/>
        <v>6540.1399999999994</v>
      </c>
      <c r="AB216">
        <f>--AND($E216=1,OR('Staff Weekly Trend'!$B$3="All",$DH216='Staff Weekly Trend'!$B$3),OR('Staff Weekly Trend'!$B$4="All",$D216='Staff Weekly Trend'!$B$4),OR('Staff Weekly Trend'!$B$5="All",$A216='Staff Weekly Trend'!$B$5))</f>
        <v>1</v>
      </c>
      <c r="AC216">
        <f t="shared" si="84"/>
        <v>2</v>
      </c>
      <c r="AI216">
        <f t="shared" si="85"/>
        <v>213</v>
      </c>
      <c r="AJ216">
        <f t="shared" si="86"/>
        <v>178</v>
      </c>
      <c r="AK216">
        <f t="shared" si="87"/>
        <v>186</v>
      </c>
      <c r="AL216">
        <f t="shared" si="88"/>
        <v>187</v>
      </c>
      <c r="AM216">
        <f t="shared" si="89"/>
        <v>36</v>
      </c>
      <c r="DH216" t="str" cm="1">
        <f t="array" ref="DH216">IF($A216="","",_xlfn.LET(_xlpm.c,IFERROR(_xlfn.XLOOKUP($A216,TRIM('Sales and count'!$A$4:$A$300&amp;""),TRIM('Sales and count'!$B$4:$B$300&amp;"")),""),IF(OR(_xlpm.c="",_xlpm.c="0",LEFT(_xlpm.c,1)="#"),"Not set",_xlpm.c)))</f>
        <v>KSA</v>
      </c>
    </row>
    <row r="217" spans="1:112" x14ac:dyDescent="0.25">
      <c r="A217" t="str">
        <f>IF('Staff Daily sales'!$B202="","",TRIM('Staff Daily sales'!$B202&amp;""))</f>
        <v>HATAIFJRY</v>
      </c>
      <c r="B217" t="str">
        <f>IF('Staff Daily sales'!$D202="","",TRIM('Staff Daily sales'!$D202&amp;""))</f>
        <v>4534-Hana</v>
      </c>
      <c r="C217" t="str">
        <f>IFERROR(TRIM('Staff Daily sales'!$E202&amp;""),"")</f>
        <v>Taif</v>
      </c>
      <c r="D217" t="str">
        <f>IFERROR(IF(TRIM('Staff Daily sales'!$F202&amp;"")="","Unassigned",TRIM('Staff Daily sales'!$F202&amp;"")),"Unassigned")</f>
        <v>Saleh Bin Hoiel</v>
      </c>
      <c r="E217">
        <f t="shared" si="74"/>
        <v>1</v>
      </c>
      <c r="F217">
        <f>IF($E217=0,0,SUMPRODUCT($AI$5:$DF$5,'Staff Daily sales'!$G202:$CD202))</f>
        <v>867.96</v>
      </c>
      <c r="G217">
        <f>IF($E217=0,0,SUMPRODUCT($AI$6:$DF$6,'Staff Daily sales'!$G202:$CD202))</f>
        <v>7</v>
      </c>
      <c r="H217">
        <f t="shared" si="75"/>
        <v>3271.79</v>
      </c>
      <c r="I217">
        <f t="shared" si="76"/>
        <v>28</v>
      </c>
      <c r="J217">
        <f t="shared" si="77"/>
        <v>69638.36</v>
      </c>
      <c r="K217">
        <f t="shared" si="78"/>
        <v>362</v>
      </c>
      <c r="L217">
        <f>--AND($E217=1,OR('Staff Dashboard'!$B$6="All",$DH217='Staff Dashboard'!$B$6),OR('Staff Dashboard'!$B$7="All",$D217='Staff Dashboard'!$B$7),OR('Staff Dashboard'!$B$8="All",$A217='Staff Dashboard'!$B$8))</f>
        <v>0</v>
      </c>
      <c r="M217">
        <f>IF($E217=0,0,SUMPRODUCT($AI$7:$DF$7,'Staff Daily sales'!$G202:$CD202))</f>
        <v>10711.220000000001</v>
      </c>
      <c r="N217">
        <f>IF($E217=0,0,SUMPRODUCT($AI$8:$DF$8,'Staff Daily sales'!$G202:$CD202))</f>
        <v>118</v>
      </c>
      <c r="O217">
        <f>IF($E217=0,0,SUMPRODUCT($AI$9:$DF$9,'Staff Daily sales'!$G202:$CD202))</f>
        <v>10649.199999999999</v>
      </c>
      <c r="P217">
        <f>IF($E217=0,0,SUMPRODUCT($AI$10:$DF$10,'Staff Daily sales'!$G202:$CD202))</f>
        <v>87</v>
      </c>
      <c r="Q217">
        <f>IF($E217=0,0,SUMPRODUCT($AI$11:$DF$11,'Staff Daily sales'!$G202:$CD202))</f>
        <v>5918.08</v>
      </c>
      <c r="R217">
        <f>IF($E217=0,0,SUMPRODUCT($AI$12:$DF$12,'Staff Daily sales'!$G202:$CD202))</f>
        <v>39</v>
      </c>
      <c r="S217">
        <f>IF($E217=0,0,SUMPRODUCT($AI$13:$DF$13,'Staff Daily sales'!$G202:$CD202))</f>
        <v>2771.8900000000003</v>
      </c>
      <c r="T217">
        <f>IF($E217=0,0,SUMPRODUCT($AI$14:$DF$14,'Staff Daily sales'!$G202:$CD202))</f>
        <v>24</v>
      </c>
      <c r="U217">
        <f>IF($E217=0,0,SUMPRODUCT($AI$15:$DF$15,'Staff Daily sales'!$G202:$CD202))</f>
        <v>876.97</v>
      </c>
      <c r="V217">
        <f>IF($E217=0,0,SUMPRODUCT($AI$16:$DF$16,'Staff Daily sales'!$G202:$CD202))</f>
        <v>5</v>
      </c>
      <c r="W217">
        <f t="shared" si="79"/>
        <v>21836.440000000002</v>
      </c>
      <c r="X217">
        <f t="shared" si="80"/>
        <v>21437.359999999997</v>
      </c>
      <c r="Y217">
        <f t="shared" si="81"/>
        <v>24221.29</v>
      </c>
      <c r="Z217">
        <f t="shared" si="82"/>
        <v>22481.47</v>
      </c>
      <c r="AA217">
        <f t="shared" si="83"/>
        <v>6540.1399999999994</v>
      </c>
      <c r="AB217">
        <f>--AND($E217=1,OR('Staff Weekly Trend'!$B$3="All",$DH217='Staff Weekly Trend'!$B$3),OR('Staff Weekly Trend'!$B$4="All",$D217='Staff Weekly Trend'!$B$4),OR('Staff Weekly Trend'!$B$5="All",$A217='Staff Weekly Trend'!$B$5))</f>
        <v>1</v>
      </c>
      <c r="AC217">
        <f t="shared" si="84"/>
        <v>1</v>
      </c>
      <c r="AI217">
        <f t="shared" si="85"/>
        <v>213</v>
      </c>
      <c r="AJ217">
        <f t="shared" si="86"/>
        <v>178</v>
      </c>
      <c r="AK217">
        <f t="shared" si="87"/>
        <v>186</v>
      </c>
      <c r="AL217">
        <f t="shared" si="88"/>
        <v>187</v>
      </c>
      <c r="AM217">
        <f t="shared" si="89"/>
        <v>36</v>
      </c>
      <c r="DH217" t="str" cm="1">
        <f t="array" ref="DH217">IF($A217="","",_xlfn.LET(_xlpm.c,IFERROR(_xlfn.XLOOKUP($A217,TRIM('Sales and count'!$A$4:$A$300&amp;""),TRIM('Sales and count'!$B$4:$B$300&amp;"")),""),IF(OR(_xlpm.c="",_xlpm.c="0",LEFT(_xlpm.c,1)="#"),"Not set",_xlpm.c)))</f>
        <v>KSA</v>
      </c>
    </row>
    <row r="218" spans="1:112" x14ac:dyDescent="0.25">
      <c r="A218" t="str">
        <f>IF('Staff Daily sales'!$B203="","",TRIM('Staff Daily sales'!$B203&amp;""))</f>
        <v>HATAIFJRY</v>
      </c>
      <c r="B218" t="str">
        <f>IF('Staff Daily sales'!$D203="","",TRIM('Staff Daily sales'!$D203&amp;""))</f>
        <v>5415-KAlTalhi</v>
      </c>
      <c r="C218" t="str">
        <f>IFERROR(TRIM('Staff Daily sales'!$E203&amp;""),"")</f>
        <v>Taif</v>
      </c>
      <c r="D218" t="str">
        <f>IFERROR(IF(TRIM('Staff Daily sales'!$F203&amp;"")="","Unassigned",TRIM('Staff Daily sales'!$F203&amp;"")),"Unassigned")</f>
        <v>Saleh Bin Hoiel</v>
      </c>
      <c r="E218">
        <f t="shared" si="74"/>
        <v>1</v>
      </c>
      <c r="F218">
        <f>IF($E218=0,0,SUMPRODUCT($AI$5:$DF$5,'Staff Daily sales'!$G203:$CD203))</f>
        <v>611.96</v>
      </c>
      <c r="G218">
        <f>IF($E218=0,0,SUMPRODUCT($AI$6:$DF$6,'Staff Daily sales'!$G203:$CD203))</f>
        <v>4</v>
      </c>
      <c r="H218">
        <f t="shared" si="75"/>
        <v>3271.79</v>
      </c>
      <c r="I218">
        <f t="shared" si="76"/>
        <v>28</v>
      </c>
      <c r="J218">
        <f t="shared" si="77"/>
        <v>69638.36</v>
      </c>
      <c r="K218">
        <f t="shared" si="78"/>
        <v>362</v>
      </c>
      <c r="L218">
        <f>--AND($E218=1,OR('Staff Dashboard'!$B$6="All",$DH218='Staff Dashboard'!$B$6),OR('Staff Dashboard'!$B$7="All",$D218='Staff Dashboard'!$B$7),OR('Staff Dashboard'!$B$8="All",$A218='Staff Dashboard'!$B$8))</f>
        <v>0</v>
      </c>
      <c r="M218">
        <f>IF($E218=0,0,SUMPRODUCT($AI$7:$DF$7,'Staff Daily sales'!$G203:$CD203))</f>
        <v>7299.18</v>
      </c>
      <c r="N218">
        <f>IF($E218=0,0,SUMPRODUCT($AI$8:$DF$8,'Staff Daily sales'!$G203:$CD203))</f>
        <v>73</v>
      </c>
      <c r="O218">
        <f>IF($E218=0,0,SUMPRODUCT($AI$9:$DF$9,'Staff Daily sales'!$G203:$CD203))</f>
        <v>375.01</v>
      </c>
      <c r="P218">
        <f>IF($E218=0,0,SUMPRODUCT($AI$10:$DF$10,'Staff Daily sales'!$G203:$CD203))</f>
        <v>3</v>
      </c>
      <c r="Q218">
        <f>IF($E218=0,0,SUMPRODUCT($AI$11:$DF$11,'Staff Daily sales'!$G203:$CD203))</f>
        <v>3380.04</v>
      </c>
      <c r="R218">
        <f>IF($E218=0,0,SUMPRODUCT($AI$12:$DF$12,'Staff Daily sales'!$G203:$CD203))</f>
        <v>26</v>
      </c>
      <c r="S218">
        <f>IF($E218=0,0,SUMPRODUCT($AI$13:$DF$13,'Staff Daily sales'!$G203:$CD203))</f>
        <v>9328.7999999999993</v>
      </c>
      <c r="T218">
        <f>IF($E218=0,0,SUMPRODUCT($AI$14:$DF$14,'Staff Daily sales'!$G203:$CD203))</f>
        <v>77</v>
      </c>
      <c r="U218">
        <f>IF($E218=0,0,SUMPRODUCT($AI$15:$DF$15,'Staff Daily sales'!$G203:$CD203))</f>
        <v>1169.98</v>
      </c>
      <c r="V218">
        <f>IF($E218=0,0,SUMPRODUCT($AI$16:$DF$16,'Staff Daily sales'!$G203:$CD203))</f>
        <v>9</v>
      </c>
      <c r="W218">
        <f t="shared" si="79"/>
        <v>21836.440000000002</v>
      </c>
      <c r="X218">
        <f t="shared" si="80"/>
        <v>21437.359999999997</v>
      </c>
      <c r="Y218">
        <f t="shared" si="81"/>
        <v>24221.29</v>
      </c>
      <c r="Z218">
        <f t="shared" si="82"/>
        <v>22481.47</v>
      </c>
      <c r="AA218">
        <f t="shared" si="83"/>
        <v>6540.1399999999994</v>
      </c>
      <c r="AB218">
        <f>--AND($E218=1,OR('Staff Weekly Trend'!$B$3="All",$DH218='Staff Weekly Trend'!$B$3),OR('Staff Weekly Trend'!$B$4="All",$D218='Staff Weekly Trend'!$B$4),OR('Staff Weekly Trend'!$B$5="All",$A218='Staff Weekly Trend'!$B$5))</f>
        <v>1</v>
      </c>
      <c r="AC218">
        <f t="shared" si="84"/>
        <v>3</v>
      </c>
      <c r="AI218">
        <f t="shared" si="85"/>
        <v>213</v>
      </c>
      <c r="AJ218">
        <f t="shared" si="86"/>
        <v>178</v>
      </c>
      <c r="AK218">
        <f t="shared" si="87"/>
        <v>186</v>
      </c>
      <c r="AL218">
        <f t="shared" si="88"/>
        <v>187</v>
      </c>
      <c r="AM218">
        <f t="shared" si="89"/>
        <v>36</v>
      </c>
      <c r="DH218" t="str" cm="1">
        <f t="array" ref="DH218">IF($A218="","",_xlfn.LET(_xlpm.c,IFERROR(_xlfn.XLOOKUP($A218,TRIM('Sales and count'!$A$4:$A$300&amp;""),TRIM('Sales and count'!$B$4:$B$300&amp;"")),""),IF(OR(_xlpm.c="",_xlpm.c="0",LEFT(_xlpm.c,1)="#"),"Not set",_xlpm.c)))</f>
        <v>KSA</v>
      </c>
    </row>
    <row r="219" spans="1:112" x14ac:dyDescent="0.25">
      <c r="A219" t="str">
        <f>IF('Staff Daily sales'!$B204="","",TRIM('Staff Daily sales'!$B204&amp;""))</f>
        <v>HATAIFJRY</v>
      </c>
      <c r="B219" t="str">
        <f>IF('Staff Daily sales'!$D204="","",TRIM('Staff Daily sales'!$D204&amp;""))</f>
        <v>5567-MAlhusani</v>
      </c>
      <c r="C219" t="str">
        <f>IFERROR(TRIM('Staff Daily sales'!$E204&amp;""),"")</f>
        <v>Taif</v>
      </c>
      <c r="D219" t="str">
        <f>IFERROR(IF(TRIM('Staff Daily sales'!$F204&amp;"")="","Unassigned",TRIM('Staff Daily sales'!$F204&amp;"")),"Unassigned")</f>
        <v>Saleh Bin Hoiel</v>
      </c>
      <c r="E219">
        <f t="shared" si="74"/>
        <v>1</v>
      </c>
      <c r="F219">
        <f>IF($E219=0,0,SUMPRODUCT($AI$5:$DF$5,'Staff Daily sales'!$G204:$CD204))</f>
        <v>496.96</v>
      </c>
      <c r="G219">
        <f>IF($E219=0,0,SUMPRODUCT($AI$6:$DF$6,'Staff Daily sales'!$G204:$CD204))</f>
        <v>3</v>
      </c>
      <c r="H219">
        <f t="shared" si="75"/>
        <v>3271.79</v>
      </c>
      <c r="I219">
        <f t="shared" si="76"/>
        <v>28</v>
      </c>
      <c r="J219">
        <f t="shared" si="77"/>
        <v>69638.36</v>
      </c>
      <c r="K219">
        <f t="shared" si="78"/>
        <v>362</v>
      </c>
      <c r="L219">
        <f>--AND($E219=1,OR('Staff Dashboard'!$B$6="All",$DH219='Staff Dashboard'!$B$6),OR('Staff Dashboard'!$B$7="All",$D219='Staff Dashboard'!$B$7),OR('Staff Dashboard'!$B$8="All",$A219='Staff Dashboard'!$B$8))</f>
        <v>0</v>
      </c>
      <c r="M219">
        <f>IF($E219=0,0,SUMPRODUCT($AI$7:$DF$7,'Staff Daily sales'!$G204:$CD204))</f>
        <v>0</v>
      </c>
      <c r="N219">
        <f>IF($E219=0,0,SUMPRODUCT($AI$8:$DF$8,'Staff Daily sales'!$G204:$CD204))</f>
        <v>0</v>
      </c>
      <c r="O219">
        <f>IF($E219=0,0,SUMPRODUCT($AI$9:$DF$9,'Staff Daily sales'!$G204:$CD204))</f>
        <v>727</v>
      </c>
      <c r="P219">
        <f>IF($E219=0,0,SUMPRODUCT($AI$10:$DF$10,'Staff Daily sales'!$G204:$CD204))</f>
        <v>9</v>
      </c>
      <c r="Q219">
        <f>IF($E219=0,0,SUMPRODUCT($AI$11:$DF$11,'Staff Daily sales'!$G204:$CD204))</f>
        <v>7063.09</v>
      </c>
      <c r="R219">
        <f>IF($E219=0,0,SUMPRODUCT($AI$12:$DF$12,'Staff Daily sales'!$G204:$CD204))</f>
        <v>55</v>
      </c>
      <c r="S219">
        <f>IF($E219=0,0,SUMPRODUCT($AI$13:$DF$13,'Staff Daily sales'!$G204:$CD204))</f>
        <v>5899.9000000000005</v>
      </c>
      <c r="T219">
        <f>IF($E219=0,0,SUMPRODUCT($AI$14:$DF$14,'Staff Daily sales'!$G204:$CD204))</f>
        <v>46</v>
      </c>
      <c r="U219">
        <f>IF($E219=0,0,SUMPRODUCT($AI$15:$DF$15,'Staff Daily sales'!$G204:$CD204))</f>
        <v>700.98</v>
      </c>
      <c r="V219">
        <f>IF($E219=0,0,SUMPRODUCT($AI$16:$DF$16,'Staff Daily sales'!$G204:$CD204))</f>
        <v>5</v>
      </c>
      <c r="W219">
        <f t="shared" si="79"/>
        <v>21836.440000000002</v>
      </c>
      <c r="X219">
        <f t="shared" si="80"/>
        <v>21437.359999999997</v>
      </c>
      <c r="Y219">
        <f t="shared" si="81"/>
        <v>24221.29</v>
      </c>
      <c r="Z219">
        <f t="shared" si="82"/>
        <v>22481.47</v>
      </c>
      <c r="AA219">
        <f t="shared" si="83"/>
        <v>6540.1399999999994</v>
      </c>
      <c r="AB219">
        <f>--AND($E219=1,OR('Staff Weekly Trend'!$B$3="All",$DH219='Staff Weekly Trend'!$B$3),OR('Staff Weekly Trend'!$B$4="All",$D219='Staff Weekly Trend'!$B$4),OR('Staff Weekly Trend'!$B$5="All",$A219='Staff Weekly Trend'!$B$5))</f>
        <v>1</v>
      </c>
      <c r="AC219">
        <f t="shared" si="84"/>
        <v>4</v>
      </c>
      <c r="AI219">
        <f t="shared" si="85"/>
        <v>213</v>
      </c>
      <c r="AJ219">
        <f t="shared" si="86"/>
        <v>178</v>
      </c>
      <c r="AK219">
        <f t="shared" si="87"/>
        <v>186</v>
      </c>
      <c r="AL219">
        <f t="shared" si="88"/>
        <v>187</v>
      </c>
      <c r="AM219">
        <f t="shared" si="89"/>
        <v>36</v>
      </c>
      <c r="DH219" t="str" cm="1">
        <f t="array" ref="DH219">IF($A219="","",_xlfn.LET(_xlpm.c,IFERROR(_xlfn.XLOOKUP($A219,TRIM('Sales and count'!$A$4:$A$300&amp;""),TRIM('Sales and count'!$B$4:$B$300&amp;"")),""),IF(OR(_xlpm.c="",_xlpm.c="0",LEFT(_xlpm.c,1)="#"),"Not set",_xlpm.c)))</f>
        <v>KSA</v>
      </c>
    </row>
    <row r="220" spans="1:112" x14ac:dyDescent="0.25">
      <c r="A220" t="str">
        <f>IF('Staff Daily sales'!$B205="","",TRIM('Staff Daily sales'!$B205&amp;""))</f>
        <v>HANAJRPAR</v>
      </c>
      <c r="B220" t="str">
        <f>IF('Staff Daily sales'!$D205="","",TRIM('Staff Daily sales'!$D205&amp;""))</f>
        <v>4573-AAlyamy</v>
      </c>
      <c r="C220" t="str">
        <f>IFERROR(TRIM('Staff Daily sales'!$E205&amp;""),"")</f>
        <v>Najran</v>
      </c>
      <c r="D220" t="str">
        <f>IFERROR(IF(TRIM('Staff Daily sales'!$F205&amp;"")="","Unassigned",TRIM('Staff Daily sales'!$F205&amp;"")),"Unassigned")</f>
        <v>Ahmed Jaffari</v>
      </c>
      <c r="E220">
        <f t="shared" si="74"/>
        <v>1</v>
      </c>
      <c r="F220">
        <f>IF($E220=0,0,SUMPRODUCT($AI$5:$DF$5,'Staff Daily sales'!$G205:$CD205))</f>
        <v>799</v>
      </c>
      <c r="G220">
        <f>IF($E220=0,0,SUMPRODUCT($AI$6:$DF$6,'Staff Daily sales'!$G205:$CD205))</f>
        <v>6</v>
      </c>
      <c r="H220">
        <f t="shared" si="75"/>
        <v>3504.87</v>
      </c>
      <c r="I220">
        <f t="shared" si="76"/>
        <v>17</v>
      </c>
      <c r="J220">
        <f t="shared" si="77"/>
        <v>44058.899999999994</v>
      </c>
      <c r="K220">
        <f t="shared" si="78"/>
        <v>244</v>
      </c>
      <c r="L220">
        <f>--AND($E220=1,OR('Staff Dashboard'!$B$6="All",$DH220='Staff Dashboard'!$B$6),OR('Staff Dashboard'!$B$7="All",$D220='Staff Dashboard'!$B$7),OR('Staff Dashboard'!$B$8="All",$A220='Staff Dashboard'!$B$8))</f>
        <v>0</v>
      </c>
      <c r="M220">
        <f>IF($E220=0,0,SUMPRODUCT($AI$7:$DF$7,'Staff Daily sales'!$G205:$CD205))</f>
        <v>2267.04</v>
      </c>
      <c r="N220">
        <f>IF($E220=0,0,SUMPRODUCT($AI$8:$DF$8,'Staff Daily sales'!$G205:$CD205))</f>
        <v>12</v>
      </c>
      <c r="O220">
        <f>IF($E220=0,0,SUMPRODUCT($AI$9:$DF$9,'Staff Daily sales'!$G205:$CD205))</f>
        <v>9654.14</v>
      </c>
      <c r="P220">
        <f>IF($E220=0,0,SUMPRODUCT($AI$10:$DF$10,'Staff Daily sales'!$G205:$CD205))</f>
        <v>49</v>
      </c>
      <c r="Q220">
        <f>IF($E220=0,0,SUMPRODUCT($AI$11:$DF$11,'Staff Daily sales'!$G205:$CD205))</f>
        <v>6398.05</v>
      </c>
      <c r="R220">
        <f>IF($E220=0,0,SUMPRODUCT($AI$12:$DF$12,'Staff Daily sales'!$G205:$CD205))</f>
        <v>32</v>
      </c>
      <c r="S220">
        <f>IF($E220=0,0,SUMPRODUCT($AI$13:$DF$13,'Staff Daily sales'!$G205:$CD205))</f>
        <v>7971.1</v>
      </c>
      <c r="T220">
        <f>IF($E220=0,0,SUMPRODUCT($AI$14:$DF$14,'Staff Daily sales'!$G205:$CD205))</f>
        <v>46</v>
      </c>
      <c r="U220">
        <f>IF($E220=0,0,SUMPRODUCT($AI$15:$DF$15,'Staff Daily sales'!$G205:$CD205))</f>
        <v>556.96</v>
      </c>
      <c r="V220">
        <f>IF($E220=0,0,SUMPRODUCT($AI$16:$DF$16,'Staff Daily sales'!$G205:$CD205))</f>
        <v>3</v>
      </c>
      <c r="W220">
        <f t="shared" si="79"/>
        <v>25838.720000000001</v>
      </c>
      <c r="X220">
        <f t="shared" si="80"/>
        <v>42421.59</v>
      </c>
      <c r="Y220">
        <f t="shared" si="81"/>
        <v>30571.360000000001</v>
      </c>
      <c r="Z220">
        <f t="shared" si="82"/>
        <v>32211.670000000002</v>
      </c>
      <c r="AA220">
        <f t="shared" si="83"/>
        <v>8566.08</v>
      </c>
      <c r="AB220">
        <f>--AND($E220=1,OR('Staff Weekly Trend'!$B$3="All",$DH220='Staff Weekly Trend'!$B$3),OR('Staff Weekly Trend'!$B$4="All",$D220='Staff Weekly Trend'!$B$4),OR('Staff Weekly Trend'!$B$5="All",$A220='Staff Weekly Trend'!$B$5))</f>
        <v>1</v>
      </c>
      <c r="AC220">
        <f t="shared" si="84"/>
        <v>3</v>
      </c>
      <c r="AI220">
        <f t="shared" si="85"/>
        <v>132</v>
      </c>
      <c r="AJ220">
        <f t="shared" si="86"/>
        <v>223</v>
      </c>
      <c r="AK220">
        <f t="shared" si="87"/>
        <v>182</v>
      </c>
      <c r="AL220">
        <f t="shared" si="88"/>
        <v>155</v>
      </c>
      <c r="AM220">
        <f t="shared" si="89"/>
        <v>37</v>
      </c>
      <c r="DH220" t="str" cm="1">
        <f t="array" ref="DH220">IF($A220="","",_xlfn.LET(_xlpm.c,IFERROR(_xlfn.XLOOKUP($A220,TRIM('Sales and count'!$A$4:$A$300&amp;""),TRIM('Sales and count'!$B$4:$B$300&amp;"")),""),IF(OR(_xlpm.c="",_xlpm.c="0",LEFT(_xlpm.c,1)="#"),"Not set",_xlpm.c)))</f>
        <v>KSA</v>
      </c>
    </row>
    <row r="221" spans="1:112" x14ac:dyDescent="0.25">
      <c r="A221" t="str">
        <f>IF('Staff Daily sales'!$B206="","",TRIM('Staff Daily sales'!$B206&amp;""))</f>
        <v>HANAJRPAR</v>
      </c>
      <c r="B221" t="str">
        <f>IF('Staff Daily sales'!$D206="","",TRIM('Staff Daily sales'!$D206&amp;""))</f>
        <v>4577-Abdulaziz Alsaleh</v>
      </c>
      <c r="C221" t="str">
        <f>IFERROR(TRIM('Staff Daily sales'!$E206&amp;""),"")</f>
        <v>Najran</v>
      </c>
      <c r="D221" t="str">
        <f>IFERROR(IF(TRIM('Staff Daily sales'!$F206&amp;"")="","Unassigned",TRIM('Staff Daily sales'!$F206&amp;"")),"Unassigned")</f>
        <v>Ahmed Jaffari</v>
      </c>
      <c r="E221">
        <f t="shared" si="74"/>
        <v>1</v>
      </c>
      <c r="F221">
        <f>IF($E221=0,0,SUMPRODUCT($AI$5:$DF$5,'Staff Daily sales'!$G206:$CD206))</f>
        <v>1322.96</v>
      </c>
      <c r="G221">
        <f>IF($E221=0,0,SUMPRODUCT($AI$6:$DF$6,'Staff Daily sales'!$G206:$CD206))</f>
        <v>4</v>
      </c>
      <c r="H221">
        <f t="shared" si="75"/>
        <v>3504.87</v>
      </c>
      <c r="I221">
        <f t="shared" si="76"/>
        <v>17</v>
      </c>
      <c r="J221">
        <f t="shared" si="77"/>
        <v>44058.899999999994</v>
      </c>
      <c r="K221">
        <f t="shared" si="78"/>
        <v>244</v>
      </c>
      <c r="L221">
        <f>--AND($E221=1,OR('Staff Dashboard'!$B$6="All",$DH221='Staff Dashboard'!$B$6),OR('Staff Dashboard'!$B$7="All",$D221='Staff Dashboard'!$B$7),OR('Staff Dashboard'!$B$8="All",$A221='Staff Dashboard'!$B$8))</f>
        <v>0</v>
      </c>
      <c r="M221">
        <f>IF($E221=0,0,SUMPRODUCT($AI$7:$DF$7,'Staff Daily sales'!$G206:$CD206))</f>
        <v>7682.31</v>
      </c>
      <c r="N221">
        <f>IF($E221=0,0,SUMPRODUCT($AI$8:$DF$8,'Staff Daily sales'!$G206:$CD206))</f>
        <v>35</v>
      </c>
      <c r="O221">
        <f>IF($E221=0,0,SUMPRODUCT($AI$9:$DF$9,'Staff Daily sales'!$G206:$CD206))</f>
        <v>10609.18</v>
      </c>
      <c r="P221">
        <f>IF($E221=0,0,SUMPRODUCT($AI$10:$DF$10,'Staff Daily sales'!$G206:$CD206))</f>
        <v>59</v>
      </c>
      <c r="Q221">
        <f>IF($E221=0,0,SUMPRODUCT($AI$11:$DF$11,'Staff Daily sales'!$G206:$CD206))</f>
        <v>5089.0999999999995</v>
      </c>
      <c r="R221">
        <f>IF($E221=0,0,SUMPRODUCT($AI$12:$DF$12,'Staff Daily sales'!$G206:$CD206))</f>
        <v>27</v>
      </c>
      <c r="S221">
        <f>IF($E221=0,0,SUMPRODUCT($AI$13:$DF$13,'Staff Daily sales'!$G206:$CD206))</f>
        <v>7296.91</v>
      </c>
      <c r="T221">
        <f>IF($E221=0,0,SUMPRODUCT($AI$14:$DF$14,'Staff Daily sales'!$G206:$CD206))</f>
        <v>33</v>
      </c>
      <c r="U221">
        <f>IF($E221=0,0,SUMPRODUCT($AI$15:$DF$15,'Staff Daily sales'!$G206:$CD206))</f>
        <v>3497.06</v>
      </c>
      <c r="V221">
        <f>IF($E221=0,0,SUMPRODUCT($AI$16:$DF$16,'Staff Daily sales'!$G206:$CD206))</f>
        <v>15</v>
      </c>
      <c r="W221">
        <f t="shared" si="79"/>
        <v>25838.720000000001</v>
      </c>
      <c r="X221">
        <f t="shared" si="80"/>
        <v>42421.59</v>
      </c>
      <c r="Y221">
        <f t="shared" si="81"/>
        <v>30571.360000000001</v>
      </c>
      <c r="Z221">
        <f t="shared" si="82"/>
        <v>32211.670000000002</v>
      </c>
      <c r="AA221">
        <f t="shared" si="83"/>
        <v>8566.08</v>
      </c>
      <c r="AB221">
        <f>--AND($E221=1,OR('Staff Weekly Trend'!$B$3="All",$DH221='Staff Weekly Trend'!$B$3),OR('Staff Weekly Trend'!$B$4="All",$D221='Staff Weekly Trend'!$B$4),OR('Staff Weekly Trend'!$B$5="All",$A221='Staff Weekly Trend'!$B$5))</f>
        <v>1</v>
      </c>
      <c r="AC221">
        <f t="shared" si="84"/>
        <v>1</v>
      </c>
      <c r="AI221">
        <f t="shared" si="85"/>
        <v>132</v>
      </c>
      <c r="AJ221">
        <f t="shared" si="86"/>
        <v>223</v>
      </c>
      <c r="AK221">
        <f t="shared" si="87"/>
        <v>182</v>
      </c>
      <c r="AL221">
        <f t="shared" si="88"/>
        <v>155</v>
      </c>
      <c r="AM221">
        <f t="shared" si="89"/>
        <v>37</v>
      </c>
      <c r="DH221" t="str" cm="1">
        <f t="array" ref="DH221">IF($A221="","",_xlfn.LET(_xlpm.c,IFERROR(_xlfn.XLOOKUP($A221,TRIM('Sales and count'!$A$4:$A$300&amp;""),TRIM('Sales and count'!$B$4:$B$300&amp;"")),""),IF(OR(_xlpm.c="",_xlpm.c="0",LEFT(_xlpm.c,1)="#"),"Not set",_xlpm.c)))</f>
        <v>KSA</v>
      </c>
    </row>
    <row r="222" spans="1:112" x14ac:dyDescent="0.25">
      <c r="A222" t="str">
        <f>IF('Staff Daily sales'!$B207="","",TRIM('Staff Daily sales'!$B207&amp;""))</f>
        <v>HANAJRPAR</v>
      </c>
      <c r="B222" t="str">
        <f>IF('Staff Daily sales'!$D207="","",TRIM('Staff Daily sales'!$D207&amp;""))</f>
        <v>4629-AWarqash</v>
      </c>
      <c r="C222" t="str">
        <f>IFERROR(TRIM('Staff Daily sales'!$E207&amp;""),"")</f>
        <v>Najran</v>
      </c>
      <c r="D222" t="str">
        <f>IFERROR(IF(TRIM('Staff Daily sales'!$F207&amp;"")="","Unassigned",TRIM('Staff Daily sales'!$F207&amp;"")),"Unassigned")</f>
        <v>Ahmed Jaffari</v>
      </c>
      <c r="E222">
        <f t="shared" si="74"/>
        <v>1</v>
      </c>
      <c r="F222">
        <f>IF($E222=0,0,SUMPRODUCT($AI$5:$DF$5,'Staff Daily sales'!$G207:$CD207))</f>
        <v>1101.94</v>
      </c>
      <c r="G222">
        <f>IF($E222=0,0,SUMPRODUCT($AI$6:$DF$6,'Staff Daily sales'!$G207:$CD207))</f>
        <v>5</v>
      </c>
      <c r="H222">
        <f t="shared" si="75"/>
        <v>3504.87</v>
      </c>
      <c r="I222">
        <f t="shared" si="76"/>
        <v>17</v>
      </c>
      <c r="J222">
        <f t="shared" si="77"/>
        <v>44058.899999999994</v>
      </c>
      <c r="K222">
        <f t="shared" si="78"/>
        <v>244</v>
      </c>
      <c r="L222">
        <f>--AND($E222=1,OR('Staff Dashboard'!$B$6="All",$DH222='Staff Dashboard'!$B$6),OR('Staff Dashboard'!$B$7="All",$D222='Staff Dashboard'!$B$7),OR('Staff Dashboard'!$B$8="All",$A222='Staff Dashboard'!$B$8))</f>
        <v>0</v>
      </c>
      <c r="M222">
        <f>IF($E222=0,0,SUMPRODUCT($AI$7:$DF$7,'Staff Daily sales'!$G207:$CD207))</f>
        <v>5415.08</v>
      </c>
      <c r="N222">
        <f>IF($E222=0,0,SUMPRODUCT($AI$8:$DF$8,'Staff Daily sales'!$G207:$CD207))</f>
        <v>25</v>
      </c>
      <c r="O222">
        <f>IF($E222=0,0,SUMPRODUCT($AI$9:$DF$9,'Staff Daily sales'!$G207:$CD207))</f>
        <v>0</v>
      </c>
      <c r="P222">
        <f>IF($E222=0,0,SUMPRODUCT($AI$10:$DF$10,'Staff Daily sales'!$G207:$CD207))</f>
        <v>0</v>
      </c>
      <c r="Q222">
        <f>IF($E222=0,0,SUMPRODUCT($AI$11:$DF$11,'Staff Daily sales'!$G207:$CD207))</f>
        <v>6231.03</v>
      </c>
      <c r="R222">
        <f>IF($E222=0,0,SUMPRODUCT($AI$12:$DF$12,'Staff Daily sales'!$G207:$CD207))</f>
        <v>41</v>
      </c>
      <c r="S222">
        <f>IF($E222=0,0,SUMPRODUCT($AI$13:$DF$13,'Staff Daily sales'!$G207:$CD207))</f>
        <v>2917.82</v>
      </c>
      <c r="T222">
        <f>IF($E222=0,0,SUMPRODUCT($AI$14:$DF$14,'Staff Daily sales'!$G207:$CD207))</f>
        <v>12</v>
      </c>
      <c r="U222">
        <f>IF($E222=0,0,SUMPRODUCT($AI$15:$DF$15,'Staff Daily sales'!$G207:$CD207))</f>
        <v>1684.11</v>
      </c>
      <c r="V222">
        <f>IF($E222=0,0,SUMPRODUCT($AI$16:$DF$16,'Staff Daily sales'!$G207:$CD207))</f>
        <v>6</v>
      </c>
      <c r="W222">
        <f t="shared" si="79"/>
        <v>25838.720000000001</v>
      </c>
      <c r="X222">
        <f t="shared" si="80"/>
        <v>42421.59</v>
      </c>
      <c r="Y222">
        <f t="shared" si="81"/>
        <v>30571.360000000001</v>
      </c>
      <c r="Z222">
        <f t="shared" si="82"/>
        <v>32211.670000000002</v>
      </c>
      <c r="AA222">
        <f t="shared" si="83"/>
        <v>8566.08</v>
      </c>
      <c r="AB222">
        <f>--AND($E222=1,OR('Staff Weekly Trend'!$B$3="All",$DH222='Staff Weekly Trend'!$B$3),OR('Staff Weekly Trend'!$B$4="All",$D222='Staff Weekly Trend'!$B$4),OR('Staff Weekly Trend'!$B$5="All",$A222='Staff Weekly Trend'!$B$5))</f>
        <v>1</v>
      </c>
      <c r="AC222">
        <f t="shared" si="84"/>
        <v>2</v>
      </c>
      <c r="AI222">
        <f t="shared" si="85"/>
        <v>132</v>
      </c>
      <c r="AJ222">
        <f t="shared" si="86"/>
        <v>223</v>
      </c>
      <c r="AK222">
        <f t="shared" si="87"/>
        <v>182</v>
      </c>
      <c r="AL222">
        <f t="shared" si="88"/>
        <v>155</v>
      </c>
      <c r="AM222">
        <f t="shared" si="89"/>
        <v>37</v>
      </c>
      <c r="DH222" t="str" cm="1">
        <f t="array" ref="DH222">IF($A222="","",_xlfn.LET(_xlpm.c,IFERROR(_xlfn.XLOOKUP($A222,TRIM('Sales and count'!$A$4:$A$300&amp;""),TRIM('Sales and count'!$B$4:$B$300&amp;"")),""),IF(OR(_xlpm.c="",_xlpm.c="0",LEFT(_xlpm.c,1)="#"),"Not set",_xlpm.c)))</f>
        <v>KSA</v>
      </c>
    </row>
    <row r="223" spans="1:112" x14ac:dyDescent="0.25">
      <c r="A223" t="str">
        <f>IF('Staff Daily sales'!$B208="","",TRIM('Staff Daily sales'!$B208&amp;""))</f>
        <v>HANAJRPAR</v>
      </c>
      <c r="B223" t="str">
        <f>IF('Staff Daily sales'!$D208="","",TRIM('Staff Daily sales'!$D208&amp;""))</f>
        <v>4631-DAlAyfan</v>
      </c>
      <c r="C223" t="str">
        <f>IFERROR(TRIM('Staff Daily sales'!$E208&amp;""),"")</f>
        <v>Najran</v>
      </c>
      <c r="D223" t="str">
        <f>IFERROR(IF(TRIM('Staff Daily sales'!$F208&amp;"")="","Unassigned",TRIM('Staff Daily sales'!$F208&amp;"")),"Unassigned")</f>
        <v>Ahmed Jaffari</v>
      </c>
      <c r="E223">
        <f t="shared" si="74"/>
        <v>1</v>
      </c>
      <c r="F223">
        <f>IF($E223=0,0,SUMPRODUCT($AI$5:$DF$5,'Staff Daily sales'!$G208:$CD208))</f>
        <v>0</v>
      </c>
      <c r="G223">
        <f>IF($E223=0,0,SUMPRODUCT($AI$6:$DF$6,'Staff Daily sales'!$G208:$CD208))</f>
        <v>0</v>
      </c>
      <c r="H223">
        <f t="shared" si="75"/>
        <v>3504.87</v>
      </c>
      <c r="I223">
        <f t="shared" si="76"/>
        <v>17</v>
      </c>
      <c r="J223">
        <f t="shared" si="77"/>
        <v>44058.899999999994</v>
      </c>
      <c r="K223">
        <f t="shared" si="78"/>
        <v>244</v>
      </c>
      <c r="L223">
        <f>--AND($E223=1,OR('Staff Dashboard'!$B$6="All",$DH223='Staff Dashboard'!$B$6),OR('Staff Dashboard'!$B$7="All",$D223='Staff Dashboard'!$B$7),OR('Staff Dashboard'!$B$8="All",$A223='Staff Dashboard'!$B$8))</f>
        <v>0</v>
      </c>
      <c r="M223">
        <f>IF($E223=0,0,SUMPRODUCT($AI$7:$DF$7,'Staff Daily sales'!$G208:$CD208))</f>
        <v>2428.0500000000002</v>
      </c>
      <c r="N223">
        <f>IF($E223=0,0,SUMPRODUCT($AI$8:$DF$8,'Staff Daily sales'!$G208:$CD208))</f>
        <v>15</v>
      </c>
      <c r="O223">
        <f>IF($E223=0,0,SUMPRODUCT($AI$9:$DF$9,'Staff Daily sales'!$G208:$CD208))</f>
        <v>13059.16</v>
      </c>
      <c r="P223">
        <f>IF($E223=0,0,SUMPRODUCT($AI$10:$DF$10,'Staff Daily sales'!$G208:$CD208))</f>
        <v>68</v>
      </c>
      <c r="Q223">
        <f>IF($E223=0,0,SUMPRODUCT($AI$11:$DF$11,'Staff Daily sales'!$G208:$CD208))</f>
        <v>7099.0700000000006</v>
      </c>
      <c r="R223">
        <f>IF($E223=0,0,SUMPRODUCT($AI$12:$DF$12,'Staff Daily sales'!$G208:$CD208))</f>
        <v>47</v>
      </c>
      <c r="S223">
        <f>IF($E223=0,0,SUMPRODUCT($AI$13:$DF$13,'Staff Daily sales'!$G208:$CD208))</f>
        <v>7082.9800000000005</v>
      </c>
      <c r="T223">
        <f>IF($E223=0,0,SUMPRODUCT($AI$14:$DF$14,'Staff Daily sales'!$G208:$CD208))</f>
        <v>25</v>
      </c>
      <c r="U223">
        <f>IF($E223=0,0,SUMPRODUCT($AI$15:$DF$15,'Staff Daily sales'!$G208:$CD208))</f>
        <v>0</v>
      </c>
      <c r="V223">
        <f>IF($E223=0,0,SUMPRODUCT($AI$16:$DF$16,'Staff Daily sales'!$G208:$CD208))</f>
        <v>0</v>
      </c>
      <c r="W223">
        <f t="shared" si="79"/>
        <v>25838.720000000001</v>
      </c>
      <c r="X223">
        <f t="shared" si="80"/>
        <v>42421.59</v>
      </c>
      <c r="Y223">
        <f t="shared" si="81"/>
        <v>30571.360000000001</v>
      </c>
      <c r="Z223">
        <f t="shared" si="82"/>
        <v>32211.670000000002</v>
      </c>
      <c r="AA223">
        <f t="shared" si="83"/>
        <v>8566.08</v>
      </c>
      <c r="AB223">
        <f>--AND($E223=1,OR('Staff Weekly Trend'!$B$3="All",$DH223='Staff Weekly Trend'!$B$3),OR('Staff Weekly Trend'!$B$4="All",$D223='Staff Weekly Trend'!$B$4),OR('Staff Weekly Trend'!$B$5="All",$A223='Staff Weekly Trend'!$B$5))</f>
        <v>1</v>
      </c>
      <c r="AC223" t="str">
        <f t="shared" si="84"/>
        <v/>
      </c>
      <c r="AI223">
        <f t="shared" si="85"/>
        <v>132</v>
      </c>
      <c r="AJ223">
        <f t="shared" si="86"/>
        <v>223</v>
      </c>
      <c r="AK223">
        <f t="shared" si="87"/>
        <v>182</v>
      </c>
      <c r="AL223">
        <f t="shared" si="88"/>
        <v>155</v>
      </c>
      <c r="AM223">
        <f t="shared" si="89"/>
        <v>37</v>
      </c>
      <c r="DH223" t="str" cm="1">
        <f t="array" ref="DH223">IF($A223="","",_xlfn.LET(_xlpm.c,IFERROR(_xlfn.XLOOKUP($A223,TRIM('Sales and count'!$A$4:$A$300&amp;""),TRIM('Sales and count'!$B$4:$B$300&amp;"")),""),IF(OR(_xlpm.c="",_xlpm.c="0",LEFT(_xlpm.c,1)="#"),"Not set",_xlpm.c)))</f>
        <v>KSA</v>
      </c>
    </row>
    <row r="224" spans="1:112" x14ac:dyDescent="0.25">
      <c r="A224" t="str">
        <f>IF('Staff Daily sales'!$B209="","",TRIM('Staff Daily sales'!$B209&amp;""))</f>
        <v>HANAJRPAR</v>
      </c>
      <c r="B224" t="str">
        <f>IF('Staff Daily sales'!$D209="","",TRIM('Staff Daily sales'!$D209&amp;""))</f>
        <v>4636-AAlmakrami</v>
      </c>
      <c r="C224" t="str">
        <f>IFERROR(TRIM('Staff Daily sales'!$E209&amp;""),"")</f>
        <v>Najran</v>
      </c>
      <c r="D224" t="str">
        <f>IFERROR(IF(TRIM('Staff Daily sales'!$F209&amp;"")="","Unassigned",TRIM('Staff Daily sales'!$F209&amp;"")),"Unassigned")</f>
        <v>Ahmed Jaffari</v>
      </c>
      <c r="E224">
        <f t="shared" si="74"/>
        <v>1</v>
      </c>
      <c r="F224">
        <f>IF($E224=0,0,SUMPRODUCT($AI$5:$DF$5,'Staff Daily sales'!$G209:$CD209))</f>
        <v>280.97000000000003</v>
      </c>
      <c r="G224">
        <f>IF($E224=0,0,SUMPRODUCT($AI$6:$DF$6,'Staff Daily sales'!$G209:$CD209))</f>
        <v>2</v>
      </c>
      <c r="H224">
        <f t="shared" si="75"/>
        <v>3504.87</v>
      </c>
      <c r="I224">
        <f t="shared" si="76"/>
        <v>17</v>
      </c>
      <c r="J224">
        <f t="shared" si="77"/>
        <v>44058.899999999994</v>
      </c>
      <c r="K224">
        <f t="shared" si="78"/>
        <v>244</v>
      </c>
      <c r="L224">
        <f>--AND($E224=1,OR('Staff Dashboard'!$B$6="All",$DH224='Staff Dashboard'!$B$6),OR('Staff Dashboard'!$B$7="All",$D224='Staff Dashboard'!$B$7),OR('Staff Dashboard'!$B$8="All",$A224='Staff Dashboard'!$B$8))</f>
        <v>0</v>
      </c>
      <c r="M224">
        <f>IF($E224=0,0,SUMPRODUCT($AI$7:$DF$7,'Staff Daily sales'!$G209:$CD209))</f>
        <v>8046.24</v>
      </c>
      <c r="N224">
        <f>IF($E224=0,0,SUMPRODUCT($AI$8:$DF$8,'Staff Daily sales'!$G209:$CD209))</f>
        <v>45</v>
      </c>
      <c r="O224">
        <f>IF($E224=0,0,SUMPRODUCT($AI$9:$DF$9,'Staff Daily sales'!$G209:$CD209))</f>
        <v>9099.11</v>
      </c>
      <c r="P224">
        <f>IF($E224=0,0,SUMPRODUCT($AI$10:$DF$10,'Staff Daily sales'!$G209:$CD209))</f>
        <v>47</v>
      </c>
      <c r="Q224">
        <f>IF($E224=0,0,SUMPRODUCT($AI$11:$DF$11,'Staff Daily sales'!$G209:$CD209))</f>
        <v>5754.1100000000006</v>
      </c>
      <c r="R224">
        <f>IF($E224=0,0,SUMPRODUCT($AI$12:$DF$12,'Staff Daily sales'!$G209:$CD209))</f>
        <v>35</v>
      </c>
      <c r="S224">
        <f>IF($E224=0,0,SUMPRODUCT($AI$13:$DF$13,'Staff Daily sales'!$G209:$CD209))</f>
        <v>6942.8600000000015</v>
      </c>
      <c r="T224">
        <f>IF($E224=0,0,SUMPRODUCT($AI$14:$DF$14,'Staff Daily sales'!$G209:$CD209))</f>
        <v>39</v>
      </c>
      <c r="U224">
        <f>IF($E224=0,0,SUMPRODUCT($AI$15:$DF$15,'Staff Daily sales'!$G209:$CD209))</f>
        <v>2827.95</v>
      </c>
      <c r="V224">
        <f>IF($E224=0,0,SUMPRODUCT($AI$16:$DF$16,'Staff Daily sales'!$G209:$CD209))</f>
        <v>13</v>
      </c>
      <c r="W224">
        <f t="shared" si="79"/>
        <v>25838.720000000001</v>
      </c>
      <c r="X224">
        <f t="shared" si="80"/>
        <v>42421.59</v>
      </c>
      <c r="Y224">
        <f t="shared" si="81"/>
        <v>30571.360000000001</v>
      </c>
      <c r="Z224">
        <f t="shared" si="82"/>
        <v>32211.670000000002</v>
      </c>
      <c r="AA224">
        <f t="shared" si="83"/>
        <v>8566.08</v>
      </c>
      <c r="AB224">
        <f>--AND($E224=1,OR('Staff Weekly Trend'!$B$3="All",$DH224='Staff Weekly Trend'!$B$3),OR('Staff Weekly Trend'!$B$4="All",$D224='Staff Weekly Trend'!$B$4),OR('Staff Weekly Trend'!$B$5="All",$A224='Staff Weekly Trend'!$B$5))</f>
        <v>1</v>
      </c>
      <c r="AC224">
        <f t="shared" si="84"/>
        <v>4</v>
      </c>
      <c r="AI224">
        <f t="shared" si="85"/>
        <v>132</v>
      </c>
      <c r="AJ224">
        <f t="shared" si="86"/>
        <v>223</v>
      </c>
      <c r="AK224">
        <f t="shared" si="87"/>
        <v>182</v>
      </c>
      <c r="AL224">
        <f t="shared" si="88"/>
        <v>155</v>
      </c>
      <c r="AM224">
        <f t="shared" si="89"/>
        <v>37</v>
      </c>
      <c r="DH224" t="str" cm="1">
        <f t="array" ref="DH224">IF($A224="","",_xlfn.LET(_xlpm.c,IFERROR(_xlfn.XLOOKUP($A224,TRIM('Sales and count'!$A$4:$A$300&amp;""),TRIM('Sales and count'!$B$4:$B$300&amp;"")),""),IF(OR(_xlpm.c="",_xlpm.c="0",LEFT(_xlpm.c,1)="#"),"Not set",_xlpm.c)))</f>
        <v>KSA</v>
      </c>
    </row>
    <row r="225" spans="1:112" x14ac:dyDescent="0.25">
      <c r="A225" t="str">
        <f>IF('Staff Daily sales'!$B210="","",TRIM('Staff Daily sales'!$B210&amp;""))</f>
        <v>HAKHAMBLV</v>
      </c>
      <c r="B225" t="str">
        <f>IF('Staff Daily sales'!$D210="","",TRIM('Staff Daily sales'!$D210&amp;""))</f>
        <v>3401-Aboud Almufleh</v>
      </c>
      <c r="C225" t="str">
        <f>IFERROR(TRIM('Staff Daily sales'!$E210&amp;""),"")</f>
        <v>Khamis meshaet</v>
      </c>
      <c r="D225" t="str">
        <f>IFERROR(IF(TRIM('Staff Daily sales'!$F210&amp;"")="","Unassigned",TRIM('Staff Daily sales'!$F210&amp;"")),"Unassigned")</f>
        <v>Ahmed Jaffari</v>
      </c>
      <c r="E225">
        <f t="shared" si="74"/>
        <v>1</v>
      </c>
      <c r="F225">
        <f>IF($E225=0,0,SUMPRODUCT($AI$5:$DF$5,'Staff Daily sales'!$G210:$CD210))</f>
        <v>0</v>
      </c>
      <c r="G225">
        <f>IF($E225=0,0,SUMPRODUCT($AI$6:$DF$6,'Staff Daily sales'!$G210:$CD210))</f>
        <v>0</v>
      </c>
      <c r="H225">
        <f t="shared" si="75"/>
        <v>2214.8900000000003</v>
      </c>
      <c r="I225">
        <f t="shared" si="76"/>
        <v>14</v>
      </c>
      <c r="J225">
        <f t="shared" si="77"/>
        <v>44058.899999999994</v>
      </c>
      <c r="K225">
        <f t="shared" si="78"/>
        <v>244</v>
      </c>
      <c r="L225">
        <f>--AND($E225=1,OR('Staff Dashboard'!$B$6="All",$DH225='Staff Dashboard'!$B$6),OR('Staff Dashboard'!$B$7="All",$D225='Staff Dashboard'!$B$7),OR('Staff Dashboard'!$B$8="All",$A225='Staff Dashboard'!$B$8))</f>
        <v>0</v>
      </c>
      <c r="M225">
        <f>IF($E225=0,0,SUMPRODUCT($AI$7:$DF$7,'Staff Daily sales'!$G210:$CD210))</f>
        <v>1700.03</v>
      </c>
      <c r="N225">
        <f>IF($E225=0,0,SUMPRODUCT($AI$8:$DF$8,'Staff Daily sales'!$G210:$CD210))</f>
        <v>12</v>
      </c>
      <c r="O225">
        <f>IF($E225=0,0,SUMPRODUCT($AI$9:$DF$9,'Staff Daily sales'!$G210:$CD210))</f>
        <v>869.98</v>
      </c>
      <c r="P225">
        <f>IF($E225=0,0,SUMPRODUCT($AI$10:$DF$10,'Staff Daily sales'!$G210:$CD210))</f>
        <v>4</v>
      </c>
      <c r="Q225">
        <f>IF($E225=0,0,SUMPRODUCT($AI$11:$DF$11,'Staff Daily sales'!$G210:$CD210))</f>
        <v>109</v>
      </c>
      <c r="R225">
        <f>IF($E225=0,0,SUMPRODUCT($AI$12:$DF$12,'Staff Daily sales'!$G210:$CD210))</f>
        <v>1</v>
      </c>
      <c r="S225">
        <f>IF($E225=0,0,SUMPRODUCT($AI$13:$DF$13,'Staff Daily sales'!$G210:$CD210))</f>
        <v>0</v>
      </c>
      <c r="T225">
        <f>IF($E225=0,0,SUMPRODUCT($AI$14:$DF$14,'Staff Daily sales'!$G210:$CD210))</f>
        <v>0</v>
      </c>
      <c r="U225">
        <f>IF($E225=0,0,SUMPRODUCT($AI$15:$DF$15,'Staff Daily sales'!$G210:$CD210))</f>
        <v>0</v>
      </c>
      <c r="V225">
        <f>IF($E225=0,0,SUMPRODUCT($AI$16:$DF$16,'Staff Daily sales'!$G210:$CD210))</f>
        <v>0</v>
      </c>
      <c r="W225">
        <f t="shared" si="79"/>
        <v>17677.3</v>
      </c>
      <c r="X225">
        <f t="shared" si="80"/>
        <v>24912.309999999998</v>
      </c>
      <c r="Y225">
        <f t="shared" si="81"/>
        <v>21134.420000000002</v>
      </c>
      <c r="Z225">
        <f t="shared" si="82"/>
        <v>16269.75</v>
      </c>
      <c r="AA225">
        <f t="shared" si="83"/>
        <v>6826.87</v>
      </c>
      <c r="AB225">
        <f>--AND($E225=1,OR('Staff Weekly Trend'!$B$3="All",$DH225='Staff Weekly Trend'!$B$3),OR('Staff Weekly Trend'!$B$4="All",$D225='Staff Weekly Trend'!$B$4),OR('Staff Weekly Trend'!$B$5="All",$A225='Staff Weekly Trend'!$B$5))</f>
        <v>1</v>
      </c>
      <c r="AC225" t="str">
        <f t="shared" si="84"/>
        <v/>
      </c>
      <c r="AI225">
        <f t="shared" si="85"/>
        <v>123</v>
      </c>
      <c r="AJ225">
        <f t="shared" si="86"/>
        <v>148</v>
      </c>
      <c r="AK225">
        <f t="shared" si="87"/>
        <v>140</v>
      </c>
      <c r="AL225">
        <f t="shared" si="88"/>
        <v>114</v>
      </c>
      <c r="AM225">
        <f t="shared" si="89"/>
        <v>34</v>
      </c>
      <c r="DH225" t="str" cm="1">
        <f t="array" ref="DH225">IF($A225="","",_xlfn.LET(_xlpm.c,IFERROR(_xlfn.XLOOKUP($A225,TRIM('Sales and count'!$A$4:$A$300&amp;""),TRIM('Sales and count'!$B$4:$B$300&amp;"")),""),IF(OR(_xlpm.c="",_xlpm.c="0",LEFT(_xlpm.c,1)="#"),"Not set",_xlpm.c)))</f>
        <v>KSA</v>
      </c>
    </row>
    <row r="226" spans="1:112" x14ac:dyDescent="0.25">
      <c r="A226" t="str">
        <f>IF('Staff Daily sales'!$B211="","",TRIM('Staff Daily sales'!$B211&amp;""))</f>
        <v>HAKHAMBLV</v>
      </c>
      <c r="B226" t="str">
        <f>IF('Staff Daily sales'!$D211="","",TRIM('Staff Daily sales'!$D211&amp;""))</f>
        <v>3411-Khaled Alfifi</v>
      </c>
      <c r="C226" t="str">
        <f>IFERROR(TRIM('Staff Daily sales'!$E211&amp;""),"")</f>
        <v>Khamis meshaet</v>
      </c>
      <c r="D226" t="str">
        <f>IFERROR(IF(TRIM('Staff Daily sales'!$F211&amp;"")="","Unassigned",TRIM('Staff Daily sales'!$F211&amp;"")),"Unassigned")</f>
        <v>Ahmed Jaffari</v>
      </c>
      <c r="E226">
        <f t="shared" si="74"/>
        <v>1</v>
      </c>
      <c r="F226">
        <f>IF($E226=0,0,SUMPRODUCT($AI$5:$DF$5,'Staff Daily sales'!$G211:$CD211))</f>
        <v>0</v>
      </c>
      <c r="G226">
        <f>IF($E226=0,0,SUMPRODUCT($AI$6:$DF$6,'Staff Daily sales'!$G211:$CD211))</f>
        <v>0</v>
      </c>
      <c r="H226">
        <f t="shared" si="75"/>
        <v>2214.8900000000003</v>
      </c>
      <c r="I226">
        <f t="shared" si="76"/>
        <v>14</v>
      </c>
      <c r="J226">
        <f t="shared" si="77"/>
        <v>44058.899999999994</v>
      </c>
      <c r="K226">
        <f t="shared" si="78"/>
        <v>244</v>
      </c>
      <c r="L226">
        <f>--AND($E226=1,OR('Staff Dashboard'!$B$6="All",$DH226='Staff Dashboard'!$B$6),OR('Staff Dashboard'!$B$7="All",$D226='Staff Dashboard'!$B$7),OR('Staff Dashboard'!$B$8="All",$A226='Staff Dashboard'!$B$8))</f>
        <v>0</v>
      </c>
      <c r="M226">
        <f>IF($E226=0,0,SUMPRODUCT($AI$7:$DF$7,'Staff Daily sales'!$G211:$CD211))</f>
        <v>4049.04</v>
      </c>
      <c r="N226">
        <f>IF($E226=0,0,SUMPRODUCT($AI$8:$DF$8,'Staff Daily sales'!$G211:$CD211))</f>
        <v>28</v>
      </c>
      <c r="O226">
        <f>IF($E226=0,0,SUMPRODUCT($AI$9:$DF$9,'Staff Daily sales'!$G211:$CD211))</f>
        <v>4670.1399999999994</v>
      </c>
      <c r="P226">
        <f>IF($E226=0,0,SUMPRODUCT($AI$10:$DF$10,'Staff Daily sales'!$G211:$CD211))</f>
        <v>26</v>
      </c>
      <c r="Q226">
        <f>IF($E226=0,0,SUMPRODUCT($AI$11:$DF$11,'Staff Daily sales'!$G211:$CD211))</f>
        <v>4683.0700000000006</v>
      </c>
      <c r="R226">
        <f>IF($E226=0,0,SUMPRODUCT($AI$12:$DF$12,'Staff Daily sales'!$G211:$CD211))</f>
        <v>26</v>
      </c>
      <c r="S226">
        <f>IF($E226=0,0,SUMPRODUCT($AI$13:$DF$13,'Staff Daily sales'!$G211:$CD211))</f>
        <v>849</v>
      </c>
      <c r="T226">
        <f>IF($E226=0,0,SUMPRODUCT($AI$14:$DF$14,'Staff Daily sales'!$G211:$CD211))</f>
        <v>6</v>
      </c>
      <c r="U226">
        <f>IF($E226=0,0,SUMPRODUCT($AI$15:$DF$15,'Staff Daily sales'!$G211:$CD211))</f>
        <v>1129.07</v>
      </c>
      <c r="V226">
        <f>IF($E226=0,0,SUMPRODUCT($AI$16:$DF$16,'Staff Daily sales'!$G211:$CD211))</f>
        <v>5</v>
      </c>
      <c r="W226">
        <f t="shared" si="79"/>
        <v>17677.3</v>
      </c>
      <c r="X226">
        <f t="shared" si="80"/>
        <v>24912.309999999998</v>
      </c>
      <c r="Y226">
        <f t="shared" si="81"/>
        <v>21134.420000000002</v>
      </c>
      <c r="Z226">
        <f t="shared" si="82"/>
        <v>16269.75</v>
      </c>
      <c r="AA226">
        <f t="shared" si="83"/>
        <v>6826.87</v>
      </c>
      <c r="AB226">
        <f>--AND($E226=1,OR('Staff Weekly Trend'!$B$3="All",$DH226='Staff Weekly Trend'!$B$3),OR('Staff Weekly Trend'!$B$4="All",$D226='Staff Weekly Trend'!$B$4),OR('Staff Weekly Trend'!$B$5="All",$A226='Staff Weekly Trend'!$B$5))</f>
        <v>1</v>
      </c>
      <c r="AC226" t="str">
        <f t="shared" si="84"/>
        <v/>
      </c>
      <c r="AI226">
        <f t="shared" si="85"/>
        <v>123</v>
      </c>
      <c r="AJ226">
        <f t="shared" si="86"/>
        <v>148</v>
      </c>
      <c r="AK226">
        <f t="shared" si="87"/>
        <v>140</v>
      </c>
      <c r="AL226">
        <f t="shared" si="88"/>
        <v>114</v>
      </c>
      <c r="AM226">
        <f t="shared" si="89"/>
        <v>34</v>
      </c>
      <c r="DH226" t="str" cm="1">
        <f t="array" ref="DH226">IF($A226="","",_xlfn.LET(_xlpm.c,IFERROR(_xlfn.XLOOKUP($A226,TRIM('Sales and count'!$A$4:$A$300&amp;""),TRIM('Sales and count'!$B$4:$B$300&amp;"")),""),IF(OR(_xlpm.c="",_xlpm.c="0",LEFT(_xlpm.c,1)="#"),"Not set",_xlpm.c)))</f>
        <v>KSA</v>
      </c>
    </row>
    <row r="227" spans="1:112" x14ac:dyDescent="0.25">
      <c r="A227" t="str">
        <f>IF('Staff Daily sales'!$B212="","",TRIM('Staff Daily sales'!$B212&amp;""))</f>
        <v>HAKHAMBLV</v>
      </c>
      <c r="B227" t="str">
        <f>IF('Staff Daily sales'!$D212="","",TRIM('Staff Daily sales'!$D212&amp;""))</f>
        <v>4469-RAlghamdi</v>
      </c>
      <c r="C227" t="str">
        <f>IFERROR(TRIM('Staff Daily sales'!$E212&amp;""),"")</f>
        <v>Khamis meshaet</v>
      </c>
      <c r="D227" t="str">
        <f>IFERROR(IF(TRIM('Staff Daily sales'!$F212&amp;"")="","Unassigned",TRIM('Staff Daily sales'!$F212&amp;"")),"Unassigned")</f>
        <v>Ahmed Jaffari</v>
      </c>
      <c r="E227">
        <f t="shared" si="74"/>
        <v>1</v>
      </c>
      <c r="F227">
        <f>IF($E227=0,0,SUMPRODUCT($AI$5:$DF$5,'Staff Daily sales'!$G212:$CD212))</f>
        <v>360.98</v>
      </c>
      <c r="G227">
        <f>IF($E227=0,0,SUMPRODUCT($AI$6:$DF$6,'Staff Daily sales'!$G212:$CD212))</f>
        <v>3</v>
      </c>
      <c r="H227">
        <f t="shared" si="75"/>
        <v>2214.8900000000003</v>
      </c>
      <c r="I227">
        <f t="shared" si="76"/>
        <v>14</v>
      </c>
      <c r="J227">
        <f t="shared" si="77"/>
        <v>44058.899999999994</v>
      </c>
      <c r="K227">
        <f t="shared" si="78"/>
        <v>244</v>
      </c>
      <c r="L227">
        <f>--AND($E227=1,OR('Staff Dashboard'!$B$6="All",$DH227='Staff Dashboard'!$B$6),OR('Staff Dashboard'!$B$7="All",$D227='Staff Dashboard'!$B$7),OR('Staff Dashboard'!$B$8="All",$A227='Staff Dashboard'!$B$8))</f>
        <v>0</v>
      </c>
      <c r="M227">
        <f>IF($E227=0,0,SUMPRODUCT($AI$7:$DF$7,'Staff Daily sales'!$G212:$CD212))</f>
        <v>4185.07</v>
      </c>
      <c r="N227">
        <f>IF($E227=0,0,SUMPRODUCT($AI$8:$DF$8,'Staff Daily sales'!$G212:$CD212))</f>
        <v>32</v>
      </c>
      <c r="O227">
        <f>IF($E227=0,0,SUMPRODUCT($AI$9:$DF$9,'Staff Daily sales'!$G212:$CD212))</f>
        <v>5084.12</v>
      </c>
      <c r="P227">
        <f>IF($E227=0,0,SUMPRODUCT($AI$10:$DF$10,'Staff Daily sales'!$G212:$CD212))</f>
        <v>28</v>
      </c>
      <c r="Q227">
        <f>IF($E227=0,0,SUMPRODUCT($AI$11:$DF$11,'Staff Daily sales'!$G212:$CD212))</f>
        <v>2968.09</v>
      </c>
      <c r="R227">
        <f>IF($E227=0,0,SUMPRODUCT($AI$12:$DF$12,'Staff Daily sales'!$G212:$CD212))</f>
        <v>24</v>
      </c>
      <c r="S227">
        <f>IF($E227=0,0,SUMPRODUCT($AI$13:$DF$13,'Staff Daily sales'!$G212:$CD212))</f>
        <v>4204.93</v>
      </c>
      <c r="T227">
        <f>IF($E227=0,0,SUMPRODUCT($AI$14:$DF$14,'Staff Daily sales'!$G212:$CD212))</f>
        <v>30</v>
      </c>
      <c r="U227">
        <f>IF($E227=0,0,SUMPRODUCT($AI$15:$DF$15,'Staff Daily sales'!$G212:$CD212))</f>
        <v>379.01</v>
      </c>
      <c r="V227">
        <f>IF($E227=0,0,SUMPRODUCT($AI$16:$DF$16,'Staff Daily sales'!$G212:$CD212))</f>
        <v>1</v>
      </c>
      <c r="W227">
        <f t="shared" si="79"/>
        <v>17677.3</v>
      </c>
      <c r="X227">
        <f t="shared" si="80"/>
        <v>24912.309999999998</v>
      </c>
      <c r="Y227">
        <f t="shared" si="81"/>
        <v>21134.420000000002</v>
      </c>
      <c r="Z227">
        <f t="shared" si="82"/>
        <v>16269.75</v>
      </c>
      <c r="AA227">
        <f t="shared" si="83"/>
        <v>6826.87</v>
      </c>
      <c r="AB227">
        <f>--AND($E227=1,OR('Staff Weekly Trend'!$B$3="All",$DH227='Staff Weekly Trend'!$B$3),OR('Staff Weekly Trend'!$B$4="All",$D227='Staff Weekly Trend'!$B$4),OR('Staff Weekly Trend'!$B$5="All",$A227='Staff Weekly Trend'!$B$5))</f>
        <v>1</v>
      </c>
      <c r="AC227">
        <f t="shared" si="84"/>
        <v>3</v>
      </c>
      <c r="AI227">
        <f t="shared" si="85"/>
        <v>123</v>
      </c>
      <c r="AJ227">
        <f t="shared" si="86"/>
        <v>148</v>
      </c>
      <c r="AK227">
        <f t="shared" si="87"/>
        <v>140</v>
      </c>
      <c r="AL227">
        <f t="shared" si="88"/>
        <v>114</v>
      </c>
      <c r="AM227">
        <f t="shared" si="89"/>
        <v>34</v>
      </c>
      <c r="DH227" t="str" cm="1">
        <f t="array" ref="DH227">IF($A227="","",_xlfn.LET(_xlpm.c,IFERROR(_xlfn.XLOOKUP($A227,TRIM('Sales and count'!$A$4:$A$300&amp;""),TRIM('Sales and count'!$B$4:$B$300&amp;"")),""),IF(OR(_xlpm.c="",_xlpm.c="0",LEFT(_xlpm.c,1)="#"),"Not set",_xlpm.c)))</f>
        <v>KSA</v>
      </c>
    </row>
    <row r="228" spans="1:112" x14ac:dyDescent="0.25">
      <c r="A228" t="str">
        <f>IF('Staff Daily sales'!$B213="","",TRIM('Staff Daily sales'!$B213&amp;""))</f>
        <v>HAKHAMBLV</v>
      </c>
      <c r="B228" t="str">
        <f>IF('Staff Daily sales'!$D213="","",TRIM('Staff Daily sales'!$D213&amp;""))</f>
        <v>4596-AAlFifi</v>
      </c>
      <c r="C228" t="str">
        <f>IFERROR(TRIM('Staff Daily sales'!$E213&amp;""),"")</f>
        <v>Khamis meshaet</v>
      </c>
      <c r="D228" t="str">
        <f>IFERROR(IF(TRIM('Staff Daily sales'!$F213&amp;"")="","Unassigned",TRIM('Staff Daily sales'!$F213&amp;"")),"Unassigned")</f>
        <v>Ahmed Jaffari</v>
      </c>
      <c r="E228">
        <f t="shared" si="74"/>
        <v>1</v>
      </c>
      <c r="F228">
        <f>IF($E228=0,0,SUMPRODUCT($AI$5:$DF$5,'Staff Daily sales'!$G213:$CD213))</f>
        <v>360.98</v>
      </c>
      <c r="G228">
        <f>IF($E228=0,0,SUMPRODUCT($AI$6:$DF$6,'Staff Daily sales'!$G213:$CD213))</f>
        <v>2</v>
      </c>
      <c r="H228">
        <f t="shared" si="75"/>
        <v>2214.8900000000003</v>
      </c>
      <c r="I228">
        <f t="shared" si="76"/>
        <v>14</v>
      </c>
      <c r="J228">
        <f t="shared" si="77"/>
        <v>44058.899999999994</v>
      </c>
      <c r="K228">
        <f t="shared" si="78"/>
        <v>244</v>
      </c>
      <c r="L228">
        <f>--AND($E228=1,OR('Staff Dashboard'!$B$6="All",$DH228='Staff Dashboard'!$B$6),OR('Staff Dashboard'!$B$7="All",$D228='Staff Dashboard'!$B$7),OR('Staff Dashboard'!$B$8="All",$A228='Staff Dashboard'!$B$8))</f>
        <v>0</v>
      </c>
      <c r="M228">
        <f>IF($E228=0,0,SUMPRODUCT($AI$7:$DF$7,'Staff Daily sales'!$G213:$CD213))</f>
        <v>724.03</v>
      </c>
      <c r="N228">
        <f>IF($E228=0,0,SUMPRODUCT($AI$8:$DF$8,'Staff Daily sales'!$G213:$CD213))</f>
        <v>4</v>
      </c>
      <c r="O228">
        <f>IF($E228=0,0,SUMPRODUCT($AI$9:$DF$9,'Staff Daily sales'!$G213:$CD213))</f>
        <v>4984.04</v>
      </c>
      <c r="P228">
        <f>IF($E228=0,0,SUMPRODUCT($AI$10:$DF$10,'Staff Daily sales'!$G213:$CD213))</f>
        <v>29</v>
      </c>
      <c r="Q228">
        <f>IF($E228=0,0,SUMPRODUCT($AI$11:$DF$11,'Staff Daily sales'!$G213:$CD213))</f>
        <v>5942.1500000000005</v>
      </c>
      <c r="R228">
        <f>IF($E228=0,0,SUMPRODUCT($AI$12:$DF$12,'Staff Daily sales'!$G213:$CD213))</f>
        <v>37</v>
      </c>
      <c r="S228">
        <f>IF($E228=0,0,SUMPRODUCT($AI$13:$DF$13,'Staff Daily sales'!$G213:$CD213))</f>
        <v>4034.8700000000003</v>
      </c>
      <c r="T228">
        <f>IF($E228=0,0,SUMPRODUCT($AI$14:$DF$14,'Staff Daily sales'!$G213:$CD213))</f>
        <v>25</v>
      </c>
      <c r="U228">
        <f>IF($E228=0,0,SUMPRODUCT($AI$15:$DF$15,'Staff Daily sales'!$G213:$CD213))</f>
        <v>1626.9</v>
      </c>
      <c r="V228">
        <f>IF($E228=0,0,SUMPRODUCT($AI$16:$DF$16,'Staff Daily sales'!$G213:$CD213))</f>
        <v>8</v>
      </c>
      <c r="W228">
        <f t="shared" si="79"/>
        <v>17677.3</v>
      </c>
      <c r="X228">
        <f t="shared" si="80"/>
        <v>24912.309999999998</v>
      </c>
      <c r="Y228">
        <f t="shared" si="81"/>
        <v>21134.420000000002</v>
      </c>
      <c r="Z228">
        <f t="shared" si="82"/>
        <v>16269.75</v>
      </c>
      <c r="AA228">
        <f t="shared" si="83"/>
        <v>6826.87</v>
      </c>
      <c r="AB228">
        <f>--AND($E228=1,OR('Staff Weekly Trend'!$B$3="All",$DH228='Staff Weekly Trend'!$B$3),OR('Staff Weekly Trend'!$B$4="All",$D228='Staff Weekly Trend'!$B$4),OR('Staff Weekly Trend'!$B$5="All",$A228='Staff Weekly Trend'!$B$5))</f>
        <v>1</v>
      </c>
      <c r="AC228">
        <f t="shared" si="84"/>
        <v>3</v>
      </c>
      <c r="AI228">
        <f t="shared" si="85"/>
        <v>123</v>
      </c>
      <c r="AJ228">
        <f t="shared" si="86"/>
        <v>148</v>
      </c>
      <c r="AK228">
        <f t="shared" si="87"/>
        <v>140</v>
      </c>
      <c r="AL228">
        <f t="shared" si="88"/>
        <v>114</v>
      </c>
      <c r="AM228">
        <f t="shared" si="89"/>
        <v>34</v>
      </c>
      <c r="DH228" t="str" cm="1">
        <f t="array" ref="DH228">IF($A228="","",_xlfn.LET(_xlpm.c,IFERROR(_xlfn.XLOOKUP($A228,TRIM('Sales and count'!$A$4:$A$300&amp;""),TRIM('Sales and count'!$B$4:$B$300&amp;"")),""),IF(OR(_xlpm.c="",_xlpm.c="0",LEFT(_xlpm.c,1)="#"),"Not set",_xlpm.c)))</f>
        <v>KSA</v>
      </c>
    </row>
    <row r="229" spans="1:112" x14ac:dyDescent="0.25">
      <c r="A229" t="str">
        <f>IF('Staff Daily sales'!$B214="","",TRIM('Staff Daily sales'!$B214&amp;""))</f>
        <v>HAKHAMBLV</v>
      </c>
      <c r="B229" t="str">
        <f>IF('Staff Daily sales'!$D214="","",TRIM('Staff Daily sales'!$D214&amp;""))</f>
        <v>4597-GAlShahri</v>
      </c>
      <c r="C229" t="str">
        <f>IFERROR(TRIM('Staff Daily sales'!$E214&amp;""),"")</f>
        <v>Khamis meshaet</v>
      </c>
      <c r="D229" t="str">
        <f>IFERROR(IF(TRIM('Staff Daily sales'!$F214&amp;"")="","Unassigned",TRIM('Staff Daily sales'!$F214&amp;"")),"Unassigned")</f>
        <v>Ahmed Jaffari</v>
      </c>
      <c r="E229">
        <f t="shared" si="74"/>
        <v>1</v>
      </c>
      <c r="F229">
        <f>IF($E229=0,0,SUMPRODUCT($AI$5:$DF$5,'Staff Daily sales'!$G214:$CD214))</f>
        <v>932.94</v>
      </c>
      <c r="G229">
        <f>IF($E229=0,0,SUMPRODUCT($AI$6:$DF$6,'Staff Daily sales'!$G214:$CD214))</f>
        <v>6</v>
      </c>
      <c r="H229">
        <f t="shared" si="75"/>
        <v>2214.8900000000003</v>
      </c>
      <c r="I229">
        <f t="shared" si="76"/>
        <v>14</v>
      </c>
      <c r="J229">
        <f t="shared" si="77"/>
        <v>44058.899999999994</v>
      </c>
      <c r="K229">
        <f t="shared" si="78"/>
        <v>244</v>
      </c>
      <c r="L229">
        <f>--AND($E229=1,OR('Staff Dashboard'!$B$6="All",$DH229='Staff Dashboard'!$B$6),OR('Staff Dashboard'!$B$7="All",$D229='Staff Dashboard'!$B$7),OR('Staff Dashboard'!$B$8="All",$A229='Staff Dashboard'!$B$8))</f>
        <v>0</v>
      </c>
      <c r="M229">
        <f>IF($E229=0,0,SUMPRODUCT($AI$7:$DF$7,'Staff Daily sales'!$G214:$CD214))</f>
        <v>150</v>
      </c>
      <c r="N229">
        <f>IF($E229=0,0,SUMPRODUCT($AI$8:$DF$8,'Staff Daily sales'!$G214:$CD214))</f>
        <v>1</v>
      </c>
      <c r="O229">
        <f>IF($E229=0,0,SUMPRODUCT($AI$9:$DF$9,'Staff Daily sales'!$G214:$CD214))</f>
        <v>3730.0200000000004</v>
      </c>
      <c r="P229">
        <f>IF($E229=0,0,SUMPRODUCT($AI$10:$DF$10,'Staff Daily sales'!$G214:$CD214))</f>
        <v>26</v>
      </c>
      <c r="Q229">
        <f>IF($E229=0,0,SUMPRODUCT($AI$11:$DF$11,'Staff Daily sales'!$G214:$CD214))</f>
        <v>4114.0600000000004</v>
      </c>
      <c r="R229">
        <f>IF($E229=0,0,SUMPRODUCT($AI$12:$DF$12,'Staff Daily sales'!$G214:$CD214))</f>
        <v>29</v>
      </c>
      <c r="S229">
        <f>IF($E229=0,0,SUMPRODUCT($AI$13:$DF$13,'Staff Daily sales'!$G214:$CD214))</f>
        <v>4177.92</v>
      </c>
      <c r="T229">
        <f>IF($E229=0,0,SUMPRODUCT($AI$14:$DF$14,'Staff Daily sales'!$G214:$CD214))</f>
        <v>31</v>
      </c>
      <c r="U229">
        <f>IF($E229=0,0,SUMPRODUCT($AI$15:$DF$15,'Staff Daily sales'!$G214:$CD214))</f>
        <v>1745.93</v>
      </c>
      <c r="V229">
        <f>IF($E229=0,0,SUMPRODUCT($AI$16:$DF$16,'Staff Daily sales'!$G214:$CD214))</f>
        <v>10</v>
      </c>
      <c r="W229">
        <f t="shared" si="79"/>
        <v>17677.3</v>
      </c>
      <c r="X229">
        <f t="shared" si="80"/>
        <v>24912.309999999998</v>
      </c>
      <c r="Y229">
        <f t="shared" si="81"/>
        <v>21134.420000000002</v>
      </c>
      <c r="Z229">
        <f t="shared" si="82"/>
        <v>16269.75</v>
      </c>
      <c r="AA229">
        <f t="shared" si="83"/>
        <v>6826.87</v>
      </c>
      <c r="AB229">
        <f>--AND($E229=1,OR('Staff Weekly Trend'!$B$3="All",$DH229='Staff Weekly Trend'!$B$3),OR('Staff Weekly Trend'!$B$4="All",$D229='Staff Weekly Trend'!$B$4),OR('Staff Weekly Trend'!$B$5="All",$A229='Staff Weekly Trend'!$B$5))</f>
        <v>1</v>
      </c>
      <c r="AC229">
        <f t="shared" si="84"/>
        <v>1</v>
      </c>
      <c r="AI229">
        <f t="shared" si="85"/>
        <v>123</v>
      </c>
      <c r="AJ229">
        <f t="shared" si="86"/>
        <v>148</v>
      </c>
      <c r="AK229">
        <f t="shared" si="87"/>
        <v>140</v>
      </c>
      <c r="AL229">
        <f t="shared" si="88"/>
        <v>114</v>
      </c>
      <c r="AM229">
        <f t="shared" si="89"/>
        <v>34</v>
      </c>
      <c r="DH229" t="str" cm="1">
        <f t="array" ref="DH229">IF($A229="","",_xlfn.LET(_xlpm.c,IFERROR(_xlfn.XLOOKUP($A229,TRIM('Sales and count'!$A$4:$A$300&amp;""),TRIM('Sales and count'!$B$4:$B$300&amp;"")),""),IF(OR(_xlpm.c="",_xlpm.c="0",LEFT(_xlpm.c,1)="#"),"Not set",_xlpm.c)))</f>
        <v>KSA</v>
      </c>
    </row>
    <row r="230" spans="1:112" x14ac:dyDescent="0.25">
      <c r="A230" t="str">
        <f>IF('Staff Daily sales'!$B215="","",TRIM('Staff Daily sales'!$B215&amp;""))</f>
        <v>HAKHAMBLV</v>
      </c>
      <c r="B230" t="str">
        <f>IF('Staff Daily sales'!$D215="","",TRIM('Staff Daily sales'!$D215&amp;""))</f>
        <v>4598-RAlQahtani</v>
      </c>
      <c r="C230" t="str">
        <f>IFERROR(TRIM('Staff Daily sales'!$E215&amp;""),"")</f>
        <v>Khamis meshaet</v>
      </c>
      <c r="D230" t="str">
        <f>IFERROR(IF(TRIM('Staff Daily sales'!$F215&amp;"")="","Unassigned",TRIM('Staff Daily sales'!$F215&amp;"")),"Unassigned")</f>
        <v>Ahmed Jaffari</v>
      </c>
      <c r="E230">
        <f t="shared" si="74"/>
        <v>1</v>
      </c>
      <c r="F230">
        <f>IF($E230=0,0,SUMPRODUCT($AI$5:$DF$5,'Staff Daily sales'!$G215:$CD215))</f>
        <v>559.99</v>
      </c>
      <c r="G230">
        <f>IF($E230=0,0,SUMPRODUCT($AI$6:$DF$6,'Staff Daily sales'!$G215:$CD215))</f>
        <v>3</v>
      </c>
      <c r="H230">
        <f t="shared" si="75"/>
        <v>2214.8900000000003</v>
      </c>
      <c r="I230">
        <f t="shared" si="76"/>
        <v>14</v>
      </c>
      <c r="J230">
        <f t="shared" si="77"/>
        <v>44058.899999999994</v>
      </c>
      <c r="K230">
        <f t="shared" si="78"/>
        <v>244</v>
      </c>
      <c r="L230">
        <f>--AND($E230=1,OR('Staff Dashboard'!$B$6="All",$DH230='Staff Dashboard'!$B$6),OR('Staff Dashboard'!$B$7="All",$D230='Staff Dashboard'!$B$7),OR('Staff Dashboard'!$B$8="All",$A230='Staff Dashboard'!$B$8))</f>
        <v>0</v>
      </c>
      <c r="M230">
        <f>IF($E230=0,0,SUMPRODUCT($AI$7:$DF$7,'Staff Daily sales'!$G215:$CD215))</f>
        <v>4555.07</v>
      </c>
      <c r="N230">
        <f>IF($E230=0,0,SUMPRODUCT($AI$8:$DF$8,'Staff Daily sales'!$G215:$CD215))</f>
        <v>31</v>
      </c>
      <c r="O230">
        <f>IF($E230=0,0,SUMPRODUCT($AI$9:$DF$9,'Staff Daily sales'!$G215:$CD215))</f>
        <v>5574.01</v>
      </c>
      <c r="P230">
        <f>IF($E230=0,0,SUMPRODUCT($AI$10:$DF$10,'Staff Daily sales'!$G215:$CD215))</f>
        <v>35</v>
      </c>
      <c r="Q230">
        <f>IF($E230=0,0,SUMPRODUCT($AI$11:$DF$11,'Staff Daily sales'!$G215:$CD215))</f>
        <v>3318.0499999999997</v>
      </c>
      <c r="R230">
        <f>IF($E230=0,0,SUMPRODUCT($AI$12:$DF$12,'Staff Daily sales'!$G215:$CD215))</f>
        <v>23</v>
      </c>
      <c r="S230">
        <f>IF($E230=0,0,SUMPRODUCT($AI$13:$DF$13,'Staff Daily sales'!$G215:$CD215))</f>
        <v>3003.0299999999997</v>
      </c>
      <c r="T230">
        <f>IF($E230=0,0,SUMPRODUCT($AI$14:$DF$14,'Staff Daily sales'!$G215:$CD215))</f>
        <v>22</v>
      </c>
      <c r="U230">
        <f>IF($E230=0,0,SUMPRODUCT($AI$15:$DF$15,'Staff Daily sales'!$G215:$CD215))</f>
        <v>1945.96</v>
      </c>
      <c r="V230">
        <f>IF($E230=0,0,SUMPRODUCT($AI$16:$DF$16,'Staff Daily sales'!$G215:$CD215))</f>
        <v>10</v>
      </c>
      <c r="W230">
        <f t="shared" si="79"/>
        <v>17677.3</v>
      </c>
      <c r="X230">
        <f t="shared" si="80"/>
        <v>24912.309999999998</v>
      </c>
      <c r="Y230">
        <f t="shared" si="81"/>
        <v>21134.420000000002</v>
      </c>
      <c r="Z230">
        <f t="shared" si="82"/>
        <v>16269.75</v>
      </c>
      <c r="AA230">
        <f t="shared" si="83"/>
        <v>6826.87</v>
      </c>
      <c r="AB230">
        <f>--AND($E230=1,OR('Staff Weekly Trend'!$B$3="All",$DH230='Staff Weekly Trend'!$B$3),OR('Staff Weekly Trend'!$B$4="All",$D230='Staff Weekly Trend'!$B$4),OR('Staff Weekly Trend'!$B$5="All",$A230='Staff Weekly Trend'!$B$5))</f>
        <v>1</v>
      </c>
      <c r="AC230">
        <f t="shared" si="84"/>
        <v>2</v>
      </c>
      <c r="AI230">
        <f t="shared" si="85"/>
        <v>123</v>
      </c>
      <c r="AJ230">
        <f t="shared" si="86"/>
        <v>148</v>
      </c>
      <c r="AK230">
        <f t="shared" si="87"/>
        <v>140</v>
      </c>
      <c r="AL230">
        <f t="shared" si="88"/>
        <v>114</v>
      </c>
      <c r="AM230">
        <f t="shared" si="89"/>
        <v>34</v>
      </c>
      <c r="DH230" t="str" cm="1">
        <f t="array" ref="DH230">IF($A230="","",_xlfn.LET(_xlpm.c,IFERROR(_xlfn.XLOOKUP($A230,TRIM('Sales and count'!$A$4:$A$300&amp;""),TRIM('Sales and count'!$B$4:$B$300&amp;"")),""),IF(OR(_xlpm.c="",_xlpm.c="0",LEFT(_xlpm.c,1)="#"),"Not set",_xlpm.c)))</f>
        <v>KSA</v>
      </c>
    </row>
    <row r="231" spans="1:112" x14ac:dyDescent="0.25">
      <c r="A231" t="str">
        <f>IF('Staff Daily sales'!$B216="","",TRIM('Staff Daily sales'!$B216&amp;""))</f>
        <v>HAKHAMBLV</v>
      </c>
      <c r="B231" t="str">
        <f>IF('Staff Daily sales'!$D216="","",TRIM('Staff Daily sales'!$D216&amp;""))</f>
        <v>5491-AAlThahban</v>
      </c>
      <c r="C231" t="str">
        <f>IFERROR(TRIM('Staff Daily sales'!$E216&amp;""),"")</f>
        <v>Khamis meshaet</v>
      </c>
      <c r="D231" t="str">
        <f>IFERROR(IF(TRIM('Staff Daily sales'!$F216&amp;"")="","Unassigned",TRIM('Staff Daily sales'!$F216&amp;"")),"Unassigned")</f>
        <v>Ahmed Jaffari</v>
      </c>
      <c r="E231">
        <f t="shared" si="74"/>
        <v>1</v>
      </c>
      <c r="F231">
        <f>IF($E231=0,0,SUMPRODUCT($AI$5:$DF$5,'Staff Daily sales'!$G216:$CD216))</f>
        <v>0</v>
      </c>
      <c r="G231">
        <f>IF($E231=0,0,SUMPRODUCT($AI$6:$DF$6,'Staff Daily sales'!$G216:$CD216))</f>
        <v>0</v>
      </c>
      <c r="H231">
        <f t="shared" si="75"/>
        <v>2214.8900000000003</v>
      </c>
      <c r="I231">
        <f t="shared" si="76"/>
        <v>14</v>
      </c>
      <c r="J231">
        <f t="shared" si="77"/>
        <v>44058.899999999994</v>
      </c>
      <c r="K231">
        <f t="shared" si="78"/>
        <v>244</v>
      </c>
      <c r="L231">
        <f>--AND($E231=1,OR('Staff Dashboard'!$B$6="All",$DH231='Staff Dashboard'!$B$6),OR('Staff Dashboard'!$B$7="All",$D231='Staff Dashboard'!$B$7),OR('Staff Dashboard'!$B$8="All",$A231='Staff Dashboard'!$B$8))</f>
        <v>0</v>
      </c>
      <c r="M231">
        <f>IF($E231=0,0,SUMPRODUCT($AI$7:$DF$7,'Staff Daily sales'!$G216:$CD216))</f>
        <v>2314.06</v>
      </c>
      <c r="N231">
        <f>IF($E231=0,0,SUMPRODUCT($AI$8:$DF$8,'Staff Daily sales'!$G216:$CD216))</f>
        <v>15</v>
      </c>
      <c r="O231">
        <f>IF($E231=0,0,SUMPRODUCT($AI$9:$DF$9,'Staff Daily sales'!$G216:$CD216))</f>
        <v>0</v>
      </c>
      <c r="P231">
        <f>IF($E231=0,0,SUMPRODUCT($AI$10:$DF$10,'Staff Daily sales'!$G216:$CD216))</f>
        <v>0</v>
      </c>
      <c r="Q231">
        <f>IF($E231=0,0,SUMPRODUCT($AI$11:$DF$11,'Staff Daily sales'!$G216:$CD216))</f>
        <v>0</v>
      </c>
      <c r="R231">
        <f>IF($E231=0,0,SUMPRODUCT($AI$12:$DF$12,'Staff Daily sales'!$G216:$CD216))</f>
        <v>0</v>
      </c>
      <c r="S231">
        <f>IF($E231=0,0,SUMPRODUCT($AI$13:$DF$13,'Staff Daily sales'!$G216:$CD216))</f>
        <v>0</v>
      </c>
      <c r="T231">
        <f>IF($E231=0,0,SUMPRODUCT($AI$14:$DF$14,'Staff Daily sales'!$G216:$CD216))</f>
        <v>0</v>
      </c>
      <c r="U231">
        <f>IF($E231=0,0,SUMPRODUCT($AI$15:$DF$15,'Staff Daily sales'!$G216:$CD216))</f>
        <v>0</v>
      </c>
      <c r="V231">
        <f>IF($E231=0,0,SUMPRODUCT($AI$16:$DF$16,'Staff Daily sales'!$G216:$CD216))</f>
        <v>0</v>
      </c>
      <c r="W231">
        <f t="shared" si="79"/>
        <v>17677.3</v>
      </c>
      <c r="X231">
        <f t="shared" si="80"/>
        <v>24912.309999999998</v>
      </c>
      <c r="Y231">
        <f t="shared" si="81"/>
        <v>21134.420000000002</v>
      </c>
      <c r="Z231">
        <f t="shared" si="82"/>
        <v>16269.75</v>
      </c>
      <c r="AA231">
        <f t="shared" si="83"/>
        <v>6826.87</v>
      </c>
      <c r="AB231">
        <f>--AND($E231=1,OR('Staff Weekly Trend'!$B$3="All",$DH231='Staff Weekly Trend'!$B$3),OR('Staff Weekly Trend'!$B$4="All",$D231='Staff Weekly Trend'!$B$4),OR('Staff Weekly Trend'!$B$5="All",$A231='Staff Weekly Trend'!$B$5))</f>
        <v>1</v>
      </c>
      <c r="AC231" t="str">
        <f t="shared" si="84"/>
        <v/>
      </c>
      <c r="AI231">
        <f t="shared" si="85"/>
        <v>123</v>
      </c>
      <c r="AJ231">
        <f t="shared" si="86"/>
        <v>148</v>
      </c>
      <c r="AK231">
        <f t="shared" si="87"/>
        <v>140</v>
      </c>
      <c r="AL231">
        <f t="shared" si="88"/>
        <v>114</v>
      </c>
      <c r="AM231">
        <f t="shared" si="89"/>
        <v>34</v>
      </c>
      <c r="DH231" t="str" cm="1">
        <f t="array" ref="DH231">IF($A231="","",_xlfn.LET(_xlpm.c,IFERROR(_xlfn.XLOOKUP($A231,TRIM('Sales and count'!$A$4:$A$300&amp;""),TRIM('Sales and count'!$B$4:$B$300&amp;"")),""),IF(OR(_xlpm.c="",_xlpm.c="0",LEFT(_xlpm.c,1)="#"),"Not set",_xlpm.c)))</f>
        <v>KSA</v>
      </c>
    </row>
    <row r="232" spans="1:112" x14ac:dyDescent="0.25">
      <c r="A232" t="str">
        <f>IF('Staff Daily sales'!$B217="","",TRIM('Staff Daily sales'!$B217&amp;""))</f>
        <v>HAMAKKMAL</v>
      </c>
      <c r="B232" t="str">
        <f>IF('Staff Daily sales'!$D217="","",TRIM('Staff Daily sales'!$D217&amp;""))</f>
        <v>3647-MKhabarani</v>
      </c>
      <c r="C232" t="str">
        <f>IFERROR(TRIM('Staff Daily sales'!$E217&amp;""),"")</f>
        <v>Makkah</v>
      </c>
      <c r="D232" t="str">
        <f>IFERROR(IF(TRIM('Staff Daily sales'!$F217&amp;"")="","Unassigned",TRIM('Staff Daily sales'!$F217&amp;"")),"Unassigned")</f>
        <v>Maram Zamzami</v>
      </c>
      <c r="E232">
        <f t="shared" si="74"/>
        <v>1</v>
      </c>
      <c r="F232">
        <f>IF($E232=0,0,SUMPRODUCT($AI$5:$DF$5,'Staff Daily sales'!$G217:$CD217))</f>
        <v>0</v>
      </c>
      <c r="G232">
        <f>IF($E232=0,0,SUMPRODUCT($AI$6:$DF$6,'Staff Daily sales'!$G217:$CD217))</f>
        <v>0</v>
      </c>
      <c r="H232">
        <f t="shared" si="75"/>
        <v>7126.61</v>
      </c>
      <c r="I232">
        <f t="shared" si="76"/>
        <v>34</v>
      </c>
      <c r="J232">
        <f t="shared" si="77"/>
        <v>89423.479999999967</v>
      </c>
      <c r="K232">
        <f t="shared" si="78"/>
        <v>413</v>
      </c>
      <c r="L232">
        <f>--AND($E232=1,OR('Staff Dashboard'!$B$6="All",$DH232='Staff Dashboard'!$B$6),OR('Staff Dashboard'!$B$7="All",$D232='Staff Dashboard'!$B$7),OR('Staff Dashboard'!$B$8="All",$A232='Staff Dashboard'!$B$8))</f>
        <v>1</v>
      </c>
      <c r="M232">
        <f>IF($E232=0,0,SUMPRODUCT($AI$7:$DF$7,'Staff Daily sales'!$G217:$CD217))</f>
        <v>6020.2199999999993</v>
      </c>
      <c r="N232">
        <f>IF($E232=0,0,SUMPRODUCT($AI$8:$DF$8,'Staff Daily sales'!$G217:$CD217))</f>
        <v>56</v>
      </c>
      <c r="O232">
        <f>IF($E232=0,0,SUMPRODUCT($AI$9:$DF$9,'Staff Daily sales'!$G217:$CD217))</f>
        <v>16715.29</v>
      </c>
      <c r="P232">
        <f>IF($E232=0,0,SUMPRODUCT($AI$10:$DF$10,'Staff Daily sales'!$G217:$CD217))</f>
        <v>131</v>
      </c>
      <c r="Q232">
        <f>IF($E232=0,0,SUMPRODUCT($AI$11:$DF$11,'Staff Daily sales'!$G217:$CD217))</f>
        <v>11373</v>
      </c>
      <c r="R232">
        <f>IF($E232=0,0,SUMPRODUCT($AI$12:$DF$12,'Staff Daily sales'!$G217:$CD217))</f>
        <v>75</v>
      </c>
      <c r="S232">
        <f>IF($E232=0,0,SUMPRODUCT($AI$13:$DF$13,'Staff Daily sales'!$G217:$CD217))</f>
        <v>11772.919999999998</v>
      </c>
      <c r="T232">
        <f>IF($E232=0,0,SUMPRODUCT($AI$14:$DF$14,'Staff Daily sales'!$G217:$CD217))</f>
        <v>80</v>
      </c>
      <c r="U232">
        <f>IF($E232=0,0,SUMPRODUCT($AI$15:$DF$15,'Staff Daily sales'!$G217:$CD217))</f>
        <v>3590.02</v>
      </c>
      <c r="V232">
        <f>IF($E232=0,0,SUMPRODUCT($AI$16:$DF$16,'Staff Daily sales'!$G217:$CD217))</f>
        <v>16</v>
      </c>
      <c r="W232">
        <f t="shared" si="79"/>
        <v>41464.950000000004</v>
      </c>
      <c r="X232">
        <f t="shared" si="80"/>
        <v>50424.98</v>
      </c>
      <c r="Y232">
        <f t="shared" si="81"/>
        <v>41279.35</v>
      </c>
      <c r="Z232">
        <f t="shared" si="82"/>
        <v>37102.6</v>
      </c>
      <c r="AA232">
        <f t="shared" si="83"/>
        <v>8276.9999999999982</v>
      </c>
      <c r="AB232">
        <f>--AND($E232=1,OR('Staff Weekly Trend'!$B$3="All",$DH232='Staff Weekly Trend'!$B$3),OR('Staff Weekly Trend'!$B$4="All",$D232='Staff Weekly Trend'!$B$4),OR('Staff Weekly Trend'!$B$5="All",$A232='Staff Weekly Trend'!$B$5))</f>
        <v>1</v>
      </c>
      <c r="AC232" t="str">
        <f t="shared" si="84"/>
        <v/>
      </c>
      <c r="AI232">
        <f t="shared" si="85"/>
        <v>312</v>
      </c>
      <c r="AJ232">
        <f t="shared" si="86"/>
        <v>367</v>
      </c>
      <c r="AK232">
        <f t="shared" si="87"/>
        <v>269</v>
      </c>
      <c r="AL232">
        <f t="shared" si="88"/>
        <v>220</v>
      </c>
      <c r="AM232">
        <f t="shared" si="89"/>
        <v>49</v>
      </c>
      <c r="DH232" t="str" cm="1">
        <f t="array" ref="DH232">IF($A232="","",_xlfn.LET(_xlpm.c,IFERROR(_xlfn.XLOOKUP($A232,TRIM('Sales and count'!$A$4:$A$300&amp;""),TRIM('Sales and count'!$B$4:$B$300&amp;"")),""),IF(OR(_xlpm.c="",_xlpm.c="0",LEFT(_xlpm.c,1)="#"),"Not set",_xlpm.c)))</f>
        <v>KSA</v>
      </c>
    </row>
    <row r="233" spans="1:112" x14ac:dyDescent="0.25">
      <c r="A233" t="str">
        <f>IF('Staff Daily sales'!$B218="","",TRIM('Staff Daily sales'!$B218&amp;""))</f>
        <v>HAMAKKMAL</v>
      </c>
      <c r="B233" t="str">
        <f>IF('Staff Daily sales'!$D218="","",TRIM('Staff Daily sales'!$D218&amp;""))</f>
        <v>3653-NAlTuwaiti</v>
      </c>
      <c r="C233" t="str">
        <f>IFERROR(TRIM('Staff Daily sales'!$E218&amp;""),"")</f>
        <v>Makkah</v>
      </c>
      <c r="D233" t="str">
        <f>IFERROR(IF(TRIM('Staff Daily sales'!$F218&amp;"")="","Unassigned",TRIM('Staff Daily sales'!$F218&amp;"")),"Unassigned")</f>
        <v>Maram Zamzami</v>
      </c>
      <c r="E233">
        <f t="shared" si="74"/>
        <v>1</v>
      </c>
      <c r="F233">
        <f>IF($E233=0,0,SUMPRODUCT($AI$5:$DF$5,'Staff Daily sales'!$G218:$CD218))</f>
        <v>0</v>
      </c>
      <c r="G233">
        <f>IF($E233=0,0,SUMPRODUCT($AI$6:$DF$6,'Staff Daily sales'!$G218:$CD218))</f>
        <v>0</v>
      </c>
      <c r="H233">
        <f t="shared" si="75"/>
        <v>7126.61</v>
      </c>
      <c r="I233">
        <f t="shared" si="76"/>
        <v>34</v>
      </c>
      <c r="J233">
        <f t="shared" si="77"/>
        <v>89423.479999999967</v>
      </c>
      <c r="K233">
        <f t="shared" si="78"/>
        <v>413</v>
      </c>
      <c r="L233">
        <f>--AND($E233=1,OR('Staff Dashboard'!$B$6="All",$DH233='Staff Dashboard'!$B$6),OR('Staff Dashboard'!$B$7="All",$D233='Staff Dashboard'!$B$7),OR('Staff Dashboard'!$B$8="All",$A233='Staff Dashboard'!$B$8))</f>
        <v>1</v>
      </c>
      <c r="M233">
        <f>IF($E233=0,0,SUMPRODUCT($AI$7:$DF$7,'Staff Daily sales'!$G218:$CD218))</f>
        <v>9550.26</v>
      </c>
      <c r="N233">
        <f>IF($E233=0,0,SUMPRODUCT($AI$8:$DF$8,'Staff Daily sales'!$G218:$CD218))</f>
        <v>59</v>
      </c>
      <c r="O233">
        <f>IF($E233=0,0,SUMPRODUCT($AI$9:$DF$9,'Staff Daily sales'!$G218:$CD218))</f>
        <v>9060.2100000000009</v>
      </c>
      <c r="P233">
        <f>IF($E233=0,0,SUMPRODUCT($AI$10:$DF$10,'Staff Daily sales'!$G218:$CD218))</f>
        <v>54</v>
      </c>
      <c r="Q233">
        <f>IF($E233=0,0,SUMPRODUCT($AI$11:$DF$11,'Staff Daily sales'!$G218:$CD218))</f>
        <v>5580.07</v>
      </c>
      <c r="R233">
        <f>IF($E233=0,0,SUMPRODUCT($AI$12:$DF$12,'Staff Daily sales'!$G218:$CD218))</f>
        <v>35</v>
      </c>
      <c r="S233">
        <f>IF($E233=0,0,SUMPRODUCT($AI$13:$DF$13,'Staff Daily sales'!$G218:$CD218))</f>
        <v>150</v>
      </c>
      <c r="T233">
        <f>IF($E233=0,0,SUMPRODUCT($AI$14:$DF$14,'Staff Daily sales'!$G218:$CD218))</f>
        <v>1</v>
      </c>
      <c r="U233">
        <f>IF($E233=0,0,SUMPRODUCT($AI$15:$DF$15,'Staff Daily sales'!$G218:$CD218))</f>
        <v>0</v>
      </c>
      <c r="V233">
        <f>IF($E233=0,0,SUMPRODUCT($AI$16:$DF$16,'Staff Daily sales'!$G218:$CD218))</f>
        <v>0</v>
      </c>
      <c r="W233">
        <f t="shared" si="79"/>
        <v>41464.950000000004</v>
      </c>
      <c r="X233">
        <f t="shared" si="80"/>
        <v>50424.98</v>
      </c>
      <c r="Y233">
        <f t="shared" si="81"/>
        <v>41279.35</v>
      </c>
      <c r="Z233">
        <f t="shared" si="82"/>
        <v>37102.6</v>
      </c>
      <c r="AA233">
        <f t="shared" si="83"/>
        <v>8276.9999999999982</v>
      </c>
      <c r="AB233">
        <f>--AND($E233=1,OR('Staff Weekly Trend'!$B$3="All",$DH233='Staff Weekly Trend'!$B$3),OR('Staff Weekly Trend'!$B$4="All",$D233='Staff Weekly Trend'!$B$4),OR('Staff Weekly Trend'!$B$5="All",$A233='Staff Weekly Trend'!$B$5))</f>
        <v>1</v>
      </c>
      <c r="AC233" t="str">
        <f t="shared" si="84"/>
        <v/>
      </c>
      <c r="AI233">
        <f t="shared" si="85"/>
        <v>312</v>
      </c>
      <c r="AJ233">
        <f t="shared" si="86"/>
        <v>367</v>
      </c>
      <c r="AK233">
        <f t="shared" si="87"/>
        <v>269</v>
      </c>
      <c r="AL233">
        <f t="shared" si="88"/>
        <v>220</v>
      </c>
      <c r="AM233">
        <f t="shared" si="89"/>
        <v>49</v>
      </c>
      <c r="DH233" t="str" cm="1">
        <f t="array" ref="DH233">IF($A233="","",_xlfn.LET(_xlpm.c,IFERROR(_xlfn.XLOOKUP($A233,TRIM('Sales and count'!$A$4:$A$300&amp;""),TRIM('Sales and count'!$B$4:$B$300&amp;"")),""),IF(OR(_xlpm.c="",_xlpm.c="0",LEFT(_xlpm.c,1)="#"),"Not set",_xlpm.c)))</f>
        <v>KSA</v>
      </c>
    </row>
    <row r="234" spans="1:112" x14ac:dyDescent="0.25">
      <c r="A234" t="str">
        <f>IF('Staff Daily sales'!$B219="","",TRIM('Staff Daily sales'!$B219&amp;""))</f>
        <v>HAMAKKMAL</v>
      </c>
      <c r="B234" t="str">
        <f>IF('Staff Daily sales'!$D219="","",TRIM('Staff Daily sales'!$D219&amp;""))</f>
        <v>4565-SAldaadi</v>
      </c>
      <c r="C234" t="str">
        <f>IFERROR(TRIM('Staff Daily sales'!$E219&amp;""),"")</f>
        <v>Makkah</v>
      </c>
      <c r="D234" t="str">
        <f>IFERROR(IF(TRIM('Staff Daily sales'!$F219&amp;"")="","Unassigned",TRIM('Staff Daily sales'!$F219&amp;"")),"Unassigned")</f>
        <v>Maram Zamzami</v>
      </c>
      <c r="E234">
        <f t="shared" si="74"/>
        <v>1</v>
      </c>
      <c r="F234">
        <f>IF($E234=0,0,SUMPRODUCT($AI$5:$DF$5,'Staff Daily sales'!$G219:$CD219))</f>
        <v>4240.7299999999996</v>
      </c>
      <c r="G234">
        <f>IF($E234=0,0,SUMPRODUCT($AI$6:$DF$6,'Staff Daily sales'!$G219:$CD219))</f>
        <v>16</v>
      </c>
      <c r="H234">
        <f t="shared" si="75"/>
        <v>7126.61</v>
      </c>
      <c r="I234">
        <f t="shared" si="76"/>
        <v>34</v>
      </c>
      <c r="J234">
        <f t="shared" si="77"/>
        <v>89423.479999999967</v>
      </c>
      <c r="K234">
        <f t="shared" si="78"/>
        <v>413</v>
      </c>
      <c r="L234">
        <f>--AND($E234=1,OR('Staff Dashboard'!$B$6="All",$DH234='Staff Dashboard'!$B$6),OR('Staff Dashboard'!$B$7="All",$D234='Staff Dashboard'!$B$7),OR('Staff Dashboard'!$B$8="All",$A234='Staff Dashboard'!$B$8))</f>
        <v>1</v>
      </c>
      <c r="M234">
        <f>IF($E234=0,0,SUMPRODUCT($AI$7:$DF$7,'Staff Daily sales'!$G219:$CD219))</f>
        <v>15773.3</v>
      </c>
      <c r="N234">
        <f>IF($E234=0,0,SUMPRODUCT($AI$8:$DF$8,'Staff Daily sales'!$G219:$CD219))</f>
        <v>122</v>
      </c>
      <c r="O234">
        <f>IF($E234=0,0,SUMPRODUCT($AI$9:$DF$9,'Staff Daily sales'!$G219:$CD219))</f>
        <v>11570.140000000001</v>
      </c>
      <c r="P234">
        <f>IF($E234=0,0,SUMPRODUCT($AI$10:$DF$10,'Staff Daily sales'!$G219:$CD219))</f>
        <v>76</v>
      </c>
      <c r="Q234">
        <f>IF($E234=0,0,SUMPRODUCT($AI$11:$DF$11,'Staff Daily sales'!$G219:$CD219))</f>
        <v>15451.07</v>
      </c>
      <c r="R234">
        <f>IF($E234=0,0,SUMPRODUCT($AI$12:$DF$12,'Staff Daily sales'!$G219:$CD219))</f>
        <v>90</v>
      </c>
      <c r="S234">
        <f>IF($E234=0,0,SUMPRODUCT($AI$13:$DF$13,'Staff Daily sales'!$G219:$CD219))</f>
        <v>13011.849999999999</v>
      </c>
      <c r="T234">
        <f>IF($E234=0,0,SUMPRODUCT($AI$14:$DF$14,'Staff Daily sales'!$G219:$CD219))</f>
        <v>61</v>
      </c>
      <c r="U234">
        <f>IF($E234=0,0,SUMPRODUCT($AI$15:$DF$15,'Staff Daily sales'!$G219:$CD219))</f>
        <v>4115.0199999999995</v>
      </c>
      <c r="V234">
        <f>IF($E234=0,0,SUMPRODUCT($AI$16:$DF$16,'Staff Daily sales'!$G219:$CD219))</f>
        <v>28</v>
      </c>
      <c r="W234">
        <f t="shared" si="79"/>
        <v>41464.950000000004</v>
      </c>
      <c r="X234">
        <f t="shared" si="80"/>
        <v>50424.98</v>
      </c>
      <c r="Y234">
        <f t="shared" si="81"/>
        <v>41279.35</v>
      </c>
      <c r="Z234">
        <f t="shared" si="82"/>
        <v>37102.6</v>
      </c>
      <c r="AA234">
        <f t="shared" si="83"/>
        <v>8276.9999999999982</v>
      </c>
      <c r="AB234">
        <f>--AND($E234=1,OR('Staff Weekly Trend'!$B$3="All",$DH234='Staff Weekly Trend'!$B$3),OR('Staff Weekly Trend'!$B$4="All",$D234='Staff Weekly Trend'!$B$4),OR('Staff Weekly Trend'!$B$5="All",$A234='Staff Weekly Trend'!$B$5))</f>
        <v>1</v>
      </c>
      <c r="AC234">
        <f t="shared" si="84"/>
        <v>1</v>
      </c>
      <c r="AI234">
        <f t="shared" si="85"/>
        <v>312</v>
      </c>
      <c r="AJ234">
        <f t="shared" si="86"/>
        <v>367</v>
      </c>
      <c r="AK234">
        <f t="shared" si="87"/>
        <v>269</v>
      </c>
      <c r="AL234">
        <f t="shared" si="88"/>
        <v>220</v>
      </c>
      <c r="AM234">
        <f t="shared" si="89"/>
        <v>49</v>
      </c>
      <c r="DH234" t="str" cm="1">
        <f t="array" ref="DH234">IF($A234="","",_xlfn.LET(_xlpm.c,IFERROR(_xlfn.XLOOKUP($A234,TRIM('Sales and count'!$A$4:$A$300&amp;""),TRIM('Sales and count'!$B$4:$B$300&amp;"")),""),IF(OR(_xlpm.c="",_xlpm.c="0",LEFT(_xlpm.c,1)="#"),"Not set",_xlpm.c)))</f>
        <v>KSA</v>
      </c>
    </row>
    <row r="235" spans="1:112" x14ac:dyDescent="0.25">
      <c r="A235" t="str">
        <f>IF('Staff Daily sales'!$B220="","",TRIM('Staff Daily sales'!$B220&amp;""))</f>
        <v>HAMAKKMAL</v>
      </c>
      <c r="B235" t="str">
        <f>IF('Staff Daily sales'!$D220="","",TRIM('Staff Daily sales'!$D220&amp;""))</f>
        <v>4584-MAlmjnoni</v>
      </c>
      <c r="C235" t="str">
        <f>IFERROR(TRIM('Staff Daily sales'!$E220&amp;""),"")</f>
        <v>Makkah</v>
      </c>
      <c r="D235" t="str">
        <f>IFERROR(IF(TRIM('Staff Daily sales'!$F220&amp;"")="","Unassigned",TRIM('Staff Daily sales'!$F220&amp;"")),"Unassigned")</f>
        <v>Maram Zamzami</v>
      </c>
      <c r="E235">
        <f t="shared" si="74"/>
        <v>1</v>
      </c>
      <c r="F235">
        <f>IF($E235=0,0,SUMPRODUCT($AI$5:$DF$5,'Staff Daily sales'!$G220:$CD220))</f>
        <v>1317.93</v>
      </c>
      <c r="G235">
        <f>IF($E235=0,0,SUMPRODUCT($AI$6:$DF$6,'Staff Daily sales'!$G220:$CD220))</f>
        <v>6</v>
      </c>
      <c r="H235">
        <f t="shared" si="75"/>
        <v>7126.61</v>
      </c>
      <c r="I235">
        <f t="shared" si="76"/>
        <v>34</v>
      </c>
      <c r="J235">
        <f t="shared" si="77"/>
        <v>89423.479999999967</v>
      </c>
      <c r="K235">
        <f t="shared" si="78"/>
        <v>413</v>
      </c>
      <c r="L235">
        <f>--AND($E235=1,OR('Staff Dashboard'!$B$6="All",$DH235='Staff Dashboard'!$B$6),OR('Staff Dashboard'!$B$7="All",$D235='Staff Dashboard'!$B$7),OR('Staff Dashboard'!$B$8="All",$A235='Staff Dashboard'!$B$8))</f>
        <v>1</v>
      </c>
      <c r="M235">
        <f>IF($E235=0,0,SUMPRODUCT($AI$7:$DF$7,'Staff Daily sales'!$G220:$CD220))</f>
        <v>6846.16</v>
      </c>
      <c r="N235">
        <f>IF($E235=0,0,SUMPRODUCT($AI$8:$DF$8,'Staff Daily sales'!$G220:$CD220))</f>
        <v>51</v>
      </c>
      <c r="O235">
        <f>IF($E235=0,0,SUMPRODUCT($AI$9:$DF$9,'Staff Daily sales'!$G220:$CD220))</f>
        <v>8359.26</v>
      </c>
      <c r="P235">
        <f>IF($E235=0,0,SUMPRODUCT($AI$10:$DF$10,'Staff Daily sales'!$G220:$CD220))</f>
        <v>67</v>
      </c>
      <c r="Q235">
        <f>IF($E235=0,0,SUMPRODUCT($AI$11:$DF$11,'Staff Daily sales'!$G220:$CD220))</f>
        <v>6402.16</v>
      </c>
      <c r="R235">
        <f>IF($E235=0,0,SUMPRODUCT($AI$12:$DF$12,'Staff Daily sales'!$G220:$CD220))</f>
        <v>51</v>
      </c>
      <c r="S235">
        <f>IF($E235=0,0,SUMPRODUCT($AI$13:$DF$13,'Staff Daily sales'!$G220:$CD220))</f>
        <v>4540.97</v>
      </c>
      <c r="T235">
        <f>IF($E235=0,0,SUMPRODUCT($AI$14:$DF$14,'Staff Daily sales'!$G220:$CD220))</f>
        <v>26</v>
      </c>
      <c r="U235">
        <f>IF($E235=0,0,SUMPRODUCT($AI$15:$DF$15,'Staff Daily sales'!$G220:$CD220))</f>
        <v>360.98</v>
      </c>
      <c r="V235">
        <f>IF($E235=0,0,SUMPRODUCT($AI$16:$DF$16,'Staff Daily sales'!$G220:$CD220))</f>
        <v>4</v>
      </c>
      <c r="W235">
        <f t="shared" si="79"/>
        <v>41464.950000000004</v>
      </c>
      <c r="X235">
        <f t="shared" si="80"/>
        <v>50424.98</v>
      </c>
      <c r="Y235">
        <f t="shared" si="81"/>
        <v>41279.35</v>
      </c>
      <c r="Z235">
        <f t="shared" si="82"/>
        <v>37102.6</v>
      </c>
      <c r="AA235">
        <f t="shared" si="83"/>
        <v>8276.9999999999982</v>
      </c>
      <c r="AB235">
        <f>--AND($E235=1,OR('Staff Weekly Trend'!$B$3="All",$DH235='Staff Weekly Trend'!$B$3),OR('Staff Weekly Trend'!$B$4="All",$D235='Staff Weekly Trend'!$B$4),OR('Staff Weekly Trend'!$B$5="All",$A235='Staff Weekly Trend'!$B$5))</f>
        <v>1</v>
      </c>
      <c r="AC235">
        <f t="shared" si="84"/>
        <v>3</v>
      </c>
      <c r="AI235">
        <f t="shared" si="85"/>
        <v>312</v>
      </c>
      <c r="AJ235">
        <f t="shared" si="86"/>
        <v>367</v>
      </c>
      <c r="AK235">
        <f t="shared" si="87"/>
        <v>269</v>
      </c>
      <c r="AL235">
        <f t="shared" si="88"/>
        <v>220</v>
      </c>
      <c r="AM235">
        <f t="shared" si="89"/>
        <v>49</v>
      </c>
      <c r="DH235" t="str" cm="1">
        <f t="array" ref="DH235">IF($A235="","",_xlfn.LET(_xlpm.c,IFERROR(_xlfn.XLOOKUP($A235,TRIM('Sales and count'!$A$4:$A$300&amp;""),TRIM('Sales and count'!$B$4:$B$300&amp;"")),""),IF(OR(_xlpm.c="",_xlpm.c="0",LEFT(_xlpm.c,1)="#"),"Not set",_xlpm.c)))</f>
        <v>KSA</v>
      </c>
    </row>
    <row r="236" spans="1:112" x14ac:dyDescent="0.25">
      <c r="A236" t="str">
        <f>IF('Staff Daily sales'!$B221="","",TRIM('Staff Daily sales'!$B221&amp;""))</f>
        <v>HAMAKKMAL</v>
      </c>
      <c r="B236" t="str">
        <f>IF('Staff Daily sales'!$D221="","",TRIM('Staff Daily sales'!$D221&amp;""))</f>
        <v>5381-MHashemi</v>
      </c>
      <c r="C236" t="str">
        <f>IFERROR(TRIM('Staff Daily sales'!$E221&amp;""),"")</f>
        <v>Makkah</v>
      </c>
      <c r="D236" t="str">
        <f>IFERROR(IF(TRIM('Staff Daily sales'!$F221&amp;"")="","Unassigned",TRIM('Staff Daily sales'!$F221&amp;"")),"Unassigned")</f>
        <v>Maram Zamzami</v>
      </c>
      <c r="E236">
        <f t="shared" si="74"/>
        <v>1</v>
      </c>
      <c r="F236">
        <f>IF($E236=0,0,SUMPRODUCT($AI$5:$DF$5,'Staff Daily sales'!$G221:$CD221))</f>
        <v>0</v>
      </c>
      <c r="G236">
        <f>IF($E236=0,0,SUMPRODUCT($AI$6:$DF$6,'Staff Daily sales'!$G221:$CD221))</f>
        <v>0</v>
      </c>
      <c r="H236">
        <f t="shared" si="75"/>
        <v>7126.61</v>
      </c>
      <c r="I236">
        <f t="shared" si="76"/>
        <v>34</v>
      </c>
      <c r="J236">
        <f t="shared" si="77"/>
        <v>89423.479999999967</v>
      </c>
      <c r="K236">
        <f t="shared" si="78"/>
        <v>413</v>
      </c>
      <c r="L236">
        <f>--AND($E236=1,OR('Staff Dashboard'!$B$6="All",$DH236='Staff Dashboard'!$B$6),OR('Staff Dashboard'!$B$7="All",$D236='Staff Dashboard'!$B$7),OR('Staff Dashboard'!$B$8="All",$A236='Staff Dashboard'!$B$8))</f>
        <v>1</v>
      </c>
      <c r="M236">
        <f>IF($E236=0,0,SUMPRODUCT($AI$7:$DF$7,'Staff Daily sales'!$G221:$CD221))</f>
        <v>3275.01</v>
      </c>
      <c r="N236">
        <f>IF($E236=0,0,SUMPRODUCT($AI$8:$DF$8,'Staff Daily sales'!$G221:$CD221))</f>
        <v>24</v>
      </c>
      <c r="O236">
        <f>IF($E236=0,0,SUMPRODUCT($AI$9:$DF$9,'Staff Daily sales'!$G221:$CD221))</f>
        <v>4720.08</v>
      </c>
      <c r="P236">
        <f>IF($E236=0,0,SUMPRODUCT($AI$10:$DF$10,'Staff Daily sales'!$G221:$CD221))</f>
        <v>39</v>
      </c>
      <c r="Q236">
        <f>IF($E236=0,0,SUMPRODUCT($AI$11:$DF$11,'Staff Daily sales'!$G221:$CD221))</f>
        <v>1195.02</v>
      </c>
      <c r="R236">
        <f>IF($E236=0,0,SUMPRODUCT($AI$12:$DF$12,'Staff Daily sales'!$G221:$CD221))</f>
        <v>8</v>
      </c>
      <c r="S236">
        <f>IF($E236=0,0,SUMPRODUCT($AI$13:$DF$13,'Staff Daily sales'!$G221:$CD221))</f>
        <v>225</v>
      </c>
      <c r="T236">
        <f>IF($E236=0,0,SUMPRODUCT($AI$14:$DF$14,'Staff Daily sales'!$G221:$CD221))</f>
        <v>2</v>
      </c>
      <c r="U236">
        <f>IF($E236=0,0,SUMPRODUCT($AI$15:$DF$15,'Staff Daily sales'!$G221:$CD221))</f>
        <v>0</v>
      </c>
      <c r="V236">
        <f>IF($E236=0,0,SUMPRODUCT($AI$16:$DF$16,'Staff Daily sales'!$G221:$CD221))</f>
        <v>0</v>
      </c>
      <c r="W236">
        <f t="shared" si="79"/>
        <v>41464.950000000004</v>
      </c>
      <c r="X236">
        <f t="shared" si="80"/>
        <v>50424.98</v>
      </c>
      <c r="Y236">
        <f t="shared" si="81"/>
        <v>41279.35</v>
      </c>
      <c r="Z236">
        <f t="shared" si="82"/>
        <v>37102.6</v>
      </c>
      <c r="AA236">
        <f t="shared" si="83"/>
        <v>8276.9999999999982</v>
      </c>
      <c r="AB236">
        <f>--AND($E236=1,OR('Staff Weekly Trend'!$B$3="All",$DH236='Staff Weekly Trend'!$B$3),OR('Staff Weekly Trend'!$B$4="All",$D236='Staff Weekly Trend'!$B$4),OR('Staff Weekly Trend'!$B$5="All",$A236='Staff Weekly Trend'!$B$5))</f>
        <v>1</v>
      </c>
      <c r="AC236" t="str">
        <f t="shared" si="84"/>
        <v/>
      </c>
      <c r="AI236">
        <f t="shared" si="85"/>
        <v>312</v>
      </c>
      <c r="AJ236">
        <f t="shared" si="86"/>
        <v>367</v>
      </c>
      <c r="AK236">
        <f t="shared" si="87"/>
        <v>269</v>
      </c>
      <c r="AL236">
        <f t="shared" si="88"/>
        <v>220</v>
      </c>
      <c r="AM236">
        <f t="shared" si="89"/>
        <v>49</v>
      </c>
      <c r="DH236" t="str" cm="1">
        <f t="array" ref="DH236">IF($A236="","",_xlfn.LET(_xlpm.c,IFERROR(_xlfn.XLOOKUP($A236,TRIM('Sales and count'!$A$4:$A$300&amp;""),TRIM('Sales and count'!$B$4:$B$300&amp;"")),""),IF(OR(_xlpm.c="",_xlpm.c="0",LEFT(_xlpm.c,1)="#"),"Not set",_xlpm.c)))</f>
        <v>KSA</v>
      </c>
    </row>
    <row r="237" spans="1:112" x14ac:dyDescent="0.25">
      <c r="A237" t="str">
        <f>IF('Staff Daily sales'!$B222="","",TRIM('Staff Daily sales'!$B222&amp;""))</f>
        <v>HAMAKKMAL</v>
      </c>
      <c r="B237" t="str">
        <f>IF('Staff Daily sales'!$D222="","",TRIM('Staff Daily sales'!$D222&amp;""))</f>
        <v>5426-FNajjar</v>
      </c>
      <c r="C237" t="str">
        <f>IFERROR(TRIM('Staff Daily sales'!$E222&amp;""),"")</f>
        <v>Makkah</v>
      </c>
      <c r="D237" t="str">
        <f>IFERROR(IF(TRIM('Staff Daily sales'!$F222&amp;"")="","Unassigned",TRIM('Staff Daily sales'!$F222&amp;"")),"Unassigned")</f>
        <v>Maram Zamzami</v>
      </c>
      <c r="E237">
        <f t="shared" si="74"/>
        <v>1</v>
      </c>
      <c r="F237">
        <f>IF($E237=0,0,SUMPRODUCT($AI$5:$DF$5,'Staff Daily sales'!$G222:$CD222))</f>
        <v>150</v>
      </c>
      <c r="G237">
        <f>IF($E237=0,0,SUMPRODUCT($AI$6:$DF$6,'Staff Daily sales'!$G222:$CD222))</f>
        <v>2</v>
      </c>
      <c r="H237">
        <f t="shared" si="75"/>
        <v>7126.61</v>
      </c>
      <c r="I237">
        <f t="shared" si="76"/>
        <v>34</v>
      </c>
      <c r="J237">
        <f t="shared" si="77"/>
        <v>89423.479999999967</v>
      </c>
      <c r="K237">
        <f t="shared" si="78"/>
        <v>413</v>
      </c>
      <c r="L237">
        <f>--AND($E237=1,OR('Staff Dashboard'!$B$6="All",$DH237='Staff Dashboard'!$B$6),OR('Staff Dashboard'!$B$7="All",$D237='Staff Dashboard'!$B$7),OR('Staff Dashboard'!$B$8="All",$A237='Staff Dashboard'!$B$8))</f>
        <v>1</v>
      </c>
      <c r="M237">
        <f>IF($E237=0,0,SUMPRODUCT($AI$7:$DF$7,'Staff Daily sales'!$G222:$CD222))</f>
        <v>0</v>
      </c>
      <c r="N237">
        <f>IF($E237=0,0,SUMPRODUCT($AI$8:$DF$8,'Staff Daily sales'!$G222:$CD222))</f>
        <v>0</v>
      </c>
      <c r="O237">
        <f>IF($E237=0,0,SUMPRODUCT($AI$9:$DF$9,'Staff Daily sales'!$G222:$CD222))</f>
        <v>0</v>
      </c>
      <c r="P237">
        <f>IF($E237=0,0,SUMPRODUCT($AI$10:$DF$10,'Staff Daily sales'!$G222:$CD222))</f>
        <v>0</v>
      </c>
      <c r="Q237">
        <f>IF($E237=0,0,SUMPRODUCT($AI$11:$DF$11,'Staff Daily sales'!$G222:$CD222))</f>
        <v>1278.03</v>
      </c>
      <c r="R237">
        <f>IF($E237=0,0,SUMPRODUCT($AI$12:$DF$12,'Staff Daily sales'!$G222:$CD222))</f>
        <v>10</v>
      </c>
      <c r="S237">
        <f>IF($E237=0,0,SUMPRODUCT($AI$13:$DF$13,'Staff Daily sales'!$G222:$CD222))</f>
        <v>2577.9</v>
      </c>
      <c r="T237">
        <f>IF($E237=0,0,SUMPRODUCT($AI$14:$DF$14,'Staff Daily sales'!$G222:$CD222))</f>
        <v>19</v>
      </c>
      <c r="U237">
        <f>IF($E237=0,0,SUMPRODUCT($AI$15:$DF$15,'Staff Daily sales'!$G222:$CD222))</f>
        <v>0</v>
      </c>
      <c r="V237">
        <f>IF($E237=0,0,SUMPRODUCT($AI$16:$DF$16,'Staff Daily sales'!$G222:$CD222))</f>
        <v>0</v>
      </c>
      <c r="W237">
        <f t="shared" si="79"/>
        <v>41464.950000000004</v>
      </c>
      <c r="X237">
        <f t="shared" si="80"/>
        <v>50424.98</v>
      </c>
      <c r="Y237">
        <f t="shared" si="81"/>
        <v>41279.35</v>
      </c>
      <c r="Z237">
        <f t="shared" si="82"/>
        <v>37102.6</v>
      </c>
      <c r="AA237">
        <f t="shared" si="83"/>
        <v>8276.9999999999982</v>
      </c>
      <c r="AB237">
        <f>--AND($E237=1,OR('Staff Weekly Trend'!$B$3="All",$DH237='Staff Weekly Trend'!$B$3),OR('Staff Weekly Trend'!$B$4="All",$D237='Staff Weekly Trend'!$B$4),OR('Staff Weekly Trend'!$B$5="All",$A237='Staff Weekly Trend'!$B$5))</f>
        <v>1</v>
      </c>
      <c r="AC237">
        <f t="shared" si="84"/>
        <v>4</v>
      </c>
      <c r="AI237">
        <f t="shared" si="85"/>
        <v>312</v>
      </c>
      <c r="AJ237">
        <f t="shared" si="86"/>
        <v>367</v>
      </c>
      <c r="AK237">
        <f t="shared" si="87"/>
        <v>269</v>
      </c>
      <c r="AL237">
        <f t="shared" si="88"/>
        <v>220</v>
      </c>
      <c r="AM237">
        <f t="shared" si="89"/>
        <v>49</v>
      </c>
      <c r="DH237" t="str" cm="1">
        <f t="array" ref="DH237">IF($A237="","",_xlfn.LET(_xlpm.c,IFERROR(_xlfn.XLOOKUP($A237,TRIM('Sales and count'!$A$4:$A$300&amp;""),TRIM('Sales and count'!$B$4:$B$300&amp;"")),""),IF(OR(_xlpm.c="",_xlpm.c="0",LEFT(_xlpm.c,1)="#"),"Not set",_xlpm.c)))</f>
        <v>KSA</v>
      </c>
    </row>
    <row r="238" spans="1:112" x14ac:dyDescent="0.25">
      <c r="A238" t="str">
        <f>IF('Staff Daily sales'!$B223="","",TRIM('Staff Daily sales'!$B223&amp;""))</f>
        <v>HAMUJANPRK</v>
      </c>
      <c r="B238" t="str">
        <f>IF('Staff Daily sales'!$D223="","",TRIM('Staff Daily sales'!$D223&amp;""))</f>
        <v>3404-Yazid Asiri</v>
      </c>
      <c r="C238" t="str">
        <f>IFERROR(TRIM('Staff Daily sales'!$E223&amp;""),"")</f>
        <v>Khamis meshaet</v>
      </c>
      <c r="D238" t="str">
        <f>IFERROR(IF(TRIM('Staff Daily sales'!$F223&amp;"")="","Unassigned",TRIM('Staff Daily sales'!$F223&amp;"")),"Unassigned")</f>
        <v>Ahmed Jaffari</v>
      </c>
      <c r="E238">
        <f t="shared" si="74"/>
        <v>1</v>
      </c>
      <c r="F238">
        <f>IF($E238=0,0,SUMPRODUCT($AI$5:$DF$5,'Staff Daily sales'!$G223:$CD223))</f>
        <v>0</v>
      </c>
      <c r="G238">
        <f>IF($E238=0,0,SUMPRODUCT($AI$6:$DF$6,'Staff Daily sales'!$G223:$CD223))</f>
        <v>0</v>
      </c>
      <c r="H238">
        <f t="shared" si="75"/>
        <v>3434.8</v>
      </c>
      <c r="I238">
        <f t="shared" si="76"/>
        <v>17</v>
      </c>
      <c r="J238">
        <f t="shared" si="77"/>
        <v>44058.899999999994</v>
      </c>
      <c r="K238">
        <f t="shared" si="78"/>
        <v>244</v>
      </c>
      <c r="L238">
        <f>--AND($E238=1,OR('Staff Dashboard'!$B$6="All",$DH238='Staff Dashboard'!$B$6),OR('Staff Dashboard'!$B$7="All",$D238='Staff Dashboard'!$B$7),OR('Staff Dashboard'!$B$8="All",$A238='Staff Dashboard'!$B$8))</f>
        <v>0</v>
      </c>
      <c r="M238">
        <f>IF($E238=0,0,SUMPRODUCT($AI$7:$DF$7,'Staff Daily sales'!$G223:$CD223))</f>
        <v>3098.05</v>
      </c>
      <c r="N238">
        <f>IF($E238=0,0,SUMPRODUCT($AI$8:$DF$8,'Staff Daily sales'!$G223:$CD223))</f>
        <v>23</v>
      </c>
      <c r="O238">
        <f>IF($E238=0,0,SUMPRODUCT($AI$9:$DF$9,'Staff Daily sales'!$G223:$CD223))</f>
        <v>300</v>
      </c>
      <c r="P238">
        <f>IF($E238=0,0,SUMPRODUCT($AI$10:$DF$10,'Staff Daily sales'!$G223:$CD223))</f>
        <v>2</v>
      </c>
      <c r="Q238">
        <f>IF($E238=0,0,SUMPRODUCT($AI$11:$DF$11,'Staff Daily sales'!$G223:$CD223))</f>
        <v>2714.02</v>
      </c>
      <c r="R238">
        <f>IF($E238=0,0,SUMPRODUCT($AI$12:$DF$12,'Staff Daily sales'!$G223:$CD223))</f>
        <v>15</v>
      </c>
      <c r="S238">
        <f>IF($E238=0,0,SUMPRODUCT($AI$13:$DF$13,'Staff Daily sales'!$G223:$CD223))</f>
        <v>150.01</v>
      </c>
      <c r="T238">
        <f>IF($E238=0,0,SUMPRODUCT($AI$14:$DF$14,'Staff Daily sales'!$G223:$CD223))</f>
        <v>1</v>
      </c>
      <c r="U238">
        <f>IF($E238=0,0,SUMPRODUCT($AI$15:$DF$15,'Staff Daily sales'!$G223:$CD223))</f>
        <v>0</v>
      </c>
      <c r="V238">
        <f>IF($E238=0,0,SUMPRODUCT($AI$16:$DF$16,'Staff Daily sales'!$G223:$CD223))</f>
        <v>0</v>
      </c>
      <c r="W238">
        <f t="shared" si="79"/>
        <v>29995.600000000002</v>
      </c>
      <c r="X238">
        <f t="shared" si="80"/>
        <v>38853.69</v>
      </c>
      <c r="Y238">
        <f t="shared" si="81"/>
        <v>31575.520000000004</v>
      </c>
      <c r="Z238">
        <f t="shared" si="82"/>
        <v>23555.350000000006</v>
      </c>
      <c r="AA238">
        <f t="shared" si="83"/>
        <v>6699.0199999999995</v>
      </c>
      <c r="AB238">
        <f>--AND($E238=1,OR('Staff Weekly Trend'!$B$3="All",$DH238='Staff Weekly Trend'!$B$3),OR('Staff Weekly Trend'!$B$4="All",$D238='Staff Weekly Trend'!$B$4),OR('Staff Weekly Trend'!$B$5="All",$A238='Staff Weekly Trend'!$B$5))</f>
        <v>1</v>
      </c>
      <c r="AC238" t="str">
        <f t="shared" si="84"/>
        <v/>
      </c>
      <c r="AI238">
        <f t="shared" si="85"/>
        <v>196</v>
      </c>
      <c r="AJ238">
        <f t="shared" si="86"/>
        <v>228</v>
      </c>
      <c r="AK238">
        <f t="shared" si="87"/>
        <v>174</v>
      </c>
      <c r="AL238">
        <f t="shared" si="88"/>
        <v>128</v>
      </c>
      <c r="AM238">
        <f t="shared" si="89"/>
        <v>37</v>
      </c>
      <c r="DH238" t="str" cm="1">
        <f t="array" ref="DH238">IF($A238="","",_xlfn.LET(_xlpm.c,IFERROR(_xlfn.XLOOKUP($A238,TRIM('Sales and count'!$A$4:$A$300&amp;""),TRIM('Sales and count'!$B$4:$B$300&amp;"")),""),IF(OR(_xlpm.c="",_xlpm.c="0",LEFT(_xlpm.c,1)="#"),"Not set",_xlpm.c)))</f>
        <v>KSA</v>
      </c>
    </row>
    <row r="239" spans="1:112" x14ac:dyDescent="0.25">
      <c r="A239" t="str">
        <f>IF('Staff Daily sales'!$B224="","",TRIM('Staff Daily sales'!$B224&amp;""))</f>
        <v>HAMUJANPRK</v>
      </c>
      <c r="B239" t="str">
        <f>IF('Staff Daily sales'!$D224="","",TRIM('Staff Daily sales'!$D224&amp;""))</f>
        <v>3405-Mohammed Asiri</v>
      </c>
      <c r="C239" t="str">
        <f>IFERROR(TRIM('Staff Daily sales'!$E224&amp;""),"")</f>
        <v>Khamis meshaet</v>
      </c>
      <c r="D239" t="str">
        <f>IFERROR(IF(TRIM('Staff Daily sales'!$F224&amp;"")="","Unassigned",TRIM('Staff Daily sales'!$F224&amp;"")),"Unassigned")</f>
        <v>Ahmed Jaffari</v>
      </c>
      <c r="E239">
        <f t="shared" si="74"/>
        <v>1</v>
      </c>
      <c r="F239">
        <f>IF($E239=0,0,SUMPRODUCT($AI$5:$DF$5,'Staff Daily sales'!$G224:$CD224))</f>
        <v>440.98</v>
      </c>
      <c r="G239">
        <f>IF($E239=0,0,SUMPRODUCT($AI$6:$DF$6,'Staff Daily sales'!$G224:$CD224))</f>
        <v>3</v>
      </c>
      <c r="H239">
        <f t="shared" si="75"/>
        <v>3434.8</v>
      </c>
      <c r="I239">
        <f t="shared" si="76"/>
        <v>17</v>
      </c>
      <c r="J239">
        <f t="shared" si="77"/>
        <v>44058.899999999994</v>
      </c>
      <c r="K239">
        <f t="shared" si="78"/>
        <v>244</v>
      </c>
      <c r="L239">
        <f>--AND($E239=1,OR('Staff Dashboard'!$B$6="All",$DH239='Staff Dashboard'!$B$6),OR('Staff Dashboard'!$B$7="All",$D239='Staff Dashboard'!$B$7),OR('Staff Dashboard'!$B$8="All",$A239='Staff Dashboard'!$B$8))</f>
        <v>0</v>
      </c>
      <c r="M239">
        <f>IF($E239=0,0,SUMPRODUCT($AI$7:$DF$7,'Staff Daily sales'!$G224:$CD224))</f>
        <v>8373.11</v>
      </c>
      <c r="N239">
        <f>IF($E239=0,0,SUMPRODUCT($AI$8:$DF$8,'Staff Daily sales'!$G224:$CD224))</f>
        <v>51</v>
      </c>
      <c r="O239">
        <f>IF($E239=0,0,SUMPRODUCT($AI$9:$DF$9,'Staff Daily sales'!$G224:$CD224))</f>
        <v>15783.230000000001</v>
      </c>
      <c r="P239">
        <f>IF($E239=0,0,SUMPRODUCT($AI$10:$DF$10,'Staff Daily sales'!$G224:$CD224))</f>
        <v>90</v>
      </c>
      <c r="Q239">
        <f>IF($E239=0,0,SUMPRODUCT($AI$11:$DF$11,'Staff Daily sales'!$G224:$CD224))</f>
        <v>8453.08</v>
      </c>
      <c r="R239">
        <f>IF($E239=0,0,SUMPRODUCT($AI$12:$DF$12,'Staff Daily sales'!$G224:$CD224))</f>
        <v>55</v>
      </c>
      <c r="S239">
        <f>IF($E239=0,0,SUMPRODUCT($AI$13:$DF$13,'Staff Daily sales'!$G224:$CD224))</f>
        <v>3693.79</v>
      </c>
      <c r="T239">
        <f>IF($E239=0,0,SUMPRODUCT($AI$14:$DF$14,'Staff Daily sales'!$G224:$CD224))</f>
        <v>17</v>
      </c>
      <c r="U239">
        <f>IF($E239=0,0,SUMPRODUCT($AI$15:$DF$15,'Staff Daily sales'!$G224:$CD224))</f>
        <v>1766.94</v>
      </c>
      <c r="V239">
        <f>IF($E239=0,0,SUMPRODUCT($AI$16:$DF$16,'Staff Daily sales'!$G224:$CD224))</f>
        <v>9</v>
      </c>
      <c r="W239">
        <f t="shared" si="79"/>
        <v>29995.600000000002</v>
      </c>
      <c r="X239">
        <f t="shared" si="80"/>
        <v>38853.69</v>
      </c>
      <c r="Y239">
        <f t="shared" si="81"/>
        <v>31575.520000000004</v>
      </c>
      <c r="Z239">
        <f t="shared" si="82"/>
        <v>23555.350000000006</v>
      </c>
      <c r="AA239">
        <f t="shared" si="83"/>
        <v>6699.0199999999995</v>
      </c>
      <c r="AB239">
        <f>--AND($E239=1,OR('Staff Weekly Trend'!$B$3="All",$DH239='Staff Weekly Trend'!$B$3),OR('Staff Weekly Trend'!$B$4="All",$D239='Staff Weekly Trend'!$B$4),OR('Staff Weekly Trend'!$B$5="All",$A239='Staff Weekly Trend'!$B$5))</f>
        <v>1</v>
      </c>
      <c r="AC239">
        <f t="shared" si="84"/>
        <v>3</v>
      </c>
      <c r="AI239">
        <f t="shared" si="85"/>
        <v>196</v>
      </c>
      <c r="AJ239">
        <f t="shared" si="86"/>
        <v>228</v>
      </c>
      <c r="AK239">
        <f t="shared" si="87"/>
        <v>174</v>
      </c>
      <c r="AL239">
        <f t="shared" si="88"/>
        <v>128</v>
      </c>
      <c r="AM239">
        <f t="shared" si="89"/>
        <v>37</v>
      </c>
      <c r="DH239" t="str" cm="1">
        <f t="array" ref="DH239">IF($A239="","",_xlfn.LET(_xlpm.c,IFERROR(_xlfn.XLOOKUP($A239,TRIM('Sales and count'!$A$4:$A$300&amp;""),TRIM('Sales and count'!$B$4:$B$300&amp;"")),""),IF(OR(_xlpm.c="",_xlpm.c="0",LEFT(_xlpm.c,1)="#"),"Not set",_xlpm.c)))</f>
        <v>KSA</v>
      </c>
    </row>
    <row r="240" spans="1:112" x14ac:dyDescent="0.25">
      <c r="A240" t="str">
        <f>IF('Staff Daily sales'!$B225="","",TRIM('Staff Daily sales'!$B225&amp;""))</f>
        <v>HAMUJANPRK</v>
      </c>
      <c r="B240" t="str">
        <f>IF('Staff Daily sales'!$D225="","",TRIM('Staff Daily sales'!$D225&amp;""))</f>
        <v>3420-Najla Asiri</v>
      </c>
      <c r="C240" t="str">
        <f>IFERROR(TRIM('Staff Daily sales'!$E225&amp;""),"")</f>
        <v>Khamis meshaet</v>
      </c>
      <c r="D240" t="str">
        <f>IFERROR(IF(TRIM('Staff Daily sales'!$F225&amp;"")="","Unassigned",TRIM('Staff Daily sales'!$F225&amp;"")),"Unassigned")</f>
        <v>Ahmed Jaffari</v>
      </c>
      <c r="E240">
        <f t="shared" si="74"/>
        <v>1</v>
      </c>
      <c r="F240">
        <f>IF($E240=0,0,SUMPRODUCT($AI$5:$DF$5,'Staff Daily sales'!$G225:$CD225))</f>
        <v>0</v>
      </c>
      <c r="G240">
        <f>IF($E240=0,0,SUMPRODUCT($AI$6:$DF$6,'Staff Daily sales'!$G225:$CD225))</f>
        <v>0</v>
      </c>
      <c r="H240">
        <f t="shared" si="75"/>
        <v>3434.8</v>
      </c>
      <c r="I240">
        <f t="shared" si="76"/>
        <v>17</v>
      </c>
      <c r="J240">
        <f t="shared" si="77"/>
        <v>44058.899999999994</v>
      </c>
      <c r="K240">
        <f t="shared" si="78"/>
        <v>244</v>
      </c>
      <c r="L240">
        <f>--AND($E240=1,OR('Staff Dashboard'!$B$6="All",$DH240='Staff Dashboard'!$B$6),OR('Staff Dashboard'!$B$7="All",$D240='Staff Dashboard'!$B$7),OR('Staff Dashboard'!$B$8="All",$A240='Staff Dashboard'!$B$8))</f>
        <v>0</v>
      </c>
      <c r="M240">
        <f>IF($E240=0,0,SUMPRODUCT($AI$7:$DF$7,'Staff Daily sales'!$G225:$CD225))</f>
        <v>6753.17</v>
      </c>
      <c r="N240">
        <f>IF($E240=0,0,SUMPRODUCT($AI$8:$DF$8,'Staff Daily sales'!$G225:$CD225))</f>
        <v>50</v>
      </c>
      <c r="O240">
        <f>IF($E240=0,0,SUMPRODUCT($AI$9:$DF$9,'Staff Daily sales'!$G225:$CD225))</f>
        <v>0</v>
      </c>
      <c r="P240">
        <f>IF($E240=0,0,SUMPRODUCT($AI$10:$DF$10,'Staff Daily sales'!$G225:$CD225))</f>
        <v>0</v>
      </c>
      <c r="Q240">
        <f>IF($E240=0,0,SUMPRODUCT($AI$11:$DF$11,'Staff Daily sales'!$G225:$CD225))</f>
        <v>0</v>
      </c>
      <c r="R240">
        <f>IF($E240=0,0,SUMPRODUCT($AI$12:$DF$12,'Staff Daily sales'!$G225:$CD225))</f>
        <v>0</v>
      </c>
      <c r="S240">
        <f>IF($E240=0,0,SUMPRODUCT($AI$13:$DF$13,'Staff Daily sales'!$G225:$CD225))</f>
        <v>0</v>
      </c>
      <c r="T240">
        <f>IF($E240=0,0,SUMPRODUCT($AI$14:$DF$14,'Staff Daily sales'!$G225:$CD225))</f>
        <v>0</v>
      </c>
      <c r="U240">
        <f>IF($E240=0,0,SUMPRODUCT($AI$15:$DF$15,'Staff Daily sales'!$G225:$CD225))</f>
        <v>0</v>
      </c>
      <c r="V240">
        <f>IF($E240=0,0,SUMPRODUCT($AI$16:$DF$16,'Staff Daily sales'!$G225:$CD225))</f>
        <v>0</v>
      </c>
      <c r="W240">
        <f t="shared" si="79"/>
        <v>29995.600000000002</v>
      </c>
      <c r="X240">
        <f t="shared" si="80"/>
        <v>38853.69</v>
      </c>
      <c r="Y240">
        <f t="shared" si="81"/>
        <v>31575.520000000004</v>
      </c>
      <c r="Z240">
        <f t="shared" si="82"/>
        <v>23555.350000000006</v>
      </c>
      <c r="AA240">
        <f t="shared" si="83"/>
        <v>6699.0199999999995</v>
      </c>
      <c r="AB240">
        <f>--AND($E240=1,OR('Staff Weekly Trend'!$B$3="All",$DH240='Staff Weekly Trend'!$B$3),OR('Staff Weekly Trend'!$B$4="All",$D240='Staff Weekly Trend'!$B$4),OR('Staff Weekly Trend'!$B$5="All",$A240='Staff Weekly Trend'!$B$5))</f>
        <v>1</v>
      </c>
      <c r="AC240" t="str">
        <f t="shared" si="84"/>
        <v/>
      </c>
      <c r="AI240">
        <f t="shared" si="85"/>
        <v>196</v>
      </c>
      <c r="AJ240">
        <f t="shared" si="86"/>
        <v>228</v>
      </c>
      <c r="AK240">
        <f t="shared" si="87"/>
        <v>174</v>
      </c>
      <c r="AL240">
        <f t="shared" si="88"/>
        <v>128</v>
      </c>
      <c r="AM240">
        <f t="shared" si="89"/>
        <v>37</v>
      </c>
      <c r="DH240" t="str" cm="1">
        <f t="array" ref="DH240">IF($A240="","",_xlfn.LET(_xlpm.c,IFERROR(_xlfn.XLOOKUP($A240,TRIM('Sales and count'!$A$4:$A$300&amp;""),TRIM('Sales and count'!$B$4:$B$300&amp;"")),""),IF(OR(_xlpm.c="",_xlpm.c="0",LEFT(_xlpm.c,1)="#"),"Not set",_xlpm.c)))</f>
        <v>KSA</v>
      </c>
    </row>
    <row r="241" spans="1:112" x14ac:dyDescent="0.25">
      <c r="A241" t="str">
        <f>IF('Staff Daily sales'!$B226="","",TRIM('Staff Daily sales'!$B226&amp;""))</f>
        <v>HAMUJANPRK</v>
      </c>
      <c r="B241" t="str">
        <f>IF('Staff Daily sales'!$D226="","",TRIM('Staff Daily sales'!$D226&amp;""))</f>
        <v>4594-KMohi</v>
      </c>
      <c r="C241" t="str">
        <f>IFERROR(TRIM('Staff Daily sales'!$E226&amp;""),"")</f>
        <v>Khamis meshaet</v>
      </c>
      <c r="D241" t="str">
        <f>IFERROR(IF(TRIM('Staff Daily sales'!$F226&amp;"")="","Unassigned",TRIM('Staff Daily sales'!$F226&amp;"")),"Unassigned")</f>
        <v>Ahmed Jaffari</v>
      </c>
      <c r="E241">
        <f t="shared" si="74"/>
        <v>1</v>
      </c>
      <c r="F241">
        <f>IF($E241=0,0,SUMPRODUCT($AI$5:$DF$5,'Staff Daily sales'!$G226:$CD226))</f>
        <v>2421.86</v>
      </c>
      <c r="G241">
        <f>IF($E241=0,0,SUMPRODUCT($AI$6:$DF$6,'Staff Daily sales'!$G226:$CD226))</f>
        <v>11</v>
      </c>
      <c r="H241">
        <f t="shared" si="75"/>
        <v>3434.8</v>
      </c>
      <c r="I241">
        <f t="shared" si="76"/>
        <v>17</v>
      </c>
      <c r="J241">
        <f t="shared" si="77"/>
        <v>44058.899999999994</v>
      </c>
      <c r="K241">
        <f t="shared" si="78"/>
        <v>244</v>
      </c>
      <c r="L241">
        <f>--AND($E241=1,OR('Staff Dashboard'!$B$6="All",$DH241='Staff Dashboard'!$B$6),OR('Staff Dashboard'!$B$7="All",$D241='Staff Dashboard'!$B$7),OR('Staff Dashboard'!$B$8="All",$A241='Staff Dashboard'!$B$8))</f>
        <v>0</v>
      </c>
      <c r="M241">
        <f>IF($E241=0,0,SUMPRODUCT($AI$7:$DF$7,'Staff Daily sales'!$G226:$CD226))</f>
        <v>5648.13</v>
      </c>
      <c r="N241">
        <f>IF($E241=0,0,SUMPRODUCT($AI$8:$DF$8,'Staff Daily sales'!$G226:$CD226))</f>
        <v>33</v>
      </c>
      <c r="O241">
        <f>IF($E241=0,0,SUMPRODUCT($AI$9:$DF$9,'Staff Daily sales'!$G226:$CD226))</f>
        <v>9551.17</v>
      </c>
      <c r="P241">
        <f>IF($E241=0,0,SUMPRODUCT($AI$10:$DF$10,'Staff Daily sales'!$G226:$CD226))</f>
        <v>55</v>
      </c>
      <c r="Q241">
        <f>IF($E241=0,0,SUMPRODUCT($AI$11:$DF$11,'Staff Daily sales'!$G226:$CD226))</f>
        <v>11443.240000000002</v>
      </c>
      <c r="R241">
        <f>IF($E241=0,0,SUMPRODUCT($AI$12:$DF$12,'Staff Daily sales'!$G226:$CD226))</f>
        <v>58</v>
      </c>
      <c r="S241">
        <f>IF($E241=0,0,SUMPRODUCT($AI$13:$DF$13,'Staff Daily sales'!$G226:$CD226))</f>
        <v>11635.730000000001</v>
      </c>
      <c r="T241">
        <f>IF($E241=0,0,SUMPRODUCT($AI$14:$DF$14,'Staff Daily sales'!$G226:$CD226))</f>
        <v>65</v>
      </c>
      <c r="U241">
        <f>IF($E241=0,0,SUMPRODUCT($AI$15:$DF$15,'Staff Daily sales'!$G226:$CD226))</f>
        <v>2573.04</v>
      </c>
      <c r="V241">
        <f>IF($E241=0,0,SUMPRODUCT($AI$16:$DF$16,'Staff Daily sales'!$G226:$CD226))</f>
        <v>13</v>
      </c>
      <c r="W241">
        <f t="shared" si="79"/>
        <v>29995.600000000002</v>
      </c>
      <c r="X241">
        <f t="shared" si="80"/>
        <v>38853.69</v>
      </c>
      <c r="Y241">
        <f t="shared" si="81"/>
        <v>31575.520000000004</v>
      </c>
      <c r="Z241">
        <f t="shared" si="82"/>
        <v>23555.350000000006</v>
      </c>
      <c r="AA241">
        <f t="shared" si="83"/>
        <v>6699.0199999999995</v>
      </c>
      <c r="AB241">
        <f>--AND($E241=1,OR('Staff Weekly Trend'!$B$3="All",$DH241='Staff Weekly Trend'!$B$3),OR('Staff Weekly Trend'!$B$4="All",$D241='Staff Weekly Trend'!$B$4),OR('Staff Weekly Trend'!$B$5="All",$A241='Staff Weekly Trend'!$B$5))</f>
        <v>1</v>
      </c>
      <c r="AC241">
        <f t="shared" si="84"/>
        <v>1</v>
      </c>
      <c r="AI241">
        <f t="shared" si="85"/>
        <v>196</v>
      </c>
      <c r="AJ241">
        <f t="shared" si="86"/>
        <v>228</v>
      </c>
      <c r="AK241">
        <f t="shared" si="87"/>
        <v>174</v>
      </c>
      <c r="AL241">
        <f t="shared" si="88"/>
        <v>128</v>
      </c>
      <c r="AM241">
        <f t="shared" si="89"/>
        <v>37</v>
      </c>
      <c r="DH241" t="str" cm="1">
        <f t="array" ref="DH241">IF($A241="","",_xlfn.LET(_xlpm.c,IFERROR(_xlfn.XLOOKUP($A241,TRIM('Sales and count'!$A$4:$A$300&amp;""),TRIM('Sales and count'!$B$4:$B$300&amp;"")),""),IF(OR(_xlpm.c="",_xlpm.c="0",LEFT(_xlpm.c,1)="#"),"Not set",_xlpm.c)))</f>
        <v>KSA</v>
      </c>
    </row>
    <row r="242" spans="1:112" x14ac:dyDescent="0.25">
      <c r="A242" t="str">
        <f>IF('Staff Daily sales'!$B227="","",TRIM('Staff Daily sales'!$B227&amp;""))</f>
        <v>HAMUJANPRK</v>
      </c>
      <c r="B242" t="str">
        <f>IF('Staff Daily sales'!$D227="","",TRIM('Staff Daily sales'!$D227&amp;""))</f>
        <v>4595-AHaser</v>
      </c>
      <c r="C242" t="str">
        <f>IFERROR(TRIM('Staff Daily sales'!$E227&amp;""),"")</f>
        <v>Khamis meshaet</v>
      </c>
      <c r="D242" t="str">
        <f>IFERROR(IF(TRIM('Staff Daily sales'!$F227&amp;"")="","Unassigned",TRIM('Staff Daily sales'!$F227&amp;"")),"Unassigned")</f>
        <v>Ahmed Jaffari</v>
      </c>
      <c r="E242">
        <f t="shared" si="74"/>
        <v>1</v>
      </c>
      <c r="F242">
        <f>IF($E242=0,0,SUMPRODUCT($AI$5:$DF$5,'Staff Daily sales'!$G227:$CD227))</f>
        <v>571.96</v>
      </c>
      <c r="G242">
        <f>IF($E242=0,0,SUMPRODUCT($AI$6:$DF$6,'Staff Daily sales'!$G227:$CD227))</f>
        <v>3</v>
      </c>
      <c r="H242">
        <f t="shared" si="75"/>
        <v>3434.8</v>
      </c>
      <c r="I242">
        <f t="shared" si="76"/>
        <v>17</v>
      </c>
      <c r="J242">
        <f t="shared" si="77"/>
        <v>44058.899999999994</v>
      </c>
      <c r="K242">
        <f t="shared" si="78"/>
        <v>244</v>
      </c>
      <c r="L242">
        <f>--AND($E242=1,OR('Staff Dashboard'!$B$6="All",$DH242='Staff Dashboard'!$B$6),OR('Staff Dashboard'!$B$7="All",$D242='Staff Dashboard'!$B$7),OR('Staff Dashboard'!$B$8="All",$A242='Staff Dashboard'!$B$8))</f>
        <v>0</v>
      </c>
      <c r="M242">
        <f>IF($E242=0,0,SUMPRODUCT($AI$7:$DF$7,'Staff Daily sales'!$G227:$CD227))</f>
        <v>6123.14</v>
      </c>
      <c r="N242">
        <f>IF($E242=0,0,SUMPRODUCT($AI$8:$DF$8,'Staff Daily sales'!$G227:$CD227))</f>
        <v>39</v>
      </c>
      <c r="O242">
        <f>IF($E242=0,0,SUMPRODUCT($AI$9:$DF$9,'Staff Daily sales'!$G227:$CD227))</f>
        <v>7084.17</v>
      </c>
      <c r="P242">
        <f>IF($E242=0,0,SUMPRODUCT($AI$10:$DF$10,'Staff Daily sales'!$G227:$CD227))</f>
        <v>44</v>
      </c>
      <c r="Q242">
        <f>IF($E242=0,0,SUMPRODUCT($AI$11:$DF$11,'Staff Daily sales'!$G227:$CD227))</f>
        <v>1090.02</v>
      </c>
      <c r="R242">
        <f>IF($E242=0,0,SUMPRODUCT($AI$12:$DF$12,'Staff Daily sales'!$G227:$CD227))</f>
        <v>8</v>
      </c>
      <c r="S242">
        <f>IF($E242=0,0,SUMPRODUCT($AI$13:$DF$13,'Staff Daily sales'!$G227:$CD227))</f>
        <v>2930.9700000000003</v>
      </c>
      <c r="T242">
        <f>IF($E242=0,0,SUMPRODUCT($AI$14:$DF$14,'Staff Daily sales'!$G227:$CD227))</f>
        <v>18</v>
      </c>
      <c r="U242">
        <f>IF($E242=0,0,SUMPRODUCT($AI$15:$DF$15,'Staff Daily sales'!$G227:$CD227))</f>
        <v>2359.04</v>
      </c>
      <c r="V242">
        <f>IF($E242=0,0,SUMPRODUCT($AI$16:$DF$16,'Staff Daily sales'!$G227:$CD227))</f>
        <v>15</v>
      </c>
      <c r="W242">
        <f t="shared" si="79"/>
        <v>29995.600000000002</v>
      </c>
      <c r="X242">
        <f t="shared" si="80"/>
        <v>38853.69</v>
      </c>
      <c r="Y242">
        <f t="shared" si="81"/>
        <v>31575.520000000004</v>
      </c>
      <c r="Z242">
        <f t="shared" si="82"/>
        <v>23555.350000000006</v>
      </c>
      <c r="AA242">
        <f t="shared" si="83"/>
        <v>6699.0199999999995</v>
      </c>
      <c r="AB242">
        <f>--AND($E242=1,OR('Staff Weekly Trend'!$B$3="All",$DH242='Staff Weekly Trend'!$B$3),OR('Staff Weekly Trend'!$B$4="All",$D242='Staff Weekly Trend'!$B$4),OR('Staff Weekly Trend'!$B$5="All",$A242='Staff Weekly Trend'!$B$5))</f>
        <v>1</v>
      </c>
      <c r="AC242">
        <f t="shared" si="84"/>
        <v>2</v>
      </c>
      <c r="AI242">
        <f t="shared" si="85"/>
        <v>196</v>
      </c>
      <c r="AJ242">
        <f t="shared" si="86"/>
        <v>228</v>
      </c>
      <c r="AK242">
        <f t="shared" si="87"/>
        <v>174</v>
      </c>
      <c r="AL242">
        <f t="shared" si="88"/>
        <v>128</v>
      </c>
      <c r="AM242">
        <f t="shared" si="89"/>
        <v>37</v>
      </c>
      <c r="DH242" t="str" cm="1">
        <f t="array" ref="DH242">IF($A242="","",_xlfn.LET(_xlpm.c,IFERROR(_xlfn.XLOOKUP($A242,TRIM('Sales and count'!$A$4:$A$300&amp;""),TRIM('Sales and count'!$B$4:$B$300&amp;"")),""),IF(OR(_xlpm.c="",_xlpm.c="0",LEFT(_xlpm.c,1)="#"),"Not set",_xlpm.c)))</f>
        <v>KSA</v>
      </c>
    </row>
    <row r="243" spans="1:112" x14ac:dyDescent="0.25">
      <c r="A243" t="str">
        <f>IF('Staff Daily sales'!$B228="","",TRIM('Staff Daily sales'!$B228&amp;""))</f>
        <v>HAMUJANPRK</v>
      </c>
      <c r="B243" t="str">
        <f>IF('Staff Daily sales'!$D228="","",TRIM('Staff Daily sales'!$D228&amp;""))</f>
        <v>5491-AAlThahban</v>
      </c>
      <c r="C243" t="str">
        <f>IFERROR(TRIM('Staff Daily sales'!$E228&amp;""),"")</f>
        <v>Khamis meshaet</v>
      </c>
      <c r="D243" t="str">
        <f>IFERROR(IF(TRIM('Staff Daily sales'!$F228&amp;"")="","Unassigned",TRIM('Staff Daily sales'!$F228&amp;"")),"Unassigned")</f>
        <v>Ahmed Jaffari</v>
      </c>
      <c r="E243">
        <f t="shared" si="74"/>
        <v>1</v>
      </c>
      <c r="F243">
        <f>IF($E243=0,0,SUMPRODUCT($AI$5:$DF$5,'Staff Daily sales'!$G228:$CD228))</f>
        <v>0</v>
      </c>
      <c r="G243">
        <f>IF($E243=0,0,SUMPRODUCT($AI$6:$DF$6,'Staff Daily sales'!$G228:$CD228))</f>
        <v>0</v>
      </c>
      <c r="H243">
        <f t="shared" si="75"/>
        <v>3434.8</v>
      </c>
      <c r="I243">
        <f t="shared" si="76"/>
        <v>17</v>
      </c>
      <c r="J243">
        <f t="shared" si="77"/>
        <v>44058.899999999994</v>
      </c>
      <c r="K243">
        <f t="shared" si="78"/>
        <v>244</v>
      </c>
      <c r="L243">
        <f>--AND($E243=1,OR('Staff Dashboard'!$B$6="All",$DH243='Staff Dashboard'!$B$6),OR('Staff Dashboard'!$B$7="All",$D243='Staff Dashboard'!$B$7),OR('Staff Dashboard'!$B$8="All",$A243='Staff Dashboard'!$B$8))</f>
        <v>0</v>
      </c>
      <c r="M243">
        <f>IF($E243=0,0,SUMPRODUCT($AI$7:$DF$7,'Staff Daily sales'!$G228:$CD228))</f>
        <v>0</v>
      </c>
      <c r="N243">
        <f>IF($E243=0,0,SUMPRODUCT($AI$8:$DF$8,'Staff Daily sales'!$G228:$CD228))</f>
        <v>0</v>
      </c>
      <c r="O243">
        <f>IF($E243=0,0,SUMPRODUCT($AI$9:$DF$9,'Staff Daily sales'!$G228:$CD228))</f>
        <v>6135.1200000000008</v>
      </c>
      <c r="P243">
        <f>IF($E243=0,0,SUMPRODUCT($AI$10:$DF$10,'Staff Daily sales'!$G228:$CD228))</f>
        <v>37</v>
      </c>
      <c r="Q243">
        <f>IF($E243=0,0,SUMPRODUCT($AI$11:$DF$11,'Staff Daily sales'!$G228:$CD228))</f>
        <v>7875.16</v>
      </c>
      <c r="R243">
        <f>IF($E243=0,0,SUMPRODUCT($AI$12:$DF$12,'Staff Daily sales'!$G228:$CD228))</f>
        <v>38</v>
      </c>
      <c r="S243">
        <f>IF($E243=0,0,SUMPRODUCT($AI$13:$DF$13,'Staff Daily sales'!$G228:$CD228))</f>
        <v>5144.8500000000004</v>
      </c>
      <c r="T243">
        <f>IF($E243=0,0,SUMPRODUCT($AI$14:$DF$14,'Staff Daily sales'!$G228:$CD228))</f>
        <v>27</v>
      </c>
      <c r="U243">
        <f>IF($E243=0,0,SUMPRODUCT($AI$15:$DF$15,'Staff Daily sales'!$G228:$CD228))</f>
        <v>0</v>
      </c>
      <c r="V243">
        <f>IF($E243=0,0,SUMPRODUCT($AI$16:$DF$16,'Staff Daily sales'!$G228:$CD228))</f>
        <v>0</v>
      </c>
      <c r="W243">
        <f t="shared" si="79"/>
        <v>29995.600000000002</v>
      </c>
      <c r="X243">
        <f t="shared" si="80"/>
        <v>38853.69</v>
      </c>
      <c r="Y243">
        <f t="shared" si="81"/>
        <v>31575.520000000004</v>
      </c>
      <c r="Z243">
        <f t="shared" si="82"/>
        <v>23555.350000000006</v>
      </c>
      <c r="AA243">
        <f t="shared" si="83"/>
        <v>6699.0199999999995</v>
      </c>
      <c r="AB243">
        <f>--AND($E243=1,OR('Staff Weekly Trend'!$B$3="All",$DH243='Staff Weekly Trend'!$B$3),OR('Staff Weekly Trend'!$B$4="All",$D243='Staff Weekly Trend'!$B$4),OR('Staff Weekly Trend'!$B$5="All",$A243='Staff Weekly Trend'!$B$5))</f>
        <v>1</v>
      </c>
      <c r="AC243" t="str">
        <f t="shared" si="84"/>
        <v/>
      </c>
      <c r="AI243">
        <f t="shared" si="85"/>
        <v>196</v>
      </c>
      <c r="AJ243">
        <f t="shared" si="86"/>
        <v>228</v>
      </c>
      <c r="AK243">
        <f t="shared" si="87"/>
        <v>174</v>
      </c>
      <c r="AL243">
        <f t="shared" si="88"/>
        <v>128</v>
      </c>
      <c r="AM243">
        <f t="shared" si="89"/>
        <v>37</v>
      </c>
      <c r="DH243" t="str" cm="1">
        <f t="array" ref="DH243">IF($A243="","",_xlfn.LET(_xlpm.c,IFERROR(_xlfn.XLOOKUP($A243,TRIM('Sales and count'!$A$4:$A$300&amp;""),TRIM('Sales and count'!$B$4:$B$300&amp;"")),""),IF(OR(_xlpm.c="",_xlpm.c="0",LEFT(_xlpm.c,1)="#"),"Not set",_xlpm.c)))</f>
        <v>KSA</v>
      </c>
    </row>
    <row r="244" spans="1:112" x14ac:dyDescent="0.25">
      <c r="A244" t="str">
        <f>IF('Staff Daily sales'!$B229="","",TRIM('Staff Daily sales'!$B229&amp;""))</f>
        <v>HASHKAVNUE</v>
      </c>
      <c r="B244" t="str">
        <f>IF('Staff Daily sales'!$D229="","",TRIM('Staff Daily sales'!$D229&amp;""))</f>
        <v>4451-M Dabbab</v>
      </c>
      <c r="C244" t="str">
        <f>IFERROR(TRIM('Staff Daily sales'!$E229&amp;""),"")</f>
        <v>Khobar</v>
      </c>
      <c r="D244" t="str">
        <f>IFERROR(IF(TRIM('Staff Daily sales'!$F229&amp;"")="","Unassigned",TRIM('Staff Daily sales'!$F229&amp;"")),"Unassigned")</f>
        <v>Hamzah Al Makhadam</v>
      </c>
      <c r="E244">
        <f t="shared" si="74"/>
        <v>1</v>
      </c>
      <c r="F244">
        <f>IF($E244=0,0,SUMPRODUCT($AI$5:$DF$5,'Staff Daily sales'!$G229:$CD229))</f>
        <v>1764.92</v>
      </c>
      <c r="G244">
        <f>IF($E244=0,0,SUMPRODUCT($AI$6:$DF$6,'Staff Daily sales'!$G229:$CD229))</f>
        <v>8</v>
      </c>
      <c r="H244">
        <f t="shared" si="75"/>
        <v>25681.499999999996</v>
      </c>
      <c r="I244">
        <f t="shared" si="76"/>
        <v>97</v>
      </c>
      <c r="J244">
        <f t="shared" si="77"/>
        <v>128104.23999999996</v>
      </c>
      <c r="K244">
        <f t="shared" si="78"/>
        <v>596</v>
      </c>
      <c r="L244">
        <f>--AND($E244=1,OR('Staff Dashboard'!$B$6="All",$DH244='Staff Dashboard'!$B$6),OR('Staff Dashboard'!$B$7="All",$D244='Staff Dashboard'!$B$7),OR('Staff Dashboard'!$B$8="All",$A244='Staff Dashboard'!$B$8))</f>
        <v>0</v>
      </c>
      <c r="M244">
        <f>IF($E244=0,0,SUMPRODUCT($AI$7:$DF$7,'Staff Daily sales'!$G229:$CD229))</f>
        <v>5129.12</v>
      </c>
      <c r="N244">
        <f>IF($E244=0,0,SUMPRODUCT($AI$8:$DF$8,'Staff Daily sales'!$G229:$CD229))</f>
        <v>26</v>
      </c>
      <c r="O244">
        <f>IF($E244=0,0,SUMPRODUCT($AI$9:$DF$9,'Staff Daily sales'!$G229:$CD229))</f>
        <v>10386.11</v>
      </c>
      <c r="P244">
        <f>IF($E244=0,0,SUMPRODUCT($AI$10:$DF$10,'Staff Daily sales'!$G229:$CD229))</f>
        <v>42</v>
      </c>
      <c r="Q244">
        <f>IF($E244=0,0,SUMPRODUCT($AI$11:$DF$11,'Staff Daily sales'!$G229:$CD229))</f>
        <v>8472.1299999999992</v>
      </c>
      <c r="R244">
        <f>IF($E244=0,0,SUMPRODUCT($AI$12:$DF$12,'Staff Daily sales'!$G229:$CD229))</f>
        <v>33</v>
      </c>
      <c r="S244">
        <f>IF($E244=0,0,SUMPRODUCT($AI$13:$DF$13,'Staff Daily sales'!$G229:$CD229))</f>
        <v>5713.9</v>
      </c>
      <c r="T244">
        <f>IF($E244=0,0,SUMPRODUCT($AI$14:$DF$14,'Staff Daily sales'!$G229:$CD229))</f>
        <v>29</v>
      </c>
      <c r="U244">
        <f>IF($E244=0,0,SUMPRODUCT($AI$15:$DF$15,'Staff Daily sales'!$G229:$CD229))</f>
        <v>955.09</v>
      </c>
      <c r="V244">
        <f>IF($E244=0,0,SUMPRODUCT($AI$16:$DF$16,'Staff Daily sales'!$G229:$CD229))</f>
        <v>4</v>
      </c>
      <c r="W244">
        <f t="shared" si="79"/>
        <v>112267</v>
      </c>
      <c r="X244">
        <f t="shared" si="80"/>
        <v>146945.85</v>
      </c>
      <c r="Y244">
        <f t="shared" si="81"/>
        <v>127676.68</v>
      </c>
      <c r="Z244">
        <f t="shared" si="82"/>
        <v>114868.41</v>
      </c>
      <c r="AA244">
        <f t="shared" si="83"/>
        <v>33418.57</v>
      </c>
      <c r="AB244">
        <f>--AND($E244=1,OR('Staff Weekly Trend'!$B$3="All",$DH244='Staff Weekly Trend'!$B$3),OR('Staff Weekly Trend'!$B$4="All",$D244='Staff Weekly Trend'!$B$4),OR('Staff Weekly Trend'!$B$5="All",$A244='Staff Weekly Trend'!$B$5))</f>
        <v>1</v>
      </c>
      <c r="AC244">
        <f t="shared" si="84"/>
        <v>7</v>
      </c>
      <c r="AI244">
        <f t="shared" si="85"/>
        <v>529</v>
      </c>
      <c r="AJ244">
        <f t="shared" si="86"/>
        <v>653</v>
      </c>
      <c r="AK244">
        <f t="shared" si="87"/>
        <v>467</v>
      </c>
      <c r="AL244">
        <f t="shared" si="88"/>
        <v>467</v>
      </c>
      <c r="AM244">
        <f t="shared" si="89"/>
        <v>133</v>
      </c>
      <c r="DH244" t="str" cm="1">
        <f t="array" ref="DH244">IF($A244="","",_xlfn.LET(_xlpm.c,IFERROR(_xlfn.XLOOKUP($A244,TRIM('Sales and count'!$A$4:$A$300&amp;""),TRIM('Sales and count'!$B$4:$B$300&amp;"")),""),IF(OR(_xlpm.c="",_xlpm.c="0",LEFT(_xlpm.c,1)="#"),"Not set",_xlpm.c)))</f>
        <v>KSA</v>
      </c>
    </row>
    <row r="245" spans="1:112" x14ac:dyDescent="0.25">
      <c r="A245" t="str">
        <f>IF('Staff Daily sales'!$B230="","",TRIM('Staff Daily sales'!$B230&amp;""))</f>
        <v>HASHKAVNUE</v>
      </c>
      <c r="B245" t="str">
        <f>IF('Staff Daily sales'!$D230="","",TRIM('Staff Daily sales'!$D230&amp;""))</f>
        <v>4462-WAlsaleh</v>
      </c>
      <c r="C245" t="str">
        <f>IFERROR(TRIM('Staff Daily sales'!$E230&amp;""),"")</f>
        <v>Khobar</v>
      </c>
      <c r="D245" t="str">
        <f>IFERROR(IF(TRIM('Staff Daily sales'!$F230&amp;"")="","Unassigned",TRIM('Staff Daily sales'!$F230&amp;"")),"Unassigned")</f>
        <v>Hamzah Al Makhadam</v>
      </c>
      <c r="E245">
        <f t="shared" si="74"/>
        <v>1</v>
      </c>
      <c r="F245">
        <f>IF($E245=0,0,SUMPRODUCT($AI$5:$DF$5,'Staff Daily sales'!$G230:$CD230))</f>
        <v>0</v>
      </c>
      <c r="G245">
        <f>IF($E245=0,0,SUMPRODUCT($AI$6:$DF$6,'Staff Daily sales'!$G230:$CD230))</f>
        <v>0</v>
      </c>
      <c r="H245">
        <f t="shared" si="75"/>
        <v>25681.499999999996</v>
      </c>
      <c r="I245">
        <f t="shared" si="76"/>
        <v>97</v>
      </c>
      <c r="J245">
        <f t="shared" si="77"/>
        <v>128104.23999999996</v>
      </c>
      <c r="K245">
        <f t="shared" si="78"/>
        <v>596</v>
      </c>
      <c r="L245">
        <f>--AND($E245=1,OR('Staff Dashboard'!$B$6="All",$DH245='Staff Dashboard'!$B$6),OR('Staff Dashboard'!$B$7="All",$D245='Staff Dashboard'!$B$7),OR('Staff Dashboard'!$B$8="All",$A245='Staff Dashboard'!$B$8))</f>
        <v>0</v>
      </c>
      <c r="M245">
        <f>IF($E245=0,0,SUMPRODUCT($AI$7:$DF$7,'Staff Daily sales'!$G230:$CD230))</f>
        <v>5949.0499999999993</v>
      </c>
      <c r="N245">
        <f>IF($E245=0,0,SUMPRODUCT($AI$8:$DF$8,'Staff Daily sales'!$G230:$CD230))</f>
        <v>29</v>
      </c>
      <c r="O245">
        <f>IF($E245=0,0,SUMPRODUCT($AI$9:$DF$9,'Staff Daily sales'!$G230:$CD230))</f>
        <v>7873.13</v>
      </c>
      <c r="P245">
        <f>IF($E245=0,0,SUMPRODUCT($AI$10:$DF$10,'Staff Daily sales'!$G230:$CD230))</f>
        <v>49</v>
      </c>
      <c r="Q245">
        <f>IF($E245=0,0,SUMPRODUCT($AI$11:$DF$11,'Staff Daily sales'!$G230:$CD230))</f>
        <v>4400.05</v>
      </c>
      <c r="R245">
        <f>IF($E245=0,0,SUMPRODUCT($AI$12:$DF$12,'Staff Daily sales'!$G230:$CD230))</f>
        <v>24</v>
      </c>
      <c r="S245">
        <f>IF($E245=0,0,SUMPRODUCT($AI$13:$DF$13,'Staff Daily sales'!$G230:$CD230))</f>
        <v>0</v>
      </c>
      <c r="T245">
        <f>IF($E245=0,0,SUMPRODUCT($AI$14:$DF$14,'Staff Daily sales'!$G230:$CD230))</f>
        <v>0</v>
      </c>
      <c r="U245">
        <f>IF($E245=0,0,SUMPRODUCT($AI$15:$DF$15,'Staff Daily sales'!$G230:$CD230))</f>
        <v>0</v>
      </c>
      <c r="V245">
        <f>IF($E245=0,0,SUMPRODUCT($AI$16:$DF$16,'Staff Daily sales'!$G230:$CD230))</f>
        <v>0</v>
      </c>
      <c r="W245">
        <f t="shared" si="79"/>
        <v>112267</v>
      </c>
      <c r="X245">
        <f t="shared" si="80"/>
        <v>146945.85</v>
      </c>
      <c r="Y245">
        <f t="shared" si="81"/>
        <v>127676.68</v>
      </c>
      <c r="Z245">
        <f t="shared" si="82"/>
        <v>114868.41</v>
      </c>
      <c r="AA245">
        <f t="shared" si="83"/>
        <v>33418.57</v>
      </c>
      <c r="AB245">
        <f>--AND($E245=1,OR('Staff Weekly Trend'!$B$3="All",$DH245='Staff Weekly Trend'!$B$3),OR('Staff Weekly Trend'!$B$4="All",$D245='Staff Weekly Trend'!$B$4),OR('Staff Weekly Trend'!$B$5="All",$A245='Staff Weekly Trend'!$B$5))</f>
        <v>1</v>
      </c>
      <c r="AC245" t="str">
        <f t="shared" si="84"/>
        <v/>
      </c>
      <c r="AI245">
        <f t="shared" si="85"/>
        <v>529</v>
      </c>
      <c r="AJ245">
        <f t="shared" si="86"/>
        <v>653</v>
      </c>
      <c r="AK245">
        <f t="shared" si="87"/>
        <v>467</v>
      </c>
      <c r="AL245">
        <f t="shared" si="88"/>
        <v>467</v>
      </c>
      <c r="AM245">
        <f t="shared" si="89"/>
        <v>133</v>
      </c>
      <c r="DH245" t="str" cm="1">
        <f t="array" ref="DH245">IF($A245="","",_xlfn.LET(_xlpm.c,IFERROR(_xlfn.XLOOKUP($A245,TRIM('Sales and count'!$A$4:$A$300&amp;""),TRIM('Sales and count'!$B$4:$B$300&amp;"")),""),IF(OR(_xlpm.c="",_xlpm.c="0",LEFT(_xlpm.c,1)="#"),"Not set",_xlpm.c)))</f>
        <v>KSA</v>
      </c>
    </row>
    <row r="246" spans="1:112" x14ac:dyDescent="0.25">
      <c r="A246" t="str">
        <f>IF('Staff Daily sales'!$B231="","",TRIM('Staff Daily sales'!$B231&amp;""))</f>
        <v>HASHKAVNUE</v>
      </c>
      <c r="B246" t="str">
        <f>IF('Staff Daily sales'!$D231="","",TRIM('Staff Daily sales'!$D231&amp;""))</f>
        <v>4875-SAlnajim</v>
      </c>
      <c r="C246" t="str">
        <f>IFERROR(TRIM('Staff Daily sales'!$E231&amp;""),"")</f>
        <v>Khobar</v>
      </c>
      <c r="D246" t="str">
        <f>IFERROR(IF(TRIM('Staff Daily sales'!$F231&amp;"")="","Unassigned",TRIM('Staff Daily sales'!$F231&amp;"")),"Unassigned")</f>
        <v>Hamzah Al Makhadam</v>
      </c>
      <c r="E246">
        <f t="shared" si="74"/>
        <v>1</v>
      </c>
      <c r="F246">
        <f>IF($E246=0,0,SUMPRODUCT($AI$5:$DF$5,'Staff Daily sales'!$G231:$CD231))</f>
        <v>2878.8</v>
      </c>
      <c r="G246">
        <f>IF($E246=0,0,SUMPRODUCT($AI$6:$DF$6,'Staff Daily sales'!$G231:$CD231))</f>
        <v>11</v>
      </c>
      <c r="H246">
        <f t="shared" si="75"/>
        <v>25681.499999999996</v>
      </c>
      <c r="I246">
        <f t="shared" si="76"/>
        <v>97</v>
      </c>
      <c r="J246">
        <f t="shared" si="77"/>
        <v>128104.23999999996</v>
      </c>
      <c r="K246">
        <f t="shared" si="78"/>
        <v>596</v>
      </c>
      <c r="L246">
        <f>--AND($E246=1,OR('Staff Dashboard'!$B$6="All",$DH246='Staff Dashboard'!$B$6),OR('Staff Dashboard'!$B$7="All",$D246='Staff Dashboard'!$B$7),OR('Staff Dashboard'!$B$8="All",$A246='Staff Dashboard'!$B$8))</f>
        <v>0</v>
      </c>
      <c r="M246">
        <f>IF($E246=0,0,SUMPRODUCT($AI$7:$DF$7,'Staff Daily sales'!$G231:$CD231))</f>
        <v>24616.569999999996</v>
      </c>
      <c r="N246">
        <f>IF($E246=0,0,SUMPRODUCT($AI$8:$DF$8,'Staff Daily sales'!$G231:$CD231))</f>
        <v>87</v>
      </c>
      <c r="O246">
        <f>IF($E246=0,0,SUMPRODUCT($AI$9:$DF$9,'Staff Daily sales'!$G231:$CD231))</f>
        <v>19809.38</v>
      </c>
      <c r="P246">
        <f>IF($E246=0,0,SUMPRODUCT($AI$10:$DF$10,'Staff Daily sales'!$G231:$CD231))</f>
        <v>86</v>
      </c>
      <c r="Q246">
        <f>IF($E246=0,0,SUMPRODUCT($AI$11:$DF$11,'Staff Daily sales'!$G231:$CD231))</f>
        <v>23958.23</v>
      </c>
      <c r="R246">
        <f>IF($E246=0,0,SUMPRODUCT($AI$12:$DF$12,'Staff Daily sales'!$G231:$CD231))</f>
        <v>79</v>
      </c>
      <c r="S246">
        <f>IF($E246=0,0,SUMPRODUCT($AI$13:$DF$13,'Staff Daily sales'!$G231:$CD231))</f>
        <v>14994.630000000001</v>
      </c>
      <c r="T246">
        <f>IF($E246=0,0,SUMPRODUCT($AI$14:$DF$14,'Staff Daily sales'!$G231:$CD231))</f>
        <v>55</v>
      </c>
      <c r="U246">
        <f>IF($E246=0,0,SUMPRODUCT($AI$15:$DF$15,'Staff Daily sales'!$G231:$CD231))</f>
        <v>6701.17</v>
      </c>
      <c r="V246">
        <f>IF($E246=0,0,SUMPRODUCT($AI$16:$DF$16,'Staff Daily sales'!$G231:$CD231))</f>
        <v>19</v>
      </c>
      <c r="W246">
        <f t="shared" si="79"/>
        <v>112267</v>
      </c>
      <c r="X246">
        <f t="shared" si="80"/>
        <v>146945.85</v>
      </c>
      <c r="Y246">
        <f t="shared" si="81"/>
        <v>127676.68</v>
      </c>
      <c r="Z246">
        <f t="shared" si="82"/>
        <v>114868.41</v>
      </c>
      <c r="AA246">
        <f t="shared" si="83"/>
        <v>33418.57</v>
      </c>
      <c r="AB246">
        <f>--AND($E246=1,OR('Staff Weekly Trend'!$B$3="All",$DH246='Staff Weekly Trend'!$B$3),OR('Staff Weekly Trend'!$B$4="All",$D246='Staff Weekly Trend'!$B$4),OR('Staff Weekly Trend'!$B$5="All",$A246='Staff Weekly Trend'!$B$5))</f>
        <v>1</v>
      </c>
      <c r="AC246">
        <f t="shared" si="84"/>
        <v>6</v>
      </c>
      <c r="AI246">
        <f t="shared" si="85"/>
        <v>529</v>
      </c>
      <c r="AJ246">
        <f t="shared" si="86"/>
        <v>653</v>
      </c>
      <c r="AK246">
        <f t="shared" si="87"/>
        <v>467</v>
      </c>
      <c r="AL246">
        <f t="shared" si="88"/>
        <v>467</v>
      </c>
      <c r="AM246">
        <f t="shared" si="89"/>
        <v>133</v>
      </c>
      <c r="DH246" t="str" cm="1">
        <f t="array" ref="DH246">IF($A246="","",_xlfn.LET(_xlpm.c,IFERROR(_xlfn.XLOOKUP($A246,TRIM('Sales and count'!$A$4:$A$300&amp;""),TRIM('Sales and count'!$B$4:$B$300&amp;"")),""),IF(OR(_xlpm.c="",_xlpm.c="0",LEFT(_xlpm.c,1)="#"),"Not set",_xlpm.c)))</f>
        <v>KSA</v>
      </c>
    </row>
    <row r="247" spans="1:112" x14ac:dyDescent="0.25">
      <c r="A247" t="str">
        <f>IF('Staff Daily sales'!$B232="","",TRIM('Staff Daily sales'!$B232&amp;""))</f>
        <v>HASHKAVNUE</v>
      </c>
      <c r="B247" t="str">
        <f>IF('Staff Daily sales'!$D232="","",TRIM('Staff Daily sales'!$D232&amp;""))</f>
        <v>5025-MAlqahtani</v>
      </c>
      <c r="C247" t="str">
        <f>IFERROR(TRIM('Staff Daily sales'!$E232&amp;""),"")</f>
        <v>Khobar</v>
      </c>
      <c r="D247" t="str">
        <f>IFERROR(IF(TRIM('Staff Daily sales'!$F232&amp;"")="","Unassigned",TRIM('Staff Daily sales'!$F232&amp;"")),"Unassigned")</f>
        <v>Hamzah Al Makhadam</v>
      </c>
      <c r="E247">
        <f t="shared" si="74"/>
        <v>1</v>
      </c>
      <c r="F247">
        <f>IF($E247=0,0,SUMPRODUCT($AI$5:$DF$5,'Staff Daily sales'!$G232:$CD232))</f>
        <v>2892.84</v>
      </c>
      <c r="G247">
        <f>IF($E247=0,0,SUMPRODUCT($AI$6:$DF$6,'Staff Daily sales'!$G232:$CD232))</f>
        <v>13</v>
      </c>
      <c r="H247">
        <f t="shared" si="75"/>
        <v>25681.499999999996</v>
      </c>
      <c r="I247">
        <f t="shared" si="76"/>
        <v>97</v>
      </c>
      <c r="J247">
        <f t="shared" si="77"/>
        <v>128104.23999999996</v>
      </c>
      <c r="K247">
        <f t="shared" si="78"/>
        <v>596</v>
      </c>
      <c r="L247">
        <f>--AND($E247=1,OR('Staff Dashboard'!$B$6="All",$DH247='Staff Dashboard'!$B$6),OR('Staff Dashboard'!$B$7="All",$D247='Staff Dashboard'!$B$7),OR('Staff Dashboard'!$B$8="All",$A247='Staff Dashboard'!$B$8))</f>
        <v>0</v>
      </c>
      <c r="M247">
        <f>IF($E247=0,0,SUMPRODUCT($AI$7:$DF$7,'Staff Daily sales'!$G232:$CD232))</f>
        <v>0</v>
      </c>
      <c r="N247">
        <f>IF($E247=0,0,SUMPRODUCT($AI$8:$DF$8,'Staff Daily sales'!$G232:$CD232))</f>
        <v>0</v>
      </c>
      <c r="O247">
        <f>IF($E247=0,0,SUMPRODUCT($AI$9:$DF$9,'Staff Daily sales'!$G232:$CD232))</f>
        <v>14376.34</v>
      </c>
      <c r="P247">
        <f>IF($E247=0,0,SUMPRODUCT($AI$10:$DF$10,'Staff Daily sales'!$G232:$CD232))</f>
        <v>68</v>
      </c>
      <c r="Q247">
        <f>IF($E247=0,0,SUMPRODUCT($AI$11:$DF$11,'Staff Daily sales'!$G232:$CD232))</f>
        <v>12646.119999999999</v>
      </c>
      <c r="R247">
        <f>IF($E247=0,0,SUMPRODUCT($AI$12:$DF$12,'Staff Daily sales'!$G232:$CD232))</f>
        <v>61</v>
      </c>
      <c r="S247">
        <f>IF($E247=0,0,SUMPRODUCT($AI$13:$DF$13,'Staff Daily sales'!$G232:$CD232))</f>
        <v>12224.69</v>
      </c>
      <c r="T247">
        <f>IF($E247=0,0,SUMPRODUCT($AI$14:$DF$14,'Staff Daily sales'!$G232:$CD232))</f>
        <v>54</v>
      </c>
      <c r="U247">
        <f>IF($E247=0,0,SUMPRODUCT($AI$15:$DF$15,'Staff Daily sales'!$G232:$CD232))</f>
        <v>3140.1000000000004</v>
      </c>
      <c r="V247">
        <f>IF($E247=0,0,SUMPRODUCT($AI$16:$DF$16,'Staff Daily sales'!$G232:$CD232))</f>
        <v>17</v>
      </c>
      <c r="W247">
        <f t="shared" si="79"/>
        <v>112267</v>
      </c>
      <c r="X247">
        <f t="shared" si="80"/>
        <v>146945.85</v>
      </c>
      <c r="Y247">
        <f t="shared" si="81"/>
        <v>127676.68</v>
      </c>
      <c r="Z247">
        <f t="shared" si="82"/>
        <v>114868.41</v>
      </c>
      <c r="AA247">
        <f t="shared" si="83"/>
        <v>33418.57</v>
      </c>
      <c r="AB247">
        <f>--AND($E247=1,OR('Staff Weekly Trend'!$B$3="All",$DH247='Staff Weekly Trend'!$B$3),OR('Staff Weekly Trend'!$B$4="All",$D247='Staff Weekly Trend'!$B$4),OR('Staff Weekly Trend'!$B$5="All",$A247='Staff Weekly Trend'!$B$5))</f>
        <v>1</v>
      </c>
      <c r="AC247">
        <f t="shared" si="84"/>
        <v>5</v>
      </c>
      <c r="AI247">
        <f t="shared" si="85"/>
        <v>529</v>
      </c>
      <c r="AJ247">
        <f t="shared" si="86"/>
        <v>653</v>
      </c>
      <c r="AK247">
        <f t="shared" si="87"/>
        <v>467</v>
      </c>
      <c r="AL247">
        <f t="shared" si="88"/>
        <v>467</v>
      </c>
      <c r="AM247">
        <f t="shared" si="89"/>
        <v>133</v>
      </c>
      <c r="DH247" t="str" cm="1">
        <f t="array" ref="DH247">IF($A247="","",_xlfn.LET(_xlpm.c,IFERROR(_xlfn.XLOOKUP($A247,TRIM('Sales and count'!$A$4:$A$300&amp;""),TRIM('Sales and count'!$B$4:$B$300&amp;"")),""),IF(OR(_xlpm.c="",_xlpm.c="0",LEFT(_xlpm.c,1)="#"),"Not set",_xlpm.c)))</f>
        <v>KSA</v>
      </c>
    </row>
    <row r="248" spans="1:112" x14ac:dyDescent="0.25">
      <c r="A248" t="str">
        <f>IF('Staff Daily sales'!$B233="","",TRIM('Staff Daily sales'!$B233&amp;""))</f>
        <v>HASHKAVNUE</v>
      </c>
      <c r="B248" t="str">
        <f>IF('Staff Daily sales'!$D233="","",TRIM('Staff Daily sales'!$D233&amp;""))</f>
        <v>5304-AAlsabi</v>
      </c>
      <c r="C248" t="str">
        <f>IFERROR(TRIM('Staff Daily sales'!$E233&amp;""),"")</f>
        <v>Khobar</v>
      </c>
      <c r="D248" t="str">
        <f>IFERROR(IF(TRIM('Staff Daily sales'!$F233&amp;"")="","Unassigned",TRIM('Staff Daily sales'!$F233&amp;"")),"Unassigned")</f>
        <v>Hamzah Al Makhadam</v>
      </c>
      <c r="E248">
        <f t="shared" si="74"/>
        <v>1</v>
      </c>
      <c r="F248">
        <f>IF($E248=0,0,SUMPRODUCT($AI$5:$DF$5,'Staff Daily sales'!$G233:$CD233))</f>
        <v>5199.6000000000004</v>
      </c>
      <c r="G248">
        <f>IF($E248=0,0,SUMPRODUCT($AI$6:$DF$6,'Staff Daily sales'!$G233:$CD233))</f>
        <v>18</v>
      </c>
      <c r="H248">
        <f t="shared" si="75"/>
        <v>25681.499999999996</v>
      </c>
      <c r="I248">
        <f t="shared" si="76"/>
        <v>97</v>
      </c>
      <c r="J248">
        <f t="shared" si="77"/>
        <v>128104.23999999996</v>
      </c>
      <c r="K248">
        <f t="shared" si="78"/>
        <v>596</v>
      </c>
      <c r="L248">
        <f>--AND($E248=1,OR('Staff Dashboard'!$B$6="All",$DH248='Staff Dashboard'!$B$6),OR('Staff Dashboard'!$B$7="All",$D248='Staff Dashboard'!$B$7),OR('Staff Dashboard'!$B$8="All",$A248='Staff Dashboard'!$B$8))</f>
        <v>0</v>
      </c>
      <c r="M248">
        <f>IF($E248=0,0,SUMPRODUCT($AI$7:$DF$7,'Staff Daily sales'!$G233:$CD233))</f>
        <v>6709.1799999999994</v>
      </c>
      <c r="N248">
        <f>IF($E248=0,0,SUMPRODUCT($AI$8:$DF$8,'Staff Daily sales'!$G233:$CD233))</f>
        <v>38</v>
      </c>
      <c r="O248">
        <f>IF($E248=0,0,SUMPRODUCT($AI$9:$DF$9,'Staff Daily sales'!$G233:$CD233))</f>
        <v>0</v>
      </c>
      <c r="P248">
        <f>IF($E248=0,0,SUMPRODUCT($AI$10:$DF$10,'Staff Daily sales'!$G233:$CD233))</f>
        <v>0</v>
      </c>
      <c r="Q248">
        <f>IF($E248=0,0,SUMPRODUCT($AI$11:$DF$11,'Staff Daily sales'!$G233:$CD233))</f>
        <v>16361.26</v>
      </c>
      <c r="R248">
        <f>IF($E248=0,0,SUMPRODUCT($AI$12:$DF$12,'Staff Daily sales'!$G233:$CD233))</f>
        <v>58</v>
      </c>
      <c r="S248">
        <f>IF($E248=0,0,SUMPRODUCT($AI$13:$DF$13,'Staff Daily sales'!$G233:$CD233))</f>
        <v>17969.39</v>
      </c>
      <c r="T248">
        <f>IF($E248=0,0,SUMPRODUCT($AI$14:$DF$14,'Staff Daily sales'!$G233:$CD233))</f>
        <v>80</v>
      </c>
      <c r="U248">
        <f>IF($E248=0,0,SUMPRODUCT($AI$15:$DF$15,'Staff Daily sales'!$G233:$CD233))</f>
        <v>2414.19</v>
      </c>
      <c r="V248">
        <f>IF($E248=0,0,SUMPRODUCT($AI$16:$DF$16,'Staff Daily sales'!$G233:$CD233))</f>
        <v>10</v>
      </c>
      <c r="W248">
        <f t="shared" si="79"/>
        <v>112267</v>
      </c>
      <c r="X248">
        <f t="shared" si="80"/>
        <v>146945.85</v>
      </c>
      <c r="Y248">
        <f t="shared" si="81"/>
        <v>127676.68</v>
      </c>
      <c r="Z248">
        <f t="shared" si="82"/>
        <v>114868.41</v>
      </c>
      <c r="AA248">
        <f t="shared" si="83"/>
        <v>33418.57</v>
      </c>
      <c r="AB248">
        <f>--AND($E248=1,OR('Staff Weekly Trend'!$B$3="All",$DH248='Staff Weekly Trend'!$B$3),OR('Staff Weekly Trend'!$B$4="All",$D248='Staff Weekly Trend'!$B$4),OR('Staff Weekly Trend'!$B$5="All",$A248='Staff Weekly Trend'!$B$5))</f>
        <v>1</v>
      </c>
      <c r="AC248">
        <f t="shared" si="84"/>
        <v>1</v>
      </c>
      <c r="AI248">
        <f t="shared" si="85"/>
        <v>529</v>
      </c>
      <c r="AJ248">
        <f t="shared" si="86"/>
        <v>653</v>
      </c>
      <c r="AK248">
        <f t="shared" si="87"/>
        <v>467</v>
      </c>
      <c r="AL248">
        <f t="shared" si="88"/>
        <v>467</v>
      </c>
      <c r="AM248">
        <f t="shared" si="89"/>
        <v>133</v>
      </c>
      <c r="DH248" t="str" cm="1">
        <f t="array" ref="DH248">IF($A248="","",_xlfn.LET(_xlpm.c,IFERROR(_xlfn.XLOOKUP($A248,TRIM('Sales and count'!$A$4:$A$300&amp;""),TRIM('Sales and count'!$B$4:$B$300&amp;"")),""),IF(OR(_xlpm.c="",_xlpm.c="0",LEFT(_xlpm.c,1)="#"),"Not set",_xlpm.c)))</f>
        <v>KSA</v>
      </c>
    </row>
    <row r="249" spans="1:112" x14ac:dyDescent="0.25">
      <c r="A249" t="str">
        <f>IF('Staff Daily sales'!$B234="","",TRIM('Staff Daily sales'!$B234&amp;""))</f>
        <v>HASHKAVNUE</v>
      </c>
      <c r="B249" t="str">
        <f>IF('Staff Daily sales'!$D234="","",TRIM('Staff Daily sales'!$D234&amp;""))</f>
        <v>5305-SALMajnuni</v>
      </c>
      <c r="C249" t="str">
        <f>IFERROR(TRIM('Staff Daily sales'!$E234&amp;""),"")</f>
        <v>Khobar</v>
      </c>
      <c r="D249" t="str">
        <f>IFERROR(IF(TRIM('Staff Daily sales'!$F234&amp;"")="","Unassigned",TRIM('Staff Daily sales'!$F234&amp;"")),"Unassigned")</f>
        <v>Hamzah Al Makhadam</v>
      </c>
      <c r="E249">
        <f t="shared" si="74"/>
        <v>1</v>
      </c>
      <c r="F249">
        <f>IF($E249=0,0,SUMPRODUCT($AI$5:$DF$5,'Staff Daily sales'!$G234:$CD234))</f>
        <v>0</v>
      </c>
      <c r="G249">
        <f>IF($E249=0,0,SUMPRODUCT($AI$6:$DF$6,'Staff Daily sales'!$G234:$CD234))</f>
        <v>0</v>
      </c>
      <c r="H249">
        <f t="shared" si="75"/>
        <v>25681.499999999996</v>
      </c>
      <c r="I249">
        <f t="shared" si="76"/>
        <v>97</v>
      </c>
      <c r="J249">
        <f t="shared" si="77"/>
        <v>128104.23999999996</v>
      </c>
      <c r="K249">
        <f t="shared" si="78"/>
        <v>596</v>
      </c>
      <c r="L249">
        <f>--AND($E249=1,OR('Staff Dashboard'!$B$6="All",$DH249='Staff Dashboard'!$B$6),OR('Staff Dashboard'!$B$7="All",$D249='Staff Dashboard'!$B$7),OR('Staff Dashboard'!$B$8="All",$A249='Staff Dashboard'!$B$8))</f>
        <v>0</v>
      </c>
      <c r="M249">
        <f>IF($E249=0,0,SUMPRODUCT($AI$7:$DF$7,'Staff Daily sales'!$G234:$CD234))</f>
        <v>11027.28</v>
      </c>
      <c r="N249">
        <f>IF($E249=0,0,SUMPRODUCT($AI$8:$DF$8,'Staff Daily sales'!$G234:$CD234))</f>
        <v>61</v>
      </c>
      <c r="O249">
        <f>IF($E249=0,0,SUMPRODUCT($AI$9:$DF$9,'Staff Daily sales'!$G234:$CD234))</f>
        <v>11654.23</v>
      </c>
      <c r="P249">
        <f>IF($E249=0,0,SUMPRODUCT($AI$10:$DF$10,'Staff Daily sales'!$G234:$CD234))</f>
        <v>60</v>
      </c>
      <c r="Q249">
        <f>IF($E249=0,0,SUMPRODUCT($AI$11:$DF$11,'Staff Daily sales'!$G234:$CD234))</f>
        <v>3863.97</v>
      </c>
      <c r="R249">
        <f>IF($E249=0,0,SUMPRODUCT($AI$12:$DF$12,'Staff Daily sales'!$G234:$CD234))</f>
        <v>20</v>
      </c>
      <c r="S249">
        <f>IF($E249=0,0,SUMPRODUCT($AI$13:$DF$13,'Staff Daily sales'!$G234:$CD234))</f>
        <v>0</v>
      </c>
      <c r="T249">
        <f>IF($E249=0,0,SUMPRODUCT($AI$14:$DF$14,'Staff Daily sales'!$G234:$CD234))</f>
        <v>0</v>
      </c>
      <c r="U249">
        <f>IF($E249=0,0,SUMPRODUCT($AI$15:$DF$15,'Staff Daily sales'!$G234:$CD234))</f>
        <v>0</v>
      </c>
      <c r="V249">
        <f>IF($E249=0,0,SUMPRODUCT($AI$16:$DF$16,'Staff Daily sales'!$G234:$CD234))</f>
        <v>0</v>
      </c>
      <c r="W249">
        <f t="shared" si="79"/>
        <v>112267</v>
      </c>
      <c r="X249">
        <f t="shared" si="80"/>
        <v>146945.85</v>
      </c>
      <c r="Y249">
        <f t="shared" si="81"/>
        <v>127676.68</v>
      </c>
      <c r="Z249">
        <f t="shared" si="82"/>
        <v>114868.41</v>
      </c>
      <c r="AA249">
        <f t="shared" si="83"/>
        <v>33418.57</v>
      </c>
      <c r="AB249">
        <f>--AND($E249=1,OR('Staff Weekly Trend'!$B$3="All",$DH249='Staff Weekly Trend'!$B$3),OR('Staff Weekly Trend'!$B$4="All",$D249='Staff Weekly Trend'!$B$4),OR('Staff Weekly Trend'!$B$5="All",$A249='Staff Weekly Trend'!$B$5))</f>
        <v>1</v>
      </c>
      <c r="AC249" t="str">
        <f t="shared" si="84"/>
        <v/>
      </c>
      <c r="AI249">
        <f t="shared" si="85"/>
        <v>529</v>
      </c>
      <c r="AJ249">
        <f t="shared" si="86"/>
        <v>653</v>
      </c>
      <c r="AK249">
        <f t="shared" si="87"/>
        <v>467</v>
      </c>
      <c r="AL249">
        <f t="shared" si="88"/>
        <v>467</v>
      </c>
      <c r="AM249">
        <f t="shared" si="89"/>
        <v>133</v>
      </c>
      <c r="DH249" t="str" cm="1">
        <f t="array" ref="DH249">IF($A249="","",_xlfn.LET(_xlpm.c,IFERROR(_xlfn.XLOOKUP($A249,TRIM('Sales and count'!$A$4:$A$300&amp;""),TRIM('Sales and count'!$B$4:$B$300&amp;"")),""),IF(OR(_xlpm.c="",_xlpm.c="0",LEFT(_xlpm.c,1)="#"),"Not set",_xlpm.c)))</f>
        <v>KSA</v>
      </c>
    </row>
    <row r="250" spans="1:112" x14ac:dyDescent="0.25">
      <c r="A250" t="str">
        <f>IF('Staff Daily sales'!$B235="","",TRIM('Staff Daily sales'!$B235&amp;""))</f>
        <v>HASHKAVNUE</v>
      </c>
      <c r="B250" t="str">
        <f>IF('Staff Daily sales'!$D235="","",TRIM('Staff Daily sales'!$D235&amp;""))</f>
        <v>6825-BMohamed</v>
      </c>
      <c r="C250" t="str">
        <f>IFERROR(TRIM('Staff Daily sales'!$E235&amp;""),"")</f>
        <v>Khobar</v>
      </c>
      <c r="D250" t="str">
        <f>IFERROR(IF(TRIM('Staff Daily sales'!$F235&amp;"")="","Unassigned",TRIM('Staff Daily sales'!$F235&amp;"")),"Unassigned")</f>
        <v>Hamzah Al Makhadam</v>
      </c>
      <c r="E250">
        <f t="shared" si="74"/>
        <v>1</v>
      </c>
      <c r="F250">
        <f>IF($E250=0,0,SUMPRODUCT($AI$5:$DF$5,'Staff Daily sales'!$G235:$CD235))</f>
        <v>4618.9399999999996</v>
      </c>
      <c r="G250">
        <f>IF($E250=0,0,SUMPRODUCT($AI$6:$DF$6,'Staff Daily sales'!$G235:$CD235))</f>
        <v>15</v>
      </c>
      <c r="H250">
        <f t="shared" si="75"/>
        <v>25681.499999999996</v>
      </c>
      <c r="I250">
        <f t="shared" si="76"/>
        <v>97</v>
      </c>
      <c r="J250">
        <f t="shared" si="77"/>
        <v>128104.23999999996</v>
      </c>
      <c r="K250">
        <f t="shared" si="78"/>
        <v>596</v>
      </c>
      <c r="L250">
        <f>--AND($E250=1,OR('Staff Dashboard'!$B$6="All",$DH250='Staff Dashboard'!$B$6),OR('Staff Dashboard'!$B$7="All",$D250='Staff Dashboard'!$B$7),OR('Staff Dashboard'!$B$8="All",$A250='Staff Dashboard'!$B$8))</f>
        <v>0</v>
      </c>
      <c r="M250">
        <f>IF($E250=0,0,SUMPRODUCT($AI$7:$DF$7,'Staff Daily sales'!$G235:$CD235))</f>
        <v>14818.23</v>
      </c>
      <c r="N250">
        <f>IF($E250=0,0,SUMPRODUCT($AI$8:$DF$8,'Staff Daily sales'!$G235:$CD235))</f>
        <v>68</v>
      </c>
      <c r="O250">
        <f>IF($E250=0,0,SUMPRODUCT($AI$9:$DF$9,'Staff Daily sales'!$G235:$CD235))</f>
        <v>42860.880000000005</v>
      </c>
      <c r="P250">
        <f>IF($E250=0,0,SUMPRODUCT($AI$10:$DF$10,'Staff Daily sales'!$G235:$CD235))</f>
        <v>149</v>
      </c>
      <c r="Q250">
        <f>IF($E250=0,0,SUMPRODUCT($AI$11:$DF$11,'Staff Daily sales'!$G235:$CD235))</f>
        <v>31576.44</v>
      </c>
      <c r="R250">
        <f>IF($E250=0,0,SUMPRODUCT($AI$12:$DF$12,'Staff Daily sales'!$G235:$CD235))</f>
        <v>82</v>
      </c>
      <c r="S250">
        <f>IF($E250=0,0,SUMPRODUCT($AI$13:$DF$13,'Staff Daily sales'!$G235:$CD235))</f>
        <v>27279.72</v>
      </c>
      <c r="T250">
        <f>IF($E250=0,0,SUMPRODUCT($AI$14:$DF$14,'Staff Daily sales'!$G235:$CD235))</f>
        <v>88</v>
      </c>
      <c r="U250">
        <f>IF($E250=0,0,SUMPRODUCT($AI$15:$DF$15,'Staff Daily sales'!$G235:$CD235))</f>
        <v>9094.89</v>
      </c>
      <c r="V250">
        <f>IF($E250=0,0,SUMPRODUCT($AI$16:$DF$16,'Staff Daily sales'!$G235:$CD235))</f>
        <v>31</v>
      </c>
      <c r="W250">
        <f t="shared" si="79"/>
        <v>112267</v>
      </c>
      <c r="X250">
        <f t="shared" si="80"/>
        <v>146945.85</v>
      </c>
      <c r="Y250">
        <f t="shared" si="81"/>
        <v>127676.68</v>
      </c>
      <c r="Z250">
        <f t="shared" si="82"/>
        <v>114868.41</v>
      </c>
      <c r="AA250">
        <f t="shared" si="83"/>
        <v>33418.57</v>
      </c>
      <c r="AB250">
        <f>--AND($E250=1,OR('Staff Weekly Trend'!$B$3="All",$DH250='Staff Weekly Trend'!$B$3),OR('Staff Weekly Trend'!$B$4="All",$D250='Staff Weekly Trend'!$B$4),OR('Staff Weekly Trend'!$B$5="All",$A250='Staff Weekly Trend'!$B$5))</f>
        <v>1</v>
      </c>
      <c r="AC250">
        <f t="shared" si="84"/>
        <v>3</v>
      </c>
      <c r="AI250">
        <f t="shared" si="85"/>
        <v>529</v>
      </c>
      <c r="AJ250">
        <f t="shared" si="86"/>
        <v>653</v>
      </c>
      <c r="AK250">
        <f t="shared" si="87"/>
        <v>467</v>
      </c>
      <c r="AL250">
        <f t="shared" si="88"/>
        <v>467</v>
      </c>
      <c r="AM250">
        <f t="shared" si="89"/>
        <v>133</v>
      </c>
      <c r="DH250" t="str" cm="1">
        <f t="array" ref="DH250">IF($A250="","",_xlfn.LET(_xlpm.c,IFERROR(_xlfn.XLOOKUP($A250,TRIM('Sales and count'!$A$4:$A$300&amp;""),TRIM('Sales and count'!$B$4:$B$300&amp;"")),""),IF(OR(_xlpm.c="",_xlpm.c="0",LEFT(_xlpm.c,1)="#"),"Not set",_xlpm.c)))</f>
        <v>KSA</v>
      </c>
    </row>
    <row r="251" spans="1:112" x14ac:dyDescent="0.25">
      <c r="A251" t="str">
        <f>IF('Staff Daily sales'!$B236="","",TRIM('Staff Daily sales'!$B236&amp;""))</f>
        <v>HASHKAVNUE</v>
      </c>
      <c r="B251" t="str">
        <f>IF('Staff Daily sales'!$D236="","",TRIM('Staff Daily sales'!$D236&amp;""))</f>
        <v>6927-SAbuaeekal</v>
      </c>
      <c r="C251" t="str">
        <f>IFERROR(TRIM('Staff Daily sales'!$E236&amp;""),"")</f>
        <v>Khobar</v>
      </c>
      <c r="D251" t="str">
        <f>IFERROR(IF(TRIM('Staff Daily sales'!$F236&amp;"")="","Unassigned",TRIM('Staff Daily sales'!$F236&amp;"")),"Unassigned")</f>
        <v>Hamzah Al Makhadam</v>
      </c>
      <c r="E251">
        <f t="shared" si="74"/>
        <v>1</v>
      </c>
      <c r="F251">
        <f>IF($E251=0,0,SUMPRODUCT($AI$5:$DF$5,'Staff Daily sales'!$G236:$CD236))</f>
        <v>3301.78</v>
      </c>
      <c r="G251">
        <f>IF($E251=0,0,SUMPRODUCT($AI$6:$DF$6,'Staff Daily sales'!$G236:$CD236))</f>
        <v>13</v>
      </c>
      <c r="H251">
        <f t="shared" si="75"/>
        <v>25681.499999999996</v>
      </c>
      <c r="I251">
        <f t="shared" si="76"/>
        <v>97</v>
      </c>
      <c r="J251">
        <f t="shared" si="77"/>
        <v>128104.23999999996</v>
      </c>
      <c r="K251">
        <f t="shared" si="78"/>
        <v>596</v>
      </c>
      <c r="L251">
        <f>--AND($E251=1,OR('Staff Dashboard'!$B$6="All",$DH251='Staff Dashboard'!$B$6),OR('Staff Dashboard'!$B$7="All",$D251='Staff Dashboard'!$B$7),OR('Staff Dashboard'!$B$8="All",$A251='Staff Dashboard'!$B$8))</f>
        <v>0</v>
      </c>
      <c r="M251">
        <f>IF($E251=0,0,SUMPRODUCT($AI$7:$DF$7,'Staff Daily sales'!$G236:$CD236))</f>
        <v>15058.240000000002</v>
      </c>
      <c r="N251">
        <f>IF($E251=0,0,SUMPRODUCT($AI$8:$DF$8,'Staff Daily sales'!$G236:$CD236))</f>
        <v>81</v>
      </c>
      <c r="O251">
        <f>IF($E251=0,0,SUMPRODUCT($AI$9:$DF$9,'Staff Daily sales'!$G236:$CD236))</f>
        <v>17172.43</v>
      </c>
      <c r="P251">
        <f>IF($E251=0,0,SUMPRODUCT($AI$10:$DF$10,'Staff Daily sales'!$G236:$CD236))</f>
        <v>93</v>
      </c>
      <c r="Q251">
        <f>IF($E251=0,0,SUMPRODUCT($AI$11:$DF$11,'Staff Daily sales'!$G236:$CD236))</f>
        <v>0</v>
      </c>
      <c r="R251">
        <f>IF($E251=0,0,SUMPRODUCT($AI$12:$DF$12,'Staff Daily sales'!$G236:$CD236))</f>
        <v>0</v>
      </c>
      <c r="S251">
        <f>IF($E251=0,0,SUMPRODUCT($AI$13:$DF$13,'Staff Daily sales'!$G236:$CD236))</f>
        <v>9348.86</v>
      </c>
      <c r="T251">
        <f>IF($E251=0,0,SUMPRODUCT($AI$14:$DF$14,'Staff Daily sales'!$G236:$CD236))</f>
        <v>47</v>
      </c>
      <c r="U251">
        <f>IF($E251=0,0,SUMPRODUCT($AI$15:$DF$15,'Staff Daily sales'!$G236:$CD236))</f>
        <v>2929.04</v>
      </c>
      <c r="V251">
        <f>IF($E251=0,0,SUMPRODUCT($AI$16:$DF$16,'Staff Daily sales'!$G236:$CD236))</f>
        <v>17</v>
      </c>
      <c r="W251">
        <f t="shared" si="79"/>
        <v>112267</v>
      </c>
      <c r="X251">
        <f t="shared" si="80"/>
        <v>146945.85</v>
      </c>
      <c r="Y251">
        <f t="shared" si="81"/>
        <v>127676.68</v>
      </c>
      <c r="Z251">
        <f t="shared" si="82"/>
        <v>114868.41</v>
      </c>
      <c r="AA251">
        <f t="shared" si="83"/>
        <v>33418.57</v>
      </c>
      <c r="AB251">
        <f>--AND($E251=1,OR('Staff Weekly Trend'!$B$3="All",$DH251='Staff Weekly Trend'!$B$3),OR('Staff Weekly Trend'!$B$4="All",$D251='Staff Weekly Trend'!$B$4),OR('Staff Weekly Trend'!$B$5="All",$A251='Staff Weekly Trend'!$B$5))</f>
        <v>1</v>
      </c>
      <c r="AC251">
        <f t="shared" si="84"/>
        <v>4</v>
      </c>
      <c r="AI251">
        <f t="shared" si="85"/>
        <v>529</v>
      </c>
      <c r="AJ251">
        <f t="shared" si="86"/>
        <v>653</v>
      </c>
      <c r="AK251">
        <f t="shared" si="87"/>
        <v>467</v>
      </c>
      <c r="AL251">
        <f t="shared" si="88"/>
        <v>467</v>
      </c>
      <c r="AM251">
        <f t="shared" si="89"/>
        <v>133</v>
      </c>
      <c r="DH251" t="str" cm="1">
        <f t="array" ref="DH251">IF($A251="","",_xlfn.LET(_xlpm.c,IFERROR(_xlfn.XLOOKUP($A251,TRIM('Sales and count'!$A$4:$A$300&amp;""),TRIM('Sales and count'!$B$4:$B$300&amp;"")),""),IF(OR(_xlpm.c="",_xlpm.c="0",LEFT(_xlpm.c,1)="#"),"Not set",_xlpm.c)))</f>
        <v>KSA</v>
      </c>
    </row>
    <row r="252" spans="1:112" x14ac:dyDescent="0.25">
      <c r="A252" t="str">
        <f>IF('Staff Daily sales'!$B237="","",TRIM('Staff Daily sales'!$B237&amp;""))</f>
        <v>HASHKAVNUE</v>
      </c>
      <c r="B252" t="str">
        <f>IF('Staff Daily sales'!$D237="","",TRIM('Staff Daily sales'!$D237&amp;""))</f>
        <v>7055-AAlessa</v>
      </c>
      <c r="C252" t="str">
        <f>IFERROR(TRIM('Staff Daily sales'!$E237&amp;""),"")</f>
        <v>Khobar</v>
      </c>
      <c r="D252" t="str">
        <f>IFERROR(IF(TRIM('Staff Daily sales'!$F237&amp;"")="","Unassigned",TRIM('Staff Daily sales'!$F237&amp;"")),"Unassigned")</f>
        <v>Hamzah Al Makhadam</v>
      </c>
      <c r="E252">
        <f t="shared" si="74"/>
        <v>1</v>
      </c>
      <c r="F252">
        <f>IF($E252=0,0,SUMPRODUCT($AI$5:$DF$5,'Staff Daily sales'!$G237:$CD237))</f>
        <v>5024.62</v>
      </c>
      <c r="G252">
        <f>IF($E252=0,0,SUMPRODUCT($AI$6:$DF$6,'Staff Daily sales'!$G237:$CD237))</f>
        <v>19</v>
      </c>
      <c r="H252">
        <f t="shared" si="75"/>
        <v>25681.499999999996</v>
      </c>
      <c r="I252">
        <f t="shared" si="76"/>
        <v>97</v>
      </c>
      <c r="J252">
        <f t="shared" si="77"/>
        <v>128104.23999999996</v>
      </c>
      <c r="K252">
        <f t="shared" si="78"/>
        <v>596</v>
      </c>
      <c r="L252">
        <f>--AND($E252=1,OR('Staff Dashboard'!$B$6="All",$DH252='Staff Dashboard'!$B$6),OR('Staff Dashboard'!$B$7="All",$D252='Staff Dashboard'!$B$7),OR('Staff Dashboard'!$B$8="All",$A252='Staff Dashboard'!$B$8))</f>
        <v>0</v>
      </c>
      <c r="M252">
        <f>IF($E252=0,0,SUMPRODUCT($AI$7:$DF$7,'Staff Daily sales'!$G237:$CD237))</f>
        <v>21065.34</v>
      </c>
      <c r="N252">
        <f>IF($E252=0,0,SUMPRODUCT($AI$8:$DF$8,'Staff Daily sales'!$G237:$CD237))</f>
        <v>91</v>
      </c>
      <c r="O252">
        <f>IF($E252=0,0,SUMPRODUCT($AI$9:$DF$9,'Staff Daily sales'!$G237:$CD237))</f>
        <v>11331.2</v>
      </c>
      <c r="P252">
        <f>IF($E252=0,0,SUMPRODUCT($AI$10:$DF$10,'Staff Daily sales'!$G237:$CD237))</f>
        <v>43</v>
      </c>
      <c r="Q252">
        <f>IF($E252=0,0,SUMPRODUCT($AI$11:$DF$11,'Staff Daily sales'!$G237:$CD237))</f>
        <v>13917.2</v>
      </c>
      <c r="R252">
        <f>IF($E252=0,0,SUMPRODUCT($AI$12:$DF$12,'Staff Daily sales'!$G237:$CD237))</f>
        <v>60</v>
      </c>
      <c r="S252">
        <f>IF($E252=0,0,SUMPRODUCT($AI$13:$DF$13,'Staff Daily sales'!$G237:$CD237))</f>
        <v>15275.34</v>
      </c>
      <c r="T252">
        <f>IF($E252=0,0,SUMPRODUCT($AI$14:$DF$14,'Staff Daily sales'!$G237:$CD237))</f>
        <v>73</v>
      </c>
      <c r="U252">
        <f>IF($E252=0,0,SUMPRODUCT($AI$15:$DF$15,'Staff Daily sales'!$G237:$CD237))</f>
        <v>4375.0599999999995</v>
      </c>
      <c r="V252">
        <f>IF($E252=0,0,SUMPRODUCT($AI$16:$DF$16,'Staff Daily sales'!$G237:$CD237))</f>
        <v>20</v>
      </c>
      <c r="W252">
        <f t="shared" si="79"/>
        <v>112267</v>
      </c>
      <c r="X252">
        <f t="shared" si="80"/>
        <v>146945.85</v>
      </c>
      <c r="Y252">
        <f t="shared" si="81"/>
        <v>127676.68</v>
      </c>
      <c r="Z252">
        <f t="shared" si="82"/>
        <v>114868.41</v>
      </c>
      <c r="AA252">
        <f t="shared" si="83"/>
        <v>33418.57</v>
      </c>
      <c r="AB252">
        <f>--AND($E252=1,OR('Staff Weekly Trend'!$B$3="All",$DH252='Staff Weekly Trend'!$B$3),OR('Staff Weekly Trend'!$B$4="All",$D252='Staff Weekly Trend'!$B$4),OR('Staff Weekly Trend'!$B$5="All",$A252='Staff Weekly Trend'!$B$5))</f>
        <v>1</v>
      </c>
      <c r="AC252">
        <f t="shared" si="84"/>
        <v>2</v>
      </c>
      <c r="AI252">
        <f t="shared" si="85"/>
        <v>529</v>
      </c>
      <c r="AJ252">
        <f t="shared" si="86"/>
        <v>653</v>
      </c>
      <c r="AK252">
        <f t="shared" si="87"/>
        <v>467</v>
      </c>
      <c r="AL252">
        <f t="shared" si="88"/>
        <v>467</v>
      </c>
      <c r="AM252">
        <f t="shared" si="89"/>
        <v>133</v>
      </c>
      <c r="DH252" t="str" cm="1">
        <f t="array" ref="DH252">IF($A252="","",_xlfn.LET(_xlpm.c,IFERROR(_xlfn.XLOOKUP($A252,TRIM('Sales and count'!$A$4:$A$300&amp;""),TRIM('Sales and count'!$B$4:$B$300&amp;"")),""),IF(OR(_xlpm.c="",_xlpm.c="0",LEFT(_xlpm.c,1)="#"),"Not set",_xlpm.c)))</f>
        <v>KSA</v>
      </c>
    </row>
    <row r="253" spans="1:112" x14ac:dyDescent="0.25">
      <c r="A253" t="str">
        <f>IF('Staff Daily sales'!$B238="","",TRIM('Staff Daily sales'!$B238&amp;""))</f>
        <v>HASHKAVNUE</v>
      </c>
      <c r="B253" t="str">
        <f>IF('Staff Daily sales'!$D238="","",TRIM('Staff Daily sales'!$D238&amp;""))</f>
        <v>7305-FAlRumaithan</v>
      </c>
      <c r="C253" t="str">
        <f>IFERROR(TRIM('Staff Daily sales'!$E238&amp;""),"")</f>
        <v>Khobar</v>
      </c>
      <c r="D253" t="str">
        <f>IFERROR(IF(TRIM('Staff Daily sales'!$F238&amp;"")="","Unassigned",TRIM('Staff Daily sales'!$F238&amp;"")),"Unassigned")</f>
        <v>Hamzah Al Makhadam</v>
      </c>
      <c r="E253">
        <f t="shared" si="74"/>
        <v>1</v>
      </c>
      <c r="F253">
        <f>IF($E253=0,0,SUMPRODUCT($AI$5:$DF$5,'Staff Daily sales'!$G238:$CD238))</f>
        <v>0</v>
      </c>
      <c r="G253">
        <f>IF($E253=0,0,SUMPRODUCT($AI$6:$DF$6,'Staff Daily sales'!$G238:$CD238))</f>
        <v>0</v>
      </c>
      <c r="H253">
        <f t="shared" si="75"/>
        <v>25681.499999999996</v>
      </c>
      <c r="I253">
        <f t="shared" si="76"/>
        <v>97</v>
      </c>
      <c r="J253">
        <f t="shared" si="77"/>
        <v>128104.23999999996</v>
      </c>
      <c r="K253">
        <f t="shared" si="78"/>
        <v>596</v>
      </c>
      <c r="L253">
        <f>--AND($E253=1,OR('Staff Dashboard'!$B$6="All",$DH253='Staff Dashboard'!$B$6),OR('Staff Dashboard'!$B$7="All",$D253='Staff Dashboard'!$B$7),OR('Staff Dashboard'!$B$8="All",$A253='Staff Dashboard'!$B$8))</f>
        <v>0</v>
      </c>
      <c r="M253">
        <f>IF($E253=0,0,SUMPRODUCT($AI$7:$DF$7,'Staff Daily sales'!$G238:$CD238))</f>
        <v>7893.99</v>
      </c>
      <c r="N253">
        <f>IF($E253=0,0,SUMPRODUCT($AI$8:$DF$8,'Staff Daily sales'!$G238:$CD238))</f>
        <v>48</v>
      </c>
      <c r="O253">
        <f>IF($E253=0,0,SUMPRODUCT($AI$9:$DF$9,'Staff Daily sales'!$G238:$CD238))</f>
        <v>11482.150000000001</v>
      </c>
      <c r="P253">
        <f>IF($E253=0,0,SUMPRODUCT($AI$10:$DF$10,'Staff Daily sales'!$G238:$CD238))</f>
        <v>63</v>
      </c>
      <c r="Q253">
        <f>IF($E253=0,0,SUMPRODUCT($AI$11:$DF$11,'Staff Daily sales'!$G238:$CD238))</f>
        <v>12481.28</v>
      </c>
      <c r="R253">
        <f>IF($E253=0,0,SUMPRODUCT($AI$12:$DF$12,'Staff Daily sales'!$G238:$CD238))</f>
        <v>50</v>
      </c>
      <c r="S253">
        <f>IF($E253=0,0,SUMPRODUCT($AI$13:$DF$13,'Staff Daily sales'!$G238:$CD238))</f>
        <v>12061.880000000001</v>
      </c>
      <c r="T253">
        <f>IF($E253=0,0,SUMPRODUCT($AI$14:$DF$14,'Staff Daily sales'!$G238:$CD238))</f>
        <v>41</v>
      </c>
      <c r="U253">
        <f>IF($E253=0,0,SUMPRODUCT($AI$15:$DF$15,'Staff Daily sales'!$G238:$CD238))</f>
        <v>3809.03</v>
      </c>
      <c r="V253">
        <f>IF($E253=0,0,SUMPRODUCT($AI$16:$DF$16,'Staff Daily sales'!$G238:$CD238))</f>
        <v>15</v>
      </c>
      <c r="W253">
        <f t="shared" si="79"/>
        <v>112267</v>
      </c>
      <c r="X253">
        <f t="shared" si="80"/>
        <v>146945.85</v>
      </c>
      <c r="Y253">
        <f t="shared" si="81"/>
        <v>127676.68</v>
      </c>
      <c r="Z253">
        <f t="shared" si="82"/>
        <v>114868.41</v>
      </c>
      <c r="AA253">
        <f t="shared" si="83"/>
        <v>33418.57</v>
      </c>
      <c r="AB253">
        <f>--AND($E253=1,OR('Staff Weekly Trend'!$B$3="All",$DH253='Staff Weekly Trend'!$B$3),OR('Staff Weekly Trend'!$B$4="All",$D253='Staff Weekly Trend'!$B$4),OR('Staff Weekly Trend'!$B$5="All",$A253='Staff Weekly Trend'!$B$5))</f>
        <v>1</v>
      </c>
      <c r="AC253" t="str">
        <f t="shared" si="84"/>
        <v/>
      </c>
      <c r="AI253">
        <f t="shared" si="85"/>
        <v>529</v>
      </c>
      <c r="AJ253">
        <f t="shared" si="86"/>
        <v>653</v>
      </c>
      <c r="AK253">
        <f t="shared" si="87"/>
        <v>467</v>
      </c>
      <c r="AL253">
        <f t="shared" si="88"/>
        <v>467</v>
      </c>
      <c r="AM253">
        <f t="shared" si="89"/>
        <v>133</v>
      </c>
      <c r="DH253" t="str" cm="1">
        <f t="array" ref="DH253">IF($A253="","",_xlfn.LET(_xlpm.c,IFERROR(_xlfn.XLOOKUP($A253,TRIM('Sales and count'!$A$4:$A$300&amp;""),TRIM('Sales and count'!$B$4:$B$300&amp;"")),""),IF(OR(_xlpm.c="",_xlpm.c="0",LEFT(_xlpm.c,1)="#"),"Not set",_xlpm.c)))</f>
        <v>KSA</v>
      </c>
    </row>
    <row r="254" spans="1:112" x14ac:dyDescent="0.25">
      <c r="A254" t="str">
        <f>IF('Staff Daily sales'!$B239="","",TRIM('Staff Daily sales'!$B239&amp;""))</f>
        <v>HAHAILZONE</v>
      </c>
      <c r="B254" t="str">
        <f>IF('Staff Daily sales'!$D239="","",TRIM('Staff Daily sales'!$D239&amp;""))</f>
        <v>4836-MAlQasim</v>
      </c>
      <c r="C254" t="str">
        <f>IFERROR(TRIM('Staff Daily sales'!$E239&amp;""),"")</f>
        <v>Hail</v>
      </c>
      <c r="D254" t="str">
        <f>IFERROR(IF(TRIM('Staff Daily sales'!$F239&amp;"")="","Unassigned",TRIM('Staff Daily sales'!$F239&amp;"")),"Unassigned")</f>
        <v>Mohammed Sanad</v>
      </c>
      <c r="E254">
        <f t="shared" si="74"/>
        <v>1</v>
      </c>
      <c r="F254">
        <f>IF($E254=0,0,SUMPRODUCT($AI$5:$DF$5,'Staff Daily sales'!$G239:$CD239))</f>
        <v>225</v>
      </c>
      <c r="G254">
        <f>IF($E254=0,0,SUMPRODUCT($AI$6:$DF$6,'Staff Daily sales'!$G239:$CD239))</f>
        <v>1</v>
      </c>
      <c r="H254">
        <f t="shared" si="75"/>
        <v>3655.9</v>
      </c>
      <c r="I254">
        <f t="shared" si="76"/>
        <v>16</v>
      </c>
      <c r="J254">
        <f t="shared" si="77"/>
        <v>64682.640000000014</v>
      </c>
      <c r="K254">
        <f t="shared" si="78"/>
        <v>326</v>
      </c>
      <c r="L254">
        <f>--AND($E254=1,OR('Staff Dashboard'!$B$6="All",$DH254='Staff Dashboard'!$B$6),OR('Staff Dashboard'!$B$7="All",$D254='Staff Dashboard'!$B$7),OR('Staff Dashboard'!$B$8="All",$A254='Staff Dashboard'!$B$8))</f>
        <v>0</v>
      </c>
      <c r="M254">
        <f>IF($E254=0,0,SUMPRODUCT($AI$7:$DF$7,'Staff Daily sales'!$G239:$CD239))</f>
        <v>5506.09</v>
      </c>
      <c r="N254">
        <f>IF($E254=0,0,SUMPRODUCT($AI$8:$DF$8,'Staff Daily sales'!$G239:$CD239))</f>
        <v>38</v>
      </c>
      <c r="O254">
        <f>IF($E254=0,0,SUMPRODUCT($AI$9:$DF$9,'Staff Daily sales'!$G239:$CD239))</f>
        <v>8585.1200000000008</v>
      </c>
      <c r="P254">
        <f>IF($E254=0,0,SUMPRODUCT($AI$10:$DF$10,'Staff Daily sales'!$G239:$CD239))</f>
        <v>65</v>
      </c>
      <c r="Q254">
        <f>IF($E254=0,0,SUMPRODUCT($AI$11:$DF$11,'Staff Daily sales'!$G239:$CD239))</f>
        <v>7160.1</v>
      </c>
      <c r="R254">
        <f>IF($E254=0,0,SUMPRODUCT($AI$12:$DF$12,'Staff Daily sales'!$G239:$CD239))</f>
        <v>37</v>
      </c>
      <c r="S254">
        <f>IF($E254=0,0,SUMPRODUCT($AI$13:$DF$13,'Staff Daily sales'!$G239:$CD239))</f>
        <v>2276.92</v>
      </c>
      <c r="T254">
        <f>IF($E254=0,0,SUMPRODUCT($AI$14:$DF$14,'Staff Daily sales'!$G239:$CD239))</f>
        <v>10</v>
      </c>
      <c r="U254">
        <f>IF($E254=0,0,SUMPRODUCT($AI$15:$DF$15,'Staff Daily sales'!$G239:$CD239))</f>
        <v>758.05</v>
      </c>
      <c r="V254">
        <f>IF($E254=0,0,SUMPRODUCT($AI$16:$DF$16,'Staff Daily sales'!$G239:$CD239))</f>
        <v>2</v>
      </c>
      <c r="W254">
        <f t="shared" si="79"/>
        <v>22114.379999999997</v>
      </c>
      <c r="X254">
        <f t="shared" si="80"/>
        <v>25069.4</v>
      </c>
      <c r="Y254">
        <f t="shared" si="81"/>
        <v>22208.35</v>
      </c>
      <c r="Z254">
        <f t="shared" si="82"/>
        <v>23078.59</v>
      </c>
      <c r="AA254">
        <f t="shared" si="83"/>
        <v>8134.07</v>
      </c>
      <c r="AB254">
        <f>--AND($E254=1,OR('Staff Weekly Trend'!$B$3="All",$DH254='Staff Weekly Trend'!$B$3),OR('Staff Weekly Trend'!$B$4="All",$D254='Staff Weekly Trend'!$B$4),OR('Staff Weekly Trend'!$B$5="All",$A254='Staff Weekly Trend'!$B$5))</f>
        <v>1</v>
      </c>
      <c r="AC254">
        <f t="shared" si="84"/>
        <v>4</v>
      </c>
      <c r="AI254">
        <f t="shared" si="85"/>
        <v>176</v>
      </c>
      <c r="AJ254">
        <f t="shared" si="86"/>
        <v>175</v>
      </c>
      <c r="AK254">
        <f t="shared" si="87"/>
        <v>140</v>
      </c>
      <c r="AL254">
        <f t="shared" si="88"/>
        <v>110</v>
      </c>
      <c r="AM254">
        <f t="shared" si="89"/>
        <v>33</v>
      </c>
      <c r="DH254" t="str" cm="1">
        <f t="array" ref="DH254">IF($A254="","",_xlfn.LET(_xlpm.c,IFERROR(_xlfn.XLOOKUP($A254,TRIM('Sales and count'!$A$4:$A$300&amp;""),TRIM('Sales and count'!$B$4:$B$300&amp;"")),""),IF(OR(_xlpm.c="",_xlpm.c="0",LEFT(_xlpm.c,1)="#"),"Not set",_xlpm.c)))</f>
        <v>KSA</v>
      </c>
    </row>
    <row r="255" spans="1:112" x14ac:dyDescent="0.25">
      <c r="A255" t="str">
        <f>IF('Staff Daily sales'!$B240="","",TRIM('Staff Daily sales'!$B240&amp;""))</f>
        <v>HAHAILZONE</v>
      </c>
      <c r="B255" t="str">
        <f>IF('Staff Daily sales'!$D240="","",TRIM('Staff Daily sales'!$D240&amp;""))</f>
        <v>5190-AAlmajrad</v>
      </c>
      <c r="C255" t="str">
        <f>IFERROR(TRIM('Staff Daily sales'!$E240&amp;""),"")</f>
        <v>Hail</v>
      </c>
      <c r="D255" t="str">
        <f>IFERROR(IF(TRIM('Staff Daily sales'!$F240&amp;"")="","Unassigned",TRIM('Staff Daily sales'!$F240&amp;"")),"Unassigned")</f>
        <v>Mohammed Sanad</v>
      </c>
      <c r="E255">
        <f t="shared" si="74"/>
        <v>1</v>
      </c>
      <c r="F255">
        <f>IF($E255=0,0,SUMPRODUCT($AI$5:$DF$5,'Staff Daily sales'!$G240:$CD240))</f>
        <v>1071.98</v>
      </c>
      <c r="G255">
        <f>IF($E255=0,0,SUMPRODUCT($AI$6:$DF$6,'Staff Daily sales'!$G240:$CD240))</f>
        <v>4</v>
      </c>
      <c r="H255">
        <f t="shared" si="75"/>
        <v>3655.9</v>
      </c>
      <c r="I255">
        <f t="shared" si="76"/>
        <v>16</v>
      </c>
      <c r="J255">
        <f t="shared" si="77"/>
        <v>64682.640000000014</v>
      </c>
      <c r="K255">
        <f t="shared" si="78"/>
        <v>326</v>
      </c>
      <c r="L255">
        <f>--AND($E255=1,OR('Staff Dashboard'!$B$6="All",$DH255='Staff Dashboard'!$B$6),OR('Staff Dashboard'!$B$7="All",$D255='Staff Dashboard'!$B$7),OR('Staff Dashboard'!$B$8="All",$A255='Staff Dashboard'!$B$8))</f>
        <v>0</v>
      </c>
      <c r="M255">
        <f>IF($E255=0,0,SUMPRODUCT($AI$7:$DF$7,'Staff Daily sales'!$G240:$CD240))</f>
        <v>9635.17</v>
      </c>
      <c r="N255">
        <f>IF($E255=0,0,SUMPRODUCT($AI$8:$DF$8,'Staff Daily sales'!$G240:$CD240))</f>
        <v>74</v>
      </c>
      <c r="O255">
        <f>IF($E255=0,0,SUMPRODUCT($AI$9:$DF$9,'Staff Daily sales'!$G240:$CD240))</f>
        <v>13447.22</v>
      </c>
      <c r="P255">
        <f>IF($E255=0,0,SUMPRODUCT($AI$10:$DF$10,'Staff Daily sales'!$G240:$CD240))</f>
        <v>86</v>
      </c>
      <c r="Q255">
        <f>IF($E255=0,0,SUMPRODUCT($AI$11:$DF$11,'Staff Daily sales'!$G240:$CD240))</f>
        <v>8498.1400000000012</v>
      </c>
      <c r="R255">
        <f>IF($E255=0,0,SUMPRODUCT($AI$12:$DF$12,'Staff Daily sales'!$G240:$CD240))</f>
        <v>55</v>
      </c>
      <c r="S255">
        <f>IF($E255=0,0,SUMPRODUCT($AI$13:$DF$13,'Staff Daily sales'!$G240:$CD240))</f>
        <v>6450.85</v>
      </c>
      <c r="T255">
        <f>IF($E255=0,0,SUMPRODUCT($AI$14:$DF$14,'Staff Daily sales'!$G240:$CD240))</f>
        <v>30</v>
      </c>
      <c r="U255">
        <f>IF($E255=0,0,SUMPRODUCT($AI$15:$DF$15,'Staff Daily sales'!$G240:$CD240))</f>
        <v>3054.04</v>
      </c>
      <c r="V255">
        <f>IF($E255=0,0,SUMPRODUCT($AI$16:$DF$16,'Staff Daily sales'!$G240:$CD240))</f>
        <v>6</v>
      </c>
      <c r="W255">
        <f t="shared" si="79"/>
        <v>22114.379999999997</v>
      </c>
      <c r="X255">
        <f t="shared" si="80"/>
        <v>25069.4</v>
      </c>
      <c r="Y255">
        <f t="shared" si="81"/>
        <v>22208.35</v>
      </c>
      <c r="Z255">
        <f t="shared" si="82"/>
        <v>23078.59</v>
      </c>
      <c r="AA255">
        <f t="shared" si="83"/>
        <v>8134.07</v>
      </c>
      <c r="AB255">
        <f>--AND($E255=1,OR('Staff Weekly Trend'!$B$3="All",$DH255='Staff Weekly Trend'!$B$3),OR('Staff Weekly Trend'!$B$4="All",$D255='Staff Weekly Trend'!$B$4),OR('Staff Weekly Trend'!$B$5="All",$A255='Staff Weekly Trend'!$B$5))</f>
        <v>1</v>
      </c>
      <c r="AC255">
        <f t="shared" si="84"/>
        <v>2</v>
      </c>
      <c r="AI255">
        <f t="shared" si="85"/>
        <v>176</v>
      </c>
      <c r="AJ255">
        <f t="shared" si="86"/>
        <v>175</v>
      </c>
      <c r="AK255">
        <f t="shared" si="87"/>
        <v>140</v>
      </c>
      <c r="AL255">
        <f t="shared" si="88"/>
        <v>110</v>
      </c>
      <c r="AM255">
        <f t="shared" si="89"/>
        <v>33</v>
      </c>
      <c r="DH255" t="str" cm="1">
        <f t="array" ref="DH255">IF($A255="","",_xlfn.LET(_xlpm.c,IFERROR(_xlfn.XLOOKUP($A255,TRIM('Sales and count'!$A$4:$A$300&amp;""),TRIM('Sales and count'!$B$4:$B$300&amp;"")),""),IF(OR(_xlpm.c="",_xlpm.c="0",LEFT(_xlpm.c,1)="#"),"Not set",_xlpm.c)))</f>
        <v>KSA</v>
      </c>
    </row>
    <row r="256" spans="1:112" x14ac:dyDescent="0.25">
      <c r="A256" t="str">
        <f>IF('Staff Daily sales'!$B241="","",TRIM('Staff Daily sales'!$B241&amp;""))</f>
        <v>HAHAILZONE</v>
      </c>
      <c r="B256" t="str">
        <f>IF('Staff Daily sales'!$D241="","",TRIM('Staff Daily sales'!$D241&amp;""))</f>
        <v>6206-AAlanazi</v>
      </c>
      <c r="C256" t="str">
        <f>IFERROR(TRIM('Staff Daily sales'!$E241&amp;""),"")</f>
        <v>Hail</v>
      </c>
      <c r="D256" t="str">
        <f>IFERROR(IF(TRIM('Staff Daily sales'!$F241&amp;"")="","Unassigned",TRIM('Staff Daily sales'!$F241&amp;"")),"Unassigned")</f>
        <v>Mohammed Sanad</v>
      </c>
      <c r="E256">
        <f t="shared" si="74"/>
        <v>1</v>
      </c>
      <c r="F256">
        <f>IF($E256=0,0,SUMPRODUCT($AI$5:$DF$5,'Staff Daily sales'!$G241:$CD241))</f>
        <v>0</v>
      </c>
      <c r="G256">
        <f>IF($E256=0,0,SUMPRODUCT($AI$6:$DF$6,'Staff Daily sales'!$G241:$CD241))</f>
        <v>0</v>
      </c>
      <c r="H256">
        <f t="shared" si="75"/>
        <v>3655.9</v>
      </c>
      <c r="I256">
        <f t="shared" si="76"/>
        <v>16</v>
      </c>
      <c r="J256">
        <f t="shared" si="77"/>
        <v>64682.640000000014</v>
      </c>
      <c r="K256">
        <f t="shared" si="78"/>
        <v>326</v>
      </c>
      <c r="L256">
        <f>--AND($E256=1,OR('Staff Dashboard'!$B$6="All",$DH256='Staff Dashboard'!$B$6),OR('Staff Dashboard'!$B$7="All",$D256='Staff Dashboard'!$B$7),OR('Staff Dashboard'!$B$8="All",$A256='Staff Dashboard'!$B$8))</f>
        <v>0</v>
      </c>
      <c r="M256">
        <f>IF($E256=0,0,SUMPRODUCT($AI$7:$DF$7,'Staff Daily sales'!$G241:$CD241))</f>
        <v>6317.09</v>
      </c>
      <c r="N256">
        <f>IF($E256=0,0,SUMPRODUCT($AI$8:$DF$8,'Staff Daily sales'!$G241:$CD241))</f>
        <v>58</v>
      </c>
      <c r="O256">
        <f>IF($E256=0,0,SUMPRODUCT($AI$9:$DF$9,'Staff Daily sales'!$G241:$CD241))</f>
        <v>0</v>
      </c>
      <c r="P256">
        <f>IF($E256=0,0,SUMPRODUCT($AI$10:$DF$10,'Staff Daily sales'!$G241:$CD241))</f>
        <v>0</v>
      </c>
      <c r="Q256">
        <f>IF($E256=0,0,SUMPRODUCT($AI$11:$DF$11,'Staff Daily sales'!$G241:$CD241))</f>
        <v>1413.05</v>
      </c>
      <c r="R256">
        <f>IF($E256=0,0,SUMPRODUCT($AI$12:$DF$12,'Staff Daily sales'!$G241:$CD241))</f>
        <v>12</v>
      </c>
      <c r="S256">
        <f>IF($E256=0,0,SUMPRODUCT($AI$13:$DF$13,'Staff Daily sales'!$G241:$CD241))</f>
        <v>5813.9699999999993</v>
      </c>
      <c r="T256">
        <f>IF($E256=0,0,SUMPRODUCT($AI$14:$DF$14,'Staff Daily sales'!$G241:$CD241))</f>
        <v>27</v>
      </c>
      <c r="U256">
        <f>IF($E256=0,0,SUMPRODUCT($AI$15:$DF$15,'Staff Daily sales'!$G241:$CD241))</f>
        <v>3736</v>
      </c>
      <c r="V256">
        <f>IF($E256=0,0,SUMPRODUCT($AI$16:$DF$16,'Staff Daily sales'!$G241:$CD241))</f>
        <v>20</v>
      </c>
      <c r="W256">
        <f t="shared" si="79"/>
        <v>22114.379999999997</v>
      </c>
      <c r="X256">
        <f t="shared" si="80"/>
        <v>25069.4</v>
      </c>
      <c r="Y256">
        <f t="shared" si="81"/>
        <v>22208.35</v>
      </c>
      <c r="Z256">
        <f t="shared" si="82"/>
        <v>23078.59</v>
      </c>
      <c r="AA256">
        <f t="shared" si="83"/>
        <v>8134.07</v>
      </c>
      <c r="AB256">
        <f>--AND($E256=1,OR('Staff Weekly Trend'!$B$3="All",$DH256='Staff Weekly Trend'!$B$3),OR('Staff Weekly Trend'!$B$4="All",$D256='Staff Weekly Trend'!$B$4),OR('Staff Weekly Trend'!$B$5="All",$A256='Staff Weekly Trend'!$B$5))</f>
        <v>1</v>
      </c>
      <c r="AC256" t="str">
        <f t="shared" si="84"/>
        <v/>
      </c>
      <c r="AI256">
        <f t="shared" si="85"/>
        <v>176</v>
      </c>
      <c r="AJ256">
        <f t="shared" si="86"/>
        <v>175</v>
      </c>
      <c r="AK256">
        <f t="shared" si="87"/>
        <v>140</v>
      </c>
      <c r="AL256">
        <f t="shared" si="88"/>
        <v>110</v>
      </c>
      <c r="AM256">
        <f t="shared" si="89"/>
        <v>33</v>
      </c>
      <c r="DH256" t="str" cm="1">
        <f t="array" ref="DH256">IF($A256="","",_xlfn.LET(_xlpm.c,IFERROR(_xlfn.XLOOKUP($A256,TRIM('Sales and count'!$A$4:$A$300&amp;""),TRIM('Sales and count'!$B$4:$B$300&amp;"")),""),IF(OR(_xlpm.c="",_xlpm.c="0",LEFT(_xlpm.c,1)="#"),"Not set",_xlpm.c)))</f>
        <v>KSA</v>
      </c>
    </row>
    <row r="257" spans="1:112" x14ac:dyDescent="0.25">
      <c r="A257" t="str">
        <f>IF('Staff Daily sales'!$B242="","",TRIM('Staff Daily sales'!$B242&amp;""))</f>
        <v>HAHAILZONE</v>
      </c>
      <c r="B257" t="str">
        <f>IF('Staff Daily sales'!$D242="","",TRIM('Staff Daily sales'!$D242&amp;""))</f>
        <v>6207-GAlsuwailem</v>
      </c>
      <c r="C257" t="str">
        <f>IFERROR(TRIM('Staff Daily sales'!$E242&amp;""),"")</f>
        <v>Hail</v>
      </c>
      <c r="D257" t="str">
        <f>IFERROR(IF(TRIM('Staff Daily sales'!$F242&amp;"")="","Unassigned",TRIM('Staff Daily sales'!$F242&amp;"")),"Unassigned")</f>
        <v>Mohammed Sanad</v>
      </c>
      <c r="E257">
        <f t="shared" si="74"/>
        <v>1</v>
      </c>
      <c r="F257">
        <f>IF($E257=0,0,SUMPRODUCT($AI$5:$DF$5,'Staff Daily sales'!$G242:$CD242))</f>
        <v>993.96</v>
      </c>
      <c r="G257">
        <f>IF($E257=0,0,SUMPRODUCT($AI$6:$DF$6,'Staff Daily sales'!$G242:$CD242))</f>
        <v>7</v>
      </c>
      <c r="H257">
        <f t="shared" si="75"/>
        <v>3655.9</v>
      </c>
      <c r="I257">
        <f t="shared" si="76"/>
        <v>16</v>
      </c>
      <c r="J257">
        <f t="shared" si="77"/>
        <v>64682.640000000014</v>
      </c>
      <c r="K257">
        <f t="shared" si="78"/>
        <v>326</v>
      </c>
      <c r="L257">
        <f>--AND($E257=1,OR('Staff Dashboard'!$B$6="All",$DH257='Staff Dashboard'!$B$6),OR('Staff Dashboard'!$B$7="All",$D257='Staff Dashboard'!$B$7),OR('Staff Dashboard'!$B$8="All",$A257='Staff Dashboard'!$B$8))</f>
        <v>0</v>
      </c>
      <c r="M257">
        <f>IF($E257=0,0,SUMPRODUCT($AI$7:$DF$7,'Staff Daily sales'!$G242:$CD242))</f>
        <v>656.03</v>
      </c>
      <c r="N257">
        <f>IF($E257=0,0,SUMPRODUCT($AI$8:$DF$8,'Staff Daily sales'!$G242:$CD242))</f>
        <v>6</v>
      </c>
      <c r="O257">
        <f>IF($E257=0,0,SUMPRODUCT($AI$9:$DF$9,'Staff Daily sales'!$G242:$CD242))</f>
        <v>3037.06</v>
      </c>
      <c r="P257">
        <f>IF($E257=0,0,SUMPRODUCT($AI$10:$DF$10,'Staff Daily sales'!$G242:$CD242))</f>
        <v>24</v>
      </c>
      <c r="Q257">
        <f>IF($E257=0,0,SUMPRODUCT($AI$11:$DF$11,'Staff Daily sales'!$G242:$CD242))</f>
        <v>2735.05</v>
      </c>
      <c r="R257">
        <f>IF($E257=0,0,SUMPRODUCT($AI$12:$DF$12,'Staff Daily sales'!$G242:$CD242))</f>
        <v>22</v>
      </c>
      <c r="S257">
        <f>IF($E257=0,0,SUMPRODUCT($AI$13:$DF$13,'Staff Daily sales'!$G242:$CD242))</f>
        <v>3939.9500000000003</v>
      </c>
      <c r="T257">
        <f>IF($E257=0,0,SUMPRODUCT($AI$14:$DF$14,'Staff Daily sales'!$G242:$CD242))</f>
        <v>23</v>
      </c>
      <c r="U257">
        <f>IF($E257=0,0,SUMPRODUCT($AI$15:$DF$15,'Staff Daily sales'!$G242:$CD242))</f>
        <v>585.98</v>
      </c>
      <c r="V257">
        <f>IF($E257=0,0,SUMPRODUCT($AI$16:$DF$16,'Staff Daily sales'!$G242:$CD242))</f>
        <v>5</v>
      </c>
      <c r="W257">
        <f t="shared" si="79"/>
        <v>22114.379999999997</v>
      </c>
      <c r="X257">
        <f t="shared" si="80"/>
        <v>25069.4</v>
      </c>
      <c r="Y257">
        <f t="shared" si="81"/>
        <v>22208.35</v>
      </c>
      <c r="Z257">
        <f t="shared" si="82"/>
        <v>23078.59</v>
      </c>
      <c r="AA257">
        <f t="shared" si="83"/>
        <v>8134.07</v>
      </c>
      <c r="AB257">
        <f>--AND($E257=1,OR('Staff Weekly Trend'!$B$3="All",$DH257='Staff Weekly Trend'!$B$3),OR('Staff Weekly Trend'!$B$4="All",$D257='Staff Weekly Trend'!$B$4),OR('Staff Weekly Trend'!$B$5="All",$A257='Staff Weekly Trend'!$B$5))</f>
        <v>1</v>
      </c>
      <c r="AC257">
        <f t="shared" si="84"/>
        <v>3</v>
      </c>
      <c r="AI257">
        <f t="shared" si="85"/>
        <v>176</v>
      </c>
      <c r="AJ257">
        <f t="shared" si="86"/>
        <v>175</v>
      </c>
      <c r="AK257">
        <f t="shared" si="87"/>
        <v>140</v>
      </c>
      <c r="AL257">
        <f t="shared" si="88"/>
        <v>110</v>
      </c>
      <c r="AM257">
        <f t="shared" si="89"/>
        <v>33</v>
      </c>
      <c r="DH257" t="str" cm="1">
        <f t="array" ref="DH257">IF($A257="","",_xlfn.LET(_xlpm.c,IFERROR(_xlfn.XLOOKUP($A257,TRIM('Sales and count'!$A$4:$A$300&amp;""),TRIM('Sales and count'!$B$4:$B$300&amp;"")),""),IF(OR(_xlpm.c="",_xlpm.c="0",LEFT(_xlpm.c,1)="#"),"Not set",_xlpm.c)))</f>
        <v>KSA</v>
      </c>
    </row>
    <row r="258" spans="1:112" x14ac:dyDescent="0.25">
      <c r="A258" t="str">
        <f>IF('Staff Daily sales'!$B243="","",TRIM('Staff Daily sales'!$B243&amp;""))</f>
        <v>HAHAILZONE</v>
      </c>
      <c r="B258" t="str">
        <f>IF('Staff Daily sales'!$D243="","",TRIM('Staff Daily sales'!$D243&amp;""))</f>
        <v>6948-HAlanazi</v>
      </c>
      <c r="C258" t="str">
        <f>IFERROR(TRIM('Staff Daily sales'!$E243&amp;""),"")</f>
        <v>Hail</v>
      </c>
      <c r="D258" t="str">
        <f>IFERROR(IF(TRIM('Staff Daily sales'!$F243&amp;"")="","Unassigned",TRIM('Staff Daily sales'!$F243&amp;"")),"Unassigned")</f>
        <v>Mohammed Sanad</v>
      </c>
      <c r="E258">
        <f t="shared" si="74"/>
        <v>1</v>
      </c>
      <c r="F258">
        <f>IF($E258=0,0,SUMPRODUCT($AI$5:$DF$5,'Staff Daily sales'!$G243:$CD243))</f>
        <v>1364.96</v>
      </c>
      <c r="G258">
        <f>IF($E258=0,0,SUMPRODUCT($AI$6:$DF$6,'Staff Daily sales'!$G243:$CD243))</f>
        <v>4</v>
      </c>
      <c r="H258">
        <f t="shared" si="75"/>
        <v>3655.9</v>
      </c>
      <c r="I258">
        <f t="shared" si="76"/>
        <v>16</v>
      </c>
      <c r="J258">
        <f t="shared" si="77"/>
        <v>64682.640000000014</v>
      </c>
      <c r="K258">
        <f t="shared" si="78"/>
        <v>326</v>
      </c>
      <c r="L258">
        <f>--AND($E258=1,OR('Staff Dashboard'!$B$6="All",$DH258='Staff Dashboard'!$B$6),OR('Staff Dashboard'!$B$7="All",$D258='Staff Dashboard'!$B$7),OR('Staff Dashboard'!$B$8="All",$A258='Staff Dashboard'!$B$8))</f>
        <v>0</v>
      </c>
      <c r="M258">
        <f>IF($E258=0,0,SUMPRODUCT($AI$7:$DF$7,'Staff Daily sales'!$G243:$CD243))</f>
        <v>0</v>
      </c>
      <c r="N258">
        <f>IF($E258=0,0,SUMPRODUCT($AI$8:$DF$8,'Staff Daily sales'!$G243:$CD243))</f>
        <v>0</v>
      </c>
      <c r="O258">
        <f>IF($E258=0,0,SUMPRODUCT($AI$9:$DF$9,'Staff Daily sales'!$G243:$CD243))</f>
        <v>0</v>
      </c>
      <c r="P258">
        <f>IF($E258=0,0,SUMPRODUCT($AI$10:$DF$10,'Staff Daily sales'!$G243:$CD243))</f>
        <v>0</v>
      </c>
      <c r="Q258">
        <f>IF($E258=0,0,SUMPRODUCT($AI$11:$DF$11,'Staff Daily sales'!$G243:$CD243))</f>
        <v>2402.0100000000002</v>
      </c>
      <c r="R258">
        <f>IF($E258=0,0,SUMPRODUCT($AI$12:$DF$12,'Staff Daily sales'!$G243:$CD243))</f>
        <v>14</v>
      </c>
      <c r="S258">
        <f>IF($E258=0,0,SUMPRODUCT($AI$13:$DF$13,'Staff Daily sales'!$G243:$CD243))</f>
        <v>4596.9000000000005</v>
      </c>
      <c r="T258">
        <f>IF($E258=0,0,SUMPRODUCT($AI$14:$DF$14,'Staff Daily sales'!$G243:$CD243))</f>
        <v>20</v>
      </c>
      <c r="U258">
        <f>IF($E258=0,0,SUMPRODUCT($AI$15:$DF$15,'Staff Daily sales'!$G243:$CD243))</f>
        <v>0</v>
      </c>
      <c r="V258">
        <f>IF($E258=0,0,SUMPRODUCT($AI$16:$DF$16,'Staff Daily sales'!$G243:$CD243))</f>
        <v>0</v>
      </c>
      <c r="W258">
        <f t="shared" si="79"/>
        <v>22114.379999999997</v>
      </c>
      <c r="X258">
        <f t="shared" si="80"/>
        <v>25069.4</v>
      </c>
      <c r="Y258">
        <f t="shared" si="81"/>
        <v>22208.35</v>
      </c>
      <c r="Z258">
        <f t="shared" si="82"/>
        <v>23078.59</v>
      </c>
      <c r="AA258">
        <f t="shared" si="83"/>
        <v>8134.07</v>
      </c>
      <c r="AB258">
        <f>--AND($E258=1,OR('Staff Weekly Trend'!$B$3="All",$DH258='Staff Weekly Trend'!$B$3),OR('Staff Weekly Trend'!$B$4="All",$D258='Staff Weekly Trend'!$B$4),OR('Staff Weekly Trend'!$B$5="All",$A258='Staff Weekly Trend'!$B$5))</f>
        <v>1</v>
      </c>
      <c r="AC258">
        <f t="shared" si="84"/>
        <v>1</v>
      </c>
      <c r="AI258">
        <f t="shared" si="85"/>
        <v>176</v>
      </c>
      <c r="AJ258">
        <f t="shared" si="86"/>
        <v>175</v>
      </c>
      <c r="AK258">
        <f t="shared" si="87"/>
        <v>140</v>
      </c>
      <c r="AL258">
        <f t="shared" si="88"/>
        <v>110</v>
      </c>
      <c r="AM258">
        <f t="shared" si="89"/>
        <v>33</v>
      </c>
      <c r="DH258" t="str" cm="1">
        <f t="array" ref="DH258">IF($A258="","",_xlfn.LET(_xlpm.c,IFERROR(_xlfn.XLOOKUP($A258,TRIM('Sales and count'!$A$4:$A$300&amp;""),TRIM('Sales and count'!$B$4:$B$300&amp;"")),""),IF(OR(_xlpm.c="",_xlpm.c="0",LEFT(_xlpm.c,1)="#"),"Not set",_xlpm.c)))</f>
        <v>KSA</v>
      </c>
    </row>
    <row r="259" spans="1:112" x14ac:dyDescent="0.25">
      <c r="A259" t="str">
        <f>IF('Staff Daily sales'!$B244="","",TRIM('Staff Daily sales'!$B244&amp;""))</f>
        <v>HAJWALK</v>
      </c>
      <c r="B259" t="str">
        <f>IF('Staff Daily sales'!$D244="","",TRIM('Staff Daily sales'!$D244&amp;""))</f>
        <v>2919-Thamer Alharbi</v>
      </c>
      <c r="C259" t="str">
        <f>IFERROR(TRIM('Staff Daily sales'!$E244&amp;""),"")</f>
        <v>Madinah</v>
      </c>
      <c r="D259" t="str">
        <f>IFERROR(IF(TRIM('Staff Daily sales'!$F244&amp;"")="","Unassigned",TRIM('Staff Daily sales'!$F244&amp;"")),"Unassigned")</f>
        <v>Mohammed Haidar</v>
      </c>
      <c r="E259">
        <f t="shared" si="74"/>
        <v>1</v>
      </c>
      <c r="F259">
        <f>IF($E259=0,0,SUMPRODUCT($AI$5:$DF$5,'Staff Daily sales'!$G244:$CD244))</f>
        <v>0</v>
      </c>
      <c r="G259">
        <f>IF($E259=0,0,SUMPRODUCT($AI$6:$DF$6,'Staff Daily sales'!$G244:$CD244))</f>
        <v>0</v>
      </c>
      <c r="H259">
        <f t="shared" si="75"/>
        <v>3953.8199999999997</v>
      </c>
      <c r="I259">
        <f t="shared" si="76"/>
        <v>19</v>
      </c>
      <c r="J259">
        <f t="shared" si="77"/>
        <v>55209.230000000018</v>
      </c>
      <c r="K259">
        <f t="shared" si="78"/>
        <v>272</v>
      </c>
      <c r="L259">
        <f>--AND($E259=1,OR('Staff Dashboard'!$B$6="All",$DH259='Staff Dashboard'!$B$6),OR('Staff Dashboard'!$B$7="All",$D259='Staff Dashboard'!$B$7),OR('Staff Dashboard'!$B$8="All",$A259='Staff Dashboard'!$B$8))</f>
        <v>0</v>
      </c>
      <c r="M259">
        <f>IF($E259=0,0,SUMPRODUCT($AI$7:$DF$7,'Staff Daily sales'!$G244:$CD244))</f>
        <v>0</v>
      </c>
      <c r="N259">
        <f>IF($E259=0,0,SUMPRODUCT($AI$8:$DF$8,'Staff Daily sales'!$G244:$CD244))</f>
        <v>0</v>
      </c>
      <c r="O259">
        <f>IF($E259=0,0,SUMPRODUCT($AI$9:$DF$9,'Staff Daily sales'!$G244:$CD244))</f>
        <v>0</v>
      </c>
      <c r="P259">
        <f>IF($E259=0,0,SUMPRODUCT($AI$10:$DF$10,'Staff Daily sales'!$G244:$CD244))</f>
        <v>0</v>
      </c>
      <c r="Q259">
        <f>IF($E259=0,0,SUMPRODUCT($AI$11:$DF$11,'Staff Daily sales'!$G244:$CD244))</f>
        <v>450.01</v>
      </c>
      <c r="R259">
        <f>IF($E259=0,0,SUMPRODUCT($AI$12:$DF$12,'Staff Daily sales'!$G244:$CD244))</f>
        <v>3</v>
      </c>
      <c r="S259">
        <f>IF($E259=0,0,SUMPRODUCT($AI$13:$DF$13,'Staff Daily sales'!$G244:$CD244))</f>
        <v>1521.97</v>
      </c>
      <c r="T259">
        <f>IF($E259=0,0,SUMPRODUCT($AI$14:$DF$14,'Staff Daily sales'!$G244:$CD244))</f>
        <v>8</v>
      </c>
      <c r="U259">
        <f>IF($E259=0,0,SUMPRODUCT($AI$15:$DF$15,'Staff Daily sales'!$G244:$CD244))</f>
        <v>862.02</v>
      </c>
      <c r="V259">
        <f>IF($E259=0,0,SUMPRODUCT($AI$16:$DF$16,'Staff Daily sales'!$G244:$CD244))</f>
        <v>6</v>
      </c>
      <c r="W259">
        <f t="shared" si="79"/>
        <v>25210.450000000004</v>
      </c>
      <c r="X259">
        <f t="shared" si="80"/>
        <v>40762.35</v>
      </c>
      <c r="Y259">
        <f t="shared" si="81"/>
        <v>32775.310000000005</v>
      </c>
      <c r="Z259">
        <f t="shared" si="82"/>
        <v>27303.599999999999</v>
      </c>
      <c r="AA259">
        <f t="shared" si="83"/>
        <v>9948.2999999999993</v>
      </c>
      <c r="AB259">
        <f>--AND($E259=1,OR('Staff Weekly Trend'!$B$3="All",$DH259='Staff Weekly Trend'!$B$3),OR('Staff Weekly Trend'!$B$4="All",$D259='Staff Weekly Trend'!$B$4),OR('Staff Weekly Trend'!$B$5="All",$A259='Staff Weekly Trend'!$B$5))</f>
        <v>1</v>
      </c>
      <c r="AC259" t="str">
        <f t="shared" si="84"/>
        <v/>
      </c>
      <c r="AI259">
        <f t="shared" si="85"/>
        <v>155</v>
      </c>
      <c r="AJ259">
        <f t="shared" si="86"/>
        <v>190</v>
      </c>
      <c r="AK259">
        <f t="shared" si="87"/>
        <v>185</v>
      </c>
      <c r="AL259">
        <f t="shared" si="88"/>
        <v>145</v>
      </c>
      <c r="AM259">
        <f t="shared" si="89"/>
        <v>61</v>
      </c>
      <c r="DH259" t="str" cm="1">
        <f t="array" ref="DH259">IF($A259="","",_xlfn.LET(_xlpm.c,IFERROR(_xlfn.XLOOKUP($A259,TRIM('Sales and count'!$A$4:$A$300&amp;""),TRIM('Sales and count'!$B$4:$B$300&amp;"")),""),IF(OR(_xlpm.c="",_xlpm.c="0",LEFT(_xlpm.c,1)="#"),"Not set",_xlpm.c)))</f>
        <v>KSA</v>
      </c>
    </row>
    <row r="260" spans="1:112" x14ac:dyDescent="0.25">
      <c r="A260" t="str">
        <f>IF('Staff Daily sales'!$B245="","",TRIM('Staff Daily sales'!$B245&amp;""))</f>
        <v>HAJWALK</v>
      </c>
      <c r="B260" t="str">
        <f>IF('Staff Daily sales'!$D245="","",TRIM('Staff Daily sales'!$D245&amp;""))</f>
        <v>4614-OHameed</v>
      </c>
      <c r="C260" t="str">
        <f>IFERROR(TRIM('Staff Daily sales'!$E245&amp;""),"")</f>
        <v>Madinah</v>
      </c>
      <c r="D260" t="str">
        <f>IFERROR(IF(TRIM('Staff Daily sales'!$F245&amp;"")="","Unassigned",TRIM('Staff Daily sales'!$F245&amp;"")),"Unassigned")</f>
        <v>Mohammed Haidar</v>
      </c>
      <c r="E260">
        <f t="shared" si="74"/>
        <v>1</v>
      </c>
      <c r="F260">
        <f>IF($E260=0,0,SUMPRODUCT($AI$5:$DF$5,'Staff Daily sales'!$G245:$CD245))</f>
        <v>2122.87</v>
      </c>
      <c r="G260">
        <f>IF($E260=0,0,SUMPRODUCT($AI$6:$DF$6,'Staff Daily sales'!$G245:$CD245))</f>
        <v>9</v>
      </c>
      <c r="H260">
        <f t="shared" si="75"/>
        <v>3953.8199999999997</v>
      </c>
      <c r="I260">
        <f t="shared" si="76"/>
        <v>19</v>
      </c>
      <c r="J260">
        <f t="shared" si="77"/>
        <v>55209.230000000018</v>
      </c>
      <c r="K260">
        <f t="shared" si="78"/>
        <v>272</v>
      </c>
      <c r="L260">
        <f>--AND($E260=1,OR('Staff Dashboard'!$B$6="All",$DH260='Staff Dashboard'!$B$6),OR('Staff Dashboard'!$B$7="All",$D260='Staff Dashboard'!$B$7),OR('Staff Dashboard'!$B$8="All",$A260='Staff Dashboard'!$B$8))</f>
        <v>0</v>
      </c>
      <c r="M260">
        <f>IF($E260=0,0,SUMPRODUCT($AI$7:$DF$7,'Staff Daily sales'!$G245:$CD245))</f>
        <v>6159.1</v>
      </c>
      <c r="N260">
        <f>IF($E260=0,0,SUMPRODUCT($AI$8:$DF$8,'Staff Daily sales'!$G245:$CD245))</f>
        <v>40</v>
      </c>
      <c r="O260">
        <f>IF($E260=0,0,SUMPRODUCT($AI$9:$DF$9,'Staff Daily sales'!$G245:$CD245))</f>
        <v>17019.09</v>
      </c>
      <c r="P260">
        <f>IF($E260=0,0,SUMPRODUCT($AI$10:$DF$10,'Staff Daily sales'!$G245:$CD245))</f>
        <v>72</v>
      </c>
      <c r="Q260">
        <f>IF($E260=0,0,SUMPRODUCT($AI$11:$DF$11,'Staff Daily sales'!$G245:$CD245))</f>
        <v>6938.02</v>
      </c>
      <c r="R260">
        <f>IF($E260=0,0,SUMPRODUCT($AI$12:$DF$12,'Staff Daily sales'!$G245:$CD245))</f>
        <v>36</v>
      </c>
      <c r="S260">
        <f>IF($E260=0,0,SUMPRODUCT($AI$13:$DF$13,'Staff Daily sales'!$G245:$CD245))</f>
        <v>8789.66</v>
      </c>
      <c r="T260">
        <f>IF($E260=0,0,SUMPRODUCT($AI$14:$DF$14,'Staff Daily sales'!$G245:$CD245))</f>
        <v>47</v>
      </c>
      <c r="U260">
        <f>IF($E260=0,0,SUMPRODUCT($AI$15:$DF$15,'Staff Daily sales'!$G245:$CD245))</f>
        <v>2233.0699999999997</v>
      </c>
      <c r="V260">
        <f>IF($E260=0,0,SUMPRODUCT($AI$16:$DF$16,'Staff Daily sales'!$G245:$CD245))</f>
        <v>8</v>
      </c>
      <c r="W260">
        <f t="shared" si="79"/>
        <v>25210.450000000004</v>
      </c>
      <c r="X260">
        <f t="shared" si="80"/>
        <v>40762.35</v>
      </c>
      <c r="Y260">
        <f t="shared" si="81"/>
        <v>32775.310000000005</v>
      </c>
      <c r="Z260">
        <f t="shared" si="82"/>
        <v>27303.599999999999</v>
      </c>
      <c r="AA260">
        <f t="shared" si="83"/>
        <v>9948.2999999999993</v>
      </c>
      <c r="AB260">
        <f>--AND($E260=1,OR('Staff Weekly Trend'!$B$3="All",$DH260='Staff Weekly Trend'!$B$3),OR('Staff Weekly Trend'!$B$4="All",$D260='Staff Weekly Trend'!$B$4),OR('Staff Weekly Trend'!$B$5="All",$A260='Staff Weekly Trend'!$B$5))</f>
        <v>1</v>
      </c>
      <c r="AC260">
        <f t="shared" si="84"/>
        <v>1</v>
      </c>
      <c r="AI260">
        <f t="shared" si="85"/>
        <v>155</v>
      </c>
      <c r="AJ260">
        <f t="shared" si="86"/>
        <v>190</v>
      </c>
      <c r="AK260">
        <f t="shared" si="87"/>
        <v>185</v>
      </c>
      <c r="AL260">
        <f t="shared" si="88"/>
        <v>145</v>
      </c>
      <c r="AM260">
        <f t="shared" si="89"/>
        <v>61</v>
      </c>
      <c r="DH260" t="str" cm="1">
        <f t="array" ref="DH260">IF($A260="","",_xlfn.LET(_xlpm.c,IFERROR(_xlfn.XLOOKUP($A260,TRIM('Sales and count'!$A$4:$A$300&amp;""),TRIM('Sales and count'!$B$4:$B$300&amp;"")),""),IF(OR(_xlpm.c="",_xlpm.c="0",LEFT(_xlpm.c,1)="#"),"Not set",_xlpm.c)))</f>
        <v>KSA</v>
      </c>
    </row>
    <row r="261" spans="1:112" x14ac:dyDescent="0.25">
      <c r="A261" t="str">
        <f>IF('Staff Daily sales'!$B246="","",TRIM('Staff Daily sales'!$B246&amp;""))</f>
        <v>HAJWALK</v>
      </c>
      <c r="B261" t="str">
        <f>IF('Staff Daily sales'!$D246="","",TRIM('Staff Daily sales'!$D246&amp;""))</f>
        <v>4853-RAlahmadi</v>
      </c>
      <c r="C261" t="str">
        <f>IFERROR(TRIM('Staff Daily sales'!$E246&amp;""),"")</f>
        <v>Madinah</v>
      </c>
      <c r="D261" t="str">
        <f>IFERROR(IF(TRIM('Staff Daily sales'!$F246&amp;"")="","Unassigned",TRIM('Staff Daily sales'!$F246&amp;"")),"Unassigned")</f>
        <v>Mohammed Haidar</v>
      </c>
      <c r="E261">
        <f t="shared" si="74"/>
        <v>1</v>
      </c>
      <c r="F261">
        <f>IF($E261=0,0,SUMPRODUCT($AI$5:$DF$5,'Staff Daily sales'!$G246:$CD246))</f>
        <v>0</v>
      </c>
      <c r="G261">
        <f>IF($E261=0,0,SUMPRODUCT($AI$6:$DF$6,'Staff Daily sales'!$G246:$CD246))</f>
        <v>0</v>
      </c>
      <c r="H261">
        <f t="shared" si="75"/>
        <v>3953.8199999999997</v>
      </c>
      <c r="I261">
        <f t="shared" si="76"/>
        <v>19</v>
      </c>
      <c r="J261">
        <f t="shared" si="77"/>
        <v>55209.230000000018</v>
      </c>
      <c r="K261">
        <f t="shared" si="78"/>
        <v>272</v>
      </c>
      <c r="L261">
        <f>--AND($E261=1,OR('Staff Dashboard'!$B$6="All",$DH261='Staff Dashboard'!$B$6),OR('Staff Dashboard'!$B$7="All",$D261='Staff Dashboard'!$B$7),OR('Staff Dashboard'!$B$8="All",$A261='Staff Dashboard'!$B$8))</f>
        <v>0</v>
      </c>
      <c r="M261">
        <f>IF($E261=0,0,SUMPRODUCT($AI$7:$DF$7,'Staff Daily sales'!$G246:$CD246))</f>
        <v>9850.2200000000012</v>
      </c>
      <c r="N261">
        <f>IF($E261=0,0,SUMPRODUCT($AI$8:$DF$8,'Staff Daily sales'!$G246:$CD246))</f>
        <v>62</v>
      </c>
      <c r="O261">
        <f>IF($E261=0,0,SUMPRODUCT($AI$9:$DF$9,'Staff Daily sales'!$G246:$CD246))</f>
        <v>7810.17</v>
      </c>
      <c r="P261">
        <f>IF($E261=0,0,SUMPRODUCT($AI$10:$DF$10,'Staff Daily sales'!$G246:$CD246))</f>
        <v>43</v>
      </c>
      <c r="Q261">
        <f>IF($E261=0,0,SUMPRODUCT($AI$11:$DF$11,'Staff Daily sales'!$G246:$CD246))</f>
        <v>7643.12</v>
      </c>
      <c r="R261">
        <f>IF($E261=0,0,SUMPRODUCT($AI$12:$DF$12,'Staff Daily sales'!$G246:$CD246))</f>
        <v>55</v>
      </c>
      <c r="S261">
        <f>IF($E261=0,0,SUMPRODUCT($AI$13:$DF$13,'Staff Daily sales'!$G246:$CD246))</f>
        <v>3165.9700000000003</v>
      </c>
      <c r="T261">
        <f>IF($E261=0,0,SUMPRODUCT($AI$14:$DF$14,'Staff Daily sales'!$G246:$CD246))</f>
        <v>20</v>
      </c>
      <c r="U261">
        <f>IF($E261=0,0,SUMPRODUCT($AI$15:$DF$15,'Staff Daily sales'!$G246:$CD246))</f>
        <v>1239.99</v>
      </c>
      <c r="V261">
        <f>IF($E261=0,0,SUMPRODUCT($AI$16:$DF$16,'Staff Daily sales'!$G246:$CD246))</f>
        <v>6</v>
      </c>
      <c r="W261">
        <f t="shared" si="79"/>
        <v>25210.450000000004</v>
      </c>
      <c r="X261">
        <f t="shared" si="80"/>
        <v>40762.35</v>
      </c>
      <c r="Y261">
        <f t="shared" si="81"/>
        <v>32775.310000000005</v>
      </c>
      <c r="Z261">
        <f t="shared" si="82"/>
        <v>27303.599999999999</v>
      </c>
      <c r="AA261">
        <f t="shared" si="83"/>
        <v>9948.2999999999993</v>
      </c>
      <c r="AB261">
        <f>--AND($E261=1,OR('Staff Weekly Trend'!$B$3="All",$DH261='Staff Weekly Trend'!$B$3),OR('Staff Weekly Trend'!$B$4="All",$D261='Staff Weekly Trend'!$B$4),OR('Staff Weekly Trend'!$B$5="All",$A261='Staff Weekly Trend'!$B$5))</f>
        <v>1</v>
      </c>
      <c r="AC261" t="str">
        <f t="shared" si="84"/>
        <v/>
      </c>
      <c r="AI261">
        <f t="shared" si="85"/>
        <v>155</v>
      </c>
      <c r="AJ261">
        <f t="shared" si="86"/>
        <v>190</v>
      </c>
      <c r="AK261">
        <f t="shared" si="87"/>
        <v>185</v>
      </c>
      <c r="AL261">
        <f t="shared" si="88"/>
        <v>145</v>
      </c>
      <c r="AM261">
        <f t="shared" si="89"/>
        <v>61</v>
      </c>
      <c r="DH261" t="str" cm="1">
        <f t="array" ref="DH261">IF($A261="","",_xlfn.LET(_xlpm.c,IFERROR(_xlfn.XLOOKUP($A261,TRIM('Sales and count'!$A$4:$A$300&amp;""),TRIM('Sales and count'!$B$4:$B$300&amp;"")),""),IF(OR(_xlpm.c="",_xlpm.c="0",LEFT(_xlpm.c,1)="#"),"Not set",_xlpm.c)))</f>
        <v>KSA</v>
      </c>
    </row>
    <row r="262" spans="1:112" x14ac:dyDescent="0.25">
      <c r="A262" t="str">
        <f>IF('Staff Daily sales'!$B247="","",TRIM('Staff Daily sales'!$B247&amp;""))</f>
        <v>HAJWALK</v>
      </c>
      <c r="B262" t="str">
        <f>IF('Staff Daily sales'!$D247="","",TRIM('Staff Daily sales'!$D247&amp;""))</f>
        <v>4859-FAlhaysuni</v>
      </c>
      <c r="C262" t="str">
        <f>IFERROR(TRIM('Staff Daily sales'!$E247&amp;""),"")</f>
        <v>Madinah</v>
      </c>
      <c r="D262" t="str">
        <f>IFERROR(IF(TRIM('Staff Daily sales'!$F247&amp;"")="","Unassigned",TRIM('Staff Daily sales'!$F247&amp;"")),"Unassigned")</f>
        <v>Mohammed Haidar</v>
      </c>
      <c r="E262">
        <f t="shared" si="74"/>
        <v>1</v>
      </c>
      <c r="F262">
        <f>IF($E262=0,0,SUMPRODUCT($AI$5:$DF$5,'Staff Daily sales'!$G247:$CD247))</f>
        <v>509.98</v>
      </c>
      <c r="G262">
        <f>IF($E262=0,0,SUMPRODUCT($AI$6:$DF$6,'Staff Daily sales'!$G247:$CD247))</f>
        <v>4</v>
      </c>
      <c r="H262">
        <f t="shared" si="75"/>
        <v>3953.8199999999997</v>
      </c>
      <c r="I262">
        <f t="shared" si="76"/>
        <v>19</v>
      </c>
      <c r="J262">
        <f t="shared" si="77"/>
        <v>55209.230000000018</v>
      </c>
      <c r="K262">
        <f t="shared" si="78"/>
        <v>272</v>
      </c>
      <c r="L262">
        <f>--AND($E262=1,OR('Staff Dashboard'!$B$6="All",$DH262='Staff Dashboard'!$B$6),OR('Staff Dashboard'!$B$7="All",$D262='Staff Dashboard'!$B$7),OR('Staff Dashboard'!$B$8="All",$A262='Staff Dashboard'!$B$8))</f>
        <v>0</v>
      </c>
      <c r="M262">
        <f>IF($E262=0,0,SUMPRODUCT($AI$7:$DF$7,'Staff Daily sales'!$G247:$CD247))</f>
        <v>4365.03</v>
      </c>
      <c r="N262">
        <f>IF($E262=0,0,SUMPRODUCT($AI$8:$DF$8,'Staff Daily sales'!$G247:$CD247))</f>
        <v>18</v>
      </c>
      <c r="O262">
        <f>IF($E262=0,0,SUMPRODUCT($AI$9:$DF$9,'Staff Daily sales'!$G247:$CD247))</f>
        <v>9284.1</v>
      </c>
      <c r="P262">
        <f>IF($E262=0,0,SUMPRODUCT($AI$10:$DF$10,'Staff Daily sales'!$G247:$CD247))</f>
        <v>40</v>
      </c>
      <c r="Q262">
        <f>IF($E262=0,0,SUMPRODUCT($AI$11:$DF$11,'Staff Daily sales'!$G247:$CD247))</f>
        <v>10694.08</v>
      </c>
      <c r="R262">
        <f>IF($E262=0,0,SUMPRODUCT($AI$12:$DF$12,'Staff Daily sales'!$G247:$CD247))</f>
        <v>53</v>
      </c>
      <c r="S262">
        <f>IF($E262=0,0,SUMPRODUCT($AI$13:$DF$13,'Staff Daily sales'!$G247:$CD247))</f>
        <v>6058.0400000000009</v>
      </c>
      <c r="T262">
        <f>IF($E262=0,0,SUMPRODUCT($AI$14:$DF$14,'Staff Daily sales'!$G247:$CD247))</f>
        <v>27</v>
      </c>
      <c r="U262">
        <f>IF($E262=0,0,SUMPRODUCT($AI$15:$DF$15,'Staff Daily sales'!$G247:$CD247))</f>
        <v>4033.1899999999996</v>
      </c>
      <c r="V262">
        <f>IF($E262=0,0,SUMPRODUCT($AI$16:$DF$16,'Staff Daily sales'!$G247:$CD247))</f>
        <v>31</v>
      </c>
      <c r="W262">
        <f t="shared" si="79"/>
        <v>25210.450000000004</v>
      </c>
      <c r="X262">
        <f t="shared" si="80"/>
        <v>40762.35</v>
      </c>
      <c r="Y262">
        <f t="shared" si="81"/>
        <v>32775.310000000005</v>
      </c>
      <c r="Z262">
        <f t="shared" si="82"/>
        <v>27303.599999999999</v>
      </c>
      <c r="AA262">
        <f t="shared" si="83"/>
        <v>9948.2999999999993</v>
      </c>
      <c r="AB262">
        <f>--AND($E262=1,OR('Staff Weekly Trend'!$B$3="All",$DH262='Staff Weekly Trend'!$B$3),OR('Staff Weekly Trend'!$B$4="All",$D262='Staff Weekly Trend'!$B$4),OR('Staff Weekly Trend'!$B$5="All",$A262='Staff Weekly Trend'!$B$5))</f>
        <v>1</v>
      </c>
      <c r="AC262">
        <f t="shared" si="84"/>
        <v>3</v>
      </c>
      <c r="AI262">
        <f t="shared" si="85"/>
        <v>155</v>
      </c>
      <c r="AJ262">
        <f t="shared" si="86"/>
        <v>190</v>
      </c>
      <c r="AK262">
        <f t="shared" si="87"/>
        <v>185</v>
      </c>
      <c r="AL262">
        <f t="shared" si="88"/>
        <v>145</v>
      </c>
      <c r="AM262">
        <f t="shared" si="89"/>
        <v>61</v>
      </c>
      <c r="DH262" t="str" cm="1">
        <f t="array" ref="DH262">IF($A262="","",_xlfn.LET(_xlpm.c,IFERROR(_xlfn.XLOOKUP($A262,TRIM('Sales and count'!$A$4:$A$300&amp;""),TRIM('Sales and count'!$B$4:$B$300&amp;"")),""),IF(OR(_xlpm.c="",_xlpm.c="0",LEFT(_xlpm.c,1)="#"),"Not set",_xlpm.c)))</f>
        <v>KSA</v>
      </c>
    </row>
    <row r="263" spans="1:112" x14ac:dyDescent="0.25">
      <c r="A263" t="str">
        <f>IF('Staff Daily sales'!$B248="","",TRIM('Staff Daily sales'!$B248&amp;""))</f>
        <v>HAJWALK</v>
      </c>
      <c r="B263" t="str">
        <f>IF('Staff Daily sales'!$D248="","",TRIM('Staff Daily sales'!$D248&amp;""))</f>
        <v>4864-KAlharbi</v>
      </c>
      <c r="C263" t="str">
        <f>IFERROR(TRIM('Staff Daily sales'!$E248&amp;""),"")</f>
        <v>Madinah</v>
      </c>
      <c r="D263" t="str">
        <f>IFERROR(IF(TRIM('Staff Daily sales'!$F248&amp;"")="","Unassigned",TRIM('Staff Daily sales'!$F248&amp;"")),"Unassigned")</f>
        <v>Mohammed Haidar</v>
      </c>
      <c r="E263">
        <f t="shared" si="74"/>
        <v>1</v>
      </c>
      <c r="F263">
        <f>IF($E263=0,0,SUMPRODUCT($AI$5:$DF$5,'Staff Daily sales'!$G248:$CD248))</f>
        <v>1320.97</v>
      </c>
      <c r="G263">
        <f>IF($E263=0,0,SUMPRODUCT($AI$6:$DF$6,'Staff Daily sales'!$G248:$CD248))</f>
        <v>6</v>
      </c>
      <c r="H263">
        <f t="shared" si="75"/>
        <v>3953.8199999999997</v>
      </c>
      <c r="I263">
        <f t="shared" si="76"/>
        <v>19</v>
      </c>
      <c r="J263">
        <f t="shared" si="77"/>
        <v>55209.230000000018</v>
      </c>
      <c r="K263">
        <f t="shared" si="78"/>
        <v>272</v>
      </c>
      <c r="L263">
        <f>--AND($E263=1,OR('Staff Dashboard'!$B$6="All",$DH263='Staff Dashboard'!$B$6),OR('Staff Dashboard'!$B$7="All",$D263='Staff Dashboard'!$B$7),OR('Staff Dashboard'!$B$8="All",$A263='Staff Dashboard'!$B$8))</f>
        <v>0</v>
      </c>
      <c r="M263">
        <f>IF($E263=0,0,SUMPRODUCT($AI$7:$DF$7,'Staff Daily sales'!$G248:$CD248))</f>
        <v>4836.1000000000004</v>
      </c>
      <c r="N263">
        <f>IF($E263=0,0,SUMPRODUCT($AI$8:$DF$8,'Staff Daily sales'!$G248:$CD248))</f>
        <v>35</v>
      </c>
      <c r="O263">
        <f>IF($E263=0,0,SUMPRODUCT($AI$9:$DF$9,'Staff Daily sales'!$G248:$CD248))</f>
        <v>6648.99</v>
      </c>
      <c r="P263">
        <f>IF($E263=0,0,SUMPRODUCT($AI$10:$DF$10,'Staff Daily sales'!$G248:$CD248))</f>
        <v>35</v>
      </c>
      <c r="Q263">
        <f>IF($E263=0,0,SUMPRODUCT($AI$11:$DF$11,'Staff Daily sales'!$G248:$CD248))</f>
        <v>7050.08</v>
      </c>
      <c r="R263">
        <f>IF($E263=0,0,SUMPRODUCT($AI$12:$DF$12,'Staff Daily sales'!$G248:$CD248))</f>
        <v>38</v>
      </c>
      <c r="S263">
        <f>IF($E263=0,0,SUMPRODUCT($AI$13:$DF$13,'Staff Daily sales'!$G248:$CD248))</f>
        <v>7767.96</v>
      </c>
      <c r="T263">
        <f>IF($E263=0,0,SUMPRODUCT($AI$14:$DF$14,'Staff Daily sales'!$G248:$CD248))</f>
        <v>43</v>
      </c>
      <c r="U263">
        <f>IF($E263=0,0,SUMPRODUCT($AI$15:$DF$15,'Staff Daily sales'!$G248:$CD248))</f>
        <v>889.97</v>
      </c>
      <c r="V263">
        <f>IF($E263=0,0,SUMPRODUCT($AI$16:$DF$16,'Staff Daily sales'!$G248:$CD248))</f>
        <v>5</v>
      </c>
      <c r="W263">
        <f t="shared" si="79"/>
        <v>25210.450000000004</v>
      </c>
      <c r="X263">
        <f t="shared" si="80"/>
        <v>40762.35</v>
      </c>
      <c r="Y263">
        <f t="shared" si="81"/>
        <v>32775.310000000005</v>
      </c>
      <c r="Z263">
        <f t="shared" si="82"/>
        <v>27303.599999999999</v>
      </c>
      <c r="AA263">
        <f t="shared" si="83"/>
        <v>9948.2999999999993</v>
      </c>
      <c r="AB263">
        <f>--AND($E263=1,OR('Staff Weekly Trend'!$B$3="All",$DH263='Staff Weekly Trend'!$B$3),OR('Staff Weekly Trend'!$B$4="All",$D263='Staff Weekly Trend'!$B$4),OR('Staff Weekly Trend'!$B$5="All",$A263='Staff Weekly Trend'!$B$5))</f>
        <v>1</v>
      </c>
      <c r="AC263">
        <f t="shared" si="84"/>
        <v>2</v>
      </c>
      <c r="AI263">
        <f t="shared" si="85"/>
        <v>155</v>
      </c>
      <c r="AJ263">
        <f t="shared" si="86"/>
        <v>190</v>
      </c>
      <c r="AK263">
        <f t="shared" si="87"/>
        <v>185</v>
      </c>
      <c r="AL263">
        <f t="shared" si="88"/>
        <v>145</v>
      </c>
      <c r="AM263">
        <f t="shared" si="89"/>
        <v>61</v>
      </c>
      <c r="DH263" t="str" cm="1">
        <f t="array" ref="DH263">IF($A263="","",_xlfn.LET(_xlpm.c,IFERROR(_xlfn.XLOOKUP($A263,TRIM('Sales and count'!$A$4:$A$300&amp;""),TRIM('Sales and count'!$B$4:$B$300&amp;"")),""),IF(OR(_xlpm.c="",_xlpm.c="0",LEFT(_xlpm.c,1)="#"),"Not set",_xlpm.c)))</f>
        <v>KSA</v>
      </c>
    </row>
    <row r="264" spans="1:112" x14ac:dyDescent="0.25">
      <c r="A264" t="str">
        <f>IF('Staff Daily sales'!$B249="","",TRIM('Staff Daily sales'!$B249&amp;""))</f>
        <v>HAMYANYARD</v>
      </c>
      <c r="B264" t="str">
        <f>IF('Staff Daily sales'!$D249="","",TRIM('Staff Daily sales'!$D249&amp;""))</f>
        <v>3648-HJan</v>
      </c>
      <c r="C264" t="str">
        <f>IFERROR(TRIM('Staff Daily sales'!$E249&amp;""),"")</f>
        <v>Makkah</v>
      </c>
      <c r="D264" t="str">
        <f>IFERROR(IF(TRIM('Staff Daily sales'!$F249&amp;"")="","Unassigned",TRIM('Staff Daily sales'!$F249&amp;"")),"Unassigned")</f>
        <v>Maram Zamzami</v>
      </c>
      <c r="E264">
        <f t="shared" si="74"/>
        <v>1</v>
      </c>
      <c r="F264">
        <f>IF($E264=0,0,SUMPRODUCT($AI$5:$DF$5,'Staff Daily sales'!$G249:$CD249))</f>
        <v>360.98</v>
      </c>
      <c r="G264">
        <f>IF($E264=0,0,SUMPRODUCT($AI$6:$DF$6,'Staff Daily sales'!$G249:$CD249))</f>
        <v>2</v>
      </c>
      <c r="H264">
        <f t="shared" si="75"/>
        <v>4396.7</v>
      </c>
      <c r="I264">
        <f t="shared" si="76"/>
        <v>25</v>
      </c>
      <c r="J264">
        <f t="shared" si="77"/>
        <v>89423.479999999967</v>
      </c>
      <c r="K264">
        <f t="shared" si="78"/>
        <v>413</v>
      </c>
      <c r="L264">
        <f>--AND($E264=1,OR('Staff Dashboard'!$B$6="All",$DH264='Staff Dashboard'!$B$6),OR('Staff Dashboard'!$B$7="All",$D264='Staff Dashboard'!$B$7),OR('Staff Dashboard'!$B$8="All",$A264='Staff Dashboard'!$B$8))</f>
        <v>1</v>
      </c>
      <c r="M264">
        <f>IF($E264=0,0,SUMPRODUCT($AI$7:$DF$7,'Staff Daily sales'!$G249:$CD249))</f>
        <v>300</v>
      </c>
      <c r="N264">
        <f>IF($E264=0,0,SUMPRODUCT($AI$8:$DF$8,'Staff Daily sales'!$G249:$CD249))</f>
        <v>2</v>
      </c>
      <c r="O264">
        <f>IF($E264=0,0,SUMPRODUCT($AI$9:$DF$9,'Staff Daily sales'!$G249:$CD249))</f>
        <v>3083.08</v>
      </c>
      <c r="P264">
        <f>IF($E264=0,0,SUMPRODUCT($AI$10:$DF$10,'Staff Daily sales'!$G249:$CD249))</f>
        <v>21</v>
      </c>
      <c r="Q264">
        <f>IF($E264=0,0,SUMPRODUCT($AI$11:$DF$11,'Staff Daily sales'!$G249:$CD249))</f>
        <v>4862.1399999999994</v>
      </c>
      <c r="R264">
        <f>IF($E264=0,0,SUMPRODUCT($AI$12:$DF$12,'Staff Daily sales'!$G249:$CD249))</f>
        <v>30</v>
      </c>
      <c r="S264">
        <f>IF($E264=0,0,SUMPRODUCT($AI$13:$DF$13,'Staff Daily sales'!$G249:$CD249))</f>
        <v>360.98</v>
      </c>
      <c r="T264">
        <f>IF($E264=0,0,SUMPRODUCT($AI$14:$DF$14,'Staff Daily sales'!$G249:$CD249))</f>
        <v>2</v>
      </c>
      <c r="U264">
        <f>IF($E264=0,0,SUMPRODUCT($AI$15:$DF$15,'Staff Daily sales'!$G249:$CD249))</f>
        <v>0</v>
      </c>
      <c r="V264">
        <f>IF($E264=0,0,SUMPRODUCT($AI$16:$DF$16,'Staff Daily sales'!$G249:$CD249))</f>
        <v>0</v>
      </c>
      <c r="W264">
        <f t="shared" si="79"/>
        <v>23860.400000000001</v>
      </c>
      <c r="X264">
        <f t="shared" si="80"/>
        <v>37285.800000000003</v>
      </c>
      <c r="Y264">
        <f t="shared" si="81"/>
        <v>27638.58</v>
      </c>
      <c r="Z264">
        <f t="shared" si="82"/>
        <v>23274.55</v>
      </c>
      <c r="AA264">
        <f t="shared" si="83"/>
        <v>7622.95</v>
      </c>
      <c r="AB264">
        <f>--AND($E264=1,OR('Staff Weekly Trend'!$B$3="All",$DH264='Staff Weekly Trend'!$B$3),OR('Staff Weekly Trend'!$B$4="All",$D264='Staff Weekly Trend'!$B$4),OR('Staff Weekly Trend'!$B$5="All",$A264='Staff Weekly Trend'!$B$5))</f>
        <v>1</v>
      </c>
      <c r="AC264">
        <f t="shared" si="84"/>
        <v>4</v>
      </c>
      <c r="AI264">
        <f t="shared" si="85"/>
        <v>177</v>
      </c>
      <c r="AJ264">
        <f t="shared" si="86"/>
        <v>265</v>
      </c>
      <c r="AK264">
        <f t="shared" si="87"/>
        <v>202</v>
      </c>
      <c r="AL264">
        <f t="shared" si="88"/>
        <v>145</v>
      </c>
      <c r="AM264">
        <f t="shared" si="89"/>
        <v>40</v>
      </c>
      <c r="DH264" t="str" cm="1">
        <f t="array" ref="DH264">IF($A264="","",_xlfn.LET(_xlpm.c,IFERROR(_xlfn.XLOOKUP($A264,TRIM('Sales and count'!$A$4:$A$300&amp;""),TRIM('Sales and count'!$B$4:$B$300&amp;"")),""),IF(OR(_xlpm.c="",_xlpm.c="0",LEFT(_xlpm.c,1)="#"),"Not set",_xlpm.c)))</f>
        <v>KSA</v>
      </c>
    </row>
    <row r="265" spans="1:112" x14ac:dyDescent="0.25">
      <c r="A265" t="str">
        <f>IF('Staff Daily sales'!$B250="","",TRIM('Staff Daily sales'!$B250&amp;""))</f>
        <v>HAMYANYARD</v>
      </c>
      <c r="B265" t="str">
        <f>IF('Staff Daily sales'!$D250="","",TRIM('Staff Daily sales'!$D250&amp;""))</f>
        <v>3670-FAlMajnuni</v>
      </c>
      <c r="C265" t="str">
        <f>IFERROR(TRIM('Staff Daily sales'!$E250&amp;""),"")</f>
        <v>Makkah</v>
      </c>
      <c r="D265" t="str">
        <f>IFERROR(IF(TRIM('Staff Daily sales'!$F250&amp;"")="","Unassigned",TRIM('Staff Daily sales'!$F250&amp;"")),"Unassigned")</f>
        <v>Maram Zamzami</v>
      </c>
      <c r="E265">
        <f t="shared" si="74"/>
        <v>1</v>
      </c>
      <c r="F265">
        <f>IF($E265=0,0,SUMPRODUCT($AI$5:$DF$5,'Staff Daily sales'!$G250:$CD250))</f>
        <v>2142.84</v>
      </c>
      <c r="G265">
        <f>IF($E265=0,0,SUMPRODUCT($AI$6:$DF$6,'Staff Daily sales'!$G250:$CD250))</f>
        <v>12</v>
      </c>
      <c r="H265">
        <f t="shared" si="75"/>
        <v>4396.7</v>
      </c>
      <c r="I265">
        <f t="shared" si="76"/>
        <v>25</v>
      </c>
      <c r="J265">
        <f t="shared" si="77"/>
        <v>89423.479999999967</v>
      </c>
      <c r="K265">
        <f t="shared" si="78"/>
        <v>413</v>
      </c>
      <c r="L265">
        <f>--AND($E265=1,OR('Staff Dashboard'!$B$6="All",$DH265='Staff Dashboard'!$B$6),OR('Staff Dashboard'!$B$7="All",$D265='Staff Dashboard'!$B$7),OR('Staff Dashboard'!$B$8="All",$A265='Staff Dashboard'!$B$8))</f>
        <v>1</v>
      </c>
      <c r="M265">
        <f>IF($E265=0,0,SUMPRODUCT($AI$7:$DF$7,'Staff Daily sales'!$G250:$CD250))</f>
        <v>4696.07</v>
      </c>
      <c r="N265">
        <f>IF($E265=0,0,SUMPRODUCT($AI$8:$DF$8,'Staff Daily sales'!$G250:$CD250))</f>
        <v>29</v>
      </c>
      <c r="O265">
        <f>IF($E265=0,0,SUMPRODUCT($AI$9:$DF$9,'Staff Daily sales'!$G250:$CD250))</f>
        <v>9455.17</v>
      </c>
      <c r="P265">
        <f>IF($E265=0,0,SUMPRODUCT($AI$10:$DF$10,'Staff Daily sales'!$G250:$CD250))</f>
        <v>68</v>
      </c>
      <c r="Q265">
        <f>IF($E265=0,0,SUMPRODUCT($AI$11:$DF$11,'Staff Daily sales'!$G250:$CD250))</f>
        <v>4096.04</v>
      </c>
      <c r="R265">
        <f>IF($E265=0,0,SUMPRODUCT($AI$12:$DF$12,'Staff Daily sales'!$G250:$CD250))</f>
        <v>37</v>
      </c>
      <c r="S265">
        <f>IF($E265=0,0,SUMPRODUCT($AI$13:$DF$13,'Staff Daily sales'!$G250:$CD250))</f>
        <v>5581.84</v>
      </c>
      <c r="T265">
        <f>IF($E265=0,0,SUMPRODUCT($AI$14:$DF$14,'Staff Daily sales'!$G250:$CD250))</f>
        <v>39</v>
      </c>
      <c r="U265">
        <f>IF($E265=0,0,SUMPRODUCT($AI$15:$DF$15,'Staff Daily sales'!$G250:$CD250))</f>
        <v>0</v>
      </c>
      <c r="V265">
        <f>IF($E265=0,0,SUMPRODUCT($AI$16:$DF$16,'Staff Daily sales'!$G250:$CD250))</f>
        <v>0</v>
      </c>
      <c r="W265">
        <f t="shared" si="79"/>
        <v>23860.400000000001</v>
      </c>
      <c r="X265">
        <f t="shared" si="80"/>
        <v>37285.800000000003</v>
      </c>
      <c r="Y265">
        <f t="shared" si="81"/>
        <v>27638.58</v>
      </c>
      <c r="Z265">
        <f t="shared" si="82"/>
        <v>23274.55</v>
      </c>
      <c r="AA265">
        <f t="shared" si="83"/>
        <v>7622.95</v>
      </c>
      <c r="AB265">
        <f>--AND($E265=1,OR('Staff Weekly Trend'!$B$3="All",$DH265='Staff Weekly Trend'!$B$3),OR('Staff Weekly Trend'!$B$4="All",$D265='Staff Weekly Trend'!$B$4),OR('Staff Weekly Trend'!$B$5="All",$A265='Staff Weekly Trend'!$B$5))</f>
        <v>1</v>
      </c>
      <c r="AC265">
        <f t="shared" si="84"/>
        <v>1</v>
      </c>
      <c r="AI265">
        <f t="shared" si="85"/>
        <v>177</v>
      </c>
      <c r="AJ265">
        <f t="shared" si="86"/>
        <v>265</v>
      </c>
      <c r="AK265">
        <f t="shared" si="87"/>
        <v>202</v>
      </c>
      <c r="AL265">
        <f t="shared" si="88"/>
        <v>145</v>
      </c>
      <c r="AM265">
        <f t="shared" si="89"/>
        <v>40</v>
      </c>
      <c r="DH265" t="str" cm="1">
        <f t="array" ref="DH265">IF($A265="","",_xlfn.LET(_xlpm.c,IFERROR(_xlfn.XLOOKUP($A265,TRIM('Sales and count'!$A$4:$A$300&amp;""),TRIM('Sales and count'!$B$4:$B$300&amp;"")),""),IF(OR(_xlpm.c="",_xlpm.c="0",LEFT(_xlpm.c,1)="#"),"Not set",_xlpm.c)))</f>
        <v>KSA</v>
      </c>
    </row>
    <row r="266" spans="1:112" x14ac:dyDescent="0.25">
      <c r="A266" t="str">
        <f>IF('Staff Daily sales'!$B251="","",TRIM('Staff Daily sales'!$B251&amp;""))</f>
        <v>HAMYANYARD</v>
      </c>
      <c r="B266" t="str">
        <f>IF('Staff Daily sales'!$D251="","",TRIM('Staff Daily sales'!$D251&amp;""))</f>
        <v>3678-SAlMaliki</v>
      </c>
      <c r="C266" t="str">
        <f>IFERROR(TRIM('Staff Daily sales'!$E251&amp;""),"")</f>
        <v>Makkah</v>
      </c>
      <c r="D266" t="str">
        <f>IFERROR(IF(TRIM('Staff Daily sales'!$F251&amp;"")="","Unassigned",TRIM('Staff Daily sales'!$F251&amp;"")),"Unassigned")</f>
        <v>Maram Zamzami</v>
      </c>
      <c r="E266">
        <f t="shared" si="74"/>
        <v>1</v>
      </c>
      <c r="F266">
        <f>IF($E266=0,0,SUMPRODUCT($AI$5:$DF$5,'Staff Daily sales'!$G251:$CD251))</f>
        <v>951.96</v>
      </c>
      <c r="G266">
        <f>IF($E266=0,0,SUMPRODUCT($AI$6:$DF$6,'Staff Daily sales'!$G251:$CD251))</f>
        <v>6</v>
      </c>
      <c r="H266">
        <f t="shared" si="75"/>
        <v>4396.7</v>
      </c>
      <c r="I266">
        <f t="shared" si="76"/>
        <v>25</v>
      </c>
      <c r="J266">
        <f t="shared" si="77"/>
        <v>89423.479999999967</v>
      </c>
      <c r="K266">
        <f t="shared" si="78"/>
        <v>413</v>
      </c>
      <c r="L266">
        <f>--AND($E266=1,OR('Staff Dashboard'!$B$6="All",$DH266='Staff Dashboard'!$B$6),OR('Staff Dashboard'!$B$7="All",$D266='Staff Dashboard'!$B$7),OR('Staff Dashboard'!$B$8="All",$A266='Staff Dashboard'!$B$8))</f>
        <v>1</v>
      </c>
      <c r="M266">
        <f>IF($E266=0,0,SUMPRODUCT($AI$7:$DF$7,'Staff Daily sales'!$G251:$CD251))</f>
        <v>3242.0699999999997</v>
      </c>
      <c r="N266">
        <f>IF($E266=0,0,SUMPRODUCT($AI$8:$DF$8,'Staff Daily sales'!$G251:$CD251))</f>
        <v>28</v>
      </c>
      <c r="O266">
        <f>IF($E266=0,0,SUMPRODUCT($AI$9:$DF$9,'Staff Daily sales'!$G251:$CD251))</f>
        <v>3522.06</v>
      </c>
      <c r="P266">
        <f>IF($E266=0,0,SUMPRODUCT($AI$10:$DF$10,'Staff Daily sales'!$G251:$CD251))</f>
        <v>23</v>
      </c>
      <c r="Q266">
        <f>IF($E266=0,0,SUMPRODUCT($AI$11:$DF$11,'Staff Daily sales'!$G251:$CD251))</f>
        <v>6415.16</v>
      </c>
      <c r="R266">
        <f>IF($E266=0,0,SUMPRODUCT($AI$12:$DF$12,'Staff Daily sales'!$G251:$CD251))</f>
        <v>43</v>
      </c>
      <c r="S266">
        <f>IF($E266=0,0,SUMPRODUCT($AI$13:$DF$13,'Staff Daily sales'!$G251:$CD251))</f>
        <v>6686.83</v>
      </c>
      <c r="T266">
        <f>IF($E266=0,0,SUMPRODUCT($AI$14:$DF$14,'Staff Daily sales'!$G251:$CD251))</f>
        <v>40</v>
      </c>
      <c r="U266">
        <f>IF($E266=0,0,SUMPRODUCT($AI$15:$DF$15,'Staff Daily sales'!$G251:$CD251))</f>
        <v>4415.0200000000004</v>
      </c>
      <c r="V266">
        <f>IF($E266=0,0,SUMPRODUCT($AI$16:$DF$16,'Staff Daily sales'!$G251:$CD251))</f>
        <v>18</v>
      </c>
      <c r="W266">
        <f t="shared" si="79"/>
        <v>23860.400000000001</v>
      </c>
      <c r="X266">
        <f t="shared" si="80"/>
        <v>37285.800000000003</v>
      </c>
      <c r="Y266">
        <f t="shared" si="81"/>
        <v>27638.58</v>
      </c>
      <c r="Z266">
        <f t="shared" si="82"/>
        <v>23274.55</v>
      </c>
      <c r="AA266">
        <f t="shared" si="83"/>
        <v>7622.95</v>
      </c>
      <c r="AB266">
        <f>--AND($E266=1,OR('Staff Weekly Trend'!$B$3="All",$DH266='Staff Weekly Trend'!$B$3),OR('Staff Weekly Trend'!$B$4="All",$D266='Staff Weekly Trend'!$B$4),OR('Staff Weekly Trend'!$B$5="All",$A266='Staff Weekly Trend'!$B$5))</f>
        <v>1</v>
      </c>
      <c r="AC266">
        <f t="shared" si="84"/>
        <v>2</v>
      </c>
      <c r="AI266">
        <f t="shared" si="85"/>
        <v>177</v>
      </c>
      <c r="AJ266">
        <f t="shared" si="86"/>
        <v>265</v>
      </c>
      <c r="AK266">
        <f t="shared" si="87"/>
        <v>202</v>
      </c>
      <c r="AL266">
        <f t="shared" si="88"/>
        <v>145</v>
      </c>
      <c r="AM266">
        <f t="shared" si="89"/>
        <v>40</v>
      </c>
      <c r="DH266" t="str" cm="1">
        <f t="array" ref="DH266">IF($A266="","",_xlfn.LET(_xlpm.c,IFERROR(_xlfn.XLOOKUP($A266,TRIM('Sales and count'!$A$4:$A$300&amp;""),TRIM('Sales and count'!$B$4:$B$300&amp;"")),""),IF(OR(_xlpm.c="",_xlpm.c="0",LEFT(_xlpm.c,1)="#"),"Not set",_xlpm.c)))</f>
        <v>KSA</v>
      </c>
    </row>
    <row r="267" spans="1:112" x14ac:dyDescent="0.25">
      <c r="A267" t="str">
        <f>IF('Staff Daily sales'!$B252="","",TRIM('Staff Daily sales'!$B252&amp;""))</f>
        <v>HAMYANYARD</v>
      </c>
      <c r="B267" t="str">
        <f>IF('Staff Daily sales'!$D252="","",TRIM('Staff Daily sales'!$D252&amp;""))</f>
        <v>4896-OKharashe</v>
      </c>
      <c r="C267" t="str">
        <f>IFERROR(TRIM('Staff Daily sales'!$E252&amp;""),"")</f>
        <v>Makkah</v>
      </c>
      <c r="D267" t="str">
        <f>IFERROR(IF(TRIM('Staff Daily sales'!$F252&amp;"")="","Unassigned",TRIM('Staff Daily sales'!$F252&amp;"")),"Unassigned")</f>
        <v>Maram Zamzami</v>
      </c>
      <c r="E267">
        <f t="shared" si="74"/>
        <v>1</v>
      </c>
      <c r="F267">
        <f>IF($E267=0,0,SUMPRODUCT($AI$5:$DF$5,'Staff Daily sales'!$G252:$CD252))</f>
        <v>940.92</v>
      </c>
      <c r="G267">
        <f>IF($E267=0,0,SUMPRODUCT($AI$6:$DF$6,'Staff Daily sales'!$G252:$CD252))</f>
        <v>5</v>
      </c>
      <c r="H267">
        <f t="shared" si="75"/>
        <v>4396.7</v>
      </c>
      <c r="I267">
        <f t="shared" si="76"/>
        <v>25</v>
      </c>
      <c r="J267">
        <f t="shared" si="77"/>
        <v>89423.479999999967</v>
      </c>
      <c r="K267">
        <f t="shared" si="78"/>
        <v>413</v>
      </c>
      <c r="L267">
        <f>--AND($E267=1,OR('Staff Dashboard'!$B$6="All",$DH267='Staff Dashboard'!$B$6),OR('Staff Dashboard'!$B$7="All",$D267='Staff Dashboard'!$B$7),OR('Staff Dashboard'!$B$8="All",$A267='Staff Dashboard'!$B$8))</f>
        <v>1</v>
      </c>
      <c r="M267">
        <f>IF($E267=0,0,SUMPRODUCT($AI$7:$DF$7,'Staff Daily sales'!$G252:$CD252))</f>
        <v>10164.18</v>
      </c>
      <c r="N267">
        <f>IF($E267=0,0,SUMPRODUCT($AI$8:$DF$8,'Staff Daily sales'!$G252:$CD252))</f>
        <v>81</v>
      </c>
      <c r="O267">
        <f>IF($E267=0,0,SUMPRODUCT($AI$9:$DF$9,'Staff Daily sales'!$G252:$CD252))</f>
        <v>10041.210000000001</v>
      </c>
      <c r="P267">
        <f>IF($E267=0,0,SUMPRODUCT($AI$10:$DF$10,'Staff Daily sales'!$G252:$CD252))</f>
        <v>68</v>
      </c>
      <c r="Q267">
        <f>IF($E267=0,0,SUMPRODUCT($AI$11:$DF$11,'Staff Daily sales'!$G252:$CD252))</f>
        <v>2557.02</v>
      </c>
      <c r="R267">
        <f>IF($E267=0,0,SUMPRODUCT($AI$12:$DF$12,'Staff Daily sales'!$G252:$CD252))</f>
        <v>17</v>
      </c>
      <c r="S267">
        <f>IF($E267=0,0,SUMPRODUCT($AI$13:$DF$13,'Staff Daily sales'!$G252:$CD252))</f>
        <v>2730.91</v>
      </c>
      <c r="T267">
        <f>IF($E267=0,0,SUMPRODUCT($AI$14:$DF$14,'Staff Daily sales'!$G252:$CD252))</f>
        <v>17</v>
      </c>
      <c r="U267">
        <f>IF($E267=0,0,SUMPRODUCT($AI$15:$DF$15,'Staff Daily sales'!$G252:$CD252))</f>
        <v>1129.98</v>
      </c>
      <c r="V267">
        <f>IF($E267=0,0,SUMPRODUCT($AI$16:$DF$16,'Staff Daily sales'!$G252:$CD252))</f>
        <v>10</v>
      </c>
      <c r="W267">
        <f t="shared" si="79"/>
        <v>23860.400000000001</v>
      </c>
      <c r="X267">
        <f t="shared" si="80"/>
        <v>37285.800000000003</v>
      </c>
      <c r="Y267">
        <f t="shared" si="81"/>
        <v>27638.58</v>
      </c>
      <c r="Z267">
        <f t="shared" si="82"/>
        <v>23274.55</v>
      </c>
      <c r="AA267">
        <f t="shared" si="83"/>
        <v>7622.95</v>
      </c>
      <c r="AB267">
        <f>--AND($E267=1,OR('Staff Weekly Trend'!$B$3="All",$DH267='Staff Weekly Trend'!$B$3),OR('Staff Weekly Trend'!$B$4="All",$D267='Staff Weekly Trend'!$B$4),OR('Staff Weekly Trend'!$B$5="All",$A267='Staff Weekly Trend'!$B$5))</f>
        <v>1</v>
      </c>
      <c r="AC267">
        <f t="shared" si="84"/>
        <v>3</v>
      </c>
      <c r="AI267">
        <f t="shared" si="85"/>
        <v>177</v>
      </c>
      <c r="AJ267">
        <f t="shared" si="86"/>
        <v>265</v>
      </c>
      <c r="AK267">
        <f t="shared" si="87"/>
        <v>202</v>
      </c>
      <c r="AL267">
        <f t="shared" si="88"/>
        <v>145</v>
      </c>
      <c r="AM267">
        <f t="shared" si="89"/>
        <v>40</v>
      </c>
      <c r="DH267" t="str" cm="1">
        <f t="array" ref="DH267">IF($A267="","",_xlfn.LET(_xlpm.c,IFERROR(_xlfn.XLOOKUP($A267,TRIM('Sales and count'!$A$4:$A$300&amp;""),TRIM('Sales and count'!$B$4:$B$300&amp;"")),""),IF(OR(_xlpm.c="",_xlpm.c="0",LEFT(_xlpm.c,1)="#"),"Not set",_xlpm.c)))</f>
        <v>KSA</v>
      </c>
    </row>
    <row r="268" spans="1:112" x14ac:dyDescent="0.25">
      <c r="A268" t="str">
        <f>IF('Staff Daily sales'!$B253="","",TRIM('Staff Daily sales'!$B253&amp;""))</f>
        <v>HAMYANYARD</v>
      </c>
      <c r="B268" t="str">
        <f>IF('Staff Daily sales'!$D253="","",TRIM('Staff Daily sales'!$D253&amp;""))</f>
        <v>5327-OAlMuwallad</v>
      </c>
      <c r="C268" t="str">
        <f>IFERROR(TRIM('Staff Daily sales'!$E253&amp;""),"")</f>
        <v>Makkah</v>
      </c>
      <c r="D268" t="str">
        <f>IFERROR(IF(TRIM('Staff Daily sales'!$F253&amp;"")="","Unassigned",TRIM('Staff Daily sales'!$F253&amp;"")),"Unassigned")</f>
        <v>Maram Zamzami</v>
      </c>
      <c r="E268">
        <f t="shared" si="74"/>
        <v>1</v>
      </c>
      <c r="F268">
        <f>IF($E268=0,0,SUMPRODUCT($AI$5:$DF$5,'Staff Daily sales'!$G253:$CD253))</f>
        <v>0</v>
      </c>
      <c r="G268">
        <f>IF($E268=0,0,SUMPRODUCT($AI$6:$DF$6,'Staff Daily sales'!$G253:$CD253))</f>
        <v>0</v>
      </c>
      <c r="H268">
        <f t="shared" si="75"/>
        <v>4396.7</v>
      </c>
      <c r="I268">
        <f t="shared" si="76"/>
        <v>25</v>
      </c>
      <c r="J268">
        <f t="shared" si="77"/>
        <v>89423.479999999967</v>
      </c>
      <c r="K268">
        <f t="shared" si="78"/>
        <v>413</v>
      </c>
      <c r="L268">
        <f>--AND($E268=1,OR('Staff Dashboard'!$B$6="All",$DH268='Staff Dashboard'!$B$6),OR('Staff Dashboard'!$B$7="All",$D268='Staff Dashboard'!$B$7),OR('Staff Dashboard'!$B$8="All",$A268='Staff Dashboard'!$B$8))</f>
        <v>1</v>
      </c>
      <c r="M268">
        <f>IF($E268=0,0,SUMPRODUCT($AI$7:$DF$7,'Staff Daily sales'!$G253:$CD253))</f>
        <v>5458.08</v>
      </c>
      <c r="N268">
        <f>IF($E268=0,0,SUMPRODUCT($AI$8:$DF$8,'Staff Daily sales'!$G253:$CD253))</f>
        <v>37</v>
      </c>
      <c r="O268">
        <f>IF($E268=0,0,SUMPRODUCT($AI$9:$DF$9,'Staff Daily sales'!$G253:$CD253))</f>
        <v>11184.279999999999</v>
      </c>
      <c r="P268">
        <f>IF($E268=0,0,SUMPRODUCT($AI$10:$DF$10,'Staff Daily sales'!$G253:$CD253))</f>
        <v>85</v>
      </c>
      <c r="Q268">
        <f>IF($E268=0,0,SUMPRODUCT($AI$11:$DF$11,'Staff Daily sales'!$G253:$CD253))</f>
        <v>9708.2200000000012</v>
      </c>
      <c r="R268">
        <f>IF($E268=0,0,SUMPRODUCT($AI$12:$DF$12,'Staff Daily sales'!$G253:$CD253))</f>
        <v>75</v>
      </c>
      <c r="S268">
        <f>IF($E268=0,0,SUMPRODUCT($AI$13:$DF$13,'Staff Daily sales'!$G253:$CD253))</f>
        <v>7913.9900000000007</v>
      </c>
      <c r="T268">
        <f>IF($E268=0,0,SUMPRODUCT($AI$14:$DF$14,'Staff Daily sales'!$G253:$CD253))</f>
        <v>47</v>
      </c>
      <c r="U268">
        <f>IF($E268=0,0,SUMPRODUCT($AI$15:$DF$15,'Staff Daily sales'!$G253:$CD253))</f>
        <v>2077.9499999999998</v>
      </c>
      <c r="V268">
        <f>IF($E268=0,0,SUMPRODUCT($AI$16:$DF$16,'Staff Daily sales'!$G253:$CD253))</f>
        <v>12</v>
      </c>
      <c r="W268">
        <f t="shared" si="79"/>
        <v>23860.400000000001</v>
      </c>
      <c r="X268">
        <f t="shared" si="80"/>
        <v>37285.800000000003</v>
      </c>
      <c r="Y268">
        <f t="shared" si="81"/>
        <v>27638.58</v>
      </c>
      <c r="Z268">
        <f t="shared" si="82"/>
        <v>23274.55</v>
      </c>
      <c r="AA268">
        <f t="shared" si="83"/>
        <v>7622.95</v>
      </c>
      <c r="AB268">
        <f>--AND($E268=1,OR('Staff Weekly Trend'!$B$3="All",$DH268='Staff Weekly Trend'!$B$3),OR('Staff Weekly Trend'!$B$4="All",$D268='Staff Weekly Trend'!$B$4),OR('Staff Weekly Trend'!$B$5="All",$A268='Staff Weekly Trend'!$B$5))</f>
        <v>1</v>
      </c>
      <c r="AC268" t="str">
        <f t="shared" si="84"/>
        <v/>
      </c>
      <c r="AI268">
        <f t="shared" si="85"/>
        <v>177</v>
      </c>
      <c r="AJ268">
        <f t="shared" si="86"/>
        <v>265</v>
      </c>
      <c r="AK268">
        <f t="shared" si="87"/>
        <v>202</v>
      </c>
      <c r="AL268">
        <f t="shared" si="88"/>
        <v>145</v>
      </c>
      <c r="AM268">
        <f t="shared" si="89"/>
        <v>40</v>
      </c>
      <c r="DH268" t="str" cm="1">
        <f t="array" ref="DH268">IF($A268="","",_xlfn.LET(_xlpm.c,IFERROR(_xlfn.XLOOKUP($A268,TRIM('Sales and count'!$A$4:$A$300&amp;""),TRIM('Sales and count'!$B$4:$B$300&amp;"")),""),IF(OR(_xlpm.c="",_xlpm.c="0",LEFT(_xlpm.c,1)="#"),"Not set",_xlpm.c)))</f>
        <v>KSA</v>
      </c>
    </row>
    <row r="269" spans="1:112" x14ac:dyDescent="0.25">
      <c r="A269" t="str">
        <f>IF('Staff Daily sales'!$B254="","",TRIM('Staff Daily sales'!$B254&amp;""))</f>
        <v>HARYDGALL</v>
      </c>
      <c r="B269" t="str">
        <f>IF('Staff Daily sales'!$D254="","",TRIM('Staff Daily sales'!$D254&amp;""))</f>
        <v>2913-Sarah Alzhrani</v>
      </c>
      <c r="C269" t="str">
        <f>IFERROR(TRIM('Staff Daily sales'!$E254&amp;""),"")</f>
        <v>Riyadh</v>
      </c>
      <c r="D269" t="str">
        <f>IFERROR(IF(TRIM('Staff Daily sales'!$F254&amp;"")="","Unassigned",TRIM('Staff Daily sales'!$F254&amp;"")),"Unassigned")</f>
        <v>Lina Al Ghathami</v>
      </c>
      <c r="E269">
        <f t="shared" si="74"/>
        <v>1</v>
      </c>
      <c r="F269">
        <f>IF($E269=0,0,SUMPRODUCT($AI$5:$DF$5,'Staff Daily sales'!$G254:$CD254))</f>
        <v>1108.94</v>
      </c>
      <c r="G269">
        <f>IF($E269=0,0,SUMPRODUCT($AI$6:$DF$6,'Staff Daily sales'!$G254:$CD254))</f>
        <v>10</v>
      </c>
      <c r="H269">
        <f t="shared" si="75"/>
        <v>2996.83</v>
      </c>
      <c r="I269">
        <f t="shared" si="76"/>
        <v>23</v>
      </c>
      <c r="J269">
        <f t="shared" si="77"/>
        <v>62915.250000000007</v>
      </c>
      <c r="K269">
        <f t="shared" si="78"/>
        <v>385</v>
      </c>
      <c r="L269">
        <f>--AND($E269=1,OR('Staff Dashboard'!$B$6="All",$DH269='Staff Dashboard'!$B$6),OR('Staff Dashboard'!$B$7="All",$D269='Staff Dashboard'!$B$7),OR('Staff Dashboard'!$B$8="All",$A269='Staff Dashboard'!$B$8))</f>
        <v>0</v>
      </c>
      <c r="M269">
        <f>IF($E269=0,0,SUMPRODUCT($AI$7:$DF$7,'Staff Daily sales'!$G254:$CD254))</f>
        <v>6565.08</v>
      </c>
      <c r="N269">
        <f>IF($E269=0,0,SUMPRODUCT($AI$8:$DF$8,'Staff Daily sales'!$G254:$CD254))</f>
        <v>54</v>
      </c>
      <c r="O269">
        <f>IF($E269=0,0,SUMPRODUCT($AI$9:$DF$9,'Staff Daily sales'!$G254:$CD254))</f>
        <v>11178.22</v>
      </c>
      <c r="P269">
        <f>IF($E269=0,0,SUMPRODUCT($AI$10:$DF$10,'Staff Daily sales'!$G254:$CD254))</f>
        <v>86</v>
      </c>
      <c r="Q269">
        <f>IF($E269=0,0,SUMPRODUCT($AI$11:$DF$11,'Staff Daily sales'!$G254:$CD254))</f>
        <v>5840.1</v>
      </c>
      <c r="R269">
        <f>IF($E269=0,0,SUMPRODUCT($AI$12:$DF$12,'Staff Daily sales'!$G254:$CD254))</f>
        <v>49</v>
      </c>
      <c r="S269">
        <f>IF($E269=0,0,SUMPRODUCT($AI$13:$DF$13,'Staff Daily sales'!$G254:$CD254))</f>
        <v>6527.9400000000005</v>
      </c>
      <c r="T269">
        <f>IF($E269=0,0,SUMPRODUCT($AI$14:$DF$14,'Staff Daily sales'!$G254:$CD254))</f>
        <v>56</v>
      </c>
      <c r="U269">
        <f>IF($E269=0,0,SUMPRODUCT($AI$15:$DF$15,'Staff Daily sales'!$G254:$CD254))</f>
        <v>1494.98</v>
      </c>
      <c r="V269">
        <f>IF($E269=0,0,SUMPRODUCT($AI$16:$DF$16,'Staff Daily sales'!$G254:$CD254))</f>
        <v>10</v>
      </c>
      <c r="W269">
        <f t="shared" si="79"/>
        <v>12611.18</v>
      </c>
      <c r="X269">
        <f t="shared" si="80"/>
        <v>23615.439999999999</v>
      </c>
      <c r="Y269">
        <f t="shared" si="81"/>
        <v>19921.280000000002</v>
      </c>
      <c r="Z269">
        <f t="shared" si="82"/>
        <v>13306.880000000001</v>
      </c>
      <c r="AA269">
        <f t="shared" si="83"/>
        <v>3127.99</v>
      </c>
      <c r="AB269">
        <f>--AND($E269=1,OR('Staff Weekly Trend'!$B$3="All",$DH269='Staff Weekly Trend'!$B$3),OR('Staff Weekly Trend'!$B$4="All",$D269='Staff Weekly Trend'!$B$4),OR('Staff Weekly Trend'!$B$5="All",$A269='Staff Weekly Trend'!$B$5))</f>
        <v>1</v>
      </c>
      <c r="AC269">
        <f t="shared" si="84"/>
        <v>2</v>
      </c>
      <c r="AI269">
        <f t="shared" si="85"/>
        <v>104</v>
      </c>
      <c r="AJ269">
        <f t="shared" si="86"/>
        <v>180</v>
      </c>
      <c r="AK269">
        <f t="shared" si="87"/>
        <v>139</v>
      </c>
      <c r="AL269">
        <f t="shared" si="88"/>
        <v>110</v>
      </c>
      <c r="AM269">
        <f t="shared" si="89"/>
        <v>23</v>
      </c>
      <c r="DH269" t="str" cm="1">
        <f t="array" ref="DH269">IF($A269="","",_xlfn.LET(_xlpm.c,IFERROR(_xlfn.XLOOKUP($A269,TRIM('Sales and count'!$A$4:$A$300&amp;""),TRIM('Sales and count'!$B$4:$B$300&amp;"")),""),IF(OR(_xlpm.c="",_xlpm.c="0",LEFT(_xlpm.c,1)="#"),"Not set",_xlpm.c)))</f>
        <v>KSA</v>
      </c>
    </row>
    <row r="270" spans="1:112" x14ac:dyDescent="0.25">
      <c r="A270" t="str">
        <f>IF('Staff Daily sales'!$B255="","",TRIM('Staff Daily sales'!$B255&amp;""))</f>
        <v>HARYDGALL</v>
      </c>
      <c r="B270" t="str">
        <f>IF('Staff Daily sales'!$D255="","",TRIM('Staff Daily sales'!$D255&amp;""))</f>
        <v>6181-AALMUAYLI</v>
      </c>
      <c r="C270" t="str">
        <f>IFERROR(TRIM('Staff Daily sales'!$E255&amp;""),"")</f>
        <v>Riyadh</v>
      </c>
      <c r="D270" t="str">
        <f>IFERROR(IF(TRIM('Staff Daily sales'!$F255&amp;"")="","Unassigned",TRIM('Staff Daily sales'!$F255&amp;"")),"Unassigned")</f>
        <v>Lina Al Ghathami</v>
      </c>
      <c r="E270">
        <f t="shared" si="74"/>
        <v>1</v>
      </c>
      <c r="F270">
        <f>IF($E270=0,0,SUMPRODUCT($AI$5:$DF$5,'Staff Daily sales'!$G255:$CD255))</f>
        <v>1887.89</v>
      </c>
      <c r="G270">
        <f>IF($E270=0,0,SUMPRODUCT($AI$6:$DF$6,'Staff Daily sales'!$G255:$CD255))</f>
        <v>13</v>
      </c>
      <c r="H270">
        <f t="shared" si="75"/>
        <v>2996.83</v>
      </c>
      <c r="I270">
        <f t="shared" si="76"/>
        <v>23</v>
      </c>
      <c r="J270">
        <f t="shared" si="77"/>
        <v>62915.250000000007</v>
      </c>
      <c r="K270">
        <f t="shared" si="78"/>
        <v>385</v>
      </c>
      <c r="L270">
        <f>--AND($E270=1,OR('Staff Dashboard'!$B$6="All",$DH270='Staff Dashboard'!$B$6),OR('Staff Dashboard'!$B$7="All",$D270='Staff Dashboard'!$B$7),OR('Staff Dashboard'!$B$8="All",$A270='Staff Dashboard'!$B$8))</f>
        <v>0</v>
      </c>
      <c r="M270">
        <f>IF($E270=0,0,SUMPRODUCT($AI$7:$DF$7,'Staff Daily sales'!$G255:$CD255))</f>
        <v>5545.09</v>
      </c>
      <c r="N270">
        <f>IF($E270=0,0,SUMPRODUCT($AI$8:$DF$8,'Staff Daily sales'!$G255:$CD255))</f>
        <v>45</v>
      </c>
      <c r="O270">
        <f>IF($E270=0,0,SUMPRODUCT($AI$9:$DF$9,'Staff Daily sales'!$G255:$CD255))</f>
        <v>8940.17</v>
      </c>
      <c r="P270">
        <f>IF($E270=0,0,SUMPRODUCT($AI$10:$DF$10,'Staff Daily sales'!$G255:$CD255))</f>
        <v>65</v>
      </c>
      <c r="Q270">
        <f>IF($E270=0,0,SUMPRODUCT($AI$11:$DF$11,'Staff Daily sales'!$G255:$CD255))</f>
        <v>7304.1200000000008</v>
      </c>
      <c r="R270">
        <f>IF($E270=0,0,SUMPRODUCT($AI$12:$DF$12,'Staff Daily sales'!$G255:$CD255))</f>
        <v>49</v>
      </c>
      <c r="S270">
        <f>IF($E270=0,0,SUMPRODUCT($AI$13:$DF$13,'Staff Daily sales'!$G255:$CD255))</f>
        <v>4629.9399999999996</v>
      </c>
      <c r="T270">
        <f>IF($E270=0,0,SUMPRODUCT($AI$14:$DF$14,'Staff Daily sales'!$G255:$CD255))</f>
        <v>32</v>
      </c>
      <c r="U270">
        <f>IF($E270=0,0,SUMPRODUCT($AI$15:$DF$15,'Staff Daily sales'!$G255:$CD255))</f>
        <v>669.96</v>
      </c>
      <c r="V270">
        <f>IF($E270=0,0,SUMPRODUCT($AI$16:$DF$16,'Staff Daily sales'!$G255:$CD255))</f>
        <v>4</v>
      </c>
      <c r="W270">
        <f t="shared" si="79"/>
        <v>12611.18</v>
      </c>
      <c r="X270">
        <f t="shared" si="80"/>
        <v>23615.439999999999</v>
      </c>
      <c r="Y270">
        <f t="shared" si="81"/>
        <v>19921.280000000002</v>
      </c>
      <c r="Z270">
        <f t="shared" si="82"/>
        <v>13306.880000000001</v>
      </c>
      <c r="AA270">
        <f t="shared" si="83"/>
        <v>3127.99</v>
      </c>
      <c r="AB270">
        <f>--AND($E270=1,OR('Staff Weekly Trend'!$B$3="All",$DH270='Staff Weekly Trend'!$B$3),OR('Staff Weekly Trend'!$B$4="All",$D270='Staff Weekly Trend'!$B$4),OR('Staff Weekly Trend'!$B$5="All",$A270='Staff Weekly Trend'!$B$5))</f>
        <v>1</v>
      </c>
      <c r="AC270">
        <f t="shared" si="84"/>
        <v>1</v>
      </c>
      <c r="AI270">
        <f t="shared" si="85"/>
        <v>104</v>
      </c>
      <c r="AJ270">
        <f t="shared" si="86"/>
        <v>180</v>
      </c>
      <c r="AK270">
        <f t="shared" si="87"/>
        <v>139</v>
      </c>
      <c r="AL270">
        <f t="shared" si="88"/>
        <v>110</v>
      </c>
      <c r="AM270">
        <f t="shared" si="89"/>
        <v>23</v>
      </c>
      <c r="DH270" t="str" cm="1">
        <f t="array" ref="DH270">IF($A270="","",_xlfn.LET(_xlpm.c,IFERROR(_xlfn.XLOOKUP($A270,TRIM('Sales and count'!$A$4:$A$300&amp;""),TRIM('Sales and count'!$B$4:$B$300&amp;"")),""),IF(OR(_xlpm.c="",_xlpm.c="0",LEFT(_xlpm.c,1)="#"),"Not set",_xlpm.c)))</f>
        <v>KSA</v>
      </c>
    </row>
    <row r="271" spans="1:112" x14ac:dyDescent="0.25">
      <c r="A271" t="str">
        <f>IF('Staff Daily sales'!$B256="","",TRIM('Staff Daily sales'!$B256&amp;""))</f>
        <v>HARYDGALL</v>
      </c>
      <c r="B271" t="str">
        <f>IF('Staff Daily sales'!$D256="","",TRIM('Staff Daily sales'!$D256&amp;""))</f>
        <v>7046-BAlenazi</v>
      </c>
      <c r="C271" t="str">
        <f>IFERROR(TRIM('Staff Daily sales'!$E256&amp;""),"")</f>
        <v>Riyadh</v>
      </c>
      <c r="D271" t="str">
        <f>IFERROR(IF(TRIM('Staff Daily sales'!$F256&amp;"")="","Unassigned",TRIM('Staff Daily sales'!$F256&amp;"")),"Unassigned")</f>
        <v>Lina Al Ghathami</v>
      </c>
      <c r="E271">
        <f t="shared" si="74"/>
        <v>1</v>
      </c>
      <c r="F271">
        <f>IF($E271=0,0,SUMPRODUCT($AI$5:$DF$5,'Staff Daily sales'!$G256:$CD256))</f>
        <v>0</v>
      </c>
      <c r="G271">
        <f>IF($E271=0,0,SUMPRODUCT($AI$6:$DF$6,'Staff Daily sales'!$G256:$CD256))</f>
        <v>0</v>
      </c>
      <c r="H271">
        <f t="shared" si="75"/>
        <v>2996.83</v>
      </c>
      <c r="I271">
        <f t="shared" si="76"/>
        <v>23</v>
      </c>
      <c r="J271">
        <f t="shared" si="77"/>
        <v>62915.250000000007</v>
      </c>
      <c r="K271">
        <f t="shared" si="78"/>
        <v>385</v>
      </c>
      <c r="L271">
        <f>--AND($E271=1,OR('Staff Dashboard'!$B$6="All",$DH271='Staff Dashboard'!$B$6),OR('Staff Dashboard'!$B$7="All",$D271='Staff Dashboard'!$B$7),OR('Staff Dashboard'!$B$8="All",$A271='Staff Dashboard'!$B$8))</f>
        <v>0</v>
      </c>
      <c r="M271">
        <f>IF($E271=0,0,SUMPRODUCT($AI$7:$DF$7,'Staff Daily sales'!$G256:$CD256))</f>
        <v>501.01</v>
      </c>
      <c r="N271">
        <f>IF($E271=0,0,SUMPRODUCT($AI$8:$DF$8,'Staff Daily sales'!$G256:$CD256))</f>
        <v>5</v>
      </c>
      <c r="O271">
        <f>IF($E271=0,0,SUMPRODUCT($AI$9:$DF$9,'Staff Daily sales'!$G256:$CD256))</f>
        <v>3497.05</v>
      </c>
      <c r="P271">
        <f>IF($E271=0,0,SUMPRODUCT($AI$10:$DF$10,'Staff Daily sales'!$G256:$CD256))</f>
        <v>29</v>
      </c>
      <c r="Q271">
        <f>IF($E271=0,0,SUMPRODUCT($AI$11:$DF$11,'Staff Daily sales'!$G256:$CD256))</f>
        <v>6777.06</v>
      </c>
      <c r="R271">
        <f>IF($E271=0,0,SUMPRODUCT($AI$12:$DF$12,'Staff Daily sales'!$G256:$CD256))</f>
        <v>41</v>
      </c>
      <c r="S271">
        <f>IF($E271=0,0,SUMPRODUCT($AI$13:$DF$13,'Staff Daily sales'!$G256:$CD256))</f>
        <v>2149</v>
      </c>
      <c r="T271">
        <f>IF($E271=0,0,SUMPRODUCT($AI$14:$DF$14,'Staff Daily sales'!$G256:$CD256))</f>
        <v>22</v>
      </c>
      <c r="U271">
        <f>IF($E271=0,0,SUMPRODUCT($AI$15:$DF$15,'Staff Daily sales'!$G256:$CD256))</f>
        <v>963.05</v>
      </c>
      <c r="V271">
        <f>IF($E271=0,0,SUMPRODUCT($AI$16:$DF$16,'Staff Daily sales'!$G256:$CD256))</f>
        <v>9</v>
      </c>
      <c r="W271">
        <f t="shared" si="79"/>
        <v>12611.18</v>
      </c>
      <c r="X271">
        <f t="shared" si="80"/>
        <v>23615.439999999999</v>
      </c>
      <c r="Y271">
        <f t="shared" si="81"/>
        <v>19921.280000000002</v>
      </c>
      <c r="Z271">
        <f t="shared" si="82"/>
        <v>13306.880000000001</v>
      </c>
      <c r="AA271">
        <f t="shared" si="83"/>
        <v>3127.99</v>
      </c>
      <c r="AB271">
        <f>--AND($E271=1,OR('Staff Weekly Trend'!$B$3="All",$DH271='Staff Weekly Trend'!$B$3),OR('Staff Weekly Trend'!$B$4="All",$D271='Staff Weekly Trend'!$B$4),OR('Staff Weekly Trend'!$B$5="All",$A271='Staff Weekly Trend'!$B$5))</f>
        <v>1</v>
      </c>
      <c r="AC271" t="str">
        <f t="shared" si="84"/>
        <v/>
      </c>
      <c r="AI271">
        <f t="shared" si="85"/>
        <v>104</v>
      </c>
      <c r="AJ271">
        <f t="shared" si="86"/>
        <v>180</v>
      </c>
      <c r="AK271">
        <f t="shared" si="87"/>
        <v>139</v>
      </c>
      <c r="AL271">
        <f t="shared" si="88"/>
        <v>110</v>
      </c>
      <c r="AM271">
        <f t="shared" si="89"/>
        <v>23</v>
      </c>
      <c r="DH271" t="str" cm="1">
        <f t="array" ref="DH271">IF($A271="","",_xlfn.LET(_xlpm.c,IFERROR(_xlfn.XLOOKUP($A271,TRIM('Sales and count'!$A$4:$A$300&amp;""),TRIM('Sales and count'!$B$4:$B$300&amp;"")),""),IF(OR(_xlpm.c="",_xlpm.c="0",LEFT(_xlpm.c,1)="#"),"Not set",_xlpm.c)))</f>
        <v>KSA</v>
      </c>
    </row>
    <row r="272" spans="1:112" x14ac:dyDescent="0.25">
      <c r="A272" t="str">
        <f>IF('Staff Daily sales'!$B257="","",TRIM('Staff Daily sales'!$B257&amp;""))</f>
        <v>HASALMMAL</v>
      </c>
      <c r="B272" t="str">
        <f>IF('Staff Daily sales'!$D257="","",TRIM('Staff Daily sales'!$D257&amp;""))</f>
        <v>2948-Nawaf Althurwi</v>
      </c>
      <c r="C272" t="str">
        <f>IFERROR(TRIM('Staff Daily sales'!$E257&amp;""),"")</f>
        <v>Riyadh</v>
      </c>
      <c r="D272" t="str">
        <f>IFERROR(IF(TRIM('Staff Daily sales'!$F257&amp;"")="","Unassigned",TRIM('Staff Daily sales'!$F257&amp;"")),"Unassigned")</f>
        <v>Lina Al Ghathami</v>
      </c>
      <c r="E272">
        <f t="shared" si="74"/>
        <v>1</v>
      </c>
      <c r="F272">
        <f>IF($E272=0,0,SUMPRODUCT($AI$5:$DF$5,'Staff Daily sales'!$G257:$CD257))</f>
        <v>0</v>
      </c>
      <c r="G272">
        <f>IF($E272=0,0,SUMPRODUCT($AI$6:$DF$6,'Staff Daily sales'!$G257:$CD257))</f>
        <v>0</v>
      </c>
      <c r="H272">
        <f t="shared" si="75"/>
        <v>2997.9</v>
      </c>
      <c r="I272">
        <f t="shared" si="76"/>
        <v>27</v>
      </c>
      <c r="J272">
        <f t="shared" si="77"/>
        <v>62915.250000000007</v>
      </c>
      <c r="K272">
        <f t="shared" si="78"/>
        <v>385</v>
      </c>
      <c r="L272">
        <f>--AND($E272=1,OR('Staff Dashboard'!$B$6="All",$DH272='Staff Dashboard'!$B$6),OR('Staff Dashboard'!$B$7="All",$D272='Staff Dashboard'!$B$7),OR('Staff Dashboard'!$B$8="All",$A272='Staff Dashboard'!$B$8))</f>
        <v>0</v>
      </c>
      <c r="M272">
        <f>IF($E272=0,0,SUMPRODUCT($AI$7:$DF$7,'Staff Daily sales'!$G257:$CD257))</f>
        <v>18522.330000000002</v>
      </c>
      <c r="N272">
        <f>IF($E272=0,0,SUMPRODUCT($AI$8:$DF$8,'Staff Daily sales'!$G257:$CD257))</f>
        <v>164</v>
      </c>
      <c r="O272">
        <f>IF($E272=0,0,SUMPRODUCT($AI$9:$DF$9,'Staff Daily sales'!$G257:$CD257))</f>
        <v>828</v>
      </c>
      <c r="P272">
        <f>IF($E272=0,0,SUMPRODUCT($AI$10:$DF$10,'Staff Daily sales'!$G257:$CD257))</f>
        <v>7</v>
      </c>
      <c r="Q272">
        <f>IF($E272=0,0,SUMPRODUCT($AI$11:$DF$11,'Staff Daily sales'!$G257:$CD257))</f>
        <v>2626.05</v>
      </c>
      <c r="R272">
        <f>IF($E272=0,0,SUMPRODUCT($AI$12:$DF$12,'Staff Daily sales'!$G257:$CD257))</f>
        <v>21</v>
      </c>
      <c r="S272">
        <f>IF($E272=0,0,SUMPRODUCT($AI$13:$DF$13,'Staff Daily sales'!$G257:$CD257))</f>
        <v>0</v>
      </c>
      <c r="T272">
        <f>IF($E272=0,0,SUMPRODUCT($AI$14:$DF$14,'Staff Daily sales'!$G257:$CD257))</f>
        <v>0</v>
      </c>
      <c r="U272">
        <f>IF($E272=0,0,SUMPRODUCT($AI$15:$DF$15,'Staff Daily sales'!$G257:$CD257))</f>
        <v>2204.14</v>
      </c>
      <c r="V272">
        <f>IF($E272=0,0,SUMPRODUCT($AI$16:$DF$16,'Staff Daily sales'!$G257:$CD257))</f>
        <v>14</v>
      </c>
      <c r="W272">
        <f t="shared" si="79"/>
        <v>25520.47</v>
      </c>
      <c r="X272">
        <f t="shared" si="80"/>
        <v>42484.63</v>
      </c>
      <c r="Y272">
        <f t="shared" si="81"/>
        <v>32698.52</v>
      </c>
      <c r="Z272">
        <f t="shared" si="82"/>
        <v>27227.71</v>
      </c>
      <c r="AA272">
        <f t="shared" si="83"/>
        <v>7008.04</v>
      </c>
      <c r="AB272">
        <f>--AND($E272=1,OR('Staff Weekly Trend'!$B$3="All",$DH272='Staff Weekly Trend'!$B$3),OR('Staff Weekly Trend'!$B$4="All",$D272='Staff Weekly Trend'!$B$4),OR('Staff Weekly Trend'!$B$5="All",$A272='Staff Weekly Trend'!$B$5))</f>
        <v>1</v>
      </c>
      <c r="AC272" t="str">
        <f t="shared" si="84"/>
        <v/>
      </c>
      <c r="AI272">
        <f t="shared" si="85"/>
        <v>223</v>
      </c>
      <c r="AJ272">
        <f t="shared" si="86"/>
        <v>352</v>
      </c>
      <c r="AK272">
        <f t="shared" si="87"/>
        <v>260</v>
      </c>
      <c r="AL272">
        <f t="shared" si="88"/>
        <v>214</v>
      </c>
      <c r="AM272">
        <f t="shared" si="89"/>
        <v>47</v>
      </c>
      <c r="DH272" t="str" cm="1">
        <f t="array" ref="DH272">IF($A272="","",_xlfn.LET(_xlpm.c,IFERROR(_xlfn.XLOOKUP($A272,TRIM('Sales and count'!$A$4:$A$300&amp;""),TRIM('Sales and count'!$B$4:$B$300&amp;"")),""),IF(OR(_xlpm.c="",_xlpm.c="0",LEFT(_xlpm.c,1)="#"),"Not set",_xlpm.c)))</f>
        <v>KSA</v>
      </c>
    </row>
    <row r="273" spans="1:112" x14ac:dyDescent="0.25">
      <c r="A273" t="str">
        <f>IF('Staff Daily sales'!$B258="","",TRIM('Staff Daily sales'!$B258&amp;""))</f>
        <v>HASALMMAL</v>
      </c>
      <c r="B273" t="str">
        <f>IF('Staff Daily sales'!$D258="","",TRIM('Staff Daily sales'!$D258&amp;""))</f>
        <v>3517-Saljbilan</v>
      </c>
      <c r="C273" t="str">
        <f>IFERROR(TRIM('Staff Daily sales'!$E258&amp;""),"")</f>
        <v>Riyadh</v>
      </c>
      <c r="D273" t="str">
        <f>IFERROR(IF(TRIM('Staff Daily sales'!$F258&amp;"")="","Unassigned",TRIM('Staff Daily sales'!$F258&amp;"")),"Unassigned")</f>
        <v>Lina Al Ghathami</v>
      </c>
      <c r="E273">
        <f t="shared" si="74"/>
        <v>1</v>
      </c>
      <c r="F273">
        <f>IF($E273=0,0,SUMPRODUCT($AI$5:$DF$5,'Staff Daily sales'!$G258:$CD258))</f>
        <v>1002.94</v>
      </c>
      <c r="G273">
        <f>IF($E273=0,0,SUMPRODUCT($AI$6:$DF$6,'Staff Daily sales'!$G258:$CD258))</f>
        <v>8</v>
      </c>
      <c r="H273">
        <f t="shared" si="75"/>
        <v>2997.9</v>
      </c>
      <c r="I273">
        <f t="shared" si="76"/>
        <v>27</v>
      </c>
      <c r="J273">
        <f t="shared" si="77"/>
        <v>62915.250000000007</v>
      </c>
      <c r="K273">
        <f t="shared" si="78"/>
        <v>385</v>
      </c>
      <c r="L273">
        <f>--AND($E273=1,OR('Staff Dashboard'!$B$6="All",$DH273='Staff Dashboard'!$B$6),OR('Staff Dashboard'!$B$7="All",$D273='Staff Dashboard'!$B$7),OR('Staff Dashboard'!$B$8="All",$A273='Staff Dashboard'!$B$8))</f>
        <v>0</v>
      </c>
      <c r="M273">
        <f>IF($E273=0,0,SUMPRODUCT($AI$7:$DF$7,'Staff Daily sales'!$G258:$CD258))</f>
        <v>0</v>
      </c>
      <c r="N273">
        <f>IF($E273=0,0,SUMPRODUCT($AI$8:$DF$8,'Staff Daily sales'!$G258:$CD258))</f>
        <v>0</v>
      </c>
      <c r="O273">
        <f>IF($E273=0,0,SUMPRODUCT($AI$9:$DF$9,'Staff Daily sales'!$G258:$CD258))</f>
        <v>15607.32</v>
      </c>
      <c r="P273">
        <f>IF($E273=0,0,SUMPRODUCT($AI$10:$DF$10,'Staff Daily sales'!$G258:$CD258))</f>
        <v>122</v>
      </c>
      <c r="Q273">
        <f>IF($E273=0,0,SUMPRODUCT($AI$11:$DF$11,'Staff Daily sales'!$G258:$CD258))</f>
        <v>8438.18</v>
      </c>
      <c r="R273">
        <f>IF($E273=0,0,SUMPRODUCT($AI$12:$DF$12,'Staff Daily sales'!$G258:$CD258))</f>
        <v>63</v>
      </c>
      <c r="S273">
        <f>IF($E273=0,0,SUMPRODUCT($AI$13:$DF$13,'Staff Daily sales'!$G258:$CD258))</f>
        <v>6628.8600000000006</v>
      </c>
      <c r="T273">
        <f>IF($E273=0,0,SUMPRODUCT($AI$14:$DF$14,'Staff Daily sales'!$G258:$CD258))</f>
        <v>51</v>
      </c>
      <c r="U273">
        <f>IF($E273=0,0,SUMPRODUCT($AI$15:$DF$15,'Staff Daily sales'!$G258:$CD258))</f>
        <v>497.04</v>
      </c>
      <c r="V273">
        <f>IF($E273=0,0,SUMPRODUCT($AI$16:$DF$16,'Staff Daily sales'!$G258:$CD258))</f>
        <v>3</v>
      </c>
      <c r="W273">
        <f t="shared" si="79"/>
        <v>25520.47</v>
      </c>
      <c r="X273">
        <f t="shared" si="80"/>
        <v>42484.63</v>
      </c>
      <c r="Y273">
        <f t="shared" si="81"/>
        <v>32698.52</v>
      </c>
      <c r="Z273">
        <f t="shared" si="82"/>
        <v>27227.71</v>
      </c>
      <c r="AA273">
        <f t="shared" si="83"/>
        <v>7008.04</v>
      </c>
      <c r="AB273">
        <f>--AND($E273=1,OR('Staff Weekly Trend'!$B$3="All",$DH273='Staff Weekly Trend'!$B$3),OR('Staff Weekly Trend'!$B$4="All",$D273='Staff Weekly Trend'!$B$4),OR('Staff Weekly Trend'!$B$5="All",$A273='Staff Weekly Trend'!$B$5))</f>
        <v>1</v>
      </c>
      <c r="AC273">
        <f t="shared" si="84"/>
        <v>2</v>
      </c>
      <c r="AI273">
        <f t="shared" si="85"/>
        <v>223</v>
      </c>
      <c r="AJ273">
        <f t="shared" si="86"/>
        <v>352</v>
      </c>
      <c r="AK273">
        <f t="shared" si="87"/>
        <v>260</v>
      </c>
      <c r="AL273">
        <f t="shared" si="88"/>
        <v>214</v>
      </c>
      <c r="AM273">
        <f t="shared" si="89"/>
        <v>47</v>
      </c>
      <c r="DH273" t="str" cm="1">
        <f t="array" ref="DH273">IF($A273="","",_xlfn.LET(_xlpm.c,IFERROR(_xlfn.XLOOKUP($A273,TRIM('Sales and count'!$A$4:$A$300&amp;""),TRIM('Sales and count'!$B$4:$B$300&amp;"")),""),IF(OR(_xlpm.c="",_xlpm.c="0",LEFT(_xlpm.c,1)="#"),"Not set",_xlpm.c)))</f>
        <v>KSA</v>
      </c>
    </row>
    <row r="274" spans="1:112" x14ac:dyDescent="0.25">
      <c r="A274" t="str">
        <f>IF('Staff Daily sales'!$B259="","",TRIM('Staff Daily sales'!$B259&amp;""))</f>
        <v>HASALMMAL</v>
      </c>
      <c r="B274" t="str">
        <f>IF('Staff Daily sales'!$D259="","",TRIM('Staff Daily sales'!$D259&amp;""))</f>
        <v>4382-HAlhamdan</v>
      </c>
      <c r="C274" t="str">
        <f>IFERROR(TRIM('Staff Daily sales'!$E259&amp;""),"")</f>
        <v>Riyadh</v>
      </c>
      <c r="D274" t="str">
        <f>IFERROR(IF(TRIM('Staff Daily sales'!$F259&amp;"")="","Unassigned",TRIM('Staff Daily sales'!$F259&amp;"")),"Unassigned")</f>
        <v>Lina Al Ghathami</v>
      </c>
      <c r="E274">
        <f t="shared" si="74"/>
        <v>1</v>
      </c>
      <c r="F274">
        <f>IF($E274=0,0,SUMPRODUCT($AI$5:$DF$5,'Staff Daily sales'!$G259:$CD259))</f>
        <v>0</v>
      </c>
      <c r="G274">
        <f>IF($E274=0,0,SUMPRODUCT($AI$6:$DF$6,'Staff Daily sales'!$G259:$CD259))</f>
        <v>0</v>
      </c>
      <c r="H274">
        <f t="shared" si="75"/>
        <v>2997.9</v>
      </c>
      <c r="I274">
        <f t="shared" si="76"/>
        <v>27</v>
      </c>
      <c r="J274">
        <f t="shared" si="77"/>
        <v>62915.250000000007</v>
      </c>
      <c r="K274">
        <f t="shared" si="78"/>
        <v>385</v>
      </c>
      <c r="L274">
        <f>--AND($E274=1,OR('Staff Dashboard'!$B$6="All",$DH274='Staff Dashboard'!$B$6),OR('Staff Dashboard'!$B$7="All",$D274='Staff Dashboard'!$B$7),OR('Staff Dashboard'!$B$8="All",$A274='Staff Dashboard'!$B$8))</f>
        <v>0</v>
      </c>
      <c r="M274">
        <f>IF($E274=0,0,SUMPRODUCT($AI$7:$DF$7,'Staff Daily sales'!$G259:$CD259))</f>
        <v>0</v>
      </c>
      <c r="N274">
        <f>IF($E274=0,0,SUMPRODUCT($AI$8:$DF$8,'Staff Daily sales'!$G259:$CD259))</f>
        <v>0</v>
      </c>
      <c r="O274">
        <f>IF($E274=0,0,SUMPRODUCT($AI$9:$DF$9,'Staff Daily sales'!$G259:$CD259))</f>
        <v>8087.1</v>
      </c>
      <c r="P274">
        <f>IF($E274=0,0,SUMPRODUCT($AI$10:$DF$10,'Staff Daily sales'!$G259:$CD259))</f>
        <v>68</v>
      </c>
      <c r="Q274">
        <f>IF($E274=0,0,SUMPRODUCT($AI$11:$DF$11,'Staff Daily sales'!$G259:$CD259))</f>
        <v>5815.1100000000006</v>
      </c>
      <c r="R274">
        <f>IF($E274=0,0,SUMPRODUCT($AI$12:$DF$12,'Staff Daily sales'!$G259:$CD259))</f>
        <v>43</v>
      </c>
      <c r="S274">
        <f>IF($E274=0,0,SUMPRODUCT($AI$13:$DF$13,'Staff Daily sales'!$G259:$CD259))</f>
        <v>3773.03</v>
      </c>
      <c r="T274">
        <f>IF($E274=0,0,SUMPRODUCT($AI$14:$DF$14,'Staff Daily sales'!$G259:$CD259))</f>
        <v>28</v>
      </c>
      <c r="U274">
        <f>IF($E274=0,0,SUMPRODUCT($AI$15:$DF$15,'Staff Daily sales'!$G259:$CD259))</f>
        <v>0</v>
      </c>
      <c r="V274">
        <f>IF($E274=0,0,SUMPRODUCT($AI$16:$DF$16,'Staff Daily sales'!$G259:$CD259))</f>
        <v>0</v>
      </c>
      <c r="W274">
        <f t="shared" si="79"/>
        <v>25520.47</v>
      </c>
      <c r="X274">
        <f t="shared" si="80"/>
        <v>42484.63</v>
      </c>
      <c r="Y274">
        <f t="shared" si="81"/>
        <v>32698.52</v>
      </c>
      <c r="Z274">
        <f t="shared" si="82"/>
        <v>27227.71</v>
      </c>
      <c r="AA274">
        <f t="shared" si="83"/>
        <v>7008.04</v>
      </c>
      <c r="AB274">
        <f>--AND($E274=1,OR('Staff Weekly Trend'!$B$3="All",$DH274='Staff Weekly Trend'!$B$3),OR('Staff Weekly Trend'!$B$4="All",$D274='Staff Weekly Trend'!$B$4),OR('Staff Weekly Trend'!$B$5="All",$A274='Staff Weekly Trend'!$B$5))</f>
        <v>1</v>
      </c>
      <c r="AC274" t="str">
        <f t="shared" si="84"/>
        <v/>
      </c>
      <c r="AI274">
        <f t="shared" si="85"/>
        <v>223</v>
      </c>
      <c r="AJ274">
        <f t="shared" si="86"/>
        <v>352</v>
      </c>
      <c r="AK274">
        <f t="shared" si="87"/>
        <v>260</v>
      </c>
      <c r="AL274">
        <f t="shared" si="88"/>
        <v>214</v>
      </c>
      <c r="AM274">
        <f t="shared" si="89"/>
        <v>47</v>
      </c>
      <c r="DH274" t="str" cm="1">
        <f t="array" ref="DH274">IF($A274="","",_xlfn.LET(_xlpm.c,IFERROR(_xlfn.XLOOKUP($A274,TRIM('Sales and count'!$A$4:$A$300&amp;""),TRIM('Sales and count'!$B$4:$B$300&amp;"")),""),IF(OR(_xlpm.c="",_xlpm.c="0",LEFT(_xlpm.c,1)="#"),"Not set",_xlpm.c)))</f>
        <v>KSA</v>
      </c>
    </row>
    <row r="275" spans="1:112" x14ac:dyDescent="0.25">
      <c r="A275" t="str">
        <f>IF('Staff Daily sales'!$B260="","",TRIM('Staff Daily sales'!$B260&amp;""))</f>
        <v>HASALMMAL</v>
      </c>
      <c r="B275" t="str">
        <f>IF('Staff Daily sales'!$D260="","",TRIM('Staff Daily sales'!$D260&amp;""))</f>
        <v>5143-AAlasfar</v>
      </c>
      <c r="C275" t="str">
        <f>IFERROR(TRIM('Staff Daily sales'!$E260&amp;""),"")</f>
        <v>Riyadh</v>
      </c>
      <c r="D275" t="str">
        <f>IFERROR(IF(TRIM('Staff Daily sales'!$F260&amp;"")="","Unassigned",TRIM('Staff Daily sales'!$F260&amp;"")),"Unassigned")</f>
        <v>Lina Al Ghathami</v>
      </c>
      <c r="E275">
        <f t="shared" si="74"/>
        <v>1</v>
      </c>
      <c r="F275">
        <f>IF($E275=0,0,SUMPRODUCT($AI$5:$DF$5,'Staff Daily sales'!$G260:$CD260))</f>
        <v>247.01</v>
      </c>
      <c r="G275">
        <f>IF($E275=0,0,SUMPRODUCT($AI$6:$DF$6,'Staff Daily sales'!$G260:$CD260))</f>
        <v>3</v>
      </c>
      <c r="H275">
        <f t="shared" si="75"/>
        <v>2997.9</v>
      </c>
      <c r="I275">
        <f t="shared" si="76"/>
        <v>27</v>
      </c>
      <c r="J275">
        <f t="shared" si="77"/>
        <v>62915.250000000007</v>
      </c>
      <c r="K275">
        <f t="shared" si="78"/>
        <v>385</v>
      </c>
      <c r="L275">
        <f>--AND($E275=1,OR('Staff Dashboard'!$B$6="All",$DH275='Staff Dashboard'!$B$6),OR('Staff Dashboard'!$B$7="All",$D275='Staff Dashboard'!$B$7),OR('Staff Dashboard'!$B$8="All",$A275='Staff Dashboard'!$B$8))</f>
        <v>0</v>
      </c>
      <c r="M275">
        <f>IF($E275=0,0,SUMPRODUCT($AI$7:$DF$7,'Staff Daily sales'!$G260:$CD260))</f>
        <v>6998.1399999999994</v>
      </c>
      <c r="N275">
        <f>IF($E275=0,0,SUMPRODUCT($AI$8:$DF$8,'Staff Daily sales'!$G260:$CD260))</f>
        <v>59</v>
      </c>
      <c r="O275">
        <f>IF($E275=0,0,SUMPRODUCT($AI$9:$DF$9,'Staff Daily sales'!$G260:$CD260))</f>
        <v>6243.09</v>
      </c>
      <c r="P275">
        <f>IF($E275=0,0,SUMPRODUCT($AI$10:$DF$10,'Staff Daily sales'!$G260:$CD260))</f>
        <v>43</v>
      </c>
      <c r="Q275">
        <f>IF($E275=0,0,SUMPRODUCT($AI$11:$DF$11,'Staff Daily sales'!$G260:$CD260))</f>
        <v>4633.04</v>
      </c>
      <c r="R275">
        <f>IF($E275=0,0,SUMPRODUCT($AI$12:$DF$12,'Staff Daily sales'!$G260:$CD260))</f>
        <v>44</v>
      </c>
      <c r="S275">
        <f>IF($E275=0,0,SUMPRODUCT($AI$13:$DF$13,'Staff Daily sales'!$G260:$CD260))</f>
        <v>8295.93</v>
      </c>
      <c r="T275">
        <f>IF($E275=0,0,SUMPRODUCT($AI$14:$DF$14,'Staff Daily sales'!$G260:$CD260))</f>
        <v>66</v>
      </c>
      <c r="U275">
        <f>IF($E275=0,0,SUMPRODUCT($AI$15:$DF$15,'Staff Daily sales'!$G260:$CD260))</f>
        <v>1150.94</v>
      </c>
      <c r="V275">
        <f>IF($E275=0,0,SUMPRODUCT($AI$16:$DF$16,'Staff Daily sales'!$G260:$CD260))</f>
        <v>9</v>
      </c>
      <c r="W275">
        <f t="shared" si="79"/>
        <v>25520.47</v>
      </c>
      <c r="X275">
        <f t="shared" si="80"/>
        <v>42484.63</v>
      </c>
      <c r="Y275">
        <f t="shared" si="81"/>
        <v>32698.52</v>
      </c>
      <c r="Z275">
        <f t="shared" si="82"/>
        <v>27227.71</v>
      </c>
      <c r="AA275">
        <f t="shared" si="83"/>
        <v>7008.04</v>
      </c>
      <c r="AB275">
        <f>--AND($E275=1,OR('Staff Weekly Trend'!$B$3="All",$DH275='Staff Weekly Trend'!$B$3),OR('Staff Weekly Trend'!$B$4="All",$D275='Staff Weekly Trend'!$B$4),OR('Staff Weekly Trend'!$B$5="All",$A275='Staff Weekly Trend'!$B$5))</f>
        <v>1</v>
      </c>
      <c r="AC275">
        <f t="shared" si="84"/>
        <v>3</v>
      </c>
      <c r="AI275">
        <f t="shared" si="85"/>
        <v>223</v>
      </c>
      <c r="AJ275">
        <f t="shared" si="86"/>
        <v>352</v>
      </c>
      <c r="AK275">
        <f t="shared" si="87"/>
        <v>260</v>
      </c>
      <c r="AL275">
        <f t="shared" si="88"/>
        <v>214</v>
      </c>
      <c r="AM275">
        <f t="shared" si="89"/>
        <v>47</v>
      </c>
      <c r="DH275" t="str" cm="1">
        <f t="array" ref="DH275">IF($A275="","",_xlfn.LET(_xlpm.c,IFERROR(_xlfn.XLOOKUP($A275,TRIM('Sales and count'!$A$4:$A$300&amp;""),TRIM('Sales and count'!$B$4:$B$300&amp;"")),""),IF(OR(_xlpm.c="",_xlpm.c="0",LEFT(_xlpm.c,1)="#"),"Not set",_xlpm.c)))</f>
        <v>KSA</v>
      </c>
    </row>
    <row r="276" spans="1:112" x14ac:dyDescent="0.25">
      <c r="A276" t="str">
        <f>IF('Staff Daily sales'!$B261="","",TRIM('Staff Daily sales'!$B261&amp;""))</f>
        <v>HASALMMAL</v>
      </c>
      <c r="B276" t="str">
        <f>IF('Staff Daily sales'!$D261="","",TRIM('Staff Daily sales'!$D261&amp;""))</f>
        <v>7246-SFaqihi</v>
      </c>
      <c r="C276" t="str">
        <f>IFERROR(TRIM('Staff Daily sales'!$E261&amp;""),"")</f>
        <v>Riyadh</v>
      </c>
      <c r="D276" t="str">
        <f>IFERROR(IF(TRIM('Staff Daily sales'!$F261&amp;"")="","Unassigned",TRIM('Staff Daily sales'!$F261&amp;"")),"Unassigned")</f>
        <v>Lina Al Ghathami</v>
      </c>
      <c r="E276">
        <f t="shared" ref="E276:E339" si="90">--AND($A276&lt;&gt;"",$B276&lt;&gt;"")</f>
        <v>1</v>
      </c>
      <c r="F276">
        <f>IF($E276=0,0,SUMPRODUCT($AI$5:$DF$5,'Staff Daily sales'!$G261:$CD261))</f>
        <v>1747.95</v>
      </c>
      <c r="G276">
        <f>IF($E276=0,0,SUMPRODUCT($AI$6:$DF$6,'Staff Daily sales'!$G261:$CD261))</f>
        <v>16</v>
      </c>
      <c r="H276">
        <f t="shared" ref="H276:H339" si="91">IF($E276=0,0,SUMIFS($F$20:$F$1515,$A$20:$A$1515,$A276))</f>
        <v>2997.9</v>
      </c>
      <c r="I276">
        <f t="shared" ref="I276:I339" si="92">IF($E276=0,0,SUMIFS($G$20:$G$1515,$A$20:$A$1515,$A276))</f>
        <v>27</v>
      </c>
      <c r="J276">
        <f t="shared" ref="J276:J339" si="93">IF($E276=0,0,SUMIFS($F$20:$F$1515,$D$20:$D$1515,$D276))</f>
        <v>62915.250000000007</v>
      </c>
      <c r="K276">
        <f t="shared" ref="K276:K339" si="94">IF($E276=0,0,SUMIFS($G$20:$G$1515,$D$20:$D$1515,$D276))</f>
        <v>385</v>
      </c>
      <c r="L276">
        <f>--AND($E276=1,OR('Staff Dashboard'!$B$6="All",$DH276='Staff Dashboard'!$B$6),OR('Staff Dashboard'!$B$7="All",$D276='Staff Dashboard'!$B$7),OR('Staff Dashboard'!$B$8="All",$A276='Staff Dashboard'!$B$8))</f>
        <v>0</v>
      </c>
      <c r="M276">
        <f>IF($E276=0,0,SUMPRODUCT($AI$7:$DF$7,'Staff Daily sales'!$G261:$CD261))</f>
        <v>0</v>
      </c>
      <c r="N276">
        <f>IF($E276=0,0,SUMPRODUCT($AI$8:$DF$8,'Staff Daily sales'!$G261:$CD261))</f>
        <v>0</v>
      </c>
      <c r="O276">
        <f>IF($E276=0,0,SUMPRODUCT($AI$9:$DF$9,'Staff Daily sales'!$G261:$CD261))</f>
        <v>11719.12</v>
      </c>
      <c r="P276">
        <f>IF($E276=0,0,SUMPRODUCT($AI$10:$DF$10,'Staff Daily sales'!$G261:$CD261))</f>
        <v>112</v>
      </c>
      <c r="Q276">
        <f>IF($E276=0,0,SUMPRODUCT($AI$11:$DF$11,'Staff Daily sales'!$G261:$CD261))</f>
        <v>11186.14</v>
      </c>
      <c r="R276">
        <f>IF($E276=0,0,SUMPRODUCT($AI$12:$DF$12,'Staff Daily sales'!$G261:$CD261))</f>
        <v>89</v>
      </c>
      <c r="S276">
        <f>IF($E276=0,0,SUMPRODUCT($AI$13:$DF$13,'Staff Daily sales'!$G261:$CD261))</f>
        <v>8529.8900000000012</v>
      </c>
      <c r="T276">
        <f>IF($E276=0,0,SUMPRODUCT($AI$14:$DF$14,'Staff Daily sales'!$G261:$CD261))</f>
        <v>69</v>
      </c>
      <c r="U276">
        <f>IF($E276=0,0,SUMPRODUCT($AI$15:$DF$15,'Staff Daily sales'!$G261:$CD261))</f>
        <v>3155.92</v>
      </c>
      <c r="V276">
        <f>IF($E276=0,0,SUMPRODUCT($AI$16:$DF$16,'Staff Daily sales'!$G261:$CD261))</f>
        <v>21</v>
      </c>
      <c r="W276">
        <f t="shared" ref="W276:W339" si="95">IF($E276=0,0,SUMIFS(M$20:M$1515,$A$20:$A$1515,$A276))</f>
        <v>25520.47</v>
      </c>
      <c r="X276">
        <f t="shared" ref="X276:X339" si="96">IF($E276=0,0,SUMIFS(O$20:O$1515,$A$20:$A$1515,$A276))</f>
        <v>42484.63</v>
      </c>
      <c r="Y276">
        <f t="shared" ref="Y276:Y339" si="97">IF($E276=0,0,SUMIFS(Q$20:Q$1515,$A$20:$A$1515,$A276))</f>
        <v>32698.52</v>
      </c>
      <c r="Z276">
        <f t="shared" ref="Z276:Z339" si="98">IF($E276=0,0,SUMIFS(S$20:S$1515,$A$20:$A$1515,$A276))</f>
        <v>27227.71</v>
      </c>
      <c r="AA276">
        <f t="shared" ref="AA276:AA339" si="99">IF($E276=0,0,SUMIFS(U$20:U$1515,$A$20:$A$1515,$A276))</f>
        <v>7008.04</v>
      </c>
      <c r="AB276">
        <f>--AND($E276=1,OR('Staff Weekly Trend'!$B$3="All",$DH276='Staff Weekly Trend'!$B$3),OR('Staff Weekly Trend'!$B$4="All",$D276='Staff Weekly Trend'!$B$4),OR('Staff Weekly Trend'!$B$5="All",$A276='Staff Weekly Trend'!$B$5))</f>
        <v>1</v>
      </c>
      <c r="AC276">
        <f t="shared" ref="AC276:AC339" si="100">IF(OR($E276=0,AND($F276=0,$G276=0)),"",COUNTIFS($A$20:$A$1515,$A276,$E$20:$E$1515,1,$F$20:$F$1515,"&gt;"&amp;$F276)+1)</f>
        <v>1</v>
      </c>
      <c r="AI276">
        <f t="shared" ref="AI276:AI339" si="101">IF($E276=0,0,SUMIFS(N$20:N$1515,$A$20:$A$1515,$A276))</f>
        <v>223</v>
      </c>
      <c r="AJ276">
        <f t="shared" ref="AJ276:AJ339" si="102">IF($E276=0,0,SUMIFS(P$20:P$1515,$A$20:$A$1515,$A276))</f>
        <v>352</v>
      </c>
      <c r="AK276">
        <f t="shared" ref="AK276:AK339" si="103">IF($E276=0,0,SUMIFS(R$20:R$1515,$A$20:$A$1515,$A276))</f>
        <v>260</v>
      </c>
      <c r="AL276">
        <f t="shared" ref="AL276:AL339" si="104">IF($E276=0,0,SUMIFS(T$20:T$1515,$A$20:$A$1515,$A276))</f>
        <v>214</v>
      </c>
      <c r="AM276">
        <f t="shared" ref="AM276:AM339" si="105">IF($E276=0,0,SUMIFS(V$20:V$1515,$A$20:$A$1515,$A276))</f>
        <v>47</v>
      </c>
      <c r="DH276" t="str" cm="1">
        <f t="array" ref="DH276">IF($A276="","",_xlfn.LET(_xlpm.c,IFERROR(_xlfn.XLOOKUP($A276,TRIM('Sales and count'!$A$4:$A$300&amp;""),TRIM('Sales and count'!$B$4:$B$300&amp;"")),""),IF(OR(_xlpm.c="",_xlpm.c="0",LEFT(_xlpm.c,1)="#"),"Not set",_xlpm.c)))</f>
        <v>KSA</v>
      </c>
    </row>
    <row r="277" spans="1:112" x14ac:dyDescent="0.25">
      <c r="A277" t="str">
        <f>IF('Staff Daily sales'!$B262="","",TRIM('Staff Daily sales'!$B262&amp;""))</f>
        <v>HALELEMALL</v>
      </c>
      <c r="B277" t="str">
        <f>IF('Staff Daily sales'!$D262="","",TRIM('Staff Daily sales'!$D262&amp;""))</f>
        <v>4199-ANajmi</v>
      </c>
      <c r="C277" t="str">
        <f>IFERROR(TRIM('Staff Daily sales'!$E262&amp;""),"")</f>
        <v>Samtah</v>
      </c>
      <c r="D277" t="str">
        <f>IFERROR(IF(TRIM('Staff Daily sales'!$F262&amp;"")="","Unassigned",TRIM('Staff Daily sales'!$F262&amp;"")),"Unassigned")</f>
        <v>Ahmed Jaffari</v>
      </c>
      <c r="E277">
        <f t="shared" si="90"/>
        <v>1</v>
      </c>
      <c r="F277">
        <f>IF($E277=0,0,SUMPRODUCT($AI$5:$DF$5,'Staff Daily sales'!$G262:$CD262))</f>
        <v>299.01</v>
      </c>
      <c r="G277">
        <f>IF($E277=0,0,SUMPRODUCT($AI$6:$DF$6,'Staff Daily sales'!$G262:$CD262))</f>
        <v>1</v>
      </c>
      <c r="H277">
        <f t="shared" si="91"/>
        <v>1482.93</v>
      </c>
      <c r="I277">
        <f t="shared" si="92"/>
        <v>8</v>
      </c>
      <c r="J277">
        <f t="shared" si="93"/>
        <v>44058.899999999994</v>
      </c>
      <c r="K277">
        <f t="shared" si="94"/>
        <v>244</v>
      </c>
      <c r="L277">
        <f>--AND($E277=1,OR('Staff Dashboard'!$B$6="All",$DH277='Staff Dashboard'!$B$6),OR('Staff Dashboard'!$B$7="All",$D277='Staff Dashboard'!$B$7),OR('Staff Dashboard'!$B$8="All",$A277='Staff Dashboard'!$B$8))</f>
        <v>0</v>
      </c>
      <c r="M277">
        <f>IF($E277=0,0,SUMPRODUCT($AI$7:$DF$7,'Staff Daily sales'!$G262:$CD262))</f>
        <v>2800.12</v>
      </c>
      <c r="N277">
        <f>IF($E277=0,0,SUMPRODUCT($AI$8:$DF$8,'Staff Daily sales'!$G262:$CD262))</f>
        <v>16</v>
      </c>
      <c r="O277">
        <f>IF($E277=0,0,SUMPRODUCT($AI$9:$DF$9,'Staff Daily sales'!$G262:$CD262))</f>
        <v>5918.15</v>
      </c>
      <c r="P277">
        <f>IF($E277=0,0,SUMPRODUCT($AI$10:$DF$10,'Staff Daily sales'!$G262:$CD262))</f>
        <v>30</v>
      </c>
      <c r="Q277">
        <f>IF($E277=0,0,SUMPRODUCT($AI$11:$DF$11,'Staff Daily sales'!$G262:$CD262))</f>
        <v>4688.1400000000003</v>
      </c>
      <c r="R277">
        <f>IF($E277=0,0,SUMPRODUCT($AI$12:$DF$12,'Staff Daily sales'!$G262:$CD262))</f>
        <v>25</v>
      </c>
      <c r="S277">
        <f>IF($E277=0,0,SUMPRODUCT($AI$13:$DF$13,'Staff Daily sales'!$G262:$CD262))</f>
        <v>3918.96</v>
      </c>
      <c r="T277">
        <f>IF($E277=0,0,SUMPRODUCT($AI$14:$DF$14,'Staff Daily sales'!$G262:$CD262))</f>
        <v>22</v>
      </c>
      <c r="U277">
        <f>IF($E277=0,0,SUMPRODUCT($AI$15:$DF$15,'Staff Daily sales'!$G262:$CD262))</f>
        <v>620.05999999999995</v>
      </c>
      <c r="V277">
        <f>IF($E277=0,0,SUMPRODUCT($AI$16:$DF$16,'Staff Daily sales'!$G262:$CD262))</f>
        <v>3</v>
      </c>
      <c r="W277">
        <f t="shared" si="95"/>
        <v>16100.419999999998</v>
      </c>
      <c r="X277">
        <f t="shared" si="96"/>
        <v>31959.800000000003</v>
      </c>
      <c r="Y277">
        <f t="shared" si="97"/>
        <v>26010.53</v>
      </c>
      <c r="Z277">
        <f t="shared" si="98"/>
        <v>13235.740000000002</v>
      </c>
      <c r="AA277">
        <f t="shared" si="99"/>
        <v>4610.09</v>
      </c>
      <c r="AB277">
        <f>--AND($E277=1,OR('Staff Weekly Trend'!$B$3="All",$DH277='Staff Weekly Trend'!$B$3),OR('Staff Weekly Trend'!$B$4="All",$D277='Staff Weekly Trend'!$B$4),OR('Staff Weekly Trend'!$B$5="All",$A277='Staff Weekly Trend'!$B$5))</f>
        <v>1</v>
      </c>
      <c r="AC277">
        <f t="shared" si="100"/>
        <v>3</v>
      </c>
      <c r="AI277">
        <f t="shared" si="101"/>
        <v>89</v>
      </c>
      <c r="AJ277">
        <f t="shared" si="102"/>
        <v>169</v>
      </c>
      <c r="AK277">
        <f t="shared" si="103"/>
        <v>139</v>
      </c>
      <c r="AL277">
        <f t="shared" si="104"/>
        <v>74</v>
      </c>
      <c r="AM277">
        <f t="shared" si="105"/>
        <v>23</v>
      </c>
      <c r="DH277" t="str" cm="1">
        <f t="array" ref="DH277">IF($A277="","",_xlfn.LET(_xlpm.c,IFERROR(_xlfn.XLOOKUP($A277,TRIM('Sales and count'!$A$4:$A$300&amp;""),TRIM('Sales and count'!$B$4:$B$300&amp;"")),""),IF(OR(_xlpm.c="",_xlpm.c="0",LEFT(_xlpm.c,1)="#"),"Not set",_xlpm.c)))</f>
        <v>KSA</v>
      </c>
    </row>
    <row r="278" spans="1:112" x14ac:dyDescent="0.25">
      <c r="A278" t="str">
        <f>IF('Staff Daily sales'!$B263="","",TRIM('Staff Daily sales'!$B263&amp;""))</f>
        <v>HALELEMALL</v>
      </c>
      <c r="B278" t="str">
        <f>IF('Staff Daily sales'!$D263="","",TRIM('Staff Daily sales'!$D263&amp;""))</f>
        <v>5224-EMashhoor</v>
      </c>
      <c r="C278" t="str">
        <f>IFERROR(TRIM('Staff Daily sales'!$E263&amp;""),"")</f>
        <v>Samtah</v>
      </c>
      <c r="D278" t="str">
        <f>IFERROR(IF(TRIM('Staff Daily sales'!$F263&amp;"")="","Unassigned",TRIM('Staff Daily sales'!$F263&amp;"")),"Unassigned")</f>
        <v>Ahmed Jaffari</v>
      </c>
      <c r="E278">
        <f t="shared" si="90"/>
        <v>1</v>
      </c>
      <c r="F278">
        <f>IF($E278=0,0,SUMPRODUCT($AI$5:$DF$5,'Staff Daily sales'!$G263:$CD263))</f>
        <v>496.96</v>
      </c>
      <c r="G278">
        <f>IF($E278=0,0,SUMPRODUCT($AI$6:$DF$6,'Staff Daily sales'!$G263:$CD263))</f>
        <v>3</v>
      </c>
      <c r="H278">
        <f t="shared" si="91"/>
        <v>1482.93</v>
      </c>
      <c r="I278">
        <f t="shared" si="92"/>
        <v>8</v>
      </c>
      <c r="J278">
        <f t="shared" si="93"/>
        <v>44058.899999999994</v>
      </c>
      <c r="K278">
        <f t="shared" si="94"/>
        <v>244</v>
      </c>
      <c r="L278">
        <f>--AND($E278=1,OR('Staff Dashboard'!$B$6="All",$DH278='Staff Dashboard'!$B$6),OR('Staff Dashboard'!$B$7="All",$D278='Staff Dashboard'!$B$7),OR('Staff Dashboard'!$B$8="All",$A278='Staff Dashboard'!$B$8))</f>
        <v>0</v>
      </c>
      <c r="M278">
        <f>IF($E278=0,0,SUMPRODUCT($AI$7:$DF$7,'Staff Daily sales'!$G263:$CD263))</f>
        <v>6050.14</v>
      </c>
      <c r="N278">
        <f>IF($E278=0,0,SUMPRODUCT($AI$8:$DF$8,'Staff Daily sales'!$G263:$CD263))</f>
        <v>36</v>
      </c>
      <c r="O278">
        <f>IF($E278=0,0,SUMPRODUCT($AI$9:$DF$9,'Staff Daily sales'!$G263:$CD263))</f>
        <v>5805.1100000000006</v>
      </c>
      <c r="P278">
        <f>IF($E278=0,0,SUMPRODUCT($AI$10:$DF$10,'Staff Daily sales'!$G263:$CD263))</f>
        <v>30</v>
      </c>
      <c r="Q278">
        <f>IF($E278=0,0,SUMPRODUCT($AI$11:$DF$11,'Staff Daily sales'!$G263:$CD263))</f>
        <v>3806.0200000000004</v>
      </c>
      <c r="R278">
        <f>IF($E278=0,0,SUMPRODUCT($AI$12:$DF$12,'Staff Daily sales'!$G263:$CD263))</f>
        <v>21</v>
      </c>
      <c r="S278">
        <f>IF($E278=0,0,SUMPRODUCT($AI$13:$DF$13,'Staff Daily sales'!$G263:$CD263))</f>
        <v>3861.83</v>
      </c>
      <c r="T278">
        <f>IF($E278=0,0,SUMPRODUCT($AI$14:$DF$14,'Staff Daily sales'!$G263:$CD263))</f>
        <v>21</v>
      </c>
      <c r="U278">
        <f>IF($E278=0,0,SUMPRODUCT($AI$15:$DF$15,'Staff Daily sales'!$G263:$CD263))</f>
        <v>1158.04</v>
      </c>
      <c r="V278">
        <f>IF($E278=0,0,SUMPRODUCT($AI$16:$DF$16,'Staff Daily sales'!$G263:$CD263))</f>
        <v>6</v>
      </c>
      <c r="W278">
        <f t="shared" si="95"/>
        <v>16100.419999999998</v>
      </c>
      <c r="X278">
        <f t="shared" si="96"/>
        <v>31959.800000000003</v>
      </c>
      <c r="Y278">
        <f t="shared" si="97"/>
        <v>26010.53</v>
      </c>
      <c r="Z278">
        <f t="shared" si="98"/>
        <v>13235.740000000002</v>
      </c>
      <c r="AA278">
        <f t="shared" si="99"/>
        <v>4610.09</v>
      </c>
      <c r="AB278">
        <f>--AND($E278=1,OR('Staff Weekly Trend'!$B$3="All",$DH278='Staff Weekly Trend'!$B$3),OR('Staff Weekly Trend'!$B$4="All",$D278='Staff Weekly Trend'!$B$4),OR('Staff Weekly Trend'!$B$5="All",$A278='Staff Weekly Trend'!$B$5))</f>
        <v>1</v>
      </c>
      <c r="AC278">
        <f t="shared" si="100"/>
        <v>1</v>
      </c>
      <c r="AI278">
        <f t="shared" si="101"/>
        <v>89</v>
      </c>
      <c r="AJ278">
        <f t="shared" si="102"/>
        <v>169</v>
      </c>
      <c r="AK278">
        <f t="shared" si="103"/>
        <v>139</v>
      </c>
      <c r="AL278">
        <f t="shared" si="104"/>
        <v>74</v>
      </c>
      <c r="AM278">
        <f t="shared" si="105"/>
        <v>23</v>
      </c>
      <c r="DH278" t="str" cm="1">
        <f t="array" ref="DH278">IF($A278="","",_xlfn.LET(_xlpm.c,IFERROR(_xlfn.XLOOKUP($A278,TRIM('Sales and count'!$A$4:$A$300&amp;""),TRIM('Sales and count'!$B$4:$B$300&amp;"")),""),IF(OR(_xlpm.c="",_xlpm.c="0",LEFT(_xlpm.c,1)="#"),"Not set",_xlpm.c)))</f>
        <v>KSA</v>
      </c>
    </row>
    <row r="279" spans="1:112" x14ac:dyDescent="0.25">
      <c r="A279" t="str">
        <f>IF('Staff Daily sales'!$B264="","",TRIM('Staff Daily sales'!$B264&amp;""))</f>
        <v>HALELEMALL</v>
      </c>
      <c r="B279" t="str">
        <f>IF('Staff Daily sales'!$D264="","",TRIM('Staff Daily sales'!$D264&amp;""))</f>
        <v>5226-YHamdi</v>
      </c>
      <c r="C279" t="str">
        <f>IFERROR(TRIM('Staff Daily sales'!$E264&amp;""),"")</f>
        <v>Samtah</v>
      </c>
      <c r="D279" t="str">
        <f>IFERROR(IF(TRIM('Staff Daily sales'!$F264&amp;"")="","Unassigned",TRIM('Staff Daily sales'!$F264&amp;"")),"Unassigned")</f>
        <v>Ahmed Jaffari</v>
      </c>
      <c r="E279">
        <f t="shared" si="90"/>
        <v>1</v>
      </c>
      <c r="F279">
        <f>IF($E279=0,0,SUMPRODUCT($AI$5:$DF$5,'Staff Daily sales'!$G264:$CD264))</f>
        <v>210.98</v>
      </c>
      <c r="G279">
        <f>IF($E279=0,0,SUMPRODUCT($AI$6:$DF$6,'Staff Daily sales'!$G264:$CD264))</f>
        <v>1</v>
      </c>
      <c r="H279">
        <f t="shared" si="91"/>
        <v>1482.93</v>
      </c>
      <c r="I279">
        <f t="shared" si="92"/>
        <v>8</v>
      </c>
      <c r="J279">
        <f t="shared" si="93"/>
        <v>44058.899999999994</v>
      </c>
      <c r="K279">
        <f t="shared" si="94"/>
        <v>244</v>
      </c>
      <c r="L279">
        <f>--AND($E279=1,OR('Staff Dashboard'!$B$6="All",$DH279='Staff Dashboard'!$B$6),OR('Staff Dashboard'!$B$7="All",$D279='Staff Dashboard'!$B$7),OR('Staff Dashboard'!$B$8="All",$A279='Staff Dashboard'!$B$8))</f>
        <v>0</v>
      </c>
      <c r="M279">
        <f>IF($E279=0,0,SUMPRODUCT($AI$7:$DF$7,'Staff Daily sales'!$G264:$CD264))</f>
        <v>1553.04</v>
      </c>
      <c r="N279">
        <f>IF($E279=0,0,SUMPRODUCT($AI$8:$DF$8,'Staff Daily sales'!$G264:$CD264))</f>
        <v>8</v>
      </c>
      <c r="O279">
        <f>IF($E279=0,0,SUMPRODUCT($AI$9:$DF$9,'Staff Daily sales'!$G264:$CD264))</f>
        <v>7411.15</v>
      </c>
      <c r="P279">
        <f>IF($E279=0,0,SUMPRODUCT($AI$10:$DF$10,'Staff Daily sales'!$G264:$CD264))</f>
        <v>32</v>
      </c>
      <c r="Q279">
        <f>IF($E279=0,0,SUMPRODUCT($AI$11:$DF$11,'Staff Daily sales'!$G264:$CD264))</f>
        <v>6171.16</v>
      </c>
      <c r="R279">
        <f>IF($E279=0,0,SUMPRODUCT($AI$12:$DF$12,'Staff Daily sales'!$G264:$CD264))</f>
        <v>32</v>
      </c>
      <c r="S279">
        <f>IF($E279=0,0,SUMPRODUCT($AI$13:$DF$13,'Staff Daily sales'!$G264:$CD264))</f>
        <v>1759.99</v>
      </c>
      <c r="T279">
        <f>IF($E279=0,0,SUMPRODUCT($AI$14:$DF$14,'Staff Daily sales'!$G264:$CD264))</f>
        <v>11</v>
      </c>
      <c r="U279">
        <f>IF($E279=0,0,SUMPRODUCT($AI$15:$DF$15,'Staff Daily sales'!$G264:$CD264))</f>
        <v>1726.98</v>
      </c>
      <c r="V279">
        <f>IF($E279=0,0,SUMPRODUCT($AI$16:$DF$16,'Staff Daily sales'!$G264:$CD264))</f>
        <v>8</v>
      </c>
      <c r="W279">
        <f t="shared" si="95"/>
        <v>16100.419999999998</v>
      </c>
      <c r="X279">
        <f t="shared" si="96"/>
        <v>31959.800000000003</v>
      </c>
      <c r="Y279">
        <f t="shared" si="97"/>
        <v>26010.53</v>
      </c>
      <c r="Z279">
        <f t="shared" si="98"/>
        <v>13235.740000000002</v>
      </c>
      <c r="AA279">
        <f t="shared" si="99"/>
        <v>4610.09</v>
      </c>
      <c r="AB279">
        <f>--AND($E279=1,OR('Staff Weekly Trend'!$B$3="All",$DH279='Staff Weekly Trend'!$B$3),OR('Staff Weekly Trend'!$B$4="All",$D279='Staff Weekly Trend'!$B$4),OR('Staff Weekly Trend'!$B$5="All",$A279='Staff Weekly Trend'!$B$5))</f>
        <v>1</v>
      </c>
      <c r="AC279">
        <f t="shared" si="100"/>
        <v>4</v>
      </c>
      <c r="AI279">
        <f t="shared" si="101"/>
        <v>89</v>
      </c>
      <c r="AJ279">
        <f t="shared" si="102"/>
        <v>169</v>
      </c>
      <c r="AK279">
        <f t="shared" si="103"/>
        <v>139</v>
      </c>
      <c r="AL279">
        <f t="shared" si="104"/>
        <v>74</v>
      </c>
      <c r="AM279">
        <f t="shared" si="105"/>
        <v>23</v>
      </c>
      <c r="DH279" t="str" cm="1">
        <f t="array" ref="DH279">IF($A279="","",_xlfn.LET(_xlpm.c,IFERROR(_xlfn.XLOOKUP($A279,TRIM('Sales and count'!$A$4:$A$300&amp;""),TRIM('Sales and count'!$B$4:$B$300&amp;"")),""),IF(OR(_xlpm.c="",_xlpm.c="0",LEFT(_xlpm.c,1)="#"),"Not set",_xlpm.c)))</f>
        <v>KSA</v>
      </c>
    </row>
    <row r="280" spans="1:112" x14ac:dyDescent="0.25">
      <c r="A280" t="str">
        <f>IF('Staff Daily sales'!$B265="","",TRIM('Staff Daily sales'!$B265&amp;""))</f>
        <v>HALELEMALL</v>
      </c>
      <c r="B280" t="str">
        <f>IF('Staff Daily sales'!$D265="","",TRIM('Staff Daily sales'!$D265&amp;""))</f>
        <v>5229-AShabeli</v>
      </c>
      <c r="C280" t="str">
        <f>IFERROR(TRIM('Staff Daily sales'!$E265&amp;""),"")</f>
        <v>Samtah</v>
      </c>
      <c r="D280" t="str">
        <f>IFERROR(IF(TRIM('Staff Daily sales'!$F265&amp;"")="","Unassigned",TRIM('Staff Daily sales'!$F265&amp;"")),"Unassigned")</f>
        <v>Ahmed Jaffari</v>
      </c>
      <c r="E280">
        <f t="shared" si="90"/>
        <v>1</v>
      </c>
      <c r="F280">
        <f>IF($E280=0,0,SUMPRODUCT($AI$5:$DF$5,'Staff Daily sales'!$G265:$CD265))</f>
        <v>0</v>
      </c>
      <c r="G280">
        <f>IF($E280=0,0,SUMPRODUCT($AI$6:$DF$6,'Staff Daily sales'!$G265:$CD265))</f>
        <v>0</v>
      </c>
      <c r="H280">
        <f t="shared" si="91"/>
        <v>1482.93</v>
      </c>
      <c r="I280">
        <f t="shared" si="92"/>
        <v>8</v>
      </c>
      <c r="J280">
        <f t="shared" si="93"/>
        <v>44058.899999999994</v>
      </c>
      <c r="K280">
        <f t="shared" si="94"/>
        <v>244</v>
      </c>
      <c r="L280">
        <f>--AND($E280=1,OR('Staff Dashboard'!$B$6="All",$DH280='Staff Dashboard'!$B$6),OR('Staff Dashboard'!$B$7="All",$D280='Staff Dashboard'!$B$7),OR('Staff Dashboard'!$B$8="All",$A280='Staff Dashboard'!$B$8))</f>
        <v>0</v>
      </c>
      <c r="M280">
        <f>IF($E280=0,0,SUMPRODUCT($AI$7:$DF$7,'Staff Daily sales'!$G265:$CD265))</f>
        <v>2668.08</v>
      </c>
      <c r="N280">
        <f>IF($E280=0,0,SUMPRODUCT($AI$8:$DF$8,'Staff Daily sales'!$G265:$CD265))</f>
        <v>12</v>
      </c>
      <c r="O280">
        <f>IF($E280=0,0,SUMPRODUCT($AI$9:$DF$9,'Staff Daily sales'!$G265:$CD265))</f>
        <v>8799.24</v>
      </c>
      <c r="P280">
        <f>IF($E280=0,0,SUMPRODUCT($AI$10:$DF$10,'Staff Daily sales'!$G265:$CD265))</f>
        <v>51</v>
      </c>
      <c r="Q280">
        <f>IF($E280=0,0,SUMPRODUCT($AI$11:$DF$11,'Staff Daily sales'!$G265:$CD265))</f>
        <v>5999.12</v>
      </c>
      <c r="R280">
        <f>IF($E280=0,0,SUMPRODUCT($AI$12:$DF$12,'Staff Daily sales'!$G265:$CD265))</f>
        <v>34</v>
      </c>
      <c r="S280">
        <f>IF($E280=0,0,SUMPRODUCT($AI$13:$DF$13,'Staff Daily sales'!$G265:$CD265))</f>
        <v>799.01</v>
      </c>
      <c r="T280">
        <f>IF($E280=0,0,SUMPRODUCT($AI$14:$DF$14,'Staff Daily sales'!$G265:$CD265))</f>
        <v>5</v>
      </c>
      <c r="U280">
        <f>IF($E280=0,0,SUMPRODUCT($AI$15:$DF$15,'Staff Daily sales'!$G265:$CD265))</f>
        <v>0</v>
      </c>
      <c r="V280">
        <f>IF($E280=0,0,SUMPRODUCT($AI$16:$DF$16,'Staff Daily sales'!$G265:$CD265))</f>
        <v>0</v>
      </c>
      <c r="W280">
        <f t="shared" si="95"/>
        <v>16100.419999999998</v>
      </c>
      <c r="X280">
        <f t="shared" si="96"/>
        <v>31959.800000000003</v>
      </c>
      <c r="Y280">
        <f t="shared" si="97"/>
        <v>26010.53</v>
      </c>
      <c r="Z280">
        <f t="shared" si="98"/>
        <v>13235.740000000002</v>
      </c>
      <c r="AA280">
        <f t="shared" si="99"/>
        <v>4610.09</v>
      </c>
      <c r="AB280">
        <f>--AND($E280=1,OR('Staff Weekly Trend'!$B$3="All",$DH280='Staff Weekly Trend'!$B$3),OR('Staff Weekly Trend'!$B$4="All",$D280='Staff Weekly Trend'!$B$4),OR('Staff Weekly Trend'!$B$5="All",$A280='Staff Weekly Trend'!$B$5))</f>
        <v>1</v>
      </c>
      <c r="AC280" t="str">
        <f t="shared" si="100"/>
        <v/>
      </c>
      <c r="AI280">
        <f t="shared" si="101"/>
        <v>89</v>
      </c>
      <c r="AJ280">
        <f t="shared" si="102"/>
        <v>169</v>
      </c>
      <c r="AK280">
        <f t="shared" si="103"/>
        <v>139</v>
      </c>
      <c r="AL280">
        <f t="shared" si="104"/>
        <v>74</v>
      </c>
      <c r="AM280">
        <f t="shared" si="105"/>
        <v>23</v>
      </c>
      <c r="DH280" t="str" cm="1">
        <f t="array" ref="DH280">IF($A280="","",_xlfn.LET(_xlpm.c,IFERROR(_xlfn.XLOOKUP($A280,TRIM('Sales and count'!$A$4:$A$300&amp;""),TRIM('Sales and count'!$B$4:$B$300&amp;"")),""),IF(OR(_xlpm.c="",_xlpm.c="0",LEFT(_xlpm.c,1)="#"),"Not set",_xlpm.c)))</f>
        <v>KSA</v>
      </c>
    </row>
    <row r="281" spans="1:112" x14ac:dyDescent="0.25">
      <c r="A281" t="str">
        <f>IF('Staff Daily sales'!$B266="","",TRIM('Staff Daily sales'!$B266&amp;""))</f>
        <v>HALELEMALL</v>
      </c>
      <c r="B281" t="str">
        <f>IF('Staff Daily sales'!$D266="","",TRIM('Staff Daily sales'!$D266&amp;""))</f>
        <v>5230-AMadkhali</v>
      </c>
      <c r="C281" t="str">
        <f>IFERROR(TRIM('Staff Daily sales'!$E266&amp;""),"")</f>
        <v>Samtah</v>
      </c>
      <c r="D281" t="str">
        <f>IFERROR(IF(TRIM('Staff Daily sales'!$F266&amp;"")="","Unassigned",TRIM('Staff Daily sales'!$F266&amp;"")),"Unassigned")</f>
        <v>Ahmed Jaffari</v>
      </c>
      <c r="E281">
        <f t="shared" si="90"/>
        <v>1</v>
      </c>
      <c r="F281">
        <f>IF($E281=0,0,SUMPRODUCT($AI$5:$DF$5,'Staff Daily sales'!$G266:$CD266))</f>
        <v>475.98</v>
      </c>
      <c r="G281">
        <f>IF($E281=0,0,SUMPRODUCT($AI$6:$DF$6,'Staff Daily sales'!$G266:$CD266))</f>
        <v>3</v>
      </c>
      <c r="H281">
        <f t="shared" si="91"/>
        <v>1482.93</v>
      </c>
      <c r="I281">
        <f t="shared" si="92"/>
        <v>8</v>
      </c>
      <c r="J281">
        <f t="shared" si="93"/>
        <v>44058.899999999994</v>
      </c>
      <c r="K281">
        <f t="shared" si="94"/>
        <v>244</v>
      </c>
      <c r="L281">
        <f>--AND($E281=1,OR('Staff Dashboard'!$B$6="All",$DH281='Staff Dashboard'!$B$6),OR('Staff Dashboard'!$B$7="All",$D281='Staff Dashboard'!$B$7),OR('Staff Dashboard'!$B$8="All",$A281='Staff Dashboard'!$B$8))</f>
        <v>0</v>
      </c>
      <c r="M281">
        <f>IF($E281=0,0,SUMPRODUCT($AI$7:$DF$7,'Staff Daily sales'!$G266:$CD266))</f>
        <v>3029.04</v>
      </c>
      <c r="N281">
        <f>IF($E281=0,0,SUMPRODUCT($AI$8:$DF$8,'Staff Daily sales'!$G266:$CD266))</f>
        <v>17</v>
      </c>
      <c r="O281">
        <f>IF($E281=0,0,SUMPRODUCT($AI$9:$DF$9,'Staff Daily sales'!$G266:$CD266))</f>
        <v>4026.1499999999996</v>
      </c>
      <c r="P281">
        <f>IF($E281=0,0,SUMPRODUCT($AI$10:$DF$10,'Staff Daily sales'!$G266:$CD266))</f>
        <v>26</v>
      </c>
      <c r="Q281">
        <f>IF($E281=0,0,SUMPRODUCT($AI$11:$DF$11,'Staff Daily sales'!$G266:$CD266))</f>
        <v>5346.09</v>
      </c>
      <c r="R281">
        <f>IF($E281=0,0,SUMPRODUCT($AI$12:$DF$12,'Staff Daily sales'!$G266:$CD266))</f>
        <v>27</v>
      </c>
      <c r="S281">
        <f>IF($E281=0,0,SUMPRODUCT($AI$13:$DF$13,'Staff Daily sales'!$G266:$CD266))</f>
        <v>2895.9500000000003</v>
      </c>
      <c r="T281">
        <f>IF($E281=0,0,SUMPRODUCT($AI$14:$DF$14,'Staff Daily sales'!$G266:$CD266))</f>
        <v>15</v>
      </c>
      <c r="U281">
        <f>IF($E281=0,0,SUMPRODUCT($AI$15:$DF$15,'Staff Daily sales'!$G266:$CD266))</f>
        <v>1105.01</v>
      </c>
      <c r="V281">
        <f>IF($E281=0,0,SUMPRODUCT($AI$16:$DF$16,'Staff Daily sales'!$G266:$CD266))</f>
        <v>6</v>
      </c>
      <c r="W281">
        <f t="shared" si="95"/>
        <v>16100.419999999998</v>
      </c>
      <c r="X281">
        <f t="shared" si="96"/>
        <v>31959.800000000003</v>
      </c>
      <c r="Y281">
        <f t="shared" si="97"/>
        <v>26010.53</v>
      </c>
      <c r="Z281">
        <f t="shared" si="98"/>
        <v>13235.740000000002</v>
      </c>
      <c r="AA281">
        <f t="shared" si="99"/>
        <v>4610.09</v>
      </c>
      <c r="AB281">
        <f>--AND($E281=1,OR('Staff Weekly Trend'!$B$3="All",$DH281='Staff Weekly Trend'!$B$3),OR('Staff Weekly Trend'!$B$4="All",$D281='Staff Weekly Trend'!$B$4),OR('Staff Weekly Trend'!$B$5="All",$A281='Staff Weekly Trend'!$B$5))</f>
        <v>1</v>
      </c>
      <c r="AC281">
        <f t="shared" si="100"/>
        <v>2</v>
      </c>
      <c r="AI281">
        <f t="shared" si="101"/>
        <v>89</v>
      </c>
      <c r="AJ281">
        <f t="shared" si="102"/>
        <v>169</v>
      </c>
      <c r="AK281">
        <f t="shared" si="103"/>
        <v>139</v>
      </c>
      <c r="AL281">
        <f t="shared" si="104"/>
        <v>74</v>
      </c>
      <c r="AM281">
        <f t="shared" si="105"/>
        <v>23</v>
      </c>
      <c r="DH281" t="str" cm="1">
        <f t="array" ref="DH281">IF($A281="","",_xlfn.LET(_xlpm.c,IFERROR(_xlfn.XLOOKUP($A281,TRIM('Sales and count'!$A$4:$A$300&amp;""),TRIM('Sales and count'!$B$4:$B$300&amp;"")),""),IF(OR(_xlpm.c="",_xlpm.c="0",LEFT(_xlpm.c,1)="#"),"Not set",_xlpm.c)))</f>
        <v>KSA</v>
      </c>
    </row>
    <row r="282" spans="1:112" x14ac:dyDescent="0.25">
      <c r="A282" t="str">
        <f>IF('Staff Daily sales'!$B267="","",TRIM('Staff Daily sales'!$B267&amp;""))</f>
        <v>HAOBHRPLZ</v>
      </c>
      <c r="B282" t="str">
        <f>IF('Staff Daily sales'!$D267="","",TRIM('Staff Daily sales'!$D267&amp;""))</f>
        <v>3477-Naif Alzahrani</v>
      </c>
      <c r="C282" t="str">
        <f>IFERROR(TRIM('Staff Daily sales'!$E267&amp;""),"")</f>
        <v>Jeddah</v>
      </c>
      <c r="D282" t="str">
        <f>IFERROR(IF(TRIM('Staff Daily sales'!$F267&amp;"")="","Unassigned",TRIM('Staff Daily sales'!$F267&amp;"")),"Unassigned")</f>
        <v>Saleh Bin Hoiel</v>
      </c>
      <c r="E282">
        <f t="shared" si="90"/>
        <v>1</v>
      </c>
      <c r="F282">
        <f>IF($E282=0,0,SUMPRODUCT($AI$5:$DF$5,'Staff Daily sales'!$G267:$CD267))</f>
        <v>0</v>
      </c>
      <c r="G282">
        <f>IF($E282=0,0,SUMPRODUCT($AI$6:$DF$6,'Staff Daily sales'!$G267:$CD267))</f>
        <v>0</v>
      </c>
      <c r="H282">
        <f t="shared" si="91"/>
        <v>1623.91</v>
      </c>
      <c r="I282">
        <f t="shared" si="92"/>
        <v>9</v>
      </c>
      <c r="J282">
        <f t="shared" si="93"/>
        <v>69638.36</v>
      </c>
      <c r="K282">
        <f t="shared" si="94"/>
        <v>362</v>
      </c>
      <c r="L282">
        <f>--AND($E282=1,OR('Staff Dashboard'!$B$6="All",$DH282='Staff Dashboard'!$B$6),OR('Staff Dashboard'!$B$7="All",$D282='Staff Dashboard'!$B$7),OR('Staff Dashboard'!$B$8="All",$A282='Staff Dashboard'!$B$8))</f>
        <v>0</v>
      </c>
      <c r="M282">
        <f>IF($E282=0,0,SUMPRODUCT($AI$7:$DF$7,'Staff Daily sales'!$G267:$CD267))</f>
        <v>2868.1</v>
      </c>
      <c r="N282">
        <f>IF($E282=0,0,SUMPRODUCT($AI$8:$DF$8,'Staff Daily sales'!$G267:$CD267))</f>
        <v>15</v>
      </c>
      <c r="O282">
        <f>IF($E282=0,0,SUMPRODUCT($AI$9:$DF$9,'Staff Daily sales'!$G267:$CD267))</f>
        <v>7805.06</v>
      </c>
      <c r="P282">
        <f>IF($E282=0,0,SUMPRODUCT($AI$10:$DF$10,'Staff Daily sales'!$G267:$CD267))</f>
        <v>52</v>
      </c>
      <c r="Q282">
        <f>IF($E282=0,0,SUMPRODUCT($AI$11:$DF$11,'Staff Daily sales'!$G267:$CD267))</f>
        <v>8069.14</v>
      </c>
      <c r="R282">
        <f>IF($E282=0,0,SUMPRODUCT($AI$12:$DF$12,'Staff Daily sales'!$G267:$CD267))</f>
        <v>45</v>
      </c>
      <c r="S282">
        <f>IF($E282=0,0,SUMPRODUCT($AI$13:$DF$13,'Staff Daily sales'!$G267:$CD267))</f>
        <v>1229.01</v>
      </c>
      <c r="T282">
        <f>IF($E282=0,0,SUMPRODUCT($AI$14:$DF$14,'Staff Daily sales'!$G267:$CD267))</f>
        <v>9</v>
      </c>
      <c r="U282">
        <f>IF($E282=0,0,SUMPRODUCT($AI$15:$DF$15,'Staff Daily sales'!$G267:$CD267))</f>
        <v>0</v>
      </c>
      <c r="V282">
        <f>IF($E282=0,0,SUMPRODUCT($AI$16:$DF$16,'Staff Daily sales'!$G267:$CD267))</f>
        <v>0</v>
      </c>
      <c r="W282">
        <f t="shared" si="95"/>
        <v>13213.26</v>
      </c>
      <c r="X282">
        <f t="shared" si="96"/>
        <v>17835.23</v>
      </c>
      <c r="Y282">
        <f t="shared" si="97"/>
        <v>17393.240000000002</v>
      </c>
      <c r="Z282">
        <f t="shared" si="98"/>
        <v>11319.880000000001</v>
      </c>
      <c r="AA282">
        <f t="shared" si="99"/>
        <v>2335.98</v>
      </c>
      <c r="AB282">
        <f>--AND($E282=1,OR('Staff Weekly Trend'!$B$3="All",$DH282='Staff Weekly Trend'!$B$3),OR('Staff Weekly Trend'!$B$4="All",$D282='Staff Weekly Trend'!$B$4),OR('Staff Weekly Trend'!$B$5="All",$A282='Staff Weekly Trend'!$B$5))</f>
        <v>1</v>
      </c>
      <c r="AC282" t="str">
        <f t="shared" si="100"/>
        <v/>
      </c>
      <c r="AI282">
        <f t="shared" si="101"/>
        <v>94</v>
      </c>
      <c r="AJ282">
        <f t="shared" si="102"/>
        <v>121</v>
      </c>
      <c r="AK282">
        <f t="shared" si="103"/>
        <v>109</v>
      </c>
      <c r="AL282">
        <f t="shared" si="104"/>
        <v>68</v>
      </c>
      <c r="AM282">
        <f t="shared" si="105"/>
        <v>15</v>
      </c>
      <c r="DH282" t="str" cm="1">
        <f t="array" ref="DH282">IF($A282="","",_xlfn.LET(_xlpm.c,IFERROR(_xlfn.XLOOKUP($A282,TRIM('Sales and count'!$A$4:$A$300&amp;""),TRIM('Sales and count'!$B$4:$B$300&amp;"")),""),IF(OR(_xlpm.c="",_xlpm.c="0",LEFT(_xlpm.c,1)="#"),"Not set",_xlpm.c)))</f>
        <v>KSA</v>
      </c>
    </row>
    <row r="283" spans="1:112" x14ac:dyDescent="0.25">
      <c r="A283" t="str">
        <f>IF('Staff Daily sales'!$B268="","",TRIM('Staff Daily sales'!$B268&amp;""))</f>
        <v>HAOBHRPLZ</v>
      </c>
      <c r="B283" t="str">
        <f>IF('Staff Daily sales'!$D268="","",TRIM('Staff Daily sales'!$D268&amp;""))</f>
        <v>4297-AMubarak</v>
      </c>
      <c r="C283" t="str">
        <f>IFERROR(TRIM('Staff Daily sales'!$E268&amp;""),"")</f>
        <v>Jeddah</v>
      </c>
      <c r="D283" t="str">
        <f>IFERROR(IF(TRIM('Staff Daily sales'!$F268&amp;"")="","Unassigned",TRIM('Staff Daily sales'!$F268&amp;"")),"Unassigned")</f>
        <v>Saleh Bin Hoiel</v>
      </c>
      <c r="E283">
        <f t="shared" si="90"/>
        <v>1</v>
      </c>
      <c r="F283">
        <f>IF($E283=0,0,SUMPRODUCT($AI$5:$DF$5,'Staff Daily sales'!$G268:$CD268))</f>
        <v>0</v>
      </c>
      <c r="G283">
        <f>IF($E283=0,0,SUMPRODUCT($AI$6:$DF$6,'Staff Daily sales'!$G268:$CD268))</f>
        <v>0</v>
      </c>
      <c r="H283">
        <f t="shared" si="91"/>
        <v>1623.91</v>
      </c>
      <c r="I283">
        <f t="shared" si="92"/>
        <v>9</v>
      </c>
      <c r="J283">
        <f t="shared" si="93"/>
        <v>69638.36</v>
      </c>
      <c r="K283">
        <f t="shared" si="94"/>
        <v>362</v>
      </c>
      <c r="L283">
        <f>--AND($E283=1,OR('Staff Dashboard'!$B$6="All",$DH283='Staff Dashboard'!$B$6),OR('Staff Dashboard'!$B$7="All",$D283='Staff Dashboard'!$B$7),OR('Staff Dashboard'!$B$8="All",$A283='Staff Dashboard'!$B$8))</f>
        <v>0</v>
      </c>
      <c r="M283">
        <f>IF($E283=0,0,SUMPRODUCT($AI$7:$DF$7,'Staff Daily sales'!$G268:$CD268))</f>
        <v>7854.18</v>
      </c>
      <c r="N283">
        <f>IF($E283=0,0,SUMPRODUCT($AI$8:$DF$8,'Staff Daily sales'!$G268:$CD268))</f>
        <v>61</v>
      </c>
      <c r="O283">
        <f>IF($E283=0,0,SUMPRODUCT($AI$9:$DF$9,'Staff Daily sales'!$G268:$CD268))</f>
        <v>3202.04</v>
      </c>
      <c r="P283">
        <f>IF($E283=0,0,SUMPRODUCT($AI$10:$DF$10,'Staff Daily sales'!$G268:$CD268))</f>
        <v>22</v>
      </c>
      <c r="Q283">
        <f>IF($E283=0,0,SUMPRODUCT($AI$11:$DF$11,'Staff Daily sales'!$G268:$CD268))</f>
        <v>265.01</v>
      </c>
      <c r="R283">
        <f>IF($E283=0,0,SUMPRODUCT($AI$12:$DF$12,'Staff Daily sales'!$G268:$CD268))</f>
        <v>2</v>
      </c>
      <c r="S283">
        <f>IF($E283=0,0,SUMPRODUCT($AI$13:$DF$13,'Staff Daily sales'!$G268:$CD268))</f>
        <v>0</v>
      </c>
      <c r="T283">
        <f>IF($E283=0,0,SUMPRODUCT($AI$14:$DF$14,'Staff Daily sales'!$G268:$CD268))</f>
        <v>0</v>
      </c>
      <c r="U283">
        <f>IF($E283=0,0,SUMPRODUCT($AI$15:$DF$15,'Staff Daily sales'!$G268:$CD268))</f>
        <v>0</v>
      </c>
      <c r="V283">
        <f>IF($E283=0,0,SUMPRODUCT($AI$16:$DF$16,'Staff Daily sales'!$G268:$CD268))</f>
        <v>0</v>
      </c>
      <c r="W283">
        <f t="shared" si="95"/>
        <v>13213.26</v>
      </c>
      <c r="X283">
        <f t="shared" si="96"/>
        <v>17835.23</v>
      </c>
      <c r="Y283">
        <f t="shared" si="97"/>
        <v>17393.240000000002</v>
      </c>
      <c r="Z283">
        <f t="shared" si="98"/>
        <v>11319.880000000001</v>
      </c>
      <c r="AA283">
        <f t="shared" si="99"/>
        <v>2335.98</v>
      </c>
      <c r="AB283">
        <f>--AND($E283=1,OR('Staff Weekly Trend'!$B$3="All",$DH283='Staff Weekly Trend'!$B$3),OR('Staff Weekly Trend'!$B$4="All",$D283='Staff Weekly Trend'!$B$4),OR('Staff Weekly Trend'!$B$5="All",$A283='Staff Weekly Trend'!$B$5))</f>
        <v>1</v>
      </c>
      <c r="AC283" t="str">
        <f t="shared" si="100"/>
        <v/>
      </c>
      <c r="AI283">
        <f t="shared" si="101"/>
        <v>94</v>
      </c>
      <c r="AJ283">
        <f t="shared" si="102"/>
        <v>121</v>
      </c>
      <c r="AK283">
        <f t="shared" si="103"/>
        <v>109</v>
      </c>
      <c r="AL283">
        <f t="shared" si="104"/>
        <v>68</v>
      </c>
      <c r="AM283">
        <f t="shared" si="105"/>
        <v>15</v>
      </c>
      <c r="DH283" t="str" cm="1">
        <f t="array" ref="DH283">IF($A283="","",_xlfn.LET(_xlpm.c,IFERROR(_xlfn.XLOOKUP($A283,TRIM('Sales and count'!$A$4:$A$300&amp;""),TRIM('Sales and count'!$B$4:$B$300&amp;"")),""),IF(OR(_xlpm.c="",_xlpm.c="0",LEFT(_xlpm.c,1)="#"),"Not set",_xlpm.c)))</f>
        <v>KSA</v>
      </c>
    </row>
    <row r="284" spans="1:112" x14ac:dyDescent="0.25">
      <c r="A284" t="str">
        <f>IF('Staff Daily sales'!$B269="","",TRIM('Staff Daily sales'!$B269&amp;""))</f>
        <v>HAOBHRPLZ</v>
      </c>
      <c r="B284" t="str">
        <f>IF('Staff Daily sales'!$D269="","",TRIM('Staff Daily sales'!$D269&amp;""))</f>
        <v>5416-AAl-Zahrani</v>
      </c>
      <c r="C284" t="str">
        <f>IFERROR(TRIM('Staff Daily sales'!$E269&amp;""),"")</f>
        <v>Jeddah</v>
      </c>
      <c r="D284" t="str">
        <f>IFERROR(IF(TRIM('Staff Daily sales'!$F269&amp;"")="","Unassigned",TRIM('Staff Daily sales'!$F269&amp;"")),"Unassigned")</f>
        <v>Saleh Bin Hoiel</v>
      </c>
      <c r="E284">
        <f t="shared" si="90"/>
        <v>1</v>
      </c>
      <c r="F284">
        <f>IF($E284=0,0,SUMPRODUCT($AI$5:$DF$5,'Staff Daily sales'!$G269:$CD269))</f>
        <v>707.94</v>
      </c>
      <c r="G284">
        <f>IF($E284=0,0,SUMPRODUCT($AI$6:$DF$6,'Staff Daily sales'!$G269:$CD269))</f>
        <v>4</v>
      </c>
      <c r="H284">
        <f t="shared" si="91"/>
        <v>1623.91</v>
      </c>
      <c r="I284">
        <f t="shared" si="92"/>
        <v>9</v>
      </c>
      <c r="J284">
        <f t="shared" si="93"/>
        <v>69638.36</v>
      </c>
      <c r="K284">
        <f t="shared" si="94"/>
        <v>362</v>
      </c>
      <c r="L284">
        <f>--AND($E284=1,OR('Staff Dashboard'!$B$6="All",$DH284='Staff Dashboard'!$B$6),OR('Staff Dashboard'!$B$7="All",$D284='Staff Dashboard'!$B$7),OR('Staff Dashboard'!$B$8="All",$A284='Staff Dashboard'!$B$8))</f>
        <v>0</v>
      </c>
      <c r="M284">
        <f>IF($E284=0,0,SUMPRODUCT($AI$7:$DF$7,'Staff Daily sales'!$G269:$CD269))</f>
        <v>0</v>
      </c>
      <c r="N284">
        <f>IF($E284=0,0,SUMPRODUCT($AI$8:$DF$8,'Staff Daily sales'!$G269:$CD269))</f>
        <v>0</v>
      </c>
      <c r="O284">
        <f>IF($E284=0,0,SUMPRODUCT($AI$9:$DF$9,'Staff Daily sales'!$G269:$CD269))</f>
        <v>3592.09</v>
      </c>
      <c r="P284">
        <f>IF($E284=0,0,SUMPRODUCT($AI$10:$DF$10,'Staff Daily sales'!$G269:$CD269))</f>
        <v>25</v>
      </c>
      <c r="Q284">
        <f>IF($E284=0,0,SUMPRODUCT($AI$11:$DF$11,'Staff Daily sales'!$G269:$CD269))</f>
        <v>6765.0500000000011</v>
      </c>
      <c r="R284">
        <f>IF($E284=0,0,SUMPRODUCT($AI$12:$DF$12,'Staff Daily sales'!$G269:$CD269))</f>
        <v>47</v>
      </c>
      <c r="S284">
        <f>IF($E284=0,0,SUMPRODUCT($AI$13:$DF$13,'Staff Daily sales'!$G269:$CD269))</f>
        <v>4701.99</v>
      </c>
      <c r="T284">
        <f>IF($E284=0,0,SUMPRODUCT($AI$14:$DF$14,'Staff Daily sales'!$G269:$CD269))</f>
        <v>28</v>
      </c>
      <c r="U284">
        <f>IF($E284=0,0,SUMPRODUCT($AI$15:$DF$15,'Staff Daily sales'!$G269:$CD269))</f>
        <v>1914.02</v>
      </c>
      <c r="V284">
        <f>IF($E284=0,0,SUMPRODUCT($AI$16:$DF$16,'Staff Daily sales'!$G269:$CD269))</f>
        <v>13</v>
      </c>
      <c r="W284">
        <f t="shared" si="95"/>
        <v>13213.26</v>
      </c>
      <c r="X284">
        <f t="shared" si="96"/>
        <v>17835.23</v>
      </c>
      <c r="Y284">
        <f t="shared" si="97"/>
        <v>17393.240000000002</v>
      </c>
      <c r="Z284">
        <f t="shared" si="98"/>
        <v>11319.880000000001</v>
      </c>
      <c r="AA284">
        <f t="shared" si="99"/>
        <v>2335.98</v>
      </c>
      <c r="AB284">
        <f>--AND($E284=1,OR('Staff Weekly Trend'!$B$3="All",$DH284='Staff Weekly Trend'!$B$3),OR('Staff Weekly Trend'!$B$4="All",$D284='Staff Weekly Trend'!$B$4),OR('Staff Weekly Trend'!$B$5="All",$A284='Staff Weekly Trend'!$B$5))</f>
        <v>1</v>
      </c>
      <c r="AC284">
        <f t="shared" si="100"/>
        <v>2</v>
      </c>
      <c r="AI284">
        <f t="shared" si="101"/>
        <v>94</v>
      </c>
      <c r="AJ284">
        <f t="shared" si="102"/>
        <v>121</v>
      </c>
      <c r="AK284">
        <f t="shared" si="103"/>
        <v>109</v>
      </c>
      <c r="AL284">
        <f t="shared" si="104"/>
        <v>68</v>
      </c>
      <c r="AM284">
        <f t="shared" si="105"/>
        <v>15</v>
      </c>
      <c r="DH284" t="str" cm="1">
        <f t="array" ref="DH284">IF($A284="","",_xlfn.LET(_xlpm.c,IFERROR(_xlfn.XLOOKUP($A284,TRIM('Sales and count'!$A$4:$A$300&amp;""),TRIM('Sales and count'!$B$4:$B$300&amp;"")),""),IF(OR(_xlpm.c="",_xlpm.c="0",LEFT(_xlpm.c,1)="#"),"Not set",_xlpm.c)))</f>
        <v>KSA</v>
      </c>
    </row>
    <row r="285" spans="1:112" x14ac:dyDescent="0.25">
      <c r="A285" t="str">
        <f>IF('Staff Daily sales'!$B270="","",TRIM('Staff Daily sales'!$B270&amp;""))</f>
        <v>HAOBHRPLZ</v>
      </c>
      <c r="B285" t="str">
        <f>IF('Staff Daily sales'!$D270="","",TRIM('Staff Daily sales'!$D270&amp;""))</f>
        <v>5431-AAlbukayr</v>
      </c>
      <c r="C285" t="str">
        <f>IFERROR(TRIM('Staff Daily sales'!$E270&amp;""),"")</f>
        <v>Jeddah</v>
      </c>
      <c r="D285" t="str">
        <f>IFERROR(IF(TRIM('Staff Daily sales'!$F270&amp;"")="","Unassigned",TRIM('Staff Daily sales'!$F270&amp;"")),"Unassigned")</f>
        <v>Saleh Bin Hoiel</v>
      </c>
      <c r="E285">
        <f t="shared" si="90"/>
        <v>1</v>
      </c>
      <c r="F285">
        <f>IF($E285=0,0,SUMPRODUCT($AI$5:$DF$5,'Staff Daily sales'!$G270:$CD270))</f>
        <v>915.97</v>
      </c>
      <c r="G285">
        <f>IF($E285=0,0,SUMPRODUCT($AI$6:$DF$6,'Staff Daily sales'!$G270:$CD270))</f>
        <v>5</v>
      </c>
      <c r="H285">
        <f t="shared" si="91"/>
        <v>1623.91</v>
      </c>
      <c r="I285">
        <f t="shared" si="92"/>
        <v>9</v>
      </c>
      <c r="J285">
        <f t="shared" si="93"/>
        <v>69638.36</v>
      </c>
      <c r="K285">
        <f t="shared" si="94"/>
        <v>362</v>
      </c>
      <c r="L285">
        <f>--AND($E285=1,OR('Staff Dashboard'!$B$6="All",$DH285='Staff Dashboard'!$B$6),OR('Staff Dashboard'!$B$7="All",$D285='Staff Dashboard'!$B$7),OR('Staff Dashboard'!$B$8="All",$A285='Staff Dashboard'!$B$8))</f>
        <v>0</v>
      </c>
      <c r="M285">
        <f>IF($E285=0,0,SUMPRODUCT($AI$7:$DF$7,'Staff Daily sales'!$G270:$CD270))</f>
        <v>2490.98</v>
      </c>
      <c r="N285">
        <f>IF($E285=0,0,SUMPRODUCT($AI$8:$DF$8,'Staff Daily sales'!$G270:$CD270))</f>
        <v>18</v>
      </c>
      <c r="O285">
        <f>IF($E285=0,0,SUMPRODUCT($AI$9:$DF$9,'Staff Daily sales'!$G270:$CD270))</f>
        <v>3236.04</v>
      </c>
      <c r="P285">
        <f>IF($E285=0,0,SUMPRODUCT($AI$10:$DF$10,'Staff Daily sales'!$G270:$CD270))</f>
        <v>22</v>
      </c>
      <c r="Q285">
        <f>IF($E285=0,0,SUMPRODUCT($AI$11:$DF$11,'Staff Daily sales'!$G270:$CD270))</f>
        <v>2294.04</v>
      </c>
      <c r="R285">
        <f>IF($E285=0,0,SUMPRODUCT($AI$12:$DF$12,'Staff Daily sales'!$G270:$CD270))</f>
        <v>15</v>
      </c>
      <c r="S285">
        <f>IF($E285=0,0,SUMPRODUCT($AI$13:$DF$13,'Staff Daily sales'!$G270:$CD270))</f>
        <v>5388.88</v>
      </c>
      <c r="T285">
        <f>IF($E285=0,0,SUMPRODUCT($AI$14:$DF$14,'Staff Daily sales'!$G270:$CD270))</f>
        <v>31</v>
      </c>
      <c r="U285">
        <f>IF($E285=0,0,SUMPRODUCT($AI$15:$DF$15,'Staff Daily sales'!$G270:$CD270))</f>
        <v>421.96</v>
      </c>
      <c r="V285">
        <f>IF($E285=0,0,SUMPRODUCT($AI$16:$DF$16,'Staff Daily sales'!$G270:$CD270))</f>
        <v>2</v>
      </c>
      <c r="W285">
        <f t="shared" si="95"/>
        <v>13213.26</v>
      </c>
      <c r="X285">
        <f t="shared" si="96"/>
        <v>17835.23</v>
      </c>
      <c r="Y285">
        <f t="shared" si="97"/>
        <v>17393.240000000002</v>
      </c>
      <c r="Z285">
        <f t="shared" si="98"/>
        <v>11319.880000000001</v>
      </c>
      <c r="AA285">
        <f t="shared" si="99"/>
        <v>2335.98</v>
      </c>
      <c r="AB285">
        <f>--AND($E285=1,OR('Staff Weekly Trend'!$B$3="All",$DH285='Staff Weekly Trend'!$B$3),OR('Staff Weekly Trend'!$B$4="All",$D285='Staff Weekly Trend'!$B$4),OR('Staff Weekly Trend'!$B$5="All",$A285='Staff Weekly Trend'!$B$5))</f>
        <v>1</v>
      </c>
      <c r="AC285">
        <f t="shared" si="100"/>
        <v>1</v>
      </c>
      <c r="AI285">
        <f t="shared" si="101"/>
        <v>94</v>
      </c>
      <c r="AJ285">
        <f t="shared" si="102"/>
        <v>121</v>
      </c>
      <c r="AK285">
        <f t="shared" si="103"/>
        <v>109</v>
      </c>
      <c r="AL285">
        <f t="shared" si="104"/>
        <v>68</v>
      </c>
      <c r="AM285">
        <f t="shared" si="105"/>
        <v>15</v>
      </c>
      <c r="DH285" t="str" cm="1">
        <f t="array" ref="DH285">IF($A285="","",_xlfn.LET(_xlpm.c,IFERROR(_xlfn.XLOOKUP($A285,TRIM('Sales and count'!$A$4:$A$300&amp;""),TRIM('Sales and count'!$B$4:$B$300&amp;"")),""),IF(OR(_xlpm.c="",_xlpm.c="0",LEFT(_xlpm.c,1)="#"),"Not set",_xlpm.c)))</f>
        <v>KSA</v>
      </c>
    </row>
    <row r="286" spans="1:112" x14ac:dyDescent="0.25">
      <c r="A286" t="str">
        <f>IF('Staff Daily sales'!$B271="","",TRIM('Staff Daily sales'!$B271&amp;""))</f>
        <v>HAMAJAZCC</v>
      </c>
      <c r="B286" t="str">
        <f>IF('Staff Daily sales'!$D271="","",TRIM('Staff Daily sales'!$D271&amp;""))</f>
        <v>3652-MMetwally</v>
      </c>
      <c r="C286" t="str">
        <f>IFERROR(TRIM('Staff Daily sales'!$E271&amp;""),"")</f>
        <v>Makkah</v>
      </c>
      <c r="D286" t="str">
        <f>IFERROR(IF(TRIM('Staff Daily sales'!$F271&amp;"")="","Unassigned",TRIM('Staff Daily sales'!$F271&amp;"")),"Unassigned")</f>
        <v>Maram Zamzami</v>
      </c>
      <c r="E286">
        <f t="shared" si="90"/>
        <v>1</v>
      </c>
      <c r="F286">
        <f>IF($E286=0,0,SUMPRODUCT($AI$5:$DF$5,'Staff Daily sales'!$G271:$CD271))</f>
        <v>437.98</v>
      </c>
      <c r="G286">
        <f>IF($E286=0,0,SUMPRODUCT($AI$6:$DF$6,'Staff Daily sales'!$G271:$CD271))</f>
        <v>3</v>
      </c>
      <c r="H286">
        <f t="shared" si="91"/>
        <v>1842.92</v>
      </c>
      <c r="I286">
        <f t="shared" si="92"/>
        <v>11</v>
      </c>
      <c r="J286">
        <f t="shared" si="93"/>
        <v>89423.479999999967</v>
      </c>
      <c r="K286">
        <f t="shared" si="94"/>
        <v>413</v>
      </c>
      <c r="L286">
        <f>--AND($E286=1,OR('Staff Dashboard'!$B$6="All",$DH286='Staff Dashboard'!$B$6),OR('Staff Dashboard'!$B$7="All",$D286='Staff Dashboard'!$B$7),OR('Staff Dashboard'!$B$8="All",$A286='Staff Dashboard'!$B$8))</f>
        <v>1</v>
      </c>
      <c r="M286">
        <f>IF($E286=0,0,SUMPRODUCT($AI$7:$DF$7,'Staff Daily sales'!$G271:$CD271))</f>
        <v>0</v>
      </c>
      <c r="N286">
        <f>IF($E286=0,0,SUMPRODUCT($AI$8:$DF$8,'Staff Daily sales'!$G271:$CD271))</f>
        <v>0</v>
      </c>
      <c r="O286">
        <f>IF($E286=0,0,SUMPRODUCT($AI$9:$DF$9,'Staff Daily sales'!$G271:$CD271))</f>
        <v>4305.01</v>
      </c>
      <c r="P286">
        <f>IF($E286=0,0,SUMPRODUCT($AI$10:$DF$10,'Staff Daily sales'!$G271:$CD271))</f>
        <v>24</v>
      </c>
      <c r="Q286">
        <f>IF($E286=0,0,SUMPRODUCT($AI$11:$DF$11,'Staff Daily sales'!$G271:$CD271))</f>
        <v>5072.0400000000009</v>
      </c>
      <c r="R286">
        <f>IF($E286=0,0,SUMPRODUCT($AI$12:$DF$12,'Staff Daily sales'!$G271:$CD271))</f>
        <v>25</v>
      </c>
      <c r="S286">
        <f>IF($E286=0,0,SUMPRODUCT($AI$13:$DF$13,'Staff Daily sales'!$G271:$CD271))</f>
        <v>8812.74</v>
      </c>
      <c r="T286">
        <f>IF($E286=0,0,SUMPRODUCT($AI$14:$DF$14,'Staff Daily sales'!$G271:$CD271))</f>
        <v>34</v>
      </c>
      <c r="U286">
        <f>IF($E286=0,0,SUMPRODUCT($AI$15:$DF$15,'Staff Daily sales'!$G271:$CD271))</f>
        <v>360.98</v>
      </c>
      <c r="V286">
        <f>IF($E286=0,0,SUMPRODUCT($AI$16:$DF$16,'Staff Daily sales'!$G271:$CD271))</f>
        <v>2</v>
      </c>
      <c r="W286">
        <f t="shared" si="95"/>
        <v>13576.3</v>
      </c>
      <c r="X286">
        <f t="shared" si="96"/>
        <v>26228.469999999998</v>
      </c>
      <c r="Y286">
        <f t="shared" si="97"/>
        <v>25757.330000000005</v>
      </c>
      <c r="Z286">
        <f t="shared" si="98"/>
        <v>25205.589999999997</v>
      </c>
      <c r="AA286">
        <f t="shared" si="99"/>
        <v>14104.84</v>
      </c>
      <c r="AB286">
        <f>--AND($E286=1,OR('Staff Weekly Trend'!$B$3="All",$DH286='Staff Weekly Trend'!$B$3),OR('Staff Weekly Trend'!$B$4="All",$D286='Staff Weekly Trend'!$B$4),OR('Staff Weekly Trend'!$B$5="All",$A286='Staff Weekly Trend'!$B$5))</f>
        <v>1</v>
      </c>
      <c r="AC286">
        <f t="shared" si="100"/>
        <v>3</v>
      </c>
      <c r="AI286">
        <f t="shared" si="101"/>
        <v>95</v>
      </c>
      <c r="AJ286">
        <f t="shared" si="102"/>
        <v>136</v>
      </c>
      <c r="AK286">
        <f t="shared" si="103"/>
        <v>140</v>
      </c>
      <c r="AL286">
        <f t="shared" si="104"/>
        <v>115</v>
      </c>
      <c r="AM286">
        <f t="shared" si="105"/>
        <v>19</v>
      </c>
      <c r="DH286" t="str" cm="1">
        <f t="array" ref="DH286">IF($A286="","",_xlfn.LET(_xlpm.c,IFERROR(_xlfn.XLOOKUP($A286,TRIM('Sales and count'!$A$4:$A$300&amp;""),TRIM('Sales and count'!$B$4:$B$300&amp;"")),""),IF(OR(_xlpm.c="",_xlpm.c="0",LEFT(_xlpm.c,1)="#"),"Not set",_xlpm.c)))</f>
        <v>KSA</v>
      </c>
    </row>
    <row r="287" spans="1:112" x14ac:dyDescent="0.25">
      <c r="A287" t="str">
        <f>IF('Staff Daily sales'!$B272="","",TRIM('Staff Daily sales'!$B272&amp;""))</f>
        <v>HAMAJAZCC</v>
      </c>
      <c r="B287" t="str">
        <f>IF('Staff Daily sales'!$D272="","",TRIM('Staff Daily sales'!$D272&amp;""))</f>
        <v>5262-RAlmalki</v>
      </c>
      <c r="C287" t="str">
        <f>IFERROR(TRIM('Staff Daily sales'!$E272&amp;""),"")</f>
        <v>Makkah</v>
      </c>
      <c r="D287" t="str">
        <f>IFERROR(IF(TRIM('Staff Daily sales'!$F272&amp;"")="","Unassigned",TRIM('Staff Daily sales'!$F272&amp;"")),"Unassigned")</f>
        <v>Maram Zamzami</v>
      </c>
      <c r="E287">
        <f t="shared" si="90"/>
        <v>1</v>
      </c>
      <c r="F287">
        <f>IF($E287=0,0,SUMPRODUCT($AI$5:$DF$5,'Staff Daily sales'!$G272:$CD272))</f>
        <v>718.96</v>
      </c>
      <c r="G287">
        <f>IF($E287=0,0,SUMPRODUCT($AI$6:$DF$6,'Staff Daily sales'!$G272:$CD272))</f>
        <v>3</v>
      </c>
      <c r="H287">
        <f t="shared" si="91"/>
        <v>1842.92</v>
      </c>
      <c r="I287">
        <f t="shared" si="92"/>
        <v>11</v>
      </c>
      <c r="J287">
        <f t="shared" si="93"/>
        <v>89423.479999999967</v>
      </c>
      <c r="K287">
        <f t="shared" si="94"/>
        <v>413</v>
      </c>
      <c r="L287">
        <f>--AND($E287=1,OR('Staff Dashboard'!$B$6="All",$DH287='Staff Dashboard'!$B$6),OR('Staff Dashboard'!$B$7="All",$D287='Staff Dashboard'!$B$7),OR('Staff Dashboard'!$B$8="All",$A287='Staff Dashboard'!$B$8))</f>
        <v>1</v>
      </c>
      <c r="M287">
        <f>IF($E287=0,0,SUMPRODUCT($AI$7:$DF$7,'Staff Daily sales'!$G272:$CD272))</f>
        <v>1655.04</v>
      </c>
      <c r="N287">
        <f>IF($E287=0,0,SUMPRODUCT($AI$8:$DF$8,'Staff Daily sales'!$G272:$CD272))</f>
        <v>13</v>
      </c>
      <c r="O287">
        <f>IF($E287=0,0,SUMPRODUCT($AI$9:$DF$9,'Staff Daily sales'!$G272:$CD272))</f>
        <v>5257.09</v>
      </c>
      <c r="P287">
        <f>IF($E287=0,0,SUMPRODUCT($AI$10:$DF$10,'Staff Daily sales'!$G272:$CD272))</f>
        <v>23</v>
      </c>
      <c r="Q287">
        <f>IF($E287=0,0,SUMPRODUCT($AI$11:$DF$11,'Staff Daily sales'!$G272:$CD272))</f>
        <v>3676.0600000000004</v>
      </c>
      <c r="R287">
        <f>IF($E287=0,0,SUMPRODUCT($AI$12:$DF$12,'Staff Daily sales'!$G272:$CD272))</f>
        <v>18</v>
      </c>
      <c r="S287">
        <f>IF($E287=0,0,SUMPRODUCT($AI$13:$DF$13,'Staff Daily sales'!$G272:$CD272))</f>
        <v>4076.98</v>
      </c>
      <c r="T287">
        <f>IF($E287=0,0,SUMPRODUCT($AI$14:$DF$14,'Staff Daily sales'!$G272:$CD272))</f>
        <v>18</v>
      </c>
      <c r="U287">
        <f>IF($E287=0,0,SUMPRODUCT($AI$15:$DF$15,'Staff Daily sales'!$G272:$CD272))</f>
        <v>9539.8000000000011</v>
      </c>
      <c r="V287">
        <f>IF($E287=0,0,SUMPRODUCT($AI$16:$DF$16,'Staff Daily sales'!$G272:$CD272))</f>
        <v>6</v>
      </c>
      <c r="W287">
        <f t="shared" si="95"/>
        <v>13576.3</v>
      </c>
      <c r="X287">
        <f t="shared" si="96"/>
        <v>26228.469999999998</v>
      </c>
      <c r="Y287">
        <f t="shared" si="97"/>
        <v>25757.330000000005</v>
      </c>
      <c r="Z287">
        <f t="shared" si="98"/>
        <v>25205.589999999997</v>
      </c>
      <c r="AA287">
        <f t="shared" si="99"/>
        <v>14104.84</v>
      </c>
      <c r="AB287">
        <f>--AND($E287=1,OR('Staff Weekly Trend'!$B$3="All",$DH287='Staff Weekly Trend'!$B$3),OR('Staff Weekly Trend'!$B$4="All",$D287='Staff Weekly Trend'!$B$4),OR('Staff Weekly Trend'!$B$5="All",$A287='Staff Weekly Trend'!$B$5))</f>
        <v>1</v>
      </c>
      <c r="AC287">
        <f t="shared" si="100"/>
        <v>1</v>
      </c>
      <c r="AI287">
        <f t="shared" si="101"/>
        <v>95</v>
      </c>
      <c r="AJ287">
        <f t="shared" si="102"/>
        <v>136</v>
      </c>
      <c r="AK287">
        <f t="shared" si="103"/>
        <v>140</v>
      </c>
      <c r="AL287">
        <f t="shared" si="104"/>
        <v>115</v>
      </c>
      <c r="AM287">
        <f t="shared" si="105"/>
        <v>19</v>
      </c>
      <c r="DH287" t="str" cm="1">
        <f t="array" ref="DH287">IF($A287="","",_xlfn.LET(_xlpm.c,IFERROR(_xlfn.XLOOKUP($A287,TRIM('Sales and count'!$A$4:$A$300&amp;""),TRIM('Sales and count'!$B$4:$B$300&amp;"")),""),IF(OR(_xlpm.c="",_xlpm.c="0",LEFT(_xlpm.c,1)="#"),"Not set",_xlpm.c)))</f>
        <v>KSA</v>
      </c>
    </row>
    <row r="288" spans="1:112" x14ac:dyDescent="0.25">
      <c r="A288" t="str">
        <f>IF('Staff Daily sales'!$B273="","",TRIM('Staff Daily sales'!$B273&amp;""))</f>
        <v>HAMAJAZCC</v>
      </c>
      <c r="B288" t="str">
        <f>IF('Staff Daily sales'!$D273="","",TRIM('Staff Daily sales'!$D273&amp;""))</f>
        <v>5426-FNajjar</v>
      </c>
      <c r="C288" t="str">
        <f>IFERROR(TRIM('Staff Daily sales'!$E273&amp;""),"")</f>
        <v>Makkah</v>
      </c>
      <c r="D288" t="str">
        <f>IFERROR(IF(TRIM('Staff Daily sales'!$F273&amp;"")="","Unassigned",TRIM('Staff Daily sales'!$F273&amp;"")),"Unassigned")</f>
        <v>Maram Zamzami</v>
      </c>
      <c r="E288">
        <f t="shared" si="90"/>
        <v>1</v>
      </c>
      <c r="F288">
        <f>IF($E288=0,0,SUMPRODUCT($AI$5:$DF$5,'Staff Daily sales'!$G273:$CD273))</f>
        <v>0</v>
      </c>
      <c r="G288">
        <f>IF($E288=0,0,SUMPRODUCT($AI$6:$DF$6,'Staff Daily sales'!$G273:$CD273))</f>
        <v>0</v>
      </c>
      <c r="H288">
        <f t="shared" si="91"/>
        <v>1842.92</v>
      </c>
      <c r="I288">
        <f t="shared" si="92"/>
        <v>11</v>
      </c>
      <c r="J288">
        <f t="shared" si="93"/>
        <v>89423.479999999967</v>
      </c>
      <c r="K288">
        <f t="shared" si="94"/>
        <v>413</v>
      </c>
      <c r="L288">
        <f>--AND($E288=1,OR('Staff Dashboard'!$B$6="All",$DH288='Staff Dashboard'!$B$6),OR('Staff Dashboard'!$B$7="All",$D288='Staff Dashboard'!$B$7),OR('Staff Dashboard'!$B$8="All",$A288='Staff Dashboard'!$B$8))</f>
        <v>1</v>
      </c>
      <c r="M288">
        <f>IF($E288=0,0,SUMPRODUCT($AI$7:$DF$7,'Staff Daily sales'!$G273:$CD273))</f>
        <v>8157.17</v>
      </c>
      <c r="N288">
        <f>IF($E288=0,0,SUMPRODUCT($AI$8:$DF$8,'Staff Daily sales'!$G273:$CD273))</f>
        <v>55</v>
      </c>
      <c r="O288">
        <f>IF($E288=0,0,SUMPRODUCT($AI$9:$DF$9,'Staff Daily sales'!$G273:$CD273))</f>
        <v>9594.25</v>
      </c>
      <c r="P288">
        <f>IF($E288=0,0,SUMPRODUCT($AI$10:$DF$10,'Staff Daily sales'!$G273:$CD273))</f>
        <v>47</v>
      </c>
      <c r="Q288">
        <f>IF($E288=0,0,SUMPRODUCT($AI$11:$DF$11,'Staff Daily sales'!$G273:$CD273))</f>
        <v>7843.1</v>
      </c>
      <c r="R288">
        <f>IF($E288=0,0,SUMPRODUCT($AI$12:$DF$12,'Staff Daily sales'!$G273:$CD273))</f>
        <v>43</v>
      </c>
      <c r="S288">
        <f>IF($E288=0,0,SUMPRODUCT($AI$13:$DF$13,'Staff Daily sales'!$G273:$CD273))</f>
        <v>5668.95</v>
      </c>
      <c r="T288">
        <f>IF($E288=0,0,SUMPRODUCT($AI$14:$DF$14,'Staff Daily sales'!$G273:$CD273))</f>
        <v>27</v>
      </c>
      <c r="U288">
        <f>IF($E288=0,0,SUMPRODUCT($AI$15:$DF$15,'Staff Daily sales'!$G273:$CD273))</f>
        <v>0</v>
      </c>
      <c r="V288">
        <f>IF($E288=0,0,SUMPRODUCT($AI$16:$DF$16,'Staff Daily sales'!$G273:$CD273))</f>
        <v>0</v>
      </c>
      <c r="W288">
        <f t="shared" si="95"/>
        <v>13576.3</v>
      </c>
      <c r="X288">
        <f t="shared" si="96"/>
        <v>26228.469999999998</v>
      </c>
      <c r="Y288">
        <f t="shared" si="97"/>
        <v>25757.330000000005</v>
      </c>
      <c r="Z288">
        <f t="shared" si="98"/>
        <v>25205.589999999997</v>
      </c>
      <c r="AA288">
        <f t="shared" si="99"/>
        <v>14104.84</v>
      </c>
      <c r="AB288">
        <f>--AND($E288=1,OR('Staff Weekly Trend'!$B$3="All",$DH288='Staff Weekly Trend'!$B$3),OR('Staff Weekly Trend'!$B$4="All",$D288='Staff Weekly Trend'!$B$4),OR('Staff Weekly Trend'!$B$5="All",$A288='Staff Weekly Trend'!$B$5))</f>
        <v>1</v>
      </c>
      <c r="AC288" t="str">
        <f t="shared" si="100"/>
        <v/>
      </c>
      <c r="AI288">
        <f t="shared" si="101"/>
        <v>95</v>
      </c>
      <c r="AJ288">
        <f t="shared" si="102"/>
        <v>136</v>
      </c>
      <c r="AK288">
        <f t="shared" si="103"/>
        <v>140</v>
      </c>
      <c r="AL288">
        <f t="shared" si="104"/>
        <v>115</v>
      </c>
      <c r="AM288">
        <f t="shared" si="105"/>
        <v>19</v>
      </c>
      <c r="DH288" t="str" cm="1">
        <f t="array" ref="DH288">IF($A288="","",_xlfn.LET(_xlpm.c,IFERROR(_xlfn.XLOOKUP($A288,TRIM('Sales and count'!$A$4:$A$300&amp;""),TRIM('Sales and count'!$B$4:$B$300&amp;"")),""),IF(OR(_xlpm.c="",_xlpm.c="0",LEFT(_xlpm.c,1)="#"),"Not set",_xlpm.c)))</f>
        <v>KSA</v>
      </c>
    </row>
    <row r="289" spans="1:112" x14ac:dyDescent="0.25">
      <c r="A289" t="str">
        <f>IF('Staff Daily sales'!$B274="","",TRIM('Staff Daily sales'!$B274&amp;""))</f>
        <v>HAMAJAZCC</v>
      </c>
      <c r="B289" t="str">
        <f>IF('Staff Daily sales'!$D274="","",TRIM('Staff Daily sales'!$D274&amp;""))</f>
        <v>6820-HAlyami</v>
      </c>
      <c r="C289" t="str">
        <f>IFERROR(TRIM('Staff Daily sales'!$E274&amp;""),"")</f>
        <v>Makkah</v>
      </c>
      <c r="D289" t="str">
        <f>IFERROR(IF(TRIM('Staff Daily sales'!$F274&amp;"")="","Unassigned",TRIM('Staff Daily sales'!$F274&amp;"")),"Unassigned")</f>
        <v>Maram Zamzami</v>
      </c>
      <c r="E289">
        <f t="shared" si="90"/>
        <v>1</v>
      </c>
      <c r="F289">
        <f>IF($E289=0,0,SUMPRODUCT($AI$5:$DF$5,'Staff Daily sales'!$G274:$CD274))</f>
        <v>685.98</v>
      </c>
      <c r="G289">
        <f>IF($E289=0,0,SUMPRODUCT($AI$6:$DF$6,'Staff Daily sales'!$G274:$CD274))</f>
        <v>5</v>
      </c>
      <c r="H289">
        <f t="shared" si="91"/>
        <v>1842.92</v>
      </c>
      <c r="I289">
        <f t="shared" si="92"/>
        <v>11</v>
      </c>
      <c r="J289">
        <f t="shared" si="93"/>
        <v>89423.479999999967</v>
      </c>
      <c r="K289">
        <f t="shared" si="94"/>
        <v>413</v>
      </c>
      <c r="L289">
        <f>--AND($E289=1,OR('Staff Dashboard'!$B$6="All",$DH289='Staff Dashboard'!$B$6),OR('Staff Dashboard'!$B$7="All",$D289='Staff Dashboard'!$B$7),OR('Staff Dashboard'!$B$8="All",$A289='Staff Dashboard'!$B$8))</f>
        <v>1</v>
      </c>
      <c r="M289">
        <f>IF($E289=0,0,SUMPRODUCT($AI$7:$DF$7,'Staff Daily sales'!$G274:$CD274))</f>
        <v>3764.09</v>
      </c>
      <c r="N289">
        <f>IF($E289=0,0,SUMPRODUCT($AI$8:$DF$8,'Staff Daily sales'!$G274:$CD274))</f>
        <v>27</v>
      </c>
      <c r="O289">
        <f>IF($E289=0,0,SUMPRODUCT($AI$9:$DF$9,'Staff Daily sales'!$G274:$CD274))</f>
        <v>7072.12</v>
      </c>
      <c r="P289">
        <f>IF($E289=0,0,SUMPRODUCT($AI$10:$DF$10,'Staff Daily sales'!$G274:$CD274))</f>
        <v>42</v>
      </c>
      <c r="Q289">
        <f>IF($E289=0,0,SUMPRODUCT($AI$11:$DF$11,'Staff Daily sales'!$G274:$CD274))</f>
        <v>9166.130000000001</v>
      </c>
      <c r="R289">
        <f>IF($E289=0,0,SUMPRODUCT($AI$12:$DF$12,'Staff Daily sales'!$G274:$CD274))</f>
        <v>54</v>
      </c>
      <c r="S289">
        <f>IF($E289=0,0,SUMPRODUCT($AI$13:$DF$13,'Staff Daily sales'!$G274:$CD274))</f>
        <v>6646.92</v>
      </c>
      <c r="T289">
        <f>IF($E289=0,0,SUMPRODUCT($AI$14:$DF$14,'Staff Daily sales'!$G274:$CD274))</f>
        <v>36</v>
      </c>
      <c r="U289">
        <f>IF($E289=0,0,SUMPRODUCT($AI$15:$DF$15,'Staff Daily sales'!$G274:$CD274))</f>
        <v>4204.0600000000004</v>
      </c>
      <c r="V289">
        <f>IF($E289=0,0,SUMPRODUCT($AI$16:$DF$16,'Staff Daily sales'!$G274:$CD274))</f>
        <v>11</v>
      </c>
      <c r="W289">
        <f t="shared" si="95"/>
        <v>13576.3</v>
      </c>
      <c r="X289">
        <f t="shared" si="96"/>
        <v>26228.469999999998</v>
      </c>
      <c r="Y289">
        <f t="shared" si="97"/>
        <v>25757.330000000005</v>
      </c>
      <c r="Z289">
        <f t="shared" si="98"/>
        <v>25205.589999999997</v>
      </c>
      <c r="AA289">
        <f t="shared" si="99"/>
        <v>14104.84</v>
      </c>
      <c r="AB289">
        <f>--AND($E289=1,OR('Staff Weekly Trend'!$B$3="All",$DH289='Staff Weekly Trend'!$B$3),OR('Staff Weekly Trend'!$B$4="All",$D289='Staff Weekly Trend'!$B$4),OR('Staff Weekly Trend'!$B$5="All",$A289='Staff Weekly Trend'!$B$5))</f>
        <v>1</v>
      </c>
      <c r="AC289">
        <f t="shared" si="100"/>
        <v>2</v>
      </c>
      <c r="AI289">
        <f t="shared" si="101"/>
        <v>95</v>
      </c>
      <c r="AJ289">
        <f t="shared" si="102"/>
        <v>136</v>
      </c>
      <c r="AK289">
        <f t="shared" si="103"/>
        <v>140</v>
      </c>
      <c r="AL289">
        <f t="shared" si="104"/>
        <v>115</v>
      </c>
      <c r="AM289">
        <f t="shared" si="105"/>
        <v>19</v>
      </c>
      <c r="DH289" t="str" cm="1">
        <f t="array" ref="DH289">IF($A289="","",_xlfn.LET(_xlpm.c,IFERROR(_xlfn.XLOOKUP($A289,TRIM('Sales and count'!$A$4:$A$300&amp;""),TRIM('Sales and count'!$B$4:$B$300&amp;"")),""),IF(OR(_xlpm.c="",_xlpm.c="0",LEFT(_xlpm.c,1)="#"),"Not set",_xlpm.c)))</f>
        <v>KSA</v>
      </c>
    </row>
    <row r="290" spans="1:112" x14ac:dyDescent="0.25">
      <c r="A290" t="str">
        <f>IF('Staff Daily sales'!$B275="","",TRIM('Staff Daily sales'!$B275&amp;""))</f>
        <v>HAQATIFCC</v>
      </c>
      <c r="B290" t="str">
        <f>IF('Staff Daily sales'!$D275="","",TRIM('Staff Daily sales'!$D275&amp;""))</f>
        <v>5084-AAlMohsin</v>
      </c>
      <c r="C290" t="str">
        <f>IFERROR(TRIM('Staff Daily sales'!$E275&amp;""),"")</f>
        <v>Qatif</v>
      </c>
      <c r="D290" t="str">
        <f>IFERROR(IF(TRIM('Staff Daily sales'!$F275&amp;"")="","Unassigned",TRIM('Staff Daily sales'!$F275&amp;"")),"Unassigned")</f>
        <v>Hamzah Al Makhadam</v>
      </c>
      <c r="E290">
        <f t="shared" si="90"/>
        <v>1</v>
      </c>
      <c r="F290">
        <f>IF($E290=0,0,SUMPRODUCT($AI$5:$DF$5,'Staff Daily sales'!$G275:$CD275))</f>
        <v>0</v>
      </c>
      <c r="G290">
        <f>IF($E290=0,0,SUMPRODUCT($AI$6:$DF$6,'Staff Daily sales'!$G275:$CD275))</f>
        <v>0</v>
      </c>
      <c r="H290">
        <f t="shared" si="91"/>
        <v>435.98</v>
      </c>
      <c r="I290">
        <f t="shared" si="92"/>
        <v>3</v>
      </c>
      <c r="J290">
        <f t="shared" si="93"/>
        <v>128104.23999999996</v>
      </c>
      <c r="K290">
        <f t="shared" si="94"/>
        <v>596</v>
      </c>
      <c r="L290">
        <f>--AND($E290=1,OR('Staff Dashboard'!$B$6="All",$DH290='Staff Dashboard'!$B$6),OR('Staff Dashboard'!$B$7="All",$D290='Staff Dashboard'!$B$7),OR('Staff Dashboard'!$B$8="All",$A290='Staff Dashboard'!$B$8))</f>
        <v>0</v>
      </c>
      <c r="M290">
        <f>IF($E290=0,0,SUMPRODUCT($AI$7:$DF$7,'Staff Daily sales'!$G275:$CD275))</f>
        <v>0</v>
      </c>
      <c r="N290">
        <f>IF($E290=0,0,SUMPRODUCT($AI$8:$DF$8,'Staff Daily sales'!$G275:$CD275))</f>
        <v>0</v>
      </c>
      <c r="O290">
        <f>IF($E290=0,0,SUMPRODUCT($AI$9:$DF$9,'Staff Daily sales'!$G275:$CD275))</f>
        <v>0</v>
      </c>
      <c r="P290">
        <f>IF($E290=0,0,SUMPRODUCT($AI$10:$DF$10,'Staff Daily sales'!$G275:$CD275))</f>
        <v>0</v>
      </c>
      <c r="Q290">
        <f>IF($E290=0,0,SUMPRODUCT($AI$11:$DF$11,'Staff Daily sales'!$G275:$CD275))</f>
        <v>2938.0600000000004</v>
      </c>
      <c r="R290">
        <f>IF($E290=0,0,SUMPRODUCT($AI$12:$DF$12,'Staff Daily sales'!$G275:$CD275))</f>
        <v>17</v>
      </c>
      <c r="S290">
        <f>IF($E290=0,0,SUMPRODUCT($AI$13:$DF$13,'Staff Daily sales'!$G275:$CD275))</f>
        <v>2223.0500000000002</v>
      </c>
      <c r="T290">
        <f>IF($E290=0,0,SUMPRODUCT($AI$14:$DF$14,'Staff Daily sales'!$G275:$CD275))</f>
        <v>14</v>
      </c>
      <c r="U290">
        <f>IF($E290=0,0,SUMPRODUCT($AI$15:$DF$15,'Staff Daily sales'!$G275:$CD275))</f>
        <v>896.99</v>
      </c>
      <c r="V290">
        <f>IF($E290=0,0,SUMPRODUCT($AI$16:$DF$16,'Staff Daily sales'!$G275:$CD275))</f>
        <v>5</v>
      </c>
      <c r="W290">
        <f t="shared" si="95"/>
        <v>13407.220000000001</v>
      </c>
      <c r="X290">
        <f t="shared" si="96"/>
        <v>26390.749999999996</v>
      </c>
      <c r="Y290">
        <f t="shared" si="97"/>
        <v>20754.440000000002</v>
      </c>
      <c r="Z290">
        <f t="shared" si="98"/>
        <v>11607.09</v>
      </c>
      <c r="AA290">
        <f t="shared" si="99"/>
        <v>5348.9500000000007</v>
      </c>
      <c r="AB290">
        <f>--AND($E290=1,OR('Staff Weekly Trend'!$B$3="All",$DH290='Staff Weekly Trend'!$B$3),OR('Staff Weekly Trend'!$B$4="All",$D290='Staff Weekly Trend'!$B$4),OR('Staff Weekly Trend'!$B$5="All",$A290='Staff Weekly Trend'!$B$5))</f>
        <v>1</v>
      </c>
      <c r="AC290" t="str">
        <f t="shared" si="100"/>
        <v/>
      </c>
      <c r="AI290">
        <f t="shared" si="101"/>
        <v>80</v>
      </c>
      <c r="AJ290">
        <f t="shared" si="102"/>
        <v>113</v>
      </c>
      <c r="AK290">
        <f t="shared" si="103"/>
        <v>100</v>
      </c>
      <c r="AL290">
        <f t="shared" si="104"/>
        <v>66</v>
      </c>
      <c r="AM290">
        <f t="shared" si="105"/>
        <v>16</v>
      </c>
      <c r="DH290" t="str" cm="1">
        <f t="array" ref="DH290">IF($A290="","",_xlfn.LET(_xlpm.c,IFERROR(_xlfn.XLOOKUP($A290,TRIM('Sales and count'!$A$4:$A$300&amp;""),TRIM('Sales and count'!$B$4:$B$300&amp;"")),""),IF(OR(_xlpm.c="",_xlpm.c="0",LEFT(_xlpm.c,1)="#"),"Not set",_xlpm.c)))</f>
        <v>KSA</v>
      </c>
    </row>
    <row r="291" spans="1:112" x14ac:dyDescent="0.25">
      <c r="A291" t="str">
        <f>IF('Staff Daily sales'!$B276="","",TRIM('Staff Daily sales'!$B276&amp;""))</f>
        <v>HAQATIFCC</v>
      </c>
      <c r="B291" t="str">
        <f>IF('Staff Daily sales'!$D276="","",TRIM('Staff Daily sales'!$D276&amp;""))</f>
        <v>5088-AAlnasser</v>
      </c>
      <c r="C291" t="str">
        <f>IFERROR(TRIM('Staff Daily sales'!$E276&amp;""),"")</f>
        <v>Qatif</v>
      </c>
      <c r="D291" t="str">
        <f>IFERROR(IF(TRIM('Staff Daily sales'!$F276&amp;"")="","Unassigned",TRIM('Staff Daily sales'!$F276&amp;"")),"Unassigned")</f>
        <v>Hamzah Al Makhadam</v>
      </c>
      <c r="E291">
        <f t="shared" si="90"/>
        <v>1</v>
      </c>
      <c r="F291">
        <f>IF($E291=0,0,SUMPRODUCT($AI$5:$DF$5,'Staff Daily sales'!$G276:$CD276))</f>
        <v>210.98</v>
      </c>
      <c r="G291">
        <f>IF($E291=0,0,SUMPRODUCT($AI$6:$DF$6,'Staff Daily sales'!$G276:$CD276))</f>
        <v>1</v>
      </c>
      <c r="H291">
        <f t="shared" si="91"/>
        <v>435.98</v>
      </c>
      <c r="I291">
        <f t="shared" si="92"/>
        <v>3</v>
      </c>
      <c r="J291">
        <f t="shared" si="93"/>
        <v>128104.23999999996</v>
      </c>
      <c r="K291">
        <f t="shared" si="94"/>
        <v>596</v>
      </c>
      <c r="L291">
        <f>--AND($E291=1,OR('Staff Dashboard'!$B$6="All",$DH291='Staff Dashboard'!$B$6),OR('Staff Dashboard'!$B$7="All",$D291='Staff Dashboard'!$B$7),OR('Staff Dashboard'!$B$8="All",$A291='Staff Dashboard'!$B$8))</f>
        <v>0</v>
      </c>
      <c r="M291">
        <f>IF($E291=0,0,SUMPRODUCT($AI$7:$DF$7,'Staff Daily sales'!$G276:$CD276))</f>
        <v>8256.16</v>
      </c>
      <c r="N291">
        <f>IF($E291=0,0,SUMPRODUCT($AI$8:$DF$8,'Staff Daily sales'!$G276:$CD276))</f>
        <v>49</v>
      </c>
      <c r="O291">
        <f>IF($E291=0,0,SUMPRODUCT($AI$9:$DF$9,'Staff Daily sales'!$G276:$CD276))</f>
        <v>8669.24</v>
      </c>
      <c r="P291">
        <f>IF($E291=0,0,SUMPRODUCT($AI$10:$DF$10,'Staff Daily sales'!$G276:$CD276))</f>
        <v>50</v>
      </c>
      <c r="Q291">
        <f>IF($E291=0,0,SUMPRODUCT($AI$11:$DF$11,'Staff Daily sales'!$G276:$CD276))</f>
        <v>5352.1399999999994</v>
      </c>
      <c r="R291">
        <f>IF($E291=0,0,SUMPRODUCT($AI$12:$DF$12,'Staff Daily sales'!$G276:$CD276))</f>
        <v>37</v>
      </c>
      <c r="S291">
        <f>IF($E291=0,0,SUMPRODUCT($AI$13:$DF$13,'Staff Daily sales'!$G276:$CD276))</f>
        <v>5052.9999999999991</v>
      </c>
      <c r="T291">
        <f>IF($E291=0,0,SUMPRODUCT($AI$14:$DF$14,'Staff Daily sales'!$G276:$CD276))</f>
        <v>29</v>
      </c>
      <c r="U291">
        <f>IF($E291=0,0,SUMPRODUCT($AI$15:$DF$15,'Staff Daily sales'!$G276:$CD276))</f>
        <v>1805.02</v>
      </c>
      <c r="V291">
        <f>IF($E291=0,0,SUMPRODUCT($AI$16:$DF$16,'Staff Daily sales'!$G276:$CD276))</f>
        <v>7</v>
      </c>
      <c r="W291">
        <f t="shared" si="95"/>
        <v>13407.220000000001</v>
      </c>
      <c r="X291">
        <f t="shared" si="96"/>
        <v>26390.749999999996</v>
      </c>
      <c r="Y291">
        <f t="shared" si="97"/>
        <v>20754.440000000002</v>
      </c>
      <c r="Z291">
        <f t="shared" si="98"/>
        <v>11607.09</v>
      </c>
      <c r="AA291">
        <f t="shared" si="99"/>
        <v>5348.9500000000007</v>
      </c>
      <c r="AB291">
        <f>--AND($E291=1,OR('Staff Weekly Trend'!$B$3="All",$DH291='Staff Weekly Trend'!$B$3),OR('Staff Weekly Trend'!$B$4="All",$D291='Staff Weekly Trend'!$B$4),OR('Staff Weekly Trend'!$B$5="All",$A291='Staff Weekly Trend'!$B$5))</f>
        <v>1</v>
      </c>
      <c r="AC291">
        <f t="shared" si="100"/>
        <v>2</v>
      </c>
      <c r="AI291">
        <f t="shared" si="101"/>
        <v>80</v>
      </c>
      <c r="AJ291">
        <f t="shared" si="102"/>
        <v>113</v>
      </c>
      <c r="AK291">
        <f t="shared" si="103"/>
        <v>100</v>
      </c>
      <c r="AL291">
        <f t="shared" si="104"/>
        <v>66</v>
      </c>
      <c r="AM291">
        <f t="shared" si="105"/>
        <v>16</v>
      </c>
      <c r="DH291" t="str" cm="1">
        <f t="array" ref="DH291">IF($A291="","",_xlfn.LET(_xlpm.c,IFERROR(_xlfn.XLOOKUP($A291,TRIM('Sales and count'!$A$4:$A$300&amp;""),TRIM('Sales and count'!$B$4:$B$300&amp;"")),""),IF(OR(_xlpm.c="",_xlpm.c="0",LEFT(_xlpm.c,1)="#"),"Not set",_xlpm.c)))</f>
        <v>KSA</v>
      </c>
    </row>
    <row r="292" spans="1:112" x14ac:dyDescent="0.25">
      <c r="A292" t="str">
        <f>IF('Staff Daily sales'!$B277="","",TRIM('Staff Daily sales'!$B277&amp;""))</f>
        <v>HAQATIFCC</v>
      </c>
      <c r="B292" t="str">
        <f>IF('Staff Daily sales'!$D277="","",TRIM('Staff Daily sales'!$D277&amp;""))</f>
        <v>5089-HHanbobah</v>
      </c>
      <c r="C292" t="str">
        <f>IFERROR(TRIM('Staff Daily sales'!$E277&amp;""),"")</f>
        <v>Qatif</v>
      </c>
      <c r="D292" t="str">
        <f>IFERROR(IF(TRIM('Staff Daily sales'!$F277&amp;"")="","Unassigned",TRIM('Staff Daily sales'!$F277&amp;"")),"Unassigned")</f>
        <v>Hamzah Al Makhadam</v>
      </c>
      <c r="E292">
        <f t="shared" si="90"/>
        <v>1</v>
      </c>
      <c r="F292">
        <f>IF($E292=0,0,SUMPRODUCT($AI$5:$DF$5,'Staff Daily sales'!$G277:$CD277))</f>
        <v>225</v>
      </c>
      <c r="G292">
        <f>IF($E292=0,0,SUMPRODUCT($AI$6:$DF$6,'Staff Daily sales'!$G277:$CD277))</f>
        <v>2</v>
      </c>
      <c r="H292">
        <f t="shared" si="91"/>
        <v>435.98</v>
      </c>
      <c r="I292">
        <f t="shared" si="92"/>
        <v>3</v>
      </c>
      <c r="J292">
        <f t="shared" si="93"/>
        <v>128104.23999999996</v>
      </c>
      <c r="K292">
        <f t="shared" si="94"/>
        <v>596</v>
      </c>
      <c r="L292">
        <f>--AND($E292=1,OR('Staff Dashboard'!$B$6="All",$DH292='Staff Dashboard'!$B$6),OR('Staff Dashboard'!$B$7="All",$D292='Staff Dashboard'!$B$7),OR('Staff Dashboard'!$B$8="All",$A292='Staff Dashboard'!$B$8))</f>
        <v>0</v>
      </c>
      <c r="M292">
        <f>IF($E292=0,0,SUMPRODUCT($AI$7:$DF$7,'Staff Daily sales'!$G277:$CD277))</f>
        <v>3007.01</v>
      </c>
      <c r="N292">
        <f>IF($E292=0,0,SUMPRODUCT($AI$8:$DF$8,'Staff Daily sales'!$G277:$CD277))</f>
        <v>14</v>
      </c>
      <c r="O292">
        <f>IF($E292=0,0,SUMPRODUCT($AI$9:$DF$9,'Staff Daily sales'!$G277:$CD277))</f>
        <v>16038.46</v>
      </c>
      <c r="P292">
        <f>IF($E292=0,0,SUMPRODUCT($AI$10:$DF$10,'Staff Daily sales'!$G277:$CD277))</f>
        <v>53</v>
      </c>
      <c r="Q292">
        <f>IF($E292=0,0,SUMPRODUCT($AI$11:$DF$11,'Staff Daily sales'!$G277:$CD277))</f>
        <v>10398.17</v>
      </c>
      <c r="R292">
        <f>IF($E292=0,0,SUMPRODUCT($AI$12:$DF$12,'Staff Daily sales'!$G277:$CD277))</f>
        <v>36</v>
      </c>
      <c r="S292">
        <f>IF($E292=0,0,SUMPRODUCT($AI$13:$DF$13,'Staff Daily sales'!$G277:$CD277))</f>
        <v>4331.0400000000009</v>
      </c>
      <c r="T292">
        <f>IF($E292=0,0,SUMPRODUCT($AI$14:$DF$14,'Staff Daily sales'!$G277:$CD277))</f>
        <v>23</v>
      </c>
      <c r="U292">
        <f>IF($E292=0,0,SUMPRODUCT($AI$15:$DF$15,'Staff Daily sales'!$G277:$CD277))</f>
        <v>2646.94</v>
      </c>
      <c r="V292">
        <f>IF($E292=0,0,SUMPRODUCT($AI$16:$DF$16,'Staff Daily sales'!$G277:$CD277))</f>
        <v>4</v>
      </c>
      <c r="W292">
        <f t="shared" si="95"/>
        <v>13407.220000000001</v>
      </c>
      <c r="X292">
        <f t="shared" si="96"/>
        <v>26390.749999999996</v>
      </c>
      <c r="Y292">
        <f t="shared" si="97"/>
        <v>20754.440000000002</v>
      </c>
      <c r="Z292">
        <f t="shared" si="98"/>
        <v>11607.09</v>
      </c>
      <c r="AA292">
        <f t="shared" si="99"/>
        <v>5348.9500000000007</v>
      </c>
      <c r="AB292">
        <f>--AND($E292=1,OR('Staff Weekly Trend'!$B$3="All",$DH292='Staff Weekly Trend'!$B$3),OR('Staff Weekly Trend'!$B$4="All",$D292='Staff Weekly Trend'!$B$4),OR('Staff Weekly Trend'!$B$5="All",$A292='Staff Weekly Trend'!$B$5))</f>
        <v>1</v>
      </c>
      <c r="AC292">
        <f t="shared" si="100"/>
        <v>1</v>
      </c>
      <c r="AI292">
        <f t="shared" si="101"/>
        <v>80</v>
      </c>
      <c r="AJ292">
        <f t="shared" si="102"/>
        <v>113</v>
      </c>
      <c r="AK292">
        <f t="shared" si="103"/>
        <v>100</v>
      </c>
      <c r="AL292">
        <f t="shared" si="104"/>
        <v>66</v>
      </c>
      <c r="AM292">
        <f t="shared" si="105"/>
        <v>16</v>
      </c>
      <c r="DH292" t="str" cm="1">
        <f t="array" ref="DH292">IF($A292="","",_xlfn.LET(_xlpm.c,IFERROR(_xlfn.XLOOKUP($A292,TRIM('Sales and count'!$A$4:$A$300&amp;""),TRIM('Sales and count'!$B$4:$B$300&amp;"")),""),IF(OR(_xlpm.c="",_xlpm.c="0",LEFT(_xlpm.c,1)="#"),"Not set",_xlpm.c)))</f>
        <v>KSA</v>
      </c>
    </row>
    <row r="293" spans="1:112" x14ac:dyDescent="0.25">
      <c r="A293" t="str">
        <f>IF('Staff Daily sales'!$B278="","",TRIM('Staff Daily sales'!$B278&amp;""))</f>
        <v>HAQATIFCC</v>
      </c>
      <c r="B293" t="str">
        <f>IF('Staff Daily sales'!$D278="","",TRIM('Staff Daily sales'!$D278&amp;""))</f>
        <v>5304-AAlsabi</v>
      </c>
      <c r="C293" t="str">
        <f>IFERROR(TRIM('Staff Daily sales'!$E278&amp;""),"")</f>
        <v>Qatif</v>
      </c>
      <c r="D293" t="str">
        <f>IFERROR(IF(TRIM('Staff Daily sales'!$F278&amp;"")="","Unassigned",TRIM('Staff Daily sales'!$F278&amp;"")),"Unassigned")</f>
        <v>Hamzah Al Makhadam</v>
      </c>
      <c r="E293">
        <f t="shared" si="90"/>
        <v>1</v>
      </c>
      <c r="F293">
        <f>IF($E293=0,0,SUMPRODUCT($AI$5:$DF$5,'Staff Daily sales'!$G278:$CD278))</f>
        <v>0</v>
      </c>
      <c r="G293">
        <f>IF($E293=0,0,SUMPRODUCT($AI$6:$DF$6,'Staff Daily sales'!$G278:$CD278))</f>
        <v>0</v>
      </c>
      <c r="H293">
        <f t="shared" si="91"/>
        <v>435.98</v>
      </c>
      <c r="I293">
        <f t="shared" si="92"/>
        <v>3</v>
      </c>
      <c r="J293">
        <f t="shared" si="93"/>
        <v>128104.23999999996</v>
      </c>
      <c r="K293">
        <f t="shared" si="94"/>
        <v>596</v>
      </c>
      <c r="L293">
        <f>--AND($E293=1,OR('Staff Dashboard'!$B$6="All",$DH293='Staff Dashboard'!$B$6),OR('Staff Dashboard'!$B$7="All",$D293='Staff Dashboard'!$B$7),OR('Staff Dashboard'!$B$8="All",$A293='Staff Dashboard'!$B$8))</f>
        <v>0</v>
      </c>
      <c r="M293">
        <f>IF($E293=0,0,SUMPRODUCT($AI$7:$DF$7,'Staff Daily sales'!$G278:$CD278))</f>
        <v>2144.0500000000002</v>
      </c>
      <c r="N293">
        <f>IF($E293=0,0,SUMPRODUCT($AI$8:$DF$8,'Staff Daily sales'!$G278:$CD278))</f>
        <v>17</v>
      </c>
      <c r="O293">
        <f>IF($E293=0,0,SUMPRODUCT($AI$9:$DF$9,'Staff Daily sales'!$G278:$CD278))</f>
        <v>1683.05</v>
      </c>
      <c r="P293">
        <f>IF($E293=0,0,SUMPRODUCT($AI$10:$DF$10,'Staff Daily sales'!$G278:$CD278))</f>
        <v>10</v>
      </c>
      <c r="Q293">
        <f>IF($E293=0,0,SUMPRODUCT($AI$11:$DF$11,'Staff Daily sales'!$G278:$CD278))</f>
        <v>2066.0700000000002</v>
      </c>
      <c r="R293">
        <f>IF($E293=0,0,SUMPRODUCT($AI$12:$DF$12,'Staff Daily sales'!$G278:$CD278))</f>
        <v>10</v>
      </c>
      <c r="S293">
        <f>IF($E293=0,0,SUMPRODUCT($AI$13:$DF$13,'Staff Daily sales'!$G278:$CD278))</f>
        <v>0</v>
      </c>
      <c r="T293">
        <f>IF($E293=0,0,SUMPRODUCT($AI$14:$DF$14,'Staff Daily sales'!$G278:$CD278))</f>
        <v>0</v>
      </c>
      <c r="U293">
        <f>IF($E293=0,0,SUMPRODUCT($AI$15:$DF$15,'Staff Daily sales'!$G278:$CD278))</f>
        <v>0</v>
      </c>
      <c r="V293">
        <f>IF($E293=0,0,SUMPRODUCT($AI$16:$DF$16,'Staff Daily sales'!$G278:$CD278))</f>
        <v>0</v>
      </c>
      <c r="W293">
        <f t="shared" si="95"/>
        <v>13407.220000000001</v>
      </c>
      <c r="X293">
        <f t="shared" si="96"/>
        <v>26390.749999999996</v>
      </c>
      <c r="Y293">
        <f t="shared" si="97"/>
        <v>20754.440000000002</v>
      </c>
      <c r="Z293">
        <f t="shared" si="98"/>
        <v>11607.09</v>
      </c>
      <c r="AA293">
        <f t="shared" si="99"/>
        <v>5348.9500000000007</v>
      </c>
      <c r="AB293">
        <f>--AND($E293=1,OR('Staff Weekly Trend'!$B$3="All",$DH293='Staff Weekly Trend'!$B$3),OR('Staff Weekly Trend'!$B$4="All",$D293='Staff Weekly Trend'!$B$4),OR('Staff Weekly Trend'!$B$5="All",$A293='Staff Weekly Trend'!$B$5))</f>
        <v>1</v>
      </c>
      <c r="AC293" t="str">
        <f t="shared" si="100"/>
        <v/>
      </c>
      <c r="AI293">
        <f t="shared" si="101"/>
        <v>80</v>
      </c>
      <c r="AJ293">
        <f t="shared" si="102"/>
        <v>113</v>
      </c>
      <c r="AK293">
        <f t="shared" si="103"/>
        <v>100</v>
      </c>
      <c r="AL293">
        <f t="shared" si="104"/>
        <v>66</v>
      </c>
      <c r="AM293">
        <f t="shared" si="105"/>
        <v>16</v>
      </c>
      <c r="DH293" t="str" cm="1">
        <f t="array" ref="DH293">IF($A293="","",_xlfn.LET(_xlpm.c,IFERROR(_xlfn.XLOOKUP($A293,TRIM('Sales and count'!$A$4:$A$300&amp;""),TRIM('Sales and count'!$B$4:$B$300&amp;"")),""),IF(OR(_xlpm.c="",_xlpm.c="0",LEFT(_xlpm.c,1)="#"),"Not set",_xlpm.c)))</f>
        <v>KSA</v>
      </c>
    </row>
    <row r="294" spans="1:112" x14ac:dyDescent="0.25">
      <c r="A294" t="str">
        <f>IF('Staff Daily sales'!$B279="","",TRIM('Staff Daily sales'!$B279&amp;""))</f>
        <v>HAOTRABWAH</v>
      </c>
      <c r="B294" t="str">
        <f>IF('Staff Daily sales'!$D279="","",TRIM('Staff Daily sales'!$D279&amp;""))</f>
        <v>3023-Saleh Alhamad</v>
      </c>
      <c r="C294" t="str">
        <f>IFERROR(TRIM('Staff Daily sales'!$E279&amp;""),"")</f>
        <v>Riyadh</v>
      </c>
      <c r="D294" t="str">
        <f>IFERROR(IF(TRIM('Staff Daily sales'!$F279&amp;"")="","Unassigned",TRIM('Staff Daily sales'!$F279&amp;"")),"Unassigned")</f>
        <v>Mohammed Sanad</v>
      </c>
      <c r="E294">
        <f t="shared" si="90"/>
        <v>1</v>
      </c>
      <c r="F294">
        <f>IF($E294=0,0,SUMPRODUCT($AI$5:$DF$5,'Staff Daily sales'!$G279:$CD279))</f>
        <v>0</v>
      </c>
      <c r="G294">
        <f>IF($E294=0,0,SUMPRODUCT($AI$6:$DF$6,'Staff Daily sales'!$G279:$CD279))</f>
        <v>0</v>
      </c>
      <c r="H294">
        <f t="shared" si="91"/>
        <v>3713.7299999999996</v>
      </c>
      <c r="I294">
        <f t="shared" si="92"/>
        <v>16</v>
      </c>
      <c r="J294">
        <f t="shared" si="93"/>
        <v>64682.640000000014</v>
      </c>
      <c r="K294">
        <f t="shared" si="94"/>
        <v>326</v>
      </c>
      <c r="L294">
        <f>--AND($E294=1,OR('Staff Dashboard'!$B$6="All",$DH294='Staff Dashboard'!$B$6),OR('Staff Dashboard'!$B$7="All",$D294='Staff Dashboard'!$B$7),OR('Staff Dashboard'!$B$8="All",$A294='Staff Dashboard'!$B$8))</f>
        <v>0</v>
      </c>
      <c r="M294">
        <f>IF($E294=0,0,SUMPRODUCT($AI$7:$DF$7,'Staff Daily sales'!$G279:$CD279))</f>
        <v>6014.1</v>
      </c>
      <c r="N294">
        <f>IF($E294=0,0,SUMPRODUCT($AI$8:$DF$8,'Staff Daily sales'!$G279:$CD279))</f>
        <v>47</v>
      </c>
      <c r="O294">
        <f>IF($E294=0,0,SUMPRODUCT($AI$9:$DF$9,'Staff Daily sales'!$G279:$CD279))</f>
        <v>3812.04</v>
      </c>
      <c r="P294">
        <f>IF($E294=0,0,SUMPRODUCT($AI$10:$DF$10,'Staff Daily sales'!$G279:$CD279))</f>
        <v>30</v>
      </c>
      <c r="Q294">
        <f>IF($E294=0,0,SUMPRODUCT($AI$11:$DF$11,'Staff Daily sales'!$G279:$CD279))</f>
        <v>8877.1200000000008</v>
      </c>
      <c r="R294">
        <f>IF($E294=0,0,SUMPRODUCT($AI$12:$DF$12,'Staff Daily sales'!$G279:$CD279))</f>
        <v>70</v>
      </c>
      <c r="S294">
        <f>IF($E294=0,0,SUMPRODUCT($AI$13:$DF$13,'Staff Daily sales'!$G279:$CD279))</f>
        <v>6568.0599999999995</v>
      </c>
      <c r="T294">
        <f>IF($E294=0,0,SUMPRODUCT($AI$14:$DF$14,'Staff Daily sales'!$G279:$CD279))</f>
        <v>40</v>
      </c>
      <c r="U294">
        <f>IF($E294=0,0,SUMPRODUCT($AI$15:$DF$15,'Staff Daily sales'!$G279:$CD279))</f>
        <v>1611</v>
      </c>
      <c r="V294">
        <f>IF($E294=0,0,SUMPRODUCT($AI$16:$DF$16,'Staff Daily sales'!$G279:$CD279))</f>
        <v>11</v>
      </c>
      <c r="W294">
        <f t="shared" si="95"/>
        <v>18218.330000000002</v>
      </c>
      <c r="X294">
        <f t="shared" si="96"/>
        <v>22209.37</v>
      </c>
      <c r="Y294">
        <f t="shared" si="97"/>
        <v>19295.34</v>
      </c>
      <c r="Z294">
        <f t="shared" si="98"/>
        <v>18035.64</v>
      </c>
      <c r="AA294">
        <f t="shared" si="99"/>
        <v>4347.1000000000004</v>
      </c>
      <c r="AB294">
        <f>--AND($E294=1,OR('Staff Weekly Trend'!$B$3="All",$DH294='Staff Weekly Trend'!$B$3),OR('Staff Weekly Trend'!$B$4="All",$D294='Staff Weekly Trend'!$B$4),OR('Staff Weekly Trend'!$B$5="All",$A294='Staff Weekly Trend'!$B$5))</f>
        <v>1</v>
      </c>
      <c r="AC294" t="str">
        <f t="shared" si="100"/>
        <v/>
      </c>
      <c r="AI294">
        <f t="shared" si="101"/>
        <v>130</v>
      </c>
      <c r="AJ294">
        <f t="shared" si="102"/>
        <v>181</v>
      </c>
      <c r="AK294">
        <f t="shared" si="103"/>
        <v>157</v>
      </c>
      <c r="AL294">
        <f t="shared" si="104"/>
        <v>108</v>
      </c>
      <c r="AM294">
        <f t="shared" si="105"/>
        <v>32</v>
      </c>
      <c r="DH294" t="str" cm="1">
        <f t="array" ref="DH294">IF($A294="","",_xlfn.LET(_xlpm.c,IFERROR(_xlfn.XLOOKUP($A294,TRIM('Sales and count'!$A$4:$A$300&amp;""),TRIM('Sales and count'!$B$4:$B$300&amp;"")),""),IF(OR(_xlpm.c="",_xlpm.c="0",LEFT(_xlpm.c,1)="#"),"Not set",_xlpm.c)))</f>
        <v>KSA</v>
      </c>
    </row>
    <row r="295" spans="1:112" x14ac:dyDescent="0.25">
      <c r="A295" t="str">
        <f>IF('Staff Daily sales'!$B280="","",TRIM('Staff Daily sales'!$B280&amp;""))</f>
        <v>HAOTRABWAH</v>
      </c>
      <c r="B295" t="str">
        <f>IF('Staff Daily sales'!$D280="","",TRIM('Staff Daily sales'!$D280&amp;""))</f>
        <v>4500-Aghazi</v>
      </c>
      <c r="C295" t="str">
        <f>IFERROR(TRIM('Staff Daily sales'!$E280&amp;""),"")</f>
        <v>Riyadh</v>
      </c>
      <c r="D295" t="str">
        <f>IFERROR(IF(TRIM('Staff Daily sales'!$F280&amp;"")="","Unassigned",TRIM('Staff Daily sales'!$F280&amp;"")),"Unassigned")</f>
        <v>Mohammed Sanad</v>
      </c>
      <c r="E295">
        <f t="shared" si="90"/>
        <v>1</v>
      </c>
      <c r="F295">
        <f>IF($E295=0,0,SUMPRODUCT($AI$5:$DF$5,'Staff Daily sales'!$G280:$CD280))</f>
        <v>316.99</v>
      </c>
      <c r="G295">
        <f>IF($E295=0,0,SUMPRODUCT($AI$6:$DF$6,'Staff Daily sales'!$G280:$CD280))</f>
        <v>3</v>
      </c>
      <c r="H295">
        <f t="shared" si="91"/>
        <v>3713.7299999999996</v>
      </c>
      <c r="I295">
        <f t="shared" si="92"/>
        <v>16</v>
      </c>
      <c r="J295">
        <f t="shared" si="93"/>
        <v>64682.640000000014</v>
      </c>
      <c r="K295">
        <f t="shared" si="94"/>
        <v>326</v>
      </c>
      <c r="L295">
        <f>--AND($E295=1,OR('Staff Dashboard'!$B$6="All",$DH295='Staff Dashboard'!$B$6),OR('Staff Dashboard'!$B$7="All",$D295='Staff Dashboard'!$B$7),OR('Staff Dashboard'!$B$8="All",$A295='Staff Dashboard'!$B$8))</f>
        <v>0</v>
      </c>
      <c r="M295">
        <f>IF($E295=0,0,SUMPRODUCT($AI$7:$DF$7,'Staff Daily sales'!$G280:$CD280))</f>
        <v>961.02</v>
      </c>
      <c r="N295">
        <f>IF($E295=0,0,SUMPRODUCT($AI$8:$DF$8,'Staff Daily sales'!$G280:$CD280))</f>
        <v>9</v>
      </c>
      <c r="O295">
        <f>IF($E295=0,0,SUMPRODUCT($AI$9:$DF$9,'Staff Daily sales'!$G280:$CD280))</f>
        <v>3540.04</v>
      </c>
      <c r="P295">
        <f>IF($E295=0,0,SUMPRODUCT($AI$10:$DF$10,'Staff Daily sales'!$G280:$CD280))</f>
        <v>29</v>
      </c>
      <c r="Q295">
        <f>IF($E295=0,0,SUMPRODUCT($AI$11:$DF$11,'Staff Daily sales'!$G280:$CD280))</f>
        <v>3454.1299999999997</v>
      </c>
      <c r="R295">
        <f>IF($E295=0,0,SUMPRODUCT($AI$12:$DF$12,'Staff Daily sales'!$G280:$CD280))</f>
        <v>26</v>
      </c>
      <c r="S295">
        <f>IF($E295=0,0,SUMPRODUCT($AI$13:$DF$13,'Staff Daily sales'!$G280:$CD280))</f>
        <v>3693.0200000000004</v>
      </c>
      <c r="T295">
        <f>IF($E295=0,0,SUMPRODUCT($AI$14:$DF$14,'Staff Daily sales'!$G280:$CD280))</f>
        <v>24</v>
      </c>
      <c r="U295">
        <f>IF($E295=0,0,SUMPRODUCT($AI$15:$DF$15,'Staff Daily sales'!$G280:$CD280))</f>
        <v>1004.98</v>
      </c>
      <c r="V295">
        <f>IF($E295=0,0,SUMPRODUCT($AI$16:$DF$16,'Staff Daily sales'!$G280:$CD280))</f>
        <v>9</v>
      </c>
      <c r="W295">
        <f t="shared" si="95"/>
        <v>18218.330000000002</v>
      </c>
      <c r="X295">
        <f t="shared" si="96"/>
        <v>22209.37</v>
      </c>
      <c r="Y295">
        <f t="shared" si="97"/>
        <v>19295.34</v>
      </c>
      <c r="Z295">
        <f t="shared" si="98"/>
        <v>18035.64</v>
      </c>
      <c r="AA295">
        <f t="shared" si="99"/>
        <v>4347.1000000000004</v>
      </c>
      <c r="AB295">
        <f>--AND($E295=1,OR('Staff Weekly Trend'!$B$3="All",$DH295='Staff Weekly Trend'!$B$3),OR('Staff Weekly Trend'!$B$4="All",$D295='Staff Weekly Trend'!$B$4),OR('Staff Weekly Trend'!$B$5="All",$A295='Staff Weekly Trend'!$B$5))</f>
        <v>1</v>
      </c>
      <c r="AC295">
        <f t="shared" si="100"/>
        <v>2</v>
      </c>
      <c r="AI295">
        <f t="shared" si="101"/>
        <v>130</v>
      </c>
      <c r="AJ295">
        <f t="shared" si="102"/>
        <v>181</v>
      </c>
      <c r="AK295">
        <f t="shared" si="103"/>
        <v>157</v>
      </c>
      <c r="AL295">
        <f t="shared" si="104"/>
        <v>108</v>
      </c>
      <c r="AM295">
        <f t="shared" si="105"/>
        <v>32</v>
      </c>
      <c r="DH295" t="str" cm="1">
        <f t="array" ref="DH295">IF($A295="","",_xlfn.LET(_xlpm.c,IFERROR(_xlfn.XLOOKUP($A295,TRIM('Sales and count'!$A$4:$A$300&amp;""),TRIM('Sales and count'!$B$4:$B$300&amp;"")),""),IF(OR(_xlpm.c="",_xlpm.c="0",LEFT(_xlpm.c,1)="#"),"Not set",_xlpm.c)))</f>
        <v>KSA</v>
      </c>
    </row>
    <row r="296" spans="1:112" x14ac:dyDescent="0.25">
      <c r="A296" t="str">
        <f>IF('Staff Daily sales'!$B281="","",TRIM('Staff Daily sales'!$B281&amp;""))</f>
        <v>HAOTRABWAH</v>
      </c>
      <c r="B296" t="str">
        <f>IF('Staff Daily sales'!$D281="","",TRIM('Staff Daily sales'!$D281&amp;""))</f>
        <v>4502-HAltharwi</v>
      </c>
      <c r="C296" t="str">
        <f>IFERROR(TRIM('Staff Daily sales'!$E281&amp;""),"")</f>
        <v>Riyadh</v>
      </c>
      <c r="D296" t="str">
        <f>IFERROR(IF(TRIM('Staff Daily sales'!$F281&amp;"")="","Unassigned",TRIM('Staff Daily sales'!$F281&amp;"")),"Unassigned")</f>
        <v>Mohammed Sanad</v>
      </c>
      <c r="E296">
        <f t="shared" si="90"/>
        <v>1</v>
      </c>
      <c r="F296">
        <f>IF($E296=0,0,SUMPRODUCT($AI$5:$DF$5,'Staff Daily sales'!$G281:$CD281))</f>
        <v>0</v>
      </c>
      <c r="G296">
        <f>IF($E296=0,0,SUMPRODUCT($AI$6:$DF$6,'Staff Daily sales'!$G281:$CD281))</f>
        <v>0</v>
      </c>
      <c r="H296">
        <f t="shared" si="91"/>
        <v>3713.7299999999996</v>
      </c>
      <c r="I296">
        <f t="shared" si="92"/>
        <v>16</v>
      </c>
      <c r="J296">
        <f t="shared" si="93"/>
        <v>64682.640000000014</v>
      </c>
      <c r="K296">
        <f t="shared" si="94"/>
        <v>326</v>
      </c>
      <c r="L296">
        <f>--AND($E296=1,OR('Staff Dashboard'!$B$6="All",$DH296='Staff Dashboard'!$B$6),OR('Staff Dashboard'!$B$7="All",$D296='Staff Dashboard'!$B$7),OR('Staff Dashboard'!$B$8="All",$A296='Staff Dashboard'!$B$8))</f>
        <v>0</v>
      </c>
      <c r="M296">
        <f>IF($E296=0,0,SUMPRODUCT($AI$7:$DF$7,'Staff Daily sales'!$G281:$CD281))</f>
        <v>0</v>
      </c>
      <c r="N296">
        <f>IF($E296=0,0,SUMPRODUCT($AI$8:$DF$8,'Staff Daily sales'!$G281:$CD281))</f>
        <v>0</v>
      </c>
      <c r="O296">
        <f>IF($E296=0,0,SUMPRODUCT($AI$9:$DF$9,'Staff Daily sales'!$G281:$CD281))</f>
        <v>150.01</v>
      </c>
      <c r="P296">
        <f>IF($E296=0,0,SUMPRODUCT($AI$10:$DF$10,'Staff Daily sales'!$G281:$CD281))</f>
        <v>1</v>
      </c>
      <c r="Q296">
        <f>IF($E296=0,0,SUMPRODUCT($AI$11:$DF$11,'Staff Daily sales'!$G281:$CD281))</f>
        <v>0</v>
      </c>
      <c r="R296">
        <f>IF($E296=0,0,SUMPRODUCT($AI$12:$DF$12,'Staff Daily sales'!$G281:$CD281))</f>
        <v>0</v>
      </c>
      <c r="S296">
        <f>IF($E296=0,0,SUMPRODUCT($AI$13:$DF$13,'Staff Daily sales'!$G281:$CD281))</f>
        <v>0</v>
      </c>
      <c r="T296">
        <f>IF($E296=0,0,SUMPRODUCT($AI$14:$DF$14,'Staff Daily sales'!$G281:$CD281))</f>
        <v>0</v>
      </c>
      <c r="U296">
        <f>IF($E296=0,0,SUMPRODUCT($AI$15:$DF$15,'Staff Daily sales'!$G281:$CD281))</f>
        <v>0</v>
      </c>
      <c r="V296">
        <f>IF($E296=0,0,SUMPRODUCT($AI$16:$DF$16,'Staff Daily sales'!$G281:$CD281))</f>
        <v>0</v>
      </c>
      <c r="W296">
        <f t="shared" si="95"/>
        <v>18218.330000000002</v>
      </c>
      <c r="X296">
        <f t="shared" si="96"/>
        <v>22209.37</v>
      </c>
      <c r="Y296">
        <f t="shared" si="97"/>
        <v>19295.34</v>
      </c>
      <c r="Z296">
        <f t="shared" si="98"/>
        <v>18035.64</v>
      </c>
      <c r="AA296">
        <f t="shared" si="99"/>
        <v>4347.1000000000004</v>
      </c>
      <c r="AB296">
        <f>--AND($E296=1,OR('Staff Weekly Trend'!$B$3="All",$DH296='Staff Weekly Trend'!$B$3),OR('Staff Weekly Trend'!$B$4="All",$D296='Staff Weekly Trend'!$B$4),OR('Staff Weekly Trend'!$B$5="All",$A296='Staff Weekly Trend'!$B$5))</f>
        <v>1</v>
      </c>
      <c r="AC296" t="str">
        <f t="shared" si="100"/>
        <v/>
      </c>
      <c r="AI296">
        <f t="shared" si="101"/>
        <v>130</v>
      </c>
      <c r="AJ296">
        <f t="shared" si="102"/>
        <v>181</v>
      </c>
      <c r="AK296">
        <f t="shared" si="103"/>
        <v>157</v>
      </c>
      <c r="AL296">
        <f t="shared" si="104"/>
        <v>108</v>
      </c>
      <c r="AM296">
        <f t="shared" si="105"/>
        <v>32</v>
      </c>
      <c r="DH296" t="str" cm="1">
        <f t="array" ref="DH296">IF($A296="","",_xlfn.LET(_xlpm.c,IFERROR(_xlfn.XLOOKUP($A296,TRIM('Sales and count'!$A$4:$A$300&amp;""),TRIM('Sales and count'!$B$4:$B$300&amp;"")),""),IF(OR(_xlpm.c="",_xlpm.c="0",LEFT(_xlpm.c,1)="#"),"Not set",_xlpm.c)))</f>
        <v>KSA</v>
      </c>
    </row>
    <row r="297" spans="1:112" x14ac:dyDescent="0.25">
      <c r="A297" t="str">
        <f>IF('Staff Daily sales'!$B282="","",TRIM('Staff Daily sales'!$B282&amp;""))</f>
        <v>HAOTRABWAH</v>
      </c>
      <c r="B297" t="str">
        <f>IF('Staff Daily sales'!$D282="","",TRIM('Staff Daily sales'!$D282&amp;""))</f>
        <v>6288-HAbuQabis</v>
      </c>
      <c r="C297" t="str">
        <f>IFERROR(TRIM('Staff Daily sales'!$E282&amp;""),"")</f>
        <v>Riyadh</v>
      </c>
      <c r="D297" t="str">
        <f>IFERROR(IF(TRIM('Staff Daily sales'!$F282&amp;"")="","Unassigned",TRIM('Staff Daily sales'!$F282&amp;"")),"Unassigned")</f>
        <v>Mohammed Sanad</v>
      </c>
      <c r="E297">
        <f t="shared" si="90"/>
        <v>1</v>
      </c>
      <c r="F297">
        <f>IF($E297=0,0,SUMPRODUCT($AI$5:$DF$5,'Staff Daily sales'!$G282:$CD282))</f>
        <v>3396.74</v>
      </c>
      <c r="G297">
        <f>IF($E297=0,0,SUMPRODUCT($AI$6:$DF$6,'Staff Daily sales'!$G282:$CD282))</f>
        <v>13</v>
      </c>
      <c r="H297">
        <f t="shared" si="91"/>
        <v>3713.7299999999996</v>
      </c>
      <c r="I297">
        <f t="shared" si="92"/>
        <v>16</v>
      </c>
      <c r="J297">
        <f t="shared" si="93"/>
        <v>64682.640000000014</v>
      </c>
      <c r="K297">
        <f t="shared" si="94"/>
        <v>326</v>
      </c>
      <c r="L297">
        <f>--AND($E297=1,OR('Staff Dashboard'!$B$6="All",$DH297='Staff Dashboard'!$B$6),OR('Staff Dashboard'!$B$7="All",$D297='Staff Dashboard'!$B$7),OR('Staff Dashboard'!$B$8="All",$A297='Staff Dashboard'!$B$8))</f>
        <v>0</v>
      </c>
      <c r="M297">
        <f>IF($E297=0,0,SUMPRODUCT($AI$7:$DF$7,'Staff Daily sales'!$G282:$CD282))</f>
        <v>11243.21</v>
      </c>
      <c r="N297">
        <f>IF($E297=0,0,SUMPRODUCT($AI$8:$DF$8,'Staff Daily sales'!$G282:$CD282))</f>
        <v>74</v>
      </c>
      <c r="O297">
        <f>IF($E297=0,0,SUMPRODUCT($AI$9:$DF$9,'Staff Daily sales'!$G282:$CD282))</f>
        <v>14707.279999999999</v>
      </c>
      <c r="P297">
        <f>IF($E297=0,0,SUMPRODUCT($AI$10:$DF$10,'Staff Daily sales'!$G282:$CD282))</f>
        <v>121</v>
      </c>
      <c r="Q297">
        <f>IF($E297=0,0,SUMPRODUCT($AI$11:$DF$11,'Staff Daily sales'!$G282:$CD282))</f>
        <v>6964.09</v>
      </c>
      <c r="R297">
        <f>IF($E297=0,0,SUMPRODUCT($AI$12:$DF$12,'Staff Daily sales'!$G282:$CD282))</f>
        <v>61</v>
      </c>
      <c r="S297">
        <f>IF($E297=0,0,SUMPRODUCT($AI$13:$DF$13,'Staff Daily sales'!$G282:$CD282))</f>
        <v>7774.5599999999995</v>
      </c>
      <c r="T297">
        <f>IF($E297=0,0,SUMPRODUCT($AI$14:$DF$14,'Staff Daily sales'!$G282:$CD282))</f>
        <v>44</v>
      </c>
      <c r="U297">
        <f>IF($E297=0,0,SUMPRODUCT($AI$15:$DF$15,'Staff Daily sales'!$G282:$CD282))</f>
        <v>1731.12</v>
      </c>
      <c r="V297">
        <f>IF($E297=0,0,SUMPRODUCT($AI$16:$DF$16,'Staff Daily sales'!$G282:$CD282))</f>
        <v>12</v>
      </c>
      <c r="W297">
        <f t="shared" si="95"/>
        <v>18218.330000000002</v>
      </c>
      <c r="X297">
        <f t="shared" si="96"/>
        <v>22209.37</v>
      </c>
      <c r="Y297">
        <f t="shared" si="97"/>
        <v>19295.34</v>
      </c>
      <c r="Z297">
        <f t="shared" si="98"/>
        <v>18035.64</v>
      </c>
      <c r="AA297">
        <f t="shared" si="99"/>
        <v>4347.1000000000004</v>
      </c>
      <c r="AB297">
        <f>--AND($E297=1,OR('Staff Weekly Trend'!$B$3="All",$DH297='Staff Weekly Trend'!$B$3),OR('Staff Weekly Trend'!$B$4="All",$D297='Staff Weekly Trend'!$B$4),OR('Staff Weekly Trend'!$B$5="All",$A297='Staff Weekly Trend'!$B$5))</f>
        <v>1</v>
      </c>
      <c r="AC297">
        <f t="shared" si="100"/>
        <v>1</v>
      </c>
      <c r="AI297">
        <f t="shared" si="101"/>
        <v>130</v>
      </c>
      <c r="AJ297">
        <f t="shared" si="102"/>
        <v>181</v>
      </c>
      <c r="AK297">
        <f t="shared" si="103"/>
        <v>157</v>
      </c>
      <c r="AL297">
        <f t="shared" si="104"/>
        <v>108</v>
      </c>
      <c r="AM297">
        <f t="shared" si="105"/>
        <v>32</v>
      </c>
      <c r="DH297" t="str" cm="1">
        <f t="array" ref="DH297">IF($A297="","",_xlfn.LET(_xlpm.c,IFERROR(_xlfn.XLOOKUP($A297,TRIM('Sales and count'!$A$4:$A$300&amp;""),TRIM('Sales and count'!$B$4:$B$300&amp;"")),""),IF(OR(_xlpm.c="",_xlpm.c="0",LEFT(_xlpm.c,1)="#"),"Not set",_xlpm.c)))</f>
        <v>KSA</v>
      </c>
    </row>
    <row r="298" spans="1:112" x14ac:dyDescent="0.25">
      <c r="A298" t="str">
        <f>IF('Staff Daily sales'!$B283="","",TRIM('Staff Daily sales'!$B283&amp;""))</f>
        <v>HAJUBAILML</v>
      </c>
      <c r="B298" t="str">
        <f>IF('Staff Daily sales'!$D283="","",TRIM('Staff Daily sales'!$D283&amp;""))</f>
        <v>4326-BAlKhaldi</v>
      </c>
      <c r="C298" t="str">
        <f>IFERROR(TRIM('Staff Daily sales'!$E283&amp;""),"")</f>
        <v>Jubail</v>
      </c>
      <c r="D298" t="str">
        <f>IFERROR(IF(TRIM('Staff Daily sales'!$F283&amp;"")="","Unassigned",TRIM('Staff Daily sales'!$F283&amp;"")),"Unassigned")</f>
        <v>Hamzah Al Makhadam</v>
      </c>
      <c r="E298">
        <f t="shared" si="90"/>
        <v>1</v>
      </c>
      <c r="F298">
        <f>IF($E298=0,0,SUMPRODUCT($AI$5:$DF$5,'Staff Daily sales'!$G283:$CD283))</f>
        <v>0</v>
      </c>
      <c r="G298">
        <f>IF($E298=0,0,SUMPRODUCT($AI$6:$DF$6,'Staff Daily sales'!$G283:$CD283))</f>
        <v>0</v>
      </c>
      <c r="H298">
        <f t="shared" si="91"/>
        <v>1536.97</v>
      </c>
      <c r="I298">
        <f t="shared" si="92"/>
        <v>11</v>
      </c>
      <c r="J298">
        <f t="shared" si="93"/>
        <v>128104.23999999996</v>
      </c>
      <c r="K298">
        <f t="shared" si="94"/>
        <v>596</v>
      </c>
      <c r="L298">
        <f>--AND($E298=1,OR('Staff Dashboard'!$B$6="All",$DH298='Staff Dashboard'!$B$6),OR('Staff Dashboard'!$B$7="All",$D298='Staff Dashboard'!$B$7),OR('Staff Dashboard'!$B$8="All",$A298='Staff Dashboard'!$B$8))</f>
        <v>0</v>
      </c>
      <c r="M298">
        <f>IF($E298=0,0,SUMPRODUCT($AI$7:$DF$7,'Staff Daily sales'!$G283:$CD283))</f>
        <v>0</v>
      </c>
      <c r="N298">
        <f>IF($E298=0,0,SUMPRODUCT($AI$8:$DF$8,'Staff Daily sales'!$G283:$CD283))</f>
        <v>0</v>
      </c>
      <c r="O298">
        <f>IF($E298=0,0,SUMPRODUCT($AI$9:$DF$9,'Staff Daily sales'!$G283:$CD283))</f>
        <v>3977.1099999999997</v>
      </c>
      <c r="P298">
        <f>IF($E298=0,0,SUMPRODUCT($AI$10:$DF$10,'Staff Daily sales'!$G283:$CD283))</f>
        <v>26</v>
      </c>
      <c r="Q298">
        <f>IF($E298=0,0,SUMPRODUCT($AI$11:$DF$11,'Staff Daily sales'!$G283:$CD283))</f>
        <v>3920.1</v>
      </c>
      <c r="R298">
        <f>IF($E298=0,0,SUMPRODUCT($AI$12:$DF$12,'Staff Daily sales'!$G283:$CD283))</f>
        <v>27</v>
      </c>
      <c r="S298">
        <f>IF($E298=0,0,SUMPRODUCT($AI$13:$DF$13,'Staff Daily sales'!$G283:$CD283))</f>
        <v>2609.08</v>
      </c>
      <c r="T298">
        <f>IF($E298=0,0,SUMPRODUCT($AI$14:$DF$14,'Staff Daily sales'!$G283:$CD283))</f>
        <v>18</v>
      </c>
      <c r="U298">
        <f>IF($E298=0,0,SUMPRODUCT($AI$15:$DF$15,'Staff Daily sales'!$G283:$CD283))</f>
        <v>300.98</v>
      </c>
      <c r="V298">
        <f>IF($E298=0,0,SUMPRODUCT($AI$16:$DF$16,'Staff Daily sales'!$G283:$CD283))</f>
        <v>3</v>
      </c>
      <c r="W298">
        <f t="shared" si="95"/>
        <v>11817.27</v>
      </c>
      <c r="X298">
        <f t="shared" si="96"/>
        <v>24257.39</v>
      </c>
      <c r="Y298">
        <f t="shared" si="97"/>
        <v>18449.349999999999</v>
      </c>
      <c r="Z298">
        <f t="shared" si="98"/>
        <v>15462.77</v>
      </c>
      <c r="AA298">
        <f t="shared" si="99"/>
        <v>4340.1499999999996</v>
      </c>
      <c r="AB298">
        <f>--AND($E298=1,OR('Staff Weekly Trend'!$B$3="All",$DH298='Staff Weekly Trend'!$B$3),OR('Staff Weekly Trend'!$B$4="All",$D298='Staff Weekly Trend'!$B$4),OR('Staff Weekly Trend'!$B$5="All",$A298='Staff Weekly Trend'!$B$5))</f>
        <v>1</v>
      </c>
      <c r="AC298" t="str">
        <f t="shared" si="100"/>
        <v/>
      </c>
      <c r="AI298">
        <f t="shared" si="101"/>
        <v>106</v>
      </c>
      <c r="AJ298">
        <f t="shared" si="102"/>
        <v>162</v>
      </c>
      <c r="AK298">
        <f t="shared" si="103"/>
        <v>136</v>
      </c>
      <c r="AL298">
        <f t="shared" si="104"/>
        <v>110</v>
      </c>
      <c r="AM298">
        <f t="shared" si="105"/>
        <v>27</v>
      </c>
      <c r="DH298" t="str" cm="1">
        <f t="array" ref="DH298">IF($A298="","",_xlfn.LET(_xlpm.c,IFERROR(_xlfn.XLOOKUP($A298,TRIM('Sales and count'!$A$4:$A$300&amp;""),TRIM('Sales and count'!$B$4:$B$300&amp;"")),""),IF(OR(_xlpm.c="",_xlpm.c="0",LEFT(_xlpm.c,1)="#"),"Not set",_xlpm.c)))</f>
        <v>KSA</v>
      </c>
    </row>
    <row r="299" spans="1:112" x14ac:dyDescent="0.25">
      <c r="A299" t="str">
        <f>IF('Staff Daily sales'!$B284="","",TRIM('Staff Daily sales'!$B284&amp;""))</f>
        <v>HAJUBAILML</v>
      </c>
      <c r="B299" t="str">
        <f>IF('Staff Daily sales'!$D284="","",TRIM('Staff Daily sales'!$D284&amp;""))</f>
        <v>5024-QAlnaji</v>
      </c>
      <c r="C299" t="str">
        <f>IFERROR(TRIM('Staff Daily sales'!$E284&amp;""),"")</f>
        <v>Jubail</v>
      </c>
      <c r="D299" t="str">
        <f>IFERROR(IF(TRIM('Staff Daily sales'!$F284&amp;"")="","Unassigned",TRIM('Staff Daily sales'!$F284&amp;"")),"Unassigned")</f>
        <v>Hamzah Al Makhadam</v>
      </c>
      <c r="E299">
        <f t="shared" si="90"/>
        <v>1</v>
      </c>
      <c r="F299">
        <f>IF($E299=0,0,SUMPRODUCT($AI$5:$DF$5,'Staff Daily sales'!$G284:$CD284))</f>
        <v>1086.97</v>
      </c>
      <c r="G299">
        <f>IF($E299=0,0,SUMPRODUCT($AI$6:$DF$6,'Staff Daily sales'!$G284:$CD284))</f>
        <v>7</v>
      </c>
      <c r="H299">
        <f t="shared" si="91"/>
        <v>1536.97</v>
      </c>
      <c r="I299">
        <f t="shared" si="92"/>
        <v>11</v>
      </c>
      <c r="J299">
        <f t="shared" si="93"/>
        <v>128104.23999999996</v>
      </c>
      <c r="K299">
        <f t="shared" si="94"/>
        <v>596</v>
      </c>
      <c r="L299">
        <f>--AND($E299=1,OR('Staff Dashboard'!$B$6="All",$DH299='Staff Dashboard'!$B$6),OR('Staff Dashboard'!$B$7="All",$D299='Staff Dashboard'!$B$7),OR('Staff Dashboard'!$B$8="All",$A299='Staff Dashboard'!$B$8))</f>
        <v>0</v>
      </c>
      <c r="M299">
        <f>IF($E299=0,0,SUMPRODUCT($AI$7:$DF$7,'Staff Daily sales'!$G284:$CD284))</f>
        <v>9624.25</v>
      </c>
      <c r="N299">
        <f>IF($E299=0,0,SUMPRODUCT($AI$8:$DF$8,'Staff Daily sales'!$G284:$CD284))</f>
        <v>85</v>
      </c>
      <c r="O299">
        <f>IF($E299=0,0,SUMPRODUCT($AI$9:$DF$9,'Staff Daily sales'!$G284:$CD284))</f>
        <v>14854.17</v>
      </c>
      <c r="P299">
        <f>IF($E299=0,0,SUMPRODUCT($AI$10:$DF$10,'Staff Daily sales'!$G284:$CD284))</f>
        <v>99</v>
      </c>
      <c r="Q299">
        <f>IF($E299=0,0,SUMPRODUCT($AI$11:$DF$11,'Staff Daily sales'!$G284:$CD284))</f>
        <v>11314.149999999998</v>
      </c>
      <c r="R299">
        <f>IF($E299=0,0,SUMPRODUCT($AI$12:$DF$12,'Staff Daily sales'!$G284:$CD284))</f>
        <v>85</v>
      </c>
      <c r="S299">
        <f>IF($E299=0,0,SUMPRODUCT($AI$13:$DF$13,'Staff Daily sales'!$G284:$CD284))</f>
        <v>8597.83</v>
      </c>
      <c r="T299">
        <f>IF($E299=0,0,SUMPRODUCT($AI$14:$DF$14,'Staff Daily sales'!$G284:$CD284))</f>
        <v>63</v>
      </c>
      <c r="U299">
        <f>IF($E299=0,0,SUMPRODUCT($AI$15:$DF$15,'Staff Daily sales'!$G284:$CD284))</f>
        <v>2949.11</v>
      </c>
      <c r="V299">
        <f>IF($E299=0,0,SUMPRODUCT($AI$16:$DF$16,'Staff Daily sales'!$G284:$CD284))</f>
        <v>19</v>
      </c>
      <c r="W299">
        <f t="shared" si="95"/>
        <v>11817.27</v>
      </c>
      <c r="X299">
        <f t="shared" si="96"/>
        <v>24257.39</v>
      </c>
      <c r="Y299">
        <f t="shared" si="97"/>
        <v>18449.349999999999</v>
      </c>
      <c r="Z299">
        <f t="shared" si="98"/>
        <v>15462.77</v>
      </c>
      <c r="AA299">
        <f t="shared" si="99"/>
        <v>4340.1499999999996</v>
      </c>
      <c r="AB299">
        <f>--AND($E299=1,OR('Staff Weekly Trend'!$B$3="All",$DH299='Staff Weekly Trend'!$B$3),OR('Staff Weekly Trend'!$B$4="All",$D299='Staff Weekly Trend'!$B$4),OR('Staff Weekly Trend'!$B$5="All",$A299='Staff Weekly Trend'!$B$5))</f>
        <v>1</v>
      </c>
      <c r="AC299">
        <f t="shared" si="100"/>
        <v>1</v>
      </c>
      <c r="AI299">
        <f t="shared" si="101"/>
        <v>106</v>
      </c>
      <c r="AJ299">
        <f t="shared" si="102"/>
        <v>162</v>
      </c>
      <c r="AK299">
        <f t="shared" si="103"/>
        <v>136</v>
      </c>
      <c r="AL299">
        <f t="shared" si="104"/>
        <v>110</v>
      </c>
      <c r="AM299">
        <f t="shared" si="105"/>
        <v>27</v>
      </c>
      <c r="DH299" t="str" cm="1">
        <f t="array" ref="DH299">IF($A299="","",_xlfn.LET(_xlpm.c,IFERROR(_xlfn.XLOOKUP($A299,TRIM('Sales and count'!$A$4:$A$300&amp;""),TRIM('Sales and count'!$B$4:$B$300&amp;"")),""),IF(OR(_xlpm.c="",_xlpm.c="0",LEFT(_xlpm.c,1)="#"),"Not set",_xlpm.c)))</f>
        <v>KSA</v>
      </c>
    </row>
    <row r="300" spans="1:112" x14ac:dyDescent="0.25">
      <c r="A300" t="str">
        <f>IF('Staff Daily sales'!$B285="","",TRIM('Staff Daily sales'!$B285&amp;""))</f>
        <v>HAJUBAILML</v>
      </c>
      <c r="B300" t="str">
        <f>IF('Staff Daily sales'!$D285="","",TRIM('Staff Daily sales'!$D285&amp;""))</f>
        <v>5221-DHanan</v>
      </c>
      <c r="C300" t="str">
        <f>IFERROR(TRIM('Staff Daily sales'!$E285&amp;""),"")</f>
        <v>Jubail</v>
      </c>
      <c r="D300" t="str">
        <f>IFERROR(IF(TRIM('Staff Daily sales'!$F285&amp;"")="","Unassigned",TRIM('Staff Daily sales'!$F285&amp;"")),"Unassigned")</f>
        <v>Hamzah Al Makhadam</v>
      </c>
      <c r="E300">
        <f t="shared" si="90"/>
        <v>1</v>
      </c>
      <c r="F300">
        <f>IF($E300=0,0,SUMPRODUCT($AI$5:$DF$5,'Staff Daily sales'!$G285:$CD285))</f>
        <v>450</v>
      </c>
      <c r="G300">
        <f>IF($E300=0,0,SUMPRODUCT($AI$6:$DF$6,'Staff Daily sales'!$G285:$CD285))</f>
        <v>4</v>
      </c>
      <c r="H300">
        <f t="shared" si="91"/>
        <v>1536.97</v>
      </c>
      <c r="I300">
        <f t="shared" si="92"/>
        <v>11</v>
      </c>
      <c r="J300">
        <f t="shared" si="93"/>
        <v>128104.23999999996</v>
      </c>
      <c r="K300">
        <f t="shared" si="94"/>
        <v>596</v>
      </c>
      <c r="L300">
        <f>--AND($E300=1,OR('Staff Dashboard'!$B$6="All",$DH300='Staff Dashboard'!$B$6),OR('Staff Dashboard'!$B$7="All",$D300='Staff Dashboard'!$B$7),OR('Staff Dashboard'!$B$8="All",$A300='Staff Dashboard'!$B$8))</f>
        <v>0</v>
      </c>
      <c r="M300">
        <f>IF($E300=0,0,SUMPRODUCT($AI$7:$DF$7,'Staff Daily sales'!$G285:$CD285))</f>
        <v>2193.02</v>
      </c>
      <c r="N300">
        <f>IF($E300=0,0,SUMPRODUCT($AI$8:$DF$8,'Staff Daily sales'!$G285:$CD285))</f>
        <v>21</v>
      </c>
      <c r="O300">
        <f>IF($E300=0,0,SUMPRODUCT($AI$9:$DF$9,'Staff Daily sales'!$G285:$CD285))</f>
        <v>5426.11</v>
      </c>
      <c r="P300">
        <f>IF($E300=0,0,SUMPRODUCT($AI$10:$DF$10,'Staff Daily sales'!$G285:$CD285))</f>
        <v>37</v>
      </c>
      <c r="Q300">
        <f>IF($E300=0,0,SUMPRODUCT($AI$11:$DF$11,'Staff Daily sales'!$G285:$CD285))</f>
        <v>3215.0999999999995</v>
      </c>
      <c r="R300">
        <f>IF($E300=0,0,SUMPRODUCT($AI$12:$DF$12,'Staff Daily sales'!$G285:$CD285))</f>
        <v>24</v>
      </c>
      <c r="S300">
        <f>IF($E300=0,0,SUMPRODUCT($AI$13:$DF$13,'Staff Daily sales'!$G285:$CD285))</f>
        <v>4255.8599999999997</v>
      </c>
      <c r="T300">
        <f>IF($E300=0,0,SUMPRODUCT($AI$14:$DF$14,'Staff Daily sales'!$G285:$CD285))</f>
        <v>29</v>
      </c>
      <c r="U300">
        <f>IF($E300=0,0,SUMPRODUCT($AI$15:$DF$15,'Staff Daily sales'!$G285:$CD285))</f>
        <v>1090.06</v>
      </c>
      <c r="V300">
        <f>IF($E300=0,0,SUMPRODUCT($AI$16:$DF$16,'Staff Daily sales'!$G285:$CD285))</f>
        <v>5</v>
      </c>
      <c r="W300">
        <f t="shared" si="95"/>
        <v>11817.27</v>
      </c>
      <c r="X300">
        <f t="shared" si="96"/>
        <v>24257.39</v>
      </c>
      <c r="Y300">
        <f t="shared" si="97"/>
        <v>18449.349999999999</v>
      </c>
      <c r="Z300">
        <f t="shared" si="98"/>
        <v>15462.77</v>
      </c>
      <c r="AA300">
        <f t="shared" si="99"/>
        <v>4340.1499999999996</v>
      </c>
      <c r="AB300">
        <f>--AND($E300=1,OR('Staff Weekly Trend'!$B$3="All",$DH300='Staff Weekly Trend'!$B$3),OR('Staff Weekly Trend'!$B$4="All",$D300='Staff Weekly Trend'!$B$4),OR('Staff Weekly Trend'!$B$5="All",$A300='Staff Weekly Trend'!$B$5))</f>
        <v>1</v>
      </c>
      <c r="AC300">
        <f t="shared" si="100"/>
        <v>2</v>
      </c>
      <c r="AI300">
        <f t="shared" si="101"/>
        <v>106</v>
      </c>
      <c r="AJ300">
        <f t="shared" si="102"/>
        <v>162</v>
      </c>
      <c r="AK300">
        <f t="shared" si="103"/>
        <v>136</v>
      </c>
      <c r="AL300">
        <f t="shared" si="104"/>
        <v>110</v>
      </c>
      <c r="AM300">
        <f t="shared" si="105"/>
        <v>27</v>
      </c>
      <c r="DH300" t="str" cm="1">
        <f t="array" ref="DH300">IF($A300="","",_xlfn.LET(_xlpm.c,IFERROR(_xlfn.XLOOKUP($A300,TRIM('Sales and count'!$A$4:$A$300&amp;""),TRIM('Sales and count'!$B$4:$B$300&amp;"")),""),IF(OR(_xlpm.c="",_xlpm.c="0",LEFT(_xlpm.c,1)="#"),"Not set",_xlpm.c)))</f>
        <v>KSA</v>
      </c>
    </row>
    <row r="301" spans="1:112" x14ac:dyDescent="0.25">
      <c r="A301" t="str">
        <f>IF('Staff Daily sales'!$B286="","",TRIM('Staff Daily sales'!$B286&amp;""))</f>
        <v>HATASSPLZ</v>
      </c>
      <c r="B301" t="str">
        <f>IF('Staff Daily sales'!$D286="","",TRIM('Staff Daily sales'!$D286&amp;""))</f>
        <v>3665-TEid</v>
      </c>
      <c r="C301" t="str">
        <f>IFERROR(TRIM('Staff Daily sales'!$E286&amp;""),"")</f>
        <v>Makkah</v>
      </c>
      <c r="D301" t="str">
        <f>IFERROR(IF(TRIM('Staff Daily sales'!$F286&amp;"")="","Unassigned",TRIM('Staff Daily sales'!$F286&amp;"")),"Unassigned")</f>
        <v>Maram Zamzami</v>
      </c>
      <c r="E301">
        <f t="shared" si="90"/>
        <v>1</v>
      </c>
      <c r="F301">
        <f>IF($E301=0,0,SUMPRODUCT($AI$5:$DF$5,'Staff Daily sales'!$G286:$CD286))</f>
        <v>0</v>
      </c>
      <c r="G301">
        <f>IF($E301=0,0,SUMPRODUCT($AI$6:$DF$6,'Staff Daily sales'!$G286:$CD286))</f>
        <v>0</v>
      </c>
      <c r="H301">
        <f t="shared" si="91"/>
        <v>1937.89</v>
      </c>
      <c r="I301">
        <f t="shared" si="92"/>
        <v>10</v>
      </c>
      <c r="J301">
        <f t="shared" si="93"/>
        <v>89423.479999999967</v>
      </c>
      <c r="K301">
        <f t="shared" si="94"/>
        <v>413</v>
      </c>
      <c r="L301">
        <f>--AND($E301=1,OR('Staff Dashboard'!$B$6="All",$DH301='Staff Dashboard'!$B$6),OR('Staff Dashboard'!$B$7="All",$D301='Staff Dashboard'!$B$7),OR('Staff Dashboard'!$B$8="All",$A301='Staff Dashboard'!$B$8))</f>
        <v>1</v>
      </c>
      <c r="M301">
        <f>IF($E301=0,0,SUMPRODUCT($AI$7:$DF$7,'Staff Daily sales'!$G286:$CD286))</f>
        <v>2627.09</v>
      </c>
      <c r="N301">
        <f>IF($E301=0,0,SUMPRODUCT($AI$8:$DF$8,'Staff Daily sales'!$G286:$CD286))</f>
        <v>13</v>
      </c>
      <c r="O301">
        <f>IF($E301=0,0,SUMPRODUCT($AI$9:$DF$9,'Staff Daily sales'!$G286:$CD286))</f>
        <v>4092.08</v>
      </c>
      <c r="P301">
        <f>IF($E301=0,0,SUMPRODUCT($AI$10:$DF$10,'Staff Daily sales'!$G286:$CD286))</f>
        <v>16</v>
      </c>
      <c r="Q301">
        <f>IF($E301=0,0,SUMPRODUCT($AI$11:$DF$11,'Staff Daily sales'!$G286:$CD286))</f>
        <v>1774.05</v>
      </c>
      <c r="R301">
        <f>IF($E301=0,0,SUMPRODUCT($AI$12:$DF$12,'Staff Daily sales'!$G286:$CD286))</f>
        <v>10</v>
      </c>
      <c r="S301">
        <f>IF($E301=0,0,SUMPRODUCT($AI$13:$DF$13,'Staff Daily sales'!$G286:$CD286))</f>
        <v>0</v>
      </c>
      <c r="T301">
        <f>IF($E301=0,0,SUMPRODUCT($AI$14:$DF$14,'Staff Daily sales'!$G286:$CD286))</f>
        <v>0</v>
      </c>
      <c r="U301">
        <f>IF($E301=0,0,SUMPRODUCT($AI$15:$DF$15,'Staff Daily sales'!$G286:$CD286))</f>
        <v>0</v>
      </c>
      <c r="V301">
        <f>IF($E301=0,0,SUMPRODUCT($AI$16:$DF$16,'Staff Daily sales'!$G286:$CD286))</f>
        <v>0</v>
      </c>
      <c r="W301">
        <f t="shared" si="95"/>
        <v>11734.35</v>
      </c>
      <c r="X301">
        <f t="shared" si="96"/>
        <v>21291.310000000005</v>
      </c>
      <c r="Y301">
        <f t="shared" si="97"/>
        <v>16192.36</v>
      </c>
      <c r="Z301">
        <f t="shared" si="98"/>
        <v>15843.8</v>
      </c>
      <c r="AA301">
        <f t="shared" si="99"/>
        <v>2736.84</v>
      </c>
      <c r="AB301">
        <f>--AND($E301=1,OR('Staff Weekly Trend'!$B$3="All",$DH301='Staff Weekly Trend'!$B$3),OR('Staff Weekly Trend'!$B$4="All",$D301='Staff Weekly Trend'!$B$4),OR('Staff Weekly Trend'!$B$5="All",$A301='Staff Weekly Trend'!$B$5))</f>
        <v>1</v>
      </c>
      <c r="AC301" t="str">
        <f t="shared" si="100"/>
        <v/>
      </c>
      <c r="AI301">
        <f t="shared" si="101"/>
        <v>58</v>
      </c>
      <c r="AJ301">
        <f t="shared" si="102"/>
        <v>88</v>
      </c>
      <c r="AK301">
        <f t="shared" si="103"/>
        <v>90</v>
      </c>
      <c r="AL301">
        <f t="shared" si="104"/>
        <v>83</v>
      </c>
      <c r="AM301">
        <f t="shared" si="105"/>
        <v>16</v>
      </c>
      <c r="DH301" t="str" cm="1">
        <f t="array" ref="DH301">IF($A301="","",_xlfn.LET(_xlpm.c,IFERROR(_xlfn.XLOOKUP($A301,TRIM('Sales and count'!$A$4:$A$300&amp;""),TRIM('Sales and count'!$B$4:$B$300&amp;"")),""),IF(OR(_xlpm.c="",_xlpm.c="0",LEFT(_xlpm.c,1)="#"),"Not set",_xlpm.c)))</f>
        <v>KSA</v>
      </c>
    </row>
    <row r="302" spans="1:112" x14ac:dyDescent="0.25">
      <c r="A302" t="str">
        <f>IF('Staff Daily sales'!$B287="","",TRIM('Staff Daily sales'!$B287&amp;""))</f>
        <v>HATASSPLZ</v>
      </c>
      <c r="B302" t="str">
        <f>IF('Staff Daily sales'!$D287="","",TRIM('Staff Daily sales'!$D287&amp;""))</f>
        <v>5262-RAlmalki</v>
      </c>
      <c r="C302" t="str">
        <f>IFERROR(TRIM('Staff Daily sales'!$E287&amp;""),"")</f>
        <v>Makkah</v>
      </c>
      <c r="D302" t="str">
        <f>IFERROR(IF(TRIM('Staff Daily sales'!$F287&amp;"")="","Unassigned",TRIM('Staff Daily sales'!$F287&amp;"")),"Unassigned")</f>
        <v>Maram Zamzami</v>
      </c>
      <c r="E302">
        <f t="shared" si="90"/>
        <v>1</v>
      </c>
      <c r="F302">
        <f>IF($E302=0,0,SUMPRODUCT($AI$5:$DF$5,'Staff Daily sales'!$G287:$CD287))</f>
        <v>0</v>
      </c>
      <c r="G302">
        <f>IF($E302=0,0,SUMPRODUCT($AI$6:$DF$6,'Staff Daily sales'!$G287:$CD287))</f>
        <v>0</v>
      </c>
      <c r="H302">
        <f t="shared" si="91"/>
        <v>1937.89</v>
      </c>
      <c r="I302">
        <f t="shared" si="92"/>
        <v>10</v>
      </c>
      <c r="J302">
        <f t="shared" si="93"/>
        <v>89423.479999999967</v>
      </c>
      <c r="K302">
        <f t="shared" si="94"/>
        <v>413</v>
      </c>
      <c r="L302">
        <f>--AND($E302=1,OR('Staff Dashboard'!$B$6="All",$DH302='Staff Dashboard'!$B$6),OR('Staff Dashboard'!$B$7="All",$D302='Staff Dashboard'!$B$7),OR('Staff Dashboard'!$B$8="All",$A302='Staff Dashboard'!$B$8))</f>
        <v>1</v>
      </c>
      <c r="M302">
        <f>IF($E302=0,0,SUMPRODUCT($AI$7:$DF$7,'Staff Daily sales'!$G287:$CD287))</f>
        <v>0</v>
      </c>
      <c r="N302">
        <f>IF($E302=0,0,SUMPRODUCT($AI$8:$DF$8,'Staff Daily sales'!$G287:$CD287))</f>
        <v>0</v>
      </c>
      <c r="O302">
        <f>IF($E302=0,0,SUMPRODUCT($AI$9:$DF$9,'Staff Daily sales'!$G287:$CD287))</f>
        <v>22</v>
      </c>
      <c r="P302">
        <f>IF($E302=0,0,SUMPRODUCT($AI$10:$DF$10,'Staff Daily sales'!$G287:$CD287))</f>
        <v>1</v>
      </c>
      <c r="Q302">
        <f>IF($E302=0,0,SUMPRODUCT($AI$11:$DF$11,'Staff Daily sales'!$G287:$CD287))</f>
        <v>0</v>
      </c>
      <c r="R302">
        <f>IF($E302=0,0,SUMPRODUCT($AI$12:$DF$12,'Staff Daily sales'!$G287:$CD287))</f>
        <v>0</v>
      </c>
      <c r="S302">
        <f>IF($E302=0,0,SUMPRODUCT($AI$13:$DF$13,'Staff Daily sales'!$G287:$CD287))</f>
        <v>75</v>
      </c>
      <c r="T302">
        <f>IF($E302=0,0,SUMPRODUCT($AI$14:$DF$14,'Staff Daily sales'!$G287:$CD287))</f>
        <v>1</v>
      </c>
      <c r="U302">
        <f>IF($E302=0,0,SUMPRODUCT($AI$15:$DF$15,'Staff Daily sales'!$G287:$CD287))</f>
        <v>0</v>
      </c>
      <c r="V302">
        <f>IF($E302=0,0,SUMPRODUCT($AI$16:$DF$16,'Staff Daily sales'!$G287:$CD287))</f>
        <v>0</v>
      </c>
      <c r="W302">
        <f t="shared" si="95"/>
        <v>11734.35</v>
      </c>
      <c r="X302">
        <f t="shared" si="96"/>
        <v>21291.310000000005</v>
      </c>
      <c r="Y302">
        <f t="shared" si="97"/>
        <v>16192.36</v>
      </c>
      <c r="Z302">
        <f t="shared" si="98"/>
        <v>15843.8</v>
      </c>
      <c r="AA302">
        <f t="shared" si="99"/>
        <v>2736.84</v>
      </c>
      <c r="AB302">
        <f>--AND($E302=1,OR('Staff Weekly Trend'!$B$3="All",$DH302='Staff Weekly Trend'!$B$3),OR('Staff Weekly Trend'!$B$4="All",$D302='Staff Weekly Trend'!$B$4),OR('Staff Weekly Trend'!$B$5="All",$A302='Staff Weekly Trend'!$B$5))</f>
        <v>1</v>
      </c>
      <c r="AC302" t="str">
        <f t="shared" si="100"/>
        <v/>
      </c>
      <c r="AI302">
        <f t="shared" si="101"/>
        <v>58</v>
      </c>
      <c r="AJ302">
        <f t="shared" si="102"/>
        <v>88</v>
      </c>
      <c r="AK302">
        <f t="shared" si="103"/>
        <v>90</v>
      </c>
      <c r="AL302">
        <f t="shared" si="104"/>
        <v>83</v>
      </c>
      <c r="AM302">
        <f t="shared" si="105"/>
        <v>16</v>
      </c>
      <c r="DH302" t="str" cm="1">
        <f t="array" ref="DH302">IF($A302="","",_xlfn.LET(_xlpm.c,IFERROR(_xlfn.XLOOKUP($A302,TRIM('Sales and count'!$A$4:$A$300&amp;""),TRIM('Sales and count'!$B$4:$B$300&amp;"")),""),IF(OR(_xlpm.c="",_xlpm.c="0",LEFT(_xlpm.c,1)="#"),"Not set",_xlpm.c)))</f>
        <v>KSA</v>
      </c>
    </row>
    <row r="303" spans="1:112" x14ac:dyDescent="0.25">
      <c r="A303" t="str">
        <f>IF('Staff Daily sales'!$B288="","",TRIM('Staff Daily sales'!$B288&amp;""))</f>
        <v>HATASSPLZ</v>
      </c>
      <c r="B303" t="str">
        <f>IF('Staff Daily sales'!$D288="","",TRIM('Staff Daily sales'!$D288&amp;""))</f>
        <v>5357-NHilali</v>
      </c>
      <c r="C303" t="str">
        <f>IFERROR(TRIM('Staff Daily sales'!$E288&amp;""),"")</f>
        <v>Makkah</v>
      </c>
      <c r="D303" t="str">
        <f>IFERROR(IF(TRIM('Staff Daily sales'!$F288&amp;"")="","Unassigned",TRIM('Staff Daily sales'!$F288&amp;"")),"Unassigned")</f>
        <v>Maram Zamzami</v>
      </c>
      <c r="E303">
        <f t="shared" si="90"/>
        <v>1</v>
      </c>
      <c r="F303">
        <f>IF($E303=0,0,SUMPRODUCT($AI$5:$DF$5,'Staff Daily sales'!$G288:$CD288))</f>
        <v>0</v>
      </c>
      <c r="G303">
        <f>IF($E303=0,0,SUMPRODUCT($AI$6:$DF$6,'Staff Daily sales'!$G288:$CD288))</f>
        <v>0</v>
      </c>
      <c r="H303">
        <f t="shared" si="91"/>
        <v>1937.89</v>
      </c>
      <c r="I303">
        <f t="shared" si="92"/>
        <v>10</v>
      </c>
      <c r="J303">
        <f t="shared" si="93"/>
        <v>89423.479999999967</v>
      </c>
      <c r="K303">
        <f t="shared" si="94"/>
        <v>413</v>
      </c>
      <c r="L303">
        <f>--AND($E303=1,OR('Staff Dashboard'!$B$6="All",$DH303='Staff Dashboard'!$B$6),OR('Staff Dashboard'!$B$7="All",$D303='Staff Dashboard'!$B$7),OR('Staff Dashboard'!$B$8="All",$A303='Staff Dashboard'!$B$8))</f>
        <v>1</v>
      </c>
      <c r="M303">
        <f>IF($E303=0,0,SUMPRODUCT($AI$7:$DF$7,'Staff Daily sales'!$G288:$CD288))</f>
        <v>4679.13</v>
      </c>
      <c r="N303">
        <f>IF($E303=0,0,SUMPRODUCT($AI$8:$DF$8,'Staff Daily sales'!$G288:$CD288))</f>
        <v>20</v>
      </c>
      <c r="O303">
        <f>IF($E303=0,0,SUMPRODUCT($AI$9:$DF$9,'Staff Daily sales'!$G288:$CD288))</f>
        <v>12650.130000000003</v>
      </c>
      <c r="P303">
        <f>IF($E303=0,0,SUMPRODUCT($AI$10:$DF$10,'Staff Daily sales'!$G288:$CD288))</f>
        <v>45</v>
      </c>
      <c r="Q303">
        <f>IF($E303=0,0,SUMPRODUCT($AI$11:$DF$11,'Staff Daily sales'!$G288:$CD288))</f>
        <v>7892.14</v>
      </c>
      <c r="R303">
        <f>IF($E303=0,0,SUMPRODUCT($AI$12:$DF$12,'Staff Daily sales'!$G288:$CD288))</f>
        <v>43</v>
      </c>
      <c r="S303">
        <f>IF($E303=0,0,SUMPRODUCT($AI$13:$DF$13,'Staff Daily sales'!$G288:$CD288))</f>
        <v>0</v>
      </c>
      <c r="T303">
        <f>IF($E303=0,0,SUMPRODUCT($AI$14:$DF$14,'Staff Daily sales'!$G288:$CD288))</f>
        <v>0</v>
      </c>
      <c r="U303">
        <f>IF($E303=0,0,SUMPRODUCT($AI$15:$DF$15,'Staff Daily sales'!$G288:$CD288))</f>
        <v>0</v>
      </c>
      <c r="V303">
        <f>IF($E303=0,0,SUMPRODUCT($AI$16:$DF$16,'Staff Daily sales'!$G288:$CD288))</f>
        <v>0</v>
      </c>
      <c r="W303">
        <f t="shared" si="95"/>
        <v>11734.35</v>
      </c>
      <c r="X303">
        <f t="shared" si="96"/>
        <v>21291.310000000005</v>
      </c>
      <c r="Y303">
        <f t="shared" si="97"/>
        <v>16192.36</v>
      </c>
      <c r="Z303">
        <f t="shared" si="98"/>
        <v>15843.8</v>
      </c>
      <c r="AA303">
        <f t="shared" si="99"/>
        <v>2736.84</v>
      </c>
      <c r="AB303">
        <f>--AND($E303=1,OR('Staff Weekly Trend'!$B$3="All",$DH303='Staff Weekly Trend'!$B$3),OR('Staff Weekly Trend'!$B$4="All",$D303='Staff Weekly Trend'!$B$4),OR('Staff Weekly Trend'!$B$5="All",$A303='Staff Weekly Trend'!$B$5))</f>
        <v>1</v>
      </c>
      <c r="AC303" t="str">
        <f t="shared" si="100"/>
        <v/>
      </c>
      <c r="AI303">
        <f t="shared" si="101"/>
        <v>58</v>
      </c>
      <c r="AJ303">
        <f t="shared" si="102"/>
        <v>88</v>
      </c>
      <c r="AK303">
        <f t="shared" si="103"/>
        <v>90</v>
      </c>
      <c r="AL303">
        <f t="shared" si="104"/>
        <v>83</v>
      </c>
      <c r="AM303">
        <f t="shared" si="105"/>
        <v>16</v>
      </c>
      <c r="DH303" t="str" cm="1">
        <f t="array" ref="DH303">IF($A303="","",_xlfn.LET(_xlpm.c,IFERROR(_xlfn.XLOOKUP($A303,TRIM('Sales and count'!$A$4:$A$300&amp;""),TRIM('Sales and count'!$B$4:$B$300&amp;"")),""),IF(OR(_xlpm.c="",_xlpm.c="0",LEFT(_xlpm.c,1)="#"),"Not set",_xlpm.c)))</f>
        <v>KSA</v>
      </c>
    </row>
    <row r="304" spans="1:112" x14ac:dyDescent="0.25">
      <c r="A304" t="str">
        <f>IF('Staff Daily sales'!$B289="","",TRIM('Staff Daily sales'!$B289&amp;""))</f>
        <v>HATASSPLZ</v>
      </c>
      <c r="B304" t="str">
        <f>IF('Staff Daily sales'!$D289="","",TRIM('Staff Daily sales'!$D289&amp;""))</f>
        <v>5383-SAlsharif</v>
      </c>
      <c r="C304" t="str">
        <f>IFERROR(TRIM('Staff Daily sales'!$E289&amp;""),"")</f>
        <v>Makkah</v>
      </c>
      <c r="D304" t="str">
        <f>IFERROR(IF(TRIM('Staff Daily sales'!$F289&amp;"")="","Unassigned",TRIM('Staff Daily sales'!$F289&amp;"")),"Unassigned")</f>
        <v>Maram Zamzami</v>
      </c>
      <c r="E304">
        <f t="shared" si="90"/>
        <v>1</v>
      </c>
      <c r="F304">
        <f>IF($E304=0,0,SUMPRODUCT($AI$5:$DF$5,'Staff Daily sales'!$G289:$CD289))</f>
        <v>646.97</v>
      </c>
      <c r="G304">
        <f>IF($E304=0,0,SUMPRODUCT($AI$6:$DF$6,'Staff Daily sales'!$G289:$CD289))</f>
        <v>3</v>
      </c>
      <c r="H304">
        <f t="shared" si="91"/>
        <v>1937.89</v>
      </c>
      <c r="I304">
        <f t="shared" si="92"/>
        <v>10</v>
      </c>
      <c r="J304">
        <f t="shared" si="93"/>
        <v>89423.479999999967</v>
      </c>
      <c r="K304">
        <f t="shared" si="94"/>
        <v>413</v>
      </c>
      <c r="L304">
        <f>--AND($E304=1,OR('Staff Dashboard'!$B$6="All",$DH304='Staff Dashboard'!$B$6),OR('Staff Dashboard'!$B$7="All",$D304='Staff Dashboard'!$B$7),OR('Staff Dashboard'!$B$8="All",$A304='Staff Dashboard'!$B$8))</f>
        <v>1</v>
      </c>
      <c r="M304">
        <f>IF($E304=0,0,SUMPRODUCT($AI$7:$DF$7,'Staff Daily sales'!$G289:$CD289))</f>
        <v>4428.13</v>
      </c>
      <c r="N304">
        <f>IF($E304=0,0,SUMPRODUCT($AI$8:$DF$8,'Staff Daily sales'!$G289:$CD289))</f>
        <v>25</v>
      </c>
      <c r="O304">
        <f>IF($E304=0,0,SUMPRODUCT($AI$9:$DF$9,'Staff Daily sales'!$G289:$CD289))</f>
        <v>4527.1000000000004</v>
      </c>
      <c r="P304">
        <f>IF($E304=0,0,SUMPRODUCT($AI$10:$DF$10,'Staff Daily sales'!$G289:$CD289))</f>
        <v>26</v>
      </c>
      <c r="Q304">
        <f>IF($E304=0,0,SUMPRODUCT($AI$11:$DF$11,'Staff Daily sales'!$G289:$CD289))</f>
        <v>6526.17</v>
      </c>
      <c r="R304">
        <f>IF($E304=0,0,SUMPRODUCT($AI$12:$DF$12,'Staff Daily sales'!$G289:$CD289))</f>
        <v>37</v>
      </c>
      <c r="S304">
        <f>IF($E304=0,0,SUMPRODUCT($AI$13:$DF$13,'Staff Daily sales'!$G289:$CD289))</f>
        <v>4735.9400000000005</v>
      </c>
      <c r="T304">
        <f>IF($E304=0,0,SUMPRODUCT($AI$14:$DF$14,'Staff Daily sales'!$G289:$CD289))</f>
        <v>23</v>
      </c>
      <c r="U304">
        <f>IF($E304=0,0,SUMPRODUCT($AI$15:$DF$15,'Staff Daily sales'!$G289:$CD289))</f>
        <v>430.98</v>
      </c>
      <c r="V304">
        <f>IF($E304=0,0,SUMPRODUCT($AI$16:$DF$16,'Staff Daily sales'!$G289:$CD289))</f>
        <v>2</v>
      </c>
      <c r="W304">
        <f t="shared" si="95"/>
        <v>11734.35</v>
      </c>
      <c r="X304">
        <f t="shared" si="96"/>
        <v>21291.310000000005</v>
      </c>
      <c r="Y304">
        <f t="shared" si="97"/>
        <v>16192.36</v>
      </c>
      <c r="Z304">
        <f t="shared" si="98"/>
        <v>15843.8</v>
      </c>
      <c r="AA304">
        <f t="shared" si="99"/>
        <v>2736.84</v>
      </c>
      <c r="AB304">
        <f>--AND($E304=1,OR('Staff Weekly Trend'!$B$3="All",$DH304='Staff Weekly Trend'!$B$3),OR('Staff Weekly Trend'!$B$4="All",$D304='Staff Weekly Trend'!$B$4),OR('Staff Weekly Trend'!$B$5="All",$A304='Staff Weekly Trend'!$B$5))</f>
        <v>1</v>
      </c>
      <c r="AC304">
        <f t="shared" si="100"/>
        <v>2</v>
      </c>
      <c r="AI304">
        <f t="shared" si="101"/>
        <v>58</v>
      </c>
      <c r="AJ304">
        <f t="shared" si="102"/>
        <v>88</v>
      </c>
      <c r="AK304">
        <f t="shared" si="103"/>
        <v>90</v>
      </c>
      <c r="AL304">
        <f t="shared" si="104"/>
        <v>83</v>
      </c>
      <c r="AM304">
        <f t="shared" si="105"/>
        <v>16</v>
      </c>
      <c r="DH304" t="str" cm="1">
        <f t="array" ref="DH304">IF($A304="","",_xlfn.LET(_xlpm.c,IFERROR(_xlfn.XLOOKUP($A304,TRIM('Sales and count'!$A$4:$A$300&amp;""),TRIM('Sales and count'!$B$4:$B$300&amp;"")),""),IF(OR(_xlpm.c="",_xlpm.c="0",LEFT(_xlpm.c,1)="#"),"Not set",_xlpm.c)))</f>
        <v>KSA</v>
      </c>
    </row>
    <row r="305" spans="1:112" x14ac:dyDescent="0.25">
      <c r="A305" t="str">
        <f>IF('Staff Daily sales'!$B290="","",TRIM('Staff Daily sales'!$B290&amp;""))</f>
        <v>HAOTHASS</v>
      </c>
      <c r="B305" t="str">
        <f>IF('Staff Daily sales'!$D290="","",TRIM('Staff Daily sales'!$D290&amp;""))</f>
        <v>4103-ZAlHadhari</v>
      </c>
      <c r="C305" t="str">
        <f>IFERROR(TRIM('Staff Daily sales'!$E290&amp;""),"")</f>
        <v>Al Hasa</v>
      </c>
      <c r="D305" t="str">
        <f>IFERROR(IF(TRIM('Staff Daily sales'!$F290&amp;"")="","Unassigned",TRIM('Staff Daily sales'!$F290&amp;"")),"Unassigned")</f>
        <v>Hamzah Al Makhadam</v>
      </c>
      <c r="E305">
        <f t="shared" si="90"/>
        <v>1</v>
      </c>
      <c r="F305">
        <f>IF($E305=0,0,SUMPRODUCT($AI$5:$DF$5,'Staff Daily sales'!$G290:$CD290))</f>
        <v>0</v>
      </c>
      <c r="G305">
        <f>IF($E305=0,0,SUMPRODUCT($AI$6:$DF$6,'Staff Daily sales'!$G290:$CD290))</f>
        <v>0</v>
      </c>
      <c r="H305">
        <f t="shared" si="91"/>
        <v>9874.4500000000007</v>
      </c>
      <c r="I305">
        <f t="shared" si="92"/>
        <v>34</v>
      </c>
      <c r="J305">
        <f t="shared" si="93"/>
        <v>128104.23999999996</v>
      </c>
      <c r="K305">
        <f t="shared" si="94"/>
        <v>596</v>
      </c>
      <c r="L305">
        <f>--AND($E305=1,OR('Staff Dashboard'!$B$6="All",$DH305='Staff Dashboard'!$B$6),OR('Staff Dashboard'!$B$7="All",$D305='Staff Dashboard'!$B$7),OR('Staff Dashboard'!$B$8="All",$A305='Staff Dashboard'!$B$8))</f>
        <v>0</v>
      </c>
      <c r="M305">
        <f>IF($E305=0,0,SUMPRODUCT($AI$7:$DF$7,'Staff Daily sales'!$G290:$CD290))</f>
        <v>150</v>
      </c>
      <c r="N305">
        <f>IF($E305=0,0,SUMPRODUCT($AI$8:$DF$8,'Staff Daily sales'!$G290:$CD290))</f>
        <v>1</v>
      </c>
      <c r="O305">
        <f>IF($E305=0,0,SUMPRODUCT($AI$9:$DF$9,'Staff Daily sales'!$G290:$CD290))</f>
        <v>0</v>
      </c>
      <c r="P305">
        <f>IF($E305=0,0,SUMPRODUCT($AI$10:$DF$10,'Staff Daily sales'!$G290:$CD290))</f>
        <v>0</v>
      </c>
      <c r="Q305">
        <f>IF($E305=0,0,SUMPRODUCT($AI$11:$DF$11,'Staff Daily sales'!$G290:$CD290))</f>
        <v>0</v>
      </c>
      <c r="R305">
        <f>IF($E305=0,0,SUMPRODUCT($AI$12:$DF$12,'Staff Daily sales'!$G290:$CD290))</f>
        <v>0</v>
      </c>
      <c r="S305">
        <f>IF($E305=0,0,SUMPRODUCT($AI$13:$DF$13,'Staff Daily sales'!$G290:$CD290))</f>
        <v>0</v>
      </c>
      <c r="T305">
        <f>IF($E305=0,0,SUMPRODUCT($AI$14:$DF$14,'Staff Daily sales'!$G290:$CD290))</f>
        <v>0</v>
      </c>
      <c r="U305">
        <f>IF($E305=0,0,SUMPRODUCT($AI$15:$DF$15,'Staff Daily sales'!$G290:$CD290))</f>
        <v>0</v>
      </c>
      <c r="V305">
        <f>IF($E305=0,0,SUMPRODUCT($AI$16:$DF$16,'Staff Daily sales'!$G290:$CD290))</f>
        <v>0</v>
      </c>
      <c r="W305">
        <f t="shared" si="95"/>
        <v>45445.73</v>
      </c>
      <c r="X305">
        <f t="shared" si="96"/>
        <v>51496.619999999995</v>
      </c>
      <c r="Y305">
        <f t="shared" si="97"/>
        <v>37762.490000000005</v>
      </c>
      <c r="Z305">
        <f t="shared" si="98"/>
        <v>34088.33</v>
      </c>
      <c r="AA305">
        <f t="shared" si="99"/>
        <v>9745.07</v>
      </c>
      <c r="AB305">
        <f>--AND($E305=1,OR('Staff Weekly Trend'!$B$3="All",$DH305='Staff Weekly Trend'!$B$3),OR('Staff Weekly Trend'!$B$4="All",$D305='Staff Weekly Trend'!$B$4),OR('Staff Weekly Trend'!$B$5="All",$A305='Staff Weekly Trend'!$B$5))</f>
        <v>1</v>
      </c>
      <c r="AC305" t="str">
        <f t="shared" si="100"/>
        <v/>
      </c>
      <c r="AI305">
        <f t="shared" si="101"/>
        <v>225</v>
      </c>
      <c r="AJ305">
        <f t="shared" si="102"/>
        <v>281</v>
      </c>
      <c r="AK305">
        <f t="shared" si="103"/>
        <v>198</v>
      </c>
      <c r="AL305">
        <f t="shared" si="104"/>
        <v>176</v>
      </c>
      <c r="AM305">
        <f t="shared" si="105"/>
        <v>34</v>
      </c>
      <c r="DH305" t="str" cm="1">
        <f t="array" ref="DH305">IF($A305="","",_xlfn.LET(_xlpm.c,IFERROR(_xlfn.XLOOKUP($A305,TRIM('Sales and count'!$A$4:$A$300&amp;""),TRIM('Sales and count'!$B$4:$B$300&amp;"")),""),IF(OR(_xlpm.c="",_xlpm.c="0",LEFT(_xlpm.c,1)="#"),"Not set",_xlpm.c)))</f>
        <v>KSA</v>
      </c>
    </row>
    <row r="306" spans="1:112" x14ac:dyDescent="0.25">
      <c r="A306" t="str">
        <f>IF('Staff Daily sales'!$B291="","",TRIM('Staff Daily sales'!$B291&amp;""))</f>
        <v>HAOTHASS</v>
      </c>
      <c r="B306" t="str">
        <f>IF('Staff Daily sales'!$D291="","",TRIM('Staff Daily sales'!$D291&amp;""))</f>
        <v>4108-SBusaleh</v>
      </c>
      <c r="C306" t="str">
        <f>IFERROR(TRIM('Staff Daily sales'!$E291&amp;""),"")</f>
        <v>Al Hasa</v>
      </c>
      <c r="D306" t="str">
        <f>IFERROR(IF(TRIM('Staff Daily sales'!$F291&amp;"")="","Unassigned",TRIM('Staff Daily sales'!$F291&amp;"")),"Unassigned")</f>
        <v>Hamzah Al Makhadam</v>
      </c>
      <c r="E306">
        <f t="shared" si="90"/>
        <v>1</v>
      </c>
      <c r="F306">
        <f>IF($E306=0,0,SUMPRODUCT($AI$5:$DF$5,'Staff Daily sales'!$G291:$CD291))</f>
        <v>0</v>
      </c>
      <c r="G306">
        <f>IF($E306=0,0,SUMPRODUCT($AI$6:$DF$6,'Staff Daily sales'!$G291:$CD291))</f>
        <v>0</v>
      </c>
      <c r="H306">
        <f t="shared" si="91"/>
        <v>9874.4500000000007</v>
      </c>
      <c r="I306">
        <f t="shared" si="92"/>
        <v>34</v>
      </c>
      <c r="J306">
        <f t="shared" si="93"/>
        <v>128104.23999999996</v>
      </c>
      <c r="K306">
        <f t="shared" si="94"/>
        <v>596</v>
      </c>
      <c r="L306">
        <f>--AND($E306=1,OR('Staff Dashboard'!$B$6="All",$DH306='Staff Dashboard'!$B$6),OR('Staff Dashboard'!$B$7="All",$D306='Staff Dashboard'!$B$7),OR('Staff Dashboard'!$B$8="All",$A306='Staff Dashboard'!$B$8))</f>
        <v>0</v>
      </c>
      <c r="M306">
        <f>IF($E306=0,0,SUMPRODUCT($AI$7:$DF$7,'Staff Daily sales'!$G291:$CD291))</f>
        <v>13733.27</v>
      </c>
      <c r="N306">
        <f>IF($E306=0,0,SUMPRODUCT($AI$8:$DF$8,'Staff Daily sales'!$G291:$CD291))</f>
        <v>78</v>
      </c>
      <c r="O306">
        <f>IF($E306=0,0,SUMPRODUCT($AI$9:$DF$9,'Staff Daily sales'!$G291:$CD291))</f>
        <v>4884.04</v>
      </c>
      <c r="P306">
        <f>IF($E306=0,0,SUMPRODUCT($AI$10:$DF$10,'Staff Daily sales'!$G291:$CD291))</f>
        <v>26</v>
      </c>
      <c r="Q306">
        <f>IF($E306=0,0,SUMPRODUCT($AI$11:$DF$11,'Staff Daily sales'!$G291:$CD291))</f>
        <v>0</v>
      </c>
      <c r="R306">
        <f>IF($E306=0,0,SUMPRODUCT($AI$12:$DF$12,'Staff Daily sales'!$G291:$CD291))</f>
        <v>0</v>
      </c>
      <c r="S306">
        <f>IF($E306=0,0,SUMPRODUCT($AI$13:$DF$13,'Staff Daily sales'!$G291:$CD291))</f>
        <v>0</v>
      </c>
      <c r="T306">
        <f>IF($E306=0,0,SUMPRODUCT($AI$14:$DF$14,'Staff Daily sales'!$G291:$CD291))</f>
        <v>0</v>
      </c>
      <c r="U306">
        <f>IF($E306=0,0,SUMPRODUCT($AI$15:$DF$15,'Staff Daily sales'!$G291:$CD291))</f>
        <v>0</v>
      </c>
      <c r="V306">
        <f>IF($E306=0,0,SUMPRODUCT($AI$16:$DF$16,'Staff Daily sales'!$G291:$CD291))</f>
        <v>0</v>
      </c>
      <c r="W306">
        <f t="shared" si="95"/>
        <v>45445.73</v>
      </c>
      <c r="X306">
        <f t="shared" si="96"/>
        <v>51496.619999999995</v>
      </c>
      <c r="Y306">
        <f t="shared" si="97"/>
        <v>37762.490000000005</v>
      </c>
      <c r="Z306">
        <f t="shared" si="98"/>
        <v>34088.33</v>
      </c>
      <c r="AA306">
        <f t="shared" si="99"/>
        <v>9745.07</v>
      </c>
      <c r="AB306">
        <f>--AND($E306=1,OR('Staff Weekly Trend'!$B$3="All",$DH306='Staff Weekly Trend'!$B$3),OR('Staff Weekly Trend'!$B$4="All",$D306='Staff Weekly Trend'!$B$4),OR('Staff Weekly Trend'!$B$5="All",$A306='Staff Weekly Trend'!$B$5))</f>
        <v>1</v>
      </c>
      <c r="AC306" t="str">
        <f t="shared" si="100"/>
        <v/>
      </c>
      <c r="AI306">
        <f t="shared" si="101"/>
        <v>225</v>
      </c>
      <c r="AJ306">
        <f t="shared" si="102"/>
        <v>281</v>
      </c>
      <c r="AK306">
        <f t="shared" si="103"/>
        <v>198</v>
      </c>
      <c r="AL306">
        <f t="shared" si="104"/>
        <v>176</v>
      </c>
      <c r="AM306">
        <f t="shared" si="105"/>
        <v>34</v>
      </c>
      <c r="DH306" t="str" cm="1">
        <f t="array" ref="DH306">IF($A306="","",_xlfn.LET(_xlpm.c,IFERROR(_xlfn.XLOOKUP($A306,TRIM('Sales and count'!$A$4:$A$300&amp;""),TRIM('Sales and count'!$B$4:$B$300&amp;"")),""),IF(OR(_xlpm.c="",_xlpm.c="0",LEFT(_xlpm.c,1)="#"),"Not set",_xlpm.c)))</f>
        <v>KSA</v>
      </c>
    </row>
    <row r="307" spans="1:112" x14ac:dyDescent="0.25">
      <c r="A307" t="str">
        <f>IF('Staff Daily sales'!$B292="","",TRIM('Staff Daily sales'!$B292&amp;""))</f>
        <v>HAOTHASS</v>
      </c>
      <c r="B307" t="str">
        <f>IF('Staff Daily sales'!$D292="","",TRIM('Staff Daily sales'!$D292&amp;""))</f>
        <v>4114-SAlaboud</v>
      </c>
      <c r="C307" t="str">
        <f>IFERROR(TRIM('Staff Daily sales'!$E292&amp;""),"")</f>
        <v>Al Hasa</v>
      </c>
      <c r="D307" t="str">
        <f>IFERROR(IF(TRIM('Staff Daily sales'!$F292&amp;"")="","Unassigned",TRIM('Staff Daily sales'!$F292&amp;"")),"Unassigned")</f>
        <v>Hamzah Al Makhadam</v>
      </c>
      <c r="E307">
        <f t="shared" si="90"/>
        <v>1</v>
      </c>
      <c r="F307">
        <f>IF($E307=0,0,SUMPRODUCT($AI$5:$DF$5,'Staff Daily sales'!$G292:$CD292))</f>
        <v>2529.84</v>
      </c>
      <c r="G307">
        <f>IF($E307=0,0,SUMPRODUCT($AI$6:$DF$6,'Staff Daily sales'!$G292:$CD292))</f>
        <v>10</v>
      </c>
      <c r="H307">
        <f t="shared" si="91"/>
        <v>9874.4500000000007</v>
      </c>
      <c r="I307">
        <f t="shared" si="92"/>
        <v>34</v>
      </c>
      <c r="J307">
        <f t="shared" si="93"/>
        <v>128104.23999999996</v>
      </c>
      <c r="K307">
        <f t="shared" si="94"/>
        <v>596</v>
      </c>
      <c r="L307">
        <f>--AND($E307=1,OR('Staff Dashboard'!$B$6="All",$DH307='Staff Dashboard'!$B$6),OR('Staff Dashboard'!$B$7="All",$D307='Staff Dashboard'!$B$7),OR('Staff Dashboard'!$B$8="All",$A307='Staff Dashboard'!$B$8))</f>
        <v>0</v>
      </c>
      <c r="M307">
        <f>IF($E307=0,0,SUMPRODUCT($AI$7:$DF$7,'Staff Daily sales'!$G292:$CD292))</f>
        <v>117.01</v>
      </c>
      <c r="N307">
        <f>IF($E307=0,0,SUMPRODUCT($AI$8:$DF$8,'Staff Daily sales'!$G292:$CD292))</f>
        <v>1</v>
      </c>
      <c r="O307">
        <f>IF($E307=0,0,SUMPRODUCT($AI$9:$DF$9,'Staff Daily sales'!$G292:$CD292))</f>
        <v>2892.02</v>
      </c>
      <c r="P307">
        <f>IF($E307=0,0,SUMPRODUCT($AI$10:$DF$10,'Staff Daily sales'!$G292:$CD292))</f>
        <v>18</v>
      </c>
      <c r="Q307">
        <f>IF($E307=0,0,SUMPRODUCT($AI$11:$DF$11,'Staff Daily sales'!$G292:$CD292))</f>
        <v>11453.240000000002</v>
      </c>
      <c r="R307">
        <f>IF($E307=0,0,SUMPRODUCT($AI$12:$DF$12,'Staff Daily sales'!$G292:$CD292))</f>
        <v>50</v>
      </c>
      <c r="S307">
        <f>IF($E307=0,0,SUMPRODUCT($AI$13:$DF$13,'Staff Daily sales'!$G292:$CD292))</f>
        <v>8214.82</v>
      </c>
      <c r="T307">
        <f>IF($E307=0,0,SUMPRODUCT($AI$14:$DF$14,'Staff Daily sales'!$G292:$CD292))</f>
        <v>45</v>
      </c>
      <c r="U307">
        <f>IF($E307=0,0,SUMPRODUCT($AI$15:$DF$15,'Staff Daily sales'!$G292:$CD292))</f>
        <v>2072.1099999999997</v>
      </c>
      <c r="V307">
        <f>IF($E307=0,0,SUMPRODUCT($AI$16:$DF$16,'Staff Daily sales'!$G292:$CD292))</f>
        <v>9</v>
      </c>
      <c r="W307">
        <f t="shared" si="95"/>
        <v>45445.73</v>
      </c>
      <c r="X307">
        <f t="shared" si="96"/>
        <v>51496.619999999995</v>
      </c>
      <c r="Y307">
        <f t="shared" si="97"/>
        <v>37762.490000000005</v>
      </c>
      <c r="Z307">
        <f t="shared" si="98"/>
        <v>34088.33</v>
      </c>
      <c r="AA307">
        <f t="shared" si="99"/>
        <v>9745.07</v>
      </c>
      <c r="AB307">
        <f>--AND($E307=1,OR('Staff Weekly Trend'!$B$3="All",$DH307='Staff Weekly Trend'!$B$3),OR('Staff Weekly Trend'!$B$4="All",$D307='Staff Weekly Trend'!$B$4),OR('Staff Weekly Trend'!$B$5="All",$A307='Staff Weekly Trend'!$B$5))</f>
        <v>1</v>
      </c>
      <c r="AC307">
        <f t="shared" si="100"/>
        <v>2</v>
      </c>
      <c r="AI307">
        <f t="shared" si="101"/>
        <v>225</v>
      </c>
      <c r="AJ307">
        <f t="shared" si="102"/>
        <v>281</v>
      </c>
      <c r="AK307">
        <f t="shared" si="103"/>
        <v>198</v>
      </c>
      <c r="AL307">
        <f t="shared" si="104"/>
        <v>176</v>
      </c>
      <c r="AM307">
        <f t="shared" si="105"/>
        <v>34</v>
      </c>
      <c r="DH307" t="str" cm="1">
        <f t="array" ref="DH307">IF($A307="","",_xlfn.LET(_xlpm.c,IFERROR(_xlfn.XLOOKUP($A307,TRIM('Sales and count'!$A$4:$A$300&amp;""),TRIM('Sales and count'!$B$4:$B$300&amp;"")),""),IF(OR(_xlpm.c="",_xlpm.c="0",LEFT(_xlpm.c,1)="#"),"Not set",_xlpm.c)))</f>
        <v>KSA</v>
      </c>
    </row>
    <row r="308" spans="1:112" x14ac:dyDescent="0.25">
      <c r="A308" t="str">
        <f>IF('Staff Daily sales'!$B293="","",TRIM('Staff Daily sales'!$B293&amp;""))</f>
        <v>HAOTHASS</v>
      </c>
      <c r="B308" t="str">
        <f>IF('Staff Daily sales'!$D293="","",TRIM('Staff Daily sales'!$D293&amp;""))</f>
        <v>4118-ZAlkhlef</v>
      </c>
      <c r="C308" t="str">
        <f>IFERROR(TRIM('Staff Daily sales'!$E293&amp;""),"")</f>
        <v>Al Hasa</v>
      </c>
      <c r="D308" t="str">
        <f>IFERROR(IF(TRIM('Staff Daily sales'!$F293&amp;"")="","Unassigned",TRIM('Staff Daily sales'!$F293&amp;"")),"Unassigned")</f>
        <v>Hamzah Al Makhadam</v>
      </c>
      <c r="E308">
        <f t="shared" si="90"/>
        <v>1</v>
      </c>
      <c r="F308">
        <f>IF($E308=0,0,SUMPRODUCT($AI$5:$DF$5,'Staff Daily sales'!$G293:$CD293))</f>
        <v>1387.92</v>
      </c>
      <c r="G308">
        <f>IF($E308=0,0,SUMPRODUCT($AI$6:$DF$6,'Staff Daily sales'!$G293:$CD293))</f>
        <v>9</v>
      </c>
      <c r="H308">
        <f t="shared" si="91"/>
        <v>9874.4500000000007</v>
      </c>
      <c r="I308">
        <f t="shared" si="92"/>
        <v>34</v>
      </c>
      <c r="J308">
        <f t="shared" si="93"/>
        <v>128104.23999999996</v>
      </c>
      <c r="K308">
        <f t="shared" si="94"/>
        <v>596</v>
      </c>
      <c r="L308">
        <f>--AND($E308=1,OR('Staff Dashboard'!$B$6="All",$DH308='Staff Dashboard'!$B$6),OR('Staff Dashboard'!$B$7="All",$D308='Staff Dashboard'!$B$7),OR('Staff Dashboard'!$B$8="All",$A308='Staff Dashboard'!$B$8))</f>
        <v>0</v>
      </c>
      <c r="M308">
        <f>IF($E308=0,0,SUMPRODUCT($AI$7:$DF$7,'Staff Daily sales'!$G293:$CD293))</f>
        <v>10351.220000000001</v>
      </c>
      <c r="N308">
        <f>IF($E308=0,0,SUMPRODUCT($AI$8:$DF$8,'Staff Daily sales'!$G293:$CD293))</f>
        <v>54</v>
      </c>
      <c r="O308">
        <f>IF($E308=0,0,SUMPRODUCT($AI$9:$DF$9,'Staff Daily sales'!$G293:$CD293))</f>
        <v>15875.18</v>
      </c>
      <c r="P308">
        <f>IF($E308=0,0,SUMPRODUCT($AI$10:$DF$10,'Staff Daily sales'!$G293:$CD293))</f>
        <v>83</v>
      </c>
      <c r="Q308">
        <f>IF($E308=0,0,SUMPRODUCT($AI$11:$DF$11,'Staff Daily sales'!$G293:$CD293))</f>
        <v>7126.09</v>
      </c>
      <c r="R308">
        <f>IF($E308=0,0,SUMPRODUCT($AI$12:$DF$12,'Staff Daily sales'!$G293:$CD293))</f>
        <v>45</v>
      </c>
      <c r="S308">
        <f>IF($E308=0,0,SUMPRODUCT($AI$13:$DF$13,'Staff Daily sales'!$G293:$CD293))</f>
        <v>6725.9500000000007</v>
      </c>
      <c r="T308">
        <f>IF($E308=0,0,SUMPRODUCT($AI$14:$DF$14,'Staff Daily sales'!$G293:$CD293))</f>
        <v>45</v>
      </c>
      <c r="U308">
        <f>IF($E308=0,0,SUMPRODUCT($AI$15:$DF$15,'Staff Daily sales'!$G293:$CD293))</f>
        <v>3259.89</v>
      </c>
      <c r="V308">
        <f>IF($E308=0,0,SUMPRODUCT($AI$16:$DF$16,'Staff Daily sales'!$G293:$CD293))</f>
        <v>9</v>
      </c>
      <c r="W308">
        <f t="shared" si="95"/>
        <v>45445.73</v>
      </c>
      <c r="X308">
        <f t="shared" si="96"/>
        <v>51496.619999999995</v>
      </c>
      <c r="Y308">
        <f t="shared" si="97"/>
        <v>37762.490000000005</v>
      </c>
      <c r="Z308">
        <f t="shared" si="98"/>
        <v>34088.33</v>
      </c>
      <c r="AA308">
        <f t="shared" si="99"/>
        <v>9745.07</v>
      </c>
      <c r="AB308">
        <f>--AND($E308=1,OR('Staff Weekly Trend'!$B$3="All",$DH308='Staff Weekly Trend'!$B$3),OR('Staff Weekly Trend'!$B$4="All",$D308='Staff Weekly Trend'!$B$4),OR('Staff Weekly Trend'!$B$5="All",$A308='Staff Weekly Trend'!$B$5))</f>
        <v>1</v>
      </c>
      <c r="AC308">
        <f t="shared" si="100"/>
        <v>3</v>
      </c>
      <c r="AI308">
        <f t="shared" si="101"/>
        <v>225</v>
      </c>
      <c r="AJ308">
        <f t="shared" si="102"/>
        <v>281</v>
      </c>
      <c r="AK308">
        <f t="shared" si="103"/>
        <v>198</v>
      </c>
      <c r="AL308">
        <f t="shared" si="104"/>
        <v>176</v>
      </c>
      <c r="AM308">
        <f t="shared" si="105"/>
        <v>34</v>
      </c>
      <c r="DH308" t="str" cm="1">
        <f t="array" ref="DH308">IF($A308="","",_xlfn.LET(_xlpm.c,IFERROR(_xlfn.XLOOKUP($A308,TRIM('Sales and count'!$A$4:$A$300&amp;""),TRIM('Sales and count'!$B$4:$B$300&amp;"")),""),IF(OR(_xlpm.c="",_xlpm.c="0",LEFT(_xlpm.c,1)="#"),"Not set",_xlpm.c)))</f>
        <v>KSA</v>
      </c>
    </row>
    <row r="309" spans="1:112" x14ac:dyDescent="0.25">
      <c r="A309" t="str">
        <f>IF('Staff Daily sales'!$B294="","",TRIM('Staff Daily sales'!$B294&amp;""))</f>
        <v>HAOTHASS</v>
      </c>
      <c r="B309" t="str">
        <f>IF('Staff Daily sales'!$D294="","",TRIM('Staff Daily sales'!$D294&amp;""))</f>
        <v>4127-FBoSorror</v>
      </c>
      <c r="C309" t="str">
        <f>IFERROR(TRIM('Staff Daily sales'!$E294&amp;""),"")</f>
        <v>Al Hasa</v>
      </c>
      <c r="D309" t="str">
        <f>IFERROR(IF(TRIM('Staff Daily sales'!$F294&amp;"")="","Unassigned",TRIM('Staff Daily sales'!$F294&amp;"")),"Unassigned")</f>
        <v>Hamzah Al Makhadam</v>
      </c>
      <c r="E309">
        <f t="shared" si="90"/>
        <v>1</v>
      </c>
      <c r="F309">
        <f>IF($E309=0,0,SUMPRODUCT($AI$5:$DF$5,'Staff Daily sales'!$G294:$CD294))</f>
        <v>0</v>
      </c>
      <c r="G309">
        <f>IF($E309=0,0,SUMPRODUCT($AI$6:$DF$6,'Staff Daily sales'!$G294:$CD294))</f>
        <v>0</v>
      </c>
      <c r="H309">
        <f t="shared" si="91"/>
        <v>9874.4500000000007</v>
      </c>
      <c r="I309">
        <f t="shared" si="92"/>
        <v>34</v>
      </c>
      <c r="J309">
        <f t="shared" si="93"/>
        <v>128104.23999999996</v>
      </c>
      <c r="K309">
        <f t="shared" si="94"/>
        <v>596</v>
      </c>
      <c r="L309">
        <f>--AND($E309=1,OR('Staff Dashboard'!$B$6="All",$DH309='Staff Dashboard'!$B$6),OR('Staff Dashboard'!$B$7="All",$D309='Staff Dashboard'!$B$7),OR('Staff Dashboard'!$B$8="All",$A309='Staff Dashboard'!$B$8))</f>
        <v>0</v>
      </c>
      <c r="M309">
        <f>IF($E309=0,0,SUMPRODUCT($AI$7:$DF$7,'Staff Daily sales'!$G294:$CD294))</f>
        <v>14220.19</v>
      </c>
      <c r="N309">
        <f>IF($E309=0,0,SUMPRODUCT($AI$8:$DF$8,'Staff Daily sales'!$G294:$CD294))</f>
        <v>50</v>
      </c>
      <c r="O309">
        <f>IF($E309=0,0,SUMPRODUCT($AI$9:$DF$9,'Staff Daily sales'!$G294:$CD294))</f>
        <v>17808.16</v>
      </c>
      <c r="P309">
        <f>IF($E309=0,0,SUMPRODUCT($AI$10:$DF$10,'Staff Daily sales'!$G294:$CD294))</f>
        <v>100</v>
      </c>
      <c r="Q309">
        <f>IF($E309=0,0,SUMPRODUCT($AI$11:$DF$11,'Staff Daily sales'!$G294:$CD294))</f>
        <v>9990.15</v>
      </c>
      <c r="R309">
        <f>IF($E309=0,0,SUMPRODUCT($AI$12:$DF$12,'Staff Daily sales'!$G294:$CD294))</f>
        <v>54</v>
      </c>
      <c r="S309">
        <f>IF($E309=0,0,SUMPRODUCT($AI$13:$DF$13,'Staff Daily sales'!$G294:$CD294))</f>
        <v>6796.9500000000007</v>
      </c>
      <c r="T309">
        <f>IF($E309=0,0,SUMPRODUCT($AI$14:$DF$14,'Staff Daily sales'!$G294:$CD294))</f>
        <v>32</v>
      </c>
      <c r="U309">
        <f>IF($E309=0,0,SUMPRODUCT($AI$15:$DF$15,'Staff Daily sales'!$G294:$CD294))</f>
        <v>0</v>
      </c>
      <c r="V309">
        <f>IF($E309=0,0,SUMPRODUCT($AI$16:$DF$16,'Staff Daily sales'!$G294:$CD294))</f>
        <v>0</v>
      </c>
      <c r="W309">
        <f t="shared" si="95"/>
        <v>45445.73</v>
      </c>
      <c r="X309">
        <f t="shared" si="96"/>
        <v>51496.619999999995</v>
      </c>
      <c r="Y309">
        <f t="shared" si="97"/>
        <v>37762.490000000005</v>
      </c>
      <c r="Z309">
        <f t="shared" si="98"/>
        <v>34088.33</v>
      </c>
      <c r="AA309">
        <f t="shared" si="99"/>
        <v>9745.07</v>
      </c>
      <c r="AB309">
        <f>--AND($E309=1,OR('Staff Weekly Trend'!$B$3="All",$DH309='Staff Weekly Trend'!$B$3),OR('Staff Weekly Trend'!$B$4="All",$D309='Staff Weekly Trend'!$B$4),OR('Staff Weekly Trend'!$B$5="All",$A309='Staff Weekly Trend'!$B$5))</f>
        <v>1</v>
      </c>
      <c r="AC309" t="str">
        <f t="shared" si="100"/>
        <v/>
      </c>
      <c r="AI309">
        <f t="shared" si="101"/>
        <v>225</v>
      </c>
      <c r="AJ309">
        <f t="shared" si="102"/>
        <v>281</v>
      </c>
      <c r="AK309">
        <f t="shared" si="103"/>
        <v>198</v>
      </c>
      <c r="AL309">
        <f t="shared" si="104"/>
        <v>176</v>
      </c>
      <c r="AM309">
        <f t="shared" si="105"/>
        <v>34</v>
      </c>
      <c r="DH309" t="str" cm="1">
        <f t="array" ref="DH309">IF($A309="","",_xlfn.LET(_xlpm.c,IFERROR(_xlfn.XLOOKUP($A309,TRIM('Sales and count'!$A$4:$A$300&amp;""),TRIM('Sales and count'!$B$4:$B$300&amp;"")),""),IF(OR(_xlpm.c="",_xlpm.c="0",LEFT(_xlpm.c,1)="#"),"Not set",_xlpm.c)))</f>
        <v>KSA</v>
      </c>
    </row>
    <row r="310" spans="1:112" x14ac:dyDescent="0.25">
      <c r="A310" t="str">
        <f>IF('Staff Daily sales'!$B295="","",TRIM('Staff Daily sales'!$B295&amp;""))</f>
        <v>HAOTHASS</v>
      </c>
      <c r="B310" t="str">
        <f>IF('Staff Daily sales'!$D295="","",TRIM('Staff Daily sales'!$D295&amp;""))</f>
        <v>5122-AAlhmmadi</v>
      </c>
      <c r="C310" t="str">
        <f>IFERROR(TRIM('Staff Daily sales'!$E295&amp;""),"")</f>
        <v>Al Hasa</v>
      </c>
      <c r="D310" t="str">
        <f>IFERROR(IF(TRIM('Staff Daily sales'!$F295&amp;"")="","Unassigned",TRIM('Staff Daily sales'!$F295&amp;"")),"Unassigned")</f>
        <v>Hamzah Al Makhadam</v>
      </c>
      <c r="E310">
        <f t="shared" si="90"/>
        <v>1</v>
      </c>
      <c r="F310">
        <f>IF($E310=0,0,SUMPRODUCT($AI$5:$DF$5,'Staff Daily sales'!$G295:$CD295))</f>
        <v>978.99</v>
      </c>
      <c r="G310">
        <f>IF($E310=0,0,SUMPRODUCT($AI$6:$DF$6,'Staff Daily sales'!$G295:$CD295))</f>
        <v>7</v>
      </c>
      <c r="H310">
        <f t="shared" si="91"/>
        <v>9874.4500000000007</v>
      </c>
      <c r="I310">
        <f t="shared" si="92"/>
        <v>34</v>
      </c>
      <c r="J310">
        <f t="shared" si="93"/>
        <v>128104.23999999996</v>
      </c>
      <c r="K310">
        <f t="shared" si="94"/>
        <v>596</v>
      </c>
      <c r="L310">
        <f>--AND($E310=1,OR('Staff Dashboard'!$B$6="All",$DH310='Staff Dashboard'!$B$6),OR('Staff Dashboard'!$B$7="All",$D310='Staff Dashboard'!$B$7),OR('Staff Dashboard'!$B$8="All",$A310='Staff Dashboard'!$B$8))</f>
        <v>0</v>
      </c>
      <c r="M310">
        <f>IF($E310=0,0,SUMPRODUCT($AI$7:$DF$7,'Staff Daily sales'!$G295:$CD295))</f>
        <v>6874.0400000000009</v>
      </c>
      <c r="N310">
        <f>IF($E310=0,0,SUMPRODUCT($AI$8:$DF$8,'Staff Daily sales'!$G295:$CD295))</f>
        <v>41</v>
      </c>
      <c r="O310">
        <f>IF($E310=0,0,SUMPRODUCT($AI$9:$DF$9,'Staff Daily sales'!$G295:$CD295))</f>
        <v>10037.220000000001</v>
      </c>
      <c r="P310">
        <f>IF($E310=0,0,SUMPRODUCT($AI$10:$DF$10,'Staff Daily sales'!$G295:$CD295))</f>
        <v>54</v>
      </c>
      <c r="Q310">
        <f>IF($E310=0,0,SUMPRODUCT($AI$11:$DF$11,'Staff Daily sales'!$G295:$CD295))</f>
        <v>4011</v>
      </c>
      <c r="R310">
        <f>IF($E310=0,0,SUMPRODUCT($AI$12:$DF$12,'Staff Daily sales'!$G295:$CD295))</f>
        <v>24</v>
      </c>
      <c r="S310">
        <f>IF($E310=0,0,SUMPRODUCT($AI$13:$DF$13,'Staff Daily sales'!$G295:$CD295))</f>
        <v>3650.96</v>
      </c>
      <c r="T310">
        <f>IF($E310=0,0,SUMPRODUCT($AI$14:$DF$14,'Staff Daily sales'!$G295:$CD295))</f>
        <v>28</v>
      </c>
      <c r="U310">
        <f>IF($E310=0,0,SUMPRODUCT($AI$15:$DF$15,'Staff Daily sales'!$G295:$CD295))</f>
        <v>2185.11</v>
      </c>
      <c r="V310">
        <f>IF($E310=0,0,SUMPRODUCT($AI$16:$DF$16,'Staff Daily sales'!$G295:$CD295))</f>
        <v>8</v>
      </c>
      <c r="W310">
        <f t="shared" si="95"/>
        <v>45445.73</v>
      </c>
      <c r="X310">
        <f t="shared" si="96"/>
        <v>51496.619999999995</v>
      </c>
      <c r="Y310">
        <f t="shared" si="97"/>
        <v>37762.490000000005</v>
      </c>
      <c r="Z310">
        <f t="shared" si="98"/>
        <v>34088.33</v>
      </c>
      <c r="AA310">
        <f t="shared" si="99"/>
        <v>9745.07</v>
      </c>
      <c r="AB310">
        <f>--AND($E310=1,OR('Staff Weekly Trend'!$B$3="All",$DH310='Staff Weekly Trend'!$B$3),OR('Staff Weekly Trend'!$B$4="All",$D310='Staff Weekly Trend'!$B$4),OR('Staff Weekly Trend'!$B$5="All",$A310='Staff Weekly Trend'!$B$5))</f>
        <v>1</v>
      </c>
      <c r="AC310">
        <f t="shared" si="100"/>
        <v>4</v>
      </c>
      <c r="AI310">
        <f t="shared" si="101"/>
        <v>225</v>
      </c>
      <c r="AJ310">
        <f t="shared" si="102"/>
        <v>281</v>
      </c>
      <c r="AK310">
        <f t="shared" si="103"/>
        <v>198</v>
      </c>
      <c r="AL310">
        <f t="shared" si="104"/>
        <v>176</v>
      </c>
      <c r="AM310">
        <f t="shared" si="105"/>
        <v>34</v>
      </c>
      <c r="DH310" t="str" cm="1">
        <f t="array" ref="DH310">IF($A310="","",_xlfn.LET(_xlpm.c,IFERROR(_xlfn.XLOOKUP($A310,TRIM('Sales and count'!$A$4:$A$300&amp;""),TRIM('Sales and count'!$B$4:$B$300&amp;"")),""),IF(OR(_xlpm.c="",_xlpm.c="0",LEFT(_xlpm.c,1)="#"),"Not set",_xlpm.c)))</f>
        <v>KSA</v>
      </c>
    </row>
    <row r="311" spans="1:112" x14ac:dyDescent="0.25">
      <c r="A311" t="str">
        <f>IF('Staff Daily sales'!$B296="","",TRIM('Staff Daily sales'!$B296&amp;""))</f>
        <v>HAOTHASS</v>
      </c>
      <c r="B311" t="str">
        <f>IF('Staff Daily sales'!$D296="","",TRIM('Staff Daily sales'!$D296&amp;""))</f>
        <v>5123-ZAli</v>
      </c>
      <c r="C311" t="str">
        <f>IFERROR(TRIM('Staff Daily sales'!$E296&amp;""),"")</f>
        <v>Al Hasa</v>
      </c>
      <c r="D311" t="str">
        <f>IFERROR(IF(TRIM('Staff Daily sales'!$F296&amp;"")="","Unassigned",TRIM('Staff Daily sales'!$F296&amp;"")),"Unassigned")</f>
        <v>Hamzah Al Makhadam</v>
      </c>
      <c r="E311">
        <f t="shared" si="90"/>
        <v>1</v>
      </c>
      <c r="F311">
        <f>IF($E311=0,0,SUMPRODUCT($AI$5:$DF$5,'Staff Daily sales'!$G296:$CD296))</f>
        <v>4977.7</v>
      </c>
      <c r="G311">
        <f>IF($E311=0,0,SUMPRODUCT($AI$6:$DF$6,'Staff Daily sales'!$G296:$CD296))</f>
        <v>8</v>
      </c>
      <c r="H311">
        <f t="shared" si="91"/>
        <v>9874.4500000000007</v>
      </c>
      <c r="I311">
        <f t="shared" si="92"/>
        <v>34</v>
      </c>
      <c r="J311">
        <f t="shared" si="93"/>
        <v>128104.23999999996</v>
      </c>
      <c r="K311">
        <f t="shared" si="94"/>
        <v>596</v>
      </c>
      <c r="L311">
        <f>--AND($E311=1,OR('Staff Dashboard'!$B$6="All",$DH311='Staff Dashboard'!$B$6),OR('Staff Dashboard'!$B$7="All",$D311='Staff Dashboard'!$B$7),OR('Staff Dashboard'!$B$8="All",$A311='Staff Dashboard'!$B$8))</f>
        <v>0</v>
      </c>
      <c r="M311">
        <f>IF($E311=0,0,SUMPRODUCT($AI$7:$DF$7,'Staff Daily sales'!$G296:$CD296))</f>
        <v>0</v>
      </c>
      <c r="N311">
        <f>IF($E311=0,0,SUMPRODUCT($AI$8:$DF$8,'Staff Daily sales'!$G296:$CD296))</f>
        <v>0</v>
      </c>
      <c r="O311">
        <f>IF($E311=0,0,SUMPRODUCT($AI$9:$DF$9,'Staff Daily sales'!$G296:$CD296))</f>
        <v>0</v>
      </c>
      <c r="P311">
        <f>IF($E311=0,0,SUMPRODUCT($AI$10:$DF$10,'Staff Daily sales'!$G296:$CD296))</f>
        <v>0</v>
      </c>
      <c r="Q311">
        <f>IF($E311=0,0,SUMPRODUCT($AI$11:$DF$11,'Staff Daily sales'!$G296:$CD296))</f>
        <v>5182.01</v>
      </c>
      <c r="R311">
        <f>IF($E311=0,0,SUMPRODUCT($AI$12:$DF$12,'Staff Daily sales'!$G296:$CD296))</f>
        <v>25</v>
      </c>
      <c r="S311">
        <f>IF($E311=0,0,SUMPRODUCT($AI$13:$DF$13,'Staff Daily sales'!$G296:$CD296))</f>
        <v>8699.65</v>
      </c>
      <c r="T311">
        <f>IF($E311=0,0,SUMPRODUCT($AI$14:$DF$14,'Staff Daily sales'!$G296:$CD296))</f>
        <v>26</v>
      </c>
      <c r="U311">
        <f>IF($E311=0,0,SUMPRODUCT($AI$15:$DF$15,'Staff Daily sales'!$G296:$CD296))</f>
        <v>2227.96</v>
      </c>
      <c r="V311">
        <f>IF($E311=0,0,SUMPRODUCT($AI$16:$DF$16,'Staff Daily sales'!$G296:$CD296))</f>
        <v>8</v>
      </c>
      <c r="W311">
        <f t="shared" si="95"/>
        <v>45445.73</v>
      </c>
      <c r="X311">
        <f t="shared" si="96"/>
        <v>51496.619999999995</v>
      </c>
      <c r="Y311">
        <f t="shared" si="97"/>
        <v>37762.490000000005</v>
      </c>
      <c r="Z311">
        <f t="shared" si="98"/>
        <v>34088.33</v>
      </c>
      <c r="AA311">
        <f t="shared" si="99"/>
        <v>9745.07</v>
      </c>
      <c r="AB311">
        <f>--AND($E311=1,OR('Staff Weekly Trend'!$B$3="All",$DH311='Staff Weekly Trend'!$B$3),OR('Staff Weekly Trend'!$B$4="All",$D311='Staff Weekly Trend'!$B$4),OR('Staff Weekly Trend'!$B$5="All",$A311='Staff Weekly Trend'!$B$5))</f>
        <v>1</v>
      </c>
      <c r="AC311">
        <f t="shared" si="100"/>
        <v>1</v>
      </c>
      <c r="AI311">
        <f t="shared" si="101"/>
        <v>225</v>
      </c>
      <c r="AJ311">
        <f t="shared" si="102"/>
        <v>281</v>
      </c>
      <c r="AK311">
        <f t="shared" si="103"/>
        <v>198</v>
      </c>
      <c r="AL311">
        <f t="shared" si="104"/>
        <v>176</v>
      </c>
      <c r="AM311">
        <f t="shared" si="105"/>
        <v>34</v>
      </c>
      <c r="DH311" t="str" cm="1">
        <f t="array" ref="DH311">IF($A311="","",_xlfn.LET(_xlpm.c,IFERROR(_xlfn.XLOOKUP($A311,TRIM('Sales and count'!$A$4:$A$300&amp;""),TRIM('Sales and count'!$B$4:$B$300&amp;"")),""),IF(OR(_xlpm.c="",_xlpm.c="0",LEFT(_xlpm.c,1)="#"),"Not set",_xlpm.c)))</f>
        <v>KSA</v>
      </c>
    </row>
    <row r="312" spans="1:112" x14ac:dyDescent="0.25">
      <c r="A312" t="str">
        <f>IF('Staff Daily sales'!$B297="","",TRIM('Staff Daily sales'!$B297&amp;""))</f>
        <v>HACFRONT</v>
      </c>
      <c r="B312" t="str">
        <f>IF('Staff Daily sales'!$D297="","",TRIM('Staff Daily sales'!$D297&amp;""))</f>
        <v>5125-ZAlJumaian</v>
      </c>
      <c r="C312" t="str">
        <f>IFERROR(TRIM('Staff Daily sales'!$E297&amp;""),"")</f>
        <v>Qatif</v>
      </c>
      <c r="D312" t="str">
        <f>IFERROR(IF(TRIM('Staff Daily sales'!$F297&amp;"")="","Unassigned",TRIM('Staff Daily sales'!$F297&amp;"")),"Unassigned")</f>
        <v>Hamzah Al Makhadam</v>
      </c>
      <c r="E312">
        <f t="shared" si="90"/>
        <v>1</v>
      </c>
      <c r="F312">
        <f>IF($E312=0,0,SUMPRODUCT($AI$5:$DF$5,'Staff Daily sales'!$G297:$CD297))</f>
        <v>1626.95</v>
      </c>
      <c r="G312">
        <f>IF($E312=0,0,SUMPRODUCT($AI$6:$DF$6,'Staff Daily sales'!$G297:$CD297))</f>
        <v>7</v>
      </c>
      <c r="H312">
        <f t="shared" si="91"/>
        <v>5311.7000000000007</v>
      </c>
      <c r="I312">
        <f t="shared" si="92"/>
        <v>22</v>
      </c>
      <c r="J312">
        <f t="shared" si="93"/>
        <v>128104.23999999996</v>
      </c>
      <c r="K312">
        <f t="shared" si="94"/>
        <v>596</v>
      </c>
      <c r="L312">
        <f>--AND($E312=1,OR('Staff Dashboard'!$B$6="All",$DH312='Staff Dashboard'!$B$6),OR('Staff Dashboard'!$B$7="All",$D312='Staff Dashboard'!$B$7),OR('Staff Dashboard'!$B$8="All",$A312='Staff Dashboard'!$B$8))</f>
        <v>0</v>
      </c>
      <c r="M312">
        <f>IF($E312=0,0,SUMPRODUCT($AI$7:$DF$7,'Staff Daily sales'!$G297:$CD297))</f>
        <v>5837.17</v>
      </c>
      <c r="N312">
        <f>IF($E312=0,0,SUMPRODUCT($AI$8:$DF$8,'Staff Daily sales'!$G297:$CD297))</f>
        <v>35</v>
      </c>
      <c r="O312">
        <f>IF($E312=0,0,SUMPRODUCT($AI$9:$DF$9,'Staff Daily sales'!$G297:$CD297))</f>
        <v>5213.09</v>
      </c>
      <c r="P312">
        <f>IF($E312=0,0,SUMPRODUCT($AI$10:$DF$10,'Staff Daily sales'!$G297:$CD297))</f>
        <v>28</v>
      </c>
      <c r="Q312">
        <f>IF($E312=0,0,SUMPRODUCT($AI$11:$DF$11,'Staff Daily sales'!$G297:$CD297))</f>
        <v>5933.1100000000006</v>
      </c>
      <c r="R312">
        <f>IF($E312=0,0,SUMPRODUCT($AI$12:$DF$12,'Staff Daily sales'!$G297:$CD297))</f>
        <v>39</v>
      </c>
      <c r="S312">
        <f>IF($E312=0,0,SUMPRODUCT($AI$13:$DF$13,'Staff Daily sales'!$G297:$CD297))</f>
        <v>7615.7599999999993</v>
      </c>
      <c r="T312">
        <f>IF($E312=0,0,SUMPRODUCT($AI$14:$DF$14,'Staff Daily sales'!$G297:$CD297))</f>
        <v>39</v>
      </c>
      <c r="U312">
        <f>IF($E312=0,0,SUMPRODUCT($AI$15:$DF$15,'Staff Daily sales'!$G297:$CD297))</f>
        <v>2957.1</v>
      </c>
      <c r="V312">
        <f>IF($E312=0,0,SUMPRODUCT($AI$16:$DF$16,'Staff Daily sales'!$G297:$CD297))</f>
        <v>18</v>
      </c>
      <c r="W312">
        <f t="shared" si="95"/>
        <v>26374.47</v>
      </c>
      <c r="X312">
        <f t="shared" si="96"/>
        <v>36406.810000000005</v>
      </c>
      <c r="Y312">
        <f t="shared" si="97"/>
        <v>30845.54</v>
      </c>
      <c r="Z312">
        <f t="shared" si="98"/>
        <v>31483.19</v>
      </c>
      <c r="AA312">
        <f t="shared" si="99"/>
        <v>8321.36</v>
      </c>
      <c r="AB312">
        <f>--AND($E312=1,OR('Staff Weekly Trend'!$B$3="All",$DH312='Staff Weekly Trend'!$B$3),OR('Staff Weekly Trend'!$B$4="All",$D312='Staff Weekly Trend'!$B$4),OR('Staff Weekly Trend'!$B$5="All",$A312='Staff Weekly Trend'!$B$5))</f>
        <v>1</v>
      </c>
      <c r="AC312">
        <f t="shared" si="100"/>
        <v>2</v>
      </c>
      <c r="AI312">
        <f t="shared" si="101"/>
        <v>144</v>
      </c>
      <c r="AJ312">
        <f t="shared" si="102"/>
        <v>172</v>
      </c>
      <c r="AK312">
        <f t="shared" si="103"/>
        <v>153</v>
      </c>
      <c r="AL312">
        <f t="shared" si="104"/>
        <v>148</v>
      </c>
      <c r="AM312">
        <f t="shared" si="105"/>
        <v>41</v>
      </c>
      <c r="DH312" t="str" cm="1">
        <f t="array" ref="DH312">IF($A312="","",_xlfn.LET(_xlpm.c,IFERROR(_xlfn.XLOOKUP($A312,TRIM('Sales and count'!$A$4:$A$300&amp;""),TRIM('Sales and count'!$B$4:$B$300&amp;"")),""),IF(OR(_xlpm.c="",_xlpm.c="0",LEFT(_xlpm.c,1)="#"),"Not set",_xlpm.c)))</f>
        <v>KSA</v>
      </c>
    </row>
    <row r="313" spans="1:112" x14ac:dyDescent="0.25">
      <c r="A313" t="str">
        <f>IF('Staff Daily sales'!$B298="","",TRIM('Staff Daily sales'!$B298&amp;""))</f>
        <v>HACFRONT</v>
      </c>
      <c r="B313" t="str">
        <f>IF('Staff Daily sales'!$D298="","",TRIM('Staff Daily sales'!$D298&amp;""))</f>
        <v>5127-AALI</v>
      </c>
      <c r="C313" t="str">
        <f>IFERROR(TRIM('Staff Daily sales'!$E298&amp;""),"")</f>
        <v>Qatif</v>
      </c>
      <c r="D313" t="str">
        <f>IFERROR(IF(TRIM('Staff Daily sales'!$F298&amp;"")="","Unassigned",TRIM('Staff Daily sales'!$F298&amp;"")),"Unassigned")</f>
        <v>Hamzah Al Makhadam</v>
      </c>
      <c r="E313">
        <f t="shared" si="90"/>
        <v>1</v>
      </c>
      <c r="F313">
        <f>IF($E313=0,0,SUMPRODUCT($AI$5:$DF$5,'Staff Daily sales'!$G298:$CD298))</f>
        <v>560.98</v>
      </c>
      <c r="G313">
        <f>IF($E313=0,0,SUMPRODUCT($AI$6:$DF$6,'Staff Daily sales'!$G298:$CD298))</f>
        <v>3</v>
      </c>
      <c r="H313">
        <f t="shared" si="91"/>
        <v>5311.7000000000007</v>
      </c>
      <c r="I313">
        <f t="shared" si="92"/>
        <v>22</v>
      </c>
      <c r="J313">
        <f t="shared" si="93"/>
        <v>128104.23999999996</v>
      </c>
      <c r="K313">
        <f t="shared" si="94"/>
        <v>596</v>
      </c>
      <c r="L313">
        <f>--AND($E313=1,OR('Staff Dashboard'!$B$6="All",$DH313='Staff Dashboard'!$B$6),OR('Staff Dashboard'!$B$7="All",$D313='Staff Dashboard'!$B$7),OR('Staff Dashboard'!$B$8="All",$A313='Staff Dashboard'!$B$8))</f>
        <v>0</v>
      </c>
      <c r="M313">
        <f>IF($E313=0,0,SUMPRODUCT($AI$7:$DF$7,'Staff Daily sales'!$G298:$CD298))</f>
        <v>2719.0699999999997</v>
      </c>
      <c r="N313">
        <f>IF($E313=0,0,SUMPRODUCT($AI$8:$DF$8,'Staff Daily sales'!$G298:$CD298))</f>
        <v>18</v>
      </c>
      <c r="O313">
        <f>IF($E313=0,0,SUMPRODUCT($AI$9:$DF$9,'Staff Daily sales'!$G298:$CD298))</f>
        <v>6782.2</v>
      </c>
      <c r="P313">
        <f>IF($E313=0,0,SUMPRODUCT($AI$10:$DF$10,'Staff Daily sales'!$G298:$CD298))</f>
        <v>35</v>
      </c>
      <c r="Q313">
        <f>IF($E313=0,0,SUMPRODUCT($AI$11:$DF$11,'Staff Daily sales'!$G298:$CD298))</f>
        <v>8659.1400000000012</v>
      </c>
      <c r="R313">
        <f>IF($E313=0,0,SUMPRODUCT($AI$12:$DF$12,'Staff Daily sales'!$G298:$CD298))</f>
        <v>31</v>
      </c>
      <c r="S313">
        <f>IF($E313=0,0,SUMPRODUCT($AI$13:$DF$13,'Staff Daily sales'!$G298:$CD298))</f>
        <v>6825.83</v>
      </c>
      <c r="T313">
        <f>IF($E313=0,0,SUMPRODUCT($AI$14:$DF$14,'Staff Daily sales'!$G298:$CD298))</f>
        <v>32</v>
      </c>
      <c r="U313">
        <f>IF($E313=0,0,SUMPRODUCT($AI$15:$DF$15,'Staff Daily sales'!$G298:$CD298))</f>
        <v>3731.1800000000003</v>
      </c>
      <c r="V313">
        <f>IF($E313=0,0,SUMPRODUCT($AI$16:$DF$16,'Staff Daily sales'!$G298:$CD298))</f>
        <v>17</v>
      </c>
      <c r="W313">
        <f t="shared" si="95"/>
        <v>26374.47</v>
      </c>
      <c r="X313">
        <f t="shared" si="96"/>
        <v>36406.810000000005</v>
      </c>
      <c r="Y313">
        <f t="shared" si="97"/>
        <v>30845.54</v>
      </c>
      <c r="Z313">
        <f t="shared" si="98"/>
        <v>31483.19</v>
      </c>
      <c r="AA313">
        <f t="shared" si="99"/>
        <v>8321.36</v>
      </c>
      <c r="AB313">
        <f>--AND($E313=1,OR('Staff Weekly Trend'!$B$3="All",$DH313='Staff Weekly Trend'!$B$3),OR('Staff Weekly Trend'!$B$4="All",$D313='Staff Weekly Trend'!$B$4),OR('Staff Weekly Trend'!$B$5="All",$A313='Staff Weekly Trend'!$B$5))</f>
        <v>1</v>
      </c>
      <c r="AC313">
        <f t="shared" si="100"/>
        <v>4</v>
      </c>
      <c r="AI313">
        <f t="shared" si="101"/>
        <v>144</v>
      </c>
      <c r="AJ313">
        <f t="shared" si="102"/>
        <v>172</v>
      </c>
      <c r="AK313">
        <f t="shared" si="103"/>
        <v>153</v>
      </c>
      <c r="AL313">
        <f t="shared" si="104"/>
        <v>148</v>
      </c>
      <c r="AM313">
        <f t="shared" si="105"/>
        <v>41</v>
      </c>
      <c r="DH313" t="str" cm="1">
        <f t="array" ref="DH313">IF($A313="","",_xlfn.LET(_xlpm.c,IFERROR(_xlfn.XLOOKUP($A313,TRIM('Sales and count'!$A$4:$A$300&amp;""),TRIM('Sales and count'!$B$4:$B$300&amp;"")),""),IF(OR(_xlpm.c="",_xlpm.c="0",LEFT(_xlpm.c,1)="#"),"Not set",_xlpm.c)))</f>
        <v>KSA</v>
      </c>
    </row>
    <row r="314" spans="1:112" x14ac:dyDescent="0.25">
      <c r="A314" t="str">
        <f>IF('Staff Daily sales'!$B299="","",TRIM('Staff Daily sales'!$B299&amp;""))</f>
        <v>HACFRONT</v>
      </c>
      <c r="B314" t="str">
        <f>IF('Staff Daily sales'!$D299="","",TRIM('Staff Daily sales'!$D299&amp;""))</f>
        <v>5130-RAlosaif</v>
      </c>
      <c r="C314" t="str">
        <f>IFERROR(TRIM('Staff Daily sales'!$E299&amp;""),"")</f>
        <v>Qatif</v>
      </c>
      <c r="D314" t="str">
        <f>IFERROR(IF(TRIM('Staff Daily sales'!$F299&amp;"")="","Unassigned",TRIM('Staff Daily sales'!$F299&amp;"")),"Unassigned")</f>
        <v>Hamzah Al Makhadam</v>
      </c>
      <c r="E314">
        <f t="shared" si="90"/>
        <v>1</v>
      </c>
      <c r="F314">
        <f>IF($E314=0,0,SUMPRODUCT($AI$5:$DF$5,'Staff Daily sales'!$G299:$CD299))</f>
        <v>1707.89</v>
      </c>
      <c r="G314">
        <f>IF($E314=0,0,SUMPRODUCT($AI$6:$DF$6,'Staff Daily sales'!$G299:$CD299))</f>
        <v>6</v>
      </c>
      <c r="H314">
        <f t="shared" si="91"/>
        <v>5311.7000000000007</v>
      </c>
      <c r="I314">
        <f t="shared" si="92"/>
        <v>22</v>
      </c>
      <c r="J314">
        <f t="shared" si="93"/>
        <v>128104.23999999996</v>
      </c>
      <c r="K314">
        <f t="shared" si="94"/>
        <v>596</v>
      </c>
      <c r="L314">
        <f>--AND($E314=1,OR('Staff Dashboard'!$B$6="All",$DH314='Staff Dashboard'!$B$6),OR('Staff Dashboard'!$B$7="All",$D314='Staff Dashboard'!$B$7),OR('Staff Dashboard'!$B$8="All",$A314='Staff Dashboard'!$B$8))</f>
        <v>0</v>
      </c>
      <c r="M314">
        <f>IF($E314=0,0,SUMPRODUCT($AI$7:$DF$7,'Staff Daily sales'!$G299:$CD299))</f>
        <v>8193.09</v>
      </c>
      <c r="N314">
        <f>IF($E314=0,0,SUMPRODUCT($AI$8:$DF$8,'Staff Daily sales'!$G299:$CD299))</f>
        <v>36</v>
      </c>
      <c r="O314">
        <f>IF($E314=0,0,SUMPRODUCT($AI$9:$DF$9,'Staff Daily sales'!$G299:$CD299))</f>
        <v>13353.220000000001</v>
      </c>
      <c r="P314">
        <f>IF($E314=0,0,SUMPRODUCT($AI$10:$DF$10,'Staff Daily sales'!$G299:$CD299))</f>
        <v>53</v>
      </c>
      <c r="Q314">
        <f>IF($E314=0,0,SUMPRODUCT($AI$11:$DF$11,'Staff Daily sales'!$G299:$CD299))</f>
        <v>8339.14</v>
      </c>
      <c r="R314">
        <f>IF($E314=0,0,SUMPRODUCT($AI$12:$DF$12,'Staff Daily sales'!$G299:$CD299))</f>
        <v>40</v>
      </c>
      <c r="S314">
        <f>IF($E314=0,0,SUMPRODUCT($AI$13:$DF$13,'Staff Daily sales'!$G299:$CD299))</f>
        <v>9396.6899999999987</v>
      </c>
      <c r="T314">
        <f>IF($E314=0,0,SUMPRODUCT($AI$14:$DF$14,'Staff Daily sales'!$G299:$CD299))</f>
        <v>35</v>
      </c>
      <c r="U314">
        <f>IF($E314=0,0,SUMPRODUCT($AI$15:$DF$15,'Staff Daily sales'!$G299:$CD299))</f>
        <v>1633.08</v>
      </c>
      <c r="V314">
        <f>IF($E314=0,0,SUMPRODUCT($AI$16:$DF$16,'Staff Daily sales'!$G299:$CD299))</f>
        <v>6</v>
      </c>
      <c r="W314">
        <f t="shared" si="95"/>
        <v>26374.47</v>
      </c>
      <c r="X314">
        <f t="shared" si="96"/>
        <v>36406.810000000005</v>
      </c>
      <c r="Y314">
        <f t="shared" si="97"/>
        <v>30845.54</v>
      </c>
      <c r="Z314">
        <f t="shared" si="98"/>
        <v>31483.19</v>
      </c>
      <c r="AA314">
        <f t="shared" si="99"/>
        <v>8321.36</v>
      </c>
      <c r="AB314">
        <f>--AND($E314=1,OR('Staff Weekly Trend'!$B$3="All",$DH314='Staff Weekly Trend'!$B$3),OR('Staff Weekly Trend'!$B$4="All",$D314='Staff Weekly Trend'!$B$4),OR('Staff Weekly Trend'!$B$5="All",$A314='Staff Weekly Trend'!$B$5))</f>
        <v>1</v>
      </c>
      <c r="AC314">
        <f t="shared" si="100"/>
        <v>1</v>
      </c>
      <c r="AI314">
        <f t="shared" si="101"/>
        <v>144</v>
      </c>
      <c r="AJ314">
        <f t="shared" si="102"/>
        <v>172</v>
      </c>
      <c r="AK314">
        <f t="shared" si="103"/>
        <v>153</v>
      </c>
      <c r="AL314">
        <f t="shared" si="104"/>
        <v>148</v>
      </c>
      <c r="AM314">
        <f t="shared" si="105"/>
        <v>41</v>
      </c>
      <c r="DH314" t="str" cm="1">
        <f t="array" ref="DH314">IF($A314="","",_xlfn.LET(_xlpm.c,IFERROR(_xlfn.XLOOKUP($A314,TRIM('Sales and count'!$A$4:$A$300&amp;""),TRIM('Sales and count'!$B$4:$B$300&amp;"")),""),IF(OR(_xlpm.c="",_xlpm.c="0",LEFT(_xlpm.c,1)="#"),"Not set",_xlpm.c)))</f>
        <v>KSA</v>
      </c>
    </row>
    <row r="315" spans="1:112" x14ac:dyDescent="0.25">
      <c r="A315" t="str">
        <f>IF('Staff Daily sales'!$B300="","",TRIM('Staff Daily sales'!$B300&amp;""))</f>
        <v>HACFRONT</v>
      </c>
      <c r="B315" t="str">
        <f>IF('Staff Daily sales'!$D300="","",TRIM('Staff Daily sales'!$D300&amp;""))</f>
        <v>5195-SAkshaikh</v>
      </c>
      <c r="C315" t="str">
        <f>IFERROR(TRIM('Staff Daily sales'!$E300&amp;""),"")</f>
        <v>Qatif</v>
      </c>
      <c r="D315" t="str">
        <f>IFERROR(IF(TRIM('Staff Daily sales'!$F300&amp;"")="","Unassigned",TRIM('Staff Daily sales'!$F300&amp;"")),"Unassigned")</f>
        <v>Hamzah Al Makhadam</v>
      </c>
      <c r="E315">
        <f t="shared" si="90"/>
        <v>1</v>
      </c>
      <c r="F315">
        <f>IF($E315=0,0,SUMPRODUCT($AI$5:$DF$5,'Staff Daily sales'!$G300:$CD300))</f>
        <v>1415.88</v>
      </c>
      <c r="G315">
        <f>IF($E315=0,0,SUMPRODUCT($AI$6:$DF$6,'Staff Daily sales'!$G300:$CD300))</f>
        <v>6</v>
      </c>
      <c r="H315">
        <f t="shared" si="91"/>
        <v>5311.7000000000007</v>
      </c>
      <c r="I315">
        <f t="shared" si="92"/>
        <v>22</v>
      </c>
      <c r="J315">
        <f t="shared" si="93"/>
        <v>128104.23999999996</v>
      </c>
      <c r="K315">
        <f t="shared" si="94"/>
        <v>596</v>
      </c>
      <c r="L315">
        <f>--AND($E315=1,OR('Staff Dashboard'!$B$6="All",$DH315='Staff Dashboard'!$B$6),OR('Staff Dashboard'!$B$7="All",$D315='Staff Dashboard'!$B$7),OR('Staff Dashboard'!$B$8="All",$A315='Staff Dashboard'!$B$8))</f>
        <v>0</v>
      </c>
      <c r="M315">
        <f>IF($E315=0,0,SUMPRODUCT($AI$7:$DF$7,'Staff Daily sales'!$G300:$CD300))</f>
        <v>9625.1400000000012</v>
      </c>
      <c r="N315">
        <f>IF($E315=0,0,SUMPRODUCT($AI$8:$DF$8,'Staff Daily sales'!$G300:$CD300))</f>
        <v>55</v>
      </c>
      <c r="O315">
        <f>IF($E315=0,0,SUMPRODUCT($AI$9:$DF$9,'Staff Daily sales'!$G300:$CD300))</f>
        <v>11058.300000000001</v>
      </c>
      <c r="P315">
        <f>IF($E315=0,0,SUMPRODUCT($AI$10:$DF$10,'Staff Daily sales'!$G300:$CD300))</f>
        <v>56</v>
      </c>
      <c r="Q315">
        <f>IF($E315=0,0,SUMPRODUCT($AI$11:$DF$11,'Staff Daily sales'!$G300:$CD300))</f>
        <v>7914.1500000000005</v>
      </c>
      <c r="R315">
        <f>IF($E315=0,0,SUMPRODUCT($AI$12:$DF$12,'Staff Daily sales'!$G300:$CD300))</f>
        <v>43</v>
      </c>
      <c r="S315">
        <f>IF($E315=0,0,SUMPRODUCT($AI$13:$DF$13,'Staff Daily sales'!$G300:$CD300))</f>
        <v>7644.9100000000008</v>
      </c>
      <c r="T315">
        <f>IF($E315=0,0,SUMPRODUCT($AI$14:$DF$14,'Staff Daily sales'!$G300:$CD300))</f>
        <v>42</v>
      </c>
      <c r="U315">
        <f>IF($E315=0,0,SUMPRODUCT($AI$15:$DF$15,'Staff Daily sales'!$G300:$CD300))</f>
        <v>0</v>
      </c>
      <c r="V315">
        <f>IF($E315=0,0,SUMPRODUCT($AI$16:$DF$16,'Staff Daily sales'!$G300:$CD300))</f>
        <v>0</v>
      </c>
      <c r="W315">
        <f t="shared" si="95"/>
        <v>26374.47</v>
      </c>
      <c r="X315">
        <f t="shared" si="96"/>
        <v>36406.810000000005</v>
      </c>
      <c r="Y315">
        <f t="shared" si="97"/>
        <v>30845.54</v>
      </c>
      <c r="Z315">
        <f t="shared" si="98"/>
        <v>31483.19</v>
      </c>
      <c r="AA315">
        <f t="shared" si="99"/>
        <v>8321.36</v>
      </c>
      <c r="AB315">
        <f>--AND($E315=1,OR('Staff Weekly Trend'!$B$3="All",$DH315='Staff Weekly Trend'!$B$3),OR('Staff Weekly Trend'!$B$4="All",$D315='Staff Weekly Trend'!$B$4),OR('Staff Weekly Trend'!$B$5="All",$A315='Staff Weekly Trend'!$B$5))</f>
        <v>1</v>
      </c>
      <c r="AC315">
        <f t="shared" si="100"/>
        <v>3</v>
      </c>
      <c r="AI315">
        <f t="shared" si="101"/>
        <v>144</v>
      </c>
      <c r="AJ315">
        <f t="shared" si="102"/>
        <v>172</v>
      </c>
      <c r="AK315">
        <f t="shared" si="103"/>
        <v>153</v>
      </c>
      <c r="AL315">
        <f t="shared" si="104"/>
        <v>148</v>
      </c>
      <c r="AM315">
        <f t="shared" si="105"/>
        <v>41</v>
      </c>
      <c r="DH315" t="str" cm="1">
        <f t="array" ref="DH315">IF($A315="","",_xlfn.LET(_xlpm.c,IFERROR(_xlfn.XLOOKUP($A315,TRIM('Sales and count'!$A$4:$A$300&amp;""),TRIM('Sales and count'!$B$4:$B$300&amp;"")),""),IF(OR(_xlpm.c="",_xlpm.c="0",LEFT(_xlpm.c,1)="#"),"Not set",_xlpm.c)))</f>
        <v>KSA</v>
      </c>
    </row>
    <row r="316" spans="1:112" x14ac:dyDescent="0.25">
      <c r="A316" t="str">
        <f>IF('Staff Daily sales'!$B301="","",TRIM('Staff Daily sales'!$B301&amp;""))</f>
        <v>HAOTHDMM</v>
      </c>
      <c r="B316" t="str">
        <f>IF('Staff Daily sales'!$D301="","",TRIM('Staff Daily sales'!$D301&amp;""))</f>
        <v>4867-MAmaar</v>
      </c>
      <c r="C316" t="str">
        <f>IFERROR(TRIM('Staff Daily sales'!$E301&amp;""),"")</f>
        <v>Dammam</v>
      </c>
      <c r="D316" t="str">
        <f>IFERROR(IF(TRIM('Staff Daily sales'!$F301&amp;"")="","Unassigned",TRIM('Staff Daily sales'!$F301&amp;"")),"Unassigned")</f>
        <v>Hamzah Al Makhadam</v>
      </c>
      <c r="E316">
        <f t="shared" si="90"/>
        <v>1</v>
      </c>
      <c r="F316">
        <f>IF($E316=0,0,SUMPRODUCT($AI$5:$DF$5,'Staff Daily sales'!$G301:$CD301))</f>
        <v>1642.92</v>
      </c>
      <c r="G316">
        <f>IF($E316=0,0,SUMPRODUCT($AI$6:$DF$6,'Staff Daily sales'!$G301:$CD301))</f>
        <v>7</v>
      </c>
      <c r="H316">
        <f t="shared" si="91"/>
        <v>5524.8799999999992</v>
      </c>
      <c r="I316">
        <f t="shared" si="92"/>
        <v>28</v>
      </c>
      <c r="J316">
        <f t="shared" si="93"/>
        <v>128104.23999999996</v>
      </c>
      <c r="K316">
        <f t="shared" si="94"/>
        <v>596</v>
      </c>
      <c r="L316">
        <f>--AND($E316=1,OR('Staff Dashboard'!$B$6="All",$DH316='Staff Dashboard'!$B$6),OR('Staff Dashboard'!$B$7="All",$D316='Staff Dashboard'!$B$7),OR('Staff Dashboard'!$B$8="All",$A316='Staff Dashboard'!$B$8))</f>
        <v>0</v>
      </c>
      <c r="M316">
        <f>IF($E316=0,0,SUMPRODUCT($AI$7:$DF$7,'Staff Daily sales'!$G301:$CD301))</f>
        <v>4309.05</v>
      </c>
      <c r="N316">
        <f>IF($E316=0,0,SUMPRODUCT($AI$8:$DF$8,'Staff Daily sales'!$G301:$CD301))</f>
        <v>27</v>
      </c>
      <c r="O316">
        <f>IF($E316=0,0,SUMPRODUCT($AI$9:$DF$9,'Staff Daily sales'!$G301:$CD301))</f>
        <v>7522.13</v>
      </c>
      <c r="P316">
        <f>IF($E316=0,0,SUMPRODUCT($AI$10:$DF$10,'Staff Daily sales'!$G301:$CD301))</f>
        <v>50</v>
      </c>
      <c r="Q316">
        <f>IF($E316=0,0,SUMPRODUCT($AI$11:$DF$11,'Staff Daily sales'!$G301:$CD301))</f>
        <v>4583.08</v>
      </c>
      <c r="R316">
        <f>IF($E316=0,0,SUMPRODUCT($AI$12:$DF$12,'Staff Daily sales'!$G301:$CD301))</f>
        <v>39</v>
      </c>
      <c r="S316">
        <f>IF($E316=0,0,SUMPRODUCT($AI$13:$DF$13,'Staff Daily sales'!$G301:$CD301))</f>
        <v>4410.87</v>
      </c>
      <c r="T316">
        <f>IF($E316=0,0,SUMPRODUCT($AI$14:$DF$14,'Staff Daily sales'!$G301:$CD301))</f>
        <v>24</v>
      </c>
      <c r="U316">
        <f>IF($E316=0,0,SUMPRODUCT($AI$15:$DF$15,'Staff Daily sales'!$G301:$CD301))</f>
        <v>686.02</v>
      </c>
      <c r="V316">
        <f>IF($E316=0,0,SUMPRODUCT($AI$16:$DF$16,'Staff Daily sales'!$G301:$CD301))</f>
        <v>6</v>
      </c>
      <c r="W316">
        <f t="shared" si="95"/>
        <v>27891.48</v>
      </c>
      <c r="X316">
        <f t="shared" si="96"/>
        <v>38624.71</v>
      </c>
      <c r="Y316">
        <f t="shared" si="97"/>
        <v>32716.53</v>
      </c>
      <c r="Z316">
        <f t="shared" si="98"/>
        <v>30227.489999999998</v>
      </c>
      <c r="AA316">
        <f t="shared" si="99"/>
        <v>6485.14</v>
      </c>
      <c r="AB316">
        <f>--AND($E316=1,OR('Staff Weekly Trend'!$B$3="All",$DH316='Staff Weekly Trend'!$B$3),OR('Staff Weekly Trend'!$B$4="All",$D316='Staff Weekly Trend'!$B$4),OR('Staff Weekly Trend'!$B$5="All",$A316='Staff Weekly Trend'!$B$5))</f>
        <v>1</v>
      </c>
      <c r="AC316">
        <f t="shared" si="100"/>
        <v>2</v>
      </c>
      <c r="AI316">
        <f t="shared" si="101"/>
        <v>162</v>
      </c>
      <c r="AJ316">
        <f t="shared" si="102"/>
        <v>228</v>
      </c>
      <c r="AK316">
        <f t="shared" si="103"/>
        <v>212</v>
      </c>
      <c r="AL316">
        <f t="shared" si="104"/>
        <v>169</v>
      </c>
      <c r="AM316">
        <f t="shared" si="105"/>
        <v>44</v>
      </c>
      <c r="DH316" t="str" cm="1">
        <f t="array" ref="DH316">IF($A316="","",_xlfn.LET(_xlpm.c,IFERROR(_xlfn.XLOOKUP($A316,TRIM('Sales and count'!$A$4:$A$300&amp;""),TRIM('Sales and count'!$B$4:$B$300&amp;"")),""),IF(OR(_xlpm.c="",_xlpm.c="0",LEFT(_xlpm.c,1)="#"),"Not set",_xlpm.c)))</f>
        <v>KSA</v>
      </c>
    </row>
    <row r="317" spans="1:112" x14ac:dyDescent="0.25">
      <c r="A317" t="str">
        <f>IF('Staff Daily sales'!$B302="","",TRIM('Staff Daily sales'!$B302&amp;""))</f>
        <v>HAOTHDMM</v>
      </c>
      <c r="B317" t="str">
        <f>IF('Staff Daily sales'!$D302="","",TRIM('Staff Daily sales'!$D302&amp;""))</f>
        <v>5222-DAlAmeeri</v>
      </c>
      <c r="C317" t="str">
        <f>IFERROR(TRIM('Staff Daily sales'!$E302&amp;""),"")</f>
        <v>Dammam</v>
      </c>
      <c r="D317" t="str">
        <f>IFERROR(IF(TRIM('Staff Daily sales'!$F302&amp;"")="","Unassigned",TRIM('Staff Daily sales'!$F302&amp;"")),"Unassigned")</f>
        <v>Hamzah Al Makhadam</v>
      </c>
      <c r="E317">
        <f t="shared" si="90"/>
        <v>1</v>
      </c>
      <c r="F317">
        <f>IF($E317=0,0,SUMPRODUCT($AI$5:$DF$5,'Staff Daily sales'!$G302:$CD302))</f>
        <v>0</v>
      </c>
      <c r="G317">
        <f>IF($E317=0,0,SUMPRODUCT($AI$6:$DF$6,'Staff Daily sales'!$G302:$CD302))</f>
        <v>0</v>
      </c>
      <c r="H317">
        <f t="shared" si="91"/>
        <v>5524.8799999999992</v>
      </c>
      <c r="I317">
        <f t="shared" si="92"/>
        <v>28</v>
      </c>
      <c r="J317">
        <f t="shared" si="93"/>
        <v>128104.23999999996</v>
      </c>
      <c r="K317">
        <f t="shared" si="94"/>
        <v>596</v>
      </c>
      <c r="L317">
        <f>--AND($E317=1,OR('Staff Dashboard'!$B$6="All",$DH317='Staff Dashboard'!$B$6),OR('Staff Dashboard'!$B$7="All",$D317='Staff Dashboard'!$B$7),OR('Staff Dashboard'!$B$8="All",$A317='Staff Dashboard'!$B$8))</f>
        <v>0</v>
      </c>
      <c r="M317">
        <f>IF($E317=0,0,SUMPRODUCT($AI$7:$DF$7,'Staff Daily sales'!$G302:$CD302))</f>
        <v>4985.08</v>
      </c>
      <c r="N317">
        <f>IF($E317=0,0,SUMPRODUCT($AI$8:$DF$8,'Staff Daily sales'!$G302:$CD302))</f>
        <v>32</v>
      </c>
      <c r="O317">
        <f>IF($E317=0,0,SUMPRODUCT($AI$9:$DF$9,'Staff Daily sales'!$G302:$CD302))</f>
        <v>13354.3</v>
      </c>
      <c r="P317">
        <f>IF($E317=0,0,SUMPRODUCT($AI$10:$DF$10,'Staff Daily sales'!$G302:$CD302))</f>
        <v>67</v>
      </c>
      <c r="Q317">
        <f>IF($E317=0,0,SUMPRODUCT($AI$11:$DF$11,'Staff Daily sales'!$G302:$CD302))</f>
        <v>7215.1799999999994</v>
      </c>
      <c r="R317">
        <f>IF($E317=0,0,SUMPRODUCT($AI$12:$DF$12,'Staff Daily sales'!$G302:$CD302))</f>
        <v>35</v>
      </c>
      <c r="S317">
        <f>IF($E317=0,0,SUMPRODUCT($AI$13:$DF$13,'Staff Daily sales'!$G302:$CD302))</f>
        <v>7182.87</v>
      </c>
      <c r="T317">
        <f>IF($E317=0,0,SUMPRODUCT($AI$14:$DF$14,'Staff Daily sales'!$G302:$CD302))</f>
        <v>42</v>
      </c>
      <c r="U317">
        <f>IF($E317=0,0,SUMPRODUCT($AI$15:$DF$15,'Staff Daily sales'!$G302:$CD302))</f>
        <v>447.01</v>
      </c>
      <c r="V317">
        <f>IF($E317=0,0,SUMPRODUCT($AI$16:$DF$16,'Staff Daily sales'!$G302:$CD302))</f>
        <v>3</v>
      </c>
      <c r="W317">
        <f t="shared" si="95"/>
        <v>27891.48</v>
      </c>
      <c r="X317">
        <f t="shared" si="96"/>
        <v>38624.71</v>
      </c>
      <c r="Y317">
        <f t="shared" si="97"/>
        <v>32716.53</v>
      </c>
      <c r="Z317">
        <f t="shared" si="98"/>
        <v>30227.489999999998</v>
      </c>
      <c r="AA317">
        <f t="shared" si="99"/>
        <v>6485.14</v>
      </c>
      <c r="AB317">
        <f>--AND($E317=1,OR('Staff Weekly Trend'!$B$3="All",$DH317='Staff Weekly Trend'!$B$3),OR('Staff Weekly Trend'!$B$4="All",$D317='Staff Weekly Trend'!$B$4),OR('Staff Weekly Trend'!$B$5="All",$A317='Staff Weekly Trend'!$B$5))</f>
        <v>1</v>
      </c>
      <c r="AC317" t="str">
        <f t="shared" si="100"/>
        <v/>
      </c>
      <c r="AI317">
        <f t="shared" si="101"/>
        <v>162</v>
      </c>
      <c r="AJ317">
        <f t="shared" si="102"/>
        <v>228</v>
      </c>
      <c r="AK317">
        <f t="shared" si="103"/>
        <v>212</v>
      </c>
      <c r="AL317">
        <f t="shared" si="104"/>
        <v>169</v>
      </c>
      <c r="AM317">
        <f t="shared" si="105"/>
        <v>44</v>
      </c>
      <c r="DH317" t="str" cm="1">
        <f t="array" ref="DH317">IF($A317="","",_xlfn.LET(_xlpm.c,IFERROR(_xlfn.XLOOKUP($A317,TRIM('Sales and count'!$A$4:$A$300&amp;""),TRIM('Sales and count'!$B$4:$B$300&amp;"")),""),IF(OR(_xlpm.c="",_xlpm.c="0",LEFT(_xlpm.c,1)="#"),"Not set",_xlpm.c)))</f>
        <v>KSA</v>
      </c>
    </row>
    <row r="318" spans="1:112" x14ac:dyDescent="0.25">
      <c r="A318" t="str">
        <f>IF('Staff Daily sales'!$B303="","",TRIM('Staff Daily sales'!$B303&amp;""))</f>
        <v>HAOTHDMM</v>
      </c>
      <c r="B318" t="str">
        <f>IF('Staff Daily sales'!$D303="","",TRIM('Staff Daily sales'!$D303&amp;""))</f>
        <v>5223-ZAlMusa</v>
      </c>
      <c r="C318" t="str">
        <f>IFERROR(TRIM('Staff Daily sales'!$E303&amp;""),"")</f>
        <v>Dammam</v>
      </c>
      <c r="D318" t="str">
        <f>IFERROR(IF(TRIM('Staff Daily sales'!$F303&amp;"")="","Unassigned",TRIM('Staff Daily sales'!$F303&amp;"")),"Unassigned")</f>
        <v>Hamzah Al Makhadam</v>
      </c>
      <c r="E318">
        <f t="shared" si="90"/>
        <v>1</v>
      </c>
      <c r="F318">
        <f>IF($E318=0,0,SUMPRODUCT($AI$5:$DF$5,'Staff Daily sales'!$G303:$CD303))</f>
        <v>2810.98</v>
      </c>
      <c r="G318">
        <f>IF($E318=0,0,SUMPRODUCT($AI$6:$DF$6,'Staff Daily sales'!$G303:$CD303))</f>
        <v>9</v>
      </c>
      <c r="H318">
        <f t="shared" si="91"/>
        <v>5524.8799999999992</v>
      </c>
      <c r="I318">
        <f t="shared" si="92"/>
        <v>28</v>
      </c>
      <c r="J318">
        <f t="shared" si="93"/>
        <v>128104.23999999996</v>
      </c>
      <c r="K318">
        <f t="shared" si="94"/>
        <v>596</v>
      </c>
      <c r="L318">
        <f>--AND($E318=1,OR('Staff Dashboard'!$B$6="All",$DH318='Staff Dashboard'!$B$6),OR('Staff Dashboard'!$B$7="All",$D318='Staff Dashboard'!$B$7),OR('Staff Dashboard'!$B$8="All",$A318='Staff Dashboard'!$B$8))</f>
        <v>0</v>
      </c>
      <c r="M318">
        <f>IF($E318=0,0,SUMPRODUCT($AI$7:$DF$7,'Staff Daily sales'!$G303:$CD303))</f>
        <v>13057.3</v>
      </c>
      <c r="N318">
        <f>IF($E318=0,0,SUMPRODUCT($AI$8:$DF$8,'Staff Daily sales'!$G303:$CD303))</f>
        <v>69</v>
      </c>
      <c r="O318">
        <f>IF($E318=0,0,SUMPRODUCT($AI$9:$DF$9,'Staff Daily sales'!$G303:$CD303))</f>
        <v>4791.07</v>
      </c>
      <c r="P318">
        <f>IF($E318=0,0,SUMPRODUCT($AI$10:$DF$10,'Staff Daily sales'!$G303:$CD303))</f>
        <v>30</v>
      </c>
      <c r="Q318">
        <f>IF($E318=0,0,SUMPRODUCT($AI$11:$DF$11,'Staff Daily sales'!$G303:$CD303))</f>
        <v>12983.2</v>
      </c>
      <c r="R318">
        <f>IF($E318=0,0,SUMPRODUCT($AI$12:$DF$12,'Staff Daily sales'!$G303:$CD303))</f>
        <v>86</v>
      </c>
      <c r="S318">
        <f>IF($E318=0,0,SUMPRODUCT($AI$13:$DF$13,'Staff Daily sales'!$G303:$CD303))</f>
        <v>11725.769999999999</v>
      </c>
      <c r="T318">
        <f>IF($E318=0,0,SUMPRODUCT($AI$14:$DF$14,'Staff Daily sales'!$G303:$CD303))</f>
        <v>60</v>
      </c>
      <c r="U318">
        <f>IF($E318=0,0,SUMPRODUCT($AI$15:$DF$15,'Staff Daily sales'!$G303:$CD303))</f>
        <v>4585.1000000000004</v>
      </c>
      <c r="V318">
        <f>IF($E318=0,0,SUMPRODUCT($AI$16:$DF$16,'Staff Daily sales'!$G303:$CD303))</f>
        <v>29</v>
      </c>
      <c r="W318">
        <f t="shared" si="95"/>
        <v>27891.48</v>
      </c>
      <c r="X318">
        <f t="shared" si="96"/>
        <v>38624.71</v>
      </c>
      <c r="Y318">
        <f t="shared" si="97"/>
        <v>32716.53</v>
      </c>
      <c r="Z318">
        <f t="shared" si="98"/>
        <v>30227.489999999998</v>
      </c>
      <c r="AA318">
        <f t="shared" si="99"/>
        <v>6485.14</v>
      </c>
      <c r="AB318">
        <f>--AND($E318=1,OR('Staff Weekly Trend'!$B$3="All",$DH318='Staff Weekly Trend'!$B$3),OR('Staff Weekly Trend'!$B$4="All",$D318='Staff Weekly Trend'!$B$4),OR('Staff Weekly Trend'!$B$5="All",$A318='Staff Weekly Trend'!$B$5))</f>
        <v>1</v>
      </c>
      <c r="AC318">
        <f t="shared" si="100"/>
        <v>1</v>
      </c>
      <c r="AI318">
        <f t="shared" si="101"/>
        <v>162</v>
      </c>
      <c r="AJ318">
        <f t="shared" si="102"/>
        <v>228</v>
      </c>
      <c r="AK318">
        <f t="shared" si="103"/>
        <v>212</v>
      </c>
      <c r="AL318">
        <f t="shared" si="104"/>
        <v>169</v>
      </c>
      <c r="AM318">
        <f t="shared" si="105"/>
        <v>44</v>
      </c>
      <c r="DH318" t="str" cm="1">
        <f t="array" ref="DH318">IF($A318="","",_xlfn.LET(_xlpm.c,IFERROR(_xlfn.XLOOKUP($A318,TRIM('Sales and count'!$A$4:$A$300&amp;""),TRIM('Sales and count'!$B$4:$B$300&amp;"")),""),IF(OR(_xlpm.c="",_xlpm.c="0",LEFT(_xlpm.c,1)="#"),"Not set",_xlpm.c)))</f>
        <v>KSA</v>
      </c>
    </row>
    <row r="319" spans="1:112" x14ac:dyDescent="0.25">
      <c r="A319" t="str">
        <f>IF('Staff Daily sales'!$B304="","",TRIM('Staff Daily sales'!$B304&amp;""))</f>
        <v>HAOTHDMM</v>
      </c>
      <c r="B319" t="str">
        <f>IF('Staff Daily sales'!$D304="","",TRIM('Staff Daily sales'!$D304&amp;""))</f>
        <v>5432-ATalal</v>
      </c>
      <c r="C319" t="str">
        <f>IFERROR(TRIM('Staff Daily sales'!$E304&amp;""),"")</f>
        <v>Dammam</v>
      </c>
      <c r="D319" t="str">
        <f>IFERROR(IF(TRIM('Staff Daily sales'!$F304&amp;"")="","Unassigned",TRIM('Staff Daily sales'!$F304&amp;"")),"Unassigned")</f>
        <v>Hamzah Al Makhadam</v>
      </c>
      <c r="E319">
        <f t="shared" si="90"/>
        <v>1</v>
      </c>
      <c r="F319">
        <f>IF($E319=0,0,SUMPRODUCT($AI$5:$DF$5,'Staff Daily sales'!$G304:$CD304))</f>
        <v>1070.98</v>
      </c>
      <c r="G319">
        <f>IF($E319=0,0,SUMPRODUCT($AI$6:$DF$6,'Staff Daily sales'!$G304:$CD304))</f>
        <v>12</v>
      </c>
      <c r="H319">
        <f t="shared" si="91"/>
        <v>5524.8799999999992</v>
      </c>
      <c r="I319">
        <f t="shared" si="92"/>
        <v>28</v>
      </c>
      <c r="J319">
        <f t="shared" si="93"/>
        <v>128104.23999999996</v>
      </c>
      <c r="K319">
        <f t="shared" si="94"/>
        <v>596</v>
      </c>
      <c r="L319">
        <f>--AND($E319=1,OR('Staff Dashboard'!$B$6="All",$DH319='Staff Dashboard'!$B$6),OR('Staff Dashboard'!$B$7="All",$D319='Staff Dashboard'!$B$7),OR('Staff Dashboard'!$B$8="All",$A319='Staff Dashboard'!$B$8))</f>
        <v>0</v>
      </c>
      <c r="M319">
        <f>IF($E319=0,0,SUMPRODUCT($AI$7:$DF$7,'Staff Daily sales'!$G304:$CD304))</f>
        <v>5540.05</v>
      </c>
      <c r="N319">
        <f>IF($E319=0,0,SUMPRODUCT($AI$8:$DF$8,'Staff Daily sales'!$G304:$CD304))</f>
        <v>34</v>
      </c>
      <c r="O319">
        <f>IF($E319=0,0,SUMPRODUCT($AI$9:$DF$9,'Staff Daily sales'!$G304:$CD304))</f>
        <v>10658.170000000002</v>
      </c>
      <c r="P319">
        <f>IF($E319=0,0,SUMPRODUCT($AI$10:$DF$10,'Staff Daily sales'!$G304:$CD304))</f>
        <v>69</v>
      </c>
      <c r="Q319">
        <f>IF($E319=0,0,SUMPRODUCT($AI$11:$DF$11,'Staff Daily sales'!$G304:$CD304))</f>
        <v>7935.07</v>
      </c>
      <c r="R319">
        <f>IF($E319=0,0,SUMPRODUCT($AI$12:$DF$12,'Staff Daily sales'!$G304:$CD304))</f>
        <v>52</v>
      </c>
      <c r="S319">
        <f>IF($E319=0,0,SUMPRODUCT($AI$13:$DF$13,'Staff Daily sales'!$G304:$CD304))</f>
        <v>6907.98</v>
      </c>
      <c r="T319">
        <f>IF($E319=0,0,SUMPRODUCT($AI$14:$DF$14,'Staff Daily sales'!$G304:$CD304))</f>
        <v>43</v>
      </c>
      <c r="U319">
        <f>IF($E319=0,0,SUMPRODUCT($AI$15:$DF$15,'Staff Daily sales'!$G304:$CD304))</f>
        <v>767.01</v>
      </c>
      <c r="V319">
        <f>IF($E319=0,0,SUMPRODUCT($AI$16:$DF$16,'Staff Daily sales'!$G304:$CD304))</f>
        <v>6</v>
      </c>
      <c r="W319">
        <f t="shared" si="95"/>
        <v>27891.48</v>
      </c>
      <c r="X319">
        <f t="shared" si="96"/>
        <v>38624.71</v>
      </c>
      <c r="Y319">
        <f t="shared" si="97"/>
        <v>32716.53</v>
      </c>
      <c r="Z319">
        <f t="shared" si="98"/>
        <v>30227.489999999998</v>
      </c>
      <c r="AA319">
        <f t="shared" si="99"/>
        <v>6485.14</v>
      </c>
      <c r="AB319">
        <f>--AND($E319=1,OR('Staff Weekly Trend'!$B$3="All",$DH319='Staff Weekly Trend'!$B$3),OR('Staff Weekly Trend'!$B$4="All",$D319='Staff Weekly Trend'!$B$4),OR('Staff Weekly Trend'!$B$5="All",$A319='Staff Weekly Trend'!$B$5))</f>
        <v>1</v>
      </c>
      <c r="AC319">
        <f t="shared" si="100"/>
        <v>3</v>
      </c>
      <c r="AI319">
        <f t="shared" si="101"/>
        <v>162</v>
      </c>
      <c r="AJ319">
        <f t="shared" si="102"/>
        <v>228</v>
      </c>
      <c r="AK319">
        <f t="shared" si="103"/>
        <v>212</v>
      </c>
      <c r="AL319">
        <f t="shared" si="104"/>
        <v>169</v>
      </c>
      <c r="AM319">
        <f t="shared" si="105"/>
        <v>44</v>
      </c>
      <c r="DH319" t="str" cm="1">
        <f t="array" ref="DH319">IF($A319="","",_xlfn.LET(_xlpm.c,IFERROR(_xlfn.XLOOKUP($A319,TRIM('Sales and count'!$A$4:$A$300&amp;""),TRIM('Sales and count'!$B$4:$B$300&amp;"")),""),IF(OR(_xlpm.c="",_xlpm.c="0",LEFT(_xlpm.c,1)="#"),"Not set",_xlpm.c)))</f>
        <v>KSA</v>
      </c>
    </row>
    <row r="320" spans="1:112" x14ac:dyDescent="0.25">
      <c r="A320" t="str">
        <f>IF('Staff Daily sales'!$B305="","",TRIM('Staff Daily sales'!$B305&amp;""))</f>
        <v>HAOTHDMM</v>
      </c>
      <c r="B320" t="str">
        <f>IF('Staff Daily sales'!$D305="","",TRIM('Staff Daily sales'!$D305&amp;""))</f>
        <v>6825-BMohamed</v>
      </c>
      <c r="C320" t="str">
        <f>IFERROR(TRIM('Staff Daily sales'!$E305&amp;""),"")</f>
        <v>Dammam</v>
      </c>
      <c r="D320" t="str">
        <f>IFERROR(IF(TRIM('Staff Daily sales'!$F305&amp;"")="","Unassigned",TRIM('Staff Daily sales'!$F305&amp;"")),"Unassigned")</f>
        <v>Hamzah Al Makhadam</v>
      </c>
      <c r="E320">
        <f t="shared" si="90"/>
        <v>1</v>
      </c>
      <c r="F320">
        <f>IF($E320=0,0,SUMPRODUCT($AI$5:$DF$5,'Staff Daily sales'!$G305:$CD305))</f>
        <v>0</v>
      </c>
      <c r="G320">
        <f>IF($E320=0,0,SUMPRODUCT($AI$6:$DF$6,'Staff Daily sales'!$G305:$CD305))</f>
        <v>0</v>
      </c>
      <c r="H320">
        <f t="shared" si="91"/>
        <v>5524.8799999999992</v>
      </c>
      <c r="I320">
        <f t="shared" si="92"/>
        <v>28</v>
      </c>
      <c r="J320">
        <f t="shared" si="93"/>
        <v>128104.23999999996</v>
      </c>
      <c r="K320">
        <f t="shared" si="94"/>
        <v>596</v>
      </c>
      <c r="L320">
        <f>--AND($E320=1,OR('Staff Dashboard'!$B$6="All",$DH320='Staff Dashboard'!$B$6),OR('Staff Dashboard'!$B$7="All",$D320='Staff Dashboard'!$B$7),OR('Staff Dashboard'!$B$8="All",$A320='Staff Dashboard'!$B$8))</f>
        <v>0</v>
      </c>
      <c r="M320">
        <f>IF($E320=0,0,SUMPRODUCT($AI$7:$DF$7,'Staff Daily sales'!$G305:$CD305))</f>
        <v>0</v>
      </c>
      <c r="N320">
        <f>IF($E320=0,0,SUMPRODUCT($AI$8:$DF$8,'Staff Daily sales'!$G305:$CD305))</f>
        <v>0</v>
      </c>
      <c r="O320">
        <f>IF($E320=0,0,SUMPRODUCT($AI$9:$DF$9,'Staff Daily sales'!$G305:$CD305))</f>
        <v>2299.04</v>
      </c>
      <c r="P320">
        <f>IF($E320=0,0,SUMPRODUCT($AI$10:$DF$10,'Staff Daily sales'!$G305:$CD305))</f>
        <v>12</v>
      </c>
      <c r="Q320">
        <f>IF($E320=0,0,SUMPRODUCT($AI$11:$DF$11,'Staff Daily sales'!$G305:$CD305))</f>
        <v>0</v>
      </c>
      <c r="R320">
        <f>IF($E320=0,0,SUMPRODUCT($AI$12:$DF$12,'Staff Daily sales'!$G305:$CD305))</f>
        <v>0</v>
      </c>
      <c r="S320">
        <f>IF($E320=0,0,SUMPRODUCT($AI$13:$DF$13,'Staff Daily sales'!$G305:$CD305))</f>
        <v>0</v>
      </c>
      <c r="T320">
        <f>IF($E320=0,0,SUMPRODUCT($AI$14:$DF$14,'Staff Daily sales'!$G305:$CD305))</f>
        <v>0</v>
      </c>
      <c r="U320">
        <f>IF($E320=0,0,SUMPRODUCT($AI$15:$DF$15,'Staff Daily sales'!$G305:$CD305))</f>
        <v>0</v>
      </c>
      <c r="V320">
        <f>IF($E320=0,0,SUMPRODUCT($AI$16:$DF$16,'Staff Daily sales'!$G305:$CD305))</f>
        <v>0</v>
      </c>
      <c r="W320">
        <f t="shared" si="95"/>
        <v>27891.48</v>
      </c>
      <c r="X320">
        <f t="shared" si="96"/>
        <v>38624.71</v>
      </c>
      <c r="Y320">
        <f t="shared" si="97"/>
        <v>32716.53</v>
      </c>
      <c r="Z320">
        <f t="shared" si="98"/>
        <v>30227.489999999998</v>
      </c>
      <c r="AA320">
        <f t="shared" si="99"/>
        <v>6485.14</v>
      </c>
      <c r="AB320">
        <f>--AND($E320=1,OR('Staff Weekly Trend'!$B$3="All",$DH320='Staff Weekly Trend'!$B$3),OR('Staff Weekly Trend'!$B$4="All",$D320='Staff Weekly Trend'!$B$4),OR('Staff Weekly Trend'!$B$5="All",$A320='Staff Weekly Trend'!$B$5))</f>
        <v>1</v>
      </c>
      <c r="AC320" t="str">
        <f t="shared" si="100"/>
        <v/>
      </c>
      <c r="AI320">
        <f t="shared" si="101"/>
        <v>162</v>
      </c>
      <c r="AJ320">
        <f t="shared" si="102"/>
        <v>228</v>
      </c>
      <c r="AK320">
        <f t="shared" si="103"/>
        <v>212</v>
      </c>
      <c r="AL320">
        <f t="shared" si="104"/>
        <v>169</v>
      </c>
      <c r="AM320">
        <f t="shared" si="105"/>
        <v>44</v>
      </c>
      <c r="DH320" t="str" cm="1">
        <f t="array" ref="DH320">IF($A320="","",_xlfn.LET(_xlpm.c,IFERROR(_xlfn.XLOOKUP($A320,TRIM('Sales and count'!$A$4:$A$300&amp;""),TRIM('Sales and count'!$B$4:$B$300&amp;"")),""),IF(OR(_xlpm.c="",_xlpm.c="0",LEFT(_xlpm.c,1)="#"),"Not set",_xlpm.c)))</f>
        <v>KSA</v>
      </c>
    </row>
    <row r="321" spans="1:112" x14ac:dyDescent="0.25">
      <c r="A321" t="str">
        <f>IF('Staff Daily sales'!$B306="","",TRIM('Staff Daily sales'!$B306&amp;""))</f>
        <v>HAOTHHAIL</v>
      </c>
      <c r="B321" t="str">
        <f>IF('Staff Daily sales'!$D306="","",TRIM('Staff Daily sales'!$D306&amp;""))</f>
        <v>4835-SAlShibani</v>
      </c>
      <c r="C321" t="str">
        <f>IFERROR(TRIM('Staff Daily sales'!$E306&amp;""),"")</f>
        <v>Hail</v>
      </c>
      <c r="D321" t="str">
        <f>IFERROR(IF(TRIM('Staff Daily sales'!$F306&amp;"")="","Unassigned",TRIM('Staff Daily sales'!$F306&amp;"")),"Unassigned")</f>
        <v>Mohammed Sanad</v>
      </c>
      <c r="E321">
        <f t="shared" si="90"/>
        <v>1</v>
      </c>
      <c r="F321">
        <f>IF($E321=0,0,SUMPRODUCT($AI$5:$DF$5,'Staff Daily sales'!$G306:$CD306))</f>
        <v>0</v>
      </c>
      <c r="G321">
        <f>IF($E321=0,0,SUMPRODUCT($AI$6:$DF$6,'Staff Daily sales'!$G306:$CD306))</f>
        <v>0</v>
      </c>
      <c r="H321">
        <f t="shared" si="91"/>
        <v>1989.92</v>
      </c>
      <c r="I321">
        <f t="shared" si="92"/>
        <v>10</v>
      </c>
      <c r="J321">
        <f t="shared" si="93"/>
        <v>64682.640000000014</v>
      </c>
      <c r="K321">
        <f t="shared" si="94"/>
        <v>326</v>
      </c>
      <c r="L321">
        <f>--AND($E321=1,OR('Staff Dashboard'!$B$6="All",$DH321='Staff Dashboard'!$B$6),OR('Staff Dashboard'!$B$7="All",$D321='Staff Dashboard'!$B$7),OR('Staff Dashboard'!$B$8="All",$A321='Staff Dashboard'!$B$8))</f>
        <v>0</v>
      </c>
      <c r="M321">
        <f>IF($E321=0,0,SUMPRODUCT($AI$7:$DF$7,'Staff Daily sales'!$G306:$CD306))</f>
        <v>1883.02</v>
      </c>
      <c r="N321">
        <f>IF($E321=0,0,SUMPRODUCT($AI$8:$DF$8,'Staff Daily sales'!$G306:$CD306))</f>
        <v>15</v>
      </c>
      <c r="O321">
        <f>IF($E321=0,0,SUMPRODUCT($AI$9:$DF$9,'Staff Daily sales'!$G306:$CD306))</f>
        <v>3948.99</v>
      </c>
      <c r="P321">
        <f>IF($E321=0,0,SUMPRODUCT($AI$10:$DF$10,'Staff Daily sales'!$G306:$CD306))</f>
        <v>25</v>
      </c>
      <c r="Q321">
        <f>IF($E321=0,0,SUMPRODUCT($AI$11:$DF$11,'Staff Daily sales'!$G306:$CD306))</f>
        <v>3020.05</v>
      </c>
      <c r="R321">
        <f>IF($E321=0,0,SUMPRODUCT($AI$12:$DF$12,'Staff Daily sales'!$G306:$CD306))</f>
        <v>20</v>
      </c>
      <c r="S321">
        <f>IF($E321=0,0,SUMPRODUCT($AI$13:$DF$13,'Staff Daily sales'!$G306:$CD306))</f>
        <v>1232.95</v>
      </c>
      <c r="T321">
        <f>IF($E321=0,0,SUMPRODUCT($AI$14:$DF$14,'Staff Daily sales'!$G306:$CD306))</f>
        <v>6</v>
      </c>
      <c r="U321">
        <f>IF($E321=0,0,SUMPRODUCT($AI$15:$DF$15,'Staff Daily sales'!$G306:$CD306))</f>
        <v>75</v>
      </c>
      <c r="V321">
        <f>IF($E321=0,0,SUMPRODUCT($AI$16:$DF$16,'Staff Daily sales'!$G306:$CD306))</f>
        <v>1</v>
      </c>
      <c r="W321">
        <f t="shared" si="95"/>
        <v>7403.0500000000011</v>
      </c>
      <c r="X321">
        <f t="shared" si="96"/>
        <v>17697.16</v>
      </c>
      <c r="Y321">
        <f t="shared" si="97"/>
        <v>13626.27</v>
      </c>
      <c r="Z321">
        <f t="shared" si="98"/>
        <v>13250.630000000001</v>
      </c>
      <c r="AA321">
        <f t="shared" si="99"/>
        <v>4062</v>
      </c>
      <c r="AB321">
        <f>--AND($E321=1,OR('Staff Weekly Trend'!$B$3="All",$DH321='Staff Weekly Trend'!$B$3),OR('Staff Weekly Trend'!$B$4="All",$D321='Staff Weekly Trend'!$B$4),OR('Staff Weekly Trend'!$B$5="All",$A321='Staff Weekly Trend'!$B$5))</f>
        <v>1</v>
      </c>
      <c r="AC321" t="str">
        <f t="shared" si="100"/>
        <v/>
      </c>
      <c r="AI321">
        <f t="shared" si="101"/>
        <v>52</v>
      </c>
      <c r="AJ321">
        <f t="shared" si="102"/>
        <v>106</v>
      </c>
      <c r="AK321">
        <f t="shared" si="103"/>
        <v>81</v>
      </c>
      <c r="AL321">
        <f t="shared" si="104"/>
        <v>72</v>
      </c>
      <c r="AM321">
        <f t="shared" si="105"/>
        <v>18</v>
      </c>
      <c r="DH321" t="str" cm="1">
        <f t="array" ref="DH321">IF($A321="","",_xlfn.LET(_xlpm.c,IFERROR(_xlfn.XLOOKUP($A321,TRIM('Sales and count'!$A$4:$A$300&amp;""),TRIM('Sales and count'!$B$4:$B$300&amp;"")),""),IF(OR(_xlpm.c="",_xlpm.c="0",LEFT(_xlpm.c,1)="#"),"Not set",_xlpm.c)))</f>
        <v>KSA</v>
      </c>
    </row>
    <row r="322" spans="1:112" x14ac:dyDescent="0.25">
      <c r="A322" t="str">
        <f>IF('Staff Daily sales'!$B307="","",TRIM('Staff Daily sales'!$B307&amp;""))</f>
        <v>HAOTHHAIL</v>
      </c>
      <c r="B322" t="str">
        <f>IF('Staff Daily sales'!$D307="","",TRIM('Staff Daily sales'!$D307&amp;""))</f>
        <v>5185-RAlShammari</v>
      </c>
      <c r="C322" t="str">
        <f>IFERROR(TRIM('Staff Daily sales'!$E307&amp;""),"")</f>
        <v>Hail</v>
      </c>
      <c r="D322" t="str">
        <f>IFERROR(IF(TRIM('Staff Daily sales'!$F307&amp;"")="","Unassigned",TRIM('Staff Daily sales'!$F307&amp;"")),"Unassigned")</f>
        <v>Mohammed Sanad</v>
      </c>
      <c r="E322">
        <f t="shared" si="90"/>
        <v>1</v>
      </c>
      <c r="F322">
        <f>IF($E322=0,0,SUMPRODUCT($AI$5:$DF$5,'Staff Daily sales'!$G307:$CD307))</f>
        <v>1085.98</v>
      </c>
      <c r="G322">
        <f>IF($E322=0,0,SUMPRODUCT($AI$6:$DF$6,'Staff Daily sales'!$G307:$CD307))</f>
        <v>6</v>
      </c>
      <c r="H322">
        <f t="shared" si="91"/>
        <v>1989.92</v>
      </c>
      <c r="I322">
        <f t="shared" si="92"/>
        <v>10</v>
      </c>
      <c r="J322">
        <f t="shared" si="93"/>
        <v>64682.640000000014</v>
      </c>
      <c r="K322">
        <f t="shared" si="94"/>
        <v>326</v>
      </c>
      <c r="L322">
        <f>--AND($E322=1,OR('Staff Dashboard'!$B$6="All",$DH322='Staff Dashboard'!$B$6),OR('Staff Dashboard'!$B$7="All",$D322='Staff Dashboard'!$B$7),OR('Staff Dashboard'!$B$8="All",$A322='Staff Dashboard'!$B$8))</f>
        <v>0</v>
      </c>
      <c r="M322">
        <f>IF($E322=0,0,SUMPRODUCT($AI$7:$DF$7,'Staff Daily sales'!$G307:$CD307))</f>
        <v>2389.0100000000002</v>
      </c>
      <c r="N322">
        <f>IF($E322=0,0,SUMPRODUCT($AI$8:$DF$8,'Staff Daily sales'!$G307:$CD307))</f>
        <v>13</v>
      </c>
      <c r="O322">
        <f>IF($E322=0,0,SUMPRODUCT($AI$9:$DF$9,'Staff Daily sales'!$G307:$CD307))</f>
        <v>2722.05</v>
      </c>
      <c r="P322">
        <f>IF($E322=0,0,SUMPRODUCT($AI$10:$DF$10,'Staff Daily sales'!$G307:$CD307))</f>
        <v>18</v>
      </c>
      <c r="Q322">
        <f>IF($E322=0,0,SUMPRODUCT($AI$11:$DF$11,'Staff Daily sales'!$G307:$CD307))</f>
        <v>4065.12</v>
      </c>
      <c r="R322">
        <f>IF($E322=0,0,SUMPRODUCT($AI$12:$DF$12,'Staff Daily sales'!$G307:$CD307))</f>
        <v>25</v>
      </c>
      <c r="S322">
        <f>IF($E322=0,0,SUMPRODUCT($AI$13:$DF$13,'Staff Daily sales'!$G307:$CD307))</f>
        <v>4621.8899999999994</v>
      </c>
      <c r="T322">
        <f>IF($E322=0,0,SUMPRODUCT($AI$14:$DF$14,'Staff Daily sales'!$G307:$CD307))</f>
        <v>28</v>
      </c>
      <c r="U322">
        <f>IF($E322=0,0,SUMPRODUCT($AI$15:$DF$15,'Staff Daily sales'!$G307:$CD307))</f>
        <v>1290.05</v>
      </c>
      <c r="V322">
        <f>IF($E322=0,0,SUMPRODUCT($AI$16:$DF$16,'Staff Daily sales'!$G307:$CD307))</f>
        <v>5</v>
      </c>
      <c r="W322">
        <f t="shared" si="95"/>
        <v>7403.0500000000011</v>
      </c>
      <c r="X322">
        <f t="shared" si="96"/>
        <v>17697.16</v>
      </c>
      <c r="Y322">
        <f t="shared" si="97"/>
        <v>13626.27</v>
      </c>
      <c r="Z322">
        <f t="shared" si="98"/>
        <v>13250.630000000001</v>
      </c>
      <c r="AA322">
        <f t="shared" si="99"/>
        <v>4062</v>
      </c>
      <c r="AB322">
        <f>--AND($E322=1,OR('Staff Weekly Trend'!$B$3="All",$DH322='Staff Weekly Trend'!$B$3),OR('Staff Weekly Trend'!$B$4="All",$D322='Staff Weekly Trend'!$B$4),OR('Staff Weekly Trend'!$B$5="All",$A322='Staff Weekly Trend'!$B$5))</f>
        <v>1</v>
      </c>
      <c r="AC322">
        <f t="shared" si="100"/>
        <v>1</v>
      </c>
      <c r="AI322">
        <f t="shared" si="101"/>
        <v>52</v>
      </c>
      <c r="AJ322">
        <f t="shared" si="102"/>
        <v>106</v>
      </c>
      <c r="AK322">
        <f t="shared" si="103"/>
        <v>81</v>
      </c>
      <c r="AL322">
        <f t="shared" si="104"/>
        <v>72</v>
      </c>
      <c r="AM322">
        <f t="shared" si="105"/>
        <v>18</v>
      </c>
      <c r="DH322" t="str" cm="1">
        <f t="array" ref="DH322">IF($A322="","",_xlfn.LET(_xlpm.c,IFERROR(_xlfn.XLOOKUP($A322,TRIM('Sales and count'!$A$4:$A$300&amp;""),TRIM('Sales and count'!$B$4:$B$300&amp;"")),""),IF(OR(_xlpm.c="",_xlpm.c="0",LEFT(_xlpm.c,1)="#"),"Not set",_xlpm.c)))</f>
        <v>KSA</v>
      </c>
    </row>
    <row r="323" spans="1:112" x14ac:dyDescent="0.25">
      <c r="A323" t="str">
        <f>IF('Staff Daily sales'!$B308="","",TRIM('Staff Daily sales'!$B308&amp;""))</f>
        <v>HAOTHHAIL</v>
      </c>
      <c r="B323" t="str">
        <f>IF('Staff Daily sales'!$D308="","",TRIM('Staff Daily sales'!$D308&amp;""))</f>
        <v>5187-YAlEnzi</v>
      </c>
      <c r="C323" t="str">
        <f>IFERROR(TRIM('Staff Daily sales'!$E308&amp;""),"")</f>
        <v>Hail</v>
      </c>
      <c r="D323" t="str">
        <f>IFERROR(IF(TRIM('Staff Daily sales'!$F308&amp;"")="","Unassigned",TRIM('Staff Daily sales'!$F308&amp;"")),"Unassigned")</f>
        <v>Mohammed Sanad</v>
      </c>
      <c r="E323">
        <f t="shared" si="90"/>
        <v>1</v>
      </c>
      <c r="F323">
        <f>IF($E323=0,0,SUMPRODUCT($AI$5:$DF$5,'Staff Daily sales'!$G308:$CD308))</f>
        <v>518.96</v>
      </c>
      <c r="G323">
        <f>IF($E323=0,0,SUMPRODUCT($AI$6:$DF$6,'Staff Daily sales'!$G308:$CD308))</f>
        <v>2</v>
      </c>
      <c r="H323">
        <f t="shared" si="91"/>
        <v>1989.92</v>
      </c>
      <c r="I323">
        <f t="shared" si="92"/>
        <v>10</v>
      </c>
      <c r="J323">
        <f t="shared" si="93"/>
        <v>64682.640000000014</v>
      </c>
      <c r="K323">
        <f t="shared" si="94"/>
        <v>326</v>
      </c>
      <c r="L323">
        <f>--AND($E323=1,OR('Staff Dashboard'!$B$6="All",$DH323='Staff Dashboard'!$B$6),OR('Staff Dashboard'!$B$7="All",$D323='Staff Dashboard'!$B$7),OR('Staff Dashboard'!$B$8="All",$A323='Staff Dashboard'!$B$8))</f>
        <v>0</v>
      </c>
      <c r="M323">
        <f>IF($E323=0,0,SUMPRODUCT($AI$7:$DF$7,'Staff Daily sales'!$G308:$CD308))</f>
        <v>1399.02</v>
      </c>
      <c r="N323">
        <f>IF($E323=0,0,SUMPRODUCT($AI$8:$DF$8,'Staff Daily sales'!$G308:$CD308))</f>
        <v>11</v>
      </c>
      <c r="O323">
        <f>IF($E323=0,0,SUMPRODUCT($AI$9:$DF$9,'Staff Daily sales'!$G308:$CD308))</f>
        <v>6772.1</v>
      </c>
      <c r="P323">
        <f>IF($E323=0,0,SUMPRODUCT($AI$10:$DF$10,'Staff Daily sales'!$G308:$CD308))</f>
        <v>36</v>
      </c>
      <c r="Q323">
        <f>IF($E323=0,0,SUMPRODUCT($AI$11:$DF$11,'Staff Daily sales'!$G308:$CD308))</f>
        <v>812</v>
      </c>
      <c r="R323">
        <f>IF($E323=0,0,SUMPRODUCT($AI$12:$DF$12,'Staff Daily sales'!$G308:$CD308))</f>
        <v>5</v>
      </c>
      <c r="S323">
        <f>IF($E323=0,0,SUMPRODUCT($AI$13:$DF$13,'Staff Daily sales'!$G308:$CD308))</f>
        <v>3411.84</v>
      </c>
      <c r="T323">
        <f>IF($E323=0,0,SUMPRODUCT($AI$14:$DF$14,'Staff Daily sales'!$G308:$CD308))</f>
        <v>16</v>
      </c>
      <c r="U323">
        <f>IF($E323=0,0,SUMPRODUCT($AI$15:$DF$15,'Staff Daily sales'!$G308:$CD308))</f>
        <v>861.04</v>
      </c>
      <c r="V323">
        <f>IF($E323=0,0,SUMPRODUCT($AI$16:$DF$16,'Staff Daily sales'!$G308:$CD308))</f>
        <v>3</v>
      </c>
      <c r="W323">
        <f t="shared" si="95"/>
        <v>7403.0500000000011</v>
      </c>
      <c r="X323">
        <f t="shared" si="96"/>
        <v>17697.16</v>
      </c>
      <c r="Y323">
        <f t="shared" si="97"/>
        <v>13626.27</v>
      </c>
      <c r="Z323">
        <f t="shared" si="98"/>
        <v>13250.630000000001</v>
      </c>
      <c r="AA323">
        <f t="shared" si="99"/>
        <v>4062</v>
      </c>
      <c r="AB323">
        <f>--AND($E323=1,OR('Staff Weekly Trend'!$B$3="All",$DH323='Staff Weekly Trend'!$B$3),OR('Staff Weekly Trend'!$B$4="All",$D323='Staff Weekly Trend'!$B$4),OR('Staff Weekly Trend'!$B$5="All",$A323='Staff Weekly Trend'!$B$5))</f>
        <v>1</v>
      </c>
      <c r="AC323">
        <f t="shared" si="100"/>
        <v>2</v>
      </c>
      <c r="AI323">
        <f t="shared" si="101"/>
        <v>52</v>
      </c>
      <c r="AJ323">
        <f t="shared" si="102"/>
        <v>106</v>
      </c>
      <c r="AK323">
        <f t="shared" si="103"/>
        <v>81</v>
      </c>
      <c r="AL323">
        <f t="shared" si="104"/>
        <v>72</v>
      </c>
      <c r="AM323">
        <f t="shared" si="105"/>
        <v>18</v>
      </c>
      <c r="DH323" t="str" cm="1">
        <f t="array" ref="DH323">IF($A323="","",_xlfn.LET(_xlpm.c,IFERROR(_xlfn.XLOOKUP($A323,TRIM('Sales and count'!$A$4:$A$300&amp;""),TRIM('Sales and count'!$B$4:$B$300&amp;"")),""),IF(OR(_xlpm.c="",_xlpm.c="0",LEFT(_xlpm.c,1)="#"),"Not set",_xlpm.c)))</f>
        <v>KSA</v>
      </c>
    </row>
    <row r="324" spans="1:112" x14ac:dyDescent="0.25">
      <c r="A324" t="str">
        <f>IF('Staff Daily sales'!$B309="","",TRIM('Staff Daily sales'!$B309&amp;""))</f>
        <v>HAOTHHAIL</v>
      </c>
      <c r="B324" t="str">
        <f>IF('Staff Daily sales'!$D309="","",TRIM('Staff Daily sales'!$D309&amp;""))</f>
        <v>5188-SAlShammari</v>
      </c>
      <c r="C324" t="str">
        <f>IFERROR(TRIM('Staff Daily sales'!$E309&amp;""),"")</f>
        <v>Hail</v>
      </c>
      <c r="D324" t="str">
        <f>IFERROR(IF(TRIM('Staff Daily sales'!$F309&amp;"")="","Unassigned",TRIM('Staff Daily sales'!$F309&amp;"")),"Unassigned")</f>
        <v>Mohammed Sanad</v>
      </c>
      <c r="E324">
        <f t="shared" si="90"/>
        <v>1</v>
      </c>
      <c r="F324">
        <f>IF($E324=0,0,SUMPRODUCT($AI$5:$DF$5,'Staff Daily sales'!$G309:$CD309))</f>
        <v>384.98</v>
      </c>
      <c r="G324">
        <f>IF($E324=0,0,SUMPRODUCT($AI$6:$DF$6,'Staff Daily sales'!$G309:$CD309))</f>
        <v>2</v>
      </c>
      <c r="H324">
        <f t="shared" si="91"/>
        <v>1989.92</v>
      </c>
      <c r="I324">
        <f t="shared" si="92"/>
        <v>10</v>
      </c>
      <c r="J324">
        <f t="shared" si="93"/>
        <v>64682.640000000014</v>
      </c>
      <c r="K324">
        <f t="shared" si="94"/>
        <v>326</v>
      </c>
      <c r="L324">
        <f>--AND($E324=1,OR('Staff Dashboard'!$B$6="All",$DH324='Staff Dashboard'!$B$6),OR('Staff Dashboard'!$B$7="All",$D324='Staff Dashboard'!$B$7),OR('Staff Dashboard'!$B$8="All",$A324='Staff Dashboard'!$B$8))</f>
        <v>0</v>
      </c>
      <c r="M324">
        <f>IF($E324=0,0,SUMPRODUCT($AI$7:$DF$7,'Staff Daily sales'!$G309:$CD309))</f>
        <v>1732</v>
      </c>
      <c r="N324">
        <f>IF($E324=0,0,SUMPRODUCT($AI$8:$DF$8,'Staff Daily sales'!$G309:$CD309))</f>
        <v>13</v>
      </c>
      <c r="O324">
        <f>IF($E324=0,0,SUMPRODUCT($AI$9:$DF$9,'Staff Daily sales'!$G309:$CD309))</f>
        <v>4254.0200000000004</v>
      </c>
      <c r="P324">
        <f>IF($E324=0,0,SUMPRODUCT($AI$10:$DF$10,'Staff Daily sales'!$G309:$CD309))</f>
        <v>27</v>
      </c>
      <c r="Q324">
        <f>IF($E324=0,0,SUMPRODUCT($AI$11:$DF$11,'Staff Daily sales'!$G309:$CD309))</f>
        <v>5729.1</v>
      </c>
      <c r="R324">
        <f>IF($E324=0,0,SUMPRODUCT($AI$12:$DF$12,'Staff Daily sales'!$G309:$CD309))</f>
        <v>31</v>
      </c>
      <c r="S324">
        <f>IF($E324=0,0,SUMPRODUCT($AI$13:$DF$13,'Staff Daily sales'!$G309:$CD309))</f>
        <v>3983.9500000000003</v>
      </c>
      <c r="T324">
        <f>IF($E324=0,0,SUMPRODUCT($AI$14:$DF$14,'Staff Daily sales'!$G309:$CD309))</f>
        <v>22</v>
      </c>
      <c r="U324">
        <f>IF($E324=0,0,SUMPRODUCT($AI$15:$DF$15,'Staff Daily sales'!$G309:$CD309))</f>
        <v>1835.91</v>
      </c>
      <c r="V324">
        <f>IF($E324=0,0,SUMPRODUCT($AI$16:$DF$16,'Staff Daily sales'!$G309:$CD309))</f>
        <v>9</v>
      </c>
      <c r="W324">
        <f t="shared" si="95"/>
        <v>7403.0500000000011</v>
      </c>
      <c r="X324">
        <f t="shared" si="96"/>
        <v>17697.16</v>
      </c>
      <c r="Y324">
        <f t="shared" si="97"/>
        <v>13626.27</v>
      </c>
      <c r="Z324">
        <f t="shared" si="98"/>
        <v>13250.630000000001</v>
      </c>
      <c r="AA324">
        <f t="shared" si="99"/>
        <v>4062</v>
      </c>
      <c r="AB324">
        <f>--AND($E324=1,OR('Staff Weekly Trend'!$B$3="All",$DH324='Staff Weekly Trend'!$B$3),OR('Staff Weekly Trend'!$B$4="All",$D324='Staff Weekly Trend'!$B$4),OR('Staff Weekly Trend'!$B$5="All",$A324='Staff Weekly Trend'!$B$5))</f>
        <v>1</v>
      </c>
      <c r="AC324">
        <f t="shared" si="100"/>
        <v>3</v>
      </c>
      <c r="AI324">
        <f t="shared" si="101"/>
        <v>52</v>
      </c>
      <c r="AJ324">
        <f t="shared" si="102"/>
        <v>106</v>
      </c>
      <c r="AK324">
        <f t="shared" si="103"/>
        <v>81</v>
      </c>
      <c r="AL324">
        <f t="shared" si="104"/>
        <v>72</v>
      </c>
      <c r="AM324">
        <f t="shared" si="105"/>
        <v>18</v>
      </c>
      <c r="DH324" t="str" cm="1">
        <f t="array" ref="DH324">IF($A324="","",_xlfn.LET(_xlpm.c,IFERROR(_xlfn.XLOOKUP($A324,TRIM('Sales and count'!$A$4:$A$300&amp;""),TRIM('Sales and count'!$B$4:$B$300&amp;"")),""),IF(OR(_xlpm.c="",_xlpm.c="0",LEFT(_xlpm.c,1)="#"),"Not set",_xlpm.c)))</f>
        <v>KSA</v>
      </c>
    </row>
    <row r="325" spans="1:112" x14ac:dyDescent="0.25">
      <c r="A325" t="str">
        <f>IF('Staff Daily sales'!$B310="","",TRIM('Staff Daily sales'!$B310&amp;""))</f>
        <v>HACOMPLZ</v>
      </c>
      <c r="B325" t="str">
        <f>IF('Staff Daily sales'!$D310="","",TRIM('Staff Daily sales'!$D310&amp;""))</f>
        <v>3692-TAlshrari</v>
      </c>
      <c r="C325" t="str">
        <f>IFERROR(TRIM('Staff Daily sales'!$E310&amp;""),"")</f>
        <v>Riyadh</v>
      </c>
      <c r="D325" t="str">
        <f>IFERROR(IF(TRIM('Staff Daily sales'!$F310&amp;"")="","Unassigned",TRIM('Staff Daily sales'!$F310&amp;"")),"Unassigned")</f>
        <v>Lina Al Ghathami</v>
      </c>
      <c r="E325">
        <f t="shared" si="90"/>
        <v>1</v>
      </c>
      <c r="F325">
        <f>IF($E325=0,0,SUMPRODUCT($AI$5:$DF$5,'Staff Daily sales'!$G310:$CD310))</f>
        <v>2251.9299999999998</v>
      </c>
      <c r="G325">
        <f>IF($E325=0,0,SUMPRODUCT($AI$6:$DF$6,'Staff Daily sales'!$G310:$CD310))</f>
        <v>13</v>
      </c>
      <c r="H325">
        <f t="shared" si="91"/>
        <v>10765.52</v>
      </c>
      <c r="I325">
        <f t="shared" si="92"/>
        <v>62</v>
      </c>
      <c r="J325">
        <f t="shared" si="93"/>
        <v>62915.250000000007</v>
      </c>
      <c r="K325">
        <f t="shared" si="94"/>
        <v>385</v>
      </c>
      <c r="L325">
        <f>--AND($E325=1,OR('Staff Dashboard'!$B$6="All",$DH325='Staff Dashboard'!$B$6),OR('Staff Dashboard'!$B$7="All",$D325='Staff Dashboard'!$B$7),OR('Staff Dashboard'!$B$8="All",$A325='Staff Dashboard'!$B$8))</f>
        <v>0</v>
      </c>
      <c r="M325">
        <f>IF($E325=0,0,SUMPRODUCT($AI$7:$DF$7,'Staff Daily sales'!$G310:$CD310))</f>
        <v>150</v>
      </c>
      <c r="N325">
        <f>IF($E325=0,0,SUMPRODUCT($AI$8:$DF$8,'Staff Daily sales'!$G310:$CD310))</f>
        <v>1</v>
      </c>
      <c r="O325">
        <f>IF($E325=0,0,SUMPRODUCT($AI$9:$DF$9,'Staff Daily sales'!$G310:$CD310))</f>
        <v>1419.03</v>
      </c>
      <c r="P325">
        <f>IF($E325=0,0,SUMPRODUCT($AI$10:$DF$10,'Staff Daily sales'!$G310:$CD310))</f>
        <v>13</v>
      </c>
      <c r="Q325">
        <f>IF($E325=0,0,SUMPRODUCT($AI$11:$DF$11,'Staff Daily sales'!$G310:$CD310))</f>
        <v>3813.06</v>
      </c>
      <c r="R325">
        <f>IF($E325=0,0,SUMPRODUCT($AI$12:$DF$12,'Staff Daily sales'!$G310:$CD310))</f>
        <v>22</v>
      </c>
      <c r="S325">
        <f>IF($E325=0,0,SUMPRODUCT($AI$13:$DF$13,'Staff Daily sales'!$G310:$CD310))</f>
        <v>6045.92</v>
      </c>
      <c r="T325">
        <f>IF($E325=0,0,SUMPRODUCT($AI$14:$DF$14,'Staff Daily sales'!$G310:$CD310))</f>
        <v>37</v>
      </c>
      <c r="U325">
        <f>IF($E325=0,0,SUMPRODUCT($AI$15:$DF$15,'Staff Daily sales'!$G310:$CD310))</f>
        <v>0</v>
      </c>
      <c r="V325">
        <f>IF($E325=0,0,SUMPRODUCT($AI$16:$DF$16,'Staff Daily sales'!$G310:$CD310))</f>
        <v>0</v>
      </c>
      <c r="W325">
        <f t="shared" si="95"/>
        <v>65770.17</v>
      </c>
      <c r="X325">
        <f t="shared" si="96"/>
        <v>94871.160000000018</v>
      </c>
      <c r="Y325">
        <f t="shared" si="97"/>
        <v>70761.88</v>
      </c>
      <c r="Z325">
        <f t="shared" si="98"/>
        <v>72561.98</v>
      </c>
      <c r="AA325">
        <f t="shared" si="99"/>
        <v>17601.659999999996</v>
      </c>
      <c r="AB325">
        <f>--AND($E325=1,OR('Staff Weekly Trend'!$B$3="All",$DH325='Staff Weekly Trend'!$B$3),OR('Staff Weekly Trend'!$B$4="All",$D325='Staff Weekly Trend'!$B$4),OR('Staff Weekly Trend'!$B$5="All",$A325='Staff Weekly Trend'!$B$5))</f>
        <v>1</v>
      </c>
      <c r="AC325">
        <f t="shared" si="100"/>
        <v>4</v>
      </c>
      <c r="AI325">
        <f t="shared" si="101"/>
        <v>422</v>
      </c>
      <c r="AJ325">
        <f t="shared" si="102"/>
        <v>582</v>
      </c>
      <c r="AK325">
        <f t="shared" si="103"/>
        <v>419</v>
      </c>
      <c r="AL325">
        <f t="shared" si="104"/>
        <v>421</v>
      </c>
      <c r="AM325">
        <f t="shared" si="105"/>
        <v>83</v>
      </c>
      <c r="DH325" t="str" cm="1">
        <f t="array" ref="DH325">IF($A325="","",_xlfn.LET(_xlpm.c,IFERROR(_xlfn.XLOOKUP($A325,TRIM('Sales and count'!$A$4:$A$300&amp;""),TRIM('Sales and count'!$B$4:$B$300&amp;"")),""),IF(OR(_xlpm.c="",_xlpm.c="0",LEFT(_xlpm.c,1)="#"),"Not set",_xlpm.c)))</f>
        <v>KSA</v>
      </c>
    </row>
    <row r="326" spans="1:112" x14ac:dyDescent="0.25">
      <c r="A326" t="str">
        <f>IF('Staff Daily sales'!$B311="","",TRIM('Staff Daily sales'!$B311&amp;""))</f>
        <v>HACOMPLZ</v>
      </c>
      <c r="B326" t="str">
        <f>IF('Staff Daily sales'!$D311="","",TRIM('Staff Daily sales'!$D311&amp;""))</f>
        <v>4499-FShaman</v>
      </c>
      <c r="C326" t="str">
        <f>IFERROR(TRIM('Staff Daily sales'!$E311&amp;""),"")</f>
        <v>Riyadh</v>
      </c>
      <c r="D326" t="str">
        <f>IFERROR(IF(TRIM('Staff Daily sales'!$F311&amp;"")="","Unassigned",TRIM('Staff Daily sales'!$F311&amp;"")),"Unassigned")</f>
        <v>Lina Al Ghathami</v>
      </c>
      <c r="E326">
        <f t="shared" si="90"/>
        <v>1</v>
      </c>
      <c r="F326">
        <f>IF($E326=0,0,SUMPRODUCT($AI$5:$DF$5,'Staff Daily sales'!$G311:$CD311))</f>
        <v>3608.83</v>
      </c>
      <c r="G326">
        <f>IF($E326=0,0,SUMPRODUCT($AI$6:$DF$6,'Staff Daily sales'!$G311:$CD311))</f>
        <v>19</v>
      </c>
      <c r="H326">
        <f t="shared" si="91"/>
        <v>10765.52</v>
      </c>
      <c r="I326">
        <f t="shared" si="92"/>
        <v>62</v>
      </c>
      <c r="J326">
        <f t="shared" si="93"/>
        <v>62915.250000000007</v>
      </c>
      <c r="K326">
        <f t="shared" si="94"/>
        <v>385</v>
      </c>
      <c r="L326">
        <f>--AND($E326=1,OR('Staff Dashboard'!$B$6="All",$DH326='Staff Dashboard'!$B$6),OR('Staff Dashboard'!$B$7="All",$D326='Staff Dashboard'!$B$7),OR('Staff Dashboard'!$B$8="All",$A326='Staff Dashboard'!$B$8))</f>
        <v>0</v>
      </c>
      <c r="M326">
        <f>IF($E326=0,0,SUMPRODUCT($AI$7:$DF$7,'Staff Daily sales'!$G311:$CD311))</f>
        <v>23610.519999999997</v>
      </c>
      <c r="N326">
        <f>IF($E326=0,0,SUMPRODUCT($AI$8:$DF$8,'Staff Daily sales'!$G311:$CD311))</f>
        <v>142</v>
      </c>
      <c r="O326">
        <f>IF($E326=0,0,SUMPRODUCT($AI$9:$DF$9,'Staff Daily sales'!$G311:$CD311))</f>
        <v>17203.14</v>
      </c>
      <c r="P326">
        <f>IF($E326=0,0,SUMPRODUCT($AI$10:$DF$10,'Staff Daily sales'!$G311:$CD311))</f>
        <v>108</v>
      </c>
      <c r="Q326">
        <f>IF($E326=0,0,SUMPRODUCT($AI$11:$DF$11,'Staff Daily sales'!$G311:$CD311))</f>
        <v>13923.16</v>
      </c>
      <c r="R326">
        <f>IF($E326=0,0,SUMPRODUCT($AI$12:$DF$12,'Staff Daily sales'!$G311:$CD311))</f>
        <v>78</v>
      </c>
      <c r="S326">
        <f>IF($E326=0,0,SUMPRODUCT($AI$13:$DF$13,'Staff Daily sales'!$G311:$CD311))</f>
        <v>13195.88</v>
      </c>
      <c r="T326">
        <f>IF($E326=0,0,SUMPRODUCT($AI$14:$DF$14,'Staff Daily sales'!$G311:$CD311))</f>
        <v>64</v>
      </c>
      <c r="U326">
        <f>IF($E326=0,0,SUMPRODUCT($AI$15:$DF$15,'Staff Daily sales'!$G311:$CD311))</f>
        <v>6503.27</v>
      </c>
      <c r="V326">
        <f>IF($E326=0,0,SUMPRODUCT($AI$16:$DF$16,'Staff Daily sales'!$G311:$CD311))</f>
        <v>19</v>
      </c>
      <c r="W326">
        <f t="shared" si="95"/>
        <v>65770.17</v>
      </c>
      <c r="X326">
        <f t="shared" si="96"/>
        <v>94871.160000000018</v>
      </c>
      <c r="Y326">
        <f t="shared" si="97"/>
        <v>70761.88</v>
      </c>
      <c r="Z326">
        <f t="shared" si="98"/>
        <v>72561.98</v>
      </c>
      <c r="AA326">
        <f t="shared" si="99"/>
        <v>17601.659999999996</v>
      </c>
      <c r="AB326">
        <f>--AND($E326=1,OR('Staff Weekly Trend'!$B$3="All",$DH326='Staff Weekly Trend'!$B$3),OR('Staff Weekly Trend'!$B$4="All",$D326='Staff Weekly Trend'!$B$4),OR('Staff Weekly Trend'!$B$5="All",$A326='Staff Weekly Trend'!$B$5))</f>
        <v>1</v>
      </c>
      <c r="AC326">
        <f t="shared" si="100"/>
        <v>1</v>
      </c>
      <c r="AI326">
        <f t="shared" si="101"/>
        <v>422</v>
      </c>
      <c r="AJ326">
        <f t="shared" si="102"/>
        <v>582</v>
      </c>
      <c r="AK326">
        <f t="shared" si="103"/>
        <v>419</v>
      </c>
      <c r="AL326">
        <f t="shared" si="104"/>
        <v>421</v>
      </c>
      <c r="AM326">
        <f t="shared" si="105"/>
        <v>83</v>
      </c>
      <c r="DH326" t="str" cm="1">
        <f t="array" ref="DH326">IF($A326="","",_xlfn.LET(_xlpm.c,IFERROR(_xlfn.XLOOKUP($A326,TRIM('Sales and count'!$A$4:$A$300&amp;""),TRIM('Sales and count'!$B$4:$B$300&amp;"")),""),IF(OR(_xlpm.c="",_xlpm.c="0",LEFT(_xlpm.c,1)="#"),"Not set",_xlpm.c)))</f>
        <v>KSA</v>
      </c>
    </row>
    <row r="327" spans="1:112" x14ac:dyDescent="0.25">
      <c r="A327" t="str">
        <f>IF('Staff Daily sales'!$B312="","",TRIM('Staff Daily sales'!$B312&amp;""))</f>
        <v>HACOMPLZ</v>
      </c>
      <c r="B327" t="str">
        <f>IF('Staff Daily sales'!$D312="","",TRIM('Staff Daily sales'!$D312&amp;""))</f>
        <v>5179-AAlnajmi</v>
      </c>
      <c r="C327" t="str">
        <f>IFERROR(TRIM('Staff Daily sales'!$E312&amp;""),"")</f>
        <v>Riyadh</v>
      </c>
      <c r="D327" t="str">
        <f>IFERROR(IF(TRIM('Staff Daily sales'!$F312&amp;"")="","Unassigned",TRIM('Staff Daily sales'!$F312&amp;"")),"Unassigned")</f>
        <v>Lina Al Ghathami</v>
      </c>
      <c r="E327">
        <f t="shared" si="90"/>
        <v>1</v>
      </c>
      <c r="F327">
        <f>IF($E327=0,0,SUMPRODUCT($AI$5:$DF$5,'Staff Daily sales'!$G312:$CD312))</f>
        <v>0</v>
      </c>
      <c r="G327">
        <f>IF($E327=0,0,SUMPRODUCT($AI$6:$DF$6,'Staff Daily sales'!$G312:$CD312))</f>
        <v>0</v>
      </c>
      <c r="H327">
        <f t="shared" si="91"/>
        <v>10765.52</v>
      </c>
      <c r="I327">
        <f t="shared" si="92"/>
        <v>62</v>
      </c>
      <c r="J327">
        <f t="shared" si="93"/>
        <v>62915.250000000007</v>
      </c>
      <c r="K327">
        <f t="shared" si="94"/>
        <v>385</v>
      </c>
      <c r="L327">
        <f>--AND($E327=1,OR('Staff Dashboard'!$B$6="All",$DH327='Staff Dashboard'!$B$6),OR('Staff Dashboard'!$B$7="All",$D327='Staff Dashboard'!$B$7),OR('Staff Dashboard'!$B$8="All",$A327='Staff Dashboard'!$B$8))</f>
        <v>0</v>
      </c>
      <c r="M327">
        <f>IF($E327=0,0,SUMPRODUCT($AI$7:$DF$7,'Staff Daily sales'!$G312:$CD312))</f>
        <v>13250.17</v>
      </c>
      <c r="N327">
        <f>IF($E327=0,0,SUMPRODUCT($AI$8:$DF$8,'Staff Daily sales'!$G312:$CD312))</f>
        <v>91</v>
      </c>
      <c r="O327">
        <f>IF($E327=0,0,SUMPRODUCT($AI$9:$DF$9,'Staff Daily sales'!$G312:$CD312))</f>
        <v>2274.02</v>
      </c>
      <c r="P327">
        <f>IF($E327=0,0,SUMPRODUCT($AI$10:$DF$10,'Staff Daily sales'!$G312:$CD312))</f>
        <v>11</v>
      </c>
      <c r="Q327">
        <f>IF($E327=0,0,SUMPRODUCT($AI$11:$DF$11,'Staff Daily sales'!$G312:$CD312))</f>
        <v>0</v>
      </c>
      <c r="R327">
        <f>IF($E327=0,0,SUMPRODUCT($AI$12:$DF$12,'Staff Daily sales'!$G312:$CD312))</f>
        <v>0</v>
      </c>
      <c r="S327">
        <f>IF($E327=0,0,SUMPRODUCT($AI$13:$DF$13,'Staff Daily sales'!$G312:$CD312))</f>
        <v>0</v>
      </c>
      <c r="T327">
        <f>IF($E327=0,0,SUMPRODUCT($AI$14:$DF$14,'Staff Daily sales'!$G312:$CD312))</f>
        <v>0</v>
      </c>
      <c r="U327">
        <f>IF($E327=0,0,SUMPRODUCT($AI$15:$DF$15,'Staff Daily sales'!$G312:$CD312))</f>
        <v>0</v>
      </c>
      <c r="V327">
        <f>IF($E327=0,0,SUMPRODUCT($AI$16:$DF$16,'Staff Daily sales'!$G312:$CD312))</f>
        <v>0</v>
      </c>
      <c r="W327">
        <f t="shared" si="95"/>
        <v>65770.17</v>
      </c>
      <c r="X327">
        <f t="shared" si="96"/>
        <v>94871.160000000018</v>
      </c>
      <c r="Y327">
        <f t="shared" si="97"/>
        <v>70761.88</v>
      </c>
      <c r="Z327">
        <f t="shared" si="98"/>
        <v>72561.98</v>
      </c>
      <c r="AA327">
        <f t="shared" si="99"/>
        <v>17601.659999999996</v>
      </c>
      <c r="AB327">
        <f>--AND($E327=1,OR('Staff Weekly Trend'!$B$3="All",$DH327='Staff Weekly Trend'!$B$3),OR('Staff Weekly Trend'!$B$4="All",$D327='Staff Weekly Trend'!$B$4),OR('Staff Weekly Trend'!$B$5="All",$A327='Staff Weekly Trend'!$B$5))</f>
        <v>1</v>
      </c>
      <c r="AC327" t="str">
        <f t="shared" si="100"/>
        <v/>
      </c>
      <c r="AI327">
        <f t="shared" si="101"/>
        <v>422</v>
      </c>
      <c r="AJ327">
        <f t="shared" si="102"/>
        <v>582</v>
      </c>
      <c r="AK327">
        <f t="shared" si="103"/>
        <v>419</v>
      </c>
      <c r="AL327">
        <f t="shared" si="104"/>
        <v>421</v>
      </c>
      <c r="AM327">
        <f t="shared" si="105"/>
        <v>83</v>
      </c>
      <c r="DH327" t="str" cm="1">
        <f t="array" ref="DH327">IF($A327="","",_xlfn.LET(_xlpm.c,IFERROR(_xlfn.XLOOKUP($A327,TRIM('Sales and count'!$A$4:$A$300&amp;""),TRIM('Sales and count'!$B$4:$B$300&amp;"")),""),IF(OR(_xlpm.c="",_xlpm.c="0",LEFT(_xlpm.c,1)="#"),"Not set",_xlpm.c)))</f>
        <v>KSA</v>
      </c>
    </row>
    <row r="328" spans="1:112" x14ac:dyDescent="0.25">
      <c r="A328" t="str">
        <f>IF('Staff Daily sales'!$B313="","",TRIM('Staff Daily sales'!$B313&amp;""))</f>
        <v>HACOMPLZ</v>
      </c>
      <c r="B328" t="str">
        <f>IF('Staff Daily sales'!$D313="","",TRIM('Staff Daily sales'!$D313&amp;""))</f>
        <v>6176-NALYusr</v>
      </c>
      <c r="C328" t="str">
        <f>IFERROR(TRIM('Staff Daily sales'!$E313&amp;""),"")</f>
        <v>Riyadh</v>
      </c>
      <c r="D328" t="str">
        <f>IFERROR(IF(TRIM('Staff Daily sales'!$F313&amp;"")="","Unassigned",TRIM('Staff Daily sales'!$F313&amp;"")),"Unassigned")</f>
        <v>Lina Al Ghathami</v>
      </c>
      <c r="E328">
        <f t="shared" si="90"/>
        <v>1</v>
      </c>
      <c r="F328">
        <f>IF($E328=0,0,SUMPRODUCT($AI$5:$DF$5,'Staff Daily sales'!$G313:$CD313))</f>
        <v>2286.84</v>
      </c>
      <c r="G328">
        <f>IF($E328=0,0,SUMPRODUCT($AI$6:$DF$6,'Staff Daily sales'!$G313:$CD313))</f>
        <v>10</v>
      </c>
      <c r="H328">
        <f t="shared" si="91"/>
        <v>10765.52</v>
      </c>
      <c r="I328">
        <f t="shared" si="92"/>
        <v>62</v>
      </c>
      <c r="J328">
        <f t="shared" si="93"/>
        <v>62915.250000000007</v>
      </c>
      <c r="K328">
        <f t="shared" si="94"/>
        <v>385</v>
      </c>
      <c r="L328">
        <f>--AND($E328=1,OR('Staff Dashboard'!$B$6="All",$DH328='Staff Dashboard'!$B$6),OR('Staff Dashboard'!$B$7="All",$D328='Staff Dashboard'!$B$7),OR('Staff Dashboard'!$B$8="All",$A328='Staff Dashboard'!$B$8))</f>
        <v>0</v>
      </c>
      <c r="M328">
        <f>IF($E328=0,0,SUMPRODUCT($AI$7:$DF$7,'Staff Daily sales'!$G313:$CD313))</f>
        <v>5415.09</v>
      </c>
      <c r="N328">
        <f>IF($E328=0,0,SUMPRODUCT($AI$8:$DF$8,'Staff Daily sales'!$G313:$CD313))</f>
        <v>28</v>
      </c>
      <c r="O328">
        <f>IF($E328=0,0,SUMPRODUCT($AI$9:$DF$9,'Staff Daily sales'!$G313:$CD313))</f>
        <v>8872.1</v>
      </c>
      <c r="P328">
        <f>IF($E328=0,0,SUMPRODUCT($AI$10:$DF$10,'Staff Daily sales'!$G313:$CD313))</f>
        <v>32</v>
      </c>
      <c r="Q328">
        <f>IF($E328=0,0,SUMPRODUCT($AI$11:$DF$11,'Staff Daily sales'!$G313:$CD313))</f>
        <v>5338.08</v>
      </c>
      <c r="R328">
        <f>IF($E328=0,0,SUMPRODUCT($AI$12:$DF$12,'Staff Daily sales'!$G313:$CD313))</f>
        <v>14</v>
      </c>
      <c r="S328">
        <f>IF($E328=0,0,SUMPRODUCT($AI$13:$DF$13,'Staff Daily sales'!$G313:$CD313))</f>
        <v>3655.78</v>
      </c>
      <c r="T328">
        <f>IF($E328=0,0,SUMPRODUCT($AI$14:$DF$14,'Staff Daily sales'!$G313:$CD313))</f>
        <v>21</v>
      </c>
      <c r="U328">
        <f>IF($E328=0,0,SUMPRODUCT($AI$15:$DF$15,'Staff Daily sales'!$G313:$CD313))</f>
        <v>1989.96</v>
      </c>
      <c r="V328">
        <f>IF($E328=0,0,SUMPRODUCT($AI$16:$DF$16,'Staff Daily sales'!$G313:$CD313))</f>
        <v>12</v>
      </c>
      <c r="W328">
        <f t="shared" si="95"/>
        <v>65770.17</v>
      </c>
      <c r="X328">
        <f t="shared" si="96"/>
        <v>94871.160000000018</v>
      </c>
      <c r="Y328">
        <f t="shared" si="97"/>
        <v>70761.88</v>
      </c>
      <c r="Z328">
        <f t="shared" si="98"/>
        <v>72561.98</v>
      </c>
      <c r="AA328">
        <f t="shared" si="99"/>
        <v>17601.659999999996</v>
      </c>
      <c r="AB328">
        <f>--AND($E328=1,OR('Staff Weekly Trend'!$B$3="All",$DH328='Staff Weekly Trend'!$B$3),OR('Staff Weekly Trend'!$B$4="All",$D328='Staff Weekly Trend'!$B$4),OR('Staff Weekly Trend'!$B$5="All",$A328='Staff Weekly Trend'!$B$5))</f>
        <v>1</v>
      </c>
      <c r="AC328">
        <f t="shared" si="100"/>
        <v>3</v>
      </c>
      <c r="AI328">
        <f t="shared" si="101"/>
        <v>422</v>
      </c>
      <c r="AJ328">
        <f t="shared" si="102"/>
        <v>582</v>
      </c>
      <c r="AK328">
        <f t="shared" si="103"/>
        <v>419</v>
      </c>
      <c r="AL328">
        <f t="shared" si="104"/>
        <v>421</v>
      </c>
      <c r="AM328">
        <f t="shared" si="105"/>
        <v>83</v>
      </c>
      <c r="DH328" t="str" cm="1">
        <f t="array" ref="DH328">IF($A328="","",_xlfn.LET(_xlpm.c,IFERROR(_xlfn.XLOOKUP($A328,TRIM('Sales and count'!$A$4:$A$300&amp;""),TRIM('Sales and count'!$B$4:$B$300&amp;"")),""),IF(OR(_xlpm.c="",_xlpm.c="0",LEFT(_xlpm.c,1)="#"),"Not set",_xlpm.c)))</f>
        <v>KSA</v>
      </c>
    </row>
    <row r="329" spans="1:112" x14ac:dyDescent="0.25">
      <c r="A329" t="str">
        <f>IF('Staff Daily sales'!$B314="","",TRIM('Staff Daily sales'!$B314&amp;""))</f>
        <v>HACOMPLZ</v>
      </c>
      <c r="B329" t="str">
        <f>IF('Staff Daily sales'!$D314="","",TRIM('Staff Daily sales'!$D314&amp;""))</f>
        <v>6827-MAlDossari</v>
      </c>
      <c r="C329" t="str">
        <f>IFERROR(TRIM('Staff Daily sales'!$E314&amp;""),"")</f>
        <v>Riyadh</v>
      </c>
      <c r="D329" t="str">
        <f>IFERROR(IF(TRIM('Staff Daily sales'!$F314&amp;"")="","Unassigned",TRIM('Staff Daily sales'!$F314&amp;"")),"Unassigned")</f>
        <v>Lina Al Ghathami</v>
      </c>
      <c r="E329">
        <f t="shared" si="90"/>
        <v>1</v>
      </c>
      <c r="F329">
        <f>IF($E329=0,0,SUMPRODUCT($AI$5:$DF$5,'Staff Daily sales'!$G314:$CD314))</f>
        <v>0</v>
      </c>
      <c r="G329">
        <f>IF($E329=0,0,SUMPRODUCT($AI$6:$DF$6,'Staff Daily sales'!$G314:$CD314))</f>
        <v>0</v>
      </c>
      <c r="H329">
        <f t="shared" si="91"/>
        <v>10765.52</v>
      </c>
      <c r="I329">
        <f t="shared" si="92"/>
        <v>62</v>
      </c>
      <c r="J329">
        <f t="shared" si="93"/>
        <v>62915.250000000007</v>
      </c>
      <c r="K329">
        <f t="shared" si="94"/>
        <v>385</v>
      </c>
      <c r="L329">
        <f>--AND($E329=1,OR('Staff Dashboard'!$B$6="All",$DH329='Staff Dashboard'!$B$6),OR('Staff Dashboard'!$B$7="All",$D329='Staff Dashboard'!$B$7),OR('Staff Dashboard'!$B$8="All",$A329='Staff Dashboard'!$B$8))</f>
        <v>0</v>
      </c>
      <c r="M329">
        <f>IF($E329=0,0,SUMPRODUCT($AI$7:$DF$7,'Staff Daily sales'!$G314:$CD314))</f>
        <v>96</v>
      </c>
      <c r="N329">
        <f>IF($E329=0,0,SUMPRODUCT($AI$8:$DF$8,'Staff Daily sales'!$G314:$CD314))</f>
        <v>1</v>
      </c>
      <c r="O329">
        <f>IF($E329=0,0,SUMPRODUCT($AI$9:$DF$9,'Staff Daily sales'!$G314:$CD314))</f>
        <v>0</v>
      </c>
      <c r="P329">
        <f>IF($E329=0,0,SUMPRODUCT($AI$10:$DF$10,'Staff Daily sales'!$G314:$CD314))</f>
        <v>0</v>
      </c>
      <c r="Q329">
        <f>IF($E329=0,0,SUMPRODUCT($AI$11:$DF$11,'Staff Daily sales'!$G314:$CD314))</f>
        <v>0</v>
      </c>
      <c r="R329">
        <f>IF($E329=0,0,SUMPRODUCT($AI$12:$DF$12,'Staff Daily sales'!$G314:$CD314))</f>
        <v>0</v>
      </c>
      <c r="S329">
        <f>IF($E329=0,0,SUMPRODUCT($AI$13:$DF$13,'Staff Daily sales'!$G314:$CD314))</f>
        <v>0</v>
      </c>
      <c r="T329">
        <f>IF($E329=0,0,SUMPRODUCT($AI$14:$DF$14,'Staff Daily sales'!$G314:$CD314))</f>
        <v>0</v>
      </c>
      <c r="U329">
        <f>IF($E329=0,0,SUMPRODUCT($AI$15:$DF$15,'Staff Daily sales'!$G314:$CD314))</f>
        <v>0</v>
      </c>
      <c r="V329">
        <f>IF($E329=0,0,SUMPRODUCT($AI$16:$DF$16,'Staff Daily sales'!$G314:$CD314))</f>
        <v>0</v>
      </c>
      <c r="W329">
        <f t="shared" si="95"/>
        <v>65770.17</v>
      </c>
      <c r="X329">
        <f t="shared" si="96"/>
        <v>94871.160000000018</v>
      </c>
      <c r="Y329">
        <f t="shared" si="97"/>
        <v>70761.88</v>
      </c>
      <c r="Z329">
        <f t="shared" si="98"/>
        <v>72561.98</v>
      </c>
      <c r="AA329">
        <f t="shared" si="99"/>
        <v>17601.659999999996</v>
      </c>
      <c r="AB329">
        <f>--AND($E329=1,OR('Staff Weekly Trend'!$B$3="All",$DH329='Staff Weekly Trend'!$B$3),OR('Staff Weekly Trend'!$B$4="All",$D329='Staff Weekly Trend'!$B$4),OR('Staff Weekly Trend'!$B$5="All",$A329='Staff Weekly Trend'!$B$5))</f>
        <v>1</v>
      </c>
      <c r="AC329" t="str">
        <f t="shared" si="100"/>
        <v/>
      </c>
      <c r="AI329">
        <f t="shared" si="101"/>
        <v>422</v>
      </c>
      <c r="AJ329">
        <f t="shared" si="102"/>
        <v>582</v>
      </c>
      <c r="AK329">
        <f t="shared" si="103"/>
        <v>419</v>
      </c>
      <c r="AL329">
        <f t="shared" si="104"/>
        <v>421</v>
      </c>
      <c r="AM329">
        <f t="shared" si="105"/>
        <v>83</v>
      </c>
      <c r="DH329" t="str" cm="1">
        <f t="array" ref="DH329">IF($A329="","",_xlfn.LET(_xlpm.c,IFERROR(_xlfn.XLOOKUP($A329,TRIM('Sales and count'!$A$4:$A$300&amp;""),TRIM('Sales and count'!$B$4:$B$300&amp;"")),""),IF(OR(_xlpm.c="",_xlpm.c="0",LEFT(_xlpm.c,1)="#"),"Not set",_xlpm.c)))</f>
        <v>KSA</v>
      </c>
    </row>
    <row r="330" spans="1:112" x14ac:dyDescent="0.25">
      <c r="A330" t="str">
        <f>IF('Staff Daily sales'!$B315="","",TRIM('Staff Daily sales'!$B315&amp;""))</f>
        <v>HACOMPLZ</v>
      </c>
      <c r="B330" t="str">
        <f>IF('Staff Daily sales'!$D315="","",TRIM('Staff Daily sales'!$D315&amp;""))</f>
        <v>7047-AAlsharari</v>
      </c>
      <c r="C330" t="str">
        <f>IFERROR(TRIM('Staff Daily sales'!$E315&amp;""),"")</f>
        <v>Riyadh</v>
      </c>
      <c r="D330" t="str">
        <f>IFERROR(IF(TRIM('Staff Daily sales'!$F315&amp;"")="","Unassigned",TRIM('Staff Daily sales'!$F315&amp;"")),"Unassigned")</f>
        <v>Lina Al Ghathami</v>
      </c>
      <c r="E330">
        <f t="shared" si="90"/>
        <v>1</v>
      </c>
      <c r="F330">
        <f>IF($E330=0,0,SUMPRODUCT($AI$5:$DF$5,'Staff Daily sales'!$G315:$CD315))</f>
        <v>2617.92</v>
      </c>
      <c r="G330">
        <f>IF($E330=0,0,SUMPRODUCT($AI$6:$DF$6,'Staff Daily sales'!$G315:$CD315))</f>
        <v>20</v>
      </c>
      <c r="H330">
        <f t="shared" si="91"/>
        <v>10765.52</v>
      </c>
      <c r="I330">
        <f t="shared" si="92"/>
        <v>62</v>
      </c>
      <c r="J330">
        <f t="shared" si="93"/>
        <v>62915.250000000007</v>
      </c>
      <c r="K330">
        <f t="shared" si="94"/>
        <v>385</v>
      </c>
      <c r="L330">
        <f>--AND($E330=1,OR('Staff Dashboard'!$B$6="All",$DH330='Staff Dashboard'!$B$6),OR('Staff Dashboard'!$B$7="All",$D330='Staff Dashboard'!$B$7),OR('Staff Dashboard'!$B$8="All",$A330='Staff Dashboard'!$B$8))</f>
        <v>0</v>
      </c>
      <c r="M330">
        <f>IF($E330=0,0,SUMPRODUCT($AI$7:$DF$7,'Staff Daily sales'!$G315:$CD315))</f>
        <v>15581.26</v>
      </c>
      <c r="N330">
        <f>IF($E330=0,0,SUMPRODUCT($AI$8:$DF$8,'Staff Daily sales'!$G315:$CD315))</f>
        <v>104</v>
      </c>
      <c r="O330">
        <f>IF($E330=0,0,SUMPRODUCT($AI$9:$DF$9,'Staff Daily sales'!$G315:$CD315))</f>
        <v>27571.440000000002</v>
      </c>
      <c r="P330">
        <f>IF($E330=0,0,SUMPRODUCT($AI$10:$DF$10,'Staff Daily sales'!$G315:$CD315))</f>
        <v>189</v>
      </c>
      <c r="Q330">
        <f>IF($E330=0,0,SUMPRODUCT($AI$11:$DF$11,'Staff Daily sales'!$G315:$CD315))</f>
        <v>27330.370000000003</v>
      </c>
      <c r="R330">
        <f>IF($E330=0,0,SUMPRODUCT($AI$12:$DF$12,'Staff Daily sales'!$G315:$CD315))</f>
        <v>178</v>
      </c>
      <c r="S330">
        <f>IF($E330=0,0,SUMPRODUCT($AI$13:$DF$13,'Staff Daily sales'!$G315:$CD315))</f>
        <v>22434.629999999997</v>
      </c>
      <c r="T330">
        <f>IF($E330=0,0,SUMPRODUCT($AI$14:$DF$14,'Staff Daily sales'!$G315:$CD315))</f>
        <v>135</v>
      </c>
      <c r="U330">
        <f>IF($E330=0,0,SUMPRODUCT($AI$15:$DF$15,'Staff Daily sales'!$G315:$CD315))</f>
        <v>360.98</v>
      </c>
      <c r="V330">
        <f>IF($E330=0,0,SUMPRODUCT($AI$16:$DF$16,'Staff Daily sales'!$G315:$CD315))</f>
        <v>3</v>
      </c>
      <c r="W330">
        <f t="shared" si="95"/>
        <v>65770.17</v>
      </c>
      <c r="X330">
        <f t="shared" si="96"/>
        <v>94871.160000000018</v>
      </c>
      <c r="Y330">
        <f t="shared" si="97"/>
        <v>70761.88</v>
      </c>
      <c r="Z330">
        <f t="shared" si="98"/>
        <v>72561.98</v>
      </c>
      <c r="AA330">
        <f t="shared" si="99"/>
        <v>17601.659999999996</v>
      </c>
      <c r="AB330">
        <f>--AND($E330=1,OR('Staff Weekly Trend'!$B$3="All",$DH330='Staff Weekly Trend'!$B$3),OR('Staff Weekly Trend'!$B$4="All",$D330='Staff Weekly Trend'!$B$4),OR('Staff Weekly Trend'!$B$5="All",$A330='Staff Weekly Trend'!$B$5))</f>
        <v>1</v>
      </c>
      <c r="AC330">
        <f t="shared" si="100"/>
        <v>2</v>
      </c>
      <c r="AI330">
        <f t="shared" si="101"/>
        <v>422</v>
      </c>
      <c r="AJ330">
        <f t="shared" si="102"/>
        <v>582</v>
      </c>
      <c r="AK330">
        <f t="shared" si="103"/>
        <v>419</v>
      </c>
      <c r="AL330">
        <f t="shared" si="104"/>
        <v>421</v>
      </c>
      <c r="AM330">
        <f t="shared" si="105"/>
        <v>83</v>
      </c>
      <c r="DH330" t="str" cm="1">
        <f t="array" ref="DH330">IF($A330="","",_xlfn.LET(_xlpm.c,IFERROR(_xlfn.XLOOKUP($A330,TRIM('Sales and count'!$A$4:$A$300&amp;""),TRIM('Sales and count'!$B$4:$B$300&amp;"")),""),IF(OR(_xlpm.c="",_xlpm.c="0",LEFT(_xlpm.c,1)="#"),"Not set",_xlpm.c)))</f>
        <v>KSA</v>
      </c>
    </row>
    <row r="331" spans="1:112" x14ac:dyDescent="0.25">
      <c r="A331" t="str">
        <f>IF('Staff Daily sales'!$B316="","",TRIM('Staff Daily sales'!$B316&amp;""))</f>
        <v>HACOMPLZ</v>
      </c>
      <c r="B331" t="str">
        <f>IF('Staff Daily sales'!$D316="","",TRIM('Staff Daily sales'!$D316&amp;""))</f>
        <v>7196-MAlkahtani</v>
      </c>
      <c r="C331" t="str">
        <f>IFERROR(TRIM('Staff Daily sales'!$E316&amp;""),"")</f>
        <v>Riyadh</v>
      </c>
      <c r="D331" t="str">
        <f>IFERROR(IF(TRIM('Staff Daily sales'!$F316&amp;"")="","Unassigned",TRIM('Staff Daily sales'!$F316&amp;"")),"Unassigned")</f>
        <v>Lina Al Ghathami</v>
      </c>
      <c r="E331">
        <f t="shared" si="90"/>
        <v>1</v>
      </c>
      <c r="F331">
        <f>IF($E331=0,0,SUMPRODUCT($AI$5:$DF$5,'Staff Daily sales'!$G316:$CD316))</f>
        <v>0</v>
      </c>
      <c r="G331">
        <f>IF($E331=0,0,SUMPRODUCT($AI$6:$DF$6,'Staff Daily sales'!$G316:$CD316))</f>
        <v>0</v>
      </c>
      <c r="H331">
        <f t="shared" si="91"/>
        <v>10765.52</v>
      </c>
      <c r="I331">
        <f t="shared" si="92"/>
        <v>62</v>
      </c>
      <c r="J331">
        <f t="shared" si="93"/>
        <v>62915.250000000007</v>
      </c>
      <c r="K331">
        <f t="shared" si="94"/>
        <v>385</v>
      </c>
      <c r="L331">
        <f>--AND($E331=1,OR('Staff Dashboard'!$B$6="All",$DH331='Staff Dashboard'!$B$6),OR('Staff Dashboard'!$B$7="All",$D331='Staff Dashboard'!$B$7),OR('Staff Dashboard'!$B$8="All",$A331='Staff Dashboard'!$B$8))</f>
        <v>0</v>
      </c>
      <c r="M331">
        <f>IF($E331=0,0,SUMPRODUCT($AI$7:$DF$7,'Staff Daily sales'!$G316:$CD316))</f>
        <v>0</v>
      </c>
      <c r="N331">
        <f>IF($E331=0,0,SUMPRODUCT($AI$8:$DF$8,'Staff Daily sales'!$G316:$CD316))</f>
        <v>0</v>
      </c>
      <c r="O331">
        <f>IF($E331=0,0,SUMPRODUCT($AI$9:$DF$9,'Staff Daily sales'!$G316:$CD316))</f>
        <v>33230.380000000005</v>
      </c>
      <c r="P331">
        <f>IF($E331=0,0,SUMPRODUCT($AI$10:$DF$10,'Staff Daily sales'!$G316:$CD316))</f>
        <v>200</v>
      </c>
      <c r="Q331">
        <f>IF($E331=0,0,SUMPRODUCT($AI$11:$DF$11,'Staff Daily sales'!$G316:$CD316))</f>
        <v>14742.18</v>
      </c>
      <c r="R331">
        <f>IF($E331=0,0,SUMPRODUCT($AI$12:$DF$12,'Staff Daily sales'!$G316:$CD316))</f>
        <v>95</v>
      </c>
      <c r="S331">
        <f>IF($E331=0,0,SUMPRODUCT($AI$13:$DF$13,'Staff Daily sales'!$G316:$CD316))</f>
        <v>14612.710000000001</v>
      </c>
      <c r="T331">
        <f>IF($E331=0,0,SUMPRODUCT($AI$14:$DF$14,'Staff Daily sales'!$G316:$CD316))</f>
        <v>90</v>
      </c>
      <c r="U331">
        <f>IF($E331=0,0,SUMPRODUCT($AI$15:$DF$15,'Staff Daily sales'!$G316:$CD316))</f>
        <v>7663.49</v>
      </c>
      <c r="V331">
        <f>IF($E331=0,0,SUMPRODUCT($AI$16:$DF$16,'Staff Daily sales'!$G316:$CD316))</f>
        <v>40</v>
      </c>
      <c r="W331">
        <f t="shared" si="95"/>
        <v>65770.17</v>
      </c>
      <c r="X331">
        <f t="shared" si="96"/>
        <v>94871.160000000018</v>
      </c>
      <c r="Y331">
        <f t="shared" si="97"/>
        <v>70761.88</v>
      </c>
      <c r="Z331">
        <f t="shared" si="98"/>
        <v>72561.98</v>
      </c>
      <c r="AA331">
        <f t="shared" si="99"/>
        <v>17601.659999999996</v>
      </c>
      <c r="AB331">
        <f>--AND($E331=1,OR('Staff Weekly Trend'!$B$3="All",$DH331='Staff Weekly Trend'!$B$3),OR('Staff Weekly Trend'!$B$4="All",$D331='Staff Weekly Trend'!$B$4),OR('Staff Weekly Trend'!$B$5="All",$A331='Staff Weekly Trend'!$B$5))</f>
        <v>1</v>
      </c>
      <c r="AC331" t="str">
        <f t="shared" si="100"/>
        <v/>
      </c>
      <c r="AI331">
        <f t="shared" si="101"/>
        <v>422</v>
      </c>
      <c r="AJ331">
        <f t="shared" si="102"/>
        <v>582</v>
      </c>
      <c r="AK331">
        <f t="shared" si="103"/>
        <v>419</v>
      </c>
      <c r="AL331">
        <f t="shared" si="104"/>
        <v>421</v>
      </c>
      <c r="AM331">
        <f t="shared" si="105"/>
        <v>83</v>
      </c>
      <c r="DH331" t="str" cm="1">
        <f t="array" ref="DH331">IF($A331="","",_xlfn.LET(_xlpm.c,IFERROR(_xlfn.XLOOKUP($A331,TRIM('Sales and count'!$A$4:$A$300&amp;""),TRIM('Sales and count'!$B$4:$B$300&amp;"")),""),IF(OR(_xlpm.c="",_xlpm.c="0",LEFT(_xlpm.c,1)="#"),"Not set",_xlpm.c)))</f>
        <v>KSA</v>
      </c>
    </row>
    <row r="332" spans="1:112" x14ac:dyDescent="0.25">
      <c r="A332" t="str">
        <f>IF('Staff Daily sales'!$B317="","",TRIM('Staff Daily sales'!$B317&amp;""))</f>
        <v>HACOMPLZ</v>
      </c>
      <c r="B332" t="str">
        <f>IF('Staff Daily sales'!$D317="","",TRIM('Staff Daily sales'!$D317&amp;""))</f>
        <v>7247-AAlotaibi</v>
      </c>
      <c r="C332" t="str">
        <f>IFERROR(TRIM('Staff Daily sales'!$E317&amp;""),"")</f>
        <v>Riyadh</v>
      </c>
      <c r="D332" t="str">
        <f>IFERROR(IF(TRIM('Staff Daily sales'!$F317&amp;"")="","Unassigned",TRIM('Staff Daily sales'!$F317&amp;"")),"Unassigned")</f>
        <v>Lina Al Ghathami</v>
      </c>
      <c r="E332">
        <f t="shared" si="90"/>
        <v>1</v>
      </c>
      <c r="F332">
        <f>IF($E332=0,0,SUMPRODUCT($AI$5:$DF$5,'Staff Daily sales'!$G317:$CD317))</f>
        <v>0</v>
      </c>
      <c r="G332">
        <f>IF($E332=0,0,SUMPRODUCT($AI$6:$DF$6,'Staff Daily sales'!$G317:$CD317))</f>
        <v>0</v>
      </c>
      <c r="H332">
        <f t="shared" si="91"/>
        <v>10765.52</v>
      </c>
      <c r="I332">
        <f t="shared" si="92"/>
        <v>62</v>
      </c>
      <c r="J332">
        <f t="shared" si="93"/>
        <v>62915.250000000007</v>
      </c>
      <c r="K332">
        <f t="shared" si="94"/>
        <v>385</v>
      </c>
      <c r="L332">
        <f>--AND($E332=1,OR('Staff Dashboard'!$B$6="All",$DH332='Staff Dashboard'!$B$6),OR('Staff Dashboard'!$B$7="All",$D332='Staff Dashboard'!$B$7),OR('Staff Dashboard'!$B$8="All",$A332='Staff Dashboard'!$B$8))</f>
        <v>0</v>
      </c>
      <c r="M332">
        <f>IF($E332=0,0,SUMPRODUCT($AI$7:$DF$7,'Staff Daily sales'!$G317:$CD317))</f>
        <v>7667.1299999999992</v>
      </c>
      <c r="N332">
        <f>IF($E332=0,0,SUMPRODUCT($AI$8:$DF$8,'Staff Daily sales'!$G317:$CD317))</f>
        <v>55</v>
      </c>
      <c r="O332">
        <f>IF($E332=0,0,SUMPRODUCT($AI$9:$DF$9,'Staff Daily sales'!$G317:$CD317))</f>
        <v>4301.05</v>
      </c>
      <c r="P332">
        <f>IF($E332=0,0,SUMPRODUCT($AI$10:$DF$10,'Staff Daily sales'!$G317:$CD317))</f>
        <v>29</v>
      </c>
      <c r="Q332">
        <f>IF($E332=0,0,SUMPRODUCT($AI$11:$DF$11,'Staff Daily sales'!$G317:$CD317))</f>
        <v>5615.03</v>
      </c>
      <c r="R332">
        <f>IF($E332=0,0,SUMPRODUCT($AI$12:$DF$12,'Staff Daily sales'!$G317:$CD317))</f>
        <v>32</v>
      </c>
      <c r="S332">
        <f>IF($E332=0,0,SUMPRODUCT($AI$13:$DF$13,'Staff Daily sales'!$G317:$CD317))</f>
        <v>9371.0099999999984</v>
      </c>
      <c r="T332">
        <f>IF($E332=0,0,SUMPRODUCT($AI$14:$DF$14,'Staff Daily sales'!$G317:$CD317))</f>
        <v>51</v>
      </c>
      <c r="U332">
        <f>IF($E332=0,0,SUMPRODUCT($AI$15:$DF$15,'Staff Daily sales'!$G317:$CD317))</f>
        <v>1083.96</v>
      </c>
      <c r="V332">
        <f>IF($E332=0,0,SUMPRODUCT($AI$16:$DF$16,'Staff Daily sales'!$G317:$CD317))</f>
        <v>9</v>
      </c>
      <c r="W332">
        <f t="shared" si="95"/>
        <v>65770.17</v>
      </c>
      <c r="X332">
        <f t="shared" si="96"/>
        <v>94871.160000000018</v>
      </c>
      <c r="Y332">
        <f t="shared" si="97"/>
        <v>70761.88</v>
      </c>
      <c r="Z332">
        <f t="shared" si="98"/>
        <v>72561.98</v>
      </c>
      <c r="AA332">
        <f t="shared" si="99"/>
        <v>17601.659999999996</v>
      </c>
      <c r="AB332">
        <f>--AND($E332=1,OR('Staff Weekly Trend'!$B$3="All",$DH332='Staff Weekly Trend'!$B$3),OR('Staff Weekly Trend'!$B$4="All",$D332='Staff Weekly Trend'!$B$4),OR('Staff Weekly Trend'!$B$5="All",$A332='Staff Weekly Trend'!$B$5))</f>
        <v>1</v>
      </c>
      <c r="AC332" t="str">
        <f t="shared" si="100"/>
        <v/>
      </c>
      <c r="AI332">
        <f t="shared" si="101"/>
        <v>422</v>
      </c>
      <c r="AJ332">
        <f t="shared" si="102"/>
        <v>582</v>
      </c>
      <c r="AK332">
        <f t="shared" si="103"/>
        <v>419</v>
      </c>
      <c r="AL332">
        <f t="shared" si="104"/>
        <v>421</v>
      </c>
      <c r="AM332">
        <f t="shared" si="105"/>
        <v>83</v>
      </c>
      <c r="DH332" t="str" cm="1">
        <f t="array" ref="DH332">IF($A332="","",_xlfn.LET(_xlpm.c,IFERROR(_xlfn.XLOOKUP($A332,TRIM('Sales and count'!$A$4:$A$300&amp;""),TRIM('Sales and count'!$B$4:$B$300&amp;"")),""),IF(OR(_xlpm.c="",_xlpm.c="0",LEFT(_xlpm.c,1)="#"),"Not set",_xlpm.c)))</f>
        <v>KSA</v>
      </c>
    </row>
    <row r="333" spans="1:112" x14ac:dyDescent="0.25">
      <c r="A333" t="str">
        <f>IF('Staff Daily sales'!$B318="","",TRIM('Staff Daily sales'!$B318&amp;""))</f>
        <v>HAOTHMTH</v>
      </c>
      <c r="B333" t="str">
        <f>IF('Staff Daily sales'!$D318="","",TRIM('Staff Daily sales'!$D318&amp;""))</f>
        <v>4418-AAlsahlan</v>
      </c>
      <c r="C333" t="str">
        <f>IFERROR(TRIM('Staff Daily sales'!$E318&amp;""),"")</f>
        <v>Muthnab</v>
      </c>
      <c r="D333" t="str">
        <f>IFERROR(IF(TRIM('Staff Daily sales'!$F318&amp;"")="","Unassigned",TRIM('Staff Daily sales'!$F318&amp;"")),"Unassigned")</f>
        <v>Lina Al Ghathami</v>
      </c>
      <c r="E333">
        <f t="shared" si="90"/>
        <v>1</v>
      </c>
      <c r="F333">
        <f>IF($E333=0,0,SUMPRODUCT($AI$5:$DF$5,'Staff Daily sales'!$G318:$CD318))</f>
        <v>250</v>
      </c>
      <c r="G333">
        <f>IF($E333=0,0,SUMPRODUCT($AI$6:$DF$6,'Staff Daily sales'!$G318:$CD318))</f>
        <v>3</v>
      </c>
      <c r="H333">
        <f t="shared" si="91"/>
        <v>400</v>
      </c>
      <c r="I333">
        <f t="shared" si="92"/>
        <v>4</v>
      </c>
      <c r="J333">
        <f t="shared" si="93"/>
        <v>62915.250000000007</v>
      </c>
      <c r="K333">
        <f t="shared" si="94"/>
        <v>385</v>
      </c>
      <c r="L333">
        <f>--AND($E333=1,OR('Staff Dashboard'!$B$6="All",$DH333='Staff Dashboard'!$B$6),OR('Staff Dashboard'!$B$7="All",$D333='Staff Dashboard'!$B$7),OR('Staff Dashboard'!$B$8="All",$A333='Staff Dashboard'!$B$8))</f>
        <v>0</v>
      </c>
      <c r="M333">
        <f>IF($E333=0,0,SUMPRODUCT($AI$7:$DF$7,'Staff Daily sales'!$G318:$CD318))</f>
        <v>211</v>
      </c>
      <c r="N333">
        <f>IF($E333=0,0,SUMPRODUCT($AI$8:$DF$8,'Staff Daily sales'!$G318:$CD318))</f>
        <v>2</v>
      </c>
      <c r="O333">
        <f>IF($E333=0,0,SUMPRODUCT($AI$9:$DF$9,'Staff Daily sales'!$G318:$CD318))</f>
        <v>2519.02</v>
      </c>
      <c r="P333">
        <f>IF($E333=0,0,SUMPRODUCT($AI$10:$DF$10,'Staff Daily sales'!$G318:$CD318))</f>
        <v>20</v>
      </c>
      <c r="Q333">
        <f>IF($E333=0,0,SUMPRODUCT($AI$11:$DF$11,'Staff Daily sales'!$G318:$CD318))</f>
        <v>647.03</v>
      </c>
      <c r="R333">
        <f>IF($E333=0,0,SUMPRODUCT($AI$12:$DF$12,'Staff Daily sales'!$G318:$CD318))</f>
        <v>8</v>
      </c>
      <c r="S333">
        <f>IF($E333=0,0,SUMPRODUCT($AI$13:$DF$13,'Staff Daily sales'!$G318:$CD318))</f>
        <v>891.01</v>
      </c>
      <c r="T333">
        <f>IF($E333=0,0,SUMPRODUCT($AI$14:$DF$14,'Staff Daily sales'!$G318:$CD318))</f>
        <v>8</v>
      </c>
      <c r="U333">
        <f>IF($E333=0,0,SUMPRODUCT($AI$15:$DF$15,'Staff Daily sales'!$G318:$CD318))</f>
        <v>0</v>
      </c>
      <c r="V333">
        <f>IF($E333=0,0,SUMPRODUCT($AI$16:$DF$16,'Staff Daily sales'!$G318:$CD318))</f>
        <v>0</v>
      </c>
      <c r="W333">
        <f t="shared" si="95"/>
        <v>3706.04</v>
      </c>
      <c r="X333">
        <f t="shared" si="96"/>
        <v>5753.08</v>
      </c>
      <c r="Y333">
        <f t="shared" si="97"/>
        <v>3494.0899999999997</v>
      </c>
      <c r="Z333">
        <f t="shared" si="98"/>
        <v>2394.0299999999997</v>
      </c>
      <c r="AA333">
        <f t="shared" si="99"/>
        <v>884</v>
      </c>
      <c r="AB333">
        <f>--AND($E333=1,OR('Staff Weekly Trend'!$B$3="All",$DH333='Staff Weekly Trend'!$B$3),OR('Staff Weekly Trend'!$B$4="All",$D333='Staff Weekly Trend'!$B$4),OR('Staff Weekly Trend'!$B$5="All",$A333='Staff Weekly Trend'!$B$5))</f>
        <v>1</v>
      </c>
      <c r="AC333">
        <f t="shared" si="100"/>
        <v>1</v>
      </c>
      <c r="AI333">
        <f t="shared" si="101"/>
        <v>36</v>
      </c>
      <c r="AJ333">
        <f t="shared" si="102"/>
        <v>46</v>
      </c>
      <c r="AK333">
        <f t="shared" si="103"/>
        <v>34</v>
      </c>
      <c r="AL333">
        <f t="shared" si="104"/>
        <v>23</v>
      </c>
      <c r="AM333">
        <f t="shared" si="105"/>
        <v>7</v>
      </c>
      <c r="DH333" t="str" cm="1">
        <f t="array" ref="DH333">IF($A333="","",_xlfn.LET(_xlpm.c,IFERROR(_xlfn.XLOOKUP($A333,TRIM('Sales and count'!$A$4:$A$300&amp;""),TRIM('Sales and count'!$B$4:$B$300&amp;"")),""),IF(OR(_xlpm.c="",_xlpm.c="0",LEFT(_xlpm.c,1)="#"),"Not set",_xlpm.c)))</f>
        <v>KSA</v>
      </c>
    </row>
    <row r="334" spans="1:112" x14ac:dyDescent="0.25">
      <c r="A334" t="str">
        <f>IF('Staff Daily sales'!$B319="","",TRIM('Staff Daily sales'!$B319&amp;""))</f>
        <v>HAOTHMTH</v>
      </c>
      <c r="B334" t="str">
        <f>IF('Staff Daily sales'!$D319="","",TRIM('Staff Daily sales'!$D319&amp;""))</f>
        <v>5235-RAlrashed</v>
      </c>
      <c r="C334" t="str">
        <f>IFERROR(TRIM('Staff Daily sales'!$E319&amp;""),"")</f>
        <v>Muthnab</v>
      </c>
      <c r="D334" t="str">
        <f>IFERROR(IF(TRIM('Staff Daily sales'!$F319&amp;"")="","Unassigned",TRIM('Staff Daily sales'!$F319&amp;"")),"Unassigned")</f>
        <v>Lina Al Ghathami</v>
      </c>
      <c r="E334">
        <f t="shared" si="90"/>
        <v>1</v>
      </c>
      <c r="F334">
        <f>IF($E334=0,0,SUMPRODUCT($AI$5:$DF$5,'Staff Daily sales'!$G319:$CD319))</f>
        <v>0</v>
      </c>
      <c r="G334">
        <f>IF($E334=0,0,SUMPRODUCT($AI$6:$DF$6,'Staff Daily sales'!$G319:$CD319))</f>
        <v>0</v>
      </c>
      <c r="H334">
        <f t="shared" si="91"/>
        <v>400</v>
      </c>
      <c r="I334">
        <f t="shared" si="92"/>
        <v>4</v>
      </c>
      <c r="J334">
        <f t="shared" si="93"/>
        <v>62915.250000000007</v>
      </c>
      <c r="K334">
        <f t="shared" si="94"/>
        <v>385</v>
      </c>
      <c r="L334">
        <f>--AND($E334=1,OR('Staff Dashboard'!$B$6="All",$DH334='Staff Dashboard'!$B$6),OR('Staff Dashboard'!$B$7="All",$D334='Staff Dashboard'!$B$7),OR('Staff Dashboard'!$B$8="All",$A334='Staff Dashboard'!$B$8))</f>
        <v>0</v>
      </c>
      <c r="M334">
        <f>IF($E334=0,0,SUMPRODUCT($AI$7:$DF$7,'Staff Daily sales'!$G319:$CD319))</f>
        <v>485</v>
      </c>
      <c r="N334">
        <f>IF($E334=0,0,SUMPRODUCT($AI$8:$DF$8,'Staff Daily sales'!$G319:$CD319))</f>
        <v>6</v>
      </c>
      <c r="O334">
        <f>IF($E334=0,0,SUMPRODUCT($AI$9:$DF$9,'Staff Daily sales'!$G319:$CD319))</f>
        <v>2547.04</v>
      </c>
      <c r="P334">
        <f>IF($E334=0,0,SUMPRODUCT($AI$10:$DF$10,'Staff Daily sales'!$G319:$CD319))</f>
        <v>20</v>
      </c>
      <c r="Q334">
        <f>IF($E334=0,0,SUMPRODUCT($AI$11:$DF$11,'Staff Daily sales'!$G319:$CD319))</f>
        <v>574.99</v>
      </c>
      <c r="R334">
        <f>IF($E334=0,0,SUMPRODUCT($AI$12:$DF$12,'Staff Daily sales'!$G319:$CD319))</f>
        <v>6</v>
      </c>
      <c r="S334">
        <f>IF($E334=0,0,SUMPRODUCT($AI$13:$DF$13,'Staff Daily sales'!$G319:$CD319))</f>
        <v>1213.02</v>
      </c>
      <c r="T334">
        <f>IF($E334=0,0,SUMPRODUCT($AI$14:$DF$14,'Staff Daily sales'!$G319:$CD319))</f>
        <v>12</v>
      </c>
      <c r="U334">
        <f>IF($E334=0,0,SUMPRODUCT($AI$15:$DF$15,'Staff Daily sales'!$G319:$CD319))</f>
        <v>0</v>
      </c>
      <c r="V334">
        <f>IF($E334=0,0,SUMPRODUCT($AI$16:$DF$16,'Staff Daily sales'!$G319:$CD319))</f>
        <v>0</v>
      </c>
      <c r="W334">
        <f t="shared" si="95"/>
        <v>3706.04</v>
      </c>
      <c r="X334">
        <f t="shared" si="96"/>
        <v>5753.08</v>
      </c>
      <c r="Y334">
        <f t="shared" si="97"/>
        <v>3494.0899999999997</v>
      </c>
      <c r="Z334">
        <f t="shared" si="98"/>
        <v>2394.0299999999997</v>
      </c>
      <c r="AA334">
        <f t="shared" si="99"/>
        <v>884</v>
      </c>
      <c r="AB334">
        <f>--AND($E334=1,OR('Staff Weekly Trend'!$B$3="All",$DH334='Staff Weekly Trend'!$B$3),OR('Staff Weekly Trend'!$B$4="All",$D334='Staff Weekly Trend'!$B$4),OR('Staff Weekly Trend'!$B$5="All",$A334='Staff Weekly Trend'!$B$5))</f>
        <v>1</v>
      </c>
      <c r="AC334" t="str">
        <f t="shared" si="100"/>
        <v/>
      </c>
      <c r="AI334">
        <f t="shared" si="101"/>
        <v>36</v>
      </c>
      <c r="AJ334">
        <f t="shared" si="102"/>
        <v>46</v>
      </c>
      <c r="AK334">
        <f t="shared" si="103"/>
        <v>34</v>
      </c>
      <c r="AL334">
        <f t="shared" si="104"/>
        <v>23</v>
      </c>
      <c r="AM334">
        <f t="shared" si="105"/>
        <v>7</v>
      </c>
      <c r="DH334" t="str" cm="1">
        <f t="array" ref="DH334">IF($A334="","",_xlfn.LET(_xlpm.c,IFERROR(_xlfn.XLOOKUP($A334,TRIM('Sales and count'!$A$4:$A$300&amp;""),TRIM('Sales and count'!$B$4:$B$300&amp;"")),""),IF(OR(_xlpm.c="",_xlpm.c="0",LEFT(_xlpm.c,1)="#"),"Not set",_xlpm.c)))</f>
        <v>KSA</v>
      </c>
    </row>
    <row r="335" spans="1:112" x14ac:dyDescent="0.25">
      <c r="A335" t="str">
        <f>IF('Staff Daily sales'!$B320="","",TRIM('Staff Daily sales'!$B320&amp;""))</f>
        <v>HAOTHMTH</v>
      </c>
      <c r="B335" t="str">
        <f>IF('Staff Daily sales'!$D320="","",TRIM('Staff Daily sales'!$D320&amp;""))</f>
        <v>6052-NAlAtiq</v>
      </c>
      <c r="C335" t="str">
        <f>IFERROR(TRIM('Staff Daily sales'!$E320&amp;""),"")</f>
        <v>Muthnab</v>
      </c>
      <c r="D335" t="str">
        <f>IFERROR(IF(TRIM('Staff Daily sales'!$F320&amp;"")="","Unassigned",TRIM('Staff Daily sales'!$F320&amp;"")),"Unassigned")</f>
        <v>Lina Al Ghathami</v>
      </c>
      <c r="E335">
        <f t="shared" si="90"/>
        <v>1</v>
      </c>
      <c r="F335">
        <f>IF($E335=0,0,SUMPRODUCT($AI$5:$DF$5,'Staff Daily sales'!$G320:$CD320))</f>
        <v>150</v>
      </c>
      <c r="G335">
        <f>IF($E335=0,0,SUMPRODUCT($AI$6:$DF$6,'Staff Daily sales'!$G320:$CD320))</f>
        <v>1</v>
      </c>
      <c r="H335">
        <f t="shared" si="91"/>
        <v>400</v>
      </c>
      <c r="I335">
        <f t="shared" si="92"/>
        <v>4</v>
      </c>
      <c r="J335">
        <f t="shared" si="93"/>
        <v>62915.250000000007</v>
      </c>
      <c r="K335">
        <f t="shared" si="94"/>
        <v>385</v>
      </c>
      <c r="L335">
        <f>--AND($E335=1,OR('Staff Dashboard'!$B$6="All",$DH335='Staff Dashboard'!$B$6),OR('Staff Dashboard'!$B$7="All",$D335='Staff Dashboard'!$B$7),OR('Staff Dashboard'!$B$8="All",$A335='Staff Dashboard'!$B$8))</f>
        <v>0</v>
      </c>
      <c r="M335">
        <f>IF($E335=0,0,SUMPRODUCT($AI$7:$DF$7,'Staff Daily sales'!$G320:$CD320))</f>
        <v>3010.04</v>
      </c>
      <c r="N335">
        <f>IF($E335=0,0,SUMPRODUCT($AI$8:$DF$8,'Staff Daily sales'!$G320:$CD320))</f>
        <v>28</v>
      </c>
      <c r="O335">
        <f>IF($E335=0,0,SUMPRODUCT($AI$9:$DF$9,'Staff Daily sales'!$G320:$CD320))</f>
        <v>687.02</v>
      </c>
      <c r="P335">
        <f>IF($E335=0,0,SUMPRODUCT($AI$10:$DF$10,'Staff Daily sales'!$G320:$CD320))</f>
        <v>6</v>
      </c>
      <c r="Q335">
        <f>IF($E335=0,0,SUMPRODUCT($AI$11:$DF$11,'Staff Daily sales'!$G320:$CD320))</f>
        <v>2272.0699999999997</v>
      </c>
      <c r="R335">
        <f>IF($E335=0,0,SUMPRODUCT($AI$12:$DF$12,'Staff Daily sales'!$G320:$CD320))</f>
        <v>20</v>
      </c>
      <c r="S335">
        <f>IF($E335=0,0,SUMPRODUCT($AI$13:$DF$13,'Staff Daily sales'!$G320:$CD320))</f>
        <v>290</v>
      </c>
      <c r="T335">
        <f>IF($E335=0,0,SUMPRODUCT($AI$14:$DF$14,'Staff Daily sales'!$G320:$CD320))</f>
        <v>3</v>
      </c>
      <c r="U335">
        <f>IF($E335=0,0,SUMPRODUCT($AI$15:$DF$15,'Staff Daily sales'!$G320:$CD320))</f>
        <v>626.02</v>
      </c>
      <c r="V335">
        <f>IF($E335=0,0,SUMPRODUCT($AI$16:$DF$16,'Staff Daily sales'!$G320:$CD320))</f>
        <v>5</v>
      </c>
      <c r="W335">
        <f t="shared" si="95"/>
        <v>3706.04</v>
      </c>
      <c r="X335">
        <f t="shared" si="96"/>
        <v>5753.08</v>
      </c>
      <c r="Y335">
        <f t="shared" si="97"/>
        <v>3494.0899999999997</v>
      </c>
      <c r="Z335">
        <f t="shared" si="98"/>
        <v>2394.0299999999997</v>
      </c>
      <c r="AA335">
        <f t="shared" si="99"/>
        <v>884</v>
      </c>
      <c r="AB335">
        <f>--AND($E335=1,OR('Staff Weekly Trend'!$B$3="All",$DH335='Staff Weekly Trend'!$B$3),OR('Staff Weekly Trend'!$B$4="All",$D335='Staff Weekly Trend'!$B$4),OR('Staff Weekly Trend'!$B$5="All",$A335='Staff Weekly Trend'!$B$5))</f>
        <v>1</v>
      </c>
      <c r="AC335">
        <f t="shared" si="100"/>
        <v>2</v>
      </c>
      <c r="AI335">
        <f t="shared" si="101"/>
        <v>36</v>
      </c>
      <c r="AJ335">
        <f t="shared" si="102"/>
        <v>46</v>
      </c>
      <c r="AK335">
        <f t="shared" si="103"/>
        <v>34</v>
      </c>
      <c r="AL335">
        <f t="shared" si="104"/>
        <v>23</v>
      </c>
      <c r="AM335">
        <f t="shared" si="105"/>
        <v>7</v>
      </c>
      <c r="DH335" t="str" cm="1">
        <f t="array" ref="DH335">IF($A335="","",_xlfn.LET(_xlpm.c,IFERROR(_xlfn.XLOOKUP($A335,TRIM('Sales and count'!$A$4:$A$300&amp;""),TRIM('Sales and count'!$B$4:$B$300&amp;"")),""),IF(OR(_xlpm.c="",_xlpm.c="0",LEFT(_xlpm.c,1)="#"),"Not set",_xlpm.c)))</f>
        <v>KSA</v>
      </c>
    </row>
    <row r="336" spans="1:112" x14ac:dyDescent="0.25">
      <c r="A336" t="str">
        <f>IF('Staff Daily sales'!$B321="","",TRIM('Staff Daily sales'!$B321&amp;""))</f>
        <v>HADARENMAL</v>
      </c>
      <c r="B336" t="str">
        <f>IF('Staff Daily sales'!$D321="","",TRIM('Staff Daily sales'!$D321&amp;""))</f>
        <v>5140-KALmatouq</v>
      </c>
      <c r="C336" t="str">
        <f>IFERROR(TRIM('Staff Daily sales'!$E321&amp;""),"")</f>
        <v>Dammam</v>
      </c>
      <c r="D336" t="str">
        <f>IFERROR(IF(TRIM('Staff Daily sales'!$F321&amp;"")="","Unassigned",TRIM('Staff Daily sales'!$F321&amp;"")),"Unassigned")</f>
        <v>Hamzah Al Makhadam</v>
      </c>
      <c r="E336">
        <f t="shared" si="90"/>
        <v>1</v>
      </c>
      <c r="F336">
        <f>IF($E336=0,0,SUMPRODUCT($AI$5:$DF$5,'Staff Daily sales'!$G321:$CD321))</f>
        <v>1449.89</v>
      </c>
      <c r="G336">
        <f>IF($E336=0,0,SUMPRODUCT($AI$6:$DF$6,'Staff Daily sales'!$G321:$CD321))</f>
        <v>8</v>
      </c>
      <c r="H336">
        <f t="shared" si="91"/>
        <v>5805.68</v>
      </c>
      <c r="I336">
        <f t="shared" si="92"/>
        <v>41</v>
      </c>
      <c r="J336">
        <f t="shared" si="93"/>
        <v>128104.23999999996</v>
      </c>
      <c r="K336">
        <f t="shared" si="94"/>
        <v>596</v>
      </c>
      <c r="L336">
        <f>--AND($E336=1,OR('Staff Dashboard'!$B$6="All",$DH336='Staff Dashboard'!$B$6),OR('Staff Dashboard'!$B$7="All",$D336='Staff Dashboard'!$B$7),OR('Staff Dashboard'!$B$8="All",$A336='Staff Dashboard'!$B$8))</f>
        <v>0</v>
      </c>
      <c r="M336">
        <f>IF($E336=0,0,SUMPRODUCT($AI$7:$DF$7,'Staff Daily sales'!$G321:$CD321))</f>
        <v>8903.130000000001</v>
      </c>
      <c r="N336">
        <f>IF($E336=0,0,SUMPRODUCT($AI$8:$DF$8,'Staff Daily sales'!$G321:$CD321))</f>
        <v>72</v>
      </c>
      <c r="O336">
        <f>IF($E336=0,0,SUMPRODUCT($AI$9:$DF$9,'Staff Daily sales'!$G321:$CD321))</f>
        <v>17266.27</v>
      </c>
      <c r="P336">
        <f>IF($E336=0,0,SUMPRODUCT($AI$10:$DF$10,'Staff Daily sales'!$G321:$CD321))</f>
        <v>106</v>
      </c>
      <c r="Q336">
        <f>IF($E336=0,0,SUMPRODUCT($AI$11:$DF$11,'Staff Daily sales'!$G321:$CD321))</f>
        <v>6451.16</v>
      </c>
      <c r="R336">
        <f>IF($E336=0,0,SUMPRODUCT($AI$12:$DF$12,'Staff Daily sales'!$G321:$CD321))</f>
        <v>41</v>
      </c>
      <c r="S336">
        <f>IF($E336=0,0,SUMPRODUCT($AI$13:$DF$13,'Staff Daily sales'!$G321:$CD321))</f>
        <v>9886.77</v>
      </c>
      <c r="T336">
        <f>IF($E336=0,0,SUMPRODUCT($AI$14:$DF$14,'Staff Daily sales'!$G321:$CD321))</f>
        <v>63</v>
      </c>
      <c r="U336">
        <f>IF($E336=0,0,SUMPRODUCT($AI$15:$DF$15,'Staff Daily sales'!$G321:$CD321))</f>
        <v>496.96</v>
      </c>
      <c r="V336">
        <f>IF($E336=0,0,SUMPRODUCT($AI$16:$DF$16,'Staff Daily sales'!$G321:$CD321))</f>
        <v>3</v>
      </c>
      <c r="W336">
        <f t="shared" si="95"/>
        <v>27377.510000000002</v>
      </c>
      <c r="X336">
        <f t="shared" si="96"/>
        <v>45023.86</v>
      </c>
      <c r="Y336">
        <f t="shared" si="97"/>
        <v>30616.5</v>
      </c>
      <c r="Z336">
        <f t="shared" si="98"/>
        <v>26551.47</v>
      </c>
      <c r="AA336">
        <f t="shared" si="99"/>
        <v>7060.08</v>
      </c>
      <c r="AB336">
        <f>--AND($E336=1,OR('Staff Weekly Trend'!$B$3="All",$DH336='Staff Weekly Trend'!$B$3),OR('Staff Weekly Trend'!$B$4="All",$D336='Staff Weekly Trend'!$B$4),OR('Staff Weekly Trend'!$B$5="All",$A336='Staff Weekly Trend'!$B$5))</f>
        <v>1</v>
      </c>
      <c r="AC336">
        <f t="shared" si="100"/>
        <v>3</v>
      </c>
      <c r="AI336">
        <f t="shared" si="101"/>
        <v>197</v>
      </c>
      <c r="AJ336">
        <f t="shared" si="102"/>
        <v>281</v>
      </c>
      <c r="AK336">
        <f t="shared" si="103"/>
        <v>204</v>
      </c>
      <c r="AL336">
        <f t="shared" si="104"/>
        <v>177</v>
      </c>
      <c r="AM336">
        <f t="shared" si="105"/>
        <v>50</v>
      </c>
      <c r="DH336" t="str" cm="1">
        <f t="array" ref="DH336">IF($A336="","",_xlfn.LET(_xlpm.c,IFERROR(_xlfn.XLOOKUP($A336,TRIM('Sales and count'!$A$4:$A$300&amp;""),TRIM('Sales and count'!$B$4:$B$300&amp;"")),""),IF(OR(_xlpm.c="",_xlpm.c="0",LEFT(_xlpm.c,1)="#"),"Not set",_xlpm.c)))</f>
        <v>KSA</v>
      </c>
    </row>
    <row r="337" spans="1:112" x14ac:dyDescent="0.25">
      <c r="A337" t="str">
        <f>IF('Staff Daily sales'!$B322="","",TRIM('Staff Daily sales'!$B322&amp;""))</f>
        <v>HADARENMAL</v>
      </c>
      <c r="B337" t="str">
        <f>IF('Staff Daily sales'!$D322="","",TRIM('Staff Daily sales'!$D322&amp;""))</f>
        <v>5278-ZAlbasher</v>
      </c>
      <c r="C337" t="str">
        <f>IFERROR(TRIM('Staff Daily sales'!$E322&amp;""),"")</f>
        <v>Dammam</v>
      </c>
      <c r="D337" t="str">
        <f>IFERROR(IF(TRIM('Staff Daily sales'!$F322&amp;"")="","Unassigned",TRIM('Staff Daily sales'!$F322&amp;"")),"Unassigned")</f>
        <v>Hamzah Al Makhadam</v>
      </c>
      <c r="E337">
        <f t="shared" si="90"/>
        <v>1</v>
      </c>
      <c r="F337">
        <f>IF($E337=0,0,SUMPRODUCT($AI$5:$DF$5,'Staff Daily sales'!$G322:$CD322))</f>
        <v>0</v>
      </c>
      <c r="G337">
        <f>IF($E337=0,0,SUMPRODUCT($AI$6:$DF$6,'Staff Daily sales'!$G322:$CD322))</f>
        <v>0</v>
      </c>
      <c r="H337">
        <f t="shared" si="91"/>
        <v>5805.68</v>
      </c>
      <c r="I337">
        <f t="shared" si="92"/>
        <v>41</v>
      </c>
      <c r="J337">
        <f t="shared" si="93"/>
        <v>128104.23999999996</v>
      </c>
      <c r="K337">
        <f t="shared" si="94"/>
        <v>596</v>
      </c>
      <c r="L337">
        <f>--AND($E337=1,OR('Staff Dashboard'!$B$6="All",$DH337='Staff Dashboard'!$B$6),OR('Staff Dashboard'!$B$7="All",$D337='Staff Dashboard'!$B$7),OR('Staff Dashboard'!$B$8="All",$A337='Staff Dashboard'!$B$8))</f>
        <v>0</v>
      </c>
      <c r="M337">
        <f>IF($E337=0,0,SUMPRODUCT($AI$7:$DF$7,'Staff Daily sales'!$G322:$CD322))</f>
        <v>9759.18</v>
      </c>
      <c r="N337">
        <f>IF($E337=0,0,SUMPRODUCT($AI$8:$DF$8,'Staff Daily sales'!$G322:$CD322))</f>
        <v>63</v>
      </c>
      <c r="O337">
        <f>IF($E337=0,0,SUMPRODUCT($AI$9:$DF$9,'Staff Daily sales'!$G322:$CD322))</f>
        <v>13839.230000000001</v>
      </c>
      <c r="P337">
        <f>IF($E337=0,0,SUMPRODUCT($AI$10:$DF$10,'Staff Daily sales'!$G322:$CD322))</f>
        <v>81</v>
      </c>
      <c r="Q337">
        <f>IF($E337=0,0,SUMPRODUCT($AI$11:$DF$11,'Staff Daily sales'!$G322:$CD322))</f>
        <v>8011.0700000000006</v>
      </c>
      <c r="R337">
        <f>IF($E337=0,0,SUMPRODUCT($AI$12:$DF$12,'Staff Daily sales'!$G322:$CD322))</f>
        <v>54</v>
      </c>
      <c r="S337">
        <f>IF($E337=0,0,SUMPRODUCT($AI$13:$DF$13,'Staff Daily sales'!$G322:$CD322))</f>
        <v>1683.02</v>
      </c>
      <c r="T337">
        <f>IF($E337=0,0,SUMPRODUCT($AI$14:$DF$14,'Staff Daily sales'!$G322:$CD322))</f>
        <v>13</v>
      </c>
      <c r="U337">
        <f>IF($E337=0,0,SUMPRODUCT($AI$15:$DF$15,'Staff Daily sales'!$G322:$CD322))</f>
        <v>1212.06</v>
      </c>
      <c r="V337">
        <f>IF($E337=0,0,SUMPRODUCT($AI$16:$DF$16,'Staff Daily sales'!$G322:$CD322))</f>
        <v>12</v>
      </c>
      <c r="W337">
        <f t="shared" si="95"/>
        <v>27377.510000000002</v>
      </c>
      <c r="X337">
        <f t="shared" si="96"/>
        <v>45023.86</v>
      </c>
      <c r="Y337">
        <f t="shared" si="97"/>
        <v>30616.5</v>
      </c>
      <c r="Z337">
        <f t="shared" si="98"/>
        <v>26551.47</v>
      </c>
      <c r="AA337">
        <f t="shared" si="99"/>
        <v>7060.08</v>
      </c>
      <c r="AB337">
        <f>--AND($E337=1,OR('Staff Weekly Trend'!$B$3="All",$DH337='Staff Weekly Trend'!$B$3),OR('Staff Weekly Trend'!$B$4="All",$D337='Staff Weekly Trend'!$B$4),OR('Staff Weekly Trend'!$B$5="All",$A337='Staff Weekly Trend'!$B$5))</f>
        <v>1</v>
      </c>
      <c r="AC337" t="str">
        <f t="shared" si="100"/>
        <v/>
      </c>
      <c r="AI337">
        <f t="shared" si="101"/>
        <v>197</v>
      </c>
      <c r="AJ337">
        <f t="shared" si="102"/>
        <v>281</v>
      </c>
      <c r="AK337">
        <f t="shared" si="103"/>
        <v>204</v>
      </c>
      <c r="AL337">
        <f t="shared" si="104"/>
        <v>177</v>
      </c>
      <c r="AM337">
        <f t="shared" si="105"/>
        <v>50</v>
      </c>
      <c r="DH337" t="str" cm="1">
        <f t="array" ref="DH337">IF($A337="","",_xlfn.LET(_xlpm.c,IFERROR(_xlfn.XLOOKUP($A337,TRIM('Sales and count'!$A$4:$A$300&amp;""),TRIM('Sales and count'!$B$4:$B$300&amp;"")),""),IF(OR(_xlpm.c="",_xlpm.c="0",LEFT(_xlpm.c,1)="#"),"Not set",_xlpm.c)))</f>
        <v>KSA</v>
      </c>
    </row>
    <row r="338" spans="1:112" x14ac:dyDescent="0.25">
      <c r="A338" t="str">
        <f>IF('Staff Daily sales'!$B323="","",TRIM('Staff Daily sales'!$B323&amp;""))</f>
        <v>HADARENMAL</v>
      </c>
      <c r="B338" t="str">
        <f>IF('Staff Daily sales'!$D323="","",TRIM('Staff Daily sales'!$D323&amp;""))</f>
        <v>5279-FMutawa</v>
      </c>
      <c r="C338" t="str">
        <f>IFERROR(TRIM('Staff Daily sales'!$E323&amp;""),"")</f>
        <v>Dammam</v>
      </c>
      <c r="D338" t="str">
        <f>IFERROR(IF(TRIM('Staff Daily sales'!$F323&amp;"")="","Unassigned",TRIM('Staff Daily sales'!$F323&amp;"")),"Unassigned")</f>
        <v>Hamzah Al Makhadam</v>
      </c>
      <c r="E338">
        <f t="shared" si="90"/>
        <v>1</v>
      </c>
      <c r="F338">
        <f>IF($E338=0,0,SUMPRODUCT($AI$5:$DF$5,'Staff Daily sales'!$G323:$CD323))</f>
        <v>2580.84</v>
      </c>
      <c r="G338">
        <f>IF($E338=0,0,SUMPRODUCT($AI$6:$DF$6,'Staff Daily sales'!$G323:$CD323))</f>
        <v>18</v>
      </c>
      <c r="H338">
        <f t="shared" si="91"/>
        <v>5805.68</v>
      </c>
      <c r="I338">
        <f t="shared" si="92"/>
        <v>41</v>
      </c>
      <c r="J338">
        <f t="shared" si="93"/>
        <v>128104.23999999996</v>
      </c>
      <c r="K338">
        <f t="shared" si="94"/>
        <v>596</v>
      </c>
      <c r="L338">
        <f>--AND($E338=1,OR('Staff Dashboard'!$B$6="All",$DH338='Staff Dashboard'!$B$6),OR('Staff Dashboard'!$B$7="All",$D338='Staff Dashboard'!$B$7),OR('Staff Dashboard'!$B$8="All",$A338='Staff Dashboard'!$B$8))</f>
        <v>0</v>
      </c>
      <c r="M338">
        <f>IF($E338=0,0,SUMPRODUCT($AI$7:$DF$7,'Staff Daily sales'!$G323:$CD323))</f>
        <v>0</v>
      </c>
      <c r="N338">
        <f>IF($E338=0,0,SUMPRODUCT($AI$8:$DF$8,'Staff Daily sales'!$G323:$CD323))</f>
        <v>0</v>
      </c>
      <c r="O338">
        <f>IF($E338=0,0,SUMPRODUCT($AI$9:$DF$9,'Staff Daily sales'!$G323:$CD323))</f>
        <v>0</v>
      </c>
      <c r="P338">
        <f>IF($E338=0,0,SUMPRODUCT($AI$10:$DF$10,'Staff Daily sales'!$G323:$CD323))</f>
        <v>0</v>
      </c>
      <c r="Q338">
        <f>IF($E338=0,0,SUMPRODUCT($AI$11:$DF$11,'Staff Daily sales'!$G323:$CD323))</f>
        <v>7285.09</v>
      </c>
      <c r="R338">
        <f>IF($E338=0,0,SUMPRODUCT($AI$12:$DF$12,'Staff Daily sales'!$G323:$CD323))</f>
        <v>48</v>
      </c>
      <c r="S338">
        <f>IF($E338=0,0,SUMPRODUCT($AI$13:$DF$13,'Staff Daily sales'!$G323:$CD323))</f>
        <v>7458.7100000000009</v>
      </c>
      <c r="T338">
        <f>IF($E338=0,0,SUMPRODUCT($AI$14:$DF$14,'Staff Daily sales'!$G323:$CD323))</f>
        <v>50</v>
      </c>
      <c r="U338">
        <f>IF($E338=0,0,SUMPRODUCT($AI$15:$DF$15,'Staff Daily sales'!$G323:$CD323))</f>
        <v>2211.98</v>
      </c>
      <c r="V338">
        <f>IF($E338=0,0,SUMPRODUCT($AI$16:$DF$16,'Staff Daily sales'!$G323:$CD323))</f>
        <v>15</v>
      </c>
      <c r="W338">
        <f t="shared" si="95"/>
        <v>27377.510000000002</v>
      </c>
      <c r="X338">
        <f t="shared" si="96"/>
        <v>45023.86</v>
      </c>
      <c r="Y338">
        <f t="shared" si="97"/>
        <v>30616.5</v>
      </c>
      <c r="Z338">
        <f t="shared" si="98"/>
        <v>26551.47</v>
      </c>
      <c r="AA338">
        <f t="shared" si="99"/>
        <v>7060.08</v>
      </c>
      <c r="AB338">
        <f>--AND($E338=1,OR('Staff Weekly Trend'!$B$3="All",$DH338='Staff Weekly Trend'!$B$3),OR('Staff Weekly Trend'!$B$4="All",$D338='Staff Weekly Trend'!$B$4),OR('Staff Weekly Trend'!$B$5="All",$A338='Staff Weekly Trend'!$B$5))</f>
        <v>1</v>
      </c>
      <c r="AC338">
        <f t="shared" si="100"/>
        <v>1</v>
      </c>
      <c r="AI338">
        <f t="shared" si="101"/>
        <v>197</v>
      </c>
      <c r="AJ338">
        <f t="shared" si="102"/>
        <v>281</v>
      </c>
      <c r="AK338">
        <f t="shared" si="103"/>
        <v>204</v>
      </c>
      <c r="AL338">
        <f t="shared" si="104"/>
        <v>177</v>
      </c>
      <c r="AM338">
        <f t="shared" si="105"/>
        <v>50</v>
      </c>
      <c r="DH338" t="str" cm="1">
        <f t="array" ref="DH338">IF($A338="","",_xlfn.LET(_xlpm.c,IFERROR(_xlfn.XLOOKUP($A338,TRIM('Sales and count'!$A$4:$A$300&amp;""),TRIM('Sales and count'!$B$4:$B$300&amp;"")),""),IF(OR(_xlpm.c="",_xlpm.c="0",LEFT(_xlpm.c,1)="#"),"Not set",_xlpm.c)))</f>
        <v>KSA</v>
      </c>
    </row>
    <row r="339" spans="1:112" x14ac:dyDescent="0.25">
      <c r="A339" t="str">
        <f>IF('Staff Daily sales'!$B324="","",TRIM('Staff Daily sales'!$B324&amp;""))</f>
        <v>HADARENMAL</v>
      </c>
      <c r="B339" t="str">
        <f>IF('Staff Daily sales'!$D324="","",TRIM('Staff Daily sales'!$D324&amp;""))</f>
        <v>5304-AAlsabi</v>
      </c>
      <c r="C339" t="str">
        <f>IFERROR(TRIM('Staff Daily sales'!$E324&amp;""),"")</f>
        <v>Dammam</v>
      </c>
      <c r="D339" t="str">
        <f>IFERROR(IF(TRIM('Staff Daily sales'!$F324&amp;"")="","Unassigned",TRIM('Staff Daily sales'!$F324&amp;"")),"Unassigned")</f>
        <v>Hamzah Al Makhadam</v>
      </c>
      <c r="E339">
        <f t="shared" si="90"/>
        <v>1</v>
      </c>
      <c r="F339">
        <f>IF($E339=0,0,SUMPRODUCT($AI$5:$DF$5,'Staff Daily sales'!$G324:$CD324))</f>
        <v>0</v>
      </c>
      <c r="G339">
        <f>IF($E339=0,0,SUMPRODUCT($AI$6:$DF$6,'Staff Daily sales'!$G324:$CD324))</f>
        <v>0</v>
      </c>
      <c r="H339">
        <f t="shared" si="91"/>
        <v>5805.68</v>
      </c>
      <c r="I339">
        <f t="shared" si="92"/>
        <v>41</v>
      </c>
      <c r="J339">
        <f t="shared" si="93"/>
        <v>128104.23999999996</v>
      </c>
      <c r="K339">
        <f t="shared" si="94"/>
        <v>596</v>
      </c>
      <c r="L339">
        <f>--AND($E339=1,OR('Staff Dashboard'!$B$6="All",$DH339='Staff Dashboard'!$B$6),OR('Staff Dashboard'!$B$7="All",$D339='Staff Dashboard'!$B$7),OR('Staff Dashboard'!$B$8="All",$A339='Staff Dashboard'!$B$8))</f>
        <v>0</v>
      </c>
      <c r="M339">
        <f>IF($E339=0,0,SUMPRODUCT($AI$7:$DF$7,'Staff Daily sales'!$G324:$CD324))</f>
        <v>2073.02</v>
      </c>
      <c r="N339">
        <f>IF($E339=0,0,SUMPRODUCT($AI$8:$DF$8,'Staff Daily sales'!$G324:$CD324))</f>
        <v>11</v>
      </c>
      <c r="O339">
        <f>IF($E339=0,0,SUMPRODUCT($AI$9:$DF$9,'Staff Daily sales'!$G324:$CD324))</f>
        <v>0</v>
      </c>
      <c r="P339">
        <f>IF($E339=0,0,SUMPRODUCT($AI$10:$DF$10,'Staff Daily sales'!$G324:$CD324))</f>
        <v>0</v>
      </c>
      <c r="Q339">
        <f>IF($E339=0,0,SUMPRODUCT($AI$11:$DF$11,'Staff Daily sales'!$G324:$CD324))</f>
        <v>0</v>
      </c>
      <c r="R339">
        <f>IF($E339=0,0,SUMPRODUCT($AI$12:$DF$12,'Staff Daily sales'!$G324:$CD324))</f>
        <v>0</v>
      </c>
      <c r="S339">
        <f>IF($E339=0,0,SUMPRODUCT($AI$13:$DF$13,'Staff Daily sales'!$G324:$CD324))</f>
        <v>0</v>
      </c>
      <c r="T339">
        <f>IF($E339=0,0,SUMPRODUCT($AI$14:$DF$14,'Staff Daily sales'!$G324:$CD324))</f>
        <v>0</v>
      </c>
      <c r="U339">
        <f>IF($E339=0,0,SUMPRODUCT($AI$15:$DF$15,'Staff Daily sales'!$G324:$CD324))</f>
        <v>0</v>
      </c>
      <c r="V339">
        <f>IF($E339=0,0,SUMPRODUCT($AI$16:$DF$16,'Staff Daily sales'!$G324:$CD324))</f>
        <v>0</v>
      </c>
      <c r="W339">
        <f t="shared" si="95"/>
        <v>27377.510000000002</v>
      </c>
      <c r="X339">
        <f t="shared" si="96"/>
        <v>45023.86</v>
      </c>
      <c r="Y339">
        <f t="shared" si="97"/>
        <v>30616.5</v>
      </c>
      <c r="Z339">
        <f t="shared" si="98"/>
        <v>26551.47</v>
      </c>
      <c r="AA339">
        <f t="shared" si="99"/>
        <v>7060.08</v>
      </c>
      <c r="AB339">
        <f>--AND($E339=1,OR('Staff Weekly Trend'!$B$3="All",$DH339='Staff Weekly Trend'!$B$3),OR('Staff Weekly Trend'!$B$4="All",$D339='Staff Weekly Trend'!$B$4),OR('Staff Weekly Trend'!$B$5="All",$A339='Staff Weekly Trend'!$B$5))</f>
        <v>1</v>
      </c>
      <c r="AC339" t="str">
        <f t="shared" si="100"/>
        <v/>
      </c>
      <c r="AI339">
        <f t="shared" si="101"/>
        <v>197</v>
      </c>
      <c r="AJ339">
        <f t="shared" si="102"/>
        <v>281</v>
      </c>
      <c r="AK339">
        <f t="shared" si="103"/>
        <v>204</v>
      </c>
      <c r="AL339">
        <f t="shared" si="104"/>
        <v>177</v>
      </c>
      <c r="AM339">
        <f t="shared" si="105"/>
        <v>50</v>
      </c>
      <c r="DH339" t="str" cm="1">
        <f t="array" ref="DH339">IF($A339="","",_xlfn.LET(_xlpm.c,IFERROR(_xlfn.XLOOKUP($A339,TRIM('Sales and count'!$A$4:$A$300&amp;""),TRIM('Sales and count'!$B$4:$B$300&amp;"")),""),IF(OR(_xlpm.c="",_xlpm.c="0",LEFT(_xlpm.c,1)="#"),"Not set",_xlpm.c)))</f>
        <v>KSA</v>
      </c>
    </row>
    <row r="340" spans="1:112" x14ac:dyDescent="0.25">
      <c r="A340" t="str">
        <f>IF('Staff Daily sales'!$B325="","",TRIM('Staff Daily sales'!$B325&amp;""))</f>
        <v>HADARENMAL</v>
      </c>
      <c r="B340" t="str">
        <f>IF('Staff Daily sales'!$D325="","",TRIM('Staff Daily sales'!$D325&amp;""))</f>
        <v>7055-AAlessa</v>
      </c>
      <c r="C340" t="str">
        <f>IFERROR(TRIM('Staff Daily sales'!$E325&amp;""),"")</f>
        <v>Dammam</v>
      </c>
      <c r="D340" t="str">
        <f>IFERROR(IF(TRIM('Staff Daily sales'!$F325&amp;"")="","Unassigned",TRIM('Staff Daily sales'!$F325&amp;"")),"Unassigned")</f>
        <v>Hamzah Al Makhadam</v>
      </c>
      <c r="E340">
        <f t="shared" ref="E340:E403" si="106">--AND($A340&lt;&gt;"",$B340&lt;&gt;"")</f>
        <v>1</v>
      </c>
      <c r="F340">
        <f>IF($E340=0,0,SUMPRODUCT($AI$5:$DF$5,'Staff Daily sales'!$G325:$CD325))</f>
        <v>0</v>
      </c>
      <c r="G340">
        <f>IF($E340=0,0,SUMPRODUCT($AI$6:$DF$6,'Staff Daily sales'!$G325:$CD325))</f>
        <v>0</v>
      </c>
      <c r="H340">
        <f t="shared" ref="H340:H403" si="107">IF($E340=0,0,SUMIFS($F$20:$F$1515,$A$20:$A$1515,$A340))</f>
        <v>5805.68</v>
      </c>
      <c r="I340">
        <f t="shared" ref="I340:I403" si="108">IF($E340=0,0,SUMIFS($G$20:$G$1515,$A$20:$A$1515,$A340))</f>
        <v>41</v>
      </c>
      <c r="J340">
        <f t="shared" ref="J340:J403" si="109">IF($E340=0,0,SUMIFS($F$20:$F$1515,$D$20:$D$1515,$D340))</f>
        <v>128104.23999999996</v>
      </c>
      <c r="K340">
        <f t="shared" ref="K340:K403" si="110">IF($E340=0,0,SUMIFS($G$20:$G$1515,$D$20:$D$1515,$D340))</f>
        <v>596</v>
      </c>
      <c r="L340">
        <f>--AND($E340=1,OR('Staff Dashboard'!$B$6="All",$DH340='Staff Dashboard'!$B$6),OR('Staff Dashboard'!$B$7="All",$D340='Staff Dashboard'!$B$7),OR('Staff Dashboard'!$B$8="All",$A340='Staff Dashboard'!$B$8))</f>
        <v>0</v>
      </c>
      <c r="M340">
        <f>IF($E340=0,0,SUMPRODUCT($AI$7:$DF$7,'Staff Daily sales'!$G325:$CD325))</f>
        <v>0</v>
      </c>
      <c r="N340">
        <f>IF($E340=0,0,SUMPRODUCT($AI$8:$DF$8,'Staff Daily sales'!$G325:$CD325))</f>
        <v>0</v>
      </c>
      <c r="O340">
        <f>IF($E340=0,0,SUMPRODUCT($AI$9:$DF$9,'Staff Daily sales'!$G325:$CD325))</f>
        <v>3645.02</v>
      </c>
      <c r="P340">
        <f>IF($E340=0,0,SUMPRODUCT($AI$10:$DF$10,'Staff Daily sales'!$G325:$CD325))</f>
        <v>26</v>
      </c>
      <c r="Q340">
        <f>IF($E340=0,0,SUMPRODUCT($AI$11:$DF$11,'Staff Daily sales'!$G325:$CD325))</f>
        <v>0</v>
      </c>
      <c r="R340">
        <f>IF($E340=0,0,SUMPRODUCT($AI$12:$DF$12,'Staff Daily sales'!$G325:$CD325))</f>
        <v>0</v>
      </c>
      <c r="S340">
        <f>IF($E340=0,0,SUMPRODUCT($AI$13:$DF$13,'Staff Daily sales'!$G325:$CD325))</f>
        <v>1719.04</v>
      </c>
      <c r="T340">
        <f>IF($E340=0,0,SUMPRODUCT($AI$14:$DF$14,'Staff Daily sales'!$G325:$CD325))</f>
        <v>9</v>
      </c>
      <c r="U340">
        <f>IF($E340=0,0,SUMPRODUCT($AI$15:$DF$15,'Staff Daily sales'!$G325:$CD325))</f>
        <v>0</v>
      </c>
      <c r="V340">
        <f>IF($E340=0,0,SUMPRODUCT($AI$16:$DF$16,'Staff Daily sales'!$G325:$CD325))</f>
        <v>0</v>
      </c>
      <c r="W340">
        <f t="shared" ref="W340:W403" si="111">IF($E340=0,0,SUMIFS(M$20:M$1515,$A$20:$A$1515,$A340))</f>
        <v>27377.510000000002</v>
      </c>
      <c r="X340">
        <f t="shared" ref="X340:X403" si="112">IF($E340=0,0,SUMIFS(O$20:O$1515,$A$20:$A$1515,$A340))</f>
        <v>45023.86</v>
      </c>
      <c r="Y340">
        <f t="shared" ref="Y340:Y403" si="113">IF($E340=0,0,SUMIFS(Q$20:Q$1515,$A$20:$A$1515,$A340))</f>
        <v>30616.5</v>
      </c>
      <c r="Z340">
        <f t="shared" ref="Z340:Z403" si="114">IF($E340=0,0,SUMIFS(S$20:S$1515,$A$20:$A$1515,$A340))</f>
        <v>26551.47</v>
      </c>
      <c r="AA340">
        <f t="shared" ref="AA340:AA403" si="115">IF($E340=0,0,SUMIFS(U$20:U$1515,$A$20:$A$1515,$A340))</f>
        <v>7060.08</v>
      </c>
      <c r="AB340">
        <f>--AND($E340=1,OR('Staff Weekly Trend'!$B$3="All",$DH340='Staff Weekly Trend'!$B$3),OR('Staff Weekly Trend'!$B$4="All",$D340='Staff Weekly Trend'!$B$4),OR('Staff Weekly Trend'!$B$5="All",$A340='Staff Weekly Trend'!$B$5))</f>
        <v>1</v>
      </c>
      <c r="AC340" t="str">
        <f t="shared" ref="AC340:AC403" si="116">IF(OR($E340=0,AND($F340=0,$G340=0)),"",COUNTIFS($A$20:$A$1515,$A340,$E$20:$E$1515,1,$F$20:$F$1515,"&gt;"&amp;$F340)+1)</f>
        <v/>
      </c>
      <c r="AI340">
        <f t="shared" ref="AI340:AI403" si="117">IF($E340=0,0,SUMIFS(N$20:N$1515,$A$20:$A$1515,$A340))</f>
        <v>197</v>
      </c>
      <c r="AJ340">
        <f t="shared" ref="AJ340:AJ403" si="118">IF($E340=0,0,SUMIFS(P$20:P$1515,$A$20:$A$1515,$A340))</f>
        <v>281</v>
      </c>
      <c r="AK340">
        <f t="shared" ref="AK340:AK403" si="119">IF($E340=0,0,SUMIFS(R$20:R$1515,$A$20:$A$1515,$A340))</f>
        <v>204</v>
      </c>
      <c r="AL340">
        <f t="shared" ref="AL340:AL403" si="120">IF($E340=0,0,SUMIFS(T$20:T$1515,$A$20:$A$1515,$A340))</f>
        <v>177</v>
      </c>
      <c r="AM340">
        <f t="shared" ref="AM340:AM403" si="121">IF($E340=0,0,SUMIFS(V$20:V$1515,$A$20:$A$1515,$A340))</f>
        <v>50</v>
      </c>
      <c r="DH340" t="str" cm="1">
        <f t="array" ref="DH340">IF($A340="","",_xlfn.LET(_xlpm.c,IFERROR(_xlfn.XLOOKUP($A340,TRIM('Sales and count'!$A$4:$A$300&amp;""),TRIM('Sales and count'!$B$4:$B$300&amp;"")),""),IF(OR(_xlpm.c="",_xlpm.c="0",LEFT(_xlpm.c,1)="#"),"Not set",_xlpm.c)))</f>
        <v>KSA</v>
      </c>
    </row>
    <row r="341" spans="1:112" x14ac:dyDescent="0.25">
      <c r="A341" t="str">
        <f>IF('Staff Daily sales'!$B326="","",TRIM('Staff Daily sales'!$B326&amp;""))</f>
        <v>HADARENMAL</v>
      </c>
      <c r="B341" t="str">
        <f>IF('Staff Daily sales'!$D326="","",TRIM('Staff Daily sales'!$D326&amp;""))</f>
        <v>7301-KAlabri</v>
      </c>
      <c r="C341" t="str">
        <f>IFERROR(TRIM('Staff Daily sales'!$E326&amp;""),"")</f>
        <v>Dammam</v>
      </c>
      <c r="D341" t="str">
        <f>IFERROR(IF(TRIM('Staff Daily sales'!$F326&amp;"")="","Unassigned",TRIM('Staff Daily sales'!$F326&amp;"")),"Unassigned")</f>
        <v>Hamzah Al Makhadam</v>
      </c>
      <c r="E341">
        <f t="shared" si="106"/>
        <v>1</v>
      </c>
      <c r="F341">
        <f>IF($E341=0,0,SUMPRODUCT($AI$5:$DF$5,'Staff Daily sales'!$G326:$CD326))</f>
        <v>1774.95</v>
      </c>
      <c r="G341">
        <f>IF($E341=0,0,SUMPRODUCT($AI$6:$DF$6,'Staff Daily sales'!$G326:$CD326))</f>
        <v>15</v>
      </c>
      <c r="H341">
        <f t="shared" si="107"/>
        <v>5805.68</v>
      </c>
      <c r="I341">
        <f t="shared" si="108"/>
        <v>41</v>
      </c>
      <c r="J341">
        <f t="shared" si="109"/>
        <v>128104.23999999996</v>
      </c>
      <c r="K341">
        <f t="shared" si="110"/>
        <v>596</v>
      </c>
      <c r="L341">
        <f>--AND($E341=1,OR('Staff Dashboard'!$B$6="All",$DH341='Staff Dashboard'!$B$6),OR('Staff Dashboard'!$B$7="All",$D341='Staff Dashboard'!$B$7),OR('Staff Dashboard'!$B$8="All",$A341='Staff Dashboard'!$B$8))</f>
        <v>0</v>
      </c>
      <c r="M341">
        <f>IF($E341=0,0,SUMPRODUCT($AI$7:$DF$7,'Staff Daily sales'!$G326:$CD326))</f>
        <v>6642.18</v>
      </c>
      <c r="N341">
        <f>IF($E341=0,0,SUMPRODUCT($AI$8:$DF$8,'Staff Daily sales'!$G326:$CD326))</f>
        <v>51</v>
      </c>
      <c r="O341">
        <f>IF($E341=0,0,SUMPRODUCT($AI$9:$DF$9,'Staff Daily sales'!$G326:$CD326))</f>
        <v>10273.34</v>
      </c>
      <c r="P341">
        <f>IF($E341=0,0,SUMPRODUCT($AI$10:$DF$10,'Staff Daily sales'!$G326:$CD326))</f>
        <v>68</v>
      </c>
      <c r="Q341">
        <f>IF($E341=0,0,SUMPRODUCT($AI$11:$DF$11,'Staff Daily sales'!$G326:$CD326))</f>
        <v>8869.18</v>
      </c>
      <c r="R341">
        <f>IF($E341=0,0,SUMPRODUCT($AI$12:$DF$12,'Staff Daily sales'!$G326:$CD326))</f>
        <v>61</v>
      </c>
      <c r="S341">
        <f>IF($E341=0,0,SUMPRODUCT($AI$13:$DF$13,'Staff Daily sales'!$G326:$CD326))</f>
        <v>5803.9299999999994</v>
      </c>
      <c r="T341">
        <f>IF($E341=0,0,SUMPRODUCT($AI$14:$DF$14,'Staff Daily sales'!$G326:$CD326))</f>
        <v>42</v>
      </c>
      <c r="U341">
        <f>IF($E341=0,0,SUMPRODUCT($AI$15:$DF$15,'Staff Daily sales'!$G326:$CD326))</f>
        <v>3139.08</v>
      </c>
      <c r="V341">
        <f>IF($E341=0,0,SUMPRODUCT($AI$16:$DF$16,'Staff Daily sales'!$G326:$CD326))</f>
        <v>20</v>
      </c>
      <c r="W341">
        <f t="shared" si="111"/>
        <v>27377.510000000002</v>
      </c>
      <c r="X341">
        <f t="shared" si="112"/>
        <v>45023.86</v>
      </c>
      <c r="Y341">
        <f t="shared" si="113"/>
        <v>30616.5</v>
      </c>
      <c r="Z341">
        <f t="shared" si="114"/>
        <v>26551.47</v>
      </c>
      <c r="AA341">
        <f t="shared" si="115"/>
        <v>7060.08</v>
      </c>
      <c r="AB341">
        <f>--AND($E341=1,OR('Staff Weekly Trend'!$B$3="All",$DH341='Staff Weekly Trend'!$B$3),OR('Staff Weekly Trend'!$B$4="All",$D341='Staff Weekly Trend'!$B$4),OR('Staff Weekly Trend'!$B$5="All",$A341='Staff Weekly Trend'!$B$5))</f>
        <v>1</v>
      </c>
      <c r="AC341">
        <f t="shared" si="116"/>
        <v>2</v>
      </c>
      <c r="AI341">
        <f t="shared" si="117"/>
        <v>197</v>
      </c>
      <c r="AJ341">
        <f t="shared" si="118"/>
        <v>281</v>
      </c>
      <c r="AK341">
        <f t="shared" si="119"/>
        <v>204</v>
      </c>
      <c r="AL341">
        <f t="shared" si="120"/>
        <v>177</v>
      </c>
      <c r="AM341">
        <f t="shared" si="121"/>
        <v>50</v>
      </c>
      <c r="DH341" t="str" cm="1">
        <f t="array" ref="DH341">IF($A341="","",_xlfn.LET(_xlpm.c,IFERROR(_xlfn.XLOOKUP($A341,TRIM('Sales and count'!$A$4:$A$300&amp;""),TRIM('Sales and count'!$B$4:$B$300&amp;"")),""),IF(OR(_xlpm.c="",_xlpm.c="0",LEFT(_xlpm.c,1)="#"),"Not set",_xlpm.c)))</f>
        <v>KSA</v>
      </c>
    </row>
    <row r="342" spans="1:112" x14ac:dyDescent="0.25">
      <c r="A342" t="str">
        <f>IF('Staff Daily sales'!$B327="","",TRIM('Staff Daily sales'!$B327&amp;""))</f>
        <v>HARASHABH</v>
      </c>
      <c r="B342" t="str">
        <f>IF('Staff Daily sales'!$D327="","",TRIM('Staff Daily sales'!$D327&amp;""))</f>
        <v>3391-Ahlam Asiri</v>
      </c>
      <c r="C342" t="str">
        <f>IFERROR(TRIM('Staff Daily sales'!$E327&amp;""),"")</f>
        <v>Abha</v>
      </c>
      <c r="D342" t="str">
        <f>IFERROR(IF(TRIM('Staff Daily sales'!$F327&amp;"")="","Unassigned",TRIM('Staff Daily sales'!$F327&amp;"")),"Unassigned")</f>
        <v>Ahmed Jaffari</v>
      </c>
      <c r="E342">
        <f t="shared" si="106"/>
        <v>1</v>
      </c>
      <c r="F342">
        <f>IF($E342=0,0,SUMPRODUCT($AI$5:$DF$5,'Staff Daily sales'!$G327:$CD327))</f>
        <v>0</v>
      </c>
      <c r="G342">
        <f>IF($E342=0,0,SUMPRODUCT($AI$6:$DF$6,'Staff Daily sales'!$G327:$CD327))</f>
        <v>0</v>
      </c>
      <c r="H342">
        <f t="shared" si="107"/>
        <v>3140.88</v>
      </c>
      <c r="I342">
        <f t="shared" si="108"/>
        <v>23</v>
      </c>
      <c r="J342">
        <f t="shared" si="109"/>
        <v>44058.899999999994</v>
      </c>
      <c r="K342">
        <f t="shared" si="110"/>
        <v>244</v>
      </c>
      <c r="L342">
        <f>--AND($E342=1,OR('Staff Dashboard'!$B$6="All",$DH342='Staff Dashboard'!$B$6),OR('Staff Dashboard'!$B$7="All",$D342='Staff Dashboard'!$B$7),OR('Staff Dashboard'!$B$8="All",$A342='Staff Dashboard'!$B$8))</f>
        <v>0</v>
      </c>
      <c r="M342">
        <f>IF($E342=0,0,SUMPRODUCT($AI$7:$DF$7,'Staff Daily sales'!$G327:$CD327))</f>
        <v>3645.05</v>
      </c>
      <c r="N342">
        <f>IF($E342=0,0,SUMPRODUCT($AI$8:$DF$8,'Staff Daily sales'!$G327:$CD327))</f>
        <v>26</v>
      </c>
      <c r="O342">
        <f>IF($E342=0,0,SUMPRODUCT($AI$9:$DF$9,'Staff Daily sales'!$G327:$CD327))</f>
        <v>8738.19</v>
      </c>
      <c r="P342">
        <f>IF($E342=0,0,SUMPRODUCT($AI$10:$DF$10,'Staff Daily sales'!$G327:$CD327))</f>
        <v>66</v>
      </c>
      <c r="Q342">
        <f>IF($E342=0,0,SUMPRODUCT($AI$11:$DF$11,'Staff Daily sales'!$G327:$CD327))</f>
        <v>4578.07</v>
      </c>
      <c r="R342">
        <f>IF($E342=0,0,SUMPRODUCT($AI$12:$DF$12,'Staff Daily sales'!$G327:$CD327))</f>
        <v>42</v>
      </c>
      <c r="S342">
        <f>IF($E342=0,0,SUMPRODUCT($AI$13:$DF$13,'Staff Daily sales'!$G327:$CD327))</f>
        <v>0</v>
      </c>
      <c r="T342">
        <f>IF($E342=0,0,SUMPRODUCT($AI$14:$DF$14,'Staff Daily sales'!$G327:$CD327))</f>
        <v>0</v>
      </c>
      <c r="U342">
        <f>IF($E342=0,0,SUMPRODUCT($AI$15:$DF$15,'Staff Daily sales'!$G327:$CD327))</f>
        <v>0</v>
      </c>
      <c r="V342">
        <f>IF($E342=0,0,SUMPRODUCT($AI$16:$DF$16,'Staff Daily sales'!$G327:$CD327))</f>
        <v>0</v>
      </c>
      <c r="W342">
        <f t="shared" si="111"/>
        <v>31974.58</v>
      </c>
      <c r="X342">
        <f t="shared" si="112"/>
        <v>41873.760000000002</v>
      </c>
      <c r="Y342">
        <f t="shared" si="113"/>
        <v>30989.239999999998</v>
      </c>
      <c r="Z342">
        <f t="shared" si="114"/>
        <v>26353.66</v>
      </c>
      <c r="AA342">
        <f t="shared" si="115"/>
        <v>4781.99</v>
      </c>
      <c r="AB342">
        <f>--AND($E342=1,OR('Staff Weekly Trend'!$B$3="All",$DH342='Staff Weekly Trend'!$B$3),OR('Staff Weekly Trend'!$B$4="All",$D342='Staff Weekly Trend'!$B$4),OR('Staff Weekly Trend'!$B$5="All",$A342='Staff Weekly Trend'!$B$5))</f>
        <v>1</v>
      </c>
      <c r="AC342" t="str">
        <f t="shared" si="116"/>
        <v/>
      </c>
      <c r="AI342">
        <f t="shared" si="117"/>
        <v>273</v>
      </c>
      <c r="AJ342">
        <f t="shared" si="118"/>
        <v>307</v>
      </c>
      <c r="AK342">
        <f t="shared" si="119"/>
        <v>240</v>
      </c>
      <c r="AL342">
        <f t="shared" si="120"/>
        <v>175</v>
      </c>
      <c r="AM342">
        <f t="shared" si="121"/>
        <v>31</v>
      </c>
      <c r="DH342" t="str" cm="1">
        <f t="array" ref="DH342">IF($A342="","",_xlfn.LET(_xlpm.c,IFERROR(_xlfn.XLOOKUP($A342,TRIM('Sales and count'!$A$4:$A$300&amp;""),TRIM('Sales and count'!$B$4:$B$300&amp;"")),""),IF(OR(_xlpm.c="",_xlpm.c="0",LEFT(_xlpm.c,1)="#"),"Not set",_xlpm.c)))</f>
        <v>KSA</v>
      </c>
    </row>
    <row r="343" spans="1:112" x14ac:dyDescent="0.25">
      <c r="A343" t="str">
        <f>IF('Staff Daily sales'!$B328="","",TRIM('Staff Daily sales'!$B328&amp;""))</f>
        <v>HARASHABH</v>
      </c>
      <c r="B343" t="str">
        <f>IF('Staff Daily sales'!$D328="","",TRIM('Staff Daily sales'!$D328&amp;""))</f>
        <v>3395-Saad Al-Ahmari</v>
      </c>
      <c r="C343" t="str">
        <f>IFERROR(TRIM('Staff Daily sales'!$E328&amp;""),"")</f>
        <v>Abha</v>
      </c>
      <c r="D343" t="str">
        <f>IFERROR(IF(TRIM('Staff Daily sales'!$F328&amp;"")="","Unassigned",TRIM('Staff Daily sales'!$F328&amp;"")),"Unassigned")</f>
        <v>Ahmed Jaffari</v>
      </c>
      <c r="E343">
        <f t="shared" si="106"/>
        <v>1</v>
      </c>
      <c r="F343">
        <f>IF($E343=0,0,SUMPRODUCT($AI$5:$DF$5,'Staff Daily sales'!$G328:$CD328))</f>
        <v>632.94000000000005</v>
      </c>
      <c r="G343">
        <f>IF($E343=0,0,SUMPRODUCT($AI$6:$DF$6,'Staff Daily sales'!$G328:$CD328))</f>
        <v>3</v>
      </c>
      <c r="H343">
        <f t="shared" si="107"/>
        <v>3140.88</v>
      </c>
      <c r="I343">
        <f t="shared" si="108"/>
        <v>23</v>
      </c>
      <c r="J343">
        <f t="shared" si="109"/>
        <v>44058.899999999994</v>
      </c>
      <c r="K343">
        <f t="shared" si="110"/>
        <v>244</v>
      </c>
      <c r="L343">
        <f>--AND($E343=1,OR('Staff Dashboard'!$B$6="All",$DH343='Staff Dashboard'!$B$6),OR('Staff Dashboard'!$B$7="All",$D343='Staff Dashboard'!$B$7),OR('Staff Dashboard'!$B$8="All",$A343='Staff Dashboard'!$B$8))</f>
        <v>0</v>
      </c>
      <c r="M343">
        <f>IF($E343=0,0,SUMPRODUCT($AI$7:$DF$7,'Staff Daily sales'!$G328:$CD328))</f>
        <v>0</v>
      </c>
      <c r="N343">
        <f>IF($E343=0,0,SUMPRODUCT($AI$8:$DF$8,'Staff Daily sales'!$G328:$CD328))</f>
        <v>0</v>
      </c>
      <c r="O343">
        <f>IF($E343=0,0,SUMPRODUCT($AI$9:$DF$9,'Staff Daily sales'!$G328:$CD328))</f>
        <v>0</v>
      </c>
      <c r="P343">
        <f>IF($E343=0,0,SUMPRODUCT($AI$10:$DF$10,'Staff Daily sales'!$G328:$CD328))</f>
        <v>0</v>
      </c>
      <c r="Q343">
        <f>IF($E343=0,0,SUMPRODUCT($AI$11:$DF$11,'Staff Daily sales'!$G328:$CD328))</f>
        <v>7404.1</v>
      </c>
      <c r="R343">
        <f>IF($E343=0,0,SUMPRODUCT($AI$12:$DF$12,'Staff Daily sales'!$G328:$CD328))</f>
        <v>58</v>
      </c>
      <c r="S343">
        <f>IF($E343=0,0,SUMPRODUCT($AI$13:$DF$13,'Staff Daily sales'!$G328:$CD328))</f>
        <v>7663.01</v>
      </c>
      <c r="T343">
        <f>IF($E343=0,0,SUMPRODUCT($AI$14:$DF$14,'Staff Daily sales'!$G328:$CD328))</f>
        <v>40</v>
      </c>
      <c r="U343">
        <f>IF($E343=0,0,SUMPRODUCT($AI$15:$DF$15,'Staff Daily sales'!$G328:$CD328))</f>
        <v>150</v>
      </c>
      <c r="V343">
        <f>IF($E343=0,0,SUMPRODUCT($AI$16:$DF$16,'Staff Daily sales'!$G328:$CD328))</f>
        <v>2</v>
      </c>
      <c r="W343">
        <f t="shared" si="111"/>
        <v>31974.58</v>
      </c>
      <c r="X343">
        <f t="shared" si="112"/>
        <v>41873.760000000002</v>
      </c>
      <c r="Y343">
        <f t="shared" si="113"/>
        <v>30989.239999999998</v>
      </c>
      <c r="Z343">
        <f t="shared" si="114"/>
        <v>26353.66</v>
      </c>
      <c r="AA343">
        <f t="shared" si="115"/>
        <v>4781.99</v>
      </c>
      <c r="AB343">
        <f>--AND($E343=1,OR('Staff Weekly Trend'!$B$3="All",$DH343='Staff Weekly Trend'!$B$3),OR('Staff Weekly Trend'!$B$4="All",$D343='Staff Weekly Trend'!$B$4),OR('Staff Weekly Trend'!$B$5="All",$A343='Staff Weekly Trend'!$B$5))</f>
        <v>1</v>
      </c>
      <c r="AC343">
        <f t="shared" si="116"/>
        <v>2</v>
      </c>
      <c r="AI343">
        <f t="shared" si="117"/>
        <v>273</v>
      </c>
      <c r="AJ343">
        <f t="shared" si="118"/>
        <v>307</v>
      </c>
      <c r="AK343">
        <f t="shared" si="119"/>
        <v>240</v>
      </c>
      <c r="AL343">
        <f t="shared" si="120"/>
        <v>175</v>
      </c>
      <c r="AM343">
        <f t="shared" si="121"/>
        <v>31</v>
      </c>
      <c r="DH343" t="str" cm="1">
        <f t="array" ref="DH343">IF($A343="","",_xlfn.LET(_xlpm.c,IFERROR(_xlfn.XLOOKUP($A343,TRIM('Sales and count'!$A$4:$A$300&amp;""),TRIM('Sales and count'!$B$4:$B$300&amp;"")),""),IF(OR(_xlpm.c="",_xlpm.c="0",LEFT(_xlpm.c,1)="#"),"Not set",_xlpm.c)))</f>
        <v>KSA</v>
      </c>
    </row>
    <row r="344" spans="1:112" x14ac:dyDescent="0.25">
      <c r="A344" t="str">
        <f>IF('Staff Daily sales'!$B329="","",TRIM('Staff Daily sales'!$B329&amp;""))</f>
        <v>HARASHABH</v>
      </c>
      <c r="B344" t="str">
        <f>IF('Staff Daily sales'!$D329="","",TRIM('Staff Daily sales'!$D329&amp;""))</f>
        <v>3414-Talal Alqahtani</v>
      </c>
      <c r="C344" t="str">
        <f>IFERROR(TRIM('Staff Daily sales'!$E329&amp;""),"")</f>
        <v>Abha</v>
      </c>
      <c r="D344" t="str">
        <f>IFERROR(IF(TRIM('Staff Daily sales'!$F329&amp;"")="","Unassigned",TRIM('Staff Daily sales'!$F329&amp;"")),"Unassigned")</f>
        <v>Ahmed Jaffari</v>
      </c>
      <c r="E344">
        <f t="shared" si="106"/>
        <v>1</v>
      </c>
      <c r="F344">
        <f>IF($E344=0,0,SUMPRODUCT($AI$5:$DF$5,'Staff Daily sales'!$G329:$CD329))</f>
        <v>1922.98</v>
      </c>
      <c r="G344">
        <f>IF($E344=0,0,SUMPRODUCT($AI$6:$DF$6,'Staff Daily sales'!$G329:$CD329))</f>
        <v>16</v>
      </c>
      <c r="H344">
        <f t="shared" si="107"/>
        <v>3140.88</v>
      </c>
      <c r="I344">
        <f t="shared" si="108"/>
        <v>23</v>
      </c>
      <c r="J344">
        <f t="shared" si="109"/>
        <v>44058.899999999994</v>
      </c>
      <c r="K344">
        <f t="shared" si="110"/>
        <v>244</v>
      </c>
      <c r="L344">
        <f>--AND($E344=1,OR('Staff Dashboard'!$B$6="All",$DH344='Staff Dashboard'!$B$6),OR('Staff Dashboard'!$B$7="All",$D344='Staff Dashboard'!$B$7),OR('Staff Dashboard'!$B$8="All",$A344='Staff Dashboard'!$B$8))</f>
        <v>0</v>
      </c>
      <c r="M344">
        <f>IF($E344=0,0,SUMPRODUCT($AI$7:$DF$7,'Staff Daily sales'!$G329:$CD329))</f>
        <v>7072.1100000000006</v>
      </c>
      <c r="N344">
        <f>IF($E344=0,0,SUMPRODUCT($AI$8:$DF$8,'Staff Daily sales'!$G329:$CD329))</f>
        <v>55</v>
      </c>
      <c r="O344">
        <f>IF($E344=0,0,SUMPRODUCT($AI$9:$DF$9,'Staff Daily sales'!$G329:$CD329))</f>
        <v>6284.15</v>
      </c>
      <c r="P344">
        <f>IF($E344=0,0,SUMPRODUCT($AI$10:$DF$10,'Staff Daily sales'!$G329:$CD329))</f>
        <v>44</v>
      </c>
      <c r="Q344">
        <f>IF($E344=0,0,SUMPRODUCT($AI$11:$DF$11,'Staff Daily sales'!$G329:$CD329))</f>
        <v>5673.04</v>
      </c>
      <c r="R344">
        <f>IF($E344=0,0,SUMPRODUCT($AI$12:$DF$12,'Staff Daily sales'!$G329:$CD329))</f>
        <v>41</v>
      </c>
      <c r="S344">
        <f>IF($E344=0,0,SUMPRODUCT($AI$13:$DF$13,'Staff Daily sales'!$G329:$CD329))</f>
        <v>12380.81</v>
      </c>
      <c r="T344">
        <f>IF($E344=0,0,SUMPRODUCT($AI$14:$DF$14,'Staff Daily sales'!$G329:$CD329))</f>
        <v>100</v>
      </c>
      <c r="U344">
        <f>IF($E344=0,0,SUMPRODUCT($AI$15:$DF$15,'Staff Daily sales'!$G329:$CD329))</f>
        <v>2072</v>
      </c>
      <c r="V344">
        <f>IF($E344=0,0,SUMPRODUCT($AI$16:$DF$16,'Staff Daily sales'!$G329:$CD329))</f>
        <v>12</v>
      </c>
      <c r="W344">
        <f t="shared" si="111"/>
        <v>31974.58</v>
      </c>
      <c r="X344">
        <f t="shared" si="112"/>
        <v>41873.760000000002</v>
      </c>
      <c r="Y344">
        <f t="shared" si="113"/>
        <v>30989.239999999998</v>
      </c>
      <c r="Z344">
        <f t="shared" si="114"/>
        <v>26353.66</v>
      </c>
      <c r="AA344">
        <f t="shared" si="115"/>
        <v>4781.99</v>
      </c>
      <c r="AB344">
        <f>--AND($E344=1,OR('Staff Weekly Trend'!$B$3="All",$DH344='Staff Weekly Trend'!$B$3),OR('Staff Weekly Trend'!$B$4="All",$D344='Staff Weekly Trend'!$B$4),OR('Staff Weekly Trend'!$B$5="All",$A344='Staff Weekly Trend'!$B$5))</f>
        <v>1</v>
      </c>
      <c r="AC344">
        <f t="shared" si="116"/>
        <v>1</v>
      </c>
      <c r="AI344">
        <f t="shared" si="117"/>
        <v>273</v>
      </c>
      <c r="AJ344">
        <f t="shared" si="118"/>
        <v>307</v>
      </c>
      <c r="AK344">
        <f t="shared" si="119"/>
        <v>240</v>
      </c>
      <c r="AL344">
        <f t="shared" si="120"/>
        <v>175</v>
      </c>
      <c r="AM344">
        <f t="shared" si="121"/>
        <v>31</v>
      </c>
      <c r="DH344" t="str" cm="1">
        <f t="array" ref="DH344">IF($A344="","",_xlfn.LET(_xlpm.c,IFERROR(_xlfn.XLOOKUP($A344,TRIM('Sales and count'!$A$4:$A$300&amp;""),TRIM('Sales and count'!$B$4:$B$300&amp;"")),""),IF(OR(_xlpm.c="",_xlpm.c="0",LEFT(_xlpm.c,1)="#"),"Not set",_xlpm.c)))</f>
        <v>KSA</v>
      </c>
    </row>
    <row r="345" spans="1:112" x14ac:dyDescent="0.25">
      <c r="A345" t="str">
        <f>IF('Staff Daily sales'!$B330="","",TRIM('Staff Daily sales'!$B330&amp;""))</f>
        <v>HARASHABH</v>
      </c>
      <c r="B345" t="str">
        <f>IF('Staff Daily sales'!$D330="","",TRIM('Staff Daily sales'!$D330&amp;""))</f>
        <v>3415-Tariq Alqahtani</v>
      </c>
      <c r="C345" t="str">
        <f>IFERROR(TRIM('Staff Daily sales'!$E330&amp;""),"")</f>
        <v>Abha</v>
      </c>
      <c r="D345" t="str">
        <f>IFERROR(IF(TRIM('Staff Daily sales'!$F330&amp;"")="","Unassigned",TRIM('Staff Daily sales'!$F330&amp;"")),"Unassigned")</f>
        <v>Ahmed Jaffari</v>
      </c>
      <c r="E345">
        <f t="shared" si="106"/>
        <v>1</v>
      </c>
      <c r="F345">
        <f>IF($E345=0,0,SUMPRODUCT($AI$5:$DF$5,'Staff Daily sales'!$G330:$CD330))</f>
        <v>0</v>
      </c>
      <c r="G345">
        <f>IF($E345=0,0,SUMPRODUCT($AI$6:$DF$6,'Staff Daily sales'!$G330:$CD330))</f>
        <v>0</v>
      </c>
      <c r="H345">
        <f t="shared" si="107"/>
        <v>3140.88</v>
      </c>
      <c r="I345">
        <f t="shared" si="108"/>
        <v>23</v>
      </c>
      <c r="J345">
        <f t="shared" si="109"/>
        <v>44058.899999999994</v>
      </c>
      <c r="K345">
        <f t="shared" si="110"/>
        <v>244</v>
      </c>
      <c r="L345">
        <f>--AND($E345=1,OR('Staff Dashboard'!$B$6="All",$DH345='Staff Dashboard'!$B$6),OR('Staff Dashboard'!$B$7="All",$D345='Staff Dashboard'!$B$7),OR('Staff Dashboard'!$B$8="All",$A345='Staff Dashboard'!$B$8))</f>
        <v>0</v>
      </c>
      <c r="M345">
        <f>IF($E345=0,0,SUMPRODUCT($AI$7:$DF$7,'Staff Daily sales'!$G330:$CD330))</f>
        <v>4331.09</v>
      </c>
      <c r="N345">
        <f>IF($E345=0,0,SUMPRODUCT($AI$8:$DF$8,'Staff Daily sales'!$G330:$CD330))</f>
        <v>35</v>
      </c>
      <c r="O345">
        <f>IF($E345=0,0,SUMPRODUCT($AI$9:$DF$9,'Staff Daily sales'!$G330:$CD330))</f>
        <v>7795.09</v>
      </c>
      <c r="P345">
        <f>IF($E345=0,0,SUMPRODUCT($AI$10:$DF$10,'Staff Daily sales'!$G330:$CD330))</f>
        <v>52</v>
      </c>
      <c r="Q345">
        <f>IF($E345=0,0,SUMPRODUCT($AI$11:$DF$11,'Staff Daily sales'!$G330:$CD330))</f>
        <v>3327</v>
      </c>
      <c r="R345">
        <f>IF($E345=0,0,SUMPRODUCT($AI$12:$DF$12,'Staff Daily sales'!$G330:$CD330))</f>
        <v>23</v>
      </c>
      <c r="S345">
        <f>IF($E345=0,0,SUMPRODUCT($AI$13:$DF$13,'Staff Daily sales'!$G330:$CD330))</f>
        <v>0</v>
      </c>
      <c r="T345">
        <f>IF($E345=0,0,SUMPRODUCT($AI$14:$DF$14,'Staff Daily sales'!$G330:$CD330))</f>
        <v>0</v>
      </c>
      <c r="U345">
        <f>IF($E345=0,0,SUMPRODUCT($AI$15:$DF$15,'Staff Daily sales'!$G330:$CD330))</f>
        <v>75</v>
      </c>
      <c r="V345">
        <f>IF($E345=0,0,SUMPRODUCT($AI$16:$DF$16,'Staff Daily sales'!$G330:$CD330))</f>
        <v>1</v>
      </c>
      <c r="W345">
        <f t="shared" si="111"/>
        <v>31974.58</v>
      </c>
      <c r="X345">
        <f t="shared" si="112"/>
        <v>41873.760000000002</v>
      </c>
      <c r="Y345">
        <f t="shared" si="113"/>
        <v>30989.239999999998</v>
      </c>
      <c r="Z345">
        <f t="shared" si="114"/>
        <v>26353.66</v>
      </c>
      <c r="AA345">
        <f t="shared" si="115"/>
        <v>4781.99</v>
      </c>
      <c r="AB345">
        <f>--AND($E345=1,OR('Staff Weekly Trend'!$B$3="All",$DH345='Staff Weekly Trend'!$B$3),OR('Staff Weekly Trend'!$B$4="All",$D345='Staff Weekly Trend'!$B$4),OR('Staff Weekly Trend'!$B$5="All",$A345='Staff Weekly Trend'!$B$5))</f>
        <v>1</v>
      </c>
      <c r="AC345" t="str">
        <f t="shared" si="116"/>
        <v/>
      </c>
      <c r="AI345">
        <f t="shared" si="117"/>
        <v>273</v>
      </c>
      <c r="AJ345">
        <f t="shared" si="118"/>
        <v>307</v>
      </c>
      <c r="AK345">
        <f t="shared" si="119"/>
        <v>240</v>
      </c>
      <c r="AL345">
        <f t="shared" si="120"/>
        <v>175</v>
      </c>
      <c r="AM345">
        <f t="shared" si="121"/>
        <v>31</v>
      </c>
      <c r="DH345" t="str" cm="1">
        <f t="array" ref="DH345">IF($A345="","",_xlfn.LET(_xlpm.c,IFERROR(_xlfn.XLOOKUP($A345,TRIM('Sales and count'!$A$4:$A$300&amp;""),TRIM('Sales and count'!$B$4:$B$300&amp;"")),""),IF(OR(_xlpm.c="",_xlpm.c="0",LEFT(_xlpm.c,1)="#"),"Not set",_xlpm.c)))</f>
        <v>KSA</v>
      </c>
    </row>
    <row r="346" spans="1:112" x14ac:dyDescent="0.25">
      <c r="A346" t="str">
        <f>IF('Staff Daily sales'!$B331="","",TRIM('Staff Daily sales'!$B331&amp;""))</f>
        <v>HARASHABH</v>
      </c>
      <c r="B346" t="str">
        <f>IF('Staff Daily sales'!$D331="","",TRIM('Staff Daily sales'!$D331&amp;""))</f>
        <v>3438-Sharifa Sahari</v>
      </c>
      <c r="C346" t="str">
        <f>IFERROR(TRIM('Staff Daily sales'!$E331&amp;""),"")</f>
        <v>Abha</v>
      </c>
      <c r="D346" t="str">
        <f>IFERROR(IF(TRIM('Staff Daily sales'!$F331&amp;"")="","Unassigned",TRIM('Staff Daily sales'!$F331&amp;"")),"Unassigned")</f>
        <v>Ahmed Jaffari</v>
      </c>
      <c r="E346">
        <f t="shared" si="106"/>
        <v>1</v>
      </c>
      <c r="F346">
        <f>IF($E346=0,0,SUMPRODUCT($AI$5:$DF$5,'Staff Daily sales'!$G331:$CD331))</f>
        <v>0</v>
      </c>
      <c r="G346">
        <f>IF($E346=0,0,SUMPRODUCT($AI$6:$DF$6,'Staff Daily sales'!$G331:$CD331))</f>
        <v>0</v>
      </c>
      <c r="H346">
        <f t="shared" si="107"/>
        <v>3140.88</v>
      </c>
      <c r="I346">
        <f t="shared" si="108"/>
        <v>23</v>
      </c>
      <c r="J346">
        <f t="shared" si="109"/>
        <v>44058.899999999994</v>
      </c>
      <c r="K346">
        <f t="shared" si="110"/>
        <v>244</v>
      </c>
      <c r="L346">
        <f>--AND($E346=1,OR('Staff Dashboard'!$B$6="All",$DH346='Staff Dashboard'!$B$6),OR('Staff Dashboard'!$B$7="All",$D346='Staff Dashboard'!$B$7),OR('Staff Dashboard'!$B$8="All",$A346='Staff Dashboard'!$B$8))</f>
        <v>0</v>
      </c>
      <c r="M346">
        <f>IF($E346=0,0,SUMPRODUCT($AI$7:$DF$7,'Staff Daily sales'!$G331:$CD331))</f>
        <v>8125.1500000000005</v>
      </c>
      <c r="N346">
        <f>IF($E346=0,0,SUMPRODUCT($AI$8:$DF$8,'Staff Daily sales'!$G331:$CD331))</f>
        <v>74</v>
      </c>
      <c r="O346">
        <f>IF($E346=0,0,SUMPRODUCT($AI$9:$DF$9,'Staff Daily sales'!$G331:$CD331))</f>
        <v>8567.14</v>
      </c>
      <c r="P346">
        <f>IF($E346=0,0,SUMPRODUCT($AI$10:$DF$10,'Staff Daily sales'!$G331:$CD331))</f>
        <v>71</v>
      </c>
      <c r="Q346">
        <f>IF($E346=0,0,SUMPRODUCT($AI$11:$DF$11,'Staff Daily sales'!$G331:$CD331))</f>
        <v>5881</v>
      </c>
      <c r="R346">
        <f>IF($E346=0,0,SUMPRODUCT($AI$12:$DF$12,'Staff Daily sales'!$G331:$CD331))</f>
        <v>47</v>
      </c>
      <c r="S346">
        <f>IF($E346=0,0,SUMPRODUCT($AI$13:$DF$13,'Staff Daily sales'!$G331:$CD331))</f>
        <v>0</v>
      </c>
      <c r="T346">
        <f>IF($E346=0,0,SUMPRODUCT($AI$14:$DF$14,'Staff Daily sales'!$G331:$CD331))</f>
        <v>0</v>
      </c>
      <c r="U346">
        <f>IF($E346=0,0,SUMPRODUCT($AI$15:$DF$15,'Staff Daily sales'!$G331:$CD331))</f>
        <v>401.02</v>
      </c>
      <c r="V346">
        <f>IF($E346=0,0,SUMPRODUCT($AI$16:$DF$16,'Staff Daily sales'!$G331:$CD331))</f>
        <v>3</v>
      </c>
      <c r="W346">
        <f t="shared" si="111"/>
        <v>31974.58</v>
      </c>
      <c r="X346">
        <f t="shared" si="112"/>
        <v>41873.760000000002</v>
      </c>
      <c r="Y346">
        <f t="shared" si="113"/>
        <v>30989.239999999998</v>
      </c>
      <c r="Z346">
        <f t="shared" si="114"/>
        <v>26353.66</v>
      </c>
      <c r="AA346">
        <f t="shared" si="115"/>
        <v>4781.99</v>
      </c>
      <c r="AB346">
        <f>--AND($E346=1,OR('Staff Weekly Trend'!$B$3="All",$DH346='Staff Weekly Trend'!$B$3),OR('Staff Weekly Trend'!$B$4="All",$D346='Staff Weekly Trend'!$B$4),OR('Staff Weekly Trend'!$B$5="All",$A346='Staff Weekly Trend'!$B$5))</f>
        <v>1</v>
      </c>
      <c r="AC346" t="str">
        <f t="shared" si="116"/>
        <v/>
      </c>
      <c r="AI346">
        <f t="shared" si="117"/>
        <v>273</v>
      </c>
      <c r="AJ346">
        <f t="shared" si="118"/>
        <v>307</v>
      </c>
      <c r="AK346">
        <f t="shared" si="119"/>
        <v>240</v>
      </c>
      <c r="AL346">
        <f t="shared" si="120"/>
        <v>175</v>
      </c>
      <c r="AM346">
        <f t="shared" si="121"/>
        <v>31</v>
      </c>
      <c r="DH346" t="str" cm="1">
        <f t="array" ref="DH346">IF($A346="","",_xlfn.LET(_xlpm.c,IFERROR(_xlfn.XLOOKUP($A346,TRIM('Sales and count'!$A$4:$A$300&amp;""),TRIM('Sales and count'!$B$4:$B$300&amp;"")),""),IF(OR(_xlpm.c="",_xlpm.c="0",LEFT(_xlpm.c,1)="#"),"Not set",_xlpm.c)))</f>
        <v>KSA</v>
      </c>
    </row>
    <row r="347" spans="1:112" x14ac:dyDescent="0.25">
      <c r="A347" t="str">
        <f>IF('Staff Daily sales'!$B332="","",TRIM('Staff Daily sales'!$B332&amp;""))</f>
        <v>HARASHABH</v>
      </c>
      <c r="B347" t="str">
        <f>IF('Staff Daily sales'!$D332="","",TRIM('Staff Daily sales'!$D332&amp;""))</f>
        <v>3473-FAlQutb</v>
      </c>
      <c r="C347" t="str">
        <f>IFERROR(TRIM('Staff Daily sales'!$E332&amp;""),"")</f>
        <v>Abha</v>
      </c>
      <c r="D347" t="str">
        <f>IFERROR(IF(TRIM('Staff Daily sales'!$F332&amp;"")="","Unassigned",TRIM('Staff Daily sales'!$F332&amp;"")),"Unassigned")</f>
        <v>Ahmed Jaffari</v>
      </c>
      <c r="E347">
        <f t="shared" si="106"/>
        <v>1</v>
      </c>
      <c r="F347">
        <f>IF($E347=0,0,SUMPRODUCT($AI$5:$DF$5,'Staff Daily sales'!$G332:$CD332))</f>
        <v>584.96</v>
      </c>
      <c r="G347">
        <f>IF($E347=0,0,SUMPRODUCT($AI$6:$DF$6,'Staff Daily sales'!$G332:$CD332))</f>
        <v>4</v>
      </c>
      <c r="H347">
        <f t="shared" si="107"/>
        <v>3140.88</v>
      </c>
      <c r="I347">
        <f t="shared" si="108"/>
        <v>23</v>
      </c>
      <c r="J347">
        <f t="shared" si="109"/>
        <v>44058.899999999994</v>
      </c>
      <c r="K347">
        <f t="shared" si="110"/>
        <v>244</v>
      </c>
      <c r="L347">
        <f>--AND($E347=1,OR('Staff Dashboard'!$B$6="All",$DH347='Staff Dashboard'!$B$6),OR('Staff Dashboard'!$B$7="All",$D347='Staff Dashboard'!$B$7),OR('Staff Dashboard'!$B$8="All",$A347='Staff Dashboard'!$B$8))</f>
        <v>0</v>
      </c>
      <c r="M347">
        <f>IF($E347=0,0,SUMPRODUCT($AI$7:$DF$7,'Staff Daily sales'!$G332:$CD332))</f>
        <v>8801.18</v>
      </c>
      <c r="N347">
        <f>IF($E347=0,0,SUMPRODUCT($AI$8:$DF$8,'Staff Daily sales'!$G332:$CD332))</f>
        <v>83</v>
      </c>
      <c r="O347">
        <f>IF($E347=0,0,SUMPRODUCT($AI$9:$DF$9,'Staff Daily sales'!$G332:$CD332))</f>
        <v>10489.19</v>
      </c>
      <c r="P347">
        <f>IF($E347=0,0,SUMPRODUCT($AI$10:$DF$10,'Staff Daily sales'!$G332:$CD332))</f>
        <v>74</v>
      </c>
      <c r="Q347">
        <f>IF($E347=0,0,SUMPRODUCT($AI$11:$DF$11,'Staff Daily sales'!$G332:$CD332))</f>
        <v>4126.03</v>
      </c>
      <c r="R347">
        <f>IF($E347=0,0,SUMPRODUCT($AI$12:$DF$12,'Staff Daily sales'!$G332:$CD332))</f>
        <v>29</v>
      </c>
      <c r="S347">
        <f>IF($E347=0,0,SUMPRODUCT($AI$13:$DF$13,'Staff Daily sales'!$G332:$CD332))</f>
        <v>6309.84</v>
      </c>
      <c r="T347">
        <f>IF($E347=0,0,SUMPRODUCT($AI$14:$DF$14,'Staff Daily sales'!$G332:$CD332))</f>
        <v>35</v>
      </c>
      <c r="U347">
        <f>IF($E347=0,0,SUMPRODUCT($AI$15:$DF$15,'Staff Daily sales'!$G332:$CD332))</f>
        <v>2083.9700000000003</v>
      </c>
      <c r="V347">
        <f>IF($E347=0,0,SUMPRODUCT($AI$16:$DF$16,'Staff Daily sales'!$G332:$CD332))</f>
        <v>13</v>
      </c>
      <c r="W347">
        <f t="shared" si="111"/>
        <v>31974.58</v>
      </c>
      <c r="X347">
        <f t="shared" si="112"/>
        <v>41873.760000000002</v>
      </c>
      <c r="Y347">
        <f t="shared" si="113"/>
        <v>30989.239999999998</v>
      </c>
      <c r="Z347">
        <f t="shared" si="114"/>
        <v>26353.66</v>
      </c>
      <c r="AA347">
        <f t="shared" si="115"/>
        <v>4781.99</v>
      </c>
      <c r="AB347">
        <f>--AND($E347=1,OR('Staff Weekly Trend'!$B$3="All",$DH347='Staff Weekly Trend'!$B$3),OR('Staff Weekly Trend'!$B$4="All",$D347='Staff Weekly Trend'!$B$4),OR('Staff Weekly Trend'!$B$5="All",$A347='Staff Weekly Trend'!$B$5))</f>
        <v>1</v>
      </c>
      <c r="AC347">
        <f t="shared" si="116"/>
        <v>3</v>
      </c>
      <c r="AI347">
        <f t="shared" si="117"/>
        <v>273</v>
      </c>
      <c r="AJ347">
        <f t="shared" si="118"/>
        <v>307</v>
      </c>
      <c r="AK347">
        <f t="shared" si="119"/>
        <v>240</v>
      </c>
      <c r="AL347">
        <f t="shared" si="120"/>
        <v>175</v>
      </c>
      <c r="AM347">
        <f t="shared" si="121"/>
        <v>31</v>
      </c>
      <c r="DH347" t="str" cm="1">
        <f t="array" ref="DH347">IF($A347="","",_xlfn.LET(_xlpm.c,IFERROR(_xlfn.XLOOKUP($A347,TRIM('Sales and count'!$A$4:$A$300&amp;""),TRIM('Sales and count'!$B$4:$B$300&amp;"")),""),IF(OR(_xlpm.c="",_xlpm.c="0",LEFT(_xlpm.c,1)="#"),"Not set",_xlpm.c)))</f>
        <v>KSA</v>
      </c>
    </row>
    <row r="348" spans="1:112" x14ac:dyDescent="0.25">
      <c r="A348" t="str">
        <f>IF('Staff Daily sales'!$B333="","",TRIM('Staff Daily sales'!$B333&amp;""))</f>
        <v>HAKADIMALL</v>
      </c>
      <c r="B348" t="str">
        <f>IF('Staff Daily sales'!$D333="","",TRIM('Staff Daily sales'!$D333&amp;""))</f>
        <v>4398-NHakami</v>
      </c>
      <c r="C348" t="str">
        <f>IFERROR(TRIM('Staff Daily sales'!$E333&amp;""),"")</f>
        <v>Jizan</v>
      </c>
      <c r="D348" t="str">
        <f>IFERROR(IF(TRIM('Staff Daily sales'!$F333&amp;"")="","Unassigned",TRIM('Staff Daily sales'!$F333&amp;"")),"Unassigned")</f>
        <v>Ahmed Jaffari</v>
      </c>
      <c r="E348">
        <f t="shared" si="106"/>
        <v>1</v>
      </c>
      <c r="F348">
        <f>IF($E348=0,0,SUMPRODUCT($AI$5:$DF$5,'Staff Daily sales'!$G333:$CD333))</f>
        <v>75</v>
      </c>
      <c r="G348">
        <f>IF($E348=0,0,SUMPRODUCT($AI$6:$DF$6,'Staff Daily sales'!$G333:$CD333))</f>
        <v>1</v>
      </c>
      <c r="H348">
        <f t="shared" si="107"/>
        <v>3576.79</v>
      </c>
      <c r="I348">
        <f t="shared" si="108"/>
        <v>22</v>
      </c>
      <c r="J348">
        <f t="shared" si="109"/>
        <v>44058.899999999994</v>
      </c>
      <c r="K348">
        <f t="shared" si="110"/>
        <v>244</v>
      </c>
      <c r="L348">
        <f>--AND($E348=1,OR('Staff Dashboard'!$B$6="All",$DH348='Staff Dashboard'!$B$6),OR('Staff Dashboard'!$B$7="All",$D348='Staff Dashboard'!$B$7),OR('Staff Dashboard'!$B$8="All",$A348='Staff Dashboard'!$B$8))</f>
        <v>0</v>
      </c>
      <c r="M348">
        <f>IF($E348=0,0,SUMPRODUCT($AI$7:$DF$7,'Staff Daily sales'!$G333:$CD333))</f>
        <v>6315.14</v>
      </c>
      <c r="N348">
        <f>IF($E348=0,0,SUMPRODUCT($AI$8:$DF$8,'Staff Daily sales'!$G333:$CD333))</f>
        <v>52</v>
      </c>
      <c r="O348">
        <f>IF($E348=0,0,SUMPRODUCT($AI$9:$DF$9,'Staff Daily sales'!$G333:$CD333))</f>
        <v>7092.13</v>
      </c>
      <c r="P348">
        <f>IF($E348=0,0,SUMPRODUCT($AI$10:$DF$10,'Staff Daily sales'!$G333:$CD333))</f>
        <v>56</v>
      </c>
      <c r="Q348">
        <f>IF($E348=0,0,SUMPRODUCT($AI$11:$DF$11,'Staff Daily sales'!$G333:$CD333))</f>
        <v>6791.0599999999995</v>
      </c>
      <c r="R348">
        <f>IF($E348=0,0,SUMPRODUCT($AI$12:$DF$12,'Staff Daily sales'!$G333:$CD333))</f>
        <v>50</v>
      </c>
      <c r="S348">
        <f>IF($E348=0,0,SUMPRODUCT($AI$13:$DF$13,'Staff Daily sales'!$G333:$CD333))</f>
        <v>2075.9899999999998</v>
      </c>
      <c r="T348">
        <f>IF($E348=0,0,SUMPRODUCT($AI$14:$DF$14,'Staff Daily sales'!$G333:$CD333))</f>
        <v>16</v>
      </c>
      <c r="U348">
        <f>IF($E348=0,0,SUMPRODUCT($AI$15:$DF$15,'Staff Daily sales'!$G333:$CD333))</f>
        <v>3121.01</v>
      </c>
      <c r="V348">
        <f>IF($E348=0,0,SUMPRODUCT($AI$16:$DF$16,'Staff Daily sales'!$G333:$CD333))</f>
        <v>20</v>
      </c>
      <c r="W348">
        <f t="shared" si="111"/>
        <v>22842.45</v>
      </c>
      <c r="X348">
        <f t="shared" si="112"/>
        <v>28559.500000000004</v>
      </c>
      <c r="Y348">
        <f t="shared" si="113"/>
        <v>21840.289999999997</v>
      </c>
      <c r="Z348">
        <f t="shared" si="114"/>
        <v>18226.580000000002</v>
      </c>
      <c r="AA348">
        <f t="shared" si="115"/>
        <v>4270.01</v>
      </c>
      <c r="AB348">
        <f>--AND($E348=1,OR('Staff Weekly Trend'!$B$3="All",$DH348='Staff Weekly Trend'!$B$3),OR('Staff Weekly Trend'!$B$4="All",$D348='Staff Weekly Trend'!$B$4),OR('Staff Weekly Trend'!$B$5="All",$A348='Staff Weekly Trend'!$B$5))</f>
        <v>1</v>
      </c>
      <c r="AC348">
        <f t="shared" si="116"/>
        <v>3</v>
      </c>
      <c r="AI348">
        <f t="shared" si="117"/>
        <v>175</v>
      </c>
      <c r="AJ348">
        <f t="shared" si="118"/>
        <v>197</v>
      </c>
      <c r="AK348">
        <f t="shared" si="119"/>
        <v>154</v>
      </c>
      <c r="AL348">
        <f t="shared" si="120"/>
        <v>117</v>
      </c>
      <c r="AM348">
        <f t="shared" si="121"/>
        <v>26</v>
      </c>
      <c r="DH348" t="str" cm="1">
        <f t="array" ref="DH348">IF($A348="","",_xlfn.LET(_xlpm.c,IFERROR(_xlfn.XLOOKUP($A348,TRIM('Sales and count'!$A$4:$A$300&amp;""),TRIM('Sales and count'!$B$4:$B$300&amp;"")),""),IF(OR(_xlpm.c="",_xlpm.c="0",LEFT(_xlpm.c,1)="#"),"Not set",_xlpm.c)))</f>
        <v>KSA</v>
      </c>
    </row>
    <row r="349" spans="1:112" x14ac:dyDescent="0.25">
      <c r="A349" t="str">
        <f>IF('Staff Daily sales'!$B334="","",TRIM('Staff Daily sales'!$B334&amp;""))</f>
        <v>HAKADIMALL</v>
      </c>
      <c r="B349" t="str">
        <f>IF('Staff Daily sales'!$D334="","",TRIM('Staff Daily sales'!$D334&amp;""))</f>
        <v>4400-BAlamri</v>
      </c>
      <c r="C349" t="str">
        <f>IFERROR(TRIM('Staff Daily sales'!$E334&amp;""),"")</f>
        <v>Jizan</v>
      </c>
      <c r="D349" t="str">
        <f>IFERROR(IF(TRIM('Staff Daily sales'!$F334&amp;"")="","Unassigned",TRIM('Staff Daily sales'!$F334&amp;"")),"Unassigned")</f>
        <v>Ahmed Jaffari</v>
      </c>
      <c r="E349">
        <f t="shared" si="106"/>
        <v>1</v>
      </c>
      <c r="F349">
        <f>IF($E349=0,0,SUMPRODUCT($AI$5:$DF$5,'Staff Daily sales'!$G334:$CD334))</f>
        <v>1108.94</v>
      </c>
      <c r="G349">
        <f>IF($E349=0,0,SUMPRODUCT($AI$6:$DF$6,'Staff Daily sales'!$G334:$CD334))</f>
        <v>8</v>
      </c>
      <c r="H349">
        <f t="shared" si="107"/>
        <v>3576.79</v>
      </c>
      <c r="I349">
        <f t="shared" si="108"/>
        <v>22</v>
      </c>
      <c r="J349">
        <f t="shared" si="109"/>
        <v>44058.899999999994</v>
      </c>
      <c r="K349">
        <f t="shared" si="110"/>
        <v>244</v>
      </c>
      <c r="L349">
        <f>--AND($E349=1,OR('Staff Dashboard'!$B$6="All",$DH349='Staff Dashboard'!$B$6),OR('Staff Dashboard'!$B$7="All",$D349='Staff Dashboard'!$B$7),OR('Staff Dashboard'!$B$8="All",$A349='Staff Dashboard'!$B$8))</f>
        <v>0</v>
      </c>
      <c r="M349">
        <f>IF($E349=0,0,SUMPRODUCT($AI$7:$DF$7,'Staff Daily sales'!$G334:$CD334))</f>
        <v>5249.1100000000006</v>
      </c>
      <c r="N349">
        <f>IF($E349=0,0,SUMPRODUCT($AI$8:$DF$8,'Staff Daily sales'!$G334:$CD334))</f>
        <v>42</v>
      </c>
      <c r="O349">
        <f>IF($E349=0,0,SUMPRODUCT($AI$9:$DF$9,'Staff Daily sales'!$G334:$CD334))</f>
        <v>7456.1100000000006</v>
      </c>
      <c r="P349">
        <f>IF($E349=0,0,SUMPRODUCT($AI$10:$DF$10,'Staff Daily sales'!$G334:$CD334))</f>
        <v>47</v>
      </c>
      <c r="Q349">
        <f>IF($E349=0,0,SUMPRODUCT($AI$11:$DF$11,'Staff Daily sales'!$G334:$CD334))</f>
        <v>2503.06</v>
      </c>
      <c r="R349">
        <f>IF($E349=0,0,SUMPRODUCT($AI$12:$DF$12,'Staff Daily sales'!$G334:$CD334))</f>
        <v>16</v>
      </c>
      <c r="S349">
        <f>IF($E349=0,0,SUMPRODUCT($AI$13:$DF$13,'Staff Daily sales'!$G334:$CD334))</f>
        <v>4223.8500000000004</v>
      </c>
      <c r="T349">
        <f>IF($E349=0,0,SUMPRODUCT($AI$14:$DF$14,'Staff Daily sales'!$G334:$CD334))</f>
        <v>26</v>
      </c>
      <c r="U349">
        <f>IF($E349=0,0,SUMPRODUCT($AI$15:$DF$15,'Staff Daily sales'!$G334:$CD334))</f>
        <v>642.97</v>
      </c>
      <c r="V349">
        <f>IF($E349=0,0,SUMPRODUCT($AI$16:$DF$16,'Staff Daily sales'!$G334:$CD334))</f>
        <v>3</v>
      </c>
      <c r="W349">
        <f t="shared" si="111"/>
        <v>22842.45</v>
      </c>
      <c r="X349">
        <f t="shared" si="112"/>
        <v>28559.500000000004</v>
      </c>
      <c r="Y349">
        <f t="shared" si="113"/>
        <v>21840.289999999997</v>
      </c>
      <c r="Z349">
        <f t="shared" si="114"/>
        <v>18226.580000000002</v>
      </c>
      <c r="AA349">
        <f t="shared" si="115"/>
        <v>4270.01</v>
      </c>
      <c r="AB349">
        <f>--AND($E349=1,OR('Staff Weekly Trend'!$B$3="All",$DH349='Staff Weekly Trend'!$B$3),OR('Staff Weekly Trend'!$B$4="All",$D349='Staff Weekly Trend'!$B$4),OR('Staff Weekly Trend'!$B$5="All",$A349='Staff Weekly Trend'!$B$5))</f>
        <v>1</v>
      </c>
      <c r="AC349">
        <f t="shared" si="116"/>
        <v>2</v>
      </c>
      <c r="AI349">
        <f t="shared" si="117"/>
        <v>175</v>
      </c>
      <c r="AJ349">
        <f t="shared" si="118"/>
        <v>197</v>
      </c>
      <c r="AK349">
        <f t="shared" si="119"/>
        <v>154</v>
      </c>
      <c r="AL349">
        <f t="shared" si="120"/>
        <v>117</v>
      </c>
      <c r="AM349">
        <f t="shared" si="121"/>
        <v>26</v>
      </c>
      <c r="DH349" t="str" cm="1">
        <f t="array" ref="DH349">IF($A349="","",_xlfn.LET(_xlpm.c,IFERROR(_xlfn.XLOOKUP($A349,TRIM('Sales and count'!$A$4:$A$300&amp;""),TRIM('Sales and count'!$B$4:$B$300&amp;"")),""),IF(OR(_xlpm.c="",_xlpm.c="0",LEFT(_xlpm.c,1)="#"),"Not set",_xlpm.c)))</f>
        <v>KSA</v>
      </c>
    </row>
    <row r="350" spans="1:112" x14ac:dyDescent="0.25">
      <c r="A350" t="str">
        <f>IF('Staff Daily sales'!$B335="","",TRIM('Staff Daily sales'!$B335&amp;""))</f>
        <v>HAKADIMALL</v>
      </c>
      <c r="B350" t="str">
        <f>IF('Staff Daily sales'!$D335="","",TRIM('Staff Daily sales'!$D335&amp;""))</f>
        <v>4409-NGhamari</v>
      </c>
      <c r="C350" t="str">
        <f>IFERROR(TRIM('Staff Daily sales'!$E335&amp;""),"")</f>
        <v>Jizan</v>
      </c>
      <c r="D350" t="str">
        <f>IFERROR(IF(TRIM('Staff Daily sales'!$F335&amp;"")="","Unassigned",TRIM('Staff Daily sales'!$F335&amp;"")),"Unassigned")</f>
        <v>Ahmed Jaffari</v>
      </c>
      <c r="E350">
        <f t="shared" si="106"/>
        <v>1</v>
      </c>
      <c r="F350">
        <f>IF($E350=0,0,SUMPRODUCT($AI$5:$DF$5,'Staff Daily sales'!$G335:$CD335))</f>
        <v>0</v>
      </c>
      <c r="G350">
        <f>IF($E350=0,0,SUMPRODUCT($AI$6:$DF$6,'Staff Daily sales'!$G335:$CD335))</f>
        <v>0</v>
      </c>
      <c r="H350">
        <f t="shared" si="107"/>
        <v>3576.79</v>
      </c>
      <c r="I350">
        <f t="shared" si="108"/>
        <v>22</v>
      </c>
      <c r="J350">
        <f t="shared" si="109"/>
        <v>44058.899999999994</v>
      </c>
      <c r="K350">
        <f t="shared" si="110"/>
        <v>244</v>
      </c>
      <c r="L350">
        <f>--AND($E350=1,OR('Staff Dashboard'!$B$6="All",$DH350='Staff Dashboard'!$B$6),OR('Staff Dashboard'!$B$7="All",$D350='Staff Dashboard'!$B$7),OR('Staff Dashboard'!$B$8="All",$A350='Staff Dashboard'!$B$8))</f>
        <v>0</v>
      </c>
      <c r="M350">
        <f>IF($E350=0,0,SUMPRODUCT($AI$7:$DF$7,'Staff Daily sales'!$G335:$CD335))</f>
        <v>6399.1100000000006</v>
      </c>
      <c r="N350">
        <f>IF($E350=0,0,SUMPRODUCT($AI$8:$DF$8,'Staff Daily sales'!$G335:$CD335))</f>
        <v>48</v>
      </c>
      <c r="O350">
        <f>IF($E350=0,0,SUMPRODUCT($AI$9:$DF$9,'Staff Daily sales'!$G335:$CD335))</f>
        <v>6654.1299999999992</v>
      </c>
      <c r="P350">
        <f>IF($E350=0,0,SUMPRODUCT($AI$10:$DF$10,'Staff Daily sales'!$G335:$CD335))</f>
        <v>41</v>
      </c>
      <c r="Q350">
        <f>IF($E350=0,0,SUMPRODUCT($AI$11:$DF$11,'Staff Daily sales'!$G335:$CD335))</f>
        <v>6811.0599999999995</v>
      </c>
      <c r="R350">
        <f>IF($E350=0,0,SUMPRODUCT($AI$12:$DF$12,'Staff Daily sales'!$G335:$CD335))</f>
        <v>49</v>
      </c>
      <c r="S350">
        <f>IF($E350=0,0,SUMPRODUCT($AI$13:$DF$13,'Staff Daily sales'!$G335:$CD335))</f>
        <v>4772.0200000000004</v>
      </c>
      <c r="T350">
        <f>IF($E350=0,0,SUMPRODUCT($AI$14:$DF$14,'Staff Daily sales'!$G335:$CD335))</f>
        <v>32</v>
      </c>
      <c r="U350">
        <f>IF($E350=0,0,SUMPRODUCT($AI$15:$DF$15,'Staff Daily sales'!$G335:$CD335))</f>
        <v>506.03</v>
      </c>
      <c r="V350">
        <f>IF($E350=0,0,SUMPRODUCT($AI$16:$DF$16,'Staff Daily sales'!$G335:$CD335))</f>
        <v>3</v>
      </c>
      <c r="W350">
        <f t="shared" si="111"/>
        <v>22842.45</v>
      </c>
      <c r="X350">
        <f t="shared" si="112"/>
        <v>28559.500000000004</v>
      </c>
      <c r="Y350">
        <f t="shared" si="113"/>
        <v>21840.289999999997</v>
      </c>
      <c r="Z350">
        <f t="shared" si="114"/>
        <v>18226.580000000002</v>
      </c>
      <c r="AA350">
        <f t="shared" si="115"/>
        <v>4270.01</v>
      </c>
      <c r="AB350">
        <f>--AND($E350=1,OR('Staff Weekly Trend'!$B$3="All",$DH350='Staff Weekly Trend'!$B$3),OR('Staff Weekly Trend'!$B$4="All",$D350='Staff Weekly Trend'!$B$4),OR('Staff Weekly Trend'!$B$5="All",$A350='Staff Weekly Trend'!$B$5))</f>
        <v>1</v>
      </c>
      <c r="AC350" t="str">
        <f t="shared" si="116"/>
        <v/>
      </c>
      <c r="AI350">
        <f t="shared" si="117"/>
        <v>175</v>
      </c>
      <c r="AJ350">
        <f t="shared" si="118"/>
        <v>197</v>
      </c>
      <c r="AK350">
        <f t="shared" si="119"/>
        <v>154</v>
      </c>
      <c r="AL350">
        <f t="shared" si="120"/>
        <v>117</v>
      </c>
      <c r="AM350">
        <f t="shared" si="121"/>
        <v>26</v>
      </c>
      <c r="DH350" t="str" cm="1">
        <f t="array" ref="DH350">IF($A350="","",_xlfn.LET(_xlpm.c,IFERROR(_xlfn.XLOOKUP($A350,TRIM('Sales and count'!$A$4:$A$300&amp;""),TRIM('Sales and count'!$B$4:$B$300&amp;"")),""),IF(OR(_xlpm.c="",_xlpm.c="0",LEFT(_xlpm.c,1)="#"),"Not set",_xlpm.c)))</f>
        <v>KSA</v>
      </c>
    </row>
    <row r="351" spans="1:112" x14ac:dyDescent="0.25">
      <c r="A351" t="str">
        <f>IF('Staff Daily sales'!$B336="","",TRIM('Staff Daily sales'!$B336&amp;""))</f>
        <v>HAKADIMALL</v>
      </c>
      <c r="B351" t="str">
        <f>IF('Staff Daily sales'!$D336="","",TRIM('Staff Daily sales'!$D336&amp;""))</f>
        <v>5227-JKamli</v>
      </c>
      <c r="C351" t="str">
        <f>IFERROR(TRIM('Staff Daily sales'!$E336&amp;""),"")</f>
        <v>Jizan</v>
      </c>
      <c r="D351" t="str">
        <f>IFERROR(IF(TRIM('Staff Daily sales'!$F336&amp;"")="","Unassigned",TRIM('Staff Daily sales'!$F336&amp;"")),"Unassigned")</f>
        <v>Ahmed Jaffari</v>
      </c>
      <c r="E351">
        <f t="shared" si="106"/>
        <v>1</v>
      </c>
      <c r="F351">
        <f>IF($E351=0,0,SUMPRODUCT($AI$5:$DF$5,'Staff Daily sales'!$G336:$CD336))</f>
        <v>2392.85</v>
      </c>
      <c r="G351">
        <f>IF($E351=0,0,SUMPRODUCT($AI$6:$DF$6,'Staff Daily sales'!$G336:$CD336))</f>
        <v>13</v>
      </c>
      <c r="H351">
        <f t="shared" si="107"/>
        <v>3576.79</v>
      </c>
      <c r="I351">
        <f t="shared" si="108"/>
        <v>22</v>
      </c>
      <c r="J351">
        <f t="shared" si="109"/>
        <v>44058.899999999994</v>
      </c>
      <c r="K351">
        <f t="shared" si="110"/>
        <v>244</v>
      </c>
      <c r="L351">
        <f>--AND($E351=1,OR('Staff Dashboard'!$B$6="All",$DH351='Staff Dashboard'!$B$6),OR('Staff Dashboard'!$B$7="All",$D351='Staff Dashboard'!$B$7),OR('Staff Dashboard'!$B$8="All",$A351='Staff Dashboard'!$B$8))</f>
        <v>0</v>
      </c>
      <c r="M351">
        <f>IF($E351=0,0,SUMPRODUCT($AI$7:$DF$7,'Staff Daily sales'!$G336:$CD336))</f>
        <v>4879.09</v>
      </c>
      <c r="N351">
        <f>IF($E351=0,0,SUMPRODUCT($AI$8:$DF$8,'Staff Daily sales'!$G336:$CD336))</f>
        <v>33</v>
      </c>
      <c r="O351">
        <f>IF($E351=0,0,SUMPRODUCT($AI$9:$DF$9,'Staff Daily sales'!$G336:$CD336))</f>
        <v>7357.13</v>
      </c>
      <c r="P351">
        <f>IF($E351=0,0,SUMPRODUCT($AI$10:$DF$10,'Staff Daily sales'!$G336:$CD336))</f>
        <v>53</v>
      </c>
      <c r="Q351">
        <f>IF($E351=0,0,SUMPRODUCT($AI$11:$DF$11,'Staff Daily sales'!$G336:$CD336))</f>
        <v>5735.11</v>
      </c>
      <c r="R351">
        <f>IF($E351=0,0,SUMPRODUCT($AI$12:$DF$12,'Staff Daily sales'!$G336:$CD336))</f>
        <v>39</v>
      </c>
      <c r="S351">
        <f>IF($E351=0,0,SUMPRODUCT($AI$13:$DF$13,'Staff Daily sales'!$G336:$CD336))</f>
        <v>7154.7199999999993</v>
      </c>
      <c r="T351">
        <f>IF($E351=0,0,SUMPRODUCT($AI$14:$DF$14,'Staff Daily sales'!$G336:$CD336))</f>
        <v>43</v>
      </c>
      <c r="U351">
        <f>IF($E351=0,0,SUMPRODUCT($AI$15:$DF$15,'Staff Daily sales'!$G336:$CD336))</f>
        <v>0</v>
      </c>
      <c r="V351">
        <f>IF($E351=0,0,SUMPRODUCT($AI$16:$DF$16,'Staff Daily sales'!$G336:$CD336))</f>
        <v>0</v>
      </c>
      <c r="W351">
        <f t="shared" si="111"/>
        <v>22842.45</v>
      </c>
      <c r="X351">
        <f t="shared" si="112"/>
        <v>28559.500000000004</v>
      </c>
      <c r="Y351">
        <f t="shared" si="113"/>
        <v>21840.289999999997</v>
      </c>
      <c r="Z351">
        <f t="shared" si="114"/>
        <v>18226.580000000002</v>
      </c>
      <c r="AA351">
        <f t="shared" si="115"/>
        <v>4270.01</v>
      </c>
      <c r="AB351">
        <f>--AND($E351=1,OR('Staff Weekly Trend'!$B$3="All",$DH351='Staff Weekly Trend'!$B$3),OR('Staff Weekly Trend'!$B$4="All",$D351='Staff Weekly Trend'!$B$4),OR('Staff Weekly Trend'!$B$5="All",$A351='Staff Weekly Trend'!$B$5))</f>
        <v>1</v>
      </c>
      <c r="AC351">
        <f t="shared" si="116"/>
        <v>1</v>
      </c>
      <c r="AI351">
        <f t="shared" si="117"/>
        <v>175</v>
      </c>
      <c r="AJ351">
        <f t="shared" si="118"/>
        <v>197</v>
      </c>
      <c r="AK351">
        <f t="shared" si="119"/>
        <v>154</v>
      </c>
      <c r="AL351">
        <f t="shared" si="120"/>
        <v>117</v>
      </c>
      <c r="AM351">
        <f t="shared" si="121"/>
        <v>26</v>
      </c>
      <c r="DH351" t="str" cm="1">
        <f t="array" ref="DH351">IF($A351="","",_xlfn.LET(_xlpm.c,IFERROR(_xlfn.XLOOKUP($A351,TRIM('Sales and count'!$A$4:$A$300&amp;""),TRIM('Sales and count'!$B$4:$B$300&amp;"")),""),IF(OR(_xlpm.c="",_xlpm.c="0",LEFT(_xlpm.c,1)="#"),"Not set",_xlpm.c)))</f>
        <v>KSA</v>
      </c>
    </row>
    <row r="352" spans="1:112" x14ac:dyDescent="0.25">
      <c r="A352" t="str">
        <f>IF('Staff Daily sales'!$B337="","",TRIM('Staff Daily sales'!$B337&amp;""))</f>
        <v>HAVILLAGE</v>
      </c>
      <c r="B352" t="str">
        <f>IF('Staff Daily sales'!$D337="","",TRIM('Staff Daily sales'!$D337&amp;""))</f>
        <v>4627-BALMAQDAR</v>
      </c>
      <c r="C352" t="str">
        <f>IFERROR(TRIM('Staff Daily sales'!$E337&amp;""),"")</f>
        <v>Jeddah</v>
      </c>
      <c r="D352" t="str">
        <f>IFERROR(IF(TRIM('Staff Daily sales'!$F337&amp;"")="","Unassigned",TRIM('Staff Daily sales'!$F337&amp;"")),"Unassigned")</f>
        <v>Saleh Bin Hoiel</v>
      </c>
      <c r="E352">
        <f t="shared" si="106"/>
        <v>1</v>
      </c>
      <c r="F352">
        <f>IF($E352=0,0,SUMPRODUCT($AI$5:$DF$5,'Staff Daily sales'!$G337:$CD337))</f>
        <v>610.01</v>
      </c>
      <c r="G352">
        <f>IF($E352=0,0,SUMPRODUCT($AI$6:$DF$6,'Staff Daily sales'!$G337:$CD337))</f>
        <v>6</v>
      </c>
      <c r="H352">
        <f t="shared" si="107"/>
        <v>3189.9300000000003</v>
      </c>
      <c r="I352">
        <f t="shared" si="108"/>
        <v>32</v>
      </c>
      <c r="J352">
        <f t="shared" si="109"/>
        <v>69638.36</v>
      </c>
      <c r="K352">
        <f t="shared" si="110"/>
        <v>362</v>
      </c>
      <c r="L352">
        <f>--AND($E352=1,OR('Staff Dashboard'!$B$6="All",$DH352='Staff Dashboard'!$B$6),OR('Staff Dashboard'!$B$7="All",$D352='Staff Dashboard'!$B$7),OR('Staff Dashboard'!$B$8="All",$A352='Staff Dashboard'!$B$8))</f>
        <v>0</v>
      </c>
      <c r="M352">
        <f>IF($E352=0,0,SUMPRODUCT($AI$7:$DF$7,'Staff Daily sales'!$G337:$CD337))</f>
        <v>10419.16</v>
      </c>
      <c r="N352">
        <f>IF($E352=0,0,SUMPRODUCT($AI$8:$DF$8,'Staff Daily sales'!$G337:$CD337))</f>
        <v>90</v>
      </c>
      <c r="O352">
        <f>IF($E352=0,0,SUMPRODUCT($AI$9:$DF$9,'Staff Daily sales'!$G337:$CD337))</f>
        <v>13530.27</v>
      </c>
      <c r="P352">
        <f>IF($E352=0,0,SUMPRODUCT($AI$10:$DF$10,'Staff Daily sales'!$G337:$CD337))</f>
        <v>105</v>
      </c>
      <c r="Q352">
        <f>IF($E352=0,0,SUMPRODUCT($AI$11:$DF$11,'Staff Daily sales'!$G337:$CD337))</f>
        <v>8798.1200000000008</v>
      </c>
      <c r="R352">
        <f>IF($E352=0,0,SUMPRODUCT($AI$12:$DF$12,'Staff Daily sales'!$G337:$CD337))</f>
        <v>79</v>
      </c>
      <c r="S352">
        <f>IF($E352=0,0,SUMPRODUCT($AI$13:$DF$13,'Staff Daily sales'!$G337:$CD337))</f>
        <v>1680.95</v>
      </c>
      <c r="T352">
        <f>IF($E352=0,0,SUMPRODUCT($AI$14:$DF$14,'Staff Daily sales'!$G337:$CD337))</f>
        <v>18</v>
      </c>
      <c r="U352">
        <f>IF($E352=0,0,SUMPRODUCT($AI$15:$DF$15,'Staff Daily sales'!$G337:$CD337))</f>
        <v>1218.94</v>
      </c>
      <c r="V352">
        <f>IF($E352=0,0,SUMPRODUCT($AI$16:$DF$16,'Staff Daily sales'!$G337:$CD337))</f>
        <v>10</v>
      </c>
      <c r="W352">
        <f t="shared" si="111"/>
        <v>19935.25</v>
      </c>
      <c r="X352">
        <f t="shared" si="112"/>
        <v>35898.949999999997</v>
      </c>
      <c r="Y352">
        <f t="shared" si="113"/>
        <v>27537.47</v>
      </c>
      <c r="Z352">
        <f t="shared" si="114"/>
        <v>18404.79</v>
      </c>
      <c r="AA352">
        <f t="shared" si="115"/>
        <v>7033.01</v>
      </c>
      <c r="AB352">
        <f>--AND($E352=1,OR('Staff Weekly Trend'!$B$3="All",$DH352='Staff Weekly Trend'!$B$3),OR('Staff Weekly Trend'!$B$4="All",$D352='Staff Weekly Trend'!$B$4),OR('Staff Weekly Trend'!$B$5="All",$A352='Staff Weekly Trend'!$B$5))</f>
        <v>1</v>
      </c>
      <c r="AC352">
        <f t="shared" si="116"/>
        <v>3</v>
      </c>
      <c r="AI352">
        <f t="shared" si="117"/>
        <v>184</v>
      </c>
      <c r="AJ352">
        <f t="shared" si="118"/>
        <v>290</v>
      </c>
      <c r="AK352">
        <f t="shared" si="119"/>
        <v>230</v>
      </c>
      <c r="AL352">
        <f t="shared" si="120"/>
        <v>158</v>
      </c>
      <c r="AM352">
        <f t="shared" si="121"/>
        <v>55</v>
      </c>
      <c r="DH352" t="str" cm="1">
        <f t="array" ref="DH352">IF($A352="","",_xlfn.LET(_xlpm.c,IFERROR(_xlfn.XLOOKUP($A352,TRIM('Sales and count'!$A$4:$A$300&amp;""),TRIM('Sales and count'!$B$4:$B$300&amp;"")),""),IF(OR(_xlpm.c="",_xlpm.c="0",LEFT(_xlpm.c,1)="#"),"Not set",_xlpm.c)))</f>
        <v>KSA</v>
      </c>
    </row>
    <row r="353" spans="1:112" x14ac:dyDescent="0.25">
      <c r="A353" t="str">
        <f>IF('Staff Daily sales'!$B338="","",TRIM('Staff Daily sales'!$B338&amp;""))</f>
        <v>HAVILLAGE</v>
      </c>
      <c r="B353" t="str">
        <f>IF('Staff Daily sales'!$D338="","",TRIM('Staff Daily sales'!$D338&amp;""))</f>
        <v>5151-FAlZahrani</v>
      </c>
      <c r="C353" t="str">
        <f>IFERROR(TRIM('Staff Daily sales'!$E338&amp;""),"")</f>
        <v>Jeddah</v>
      </c>
      <c r="D353" t="str">
        <f>IFERROR(IF(TRIM('Staff Daily sales'!$F338&amp;"")="","Unassigned",TRIM('Staff Daily sales'!$F338&amp;"")),"Unassigned")</f>
        <v>Saleh Bin Hoiel</v>
      </c>
      <c r="E353">
        <f t="shared" si="106"/>
        <v>1</v>
      </c>
      <c r="F353">
        <f>IF($E353=0,0,SUMPRODUCT($AI$5:$DF$5,'Staff Daily sales'!$G338:$CD338))</f>
        <v>1093.99</v>
      </c>
      <c r="G353">
        <f>IF($E353=0,0,SUMPRODUCT($AI$6:$DF$6,'Staff Daily sales'!$G338:$CD338))</f>
        <v>12</v>
      </c>
      <c r="H353">
        <f t="shared" si="107"/>
        <v>3189.9300000000003</v>
      </c>
      <c r="I353">
        <f t="shared" si="108"/>
        <v>32</v>
      </c>
      <c r="J353">
        <f t="shared" si="109"/>
        <v>69638.36</v>
      </c>
      <c r="K353">
        <f t="shared" si="110"/>
        <v>362</v>
      </c>
      <c r="L353">
        <f>--AND($E353=1,OR('Staff Dashboard'!$B$6="All",$DH353='Staff Dashboard'!$B$6),OR('Staff Dashboard'!$B$7="All",$D353='Staff Dashboard'!$B$7),OR('Staff Dashboard'!$B$8="All",$A353='Staff Dashboard'!$B$8))</f>
        <v>0</v>
      </c>
      <c r="M353">
        <f>IF($E353=0,0,SUMPRODUCT($AI$7:$DF$7,'Staff Daily sales'!$G338:$CD338))</f>
        <v>2227.0500000000002</v>
      </c>
      <c r="N353">
        <f>IF($E353=0,0,SUMPRODUCT($AI$8:$DF$8,'Staff Daily sales'!$G338:$CD338))</f>
        <v>22</v>
      </c>
      <c r="O353">
        <f>IF($E353=0,0,SUMPRODUCT($AI$9:$DF$9,'Staff Daily sales'!$G338:$CD338))</f>
        <v>5561.16</v>
      </c>
      <c r="P353">
        <f>IF($E353=0,0,SUMPRODUCT($AI$10:$DF$10,'Staff Daily sales'!$G338:$CD338))</f>
        <v>44</v>
      </c>
      <c r="Q353">
        <f>IF($E353=0,0,SUMPRODUCT($AI$11:$DF$11,'Staff Daily sales'!$G338:$CD338))</f>
        <v>4220.09</v>
      </c>
      <c r="R353">
        <f>IF($E353=0,0,SUMPRODUCT($AI$12:$DF$12,'Staff Daily sales'!$G338:$CD338))</f>
        <v>30</v>
      </c>
      <c r="S353">
        <f>IF($E353=0,0,SUMPRODUCT($AI$13:$DF$13,'Staff Daily sales'!$G338:$CD338))</f>
        <v>4150</v>
      </c>
      <c r="T353">
        <f>IF($E353=0,0,SUMPRODUCT($AI$14:$DF$14,'Staff Daily sales'!$G338:$CD338))</f>
        <v>31</v>
      </c>
      <c r="U353">
        <f>IF($E353=0,0,SUMPRODUCT($AI$15:$DF$15,'Staff Daily sales'!$G338:$CD338))</f>
        <v>3015.9799999999996</v>
      </c>
      <c r="V353">
        <f>IF($E353=0,0,SUMPRODUCT($AI$16:$DF$16,'Staff Daily sales'!$G338:$CD338))</f>
        <v>22</v>
      </c>
      <c r="W353">
        <f t="shared" si="111"/>
        <v>19935.25</v>
      </c>
      <c r="X353">
        <f t="shared" si="112"/>
        <v>35898.949999999997</v>
      </c>
      <c r="Y353">
        <f t="shared" si="113"/>
        <v>27537.47</v>
      </c>
      <c r="Z353">
        <f t="shared" si="114"/>
        <v>18404.79</v>
      </c>
      <c r="AA353">
        <f t="shared" si="115"/>
        <v>7033.01</v>
      </c>
      <c r="AB353">
        <f>--AND($E353=1,OR('Staff Weekly Trend'!$B$3="All",$DH353='Staff Weekly Trend'!$B$3),OR('Staff Weekly Trend'!$B$4="All",$D353='Staff Weekly Trend'!$B$4),OR('Staff Weekly Trend'!$B$5="All",$A353='Staff Weekly Trend'!$B$5))</f>
        <v>1</v>
      </c>
      <c r="AC353">
        <f t="shared" si="116"/>
        <v>2</v>
      </c>
      <c r="AI353">
        <f t="shared" si="117"/>
        <v>184</v>
      </c>
      <c r="AJ353">
        <f t="shared" si="118"/>
        <v>290</v>
      </c>
      <c r="AK353">
        <f t="shared" si="119"/>
        <v>230</v>
      </c>
      <c r="AL353">
        <f t="shared" si="120"/>
        <v>158</v>
      </c>
      <c r="AM353">
        <f t="shared" si="121"/>
        <v>55</v>
      </c>
      <c r="DH353" t="str" cm="1">
        <f t="array" ref="DH353">IF($A353="","",_xlfn.LET(_xlpm.c,IFERROR(_xlfn.XLOOKUP($A353,TRIM('Sales and count'!$A$4:$A$300&amp;""),TRIM('Sales and count'!$B$4:$B$300&amp;"")),""),IF(OR(_xlpm.c="",_xlpm.c="0",LEFT(_xlpm.c,1)="#"),"Not set",_xlpm.c)))</f>
        <v>KSA</v>
      </c>
    </row>
    <row r="354" spans="1:112" x14ac:dyDescent="0.25">
      <c r="A354" t="str">
        <f>IF('Staff Daily sales'!$B339="","",TRIM('Staff Daily sales'!$B339&amp;""))</f>
        <v>HAVILLAGE</v>
      </c>
      <c r="B354" t="str">
        <f>IF('Staff Daily sales'!$D339="","",TRIM('Staff Daily sales'!$D339&amp;""))</f>
        <v>5284-MThawai</v>
      </c>
      <c r="C354" t="str">
        <f>IFERROR(TRIM('Staff Daily sales'!$E339&amp;""),"")</f>
        <v>Jeddah</v>
      </c>
      <c r="D354" t="str">
        <f>IFERROR(IF(TRIM('Staff Daily sales'!$F339&amp;"")="","Unassigned",TRIM('Staff Daily sales'!$F339&amp;"")),"Unassigned")</f>
        <v>Saleh Bin Hoiel</v>
      </c>
      <c r="E354">
        <f t="shared" si="106"/>
        <v>1</v>
      </c>
      <c r="F354">
        <f>IF($E354=0,0,SUMPRODUCT($AI$5:$DF$5,'Staff Daily sales'!$G339:$CD339))</f>
        <v>1335.93</v>
      </c>
      <c r="G354">
        <f>IF($E354=0,0,SUMPRODUCT($AI$6:$DF$6,'Staff Daily sales'!$G339:$CD339))</f>
        <v>12</v>
      </c>
      <c r="H354">
        <f t="shared" si="107"/>
        <v>3189.9300000000003</v>
      </c>
      <c r="I354">
        <f t="shared" si="108"/>
        <v>32</v>
      </c>
      <c r="J354">
        <f t="shared" si="109"/>
        <v>69638.36</v>
      </c>
      <c r="K354">
        <f t="shared" si="110"/>
        <v>362</v>
      </c>
      <c r="L354">
        <f>--AND($E354=1,OR('Staff Dashboard'!$B$6="All",$DH354='Staff Dashboard'!$B$6),OR('Staff Dashboard'!$B$7="All",$D354='Staff Dashboard'!$B$7),OR('Staff Dashboard'!$B$8="All",$A354='Staff Dashboard'!$B$8))</f>
        <v>0</v>
      </c>
      <c r="M354">
        <f>IF($E354=0,0,SUMPRODUCT($AI$7:$DF$7,'Staff Daily sales'!$G339:$CD339))</f>
        <v>7289.04</v>
      </c>
      <c r="N354">
        <f>IF($E354=0,0,SUMPRODUCT($AI$8:$DF$8,'Staff Daily sales'!$G339:$CD339))</f>
        <v>72</v>
      </c>
      <c r="O354">
        <f>IF($E354=0,0,SUMPRODUCT($AI$9:$DF$9,'Staff Daily sales'!$G339:$CD339))</f>
        <v>16807.52</v>
      </c>
      <c r="P354">
        <f>IF($E354=0,0,SUMPRODUCT($AI$10:$DF$10,'Staff Daily sales'!$G339:$CD339))</f>
        <v>141</v>
      </c>
      <c r="Q354">
        <f>IF($E354=0,0,SUMPRODUCT($AI$11:$DF$11,'Staff Daily sales'!$G339:$CD339))</f>
        <v>14519.259999999998</v>
      </c>
      <c r="R354">
        <f>IF($E354=0,0,SUMPRODUCT($AI$12:$DF$12,'Staff Daily sales'!$G339:$CD339))</f>
        <v>121</v>
      </c>
      <c r="S354">
        <f>IF($E354=0,0,SUMPRODUCT($AI$13:$DF$13,'Staff Daily sales'!$G339:$CD339))</f>
        <v>8047.84</v>
      </c>
      <c r="T354">
        <f>IF($E354=0,0,SUMPRODUCT($AI$14:$DF$14,'Staff Daily sales'!$G339:$CD339))</f>
        <v>67</v>
      </c>
      <c r="U354">
        <f>IF($E354=0,0,SUMPRODUCT($AI$15:$DF$15,'Staff Daily sales'!$G339:$CD339))</f>
        <v>1322.07</v>
      </c>
      <c r="V354">
        <f>IF($E354=0,0,SUMPRODUCT($AI$16:$DF$16,'Staff Daily sales'!$G339:$CD339))</f>
        <v>11</v>
      </c>
      <c r="W354">
        <f t="shared" si="111"/>
        <v>19935.25</v>
      </c>
      <c r="X354">
        <f t="shared" si="112"/>
        <v>35898.949999999997</v>
      </c>
      <c r="Y354">
        <f t="shared" si="113"/>
        <v>27537.47</v>
      </c>
      <c r="Z354">
        <f t="shared" si="114"/>
        <v>18404.79</v>
      </c>
      <c r="AA354">
        <f t="shared" si="115"/>
        <v>7033.01</v>
      </c>
      <c r="AB354">
        <f>--AND($E354=1,OR('Staff Weekly Trend'!$B$3="All",$DH354='Staff Weekly Trend'!$B$3),OR('Staff Weekly Trend'!$B$4="All",$D354='Staff Weekly Trend'!$B$4),OR('Staff Weekly Trend'!$B$5="All",$A354='Staff Weekly Trend'!$B$5))</f>
        <v>1</v>
      </c>
      <c r="AC354">
        <f t="shared" si="116"/>
        <v>1</v>
      </c>
      <c r="AI354">
        <f t="shared" si="117"/>
        <v>184</v>
      </c>
      <c r="AJ354">
        <f t="shared" si="118"/>
        <v>290</v>
      </c>
      <c r="AK354">
        <f t="shared" si="119"/>
        <v>230</v>
      </c>
      <c r="AL354">
        <f t="shared" si="120"/>
        <v>158</v>
      </c>
      <c r="AM354">
        <f t="shared" si="121"/>
        <v>55</v>
      </c>
      <c r="DH354" t="str" cm="1">
        <f t="array" ref="DH354">IF($A354="","",_xlfn.LET(_xlpm.c,IFERROR(_xlfn.XLOOKUP($A354,TRIM('Sales and count'!$A$4:$A$300&amp;""),TRIM('Sales and count'!$B$4:$B$300&amp;"")),""),IF(OR(_xlpm.c="",_xlpm.c="0",LEFT(_xlpm.c,1)="#"),"Not set",_xlpm.c)))</f>
        <v>KSA</v>
      </c>
    </row>
    <row r="355" spans="1:112" x14ac:dyDescent="0.25">
      <c r="A355" t="str">
        <f>IF('Staff Daily sales'!$B340="","",TRIM('Staff Daily sales'!$B340&amp;""))</f>
        <v>HAAZZANPLZ</v>
      </c>
      <c r="B355" t="str">
        <f>IF('Staff Daily sales'!$D340="","",TRIM('Staff Daily sales'!$D340&amp;""))</f>
        <v>4402-Osama</v>
      </c>
      <c r="C355" t="str">
        <f>IFERROR(TRIM('Staff Daily sales'!$E340&amp;""),"")</f>
        <v>Sabya</v>
      </c>
      <c r="D355" t="str">
        <f>IFERROR(IF(TRIM('Staff Daily sales'!$F340&amp;"")="","Unassigned",TRIM('Staff Daily sales'!$F340&amp;"")),"Unassigned")</f>
        <v>Ahmed Jaffari</v>
      </c>
      <c r="E355">
        <f t="shared" si="106"/>
        <v>1</v>
      </c>
      <c r="F355">
        <f>IF($E355=0,0,SUMPRODUCT($AI$5:$DF$5,'Staff Daily sales'!$G340:$CD340))</f>
        <v>0</v>
      </c>
      <c r="G355">
        <f>IF($E355=0,0,SUMPRODUCT($AI$6:$DF$6,'Staff Daily sales'!$G340:$CD340))</f>
        <v>0</v>
      </c>
      <c r="H355">
        <f t="shared" si="107"/>
        <v>3697.82</v>
      </c>
      <c r="I355">
        <f t="shared" si="108"/>
        <v>19</v>
      </c>
      <c r="J355">
        <f t="shared" si="109"/>
        <v>44058.899999999994</v>
      </c>
      <c r="K355">
        <f t="shared" si="110"/>
        <v>244</v>
      </c>
      <c r="L355">
        <f>--AND($E355=1,OR('Staff Dashboard'!$B$6="All",$DH355='Staff Dashboard'!$B$6),OR('Staff Dashboard'!$B$7="All",$D355='Staff Dashboard'!$B$7),OR('Staff Dashboard'!$B$8="All",$A355='Staff Dashboard'!$B$8))</f>
        <v>0</v>
      </c>
      <c r="M355">
        <f>IF($E355=0,0,SUMPRODUCT($AI$7:$DF$7,'Staff Daily sales'!$G340:$CD340))</f>
        <v>2766.1</v>
      </c>
      <c r="N355">
        <f>IF($E355=0,0,SUMPRODUCT($AI$8:$DF$8,'Staff Daily sales'!$G340:$CD340))</f>
        <v>11</v>
      </c>
      <c r="O355">
        <f>IF($E355=0,0,SUMPRODUCT($AI$9:$DF$9,'Staff Daily sales'!$G340:$CD340))</f>
        <v>2367.0600000000004</v>
      </c>
      <c r="P355">
        <f>IF($E355=0,0,SUMPRODUCT($AI$10:$DF$10,'Staff Daily sales'!$G340:$CD340))</f>
        <v>17</v>
      </c>
      <c r="Q355">
        <f>IF($E355=0,0,SUMPRODUCT($AI$11:$DF$11,'Staff Daily sales'!$G340:$CD340))</f>
        <v>3193.0699999999997</v>
      </c>
      <c r="R355">
        <f>IF($E355=0,0,SUMPRODUCT($AI$12:$DF$12,'Staff Daily sales'!$G340:$CD340))</f>
        <v>23</v>
      </c>
      <c r="S355">
        <f>IF($E355=0,0,SUMPRODUCT($AI$13:$DF$13,'Staff Daily sales'!$G340:$CD340))</f>
        <v>0</v>
      </c>
      <c r="T355">
        <f>IF($E355=0,0,SUMPRODUCT($AI$14:$DF$14,'Staff Daily sales'!$G340:$CD340))</f>
        <v>0</v>
      </c>
      <c r="U355">
        <f>IF($E355=0,0,SUMPRODUCT($AI$15:$DF$15,'Staff Daily sales'!$G340:$CD340))</f>
        <v>211.02</v>
      </c>
      <c r="V355">
        <f>IF($E355=0,0,SUMPRODUCT($AI$16:$DF$16,'Staff Daily sales'!$G340:$CD340))</f>
        <v>1</v>
      </c>
      <c r="W355">
        <f t="shared" si="111"/>
        <v>22839.5</v>
      </c>
      <c r="X355">
        <f t="shared" si="112"/>
        <v>26830.57</v>
      </c>
      <c r="Y355">
        <f t="shared" si="113"/>
        <v>21981.45</v>
      </c>
      <c r="Z355">
        <f t="shared" si="114"/>
        <v>17289.7</v>
      </c>
      <c r="AA355">
        <f t="shared" si="115"/>
        <v>4123.05</v>
      </c>
      <c r="AB355">
        <f>--AND($E355=1,OR('Staff Weekly Trend'!$B$3="All",$DH355='Staff Weekly Trend'!$B$3),OR('Staff Weekly Trend'!$B$4="All",$D355='Staff Weekly Trend'!$B$4),OR('Staff Weekly Trend'!$B$5="All",$A355='Staff Weekly Trend'!$B$5))</f>
        <v>1</v>
      </c>
      <c r="AC355" t="str">
        <f t="shared" si="116"/>
        <v/>
      </c>
      <c r="AI355">
        <f t="shared" si="117"/>
        <v>142</v>
      </c>
      <c r="AJ355">
        <f t="shared" si="118"/>
        <v>166</v>
      </c>
      <c r="AK355">
        <f t="shared" si="119"/>
        <v>145</v>
      </c>
      <c r="AL355">
        <f t="shared" si="120"/>
        <v>114</v>
      </c>
      <c r="AM355">
        <f t="shared" si="121"/>
        <v>24</v>
      </c>
      <c r="DH355" t="str" cm="1">
        <f t="array" ref="DH355">IF($A355="","",_xlfn.LET(_xlpm.c,IFERROR(_xlfn.XLOOKUP($A355,TRIM('Sales and count'!$A$4:$A$300&amp;""),TRIM('Sales and count'!$B$4:$B$300&amp;"")),""),IF(OR(_xlpm.c="",_xlpm.c="0",LEFT(_xlpm.c,1)="#"),"Not set",_xlpm.c)))</f>
        <v>KSA</v>
      </c>
    </row>
    <row r="356" spans="1:112" x14ac:dyDescent="0.25">
      <c r="A356" t="str">
        <f>IF('Staff Daily sales'!$B341="","",TRIM('Staff Daily sales'!$B341&amp;""))</f>
        <v>HAAZZANPLZ</v>
      </c>
      <c r="B356" t="str">
        <f>IF('Staff Daily sales'!$D341="","",TRIM('Staff Daily sales'!$D341&amp;""))</f>
        <v>4460-ADaeak</v>
      </c>
      <c r="C356" t="str">
        <f>IFERROR(TRIM('Staff Daily sales'!$E341&amp;""),"")</f>
        <v>Sabya</v>
      </c>
      <c r="D356" t="str">
        <f>IFERROR(IF(TRIM('Staff Daily sales'!$F341&amp;"")="","Unassigned",TRIM('Staff Daily sales'!$F341&amp;"")),"Unassigned")</f>
        <v>Ahmed Jaffari</v>
      </c>
      <c r="E356">
        <f t="shared" si="106"/>
        <v>1</v>
      </c>
      <c r="F356">
        <f>IF($E356=0,0,SUMPRODUCT($AI$5:$DF$5,'Staff Daily sales'!$G341:$CD341))</f>
        <v>0</v>
      </c>
      <c r="G356">
        <f>IF($E356=0,0,SUMPRODUCT($AI$6:$DF$6,'Staff Daily sales'!$G341:$CD341))</f>
        <v>0</v>
      </c>
      <c r="H356">
        <f t="shared" si="107"/>
        <v>3697.82</v>
      </c>
      <c r="I356">
        <f t="shared" si="108"/>
        <v>19</v>
      </c>
      <c r="J356">
        <f t="shared" si="109"/>
        <v>44058.899999999994</v>
      </c>
      <c r="K356">
        <f t="shared" si="110"/>
        <v>244</v>
      </c>
      <c r="L356">
        <f>--AND($E356=1,OR('Staff Dashboard'!$B$6="All",$DH356='Staff Dashboard'!$B$6),OR('Staff Dashboard'!$B$7="All",$D356='Staff Dashboard'!$B$7),OR('Staff Dashboard'!$B$8="All",$A356='Staff Dashboard'!$B$8))</f>
        <v>0</v>
      </c>
      <c r="M356">
        <f>IF($E356=0,0,SUMPRODUCT($AI$7:$DF$7,'Staff Daily sales'!$G341:$CD341))</f>
        <v>7674.13</v>
      </c>
      <c r="N356">
        <f>IF($E356=0,0,SUMPRODUCT($AI$8:$DF$8,'Staff Daily sales'!$G341:$CD341))</f>
        <v>44</v>
      </c>
      <c r="O356">
        <f>IF($E356=0,0,SUMPRODUCT($AI$9:$DF$9,'Staff Daily sales'!$G341:$CD341))</f>
        <v>3349.04</v>
      </c>
      <c r="P356">
        <f>IF($E356=0,0,SUMPRODUCT($AI$10:$DF$10,'Staff Daily sales'!$G341:$CD341))</f>
        <v>19</v>
      </c>
      <c r="Q356">
        <f>IF($E356=0,0,SUMPRODUCT($AI$11:$DF$11,'Staff Daily sales'!$G341:$CD341))</f>
        <v>7051.13</v>
      </c>
      <c r="R356">
        <f>IF($E356=0,0,SUMPRODUCT($AI$12:$DF$12,'Staff Daily sales'!$G341:$CD341))</f>
        <v>44</v>
      </c>
      <c r="S356">
        <f>IF($E356=0,0,SUMPRODUCT($AI$13:$DF$13,'Staff Daily sales'!$G341:$CD341))</f>
        <v>1174.02</v>
      </c>
      <c r="T356">
        <f>IF($E356=0,0,SUMPRODUCT($AI$14:$DF$14,'Staff Daily sales'!$G341:$CD341))</f>
        <v>8</v>
      </c>
      <c r="U356">
        <f>IF($E356=0,0,SUMPRODUCT($AI$15:$DF$15,'Staff Daily sales'!$G341:$CD341))</f>
        <v>0</v>
      </c>
      <c r="V356">
        <f>IF($E356=0,0,SUMPRODUCT($AI$16:$DF$16,'Staff Daily sales'!$G341:$CD341))</f>
        <v>0</v>
      </c>
      <c r="W356">
        <f t="shared" si="111"/>
        <v>22839.5</v>
      </c>
      <c r="X356">
        <f t="shared" si="112"/>
        <v>26830.57</v>
      </c>
      <c r="Y356">
        <f t="shared" si="113"/>
        <v>21981.45</v>
      </c>
      <c r="Z356">
        <f t="shared" si="114"/>
        <v>17289.7</v>
      </c>
      <c r="AA356">
        <f t="shared" si="115"/>
        <v>4123.05</v>
      </c>
      <c r="AB356">
        <f>--AND($E356=1,OR('Staff Weekly Trend'!$B$3="All",$DH356='Staff Weekly Trend'!$B$3),OR('Staff Weekly Trend'!$B$4="All",$D356='Staff Weekly Trend'!$B$4),OR('Staff Weekly Trend'!$B$5="All",$A356='Staff Weekly Trend'!$B$5))</f>
        <v>1</v>
      </c>
      <c r="AC356" t="str">
        <f t="shared" si="116"/>
        <v/>
      </c>
      <c r="AI356">
        <f t="shared" si="117"/>
        <v>142</v>
      </c>
      <c r="AJ356">
        <f t="shared" si="118"/>
        <v>166</v>
      </c>
      <c r="AK356">
        <f t="shared" si="119"/>
        <v>145</v>
      </c>
      <c r="AL356">
        <f t="shared" si="120"/>
        <v>114</v>
      </c>
      <c r="AM356">
        <f t="shared" si="121"/>
        <v>24</v>
      </c>
      <c r="DH356" t="str" cm="1">
        <f t="array" ref="DH356">IF($A356="","",_xlfn.LET(_xlpm.c,IFERROR(_xlfn.XLOOKUP($A356,TRIM('Sales and count'!$A$4:$A$300&amp;""),TRIM('Sales and count'!$B$4:$B$300&amp;"")),""),IF(OR(_xlpm.c="",_xlpm.c="0",LEFT(_xlpm.c,1)="#"),"Not set",_xlpm.c)))</f>
        <v>KSA</v>
      </c>
    </row>
    <row r="357" spans="1:112" x14ac:dyDescent="0.25">
      <c r="A357" t="str">
        <f>IF('Staff Daily sales'!$B342="","",TRIM('Staff Daily sales'!$B342&amp;""))</f>
        <v>HAAZZANPLZ</v>
      </c>
      <c r="B357" t="str">
        <f>IF('Staff Daily sales'!$D342="","",TRIM('Staff Daily sales'!$D342&amp;""))</f>
        <v>5407-SAl-Faifi</v>
      </c>
      <c r="C357" t="str">
        <f>IFERROR(TRIM('Staff Daily sales'!$E342&amp;""),"")</f>
        <v>Sabya</v>
      </c>
      <c r="D357" t="str">
        <f>IFERROR(IF(TRIM('Staff Daily sales'!$F342&amp;"")="","Unassigned",TRIM('Staff Daily sales'!$F342&amp;"")),"Unassigned")</f>
        <v>Ahmed Jaffari</v>
      </c>
      <c r="E357">
        <f t="shared" si="106"/>
        <v>1</v>
      </c>
      <c r="F357">
        <f>IF($E357=0,0,SUMPRODUCT($AI$5:$DF$5,'Staff Daily sales'!$G342:$CD342))</f>
        <v>2020.9</v>
      </c>
      <c r="G357">
        <f>IF($E357=0,0,SUMPRODUCT($AI$6:$DF$6,'Staff Daily sales'!$G342:$CD342))</f>
        <v>10</v>
      </c>
      <c r="H357">
        <f t="shared" si="107"/>
        <v>3697.82</v>
      </c>
      <c r="I357">
        <f t="shared" si="108"/>
        <v>19</v>
      </c>
      <c r="J357">
        <f t="shared" si="109"/>
        <v>44058.899999999994</v>
      </c>
      <c r="K357">
        <f t="shared" si="110"/>
        <v>244</v>
      </c>
      <c r="L357">
        <f>--AND($E357=1,OR('Staff Dashboard'!$B$6="All",$DH357='Staff Dashboard'!$B$6),OR('Staff Dashboard'!$B$7="All",$D357='Staff Dashboard'!$B$7),OR('Staff Dashboard'!$B$8="All",$A357='Staff Dashboard'!$B$8))</f>
        <v>0</v>
      </c>
      <c r="M357">
        <f>IF($E357=0,0,SUMPRODUCT($AI$7:$DF$7,'Staff Daily sales'!$G342:$CD342))</f>
        <v>6564.13</v>
      </c>
      <c r="N357">
        <f>IF($E357=0,0,SUMPRODUCT($AI$8:$DF$8,'Staff Daily sales'!$G342:$CD342))</f>
        <v>46</v>
      </c>
      <c r="O357">
        <f>IF($E357=0,0,SUMPRODUCT($AI$9:$DF$9,'Staff Daily sales'!$G342:$CD342))</f>
        <v>7592.12</v>
      </c>
      <c r="P357">
        <f>IF($E357=0,0,SUMPRODUCT($AI$10:$DF$10,'Staff Daily sales'!$G342:$CD342))</f>
        <v>53</v>
      </c>
      <c r="Q357">
        <f>IF($E357=0,0,SUMPRODUCT($AI$11:$DF$11,'Staff Daily sales'!$G342:$CD342))</f>
        <v>4190.09</v>
      </c>
      <c r="R357">
        <f>IF($E357=0,0,SUMPRODUCT($AI$12:$DF$12,'Staff Daily sales'!$G342:$CD342))</f>
        <v>28</v>
      </c>
      <c r="S357">
        <f>IF($E357=0,0,SUMPRODUCT($AI$13:$DF$13,'Staff Daily sales'!$G342:$CD342))</f>
        <v>5480.82</v>
      </c>
      <c r="T357">
        <f>IF($E357=0,0,SUMPRODUCT($AI$14:$DF$14,'Staff Daily sales'!$G342:$CD342))</f>
        <v>36</v>
      </c>
      <c r="U357">
        <f>IF($E357=0,0,SUMPRODUCT($AI$15:$DF$15,'Staff Daily sales'!$G342:$CD342))</f>
        <v>2657.02</v>
      </c>
      <c r="V357">
        <f>IF($E357=0,0,SUMPRODUCT($AI$16:$DF$16,'Staff Daily sales'!$G342:$CD342))</f>
        <v>15</v>
      </c>
      <c r="W357">
        <f t="shared" si="111"/>
        <v>22839.5</v>
      </c>
      <c r="X357">
        <f t="shared" si="112"/>
        <v>26830.57</v>
      </c>
      <c r="Y357">
        <f t="shared" si="113"/>
        <v>21981.45</v>
      </c>
      <c r="Z357">
        <f t="shared" si="114"/>
        <v>17289.7</v>
      </c>
      <c r="AA357">
        <f t="shared" si="115"/>
        <v>4123.05</v>
      </c>
      <c r="AB357">
        <f>--AND($E357=1,OR('Staff Weekly Trend'!$B$3="All",$DH357='Staff Weekly Trend'!$B$3),OR('Staff Weekly Trend'!$B$4="All",$D357='Staff Weekly Trend'!$B$4),OR('Staff Weekly Trend'!$B$5="All",$A357='Staff Weekly Trend'!$B$5))</f>
        <v>1</v>
      </c>
      <c r="AC357">
        <f t="shared" si="116"/>
        <v>1</v>
      </c>
      <c r="AI357">
        <f t="shared" si="117"/>
        <v>142</v>
      </c>
      <c r="AJ357">
        <f t="shared" si="118"/>
        <v>166</v>
      </c>
      <c r="AK357">
        <f t="shared" si="119"/>
        <v>145</v>
      </c>
      <c r="AL357">
        <f t="shared" si="120"/>
        <v>114</v>
      </c>
      <c r="AM357">
        <f t="shared" si="121"/>
        <v>24</v>
      </c>
      <c r="DH357" t="str" cm="1">
        <f t="array" ref="DH357">IF($A357="","",_xlfn.LET(_xlpm.c,IFERROR(_xlfn.XLOOKUP($A357,TRIM('Sales and count'!$A$4:$A$300&amp;""),TRIM('Sales and count'!$B$4:$B$300&amp;"")),""),IF(OR(_xlpm.c="",_xlpm.c="0",LEFT(_xlpm.c,1)="#"),"Not set",_xlpm.c)))</f>
        <v>KSA</v>
      </c>
    </row>
    <row r="358" spans="1:112" x14ac:dyDescent="0.25">
      <c r="A358" t="str">
        <f>IF('Staff Daily sales'!$B343="","",TRIM('Staff Daily sales'!$B343&amp;""))</f>
        <v>HAAZZANPLZ</v>
      </c>
      <c r="B358" t="str">
        <f>IF('Staff Daily sales'!$D343="","",TRIM('Staff Daily sales'!$D343&amp;""))</f>
        <v>5409-OHankish</v>
      </c>
      <c r="C358" t="str">
        <f>IFERROR(TRIM('Staff Daily sales'!$E343&amp;""),"")</f>
        <v>Sabya</v>
      </c>
      <c r="D358" t="str">
        <f>IFERROR(IF(TRIM('Staff Daily sales'!$F343&amp;"")="","Unassigned",TRIM('Staff Daily sales'!$F343&amp;"")),"Unassigned")</f>
        <v>Ahmed Jaffari</v>
      </c>
      <c r="E358">
        <f t="shared" si="106"/>
        <v>1</v>
      </c>
      <c r="F358">
        <f>IF($E358=0,0,SUMPRODUCT($AI$5:$DF$5,'Staff Daily sales'!$G343:$CD343))</f>
        <v>210.98</v>
      </c>
      <c r="G358">
        <f>IF($E358=0,0,SUMPRODUCT($AI$6:$DF$6,'Staff Daily sales'!$G343:$CD343))</f>
        <v>1</v>
      </c>
      <c r="H358">
        <f t="shared" si="107"/>
        <v>3697.82</v>
      </c>
      <c r="I358">
        <f t="shared" si="108"/>
        <v>19</v>
      </c>
      <c r="J358">
        <f t="shared" si="109"/>
        <v>44058.899999999994</v>
      </c>
      <c r="K358">
        <f t="shared" si="110"/>
        <v>244</v>
      </c>
      <c r="L358">
        <f>--AND($E358=1,OR('Staff Dashboard'!$B$6="All",$DH358='Staff Dashboard'!$B$6),OR('Staff Dashboard'!$B$7="All",$D358='Staff Dashboard'!$B$7),OR('Staff Dashboard'!$B$8="All",$A358='Staff Dashboard'!$B$8))</f>
        <v>0</v>
      </c>
      <c r="M358">
        <f>IF($E358=0,0,SUMPRODUCT($AI$7:$DF$7,'Staff Daily sales'!$G343:$CD343))</f>
        <v>2307.0699999999997</v>
      </c>
      <c r="N358">
        <f>IF($E358=0,0,SUMPRODUCT($AI$8:$DF$8,'Staff Daily sales'!$G343:$CD343))</f>
        <v>14</v>
      </c>
      <c r="O358">
        <f>IF($E358=0,0,SUMPRODUCT($AI$9:$DF$9,'Staff Daily sales'!$G343:$CD343))</f>
        <v>6921.17</v>
      </c>
      <c r="P358">
        <f>IF($E358=0,0,SUMPRODUCT($AI$10:$DF$10,'Staff Daily sales'!$G343:$CD343))</f>
        <v>44</v>
      </c>
      <c r="Q358">
        <f>IF($E358=0,0,SUMPRODUCT($AI$11:$DF$11,'Staff Daily sales'!$G343:$CD343))</f>
        <v>7547.16</v>
      </c>
      <c r="R358">
        <f>IF($E358=0,0,SUMPRODUCT($AI$12:$DF$12,'Staff Daily sales'!$G343:$CD343))</f>
        <v>50</v>
      </c>
      <c r="S358">
        <f>IF($E358=0,0,SUMPRODUCT($AI$13:$DF$13,'Staff Daily sales'!$G343:$CD343))</f>
        <v>3577.02</v>
      </c>
      <c r="T358">
        <f>IF($E358=0,0,SUMPRODUCT($AI$14:$DF$14,'Staff Daily sales'!$G343:$CD343))</f>
        <v>21</v>
      </c>
      <c r="U358">
        <f>IF($E358=0,0,SUMPRODUCT($AI$15:$DF$15,'Staff Daily sales'!$G343:$CD343))</f>
        <v>0</v>
      </c>
      <c r="V358">
        <f>IF($E358=0,0,SUMPRODUCT($AI$16:$DF$16,'Staff Daily sales'!$G343:$CD343))</f>
        <v>0</v>
      </c>
      <c r="W358">
        <f t="shared" si="111"/>
        <v>22839.5</v>
      </c>
      <c r="X358">
        <f t="shared" si="112"/>
        <v>26830.57</v>
      </c>
      <c r="Y358">
        <f t="shared" si="113"/>
        <v>21981.45</v>
      </c>
      <c r="Z358">
        <f t="shared" si="114"/>
        <v>17289.7</v>
      </c>
      <c r="AA358">
        <f t="shared" si="115"/>
        <v>4123.05</v>
      </c>
      <c r="AB358">
        <f>--AND($E358=1,OR('Staff Weekly Trend'!$B$3="All",$DH358='Staff Weekly Trend'!$B$3),OR('Staff Weekly Trend'!$B$4="All",$D358='Staff Weekly Trend'!$B$4),OR('Staff Weekly Trend'!$B$5="All",$A358='Staff Weekly Trend'!$B$5))</f>
        <v>1</v>
      </c>
      <c r="AC358">
        <f t="shared" si="116"/>
        <v>3</v>
      </c>
      <c r="AI358">
        <f t="shared" si="117"/>
        <v>142</v>
      </c>
      <c r="AJ358">
        <f t="shared" si="118"/>
        <v>166</v>
      </c>
      <c r="AK358">
        <f t="shared" si="119"/>
        <v>145</v>
      </c>
      <c r="AL358">
        <f t="shared" si="120"/>
        <v>114</v>
      </c>
      <c r="AM358">
        <f t="shared" si="121"/>
        <v>24</v>
      </c>
      <c r="DH358" t="str" cm="1">
        <f t="array" ref="DH358">IF($A358="","",_xlfn.LET(_xlpm.c,IFERROR(_xlfn.XLOOKUP($A358,TRIM('Sales and count'!$A$4:$A$300&amp;""),TRIM('Sales and count'!$B$4:$B$300&amp;"")),""),IF(OR(_xlpm.c="",_xlpm.c="0",LEFT(_xlpm.c,1)="#"),"Not set",_xlpm.c)))</f>
        <v>KSA</v>
      </c>
    </row>
    <row r="359" spans="1:112" x14ac:dyDescent="0.25">
      <c r="A359" t="str">
        <f>IF('Staff Daily sales'!$B344="","",TRIM('Staff Daily sales'!$B344&amp;""))</f>
        <v>HAAZZANPLZ</v>
      </c>
      <c r="B359" t="str">
        <f>IF('Staff Daily sales'!$D344="","",TRIM('Staff Daily sales'!$D344&amp;""))</f>
        <v>5412-YAdawi</v>
      </c>
      <c r="C359" t="str">
        <f>IFERROR(TRIM('Staff Daily sales'!$E344&amp;""),"")</f>
        <v>Sabya</v>
      </c>
      <c r="D359" t="str">
        <f>IFERROR(IF(TRIM('Staff Daily sales'!$F344&amp;"")="","Unassigned",TRIM('Staff Daily sales'!$F344&amp;"")),"Unassigned")</f>
        <v>Ahmed Jaffari</v>
      </c>
      <c r="E359">
        <f t="shared" si="106"/>
        <v>1</v>
      </c>
      <c r="F359">
        <f>IF($E359=0,0,SUMPRODUCT($AI$5:$DF$5,'Staff Daily sales'!$G344:$CD344))</f>
        <v>1465.94</v>
      </c>
      <c r="G359">
        <f>IF($E359=0,0,SUMPRODUCT($AI$6:$DF$6,'Staff Daily sales'!$G344:$CD344))</f>
        <v>8</v>
      </c>
      <c r="H359">
        <f t="shared" si="107"/>
        <v>3697.82</v>
      </c>
      <c r="I359">
        <f t="shared" si="108"/>
        <v>19</v>
      </c>
      <c r="J359">
        <f t="shared" si="109"/>
        <v>44058.899999999994</v>
      </c>
      <c r="K359">
        <f t="shared" si="110"/>
        <v>244</v>
      </c>
      <c r="L359">
        <f>--AND($E359=1,OR('Staff Dashboard'!$B$6="All",$DH359='Staff Dashboard'!$B$6),OR('Staff Dashboard'!$B$7="All",$D359='Staff Dashboard'!$B$7),OR('Staff Dashboard'!$B$8="All",$A359='Staff Dashboard'!$B$8))</f>
        <v>0</v>
      </c>
      <c r="M359">
        <f>IF($E359=0,0,SUMPRODUCT($AI$7:$DF$7,'Staff Daily sales'!$G344:$CD344))</f>
        <v>3528.0699999999997</v>
      </c>
      <c r="N359">
        <f>IF($E359=0,0,SUMPRODUCT($AI$8:$DF$8,'Staff Daily sales'!$G344:$CD344))</f>
        <v>27</v>
      </c>
      <c r="O359">
        <f>IF($E359=0,0,SUMPRODUCT($AI$9:$DF$9,'Staff Daily sales'!$G344:$CD344))</f>
        <v>6601.18</v>
      </c>
      <c r="P359">
        <f>IF($E359=0,0,SUMPRODUCT($AI$10:$DF$10,'Staff Daily sales'!$G344:$CD344))</f>
        <v>33</v>
      </c>
      <c r="Q359">
        <f>IF($E359=0,0,SUMPRODUCT($AI$11:$DF$11,'Staff Daily sales'!$G344:$CD344))</f>
        <v>0</v>
      </c>
      <c r="R359">
        <f>IF($E359=0,0,SUMPRODUCT($AI$12:$DF$12,'Staff Daily sales'!$G344:$CD344))</f>
        <v>0</v>
      </c>
      <c r="S359">
        <f>IF($E359=0,0,SUMPRODUCT($AI$13:$DF$13,'Staff Daily sales'!$G344:$CD344))</f>
        <v>7057.84</v>
      </c>
      <c r="T359">
        <f>IF($E359=0,0,SUMPRODUCT($AI$14:$DF$14,'Staff Daily sales'!$G344:$CD344))</f>
        <v>49</v>
      </c>
      <c r="U359">
        <f>IF($E359=0,0,SUMPRODUCT($AI$15:$DF$15,'Staff Daily sales'!$G344:$CD344))</f>
        <v>1255.01</v>
      </c>
      <c r="V359">
        <f>IF($E359=0,0,SUMPRODUCT($AI$16:$DF$16,'Staff Daily sales'!$G344:$CD344))</f>
        <v>8</v>
      </c>
      <c r="W359">
        <f t="shared" si="111"/>
        <v>22839.5</v>
      </c>
      <c r="X359">
        <f t="shared" si="112"/>
        <v>26830.57</v>
      </c>
      <c r="Y359">
        <f t="shared" si="113"/>
        <v>21981.45</v>
      </c>
      <c r="Z359">
        <f t="shared" si="114"/>
        <v>17289.7</v>
      </c>
      <c r="AA359">
        <f t="shared" si="115"/>
        <v>4123.05</v>
      </c>
      <c r="AB359">
        <f>--AND($E359=1,OR('Staff Weekly Trend'!$B$3="All",$DH359='Staff Weekly Trend'!$B$3),OR('Staff Weekly Trend'!$B$4="All",$D359='Staff Weekly Trend'!$B$4),OR('Staff Weekly Trend'!$B$5="All",$A359='Staff Weekly Trend'!$B$5))</f>
        <v>1</v>
      </c>
      <c r="AC359">
        <f t="shared" si="116"/>
        <v>2</v>
      </c>
      <c r="AI359">
        <f t="shared" si="117"/>
        <v>142</v>
      </c>
      <c r="AJ359">
        <f t="shared" si="118"/>
        <v>166</v>
      </c>
      <c r="AK359">
        <f t="shared" si="119"/>
        <v>145</v>
      </c>
      <c r="AL359">
        <f t="shared" si="120"/>
        <v>114</v>
      </c>
      <c r="AM359">
        <f t="shared" si="121"/>
        <v>24</v>
      </c>
      <c r="DH359" t="str" cm="1">
        <f t="array" ref="DH359">IF($A359="","",_xlfn.LET(_xlpm.c,IFERROR(_xlfn.XLOOKUP($A359,TRIM('Sales and count'!$A$4:$A$300&amp;""),TRIM('Sales and count'!$B$4:$B$300&amp;"")),""),IF(OR(_xlpm.c="",_xlpm.c="0",LEFT(_xlpm.c,1)="#"),"Not set",_xlpm.c)))</f>
        <v>KSA</v>
      </c>
    </row>
    <row r="360" spans="1:112" x14ac:dyDescent="0.25">
      <c r="A360" t="str">
        <f>IF('Staff Daily sales'!$B345="","",TRIM('Staff Daily sales'!$B345&amp;""))</f>
        <v>HAWAHABLVD</v>
      </c>
      <c r="B360" t="str">
        <f>IF('Staff Daily sales'!$D345="","",TRIM('Staff Daily sales'!$D345&amp;""))</f>
        <v>3008-AAlSheikh</v>
      </c>
      <c r="C360" t="str">
        <f>IFERROR(TRIM('Staff Daily sales'!$E345&amp;""),"")</f>
        <v>Jeddah</v>
      </c>
      <c r="D360" t="str">
        <f>IFERROR(IF(TRIM('Staff Daily sales'!$F345&amp;"")="","Unassigned",TRIM('Staff Daily sales'!$F345&amp;"")),"Unassigned")</f>
        <v>Ahlam Al Zahrani</v>
      </c>
      <c r="E360">
        <f t="shared" si="106"/>
        <v>1</v>
      </c>
      <c r="F360">
        <f>IF($E360=0,0,SUMPRODUCT($AI$5:$DF$5,'Staff Daily sales'!$G345:$CD345))</f>
        <v>360.98</v>
      </c>
      <c r="G360">
        <f>IF($E360=0,0,SUMPRODUCT($AI$6:$DF$6,'Staff Daily sales'!$G345:$CD345))</f>
        <v>2</v>
      </c>
      <c r="H360">
        <f t="shared" si="107"/>
        <v>3263.8199999999997</v>
      </c>
      <c r="I360">
        <f t="shared" si="108"/>
        <v>20</v>
      </c>
      <c r="J360">
        <f t="shared" si="109"/>
        <v>62016.170000000006</v>
      </c>
      <c r="K360">
        <f t="shared" si="110"/>
        <v>398</v>
      </c>
      <c r="L360">
        <f>--AND($E360=1,OR('Staff Dashboard'!$B$6="All",$DH360='Staff Dashboard'!$B$6),OR('Staff Dashboard'!$B$7="All",$D360='Staff Dashboard'!$B$7),OR('Staff Dashboard'!$B$8="All",$A360='Staff Dashboard'!$B$8))</f>
        <v>0</v>
      </c>
      <c r="M360">
        <f>IF($E360=0,0,SUMPRODUCT($AI$7:$DF$7,'Staff Daily sales'!$G345:$CD345))</f>
        <v>0</v>
      </c>
      <c r="N360">
        <f>IF($E360=0,0,SUMPRODUCT($AI$8:$DF$8,'Staff Daily sales'!$G345:$CD345))</f>
        <v>0</v>
      </c>
      <c r="O360">
        <f>IF($E360=0,0,SUMPRODUCT($AI$9:$DF$9,'Staff Daily sales'!$G345:$CD345))</f>
        <v>367</v>
      </c>
      <c r="P360">
        <f>IF($E360=0,0,SUMPRODUCT($AI$10:$DF$10,'Staff Daily sales'!$G345:$CD345))</f>
        <v>4</v>
      </c>
      <c r="Q360">
        <f>IF($E360=0,0,SUMPRODUCT($AI$11:$DF$11,'Staff Daily sales'!$G345:$CD345))</f>
        <v>4099.1099999999997</v>
      </c>
      <c r="R360">
        <f>IF($E360=0,0,SUMPRODUCT($AI$12:$DF$12,'Staff Daily sales'!$G345:$CD345))</f>
        <v>29</v>
      </c>
      <c r="S360">
        <f>IF($E360=0,0,SUMPRODUCT($AI$13:$DF$13,'Staff Daily sales'!$G345:$CD345))</f>
        <v>3113.0299999999997</v>
      </c>
      <c r="T360">
        <f>IF($E360=0,0,SUMPRODUCT($AI$14:$DF$14,'Staff Daily sales'!$G345:$CD345))</f>
        <v>24</v>
      </c>
      <c r="U360">
        <f>IF($E360=0,0,SUMPRODUCT($AI$15:$DF$15,'Staff Daily sales'!$G345:$CD345))</f>
        <v>2069.0100000000002</v>
      </c>
      <c r="V360">
        <f>IF($E360=0,0,SUMPRODUCT($AI$16:$DF$16,'Staff Daily sales'!$G345:$CD345))</f>
        <v>12</v>
      </c>
      <c r="W360">
        <f t="shared" si="111"/>
        <v>19639.419999999998</v>
      </c>
      <c r="X360">
        <f t="shared" si="112"/>
        <v>29341.420000000002</v>
      </c>
      <c r="Y360">
        <f t="shared" si="113"/>
        <v>30050.489999999998</v>
      </c>
      <c r="Z360">
        <f t="shared" si="114"/>
        <v>21069.67</v>
      </c>
      <c r="AA360">
        <f t="shared" si="115"/>
        <v>5879.0400000000009</v>
      </c>
      <c r="AB360">
        <f>--AND($E360=1,OR('Staff Weekly Trend'!$B$3="All",$DH360='Staff Weekly Trend'!$B$3),OR('Staff Weekly Trend'!$B$4="All",$D360='Staff Weekly Trend'!$B$4),OR('Staff Weekly Trend'!$B$5="All",$A360='Staff Weekly Trend'!$B$5))</f>
        <v>1</v>
      </c>
      <c r="AC360">
        <f t="shared" si="116"/>
        <v>4</v>
      </c>
      <c r="AI360">
        <f t="shared" si="117"/>
        <v>153</v>
      </c>
      <c r="AJ360">
        <f t="shared" si="118"/>
        <v>191</v>
      </c>
      <c r="AK360">
        <f t="shared" si="119"/>
        <v>196</v>
      </c>
      <c r="AL360">
        <f t="shared" si="120"/>
        <v>135</v>
      </c>
      <c r="AM360">
        <f t="shared" si="121"/>
        <v>41</v>
      </c>
      <c r="DH360" t="str" cm="1">
        <f t="array" ref="DH360">IF($A360="","",_xlfn.LET(_xlpm.c,IFERROR(_xlfn.XLOOKUP($A360,TRIM('Sales and count'!$A$4:$A$300&amp;""),TRIM('Sales and count'!$B$4:$B$300&amp;"")),""),IF(OR(_xlpm.c="",_xlpm.c="0",LEFT(_xlpm.c,1)="#"),"Not set",_xlpm.c)))</f>
        <v>KSA</v>
      </c>
    </row>
    <row r="361" spans="1:112" x14ac:dyDescent="0.25">
      <c r="A361" t="str">
        <f>IF('Staff Daily sales'!$B346="","",TRIM('Staff Daily sales'!$B346&amp;""))</f>
        <v>HAWAHABLVD</v>
      </c>
      <c r="B361" t="str">
        <f>IF('Staff Daily sales'!$D346="","",TRIM('Staff Daily sales'!$D346&amp;""))</f>
        <v>3117-LAlMasrahi</v>
      </c>
      <c r="C361" t="str">
        <f>IFERROR(TRIM('Staff Daily sales'!$E346&amp;""),"")</f>
        <v>Jeddah</v>
      </c>
      <c r="D361" t="str">
        <f>IFERROR(IF(TRIM('Staff Daily sales'!$F346&amp;"")="","Unassigned",TRIM('Staff Daily sales'!$F346&amp;"")),"Unassigned")</f>
        <v>Ahlam Al Zahrani</v>
      </c>
      <c r="E361">
        <f t="shared" si="106"/>
        <v>1</v>
      </c>
      <c r="F361">
        <f>IF($E361=0,0,SUMPRODUCT($AI$5:$DF$5,'Staff Daily sales'!$G346:$CD346))</f>
        <v>1501.89</v>
      </c>
      <c r="G361">
        <f>IF($E361=0,0,SUMPRODUCT($AI$6:$DF$6,'Staff Daily sales'!$G346:$CD346))</f>
        <v>8</v>
      </c>
      <c r="H361">
        <f t="shared" si="107"/>
        <v>3263.8199999999997</v>
      </c>
      <c r="I361">
        <f t="shared" si="108"/>
        <v>20</v>
      </c>
      <c r="J361">
        <f t="shared" si="109"/>
        <v>62016.170000000006</v>
      </c>
      <c r="K361">
        <f t="shared" si="110"/>
        <v>398</v>
      </c>
      <c r="L361">
        <f>--AND($E361=1,OR('Staff Dashboard'!$B$6="All",$DH361='Staff Dashboard'!$B$6),OR('Staff Dashboard'!$B$7="All",$D361='Staff Dashboard'!$B$7),OR('Staff Dashboard'!$B$8="All",$A361='Staff Dashboard'!$B$8))</f>
        <v>0</v>
      </c>
      <c r="M361">
        <f>IF($E361=0,0,SUMPRODUCT($AI$7:$DF$7,'Staff Daily sales'!$G346:$CD346))</f>
        <v>6828.1799999999994</v>
      </c>
      <c r="N361">
        <f>IF($E361=0,0,SUMPRODUCT($AI$8:$DF$8,'Staff Daily sales'!$G346:$CD346))</f>
        <v>57</v>
      </c>
      <c r="O361">
        <f>IF($E361=0,0,SUMPRODUCT($AI$9:$DF$9,'Staff Daily sales'!$G346:$CD346))</f>
        <v>3642.0299999999997</v>
      </c>
      <c r="P361">
        <f>IF($E361=0,0,SUMPRODUCT($AI$10:$DF$10,'Staff Daily sales'!$G346:$CD346))</f>
        <v>26</v>
      </c>
      <c r="Q361">
        <f>IF($E361=0,0,SUMPRODUCT($AI$11:$DF$11,'Staff Daily sales'!$G346:$CD346))</f>
        <v>6929.04</v>
      </c>
      <c r="R361">
        <f>IF($E361=0,0,SUMPRODUCT($AI$12:$DF$12,'Staff Daily sales'!$G346:$CD346))</f>
        <v>49</v>
      </c>
      <c r="S361">
        <f>IF($E361=0,0,SUMPRODUCT($AI$13:$DF$13,'Staff Daily sales'!$G346:$CD346))</f>
        <v>4509.9000000000005</v>
      </c>
      <c r="T361">
        <f>IF($E361=0,0,SUMPRODUCT($AI$14:$DF$14,'Staff Daily sales'!$G346:$CD346))</f>
        <v>28</v>
      </c>
      <c r="U361">
        <f>IF($E361=0,0,SUMPRODUCT($AI$15:$DF$15,'Staff Daily sales'!$G346:$CD346))</f>
        <v>1055.06</v>
      </c>
      <c r="V361">
        <f>IF($E361=0,0,SUMPRODUCT($AI$16:$DF$16,'Staff Daily sales'!$G346:$CD346))</f>
        <v>9</v>
      </c>
      <c r="W361">
        <f t="shared" si="111"/>
        <v>19639.419999999998</v>
      </c>
      <c r="X361">
        <f t="shared" si="112"/>
        <v>29341.420000000002</v>
      </c>
      <c r="Y361">
        <f t="shared" si="113"/>
        <v>30050.489999999998</v>
      </c>
      <c r="Z361">
        <f t="shared" si="114"/>
        <v>21069.67</v>
      </c>
      <c r="AA361">
        <f t="shared" si="115"/>
        <v>5879.0400000000009</v>
      </c>
      <c r="AB361">
        <f>--AND($E361=1,OR('Staff Weekly Trend'!$B$3="All",$DH361='Staff Weekly Trend'!$B$3),OR('Staff Weekly Trend'!$B$4="All",$D361='Staff Weekly Trend'!$B$4),OR('Staff Weekly Trend'!$B$5="All",$A361='Staff Weekly Trend'!$B$5))</f>
        <v>1</v>
      </c>
      <c r="AC361">
        <f t="shared" si="116"/>
        <v>1</v>
      </c>
      <c r="AI361">
        <f t="shared" si="117"/>
        <v>153</v>
      </c>
      <c r="AJ361">
        <f t="shared" si="118"/>
        <v>191</v>
      </c>
      <c r="AK361">
        <f t="shared" si="119"/>
        <v>196</v>
      </c>
      <c r="AL361">
        <f t="shared" si="120"/>
        <v>135</v>
      </c>
      <c r="AM361">
        <f t="shared" si="121"/>
        <v>41</v>
      </c>
      <c r="DH361" t="str" cm="1">
        <f t="array" ref="DH361">IF($A361="","",_xlfn.LET(_xlpm.c,IFERROR(_xlfn.XLOOKUP($A361,TRIM('Sales and count'!$A$4:$A$300&amp;""),TRIM('Sales and count'!$B$4:$B$300&amp;"")),""),IF(OR(_xlpm.c="",_xlpm.c="0",LEFT(_xlpm.c,1)="#"),"Not set",_xlpm.c)))</f>
        <v>KSA</v>
      </c>
    </row>
    <row r="362" spans="1:112" x14ac:dyDescent="0.25">
      <c r="A362" t="str">
        <f>IF('Staff Daily sales'!$B347="","",TRIM('Staff Daily sales'!$B347&amp;""))</f>
        <v>HAWAHABLVD</v>
      </c>
      <c r="B362" t="str">
        <f>IF('Staff Daily sales'!$D347="","",TRIM('Staff Daily sales'!$D347&amp;""))</f>
        <v>4140-ZAlshriy</v>
      </c>
      <c r="C362" t="str">
        <f>IFERROR(TRIM('Staff Daily sales'!$E347&amp;""),"")</f>
        <v>Jeddah</v>
      </c>
      <c r="D362" t="str">
        <f>IFERROR(IF(TRIM('Staff Daily sales'!$F347&amp;"")="","Unassigned",TRIM('Staff Daily sales'!$F347&amp;"")),"Unassigned")</f>
        <v>Ahlam Al Zahrani</v>
      </c>
      <c r="E362">
        <f t="shared" si="106"/>
        <v>1</v>
      </c>
      <c r="F362">
        <f>IF($E362=0,0,SUMPRODUCT($AI$5:$DF$5,'Staff Daily sales'!$G347:$CD347))</f>
        <v>1012.96</v>
      </c>
      <c r="G362">
        <f>IF($E362=0,0,SUMPRODUCT($AI$6:$DF$6,'Staff Daily sales'!$G347:$CD347))</f>
        <v>7</v>
      </c>
      <c r="H362">
        <f t="shared" si="107"/>
        <v>3263.8199999999997</v>
      </c>
      <c r="I362">
        <f t="shared" si="108"/>
        <v>20</v>
      </c>
      <c r="J362">
        <f t="shared" si="109"/>
        <v>62016.170000000006</v>
      </c>
      <c r="K362">
        <f t="shared" si="110"/>
        <v>398</v>
      </c>
      <c r="L362">
        <f>--AND($E362=1,OR('Staff Dashboard'!$B$6="All",$DH362='Staff Dashboard'!$B$6),OR('Staff Dashboard'!$B$7="All",$D362='Staff Dashboard'!$B$7),OR('Staff Dashboard'!$B$8="All",$A362='Staff Dashboard'!$B$8))</f>
        <v>0</v>
      </c>
      <c r="M362">
        <f>IF($E362=0,0,SUMPRODUCT($AI$7:$DF$7,'Staff Daily sales'!$G347:$CD347))</f>
        <v>4376.07</v>
      </c>
      <c r="N362">
        <f>IF($E362=0,0,SUMPRODUCT($AI$8:$DF$8,'Staff Daily sales'!$G347:$CD347))</f>
        <v>27</v>
      </c>
      <c r="O362">
        <f>IF($E362=0,0,SUMPRODUCT($AI$9:$DF$9,'Staff Daily sales'!$G347:$CD347))</f>
        <v>12177.24</v>
      </c>
      <c r="P362">
        <f>IF($E362=0,0,SUMPRODUCT($AI$10:$DF$10,'Staff Daily sales'!$G347:$CD347))</f>
        <v>77</v>
      </c>
      <c r="Q362">
        <f>IF($E362=0,0,SUMPRODUCT($AI$11:$DF$11,'Staff Daily sales'!$G347:$CD347))</f>
        <v>10528.2</v>
      </c>
      <c r="R362">
        <f>IF($E362=0,0,SUMPRODUCT($AI$12:$DF$12,'Staff Daily sales'!$G347:$CD347))</f>
        <v>67</v>
      </c>
      <c r="S362">
        <f>IF($E362=0,0,SUMPRODUCT($AI$13:$DF$13,'Staff Daily sales'!$G347:$CD347))</f>
        <v>9508.75</v>
      </c>
      <c r="T362">
        <f>IF($E362=0,0,SUMPRODUCT($AI$14:$DF$14,'Staff Daily sales'!$G347:$CD347))</f>
        <v>59</v>
      </c>
      <c r="U362">
        <f>IF($E362=0,0,SUMPRODUCT($AI$15:$DF$15,'Staff Daily sales'!$G347:$CD347))</f>
        <v>1672.91</v>
      </c>
      <c r="V362">
        <f>IF($E362=0,0,SUMPRODUCT($AI$16:$DF$16,'Staff Daily sales'!$G347:$CD347))</f>
        <v>11</v>
      </c>
      <c r="W362">
        <f t="shared" si="111"/>
        <v>19639.419999999998</v>
      </c>
      <c r="X362">
        <f t="shared" si="112"/>
        <v>29341.420000000002</v>
      </c>
      <c r="Y362">
        <f t="shared" si="113"/>
        <v>30050.489999999998</v>
      </c>
      <c r="Z362">
        <f t="shared" si="114"/>
        <v>21069.67</v>
      </c>
      <c r="AA362">
        <f t="shared" si="115"/>
        <v>5879.0400000000009</v>
      </c>
      <c r="AB362">
        <f>--AND($E362=1,OR('Staff Weekly Trend'!$B$3="All",$DH362='Staff Weekly Trend'!$B$3),OR('Staff Weekly Trend'!$B$4="All",$D362='Staff Weekly Trend'!$B$4),OR('Staff Weekly Trend'!$B$5="All",$A362='Staff Weekly Trend'!$B$5))</f>
        <v>1</v>
      </c>
      <c r="AC362">
        <f t="shared" si="116"/>
        <v>2</v>
      </c>
      <c r="AI362">
        <f t="shared" si="117"/>
        <v>153</v>
      </c>
      <c r="AJ362">
        <f t="shared" si="118"/>
        <v>191</v>
      </c>
      <c r="AK362">
        <f t="shared" si="119"/>
        <v>196</v>
      </c>
      <c r="AL362">
        <f t="shared" si="120"/>
        <v>135</v>
      </c>
      <c r="AM362">
        <f t="shared" si="121"/>
        <v>41</v>
      </c>
      <c r="DH362" t="str" cm="1">
        <f t="array" ref="DH362">IF($A362="","",_xlfn.LET(_xlpm.c,IFERROR(_xlfn.XLOOKUP($A362,TRIM('Sales and count'!$A$4:$A$300&amp;""),TRIM('Sales and count'!$B$4:$B$300&amp;"")),""),IF(OR(_xlpm.c="",_xlpm.c="0",LEFT(_xlpm.c,1)="#"),"Not set",_xlpm.c)))</f>
        <v>KSA</v>
      </c>
    </row>
    <row r="363" spans="1:112" x14ac:dyDescent="0.25">
      <c r="A363" t="str">
        <f>IF('Staff Daily sales'!$B348="","",TRIM('Staff Daily sales'!$B348&amp;""))</f>
        <v>HAWAHABLVD</v>
      </c>
      <c r="B363" t="str">
        <f>IF('Staff Daily sales'!$D348="","",TRIM('Staff Daily sales'!$D348&amp;""))</f>
        <v>4297-AMubarak</v>
      </c>
      <c r="C363" t="str">
        <f>IFERROR(TRIM('Staff Daily sales'!$E348&amp;""),"")</f>
        <v>Jeddah</v>
      </c>
      <c r="D363" t="str">
        <f>IFERROR(IF(TRIM('Staff Daily sales'!$F348&amp;"")="","Unassigned",TRIM('Staff Daily sales'!$F348&amp;"")),"Unassigned")</f>
        <v>Ahlam Al Zahrani</v>
      </c>
      <c r="E363">
        <f t="shared" si="106"/>
        <v>1</v>
      </c>
      <c r="F363">
        <f>IF($E363=0,0,SUMPRODUCT($AI$5:$DF$5,'Staff Daily sales'!$G348:$CD348))</f>
        <v>0</v>
      </c>
      <c r="G363">
        <f>IF($E363=0,0,SUMPRODUCT($AI$6:$DF$6,'Staff Daily sales'!$G348:$CD348))</f>
        <v>0</v>
      </c>
      <c r="H363">
        <f t="shared" si="107"/>
        <v>3263.8199999999997</v>
      </c>
      <c r="I363">
        <f t="shared" si="108"/>
        <v>20</v>
      </c>
      <c r="J363">
        <f t="shared" si="109"/>
        <v>62016.170000000006</v>
      </c>
      <c r="K363">
        <f t="shared" si="110"/>
        <v>398</v>
      </c>
      <c r="L363">
        <f>--AND($E363=1,OR('Staff Dashboard'!$B$6="All",$DH363='Staff Dashboard'!$B$6),OR('Staff Dashboard'!$B$7="All",$D363='Staff Dashboard'!$B$7),OR('Staff Dashboard'!$B$8="All",$A363='Staff Dashboard'!$B$8))</f>
        <v>0</v>
      </c>
      <c r="M363">
        <f>IF($E363=0,0,SUMPRODUCT($AI$7:$DF$7,'Staff Daily sales'!$G348:$CD348))</f>
        <v>0</v>
      </c>
      <c r="N363">
        <f>IF($E363=0,0,SUMPRODUCT($AI$8:$DF$8,'Staff Daily sales'!$G348:$CD348))</f>
        <v>0</v>
      </c>
      <c r="O363">
        <f>IF($E363=0,0,SUMPRODUCT($AI$9:$DF$9,'Staff Daily sales'!$G348:$CD348))</f>
        <v>75</v>
      </c>
      <c r="P363">
        <f>IF($E363=0,0,SUMPRODUCT($AI$10:$DF$10,'Staff Daily sales'!$G348:$CD348))</f>
        <v>1</v>
      </c>
      <c r="Q363">
        <f>IF($E363=0,0,SUMPRODUCT($AI$11:$DF$11,'Staff Daily sales'!$G348:$CD348))</f>
        <v>0</v>
      </c>
      <c r="R363">
        <f>IF($E363=0,0,SUMPRODUCT($AI$12:$DF$12,'Staff Daily sales'!$G348:$CD348))</f>
        <v>0</v>
      </c>
      <c r="S363">
        <f>IF($E363=0,0,SUMPRODUCT($AI$13:$DF$13,'Staff Daily sales'!$G348:$CD348))</f>
        <v>0</v>
      </c>
      <c r="T363">
        <f>IF($E363=0,0,SUMPRODUCT($AI$14:$DF$14,'Staff Daily sales'!$G348:$CD348))</f>
        <v>0</v>
      </c>
      <c r="U363">
        <f>IF($E363=0,0,SUMPRODUCT($AI$15:$DF$15,'Staff Daily sales'!$G348:$CD348))</f>
        <v>0</v>
      </c>
      <c r="V363">
        <f>IF($E363=0,0,SUMPRODUCT($AI$16:$DF$16,'Staff Daily sales'!$G348:$CD348))</f>
        <v>0</v>
      </c>
      <c r="W363">
        <f t="shared" si="111"/>
        <v>19639.419999999998</v>
      </c>
      <c r="X363">
        <f t="shared" si="112"/>
        <v>29341.420000000002</v>
      </c>
      <c r="Y363">
        <f t="shared" si="113"/>
        <v>30050.489999999998</v>
      </c>
      <c r="Z363">
        <f t="shared" si="114"/>
        <v>21069.67</v>
      </c>
      <c r="AA363">
        <f t="shared" si="115"/>
        <v>5879.0400000000009</v>
      </c>
      <c r="AB363">
        <f>--AND($E363=1,OR('Staff Weekly Trend'!$B$3="All",$DH363='Staff Weekly Trend'!$B$3),OR('Staff Weekly Trend'!$B$4="All",$D363='Staff Weekly Trend'!$B$4),OR('Staff Weekly Trend'!$B$5="All",$A363='Staff Weekly Trend'!$B$5))</f>
        <v>1</v>
      </c>
      <c r="AC363" t="str">
        <f t="shared" si="116"/>
        <v/>
      </c>
      <c r="AI363">
        <f t="shared" si="117"/>
        <v>153</v>
      </c>
      <c r="AJ363">
        <f t="shared" si="118"/>
        <v>191</v>
      </c>
      <c r="AK363">
        <f t="shared" si="119"/>
        <v>196</v>
      </c>
      <c r="AL363">
        <f t="shared" si="120"/>
        <v>135</v>
      </c>
      <c r="AM363">
        <f t="shared" si="121"/>
        <v>41</v>
      </c>
      <c r="DH363" t="str" cm="1">
        <f t="array" ref="DH363">IF($A363="","",_xlfn.LET(_xlpm.c,IFERROR(_xlfn.XLOOKUP($A363,TRIM('Sales and count'!$A$4:$A$300&amp;""),TRIM('Sales and count'!$B$4:$B$300&amp;"")),""),IF(OR(_xlpm.c="",_xlpm.c="0",LEFT(_xlpm.c,1)="#"),"Not set",_xlpm.c)))</f>
        <v>KSA</v>
      </c>
    </row>
    <row r="364" spans="1:112" x14ac:dyDescent="0.25">
      <c r="A364" t="str">
        <f>IF('Staff Daily sales'!$B349="","",TRIM('Staff Daily sales'!$B349&amp;""))</f>
        <v>HAWAHABLVD</v>
      </c>
      <c r="B364" t="str">
        <f>IF('Staff Daily sales'!$D349="","",TRIM('Staff Daily sales'!$D349&amp;""))</f>
        <v>7052-RAli</v>
      </c>
      <c r="C364" t="str">
        <f>IFERROR(TRIM('Staff Daily sales'!$E349&amp;""),"")</f>
        <v>Jeddah</v>
      </c>
      <c r="D364" t="str">
        <f>IFERROR(IF(TRIM('Staff Daily sales'!$F349&amp;"")="","Unassigned",TRIM('Staff Daily sales'!$F349&amp;"")),"Unassigned")</f>
        <v>Ahlam Al Zahrani</v>
      </c>
      <c r="E364">
        <f t="shared" si="106"/>
        <v>1</v>
      </c>
      <c r="F364">
        <f>IF($E364=0,0,SUMPRODUCT($AI$5:$DF$5,'Staff Daily sales'!$G349:$CD349))</f>
        <v>387.99</v>
      </c>
      <c r="G364">
        <f>IF($E364=0,0,SUMPRODUCT($AI$6:$DF$6,'Staff Daily sales'!$G349:$CD349))</f>
        <v>3</v>
      </c>
      <c r="H364">
        <f t="shared" si="107"/>
        <v>3263.8199999999997</v>
      </c>
      <c r="I364">
        <f t="shared" si="108"/>
        <v>20</v>
      </c>
      <c r="J364">
        <f t="shared" si="109"/>
        <v>62016.170000000006</v>
      </c>
      <c r="K364">
        <f t="shared" si="110"/>
        <v>398</v>
      </c>
      <c r="L364">
        <f>--AND($E364=1,OR('Staff Dashboard'!$B$6="All",$DH364='Staff Dashboard'!$B$6),OR('Staff Dashboard'!$B$7="All",$D364='Staff Dashboard'!$B$7),OR('Staff Dashboard'!$B$8="All",$A364='Staff Dashboard'!$B$8))</f>
        <v>0</v>
      </c>
      <c r="M364">
        <f>IF($E364=0,0,SUMPRODUCT($AI$7:$DF$7,'Staff Daily sales'!$G349:$CD349))</f>
        <v>8435.17</v>
      </c>
      <c r="N364">
        <f>IF($E364=0,0,SUMPRODUCT($AI$8:$DF$8,'Staff Daily sales'!$G349:$CD349))</f>
        <v>69</v>
      </c>
      <c r="O364">
        <f>IF($E364=0,0,SUMPRODUCT($AI$9:$DF$9,'Staff Daily sales'!$G349:$CD349))</f>
        <v>13080.150000000001</v>
      </c>
      <c r="P364">
        <f>IF($E364=0,0,SUMPRODUCT($AI$10:$DF$10,'Staff Daily sales'!$G349:$CD349))</f>
        <v>83</v>
      </c>
      <c r="Q364">
        <f>IF($E364=0,0,SUMPRODUCT($AI$11:$DF$11,'Staff Daily sales'!$G349:$CD349))</f>
        <v>8494.14</v>
      </c>
      <c r="R364">
        <f>IF($E364=0,0,SUMPRODUCT($AI$12:$DF$12,'Staff Daily sales'!$G349:$CD349))</f>
        <v>51</v>
      </c>
      <c r="S364">
        <f>IF($E364=0,0,SUMPRODUCT($AI$13:$DF$13,'Staff Daily sales'!$G349:$CD349))</f>
        <v>3937.99</v>
      </c>
      <c r="T364">
        <f>IF($E364=0,0,SUMPRODUCT($AI$14:$DF$14,'Staff Daily sales'!$G349:$CD349))</f>
        <v>24</v>
      </c>
      <c r="U364">
        <f>IF($E364=0,0,SUMPRODUCT($AI$15:$DF$15,'Staff Daily sales'!$G349:$CD349))</f>
        <v>1082.06</v>
      </c>
      <c r="V364">
        <f>IF($E364=0,0,SUMPRODUCT($AI$16:$DF$16,'Staff Daily sales'!$G349:$CD349))</f>
        <v>9</v>
      </c>
      <c r="W364">
        <f t="shared" si="111"/>
        <v>19639.419999999998</v>
      </c>
      <c r="X364">
        <f t="shared" si="112"/>
        <v>29341.420000000002</v>
      </c>
      <c r="Y364">
        <f t="shared" si="113"/>
        <v>30050.489999999998</v>
      </c>
      <c r="Z364">
        <f t="shared" si="114"/>
        <v>21069.67</v>
      </c>
      <c r="AA364">
        <f t="shared" si="115"/>
        <v>5879.0400000000009</v>
      </c>
      <c r="AB364">
        <f>--AND($E364=1,OR('Staff Weekly Trend'!$B$3="All",$DH364='Staff Weekly Trend'!$B$3),OR('Staff Weekly Trend'!$B$4="All",$D364='Staff Weekly Trend'!$B$4),OR('Staff Weekly Trend'!$B$5="All",$A364='Staff Weekly Trend'!$B$5))</f>
        <v>1</v>
      </c>
      <c r="AC364">
        <f t="shared" si="116"/>
        <v>3</v>
      </c>
      <c r="AI364">
        <f t="shared" si="117"/>
        <v>153</v>
      </c>
      <c r="AJ364">
        <f t="shared" si="118"/>
        <v>191</v>
      </c>
      <c r="AK364">
        <f t="shared" si="119"/>
        <v>196</v>
      </c>
      <c r="AL364">
        <f t="shared" si="120"/>
        <v>135</v>
      </c>
      <c r="AM364">
        <f t="shared" si="121"/>
        <v>41</v>
      </c>
      <c r="DH364" t="str" cm="1">
        <f t="array" ref="DH364">IF($A364="","",_xlfn.LET(_xlpm.c,IFERROR(_xlfn.XLOOKUP($A364,TRIM('Sales and count'!$A$4:$A$300&amp;""),TRIM('Sales and count'!$B$4:$B$300&amp;"")),""),IF(OR(_xlpm.c="",_xlpm.c="0",LEFT(_xlpm.c,1)="#"),"Not set",_xlpm.c)))</f>
        <v>KSA</v>
      </c>
    </row>
    <row r="365" spans="1:112" x14ac:dyDescent="0.25">
      <c r="A365" t="str">
        <f>IF('Staff Daily sales'!$B350="","",TRIM('Staff Daily sales'!$B350&amp;""))</f>
        <v>HAQURSOQ</v>
      </c>
      <c r="B365" t="str">
        <f>IF('Staff Daily sales'!$D350="","",TRIM('Staff Daily sales'!$D350&amp;""))</f>
        <v>4318-YAbduIIah</v>
      </c>
      <c r="C365" t="str">
        <f>IFERROR(TRIM('Staff Daily sales'!$E350&amp;""),"")</f>
        <v>Qurayat</v>
      </c>
      <c r="D365" t="str">
        <f>IFERROR(IF(TRIM('Staff Daily sales'!$F350&amp;"")="","Unassigned",TRIM('Staff Daily sales'!$F350&amp;"")),"Unassigned")</f>
        <v>Mohammed Sanad</v>
      </c>
      <c r="E365">
        <f t="shared" si="106"/>
        <v>1</v>
      </c>
      <c r="F365">
        <f>IF($E365=0,0,SUMPRODUCT($AI$5:$DF$5,'Staff Daily sales'!$G350:$CD350))</f>
        <v>930.98</v>
      </c>
      <c r="G365">
        <f>IF($E365=0,0,SUMPRODUCT($AI$6:$DF$6,'Staff Daily sales'!$G350:$CD350))</f>
        <v>3</v>
      </c>
      <c r="H365">
        <f t="shared" si="107"/>
        <v>2534.88</v>
      </c>
      <c r="I365">
        <f t="shared" si="108"/>
        <v>13</v>
      </c>
      <c r="J365">
        <f t="shared" si="109"/>
        <v>64682.640000000014</v>
      </c>
      <c r="K365">
        <f t="shared" si="110"/>
        <v>326</v>
      </c>
      <c r="L365">
        <f>--AND($E365=1,OR('Staff Dashboard'!$B$6="All",$DH365='Staff Dashboard'!$B$6),OR('Staff Dashboard'!$B$7="All",$D365='Staff Dashboard'!$B$7),OR('Staff Dashboard'!$B$8="All",$A365='Staff Dashboard'!$B$8))</f>
        <v>0</v>
      </c>
      <c r="M365">
        <f>IF($E365=0,0,SUMPRODUCT($AI$7:$DF$7,'Staff Daily sales'!$G350:$CD350))</f>
        <v>3301.08</v>
      </c>
      <c r="N365">
        <f>IF($E365=0,0,SUMPRODUCT($AI$8:$DF$8,'Staff Daily sales'!$G350:$CD350))</f>
        <v>26</v>
      </c>
      <c r="O365">
        <f>IF($E365=0,0,SUMPRODUCT($AI$9:$DF$9,'Staff Daily sales'!$G350:$CD350))</f>
        <v>5603.08</v>
      </c>
      <c r="P365">
        <f>IF($E365=0,0,SUMPRODUCT($AI$10:$DF$10,'Staff Daily sales'!$G350:$CD350))</f>
        <v>42</v>
      </c>
      <c r="Q365">
        <f>IF($E365=0,0,SUMPRODUCT($AI$11:$DF$11,'Staff Daily sales'!$G350:$CD350))</f>
        <v>3848.0699999999997</v>
      </c>
      <c r="R365">
        <f>IF($E365=0,0,SUMPRODUCT($AI$12:$DF$12,'Staff Daily sales'!$G350:$CD350))</f>
        <v>16</v>
      </c>
      <c r="S365">
        <f>IF($E365=0,0,SUMPRODUCT($AI$13:$DF$13,'Staff Daily sales'!$G350:$CD350))</f>
        <v>2825.06</v>
      </c>
      <c r="T365">
        <f>IF($E365=0,0,SUMPRODUCT($AI$14:$DF$14,'Staff Daily sales'!$G350:$CD350))</f>
        <v>16</v>
      </c>
      <c r="U365">
        <f>IF($E365=0,0,SUMPRODUCT($AI$15:$DF$15,'Staff Daily sales'!$G350:$CD350))</f>
        <v>2373.9899999999998</v>
      </c>
      <c r="V365">
        <f>IF($E365=0,0,SUMPRODUCT($AI$16:$DF$16,'Staff Daily sales'!$G350:$CD350))</f>
        <v>17</v>
      </c>
      <c r="W365">
        <f t="shared" si="111"/>
        <v>16081.36</v>
      </c>
      <c r="X365">
        <f t="shared" si="112"/>
        <v>24821.33</v>
      </c>
      <c r="Y365">
        <f t="shared" si="113"/>
        <v>25832.450000000004</v>
      </c>
      <c r="Z365">
        <f t="shared" si="114"/>
        <v>19314.93</v>
      </c>
      <c r="AA365">
        <f t="shared" si="115"/>
        <v>4654.07</v>
      </c>
      <c r="AB365">
        <f>--AND($E365=1,OR('Staff Weekly Trend'!$B$3="All",$DH365='Staff Weekly Trend'!$B$3),OR('Staff Weekly Trend'!$B$4="All",$D365='Staff Weekly Trend'!$B$4),OR('Staff Weekly Trend'!$B$5="All",$A365='Staff Weekly Trend'!$B$5))</f>
        <v>1</v>
      </c>
      <c r="AC365">
        <f t="shared" si="116"/>
        <v>2</v>
      </c>
      <c r="AI365">
        <f t="shared" si="117"/>
        <v>114</v>
      </c>
      <c r="AJ365">
        <f t="shared" si="118"/>
        <v>168</v>
      </c>
      <c r="AK365">
        <f t="shared" si="119"/>
        <v>131</v>
      </c>
      <c r="AL365">
        <f t="shared" si="120"/>
        <v>104</v>
      </c>
      <c r="AM365">
        <f t="shared" si="121"/>
        <v>31</v>
      </c>
      <c r="DH365" t="str" cm="1">
        <f t="array" ref="DH365">IF($A365="","",_xlfn.LET(_xlpm.c,IFERROR(_xlfn.XLOOKUP($A365,TRIM('Sales and count'!$A$4:$A$300&amp;""),TRIM('Sales and count'!$B$4:$B$300&amp;"")),""),IF(OR(_xlpm.c="",_xlpm.c="0",LEFT(_xlpm.c,1)="#"),"Not set",_xlpm.c)))</f>
        <v>KSA</v>
      </c>
    </row>
    <row r="366" spans="1:112" x14ac:dyDescent="0.25">
      <c r="A366" t="str">
        <f>IF('Staff Daily sales'!$B351="","",TRIM('Staff Daily sales'!$B351&amp;""))</f>
        <v>HAQURSOQ</v>
      </c>
      <c r="B366" t="str">
        <f>IF('Staff Daily sales'!$D351="","",TRIM('Staff Daily sales'!$D351&amp;""))</f>
        <v>5361-FAI-Sharari</v>
      </c>
      <c r="C366" t="str">
        <f>IFERROR(TRIM('Staff Daily sales'!$E351&amp;""),"")</f>
        <v>Qurayat</v>
      </c>
      <c r="D366" t="str">
        <f>IFERROR(IF(TRIM('Staff Daily sales'!$F351&amp;"")="","Unassigned",TRIM('Staff Daily sales'!$F351&amp;"")),"Unassigned")</f>
        <v>Mohammed Sanad</v>
      </c>
      <c r="E366">
        <f t="shared" si="106"/>
        <v>1</v>
      </c>
      <c r="F366">
        <f>IF($E366=0,0,SUMPRODUCT($AI$5:$DF$5,'Staff Daily sales'!$G351:$CD351))</f>
        <v>0</v>
      </c>
      <c r="G366">
        <f>IF($E366=0,0,SUMPRODUCT($AI$6:$DF$6,'Staff Daily sales'!$G351:$CD351))</f>
        <v>0</v>
      </c>
      <c r="H366">
        <f t="shared" si="107"/>
        <v>2534.88</v>
      </c>
      <c r="I366">
        <f t="shared" si="108"/>
        <v>13</v>
      </c>
      <c r="J366">
        <f t="shared" si="109"/>
        <v>64682.640000000014</v>
      </c>
      <c r="K366">
        <f t="shared" si="110"/>
        <v>326</v>
      </c>
      <c r="L366">
        <f>--AND($E366=1,OR('Staff Dashboard'!$B$6="All",$DH366='Staff Dashboard'!$B$6),OR('Staff Dashboard'!$B$7="All",$D366='Staff Dashboard'!$B$7),OR('Staff Dashboard'!$B$8="All",$A366='Staff Dashboard'!$B$8))</f>
        <v>0</v>
      </c>
      <c r="M366">
        <f>IF($E366=0,0,SUMPRODUCT($AI$7:$DF$7,'Staff Daily sales'!$G351:$CD351))</f>
        <v>4969.1100000000006</v>
      </c>
      <c r="N366">
        <f>IF($E366=0,0,SUMPRODUCT($AI$8:$DF$8,'Staff Daily sales'!$G351:$CD351))</f>
        <v>35</v>
      </c>
      <c r="O366">
        <f>IF($E366=0,0,SUMPRODUCT($AI$9:$DF$9,'Staff Daily sales'!$G351:$CD351))</f>
        <v>7778.1</v>
      </c>
      <c r="P366">
        <f>IF($E366=0,0,SUMPRODUCT($AI$10:$DF$10,'Staff Daily sales'!$G351:$CD351))</f>
        <v>44</v>
      </c>
      <c r="Q366">
        <f>IF($E366=0,0,SUMPRODUCT($AI$11:$DF$11,'Staff Daily sales'!$G351:$CD351))</f>
        <v>6371.11</v>
      </c>
      <c r="R366">
        <f>IF($E366=0,0,SUMPRODUCT($AI$12:$DF$12,'Staff Daily sales'!$G351:$CD351))</f>
        <v>34</v>
      </c>
      <c r="S366">
        <f>IF($E366=0,0,SUMPRODUCT($AI$13:$DF$13,'Staff Daily sales'!$G351:$CD351))</f>
        <v>6401.9400000000005</v>
      </c>
      <c r="T366">
        <f>IF($E366=0,0,SUMPRODUCT($AI$14:$DF$14,'Staff Daily sales'!$G351:$CD351))</f>
        <v>29</v>
      </c>
      <c r="U366">
        <f>IF($E366=0,0,SUMPRODUCT($AI$15:$DF$15,'Staff Daily sales'!$G351:$CD351))</f>
        <v>0</v>
      </c>
      <c r="V366">
        <f>IF($E366=0,0,SUMPRODUCT($AI$16:$DF$16,'Staff Daily sales'!$G351:$CD351))</f>
        <v>0</v>
      </c>
      <c r="W366">
        <f t="shared" si="111"/>
        <v>16081.36</v>
      </c>
      <c r="X366">
        <f t="shared" si="112"/>
        <v>24821.33</v>
      </c>
      <c r="Y366">
        <f t="shared" si="113"/>
        <v>25832.450000000004</v>
      </c>
      <c r="Z366">
        <f t="shared" si="114"/>
        <v>19314.93</v>
      </c>
      <c r="AA366">
        <f t="shared" si="115"/>
        <v>4654.07</v>
      </c>
      <c r="AB366">
        <f>--AND($E366=1,OR('Staff Weekly Trend'!$B$3="All",$DH366='Staff Weekly Trend'!$B$3),OR('Staff Weekly Trend'!$B$4="All",$D366='Staff Weekly Trend'!$B$4),OR('Staff Weekly Trend'!$B$5="All",$A366='Staff Weekly Trend'!$B$5))</f>
        <v>1</v>
      </c>
      <c r="AC366" t="str">
        <f t="shared" si="116"/>
        <v/>
      </c>
      <c r="AI366">
        <f t="shared" si="117"/>
        <v>114</v>
      </c>
      <c r="AJ366">
        <f t="shared" si="118"/>
        <v>168</v>
      </c>
      <c r="AK366">
        <f t="shared" si="119"/>
        <v>131</v>
      </c>
      <c r="AL366">
        <f t="shared" si="120"/>
        <v>104</v>
      </c>
      <c r="AM366">
        <f t="shared" si="121"/>
        <v>31</v>
      </c>
      <c r="DH366" t="str" cm="1">
        <f t="array" ref="DH366">IF($A366="","",_xlfn.LET(_xlpm.c,IFERROR(_xlfn.XLOOKUP($A366,TRIM('Sales and count'!$A$4:$A$300&amp;""),TRIM('Sales and count'!$B$4:$B$300&amp;"")),""),IF(OR(_xlpm.c="",_xlpm.c="0",LEFT(_xlpm.c,1)="#"),"Not set",_xlpm.c)))</f>
        <v>KSA</v>
      </c>
    </row>
    <row r="367" spans="1:112" x14ac:dyDescent="0.25">
      <c r="A367" t="str">
        <f>IF('Staff Daily sales'!$B352="","",TRIM('Staff Daily sales'!$B352&amp;""))</f>
        <v>HAQURSOQ</v>
      </c>
      <c r="B367" t="str">
        <f>IF('Staff Daily sales'!$D352="","",TRIM('Staff Daily sales'!$D352&amp;""))</f>
        <v>7026-WAlsharari</v>
      </c>
      <c r="C367" t="str">
        <f>IFERROR(TRIM('Staff Daily sales'!$E352&amp;""),"")</f>
        <v>Qurayat</v>
      </c>
      <c r="D367" t="str">
        <f>IFERROR(IF(TRIM('Staff Daily sales'!$F352&amp;"")="","Unassigned",TRIM('Staff Daily sales'!$F352&amp;"")),"Unassigned")</f>
        <v>Mohammed Sanad</v>
      </c>
      <c r="E367">
        <f t="shared" si="106"/>
        <v>1</v>
      </c>
      <c r="F367">
        <f>IF($E367=0,0,SUMPRODUCT($AI$5:$DF$5,'Staff Daily sales'!$G352:$CD352))</f>
        <v>1007.94</v>
      </c>
      <c r="G367">
        <f>IF($E367=0,0,SUMPRODUCT($AI$6:$DF$6,'Staff Daily sales'!$G352:$CD352))</f>
        <v>6</v>
      </c>
      <c r="H367">
        <f t="shared" si="107"/>
        <v>2534.88</v>
      </c>
      <c r="I367">
        <f t="shared" si="108"/>
        <v>13</v>
      </c>
      <c r="J367">
        <f t="shared" si="109"/>
        <v>64682.640000000014</v>
      </c>
      <c r="K367">
        <f t="shared" si="110"/>
        <v>326</v>
      </c>
      <c r="L367">
        <f>--AND($E367=1,OR('Staff Dashboard'!$B$6="All",$DH367='Staff Dashboard'!$B$6),OR('Staff Dashboard'!$B$7="All",$D367='Staff Dashboard'!$B$7),OR('Staff Dashboard'!$B$8="All",$A367='Staff Dashboard'!$B$8))</f>
        <v>0</v>
      </c>
      <c r="M367">
        <f>IF($E367=0,0,SUMPRODUCT($AI$7:$DF$7,'Staff Daily sales'!$G352:$CD352))</f>
        <v>1422.03</v>
      </c>
      <c r="N367">
        <f>IF($E367=0,0,SUMPRODUCT($AI$8:$DF$8,'Staff Daily sales'!$G352:$CD352))</f>
        <v>10</v>
      </c>
      <c r="O367">
        <f>IF($E367=0,0,SUMPRODUCT($AI$9:$DF$9,'Staff Daily sales'!$G352:$CD352))</f>
        <v>4974.09</v>
      </c>
      <c r="P367">
        <f>IF($E367=0,0,SUMPRODUCT($AI$10:$DF$10,'Staff Daily sales'!$G352:$CD352))</f>
        <v>36</v>
      </c>
      <c r="Q367">
        <f>IF($E367=0,0,SUMPRODUCT($AI$11:$DF$11,'Staff Daily sales'!$G352:$CD352))</f>
        <v>8218.1500000000015</v>
      </c>
      <c r="R367">
        <f>IF($E367=0,0,SUMPRODUCT($AI$12:$DF$12,'Staff Daily sales'!$G352:$CD352))</f>
        <v>34</v>
      </c>
      <c r="S367">
        <f>IF($E367=0,0,SUMPRODUCT($AI$13:$DF$13,'Staff Daily sales'!$G352:$CD352))</f>
        <v>4263.9799999999996</v>
      </c>
      <c r="T367">
        <f>IF($E367=0,0,SUMPRODUCT($AI$14:$DF$14,'Staff Daily sales'!$G352:$CD352))</f>
        <v>22</v>
      </c>
      <c r="U367">
        <f>IF($E367=0,0,SUMPRODUCT($AI$15:$DF$15,'Staff Daily sales'!$G352:$CD352))</f>
        <v>1041</v>
      </c>
      <c r="V367">
        <f>IF($E367=0,0,SUMPRODUCT($AI$16:$DF$16,'Staff Daily sales'!$G352:$CD352))</f>
        <v>8</v>
      </c>
      <c r="W367">
        <f t="shared" si="111"/>
        <v>16081.36</v>
      </c>
      <c r="X367">
        <f t="shared" si="112"/>
        <v>24821.33</v>
      </c>
      <c r="Y367">
        <f t="shared" si="113"/>
        <v>25832.450000000004</v>
      </c>
      <c r="Z367">
        <f t="shared" si="114"/>
        <v>19314.93</v>
      </c>
      <c r="AA367">
        <f t="shared" si="115"/>
        <v>4654.07</v>
      </c>
      <c r="AB367">
        <f>--AND($E367=1,OR('Staff Weekly Trend'!$B$3="All",$DH367='Staff Weekly Trend'!$B$3),OR('Staff Weekly Trend'!$B$4="All",$D367='Staff Weekly Trend'!$B$4),OR('Staff Weekly Trend'!$B$5="All",$A367='Staff Weekly Trend'!$B$5))</f>
        <v>1</v>
      </c>
      <c r="AC367">
        <f t="shared" si="116"/>
        <v>1</v>
      </c>
      <c r="AI367">
        <f t="shared" si="117"/>
        <v>114</v>
      </c>
      <c r="AJ367">
        <f t="shared" si="118"/>
        <v>168</v>
      </c>
      <c r="AK367">
        <f t="shared" si="119"/>
        <v>131</v>
      </c>
      <c r="AL367">
        <f t="shared" si="120"/>
        <v>104</v>
      </c>
      <c r="AM367">
        <f t="shared" si="121"/>
        <v>31</v>
      </c>
      <c r="DH367" t="str" cm="1">
        <f t="array" ref="DH367">IF($A367="","",_xlfn.LET(_xlpm.c,IFERROR(_xlfn.XLOOKUP($A367,TRIM('Sales and count'!$A$4:$A$300&amp;""),TRIM('Sales and count'!$B$4:$B$300&amp;"")),""),IF(OR(_xlpm.c="",_xlpm.c="0",LEFT(_xlpm.c,1)="#"),"Not set",_xlpm.c)))</f>
        <v>KSA</v>
      </c>
    </row>
    <row r="368" spans="1:112" x14ac:dyDescent="0.25">
      <c r="A368" t="str">
        <f>IF('Staff Daily sales'!$B353="","",TRIM('Staff Daily sales'!$B353&amp;""))</f>
        <v>HAQURSOQ</v>
      </c>
      <c r="B368" t="str">
        <f>IF('Staff Daily sales'!$D353="","",TRIM('Staff Daily sales'!$D353&amp;""))</f>
        <v>7105-KAlsharari</v>
      </c>
      <c r="C368" t="str">
        <f>IFERROR(TRIM('Staff Daily sales'!$E353&amp;""),"")</f>
        <v>Qurayat</v>
      </c>
      <c r="D368" t="str">
        <f>IFERROR(IF(TRIM('Staff Daily sales'!$F353&amp;"")="","Unassigned",TRIM('Staff Daily sales'!$F353&amp;"")),"Unassigned")</f>
        <v>Mohammed Sanad</v>
      </c>
      <c r="E368">
        <f t="shared" si="106"/>
        <v>1</v>
      </c>
      <c r="F368">
        <f>IF($E368=0,0,SUMPRODUCT($AI$5:$DF$5,'Staff Daily sales'!$G353:$CD353))</f>
        <v>595.96</v>
      </c>
      <c r="G368">
        <f>IF($E368=0,0,SUMPRODUCT($AI$6:$DF$6,'Staff Daily sales'!$G353:$CD353))</f>
        <v>4</v>
      </c>
      <c r="H368">
        <f t="shared" si="107"/>
        <v>2534.88</v>
      </c>
      <c r="I368">
        <f t="shared" si="108"/>
        <v>13</v>
      </c>
      <c r="J368">
        <f t="shared" si="109"/>
        <v>64682.640000000014</v>
      </c>
      <c r="K368">
        <f t="shared" si="110"/>
        <v>326</v>
      </c>
      <c r="L368">
        <f>--AND($E368=1,OR('Staff Dashboard'!$B$6="All",$DH368='Staff Dashboard'!$B$6),OR('Staff Dashboard'!$B$7="All",$D368='Staff Dashboard'!$B$7),OR('Staff Dashboard'!$B$8="All",$A368='Staff Dashboard'!$B$8))</f>
        <v>0</v>
      </c>
      <c r="M368">
        <f>IF($E368=0,0,SUMPRODUCT($AI$7:$DF$7,'Staff Daily sales'!$G353:$CD353))</f>
        <v>6389.14</v>
      </c>
      <c r="N368">
        <f>IF($E368=0,0,SUMPRODUCT($AI$8:$DF$8,'Staff Daily sales'!$G353:$CD353))</f>
        <v>43</v>
      </c>
      <c r="O368">
        <f>IF($E368=0,0,SUMPRODUCT($AI$9:$DF$9,'Staff Daily sales'!$G353:$CD353))</f>
        <v>6466.0599999999995</v>
      </c>
      <c r="P368">
        <f>IF($E368=0,0,SUMPRODUCT($AI$10:$DF$10,'Staff Daily sales'!$G353:$CD353))</f>
        <v>46</v>
      </c>
      <c r="Q368">
        <f>IF($E368=0,0,SUMPRODUCT($AI$11:$DF$11,'Staff Daily sales'!$G353:$CD353))</f>
        <v>7395.1200000000008</v>
      </c>
      <c r="R368">
        <f>IF($E368=0,0,SUMPRODUCT($AI$12:$DF$12,'Staff Daily sales'!$G353:$CD353))</f>
        <v>47</v>
      </c>
      <c r="S368">
        <f>IF($E368=0,0,SUMPRODUCT($AI$13:$DF$13,'Staff Daily sales'!$G353:$CD353))</f>
        <v>5823.95</v>
      </c>
      <c r="T368">
        <f>IF($E368=0,0,SUMPRODUCT($AI$14:$DF$14,'Staff Daily sales'!$G353:$CD353))</f>
        <v>37</v>
      </c>
      <c r="U368">
        <f>IF($E368=0,0,SUMPRODUCT($AI$15:$DF$15,'Staff Daily sales'!$G353:$CD353))</f>
        <v>1239.08</v>
      </c>
      <c r="V368">
        <f>IF($E368=0,0,SUMPRODUCT($AI$16:$DF$16,'Staff Daily sales'!$G353:$CD353))</f>
        <v>6</v>
      </c>
      <c r="W368">
        <f t="shared" si="111"/>
        <v>16081.36</v>
      </c>
      <c r="X368">
        <f t="shared" si="112"/>
        <v>24821.33</v>
      </c>
      <c r="Y368">
        <f t="shared" si="113"/>
        <v>25832.450000000004</v>
      </c>
      <c r="Z368">
        <f t="shared" si="114"/>
        <v>19314.93</v>
      </c>
      <c r="AA368">
        <f t="shared" si="115"/>
        <v>4654.07</v>
      </c>
      <c r="AB368">
        <f>--AND($E368=1,OR('Staff Weekly Trend'!$B$3="All",$DH368='Staff Weekly Trend'!$B$3),OR('Staff Weekly Trend'!$B$4="All",$D368='Staff Weekly Trend'!$B$4),OR('Staff Weekly Trend'!$B$5="All",$A368='Staff Weekly Trend'!$B$5))</f>
        <v>1</v>
      </c>
      <c r="AC368">
        <f t="shared" si="116"/>
        <v>3</v>
      </c>
      <c r="AI368">
        <f t="shared" si="117"/>
        <v>114</v>
      </c>
      <c r="AJ368">
        <f t="shared" si="118"/>
        <v>168</v>
      </c>
      <c r="AK368">
        <f t="shared" si="119"/>
        <v>131</v>
      </c>
      <c r="AL368">
        <f t="shared" si="120"/>
        <v>104</v>
      </c>
      <c r="AM368">
        <f t="shared" si="121"/>
        <v>31</v>
      </c>
      <c r="DH368" t="str" cm="1">
        <f t="array" ref="DH368">IF($A368="","",_xlfn.LET(_xlpm.c,IFERROR(_xlfn.XLOOKUP($A368,TRIM('Sales and count'!$A$4:$A$300&amp;""),TRIM('Sales and count'!$B$4:$B$300&amp;"")),""),IF(OR(_xlpm.c="",_xlpm.c="0",LEFT(_xlpm.c,1)="#"),"Not set",_xlpm.c)))</f>
        <v>KSA</v>
      </c>
    </row>
    <row r="369" spans="1:112" x14ac:dyDescent="0.25">
      <c r="A369" t="str">
        <f>IF('Staff Daily sales'!$B354="","",TRIM('Staff Daily sales'!$B354&amp;""))</f>
        <v>HAARARSOQ</v>
      </c>
      <c r="B369" t="str">
        <f>IF('Staff Daily sales'!$D354="","",TRIM('Staff Daily sales'!$D354&amp;""))</f>
        <v>5393-SAlenzi</v>
      </c>
      <c r="C369" t="str">
        <f>IFERROR(TRIM('Staff Daily sales'!$E354&amp;""),"")</f>
        <v>Arar</v>
      </c>
      <c r="D369" t="str">
        <f>IFERROR(IF(TRIM('Staff Daily sales'!$F354&amp;"")="","Unassigned",TRIM('Staff Daily sales'!$F354&amp;"")),"Unassigned")</f>
        <v>Mohammed Sanad</v>
      </c>
      <c r="E369">
        <f t="shared" si="106"/>
        <v>1</v>
      </c>
      <c r="F369">
        <f>IF($E369=0,0,SUMPRODUCT($AI$5:$DF$5,'Staff Daily sales'!$G354:$CD354))</f>
        <v>345.01</v>
      </c>
      <c r="G369">
        <f>IF($E369=0,0,SUMPRODUCT($AI$6:$DF$6,'Staff Daily sales'!$G354:$CD354))</f>
        <v>2</v>
      </c>
      <c r="H369">
        <f t="shared" si="107"/>
        <v>1749.95</v>
      </c>
      <c r="I369">
        <f t="shared" si="108"/>
        <v>9</v>
      </c>
      <c r="J369">
        <f t="shared" si="109"/>
        <v>64682.640000000014</v>
      </c>
      <c r="K369">
        <f t="shared" si="110"/>
        <v>326</v>
      </c>
      <c r="L369">
        <f>--AND($E369=1,OR('Staff Dashboard'!$B$6="All",$DH369='Staff Dashboard'!$B$6),OR('Staff Dashboard'!$B$7="All",$D369='Staff Dashboard'!$B$7),OR('Staff Dashboard'!$B$8="All",$A369='Staff Dashboard'!$B$8))</f>
        <v>0</v>
      </c>
      <c r="M369">
        <f>IF($E369=0,0,SUMPRODUCT($AI$7:$DF$7,'Staff Daily sales'!$G354:$CD354))</f>
        <v>3564.09</v>
      </c>
      <c r="N369">
        <f>IF($E369=0,0,SUMPRODUCT($AI$8:$DF$8,'Staff Daily sales'!$G354:$CD354))</f>
        <v>30</v>
      </c>
      <c r="O369">
        <f>IF($E369=0,0,SUMPRODUCT($AI$9:$DF$9,'Staff Daily sales'!$G354:$CD354))</f>
        <v>2522.0200000000004</v>
      </c>
      <c r="P369">
        <f>IF($E369=0,0,SUMPRODUCT($AI$10:$DF$10,'Staff Daily sales'!$G354:$CD354))</f>
        <v>21</v>
      </c>
      <c r="Q369">
        <f>IF($E369=0,0,SUMPRODUCT($AI$11:$DF$11,'Staff Daily sales'!$G354:$CD354))</f>
        <v>4588.0499999999993</v>
      </c>
      <c r="R369">
        <f>IF($E369=0,0,SUMPRODUCT($AI$12:$DF$12,'Staff Daily sales'!$G354:$CD354))</f>
        <v>24</v>
      </c>
      <c r="S369">
        <f>IF($E369=0,0,SUMPRODUCT($AI$13:$DF$13,'Staff Daily sales'!$G354:$CD354))</f>
        <v>4246.04</v>
      </c>
      <c r="T369">
        <f>IF($E369=0,0,SUMPRODUCT($AI$14:$DF$14,'Staff Daily sales'!$G354:$CD354))</f>
        <v>33</v>
      </c>
      <c r="U369">
        <f>IF($E369=0,0,SUMPRODUCT($AI$15:$DF$15,'Staff Daily sales'!$G354:$CD354))</f>
        <v>1617.99</v>
      </c>
      <c r="V369">
        <f>IF($E369=0,0,SUMPRODUCT($AI$16:$DF$16,'Staff Daily sales'!$G354:$CD354))</f>
        <v>14</v>
      </c>
      <c r="W369">
        <f t="shared" si="111"/>
        <v>11575.25</v>
      </c>
      <c r="X369">
        <f t="shared" si="112"/>
        <v>14713.14</v>
      </c>
      <c r="Y369">
        <f t="shared" si="113"/>
        <v>12694.13</v>
      </c>
      <c r="Z369">
        <f t="shared" si="114"/>
        <v>13245.000000000002</v>
      </c>
      <c r="AA369">
        <f t="shared" si="115"/>
        <v>2515.98</v>
      </c>
      <c r="AB369">
        <f>--AND($E369=1,OR('Staff Weekly Trend'!$B$3="All",$DH369='Staff Weekly Trend'!$B$3),OR('Staff Weekly Trend'!$B$4="All",$D369='Staff Weekly Trend'!$B$4),OR('Staff Weekly Trend'!$B$5="All",$A369='Staff Weekly Trend'!$B$5))</f>
        <v>1</v>
      </c>
      <c r="AC369">
        <f t="shared" si="116"/>
        <v>3</v>
      </c>
      <c r="AI369">
        <f t="shared" si="117"/>
        <v>99</v>
      </c>
      <c r="AJ369">
        <f t="shared" si="118"/>
        <v>108</v>
      </c>
      <c r="AK369">
        <f t="shared" si="119"/>
        <v>78</v>
      </c>
      <c r="AL369">
        <f t="shared" si="120"/>
        <v>72</v>
      </c>
      <c r="AM369">
        <f t="shared" si="121"/>
        <v>22</v>
      </c>
      <c r="DH369" t="str" cm="1">
        <f t="array" ref="DH369">IF($A369="","",_xlfn.LET(_xlpm.c,IFERROR(_xlfn.XLOOKUP($A369,TRIM('Sales and count'!$A$4:$A$300&amp;""),TRIM('Sales and count'!$B$4:$B$300&amp;"")),""),IF(OR(_xlpm.c="",_xlpm.c="0",LEFT(_xlpm.c,1)="#"),"Not set",_xlpm.c)))</f>
        <v>KSA</v>
      </c>
    </row>
    <row r="370" spans="1:112" x14ac:dyDescent="0.25">
      <c r="A370" t="str">
        <f>IF('Staff Daily sales'!$B355="","",TRIM('Staff Daily sales'!$B355&amp;""))</f>
        <v>HAARARSOQ</v>
      </c>
      <c r="B370" t="str">
        <f>IF('Staff Daily sales'!$D355="","",TRIM('Staff Daily sales'!$D355&amp;""))</f>
        <v>6289-YAlanazi</v>
      </c>
      <c r="C370" t="str">
        <f>IFERROR(TRIM('Staff Daily sales'!$E355&amp;""),"")</f>
        <v>Arar</v>
      </c>
      <c r="D370" t="str">
        <f>IFERROR(IF(TRIM('Staff Daily sales'!$F355&amp;"")="","Unassigned",TRIM('Staff Daily sales'!$F355&amp;"")),"Unassigned")</f>
        <v>Mohammed Sanad</v>
      </c>
      <c r="E370">
        <f t="shared" si="106"/>
        <v>1</v>
      </c>
      <c r="F370">
        <f>IF($E370=0,0,SUMPRODUCT($AI$5:$DF$5,'Staff Daily sales'!$G355:$CD355))</f>
        <v>458.96</v>
      </c>
      <c r="G370">
        <f>IF($E370=0,0,SUMPRODUCT($AI$6:$DF$6,'Staff Daily sales'!$G355:$CD355))</f>
        <v>4</v>
      </c>
      <c r="H370">
        <f t="shared" si="107"/>
        <v>1749.95</v>
      </c>
      <c r="I370">
        <f t="shared" si="108"/>
        <v>9</v>
      </c>
      <c r="J370">
        <f t="shared" si="109"/>
        <v>64682.640000000014</v>
      </c>
      <c r="K370">
        <f t="shared" si="110"/>
        <v>326</v>
      </c>
      <c r="L370">
        <f>--AND($E370=1,OR('Staff Dashboard'!$B$6="All",$DH370='Staff Dashboard'!$B$6),OR('Staff Dashboard'!$B$7="All",$D370='Staff Dashboard'!$B$7),OR('Staff Dashboard'!$B$8="All",$A370='Staff Dashboard'!$B$8))</f>
        <v>0</v>
      </c>
      <c r="M370">
        <f>IF($E370=0,0,SUMPRODUCT($AI$7:$DF$7,'Staff Daily sales'!$G355:$CD355))</f>
        <v>3221.06</v>
      </c>
      <c r="N370">
        <f>IF($E370=0,0,SUMPRODUCT($AI$8:$DF$8,'Staff Daily sales'!$G355:$CD355))</f>
        <v>29</v>
      </c>
      <c r="O370">
        <f>IF($E370=0,0,SUMPRODUCT($AI$9:$DF$9,'Staff Daily sales'!$G355:$CD355))</f>
        <v>6816.0999999999995</v>
      </c>
      <c r="P370">
        <f>IF($E370=0,0,SUMPRODUCT($AI$10:$DF$10,'Staff Daily sales'!$G355:$CD355))</f>
        <v>49</v>
      </c>
      <c r="Q370">
        <f>IF($E370=0,0,SUMPRODUCT($AI$11:$DF$11,'Staff Daily sales'!$G355:$CD355))</f>
        <v>5854.01</v>
      </c>
      <c r="R370">
        <f>IF($E370=0,0,SUMPRODUCT($AI$12:$DF$12,'Staff Daily sales'!$G355:$CD355))</f>
        <v>38</v>
      </c>
      <c r="S370">
        <f>IF($E370=0,0,SUMPRODUCT($AI$13:$DF$13,'Staff Daily sales'!$G355:$CD355))</f>
        <v>4176.96</v>
      </c>
      <c r="T370">
        <f>IF($E370=0,0,SUMPRODUCT($AI$14:$DF$14,'Staff Daily sales'!$G355:$CD355))</f>
        <v>28</v>
      </c>
      <c r="U370">
        <f>IF($E370=0,0,SUMPRODUCT($AI$15:$DF$15,'Staff Daily sales'!$G355:$CD355))</f>
        <v>287</v>
      </c>
      <c r="V370">
        <f>IF($E370=0,0,SUMPRODUCT($AI$16:$DF$16,'Staff Daily sales'!$G355:$CD355))</f>
        <v>4</v>
      </c>
      <c r="W370">
        <f t="shared" si="111"/>
        <v>11575.25</v>
      </c>
      <c r="X370">
        <f t="shared" si="112"/>
        <v>14713.14</v>
      </c>
      <c r="Y370">
        <f t="shared" si="113"/>
        <v>12694.13</v>
      </c>
      <c r="Z370">
        <f t="shared" si="114"/>
        <v>13245.000000000002</v>
      </c>
      <c r="AA370">
        <f t="shared" si="115"/>
        <v>2515.98</v>
      </c>
      <c r="AB370">
        <f>--AND($E370=1,OR('Staff Weekly Trend'!$B$3="All",$DH370='Staff Weekly Trend'!$B$3),OR('Staff Weekly Trend'!$B$4="All",$D370='Staff Weekly Trend'!$B$4),OR('Staff Weekly Trend'!$B$5="All",$A370='Staff Weekly Trend'!$B$5))</f>
        <v>1</v>
      </c>
      <c r="AC370">
        <f t="shared" si="116"/>
        <v>2</v>
      </c>
      <c r="AI370">
        <f t="shared" si="117"/>
        <v>99</v>
      </c>
      <c r="AJ370">
        <f t="shared" si="118"/>
        <v>108</v>
      </c>
      <c r="AK370">
        <f t="shared" si="119"/>
        <v>78</v>
      </c>
      <c r="AL370">
        <f t="shared" si="120"/>
        <v>72</v>
      </c>
      <c r="AM370">
        <f t="shared" si="121"/>
        <v>22</v>
      </c>
      <c r="DH370" t="str" cm="1">
        <f t="array" ref="DH370">IF($A370="","",_xlfn.LET(_xlpm.c,IFERROR(_xlfn.XLOOKUP($A370,TRIM('Sales and count'!$A$4:$A$300&amp;""),TRIM('Sales and count'!$B$4:$B$300&amp;"")),""),IF(OR(_xlpm.c="",_xlpm.c="0",LEFT(_xlpm.c,1)="#"),"Not set",_xlpm.c)))</f>
        <v>KSA</v>
      </c>
    </row>
    <row r="371" spans="1:112" x14ac:dyDescent="0.25">
      <c r="A371" t="str">
        <f>IF('Staff Daily sales'!$B356="","",TRIM('Staff Daily sales'!$B356&amp;""))</f>
        <v>HAARARSOQ</v>
      </c>
      <c r="B371" t="str">
        <f>IF('Staff Daily sales'!$D356="","",TRIM('Staff Daily sales'!$D356&amp;""))</f>
        <v>6831-AAlenazi</v>
      </c>
      <c r="C371" t="str">
        <f>IFERROR(TRIM('Staff Daily sales'!$E356&amp;""),"")</f>
        <v>Arar</v>
      </c>
      <c r="D371" t="str">
        <f>IFERROR(IF(TRIM('Staff Daily sales'!$F356&amp;"")="","Unassigned",TRIM('Staff Daily sales'!$F356&amp;"")),"Unassigned")</f>
        <v>Mohammed Sanad</v>
      </c>
      <c r="E371">
        <f t="shared" si="106"/>
        <v>1</v>
      </c>
      <c r="F371">
        <f>IF($E371=0,0,SUMPRODUCT($AI$5:$DF$5,'Staff Daily sales'!$G356:$CD356))</f>
        <v>0</v>
      </c>
      <c r="G371">
        <f>IF($E371=0,0,SUMPRODUCT($AI$6:$DF$6,'Staff Daily sales'!$G356:$CD356))</f>
        <v>0</v>
      </c>
      <c r="H371">
        <f t="shared" si="107"/>
        <v>1749.95</v>
      </c>
      <c r="I371">
        <f t="shared" si="108"/>
        <v>9</v>
      </c>
      <c r="J371">
        <f t="shared" si="109"/>
        <v>64682.640000000014</v>
      </c>
      <c r="K371">
        <f t="shared" si="110"/>
        <v>326</v>
      </c>
      <c r="L371">
        <f>--AND($E371=1,OR('Staff Dashboard'!$B$6="All",$DH371='Staff Dashboard'!$B$6),OR('Staff Dashboard'!$B$7="All",$D371='Staff Dashboard'!$B$7),OR('Staff Dashboard'!$B$8="All",$A371='Staff Dashboard'!$B$8))</f>
        <v>0</v>
      </c>
      <c r="M371">
        <f>IF($E371=0,0,SUMPRODUCT($AI$7:$DF$7,'Staff Daily sales'!$G356:$CD356))</f>
        <v>4790.1000000000004</v>
      </c>
      <c r="N371">
        <f>IF($E371=0,0,SUMPRODUCT($AI$8:$DF$8,'Staff Daily sales'!$G356:$CD356))</f>
        <v>40</v>
      </c>
      <c r="O371">
        <f>IF($E371=0,0,SUMPRODUCT($AI$9:$DF$9,'Staff Daily sales'!$G356:$CD356))</f>
        <v>5375.0199999999995</v>
      </c>
      <c r="P371">
        <f>IF($E371=0,0,SUMPRODUCT($AI$10:$DF$10,'Staff Daily sales'!$G356:$CD356))</f>
        <v>38</v>
      </c>
      <c r="Q371">
        <f>IF($E371=0,0,SUMPRODUCT($AI$11:$DF$11,'Staff Daily sales'!$G356:$CD356))</f>
        <v>2252.0699999999997</v>
      </c>
      <c r="R371">
        <f>IF($E371=0,0,SUMPRODUCT($AI$12:$DF$12,'Staff Daily sales'!$G356:$CD356))</f>
        <v>16</v>
      </c>
      <c r="S371">
        <f>IF($E371=0,0,SUMPRODUCT($AI$13:$DF$13,'Staff Daily sales'!$G356:$CD356))</f>
        <v>2989.0600000000004</v>
      </c>
      <c r="T371">
        <f>IF($E371=0,0,SUMPRODUCT($AI$14:$DF$14,'Staff Daily sales'!$G356:$CD356))</f>
        <v>4</v>
      </c>
      <c r="U371">
        <f>IF($E371=0,0,SUMPRODUCT($AI$15:$DF$15,'Staff Daily sales'!$G356:$CD356))</f>
        <v>0</v>
      </c>
      <c r="V371">
        <f>IF($E371=0,0,SUMPRODUCT($AI$16:$DF$16,'Staff Daily sales'!$G356:$CD356))</f>
        <v>0</v>
      </c>
      <c r="W371">
        <f t="shared" si="111"/>
        <v>11575.25</v>
      </c>
      <c r="X371">
        <f t="shared" si="112"/>
        <v>14713.14</v>
      </c>
      <c r="Y371">
        <f t="shared" si="113"/>
        <v>12694.13</v>
      </c>
      <c r="Z371">
        <f t="shared" si="114"/>
        <v>13245.000000000002</v>
      </c>
      <c r="AA371">
        <f t="shared" si="115"/>
        <v>2515.98</v>
      </c>
      <c r="AB371">
        <f>--AND($E371=1,OR('Staff Weekly Trend'!$B$3="All",$DH371='Staff Weekly Trend'!$B$3),OR('Staff Weekly Trend'!$B$4="All",$D371='Staff Weekly Trend'!$B$4),OR('Staff Weekly Trend'!$B$5="All",$A371='Staff Weekly Trend'!$B$5))</f>
        <v>1</v>
      </c>
      <c r="AC371" t="str">
        <f t="shared" si="116"/>
        <v/>
      </c>
      <c r="AI371">
        <f t="shared" si="117"/>
        <v>99</v>
      </c>
      <c r="AJ371">
        <f t="shared" si="118"/>
        <v>108</v>
      </c>
      <c r="AK371">
        <f t="shared" si="119"/>
        <v>78</v>
      </c>
      <c r="AL371">
        <f t="shared" si="120"/>
        <v>72</v>
      </c>
      <c r="AM371">
        <f t="shared" si="121"/>
        <v>22</v>
      </c>
      <c r="DH371" t="str" cm="1">
        <f t="array" ref="DH371">IF($A371="","",_xlfn.LET(_xlpm.c,IFERROR(_xlfn.XLOOKUP($A371,TRIM('Sales and count'!$A$4:$A$300&amp;""),TRIM('Sales and count'!$B$4:$B$300&amp;"")),""),IF(OR(_xlpm.c="",_xlpm.c="0",LEFT(_xlpm.c,1)="#"),"Not set",_xlpm.c)))</f>
        <v>KSA</v>
      </c>
    </row>
    <row r="372" spans="1:112" x14ac:dyDescent="0.25">
      <c r="A372" t="str">
        <f>IF('Staff Daily sales'!$B357="","",TRIM('Staff Daily sales'!$B357&amp;""))</f>
        <v>HATERATIF</v>
      </c>
      <c r="B372" t="str">
        <f>IF('Staff Daily sales'!$D357="","",TRIM('Staff Daily sales'!$D357&amp;""))</f>
        <v>3527-MAlzahrani</v>
      </c>
      <c r="C372" t="str">
        <f>IFERROR(TRIM('Staff Daily sales'!$E357&amp;""),"")</f>
        <v>Taif</v>
      </c>
      <c r="D372" t="str">
        <f>IFERROR(IF(TRIM('Staff Daily sales'!$F357&amp;"")="","Unassigned",TRIM('Staff Daily sales'!$F357&amp;"")),"Unassigned")</f>
        <v>Saleh Bin Hoiel</v>
      </c>
      <c r="E372">
        <f t="shared" si="106"/>
        <v>1</v>
      </c>
      <c r="F372">
        <f>IF($E372=0,0,SUMPRODUCT($AI$5:$DF$5,'Staff Daily sales'!$G357:$CD357))</f>
        <v>582.97</v>
      </c>
      <c r="G372">
        <f>IF($E372=0,0,SUMPRODUCT($AI$6:$DF$6,'Staff Daily sales'!$G357:$CD357))</f>
        <v>4</v>
      </c>
      <c r="H372">
        <f t="shared" si="107"/>
        <v>2803.79</v>
      </c>
      <c r="I372">
        <f t="shared" si="108"/>
        <v>19</v>
      </c>
      <c r="J372">
        <f t="shared" si="109"/>
        <v>69638.36</v>
      </c>
      <c r="K372">
        <f t="shared" si="110"/>
        <v>362</v>
      </c>
      <c r="L372">
        <f>--AND($E372=1,OR('Staff Dashboard'!$B$6="All",$DH372='Staff Dashboard'!$B$6),OR('Staff Dashboard'!$B$7="All",$D372='Staff Dashboard'!$B$7),OR('Staff Dashboard'!$B$8="All",$A372='Staff Dashboard'!$B$8))</f>
        <v>0</v>
      </c>
      <c r="M372">
        <f>IF($E372=0,0,SUMPRODUCT($AI$7:$DF$7,'Staff Daily sales'!$G357:$CD357))</f>
        <v>0</v>
      </c>
      <c r="N372">
        <f>IF($E372=0,0,SUMPRODUCT($AI$8:$DF$8,'Staff Daily sales'!$G357:$CD357))</f>
        <v>0</v>
      </c>
      <c r="O372">
        <f>IF($E372=0,0,SUMPRODUCT($AI$9:$DF$9,'Staff Daily sales'!$G357:$CD357))</f>
        <v>2384.0299999999997</v>
      </c>
      <c r="P372">
        <f>IF($E372=0,0,SUMPRODUCT($AI$10:$DF$10,'Staff Daily sales'!$G357:$CD357))</f>
        <v>22</v>
      </c>
      <c r="Q372">
        <f>IF($E372=0,0,SUMPRODUCT($AI$11:$DF$11,'Staff Daily sales'!$G357:$CD357))</f>
        <v>1689.07</v>
      </c>
      <c r="R372">
        <f>IF($E372=0,0,SUMPRODUCT($AI$12:$DF$12,'Staff Daily sales'!$G357:$CD357))</f>
        <v>13</v>
      </c>
      <c r="S372">
        <f>IF($E372=0,0,SUMPRODUCT($AI$13:$DF$13,'Staff Daily sales'!$G357:$CD357))</f>
        <v>1422.97</v>
      </c>
      <c r="T372">
        <f>IF($E372=0,0,SUMPRODUCT($AI$14:$DF$14,'Staff Daily sales'!$G357:$CD357))</f>
        <v>9</v>
      </c>
      <c r="U372">
        <f>IF($E372=0,0,SUMPRODUCT($AI$15:$DF$15,'Staff Daily sales'!$G357:$CD357))</f>
        <v>820.05</v>
      </c>
      <c r="V372">
        <f>IF($E372=0,0,SUMPRODUCT($AI$16:$DF$16,'Staff Daily sales'!$G357:$CD357))</f>
        <v>5</v>
      </c>
      <c r="W372">
        <f t="shared" si="111"/>
        <v>11977.1</v>
      </c>
      <c r="X372">
        <f t="shared" si="112"/>
        <v>17488.349999999999</v>
      </c>
      <c r="Y372">
        <f t="shared" si="113"/>
        <v>13473.289999999999</v>
      </c>
      <c r="Z372">
        <f t="shared" si="114"/>
        <v>10845.779999999999</v>
      </c>
      <c r="AA372">
        <f t="shared" si="115"/>
        <v>3858.0299999999997</v>
      </c>
      <c r="AB372">
        <f>--AND($E372=1,OR('Staff Weekly Trend'!$B$3="All",$DH372='Staff Weekly Trend'!$B$3),OR('Staff Weekly Trend'!$B$4="All",$D372='Staff Weekly Trend'!$B$4),OR('Staff Weekly Trend'!$B$5="All",$A372='Staff Weekly Trend'!$B$5))</f>
        <v>1</v>
      </c>
      <c r="AC372">
        <f t="shared" si="116"/>
        <v>2</v>
      </c>
      <c r="AI372">
        <f t="shared" si="117"/>
        <v>104</v>
      </c>
      <c r="AJ372">
        <f t="shared" si="118"/>
        <v>139</v>
      </c>
      <c r="AK372">
        <f t="shared" si="119"/>
        <v>112</v>
      </c>
      <c r="AL372">
        <f t="shared" si="120"/>
        <v>73</v>
      </c>
      <c r="AM372">
        <f t="shared" si="121"/>
        <v>25</v>
      </c>
      <c r="DH372" t="str" cm="1">
        <f t="array" ref="DH372">IF($A372="","",_xlfn.LET(_xlpm.c,IFERROR(_xlfn.XLOOKUP($A372,TRIM('Sales and count'!$A$4:$A$300&amp;""),TRIM('Sales and count'!$B$4:$B$300&amp;"")),""),IF(OR(_xlpm.c="",_xlpm.c="0",LEFT(_xlpm.c,1)="#"),"Not set",_xlpm.c)))</f>
        <v>KSA</v>
      </c>
    </row>
    <row r="373" spans="1:112" x14ac:dyDescent="0.25">
      <c r="A373" t="str">
        <f>IF('Staff Daily sales'!$B358="","",TRIM('Staff Daily sales'!$B358&amp;""))</f>
        <v>HATERATIF</v>
      </c>
      <c r="B373" t="str">
        <f>IF('Staff Daily sales'!$D358="","",TRIM('Staff Daily sales'!$D358&amp;""))</f>
        <v>4613-MAlOtaibi</v>
      </c>
      <c r="C373" t="str">
        <f>IFERROR(TRIM('Staff Daily sales'!$E358&amp;""),"")</f>
        <v>Taif</v>
      </c>
      <c r="D373" t="str">
        <f>IFERROR(IF(TRIM('Staff Daily sales'!$F358&amp;"")="","Unassigned",TRIM('Staff Daily sales'!$F358&amp;"")),"Unassigned")</f>
        <v>Saleh Bin Hoiel</v>
      </c>
      <c r="E373">
        <f t="shared" si="106"/>
        <v>1</v>
      </c>
      <c r="F373">
        <f>IF($E373=0,0,SUMPRODUCT($AI$5:$DF$5,'Staff Daily sales'!$G358:$CD358))</f>
        <v>2220.8200000000002</v>
      </c>
      <c r="G373">
        <f>IF($E373=0,0,SUMPRODUCT($AI$6:$DF$6,'Staff Daily sales'!$G358:$CD358))</f>
        <v>15</v>
      </c>
      <c r="H373">
        <f t="shared" si="107"/>
        <v>2803.79</v>
      </c>
      <c r="I373">
        <f t="shared" si="108"/>
        <v>19</v>
      </c>
      <c r="J373">
        <f t="shared" si="109"/>
        <v>69638.36</v>
      </c>
      <c r="K373">
        <f t="shared" si="110"/>
        <v>362</v>
      </c>
      <c r="L373">
        <f>--AND($E373=1,OR('Staff Dashboard'!$B$6="All",$DH373='Staff Dashboard'!$B$6),OR('Staff Dashboard'!$B$7="All",$D373='Staff Dashboard'!$B$7),OR('Staff Dashboard'!$B$8="All",$A373='Staff Dashboard'!$B$8))</f>
        <v>0</v>
      </c>
      <c r="M373">
        <f>IF($E373=0,0,SUMPRODUCT($AI$7:$DF$7,'Staff Daily sales'!$G358:$CD358))</f>
        <v>2236.06</v>
      </c>
      <c r="N373">
        <f>IF($E373=0,0,SUMPRODUCT($AI$8:$DF$8,'Staff Daily sales'!$G358:$CD358))</f>
        <v>23</v>
      </c>
      <c r="O373">
        <f>IF($E373=0,0,SUMPRODUCT($AI$9:$DF$9,'Staff Daily sales'!$G358:$CD358))</f>
        <v>3197.03</v>
      </c>
      <c r="P373">
        <f>IF($E373=0,0,SUMPRODUCT($AI$10:$DF$10,'Staff Daily sales'!$G358:$CD358))</f>
        <v>28</v>
      </c>
      <c r="Q373">
        <f>IF($E373=0,0,SUMPRODUCT($AI$11:$DF$11,'Staff Daily sales'!$G358:$CD358))</f>
        <v>1232.02</v>
      </c>
      <c r="R373">
        <f>IF($E373=0,0,SUMPRODUCT($AI$12:$DF$12,'Staff Daily sales'!$G358:$CD358))</f>
        <v>11</v>
      </c>
      <c r="S373">
        <f>IF($E373=0,0,SUMPRODUCT($AI$13:$DF$13,'Staff Daily sales'!$G358:$CD358))</f>
        <v>6197.73</v>
      </c>
      <c r="T373">
        <f>IF($E373=0,0,SUMPRODUCT($AI$14:$DF$14,'Staff Daily sales'!$G358:$CD358))</f>
        <v>39</v>
      </c>
      <c r="U373">
        <f>IF($E373=0,0,SUMPRODUCT($AI$15:$DF$15,'Staff Daily sales'!$G358:$CD358))</f>
        <v>3037.98</v>
      </c>
      <c r="V373">
        <f>IF($E373=0,0,SUMPRODUCT($AI$16:$DF$16,'Staff Daily sales'!$G358:$CD358))</f>
        <v>20</v>
      </c>
      <c r="W373">
        <f t="shared" si="111"/>
        <v>11977.1</v>
      </c>
      <c r="X373">
        <f t="shared" si="112"/>
        <v>17488.349999999999</v>
      </c>
      <c r="Y373">
        <f t="shared" si="113"/>
        <v>13473.289999999999</v>
      </c>
      <c r="Z373">
        <f t="shared" si="114"/>
        <v>10845.779999999999</v>
      </c>
      <c r="AA373">
        <f t="shared" si="115"/>
        <v>3858.0299999999997</v>
      </c>
      <c r="AB373">
        <f>--AND($E373=1,OR('Staff Weekly Trend'!$B$3="All",$DH373='Staff Weekly Trend'!$B$3),OR('Staff Weekly Trend'!$B$4="All",$D373='Staff Weekly Trend'!$B$4),OR('Staff Weekly Trend'!$B$5="All",$A373='Staff Weekly Trend'!$B$5))</f>
        <v>1</v>
      </c>
      <c r="AC373">
        <f t="shared" si="116"/>
        <v>1</v>
      </c>
      <c r="AI373">
        <f t="shared" si="117"/>
        <v>104</v>
      </c>
      <c r="AJ373">
        <f t="shared" si="118"/>
        <v>139</v>
      </c>
      <c r="AK373">
        <f t="shared" si="119"/>
        <v>112</v>
      </c>
      <c r="AL373">
        <f t="shared" si="120"/>
        <v>73</v>
      </c>
      <c r="AM373">
        <f t="shared" si="121"/>
        <v>25</v>
      </c>
      <c r="DH373" t="str" cm="1">
        <f t="array" ref="DH373">IF($A373="","",_xlfn.LET(_xlpm.c,IFERROR(_xlfn.XLOOKUP($A373,TRIM('Sales and count'!$A$4:$A$300&amp;""),TRIM('Sales and count'!$B$4:$B$300&amp;"")),""),IF(OR(_xlpm.c="",_xlpm.c="0",LEFT(_xlpm.c,1)="#"),"Not set",_xlpm.c)))</f>
        <v>KSA</v>
      </c>
    </row>
    <row r="374" spans="1:112" x14ac:dyDescent="0.25">
      <c r="A374" t="str">
        <f>IF('Staff Daily sales'!$B359="","",TRIM('Staff Daily sales'!$B359&amp;""))</f>
        <v>HATERATIF</v>
      </c>
      <c r="B374" t="str">
        <f>IF('Staff Daily sales'!$D359="","",TRIM('Staff Daily sales'!$D359&amp;""))</f>
        <v>5396-TALasiri</v>
      </c>
      <c r="C374" t="str">
        <f>IFERROR(TRIM('Staff Daily sales'!$E359&amp;""),"")</f>
        <v>Taif</v>
      </c>
      <c r="D374" t="str">
        <f>IFERROR(IF(TRIM('Staff Daily sales'!$F359&amp;"")="","Unassigned",TRIM('Staff Daily sales'!$F359&amp;"")),"Unassigned")</f>
        <v>Saleh Bin Hoiel</v>
      </c>
      <c r="E374">
        <f t="shared" si="106"/>
        <v>1</v>
      </c>
      <c r="F374">
        <f>IF($E374=0,0,SUMPRODUCT($AI$5:$DF$5,'Staff Daily sales'!$G359:$CD359))</f>
        <v>0</v>
      </c>
      <c r="G374">
        <f>IF($E374=0,0,SUMPRODUCT($AI$6:$DF$6,'Staff Daily sales'!$G359:$CD359))</f>
        <v>0</v>
      </c>
      <c r="H374">
        <f t="shared" si="107"/>
        <v>2803.79</v>
      </c>
      <c r="I374">
        <f t="shared" si="108"/>
        <v>19</v>
      </c>
      <c r="J374">
        <f t="shared" si="109"/>
        <v>69638.36</v>
      </c>
      <c r="K374">
        <f t="shared" si="110"/>
        <v>362</v>
      </c>
      <c r="L374">
        <f>--AND($E374=1,OR('Staff Dashboard'!$B$6="All",$DH374='Staff Dashboard'!$B$6),OR('Staff Dashboard'!$B$7="All",$D374='Staff Dashboard'!$B$7),OR('Staff Dashboard'!$B$8="All",$A374='Staff Dashboard'!$B$8))</f>
        <v>0</v>
      </c>
      <c r="M374">
        <f>IF($E374=0,0,SUMPRODUCT($AI$7:$DF$7,'Staff Daily sales'!$G359:$CD359))</f>
        <v>1891.01</v>
      </c>
      <c r="N374">
        <f>IF($E374=0,0,SUMPRODUCT($AI$8:$DF$8,'Staff Daily sales'!$G359:$CD359))</f>
        <v>13</v>
      </c>
      <c r="O374">
        <f>IF($E374=0,0,SUMPRODUCT($AI$9:$DF$9,'Staff Daily sales'!$G359:$CD359))</f>
        <v>7457.17</v>
      </c>
      <c r="P374">
        <f>IF($E374=0,0,SUMPRODUCT($AI$10:$DF$10,'Staff Daily sales'!$G359:$CD359))</f>
        <v>66</v>
      </c>
      <c r="Q374">
        <f>IF($E374=0,0,SUMPRODUCT($AI$11:$DF$11,'Staff Daily sales'!$G359:$CD359))</f>
        <v>6155.15</v>
      </c>
      <c r="R374">
        <f>IF($E374=0,0,SUMPRODUCT($AI$12:$DF$12,'Staff Daily sales'!$G359:$CD359))</f>
        <v>50</v>
      </c>
      <c r="S374">
        <f>IF($E374=0,0,SUMPRODUCT($AI$13:$DF$13,'Staff Daily sales'!$G359:$CD359))</f>
        <v>3225.08</v>
      </c>
      <c r="T374">
        <f>IF($E374=0,0,SUMPRODUCT($AI$14:$DF$14,'Staff Daily sales'!$G359:$CD359))</f>
        <v>25</v>
      </c>
      <c r="U374">
        <f>IF($E374=0,0,SUMPRODUCT($AI$15:$DF$15,'Staff Daily sales'!$G359:$CD359))</f>
        <v>0</v>
      </c>
      <c r="V374">
        <f>IF($E374=0,0,SUMPRODUCT($AI$16:$DF$16,'Staff Daily sales'!$G359:$CD359))</f>
        <v>0</v>
      </c>
      <c r="W374">
        <f t="shared" si="111"/>
        <v>11977.1</v>
      </c>
      <c r="X374">
        <f t="shared" si="112"/>
        <v>17488.349999999999</v>
      </c>
      <c r="Y374">
        <f t="shared" si="113"/>
        <v>13473.289999999999</v>
      </c>
      <c r="Z374">
        <f t="shared" si="114"/>
        <v>10845.779999999999</v>
      </c>
      <c r="AA374">
        <f t="shared" si="115"/>
        <v>3858.0299999999997</v>
      </c>
      <c r="AB374">
        <f>--AND($E374=1,OR('Staff Weekly Trend'!$B$3="All",$DH374='Staff Weekly Trend'!$B$3),OR('Staff Weekly Trend'!$B$4="All",$D374='Staff Weekly Trend'!$B$4),OR('Staff Weekly Trend'!$B$5="All",$A374='Staff Weekly Trend'!$B$5))</f>
        <v>1</v>
      </c>
      <c r="AC374" t="str">
        <f t="shared" si="116"/>
        <v/>
      </c>
      <c r="AI374">
        <f t="shared" si="117"/>
        <v>104</v>
      </c>
      <c r="AJ374">
        <f t="shared" si="118"/>
        <v>139</v>
      </c>
      <c r="AK374">
        <f t="shared" si="119"/>
        <v>112</v>
      </c>
      <c r="AL374">
        <f t="shared" si="120"/>
        <v>73</v>
      </c>
      <c r="AM374">
        <f t="shared" si="121"/>
        <v>25</v>
      </c>
      <c r="DH374" t="str" cm="1">
        <f t="array" ref="DH374">IF($A374="","",_xlfn.LET(_xlpm.c,IFERROR(_xlfn.XLOOKUP($A374,TRIM('Sales and count'!$A$4:$A$300&amp;""),TRIM('Sales and count'!$B$4:$B$300&amp;"")),""),IF(OR(_xlpm.c="",_xlpm.c="0",LEFT(_xlpm.c,1)="#"),"Not set",_xlpm.c)))</f>
        <v>KSA</v>
      </c>
    </row>
    <row r="375" spans="1:112" x14ac:dyDescent="0.25">
      <c r="A375" t="str">
        <f>IF('Staff Daily sales'!$B360="","",TRIM('Staff Daily sales'!$B360&amp;""))</f>
        <v>HATERATIF</v>
      </c>
      <c r="B375" t="str">
        <f>IF('Staff Daily sales'!$D360="","",TRIM('Staff Daily sales'!$D360&amp;""))</f>
        <v>5564-FAlmajdi</v>
      </c>
      <c r="C375" t="str">
        <f>IFERROR(TRIM('Staff Daily sales'!$E360&amp;""),"")</f>
        <v>Taif</v>
      </c>
      <c r="D375" t="str">
        <f>IFERROR(IF(TRIM('Staff Daily sales'!$F360&amp;"")="","Unassigned",TRIM('Staff Daily sales'!$F360&amp;"")),"Unassigned")</f>
        <v>Saleh Bin Hoiel</v>
      </c>
      <c r="E375">
        <f t="shared" si="106"/>
        <v>1</v>
      </c>
      <c r="F375">
        <f>IF($E375=0,0,SUMPRODUCT($AI$5:$DF$5,'Staff Daily sales'!$G360:$CD360))</f>
        <v>0</v>
      </c>
      <c r="G375">
        <f>IF($E375=0,0,SUMPRODUCT($AI$6:$DF$6,'Staff Daily sales'!$G360:$CD360))</f>
        <v>0</v>
      </c>
      <c r="H375">
        <f t="shared" si="107"/>
        <v>2803.79</v>
      </c>
      <c r="I375">
        <f t="shared" si="108"/>
        <v>19</v>
      </c>
      <c r="J375">
        <f t="shared" si="109"/>
        <v>69638.36</v>
      </c>
      <c r="K375">
        <f t="shared" si="110"/>
        <v>362</v>
      </c>
      <c r="L375">
        <f>--AND($E375=1,OR('Staff Dashboard'!$B$6="All",$DH375='Staff Dashboard'!$B$6),OR('Staff Dashboard'!$B$7="All",$D375='Staff Dashboard'!$B$7),OR('Staff Dashboard'!$B$8="All",$A375='Staff Dashboard'!$B$8))</f>
        <v>0</v>
      </c>
      <c r="M375">
        <f>IF($E375=0,0,SUMPRODUCT($AI$7:$DF$7,'Staff Daily sales'!$G360:$CD360))</f>
        <v>7850.0300000000007</v>
      </c>
      <c r="N375">
        <f>IF($E375=0,0,SUMPRODUCT($AI$8:$DF$8,'Staff Daily sales'!$G360:$CD360))</f>
        <v>68</v>
      </c>
      <c r="O375">
        <f>IF($E375=0,0,SUMPRODUCT($AI$9:$DF$9,'Staff Daily sales'!$G360:$CD360))</f>
        <v>4450.12</v>
      </c>
      <c r="P375">
        <f>IF($E375=0,0,SUMPRODUCT($AI$10:$DF$10,'Staff Daily sales'!$G360:$CD360))</f>
        <v>23</v>
      </c>
      <c r="Q375">
        <f>IF($E375=0,0,SUMPRODUCT($AI$11:$DF$11,'Staff Daily sales'!$G360:$CD360))</f>
        <v>4397.0499999999993</v>
      </c>
      <c r="R375">
        <f>IF($E375=0,0,SUMPRODUCT($AI$12:$DF$12,'Staff Daily sales'!$G360:$CD360))</f>
        <v>38</v>
      </c>
      <c r="S375">
        <f>IF($E375=0,0,SUMPRODUCT($AI$13:$DF$13,'Staff Daily sales'!$G360:$CD360))</f>
        <v>0</v>
      </c>
      <c r="T375">
        <f>IF($E375=0,0,SUMPRODUCT($AI$14:$DF$14,'Staff Daily sales'!$G360:$CD360))</f>
        <v>0</v>
      </c>
      <c r="U375">
        <f>IF($E375=0,0,SUMPRODUCT($AI$15:$DF$15,'Staff Daily sales'!$G360:$CD360))</f>
        <v>0</v>
      </c>
      <c r="V375">
        <f>IF($E375=0,0,SUMPRODUCT($AI$16:$DF$16,'Staff Daily sales'!$G360:$CD360))</f>
        <v>0</v>
      </c>
      <c r="W375">
        <f t="shared" si="111"/>
        <v>11977.1</v>
      </c>
      <c r="X375">
        <f t="shared" si="112"/>
        <v>17488.349999999999</v>
      </c>
      <c r="Y375">
        <f t="shared" si="113"/>
        <v>13473.289999999999</v>
      </c>
      <c r="Z375">
        <f t="shared" si="114"/>
        <v>10845.779999999999</v>
      </c>
      <c r="AA375">
        <f t="shared" si="115"/>
        <v>3858.0299999999997</v>
      </c>
      <c r="AB375">
        <f>--AND($E375=1,OR('Staff Weekly Trend'!$B$3="All",$DH375='Staff Weekly Trend'!$B$3),OR('Staff Weekly Trend'!$B$4="All",$D375='Staff Weekly Trend'!$B$4),OR('Staff Weekly Trend'!$B$5="All",$A375='Staff Weekly Trend'!$B$5))</f>
        <v>1</v>
      </c>
      <c r="AC375" t="str">
        <f t="shared" si="116"/>
        <v/>
      </c>
      <c r="AI375">
        <f t="shared" si="117"/>
        <v>104</v>
      </c>
      <c r="AJ375">
        <f t="shared" si="118"/>
        <v>139</v>
      </c>
      <c r="AK375">
        <f t="shared" si="119"/>
        <v>112</v>
      </c>
      <c r="AL375">
        <f t="shared" si="120"/>
        <v>73</v>
      </c>
      <c r="AM375">
        <f t="shared" si="121"/>
        <v>25</v>
      </c>
      <c r="DH375" t="str" cm="1">
        <f t="array" ref="DH375">IF($A375="","",_xlfn.LET(_xlpm.c,IFERROR(_xlfn.XLOOKUP($A375,TRIM('Sales and count'!$A$4:$A$300&amp;""),TRIM('Sales and count'!$B$4:$B$300&amp;"")),""),IF(OR(_xlpm.c="",_xlpm.c="0",LEFT(_xlpm.c,1)="#"),"Not set",_xlpm.c)))</f>
        <v>KSA</v>
      </c>
    </row>
    <row r="376" spans="1:112" x14ac:dyDescent="0.25">
      <c r="A376" t="str">
        <f>IF('Staff Daily sales'!$B361="","",TRIM('Staff Daily sales'!$B361&amp;""))</f>
        <v>HAGRIDPLZA</v>
      </c>
      <c r="B376" t="str">
        <f>IF('Staff Daily sales'!$D361="","",TRIM('Staff Daily sales'!$D361&amp;""))</f>
        <v>5495-MAlshammari</v>
      </c>
      <c r="C376" t="str">
        <f>IFERROR(TRIM('Staff Daily sales'!$E361&amp;""),"")</f>
        <v>Skaka</v>
      </c>
      <c r="D376" t="str">
        <f>IFERROR(IF(TRIM('Staff Daily sales'!$F361&amp;"")="","Unassigned",TRIM('Staff Daily sales'!$F361&amp;"")),"Unassigned")</f>
        <v>Mohammed Sanad</v>
      </c>
      <c r="E376">
        <f t="shared" si="106"/>
        <v>1</v>
      </c>
      <c r="F376">
        <f>IF($E376=0,0,SUMPRODUCT($AI$5:$DF$5,'Staff Daily sales'!$G361:$CD361))</f>
        <v>650.97</v>
      </c>
      <c r="G376">
        <f>IF($E376=0,0,SUMPRODUCT($AI$6:$DF$6,'Staff Daily sales'!$G361:$CD361))</f>
        <v>3</v>
      </c>
      <c r="H376">
        <f t="shared" si="107"/>
        <v>2931.89</v>
      </c>
      <c r="I376">
        <f t="shared" si="108"/>
        <v>20</v>
      </c>
      <c r="J376">
        <f t="shared" si="109"/>
        <v>64682.640000000014</v>
      </c>
      <c r="K376">
        <f t="shared" si="110"/>
        <v>326</v>
      </c>
      <c r="L376">
        <f>--AND($E376=1,OR('Staff Dashboard'!$B$6="All",$DH376='Staff Dashboard'!$B$6),OR('Staff Dashboard'!$B$7="All",$D376='Staff Dashboard'!$B$7),OR('Staff Dashboard'!$B$8="All",$A376='Staff Dashboard'!$B$8))</f>
        <v>0</v>
      </c>
      <c r="M376">
        <f>IF($E376=0,0,SUMPRODUCT($AI$7:$DF$7,'Staff Daily sales'!$G361:$CD361))</f>
        <v>2147.0100000000002</v>
      </c>
      <c r="N376">
        <f>IF($E376=0,0,SUMPRODUCT($AI$8:$DF$8,'Staff Daily sales'!$G361:$CD361))</f>
        <v>19</v>
      </c>
      <c r="O376">
        <f>IF($E376=0,0,SUMPRODUCT($AI$9:$DF$9,'Staff Daily sales'!$G361:$CD361))</f>
        <v>2169.02</v>
      </c>
      <c r="P376">
        <f>IF($E376=0,0,SUMPRODUCT($AI$10:$DF$10,'Staff Daily sales'!$G361:$CD361))</f>
        <v>13</v>
      </c>
      <c r="Q376">
        <f>IF($E376=0,0,SUMPRODUCT($AI$11:$DF$11,'Staff Daily sales'!$G361:$CD361))</f>
        <v>624.01</v>
      </c>
      <c r="R376">
        <f>IF($E376=0,0,SUMPRODUCT($AI$12:$DF$12,'Staff Daily sales'!$G361:$CD361))</f>
        <v>4</v>
      </c>
      <c r="S376">
        <f>IF($E376=0,0,SUMPRODUCT($AI$13:$DF$13,'Staff Daily sales'!$G361:$CD361))</f>
        <v>1911.96</v>
      </c>
      <c r="T376">
        <f>IF($E376=0,0,SUMPRODUCT($AI$14:$DF$14,'Staff Daily sales'!$G361:$CD361))</f>
        <v>11</v>
      </c>
      <c r="U376">
        <f>IF($E376=0,0,SUMPRODUCT($AI$15:$DF$15,'Staff Daily sales'!$G361:$CD361))</f>
        <v>872.04</v>
      </c>
      <c r="V376">
        <f>IF($E376=0,0,SUMPRODUCT($AI$16:$DF$16,'Staff Daily sales'!$G361:$CD361))</f>
        <v>6</v>
      </c>
      <c r="W376">
        <f t="shared" si="111"/>
        <v>18049.28</v>
      </c>
      <c r="X376">
        <f t="shared" si="112"/>
        <v>41634.540000000008</v>
      </c>
      <c r="Y376">
        <f t="shared" si="113"/>
        <v>25602.33</v>
      </c>
      <c r="Z376">
        <f t="shared" si="114"/>
        <v>20031.800000000003</v>
      </c>
      <c r="AA376">
        <f t="shared" si="115"/>
        <v>7524.08</v>
      </c>
      <c r="AB376">
        <f>--AND($E376=1,OR('Staff Weekly Trend'!$B$3="All",$DH376='Staff Weekly Trend'!$B$3),OR('Staff Weekly Trend'!$B$4="All",$D376='Staff Weekly Trend'!$B$4),OR('Staff Weekly Trend'!$B$5="All",$A376='Staff Weekly Trend'!$B$5))</f>
        <v>1</v>
      </c>
      <c r="AC376">
        <f t="shared" si="116"/>
        <v>3</v>
      </c>
      <c r="AI376">
        <f t="shared" si="117"/>
        <v>133</v>
      </c>
      <c r="AJ376">
        <f t="shared" si="118"/>
        <v>234</v>
      </c>
      <c r="AK376">
        <f t="shared" si="119"/>
        <v>164</v>
      </c>
      <c r="AL376">
        <f t="shared" si="120"/>
        <v>134</v>
      </c>
      <c r="AM376">
        <f t="shared" si="121"/>
        <v>47</v>
      </c>
      <c r="DH376" t="str" cm="1">
        <f t="array" ref="DH376">IF($A376="","",_xlfn.LET(_xlpm.c,IFERROR(_xlfn.XLOOKUP($A376,TRIM('Sales and count'!$A$4:$A$300&amp;""),TRIM('Sales and count'!$B$4:$B$300&amp;"")),""),IF(OR(_xlpm.c="",_xlpm.c="0",LEFT(_xlpm.c,1)="#"),"Not set",_xlpm.c)))</f>
        <v>KSA</v>
      </c>
    </row>
    <row r="377" spans="1:112" x14ac:dyDescent="0.25">
      <c r="A377" t="str">
        <f>IF('Staff Daily sales'!$B362="","",TRIM('Staff Daily sales'!$B362&amp;""))</f>
        <v>HAGRIDPLZA</v>
      </c>
      <c r="B377" t="str">
        <f>IF('Staff Daily sales'!$D362="","",TRIM('Staff Daily sales'!$D362&amp;""))</f>
        <v>5690-AAlruwaili</v>
      </c>
      <c r="C377" t="str">
        <f>IFERROR(TRIM('Staff Daily sales'!$E362&amp;""),"")</f>
        <v>Skaka</v>
      </c>
      <c r="D377" t="str">
        <f>IFERROR(IF(TRIM('Staff Daily sales'!$F362&amp;"")="","Unassigned",TRIM('Staff Daily sales'!$F362&amp;"")),"Unassigned")</f>
        <v>Mohammed Sanad</v>
      </c>
      <c r="E377">
        <f t="shared" si="106"/>
        <v>1</v>
      </c>
      <c r="F377">
        <f>IF($E377=0,0,SUMPRODUCT($AI$5:$DF$5,'Staff Daily sales'!$G362:$CD362))</f>
        <v>735.98</v>
      </c>
      <c r="G377">
        <f>IF($E377=0,0,SUMPRODUCT($AI$6:$DF$6,'Staff Daily sales'!$G362:$CD362))</f>
        <v>6</v>
      </c>
      <c r="H377">
        <f t="shared" si="107"/>
        <v>2931.89</v>
      </c>
      <c r="I377">
        <f t="shared" si="108"/>
        <v>20</v>
      </c>
      <c r="J377">
        <f t="shared" si="109"/>
        <v>64682.640000000014</v>
      </c>
      <c r="K377">
        <f t="shared" si="110"/>
        <v>326</v>
      </c>
      <c r="L377">
        <f>--AND($E377=1,OR('Staff Dashboard'!$B$6="All",$DH377='Staff Dashboard'!$B$6),OR('Staff Dashboard'!$B$7="All",$D377='Staff Dashboard'!$B$7),OR('Staff Dashboard'!$B$8="All",$A377='Staff Dashboard'!$B$8))</f>
        <v>0</v>
      </c>
      <c r="M377">
        <f>IF($E377=0,0,SUMPRODUCT($AI$7:$DF$7,'Staff Daily sales'!$G362:$CD362))</f>
        <v>1892.02</v>
      </c>
      <c r="N377">
        <f>IF($E377=0,0,SUMPRODUCT($AI$8:$DF$8,'Staff Daily sales'!$G362:$CD362))</f>
        <v>11</v>
      </c>
      <c r="O377">
        <f>IF($E377=0,0,SUMPRODUCT($AI$9:$DF$9,'Staff Daily sales'!$G362:$CD362))</f>
        <v>0</v>
      </c>
      <c r="P377">
        <f>IF($E377=0,0,SUMPRODUCT($AI$10:$DF$10,'Staff Daily sales'!$G362:$CD362))</f>
        <v>0</v>
      </c>
      <c r="Q377">
        <f>IF($E377=0,0,SUMPRODUCT($AI$11:$DF$11,'Staff Daily sales'!$G362:$CD362))</f>
        <v>465</v>
      </c>
      <c r="R377">
        <f>IF($E377=0,0,SUMPRODUCT($AI$12:$DF$12,'Staff Daily sales'!$G362:$CD362))</f>
        <v>3</v>
      </c>
      <c r="S377">
        <f>IF($E377=0,0,SUMPRODUCT($AI$13:$DF$13,'Staff Daily sales'!$G362:$CD362))</f>
        <v>6894.83</v>
      </c>
      <c r="T377">
        <f>IF($E377=0,0,SUMPRODUCT($AI$14:$DF$14,'Staff Daily sales'!$G362:$CD362))</f>
        <v>46</v>
      </c>
      <c r="U377">
        <f>IF($E377=0,0,SUMPRODUCT($AI$15:$DF$15,'Staff Daily sales'!$G362:$CD362))</f>
        <v>2581.04</v>
      </c>
      <c r="V377">
        <f>IF($E377=0,0,SUMPRODUCT($AI$16:$DF$16,'Staff Daily sales'!$G362:$CD362))</f>
        <v>17</v>
      </c>
      <c r="W377">
        <f t="shared" si="111"/>
        <v>18049.28</v>
      </c>
      <c r="X377">
        <f t="shared" si="112"/>
        <v>41634.540000000008</v>
      </c>
      <c r="Y377">
        <f t="shared" si="113"/>
        <v>25602.33</v>
      </c>
      <c r="Z377">
        <f t="shared" si="114"/>
        <v>20031.800000000003</v>
      </c>
      <c r="AA377">
        <f t="shared" si="115"/>
        <v>7524.08</v>
      </c>
      <c r="AB377">
        <f>--AND($E377=1,OR('Staff Weekly Trend'!$B$3="All",$DH377='Staff Weekly Trend'!$B$3),OR('Staff Weekly Trend'!$B$4="All",$D377='Staff Weekly Trend'!$B$4),OR('Staff Weekly Trend'!$B$5="All",$A377='Staff Weekly Trend'!$B$5))</f>
        <v>1</v>
      </c>
      <c r="AC377">
        <f t="shared" si="116"/>
        <v>2</v>
      </c>
      <c r="AI377">
        <f t="shared" si="117"/>
        <v>133</v>
      </c>
      <c r="AJ377">
        <f t="shared" si="118"/>
        <v>234</v>
      </c>
      <c r="AK377">
        <f t="shared" si="119"/>
        <v>164</v>
      </c>
      <c r="AL377">
        <f t="shared" si="120"/>
        <v>134</v>
      </c>
      <c r="AM377">
        <f t="shared" si="121"/>
        <v>47</v>
      </c>
      <c r="DH377" t="str" cm="1">
        <f t="array" ref="DH377">IF($A377="","",_xlfn.LET(_xlpm.c,IFERROR(_xlfn.XLOOKUP($A377,TRIM('Sales and count'!$A$4:$A$300&amp;""),TRIM('Sales and count'!$B$4:$B$300&amp;"")),""),IF(OR(_xlpm.c="",_xlpm.c="0",LEFT(_xlpm.c,1)="#"),"Not set",_xlpm.c)))</f>
        <v>KSA</v>
      </c>
    </row>
    <row r="378" spans="1:112" x14ac:dyDescent="0.25">
      <c r="A378" t="str">
        <f>IF('Staff Daily sales'!$B363="","",TRIM('Staff Daily sales'!$B363&amp;""))</f>
        <v>HAGRIDPLZA</v>
      </c>
      <c r="B378" t="str">
        <f>IF('Staff Daily sales'!$D363="","",TRIM('Staff Daily sales'!$D363&amp;""))</f>
        <v>5691-AAlqubaysi</v>
      </c>
      <c r="C378" t="str">
        <f>IFERROR(TRIM('Staff Daily sales'!$E363&amp;""),"")</f>
        <v>Skaka</v>
      </c>
      <c r="D378" t="str">
        <f>IFERROR(IF(TRIM('Staff Daily sales'!$F363&amp;"")="","Unassigned",TRIM('Staff Daily sales'!$F363&amp;"")),"Unassigned")</f>
        <v>Mohammed Sanad</v>
      </c>
      <c r="E378">
        <f t="shared" si="106"/>
        <v>1</v>
      </c>
      <c r="F378">
        <f>IF($E378=0,0,SUMPRODUCT($AI$5:$DF$5,'Staff Daily sales'!$G363:$CD363))</f>
        <v>1071.96</v>
      </c>
      <c r="G378">
        <f>IF($E378=0,0,SUMPRODUCT($AI$6:$DF$6,'Staff Daily sales'!$G363:$CD363))</f>
        <v>7</v>
      </c>
      <c r="H378">
        <f t="shared" si="107"/>
        <v>2931.89</v>
      </c>
      <c r="I378">
        <f t="shared" si="108"/>
        <v>20</v>
      </c>
      <c r="J378">
        <f t="shared" si="109"/>
        <v>64682.640000000014</v>
      </c>
      <c r="K378">
        <f t="shared" si="110"/>
        <v>326</v>
      </c>
      <c r="L378">
        <f>--AND($E378=1,OR('Staff Dashboard'!$B$6="All",$DH378='Staff Dashboard'!$B$6),OR('Staff Dashboard'!$B$7="All",$D378='Staff Dashboard'!$B$7),OR('Staff Dashboard'!$B$8="All",$A378='Staff Dashboard'!$B$8))</f>
        <v>0</v>
      </c>
      <c r="M378">
        <f>IF($E378=0,0,SUMPRODUCT($AI$7:$DF$7,'Staff Daily sales'!$G363:$CD363))</f>
        <v>6025.08</v>
      </c>
      <c r="N378">
        <f>IF($E378=0,0,SUMPRODUCT($AI$8:$DF$8,'Staff Daily sales'!$G363:$CD363))</f>
        <v>44</v>
      </c>
      <c r="O378">
        <f>IF($E378=0,0,SUMPRODUCT($AI$9:$DF$9,'Staff Daily sales'!$G363:$CD363))</f>
        <v>12369.160000000002</v>
      </c>
      <c r="P378">
        <f>IF($E378=0,0,SUMPRODUCT($AI$10:$DF$10,'Staff Daily sales'!$G363:$CD363))</f>
        <v>47</v>
      </c>
      <c r="Q378">
        <f>IF($E378=0,0,SUMPRODUCT($AI$11:$DF$11,'Staff Daily sales'!$G363:$CD363))</f>
        <v>6162.0499999999993</v>
      </c>
      <c r="R378">
        <f>IF($E378=0,0,SUMPRODUCT($AI$12:$DF$12,'Staff Daily sales'!$G363:$CD363))</f>
        <v>42</v>
      </c>
      <c r="S378">
        <f>IF($E378=0,0,SUMPRODUCT($AI$13:$DF$13,'Staff Daily sales'!$G363:$CD363))</f>
        <v>3671.9</v>
      </c>
      <c r="T378">
        <f>IF($E378=0,0,SUMPRODUCT($AI$14:$DF$14,'Staff Daily sales'!$G363:$CD363))</f>
        <v>25</v>
      </c>
      <c r="U378">
        <f>IF($E378=0,0,SUMPRODUCT($AI$15:$DF$15,'Staff Daily sales'!$G363:$CD363))</f>
        <v>0</v>
      </c>
      <c r="V378">
        <f>IF($E378=0,0,SUMPRODUCT($AI$16:$DF$16,'Staff Daily sales'!$G363:$CD363))</f>
        <v>0</v>
      </c>
      <c r="W378">
        <f t="shared" si="111"/>
        <v>18049.28</v>
      </c>
      <c r="X378">
        <f t="shared" si="112"/>
        <v>41634.540000000008</v>
      </c>
      <c r="Y378">
        <f t="shared" si="113"/>
        <v>25602.33</v>
      </c>
      <c r="Z378">
        <f t="shared" si="114"/>
        <v>20031.800000000003</v>
      </c>
      <c r="AA378">
        <f t="shared" si="115"/>
        <v>7524.08</v>
      </c>
      <c r="AB378">
        <f>--AND($E378=1,OR('Staff Weekly Trend'!$B$3="All",$DH378='Staff Weekly Trend'!$B$3),OR('Staff Weekly Trend'!$B$4="All",$D378='Staff Weekly Trend'!$B$4),OR('Staff Weekly Trend'!$B$5="All",$A378='Staff Weekly Trend'!$B$5))</f>
        <v>1</v>
      </c>
      <c r="AC378">
        <f t="shared" si="116"/>
        <v>1</v>
      </c>
      <c r="AI378">
        <f t="shared" si="117"/>
        <v>133</v>
      </c>
      <c r="AJ378">
        <f t="shared" si="118"/>
        <v>234</v>
      </c>
      <c r="AK378">
        <f t="shared" si="119"/>
        <v>164</v>
      </c>
      <c r="AL378">
        <f t="shared" si="120"/>
        <v>134</v>
      </c>
      <c r="AM378">
        <f t="shared" si="121"/>
        <v>47</v>
      </c>
      <c r="DH378" t="str" cm="1">
        <f t="array" ref="DH378">IF($A378="","",_xlfn.LET(_xlpm.c,IFERROR(_xlfn.XLOOKUP($A378,TRIM('Sales and count'!$A$4:$A$300&amp;""),TRIM('Sales and count'!$B$4:$B$300&amp;"")),""),IF(OR(_xlpm.c="",_xlpm.c="0",LEFT(_xlpm.c,1)="#"),"Not set",_xlpm.c)))</f>
        <v>KSA</v>
      </c>
    </row>
    <row r="379" spans="1:112" x14ac:dyDescent="0.25">
      <c r="A379" t="str">
        <f>IF('Staff Daily sales'!$B364="","",TRIM('Staff Daily sales'!$B364&amp;""))</f>
        <v>HAGRIDPLZA</v>
      </c>
      <c r="B379" t="str">
        <f>IF('Staff Daily sales'!$D364="","",TRIM('Staff Daily sales'!$D364&amp;""))</f>
        <v>5692-KAlhabbad</v>
      </c>
      <c r="C379" t="str">
        <f>IFERROR(TRIM('Staff Daily sales'!$E364&amp;""),"")</f>
        <v>Skaka</v>
      </c>
      <c r="D379" t="str">
        <f>IFERROR(IF(TRIM('Staff Daily sales'!$F364&amp;"")="","Unassigned",TRIM('Staff Daily sales'!$F364&amp;"")),"Unassigned")</f>
        <v>Mohammed Sanad</v>
      </c>
      <c r="E379">
        <f t="shared" si="106"/>
        <v>1</v>
      </c>
      <c r="F379">
        <f>IF($E379=0,0,SUMPRODUCT($AI$5:$DF$5,'Staff Daily sales'!$G364:$CD364))</f>
        <v>360.98</v>
      </c>
      <c r="G379">
        <f>IF($E379=0,0,SUMPRODUCT($AI$6:$DF$6,'Staff Daily sales'!$G364:$CD364))</f>
        <v>2</v>
      </c>
      <c r="H379">
        <f t="shared" si="107"/>
        <v>2931.89</v>
      </c>
      <c r="I379">
        <f t="shared" si="108"/>
        <v>20</v>
      </c>
      <c r="J379">
        <f t="shared" si="109"/>
        <v>64682.640000000014</v>
      </c>
      <c r="K379">
        <f t="shared" si="110"/>
        <v>326</v>
      </c>
      <c r="L379">
        <f>--AND($E379=1,OR('Staff Dashboard'!$B$6="All",$DH379='Staff Dashboard'!$B$6),OR('Staff Dashboard'!$B$7="All",$D379='Staff Dashboard'!$B$7),OR('Staff Dashboard'!$B$8="All",$A379='Staff Dashboard'!$B$8))</f>
        <v>0</v>
      </c>
      <c r="M379">
        <f>IF($E379=0,0,SUMPRODUCT($AI$7:$DF$7,'Staff Daily sales'!$G364:$CD364))</f>
        <v>7985.17</v>
      </c>
      <c r="N379">
        <f>IF($E379=0,0,SUMPRODUCT($AI$8:$DF$8,'Staff Daily sales'!$G364:$CD364))</f>
        <v>59</v>
      </c>
      <c r="O379">
        <f>IF($E379=0,0,SUMPRODUCT($AI$9:$DF$9,'Staff Daily sales'!$G364:$CD364))</f>
        <v>14075.130000000001</v>
      </c>
      <c r="P379">
        <f>IF($E379=0,0,SUMPRODUCT($AI$10:$DF$10,'Staff Daily sales'!$G364:$CD364))</f>
        <v>97</v>
      </c>
      <c r="Q379">
        <f>IF($E379=0,0,SUMPRODUCT($AI$11:$DF$11,'Staff Daily sales'!$G364:$CD364))</f>
        <v>9891.130000000001</v>
      </c>
      <c r="R379">
        <f>IF($E379=0,0,SUMPRODUCT($AI$12:$DF$12,'Staff Daily sales'!$G364:$CD364))</f>
        <v>63</v>
      </c>
      <c r="S379">
        <f>IF($E379=0,0,SUMPRODUCT($AI$13:$DF$13,'Staff Daily sales'!$G364:$CD364))</f>
        <v>2474.0099999999998</v>
      </c>
      <c r="T379">
        <f>IF($E379=0,0,SUMPRODUCT($AI$14:$DF$14,'Staff Daily sales'!$G364:$CD364))</f>
        <v>16</v>
      </c>
      <c r="U379">
        <f>IF($E379=0,0,SUMPRODUCT($AI$15:$DF$15,'Staff Daily sales'!$G364:$CD364))</f>
        <v>1552.98</v>
      </c>
      <c r="V379">
        <f>IF($E379=0,0,SUMPRODUCT($AI$16:$DF$16,'Staff Daily sales'!$G364:$CD364))</f>
        <v>9</v>
      </c>
      <c r="W379">
        <f t="shared" si="111"/>
        <v>18049.28</v>
      </c>
      <c r="X379">
        <f t="shared" si="112"/>
        <v>41634.540000000008</v>
      </c>
      <c r="Y379">
        <f t="shared" si="113"/>
        <v>25602.33</v>
      </c>
      <c r="Z379">
        <f t="shared" si="114"/>
        <v>20031.800000000003</v>
      </c>
      <c r="AA379">
        <f t="shared" si="115"/>
        <v>7524.08</v>
      </c>
      <c r="AB379">
        <f>--AND($E379=1,OR('Staff Weekly Trend'!$B$3="All",$DH379='Staff Weekly Trend'!$B$3),OR('Staff Weekly Trend'!$B$4="All",$D379='Staff Weekly Trend'!$B$4),OR('Staff Weekly Trend'!$B$5="All",$A379='Staff Weekly Trend'!$B$5))</f>
        <v>1</v>
      </c>
      <c r="AC379">
        <f t="shared" si="116"/>
        <v>4</v>
      </c>
      <c r="AI379">
        <f t="shared" si="117"/>
        <v>133</v>
      </c>
      <c r="AJ379">
        <f t="shared" si="118"/>
        <v>234</v>
      </c>
      <c r="AK379">
        <f t="shared" si="119"/>
        <v>164</v>
      </c>
      <c r="AL379">
        <f t="shared" si="120"/>
        <v>134</v>
      </c>
      <c r="AM379">
        <f t="shared" si="121"/>
        <v>47</v>
      </c>
      <c r="DH379" t="str" cm="1">
        <f t="array" ref="DH379">IF($A379="","",_xlfn.LET(_xlpm.c,IFERROR(_xlfn.XLOOKUP($A379,TRIM('Sales and count'!$A$4:$A$300&amp;""),TRIM('Sales and count'!$B$4:$B$300&amp;"")),""),IF(OR(_xlpm.c="",_xlpm.c="0",LEFT(_xlpm.c,1)="#"),"Not set",_xlpm.c)))</f>
        <v>KSA</v>
      </c>
    </row>
    <row r="380" spans="1:112" x14ac:dyDescent="0.25">
      <c r="A380" t="str">
        <f>IF('Staff Daily sales'!$B365="","",TRIM('Staff Daily sales'!$B365&amp;""))</f>
        <v>HAGRIDPLZA</v>
      </c>
      <c r="B380" t="str">
        <f>IF('Staff Daily sales'!$D365="","",TRIM('Staff Daily sales'!$D365&amp;""))</f>
        <v>5693-LAlrawili</v>
      </c>
      <c r="C380" t="str">
        <f>IFERROR(TRIM('Staff Daily sales'!$E365&amp;""),"")</f>
        <v>Skaka</v>
      </c>
      <c r="D380" t="str">
        <f>IFERROR(IF(TRIM('Staff Daily sales'!$F365&amp;"")="","Unassigned",TRIM('Staff Daily sales'!$F365&amp;"")),"Unassigned")</f>
        <v>Mohammed Sanad</v>
      </c>
      <c r="E380">
        <f t="shared" si="106"/>
        <v>1</v>
      </c>
      <c r="F380">
        <f>IF($E380=0,0,SUMPRODUCT($AI$5:$DF$5,'Staff Daily sales'!$G365:$CD365))</f>
        <v>112</v>
      </c>
      <c r="G380">
        <f>IF($E380=0,0,SUMPRODUCT($AI$6:$DF$6,'Staff Daily sales'!$G365:$CD365))</f>
        <v>2</v>
      </c>
      <c r="H380">
        <f t="shared" si="107"/>
        <v>2931.89</v>
      </c>
      <c r="I380">
        <f t="shared" si="108"/>
        <v>20</v>
      </c>
      <c r="J380">
        <f t="shared" si="109"/>
        <v>64682.640000000014</v>
      </c>
      <c r="K380">
        <f t="shared" si="110"/>
        <v>326</v>
      </c>
      <c r="L380">
        <f>--AND($E380=1,OR('Staff Dashboard'!$B$6="All",$DH380='Staff Dashboard'!$B$6),OR('Staff Dashboard'!$B$7="All",$D380='Staff Dashboard'!$B$7),OR('Staff Dashboard'!$B$8="All",$A380='Staff Dashboard'!$B$8))</f>
        <v>0</v>
      </c>
      <c r="M380">
        <f>IF($E380=0,0,SUMPRODUCT($AI$7:$DF$7,'Staff Daily sales'!$G365:$CD365))</f>
        <v>0</v>
      </c>
      <c r="N380">
        <f>IF($E380=0,0,SUMPRODUCT($AI$8:$DF$8,'Staff Daily sales'!$G365:$CD365))</f>
        <v>0</v>
      </c>
      <c r="O380">
        <f>IF($E380=0,0,SUMPRODUCT($AI$9:$DF$9,'Staff Daily sales'!$G365:$CD365))</f>
        <v>13021.230000000001</v>
      </c>
      <c r="P380">
        <f>IF($E380=0,0,SUMPRODUCT($AI$10:$DF$10,'Staff Daily sales'!$G365:$CD365))</f>
        <v>77</v>
      </c>
      <c r="Q380">
        <f>IF($E380=0,0,SUMPRODUCT($AI$11:$DF$11,'Staff Daily sales'!$G365:$CD365))</f>
        <v>8460.14</v>
      </c>
      <c r="R380">
        <f>IF($E380=0,0,SUMPRODUCT($AI$12:$DF$12,'Staff Daily sales'!$G365:$CD365))</f>
        <v>52</v>
      </c>
      <c r="S380">
        <f>IF($E380=0,0,SUMPRODUCT($AI$13:$DF$13,'Staff Daily sales'!$G365:$CD365))</f>
        <v>5079.1000000000004</v>
      </c>
      <c r="T380">
        <f>IF($E380=0,0,SUMPRODUCT($AI$14:$DF$14,'Staff Daily sales'!$G365:$CD365))</f>
        <v>36</v>
      </c>
      <c r="U380">
        <f>IF($E380=0,0,SUMPRODUCT($AI$15:$DF$15,'Staff Daily sales'!$G365:$CD365))</f>
        <v>2518.02</v>
      </c>
      <c r="V380">
        <f>IF($E380=0,0,SUMPRODUCT($AI$16:$DF$16,'Staff Daily sales'!$G365:$CD365))</f>
        <v>15</v>
      </c>
      <c r="W380">
        <f t="shared" si="111"/>
        <v>18049.28</v>
      </c>
      <c r="X380">
        <f t="shared" si="112"/>
        <v>41634.540000000008</v>
      </c>
      <c r="Y380">
        <f t="shared" si="113"/>
        <v>25602.33</v>
      </c>
      <c r="Z380">
        <f t="shared" si="114"/>
        <v>20031.800000000003</v>
      </c>
      <c r="AA380">
        <f t="shared" si="115"/>
        <v>7524.08</v>
      </c>
      <c r="AB380">
        <f>--AND($E380=1,OR('Staff Weekly Trend'!$B$3="All",$DH380='Staff Weekly Trend'!$B$3),OR('Staff Weekly Trend'!$B$4="All",$D380='Staff Weekly Trend'!$B$4),OR('Staff Weekly Trend'!$B$5="All",$A380='Staff Weekly Trend'!$B$5))</f>
        <v>1</v>
      </c>
      <c r="AC380">
        <f t="shared" si="116"/>
        <v>5</v>
      </c>
      <c r="AI380">
        <f t="shared" si="117"/>
        <v>133</v>
      </c>
      <c r="AJ380">
        <f t="shared" si="118"/>
        <v>234</v>
      </c>
      <c r="AK380">
        <f t="shared" si="119"/>
        <v>164</v>
      </c>
      <c r="AL380">
        <f t="shared" si="120"/>
        <v>134</v>
      </c>
      <c r="AM380">
        <f t="shared" si="121"/>
        <v>47</v>
      </c>
      <c r="DH380" t="str" cm="1">
        <f t="array" ref="DH380">IF($A380="","",_xlfn.LET(_xlpm.c,IFERROR(_xlfn.XLOOKUP($A380,TRIM('Sales and count'!$A$4:$A$300&amp;""),TRIM('Sales and count'!$B$4:$B$300&amp;"")),""),IF(OR(_xlpm.c="",_xlpm.c="0",LEFT(_xlpm.c,1)="#"),"Not set",_xlpm.c)))</f>
        <v>KSA</v>
      </c>
    </row>
    <row r="381" spans="1:112" x14ac:dyDescent="0.25">
      <c r="A381" t="str">
        <f>IF('Staff Daily sales'!$B366="","",TRIM('Staff Daily sales'!$B366&amp;""))</f>
        <v>HANJFRONT</v>
      </c>
      <c r="B381" t="str">
        <f>IF('Staff Daily sales'!$D366="","",TRIM('Staff Daily sales'!$D366&amp;""))</f>
        <v>4569-DAlSulayyim</v>
      </c>
      <c r="C381" t="str">
        <f>IFERROR(TRIM('Staff Daily sales'!$E366&amp;""),"")</f>
        <v>Najran</v>
      </c>
      <c r="D381" t="str">
        <f>IFERROR(IF(TRIM('Staff Daily sales'!$F366&amp;"")="","Unassigned",TRIM('Staff Daily sales'!$F366&amp;"")),"Unassigned")</f>
        <v>Ahmed Jaffari</v>
      </c>
      <c r="E381">
        <f t="shared" si="106"/>
        <v>1</v>
      </c>
      <c r="F381">
        <f>IF($E381=0,0,SUMPRODUCT($AI$5:$DF$5,'Staff Daily sales'!$G366:$CD366))</f>
        <v>396.02</v>
      </c>
      <c r="G381">
        <f>IF($E381=0,0,SUMPRODUCT($AI$6:$DF$6,'Staff Daily sales'!$G366:$CD366))</f>
        <v>3</v>
      </c>
      <c r="H381">
        <f t="shared" si="107"/>
        <v>1616.97</v>
      </c>
      <c r="I381">
        <f t="shared" si="108"/>
        <v>8</v>
      </c>
      <c r="J381">
        <f t="shared" si="109"/>
        <v>44058.899999999994</v>
      </c>
      <c r="K381">
        <f t="shared" si="110"/>
        <v>244</v>
      </c>
      <c r="L381">
        <f>--AND($E381=1,OR('Staff Dashboard'!$B$6="All",$DH381='Staff Dashboard'!$B$6),OR('Staff Dashboard'!$B$7="All",$D381='Staff Dashboard'!$B$7),OR('Staff Dashboard'!$B$8="All",$A381='Staff Dashboard'!$B$8))</f>
        <v>0</v>
      </c>
      <c r="M381">
        <f>IF($E381=0,0,SUMPRODUCT($AI$7:$DF$7,'Staff Daily sales'!$G366:$CD366))</f>
        <v>2204.08</v>
      </c>
      <c r="N381">
        <f>IF($E381=0,0,SUMPRODUCT($AI$8:$DF$8,'Staff Daily sales'!$G366:$CD366))</f>
        <v>15</v>
      </c>
      <c r="O381">
        <f>IF($E381=0,0,SUMPRODUCT($AI$9:$DF$9,'Staff Daily sales'!$G366:$CD366))</f>
        <v>2373.0699999999997</v>
      </c>
      <c r="P381">
        <f>IF($E381=0,0,SUMPRODUCT($AI$10:$DF$10,'Staff Daily sales'!$G366:$CD366))</f>
        <v>11</v>
      </c>
      <c r="Q381">
        <f>IF($E381=0,0,SUMPRODUCT($AI$11:$DF$11,'Staff Daily sales'!$G366:$CD366))</f>
        <v>1902.06</v>
      </c>
      <c r="R381">
        <f>IF($E381=0,0,SUMPRODUCT($AI$12:$DF$12,'Staff Daily sales'!$G366:$CD366))</f>
        <v>13</v>
      </c>
      <c r="S381">
        <f>IF($E381=0,0,SUMPRODUCT($AI$13:$DF$13,'Staff Daily sales'!$G366:$CD366))</f>
        <v>1627.97</v>
      </c>
      <c r="T381">
        <f>IF($E381=0,0,SUMPRODUCT($AI$14:$DF$14,'Staff Daily sales'!$G366:$CD366))</f>
        <v>8</v>
      </c>
      <c r="U381">
        <f>IF($E381=0,0,SUMPRODUCT($AI$15:$DF$15,'Staff Daily sales'!$G366:$CD366))</f>
        <v>1144.98</v>
      </c>
      <c r="V381">
        <f>IF($E381=0,0,SUMPRODUCT($AI$16:$DF$16,'Staff Daily sales'!$G366:$CD366))</f>
        <v>7</v>
      </c>
      <c r="W381">
        <f t="shared" si="111"/>
        <v>9914.32</v>
      </c>
      <c r="X381">
        <f t="shared" si="112"/>
        <v>8344.1899999999987</v>
      </c>
      <c r="Y381">
        <f t="shared" si="113"/>
        <v>8059.2000000000007</v>
      </c>
      <c r="Z381">
        <f t="shared" si="114"/>
        <v>6362.9</v>
      </c>
      <c r="AA381">
        <f t="shared" si="115"/>
        <v>2338.0699999999997</v>
      </c>
      <c r="AB381">
        <f>--AND($E381=1,OR('Staff Weekly Trend'!$B$3="All",$DH381='Staff Weekly Trend'!$B$3),OR('Staff Weekly Trend'!$B$4="All",$D381='Staff Weekly Trend'!$B$4),OR('Staff Weekly Trend'!$B$5="All",$A381='Staff Weekly Trend'!$B$5))</f>
        <v>1</v>
      </c>
      <c r="AC381">
        <f t="shared" si="116"/>
        <v>2</v>
      </c>
      <c r="AI381">
        <f t="shared" si="117"/>
        <v>68</v>
      </c>
      <c r="AJ381">
        <f t="shared" si="118"/>
        <v>56</v>
      </c>
      <c r="AK381">
        <f t="shared" si="119"/>
        <v>49</v>
      </c>
      <c r="AL381">
        <f t="shared" si="120"/>
        <v>34</v>
      </c>
      <c r="AM381">
        <f t="shared" si="121"/>
        <v>15</v>
      </c>
      <c r="DH381" t="str" cm="1">
        <f t="array" ref="DH381">IF($A381="","",_xlfn.LET(_xlpm.c,IFERROR(_xlfn.XLOOKUP($A381,TRIM('Sales and count'!$A$4:$A$300&amp;""),TRIM('Sales and count'!$B$4:$B$300&amp;"")),""),IF(OR(_xlpm.c="",_xlpm.c="0",LEFT(_xlpm.c,1)="#"),"Not set",_xlpm.c)))</f>
        <v>KSA</v>
      </c>
    </row>
    <row r="382" spans="1:112" x14ac:dyDescent="0.25">
      <c r="A382" t="str">
        <f>IF('Staff Daily sales'!$B367="","",TRIM('Staff Daily sales'!$B367&amp;""))</f>
        <v>HANJFRONT</v>
      </c>
      <c r="B382" t="str">
        <f>IF('Staff Daily sales'!$D367="","",TRIM('Staff Daily sales'!$D367&amp;""))</f>
        <v>4576-MALSulayyim</v>
      </c>
      <c r="C382" t="str">
        <f>IFERROR(TRIM('Staff Daily sales'!$E367&amp;""),"")</f>
        <v>Najran</v>
      </c>
      <c r="D382" t="str">
        <f>IFERROR(IF(TRIM('Staff Daily sales'!$F367&amp;"")="","Unassigned",TRIM('Staff Daily sales'!$F367&amp;"")),"Unassigned")</f>
        <v>Ahmed Jaffari</v>
      </c>
      <c r="E382">
        <f t="shared" si="106"/>
        <v>1</v>
      </c>
      <c r="F382">
        <f>IF($E382=0,0,SUMPRODUCT($AI$5:$DF$5,'Staff Daily sales'!$G367:$CD367))</f>
        <v>985.97</v>
      </c>
      <c r="G382">
        <f>IF($E382=0,0,SUMPRODUCT($AI$6:$DF$6,'Staff Daily sales'!$G367:$CD367))</f>
        <v>3</v>
      </c>
      <c r="H382">
        <f t="shared" si="107"/>
        <v>1616.97</v>
      </c>
      <c r="I382">
        <f t="shared" si="108"/>
        <v>8</v>
      </c>
      <c r="J382">
        <f t="shared" si="109"/>
        <v>44058.899999999994</v>
      </c>
      <c r="K382">
        <f t="shared" si="110"/>
        <v>244</v>
      </c>
      <c r="L382">
        <f>--AND($E382=1,OR('Staff Dashboard'!$B$6="All",$DH382='Staff Dashboard'!$B$6),OR('Staff Dashboard'!$B$7="All",$D382='Staff Dashboard'!$B$7),OR('Staff Dashboard'!$B$8="All",$A382='Staff Dashboard'!$B$8))</f>
        <v>0</v>
      </c>
      <c r="M382">
        <f>IF($E382=0,0,SUMPRODUCT($AI$7:$DF$7,'Staff Daily sales'!$G367:$CD367))</f>
        <v>2118.0299999999997</v>
      </c>
      <c r="N382">
        <f>IF($E382=0,0,SUMPRODUCT($AI$8:$DF$8,'Staff Daily sales'!$G367:$CD367))</f>
        <v>18</v>
      </c>
      <c r="O382">
        <f>IF($E382=0,0,SUMPRODUCT($AI$9:$DF$9,'Staff Daily sales'!$G367:$CD367))</f>
        <v>2952.04</v>
      </c>
      <c r="P382">
        <f>IF($E382=0,0,SUMPRODUCT($AI$10:$DF$10,'Staff Daily sales'!$G367:$CD367))</f>
        <v>22</v>
      </c>
      <c r="Q382">
        <f>IF($E382=0,0,SUMPRODUCT($AI$11:$DF$11,'Staff Daily sales'!$G367:$CD367))</f>
        <v>2735.04</v>
      </c>
      <c r="R382">
        <f>IF($E382=0,0,SUMPRODUCT($AI$12:$DF$12,'Staff Daily sales'!$G367:$CD367))</f>
        <v>15</v>
      </c>
      <c r="S382">
        <f>IF($E382=0,0,SUMPRODUCT($AI$13:$DF$13,'Staff Daily sales'!$G367:$CD367))</f>
        <v>2256.9899999999998</v>
      </c>
      <c r="T382">
        <f>IF($E382=0,0,SUMPRODUCT($AI$14:$DF$14,'Staff Daily sales'!$G367:$CD367))</f>
        <v>10</v>
      </c>
      <c r="U382">
        <f>IF($E382=0,0,SUMPRODUCT($AI$15:$DF$15,'Staff Daily sales'!$G367:$CD367))</f>
        <v>422.04</v>
      </c>
      <c r="V382">
        <f>IF($E382=0,0,SUMPRODUCT($AI$16:$DF$16,'Staff Daily sales'!$G367:$CD367))</f>
        <v>2</v>
      </c>
      <c r="W382">
        <f t="shared" si="111"/>
        <v>9914.32</v>
      </c>
      <c r="X382">
        <f t="shared" si="112"/>
        <v>8344.1899999999987</v>
      </c>
      <c r="Y382">
        <f t="shared" si="113"/>
        <v>8059.2000000000007</v>
      </c>
      <c r="Z382">
        <f t="shared" si="114"/>
        <v>6362.9</v>
      </c>
      <c r="AA382">
        <f t="shared" si="115"/>
        <v>2338.0699999999997</v>
      </c>
      <c r="AB382">
        <f>--AND($E382=1,OR('Staff Weekly Trend'!$B$3="All",$DH382='Staff Weekly Trend'!$B$3),OR('Staff Weekly Trend'!$B$4="All",$D382='Staff Weekly Trend'!$B$4),OR('Staff Weekly Trend'!$B$5="All",$A382='Staff Weekly Trend'!$B$5))</f>
        <v>1</v>
      </c>
      <c r="AC382">
        <f t="shared" si="116"/>
        <v>1</v>
      </c>
      <c r="AI382">
        <f t="shared" si="117"/>
        <v>68</v>
      </c>
      <c r="AJ382">
        <f t="shared" si="118"/>
        <v>56</v>
      </c>
      <c r="AK382">
        <f t="shared" si="119"/>
        <v>49</v>
      </c>
      <c r="AL382">
        <f t="shared" si="120"/>
        <v>34</v>
      </c>
      <c r="AM382">
        <f t="shared" si="121"/>
        <v>15</v>
      </c>
      <c r="DH382" t="str" cm="1">
        <f t="array" ref="DH382">IF($A382="","",_xlfn.LET(_xlpm.c,IFERROR(_xlfn.XLOOKUP($A382,TRIM('Sales and count'!$A$4:$A$300&amp;""),TRIM('Sales and count'!$B$4:$B$300&amp;"")),""),IF(OR(_xlpm.c="",_xlpm.c="0",LEFT(_xlpm.c,1)="#"),"Not set",_xlpm.c)))</f>
        <v>KSA</v>
      </c>
    </row>
    <row r="383" spans="1:112" x14ac:dyDescent="0.25">
      <c r="A383" t="str">
        <f>IF('Staff Daily sales'!$B368="","",TRIM('Staff Daily sales'!$B368&amp;""))</f>
        <v>HANJFRONT</v>
      </c>
      <c r="B383" t="str">
        <f>IF('Staff Daily sales'!$D368="","",TRIM('Staff Daily sales'!$D368&amp;""))</f>
        <v>4578-AAlsqour</v>
      </c>
      <c r="C383" t="str">
        <f>IFERROR(TRIM('Staff Daily sales'!$E368&amp;""),"")</f>
        <v>Najran</v>
      </c>
      <c r="D383" t="str">
        <f>IFERROR(IF(TRIM('Staff Daily sales'!$F368&amp;"")="","Unassigned",TRIM('Staff Daily sales'!$F368&amp;"")),"Unassigned")</f>
        <v>Ahmed Jaffari</v>
      </c>
      <c r="E383">
        <f t="shared" si="106"/>
        <v>1</v>
      </c>
      <c r="F383">
        <f>IF($E383=0,0,SUMPRODUCT($AI$5:$DF$5,'Staff Daily sales'!$G368:$CD368))</f>
        <v>210.98</v>
      </c>
      <c r="G383">
        <f>IF($E383=0,0,SUMPRODUCT($AI$6:$DF$6,'Staff Daily sales'!$G368:$CD368))</f>
        <v>1</v>
      </c>
      <c r="H383">
        <f t="shared" si="107"/>
        <v>1616.97</v>
      </c>
      <c r="I383">
        <f t="shared" si="108"/>
        <v>8</v>
      </c>
      <c r="J383">
        <f t="shared" si="109"/>
        <v>44058.899999999994</v>
      </c>
      <c r="K383">
        <f t="shared" si="110"/>
        <v>244</v>
      </c>
      <c r="L383">
        <f>--AND($E383=1,OR('Staff Dashboard'!$B$6="All",$DH383='Staff Dashboard'!$B$6),OR('Staff Dashboard'!$B$7="All",$D383='Staff Dashboard'!$B$7),OR('Staff Dashboard'!$B$8="All",$A383='Staff Dashboard'!$B$8))</f>
        <v>0</v>
      </c>
      <c r="M383">
        <f>IF($E383=0,0,SUMPRODUCT($AI$7:$DF$7,'Staff Daily sales'!$G368:$CD368))</f>
        <v>3940.17</v>
      </c>
      <c r="N383">
        <f>IF($E383=0,0,SUMPRODUCT($AI$8:$DF$8,'Staff Daily sales'!$G368:$CD368))</f>
        <v>19</v>
      </c>
      <c r="O383">
        <f>IF($E383=0,0,SUMPRODUCT($AI$9:$DF$9,'Staff Daily sales'!$G368:$CD368))</f>
        <v>2331.0699999999997</v>
      </c>
      <c r="P383">
        <f>IF($E383=0,0,SUMPRODUCT($AI$10:$DF$10,'Staff Daily sales'!$G368:$CD368))</f>
        <v>16</v>
      </c>
      <c r="Q383">
        <f>IF($E383=0,0,SUMPRODUCT($AI$11:$DF$11,'Staff Daily sales'!$G368:$CD368))</f>
        <v>3272.08</v>
      </c>
      <c r="R383">
        <f>IF($E383=0,0,SUMPRODUCT($AI$12:$DF$12,'Staff Daily sales'!$G368:$CD368))</f>
        <v>20</v>
      </c>
      <c r="S383">
        <f>IF($E383=0,0,SUMPRODUCT($AI$13:$DF$13,'Staff Daily sales'!$G368:$CD368))</f>
        <v>1903.94</v>
      </c>
      <c r="T383">
        <f>IF($E383=0,0,SUMPRODUCT($AI$14:$DF$14,'Staff Daily sales'!$G368:$CD368))</f>
        <v>11</v>
      </c>
      <c r="U383">
        <f>IF($E383=0,0,SUMPRODUCT($AI$15:$DF$15,'Staff Daily sales'!$G368:$CD368))</f>
        <v>70</v>
      </c>
      <c r="V383">
        <f>IF($E383=0,0,SUMPRODUCT($AI$16:$DF$16,'Staff Daily sales'!$G368:$CD368))</f>
        <v>1</v>
      </c>
      <c r="W383">
        <f t="shared" si="111"/>
        <v>9914.32</v>
      </c>
      <c r="X383">
        <f t="shared" si="112"/>
        <v>8344.1899999999987</v>
      </c>
      <c r="Y383">
        <f t="shared" si="113"/>
        <v>8059.2000000000007</v>
      </c>
      <c r="Z383">
        <f t="shared" si="114"/>
        <v>6362.9</v>
      </c>
      <c r="AA383">
        <f t="shared" si="115"/>
        <v>2338.0699999999997</v>
      </c>
      <c r="AB383">
        <f>--AND($E383=1,OR('Staff Weekly Trend'!$B$3="All",$DH383='Staff Weekly Trend'!$B$3),OR('Staff Weekly Trend'!$B$4="All",$D383='Staff Weekly Trend'!$B$4),OR('Staff Weekly Trend'!$B$5="All",$A383='Staff Weekly Trend'!$B$5))</f>
        <v>1</v>
      </c>
      <c r="AC383">
        <f t="shared" si="116"/>
        <v>3</v>
      </c>
      <c r="AI383">
        <f t="shared" si="117"/>
        <v>68</v>
      </c>
      <c r="AJ383">
        <f t="shared" si="118"/>
        <v>56</v>
      </c>
      <c r="AK383">
        <f t="shared" si="119"/>
        <v>49</v>
      </c>
      <c r="AL383">
        <f t="shared" si="120"/>
        <v>34</v>
      </c>
      <c r="AM383">
        <f t="shared" si="121"/>
        <v>15</v>
      </c>
      <c r="DH383" t="str" cm="1">
        <f t="array" ref="DH383">IF($A383="","",_xlfn.LET(_xlpm.c,IFERROR(_xlfn.XLOOKUP($A383,TRIM('Sales and count'!$A$4:$A$300&amp;""),TRIM('Sales and count'!$B$4:$B$300&amp;"")),""),IF(OR(_xlpm.c="",_xlpm.c="0",LEFT(_xlpm.c,1)="#"),"Not set",_xlpm.c)))</f>
        <v>KSA</v>
      </c>
    </row>
    <row r="384" spans="1:112" x14ac:dyDescent="0.25">
      <c r="A384" t="str">
        <f>IF('Staff Daily sales'!$B369="","",TRIM('Staff Daily sales'!$B369&amp;""))</f>
        <v>HANJFRONT</v>
      </c>
      <c r="B384" t="str">
        <f>IF('Staff Daily sales'!$D369="","",TRIM('Staff Daily sales'!$D369&amp;""))</f>
        <v>4635-AAlQahtani</v>
      </c>
      <c r="C384" t="str">
        <f>IFERROR(TRIM('Staff Daily sales'!$E369&amp;""),"")</f>
        <v>Najran</v>
      </c>
      <c r="D384" t="str">
        <f>IFERROR(IF(TRIM('Staff Daily sales'!$F369&amp;"")="","Unassigned",TRIM('Staff Daily sales'!$F369&amp;"")),"Unassigned")</f>
        <v>Ahmed Jaffari</v>
      </c>
      <c r="E384">
        <f t="shared" si="106"/>
        <v>1</v>
      </c>
      <c r="F384">
        <f>IF($E384=0,0,SUMPRODUCT($AI$5:$DF$5,'Staff Daily sales'!$G369:$CD369))</f>
        <v>24</v>
      </c>
      <c r="G384">
        <f>IF($E384=0,0,SUMPRODUCT($AI$6:$DF$6,'Staff Daily sales'!$G369:$CD369))</f>
        <v>1</v>
      </c>
      <c r="H384">
        <f t="shared" si="107"/>
        <v>1616.97</v>
      </c>
      <c r="I384">
        <f t="shared" si="108"/>
        <v>8</v>
      </c>
      <c r="J384">
        <f t="shared" si="109"/>
        <v>44058.899999999994</v>
      </c>
      <c r="K384">
        <f t="shared" si="110"/>
        <v>244</v>
      </c>
      <c r="L384">
        <f>--AND($E384=1,OR('Staff Dashboard'!$B$6="All",$DH384='Staff Dashboard'!$B$6),OR('Staff Dashboard'!$B$7="All",$D384='Staff Dashboard'!$B$7),OR('Staff Dashboard'!$B$8="All",$A384='Staff Dashboard'!$B$8))</f>
        <v>0</v>
      </c>
      <c r="M384">
        <f>IF($E384=0,0,SUMPRODUCT($AI$7:$DF$7,'Staff Daily sales'!$G369:$CD369))</f>
        <v>1652.04</v>
      </c>
      <c r="N384">
        <f>IF($E384=0,0,SUMPRODUCT($AI$8:$DF$8,'Staff Daily sales'!$G369:$CD369))</f>
        <v>16</v>
      </c>
      <c r="O384">
        <f>IF($E384=0,0,SUMPRODUCT($AI$9:$DF$9,'Staff Daily sales'!$G369:$CD369))</f>
        <v>688.01</v>
      </c>
      <c r="P384">
        <f>IF($E384=0,0,SUMPRODUCT($AI$10:$DF$10,'Staff Daily sales'!$G369:$CD369))</f>
        <v>7</v>
      </c>
      <c r="Q384">
        <f>IF($E384=0,0,SUMPRODUCT($AI$11:$DF$11,'Staff Daily sales'!$G369:$CD369))</f>
        <v>150.02000000000001</v>
      </c>
      <c r="R384">
        <f>IF($E384=0,0,SUMPRODUCT($AI$12:$DF$12,'Staff Daily sales'!$G369:$CD369))</f>
        <v>1</v>
      </c>
      <c r="S384">
        <f>IF($E384=0,0,SUMPRODUCT($AI$13:$DF$13,'Staff Daily sales'!$G369:$CD369))</f>
        <v>574</v>
      </c>
      <c r="T384">
        <f>IF($E384=0,0,SUMPRODUCT($AI$14:$DF$14,'Staff Daily sales'!$G369:$CD369))</f>
        <v>5</v>
      </c>
      <c r="U384">
        <f>IF($E384=0,0,SUMPRODUCT($AI$15:$DF$15,'Staff Daily sales'!$G369:$CD369))</f>
        <v>701.05</v>
      </c>
      <c r="V384">
        <f>IF($E384=0,0,SUMPRODUCT($AI$16:$DF$16,'Staff Daily sales'!$G369:$CD369))</f>
        <v>5</v>
      </c>
      <c r="W384">
        <f t="shared" si="111"/>
        <v>9914.32</v>
      </c>
      <c r="X384">
        <f t="shared" si="112"/>
        <v>8344.1899999999987</v>
      </c>
      <c r="Y384">
        <f t="shared" si="113"/>
        <v>8059.2000000000007</v>
      </c>
      <c r="Z384">
        <f t="shared" si="114"/>
        <v>6362.9</v>
      </c>
      <c r="AA384">
        <f t="shared" si="115"/>
        <v>2338.0699999999997</v>
      </c>
      <c r="AB384">
        <f>--AND($E384=1,OR('Staff Weekly Trend'!$B$3="All",$DH384='Staff Weekly Trend'!$B$3),OR('Staff Weekly Trend'!$B$4="All",$D384='Staff Weekly Trend'!$B$4),OR('Staff Weekly Trend'!$B$5="All",$A384='Staff Weekly Trend'!$B$5))</f>
        <v>1</v>
      </c>
      <c r="AC384">
        <f t="shared" si="116"/>
        <v>4</v>
      </c>
      <c r="AI384">
        <f t="shared" si="117"/>
        <v>68</v>
      </c>
      <c r="AJ384">
        <f t="shared" si="118"/>
        <v>56</v>
      </c>
      <c r="AK384">
        <f t="shared" si="119"/>
        <v>49</v>
      </c>
      <c r="AL384">
        <f t="shared" si="120"/>
        <v>34</v>
      </c>
      <c r="AM384">
        <f t="shared" si="121"/>
        <v>15</v>
      </c>
      <c r="DH384" t="str" cm="1">
        <f t="array" ref="DH384">IF($A384="","",_xlfn.LET(_xlpm.c,IFERROR(_xlfn.XLOOKUP($A384,TRIM('Sales and count'!$A$4:$A$300&amp;""),TRIM('Sales and count'!$B$4:$B$300&amp;"")),""),IF(OR(_xlpm.c="",_xlpm.c="0",LEFT(_xlpm.c,1)="#"),"Not set",_xlpm.c)))</f>
        <v>KSA</v>
      </c>
    </row>
    <row r="385" spans="1:112" x14ac:dyDescent="0.25">
      <c r="A385" t="str">
        <f>IF('Staff Daily sales'!$B370="","",TRIM('Staff Daily sales'!$B370&amp;""))</f>
        <v>HADANAMAK</v>
      </c>
      <c r="B385" t="str">
        <f>IF('Staff Daily sales'!$D370="","",TRIM('Staff Daily sales'!$D370&amp;""))</f>
        <v>3642-UAlGhamdi</v>
      </c>
      <c r="C385" t="str">
        <f>IFERROR(TRIM('Staff Daily sales'!$E370&amp;""),"")</f>
        <v>Makkah</v>
      </c>
      <c r="D385" t="str">
        <f>IFERROR(IF(TRIM('Staff Daily sales'!$F370&amp;"")="","Unassigned",TRIM('Staff Daily sales'!$F370&amp;"")),"Unassigned")</f>
        <v>Maram Zamzami</v>
      </c>
      <c r="E385">
        <f t="shared" si="106"/>
        <v>1</v>
      </c>
      <c r="F385">
        <f>IF($E385=0,0,SUMPRODUCT($AI$5:$DF$5,'Staff Daily sales'!$G370:$CD370))</f>
        <v>0</v>
      </c>
      <c r="G385">
        <f>IF($E385=0,0,SUMPRODUCT($AI$6:$DF$6,'Staff Daily sales'!$G370:$CD370))</f>
        <v>0</v>
      </c>
      <c r="H385">
        <f t="shared" si="107"/>
        <v>3607.86</v>
      </c>
      <c r="I385">
        <f t="shared" si="108"/>
        <v>12</v>
      </c>
      <c r="J385">
        <f t="shared" si="109"/>
        <v>89423.479999999967</v>
      </c>
      <c r="K385">
        <f t="shared" si="110"/>
        <v>413</v>
      </c>
      <c r="L385">
        <f>--AND($E385=1,OR('Staff Dashboard'!$B$6="All",$DH385='Staff Dashboard'!$B$6),OR('Staff Dashboard'!$B$7="All",$D385='Staff Dashboard'!$B$7),OR('Staff Dashboard'!$B$8="All",$A385='Staff Dashboard'!$B$8))</f>
        <v>1</v>
      </c>
      <c r="M385">
        <f>IF($E385=0,0,SUMPRODUCT($AI$7:$DF$7,'Staff Daily sales'!$G370:$CD370))</f>
        <v>8721.16</v>
      </c>
      <c r="N385">
        <f>IF($E385=0,0,SUMPRODUCT($AI$8:$DF$8,'Staff Daily sales'!$G370:$CD370))</f>
        <v>70</v>
      </c>
      <c r="O385">
        <f>IF($E385=0,0,SUMPRODUCT($AI$9:$DF$9,'Staff Daily sales'!$G370:$CD370))</f>
        <v>10141.18</v>
      </c>
      <c r="P385">
        <f>IF($E385=0,0,SUMPRODUCT($AI$10:$DF$10,'Staff Daily sales'!$G370:$CD370))</f>
        <v>71</v>
      </c>
      <c r="Q385">
        <f>IF($E385=0,0,SUMPRODUCT($AI$11:$DF$11,'Staff Daily sales'!$G370:$CD370))</f>
        <v>9034.0499999999993</v>
      </c>
      <c r="R385">
        <f>IF($E385=0,0,SUMPRODUCT($AI$12:$DF$12,'Staff Daily sales'!$G370:$CD370))</f>
        <v>57</v>
      </c>
      <c r="S385">
        <f>IF($E385=0,0,SUMPRODUCT($AI$13:$DF$13,'Staff Daily sales'!$G370:$CD370))</f>
        <v>1758.03</v>
      </c>
      <c r="T385">
        <f>IF($E385=0,0,SUMPRODUCT($AI$14:$DF$14,'Staff Daily sales'!$G370:$CD370))</f>
        <v>19</v>
      </c>
      <c r="U385">
        <f>IF($E385=0,0,SUMPRODUCT($AI$15:$DF$15,'Staff Daily sales'!$G370:$CD370))</f>
        <v>0</v>
      </c>
      <c r="V385">
        <f>IF($E385=0,0,SUMPRODUCT($AI$16:$DF$16,'Staff Daily sales'!$G370:$CD370))</f>
        <v>0</v>
      </c>
      <c r="W385">
        <f t="shared" si="111"/>
        <v>18711.269999999997</v>
      </c>
      <c r="X385">
        <f t="shared" si="112"/>
        <v>27427.53</v>
      </c>
      <c r="Y385">
        <f t="shared" si="113"/>
        <v>26416.309999999998</v>
      </c>
      <c r="Z385">
        <f t="shared" si="114"/>
        <v>19653.740000000002</v>
      </c>
      <c r="AA385">
        <f t="shared" si="115"/>
        <v>5835.15</v>
      </c>
      <c r="AB385">
        <f>--AND($E385=1,OR('Staff Weekly Trend'!$B$3="All",$DH385='Staff Weekly Trend'!$B$3),OR('Staff Weekly Trend'!$B$4="All",$D385='Staff Weekly Trend'!$B$4),OR('Staff Weekly Trend'!$B$5="All",$A385='Staff Weekly Trend'!$B$5))</f>
        <v>1</v>
      </c>
      <c r="AC385" t="str">
        <f t="shared" si="116"/>
        <v/>
      </c>
      <c r="AI385">
        <f t="shared" si="117"/>
        <v>122</v>
      </c>
      <c r="AJ385">
        <f t="shared" si="118"/>
        <v>173</v>
      </c>
      <c r="AK385">
        <f t="shared" si="119"/>
        <v>151</v>
      </c>
      <c r="AL385">
        <f t="shared" si="120"/>
        <v>115</v>
      </c>
      <c r="AM385">
        <f t="shared" si="121"/>
        <v>25</v>
      </c>
      <c r="DH385" t="str" cm="1">
        <f t="array" ref="DH385">IF($A385="","",_xlfn.LET(_xlpm.c,IFERROR(_xlfn.XLOOKUP($A385,TRIM('Sales and count'!$A$4:$A$300&amp;""),TRIM('Sales and count'!$B$4:$B$300&amp;"")),""),IF(OR(_xlpm.c="",_xlpm.c="0",LEFT(_xlpm.c,1)="#"),"Not set",_xlpm.c)))</f>
        <v>KSA</v>
      </c>
    </row>
    <row r="386" spans="1:112" x14ac:dyDescent="0.25">
      <c r="A386" t="str">
        <f>IF('Staff Daily sales'!$B371="","",TRIM('Staff Daily sales'!$B371&amp;""))</f>
        <v>HADANAMAK</v>
      </c>
      <c r="B386" t="str">
        <f>IF('Staff Daily sales'!$D371="","",TRIM('Staff Daily sales'!$D371&amp;""))</f>
        <v>3659-AGharib</v>
      </c>
      <c r="C386" t="str">
        <f>IFERROR(TRIM('Staff Daily sales'!$E371&amp;""),"")</f>
        <v>Makkah</v>
      </c>
      <c r="D386" t="str">
        <f>IFERROR(IF(TRIM('Staff Daily sales'!$F371&amp;"")="","Unassigned",TRIM('Staff Daily sales'!$F371&amp;"")),"Unassigned")</f>
        <v>Maram Zamzami</v>
      </c>
      <c r="E386">
        <f t="shared" si="106"/>
        <v>1</v>
      </c>
      <c r="F386">
        <f>IF($E386=0,0,SUMPRODUCT($AI$5:$DF$5,'Staff Daily sales'!$G371:$CD371))</f>
        <v>0</v>
      </c>
      <c r="G386">
        <f>IF($E386=0,0,SUMPRODUCT($AI$6:$DF$6,'Staff Daily sales'!$G371:$CD371))</f>
        <v>0</v>
      </c>
      <c r="H386">
        <f t="shared" si="107"/>
        <v>3607.86</v>
      </c>
      <c r="I386">
        <f t="shared" si="108"/>
        <v>12</v>
      </c>
      <c r="J386">
        <f t="shared" si="109"/>
        <v>89423.479999999967</v>
      </c>
      <c r="K386">
        <f t="shared" si="110"/>
        <v>413</v>
      </c>
      <c r="L386">
        <f>--AND($E386=1,OR('Staff Dashboard'!$B$6="All",$DH386='Staff Dashboard'!$B$6),OR('Staff Dashboard'!$B$7="All",$D386='Staff Dashboard'!$B$7),OR('Staff Dashboard'!$B$8="All",$A386='Staff Dashboard'!$B$8))</f>
        <v>1</v>
      </c>
      <c r="M386">
        <f>IF($E386=0,0,SUMPRODUCT($AI$7:$DF$7,'Staff Daily sales'!$G371:$CD371))</f>
        <v>984.02</v>
      </c>
      <c r="N386">
        <f>IF($E386=0,0,SUMPRODUCT($AI$8:$DF$8,'Staff Daily sales'!$G371:$CD371))</f>
        <v>4</v>
      </c>
      <c r="O386">
        <f>IF($E386=0,0,SUMPRODUCT($AI$9:$DF$9,'Staff Daily sales'!$G371:$CD371))</f>
        <v>8488.16</v>
      </c>
      <c r="P386">
        <f>IF($E386=0,0,SUMPRODUCT($AI$10:$DF$10,'Staff Daily sales'!$G371:$CD371))</f>
        <v>42</v>
      </c>
      <c r="Q386">
        <f>IF($E386=0,0,SUMPRODUCT($AI$11:$DF$11,'Staff Daily sales'!$G371:$CD371))</f>
        <v>0</v>
      </c>
      <c r="R386">
        <f>IF($E386=0,0,SUMPRODUCT($AI$12:$DF$12,'Staff Daily sales'!$G371:$CD371))</f>
        <v>0</v>
      </c>
      <c r="S386">
        <f>IF($E386=0,0,SUMPRODUCT($AI$13:$DF$13,'Staff Daily sales'!$G371:$CD371))</f>
        <v>0</v>
      </c>
      <c r="T386">
        <f>IF($E386=0,0,SUMPRODUCT($AI$14:$DF$14,'Staff Daily sales'!$G371:$CD371))</f>
        <v>0</v>
      </c>
      <c r="U386">
        <f>IF($E386=0,0,SUMPRODUCT($AI$15:$DF$15,'Staff Daily sales'!$G371:$CD371))</f>
        <v>0</v>
      </c>
      <c r="V386">
        <f>IF($E386=0,0,SUMPRODUCT($AI$16:$DF$16,'Staff Daily sales'!$G371:$CD371))</f>
        <v>0</v>
      </c>
      <c r="W386">
        <f t="shared" si="111"/>
        <v>18711.269999999997</v>
      </c>
      <c r="X386">
        <f t="shared" si="112"/>
        <v>27427.53</v>
      </c>
      <c r="Y386">
        <f t="shared" si="113"/>
        <v>26416.309999999998</v>
      </c>
      <c r="Z386">
        <f t="shared" si="114"/>
        <v>19653.740000000002</v>
      </c>
      <c r="AA386">
        <f t="shared" si="115"/>
        <v>5835.15</v>
      </c>
      <c r="AB386">
        <f>--AND($E386=1,OR('Staff Weekly Trend'!$B$3="All",$DH386='Staff Weekly Trend'!$B$3),OR('Staff Weekly Trend'!$B$4="All",$D386='Staff Weekly Trend'!$B$4),OR('Staff Weekly Trend'!$B$5="All",$A386='Staff Weekly Trend'!$B$5))</f>
        <v>1</v>
      </c>
      <c r="AC386" t="str">
        <f t="shared" si="116"/>
        <v/>
      </c>
      <c r="AI386">
        <f t="shared" si="117"/>
        <v>122</v>
      </c>
      <c r="AJ386">
        <f t="shared" si="118"/>
        <v>173</v>
      </c>
      <c r="AK386">
        <f t="shared" si="119"/>
        <v>151</v>
      </c>
      <c r="AL386">
        <f t="shared" si="120"/>
        <v>115</v>
      </c>
      <c r="AM386">
        <f t="shared" si="121"/>
        <v>25</v>
      </c>
      <c r="DH386" t="str" cm="1">
        <f t="array" ref="DH386">IF($A386="","",_xlfn.LET(_xlpm.c,IFERROR(_xlfn.XLOOKUP($A386,TRIM('Sales and count'!$A$4:$A$300&amp;""),TRIM('Sales and count'!$B$4:$B$300&amp;"")),""),IF(OR(_xlpm.c="",_xlpm.c="0",LEFT(_xlpm.c,1)="#"),"Not set",_xlpm.c)))</f>
        <v>KSA</v>
      </c>
    </row>
    <row r="387" spans="1:112" x14ac:dyDescent="0.25">
      <c r="A387" t="str">
        <f>IF('Staff Daily sales'!$B372="","",TRIM('Staff Daily sales'!$B372&amp;""))</f>
        <v>HADANAMAK</v>
      </c>
      <c r="B387" t="str">
        <f>IF('Staff Daily sales'!$D372="","",TRIM('Staff Daily sales'!$D372&amp;""))</f>
        <v>3667-AAldeen</v>
      </c>
      <c r="C387" t="str">
        <f>IFERROR(TRIM('Staff Daily sales'!$E372&amp;""),"")</f>
        <v>Makkah</v>
      </c>
      <c r="D387" t="str">
        <f>IFERROR(IF(TRIM('Staff Daily sales'!$F372&amp;"")="","Unassigned",TRIM('Staff Daily sales'!$F372&amp;"")),"Unassigned")</f>
        <v>Maram Zamzami</v>
      </c>
      <c r="E387">
        <f t="shared" si="106"/>
        <v>1</v>
      </c>
      <c r="F387">
        <f>IF($E387=0,0,SUMPRODUCT($AI$5:$DF$5,'Staff Daily sales'!$G372:$CD372))</f>
        <v>150</v>
      </c>
      <c r="G387">
        <f>IF($E387=0,0,SUMPRODUCT($AI$6:$DF$6,'Staff Daily sales'!$G372:$CD372))</f>
        <v>1</v>
      </c>
      <c r="H387">
        <f t="shared" si="107"/>
        <v>3607.86</v>
      </c>
      <c r="I387">
        <f t="shared" si="108"/>
        <v>12</v>
      </c>
      <c r="J387">
        <f t="shared" si="109"/>
        <v>89423.479999999967</v>
      </c>
      <c r="K387">
        <f t="shared" si="110"/>
        <v>413</v>
      </c>
      <c r="L387">
        <f>--AND($E387=1,OR('Staff Dashboard'!$B$6="All",$DH387='Staff Dashboard'!$B$6),OR('Staff Dashboard'!$B$7="All",$D387='Staff Dashboard'!$B$7),OR('Staff Dashboard'!$B$8="All",$A387='Staff Dashboard'!$B$8))</f>
        <v>1</v>
      </c>
      <c r="M387">
        <f>IF($E387=0,0,SUMPRODUCT($AI$7:$DF$7,'Staff Daily sales'!$G372:$CD372))</f>
        <v>7806.0599999999995</v>
      </c>
      <c r="N387">
        <f>IF($E387=0,0,SUMPRODUCT($AI$8:$DF$8,'Staff Daily sales'!$G372:$CD372))</f>
        <v>42</v>
      </c>
      <c r="O387">
        <f>IF($E387=0,0,SUMPRODUCT($AI$9:$DF$9,'Staff Daily sales'!$G372:$CD372))</f>
        <v>4556.1499999999996</v>
      </c>
      <c r="P387">
        <f>IF($E387=0,0,SUMPRODUCT($AI$10:$DF$10,'Staff Daily sales'!$G372:$CD372))</f>
        <v>27</v>
      </c>
      <c r="Q387">
        <f>IF($E387=0,0,SUMPRODUCT($AI$11:$DF$11,'Staff Daily sales'!$G372:$CD372))</f>
        <v>3772.09</v>
      </c>
      <c r="R387">
        <f>IF($E387=0,0,SUMPRODUCT($AI$12:$DF$12,'Staff Daily sales'!$G372:$CD372))</f>
        <v>20</v>
      </c>
      <c r="S387">
        <f>IF($E387=0,0,SUMPRODUCT($AI$13:$DF$13,'Staff Daily sales'!$G372:$CD372))</f>
        <v>3588.03</v>
      </c>
      <c r="T387">
        <f>IF($E387=0,0,SUMPRODUCT($AI$14:$DF$14,'Staff Daily sales'!$G372:$CD372))</f>
        <v>21</v>
      </c>
      <c r="U387">
        <f>IF($E387=0,0,SUMPRODUCT($AI$15:$DF$15,'Staff Daily sales'!$G372:$CD372))</f>
        <v>721.96</v>
      </c>
      <c r="V387">
        <f>IF($E387=0,0,SUMPRODUCT($AI$16:$DF$16,'Staff Daily sales'!$G372:$CD372))</f>
        <v>3</v>
      </c>
      <c r="W387">
        <f t="shared" si="111"/>
        <v>18711.269999999997</v>
      </c>
      <c r="X387">
        <f t="shared" si="112"/>
        <v>27427.53</v>
      </c>
      <c r="Y387">
        <f t="shared" si="113"/>
        <v>26416.309999999998</v>
      </c>
      <c r="Z387">
        <f t="shared" si="114"/>
        <v>19653.740000000002</v>
      </c>
      <c r="AA387">
        <f t="shared" si="115"/>
        <v>5835.15</v>
      </c>
      <c r="AB387">
        <f>--AND($E387=1,OR('Staff Weekly Trend'!$B$3="All",$DH387='Staff Weekly Trend'!$B$3),OR('Staff Weekly Trend'!$B$4="All",$D387='Staff Weekly Trend'!$B$4),OR('Staff Weekly Trend'!$B$5="All",$A387='Staff Weekly Trend'!$B$5))</f>
        <v>1</v>
      </c>
      <c r="AC387">
        <f t="shared" si="116"/>
        <v>3</v>
      </c>
      <c r="AI387">
        <f t="shared" si="117"/>
        <v>122</v>
      </c>
      <c r="AJ387">
        <f t="shared" si="118"/>
        <v>173</v>
      </c>
      <c r="AK387">
        <f t="shared" si="119"/>
        <v>151</v>
      </c>
      <c r="AL387">
        <f t="shared" si="120"/>
        <v>115</v>
      </c>
      <c r="AM387">
        <f t="shared" si="121"/>
        <v>25</v>
      </c>
      <c r="DH387" t="str" cm="1">
        <f t="array" ref="DH387">IF($A387="","",_xlfn.LET(_xlpm.c,IFERROR(_xlfn.XLOOKUP($A387,TRIM('Sales and count'!$A$4:$A$300&amp;""),TRIM('Sales and count'!$B$4:$B$300&amp;"")),""),IF(OR(_xlpm.c="",_xlpm.c="0",LEFT(_xlpm.c,1)="#"),"Not set",_xlpm.c)))</f>
        <v>KSA</v>
      </c>
    </row>
    <row r="388" spans="1:112" x14ac:dyDescent="0.25">
      <c r="A388" t="str">
        <f>IF('Staff Daily sales'!$B373="","",TRIM('Staff Daily sales'!$B373&amp;""))</f>
        <v>HADANAMAK</v>
      </c>
      <c r="B388" t="str">
        <f>IF('Staff Daily sales'!$D373="","",TRIM('Staff Daily sales'!$D373&amp;""))</f>
        <v>4905-AAlshamrani</v>
      </c>
      <c r="C388" t="str">
        <f>IFERROR(TRIM('Staff Daily sales'!$E373&amp;""),"")</f>
        <v>Makkah</v>
      </c>
      <c r="D388" t="str">
        <f>IFERROR(IF(TRIM('Staff Daily sales'!$F373&amp;"")="","Unassigned",TRIM('Staff Daily sales'!$F373&amp;"")),"Unassigned")</f>
        <v>Maram Zamzami</v>
      </c>
      <c r="E388">
        <f t="shared" si="106"/>
        <v>1</v>
      </c>
      <c r="F388">
        <f>IF($E388=0,0,SUMPRODUCT($AI$5:$DF$5,'Staff Daily sales'!$G373:$CD373))</f>
        <v>0</v>
      </c>
      <c r="G388">
        <f>IF($E388=0,0,SUMPRODUCT($AI$6:$DF$6,'Staff Daily sales'!$G373:$CD373))</f>
        <v>0</v>
      </c>
      <c r="H388">
        <f t="shared" si="107"/>
        <v>3607.86</v>
      </c>
      <c r="I388">
        <f t="shared" si="108"/>
        <v>12</v>
      </c>
      <c r="J388">
        <f t="shared" si="109"/>
        <v>89423.479999999967</v>
      </c>
      <c r="K388">
        <f t="shared" si="110"/>
        <v>413</v>
      </c>
      <c r="L388">
        <f>--AND($E388=1,OR('Staff Dashboard'!$B$6="All",$DH388='Staff Dashboard'!$B$6),OR('Staff Dashboard'!$B$7="All",$D388='Staff Dashboard'!$B$7),OR('Staff Dashboard'!$B$8="All",$A388='Staff Dashboard'!$B$8))</f>
        <v>1</v>
      </c>
      <c r="M388">
        <f>IF($E388=0,0,SUMPRODUCT($AI$7:$DF$7,'Staff Daily sales'!$G373:$CD373))</f>
        <v>0</v>
      </c>
      <c r="N388">
        <f>IF($E388=0,0,SUMPRODUCT($AI$8:$DF$8,'Staff Daily sales'!$G373:$CD373))</f>
        <v>0</v>
      </c>
      <c r="O388">
        <f>IF($E388=0,0,SUMPRODUCT($AI$9:$DF$9,'Staff Daily sales'!$G373:$CD373))</f>
        <v>0</v>
      </c>
      <c r="P388">
        <f>IF($E388=0,0,SUMPRODUCT($AI$10:$DF$10,'Staff Daily sales'!$G373:$CD373))</f>
        <v>0</v>
      </c>
      <c r="Q388">
        <f>IF($E388=0,0,SUMPRODUCT($AI$11:$DF$11,'Staff Daily sales'!$G373:$CD373))</f>
        <v>5675.0599999999995</v>
      </c>
      <c r="R388">
        <f>IF($E388=0,0,SUMPRODUCT($AI$12:$DF$12,'Staff Daily sales'!$G373:$CD373))</f>
        <v>28</v>
      </c>
      <c r="S388">
        <f>IF($E388=0,0,SUMPRODUCT($AI$13:$DF$13,'Staff Daily sales'!$G373:$CD373))</f>
        <v>0</v>
      </c>
      <c r="T388">
        <f>IF($E388=0,0,SUMPRODUCT($AI$14:$DF$14,'Staff Daily sales'!$G373:$CD373))</f>
        <v>0</v>
      </c>
      <c r="U388">
        <f>IF($E388=0,0,SUMPRODUCT($AI$15:$DF$15,'Staff Daily sales'!$G373:$CD373))</f>
        <v>0</v>
      </c>
      <c r="V388">
        <f>IF($E388=0,0,SUMPRODUCT($AI$16:$DF$16,'Staff Daily sales'!$G373:$CD373))</f>
        <v>0</v>
      </c>
      <c r="W388">
        <f t="shared" si="111"/>
        <v>18711.269999999997</v>
      </c>
      <c r="X388">
        <f t="shared" si="112"/>
        <v>27427.53</v>
      </c>
      <c r="Y388">
        <f t="shared" si="113"/>
        <v>26416.309999999998</v>
      </c>
      <c r="Z388">
        <f t="shared" si="114"/>
        <v>19653.740000000002</v>
      </c>
      <c r="AA388">
        <f t="shared" si="115"/>
        <v>5835.15</v>
      </c>
      <c r="AB388">
        <f>--AND($E388=1,OR('Staff Weekly Trend'!$B$3="All",$DH388='Staff Weekly Trend'!$B$3),OR('Staff Weekly Trend'!$B$4="All",$D388='Staff Weekly Trend'!$B$4),OR('Staff Weekly Trend'!$B$5="All",$A388='Staff Weekly Trend'!$B$5))</f>
        <v>1</v>
      </c>
      <c r="AC388" t="str">
        <f t="shared" si="116"/>
        <v/>
      </c>
      <c r="AI388">
        <f t="shared" si="117"/>
        <v>122</v>
      </c>
      <c r="AJ388">
        <f t="shared" si="118"/>
        <v>173</v>
      </c>
      <c r="AK388">
        <f t="shared" si="119"/>
        <v>151</v>
      </c>
      <c r="AL388">
        <f t="shared" si="120"/>
        <v>115</v>
      </c>
      <c r="AM388">
        <f t="shared" si="121"/>
        <v>25</v>
      </c>
      <c r="DH388" t="str" cm="1">
        <f t="array" ref="DH388">IF($A388="","",_xlfn.LET(_xlpm.c,IFERROR(_xlfn.XLOOKUP($A388,TRIM('Sales and count'!$A$4:$A$300&amp;""),TRIM('Sales and count'!$B$4:$B$300&amp;"")),""),IF(OR(_xlpm.c="",_xlpm.c="0",LEFT(_xlpm.c,1)="#"),"Not set",_xlpm.c)))</f>
        <v>KSA</v>
      </c>
    </row>
    <row r="389" spans="1:112" x14ac:dyDescent="0.25">
      <c r="A389" t="str">
        <f>IF('Staff Daily sales'!$B374="","",TRIM('Staff Daily sales'!$B374&amp;""))</f>
        <v>HADANAMAK</v>
      </c>
      <c r="B389" t="str">
        <f>IF('Staff Daily sales'!$D374="","",TRIM('Staff Daily sales'!$D374&amp;""))</f>
        <v>5355-FTazy</v>
      </c>
      <c r="C389" t="str">
        <f>IFERROR(TRIM('Staff Daily sales'!$E374&amp;""),"")</f>
        <v>Makkah</v>
      </c>
      <c r="D389" t="str">
        <f>IFERROR(IF(TRIM('Staff Daily sales'!$F374&amp;"")="","Unassigned",TRIM('Staff Daily sales'!$F374&amp;"")),"Unassigned")</f>
        <v>Maram Zamzami</v>
      </c>
      <c r="E389">
        <f t="shared" si="106"/>
        <v>1</v>
      </c>
      <c r="F389">
        <f>IF($E389=0,0,SUMPRODUCT($AI$5:$DF$5,'Staff Daily sales'!$G374:$CD374))</f>
        <v>2278.94</v>
      </c>
      <c r="G389">
        <f>IF($E389=0,0,SUMPRODUCT($AI$6:$DF$6,'Staff Daily sales'!$G374:$CD374))</f>
        <v>6</v>
      </c>
      <c r="H389">
        <f t="shared" si="107"/>
        <v>3607.86</v>
      </c>
      <c r="I389">
        <f t="shared" si="108"/>
        <v>12</v>
      </c>
      <c r="J389">
        <f t="shared" si="109"/>
        <v>89423.479999999967</v>
      </c>
      <c r="K389">
        <f t="shared" si="110"/>
        <v>413</v>
      </c>
      <c r="L389">
        <f>--AND($E389=1,OR('Staff Dashboard'!$B$6="All",$DH389='Staff Dashboard'!$B$6),OR('Staff Dashboard'!$B$7="All",$D389='Staff Dashboard'!$B$7),OR('Staff Dashboard'!$B$8="All",$A389='Staff Dashboard'!$B$8))</f>
        <v>1</v>
      </c>
      <c r="M389">
        <f>IF($E389=0,0,SUMPRODUCT($AI$7:$DF$7,'Staff Daily sales'!$G374:$CD374))</f>
        <v>1200.03</v>
      </c>
      <c r="N389">
        <f>IF($E389=0,0,SUMPRODUCT($AI$8:$DF$8,'Staff Daily sales'!$G374:$CD374))</f>
        <v>6</v>
      </c>
      <c r="O389">
        <f>IF($E389=0,0,SUMPRODUCT($AI$9:$DF$9,'Staff Daily sales'!$G374:$CD374))</f>
        <v>4242.0400000000009</v>
      </c>
      <c r="P389">
        <f>IF($E389=0,0,SUMPRODUCT($AI$10:$DF$10,'Staff Daily sales'!$G374:$CD374))</f>
        <v>33</v>
      </c>
      <c r="Q389">
        <f>IF($E389=0,0,SUMPRODUCT($AI$11:$DF$11,'Staff Daily sales'!$G374:$CD374))</f>
        <v>7935.1100000000006</v>
      </c>
      <c r="R389">
        <f>IF($E389=0,0,SUMPRODUCT($AI$12:$DF$12,'Staff Daily sales'!$G374:$CD374))</f>
        <v>46</v>
      </c>
      <c r="S389">
        <f>IF($E389=0,0,SUMPRODUCT($AI$13:$DF$13,'Staff Daily sales'!$G374:$CD374))</f>
        <v>8192.86</v>
      </c>
      <c r="T389">
        <f>IF($E389=0,0,SUMPRODUCT($AI$14:$DF$14,'Staff Daily sales'!$G374:$CD374))</f>
        <v>43</v>
      </c>
      <c r="U389">
        <f>IF($E389=0,0,SUMPRODUCT($AI$15:$DF$15,'Staff Daily sales'!$G374:$CD374))</f>
        <v>844.99</v>
      </c>
      <c r="V389">
        <f>IF($E389=0,0,SUMPRODUCT($AI$16:$DF$16,'Staff Daily sales'!$G374:$CD374))</f>
        <v>7</v>
      </c>
      <c r="W389">
        <f t="shared" si="111"/>
        <v>18711.269999999997</v>
      </c>
      <c r="X389">
        <f t="shared" si="112"/>
        <v>27427.53</v>
      </c>
      <c r="Y389">
        <f t="shared" si="113"/>
        <v>26416.309999999998</v>
      </c>
      <c r="Z389">
        <f t="shared" si="114"/>
        <v>19653.740000000002</v>
      </c>
      <c r="AA389">
        <f t="shared" si="115"/>
        <v>5835.15</v>
      </c>
      <c r="AB389">
        <f>--AND($E389=1,OR('Staff Weekly Trend'!$B$3="All",$DH389='Staff Weekly Trend'!$B$3),OR('Staff Weekly Trend'!$B$4="All",$D389='Staff Weekly Trend'!$B$4),OR('Staff Weekly Trend'!$B$5="All",$A389='Staff Weekly Trend'!$B$5))</f>
        <v>1</v>
      </c>
      <c r="AC389">
        <f t="shared" si="116"/>
        <v>1</v>
      </c>
      <c r="AI389">
        <f t="shared" si="117"/>
        <v>122</v>
      </c>
      <c r="AJ389">
        <f t="shared" si="118"/>
        <v>173</v>
      </c>
      <c r="AK389">
        <f t="shared" si="119"/>
        <v>151</v>
      </c>
      <c r="AL389">
        <f t="shared" si="120"/>
        <v>115</v>
      </c>
      <c r="AM389">
        <f t="shared" si="121"/>
        <v>25</v>
      </c>
      <c r="DH389" t="str" cm="1">
        <f t="array" ref="DH389">IF($A389="","",_xlfn.LET(_xlpm.c,IFERROR(_xlfn.XLOOKUP($A389,TRIM('Sales and count'!$A$4:$A$300&amp;""),TRIM('Sales and count'!$B$4:$B$300&amp;"")),""),IF(OR(_xlpm.c="",_xlpm.c="0",LEFT(_xlpm.c,1)="#"),"Not set",_xlpm.c)))</f>
        <v>KSA</v>
      </c>
    </row>
    <row r="390" spans="1:112" x14ac:dyDescent="0.25">
      <c r="A390" t="str">
        <f>IF('Staff Daily sales'!$B375="","",TRIM('Staff Daily sales'!$B375&amp;""))</f>
        <v>HATABUKPR</v>
      </c>
      <c r="B390" t="str">
        <f>IF('Staff Daily sales'!$D375="","",TRIM('Staff Daily sales'!$D375&amp;""))</f>
        <v>4051-AZuqaibi</v>
      </c>
      <c r="C390" t="str">
        <f>IFERROR(TRIM('Staff Daily sales'!$E375&amp;""),"")</f>
        <v>Tabuk</v>
      </c>
      <c r="D390" t="str">
        <f>IFERROR(IF(TRIM('Staff Daily sales'!$F375&amp;"")="","Unassigned",TRIM('Staff Daily sales'!$F375&amp;"")),"Unassigned")</f>
        <v>Hamzah Al Makhadam</v>
      </c>
      <c r="E390">
        <f t="shared" si="106"/>
        <v>1</v>
      </c>
      <c r="F390">
        <f>IF($E390=0,0,SUMPRODUCT($AI$5:$DF$5,'Staff Daily sales'!$G375:$CD375))</f>
        <v>1725.93</v>
      </c>
      <c r="G390">
        <f>IF($E390=0,0,SUMPRODUCT($AI$6:$DF$6,'Staff Daily sales'!$G375:$CD375))</f>
        <v>8</v>
      </c>
      <c r="H390">
        <f t="shared" si="107"/>
        <v>4344.84</v>
      </c>
      <c r="I390">
        <f t="shared" si="108"/>
        <v>26</v>
      </c>
      <c r="J390">
        <f t="shared" si="109"/>
        <v>128104.23999999996</v>
      </c>
      <c r="K390">
        <f t="shared" si="110"/>
        <v>596</v>
      </c>
      <c r="L390">
        <f>--AND($E390=1,OR('Staff Dashboard'!$B$6="All",$DH390='Staff Dashboard'!$B$6),OR('Staff Dashboard'!$B$7="All",$D390='Staff Dashboard'!$B$7),OR('Staff Dashboard'!$B$8="All",$A390='Staff Dashboard'!$B$8))</f>
        <v>0</v>
      </c>
      <c r="M390">
        <f>IF($E390=0,0,SUMPRODUCT($AI$7:$DF$7,'Staff Daily sales'!$G375:$CD375))</f>
        <v>10945.99</v>
      </c>
      <c r="N390">
        <f>IF($E390=0,0,SUMPRODUCT($AI$8:$DF$8,'Staff Daily sales'!$G375:$CD375))</f>
        <v>54</v>
      </c>
      <c r="O390">
        <f>IF($E390=0,0,SUMPRODUCT($AI$9:$DF$9,'Staff Daily sales'!$G375:$CD375))</f>
        <v>13646.349999999999</v>
      </c>
      <c r="P390">
        <f>IF($E390=0,0,SUMPRODUCT($AI$10:$DF$10,'Staff Daily sales'!$G375:$CD375))</f>
        <v>61</v>
      </c>
      <c r="Q390">
        <f>IF($E390=0,0,SUMPRODUCT($AI$11:$DF$11,'Staff Daily sales'!$G375:$CD375))</f>
        <v>10397.17</v>
      </c>
      <c r="R390">
        <f>IF($E390=0,0,SUMPRODUCT($AI$12:$DF$12,'Staff Daily sales'!$G375:$CD375))</f>
        <v>40</v>
      </c>
      <c r="S390">
        <f>IF($E390=0,0,SUMPRODUCT($AI$13:$DF$13,'Staff Daily sales'!$G375:$CD375))</f>
        <v>6652.88</v>
      </c>
      <c r="T390">
        <f>IF($E390=0,0,SUMPRODUCT($AI$14:$DF$14,'Staff Daily sales'!$G375:$CD375))</f>
        <v>40</v>
      </c>
      <c r="U390">
        <f>IF($E390=0,0,SUMPRODUCT($AI$15:$DF$15,'Staff Daily sales'!$G375:$CD375))</f>
        <v>1742.08</v>
      </c>
      <c r="V390">
        <f>IF($E390=0,0,SUMPRODUCT($AI$16:$DF$16,'Staff Daily sales'!$G375:$CD375))</f>
        <v>13</v>
      </c>
      <c r="W390">
        <f t="shared" si="111"/>
        <v>21944.16</v>
      </c>
      <c r="X390">
        <f t="shared" si="112"/>
        <v>27506.67</v>
      </c>
      <c r="Y390">
        <f t="shared" si="113"/>
        <v>25782.35</v>
      </c>
      <c r="Z390">
        <f t="shared" si="114"/>
        <v>22842.46</v>
      </c>
      <c r="AA390">
        <f t="shared" si="115"/>
        <v>4223.16</v>
      </c>
      <c r="AB390">
        <f>--AND($E390=1,OR('Staff Weekly Trend'!$B$3="All",$DH390='Staff Weekly Trend'!$B$3),OR('Staff Weekly Trend'!$B$4="All",$D390='Staff Weekly Trend'!$B$4),OR('Staff Weekly Trend'!$B$5="All",$A390='Staff Weekly Trend'!$B$5))</f>
        <v>1</v>
      </c>
      <c r="AC390">
        <f t="shared" si="116"/>
        <v>2</v>
      </c>
      <c r="AI390">
        <f t="shared" si="117"/>
        <v>147</v>
      </c>
      <c r="AJ390">
        <f t="shared" si="118"/>
        <v>149</v>
      </c>
      <c r="AK390">
        <f t="shared" si="119"/>
        <v>130</v>
      </c>
      <c r="AL390">
        <f t="shared" si="120"/>
        <v>146</v>
      </c>
      <c r="AM390">
        <f t="shared" si="121"/>
        <v>25</v>
      </c>
      <c r="DH390" t="str" cm="1">
        <f t="array" ref="DH390">IF($A390="","",_xlfn.LET(_xlpm.c,IFERROR(_xlfn.XLOOKUP($A390,TRIM('Sales and count'!$A$4:$A$300&amp;""),TRIM('Sales and count'!$B$4:$B$300&amp;"")),""),IF(OR(_xlpm.c="",_xlpm.c="0",LEFT(_xlpm.c,1)="#"),"Not set",_xlpm.c)))</f>
        <v>KSA</v>
      </c>
    </row>
    <row r="391" spans="1:112" x14ac:dyDescent="0.25">
      <c r="A391" t="str">
        <f>IF('Staff Daily sales'!$B376="","",TRIM('Staff Daily sales'!$B376&amp;""))</f>
        <v>HATABUKPR</v>
      </c>
      <c r="B391" t="str">
        <f>IF('Staff Daily sales'!$D376="","",TRIM('Staff Daily sales'!$D376&amp;""))</f>
        <v>4053-TOtayf</v>
      </c>
      <c r="C391" t="str">
        <f>IFERROR(TRIM('Staff Daily sales'!$E376&amp;""),"")</f>
        <v>Tabuk</v>
      </c>
      <c r="D391" t="str">
        <f>IFERROR(IF(TRIM('Staff Daily sales'!$F376&amp;"")="","Unassigned",TRIM('Staff Daily sales'!$F376&amp;"")),"Unassigned")</f>
        <v>Hamzah Al Makhadam</v>
      </c>
      <c r="E391">
        <f t="shared" si="106"/>
        <v>1</v>
      </c>
      <c r="F391">
        <f>IF($E391=0,0,SUMPRODUCT($AI$5:$DF$5,'Staff Daily sales'!$G376:$CD376))</f>
        <v>0</v>
      </c>
      <c r="G391">
        <f>IF($E391=0,0,SUMPRODUCT($AI$6:$DF$6,'Staff Daily sales'!$G376:$CD376))</f>
        <v>0</v>
      </c>
      <c r="H391">
        <f t="shared" si="107"/>
        <v>4344.84</v>
      </c>
      <c r="I391">
        <f t="shared" si="108"/>
        <v>26</v>
      </c>
      <c r="J391">
        <f t="shared" si="109"/>
        <v>128104.23999999996</v>
      </c>
      <c r="K391">
        <f t="shared" si="110"/>
        <v>596</v>
      </c>
      <c r="L391">
        <f>--AND($E391=1,OR('Staff Dashboard'!$B$6="All",$DH391='Staff Dashboard'!$B$6),OR('Staff Dashboard'!$B$7="All",$D391='Staff Dashboard'!$B$7),OR('Staff Dashboard'!$B$8="All",$A391='Staff Dashboard'!$B$8))</f>
        <v>0</v>
      </c>
      <c r="M391">
        <f>IF($E391=0,0,SUMPRODUCT($AI$7:$DF$7,'Staff Daily sales'!$G376:$CD376))</f>
        <v>4673.04</v>
      </c>
      <c r="N391">
        <f>IF($E391=0,0,SUMPRODUCT($AI$8:$DF$8,'Staff Daily sales'!$G376:$CD376))</f>
        <v>45</v>
      </c>
      <c r="O391">
        <f>IF($E391=0,0,SUMPRODUCT($AI$9:$DF$9,'Staff Daily sales'!$G376:$CD376))</f>
        <v>8073.130000000001</v>
      </c>
      <c r="P391">
        <f>IF($E391=0,0,SUMPRODUCT($AI$10:$DF$10,'Staff Daily sales'!$G376:$CD376))</f>
        <v>48</v>
      </c>
      <c r="Q391">
        <f>IF($E391=0,0,SUMPRODUCT($AI$11:$DF$11,'Staff Daily sales'!$G376:$CD376))</f>
        <v>2073.9899999999998</v>
      </c>
      <c r="R391">
        <f>IF($E391=0,0,SUMPRODUCT($AI$12:$DF$12,'Staff Daily sales'!$G376:$CD376))</f>
        <v>13</v>
      </c>
      <c r="S391">
        <f>IF($E391=0,0,SUMPRODUCT($AI$13:$DF$13,'Staff Daily sales'!$G376:$CD376))</f>
        <v>0</v>
      </c>
      <c r="T391">
        <f>IF($E391=0,0,SUMPRODUCT($AI$14:$DF$14,'Staff Daily sales'!$G376:$CD376))</f>
        <v>0</v>
      </c>
      <c r="U391">
        <f>IF($E391=0,0,SUMPRODUCT($AI$15:$DF$15,'Staff Daily sales'!$G376:$CD376))</f>
        <v>0</v>
      </c>
      <c r="V391">
        <f>IF($E391=0,0,SUMPRODUCT($AI$16:$DF$16,'Staff Daily sales'!$G376:$CD376))</f>
        <v>0</v>
      </c>
      <c r="W391">
        <f t="shared" si="111"/>
        <v>21944.16</v>
      </c>
      <c r="X391">
        <f t="shared" si="112"/>
        <v>27506.67</v>
      </c>
      <c r="Y391">
        <f t="shared" si="113"/>
        <v>25782.35</v>
      </c>
      <c r="Z391">
        <f t="shared" si="114"/>
        <v>22842.46</v>
      </c>
      <c r="AA391">
        <f t="shared" si="115"/>
        <v>4223.16</v>
      </c>
      <c r="AB391">
        <f>--AND($E391=1,OR('Staff Weekly Trend'!$B$3="All",$DH391='Staff Weekly Trend'!$B$3),OR('Staff Weekly Trend'!$B$4="All",$D391='Staff Weekly Trend'!$B$4),OR('Staff Weekly Trend'!$B$5="All",$A391='Staff Weekly Trend'!$B$5))</f>
        <v>1</v>
      </c>
      <c r="AC391" t="str">
        <f t="shared" si="116"/>
        <v/>
      </c>
      <c r="AI391">
        <f t="shared" si="117"/>
        <v>147</v>
      </c>
      <c r="AJ391">
        <f t="shared" si="118"/>
        <v>149</v>
      </c>
      <c r="AK391">
        <f t="shared" si="119"/>
        <v>130</v>
      </c>
      <c r="AL391">
        <f t="shared" si="120"/>
        <v>146</v>
      </c>
      <c r="AM391">
        <f t="shared" si="121"/>
        <v>25</v>
      </c>
      <c r="DH391" t="str" cm="1">
        <f t="array" ref="DH391">IF($A391="","",_xlfn.LET(_xlpm.c,IFERROR(_xlfn.XLOOKUP($A391,TRIM('Sales and count'!$A$4:$A$300&amp;""),TRIM('Sales and count'!$B$4:$B$300&amp;"")),""),IF(OR(_xlpm.c="",_xlpm.c="0",LEFT(_xlpm.c,1)="#"),"Not set",_xlpm.c)))</f>
        <v>KSA</v>
      </c>
    </row>
    <row r="392" spans="1:112" x14ac:dyDescent="0.25">
      <c r="A392" t="str">
        <f>IF('Staff Daily sales'!$B377="","",TRIM('Staff Daily sales'!$B377&amp;""))</f>
        <v>HATABUKPR</v>
      </c>
      <c r="B392" t="str">
        <f>IF('Staff Daily sales'!$D377="","",TRIM('Staff Daily sales'!$D377&amp;""))</f>
        <v>4085-HAL-Balawi</v>
      </c>
      <c r="C392" t="str">
        <f>IFERROR(TRIM('Staff Daily sales'!$E377&amp;""),"")</f>
        <v>Tabuk</v>
      </c>
      <c r="D392" t="str">
        <f>IFERROR(IF(TRIM('Staff Daily sales'!$F377&amp;"")="","Unassigned",TRIM('Staff Daily sales'!$F377&amp;"")),"Unassigned")</f>
        <v>Hamzah Al Makhadam</v>
      </c>
      <c r="E392">
        <f t="shared" si="106"/>
        <v>1</v>
      </c>
      <c r="F392">
        <f>IF($E392=0,0,SUMPRODUCT($AI$5:$DF$5,'Staff Daily sales'!$G377:$CD377))</f>
        <v>2618.91</v>
      </c>
      <c r="G392">
        <f>IF($E392=0,0,SUMPRODUCT($AI$6:$DF$6,'Staff Daily sales'!$G377:$CD377))</f>
        <v>18</v>
      </c>
      <c r="H392">
        <f t="shared" si="107"/>
        <v>4344.84</v>
      </c>
      <c r="I392">
        <f t="shared" si="108"/>
        <v>26</v>
      </c>
      <c r="J392">
        <f t="shared" si="109"/>
        <v>128104.23999999996</v>
      </c>
      <c r="K392">
        <f t="shared" si="110"/>
        <v>596</v>
      </c>
      <c r="L392">
        <f>--AND($E392=1,OR('Staff Dashboard'!$B$6="All",$DH392='Staff Dashboard'!$B$6),OR('Staff Dashboard'!$B$7="All",$D392='Staff Dashboard'!$B$7),OR('Staff Dashboard'!$B$8="All",$A392='Staff Dashboard'!$B$8))</f>
        <v>0</v>
      </c>
      <c r="M392">
        <f>IF($E392=0,0,SUMPRODUCT($AI$7:$DF$7,'Staff Daily sales'!$G377:$CD377))</f>
        <v>6325.13</v>
      </c>
      <c r="N392">
        <f>IF($E392=0,0,SUMPRODUCT($AI$8:$DF$8,'Staff Daily sales'!$G377:$CD377))</f>
        <v>48</v>
      </c>
      <c r="O392">
        <f>IF($E392=0,0,SUMPRODUCT($AI$9:$DF$9,'Staff Daily sales'!$G377:$CD377))</f>
        <v>5787.19</v>
      </c>
      <c r="P392">
        <f>IF($E392=0,0,SUMPRODUCT($AI$10:$DF$10,'Staff Daily sales'!$G377:$CD377))</f>
        <v>40</v>
      </c>
      <c r="Q392">
        <f>IF($E392=0,0,SUMPRODUCT($AI$11:$DF$11,'Staff Daily sales'!$G377:$CD377))</f>
        <v>3891.0899999999997</v>
      </c>
      <c r="R392">
        <f>IF($E392=0,0,SUMPRODUCT($AI$12:$DF$12,'Staff Daily sales'!$G377:$CD377))</f>
        <v>30</v>
      </c>
      <c r="S392">
        <f>IF($E392=0,0,SUMPRODUCT($AI$13:$DF$13,'Staff Daily sales'!$G377:$CD377))</f>
        <v>6067.87</v>
      </c>
      <c r="T392">
        <f>IF($E392=0,0,SUMPRODUCT($AI$14:$DF$14,'Staff Daily sales'!$G377:$CD377))</f>
        <v>41</v>
      </c>
      <c r="U392">
        <f>IF($E392=0,0,SUMPRODUCT($AI$15:$DF$15,'Staff Daily sales'!$G377:$CD377))</f>
        <v>0</v>
      </c>
      <c r="V392">
        <f>IF($E392=0,0,SUMPRODUCT($AI$16:$DF$16,'Staff Daily sales'!$G377:$CD377))</f>
        <v>0</v>
      </c>
      <c r="W392">
        <f t="shared" si="111"/>
        <v>21944.16</v>
      </c>
      <c r="X392">
        <f t="shared" si="112"/>
        <v>27506.67</v>
      </c>
      <c r="Y392">
        <f t="shared" si="113"/>
        <v>25782.35</v>
      </c>
      <c r="Z392">
        <f t="shared" si="114"/>
        <v>22842.46</v>
      </c>
      <c r="AA392">
        <f t="shared" si="115"/>
        <v>4223.16</v>
      </c>
      <c r="AB392">
        <f>--AND($E392=1,OR('Staff Weekly Trend'!$B$3="All",$DH392='Staff Weekly Trend'!$B$3),OR('Staff Weekly Trend'!$B$4="All",$D392='Staff Weekly Trend'!$B$4),OR('Staff Weekly Trend'!$B$5="All",$A392='Staff Weekly Trend'!$B$5))</f>
        <v>1</v>
      </c>
      <c r="AC392">
        <f t="shared" si="116"/>
        <v>1</v>
      </c>
      <c r="AI392">
        <f t="shared" si="117"/>
        <v>147</v>
      </c>
      <c r="AJ392">
        <f t="shared" si="118"/>
        <v>149</v>
      </c>
      <c r="AK392">
        <f t="shared" si="119"/>
        <v>130</v>
      </c>
      <c r="AL392">
        <f t="shared" si="120"/>
        <v>146</v>
      </c>
      <c r="AM392">
        <f t="shared" si="121"/>
        <v>25</v>
      </c>
      <c r="DH392" t="str" cm="1">
        <f t="array" ref="DH392">IF($A392="","",_xlfn.LET(_xlpm.c,IFERROR(_xlfn.XLOOKUP($A392,TRIM('Sales and count'!$A$4:$A$300&amp;""),TRIM('Sales and count'!$B$4:$B$300&amp;"")),""),IF(OR(_xlpm.c="",_xlpm.c="0",LEFT(_xlpm.c,1)="#"),"Not set",_xlpm.c)))</f>
        <v>KSA</v>
      </c>
    </row>
    <row r="393" spans="1:112" x14ac:dyDescent="0.25">
      <c r="A393" t="str">
        <f>IF('Staff Daily sales'!$B378="","",TRIM('Staff Daily sales'!$B378&amp;""))</f>
        <v>HATABUKPR</v>
      </c>
      <c r="B393" t="str">
        <f>IF('Staff Daily sales'!$D378="","",TRIM('Staff Daily sales'!$D378&amp;""))</f>
        <v>5594-MAlMajed</v>
      </c>
      <c r="C393" t="str">
        <f>IFERROR(TRIM('Staff Daily sales'!$E378&amp;""),"")</f>
        <v>Tabuk</v>
      </c>
      <c r="D393" t="str">
        <f>IFERROR(IF(TRIM('Staff Daily sales'!$F378&amp;"")="","Unassigned",TRIM('Staff Daily sales'!$F378&amp;"")),"Unassigned")</f>
        <v>Hamzah Al Makhadam</v>
      </c>
      <c r="E393">
        <f t="shared" si="106"/>
        <v>1</v>
      </c>
      <c r="F393">
        <f>IF($E393=0,0,SUMPRODUCT($AI$5:$DF$5,'Staff Daily sales'!$G378:$CD378))</f>
        <v>0</v>
      </c>
      <c r="G393">
        <f>IF($E393=0,0,SUMPRODUCT($AI$6:$DF$6,'Staff Daily sales'!$G378:$CD378))</f>
        <v>0</v>
      </c>
      <c r="H393">
        <f t="shared" si="107"/>
        <v>4344.84</v>
      </c>
      <c r="I393">
        <f t="shared" si="108"/>
        <v>26</v>
      </c>
      <c r="J393">
        <f t="shared" si="109"/>
        <v>128104.23999999996</v>
      </c>
      <c r="K393">
        <f t="shared" si="110"/>
        <v>596</v>
      </c>
      <c r="L393">
        <f>--AND($E393=1,OR('Staff Dashboard'!$B$6="All",$DH393='Staff Dashboard'!$B$6),OR('Staff Dashboard'!$B$7="All",$D393='Staff Dashboard'!$B$7),OR('Staff Dashboard'!$B$8="All",$A393='Staff Dashboard'!$B$8))</f>
        <v>0</v>
      </c>
      <c r="M393">
        <f>IF($E393=0,0,SUMPRODUCT($AI$7:$DF$7,'Staff Daily sales'!$G378:$CD378))</f>
        <v>0</v>
      </c>
      <c r="N393">
        <f>IF($E393=0,0,SUMPRODUCT($AI$8:$DF$8,'Staff Daily sales'!$G378:$CD378))</f>
        <v>0</v>
      </c>
      <c r="O393">
        <f>IF($E393=0,0,SUMPRODUCT($AI$9:$DF$9,'Staff Daily sales'!$G378:$CD378))</f>
        <v>0</v>
      </c>
      <c r="P393">
        <f>IF($E393=0,0,SUMPRODUCT($AI$10:$DF$10,'Staff Daily sales'!$G378:$CD378))</f>
        <v>0</v>
      </c>
      <c r="Q393">
        <f>IF($E393=0,0,SUMPRODUCT($AI$11:$DF$11,'Staff Daily sales'!$G378:$CD378))</f>
        <v>9420.0999999999985</v>
      </c>
      <c r="R393">
        <f>IF($E393=0,0,SUMPRODUCT($AI$12:$DF$12,'Staff Daily sales'!$G378:$CD378))</f>
        <v>47</v>
      </c>
      <c r="S393">
        <f>IF($E393=0,0,SUMPRODUCT($AI$13:$DF$13,'Staff Daily sales'!$G378:$CD378))</f>
        <v>10121.709999999999</v>
      </c>
      <c r="T393">
        <f>IF($E393=0,0,SUMPRODUCT($AI$14:$DF$14,'Staff Daily sales'!$G378:$CD378))</f>
        <v>65</v>
      </c>
      <c r="U393">
        <f>IF($E393=0,0,SUMPRODUCT($AI$15:$DF$15,'Staff Daily sales'!$G378:$CD378))</f>
        <v>2481.08</v>
      </c>
      <c r="V393">
        <f>IF($E393=0,0,SUMPRODUCT($AI$16:$DF$16,'Staff Daily sales'!$G378:$CD378))</f>
        <v>12</v>
      </c>
      <c r="W393">
        <f t="shared" si="111"/>
        <v>21944.16</v>
      </c>
      <c r="X393">
        <f t="shared" si="112"/>
        <v>27506.67</v>
      </c>
      <c r="Y393">
        <f t="shared" si="113"/>
        <v>25782.35</v>
      </c>
      <c r="Z393">
        <f t="shared" si="114"/>
        <v>22842.46</v>
      </c>
      <c r="AA393">
        <f t="shared" si="115"/>
        <v>4223.16</v>
      </c>
      <c r="AB393">
        <f>--AND($E393=1,OR('Staff Weekly Trend'!$B$3="All",$DH393='Staff Weekly Trend'!$B$3),OR('Staff Weekly Trend'!$B$4="All",$D393='Staff Weekly Trend'!$B$4),OR('Staff Weekly Trend'!$B$5="All",$A393='Staff Weekly Trend'!$B$5))</f>
        <v>1</v>
      </c>
      <c r="AC393" t="str">
        <f t="shared" si="116"/>
        <v/>
      </c>
      <c r="AI393">
        <f t="shared" si="117"/>
        <v>147</v>
      </c>
      <c r="AJ393">
        <f t="shared" si="118"/>
        <v>149</v>
      </c>
      <c r="AK393">
        <f t="shared" si="119"/>
        <v>130</v>
      </c>
      <c r="AL393">
        <f t="shared" si="120"/>
        <v>146</v>
      </c>
      <c r="AM393">
        <f t="shared" si="121"/>
        <v>25</v>
      </c>
      <c r="DH393" t="str" cm="1">
        <f t="array" ref="DH393">IF($A393="","",_xlfn.LET(_xlpm.c,IFERROR(_xlfn.XLOOKUP($A393,TRIM('Sales and count'!$A$4:$A$300&amp;""),TRIM('Sales and count'!$B$4:$B$300&amp;"")),""),IF(OR(_xlpm.c="",_xlpm.c="0",LEFT(_xlpm.c,1)="#"),"Not set",_xlpm.c)))</f>
        <v>KSA</v>
      </c>
    </row>
    <row r="394" spans="1:112" x14ac:dyDescent="0.25">
      <c r="A394" t="str">
        <f>IF('Staff Daily sales'!$B379="","",TRIM('Staff Daily sales'!$B379&amp;""))</f>
        <v>HAMAYASMAD</v>
      </c>
      <c r="B394" t="str">
        <f>IF('Staff Daily sales'!$D379="","",TRIM('Staff Daily sales'!$D379&amp;""))</f>
        <v>4857-SAlHarthi</v>
      </c>
      <c r="C394" t="str">
        <f>IFERROR(TRIM('Staff Daily sales'!$E379&amp;""),"")</f>
        <v>Madinah</v>
      </c>
      <c r="D394" t="str">
        <f>IFERROR(IF(TRIM('Staff Daily sales'!$F379&amp;"")="","Unassigned",TRIM('Staff Daily sales'!$F379&amp;"")),"Unassigned")</f>
        <v>Mohammed Haidar</v>
      </c>
      <c r="E394">
        <f t="shared" si="106"/>
        <v>1</v>
      </c>
      <c r="F394">
        <f>IF($E394=0,0,SUMPRODUCT($AI$5:$DF$5,'Staff Daily sales'!$G379:$CD379))</f>
        <v>721.96</v>
      </c>
      <c r="G394">
        <f>IF($E394=0,0,SUMPRODUCT($AI$6:$DF$6,'Staff Daily sales'!$G379:$CD379))</f>
        <v>5</v>
      </c>
      <c r="H394">
        <f t="shared" si="107"/>
        <v>5962.68</v>
      </c>
      <c r="I394">
        <f t="shared" si="108"/>
        <v>27</v>
      </c>
      <c r="J394">
        <f t="shared" si="109"/>
        <v>55209.230000000018</v>
      </c>
      <c r="K394">
        <f t="shared" si="110"/>
        <v>272</v>
      </c>
      <c r="L394">
        <f>--AND($E394=1,OR('Staff Dashboard'!$B$6="All",$DH394='Staff Dashboard'!$B$6),OR('Staff Dashboard'!$B$7="All",$D394='Staff Dashboard'!$B$7),OR('Staff Dashboard'!$B$8="All",$A394='Staff Dashboard'!$B$8))</f>
        <v>0</v>
      </c>
      <c r="M394">
        <f>IF($E394=0,0,SUMPRODUCT($AI$7:$DF$7,'Staff Daily sales'!$G379:$CD379))</f>
        <v>1911.07</v>
      </c>
      <c r="N394">
        <f>IF($E394=0,0,SUMPRODUCT($AI$8:$DF$8,'Staff Daily sales'!$G379:$CD379))</f>
        <v>16</v>
      </c>
      <c r="O394">
        <f>IF($E394=0,0,SUMPRODUCT($AI$9:$DF$9,'Staff Daily sales'!$G379:$CD379))</f>
        <v>8664.119999999999</v>
      </c>
      <c r="P394">
        <f>IF($E394=0,0,SUMPRODUCT($AI$10:$DF$10,'Staff Daily sales'!$G379:$CD379))</f>
        <v>45</v>
      </c>
      <c r="Q394">
        <f>IF($E394=0,0,SUMPRODUCT($AI$11:$DF$11,'Staff Daily sales'!$G379:$CD379))</f>
        <v>7370.04</v>
      </c>
      <c r="R394">
        <f>IF($E394=0,0,SUMPRODUCT($AI$12:$DF$12,'Staff Daily sales'!$G379:$CD379))</f>
        <v>36</v>
      </c>
      <c r="S394">
        <f>IF($E394=0,0,SUMPRODUCT($AI$13:$DF$13,'Staff Daily sales'!$G379:$CD379))</f>
        <v>5543.93</v>
      </c>
      <c r="T394">
        <f>IF($E394=0,0,SUMPRODUCT($AI$14:$DF$14,'Staff Daily sales'!$G379:$CD379))</f>
        <v>33</v>
      </c>
      <c r="U394">
        <f>IF($E394=0,0,SUMPRODUCT($AI$15:$DF$15,'Staff Daily sales'!$G379:$CD379))</f>
        <v>3676</v>
      </c>
      <c r="V394">
        <f>IF($E394=0,0,SUMPRODUCT($AI$16:$DF$16,'Staff Daily sales'!$G379:$CD379))</f>
        <v>11</v>
      </c>
      <c r="W394">
        <f t="shared" si="111"/>
        <v>15498.369999999999</v>
      </c>
      <c r="X394">
        <f t="shared" si="112"/>
        <v>24974.36</v>
      </c>
      <c r="Y394">
        <f t="shared" si="113"/>
        <v>26641.18</v>
      </c>
      <c r="Z394">
        <f t="shared" si="114"/>
        <v>30189.200000000001</v>
      </c>
      <c r="AA394">
        <f t="shared" si="115"/>
        <v>9629.98</v>
      </c>
      <c r="AB394">
        <f>--AND($E394=1,OR('Staff Weekly Trend'!$B$3="All",$DH394='Staff Weekly Trend'!$B$3),OR('Staff Weekly Trend'!$B$4="All",$D394='Staff Weekly Trend'!$B$4),OR('Staff Weekly Trend'!$B$5="All",$A394='Staff Weekly Trend'!$B$5))</f>
        <v>1</v>
      </c>
      <c r="AC394">
        <f t="shared" si="116"/>
        <v>4</v>
      </c>
      <c r="AI394">
        <f t="shared" si="117"/>
        <v>76</v>
      </c>
      <c r="AJ394">
        <f t="shared" si="118"/>
        <v>135</v>
      </c>
      <c r="AK394">
        <f t="shared" si="119"/>
        <v>142</v>
      </c>
      <c r="AL394">
        <f t="shared" si="120"/>
        <v>143</v>
      </c>
      <c r="AM394">
        <f t="shared" si="121"/>
        <v>35</v>
      </c>
      <c r="DH394" t="str" cm="1">
        <f t="array" ref="DH394">IF($A394="","",_xlfn.LET(_xlpm.c,IFERROR(_xlfn.XLOOKUP($A394,TRIM('Sales and count'!$A$4:$A$300&amp;""),TRIM('Sales and count'!$B$4:$B$300&amp;"")),""),IF(OR(_xlpm.c="",_xlpm.c="0",LEFT(_xlpm.c,1)="#"),"Not set",_xlpm.c)))</f>
        <v>KSA</v>
      </c>
    </row>
    <row r="395" spans="1:112" x14ac:dyDescent="0.25">
      <c r="A395" t="str">
        <f>IF('Staff Daily sales'!$B380="","",TRIM('Staff Daily sales'!$B380&amp;""))</f>
        <v>HAMAYASMAD</v>
      </c>
      <c r="B395" t="str">
        <f>IF('Staff Daily sales'!$D380="","",TRIM('Staff Daily sales'!$D380&amp;""))</f>
        <v>5272-AAlMarwani</v>
      </c>
      <c r="C395" t="str">
        <f>IFERROR(TRIM('Staff Daily sales'!$E380&amp;""),"")</f>
        <v>Madinah</v>
      </c>
      <c r="D395" t="str">
        <f>IFERROR(IF(TRIM('Staff Daily sales'!$F380&amp;"")="","Unassigned",TRIM('Staff Daily sales'!$F380&amp;"")),"Unassigned")</f>
        <v>Mohammed Haidar</v>
      </c>
      <c r="E395">
        <f t="shared" si="106"/>
        <v>1</v>
      </c>
      <c r="F395">
        <f>IF($E395=0,0,SUMPRODUCT($AI$5:$DF$5,'Staff Daily sales'!$G380:$CD380))</f>
        <v>1648.92</v>
      </c>
      <c r="G395">
        <f>IF($E395=0,0,SUMPRODUCT($AI$6:$DF$6,'Staff Daily sales'!$G380:$CD380))</f>
        <v>4</v>
      </c>
      <c r="H395">
        <f t="shared" si="107"/>
        <v>5962.68</v>
      </c>
      <c r="I395">
        <f t="shared" si="108"/>
        <v>27</v>
      </c>
      <c r="J395">
        <f t="shared" si="109"/>
        <v>55209.230000000018</v>
      </c>
      <c r="K395">
        <f t="shared" si="110"/>
        <v>272</v>
      </c>
      <c r="L395">
        <f>--AND($E395=1,OR('Staff Dashboard'!$B$6="All",$DH395='Staff Dashboard'!$B$6),OR('Staff Dashboard'!$B$7="All",$D395='Staff Dashboard'!$B$7),OR('Staff Dashboard'!$B$8="All",$A395='Staff Dashboard'!$B$8))</f>
        <v>0</v>
      </c>
      <c r="M395">
        <f>IF($E395=0,0,SUMPRODUCT($AI$7:$DF$7,'Staff Daily sales'!$G380:$CD380))</f>
        <v>824.01</v>
      </c>
      <c r="N395">
        <f>IF($E395=0,0,SUMPRODUCT($AI$8:$DF$8,'Staff Daily sales'!$G380:$CD380))</f>
        <v>2</v>
      </c>
      <c r="O395">
        <f>IF($E395=0,0,SUMPRODUCT($AI$9:$DF$9,'Staff Daily sales'!$G380:$CD380))</f>
        <v>649.03</v>
      </c>
      <c r="P395">
        <f>IF($E395=0,0,SUMPRODUCT($AI$10:$DF$10,'Staff Daily sales'!$G380:$CD380))</f>
        <v>4</v>
      </c>
      <c r="Q395">
        <f>IF($E395=0,0,SUMPRODUCT($AI$11:$DF$11,'Staff Daily sales'!$G380:$CD380))</f>
        <v>2250</v>
      </c>
      <c r="R395">
        <f>IF($E395=0,0,SUMPRODUCT($AI$12:$DF$12,'Staff Daily sales'!$G380:$CD380))</f>
        <v>14</v>
      </c>
      <c r="S395">
        <f>IF($E395=0,0,SUMPRODUCT($AI$13:$DF$13,'Staff Daily sales'!$G380:$CD380))</f>
        <v>5952.01</v>
      </c>
      <c r="T395">
        <f>IF($E395=0,0,SUMPRODUCT($AI$14:$DF$14,'Staff Daily sales'!$G380:$CD380))</f>
        <v>23</v>
      </c>
      <c r="U395">
        <f>IF($E395=0,0,SUMPRODUCT($AI$15:$DF$15,'Staff Daily sales'!$G380:$CD380))</f>
        <v>2188.16</v>
      </c>
      <c r="V395">
        <f>IF($E395=0,0,SUMPRODUCT($AI$16:$DF$16,'Staff Daily sales'!$G380:$CD380))</f>
        <v>10</v>
      </c>
      <c r="W395">
        <f t="shared" si="111"/>
        <v>15498.369999999999</v>
      </c>
      <c r="X395">
        <f t="shared" si="112"/>
        <v>24974.36</v>
      </c>
      <c r="Y395">
        <f t="shared" si="113"/>
        <v>26641.18</v>
      </c>
      <c r="Z395">
        <f t="shared" si="114"/>
        <v>30189.200000000001</v>
      </c>
      <c r="AA395">
        <f t="shared" si="115"/>
        <v>9629.98</v>
      </c>
      <c r="AB395">
        <f>--AND($E395=1,OR('Staff Weekly Trend'!$B$3="All",$DH395='Staff Weekly Trend'!$B$3),OR('Staff Weekly Trend'!$B$4="All",$D395='Staff Weekly Trend'!$B$4),OR('Staff Weekly Trend'!$B$5="All",$A395='Staff Weekly Trend'!$B$5))</f>
        <v>1</v>
      </c>
      <c r="AC395">
        <f t="shared" si="116"/>
        <v>2</v>
      </c>
      <c r="AI395">
        <f t="shared" si="117"/>
        <v>76</v>
      </c>
      <c r="AJ395">
        <f t="shared" si="118"/>
        <v>135</v>
      </c>
      <c r="AK395">
        <f t="shared" si="119"/>
        <v>142</v>
      </c>
      <c r="AL395">
        <f t="shared" si="120"/>
        <v>143</v>
      </c>
      <c r="AM395">
        <f t="shared" si="121"/>
        <v>35</v>
      </c>
      <c r="DH395" t="str" cm="1">
        <f t="array" ref="DH395">IF($A395="","",_xlfn.LET(_xlpm.c,IFERROR(_xlfn.XLOOKUP($A395,TRIM('Sales and count'!$A$4:$A$300&amp;""),TRIM('Sales and count'!$B$4:$B$300&amp;"")),""),IF(OR(_xlpm.c="",_xlpm.c="0",LEFT(_xlpm.c,1)="#"),"Not set",_xlpm.c)))</f>
        <v>KSA</v>
      </c>
    </row>
    <row r="396" spans="1:112" x14ac:dyDescent="0.25">
      <c r="A396" t="str">
        <f>IF('Staff Daily sales'!$B381="","",TRIM('Staff Daily sales'!$B381&amp;""))</f>
        <v>HAMAYASMAD</v>
      </c>
      <c r="B396" t="str">
        <f>IF('Staff Daily sales'!$D381="","",TRIM('Staff Daily sales'!$D381&amp;""))</f>
        <v>6480-AAlraddadi</v>
      </c>
      <c r="C396" t="str">
        <f>IFERROR(TRIM('Staff Daily sales'!$E381&amp;""),"")</f>
        <v>Madinah</v>
      </c>
      <c r="D396" t="str">
        <f>IFERROR(IF(TRIM('Staff Daily sales'!$F381&amp;"")="","Unassigned",TRIM('Staff Daily sales'!$F381&amp;"")),"Unassigned")</f>
        <v>Mohammed Haidar</v>
      </c>
      <c r="E396">
        <f t="shared" si="106"/>
        <v>1</v>
      </c>
      <c r="F396">
        <f>IF($E396=0,0,SUMPRODUCT($AI$5:$DF$5,'Staff Daily sales'!$G381:$CD381))</f>
        <v>1318.92</v>
      </c>
      <c r="G396">
        <f>IF($E396=0,0,SUMPRODUCT($AI$6:$DF$6,'Staff Daily sales'!$G381:$CD381))</f>
        <v>8</v>
      </c>
      <c r="H396">
        <f t="shared" si="107"/>
        <v>5962.68</v>
      </c>
      <c r="I396">
        <f t="shared" si="108"/>
        <v>27</v>
      </c>
      <c r="J396">
        <f t="shared" si="109"/>
        <v>55209.230000000018</v>
      </c>
      <c r="K396">
        <f t="shared" si="110"/>
        <v>272</v>
      </c>
      <c r="L396">
        <f>--AND($E396=1,OR('Staff Dashboard'!$B$6="All",$DH396='Staff Dashboard'!$B$6),OR('Staff Dashboard'!$B$7="All",$D396='Staff Dashboard'!$B$7),OR('Staff Dashboard'!$B$8="All",$A396='Staff Dashboard'!$B$8))</f>
        <v>0</v>
      </c>
      <c r="M396">
        <f>IF($E396=0,0,SUMPRODUCT($AI$7:$DF$7,'Staff Daily sales'!$G381:$CD381))</f>
        <v>3617.08</v>
      </c>
      <c r="N396">
        <f>IF($E396=0,0,SUMPRODUCT($AI$8:$DF$8,'Staff Daily sales'!$G381:$CD381))</f>
        <v>21</v>
      </c>
      <c r="O396">
        <f>IF($E396=0,0,SUMPRODUCT($AI$9:$DF$9,'Staff Daily sales'!$G381:$CD381))</f>
        <v>6365.0800000000008</v>
      </c>
      <c r="P396">
        <f>IF($E396=0,0,SUMPRODUCT($AI$10:$DF$10,'Staff Daily sales'!$G381:$CD381))</f>
        <v>37</v>
      </c>
      <c r="Q396">
        <f>IF($E396=0,0,SUMPRODUCT($AI$11:$DF$11,'Staff Daily sales'!$G381:$CD381))</f>
        <v>7981.04</v>
      </c>
      <c r="R396">
        <f>IF($E396=0,0,SUMPRODUCT($AI$12:$DF$12,'Staff Daily sales'!$G381:$CD381))</f>
        <v>45</v>
      </c>
      <c r="S396">
        <f>IF($E396=0,0,SUMPRODUCT($AI$13:$DF$13,'Staff Daily sales'!$G381:$CD381))</f>
        <v>6176.76</v>
      </c>
      <c r="T396">
        <f>IF($E396=0,0,SUMPRODUCT($AI$14:$DF$14,'Staff Daily sales'!$G381:$CD381))</f>
        <v>36</v>
      </c>
      <c r="U396">
        <f>IF($E396=0,0,SUMPRODUCT($AI$15:$DF$15,'Staff Daily sales'!$G381:$CD381))</f>
        <v>957.98</v>
      </c>
      <c r="V396">
        <f>IF($E396=0,0,SUMPRODUCT($AI$16:$DF$16,'Staff Daily sales'!$G381:$CD381))</f>
        <v>7</v>
      </c>
      <c r="W396">
        <f t="shared" si="111"/>
        <v>15498.369999999999</v>
      </c>
      <c r="X396">
        <f t="shared" si="112"/>
        <v>24974.36</v>
      </c>
      <c r="Y396">
        <f t="shared" si="113"/>
        <v>26641.18</v>
      </c>
      <c r="Z396">
        <f t="shared" si="114"/>
        <v>30189.200000000001</v>
      </c>
      <c r="AA396">
        <f t="shared" si="115"/>
        <v>9629.98</v>
      </c>
      <c r="AB396">
        <f>--AND($E396=1,OR('Staff Weekly Trend'!$B$3="All",$DH396='Staff Weekly Trend'!$B$3),OR('Staff Weekly Trend'!$B$4="All",$D396='Staff Weekly Trend'!$B$4),OR('Staff Weekly Trend'!$B$5="All",$A396='Staff Weekly Trend'!$B$5))</f>
        <v>1</v>
      </c>
      <c r="AC396">
        <f t="shared" si="116"/>
        <v>3</v>
      </c>
      <c r="AI396">
        <f t="shared" si="117"/>
        <v>76</v>
      </c>
      <c r="AJ396">
        <f t="shared" si="118"/>
        <v>135</v>
      </c>
      <c r="AK396">
        <f t="shared" si="119"/>
        <v>142</v>
      </c>
      <c r="AL396">
        <f t="shared" si="120"/>
        <v>143</v>
      </c>
      <c r="AM396">
        <f t="shared" si="121"/>
        <v>35</v>
      </c>
      <c r="DH396" t="str" cm="1">
        <f t="array" ref="DH396">IF($A396="","",_xlfn.LET(_xlpm.c,IFERROR(_xlfn.XLOOKUP($A396,TRIM('Sales and count'!$A$4:$A$300&amp;""),TRIM('Sales and count'!$B$4:$B$300&amp;"")),""),IF(OR(_xlpm.c="",_xlpm.c="0",LEFT(_xlpm.c,1)="#"),"Not set",_xlpm.c)))</f>
        <v>KSA</v>
      </c>
    </row>
    <row r="397" spans="1:112" x14ac:dyDescent="0.25">
      <c r="A397" t="str">
        <f>IF('Staff Daily sales'!$B382="","",TRIM('Staff Daily sales'!$B382&amp;""))</f>
        <v>HAMAYASMAD</v>
      </c>
      <c r="B397" t="str">
        <f>IF('Staff Daily sales'!$D382="","",TRIM('Staff Daily sales'!$D382&amp;""))</f>
        <v>6481-NAlenezi</v>
      </c>
      <c r="C397" t="str">
        <f>IFERROR(TRIM('Staff Daily sales'!$E382&amp;""),"")</f>
        <v>Madinah</v>
      </c>
      <c r="D397" t="str">
        <f>IFERROR(IF(TRIM('Staff Daily sales'!$F382&amp;"")="","Unassigned",TRIM('Staff Daily sales'!$F382&amp;"")),"Unassigned")</f>
        <v>Mohammed Haidar</v>
      </c>
      <c r="E397">
        <f t="shared" si="106"/>
        <v>1</v>
      </c>
      <c r="F397">
        <f>IF($E397=0,0,SUMPRODUCT($AI$5:$DF$5,'Staff Daily sales'!$G382:$CD382))</f>
        <v>0</v>
      </c>
      <c r="G397">
        <f>IF($E397=0,0,SUMPRODUCT($AI$6:$DF$6,'Staff Daily sales'!$G382:$CD382))</f>
        <v>0</v>
      </c>
      <c r="H397">
        <f t="shared" si="107"/>
        <v>5962.68</v>
      </c>
      <c r="I397">
        <f t="shared" si="108"/>
        <v>27</v>
      </c>
      <c r="J397">
        <f t="shared" si="109"/>
        <v>55209.230000000018</v>
      </c>
      <c r="K397">
        <f t="shared" si="110"/>
        <v>272</v>
      </c>
      <c r="L397">
        <f>--AND($E397=1,OR('Staff Dashboard'!$B$6="All",$DH397='Staff Dashboard'!$B$6),OR('Staff Dashboard'!$B$7="All",$D397='Staff Dashboard'!$B$7),OR('Staff Dashboard'!$B$8="All",$A397='Staff Dashboard'!$B$8))</f>
        <v>0</v>
      </c>
      <c r="M397">
        <f>IF($E397=0,0,SUMPRODUCT($AI$7:$DF$7,'Staff Daily sales'!$G382:$CD382))</f>
        <v>3804.09</v>
      </c>
      <c r="N397">
        <f>IF($E397=0,0,SUMPRODUCT($AI$8:$DF$8,'Staff Daily sales'!$G382:$CD382))</f>
        <v>20</v>
      </c>
      <c r="O397">
        <f>IF($E397=0,0,SUMPRODUCT($AI$9:$DF$9,'Staff Daily sales'!$G382:$CD382))</f>
        <v>3783.09</v>
      </c>
      <c r="P397">
        <f>IF($E397=0,0,SUMPRODUCT($AI$10:$DF$10,'Staff Daily sales'!$G382:$CD382))</f>
        <v>25</v>
      </c>
      <c r="Q397">
        <f>IF($E397=0,0,SUMPRODUCT($AI$11:$DF$11,'Staff Daily sales'!$G382:$CD382))</f>
        <v>4000.0699999999997</v>
      </c>
      <c r="R397">
        <f>IF($E397=0,0,SUMPRODUCT($AI$12:$DF$12,'Staff Daily sales'!$G382:$CD382))</f>
        <v>25</v>
      </c>
      <c r="S397">
        <f>IF($E397=0,0,SUMPRODUCT($AI$13:$DF$13,'Staff Daily sales'!$G382:$CD382))</f>
        <v>0</v>
      </c>
      <c r="T397">
        <f>IF($E397=0,0,SUMPRODUCT($AI$14:$DF$14,'Staff Daily sales'!$G382:$CD382))</f>
        <v>0</v>
      </c>
      <c r="U397">
        <f>IF($E397=0,0,SUMPRODUCT($AI$15:$DF$15,'Staff Daily sales'!$G382:$CD382))</f>
        <v>0</v>
      </c>
      <c r="V397">
        <f>IF($E397=0,0,SUMPRODUCT($AI$16:$DF$16,'Staff Daily sales'!$G382:$CD382))</f>
        <v>0</v>
      </c>
      <c r="W397">
        <f t="shared" si="111"/>
        <v>15498.369999999999</v>
      </c>
      <c r="X397">
        <f t="shared" si="112"/>
        <v>24974.36</v>
      </c>
      <c r="Y397">
        <f t="shared" si="113"/>
        <v>26641.18</v>
      </c>
      <c r="Z397">
        <f t="shared" si="114"/>
        <v>30189.200000000001</v>
      </c>
      <c r="AA397">
        <f t="shared" si="115"/>
        <v>9629.98</v>
      </c>
      <c r="AB397">
        <f>--AND($E397=1,OR('Staff Weekly Trend'!$B$3="All",$DH397='Staff Weekly Trend'!$B$3),OR('Staff Weekly Trend'!$B$4="All",$D397='Staff Weekly Trend'!$B$4),OR('Staff Weekly Trend'!$B$5="All",$A397='Staff Weekly Trend'!$B$5))</f>
        <v>1</v>
      </c>
      <c r="AC397" t="str">
        <f t="shared" si="116"/>
        <v/>
      </c>
      <c r="AI397">
        <f t="shared" si="117"/>
        <v>76</v>
      </c>
      <c r="AJ397">
        <f t="shared" si="118"/>
        <v>135</v>
      </c>
      <c r="AK397">
        <f t="shared" si="119"/>
        <v>142</v>
      </c>
      <c r="AL397">
        <f t="shared" si="120"/>
        <v>143</v>
      </c>
      <c r="AM397">
        <f t="shared" si="121"/>
        <v>35</v>
      </c>
      <c r="DH397" t="str" cm="1">
        <f t="array" ref="DH397">IF($A397="","",_xlfn.LET(_xlpm.c,IFERROR(_xlfn.XLOOKUP($A397,TRIM('Sales and count'!$A$4:$A$300&amp;""),TRIM('Sales and count'!$B$4:$B$300&amp;"")),""),IF(OR(_xlpm.c="",_xlpm.c="0",LEFT(_xlpm.c,1)="#"),"Not set",_xlpm.c)))</f>
        <v>KSA</v>
      </c>
    </row>
    <row r="398" spans="1:112" x14ac:dyDescent="0.25">
      <c r="A398" t="str">
        <f>IF('Staff Daily sales'!$B383="","",TRIM('Staff Daily sales'!$B383&amp;""))</f>
        <v>HAMAYASMAD</v>
      </c>
      <c r="B398" t="str">
        <f>IF('Staff Daily sales'!$D383="","",TRIM('Staff Daily sales'!$D383&amp;""))</f>
        <v>6620-KAlhejaili</v>
      </c>
      <c r="C398" t="str">
        <f>IFERROR(TRIM('Staff Daily sales'!$E383&amp;""),"")</f>
        <v>Madinah</v>
      </c>
      <c r="D398" t="str">
        <f>IFERROR(IF(TRIM('Staff Daily sales'!$F383&amp;"")="","Unassigned",TRIM('Staff Daily sales'!$F383&amp;"")),"Unassigned")</f>
        <v>Mohammed Haidar</v>
      </c>
      <c r="E398">
        <f t="shared" si="106"/>
        <v>1</v>
      </c>
      <c r="F398">
        <f>IF($E398=0,0,SUMPRODUCT($AI$5:$DF$5,'Staff Daily sales'!$G383:$CD383))</f>
        <v>2272.88</v>
      </c>
      <c r="G398">
        <f>IF($E398=0,0,SUMPRODUCT($AI$6:$DF$6,'Staff Daily sales'!$G383:$CD383))</f>
        <v>10</v>
      </c>
      <c r="H398">
        <f t="shared" si="107"/>
        <v>5962.68</v>
      </c>
      <c r="I398">
        <f t="shared" si="108"/>
        <v>27</v>
      </c>
      <c r="J398">
        <f t="shared" si="109"/>
        <v>55209.230000000018</v>
      </c>
      <c r="K398">
        <f t="shared" si="110"/>
        <v>272</v>
      </c>
      <c r="L398">
        <f>--AND($E398=1,OR('Staff Dashboard'!$B$6="All",$DH398='Staff Dashboard'!$B$6),OR('Staff Dashboard'!$B$7="All",$D398='Staff Dashboard'!$B$7),OR('Staff Dashboard'!$B$8="All",$A398='Staff Dashboard'!$B$8))</f>
        <v>0</v>
      </c>
      <c r="M398">
        <f>IF($E398=0,0,SUMPRODUCT($AI$7:$DF$7,'Staff Daily sales'!$G383:$CD383))</f>
        <v>5342.12</v>
      </c>
      <c r="N398">
        <f>IF($E398=0,0,SUMPRODUCT($AI$8:$DF$8,'Staff Daily sales'!$G383:$CD383))</f>
        <v>17</v>
      </c>
      <c r="O398">
        <f>IF($E398=0,0,SUMPRODUCT($AI$9:$DF$9,'Staff Daily sales'!$G383:$CD383))</f>
        <v>5513.04</v>
      </c>
      <c r="P398">
        <f>IF($E398=0,0,SUMPRODUCT($AI$10:$DF$10,'Staff Daily sales'!$G383:$CD383))</f>
        <v>24</v>
      </c>
      <c r="Q398">
        <f>IF($E398=0,0,SUMPRODUCT($AI$11:$DF$11,'Staff Daily sales'!$G383:$CD383))</f>
        <v>5040.03</v>
      </c>
      <c r="R398">
        <f>IF($E398=0,0,SUMPRODUCT($AI$12:$DF$12,'Staff Daily sales'!$G383:$CD383))</f>
        <v>22</v>
      </c>
      <c r="S398">
        <f>IF($E398=0,0,SUMPRODUCT($AI$13:$DF$13,'Staff Daily sales'!$G383:$CD383))</f>
        <v>12516.5</v>
      </c>
      <c r="T398">
        <f>IF($E398=0,0,SUMPRODUCT($AI$14:$DF$14,'Staff Daily sales'!$G383:$CD383))</f>
        <v>51</v>
      </c>
      <c r="U398">
        <f>IF($E398=0,0,SUMPRODUCT($AI$15:$DF$15,'Staff Daily sales'!$G383:$CD383))</f>
        <v>2807.84</v>
      </c>
      <c r="V398">
        <f>IF($E398=0,0,SUMPRODUCT($AI$16:$DF$16,'Staff Daily sales'!$G383:$CD383))</f>
        <v>7</v>
      </c>
      <c r="W398">
        <f t="shared" si="111"/>
        <v>15498.369999999999</v>
      </c>
      <c r="X398">
        <f t="shared" si="112"/>
        <v>24974.36</v>
      </c>
      <c r="Y398">
        <f t="shared" si="113"/>
        <v>26641.18</v>
      </c>
      <c r="Z398">
        <f t="shared" si="114"/>
        <v>30189.200000000001</v>
      </c>
      <c r="AA398">
        <f t="shared" si="115"/>
        <v>9629.98</v>
      </c>
      <c r="AB398">
        <f>--AND($E398=1,OR('Staff Weekly Trend'!$B$3="All",$DH398='Staff Weekly Trend'!$B$3),OR('Staff Weekly Trend'!$B$4="All",$D398='Staff Weekly Trend'!$B$4),OR('Staff Weekly Trend'!$B$5="All",$A398='Staff Weekly Trend'!$B$5))</f>
        <v>1</v>
      </c>
      <c r="AC398">
        <f t="shared" si="116"/>
        <v>1</v>
      </c>
      <c r="AI398">
        <f t="shared" si="117"/>
        <v>76</v>
      </c>
      <c r="AJ398">
        <f t="shared" si="118"/>
        <v>135</v>
      </c>
      <c r="AK398">
        <f t="shared" si="119"/>
        <v>142</v>
      </c>
      <c r="AL398">
        <f t="shared" si="120"/>
        <v>143</v>
      </c>
      <c r="AM398">
        <f t="shared" si="121"/>
        <v>35</v>
      </c>
      <c r="DH398" t="str" cm="1">
        <f t="array" ref="DH398">IF($A398="","",_xlfn.LET(_xlpm.c,IFERROR(_xlfn.XLOOKUP($A398,TRIM('Sales and count'!$A$4:$A$300&amp;""),TRIM('Sales and count'!$B$4:$B$300&amp;"")),""),IF(OR(_xlpm.c="",_xlpm.c="0",LEFT(_xlpm.c,1)="#"),"Not set",_xlpm.c)))</f>
        <v>KSA</v>
      </c>
    </row>
    <row r="399" spans="1:112" x14ac:dyDescent="0.25">
      <c r="A399" t="str">
        <f>IF('Staff Daily sales'!$B384="","",TRIM('Staff Daily sales'!$B384&amp;""))</f>
        <v>HAKHURAIS</v>
      </c>
      <c r="B399" t="str">
        <f>IF('Staff Daily sales'!$D384="","",TRIM('Staff Daily sales'!$D384&amp;""))</f>
        <v>3123-FAlghamdi</v>
      </c>
      <c r="C399" t="str">
        <f>IFERROR(TRIM('Staff Daily sales'!$E384&amp;""),"")</f>
        <v>Riyadh</v>
      </c>
      <c r="D399" t="str">
        <f>IFERROR(IF(TRIM('Staff Daily sales'!$F384&amp;"")="","Unassigned",TRIM('Staff Daily sales'!$F384&amp;"")),"Unassigned")</f>
        <v>Mohammed Sanad</v>
      </c>
      <c r="E399">
        <f t="shared" si="106"/>
        <v>1</v>
      </c>
      <c r="F399">
        <f>IF($E399=0,0,SUMPRODUCT($AI$5:$DF$5,'Staff Daily sales'!$G384:$CD384))</f>
        <v>0</v>
      </c>
      <c r="G399">
        <f>IF($E399=0,0,SUMPRODUCT($AI$6:$DF$6,'Staff Daily sales'!$G384:$CD384))</f>
        <v>0</v>
      </c>
      <c r="H399">
        <f t="shared" si="107"/>
        <v>2963.82</v>
      </c>
      <c r="I399">
        <f t="shared" si="108"/>
        <v>15</v>
      </c>
      <c r="J399">
        <f t="shared" si="109"/>
        <v>64682.640000000014</v>
      </c>
      <c r="K399">
        <f t="shared" si="110"/>
        <v>326</v>
      </c>
      <c r="L399">
        <f>--AND($E399=1,OR('Staff Dashboard'!$B$6="All",$DH399='Staff Dashboard'!$B$6),OR('Staff Dashboard'!$B$7="All",$D399='Staff Dashboard'!$B$7),OR('Staff Dashboard'!$B$8="All",$A399='Staff Dashboard'!$B$8))</f>
        <v>0</v>
      </c>
      <c r="M399">
        <f>IF($E399=0,0,SUMPRODUCT($AI$7:$DF$7,'Staff Daily sales'!$G384:$CD384))</f>
        <v>2535.08</v>
      </c>
      <c r="N399">
        <f>IF($E399=0,0,SUMPRODUCT($AI$8:$DF$8,'Staff Daily sales'!$G384:$CD384))</f>
        <v>16</v>
      </c>
      <c r="O399">
        <f>IF($E399=0,0,SUMPRODUCT($AI$9:$DF$9,'Staff Daily sales'!$G384:$CD384))</f>
        <v>3028.08</v>
      </c>
      <c r="P399">
        <f>IF($E399=0,0,SUMPRODUCT($AI$10:$DF$10,'Staff Daily sales'!$G384:$CD384))</f>
        <v>23</v>
      </c>
      <c r="Q399">
        <f>IF($E399=0,0,SUMPRODUCT($AI$11:$DF$11,'Staff Daily sales'!$G384:$CD384))</f>
        <v>3195.06</v>
      </c>
      <c r="R399">
        <f>IF($E399=0,0,SUMPRODUCT($AI$12:$DF$12,'Staff Daily sales'!$G384:$CD384))</f>
        <v>24</v>
      </c>
      <c r="S399">
        <f>IF($E399=0,0,SUMPRODUCT($AI$13:$DF$13,'Staff Daily sales'!$G384:$CD384))</f>
        <v>0</v>
      </c>
      <c r="T399">
        <f>IF($E399=0,0,SUMPRODUCT($AI$14:$DF$14,'Staff Daily sales'!$G384:$CD384))</f>
        <v>0</v>
      </c>
      <c r="U399">
        <f>IF($E399=0,0,SUMPRODUCT($AI$15:$DF$15,'Staff Daily sales'!$G384:$CD384))</f>
        <v>0</v>
      </c>
      <c r="V399">
        <f>IF($E399=0,0,SUMPRODUCT($AI$16:$DF$16,'Staff Daily sales'!$G384:$CD384))</f>
        <v>0</v>
      </c>
      <c r="W399">
        <f t="shared" si="111"/>
        <v>15994.340000000002</v>
      </c>
      <c r="X399">
        <f t="shared" si="112"/>
        <v>24379.449999999997</v>
      </c>
      <c r="Y399">
        <f t="shared" si="113"/>
        <v>29167.39</v>
      </c>
      <c r="Z399">
        <f t="shared" si="114"/>
        <v>23609.52</v>
      </c>
      <c r="AA399">
        <f t="shared" si="115"/>
        <v>4978</v>
      </c>
      <c r="AB399">
        <f>--AND($E399=1,OR('Staff Weekly Trend'!$B$3="All",$DH399='Staff Weekly Trend'!$B$3),OR('Staff Weekly Trend'!$B$4="All",$D399='Staff Weekly Trend'!$B$4),OR('Staff Weekly Trend'!$B$5="All",$A399='Staff Weekly Trend'!$B$5))</f>
        <v>1</v>
      </c>
      <c r="AC399" t="str">
        <f t="shared" si="116"/>
        <v/>
      </c>
      <c r="AI399">
        <f t="shared" si="117"/>
        <v>138</v>
      </c>
      <c r="AJ399">
        <f t="shared" si="118"/>
        <v>181</v>
      </c>
      <c r="AK399">
        <f t="shared" si="119"/>
        <v>210</v>
      </c>
      <c r="AL399">
        <f t="shared" si="120"/>
        <v>157</v>
      </c>
      <c r="AM399">
        <f t="shared" si="121"/>
        <v>33</v>
      </c>
      <c r="DH399" t="str" cm="1">
        <f t="array" ref="DH399">IF($A399="","",_xlfn.LET(_xlpm.c,IFERROR(_xlfn.XLOOKUP($A399,TRIM('Sales and count'!$A$4:$A$300&amp;""),TRIM('Sales and count'!$B$4:$B$300&amp;"")),""),IF(OR(_xlpm.c="",_xlpm.c="0",LEFT(_xlpm.c,1)="#"),"Not set",_xlpm.c)))</f>
        <v>KSA</v>
      </c>
    </row>
    <row r="400" spans="1:112" x14ac:dyDescent="0.25">
      <c r="A400" t="str">
        <f>IF('Staff Daily sales'!$B385="","",TRIM('Staff Daily sales'!$B385&amp;""))</f>
        <v>HAKHURAIS</v>
      </c>
      <c r="B400" t="str">
        <f>IF('Staff Daily sales'!$D385="","",TRIM('Staff Daily sales'!$D385&amp;""))</f>
        <v>5315-FMatrafi</v>
      </c>
      <c r="C400" t="str">
        <f>IFERROR(TRIM('Staff Daily sales'!$E385&amp;""),"")</f>
        <v>Riyadh</v>
      </c>
      <c r="D400" t="str">
        <f>IFERROR(IF(TRIM('Staff Daily sales'!$F385&amp;"")="","Unassigned",TRIM('Staff Daily sales'!$F385&amp;"")),"Unassigned")</f>
        <v>Mohammed Sanad</v>
      </c>
      <c r="E400">
        <f t="shared" si="106"/>
        <v>1</v>
      </c>
      <c r="F400">
        <f>IF($E400=0,0,SUMPRODUCT($AI$5:$DF$5,'Staff Daily sales'!$G385:$CD385))</f>
        <v>0</v>
      </c>
      <c r="G400">
        <f>IF($E400=0,0,SUMPRODUCT($AI$6:$DF$6,'Staff Daily sales'!$G385:$CD385))</f>
        <v>0</v>
      </c>
      <c r="H400">
        <f t="shared" si="107"/>
        <v>2963.82</v>
      </c>
      <c r="I400">
        <f t="shared" si="108"/>
        <v>15</v>
      </c>
      <c r="J400">
        <f t="shared" si="109"/>
        <v>64682.640000000014</v>
      </c>
      <c r="K400">
        <f t="shared" si="110"/>
        <v>326</v>
      </c>
      <c r="L400">
        <f>--AND($E400=1,OR('Staff Dashboard'!$B$6="All",$DH400='Staff Dashboard'!$B$6),OR('Staff Dashboard'!$B$7="All",$D400='Staff Dashboard'!$B$7),OR('Staff Dashboard'!$B$8="All",$A400='Staff Dashboard'!$B$8))</f>
        <v>0</v>
      </c>
      <c r="M400">
        <f>IF($E400=0,0,SUMPRODUCT($AI$7:$DF$7,'Staff Daily sales'!$G385:$CD385))</f>
        <v>4961.08</v>
      </c>
      <c r="N400">
        <f>IF($E400=0,0,SUMPRODUCT($AI$8:$DF$8,'Staff Daily sales'!$G385:$CD385))</f>
        <v>40</v>
      </c>
      <c r="O400">
        <f>IF($E400=0,0,SUMPRODUCT($AI$9:$DF$9,'Staff Daily sales'!$G385:$CD385))</f>
        <v>3831.1</v>
      </c>
      <c r="P400">
        <f>IF($E400=0,0,SUMPRODUCT($AI$10:$DF$10,'Staff Daily sales'!$G385:$CD385))</f>
        <v>37</v>
      </c>
      <c r="Q400">
        <f>IF($E400=0,0,SUMPRODUCT($AI$11:$DF$11,'Staff Daily sales'!$G385:$CD385))</f>
        <v>0</v>
      </c>
      <c r="R400">
        <f>IF($E400=0,0,SUMPRODUCT($AI$12:$DF$12,'Staff Daily sales'!$G385:$CD385))</f>
        <v>0</v>
      </c>
      <c r="S400">
        <f>IF($E400=0,0,SUMPRODUCT($AI$13:$DF$13,'Staff Daily sales'!$G385:$CD385))</f>
        <v>0</v>
      </c>
      <c r="T400">
        <f>IF($E400=0,0,SUMPRODUCT($AI$14:$DF$14,'Staff Daily sales'!$G385:$CD385))</f>
        <v>0</v>
      </c>
      <c r="U400">
        <f>IF($E400=0,0,SUMPRODUCT($AI$15:$DF$15,'Staff Daily sales'!$G385:$CD385))</f>
        <v>0</v>
      </c>
      <c r="V400">
        <f>IF($E400=0,0,SUMPRODUCT($AI$16:$DF$16,'Staff Daily sales'!$G385:$CD385))</f>
        <v>0</v>
      </c>
      <c r="W400">
        <f t="shared" si="111"/>
        <v>15994.340000000002</v>
      </c>
      <c r="X400">
        <f t="shared" si="112"/>
        <v>24379.449999999997</v>
      </c>
      <c r="Y400">
        <f t="shared" si="113"/>
        <v>29167.39</v>
      </c>
      <c r="Z400">
        <f t="shared" si="114"/>
        <v>23609.52</v>
      </c>
      <c r="AA400">
        <f t="shared" si="115"/>
        <v>4978</v>
      </c>
      <c r="AB400">
        <f>--AND($E400=1,OR('Staff Weekly Trend'!$B$3="All",$DH400='Staff Weekly Trend'!$B$3),OR('Staff Weekly Trend'!$B$4="All",$D400='Staff Weekly Trend'!$B$4),OR('Staff Weekly Trend'!$B$5="All",$A400='Staff Weekly Trend'!$B$5))</f>
        <v>1</v>
      </c>
      <c r="AC400" t="str">
        <f t="shared" si="116"/>
        <v/>
      </c>
      <c r="AI400">
        <f t="shared" si="117"/>
        <v>138</v>
      </c>
      <c r="AJ400">
        <f t="shared" si="118"/>
        <v>181</v>
      </c>
      <c r="AK400">
        <f t="shared" si="119"/>
        <v>210</v>
      </c>
      <c r="AL400">
        <f t="shared" si="120"/>
        <v>157</v>
      </c>
      <c r="AM400">
        <f t="shared" si="121"/>
        <v>33</v>
      </c>
      <c r="DH400" t="str" cm="1">
        <f t="array" ref="DH400">IF($A400="","",_xlfn.LET(_xlpm.c,IFERROR(_xlfn.XLOOKUP($A400,TRIM('Sales and count'!$A$4:$A$300&amp;""),TRIM('Sales and count'!$B$4:$B$300&amp;"")),""),IF(OR(_xlpm.c="",_xlpm.c="0",LEFT(_xlpm.c,1)="#"),"Not set",_xlpm.c)))</f>
        <v>KSA</v>
      </c>
    </row>
    <row r="401" spans="1:112" x14ac:dyDescent="0.25">
      <c r="A401" t="str">
        <f>IF('Staff Daily sales'!$B386="","",TRIM('Staff Daily sales'!$B386&amp;""))</f>
        <v>HAKHURAIS</v>
      </c>
      <c r="B401" t="str">
        <f>IF('Staff Daily sales'!$D386="","",TRIM('Staff Daily sales'!$D386&amp;""))</f>
        <v>6254-HAlmutairi</v>
      </c>
      <c r="C401" t="str">
        <f>IFERROR(TRIM('Staff Daily sales'!$E386&amp;""),"")</f>
        <v>Riyadh</v>
      </c>
      <c r="D401" t="str">
        <f>IFERROR(IF(TRIM('Staff Daily sales'!$F386&amp;"")="","Unassigned",TRIM('Staff Daily sales'!$F386&amp;"")),"Unassigned")</f>
        <v>Mohammed Sanad</v>
      </c>
      <c r="E401">
        <f t="shared" si="106"/>
        <v>1</v>
      </c>
      <c r="F401">
        <f>IF($E401=0,0,SUMPRODUCT($AI$5:$DF$5,'Staff Daily sales'!$G386:$CD386))</f>
        <v>2813.82</v>
      </c>
      <c r="G401">
        <f>IF($E401=0,0,SUMPRODUCT($AI$6:$DF$6,'Staff Daily sales'!$G386:$CD386))</f>
        <v>13</v>
      </c>
      <c r="H401">
        <f t="shared" si="107"/>
        <v>2963.82</v>
      </c>
      <c r="I401">
        <f t="shared" si="108"/>
        <v>15</v>
      </c>
      <c r="J401">
        <f t="shared" si="109"/>
        <v>64682.640000000014</v>
      </c>
      <c r="K401">
        <f t="shared" si="110"/>
        <v>326</v>
      </c>
      <c r="L401">
        <f>--AND($E401=1,OR('Staff Dashboard'!$B$6="All",$DH401='Staff Dashboard'!$B$6),OR('Staff Dashboard'!$B$7="All",$D401='Staff Dashboard'!$B$7),OR('Staff Dashboard'!$B$8="All",$A401='Staff Dashboard'!$B$8))</f>
        <v>0</v>
      </c>
      <c r="M401">
        <f>IF($E401=0,0,SUMPRODUCT($AI$7:$DF$7,'Staff Daily sales'!$G386:$CD386))</f>
        <v>7251.1500000000005</v>
      </c>
      <c r="N401">
        <f>IF($E401=0,0,SUMPRODUCT($AI$8:$DF$8,'Staff Daily sales'!$G386:$CD386))</f>
        <v>71</v>
      </c>
      <c r="O401">
        <f>IF($E401=0,0,SUMPRODUCT($AI$9:$DF$9,'Staff Daily sales'!$G386:$CD386))</f>
        <v>14472.24</v>
      </c>
      <c r="P401">
        <f>IF($E401=0,0,SUMPRODUCT($AI$10:$DF$10,'Staff Daily sales'!$G386:$CD386))</f>
        <v>99</v>
      </c>
      <c r="Q401">
        <f>IF($E401=0,0,SUMPRODUCT($AI$11:$DF$11,'Staff Daily sales'!$G386:$CD386))</f>
        <v>20017.25</v>
      </c>
      <c r="R401">
        <f>IF($E401=0,0,SUMPRODUCT($AI$12:$DF$12,'Staff Daily sales'!$G386:$CD386))</f>
        <v>143</v>
      </c>
      <c r="S401">
        <f>IF($E401=0,0,SUMPRODUCT($AI$13:$DF$13,'Staff Daily sales'!$G386:$CD386))</f>
        <v>18242.54</v>
      </c>
      <c r="T401">
        <f>IF($E401=0,0,SUMPRODUCT($AI$14:$DF$14,'Staff Daily sales'!$G386:$CD386))</f>
        <v>116</v>
      </c>
      <c r="U401">
        <f>IF($E401=0,0,SUMPRODUCT($AI$15:$DF$15,'Staff Daily sales'!$G386:$CD386))</f>
        <v>2470.04</v>
      </c>
      <c r="V401">
        <f>IF($E401=0,0,SUMPRODUCT($AI$16:$DF$16,'Staff Daily sales'!$G386:$CD386))</f>
        <v>19</v>
      </c>
      <c r="W401">
        <f t="shared" si="111"/>
        <v>15994.340000000002</v>
      </c>
      <c r="X401">
        <f t="shared" si="112"/>
        <v>24379.449999999997</v>
      </c>
      <c r="Y401">
        <f t="shared" si="113"/>
        <v>29167.39</v>
      </c>
      <c r="Z401">
        <f t="shared" si="114"/>
        <v>23609.52</v>
      </c>
      <c r="AA401">
        <f t="shared" si="115"/>
        <v>4978</v>
      </c>
      <c r="AB401">
        <f>--AND($E401=1,OR('Staff Weekly Trend'!$B$3="All",$DH401='Staff Weekly Trend'!$B$3),OR('Staff Weekly Trend'!$B$4="All",$D401='Staff Weekly Trend'!$B$4),OR('Staff Weekly Trend'!$B$5="All",$A401='Staff Weekly Trend'!$B$5))</f>
        <v>1</v>
      </c>
      <c r="AC401">
        <f t="shared" si="116"/>
        <v>1</v>
      </c>
      <c r="AI401">
        <f t="shared" si="117"/>
        <v>138</v>
      </c>
      <c r="AJ401">
        <f t="shared" si="118"/>
        <v>181</v>
      </c>
      <c r="AK401">
        <f t="shared" si="119"/>
        <v>210</v>
      </c>
      <c r="AL401">
        <f t="shared" si="120"/>
        <v>157</v>
      </c>
      <c r="AM401">
        <f t="shared" si="121"/>
        <v>33</v>
      </c>
      <c r="DH401" t="str" cm="1">
        <f t="array" ref="DH401">IF($A401="","",_xlfn.LET(_xlpm.c,IFERROR(_xlfn.XLOOKUP($A401,TRIM('Sales and count'!$A$4:$A$300&amp;""),TRIM('Sales and count'!$B$4:$B$300&amp;"")),""),IF(OR(_xlpm.c="",_xlpm.c="0",LEFT(_xlpm.c,1)="#"),"Not set",_xlpm.c)))</f>
        <v>KSA</v>
      </c>
    </row>
    <row r="402" spans="1:112" x14ac:dyDescent="0.25">
      <c r="A402" t="str">
        <f>IF('Staff Daily sales'!$B387="","",TRIM('Staff Daily sales'!$B387&amp;""))</f>
        <v>HAKHURAIS</v>
      </c>
      <c r="B402" t="str">
        <f>IF('Staff Daily sales'!$D387="","",TRIM('Staff Daily sales'!$D387&amp;""))</f>
        <v>7147-YAlenazi</v>
      </c>
      <c r="C402" t="str">
        <f>IFERROR(TRIM('Staff Daily sales'!$E387&amp;""),"")</f>
        <v>Riyadh</v>
      </c>
      <c r="D402" t="str">
        <f>IFERROR(IF(TRIM('Staff Daily sales'!$F387&amp;"")="","Unassigned",TRIM('Staff Daily sales'!$F387&amp;"")),"Unassigned")</f>
        <v>Mohammed Sanad</v>
      </c>
      <c r="E402">
        <f t="shared" si="106"/>
        <v>1</v>
      </c>
      <c r="F402">
        <f>IF($E402=0,0,SUMPRODUCT($AI$5:$DF$5,'Staff Daily sales'!$G387:$CD387))</f>
        <v>150</v>
      </c>
      <c r="G402">
        <f>IF($E402=0,0,SUMPRODUCT($AI$6:$DF$6,'Staff Daily sales'!$G387:$CD387))</f>
        <v>2</v>
      </c>
      <c r="H402">
        <f t="shared" si="107"/>
        <v>2963.82</v>
      </c>
      <c r="I402">
        <f t="shared" si="108"/>
        <v>15</v>
      </c>
      <c r="J402">
        <f t="shared" si="109"/>
        <v>64682.640000000014</v>
      </c>
      <c r="K402">
        <f t="shared" si="110"/>
        <v>326</v>
      </c>
      <c r="L402">
        <f>--AND($E402=1,OR('Staff Dashboard'!$B$6="All",$DH402='Staff Dashboard'!$B$6),OR('Staff Dashboard'!$B$7="All",$D402='Staff Dashboard'!$B$7),OR('Staff Dashboard'!$B$8="All",$A402='Staff Dashboard'!$B$8))</f>
        <v>0</v>
      </c>
      <c r="M402">
        <f>IF($E402=0,0,SUMPRODUCT($AI$7:$DF$7,'Staff Daily sales'!$G387:$CD387))</f>
        <v>1247.03</v>
      </c>
      <c r="N402">
        <f>IF($E402=0,0,SUMPRODUCT($AI$8:$DF$8,'Staff Daily sales'!$G387:$CD387))</f>
        <v>11</v>
      </c>
      <c r="O402">
        <f>IF($E402=0,0,SUMPRODUCT($AI$9:$DF$9,'Staff Daily sales'!$G387:$CD387))</f>
        <v>3048.0299999999997</v>
      </c>
      <c r="P402">
        <f>IF($E402=0,0,SUMPRODUCT($AI$10:$DF$10,'Staff Daily sales'!$G387:$CD387))</f>
        <v>22</v>
      </c>
      <c r="Q402">
        <f>IF($E402=0,0,SUMPRODUCT($AI$11:$DF$11,'Staff Daily sales'!$G387:$CD387))</f>
        <v>5955.08</v>
      </c>
      <c r="R402">
        <f>IF($E402=0,0,SUMPRODUCT($AI$12:$DF$12,'Staff Daily sales'!$G387:$CD387))</f>
        <v>43</v>
      </c>
      <c r="S402">
        <f>IF($E402=0,0,SUMPRODUCT($AI$13:$DF$13,'Staff Daily sales'!$G387:$CD387))</f>
        <v>4401.97</v>
      </c>
      <c r="T402">
        <f>IF($E402=0,0,SUMPRODUCT($AI$14:$DF$14,'Staff Daily sales'!$G387:$CD387))</f>
        <v>34</v>
      </c>
      <c r="U402">
        <f>IF($E402=0,0,SUMPRODUCT($AI$15:$DF$15,'Staff Daily sales'!$G387:$CD387))</f>
        <v>2507.96</v>
      </c>
      <c r="V402">
        <f>IF($E402=0,0,SUMPRODUCT($AI$16:$DF$16,'Staff Daily sales'!$G387:$CD387))</f>
        <v>14</v>
      </c>
      <c r="W402">
        <f t="shared" si="111"/>
        <v>15994.340000000002</v>
      </c>
      <c r="X402">
        <f t="shared" si="112"/>
        <v>24379.449999999997</v>
      </c>
      <c r="Y402">
        <f t="shared" si="113"/>
        <v>29167.39</v>
      </c>
      <c r="Z402">
        <f t="shared" si="114"/>
        <v>23609.52</v>
      </c>
      <c r="AA402">
        <f t="shared" si="115"/>
        <v>4978</v>
      </c>
      <c r="AB402">
        <f>--AND($E402=1,OR('Staff Weekly Trend'!$B$3="All",$DH402='Staff Weekly Trend'!$B$3),OR('Staff Weekly Trend'!$B$4="All",$D402='Staff Weekly Trend'!$B$4),OR('Staff Weekly Trend'!$B$5="All",$A402='Staff Weekly Trend'!$B$5))</f>
        <v>1</v>
      </c>
      <c r="AC402">
        <f t="shared" si="116"/>
        <v>2</v>
      </c>
      <c r="AI402">
        <f t="shared" si="117"/>
        <v>138</v>
      </c>
      <c r="AJ402">
        <f t="shared" si="118"/>
        <v>181</v>
      </c>
      <c r="AK402">
        <f t="shared" si="119"/>
        <v>210</v>
      </c>
      <c r="AL402">
        <f t="shared" si="120"/>
        <v>157</v>
      </c>
      <c r="AM402">
        <f t="shared" si="121"/>
        <v>33</v>
      </c>
      <c r="DH402" t="str" cm="1">
        <f t="array" ref="DH402">IF($A402="","",_xlfn.LET(_xlpm.c,IFERROR(_xlfn.XLOOKUP($A402,TRIM('Sales and count'!$A$4:$A$300&amp;""),TRIM('Sales and count'!$B$4:$B$300&amp;"")),""),IF(OR(_xlpm.c="",_xlpm.c="0",LEFT(_xlpm.c,1)="#"),"Not set",_xlpm.c)))</f>
        <v>KSA</v>
      </c>
    </row>
    <row r="403" spans="1:112" x14ac:dyDescent="0.25">
      <c r="A403" t="str">
        <f>IF('Staff Daily sales'!$B388="","",TRIM('Staff Daily sales'!$B388&amp;""))</f>
        <v>HAMALQARYD</v>
      </c>
      <c r="B403" t="str">
        <f>IF('Staff Daily sales'!$D388="","",TRIM('Staff Daily sales'!$D388&amp;""))</f>
        <v>3077-Sultan Alhuraibi</v>
      </c>
      <c r="C403" t="str">
        <f>IFERROR(TRIM('Staff Daily sales'!$E388&amp;""),"")</f>
        <v>Riyadh</v>
      </c>
      <c r="D403" t="str">
        <f>IFERROR(IF(TRIM('Staff Daily sales'!$F388&amp;"")="","Unassigned",TRIM('Staff Daily sales'!$F388&amp;"")),"Unassigned")</f>
        <v>Mohammed Sanad</v>
      </c>
      <c r="E403">
        <f t="shared" si="106"/>
        <v>1</v>
      </c>
      <c r="F403">
        <f>IF($E403=0,0,SUMPRODUCT($AI$5:$DF$5,'Staff Daily sales'!$G388:$CD388))</f>
        <v>1677.92</v>
      </c>
      <c r="G403">
        <f>IF($E403=0,0,SUMPRODUCT($AI$6:$DF$6,'Staff Daily sales'!$G388:$CD388))</f>
        <v>4</v>
      </c>
      <c r="H403">
        <f t="shared" si="107"/>
        <v>5060.7300000000005</v>
      </c>
      <c r="I403">
        <f t="shared" si="108"/>
        <v>23</v>
      </c>
      <c r="J403">
        <f t="shared" si="109"/>
        <v>64682.640000000014</v>
      </c>
      <c r="K403">
        <f t="shared" si="110"/>
        <v>326</v>
      </c>
      <c r="L403">
        <f>--AND($E403=1,OR('Staff Dashboard'!$B$6="All",$DH403='Staff Dashboard'!$B$6),OR('Staff Dashboard'!$B$7="All",$D403='Staff Dashboard'!$B$7),OR('Staff Dashboard'!$B$8="All",$A403='Staff Dashboard'!$B$8))</f>
        <v>0</v>
      </c>
      <c r="M403">
        <f>IF($E403=0,0,SUMPRODUCT($AI$7:$DF$7,'Staff Daily sales'!$G388:$CD388))</f>
        <v>0</v>
      </c>
      <c r="N403">
        <f>IF($E403=0,0,SUMPRODUCT($AI$8:$DF$8,'Staff Daily sales'!$G388:$CD388))</f>
        <v>0</v>
      </c>
      <c r="O403">
        <f>IF($E403=0,0,SUMPRODUCT($AI$9:$DF$9,'Staff Daily sales'!$G388:$CD388))</f>
        <v>1024.01</v>
      </c>
      <c r="P403">
        <f>IF($E403=0,0,SUMPRODUCT($AI$10:$DF$10,'Staff Daily sales'!$G388:$CD388))</f>
        <v>7</v>
      </c>
      <c r="Q403">
        <f>IF($E403=0,0,SUMPRODUCT($AI$11:$DF$11,'Staff Daily sales'!$G388:$CD388))</f>
        <v>8333.1</v>
      </c>
      <c r="R403">
        <f>IF($E403=0,0,SUMPRODUCT($AI$12:$DF$12,'Staff Daily sales'!$G388:$CD388))</f>
        <v>49</v>
      </c>
      <c r="S403">
        <f>IF($E403=0,0,SUMPRODUCT($AI$13:$DF$13,'Staff Daily sales'!$G388:$CD388))</f>
        <v>17356.47</v>
      </c>
      <c r="T403">
        <f>IF($E403=0,0,SUMPRODUCT($AI$14:$DF$14,'Staff Daily sales'!$G388:$CD388))</f>
        <v>87</v>
      </c>
      <c r="U403">
        <f>IF($E403=0,0,SUMPRODUCT($AI$15:$DF$15,'Staff Daily sales'!$G388:$CD388))</f>
        <v>1015.9399999999999</v>
      </c>
      <c r="V403">
        <f>IF($E403=0,0,SUMPRODUCT($AI$16:$DF$16,'Staff Daily sales'!$G388:$CD388))</f>
        <v>7</v>
      </c>
      <c r="W403">
        <f t="shared" si="111"/>
        <v>27090.510000000002</v>
      </c>
      <c r="X403">
        <f t="shared" si="112"/>
        <v>35845.61</v>
      </c>
      <c r="Y403">
        <f t="shared" si="113"/>
        <v>21905.38</v>
      </c>
      <c r="Z403">
        <f t="shared" si="114"/>
        <v>26696.28</v>
      </c>
      <c r="AA403">
        <f t="shared" si="115"/>
        <v>7368.0199999999995</v>
      </c>
      <c r="AB403">
        <f>--AND($E403=1,OR('Staff Weekly Trend'!$B$3="All",$DH403='Staff Weekly Trend'!$B$3),OR('Staff Weekly Trend'!$B$4="All",$D403='Staff Weekly Trend'!$B$4),OR('Staff Weekly Trend'!$B$5="All",$A403='Staff Weekly Trend'!$B$5))</f>
        <v>1</v>
      </c>
      <c r="AC403">
        <f t="shared" si="116"/>
        <v>2</v>
      </c>
      <c r="AI403">
        <f t="shared" si="117"/>
        <v>103</v>
      </c>
      <c r="AJ403">
        <f t="shared" si="118"/>
        <v>206</v>
      </c>
      <c r="AK403">
        <f t="shared" si="119"/>
        <v>136</v>
      </c>
      <c r="AL403">
        <f t="shared" si="120"/>
        <v>140</v>
      </c>
      <c r="AM403">
        <f t="shared" si="121"/>
        <v>35</v>
      </c>
      <c r="DH403" t="str" cm="1">
        <f t="array" ref="DH403">IF($A403="","",_xlfn.LET(_xlpm.c,IFERROR(_xlfn.XLOOKUP($A403,TRIM('Sales and count'!$A$4:$A$300&amp;""),TRIM('Sales and count'!$B$4:$B$300&amp;"")),""),IF(OR(_xlpm.c="",_xlpm.c="0",LEFT(_xlpm.c,1)="#"),"Not set",_xlpm.c)))</f>
        <v>KSA</v>
      </c>
    </row>
    <row r="404" spans="1:112" x14ac:dyDescent="0.25">
      <c r="A404" t="str">
        <f>IF('Staff Daily sales'!$B389="","",TRIM('Staff Daily sales'!$B389&amp;""))</f>
        <v>HAMALQARYD</v>
      </c>
      <c r="B404" t="str">
        <f>IF('Staff Daily sales'!$D389="","",TRIM('Staff Daily sales'!$D389&amp;""))</f>
        <v>4367-AJafari</v>
      </c>
      <c r="C404" t="str">
        <f>IFERROR(TRIM('Staff Daily sales'!$E389&amp;""),"")</f>
        <v>Riyadh</v>
      </c>
      <c r="D404" t="str">
        <f>IFERROR(IF(TRIM('Staff Daily sales'!$F389&amp;"")="","Unassigned",TRIM('Staff Daily sales'!$F389&amp;"")),"Unassigned")</f>
        <v>Mohammed Sanad</v>
      </c>
      <c r="E404">
        <f t="shared" ref="E404:E467" si="122">--AND($A404&lt;&gt;"",$B404&lt;&gt;"")</f>
        <v>1</v>
      </c>
      <c r="F404">
        <f>IF($E404=0,0,SUMPRODUCT($AI$5:$DF$5,'Staff Daily sales'!$G389:$CD389))</f>
        <v>0</v>
      </c>
      <c r="G404">
        <f>IF($E404=0,0,SUMPRODUCT($AI$6:$DF$6,'Staff Daily sales'!$G389:$CD389))</f>
        <v>0</v>
      </c>
      <c r="H404">
        <f t="shared" ref="H404:H467" si="123">IF($E404=0,0,SUMIFS($F$20:$F$1515,$A$20:$A$1515,$A404))</f>
        <v>5060.7300000000005</v>
      </c>
      <c r="I404">
        <f t="shared" ref="I404:I467" si="124">IF($E404=0,0,SUMIFS($G$20:$G$1515,$A$20:$A$1515,$A404))</f>
        <v>23</v>
      </c>
      <c r="J404">
        <f t="shared" ref="J404:J467" si="125">IF($E404=0,0,SUMIFS($F$20:$F$1515,$D$20:$D$1515,$D404))</f>
        <v>64682.640000000014</v>
      </c>
      <c r="K404">
        <f t="shared" ref="K404:K467" si="126">IF($E404=0,0,SUMIFS($G$20:$G$1515,$D$20:$D$1515,$D404))</f>
        <v>326</v>
      </c>
      <c r="L404">
        <f>--AND($E404=1,OR('Staff Dashboard'!$B$6="All",$DH404='Staff Dashboard'!$B$6),OR('Staff Dashboard'!$B$7="All",$D404='Staff Dashboard'!$B$7),OR('Staff Dashboard'!$B$8="All",$A404='Staff Dashboard'!$B$8))</f>
        <v>0</v>
      </c>
      <c r="M404">
        <f>IF($E404=0,0,SUMPRODUCT($AI$7:$DF$7,'Staff Daily sales'!$G389:$CD389))</f>
        <v>18663.46</v>
      </c>
      <c r="N404">
        <f>IF($E404=0,0,SUMPRODUCT($AI$8:$DF$8,'Staff Daily sales'!$G389:$CD389))</f>
        <v>62</v>
      </c>
      <c r="O404">
        <f>IF($E404=0,0,SUMPRODUCT($AI$9:$DF$9,'Staff Daily sales'!$G389:$CD389))</f>
        <v>5803.23</v>
      </c>
      <c r="P404">
        <f>IF($E404=0,0,SUMPRODUCT($AI$10:$DF$10,'Staff Daily sales'!$G389:$CD389))</f>
        <v>40</v>
      </c>
      <c r="Q404">
        <f>IF($E404=0,0,SUMPRODUCT($AI$11:$DF$11,'Staff Daily sales'!$G389:$CD389))</f>
        <v>1590</v>
      </c>
      <c r="R404">
        <f>IF($E404=0,0,SUMPRODUCT($AI$12:$DF$12,'Staff Daily sales'!$G389:$CD389))</f>
        <v>9</v>
      </c>
      <c r="S404">
        <f>IF($E404=0,0,SUMPRODUCT($AI$13:$DF$13,'Staff Daily sales'!$G389:$CD389))</f>
        <v>75</v>
      </c>
      <c r="T404">
        <f>IF($E404=0,0,SUMPRODUCT($AI$14:$DF$14,'Staff Daily sales'!$G389:$CD389))</f>
        <v>1</v>
      </c>
      <c r="U404">
        <f>IF($E404=0,0,SUMPRODUCT($AI$15:$DF$15,'Staff Daily sales'!$G389:$CD389))</f>
        <v>0</v>
      </c>
      <c r="V404">
        <f>IF($E404=0,0,SUMPRODUCT($AI$16:$DF$16,'Staff Daily sales'!$G389:$CD389))</f>
        <v>0</v>
      </c>
      <c r="W404">
        <f t="shared" ref="W404:W467" si="127">IF($E404=0,0,SUMIFS(M$20:M$1515,$A$20:$A$1515,$A404))</f>
        <v>27090.510000000002</v>
      </c>
      <c r="X404">
        <f t="shared" ref="X404:X467" si="128">IF($E404=0,0,SUMIFS(O$20:O$1515,$A$20:$A$1515,$A404))</f>
        <v>35845.61</v>
      </c>
      <c r="Y404">
        <f t="shared" ref="Y404:Y467" si="129">IF($E404=0,0,SUMIFS(Q$20:Q$1515,$A$20:$A$1515,$A404))</f>
        <v>21905.38</v>
      </c>
      <c r="Z404">
        <f t="shared" ref="Z404:Z467" si="130">IF($E404=0,0,SUMIFS(S$20:S$1515,$A$20:$A$1515,$A404))</f>
        <v>26696.28</v>
      </c>
      <c r="AA404">
        <f t="shared" ref="AA404:AA467" si="131">IF($E404=0,0,SUMIFS(U$20:U$1515,$A$20:$A$1515,$A404))</f>
        <v>7368.0199999999995</v>
      </c>
      <c r="AB404">
        <f>--AND($E404=1,OR('Staff Weekly Trend'!$B$3="All",$DH404='Staff Weekly Trend'!$B$3),OR('Staff Weekly Trend'!$B$4="All",$D404='Staff Weekly Trend'!$B$4),OR('Staff Weekly Trend'!$B$5="All",$A404='Staff Weekly Trend'!$B$5))</f>
        <v>1</v>
      </c>
      <c r="AC404" t="str">
        <f t="shared" ref="AC404:AC467" si="132">IF(OR($E404=0,AND($F404=0,$G404=0)),"",COUNTIFS($A$20:$A$1515,$A404,$E$20:$E$1515,1,$F$20:$F$1515,"&gt;"&amp;$F404)+1)</f>
        <v/>
      </c>
      <c r="AI404">
        <f t="shared" ref="AI404:AI467" si="133">IF($E404=0,0,SUMIFS(N$20:N$1515,$A$20:$A$1515,$A404))</f>
        <v>103</v>
      </c>
      <c r="AJ404">
        <f t="shared" ref="AJ404:AJ467" si="134">IF($E404=0,0,SUMIFS(P$20:P$1515,$A$20:$A$1515,$A404))</f>
        <v>206</v>
      </c>
      <c r="AK404">
        <f t="shared" ref="AK404:AK467" si="135">IF($E404=0,0,SUMIFS(R$20:R$1515,$A$20:$A$1515,$A404))</f>
        <v>136</v>
      </c>
      <c r="AL404">
        <f t="shared" ref="AL404:AL467" si="136">IF($E404=0,0,SUMIFS(T$20:T$1515,$A$20:$A$1515,$A404))</f>
        <v>140</v>
      </c>
      <c r="AM404">
        <f t="shared" ref="AM404:AM467" si="137">IF($E404=0,0,SUMIFS(V$20:V$1515,$A$20:$A$1515,$A404))</f>
        <v>35</v>
      </c>
      <c r="DH404" t="str" cm="1">
        <f t="array" ref="DH404">IF($A404="","",_xlfn.LET(_xlpm.c,IFERROR(_xlfn.XLOOKUP($A404,TRIM('Sales and count'!$A$4:$A$300&amp;""),TRIM('Sales and count'!$B$4:$B$300&amp;"")),""),IF(OR(_xlpm.c="",_xlpm.c="0",LEFT(_xlpm.c,1)="#"),"Not set",_xlpm.c)))</f>
        <v>KSA</v>
      </c>
    </row>
    <row r="405" spans="1:112" x14ac:dyDescent="0.25">
      <c r="A405" t="str">
        <f>IF('Staff Daily sales'!$B390="","",TRIM('Staff Daily sales'!$B390&amp;""))</f>
        <v>HAMALQARYD</v>
      </c>
      <c r="B405" t="str">
        <f>IF('Staff Daily sales'!$D390="","",TRIM('Staff Daily sales'!$D390&amp;""))</f>
        <v>4486-Menab</v>
      </c>
      <c r="C405" t="str">
        <f>IFERROR(TRIM('Staff Daily sales'!$E390&amp;""),"")</f>
        <v>Riyadh</v>
      </c>
      <c r="D405" t="str">
        <f>IFERROR(IF(TRIM('Staff Daily sales'!$F390&amp;"")="","Unassigned",TRIM('Staff Daily sales'!$F390&amp;"")),"Unassigned")</f>
        <v>Mohammed Sanad</v>
      </c>
      <c r="E405">
        <f t="shared" si="122"/>
        <v>1</v>
      </c>
      <c r="F405">
        <f>IF($E405=0,0,SUMPRODUCT($AI$5:$DF$5,'Staff Daily sales'!$G390:$CD390))</f>
        <v>2214.86</v>
      </c>
      <c r="G405">
        <f>IF($E405=0,0,SUMPRODUCT($AI$6:$DF$6,'Staff Daily sales'!$G390:$CD390))</f>
        <v>12</v>
      </c>
      <c r="H405">
        <f t="shared" si="123"/>
        <v>5060.7300000000005</v>
      </c>
      <c r="I405">
        <f t="shared" si="124"/>
        <v>23</v>
      </c>
      <c r="J405">
        <f t="shared" si="125"/>
        <v>64682.640000000014</v>
      </c>
      <c r="K405">
        <f t="shared" si="126"/>
        <v>326</v>
      </c>
      <c r="L405">
        <f>--AND($E405=1,OR('Staff Dashboard'!$B$6="All",$DH405='Staff Dashboard'!$B$6),OR('Staff Dashboard'!$B$7="All",$D405='Staff Dashboard'!$B$7),OR('Staff Dashboard'!$B$8="All",$A405='Staff Dashboard'!$B$8))</f>
        <v>0</v>
      </c>
      <c r="M405">
        <f>IF($E405=0,0,SUMPRODUCT($AI$7:$DF$7,'Staff Daily sales'!$G390:$CD390))</f>
        <v>4573.04</v>
      </c>
      <c r="N405">
        <f>IF($E405=0,0,SUMPRODUCT($AI$8:$DF$8,'Staff Daily sales'!$G390:$CD390))</f>
        <v>26</v>
      </c>
      <c r="O405">
        <f>IF($E405=0,0,SUMPRODUCT($AI$9:$DF$9,'Staff Daily sales'!$G390:$CD390))</f>
        <v>20145.329999999998</v>
      </c>
      <c r="P405">
        <f>IF($E405=0,0,SUMPRODUCT($AI$10:$DF$10,'Staff Daily sales'!$G390:$CD390))</f>
        <v>118</v>
      </c>
      <c r="Q405">
        <f>IF($E405=0,0,SUMPRODUCT($AI$11:$DF$11,'Staff Daily sales'!$G390:$CD390))</f>
        <v>6797.15</v>
      </c>
      <c r="R405">
        <f>IF($E405=0,0,SUMPRODUCT($AI$12:$DF$12,'Staff Daily sales'!$G390:$CD390))</f>
        <v>47</v>
      </c>
      <c r="S405">
        <f>IF($E405=0,0,SUMPRODUCT($AI$13:$DF$13,'Staff Daily sales'!$G390:$CD390))</f>
        <v>6270.82</v>
      </c>
      <c r="T405">
        <f>IF($E405=0,0,SUMPRODUCT($AI$14:$DF$14,'Staff Daily sales'!$G390:$CD390))</f>
        <v>32</v>
      </c>
      <c r="U405">
        <f>IF($E405=0,0,SUMPRODUCT($AI$15:$DF$15,'Staff Daily sales'!$G390:$CD390))</f>
        <v>4167.05</v>
      </c>
      <c r="V405">
        <f>IF($E405=0,0,SUMPRODUCT($AI$16:$DF$16,'Staff Daily sales'!$G390:$CD390))</f>
        <v>20</v>
      </c>
      <c r="W405">
        <f t="shared" si="127"/>
        <v>27090.510000000002</v>
      </c>
      <c r="X405">
        <f t="shared" si="128"/>
        <v>35845.61</v>
      </c>
      <c r="Y405">
        <f t="shared" si="129"/>
        <v>21905.38</v>
      </c>
      <c r="Z405">
        <f t="shared" si="130"/>
        <v>26696.28</v>
      </c>
      <c r="AA405">
        <f t="shared" si="131"/>
        <v>7368.0199999999995</v>
      </c>
      <c r="AB405">
        <f>--AND($E405=1,OR('Staff Weekly Trend'!$B$3="All",$DH405='Staff Weekly Trend'!$B$3),OR('Staff Weekly Trend'!$B$4="All",$D405='Staff Weekly Trend'!$B$4),OR('Staff Weekly Trend'!$B$5="All",$A405='Staff Weekly Trend'!$B$5))</f>
        <v>1</v>
      </c>
      <c r="AC405">
        <f t="shared" si="132"/>
        <v>1</v>
      </c>
      <c r="AI405">
        <f t="shared" si="133"/>
        <v>103</v>
      </c>
      <c r="AJ405">
        <f t="shared" si="134"/>
        <v>206</v>
      </c>
      <c r="AK405">
        <f t="shared" si="135"/>
        <v>136</v>
      </c>
      <c r="AL405">
        <f t="shared" si="136"/>
        <v>140</v>
      </c>
      <c r="AM405">
        <f t="shared" si="137"/>
        <v>35</v>
      </c>
      <c r="DH405" t="str" cm="1">
        <f t="array" ref="DH405">IF($A405="","",_xlfn.LET(_xlpm.c,IFERROR(_xlfn.XLOOKUP($A405,TRIM('Sales and count'!$A$4:$A$300&amp;""),TRIM('Sales and count'!$B$4:$B$300&amp;"")),""),IF(OR(_xlpm.c="",_xlpm.c="0",LEFT(_xlpm.c,1)="#"),"Not set",_xlpm.c)))</f>
        <v>KSA</v>
      </c>
    </row>
    <row r="406" spans="1:112" x14ac:dyDescent="0.25">
      <c r="A406" t="str">
        <f>IF('Staff Daily sales'!$B391="","",TRIM('Staff Daily sales'!$B391&amp;""))</f>
        <v>HAMALQARYD</v>
      </c>
      <c r="B406" t="str">
        <f>IF('Staff Daily sales'!$D391="","",TRIM('Staff Daily sales'!$D391&amp;""))</f>
        <v>4497-RAlqahtani</v>
      </c>
      <c r="C406" t="str">
        <f>IFERROR(TRIM('Staff Daily sales'!$E391&amp;""),"")</f>
        <v>Riyadh</v>
      </c>
      <c r="D406" t="str">
        <f>IFERROR(IF(TRIM('Staff Daily sales'!$F391&amp;"")="","Unassigned",TRIM('Staff Daily sales'!$F391&amp;"")),"Unassigned")</f>
        <v>Mohammed Sanad</v>
      </c>
      <c r="E406">
        <f t="shared" si="122"/>
        <v>1</v>
      </c>
      <c r="F406">
        <f>IF($E406=0,0,SUMPRODUCT($AI$5:$DF$5,'Staff Daily sales'!$G391:$CD391))</f>
        <v>1167.95</v>
      </c>
      <c r="G406">
        <f>IF($E406=0,0,SUMPRODUCT($AI$6:$DF$6,'Staff Daily sales'!$G391:$CD391))</f>
        <v>7</v>
      </c>
      <c r="H406">
        <f t="shared" si="123"/>
        <v>5060.7300000000005</v>
      </c>
      <c r="I406">
        <f t="shared" si="124"/>
        <v>23</v>
      </c>
      <c r="J406">
        <f t="shared" si="125"/>
        <v>64682.640000000014</v>
      </c>
      <c r="K406">
        <f t="shared" si="126"/>
        <v>326</v>
      </c>
      <c r="L406">
        <f>--AND($E406=1,OR('Staff Dashboard'!$B$6="All",$DH406='Staff Dashboard'!$B$6),OR('Staff Dashboard'!$B$7="All",$D406='Staff Dashboard'!$B$7),OR('Staff Dashboard'!$B$8="All",$A406='Staff Dashboard'!$B$8))</f>
        <v>0</v>
      </c>
      <c r="M406">
        <f>IF($E406=0,0,SUMPRODUCT($AI$7:$DF$7,'Staff Daily sales'!$G391:$CD391))</f>
        <v>3854.01</v>
      </c>
      <c r="N406">
        <f>IF($E406=0,0,SUMPRODUCT($AI$8:$DF$8,'Staff Daily sales'!$G391:$CD391))</f>
        <v>15</v>
      </c>
      <c r="O406">
        <f>IF($E406=0,0,SUMPRODUCT($AI$9:$DF$9,'Staff Daily sales'!$G391:$CD391))</f>
        <v>8873.0400000000009</v>
      </c>
      <c r="P406">
        <f>IF($E406=0,0,SUMPRODUCT($AI$10:$DF$10,'Staff Daily sales'!$G391:$CD391))</f>
        <v>41</v>
      </c>
      <c r="Q406">
        <f>IF($E406=0,0,SUMPRODUCT($AI$11:$DF$11,'Staff Daily sales'!$G391:$CD391))</f>
        <v>5185.13</v>
      </c>
      <c r="R406">
        <f>IF($E406=0,0,SUMPRODUCT($AI$12:$DF$12,'Staff Daily sales'!$G391:$CD391))</f>
        <v>31</v>
      </c>
      <c r="S406">
        <f>IF($E406=0,0,SUMPRODUCT($AI$13:$DF$13,'Staff Daily sales'!$G391:$CD391))</f>
        <v>2993.99</v>
      </c>
      <c r="T406">
        <f>IF($E406=0,0,SUMPRODUCT($AI$14:$DF$14,'Staff Daily sales'!$G391:$CD391))</f>
        <v>20</v>
      </c>
      <c r="U406">
        <f>IF($E406=0,0,SUMPRODUCT($AI$15:$DF$15,'Staff Daily sales'!$G391:$CD391))</f>
        <v>2185.0299999999997</v>
      </c>
      <c r="V406">
        <f>IF($E406=0,0,SUMPRODUCT($AI$16:$DF$16,'Staff Daily sales'!$G391:$CD391))</f>
        <v>8</v>
      </c>
      <c r="W406">
        <f t="shared" si="127"/>
        <v>27090.510000000002</v>
      </c>
      <c r="X406">
        <f t="shared" si="128"/>
        <v>35845.61</v>
      </c>
      <c r="Y406">
        <f t="shared" si="129"/>
        <v>21905.38</v>
      </c>
      <c r="Z406">
        <f t="shared" si="130"/>
        <v>26696.28</v>
      </c>
      <c r="AA406">
        <f t="shared" si="131"/>
        <v>7368.0199999999995</v>
      </c>
      <c r="AB406">
        <f>--AND($E406=1,OR('Staff Weekly Trend'!$B$3="All",$DH406='Staff Weekly Trend'!$B$3),OR('Staff Weekly Trend'!$B$4="All",$D406='Staff Weekly Trend'!$B$4),OR('Staff Weekly Trend'!$B$5="All",$A406='Staff Weekly Trend'!$B$5))</f>
        <v>1</v>
      </c>
      <c r="AC406">
        <f t="shared" si="132"/>
        <v>3</v>
      </c>
      <c r="AI406">
        <f t="shared" si="133"/>
        <v>103</v>
      </c>
      <c r="AJ406">
        <f t="shared" si="134"/>
        <v>206</v>
      </c>
      <c r="AK406">
        <f t="shared" si="135"/>
        <v>136</v>
      </c>
      <c r="AL406">
        <f t="shared" si="136"/>
        <v>140</v>
      </c>
      <c r="AM406">
        <f t="shared" si="137"/>
        <v>35</v>
      </c>
      <c r="DH406" t="str" cm="1">
        <f t="array" ref="DH406">IF($A406="","",_xlfn.LET(_xlpm.c,IFERROR(_xlfn.XLOOKUP($A406,TRIM('Sales and count'!$A$4:$A$300&amp;""),TRIM('Sales and count'!$B$4:$B$300&amp;"")),""),IF(OR(_xlpm.c="",_xlpm.c="0",LEFT(_xlpm.c,1)="#"),"Not set",_xlpm.c)))</f>
        <v>KSA</v>
      </c>
    </row>
    <row r="407" spans="1:112" x14ac:dyDescent="0.25">
      <c r="A407" t="str">
        <f>IF('Staff Daily sales'!$B392="","",TRIM('Staff Daily sales'!$B392&amp;""))</f>
        <v>HAMANRMAD</v>
      </c>
      <c r="B407" t="str">
        <f>IF('Staff Daily sales'!$D392="","",TRIM('Staff Daily sales'!$D392&amp;""))</f>
        <v>5273-OAlSuhaymi</v>
      </c>
      <c r="C407" t="str">
        <f>IFERROR(TRIM('Staff Daily sales'!$E392&amp;""),"")</f>
        <v>Madinah</v>
      </c>
      <c r="D407" t="str">
        <f>IFERROR(IF(TRIM('Staff Daily sales'!$F392&amp;"")="","Unassigned",TRIM('Staff Daily sales'!$F392&amp;"")),"Unassigned")</f>
        <v>Mohammed Haidar</v>
      </c>
      <c r="E407">
        <f t="shared" si="122"/>
        <v>1</v>
      </c>
      <c r="F407">
        <f>IF($E407=0,0,SUMPRODUCT($AI$5:$DF$5,'Staff Daily sales'!$G392:$CD392))</f>
        <v>630.98</v>
      </c>
      <c r="G407">
        <f>IF($E407=0,0,SUMPRODUCT($AI$6:$DF$6,'Staff Daily sales'!$G392:$CD392))</f>
        <v>3</v>
      </c>
      <c r="H407">
        <f t="shared" si="123"/>
        <v>1635.94</v>
      </c>
      <c r="I407">
        <f t="shared" si="124"/>
        <v>9</v>
      </c>
      <c r="J407">
        <f t="shared" si="125"/>
        <v>55209.230000000018</v>
      </c>
      <c r="K407">
        <f t="shared" si="126"/>
        <v>272</v>
      </c>
      <c r="L407">
        <f>--AND($E407=1,OR('Staff Dashboard'!$B$6="All",$DH407='Staff Dashboard'!$B$6),OR('Staff Dashboard'!$B$7="All",$D407='Staff Dashboard'!$B$7),OR('Staff Dashboard'!$B$8="All",$A407='Staff Dashboard'!$B$8))</f>
        <v>0</v>
      </c>
      <c r="M407">
        <f>IF($E407=0,0,SUMPRODUCT($AI$7:$DF$7,'Staff Daily sales'!$G392:$CD392))</f>
        <v>3505.09</v>
      </c>
      <c r="N407">
        <f>IF($E407=0,0,SUMPRODUCT($AI$8:$DF$8,'Staff Daily sales'!$G392:$CD392))</f>
        <v>26</v>
      </c>
      <c r="O407">
        <f>IF($E407=0,0,SUMPRODUCT($AI$9:$DF$9,'Staff Daily sales'!$G392:$CD392))</f>
        <v>7225.09</v>
      </c>
      <c r="P407">
        <f>IF($E407=0,0,SUMPRODUCT($AI$10:$DF$10,'Staff Daily sales'!$G392:$CD392))</f>
        <v>28</v>
      </c>
      <c r="Q407">
        <f>IF($E407=0,0,SUMPRODUCT($AI$11:$DF$11,'Staff Daily sales'!$G392:$CD392))</f>
        <v>1511.03</v>
      </c>
      <c r="R407">
        <f>IF($E407=0,0,SUMPRODUCT($AI$12:$DF$12,'Staff Daily sales'!$G392:$CD392))</f>
        <v>6</v>
      </c>
      <c r="S407">
        <f>IF($E407=0,0,SUMPRODUCT($AI$13:$DF$13,'Staff Daily sales'!$G392:$CD392))</f>
        <v>3242.89</v>
      </c>
      <c r="T407">
        <f>IF($E407=0,0,SUMPRODUCT($AI$14:$DF$14,'Staff Daily sales'!$G392:$CD392))</f>
        <v>16</v>
      </c>
      <c r="U407">
        <f>IF($E407=0,0,SUMPRODUCT($AI$15:$DF$15,'Staff Daily sales'!$G392:$CD392))</f>
        <v>371.99</v>
      </c>
      <c r="V407">
        <f>IF($E407=0,0,SUMPRODUCT($AI$16:$DF$16,'Staff Daily sales'!$G392:$CD392))</f>
        <v>2</v>
      </c>
      <c r="W407">
        <f t="shared" si="127"/>
        <v>7735.16</v>
      </c>
      <c r="X407">
        <f t="shared" si="128"/>
        <v>21856.34</v>
      </c>
      <c r="Y407">
        <f t="shared" si="129"/>
        <v>14473.150000000001</v>
      </c>
      <c r="Z407">
        <f t="shared" si="130"/>
        <v>10405.719999999999</v>
      </c>
      <c r="AA407">
        <f t="shared" si="131"/>
        <v>3007.9800000000005</v>
      </c>
      <c r="AB407">
        <f>--AND($E407=1,OR('Staff Weekly Trend'!$B$3="All",$DH407='Staff Weekly Trend'!$B$3),OR('Staff Weekly Trend'!$B$4="All",$D407='Staff Weekly Trend'!$B$4),OR('Staff Weekly Trend'!$B$5="All",$A407='Staff Weekly Trend'!$B$5))</f>
        <v>1</v>
      </c>
      <c r="AC407">
        <f t="shared" si="132"/>
        <v>2</v>
      </c>
      <c r="AI407">
        <f t="shared" si="133"/>
        <v>54</v>
      </c>
      <c r="AJ407">
        <f t="shared" si="134"/>
        <v>65</v>
      </c>
      <c r="AK407">
        <f t="shared" si="135"/>
        <v>64</v>
      </c>
      <c r="AL407">
        <f t="shared" si="136"/>
        <v>58</v>
      </c>
      <c r="AM407">
        <f t="shared" si="137"/>
        <v>11</v>
      </c>
      <c r="DH407" t="str" cm="1">
        <f t="array" ref="DH407">IF($A407="","",_xlfn.LET(_xlpm.c,IFERROR(_xlfn.XLOOKUP($A407,TRIM('Sales and count'!$A$4:$A$300&amp;""),TRIM('Sales and count'!$B$4:$B$300&amp;"")),""),IF(OR(_xlpm.c="",_xlpm.c="0",LEFT(_xlpm.c,1)="#"),"Not set",_xlpm.c)))</f>
        <v>KSA</v>
      </c>
    </row>
    <row r="408" spans="1:112" x14ac:dyDescent="0.25">
      <c r="A408" t="str">
        <f>IF('Staff Daily sales'!$B393="","",TRIM('Staff Daily sales'!$B393&amp;""))</f>
        <v>HAMANRMAD</v>
      </c>
      <c r="B408" t="str">
        <f>IF('Staff Daily sales'!$D393="","",TRIM('Staff Daily sales'!$D393&amp;""))</f>
        <v>5422-AAljohani</v>
      </c>
      <c r="C408" t="str">
        <f>IFERROR(TRIM('Staff Daily sales'!$E393&amp;""),"")</f>
        <v>Madinah</v>
      </c>
      <c r="D408" t="str">
        <f>IFERROR(IF(TRIM('Staff Daily sales'!$F393&amp;"")="","Unassigned",TRIM('Staff Daily sales'!$F393&amp;"")),"Unassigned")</f>
        <v>Mohammed Haidar</v>
      </c>
      <c r="E408">
        <f t="shared" si="122"/>
        <v>1</v>
      </c>
      <c r="F408">
        <f>IF($E408=0,0,SUMPRODUCT($AI$5:$DF$5,'Staff Daily sales'!$G393:$CD393))</f>
        <v>643.98</v>
      </c>
      <c r="G408">
        <f>IF($E408=0,0,SUMPRODUCT($AI$6:$DF$6,'Staff Daily sales'!$G393:$CD393))</f>
        <v>3</v>
      </c>
      <c r="H408">
        <f t="shared" si="123"/>
        <v>1635.94</v>
      </c>
      <c r="I408">
        <f t="shared" si="124"/>
        <v>9</v>
      </c>
      <c r="J408">
        <f t="shared" si="125"/>
        <v>55209.230000000018</v>
      </c>
      <c r="K408">
        <f t="shared" si="126"/>
        <v>272</v>
      </c>
      <c r="L408">
        <f>--AND($E408=1,OR('Staff Dashboard'!$B$6="All",$DH408='Staff Dashboard'!$B$6),OR('Staff Dashboard'!$B$7="All",$D408='Staff Dashboard'!$B$7),OR('Staff Dashboard'!$B$8="All",$A408='Staff Dashboard'!$B$8))</f>
        <v>0</v>
      </c>
      <c r="M408">
        <f>IF($E408=0,0,SUMPRODUCT($AI$7:$DF$7,'Staff Daily sales'!$G393:$CD393))</f>
        <v>2570.0299999999997</v>
      </c>
      <c r="N408">
        <f>IF($E408=0,0,SUMPRODUCT($AI$8:$DF$8,'Staff Daily sales'!$G393:$CD393))</f>
        <v>17</v>
      </c>
      <c r="O408">
        <f>IF($E408=0,0,SUMPRODUCT($AI$9:$DF$9,'Staff Daily sales'!$G393:$CD393))</f>
        <v>4764.13</v>
      </c>
      <c r="P408">
        <f>IF($E408=0,0,SUMPRODUCT($AI$10:$DF$10,'Staff Daily sales'!$G393:$CD393))</f>
        <v>15</v>
      </c>
      <c r="Q408">
        <f>IF($E408=0,0,SUMPRODUCT($AI$11:$DF$11,'Staff Daily sales'!$G393:$CD393))</f>
        <v>9954.08</v>
      </c>
      <c r="R408">
        <f>IF($E408=0,0,SUMPRODUCT($AI$12:$DF$12,'Staff Daily sales'!$G393:$CD393))</f>
        <v>36</v>
      </c>
      <c r="S408">
        <f>IF($E408=0,0,SUMPRODUCT($AI$13:$DF$13,'Staff Daily sales'!$G393:$CD393))</f>
        <v>5373.85</v>
      </c>
      <c r="T408">
        <f>IF($E408=0,0,SUMPRODUCT($AI$14:$DF$14,'Staff Daily sales'!$G393:$CD393))</f>
        <v>26</v>
      </c>
      <c r="U408">
        <f>IF($E408=0,0,SUMPRODUCT($AI$15:$DF$15,'Staff Daily sales'!$G393:$CD393))</f>
        <v>115</v>
      </c>
      <c r="V408">
        <f>IF($E408=0,0,SUMPRODUCT($AI$16:$DF$16,'Staff Daily sales'!$G393:$CD393))</f>
        <v>1</v>
      </c>
      <c r="W408">
        <f t="shared" si="127"/>
        <v>7735.16</v>
      </c>
      <c r="X408">
        <f t="shared" si="128"/>
        <v>21856.34</v>
      </c>
      <c r="Y408">
        <f t="shared" si="129"/>
        <v>14473.150000000001</v>
      </c>
      <c r="Z408">
        <f t="shared" si="130"/>
        <v>10405.719999999999</v>
      </c>
      <c r="AA408">
        <f t="shared" si="131"/>
        <v>3007.9800000000005</v>
      </c>
      <c r="AB408">
        <f>--AND($E408=1,OR('Staff Weekly Trend'!$B$3="All",$DH408='Staff Weekly Trend'!$B$3),OR('Staff Weekly Trend'!$B$4="All",$D408='Staff Weekly Trend'!$B$4),OR('Staff Weekly Trend'!$B$5="All",$A408='Staff Weekly Trend'!$B$5))</f>
        <v>1</v>
      </c>
      <c r="AC408">
        <f t="shared" si="132"/>
        <v>1</v>
      </c>
      <c r="AI408">
        <f t="shared" si="133"/>
        <v>54</v>
      </c>
      <c r="AJ408">
        <f t="shared" si="134"/>
        <v>65</v>
      </c>
      <c r="AK408">
        <f t="shared" si="135"/>
        <v>64</v>
      </c>
      <c r="AL408">
        <f t="shared" si="136"/>
        <v>58</v>
      </c>
      <c r="AM408">
        <f t="shared" si="137"/>
        <v>11</v>
      </c>
      <c r="DH408" t="str" cm="1">
        <f t="array" ref="DH408">IF($A408="","",_xlfn.LET(_xlpm.c,IFERROR(_xlfn.XLOOKUP($A408,TRIM('Sales and count'!$A$4:$A$300&amp;""),TRIM('Sales and count'!$B$4:$B$300&amp;"")),""),IF(OR(_xlpm.c="",_xlpm.c="0",LEFT(_xlpm.c,1)="#"),"Not set",_xlpm.c)))</f>
        <v>KSA</v>
      </c>
    </row>
    <row r="409" spans="1:112" x14ac:dyDescent="0.25">
      <c r="A409" t="str">
        <f>IF('Staff Daily sales'!$B394="","",TRIM('Staff Daily sales'!$B394&amp;""))</f>
        <v>HAMANRMAD</v>
      </c>
      <c r="B409" t="str">
        <f>IF('Staff Daily sales'!$D394="","",TRIM('Staff Daily sales'!$D394&amp;""))</f>
        <v>5709-TAlrashidi</v>
      </c>
      <c r="C409" t="str">
        <f>IFERROR(TRIM('Staff Daily sales'!$E394&amp;""),"")</f>
        <v>Madinah</v>
      </c>
      <c r="D409" t="str">
        <f>IFERROR(IF(TRIM('Staff Daily sales'!$F394&amp;"")="","Unassigned",TRIM('Staff Daily sales'!$F394&amp;"")),"Unassigned")</f>
        <v>Mohammed Haidar</v>
      </c>
      <c r="E409">
        <f t="shared" si="122"/>
        <v>1</v>
      </c>
      <c r="F409">
        <f>IF($E409=0,0,SUMPRODUCT($AI$5:$DF$5,'Staff Daily sales'!$G394:$CD394))</f>
        <v>360.98</v>
      </c>
      <c r="G409">
        <f>IF($E409=0,0,SUMPRODUCT($AI$6:$DF$6,'Staff Daily sales'!$G394:$CD394))</f>
        <v>3</v>
      </c>
      <c r="H409">
        <f t="shared" si="123"/>
        <v>1635.94</v>
      </c>
      <c r="I409">
        <f t="shared" si="124"/>
        <v>9</v>
      </c>
      <c r="J409">
        <f t="shared" si="125"/>
        <v>55209.230000000018</v>
      </c>
      <c r="K409">
        <f t="shared" si="126"/>
        <v>272</v>
      </c>
      <c r="L409">
        <f>--AND($E409=1,OR('Staff Dashboard'!$B$6="All",$DH409='Staff Dashboard'!$B$6),OR('Staff Dashboard'!$B$7="All",$D409='Staff Dashboard'!$B$7),OR('Staff Dashboard'!$B$8="All",$A409='Staff Dashboard'!$B$8))</f>
        <v>0</v>
      </c>
      <c r="M409">
        <f>IF($E409=0,0,SUMPRODUCT($AI$7:$DF$7,'Staff Daily sales'!$G394:$CD394))</f>
        <v>1660.04</v>
      </c>
      <c r="N409">
        <f>IF($E409=0,0,SUMPRODUCT($AI$8:$DF$8,'Staff Daily sales'!$G394:$CD394))</f>
        <v>11</v>
      </c>
      <c r="O409">
        <f>IF($E409=0,0,SUMPRODUCT($AI$9:$DF$9,'Staff Daily sales'!$G394:$CD394))</f>
        <v>9867.119999999999</v>
      </c>
      <c r="P409">
        <f>IF($E409=0,0,SUMPRODUCT($AI$10:$DF$10,'Staff Daily sales'!$G394:$CD394))</f>
        <v>22</v>
      </c>
      <c r="Q409">
        <f>IF($E409=0,0,SUMPRODUCT($AI$11:$DF$11,'Staff Daily sales'!$G394:$CD394))</f>
        <v>3008.04</v>
      </c>
      <c r="R409">
        <f>IF($E409=0,0,SUMPRODUCT($AI$12:$DF$12,'Staff Daily sales'!$G394:$CD394))</f>
        <v>22</v>
      </c>
      <c r="S409">
        <f>IF($E409=0,0,SUMPRODUCT($AI$13:$DF$13,'Staff Daily sales'!$G394:$CD394))</f>
        <v>1788.98</v>
      </c>
      <c r="T409">
        <f>IF($E409=0,0,SUMPRODUCT($AI$14:$DF$14,'Staff Daily sales'!$G394:$CD394))</f>
        <v>16</v>
      </c>
      <c r="U409">
        <f>IF($E409=0,0,SUMPRODUCT($AI$15:$DF$15,'Staff Daily sales'!$G394:$CD394))</f>
        <v>2520.9900000000002</v>
      </c>
      <c r="V409">
        <f>IF($E409=0,0,SUMPRODUCT($AI$16:$DF$16,'Staff Daily sales'!$G394:$CD394))</f>
        <v>8</v>
      </c>
      <c r="W409">
        <f t="shared" si="127"/>
        <v>7735.16</v>
      </c>
      <c r="X409">
        <f t="shared" si="128"/>
        <v>21856.34</v>
      </c>
      <c r="Y409">
        <f t="shared" si="129"/>
        <v>14473.150000000001</v>
      </c>
      <c r="Z409">
        <f t="shared" si="130"/>
        <v>10405.719999999999</v>
      </c>
      <c r="AA409">
        <f t="shared" si="131"/>
        <v>3007.9800000000005</v>
      </c>
      <c r="AB409">
        <f>--AND($E409=1,OR('Staff Weekly Trend'!$B$3="All",$DH409='Staff Weekly Trend'!$B$3),OR('Staff Weekly Trend'!$B$4="All",$D409='Staff Weekly Trend'!$B$4),OR('Staff Weekly Trend'!$B$5="All",$A409='Staff Weekly Trend'!$B$5))</f>
        <v>1</v>
      </c>
      <c r="AC409">
        <f t="shared" si="132"/>
        <v>3</v>
      </c>
      <c r="AI409">
        <f t="shared" si="133"/>
        <v>54</v>
      </c>
      <c r="AJ409">
        <f t="shared" si="134"/>
        <v>65</v>
      </c>
      <c r="AK409">
        <f t="shared" si="135"/>
        <v>64</v>
      </c>
      <c r="AL409">
        <f t="shared" si="136"/>
        <v>58</v>
      </c>
      <c r="AM409">
        <f t="shared" si="137"/>
        <v>11</v>
      </c>
      <c r="DH409" t="str" cm="1">
        <f t="array" ref="DH409">IF($A409="","",_xlfn.LET(_xlpm.c,IFERROR(_xlfn.XLOOKUP($A409,TRIM('Sales and count'!$A$4:$A$300&amp;""),TRIM('Sales and count'!$B$4:$B$300&amp;"")),""),IF(OR(_xlpm.c="",_xlpm.c="0",LEFT(_xlpm.c,1)="#"),"Not set",_xlpm.c)))</f>
        <v>KSA</v>
      </c>
    </row>
    <row r="410" spans="1:112" x14ac:dyDescent="0.25">
      <c r="A410" t="str">
        <f>IF('Staff Daily sales'!$B395="","",TRIM('Staff Daily sales'!$B395&amp;""))</f>
        <v>HAPARKTAIF</v>
      </c>
      <c r="B410" t="str">
        <f>IF('Staff Daily sales'!$D395="","",TRIM('Staff Daily sales'!$D395&amp;""))</f>
        <v>4535-MAlOtaibi</v>
      </c>
      <c r="C410" t="str">
        <f>IFERROR(TRIM('Staff Daily sales'!$E395&amp;""),"")</f>
        <v>Taif</v>
      </c>
      <c r="D410" t="str">
        <f>IFERROR(IF(TRIM('Staff Daily sales'!$F395&amp;"")="","Unassigned",TRIM('Staff Daily sales'!$F395&amp;"")),"Unassigned")</f>
        <v>Saleh Bin Hoiel</v>
      </c>
      <c r="E410">
        <f t="shared" si="122"/>
        <v>1</v>
      </c>
      <c r="F410">
        <f>IF($E410=0,0,SUMPRODUCT($AI$5:$DF$5,'Staff Daily sales'!$G395:$CD395))</f>
        <v>225</v>
      </c>
      <c r="G410">
        <f>IF($E410=0,0,SUMPRODUCT($AI$6:$DF$6,'Staff Daily sales'!$G395:$CD395))</f>
        <v>2</v>
      </c>
      <c r="H410">
        <f t="shared" si="123"/>
        <v>1887.88</v>
      </c>
      <c r="I410">
        <f t="shared" si="124"/>
        <v>16</v>
      </c>
      <c r="J410">
        <f t="shared" si="125"/>
        <v>69638.36</v>
      </c>
      <c r="K410">
        <f t="shared" si="126"/>
        <v>362</v>
      </c>
      <c r="L410">
        <f>--AND($E410=1,OR('Staff Dashboard'!$B$6="All",$DH410='Staff Dashboard'!$B$6),OR('Staff Dashboard'!$B$7="All",$D410='Staff Dashboard'!$B$7),OR('Staff Dashboard'!$B$8="All",$A410='Staff Dashboard'!$B$8))</f>
        <v>0</v>
      </c>
      <c r="M410">
        <f>IF($E410=0,0,SUMPRODUCT($AI$7:$DF$7,'Staff Daily sales'!$G395:$CD395))</f>
        <v>3777.1</v>
      </c>
      <c r="N410">
        <f>IF($E410=0,0,SUMPRODUCT($AI$8:$DF$8,'Staff Daily sales'!$G395:$CD395))</f>
        <v>41</v>
      </c>
      <c r="O410">
        <f>IF($E410=0,0,SUMPRODUCT($AI$9:$DF$9,'Staff Daily sales'!$G395:$CD395))</f>
        <v>4496.01</v>
      </c>
      <c r="P410">
        <f>IF($E410=0,0,SUMPRODUCT($AI$10:$DF$10,'Staff Daily sales'!$G395:$CD395))</f>
        <v>39</v>
      </c>
      <c r="Q410">
        <f>IF($E410=0,0,SUMPRODUCT($AI$11:$DF$11,'Staff Daily sales'!$G395:$CD395))</f>
        <v>5222.0599999999995</v>
      </c>
      <c r="R410">
        <f>IF($E410=0,0,SUMPRODUCT($AI$12:$DF$12,'Staff Daily sales'!$G395:$CD395))</f>
        <v>45</v>
      </c>
      <c r="S410">
        <f>IF($E410=0,0,SUMPRODUCT($AI$13:$DF$13,'Staff Daily sales'!$G395:$CD395))</f>
        <v>3273.89</v>
      </c>
      <c r="T410">
        <f>IF($E410=0,0,SUMPRODUCT($AI$14:$DF$14,'Staff Daily sales'!$G395:$CD395))</f>
        <v>24</v>
      </c>
      <c r="U410">
        <f>IF($E410=0,0,SUMPRODUCT($AI$15:$DF$15,'Staff Daily sales'!$G395:$CD395))</f>
        <v>453.98</v>
      </c>
      <c r="V410">
        <f>IF($E410=0,0,SUMPRODUCT($AI$16:$DF$16,'Staff Daily sales'!$G395:$CD395))</f>
        <v>3</v>
      </c>
      <c r="W410">
        <f t="shared" si="127"/>
        <v>16694.340000000004</v>
      </c>
      <c r="X410">
        <f t="shared" si="128"/>
        <v>18062.280000000002</v>
      </c>
      <c r="Y410">
        <f t="shared" si="129"/>
        <v>12054.14</v>
      </c>
      <c r="Z410">
        <f t="shared" si="130"/>
        <v>10647.68</v>
      </c>
      <c r="AA410">
        <f t="shared" si="131"/>
        <v>2370.0699999999997</v>
      </c>
      <c r="AB410">
        <f>--AND($E410=1,OR('Staff Weekly Trend'!$B$3="All",$DH410='Staff Weekly Trend'!$B$3),OR('Staff Weekly Trend'!$B$4="All",$D410='Staff Weekly Trend'!$B$4),OR('Staff Weekly Trend'!$B$5="All",$A410='Staff Weekly Trend'!$B$5))</f>
        <v>1</v>
      </c>
      <c r="AC410">
        <f t="shared" si="132"/>
        <v>4</v>
      </c>
      <c r="AI410">
        <f t="shared" si="133"/>
        <v>162</v>
      </c>
      <c r="AJ410">
        <f t="shared" si="134"/>
        <v>139</v>
      </c>
      <c r="AK410">
        <f t="shared" si="135"/>
        <v>103</v>
      </c>
      <c r="AL410">
        <f t="shared" si="136"/>
        <v>84</v>
      </c>
      <c r="AM410">
        <f t="shared" si="137"/>
        <v>17</v>
      </c>
      <c r="DH410" t="str" cm="1">
        <f t="array" ref="DH410">IF($A410="","",_xlfn.LET(_xlpm.c,IFERROR(_xlfn.XLOOKUP($A410,TRIM('Sales and count'!$A$4:$A$300&amp;""),TRIM('Sales and count'!$B$4:$B$300&amp;"")),""),IF(OR(_xlpm.c="",_xlpm.c="0",LEFT(_xlpm.c,1)="#"),"Not set",_xlpm.c)))</f>
        <v>KSA</v>
      </c>
    </row>
    <row r="411" spans="1:112" x14ac:dyDescent="0.25">
      <c r="A411" t="str">
        <f>IF('Staff Daily sales'!$B396="","",TRIM('Staff Daily sales'!$B396&amp;""))</f>
        <v>HAPARKTAIF</v>
      </c>
      <c r="B411" t="str">
        <f>IF('Staff Daily sales'!$D396="","",TRIM('Staff Daily sales'!$D396&amp;""))</f>
        <v>4656-MALHarthi</v>
      </c>
      <c r="C411" t="str">
        <f>IFERROR(TRIM('Staff Daily sales'!$E396&amp;""),"")</f>
        <v>Taif</v>
      </c>
      <c r="D411" t="str">
        <f>IFERROR(IF(TRIM('Staff Daily sales'!$F396&amp;"")="","Unassigned",TRIM('Staff Daily sales'!$F396&amp;"")),"Unassigned")</f>
        <v>Saleh Bin Hoiel</v>
      </c>
      <c r="E411">
        <f t="shared" si="122"/>
        <v>1</v>
      </c>
      <c r="F411">
        <f>IF($E411=0,0,SUMPRODUCT($AI$5:$DF$5,'Staff Daily sales'!$G396:$CD396))</f>
        <v>558.96</v>
      </c>
      <c r="G411">
        <f>IF($E411=0,0,SUMPRODUCT($AI$6:$DF$6,'Staff Daily sales'!$G396:$CD396))</f>
        <v>4</v>
      </c>
      <c r="H411">
        <f t="shared" si="123"/>
        <v>1887.88</v>
      </c>
      <c r="I411">
        <f t="shared" si="124"/>
        <v>16</v>
      </c>
      <c r="J411">
        <f t="shared" si="125"/>
        <v>69638.36</v>
      </c>
      <c r="K411">
        <f t="shared" si="126"/>
        <v>362</v>
      </c>
      <c r="L411">
        <f>--AND($E411=1,OR('Staff Dashboard'!$B$6="All",$DH411='Staff Dashboard'!$B$6),OR('Staff Dashboard'!$B$7="All",$D411='Staff Dashboard'!$B$7),OR('Staff Dashboard'!$B$8="All",$A411='Staff Dashboard'!$B$8))</f>
        <v>0</v>
      </c>
      <c r="M411">
        <f>IF($E411=0,0,SUMPRODUCT($AI$7:$DF$7,'Staff Daily sales'!$G396:$CD396))</f>
        <v>2801.08</v>
      </c>
      <c r="N411">
        <f>IF($E411=0,0,SUMPRODUCT($AI$8:$DF$8,'Staff Daily sales'!$G396:$CD396))</f>
        <v>27</v>
      </c>
      <c r="O411">
        <f>IF($E411=0,0,SUMPRODUCT($AI$9:$DF$9,'Staff Daily sales'!$G396:$CD396))</f>
        <v>4195.1100000000006</v>
      </c>
      <c r="P411">
        <f>IF($E411=0,0,SUMPRODUCT($AI$10:$DF$10,'Staff Daily sales'!$G396:$CD396))</f>
        <v>32</v>
      </c>
      <c r="Q411">
        <f>IF($E411=0,0,SUMPRODUCT($AI$11:$DF$11,'Staff Daily sales'!$G396:$CD396))</f>
        <v>0</v>
      </c>
      <c r="R411">
        <f>IF($E411=0,0,SUMPRODUCT($AI$12:$DF$12,'Staff Daily sales'!$G396:$CD396))</f>
        <v>0</v>
      </c>
      <c r="S411">
        <f>IF($E411=0,0,SUMPRODUCT($AI$13:$DF$13,'Staff Daily sales'!$G396:$CD396))</f>
        <v>1869.94</v>
      </c>
      <c r="T411">
        <f>IF($E411=0,0,SUMPRODUCT($AI$14:$DF$14,'Staff Daily sales'!$G396:$CD396))</f>
        <v>17</v>
      </c>
      <c r="U411">
        <f>IF($E411=0,0,SUMPRODUCT($AI$15:$DF$15,'Staff Daily sales'!$G396:$CD396))</f>
        <v>932.03</v>
      </c>
      <c r="V411">
        <f>IF($E411=0,0,SUMPRODUCT($AI$16:$DF$16,'Staff Daily sales'!$G396:$CD396))</f>
        <v>6</v>
      </c>
      <c r="W411">
        <f t="shared" si="127"/>
        <v>16694.340000000004</v>
      </c>
      <c r="X411">
        <f t="shared" si="128"/>
        <v>18062.280000000002</v>
      </c>
      <c r="Y411">
        <f t="shared" si="129"/>
        <v>12054.14</v>
      </c>
      <c r="Z411">
        <f t="shared" si="130"/>
        <v>10647.68</v>
      </c>
      <c r="AA411">
        <f t="shared" si="131"/>
        <v>2370.0699999999997</v>
      </c>
      <c r="AB411">
        <f>--AND($E411=1,OR('Staff Weekly Trend'!$B$3="All",$DH411='Staff Weekly Trend'!$B$3),OR('Staff Weekly Trend'!$B$4="All",$D411='Staff Weekly Trend'!$B$4),OR('Staff Weekly Trend'!$B$5="All",$A411='Staff Weekly Trend'!$B$5))</f>
        <v>1</v>
      </c>
      <c r="AC411">
        <f t="shared" si="132"/>
        <v>2</v>
      </c>
      <c r="AI411">
        <f t="shared" si="133"/>
        <v>162</v>
      </c>
      <c r="AJ411">
        <f t="shared" si="134"/>
        <v>139</v>
      </c>
      <c r="AK411">
        <f t="shared" si="135"/>
        <v>103</v>
      </c>
      <c r="AL411">
        <f t="shared" si="136"/>
        <v>84</v>
      </c>
      <c r="AM411">
        <f t="shared" si="137"/>
        <v>17</v>
      </c>
      <c r="DH411" t="str" cm="1">
        <f t="array" ref="DH411">IF($A411="","",_xlfn.LET(_xlpm.c,IFERROR(_xlfn.XLOOKUP($A411,TRIM('Sales and count'!$A$4:$A$300&amp;""),TRIM('Sales and count'!$B$4:$B$300&amp;"")),""),IF(OR(_xlpm.c="",_xlpm.c="0",LEFT(_xlpm.c,1)="#"),"Not set",_xlpm.c)))</f>
        <v>KSA</v>
      </c>
    </row>
    <row r="412" spans="1:112" x14ac:dyDescent="0.25">
      <c r="A412" t="str">
        <f>IF('Staff Daily sales'!$B397="","",TRIM('Staff Daily sales'!$B397&amp;""))</f>
        <v>HAPARKTAIF</v>
      </c>
      <c r="B412" t="str">
        <f>IF('Staff Daily sales'!$D397="","",TRIM('Staff Daily sales'!$D397&amp;""))</f>
        <v>4862-FAlHarithi</v>
      </c>
      <c r="C412" t="str">
        <f>IFERROR(TRIM('Staff Daily sales'!$E397&amp;""),"")</f>
        <v>Taif</v>
      </c>
      <c r="D412" t="str">
        <f>IFERROR(IF(TRIM('Staff Daily sales'!$F397&amp;"")="","Unassigned",TRIM('Staff Daily sales'!$F397&amp;"")),"Unassigned")</f>
        <v>Saleh Bin Hoiel</v>
      </c>
      <c r="E412">
        <f t="shared" si="122"/>
        <v>1</v>
      </c>
      <c r="F412">
        <f>IF($E412=0,0,SUMPRODUCT($AI$5:$DF$5,'Staff Daily sales'!$G397:$CD397))</f>
        <v>742.94</v>
      </c>
      <c r="G412">
        <f>IF($E412=0,0,SUMPRODUCT($AI$6:$DF$6,'Staff Daily sales'!$G397:$CD397))</f>
        <v>6</v>
      </c>
      <c r="H412">
        <f t="shared" si="123"/>
        <v>1887.88</v>
      </c>
      <c r="I412">
        <f t="shared" si="124"/>
        <v>16</v>
      </c>
      <c r="J412">
        <f t="shared" si="125"/>
        <v>69638.36</v>
      </c>
      <c r="K412">
        <f t="shared" si="126"/>
        <v>362</v>
      </c>
      <c r="L412">
        <f>--AND($E412=1,OR('Staff Dashboard'!$B$6="All",$DH412='Staff Dashboard'!$B$6),OR('Staff Dashboard'!$B$7="All",$D412='Staff Dashboard'!$B$7),OR('Staff Dashboard'!$B$8="All",$A412='Staff Dashboard'!$B$8))</f>
        <v>0</v>
      </c>
      <c r="M412">
        <f>IF($E412=0,0,SUMPRODUCT($AI$7:$DF$7,'Staff Daily sales'!$G397:$CD397))</f>
        <v>7557.0700000000015</v>
      </c>
      <c r="N412">
        <f>IF($E412=0,0,SUMPRODUCT($AI$8:$DF$8,'Staff Daily sales'!$G397:$CD397))</f>
        <v>73</v>
      </c>
      <c r="O412">
        <f>IF($E412=0,0,SUMPRODUCT($AI$9:$DF$9,'Staff Daily sales'!$G397:$CD397))</f>
        <v>6283.1</v>
      </c>
      <c r="P412">
        <f>IF($E412=0,0,SUMPRODUCT($AI$10:$DF$10,'Staff Daily sales'!$G397:$CD397))</f>
        <v>43</v>
      </c>
      <c r="Q412">
        <f>IF($E412=0,0,SUMPRODUCT($AI$11:$DF$11,'Staff Daily sales'!$G397:$CD397))</f>
        <v>5367.08</v>
      </c>
      <c r="R412">
        <f>IF($E412=0,0,SUMPRODUCT($AI$12:$DF$12,'Staff Daily sales'!$G397:$CD397))</f>
        <v>46</v>
      </c>
      <c r="S412">
        <f>IF($E412=0,0,SUMPRODUCT($AI$13:$DF$13,'Staff Daily sales'!$G397:$CD397))</f>
        <v>3384.92</v>
      </c>
      <c r="T412">
        <f>IF($E412=0,0,SUMPRODUCT($AI$14:$DF$14,'Staff Daily sales'!$G397:$CD397))</f>
        <v>26</v>
      </c>
      <c r="U412">
        <f>IF($E412=0,0,SUMPRODUCT($AI$15:$DF$15,'Staff Daily sales'!$G397:$CD397))</f>
        <v>759.06</v>
      </c>
      <c r="V412">
        <f>IF($E412=0,0,SUMPRODUCT($AI$16:$DF$16,'Staff Daily sales'!$G397:$CD397))</f>
        <v>5</v>
      </c>
      <c r="W412">
        <f t="shared" si="127"/>
        <v>16694.340000000004</v>
      </c>
      <c r="X412">
        <f t="shared" si="128"/>
        <v>18062.280000000002</v>
      </c>
      <c r="Y412">
        <f t="shared" si="129"/>
        <v>12054.14</v>
      </c>
      <c r="Z412">
        <f t="shared" si="130"/>
        <v>10647.68</v>
      </c>
      <c r="AA412">
        <f t="shared" si="131"/>
        <v>2370.0699999999997</v>
      </c>
      <c r="AB412">
        <f>--AND($E412=1,OR('Staff Weekly Trend'!$B$3="All",$DH412='Staff Weekly Trend'!$B$3),OR('Staff Weekly Trend'!$B$4="All",$D412='Staff Weekly Trend'!$B$4),OR('Staff Weekly Trend'!$B$5="All",$A412='Staff Weekly Trend'!$B$5))</f>
        <v>1</v>
      </c>
      <c r="AC412">
        <f t="shared" si="132"/>
        <v>1</v>
      </c>
      <c r="AI412">
        <f t="shared" si="133"/>
        <v>162</v>
      </c>
      <c r="AJ412">
        <f t="shared" si="134"/>
        <v>139</v>
      </c>
      <c r="AK412">
        <f t="shared" si="135"/>
        <v>103</v>
      </c>
      <c r="AL412">
        <f t="shared" si="136"/>
        <v>84</v>
      </c>
      <c r="AM412">
        <f t="shared" si="137"/>
        <v>17</v>
      </c>
      <c r="DH412" t="str" cm="1">
        <f t="array" ref="DH412">IF($A412="","",_xlfn.LET(_xlpm.c,IFERROR(_xlfn.XLOOKUP($A412,TRIM('Sales and count'!$A$4:$A$300&amp;""),TRIM('Sales and count'!$B$4:$B$300&amp;"")),""),IF(OR(_xlpm.c="",_xlpm.c="0",LEFT(_xlpm.c,1)="#"),"Not set",_xlpm.c)))</f>
        <v>KSA</v>
      </c>
    </row>
    <row r="413" spans="1:112" x14ac:dyDescent="0.25">
      <c r="A413" t="str">
        <f>IF('Staff Daily sales'!$B398="","",TRIM('Staff Daily sales'!$B398&amp;""))</f>
        <v>HAPARKTAIF</v>
      </c>
      <c r="B413" t="str">
        <f>IF('Staff Daily sales'!$D398="","",TRIM('Staff Daily sales'!$D398&amp;""))</f>
        <v>5563-AAlmalki</v>
      </c>
      <c r="C413" t="str">
        <f>IFERROR(TRIM('Staff Daily sales'!$E398&amp;""),"")</f>
        <v>Taif</v>
      </c>
      <c r="D413" t="str">
        <f>IFERROR(IF(TRIM('Staff Daily sales'!$F398&amp;"")="","Unassigned",TRIM('Staff Daily sales'!$F398&amp;"")),"Unassigned")</f>
        <v>Saleh Bin Hoiel</v>
      </c>
      <c r="E413">
        <f t="shared" si="122"/>
        <v>1</v>
      </c>
      <c r="F413">
        <f>IF($E413=0,0,SUMPRODUCT($AI$5:$DF$5,'Staff Daily sales'!$G398:$CD398))</f>
        <v>360.98</v>
      </c>
      <c r="G413">
        <f>IF($E413=0,0,SUMPRODUCT($AI$6:$DF$6,'Staff Daily sales'!$G398:$CD398))</f>
        <v>4</v>
      </c>
      <c r="H413">
        <f t="shared" si="123"/>
        <v>1887.88</v>
      </c>
      <c r="I413">
        <f t="shared" si="124"/>
        <v>16</v>
      </c>
      <c r="J413">
        <f t="shared" si="125"/>
        <v>69638.36</v>
      </c>
      <c r="K413">
        <f t="shared" si="126"/>
        <v>362</v>
      </c>
      <c r="L413">
        <f>--AND($E413=1,OR('Staff Dashboard'!$B$6="All",$DH413='Staff Dashboard'!$B$6),OR('Staff Dashboard'!$B$7="All",$D413='Staff Dashboard'!$B$7),OR('Staff Dashboard'!$B$8="All",$A413='Staff Dashboard'!$B$8))</f>
        <v>0</v>
      </c>
      <c r="M413">
        <f>IF($E413=0,0,SUMPRODUCT($AI$7:$DF$7,'Staff Daily sales'!$G398:$CD398))</f>
        <v>2559.09</v>
      </c>
      <c r="N413">
        <f>IF($E413=0,0,SUMPRODUCT($AI$8:$DF$8,'Staff Daily sales'!$G398:$CD398))</f>
        <v>21</v>
      </c>
      <c r="O413">
        <f>IF($E413=0,0,SUMPRODUCT($AI$9:$DF$9,'Staff Daily sales'!$G398:$CD398))</f>
        <v>3088.06</v>
      </c>
      <c r="P413">
        <f>IF($E413=0,0,SUMPRODUCT($AI$10:$DF$10,'Staff Daily sales'!$G398:$CD398))</f>
        <v>25</v>
      </c>
      <c r="Q413">
        <f>IF($E413=0,0,SUMPRODUCT($AI$11:$DF$11,'Staff Daily sales'!$G398:$CD398))</f>
        <v>1465</v>
      </c>
      <c r="R413">
        <f>IF($E413=0,0,SUMPRODUCT($AI$12:$DF$12,'Staff Daily sales'!$G398:$CD398))</f>
        <v>12</v>
      </c>
      <c r="S413">
        <f>IF($E413=0,0,SUMPRODUCT($AI$13:$DF$13,'Staff Daily sales'!$G398:$CD398))</f>
        <v>2118.9300000000003</v>
      </c>
      <c r="T413">
        <f>IF($E413=0,0,SUMPRODUCT($AI$14:$DF$14,'Staff Daily sales'!$G398:$CD398))</f>
        <v>17</v>
      </c>
      <c r="U413">
        <f>IF($E413=0,0,SUMPRODUCT($AI$15:$DF$15,'Staff Daily sales'!$G398:$CD398))</f>
        <v>225</v>
      </c>
      <c r="V413">
        <f>IF($E413=0,0,SUMPRODUCT($AI$16:$DF$16,'Staff Daily sales'!$G398:$CD398))</f>
        <v>3</v>
      </c>
      <c r="W413">
        <f t="shared" si="127"/>
        <v>16694.340000000004</v>
      </c>
      <c r="X413">
        <f t="shared" si="128"/>
        <v>18062.280000000002</v>
      </c>
      <c r="Y413">
        <f t="shared" si="129"/>
        <v>12054.14</v>
      </c>
      <c r="Z413">
        <f t="shared" si="130"/>
        <v>10647.68</v>
      </c>
      <c r="AA413">
        <f t="shared" si="131"/>
        <v>2370.0699999999997</v>
      </c>
      <c r="AB413">
        <f>--AND($E413=1,OR('Staff Weekly Trend'!$B$3="All",$DH413='Staff Weekly Trend'!$B$3),OR('Staff Weekly Trend'!$B$4="All",$D413='Staff Weekly Trend'!$B$4),OR('Staff Weekly Trend'!$B$5="All",$A413='Staff Weekly Trend'!$B$5))</f>
        <v>1</v>
      </c>
      <c r="AC413">
        <f t="shared" si="132"/>
        <v>3</v>
      </c>
      <c r="AI413">
        <f t="shared" si="133"/>
        <v>162</v>
      </c>
      <c r="AJ413">
        <f t="shared" si="134"/>
        <v>139</v>
      </c>
      <c r="AK413">
        <f t="shared" si="135"/>
        <v>103</v>
      </c>
      <c r="AL413">
        <f t="shared" si="136"/>
        <v>84</v>
      </c>
      <c r="AM413">
        <f t="shared" si="137"/>
        <v>17</v>
      </c>
      <c r="DH413" t="str" cm="1">
        <f t="array" ref="DH413">IF($A413="","",_xlfn.LET(_xlpm.c,IFERROR(_xlfn.XLOOKUP($A413,TRIM('Sales and count'!$A$4:$A$300&amp;""),TRIM('Sales and count'!$B$4:$B$300&amp;"")),""),IF(OR(_xlpm.c="",_xlpm.c="0",LEFT(_xlpm.c,1)="#"),"Not set",_xlpm.c)))</f>
        <v>KSA</v>
      </c>
    </row>
    <row r="414" spans="1:112" x14ac:dyDescent="0.25">
      <c r="A414" t="str">
        <f>IF('Staff Daily sales'!$B399="","",TRIM('Staff Daily sales'!$B399&amp;""))</f>
        <v>HASULTANA</v>
      </c>
      <c r="B414" t="str">
        <f>IF('Staff Daily sales'!$D399="","",TRIM('Staff Daily sales'!$D399&amp;""))</f>
        <v>4877-AAlErwi</v>
      </c>
      <c r="C414" t="str">
        <f>IFERROR(TRIM('Staff Daily sales'!$E399&amp;""),"")</f>
        <v>Madinah</v>
      </c>
      <c r="D414" t="str">
        <f>IFERROR(IF(TRIM('Staff Daily sales'!$F399&amp;"")="","Unassigned",TRIM('Staff Daily sales'!$F399&amp;"")),"Unassigned")</f>
        <v>Mohammed Haidar</v>
      </c>
      <c r="E414">
        <f t="shared" si="122"/>
        <v>1</v>
      </c>
      <c r="F414">
        <f>IF($E414=0,0,SUMPRODUCT($AI$5:$DF$5,'Staff Daily sales'!$G399:$CD399))</f>
        <v>0</v>
      </c>
      <c r="G414">
        <f>IF($E414=0,0,SUMPRODUCT($AI$6:$DF$6,'Staff Daily sales'!$G399:$CD399))</f>
        <v>0</v>
      </c>
      <c r="H414">
        <f t="shared" si="123"/>
        <v>2354.92</v>
      </c>
      <c r="I414">
        <f t="shared" si="124"/>
        <v>7</v>
      </c>
      <c r="J414">
        <f t="shared" si="125"/>
        <v>55209.230000000018</v>
      </c>
      <c r="K414">
        <f t="shared" si="126"/>
        <v>272</v>
      </c>
      <c r="L414">
        <f>--AND($E414=1,OR('Staff Dashboard'!$B$6="All",$DH414='Staff Dashboard'!$B$6),OR('Staff Dashboard'!$B$7="All",$D414='Staff Dashboard'!$B$7),OR('Staff Dashboard'!$B$8="All",$A414='Staff Dashboard'!$B$8))</f>
        <v>0</v>
      </c>
      <c r="M414">
        <f>IF($E414=0,0,SUMPRODUCT($AI$7:$DF$7,'Staff Daily sales'!$G399:$CD399))</f>
        <v>387.01</v>
      </c>
      <c r="N414">
        <f>IF($E414=0,0,SUMPRODUCT($AI$8:$DF$8,'Staff Daily sales'!$G399:$CD399))</f>
        <v>4</v>
      </c>
      <c r="O414">
        <f>IF($E414=0,0,SUMPRODUCT($AI$9:$DF$9,'Staff Daily sales'!$G399:$CD399))</f>
        <v>0</v>
      </c>
      <c r="P414">
        <f>IF($E414=0,0,SUMPRODUCT($AI$10:$DF$10,'Staff Daily sales'!$G399:$CD399))</f>
        <v>0</v>
      </c>
      <c r="Q414">
        <f>IF($E414=0,0,SUMPRODUCT($AI$11:$DF$11,'Staff Daily sales'!$G399:$CD399))</f>
        <v>0</v>
      </c>
      <c r="R414">
        <f>IF($E414=0,0,SUMPRODUCT($AI$12:$DF$12,'Staff Daily sales'!$G399:$CD399))</f>
        <v>0</v>
      </c>
      <c r="S414">
        <f>IF($E414=0,0,SUMPRODUCT($AI$13:$DF$13,'Staff Daily sales'!$G399:$CD399))</f>
        <v>0</v>
      </c>
      <c r="T414">
        <f>IF($E414=0,0,SUMPRODUCT($AI$14:$DF$14,'Staff Daily sales'!$G399:$CD399))</f>
        <v>0</v>
      </c>
      <c r="U414">
        <f>IF($E414=0,0,SUMPRODUCT($AI$15:$DF$15,'Staff Daily sales'!$G399:$CD399))</f>
        <v>0</v>
      </c>
      <c r="V414">
        <f>IF($E414=0,0,SUMPRODUCT($AI$16:$DF$16,'Staff Daily sales'!$G399:$CD399))</f>
        <v>0</v>
      </c>
      <c r="W414">
        <f t="shared" si="127"/>
        <v>13768.369999999999</v>
      </c>
      <c r="X414">
        <f t="shared" si="128"/>
        <v>22778.260000000002</v>
      </c>
      <c r="Y414">
        <f t="shared" si="129"/>
        <v>17262.060000000001</v>
      </c>
      <c r="Z414">
        <f t="shared" si="130"/>
        <v>16955.84</v>
      </c>
      <c r="AA414">
        <f t="shared" si="131"/>
        <v>4520.12</v>
      </c>
      <c r="AB414">
        <f>--AND($E414=1,OR('Staff Weekly Trend'!$B$3="All",$DH414='Staff Weekly Trend'!$B$3),OR('Staff Weekly Trend'!$B$4="All",$D414='Staff Weekly Trend'!$B$4),OR('Staff Weekly Trend'!$B$5="All",$A414='Staff Weekly Trend'!$B$5))</f>
        <v>1</v>
      </c>
      <c r="AC414" t="str">
        <f t="shared" si="132"/>
        <v/>
      </c>
      <c r="AI414">
        <f t="shared" si="133"/>
        <v>85</v>
      </c>
      <c r="AJ414">
        <f t="shared" si="134"/>
        <v>121</v>
      </c>
      <c r="AK414">
        <f t="shared" si="135"/>
        <v>86</v>
      </c>
      <c r="AL414">
        <f t="shared" si="136"/>
        <v>77</v>
      </c>
      <c r="AM414">
        <f t="shared" si="137"/>
        <v>14</v>
      </c>
      <c r="DH414" t="str" cm="1">
        <f t="array" ref="DH414">IF($A414="","",_xlfn.LET(_xlpm.c,IFERROR(_xlfn.XLOOKUP($A414,TRIM('Sales and count'!$A$4:$A$300&amp;""),TRIM('Sales and count'!$B$4:$B$300&amp;"")),""),IF(OR(_xlpm.c="",_xlpm.c="0",LEFT(_xlpm.c,1)="#"),"Not set",_xlpm.c)))</f>
        <v>KSA</v>
      </c>
    </row>
    <row r="415" spans="1:112" x14ac:dyDescent="0.25">
      <c r="A415" t="str">
        <f>IF('Staff Daily sales'!$B400="","",TRIM('Staff Daily sales'!$B400&amp;""))</f>
        <v>HASULTANA</v>
      </c>
      <c r="B415" t="str">
        <f>IF('Staff Daily sales'!$D400="","",TRIM('Staff Daily sales'!$D400&amp;""))</f>
        <v>5698-AAlsahli</v>
      </c>
      <c r="C415" t="str">
        <f>IFERROR(TRIM('Staff Daily sales'!$E400&amp;""),"")</f>
        <v>Madinah</v>
      </c>
      <c r="D415" t="str">
        <f>IFERROR(IF(TRIM('Staff Daily sales'!$F400&amp;"")="","Unassigned",TRIM('Staff Daily sales'!$F400&amp;"")),"Unassigned")</f>
        <v>Mohammed Haidar</v>
      </c>
      <c r="E415">
        <f t="shared" si="122"/>
        <v>1</v>
      </c>
      <c r="F415">
        <f>IF($E415=0,0,SUMPRODUCT($AI$5:$DF$5,'Staff Daily sales'!$G400:$CD400))</f>
        <v>1982.91</v>
      </c>
      <c r="G415">
        <f>IF($E415=0,0,SUMPRODUCT($AI$6:$DF$6,'Staff Daily sales'!$G400:$CD400))</f>
        <v>6</v>
      </c>
      <c r="H415">
        <f t="shared" si="123"/>
        <v>2354.92</v>
      </c>
      <c r="I415">
        <f t="shared" si="124"/>
        <v>7</v>
      </c>
      <c r="J415">
        <f t="shared" si="125"/>
        <v>55209.230000000018</v>
      </c>
      <c r="K415">
        <f t="shared" si="126"/>
        <v>272</v>
      </c>
      <c r="L415">
        <f>--AND($E415=1,OR('Staff Dashboard'!$B$6="All",$DH415='Staff Dashboard'!$B$6),OR('Staff Dashboard'!$B$7="All",$D415='Staff Dashboard'!$B$7),OR('Staff Dashboard'!$B$8="All",$A415='Staff Dashboard'!$B$8))</f>
        <v>0</v>
      </c>
      <c r="M415">
        <f>IF($E415=0,0,SUMPRODUCT($AI$7:$DF$7,'Staff Daily sales'!$G400:$CD400))</f>
        <v>10514.31</v>
      </c>
      <c r="N415">
        <f>IF($E415=0,0,SUMPRODUCT($AI$8:$DF$8,'Staff Daily sales'!$G400:$CD400))</f>
        <v>66</v>
      </c>
      <c r="O415">
        <f>IF($E415=0,0,SUMPRODUCT($AI$9:$DF$9,'Staff Daily sales'!$G400:$CD400))</f>
        <v>13850.18</v>
      </c>
      <c r="P415">
        <f>IF($E415=0,0,SUMPRODUCT($AI$10:$DF$10,'Staff Daily sales'!$G400:$CD400))</f>
        <v>63</v>
      </c>
      <c r="Q415">
        <f>IF($E415=0,0,SUMPRODUCT($AI$11:$DF$11,'Staff Daily sales'!$G400:$CD400))</f>
        <v>4050.01</v>
      </c>
      <c r="R415">
        <f>IF($E415=0,0,SUMPRODUCT($AI$12:$DF$12,'Staff Daily sales'!$G400:$CD400))</f>
        <v>21</v>
      </c>
      <c r="S415">
        <f>IF($E415=0,0,SUMPRODUCT($AI$13:$DF$13,'Staff Daily sales'!$G400:$CD400))</f>
        <v>8665.8700000000008</v>
      </c>
      <c r="T415">
        <f>IF($E415=0,0,SUMPRODUCT($AI$14:$DF$14,'Staff Daily sales'!$G400:$CD400))</f>
        <v>31</v>
      </c>
      <c r="U415">
        <f>IF($E415=0,0,SUMPRODUCT($AI$15:$DF$15,'Staff Daily sales'!$G400:$CD400))</f>
        <v>2885.04</v>
      </c>
      <c r="V415">
        <f>IF($E415=0,0,SUMPRODUCT($AI$16:$DF$16,'Staff Daily sales'!$G400:$CD400))</f>
        <v>5</v>
      </c>
      <c r="W415">
        <f t="shared" si="127"/>
        <v>13768.369999999999</v>
      </c>
      <c r="X415">
        <f t="shared" si="128"/>
        <v>22778.260000000002</v>
      </c>
      <c r="Y415">
        <f t="shared" si="129"/>
        <v>17262.060000000001</v>
      </c>
      <c r="Z415">
        <f t="shared" si="130"/>
        <v>16955.84</v>
      </c>
      <c r="AA415">
        <f t="shared" si="131"/>
        <v>4520.12</v>
      </c>
      <c r="AB415">
        <f>--AND($E415=1,OR('Staff Weekly Trend'!$B$3="All",$DH415='Staff Weekly Trend'!$B$3),OR('Staff Weekly Trend'!$B$4="All",$D415='Staff Weekly Trend'!$B$4),OR('Staff Weekly Trend'!$B$5="All",$A415='Staff Weekly Trend'!$B$5))</f>
        <v>1</v>
      </c>
      <c r="AC415">
        <f t="shared" si="132"/>
        <v>1</v>
      </c>
      <c r="AI415">
        <f t="shared" si="133"/>
        <v>85</v>
      </c>
      <c r="AJ415">
        <f t="shared" si="134"/>
        <v>121</v>
      </c>
      <c r="AK415">
        <f t="shared" si="135"/>
        <v>86</v>
      </c>
      <c r="AL415">
        <f t="shared" si="136"/>
        <v>77</v>
      </c>
      <c r="AM415">
        <f t="shared" si="137"/>
        <v>14</v>
      </c>
      <c r="DH415" t="str" cm="1">
        <f t="array" ref="DH415">IF($A415="","",_xlfn.LET(_xlpm.c,IFERROR(_xlfn.XLOOKUP($A415,TRIM('Sales and count'!$A$4:$A$300&amp;""),TRIM('Sales and count'!$B$4:$B$300&amp;"")),""),IF(OR(_xlpm.c="",_xlpm.c="0",LEFT(_xlpm.c,1)="#"),"Not set",_xlpm.c)))</f>
        <v>KSA</v>
      </c>
    </row>
    <row r="416" spans="1:112" x14ac:dyDescent="0.25">
      <c r="A416" t="str">
        <f>IF('Staff Daily sales'!$B401="","",TRIM('Staff Daily sales'!$B401&amp;""))</f>
        <v>HASULTANA</v>
      </c>
      <c r="B416" t="str">
        <f>IF('Staff Daily sales'!$D401="","",TRIM('Staff Daily sales'!$D401&amp;""))</f>
        <v>5885-AAlharthi</v>
      </c>
      <c r="C416" t="str">
        <f>IFERROR(TRIM('Staff Daily sales'!$E401&amp;""),"")</f>
        <v>Madinah</v>
      </c>
      <c r="D416" t="str">
        <f>IFERROR(IF(TRIM('Staff Daily sales'!$F401&amp;"")="","Unassigned",TRIM('Staff Daily sales'!$F401&amp;"")),"Unassigned")</f>
        <v>Mohammed Haidar</v>
      </c>
      <c r="E416">
        <f t="shared" si="122"/>
        <v>1</v>
      </c>
      <c r="F416">
        <f>IF($E416=0,0,SUMPRODUCT($AI$5:$DF$5,'Staff Daily sales'!$G401:$CD401))</f>
        <v>0</v>
      </c>
      <c r="G416">
        <f>IF($E416=0,0,SUMPRODUCT($AI$6:$DF$6,'Staff Daily sales'!$G401:$CD401))</f>
        <v>0</v>
      </c>
      <c r="H416">
        <f t="shared" si="123"/>
        <v>2354.92</v>
      </c>
      <c r="I416">
        <f t="shared" si="124"/>
        <v>7</v>
      </c>
      <c r="J416">
        <f t="shared" si="125"/>
        <v>55209.230000000018</v>
      </c>
      <c r="K416">
        <f t="shared" si="126"/>
        <v>272</v>
      </c>
      <c r="L416">
        <f>--AND($E416=1,OR('Staff Dashboard'!$B$6="All",$DH416='Staff Dashboard'!$B$6),OR('Staff Dashboard'!$B$7="All",$D416='Staff Dashboard'!$B$7),OR('Staff Dashboard'!$B$8="All",$A416='Staff Dashboard'!$B$8))</f>
        <v>0</v>
      </c>
      <c r="M416">
        <f>IF($E416=0,0,SUMPRODUCT($AI$7:$DF$7,'Staff Daily sales'!$G401:$CD401))</f>
        <v>2867.05</v>
      </c>
      <c r="N416">
        <f>IF($E416=0,0,SUMPRODUCT($AI$8:$DF$8,'Staff Daily sales'!$G401:$CD401))</f>
        <v>15</v>
      </c>
      <c r="O416">
        <f>IF($E416=0,0,SUMPRODUCT($AI$9:$DF$9,'Staff Daily sales'!$G401:$CD401))</f>
        <v>8928.08</v>
      </c>
      <c r="P416">
        <f>IF($E416=0,0,SUMPRODUCT($AI$10:$DF$10,'Staff Daily sales'!$G401:$CD401))</f>
        <v>58</v>
      </c>
      <c r="Q416">
        <f>IF($E416=0,0,SUMPRODUCT($AI$11:$DF$11,'Staff Daily sales'!$G401:$CD401))</f>
        <v>5079.01</v>
      </c>
      <c r="R416">
        <f>IF($E416=0,0,SUMPRODUCT($AI$12:$DF$12,'Staff Daily sales'!$G401:$CD401))</f>
        <v>28</v>
      </c>
      <c r="S416">
        <f>IF($E416=0,0,SUMPRODUCT($AI$13:$DF$13,'Staff Daily sales'!$G401:$CD401))</f>
        <v>4421.01</v>
      </c>
      <c r="T416">
        <f>IF($E416=0,0,SUMPRODUCT($AI$14:$DF$14,'Staff Daily sales'!$G401:$CD401))</f>
        <v>25</v>
      </c>
      <c r="U416">
        <f>IF($E416=0,0,SUMPRODUCT($AI$15:$DF$15,'Staff Daily sales'!$G401:$CD401))</f>
        <v>0</v>
      </c>
      <c r="V416">
        <f>IF($E416=0,0,SUMPRODUCT($AI$16:$DF$16,'Staff Daily sales'!$G401:$CD401))</f>
        <v>0</v>
      </c>
      <c r="W416">
        <f t="shared" si="127"/>
        <v>13768.369999999999</v>
      </c>
      <c r="X416">
        <f t="shared" si="128"/>
        <v>22778.260000000002</v>
      </c>
      <c r="Y416">
        <f t="shared" si="129"/>
        <v>17262.060000000001</v>
      </c>
      <c r="Z416">
        <f t="shared" si="130"/>
        <v>16955.84</v>
      </c>
      <c r="AA416">
        <f t="shared" si="131"/>
        <v>4520.12</v>
      </c>
      <c r="AB416">
        <f>--AND($E416=1,OR('Staff Weekly Trend'!$B$3="All",$DH416='Staff Weekly Trend'!$B$3),OR('Staff Weekly Trend'!$B$4="All",$D416='Staff Weekly Trend'!$B$4),OR('Staff Weekly Trend'!$B$5="All",$A416='Staff Weekly Trend'!$B$5))</f>
        <v>1</v>
      </c>
      <c r="AC416" t="str">
        <f t="shared" si="132"/>
        <v/>
      </c>
      <c r="AI416">
        <f t="shared" si="133"/>
        <v>85</v>
      </c>
      <c r="AJ416">
        <f t="shared" si="134"/>
        <v>121</v>
      </c>
      <c r="AK416">
        <f t="shared" si="135"/>
        <v>86</v>
      </c>
      <c r="AL416">
        <f t="shared" si="136"/>
        <v>77</v>
      </c>
      <c r="AM416">
        <f t="shared" si="137"/>
        <v>14</v>
      </c>
      <c r="DH416" t="str" cm="1">
        <f t="array" ref="DH416">IF($A416="","",_xlfn.LET(_xlpm.c,IFERROR(_xlfn.XLOOKUP($A416,TRIM('Sales and count'!$A$4:$A$300&amp;""),TRIM('Sales and count'!$B$4:$B$300&amp;"")),""),IF(OR(_xlpm.c="",_xlpm.c="0",LEFT(_xlpm.c,1)="#"),"Not set",_xlpm.c)))</f>
        <v>KSA</v>
      </c>
    </row>
    <row r="417" spans="1:112" x14ac:dyDescent="0.25">
      <c r="A417" t="str">
        <f>IF('Staff Daily sales'!$B402="","",TRIM('Staff Daily sales'!$B402&amp;""))</f>
        <v>HASULTANA</v>
      </c>
      <c r="B417" t="str">
        <f>IF('Staff Daily sales'!$D402="","",TRIM('Staff Daily sales'!$D402&amp;""))</f>
        <v>6454-YKhormi</v>
      </c>
      <c r="C417" t="str">
        <f>IFERROR(TRIM('Staff Daily sales'!$E402&amp;""),"")</f>
        <v>Madinah</v>
      </c>
      <c r="D417" t="str">
        <f>IFERROR(IF(TRIM('Staff Daily sales'!$F402&amp;"")="","Unassigned",TRIM('Staff Daily sales'!$F402&amp;"")),"Unassigned")</f>
        <v>Mohammed Haidar</v>
      </c>
      <c r="E417">
        <f t="shared" si="122"/>
        <v>1</v>
      </c>
      <c r="F417">
        <f>IF($E417=0,0,SUMPRODUCT($AI$5:$DF$5,'Staff Daily sales'!$G402:$CD402))</f>
        <v>372.01</v>
      </c>
      <c r="G417">
        <f>IF($E417=0,0,SUMPRODUCT($AI$6:$DF$6,'Staff Daily sales'!$G402:$CD402))</f>
        <v>1</v>
      </c>
      <c r="H417">
        <f t="shared" si="123"/>
        <v>2354.92</v>
      </c>
      <c r="I417">
        <f t="shared" si="124"/>
        <v>7</v>
      </c>
      <c r="J417">
        <f t="shared" si="125"/>
        <v>55209.230000000018</v>
      </c>
      <c r="K417">
        <f t="shared" si="126"/>
        <v>272</v>
      </c>
      <c r="L417">
        <f>--AND($E417=1,OR('Staff Dashboard'!$B$6="All",$DH417='Staff Dashboard'!$B$6),OR('Staff Dashboard'!$B$7="All",$D417='Staff Dashboard'!$B$7),OR('Staff Dashboard'!$B$8="All",$A417='Staff Dashboard'!$B$8))</f>
        <v>0</v>
      </c>
      <c r="M417">
        <f>IF($E417=0,0,SUMPRODUCT($AI$7:$DF$7,'Staff Daily sales'!$G402:$CD402))</f>
        <v>0</v>
      </c>
      <c r="N417">
        <f>IF($E417=0,0,SUMPRODUCT($AI$8:$DF$8,'Staff Daily sales'!$G402:$CD402))</f>
        <v>0</v>
      </c>
      <c r="O417">
        <f>IF($E417=0,0,SUMPRODUCT($AI$9:$DF$9,'Staff Daily sales'!$G402:$CD402))</f>
        <v>0</v>
      </c>
      <c r="P417">
        <f>IF($E417=0,0,SUMPRODUCT($AI$10:$DF$10,'Staff Daily sales'!$G402:$CD402))</f>
        <v>0</v>
      </c>
      <c r="Q417">
        <f>IF($E417=0,0,SUMPRODUCT($AI$11:$DF$11,'Staff Daily sales'!$G402:$CD402))</f>
        <v>8133.0400000000009</v>
      </c>
      <c r="R417">
        <f>IF($E417=0,0,SUMPRODUCT($AI$12:$DF$12,'Staff Daily sales'!$G402:$CD402))</f>
        <v>37</v>
      </c>
      <c r="S417">
        <f>IF($E417=0,0,SUMPRODUCT($AI$13:$DF$13,'Staff Daily sales'!$G402:$CD402))</f>
        <v>3868.96</v>
      </c>
      <c r="T417">
        <f>IF($E417=0,0,SUMPRODUCT($AI$14:$DF$14,'Staff Daily sales'!$G402:$CD402))</f>
        <v>21</v>
      </c>
      <c r="U417">
        <f>IF($E417=0,0,SUMPRODUCT($AI$15:$DF$15,'Staff Daily sales'!$G402:$CD402))</f>
        <v>1635.08</v>
      </c>
      <c r="V417">
        <f>IF($E417=0,0,SUMPRODUCT($AI$16:$DF$16,'Staff Daily sales'!$G402:$CD402))</f>
        <v>9</v>
      </c>
      <c r="W417">
        <f t="shared" si="127"/>
        <v>13768.369999999999</v>
      </c>
      <c r="X417">
        <f t="shared" si="128"/>
        <v>22778.260000000002</v>
      </c>
      <c r="Y417">
        <f t="shared" si="129"/>
        <v>17262.060000000001</v>
      </c>
      <c r="Z417">
        <f t="shared" si="130"/>
        <v>16955.84</v>
      </c>
      <c r="AA417">
        <f t="shared" si="131"/>
        <v>4520.12</v>
      </c>
      <c r="AB417">
        <f>--AND($E417=1,OR('Staff Weekly Trend'!$B$3="All",$DH417='Staff Weekly Trend'!$B$3),OR('Staff Weekly Trend'!$B$4="All",$D417='Staff Weekly Trend'!$B$4),OR('Staff Weekly Trend'!$B$5="All",$A417='Staff Weekly Trend'!$B$5))</f>
        <v>1</v>
      </c>
      <c r="AC417">
        <f t="shared" si="132"/>
        <v>2</v>
      </c>
      <c r="AI417">
        <f t="shared" si="133"/>
        <v>85</v>
      </c>
      <c r="AJ417">
        <f t="shared" si="134"/>
        <v>121</v>
      </c>
      <c r="AK417">
        <f t="shared" si="135"/>
        <v>86</v>
      </c>
      <c r="AL417">
        <f t="shared" si="136"/>
        <v>77</v>
      </c>
      <c r="AM417">
        <f t="shared" si="137"/>
        <v>14</v>
      </c>
      <c r="DH417" t="str" cm="1">
        <f t="array" ref="DH417">IF($A417="","",_xlfn.LET(_xlpm.c,IFERROR(_xlfn.XLOOKUP($A417,TRIM('Sales and count'!$A$4:$A$300&amp;""),TRIM('Sales and count'!$B$4:$B$300&amp;"")),""),IF(OR(_xlpm.c="",_xlpm.c="0",LEFT(_xlpm.c,1)="#"),"Not set",_xlpm.c)))</f>
        <v>KSA</v>
      </c>
    </row>
    <row r="418" spans="1:112" x14ac:dyDescent="0.25">
      <c r="A418" t="str">
        <f>IF('Staff Daily sales'!$B403="","",TRIM('Staff Daily sales'!$B403&amp;""))</f>
        <v>HABAHAB</v>
      </c>
      <c r="B418" t="str">
        <f>IF('Staff Daily sales'!$D403="","",TRIM('Staff Daily sales'!$D403&amp;""))</f>
        <v>3015-SAlzahrani</v>
      </c>
      <c r="C418" t="str">
        <f>IFERROR(TRIM('Staff Daily sales'!$E403&amp;""),"")</f>
        <v>Baha</v>
      </c>
      <c r="D418" t="str">
        <f>IFERROR(IF(TRIM('Staff Daily sales'!$F403&amp;"")="","Unassigned",TRIM('Staff Daily sales'!$F403&amp;"")),"Unassigned")</f>
        <v>Ahlam Al Zahrani</v>
      </c>
      <c r="E418">
        <f t="shared" si="122"/>
        <v>1</v>
      </c>
      <c r="F418">
        <f>IF($E418=0,0,SUMPRODUCT($AI$5:$DF$5,'Staff Daily sales'!$G403:$CD403))</f>
        <v>734.96</v>
      </c>
      <c r="G418">
        <f>IF($E418=0,0,SUMPRODUCT($AI$6:$DF$6,'Staff Daily sales'!$G403:$CD403))</f>
        <v>6</v>
      </c>
      <c r="H418">
        <f t="shared" si="123"/>
        <v>3257.84</v>
      </c>
      <c r="I418">
        <f t="shared" si="124"/>
        <v>21</v>
      </c>
      <c r="J418">
        <f t="shared" si="125"/>
        <v>62016.170000000006</v>
      </c>
      <c r="K418">
        <f t="shared" si="126"/>
        <v>398</v>
      </c>
      <c r="L418">
        <f>--AND($E418=1,OR('Staff Dashboard'!$B$6="All",$DH418='Staff Dashboard'!$B$6),OR('Staff Dashboard'!$B$7="All",$D418='Staff Dashboard'!$B$7),OR('Staff Dashboard'!$B$8="All",$A418='Staff Dashboard'!$B$8))</f>
        <v>0</v>
      </c>
      <c r="M418">
        <f>IF($E418=0,0,SUMPRODUCT($AI$7:$DF$7,'Staff Daily sales'!$G403:$CD403))</f>
        <v>5260.0400000000009</v>
      </c>
      <c r="N418">
        <f>IF($E418=0,0,SUMPRODUCT($AI$8:$DF$8,'Staff Daily sales'!$G403:$CD403))</f>
        <v>32</v>
      </c>
      <c r="O418">
        <f>IF($E418=0,0,SUMPRODUCT($AI$9:$DF$9,'Staff Daily sales'!$G403:$CD403))</f>
        <v>4490.0599999999995</v>
      </c>
      <c r="P418">
        <f>IF($E418=0,0,SUMPRODUCT($AI$10:$DF$10,'Staff Daily sales'!$G403:$CD403))</f>
        <v>27</v>
      </c>
      <c r="Q418">
        <f>IF($E418=0,0,SUMPRODUCT($AI$11:$DF$11,'Staff Daily sales'!$G403:$CD403))</f>
        <v>5795.05</v>
      </c>
      <c r="R418">
        <f>IF($E418=0,0,SUMPRODUCT($AI$12:$DF$12,'Staff Daily sales'!$G403:$CD403))</f>
        <v>38</v>
      </c>
      <c r="S418">
        <f>IF($E418=0,0,SUMPRODUCT($AI$13:$DF$13,'Staff Daily sales'!$G403:$CD403))</f>
        <v>5458.92</v>
      </c>
      <c r="T418">
        <f>IF($E418=0,0,SUMPRODUCT($AI$14:$DF$14,'Staff Daily sales'!$G403:$CD403))</f>
        <v>33</v>
      </c>
      <c r="U418">
        <f>IF($E418=0,0,SUMPRODUCT($AI$15:$DF$15,'Staff Daily sales'!$G403:$CD403))</f>
        <v>1129.94</v>
      </c>
      <c r="V418">
        <f>IF($E418=0,0,SUMPRODUCT($AI$16:$DF$16,'Staff Daily sales'!$G403:$CD403))</f>
        <v>5</v>
      </c>
      <c r="W418">
        <f t="shared" si="127"/>
        <v>20090.300000000003</v>
      </c>
      <c r="X418">
        <f t="shared" si="128"/>
        <v>21116.309999999998</v>
      </c>
      <c r="Y418">
        <f t="shared" si="129"/>
        <v>17208.22</v>
      </c>
      <c r="Z418">
        <f t="shared" si="130"/>
        <v>19067.91</v>
      </c>
      <c r="AA418">
        <f t="shared" si="131"/>
        <v>5467.85</v>
      </c>
      <c r="AB418">
        <f>--AND($E418=1,OR('Staff Weekly Trend'!$B$3="All",$DH418='Staff Weekly Trend'!$B$3),OR('Staff Weekly Trend'!$B$4="All",$D418='Staff Weekly Trend'!$B$4),OR('Staff Weekly Trend'!$B$5="All",$A418='Staff Weekly Trend'!$B$5))</f>
        <v>1</v>
      </c>
      <c r="AC418">
        <f t="shared" si="132"/>
        <v>3</v>
      </c>
      <c r="AI418">
        <f t="shared" si="133"/>
        <v>115</v>
      </c>
      <c r="AJ418">
        <f t="shared" si="134"/>
        <v>130</v>
      </c>
      <c r="AK418">
        <f t="shared" si="135"/>
        <v>114</v>
      </c>
      <c r="AL418">
        <f t="shared" si="136"/>
        <v>121</v>
      </c>
      <c r="AM418">
        <f t="shared" si="137"/>
        <v>30</v>
      </c>
      <c r="DH418" t="str" cm="1">
        <f t="array" ref="DH418">IF($A418="","",_xlfn.LET(_xlpm.c,IFERROR(_xlfn.XLOOKUP($A418,TRIM('Sales and count'!$A$4:$A$300&amp;""),TRIM('Sales and count'!$B$4:$B$300&amp;"")),""),IF(OR(_xlpm.c="",_xlpm.c="0",LEFT(_xlpm.c,1)="#"),"Not set",_xlpm.c)))</f>
        <v>KSA</v>
      </c>
    </row>
    <row r="419" spans="1:112" x14ac:dyDescent="0.25">
      <c r="A419" t="str">
        <f>IF('Staff Daily sales'!$B404="","",TRIM('Staff Daily sales'!$B404&amp;""))</f>
        <v>HABAHAB</v>
      </c>
      <c r="B419" t="str">
        <f>IF('Staff Daily sales'!$D404="","",TRIM('Staff Daily sales'!$D404&amp;""))</f>
        <v>4651-SAlzahrani</v>
      </c>
      <c r="C419" t="str">
        <f>IFERROR(TRIM('Staff Daily sales'!$E404&amp;""),"")</f>
        <v>Baha</v>
      </c>
      <c r="D419" t="str">
        <f>IFERROR(IF(TRIM('Staff Daily sales'!$F404&amp;"")="","Unassigned",TRIM('Staff Daily sales'!$F404&amp;"")),"Unassigned")</f>
        <v>Ahlam Al Zahrani</v>
      </c>
      <c r="E419">
        <f t="shared" si="122"/>
        <v>1</v>
      </c>
      <c r="F419">
        <f>IF($E419=0,0,SUMPRODUCT($AI$5:$DF$5,'Staff Daily sales'!$G404:$CD404))</f>
        <v>646.96</v>
      </c>
      <c r="G419">
        <f>IF($E419=0,0,SUMPRODUCT($AI$6:$DF$6,'Staff Daily sales'!$G404:$CD404))</f>
        <v>4</v>
      </c>
      <c r="H419">
        <f t="shared" si="123"/>
        <v>3257.84</v>
      </c>
      <c r="I419">
        <f t="shared" si="124"/>
        <v>21</v>
      </c>
      <c r="J419">
        <f t="shared" si="125"/>
        <v>62016.170000000006</v>
      </c>
      <c r="K419">
        <f t="shared" si="126"/>
        <v>398</v>
      </c>
      <c r="L419">
        <f>--AND($E419=1,OR('Staff Dashboard'!$B$6="All",$DH419='Staff Dashboard'!$B$6),OR('Staff Dashboard'!$B$7="All",$D419='Staff Dashboard'!$B$7),OR('Staff Dashboard'!$B$8="All",$A419='Staff Dashboard'!$B$8))</f>
        <v>0</v>
      </c>
      <c r="M419">
        <f>IF($E419=0,0,SUMPRODUCT($AI$7:$DF$7,'Staff Daily sales'!$G404:$CD404))</f>
        <v>4571.1000000000004</v>
      </c>
      <c r="N419">
        <f>IF($E419=0,0,SUMPRODUCT($AI$8:$DF$8,'Staff Daily sales'!$G404:$CD404))</f>
        <v>27</v>
      </c>
      <c r="O419">
        <f>IF($E419=0,0,SUMPRODUCT($AI$9:$DF$9,'Staff Daily sales'!$G404:$CD404))</f>
        <v>6672.1100000000006</v>
      </c>
      <c r="P419">
        <f>IF($E419=0,0,SUMPRODUCT($AI$10:$DF$10,'Staff Daily sales'!$G404:$CD404))</f>
        <v>44</v>
      </c>
      <c r="Q419">
        <f>IF($E419=0,0,SUMPRODUCT($AI$11:$DF$11,'Staff Daily sales'!$G404:$CD404))</f>
        <v>5670.09</v>
      </c>
      <c r="R419">
        <f>IF($E419=0,0,SUMPRODUCT($AI$12:$DF$12,'Staff Daily sales'!$G404:$CD404))</f>
        <v>38</v>
      </c>
      <c r="S419">
        <f>IF($E419=0,0,SUMPRODUCT($AI$13:$DF$13,'Staff Daily sales'!$G404:$CD404))</f>
        <v>4732.9800000000005</v>
      </c>
      <c r="T419">
        <f>IF($E419=0,0,SUMPRODUCT($AI$14:$DF$14,'Staff Daily sales'!$G404:$CD404))</f>
        <v>31</v>
      </c>
      <c r="U419">
        <f>IF($E419=0,0,SUMPRODUCT($AI$15:$DF$15,'Staff Daily sales'!$G404:$CD404))</f>
        <v>1908.9</v>
      </c>
      <c r="V419">
        <f>IF($E419=0,0,SUMPRODUCT($AI$16:$DF$16,'Staff Daily sales'!$G404:$CD404))</f>
        <v>12</v>
      </c>
      <c r="W419">
        <f t="shared" si="127"/>
        <v>20090.300000000003</v>
      </c>
      <c r="X419">
        <f t="shared" si="128"/>
        <v>21116.309999999998</v>
      </c>
      <c r="Y419">
        <f t="shared" si="129"/>
        <v>17208.22</v>
      </c>
      <c r="Z419">
        <f t="shared" si="130"/>
        <v>19067.91</v>
      </c>
      <c r="AA419">
        <f t="shared" si="131"/>
        <v>5467.85</v>
      </c>
      <c r="AB419">
        <f>--AND($E419=1,OR('Staff Weekly Trend'!$B$3="All",$DH419='Staff Weekly Trend'!$B$3),OR('Staff Weekly Trend'!$B$4="All",$D419='Staff Weekly Trend'!$B$4),OR('Staff Weekly Trend'!$B$5="All",$A419='Staff Weekly Trend'!$B$5))</f>
        <v>1</v>
      </c>
      <c r="AC419">
        <f t="shared" si="132"/>
        <v>4</v>
      </c>
      <c r="AI419">
        <f t="shared" si="133"/>
        <v>115</v>
      </c>
      <c r="AJ419">
        <f t="shared" si="134"/>
        <v>130</v>
      </c>
      <c r="AK419">
        <f t="shared" si="135"/>
        <v>114</v>
      </c>
      <c r="AL419">
        <f t="shared" si="136"/>
        <v>121</v>
      </c>
      <c r="AM419">
        <f t="shared" si="137"/>
        <v>30</v>
      </c>
      <c r="DH419" t="str" cm="1">
        <f t="array" ref="DH419">IF($A419="","",_xlfn.LET(_xlpm.c,IFERROR(_xlfn.XLOOKUP($A419,TRIM('Sales and count'!$A$4:$A$300&amp;""),TRIM('Sales and count'!$B$4:$B$300&amp;"")),""),IF(OR(_xlpm.c="",_xlpm.c="0",LEFT(_xlpm.c,1)="#"),"Not set",_xlpm.c)))</f>
        <v>KSA</v>
      </c>
    </row>
    <row r="420" spans="1:112" x14ac:dyDescent="0.25">
      <c r="A420" t="str">
        <f>IF('Staff Daily sales'!$B405="","",TRIM('Staff Daily sales'!$B405&amp;""))</f>
        <v>HABAHAB</v>
      </c>
      <c r="B420" t="str">
        <f>IF('Staff Daily sales'!$D405="","",TRIM('Staff Daily sales'!$D405&amp;""))</f>
        <v>5260-SAlzahrani</v>
      </c>
      <c r="C420" t="str">
        <f>IFERROR(TRIM('Staff Daily sales'!$E405&amp;""),"")</f>
        <v>Baha</v>
      </c>
      <c r="D420" t="str">
        <f>IFERROR(IF(TRIM('Staff Daily sales'!$F405&amp;"")="","Unassigned",TRIM('Staff Daily sales'!$F405&amp;"")),"Unassigned")</f>
        <v>Ahlam Al Zahrani</v>
      </c>
      <c r="E420">
        <f t="shared" si="122"/>
        <v>1</v>
      </c>
      <c r="F420">
        <f>IF($E420=0,0,SUMPRODUCT($AI$5:$DF$5,'Staff Daily sales'!$G405:$CD405))</f>
        <v>1005.95</v>
      </c>
      <c r="G420">
        <f>IF($E420=0,0,SUMPRODUCT($AI$6:$DF$6,'Staff Daily sales'!$G405:$CD405))</f>
        <v>6</v>
      </c>
      <c r="H420">
        <f t="shared" si="123"/>
        <v>3257.84</v>
      </c>
      <c r="I420">
        <f t="shared" si="124"/>
        <v>21</v>
      </c>
      <c r="J420">
        <f t="shared" si="125"/>
        <v>62016.170000000006</v>
      </c>
      <c r="K420">
        <f t="shared" si="126"/>
        <v>398</v>
      </c>
      <c r="L420">
        <f>--AND($E420=1,OR('Staff Dashboard'!$B$6="All",$DH420='Staff Dashboard'!$B$6),OR('Staff Dashboard'!$B$7="All",$D420='Staff Dashboard'!$B$7),OR('Staff Dashboard'!$B$8="All",$A420='Staff Dashboard'!$B$8))</f>
        <v>0</v>
      </c>
      <c r="M420">
        <f>IF($E420=0,0,SUMPRODUCT($AI$7:$DF$7,'Staff Daily sales'!$G405:$CD405))</f>
        <v>4673.1000000000004</v>
      </c>
      <c r="N420">
        <f>IF($E420=0,0,SUMPRODUCT($AI$8:$DF$8,'Staff Daily sales'!$G405:$CD405))</f>
        <v>28</v>
      </c>
      <c r="O420">
        <f>IF($E420=0,0,SUMPRODUCT($AI$9:$DF$9,'Staff Daily sales'!$G405:$CD405))</f>
        <v>4762.0599999999995</v>
      </c>
      <c r="P420">
        <f>IF($E420=0,0,SUMPRODUCT($AI$10:$DF$10,'Staff Daily sales'!$G405:$CD405))</f>
        <v>29</v>
      </c>
      <c r="Q420">
        <f>IF($E420=0,0,SUMPRODUCT($AI$11:$DF$11,'Staff Daily sales'!$G405:$CD405))</f>
        <v>5743.08</v>
      </c>
      <c r="R420">
        <f>IF($E420=0,0,SUMPRODUCT($AI$12:$DF$12,'Staff Daily sales'!$G405:$CD405))</f>
        <v>38</v>
      </c>
      <c r="S420">
        <f>IF($E420=0,0,SUMPRODUCT($AI$13:$DF$13,'Staff Daily sales'!$G405:$CD405))</f>
        <v>3959.99</v>
      </c>
      <c r="T420">
        <f>IF($E420=0,0,SUMPRODUCT($AI$14:$DF$14,'Staff Daily sales'!$G405:$CD405))</f>
        <v>29</v>
      </c>
      <c r="U420">
        <f>IF($E420=0,0,SUMPRODUCT($AI$15:$DF$15,'Staff Daily sales'!$G405:$CD405))</f>
        <v>472.03</v>
      </c>
      <c r="V420">
        <f>IF($E420=0,0,SUMPRODUCT($AI$16:$DF$16,'Staff Daily sales'!$G405:$CD405))</f>
        <v>2</v>
      </c>
      <c r="W420">
        <f t="shared" si="127"/>
        <v>20090.300000000003</v>
      </c>
      <c r="X420">
        <f t="shared" si="128"/>
        <v>21116.309999999998</v>
      </c>
      <c r="Y420">
        <f t="shared" si="129"/>
        <v>17208.22</v>
      </c>
      <c r="Z420">
        <f t="shared" si="130"/>
        <v>19067.91</v>
      </c>
      <c r="AA420">
        <f t="shared" si="131"/>
        <v>5467.85</v>
      </c>
      <c r="AB420">
        <f>--AND($E420=1,OR('Staff Weekly Trend'!$B$3="All",$DH420='Staff Weekly Trend'!$B$3),OR('Staff Weekly Trend'!$B$4="All",$D420='Staff Weekly Trend'!$B$4),OR('Staff Weekly Trend'!$B$5="All",$A420='Staff Weekly Trend'!$B$5))</f>
        <v>1</v>
      </c>
      <c r="AC420">
        <f t="shared" si="132"/>
        <v>1</v>
      </c>
      <c r="AI420">
        <f t="shared" si="133"/>
        <v>115</v>
      </c>
      <c r="AJ420">
        <f t="shared" si="134"/>
        <v>130</v>
      </c>
      <c r="AK420">
        <f t="shared" si="135"/>
        <v>114</v>
      </c>
      <c r="AL420">
        <f t="shared" si="136"/>
        <v>121</v>
      </c>
      <c r="AM420">
        <f t="shared" si="137"/>
        <v>30</v>
      </c>
      <c r="DH420" t="str" cm="1">
        <f t="array" ref="DH420">IF($A420="","",_xlfn.LET(_xlpm.c,IFERROR(_xlfn.XLOOKUP($A420,TRIM('Sales and count'!$A$4:$A$300&amp;""),TRIM('Sales and count'!$B$4:$B$300&amp;"")),""),IF(OR(_xlpm.c="",_xlpm.c="0",LEFT(_xlpm.c,1)="#"),"Not set",_xlpm.c)))</f>
        <v>KSA</v>
      </c>
    </row>
    <row r="421" spans="1:112" x14ac:dyDescent="0.25">
      <c r="A421" t="str">
        <f>IF('Staff Daily sales'!$B406="","",TRIM('Staff Daily sales'!$B406&amp;""))</f>
        <v>HABAHAB</v>
      </c>
      <c r="B421" t="str">
        <f>IF('Staff Daily sales'!$D406="","",TRIM('Staff Daily sales'!$D406&amp;""))</f>
        <v>5644-RAlghamdi</v>
      </c>
      <c r="C421" t="str">
        <f>IFERROR(TRIM('Staff Daily sales'!$E406&amp;""),"")</f>
        <v>Baha</v>
      </c>
      <c r="D421" t="str">
        <f>IFERROR(IF(TRIM('Staff Daily sales'!$F406&amp;"")="","Unassigned",TRIM('Staff Daily sales'!$F406&amp;"")),"Unassigned")</f>
        <v>Ahlam Al Zahrani</v>
      </c>
      <c r="E421">
        <f t="shared" si="122"/>
        <v>1</v>
      </c>
      <c r="F421">
        <f>IF($E421=0,0,SUMPRODUCT($AI$5:$DF$5,'Staff Daily sales'!$G406:$CD406))</f>
        <v>869.97</v>
      </c>
      <c r="G421">
        <f>IF($E421=0,0,SUMPRODUCT($AI$6:$DF$6,'Staff Daily sales'!$G406:$CD406))</f>
        <v>5</v>
      </c>
      <c r="H421">
        <f t="shared" si="123"/>
        <v>3257.84</v>
      </c>
      <c r="I421">
        <f t="shared" si="124"/>
        <v>21</v>
      </c>
      <c r="J421">
        <f t="shared" si="125"/>
        <v>62016.170000000006</v>
      </c>
      <c r="K421">
        <f t="shared" si="126"/>
        <v>398</v>
      </c>
      <c r="L421">
        <f>--AND($E421=1,OR('Staff Dashboard'!$B$6="All",$DH421='Staff Dashboard'!$B$6),OR('Staff Dashboard'!$B$7="All",$D421='Staff Dashboard'!$B$7),OR('Staff Dashboard'!$B$8="All",$A421='Staff Dashboard'!$B$8))</f>
        <v>0</v>
      </c>
      <c r="M421">
        <f>IF($E421=0,0,SUMPRODUCT($AI$7:$DF$7,'Staff Daily sales'!$G406:$CD406))</f>
        <v>5586.0599999999995</v>
      </c>
      <c r="N421">
        <f>IF($E421=0,0,SUMPRODUCT($AI$8:$DF$8,'Staff Daily sales'!$G406:$CD406))</f>
        <v>28</v>
      </c>
      <c r="O421">
        <f>IF($E421=0,0,SUMPRODUCT($AI$9:$DF$9,'Staff Daily sales'!$G406:$CD406))</f>
        <v>5192.08</v>
      </c>
      <c r="P421">
        <f>IF($E421=0,0,SUMPRODUCT($AI$10:$DF$10,'Staff Daily sales'!$G406:$CD406))</f>
        <v>30</v>
      </c>
      <c r="Q421">
        <f>IF($E421=0,0,SUMPRODUCT($AI$11:$DF$11,'Staff Daily sales'!$G406:$CD406))</f>
        <v>0</v>
      </c>
      <c r="R421">
        <f>IF($E421=0,0,SUMPRODUCT($AI$12:$DF$12,'Staff Daily sales'!$G406:$CD406))</f>
        <v>0</v>
      </c>
      <c r="S421">
        <f>IF($E421=0,0,SUMPRODUCT($AI$13:$DF$13,'Staff Daily sales'!$G406:$CD406))</f>
        <v>4916.0199999999995</v>
      </c>
      <c r="T421">
        <f>IF($E421=0,0,SUMPRODUCT($AI$14:$DF$14,'Staff Daily sales'!$G406:$CD406))</f>
        <v>28</v>
      </c>
      <c r="U421">
        <f>IF($E421=0,0,SUMPRODUCT($AI$15:$DF$15,'Staff Daily sales'!$G406:$CD406))</f>
        <v>1956.98</v>
      </c>
      <c r="V421">
        <f>IF($E421=0,0,SUMPRODUCT($AI$16:$DF$16,'Staff Daily sales'!$G406:$CD406))</f>
        <v>11</v>
      </c>
      <c r="W421">
        <f t="shared" si="127"/>
        <v>20090.300000000003</v>
      </c>
      <c r="X421">
        <f t="shared" si="128"/>
        <v>21116.309999999998</v>
      </c>
      <c r="Y421">
        <f t="shared" si="129"/>
        <v>17208.22</v>
      </c>
      <c r="Z421">
        <f t="shared" si="130"/>
        <v>19067.91</v>
      </c>
      <c r="AA421">
        <f t="shared" si="131"/>
        <v>5467.85</v>
      </c>
      <c r="AB421">
        <f>--AND($E421=1,OR('Staff Weekly Trend'!$B$3="All",$DH421='Staff Weekly Trend'!$B$3),OR('Staff Weekly Trend'!$B$4="All",$D421='Staff Weekly Trend'!$B$4),OR('Staff Weekly Trend'!$B$5="All",$A421='Staff Weekly Trend'!$B$5))</f>
        <v>1</v>
      </c>
      <c r="AC421">
        <f t="shared" si="132"/>
        <v>2</v>
      </c>
      <c r="AI421">
        <f t="shared" si="133"/>
        <v>115</v>
      </c>
      <c r="AJ421">
        <f t="shared" si="134"/>
        <v>130</v>
      </c>
      <c r="AK421">
        <f t="shared" si="135"/>
        <v>114</v>
      </c>
      <c r="AL421">
        <f t="shared" si="136"/>
        <v>121</v>
      </c>
      <c r="AM421">
        <f t="shared" si="137"/>
        <v>30</v>
      </c>
      <c r="DH421" t="str" cm="1">
        <f t="array" ref="DH421">IF($A421="","",_xlfn.LET(_xlpm.c,IFERROR(_xlfn.XLOOKUP($A421,TRIM('Sales and count'!$A$4:$A$300&amp;""),TRIM('Sales and count'!$B$4:$B$300&amp;"")),""),IF(OR(_xlpm.c="",_xlpm.c="0",LEFT(_xlpm.c,1)="#"),"Not set",_xlpm.c)))</f>
        <v>KSA</v>
      </c>
    </row>
    <row r="422" spans="1:112" x14ac:dyDescent="0.25">
      <c r="A422" t="str">
        <f>IF('Staff Daily sales'!$B407="","",TRIM('Staff Daily sales'!$B407&amp;""))</f>
        <v>HADIYAFAML</v>
      </c>
      <c r="B422" t="str">
        <f>IF('Staff Daily sales'!$D407="","",TRIM('Staff Daily sales'!$D407&amp;""))</f>
        <v>3622-MAljezany</v>
      </c>
      <c r="C422" t="str">
        <f>IFERROR(TRIM('Staff Daily sales'!$E407&amp;""),"")</f>
        <v>Makkah</v>
      </c>
      <c r="D422" t="str">
        <f>IFERROR(IF(TRIM('Staff Daily sales'!$F407&amp;"")="","Unassigned",TRIM('Staff Daily sales'!$F407&amp;"")),"Unassigned")</f>
        <v>Maram Zamzami</v>
      </c>
      <c r="E422">
        <f t="shared" si="122"/>
        <v>1</v>
      </c>
      <c r="F422">
        <f>IF($E422=0,0,SUMPRODUCT($AI$5:$DF$5,'Staff Daily sales'!$G407:$CD407))</f>
        <v>1252.02</v>
      </c>
      <c r="G422">
        <f>IF($E422=0,0,SUMPRODUCT($AI$6:$DF$6,'Staff Daily sales'!$G407:$CD407))</f>
        <v>7</v>
      </c>
      <c r="H422">
        <f t="shared" si="123"/>
        <v>1437.02</v>
      </c>
      <c r="I422">
        <f t="shared" si="124"/>
        <v>11</v>
      </c>
      <c r="J422">
        <f t="shared" si="125"/>
        <v>89423.479999999967</v>
      </c>
      <c r="K422">
        <f t="shared" si="126"/>
        <v>413</v>
      </c>
      <c r="L422">
        <f>--AND($E422=1,OR('Staff Dashboard'!$B$6="All",$DH422='Staff Dashboard'!$B$6),OR('Staff Dashboard'!$B$7="All",$D422='Staff Dashboard'!$B$7),OR('Staff Dashboard'!$B$8="All",$A422='Staff Dashboard'!$B$8))</f>
        <v>1</v>
      </c>
      <c r="M422">
        <f>IF($E422=0,0,SUMPRODUCT($AI$7:$DF$7,'Staff Daily sales'!$G407:$CD407))</f>
        <v>1496.01</v>
      </c>
      <c r="N422">
        <f>IF($E422=0,0,SUMPRODUCT($AI$8:$DF$8,'Staff Daily sales'!$G407:$CD407))</f>
        <v>16</v>
      </c>
      <c r="O422">
        <f>IF($E422=0,0,SUMPRODUCT($AI$9:$DF$9,'Staff Daily sales'!$G407:$CD407))</f>
        <v>2090.09</v>
      </c>
      <c r="P422">
        <f>IF($E422=0,0,SUMPRODUCT($AI$10:$DF$10,'Staff Daily sales'!$G407:$CD407))</f>
        <v>16</v>
      </c>
      <c r="Q422">
        <f>IF($E422=0,0,SUMPRODUCT($AI$11:$DF$11,'Staff Daily sales'!$G407:$CD407))</f>
        <v>1555.02</v>
      </c>
      <c r="R422">
        <f>IF($E422=0,0,SUMPRODUCT($AI$12:$DF$12,'Staff Daily sales'!$G407:$CD407))</f>
        <v>16</v>
      </c>
      <c r="S422">
        <f>IF($E422=0,0,SUMPRODUCT($AI$13:$DF$13,'Staff Daily sales'!$G407:$CD407))</f>
        <v>1252.02</v>
      </c>
      <c r="T422">
        <f>IF($E422=0,0,SUMPRODUCT($AI$14:$DF$14,'Staff Daily sales'!$G407:$CD407))</f>
        <v>7</v>
      </c>
      <c r="U422">
        <f>IF($E422=0,0,SUMPRODUCT($AI$15:$DF$15,'Staff Daily sales'!$G407:$CD407))</f>
        <v>0</v>
      </c>
      <c r="V422">
        <f>IF($E422=0,0,SUMPRODUCT($AI$16:$DF$16,'Staff Daily sales'!$G407:$CD407))</f>
        <v>0</v>
      </c>
      <c r="W422">
        <f t="shared" si="127"/>
        <v>9768.16</v>
      </c>
      <c r="X422">
        <f t="shared" si="128"/>
        <v>18637.300000000003</v>
      </c>
      <c r="Y422">
        <f t="shared" si="129"/>
        <v>12470.16</v>
      </c>
      <c r="Z422">
        <f t="shared" si="130"/>
        <v>9213.0400000000009</v>
      </c>
      <c r="AA422">
        <f t="shared" si="131"/>
        <v>1342.02</v>
      </c>
      <c r="AB422">
        <f>--AND($E422=1,OR('Staff Weekly Trend'!$B$3="All",$DH422='Staff Weekly Trend'!$B$3),OR('Staff Weekly Trend'!$B$4="All",$D422='Staff Weekly Trend'!$B$4),OR('Staff Weekly Trend'!$B$5="All",$A422='Staff Weekly Trend'!$B$5))</f>
        <v>1</v>
      </c>
      <c r="AC422">
        <f t="shared" si="132"/>
        <v>1</v>
      </c>
      <c r="AI422">
        <f t="shared" si="133"/>
        <v>93</v>
      </c>
      <c r="AJ422">
        <f t="shared" si="134"/>
        <v>149</v>
      </c>
      <c r="AK422">
        <f t="shared" si="135"/>
        <v>104</v>
      </c>
      <c r="AL422">
        <f t="shared" si="136"/>
        <v>77</v>
      </c>
      <c r="AM422">
        <f t="shared" si="137"/>
        <v>9</v>
      </c>
      <c r="DH422" t="str" cm="1">
        <f t="array" ref="DH422">IF($A422="","",_xlfn.LET(_xlpm.c,IFERROR(_xlfn.XLOOKUP($A422,TRIM('Sales and count'!$A$4:$A$300&amp;""),TRIM('Sales and count'!$B$4:$B$300&amp;"")),""),IF(OR(_xlpm.c="",_xlpm.c="0",LEFT(_xlpm.c,1)="#"),"Not set",_xlpm.c)))</f>
        <v>KSA</v>
      </c>
    </row>
    <row r="423" spans="1:112" x14ac:dyDescent="0.25">
      <c r="A423" t="str">
        <f>IF('Staff Daily sales'!$B408="","",TRIM('Staff Daily sales'!$B408&amp;""))</f>
        <v>HADIYAFAML</v>
      </c>
      <c r="B423" t="str">
        <f>IF('Staff Daily sales'!$D408="","",TRIM('Staff Daily sales'!$D408&amp;""))</f>
        <v>5388-NAloqbi</v>
      </c>
      <c r="C423" t="str">
        <f>IFERROR(TRIM('Staff Daily sales'!$E408&amp;""),"")</f>
        <v>Makkah</v>
      </c>
      <c r="D423" t="str">
        <f>IFERROR(IF(TRIM('Staff Daily sales'!$F408&amp;"")="","Unassigned",TRIM('Staff Daily sales'!$F408&amp;"")),"Unassigned")</f>
        <v>Maram Zamzami</v>
      </c>
      <c r="E423">
        <f t="shared" si="122"/>
        <v>1</v>
      </c>
      <c r="F423">
        <f>IF($E423=0,0,SUMPRODUCT($AI$5:$DF$5,'Staff Daily sales'!$G408:$CD408))</f>
        <v>110</v>
      </c>
      <c r="G423">
        <f>IF($E423=0,0,SUMPRODUCT($AI$6:$DF$6,'Staff Daily sales'!$G408:$CD408))</f>
        <v>3</v>
      </c>
      <c r="H423">
        <f t="shared" si="123"/>
        <v>1437.02</v>
      </c>
      <c r="I423">
        <f t="shared" si="124"/>
        <v>11</v>
      </c>
      <c r="J423">
        <f t="shared" si="125"/>
        <v>89423.479999999967</v>
      </c>
      <c r="K423">
        <f t="shared" si="126"/>
        <v>413</v>
      </c>
      <c r="L423">
        <f>--AND($E423=1,OR('Staff Dashboard'!$B$6="All",$DH423='Staff Dashboard'!$B$6),OR('Staff Dashboard'!$B$7="All",$D423='Staff Dashboard'!$B$7),OR('Staff Dashboard'!$B$8="All",$A423='Staff Dashboard'!$B$8))</f>
        <v>1</v>
      </c>
      <c r="M423">
        <f>IF($E423=0,0,SUMPRODUCT($AI$7:$DF$7,'Staff Daily sales'!$G408:$CD408))</f>
        <v>4536.08</v>
      </c>
      <c r="N423">
        <f>IF($E423=0,0,SUMPRODUCT($AI$8:$DF$8,'Staff Daily sales'!$G408:$CD408))</f>
        <v>46</v>
      </c>
      <c r="O423">
        <f>IF($E423=0,0,SUMPRODUCT($AI$9:$DF$9,'Staff Daily sales'!$G408:$CD408))</f>
        <v>9722.09</v>
      </c>
      <c r="P423">
        <f>IF($E423=0,0,SUMPRODUCT($AI$10:$DF$10,'Staff Daily sales'!$G408:$CD408))</f>
        <v>80</v>
      </c>
      <c r="Q423">
        <f>IF($E423=0,0,SUMPRODUCT($AI$11:$DF$11,'Staff Daily sales'!$G408:$CD408))</f>
        <v>6513.08</v>
      </c>
      <c r="R423">
        <f>IF($E423=0,0,SUMPRODUCT($AI$12:$DF$12,'Staff Daily sales'!$G408:$CD408))</f>
        <v>55</v>
      </c>
      <c r="S423">
        <f>IF($E423=0,0,SUMPRODUCT($AI$13:$DF$13,'Staff Daily sales'!$G408:$CD408))</f>
        <v>1702.02</v>
      </c>
      <c r="T423">
        <f>IF($E423=0,0,SUMPRODUCT($AI$14:$DF$14,'Staff Daily sales'!$G408:$CD408))</f>
        <v>19</v>
      </c>
      <c r="U423">
        <f>IF($E423=0,0,SUMPRODUCT($AI$15:$DF$15,'Staff Daily sales'!$G408:$CD408))</f>
        <v>589.98</v>
      </c>
      <c r="V423">
        <f>IF($E423=0,0,SUMPRODUCT($AI$16:$DF$16,'Staff Daily sales'!$G408:$CD408))</f>
        <v>3</v>
      </c>
      <c r="W423">
        <f t="shared" si="127"/>
        <v>9768.16</v>
      </c>
      <c r="X423">
        <f t="shared" si="128"/>
        <v>18637.300000000003</v>
      </c>
      <c r="Y423">
        <f t="shared" si="129"/>
        <v>12470.16</v>
      </c>
      <c r="Z423">
        <f t="shared" si="130"/>
        <v>9213.0400000000009</v>
      </c>
      <c r="AA423">
        <f t="shared" si="131"/>
        <v>1342.02</v>
      </c>
      <c r="AB423">
        <f>--AND($E423=1,OR('Staff Weekly Trend'!$B$3="All",$DH423='Staff Weekly Trend'!$B$3),OR('Staff Weekly Trend'!$B$4="All",$D423='Staff Weekly Trend'!$B$4),OR('Staff Weekly Trend'!$B$5="All",$A423='Staff Weekly Trend'!$B$5))</f>
        <v>1</v>
      </c>
      <c r="AC423">
        <f t="shared" si="132"/>
        <v>2</v>
      </c>
      <c r="AI423">
        <f t="shared" si="133"/>
        <v>93</v>
      </c>
      <c r="AJ423">
        <f t="shared" si="134"/>
        <v>149</v>
      </c>
      <c r="AK423">
        <f t="shared" si="135"/>
        <v>104</v>
      </c>
      <c r="AL423">
        <f t="shared" si="136"/>
        <v>77</v>
      </c>
      <c r="AM423">
        <f t="shared" si="137"/>
        <v>9</v>
      </c>
      <c r="DH423" t="str" cm="1">
        <f t="array" ref="DH423">IF($A423="","",_xlfn.LET(_xlpm.c,IFERROR(_xlfn.XLOOKUP($A423,TRIM('Sales and count'!$A$4:$A$300&amp;""),TRIM('Sales and count'!$B$4:$B$300&amp;"")),""),IF(OR(_xlpm.c="",_xlpm.c="0",LEFT(_xlpm.c,1)="#"),"Not set",_xlpm.c)))</f>
        <v>KSA</v>
      </c>
    </row>
    <row r="424" spans="1:112" x14ac:dyDescent="0.25">
      <c r="A424" t="str">
        <f>IF('Staff Daily sales'!$B409="","",TRIM('Staff Daily sales'!$B409&amp;""))</f>
        <v>HADIYAFAML</v>
      </c>
      <c r="B424" t="str">
        <f>IF('Staff Daily sales'!$D409="","",TRIM('Staff Daily sales'!$D409&amp;""))</f>
        <v>5493-BAlGhereiby</v>
      </c>
      <c r="C424" t="str">
        <f>IFERROR(TRIM('Staff Daily sales'!$E409&amp;""),"")</f>
        <v>Makkah</v>
      </c>
      <c r="D424" t="str">
        <f>IFERROR(IF(TRIM('Staff Daily sales'!$F409&amp;"")="","Unassigned",TRIM('Staff Daily sales'!$F409&amp;"")),"Unassigned")</f>
        <v>Maram Zamzami</v>
      </c>
      <c r="E424">
        <f t="shared" si="122"/>
        <v>1</v>
      </c>
      <c r="F424">
        <f>IF($E424=0,0,SUMPRODUCT($AI$5:$DF$5,'Staff Daily sales'!$G409:$CD409))</f>
        <v>75</v>
      </c>
      <c r="G424">
        <f>IF($E424=0,0,SUMPRODUCT($AI$6:$DF$6,'Staff Daily sales'!$G409:$CD409))</f>
        <v>1</v>
      </c>
      <c r="H424">
        <f t="shared" si="123"/>
        <v>1437.02</v>
      </c>
      <c r="I424">
        <f t="shared" si="124"/>
        <v>11</v>
      </c>
      <c r="J424">
        <f t="shared" si="125"/>
        <v>89423.479999999967</v>
      </c>
      <c r="K424">
        <f t="shared" si="126"/>
        <v>413</v>
      </c>
      <c r="L424">
        <f>--AND($E424=1,OR('Staff Dashboard'!$B$6="All",$DH424='Staff Dashboard'!$B$6),OR('Staff Dashboard'!$B$7="All",$D424='Staff Dashboard'!$B$7),OR('Staff Dashboard'!$B$8="All",$A424='Staff Dashboard'!$B$8))</f>
        <v>1</v>
      </c>
      <c r="M424">
        <f>IF($E424=0,0,SUMPRODUCT($AI$7:$DF$7,'Staff Daily sales'!$G409:$CD409))</f>
        <v>3736.0699999999997</v>
      </c>
      <c r="N424">
        <f>IF($E424=0,0,SUMPRODUCT($AI$8:$DF$8,'Staff Daily sales'!$G409:$CD409))</f>
        <v>31</v>
      </c>
      <c r="O424">
        <f>IF($E424=0,0,SUMPRODUCT($AI$9:$DF$9,'Staff Daily sales'!$G409:$CD409))</f>
        <v>6825.1200000000008</v>
      </c>
      <c r="P424">
        <f>IF($E424=0,0,SUMPRODUCT($AI$10:$DF$10,'Staff Daily sales'!$G409:$CD409))</f>
        <v>53</v>
      </c>
      <c r="Q424">
        <f>IF($E424=0,0,SUMPRODUCT($AI$11:$DF$11,'Staff Daily sales'!$G409:$CD409))</f>
        <v>4402.0599999999995</v>
      </c>
      <c r="R424">
        <f>IF($E424=0,0,SUMPRODUCT($AI$12:$DF$12,'Staff Daily sales'!$G409:$CD409))</f>
        <v>33</v>
      </c>
      <c r="S424">
        <f>IF($E424=0,0,SUMPRODUCT($AI$13:$DF$13,'Staff Daily sales'!$G409:$CD409))</f>
        <v>4588</v>
      </c>
      <c r="T424">
        <f>IF($E424=0,0,SUMPRODUCT($AI$14:$DF$14,'Staff Daily sales'!$G409:$CD409))</f>
        <v>39</v>
      </c>
      <c r="U424">
        <f>IF($E424=0,0,SUMPRODUCT($AI$15:$DF$15,'Staff Daily sales'!$G409:$CD409))</f>
        <v>752.04</v>
      </c>
      <c r="V424">
        <f>IF($E424=0,0,SUMPRODUCT($AI$16:$DF$16,'Staff Daily sales'!$G409:$CD409))</f>
        <v>6</v>
      </c>
      <c r="W424">
        <f t="shared" si="127"/>
        <v>9768.16</v>
      </c>
      <c r="X424">
        <f t="shared" si="128"/>
        <v>18637.300000000003</v>
      </c>
      <c r="Y424">
        <f t="shared" si="129"/>
        <v>12470.16</v>
      </c>
      <c r="Z424">
        <f t="shared" si="130"/>
        <v>9213.0400000000009</v>
      </c>
      <c r="AA424">
        <f t="shared" si="131"/>
        <v>1342.02</v>
      </c>
      <c r="AB424">
        <f>--AND($E424=1,OR('Staff Weekly Trend'!$B$3="All",$DH424='Staff Weekly Trend'!$B$3),OR('Staff Weekly Trend'!$B$4="All",$D424='Staff Weekly Trend'!$B$4),OR('Staff Weekly Trend'!$B$5="All",$A424='Staff Weekly Trend'!$B$5))</f>
        <v>1</v>
      </c>
      <c r="AC424">
        <f t="shared" si="132"/>
        <v>3</v>
      </c>
      <c r="AI424">
        <f t="shared" si="133"/>
        <v>93</v>
      </c>
      <c r="AJ424">
        <f t="shared" si="134"/>
        <v>149</v>
      </c>
      <c r="AK424">
        <f t="shared" si="135"/>
        <v>104</v>
      </c>
      <c r="AL424">
        <f t="shared" si="136"/>
        <v>77</v>
      </c>
      <c r="AM424">
        <f t="shared" si="137"/>
        <v>9</v>
      </c>
      <c r="DH424" t="str" cm="1">
        <f t="array" ref="DH424">IF($A424="","",_xlfn.LET(_xlpm.c,IFERROR(_xlfn.XLOOKUP($A424,TRIM('Sales and count'!$A$4:$A$300&amp;""),TRIM('Sales and count'!$B$4:$B$300&amp;"")),""),IF(OR(_xlpm.c="",_xlpm.c="0",LEFT(_xlpm.c,1)="#"),"Not set",_xlpm.c)))</f>
        <v>KSA</v>
      </c>
    </row>
    <row r="425" spans="1:112" x14ac:dyDescent="0.25">
      <c r="A425" t="str">
        <f>IF('Staff Daily sales'!$B410="","",TRIM('Staff Daily sales'!$B410&amp;""))</f>
        <v>HADARALEMN</v>
      </c>
      <c r="B425" t="str">
        <f>IF('Staff Daily sales'!$D410="","",TRIM('Staff Daily sales'!$D410&amp;""))</f>
        <v>4855-MAlAhmadi</v>
      </c>
      <c r="C425" t="str">
        <f>IFERROR(TRIM('Staff Daily sales'!$E410&amp;""),"")</f>
        <v>Madinah</v>
      </c>
      <c r="D425" t="str">
        <f>IFERROR(IF(TRIM('Staff Daily sales'!$F410&amp;"")="","Unassigned",TRIM('Staff Daily sales'!$F410&amp;"")),"Unassigned")</f>
        <v>Mohammed Haidar</v>
      </c>
      <c r="E425">
        <f t="shared" si="122"/>
        <v>1</v>
      </c>
      <c r="F425">
        <f>IF($E425=0,0,SUMPRODUCT($AI$5:$DF$5,'Staff Daily sales'!$G410:$CD410))</f>
        <v>0</v>
      </c>
      <c r="G425">
        <f>IF($E425=0,0,SUMPRODUCT($AI$6:$DF$6,'Staff Daily sales'!$G410:$CD410))</f>
        <v>0</v>
      </c>
      <c r="H425">
        <f t="shared" si="123"/>
        <v>12792.14</v>
      </c>
      <c r="I425">
        <f t="shared" si="124"/>
        <v>56</v>
      </c>
      <c r="J425">
        <f t="shared" si="125"/>
        <v>55209.230000000018</v>
      </c>
      <c r="K425">
        <f t="shared" si="126"/>
        <v>272</v>
      </c>
      <c r="L425">
        <f>--AND($E425=1,OR('Staff Dashboard'!$B$6="All",$DH425='Staff Dashboard'!$B$6),OR('Staff Dashboard'!$B$7="All",$D425='Staff Dashboard'!$B$7),OR('Staff Dashboard'!$B$8="All",$A425='Staff Dashboard'!$B$8))</f>
        <v>0</v>
      </c>
      <c r="M425">
        <f>IF($E425=0,0,SUMPRODUCT($AI$7:$DF$7,'Staff Daily sales'!$G410:$CD410))</f>
        <v>3734.09</v>
      </c>
      <c r="N425">
        <f>IF($E425=0,0,SUMPRODUCT($AI$8:$DF$8,'Staff Daily sales'!$G410:$CD410))</f>
        <v>23</v>
      </c>
      <c r="O425">
        <f>IF($E425=0,0,SUMPRODUCT($AI$9:$DF$9,'Staff Daily sales'!$G410:$CD410))</f>
        <v>2983.04</v>
      </c>
      <c r="P425">
        <f>IF($E425=0,0,SUMPRODUCT($AI$10:$DF$10,'Staff Daily sales'!$G410:$CD410))</f>
        <v>15</v>
      </c>
      <c r="Q425">
        <f>IF($E425=0,0,SUMPRODUCT($AI$11:$DF$11,'Staff Daily sales'!$G410:$CD410))</f>
        <v>7336.03</v>
      </c>
      <c r="R425">
        <f>IF($E425=0,0,SUMPRODUCT($AI$12:$DF$12,'Staff Daily sales'!$G410:$CD410))</f>
        <v>44</v>
      </c>
      <c r="S425">
        <f>IF($E425=0,0,SUMPRODUCT($AI$13:$DF$13,'Staff Daily sales'!$G410:$CD410))</f>
        <v>4818.95</v>
      </c>
      <c r="T425">
        <f>IF($E425=0,0,SUMPRODUCT($AI$14:$DF$14,'Staff Daily sales'!$G410:$CD410))</f>
        <v>23</v>
      </c>
      <c r="U425">
        <f>IF($E425=0,0,SUMPRODUCT($AI$15:$DF$15,'Staff Daily sales'!$G410:$CD410))</f>
        <v>500.98</v>
      </c>
      <c r="V425">
        <f>IF($E425=0,0,SUMPRODUCT($AI$16:$DF$16,'Staff Daily sales'!$G410:$CD410))</f>
        <v>2</v>
      </c>
      <c r="W425">
        <f t="shared" si="127"/>
        <v>28603.83</v>
      </c>
      <c r="X425">
        <f t="shared" si="128"/>
        <v>63583.53</v>
      </c>
      <c r="Y425">
        <f t="shared" si="129"/>
        <v>67535.38</v>
      </c>
      <c r="Z425">
        <f t="shared" si="130"/>
        <v>73568.650000000009</v>
      </c>
      <c r="AA425">
        <f t="shared" si="131"/>
        <v>19001.169999999998</v>
      </c>
      <c r="AB425">
        <f>--AND($E425=1,OR('Staff Weekly Trend'!$B$3="All",$DH425='Staff Weekly Trend'!$B$3),OR('Staff Weekly Trend'!$B$4="All",$D425='Staff Weekly Trend'!$B$4),OR('Staff Weekly Trend'!$B$5="All",$A425='Staff Weekly Trend'!$B$5))</f>
        <v>1</v>
      </c>
      <c r="AC425" t="str">
        <f t="shared" si="132"/>
        <v/>
      </c>
      <c r="AI425">
        <f t="shared" si="133"/>
        <v>160</v>
      </c>
      <c r="AJ425">
        <f t="shared" si="134"/>
        <v>301</v>
      </c>
      <c r="AK425">
        <f t="shared" si="135"/>
        <v>313</v>
      </c>
      <c r="AL425">
        <f t="shared" si="136"/>
        <v>326</v>
      </c>
      <c r="AM425">
        <f t="shared" si="137"/>
        <v>84</v>
      </c>
      <c r="DH425" t="str" cm="1">
        <f t="array" ref="DH425">IF($A425="","",_xlfn.LET(_xlpm.c,IFERROR(_xlfn.XLOOKUP($A425,TRIM('Sales and count'!$A$4:$A$300&amp;""),TRIM('Sales and count'!$B$4:$B$300&amp;"")),""),IF(OR(_xlpm.c="",_xlpm.c="0",LEFT(_xlpm.c,1)="#"),"Not set",_xlpm.c)))</f>
        <v>KSA</v>
      </c>
    </row>
    <row r="426" spans="1:112" x14ac:dyDescent="0.25">
      <c r="A426" t="str">
        <f>IF('Staff Daily sales'!$B411="","",TRIM('Staff Daily sales'!$B411&amp;""))</f>
        <v>HADARALEMN</v>
      </c>
      <c r="B426" t="str">
        <f>IF('Staff Daily sales'!$D411="","",TRIM('Staff Daily sales'!$D411&amp;""))</f>
        <v>4860-AAlShadadi</v>
      </c>
      <c r="C426" t="str">
        <f>IFERROR(TRIM('Staff Daily sales'!$E411&amp;""),"")</f>
        <v>Madinah</v>
      </c>
      <c r="D426" t="str">
        <f>IFERROR(IF(TRIM('Staff Daily sales'!$F411&amp;"")="","Unassigned",TRIM('Staff Daily sales'!$F411&amp;"")),"Unassigned")</f>
        <v>Mohammed Haidar</v>
      </c>
      <c r="E426">
        <f t="shared" si="122"/>
        <v>1</v>
      </c>
      <c r="F426">
        <f>IF($E426=0,0,SUMPRODUCT($AI$5:$DF$5,'Staff Daily sales'!$G411:$CD411))</f>
        <v>1293.97</v>
      </c>
      <c r="G426">
        <f>IF($E426=0,0,SUMPRODUCT($AI$6:$DF$6,'Staff Daily sales'!$G411:$CD411))</f>
        <v>10</v>
      </c>
      <c r="H426">
        <f t="shared" si="123"/>
        <v>12792.14</v>
      </c>
      <c r="I426">
        <f t="shared" si="124"/>
        <v>56</v>
      </c>
      <c r="J426">
        <f t="shared" si="125"/>
        <v>55209.230000000018</v>
      </c>
      <c r="K426">
        <f t="shared" si="126"/>
        <v>272</v>
      </c>
      <c r="L426">
        <f>--AND($E426=1,OR('Staff Dashboard'!$B$6="All",$DH426='Staff Dashboard'!$B$6),OR('Staff Dashboard'!$B$7="All",$D426='Staff Dashboard'!$B$7),OR('Staff Dashboard'!$B$8="All",$A426='Staff Dashboard'!$B$8))</f>
        <v>0</v>
      </c>
      <c r="M426">
        <f>IF($E426=0,0,SUMPRODUCT($AI$7:$DF$7,'Staff Daily sales'!$G411:$CD411))</f>
        <v>1365.05</v>
      </c>
      <c r="N426">
        <f>IF($E426=0,0,SUMPRODUCT($AI$8:$DF$8,'Staff Daily sales'!$G411:$CD411))</f>
        <v>7</v>
      </c>
      <c r="O426">
        <f>IF($E426=0,0,SUMPRODUCT($AI$9:$DF$9,'Staff Daily sales'!$G411:$CD411))</f>
        <v>315</v>
      </c>
      <c r="P426">
        <f>IF($E426=0,0,SUMPRODUCT($AI$10:$DF$10,'Staff Daily sales'!$G411:$CD411))</f>
        <v>5</v>
      </c>
      <c r="Q426">
        <f>IF($E426=0,0,SUMPRODUCT($AI$11:$DF$11,'Staff Daily sales'!$G411:$CD411))</f>
        <v>2775</v>
      </c>
      <c r="R426">
        <f>IF($E426=0,0,SUMPRODUCT($AI$12:$DF$12,'Staff Daily sales'!$G411:$CD411))</f>
        <v>30</v>
      </c>
      <c r="S426">
        <f>IF($E426=0,0,SUMPRODUCT($AI$13:$DF$13,'Staff Daily sales'!$G411:$CD411))</f>
        <v>5866.8</v>
      </c>
      <c r="T426">
        <f>IF($E426=0,0,SUMPRODUCT($AI$14:$DF$14,'Staff Daily sales'!$G411:$CD411))</f>
        <v>45</v>
      </c>
      <c r="U426">
        <f>IF($E426=0,0,SUMPRODUCT($AI$15:$DF$15,'Staff Daily sales'!$G411:$CD411))</f>
        <v>3232.14</v>
      </c>
      <c r="V426">
        <f>IF($E426=0,0,SUMPRODUCT($AI$16:$DF$16,'Staff Daily sales'!$G411:$CD411))</f>
        <v>16</v>
      </c>
      <c r="W426">
        <f t="shared" si="127"/>
        <v>28603.83</v>
      </c>
      <c r="X426">
        <f t="shared" si="128"/>
        <v>63583.53</v>
      </c>
      <c r="Y426">
        <f t="shared" si="129"/>
        <v>67535.38</v>
      </c>
      <c r="Z426">
        <f t="shared" si="130"/>
        <v>73568.650000000009</v>
      </c>
      <c r="AA426">
        <f t="shared" si="131"/>
        <v>19001.169999999998</v>
      </c>
      <c r="AB426">
        <f>--AND($E426=1,OR('Staff Weekly Trend'!$B$3="All",$DH426='Staff Weekly Trend'!$B$3),OR('Staff Weekly Trend'!$B$4="All",$D426='Staff Weekly Trend'!$B$4),OR('Staff Weekly Trend'!$B$5="All",$A426='Staff Weekly Trend'!$B$5))</f>
        <v>1</v>
      </c>
      <c r="AC426">
        <f t="shared" si="132"/>
        <v>4</v>
      </c>
      <c r="AI426">
        <f t="shared" si="133"/>
        <v>160</v>
      </c>
      <c r="AJ426">
        <f t="shared" si="134"/>
        <v>301</v>
      </c>
      <c r="AK426">
        <f t="shared" si="135"/>
        <v>313</v>
      </c>
      <c r="AL426">
        <f t="shared" si="136"/>
        <v>326</v>
      </c>
      <c r="AM426">
        <f t="shared" si="137"/>
        <v>84</v>
      </c>
      <c r="DH426" t="str" cm="1">
        <f t="array" ref="DH426">IF($A426="","",_xlfn.LET(_xlpm.c,IFERROR(_xlfn.XLOOKUP($A426,TRIM('Sales and count'!$A$4:$A$300&amp;""),TRIM('Sales and count'!$B$4:$B$300&amp;"")),""),IF(OR(_xlpm.c="",_xlpm.c="0",LEFT(_xlpm.c,1)="#"),"Not set",_xlpm.c)))</f>
        <v>KSA</v>
      </c>
    </row>
    <row r="427" spans="1:112" x14ac:dyDescent="0.25">
      <c r="A427" t="str">
        <f>IF('Staff Daily sales'!$B412="","",TRIM('Staff Daily sales'!$B412&amp;""))</f>
        <v>HADARALEMN</v>
      </c>
      <c r="B427" t="str">
        <f>IF('Staff Daily sales'!$D412="","",TRIM('Staff Daily sales'!$D412&amp;""))</f>
        <v>5270-EAlAzmi</v>
      </c>
      <c r="C427" t="str">
        <f>IFERROR(TRIM('Staff Daily sales'!$E412&amp;""),"")</f>
        <v>Madinah</v>
      </c>
      <c r="D427" t="str">
        <f>IFERROR(IF(TRIM('Staff Daily sales'!$F412&amp;"")="","Unassigned",TRIM('Staff Daily sales'!$F412&amp;"")),"Unassigned")</f>
        <v>Mohammed Haidar</v>
      </c>
      <c r="E427">
        <f t="shared" si="122"/>
        <v>1</v>
      </c>
      <c r="F427">
        <f>IF($E427=0,0,SUMPRODUCT($AI$5:$DF$5,'Staff Daily sales'!$G412:$CD412))</f>
        <v>0</v>
      </c>
      <c r="G427">
        <f>IF($E427=0,0,SUMPRODUCT($AI$6:$DF$6,'Staff Daily sales'!$G412:$CD412))</f>
        <v>0</v>
      </c>
      <c r="H427">
        <f t="shared" si="123"/>
        <v>12792.14</v>
      </c>
      <c r="I427">
        <f t="shared" si="124"/>
        <v>56</v>
      </c>
      <c r="J427">
        <f t="shared" si="125"/>
        <v>55209.230000000018</v>
      </c>
      <c r="K427">
        <f t="shared" si="126"/>
        <v>272</v>
      </c>
      <c r="L427">
        <f>--AND($E427=1,OR('Staff Dashboard'!$B$6="All",$DH427='Staff Dashboard'!$B$6),OR('Staff Dashboard'!$B$7="All",$D427='Staff Dashboard'!$B$7),OR('Staff Dashboard'!$B$8="All",$A427='Staff Dashboard'!$B$8))</f>
        <v>0</v>
      </c>
      <c r="M427">
        <f>IF($E427=0,0,SUMPRODUCT($AI$7:$DF$7,'Staff Daily sales'!$G412:$CD412))</f>
        <v>1983.09</v>
      </c>
      <c r="N427">
        <f>IF($E427=0,0,SUMPRODUCT($AI$8:$DF$8,'Staff Daily sales'!$G412:$CD412))</f>
        <v>10</v>
      </c>
      <c r="O427">
        <f>IF($E427=0,0,SUMPRODUCT($AI$9:$DF$9,'Staff Daily sales'!$G412:$CD412))</f>
        <v>5715.06</v>
      </c>
      <c r="P427">
        <f>IF($E427=0,0,SUMPRODUCT($AI$10:$DF$10,'Staff Daily sales'!$G412:$CD412))</f>
        <v>33</v>
      </c>
      <c r="Q427">
        <f>IF($E427=0,0,SUMPRODUCT($AI$11:$DF$11,'Staff Daily sales'!$G412:$CD412))</f>
        <v>4955.0599999999995</v>
      </c>
      <c r="R427">
        <f>IF($E427=0,0,SUMPRODUCT($AI$12:$DF$12,'Staff Daily sales'!$G412:$CD412))</f>
        <v>23</v>
      </c>
      <c r="S427">
        <f>IF($E427=0,0,SUMPRODUCT($AI$13:$DF$13,'Staff Daily sales'!$G412:$CD412))</f>
        <v>11196.6</v>
      </c>
      <c r="T427">
        <f>IF($E427=0,0,SUMPRODUCT($AI$14:$DF$14,'Staff Daily sales'!$G412:$CD412))</f>
        <v>55</v>
      </c>
      <c r="U427">
        <f>IF($E427=0,0,SUMPRODUCT($AI$15:$DF$15,'Staff Daily sales'!$G412:$CD412))</f>
        <v>1318.05</v>
      </c>
      <c r="V427">
        <f>IF($E427=0,0,SUMPRODUCT($AI$16:$DF$16,'Staff Daily sales'!$G412:$CD412))</f>
        <v>5</v>
      </c>
      <c r="W427">
        <f t="shared" si="127"/>
        <v>28603.83</v>
      </c>
      <c r="X427">
        <f t="shared" si="128"/>
        <v>63583.53</v>
      </c>
      <c r="Y427">
        <f t="shared" si="129"/>
        <v>67535.38</v>
      </c>
      <c r="Z427">
        <f t="shared" si="130"/>
        <v>73568.650000000009</v>
      </c>
      <c r="AA427">
        <f t="shared" si="131"/>
        <v>19001.169999999998</v>
      </c>
      <c r="AB427">
        <f>--AND($E427=1,OR('Staff Weekly Trend'!$B$3="All",$DH427='Staff Weekly Trend'!$B$3),OR('Staff Weekly Trend'!$B$4="All",$D427='Staff Weekly Trend'!$B$4),OR('Staff Weekly Trend'!$B$5="All",$A427='Staff Weekly Trend'!$B$5))</f>
        <v>1</v>
      </c>
      <c r="AC427" t="str">
        <f t="shared" si="132"/>
        <v/>
      </c>
      <c r="AI427">
        <f t="shared" si="133"/>
        <v>160</v>
      </c>
      <c r="AJ427">
        <f t="shared" si="134"/>
        <v>301</v>
      </c>
      <c r="AK427">
        <f t="shared" si="135"/>
        <v>313</v>
      </c>
      <c r="AL427">
        <f t="shared" si="136"/>
        <v>326</v>
      </c>
      <c r="AM427">
        <f t="shared" si="137"/>
        <v>84</v>
      </c>
      <c r="DH427" t="str" cm="1">
        <f t="array" ref="DH427">IF($A427="","",_xlfn.LET(_xlpm.c,IFERROR(_xlfn.XLOOKUP($A427,TRIM('Sales and count'!$A$4:$A$300&amp;""),TRIM('Sales and count'!$B$4:$B$300&amp;"")),""),IF(OR(_xlpm.c="",_xlpm.c="0",LEFT(_xlpm.c,1)="#"),"Not set",_xlpm.c)))</f>
        <v>KSA</v>
      </c>
    </row>
    <row r="428" spans="1:112" x14ac:dyDescent="0.25">
      <c r="A428" t="str">
        <f>IF('Staff Daily sales'!$B413="","",TRIM('Staff Daily sales'!$B413&amp;""))</f>
        <v>HADARALEMN</v>
      </c>
      <c r="B428" t="str">
        <f>IF('Staff Daily sales'!$D413="","",TRIM('Staff Daily sales'!$D413&amp;""))</f>
        <v>5645-YMakki</v>
      </c>
      <c r="C428" t="str">
        <f>IFERROR(TRIM('Staff Daily sales'!$E413&amp;""),"")</f>
        <v>Madinah</v>
      </c>
      <c r="D428" t="str">
        <f>IFERROR(IF(TRIM('Staff Daily sales'!$F413&amp;"")="","Unassigned",TRIM('Staff Daily sales'!$F413&amp;"")),"Unassigned")</f>
        <v>Mohammed Haidar</v>
      </c>
      <c r="E428">
        <f t="shared" si="122"/>
        <v>1</v>
      </c>
      <c r="F428">
        <f>IF($E428=0,0,SUMPRODUCT($AI$5:$DF$5,'Staff Daily sales'!$G413:$CD413))</f>
        <v>2054.9</v>
      </c>
      <c r="G428">
        <f>IF($E428=0,0,SUMPRODUCT($AI$6:$DF$6,'Staff Daily sales'!$G413:$CD413))</f>
        <v>4</v>
      </c>
      <c r="H428">
        <f t="shared" si="123"/>
        <v>12792.14</v>
      </c>
      <c r="I428">
        <f t="shared" si="124"/>
        <v>56</v>
      </c>
      <c r="J428">
        <f t="shared" si="125"/>
        <v>55209.230000000018</v>
      </c>
      <c r="K428">
        <f t="shared" si="126"/>
        <v>272</v>
      </c>
      <c r="L428">
        <f>--AND($E428=1,OR('Staff Dashboard'!$B$6="All",$DH428='Staff Dashboard'!$B$6),OR('Staff Dashboard'!$B$7="All",$D428='Staff Dashboard'!$B$7),OR('Staff Dashboard'!$B$8="All",$A428='Staff Dashboard'!$B$8))</f>
        <v>0</v>
      </c>
      <c r="M428">
        <f>IF($E428=0,0,SUMPRODUCT($AI$7:$DF$7,'Staff Daily sales'!$G413:$CD413))</f>
        <v>4849.13</v>
      </c>
      <c r="N428">
        <f>IF($E428=0,0,SUMPRODUCT($AI$8:$DF$8,'Staff Daily sales'!$G413:$CD413))</f>
        <v>29</v>
      </c>
      <c r="O428">
        <f>IF($E428=0,0,SUMPRODUCT($AI$9:$DF$9,'Staff Daily sales'!$G413:$CD413))</f>
        <v>13266.03</v>
      </c>
      <c r="P428">
        <f>IF($E428=0,0,SUMPRODUCT($AI$10:$DF$10,'Staff Daily sales'!$G413:$CD413))</f>
        <v>45</v>
      </c>
      <c r="Q428">
        <f>IF($E428=0,0,SUMPRODUCT($AI$11:$DF$11,'Staff Daily sales'!$G413:$CD413))</f>
        <v>9784.08</v>
      </c>
      <c r="R428">
        <f>IF($E428=0,0,SUMPRODUCT($AI$12:$DF$12,'Staff Daily sales'!$G413:$CD413))</f>
        <v>37</v>
      </c>
      <c r="S428">
        <f>IF($E428=0,0,SUMPRODUCT($AI$13:$DF$13,'Staff Daily sales'!$G413:$CD413))</f>
        <v>10933.770000000002</v>
      </c>
      <c r="T428">
        <f>IF($E428=0,0,SUMPRODUCT($AI$14:$DF$14,'Staff Daily sales'!$G413:$CD413))</f>
        <v>33</v>
      </c>
      <c r="U428">
        <f>IF($E428=0,0,SUMPRODUCT($AI$15:$DF$15,'Staff Daily sales'!$G413:$CD413))</f>
        <v>917.04</v>
      </c>
      <c r="V428">
        <f>IF($E428=0,0,SUMPRODUCT($AI$16:$DF$16,'Staff Daily sales'!$G413:$CD413))</f>
        <v>3</v>
      </c>
      <c r="W428">
        <f t="shared" si="127"/>
        <v>28603.83</v>
      </c>
      <c r="X428">
        <f t="shared" si="128"/>
        <v>63583.53</v>
      </c>
      <c r="Y428">
        <f t="shared" si="129"/>
        <v>67535.38</v>
      </c>
      <c r="Z428">
        <f t="shared" si="130"/>
        <v>73568.650000000009</v>
      </c>
      <c r="AA428">
        <f t="shared" si="131"/>
        <v>19001.169999999998</v>
      </c>
      <c r="AB428">
        <f>--AND($E428=1,OR('Staff Weekly Trend'!$B$3="All",$DH428='Staff Weekly Trend'!$B$3),OR('Staff Weekly Trend'!$B$4="All",$D428='Staff Weekly Trend'!$B$4),OR('Staff Weekly Trend'!$B$5="All",$A428='Staff Weekly Trend'!$B$5))</f>
        <v>1</v>
      </c>
      <c r="AC428">
        <f t="shared" si="132"/>
        <v>3</v>
      </c>
      <c r="AI428">
        <f t="shared" si="133"/>
        <v>160</v>
      </c>
      <c r="AJ428">
        <f t="shared" si="134"/>
        <v>301</v>
      </c>
      <c r="AK428">
        <f t="shared" si="135"/>
        <v>313</v>
      </c>
      <c r="AL428">
        <f t="shared" si="136"/>
        <v>326</v>
      </c>
      <c r="AM428">
        <f t="shared" si="137"/>
        <v>84</v>
      </c>
      <c r="DH428" t="str" cm="1">
        <f t="array" ref="DH428">IF($A428="","",_xlfn.LET(_xlpm.c,IFERROR(_xlfn.XLOOKUP($A428,TRIM('Sales and count'!$A$4:$A$300&amp;""),TRIM('Sales and count'!$B$4:$B$300&amp;"")),""),IF(OR(_xlpm.c="",_xlpm.c="0",LEFT(_xlpm.c,1)="#"),"Not set",_xlpm.c)))</f>
        <v>KSA</v>
      </c>
    </row>
    <row r="429" spans="1:112" x14ac:dyDescent="0.25">
      <c r="A429" t="str">
        <f>IF('Staff Daily sales'!$B414="","",TRIM('Staff Daily sales'!$B414&amp;""))</f>
        <v>HADARALEMN</v>
      </c>
      <c r="B429" t="str">
        <f>IF('Staff Daily sales'!$D414="","",TRIM('Staff Daily sales'!$D414&amp;""))</f>
        <v>6026-MSadiq</v>
      </c>
      <c r="C429" t="str">
        <f>IFERROR(TRIM('Staff Daily sales'!$E414&amp;""),"")</f>
        <v>Madinah</v>
      </c>
      <c r="D429" t="str">
        <f>IFERROR(IF(TRIM('Staff Daily sales'!$F414&amp;"")="","Unassigned",TRIM('Staff Daily sales'!$F414&amp;"")),"Unassigned")</f>
        <v>Mohammed Haidar</v>
      </c>
      <c r="E429">
        <f t="shared" si="122"/>
        <v>1</v>
      </c>
      <c r="F429">
        <f>IF($E429=0,0,SUMPRODUCT($AI$5:$DF$5,'Staff Daily sales'!$G414:$CD414))</f>
        <v>1133.9100000000001</v>
      </c>
      <c r="G429">
        <f>IF($E429=0,0,SUMPRODUCT($AI$6:$DF$6,'Staff Daily sales'!$G414:$CD414))</f>
        <v>5</v>
      </c>
      <c r="H429">
        <f t="shared" si="123"/>
        <v>12792.14</v>
      </c>
      <c r="I429">
        <f t="shared" si="124"/>
        <v>56</v>
      </c>
      <c r="J429">
        <f t="shared" si="125"/>
        <v>55209.230000000018</v>
      </c>
      <c r="K429">
        <f t="shared" si="126"/>
        <v>272</v>
      </c>
      <c r="L429">
        <f>--AND($E429=1,OR('Staff Dashboard'!$B$6="All",$DH429='Staff Dashboard'!$B$6),OR('Staff Dashboard'!$B$7="All",$D429='Staff Dashboard'!$B$7),OR('Staff Dashboard'!$B$8="All",$A429='Staff Dashboard'!$B$8))</f>
        <v>0</v>
      </c>
      <c r="M429">
        <f>IF($E429=0,0,SUMPRODUCT($AI$7:$DF$7,'Staff Daily sales'!$G414:$CD414))</f>
        <v>3264.09</v>
      </c>
      <c r="N429">
        <f>IF($E429=0,0,SUMPRODUCT($AI$8:$DF$8,'Staff Daily sales'!$G414:$CD414))</f>
        <v>19</v>
      </c>
      <c r="O429">
        <f>IF($E429=0,0,SUMPRODUCT($AI$9:$DF$9,'Staff Daily sales'!$G414:$CD414))</f>
        <v>11796.08</v>
      </c>
      <c r="P429">
        <f>IF($E429=0,0,SUMPRODUCT($AI$10:$DF$10,'Staff Daily sales'!$G414:$CD414))</f>
        <v>54</v>
      </c>
      <c r="Q429">
        <f>IF($E429=0,0,SUMPRODUCT($AI$11:$DF$11,'Staff Daily sales'!$G414:$CD414))</f>
        <v>11368.04</v>
      </c>
      <c r="R429">
        <f>IF($E429=0,0,SUMPRODUCT($AI$12:$DF$12,'Staff Daily sales'!$G414:$CD414))</f>
        <v>49</v>
      </c>
      <c r="S429">
        <f>IF($E429=0,0,SUMPRODUCT($AI$13:$DF$13,'Staff Daily sales'!$G414:$CD414))</f>
        <v>5708.8</v>
      </c>
      <c r="T429">
        <f>IF($E429=0,0,SUMPRODUCT($AI$14:$DF$14,'Staff Daily sales'!$G414:$CD414))</f>
        <v>29</v>
      </c>
      <c r="U429">
        <f>IF($E429=0,0,SUMPRODUCT($AI$15:$DF$15,'Staff Daily sales'!$G414:$CD414))</f>
        <v>3193.79</v>
      </c>
      <c r="V429">
        <f>IF($E429=0,0,SUMPRODUCT($AI$16:$DF$16,'Staff Daily sales'!$G414:$CD414))</f>
        <v>14</v>
      </c>
      <c r="W429">
        <f t="shared" si="127"/>
        <v>28603.83</v>
      </c>
      <c r="X429">
        <f t="shared" si="128"/>
        <v>63583.53</v>
      </c>
      <c r="Y429">
        <f t="shared" si="129"/>
        <v>67535.38</v>
      </c>
      <c r="Z429">
        <f t="shared" si="130"/>
        <v>73568.650000000009</v>
      </c>
      <c r="AA429">
        <f t="shared" si="131"/>
        <v>19001.169999999998</v>
      </c>
      <c r="AB429">
        <f>--AND($E429=1,OR('Staff Weekly Trend'!$B$3="All",$DH429='Staff Weekly Trend'!$B$3),OR('Staff Weekly Trend'!$B$4="All",$D429='Staff Weekly Trend'!$B$4),OR('Staff Weekly Trend'!$B$5="All",$A429='Staff Weekly Trend'!$B$5))</f>
        <v>1</v>
      </c>
      <c r="AC429">
        <f t="shared" si="132"/>
        <v>5</v>
      </c>
      <c r="AI429">
        <f t="shared" si="133"/>
        <v>160</v>
      </c>
      <c r="AJ429">
        <f t="shared" si="134"/>
        <v>301</v>
      </c>
      <c r="AK429">
        <f t="shared" si="135"/>
        <v>313</v>
      </c>
      <c r="AL429">
        <f t="shared" si="136"/>
        <v>326</v>
      </c>
      <c r="AM429">
        <f t="shared" si="137"/>
        <v>84</v>
      </c>
      <c r="DH429" t="str" cm="1">
        <f t="array" ref="DH429">IF($A429="","",_xlfn.LET(_xlpm.c,IFERROR(_xlfn.XLOOKUP($A429,TRIM('Sales and count'!$A$4:$A$300&amp;""),TRIM('Sales and count'!$B$4:$B$300&amp;"")),""),IF(OR(_xlpm.c="",_xlpm.c="0",LEFT(_xlpm.c,1)="#"),"Not set",_xlpm.c)))</f>
        <v>KSA</v>
      </c>
    </row>
    <row r="430" spans="1:112" x14ac:dyDescent="0.25">
      <c r="A430" t="str">
        <f>IF('Staff Daily sales'!$B415="","",TRIM('Staff Daily sales'!$B415&amp;""))</f>
        <v>HADARALEMN</v>
      </c>
      <c r="B430" t="str">
        <f>IF('Staff Daily sales'!$D415="","",TRIM('Staff Daily sales'!$D415&amp;""))</f>
        <v>6065-BMohammed</v>
      </c>
      <c r="C430" t="str">
        <f>IFERROR(TRIM('Staff Daily sales'!$E415&amp;""),"")</f>
        <v>Madinah</v>
      </c>
      <c r="D430" t="str">
        <f>IFERROR(IF(TRIM('Staff Daily sales'!$F415&amp;"")="","Unassigned",TRIM('Staff Daily sales'!$F415&amp;"")),"Unassigned")</f>
        <v>Mohammed Haidar</v>
      </c>
      <c r="E430">
        <f t="shared" si="122"/>
        <v>1</v>
      </c>
      <c r="F430">
        <f>IF($E430=0,0,SUMPRODUCT($AI$5:$DF$5,'Staff Daily sales'!$G415:$CD415))</f>
        <v>0</v>
      </c>
      <c r="G430">
        <f>IF($E430=0,0,SUMPRODUCT($AI$6:$DF$6,'Staff Daily sales'!$G415:$CD415))</f>
        <v>0</v>
      </c>
      <c r="H430">
        <f t="shared" si="123"/>
        <v>12792.14</v>
      </c>
      <c r="I430">
        <f t="shared" si="124"/>
        <v>56</v>
      </c>
      <c r="J430">
        <f t="shared" si="125"/>
        <v>55209.230000000018</v>
      </c>
      <c r="K430">
        <f t="shared" si="126"/>
        <v>272</v>
      </c>
      <c r="L430">
        <f>--AND($E430=1,OR('Staff Dashboard'!$B$6="All",$DH430='Staff Dashboard'!$B$6),OR('Staff Dashboard'!$B$7="All",$D430='Staff Dashboard'!$B$7),OR('Staff Dashboard'!$B$8="All",$A430='Staff Dashboard'!$B$8))</f>
        <v>0</v>
      </c>
      <c r="M430">
        <f>IF($E430=0,0,SUMPRODUCT($AI$7:$DF$7,'Staff Daily sales'!$G415:$CD415))</f>
        <v>0</v>
      </c>
      <c r="N430">
        <f>IF($E430=0,0,SUMPRODUCT($AI$8:$DF$8,'Staff Daily sales'!$G415:$CD415))</f>
        <v>0</v>
      </c>
      <c r="O430">
        <f>IF($E430=0,0,SUMPRODUCT($AI$9:$DF$9,'Staff Daily sales'!$G415:$CD415))</f>
        <v>5254.02</v>
      </c>
      <c r="P430">
        <f>IF($E430=0,0,SUMPRODUCT($AI$10:$DF$10,'Staff Daily sales'!$G415:$CD415))</f>
        <v>24</v>
      </c>
      <c r="Q430">
        <f>IF($E430=0,0,SUMPRODUCT($AI$11:$DF$11,'Staff Daily sales'!$G415:$CD415))</f>
        <v>8307.0400000000009</v>
      </c>
      <c r="R430">
        <f>IF($E430=0,0,SUMPRODUCT($AI$12:$DF$12,'Staff Daily sales'!$G415:$CD415))</f>
        <v>26</v>
      </c>
      <c r="S430">
        <f>IF($E430=0,0,SUMPRODUCT($AI$13:$DF$13,'Staff Daily sales'!$G415:$CD415))</f>
        <v>0</v>
      </c>
      <c r="T430">
        <f>IF($E430=0,0,SUMPRODUCT($AI$14:$DF$14,'Staff Daily sales'!$G415:$CD415))</f>
        <v>0</v>
      </c>
      <c r="U430">
        <f>IF($E430=0,0,SUMPRODUCT($AI$15:$DF$15,'Staff Daily sales'!$G415:$CD415))</f>
        <v>1341.12</v>
      </c>
      <c r="V430">
        <f>IF($E430=0,0,SUMPRODUCT($AI$16:$DF$16,'Staff Daily sales'!$G415:$CD415))</f>
        <v>6</v>
      </c>
      <c r="W430">
        <f t="shared" si="127"/>
        <v>28603.83</v>
      </c>
      <c r="X430">
        <f t="shared" si="128"/>
        <v>63583.53</v>
      </c>
      <c r="Y430">
        <f t="shared" si="129"/>
        <v>67535.38</v>
      </c>
      <c r="Z430">
        <f t="shared" si="130"/>
        <v>73568.650000000009</v>
      </c>
      <c r="AA430">
        <f t="shared" si="131"/>
        <v>19001.169999999998</v>
      </c>
      <c r="AB430">
        <f>--AND($E430=1,OR('Staff Weekly Trend'!$B$3="All",$DH430='Staff Weekly Trend'!$B$3),OR('Staff Weekly Trend'!$B$4="All",$D430='Staff Weekly Trend'!$B$4),OR('Staff Weekly Trend'!$B$5="All",$A430='Staff Weekly Trend'!$B$5))</f>
        <v>1</v>
      </c>
      <c r="AC430" t="str">
        <f t="shared" si="132"/>
        <v/>
      </c>
      <c r="AI430">
        <f t="shared" si="133"/>
        <v>160</v>
      </c>
      <c r="AJ430">
        <f t="shared" si="134"/>
        <v>301</v>
      </c>
      <c r="AK430">
        <f t="shared" si="135"/>
        <v>313</v>
      </c>
      <c r="AL430">
        <f t="shared" si="136"/>
        <v>326</v>
      </c>
      <c r="AM430">
        <f t="shared" si="137"/>
        <v>84</v>
      </c>
      <c r="DH430" t="str" cm="1">
        <f t="array" ref="DH430">IF($A430="","",_xlfn.LET(_xlpm.c,IFERROR(_xlfn.XLOOKUP($A430,TRIM('Sales and count'!$A$4:$A$300&amp;""),TRIM('Sales and count'!$B$4:$B$300&amp;"")),""),IF(OR(_xlpm.c="",_xlpm.c="0",LEFT(_xlpm.c,1)="#"),"Not set",_xlpm.c)))</f>
        <v>KSA</v>
      </c>
    </row>
    <row r="431" spans="1:112" x14ac:dyDescent="0.25">
      <c r="A431" t="str">
        <f>IF('Staff Daily sales'!$B416="","",TRIM('Staff Daily sales'!$B416&amp;""))</f>
        <v>HADARALEMN</v>
      </c>
      <c r="B431" t="str">
        <f>IF('Staff Daily sales'!$D416="","",TRIM('Staff Daily sales'!$D416&amp;""))</f>
        <v>6070-RALSHARIF</v>
      </c>
      <c r="C431" t="str">
        <f>IFERROR(TRIM('Staff Daily sales'!$E416&amp;""),"")</f>
        <v>Madinah</v>
      </c>
      <c r="D431" t="str">
        <f>IFERROR(IF(TRIM('Staff Daily sales'!$F416&amp;"")="","Unassigned",TRIM('Staff Daily sales'!$F416&amp;"")),"Unassigned")</f>
        <v>Mohammed Haidar</v>
      </c>
      <c r="E431">
        <f t="shared" si="122"/>
        <v>1</v>
      </c>
      <c r="F431">
        <f>IF($E431=0,0,SUMPRODUCT($AI$5:$DF$5,'Staff Daily sales'!$G416:$CD416))</f>
        <v>2742.82</v>
      </c>
      <c r="G431">
        <f>IF($E431=0,0,SUMPRODUCT($AI$6:$DF$6,'Staff Daily sales'!$G416:$CD416))</f>
        <v>12</v>
      </c>
      <c r="H431">
        <f t="shared" si="123"/>
        <v>12792.14</v>
      </c>
      <c r="I431">
        <f t="shared" si="124"/>
        <v>56</v>
      </c>
      <c r="J431">
        <f t="shared" si="125"/>
        <v>55209.230000000018</v>
      </c>
      <c r="K431">
        <f t="shared" si="126"/>
        <v>272</v>
      </c>
      <c r="L431">
        <f>--AND($E431=1,OR('Staff Dashboard'!$B$6="All",$DH431='Staff Dashboard'!$B$6),OR('Staff Dashboard'!$B$7="All",$D431='Staff Dashboard'!$B$7),OR('Staff Dashboard'!$B$8="All",$A431='Staff Dashboard'!$B$8))</f>
        <v>0</v>
      </c>
      <c r="M431">
        <f>IF($E431=0,0,SUMPRODUCT($AI$7:$DF$7,'Staff Daily sales'!$G416:$CD416))</f>
        <v>2370.0500000000002</v>
      </c>
      <c r="N431">
        <f>IF($E431=0,0,SUMPRODUCT($AI$8:$DF$8,'Staff Daily sales'!$G416:$CD416))</f>
        <v>16</v>
      </c>
      <c r="O431">
        <f>IF($E431=0,0,SUMPRODUCT($AI$9:$DF$9,'Staff Daily sales'!$G416:$CD416))</f>
        <v>7036.05</v>
      </c>
      <c r="P431">
        <f>IF($E431=0,0,SUMPRODUCT($AI$10:$DF$10,'Staff Daily sales'!$G416:$CD416))</f>
        <v>34</v>
      </c>
      <c r="Q431">
        <f>IF($E431=0,0,SUMPRODUCT($AI$11:$DF$11,'Staff Daily sales'!$G416:$CD416))</f>
        <v>5720</v>
      </c>
      <c r="R431">
        <f>IF($E431=0,0,SUMPRODUCT($AI$12:$DF$12,'Staff Daily sales'!$G416:$CD416))</f>
        <v>30</v>
      </c>
      <c r="S431">
        <f>IF($E431=0,0,SUMPRODUCT($AI$13:$DF$13,'Staff Daily sales'!$G416:$CD416))</f>
        <v>12306.61</v>
      </c>
      <c r="T431">
        <f>IF($E431=0,0,SUMPRODUCT($AI$14:$DF$14,'Staff Daily sales'!$G416:$CD416))</f>
        <v>50</v>
      </c>
      <c r="U431">
        <f>IF($E431=0,0,SUMPRODUCT($AI$15:$DF$15,'Staff Daily sales'!$G416:$CD416))</f>
        <v>3663.25</v>
      </c>
      <c r="V431">
        <f>IF($E431=0,0,SUMPRODUCT($AI$16:$DF$16,'Staff Daily sales'!$G416:$CD416))</f>
        <v>14</v>
      </c>
      <c r="W431">
        <f t="shared" si="127"/>
        <v>28603.83</v>
      </c>
      <c r="X431">
        <f t="shared" si="128"/>
        <v>63583.53</v>
      </c>
      <c r="Y431">
        <f t="shared" si="129"/>
        <v>67535.38</v>
      </c>
      <c r="Z431">
        <f t="shared" si="130"/>
        <v>73568.650000000009</v>
      </c>
      <c r="AA431">
        <f t="shared" si="131"/>
        <v>19001.169999999998</v>
      </c>
      <c r="AB431">
        <f>--AND($E431=1,OR('Staff Weekly Trend'!$B$3="All",$DH431='Staff Weekly Trend'!$B$3),OR('Staff Weekly Trend'!$B$4="All",$D431='Staff Weekly Trend'!$B$4),OR('Staff Weekly Trend'!$B$5="All",$A431='Staff Weekly Trend'!$B$5))</f>
        <v>1</v>
      </c>
      <c r="AC431">
        <f t="shared" si="132"/>
        <v>2</v>
      </c>
      <c r="AI431">
        <f t="shared" si="133"/>
        <v>160</v>
      </c>
      <c r="AJ431">
        <f t="shared" si="134"/>
        <v>301</v>
      </c>
      <c r="AK431">
        <f t="shared" si="135"/>
        <v>313</v>
      </c>
      <c r="AL431">
        <f t="shared" si="136"/>
        <v>326</v>
      </c>
      <c r="AM431">
        <f t="shared" si="137"/>
        <v>84</v>
      </c>
      <c r="DH431" t="str" cm="1">
        <f t="array" ref="DH431">IF($A431="","",_xlfn.LET(_xlpm.c,IFERROR(_xlfn.XLOOKUP($A431,TRIM('Sales and count'!$A$4:$A$300&amp;""),TRIM('Sales and count'!$B$4:$B$300&amp;"")),""),IF(OR(_xlpm.c="",_xlpm.c="0",LEFT(_xlpm.c,1)="#"),"Not set",_xlpm.c)))</f>
        <v>KSA</v>
      </c>
    </row>
    <row r="432" spans="1:112" x14ac:dyDescent="0.25">
      <c r="A432" t="str">
        <f>IF('Staff Daily sales'!$B417="","",TRIM('Staff Daily sales'!$B417&amp;""))</f>
        <v>HADARALEMN</v>
      </c>
      <c r="B432" t="str">
        <f>IF('Staff Daily sales'!$D417="","",TRIM('Staff Daily sales'!$D417&amp;""))</f>
        <v>6480-AAlraddadi</v>
      </c>
      <c r="C432" t="str">
        <f>IFERROR(TRIM('Staff Daily sales'!$E417&amp;""),"")</f>
        <v>Madinah</v>
      </c>
      <c r="D432" t="str">
        <f>IFERROR(IF(TRIM('Staff Daily sales'!$F417&amp;"")="","Unassigned",TRIM('Staff Daily sales'!$F417&amp;"")),"Unassigned")</f>
        <v>Mohammed Haidar</v>
      </c>
      <c r="E432">
        <f t="shared" si="122"/>
        <v>1</v>
      </c>
      <c r="F432">
        <f>IF($E432=0,0,SUMPRODUCT($AI$5:$DF$5,'Staff Daily sales'!$G417:$CD417))</f>
        <v>0</v>
      </c>
      <c r="G432">
        <f>IF($E432=0,0,SUMPRODUCT($AI$6:$DF$6,'Staff Daily sales'!$G417:$CD417))</f>
        <v>0</v>
      </c>
      <c r="H432">
        <f t="shared" si="123"/>
        <v>12792.14</v>
      </c>
      <c r="I432">
        <f t="shared" si="124"/>
        <v>56</v>
      </c>
      <c r="J432">
        <f t="shared" si="125"/>
        <v>55209.230000000018</v>
      </c>
      <c r="K432">
        <f t="shared" si="126"/>
        <v>272</v>
      </c>
      <c r="L432">
        <f>--AND($E432=1,OR('Staff Dashboard'!$B$6="All",$DH432='Staff Dashboard'!$B$6),OR('Staff Dashboard'!$B$7="All",$D432='Staff Dashboard'!$B$7),OR('Staff Dashboard'!$B$8="All",$A432='Staff Dashboard'!$B$8))</f>
        <v>0</v>
      </c>
      <c r="M432">
        <f>IF($E432=0,0,SUMPRODUCT($AI$7:$DF$7,'Staff Daily sales'!$G417:$CD417))</f>
        <v>0</v>
      </c>
      <c r="N432">
        <f>IF($E432=0,0,SUMPRODUCT($AI$8:$DF$8,'Staff Daily sales'!$G417:$CD417))</f>
        <v>0</v>
      </c>
      <c r="O432">
        <f>IF($E432=0,0,SUMPRODUCT($AI$9:$DF$9,'Staff Daily sales'!$G417:$CD417))</f>
        <v>0</v>
      </c>
      <c r="P432">
        <f>IF($E432=0,0,SUMPRODUCT($AI$10:$DF$10,'Staff Daily sales'!$G417:$CD417))</f>
        <v>0</v>
      </c>
      <c r="Q432">
        <f>IF($E432=0,0,SUMPRODUCT($AI$11:$DF$11,'Staff Daily sales'!$G417:$CD417))</f>
        <v>150</v>
      </c>
      <c r="R432">
        <f>IF($E432=0,0,SUMPRODUCT($AI$12:$DF$12,'Staff Daily sales'!$G417:$CD417))</f>
        <v>1</v>
      </c>
      <c r="S432">
        <f>IF($E432=0,0,SUMPRODUCT($AI$13:$DF$13,'Staff Daily sales'!$G417:$CD417))</f>
        <v>25</v>
      </c>
      <c r="T432">
        <f>IF($E432=0,0,SUMPRODUCT($AI$14:$DF$14,'Staff Daily sales'!$G417:$CD417))</f>
        <v>1</v>
      </c>
      <c r="U432">
        <f>IF($E432=0,0,SUMPRODUCT($AI$15:$DF$15,'Staff Daily sales'!$G417:$CD417))</f>
        <v>0</v>
      </c>
      <c r="V432">
        <f>IF($E432=0,0,SUMPRODUCT($AI$16:$DF$16,'Staff Daily sales'!$G417:$CD417))</f>
        <v>0</v>
      </c>
      <c r="W432">
        <f t="shared" si="127"/>
        <v>28603.83</v>
      </c>
      <c r="X432">
        <f t="shared" si="128"/>
        <v>63583.53</v>
      </c>
      <c r="Y432">
        <f t="shared" si="129"/>
        <v>67535.38</v>
      </c>
      <c r="Z432">
        <f t="shared" si="130"/>
        <v>73568.650000000009</v>
      </c>
      <c r="AA432">
        <f t="shared" si="131"/>
        <v>19001.169999999998</v>
      </c>
      <c r="AB432">
        <f>--AND($E432=1,OR('Staff Weekly Trend'!$B$3="All",$DH432='Staff Weekly Trend'!$B$3),OR('Staff Weekly Trend'!$B$4="All",$D432='Staff Weekly Trend'!$B$4),OR('Staff Weekly Trend'!$B$5="All",$A432='Staff Weekly Trend'!$B$5))</f>
        <v>1</v>
      </c>
      <c r="AC432" t="str">
        <f t="shared" si="132"/>
        <v/>
      </c>
      <c r="AI432">
        <f t="shared" si="133"/>
        <v>160</v>
      </c>
      <c r="AJ432">
        <f t="shared" si="134"/>
        <v>301</v>
      </c>
      <c r="AK432">
        <f t="shared" si="135"/>
        <v>313</v>
      </c>
      <c r="AL432">
        <f t="shared" si="136"/>
        <v>326</v>
      </c>
      <c r="AM432">
        <f t="shared" si="137"/>
        <v>84</v>
      </c>
      <c r="DH432" t="str" cm="1">
        <f t="array" ref="DH432">IF($A432="","",_xlfn.LET(_xlpm.c,IFERROR(_xlfn.XLOOKUP($A432,TRIM('Sales and count'!$A$4:$A$300&amp;""),TRIM('Sales and count'!$B$4:$B$300&amp;"")),""),IF(OR(_xlpm.c="",_xlpm.c="0",LEFT(_xlpm.c,1)="#"),"Not set",_xlpm.c)))</f>
        <v>KSA</v>
      </c>
    </row>
    <row r="433" spans="1:112" x14ac:dyDescent="0.25">
      <c r="A433" t="str">
        <f>IF('Staff Daily sales'!$B418="","",TRIM('Staff Daily sales'!$B418&amp;""))</f>
        <v>HADARALEMN</v>
      </c>
      <c r="B433" t="str">
        <f>IF('Staff Daily sales'!$D418="","",TRIM('Staff Daily sales'!$D418&amp;""))</f>
        <v>6482-AAlsulaimani</v>
      </c>
      <c r="C433" t="str">
        <f>IFERROR(TRIM('Staff Daily sales'!$E418&amp;""),"")</f>
        <v>Madinah</v>
      </c>
      <c r="D433" t="str">
        <f>IFERROR(IF(TRIM('Staff Daily sales'!$F418&amp;"")="","Unassigned",TRIM('Staff Daily sales'!$F418&amp;"")),"Unassigned")</f>
        <v>Mohammed Haidar</v>
      </c>
      <c r="E433">
        <f t="shared" si="122"/>
        <v>1</v>
      </c>
      <c r="F433">
        <f>IF($E433=0,0,SUMPRODUCT($AI$5:$DF$5,'Staff Daily sales'!$G418:$CD418))</f>
        <v>1082.92</v>
      </c>
      <c r="G433">
        <f>IF($E433=0,0,SUMPRODUCT($AI$6:$DF$6,'Staff Daily sales'!$G418:$CD418))</f>
        <v>6</v>
      </c>
      <c r="H433">
        <f t="shared" si="123"/>
        <v>12792.14</v>
      </c>
      <c r="I433">
        <f t="shared" si="124"/>
        <v>56</v>
      </c>
      <c r="J433">
        <f t="shared" si="125"/>
        <v>55209.230000000018</v>
      </c>
      <c r="K433">
        <f t="shared" si="126"/>
        <v>272</v>
      </c>
      <c r="L433">
        <f>--AND($E433=1,OR('Staff Dashboard'!$B$6="All",$DH433='Staff Dashboard'!$B$6),OR('Staff Dashboard'!$B$7="All",$D433='Staff Dashboard'!$B$7),OR('Staff Dashboard'!$B$8="All",$A433='Staff Dashboard'!$B$8))</f>
        <v>0</v>
      </c>
      <c r="M433">
        <f>IF($E433=0,0,SUMPRODUCT($AI$7:$DF$7,'Staff Daily sales'!$G418:$CD418))</f>
        <v>8167.2200000000012</v>
      </c>
      <c r="N433">
        <f>IF($E433=0,0,SUMPRODUCT($AI$8:$DF$8,'Staff Daily sales'!$G418:$CD418))</f>
        <v>40</v>
      </c>
      <c r="O433">
        <f>IF($E433=0,0,SUMPRODUCT($AI$9:$DF$9,'Staff Daily sales'!$G418:$CD418))</f>
        <v>8748.130000000001</v>
      </c>
      <c r="P433">
        <f>IF($E433=0,0,SUMPRODUCT($AI$10:$DF$10,'Staff Daily sales'!$G418:$CD418))</f>
        <v>50</v>
      </c>
      <c r="Q433">
        <f>IF($E433=0,0,SUMPRODUCT($AI$11:$DF$11,'Staff Daily sales'!$G418:$CD418))</f>
        <v>8064.07</v>
      </c>
      <c r="R433">
        <f>IF($E433=0,0,SUMPRODUCT($AI$12:$DF$12,'Staff Daily sales'!$G418:$CD418))</f>
        <v>36</v>
      </c>
      <c r="S433">
        <f>IF($E433=0,0,SUMPRODUCT($AI$13:$DF$13,'Staff Daily sales'!$G418:$CD418))</f>
        <v>8498.7000000000007</v>
      </c>
      <c r="T433">
        <f>IF($E433=0,0,SUMPRODUCT($AI$14:$DF$14,'Staff Daily sales'!$G418:$CD418))</f>
        <v>35</v>
      </c>
      <c r="U433">
        <f>IF($E433=0,0,SUMPRODUCT($AI$15:$DF$15,'Staff Daily sales'!$G418:$CD418))</f>
        <v>2013.9</v>
      </c>
      <c r="V433">
        <f>IF($E433=0,0,SUMPRODUCT($AI$16:$DF$16,'Staff Daily sales'!$G418:$CD418))</f>
        <v>8</v>
      </c>
      <c r="W433">
        <f t="shared" si="127"/>
        <v>28603.83</v>
      </c>
      <c r="X433">
        <f t="shared" si="128"/>
        <v>63583.53</v>
      </c>
      <c r="Y433">
        <f t="shared" si="129"/>
        <v>67535.38</v>
      </c>
      <c r="Z433">
        <f t="shared" si="130"/>
        <v>73568.650000000009</v>
      </c>
      <c r="AA433">
        <f t="shared" si="131"/>
        <v>19001.169999999998</v>
      </c>
      <c r="AB433">
        <f>--AND($E433=1,OR('Staff Weekly Trend'!$B$3="All",$DH433='Staff Weekly Trend'!$B$3),OR('Staff Weekly Trend'!$B$4="All",$D433='Staff Weekly Trend'!$B$4),OR('Staff Weekly Trend'!$B$5="All",$A433='Staff Weekly Trend'!$B$5))</f>
        <v>1</v>
      </c>
      <c r="AC433">
        <f t="shared" si="132"/>
        <v>6</v>
      </c>
      <c r="AI433">
        <f t="shared" si="133"/>
        <v>160</v>
      </c>
      <c r="AJ433">
        <f t="shared" si="134"/>
        <v>301</v>
      </c>
      <c r="AK433">
        <f t="shared" si="135"/>
        <v>313</v>
      </c>
      <c r="AL433">
        <f t="shared" si="136"/>
        <v>326</v>
      </c>
      <c r="AM433">
        <f t="shared" si="137"/>
        <v>84</v>
      </c>
      <c r="DH433" t="str" cm="1">
        <f t="array" ref="DH433">IF($A433="","",_xlfn.LET(_xlpm.c,IFERROR(_xlfn.XLOOKUP($A433,TRIM('Sales and count'!$A$4:$A$300&amp;""),TRIM('Sales and count'!$B$4:$B$300&amp;"")),""),IF(OR(_xlpm.c="",_xlpm.c="0",LEFT(_xlpm.c,1)="#"),"Not set",_xlpm.c)))</f>
        <v>KSA</v>
      </c>
    </row>
    <row r="434" spans="1:112" x14ac:dyDescent="0.25">
      <c r="A434" t="str">
        <f>IF('Staff Daily sales'!$B419="","",TRIM('Staff Daily sales'!$B419&amp;""))</f>
        <v>HADARALEMN</v>
      </c>
      <c r="B434" t="str">
        <f>IF('Staff Daily sales'!$D419="","",TRIM('Staff Daily sales'!$D419&amp;""))</f>
        <v>6483-MAlrashdi</v>
      </c>
      <c r="C434" t="str">
        <f>IFERROR(TRIM('Staff Daily sales'!$E419&amp;""),"")</f>
        <v>Madinah</v>
      </c>
      <c r="D434" t="str">
        <f>IFERROR(IF(TRIM('Staff Daily sales'!$F419&amp;"")="","Unassigned",TRIM('Staff Daily sales'!$F419&amp;"")),"Unassigned")</f>
        <v>Mohammed Haidar</v>
      </c>
      <c r="E434">
        <f t="shared" si="122"/>
        <v>1</v>
      </c>
      <c r="F434">
        <f>IF($E434=0,0,SUMPRODUCT($AI$5:$DF$5,'Staff Daily sales'!$G419:$CD419))</f>
        <v>4483.62</v>
      </c>
      <c r="G434">
        <f>IF($E434=0,0,SUMPRODUCT($AI$6:$DF$6,'Staff Daily sales'!$G419:$CD419))</f>
        <v>19</v>
      </c>
      <c r="H434">
        <f t="shared" si="123"/>
        <v>12792.14</v>
      </c>
      <c r="I434">
        <f t="shared" si="124"/>
        <v>56</v>
      </c>
      <c r="J434">
        <f t="shared" si="125"/>
        <v>55209.230000000018</v>
      </c>
      <c r="K434">
        <f t="shared" si="126"/>
        <v>272</v>
      </c>
      <c r="L434">
        <f>--AND($E434=1,OR('Staff Dashboard'!$B$6="All",$DH434='Staff Dashboard'!$B$6),OR('Staff Dashboard'!$B$7="All",$D434='Staff Dashboard'!$B$7),OR('Staff Dashboard'!$B$8="All",$A434='Staff Dashboard'!$B$8))</f>
        <v>0</v>
      </c>
      <c r="M434">
        <f>IF($E434=0,0,SUMPRODUCT($AI$7:$DF$7,'Staff Daily sales'!$G419:$CD419))</f>
        <v>2871.1099999999997</v>
      </c>
      <c r="N434">
        <f>IF($E434=0,0,SUMPRODUCT($AI$8:$DF$8,'Staff Daily sales'!$G419:$CD419))</f>
        <v>16</v>
      </c>
      <c r="O434">
        <f>IF($E434=0,0,SUMPRODUCT($AI$9:$DF$9,'Staff Daily sales'!$G419:$CD419))</f>
        <v>8470.119999999999</v>
      </c>
      <c r="P434">
        <f>IF($E434=0,0,SUMPRODUCT($AI$10:$DF$10,'Staff Daily sales'!$G419:$CD419))</f>
        <v>41</v>
      </c>
      <c r="Q434">
        <f>IF($E434=0,0,SUMPRODUCT($AI$11:$DF$11,'Staff Daily sales'!$G419:$CD419))</f>
        <v>9076.0600000000013</v>
      </c>
      <c r="R434">
        <f>IF($E434=0,0,SUMPRODUCT($AI$12:$DF$12,'Staff Daily sales'!$G419:$CD419))</f>
        <v>37</v>
      </c>
      <c r="S434">
        <f>IF($E434=0,0,SUMPRODUCT($AI$13:$DF$13,'Staff Daily sales'!$G419:$CD419))</f>
        <v>13748.419999999998</v>
      </c>
      <c r="T434">
        <f>IF($E434=0,0,SUMPRODUCT($AI$14:$DF$14,'Staff Daily sales'!$G419:$CD419))</f>
        <v>54</v>
      </c>
      <c r="U434">
        <f>IF($E434=0,0,SUMPRODUCT($AI$15:$DF$15,'Staff Daily sales'!$G419:$CD419))</f>
        <v>2820.9</v>
      </c>
      <c r="V434">
        <f>IF($E434=0,0,SUMPRODUCT($AI$16:$DF$16,'Staff Daily sales'!$G419:$CD419))</f>
        <v>16</v>
      </c>
      <c r="W434">
        <f t="shared" si="127"/>
        <v>28603.83</v>
      </c>
      <c r="X434">
        <f t="shared" si="128"/>
        <v>63583.53</v>
      </c>
      <c r="Y434">
        <f t="shared" si="129"/>
        <v>67535.38</v>
      </c>
      <c r="Z434">
        <f t="shared" si="130"/>
        <v>73568.650000000009</v>
      </c>
      <c r="AA434">
        <f t="shared" si="131"/>
        <v>19001.169999999998</v>
      </c>
      <c r="AB434">
        <f>--AND($E434=1,OR('Staff Weekly Trend'!$B$3="All",$DH434='Staff Weekly Trend'!$B$3),OR('Staff Weekly Trend'!$B$4="All",$D434='Staff Weekly Trend'!$B$4),OR('Staff Weekly Trend'!$B$5="All",$A434='Staff Weekly Trend'!$B$5))</f>
        <v>1</v>
      </c>
      <c r="AC434">
        <f t="shared" si="132"/>
        <v>1</v>
      </c>
      <c r="AI434">
        <f t="shared" si="133"/>
        <v>160</v>
      </c>
      <c r="AJ434">
        <f t="shared" si="134"/>
        <v>301</v>
      </c>
      <c r="AK434">
        <f t="shared" si="135"/>
        <v>313</v>
      </c>
      <c r="AL434">
        <f t="shared" si="136"/>
        <v>326</v>
      </c>
      <c r="AM434">
        <f t="shared" si="137"/>
        <v>84</v>
      </c>
      <c r="DH434" t="str" cm="1">
        <f t="array" ref="DH434">IF($A434="","",_xlfn.LET(_xlpm.c,IFERROR(_xlfn.XLOOKUP($A434,TRIM('Sales and count'!$A$4:$A$300&amp;""),TRIM('Sales and count'!$B$4:$B$300&amp;"")),""),IF(OR(_xlpm.c="",_xlpm.c="0",LEFT(_xlpm.c,1)="#"),"Not set",_xlpm.c)))</f>
        <v>KSA</v>
      </c>
    </row>
    <row r="435" spans="1:112" x14ac:dyDescent="0.25">
      <c r="A435" t="str">
        <f>IF('Staff Daily sales'!$B420="","",TRIM('Staff Daily sales'!$B420&amp;""))</f>
        <v>HAAJAWED</v>
      </c>
      <c r="B435" t="str">
        <f>IF('Staff Daily sales'!$D420="","",TRIM('Staff Daily sales'!$D420&amp;""))</f>
        <v>3349-AAlshamrani</v>
      </c>
      <c r="C435" t="str">
        <f>IFERROR(TRIM('Staff Daily sales'!$E420&amp;""),"")</f>
        <v>Jeddah</v>
      </c>
      <c r="D435" t="str">
        <f>IFERROR(IF(TRIM('Staff Daily sales'!$F420&amp;"")="","Unassigned",TRIM('Staff Daily sales'!$F420&amp;"")),"Unassigned")</f>
        <v>Ahlam Al Zahrani</v>
      </c>
      <c r="E435">
        <f t="shared" si="122"/>
        <v>1</v>
      </c>
      <c r="F435">
        <f>IF($E435=0,0,SUMPRODUCT($AI$5:$DF$5,'Staff Daily sales'!$G420:$CD420))</f>
        <v>1297.94</v>
      </c>
      <c r="G435">
        <f>IF($E435=0,0,SUMPRODUCT($AI$6:$DF$6,'Staff Daily sales'!$G420:$CD420))</f>
        <v>8</v>
      </c>
      <c r="H435">
        <f t="shared" si="123"/>
        <v>4140.8</v>
      </c>
      <c r="I435">
        <f t="shared" si="124"/>
        <v>27</v>
      </c>
      <c r="J435">
        <f t="shared" si="125"/>
        <v>62016.170000000006</v>
      </c>
      <c r="K435">
        <f t="shared" si="126"/>
        <v>398</v>
      </c>
      <c r="L435">
        <f>--AND($E435=1,OR('Staff Dashboard'!$B$6="All",$DH435='Staff Dashboard'!$B$6),OR('Staff Dashboard'!$B$7="All",$D435='Staff Dashboard'!$B$7),OR('Staff Dashboard'!$B$8="All",$A435='Staff Dashboard'!$B$8))</f>
        <v>0</v>
      </c>
      <c r="M435">
        <f>IF($E435=0,0,SUMPRODUCT($AI$7:$DF$7,'Staff Daily sales'!$G420:$CD420))</f>
        <v>10016.16</v>
      </c>
      <c r="N435">
        <f>IF($E435=0,0,SUMPRODUCT($AI$8:$DF$8,'Staff Daily sales'!$G420:$CD420))</f>
        <v>82</v>
      </c>
      <c r="O435">
        <f>IF($E435=0,0,SUMPRODUCT($AI$9:$DF$9,'Staff Daily sales'!$G420:$CD420))</f>
        <v>13916.250000000002</v>
      </c>
      <c r="P435">
        <f>IF($E435=0,0,SUMPRODUCT($AI$10:$DF$10,'Staff Daily sales'!$G420:$CD420))</f>
        <v>90</v>
      </c>
      <c r="Q435">
        <f>IF($E435=0,0,SUMPRODUCT($AI$11:$DF$11,'Staff Daily sales'!$G420:$CD420))</f>
        <v>8867.0500000000011</v>
      </c>
      <c r="R435">
        <f>IF($E435=0,0,SUMPRODUCT($AI$12:$DF$12,'Staff Daily sales'!$G420:$CD420))</f>
        <v>66</v>
      </c>
      <c r="S435">
        <f>IF($E435=0,0,SUMPRODUCT($AI$13:$DF$13,'Staff Daily sales'!$G420:$CD420))</f>
        <v>6720.82</v>
      </c>
      <c r="T435">
        <f>IF($E435=0,0,SUMPRODUCT($AI$14:$DF$14,'Staff Daily sales'!$G420:$CD420))</f>
        <v>44</v>
      </c>
      <c r="U435">
        <f>IF($E435=0,0,SUMPRODUCT($AI$15:$DF$15,'Staff Daily sales'!$G420:$CD420))</f>
        <v>2634.88</v>
      </c>
      <c r="V435">
        <f>IF($E435=0,0,SUMPRODUCT($AI$16:$DF$16,'Staff Daily sales'!$G420:$CD420))</f>
        <v>14</v>
      </c>
      <c r="W435">
        <f t="shared" si="127"/>
        <v>23796.399999999998</v>
      </c>
      <c r="X435">
        <f t="shared" si="128"/>
        <v>40191.770000000004</v>
      </c>
      <c r="Y435">
        <f t="shared" si="129"/>
        <v>29416.31</v>
      </c>
      <c r="Z435">
        <f t="shared" si="130"/>
        <v>25117.54</v>
      </c>
      <c r="AA435">
        <f t="shared" si="131"/>
        <v>7939.01</v>
      </c>
      <c r="AB435">
        <f>--AND($E435=1,OR('Staff Weekly Trend'!$B$3="All",$DH435='Staff Weekly Trend'!$B$3),OR('Staff Weekly Trend'!$B$4="All",$D435='Staff Weekly Trend'!$B$4),OR('Staff Weekly Trend'!$B$5="All",$A435='Staff Weekly Trend'!$B$5))</f>
        <v>1</v>
      </c>
      <c r="AC435">
        <f t="shared" si="132"/>
        <v>2</v>
      </c>
      <c r="AI435">
        <f t="shared" si="133"/>
        <v>197</v>
      </c>
      <c r="AJ435">
        <f t="shared" si="134"/>
        <v>261</v>
      </c>
      <c r="AK435">
        <f t="shared" si="135"/>
        <v>212</v>
      </c>
      <c r="AL435">
        <f t="shared" si="136"/>
        <v>156</v>
      </c>
      <c r="AM435">
        <f t="shared" si="137"/>
        <v>44</v>
      </c>
      <c r="DH435" t="str" cm="1">
        <f t="array" ref="DH435">IF($A435="","",_xlfn.LET(_xlpm.c,IFERROR(_xlfn.XLOOKUP($A435,TRIM('Sales and count'!$A$4:$A$300&amp;""),TRIM('Sales and count'!$B$4:$B$300&amp;"")),""),IF(OR(_xlpm.c="",_xlpm.c="0",LEFT(_xlpm.c,1)="#"),"Not set",_xlpm.c)))</f>
        <v>KSA</v>
      </c>
    </row>
    <row r="436" spans="1:112" x14ac:dyDescent="0.25">
      <c r="A436" t="str">
        <f>IF('Staff Daily sales'!$B421="","",TRIM('Staff Daily sales'!$B421&amp;""))</f>
        <v>HAAJAWED</v>
      </c>
      <c r="B436" t="str">
        <f>IF('Staff Daily sales'!$D421="","",TRIM('Staff Daily sales'!$D421&amp;""))</f>
        <v>4312-AAlqozi</v>
      </c>
      <c r="C436" t="str">
        <f>IFERROR(TRIM('Staff Daily sales'!$E421&amp;""),"")</f>
        <v>Jeddah</v>
      </c>
      <c r="D436" t="str">
        <f>IFERROR(IF(TRIM('Staff Daily sales'!$F421&amp;"")="","Unassigned",TRIM('Staff Daily sales'!$F421&amp;"")),"Unassigned")</f>
        <v>Ahlam Al Zahrani</v>
      </c>
      <c r="E436">
        <f t="shared" si="122"/>
        <v>1</v>
      </c>
      <c r="F436">
        <f>IF($E436=0,0,SUMPRODUCT($AI$5:$DF$5,'Staff Daily sales'!$G421:$CD421))</f>
        <v>686.96</v>
      </c>
      <c r="G436">
        <f>IF($E436=0,0,SUMPRODUCT($AI$6:$DF$6,'Staff Daily sales'!$G421:$CD421))</f>
        <v>5</v>
      </c>
      <c r="H436">
        <f t="shared" si="123"/>
        <v>4140.8</v>
      </c>
      <c r="I436">
        <f t="shared" si="124"/>
        <v>27</v>
      </c>
      <c r="J436">
        <f t="shared" si="125"/>
        <v>62016.170000000006</v>
      </c>
      <c r="K436">
        <f t="shared" si="126"/>
        <v>398</v>
      </c>
      <c r="L436">
        <f>--AND($E436=1,OR('Staff Dashboard'!$B$6="All",$DH436='Staff Dashboard'!$B$6),OR('Staff Dashboard'!$B$7="All",$D436='Staff Dashboard'!$B$7),OR('Staff Dashboard'!$B$8="All",$A436='Staff Dashboard'!$B$8))</f>
        <v>0</v>
      </c>
      <c r="M436">
        <f>IF($E436=0,0,SUMPRODUCT($AI$7:$DF$7,'Staff Daily sales'!$G421:$CD421))</f>
        <v>8036.1399999999994</v>
      </c>
      <c r="N436">
        <f>IF($E436=0,0,SUMPRODUCT($AI$8:$DF$8,'Staff Daily sales'!$G421:$CD421))</f>
        <v>67</v>
      </c>
      <c r="O436">
        <f>IF($E436=0,0,SUMPRODUCT($AI$9:$DF$9,'Staff Daily sales'!$G421:$CD421))</f>
        <v>10029.27</v>
      </c>
      <c r="P436">
        <f>IF($E436=0,0,SUMPRODUCT($AI$10:$DF$10,'Staff Daily sales'!$G421:$CD421))</f>
        <v>67</v>
      </c>
      <c r="Q436">
        <f>IF($E436=0,0,SUMPRODUCT($AI$11:$DF$11,'Staff Daily sales'!$G421:$CD421))</f>
        <v>10500.170000000002</v>
      </c>
      <c r="R436">
        <f>IF($E436=0,0,SUMPRODUCT($AI$12:$DF$12,'Staff Daily sales'!$G421:$CD421))</f>
        <v>78</v>
      </c>
      <c r="S436">
        <f>IF($E436=0,0,SUMPRODUCT($AI$13:$DF$13,'Staff Daily sales'!$G421:$CD421))</f>
        <v>5442.85</v>
      </c>
      <c r="T436">
        <f>IF($E436=0,0,SUMPRODUCT($AI$14:$DF$14,'Staff Daily sales'!$G421:$CD421))</f>
        <v>33</v>
      </c>
      <c r="U436">
        <f>IF($E436=0,0,SUMPRODUCT($AI$15:$DF$15,'Staff Daily sales'!$G421:$CD421))</f>
        <v>620.96</v>
      </c>
      <c r="V436">
        <f>IF($E436=0,0,SUMPRODUCT($AI$16:$DF$16,'Staff Daily sales'!$G421:$CD421))</f>
        <v>3</v>
      </c>
      <c r="W436">
        <f t="shared" si="127"/>
        <v>23796.399999999998</v>
      </c>
      <c r="X436">
        <f t="shared" si="128"/>
        <v>40191.770000000004</v>
      </c>
      <c r="Y436">
        <f t="shared" si="129"/>
        <v>29416.31</v>
      </c>
      <c r="Z436">
        <f t="shared" si="130"/>
        <v>25117.54</v>
      </c>
      <c r="AA436">
        <f t="shared" si="131"/>
        <v>7939.01</v>
      </c>
      <c r="AB436">
        <f>--AND($E436=1,OR('Staff Weekly Trend'!$B$3="All",$DH436='Staff Weekly Trend'!$B$3),OR('Staff Weekly Trend'!$B$4="All",$D436='Staff Weekly Trend'!$B$4),OR('Staff Weekly Trend'!$B$5="All",$A436='Staff Weekly Trend'!$B$5))</f>
        <v>1</v>
      </c>
      <c r="AC436">
        <f t="shared" si="132"/>
        <v>4</v>
      </c>
      <c r="AI436">
        <f t="shared" si="133"/>
        <v>197</v>
      </c>
      <c r="AJ436">
        <f t="shared" si="134"/>
        <v>261</v>
      </c>
      <c r="AK436">
        <f t="shared" si="135"/>
        <v>212</v>
      </c>
      <c r="AL436">
        <f t="shared" si="136"/>
        <v>156</v>
      </c>
      <c r="AM436">
        <f t="shared" si="137"/>
        <v>44</v>
      </c>
      <c r="DH436" t="str" cm="1">
        <f t="array" ref="DH436">IF($A436="","",_xlfn.LET(_xlpm.c,IFERROR(_xlfn.XLOOKUP($A436,TRIM('Sales and count'!$A$4:$A$300&amp;""),TRIM('Sales and count'!$B$4:$B$300&amp;"")),""),IF(OR(_xlpm.c="",_xlpm.c="0",LEFT(_xlpm.c,1)="#"),"Not set",_xlpm.c)))</f>
        <v>KSA</v>
      </c>
    </row>
    <row r="437" spans="1:112" x14ac:dyDescent="0.25">
      <c r="A437" t="str">
        <f>IF('Staff Daily sales'!$B422="","",TRIM('Staff Daily sales'!$B422&amp;""))</f>
        <v>HAAJAWED</v>
      </c>
      <c r="B437" t="str">
        <f>IF('Staff Daily sales'!$D422="","",TRIM('Staff Daily sales'!$D422&amp;""))</f>
        <v>4446-AAlZahrani</v>
      </c>
      <c r="C437" t="str">
        <f>IFERROR(TRIM('Staff Daily sales'!$E422&amp;""),"")</f>
        <v>Jeddah</v>
      </c>
      <c r="D437" t="str">
        <f>IFERROR(IF(TRIM('Staff Daily sales'!$F422&amp;"")="","Unassigned",TRIM('Staff Daily sales'!$F422&amp;"")),"Unassigned")</f>
        <v>Ahlam Al Zahrani</v>
      </c>
      <c r="E437">
        <f t="shared" si="122"/>
        <v>1</v>
      </c>
      <c r="F437">
        <f>IF($E437=0,0,SUMPRODUCT($AI$5:$DF$5,'Staff Daily sales'!$G422:$CD422))</f>
        <v>718.96</v>
      </c>
      <c r="G437">
        <f>IF($E437=0,0,SUMPRODUCT($AI$6:$DF$6,'Staff Daily sales'!$G422:$CD422))</f>
        <v>4</v>
      </c>
      <c r="H437">
        <f t="shared" si="123"/>
        <v>4140.8</v>
      </c>
      <c r="I437">
        <f t="shared" si="124"/>
        <v>27</v>
      </c>
      <c r="J437">
        <f t="shared" si="125"/>
        <v>62016.170000000006</v>
      </c>
      <c r="K437">
        <f t="shared" si="126"/>
        <v>398</v>
      </c>
      <c r="L437">
        <f>--AND($E437=1,OR('Staff Dashboard'!$B$6="All",$DH437='Staff Dashboard'!$B$6),OR('Staff Dashboard'!$B$7="All",$D437='Staff Dashboard'!$B$7),OR('Staff Dashboard'!$B$8="All",$A437='Staff Dashboard'!$B$8))</f>
        <v>0</v>
      </c>
      <c r="M437">
        <f>IF($E437=0,0,SUMPRODUCT($AI$7:$DF$7,'Staff Daily sales'!$G422:$CD422))</f>
        <v>5498.09</v>
      </c>
      <c r="N437">
        <f>IF($E437=0,0,SUMPRODUCT($AI$8:$DF$8,'Staff Daily sales'!$G422:$CD422))</f>
        <v>46</v>
      </c>
      <c r="O437">
        <f>IF($E437=0,0,SUMPRODUCT($AI$9:$DF$9,'Staff Daily sales'!$G422:$CD422))</f>
        <v>7962.1399999999994</v>
      </c>
      <c r="P437">
        <f>IF($E437=0,0,SUMPRODUCT($AI$10:$DF$10,'Staff Daily sales'!$G422:$CD422))</f>
        <v>47</v>
      </c>
      <c r="Q437">
        <f>IF($E437=0,0,SUMPRODUCT($AI$11:$DF$11,'Staff Daily sales'!$G422:$CD422))</f>
        <v>2876.05</v>
      </c>
      <c r="R437">
        <f>IF($E437=0,0,SUMPRODUCT($AI$12:$DF$12,'Staff Daily sales'!$G422:$CD422))</f>
        <v>20</v>
      </c>
      <c r="S437">
        <f>IF($E437=0,0,SUMPRODUCT($AI$13:$DF$13,'Staff Daily sales'!$G422:$CD422))</f>
        <v>3981.9599999999996</v>
      </c>
      <c r="T437">
        <f>IF($E437=0,0,SUMPRODUCT($AI$14:$DF$14,'Staff Daily sales'!$G422:$CD422))</f>
        <v>21</v>
      </c>
      <c r="U437">
        <f>IF($E437=0,0,SUMPRODUCT($AI$15:$DF$15,'Staff Daily sales'!$G422:$CD422))</f>
        <v>2523.9899999999998</v>
      </c>
      <c r="V437">
        <f>IF($E437=0,0,SUMPRODUCT($AI$16:$DF$16,'Staff Daily sales'!$G422:$CD422))</f>
        <v>15</v>
      </c>
      <c r="W437">
        <f t="shared" si="127"/>
        <v>23796.399999999998</v>
      </c>
      <c r="X437">
        <f t="shared" si="128"/>
        <v>40191.770000000004</v>
      </c>
      <c r="Y437">
        <f t="shared" si="129"/>
        <v>29416.31</v>
      </c>
      <c r="Z437">
        <f t="shared" si="130"/>
        <v>25117.54</v>
      </c>
      <c r="AA437">
        <f t="shared" si="131"/>
        <v>7939.01</v>
      </c>
      <c r="AB437">
        <f>--AND($E437=1,OR('Staff Weekly Trend'!$B$3="All",$DH437='Staff Weekly Trend'!$B$3),OR('Staff Weekly Trend'!$B$4="All",$D437='Staff Weekly Trend'!$B$4),OR('Staff Weekly Trend'!$B$5="All",$A437='Staff Weekly Trend'!$B$5))</f>
        <v>1</v>
      </c>
      <c r="AC437">
        <f t="shared" si="132"/>
        <v>3</v>
      </c>
      <c r="AI437">
        <f t="shared" si="133"/>
        <v>197</v>
      </c>
      <c r="AJ437">
        <f t="shared" si="134"/>
        <v>261</v>
      </c>
      <c r="AK437">
        <f t="shared" si="135"/>
        <v>212</v>
      </c>
      <c r="AL437">
        <f t="shared" si="136"/>
        <v>156</v>
      </c>
      <c r="AM437">
        <f t="shared" si="137"/>
        <v>44</v>
      </c>
      <c r="DH437" t="str" cm="1">
        <f t="array" ref="DH437">IF($A437="","",_xlfn.LET(_xlpm.c,IFERROR(_xlfn.XLOOKUP($A437,TRIM('Sales and count'!$A$4:$A$300&amp;""),TRIM('Sales and count'!$B$4:$B$300&amp;"")),""),IF(OR(_xlpm.c="",_xlpm.c="0",LEFT(_xlpm.c,1)="#"),"Not set",_xlpm.c)))</f>
        <v>KSA</v>
      </c>
    </row>
    <row r="438" spans="1:112" x14ac:dyDescent="0.25">
      <c r="A438" t="str">
        <f>IF('Staff Daily sales'!$B423="","",TRIM('Staff Daily sales'!$B423&amp;""))</f>
        <v>HAAJAWED</v>
      </c>
      <c r="B438" t="str">
        <f>IF('Staff Daily sales'!$D423="","",TRIM('Staff Daily sales'!$D423&amp;""))</f>
        <v>4478-AAlqarni</v>
      </c>
      <c r="C438" t="str">
        <f>IFERROR(TRIM('Staff Daily sales'!$E423&amp;""),"")</f>
        <v>Jeddah</v>
      </c>
      <c r="D438" t="str">
        <f>IFERROR(IF(TRIM('Staff Daily sales'!$F423&amp;"")="","Unassigned",TRIM('Staff Daily sales'!$F423&amp;"")),"Unassigned")</f>
        <v>Ahlam Al Zahrani</v>
      </c>
      <c r="E438">
        <f t="shared" si="122"/>
        <v>1</v>
      </c>
      <c r="F438">
        <f>IF($E438=0,0,SUMPRODUCT($AI$5:$DF$5,'Staff Daily sales'!$G423:$CD423))</f>
        <v>1436.94</v>
      </c>
      <c r="G438">
        <f>IF($E438=0,0,SUMPRODUCT($AI$6:$DF$6,'Staff Daily sales'!$G423:$CD423))</f>
        <v>10</v>
      </c>
      <c r="H438">
        <f t="shared" si="123"/>
        <v>4140.8</v>
      </c>
      <c r="I438">
        <f t="shared" si="124"/>
        <v>27</v>
      </c>
      <c r="J438">
        <f t="shared" si="125"/>
        <v>62016.170000000006</v>
      </c>
      <c r="K438">
        <f t="shared" si="126"/>
        <v>398</v>
      </c>
      <c r="L438">
        <f>--AND($E438=1,OR('Staff Dashboard'!$B$6="All",$DH438='Staff Dashboard'!$B$6),OR('Staff Dashboard'!$B$7="All",$D438='Staff Dashboard'!$B$7),OR('Staff Dashboard'!$B$8="All",$A438='Staff Dashboard'!$B$8))</f>
        <v>0</v>
      </c>
      <c r="M438">
        <f>IF($E438=0,0,SUMPRODUCT($AI$7:$DF$7,'Staff Daily sales'!$G423:$CD423))</f>
        <v>246.01</v>
      </c>
      <c r="N438">
        <f>IF($E438=0,0,SUMPRODUCT($AI$8:$DF$8,'Staff Daily sales'!$G423:$CD423))</f>
        <v>2</v>
      </c>
      <c r="O438">
        <f>IF($E438=0,0,SUMPRODUCT($AI$9:$DF$9,'Staff Daily sales'!$G423:$CD423))</f>
        <v>8284.1099999999988</v>
      </c>
      <c r="P438">
        <f>IF($E438=0,0,SUMPRODUCT($AI$10:$DF$10,'Staff Daily sales'!$G423:$CD423))</f>
        <v>57</v>
      </c>
      <c r="Q438">
        <f>IF($E438=0,0,SUMPRODUCT($AI$11:$DF$11,'Staff Daily sales'!$G423:$CD423))</f>
        <v>7173.04</v>
      </c>
      <c r="R438">
        <f>IF($E438=0,0,SUMPRODUCT($AI$12:$DF$12,'Staff Daily sales'!$G423:$CD423))</f>
        <v>48</v>
      </c>
      <c r="S438">
        <f>IF($E438=0,0,SUMPRODUCT($AI$13:$DF$13,'Staff Daily sales'!$G423:$CD423))</f>
        <v>8971.91</v>
      </c>
      <c r="T438">
        <f>IF($E438=0,0,SUMPRODUCT($AI$14:$DF$14,'Staff Daily sales'!$G423:$CD423))</f>
        <v>58</v>
      </c>
      <c r="U438">
        <f>IF($E438=0,0,SUMPRODUCT($AI$15:$DF$15,'Staff Daily sales'!$G423:$CD423))</f>
        <v>2159.1799999999998</v>
      </c>
      <c r="V438">
        <f>IF($E438=0,0,SUMPRODUCT($AI$16:$DF$16,'Staff Daily sales'!$G423:$CD423))</f>
        <v>12</v>
      </c>
      <c r="W438">
        <f t="shared" si="127"/>
        <v>23796.399999999998</v>
      </c>
      <c r="X438">
        <f t="shared" si="128"/>
        <v>40191.770000000004</v>
      </c>
      <c r="Y438">
        <f t="shared" si="129"/>
        <v>29416.31</v>
      </c>
      <c r="Z438">
        <f t="shared" si="130"/>
        <v>25117.54</v>
      </c>
      <c r="AA438">
        <f t="shared" si="131"/>
        <v>7939.01</v>
      </c>
      <c r="AB438">
        <f>--AND($E438=1,OR('Staff Weekly Trend'!$B$3="All",$DH438='Staff Weekly Trend'!$B$3),OR('Staff Weekly Trend'!$B$4="All",$D438='Staff Weekly Trend'!$B$4),OR('Staff Weekly Trend'!$B$5="All",$A438='Staff Weekly Trend'!$B$5))</f>
        <v>1</v>
      </c>
      <c r="AC438">
        <f t="shared" si="132"/>
        <v>1</v>
      </c>
      <c r="AI438">
        <f t="shared" si="133"/>
        <v>197</v>
      </c>
      <c r="AJ438">
        <f t="shared" si="134"/>
        <v>261</v>
      </c>
      <c r="AK438">
        <f t="shared" si="135"/>
        <v>212</v>
      </c>
      <c r="AL438">
        <f t="shared" si="136"/>
        <v>156</v>
      </c>
      <c r="AM438">
        <f t="shared" si="137"/>
        <v>44</v>
      </c>
      <c r="DH438" t="str" cm="1">
        <f t="array" ref="DH438">IF($A438="","",_xlfn.LET(_xlpm.c,IFERROR(_xlfn.XLOOKUP($A438,TRIM('Sales and count'!$A$4:$A$300&amp;""),TRIM('Sales and count'!$B$4:$B$300&amp;"")),""),IF(OR(_xlpm.c="",_xlpm.c="0",LEFT(_xlpm.c,1)="#"),"Not set",_xlpm.c)))</f>
        <v>KSA</v>
      </c>
    </row>
    <row r="439" spans="1:112" x14ac:dyDescent="0.25">
      <c r="A439" t="str">
        <f>IF('Staff Daily sales'!$B424="","",TRIM('Staff Daily sales'!$B424&amp;""))</f>
        <v>HADARTAW2</v>
      </c>
      <c r="B439" t="str">
        <f>IF('Staff Daily sales'!$D424="","",TRIM('Staff Daily sales'!$D424&amp;""))</f>
        <v>4567-RKutbi</v>
      </c>
      <c r="C439" t="str">
        <f>IFERROR(TRIM('Staff Daily sales'!$E424&amp;""),"")</f>
        <v>Makkah</v>
      </c>
      <c r="D439" t="str">
        <f>IFERROR(IF(TRIM('Staff Daily sales'!$F424&amp;"")="","Unassigned",TRIM('Staff Daily sales'!$F424&amp;"")),"Unassigned")</f>
        <v>Maram Zamzami</v>
      </c>
      <c r="E439">
        <f t="shared" si="122"/>
        <v>1</v>
      </c>
      <c r="F439">
        <f>IF($E439=0,0,SUMPRODUCT($AI$5:$DF$5,'Staff Daily sales'!$G424:$CD424))</f>
        <v>210.98</v>
      </c>
      <c r="G439">
        <f>IF($E439=0,0,SUMPRODUCT($AI$6:$DF$6,'Staff Daily sales'!$G424:$CD424))</f>
        <v>1</v>
      </c>
      <c r="H439">
        <f t="shared" si="123"/>
        <v>25167</v>
      </c>
      <c r="I439">
        <f t="shared" si="124"/>
        <v>104</v>
      </c>
      <c r="J439">
        <f t="shared" si="125"/>
        <v>89423.479999999967</v>
      </c>
      <c r="K439">
        <f t="shared" si="126"/>
        <v>413</v>
      </c>
      <c r="L439">
        <f>--AND($E439=1,OR('Staff Dashboard'!$B$6="All",$DH439='Staff Dashboard'!$B$6),OR('Staff Dashboard'!$B$7="All",$D439='Staff Dashboard'!$B$7),OR('Staff Dashboard'!$B$8="All",$A439='Staff Dashboard'!$B$8))</f>
        <v>1</v>
      </c>
      <c r="M439">
        <f>IF($E439=0,0,SUMPRODUCT($AI$7:$DF$7,'Staff Daily sales'!$G424:$CD424))</f>
        <v>1007.03</v>
      </c>
      <c r="N439">
        <f>IF($E439=0,0,SUMPRODUCT($AI$8:$DF$8,'Staff Daily sales'!$G424:$CD424))</f>
        <v>6</v>
      </c>
      <c r="O439">
        <f>IF($E439=0,0,SUMPRODUCT($AI$9:$DF$9,'Staff Daily sales'!$G424:$CD424))</f>
        <v>2062</v>
      </c>
      <c r="P439">
        <f>IF($E439=0,0,SUMPRODUCT($AI$10:$DF$10,'Staff Daily sales'!$G424:$CD424))</f>
        <v>9</v>
      </c>
      <c r="Q439">
        <f>IF($E439=0,0,SUMPRODUCT($AI$11:$DF$11,'Staff Daily sales'!$G424:$CD424))</f>
        <v>0</v>
      </c>
      <c r="R439">
        <f>IF($E439=0,0,SUMPRODUCT($AI$12:$DF$12,'Staff Daily sales'!$G424:$CD424))</f>
        <v>0</v>
      </c>
      <c r="S439">
        <f>IF($E439=0,0,SUMPRODUCT($AI$13:$DF$13,'Staff Daily sales'!$G424:$CD424))</f>
        <v>2703.98</v>
      </c>
      <c r="T439">
        <f>IF($E439=0,0,SUMPRODUCT($AI$14:$DF$14,'Staff Daily sales'!$G424:$CD424))</f>
        <v>13</v>
      </c>
      <c r="U439">
        <f>IF($E439=0,0,SUMPRODUCT($AI$15:$DF$15,'Staff Daily sales'!$G424:$CD424))</f>
        <v>3619.14</v>
      </c>
      <c r="V439">
        <f>IF($E439=0,0,SUMPRODUCT($AI$16:$DF$16,'Staff Daily sales'!$G424:$CD424))</f>
        <v>17</v>
      </c>
      <c r="W439">
        <f t="shared" si="127"/>
        <v>115740.80999999998</v>
      </c>
      <c r="X439">
        <f t="shared" si="128"/>
        <v>190011.57</v>
      </c>
      <c r="Y439">
        <f t="shared" si="129"/>
        <v>169311.13</v>
      </c>
      <c r="Z439">
        <f t="shared" si="130"/>
        <v>161687.34</v>
      </c>
      <c r="AA439">
        <f t="shared" si="131"/>
        <v>36689.410000000003</v>
      </c>
      <c r="AB439">
        <f>--AND($E439=1,OR('Staff Weekly Trend'!$B$3="All",$DH439='Staff Weekly Trend'!$B$3),OR('Staff Weekly Trend'!$B$4="All",$D439='Staff Weekly Trend'!$B$4),OR('Staff Weekly Trend'!$B$5="All",$A439='Staff Weekly Trend'!$B$5))</f>
        <v>1</v>
      </c>
      <c r="AC439">
        <f t="shared" si="132"/>
        <v>9</v>
      </c>
      <c r="AI439">
        <f t="shared" si="133"/>
        <v>578</v>
      </c>
      <c r="AJ439">
        <f t="shared" si="134"/>
        <v>938</v>
      </c>
      <c r="AK439">
        <f t="shared" si="135"/>
        <v>829</v>
      </c>
      <c r="AL439">
        <f t="shared" si="136"/>
        <v>766</v>
      </c>
      <c r="AM439">
        <f t="shared" si="137"/>
        <v>180</v>
      </c>
      <c r="DH439" t="str" cm="1">
        <f t="array" ref="DH439">IF($A439="","",_xlfn.LET(_xlpm.c,IFERROR(_xlfn.XLOOKUP($A439,TRIM('Sales and count'!$A$4:$A$300&amp;""),TRIM('Sales and count'!$B$4:$B$300&amp;"")),""),IF(OR(_xlpm.c="",_xlpm.c="0",LEFT(_xlpm.c,1)="#"),"Not set",_xlpm.c)))</f>
        <v>KSA</v>
      </c>
    </row>
    <row r="440" spans="1:112" x14ac:dyDescent="0.25">
      <c r="A440" t="str">
        <f>IF('Staff Daily sales'!$B425="","",TRIM('Staff Daily sales'!$B425&amp;""))</f>
        <v>HADARTAW2</v>
      </c>
      <c r="B440" t="str">
        <f>IF('Staff Daily sales'!$D425="","",TRIM('Staff Daily sales'!$D425&amp;""))</f>
        <v>5387-WHazazzi</v>
      </c>
      <c r="C440" t="str">
        <f>IFERROR(TRIM('Staff Daily sales'!$E425&amp;""),"")</f>
        <v>Makkah</v>
      </c>
      <c r="D440" t="str">
        <f>IFERROR(IF(TRIM('Staff Daily sales'!$F425&amp;"")="","Unassigned",TRIM('Staff Daily sales'!$F425&amp;"")),"Unassigned")</f>
        <v>Maram Zamzami</v>
      </c>
      <c r="E440">
        <f t="shared" si="122"/>
        <v>1</v>
      </c>
      <c r="F440">
        <f>IF($E440=0,0,SUMPRODUCT($AI$5:$DF$5,'Staff Daily sales'!$G425:$CD425))</f>
        <v>4256.8</v>
      </c>
      <c r="G440">
        <f>IF($E440=0,0,SUMPRODUCT($AI$6:$DF$6,'Staff Daily sales'!$G425:$CD425))</f>
        <v>18</v>
      </c>
      <c r="H440">
        <f t="shared" si="123"/>
        <v>25167</v>
      </c>
      <c r="I440">
        <f t="shared" si="124"/>
        <v>104</v>
      </c>
      <c r="J440">
        <f t="shared" si="125"/>
        <v>89423.479999999967</v>
      </c>
      <c r="K440">
        <f t="shared" si="126"/>
        <v>413</v>
      </c>
      <c r="L440">
        <f>--AND($E440=1,OR('Staff Dashboard'!$B$6="All",$DH440='Staff Dashboard'!$B$6),OR('Staff Dashboard'!$B$7="All",$D440='Staff Dashboard'!$B$7),OR('Staff Dashboard'!$B$8="All",$A440='Staff Dashboard'!$B$8))</f>
        <v>1</v>
      </c>
      <c r="M440">
        <f>IF($E440=0,0,SUMPRODUCT($AI$7:$DF$7,'Staff Daily sales'!$G425:$CD425))</f>
        <v>13308.220000000001</v>
      </c>
      <c r="N440">
        <f>IF($E440=0,0,SUMPRODUCT($AI$8:$DF$8,'Staff Daily sales'!$G425:$CD425))</f>
        <v>52</v>
      </c>
      <c r="O440">
        <f>IF($E440=0,0,SUMPRODUCT($AI$9:$DF$9,'Staff Daily sales'!$G425:$CD425))</f>
        <v>19778.36</v>
      </c>
      <c r="P440">
        <f>IF($E440=0,0,SUMPRODUCT($AI$10:$DF$10,'Staff Daily sales'!$G425:$CD425))</f>
        <v>109</v>
      </c>
      <c r="Q440">
        <f>IF($E440=0,0,SUMPRODUCT($AI$11:$DF$11,'Staff Daily sales'!$G425:$CD425))</f>
        <v>25322.420000000002</v>
      </c>
      <c r="R440">
        <f>IF($E440=0,0,SUMPRODUCT($AI$12:$DF$12,'Staff Daily sales'!$G425:$CD425))</f>
        <v>115</v>
      </c>
      <c r="S440">
        <f>IF($E440=0,0,SUMPRODUCT($AI$13:$DF$13,'Staff Daily sales'!$G425:$CD425))</f>
        <v>24361.51</v>
      </c>
      <c r="T440">
        <f>IF($E440=0,0,SUMPRODUCT($AI$14:$DF$14,'Staff Daily sales'!$G425:$CD425))</f>
        <v>124</v>
      </c>
      <c r="U440">
        <f>IF($E440=0,0,SUMPRODUCT($AI$15:$DF$15,'Staff Daily sales'!$G425:$CD425))</f>
        <v>8754.92</v>
      </c>
      <c r="V440">
        <f>IF($E440=0,0,SUMPRODUCT($AI$16:$DF$16,'Staff Daily sales'!$G425:$CD425))</f>
        <v>39</v>
      </c>
      <c r="W440">
        <f t="shared" si="127"/>
        <v>115740.80999999998</v>
      </c>
      <c r="X440">
        <f t="shared" si="128"/>
        <v>190011.57</v>
      </c>
      <c r="Y440">
        <f t="shared" si="129"/>
        <v>169311.13</v>
      </c>
      <c r="Z440">
        <f t="shared" si="130"/>
        <v>161687.34</v>
      </c>
      <c r="AA440">
        <f t="shared" si="131"/>
        <v>36689.410000000003</v>
      </c>
      <c r="AB440">
        <f>--AND($E440=1,OR('Staff Weekly Trend'!$B$3="All",$DH440='Staff Weekly Trend'!$B$3),OR('Staff Weekly Trend'!$B$4="All",$D440='Staff Weekly Trend'!$B$4),OR('Staff Weekly Trend'!$B$5="All",$A440='Staff Weekly Trend'!$B$5))</f>
        <v>1</v>
      </c>
      <c r="AC440">
        <f t="shared" si="132"/>
        <v>2</v>
      </c>
      <c r="AI440">
        <f t="shared" si="133"/>
        <v>578</v>
      </c>
      <c r="AJ440">
        <f t="shared" si="134"/>
        <v>938</v>
      </c>
      <c r="AK440">
        <f t="shared" si="135"/>
        <v>829</v>
      </c>
      <c r="AL440">
        <f t="shared" si="136"/>
        <v>766</v>
      </c>
      <c r="AM440">
        <f t="shared" si="137"/>
        <v>180</v>
      </c>
      <c r="DH440" t="str" cm="1">
        <f t="array" ref="DH440">IF($A440="","",_xlfn.LET(_xlpm.c,IFERROR(_xlfn.XLOOKUP($A440,TRIM('Sales and count'!$A$4:$A$300&amp;""),TRIM('Sales and count'!$B$4:$B$300&amp;"")),""),IF(OR(_xlpm.c="",_xlpm.c="0",LEFT(_xlpm.c,1)="#"),"Not set",_xlpm.c)))</f>
        <v>KSA</v>
      </c>
    </row>
    <row r="441" spans="1:112" x14ac:dyDescent="0.25">
      <c r="A441" t="str">
        <f>IF('Staff Daily sales'!$B426="","",TRIM('Staff Daily sales'!$B426&amp;""))</f>
        <v>HADARTAW2</v>
      </c>
      <c r="B441" t="str">
        <f>IF('Staff Daily sales'!$D426="","",TRIM('Staff Daily sales'!$D426&amp;""))</f>
        <v>5979-AAlmarhabi</v>
      </c>
      <c r="C441" t="str">
        <f>IFERROR(TRIM('Staff Daily sales'!$E426&amp;""),"")</f>
        <v>Makkah</v>
      </c>
      <c r="D441" t="str">
        <f>IFERROR(IF(TRIM('Staff Daily sales'!$F426&amp;"")="","Unassigned",TRIM('Staff Daily sales'!$F426&amp;"")),"Unassigned")</f>
        <v>Maram Zamzami</v>
      </c>
      <c r="E441">
        <f t="shared" si="122"/>
        <v>1</v>
      </c>
      <c r="F441">
        <f>IF($E441=0,0,SUMPRODUCT($AI$5:$DF$5,'Staff Daily sales'!$G426:$CD426))</f>
        <v>0</v>
      </c>
      <c r="G441">
        <f>IF($E441=0,0,SUMPRODUCT($AI$6:$DF$6,'Staff Daily sales'!$G426:$CD426))</f>
        <v>0</v>
      </c>
      <c r="H441">
        <f t="shared" si="123"/>
        <v>25167</v>
      </c>
      <c r="I441">
        <f t="shared" si="124"/>
        <v>104</v>
      </c>
      <c r="J441">
        <f t="shared" si="125"/>
        <v>89423.479999999967</v>
      </c>
      <c r="K441">
        <f t="shared" si="126"/>
        <v>413</v>
      </c>
      <c r="L441">
        <f>--AND($E441=1,OR('Staff Dashboard'!$B$6="All",$DH441='Staff Dashboard'!$B$6),OR('Staff Dashboard'!$B$7="All",$D441='Staff Dashboard'!$B$7),OR('Staff Dashboard'!$B$8="All",$A441='Staff Dashboard'!$B$8))</f>
        <v>1</v>
      </c>
      <c r="M441">
        <f>IF($E441=0,0,SUMPRODUCT($AI$7:$DF$7,'Staff Daily sales'!$G426:$CD426))</f>
        <v>12640.25</v>
      </c>
      <c r="N441">
        <f>IF($E441=0,0,SUMPRODUCT($AI$8:$DF$8,'Staff Daily sales'!$G426:$CD426))</f>
        <v>63</v>
      </c>
      <c r="O441">
        <f>IF($E441=0,0,SUMPRODUCT($AI$9:$DF$9,'Staff Daily sales'!$G426:$CD426))</f>
        <v>13588.220000000001</v>
      </c>
      <c r="P441">
        <f>IF($E441=0,0,SUMPRODUCT($AI$10:$DF$10,'Staff Daily sales'!$G426:$CD426))</f>
        <v>74</v>
      </c>
      <c r="Q441">
        <f>IF($E441=0,0,SUMPRODUCT($AI$11:$DF$11,'Staff Daily sales'!$G426:$CD426))</f>
        <v>12031.260000000002</v>
      </c>
      <c r="R441">
        <f>IF($E441=0,0,SUMPRODUCT($AI$12:$DF$12,'Staff Daily sales'!$G426:$CD426))</f>
        <v>67</v>
      </c>
      <c r="S441">
        <f>IF($E441=0,0,SUMPRODUCT($AI$13:$DF$13,'Staff Daily sales'!$G426:$CD426))</f>
        <v>2098.06</v>
      </c>
      <c r="T441">
        <f>IF($E441=0,0,SUMPRODUCT($AI$14:$DF$14,'Staff Daily sales'!$G426:$CD426))</f>
        <v>9</v>
      </c>
      <c r="U441">
        <f>IF($E441=0,0,SUMPRODUCT($AI$15:$DF$15,'Staff Daily sales'!$G426:$CD426))</f>
        <v>0</v>
      </c>
      <c r="V441">
        <f>IF($E441=0,0,SUMPRODUCT($AI$16:$DF$16,'Staff Daily sales'!$G426:$CD426))</f>
        <v>0</v>
      </c>
      <c r="W441">
        <f t="shared" si="127"/>
        <v>115740.80999999998</v>
      </c>
      <c r="X441">
        <f t="shared" si="128"/>
        <v>190011.57</v>
      </c>
      <c r="Y441">
        <f t="shared" si="129"/>
        <v>169311.13</v>
      </c>
      <c r="Z441">
        <f t="shared" si="130"/>
        <v>161687.34</v>
      </c>
      <c r="AA441">
        <f t="shared" si="131"/>
        <v>36689.410000000003</v>
      </c>
      <c r="AB441">
        <f>--AND($E441=1,OR('Staff Weekly Trend'!$B$3="All",$DH441='Staff Weekly Trend'!$B$3),OR('Staff Weekly Trend'!$B$4="All",$D441='Staff Weekly Trend'!$B$4),OR('Staff Weekly Trend'!$B$5="All",$A441='Staff Weekly Trend'!$B$5))</f>
        <v>1</v>
      </c>
      <c r="AC441" t="str">
        <f t="shared" si="132"/>
        <v/>
      </c>
      <c r="AI441">
        <f t="shared" si="133"/>
        <v>578</v>
      </c>
      <c r="AJ441">
        <f t="shared" si="134"/>
        <v>938</v>
      </c>
      <c r="AK441">
        <f t="shared" si="135"/>
        <v>829</v>
      </c>
      <c r="AL441">
        <f t="shared" si="136"/>
        <v>766</v>
      </c>
      <c r="AM441">
        <f t="shared" si="137"/>
        <v>180</v>
      </c>
      <c r="DH441" t="str" cm="1">
        <f t="array" ref="DH441">IF($A441="","",_xlfn.LET(_xlpm.c,IFERROR(_xlfn.XLOOKUP($A441,TRIM('Sales and count'!$A$4:$A$300&amp;""),TRIM('Sales and count'!$B$4:$B$300&amp;"")),""),IF(OR(_xlpm.c="",_xlpm.c="0",LEFT(_xlpm.c,1)="#"),"Not set",_xlpm.c)))</f>
        <v>KSA</v>
      </c>
    </row>
    <row r="442" spans="1:112" x14ac:dyDescent="0.25">
      <c r="A442" t="str">
        <f>IF('Staff Daily sales'!$B427="","",TRIM('Staff Daily sales'!$B427&amp;""))</f>
        <v>HADARTAW2</v>
      </c>
      <c r="B442" t="str">
        <f>IF('Staff Daily sales'!$D427="","",TRIM('Staff Daily sales'!$D427&amp;""))</f>
        <v>6050-AAlsalam</v>
      </c>
      <c r="C442" t="str">
        <f>IFERROR(TRIM('Staff Daily sales'!$E427&amp;""),"")</f>
        <v>Makkah</v>
      </c>
      <c r="D442" t="str">
        <f>IFERROR(IF(TRIM('Staff Daily sales'!$F427&amp;"")="","Unassigned",TRIM('Staff Daily sales'!$F427&amp;"")),"Unassigned")</f>
        <v>Maram Zamzami</v>
      </c>
      <c r="E442">
        <f t="shared" si="122"/>
        <v>1</v>
      </c>
      <c r="F442">
        <f>IF($E442=0,0,SUMPRODUCT($AI$5:$DF$5,'Staff Daily sales'!$G427:$CD427))</f>
        <v>0</v>
      </c>
      <c r="G442">
        <f>IF($E442=0,0,SUMPRODUCT($AI$6:$DF$6,'Staff Daily sales'!$G427:$CD427))</f>
        <v>0</v>
      </c>
      <c r="H442">
        <f t="shared" si="123"/>
        <v>25167</v>
      </c>
      <c r="I442">
        <f t="shared" si="124"/>
        <v>104</v>
      </c>
      <c r="J442">
        <f t="shared" si="125"/>
        <v>89423.479999999967</v>
      </c>
      <c r="K442">
        <f t="shared" si="126"/>
        <v>413</v>
      </c>
      <c r="L442">
        <f>--AND($E442=1,OR('Staff Dashboard'!$B$6="All",$DH442='Staff Dashboard'!$B$6),OR('Staff Dashboard'!$B$7="All",$D442='Staff Dashboard'!$B$7),OR('Staff Dashboard'!$B$8="All",$A442='Staff Dashboard'!$B$8))</f>
        <v>1</v>
      </c>
      <c r="M442">
        <f>IF($E442=0,0,SUMPRODUCT($AI$7:$DF$7,'Staff Daily sales'!$G427:$CD427))</f>
        <v>6254.14</v>
      </c>
      <c r="N442">
        <f>IF($E442=0,0,SUMPRODUCT($AI$8:$DF$8,'Staff Daily sales'!$G427:$CD427))</f>
        <v>30</v>
      </c>
      <c r="O442">
        <f>IF($E442=0,0,SUMPRODUCT($AI$9:$DF$9,'Staff Daily sales'!$G427:$CD427))</f>
        <v>14592.27</v>
      </c>
      <c r="P442">
        <f>IF($E442=0,0,SUMPRODUCT($AI$10:$DF$10,'Staff Daily sales'!$G427:$CD427))</f>
        <v>67</v>
      </c>
      <c r="Q442">
        <f>IF($E442=0,0,SUMPRODUCT($AI$11:$DF$11,'Staff Daily sales'!$G427:$CD427))</f>
        <v>6273.09</v>
      </c>
      <c r="R442">
        <f>IF($E442=0,0,SUMPRODUCT($AI$12:$DF$12,'Staff Daily sales'!$G427:$CD427))</f>
        <v>31</v>
      </c>
      <c r="S442">
        <f>IF($E442=0,0,SUMPRODUCT($AI$13:$DF$13,'Staff Daily sales'!$G427:$CD427))</f>
        <v>0</v>
      </c>
      <c r="T442">
        <f>IF($E442=0,0,SUMPRODUCT($AI$14:$DF$14,'Staff Daily sales'!$G427:$CD427))</f>
        <v>0</v>
      </c>
      <c r="U442">
        <f>IF($E442=0,0,SUMPRODUCT($AI$15:$DF$15,'Staff Daily sales'!$G427:$CD427))</f>
        <v>0</v>
      </c>
      <c r="V442">
        <f>IF($E442=0,0,SUMPRODUCT($AI$16:$DF$16,'Staff Daily sales'!$G427:$CD427))</f>
        <v>0</v>
      </c>
      <c r="W442">
        <f t="shared" si="127"/>
        <v>115740.80999999998</v>
      </c>
      <c r="X442">
        <f t="shared" si="128"/>
        <v>190011.57</v>
      </c>
      <c r="Y442">
        <f t="shared" si="129"/>
        <v>169311.13</v>
      </c>
      <c r="Z442">
        <f t="shared" si="130"/>
        <v>161687.34</v>
      </c>
      <c r="AA442">
        <f t="shared" si="131"/>
        <v>36689.410000000003</v>
      </c>
      <c r="AB442">
        <f>--AND($E442=1,OR('Staff Weekly Trend'!$B$3="All",$DH442='Staff Weekly Trend'!$B$3),OR('Staff Weekly Trend'!$B$4="All",$D442='Staff Weekly Trend'!$B$4),OR('Staff Weekly Trend'!$B$5="All",$A442='Staff Weekly Trend'!$B$5))</f>
        <v>1</v>
      </c>
      <c r="AC442" t="str">
        <f t="shared" si="132"/>
        <v/>
      </c>
      <c r="AI442">
        <f t="shared" si="133"/>
        <v>578</v>
      </c>
      <c r="AJ442">
        <f t="shared" si="134"/>
        <v>938</v>
      </c>
      <c r="AK442">
        <f t="shared" si="135"/>
        <v>829</v>
      </c>
      <c r="AL442">
        <f t="shared" si="136"/>
        <v>766</v>
      </c>
      <c r="AM442">
        <f t="shared" si="137"/>
        <v>180</v>
      </c>
      <c r="DH442" t="str" cm="1">
        <f t="array" ref="DH442">IF($A442="","",_xlfn.LET(_xlpm.c,IFERROR(_xlfn.XLOOKUP($A442,TRIM('Sales and count'!$A$4:$A$300&amp;""),TRIM('Sales and count'!$B$4:$B$300&amp;"")),""),IF(OR(_xlpm.c="",_xlpm.c="0",LEFT(_xlpm.c,1)="#"),"Not set",_xlpm.c)))</f>
        <v>KSA</v>
      </c>
    </row>
    <row r="443" spans="1:112" x14ac:dyDescent="0.25">
      <c r="A443" t="str">
        <f>IF('Staff Daily sales'!$B428="","",TRIM('Staff Daily sales'!$B428&amp;""))</f>
        <v>HADARTAW2</v>
      </c>
      <c r="B443" t="str">
        <f>IF('Staff Daily sales'!$D428="","",TRIM('Staff Daily sales'!$D428&amp;""))</f>
        <v>6492-EAlmuwallad</v>
      </c>
      <c r="C443" t="str">
        <f>IFERROR(TRIM('Staff Daily sales'!$E428&amp;""),"")</f>
        <v>Makkah</v>
      </c>
      <c r="D443" t="str">
        <f>IFERROR(IF(TRIM('Staff Daily sales'!$F428&amp;"")="","Unassigned",TRIM('Staff Daily sales'!$F428&amp;"")),"Unassigned")</f>
        <v>Maram Zamzami</v>
      </c>
      <c r="E443">
        <f t="shared" si="122"/>
        <v>1</v>
      </c>
      <c r="F443">
        <f>IF($E443=0,0,SUMPRODUCT($AI$5:$DF$5,'Staff Daily sales'!$G428:$CD428))</f>
        <v>3177.92</v>
      </c>
      <c r="G443">
        <f>IF($E443=0,0,SUMPRODUCT($AI$6:$DF$6,'Staff Daily sales'!$G428:$CD428))</f>
        <v>13</v>
      </c>
      <c r="H443">
        <f t="shared" si="123"/>
        <v>25167</v>
      </c>
      <c r="I443">
        <f t="shared" si="124"/>
        <v>104</v>
      </c>
      <c r="J443">
        <f t="shared" si="125"/>
        <v>89423.479999999967</v>
      </c>
      <c r="K443">
        <f t="shared" si="126"/>
        <v>413</v>
      </c>
      <c r="L443">
        <f>--AND($E443=1,OR('Staff Dashboard'!$B$6="All",$DH443='Staff Dashboard'!$B$6),OR('Staff Dashboard'!$B$7="All",$D443='Staff Dashboard'!$B$7),OR('Staff Dashboard'!$B$8="All",$A443='Staff Dashboard'!$B$8))</f>
        <v>1</v>
      </c>
      <c r="M443">
        <f>IF($E443=0,0,SUMPRODUCT($AI$7:$DF$7,'Staff Daily sales'!$G428:$CD428))</f>
        <v>12351.31</v>
      </c>
      <c r="N443">
        <f>IF($E443=0,0,SUMPRODUCT($AI$8:$DF$8,'Staff Daily sales'!$G428:$CD428))</f>
        <v>71</v>
      </c>
      <c r="O443">
        <f>IF($E443=0,0,SUMPRODUCT($AI$9:$DF$9,'Staff Daily sales'!$G428:$CD428))</f>
        <v>16621.3</v>
      </c>
      <c r="P443">
        <f>IF($E443=0,0,SUMPRODUCT($AI$10:$DF$10,'Staff Daily sales'!$G428:$CD428))</f>
        <v>97</v>
      </c>
      <c r="Q443">
        <f>IF($E443=0,0,SUMPRODUCT($AI$11:$DF$11,'Staff Daily sales'!$G428:$CD428))</f>
        <v>14497.21</v>
      </c>
      <c r="R443">
        <f>IF($E443=0,0,SUMPRODUCT($AI$12:$DF$12,'Staff Daily sales'!$G428:$CD428))</f>
        <v>86</v>
      </c>
      <c r="S443">
        <f>IF($E443=0,0,SUMPRODUCT($AI$13:$DF$13,'Staff Daily sales'!$G428:$CD428))</f>
        <v>17831.02</v>
      </c>
      <c r="T443">
        <f>IF($E443=0,0,SUMPRODUCT($AI$14:$DF$14,'Staff Daily sales'!$G428:$CD428))</f>
        <v>84</v>
      </c>
      <c r="U443">
        <f>IF($E443=0,0,SUMPRODUCT($AI$15:$DF$15,'Staff Daily sales'!$G428:$CD428))</f>
        <v>5861.8899999999994</v>
      </c>
      <c r="V443">
        <f>IF($E443=0,0,SUMPRODUCT($AI$16:$DF$16,'Staff Daily sales'!$G428:$CD428))</f>
        <v>31</v>
      </c>
      <c r="W443">
        <f t="shared" si="127"/>
        <v>115740.80999999998</v>
      </c>
      <c r="X443">
        <f t="shared" si="128"/>
        <v>190011.57</v>
      </c>
      <c r="Y443">
        <f t="shared" si="129"/>
        <v>169311.13</v>
      </c>
      <c r="Z443">
        <f t="shared" si="130"/>
        <v>161687.34</v>
      </c>
      <c r="AA443">
        <f t="shared" si="131"/>
        <v>36689.410000000003</v>
      </c>
      <c r="AB443">
        <f>--AND($E443=1,OR('Staff Weekly Trend'!$B$3="All",$DH443='Staff Weekly Trend'!$B$3),OR('Staff Weekly Trend'!$B$4="All",$D443='Staff Weekly Trend'!$B$4),OR('Staff Weekly Trend'!$B$5="All",$A443='Staff Weekly Trend'!$B$5))</f>
        <v>1</v>
      </c>
      <c r="AC443">
        <f t="shared" si="132"/>
        <v>5</v>
      </c>
      <c r="AI443">
        <f t="shared" si="133"/>
        <v>578</v>
      </c>
      <c r="AJ443">
        <f t="shared" si="134"/>
        <v>938</v>
      </c>
      <c r="AK443">
        <f t="shared" si="135"/>
        <v>829</v>
      </c>
      <c r="AL443">
        <f t="shared" si="136"/>
        <v>766</v>
      </c>
      <c r="AM443">
        <f t="shared" si="137"/>
        <v>180</v>
      </c>
      <c r="DH443" t="str" cm="1">
        <f t="array" ref="DH443">IF($A443="","",_xlfn.LET(_xlpm.c,IFERROR(_xlfn.XLOOKUP($A443,TRIM('Sales and count'!$A$4:$A$300&amp;""),TRIM('Sales and count'!$B$4:$B$300&amp;"")),""),IF(OR(_xlpm.c="",_xlpm.c="0",LEFT(_xlpm.c,1)="#"),"Not set",_xlpm.c)))</f>
        <v>KSA</v>
      </c>
    </row>
    <row r="444" spans="1:112" x14ac:dyDescent="0.25">
      <c r="A444" t="str">
        <f>IF('Staff Daily sales'!$B429="","",TRIM('Staff Daily sales'!$B429&amp;""))</f>
        <v>HADARTAW2</v>
      </c>
      <c r="B444" t="str">
        <f>IF('Staff Daily sales'!$D429="","",TRIM('Staff Daily sales'!$D429&amp;""))</f>
        <v>6494-AAlMuwallad</v>
      </c>
      <c r="C444" t="str">
        <f>IFERROR(TRIM('Staff Daily sales'!$E429&amp;""),"")</f>
        <v>Makkah</v>
      </c>
      <c r="D444" t="str">
        <f>IFERROR(IF(TRIM('Staff Daily sales'!$F429&amp;"")="","Unassigned",TRIM('Staff Daily sales'!$F429&amp;"")),"Unassigned")</f>
        <v>Maram Zamzami</v>
      </c>
      <c r="E444">
        <f t="shared" si="122"/>
        <v>1</v>
      </c>
      <c r="F444">
        <f>IF($E444=0,0,SUMPRODUCT($AI$5:$DF$5,'Staff Daily sales'!$G429:$CD429))</f>
        <v>2396.96</v>
      </c>
      <c r="G444">
        <f>IF($E444=0,0,SUMPRODUCT($AI$6:$DF$6,'Staff Daily sales'!$G429:$CD429))</f>
        <v>9</v>
      </c>
      <c r="H444">
        <f t="shared" si="123"/>
        <v>25167</v>
      </c>
      <c r="I444">
        <f t="shared" si="124"/>
        <v>104</v>
      </c>
      <c r="J444">
        <f t="shared" si="125"/>
        <v>89423.479999999967</v>
      </c>
      <c r="K444">
        <f t="shared" si="126"/>
        <v>413</v>
      </c>
      <c r="L444">
        <f>--AND($E444=1,OR('Staff Dashboard'!$B$6="All",$DH444='Staff Dashboard'!$B$6),OR('Staff Dashboard'!$B$7="All",$D444='Staff Dashboard'!$B$7),OR('Staff Dashboard'!$B$8="All",$A444='Staff Dashboard'!$B$8))</f>
        <v>1</v>
      </c>
      <c r="M444">
        <f>IF($E444=0,0,SUMPRODUCT($AI$7:$DF$7,'Staff Daily sales'!$G429:$CD429))</f>
        <v>12813.42</v>
      </c>
      <c r="N444">
        <f>IF($E444=0,0,SUMPRODUCT($AI$8:$DF$8,'Staff Daily sales'!$G429:$CD429))</f>
        <v>66</v>
      </c>
      <c r="O444">
        <f>IF($E444=0,0,SUMPRODUCT($AI$9:$DF$9,'Staff Daily sales'!$G429:$CD429))</f>
        <v>15637.309999999998</v>
      </c>
      <c r="P444">
        <f>IF($E444=0,0,SUMPRODUCT($AI$10:$DF$10,'Staff Daily sales'!$G429:$CD429))</f>
        <v>80</v>
      </c>
      <c r="Q444">
        <f>IF($E444=0,0,SUMPRODUCT($AI$11:$DF$11,'Staff Daily sales'!$G429:$CD429))</f>
        <v>9838.25</v>
      </c>
      <c r="R444">
        <f>IF($E444=0,0,SUMPRODUCT($AI$12:$DF$12,'Staff Daily sales'!$G429:$CD429))</f>
        <v>51</v>
      </c>
      <c r="S444">
        <f>IF($E444=0,0,SUMPRODUCT($AI$13:$DF$13,'Staff Daily sales'!$G429:$CD429))</f>
        <v>15721.829999999998</v>
      </c>
      <c r="T444">
        <f>IF($E444=0,0,SUMPRODUCT($AI$14:$DF$14,'Staff Daily sales'!$G429:$CD429))</f>
        <v>73</v>
      </c>
      <c r="U444">
        <f>IF($E444=0,0,SUMPRODUCT($AI$15:$DF$15,'Staff Daily sales'!$G429:$CD429))</f>
        <v>2037.92</v>
      </c>
      <c r="V444">
        <f>IF($E444=0,0,SUMPRODUCT($AI$16:$DF$16,'Staff Daily sales'!$G429:$CD429))</f>
        <v>13</v>
      </c>
      <c r="W444">
        <f t="shared" si="127"/>
        <v>115740.80999999998</v>
      </c>
      <c r="X444">
        <f t="shared" si="128"/>
        <v>190011.57</v>
      </c>
      <c r="Y444">
        <f t="shared" si="129"/>
        <v>169311.13</v>
      </c>
      <c r="Z444">
        <f t="shared" si="130"/>
        <v>161687.34</v>
      </c>
      <c r="AA444">
        <f t="shared" si="131"/>
        <v>36689.410000000003</v>
      </c>
      <c r="AB444">
        <f>--AND($E444=1,OR('Staff Weekly Trend'!$B$3="All",$DH444='Staff Weekly Trend'!$B$3),OR('Staff Weekly Trend'!$B$4="All",$D444='Staff Weekly Trend'!$B$4),OR('Staff Weekly Trend'!$B$5="All",$A444='Staff Weekly Trend'!$B$5))</f>
        <v>1</v>
      </c>
      <c r="AC444">
        <f t="shared" si="132"/>
        <v>6</v>
      </c>
      <c r="AI444">
        <f t="shared" si="133"/>
        <v>578</v>
      </c>
      <c r="AJ444">
        <f t="shared" si="134"/>
        <v>938</v>
      </c>
      <c r="AK444">
        <f t="shared" si="135"/>
        <v>829</v>
      </c>
      <c r="AL444">
        <f t="shared" si="136"/>
        <v>766</v>
      </c>
      <c r="AM444">
        <f t="shared" si="137"/>
        <v>180</v>
      </c>
      <c r="DH444" t="str" cm="1">
        <f t="array" ref="DH444">IF($A444="","",_xlfn.LET(_xlpm.c,IFERROR(_xlfn.XLOOKUP($A444,TRIM('Sales and count'!$A$4:$A$300&amp;""),TRIM('Sales and count'!$B$4:$B$300&amp;"")),""),IF(OR(_xlpm.c="",_xlpm.c="0",LEFT(_xlpm.c,1)="#"),"Not set",_xlpm.c)))</f>
        <v>KSA</v>
      </c>
    </row>
    <row r="445" spans="1:112" x14ac:dyDescent="0.25">
      <c r="A445" t="str">
        <f>IF('Staff Daily sales'!$B430="","",TRIM('Staff Daily sales'!$B430&amp;""))</f>
        <v>HADARTAW2</v>
      </c>
      <c r="B445" t="str">
        <f>IF('Staff Daily sales'!$D430="","",TRIM('Staff Daily sales'!$D430&amp;""))</f>
        <v>6627-LMikwar</v>
      </c>
      <c r="C445" t="str">
        <f>IFERROR(TRIM('Staff Daily sales'!$E430&amp;""),"")</f>
        <v>Makkah</v>
      </c>
      <c r="D445" t="str">
        <f>IFERROR(IF(TRIM('Staff Daily sales'!$F430&amp;"")="","Unassigned",TRIM('Staff Daily sales'!$F430&amp;"")),"Unassigned")</f>
        <v>Maram Zamzami</v>
      </c>
      <c r="E445">
        <f t="shared" si="122"/>
        <v>1</v>
      </c>
      <c r="F445">
        <f>IF($E445=0,0,SUMPRODUCT($AI$5:$DF$5,'Staff Daily sales'!$G430:$CD430))</f>
        <v>4059.72</v>
      </c>
      <c r="G445">
        <f>IF($E445=0,0,SUMPRODUCT($AI$6:$DF$6,'Staff Daily sales'!$G430:$CD430))</f>
        <v>17</v>
      </c>
      <c r="H445">
        <f t="shared" si="123"/>
        <v>25167</v>
      </c>
      <c r="I445">
        <f t="shared" si="124"/>
        <v>104</v>
      </c>
      <c r="J445">
        <f t="shared" si="125"/>
        <v>89423.479999999967</v>
      </c>
      <c r="K445">
        <f t="shared" si="126"/>
        <v>413</v>
      </c>
      <c r="L445">
        <f>--AND($E445=1,OR('Staff Dashboard'!$B$6="All",$DH445='Staff Dashboard'!$B$6),OR('Staff Dashboard'!$B$7="All",$D445='Staff Dashboard'!$B$7),OR('Staff Dashboard'!$B$8="All",$A445='Staff Dashboard'!$B$8))</f>
        <v>1</v>
      </c>
      <c r="M445">
        <f>IF($E445=0,0,SUMPRODUCT($AI$7:$DF$7,'Staff Daily sales'!$G430:$CD430))</f>
        <v>13154.27</v>
      </c>
      <c r="N445">
        <f>IF($E445=0,0,SUMPRODUCT($AI$8:$DF$8,'Staff Daily sales'!$G430:$CD430))</f>
        <v>59</v>
      </c>
      <c r="O445">
        <f>IF($E445=0,0,SUMPRODUCT($AI$9:$DF$9,'Staff Daily sales'!$G430:$CD430))</f>
        <v>31343.68</v>
      </c>
      <c r="P445">
        <f>IF($E445=0,0,SUMPRODUCT($AI$10:$DF$10,'Staff Daily sales'!$G430:$CD430))</f>
        <v>125</v>
      </c>
      <c r="Q445">
        <f>IF($E445=0,0,SUMPRODUCT($AI$11:$DF$11,'Staff Daily sales'!$G430:$CD430))</f>
        <v>27463.61</v>
      </c>
      <c r="R445">
        <f>IF($E445=0,0,SUMPRODUCT($AI$12:$DF$12,'Staff Daily sales'!$G430:$CD430))</f>
        <v>112</v>
      </c>
      <c r="S445">
        <f>IF($E445=0,0,SUMPRODUCT($AI$13:$DF$13,'Staff Daily sales'!$G430:$CD430))</f>
        <v>29826.36</v>
      </c>
      <c r="T445">
        <f>IF($E445=0,0,SUMPRODUCT($AI$14:$DF$14,'Staff Daily sales'!$G430:$CD430))</f>
        <v>125</v>
      </c>
      <c r="U445">
        <f>IF($E445=0,0,SUMPRODUCT($AI$15:$DF$15,'Staff Daily sales'!$G430:$CD430))</f>
        <v>3940.31</v>
      </c>
      <c r="V445">
        <f>IF($E445=0,0,SUMPRODUCT($AI$16:$DF$16,'Staff Daily sales'!$G430:$CD430))</f>
        <v>20</v>
      </c>
      <c r="W445">
        <f t="shared" si="127"/>
        <v>115740.80999999998</v>
      </c>
      <c r="X445">
        <f t="shared" si="128"/>
        <v>190011.57</v>
      </c>
      <c r="Y445">
        <f t="shared" si="129"/>
        <v>169311.13</v>
      </c>
      <c r="Z445">
        <f t="shared" si="130"/>
        <v>161687.34</v>
      </c>
      <c r="AA445">
        <f t="shared" si="131"/>
        <v>36689.410000000003</v>
      </c>
      <c r="AB445">
        <f>--AND($E445=1,OR('Staff Weekly Trend'!$B$3="All",$DH445='Staff Weekly Trend'!$B$3),OR('Staff Weekly Trend'!$B$4="All",$D445='Staff Weekly Trend'!$B$4),OR('Staff Weekly Trend'!$B$5="All",$A445='Staff Weekly Trend'!$B$5))</f>
        <v>1</v>
      </c>
      <c r="AC445">
        <f t="shared" si="132"/>
        <v>4</v>
      </c>
      <c r="AI445">
        <f t="shared" si="133"/>
        <v>578</v>
      </c>
      <c r="AJ445">
        <f t="shared" si="134"/>
        <v>938</v>
      </c>
      <c r="AK445">
        <f t="shared" si="135"/>
        <v>829</v>
      </c>
      <c r="AL445">
        <f t="shared" si="136"/>
        <v>766</v>
      </c>
      <c r="AM445">
        <f t="shared" si="137"/>
        <v>180</v>
      </c>
      <c r="DH445" t="str" cm="1">
        <f t="array" ref="DH445">IF($A445="","",_xlfn.LET(_xlpm.c,IFERROR(_xlfn.XLOOKUP($A445,TRIM('Sales and count'!$A$4:$A$300&amp;""),TRIM('Sales and count'!$B$4:$B$300&amp;"")),""),IF(OR(_xlpm.c="",_xlpm.c="0",LEFT(_xlpm.c,1)="#"),"Not set",_xlpm.c)))</f>
        <v>KSA</v>
      </c>
    </row>
    <row r="446" spans="1:112" x14ac:dyDescent="0.25">
      <c r="A446" t="str">
        <f>IF('Staff Daily sales'!$B431="","",TRIM('Staff Daily sales'!$B431&amp;""))</f>
        <v>HADARTAW2</v>
      </c>
      <c r="B446" t="str">
        <f>IF('Staff Daily sales'!$D431="","",TRIM('Staff Daily sales'!$D431&amp;""))</f>
        <v>6926-MBaghdadi</v>
      </c>
      <c r="C446" t="str">
        <f>IFERROR(TRIM('Staff Daily sales'!$E431&amp;""),"")</f>
        <v>Makkah</v>
      </c>
      <c r="D446" t="str">
        <f>IFERROR(IF(TRIM('Staff Daily sales'!$F431&amp;"")="","Unassigned",TRIM('Staff Daily sales'!$F431&amp;"")),"Unassigned")</f>
        <v>Maram Zamzami</v>
      </c>
      <c r="E446">
        <f t="shared" si="122"/>
        <v>1</v>
      </c>
      <c r="F446">
        <f>IF($E446=0,0,SUMPRODUCT($AI$5:$DF$5,'Staff Daily sales'!$G431:$CD431))</f>
        <v>409.99</v>
      </c>
      <c r="G446">
        <f>IF($E446=0,0,SUMPRODUCT($AI$6:$DF$6,'Staff Daily sales'!$G431:$CD431))</f>
        <v>2</v>
      </c>
      <c r="H446">
        <f t="shared" si="123"/>
        <v>25167</v>
      </c>
      <c r="I446">
        <f t="shared" si="124"/>
        <v>104</v>
      </c>
      <c r="J446">
        <f t="shared" si="125"/>
        <v>89423.479999999967</v>
      </c>
      <c r="K446">
        <f t="shared" si="126"/>
        <v>413</v>
      </c>
      <c r="L446">
        <f>--AND($E446=1,OR('Staff Dashboard'!$B$6="All",$DH446='Staff Dashboard'!$B$6),OR('Staff Dashboard'!$B$7="All",$D446='Staff Dashboard'!$B$7),OR('Staff Dashboard'!$B$8="All",$A446='Staff Dashboard'!$B$8))</f>
        <v>1</v>
      </c>
      <c r="M446">
        <f>IF($E446=0,0,SUMPRODUCT($AI$7:$DF$7,'Staff Daily sales'!$G431:$CD431))</f>
        <v>13625.349999999999</v>
      </c>
      <c r="N446">
        <f>IF($E446=0,0,SUMPRODUCT($AI$8:$DF$8,'Staff Daily sales'!$G431:$CD431))</f>
        <v>76</v>
      </c>
      <c r="O446">
        <f>IF($E446=0,0,SUMPRODUCT($AI$9:$DF$9,'Staff Daily sales'!$G431:$CD431))</f>
        <v>20251.410000000003</v>
      </c>
      <c r="P446">
        <f>IF($E446=0,0,SUMPRODUCT($AI$10:$DF$10,'Staff Daily sales'!$G431:$CD431))</f>
        <v>81</v>
      </c>
      <c r="Q446">
        <f>IF($E446=0,0,SUMPRODUCT($AI$11:$DF$11,'Staff Daily sales'!$G431:$CD431))</f>
        <v>18013.410000000003</v>
      </c>
      <c r="R446">
        <f>IF($E446=0,0,SUMPRODUCT($AI$12:$DF$12,'Staff Daily sales'!$G431:$CD431))</f>
        <v>80</v>
      </c>
      <c r="S446">
        <f>IF($E446=0,0,SUMPRODUCT($AI$13:$DF$13,'Staff Daily sales'!$G431:$CD431))</f>
        <v>18995.650000000001</v>
      </c>
      <c r="T446">
        <f>IF($E446=0,0,SUMPRODUCT($AI$14:$DF$14,'Staff Daily sales'!$G431:$CD431))</f>
        <v>87</v>
      </c>
      <c r="U446">
        <f>IF($E446=0,0,SUMPRODUCT($AI$15:$DF$15,'Staff Daily sales'!$G431:$CD431))</f>
        <v>0</v>
      </c>
      <c r="V446">
        <f>IF($E446=0,0,SUMPRODUCT($AI$16:$DF$16,'Staff Daily sales'!$G431:$CD431))</f>
        <v>0</v>
      </c>
      <c r="W446">
        <f t="shared" si="127"/>
        <v>115740.80999999998</v>
      </c>
      <c r="X446">
        <f t="shared" si="128"/>
        <v>190011.57</v>
      </c>
      <c r="Y446">
        <f t="shared" si="129"/>
        <v>169311.13</v>
      </c>
      <c r="Z446">
        <f t="shared" si="130"/>
        <v>161687.34</v>
      </c>
      <c r="AA446">
        <f t="shared" si="131"/>
        <v>36689.410000000003</v>
      </c>
      <c r="AB446">
        <f>--AND($E446=1,OR('Staff Weekly Trend'!$B$3="All",$DH446='Staff Weekly Trend'!$B$3),OR('Staff Weekly Trend'!$B$4="All",$D446='Staff Weekly Trend'!$B$4),OR('Staff Weekly Trend'!$B$5="All",$A446='Staff Weekly Trend'!$B$5))</f>
        <v>1</v>
      </c>
      <c r="AC446">
        <f t="shared" si="132"/>
        <v>8</v>
      </c>
      <c r="AI446">
        <f t="shared" si="133"/>
        <v>578</v>
      </c>
      <c r="AJ446">
        <f t="shared" si="134"/>
        <v>938</v>
      </c>
      <c r="AK446">
        <f t="shared" si="135"/>
        <v>829</v>
      </c>
      <c r="AL446">
        <f t="shared" si="136"/>
        <v>766</v>
      </c>
      <c r="AM446">
        <f t="shared" si="137"/>
        <v>180</v>
      </c>
      <c r="DH446" t="str" cm="1">
        <f t="array" ref="DH446">IF($A446="","",_xlfn.LET(_xlpm.c,IFERROR(_xlfn.XLOOKUP($A446,TRIM('Sales and count'!$A$4:$A$300&amp;""),TRIM('Sales and count'!$B$4:$B$300&amp;"")),""),IF(OR(_xlpm.c="",_xlpm.c="0",LEFT(_xlpm.c,1)="#"),"Not set",_xlpm.c)))</f>
        <v>KSA</v>
      </c>
    </row>
    <row r="447" spans="1:112" x14ac:dyDescent="0.25">
      <c r="A447" t="str">
        <f>IF('Staff Daily sales'!$B432="","",TRIM('Staff Daily sales'!$B432&amp;""))</f>
        <v>HADARTAW2</v>
      </c>
      <c r="B447" t="str">
        <f>IF('Staff Daily sales'!$D432="","",TRIM('Staff Daily sales'!$D432&amp;""))</f>
        <v>6929-AAlzahrani</v>
      </c>
      <c r="C447" t="str">
        <f>IFERROR(TRIM('Staff Daily sales'!$E432&amp;""),"")</f>
        <v>Makkah</v>
      </c>
      <c r="D447" t="str">
        <f>IFERROR(IF(TRIM('Staff Daily sales'!$F432&amp;"")="","Unassigned",TRIM('Staff Daily sales'!$F432&amp;"")),"Unassigned")</f>
        <v>Maram Zamzami</v>
      </c>
      <c r="E447">
        <f t="shared" si="122"/>
        <v>1</v>
      </c>
      <c r="F447">
        <f>IF($E447=0,0,SUMPRODUCT($AI$5:$DF$5,'Staff Daily sales'!$G432:$CD432))</f>
        <v>4315.8100000000004</v>
      </c>
      <c r="G447">
        <f>IF($E447=0,0,SUMPRODUCT($AI$6:$DF$6,'Staff Daily sales'!$G432:$CD432))</f>
        <v>15</v>
      </c>
      <c r="H447">
        <f t="shared" si="123"/>
        <v>25167</v>
      </c>
      <c r="I447">
        <f t="shared" si="124"/>
        <v>104</v>
      </c>
      <c r="J447">
        <f t="shared" si="125"/>
        <v>89423.479999999967</v>
      </c>
      <c r="K447">
        <f t="shared" si="126"/>
        <v>413</v>
      </c>
      <c r="L447">
        <f>--AND($E447=1,OR('Staff Dashboard'!$B$6="All",$DH447='Staff Dashboard'!$B$6),OR('Staff Dashboard'!$B$7="All",$D447='Staff Dashboard'!$B$7),OR('Staff Dashboard'!$B$8="All",$A447='Staff Dashboard'!$B$8))</f>
        <v>1</v>
      </c>
      <c r="M447">
        <f>IF($E447=0,0,SUMPRODUCT($AI$7:$DF$7,'Staff Daily sales'!$G432:$CD432))</f>
        <v>13314.399999999998</v>
      </c>
      <c r="N447">
        <f>IF($E447=0,0,SUMPRODUCT($AI$8:$DF$8,'Staff Daily sales'!$G432:$CD432))</f>
        <v>74</v>
      </c>
      <c r="O447">
        <f>IF($E447=0,0,SUMPRODUCT($AI$9:$DF$9,'Staff Daily sales'!$G432:$CD432))</f>
        <v>13401.21</v>
      </c>
      <c r="P447">
        <f>IF($E447=0,0,SUMPRODUCT($AI$10:$DF$10,'Staff Daily sales'!$G432:$CD432))</f>
        <v>80</v>
      </c>
      <c r="Q447">
        <f>IF($E447=0,0,SUMPRODUCT($AI$11:$DF$11,'Staff Daily sales'!$G432:$CD432))</f>
        <v>11033.16</v>
      </c>
      <c r="R447">
        <f>IF($E447=0,0,SUMPRODUCT($AI$12:$DF$12,'Staff Daily sales'!$G432:$CD432))</f>
        <v>66</v>
      </c>
      <c r="S447">
        <f>IF($E447=0,0,SUMPRODUCT($AI$13:$DF$13,'Staff Daily sales'!$G432:$CD432))</f>
        <v>21332.600000000002</v>
      </c>
      <c r="T447">
        <f>IF($E447=0,0,SUMPRODUCT($AI$14:$DF$14,'Staff Daily sales'!$G432:$CD432))</f>
        <v>90</v>
      </c>
      <c r="U447">
        <f>IF($E447=0,0,SUMPRODUCT($AI$15:$DF$15,'Staff Daily sales'!$G432:$CD432))</f>
        <v>3434.2</v>
      </c>
      <c r="V447">
        <f>IF($E447=0,0,SUMPRODUCT($AI$16:$DF$16,'Staff Daily sales'!$G432:$CD432))</f>
        <v>16</v>
      </c>
      <c r="W447">
        <f t="shared" si="127"/>
        <v>115740.80999999998</v>
      </c>
      <c r="X447">
        <f t="shared" si="128"/>
        <v>190011.57</v>
      </c>
      <c r="Y447">
        <f t="shared" si="129"/>
        <v>169311.13</v>
      </c>
      <c r="Z447">
        <f t="shared" si="130"/>
        <v>161687.34</v>
      </c>
      <c r="AA447">
        <f t="shared" si="131"/>
        <v>36689.410000000003</v>
      </c>
      <c r="AB447">
        <f>--AND($E447=1,OR('Staff Weekly Trend'!$B$3="All",$DH447='Staff Weekly Trend'!$B$3),OR('Staff Weekly Trend'!$B$4="All",$D447='Staff Weekly Trend'!$B$4),OR('Staff Weekly Trend'!$B$5="All",$A447='Staff Weekly Trend'!$B$5))</f>
        <v>1</v>
      </c>
      <c r="AC447">
        <f t="shared" si="132"/>
        <v>1</v>
      </c>
      <c r="AI447">
        <f t="shared" si="133"/>
        <v>578</v>
      </c>
      <c r="AJ447">
        <f t="shared" si="134"/>
        <v>938</v>
      </c>
      <c r="AK447">
        <f t="shared" si="135"/>
        <v>829</v>
      </c>
      <c r="AL447">
        <f t="shared" si="136"/>
        <v>766</v>
      </c>
      <c r="AM447">
        <f t="shared" si="137"/>
        <v>180</v>
      </c>
      <c r="DH447" t="str" cm="1">
        <f t="array" ref="DH447">IF($A447="","",_xlfn.LET(_xlpm.c,IFERROR(_xlfn.XLOOKUP($A447,TRIM('Sales and count'!$A$4:$A$300&amp;""),TRIM('Sales and count'!$B$4:$B$300&amp;"")),""),IF(OR(_xlpm.c="",_xlpm.c="0",LEFT(_xlpm.c,1)="#"),"Not set",_xlpm.c)))</f>
        <v>KSA</v>
      </c>
    </row>
    <row r="448" spans="1:112" x14ac:dyDescent="0.25">
      <c r="A448" t="str">
        <f>IF('Staff Daily sales'!$B433="","",TRIM('Staff Daily sales'!$B433&amp;""))</f>
        <v>HADARTAW2</v>
      </c>
      <c r="B448" t="str">
        <f>IF('Staff Daily sales'!$D433="","",TRIM('Staff Daily sales'!$D433&amp;""))</f>
        <v>7177-MIbrahim</v>
      </c>
      <c r="C448" t="str">
        <f>IFERROR(TRIM('Staff Daily sales'!$E433&amp;""),"")</f>
        <v>Makkah</v>
      </c>
      <c r="D448" t="str">
        <f>IFERROR(IF(TRIM('Staff Daily sales'!$F433&amp;"")="","Unassigned",TRIM('Staff Daily sales'!$F433&amp;"")),"Unassigned")</f>
        <v>Maram Zamzami</v>
      </c>
      <c r="E448">
        <f t="shared" si="122"/>
        <v>1</v>
      </c>
      <c r="F448">
        <f>IF($E448=0,0,SUMPRODUCT($AI$5:$DF$5,'Staff Daily sales'!$G433:$CD433))</f>
        <v>2139.89</v>
      </c>
      <c r="G448">
        <f>IF($E448=0,0,SUMPRODUCT($AI$6:$DF$6,'Staff Daily sales'!$G433:$CD433))</f>
        <v>11</v>
      </c>
      <c r="H448">
        <f t="shared" si="123"/>
        <v>25167</v>
      </c>
      <c r="I448">
        <f t="shared" si="124"/>
        <v>104</v>
      </c>
      <c r="J448">
        <f t="shared" si="125"/>
        <v>89423.479999999967</v>
      </c>
      <c r="K448">
        <f t="shared" si="126"/>
        <v>413</v>
      </c>
      <c r="L448">
        <f>--AND($E448=1,OR('Staff Dashboard'!$B$6="All",$DH448='Staff Dashboard'!$B$6),OR('Staff Dashboard'!$B$7="All",$D448='Staff Dashboard'!$B$7),OR('Staff Dashboard'!$B$8="All",$A448='Staff Dashboard'!$B$8))</f>
        <v>1</v>
      </c>
      <c r="M448">
        <f>IF($E448=0,0,SUMPRODUCT($AI$7:$DF$7,'Staff Daily sales'!$G433:$CD433))</f>
        <v>0</v>
      </c>
      <c r="N448">
        <f>IF($E448=0,0,SUMPRODUCT($AI$8:$DF$8,'Staff Daily sales'!$G433:$CD433))</f>
        <v>0</v>
      </c>
      <c r="O448">
        <f>IF($E448=0,0,SUMPRODUCT($AI$9:$DF$9,'Staff Daily sales'!$G433:$CD433))</f>
        <v>16626.29</v>
      </c>
      <c r="P448">
        <f>IF($E448=0,0,SUMPRODUCT($AI$10:$DF$10,'Staff Daily sales'!$G433:$CD433))</f>
        <v>97</v>
      </c>
      <c r="Q448">
        <f>IF($E448=0,0,SUMPRODUCT($AI$11:$DF$11,'Staff Daily sales'!$G433:$CD433))</f>
        <v>22250.350000000002</v>
      </c>
      <c r="R448">
        <f>IF($E448=0,0,SUMPRODUCT($AI$12:$DF$12,'Staff Daily sales'!$G433:$CD433))</f>
        <v>112</v>
      </c>
      <c r="S448">
        <f>IF($E448=0,0,SUMPRODUCT($AI$13:$DF$13,'Staff Daily sales'!$G433:$CD433))</f>
        <v>12756.829999999998</v>
      </c>
      <c r="T448">
        <f>IF($E448=0,0,SUMPRODUCT($AI$14:$DF$14,'Staff Daily sales'!$G433:$CD433))</f>
        <v>83</v>
      </c>
      <c r="U448">
        <f>IF($E448=0,0,SUMPRODUCT($AI$15:$DF$15,'Staff Daily sales'!$G433:$CD433))</f>
        <v>5287.23</v>
      </c>
      <c r="V448">
        <f>IF($E448=0,0,SUMPRODUCT($AI$16:$DF$16,'Staff Daily sales'!$G433:$CD433))</f>
        <v>24</v>
      </c>
      <c r="W448">
        <f t="shared" si="127"/>
        <v>115740.80999999998</v>
      </c>
      <c r="X448">
        <f t="shared" si="128"/>
        <v>190011.57</v>
      </c>
      <c r="Y448">
        <f t="shared" si="129"/>
        <v>169311.13</v>
      </c>
      <c r="Z448">
        <f t="shared" si="130"/>
        <v>161687.34</v>
      </c>
      <c r="AA448">
        <f t="shared" si="131"/>
        <v>36689.410000000003</v>
      </c>
      <c r="AB448">
        <f>--AND($E448=1,OR('Staff Weekly Trend'!$B$3="All",$DH448='Staff Weekly Trend'!$B$3),OR('Staff Weekly Trend'!$B$4="All",$D448='Staff Weekly Trend'!$B$4),OR('Staff Weekly Trend'!$B$5="All",$A448='Staff Weekly Trend'!$B$5))</f>
        <v>1</v>
      </c>
      <c r="AC448">
        <f t="shared" si="132"/>
        <v>7</v>
      </c>
      <c r="AI448">
        <f t="shared" si="133"/>
        <v>578</v>
      </c>
      <c r="AJ448">
        <f t="shared" si="134"/>
        <v>938</v>
      </c>
      <c r="AK448">
        <f t="shared" si="135"/>
        <v>829</v>
      </c>
      <c r="AL448">
        <f t="shared" si="136"/>
        <v>766</v>
      </c>
      <c r="AM448">
        <f t="shared" si="137"/>
        <v>180</v>
      </c>
      <c r="DH448" t="str" cm="1">
        <f t="array" ref="DH448">IF($A448="","",_xlfn.LET(_xlpm.c,IFERROR(_xlfn.XLOOKUP($A448,TRIM('Sales and count'!$A$4:$A$300&amp;""),TRIM('Sales and count'!$B$4:$B$300&amp;"")),""),IF(OR(_xlpm.c="",_xlpm.c="0",LEFT(_xlpm.c,1)="#"),"Not set",_xlpm.c)))</f>
        <v>KSA</v>
      </c>
    </row>
    <row r="449" spans="1:112" x14ac:dyDescent="0.25">
      <c r="A449" t="str">
        <f>IF('Staff Daily sales'!$B434="","",TRIM('Staff Daily sales'!$B434&amp;""))</f>
        <v>HADARTAW2</v>
      </c>
      <c r="B449" t="str">
        <f>IF('Staff Daily sales'!$D434="","",TRIM('Staff Daily sales'!$D434&amp;""))</f>
        <v>7201-WAlhasani</v>
      </c>
      <c r="C449" t="str">
        <f>IFERROR(TRIM('Staff Daily sales'!$E434&amp;""),"")</f>
        <v>Makkah</v>
      </c>
      <c r="D449" t="str">
        <f>IFERROR(IF(TRIM('Staff Daily sales'!$F434&amp;"")="","Unassigned",TRIM('Staff Daily sales'!$F434&amp;"")),"Unassigned")</f>
        <v>Maram Zamzami</v>
      </c>
      <c r="E449">
        <f t="shared" si="122"/>
        <v>1</v>
      </c>
      <c r="F449">
        <f>IF($E449=0,0,SUMPRODUCT($AI$5:$DF$5,'Staff Daily sales'!$G434:$CD434))</f>
        <v>4198.93</v>
      </c>
      <c r="G449">
        <f>IF($E449=0,0,SUMPRODUCT($AI$6:$DF$6,'Staff Daily sales'!$G434:$CD434))</f>
        <v>18</v>
      </c>
      <c r="H449">
        <f t="shared" si="123"/>
        <v>25167</v>
      </c>
      <c r="I449">
        <f t="shared" si="124"/>
        <v>104</v>
      </c>
      <c r="J449">
        <f t="shared" si="125"/>
        <v>89423.479999999967</v>
      </c>
      <c r="K449">
        <f t="shared" si="126"/>
        <v>413</v>
      </c>
      <c r="L449">
        <f>--AND($E449=1,OR('Staff Dashboard'!$B$6="All",$DH449='Staff Dashboard'!$B$6),OR('Staff Dashboard'!$B$7="All",$D449='Staff Dashboard'!$B$7),OR('Staff Dashboard'!$B$8="All",$A449='Staff Dashboard'!$B$8))</f>
        <v>1</v>
      </c>
      <c r="M449">
        <f>IF($E449=0,0,SUMPRODUCT($AI$7:$DF$7,'Staff Daily sales'!$G434:$CD434))</f>
        <v>17272.419999999998</v>
      </c>
      <c r="N449">
        <f>IF($E449=0,0,SUMPRODUCT($AI$8:$DF$8,'Staff Daily sales'!$G434:$CD434))</f>
        <v>81</v>
      </c>
      <c r="O449">
        <f>IF($E449=0,0,SUMPRODUCT($AI$9:$DF$9,'Staff Daily sales'!$G434:$CD434))</f>
        <v>26109.52</v>
      </c>
      <c r="P449">
        <f>IF($E449=0,0,SUMPRODUCT($AI$10:$DF$10,'Staff Daily sales'!$G434:$CD434))</f>
        <v>119</v>
      </c>
      <c r="Q449">
        <f>IF($E449=0,0,SUMPRODUCT($AI$11:$DF$11,'Staff Daily sales'!$G434:$CD434))</f>
        <v>22588.370000000003</v>
      </c>
      <c r="R449">
        <f>IF($E449=0,0,SUMPRODUCT($AI$12:$DF$12,'Staff Daily sales'!$G434:$CD434))</f>
        <v>109</v>
      </c>
      <c r="S449">
        <f>IF($E449=0,0,SUMPRODUCT($AI$13:$DF$13,'Staff Daily sales'!$G434:$CD434))</f>
        <v>16059.5</v>
      </c>
      <c r="T449">
        <f>IF($E449=0,0,SUMPRODUCT($AI$14:$DF$14,'Staff Daily sales'!$G434:$CD434))</f>
        <v>78</v>
      </c>
      <c r="U449">
        <f>IF($E449=0,0,SUMPRODUCT($AI$15:$DF$15,'Staff Daily sales'!$G434:$CD434))</f>
        <v>3753.8</v>
      </c>
      <c r="V449">
        <f>IF($E449=0,0,SUMPRODUCT($AI$16:$DF$16,'Staff Daily sales'!$G434:$CD434))</f>
        <v>20</v>
      </c>
      <c r="W449">
        <f t="shared" si="127"/>
        <v>115740.80999999998</v>
      </c>
      <c r="X449">
        <f t="shared" si="128"/>
        <v>190011.57</v>
      </c>
      <c r="Y449">
        <f t="shared" si="129"/>
        <v>169311.13</v>
      </c>
      <c r="Z449">
        <f t="shared" si="130"/>
        <v>161687.34</v>
      </c>
      <c r="AA449">
        <f t="shared" si="131"/>
        <v>36689.410000000003</v>
      </c>
      <c r="AB449">
        <f>--AND($E449=1,OR('Staff Weekly Trend'!$B$3="All",$DH449='Staff Weekly Trend'!$B$3),OR('Staff Weekly Trend'!$B$4="All",$D449='Staff Weekly Trend'!$B$4),OR('Staff Weekly Trend'!$B$5="All",$A449='Staff Weekly Trend'!$B$5))</f>
        <v>1</v>
      </c>
      <c r="AC449">
        <f t="shared" si="132"/>
        <v>3</v>
      </c>
      <c r="AI449">
        <f t="shared" si="133"/>
        <v>578</v>
      </c>
      <c r="AJ449">
        <f t="shared" si="134"/>
        <v>938</v>
      </c>
      <c r="AK449">
        <f t="shared" si="135"/>
        <v>829</v>
      </c>
      <c r="AL449">
        <f t="shared" si="136"/>
        <v>766</v>
      </c>
      <c r="AM449">
        <f t="shared" si="137"/>
        <v>180</v>
      </c>
      <c r="DH449" t="str" cm="1">
        <f t="array" ref="DH449">IF($A449="","",_xlfn.LET(_xlpm.c,IFERROR(_xlfn.XLOOKUP($A449,TRIM('Sales and count'!$A$4:$A$300&amp;""),TRIM('Sales and count'!$B$4:$B$300&amp;"")),""),IF(OR(_xlpm.c="",_xlpm.c="0",LEFT(_xlpm.c,1)="#"),"Not set",_xlpm.c)))</f>
        <v>KSA</v>
      </c>
    </row>
    <row r="450" spans="1:112" x14ac:dyDescent="0.25">
      <c r="A450" t="str">
        <f>IF('Staff Daily sales'!$B435="","",TRIM('Staff Daily sales'!$B435&amp;""))</f>
        <v>HABAHAML</v>
      </c>
      <c r="B450" t="str">
        <f>IF('Staff Daily sales'!$D435="","",TRIM('Staff Daily sales'!$D435&amp;""))</f>
        <v>5318-AAlghamdi</v>
      </c>
      <c r="C450" t="str">
        <f>IFERROR(TRIM('Staff Daily sales'!$E435&amp;""),"")</f>
        <v>Baha</v>
      </c>
      <c r="D450" t="str">
        <f>IFERROR(IF(TRIM('Staff Daily sales'!$F435&amp;"")="","Unassigned",TRIM('Staff Daily sales'!$F435&amp;"")),"Unassigned")</f>
        <v>Ahlam Al Zahrani</v>
      </c>
      <c r="E450">
        <f t="shared" si="122"/>
        <v>1</v>
      </c>
      <c r="F450">
        <f>IF($E450=0,0,SUMPRODUCT($AI$5:$DF$5,'Staff Daily sales'!$G435:$CD435))</f>
        <v>930.96</v>
      </c>
      <c r="G450">
        <f>IF($E450=0,0,SUMPRODUCT($AI$6:$DF$6,'Staff Daily sales'!$G435:$CD435))</f>
        <v>7</v>
      </c>
      <c r="H450">
        <f t="shared" si="123"/>
        <v>2351.88</v>
      </c>
      <c r="I450">
        <f t="shared" si="124"/>
        <v>16</v>
      </c>
      <c r="J450">
        <f t="shared" si="125"/>
        <v>62016.170000000006</v>
      </c>
      <c r="K450">
        <f t="shared" si="126"/>
        <v>398</v>
      </c>
      <c r="L450">
        <f>--AND($E450=1,OR('Staff Dashboard'!$B$6="All",$DH450='Staff Dashboard'!$B$6),OR('Staff Dashboard'!$B$7="All",$D450='Staff Dashboard'!$B$7),OR('Staff Dashboard'!$B$8="All",$A450='Staff Dashboard'!$B$8))</f>
        <v>0</v>
      </c>
      <c r="M450">
        <f>IF($E450=0,0,SUMPRODUCT($AI$7:$DF$7,'Staff Daily sales'!$G435:$CD435))</f>
        <v>2993.1</v>
      </c>
      <c r="N450">
        <f>IF($E450=0,0,SUMPRODUCT($AI$8:$DF$8,'Staff Daily sales'!$G435:$CD435))</f>
        <v>18</v>
      </c>
      <c r="O450">
        <f>IF($E450=0,0,SUMPRODUCT($AI$9:$DF$9,'Staff Daily sales'!$G435:$CD435))</f>
        <v>3651.04</v>
      </c>
      <c r="P450">
        <f>IF($E450=0,0,SUMPRODUCT($AI$10:$DF$10,'Staff Daily sales'!$G435:$CD435))</f>
        <v>24</v>
      </c>
      <c r="Q450">
        <f>IF($E450=0,0,SUMPRODUCT($AI$11:$DF$11,'Staff Daily sales'!$G435:$CD435))</f>
        <v>4497.01</v>
      </c>
      <c r="R450">
        <f>IF($E450=0,0,SUMPRODUCT($AI$12:$DF$12,'Staff Daily sales'!$G435:$CD435))</f>
        <v>23</v>
      </c>
      <c r="S450">
        <f>IF($E450=0,0,SUMPRODUCT($AI$13:$DF$13,'Staff Daily sales'!$G435:$CD435))</f>
        <v>3339.94</v>
      </c>
      <c r="T450">
        <f>IF($E450=0,0,SUMPRODUCT($AI$14:$DF$14,'Staff Daily sales'!$G435:$CD435))</f>
        <v>22</v>
      </c>
      <c r="U450">
        <f>IF($E450=0,0,SUMPRODUCT($AI$15:$DF$15,'Staff Daily sales'!$G435:$CD435))</f>
        <v>2354.0500000000002</v>
      </c>
      <c r="V450">
        <f>IF($E450=0,0,SUMPRODUCT($AI$16:$DF$16,'Staff Daily sales'!$G435:$CD435))</f>
        <v>14</v>
      </c>
      <c r="W450">
        <f t="shared" si="127"/>
        <v>9916.23</v>
      </c>
      <c r="X450">
        <f t="shared" si="128"/>
        <v>13588.21</v>
      </c>
      <c r="Y450">
        <f t="shared" si="129"/>
        <v>14975.19</v>
      </c>
      <c r="Z450">
        <f t="shared" si="130"/>
        <v>11596.75</v>
      </c>
      <c r="AA450">
        <f t="shared" si="131"/>
        <v>3958.01</v>
      </c>
      <c r="AB450">
        <f>--AND($E450=1,OR('Staff Weekly Trend'!$B$3="All",$DH450='Staff Weekly Trend'!$B$3),OR('Staff Weekly Trend'!$B$4="All",$D450='Staff Weekly Trend'!$B$4),OR('Staff Weekly Trend'!$B$5="All",$A450='Staff Weekly Trend'!$B$5))</f>
        <v>1</v>
      </c>
      <c r="AC450">
        <f t="shared" si="132"/>
        <v>1</v>
      </c>
      <c r="AI450">
        <f t="shared" si="133"/>
        <v>62</v>
      </c>
      <c r="AJ450">
        <f t="shared" si="134"/>
        <v>97</v>
      </c>
      <c r="AK450">
        <f t="shared" si="135"/>
        <v>93</v>
      </c>
      <c r="AL450">
        <f t="shared" si="136"/>
        <v>74</v>
      </c>
      <c r="AM450">
        <f t="shared" si="137"/>
        <v>24</v>
      </c>
      <c r="DH450" t="str" cm="1">
        <f t="array" ref="DH450">IF($A450="","",_xlfn.LET(_xlpm.c,IFERROR(_xlfn.XLOOKUP($A450,TRIM('Sales and count'!$A$4:$A$300&amp;""),TRIM('Sales and count'!$B$4:$B$300&amp;"")),""),IF(OR(_xlpm.c="",_xlpm.c="0",LEFT(_xlpm.c,1)="#"),"Not set",_xlpm.c)))</f>
        <v>KSA</v>
      </c>
    </row>
    <row r="451" spans="1:112" x14ac:dyDescent="0.25">
      <c r="A451" t="str">
        <f>IF('Staff Daily sales'!$B436="","",TRIM('Staff Daily sales'!$B436&amp;""))</f>
        <v>HABAHAML</v>
      </c>
      <c r="B451" t="str">
        <f>IF('Staff Daily sales'!$D436="","",TRIM('Staff Daily sales'!$D436&amp;""))</f>
        <v>5319-FAlghamdi</v>
      </c>
      <c r="C451" t="str">
        <f>IFERROR(TRIM('Staff Daily sales'!$E436&amp;""),"")</f>
        <v>Baha</v>
      </c>
      <c r="D451" t="str">
        <f>IFERROR(IF(TRIM('Staff Daily sales'!$F436&amp;"")="","Unassigned",TRIM('Staff Daily sales'!$F436&amp;"")),"Unassigned")</f>
        <v>Ahlam Al Zahrani</v>
      </c>
      <c r="E451">
        <f t="shared" si="122"/>
        <v>1</v>
      </c>
      <c r="F451">
        <f>IF($E451=0,0,SUMPRODUCT($AI$5:$DF$5,'Staff Daily sales'!$G436:$CD436))</f>
        <v>717.96</v>
      </c>
      <c r="G451">
        <f>IF($E451=0,0,SUMPRODUCT($AI$6:$DF$6,'Staff Daily sales'!$G436:$CD436))</f>
        <v>5</v>
      </c>
      <c r="H451">
        <f t="shared" si="123"/>
        <v>2351.88</v>
      </c>
      <c r="I451">
        <f t="shared" si="124"/>
        <v>16</v>
      </c>
      <c r="J451">
        <f t="shared" si="125"/>
        <v>62016.170000000006</v>
      </c>
      <c r="K451">
        <f t="shared" si="126"/>
        <v>398</v>
      </c>
      <c r="L451">
        <f>--AND($E451=1,OR('Staff Dashboard'!$B$6="All",$DH451='Staff Dashboard'!$B$6),OR('Staff Dashboard'!$B$7="All",$D451='Staff Dashboard'!$B$7),OR('Staff Dashboard'!$B$8="All",$A451='Staff Dashboard'!$B$8))</f>
        <v>0</v>
      </c>
      <c r="M451">
        <f>IF($E451=0,0,SUMPRODUCT($AI$7:$DF$7,'Staff Daily sales'!$G436:$CD436))</f>
        <v>1754.06</v>
      </c>
      <c r="N451">
        <f>IF($E451=0,0,SUMPRODUCT($AI$8:$DF$8,'Staff Daily sales'!$G436:$CD436))</f>
        <v>11</v>
      </c>
      <c r="O451">
        <f>IF($E451=0,0,SUMPRODUCT($AI$9:$DF$9,'Staff Daily sales'!$G436:$CD436))</f>
        <v>2569.1</v>
      </c>
      <c r="P451">
        <f>IF($E451=0,0,SUMPRODUCT($AI$10:$DF$10,'Staff Daily sales'!$G436:$CD436))</f>
        <v>16</v>
      </c>
      <c r="Q451">
        <f>IF($E451=0,0,SUMPRODUCT($AI$11:$DF$11,'Staff Daily sales'!$G436:$CD436))</f>
        <v>4977.1000000000004</v>
      </c>
      <c r="R451">
        <f>IF($E451=0,0,SUMPRODUCT($AI$12:$DF$12,'Staff Daily sales'!$G436:$CD436))</f>
        <v>30</v>
      </c>
      <c r="S451">
        <f>IF($E451=0,0,SUMPRODUCT($AI$13:$DF$13,'Staff Daily sales'!$G436:$CD436))</f>
        <v>3113.91</v>
      </c>
      <c r="T451">
        <f>IF($E451=0,0,SUMPRODUCT($AI$14:$DF$14,'Staff Daily sales'!$G436:$CD436))</f>
        <v>19</v>
      </c>
      <c r="U451">
        <f>IF($E451=0,0,SUMPRODUCT($AI$15:$DF$15,'Staff Daily sales'!$G436:$CD436))</f>
        <v>0</v>
      </c>
      <c r="V451">
        <f>IF($E451=0,0,SUMPRODUCT($AI$16:$DF$16,'Staff Daily sales'!$G436:$CD436))</f>
        <v>0</v>
      </c>
      <c r="W451">
        <f t="shared" si="127"/>
        <v>9916.23</v>
      </c>
      <c r="X451">
        <f t="shared" si="128"/>
        <v>13588.21</v>
      </c>
      <c r="Y451">
        <f t="shared" si="129"/>
        <v>14975.19</v>
      </c>
      <c r="Z451">
        <f t="shared" si="130"/>
        <v>11596.75</v>
      </c>
      <c r="AA451">
        <f t="shared" si="131"/>
        <v>3958.01</v>
      </c>
      <c r="AB451">
        <f>--AND($E451=1,OR('Staff Weekly Trend'!$B$3="All",$DH451='Staff Weekly Trend'!$B$3),OR('Staff Weekly Trend'!$B$4="All",$D451='Staff Weekly Trend'!$B$4),OR('Staff Weekly Trend'!$B$5="All",$A451='Staff Weekly Trend'!$B$5))</f>
        <v>1</v>
      </c>
      <c r="AC451">
        <f t="shared" si="132"/>
        <v>2</v>
      </c>
      <c r="AI451">
        <f t="shared" si="133"/>
        <v>62</v>
      </c>
      <c r="AJ451">
        <f t="shared" si="134"/>
        <v>97</v>
      </c>
      <c r="AK451">
        <f t="shared" si="135"/>
        <v>93</v>
      </c>
      <c r="AL451">
        <f t="shared" si="136"/>
        <v>74</v>
      </c>
      <c r="AM451">
        <f t="shared" si="137"/>
        <v>24</v>
      </c>
      <c r="DH451" t="str" cm="1">
        <f t="array" ref="DH451">IF($A451="","",_xlfn.LET(_xlpm.c,IFERROR(_xlfn.XLOOKUP($A451,TRIM('Sales and count'!$A$4:$A$300&amp;""),TRIM('Sales and count'!$B$4:$B$300&amp;"")),""),IF(OR(_xlpm.c="",_xlpm.c="0",LEFT(_xlpm.c,1)="#"),"Not set",_xlpm.c)))</f>
        <v>KSA</v>
      </c>
    </row>
    <row r="452" spans="1:112" x14ac:dyDescent="0.25">
      <c r="A452" t="str">
        <f>IF('Staff Daily sales'!$B437="","",TRIM('Staff Daily sales'!$B437&amp;""))</f>
        <v>HABAHAML</v>
      </c>
      <c r="B452" t="str">
        <f>IF('Staff Daily sales'!$D437="","",TRIM('Staff Daily sales'!$D437&amp;""))</f>
        <v>5389-SAlghamdi</v>
      </c>
      <c r="C452" t="str">
        <f>IFERROR(TRIM('Staff Daily sales'!$E437&amp;""),"")</f>
        <v>Baha</v>
      </c>
      <c r="D452" t="str">
        <f>IFERROR(IF(TRIM('Staff Daily sales'!$F437&amp;"")="","Unassigned",TRIM('Staff Daily sales'!$F437&amp;"")),"Unassigned")</f>
        <v>Ahlam Al Zahrani</v>
      </c>
      <c r="E452">
        <f t="shared" si="122"/>
        <v>1</v>
      </c>
      <c r="F452">
        <f>IF($E452=0,0,SUMPRODUCT($AI$5:$DF$5,'Staff Daily sales'!$G437:$CD437))</f>
        <v>0</v>
      </c>
      <c r="G452">
        <f>IF($E452=0,0,SUMPRODUCT($AI$6:$DF$6,'Staff Daily sales'!$G437:$CD437))</f>
        <v>0</v>
      </c>
      <c r="H452">
        <f t="shared" si="123"/>
        <v>2351.88</v>
      </c>
      <c r="I452">
        <f t="shared" si="124"/>
        <v>16</v>
      </c>
      <c r="J452">
        <f t="shared" si="125"/>
        <v>62016.170000000006</v>
      </c>
      <c r="K452">
        <f t="shared" si="126"/>
        <v>398</v>
      </c>
      <c r="L452">
        <f>--AND($E452=1,OR('Staff Dashboard'!$B$6="All",$DH452='Staff Dashboard'!$B$6),OR('Staff Dashboard'!$B$7="All",$D452='Staff Dashboard'!$B$7),OR('Staff Dashboard'!$B$8="All",$A452='Staff Dashboard'!$B$8))</f>
        <v>0</v>
      </c>
      <c r="M452">
        <f>IF($E452=0,0,SUMPRODUCT($AI$7:$DF$7,'Staff Daily sales'!$G437:$CD437))</f>
        <v>1318.01</v>
      </c>
      <c r="N452">
        <f>IF($E452=0,0,SUMPRODUCT($AI$8:$DF$8,'Staff Daily sales'!$G437:$CD437))</f>
        <v>9</v>
      </c>
      <c r="O452">
        <f>IF($E452=0,0,SUMPRODUCT($AI$9:$DF$9,'Staff Daily sales'!$G437:$CD437))</f>
        <v>3205.06</v>
      </c>
      <c r="P452">
        <f>IF($E452=0,0,SUMPRODUCT($AI$10:$DF$10,'Staff Daily sales'!$G437:$CD437))</f>
        <v>26</v>
      </c>
      <c r="Q452">
        <f>IF($E452=0,0,SUMPRODUCT($AI$11:$DF$11,'Staff Daily sales'!$G437:$CD437))</f>
        <v>0</v>
      </c>
      <c r="R452">
        <f>IF($E452=0,0,SUMPRODUCT($AI$12:$DF$12,'Staff Daily sales'!$G437:$CD437))</f>
        <v>0</v>
      </c>
      <c r="S452">
        <f>IF($E452=0,0,SUMPRODUCT($AI$13:$DF$13,'Staff Daily sales'!$G437:$CD437))</f>
        <v>1319.02</v>
      </c>
      <c r="T452">
        <f>IF($E452=0,0,SUMPRODUCT($AI$14:$DF$14,'Staff Daily sales'!$G437:$CD437))</f>
        <v>10</v>
      </c>
      <c r="U452">
        <f>IF($E452=0,0,SUMPRODUCT($AI$15:$DF$15,'Staff Daily sales'!$G437:$CD437))</f>
        <v>0</v>
      </c>
      <c r="V452">
        <f>IF($E452=0,0,SUMPRODUCT($AI$16:$DF$16,'Staff Daily sales'!$G437:$CD437))</f>
        <v>0</v>
      </c>
      <c r="W452">
        <f t="shared" si="127"/>
        <v>9916.23</v>
      </c>
      <c r="X452">
        <f t="shared" si="128"/>
        <v>13588.21</v>
      </c>
      <c r="Y452">
        <f t="shared" si="129"/>
        <v>14975.19</v>
      </c>
      <c r="Z452">
        <f t="shared" si="130"/>
        <v>11596.75</v>
      </c>
      <c r="AA452">
        <f t="shared" si="131"/>
        <v>3958.01</v>
      </c>
      <c r="AB452">
        <f>--AND($E452=1,OR('Staff Weekly Trend'!$B$3="All",$DH452='Staff Weekly Trend'!$B$3),OR('Staff Weekly Trend'!$B$4="All",$D452='Staff Weekly Trend'!$B$4),OR('Staff Weekly Trend'!$B$5="All",$A452='Staff Weekly Trend'!$B$5))</f>
        <v>1</v>
      </c>
      <c r="AC452" t="str">
        <f t="shared" si="132"/>
        <v/>
      </c>
      <c r="AI452">
        <f t="shared" si="133"/>
        <v>62</v>
      </c>
      <c r="AJ452">
        <f t="shared" si="134"/>
        <v>97</v>
      </c>
      <c r="AK452">
        <f t="shared" si="135"/>
        <v>93</v>
      </c>
      <c r="AL452">
        <f t="shared" si="136"/>
        <v>74</v>
      </c>
      <c r="AM452">
        <f t="shared" si="137"/>
        <v>24</v>
      </c>
      <c r="DH452" t="str" cm="1">
        <f t="array" ref="DH452">IF($A452="","",_xlfn.LET(_xlpm.c,IFERROR(_xlfn.XLOOKUP($A452,TRIM('Sales and count'!$A$4:$A$300&amp;""),TRIM('Sales and count'!$B$4:$B$300&amp;"")),""),IF(OR(_xlpm.c="",_xlpm.c="0",LEFT(_xlpm.c,1)="#"),"Not set",_xlpm.c)))</f>
        <v>KSA</v>
      </c>
    </row>
    <row r="453" spans="1:112" x14ac:dyDescent="0.25">
      <c r="A453" t="str">
        <f>IF('Staff Daily sales'!$B438="","",TRIM('Staff Daily sales'!$B438&amp;""))</f>
        <v>HABAHAML</v>
      </c>
      <c r="B453" t="str">
        <f>IF('Staff Daily sales'!$D438="","",TRIM('Staff Daily sales'!$D438&amp;""))</f>
        <v>5643-RAlghamdi</v>
      </c>
      <c r="C453" t="str">
        <f>IFERROR(TRIM('Staff Daily sales'!$E438&amp;""),"")</f>
        <v>Baha</v>
      </c>
      <c r="D453" t="str">
        <f>IFERROR(IF(TRIM('Staff Daily sales'!$F438&amp;"")="","Unassigned",TRIM('Staff Daily sales'!$F438&amp;"")),"Unassigned")</f>
        <v>Ahlam Al Zahrani</v>
      </c>
      <c r="E453">
        <f t="shared" si="122"/>
        <v>1</v>
      </c>
      <c r="F453">
        <f>IF($E453=0,0,SUMPRODUCT($AI$5:$DF$5,'Staff Daily sales'!$G438:$CD438))</f>
        <v>702.96</v>
      </c>
      <c r="G453">
        <f>IF($E453=0,0,SUMPRODUCT($AI$6:$DF$6,'Staff Daily sales'!$G438:$CD438))</f>
        <v>4</v>
      </c>
      <c r="H453">
        <f t="shared" si="123"/>
        <v>2351.88</v>
      </c>
      <c r="I453">
        <f t="shared" si="124"/>
        <v>16</v>
      </c>
      <c r="J453">
        <f t="shared" si="125"/>
        <v>62016.170000000006</v>
      </c>
      <c r="K453">
        <f t="shared" si="126"/>
        <v>398</v>
      </c>
      <c r="L453">
        <f>--AND($E453=1,OR('Staff Dashboard'!$B$6="All",$DH453='Staff Dashboard'!$B$6),OR('Staff Dashboard'!$B$7="All",$D453='Staff Dashboard'!$B$7),OR('Staff Dashboard'!$B$8="All",$A453='Staff Dashboard'!$B$8))</f>
        <v>0</v>
      </c>
      <c r="M453">
        <f>IF($E453=0,0,SUMPRODUCT($AI$7:$DF$7,'Staff Daily sales'!$G438:$CD438))</f>
        <v>3851.0600000000004</v>
      </c>
      <c r="N453">
        <f>IF($E453=0,0,SUMPRODUCT($AI$8:$DF$8,'Staff Daily sales'!$G438:$CD438))</f>
        <v>24</v>
      </c>
      <c r="O453">
        <f>IF($E453=0,0,SUMPRODUCT($AI$9:$DF$9,'Staff Daily sales'!$G438:$CD438))</f>
        <v>4163.01</v>
      </c>
      <c r="P453">
        <f>IF($E453=0,0,SUMPRODUCT($AI$10:$DF$10,'Staff Daily sales'!$G438:$CD438))</f>
        <v>31</v>
      </c>
      <c r="Q453">
        <f>IF($E453=0,0,SUMPRODUCT($AI$11:$DF$11,'Staff Daily sales'!$G438:$CD438))</f>
        <v>5501.08</v>
      </c>
      <c r="R453">
        <f>IF($E453=0,0,SUMPRODUCT($AI$12:$DF$12,'Staff Daily sales'!$G438:$CD438))</f>
        <v>40</v>
      </c>
      <c r="S453">
        <f>IF($E453=0,0,SUMPRODUCT($AI$13:$DF$13,'Staff Daily sales'!$G438:$CD438))</f>
        <v>3823.88</v>
      </c>
      <c r="T453">
        <f>IF($E453=0,0,SUMPRODUCT($AI$14:$DF$14,'Staff Daily sales'!$G438:$CD438))</f>
        <v>23</v>
      </c>
      <c r="U453">
        <f>IF($E453=0,0,SUMPRODUCT($AI$15:$DF$15,'Staff Daily sales'!$G438:$CD438))</f>
        <v>1603.96</v>
      </c>
      <c r="V453">
        <f>IF($E453=0,0,SUMPRODUCT($AI$16:$DF$16,'Staff Daily sales'!$G438:$CD438))</f>
        <v>10</v>
      </c>
      <c r="W453">
        <f t="shared" si="127"/>
        <v>9916.23</v>
      </c>
      <c r="X453">
        <f t="shared" si="128"/>
        <v>13588.21</v>
      </c>
      <c r="Y453">
        <f t="shared" si="129"/>
        <v>14975.19</v>
      </c>
      <c r="Z453">
        <f t="shared" si="130"/>
        <v>11596.75</v>
      </c>
      <c r="AA453">
        <f t="shared" si="131"/>
        <v>3958.01</v>
      </c>
      <c r="AB453">
        <f>--AND($E453=1,OR('Staff Weekly Trend'!$B$3="All",$DH453='Staff Weekly Trend'!$B$3),OR('Staff Weekly Trend'!$B$4="All",$D453='Staff Weekly Trend'!$B$4),OR('Staff Weekly Trend'!$B$5="All",$A453='Staff Weekly Trend'!$B$5))</f>
        <v>1</v>
      </c>
      <c r="AC453">
        <f t="shared" si="132"/>
        <v>3</v>
      </c>
      <c r="AI453">
        <f t="shared" si="133"/>
        <v>62</v>
      </c>
      <c r="AJ453">
        <f t="shared" si="134"/>
        <v>97</v>
      </c>
      <c r="AK453">
        <f t="shared" si="135"/>
        <v>93</v>
      </c>
      <c r="AL453">
        <f t="shared" si="136"/>
        <v>74</v>
      </c>
      <c r="AM453">
        <f t="shared" si="137"/>
        <v>24</v>
      </c>
      <c r="DH453" t="str" cm="1">
        <f t="array" ref="DH453">IF($A453="","",_xlfn.LET(_xlpm.c,IFERROR(_xlfn.XLOOKUP($A453,TRIM('Sales and count'!$A$4:$A$300&amp;""),TRIM('Sales and count'!$B$4:$B$300&amp;"")),""),IF(OR(_xlpm.c="",_xlpm.c="0",LEFT(_xlpm.c,1)="#"),"Not set",_xlpm.c)))</f>
        <v>KSA</v>
      </c>
    </row>
    <row r="454" spans="1:112" x14ac:dyDescent="0.25">
      <c r="A454" t="str">
        <f>IF('Staff Daily sales'!$B439="","",TRIM('Staff Daily sales'!$B439&amp;""))</f>
        <v>HARASHJIZ</v>
      </c>
      <c r="B454" t="str">
        <f>IF('Staff Daily sales'!$D439="","",TRIM('Staff Daily sales'!$D439&amp;""))</f>
        <v>4394-BBahkily</v>
      </c>
      <c r="C454" t="str">
        <f>IFERROR(TRIM('Staff Daily sales'!$E439&amp;""),"")</f>
        <v>Jizan</v>
      </c>
      <c r="D454" t="str">
        <f>IFERROR(IF(TRIM('Staff Daily sales'!$F439&amp;"")="","Unassigned",TRIM('Staff Daily sales'!$F439&amp;"")),"Unassigned")</f>
        <v>Ahmed Jaffari</v>
      </c>
      <c r="E454">
        <f t="shared" si="122"/>
        <v>1</v>
      </c>
      <c r="F454">
        <f>IF($E454=0,0,SUMPRODUCT($AI$5:$DF$5,'Staff Daily sales'!$G439:$CD439))</f>
        <v>0</v>
      </c>
      <c r="G454">
        <f>IF($E454=0,0,SUMPRODUCT($AI$6:$DF$6,'Staff Daily sales'!$G439:$CD439))</f>
        <v>0</v>
      </c>
      <c r="H454">
        <f t="shared" si="123"/>
        <v>1805.8899999999999</v>
      </c>
      <c r="I454">
        <f t="shared" si="124"/>
        <v>10</v>
      </c>
      <c r="J454">
        <f t="shared" si="125"/>
        <v>44058.899999999994</v>
      </c>
      <c r="K454">
        <f t="shared" si="126"/>
        <v>244</v>
      </c>
      <c r="L454">
        <f>--AND($E454=1,OR('Staff Dashboard'!$B$6="All",$DH454='Staff Dashboard'!$B$6),OR('Staff Dashboard'!$B$7="All",$D454='Staff Dashboard'!$B$7),OR('Staff Dashboard'!$B$8="All",$A454='Staff Dashboard'!$B$8))</f>
        <v>0</v>
      </c>
      <c r="M454">
        <f>IF($E454=0,0,SUMPRODUCT($AI$7:$DF$7,'Staff Daily sales'!$G439:$CD439))</f>
        <v>4617.09</v>
      </c>
      <c r="N454">
        <f>IF($E454=0,0,SUMPRODUCT($AI$8:$DF$8,'Staff Daily sales'!$G439:$CD439))</f>
        <v>32</v>
      </c>
      <c r="O454">
        <f>IF($E454=0,0,SUMPRODUCT($AI$9:$DF$9,'Staff Daily sales'!$G439:$CD439))</f>
        <v>4517.12</v>
      </c>
      <c r="P454">
        <f>IF($E454=0,0,SUMPRODUCT($AI$10:$DF$10,'Staff Daily sales'!$G439:$CD439))</f>
        <v>27</v>
      </c>
      <c r="Q454">
        <f>IF($E454=0,0,SUMPRODUCT($AI$11:$DF$11,'Staff Daily sales'!$G439:$CD439))</f>
        <v>4867.01</v>
      </c>
      <c r="R454">
        <f>IF($E454=0,0,SUMPRODUCT($AI$12:$DF$12,'Staff Daily sales'!$G439:$CD439))</f>
        <v>42</v>
      </c>
      <c r="S454">
        <f>IF($E454=0,0,SUMPRODUCT($AI$13:$DF$13,'Staff Daily sales'!$G439:$CD439))</f>
        <v>3008.9</v>
      </c>
      <c r="T454">
        <f>IF($E454=0,0,SUMPRODUCT($AI$14:$DF$14,'Staff Daily sales'!$G439:$CD439))</f>
        <v>17</v>
      </c>
      <c r="U454">
        <f>IF($E454=0,0,SUMPRODUCT($AI$15:$DF$15,'Staff Daily sales'!$G439:$CD439))</f>
        <v>813.02</v>
      </c>
      <c r="V454">
        <f>IF($E454=0,0,SUMPRODUCT($AI$16:$DF$16,'Staff Daily sales'!$G439:$CD439))</f>
        <v>4</v>
      </c>
      <c r="W454">
        <f t="shared" si="127"/>
        <v>14144.31</v>
      </c>
      <c r="X454">
        <f t="shared" si="128"/>
        <v>17058.32</v>
      </c>
      <c r="Y454">
        <f t="shared" si="129"/>
        <v>13414.1</v>
      </c>
      <c r="Z454">
        <f t="shared" si="130"/>
        <v>11122.68</v>
      </c>
      <c r="AA454">
        <f t="shared" si="131"/>
        <v>2967</v>
      </c>
      <c r="AB454">
        <f>--AND($E454=1,OR('Staff Weekly Trend'!$B$3="All",$DH454='Staff Weekly Trend'!$B$3),OR('Staff Weekly Trend'!$B$4="All",$D454='Staff Weekly Trend'!$B$4),OR('Staff Weekly Trend'!$B$5="All",$A454='Staff Weekly Trend'!$B$5))</f>
        <v>1</v>
      </c>
      <c r="AC454" t="str">
        <f t="shared" si="132"/>
        <v/>
      </c>
      <c r="AI454">
        <f t="shared" si="133"/>
        <v>96</v>
      </c>
      <c r="AJ454">
        <f t="shared" si="134"/>
        <v>116</v>
      </c>
      <c r="AK454">
        <f t="shared" si="135"/>
        <v>107</v>
      </c>
      <c r="AL454">
        <f t="shared" si="136"/>
        <v>65</v>
      </c>
      <c r="AM454">
        <f t="shared" si="137"/>
        <v>17</v>
      </c>
      <c r="DH454" t="str" cm="1">
        <f t="array" ref="DH454">IF($A454="","",_xlfn.LET(_xlpm.c,IFERROR(_xlfn.XLOOKUP($A454,TRIM('Sales and count'!$A$4:$A$300&amp;""),TRIM('Sales and count'!$B$4:$B$300&amp;"")),""),IF(OR(_xlpm.c="",_xlpm.c="0",LEFT(_xlpm.c,1)="#"),"Not set",_xlpm.c)))</f>
        <v>KSA</v>
      </c>
    </row>
    <row r="455" spans="1:112" x14ac:dyDescent="0.25">
      <c r="A455" t="str">
        <f>IF('Staff Daily sales'!$B440="","",TRIM('Staff Daily sales'!$B440&amp;""))</f>
        <v>HARASHJIZ</v>
      </c>
      <c r="B455" t="str">
        <f>IF('Staff Daily sales'!$D440="","",TRIM('Staff Daily sales'!$D440&amp;""))</f>
        <v>4404-RAhmed</v>
      </c>
      <c r="C455" t="str">
        <f>IFERROR(TRIM('Staff Daily sales'!$E440&amp;""),"")</f>
        <v>Jizan</v>
      </c>
      <c r="D455" t="str">
        <f>IFERROR(IF(TRIM('Staff Daily sales'!$F440&amp;"")="","Unassigned",TRIM('Staff Daily sales'!$F440&amp;"")),"Unassigned")</f>
        <v>Ahmed Jaffari</v>
      </c>
      <c r="E455">
        <f t="shared" si="122"/>
        <v>1</v>
      </c>
      <c r="F455">
        <f>IF($E455=0,0,SUMPRODUCT($AI$5:$DF$5,'Staff Daily sales'!$G440:$CD440))</f>
        <v>536.96</v>
      </c>
      <c r="G455">
        <f>IF($E455=0,0,SUMPRODUCT($AI$6:$DF$6,'Staff Daily sales'!$G440:$CD440))</f>
        <v>3</v>
      </c>
      <c r="H455">
        <f t="shared" si="123"/>
        <v>1805.8899999999999</v>
      </c>
      <c r="I455">
        <f t="shared" si="124"/>
        <v>10</v>
      </c>
      <c r="J455">
        <f t="shared" si="125"/>
        <v>44058.899999999994</v>
      </c>
      <c r="K455">
        <f t="shared" si="126"/>
        <v>244</v>
      </c>
      <c r="L455">
        <f>--AND($E455=1,OR('Staff Dashboard'!$B$6="All",$DH455='Staff Dashboard'!$B$6),OR('Staff Dashboard'!$B$7="All",$D455='Staff Dashboard'!$B$7),OR('Staff Dashboard'!$B$8="All",$A455='Staff Dashboard'!$B$8))</f>
        <v>0</v>
      </c>
      <c r="M455">
        <f>IF($E455=0,0,SUMPRODUCT($AI$7:$DF$7,'Staff Daily sales'!$G440:$CD440))</f>
        <v>2269.0699999999997</v>
      </c>
      <c r="N455">
        <f>IF($E455=0,0,SUMPRODUCT($AI$8:$DF$8,'Staff Daily sales'!$G440:$CD440))</f>
        <v>15</v>
      </c>
      <c r="O455">
        <f>IF($E455=0,0,SUMPRODUCT($AI$9:$DF$9,'Staff Daily sales'!$G440:$CD440))</f>
        <v>3958.0999999999995</v>
      </c>
      <c r="P455">
        <f>IF($E455=0,0,SUMPRODUCT($AI$10:$DF$10,'Staff Daily sales'!$G440:$CD440))</f>
        <v>28</v>
      </c>
      <c r="Q455">
        <f>IF($E455=0,0,SUMPRODUCT($AI$11:$DF$11,'Staff Daily sales'!$G440:$CD440))</f>
        <v>820</v>
      </c>
      <c r="R455">
        <f>IF($E455=0,0,SUMPRODUCT($AI$12:$DF$12,'Staff Daily sales'!$G440:$CD440))</f>
        <v>8</v>
      </c>
      <c r="S455">
        <f>IF($E455=0,0,SUMPRODUCT($AI$13:$DF$13,'Staff Daily sales'!$G440:$CD440))</f>
        <v>1404.93</v>
      </c>
      <c r="T455">
        <f>IF($E455=0,0,SUMPRODUCT($AI$14:$DF$14,'Staff Daily sales'!$G440:$CD440))</f>
        <v>9</v>
      </c>
      <c r="U455">
        <f>IF($E455=0,0,SUMPRODUCT($AI$15:$DF$15,'Staff Daily sales'!$G440:$CD440))</f>
        <v>1357.02</v>
      </c>
      <c r="V455">
        <f>IF($E455=0,0,SUMPRODUCT($AI$16:$DF$16,'Staff Daily sales'!$G440:$CD440))</f>
        <v>8</v>
      </c>
      <c r="W455">
        <f t="shared" si="127"/>
        <v>14144.31</v>
      </c>
      <c r="X455">
        <f t="shared" si="128"/>
        <v>17058.32</v>
      </c>
      <c r="Y455">
        <f t="shared" si="129"/>
        <v>13414.1</v>
      </c>
      <c r="Z455">
        <f t="shared" si="130"/>
        <v>11122.68</v>
      </c>
      <c r="AA455">
        <f t="shared" si="131"/>
        <v>2967</v>
      </c>
      <c r="AB455">
        <f>--AND($E455=1,OR('Staff Weekly Trend'!$B$3="All",$DH455='Staff Weekly Trend'!$B$3),OR('Staff Weekly Trend'!$B$4="All",$D455='Staff Weekly Trend'!$B$4),OR('Staff Weekly Trend'!$B$5="All",$A455='Staff Weekly Trend'!$B$5))</f>
        <v>1</v>
      </c>
      <c r="AC455">
        <f t="shared" si="132"/>
        <v>2</v>
      </c>
      <c r="AI455">
        <f t="shared" si="133"/>
        <v>96</v>
      </c>
      <c r="AJ455">
        <f t="shared" si="134"/>
        <v>116</v>
      </c>
      <c r="AK455">
        <f t="shared" si="135"/>
        <v>107</v>
      </c>
      <c r="AL455">
        <f t="shared" si="136"/>
        <v>65</v>
      </c>
      <c r="AM455">
        <f t="shared" si="137"/>
        <v>17</v>
      </c>
      <c r="DH455" t="str" cm="1">
        <f t="array" ref="DH455">IF($A455="","",_xlfn.LET(_xlpm.c,IFERROR(_xlfn.XLOOKUP($A455,TRIM('Sales and count'!$A$4:$A$300&amp;""),TRIM('Sales and count'!$B$4:$B$300&amp;"")),""),IF(OR(_xlpm.c="",_xlpm.c="0",LEFT(_xlpm.c,1)="#"),"Not set",_xlpm.c)))</f>
        <v>KSA</v>
      </c>
    </row>
    <row r="456" spans="1:112" x14ac:dyDescent="0.25">
      <c r="A456" t="str">
        <f>IF('Staff Daily sales'!$B441="","",TRIM('Staff Daily sales'!$B441&amp;""))</f>
        <v>HARASHJIZ</v>
      </c>
      <c r="B456" t="str">
        <f>IF('Staff Daily sales'!$D441="","",TRIM('Staff Daily sales'!$D441&amp;""))</f>
        <v>5228-SFaqihi</v>
      </c>
      <c r="C456" t="str">
        <f>IFERROR(TRIM('Staff Daily sales'!$E441&amp;""),"")</f>
        <v>Jizan</v>
      </c>
      <c r="D456" t="str">
        <f>IFERROR(IF(TRIM('Staff Daily sales'!$F441&amp;"")="","Unassigned",TRIM('Staff Daily sales'!$F441&amp;"")),"Unassigned")</f>
        <v>Ahmed Jaffari</v>
      </c>
      <c r="E456">
        <f t="shared" si="122"/>
        <v>1</v>
      </c>
      <c r="F456">
        <f>IF($E456=0,0,SUMPRODUCT($AI$5:$DF$5,'Staff Daily sales'!$G441:$CD441))</f>
        <v>0</v>
      </c>
      <c r="G456">
        <f>IF($E456=0,0,SUMPRODUCT($AI$6:$DF$6,'Staff Daily sales'!$G441:$CD441))</f>
        <v>0</v>
      </c>
      <c r="H456">
        <f t="shared" si="123"/>
        <v>1805.8899999999999</v>
      </c>
      <c r="I456">
        <f t="shared" si="124"/>
        <v>10</v>
      </c>
      <c r="J456">
        <f t="shared" si="125"/>
        <v>44058.899999999994</v>
      </c>
      <c r="K456">
        <f t="shared" si="126"/>
        <v>244</v>
      </c>
      <c r="L456">
        <f>--AND($E456=1,OR('Staff Dashboard'!$B$6="All",$DH456='Staff Dashboard'!$B$6),OR('Staff Dashboard'!$B$7="All",$D456='Staff Dashboard'!$B$7),OR('Staff Dashboard'!$B$8="All",$A456='Staff Dashboard'!$B$8))</f>
        <v>0</v>
      </c>
      <c r="M456">
        <f>IF($E456=0,0,SUMPRODUCT($AI$7:$DF$7,'Staff Daily sales'!$G441:$CD441))</f>
        <v>0</v>
      </c>
      <c r="N456">
        <f>IF($E456=0,0,SUMPRODUCT($AI$8:$DF$8,'Staff Daily sales'!$G441:$CD441))</f>
        <v>0</v>
      </c>
      <c r="O456">
        <f>IF($E456=0,0,SUMPRODUCT($AI$9:$DF$9,'Staff Daily sales'!$G441:$CD441))</f>
        <v>0</v>
      </c>
      <c r="P456">
        <f>IF($E456=0,0,SUMPRODUCT($AI$10:$DF$10,'Staff Daily sales'!$G441:$CD441))</f>
        <v>0</v>
      </c>
      <c r="Q456">
        <f>IF($E456=0,0,SUMPRODUCT($AI$11:$DF$11,'Staff Daily sales'!$G441:$CD441))</f>
        <v>1777.06</v>
      </c>
      <c r="R456">
        <f>IF($E456=0,0,SUMPRODUCT($AI$12:$DF$12,'Staff Daily sales'!$G441:$CD441))</f>
        <v>14</v>
      </c>
      <c r="S456">
        <f>IF($E456=0,0,SUMPRODUCT($AI$13:$DF$13,'Staff Daily sales'!$G441:$CD441))</f>
        <v>0</v>
      </c>
      <c r="T456">
        <f>IF($E456=0,0,SUMPRODUCT($AI$14:$DF$14,'Staff Daily sales'!$G441:$CD441))</f>
        <v>0</v>
      </c>
      <c r="U456">
        <f>IF($E456=0,0,SUMPRODUCT($AI$15:$DF$15,'Staff Daily sales'!$G441:$CD441))</f>
        <v>0</v>
      </c>
      <c r="V456">
        <f>IF($E456=0,0,SUMPRODUCT($AI$16:$DF$16,'Staff Daily sales'!$G441:$CD441))</f>
        <v>0</v>
      </c>
      <c r="W456">
        <f t="shared" si="127"/>
        <v>14144.31</v>
      </c>
      <c r="X456">
        <f t="shared" si="128"/>
        <v>17058.32</v>
      </c>
      <c r="Y456">
        <f t="shared" si="129"/>
        <v>13414.1</v>
      </c>
      <c r="Z456">
        <f t="shared" si="130"/>
        <v>11122.68</v>
      </c>
      <c r="AA456">
        <f t="shared" si="131"/>
        <v>2967</v>
      </c>
      <c r="AB456">
        <f>--AND($E456=1,OR('Staff Weekly Trend'!$B$3="All",$DH456='Staff Weekly Trend'!$B$3),OR('Staff Weekly Trend'!$B$4="All",$D456='Staff Weekly Trend'!$B$4),OR('Staff Weekly Trend'!$B$5="All",$A456='Staff Weekly Trend'!$B$5))</f>
        <v>1</v>
      </c>
      <c r="AC456" t="str">
        <f t="shared" si="132"/>
        <v/>
      </c>
      <c r="AI456">
        <f t="shared" si="133"/>
        <v>96</v>
      </c>
      <c r="AJ456">
        <f t="shared" si="134"/>
        <v>116</v>
      </c>
      <c r="AK456">
        <f t="shared" si="135"/>
        <v>107</v>
      </c>
      <c r="AL456">
        <f t="shared" si="136"/>
        <v>65</v>
      </c>
      <c r="AM456">
        <f t="shared" si="137"/>
        <v>17</v>
      </c>
      <c r="DH456" t="str" cm="1">
        <f t="array" ref="DH456">IF($A456="","",_xlfn.LET(_xlpm.c,IFERROR(_xlfn.XLOOKUP($A456,TRIM('Sales and count'!$A$4:$A$300&amp;""),TRIM('Sales and count'!$B$4:$B$300&amp;"")),""),IF(OR(_xlpm.c="",_xlpm.c="0",LEFT(_xlpm.c,1)="#"),"Not set",_xlpm.c)))</f>
        <v>KSA</v>
      </c>
    </row>
    <row r="457" spans="1:112" x14ac:dyDescent="0.25">
      <c r="A457" t="str">
        <f>IF('Staff Daily sales'!$B442="","",TRIM('Staff Daily sales'!$B442&amp;""))</f>
        <v>HARASHJIZ</v>
      </c>
      <c r="B457" t="str">
        <f>IF('Staff Daily sales'!$D442="","",TRIM('Staff Daily sales'!$D442&amp;""))</f>
        <v>5405-HHarisi</v>
      </c>
      <c r="C457" t="str">
        <f>IFERROR(TRIM('Staff Daily sales'!$E442&amp;""),"")</f>
        <v>Jizan</v>
      </c>
      <c r="D457" t="str">
        <f>IFERROR(IF(TRIM('Staff Daily sales'!$F442&amp;"")="","Unassigned",TRIM('Staff Daily sales'!$F442&amp;"")),"Unassigned")</f>
        <v>Ahmed Jaffari</v>
      </c>
      <c r="E457">
        <f t="shared" si="122"/>
        <v>1</v>
      </c>
      <c r="F457">
        <f>IF($E457=0,0,SUMPRODUCT($AI$5:$DF$5,'Staff Daily sales'!$G442:$CD442))</f>
        <v>0</v>
      </c>
      <c r="G457">
        <f>IF($E457=0,0,SUMPRODUCT($AI$6:$DF$6,'Staff Daily sales'!$G442:$CD442))</f>
        <v>0</v>
      </c>
      <c r="H457">
        <f t="shared" si="123"/>
        <v>1805.8899999999999</v>
      </c>
      <c r="I457">
        <f t="shared" si="124"/>
        <v>10</v>
      </c>
      <c r="J457">
        <f t="shared" si="125"/>
        <v>44058.899999999994</v>
      </c>
      <c r="K457">
        <f t="shared" si="126"/>
        <v>244</v>
      </c>
      <c r="L457">
        <f>--AND($E457=1,OR('Staff Dashboard'!$B$6="All",$DH457='Staff Dashboard'!$B$6),OR('Staff Dashboard'!$B$7="All",$D457='Staff Dashboard'!$B$7),OR('Staff Dashboard'!$B$8="All",$A457='Staff Dashboard'!$B$8))</f>
        <v>0</v>
      </c>
      <c r="M457">
        <f>IF($E457=0,0,SUMPRODUCT($AI$7:$DF$7,'Staff Daily sales'!$G442:$CD442))</f>
        <v>0</v>
      </c>
      <c r="N457">
        <f>IF($E457=0,0,SUMPRODUCT($AI$8:$DF$8,'Staff Daily sales'!$G442:$CD442))</f>
        <v>1</v>
      </c>
      <c r="O457">
        <f>IF($E457=0,0,SUMPRODUCT($AI$9:$DF$9,'Staff Daily sales'!$G442:$CD442))</f>
        <v>13</v>
      </c>
      <c r="P457">
        <f>IF($E457=0,0,SUMPRODUCT($AI$10:$DF$10,'Staff Daily sales'!$G442:$CD442))</f>
        <v>1</v>
      </c>
      <c r="Q457">
        <f>IF($E457=0,0,SUMPRODUCT($AI$11:$DF$11,'Staff Daily sales'!$G442:$CD442))</f>
        <v>0</v>
      </c>
      <c r="R457">
        <f>IF($E457=0,0,SUMPRODUCT($AI$12:$DF$12,'Staff Daily sales'!$G442:$CD442))</f>
        <v>0</v>
      </c>
      <c r="S457">
        <f>IF($E457=0,0,SUMPRODUCT($AI$13:$DF$13,'Staff Daily sales'!$G442:$CD442))</f>
        <v>0</v>
      </c>
      <c r="T457">
        <f>IF($E457=0,0,SUMPRODUCT($AI$14:$DF$14,'Staff Daily sales'!$G442:$CD442))</f>
        <v>0</v>
      </c>
      <c r="U457">
        <f>IF($E457=0,0,SUMPRODUCT($AI$15:$DF$15,'Staff Daily sales'!$G442:$CD442))</f>
        <v>0</v>
      </c>
      <c r="V457">
        <f>IF($E457=0,0,SUMPRODUCT($AI$16:$DF$16,'Staff Daily sales'!$G442:$CD442))</f>
        <v>0</v>
      </c>
      <c r="W457">
        <f t="shared" si="127"/>
        <v>14144.31</v>
      </c>
      <c r="X457">
        <f t="shared" si="128"/>
        <v>17058.32</v>
      </c>
      <c r="Y457">
        <f t="shared" si="129"/>
        <v>13414.1</v>
      </c>
      <c r="Z457">
        <f t="shared" si="130"/>
        <v>11122.68</v>
      </c>
      <c r="AA457">
        <f t="shared" si="131"/>
        <v>2967</v>
      </c>
      <c r="AB457">
        <f>--AND($E457=1,OR('Staff Weekly Trend'!$B$3="All",$DH457='Staff Weekly Trend'!$B$3),OR('Staff Weekly Trend'!$B$4="All",$D457='Staff Weekly Trend'!$B$4),OR('Staff Weekly Trend'!$B$5="All",$A457='Staff Weekly Trend'!$B$5))</f>
        <v>1</v>
      </c>
      <c r="AC457" t="str">
        <f t="shared" si="132"/>
        <v/>
      </c>
      <c r="AI457">
        <f t="shared" si="133"/>
        <v>96</v>
      </c>
      <c r="AJ457">
        <f t="shared" si="134"/>
        <v>116</v>
      </c>
      <c r="AK457">
        <f t="shared" si="135"/>
        <v>107</v>
      </c>
      <c r="AL457">
        <f t="shared" si="136"/>
        <v>65</v>
      </c>
      <c r="AM457">
        <f t="shared" si="137"/>
        <v>17</v>
      </c>
      <c r="DH457" t="str" cm="1">
        <f t="array" ref="DH457">IF($A457="","",_xlfn.LET(_xlpm.c,IFERROR(_xlfn.XLOOKUP($A457,TRIM('Sales and count'!$A$4:$A$300&amp;""),TRIM('Sales and count'!$B$4:$B$300&amp;"")),""),IF(OR(_xlpm.c="",_xlpm.c="0",LEFT(_xlpm.c,1)="#"),"Not set",_xlpm.c)))</f>
        <v>KSA</v>
      </c>
    </row>
    <row r="458" spans="1:112" x14ac:dyDescent="0.25">
      <c r="A458" t="str">
        <f>IF('Staff Daily sales'!$B443="","",TRIM('Staff Daily sales'!$B443&amp;""))</f>
        <v>HARASHJIZ</v>
      </c>
      <c r="B458" t="str">
        <f>IF('Staff Daily sales'!$D443="","",TRIM('Staff Daily sales'!$D443&amp;""))</f>
        <v>5703-AGesiri</v>
      </c>
      <c r="C458" t="str">
        <f>IFERROR(TRIM('Staff Daily sales'!$E443&amp;""),"")</f>
        <v>Jizan</v>
      </c>
      <c r="D458" t="str">
        <f>IFERROR(IF(TRIM('Staff Daily sales'!$F443&amp;"")="","Unassigned",TRIM('Staff Daily sales'!$F443&amp;"")),"Unassigned")</f>
        <v>Ahmed Jaffari</v>
      </c>
      <c r="E458">
        <f t="shared" si="122"/>
        <v>1</v>
      </c>
      <c r="F458">
        <f>IF($E458=0,0,SUMPRODUCT($AI$5:$DF$5,'Staff Daily sales'!$G443:$CD443))</f>
        <v>0</v>
      </c>
      <c r="G458">
        <f>IF($E458=0,0,SUMPRODUCT($AI$6:$DF$6,'Staff Daily sales'!$G443:$CD443))</f>
        <v>0</v>
      </c>
      <c r="H458">
        <f t="shared" si="123"/>
        <v>1805.8899999999999</v>
      </c>
      <c r="I458">
        <f t="shared" si="124"/>
        <v>10</v>
      </c>
      <c r="J458">
        <f t="shared" si="125"/>
        <v>44058.899999999994</v>
      </c>
      <c r="K458">
        <f t="shared" si="126"/>
        <v>244</v>
      </c>
      <c r="L458">
        <f>--AND($E458=1,OR('Staff Dashboard'!$B$6="All",$DH458='Staff Dashboard'!$B$6),OR('Staff Dashboard'!$B$7="All",$D458='Staff Dashboard'!$B$7),OR('Staff Dashboard'!$B$8="All",$A458='Staff Dashboard'!$B$8))</f>
        <v>0</v>
      </c>
      <c r="M458">
        <f>IF($E458=0,0,SUMPRODUCT($AI$7:$DF$7,'Staff Daily sales'!$G443:$CD443))</f>
        <v>0</v>
      </c>
      <c r="N458">
        <f>IF($E458=0,0,SUMPRODUCT($AI$8:$DF$8,'Staff Daily sales'!$G443:$CD443))</f>
        <v>0</v>
      </c>
      <c r="O458">
        <f>IF($E458=0,0,SUMPRODUCT($AI$9:$DF$9,'Staff Daily sales'!$G443:$CD443))</f>
        <v>400.02</v>
      </c>
      <c r="P458">
        <f>IF($E458=0,0,SUMPRODUCT($AI$10:$DF$10,'Staff Daily sales'!$G443:$CD443))</f>
        <v>4</v>
      </c>
      <c r="Q458">
        <f>IF($E458=0,0,SUMPRODUCT($AI$11:$DF$11,'Staff Daily sales'!$G443:$CD443))</f>
        <v>0</v>
      </c>
      <c r="R458">
        <f>IF($E458=0,0,SUMPRODUCT($AI$12:$DF$12,'Staff Daily sales'!$G443:$CD443))</f>
        <v>0</v>
      </c>
      <c r="S458">
        <f>IF($E458=0,0,SUMPRODUCT($AI$13:$DF$13,'Staff Daily sales'!$G443:$CD443))</f>
        <v>0</v>
      </c>
      <c r="T458">
        <f>IF($E458=0,0,SUMPRODUCT($AI$14:$DF$14,'Staff Daily sales'!$G443:$CD443))</f>
        <v>0</v>
      </c>
      <c r="U458">
        <f>IF($E458=0,0,SUMPRODUCT($AI$15:$DF$15,'Staff Daily sales'!$G443:$CD443))</f>
        <v>0</v>
      </c>
      <c r="V458">
        <f>IF($E458=0,0,SUMPRODUCT($AI$16:$DF$16,'Staff Daily sales'!$G443:$CD443))</f>
        <v>0</v>
      </c>
      <c r="W458">
        <f t="shared" si="127"/>
        <v>14144.31</v>
      </c>
      <c r="X458">
        <f t="shared" si="128"/>
        <v>17058.32</v>
      </c>
      <c r="Y458">
        <f t="shared" si="129"/>
        <v>13414.1</v>
      </c>
      <c r="Z458">
        <f t="shared" si="130"/>
        <v>11122.68</v>
      </c>
      <c r="AA458">
        <f t="shared" si="131"/>
        <v>2967</v>
      </c>
      <c r="AB458">
        <f>--AND($E458=1,OR('Staff Weekly Trend'!$B$3="All",$DH458='Staff Weekly Trend'!$B$3),OR('Staff Weekly Trend'!$B$4="All",$D458='Staff Weekly Trend'!$B$4),OR('Staff Weekly Trend'!$B$5="All",$A458='Staff Weekly Trend'!$B$5))</f>
        <v>1</v>
      </c>
      <c r="AC458" t="str">
        <f t="shared" si="132"/>
        <v/>
      </c>
      <c r="AI458">
        <f t="shared" si="133"/>
        <v>96</v>
      </c>
      <c r="AJ458">
        <f t="shared" si="134"/>
        <v>116</v>
      </c>
      <c r="AK458">
        <f t="shared" si="135"/>
        <v>107</v>
      </c>
      <c r="AL458">
        <f t="shared" si="136"/>
        <v>65</v>
      </c>
      <c r="AM458">
        <f t="shared" si="137"/>
        <v>17</v>
      </c>
      <c r="DH458" t="str" cm="1">
        <f t="array" ref="DH458">IF($A458="","",_xlfn.LET(_xlpm.c,IFERROR(_xlfn.XLOOKUP($A458,TRIM('Sales and count'!$A$4:$A$300&amp;""),TRIM('Sales and count'!$B$4:$B$300&amp;"")),""),IF(OR(_xlpm.c="",_xlpm.c="0",LEFT(_xlpm.c,1)="#"),"Not set",_xlpm.c)))</f>
        <v>KSA</v>
      </c>
    </row>
    <row r="459" spans="1:112" x14ac:dyDescent="0.25">
      <c r="A459" t="str">
        <f>IF('Staff Daily sales'!$B444="","",TRIM('Staff Daily sales'!$B444&amp;""))</f>
        <v>HARASHJIZ</v>
      </c>
      <c r="B459" t="str">
        <f>IF('Staff Daily sales'!$D444="","",TRIM('Staff Daily sales'!$D444&amp;""))</f>
        <v>5705-MMasra</v>
      </c>
      <c r="C459" t="str">
        <f>IFERROR(TRIM('Staff Daily sales'!$E444&amp;""),"")</f>
        <v>Jizan</v>
      </c>
      <c r="D459" t="str">
        <f>IFERROR(IF(TRIM('Staff Daily sales'!$F444&amp;"")="","Unassigned",TRIM('Staff Daily sales'!$F444&amp;"")),"Unassigned")</f>
        <v>Ahmed Jaffari</v>
      </c>
      <c r="E459">
        <f t="shared" si="122"/>
        <v>1</v>
      </c>
      <c r="F459">
        <f>IF($E459=0,0,SUMPRODUCT($AI$5:$DF$5,'Staff Daily sales'!$G444:$CD444))</f>
        <v>274.01</v>
      </c>
      <c r="G459">
        <f>IF($E459=0,0,SUMPRODUCT($AI$6:$DF$6,'Staff Daily sales'!$G444:$CD444))</f>
        <v>2</v>
      </c>
      <c r="H459">
        <f t="shared" si="123"/>
        <v>1805.8899999999999</v>
      </c>
      <c r="I459">
        <f t="shared" si="124"/>
        <v>10</v>
      </c>
      <c r="J459">
        <f t="shared" si="125"/>
        <v>44058.899999999994</v>
      </c>
      <c r="K459">
        <f t="shared" si="126"/>
        <v>244</v>
      </c>
      <c r="L459">
        <f>--AND($E459=1,OR('Staff Dashboard'!$B$6="All",$DH459='Staff Dashboard'!$B$6),OR('Staff Dashboard'!$B$7="All",$D459='Staff Dashboard'!$B$7),OR('Staff Dashboard'!$B$8="All",$A459='Staff Dashboard'!$B$8))</f>
        <v>0</v>
      </c>
      <c r="M459">
        <f>IF($E459=0,0,SUMPRODUCT($AI$7:$DF$7,'Staff Daily sales'!$G444:$CD444))</f>
        <v>4395.08</v>
      </c>
      <c r="N459">
        <f>IF($E459=0,0,SUMPRODUCT($AI$8:$DF$8,'Staff Daily sales'!$G444:$CD444))</f>
        <v>29</v>
      </c>
      <c r="O459">
        <f>IF($E459=0,0,SUMPRODUCT($AI$9:$DF$9,'Staff Daily sales'!$G444:$CD444))</f>
        <v>0</v>
      </c>
      <c r="P459">
        <f>IF($E459=0,0,SUMPRODUCT($AI$10:$DF$10,'Staff Daily sales'!$G444:$CD444))</f>
        <v>0</v>
      </c>
      <c r="Q459">
        <f>IF($E459=0,0,SUMPRODUCT($AI$11:$DF$11,'Staff Daily sales'!$G444:$CD444))</f>
        <v>1805.01</v>
      </c>
      <c r="R459">
        <f>IF($E459=0,0,SUMPRODUCT($AI$12:$DF$12,'Staff Daily sales'!$G444:$CD444))</f>
        <v>13</v>
      </c>
      <c r="S459">
        <f>IF($E459=0,0,SUMPRODUCT($AI$13:$DF$13,'Staff Daily sales'!$G444:$CD444))</f>
        <v>3564</v>
      </c>
      <c r="T459">
        <f>IF($E459=0,0,SUMPRODUCT($AI$14:$DF$14,'Staff Daily sales'!$G444:$CD444))</f>
        <v>23</v>
      </c>
      <c r="U459">
        <f>IF($E459=0,0,SUMPRODUCT($AI$15:$DF$15,'Staff Daily sales'!$G444:$CD444))</f>
        <v>360.98</v>
      </c>
      <c r="V459">
        <f>IF($E459=0,0,SUMPRODUCT($AI$16:$DF$16,'Staff Daily sales'!$G444:$CD444))</f>
        <v>2</v>
      </c>
      <c r="W459">
        <f t="shared" si="127"/>
        <v>14144.31</v>
      </c>
      <c r="X459">
        <f t="shared" si="128"/>
        <v>17058.32</v>
      </c>
      <c r="Y459">
        <f t="shared" si="129"/>
        <v>13414.1</v>
      </c>
      <c r="Z459">
        <f t="shared" si="130"/>
        <v>11122.68</v>
      </c>
      <c r="AA459">
        <f t="shared" si="131"/>
        <v>2967</v>
      </c>
      <c r="AB459">
        <f>--AND($E459=1,OR('Staff Weekly Trend'!$B$3="All",$DH459='Staff Weekly Trend'!$B$3),OR('Staff Weekly Trend'!$B$4="All",$D459='Staff Weekly Trend'!$B$4),OR('Staff Weekly Trend'!$B$5="All",$A459='Staff Weekly Trend'!$B$5))</f>
        <v>1</v>
      </c>
      <c r="AC459">
        <f t="shared" si="132"/>
        <v>3</v>
      </c>
      <c r="AI459">
        <f t="shared" si="133"/>
        <v>96</v>
      </c>
      <c r="AJ459">
        <f t="shared" si="134"/>
        <v>116</v>
      </c>
      <c r="AK459">
        <f t="shared" si="135"/>
        <v>107</v>
      </c>
      <c r="AL459">
        <f t="shared" si="136"/>
        <v>65</v>
      </c>
      <c r="AM459">
        <f t="shared" si="137"/>
        <v>17</v>
      </c>
      <c r="DH459" t="str" cm="1">
        <f t="array" ref="DH459">IF($A459="","",_xlfn.LET(_xlpm.c,IFERROR(_xlfn.XLOOKUP($A459,TRIM('Sales and count'!$A$4:$A$300&amp;""),TRIM('Sales and count'!$B$4:$B$300&amp;"")),""),IF(OR(_xlpm.c="",_xlpm.c="0",LEFT(_xlpm.c,1)="#"),"Not set",_xlpm.c)))</f>
        <v>KSA</v>
      </c>
    </row>
    <row r="460" spans="1:112" x14ac:dyDescent="0.25">
      <c r="A460" t="str">
        <f>IF('Staff Daily sales'!$B445="","",TRIM('Staff Daily sales'!$B445&amp;""))</f>
        <v>HARASHJIZ</v>
      </c>
      <c r="B460" t="str">
        <f>IF('Staff Daily sales'!$D445="","",TRIM('Staff Daily sales'!$D445&amp;""))</f>
        <v>6924-MHakami</v>
      </c>
      <c r="C460" t="str">
        <f>IFERROR(TRIM('Staff Daily sales'!$E445&amp;""),"")</f>
        <v>Jizan</v>
      </c>
      <c r="D460" t="str">
        <f>IFERROR(IF(TRIM('Staff Daily sales'!$F445&amp;"")="","Unassigned",TRIM('Staff Daily sales'!$F445&amp;"")),"Unassigned")</f>
        <v>Ahmed Jaffari</v>
      </c>
      <c r="E460">
        <f t="shared" si="122"/>
        <v>1</v>
      </c>
      <c r="F460">
        <f>IF($E460=0,0,SUMPRODUCT($AI$5:$DF$5,'Staff Daily sales'!$G445:$CD445))</f>
        <v>994.92</v>
      </c>
      <c r="G460">
        <f>IF($E460=0,0,SUMPRODUCT($AI$6:$DF$6,'Staff Daily sales'!$G445:$CD445))</f>
        <v>5</v>
      </c>
      <c r="H460">
        <f t="shared" si="123"/>
        <v>1805.8899999999999</v>
      </c>
      <c r="I460">
        <f t="shared" si="124"/>
        <v>10</v>
      </c>
      <c r="J460">
        <f t="shared" si="125"/>
        <v>44058.899999999994</v>
      </c>
      <c r="K460">
        <f t="shared" si="126"/>
        <v>244</v>
      </c>
      <c r="L460">
        <f>--AND($E460=1,OR('Staff Dashboard'!$B$6="All",$DH460='Staff Dashboard'!$B$6),OR('Staff Dashboard'!$B$7="All",$D460='Staff Dashboard'!$B$7),OR('Staff Dashboard'!$B$8="All",$A460='Staff Dashboard'!$B$8))</f>
        <v>0</v>
      </c>
      <c r="M460">
        <f>IF($E460=0,0,SUMPRODUCT($AI$7:$DF$7,'Staff Daily sales'!$G445:$CD445))</f>
        <v>2863.0699999999997</v>
      </c>
      <c r="N460">
        <f>IF($E460=0,0,SUMPRODUCT($AI$8:$DF$8,'Staff Daily sales'!$G445:$CD445))</f>
        <v>19</v>
      </c>
      <c r="O460">
        <f>IF($E460=0,0,SUMPRODUCT($AI$9:$DF$9,'Staff Daily sales'!$G445:$CD445))</f>
        <v>8170.08</v>
      </c>
      <c r="P460">
        <f>IF($E460=0,0,SUMPRODUCT($AI$10:$DF$10,'Staff Daily sales'!$G445:$CD445))</f>
        <v>56</v>
      </c>
      <c r="Q460">
        <f>IF($E460=0,0,SUMPRODUCT($AI$11:$DF$11,'Staff Daily sales'!$G445:$CD445))</f>
        <v>4145.0200000000004</v>
      </c>
      <c r="R460">
        <f>IF($E460=0,0,SUMPRODUCT($AI$12:$DF$12,'Staff Daily sales'!$G445:$CD445))</f>
        <v>30</v>
      </c>
      <c r="S460">
        <f>IF($E460=0,0,SUMPRODUCT($AI$13:$DF$13,'Staff Daily sales'!$G445:$CD445))</f>
        <v>3144.8500000000004</v>
      </c>
      <c r="T460">
        <f>IF($E460=0,0,SUMPRODUCT($AI$14:$DF$14,'Staff Daily sales'!$G445:$CD445))</f>
        <v>16</v>
      </c>
      <c r="U460">
        <f>IF($E460=0,0,SUMPRODUCT($AI$15:$DF$15,'Staff Daily sales'!$G445:$CD445))</f>
        <v>435.98</v>
      </c>
      <c r="V460">
        <f>IF($E460=0,0,SUMPRODUCT($AI$16:$DF$16,'Staff Daily sales'!$G445:$CD445))</f>
        <v>3</v>
      </c>
      <c r="W460">
        <f t="shared" si="127"/>
        <v>14144.31</v>
      </c>
      <c r="X460">
        <f t="shared" si="128"/>
        <v>17058.32</v>
      </c>
      <c r="Y460">
        <f t="shared" si="129"/>
        <v>13414.1</v>
      </c>
      <c r="Z460">
        <f t="shared" si="130"/>
        <v>11122.68</v>
      </c>
      <c r="AA460">
        <f t="shared" si="131"/>
        <v>2967</v>
      </c>
      <c r="AB460">
        <f>--AND($E460=1,OR('Staff Weekly Trend'!$B$3="All",$DH460='Staff Weekly Trend'!$B$3),OR('Staff Weekly Trend'!$B$4="All",$D460='Staff Weekly Trend'!$B$4),OR('Staff Weekly Trend'!$B$5="All",$A460='Staff Weekly Trend'!$B$5))</f>
        <v>1</v>
      </c>
      <c r="AC460">
        <f t="shared" si="132"/>
        <v>1</v>
      </c>
      <c r="AI460">
        <f t="shared" si="133"/>
        <v>96</v>
      </c>
      <c r="AJ460">
        <f t="shared" si="134"/>
        <v>116</v>
      </c>
      <c r="AK460">
        <f t="shared" si="135"/>
        <v>107</v>
      </c>
      <c r="AL460">
        <f t="shared" si="136"/>
        <v>65</v>
      </c>
      <c r="AM460">
        <f t="shared" si="137"/>
        <v>17</v>
      </c>
      <c r="DH460" t="str" cm="1">
        <f t="array" ref="DH460">IF($A460="","",_xlfn.LET(_xlpm.c,IFERROR(_xlfn.XLOOKUP($A460,TRIM('Sales and count'!$A$4:$A$300&amp;""),TRIM('Sales and count'!$B$4:$B$300&amp;"")),""),IF(OR(_xlpm.c="",_xlpm.c="0",LEFT(_xlpm.c,1)="#"),"Not set",_xlpm.c)))</f>
        <v>KSA</v>
      </c>
    </row>
    <row r="461" spans="1:112" x14ac:dyDescent="0.25">
      <c r="A461" t="str">
        <f>IF('Staff Daily sales'!$B446="","",TRIM('Staff Daily sales'!$B446&amp;""))</f>
        <v>HADLHTBHHT</v>
      </c>
      <c r="B461" t="str">
        <f>IF('Staff Daily sales'!$D446="","",TRIM('Staff Daily sales'!$D446&amp;""))</f>
        <v>5645-YMakki</v>
      </c>
      <c r="C461" t="str">
        <f>IFERROR(TRIM('Staff Daily sales'!$E446&amp;""),"")</f>
        <v>Madinah</v>
      </c>
      <c r="D461" t="str">
        <f>IFERROR(IF(TRIM('Staff Daily sales'!$F446&amp;"")="","Unassigned",TRIM('Staff Daily sales'!$F446&amp;"")),"Unassigned")</f>
        <v>Mohammed Haidar</v>
      </c>
      <c r="E461">
        <f t="shared" si="122"/>
        <v>1</v>
      </c>
      <c r="F461">
        <f>IF($E461=0,0,SUMPRODUCT($AI$5:$DF$5,'Staff Daily sales'!$G446:$CD446))</f>
        <v>0</v>
      </c>
      <c r="G461">
        <f>IF($E461=0,0,SUMPRODUCT($AI$6:$DF$6,'Staff Daily sales'!$G446:$CD446))</f>
        <v>0</v>
      </c>
      <c r="H461">
        <f t="shared" si="123"/>
        <v>11238.57</v>
      </c>
      <c r="I461">
        <f t="shared" si="124"/>
        <v>54</v>
      </c>
      <c r="J461">
        <f t="shared" si="125"/>
        <v>55209.230000000018</v>
      </c>
      <c r="K461">
        <f t="shared" si="126"/>
        <v>272</v>
      </c>
      <c r="L461">
        <f>--AND($E461=1,OR('Staff Dashboard'!$B$6="All",$DH461='Staff Dashboard'!$B$6),OR('Staff Dashboard'!$B$7="All",$D461='Staff Dashboard'!$B$7),OR('Staff Dashboard'!$B$8="All",$A461='Staff Dashboard'!$B$8))</f>
        <v>0</v>
      </c>
      <c r="M461">
        <f>IF($E461=0,0,SUMPRODUCT($AI$7:$DF$7,'Staff Daily sales'!$G446:$CD446))</f>
        <v>0</v>
      </c>
      <c r="N461">
        <f>IF($E461=0,0,SUMPRODUCT($AI$8:$DF$8,'Staff Daily sales'!$G446:$CD446))</f>
        <v>0</v>
      </c>
      <c r="O461">
        <f>IF($E461=0,0,SUMPRODUCT($AI$9:$DF$9,'Staff Daily sales'!$G446:$CD446))</f>
        <v>0</v>
      </c>
      <c r="P461">
        <f>IF($E461=0,0,SUMPRODUCT($AI$10:$DF$10,'Staff Daily sales'!$G446:$CD446))</f>
        <v>0</v>
      </c>
      <c r="Q461">
        <f>IF($E461=0,0,SUMPRODUCT($AI$11:$DF$11,'Staff Daily sales'!$G446:$CD446))</f>
        <v>1425</v>
      </c>
      <c r="R461">
        <f>IF($E461=0,0,SUMPRODUCT($AI$12:$DF$12,'Staff Daily sales'!$G446:$CD446))</f>
        <v>2</v>
      </c>
      <c r="S461">
        <f>IF($E461=0,0,SUMPRODUCT($AI$13:$DF$13,'Staff Daily sales'!$G446:$CD446))</f>
        <v>0</v>
      </c>
      <c r="T461">
        <f>IF($E461=0,0,SUMPRODUCT($AI$14:$DF$14,'Staff Daily sales'!$G446:$CD446))</f>
        <v>0</v>
      </c>
      <c r="U461">
        <f>IF($E461=0,0,SUMPRODUCT($AI$15:$DF$15,'Staff Daily sales'!$G446:$CD446))</f>
        <v>0</v>
      </c>
      <c r="V461">
        <f>IF($E461=0,0,SUMPRODUCT($AI$16:$DF$16,'Staff Daily sales'!$G446:$CD446))</f>
        <v>0</v>
      </c>
      <c r="W461">
        <f t="shared" si="127"/>
        <v>21520.559999999998</v>
      </c>
      <c r="X461">
        <f t="shared" si="128"/>
        <v>54559.42</v>
      </c>
      <c r="Y461">
        <f t="shared" si="129"/>
        <v>52597.280000000006</v>
      </c>
      <c r="Z461">
        <f t="shared" si="130"/>
        <v>54179.830000000009</v>
      </c>
      <c r="AA461">
        <f t="shared" si="131"/>
        <v>20906.240000000002</v>
      </c>
      <c r="AB461">
        <f>--AND($E461=1,OR('Staff Weekly Trend'!$B$3="All",$DH461='Staff Weekly Trend'!$B$3),OR('Staff Weekly Trend'!$B$4="All",$D461='Staff Weekly Trend'!$B$4),OR('Staff Weekly Trend'!$B$5="All",$A461='Staff Weekly Trend'!$B$5))</f>
        <v>1</v>
      </c>
      <c r="AC461" t="str">
        <f t="shared" si="132"/>
        <v/>
      </c>
      <c r="AI461">
        <f t="shared" si="133"/>
        <v>132</v>
      </c>
      <c r="AJ461">
        <f t="shared" si="134"/>
        <v>266</v>
      </c>
      <c r="AK461">
        <f t="shared" si="135"/>
        <v>272</v>
      </c>
      <c r="AL461">
        <f t="shared" si="136"/>
        <v>275</v>
      </c>
      <c r="AM461">
        <f t="shared" si="137"/>
        <v>95</v>
      </c>
      <c r="DH461" t="str" cm="1">
        <f t="array" ref="DH461">IF($A461="","",_xlfn.LET(_xlpm.c,IFERROR(_xlfn.XLOOKUP($A461,TRIM('Sales and count'!$A$4:$A$300&amp;""),TRIM('Sales and count'!$B$4:$B$300&amp;"")),""),IF(OR(_xlpm.c="",_xlpm.c="0",LEFT(_xlpm.c,1)="#"),"Not set",_xlpm.c)))</f>
        <v>KSA</v>
      </c>
    </row>
    <row r="462" spans="1:112" x14ac:dyDescent="0.25">
      <c r="A462" t="str">
        <f>IF('Staff Daily sales'!$B447="","",TRIM('Staff Daily sales'!$B447&amp;""))</f>
        <v>HADLHTBHHT</v>
      </c>
      <c r="B462" t="str">
        <f>IF('Staff Daily sales'!$D447="","",TRIM('Staff Daily sales'!$D447&amp;""))</f>
        <v>5647-SAhadad</v>
      </c>
      <c r="C462" t="str">
        <f>IFERROR(TRIM('Staff Daily sales'!$E447&amp;""),"")</f>
        <v>Madinah</v>
      </c>
      <c r="D462" t="str">
        <f>IFERROR(IF(TRIM('Staff Daily sales'!$F447&amp;"")="","Unassigned",TRIM('Staff Daily sales'!$F447&amp;"")),"Unassigned")</f>
        <v>Mohammed Haidar</v>
      </c>
      <c r="E462">
        <f t="shared" si="122"/>
        <v>1</v>
      </c>
      <c r="F462">
        <f>IF($E462=0,0,SUMPRODUCT($AI$5:$DF$5,'Staff Daily sales'!$G447:$CD447))</f>
        <v>1731.94</v>
      </c>
      <c r="G462">
        <f>IF($E462=0,0,SUMPRODUCT($AI$6:$DF$6,'Staff Daily sales'!$G447:$CD447))</f>
        <v>11</v>
      </c>
      <c r="H462">
        <f t="shared" si="123"/>
        <v>11238.57</v>
      </c>
      <c r="I462">
        <f t="shared" si="124"/>
        <v>54</v>
      </c>
      <c r="J462">
        <f t="shared" si="125"/>
        <v>55209.230000000018</v>
      </c>
      <c r="K462">
        <f t="shared" si="126"/>
        <v>272</v>
      </c>
      <c r="L462">
        <f>--AND($E462=1,OR('Staff Dashboard'!$B$6="All",$DH462='Staff Dashboard'!$B$6),OR('Staff Dashboard'!$B$7="All",$D462='Staff Dashboard'!$B$7),OR('Staff Dashboard'!$B$8="All",$A462='Staff Dashboard'!$B$8))</f>
        <v>0</v>
      </c>
      <c r="M462">
        <f>IF($E462=0,0,SUMPRODUCT($AI$7:$DF$7,'Staff Daily sales'!$G447:$CD447))</f>
        <v>2332.0699999999997</v>
      </c>
      <c r="N462">
        <f>IF($E462=0,0,SUMPRODUCT($AI$8:$DF$8,'Staff Daily sales'!$G447:$CD447))</f>
        <v>14</v>
      </c>
      <c r="O462">
        <f>IF($E462=0,0,SUMPRODUCT($AI$9:$DF$9,'Staff Daily sales'!$G447:$CD447))</f>
        <v>10660.04</v>
      </c>
      <c r="P462">
        <f>IF($E462=0,0,SUMPRODUCT($AI$10:$DF$10,'Staff Daily sales'!$G447:$CD447))</f>
        <v>60</v>
      </c>
      <c r="Q462">
        <f>IF($E462=0,0,SUMPRODUCT($AI$11:$DF$11,'Staff Daily sales'!$G447:$CD447))</f>
        <v>11252.03</v>
      </c>
      <c r="R462">
        <f>IF($E462=0,0,SUMPRODUCT($AI$12:$DF$12,'Staff Daily sales'!$G447:$CD447))</f>
        <v>56</v>
      </c>
      <c r="S462">
        <f>IF($E462=0,0,SUMPRODUCT($AI$13:$DF$13,'Staff Daily sales'!$G447:$CD447))</f>
        <v>11284.910000000002</v>
      </c>
      <c r="T462">
        <f>IF($E462=0,0,SUMPRODUCT($AI$14:$DF$14,'Staff Daily sales'!$G447:$CD447))</f>
        <v>64</v>
      </c>
      <c r="U462">
        <f>IF($E462=0,0,SUMPRODUCT($AI$15:$DF$15,'Staff Daily sales'!$G447:$CD447))</f>
        <v>2189.02</v>
      </c>
      <c r="V462">
        <f>IF($E462=0,0,SUMPRODUCT($AI$16:$DF$16,'Staff Daily sales'!$G447:$CD447))</f>
        <v>11</v>
      </c>
      <c r="W462">
        <f t="shared" si="127"/>
        <v>21520.559999999998</v>
      </c>
      <c r="X462">
        <f t="shared" si="128"/>
        <v>54559.42</v>
      </c>
      <c r="Y462">
        <f t="shared" si="129"/>
        <v>52597.280000000006</v>
      </c>
      <c r="Z462">
        <f t="shared" si="130"/>
        <v>54179.830000000009</v>
      </c>
      <c r="AA462">
        <f t="shared" si="131"/>
        <v>20906.240000000002</v>
      </c>
      <c r="AB462">
        <f>--AND($E462=1,OR('Staff Weekly Trend'!$B$3="All",$DH462='Staff Weekly Trend'!$B$3),OR('Staff Weekly Trend'!$B$4="All",$D462='Staff Weekly Trend'!$B$4),OR('Staff Weekly Trend'!$B$5="All",$A462='Staff Weekly Trend'!$B$5))</f>
        <v>1</v>
      </c>
      <c r="AC462">
        <f t="shared" si="132"/>
        <v>5</v>
      </c>
      <c r="AI462">
        <f t="shared" si="133"/>
        <v>132</v>
      </c>
      <c r="AJ462">
        <f t="shared" si="134"/>
        <v>266</v>
      </c>
      <c r="AK462">
        <f t="shared" si="135"/>
        <v>272</v>
      </c>
      <c r="AL462">
        <f t="shared" si="136"/>
        <v>275</v>
      </c>
      <c r="AM462">
        <f t="shared" si="137"/>
        <v>95</v>
      </c>
      <c r="DH462" t="str" cm="1">
        <f t="array" ref="DH462">IF($A462="","",_xlfn.LET(_xlpm.c,IFERROR(_xlfn.XLOOKUP($A462,TRIM('Sales and count'!$A$4:$A$300&amp;""),TRIM('Sales and count'!$B$4:$B$300&amp;"")),""),IF(OR(_xlpm.c="",_xlpm.c="0",LEFT(_xlpm.c,1)="#"),"Not set",_xlpm.c)))</f>
        <v>KSA</v>
      </c>
    </row>
    <row r="463" spans="1:112" x14ac:dyDescent="0.25">
      <c r="A463" t="str">
        <f>IF('Staff Daily sales'!$B448="","",TRIM('Staff Daily sales'!$B448&amp;""))</f>
        <v>HADLHTBHHT</v>
      </c>
      <c r="B463" t="str">
        <f>IF('Staff Daily sales'!$D448="","",TRIM('Staff Daily sales'!$D448&amp;""))</f>
        <v>5699-IAllhibi</v>
      </c>
      <c r="C463" t="str">
        <f>IFERROR(TRIM('Staff Daily sales'!$E448&amp;""),"")</f>
        <v>Madinah</v>
      </c>
      <c r="D463" t="str">
        <f>IFERROR(IF(TRIM('Staff Daily sales'!$F448&amp;"")="","Unassigned",TRIM('Staff Daily sales'!$F448&amp;"")),"Unassigned")</f>
        <v>Mohammed Haidar</v>
      </c>
      <c r="E463">
        <f t="shared" si="122"/>
        <v>1</v>
      </c>
      <c r="F463">
        <f>IF($E463=0,0,SUMPRODUCT($AI$5:$DF$5,'Staff Daily sales'!$G448:$CD448))</f>
        <v>2041.94</v>
      </c>
      <c r="G463">
        <f>IF($E463=0,0,SUMPRODUCT($AI$6:$DF$6,'Staff Daily sales'!$G448:$CD448))</f>
        <v>10</v>
      </c>
      <c r="H463">
        <f t="shared" si="123"/>
        <v>11238.57</v>
      </c>
      <c r="I463">
        <f t="shared" si="124"/>
        <v>54</v>
      </c>
      <c r="J463">
        <f t="shared" si="125"/>
        <v>55209.230000000018</v>
      </c>
      <c r="K463">
        <f t="shared" si="126"/>
        <v>272</v>
      </c>
      <c r="L463">
        <f>--AND($E463=1,OR('Staff Dashboard'!$B$6="All",$DH463='Staff Dashboard'!$B$6),OR('Staff Dashboard'!$B$7="All",$D463='Staff Dashboard'!$B$7),OR('Staff Dashboard'!$B$8="All",$A463='Staff Dashboard'!$B$8))</f>
        <v>0</v>
      </c>
      <c r="M463">
        <f>IF($E463=0,0,SUMPRODUCT($AI$7:$DF$7,'Staff Daily sales'!$G448:$CD448))</f>
        <v>3897.15</v>
      </c>
      <c r="N463">
        <f>IF($E463=0,0,SUMPRODUCT($AI$8:$DF$8,'Staff Daily sales'!$G448:$CD448))</f>
        <v>17</v>
      </c>
      <c r="O463">
        <f>IF($E463=0,0,SUMPRODUCT($AI$9:$DF$9,'Staff Daily sales'!$G448:$CD448))</f>
        <v>14825.11</v>
      </c>
      <c r="P463">
        <f>IF($E463=0,0,SUMPRODUCT($AI$10:$DF$10,'Staff Daily sales'!$G448:$CD448))</f>
        <v>69</v>
      </c>
      <c r="Q463">
        <f>IF($E463=0,0,SUMPRODUCT($AI$11:$DF$11,'Staff Daily sales'!$G448:$CD448))</f>
        <v>11533.01</v>
      </c>
      <c r="R463">
        <f>IF($E463=0,0,SUMPRODUCT($AI$12:$DF$12,'Staff Daily sales'!$G448:$CD448))</f>
        <v>62</v>
      </c>
      <c r="S463">
        <f>IF($E463=0,0,SUMPRODUCT($AI$13:$DF$13,'Staff Daily sales'!$G448:$CD448))</f>
        <v>12819.87</v>
      </c>
      <c r="T463">
        <f>IF($E463=0,0,SUMPRODUCT($AI$14:$DF$14,'Staff Daily sales'!$G448:$CD448))</f>
        <v>60</v>
      </c>
      <c r="U463">
        <f>IF($E463=0,0,SUMPRODUCT($AI$15:$DF$15,'Staff Daily sales'!$G448:$CD448))</f>
        <v>5611.05</v>
      </c>
      <c r="V463">
        <f>IF($E463=0,0,SUMPRODUCT($AI$16:$DF$16,'Staff Daily sales'!$G448:$CD448))</f>
        <v>24</v>
      </c>
      <c r="W463">
        <f t="shared" si="127"/>
        <v>21520.559999999998</v>
      </c>
      <c r="X463">
        <f t="shared" si="128"/>
        <v>54559.42</v>
      </c>
      <c r="Y463">
        <f t="shared" si="129"/>
        <v>52597.280000000006</v>
      </c>
      <c r="Z463">
        <f t="shared" si="130"/>
        <v>54179.830000000009</v>
      </c>
      <c r="AA463">
        <f t="shared" si="131"/>
        <v>20906.240000000002</v>
      </c>
      <c r="AB463">
        <f>--AND($E463=1,OR('Staff Weekly Trend'!$B$3="All",$DH463='Staff Weekly Trend'!$B$3),OR('Staff Weekly Trend'!$B$4="All",$D463='Staff Weekly Trend'!$B$4),OR('Staff Weekly Trend'!$B$5="All",$A463='Staff Weekly Trend'!$B$5))</f>
        <v>1</v>
      </c>
      <c r="AC463">
        <f t="shared" si="132"/>
        <v>4</v>
      </c>
      <c r="AI463">
        <f t="shared" si="133"/>
        <v>132</v>
      </c>
      <c r="AJ463">
        <f t="shared" si="134"/>
        <v>266</v>
      </c>
      <c r="AK463">
        <f t="shared" si="135"/>
        <v>272</v>
      </c>
      <c r="AL463">
        <f t="shared" si="136"/>
        <v>275</v>
      </c>
      <c r="AM463">
        <f t="shared" si="137"/>
        <v>95</v>
      </c>
      <c r="DH463" t="str" cm="1">
        <f t="array" ref="DH463">IF($A463="","",_xlfn.LET(_xlpm.c,IFERROR(_xlfn.XLOOKUP($A463,TRIM('Sales and count'!$A$4:$A$300&amp;""),TRIM('Sales and count'!$B$4:$B$300&amp;"")),""),IF(OR(_xlpm.c="",_xlpm.c="0",LEFT(_xlpm.c,1)="#"),"Not set",_xlpm.c)))</f>
        <v>KSA</v>
      </c>
    </row>
    <row r="464" spans="1:112" x14ac:dyDescent="0.25">
      <c r="A464" t="str">
        <f>IF('Staff Daily sales'!$B449="","",TRIM('Staff Daily sales'!$B449&amp;""))</f>
        <v>HADLHTBHHT</v>
      </c>
      <c r="B464" t="str">
        <f>IF('Staff Daily sales'!$D449="","",TRIM('Staff Daily sales'!$D449&amp;""))</f>
        <v>5884-AAlbarnawi</v>
      </c>
      <c r="C464" t="str">
        <f>IFERROR(TRIM('Staff Daily sales'!$E449&amp;""),"")</f>
        <v>Madinah</v>
      </c>
      <c r="D464" t="str">
        <f>IFERROR(IF(TRIM('Staff Daily sales'!$F449&amp;"")="","Unassigned",TRIM('Staff Daily sales'!$F449&amp;"")),"Unassigned")</f>
        <v>Mohammed Haidar</v>
      </c>
      <c r="E464">
        <f t="shared" si="122"/>
        <v>1</v>
      </c>
      <c r="F464">
        <f>IF($E464=0,0,SUMPRODUCT($AI$5:$DF$5,'Staff Daily sales'!$G449:$CD449))</f>
        <v>2109.8000000000002</v>
      </c>
      <c r="G464">
        <f>IF($E464=0,0,SUMPRODUCT($AI$6:$DF$6,'Staff Daily sales'!$G449:$CD449))</f>
        <v>10</v>
      </c>
      <c r="H464">
        <f t="shared" si="123"/>
        <v>11238.57</v>
      </c>
      <c r="I464">
        <f t="shared" si="124"/>
        <v>54</v>
      </c>
      <c r="J464">
        <f t="shared" si="125"/>
        <v>55209.230000000018</v>
      </c>
      <c r="K464">
        <f t="shared" si="126"/>
        <v>272</v>
      </c>
      <c r="L464">
        <f>--AND($E464=1,OR('Staff Dashboard'!$B$6="All",$DH464='Staff Dashboard'!$B$6),OR('Staff Dashboard'!$B$7="All",$D464='Staff Dashboard'!$B$7),OR('Staff Dashboard'!$B$8="All",$A464='Staff Dashboard'!$B$8))</f>
        <v>0</v>
      </c>
      <c r="M464">
        <f>IF($E464=0,0,SUMPRODUCT($AI$7:$DF$7,'Staff Daily sales'!$G449:$CD449))</f>
        <v>4733.09</v>
      </c>
      <c r="N464">
        <f>IF($E464=0,0,SUMPRODUCT($AI$8:$DF$8,'Staff Daily sales'!$G449:$CD449))</f>
        <v>34</v>
      </c>
      <c r="O464">
        <f>IF($E464=0,0,SUMPRODUCT($AI$9:$DF$9,'Staff Daily sales'!$G449:$CD449))</f>
        <v>7311.0999999999995</v>
      </c>
      <c r="P464">
        <f>IF($E464=0,0,SUMPRODUCT($AI$10:$DF$10,'Staff Daily sales'!$G449:$CD449))</f>
        <v>28</v>
      </c>
      <c r="Q464">
        <f>IF($E464=0,0,SUMPRODUCT($AI$11:$DF$11,'Staff Daily sales'!$G449:$CD449))</f>
        <v>8618.09</v>
      </c>
      <c r="R464">
        <f>IF($E464=0,0,SUMPRODUCT($AI$12:$DF$12,'Staff Daily sales'!$G449:$CD449))</f>
        <v>54</v>
      </c>
      <c r="S464">
        <f>IF($E464=0,0,SUMPRODUCT($AI$13:$DF$13,'Staff Daily sales'!$G449:$CD449))</f>
        <v>7432.6500000000005</v>
      </c>
      <c r="T464">
        <f>IF($E464=0,0,SUMPRODUCT($AI$14:$DF$14,'Staff Daily sales'!$G449:$CD449))</f>
        <v>41</v>
      </c>
      <c r="U464">
        <f>IF($E464=0,0,SUMPRODUCT($AI$15:$DF$15,'Staff Daily sales'!$G449:$CD449))</f>
        <v>5304.86</v>
      </c>
      <c r="V464">
        <f>IF($E464=0,0,SUMPRODUCT($AI$16:$DF$16,'Staff Daily sales'!$G449:$CD449))</f>
        <v>27</v>
      </c>
      <c r="W464">
        <f t="shared" si="127"/>
        <v>21520.559999999998</v>
      </c>
      <c r="X464">
        <f t="shared" si="128"/>
        <v>54559.42</v>
      </c>
      <c r="Y464">
        <f t="shared" si="129"/>
        <v>52597.280000000006</v>
      </c>
      <c r="Z464">
        <f t="shared" si="130"/>
        <v>54179.830000000009</v>
      </c>
      <c r="AA464">
        <f t="shared" si="131"/>
        <v>20906.240000000002</v>
      </c>
      <c r="AB464">
        <f>--AND($E464=1,OR('Staff Weekly Trend'!$B$3="All",$DH464='Staff Weekly Trend'!$B$3),OR('Staff Weekly Trend'!$B$4="All",$D464='Staff Weekly Trend'!$B$4),OR('Staff Weekly Trend'!$B$5="All",$A464='Staff Weekly Trend'!$B$5))</f>
        <v>1</v>
      </c>
      <c r="AC464">
        <f t="shared" si="132"/>
        <v>3</v>
      </c>
      <c r="AI464">
        <f t="shared" si="133"/>
        <v>132</v>
      </c>
      <c r="AJ464">
        <f t="shared" si="134"/>
        <v>266</v>
      </c>
      <c r="AK464">
        <f t="shared" si="135"/>
        <v>272</v>
      </c>
      <c r="AL464">
        <f t="shared" si="136"/>
        <v>275</v>
      </c>
      <c r="AM464">
        <f t="shared" si="137"/>
        <v>95</v>
      </c>
      <c r="DH464" t="str" cm="1">
        <f t="array" ref="DH464">IF($A464="","",_xlfn.LET(_xlpm.c,IFERROR(_xlfn.XLOOKUP($A464,TRIM('Sales and count'!$A$4:$A$300&amp;""),TRIM('Sales and count'!$B$4:$B$300&amp;"")),""),IF(OR(_xlpm.c="",_xlpm.c="0",LEFT(_xlpm.c,1)="#"),"Not set",_xlpm.c)))</f>
        <v>KSA</v>
      </c>
    </row>
    <row r="465" spans="1:112" x14ac:dyDescent="0.25">
      <c r="A465" t="str">
        <f>IF('Staff Daily sales'!$B450="","",TRIM('Staff Daily sales'!$B450&amp;""))</f>
        <v>HADLHTBHHT</v>
      </c>
      <c r="B465" t="str">
        <f>IF('Staff Daily sales'!$D450="","",TRIM('Staff Daily sales'!$D450&amp;""))</f>
        <v>5916-QALSHARABI</v>
      </c>
      <c r="C465" t="str">
        <f>IFERROR(TRIM('Staff Daily sales'!$E450&amp;""),"")</f>
        <v>Madinah</v>
      </c>
      <c r="D465" t="str">
        <f>IFERROR(IF(TRIM('Staff Daily sales'!$F450&amp;"")="","Unassigned",TRIM('Staff Daily sales'!$F450&amp;"")),"Unassigned")</f>
        <v>Mohammed Haidar</v>
      </c>
      <c r="E465">
        <f t="shared" si="122"/>
        <v>1</v>
      </c>
      <c r="F465">
        <f>IF($E465=0,0,SUMPRODUCT($AI$5:$DF$5,'Staff Daily sales'!$G450:$CD450))</f>
        <v>2211.96</v>
      </c>
      <c r="G465">
        <f>IF($E465=0,0,SUMPRODUCT($AI$6:$DF$6,'Staff Daily sales'!$G450:$CD450))</f>
        <v>8</v>
      </c>
      <c r="H465">
        <f t="shared" si="123"/>
        <v>11238.57</v>
      </c>
      <c r="I465">
        <f t="shared" si="124"/>
        <v>54</v>
      </c>
      <c r="J465">
        <f t="shared" si="125"/>
        <v>55209.230000000018</v>
      </c>
      <c r="K465">
        <f t="shared" si="126"/>
        <v>272</v>
      </c>
      <c r="L465">
        <f>--AND($E465=1,OR('Staff Dashboard'!$B$6="All",$DH465='Staff Dashboard'!$B$6),OR('Staff Dashboard'!$B$7="All",$D465='Staff Dashboard'!$B$7),OR('Staff Dashboard'!$B$8="All",$A465='Staff Dashboard'!$B$8))</f>
        <v>0</v>
      </c>
      <c r="M465">
        <f>IF($E465=0,0,SUMPRODUCT($AI$7:$DF$7,'Staff Daily sales'!$G450:$CD450))</f>
        <v>2224.0299999999997</v>
      </c>
      <c r="N465">
        <f>IF($E465=0,0,SUMPRODUCT($AI$8:$DF$8,'Staff Daily sales'!$G450:$CD450))</f>
        <v>17</v>
      </c>
      <c r="O465">
        <f>IF($E465=0,0,SUMPRODUCT($AI$9:$DF$9,'Staff Daily sales'!$G450:$CD450))</f>
        <v>4723.04</v>
      </c>
      <c r="P465">
        <f>IF($E465=0,0,SUMPRODUCT($AI$10:$DF$10,'Staff Daily sales'!$G450:$CD450))</f>
        <v>21</v>
      </c>
      <c r="Q465">
        <f>IF($E465=0,0,SUMPRODUCT($AI$11:$DF$11,'Staff Daily sales'!$G450:$CD450))</f>
        <v>6225.05</v>
      </c>
      <c r="R465">
        <f>IF($E465=0,0,SUMPRODUCT($AI$12:$DF$12,'Staff Daily sales'!$G450:$CD450))</f>
        <v>35</v>
      </c>
      <c r="S465">
        <f>IF($E465=0,0,SUMPRODUCT($AI$13:$DF$13,'Staff Daily sales'!$G450:$CD450))</f>
        <v>9063.7000000000007</v>
      </c>
      <c r="T465">
        <f>IF($E465=0,0,SUMPRODUCT($AI$14:$DF$14,'Staff Daily sales'!$G450:$CD450))</f>
        <v>40</v>
      </c>
      <c r="U465">
        <f>IF($E465=0,0,SUMPRODUCT($AI$15:$DF$15,'Staff Daily sales'!$G450:$CD450))</f>
        <v>4929.2</v>
      </c>
      <c r="V465">
        <f>IF($E465=0,0,SUMPRODUCT($AI$16:$DF$16,'Staff Daily sales'!$G450:$CD450))</f>
        <v>19</v>
      </c>
      <c r="W465">
        <f t="shared" si="127"/>
        <v>21520.559999999998</v>
      </c>
      <c r="X465">
        <f t="shared" si="128"/>
        <v>54559.42</v>
      </c>
      <c r="Y465">
        <f t="shared" si="129"/>
        <v>52597.280000000006</v>
      </c>
      <c r="Z465">
        <f t="shared" si="130"/>
        <v>54179.830000000009</v>
      </c>
      <c r="AA465">
        <f t="shared" si="131"/>
        <v>20906.240000000002</v>
      </c>
      <c r="AB465">
        <f>--AND($E465=1,OR('Staff Weekly Trend'!$B$3="All",$DH465='Staff Weekly Trend'!$B$3),OR('Staff Weekly Trend'!$B$4="All",$D465='Staff Weekly Trend'!$B$4),OR('Staff Weekly Trend'!$B$5="All",$A465='Staff Weekly Trend'!$B$5))</f>
        <v>1</v>
      </c>
      <c r="AC465">
        <f t="shared" si="132"/>
        <v>2</v>
      </c>
      <c r="AI465">
        <f t="shared" si="133"/>
        <v>132</v>
      </c>
      <c r="AJ465">
        <f t="shared" si="134"/>
        <v>266</v>
      </c>
      <c r="AK465">
        <f t="shared" si="135"/>
        <v>272</v>
      </c>
      <c r="AL465">
        <f t="shared" si="136"/>
        <v>275</v>
      </c>
      <c r="AM465">
        <f t="shared" si="137"/>
        <v>95</v>
      </c>
      <c r="DH465" t="str" cm="1">
        <f t="array" ref="DH465">IF($A465="","",_xlfn.LET(_xlpm.c,IFERROR(_xlfn.XLOOKUP($A465,TRIM('Sales and count'!$A$4:$A$300&amp;""),TRIM('Sales and count'!$B$4:$B$300&amp;"")),""),IF(OR(_xlpm.c="",_xlpm.c="0",LEFT(_xlpm.c,1)="#"),"Not set",_xlpm.c)))</f>
        <v>KSA</v>
      </c>
    </row>
    <row r="466" spans="1:112" x14ac:dyDescent="0.25">
      <c r="A466" t="str">
        <f>IF('Staff Daily sales'!$B451="","",TRIM('Staff Daily sales'!$B451&amp;""))</f>
        <v>HADLHTBHHT</v>
      </c>
      <c r="B466" t="str">
        <f>IF('Staff Daily sales'!$D451="","",TRIM('Staff Daily sales'!$D451&amp;""))</f>
        <v>6068-FAlzahrani</v>
      </c>
      <c r="C466" t="str">
        <f>IFERROR(TRIM('Staff Daily sales'!$E451&amp;""),"")</f>
        <v>Madinah</v>
      </c>
      <c r="D466" t="str">
        <f>IFERROR(IF(TRIM('Staff Daily sales'!$F451&amp;"")="","Unassigned",TRIM('Staff Daily sales'!$F451&amp;"")),"Unassigned")</f>
        <v>Mohammed Haidar</v>
      </c>
      <c r="E466">
        <f t="shared" si="122"/>
        <v>1</v>
      </c>
      <c r="F466">
        <f>IF($E466=0,0,SUMPRODUCT($AI$5:$DF$5,'Staff Daily sales'!$G451:$CD451))</f>
        <v>0</v>
      </c>
      <c r="G466">
        <f>IF($E466=0,0,SUMPRODUCT($AI$6:$DF$6,'Staff Daily sales'!$G451:$CD451))</f>
        <v>0</v>
      </c>
      <c r="H466">
        <f t="shared" si="123"/>
        <v>11238.57</v>
      </c>
      <c r="I466">
        <f t="shared" si="124"/>
        <v>54</v>
      </c>
      <c r="J466">
        <f t="shared" si="125"/>
        <v>55209.230000000018</v>
      </c>
      <c r="K466">
        <f t="shared" si="126"/>
        <v>272</v>
      </c>
      <c r="L466">
        <f>--AND($E466=1,OR('Staff Dashboard'!$B$6="All",$DH466='Staff Dashboard'!$B$6),OR('Staff Dashboard'!$B$7="All",$D466='Staff Dashboard'!$B$7),OR('Staff Dashboard'!$B$8="All",$A466='Staff Dashboard'!$B$8))</f>
        <v>0</v>
      </c>
      <c r="M466">
        <f>IF($E466=0,0,SUMPRODUCT($AI$7:$DF$7,'Staff Daily sales'!$G451:$CD451))</f>
        <v>5026.12</v>
      </c>
      <c r="N466">
        <f>IF($E466=0,0,SUMPRODUCT($AI$8:$DF$8,'Staff Daily sales'!$G451:$CD451))</f>
        <v>31</v>
      </c>
      <c r="O466">
        <f>IF($E466=0,0,SUMPRODUCT($AI$9:$DF$9,'Staff Daily sales'!$G451:$CD451))</f>
        <v>7210.04</v>
      </c>
      <c r="P466">
        <f>IF($E466=0,0,SUMPRODUCT($AI$10:$DF$10,'Staff Daily sales'!$G451:$CD451))</f>
        <v>38</v>
      </c>
      <c r="Q466">
        <f>IF($E466=0,0,SUMPRODUCT($AI$11:$DF$11,'Staff Daily sales'!$G451:$CD451))</f>
        <v>1700</v>
      </c>
      <c r="R466">
        <f>IF($E466=0,0,SUMPRODUCT($AI$12:$DF$12,'Staff Daily sales'!$G451:$CD451))</f>
        <v>10</v>
      </c>
      <c r="S466">
        <f>IF($E466=0,0,SUMPRODUCT($AI$13:$DF$13,'Staff Daily sales'!$G451:$CD451))</f>
        <v>0</v>
      </c>
      <c r="T466">
        <f>IF($E466=0,0,SUMPRODUCT($AI$14:$DF$14,'Staff Daily sales'!$G451:$CD451))</f>
        <v>0</v>
      </c>
      <c r="U466">
        <f>IF($E466=0,0,SUMPRODUCT($AI$15:$DF$15,'Staff Daily sales'!$G451:$CD451))</f>
        <v>211.02</v>
      </c>
      <c r="V466">
        <f>IF($E466=0,0,SUMPRODUCT($AI$16:$DF$16,'Staff Daily sales'!$G451:$CD451))</f>
        <v>1</v>
      </c>
      <c r="W466">
        <f t="shared" si="127"/>
        <v>21520.559999999998</v>
      </c>
      <c r="X466">
        <f t="shared" si="128"/>
        <v>54559.42</v>
      </c>
      <c r="Y466">
        <f t="shared" si="129"/>
        <v>52597.280000000006</v>
      </c>
      <c r="Z466">
        <f t="shared" si="130"/>
        <v>54179.830000000009</v>
      </c>
      <c r="AA466">
        <f t="shared" si="131"/>
        <v>20906.240000000002</v>
      </c>
      <c r="AB466">
        <f>--AND($E466=1,OR('Staff Weekly Trend'!$B$3="All",$DH466='Staff Weekly Trend'!$B$3),OR('Staff Weekly Trend'!$B$4="All",$D466='Staff Weekly Trend'!$B$4),OR('Staff Weekly Trend'!$B$5="All",$A466='Staff Weekly Trend'!$B$5))</f>
        <v>1</v>
      </c>
      <c r="AC466" t="str">
        <f t="shared" si="132"/>
        <v/>
      </c>
      <c r="AI466">
        <f t="shared" si="133"/>
        <v>132</v>
      </c>
      <c r="AJ466">
        <f t="shared" si="134"/>
        <v>266</v>
      </c>
      <c r="AK466">
        <f t="shared" si="135"/>
        <v>272</v>
      </c>
      <c r="AL466">
        <f t="shared" si="136"/>
        <v>275</v>
      </c>
      <c r="AM466">
        <f t="shared" si="137"/>
        <v>95</v>
      </c>
      <c r="DH466" t="str" cm="1">
        <f t="array" ref="DH466">IF($A466="","",_xlfn.LET(_xlpm.c,IFERROR(_xlfn.XLOOKUP($A466,TRIM('Sales and count'!$A$4:$A$300&amp;""),TRIM('Sales and count'!$B$4:$B$300&amp;"")),""),IF(OR(_xlpm.c="",_xlpm.c="0",LEFT(_xlpm.c,1)="#"),"Not set",_xlpm.c)))</f>
        <v>KSA</v>
      </c>
    </row>
    <row r="467" spans="1:112" x14ac:dyDescent="0.25">
      <c r="A467" t="str">
        <f>IF('Staff Daily sales'!$B452="","",TRIM('Staff Daily sales'!$B452&amp;""))</f>
        <v>HADLHTBHHT</v>
      </c>
      <c r="B467" t="str">
        <f>IF('Staff Daily sales'!$D452="","",TRIM('Staff Daily sales'!$D452&amp;""))</f>
        <v>6069-Tariq</v>
      </c>
      <c r="C467" t="str">
        <f>IFERROR(TRIM('Staff Daily sales'!$E452&amp;""),"")</f>
        <v>Madinah</v>
      </c>
      <c r="D467" t="str">
        <f>IFERROR(IF(TRIM('Staff Daily sales'!$F452&amp;"")="","Unassigned",TRIM('Staff Daily sales'!$F452&amp;"")),"Unassigned")</f>
        <v>Mohammed Haidar</v>
      </c>
      <c r="E467">
        <f t="shared" si="122"/>
        <v>1</v>
      </c>
      <c r="F467">
        <f>IF($E467=0,0,SUMPRODUCT($AI$5:$DF$5,'Staff Daily sales'!$G452:$CD452))</f>
        <v>3142.93</v>
      </c>
      <c r="G467">
        <f>IF($E467=0,0,SUMPRODUCT($AI$6:$DF$6,'Staff Daily sales'!$G452:$CD452))</f>
        <v>15</v>
      </c>
      <c r="H467">
        <f t="shared" si="123"/>
        <v>11238.57</v>
      </c>
      <c r="I467">
        <f t="shared" si="124"/>
        <v>54</v>
      </c>
      <c r="J467">
        <f t="shared" si="125"/>
        <v>55209.230000000018</v>
      </c>
      <c r="K467">
        <f t="shared" si="126"/>
        <v>272</v>
      </c>
      <c r="L467">
        <f>--AND($E467=1,OR('Staff Dashboard'!$B$6="All",$DH467='Staff Dashboard'!$B$6),OR('Staff Dashboard'!$B$7="All",$D467='Staff Dashboard'!$B$7),OR('Staff Dashboard'!$B$8="All",$A467='Staff Dashboard'!$B$8))</f>
        <v>0</v>
      </c>
      <c r="M467">
        <f>IF($E467=0,0,SUMPRODUCT($AI$7:$DF$7,'Staff Daily sales'!$G452:$CD452))</f>
        <v>3308.1</v>
      </c>
      <c r="N467">
        <f>IF($E467=0,0,SUMPRODUCT($AI$8:$DF$8,'Staff Daily sales'!$G452:$CD452))</f>
        <v>19</v>
      </c>
      <c r="O467">
        <f>IF($E467=0,0,SUMPRODUCT($AI$9:$DF$9,'Staff Daily sales'!$G452:$CD452))</f>
        <v>9830.09</v>
      </c>
      <c r="P467">
        <f>IF($E467=0,0,SUMPRODUCT($AI$10:$DF$10,'Staff Daily sales'!$G452:$CD452))</f>
        <v>50</v>
      </c>
      <c r="Q467">
        <f>IF($E467=0,0,SUMPRODUCT($AI$11:$DF$11,'Staff Daily sales'!$G452:$CD452))</f>
        <v>11844.1</v>
      </c>
      <c r="R467">
        <f>IF($E467=0,0,SUMPRODUCT($AI$12:$DF$12,'Staff Daily sales'!$G452:$CD452))</f>
        <v>53</v>
      </c>
      <c r="S467">
        <f>IF($E467=0,0,SUMPRODUCT($AI$13:$DF$13,'Staff Daily sales'!$G452:$CD452))</f>
        <v>12978.69</v>
      </c>
      <c r="T467">
        <f>IF($E467=0,0,SUMPRODUCT($AI$14:$DF$14,'Staff Daily sales'!$G452:$CD452))</f>
        <v>66</v>
      </c>
      <c r="U467">
        <f>IF($E467=0,0,SUMPRODUCT($AI$15:$DF$15,'Staff Daily sales'!$G452:$CD452))</f>
        <v>2661.09</v>
      </c>
      <c r="V467">
        <f>IF($E467=0,0,SUMPRODUCT($AI$16:$DF$16,'Staff Daily sales'!$G452:$CD452))</f>
        <v>13</v>
      </c>
      <c r="W467">
        <f t="shared" si="127"/>
        <v>21520.559999999998</v>
      </c>
      <c r="X467">
        <f t="shared" si="128"/>
        <v>54559.42</v>
      </c>
      <c r="Y467">
        <f t="shared" si="129"/>
        <v>52597.280000000006</v>
      </c>
      <c r="Z467">
        <f t="shared" si="130"/>
        <v>54179.830000000009</v>
      </c>
      <c r="AA467">
        <f t="shared" si="131"/>
        <v>20906.240000000002</v>
      </c>
      <c r="AB467">
        <f>--AND($E467=1,OR('Staff Weekly Trend'!$B$3="All",$DH467='Staff Weekly Trend'!$B$3),OR('Staff Weekly Trend'!$B$4="All",$D467='Staff Weekly Trend'!$B$4),OR('Staff Weekly Trend'!$B$5="All",$A467='Staff Weekly Trend'!$B$5))</f>
        <v>1</v>
      </c>
      <c r="AC467">
        <f t="shared" si="132"/>
        <v>1</v>
      </c>
      <c r="AI467">
        <f t="shared" si="133"/>
        <v>132</v>
      </c>
      <c r="AJ467">
        <f t="shared" si="134"/>
        <v>266</v>
      </c>
      <c r="AK467">
        <f t="shared" si="135"/>
        <v>272</v>
      </c>
      <c r="AL467">
        <f t="shared" si="136"/>
        <v>275</v>
      </c>
      <c r="AM467">
        <f t="shared" si="137"/>
        <v>95</v>
      </c>
      <c r="DH467" t="str" cm="1">
        <f t="array" ref="DH467">IF($A467="","",_xlfn.LET(_xlpm.c,IFERROR(_xlfn.XLOOKUP($A467,TRIM('Sales and count'!$A$4:$A$300&amp;""),TRIM('Sales and count'!$B$4:$B$300&amp;"")),""),IF(OR(_xlpm.c="",_xlpm.c="0",LEFT(_xlpm.c,1)="#"),"Not set",_xlpm.c)))</f>
        <v>KSA</v>
      </c>
    </row>
    <row r="468" spans="1:112" x14ac:dyDescent="0.25">
      <c r="A468" t="str">
        <f>IF('Staff Daily sales'!$B453="","",TRIM('Staff Daily sales'!$B453&amp;""))</f>
        <v>HAMAKHLTON</v>
      </c>
      <c r="B468" t="str">
        <f>IF('Staff Daily sales'!$D453="","",TRIM('Staff Daily sales'!$D453&amp;""))</f>
        <v>5082-FAteeq</v>
      </c>
      <c r="C468" t="str">
        <f>IFERROR(TRIM('Staff Daily sales'!$E453&amp;""),"")</f>
        <v>Makkah</v>
      </c>
      <c r="D468" t="str">
        <f>IFERROR(IF(TRIM('Staff Daily sales'!$F453&amp;"")="","Unassigned",TRIM('Staff Daily sales'!$F453&amp;"")),"Unassigned")</f>
        <v>Maram Zamzami</v>
      </c>
      <c r="E468">
        <f t="shared" ref="E468:E531" si="138">--AND($A468&lt;&gt;"",$B468&lt;&gt;"")</f>
        <v>1</v>
      </c>
      <c r="F468">
        <f>IF($E468=0,0,SUMPRODUCT($AI$5:$DF$5,'Staff Daily sales'!$G453:$CD453))</f>
        <v>1331.91</v>
      </c>
      <c r="G468">
        <f>IF($E468=0,0,SUMPRODUCT($AI$6:$DF$6,'Staff Daily sales'!$G453:$CD453))</f>
        <v>11</v>
      </c>
      <c r="H468">
        <f t="shared" ref="H468:H531" si="139">IF($E468=0,0,SUMIFS($F$20:$F$1515,$A$20:$A$1515,$A468))</f>
        <v>11650.3</v>
      </c>
      <c r="I468">
        <f t="shared" ref="I468:I531" si="140">IF($E468=0,0,SUMIFS($G$20:$G$1515,$A$20:$A$1515,$A468))</f>
        <v>60</v>
      </c>
      <c r="J468">
        <f t="shared" ref="J468:J531" si="141">IF($E468=0,0,SUMIFS($F$20:$F$1515,$D$20:$D$1515,$D468))</f>
        <v>89423.479999999967</v>
      </c>
      <c r="K468">
        <f t="shared" ref="K468:K531" si="142">IF($E468=0,0,SUMIFS($G$20:$G$1515,$D$20:$D$1515,$D468))</f>
        <v>413</v>
      </c>
      <c r="L468">
        <f>--AND($E468=1,OR('Staff Dashboard'!$B$6="All",$DH468='Staff Dashboard'!$B$6),OR('Staff Dashboard'!$B$7="All",$D468='Staff Dashboard'!$B$7),OR('Staff Dashboard'!$B$8="All",$A468='Staff Dashboard'!$B$8))</f>
        <v>1</v>
      </c>
      <c r="M468">
        <f>IF($E468=0,0,SUMPRODUCT($AI$7:$DF$7,'Staff Daily sales'!$G453:$CD453))</f>
        <v>16299.25</v>
      </c>
      <c r="N468">
        <f>IF($E468=0,0,SUMPRODUCT($AI$8:$DF$8,'Staff Daily sales'!$G453:$CD453))</f>
        <v>68</v>
      </c>
      <c r="O468">
        <f>IF($E468=0,0,SUMPRODUCT($AI$9:$DF$9,'Staff Daily sales'!$G453:$CD453))</f>
        <v>21309.089999999997</v>
      </c>
      <c r="P468">
        <f>IF($E468=0,0,SUMPRODUCT($AI$10:$DF$10,'Staff Daily sales'!$G453:$CD453))</f>
        <v>89</v>
      </c>
      <c r="Q468">
        <f>IF($E468=0,0,SUMPRODUCT($AI$11:$DF$11,'Staff Daily sales'!$G453:$CD453))</f>
        <v>17014.14</v>
      </c>
      <c r="R468">
        <f>IF($E468=0,0,SUMPRODUCT($AI$12:$DF$12,'Staff Daily sales'!$G453:$CD453))</f>
        <v>76</v>
      </c>
      <c r="S468">
        <f>IF($E468=0,0,SUMPRODUCT($AI$13:$DF$13,'Staff Daily sales'!$G453:$CD453))</f>
        <v>13126.84</v>
      </c>
      <c r="T468">
        <f>IF($E468=0,0,SUMPRODUCT($AI$14:$DF$14,'Staff Daily sales'!$G453:$CD453))</f>
        <v>63</v>
      </c>
      <c r="U468">
        <f>IF($E468=0,0,SUMPRODUCT($AI$15:$DF$15,'Staff Daily sales'!$G453:$CD453))</f>
        <v>3648.27</v>
      </c>
      <c r="V468">
        <f>IF($E468=0,0,SUMPRODUCT($AI$16:$DF$16,'Staff Daily sales'!$G453:$CD453))</f>
        <v>13</v>
      </c>
      <c r="W468">
        <f t="shared" ref="W468:W531" si="143">IF($E468=0,0,SUMIFS(M$20:M$1515,$A$20:$A$1515,$A468))</f>
        <v>68312.09</v>
      </c>
      <c r="X468">
        <f t="shared" ref="X468:X531" si="144">IF($E468=0,0,SUMIFS(O$20:O$1515,$A$20:$A$1515,$A468))</f>
        <v>109830.01999999999</v>
      </c>
      <c r="Y468">
        <f t="shared" ref="Y468:Y531" si="145">IF($E468=0,0,SUMIFS(Q$20:Q$1515,$A$20:$A$1515,$A468))</f>
        <v>88009.17</v>
      </c>
      <c r="Z468">
        <f t="shared" ref="Z468:Z531" si="146">IF($E468=0,0,SUMIFS(S$20:S$1515,$A$20:$A$1515,$A468))</f>
        <v>76882.399999999994</v>
      </c>
      <c r="AA468">
        <f t="shared" ref="AA468:AA531" si="147">IF($E468=0,0,SUMIFS(U$20:U$1515,$A$20:$A$1515,$A468))</f>
        <v>23889.1</v>
      </c>
      <c r="AB468">
        <f>--AND($E468=1,OR('Staff Weekly Trend'!$B$3="All",$DH468='Staff Weekly Trend'!$B$3),OR('Staff Weekly Trend'!$B$4="All",$D468='Staff Weekly Trend'!$B$4),OR('Staff Weekly Trend'!$B$5="All",$A468='Staff Weekly Trend'!$B$5))</f>
        <v>1</v>
      </c>
      <c r="AC468">
        <f t="shared" ref="AC468:AC531" si="148">IF(OR($E468=0,AND($F468=0,$G468=0)),"",COUNTIFS($A$20:$A$1515,$A468,$E$20:$E$1515,1,$F$20:$F$1515,"&gt;"&amp;$F468)+1)</f>
        <v>4</v>
      </c>
      <c r="AI468">
        <f t="shared" ref="AI468:AI531" si="149">IF($E468=0,0,SUMIFS(N$20:N$1515,$A$20:$A$1515,$A468))</f>
        <v>346</v>
      </c>
      <c r="AJ468">
        <f t="shared" ref="AJ468:AJ531" si="150">IF($E468=0,0,SUMIFS(P$20:P$1515,$A$20:$A$1515,$A468))</f>
        <v>529</v>
      </c>
      <c r="AK468">
        <f t="shared" ref="AK468:AK531" si="151">IF($E468=0,0,SUMIFS(R$20:R$1515,$A$20:$A$1515,$A468))</f>
        <v>415</v>
      </c>
      <c r="AL468">
        <f t="shared" ref="AL468:AL531" si="152">IF($E468=0,0,SUMIFS(T$20:T$1515,$A$20:$A$1515,$A468))</f>
        <v>373</v>
      </c>
      <c r="AM468">
        <f t="shared" ref="AM468:AM531" si="153">IF($E468=0,0,SUMIFS(V$20:V$1515,$A$20:$A$1515,$A468))</f>
        <v>94</v>
      </c>
      <c r="DH468" t="str" cm="1">
        <f t="array" ref="DH468">IF($A468="","",_xlfn.LET(_xlpm.c,IFERROR(_xlfn.XLOOKUP($A468,TRIM('Sales and count'!$A$4:$A$300&amp;""),TRIM('Sales and count'!$B$4:$B$300&amp;"")),""),IF(OR(_xlpm.c="",_xlpm.c="0",LEFT(_xlpm.c,1)="#"),"Not set",_xlpm.c)))</f>
        <v>KSA</v>
      </c>
    </row>
    <row r="469" spans="1:112" x14ac:dyDescent="0.25">
      <c r="A469" t="str">
        <f>IF('Staff Daily sales'!$B454="","",TRIM('Staff Daily sales'!$B454&amp;""))</f>
        <v>HAMAKHLTON</v>
      </c>
      <c r="B469" t="str">
        <f>IF('Staff Daily sales'!$D454="","",TRIM('Staff Daily sales'!$D454&amp;""))</f>
        <v>5380-FAlJabri</v>
      </c>
      <c r="C469" t="str">
        <f>IFERROR(TRIM('Staff Daily sales'!$E454&amp;""),"")</f>
        <v>Makkah</v>
      </c>
      <c r="D469" t="str">
        <f>IFERROR(IF(TRIM('Staff Daily sales'!$F454&amp;"")="","Unassigned",TRIM('Staff Daily sales'!$F454&amp;"")),"Unassigned")</f>
        <v>Maram Zamzami</v>
      </c>
      <c r="E469">
        <f t="shared" si="138"/>
        <v>1</v>
      </c>
      <c r="F469">
        <f>IF($E469=0,0,SUMPRODUCT($AI$5:$DF$5,'Staff Daily sales'!$G454:$CD454))</f>
        <v>1015.92</v>
      </c>
      <c r="G469">
        <f>IF($E469=0,0,SUMPRODUCT($AI$6:$DF$6,'Staff Daily sales'!$G454:$CD454))</f>
        <v>4</v>
      </c>
      <c r="H469">
        <f t="shared" si="139"/>
        <v>11650.3</v>
      </c>
      <c r="I469">
        <f t="shared" si="140"/>
        <v>60</v>
      </c>
      <c r="J469">
        <f t="shared" si="141"/>
        <v>89423.479999999967</v>
      </c>
      <c r="K469">
        <f t="shared" si="142"/>
        <v>413</v>
      </c>
      <c r="L469">
        <f>--AND($E469=1,OR('Staff Dashboard'!$B$6="All",$DH469='Staff Dashboard'!$B$6),OR('Staff Dashboard'!$B$7="All",$D469='Staff Dashboard'!$B$7),OR('Staff Dashboard'!$B$8="All",$A469='Staff Dashboard'!$B$8))</f>
        <v>1</v>
      </c>
      <c r="M469">
        <f>IF($E469=0,0,SUMPRODUCT($AI$7:$DF$7,'Staff Daily sales'!$G454:$CD454))</f>
        <v>3678.08</v>
      </c>
      <c r="N469">
        <f>IF($E469=0,0,SUMPRODUCT($AI$8:$DF$8,'Staff Daily sales'!$G454:$CD454))</f>
        <v>18</v>
      </c>
      <c r="O469">
        <f>IF($E469=0,0,SUMPRODUCT($AI$9:$DF$9,'Staff Daily sales'!$G454:$CD454))</f>
        <v>14543.009999999998</v>
      </c>
      <c r="P469">
        <f>IF($E469=0,0,SUMPRODUCT($AI$10:$DF$10,'Staff Daily sales'!$G454:$CD454))</f>
        <v>58</v>
      </c>
      <c r="Q469">
        <f>IF($E469=0,0,SUMPRODUCT($AI$11:$DF$11,'Staff Daily sales'!$G454:$CD454))</f>
        <v>14659.19</v>
      </c>
      <c r="R469">
        <f>IF($E469=0,0,SUMPRODUCT($AI$12:$DF$12,'Staff Daily sales'!$G454:$CD454))</f>
        <v>55</v>
      </c>
      <c r="S469">
        <f>IF($E469=0,0,SUMPRODUCT($AI$13:$DF$13,'Staff Daily sales'!$G454:$CD454))</f>
        <v>8867.7900000000009</v>
      </c>
      <c r="T469">
        <f>IF($E469=0,0,SUMPRODUCT($AI$14:$DF$14,'Staff Daily sales'!$G454:$CD454))</f>
        <v>44</v>
      </c>
      <c r="U469">
        <f>IF($E469=0,0,SUMPRODUCT($AI$15:$DF$15,'Staff Daily sales'!$G454:$CD454))</f>
        <v>2861.15</v>
      </c>
      <c r="V469">
        <f>IF($E469=0,0,SUMPRODUCT($AI$16:$DF$16,'Staff Daily sales'!$G454:$CD454))</f>
        <v>9</v>
      </c>
      <c r="W469">
        <f t="shared" si="143"/>
        <v>68312.09</v>
      </c>
      <c r="X469">
        <f t="shared" si="144"/>
        <v>109830.01999999999</v>
      </c>
      <c r="Y469">
        <f t="shared" si="145"/>
        <v>88009.17</v>
      </c>
      <c r="Z469">
        <f t="shared" si="146"/>
        <v>76882.399999999994</v>
      </c>
      <c r="AA469">
        <f t="shared" si="147"/>
        <v>23889.1</v>
      </c>
      <c r="AB469">
        <f>--AND($E469=1,OR('Staff Weekly Trend'!$B$3="All",$DH469='Staff Weekly Trend'!$B$3),OR('Staff Weekly Trend'!$B$4="All",$D469='Staff Weekly Trend'!$B$4),OR('Staff Weekly Trend'!$B$5="All",$A469='Staff Weekly Trend'!$B$5))</f>
        <v>1</v>
      </c>
      <c r="AC469">
        <f t="shared" si="148"/>
        <v>5</v>
      </c>
      <c r="AI469">
        <f t="shared" si="149"/>
        <v>346</v>
      </c>
      <c r="AJ469">
        <f t="shared" si="150"/>
        <v>529</v>
      </c>
      <c r="AK469">
        <f t="shared" si="151"/>
        <v>415</v>
      </c>
      <c r="AL469">
        <f t="shared" si="152"/>
        <v>373</v>
      </c>
      <c r="AM469">
        <f t="shared" si="153"/>
        <v>94</v>
      </c>
      <c r="DH469" t="str" cm="1">
        <f t="array" ref="DH469">IF($A469="","",_xlfn.LET(_xlpm.c,IFERROR(_xlfn.XLOOKUP($A469,TRIM('Sales and count'!$A$4:$A$300&amp;""),TRIM('Sales and count'!$B$4:$B$300&amp;"")),""),IF(OR(_xlpm.c="",_xlpm.c="0",LEFT(_xlpm.c,1)="#"),"Not set",_xlpm.c)))</f>
        <v>KSA</v>
      </c>
    </row>
    <row r="470" spans="1:112" x14ac:dyDescent="0.25">
      <c r="A470" t="str">
        <f>IF('Staff Daily sales'!$B455="","",TRIM('Staff Daily sales'!$B455&amp;""))</f>
        <v>HAMAKHLTON</v>
      </c>
      <c r="B470" t="str">
        <f>IF('Staff Daily sales'!$D455="","",TRIM('Staff Daily sales'!$D455&amp;""))</f>
        <v>5384-EAlzhrani</v>
      </c>
      <c r="C470" t="str">
        <f>IFERROR(TRIM('Staff Daily sales'!$E455&amp;""),"")</f>
        <v>Makkah</v>
      </c>
      <c r="D470" t="str">
        <f>IFERROR(IF(TRIM('Staff Daily sales'!$F455&amp;"")="","Unassigned",TRIM('Staff Daily sales'!$F455&amp;"")),"Unassigned")</f>
        <v>Maram Zamzami</v>
      </c>
      <c r="E470">
        <f t="shared" si="138"/>
        <v>1</v>
      </c>
      <c r="F470">
        <f>IF($E470=0,0,SUMPRODUCT($AI$5:$DF$5,'Staff Daily sales'!$G455:$CD455))</f>
        <v>0</v>
      </c>
      <c r="G470">
        <f>IF($E470=0,0,SUMPRODUCT($AI$6:$DF$6,'Staff Daily sales'!$G455:$CD455))</f>
        <v>0</v>
      </c>
      <c r="H470">
        <f t="shared" si="139"/>
        <v>11650.3</v>
      </c>
      <c r="I470">
        <f t="shared" si="140"/>
        <v>60</v>
      </c>
      <c r="J470">
        <f t="shared" si="141"/>
        <v>89423.479999999967</v>
      </c>
      <c r="K470">
        <f t="shared" si="142"/>
        <v>413</v>
      </c>
      <c r="L470">
        <f>--AND($E470=1,OR('Staff Dashboard'!$B$6="All",$DH470='Staff Dashboard'!$B$6),OR('Staff Dashboard'!$B$7="All",$D470='Staff Dashboard'!$B$7),OR('Staff Dashboard'!$B$8="All",$A470='Staff Dashboard'!$B$8))</f>
        <v>1</v>
      </c>
      <c r="M470">
        <f>IF($E470=0,0,SUMPRODUCT($AI$7:$DF$7,'Staff Daily sales'!$G455:$CD455))</f>
        <v>4440.99</v>
      </c>
      <c r="N470">
        <f>IF($E470=0,0,SUMPRODUCT($AI$8:$DF$8,'Staff Daily sales'!$G455:$CD455))</f>
        <v>33</v>
      </c>
      <c r="O470">
        <f>IF($E470=0,0,SUMPRODUCT($AI$9:$DF$9,'Staff Daily sales'!$G455:$CD455))</f>
        <v>5514.09</v>
      </c>
      <c r="P470">
        <f>IF($E470=0,0,SUMPRODUCT($AI$10:$DF$10,'Staff Daily sales'!$G455:$CD455))</f>
        <v>41</v>
      </c>
      <c r="Q470">
        <f>IF($E470=0,0,SUMPRODUCT($AI$11:$DF$11,'Staff Daily sales'!$G455:$CD455))</f>
        <v>0</v>
      </c>
      <c r="R470">
        <f>IF($E470=0,0,SUMPRODUCT($AI$12:$DF$12,'Staff Daily sales'!$G455:$CD455))</f>
        <v>0</v>
      </c>
      <c r="S470">
        <f>IF($E470=0,0,SUMPRODUCT($AI$13:$DF$13,'Staff Daily sales'!$G455:$CD455))</f>
        <v>0</v>
      </c>
      <c r="T470">
        <f>IF($E470=0,0,SUMPRODUCT($AI$14:$DF$14,'Staff Daily sales'!$G455:$CD455))</f>
        <v>0</v>
      </c>
      <c r="U470">
        <f>IF($E470=0,0,SUMPRODUCT($AI$15:$DF$15,'Staff Daily sales'!$G455:$CD455))</f>
        <v>0</v>
      </c>
      <c r="V470">
        <f>IF($E470=0,0,SUMPRODUCT($AI$16:$DF$16,'Staff Daily sales'!$G455:$CD455))</f>
        <v>0</v>
      </c>
      <c r="W470">
        <f t="shared" si="143"/>
        <v>68312.09</v>
      </c>
      <c r="X470">
        <f t="shared" si="144"/>
        <v>109830.01999999999</v>
      </c>
      <c r="Y470">
        <f t="shared" si="145"/>
        <v>88009.17</v>
      </c>
      <c r="Z470">
        <f t="shared" si="146"/>
        <v>76882.399999999994</v>
      </c>
      <c r="AA470">
        <f t="shared" si="147"/>
        <v>23889.1</v>
      </c>
      <c r="AB470">
        <f>--AND($E470=1,OR('Staff Weekly Trend'!$B$3="All",$DH470='Staff Weekly Trend'!$B$3),OR('Staff Weekly Trend'!$B$4="All",$D470='Staff Weekly Trend'!$B$4),OR('Staff Weekly Trend'!$B$5="All",$A470='Staff Weekly Trend'!$B$5))</f>
        <v>1</v>
      </c>
      <c r="AC470" t="str">
        <f t="shared" si="148"/>
        <v/>
      </c>
      <c r="AI470">
        <f t="shared" si="149"/>
        <v>346</v>
      </c>
      <c r="AJ470">
        <f t="shared" si="150"/>
        <v>529</v>
      </c>
      <c r="AK470">
        <f t="shared" si="151"/>
        <v>415</v>
      </c>
      <c r="AL470">
        <f t="shared" si="152"/>
        <v>373</v>
      </c>
      <c r="AM470">
        <f t="shared" si="153"/>
        <v>94</v>
      </c>
      <c r="DH470" t="str" cm="1">
        <f t="array" ref="DH470">IF($A470="","",_xlfn.LET(_xlpm.c,IFERROR(_xlfn.XLOOKUP($A470,TRIM('Sales and count'!$A$4:$A$300&amp;""),TRIM('Sales and count'!$B$4:$B$300&amp;"")),""),IF(OR(_xlpm.c="",_xlpm.c="0",LEFT(_xlpm.c,1)="#"),"Not set",_xlpm.c)))</f>
        <v>KSA</v>
      </c>
    </row>
    <row r="471" spans="1:112" x14ac:dyDescent="0.25">
      <c r="A471" t="str">
        <f>IF('Staff Daily sales'!$B456="","",TRIM('Staff Daily sales'!$B456&amp;""))</f>
        <v>HAMAKHLTON</v>
      </c>
      <c r="B471" t="str">
        <f>IF('Staff Daily sales'!$D456="","",TRIM('Staff Daily sales'!$D456&amp;""))</f>
        <v>5385-NJali</v>
      </c>
      <c r="C471" t="str">
        <f>IFERROR(TRIM('Staff Daily sales'!$E456&amp;""),"")</f>
        <v>Makkah</v>
      </c>
      <c r="D471" t="str">
        <f>IFERROR(IF(TRIM('Staff Daily sales'!$F456&amp;"")="","Unassigned",TRIM('Staff Daily sales'!$F456&amp;"")),"Unassigned")</f>
        <v>Maram Zamzami</v>
      </c>
      <c r="E471">
        <f t="shared" si="138"/>
        <v>1</v>
      </c>
      <c r="F471">
        <f>IF($E471=0,0,SUMPRODUCT($AI$5:$DF$5,'Staff Daily sales'!$G456:$CD456))</f>
        <v>0</v>
      </c>
      <c r="G471">
        <f>IF($E471=0,0,SUMPRODUCT($AI$6:$DF$6,'Staff Daily sales'!$G456:$CD456))</f>
        <v>0</v>
      </c>
      <c r="H471">
        <f t="shared" si="139"/>
        <v>11650.3</v>
      </c>
      <c r="I471">
        <f t="shared" si="140"/>
        <v>60</v>
      </c>
      <c r="J471">
        <f t="shared" si="141"/>
        <v>89423.479999999967</v>
      </c>
      <c r="K471">
        <f t="shared" si="142"/>
        <v>413</v>
      </c>
      <c r="L471">
        <f>--AND($E471=1,OR('Staff Dashboard'!$B$6="All",$DH471='Staff Dashboard'!$B$6),OR('Staff Dashboard'!$B$7="All",$D471='Staff Dashboard'!$B$7),OR('Staff Dashboard'!$B$8="All",$A471='Staff Dashboard'!$B$8))</f>
        <v>1</v>
      </c>
      <c r="M471">
        <f>IF($E471=0,0,SUMPRODUCT($AI$7:$DF$7,'Staff Daily sales'!$G456:$CD456))</f>
        <v>4656.1000000000004</v>
      </c>
      <c r="N471">
        <f>IF($E471=0,0,SUMPRODUCT($AI$8:$DF$8,'Staff Daily sales'!$G456:$CD456))</f>
        <v>37</v>
      </c>
      <c r="O471">
        <f>IF($E471=0,0,SUMPRODUCT($AI$9:$DF$9,'Staff Daily sales'!$G456:$CD456))</f>
        <v>11234.220000000001</v>
      </c>
      <c r="P471">
        <f>IF($E471=0,0,SUMPRODUCT($AI$10:$DF$10,'Staff Daily sales'!$G456:$CD456))</f>
        <v>69</v>
      </c>
      <c r="Q471">
        <f>IF($E471=0,0,SUMPRODUCT($AI$11:$DF$11,'Staff Daily sales'!$G456:$CD456))</f>
        <v>4051.04</v>
      </c>
      <c r="R471">
        <f>IF($E471=0,0,SUMPRODUCT($AI$12:$DF$12,'Staff Daily sales'!$G456:$CD456))</f>
        <v>31</v>
      </c>
      <c r="S471">
        <f>IF($E471=0,0,SUMPRODUCT($AI$13:$DF$13,'Staff Daily sales'!$G456:$CD456))</f>
        <v>5973.84</v>
      </c>
      <c r="T471">
        <f>IF($E471=0,0,SUMPRODUCT($AI$14:$DF$14,'Staff Daily sales'!$G456:$CD456))</f>
        <v>30</v>
      </c>
      <c r="U471">
        <f>IF($E471=0,0,SUMPRODUCT($AI$15:$DF$15,'Staff Daily sales'!$G456:$CD456))</f>
        <v>2678.16</v>
      </c>
      <c r="V471">
        <f>IF($E471=0,0,SUMPRODUCT($AI$16:$DF$16,'Staff Daily sales'!$G456:$CD456))</f>
        <v>11</v>
      </c>
      <c r="W471">
        <f t="shared" si="143"/>
        <v>68312.09</v>
      </c>
      <c r="X471">
        <f t="shared" si="144"/>
        <v>109830.01999999999</v>
      </c>
      <c r="Y471">
        <f t="shared" si="145"/>
        <v>88009.17</v>
      </c>
      <c r="Z471">
        <f t="shared" si="146"/>
        <v>76882.399999999994</v>
      </c>
      <c r="AA471">
        <f t="shared" si="147"/>
        <v>23889.1</v>
      </c>
      <c r="AB471">
        <f>--AND($E471=1,OR('Staff Weekly Trend'!$B$3="All",$DH471='Staff Weekly Trend'!$B$3),OR('Staff Weekly Trend'!$B$4="All",$D471='Staff Weekly Trend'!$B$4),OR('Staff Weekly Trend'!$B$5="All",$A471='Staff Weekly Trend'!$B$5))</f>
        <v>1</v>
      </c>
      <c r="AC471" t="str">
        <f t="shared" si="148"/>
        <v/>
      </c>
      <c r="AI471">
        <f t="shared" si="149"/>
        <v>346</v>
      </c>
      <c r="AJ471">
        <f t="shared" si="150"/>
        <v>529</v>
      </c>
      <c r="AK471">
        <f t="shared" si="151"/>
        <v>415</v>
      </c>
      <c r="AL471">
        <f t="shared" si="152"/>
        <v>373</v>
      </c>
      <c r="AM471">
        <f t="shared" si="153"/>
        <v>94</v>
      </c>
      <c r="DH471" t="str" cm="1">
        <f t="array" ref="DH471">IF($A471="","",_xlfn.LET(_xlpm.c,IFERROR(_xlfn.XLOOKUP($A471,TRIM('Sales and count'!$A$4:$A$300&amp;""),TRIM('Sales and count'!$B$4:$B$300&amp;"")),""),IF(OR(_xlpm.c="",_xlpm.c="0",LEFT(_xlpm.c,1)="#"),"Not set",_xlpm.c)))</f>
        <v>KSA</v>
      </c>
    </row>
    <row r="472" spans="1:112" x14ac:dyDescent="0.25">
      <c r="A472" t="str">
        <f>IF('Staff Daily sales'!$B457="","",TRIM('Staff Daily sales'!$B457&amp;""))</f>
        <v>HAMAKHLTON</v>
      </c>
      <c r="B472" t="str">
        <f>IF('Staff Daily sales'!$D457="","",TRIM('Staff Daily sales'!$D457&amp;""))</f>
        <v>5403-TAlhudhali</v>
      </c>
      <c r="C472" t="str">
        <f>IFERROR(TRIM('Staff Daily sales'!$E457&amp;""),"")</f>
        <v>Makkah</v>
      </c>
      <c r="D472" t="str">
        <f>IFERROR(IF(TRIM('Staff Daily sales'!$F457&amp;"")="","Unassigned",TRIM('Staff Daily sales'!$F457&amp;"")),"Unassigned")</f>
        <v>Maram Zamzami</v>
      </c>
      <c r="E472">
        <f t="shared" si="138"/>
        <v>1</v>
      </c>
      <c r="F472">
        <f>IF($E472=0,0,SUMPRODUCT($AI$5:$DF$5,'Staff Daily sales'!$G457:$CD457))</f>
        <v>0</v>
      </c>
      <c r="G472">
        <f>IF($E472=0,0,SUMPRODUCT($AI$6:$DF$6,'Staff Daily sales'!$G457:$CD457))</f>
        <v>0</v>
      </c>
      <c r="H472">
        <f t="shared" si="139"/>
        <v>11650.3</v>
      </c>
      <c r="I472">
        <f t="shared" si="140"/>
        <v>60</v>
      </c>
      <c r="J472">
        <f t="shared" si="141"/>
        <v>89423.479999999967</v>
      </c>
      <c r="K472">
        <f t="shared" si="142"/>
        <v>413</v>
      </c>
      <c r="L472">
        <f>--AND($E472=1,OR('Staff Dashboard'!$B$6="All",$DH472='Staff Dashboard'!$B$6),OR('Staff Dashboard'!$B$7="All",$D472='Staff Dashboard'!$B$7),OR('Staff Dashboard'!$B$8="All",$A472='Staff Dashboard'!$B$8))</f>
        <v>1</v>
      </c>
      <c r="M472">
        <f>IF($E472=0,0,SUMPRODUCT($AI$7:$DF$7,'Staff Daily sales'!$G457:$CD457))</f>
        <v>11298.2</v>
      </c>
      <c r="N472">
        <f>IF($E472=0,0,SUMPRODUCT($AI$8:$DF$8,'Staff Daily sales'!$G457:$CD457))</f>
        <v>61</v>
      </c>
      <c r="O472">
        <f>IF($E472=0,0,SUMPRODUCT($AI$9:$DF$9,'Staff Daily sales'!$G457:$CD457))</f>
        <v>18869.21</v>
      </c>
      <c r="P472">
        <f>IF($E472=0,0,SUMPRODUCT($AI$10:$DF$10,'Staff Daily sales'!$G457:$CD457))</f>
        <v>90</v>
      </c>
      <c r="Q472">
        <f>IF($E472=0,0,SUMPRODUCT($AI$11:$DF$11,'Staff Daily sales'!$G457:$CD457))</f>
        <v>13239.14</v>
      </c>
      <c r="R472">
        <f>IF($E472=0,0,SUMPRODUCT($AI$12:$DF$12,'Staff Daily sales'!$G457:$CD457))</f>
        <v>66</v>
      </c>
      <c r="S472">
        <f>IF($E472=0,0,SUMPRODUCT($AI$13:$DF$13,'Staff Daily sales'!$G457:$CD457))</f>
        <v>10086.969999999999</v>
      </c>
      <c r="T472">
        <f>IF($E472=0,0,SUMPRODUCT($AI$14:$DF$14,'Staff Daily sales'!$G457:$CD457))</f>
        <v>48</v>
      </c>
      <c r="U472">
        <f>IF($E472=0,0,SUMPRODUCT($AI$15:$DF$15,'Staff Daily sales'!$G457:$CD457))</f>
        <v>0</v>
      </c>
      <c r="V472">
        <f>IF($E472=0,0,SUMPRODUCT($AI$16:$DF$16,'Staff Daily sales'!$G457:$CD457))</f>
        <v>0</v>
      </c>
      <c r="W472">
        <f t="shared" si="143"/>
        <v>68312.09</v>
      </c>
      <c r="X472">
        <f t="shared" si="144"/>
        <v>109830.01999999999</v>
      </c>
      <c r="Y472">
        <f t="shared" si="145"/>
        <v>88009.17</v>
      </c>
      <c r="Z472">
        <f t="shared" si="146"/>
        <v>76882.399999999994</v>
      </c>
      <c r="AA472">
        <f t="shared" si="147"/>
        <v>23889.1</v>
      </c>
      <c r="AB472">
        <f>--AND($E472=1,OR('Staff Weekly Trend'!$B$3="All",$DH472='Staff Weekly Trend'!$B$3),OR('Staff Weekly Trend'!$B$4="All",$D472='Staff Weekly Trend'!$B$4),OR('Staff Weekly Trend'!$B$5="All",$A472='Staff Weekly Trend'!$B$5))</f>
        <v>1</v>
      </c>
      <c r="AC472" t="str">
        <f t="shared" si="148"/>
        <v/>
      </c>
      <c r="AI472">
        <f t="shared" si="149"/>
        <v>346</v>
      </c>
      <c r="AJ472">
        <f t="shared" si="150"/>
        <v>529</v>
      </c>
      <c r="AK472">
        <f t="shared" si="151"/>
        <v>415</v>
      </c>
      <c r="AL472">
        <f t="shared" si="152"/>
        <v>373</v>
      </c>
      <c r="AM472">
        <f t="shared" si="153"/>
        <v>94</v>
      </c>
      <c r="DH472" t="str" cm="1">
        <f t="array" ref="DH472">IF($A472="","",_xlfn.LET(_xlpm.c,IFERROR(_xlfn.XLOOKUP($A472,TRIM('Sales and count'!$A$4:$A$300&amp;""),TRIM('Sales and count'!$B$4:$B$300&amp;"")),""),IF(OR(_xlpm.c="",_xlpm.c="0",LEFT(_xlpm.c,1)="#"),"Not set",_xlpm.c)))</f>
        <v>KSA</v>
      </c>
    </row>
    <row r="473" spans="1:112" x14ac:dyDescent="0.25">
      <c r="A473" t="str">
        <f>IF('Staff Daily sales'!$B458="","",TRIM('Staff Daily sales'!$B458&amp;""))</f>
        <v>HAMAKHLTON</v>
      </c>
      <c r="B473" t="str">
        <f>IF('Staff Daily sales'!$D458="","",TRIM('Staff Daily sales'!$D458&amp;""))</f>
        <v>5696-AAlawed</v>
      </c>
      <c r="C473" t="str">
        <f>IFERROR(TRIM('Staff Daily sales'!$E458&amp;""),"")</f>
        <v>Makkah</v>
      </c>
      <c r="D473" t="str">
        <f>IFERROR(IF(TRIM('Staff Daily sales'!$F458&amp;"")="","Unassigned",TRIM('Staff Daily sales'!$F458&amp;"")),"Unassigned")</f>
        <v>Maram Zamzami</v>
      </c>
      <c r="E473">
        <f t="shared" si="138"/>
        <v>1</v>
      </c>
      <c r="F473">
        <f>IF($E473=0,0,SUMPRODUCT($AI$5:$DF$5,'Staff Daily sales'!$G458:$CD458))</f>
        <v>2434.9499999999998</v>
      </c>
      <c r="G473">
        <f>IF($E473=0,0,SUMPRODUCT($AI$6:$DF$6,'Staff Daily sales'!$G458:$CD458))</f>
        <v>12</v>
      </c>
      <c r="H473">
        <f t="shared" si="139"/>
        <v>11650.3</v>
      </c>
      <c r="I473">
        <f t="shared" si="140"/>
        <v>60</v>
      </c>
      <c r="J473">
        <f t="shared" si="141"/>
        <v>89423.479999999967</v>
      </c>
      <c r="K473">
        <f t="shared" si="142"/>
        <v>413</v>
      </c>
      <c r="L473">
        <f>--AND($E473=1,OR('Staff Dashboard'!$B$6="All",$DH473='Staff Dashboard'!$B$6),OR('Staff Dashboard'!$B$7="All",$D473='Staff Dashboard'!$B$7),OR('Staff Dashboard'!$B$8="All",$A473='Staff Dashboard'!$B$8))</f>
        <v>1</v>
      </c>
      <c r="M473">
        <f>IF($E473=0,0,SUMPRODUCT($AI$7:$DF$7,'Staff Daily sales'!$G458:$CD458))</f>
        <v>6837.18</v>
      </c>
      <c r="N473">
        <f>IF($E473=0,0,SUMPRODUCT($AI$8:$DF$8,'Staff Daily sales'!$G458:$CD458))</f>
        <v>35</v>
      </c>
      <c r="O473">
        <f>IF($E473=0,0,SUMPRODUCT($AI$9:$DF$9,'Staff Daily sales'!$G458:$CD458))</f>
        <v>8541.0800000000017</v>
      </c>
      <c r="P473">
        <f>IF($E473=0,0,SUMPRODUCT($AI$10:$DF$10,'Staff Daily sales'!$G458:$CD458))</f>
        <v>45</v>
      </c>
      <c r="Q473">
        <f>IF($E473=0,0,SUMPRODUCT($AI$11:$DF$11,'Staff Daily sales'!$G458:$CD458))</f>
        <v>13550.32</v>
      </c>
      <c r="R473">
        <f>IF($E473=0,0,SUMPRODUCT($AI$12:$DF$12,'Staff Daily sales'!$G458:$CD458))</f>
        <v>60</v>
      </c>
      <c r="S473">
        <f>IF($E473=0,0,SUMPRODUCT($AI$13:$DF$13,'Staff Daily sales'!$G458:$CD458))</f>
        <v>10714.91</v>
      </c>
      <c r="T473">
        <f>IF($E473=0,0,SUMPRODUCT($AI$14:$DF$14,'Staff Daily sales'!$G458:$CD458))</f>
        <v>53</v>
      </c>
      <c r="U473">
        <f>IF($E473=0,0,SUMPRODUCT($AI$15:$DF$15,'Staff Daily sales'!$G458:$CD458))</f>
        <v>1898.82</v>
      </c>
      <c r="V473">
        <f>IF($E473=0,0,SUMPRODUCT($AI$16:$DF$16,'Staff Daily sales'!$G458:$CD458))</f>
        <v>9</v>
      </c>
      <c r="W473">
        <f t="shared" si="143"/>
        <v>68312.09</v>
      </c>
      <c r="X473">
        <f t="shared" si="144"/>
        <v>109830.01999999999</v>
      </c>
      <c r="Y473">
        <f t="shared" si="145"/>
        <v>88009.17</v>
      </c>
      <c r="Z473">
        <f t="shared" si="146"/>
        <v>76882.399999999994</v>
      </c>
      <c r="AA473">
        <f t="shared" si="147"/>
        <v>23889.1</v>
      </c>
      <c r="AB473">
        <f>--AND($E473=1,OR('Staff Weekly Trend'!$B$3="All",$DH473='Staff Weekly Trend'!$B$3),OR('Staff Weekly Trend'!$B$4="All",$D473='Staff Weekly Trend'!$B$4),OR('Staff Weekly Trend'!$B$5="All",$A473='Staff Weekly Trend'!$B$5))</f>
        <v>1</v>
      </c>
      <c r="AC473">
        <f t="shared" si="148"/>
        <v>3</v>
      </c>
      <c r="AI473">
        <f t="shared" si="149"/>
        <v>346</v>
      </c>
      <c r="AJ473">
        <f t="shared" si="150"/>
        <v>529</v>
      </c>
      <c r="AK473">
        <f t="shared" si="151"/>
        <v>415</v>
      </c>
      <c r="AL473">
        <f t="shared" si="152"/>
        <v>373</v>
      </c>
      <c r="AM473">
        <f t="shared" si="153"/>
        <v>94</v>
      </c>
      <c r="DH473" t="str" cm="1">
        <f t="array" ref="DH473">IF($A473="","",_xlfn.LET(_xlpm.c,IFERROR(_xlfn.XLOOKUP($A473,TRIM('Sales and count'!$A$4:$A$300&amp;""),TRIM('Sales and count'!$B$4:$B$300&amp;"")),""),IF(OR(_xlpm.c="",_xlpm.c="0",LEFT(_xlpm.c,1)="#"),"Not set",_xlpm.c)))</f>
        <v>KSA</v>
      </c>
    </row>
    <row r="474" spans="1:112" x14ac:dyDescent="0.25">
      <c r="A474" t="str">
        <f>IF('Staff Daily sales'!$B459="","",TRIM('Staff Daily sales'!$B459&amp;""))</f>
        <v>HAMAKHLTON</v>
      </c>
      <c r="B474" t="str">
        <f>IF('Staff Daily sales'!$D459="","",TRIM('Staff Daily sales'!$D459&amp;""))</f>
        <v>5981-AAlqurashi</v>
      </c>
      <c r="C474" t="str">
        <f>IFERROR(TRIM('Staff Daily sales'!$E459&amp;""),"")</f>
        <v>Makkah</v>
      </c>
      <c r="D474" t="str">
        <f>IFERROR(IF(TRIM('Staff Daily sales'!$F459&amp;"")="","Unassigned",TRIM('Staff Daily sales'!$F459&amp;"")),"Unassigned")</f>
        <v>Maram Zamzami</v>
      </c>
      <c r="E474">
        <f t="shared" si="138"/>
        <v>1</v>
      </c>
      <c r="F474">
        <f>IF($E474=0,0,SUMPRODUCT($AI$5:$DF$5,'Staff Daily sales'!$G459:$CD459))</f>
        <v>0</v>
      </c>
      <c r="G474">
        <f>IF($E474=0,0,SUMPRODUCT($AI$6:$DF$6,'Staff Daily sales'!$G459:$CD459))</f>
        <v>0</v>
      </c>
      <c r="H474">
        <f t="shared" si="139"/>
        <v>11650.3</v>
      </c>
      <c r="I474">
        <f t="shared" si="140"/>
        <v>60</v>
      </c>
      <c r="J474">
        <f t="shared" si="141"/>
        <v>89423.479999999967</v>
      </c>
      <c r="K474">
        <f t="shared" si="142"/>
        <v>413</v>
      </c>
      <c r="L474">
        <f>--AND($E474=1,OR('Staff Dashboard'!$B$6="All",$DH474='Staff Dashboard'!$B$6),OR('Staff Dashboard'!$B$7="All",$D474='Staff Dashboard'!$B$7),OR('Staff Dashboard'!$B$8="All",$A474='Staff Dashboard'!$B$8))</f>
        <v>1</v>
      </c>
      <c r="M474">
        <f>IF($E474=0,0,SUMPRODUCT($AI$7:$DF$7,'Staff Daily sales'!$G459:$CD459))</f>
        <v>10862.06</v>
      </c>
      <c r="N474">
        <f>IF($E474=0,0,SUMPRODUCT($AI$8:$DF$8,'Staff Daily sales'!$G459:$CD459))</f>
        <v>47</v>
      </c>
      <c r="O474">
        <f>IF($E474=0,0,SUMPRODUCT($AI$9:$DF$9,'Staff Daily sales'!$G459:$CD459))</f>
        <v>20603.2</v>
      </c>
      <c r="P474">
        <f>IF($E474=0,0,SUMPRODUCT($AI$10:$DF$10,'Staff Daily sales'!$G459:$CD459))</f>
        <v>84</v>
      </c>
      <c r="Q474">
        <f>IF($E474=0,0,SUMPRODUCT($AI$11:$DF$11,'Staff Daily sales'!$G459:$CD459))</f>
        <v>8405.2000000000007</v>
      </c>
      <c r="R474">
        <f>IF($E474=0,0,SUMPRODUCT($AI$12:$DF$12,'Staff Daily sales'!$G459:$CD459))</f>
        <v>39</v>
      </c>
      <c r="S474">
        <f>IF($E474=0,0,SUMPRODUCT($AI$13:$DF$13,'Staff Daily sales'!$G459:$CD459))</f>
        <v>0</v>
      </c>
      <c r="T474">
        <f>IF($E474=0,0,SUMPRODUCT($AI$14:$DF$14,'Staff Daily sales'!$G459:$CD459))</f>
        <v>0</v>
      </c>
      <c r="U474">
        <f>IF($E474=0,0,SUMPRODUCT($AI$15:$DF$15,'Staff Daily sales'!$G459:$CD459))</f>
        <v>0</v>
      </c>
      <c r="V474">
        <f>IF($E474=0,0,SUMPRODUCT($AI$16:$DF$16,'Staff Daily sales'!$G459:$CD459))</f>
        <v>0</v>
      </c>
      <c r="W474">
        <f t="shared" si="143"/>
        <v>68312.09</v>
      </c>
      <c r="X474">
        <f t="shared" si="144"/>
        <v>109830.01999999999</v>
      </c>
      <c r="Y474">
        <f t="shared" si="145"/>
        <v>88009.17</v>
      </c>
      <c r="Z474">
        <f t="shared" si="146"/>
        <v>76882.399999999994</v>
      </c>
      <c r="AA474">
        <f t="shared" si="147"/>
        <v>23889.1</v>
      </c>
      <c r="AB474">
        <f>--AND($E474=1,OR('Staff Weekly Trend'!$B$3="All",$DH474='Staff Weekly Trend'!$B$3),OR('Staff Weekly Trend'!$B$4="All",$D474='Staff Weekly Trend'!$B$4),OR('Staff Weekly Trend'!$B$5="All",$A474='Staff Weekly Trend'!$B$5))</f>
        <v>1</v>
      </c>
      <c r="AC474" t="str">
        <f t="shared" si="148"/>
        <v/>
      </c>
      <c r="AI474">
        <f t="shared" si="149"/>
        <v>346</v>
      </c>
      <c r="AJ474">
        <f t="shared" si="150"/>
        <v>529</v>
      </c>
      <c r="AK474">
        <f t="shared" si="151"/>
        <v>415</v>
      </c>
      <c r="AL474">
        <f t="shared" si="152"/>
        <v>373</v>
      </c>
      <c r="AM474">
        <f t="shared" si="153"/>
        <v>94</v>
      </c>
      <c r="DH474" t="str" cm="1">
        <f t="array" ref="DH474">IF($A474="","",_xlfn.LET(_xlpm.c,IFERROR(_xlfn.XLOOKUP($A474,TRIM('Sales and count'!$A$4:$A$300&amp;""),TRIM('Sales and count'!$B$4:$B$300&amp;"")),""),IF(OR(_xlpm.c="",_xlpm.c="0",LEFT(_xlpm.c,1)="#"),"Not set",_xlpm.c)))</f>
        <v>KSA</v>
      </c>
    </row>
    <row r="475" spans="1:112" x14ac:dyDescent="0.25">
      <c r="A475" t="str">
        <f>IF('Staff Daily sales'!$B460="","",TRIM('Staff Daily sales'!$B460&amp;""))</f>
        <v>HAMAKHLTON</v>
      </c>
      <c r="B475" t="str">
        <f>IF('Staff Daily sales'!$D460="","",TRIM('Staff Daily sales'!$D460&amp;""))</f>
        <v>6048-AAlawadi</v>
      </c>
      <c r="C475" t="str">
        <f>IFERROR(TRIM('Staff Daily sales'!$E460&amp;""),"")</f>
        <v>Makkah</v>
      </c>
      <c r="D475" t="str">
        <f>IFERROR(IF(TRIM('Staff Daily sales'!$F460&amp;"")="","Unassigned",TRIM('Staff Daily sales'!$F460&amp;"")),"Unassigned")</f>
        <v>Maram Zamzami</v>
      </c>
      <c r="E475">
        <f t="shared" si="138"/>
        <v>1</v>
      </c>
      <c r="F475">
        <f>IF($E475=0,0,SUMPRODUCT($AI$5:$DF$5,'Staff Daily sales'!$G460:$CD460))</f>
        <v>2531.85</v>
      </c>
      <c r="G475">
        <f>IF($E475=0,0,SUMPRODUCT($AI$6:$DF$6,'Staff Daily sales'!$G460:$CD460))</f>
        <v>11</v>
      </c>
      <c r="H475">
        <f t="shared" si="139"/>
        <v>11650.3</v>
      </c>
      <c r="I475">
        <f t="shared" si="140"/>
        <v>60</v>
      </c>
      <c r="J475">
        <f t="shared" si="141"/>
        <v>89423.479999999967</v>
      </c>
      <c r="K475">
        <f t="shared" si="142"/>
        <v>413</v>
      </c>
      <c r="L475">
        <f>--AND($E475=1,OR('Staff Dashboard'!$B$6="All",$DH475='Staff Dashboard'!$B$6),OR('Staff Dashboard'!$B$7="All",$D475='Staff Dashboard'!$B$7),OR('Staff Dashboard'!$B$8="All",$A475='Staff Dashboard'!$B$8))</f>
        <v>1</v>
      </c>
      <c r="M475">
        <f>IF($E475=0,0,SUMPRODUCT($AI$7:$DF$7,'Staff Daily sales'!$G460:$CD460))</f>
        <v>10240.23</v>
      </c>
      <c r="N475">
        <f>IF($E475=0,0,SUMPRODUCT($AI$8:$DF$8,'Staff Daily sales'!$G460:$CD460))</f>
        <v>47</v>
      </c>
      <c r="O475">
        <f>IF($E475=0,0,SUMPRODUCT($AI$9:$DF$9,'Staff Daily sales'!$G460:$CD460))</f>
        <v>9216.1200000000008</v>
      </c>
      <c r="P475">
        <f>IF($E475=0,0,SUMPRODUCT($AI$10:$DF$10,'Staff Daily sales'!$G460:$CD460))</f>
        <v>53</v>
      </c>
      <c r="Q475">
        <f>IF($E475=0,0,SUMPRODUCT($AI$11:$DF$11,'Staff Daily sales'!$G460:$CD460))</f>
        <v>15471.16</v>
      </c>
      <c r="R475">
        <f>IF($E475=0,0,SUMPRODUCT($AI$12:$DF$12,'Staff Daily sales'!$G460:$CD460))</f>
        <v>75</v>
      </c>
      <c r="S475">
        <f>IF($E475=0,0,SUMPRODUCT($AI$13:$DF$13,'Staff Daily sales'!$G460:$CD460))</f>
        <v>9925.59</v>
      </c>
      <c r="T475">
        <f>IF($E475=0,0,SUMPRODUCT($AI$14:$DF$14,'Staff Daily sales'!$G460:$CD460))</f>
        <v>40</v>
      </c>
      <c r="U475">
        <f>IF($E475=0,0,SUMPRODUCT($AI$15:$DF$15,'Staff Daily sales'!$G460:$CD460))</f>
        <v>3399.86</v>
      </c>
      <c r="V475">
        <f>IF($E475=0,0,SUMPRODUCT($AI$16:$DF$16,'Staff Daily sales'!$G460:$CD460))</f>
        <v>14</v>
      </c>
      <c r="W475">
        <f t="shared" si="143"/>
        <v>68312.09</v>
      </c>
      <c r="X475">
        <f t="shared" si="144"/>
        <v>109830.01999999999</v>
      </c>
      <c r="Y475">
        <f t="shared" si="145"/>
        <v>88009.17</v>
      </c>
      <c r="Z475">
        <f t="shared" si="146"/>
        <v>76882.399999999994</v>
      </c>
      <c r="AA475">
        <f t="shared" si="147"/>
        <v>23889.1</v>
      </c>
      <c r="AB475">
        <f>--AND($E475=1,OR('Staff Weekly Trend'!$B$3="All",$DH475='Staff Weekly Trend'!$B$3),OR('Staff Weekly Trend'!$B$4="All",$D475='Staff Weekly Trend'!$B$4),OR('Staff Weekly Trend'!$B$5="All",$A475='Staff Weekly Trend'!$B$5))</f>
        <v>1</v>
      </c>
      <c r="AC475">
        <f t="shared" si="148"/>
        <v>2</v>
      </c>
      <c r="AI475">
        <f t="shared" si="149"/>
        <v>346</v>
      </c>
      <c r="AJ475">
        <f t="shared" si="150"/>
        <v>529</v>
      </c>
      <c r="AK475">
        <f t="shared" si="151"/>
        <v>415</v>
      </c>
      <c r="AL475">
        <f t="shared" si="152"/>
        <v>373</v>
      </c>
      <c r="AM475">
        <f t="shared" si="153"/>
        <v>94</v>
      </c>
      <c r="DH475" t="str" cm="1">
        <f t="array" ref="DH475">IF($A475="","",_xlfn.LET(_xlpm.c,IFERROR(_xlfn.XLOOKUP($A475,TRIM('Sales and count'!$A$4:$A$300&amp;""),TRIM('Sales and count'!$B$4:$B$300&amp;"")),""),IF(OR(_xlpm.c="",_xlpm.c="0",LEFT(_xlpm.c,1)="#"),"Not set",_xlpm.c)))</f>
        <v>KSA</v>
      </c>
    </row>
    <row r="476" spans="1:112" x14ac:dyDescent="0.25">
      <c r="A476" t="str">
        <f>IF('Staff Daily sales'!$B461="","",TRIM('Staff Daily sales'!$B461&amp;""))</f>
        <v>HAMAKHLTON</v>
      </c>
      <c r="B476" t="str">
        <f>IF('Staff Daily sales'!$D461="","",TRIM('Staff Daily sales'!$D461&amp;""))</f>
        <v>6907-KAlSharif</v>
      </c>
      <c r="C476" t="str">
        <f>IFERROR(TRIM('Staff Daily sales'!$E461&amp;""),"")</f>
        <v>Makkah</v>
      </c>
      <c r="D476" t="str">
        <f>IFERROR(IF(TRIM('Staff Daily sales'!$F461&amp;"")="","Unassigned",TRIM('Staff Daily sales'!$F461&amp;"")),"Unassigned")</f>
        <v>Maram Zamzami</v>
      </c>
      <c r="E476">
        <f t="shared" si="138"/>
        <v>1</v>
      </c>
      <c r="F476">
        <f>IF($E476=0,0,SUMPRODUCT($AI$5:$DF$5,'Staff Daily sales'!$G461:$CD461))</f>
        <v>0</v>
      </c>
      <c r="G476">
        <f>IF($E476=0,0,SUMPRODUCT($AI$6:$DF$6,'Staff Daily sales'!$G461:$CD461))</f>
        <v>0</v>
      </c>
      <c r="H476">
        <f t="shared" si="139"/>
        <v>11650.3</v>
      </c>
      <c r="I476">
        <f t="shared" si="140"/>
        <v>60</v>
      </c>
      <c r="J476">
        <f t="shared" si="141"/>
        <v>89423.479999999967</v>
      </c>
      <c r="K476">
        <f t="shared" si="142"/>
        <v>413</v>
      </c>
      <c r="L476">
        <f>--AND($E476=1,OR('Staff Dashboard'!$B$6="All",$DH476='Staff Dashboard'!$B$6),OR('Staff Dashboard'!$B$7="All",$D476='Staff Dashboard'!$B$7),OR('Staff Dashboard'!$B$8="All",$A476='Staff Dashboard'!$B$8))</f>
        <v>1</v>
      </c>
      <c r="M476">
        <f>IF($E476=0,0,SUMPRODUCT($AI$7:$DF$7,'Staff Daily sales'!$G461:$CD461))</f>
        <v>0</v>
      </c>
      <c r="N476">
        <f>IF($E476=0,0,SUMPRODUCT($AI$8:$DF$8,'Staff Daily sales'!$G461:$CD461))</f>
        <v>0</v>
      </c>
      <c r="O476">
        <f>IF($E476=0,0,SUMPRODUCT($AI$9:$DF$9,'Staff Daily sales'!$G461:$CD461))</f>
        <v>0</v>
      </c>
      <c r="P476">
        <f>IF($E476=0,0,SUMPRODUCT($AI$10:$DF$10,'Staff Daily sales'!$G461:$CD461))</f>
        <v>0</v>
      </c>
      <c r="Q476">
        <f>IF($E476=0,0,SUMPRODUCT($AI$11:$DF$11,'Staff Daily sales'!$G461:$CD461))</f>
        <v>1618.98</v>
      </c>
      <c r="R476">
        <f>IF($E476=0,0,SUMPRODUCT($AI$12:$DF$12,'Staff Daily sales'!$G461:$CD461))</f>
        <v>13</v>
      </c>
      <c r="S476">
        <f>IF($E476=0,0,SUMPRODUCT($AI$13:$DF$13,'Staff Daily sales'!$G461:$CD461))</f>
        <v>0</v>
      </c>
      <c r="T476">
        <f>IF($E476=0,0,SUMPRODUCT($AI$14:$DF$14,'Staff Daily sales'!$G461:$CD461))</f>
        <v>0</v>
      </c>
      <c r="U476">
        <f>IF($E476=0,0,SUMPRODUCT($AI$15:$DF$15,'Staff Daily sales'!$G461:$CD461))</f>
        <v>0</v>
      </c>
      <c r="V476">
        <f>IF($E476=0,0,SUMPRODUCT($AI$16:$DF$16,'Staff Daily sales'!$G461:$CD461))</f>
        <v>0</v>
      </c>
      <c r="W476">
        <f t="shared" si="143"/>
        <v>68312.09</v>
      </c>
      <c r="X476">
        <f t="shared" si="144"/>
        <v>109830.01999999999</v>
      </c>
      <c r="Y476">
        <f t="shared" si="145"/>
        <v>88009.17</v>
      </c>
      <c r="Z476">
        <f t="shared" si="146"/>
        <v>76882.399999999994</v>
      </c>
      <c r="AA476">
        <f t="shared" si="147"/>
        <v>23889.1</v>
      </c>
      <c r="AB476">
        <f>--AND($E476=1,OR('Staff Weekly Trend'!$B$3="All",$DH476='Staff Weekly Trend'!$B$3),OR('Staff Weekly Trend'!$B$4="All",$D476='Staff Weekly Trend'!$B$4),OR('Staff Weekly Trend'!$B$5="All",$A476='Staff Weekly Trend'!$B$5))</f>
        <v>1</v>
      </c>
      <c r="AC476" t="str">
        <f t="shared" si="148"/>
        <v/>
      </c>
      <c r="AI476">
        <f t="shared" si="149"/>
        <v>346</v>
      </c>
      <c r="AJ476">
        <f t="shared" si="150"/>
        <v>529</v>
      </c>
      <c r="AK476">
        <f t="shared" si="151"/>
        <v>415</v>
      </c>
      <c r="AL476">
        <f t="shared" si="152"/>
        <v>373</v>
      </c>
      <c r="AM476">
        <f t="shared" si="153"/>
        <v>94</v>
      </c>
      <c r="DH476" t="str" cm="1">
        <f t="array" ref="DH476">IF($A476="","",_xlfn.LET(_xlpm.c,IFERROR(_xlfn.XLOOKUP($A476,TRIM('Sales and count'!$A$4:$A$300&amp;""),TRIM('Sales and count'!$B$4:$B$300&amp;"")),""),IF(OR(_xlpm.c="",_xlpm.c="0",LEFT(_xlpm.c,1)="#"),"Not set",_xlpm.c)))</f>
        <v>KSA</v>
      </c>
    </row>
    <row r="477" spans="1:112" x14ac:dyDescent="0.25">
      <c r="A477" t="str">
        <f>IF('Staff Daily sales'!$B462="","",TRIM('Staff Daily sales'!$B462&amp;""))</f>
        <v>HARASHMAD</v>
      </c>
      <c r="B477" t="str">
        <f>IF('Staff Daily sales'!$D462="","",TRIM('Staff Daily sales'!$D462&amp;""))</f>
        <v>4611-AAlsuhaaymi</v>
      </c>
      <c r="C477" t="str">
        <f>IFERROR(TRIM('Staff Daily sales'!$E462&amp;""),"")</f>
        <v>Madinah</v>
      </c>
      <c r="D477" t="str">
        <f>IFERROR(IF(TRIM('Staff Daily sales'!$F462&amp;"")="","Unassigned",TRIM('Staff Daily sales'!$F462&amp;"")),"Unassigned")</f>
        <v>Mohammed Haidar</v>
      </c>
      <c r="E477">
        <f t="shared" si="138"/>
        <v>1</v>
      </c>
      <c r="F477">
        <f>IF($E477=0,0,SUMPRODUCT($AI$5:$DF$5,'Staff Daily sales'!$G462:$CD462))</f>
        <v>808</v>
      </c>
      <c r="G477">
        <f>IF($E477=0,0,SUMPRODUCT($AI$6:$DF$6,'Staff Daily sales'!$G462:$CD462))</f>
        <v>4</v>
      </c>
      <c r="H477">
        <f t="shared" si="139"/>
        <v>1636.94</v>
      </c>
      <c r="I477">
        <f t="shared" si="140"/>
        <v>10</v>
      </c>
      <c r="J477">
        <f t="shared" si="141"/>
        <v>55209.230000000018</v>
      </c>
      <c r="K477">
        <f t="shared" si="142"/>
        <v>272</v>
      </c>
      <c r="L477">
        <f>--AND($E477=1,OR('Staff Dashboard'!$B$6="All",$DH477='Staff Dashboard'!$B$6),OR('Staff Dashboard'!$B$7="All",$D477='Staff Dashboard'!$B$7),OR('Staff Dashboard'!$B$8="All",$A477='Staff Dashboard'!$B$8))</f>
        <v>0</v>
      </c>
      <c r="M477">
        <f>IF($E477=0,0,SUMPRODUCT($AI$7:$DF$7,'Staff Daily sales'!$G462:$CD462))</f>
        <v>2045.08</v>
      </c>
      <c r="N477">
        <f>IF($E477=0,0,SUMPRODUCT($AI$8:$DF$8,'Staff Daily sales'!$G462:$CD462))</f>
        <v>16</v>
      </c>
      <c r="O477">
        <f>IF($E477=0,0,SUMPRODUCT($AI$9:$DF$9,'Staff Daily sales'!$G462:$CD462))</f>
        <v>10299.220000000001</v>
      </c>
      <c r="P477">
        <f>IF($E477=0,0,SUMPRODUCT($AI$10:$DF$10,'Staff Daily sales'!$G462:$CD462))</f>
        <v>56</v>
      </c>
      <c r="Q477">
        <f>IF($E477=0,0,SUMPRODUCT($AI$11:$DF$11,'Staff Daily sales'!$G462:$CD462))</f>
        <v>2227.0100000000002</v>
      </c>
      <c r="R477">
        <f>IF($E477=0,0,SUMPRODUCT($AI$12:$DF$12,'Staff Daily sales'!$G462:$CD462))</f>
        <v>11</v>
      </c>
      <c r="S477">
        <f>IF($E477=0,0,SUMPRODUCT($AI$13:$DF$13,'Staff Daily sales'!$G462:$CD462))</f>
        <v>5919.79</v>
      </c>
      <c r="T477">
        <f>IF($E477=0,0,SUMPRODUCT($AI$14:$DF$14,'Staff Daily sales'!$G462:$CD462))</f>
        <v>20</v>
      </c>
      <c r="U477">
        <f>IF($E477=0,0,SUMPRODUCT($AI$15:$DF$15,'Staff Daily sales'!$G462:$CD462))</f>
        <v>1081.04</v>
      </c>
      <c r="V477">
        <f>IF($E477=0,0,SUMPRODUCT($AI$16:$DF$16,'Staff Daily sales'!$G462:$CD462))</f>
        <v>4</v>
      </c>
      <c r="W477">
        <f t="shared" si="143"/>
        <v>19824.5</v>
      </c>
      <c r="X477">
        <f t="shared" si="144"/>
        <v>32257.690000000002</v>
      </c>
      <c r="Y477">
        <f t="shared" si="145"/>
        <v>20729.13</v>
      </c>
      <c r="Z477">
        <f t="shared" si="146"/>
        <v>21359.559999999998</v>
      </c>
      <c r="AA477">
        <f t="shared" si="147"/>
        <v>7063.24</v>
      </c>
      <c r="AB477">
        <f>--AND($E477=1,OR('Staff Weekly Trend'!$B$3="All",$DH477='Staff Weekly Trend'!$B$3),OR('Staff Weekly Trend'!$B$4="All",$D477='Staff Weekly Trend'!$B$4),OR('Staff Weekly Trend'!$B$5="All",$A477='Staff Weekly Trend'!$B$5))</f>
        <v>1</v>
      </c>
      <c r="AC477">
        <f t="shared" si="148"/>
        <v>1</v>
      </c>
      <c r="AI477">
        <f t="shared" si="149"/>
        <v>151</v>
      </c>
      <c r="AJ477">
        <f t="shared" si="150"/>
        <v>187</v>
      </c>
      <c r="AK477">
        <f t="shared" si="151"/>
        <v>128</v>
      </c>
      <c r="AL477">
        <f t="shared" si="152"/>
        <v>112</v>
      </c>
      <c r="AM477">
        <f t="shared" si="153"/>
        <v>31</v>
      </c>
      <c r="DH477" t="str" cm="1">
        <f t="array" ref="DH477">IF($A477="","",_xlfn.LET(_xlpm.c,IFERROR(_xlfn.XLOOKUP($A477,TRIM('Sales and count'!$A$4:$A$300&amp;""),TRIM('Sales and count'!$B$4:$B$300&amp;"")),""),IF(OR(_xlpm.c="",_xlpm.c="0",LEFT(_xlpm.c,1)="#"),"Not set",_xlpm.c)))</f>
        <v>KSA</v>
      </c>
    </row>
    <row r="478" spans="1:112" x14ac:dyDescent="0.25">
      <c r="A478" t="str">
        <f>IF('Staff Daily sales'!$B463="","",TRIM('Staff Daily sales'!$B463&amp;""))</f>
        <v>HARASHMAD</v>
      </c>
      <c r="B478" t="str">
        <f>IF('Staff Daily sales'!$D463="","",TRIM('Staff Daily sales'!$D463&amp;""))</f>
        <v>4865-AAlmaghthawi</v>
      </c>
      <c r="C478" t="str">
        <f>IFERROR(TRIM('Staff Daily sales'!$E463&amp;""),"")</f>
        <v>Madinah</v>
      </c>
      <c r="D478" t="str">
        <f>IFERROR(IF(TRIM('Staff Daily sales'!$F463&amp;"")="","Unassigned",TRIM('Staff Daily sales'!$F463&amp;"")),"Unassigned")</f>
        <v>Mohammed Haidar</v>
      </c>
      <c r="E478">
        <f t="shared" si="138"/>
        <v>1</v>
      </c>
      <c r="F478">
        <f>IF($E478=0,0,SUMPRODUCT($AI$5:$DF$5,'Staff Daily sales'!$G463:$CD463))</f>
        <v>656.94</v>
      </c>
      <c r="G478">
        <f>IF($E478=0,0,SUMPRODUCT($AI$6:$DF$6,'Staff Daily sales'!$G463:$CD463))</f>
        <v>3</v>
      </c>
      <c r="H478">
        <f t="shared" si="139"/>
        <v>1636.94</v>
      </c>
      <c r="I478">
        <f t="shared" si="140"/>
        <v>10</v>
      </c>
      <c r="J478">
        <f t="shared" si="141"/>
        <v>55209.230000000018</v>
      </c>
      <c r="K478">
        <f t="shared" si="142"/>
        <v>272</v>
      </c>
      <c r="L478">
        <f>--AND($E478=1,OR('Staff Dashboard'!$B$6="All",$DH478='Staff Dashboard'!$B$6),OR('Staff Dashboard'!$B$7="All",$D478='Staff Dashboard'!$B$7),OR('Staff Dashboard'!$B$8="All",$A478='Staff Dashboard'!$B$8))</f>
        <v>0</v>
      </c>
      <c r="M478">
        <f>IF($E478=0,0,SUMPRODUCT($AI$7:$DF$7,'Staff Daily sales'!$G463:$CD463))</f>
        <v>7277.12</v>
      </c>
      <c r="N478">
        <f>IF($E478=0,0,SUMPRODUCT($AI$8:$DF$8,'Staff Daily sales'!$G463:$CD463))</f>
        <v>50</v>
      </c>
      <c r="O478">
        <f>IF($E478=0,0,SUMPRODUCT($AI$9:$DF$9,'Staff Daily sales'!$G463:$CD463))</f>
        <v>150</v>
      </c>
      <c r="P478">
        <f>IF($E478=0,0,SUMPRODUCT($AI$10:$DF$10,'Staff Daily sales'!$G463:$CD463))</f>
        <v>1</v>
      </c>
      <c r="Q478">
        <f>IF($E478=0,0,SUMPRODUCT($AI$11:$DF$11,'Staff Daily sales'!$G463:$CD463))</f>
        <v>7647</v>
      </c>
      <c r="R478">
        <f>IF($E478=0,0,SUMPRODUCT($AI$12:$DF$12,'Staff Daily sales'!$G463:$CD463))</f>
        <v>56</v>
      </c>
      <c r="S478">
        <f>IF($E478=0,0,SUMPRODUCT($AI$13:$DF$13,'Staff Daily sales'!$G463:$CD463))</f>
        <v>9057.76</v>
      </c>
      <c r="T478">
        <f>IF($E478=0,0,SUMPRODUCT($AI$14:$DF$14,'Staff Daily sales'!$G463:$CD463))</f>
        <v>53</v>
      </c>
      <c r="U478">
        <f>IF($E478=0,0,SUMPRODUCT($AI$15:$DF$15,'Staff Daily sales'!$G463:$CD463))</f>
        <v>4132.21</v>
      </c>
      <c r="V478">
        <f>IF($E478=0,0,SUMPRODUCT($AI$16:$DF$16,'Staff Daily sales'!$G463:$CD463))</f>
        <v>17</v>
      </c>
      <c r="W478">
        <f t="shared" si="143"/>
        <v>19824.5</v>
      </c>
      <c r="X478">
        <f t="shared" si="144"/>
        <v>32257.690000000002</v>
      </c>
      <c r="Y478">
        <f t="shared" si="145"/>
        <v>20729.13</v>
      </c>
      <c r="Z478">
        <f t="shared" si="146"/>
        <v>21359.559999999998</v>
      </c>
      <c r="AA478">
        <f t="shared" si="147"/>
        <v>7063.24</v>
      </c>
      <c r="AB478">
        <f>--AND($E478=1,OR('Staff Weekly Trend'!$B$3="All",$DH478='Staff Weekly Trend'!$B$3),OR('Staff Weekly Trend'!$B$4="All",$D478='Staff Weekly Trend'!$B$4),OR('Staff Weekly Trend'!$B$5="All",$A478='Staff Weekly Trend'!$B$5))</f>
        <v>1</v>
      </c>
      <c r="AC478">
        <f t="shared" si="148"/>
        <v>2</v>
      </c>
      <c r="AI478">
        <f t="shared" si="149"/>
        <v>151</v>
      </c>
      <c r="AJ478">
        <f t="shared" si="150"/>
        <v>187</v>
      </c>
      <c r="AK478">
        <f t="shared" si="151"/>
        <v>128</v>
      </c>
      <c r="AL478">
        <f t="shared" si="152"/>
        <v>112</v>
      </c>
      <c r="AM478">
        <f t="shared" si="153"/>
        <v>31</v>
      </c>
      <c r="DH478" t="str" cm="1">
        <f t="array" ref="DH478">IF($A478="","",_xlfn.LET(_xlpm.c,IFERROR(_xlfn.XLOOKUP($A478,TRIM('Sales and count'!$A$4:$A$300&amp;""),TRIM('Sales and count'!$B$4:$B$300&amp;"")),""),IF(OR(_xlpm.c="",_xlpm.c="0",LEFT(_xlpm.c,1)="#"),"Not set",_xlpm.c)))</f>
        <v>KSA</v>
      </c>
    </row>
    <row r="479" spans="1:112" x14ac:dyDescent="0.25">
      <c r="A479" t="str">
        <f>IF('Staff Daily sales'!$B464="","",TRIM('Staff Daily sales'!$B464&amp;""))</f>
        <v>HARASHMAD</v>
      </c>
      <c r="B479" t="str">
        <f>IF('Staff Daily sales'!$D464="","",TRIM('Staff Daily sales'!$D464&amp;""))</f>
        <v>5310-SAlMutairi</v>
      </c>
      <c r="C479" t="str">
        <f>IFERROR(TRIM('Staff Daily sales'!$E464&amp;""),"")</f>
        <v>Madinah</v>
      </c>
      <c r="D479" t="str">
        <f>IFERROR(IF(TRIM('Staff Daily sales'!$F464&amp;"")="","Unassigned",TRIM('Staff Daily sales'!$F464&amp;"")),"Unassigned")</f>
        <v>Mohammed Haidar</v>
      </c>
      <c r="E479">
        <f t="shared" si="138"/>
        <v>1</v>
      </c>
      <c r="F479">
        <f>IF($E479=0,0,SUMPRODUCT($AI$5:$DF$5,'Staff Daily sales'!$G464:$CD464))</f>
        <v>0</v>
      </c>
      <c r="G479">
        <f>IF($E479=0,0,SUMPRODUCT($AI$6:$DF$6,'Staff Daily sales'!$G464:$CD464))</f>
        <v>0</v>
      </c>
      <c r="H479">
        <f t="shared" si="139"/>
        <v>1636.94</v>
      </c>
      <c r="I479">
        <f t="shared" si="140"/>
        <v>10</v>
      </c>
      <c r="J479">
        <f t="shared" si="141"/>
        <v>55209.230000000018</v>
      </c>
      <c r="K479">
        <f t="shared" si="142"/>
        <v>272</v>
      </c>
      <c r="L479">
        <f>--AND($E479=1,OR('Staff Dashboard'!$B$6="All",$DH479='Staff Dashboard'!$B$6),OR('Staff Dashboard'!$B$7="All",$D479='Staff Dashboard'!$B$7),OR('Staff Dashboard'!$B$8="All",$A479='Staff Dashboard'!$B$8))</f>
        <v>0</v>
      </c>
      <c r="M479">
        <f>IF($E479=0,0,SUMPRODUCT($AI$7:$DF$7,'Staff Daily sales'!$G464:$CD464))</f>
        <v>7073.21</v>
      </c>
      <c r="N479">
        <f>IF($E479=0,0,SUMPRODUCT($AI$8:$DF$8,'Staff Daily sales'!$G464:$CD464))</f>
        <v>59</v>
      </c>
      <c r="O479">
        <f>IF($E479=0,0,SUMPRODUCT($AI$9:$DF$9,'Staff Daily sales'!$G464:$CD464))</f>
        <v>12328.250000000002</v>
      </c>
      <c r="P479">
        <f>IF($E479=0,0,SUMPRODUCT($AI$10:$DF$10,'Staff Daily sales'!$G464:$CD464))</f>
        <v>75</v>
      </c>
      <c r="Q479">
        <f>IF($E479=0,0,SUMPRODUCT($AI$11:$DF$11,'Staff Daily sales'!$G464:$CD464))</f>
        <v>4884.01</v>
      </c>
      <c r="R479">
        <f>IF($E479=0,0,SUMPRODUCT($AI$12:$DF$12,'Staff Daily sales'!$G464:$CD464))</f>
        <v>27</v>
      </c>
      <c r="S479">
        <f>IF($E479=0,0,SUMPRODUCT($AI$13:$DF$13,'Staff Daily sales'!$G464:$CD464))</f>
        <v>2172.02</v>
      </c>
      <c r="T479">
        <f>IF($E479=0,0,SUMPRODUCT($AI$14:$DF$14,'Staff Daily sales'!$G464:$CD464))</f>
        <v>8</v>
      </c>
      <c r="U479">
        <f>IF($E479=0,0,SUMPRODUCT($AI$15:$DF$15,'Staff Daily sales'!$G464:$CD464))</f>
        <v>0</v>
      </c>
      <c r="V479">
        <f>IF($E479=0,0,SUMPRODUCT($AI$16:$DF$16,'Staff Daily sales'!$G464:$CD464))</f>
        <v>0</v>
      </c>
      <c r="W479">
        <f t="shared" si="143"/>
        <v>19824.5</v>
      </c>
      <c r="X479">
        <f t="shared" si="144"/>
        <v>32257.690000000002</v>
      </c>
      <c r="Y479">
        <f t="shared" si="145"/>
        <v>20729.13</v>
      </c>
      <c r="Z479">
        <f t="shared" si="146"/>
        <v>21359.559999999998</v>
      </c>
      <c r="AA479">
        <f t="shared" si="147"/>
        <v>7063.24</v>
      </c>
      <c r="AB479">
        <f>--AND($E479=1,OR('Staff Weekly Trend'!$B$3="All",$DH479='Staff Weekly Trend'!$B$3),OR('Staff Weekly Trend'!$B$4="All",$D479='Staff Weekly Trend'!$B$4),OR('Staff Weekly Trend'!$B$5="All",$A479='Staff Weekly Trend'!$B$5))</f>
        <v>1</v>
      </c>
      <c r="AC479" t="str">
        <f t="shared" si="148"/>
        <v/>
      </c>
      <c r="AI479">
        <f t="shared" si="149"/>
        <v>151</v>
      </c>
      <c r="AJ479">
        <f t="shared" si="150"/>
        <v>187</v>
      </c>
      <c r="AK479">
        <f t="shared" si="151"/>
        <v>128</v>
      </c>
      <c r="AL479">
        <f t="shared" si="152"/>
        <v>112</v>
      </c>
      <c r="AM479">
        <f t="shared" si="153"/>
        <v>31</v>
      </c>
      <c r="DH479" t="str" cm="1">
        <f t="array" ref="DH479">IF($A479="","",_xlfn.LET(_xlpm.c,IFERROR(_xlfn.XLOOKUP($A479,TRIM('Sales and count'!$A$4:$A$300&amp;""),TRIM('Sales and count'!$B$4:$B$300&amp;"")),""),IF(OR(_xlpm.c="",_xlpm.c="0",LEFT(_xlpm.c,1)="#"),"Not set",_xlpm.c)))</f>
        <v>KSA</v>
      </c>
    </row>
    <row r="480" spans="1:112" x14ac:dyDescent="0.25">
      <c r="A480" t="str">
        <f>IF('Staff Daily sales'!$B465="","",TRIM('Staff Daily sales'!$B465&amp;""))</f>
        <v>HARASHMAD</v>
      </c>
      <c r="B480" t="str">
        <f>IF('Staff Daily sales'!$D465="","",TRIM('Staff Daily sales'!$D465&amp;""))</f>
        <v>5701-TAbadrani</v>
      </c>
      <c r="C480" t="str">
        <f>IFERROR(TRIM('Staff Daily sales'!$E465&amp;""),"")</f>
        <v>Madinah</v>
      </c>
      <c r="D480" t="str">
        <f>IFERROR(IF(TRIM('Staff Daily sales'!$F465&amp;"")="","Unassigned",TRIM('Staff Daily sales'!$F465&amp;"")),"Unassigned")</f>
        <v>Mohammed Haidar</v>
      </c>
      <c r="E480">
        <f t="shared" si="138"/>
        <v>1</v>
      </c>
      <c r="F480">
        <f>IF($E480=0,0,SUMPRODUCT($AI$5:$DF$5,'Staff Daily sales'!$G465:$CD465))</f>
        <v>172</v>
      </c>
      <c r="G480">
        <f>IF($E480=0,0,SUMPRODUCT($AI$6:$DF$6,'Staff Daily sales'!$G465:$CD465))</f>
        <v>3</v>
      </c>
      <c r="H480">
        <f t="shared" si="139"/>
        <v>1636.94</v>
      </c>
      <c r="I480">
        <f t="shared" si="140"/>
        <v>10</v>
      </c>
      <c r="J480">
        <f t="shared" si="141"/>
        <v>55209.230000000018</v>
      </c>
      <c r="K480">
        <f t="shared" si="142"/>
        <v>272</v>
      </c>
      <c r="L480">
        <f>--AND($E480=1,OR('Staff Dashboard'!$B$6="All",$DH480='Staff Dashboard'!$B$6),OR('Staff Dashboard'!$B$7="All",$D480='Staff Dashboard'!$B$7),OR('Staff Dashboard'!$B$8="All",$A480='Staff Dashboard'!$B$8))</f>
        <v>0</v>
      </c>
      <c r="M480">
        <f>IF($E480=0,0,SUMPRODUCT($AI$7:$DF$7,'Staff Daily sales'!$G465:$CD465))</f>
        <v>3429.09</v>
      </c>
      <c r="N480">
        <f>IF($E480=0,0,SUMPRODUCT($AI$8:$DF$8,'Staff Daily sales'!$G465:$CD465))</f>
        <v>26</v>
      </c>
      <c r="O480">
        <f>IF($E480=0,0,SUMPRODUCT($AI$9:$DF$9,'Staff Daily sales'!$G465:$CD465))</f>
        <v>9480.2199999999993</v>
      </c>
      <c r="P480">
        <f>IF($E480=0,0,SUMPRODUCT($AI$10:$DF$10,'Staff Daily sales'!$G465:$CD465))</f>
        <v>55</v>
      </c>
      <c r="Q480">
        <f>IF($E480=0,0,SUMPRODUCT($AI$11:$DF$11,'Staff Daily sales'!$G465:$CD465))</f>
        <v>5971.11</v>
      </c>
      <c r="R480">
        <f>IF($E480=0,0,SUMPRODUCT($AI$12:$DF$12,'Staff Daily sales'!$G465:$CD465))</f>
        <v>34</v>
      </c>
      <c r="S480">
        <f>IF($E480=0,0,SUMPRODUCT($AI$13:$DF$13,'Staff Daily sales'!$G465:$CD465))</f>
        <v>4209.99</v>
      </c>
      <c r="T480">
        <f>IF($E480=0,0,SUMPRODUCT($AI$14:$DF$14,'Staff Daily sales'!$G465:$CD465))</f>
        <v>31</v>
      </c>
      <c r="U480">
        <f>IF($E480=0,0,SUMPRODUCT($AI$15:$DF$15,'Staff Daily sales'!$G465:$CD465))</f>
        <v>1849.99</v>
      </c>
      <c r="V480">
        <f>IF($E480=0,0,SUMPRODUCT($AI$16:$DF$16,'Staff Daily sales'!$G465:$CD465))</f>
        <v>10</v>
      </c>
      <c r="W480">
        <f t="shared" si="143"/>
        <v>19824.5</v>
      </c>
      <c r="X480">
        <f t="shared" si="144"/>
        <v>32257.690000000002</v>
      </c>
      <c r="Y480">
        <f t="shared" si="145"/>
        <v>20729.13</v>
      </c>
      <c r="Z480">
        <f t="shared" si="146"/>
        <v>21359.559999999998</v>
      </c>
      <c r="AA480">
        <f t="shared" si="147"/>
        <v>7063.24</v>
      </c>
      <c r="AB480">
        <f>--AND($E480=1,OR('Staff Weekly Trend'!$B$3="All",$DH480='Staff Weekly Trend'!$B$3),OR('Staff Weekly Trend'!$B$4="All",$D480='Staff Weekly Trend'!$B$4),OR('Staff Weekly Trend'!$B$5="All",$A480='Staff Weekly Trend'!$B$5))</f>
        <v>1</v>
      </c>
      <c r="AC480">
        <f t="shared" si="148"/>
        <v>3</v>
      </c>
      <c r="AI480">
        <f t="shared" si="149"/>
        <v>151</v>
      </c>
      <c r="AJ480">
        <f t="shared" si="150"/>
        <v>187</v>
      </c>
      <c r="AK480">
        <f t="shared" si="151"/>
        <v>128</v>
      </c>
      <c r="AL480">
        <f t="shared" si="152"/>
        <v>112</v>
      </c>
      <c r="AM480">
        <f t="shared" si="153"/>
        <v>31</v>
      </c>
      <c r="DH480" t="str" cm="1">
        <f t="array" ref="DH480">IF($A480="","",_xlfn.LET(_xlpm.c,IFERROR(_xlfn.XLOOKUP($A480,TRIM('Sales and count'!$A$4:$A$300&amp;""),TRIM('Sales and count'!$B$4:$B$300&amp;"")),""),IF(OR(_xlpm.c="",_xlpm.c="0",LEFT(_xlpm.c,1)="#"),"Not set",_xlpm.c)))</f>
        <v>KSA</v>
      </c>
    </row>
    <row r="481" spans="1:112" x14ac:dyDescent="0.25">
      <c r="A481" t="str">
        <f>IF('Staff Daily sales'!$B466="","",TRIM('Staff Daily sales'!$B466&amp;""))</f>
        <v>HAJADBUR</v>
      </c>
      <c r="B481" t="str">
        <f>IF('Staff Daily sales'!$D466="","",TRIM('Staff Daily sales'!$D466&amp;""))</f>
        <v>4423-OAlharbi</v>
      </c>
      <c r="C481" t="str">
        <f>IFERROR(TRIM('Staff Daily sales'!$E466&amp;""),"")</f>
        <v>Buraidah</v>
      </c>
      <c r="D481" t="str">
        <f>IFERROR(IF(TRIM('Staff Daily sales'!$F466&amp;"")="","Unassigned",TRIM('Staff Daily sales'!$F466&amp;"")),"Unassigned")</f>
        <v>Lina Al Ghathami</v>
      </c>
      <c r="E481">
        <f t="shared" si="138"/>
        <v>1</v>
      </c>
      <c r="F481">
        <f>IF($E481=0,0,SUMPRODUCT($AI$5:$DF$5,'Staff Daily sales'!$G466:$CD466))</f>
        <v>967.95</v>
      </c>
      <c r="G481">
        <f>IF($E481=0,0,SUMPRODUCT($AI$6:$DF$6,'Staff Daily sales'!$G466:$CD466))</f>
        <v>8</v>
      </c>
      <c r="H481">
        <f t="shared" si="139"/>
        <v>1639.91</v>
      </c>
      <c r="I481">
        <f t="shared" si="140"/>
        <v>13</v>
      </c>
      <c r="J481">
        <f t="shared" si="141"/>
        <v>62915.250000000007</v>
      </c>
      <c r="K481">
        <f t="shared" si="142"/>
        <v>385</v>
      </c>
      <c r="L481">
        <f>--AND($E481=1,OR('Staff Dashboard'!$B$6="All",$DH481='Staff Dashboard'!$B$6),OR('Staff Dashboard'!$B$7="All",$D481='Staff Dashboard'!$B$7),OR('Staff Dashboard'!$B$8="All",$A481='Staff Dashboard'!$B$8))</f>
        <v>0</v>
      </c>
      <c r="M481">
        <f>IF($E481=0,0,SUMPRODUCT($AI$7:$DF$7,'Staff Daily sales'!$G466:$CD466))</f>
        <v>4842.0599999999995</v>
      </c>
      <c r="N481">
        <f>IF($E481=0,0,SUMPRODUCT($AI$8:$DF$8,'Staff Daily sales'!$G466:$CD466))</f>
        <v>40</v>
      </c>
      <c r="O481">
        <f>IF($E481=0,0,SUMPRODUCT($AI$9:$DF$9,'Staff Daily sales'!$G466:$CD466))</f>
        <v>7099.05</v>
      </c>
      <c r="P481">
        <f>IF($E481=0,0,SUMPRODUCT($AI$10:$DF$10,'Staff Daily sales'!$G466:$CD466))</f>
        <v>57</v>
      </c>
      <c r="Q481">
        <f>IF($E481=0,0,SUMPRODUCT($AI$11:$DF$11,'Staff Daily sales'!$G466:$CD466))</f>
        <v>5599.05</v>
      </c>
      <c r="R481">
        <f>IF($E481=0,0,SUMPRODUCT($AI$12:$DF$12,'Staff Daily sales'!$G466:$CD466))</f>
        <v>45</v>
      </c>
      <c r="S481">
        <f>IF($E481=0,0,SUMPRODUCT($AI$13:$DF$13,'Staff Daily sales'!$G466:$CD466))</f>
        <v>2467.9499999999998</v>
      </c>
      <c r="T481">
        <f>IF($E481=0,0,SUMPRODUCT($AI$14:$DF$14,'Staff Daily sales'!$G466:$CD466))</f>
        <v>25</v>
      </c>
      <c r="U481">
        <f>IF($E481=0,0,SUMPRODUCT($AI$15:$DF$15,'Staff Daily sales'!$G466:$CD466))</f>
        <v>1529.88</v>
      </c>
      <c r="V481">
        <f>IF($E481=0,0,SUMPRODUCT($AI$16:$DF$16,'Staff Daily sales'!$G466:$CD466))</f>
        <v>8</v>
      </c>
      <c r="W481">
        <f t="shared" si="143"/>
        <v>8008.09</v>
      </c>
      <c r="X481">
        <f t="shared" si="144"/>
        <v>14455.18</v>
      </c>
      <c r="Y481">
        <f t="shared" si="145"/>
        <v>11731.11</v>
      </c>
      <c r="Z481">
        <f t="shared" si="146"/>
        <v>7692.85</v>
      </c>
      <c r="AA481">
        <f t="shared" si="147"/>
        <v>4136.9800000000005</v>
      </c>
      <c r="AB481">
        <f>--AND($E481=1,OR('Staff Weekly Trend'!$B$3="All",$DH481='Staff Weekly Trend'!$B$3),OR('Staff Weekly Trend'!$B$4="All",$D481='Staff Weekly Trend'!$B$4),OR('Staff Weekly Trend'!$B$5="All",$A481='Staff Weekly Trend'!$B$5))</f>
        <v>1</v>
      </c>
      <c r="AC481">
        <f t="shared" si="148"/>
        <v>1</v>
      </c>
      <c r="AI481">
        <f t="shared" si="149"/>
        <v>68</v>
      </c>
      <c r="AJ481">
        <f t="shared" si="150"/>
        <v>105</v>
      </c>
      <c r="AK481">
        <f t="shared" si="151"/>
        <v>95</v>
      </c>
      <c r="AL481">
        <f t="shared" si="152"/>
        <v>69</v>
      </c>
      <c r="AM481">
        <f t="shared" si="153"/>
        <v>27</v>
      </c>
      <c r="DH481" t="str" cm="1">
        <f t="array" ref="DH481">IF($A481="","",_xlfn.LET(_xlpm.c,IFERROR(_xlfn.XLOOKUP($A481,TRIM('Sales and count'!$A$4:$A$300&amp;""),TRIM('Sales and count'!$B$4:$B$300&amp;"")),""),IF(OR(_xlpm.c="",_xlpm.c="0",LEFT(_xlpm.c,1)="#"),"Not set",_xlpm.c)))</f>
        <v>KSA</v>
      </c>
    </row>
    <row r="482" spans="1:112" x14ac:dyDescent="0.25">
      <c r="A482" t="str">
        <f>IF('Staff Daily sales'!$B467="","",TRIM('Staff Daily sales'!$B467&amp;""))</f>
        <v>HAJADBUR</v>
      </c>
      <c r="B482" t="str">
        <f>IF('Staff Daily sales'!$D467="","",TRIM('Staff Daily sales'!$D467&amp;""))</f>
        <v>4545-KAlharbi</v>
      </c>
      <c r="C482" t="str">
        <f>IFERROR(TRIM('Staff Daily sales'!$E467&amp;""),"")</f>
        <v>Buraidah</v>
      </c>
      <c r="D482" t="str">
        <f>IFERROR(IF(TRIM('Staff Daily sales'!$F467&amp;"")="","Unassigned",TRIM('Staff Daily sales'!$F467&amp;"")),"Unassigned")</f>
        <v>Lina Al Ghathami</v>
      </c>
      <c r="E482">
        <f t="shared" si="138"/>
        <v>1</v>
      </c>
      <c r="F482">
        <f>IF($E482=0,0,SUMPRODUCT($AI$5:$DF$5,'Staff Daily sales'!$G467:$CD467))</f>
        <v>0</v>
      </c>
      <c r="G482">
        <f>IF($E482=0,0,SUMPRODUCT($AI$6:$DF$6,'Staff Daily sales'!$G467:$CD467))</f>
        <v>0</v>
      </c>
      <c r="H482">
        <f t="shared" si="139"/>
        <v>1639.91</v>
      </c>
      <c r="I482">
        <f t="shared" si="140"/>
        <v>13</v>
      </c>
      <c r="J482">
        <f t="shared" si="141"/>
        <v>62915.250000000007</v>
      </c>
      <c r="K482">
        <f t="shared" si="142"/>
        <v>385</v>
      </c>
      <c r="L482">
        <f>--AND($E482=1,OR('Staff Dashboard'!$B$6="All",$DH482='Staff Dashboard'!$B$6),OR('Staff Dashboard'!$B$7="All",$D482='Staff Dashboard'!$B$7),OR('Staff Dashboard'!$B$8="All",$A482='Staff Dashboard'!$B$8))</f>
        <v>0</v>
      </c>
      <c r="M482">
        <f>IF($E482=0,0,SUMPRODUCT($AI$7:$DF$7,'Staff Daily sales'!$G467:$CD467))</f>
        <v>1699.02</v>
      </c>
      <c r="N482">
        <f>IF($E482=0,0,SUMPRODUCT($AI$8:$DF$8,'Staff Daily sales'!$G467:$CD467))</f>
        <v>15</v>
      </c>
      <c r="O482">
        <f>IF($E482=0,0,SUMPRODUCT($AI$9:$DF$9,'Staff Daily sales'!$G467:$CD467))</f>
        <v>525</v>
      </c>
      <c r="P482">
        <f>IF($E482=0,0,SUMPRODUCT($AI$10:$DF$10,'Staff Daily sales'!$G467:$CD467))</f>
        <v>3</v>
      </c>
      <c r="Q482">
        <f>IF($E482=0,0,SUMPRODUCT($AI$11:$DF$11,'Staff Daily sales'!$G467:$CD467))</f>
        <v>2540.0299999999997</v>
      </c>
      <c r="R482">
        <f>IF($E482=0,0,SUMPRODUCT($AI$12:$DF$12,'Staff Daily sales'!$G467:$CD467))</f>
        <v>21</v>
      </c>
      <c r="S482">
        <f>IF($E482=0,0,SUMPRODUCT($AI$13:$DF$13,'Staff Daily sales'!$G467:$CD467))</f>
        <v>0</v>
      </c>
      <c r="T482">
        <f>IF($E482=0,0,SUMPRODUCT($AI$14:$DF$14,'Staff Daily sales'!$G467:$CD467))</f>
        <v>0</v>
      </c>
      <c r="U482">
        <f>IF($E482=0,0,SUMPRODUCT($AI$15:$DF$15,'Staff Daily sales'!$G467:$CD467))</f>
        <v>0</v>
      </c>
      <c r="V482">
        <f>IF($E482=0,0,SUMPRODUCT($AI$16:$DF$16,'Staff Daily sales'!$G467:$CD467))</f>
        <v>0</v>
      </c>
      <c r="W482">
        <f t="shared" si="143"/>
        <v>8008.09</v>
      </c>
      <c r="X482">
        <f t="shared" si="144"/>
        <v>14455.18</v>
      </c>
      <c r="Y482">
        <f t="shared" si="145"/>
        <v>11731.11</v>
      </c>
      <c r="Z482">
        <f t="shared" si="146"/>
        <v>7692.85</v>
      </c>
      <c r="AA482">
        <f t="shared" si="147"/>
        <v>4136.9800000000005</v>
      </c>
      <c r="AB482">
        <f>--AND($E482=1,OR('Staff Weekly Trend'!$B$3="All",$DH482='Staff Weekly Trend'!$B$3),OR('Staff Weekly Trend'!$B$4="All",$D482='Staff Weekly Trend'!$B$4),OR('Staff Weekly Trend'!$B$5="All",$A482='Staff Weekly Trend'!$B$5))</f>
        <v>1</v>
      </c>
      <c r="AC482" t="str">
        <f t="shared" si="148"/>
        <v/>
      </c>
      <c r="AI482">
        <f t="shared" si="149"/>
        <v>68</v>
      </c>
      <c r="AJ482">
        <f t="shared" si="150"/>
        <v>105</v>
      </c>
      <c r="AK482">
        <f t="shared" si="151"/>
        <v>95</v>
      </c>
      <c r="AL482">
        <f t="shared" si="152"/>
        <v>69</v>
      </c>
      <c r="AM482">
        <f t="shared" si="153"/>
        <v>27</v>
      </c>
      <c r="DH482" t="str" cm="1">
        <f t="array" ref="DH482">IF($A482="","",_xlfn.LET(_xlpm.c,IFERROR(_xlfn.XLOOKUP($A482,TRIM('Sales and count'!$A$4:$A$300&amp;""),TRIM('Sales and count'!$B$4:$B$300&amp;"")),""),IF(OR(_xlpm.c="",_xlpm.c="0",LEFT(_xlpm.c,1)="#"),"Not set",_xlpm.c)))</f>
        <v>KSA</v>
      </c>
    </row>
    <row r="483" spans="1:112" x14ac:dyDescent="0.25">
      <c r="A483" t="str">
        <f>IF('Staff Daily sales'!$B468="","",TRIM('Staff Daily sales'!$B468&amp;""))</f>
        <v>HAJADBUR</v>
      </c>
      <c r="B483" t="str">
        <f>IF('Staff Daily sales'!$D468="","",TRIM('Staff Daily sales'!$D468&amp;""))</f>
        <v>6061-ZAlrashidi</v>
      </c>
      <c r="C483" t="str">
        <f>IFERROR(TRIM('Staff Daily sales'!$E468&amp;""),"")</f>
        <v>Buraidah</v>
      </c>
      <c r="D483" t="str">
        <f>IFERROR(IF(TRIM('Staff Daily sales'!$F468&amp;"")="","Unassigned",TRIM('Staff Daily sales'!$F468&amp;"")),"Unassigned")</f>
        <v>Lina Al Ghathami</v>
      </c>
      <c r="E483">
        <f t="shared" si="138"/>
        <v>1</v>
      </c>
      <c r="F483">
        <f>IF($E483=0,0,SUMPRODUCT($AI$5:$DF$5,'Staff Daily sales'!$G468:$CD468))</f>
        <v>385.98</v>
      </c>
      <c r="G483">
        <f>IF($E483=0,0,SUMPRODUCT($AI$6:$DF$6,'Staff Daily sales'!$G468:$CD468))</f>
        <v>3</v>
      </c>
      <c r="H483">
        <f t="shared" si="139"/>
        <v>1639.91</v>
      </c>
      <c r="I483">
        <f t="shared" si="140"/>
        <v>13</v>
      </c>
      <c r="J483">
        <f t="shared" si="141"/>
        <v>62915.250000000007</v>
      </c>
      <c r="K483">
        <f t="shared" si="142"/>
        <v>385</v>
      </c>
      <c r="L483">
        <f>--AND($E483=1,OR('Staff Dashboard'!$B$6="All",$DH483='Staff Dashboard'!$B$6),OR('Staff Dashboard'!$B$7="All",$D483='Staff Dashboard'!$B$7),OR('Staff Dashboard'!$B$8="All",$A483='Staff Dashboard'!$B$8))</f>
        <v>0</v>
      </c>
      <c r="M483">
        <f>IF($E483=0,0,SUMPRODUCT($AI$7:$DF$7,'Staff Daily sales'!$G468:$CD468))</f>
        <v>1467.01</v>
      </c>
      <c r="N483">
        <f>IF($E483=0,0,SUMPRODUCT($AI$8:$DF$8,'Staff Daily sales'!$G468:$CD468))</f>
        <v>13</v>
      </c>
      <c r="O483">
        <f>IF($E483=0,0,SUMPRODUCT($AI$9:$DF$9,'Staff Daily sales'!$G468:$CD468))</f>
        <v>6831.130000000001</v>
      </c>
      <c r="P483">
        <f>IF($E483=0,0,SUMPRODUCT($AI$10:$DF$10,'Staff Daily sales'!$G468:$CD468))</f>
        <v>45</v>
      </c>
      <c r="Q483">
        <f>IF($E483=0,0,SUMPRODUCT($AI$11:$DF$11,'Staff Daily sales'!$G468:$CD468))</f>
        <v>3592.0299999999997</v>
      </c>
      <c r="R483">
        <f>IF($E483=0,0,SUMPRODUCT($AI$12:$DF$12,'Staff Daily sales'!$G468:$CD468))</f>
        <v>29</v>
      </c>
      <c r="S483">
        <f>IF($E483=0,0,SUMPRODUCT($AI$13:$DF$13,'Staff Daily sales'!$G468:$CD468))</f>
        <v>3234.9900000000002</v>
      </c>
      <c r="T483">
        <f>IF($E483=0,0,SUMPRODUCT($AI$14:$DF$14,'Staff Daily sales'!$G468:$CD468))</f>
        <v>28</v>
      </c>
      <c r="U483">
        <f>IF($E483=0,0,SUMPRODUCT($AI$15:$DF$15,'Staff Daily sales'!$G468:$CD468))</f>
        <v>1325.01</v>
      </c>
      <c r="V483">
        <f>IF($E483=0,0,SUMPRODUCT($AI$16:$DF$16,'Staff Daily sales'!$G468:$CD468))</f>
        <v>11</v>
      </c>
      <c r="W483">
        <f t="shared" si="143"/>
        <v>8008.09</v>
      </c>
      <c r="X483">
        <f t="shared" si="144"/>
        <v>14455.18</v>
      </c>
      <c r="Y483">
        <f t="shared" si="145"/>
        <v>11731.11</v>
      </c>
      <c r="Z483">
        <f t="shared" si="146"/>
        <v>7692.85</v>
      </c>
      <c r="AA483">
        <f t="shared" si="147"/>
        <v>4136.9800000000005</v>
      </c>
      <c r="AB483">
        <f>--AND($E483=1,OR('Staff Weekly Trend'!$B$3="All",$DH483='Staff Weekly Trend'!$B$3),OR('Staff Weekly Trend'!$B$4="All",$D483='Staff Weekly Trend'!$B$4),OR('Staff Weekly Trend'!$B$5="All",$A483='Staff Weekly Trend'!$B$5))</f>
        <v>1</v>
      </c>
      <c r="AC483">
        <f t="shared" si="148"/>
        <v>2</v>
      </c>
      <c r="AI483">
        <f t="shared" si="149"/>
        <v>68</v>
      </c>
      <c r="AJ483">
        <f t="shared" si="150"/>
        <v>105</v>
      </c>
      <c r="AK483">
        <f t="shared" si="151"/>
        <v>95</v>
      </c>
      <c r="AL483">
        <f t="shared" si="152"/>
        <v>69</v>
      </c>
      <c r="AM483">
        <f t="shared" si="153"/>
        <v>27</v>
      </c>
      <c r="DH483" t="str" cm="1">
        <f t="array" ref="DH483">IF($A483="","",_xlfn.LET(_xlpm.c,IFERROR(_xlfn.XLOOKUP($A483,TRIM('Sales and count'!$A$4:$A$300&amp;""),TRIM('Sales and count'!$B$4:$B$300&amp;"")),""),IF(OR(_xlpm.c="",_xlpm.c="0",LEFT(_xlpm.c,1)="#"),"Not set",_xlpm.c)))</f>
        <v>KSA</v>
      </c>
    </row>
    <row r="484" spans="1:112" x14ac:dyDescent="0.25">
      <c r="A484" t="str">
        <f>IF('Staff Daily sales'!$B469="","",TRIM('Staff Daily sales'!$B469&amp;""))</f>
        <v>HAKHMAVE</v>
      </c>
      <c r="B484" t="str">
        <f>IF('Staff Daily sales'!$D469="","",TRIM('Staff Daily sales'!$D469&amp;""))</f>
        <v>3420-Najla Asiri</v>
      </c>
      <c r="C484" t="str">
        <f>IFERROR(TRIM('Staff Daily sales'!$E469&amp;""),"")</f>
        <v>Khamis meshaet</v>
      </c>
      <c r="D484" t="str">
        <f>IFERROR(IF(TRIM('Staff Daily sales'!$F469&amp;"")="","Unassigned",TRIM('Staff Daily sales'!$F469&amp;"")),"Unassigned")</f>
        <v>Ahmed Jaffari</v>
      </c>
      <c r="E484">
        <f t="shared" si="138"/>
        <v>1</v>
      </c>
      <c r="F484">
        <f>IF($E484=0,0,SUMPRODUCT($AI$5:$DF$5,'Staff Daily sales'!$G469:$CD469))</f>
        <v>994.94</v>
      </c>
      <c r="G484">
        <f>IF($E484=0,0,SUMPRODUCT($AI$6:$DF$6,'Staff Daily sales'!$G469:$CD469))</f>
        <v>4</v>
      </c>
      <c r="H484">
        <f t="shared" si="139"/>
        <v>2573.8200000000002</v>
      </c>
      <c r="I484">
        <f t="shared" si="140"/>
        <v>9</v>
      </c>
      <c r="J484">
        <f t="shared" si="141"/>
        <v>44058.899999999994</v>
      </c>
      <c r="K484">
        <f t="shared" si="142"/>
        <v>244</v>
      </c>
      <c r="L484">
        <f>--AND($E484=1,OR('Staff Dashboard'!$B$6="All",$DH484='Staff Dashboard'!$B$6),OR('Staff Dashboard'!$B$7="All",$D484='Staff Dashboard'!$B$7),OR('Staff Dashboard'!$B$8="All",$A484='Staff Dashboard'!$B$8))</f>
        <v>0</v>
      </c>
      <c r="M484">
        <f>IF($E484=0,0,SUMPRODUCT($AI$7:$DF$7,'Staff Daily sales'!$G469:$CD469))</f>
        <v>0</v>
      </c>
      <c r="N484">
        <f>IF($E484=0,0,SUMPRODUCT($AI$8:$DF$8,'Staff Daily sales'!$G469:$CD469))</f>
        <v>0</v>
      </c>
      <c r="O484">
        <f>IF($E484=0,0,SUMPRODUCT($AI$9:$DF$9,'Staff Daily sales'!$G469:$CD469))</f>
        <v>2664.02</v>
      </c>
      <c r="P484">
        <f>IF($E484=0,0,SUMPRODUCT($AI$10:$DF$10,'Staff Daily sales'!$G469:$CD469))</f>
        <v>20</v>
      </c>
      <c r="Q484">
        <f>IF($E484=0,0,SUMPRODUCT($AI$11:$DF$11,'Staff Daily sales'!$G469:$CD469))</f>
        <v>1789.02</v>
      </c>
      <c r="R484">
        <f>IF($E484=0,0,SUMPRODUCT($AI$12:$DF$12,'Staff Daily sales'!$G469:$CD469))</f>
        <v>18</v>
      </c>
      <c r="S484">
        <f>IF($E484=0,0,SUMPRODUCT($AI$13:$DF$13,'Staff Daily sales'!$G469:$CD469))</f>
        <v>3258.85</v>
      </c>
      <c r="T484">
        <f>IF($E484=0,0,SUMPRODUCT($AI$14:$DF$14,'Staff Daily sales'!$G469:$CD469))</f>
        <v>20</v>
      </c>
      <c r="U484">
        <f>IF($E484=0,0,SUMPRODUCT($AI$15:$DF$15,'Staff Daily sales'!$G469:$CD469))</f>
        <v>361.02</v>
      </c>
      <c r="V484">
        <f>IF($E484=0,0,SUMPRODUCT($AI$16:$DF$16,'Staff Daily sales'!$G469:$CD469))</f>
        <v>2</v>
      </c>
      <c r="W484">
        <f t="shared" si="143"/>
        <v>8693.2599999999984</v>
      </c>
      <c r="X484">
        <f t="shared" si="144"/>
        <v>13548.28</v>
      </c>
      <c r="Y484">
        <f t="shared" si="145"/>
        <v>8880.0999999999985</v>
      </c>
      <c r="Z484">
        <f t="shared" si="146"/>
        <v>8493.67</v>
      </c>
      <c r="AA484">
        <f t="shared" si="147"/>
        <v>1748.05</v>
      </c>
      <c r="AB484">
        <f>--AND($E484=1,OR('Staff Weekly Trend'!$B$3="All",$DH484='Staff Weekly Trend'!$B$3),OR('Staff Weekly Trend'!$B$4="All",$D484='Staff Weekly Trend'!$B$4),OR('Staff Weekly Trend'!$B$5="All",$A484='Staff Weekly Trend'!$B$5))</f>
        <v>1</v>
      </c>
      <c r="AC484">
        <f t="shared" si="148"/>
        <v>2</v>
      </c>
      <c r="AI484">
        <f t="shared" si="149"/>
        <v>66</v>
      </c>
      <c r="AJ484">
        <f t="shared" si="150"/>
        <v>88</v>
      </c>
      <c r="AK484">
        <f t="shared" si="151"/>
        <v>65</v>
      </c>
      <c r="AL484">
        <f t="shared" si="152"/>
        <v>49</v>
      </c>
      <c r="AM484">
        <f t="shared" si="153"/>
        <v>11</v>
      </c>
      <c r="DH484" t="str" cm="1">
        <f t="array" ref="DH484">IF($A484="","",_xlfn.LET(_xlpm.c,IFERROR(_xlfn.XLOOKUP($A484,TRIM('Sales and count'!$A$4:$A$300&amp;""),TRIM('Sales and count'!$B$4:$B$300&amp;"")),""),IF(OR(_xlpm.c="",_xlpm.c="0",LEFT(_xlpm.c,1)="#"),"Not set",_xlpm.c)))</f>
        <v>KSA</v>
      </c>
    </row>
    <row r="485" spans="1:112" x14ac:dyDescent="0.25">
      <c r="A485" t="str">
        <f>IF('Staff Daily sales'!$B470="","",TRIM('Staff Daily sales'!$B470&amp;""))</f>
        <v>HAKHMAVE</v>
      </c>
      <c r="B485" t="str">
        <f>IF('Staff Daily sales'!$D470="","",TRIM('Staff Daily sales'!$D470&amp;""))</f>
        <v>5368-RAli</v>
      </c>
      <c r="C485" t="str">
        <f>IFERROR(TRIM('Staff Daily sales'!$E470&amp;""),"")</f>
        <v>Khamis meshaet</v>
      </c>
      <c r="D485" t="str">
        <f>IFERROR(IF(TRIM('Staff Daily sales'!$F470&amp;"")="","Unassigned",TRIM('Staff Daily sales'!$F470&amp;"")),"Unassigned")</f>
        <v>Ahmed Jaffari</v>
      </c>
      <c r="E485">
        <f t="shared" si="138"/>
        <v>1</v>
      </c>
      <c r="F485">
        <f>IF($E485=0,0,SUMPRODUCT($AI$5:$DF$5,'Staff Daily sales'!$G470:$CD470))</f>
        <v>150</v>
      </c>
      <c r="G485">
        <f>IF($E485=0,0,SUMPRODUCT($AI$6:$DF$6,'Staff Daily sales'!$G470:$CD470))</f>
        <v>1</v>
      </c>
      <c r="H485">
        <f t="shared" si="139"/>
        <v>2573.8200000000002</v>
      </c>
      <c r="I485">
        <f t="shared" si="140"/>
        <v>9</v>
      </c>
      <c r="J485">
        <f t="shared" si="141"/>
        <v>44058.899999999994</v>
      </c>
      <c r="K485">
        <f t="shared" si="142"/>
        <v>244</v>
      </c>
      <c r="L485">
        <f>--AND($E485=1,OR('Staff Dashboard'!$B$6="All",$DH485='Staff Dashboard'!$B$6),OR('Staff Dashboard'!$B$7="All",$D485='Staff Dashboard'!$B$7),OR('Staff Dashboard'!$B$8="All",$A485='Staff Dashboard'!$B$8))</f>
        <v>0</v>
      </c>
      <c r="M485">
        <f>IF($E485=0,0,SUMPRODUCT($AI$7:$DF$7,'Staff Daily sales'!$G470:$CD470))</f>
        <v>3472.1099999999997</v>
      </c>
      <c r="N485">
        <f>IF($E485=0,0,SUMPRODUCT($AI$8:$DF$8,'Staff Daily sales'!$G470:$CD470))</f>
        <v>27</v>
      </c>
      <c r="O485">
        <f>IF($E485=0,0,SUMPRODUCT($AI$9:$DF$9,'Staff Daily sales'!$G470:$CD470))</f>
        <v>3222.07</v>
      </c>
      <c r="P485">
        <f>IF($E485=0,0,SUMPRODUCT($AI$10:$DF$10,'Staff Daily sales'!$G470:$CD470))</f>
        <v>20</v>
      </c>
      <c r="Q485">
        <f>IF($E485=0,0,SUMPRODUCT($AI$11:$DF$11,'Staff Daily sales'!$G470:$CD470))</f>
        <v>3822.05</v>
      </c>
      <c r="R485">
        <f>IF($E485=0,0,SUMPRODUCT($AI$12:$DF$12,'Staff Daily sales'!$G470:$CD470))</f>
        <v>23</v>
      </c>
      <c r="S485">
        <f>IF($E485=0,0,SUMPRODUCT($AI$13:$DF$13,'Staff Daily sales'!$G470:$CD470))</f>
        <v>1486.96</v>
      </c>
      <c r="T485">
        <f>IF($E485=0,0,SUMPRODUCT($AI$14:$DF$14,'Staff Daily sales'!$G470:$CD470))</f>
        <v>9</v>
      </c>
      <c r="U485">
        <f>IF($E485=0,0,SUMPRODUCT($AI$15:$DF$15,'Staff Daily sales'!$G470:$CD470))</f>
        <v>951.05</v>
      </c>
      <c r="V485">
        <f>IF($E485=0,0,SUMPRODUCT($AI$16:$DF$16,'Staff Daily sales'!$G470:$CD470))</f>
        <v>6</v>
      </c>
      <c r="W485">
        <f t="shared" si="143"/>
        <v>8693.2599999999984</v>
      </c>
      <c r="X485">
        <f t="shared" si="144"/>
        <v>13548.28</v>
      </c>
      <c r="Y485">
        <f t="shared" si="145"/>
        <v>8880.0999999999985</v>
      </c>
      <c r="Z485">
        <f t="shared" si="146"/>
        <v>8493.67</v>
      </c>
      <c r="AA485">
        <f t="shared" si="147"/>
        <v>1748.05</v>
      </c>
      <c r="AB485">
        <f>--AND($E485=1,OR('Staff Weekly Trend'!$B$3="All",$DH485='Staff Weekly Trend'!$B$3),OR('Staff Weekly Trend'!$B$4="All",$D485='Staff Weekly Trend'!$B$4),OR('Staff Weekly Trend'!$B$5="All",$A485='Staff Weekly Trend'!$B$5))</f>
        <v>1</v>
      </c>
      <c r="AC485">
        <f t="shared" si="148"/>
        <v>3</v>
      </c>
      <c r="AI485">
        <f t="shared" si="149"/>
        <v>66</v>
      </c>
      <c r="AJ485">
        <f t="shared" si="150"/>
        <v>88</v>
      </c>
      <c r="AK485">
        <f t="shared" si="151"/>
        <v>65</v>
      </c>
      <c r="AL485">
        <f t="shared" si="152"/>
        <v>49</v>
      </c>
      <c r="AM485">
        <f t="shared" si="153"/>
        <v>11</v>
      </c>
      <c r="DH485" t="str" cm="1">
        <f t="array" ref="DH485">IF($A485="","",_xlfn.LET(_xlpm.c,IFERROR(_xlfn.XLOOKUP($A485,TRIM('Sales and count'!$A$4:$A$300&amp;""),TRIM('Sales and count'!$B$4:$B$300&amp;"")),""),IF(OR(_xlpm.c="",_xlpm.c="0",LEFT(_xlpm.c,1)="#"),"Not set",_xlpm.c)))</f>
        <v>KSA</v>
      </c>
    </row>
    <row r="486" spans="1:112" x14ac:dyDescent="0.25">
      <c r="A486" t="str">
        <f>IF('Staff Daily sales'!$B471="","",TRIM('Staff Daily sales'!$B471&amp;""))</f>
        <v>HAKHMAVE</v>
      </c>
      <c r="B486" t="str">
        <f>IF('Staff Daily sales'!$D471="","",TRIM('Staff Daily sales'!$D471&amp;""))</f>
        <v>5494-SHuraysi</v>
      </c>
      <c r="C486" t="str">
        <f>IFERROR(TRIM('Staff Daily sales'!$E471&amp;""),"")</f>
        <v>Khamis meshaet</v>
      </c>
      <c r="D486" t="str">
        <f>IFERROR(IF(TRIM('Staff Daily sales'!$F471&amp;"")="","Unassigned",TRIM('Staff Daily sales'!$F471&amp;"")),"Unassigned")</f>
        <v>Ahmed Jaffari</v>
      </c>
      <c r="E486">
        <f t="shared" si="138"/>
        <v>1</v>
      </c>
      <c r="F486">
        <f>IF($E486=0,0,SUMPRODUCT($AI$5:$DF$5,'Staff Daily sales'!$G471:$CD471))</f>
        <v>0</v>
      </c>
      <c r="G486">
        <f>IF($E486=0,0,SUMPRODUCT($AI$6:$DF$6,'Staff Daily sales'!$G471:$CD471))</f>
        <v>0</v>
      </c>
      <c r="H486">
        <f t="shared" si="139"/>
        <v>2573.8200000000002</v>
      </c>
      <c r="I486">
        <f t="shared" si="140"/>
        <v>9</v>
      </c>
      <c r="J486">
        <f t="shared" si="141"/>
        <v>44058.899999999994</v>
      </c>
      <c r="K486">
        <f t="shared" si="142"/>
        <v>244</v>
      </c>
      <c r="L486">
        <f>--AND($E486=1,OR('Staff Dashboard'!$B$6="All",$DH486='Staff Dashboard'!$B$6),OR('Staff Dashboard'!$B$7="All",$D486='Staff Dashboard'!$B$7),OR('Staff Dashboard'!$B$8="All",$A486='Staff Dashboard'!$B$8))</f>
        <v>0</v>
      </c>
      <c r="M486">
        <f>IF($E486=0,0,SUMPRODUCT($AI$7:$DF$7,'Staff Daily sales'!$G471:$CD471))</f>
        <v>1878.07</v>
      </c>
      <c r="N486">
        <f>IF($E486=0,0,SUMPRODUCT($AI$8:$DF$8,'Staff Daily sales'!$G471:$CD471))</f>
        <v>15</v>
      </c>
      <c r="O486">
        <f>IF($E486=0,0,SUMPRODUCT($AI$9:$DF$9,'Staff Daily sales'!$G471:$CD471))</f>
        <v>3910.1099999999997</v>
      </c>
      <c r="P486">
        <f>IF($E486=0,0,SUMPRODUCT($AI$10:$DF$10,'Staff Daily sales'!$G471:$CD471))</f>
        <v>25</v>
      </c>
      <c r="Q486">
        <f>IF($E486=0,0,SUMPRODUCT($AI$11:$DF$11,'Staff Daily sales'!$G471:$CD471))</f>
        <v>1753.03</v>
      </c>
      <c r="R486">
        <f>IF($E486=0,0,SUMPRODUCT($AI$12:$DF$12,'Staff Daily sales'!$G471:$CD471))</f>
        <v>12</v>
      </c>
      <c r="S486">
        <f>IF($E486=0,0,SUMPRODUCT($AI$13:$DF$13,'Staff Daily sales'!$G471:$CD471))</f>
        <v>1173</v>
      </c>
      <c r="T486">
        <f>IF($E486=0,0,SUMPRODUCT($AI$14:$DF$14,'Staff Daily sales'!$G471:$CD471))</f>
        <v>8</v>
      </c>
      <c r="U486">
        <f>IF($E486=0,0,SUMPRODUCT($AI$15:$DF$15,'Staff Daily sales'!$G471:$CD471))</f>
        <v>0</v>
      </c>
      <c r="V486">
        <f>IF($E486=0,0,SUMPRODUCT($AI$16:$DF$16,'Staff Daily sales'!$G471:$CD471))</f>
        <v>0</v>
      </c>
      <c r="W486">
        <f t="shared" si="143"/>
        <v>8693.2599999999984</v>
      </c>
      <c r="X486">
        <f t="shared" si="144"/>
        <v>13548.28</v>
      </c>
      <c r="Y486">
        <f t="shared" si="145"/>
        <v>8880.0999999999985</v>
      </c>
      <c r="Z486">
        <f t="shared" si="146"/>
        <v>8493.67</v>
      </c>
      <c r="AA486">
        <f t="shared" si="147"/>
        <v>1748.05</v>
      </c>
      <c r="AB486">
        <f>--AND($E486=1,OR('Staff Weekly Trend'!$B$3="All",$DH486='Staff Weekly Trend'!$B$3),OR('Staff Weekly Trend'!$B$4="All",$D486='Staff Weekly Trend'!$B$4),OR('Staff Weekly Trend'!$B$5="All",$A486='Staff Weekly Trend'!$B$5))</f>
        <v>1</v>
      </c>
      <c r="AC486" t="str">
        <f t="shared" si="148"/>
        <v/>
      </c>
      <c r="AI486">
        <f t="shared" si="149"/>
        <v>66</v>
      </c>
      <c r="AJ486">
        <f t="shared" si="150"/>
        <v>88</v>
      </c>
      <c r="AK486">
        <f t="shared" si="151"/>
        <v>65</v>
      </c>
      <c r="AL486">
        <f t="shared" si="152"/>
        <v>49</v>
      </c>
      <c r="AM486">
        <f t="shared" si="153"/>
        <v>11</v>
      </c>
      <c r="DH486" t="str" cm="1">
        <f t="array" ref="DH486">IF($A486="","",_xlfn.LET(_xlpm.c,IFERROR(_xlfn.XLOOKUP($A486,TRIM('Sales and count'!$A$4:$A$300&amp;""),TRIM('Sales and count'!$B$4:$B$300&amp;"")),""),IF(OR(_xlpm.c="",_xlpm.c="0",LEFT(_xlpm.c,1)="#"),"Not set",_xlpm.c)))</f>
        <v>KSA</v>
      </c>
    </row>
    <row r="487" spans="1:112" x14ac:dyDescent="0.25">
      <c r="A487" t="str">
        <f>IF('Staff Daily sales'!$B472="","",TRIM('Staff Daily sales'!$B472&amp;""))</f>
        <v>HAKHMAVE</v>
      </c>
      <c r="B487" t="str">
        <f>IF('Staff Daily sales'!$D472="","",TRIM('Staff Daily sales'!$D472&amp;""))</f>
        <v>5702-SAsiri</v>
      </c>
      <c r="C487" t="str">
        <f>IFERROR(TRIM('Staff Daily sales'!$E472&amp;""),"")</f>
        <v>Khamis meshaet</v>
      </c>
      <c r="D487" t="str">
        <f>IFERROR(IF(TRIM('Staff Daily sales'!$F472&amp;"")="","Unassigned",TRIM('Staff Daily sales'!$F472&amp;"")),"Unassigned")</f>
        <v>Ahmed Jaffari</v>
      </c>
      <c r="E487">
        <f t="shared" si="138"/>
        <v>1</v>
      </c>
      <c r="F487">
        <f>IF($E487=0,0,SUMPRODUCT($AI$5:$DF$5,'Staff Daily sales'!$G472:$CD472))</f>
        <v>1428.88</v>
      </c>
      <c r="G487">
        <f>IF($E487=0,0,SUMPRODUCT($AI$6:$DF$6,'Staff Daily sales'!$G472:$CD472))</f>
        <v>4</v>
      </c>
      <c r="H487">
        <f t="shared" si="139"/>
        <v>2573.8200000000002</v>
      </c>
      <c r="I487">
        <f t="shared" si="140"/>
        <v>9</v>
      </c>
      <c r="J487">
        <f t="shared" si="141"/>
        <v>44058.899999999994</v>
      </c>
      <c r="K487">
        <f t="shared" si="142"/>
        <v>244</v>
      </c>
      <c r="L487">
        <f>--AND($E487=1,OR('Staff Dashboard'!$B$6="All",$DH487='Staff Dashboard'!$B$6),OR('Staff Dashboard'!$B$7="All",$D487='Staff Dashboard'!$B$7),OR('Staff Dashboard'!$B$8="All",$A487='Staff Dashboard'!$B$8))</f>
        <v>0</v>
      </c>
      <c r="M487">
        <f>IF($E487=0,0,SUMPRODUCT($AI$7:$DF$7,'Staff Daily sales'!$G472:$CD472))</f>
        <v>3343.08</v>
      </c>
      <c r="N487">
        <f>IF($E487=0,0,SUMPRODUCT($AI$8:$DF$8,'Staff Daily sales'!$G472:$CD472))</f>
        <v>24</v>
      </c>
      <c r="O487">
        <f>IF($E487=0,0,SUMPRODUCT($AI$9:$DF$9,'Staff Daily sales'!$G472:$CD472))</f>
        <v>3752.08</v>
      </c>
      <c r="P487">
        <f>IF($E487=0,0,SUMPRODUCT($AI$10:$DF$10,'Staff Daily sales'!$G472:$CD472))</f>
        <v>23</v>
      </c>
      <c r="Q487">
        <f>IF($E487=0,0,SUMPRODUCT($AI$11:$DF$11,'Staff Daily sales'!$G472:$CD472))</f>
        <v>1516</v>
      </c>
      <c r="R487">
        <f>IF($E487=0,0,SUMPRODUCT($AI$12:$DF$12,'Staff Daily sales'!$G472:$CD472))</f>
        <v>12</v>
      </c>
      <c r="S487">
        <f>IF($E487=0,0,SUMPRODUCT($AI$13:$DF$13,'Staff Daily sales'!$G472:$CD472))</f>
        <v>2574.86</v>
      </c>
      <c r="T487">
        <f>IF($E487=0,0,SUMPRODUCT($AI$14:$DF$14,'Staff Daily sales'!$G472:$CD472))</f>
        <v>12</v>
      </c>
      <c r="U487">
        <f>IF($E487=0,0,SUMPRODUCT($AI$15:$DF$15,'Staff Daily sales'!$G472:$CD472))</f>
        <v>435.98</v>
      </c>
      <c r="V487">
        <f>IF($E487=0,0,SUMPRODUCT($AI$16:$DF$16,'Staff Daily sales'!$G472:$CD472))</f>
        <v>3</v>
      </c>
      <c r="W487">
        <f t="shared" si="143"/>
        <v>8693.2599999999984</v>
      </c>
      <c r="X487">
        <f t="shared" si="144"/>
        <v>13548.28</v>
      </c>
      <c r="Y487">
        <f t="shared" si="145"/>
        <v>8880.0999999999985</v>
      </c>
      <c r="Z487">
        <f t="shared" si="146"/>
        <v>8493.67</v>
      </c>
      <c r="AA487">
        <f t="shared" si="147"/>
        <v>1748.05</v>
      </c>
      <c r="AB487">
        <f>--AND($E487=1,OR('Staff Weekly Trend'!$B$3="All",$DH487='Staff Weekly Trend'!$B$3),OR('Staff Weekly Trend'!$B$4="All",$D487='Staff Weekly Trend'!$B$4),OR('Staff Weekly Trend'!$B$5="All",$A487='Staff Weekly Trend'!$B$5))</f>
        <v>1</v>
      </c>
      <c r="AC487">
        <f t="shared" si="148"/>
        <v>1</v>
      </c>
      <c r="AI487">
        <f t="shared" si="149"/>
        <v>66</v>
      </c>
      <c r="AJ487">
        <f t="shared" si="150"/>
        <v>88</v>
      </c>
      <c r="AK487">
        <f t="shared" si="151"/>
        <v>65</v>
      </c>
      <c r="AL487">
        <f t="shared" si="152"/>
        <v>49</v>
      </c>
      <c r="AM487">
        <f t="shared" si="153"/>
        <v>11</v>
      </c>
      <c r="DH487" t="str" cm="1">
        <f t="array" ref="DH487">IF($A487="","",_xlfn.LET(_xlpm.c,IFERROR(_xlfn.XLOOKUP($A487,TRIM('Sales and count'!$A$4:$A$300&amp;""),TRIM('Sales and count'!$B$4:$B$300&amp;"")),""),IF(OR(_xlpm.c="",_xlpm.c="0",LEFT(_xlpm.c,1)="#"),"Not set",_xlpm.c)))</f>
        <v>KSA</v>
      </c>
    </row>
    <row r="488" spans="1:112" x14ac:dyDescent="0.25">
      <c r="A488" t="str">
        <f>IF('Staff Daily sales'!$B473="","",TRIM('Staff Daily sales'!$B473&amp;""))</f>
        <v>HAOTHHAFR</v>
      </c>
      <c r="B488" t="str">
        <f>IF('Staff Daily sales'!$D473="","",TRIM('Staff Daily sales'!$D473&amp;""))</f>
        <v>5983-RAljameeli</v>
      </c>
      <c r="C488" t="str">
        <f>IFERROR(TRIM('Staff Daily sales'!$E473&amp;""),"")</f>
        <v>Hafer Al Batin</v>
      </c>
      <c r="D488" t="str">
        <f>IFERROR(IF(TRIM('Staff Daily sales'!$F473&amp;"")="","Unassigned",TRIM('Staff Daily sales'!$F473&amp;"")),"Unassigned")</f>
        <v>Hamzah Al Makhadam</v>
      </c>
      <c r="E488">
        <f t="shared" si="138"/>
        <v>1</v>
      </c>
      <c r="F488">
        <f>IF($E488=0,0,SUMPRODUCT($AI$5:$DF$5,'Staff Daily sales'!$G473:$CD473))</f>
        <v>1556.9</v>
      </c>
      <c r="G488">
        <f>IF($E488=0,0,SUMPRODUCT($AI$6:$DF$6,'Staff Daily sales'!$G473:$CD473))</f>
        <v>3</v>
      </c>
      <c r="H488">
        <f t="shared" si="139"/>
        <v>2739.83</v>
      </c>
      <c r="I488">
        <f t="shared" si="140"/>
        <v>9</v>
      </c>
      <c r="J488">
        <f t="shared" si="141"/>
        <v>128104.23999999996</v>
      </c>
      <c r="K488">
        <f t="shared" si="142"/>
        <v>596</v>
      </c>
      <c r="L488">
        <f>--AND($E488=1,OR('Staff Dashboard'!$B$6="All",$DH488='Staff Dashboard'!$B$6),OR('Staff Dashboard'!$B$7="All",$D488='Staff Dashboard'!$B$7),OR('Staff Dashboard'!$B$8="All",$A488='Staff Dashboard'!$B$8))</f>
        <v>0</v>
      </c>
      <c r="M488">
        <f>IF($E488=0,0,SUMPRODUCT($AI$7:$DF$7,'Staff Daily sales'!$G473:$CD473))</f>
        <v>4371.12</v>
      </c>
      <c r="N488">
        <f>IF($E488=0,0,SUMPRODUCT($AI$8:$DF$8,'Staff Daily sales'!$G473:$CD473))</f>
        <v>18</v>
      </c>
      <c r="O488">
        <f>IF($E488=0,0,SUMPRODUCT($AI$9:$DF$9,'Staff Daily sales'!$G473:$CD473))</f>
        <v>5876.1399999999994</v>
      </c>
      <c r="P488">
        <f>IF($E488=0,0,SUMPRODUCT($AI$10:$DF$10,'Staff Daily sales'!$G473:$CD473))</f>
        <v>20</v>
      </c>
      <c r="Q488">
        <f>IF($E488=0,0,SUMPRODUCT($AI$11:$DF$11,'Staff Daily sales'!$G473:$CD473))</f>
        <v>1443.04</v>
      </c>
      <c r="R488">
        <f>IF($E488=0,0,SUMPRODUCT($AI$12:$DF$12,'Staff Daily sales'!$G473:$CD473))</f>
        <v>8</v>
      </c>
      <c r="S488">
        <f>IF($E488=0,0,SUMPRODUCT($AI$13:$DF$13,'Staff Daily sales'!$G473:$CD473))</f>
        <v>5395.7199999999993</v>
      </c>
      <c r="T488">
        <f>IF($E488=0,0,SUMPRODUCT($AI$14:$DF$14,'Staff Daily sales'!$G473:$CD473))</f>
        <v>15</v>
      </c>
      <c r="U488">
        <f>IF($E488=0,0,SUMPRODUCT($AI$15:$DF$15,'Staff Daily sales'!$G473:$CD473))</f>
        <v>1758</v>
      </c>
      <c r="V488">
        <f>IF($E488=0,0,SUMPRODUCT($AI$16:$DF$16,'Staff Daily sales'!$G473:$CD473))</f>
        <v>5</v>
      </c>
      <c r="W488">
        <f t="shared" si="143"/>
        <v>15461.369999999999</v>
      </c>
      <c r="X488">
        <f t="shared" si="144"/>
        <v>16197.39</v>
      </c>
      <c r="Y488">
        <f t="shared" si="145"/>
        <v>14860.18</v>
      </c>
      <c r="Z488">
        <f t="shared" si="146"/>
        <v>14001.44</v>
      </c>
      <c r="AA488">
        <f t="shared" si="147"/>
        <v>3966.09</v>
      </c>
      <c r="AB488">
        <f>--AND($E488=1,OR('Staff Weekly Trend'!$B$3="All",$DH488='Staff Weekly Trend'!$B$3),OR('Staff Weekly Trend'!$B$4="All",$D488='Staff Weekly Trend'!$B$4),OR('Staff Weekly Trend'!$B$5="All",$A488='Staff Weekly Trend'!$B$5))</f>
        <v>1</v>
      </c>
      <c r="AC488">
        <f t="shared" si="148"/>
        <v>1</v>
      </c>
      <c r="AI488">
        <f t="shared" si="149"/>
        <v>59</v>
      </c>
      <c r="AJ488">
        <f t="shared" si="150"/>
        <v>61</v>
      </c>
      <c r="AK488">
        <f t="shared" si="151"/>
        <v>62</v>
      </c>
      <c r="AL488">
        <f t="shared" si="152"/>
        <v>47</v>
      </c>
      <c r="AM488">
        <f t="shared" si="153"/>
        <v>10</v>
      </c>
      <c r="DH488" t="str" cm="1">
        <f t="array" ref="DH488">IF($A488="","",_xlfn.LET(_xlpm.c,IFERROR(_xlfn.XLOOKUP($A488,TRIM('Sales and count'!$A$4:$A$300&amp;""),TRIM('Sales and count'!$B$4:$B$300&amp;"")),""),IF(OR(_xlpm.c="",_xlpm.c="0",LEFT(_xlpm.c,1)="#"),"Not set",_xlpm.c)))</f>
        <v>KSA</v>
      </c>
    </row>
    <row r="489" spans="1:112" x14ac:dyDescent="0.25">
      <c r="A489" t="str">
        <f>IF('Staff Daily sales'!$B474="","",TRIM('Staff Daily sales'!$B474&amp;""))</f>
        <v>HAOTHHAFR</v>
      </c>
      <c r="B489" t="str">
        <f>IF('Staff Daily sales'!$D474="","",TRIM('Staff Daily sales'!$D474&amp;""))</f>
        <v>5984-OAlkhaldi</v>
      </c>
      <c r="C489" t="str">
        <f>IFERROR(TRIM('Staff Daily sales'!$E474&amp;""),"")</f>
        <v>Hafer Al Batin</v>
      </c>
      <c r="D489" t="str">
        <f>IFERROR(IF(TRIM('Staff Daily sales'!$F474&amp;"")="","Unassigned",TRIM('Staff Daily sales'!$F474&amp;"")),"Unassigned")</f>
        <v>Hamzah Al Makhadam</v>
      </c>
      <c r="E489">
        <f t="shared" si="138"/>
        <v>1</v>
      </c>
      <c r="F489">
        <f>IF($E489=0,0,SUMPRODUCT($AI$5:$DF$5,'Staff Daily sales'!$G474:$CD474))</f>
        <v>0</v>
      </c>
      <c r="G489">
        <f>IF($E489=0,0,SUMPRODUCT($AI$6:$DF$6,'Staff Daily sales'!$G474:$CD474))</f>
        <v>0</v>
      </c>
      <c r="H489">
        <f t="shared" si="139"/>
        <v>2739.83</v>
      </c>
      <c r="I489">
        <f t="shared" si="140"/>
        <v>9</v>
      </c>
      <c r="J489">
        <f t="shared" si="141"/>
        <v>128104.23999999996</v>
      </c>
      <c r="K489">
        <f t="shared" si="142"/>
        <v>596</v>
      </c>
      <c r="L489">
        <f>--AND($E489=1,OR('Staff Dashboard'!$B$6="All",$DH489='Staff Dashboard'!$B$6),OR('Staff Dashboard'!$B$7="All",$D489='Staff Dashboard'!$B$7),OR('Staff Dashboard'!$B$8="All",$A489='Staff Dashboard'!$B$8))</f>
        <v>0</v>
      </c>
      <c r="M489">
        <f>IF($E489=0,0,SUMPRODUCT($AI$7:$DF$7,'Staff Daily sales'!$G474:$CD474))</f>
        <v>1002.03</v>
      </c>
      <c r="N489">
        <f>IF($E489=0,0,SUMPRODUCT($AI$8:$DF$8,'Staff Daily sales'!$G474:$CD474))</f>
        <v>5</v>
      </c>
      <c r="O489">
        <f>IF($E489=0,0,SUMPRODUCT($AI$9:$DF$9,'Staff Daily sales'!$G474:$CD474))</f>
        <v>0</v>
      </c>
      <c r="P489">
        <f>IF($E489=0,0,SUMPRODUCT($AI$10:$DF$10,'Staff Daily sales'!$G474:$CD474))</f>
        <v>0</v>
      </c>
      <c r="Q489">
        <f>IF($E489=0,0,SUMPRODUCT($AI$11:$DF$11,'Staff Daily sales'!$G474:$CD474))</f>
        <v>0</v>
      </c>
      <c r="R489">
        <f>IF($E489=0,0,SUMPRODUCT($AI$12:$DF$12,'Staff Daily sales'!$G474:$CD474))</f>
        <v>0</v>
      </c>
      <c r="S489">
        <f>IF($E489=0,0,SUMPRODUCT($AI$13:$DF$13,'Staff Daily sales'!$G474:$CD474))</f>
        <v>0</v>
      </c>
      <c r="T489">
        <f>IF($E489=0,0,SUMPRODUCT($AI$14:$DF$14,'Staff Daily sales'!$G474:$CD474))</f>
        <v>0</v>
      </c>
      <c r="U489">
        <f>IF($E489=0,0,SUMPRODUCT($AI$15:$DF$15,'Staff Daily sales'!$G474:$CD474))</f>
        <v>0</v>
      </c>
      <c r="V489">
        <f>IF($E489=0,0,SUMPRODUCT($AI$16:$DF$16,'Staff Daily sales'!$G474:$CD474))</f>
        <v>0</v>
      </c>
      <c r="W489">
        <f t="shared" si="143"/>
        <v>15461.369999999999</v>
      </c>
      <c r="X489">
        <f t="shared" si="144"/>
        <v>16197.39</v>
      </c>
      <c r="Y489">
        <f t="shared" si="145"/>
        <v>14860.18</v>
      </c>
      <c r="Z489">
        <f t="shared" si="146"/>
        <v>14001.44</v>
      </c>
      <c r="AA489">
        <f t="shared" si="147"/>
        <v>3966.09</v>
      </c>
      <c r="AB489">
        <f>--AND($E489=1,OR('Staff Weekly Trend'!$B$3="All",$DH489='Staff Weekly Trend'!$B$3),OR('Staff Weekly Trend'!$B$4="All",$D489='Staff Weekly Trend'!$B$4),OR('Staff Weekly Trend'!$B$5="All",$A489='Staff Weekly Trend'!$B$5))</f>
        <v>1</v>
      </c>
      <c r="AC489" t="str">
        <f t="shared" si="148"/>
        <v/>
      </c>
      <c r="AI489">
        <f t="shared" si="149"/>
        <v>59</v>
      </c>
      <c r="AJ489">
        <f t="shared" si="150"/>
        <v>61</v>
      </c>
      <c r="AK489">
        <f t="shared" si="151"/>
        <v>62</v>
      </c>
      <c r="AL489">
        <f t="shared" si="152"/>
        <v>47</v>
      </c>
      <c r="AM489">
        <f t="shared" si="153"/>
        <v>10</v>
      </c>
      <c r="DH489" t="str" cm="1">
        <f t="array" ref="DH489">IF($A489="","",_xlfn.LET(_xlpm.c,IFERROR(_xlfn.XLOOKUP($A489,TRIM('Sales and count'!$A$4:$A$300&amp;""),TRIM('Sales and count'!$B$4:$B$300&amp;"")),""),IF(OR(_xlpm.c="",_xlpm.c="0",LEFT(_xlpm.c,1)="#"),"Not set",_xlpm.c)))</f>
        <v>KSA</v>
      </c>
    </row>
    <row r="490" spans="1:112" x14ac:dyDescent="0.25">
      <c r="A490" t="str">
        <f>IF('Staff Daily sales'!$B475="","",TRIM('Staff Daily sales'!$B475&amp;""))</f>
        <v>HAOTHHAFR</v>
      </c>
      <c r="B490" t="str">
        <f>IF('Staff Daily sales'!$D475="","",TRIM('Staff Daily sales'!$D475&amp;""))</f>
        <v>5985-MAlshamari</v>
      </c>
      <c r="C490" t="str">
        <f>IFERROR(TRIM('Staff Daily sales'!$E475&amp;""),"")</f>
        <v>Hafer Al Batin</v>
      </c>
      <c r="D490" t="str">
        <f>IFERROR(IF(TRIM('Staff Daily sales'!$F475&amp;"")="","Unassigned",TRIM('Staff Daily sales'!$F475&amp;"")),"Unassigned")</f>
        <v>Hamzah Al Makhadam</v>
      </c>
      <c r="E490">
        <f t="shared" si="138"/>
        <v>1</v>
      </c>
      <c r="F490">
        <f>IF($E490=0,0,SUMPRODUCT($AI$5:$DF$5,'Staff Daily sales'!$G475:$CD475))</f>
        <v>0</v>
      </c>
      <c r="G490">
        <f>IF($E490=0,0,SUMPRODUCT($AI$6:$DF$6,'Staff Daily sales'!$G475:$CD475))</f>
        <v>0</v>
      </c>
      <c r="H490">
        <f t="shared" si="139"/>
        <v>2739.83</v>
      </c>
      <c r="I490">
        <f t="shared" si="140"/>
        <v>9</v>
      </c>
      <c r="J490">
        <f t="shared" si="141"/>
        <v>128104.23999999996</v>
      </c>
      <c r="K490">
        <f t="shared" si="142"/>
        <v>596</v>
      </c>
      <c r="L490">
        <f>--AND($E490=1,OR('Staff Dashboard'!$B$6="All",$DH490='Staff Dashboard'!$B$6),OR('Staff Dashboard'!$B$7="All",$D490='Staff Dashboard'!$B$7),OR('Staff Dashboard'!$B$8="All",$A490='Staff Dashboard'!$B$8))</f>
        <v>0</v>
      </c>
      <c r="M490">
        <f>IF($E490=0,0,SUMPRODUCT($AI$7:$DF$7,'Staff Daily sales'!$G475:$CD475))</f>
        <v>0</v>
      </c>
      <c r="N490">
        <f>IF($E490=0,0,SUMPRODUCT($AI$8:$DF$8,'Staff Daily sales'!$G475:$CD475))</f>
        <v>0</v>
      </c>
      <c r="O490">
        <f>IF($E490=0,0,SUMPRODUCT($AI$9:$DF$9,'Staff Daily sales'!$G475:$CD475))</f>
        <v>0</v>
      </c>
      <c r="P490">
        <f>IF($E490=0,0,SUMPRODUCT($AI$10:$DF$10,'Staff Daily sales'!$G475:$CD475))</f>
        <v>0</v>
      </c>
      <c r="Q490">
        <f>IF($E490=0,0,SUMPRODUCT($AI$11:$DF$11,'Staff Daily sales'!$G475:$CD475))</f>
        <v>803.03</v>
      </c>
      <c r="R490">
        <f>IF($E490=0,0,SUMPRODUCT($AI$12:$DF$12,'Staff Daily sales'!$G475:$CD475))</f>
        <v>3</v>
      </c>
      <c r="S490">
        <f>IF($E490=0,0,SUMPRODUCT($AI$13:$DF$13,'Staff Daily sales'!$G475:$CD475))</f>
        <v>899.99</v>
      </c>
      <c r="T490">
        <f>IF($E490=0,0,SUMPRODUCT($AI$14:$DF$14,'Staff Daily sales'!$G475:$CD475))</f>
        <v>4</v>
      </c>
      <c r="U490">
        <f>IF($E490=0,0,SUMPRODUCT($AI$15:$DF$15,'Staff Daily sales'!$G475:$CD475))</f>
        <v>675.02</v>
      </c>
      <c r="V490">
        <f>IF($E490=0,0,SUMPRODUCT($AI$16:$DF$16,'Staff Daily sales'!$G475:$CD475))</f>
        <v>3</v>
      </c>
      <c r="W490">
        <f t="shared" si="143"/>
        <v>15461.369999999999</v>
      </c>
      <c r="X490">
        <f t="shared" si="144"/>
        <v>16197.39</v>
      </c>
      <c r="Y490">
        <f t="shared" si="145"/>
        <v>14860.18</v>
      </c>
      <c r="Z490">
        <f t="shared" si="146"/>
        <v>14001.44</v>
      </c>
      <c r="AA490">
        <f t="shared" si="147"/>
        <v>3966.09</v>
      </c>
      <c r="AB490">
        <f>--AND($E490=1,OR('Staff Weekly Trend'!$B$3="All",$DH490='Staff Weekly Trend'!$B$3),OR('Staff Weekly Trend'!$B$4="All",$D490='Staff Weekly Trend'!$B$4),OR('Staff Weekly Trend'!$B$5="All",$A490='Staff Weekly Trend'!$B$5))</f>
        <v>1</v>
      </c>
      <c r="AC490" t="str">
        <f t="shared" si="148"/>
        <v/>
      </c>
      <c r="AI490">
        <f t="shared" si="149"/>
        <v>59</v>
      </c>
      <c r="AJ490">
        <f t="shared" si="150"/>
        <v>61</v>
      </c>
      <c r="AK490">
        <f t="shared" si="151"/>
        <v>62</v>
      </c>
      <c r="AL490">
        <f t="shared" si="152"/>
        <v>47</v>
      </c>
      <c r="AM490">
        <f t="shared" si="153"/>
        <v>10</v>
      </c>
      <c r="DH490" t="str" cm="1">
        <f t="array" ref="DH490">IF($A490="","",_xlfn.LET(_xlpm.c,IFERROR(_xlfn.XLOOKUP($A490,TRIM('Sales and count'!$A$4:$A$300&amp;""),TRIM('Sales and count'!$B$4:$B$300&amp;"")),""),IF(OR(_xlpm.c="",_xlpm.c="0",LEFT(_xlpm.c,1)="#"),"Not set",_xlpm.c)))</f>
        <v>KSA</v>
      </c>
    </row>
    <row r="491" spans="1:112" x14ac:dyDescent="0.25">
      <c r="A491" t="str">
        <f>IF('Staff Daily sales'!$B476="","",TRIM('Staff Daily sales'!$B476&amp;""))</f>
        <v>HAOTHHAFR</v>
      </c>
      <c r="B491" t="str">
        <f>IF('Staff Daily sales'!$D476="","",TRIM('Staff Daily sales'!$D476&amp;""))</f>
        <v>6062-SAlanazi</v>
      </c>
      <c r="C491" t="str">
        <f>IFERROR(TRIM('Staff Daily sales'!$E476&amp;""),"")</f>
        <v>Hafer Al Batin</v>
      </c>
      <c r="D491" t="str">
        <f>IFERROR(IF(TRIM('Staff Daily sales'!$F476&amp;"")="","Unassigned",TRIM('Staff Daily sales'!$F476&amp;"")),"Unassigned")</f>
        <v>Hamzah Al Makhadam</v>
      </c>
      <c r="E491">
        <f t="shared" si="138"/>
        <v>1</v>
      </c>
      <c r="F491">
        <f>IF($E491=0,0,SUMPRODUCT($AI$5:$DF$5,'Staff Daily sales'!$G476:$CD476))</f>
        <v>571.96</v>
      </c>
      <c r="G491">
        <f>IF($E491=0,0,SUMPRODUCT($AI$6:$DF$6,'Staff Daily sales'!$G476:$CD476))</f>
        <v>4</v>
      </c>
      <c r="H491">
        <f t="shared" si="139"/>
        <v>2739.83</v>
      </c>
      <c r="I491">
        <f t="shared" si="140"/>
        <v>9</v>
      </c>
      <c r="J491">
        <f t="shared" si="141"/>
        <v>128104.23999999996</v>
      </c>
      <c r="K491">
        <f t="shared" si="142"/>
        <v>596</v>
      </c>
      <c r="L491">
        <f>--AND($E491=1,OR('Staff Dashboard'!$B$6="All",$DH491='Staff Dashboard'!$B$6),OR('Staff Dashboard'!$B$7="All",$D491='Staff Dashboard'!$B$7),OR('Staff Dashboard'!$B$8="All",$A491='Staff Dashboard'!$B$8))</f>
        <v>0</v>
      </c>
      <c r="M491">
        <f>IF($E491=0,0,SUMPRODUCT($AI$7:$DF$7,'Staff Daily sales'!$G476:$CD476))</f>
        <v>6488.1799999999994</v>
      </c>
      <c r="N491">
        <f>IF($E491=0,0,SUMPRODUCT($AI$8:$DF$8,'Staff Daily sales'!$G476:$CD476))</f>
        <v>23</v>
      </c>
      <c r="O491">
        <f>IF($E491=0,0,SUMPRODUCT($AI$9:$DF$9,'Staff Daily sales'!$G476:$CD476))</f>
        <v>6983.22</v>
      </c>
      <c r="P491">
        <f>IF($E491=0,0,SUMPRODUCT($AI$10:$DF$10,'Staff Daily sales'!$G476:$CD476))</f>
        <v>27</v>
      </c>
      <c r="Q491">
        <f>IF($E491=0,0,SUMPRODUCT($AI$11:$DF$11,'Staff Daily sales'!$G476:$CD476))</f>
        <v>9087.08</v>
      </c>
      <c r="R491">
        <f>IF($E491=0,0,SUMPRODUCT($AI$12:$DF$12,'Staff Daily sales'!$G476:$CD476))</f>
        <v>38</v>
      </c>
      <c r="S491">
        <f>IF($E491=0,0,SUMPRODUCT($AI$13:$DF$13,'Staff Daily sales'!$G476:$CD476))</f>
        <v>5615.81</v>
      </c>
      <c r="T491">
        <f>IF($E491=0,0,SUMPRODUCT($AI$14:$DF$14,'Staff Daily sales'!$G476:$CD476))</f>
        <v>21</v>
      </c>
      <c r="U491">
        <f>IF($E491=0,0,SUMPRODUCT($AI$15:$DF$15,'Staff Daily sales'!$G476:$CD476))</f>
        <v>210.98</v>
      </c>
      <c r="V491">
        <f>IF($E491=0,0,SUMPRODUCT($AI$16:$DF$16,'Staff Daily sales'!$G476:$CD476))</f>
        <v>1</v>
      </c>
      <c r="W491">
        <f t="shared" si="143"/>
        <v>15461.369999999999</v>
      </c>
      <c r="X491">
        <f t="shared" si="144"/>
        <v>16197.39</v>
      </c>
      <c r="Y491">
        <f t="shared" si="145"/>
        <v>14860.18</v>
      </c>
      <c r="Z491">
        <f t="shared" si="146"/>
        <v>14001.44</v>
      </c>
      <c r="AA491">
        <f t="shared" si="147"/>
        <v>3966.09</v>
      </c>
      <c r="AB491">
        <f>--AND($E491=1,OR('Staff Weekly Trend'!$B$3="All",$DH491='Staff Weekly Trend'!$B$3),OR('Staff Weekly Trend'!$B$4="All",$D491='Staff Weekly Trend'!$B$4),OR('Staff Weekly Trend'!$B$5="All",$A491='Staff Weekly Trend'!$B$5))</f>
        <v>1</v>
      </c>
      <c r="AC491">
        <f t="shared" si="148"/>
        <v>3</v>
      </c>
      <c r="AI491">
        <f t="shared" si="149"/>
        <v>59</v>
      </c>
      <c r="AJ491">
        <f t="shared" si="150"/>
        <v>61</v>
      </c>
      <c r="AK491">
        <f t="shared" si="151"/>
        <v>62</v>
      </c>
      <c r="AL491">
        <f t="shared" si="152"/>
        <v>47</v>
      </c>
      <c r="AM491">
        <f t="shared" si="153"/>
        <v>10</v>
      </c>
      <c r="DH491" t="str" cm="1">
        <f t="array" ref="DH491">IF($A491="","",_xlfn.LET(_xlpm.c,IFERROR(_xlfn.XLOOKUP($A491,TRIM('Sales and count'!$A$4:$A$300&amp;""),TRIM('Sales and count'!$B$4:$B$300&amp;"")),""),IF(OR(_xlpm.c="",_xlpm.c="0",LEFT(_xlpm.c,1)="#"),"Not set",_xlpm.c)))</f>
        <v>KSA</v>
      </c>
    </row>
    <row r="492" spans="1:112" x14ac:dyDescent="0.25">
      <c r="A492" t="str">
        <f>IF('Staff Daily sales'!$B477="","",TRIM('Staff Daily sales'!$B477&amp;""))</f>
        <v>HAOTHHAFR</v>
      </c>
      <c r="B492" t="str">
        <f>IF('Staff Daily sales'!$D477="","",TRIM('Staff Daily sales'!$D477&amp;""))</f>
        <v>6199-AAlmutairi</v>
      </c>
      <c r="C492" t="str">
        <f>IFERROR(TRIM('Staff Daily sales'!$E477&amp;""),"")</f>
        <v>Hafer Al Batin</v>
      </c>
      <c r="D492" t="str">
        <f>IFERROR(IF(TRIM('Staff Daily sales'!$F477&amp;"")="","Unassigned",TRIM('Staff Daily sales'!$F477&amp;"")),"Unassigned")</f>
        <v>Hamzah Al Makhadam</v>
      </c>
      <c r="E492">
        <f t="shared" si="138"/>
        <v>1</v>
      </c>
      <c r="F492">
        <f>IF($E492=0,0,SUMPRODUCT($AI$5:$DF$5,'Staff Daily sales'!$G477:$CD477))</f>
        <v>610.97</v>
      </c>
      <c r="G492">
        <f>IF($E492=0,0,SUMPRODUCT($AI$6:$DF$6,'Staff Daily sales'!$G477:$CD477))</f>
        <v>2</v>
      </c>
      <c r="H492">
        <f t="shared" si="139"/>
        <v>2739.83</v>
      </c>
      <c r="I492">
        <f t="shared" si="140"/>
        <v>9</v>
      </c>
      <c r="J492">
        <f t="shared" si="141"/>
        <v>128104.23999999996</v>
      </c>
      <c r="K492">
        <f t="shared" si="142"/>
        <v>596</v>
      </c>
      <c r="L492">
        <f>--AND($E492=1,OR('Staff Dashboard'!$B$6="All",$DH492='Staff Dashboard'!$B$6),OR('Staff Dashboard'!$B$7="All",$D492='Staff Dashboard'!$B$7),OR('Staff Dashboard'!$B$8="All",$A492='Staff Dashboard'!$B$8))</f>
        <v>0</v>
      </c>
      <c r="M492">
        <f>IF($E492=0,0,SUMPRODUCT($AI$7:$DF$7,'Staff Daily sales'!$G477:$CD477))</f>
        <v>3600.04</v>
      </c>
      <c r="N492">
        <f>IF($E492=0,0,SUMPRODUCT($AI$8:$DF$8,'Staff Daily sales'!$G477:$CD477))</f>
        <v>13</v>
      </c>
      <c r="O492">
        <f>IF($E492=0,0,SUMPRODUCT($AI$9:$DF$9,'Staff Daily sales'!$G477:$CD477))</f>
        <v>3338.0299999999997</v>
      </c>
      <c r="P492">
        <f>IF($E492=0,0,SUMPRODUCT($AI$10:$DF$10,'Staff Daily sales'!$G477:$CD477))</f>
        <v>14</v>
      </c>
      <c r="Q492">
        <f>IF($E492=0,0,SUMPRODUCT($AI$11:$DF$11,'Staff Daily sales'!$G477:$CD477))</f>
        <v>3527.0299999999997</v>
      </c>
      <c r="R492">
        <f>IF($E492=0,0,SUMPRODUCT($AI$12:$DF$12,'Staff Daily sales'!$G477:$CD477))</f>
        <v>13</v>
      </c>
      <c r="S492">
        <f>IF($E492=0,0,SUMPRODUCT($AI$13:$DF$13,'Staff Daily sales'!$G477:$CD477))</f>
        <v>2089.92</v>
      </c>
      <c r="T492">
        <f>IF($E492=0,0,SUMPRODUCT($AI$14:$DF$14,'Staff Daily sales'!$G477:$CD477))</f>
        <v>7</v>
      </c>
      <c r="U492">
        <f>IF($E492=0,0,SUMPRODUCT($AI$15:$DF$15,'Staff Daily sales'!$G477:$CD477))</f>
        <v>1322.09</v>
      </c>
      <c r="V492">
        <f>IF($E492=0,0,SUMPRODUCT($AI$16:$DF$16,'Staff Daily sales'!$G477:$CD477))</f>
        <v>1</v>
      </c>
      <c r="W492">
        <f t="shared" si="143"/>
        <v>15461.369999999999</v>
      </c>
      <c r="X492">
        <f t="shared" si="144"/>
        <v>16197.39</v>
      </c>
      <c r="Y492">
        <f t="shared" si="145"/>
        <v>14860.18</v>
      </c>
      <c r="Z492">
        <f t="shared" si="146"/>
        <v>14001.44</v>
      </c>
      <c r="AA492">
        <f t="shared" si="147"/>
        <v>3966.09</v>
      </c>
      <c r="AB492">
        <f>--AND($E492=1,OR('Staff Weekly Trend'!$B$3="All",$DH492='Staff Weekly Trend'!$B$3),OR('Staff Weekly Trend'!$B$4="All",$D492='Staff Weekly Trend'!$B$4),OR('Staff Weekly Trend'!$B$5="All",$A492='Staff Weekly Trend'!$B$5))</f>
        <v>1</v>
      </c>
      <c r="AC492">
        <f t="shared" si="148"/>
        <v>2</v>
      </c>
      <c r="AI492">
        <f t="shared" si="149"/>
        <v>59</v>
      </c>
      <c r="AJ492">
        <f t="shared" si="150"/>
        <v>61</v>
      </c>
      <c r="AK492">
        <f t="shared" si="151"/>
        <v>62</v>
      </c>
      <c r="AL492">
        <f t="shared" si="152"/>
        <v>47</v>
      </c>
      <c r="AM492">
        <f t="shared" si="153"/>
        <v>10</v>
      </c>
      <c r="DH492" t="str" cm="1">
        <f t="array" ref="DH492">IF($A492="","",_xlfn.LET(_xlpm.c,IFERROR(_xlfn.XLOOKUP($A492,TRIM('Sales and count'!$A$4:$A$300&amp;""),TRIM('Sales and count'!$B$4:$B$300&amp;"")),""),IF(OR(_xlpm.c="",_xlpm.c="0",LEFT(_xlpm.c,1)="#"),"Not set",_xlpm.c)))</f>
        <v>KSA</v>
      </c>
    </row>
    <row r="493" spans="1:112" x14ac:dyDescent="0.25">
      <c r="A493" t="str">
        <f>IF('Staff Daily sales'!$B478="","",TRIM('Staff Daily sales'!$B478&amp;""))</f>
        <v>HAOTHARAR</v>
      </c>
      <c r="B493" t="str">
        <f>IF('Staff Daily sales'!$D478="","",TRIM('Staff Daily sales'!$D478&amp;""))</f>
        <v>5366-AAl-Juwair</v>
      </c>
      <c r="C493" t="str">
        <f>IFERROR(TRIM('Staff Daily sales'!$E478&amp;""),"")</f>
        <v>Arar</v>
      </c>
      <c r="D493" t="str">
        <f>IFERROR(IF(TRIM('Staff Daily sales'!$F478&amp;"")="","Unassigned",TRIM('Staff Daily sales'!$F478&amp;"")),"Unassigned")</f>
        <v>Mohammed Sanad</v>
      </c>
      <c r="E493">
        <f t="shared" si="138"/>
        <v>1</v>
      </c>
      <c r="F493">
        <f>IF($E493=0,0,SUMPRODUCT($AI$5:$DF$5,'Staff Daily sales'!$G478:$CD478))</f>
        <v>0</v>
      </c>
      <c r="G493">
        <f>IF($E493=0,0,SUMPRODUCT($AI$6:$DF$6,'Staff Daily sales'!$G478:$CD478))</f>
        <v>0</v>
      </c>
      <c r="H493">
        <f t="shared" si="139"/>
        <v>1049.96</v>
      </c>
      <c r="I493">
        <f t="shared" si="140"/>
        <v>9</v>
      </c>
      <c r="J493">
        <f t="shared" si="141"/>
        <v>64682.640000000014</v>
      </c>
      <c r="K493">
        <f t="shared" si="142"/>
        <v>326</v>
      </c>
      <c r="L493">
        <f>--AND($E493=1,OR('Staff Dashboard'!$B$6="All",$DH493='Staff Dashboard'!$B$6),OR('Staff Dashboard'!$B$7="All",$D493='Staff Dashboard'!$B$7),OR('Staff Dashboard'!$B$8="All",$A493='Staff Dashboard'!$B$8))</f>
        <v>0</v>
      </c>
      <c r="M493">
        <f>IF($E493=0,0,SUMPRODUCT($AI$7:$DF$7,'Staff Daily sales'!$G478:$CD478))</f>
        <v>0</v>
      </c>
      <c r="N493">
        <f>IF($E493=0,0,SUMPRODUCT($AI$8:$DF$8,'Staff Daily sales'!$G478:$CD478))</f>
        <v>0</v>
      </c>
      <c r="O493">
        <f>IF($E493=0,0,SUMPRODUCT($AI$9:$DF$9,'Staff Daily sales'!$G478:$CD478))</f>
        <v>3702.0600000000004</v>
      </c>
      <c r="P493">
        <f>IF($E493=0,0,SUMPRODUCT($AI$10:$DF$10,'Staff Daily sales'!$G478:$CD478))</f>
        <v>22</v>
      </c>
      <c r="Q493">
        <f>IF($E493=0,0,SUMPRODUCT($AI$11:$DF$11,'Staff Daily sales'!$G478:$CD478))</f>
        <v>1418.02</v>
      </c>
      <c r="R493">
        <f>IF($E493=0,0,SUMPRODUCT($AI$12:$DF$12,'Staff Daily sales'!$G478:$CD478))</f>
        <v>4</v>
      </c>
      <c r="S493">
        <f>IF($E493=0,0,SUMPRODUCT($AI$13:$DF$13,'Staff Daily sales'!$G478:$CD478))</f>
        <v>788.02</v>
      </c>
      <c r="T493">
        <f>IF($E493=0,0,SUMPRODUCT($AI$14:$DF$14,'Staff Daily sales'!$G478:$CD478))</f>
        <v>6</v>
      </c>
      <c r="U493">
        <f>IF($E493=0,0,SUMPRODUCT($AI$15:$DF$15,'Staff Daily sales'!$G478:$CD478))</f>
        <v>0</v>
      </c>
      <c r="V493">
        <f>IF($E493=0,0,SUMPRODUCT($AI$16:$DF$16,'Staff Daily sales'!$G478:$CD478))</f>
        <v>0</v>
      </c>
      <c r="W493">
        <f t="shared" si="143"/>
        <v>25314.410000000003</v>
      </c>
      <c r="X493">
        <f t="shared" si="144"/>
        <v>14239.240000000002</v>
      </c>
      <c r="Y493">
        <f t="shared" si="145"/>
        <v>14820.25</v>
      </c>
      <c r="Z493">
        <f t="shared" si="146"/>
        <v>6532.92</v>
      </c>
      <c r="AA493">
        <f t="shared" si="147"/>
        <v>1995.09</v>
      </c>
      <c r="AB493">
        <f>--AND($E493=1,OR('Staff Weekly Trend'!$B$3="All",$DH493='Staff Weekly Trend'!$B$3),OR('Staff Weekly Trend'!$B$4="All",$D493='Staff Weekly Trend'!$B$4),OR('Staff Weekly Trend'!$B$5="All",$A493='Staff Weekly Trend'!$B$5))</f>
        <v>1</v>
      </c>
      <c r="AC493" t="str">
        <f t="shared" si="148"/>
        <v/>
      </c>
      <c r="AI493">
        <f t="shared" si="149"/>
        <v>75</v>
      </c>
      <c r="AJ493">
        <f t="shared" si="150"/>
        <v>94</v>
      </c>
      <c r="AK493">
        <f t="shared" si="151"/>
        <v>83</v>
      </c>
      <c r="AL493">
        <f t="shared" si="152"/>
        <v>51</v>
      </c>
      <c r="AM493">
        <f t="shared" si="153"/>
        <v>16</v>
      </c>
      <c r="DH493" t="str" cm="1">
        <f t="array" ref="DH493">IF($A493="","",_xlfn.LET(_xlpm.c,IFERROR(_xlfn.XLOOKUP($A493,TRIM('Sales and count'!$A$4:$A$300&amp;""),TRIM('Sales and count'!$B$4:$B$300&amp;"")),""),IF(OR(_xlpm.c="",_xlpm.c="0",LEFT(_xlpm.c,1)="#"),"Not set",_xlpm.c)))</f>
        <v>KSA</v>
      </c>
    </row>
    <row r="494" spans="1:112" x14ac:dyDescent="0.25">
      <c r="A494" t="str">
        <f>IF('Staff Daily sales'!$B479="","",TRIM('Staff Daily sales'!$B479&amp;""))</f>
        <v>HAOTHARAR</v>
      </c>
      <c r="B494" t="str">
        <f>IF('Staff Daily sales'!$D479="","",TRIM('Staff Daily sales'!$D479&amp;""))</f>
        <v>5391-SAlruwaili</v>
      </c>
      <c r="C494" t="str">
        <f>IFERROR(TRIM('Staff Daily sales'!$E479&amp;""),"")</f>
        <v>Arar</v>
      </c>
      <c r="D494" t="str">
        <f>IFERROR(IF(TRIM('Staff Daily sales'!$F479&amp;"")="","Unassigned",TRIM('Staff Daily sales'!$F479&amp;"")),"Unassigned")</f>
        <v>Mohammed Sanad</v>
      </c>
      <c r="E494">
        <f t="shared" si="138"/>
        <v>1</v>
      </c>
      <c r="F494">
        <f>IF($E494=0,0,SUMPRODUCT($AI$5:$DF$5,'Staff Daily sales'!$G479:$CD479))</f>
        <v>944.96</v>
      </c>
      <c r="G494">
        <f>IF($E494=0,0,SUMPRODUCT($AI$6:$DF$6,'Staff Daily sales'!$G479:$CD479))</f>
        <v>7</v>
      </c>
      <c r="H494">
        <f t="shared" si="139"/>
        <v>1049.96</v>
      </c>
      <c r="I494">
        <f t="shared" si="140"/>
        <v>9</v>
      </c>
      <c r="J494">
        <f t="shared" si="141"/>
        <v>64682.640000000014</v>
      </c>
      <c r="K494">
        <f t="shared" si="142"/>
        <v>326</v>
      </c>
      <c r="L494">
        <f>--AND($E494=1,OR('Staff Dashboard'!$B$6="All",$DH494='Staff Dashboard'!$B$6),OR('Staff Dashboard'!$B$7="All",$D494='Staff Dashboard'!$B$7),OR('Staff Dashboard'!$B$8="All",$A494='Staff Dashboard'!$B$8))</f>
        <v>0</v>
      </c>
      <c r="M494">
        <f>IF($E494=0,0,SUMPRODUCT($AI$7:$DF$7,'Staff Daily sales'!$G479:$CD479))</f>
        <v>5671.08</v>
      </c>
      <c r="N494">
        <f>IF($E494=0,0,SUMPRODUCT($AI$8:$DF$8,'Staff Daily sales'!$G479:$CD479))</f>
        <v>47</v>
      </c>
      <c r="O494">
        <f>IF($E494=0,0,SUMPRODUCT($AI$9:$DF$9,'Staff Daily sales'!$G479:$CD479))</f>
        <v>6713.07</v>
      </c>
      <c r="P494">
        <f>IF($E494=0,0,SUMPRODUCT($AI$10:$DF$10,'Staff Daily sales'!$G479:$CD479))</f>
        <v>48</v>
      </c>
      <c r="Q494">
        <f>IF($E494=0,0,SUMPRODUCT($AI$11:$DF$11,'Staff Daily sales'!$G479:$CD479))</f>
        <v>7621.13</v>
      </c>
      <c r="R494">
        <f>IF($E494=0,0,SUMPRODUCT($AI$12:$DF$12,'Staff Daily sales'!$G479:$CD479))</f>
        <v>47</v>
      </c>
      <c r="S494">
        <f>IF($E494=0,0,SUMPRODUCT($AI$13:$DF$13,'Staff Daily sales'!$G479:$CD479))</f>
        <v>3995.93</v>
      </c>
      <c r="T494">
        <f>IF($E494=0,0,SUMPRODUCT($AI$14:$DF$14,'Staff Daily sales'!$G479:$CD479))</f>
        <v>29</v>
      </c>
      <c r="U494">
        <f>IF($E494=0,0,SUMPRODUCT($AI$15:$DF$15,'Staff Daily sales'!$G479:$CD479))</f>
        <v>773</v>
      </c>
      <c r="V494">
        <f>IF($E494=0,0,SUMPRODUCT($AI$16:$DF$16,'Staff Daily sales'!$G479:$CD479))</f>
        <v>8</v>
      </c>
      <c r="W494">
        <f t="shared" si="143"/>
        <v>25314.410000000003</v>
      </c>
      <c r="X494">
        <f t="shared" si="144"/>
        <v>14239.240000000002</v>
      </c>
      <c r="Y494">
        <f t="shared" si="145"/>
        <v>14820.25</v>
      </c>
      <c r="Z494">
        <f t="shared" si="146"/>
        <v>6532.92</v>
      </c>
      <c r="AA494">
        <f t="shared" si="147"/>
        <v>1995.09</v>
      </c>
      <c r="AB494">
        <f>--AND($E494=1,OR('Staff Weekly Trend'!$B$3="All",$DH494='Staff Weekly Trend'!$B$3),OR('Staff Weekly Trend'!$B$4="All",$D494='Staff Weekly Trend'!$B$4),OR('Staff Weekly Trend'!$B$5="All",$A494='Staff Weekly Trend'!$B$5))</f>
        <v>1</v>
      </c>
      <c r="AC494">
        <f t="shared" si="148"/>
        <v>1</v>
      </c>
      <c r="AI494">
        <f t="shared" si="149"/>
        <v>75</v>
      </c>
      <c r="AJ494">
        <f t="shared" si="150"/>
        <v>94</v>
      </c>
      <c r="AK494">
        <f t="shared" si="151"/>
        <v>83</v>
      </c>
      <c r="AL494">
        <f t="shared" si="152"/>
        <v>51</v>
      </c>
      <c r="AM494">
        <f t="shared" si="153"/>
        <v>16</v>
      </c>
      <c r="DH494" t="str" cm="1">
        <f t="array" ref="DH494">IF($A494="","",_xlfn.LET(_xlpm.c,IFERROR(_xlfn.XLOOKUP($A494,TRIM('Sales and count'!$A$4:$A$300&amp;""),TRIM('Sales and count'!$B$4:$B$300&amp;"")),""),IF(OR(_xlpm.c="",_xlpm.c="0",LEFT(_xlpm.c,1)="#"),"Not set",_xlpm.c)))</f>
        <v>KSA</v>
      </c>
    </row>
    <row r="495" spans="1:112" x14ac:dyDescent="0.25">
      <c r="A495" t="str">
        <f>IF('Staff Daily sales'!$B480="","",TRIM('Staff Daily sales'!$B480&amp;""))</f>
        <v>HAOTHARAR</v>
      </c>
      <c r="B495" t="str">
        <f>IF('Staff Daily sales'!$D480="","",TRIM('Staff Daily sales'!$D480&amp;""))</f>
        <v>6005-MAlruwaili</v>
      </c>
      <c r="C495" t="str">
        <f>IFERROR(TRIM('Staff Daily sales'!$E480&amp;""),"")</f>
        <v>Arar</v>
      </c>
      <c r="D495" t="str">
        <f>IFERROR(IF(TRIM('Staff Daily sales'!$F480&amp;"")="","Unassigned",TRIM('Staff Daily sales'!$F480&amp;"")),"Unassigned")</f>
        <v>Mohammed Sanad</v>
      </c>
      <c r="E495">
        <f t="shared" si="138"/>
        <v>1</v>
      </c>
      <c r="F495">
        <f>IF($E495=0,0,SUMPRODUCT($AI$5:$DF$5,'Staff Daily sales'!$G480:$CD480))</f>
        <v>0</v>
      </c>
      <c r="G495">
        <f>IF($E495=0,0,SUMPRODUCT($AI$6:$DF$6,'Staff Daily sales'!$G480:$CD480))</f>
        <v>0</v>
      </c>
      <c r="H495">
        <f t="shared" si="139"/>
        <v>1049.96</v>
      </c>
      <c r="I495">
        <f t="shared" si="140"/>
        <v>9</v>
      </c>
      <c r="J495">
        <f t="shared" si="141"/>
        <v>64682.640000000014</v>
      </c>
      <c r="K495">
        <f t="shared" si="142"/>
        <v>326</v>
      </c>
      <c r="L495">
        <f>--AND($E495=1,OR('Staff Dashboard'!$B$6="All",$DH495='Staff Dashboard'!$B$6),OR('Staff Dashboard'!$B$7="All",$D495='Staff Dashboard'!$B$7),OR('Staff Dashboard'!$B$8="All",$A495='Staff Dashboard'!$B$8))</f>
        <v>0</v>
      </c>
      <c r="M495">
        <f>IF($E495=0,0,SUMPRODUCT($AI$7:$DF$7,'Staff Daily sales'!$G480:$CD480))</f>
        <v>19643.330000000002</v>
      </c>
      <c r="N495">
        <f>IF($E495=0,0,SUMPRODUCT($AI$8:$DF$8,'Staff Daily sales'!$G480:$CD480))</f>
        <v>28</v>
      </c>
      <c r="O495">
        <f>IF($E495=0,0,SUMPRODUCT($AI$9:$DF$9,'Staff Daily sales'!$G480:$CD480))</f>
        <v>3824.11</v>
      </c>
      <c r="P495">
        <f>IF($E495=0,0,SUMPRODUCT($AI$10:$DF$10,'Staff Daily sales'!$G480:$CD480))</f>
        <v>24</v>
      </c>
      <c r="Q495">
        <f>IF($E495=0,0,SUMPRODUCT($AI$11:$DF$11,'Staff Daily sales'!$G480:$CD480))</f>
        <v>5781.1</v>
      </c>
      <c r="R495">
        <f>IF($E495=0,0,SUMPRODUCT($AI$12:$DF$12,'Staff Daily sales'!$G480:$CD480))</f>
        <v>32</v>
      </c>
      <c r="S495">
        <f>IF($E495=0,0,SUMPRODUCT($AI$13:$DF$13,'Staff Daily sales'!$G480:$CD480))</f>
        <v>1395.99</v>
      </c>
      <c r="T495">
        <f>IF($E495=0,0,SUMPRODUCT($AI$14:$DF$14,'Staff Daily sales'!$G480:$CD480))</f>
        <v>12</v>
      </c>
      <c r="U495">
        <f>IF($E495=0,0,SUMPRODUCT($AI$15:$DF$15,'Staff Daily sales'!$G480:$CD480))</f>
        <v>1222.0899999999999</v>
      </c>
      <c r="V495">
        <f>IF($E495=0,0,SUMPRODUCT($AI$16:$DF$16,'Staff Daily sales'!$G480:$CD480))</f>
        <v>8</v>
      </c>
      <c r="W495">
        <f t="shared" si="143"/>
        <v>25314.410000000003</v>
      </c>
      <c r="X495">
        <f t="shared" si="144"/>
        <v>14239.240000000002</v>
      </c>
      <c r="Y495">
        <f t="shared" si="145"/>
        <v>14820.25</v>
      </c>
      <c r="Z495">
        <f t="shared" si="146"/>
        <v>6532.92</v>
      </c>
      <c r="AA495">
        <f t="shared" si="147"/>
        <v>1995.09</v>
      </c>
      <c r="AB495">
        <f>--AND($E495=1,OR('Staff Weekly Trend'!$B$3="All",$DH495='Staff Weekly Trend'!$B$3),OR('Staff Weekly Trend'!$B$4="All",$D495='Staff Weekly Trend'!$B$4),OR('Staff Weekly Trend'!$B$5="All",$A495='Staff Weekly Trend'!$B$5))</f>
        <v>1</v>
      </c>
      <c r="AC495" t="str">
        <f t="shared" si="148"/>
        <v/>
      </c>
      <c r="AI495">
        <f t="shared" si="149"/>
        <v>75</v>
      </c>
      <c r="AJ495">
        <f t="shared" si="150"/>
        <v>94</v>
      </c>
      <c r="AK495">
        <f t="shared" si="151"/>
        <v>83</v>
      </c>
      <c r="AL495">
        <f t="shared" si="152"/>
        <v>51</v>
      </c>
      <c r="AM495">
        <f t="shared" si="153"/>
        <v>16</v>
      </c>
      <c r="DH495" t="str" cm="1">
        <f t="array" ref="DH495">IF($A495="","",_xlfn.LET(_xlpm.c,IFERROR(_xlfn.XLOOKUP($A495,TRIM('Sales and count'!$A$4:$A$300&amp;""),TRIM('Sales and count'!$B$4:$B$300&amp;"")),""),IF(OR(_xlpm.c="",_xlpm.c="0",LEFT(_xlpm.c,1)="#"),"Not set",_xlpm.c)))</f>
        <v>KSA</v>
      </c>
    </row>
    <row r="496" spans="1:112" x14ac:dyDescent="0.25">
      <c r="A496" t="str">
        <f>IF('Staff Daily sales'!$B481="","",TRIM('Staff Daily sales'!$B481&amp;""))</f>
        <v>HAOTHONZAH</v>
      </c>
      <c r="B496" t="str">
        <f>IF('Staff Daily sales'!$D481="","",TRIM('Staff Daily sales'!$D481&amp;""))</f>
        <v>4418-AAlsahlan</v>
      </c>
      <c r="C496" t="str">
        <f>IFERROR(TRIM('Staff Daily sales'!$E481&amp;""),"")</f>
        <v>Onaizah</v>
      </c>
      <c r="D496" t="str">
        <f>IFERROR(IF(TRIM('Staff Daily sales'!$F481&amp;"")="","Unassigned",TRIM('Staff Daily sales'!$F481&amp;"")),"Unassigned")</f>
        <v>Lina Al Ghathami</v>
      </c>
      <c r="E496">
        <f t="shared" si="138"/>
        <v>1</v>
      </c>
      <c r="F496">
        <f>IF($E496=0,0,SUMPRODUCT($AI$5:$DF$5,'Staff Daily sales'!$G481:$CD481))</f>
        <v>0</v>
      </c>
      <c r="G496">
        <f>IF($E496=0,0,SUMPRODUCT($AI$6:$DF$6,'Staff Daily sales'!$G481:$CD481))</f>
        <v>0</v>
      </c>
      <c r="H496">
        <f t="shared" si="139"/>
        <v>1877.98</v>
      </c>
      <c r="I496">
        <f t="shared" si="140"/>
        <v>13</v>
      </c>
      <c r="J496">
        <f t="shared" si="141"/>
        <v>62915.250000000007</v>
      </c>
      <c r="K496">
        <f t="shared" si="142"/>
        <v>385</v>
      </c>
      <c r="L496">
        <f>--AND($E496=1,OR('Staff Dashboard'!$B$6="All",$DH496='Staff Dashboard'!$B$6),OR('Staff Dashboard'!$B$7="All",$D496='Staff Dashboard'!$B$7),OR('Staff Dashboard'!$B$8="All",$A496='Staff Dashboard'!$B$8))</f>
        <v>0</v>
      </c>
      <c r="M496">
        <f>IF($E496=0,0,SUMPRODUCT($AI$7:$DF$7,'Staff Daily sales'!$G481:$CD481))</f>
        <v>1620.04</v>
      </c>
      <c r="N496">
        <f>IF($E496=0,0,SUMPRODUCT($AI$8:$DF$8,'Staff Daily sales'!$G481:$CD481))</f>
        <v>13</v>
      </c>
      <c r="O496">
        <f>IF($E496=0,0,SUMPRODUCT($AI$9:$DF$9,'Staff Daily sales'!$G481:$CD481))</f>
        <v>150.01</v>
      </c>
      <c r="P496">
        <f>IF($E496=0,0,SUMPRODUCT($AI$10:$DF$10,'Staff Daily sales'!$G481:$CD481))</f>
        <v>1</v>
      </c>
      <c r="Q496">
        <f>IF($E496=0,0,SUMPRODUCT($AI$11:$DF$11,'Staff Daily sales'!$G481:$CD481))</f>
        <v>1211.01</v>
      </c>
      <c r="R496">
        <f>IF($E496=0,0,SUMPRODUCT($AI$12:$DF$12,'Staff Daily sales'!$G481:$CD481))</f>
        <v>7</v>
      </c>
      <c r="S496">
        <f>IF($E496=0,0,SUMPRODUCT($AI$13:$DF$13,'Staff Daily sales'!$G481:$CD481))</f>
        <v>1450.98</v>
      </c>
      <c r="T496">
        <f>IF($E496=0,0,SUMPRODUCT($AI$14:$DF$14,'Staff Daily sales'!$G481:$CD481))</f>
        <v>11</v>
      </c>
      <c r="U496">
        <f>IF($E496=0,0,SUMPRODUCT($AI$15:$DF$15,'Staff Daily sales'!$G481:$CD481))</f>
        <v>1664.03</v>
      </c>
      <c r="V496">
        <f>IF($E496=0,0,SUMPRODUCT($AI$16:$DF$16,'Staff Daily sales'!$G481:$CD481))</f>
        <v>12</v>
      </c>
      <c r="W496">
        <f t="shared" si="143"/>
        <v>12294.15</v>
      </c>
      <c r="X496">
        <f t="shared" si="144"/>
        <v>16963.21</v>
      </c>
      <c r="Y496">
        <f t="shared" si="145"/>
        <v>12624.2</v>
      </c>
      <c r="Z496">
        <f t="shared" si="146"/>
        <v>12897.82</v>
      </c>
      <c r="AA496">
        <f t="shared" si="147"/>
        <v>2989.99</v>
      </c>
      <c r="AB496">
        <f>--AND($E496=1,OR('Staff Weekly Trend'!$B$3="All",$DH496='Staff Weekly Trend'!$B$3),OR('Staff Weekly Trend'!$B$4="All",$D496='Staff Weekly Trend'!$B$4),OR('Staff Weekly Trend'!$B$5="All",$A496='Staff Weekly Trend'!$B$5))</f>
        <v>1</v>
      </c>
      <c r="AC496" t="str">
        <f t="shared" si="148"/>
        <v/>
      </c>
      <c r="AI496">
        <f t="shared" si="149"/>
        <v>98</v>
      </c>
      <c r="AJ496">
        <f t="shared" si="150"/>
        <v>112</v>
      </c>
      <c r="AK496">
        <f t="shared" si="151"/>
        <v>94</v>
      </c>
      <c r="AL496">
        <f t="shared" si="152"/>
        <v>90</v>
      </c>
      <c r="AM496">
        <f t="shared" si="153"/>
        <v>22</v>
      </c>
      <c r="DH496" t="str" cm="1">
        <f t="array" ref="DH496">IF($A496="","",_xlfn.LET(_xlpm.c,IFERROR(_xlfn.XLOOKUP($A496,TRIM('Sales and count'!$A$4:$A$300&amp;""),TRIM('Sales and count'!$B$4:$B$300&amp;"")),""),IF(OR(_xlpm.c="",_xlpm.c="0",LEFT(_xlpm.c,1)="#"),"Not set",_xlpm.c)))</f>
        <v>KSA</v>
      </c>
    </row>
    <row r="497" spans="1:112" x14ac:dyDescent="0.25">
      <c r="A497" t="str">
        <f>IF('Staff Daily sales'!$B482="","",TRIM('Staff Daily sales'!$B482&amp;""))</f>
        <v>HAOTHONZAH</v>
      </c>
      <c r="B497" t="str">
        <f>IF('Staff Daily sales'!$D482="","",TRIM('Staff Daily sales'!$D482&amp;""))</f>
        <v>4866-EAlmutari</v>
      </c>
      <c r="C497" t="str">
        <f>IFERROR(TRIM('Staff Daily sales'!$E482&amp;""),"")</f>
        <v>Onaizah</v>
      </c>
      <c r="D497" t="str">
        <f>IFERROR(IF(TRIM('Staff Daily sales'!$F482&amp;"")="","Unassigned",TRIM('Staff Daily sales'!$F482&amp;"")),"Unassigned")</f>
        <v>Lina Al Ghathami</v>
      </c>
      <c r="E497">
        <f t="shared" si="138"/>
        <v>1</v>
      </c>
      <c r="F497">
        <f>IF($E497=0,0,SUMPRODUCT($AI$5:$DF$5,'Staff Daily sales'!$G482:$CD482))</f>
        <v>0</v>
      </c>
      <c r="G497">
        <f>IF($E497=0,0,SUMPRODUCT($AI$6:$DF$6,'Staff Daily sales'!$G482:$CD482))</f>
        <v>0</v>
      </c>
      <c r="H497">
        <f t="shared" si="139"/>
        <v>1877.98</v>
      </c>
      <c r="I497">
        <f t="shared" si="140"/>
        <v>13</v>
      </c>
      <c r="J497">
        <f t="shared" si="141"/>
        <v>62915.250000000007</v>
      </c>
      <c r="K497">
        <f t="shared" si="142"/>
        <v>385</v>
      </c>
      <c r="L497">
        <f>--AND($E497=1,OR('Staff Dashboard'!$B$6="All",$DH497='Staff Dashboard'!$B$6),OR('Staff Dashboard'!$B$7="All",$D497='Staff Dashboard'!$B$7),OR('Staff Dashboard'!$B$8="All",$A497='Staff Dashboard'!$B$8))</f>
        <v>0</v>
      </c>
      <c r="M497">
        <f>IF($E497=0,0,SUMPRODUCT($AI$7:$DF$7,'Staff Daily sales'!$G482:$CD482))</f>
        <v>2225.0299999999997</v>
      </c>
      <c r="N497">
        <f>IF($E497=0,0,SUMPRODUCT($AI$8:$DF$8,'Staff Daily sales'!$G482:$CD482))</f>
        <v>24</v>
      </c>
      <c r="O497">
        <f>IF($E497=0,0,SUMPRODUCT($AI$9:$DF$9,'Staff Daily sales'!$G482:$CD482))</f>
        <v>6980.08</v>
      </c>
      <c r="P497">
        <f>IF($E497=0,0,SUMPRODUCT($AI$10:$DF$10,'Staff Daily sales'!$G482:$CD482))</f>
        <v>41</v>
      </c>
      <c r="Q497">
        <f>IF($E497=0,0,SUMPRODUCT($AI$11:$DF$11,'Staff Daily sales'!$G482:$CD482))</f>
        <v>2421.04</v>
      </c>
      <c r="R497">
        <f>IF($E497=0,0,SUMPRODUCT($AI$12:$DF$12,'Staff Daily sales'!$G482:$CD482))</f>
        <v>18</v>
      </c>
      <c r="S497">
        <f>IF($E497=0,0,SUMPRODUCT($AI$13:$DF$13,'Staff Daily sales'!$G482:$CD482))</f>
        <v>6512.85</v>
      </c>
      <c r="T497">
        <f>IF($E497=0,0,SUMPRODUCT($AI$14:$DF$14,'Staff Daily sales'!$G482:$CD482))</f>
        <v>40</v>
      </c>
      <c r="U497">
        <f>IF($E497=0,0,SUMPRODUCT($AI$15:$DF$15,'Staff Daily sales'!$G482:$CD482))</f>
        <v>0</v>
      </c>
      <c r="V497">
        <f>IF($E497=0,0,SUMPRODUCT($AI$16:$DF$16,'Staff Daily sales'!$G482:$CD482))</f>
        <v>0</v>
      </c>
      <c r="W497">
        <f t="shared" si="143"/>
        <v>12294.15</v>
      </c>
      <c r="X497">
        <f t="shared" si="144"/>
        <v>16963.21</v>
      </c>
      <c r="Y497">
        <f t="shared" si="145"/>
        <v>12624.2</v>
      </c>
      <c r="Z497">
        <f t="shared" si="146"/>
        <v>12897.82</v>
      </c>
      <c r="AA497">
        <f t="shared" si="147"/>
        <v>2989.99</v>
      </c>
      <c r="AB497">
        <f>--AND($E497=1,OR('Staff Weekly Trend'!$B$3="All",$DH497='Staff Weekly Trend'!$B$3),OR('Staff Weekly Trend'!$B$4="All",$D497='Staff Weekly Trend'!$B$4),OR('Staff Weekly Trend'!$B$5="All",$A497='Staff Weekly Trend'!$B$5))</f>
        <v>1</v>
      </c>
      <c r="AC497" t="str">
        <f t="shared" si="148"/>
        <v/>
      </c>
      <c r="AI497">
        <f t="shared" si="149"/>
        <v>98</v>
      </c>
      <c r="AJ497">
        <f t="shared" si="150"/>
        <v>112</v>
      </c>
      <c r="AK497">
        <f t="shared" si="151"/>
        <v>94</v>
      </c>
      <c r="AL497">
        <f t="shared" si="152"/>
        <v>90</v>
      </c>
      <c r="AM497">
        <f t="shared" si="153"/>
        <v>22</v>
      </c>
      <c r="DH497" t="str" cm="1">
        <f t="array" ref="DH497">IF($A497="","",_xlfn.LET(_xlpm.c,IFERROR(_xlfn.XLOOKUP($A497,TRIM('Sales and count'!$A$4:$A$300&amp;""),TRIM('Sales and count'!$B$4:$B$300&amp;"")),""),IF(OR(_xlpm.c="",_xlpm.c="0",LEFT(_xlpm.c,1)="#"),"Not set",_xlpm.c)))</f>
        <v>KSA</v>
      </c>
    </row>
    <row r="498" spans="1:112" x14ac:dyDescent="0.25">
      <c r="A498" t="str">
        <f>IF('Staff Daily sales'!$B483="","",TRIM('Staff Daily sales'!$B483&amp;""))</f>
        <v>HAOTHONZAH</v>
      </c>
      <c r="B498" t="str">
        <f>IF('Staff Daily sales'!$D483="","",TRIM('Staff Daily sales'!$D483&amp;""))</f>
        <v>6053-AAlhreqi</v>
      </c>
      <c r="C498" t="str">
        <f>IFERROR(TRIM('Staff Daily sales'!$E483&amp;""),"")</f>
        <v>Onaizah</v>
      </c>
      <c r="D498" t="str">
        <f>IFERROR(IF(TRIM('Staff Daily sales'!$F483&amp;"")="","Unassigned",TRIM('Staff Daily sales'!$F483&amp;"")),"Unassigned")</f>
        <v>Lina Al Ghathami</v>
      </c>
      <c r="E498">
        <f t="shared" si="138"/>
        <v>1</v>
      </c>
      <c r="F498">
        <f>IF($E498=0,0,SUMPRODUCT($AI$5:$DF$5,'Staff Daily sales'!$G483:$CD483))</f>
        <v>1543.98</v>
      </c>
      <c r="G498">
        <f>IF($E498=0,0,SUMPRODUCT($AI$6:$DF$6,'Staff Daily sales'!$G483:$CD483))</f>
        <v>10</v>
      </c>
      <c r="H498">
        <f t="shared" si="139"/>
        <v>1877.98</v>
      </c>
      <c r="I498">
        <f t="shared" si="140"/>
        <v>13</v>
      </c>
      <c r="J498">
        <f t="shared" si="141"/>
        <v>62915.250000000007</v>
      </c>
      <c r="K498">
        <f t="shared" si="142"/>
        <v>385</v>
      </c>
      <c r="L498">
        <f>--AND($E498=1,OR('Staff Dashboard'!$B$6="All",$DH498='Staff Dashboard'!$B$6),OR('Staff Dashboard'!$B$7="All",$D498='Staff Dashboard'!$B$7),OR('Staff Dashboard'!$B$8="All",$A498='Staff Dashboard'!$B$8))</f>
        <v>0</v>
      </c>
      <c r="M498">
        <f>IF($E498=0,0,SUMPRODUCT($AI$7:$DF$7,'Staff Daily sales'!$G483:$CD483))</f>
        <v>2143.04</v>
      </c>
      <c r="N498">
        <f>IF($E498=0,0,SUMPRODUCT($AI$8:$DF$8,'Staff Daily sales'!$G483:$CD483))</f>
        <v>18</v>
      </c>
      <c r="O498">
        <f>IF($E498=0,0,SUMPRODUCT($AI$9:$DF$9,'Staff Daily sales'!$G483:$CD483))</f>
        <v>8586.1</v>
      </c>
      <c r="P498">
        <f>IF($E498=0,0,SUMPRODUCT($AI$10:$DF$10,'Staff Daily sales'!$G483:$CD483))</f>
        <v>61</v>
      </c>
      <c r="Q498">
        <f>IF($E498=0,0,SUMPRODUCT($AI$11:$DF$11,'Staff Daily sales'!$G483:$CD483))</f>
        <v>4092.0699999999997</v>
      </c>
      <c r="R498">
        <f>IF($E498=0,0,SUMPRODUCT($AI$12:$DF$12,'Staff Daily sales'!$G483:$CD483))</f>
        <v>29</v>
      </c>
      <c r="S498">
        <f>IF($E498=0,0,SUMPRODUCT($AI$13:$DF$13,'Staff Daily sales'!$G483:$CD483))</f>
        <v>3037.01</v>
      </c>
      <c r="T498">
        <f>IF($E498=0,0,SUMPRODUCT($AI$14:$DF$14,'Staff Daily sales'!$G483:$CD483))</f>
        <v>24</v>
      </c>
      <c r="U498">
        <f>IF($E498=0,0,SUMPRODUCT($AI$15:$DF$15,'Staff Daily sales'!$G483:$CD483))</f>
        <v>579.96</v>
      </c>
      <c r="V498">
        <f>IF($E498=0,0,SUMPRODUCT($AI$16:$DF$16,'Staff Daily sales'!$G483:$CD483))</f>
        <v>3</v>
      </c>
      <c r="W498">
        <f t="shared" si="143"/>
        <v>12294.15</v>
      </c>
      <c r="X498">
        <f t="shared" si="144"/>
        <v>16963.21</v>
      </c>
      <c r="Y498">
        <f t="shared" si="145"/>
        <v>12624.2</v>
      </c>
      <c r="Z498">
        <f t="shared" si="146"/>
        <v>12897.82</v>
      </c>
      <c r="AA498">
        <f t="shared" si="147"/>
        <v>2989.99</v>
      </c>
      <c r="AB498">
        <f>--AND($E498=1,OR('Staff Weekly Trend'!$B$3="All",$DH498='Staff Weekly Trend'!$B$3),OR('Staff Weekly Trend'!$B$4="All",$D498='Staff Weekly Trend'!$B$4),OR('Staff Weekly Trend'!$B$5="All",$A498='Staff Weekly Trend'!$B$5))</f>
        <v>1</v>
      </c>
      <c r="AC498">
        <f t="shared" si="148"/>
        <v>1</v>
      </c>
      <c r="AI498">
        <f t="shared" si="149"/>
        <v>98</v>
      </c>
      <c r="AJ498">
        <f t="shared" si="150"/>
        <v>112</v>
      </c>
      <c r="AK498">
        <f t="shared" si="151"/>
        <v>94</v>
      </c>
      <c r="AL498">
        <f t="shared" si="152"/>
        <v>90</v>
      </c>
      <c r="AM498">
        <f t="shared" si="153"/>
        <v>22</v>
      </c>
      <c r="DH498" t="str" cm="1">
        <f t="array" ref="DH498">IF($A498="","",_xlfn.LET(_xlpm.c,IFERROR(_xlfn.XLOOKUP($A498,TRIM('Sales and count'!$A$4:$A$300&amp;""),TRIM('Sales and count'!$B$4:$B$300&amp;"")),""),IF(OR(_xlpm.c="",_xlpm.c="0",LEFT(_xlpm.c,1)="#"),"Not set",_xlpm.c)))</f>
        <v>KSA</v>
      </c>
    </row>
    <row r="499" spans="1:112" x14ac:dyDescent="0.25">
      <c r="A499" t="str">
        <f>IF('Staff Daily sales'!$B484="","",TRIM('Staff Daily sales'!$B484&amp;""))</f>
        <v>HAOTHONZAH</v>
      </c>
      <c r="B499" t="str">
        <f>IF('Staff Daily sales'!$D484="","",TRIM('Staff Daily sales'!$D484&amp;""))</f>
        <v>6060-AALMUTAIRI</v>
      </c>
      <c r="C499" t="str">
        <f>IFERROR(TRIM('Staff Daily sales'!$E484&amp;""),"")</f>
        <v>Onaizah</v>
      </c>
      <c r="D499" t="str">
        <f>IFERROR(IF(TRIM('Staff Daily sales'!$F484&amp;"")="","Unassigned",TRIM('Staff Daily sales'!$F484&amp;"")),"Unassigned")</f>
        <v>Lina Al Ghathami</v>
      </c>
      <c r="E499">
        <f t="shared" si="138"/>
        <v>1</v>
      </c>
      <c r="F499">
        <f>IF($E499=0,0,SUMPRODUCT($AI$5:$DF$5,'Staff Daily sales'!$G484:$CD484))</f>
        <v>334</v>
      </c>
      <c r="G499">
        <f>IF($E499=0,0,SUMPRODUCT($AI$6:$DF$6,'Staff Daily sales'!$G484:$CD484))</f>
        <v>3</v>
      </c>
      <c r="H499">
        <f t="shared" si="139"/>
        <v>1877.98</v>
      </c>
      <c r="I499">
        <f t="shared" si="140"/>
        <v>13</v>
      </c>
      <c r="J499">
        <f t="shared" si="141"/>
        <v>62915.250000000007</v>
      </c>
      <c r="K499">
        <f t="shared" si="142"/>
        <v>385</v>
      </c>
      <c r="L499">
        <f>--AND($E499=1,OR('Staff Dashboard'!$B$6="All",$DH499='Staff Dashboard'!$B$6),OR('Staff Dashboard'!$B$7="All",$D499='Staff Dashboard'!$B$7),OR('Staff Dashboard'!$B$8="All",$A499='Staff Dashboard'!$B$8))</f>
        <v>0</v>
      </c>
      <c r="M499">
        <f>IF($E499=0,0,SUMPRODUCT($AI$7:$DF$7,'Staff Daily sales'!$G484:$CD484))</f>
        <v>6306.04</v>
      </c>
      <c r="N499">
        <f>IF($E499=0,0,SUMPRODUCT($AI$8:$DF$8,'Staff Daily sales'!$G484:$CD484))</f>
        <v>43</v>
      </c>
      <c r="O499">
        <f>IF($E499=0,0,SUMPRODUCT($AI$9:$DF$9,'Staff Daily sales'!$G484:$CD484))</f>
        <v>1247.02</v>
      </c>
      <c r="P499">
        <f>IF($E499=0,0,SUMPRODUCT($AI$10:$DF$10,'Staff Daily sales'!$G484:$CD484))</f>
        <v>9</v>
      </c>
      <c r="Q499">
        <f>IF($E499=0,0,SUMPRODUCT($AI$11:$DF$11,'Staff Daily sales'!$G484:$CD484))</f>
        <v>4900.0800000000008</v>
      </c>
      <c r="R499">
        <f>IF($E499=0,0,SUMPRODUCT($AI$12:$DF$12,'Staff Daily sales'!$G484:$CD484))</f>
        <v>40</v>
      </c>
      <c r="S499">
        <f>IF($E499=0,0,SUMPRODUCT($AI$13:$DF$13,'Staff Daily sales'!$G484:$CD484))</f>
        <v>1896.98</v>
      </c>
      <c r="T499">
        <f>IF($E499=0,0,SUMPRODUCT($AI$14:$DF$14,'Staff Daily sales'!$G484:$CD484))</f>
        <v>15</v>
      </c>
      <c r="U499">
        <f>IF($E499=0,0,SUMPRODUCT($AI$15:$DF$15,'Staff Daily sales'!$G484:$CD484))</f>
        <v>746</v>
      </c>
      <c r="V499">
        <f>IF($E499=0,0,SUMPRODUCT($AI$16:$DF$16,'Staff Daily sales'!$G484:$CD484))</f>
        <v>7</v>
      </c>
      <c r="W499">
        <f t="shared" si="143"/>
        <v>12294.15</v>
      </c>
      <c r="X499">
        <f t="shared" si="144"/>
        <v>16963.21</v>
      </c>
      <c r="Y499">
        <f t="shared" si="145"/>
        <v>12624.2</v>
      </c>
      <c r="Z499">
        <f t="shared" si="146"/>
        <v>12897.82</v>
      </c>
      <c r="AA499">
        <f t="shared" si="147"/>
        <v>2989.99</v>
      </c>
      <c r="AB499">
        <f>--AND($E499=1,OR('Staff Weekly Trend'!$B$3="All",$DH499='Staff Weekly Trend'!$B$3),OR('Staff Weekly Trend'!$B$4="All",$D499='Staff Weekly Trend'!$B$4),OR('Staff Weekly Trend'!$B$5="All",$A499='Staff Weekly Trend'!$B$5))</f>
        <v>1</v>
      </c>
      <c r="AC499">
        <f t="shared" si="148"/>
        <v>2</v>
      </c>
      <c r="AI499">
        <f t="shared" si="149"/>
        <v>98</v>
      </c>
      <c r="AJ499">
        <f t="shared" si="150"/>
        <v>112</v>
      </c>
      <c r="AK499">
        <f t="shared" si="151"/>
        <v>94</v>
      </c>
      <c r="AL499">
        <f t="shared" si="152"/>
        <v>90</v>
      </c>
      <c r="AM499">
        <f t="shared" si="153"/>
        <v>22</v>
      </c>
      <c r="DH499" t="str" cm="1">
        <f t="array" ref="DH499">IF($A499="","",_xlfn.LET(_xlpm.c,IFERROR(_xlfn.XLOOKUP($A499,TRIM('Sales and count'!$A$4:$A$300&amp;""),TRIM('Sales and count'!$B$4:$B$300&amp;"")),""),IF(OR(_xlpm.c="",_xlpm.c="0",LEFT(_xlpm.c,1)="#"),"Not set",_xlpm.c)))</f>
        <v>KSA</v>
      </c>
    </row>
    <row r="500" spans="1:112" x14ac:dyDescent="0.25">
      <c r="A500" t="str">
        <f>IF('Staff Daily sales'!$B485="","",TRIM('Staff Daily sales'!$B485&amp;""))</f>
        <v>HASOUQEBQ</v>
      </c>
      <c r="B500" t="str">
        <f>IF('Staff Daily sales'!$D485="","",TRIM('Staff Daily sales'!$D485&amp;""))</f>
        <v>5424-AAlJabri</v>
      </c>
      <c r="C500" t="str">
        <f>IFERROR(TRIM('Staff Daily sales'!$E485&amp;""),"")</f>
        <v>Madinah</v>
      </c>
      <c r="D500" t="str">
        <f>IFERROR(IF(TRIM('Staff Daily sales'!$F485&amp;"")="","Unassigned",TRIM('Staff Daily sales'!$F485&amp;"")),"Unassigned")</f>
        <v>Mohammed Haidar</v>
      </c>
      <c r="E500">
        <f t="shared" si="138"/>
        <v>1</v>
      </c>
      <c r="F500">
        <f>IF($E500=0,0,SUMPRODUCT($AI$5:$DF$5,'Staff Daily sales'!$G485:$CD485))</f>
        <v>0</v>
      </c>
      <c r="G500">
        <f>IF($E500=0,0,SUMPRODUCT($AI$6:$DF$6,'Staff Daily sales'!$G485:$CD485))</f>
        <v>0</v>
      </c>
      <c r="H500">
        <f t="shared" si="139"/>
        <v>3448.8799999999997</v>
      </c>
      <c r="I500">
        <f t="shared" si="140"/>
        <v>20</v>
      </c>
      <c r="J500">
        <f t="shared" si="141"/>
        <v>55209.230000000018</v>
      </c>
      <c r="K500">
        <f t="shared" si="142"/>
        <v>272</v>
      </c>
      <c r="L500">
        <f>--AND($E500=1,OR('Staff Dashboard'!$B$6="All",$DH500='Staff Dashboard'!$B$6),OR('Staff Dashboard'!$B$7="All",$D500='Staff Dashboard'!$B$7),OR('Staff Dashboard'!$B$8="All",$A500='Staff Dashboard'!$B$8))</f>
        <v>0</v>
      </c>
      <c r="M500">
        <f>IF($E500=0,0,SUMPRODUCT($AI$7:$DF$7,'Staff Daily sales'!$G485:$CD485))</f>
        <v>342</v>
      </c>
      <c r="N500">
        <f>IF($E500=0,0,SUMPRODUCT($AI$8:$DF$8,'Staff Daily sales'!$G485:$CD485))</f>
        <v>4</v>
      </c>
      <c r="O500">
        <f>IF($E500=0,0,SUMPRODUCT($AI$9:$DF$9,'Staff Daily sales'!$G485:$CD485))</f>
        <v>2398</v>
      </c>
      <c r="P500">
        <f>IF($E500=0,0,SUMPRODUCT($AI$10:$DF$10,'Staff Daily sales'!$G485:$CD485))</f>
        <v>12</v>
      </c>
      <c r="Q500">
        <f>IF($E500=0,0,SUMPRODUCT($AI$11:$DF$11,'Staff Daily sales'!$G485:$CD485))</f>
        <v>1400.02</v>
      </c>
      <c r="R500">
        <f>IF($E500=0,0,SUMPRODUCT($AI$12:$DF$12,'Staff Daily sales'!$G485:$CD485))</f>
        <v>6</v>
      </c>
      <c r="S500">
        <f>IF($E500=0,0,SUMPRODUCT($AI$13:$DF$13,'Staff Daily sales'!$G485:$CD485))</f>
        <v>579.01</v>
      </c>
      <c r="T500">
        <f>IF($E500=0,0,SUMPRODUCT($AI$14:$DF$14,'Staff Daily sales'!$G485:$CD485))</f>
        <v>4</v>
      </c>
      <c r="U500">
        <f>IF($E500=0,0,SUMPRODUCT($AI$15:$DF$15,'Staff Daily sales'!$G485:$CD485))</f>
        <v>632.94000000000005</v>
      </c>
      <c r="V500">
        <f>IF($E500=0,0,SUMPRODUCT($AI$16:$DF$16,'Staff Daily sales'!$G485:$CD485))</f>
        <v>1</v>
      </c>
      <c r="W500">
        <f t="shared" si="143"/>
        <v>15313.34</v>
      </c>
      <c r="X500">
        <f t="shared" si="144"/>
        <v>29781.329999999998</v>
      </c>
      <c r="Y500">
        <f t="shared" si="145"/>
        <v>32464.260000000002</v>
      </c>
      <c r="Z500">
        <f t="shared" si="146"/>
        <v>31683.41</v>
      </c>
      <c r="AA500">
        <f t="shared" si="147"/>
        <v>8416.3100000000013</v>
      </c>
      <c r="AB500">
        <f>--AND($E500=1,OR('Staff Weekly Trend'!$B$3="All",$DH500='Staff Weekly Trend'!$B$3),OR('Staff Weekly Trend'!$B$4="All",$D500='Staff Weekly Trend'!$B$4),OR('Staff Weekly Trend'!$B$5="All",$A500='Staff Weekly Trend'!$B$5))</f>
        <v>1</v>
      </c>
      <c r="AC500" t="str">
        <f t="shared" si="148"/>
        <v/>
      </c>
      <c r="AI500">
        <f t="shared" si="149"/>
        <v>77</v>
      </c>
      <c r="AJ500">
        <f t="shared" si="150"/>
        <v>153</v>
      </c>
      <c r="AK500">
        <f t="shared" si="151"/>
        <v>142</v>
      </c>
      <c r="AL500">
        <f t="shared" si="152"/>
        <v>155</v>
      </c>
      <c r="AM500">
        <f t="shared" si="153"/>
        <v>38</v>
      </c>
      <c r="DH500" t="str" cm="1">
        <f t="array" ref="DH500">IF($A500="","",_xlfn.LET(_xlpm.c,IFERROR(_xlfn.XLOOKUP($A500,TRIM('Sales and count'!$A$4:$A$300&amp;""),TRIM('Sales and count'!$B$4:$B$300&amp;"")),""),IF(OR(_xlpm.c="",_xlpm.c="0",LEFT(_xlpm.c,1)="#"),"Not set",_xlpm.c)))</f>
        <v>KSA</v>
      </c>
    </row>
    <row r="501" spans="1:112" x14ac:dyDescent="0.25">
      <c r="A501" t="str">
        <f>IF('Staff Daily sales'!$B486="","",TRIM('Staff Daily sales'!$B486&amp;""))</f>
        <v>HASOUQEBQ</v>
      </c>
      <c r="B501" t="str">
        <f>IF('Staff Daily sales'!$D486="","",TRIM('Staff Daily sales'!$D486&amp;""))</f>
        <v>5429-BAlharbi</v>
      </c>
      <c r="C501" t="str">
        <f>IFERROR(TRIM('Staff Daily sales'!$E486&amp;""),"")</f>
        <v>Madinah</v>
      </c>
      <c r="D501" t="str">
        <f>IFERROR(IF(TRIM('Staff Daily sales'!$F486&amp;"")="","Unassigned",TRIM('Staff Daily sales'!$F486&amp;"")),"Unassigned")</f>
        <v>Mohammed Haidar</v>
      </c>
      <c r="E501">
        <f t="shared" si="138"/>
        <v>1</v>
      </c>
      <c r="F501">
        <f>IF($E501=0,0,SUMPRODUCT($AI$5:$DF$5,'Staff Daily sales'!$G486:$CD486))</f>
        <v>-150</v>
      </c>
      <c r="G501">
        <f>IF($E501=0,0,SUMPRODUCT($AI$6:$DF$6,'Staff Daily sales'!$G486:$CD486))</f>
        <v>1</v>
      </c>
      <c r="H501">
        <f t="shared" si="139"/>
        <v>3448.8799999999997</v>
      </c>
      <c r="I501">
        <f t="shared" si="140"/>
        <v>20</v>
      </c>
      <c r="J501">
        <f t="shared" si="141"/>
        <v>55209.230000000018</v>
      </c>
      <c r="K501">
        <f t="shared" si="142"/>
        <v>272</v>
      </c>
      <c r="L501">
        <f>--AND($E501=1,OR('Staff Dashboard'!$B$6="All",$DH501='Staff Dashboard'!$B$6),OR('Staff Dashboard'!$B$7="All",$D501='Staff Dashboard'!$B$7),OR('Staff Dashboard'!$B$8="All",$A501='Staff Dashboard'!$B$8))</f>
        <v>0</v>
      </c>
      <c r="M501">
        <f>IF($E501=0,0,SUMPRODUCT($AI$7:$DF$7,'Staff Daily sales'!$G486:$CD486))</f>
        <v>644.01</v>
      </c>
      <c r="N501">
        <f>IF($E501=0,0,SUMPRODUCT($AI$8:$DF$8,'Staff Daily sales'!$G486:$CD486))</f>
        <v>7</v>
      </c>
      <c r="O501">
        <f>IF($E501=0,0,SUMPRODUCT($AI$9:$DF$9,'Staff Daily sales'!$G486:$CD486))</f>
        <v>2793.04</v>
      </c>
      <c r="P501">
        <f>IF($E501=0,0,SUMPRODUCT($AI$10:$DF$10,'Staff Daily sales'!$G486:$CD486))</f>
        <v>21</v>
      </c>
      <c r="Q501">
        <f>IF($E501=0,0,SUMPRODUCT($AI$11:$DF$11,'Staff Daily sales'!$G486:$CD486))</f>
        <v>754.01</v>
      </c>
      <c r="R501">
        <f>IF($E501=0,0,SUMPRODUCT($AI$12:$DF$12,'Staff Daily sales'!$G486:$CD486))</f>
        <v>4</v>
      </c>
      <c r="S501">
        <f>IF($E501=0,0,SUMPRODUCT($AI$13:$DF$13,'Staff Daily sales'!$G486:$CD486))</f>
        <v>4616.87</v>
      </c>
      <c r="T501">
        <f>IF($E501=0,0,SUMPRODUCT($AI$14:$DF$14,'Staff Daily sales'!$G486:$CD486))</f>
        <v>26</v>
      </c>
      <c r="U501">
        <f>IF($E501=0,0,SUMPRODUCT($AI$15:$DF$15,'Staff Daily sales'!$G486:$CD486))</f>
        <v>858.06</v>
      </c>
      <c r="V501">
        <f>IF($E501=0,0,SUMPRODUCT($AI$16:$DF$16,'Staff Daily sales'!$G486:$CD486))</f>
        <v>5</v>
      </c>
      <c r="W501">
        <f t="shared" si="143"/>
        <v>15313.34</v>
      </c>
      <c r="X501">
        <f t="shared" si="144"/>
        <v>29781.329999999998</v>
      </c>
      <c r="Y501">
        <f t="shared" si="145"/>
        <v>32464.260000000002</v>
      </c>
      <c r="Z501">
        <f t="shared" si="146"/>
        <v>31683.41</v>
      </c>
      <c r="AA501">
        <f t="shared" si="147"/>
        <v>8416.3100000000013</v>
      </c>
      <c r="AB501">
        <f>--AND($E501=1,OR('Staff Weekly Trend'!$B$3="All",$DH501='Staff Weekly Trend'!$B$3),OR('Staff Weekly Trend'!$B$4="All",$D501='Staff Weekly Trend'!$B$4),OR('Staff Weekly Trend'!$B$5="All",$A501='Staff Weekly Trend'!$B$5))</f>
        <v>1</v>
      </c>
      <c r="AC501">
        <f t="shared" si="148"/>
        <v>8</v>
      </c>
      <c r="AI501">
        <f t="shared" si="149"/>
        <v>77</v>
      </c>
      <c r="AJ501">
        <f t="shared" si="150"/>
        <v>153</v>
      </c>
      <c r="AK501">
        <f t="shared" si="151"/>
        <v>142</v>
      </c>
      <c r="AL501">
        <f t="shared" si="152"/>
        <v>155</v>
      </c>
      <c r="AM501">
        <f t="shared" si="153"/>
        <v>38</v>
      </c>
      <c r="DH501" t="str" cm="1">
        <f t="array" ref="DH501">IF($A501="","",_xlfn.LET(_xlpm.c,IFERROR(_xlfn.XLOOKUP($A501,TRIM('Sales and count'!$A$4:$A$300&amp;""),TRIM('Sales and count'!$B$4:$B$300&amp;"")),""),IF(OR(_xlpm.c="",_xlpm.c="0",LEFT(_xlpm.c,1)="#"),"Not set",_xlpm.c)))</f>
        <v>KSA</v>
      </c>
    </row>
    <row r="502" spans="1:112" x14ac:dyDescent="0.25">
      <c r="A502" t="str">
        <f>IF('Staff Daily sales'!$B487="","",TRIM('Staff Daily sales'!$B487&amp;""))</f>
        <v>HASOUQEBQ</v>
      </c>
      <c r="B502" t="str">
        <f>IF('Staff Daily sales'!$D487="","",TRIM('Staff Daily sales'!$D487&amp;""))</f>
        <v>5708-NAlharbi</v>
      </c>
      <c r="C502" t="str">
        <f>IFERROR(TRIM('Staff Daily sales'!$E487&amp;""),"")</f>
        <v>Madinah</v>
      </c>
      <c r="D502" t="str">
        <f>IFERROR(IF(TRIM('Staff Daily sales'!$F487&amp;"")="","Unassigned",TRIM('Staff Daily sales'!$F487&amp;"")),"Unassigned")</f>
        <v>Mohammed Haidar</v>
      </c>
      <c r="E502">
        <f t="shared" si="138"/>
        <v>1</v>
      </c>
      <c r="F502">
        <f>IF($E502=0,0,SUMPRODUCT($AI$5:$DF$5,'Staff Daily sales'!$G487:$CD487))</f>
        <v>1603.91</v>
      </c>
      <c r="G502">
        <f>IF($E502=0,0,SUMPRODUCT($AI$6:$DF$6,'Staff Daily sales'!$G487:$CD487))</f>
        <v>10</v>
      </c>
      <c r="H502">
        <f t="shared" si="139"/>
        <v>3448.8799999999997</v>
      </c>
      <c r="I502">
        <f t="shared" si="140"/>
        <v>20</v>
      </c>
      <c r="J502">
        <f t="shared" si="141"/>
        <v>55209.230000000018</v>
      </c>
      <c r="K502">
        <f t="shared" si="142"/>
        <v>272</v>
      </c>
      <c r="L502">
        <f>--AND($E502=1,OR('Staff Dashboard'!$B$6="All",$DH502='Staff Dashboard'!$B$6),OR('Staff Dashboard'!$B$7="All",$D502='Staff Dashboard'!$B$7),OR('Staff Dashboard'!$B$8="All",$A502='Staff Dashboard'!$B$8))</f>
        <v>0</v>
      </c>
      <c r="M502">
        <f>IF($E502=0,0,SUMPRODUCT($AI$7:$DF$7,'Staff Daily sales'!$G487:$CD487))</f>
        <v>766.02</v>
      </c>
      <c r="N502">
        <f>IF($E502=0,0,SUMPRODUCT($AI$8:$DF$8,'Staff Daily sales'!$G487:$CD487))</f>
        <v>5</v>
      </c>
      <c r="O502">
        <f>IF($E502=0,0,SUMPRODUCT($AI$9:$DF$9,'Staff Daily sales'!$G487:$CD487))</f>
        <v>5236.0600000000004</v>
      </c>
      <c r="P502">
        <f>IF($E502=0,0,SUMPRODUCT($AI$10:$DF$10,'Staff Daily sales'!$G487:$CD487))</f>
        <v>31</v>
      </c>
      <c r="Q502">
        <f>IF($E502=0,0,SUMPRODUCT($AI$11:$DF$11,'Staff Daily sales'!$G487:$CD487))</f>
        <v>2533.0100000000002</v>
      </c>
      <c r="R502">
        <f>IF($E502=0,0,SUMPRODUCT($AI$12:$DF$12,'Staff Daily sales'!$G487:$CD487))</f>
        <v>16</v>
      </c>
      <c r="S502">
        <f>IF($E502=0,0,SUMPRODUCT($AI$13:$DF$13,'Staff Daily sales'!$G487:$CD487))</f>
        <v>6488.86</v>
      </c>
      <c r="T502">
        <f>IF($E502=0,0,SUMPRODUCT($AI$14:$DF$14,'Staff Daily sales'!$G487:$CD487))</f>
        <v>37</v>
      </c>
      <c r="U502">
        <f>IF($E502=0,0,SUMPRODUCT($AI$15:$DF$15,'Staff Daily sales'!$G487:$CD487))</f>
        <v>1447.08</v>
      </c>
      <c r="V502">
        <f>IF($E502=0,0,SUMPRODUCT($AI$16:$DF$16,'Staff Daily sales'!$G487:$CD487))</f>
        <v>9</v>
      </c>
      <c r="W502">
        <f t="shared" si="143"/>
        <v>15313.34</v>
      </c>
      <c r="X502">
        <f t="shared" si="144"/>
        <v>29781.329999999998</v>
      </c>
      <c r="Y502">
        <f t="shared" si="145"/>
        <v>32464.260000000002</v>
      </c>
      <c r="Z502">
        <f t="shared" si="146"/>
        <v>31683.41</v>
      </c>
      <c r="AA502">
        <f t="shared" si="147"/>
        <v>8416.3100000000013</v>
      </c>
      <c r="AB502">
        <f>--AND($E502=1,OR('Staff Weekly Trend'!$B$3="All",$DH502='Staff Weekly Trend'!$B$3),OR('Staff Weekly Trend'!$B$4="All",$D502='Staff Weekly Trend'!$B$4),OR('Staff Weekly Trend'!$B$5="All",$A502='Staff Weekly Trend'!$B$5))</f>
        <v>1</v>
      </c>
      <c r="AC502">
        <f t="shared" si="148"/>
        <v>1</v>
      </c>
      <c r="AI502">
        <f t="shared" si="149"/>
        <v>77</v>
      </c>
      <c r="AJ502">
        <f t="shared" si="150"/>
        <v>153</v>
      </c>
      <c r="AK502">
        <f t="shared" si="151"/>
        <v>142</v>
      </c>
      <c r="AL502">
        <f t="shared" si="152"/>
        <v>155</v>
      </c>
      <c r="AM502">
        <f t="shared" si="153"/>
        <v>38</v>
      </c>
      <c r="DH502" t="str" cm="1">
        <f t="array" ref="DH502">IF($A502="","",_xlfn.LET(_xlpm.c,IFERROR(_xlfn.XLOOKUP($A502,TRIM('Sales and count'!$A$4:$A$300&amp;""),TRIM('Sales and count'!$B$4:$B$300&amp;"")),""),IF(OR(_xlpm.c="",_xlpm.c="0",LEFT(_xlpm.c,1)="#"),"Not set",_xlpm.c)))</f>
        <v>KSA</v>
      </c>
    </row>
    <row r="503" spans="1:112" x14ac:dyDescent="0.25">
      <c r="A503" t="str">
        <f>IF('Staff Daily sales'!$B488="","",TRIM('Staff Daily sales'!$B488&amp;""))</f>
        <v>HASOUQEBQ</v>
      </c>
      <c r="B503" t="str">
        <f>IF('Staff Daily sales'!$D488="","",TRIM('Staff Daily sales'!$D488&amp;""))</f>
        <v>6027-BAbdulhakim</v>
      </c>
      <c r="C503" t="str">
        <f>IFERROR(TRIM('Staff Daily sales'!$E488&amp;""),"")</f>
        <v>Madinah</v>
      </c>
      <c r="D503" t="str">
        <f>IFERROR(IF(TRIM('Staff Daily sales'!$F488&amp;"")="","Unassigned",TRIM('Staff Daily sales'!$F488&amp;"")),"Unassigned")</f>
        <v>Mohammed Haidar</v>
      </c>
      <c r="E503">
        <f t="shared" si="138"/>
        <v>1</v>
      </c>
      <c r="F503">
        <f>IF($E503=0,0,SUMPRODUCT($AI$5:$DF$5,'Staff Daily sales'!$G488:$CD488))</f>
        <v>711.96</v>
      </c>
      <c r="G503">
        <f>IF($E503=0,0,SUMPRODUCT($AI$6:$DF$6,'Staff Daily sales'!$G488:$CD488))</f>
        <v>4</v>
      </c>
      <c r="H503">
        <f t="shared" si="139"/>
        <v>3448.8799999999997</v>
      </c>
      <c r="I503">
        <f t="shared" si="140"/>
        <v>20</v>
      </c>
      <c r="J503">
        <f t="shared" si="141"/>
        <v>55209.230000000018</v>
      </c>
      <c r="K503">
        <f t="shared" si="142"/>
        <v>272</v>
      </c>
      <c r="L503">
        <f>--AND($E503=1,OR('Staff Dashboard'!$B$6="All",$DH503='Staff Dashboard'!$B$6),OR('Staff Dashboard'!$B$7="All",$D503='Staff Dashboard'!$B$7),OR('Staff Dashboard'!$B$8="All",$A503='Staff Dashboard'!$B$8))</f>
        <v>0</v>
      </c>
      <c r="M503">
        <f>IF($E503=0,0,SUMPRODUCT($AI$7:$DF$7,'Staff Daily sales'!$G488:$CD488))</f>
        <v>2053.02</v>
      </c>
      <c r="N503">
        <f>IF($E503=0,0,SUMPRODUCT($AI$8:$DF$8,'Staff Daily sales'!$G488:$CD488))</f>
        <v>12</v>
      </c>
      <c r="O503">
        <f>IF($E503=0,0,SUMPRODUCT($AI$9:$DF$9,'Staff Daily sales'!$G488:$CD488))</f>
        <v>5078.0599999999995</v>
      </c>
      <c r="P503">
        <f>IF($E503=0,0,SUMPRODUCT($AI$10:$DF$10,'Staff Daily sales'!$G488:$CD488))</f>
        <v>22</v>
      </c>
      <c r="Q503">
        <f>IF($E503=0,0,SUMPRODUCT($AI$11:$DF$11,'Staff Daily sales'!$G488:$CD488))</f>
        <v>7285.06</v>
      </c>
      <c r="R503">
        <f>IF($E503=0,0,SUMPRODUCT($AI$12:$DF$12,'Staff Daily sales'!$G488:$CD488))</f>
        <v>26</v>
      </c>
      <c r="S503">
        <f>IF($E503=0,0,SUMPRODUCT($AI$13:$DF$13,'Staff Daily sales'!$G488:$CD488))</f>
        <v>6684.79</v>
      </c>
      <c r="T503">
        <f>IF($E503=0,0,SUMPRODUCT($AI$14:$DF$14,'Staff Daily sales'!$G488:$CD488))</f>
        <v>31</v>
      </c>
      <c r="U503">
        <f>IF($E503=0,0,SUMPRODUCT($AI$15:$DF$15,'Staff Daily sales'!$G488:$CD488))</f>
        <v>0</v>
      </c>
      <c r="V503">
        <f>IF($E503=0,0,SUMPRODUCT($AI$16:$DF$16,'Staff Daily sales'!$G488:$CD488))</f>
        <v>0</v>
      </c>
      <c r="W503">
        <f t="shared" si="143"/>
        <v>15313.34</v>
      </c>
      <c r="X503">
        <f t="shared" si="144"/>
        <v>29781.329999999998</v>
      </c>
      <c r="Y503">
        <f t="shared" si="145"/>
        <v>32464.260000000002</v>
      </c>
      <c r="Z503">
        <f t="shared" si="146"/>
        <v>31683.41</v>
      </c>
      <c r="AA503">
        <f t="shared" si="147"/>
        <v>8416.3100000000013</v>
      </c>
      <c r="AB503">
        <f>--AND($E503=1,OR('Staff Weekly Trend'!$B$3="All",$DH503='Staff Weekly Trend'!$B$3),OR('Staff Weekly Trend'!$B$4="All",$D503='Staff Weekly Trend'!$B$4),OR('Staff Weekly Trend'!$B$5="All",$A503='Staff Weekly Trend'!$B$5))</f>
        <v>1</v>
      </c>
      <c r="AC503">
        <f t="shared" si="148"/>
        <v>3</v>
      </c>
      <c r="AI503">
        <f t="shared" si="149"/>
        <v>77</v>
      </c>
      <c r="AJ503">
        <f t="shared" si="150"/>
        <v>153</v>
      </c>
      <c r="AK503">
        <f t="shared" si="151"/>
        <v>142</v>
      </c>
      <c r="AL503">
        <f t="shared" si="152"/>
        <v>155</v>
      </c>
      <c r="AM503">
        <f t="shared" si="153"/>
        <v>38</v>
      </c>
      <c r="DH503" t="str" cm="1">
        <f t="array" ref="DH503">IF($A503="","",_xlfn.LET(_xlpm.c,IFERROR(_xlfn.XLOOKUP($A503,TRIM('Sales and count'!$A$4:$A$300&amp;""),TRIM('Sales and count'!$B$4:$B$300&amp;"")),""),IF(OR(_xlpm.c="",_xlpm.c="0",LEFT(_xlpm.c,1)="#"),"Not set",_xlpm.c)))</f>
        <v>KSA</v>
      </c>
    </row>
    <row r="504" spans="1:112" x14ac:dyDescent="0.25">
      <c r="A504" t="str">
        <f>IF('Staff Daily sales'!$B489="","",TRIM('Staff Daily sales'!$B489&amp;""))</f>
        <v>HASOUQEBQ</v>
      </c>
      <c r="B504" t="str">
        <f>IF('Staff Daily sales'!$D489="","",TRIM('Staff Daily sales'!$D489&amp;""))</f>
        <v>6063-ABaker</v>
      </c>
      <c r="C504" t="str">
        <f>IFERROR(TRIM('Staff Daily sales'!$E489&amp;""),"")</f>
        <v>Madinah</v>
      </c>
      <c r="D504" t="str">
        <f>IFERROR(IF(TRIM('Staff Daily sales'!$F489&amp;"")="","Unassigned",TRIM('Staff Daily sales'!$F489&amp;"")),"Unassigned")</f>
        <v>Mohammed Haidar</v>
      </c>
      <c r="E504">
        <f t="shared" si="138"/>
        <v>1</v>
      </c>
      <c r="F504">
        <f>IF($E504=0,0,SUMPRODUCT($AI$5:$DF$5,'Staff Daily sales'!$G489:$CD489))</f>
        <v>511.99</v>
      </c>
      <c r="G504">
        <f>IF($E504=0,0,SUMPRODUCT($AI$6:$DF$6,'Staff Daily sales'!$G489:$CD489))</f>
        <v>3</v>
      </c>
      <c r="H504">
        <f t="shared" si="139"/>
        <v>3448.8799999999997</v>
      </c>
      <c r="I504">
        <f t="shared" si="140"/>
        <v>20</v>
      </c>
      <c r="J504">
        <f t="shared" si="141"/>
        <v>55209.230000000018</v>
      </c>
      <c r="K504">
        <f t="shared" si="142"/>
        <v>272</v>
      </c>
      <c r="L504">
        <f>--AND($E504=1,OR('Staff Dashboard'!$B$6="All",$DH504='Staff Dashboard'!$B$6),OR('Staff Dashboard'!$B$7="All",$D504='Staff Dashboard'!$B$7),OR('Staff Dashboard'!$B$8="All",$A504='Staff Dashboard'!$B$8))</f>
        <v>0</v>
      </c>
      <c r="M504">
        <f>IF($E504=0,0,SUMPRODUCT($AI$7:$DF$7,'Staff Daily sales'!$G489:$CD489))</f>
        <v>3701.09</v>
      </c>
      <c r="N504">
        <f>IF($E504=0,0,SUMPRODUCT($AI$8:$DF$8,'Staff Daily sales'!$G489:$CD489))</f>
        <v>12</v>
      </c>
      <c r="O504">
        <f>IF($E504=0,0,SUMPRODUCT($AI$9:$DF$9,'Staff Daily sales'!$G489:$CD489))</f>
        <v>2099.09</v>
      </c>
      <c r="P504">
        <f>IF($E504=0,0,SUMPRODUCT($AI$10:$DF$10,'Staff Daily sales'!$G489:$CD489))</f>
        <v>10</v>
      </c>
      <c r="Q504">
        <f>IF($E504=0,0,SUMPRODUCT($AI$11:$DF$11,'Staff Daily sales'!$G489:$CD489))</f>
        <v>6848.0499999999993</v>
      </c>
      <c r="R504">
        <f>IF($E504=0,0,SUMPRODUCT($AI$12:$DF$12,'Staff Daily sales'!$G489:$CD489))</f>
        <v>36</v>
      </c>
      <c r="S504">
        <f>IF($E504=0,0,SUMPRODUCT($AI$13:$DF$13,'Staff Daily sales'!$G489:$CD489))</f>
        <v>4338.9299999999994</v>
      </c>
      <c r="T504">
        <f>IF($E504=0,0,SUMPRODUCT($AI$14:$DF$14,'Staff Daily sales'!$G489:$CD489))</f>
        <v>21</v>
      </c>
      <c r="U504">
        <f>IF($E504=0,0,SUMPRODUCT($AI$15:$DF$15,'Staff Daily sales'!$G489:$CD489))</f>
        <v>783.06</v>
      </c>
      <c r="V504">
        <f>IF($E504=0,0,SUMPRODUCT($AI$16:$DF$16,'Staff Daily sales'!$G489:$CD489))</f>
        <v>4</v>
      </c>
      <c r="W504">
        <f t="shared" si="143"/>
        <v>15313.34</v>
      </c>
      <c r="X504">
        <f t="shared" si="144"/>
        <v>29781.329999999998</v>
      </c>
      <c r="Y504">
        <f t="shared" si="145"/>
        <v>32464.260000000002</v>
      </c>
      <c r="Z504">
        <f t="shared" si="146"/>
        <v>31683.41</v>
      </c>
      <c r="AA504">
        <f t="shared" si="147"/>
        <v>8416.3100000000013</v>
      </c>
      <c r="AB504">
        <f>--AND($E504=1,OR('Staff Weekly Trend'!$B$3="All",$DH504='Staff Weekly Trend'!$B$3),OR('Staff Weekly Trend'!$B$4="All",$D504='Staff Weekly Trend'!$B$4),OR('Staff Weekly Trend'!$B$5="All",$A504='Staff Weekly Trend'!$B$5))</f>
        <v>1</v>
      </c>
      <c r="AC504">
        <f t="shared" si="148"/>
        <v>4</v>
      </c>
      <c r="AI504">
        <f t="shared" si="149"/>
        <v>77</v>
      </c>
      <c r="AJ504">
        <f t="shared" si="150"/>
        <v>153</v>
      </c>
      <c r="AK504">
        <f t="shared" si="151"/>
        <v>142</v>
      </c>
      <c r="AL504">
        <f t="shared" si="152"/>
        <v>155</v>
      </c>
      <c r="AM504">
        <f t="shared" si="153"/>
        <v>38</v>
      </c>
      <c r="DH504" t="str" cm="1">
        <f t="array" ref="DH504">IF($A504="","",_xlfn.LET(_xlpm.c,IFERROR(_xlfn.XLOOKUP($A504,TRIM('Sales and count'!$A$4:$A$300&amp;""),TRIM('Sales and count'!$B$4:$B$300&amp;"")),""),IF(OR(_xlpm.c="",_xlpm.c="0",LEFT(_xlpm.c,1)="#"),"Not set",_xlpm.c)))</f>
        <v>KSA</v>
      </c>
    </row>
    <row r="505" spans="1:112" x14ac:dyDescent="0.25">
      <c r="A505" t="str">
        <f>IF('Staff Daily sales'!$B490="","",TRIM('Staff Daily sales'!$B490&amp;""))</f>
        <v>HASOUQEBQ</v>
      </c>
      <c r="B505" t="str">
        <f>IF('Staff Daily sales'!$D490="","",TRIM('Staff Daily sales'!$D490&amp;""))</f>
        <v>6618-ZAlharbi</v>
      </c>
      <c r="C505" t="str">
        <f>IFERROR(TRIM('Staff Daily sales'!$E490&amp;""),"")</f>
        <v>Madinah</v>
      </c>
      <c r="D505" t="str">
        <f>IFERROR(IF(TRIM('Staff Daily sales'!$F490&amp;"")="","Unassigned",TRIM('Staff Daily sales'!$F490&amp;"")),"Unassigned")</f>
        <v>Mohammed Haidar</v>
      </c>
      <c r="E505">
        <f t="shared" si="138"/>
        <v>1</v>
      </c>
      <c r="F505">
        <f>IF($E505=0,0,SUMPRODUCT($AI$5:$DF$5,'Staff Daily sales'!$G490:$CD490))</f>
        <v>771.02</v>
      </c>
      <c r="G505">
        <f>IF($E505=0,0,SUMPRODUCT($AI$6:$DF$6,'Staff Daily sales'!$G490:$CD490))</f>
        <v>2</v>
      </c>
      <c r="H505">
        <f t="shared" si="139"/>
        <v>3448.8799999999997</v>
      </c>
      <c r="I505">
        <f t="shared" si="140"/>
        <v>20</v>
      </c>
      <c r="J505">
        <f t="shared" si="141"/>
        <v>55209.230000000018</v>
      </c>
      <c r="K505">
        <f t="shared" si="142"/>
        <v>272</v>
      </c>
      <c r="L505">
        <f>--AND($E505=1,OR('Staff Dashboard'!$B$6="All",$DH505='Staff Dashboard'!$B$6),OR('Staff Dashboard'!$B$7="All",$D505='Staff Dashboard'!$B$7),OR('Staff Dashboard'!$B$8="All",$A505='Staff Dashboard'!$B$8))</f>
        <v>0</v>
      </c>
      <c r="M505">
        <f>IF($E505=0,0,SUMPRODUCT($AI$7:$DF$7,'Staff Daily sales'!$G490:$CD490))</f>
        <v>3455.1099999999997</v>
      </c>
      <c r="N505">
        <f>IF($E505=0,0,SUMPRODUCT($AI$8:$DF$8,'Staff Daily sales'!$G490:$CD490))</f>
        <v>17</v>
      </c>
      <c r="O505">
        <f>IF($E505=0,0,SUMPRODUCT($AI$9:$DF$9,'Staff Daily sales'!$G490:$CD490))</f>
        <v>7187.0599999999995</v>
      </c>
      <c r="P505">
        <f>IF($E505=0,0,SUMPRODUCT($AI$10:$DF$10,'Staff Daily sales'!$G490:$CD490))</f>
        <v>35</v>
      </c>
      <c r="Q505">
        <f>IF($E505=0,0,SUMPRODUCT($AI$11:$DF$11,'Staff Daily sales'!$G490:$CD490))</f>
        <v>6868.0400000000009</v>
      </c>
      <c r="R505">
        <f>IF($E505=0,0,SUMPRODUCT($AI$12:$DF$12,'Staff Daily sales'!$G490:$CD490))</f>
        <v>21</v>
      </c>
      <c r="S505">
        <f>IF($E505=0,0,SUMPRODUCT($AI$13:$DF$13,'Staff Daily sales'!$G490:$CD490))</f>
        <v>6682.91</v>
      </c>
      <c r="T505">
        <f>IF($E505=0,0,SUMPRODUCT($AI$14:$DF$14,'Staff Daily sales'!$G490:$CD490))</f>
        <v>25</v>
      </c>
      <c r="U505">
        <f>IF($E505=0,0,SUMPRODUCT($AI$15:$DF$15,'Staff Daily sales'!$G490:$CD490))</f>
        <v>4024.1400000000003</v>
      </c>
      <c r="V505">
        <f>IF($E505=0,0,SUMPRODUCT($AI$16:$DF$16,'Staff Daily sales'!$G490:$CD490))</f>
        <v>16</v>
      </c>
      <c r="W505">
        <f t="shared" si="143"/>
        <v>15313.34</v>
      </c>
      <c r="X505">
        <f t="shared" si="144"/>
        <v>29781.329999999998</v>
      </c>
      <c r="Y505">
        <f t="shared" si="145"/>
        <v>32464.260000000002</v>
      </c>
      <c r="Z505">
        <f t="shared" si="146"/>
        <v>31683.41</v>
      </c>
      <c r="AA505">
        <f t="shared" si="147"/>
        <v>8416.3100000000013</v>
      </c>
      <c r="AB505">
        <f>--AND($E505=1,OR('Staff Weekly Trend'!$B$3="All",$DH505='Staff Weekly Trend'!$B$3),OR('Staff Weekly Trend'!$B$4="All",$D505='Staff Weekly Trend'!$B$4),OR('Staff Weekly Trend'!$B$5="All",$A505='Staff Weekly Trend'!$B$5))</f>
        <v>1</v>
      </c>
      <c r="AC505">
        <f t="shared" si="148"/>
        <v>2</v>
      </c>
      <c r="AI505">
        <f t="shared" si="149"/>
        <v>77</v>
      </c>
      <c r="AJ505">
        <f t="shared" si="150"/>
        <v>153</v>
      </c>
      <c r="AK505">
        <f t="shared" si="151"/>
        <v>142</v>
      </c>
      <c r="AL505">
        <f t="shared" si="152"/>
        <v>155</v>
      </c>
      <c r="AM505">
        <f t="shared" si="153"/>
        <v>38</v>
      </c>
      <c r="DH505" t="str" cm="1">
        <f t="array" ref="DH505">IF($A505="","",_xlfn.LET(_xlpm.c,IFERROR(_xlfn.XLOOKUP($A505,TRIM('Sales and count'!$A$4:$A$300&amp;""),TRIM('Sales and count'!$B$4:$B$300&amp;"")),""),IF(OR(_xlpm.c="",_xlpm.c="0",LEFT(_xlpm.c,1)="#"),"Not set",_xlpm.c)))</f>
        <v>KSA</v>
      </c>
    </row>
    <row r="506" spans="1:112" x14ac:dyDescent="0.25">
      <c r="A506" t="str">
        <f>IF('Staff Daily sales'!$B491="","",TRIM('Staff Daily sales'!$B491&amp;""))</f>
        <v>HASOUQEBQ</v>
      </c>
      <c r="B506" t="str">
        <f>IF('Staff Daily sales'!$D491="","",TRIM('Staff Daily sales'!$D491&amp;""))</f>
        <v>6619-EAlahmadi</v>
      </c>
      <c r="C506" t="str">
        <f>IFERROR(TRIM('Staff Daily sales'!$E491&amp;""),"")</f>
        <v>Madinah</v>
      </c>
      <c r="D506" t="str">
        <f>IFERROR(IF(TRIM('Staff Daily sales'!$F491&amp;"")="","Unassigned",TRIM('Staff Daily sales'!$F491&amp;"")),"Unassigned")</f>
        <v>Mohammed Haidar</v>
      </c>
      <c r="E506">
        <f t="shared" si="138"/>
        <v>1</v>
      </c>
      <c r="F506">
        <f>IF($E506=0,0,SUMPRODUCT($AI$5:$DF$5,'Staff Daily sales'!$G491:$CD491))</f>
        <v>0</v>
      </c>
      <c r="G506">
        <f>IF($E506=0,0,SUMPRODUCT($AI$6:$DF$6,'Staff Daily sales'!$G491:$CD491))</f>
        <v>0</v>
      </c>
      <c r="H506">
        <f t="shared" si="139"/>
        <v>3448.8799999999997</v>
      </c>
      <c r="I506">
        <f t="shared" si="140"/>
        <v>20</v>
      </c>
      <c r="J506">
        <f t="shared" si="141"/>
        <v>55209.230000000018</v>
      </c>
      <c r="K506">
        <f t="shared" si="142"/>
        <v>272</v>
      </c>
      <c r="L506">
        <f>--AND($E506=1,OR('Staff Dashboard'!$B$6="All",$DH506='Staff Dashboard'!$B$6),OR('Staff Dashboard'!$B$7="All",$D506='Staff Dashboard'!$B$7),OR('Staff Dashboard'!$B$8="All",$A506='Staff Dashboard'!$B$8))</f>
        <v>0</v>
      </c>
      <c r="M506">
        <f>IF($E506=0,0,SUMPRODUCT($AI$7:$DF$7,'Staff Daily sales'!$G491:$CD491))</f>
        <v>4352.09</v>
      </c>
      <c r="N506">
        <f>IF($E506=0,0,SUMPRODUCT($AI$8:$DF$8,'Staff Daily sales'!$G491:$CD491))</f>
        <v>20</v>
      </c>
      <c r="O506">
        <f>IF($E506=0,0,SUMPRODUCT($AI$9:$DF$9,'Staff Daily sales'!$G491:$CD491))</f>
        <v>4990.0200000000004</v>
      </c>
      <c r="P506">
        <f>IF($E506=0,0,SUMPRODUCT($AI$10:$DF$10,'Staff Daily sales'!$G491:$CD491))</f>
        <v>22</v>
      </c>
      <c r="Q506">
        <f>IF($E506=0,0,SUMPRODUCT($AI$11:$DF$11,'Staff Daily sales'!$G491:$CD491))</f>
        <v>6776.0700000000006</v>
      </c>
      <c r="R506">
        <f>IF($E506=0,0,SUMPRODUCT($AI$12:$DF$12,'Staff Daily sales'!$G491:$CD491))</f>
        <v>33</v>
      </c>
      <c r="S506">
        <f>IF($E506=0,0,SUMPRODUCT($AI$13:$DF$13,'Staff Daily sales'!$G491:$CD491))</f>
        <v>2292.04</v>
      </c>
      <c r="T506">
        <f>IF($E506=0,0,SUMPRODUCT($AI$14:$DF$14,'Staff Daily sales'!$G491:$CD491))</f>
        <v>11</v>
      </c>
      <c r="U506">
        <f>IF($E506=0,0,SUMPRODUCT($AI$15:$DF$15,'Staff Daily sales'!$G491:$CD491))</f>
        <v>0</v>
      </c>
      <c r="V506">
        <f>IF($E506=0,0,SUMPRODUCT($AI$16:$DF$16,'Staff Daily sales'!$G491:$CD491))</f>
        <v>0</v>
      </c>
      <c r="W506">
        <f t="shared" si="143"/>
        <v>15313.34</v>
      </c>
      <c r="X506">
        <f t="shared" si="144"/>
        <v>29781.329999999998</v>
      </c>
      <c r="Y506">
        <f t="shared" si="145"/>
        <v>32464.260000000002</v>
      </c>
      <c r="Z506">
        <f t="shared" si="146"/>
        <v>31683.41</v>
      </c>
      <c r="AA506">
        <f t="shared" si="147"/>
        <v>8416.3100000000013</v>
      </c>
      <c r="AB506">
        <f>--AND($E506=1,OR('Staff Weekly Trend'!$B$3="All",$DH506='Staff Weekly Trend'!$B$3),OR('Staff Weekly Trend'!$B$4="All",$D506='Staff Weekly Trend'!$B$4),OR('Staff Weekly Trend'!$B$5="All",$A506='Staff Weekly Trend'!$B$5))</f>
        <v>1</v>
      </c>
      <c r="AC506" t="str">
        <f t="shared" si="148"/>
        <v/>
      </c>
      <c r="AI506">
        <f t="shared" si="149"/>
        <v>77</v>
      </c>
      <c r="AJ506">
        <f t="shared" si="150"/>
        <v>153</v>
      </c>
      <c r="AK506">
        <f t="shared" si="151"/>
        <v>142</v>
      </c>
      <c r="AL506">
        <f t="shared" si="152"/>
        <v>155</v>
      </c>
      <c r="AM506">
        <f t="shared" si="153"/>
        <v>38</v>
      </c>
      <c r="DH506" t="str" cm="1">
        <f t="array" ref="DH506">IF($A506="","",_xlfn.LET(_xlpm.c,IFERROR(_xlfn.XLOOKUP($A506,TRIM('Sales and count'!$A$4:$A$300&amp;""),TRIM('Sales and count'!$B$4:$B$300&amp;"")),""),IF(OR(_xlpm.c="",_xlpm.c="0",LEFT(_xlpm.c,1)="#"),"Not set",_xlpm.c)))</f>
        <v>KSA</v>
      </c>
    </row>
    <row r="507" spans="1:112" x14ac:dyDescent="0.25">
      <c r="A507" t="str">
        <f>IF('Staff Daily sales'!$B492="","",TRIM('Staff Daily sales'!$B492&amp;""))</f>
        <v>HADANAYAN</v>
      </c>
      <c r="B507" t="str">
        <f>IF('Staff Daily sales'!$D492="","",TRIM('Staff Daily sales'!$D492&amp;""))</f>
        <v>4555-FBukhari</v>
      </c>
      <c r="C507" t="str">
        <f>IFERROR(TRIM('Staff Daily sales'!$E492&amp;""),"")</f>
        <v>Yanbu</v>
      </c>
      <c r="D507" t="str">
        <f>IFERROR(IF(TRIM('Staff Daily sales'!$F492&amp;"")="","Unassigned",TRIM('Staff Daily sales'!$F492&amp;"")),"Unassigned")</f>
        <v>Mohammed Haidar</v>
      </c>
      <c r="E507">
        <f t="shared" si="138"/>
        <v>1</v>
      </c>
      <c r="F507">
        <f>IF($E507=0,0,SUMPRODUCT($AI$5:$DF$5,'Staff Daily sales'!$G492:$CD492))</f>
        <v>0</v>
      </c>
      <c r="G507">
        <f>IF($E507=0,0,SUMPRODUCT($AI$6:$DF$6,'Staff Daily sales'!$G492:$CD492))</f>
        <v>0</v>
      </c>
      <c r="H507">
        <f t="shared" si="139"/>
        <v>2836.85</v>
      </c>
      <c r="I507">
        <f t="shared" si="140"/>
        <v>18</v>
      </c>
      <c r="J507">
        <f t="shared" si="141"/>
        <v>55209.230000000018</v>
      </c>
      <c r="K507">
        <f t="shared" si="142"/>
        <v>272</v>
      </c>
      <c r="L507">
        <f>--AND($E507=1,OR('Staff Dashboard'!$B$6="All",$DH507='Staff Dashboard'!$B$6),OR('Staff Dashboard'!$B$7="All",$D507='Staff Dashboard'!$B$7),OR('Staff Dashboard'!$B$8="All",$A507='Staff Dashboard'!$B$8))</f>
        <v>0</v>
      </c>
      <c r="M507">
        <f>IF($E507=0,0,SUMPRODUCT($AI$7:$DF$7,'Staff Daily sales'!$G492:$CD492))</f>
        <v>12757.22</v>
      </c>
      <c r="N507">
        <f>IF($E507=0,0,SUMPRODUCT($AI$8:$DF$8,'Staff Daily sales'!$G492:$CD492))</f>
        <v>98</v>
      </c>
      <c r="O507">
        <f>IF($E507=0,0,SUMPRODUCT($AI$9:$DF$9,'Staff Daily sales'!$G492:$CD492))</f>
        <v>11887.1</v>
      </c>
      <c r="P507">
        <f>IF($E507=0,0,SUMPRODUCT($AI$10:$DF$10,'Staff Daily sales'!$G492:$CD492))</f>
        <v>80</v>
      </c>
      <c r="Q507">
        <f>IF($E507=0,0,SUMPRODUCT($AI$11:$DF$11,'Staff Daily sales'!$G492:$CD492))</f>
        <v>6332.07</v>
      </c>
      <c r="R507">
        <f>IF($E507=0,0,SUMPRODUCT($AI$12:$DF$12,'Staff Daily sales'!$G492:$CD492))</f>
        <v>48</v>
      </c>
      <c r="S507">
        <f>IF($E507=0,0,SUMPRODUCT($AI$13:$DF$13,'Staff Daily sales'!$G492:$CD492))</f>
        <v>3006.99</v>
      </c>
      <c r="T507">
        <f>IF($E507=0,0,SUMPRODUCT($AI$14:$DF$14,'Staff Daily sales'!$G492:$CD492))</f>
        <v>27</v>
      </c>
      <c r="U507">
        <f>IF($E507=0,0,SUMPRODUCT($AI$15:$DF$15,'Staff Daily sales'!$G492:$CD492))</f>
        <v>1096.96</v>
      </c>
      <c r="V507">
        <f>IF($E507=0,0,SUMPRODUCT($AI$16:$DF$16,'Staff Daily sales'!$G492:$CD492))</f>
        <v>8</v>
      </c>
      <c r="W507">
        <f t="shared" si="143"/>
        <v>14031.23</v>
      </c>
      <c r="X507">
        <f t="shared" si="144"/>
        <v>18963.22</v>
      </c>
      <c r="Y507">
        <f t="shared" si="145"/>
        <v>11715.09</v>
      </c>
      <c r="Z507">
        <f t="shared" si="146"/>
        <v>11102.75</v>
      </c>
      <c r="AA507">
        <f t="shared" si="147"/>
        <v>3228.0699999999997</v>
      </c>
      <c r="AB507">
        <f>--AND($E507=1,OR('Staff Weekly Trend'!$B$3="All",$DH507='Staff Weekly Trend'!$B$3),OR('Staff Weekly Trend'!$B$4="All",$D507='Staff Weekly Trend'!$B$4),OR('Staff Weekly Trend'!$B$5="All",$A507='Staff Weekly Trend'!$B$5))</f>
        <v>1</v>
      </c>
      <c r="AC507" t="str">
        <f t="shared" si="148"/>
        <v/>
      </c>
      <c r="AI507">
        <f t="shared" si="149"/>
        <v>105</v>
      </c>
      <c r="AJ507">
        <f t="shared" si="150"/>
        <v>137</v>
      </c>
      <c r="AK507">
        <f t="shared" si="151"/>
        <v>93</v>
      </c>
      <c r="AL507">
        <f t="shared" si="152"/>
        <v>85</v>
      </c>
      <c r="AM507">
        <f t="shared" si="153"/>
        <v>25</v>
      </c>
      <c r="DH507" t="str" cm="1">
        <f t="array" ref="DH507">IF($A507="","",_xlfn.LET(_xlpm.c,IFERROR(_xlfn.XLOOKUP($A507,TRIM('Sales and count'!$A$4:$A$300&amp;""),TRIM('Sales and count'!$B$4:$B$300&amp;"")),""),IF(OR(_xlpm.c="",_xlpm.c="0",LEFT(_xlpm.c,1)="#"),"Not set",_xlpm.c)))</f>
        <v>KSA</v>
      </c>
    </row>
    <row r="508" spans="1:112" x14ac:dyDescent="0.25">
      <c r="A508" t="str">
        <f>IF('Staff Daily sales'!$B493="","",TRIM('Staff Daily sales'!$B493&amp;""))</f>
        <v>HADANAYAN</v>
      </c>
      <c r="B508" t="str">
        <f>IF('Staff Daily sales'!$D493="","",TRIM('Staff Daily sales'!$D493&amp;""))</f>
        <v>7308-RAlotaibi</v>
      </c>
      <c r="C508" t="str">
        <f>IFERROR(TRIM('Staff Daily sales'!$E493&amp;""),"")</f>
        <v>Yanbu</v>
      </c>
      <c r="D508" t="str">
        <f>IFERROR(IF(TRIM('Staff Daily sales'!$F493&amp;"")="","Unassigned",TRIM('Staff Daily sales'!$F493&amp;"")),"Unassigned")</f>
        <v>Mohammed Haidar</v>
      </c>
      <c r="E508">
        <f t="shared" si="138"/>
        <v>1</v>
      </c>
      <c r="F508">
        <f>IF($E508=0,0,SUMPRODUCT($AI$5:$DF$5,'Staff Daily sales'!$G493:$CD493))</f>
        <v>210.98</v>
      </c>
      <c r="G508">
        <f>IF($E508=0,0,SUMPRODUCT($AI$6:$DF$6,'Staff Daily sales'!$G493:$CD493))</f>
        <v>1</v>
      </c>
      <c r="H508">
        <f t="shared" si="139"/>
        <v>2836.85</v>
      </c>
      <c r="I508">
        <f t="shared" si="140"/>
        <v>18</v>
      </c>
      <c r="J508">
        <f t="shared" si="141"/>
        <v>55209.230000000018</v>
      </c>
      <c r="K508">
        <f t="shared" si="142"/>
        <v>272</v>
      </c>
      <c r="L508">
        <f>--AND($E508=1,OR('Staff Dashboard'!$B$6="All",$DH508='Staff Dashboard'!$B$6),OR('Staff Dashboard'!$B$7="All",$D508='Staff Dashboard'!$B$7),OR('Staff Dashboard'!$B$8="All",$A508='Staff Dashboard'!$B$8))</f>
        <v>0</v>
      </c>
      <c r="M508">
        <f>IF($E508=0,0,SUMPRODUCT($AI$7:$DF$7,'Staff Daily sales'!$G493:$CD493))</f>
        <v>1274.01</v>
      </c>
      <c r="N508">
        <f>IF($E508=0,0,SUMPRODUCT($AI$8:$DF$8,'Staff Daily sales'!$G493:$CD493))</f>
        <v>7</v>
      </c>
      <c r="O508">
        <f>IF($E508=0,0,SUMPRODUCT($AI$9:$DF$9,'Staff Daily sales'!$G493:$CD493))</f>
        <v>7076.1200000000008</v>
      </c>
      <c r="P508">
        <f>IF($E508=0,0,SUMPRODUCT($AI$10:$DF$10,'Staff Daily sales'!$G493:$CD493))</f>
        <v>57</v>
      </c>
      <c r="Q508">
        <f>IF($E508=0,0,SUMPRODUCT($AI$11:$DF$11,'Staff Daily sales'!$G493:$CD493))</f>
        <v>5383.02</v>
      </c>
      <c r="R508">
        <f>IF($E508=0,0,SUMPRODUCT($AI$12:$DF$12,'Staff Daily sales'!$G493:$CD493))</f>
        <v>45</v>
      </c>
      <c r="S508">
        <f>IF($E508=0,0,SUMPRODUCT($AI$13:$DF$13,'Staff Daily sales'!$G493:$CD493))</f>
        <v>2817.0000000000005</v>
      </c>
      <c r="T508">
        <f>IF($E508=0,0,SUMPRODUCT($AI$14:$DF$14,'Staff Daily sales'!$G493:$CD493))</f>
        <v>23</v>
      </c>
      <c r="U508">
        <f>IF($E508=0,0,SUMPRODUCT($AI$15:$DF$15,'Staff Daily sales'!$G493:$CD493))</f>
        <v>682.02</v>
      </c>
      <c r="V508">
        <f>IF($E508=0,0,SUMPRODUCT($AI$16:$DF$16,'Staff Daily sales'!$G493:$CD493))</f>
        <v>6</v>
      </c>
      <c r="W508">
        <f t="shared" si="143"/>
        <v>14031.23</v>
      </c>
      <c r="X508">
        <f t="shared" si="144"/>
        <v>18963.22</v>
      </c>
      <c r="Y508">
        <f t="shared" si="145"/>
        <v>11715.09</v>
      </c>
      <c r="Z508">
        <f t="shared" si="146"/>
        <v>11102.75</v>
      </c>
      <c r="AA508">
        <f t="shared" si="147"/>
        <v>3228.0699999999997</v>
      </c>
      <c r="AB508">
        <f>--AND($E508=1,OR('Staff Weekly Trend'!$B$3="All",$DH508='Staff Weekly Trend'!$B$3),OR('Staff Weekly Trend'!$B$4="All",$D508='Staff Weekly Trend'!$B$4),OR('Staff Weekly Trend'!$B$5="All",$A508='Staff Weekly Trend'!$B$5))</f>
        <v>1</v>
      </c>
      <c r="AC508">
        <f t="shared" si="148"/>
        <v>2</v>
      </c>
      <c r="AI508">
        <f t="shared" si="149"/>
        <v>105</v>
      </c>
      <c r="AJ508">
        <f t="shared" si="150"/>
        <v>137</v>
      </c>
      <c r="AK508">
        <f t="shared" si="151"/>
        <v>93</v>
      </c>
      <c r="AL508">
        <f t="shared" si="152"/>
        <v>85</v>
      </c>
      <c r="AM508">
        <f t="shared" si="153"/>
        <v>25</v>
      </c>
      <c r="DH508" t="str" cm="1">
        <f t="array" ref="DH508">IF($A508="","",_xlfn.LET(_xlpm.c,IFERROR(_xlfn.XLOOKUP($A508,TRIM('Sales and count'!$A$4:$A$300&amp;""),TRIM('Sales and count'!$B$4:$B$300&amp;"")),""),IF(OR(_xlpm.c="",_xlpm.c="0",LEFT(_xlpm.c,1)="#"),"Not set",_xlpm.c)))</f>
        <v>KSA</v>
      </c>
    </row>
    <row r="509" spans="1:112" x14ac:dyDescent="0.25">
      <c r="A509" t="str">
        <f>IF('Staff Daily sales'!$B494="","",TRIM('Staff Daily sales'!$B494&amp;""))</f>
        <v>HAWADILABN</v>
      </c>
      <c r="B509" t="str">
        <f>IF('Staff Daily sales'!$D494="","",TRIM('Staff Daily sales'!$D494&amp;""))</f>
        <v>2922-Khalid Ibrahim</v>
      </c>
      <c r="C509" t="str">
        <f>IFERROR(TRIM('Staff Daily sales'!$E494&amp;""),"")</f>
        <v>Riyadh</v>
      </c>
      <c r="D509" t="str">
        <f>IFERROR(IF(TRIM('Staff Daily sales'!$F494&amp;"")="","Unassigned",TRIM('Staff Daily sales'!$F494&amp;"")),"Unassigned")</f>
        <v>Mohammed Sanad</v>
      </c>
      <c r="E509">
        <f t="shared" si="138"/>
        <v>1</v>
      </c>
      <c r="F509">
        <f>IF($E509=0,0,SUMPRODUCT($AI$5:$DF$5,'Staff Daily sales'!$G494:$CD494))</f>
        <v>4150.79</v>
      </c>
      <c r="G509">
        <f>IF($E509=0,0,SUMPRODUCT($AI$6:$DF$6,'Staff Daily sales'!$G494:$CD494))</f>
        <v>27</v>
      </c>
      <c r="H509">
        <f t="shared" si="139"/>
        <v>5097.75</v>
      </c>
      <c r="I509">
        <f t="shared" si="140"/>
        <v>34</v>
      </c>
      <c r="J509">
        <f t="shared" si="141"/>
        <v>64682.640000000014</v>
      </c>
      <c r="K509">
        <f t="shared" si="142"/>
        <v>326</v>
      </c>
      <c r="L509">
        <f>--AND($E509=1,OR('Staff Dashboard'!$B$6="All",$DH509='Staff Dashboard'!$B$6),OR('Staff Dashboard'!$B$7="All",$D509='Staff Dashboard'!$B$7),OR('Staff Dashboard'!$B$8="All",$A509='Staff Dashboard'!$B$8))</f>
        <v>0</v>
      </c>
      <c r="M509">
        <f>IF($E509=0,0,SUMPRODUCT($AI$7:$DF$7,'Staff Daily sales'!$G494:$CD494))</f>
        <v>11096.11</v>
      </c>
      <c r="N509">
        <f>IF($E509=0,0,SUMPRODUCT($AI$8:$DF$8,'Staff Daily sales'!$G494:$CD494))</f>
        <v>83</v>
      </c>
      <c r="O509">
        <f>IF($E509=0,0,SUMPRODUCT($AI$9:$DF$9,'Staff Daily sales'!$G494:$CD494))</f>
        <v>23690.329999999998</v>
      </c>
      <c r="P509">
        <f>IF($E509=0,0,SUMPRODUCT($AI$10:$DF$10,'Staff Daily sales'!$G494:$CD494))</f>
        <v>140</v>
      </c>
      <c r="Q509">
        <f>IF($E509=0,0,SUMPRODUCT($AI$11:$DF$11,'Staff Daily sales'!$G494:$CD494))</f>
        <v>18056.239999999998</v>
      </c>
      <c r="R509">
        <f>IF($E509=0,0,SUMPRODUCT($AI$12:$DF$12,'Staff Daily sales'!$G494:$CD494))</f>
        <v>106</v>
      </c>
      <c r="S509">
        <f>IF($E509=0,0,SUMPRODUCT($AI$13:$DF$13,'Staff Daily sales'!$G494:$CD494))</f>
        <v>22698.58</v>
      </c>
      <c r="T509">
        <f>IF($E509=0,0,SUMPRODUCT($AI$14:$DF$14,'Staff Daily sales'!$G494:$CD494))</f>
        <v>128</v>
      </c>
      <c r="U509">
        <f>IF($E509=0,0,SUMPRODUCT($AI$15:$DF$15,'Staff Daily sales'!$G494:$CD494))</f>
        <v>641.96</v>
      </c>
      <c r="V509">
        <f>IF($E509=0,0,SUMPRODUCT($AI$16:$DF$16,'Staff Daily sales'!$G494:$CD494))</f>
        <v>3</v>
      </c>
      <c r="W509">
        <f t="shared" si="143"/>
        <v>29979.47</v>
      </c>
      <c r="X509">
        <f t="shared" si="144"/>
        <v>55430.819999999992</v>
      </c>
      <c r="Y509">
        <f t="shared" si="145"/>
        <v>40601.54</v>
      </c>
      <c r="Z509">
        <f t="shared" si="146"/>
        <v>37280.57</v>
      </c>
      <c r="AA509">
        <f t="shared" si="147"/>
        <v>8381.01</v>
      </c>
      <c r="AB509">
        <f>--AND($E509=1,OR('Staff Weekly Trend'!$B$3="All",$DH509='Staff Weekly Trend'!$B$3),OR('Staff Weekly Trend'!$B$4="All",$D509='Staff Weekly Trend'!$B$4),OR('Staff Weekly Trend'!$B$5="All",$A509='Staff Weekly Trend'!$B$5))</f>
        <v>1</v>
      </c>
      <c r="AC509">
        <f t="shared" si="148"/>
        <v>1</v>
      </c>
      <c r="AI509">
        <f t="shared" si="149"/>
        <v>219</v>
      </c>
      <c r="AJ509">
        <f t="shared" si="150"/>
        <v>355</v>
      </c>
      <c r="AK509">
        <f t="shared" si="151"/>
        <v>269</v>
      </c>
      <c r="AL509">
        <f t="shared" si="152"/>
        <v>228</v>
      </c>
      <c r="AM509">
        <f t="shared" si="153"/>
        <v>50</v>
      </c>
      <c r="DH509" t="str" cm="1">
        <f t="array" ref="DH509">IF($A509="","",_xlfn.LET(_xlpm.c,IFERROR(_xlfn.XLOOKUP($A509,TRIM('Sales and count'!$A$4:$A$300&amp;""),TRIM('Sales and count'!$B$4:$B$300&amp;"")),""),IF(OR(_xlpm.c="",_xlpm.c="0",LEFT(_xlpm.c,1)="#"),"Not set",_xlpm.c)))</f>
        <v>KSA</v>
      </c>
    </row>
    <row r="510" spans="1:112" x14ac:dyDescent="0.25">
      <c r="A510" t="str">
        <f>IF('Staff Daily sales'!$B495="","",TRIM('Staff Daily sales'!$B495&amp;""))</f>
        <v>HAWADILABN</v>
      </c>
      <c r="B510" t="str">
        <f>IF('Staff Daily sales'!$D495="","",TRIM('Staff Daily sales'!$D495&amp;""))</f>
        <v>3241-Huda Alshehri</v>
      </c>
      <c r="C510" t="str">
        <f>IFERROR(TRIM('Staff Daily sales'!$E495&amp;""),"")</f>
        <v>Riyadh</v>
      </c>
      <c r="D510" t="str">
        <f>IFERROR(IF(TRIM('Staff Daily sales'!$F495&amp;"")="","Unassigned",TRIM('Staff Daily sales'!$F495&amp;"")),"Unassigned")</f>
        <v>Mohammed Sanad</v>
      </c>
      <c r="E510">
        <f t="shared" si="138"/>
        <v>1</v>
      </c>
      <c r="F510">
        <f>IF($E510=0,0,SUMPRODUCT($AI$5:$DF$5,'Staff Daily sales'!$G495:$CD495))</f>
        <v>0</v>
      </c>
      <c r="G510">
        <f>IF($E510=0,0,SUMPRODUCT($AI$6:$DF$6,'Staff Daily sales'!$G495:$CD495))</f>
        <v>0</v>
      </c>
      <c r="H510">
        <f t="shared" si="139"/>
        <v>5097.75</v>
      </c>
      <c r="I510">
        <f t="shared" si="140"/>
        <v>34</v>
      </c>
      <c r="J510">
        <f t="shared" si="141"/>
        <v>64682.640000000014</v>
      </c>
      <c r="K510">
        <f t="shared" si="142"/>
        <v>326</v>
      </c>
      <c r="L510">
        <f>--AND($E510=1,OR('Staff Dashboard'!$B$6="All",$DH510='Staff Dashboard'!$B$6),OR('Staff Dashboard'!$B$7="All",$D510='Staff Dashboard'!$B$7),OR('Staff Dashboard'!$B$8="All",$A510='Staff Dashboard'!$B$8))</f>
        <v>0</v>
      </c>
      <c r="M510">
        <f>IF($E510=0,0,SUMPRODUCT($AI$7:$DF$7,'Staff Daily sales'!$G495:$CD495))</f>
        <v>6531.1</v>
      </c>
      <c r="N510">
        <f>IF($E510=0,0,SUMPRODUCT($AI$8:$DF$8,'Staff Daily sales'!$G495:$CD495))</f>
        <v>47</v>
      </c>
      <c r="O510">
        <f>IF($E510=0,0,SUMPRODUCT($AI$9:$DF$9,'Staff Daily sales'!$G495:$CD495))</f>
        <v>16591.349999999999</v>
      </c>
      <c r="P510">
        <f>IF($E510=0,0,SUMPRODUCT($AI$10:$DF$10,'Staff Daily sales'!$G495:$CD495))</f>
        <v>121</v>
      </c>
      <c r="Q510">
        <f>IF($E510=0,0,SUMPRODUCT($AI$11:$DF$11,'Staff Daily sales'!$G495:$CD495))</f>
        <v>9729.130000000001</v>
      </c>
      <c r="R510">
        <f>IF($E510=0,0,SUMPRODUCT($AI$12:$DF$12,'Staff Daily sales'!$G495:$CD495))</f>
        <v>70</v>
      </c>
      <c r="S510">
        <f>IF($E510=0,0,SUMPRODUCT($AI$13:$DF$13,'Staff Daily sales'!$G495:$CD495))</f>
        <v>5508.05</v>
      </c>
      <c r="T510">
        <f>IF($E510=0,0,SUMPRODUCT($AI$14:$DF$14,'Staff Daily sales'!$G495:$CD495))</f>
        <v>39</v>
      </c>
      <c r="U510">
        <f>IF($E510=0,0,SUMPRODUCT($AI$15:$DF$15,'Staff Daily sales'!$G495:$CD495))</f>
        <v>6037.07</v>
      </c>
      <c r="V510">
        <f>IF($E510=0,0,SUMPRODUCT($AI$16:$DF$16,'Staff Daily sales'!$G495:$CD495))</f>
        <v>38</v>
      </c>
      <c r="W510">
        <f t="shared" si="143"/>
        <v>29979.47</v>
      </c>
      <c r="X510">
        <f t="shared" si="144"/>
        <v>55430.819999999992</v>
      </c>
      <c r="Y510">
        <f t="shared" si="145"/>
        <v>40601.54</v>
      </c>
      <c r="Z510">
        <f t="shared" si="146"/>
        <v>37280.57</v>
      </c>
      <c r="AA510">
        <f t="shared" si="147"/>
        <v>8381.01</v>
      </c>
      <c r="AB510">
        <f>--AND($E510=1,OR('Staff Weekly Trend'!$B$3="All",$DH510='Staff Weekly Trend'!$B$3),OR('Staff Weekly Trend'!$B$4="All",$D510='Staff Weekly Trend'!$B$4),OR('Staff Weekly Trend'!$B$5="All",$A510='Staff Weekly Trend'!$B$5))</f>
        <v>1</v>
      </c>
      <c r="AC510" t="str">
        <f t="shared" si="148"/>
        <v/>
      </c>
      <c r="AI510">
        <f t="shared" si="149"/>
        <v>219</v>
      </c>
      <c r="AJ510">
        <f t="shared" si="150"/>
        <v>355</v>
      </c>
      <c r="AK510">
        <f t="shared" si="151"/>
        <v>269</v>
      </c>
      <c r="AL510">
        <f t="shared" si="152"/>
        <v>228</v>
      </c>
      <c r="AM510">
        <f t="shared" si="153"/>
        <v>50</v>
      </c>
      <c r="DH510" t="str" cm="1">
        <f t="array" ref="DH510">IF($A510="","",_xlfn.LET(_xlpm.c,IFERROR(_xlfn.XLOOKUP($A510,TRIM('Sales and count'!$A$4:$A$300&amp;""),TRIM('Sales and count'!$B$4:$B$300&amp;"")),""),IF(OR(_xlpm.c="",_xlpm.c="0",LEFT(_xlpm.c,1)="#"),"Not set",_xlpm.c)))</f>
        <v>KSA</v>
      </c>
    </row>
    <row r="511" spans="1:112" x14ac:dyDescent="0.25">
      <c r="A511" t="str">
        <f>IF('Staff Daily sales'!$B496="","",TRIM('Staff Daily sales'!$B496&amp;""))</f>
        <v>HAWADILABN</v>
      </c>
      <c r="B511" t="str">
        <f>IF('Staff Daily sales'!$D496="","",TRIM('Staff Daily sales'!$D496&amp;""))</f>
        <v>7010-MAlghamdi</v>
      </c>
      <c r="C511" t="str">
        <f>IFERROR(TRIM('Staff Daily sales'!$E496&amp;""),"")</f>
        <v>Riyadh</v>
      </c>
      <c r="D511" t="str">
        <f>IFERROR(IF(TRIM('Staff Daily sales'!$F496&amp;"")="","Unassigned",TRIM('Staff Daily sales'!$F496&amp;"")),"Unassigned")</f>
        <v>Mohammed Sanad</v>
      </c>
      <c r="E511">
        <f t="shared" si="138"/>
        <v>1</v>
      </c>
      <c r="F511">
        <f>IF($E511=0,0,SUMPRODUCT($AI$5:$DF$5,'Staff Daily sales'!$G496:$CD496))</f>
        <v>946.96</v>
      </c>
      <c r="G511">
        <f>IF($E511=0,0,SUMPRODUCT($AI$6:$DF$6,'Staff Daily sales'!$G496:$CD496))</f>
        <v>7</v>
      </c>
      <c r="H511">
        <f t="shared" si="139"/>
        <v>5097.75</v>
      </c>
      <c r="I511">
        <f t="shared" si="140"/>
        <v>34</v>
      </c>
      <c r="J511">
        <f t="shared" si="141"/>
        <v>64682.640000000014</v>
      </c>
      <c r="K511">
        <f t="shared" si="142"/>
        <v>326</v>
      </c>
      <c r="L511">
        <f>--AND($E511=1,OR('Staff Dashboard'!$B$6="All",$DH511='Staff Dashboard'!$B$6),OR('Staff Dashboard'!$B$7="All",$D511='Staff Dashboard'!$B$7),OR('Staff Dashboard'!$B$8="All",$A511='Staff Dashboard'!$B$8))</f>
        <v>0</v>
      </c>
      <c r="M511">
        <f>IF($E511=0,0,SUMPRODUCT($AI$7:$DF$7,'Staff Daily sales'!$G496:$CD496))</f>
        <v>12352.260000000002</v>
      </c>
      <c r="N511">
        <f>IF($E511=0,0,SUMPRODUCT($AI$8:$DF$8,'Staff Daily sales'!$G496:$CD496))</f>
        <v>89</v>
      </c>
      <c r="O511">
        <f>IF($E511=0,0,SUMPRODUCT($AI$9:$DF$9,'Staff Daily sales'!$G496:$CD496))</f>
        <v>15149.14</v>
      </c>
      <c r="P511">
        <f>IF($E511=0,0,SUMPRODUCT($AI$10:$DF$10,'Staff Daily sales'!$G496:$CD496))</f>
        <v>94</v>
      </c>
      <c r="Q511">
        <f>IF($E511=0,0,SUMPRODUCT($AI$11:$DF$11,'Staff Daily sales'!$G496:$CD496))</f>
        <v>12816.17</v>
      </c>
      <c r="R511">
        <f>IF($E511=0,0,SUMPRODUCT($AI$12:$DF$12,'Staff Daily sales'!$G496:$CD496))</f>
        <v>93</v>
      </c>
      <c r="S511">
        <f>IF($E511=0,0,SUMPRODUCT($AI$13:$DF$13,'Staff Daily sales'!$G496:$CD496))</f>
        <v>9073.94</v>
      </c>
      <c r="T511">
        <f>IF($E511=0,0,SUMPRODUCT($AI$14:$DF$14,'Staff Daily sales'!$G496:$CD496))</f>
        <v>61</v>
      </c>
      <c r="U511">
        <f>IF($E511=0,0,SUMPRODUCT($AI$15:$DF$15,'Staff Daily sales'!$G496:$CD496))</f>
        <v>1701.98</v>
      </c>
      <c r="V511">
        <f>IF($E511=0,0,SUMPRODUCT($AI$16:$DF$16,'Staff Daily sales'!$G496:$CD496))</f>
        <v>9</v>
      </c>
      <c r="W511">
        <f t="shared" si="143"/>
        <v>29979.47</v>
      </c>
      <c r="X511">
        <f t="shared" si="144"/>
        <v>55430.819999999992</v>
      </c>
      <c r="Y511">
        <f t="shared" si="145"/>
        <v>40601.54</v>
      </c>
      <c r="Z511">
        <f t="shared" si="146"/>
        <v>37280.57</v>
      </c>
      <c r="AA511">
        <f t="shared" si="147"/>
        <v>8381.01</v>
      </c>
      <c r="AB511">
        <f>--AND($E511=1,OR('Staff Weekly Trend'!$B$3="All",$DH511='Staff Weekly Trend'!$B$3),OR('Staff Weekly Trend'!$B$4="All",$D511='Staff Weekly Trend'!$B$4),OR('Staff Weekly Trend'!$B$5="All",$A511='Staff Weekly Trend'!$B$5))</f>
        <v>1</v>
      </c>
      <c r="AC511">
        <f t="shared" si="148"/>
        <v>2</v>
      </c>
      <c r="AI511">
        <f t="shared" si="149"/>
        <v>219</v>
      </c>
      <c r="AJ511">
        <f t="shared" si="150"/>
        <v>355</v>
      </c>
      <c r="AK511">
        <f t="shared" si="151"/>
        <v>269</v>
      </c>
      <c r="AL511">
        <f t="shared" si="152"/>
        <v>228</v>
      </c>
      <c r="AM511">
        <f t="shared" si="153"/>
        <v>50</v>
      </c>
      <c r="DH511" t="str" cm="1">
        <f t="array" ref="DH511">IF($A511="","",_xlfn.LET(_xlpm.c,IFERROR(_xlfn.XLOOKUP($A511,TRIM('Sales and count'!$A$4:$A$300&amp;""),TRIM('Sales and count'!$B$4:$B$300&amp;"")),""),IF(OR(_xlpm.c="",_xlpm.c="0",LEFT(_xlpm.c,1)="#"),"Not set",_xlpm.c)))</f>
        <v>KSA</v>
      </c>
    </row>
    <row r="512" spans="1:112" x14ac:dyDescent="0.25">
      <c r="A512" t="str">
        <f>IF('Staff Daily sales'!$B497="","",TRIM('Staff Daily sales'!$B497&amp;""))</f>
        <v>HAMAHMAL</v>
      </c>
      <c r="B512" t="str">
        <f>IF('Staff Daily sales'!$D497="","",TRIM('Staff Daily sales'!$D497&amp;""))</f>
        <v>5372-YBabsail</v>
      </c>
      <c r="C512" t="str">
        <f>IFERROR(TRIM('Staff Daily sales'!$E497&amp;""),"")</f>
        <v>Jeddah</v>
      </c>
      <c r="D512" t="str">
        <f>IFERROR(IF(TRIM('Staff Daily sales'!$F497&amp;"")="","Unassigned",TRIM('Staff Daily sales'!$F497&amp;"")),"Unassigned")</f>
        <v>Ahlam Al Zahrani</v>
      </c>
      <c r="E512">
        <f t="shared" si="138"/>
        <v>1</v>
      </c>
      <c r="F512">
        <f>IF($E512=0,0,SUMPRODUCT($AI$5:$DF$5,'Staff Daily sales'!$G497:$CD497))</f>
        <v>2532.7800000000002</v>
      </c>
      <c r="G512">
        <f>IF($E512=0,0,SUMPRODUCT($AI$6:$DF$6,'Staff Daily sales'!$G497:$CD497))</f>
        <v>4</v>
      </c>
      <c r="H512">
        <f t="shared" si="139"/>
        <v>7025.6100000000006</v>
      </c>
      <c r="I512">
        <f t="shared" si="140"/>
        <v>23</v>
      </c>
      <c r="J512">
        <f t="shared" si="141"/>
        <v>62016.170000000006</v>
      </c>
      <c r="K512">
        <f t="shared" si="142"/>
        <v>398</v>
      </c>
      <c r="L512">
        <f>--AND($E512=1,OR('Staff Dashboard'!$B$6="All",$DH512='Staff Dashboard'!$B$6),OR('Staff Dashboard'!$B$7="All",$D512='Staff Dashboard'!$B$7),OR('Staff Dashboard'!$B$8="All",$A512='Staff Dashboard'!$B$8))</f>
        <v>0</v>
      </c>
      <c r="M512">
        <f>IF($E512=0,0,SUMPRODUCT($AI$7:$DF$7,'Staff Daily sales'!$G497:$CD497))</f>
        <v>9466.24</v>
      </c>
      <c r="N512">
        <f>IF($E512=0,0,SUMPRODUCT($AI$8:$DF$8,'Staff Daily sales'!$G497:$CD497))</f>
        <v>68</v>
      </c>
      <c r="O512">
        <f>IF($E512=0,0,SUMPRODUCT($AI$9:$DF$9,'Staff Daily sales'!$G497:$CD497))</f>
        <v>8462.14</v>
      </c>
      <c r="P512">
        <f>IF($E512=0,0,SUMPRODUCT($AI$10:$DF$10,'Staff Daily sales'!$G497:$CD497))</f>
        <v>55</v>
      </c>
      <c r="Q512">
        <f>IF($E512=0,0,SUMPRODUCT($AI$11:$DF$11,'Staff Daily sales'!$G497:$CD497))</f>
        <v>5474.1799999999994</v>
      </c>
      <c r="R512">
        <f>IF($E512=0,0,SUMPRODUCT($AI$12:$DF$12,'Staff Daily sales'!$G497:$CD497))</f>
        <v>36</v>
      </c>
      <c r="S512">
        <f>IF($E512=0,0,SUMPRODUCT($AI$13:$DF$13,'Staff Daily sales'!$G497:$CD497))</f>
        <v>11352.750000000002</v>
      </c>
      <c r="T512">
        <f>IF($E512=0,0,SUMPRODUCT($AI$14:$DF$14,'Staff Daily sales'!$G497:$CD497))</f>
        <v>39</v>
      </c>
      <c r="U512">
        <f>IF($E512=0,0,SUMPRODUCT($AI$15:$DF$15,'Staff Daily sales'!$G497:$CD497))</f>
        <v>421.96</v>
      </c>
      <c r="V512">
        <f>IF($E512=0,0,SUMPRODUCT($AI$16:$DF$16,'Staff Daily sales'!$G497:$CD497))</f>
        <v>1</v>
      </c>
      <c r="W512">
        <f t="shared" si="143"/>
        <v>28657.8</v>
      </c>
      <c r="X512">
        <f t="shared" si="144"/>
        <v>41955.649999999994</v>
      </c>
      <c r="Y512">
        <f t="shared" si="145"/>
        <v>33358.92</v>
      </c>
      <c r="Z512">
        <f t="shared" si="146"/>
        <v>54390.560000000005</v>
      </c>
      <c r="AA512">
        <f t="shared" si="147"/>
        <v>10785.92</v>
      </c>
      <c r="AB512">
        <f>--AND($E512=1,OR('Staff Weekly Trend'!$B$3="All",$DH512='Staff Weekly Trend'!$B$3),OR('Staff Weekly Trend'!$B$4="All",$D512='Staff Weekly Trend'!$B$4),OR('Staff Weekly Trend'!$B$5="All",$A512='Staff Weekly Trend'!$B$5))</f>
        <v>1</v>
      </c>
      <c r="AC512">
        <f t="shared" si="148"/>
        <v>1</v>
      </c>
      <c r="AI512">
        <f t="shared" si="149"/>
        <v>163</v>
      </c>
      <c r="AJ512">
        <f t="shared" si="150"/>
        <v>218</v>
      </c>
      <c r="AK512">
        <f t="shared" si="151"/>
        <v>175</v>
      </c>
      <c r="AL512">
        <f t="shared" si="152"/>
        <v>200</v>
      </c>
      <c r="AM512">
        <f t="shared" si="153"/>
        <v>41</v>
      </c>
      <c r="DH512" t="str" cm="1">
        <f t="array" ref="DH512">IF($A512="","",_xlfn.LET(_xlpm.c,IFERROR(_xlfn.XLOOKUP($A512,TRIM('Sales and count'!$A$4:$A$300&amp;""),TRIM('Sales and count'!$B$4:$B$300&amp;"")),""),IF(OR(_xlpm.c="",_xlpm.c="0",LEFT(_xlpm.c,1)="#"),"Not set",_xlpm.c)))</f>
        <v>KSA</v>
      </c>
    </row>
    <row r="513" spans="1:112" x14ac:dyDescent="0.25">
      <c r="A513" t="str">
        <f>IF('Staff Daily sales'!$B498="","",TRIM('Staff Daily sales'!$B498&amp;""))</f>
        <v>HAMAHMAL</v>
      </c>
      <c r="B513" t="str">
        <f>IF('Staff Daily sales'!$D498="","",TRIM('Staff Daily sales'!$D498&amp;""))</f>
        <v>6180-AObud</v>
      </c>
      <c r="C513" t="str">
        <f>IFERROR(TRIM('Staff Daily sales'!$E498&amp;""),"")</f>
        <v>Jeddah</v>
      </c>
      <c r="D513" t="str">
        <f>IFERROR(IF(TRIM('Staff Daily sales'!$F498&amp;"")="","Unassigned",TRIM('Staff Daily sales'!$F498&amp;"")),"Unassigned")</f>
        <v>Ahlam Al Zahrani</v>
      </c>
      <c r="E513">
        <f t="shared" si="138"/>
        <v>1</v>
      </c>
      <c r="F513">
        <f>IF($E513=0,0,SUMPRODUCT($AI$5:$DF$5,'Staff Daily sales'!$G498:$CD498))</f>
        <v>2112.98</v>
      </c>
      <c r="G513">
        <f>IF($E513=0,0,SUMPRODUCT($AI$6:$DF$6,'Staff Daily sales'!$G498:$CD498))</f>
        <v>6</v>
      </c>
      <c r="H513">
        <f t="shared" si="139"/>
        <v>7025.6100000000006</v>
      </c>
      <c r="I513">
        <f t="shared" si="140"/>
        <v>23</v>
      </c>
      <c r="J513">
        <f t="shared" si="141"/>
        <v>62016.170000000006</v>
      </c>
      <c r="K513">
        <f t="shared" si="142"/>
        <v>398</v>
      </c>
      <c r="L513">
        <f>--AND($E513=1,OR('Staff Dashboard'!$B$6="All",$DH513='Staff Dashboard'!$B$6),OR('Staff Dashboard'!$B$7="All",$D513='Staff Dashboard'!$B$7),OR('Staff Dashboard'!$B$8="All",$A513='Staff Dashboard'!$B$8))</f>
        <v>0</v>
      </c>
      <c r="M513">
        <f>IF($E513=0,0,SUMPRODUCT($AI$7:$DF$7,'Staff Daily sales'!$G498:$CD498))</f>
        <v>4821.1099999999997</v>
      </c>
      <c r="N513">
        <f>IF($E513=0,0,SUMPRODUCT($AI$8:$DF$8,'Staff Daily sales'!$G498:$CD498))</f>
        <v>21</v>
      </c>
      <c r="O513">
        <f>IF($E513=0,0,SUMPRODUCT($AI$9:$DF$9,'Staff Daily sales'!$G498:$CD498))</f>
        <v>8183.09</v>
      </c>
      <c r="P513">
        <f>IF($E513=0,0,SUMPRODUCT($AI$10:$DF$10,'Staff Daily sales'!$G498:$CD498))</f>
        <v>28</v>
      </c>
      <c r="Q513">
        <f>IF($E513=0,0,SUMPRODUCT($AI$11:$DF$11,'Staff Daily sales'!$G498:$CD498))</f>
        <v>13365.49</v>
      </c>
      <c r="R513">
        <f>IF($E513=0,0,SUMPRODUCT($AI$12:$DF$12,'Staff Daily sales'!$G498:$CD498))</f>
        <v>42</v>
      </c>
      <c r="S513">
        <f>IF($E513=0,0,SUMPRODUCT($AI$13:$DF$13,'Staff Daily sales'!$G498:$CD498))</f>
        <v>14309.029999999999</v>
      </c>
      <c r="T513">
        <f>IF($E513=0,0,SUMPRODUCT($AI$14:$DF$14,'Staff Daily sales'!$G498:$CD498))</f>
        <v>46</v>
      </c>
      <c r="U513">
        <f>IF($E513=0,0,SUMPRODUCT($AI$15:$DF$15,'Staff Daily sales'!$G498:$CD498))</f>
        <v>1539</v>
      </c>
      <c r="V513">
        <f>IF($E513=0,0,SUMPRODUCT($AI$16:$DF$16,'Staff Daily sales'!$G498:$CD498))</f>
        <v>9</v>
      </c>
      <c r="W513">
        <f t="shared" si="143"/>
        <v>28657.8</v>
      </c>
      <c r="X513">
        <f t="shared" si="144"/>
        <v>41955.649999999994</v>
      </c>
      <c r="Y513">
        <f t="shared" si="145"/>
        <v>33358.92</v>
      </c>
      <c r="Z513">
        <f t="shared" si="146"/>
        <v>54390.560000000005</v>
      </c>
      <c r="AA513">
        <f t="shared" si="147"/>
        <v>10785.92</v>
      </c>
      <c r="AB513">
        <f>--AND($E513=1,OR('Staff Weekly Trend'!$B$3="All",$DH513='Staff Weekly Trend'!$B$3),OR('Staff Weekly Trend'!$B$4="All",$D513='Staff Weekly Trend'!$B$4),OR('Staff Weekly Trend'!$B$5="All",$A513='Staff Weekly Trend'!$B$5))</f>
        <v>1</v>
      </c>
      <c r="AC513">
        <f t="shared" si="148"/>
        <v>2</v>
      </c>
      <c r="AI513">
        <f t="shared" si="149"/>
        <v>163</v>
      </c>
      <c r="AJ513">
        <f t="shared" si="150"/>
        <v>218</v>
      </c>
      <c r="AK513">
        <f t="shared" si="151"/>
        <v>175</v>
      </c>
      <c r="AL513">
        <f t="shared" si="152"/>
        <v>200</v>
      </c>
      <c r="AM513">
        <f t="shared" si="153"/>
        <v>41</v>
      </c>
      <c r="DH513" t="str" cm="1">
        <f t="array" ref="DH513">IF($A513="","",_xlfn.LET(_xlpm.c,IFERROR(_xlfn.XLOOKUP($A513,TRIM('Sales and count'!$A$4:$A$300&amp;""),TRIM('Sales and count'!$B$4:$B$300&amp;"")),""),IF(OR(_xlpm.c="",_xlpm.c="0",LEFT(_xlpm.c,1)="#"),"Not set",_xlpm.c)))</f>
        <v>KSA</v>
      </c>
    </row>
    <row r="514" spans="1:112" x14ac:dyDescent="0.25">
      <c r="A514" t="str">
        <f>IF('Staff Daily sales'!$B499="","",TRIM('Staff Daily sales'!$B499&amp;""))</f>
        <v>HAMAHMAL</v>
      </c>
      <c r="B514" t="str">
        <f>IF('Staff Daily sales'!$D499="","",TRIM('Staff Daily sales'!$D499&amp;""))</f>
        <v>7042-MAlsulami</v>
      </c>
      <c r="C514" t="str">
        <f>IFERROR(TRIM('Staff Daily sales'!$E499&amp;""),"")</f>
        <v>Jeddah</v>
      </c>
      <c r="D514" t="str">
        <f>IFERROR(IF(TRIM('Staff Daily sales'!$F499&amp;"")="","Unassigned",TRIM('Staff Daily sales'!$F499&amp;"")),"Unassigned")</f>
        <v>Ahlam Al Zahrani</v>
      </c>
      <c r="E514">
        <f t="shared" si="138"/>
        <v>1</v>
      </c>
      <c r="F514">
        <f>IF($E514=0,0,SUMPRODUCT($AI$5:$DF$5,'Staff Daily sales'!$G499:$CD499))</f>
        <v>1444.91</v>
      </c>
      <c r="G514">
        <f>IF($E514=0,0,SUMPRODUCT($AI$6:$DF$6,'Staff Daily sales'!$G499:$CD499))</f>
        <v>6</v>
      </c>
      <c r="H514">
        <f t="shared" si="139"/>
        <v>7025.6100000000006</v>
      </c>
      <c r="I514">
        <f t="shared" si="140"/>
        <v>23</v>
      </c>
      <c r="J514">
        <f t="shared" si="141"/>
        <v>62016.170000000006</v>
      </c>
      <c r="K514">
        <f t="shared" si="142"/>
        <v>398</v>
      </c>
      <c r="L514">
        <f>--AND($E514=1,OR('Staff Dashboard'!$B$6="All",$DH514='Staff Dashboard'!$B$6),OR('Staff Dashboard'!$B$7="All",$D514='Staff Dashboard'!$B$7),OR('Staff Dashboard'!$B$8="All",$A514='Staff Dashboard'!$B$8))</f>
        <v>0</v>
      </c>
      <c r="M514">
        <f>IF($E514=0,0,SUMPRODUCT($AI$7:$DF$7,'Staff Daily sales'!$G499:$CD499))</f>
        <v>0</v>
      </c>
      <c r="N514">
        <f>IF($E514=0,0,SUMPRODUCT($AI$8:$DF$8,'Staff Daily sales'!$G499:$CD499))</f>
        <v>0</v>
      </c>
      <c r="O514">
        <f>IF($E514=0,0,SUMPRODUCT($AI$9:$DF$9,'Staff Daily sales'!$G499:$CD499))</f>
        <v>14734.12</v>
      </c>
      <c r="P514">
        <f>IF($E514=0,0,SUMPRODUCT($AI$10:$DF$10,'Staff Daily sales'!$G499:$CD499))</f>
        <v>73</v>
      </c>
      <c r="Q514">
        <f>IF($E514=0,0,SUMPRODUCT($AI$11:$DF$11,'Staff Daily sales'!$G499:$CD499))</f>
        <v>6608.1</v>
      </c>
      <c r="R514">
        <f>IF($E514=0,0,SUMPRODUCT($AI$12:$DF$12,'Staff Daily sales'!$G499:$CD499))</f>
        <v>50</v>
      </c>
      <c r="S514">
        <f>IF($E514=0,0,SUMPRODUCT($AI$13:$DF$13,'Staff Daily sales'!$G499:$CD499))</f>
        <v>9247.91</v>
      </c>
      <c r="T514">
        <f>IF($E514=0,0,SUMPRODUCT($AI$14:$DF$14,'Staff Daily sales'!$G499:$CD499))</f>
        <v>53</v>
      </c>
      <c r="U514">
        <f>IF($E514=0,0,SUMPRODUCT($AI$15:$DF$15,'Staff Daily sales'!$G499:$CD499))</f>
        <v>2856.96</v>
      </c>
      <c r="V514">
        <f>IF($E514=0,0,SUMPRODUCT($AI$16:$DF$16,'Staff Daily sales'!$G499:$CD499))</f>
        <v>14</v>
      </c>
      <c r="W514">
        <f t="shared" si="143"/>
        <v>28657.8</v>
      </c>
      <c r="X514">
        <f t="shared" si="144"/>
        <v>41955.649999999994</v>
      </c>
      <c r="Y514">
        <f t="shared" si="145"/>
        <v>33358.92</v>
      </c>
      <c r="Z514">
        <f t="shared" si="146"/>
        <v>54390.560000000005</v>
      </c>
      <c r="AA514">
        <f t="shared" si="147"/>
        <v>10785.92</v>
      </c>
      <c r="AB514">
        <f>--AND($E514=1,OR('Staff Weekly Trend'!$B$3="All",$DH514='Staff Weekly Trend'!$B$3),OR('Staff Weekly Trend'!$B$4="All",$D514='Staff Weekly Trend'!$B$4),OR('Staff Weekly Trend'!$B$5="All",$A514='Staff Weekly Trend'!$B$5))</f>
        <v>1</v>
      </c>
      <c r="AC514">
        <f t="shared" si="148"/>
        <v>3</v>
      </c>
      <c r="AI514">
        <f t="shared" si="149"/>
        <v>163</v>
      </c>
      <c r="AJ514">
        <f t="shared" si="150"/>
        <v>218</v>
      </c>
      <c r="AK514">
        <f t="shared" si="151"/>
        <v>175</v>
      </c>
      <c r="AL514">
        <f t="shared" si="152"/>
        <v>200</v>
      </c>
      <c r="AM514">
        <f t="shared" si="153"/>
        <v>41</v>
      </c>
      <c r="DH514" t="str" cm="1">
        <f t="array" ref="DH514">IF($A514="","",_xlfn.LET(_xlpm.c,IFERROR(_xlfn.XLOOKUP($A514,TRIM('Sales and count'!$A$4:$A$300&amp;""),TRIM('Sales and count'!$B$4:$B$300&amp;"")),""),IF(OR(_xlpm.c="",_xlpm.c="0",LEFT(_xlpm.c,1)="#"),"Not set",_xlpm.c)))</f>
        <v>KSA</v>
      </c>
    </row>
    <row r="515" spans="1:112" x14ac:dyDescent="0.25">
      <c r="A515" t="str">
        <f>IF('Staff Daily sales'!$B500="","",TRIM('Staff Daily sales'!$B500&amp;""))</f>
        <v>HAMAHMAL</v>
      </c>
      <c r="B515" t="str">
        <f>IF('Staff Daily sales'!$D500="","",TRIM('Staff Daily sales'!$D500&amp;""))</f>
        <v>7044-BDardari</v>
      </c>
      <c r="C515" t="str">
        <f>IFERROR(TRIM('Staff Daily sales'!$E500&amp;""),"")</f>
        <v>Jeddah</v>
      </c>
      <c r="D515" t="str">
        <f>IFERROR(IF(TRIM('Staff Daily sales'!$F500&amp;"")="","Unassigned",TRIM('Staff Daily sales'!$F500&amp;"")),"Unassigned")</f>
        <v>Ahlam Al Zahrani</v>
      </c>
      <c r="E515">
        <f t="shared" si="138"/>
        <v>1</v>
      </c>
      <c r="F515">
        <f>IF($E515=0,0,SUMPRODUCT($AI$5:$DF$5,'Staff Daily sales'!$G500:$CD500))</f>
        <v>934.94</v>
      </c>
      <c r="G515">
        <f>IF($E515=0,0,SUMPRODUCT($AI$6:$DF$6,'Staff Daily sales'!$G500:$CD500))</f>
        <v>7</v>
      </c>
      <c r="H515">
        <f t="shared" si="139"/>
        <v>7025.6100000000006</v>
      </c>
      <c r="I515">
        <f t="shared" si="140"/>
        <v>23</v>
      </c>
      <c r="J515">
        <f t="shared" si="141"/>
        <v>62016.170000000006</v>
      </c>
      <c r="K515">
        <f t="shared" si="142"/>
        <v>398</v>
      </c>
      <c r="L515">
        <f>--AND($E515=1,OR('Staff Dashboard'!$B$6="All",$DH515='Staff Dashboard'!$B$6),OR('Staff Dashboard'!$B$7="All",$D515='Staff Dashboard'!$B$7),OR('Staff Dashboard'!$B$8="All",$A515='Staff Dashboard'!$B$8))</f>
        <v>0</v>
      </c>
      <c r="M515">
        <f>IF($E515=0,0,SUMPRODUCT($AI$7:$DF$7,'Staff Daily sales'!$G500:$CD500))</f>
        <v>14370.45</v>
      </c>
      <c r="N515">
        <f>IF($E515=0,0,SUMPRODUCT($AI$8:$DF$8,'Staff Daily sales'!$G500:$CD500))</f>
        <v>74</v>
      </c>
      <c r="O515">
        <f>IF($E515=0,0,SUMPRODUCT($AI$9:$DF$9,'Staff Daily sales'!$G500:$CD500))</f>
        <v>10576.3</v>
      </c>
      <c r="P515">
        <f>IF($E515=0,0,SUMPRODUCT($AI$10:$DF$10,'Staff Daily sales'!$G500:$CD500))</f>
        <v>62</v>
      </c>
      <c r="Q515">
        <f>IF($E515=0,0,SUMPRODUCT($AI$11:$DF$11,'Staff Daily sales'!$G500:$CD500))</f>
        <v>7911.15</v>
      </c>
      <c r="R515">
        <f>IF($E515=0,0,SUMPRODUCT($AI$12:$DF$12,'Staff Daily sales'!$G500:$CD500))</f>
        <v>47</v>
      </c>
      <c r="S515">
        <f>IF($E515=0,0,SUMPRODUCT($AI$13:$DF$13,'Staff Daily sales'!$G500:$CD500))</f>
        <v>15403.9</v>
      </c>
      <c r="T515">
        <f>IF($E515=0,0,SUMPRODUCT($AI$14:$DF$14,'Staff Daily sales'!$G500:$CD500))</f>
        <v>49</v>
      </c>
      <c r="U515">
        <f>IF($E515=0,0,SUMPRODUCT($AI$15:$DF$15,'Staff Daily sales'!$G500:$CD500))</f>
        <v>5570.97</v>
      </c>
      <c r="V515">
        <f>IF($E515=0,0,SUMPRODUCT($AI$16:$DF$16,'Staff Daily sales'!$G500:$CD500))</f>
        <v>14</v>
      </c>
      <c r="W515">
        <f t="shared" si="143"/>
        <v>28657.8</v>
      </c>
      <c r="X515">
        <f t="shared" si="144"/>
        <v>41955.649999999994</v>
      </c>
      <c r="Y515">
        <f t="shared" si="145"/>
        <v>33358.92</v>
      </c>
      <c r="Z515">
        <f t="shared" si="146"/>
        <v>54390.560000000005</v>
      </c>
      <c r="AA515">
        <f t="shared" si="147"/>
        <v>10785.92</v>
      </c>
      <c r="AB515">
        <f>--AND($E515=1,OR('Staff Weekly Trend'!$B$3="All",$DH515='Staff Weekly Trend'!$B$3),OR('Staff Weekly Trend'!$B$4="All",$D515='Staff Weekly Trend'!$B$4),OR('Staff Weekly Trend'!$B$5="All",$A515='Staff Weekly Trend'!$B$5))</f>
        <v>1</v>
      </c>
      <c r="AC515">
        <f t="shared" si="148"/>
        <v>4</v>
      </c>
      <c r="AI515">
        <f t="shared" si="149"/>
        <v>163</v>
      </c>
      <c r="AJ515">
        <f t="shared" si="150"/>
        <v>218</v>
      </c>
      <c r="AK515">
        <f t="shared" si="151"/>
        <v>175</v>
      </c>
      <c r="AL515">
        <f t="shared" si="152"/>
        <v>200</v>
      </c>
      <c r="AM515">
        <f t="shared" si="153"/>
        <v>41</v>
      </c>
      <c r="DH515" t="str" cm="1">
        <f t="array" ref="DH515">IF($A515="","",_xlfn.LET(_xlpm.c,IFERROR(_xlfn.XLOOKUP($A515,TRIM('Sales and count'!$A$4:$A$300&amp;""),TRIM('Sales and count'!$B$4:$B$300&amp;"")),""),IF(OR(_xlpm.c="",_xlpm.c="0",LEFT(_xlpm.c,1)="#"),"Not set",_xlpm.c)))</f>
        <v>KSA</v>
      </c>
    </row>
    <row r="516" spans="1:112" x14ac:dyDescent="0.25">
      <c r="A516" t="str">
        <f>IF('Staff Daily sales'!$B501="","",TRIM('Staff Daily sales'!$B501&amp;""))</f>
        <v>HAMUNAIRA</v>
      </c>
      <c r="B516" t="str">
        <f>IF('Staff Daily sales'!$D501="","",TRIM('Staff Daily sales'!$D501&amp;""))</f>
        <v>5150-WAL-awlgi</v>
      </c>
      <c r="C516" t="str">
        <f>IFERROR(TRIM('Staff Daily sales'!$E501&amp;""),"")</f>
        <v>Jeddah</v>
      </c>
      <c r="D516" t="str">
        <f>IFERROR(IF(TRIM('Staff Daily sales'!$F501&amp;"")="","Unassigned",TRIM('Staff Daily sales'!$F501&amp;"")),"Unassigned")</f>
        <v>Saleh Bin Hoiel</v>
      </c>
      <c r="E516">
        <f t="shared" si="138"/>
        <v>1</v>
      </c>
      <c r="F516">
        <f>IF($E516=0,0,SUMPRODUCT($AI$5:$DF$5,'Staff Daily sales'!$G501:$CD501))</f>
        <v>0</v>
      </c>
      <c r="G516">
        <f>IF($E516=0,0,SUMPRODUCT($AI$6:$DF$6,'Staff Daily sales'!$G501:$CD501))</f>
        <v>0</v>
      </c>
      <c r="H516">
        <f t="shared" si="139"/>
        <v>2783.84</v>
      </c>
      <c r="I516">
        <f t="shared" si="140"/>
        <v>17</v>
      </c>
      <c r="J516">
        <f t="shared" si="141"/>
        <v>69638.36</v>
      </c>
      <c r="K516">
        <f t="shared" si="142"/>
        <v>362</v>
      </c>
      <c r="L516">
        <f>--AND($E516=1,OR('Staff Dashboard'!$B$6="All",$DH516='Staff Dashboard'!$B$6),OR('Staff Dashboard'!$B$7="All",$D516='Staff Dashboard'!$B$7),OR('Staff Dashboard'!$B$8="All",$A516='Staff Dashboard'!$B$8))</f>
        <v>0</v>
      </c>
      <c r="M516">
        <f>IF($E516=0,0,SUMPRODUCT($AI$7:$DF$7,'Staff Daily sales'!$G501:$CD501))</f>
        <v>2752.05</v>
      </c>
      <c r="N516">
        <f>IF($E516=0,0,SUMPRODUCT($AI$8:$DF$8,'Staff Daily sales'!$G501:$CD501))</f>
        <v>16</v>
      </c>
      <c r="O516">
        <f>IF($E516=0,0,SUMPRODUCT($AI$9:$DF$9,'Staff Daily sales'!$G501:$CD501))</f>
        <v>5552.09</v>
      </c>
      <c r="P516">
        <f>IF($E516=0,0,SUMPRODUCT($AI$10:$DF$10,'Staff Daily sales'!$G501:$CD501))</f>
        <v>32</v>
      </c>
      <c r="Q516">
        <f>IF($E516=0,0,SUMPRODUCT($AI$11:$DF$11,'Staff Daily sales'!$G501:$CD501))</f>
        <v>3706.0700000000006</v>
      </c>
      <c r="R516">
        <f>IF($E516=0,0,SUMPRODUCT($AI$12:$DF$12,'Staff Daily sales'!$G501:$CD501))</f>
        <v>19</v>
      </c>
      <c r="S516">
        <f>IF($E516=0,0,SUMPRODUCT($AI$13:$DF$13,'Staff Daily sales'!$G501:$CD501))</f>
        <v>5113.99</v>
      </c>
      <c r="T516">
        <f>IF($E516=0,0,SUMPRODUCT($AI$14:$DF$14,'Staff Daily sales'!$G501:$CD501))</f>
        <v>29</v>
      </c>
      <c r="U516">
        <f>IF($E516=0,0,SUMPRODUCT($AI$15:$DF$15,'Staff Daily sales'!$G501:$CD501))</f>
        <v>3354.06</v>
      </c>
      <c r="V516">
        <f>IF($E516=0,0,SUMPRODUCT($AI$16:$DF$16,'Staff Daily sales'!$G501:$CD501))</f>
        <v>16</v>
      </c>
      <c r="W516">
        <f t="shared" si="143"/>
        <v>12702.17</v>
      </c>
      <c r="X516">
        <f t="shared" si="144"/>
        <v>20194.36</v>
      </c>
      <c r="Y516">
        <f t="shared" si="145"/>
        <v>17545.29</v>
      </c>
      <c r="Z516">
        <f t="shared" si="146"/>
        <v>13293.8</v>
      </c>
      <c r="AA516">
        <f t="shared" si="147"/>
        <v>5240.0899999999992</v>
      </c>
      <c r="AB516">
        <f>--AND($E516=1,OR('Staff Weekly Trend'!$B$3="All",$DH516='Staff Weekly Trend'!$B$3),OR('Staff Weekly Trend'!$B$4="All",$D516='Staff Weekly Trend'!$B$4),OR('Staff Weekly Trend'!$B$5="All",$A516='Staff Weekly Trend'!$B$5))</f>
        <v>1</v>
      </c>
      <c r="AC516" t="str">
        <f t="shared" si="148"/>
        <v/>
      </c>
      <c r="AI516">
        <f t="shared" si="149"/>
        <v>79</v>
      </c>
      <c r="AJ516">
        <f t="shared" si="150"/>
        <v>118</v>
      </c>
      <c r="AK516">
        <f t="shared" si="151"/>
        <v>106</v>
      </c>
      <c r="AL516">
        <f t="shared" si="152"/>
        <v>84</v>
      </c>
      <c r="AM516">
        <f t="shared" si="153"/>
        <v>34</v>
      </c>
      <c r="DH516" t="str" cm="1">
        <f t="array" ref="DH516">IF($A516="","",_xlfn.LET(_xlpm.c,IFERROR(_xlfn.XLOOKUP($A516,TRIM('Sales and count'!$A$4:$A$300&amp;""),TRIM('Sales and count'!$B$4:$B$300&amp;"")),""),IF(OR(_xlpm.c="",_xlpm.c="0",LEFT(_xlpm.c,1)="#"),"Not set",_xlpm.c)))</f>
        <v>KSA</v>
      </c>
    </row>
    <row r="517" spans="1:112" x14ac:dyDescent="0.25">
      <c r="A517" t="str">
        <f>IF('Staff Daily sales'!$B502="","",TRIM('Staff Daily sales'!$B502&amp;""))</f>
        <v>HAMUNAIRA</v>
      </c>
      <c r="B517" t="str">
        <f>IF('Staff Daily sales'!$D502="","",TRIM('Staff Daily sales'!$D502&amp;""))</f>
        <v>6616-AAlrowaitei</v>
      </c>
      <c r="C517" t="str">
        <f>IFERROR(TRIM('Staff Daily sales'!$E502&amp;""),"")</f>
        <v>Jeddah</v>
      </c>
      <c r="D517" t="str">
        <f>IFERROR(IF(TRIM('Staff Daily sales'!$F502&amp;"")="","Unassigned",TRIM('Staff Daily sales'!$F502&amp;"")),"Unassigned")</f>
        <v>Saleh Bin Hoiel</v>
      </c>
      <c r="E517">
        <f t="shared" si="138"/>
        <v>1</v>
      </c>
      <c r="F517">
        <f>IF($E517=0,0,SUMPRODUCT($AI$5:$DF$5,'Staff Daily sales'!$G502:$CD502))</f>
        <v>1267.92</v>
      </c>
      <c r="G517">
        <f>IF($E517=0,0,SUMPRODUCT($AI$6:$DF$6,'Staff Daily sales'!$G502:$CD502))</f>
        <v>7</v>
      </c>
      <c r="H517">
        <f t="shared" si="139"/>
        <v>2783.84</v>
      </c>
      <c r="I517">
        <f t="shared" si="140"/>
        <v>17</v>
      </c>
      <c r="J517">
        <f t="shared" si="141"/>
        <v>69638.36</v>
      </c>
      <c r="K517">
        <f t="shared" si="142"/>
        <v>362</v>
      </c>
      <c r="L517">
        <f>--AND($E517=1,OR('Staff Dashboard'!$B$6="All",$DH517='Staff Dashboard'!$B$6),OR('Staff Dashboard'!$B$7="All",$D517='Staff Dashboard'!$B$7),OR('Staff Dashboard'!$B$8="All",$A517='Staff Dashboard'!$B$8))</f>
        <v>0</v>
      </c>
      <c r="M517">
        <f>IF($E517=0,0,SUMPRODUCT($AI$7:$DF$7,'Staff Daily sales'!$G502:$CD502))</f>
        <v>1420</v>
      </c>
      <c r="N517">
        <f>IF($E517=0,0,SUMPRODUCT($AI$8:$DF$8,'Staff Daily sales'!$G502:$CD502))</f>
        <v>10</v>
      </c>
      <c r="O517">
        <f>IF($E517=0,0,SUMPRODUCT($AI$9:$DF$9,'Staff Daily sales'!$G502:$CD502))</f>
        <v>6567.09</v>
      </c>
      <c r="P517">
        <f>IF($E517=0,0,SUMPRODUCT($AI$10:$DF$10,'Staff Daily sales'!$G502:$CD502))</f>
        <v>41</v>
      </c>
      <c r="Q517">
        <f>IF($E517=0,0,SUMPRODUCT($AI$11:$DF$11,'Staff Daily sales'!$G502:$CD502))</f>
        <v>5971.11</v>
      </c>
      <c r="R517">
        <f>IF($E517=0,0,SUMPRODUCT($AI$12:$DF$12,'Staff Daily sales'!$G502:$CD502))</f>
        <v>37</v>
      </c>
      <c r="S517">
        <f>IF($E517=0,0,SUMPRODUCT($AI$13:$DF$13,'Staff Daily sales'!$G502:$CD502))</f>
        <v>3541.89</v>
      </c>
      <c r="T517">
        <f>IF($E517=0,0,SUMPRODUCT($AI$14:$DF$14,'Staff Daily sales'!$G502:$CD502))</f>
        <v>20</v>
      </c>
      <c r="U517">
        <f>IF($E517=0,0,SUMPRODUCT($AI$15:$DF$15,'Staff Daily sales'!$G502:$CD502))</f>
        <v>313.01</v>
      </c>
      <c r="V517">
        <f>IF($E517=0,0,SUMPRODUCT($AI$16:$DF$16,'Staff Daily sales'!$G502:$CD502))</f>
        <v>4</v>
      </c>
      <c r="W517">
        <f t="shared" si="143"/>
        <v>12702.17</v>
      </c>
      <c r="X517">
        <f t="shared" si="144"/>
        <v>20194.36</v>
      </c>
      <c r="Y517">
        <f t="shared" si="145"/>
        <v>17545.29</v>
      </c>
      <c r="Z517">
        <f t="shared" si="146"/>
        <v>13293.8</v>
      </c>
      <c r="AA517">
        <f t="shared" si="147"/>
        <v>5240.0899999999992</v>
      </c>
      <c r="AB517">
        <f>--AND($E517=1,OR('Staff Weekly Trend'!$B$3="All",$DH517='Staff Weekly Trend'!$B$3),OR('Staff Weekly Trend'!$B$4="All",$D517='Staff Weekly Trend'!$B$4),OR('Staff Weekly Trend'!$B$5="All",$A517='Staff Weekly Trend'!$B$5))</f>
        <v>1</v>
      </c>
      <c r="AC517">
        <f t="shared" si="148"/>
        <v>1</v>
      </c>
      <c r="AI517">
        <f t="shared" si="149"/>
        <v>79</v>
      </c>
      <c r="AJ517">
        <f t="shared" si="150"/>
        <v>118</v>
      </c>
      <c r="AK517">
        <f t="shared" si="151"/>
        <v>106</v>
      </c>
      <c r="AL517">
        <f t="shared" si="152"/>
        <v>84</v>
      </c>
      <c r="AM517">
        <f t="shared" si="153"/>
        <v>34</v>
      </c>
      <c r="DH517" t="str" cm="1">
        <f t="array" ref="DH517">IF($A517="","",_xlfn.LET(_xlpm.c,IFERROR(_xlfn.XLOOKUP($A517,TRIM('Sales and count'!$A$4:$A$300&amp;""),TRIM('Sales and count'!$B$4:$B$300&amp;"")),""),IF(OR(_xlpm.c="",_xlpm.c="0",LEFT(_xlpm.c,1)="#"),"Not set",_xlpm.c)))</f>
        <v>KSA</v>
      </c>
    </row>
    <row r="518" spans="1:112" x14ac:dyDescent="0.25">
      <c r="A518" t="str">
        <f>IF('Staff Daily sales'!$B503="","",TRIM('Staff Daily sales'!$B503&amp;""))</f>
        <v>HAMUNAIRA</v>
      </c>
      <c r="B518" t="str">
        <f>IF('Staff Daily sales'!$D503="","",TRIM('Staff Daily sales'!$D503&amp;""))</f>
        <v>7129-EAlrabighi</v>
      </c>
      <c r="C518" t="str">
        <f>IFERROR(TRIM('Staff Daily sales'!$E503&amp;""),"")</f>
        <v>Jeddah</v>
      </c>
      <c r="D518" t="str">
        <f>IFERROR(IF(TRIM('Staff Daily sales'!$F503&amp;"")="","Unassigned",TRIM('Staff Daily sales'!$F503&amp;"")),"Unassigned")</f>
        <v>Saleh Bin Hoiel</v>
      </c>
      <c r="E518">
        <f t="shared" si="138"/>
        <v>1</v>
      </c>
      <c r="F518">
        <f>IF($E518=0,0,SUMPRODUCT($AI$5:$DF$5,'Staff Daily sales'!$G503:$CD503))</f>
        <v>918.96</v>
      </c>
      <c r="G518">
        <f>IF($E518=0,0,SUMPRODUCT($AI$6:$DF$6,'Staff Daily sales'!$G503:$CD503))</f>
        <v>6</v>
      </c>
      <c r="H518">
        <f t="shared" si="139"/>
        <v>2783.84</v>
      </c>
      <c r="I518">
        <f t="shared" si="140"/>
        <v>17</v>
      </c>
      <c r="J518">
        <f t="shared" si="141"/>
        <v>69638.36</v>
      </c>
      <c r="K518">
        <f t="shared" si="142"/>
        <v>362</v>
      </c>
      <c r="L518">
        <f>--AND($E518=1,OR('Staff Dashboard'!$B$6="All",$DH518='Staff Dashboard'!$B$6),OR('Staff Dashboard'!$B$7="All",$D518='Staff Dashboard'!$B$7),OR('Staff Dashboard'!$B$8="All",$A518='Staff Dashboard'!$B$8))</f>
        <v>0</v>
      </c>
      <c r="M518">
        <f>IF($E518=0,0,SUMPRODUCT($AI$7:$DF$7,'Staff Daily sales'!$G503:$CD503))</f>
        <v>6396.05</v>
      </c>
      <c r="N518">
        <f>IF($E518=0,0,SUMPRODUCT($AI$8:$DF$8,'Staff Daily sales'!$G503:$CD503))</f>
        <v>38</v>
      </c>
      <c r="O518">
        <f>IF($E518=0,0,SUMPRODUCT($AI$9:$DF$9,'Staff Daily sales'!$G503:$CD503))</f>
        <v>4065.0899999999997</v>
      </c>
      <c r="P518">
        <f>IF($E518=0,0,SUMPRODUCT($AI$10:$DF$10,'Staff Daily sales'!$G503:$CD503))</f>
        <v>25</v>
      </c>
      <c r="Q518">
        <f>IF($E518=0,0,SUMPRODUCT($AI$11:$DF$11,'Staff Daily sales'!$G503:$CD503))</f>
        <v>6780.1100000000006</v>
      </c>
      <c r="R518">
        <f>IF($E518=0,0,SUMPRODUCT($AI$12:$DF$12,'Staff Daily sales'!$G503:$CD503))</f>
        <v>41</v>
      </c>
      <c r="S518">
        <f>IF($E518=0,0,SUMPRODUCT($AI$13:$DF$13,'Staff Daily sales'!$G503:$CD503))</f>
        <v>3925.96</v>
      </c>
      <c r="T518">
        <f>IF($E518=0,0,SUMPRODUCT($AI$14:$DF$14,'Staff Daily sales'!$G503:$CD503))</f>
        <v>30</v>
      </c>
      <c r="U518">
        <f>IF($E518=0,0,SUMPRODUCT($AI$15:$DF$15,'Staff Daily sales'!$G503:$CD503))</f>
        <v>938.03</v>
      </c>
      <c r="V518">
        <f>IF($E518=0,0,SUMPRODUCT($AI$16:$DF$16,'Staff Daily sales'!$G503:$CD503))</f>
        <v>9</v>
      </c>
      <c r="W518">
        <f t="shared" si="143"/>
        <v>12702.17</v>
      </c>
      <c r="X518">
        <f t="shared" si="144"/>
        <v>20194.36</v>
      </c>
      <c r="Y518">
        <f t="shared" si="145"/>
        <v>17545.29</v>
      </c>
      <c r="Z518">
        <f t="shared" si="146"/>
        <v>13293.8</v>
      </c>
      <c r="AA518">
        <f t="shared" si="147"/>
        <v>5240.0899999999992</v>
      </c>
      <c r="AB518">
        <f>--AND($E518=1,OR('Staff Weekly Trend'!$B$3="All",$DH518='Staff Weekly Trend'!$B$3),OR('Staff Weekly Trend'!$B$4="All",$D518='Staff Weekly Trend'!$B$4),OR('Staff Weekly Trend'!$B$5="All",$A518='Staff Weekly Trend'!$B$5))</f>
        <v>1</v>
      </c>
      <c r="AC518">
        <f t="shared" si="148"/>
        <v>2</v>
      </c>
      <c r="AI518">
        <f t="shared" si="149"/>
        <v>79</v>
      </c>
      <c r="AJ518">
        <f t="shared" si="150"/>
        <v>118</v>
      </c>
      <c r="AK518">
        <f t="shared" si="151"/>
        <v>106</v>
      </c>
      <c r="AL518">
        <f t="shared" si="152"/>
        <v>84</v>
      </c>
      <c r="AM518">
        <f t="shared" si="153"/>
        <v>34</v>
      </c>
      <c r="DH518" t="str" cm="1">
        <f t="array" ref="DH518">IF($A518="","",_xlfn.LET(_xlpm.c,IFERROR(_xlfn.XLOOKUP($A518,TRIM('Sales and count'!$A$4:$A$300&amp;""),TRIM('Sales and count'!$B$4:$B$300&amp;"")),""),IF(OR(_xlpm.c="",_xlpm.c="0",LEFT(_xlpm.c,1)="#"),"Not set",_xlpm.c)))</f>
        <v>KSA</v>
      </c>
    </row>
    <row r="519" spans="1:112" x14ac:dyDescent="0.25">
      <c r="A519" t="str">
        <f>IF('Staff Daily sales'!$B504="","",TRIM('Staff Daily sales'!$B504&amp;""))</f>
        <v>HAMUNAIRA</v>
      </c>
      <c r="B519" t="str">
        <f>IF('Staff Daily sales'!$D504="","",TRIM('Staff Daily sales'!$D504&amp;""))</f>
        <v>7217-SFulfulan</v>
      </c>
      <c r="C519" t="str">
        <f>IFERROR(TRIM('Staff Daily sales'!$E504&amp;""),"")</f>
        <v>Jeddah</v>
      </c>
      <c r="D519" t="str">
        <f>IFERROR(IF(TRIM('Staff Daily sales'!$F504&amp;"")="","Unassigned",TRIM('Staff Daily sales'!$F504&amp;"")),"Unassigned")</f>
        <v>Saleh Bin Hoiel</v>
      </c>
      <c r="E519">
        <f t="shared" si="138"/>
        <v>1</v>
      </c>
      <c r="F519">
        <f>IF($E519=0,0,SUMPRODUCT($AI$5:$DF$5,'Staff Daily sales'!$G504:$CD504))</f>
        <v>596.96</v>
      </c>
      <c r="G519">
        <f>IF($E519=0,0,SUMPRODUCT($AI$6:$DF$6,'Staff Daily sales'!$G504:$CD504))</f>
        <v>4</v>
      </c>
      <c r="H519">
        <f t="shared" si="139"/>
        <v>2783.84</v>
      </c>
      <c r="I519">
        <f t="shared" si="140"/>
        <v>17</v>
      </c>
      <c r="J519">
        <f t="shared" si="141"/>
        <v>69638.36</v>
      </c>
      <c r="K519">
        <f t="shared" si="142"/>
        <v>362</v>
      </c>
      <c r="L519">
        <f>--AND($E519=1,OR('Staff Dashboard'!$B$6="All",$DH519='Staff Dashboard'!$B$6),OR('Staff Dashboard'!$B$7="All",$D519='Staff Dashboard'!$B$7),OR('Staff Dashboard'!$B$8="All",$A519='Staff Dashboard'!$B$8))</f>
        <v>0</v>
      </c>
      <c r="M519">
        <f>IF($E519=0,0,SUMPRODUCT($AI$7:$DF$7,'Staff Daily sales'!$G504:$CD504))</f>
        <v>2134.0699999999997</v>
      </c>
      <c r="N519">
        <f>IF($E519=0,0,SUMPRODUCT($AI$8:$DF$8,'Staff Daily sales'!$G504:$CD504))</f>
        <v>15</v>
      </c>
      <c r="O519">
        <f>IF($E519=0,0,SUMPRODUCT($AI$9:$DF$9,'Staff Daily sales'!$G504:$CD504))</f>
        <v>4010.09</v>
      </c>
      <c r="P519">
        <f>IF($E519=0,0,SUMPRODUCT($AI$10:$DF$10,'Staff Daily sales'!$G504:$CD504))</f>
        <v>20</v>
      </c>
      <c r="Q519">
        <f>IF($E519=0,0,SUMPRODUCT($AI$11:$DF$11,'Staff Daily sales'!$G504:$CD504))</f>
        <v>1088</v>
      </c>
      <c r="R519">
        <f>IF($E519=0,0,SUMPRODUCT($AI$12:$DF$12,'Staff Daily sales'!$G504:$CD504))</f>
        <v>9</v>
      </c>
      <c r="S519">
        <f>IF($E519=0,0,SUMPRODUCT($AI$13:$DF$13,'Staff Daily sales'!$G504:$CD504))</f>
        <v>711.96</v>
      </c>
      <c r="T519">
        <f>IF($E519=0,0,SUMPRODUCT($AI$14:$DF$14,'Staff Daily sales'!$G504:$CD504))</f>
        <v>5</v>
      </c>
      <c r="U519">
        <f>IF($E519=0,0,SUMPRODUCT($AI$15:$DF$15,'Staff Daily sales'!$G504:$CD504))</f>
        <v>634.99</v>
      </c>
      <c r="V519">
        <f>IF($E519=0,0,SUMPRODUCT($AI$16:$DF$16,'Staff Daily sales'!$G504:$CD504))</f>
        <v>5</v>
      </c>
      <c r="W519">
        <f t="shared" si="143"/>
        <v>12702.17</v>
      </c>
      <c r="X519">
        <f t="shared" si="144"/>
        <v>20194.36</v>
      </c>
      <c r="Y519">
        <f t="shared" si="145"/>
        <v>17545.29</v>
      </c>
      <c r="Z519">
        <f t="shared" si="146"/>
        <v>13293.8</v>
      </c>
      <c r="AA519">
        <f t="shared" si="147"/>
        <v>5240.0899999999992</v>
      </c>
      <c r="AB519">
        <f>--AND($E519=1,OR('Staff Weekly Trend'!$B$3="All",$DH519='Staff Weekly Trend'!$B$3),OR('Staff Weekly Trend'!$B$4="All",$D519='Staff Weekly Trend'!$B$4),OR('Staff Weekly Trend'!$B$5="All",$A519='Staff Weekly Trend'!$B$5))</f>
        <v>1</v>
      </c>
      <c r="AC519">
        <f t="shared" si="148"/>
        <v>3</v>
      </c>
      <c r="AI519">
        <f t="shared" si="149"/>
        <v>79</v>
      </c>
      <c r="AJ519">
        <f t="shared" si="150"/>
        <v>118</v>
      </c>
      <c r="AK519">
        <f t="shared" si="151"/>
        <v>106</v>
      </c>
      <c r="AL519">
        <f t="shared" si="152"/>
        <v>84</v>
      </c>
      <c r="AM519">
        <f t="shared" si="153"/>
        <v>34</v>
      </c>
      <c r="DH519" t="str" cm="1">
        <f t="array" ref="DH519">IF($A519="","",_xlfn.LET(_xlpm.c,IFERROR(_xlfn.XLOOKUP($A519,TRIM('Sales and count'!$A$4:$A$300&amp;""),TRIM('Sales and count'!$B$4:$B$300&amp;"")),""),IF(OR(_xlpm.c="",_xlpm.c="0",LEFT(_xlpm.c,1)="#"),"Not set",_xlpm.c)))</f>
        <v>KSA</v>
      </c>
    </row>
    <row r="520" spans="1:112" x14ac:dyDescent="0.25">
      <c r="A520" t="str">
        <f>IF('Staff Daily sales'!$B505="","",TRIM('Staff Daily sales'!$B505&amp;""))</f>
        <v>HAPALMJED</v>
      </c>
      <c r="B520" t="str">
        <f>IF('Staff Daily sales'!$D505="","",TRIM('Staff Daily sales'!$D505&amp;""))</f>
        <v>2984- MAlSubari</v>
      </c>
      <c r="C520" t="str">
        <f>IFERROR(TRIM('Staff Daily sales'!$E505&amp;""),"")</f>
        <v>Jeddah</v>
      </c>
      <c r="D520" t="str">
        <f>IFERROR(IF(TRIM('Staff Daily sales'!$F505&amp;"")="","Unassigned",TRIM('Staff Daily sales'!$F505&amp;"")),"Unassigned")</f>
        <v>Ahlam Al Zahrani</v>
      </c>
      <c r="E520">
        <f t="shared" si="138"/>
        <v>1</v>
      </c>
      <c r="F520">
        <f>IF($E520=0,0,SUMPRODUCT($AI$5:$DF$5,'Staff Daily sales'!$G505:$CD505))</f>
        <v>-210.98</v>
      </c>
      <c r="G520">
        <f>IF($E520=0,0,SUMPRODUCT($AI$6:$DF$6,'Staff Daily sales'!$G505:$CD505))</f>
        <v>2</v>
      </c>
      <c r="H520">
        <f t="shared" si="139"/>
        <v>5934.67</v>
      </c>
      <c r="I520">
        <f t="shared" si="140"/>
        <v>40</v>
      </c>
      <c r="J520">
        <f t="shared" si="141"/>
        <v>62016.170000000006</v>
      </c>
      <c r="K520">
        <f t="shared" si="142"/>
        <v>398</v>
      </c>
      <c r="L520">
        <f>--AND($E520=1,OR('Staff Dashboard'!$B$6="All",$DH520='Staff Dashboard'!$B$6),OR('Staff Dashboard'!$B$7="All",$D520='Staff Dashboard'!$B$7),OR('Staff Dashboard'!$B$8="All",$A520='Staff Dashboard'!$B$8))</f>
        <v>0</v>
      </c>
      <c r="M520">
        <f>IF($E520=0,0,SUMPRODUCT($AI$7:$DF$7,'Staff Daily sales'!$G505:$CD505))</f>
        <v>8878.14</v>
      </c>
      <c r="N520">
        <f>IF($E520=0,0,SUMPRODUCT($AI$8:$DF$8,'Staff Daily sales'!$G505:$CD505))</f>
        <v>67</v>
      </c>
      <c r="O520">
        <f>IF($E520=0,0,SUMPRODUCT($AI$9:$DF$9,'Staff Daily sales'!$G505:$CD505))</f>
        <v>16086.34</v>
      </c>
      <c r="P520">
        <f>IF($E520=0,0,SUMPRODUCT($AI$10:$DF$10,'Staff Daily sales'!$G505:$CD505))</f>
        <v>88</v>
      </c>
      <c r="Q520">
        <f>IF($E520=0,0,SUMPRODUCT($AI$11:$DF$11,'Staff Daily sales'!$G505:$CD505))</f>
        <v>8509.0399999999991</v>
      </c>
      <c r="R520">
        <f>IF($E520=0,0,SUMPRODUCT($AI$12:$DF$12,'Staff Daily sales'!$G505:$CD505))</f>
        <v>48</v>
      </c>
      <c r="S520">
        <f>IF($E520=0,0,SUMPRODUCT($AI$13:$DF$13,'Staff Daily sales'!$G505:$CD505))</f>
        <v>-45.97999999999999</v>
      </c>
      <c r="T520">
        <f>IF($E520=0,0,SUMPRODUCT($AI$14:$DF$14,'Staff Daily sales'!$G505:$CD505))</f>
        <v>5</v>
      </c>
      <c r="U520">
        <f>IF($E520=0,0,SUMPRODUCT($AI$15:$DF$15,'Staff Daily sales'!$G505:$CD505))</f>
        <v>0</v>
      </c>
      <c r="V520">
        <f>IF($E520=0,0,SUMPRODUCT($AI$16:$DF$16,'Staff Daily sales'!$G505:$CD505))</f>
        <v>0</v>
      </c>
      <c r="W520">
        <f t="shared" si="143"/>
        <v>26592.43</v>
      </c>
      <c r="X520">
        <f t="shared" si="144"/>
        <v>48463.86</v>
      </c>
      <c r="Y520">
        <f t="shared" si="145"/>
        <v>31260.400000000001</v>
      </c>
      <c r="Z520">
        <f t="shared" si="146"/>
        <v>29140.86</v>
      </c>
      <c r="AA520">
        <f t="shared" si="147"/>
        <v>7533.22</v>
      </c>
      <c r="AB520">
        <f>--AND($E520=1,OR('Staff Weekly Trend'!$B$3="All",$DH520='Staff Weekly Trend'!$B$3),OR('Staff Weekly Trend'!$B$4="All",$D520='Staff Weekly Trend'!$B$4),OR('Staff Weekly Trend'!$B$5="All",$A520='Staff Weekly Trend'!$B$5))</f>
        <v>1</v>
      </c>
      <c r="AC520">
        <f t="shared" si="148"/>
        <v>4</v>
      </c>
      <c r="AI520">
        <f t="shared" si="149"/>
        <v>217</v>
      </c>
      <c r="AJ520">
        <f t="shared" si="150"/>
        <v>256</v>
      </c>
      <c r="AK520">
        <f t="shared" si="151"/>
        <v>195</v>
      </c>
      <c r="AL520">
        <f t="shared" si="152"/>
        <v>190</v>
      </c>
      <c r="AM520">
        <f t="shared" si="153"/>
        <v>46</v>
      </c>
      <c r="DH520" t="str" cm="1">
        <f t="array" ref="DH520">IF($A520="","",_xlfn.LET(_xlpm.c,IFERROR(_xlfn.XLOOKUP($A520,TRIM('Sales and count'!$A$4:$A$300&amp;""),TRIM('Sales and count'!$B$4:$B$300&amp;"")),""),IF(OR(_xlpm.c="",_xlpm.c="0",LEFT(_xlpm.c,1)="#"),"Not set",_xlpm.c)))</f>
        <v>KSA</v>
      </c>
    </row>
    <row r="521" spans="1:112" x14ac:dyDescent="0.25">
      <c r="A521" t="str">
        <f>IF('Staff Daily sales'!$B506="","",TRIM('Staff Daily sales'!$B506&amp;""))</f>
        <v>HAPALMJED</v>
      </c>
      <c r="B521" t="str">
        <f>IF('Staff Daily sales'!$D506="","",TRIM('Staff Daily sales'!$D506&amp;""))</f>
        <v>3484-Abdullah Al Thabet</v>
      </c>
      <c r="C521" t="str">
        <f>IFERROR(TRIM('Staff Daily sales'!$E506&amp;""),"")</f>
        <v>Jeddah</v>
      </c>
      <c r="D521" t="str">
        <f>IFERROR(IF(TRIM('Staff Daily sales'!$F506&amp;"")="","Unassigned",TRIM('Staff Daily sales'!$F506&amp;"")),"Unassigned")</f>
        <v>Ahlam Al Zahrani</v>
      </c>
      <c r="E521">
        <f t="shared" si="138"/>
        <v>1</v>
      </c>
      <c r="F521">
        <f>IF($E521=0,0,SUMPRODUCT($AI$5:$DF$5,'Staff Daily sales'!$G506:$CD506))</f>
        <v>3686.8</v>
      </c>
      <c r="G521">
        <f>IF($E521=0,0,SUMPRODUCT($AI$6:$DF$6,'Staff Daily sales'!$G506:$CD506))</f>
        <v>25</v>
      </c>
      <c r="H521">
        <f t="shared" si="139"/>
        <v>5934.67</v>
      </c>
      <c r="I521">
        <f t="shared" si="140"/>
        <v>40</v>
      </c>
      <c r="J521">
        <f t="shared" si="141"/>
        <v>62016.170000000006</v>
      </c>
      <c r="K521">
        <f t="shared" si="142"/>
        <v>398</v>
      </c>
      <c r="L521">
        <f>--AND($E521=1,OR('Staff Dashboard'!$B$6="All",$DH521='Staff Dashboard'!$B$6),OR('Staff Dashboard'!$B$7="All",$D521='Staff Dashboard'!$B$7),OR('Staff Dashboard'!$B$8="All",$A521='Staff Dashboard'!$B$8))</f>
        <v>0</v>
      </c>
      <c r="M521">
        <f>IF($E521=0,0,SUMPRODUCT($AI$7:$DF$7,'Staff Daily sales'!$G506:$CD506))</f>
        <v>7348.0999999999995</v>
      </c>
      <c r="N521">
        <f>IF($E521=0,0,SUMPRODUCT($AI$8:$DF$8,'Staff Daily sales'!$G506:$CD506))</f>
        <v>54</v>
      </c>
      <c r="O521">
        <f>IF($E521=0,0,SUMPRODUCT($AI$9:$DF$9,'Staff Daily sales'!$G506:$CD506))</f>
        <v>8352.11</v>
      </c>
      <c r="P521">
        <f>IF($E521=0,0,SUMPRODUCT($AI$10:$DF$10,'Staff Daily sales'!$G506:$CD506))</f>
        <v>56</v>
      </c>
      <c r="Q521">
        <f>IF($E521=0,0,SUMPRODUCT($AI$11:$DF$11,'Staff Daily sales'!$G506:$CD506))</f>
        <v>7597.1200000000008</v>
      </c>
      <c r="R521">
        <f>IF($E521=0,0,SUMPRODUCT($AI$12:$DF$12,'Staff Daily sales'!$G506:$CD506))</f>
        <v>48</v>
      </c>
      <c r="S521">
        <f>IF($E521=0,0,SUMPRODUCT($AI$13:$DF$13,'Staff Daily sales'!$G506:$CD506))</f>
        <v>12471.8</v>
      </c>
      <c r="T521">
        <f>IF($E521=0,0,SUMPRODUCT($AI$14:$DF$14,'Staff Daily sales'!$G506:$CD506))</f>
        <v>76</v>
      </c>
      <c r="U521">
        <f>IF($E521=0,0,SUMPRODUCT($AI$15:$DF$15,'Staff Daily sales'!$G506:$CD506))</f>
        <v>1877.04</v>
      </c>
      <c r="V521">
        <f>IF($E521=0,0,SUMPRODUCT($AI$16:$DF$16,'Staff Daily sales'!$G506:$CD506))</f>
        <v>13</v>
      </c>
      <c r="W521">
        <f t="shared" si="143"/>
        <v>26592.43</v>
      </c>
      <c r="X521">
        <f t="shared" si="144"/>
        <v>48463.86</v>
      </c>
      <c r="Y521">
        <f t="shared" si="145"/>
        <v>31260.400000000001</v>
      </c>
      <c r="Z521">
        <f t="shared" si="146"/>
        <v>29140.86</v>
      </c>
      <c r="AA521">
        <f t="shared" si="147"/>
        <v>7533.22</v>
      </c>
      <c r="AB521">
        <f>--AND($E521=1,OR('Staff Weekly Trend'!$B$3="All",$DH521='Staff Weekly Trend'!$B$3),OR('Staff Weekly Trend'!$B$4="All",$D521='Staff Weekly Trend'!$B$4),OR('Staff Weekly Trend'!$B$5="All",$A521='Staff Weekly Trend'!$B$5))</f>
        <v>1</v>
      </c>
      <c r="AC521">
        <f t="shared" si="148"/>
        <v>1</v>
      </c>
      <c r="AI521">
        <f t="shared" si="149"/>
        <v>217</v>
      </c>
      <c r="AJ521">
        <f t="shared" si="150"/>
        <v>256</v>
      </c>
      <c r="AK521">
        <f t="shared" si="151"/>
        <v>195</v>
      </c>
      <c r="AL521">
        <f t="shared" si="152"/>
        <v>190</v>
      </c>
      <c r="AM521">
        <f t="shared" si="153"/>
        <v>46</v>
      </c>
      <c r="DH521" t="str" cm="1">
        <f t="array" ref="DH521">IF($A521="","",_xlfn.LET(_xlpm.c,IFERROR(_xlfn.XLOOKUP($A521,TRIM('Sales and count'!$A$4:$A$300&amp;""),TRIM('Sales and count'!$B$4:$B$300&amp;"")),""),IF(OR(_xlpm.c="",_xlpm.c="0",LEFT(_xlpm.c,1)="#"),"Not set",_xlpm.c)))</f>
        <v>KSA</v>
      </c>
    </row>
    <row r="522" spans="1:112" x14ac:dyDescent="0.25">
      <c r="A522" t="str">
        <f>IF('Staff Daily sales'!$B507="","",TRIM('Staff Daily sales'!$B507&amp;""))</f>
        <v>HAPALMJED</v>
      </c>
      <c r="B522" t="str">
        <f>IF('Staff Daily sales'!$D507="","",TRIM('Staff Daily sales'!$D507&amp;""))</f>
        <v>6138-YAlHarbi</v>
      </c>
      <c r="C522" t="str">
        <f>IFERROR(TRIM('Staff Daily sales'!$E507&amp;""),"")</f>
        <v>Jeddah</v>
      </c>
      <c r="D522" t="str">
        <f>IFERROR(IF(TRIM('Staff Daily sales'!$F507&amp;"")="","Unassigned",TRIM('Staff Daily sales'!$F507&amp;"")),"Unassigned")</f>
        <v>Ahlam Al Zahrani</v>
      </c>
      <c r="E522">
        <f t="shared" si="138"/>
        <v>1</v>
      </c>
      <c r="F522">
        <f>IF($E522=0,0,SUMPRODUCT($AI$5:$DF$5,'Staff Daily sales'!$G507:$CD507))</f>
        <v>1775.87</v>
      </c>
      <c r="G522">
        <f>IF($E522=0,0,SUMPRODUCT($AI$6:$DF$6,'Staff Daily sales'!$G507:$CD507))</f>
        <v>9</v>
      </c>
      <c r="H522">
        <f t="shared" si="139"/>
        <v>5934.67</v>
      </c>
      <c r="I522">
        <f t="shared" si="140"/>
        <v>40</v>
      </c>
      <c r="J522">
        <f t="shared" si="141"/>
        <v>62016.170000000006</v>
      </c>
      <c r="K522">
        <f t="shared" si="142"/>
        <v>398</v>
      </c>
      <c r="L522">
        <f>--AND($E522=1,OR('Staff Dashboard'!$B$6="All",$DH522='Staff Dashboard'!$B$6),OR('Staff Dashboard'!$B$7="All",$D522='Staff Dashboard'!$B$7),OR('Staff Dashboard'!$B$8="All",$A522='Staff Dashboard'!$B$8))</f>
        <v>0</v>
      </c>
      <c r="M522">
        <f>IF($E522=0,0,SUMPRODUCT($AI$7:$DF$7,'Staff Daily sales'!$G507:$CD507))</f>
        <v>3091.06</v>
      </c>
      <c r="N522">
        <f>IF($E522=0,0,SUMPRODUCT($AI$8:$DF$8,'Staff Daily sales'!$G507:$CD507))</f>
        <v>24</v>
      </c>
      <c r="O522">
        <f>IF($E522=0,0,SUMPRODUCT($AI$9:$DF$9,'Staff Daily sales'!$G507:$CD507))</f>
        <v>3169.06</v>
      </c>
      <c r="P522">
        <f>IF($E522=0,0,SUMPRODUCT($AI$10:$DF$10,'Staff Daily sales'!$G507:$CD507))</f>
        <v>19</v>
      </c>
      <c r="Q522">
        <f>IF($E522=0,0,SUMPRODUCT($AI$11:$DF$11,'Staff Daily sales'!$G507:$CD507))</f>
        <v>3429.06</v>
      </c>
      <c r="R522">
        <f>IF($E522=0,0,SUMPRODUCT($AI$12:$DF$12,'Staff Daily sales'!$G507:$CD507))</f>
        <v>21</v>
      </c>
      <c r="S522">
        <f>IF($E522=0,0,SUMPRODUCT($AI$13:$DF$13,'Staff Daily sales'!$G507:$CD507))</f>
        <v>4548.93</v>
      </c>
      <c r="T522">
        <f>IF($E522=0,0,SUMPRODUCT($AI$14:$DF$14,'Staff Daily sales'!$G507:$CD507))</f>
        <v>29</v>
      </c>
      <c r="U522">
        <f>IF($E522=0,0,SUMPRODUCT($AI$15:$DF$15,'Staff Daily sales'!$G507:$CD507))</f>
        <v>1527.07</v>
      </c>
      <c r="V522">
        <f>IF($E522=0,0,SUMPRODUCT($AI$16:$DF$16,'Staff Daily sales'!$G507:$CD507))</f>
        <v>8</v>
      </c>
      <c r="W522">
        <f t="shared" si="143"/>
        <v>26592.43</v>
      </c>
      <c r="X522">
        <f t="shared" si="144"/>
        <v>48463.86</v>
      </c>
      <c r="Y522">
        <f t="shared" si="145"/>
        <v>31260.400000000001</v>
      </c>
      <c r="Z522">
        <f t="shared" si="146"/>
        <v>29140.86</v>
      </c>
      <c r="AA522">
        <f t="shared" si="147"/>
        <v>7533.22</v>
      </c>
      <c r="AB522">
        <f>--AND($E522=1,OR('Staff Weekly Trend'!$B$3="All",$DH522='Staff Weekly Trend'!$B$3),OR('Staff Weekly Trend'!$B$4="All",$D522='Staff Weekly Trend'!$B$4),OR('Staff Weekly Trend'!$B$5="All",$A522='Staff Weekly Trend'!$B$5))</f>
        <v>1</v>
      </c>
      <c r="AC522">
        <f t="shared" si="148"/>
        <v>2</v>
      </c>
      <c r="AI522">
        <f t="shared" si="149"/>
        <v>217</v>
      </c>
      <c r="AJ522">
        <f t="shared" si="150"/>
        <v>256</v>
      </c>
      <c r="AK522">
        <f t="shared" si="151"/>
        <v>195</v>
      </c>
      <c r="AL522">
        <f t="shared" si="152"/>
        <v>190</v>
      </c>
      <c r="AM522">
        <f t="shared" si="153"/>
        <v>46</v>
      </c>
      <c r="DH522" t="str" cm="1">
        <f t="array" ref="DH522">IF($A522="","",_xlfn.LET(_xlpm.c,IFERROR(_xlfn.XLOOKUP($A522,TRIM('Sales and count'!$A$4:$A$300&amp;""),TRIM('Sales and count'!$B$4:$B$300&amp;"")),""),IF(OR(_xlpm.c="",_xlpm.c="0",LEFT(_xlpm.c,1)="#"),"Not set",_xlpm.c)))</f>
        <v>KSA</v>
      </c>
    </row>
    <row r="523" spans="1:112" x14ac:dyDescent="0.25">
      <c r="A523" t="str">
        <f>IF('Staff Daily sales'!$B508="","",TRIM('Staff Daily sales'!$B508&amp;""))</f>
        <v>HAPALMJED</v>
      </c>
      <c r="B523" t="str">
        <f>IF('Staff Daily sales'!$D508="","",TRIM('Staff Daily sales'!$D508&amp;""))</f>
        <v>6402-AAlzahrani</v>
      </c>
      <c r="C523" t="str">
        <f>IFERROR(TRIM('Staff Daily sales'!$E508&amp;""),"")</f>
        <v>Jeddah</v>
      </c>
      <c r="D523" t="str">
        <f>IFERROR(IF(TRIM('Staff Daily sales'!$F508&amp;"")="","Unassigned",TRIM('Staff Daily sales'!$F508&amp;"")),"Unassigned")</f>
        <v>Ahlam Al Zahrani</v>
      </c>
      <c r="E523">
        <f t="shared" si="138"/>
        <v>1</v>
      </c>
      <c r="F523">
        <f>IF($E523=0,0,SUMPRODUCT($AI$5:$DF$5,'Staff Daily sales'!$G508:$CD508))</f>
        <v>682.98</v>
      </c>
      <c r="G523">
        <f>IF($E523=0,0,SUMPRODUCT($AI$6:$DF$6,'Staff Daily sales'!$G508:$CD508))</f>
        <v>4</v>
      </c>
      <c r="H523">
        <f t="shared" si="139"/>
        <v>5934.67</v>
      </c>
      <c r="I523">
        <f t="shared" si="140"/>
        <v>40</v>
      </c>
      <c r="J523">
        <f t="shared" si="141"/>
        <v>62016.170000000006</v>
      </c>
      <c r="K523">
        <f t="shared" si="142"/>
        <v>398</v>
      </c>
      <c r="L523">
        <f>--AND($E523=1,OR('Staff Dashboard'!$B$6="All",$DH523='Staff Dashboard'!$B$6),OR('Staff Dashboard'!$B$7="All",$D523='Staff Dashboard'!$B$7),OR('Staff Dashboard'!$B$8="All",$A523='Staff Dashboard'!$B$8))</f>
        <v>0</v>
      </c>
      <c r="M523">
        <f>IF($E523=0,0,SUMPRODUCT($AI$7:$DF$7,'Staff Daily sales'!$G508:$CD508))</f>
        <v>7275.13</v>
      </c>
      <c r="N523">
        <f>IF($E523=0,0,SUMPRODUCT($AI$8:$DF$8,'Staff Daily sales'!$G508:$CD508))</f>
        <v>72</v>
      </c>
      <c r="O523">
        <f>IF($E523=0,0,SUMPRODUCT($AI$9:$DF$9,'Staff Daily sales'!$G508:$CD508))</f>
        <v>20856.349999999999</v>
      </c>
      <c r="P523">
        <f>IF($E523=0,0,SUMPRODUCT($AI$10:$DF$10,'Staff Daily sales'!$G508:$CD508))</f>
        <v>93</v>
      </c>
      <c r="Q523">
        <f>IF($E523=0,0,SUMPRODUCT($AI$11:$DF$11,'Staff Daily sales'!$G508:$CD508))</f>
        <v>11725.18</v>
      </c>
      <c r="R523">
        <f>IF($E523=0,0,SUMPRODUCT($AI$12:$DF$12,'Staff Daily sales'!$G508:$CD508))</f>
        <v>78</v>
      </c>
      <c r="S523">
        <f>IF($E523=0,0,SUMPRODUCT($AI$13:$DF$13,'Staff Daily sales'!$G508:$CD508))</f>
        <v>12166.11</v>
      </c>
      <c r="T523">
        <f>IF($E523=0,0,SUMPRODUCT($AI$14:$DF$14,'Staff Daily sales'!$G508:$CD508))</f>
        <v>80</v>
      </c>
      <c r="U523">
        <f>IF($E523=0,0,SUMPRODUCT($AI$15:$DF$15,'Staff Daily sales'!$G508:$CD508))</f>
        <v>4129.1100000000006</v>
      </c>
      <c r="V523">
        <f>IF($E523=0,0,SUMPRODUCT($AI$16:$DF$16,'Staff Daily sales'!$G508:$CD508))</f>
        <v>25</v>
      </c>
      <c r="W523">
        <f t="shared" si="143"/>
        <v>26592.43</v>
      </c>
      <c r="X523">
        <f t="shared" si="144"/>
        <v>48463.86</v>
      </c>
      <c r="Y523">
        <f t="shared" si="145"/>
        <v>31260.400000000001</v>
      </c>
      <c r="Z523">
        <f t="shared" si="146"/>
        <v>29140.86</v>
      </c>
      <c r="AA523">
        <f t="shared" si="147"/>
        <v>7533.22</v>
      </c>
      <c r="AB523">
        <f>--AND($E523=1,OR('Staff Weekly Trend'!$B$3="All",$DH523='Staff Weekly Trend'!$B$3),OR('Staff Weekly Trend'!$B$4="All",$D523='Staff Weekly Trend'!$B$4),OR('Staff Weekly Trend'!$B$5="All",$A523='Staff Weekly Trend'!$B$5))</f>
        <v>1</v>
      </c>
      <c r="AC523">
        <f t="shared" si="148"/>
        <v>3</v>
      </c>
      <c r="AI523">
        <f t="shared" si="149"/>
        <v>217</v>
      </c>
      <c r="AJ523">
        <f t="shared" si="150"/>
        <v>256</v>
      </c>
      <c r="AK523">
        <f t="shared" si="151"/>
        <v>195</v>
      </c>
      <c r="AL523">
        <f t="shared" si="152"/>
        <v>190</v>
      </c>
      <c r="AM523">
        <f t="shared" si="153"/>
        <v>46</v>
      </c>
      <c r="DH523" t="str" cm="1">
        <f t="array" ref="DH523">IF($A523="","",_xlfn.LET(_xlpm.c,IFERROR(_xlfn.XLOOKUP($A523,TRIM('Sales and count'!$A$4:$A$300&amp;""),TRIM('Sales and count'!$B$4:$B$300&amp;"")),""),IF(OR(_xlpm.c="",_xlpm.c="0",LEFT(_xlpm.c,1)="#"),"Not set",_xlpm.c)))</f>
        <v>KSA</v>
      </c>
    </row>
    <row r="524" spans="1:112" x14ac:dyDescent="0.25">
      <c r="A524" t="str">
        <f>IF('Staff Daily sales'!$B509="","",TRIM('Staff Daily sales'!$B509&amp;""))</f>
        <v>HARSHNRYD</v>
      </c>
      <c r="B524" t="str">
        <f>IF('Staff Daily sales'!$D509="","",TRIM('Staff Daily sales'!$D509&amp;""))</f>
        <v>3520-NAlanazi</v>
      </c>
      <c r="C524" t="str">
        <f>IFERROR(TRIM('Staff Daily sales'!$E509&amp;""),"")</f>
        <v>Riyadh</v>
      </c>
      <c r="D524" t="str">
        <f>IFERROR(IF(TRIM('Staff Daily sales'!$F509&amp;"")="","Unassigned",TRIM('Staff Daily sales'!$F509&amp;"")),"Unassigned")</f>
        <v>Lina Al Ghathami</v>
      </c>
      <c r="E524">
        <f t="shared" si="138"/>
        <v>1</v>
      </c>
      <c r="F524">
        <f>IF($E524=0,0,SUMPRODUCT($AI$5:$DF$5,'Staff Daily sales'!$G509:$CD509))</f>
        <v>2065.9299999999998</v>
      </c>
      <c r="G524">
        <f>IF($E524=0,0,SUMPRODUCT($AI$6:$DF$6,'Staff Daily sales'!$G509:$CD509))</f>
        <v>15</v>
      </c>
      <c r="H524">
        <f t="shared" si="139"/>
        <v>2065.9299999999998</v>
      </c>
      <c r="I524">
        <f t="shared" si="140"/>
        <v>15</v>
      </c>
      <c r="J524">
        <f t="shared" si="141"/>
        <v>62915.250000000007</v>
      </c>
      <c r="K524">
        <f t="shared" si="142"/>
        <v>385</v>
      </c>
      <c r="L524">
        <f>--AND($E524=1,OR('Staff Dashboard'!$B$6="All",$DH524='Staff Dashboard'!$B$6),OR('Staff Dashboard'!$B$7="All",$D524='Staff Dashboard'!$B$7),OR('Staff Dashboard'!$B$8="All",$A524='Staff Dashboard'!$B$8))</f>
        <v>0</v>
      </c>
      <c r="M524">
        <f>IF($E524=0,0,SUMPRODUCT($AI$7:$DF$7,'Staff Daily sales'!$G509:$CD509))</f>
        <v>366</v>
      </c>
      <c r="N524">
        <f>IF($E524=0,0,SUMPRODUCT($AI$8:$DF$8,'Staff Daily sales'!$G509:$CD509))</f>
        <v>4</v>
      </c>
      <c r="O524">
        <f>IF($E524=0,0,SUMPRODUCT($AI$9:$DF$9,'Staff Daily sales'!$G509:$CD509))</f>
        <v>150</v>
      </c>
      <c r="P524">
        <f>IF($E524=0,0,SUMPRODUCT($AI$10:$DF$10,'Staff Daily sales'!$G509:$CD509))</f>
        <v>1</v>
      </c>
      <c r="Q524">
        <f>IF($E524=0,0,SUMPRODUCT($AI$11:$DF$11,'Staff Daily sales'!$G509:$CD509))</f>
        <v>6331.07</v>
      </c>
      <c r="R524">
        <f>IF($E524=0,0,SUMPRODUCT($AI$12:$DF$12,'Staff Daily sales'!$G509:$CD509))</f>
        <v>42</v>
      </c>
      <c r="S524">
        <f>IF($E524=0,0,SUMPRODUCT($AI$13:$DF$13,'Staff Daily sales'!$G509:$CD509))</f>
        <v>12860.87</v>
      </c>
      <c r="T524">
        <f>IF($E524=0,0,SUMPRODUCT($AI$14:$DF$14,'Staff Daily sales'!$G509:$CD509))</f>
        <v>91</v>
      </c>
      <c r="U524">
        <f>IF($E524=0,0,SUMPRODUCT($AI$15:$DF$15,'Staff Daily sales'!$G509:$CD509))</f>
        <v>633.02</v>
      </c>
      <c r="V524">
        <f>IF($E524=0,0,SUMPRODUCT($AI$16:$DF$16,'Staff Daily sales'!$G509:$CD509))</f>
        <v>2</v>
      </c>
      <c r="W524">
        <f t="shared" si="143"/>
        <v>8016.08</v>
      </c>
      <c r="X524">
        <f t="shared" si="144"/>
        <v>17993.34</v>
      </c>
      <c r="Y524">
        <f t="shared" si="145"/>
        <v>8761.119999999999</v>
      </c>
      <c r="Z524">
        <f t="shared" si="146"/>
        <v>12860.87</v>
      </c>
      <c r="AA524">
        <f t="shared" si="147"/>
        <v>2984.11</v>
      </c>
      <c r="AB524">
        <f>--AND($E524=1,OR('Staff Weekly Trend'!$B$3="All",$DH524='Staff Weekly Trend'!$B$3),OR('Staff Weekly Trend'!$B$4="All",$D524='Staff Weekly Trend'!$B$4),OR('Staff Weekly Trend'!$B$5="All",$A524='Staff Weekly Trend'!$B$5))</f>
        <v>1</v>
      </c>
      <c r="AC524">
        <f t="shared" si="148"/>
        <v>1</v>
      </c>
      <c r="AI524">
        <f t="shared" si="149"/>
        <v>70</v>
      </c>
      <c r="AJ524">
        <f t="shared" si="150"/>
        <v>122</v>
      </c>
      <c r="AK524">
        <f t="shared" si="151"/>
        <v>58</v>
      </c>
      <c r="AL524">
        <f t="shared" si="152"/>
        <v>91</v>
      </c>
      <c r="AM524">
        <f t="shared" si="153"/>
        <v>16</v>
      </c>
      <c r="DH524" t="str" cm="1">
        <f t="array" ref="DH524">IF($A524="","",_xlfn.LET(_xlpm.c,IFERROR(_xlfn.XLOOKUP($A524,TRIM('Sales and count'!$A$4:$A$300&amp;""),TRIM('Sales and count'!$B$4:$B$300&amp;"")),""),IF(OR(_xlpm.c="",_xlpm.c="0",LEFT(_xlpm.c,1)="#"),"Not set",_xlpm.c)))</f>
        <v>KSA</v>
      </c>
    </row>
    <row r="525" spans="1:112" x14ac:dyDescent="0.25">
      <c r="A525" t="str">
        <f>IF('Staff Daily sales'!$B510="","",TRIM('Staff Daily sales'!$B510&amp;""))</f>
        <v>HARSHNRYD</v>
      </c>
      <c r="B525" t="str">
        <f>IF('Staff Daily sales'!$D510="","",TRIM('Staff Daily sales'!$D510&amp;""))</f>
        <v>6411-AAlFardan</v>
      </c>
      <c r="C525" t="str">
        <f>IFERROR(TRIM('Staff Daily sales'!$E510&amp;""),"")</f>
        <v>Riyadh</v>
      </c>
      <c r="D525" t="str">
        <f>IFERROR(IF(TRIM('Staff Daily sales'!$F510&amp;"")="","Unassigned",TRIM('Staff Daily sales'!$F510&amp;"")),"Unassigned")</f>
        <v>Lina Al Ghathami</v>
      </c>
      <c r="E525">
        <f t="shared" si="138"/>
        <v>1</v>
      </c>
      <c r="F525">
        <f>IF($E525=0,0,SUMPRODUCT($AI$5:$DF$5,'Staff Daily sales'!$G510:$CD510))</f>
        <v>0</v>
      </c>
      <c r="G525">
        <f>IF($E525=0,0,SUMPRODUCT($AI$6:$DF$6,'Staff Daily sales'!$G510:$CD510))</f>
        <v>0</v>
      </c>
      <c r="H525">
        <f t="shared" si="139"/>
        <v>2065.9299999999998</v>
      </c>
      <c r="I525">
        <f t="shared" si="140"/>
        <v>15</v>
      </c>
      <c r="J525">
        <f t="shared" si="141"/>
        <v>62915.250000000007</v>
      </c>
      <c r="K525">
        <f t="shared" si="142"/>
        <v>385</v>
      </c>
      <c r="L525">
        <f>--AND($E525=1,OR('Staff Dashboard'!$B$6="All",$DH525='Staff Dashboard'!$B$6),OR('Staff Dashboard'!$B$7="All",$D525='Staff Dashboard'!$B$7),OR('Staff Dashboard'!$B$8="All",$A525='Staff Dashboard'!$B$8))</f>
        <v>0</v>
      </c>
      <c r="M525">
        <f>IF($E525=0,0,SUMPRODUCT($AI$7:$DF$7,'Staff Daily sales'!$G510:$CD510))</f>
        <v>7650.08</v>
      </c>
      <c r="N525">
        <f>IF($E525=0,0,SUMPRODUCT($AI$8:$DF$8,'Staff Daily sales'!$G510:$CD510))</f>
        <v>66</v>
      </c>
      <c r="O525">
        <f>IF($E525=0,0,SUMPRODUCT($AI$9:$DF$9,'Staff Daily sales'!$G510:$CD510))</f>
        <v>17843.34</v>
      </c>
      <c r="P525">
        <f>IF($E525=0,0,SUMPRODUCT($AI$10:$DF$10,'Staff Daily sales'!$G510:$CD510))</f>
        <v>121</v>
      </c>
      <c r="Q525">
        <f>IF($E525=0,0,SUMPRODUCT($AI$11:$DF$11,'Staff Daily sales'!$G510:$CD510))</f>
        <v>2430.0500000000002</v>
      </c>
      <c r="R525">
        <f>IF($E525=0,0,SUMPRODUCT($AI$12:$DF$12,'Staff Daily sales'!$G510:$CD510))</f>
        <v>16</v>
      </c>
      <c r="S525">
        <f>IF($E525=0,0,SUMPRODUCT($AI$13:$DF$13,'Staff Daily sales'!$G510:$CD510))</f>
        <v>0</v>
      </c>
      <c r="T525">
        <f>IF($E525=0,0,SUMPRODUCT($AI$14:$DF$14,'Staff Daily sales'!$G510:$CD510))</f>
        <v>0</v>
      </c>
      <c r="U525">
        <f>IF($E525=0,0,SUMPRODUCT($AI$15:$DF$15,'Staff Daily sales'!$G510:$CD510))</f>
        <v>0</v>
      </c>
      <c r="V525">
        <f>IF($E525=0,0,SUMPRODUCT($AI$16:$DF$16,'Staff Daily sales'!$G510:$CD510))</f>
        <v>0</v>
      </c>
      <c r="W525">
        <f t="shared" si="143"/>
        <v>8016.08</v>
      </c>
      <c r="X525">
        <f t="shared" si="144"/>
        <v>17993.34</v>
      </c>
      <c r="Y525">
        <f t="shared" si="145"/>
        <v>8761.119999999999</v>
      </c>
      <c r="Z525">
        <f t="shared" si="146"/>
        <v>12860.87</v>
      </c>
      <c r="AA525">
        <f t="shared" si="147"/>
        <v>2984.11</v>
      </c>
      <c r="AB525">
        <f>--AND($E525=1,OR('Staff Weekly Trend'!$B$3="All",$DH525='Staff Weekly Trend'!$B$3),OR('Staff Weekly Trend'!$B$4="All",$D525='Staff Weekly Trend'!$B$4),OR('Staff Weekly Trend'!$B$5="All",$A525='Staff Weekly Trend'!$B$5))</f>
        <v>1</v>
      </c>
      <c r="AC525" t="str">
        <f t="shared" si="148"/>
        <v/>
      </c>
      <c r="AI525">
        <f t="shared" si="149"/>
        <v>70</v>
      </c>
      <c r="AJ525">
        <f t="shared" si="150"/>
        <v>122</v>
      </c>
      <c r="AK525">
        <f t="shared" si="151"/>
        <v>58</v>
      </c>
      <c r="AL525">
        <f t="shared" si="152"/>
        <v>91</v>
      </c>
      <c r="AM525">
        <f t="shared" si="153"/>
        <v>16</v>
      </c>
      <c r="DH525" t="str" cm="1">
        <f t="array" ref="DH525">IF($A525="","",_xlfn.LET(_xlpm.c,IFERROR(_xlfn.XLOOKUP($A525,TRIM('Sales and count'!$A$4:$A$300&amp;""),TRIM('Sales and count'!$B$4:$B$300&amp;"")),""),IF(OR(_xlpm.c="",_xlpm.c="0",LEFT(_xlpm.c,1)="#"),"Not set",_xlpm.c)))</f>
        <v>KSA</v>
      </c>
    </row>
    <row r="526" spans="1:112" x14ac:dyDescent="0.25">
      <c r="A526" t="str">
        <f>IF('Staff Daily sales'!$B511="","",TRIM('Staff Daily sales'!$B511&amp;""))</f>
        <v>HALAVANDAP</v>
      </c>
      <c r="B526" t="str">
        <f>IF('Staff Daily sales'!$D511="","",TRIM('Staff Daily sales'!$D511&amp;""))</f>
        <v>4592-SJabeer</v>
      </c>
      <c r="C526" t="str">
        <f>IFERROR(TRIM('Staff Daily sales'!$E511&amp;""),"")</f>
        <v>Abha</v>
      </c>
      <c r="D526" t="str">
        <f>IFERROR(IF(TRIM('Staff Daily sales'!$F511&amp;"")="","Unassigned",TRIM('Staff Daily sales'!$F511&amp;"")),"Unassigned")</f>
        <v>Ahmed Jaffari</v>
      </c>
      <c r="E526">
        <f t="shared" si="138"/>
        <v>1</v>
      </c>
      <c r="F526">
        <f>IF($E526=0,0,SUMPRODUCT($AI$5:$DF$5,'Staff Daily sales'!$G511:$CD511))</f>
        <v>0</v>
      </c>
      <c r="G526">
        <f>IF($E526=0,0,SUMPRODUCT($AI$6:$DF$6,'Staff Daily sales'!$G511:$CD511))</f>
        <v>0</v>
      </c>
      <c r="H526">
        <f t="shared" si="139"/>
        <v>1426.94</v>
      </c>
      <c r="I526">
        <f t="shared" si="140"/>
        <v>7</v>
      </c>
      <c r="J526">
        <f t="shared" si="141"/>
        <v>44058.899999999994</v>
      </c>
      <c r="K526">
        <f t="shared" si="142"/>
        <v>244</v>
      </c>
      <c r="L526">
        <f>--AND($E526=1,OR('Staff Dashboard'!$B$6="All",$DH526='Staff Dashboard'!$B$6),OR('Staff Dashboard'!$B$7="All",$D526='Staff Dashboard'!$B$7),OR('Staff Dashboard'!$B$8="All",$A526='Staff Dashboard'!$B$8))</f>
        <v>0</v>
      </c>
      <c r="M526">
        <f>IF($E526=0,0,SUMPRODUCT($AI$7:$DF$7,'Staff Daily sales'!$G511:$CD511))</f>
        <v>5058.07</v>
      </c>
      <c r="N526">
        <f>IF($E526=0,0,SUMPRODUCT($AI$8:$DF$8,'Staff Daily sales'!$G511:$CD511))</f>
        <v>25</v>
      </c>
      <c r="O526">
        <f>IF($E526=0,0,SUMPRODUCT($AI$9:$DF$9,'Staff Daily sales'!$G511:$CD511))</f>
        <v>1916.03</v>
      </c>
      <c r="P526">
        <f>IF($E526=0,0,SUMPRODUCT($AI$10:$DF$10,'Staff Daily sales'!$G511:$CD511))</f>
        <v>9</v>
      </c>
      <c r="Q526">
        <f>IF($E526=0,0,SUMPRODUCT($AI$11:$DF$11,'Staff Daily sales'!$G511:$CD511))</f>
        <v>1139</v>
      </c>
      <c r="R526">
        <f>IF($E526=0,0,SUMPRODUCT($AI$12:$DF$12,'Staff Daily sales'!$G511:$CD511))</f>
        <v>7</v>
      </c>
      <c r="S526">
        <f>IF($E526=0,0,SUMPRODUCT($AI$13:$DF$13,'Staff Daily sales'!$G511:$CD511))</f>
        <v>2619.94</v>
      </c>
      <c r="T526">
        <f>IF($E526=0,0,SUMPRODUCT($AI$14:$DF$14,'Staff Daily sales'!$G511:$CD511))</f>
        <v>16</v>
      </c>
      <c r="U526">
        <f>IF($E526=0,0,SUMPRODUCT($AI$15:$DF$15,'Staff Daily sales'!$G511:$CD511))</f>
        <v>693.02</v>
      </c>
      <c r="V526">
        <f>IF($E526=0,0,SUMPRODUCT($AI$16:$DF$16,'Staff Daily sales'!$G511:$CD511))</f>
        <v>5</v>
      </c>
      <c r="W526">
        <f t="shared" si="143"/>
        <v>15244.25</v>
      </c>
      <c r="X526">
        <f t="shared" si="144"/>
        <v>17165.310000000001</v>
      </c>
      <c r="Y526">
        <f t="shared" si="145"/>
        <v>15393.119999999999</v>
      </c>
      <c r="Z526">
        <f t="shared" si="146"/>
        <v>10273.799999999999</v>
      </c>
      <c r="AA526">
        <f t="shared" si="147"/>
        <v>2925.99</v>
      </c>
      <c r="AB526">
        <f>--AND($E526=1,OR('Staff Weekly Trend'!$B$3="All",$DH526='Staff Weekly Trend'!$B$3),OR('Staff Weekly Trend'!$B$4="All",$D526='Staff Weekly Trend'!$B$4),OR('Staff Weekly Trend'!$B$5="All",$A526='Staff Weekly Trend'!$B$5))</f>
        <v>1</v>
      </c>
      <c r="AC526" t="str">
        <f t="shared" si="148"/>
        <v/>
      </c>
      <c r="AI526">
        <f t="shared" si="149"/>
        <v>86</v>
      </c>
      <c r="AJ526">
        <f t="shared" si="150"/>
        <v>97</v>
      </c>
      <c r="AK526">
        <f t="shared" si="151"/>
        <v>86</v>
      </c>
      <c r="AL526">
        <f t="shared" si="152"/>
        <v>58</v>
      </c>
      <c r="AM526">
        <f t="shared" si="153"/>
        <v>17</v>
      </c>
      <c r="DH526" t="str" cm="1">
        <f t="array" ref="DH526">IF($A526="","",_xlfn.LET(_xlpm.c,IFERROR(_xlfn.XLOOKUP($A526,TRIM('Sales and count'!$A$4:$A$300&amp;""),TRIM('Sales and count'!$B$4:$B$300&amp;"")),""),IF(OR(_xlpm.c="",_xlpm.c="0",LEFT(_xlpm.c,1)="#"),"Not set",_xlpm.c)))</f>
        <v>KSA</v>
      </c>
    </row>
    <row r="527" spans="1:112" x14ac:dyDescent="0.25">
      <c r="A527" t="str">
        <f>IF('Staff Daily sales'!$B512="","",TRIM('Staff Daily sales'!$B512&amp;""))</f>
        <v>HALAVANDAP</v>
      </c>
      <c r="B527" t="str">
        <f>IF('Staff Daily sales'!$D512="","",TRIM('Staff Daily sales'!$D512&amp;""))</f>
        <v>6066-NAlzubaidi</v>
      </c>
      <c r="C527" t="str">
        <f>IFERROR(TRIM('Staff Daily sales'!$E512&amp;""),"")</f>
        <v>Abha</v>
      </c>
      <c r="D527" t="str">
        <f>IFERROR(IF(TRIM('Staff Daily sales'!$F512&amp;"")="","Unassigned",TRIM('Staff Daily sales'!$F512&amp;"")),"Unassigned")</f>
        <v>Ahmed Jaffari</v>
      </c>
      <c r="E527">
        <f t="shared" si="138"/>
        <v>1</v>
      </c>
      <c r="F527">
        <f>IF($E527=0,0,SUMPRODUCT($AI$5:$DF$5,'Staff Daily sales'!$G512:$CD512))</f>
        <v>571.96</v>
      </c>
      <c r="G527">
        <f>IF($E527=0,0,SUMPRODUCT($AI$6:$DF$6,'Staff Daily sales'!$G512:$CD512))</f>
        <v>2</v>
      </c>
      <c r="H527">
        <f t="shared" si="139"/>
        <v>1426.94</v>
      </c>
      <c r="I527">
        <f t="shared" si="140"/>
        <v>7</v>
      </c>
      <c r="J527">
        <f t="shared" si="141"/>
        <v>44058.899999999994</v>
      </c>
      <c r="K527">
        <f t="shared" si="142"/>
        <v>244</v>
      </c>
      <c r="L527">
        <f>--AND($E527=1,OR('Staff Dashboard'!$B$6="All",$DH527='Staff Dashboard'!$B$6),OR('Staff Dashboard'!$B$7="All",$D527='Staff Dashboard'!$B$7),OR('Staff Dashboard'!$B$8="All",$A527='Staff Dashboard'!$B$8))</f>
        <v>0</v>
      </c>
      <c r="M527">
        <f>IF($E527=0,0,SUMPRODUCT($AI$7:$DF$7,'Staff Daily sales'!$G512:$CD512))</f>
        <v>6566.09</v>
      </c>
      <c r="N527">
        <f>IF($E527=0,0,SUMPRODUCT($AI$8:$DF$8,'Staff Daily sales'!$G512:$CD512))</f>
        <v>37</v>
      </c>
      <c r="O527">
        <f>IF($E527=0,0,SUMPRODUCT($AI$9:$DF$9,'Staff Daily sales'!$G512:$CD512))</f>
        <v>3209.06</v>
      </c>
      <c r="P527">
        <f>IF($E527=0,0,SUMPRODUCT($AI$10:$DF$10,'Staff Daily sales'!$G512:$CD512))</f>
        <v>17</v>
      </c>
      <c r="Q527">
        <f>IF($E527=0,0,SUMPRODUCT($AI$11:$DF$11,'Staff Daily sales'!$G512:$CD512))</f>
        <v>6794.04</v>
      </c>
      <c r="R527">
        <f>IF($E527=0,0,SUMPRODUCT($AI$12:$DF$12,'Staff Daily sales'!$G512:$CD512))</f>
        <v>35</v>
      </c>
      <c r="S527">
        <f>IF($E527=0,0,SUMPRODUCT($AI$13:$DF$13,'Staff Daily sales'!$G512:$CD512))</f>
        <v>1560.96</v>
      </c>
      <c r="T527">
        <f>IF($E527=0,0,SUMPRODUCT($AI$14:$DF$14,'Staff Daily sales'!$G512:$CD512))</f>
        <v>7</v>
      </c>
      <c r="U527">
        <f>IF($E527=0,0,SUMPRODUCT($AI$15:$DF$15,'Staff Daily sales'!$G512:$CD512))</f>
        <v>1013.97</v>
      </c>
      <c r="V527">
        <f>IF($E527=0,0,SUMPRODUCT($AI$16:$DF$16,'Staff Daily sales'!$G512:$CD512))</f>
        <v>6</v>
      </c>
      <c r="W527">
        <f t="shared" si="143"/>
        <v>15244.25</v>
      </c>
      <c r="X527">
        <f t="shared" si="144"/>
        <v>17165.310000000001</v>
      </c>
      <c r="Y527">
        <f t="shared" si="145"/>
        <v>15393.119999999999</v>
      </c>
      <c r="Z527">
        <f t="shared" si="146"/>
        <v>10273.799999999999</v>
      </c>
      <c r="AA527">
        <f t="shared" si="147"/>
        <v>2925.99</v>
      </c>
      <c r="AB527">
        <f>--AND($E527=1,OR('Staff Weekly Trend'!$B$3="All",$DH527='Staff Weekly Trend'!$B$3),OR('Staff Weekly Trend'!$B$4="All",$D527='Staff Weekly Trend'!$B$4),OR('Staff Weekly Trend'!$B$5="All",$A527='Staff Weekly Trend'!$B$5))</f>
        <v>1</v>
      </c>
      <c r="AC527">
        <f t="shared" si="148"/>
        <v>2</v>
      </c>
      <c r="AI527">
        <f t="shared" si="149"/>
        <v>86</v>
      </c>
      <c r="AJ527">
        <f t="shared" si="150"/>
        <v>97</v>
      </c>
      <c r="AK527">
        <f t="shared" si="151"/>
        <v>86</v>
      </c>
      <c r="AL527">
        <f t="shared" si="152"/>
        <v>58</v>
      </c>
      <c r="AM527">
        <f t="shared" si="153"/>
        <v>17</v>
      </c>
      <c r="DH527" t="str" cm="1">
        <f t="array" ref="DH527">IF($A527="","",_xlfn.LET(_xlpm.c,IFERROR(_xlfn.XLOOKUP($A527,TRIM('Sales and count'!$A$4:$A$300&amp;""),TRIM('Sales and count'!$B$4:$B$300&amp;"")),""),IF(OR(_xlpm.c="",_xlpm.c="0",LEFT(_xlpm.c,1)="#"),"Not set",_xlpm.c)))</f>
        <v>KSA</v>
      </c>
    </row>
    <row r="528" spans="1:112" x14ac:dyDescent="0.25">
      <c r="A528" t="str">
        <f>IF('Staff Daily sales'!$B513="","",TRIM('Staff Daily sales'!$B513&amp;""))</f>
        <v>HALAVANDAP</v>
      </c>
      <c r="B528" t="str">
        <f>IF('Staff Daily sales'!$D513="","",TRIM('Staff Daily sales'!$D513&amp;""))</f>
        <v>6433-Asarhan</v>
      </c>
      <c r="C528" t="str">
        <f>IFERROR(TRIM('Staff Daily sales'!$E513&amp;""),"")</f>
        <v>Abha</v>
      </c>
      <c r="D528" t="str">
        <f>IFERROR(IF(TRIM('Staff Daily sales'!$F513&amp;"")="","Unassigned",TRIM('Staff Daily sales'!$F513&amp;"")),"Unassigned")</f>
        <v>Ahmed Jaffari</v>
      </c>
      <c r="E528">
        <f t="shared" si="138"/>
        <v>1</v>
      </c>
      <c r="F528">
        <f>IF($E528=0,0,SUMPRODUCT($AI$5:$DF$5,'Staff Daily sales'!$G513:$CD513))</f>
        <v>589.98</v>
      </c>
      <c r="G528">
        <f>IF($E528=0,0,SUMPRODUCT($AI$6:$DF$6,'Staff Daily sales'!$G513:$CD513))</f>
        <v>3</v>
      </c>
      <c r="H528">
        <f t="shared" si="139"/>
        <v>1426.94</v>
      </c>
      <c r="I528">
        <f t="shared" si="140"/>
        <v>7</v>
      </c>
      <c r="J528">
        <f t="shared" si="141"/>
        <v>44058.899999999994</v>
      </c>
      <c r="K528">
        <f t="shared" si="142"/>
        <v>244</v>
      </c>
      <c r="L528">
        <f>--AND($E528=1,OR('Staff Dashboard'!$B$6="All",$DH528='Staff Dashboard'!$B$6),OR('Staff Dashboard'!$B$7="All",$D528='Staff Dashboard'!$B$7),OR('Staff Dashboard'!$B$8="All",$A528='Staff Dashboard'!$B$8))</f>
        <v>0</v>
      </c>
      <c r="M528">
        <f>IF($E528=0,0,SUMPRODUCT($AI$7:$DF$7,'Staff Daily sales'!$G513:$CD513))</f>
        <v>1534.03</v>
      </c>
      <c r="N528">
        <f>IF($E528=0,0,SUMPRODUCT($AI$8:$DF$8,'Staff Daily sales'!$G513:$CD513))</f>
        <v>10</v>
      </c>
      <c r="O528">
        <f>IF($E528=0,0,SUMPRODUCT($AI$9:$DF$9,'Staff Daily sales'!$G513:$CD513))</f>
        <v>5664.0400000000009</v>
      </c>
      <c r="P528">
        <f>IF($E528=0,0,SUMPRODUCT($AI$10:$DF$10,'Staff Daily sales'!$G513:$CD513))</f>
        <v>33</v>
      </c>
      <c r="Q528">
        <f>IF($E528=0,0,SUMPRODUCT($AI$11:$DF$11,'Staff Daily sales'!$G513:$CD513))</f>
        <v>2686.04</v>
      </c>
      <c r="R528">
        <f>IF($E528=0,0,SUMPRODUCT($AI$12:$DF$12,'Staff Daily sales'!$G513:$CD513))</f>
        <v>17</v>
      </c>
      <c r="S528">
        <f>IF($E528=0,0,SUMPRODUCT($AI$13:$DF$13,'Staff Daily sales'!$G513:$CD513))</f>
        <v>4017.9100000000003</v>
      </c>
      <c r="T528">
        <f>IF($E528=0,0,SUMPRODUCT($AI$14:$DF$14,'Staff Daily sales'!$G513:$CD513))</f>
        <v>24</v>
      </c>
      <c r="U528">
        <f>IF($E528=0,0,SUMPRODUCT($AI$15:$DF$15,'Staff Daily sales'!$G513:$CD513))</f>
        <v>0</v>
      </c>
      <c r="V528">
        <f>IF($E528=0,0,SUMPRODUCT($AI$16:$DF$16,'Staff Daily sales'!$G513:$CD513))</f>
        <v>0</v>
      </c>
      <c r="W528">
        <f t="shared" si="143"/>
        <v>15244.25</v>
      </c>
      <c r="X528">
        <f t="shared" si="144"/>
        <v>17165.310000000001</v>
      </c>
      <c r="Y528">
        <f t="shared" si="145"/>
        <v>15393.119999999999</v>
      </c>
      <c r="Z528">
        <f t="shared" si="146"/>
        <v>10273.799999999999</v>
      </c>
      <c r="AA528">
        <f t="shared" si="147"/>
        <v>2925.99</v>
      </c>
      <c r="AB528">
        <f>--AND($E528=1,OR('Staff Weekly Trend'!$B$3="All",$DH528='Staff Weekly Trend'!$B$3),OR('Staff Weekly Trend'!$B$4="All",$D528='Staff Weekly Trend'!$B$4),OR('Staff Weekly Trend'!$B$5="All",$A528='Staff Weekly Trend'!$B$5))</f>
        <v>1</v>
      </c>
      <c r="AC528">
        <f t="shared" si="148"/>
        <v>1</v>
      </c>
      <c r="AI528">
        <f t="shared" si="149"/>
        <v>86</v>
      </c>
      <c r="AJ528">
        <f t="shared" si="150"/>
        <v>97</v>
      </c>
      <c r="AK528">
        <f t="shared" si="151"/>
        <v>86</v>
      </c>
      <c r="AL528">
        <f t="shared" si="152"/>
        <v>58</v>
      </c>
      <c r="AM528">
        <f t="shared" si="153"/>
        <v>17</v>
      </c>
      <c r="DH528" t="str" cm="1">
        <f t="array" ref="DH528">IF($A528="","",_xlfn.LET(_xlpm.c,IFERROR(_xlfn.XLOOKUP($A528,TRIM('Sales and count'!$A$4:$A$300&amp;""),TRIM('Sales and count'!$B$4:$B$300&amp;"")),""),IF(OR(_xlpm.c="",_xlpm.c="0",LEFT(_xlpm.c,1)="#"),"Not set",_xlpm.c)))</f>
        <v>KSA</v>
      </c>
    </row>
    <row r="529" spans="1:112" x14ac:dyDescent="0.25">
      <c r="A529" t="str">
        <f>IF('Staff Daily sales'!$B514="","",TRIM('Staff Daily sales'!$B514&amp;""))</f>
        <v>HALAVANDAP</v>
      </c>
      <c r="B529" t="str">
        <f>IF('Staff Daily sales'!$D514="","",TRIM('Staff Daily sales'!$D514&amp;""))</f>
        <v>6475-HASIRI</v>
      </c>
      <c r="C529" t="str">
        <f>IFERROR(TRIM('Staff Daily sales'!$E514&amp;""),"")</f>
        <v>Abha</v>
      </c>
      <c r="D529" t="str">
        <f>IFERROR(IF(TRIM('Staff Daily sales'!$F514&amp;"")="","Unassigned",TRIM('Staff Daily sales'!$F514&amp;"")),"Unassigned")</f>
        <v>Ahmed Jaffari</v>
      </c>
      <c r="E529">
        <f t="shared" si="138"/>
        <v>1</v>
      </c>
      <c r="F529">
        <f>IF($E529=0,0,SUMPRODUCT($AI$5:$DF$5,'Staff Daily sales'!$G514:$CD514))</f>
        <v>265</v>
      </c>
      <c r="G529">
        <f>IF($E529=0,0,SUMPRODUCT($AI$6:$DF$6,'Staff Daily sales'!$G514:$CD514))</f>
        <v>2</v>
      </c>
      <c r="H529">
        <f t="shared" si="139"/>
        <v>1426.94</v>
      </c>
      <c r="I529">
        <f t="shared" si="140"/>
        <v>7</v>
      </c>
      <c r="J529">
        <f t="shared" si="141"/>
        <v>44058.899999999994</v>
      </c>
      <c r="K529">
        <f t="shared" si="142"/>
        <v>244</v>
      </c>
      <c r="L529">
        <f>--AND($E529=1,OR('Staff Dashboard'!$B$6="All",$DH529='Staff Dashboard'!$B$6),OR('Staff Dashboard'!$B$7="All",$D529='Staff Dashboard'!$B$7),OR('Staff Dashboard'!$B$8="All",$A529='Staff Dashboard'!$B$8))</f>
        <v>0</v>
      </c>
      <c r="M529">
        <f>IF($E529=0,0,SUMPRODUCT($AI$7:$DF$7,'Staff Daily sales'!$G514:$CD514))</f>
        <v>2086.06</v>
      </c>
      <c r="N529">
        <f>IF($E529=0,0,SUMPRODUCT($AI$8:$DF$8,'Staff Daily sales'!$G514:$CD514))</f>
        <v>14</v>
      </c>
      <c r="O529">
        <f>IF($E529=0,0,SUMPRODUCT($AI$9:$DF$9,'Staff Daily sales'!$G514:$CD514))</f>
        <v>6376.18</v>
      </c>
      <c r="P529">
        <f>IF($E529=0,0,SUMPRODUCT($AI$10:$DF$10,'Staff Daily sales'!$G514:$CD514))</f>
        <v>38</v>
      </c>
      <c r="Q529">
        <f>IF($E529=0,0,SUMPRODUCT($AI$11:$DF$11,'Staff Daily sales'!$G514:$CD514))</f>
        <v>4774.04</v>
      </c>
      <c r="R529">
        <f>IF($E529=0,0,SUMPRODUCT($AI$12:$DF$12,'Staff Daily sales'!$G514:$CD514))</f>
        <v>27</v>
      </c>
      <c r="S529">
        <f>IF($E529=0,0,SUMPRODUCT($AI$13:$DF$13,'Staff Daily sales'!$G514:$CD514))</f>
        <v>2074.9899999999998</v>
      </c>
      <c r="T529">
        <f>IF($E529=0,0,SUMPRODUCT($AI$14:$DF$14,'Staff Daily sales'!$G514:$CD514))</f>
        <v>11</v>
      </c>
      <c r="U529">
        <f>IF($E529=0,0,SUMPRODUCT($AI$15:$DF$15,'Staff Daily sales'!$G514:$CD514))</f>
        <v>1219</v>
      </c>
      <c r="V529">
        <f>IF($E529=0,0,SUMPRODUCT($AI$16:$DF$16,'Staff Daily sales'!$G514:$CD514))</f>
        <v>6</v>
      </c>
      <c r="W529">
        <f t="shared" si="143"/>
        <v>15244.25</v>
      </c>
      <c r="X529">
        <f t="shared" si="144"/>
        <v>17165.310000000001</v>
      </c>
      <c r="Y529">
        <f t="shared" si="145"/>
        <v>15393.119999999999</v>
      </c>
      <c r="Z529">
        <f t="shared" si="146"/>
        <v>10273.799999999999</v>
      </c>
      <c r="AA529">
        <f t="shared" si="147"/>
        <v>2925.99</v>
      </c>
      <c r="AB529">
        <f>--AND($E529=1,OR('Staff Weekly Trend'!$B$3="All",$DH529='Staff Weekly Trend'!$B$3),OR('Staff Weekly Trend'!$B$4="All",$D529='Staff Weekly Trend'!$B$4),OR('Staff Weekly Trend'!$B$5="All",$A529='Staff Weekly Trend'!$B$5))</f>
        <v>1</v>
      </c>
      <c r="AC529">
        <f t="shared" si="148"/>
        <v>3</v>
      </c>
      <c r="AI529">
        <f t="shared" si="149"/>
        <v>86</v>
      </c>
      <c r="AJ529">
        <f t="shared" si="150"/>
        <v>97</v>
      </c>
      <c r="AK529">
        <f t="shared" si="151"/>
        <v>86</v>
      </c>
      <c r="AL529">
        <f t="shared" si="152"/>
        <v>58</v>
      </c>
      <c r="AM529">
        <f t="shared" si="153"/>
        <v>17</v>
      </c>
      <c r="DH529" t="str" cm="1">
        <f t="array" ref="DH529">IF($A529="","",_xlfn.LET(_xlpm.c,IFERROR(_xlfn.XLOOKUP($A529,TRIM('Sales and count'!$A$4:$A$300&amp;""),TRIM('Sales and count'!$B$4:$B$300&amp;"")),""),IF(OR(_xlpm.c="",_xlpm.c="0",LEFT(_xlpm.c,1)="#"),"Not set",_xlpm.c)))</f>
        <v>KSA</v>
      </c>
    </row>
    <row r="530" spans="1:112" x14ac:dyDescent="0.25">
      <c r="A530" t="str">
        <f>IF('Staff Daily sales'!$B515="","",TRIM('Staff Daily sales'!$B515&amp;""))</f>
        <v>HAALITMED</v>
      </c>
      <c r="B530" t="str">
        <f>IF('Staff Daily sales'!$D515="","",TRIM('Staff Daily sales'!$D515&amp;""))</f>
        <v>5420-MAlmalki</v>
      </c>
      <c r="C530" t="str">
        <f>IFERROR(TRIM('Staff Daily sales'!$E515&amp;""),"")</f>
        <v>Madinah</v>
      </c>
      <c r="D530" t="str">
        <f>IFERROR(IF(TRIM('Staff Daily sales'!$F515&amp;"")="","Unassigned",TRIM('Staff Daily sales'!$F515&amp;"")),"Unassigned")</f>
        <v>Mohammed Haidar</v>
      </c>
      <c r="E530">
        <f t="shared" si="138"/>
        <v>1</v>
      </c>
      <c r="F530">
        <f>IF($E530=0,0,SUMPRODUCT($AI$5:$DF$5,'Staff Daily sales'!$G515:$CD515))</f>
        <v>115</v>
      </c>
      <c r="G530">
        <f>IF($E530=0,0,SUMPRODUCT($AI$6:$DF$6,'Staff Daily sales'!$G515:$CD515))</f>
        <v>1</v>
      </c>
      <c r="H530">
        <f t="shared" si="139"/>
        <v>1557.94</v>
      </c>
      <c r="I530">
        <f t="shared" si="140"/>
        <v>7</v>
      </c>
      <c r="J530">
        <f t="shared" si="141"/>
        <v>55209.230000000018</v>
      </c>
      <c r="K530">
        <f t="shared" si="142"/>
        <v>272</v>
      </c>
      <c r="L530">
        <f>--AND($E530=1,OR('Staff Dashboard'!$B$6="All",$DH530='Staff Dashboard'!$B$6),OR('Staff Dashboard'!$B$7="All",$D530='Staff Dashboard'!$B$7),OR('Staff Dashboard'!$B$8="All",$A530='Staff Dashboard'!$B$8))</f>
        <v>0</v>
      </c>
      <c r="M530">
        <f>IF($E530=0,0,SUMPRODUCT($AI$7:$DF$7,'Staff Daily sales'!$G515:$CD515))</f>
        <v>616.02</v>
      </c>
      <c r="N530">
        <f>IF($E530=0,0,SUMPRODUCT($AI$8:$DF$8,'Staff Daily sales'!$G515:$CD515))</f>
        <v>5</v>
      </c>
      <c r="O530">
        <f>IF($E530=0,0,SUMPRODUCT($AI$9:$DF$9,'Staff Daily sales'!$G515:$CD515))</f>
        <v>874.01</v>
      </c>
      <c r="P530">
        <f>IF($E530=0,0,SUMPRODUCT($AI$10:$DF$10,'Staff Daily sales'!$G515:$CD515))</f>
        <v>4</v>
      </c>
      <c r="Q530">
        <f>IF($E530=0,0,SUMPRODUCT($AI$11:$DF$11,'Staff Daily sales'!$G515:$CD515))</f>
        <v>1704.04</v>
      </c>
      <c r="R530">
        <f>IF($E530=0,0,SUMPRODUCT($AI$12:$DF$12,'Staff Daily sales'!$G515:$CD515))</f>
        <v>9</v>
      </c>
      <c r="S530">
        <f>IF($E530=0,0,SUMPRODUCT($AI$13:$DF$13,'Staff Daily sales'!$G515:$CD515))</f>
        <v>3335.04</v>
      </c>
      <c r="T530">
        <f>IF($E530=0,0,SUMPRODUCT($AI$14:$DF$14,'Staff Daily sales'!$G515:$CD515))</f>
        <v>21</v>
      </c>
      <c r="U530">
        <f>IF($E530=0,0,SUMPRODUCT($AI$15:$DF$15,'Staff Daily sales'!$G515:$CD515))</f>
        <v>0</v>
      </c>
      <c r="V530">
        <f>IF($E530=0,0,SUMPRODUCT($AI$16:$DF$16,'Staff Daily sales'!$G515:$CD515))</f>
        <v>0</v>
      </c>
      <c r="W530">
        <f t="shared" si="143"/>
        <v>13931.37</v>
      </c>
      <c r="X530">
        <f t="shared" si="144"/>
        <v>22269.300000000003</v>
      </c>
      <c r="Y530">
        <f t="shared" si="145"/>
        <v>19190.32</v>
      </c>
      <c r="Z530">
        <f t="shared" si="146"/>
        <v>15113.82</v>
      </c>
      <c r="AA530">
        <f t="shared" si="147"/>
        <v>4780.1900000000005</v>
      </c>
      <c r="AB530">
        <f>--AND($E530=1,OR('Staff Weekly Trend'!$B$3="All",$DH530='Staff Weekly Trend'!$B$3),OR('Staff Weekly Trend'!$B$4="All",$D530='Staff Weekly Trend'!$B$4),OR('Staff Weekly Trend'!$B$5="All",$A530='Staff Weekly Trend'!$B$5))</f>
        <v>1</v>
      </c>
      <c r="AC530">
        <f t="shared" si="148"/>
        <v>3</v>
      </c>
      <c r="AI530">
        <f t="shared" si="149"/>
        <v>85</v>
      </c>
      <c r="AJ530">
        <f t="shared" si="150"/>
        <v>117</v>
      </c>
      <c r="AK530">
        <f t="shared" si="151"/>
        <v>94</v>
      </c>
      <c r="AL530">
        <f t="shared" si="152"/>
        <v>82</v>
      </c>
      <c r="AM530">
        <f t="shared" si="153"/>
        <v>20</v>
      </c>
      <c r="DH530" t="str" cm="1">
        <f t="array" ref="DH530">IF($A530="","",_xlfn.LET(_xlpm.c,IFERROR(_xlfn.XLOOKUP($A530,TRIM('Sales and count'!$A$4:$A$300&amp;""),TRIM('Sales and count'!$B$4:$B$300&amp;"")),""),IF(OR(_xlpm.c="",_xlpm.c="0",LEFT(_xlpm.c,1)="#"),"Not set",_xlpm.c)))</f>
        <v>KSA</v>
      </c>
    </row>
    <row r="531" spans="1:112" x14ac:dyDescent="0.25">
      <c r="A531" t="str">
        <f>IF('Staff Daily sales'!$B516="","",TRIM('Staff Daily sales'!$B516&amp;""))</f>
        <v>HAALITMED</v>
      </c>
      <c r="B531" t="str">
        <f>IF('Staff Daily sales'!$D516="","",TRIM('Staff Daily sales'!$D516&amp;""))</f>
        <v>6432-OAlruwily</v>
      </c>
      <c r="C531" t="str">
        <f>IFERROR(TRIM('Staff Daily sales'!$E516&amp;""),"")</f>
        <v>Madinah</v>
      </c>
      <c r="D531" t="str">
        <f>IFERROR(IF(TRIM('Staff Daily sales'!$F516&amp;"")="","Unassigned",TRIM('Staff Daily sales'!$F516&amp;"")),"Unassigned")</f>
        <v>Mohammed Haidar</v>
      </c>
      <c r="E531">
        <f t="shared" si="138"/>
        <v>1</v>
      </c>
      <c r="F531">
        <f>IF($E531=0,0,SUMPRODUCT($AI$5:$DF$5,'Staff Daily sales'!$G516:$CD516))</f>
        <v>791.96</v>
      </c>
      <c r="G531">
        <f>IF($E531=0,0,SUMPRODUCT($AI$6:$DF$6,'Staff Daily sales'!$G516:$CD516))</f>
        <v>2</v>
      </c>
      <c r="H531">
        <f t="shared" si="139"/>
        <v>1557.94</v>
      </c>
      <c r="I531">
        <f t="shared" si="140"/>
        <v>7</v>
      </c>
      <c r="J531">
        <f t="shared" si="141"/>
        <v>55209.230000000018</v>
      </c>
      <c r="K531">
        <f t="shared" si="142"/>
        <v>272</v>
      </c>
      <c r="L531">
        <f>--AND($E531=1,OR('Staff Dashboard'!$B$6="All",$DH531='Staff Dashboard'!$B$6),OR('Staff Dashboard'!$B$7="All",$D531='Staff Dashboard'!$B$7),OR('Staff Dashboard'!$B$8="All",$A531='Staff Dashboard'!$B$8))</f>
        <v>0</v>
      </c>
      <c r="M531">
        <f>IF($E531=0,0,SUMPRODUCT($AI$7:$DF$7,'Staff Daily sales'!$G516:$CD516))</f>
        <v>5979.17</v>
      </c>
      <c r="N531">
        <f>IF($E531=0,0,SUMPRODUCT($AI$8:$DF$8,'Staff Daily sales'!$G516:$CD516))</f>
        <v>38</v>
      </c>
      <c r="O531">
        <f>IF($E531=0,0,SUMPRODUCT($AI$9:$DF$9,'Staff Daily sales'!$G516:$CD516))</f>
        <v>3639.05</v>
      </c>
      <c r="P531">
        <f>IF($E531=0,0,SUMPRODUCT($AI$10:$DF$10,'Staff Daily sales'!$G516:$CD516))</f>
        <v>22</v>
      </c>
      <c r="Q531">
        <f>IF($E531=0,0,SUMPRODUCT($AI$11:$DF$11,'Staff Daily sales'!$G516:$CD516))</f>
        <v>4438.09</v>
      </c>
      <c r="R531">
        <f>IF($E531=0,0,SUMPRODUCT($AI$12:$DF$12,'Staff Daily sales'!$G516:$CD516))</f>
        <v>21</v>
      </c>
      <c r="S531">
        <f>IF($E531=0,0,SUMPRODUCT($AI$13:$DF$13,'Staff Daily sales'!$G516:$CD516))</f>
        <v>4587.8500000000004</v>
      </c>
      <c r="T531">
        <f>IF($E531=0,0,SUMPRODUCT($AI$14:$DF$14,'Staff Daily sales'!$G516:$CD516))</f>
        <v>23</v>
      </c>
      <c r="U531">
        <f>IF($E531=0,0,SUMPRODUCT($AI$15:$DF$15,'Staff Daily sales'!$G516:$CD516))</f>
        <v>1552.01</v>
      </c>
      <c r="V531">
        <f>IF($E531=0,0,SUMPRODUCT($AI$16:$DF$16,'Staff Daily sales'!$G516:$CD516))</f>
        <v>6</v>
      </c>
      <c r="W531">
        <f t="shared" si="143"/>
        <v>13931.37</v>
      </c>
      <c r="X531">
        <f t="shared" si="144"/>
        <v>22269.300000000003</v>
      </c>
      <c r="Y531">
        <f t="shared" si="145"/>
        <v>19190.32</v>
      </c>
      <c r="Z531">
        <f t="shared" si="146"/>
        <v>15113.82</v>
      </c>
      <c r="AA531">
        <f t="shared" si="147"/>
        <v>4780.1900000000005</v>
      </c>
      <c r="AB531">
        <f>--AND($E531=1,OR('Staff Weekly Trend'!$B$3="All",$DH531='Staff Weekly Trend'!$B$3),OR('Staff Weekly Trend'!$B$4="All",$D531='Staff Weekly Trend'!$B$4),OR('Staff Weekly Trend'!$B$5="All",$A531='Staff Weekly Trend'!$B$5))</f>
        <v>1</v>
      </c>
      <c r="AC531">
        <f t="shared" si="148"/>
        <v>1</v>
      </c>
      <c r="AI531">
        <f t="shared" si="149"/>
        <v>85</v>
      </c>
      <c r="AJ531">
        <f t="shared" si="150"/>
        <v>117</v>
      </c>
      <c r="AK531">
        <f t="shared" si="151"/>
        <v>94</v>
      </c>
      <c r="AL531">
        <f t="shared" si="152"/>
        <v>82</v>
      </c>
      <c r="AM531">
        <f t="shared" si="153"/>
        <v>20</v>
      </c>
      <c r="DH531" t="str" cm="1">
        <f t="array" ref="DH531">IF($A531="","",_xlfn.LET(_xlpm.c,IFERROR(_xlfn.XLOOKUP($A531,TRIM('Sales and count'!$A$4:$A$300&amp;""),TRIM('Sales and count'!$B$4:$B$300&amp;"")),""),IF(OR(_xlpm.c="",_xlpm.c="0",LEFT(_xlpm.c,1)="#"),"Not set",_xlpm.c)))</f>
        <v>KSA</v>
      </c>
    </row>
    <row r="532" spans="1:112" x14ac:dyDescent="0.25">
      <c r="A532" t="str">
        <f>IF('Staff Daily sales'!$B517="","",TRIM('Staff Daily sales'!$B517&amp;""))</f>
        <v>HAALITMED</v>
      </c>
      <c r="B532" t="str">
        <f>IF('Staff Daily sales'!$D517="","",TRIM('Staff Daily sales'!$D517&amp;""))</f>
        <v>6454-YKhormi</v>
      </c>
      <c r="C532" t="str">
        <f>IFERROR(TRIM('Staff Daily sales'!$E517&amp;""),"")</f>
        <v>Madinah</v>
      </c>
      <c r="D532" t="str">
        <f>IFERROR(IF(TRIM('Staff Daily sales'!$F517&amp;"")="","Unassigned",TRIM('Staff Daily sales'!$F517&amp;"")),"Unassigned")</f>
        <v>Mohammed Haidar</v>
      </c>
      <c r="E532">
        <f t="shared" ref="E532:E595" si="154">--AND($A532&lt;&gt;"",$B532&lt;&gt;"")</f>
        <v>1</v>
      </c>
      <c r="F532">
        <f>IF($E532=0,0,SUMPRODUCT($AI$5:$DF$5,'Staff Daily sales'!$G517:$CD517))</f>
        <v>0</v>
      </c>
      <c r="G532">
        <f>IF($E532=0,0,SUMPRODUCT($AI$6:$DF$6,'Staff Daily sales'!$G517:$CD517))</f>
        <v>0</v>
      </c>
      <c r="H532">
        <f t="shared" ref="H532:H595" si="155">IF($E532=0,0,SUMIFS($F$20:$F$1515,$A$20:$A$1515,$A532))</f>
        <v>1557.94</v>
      </c>
      <c r="I532">
        <f t="shared" ref="I532:I595" si="156">IF($E532=0,0,SUMIFS($G$20:$G$1515,$A$20:$A$1515,$A532))</f>
        <v>7</v>
      </c>
      <c r="J532">
        <f t="shared" ref="J532:J595" si="157">IF($E532=0,0,SUMIFS($F$20:$F$1515,$D$20:$D$1515,$D532))</f>
        <v>55209.230000000018</v>
      </c>
      <c r="K532">
        <f t="shared" ref="K532:K595" si="158">IF($E532=0,0,SUMIFS($G$20:$G$1515,$D$20:$D$1515,$D532))</f>
        <v>272</v>
      </c>
      <c r="L532">
        <f>--AND($E532=1,OR('Staff Dashboard'!$B$6="All",$DH532='Staff Dashboard'!$B$6),OR('Staff Dashboard'!$B$7="All",$D532='Staff Dashboard'!$B$7),OR('Staff Dashboard'!$B$8="All",$A532='Staff Dashboard'!$B$8))</f>
        <v>0</v>
      </c>
      <c r="M532">
        <f>IF($E532=0,0,SUMPRODUCT($AI$7:$DF$7,'Staff Daily sales'!$G517:$CD517))</f>
        <v>1688.02</v>
      </c>
      <c r="N532">
        <f>IF($E532=0,0,SUMPRODUCT($AI$8:$DF$8,'Staff Daily sales'!$G517:$CD517))</f>
        <v>8</v>
      </c>
      <c r="O532">
        <f>IF($E532=0,0,SUMPRODUCT($AI$9:$DF$9,'Staff Daily sales'!$G517:$CD517))</f>
        <v>9560.11</v>
      </c>
      <c r="P532">
        <f>IF($E532=0,0,SUMPRODUCT($AI$10:$DF$10,'Staff Daily sales'!$G517:$CD517))</f>
        <v>47</v>
      </c>
      <c r="Q532">
        <f>IF($E532=0,0,SUMPRODUCT($AI$11:$DF$11,'Staff Daily sales'!$G517:$CD517))</f>
        <v>4399.1099999999997</v>
      </c>
      <c r="R532">
        <f>IF($E532=0,0,SUMPRODUCT($AI$12:$DF$12,'Staff Daily sales'!$G517:$CD517))</f>
        <v>16</v>
      </c>
      <c r="S532">
        <f>IF($E532=0,0,SUMPRODUCT($AI$13:$DF$13,'Staff Daily sales'!$G517:$CD517))</f>
        <v>210.98</v>
      </c>
      <c r="T532">
        <f>IF($E532=0,0,SUMPRODUCT($AI$14:$DF$14,'Staff Daily sales'!$G517:$CD517))</f>
        <v>1</v>
      </c>
      <c r="U532">
        <f>IF($E532=0,0,SUMPRODUCT($AI$15:$DF$15,'Staff Daily sales'!$G517:$CD517))</f>
        <v>0</v>
      </c>
      <c r="V532">
        <f>IF($E532=0,0,SUMPRODUCT($AI$16:$DF$16,'Staff Daily sales'!$G517:$CD517))</f>
        <v>0</v>
      </c>
      <c r="W532">
        <f t="shared" ref="W532:W595" si="159">IF($E532=0,0,SUMIFS(M$20:M$1515,$A$20:$A$1515,$A532))</f>
        <v>13931.37</v>
      </c>
      <c r="X532">
        <f t="shared" ref="X532:X595" si="160">IF($E532=0,0,SUMIFS(O$20:O$1515,$A$20:$A$1515,$A532))</f>
        <v>22269.300000000003</v>
      </c>
      <c r="Y532">
        <f t="shared" ref="Y532:Y595" si="161">IF($E532=0,0,SUMIFS(Q$20:Q$1515,$A$20:$A$1515,$A532))</f>
        <v>19190.32</v>
      </c>
      <c r="Z532">
        <f t="shared" ref="Z532:Z595" si="162">IF($E532=0,0,SUMIFS(S$20:S$1515,$A$20:$A$1515,$A532))</f>
        <v>15113.82</v>
      </c>
      <c r="AA532">
        <f t="shared" ref="AA532:AA595" si="163">IF($E532=0,0,SUMIFS(U$20:U$1515,$A$20:$A$1515,$A532))</f>
        <v>4780.1900000000005</v>
      </c>
      <c r="AB532">
        <f>--AND($E532=1,OR('Staff Weekly Trend'!$B$3="All",$DH532='Staff Weekly Trend'!$B$3),OR('Staff Weekly Trend'!$B$4="All",$D532='Staff Weekly Trend'!$B$4),OR('Staff Weekly Trend'!$B$5="All",$A532='Staff Weekly Trend'!$B$5))</f>
        <v>1</v>
      </c>
      <c r="AC532" t="str">
        <f t="shared" ref="AC532:AC595" si="164">IF(OR($E532=0,AND($F532=0,$G532=0)),"",COUNTIFS($A$20:$A$1515,$A532,$E$20:$E$1515,1,$F$20:$F$1515,"&gt;"&amp;$F532)+1)</f>
        <v/>
      </c>
      <c r="AI532">
        <f t="shared" ref="AI532:AI595" si="165">IF($E532=0,0,SUMIFS(N$20:N$1515,$A$20:$A$1515,$A532))</f>
        <v>85</v>
      </c>
      <c r="AJ532">
        <f t="shared" ref="AJ532:AJ595" si="166">IF($E532=0,0,SUMIFS(P$20:P$1515,$A$20:$A$1515,$A532))</f>
        <v>117</v>
      </c>
      <c r="AK532">
        <f t="shared" ref="AK532:AK595" si="167">IF($E532=0,0,SUMIFS(R$20:R$1515,$A$20:$A$1515,$A532))</f>
        <v>94</v>
      </c>
      <c r="AL532">
        <f t="shared" ref="AL532:AL595" si="168">IF($E532=0,0,SUMIFS(T$20:T$1515,$A$20:$A$1515,$A532))</f>
        <v>82</v>
      </c>
      <c r="AM532">
        <f t="shared" ref="AM532:AM595" si="169">IF($E532=0,0,SUMIFS(V$20:V$1515,$A$20:$A$1515,$A532))</f>
        <v>20</v>
      </c>
      <c r="DH532" t="str" cm="1">
        <f t="array" ref="DH532">IF($A532="","",_xlfn.LET(_xlpm.c,IFERROR(_xlfn.XLOOKUP($A532,TRIM('Sales and count'!$A$4:$A$300&amp;""),TRIM('Sales and count'!$B$4:$B$300&amp;"")),""),IF(OR(_xlpm.c="",_xlpm.c="0",LEFT(_xlpm.c,1)="#"),"Not set",_xlpm.c)))</f>
        <v>KSA</v>
      </c>
    </row>
    <row r="533" spans="1:112" x14ac:dyDescent="0.25">
      <c r="A533" t="str">
        <f>IF('Staff Daily sales'!$B518="","",TRIM('Staff Daily sales'!$B518&amp;""))</f>
        <v>HAALITMED</v>
      </c>
      <c r="B533" t="str">
        <f>IF('Staff Daily sales'!$D518="","",TRIM('Staff Daily sales'!$D518&amp;""))</f>
        <v>6617-AAlqahtani</v>
      </c>
      <c r="C533" t="str">
        <f>IFERROR(TRIM('Staff Daily sales'!$E518&amp;""),"")</f>
        <v>Madinah</v>
      </c>
      <c r="D533" t="str">
        <f>IFERROR(IF(TRIM('Staff Daily sales'!$F518&amp;"")="","Unassigned",TRIM('Staff Daily sales'!$F518&amp;"")),"Unassigned")</f>
        <v>Mohammed Haidar</v>
      </c>
      <c r="E533">
        <f t="shared" si="154"/>
        <v>1</v>
      </c>
      <c r="F533">
        <f>IF($E533=0,0,SUMPRODUCT($AI$5:$DF$5,'Staff Daily sales'!$G518:$CD518))</f>
        <v>650.98</v>
      </c>
      <c r="G533">
        <f>IF($E533=0,0,SUMPRODUCT($AI$6:$DF$6,'Staff Daily sales'!$G518:$CD518))</f>
        <v>4</v>
      </c>
      <c r="H533">
        <f t="shared" si="155"/>
        <v>1557.94</v>
      </c>
      <c r="I533">
        <f t="shared" si="156"/>
        <v>7</v>
      </c>
      <c r="J533">
        <f t="shared" si="157"/>
        <v>55209.230000000018</v>
      </c>
      <c r="K533">
        <f t="shared" si="158"/>
        <v>272</v>
      </c>
      <c r="L533">
        <f>--AND($E533=1,OR('Staff Dashboard'!$B$6="All",$DH533='Staff Dashboard'!$B$6),OR('Staff Dashboard'!$B$7="All",$D533='Staff Dashboard'!$B$7),OR('Staff Dashboard'!$B$8="All",$A533='Staff Dashboard'!$B$8))</f>
        <v>0</v>
      </c>
      <c r="M533">
        <f>IF($E533=0,0,SUMPRODUCT($AI$7:$DF$7,'Staff Daily sales'!$G518:$CD518))</f>
        <v>5648.16</v>
      </c>
      <c r="N533">
        <f>IF($E533=0,0,SUMPRODUCT($AI$8:$DF$8,'Staff Daily sales'!$G518:$CD518))</f>
        <v>34</v>
      </c>
      <c r="O533">
        <f>IF($E533=0,0,SUMPRODUCT($AI$9:$DF$9,'Staff Daily sales'!$G518:$CD518))</f>
        <v>8196.130000000001</v>
      </c>
      <c r="P533">
        <f>IF($E533=0,0,SUMPRODUCT($AI$10:$DF$10,'Staff Daily sales'!$G518:$CD518))</f>
        <v>44</v>
      </c>
      <c r="Q533">
        <f>IF($E533=0,0,SUMPRODUCT($AI$11:$DF$11,'Staff Daily sales'!$G518:$CD518))</f>
        <v>8649.08</v>
      </c>
      <c r="R533">
        <f>IF($E533=0,0,SUMPRODUCT($AI$12:$DF$12,'Staff Daily sales'!$G518:$CD518))</f>
        <v>48</v>
      </c>
      <c r="S533">
        <f>IF($E533=0,0,SUMPRODUCT($AI$13:$DF$13,'Staff Daily sales'!$G518:$CD518))</f>
        <v>6979.9499999999989</v>
      </c>
      <c r="T533">
        <f>IF($E533=0,0,SUMPRODUCT($AI$14:$DF$14,'Staff Daily sales'!$G518:$CD518))</f>
        <v>37</v>
      </c>
      <c r="U533">
        <f>IF($E533=0,0,SUMPRODUCT($AI$15:$DF$15,'Staff Daily sales'!$G518:$CD518))</f>
        <v>3228.1800000000003</v>
      </c>
      <c r="V533">
        <f>IF($E533=0,0,SUMPRODUCT($AI$16:$DF$16,'Staff Daily sales'!$G518:$CD518))</f>
        <v>14</v>
      </c>
      <c r="W533">
        <f t="shared" si="159"/>
        <v>13931.37</v>
      </c>
      <c r="X533">
        <f t="shared" si="160"/>
        <v>22269.300000000003</v>
      </c>
      <c r="Y533">
        <f t="shared" si="161"/>
        <v>19190.32</v>
      </c>
      <c r="Z533">
        <f t="shared" si="162"/>
        <v>15113.82</v>
      </c>
      <c r="AA533">
        <f t="shared" si="163"/>
        <v>4780.1900000000005</v>
      </c>
      <c r="AB533">
        <f>--AND($E533=1,OR('Staff Weekly Trend'!$B$3="All",$DH533='Staff Weekly Trend'!$B$3),OR('Staff Weekly Trend'!$B$4="All",$D533='Staff Weekly Trend'!$B$4),OR('Staff Weekly Trend'!$B$5="All",$A533='Staff Weekly Trend'!$B$5))</f>
        <v>1</v>
      </c>
      <c r="AC533">
        <f t="shared" si="164"/>
        <v>2</v>
      </c>
      <c r="AI533">
        <f t="shared" si="165"/>
        <v>85</v>
      </c>
      <c r="AJ533">
        <f t="shared" si="166"/>
        <v>117</v>
      </c>
      <c r="AK533">
        <f t="shared" si="167"/>
        <v>94</v>
      </c>
      <c r="AL533">
        <f t="shared" si="168"/>
        <v>82</v>
      </c>
      <c r="AM533">
        <f t="shared" si="169"/>
        <v>20</v>
      </c>
      <c r="DH533" t="str" cm="1">
        <f t="array" ref="DH533">IF($A533="","",_xlfn.LET(_xlpm.c,IFERROR(_xlfn.XLOOKUP($A533,TRIM('Sales and count'!$A$4:$A$300&amp;""),TRIM('Sales and count'!$B$4:$B$300&amp;"")),""),IF(OR(_xlpm.c="",_xlpm.c="0",LEFT(_xlpm.c,1)="#"),"Not set",_xlpm.c)))</f>
        <v>KSA</v>
      </c>
    </row>
    <row r="534" spans="1:112" x14ac:dyDescent="0.25">
      <c r="A534" t="str">
        <f>IF('Staff Daily sales'!$B519="","",TRIM('Staff Daily sales'!$B519&amp;""))</f>
        <v>HAABRAJ1</v>
      </c>
      <c r="B534" t="str">
        <f>IF('Staff Daily sales'!$D519="","",TRIM('Staff Daily sales'!$D519&amp;""))</f>
        <v>3643-KJali</v>
      </c>
      <c r="C534" t="str">
        <f>IFERROR(TRIM('Staff Daily sales'!$E519&amp;""),"")</f>
        <v>Makkah</v>
      </c>
      <c r="D534" t="str">
        <f>IFERROR(IF(TRIM('Staff Daily sales'!$F519&amp;"")="","Unassigned",TRIM('Staff Daily sales'!$F519&amp;"")),"Unassigned")</f>
        <v>Maram Zamzami</v>
      </c>
      <c r="E534">
        <f t="shared" si="154"/>
        <v>1</v>
      </c>
      <c r="F534">
        <f>IF($E534=0,0,SUMPRODUCT($AI$5:$DF$5,'Staff Daily sales'!$G519:$CD519))</f>
        <v>0</v>
      </c>
      <c r="G534">
        <f>IF($E534=0,0,SUMPRODUCT($AI$6:$DF$6,'Staff Daily sales'!$G519:$CD519))</f>
        <v>0</v>
      </c>
      <c r="H534">
        <f t="shared" si="155"/>
        <v>23034.57</v>
      </c>
      <c r="I534">
        <f t="shared" si="156"/>
        <v>101</v>
      </c>
      <c r="J534">
        <f t="shared" si="157"/>
        <v>89423.479999999967</v>
      </c>
      <c r="K534">
        <f t="shared" si="158"/>
        <v>413</v>
      </c>
      <c r="L534">
        <f>--AND($E534=1,OR('Staff Dashboard'!$B$6="All",$DH534='Staff Dashboard'!$B$6),OR('Staff Dashboard'!$B$7="All",$D534='Staff Dashboard'!$B$7),OR('Staff Dashboard'!$B$8="All",$A534='Staff Dashboard'!$B$8))</f>
        <v>1</v>
      </c>
      <c r="M534">
        <f>IF($E534=0,0,SUMPRODUCT($AI$7:$DF$7,'Staff Daily sales'!$G519:$CD519))</f>
        <v>1080.01</v>
      </c>
      <c r="N534">
        <f>IF($E534=0,0,SUMPRODUCT($AI$8:$DF$8,'Staff Daily sales'!$G519:$CD519))</f>
        <v>6</v>
      </c>
      <c r="O534">
        <f>IF($E534=0,0,SUMPRODUCT($AI$9:$DF$9,'Staff Daily sales'!$G519:$CD519))</f>
        <v>3578.07</v>
      </c>
      <c r="P534">
        <f>IF($E534=0,0,SUMPRODUCT($AI$10:$DF$10,'Staff Daily sales'!$G519:$CD519))</f>
        <v>22</v>
      </c>
      <c r="Q534">
        <f>IF($E534=0,0,SUMPRODUCT($AI$11:$DF$11,'Staff Daily sales'!$G519:$CD519))</f>
        <v>2776.0600000000004</v>
      </c>
      <c r="R534">
        <f>IF($E534=0,0,SUMPRODUCT($AI$12:$DF$12,'Staff Daily sales'!$G519:$CD519))</f>
        <v>20</v>
      </c>
      <c r="S534">
        <f>IF($E534=0,0,SUMPRODUCT($AI$13:$DF$13,'Staff Daily sales'!$G519:$CD519))</f>
        <v>9964.86</v>
      </c>
      <c r="T534">
        <f>IF($E534=0,0,SUMPRODUCT($AI$14:$DF$14,'Staff Daily sales'!$G519:$CD519))</f>
        <v>48</v>
      </c>
      <c r="U534">
        <f>IF($E534=0,0,SUMPRODUCT($AI$15:$DF$15,'Staff Daily sales'!$G519:$CD519))</f>
        <v>597.04</v>
      </c>
      <c r="V534">
        <f>IF($E534=0,0,SUMPRODUCT($AI$16:$DF$16,'Staff Daily sales'!$G519:$CD519))</f>
        <v>2</v>
      </c>
      <c r="W534">
        <f t="shared" si="159"/>
        <v>88344.69</v>
      </c>
      <c r="X534">
        <f t="shared" si="160"/>
        <v>166461.59</v>
      </c>
      <c r="Y534">
        <f t="shared" si="161"/>
        <v>140958.21</v>
      </c>
      <c r="Z534">
        <f t="shared" si="162"/>
        <v>132129.16999999998</v>
      </c>
      <c r="AA534">
        <f t="shared" si="163"/>
        <v>31895.88</v>
      </c>
      <c r="AB534">
        <f>--AND($E534=1,OR('Staff Weekly Trend'!$B$3="All",$DH534='Staff Weekly Trend'!$B$3),OR('Staff Weekly Trend'!$B$4="All",$D534='Staff Weekly Trend'!$B$4),OR('Staff Weekly Trend'!$B$5="All",$A534='Staff Weekly Trend'!$B$5))</f>
        <v>1</v>
      </c>
      <c r="AC534" t="str">
        <f t="shared" si="164"/>
        <v/>
      </c>
      <c r="AI534">
        <f t="shared" si="165"/>
        <v>457</v>
      </c>
      <c r="AJ534">
        <f t="shared" si="166"/>
        <v>868</v>
      </c>
      <c r="AK534">
        <f t="shared" si="167"/>
        <v>774</v>
      </c>
      <c r="AL534">
        <f t="shared" si="168"/>
        <v>639</v>
      </c>
      <c r="AM534">
        <f t="shared" si="169"/>
        <v>158</v>
      </c>
      <c r="DH534" t="str" cm="1">
        <f t="array" ref="DH534">IF($A534="","",_xlfn.LET(_xlpm.c,IFERROR(_xlfn.XLOOKUP($A534,TRIM('Sales and count'!$A$4:$A$300&amp;""),TRIM('Sales and count'!$B$4:$B$300&amp;"")),""),IF(OR(_xlpm.c="",_xlpm.c="0",LEFT(_xlpm.c,1)="#"),"Not set",_xlpm.c)))</f>
        <v>KSA</v>
      </c>
    </row>
    <row r="535" spans="1:112" x14ac:dyDescent="0.25">
      <c r="A535" t="str">
        <f>IF('Staff Daily sales'!$B520="","",TRIM('Staff Daily sales'!$B520&amp;""))</f>
        <v>HAABRAJ1</v>
      </c>
      <c r="B535" t="str">
        <f>IF('Staff Daily sales'!$D520="","",TRIM('Staff Daily sales'!$D520&amp;""))</f>
        <v>3659-AGharib</v>
      </c>
      <c r="C535" t="str">
        <f>IFERROR(TRIM('Staff Daily sales'!$E520&amp;""),"")</f>
        <v>Makkah</v>
      </c>
      <c r="D535" t="str">
        <f>IFERROR(IF(TRIM('Staff Daily sales'!$F520&amp;"")="","Unassigned",TRIM('Staff Daily sales'!$F520&amp;"")),"Unassigned")</f>
        <v>Maram Zamzami</v>
      </c>
      <c r="E535">
        <f t="shared" si="154"/>
        <v>1</v>
      </c>
      <c r="F535">
        <f>IF($E535=0,0,SUMPRODUCT($AI$5:$DF$5,'Staff Daily sales'!$G520:$CD520))</f>
        <v>0</v>
      </c>
      <c r="G535">
        <f>IF($E535=0,0,SUMPRODUCT($AI$6:$DF$6,'Staff Daily sales'!$G520:$CD520))</f>
        <v>0</v>
      </c>
      <c r="H535">
        <f t="shared" si="155"/>
        <v>23034.57</v>
      </c>
      <c r="I535">
        <f t="shared" si="156"/>
        <v>101</v>
      </c>
      <c r="J535">
        <f t="shared" si="157"/>
        <v>89423.479999999967</v>
      </c>
      <c r="K535">
        <f t="shared" si="158"/>
        <v>413</v>
      </c>
      <c r="L535">
        <f>--AND($E535=1,OR('Staff Dashboard'!$B$6="All",$DH535='Staff Dashboard'!$B$6),OR('Staff Dashboard'!$B$7="All",$D535='Staff Dashboard'!$B$7),OR('Staff Dashboard'!$B$8="All",$A535='Staff Dashboard'!$B$8))</f>
        <v>1</v>
      </c>
      <c r="M535">
        <f>IF($E535=0,0,SUMPRODUCT($AI$7:$DF$7,'Staff Daily sales'!$G520:$CD520))</f>
        <v>8938.09</v>
      </c>
      <c r="N535">
        <f>IF($E535=0,0,SUMPRODUCT($AI$8:$DF$8,'Staff Daily sales'!$G520:$CD520))</f>
        <v>40</v>
      </c>
      <c r="O535">
        <f>IF($E535=0,0,SUMPRODUCT($AI$9:$DF$9,'Staff Daily sales'!$G520:$CD520))</f>
        <v>1580.03</v>
      </c>
      <c r="P535">
        <f>IF($E535=0,0,SUMPRODUCT($AI$10:$DF$10,'Staff Daily sales'!$G520:$CD520))</f>
        <v>5</v>
      </c>
      <c r="Q535">
        <f>IF($E535=0,0,SUMPRODUCT($AI$11:$DF$11,'Staff Daily sales'!$G520:$CD520))</f>
        <v>14964.380000000001</v>
      </c>
      <c r="R535">
        <f>IF($E535=0,0,SUMPRODUCT($AI$12:$DF$12,'Staff Daily sales'!$G520:$CD520))</f>
        <v>63</v>
      </c>
      <c r="S535">
        <f>IF($E535=0,0,SUMPRODUCT($AI$13:$DF$13,'Staff Daily sales'!$G520:$CD520))</f>
        <v>3232.03</v>
      </c>
      <c r="T535">
        <f>IF($E535=0,0,SUMPRODUCT($AI$14:$DF$14,'Staff Daily sales'!$G520:$CD520))</f>
        <v>24</v>
      </c>
      <c r="U535">
        <f>IF($E535=0,0,SUMPRODUCT($AI$15:$DF$15,'Staff Daily sales'!$G520:$CD520))</f>
        <v>0</v>
      </c>
      <c r="V535">
        <f>IF($E535=0,0,SUMPRODUCT($AI$16:$DF$16,'Staff Daily sales'!$G520:$CD520))</f>
        <v>0</v>
      </c>
      <c r="W535">
        <f t="shared" si="159"/>
        <v>88344.69</v>
      </c>
      <c r="X535">
        <f t="shared" si="160"/>
        <v>166461.59</v>
      </c>
      <c r="Y535">
        <f t="shared" si="161"/>
        <v>140958.21</v>
      </c>
      <c r="Z535">
        <f t="shared" si="162"/>
        <v>132129.16999999998</v>
      </c>
      <c r="AA535">
        <f t="shared" si="163"/>
        <v>31895.88</v>
      </c>
      <c r="AB535">
        <f>--AND($E535=1,OR('Staff Weekly Trend'!$B$3="All",$DH535='Staff Weekly Trend'!$B$3),OR('Staff Weekly Trend'!$B$4="All",$D535='Staff Weekly Trend'!$B$4),OR('Staff Weekly Trend'!$B$5="All",$A535='Staff Weekly Trend'!$B$5))</f>
        <v>1</v>
      </c>
      <c r="AC535" t="str">
        <f t="shared" si="164"/>
        <v/>
      </c>
      <c r="AI535">
        <f t="shared" si="165"/>
        <v>457</v>
      </c>
      <c r="AJ535">
        <f t="shared" si="166"/>
        <v>868</v>
      </c>
      <c r="AK535">
        <f t="shared" si="167"/>
        <v>774</v>
      </c>
      <c r="AL535">
        <f t="shared" si="168"/>
        <v>639</v>
      </c>
      <c r="AM535">
        <f t="shared" si="169"/>
        <v>158</v>
      </c>
      <c r="DH535" t="str" cm="1">
        <f t="array" ref="DH535">IF($A535="","",_xlfn.LET(_xlpm.c,IFERROR(_xlfn.XLOOKUP($A535,TRIM('Sales and count'!$A$4:$A$300&amp;""),TRIM('Sales and count'!$B$4:$B$300&amp;"")),""),IF(OR(_xlpm.c="",_xlpm.c="0",LEFT(_xlpm.c,1)="#"),"Not set",_xlpm.c)))</f>
        <v>KSA</v>
      </c>
    </row>
    <row r="536" spans="1:112" x14ac:dyDescent="0.25">
      <c r="A536" t="str">
        <f>IF('Staff Daily sales'!$B521="","",TRIM('Staff Daily sales'!$B521&amp;""))</f>
        <v>HAABRAJ1</v>
      </c>
      <c r="B536" t="str">
        <f>IF('Staff Daily sales'!$D521="","",TRIM('Staff Daily sales'!$D521&amp;""))</f>
        <v>3675-MNassef</v>
      </c>
      <c r="C536" t="str">
        <f>IFERROR(TRIM('Staff Daily sales'!$E521&amp;""),"")</f>
        <v>Makkah</v>
      </c>
      <c r="D536" t="str">
        <f>IFERROR(IF(TRIM('Staff Daily sales'!$F521&amp;"")="","Unassigned",TRIM('Staff Daily sales'!$F521&amp;"")),"Unassigned")</f>
        <v>Maram Zamzami</v>
      </c>
      <c r="E536">
        <f t="shared" si="154"/>
        <v>1</v>
      </c>
      <c r="F536">
        <f>IF($E536=0,0,SUMPRODUCT($AI$5:$DF$5,'Staff Daily sales'!$G521:$CD521))</f>
        <v>0</v>
      </c>
      <c r="G536">
        <f>IF($E536=0,0,SUMPRODUCT($AI$6:$DF$6,'Staff Daily sales'!$G521:$CD521))</f>
        <v>0</v>
      </c>
      <c r="H536">
        <f t="shared" si="155"/>
        <v>23034.57</v>
      </c>
      <c r="I536">
        <f t="shared" si="156"/>
        <v>101</v>
      </c>
      <c r="J536">
        <f t="shared" si="157"/>
        <v>89423.479999999967</v>
      </c>
      <c r="K536">
        <f t="shared" si="158"/>
        <v>413</v>
      </c>
      <c r="L536">
        <f>--AND($E536=1,OR('Staff Dashboard'!$B$6="All",$DH536='Staff Dashboard'!$B$6),OR('Staff Dashboard'!$B$7="All",$D536='Staff Dashboard'!$B$7),OR('Staff Dashboard'!$B$8="All",$A536='Staff Dashboard'!$B$8))</f>
        <v>1</v>
      </c>
      <c r="M536">
        <f>IF($E536=0,0,SUMPRODUCT($AI$7:$DF$7,'Staff Daily sales'!$G521:$CD521))</f>
        <v>0</v>
      </c>
      <c r="N536">
        <f>IF($E536=0,0,SUMPRODUCT($AI$8:$DF$8,'Staff Daily sales'!$G521:$CD521))</f>
        <v>0</v>
      </c>
      <c r="O536">
        <f>IF($E536=0,0,SUMPRODUCT($AI$9:$DF$9,'Staff Daily sales'!$G521:$CD521))</f>
        <v>0</v>
      </c>
      <c r="P536">
        <f>IF($E536=0,0,SUMPRODUCT($AI$10:$DF$10,'Staff Daily sales'!$G521:$CD521))</f>
        <v>0</v>
      </c>
      <c r="Q536">
        <f>IF($E536=0,0,SUMPRODUCT($AI$11:$DF$11,'Staff Daily sales'!$G521:$CD521))</f>
        <v>1018</v>
      </c>
      <c r="R536">
        <f>IF($E536=0,0,SUMPRODUCT($AI$12:$DF$12,'Staff Daily sales'!$G521:$CD521))</f>
        <v>7</v>
      </c>
      <c r="S536">
        <f>IF($E536=0,0,SUMPRODUCT($AI$13:$DF$13,'Staff Daily sales'!$G521:$CD521))</f>
        <v>75</v>
      </c>
      <c r="T536">
        <f>IF($E536=0,0,SUMPRODUCT($AI$14:$DF$14,'Staff Daily sales'!$G521:$CD521))</f>
        <v>1</v>
      </c>
      <c r="U536">
        <f>IF($E536=0,0,SUMPRODUCT($AI$15:$DF$15,'Staff Daily sales'!$G521:$CD521))</f>
        <v>0</v>
      </c>
      <c r="V536">
        <f>IF($E536=0,0,SUMPRODUCT($AI$16:$DF$16,'Staff Daily sales'!$G521:$CD521))</f>
        <v>0</v>
      </c>
      <c r="W536">
        <f t="shared" si="159"/>
        <v>88344.69</v>
      </c>
      <c r="X536">
        <f t="shared" si="160"/>
        <v>166461.59</v>
      </c>
      <c r="Y536">
        <f t="shared" si="161"/>
        <v>140958.21</v>
      </c>
      <c r="Z536">
        <f t="shared" si="162"/>
        <v>132129.16999999998</v>
      </c>
      <c r="AA536">
        <f t="shared" si="163"/>
        <v>31895.88</v>
      </c>
      <c r="AB536">
        <f>--AND($E536=1,OR('Staff Weekly Trend'!$B$3="All",$DH536='Staff Weekly Trend'!$B$3),OR('Staff Weekly Trend'!$B$4="All",$D536='Staff Weekly Trend'!$B$4),OR('Staff Weekly Trend'!$B$5="All",$A536='Staff Weekly Trend'!$B$5))</f>
        <v>1</v>
      </c>
      <c r="AC536" t="str">
        <f t="shared" si="164"/>
        <v/>
      </c>
      <c r="AI536">
        <f t="shared" si="165"/>
        <v>457</v>
      </c>
      <c r="AJ536">
        <f t="shared" si="166"/>
        <v>868</v>
      </c>
      <c r="AK536">
        <f t="shared" si="167"/>
        <v>774</v>
      </c>
      <c r="AL536">
        <f t="shared" si="168"/>
        <v>639</v>
      </c>
      <c r="AM536">
        <f t="shared" si="169"/>
        <v>158</v>
      </c>
      <c r="DH536" t="str" cm="1">
        <f t="array" ref="DH536">IF($A536="","",_xlfn.LET(_xlpm.c,IFERROR(_xlfn.XLOOKUP($A536,TRIM('Sales and count'!$A$4:$A$300&amp;""),TRIM('Sales and count'!$B$4:$B$300&amp;"")),""),IF(OR(_xlpm.c="",_xlpm.c="0",LEFT(_xlpm.c,1)="#"),"Not set",_xlpm.c)))</f>
        <v>KSA</v>
      </c>
    </row>
    <row r="537" spans="1:112" x14ac:dyDescent="0.25">
      <c r="A537" t="str">
        <f>IF('Staff Daily sales'!$B522="","",TRIM('Staff Daily sales'!$B522&amp;""))</f>
        <v>HAABRAJ1</v>
      </c>
      <c r="B537" t="str">
        <f>IF('Staff Daily sales'!$D522="","",TRIM('Staff Daily sales'!$D522&amp;""))</f>
        <v>4562-AAladdasi</v>
      </c>
      <c r="C537" t="str">
        <f>IFERROR(TRIM('Staff Daily sales'!$E522&amp;""),"")</f>
        <v>Makkah</v>
      </c>
      <c r="D537" t="str">
        <f>IFERROR(IF(TRIM('Staff Daily sales'!$F522&amp;"")="","Unassigned",TRIM('Staff Daily sales'!$F522&amp;"")),"Unassigned")</f>
        <v>Maram Zamzami</v>
      </c>
      <c r="E537">
        <f t="shared" si="154"/>
        <v>1</v>
      </c>
      <c r="F537">
        <f>IF($E537=0,0,SUMPRODUCT($AI$5:$DF$5,'Staff Daily sales'!$G522:$CD522))</f>
        <v>0</v>
      </c>
      <c r="G537">
        <f>IF($E537=0,0,SUMPRODUCT($AI$6:$DF$6,'Staff Daily sales'!$G522:$CD522))</f>
        <v>0</v>
      </c>
      <c r="H537">
        <f t="shared" si="155"/>
        <v>23034.57</v>
      </c>
      <c r="I537">
        <f t="shared" si="156"/>
        <v>101</v>
      </c>
      <c r="J537">
        <f t="shared" si="157"/>
        <v>89423.479999999967</v>
      </c>
      <c r="K537">
        <f t="shared" si="158"/>
        <v>413</v>
      </c>
      <c r="L537">
        <f>--AND($E537=1,OR('Staff Dashboard'!$B$6="All",$DH537='Staff Dashboard'!$B$6),OR('Staff Dashboard'!$B$7="All",$D537='Staff Dashboard'!$B$7),OR('Staff Dashboard'!$B$8="All",$A537='Staff Dashboard'!$B$8))</f>
        <v>1</v>
      </c>
      <c r="M537">
        <f>IF($E537=0,0,SUMPRODUCT($AI$7:$DF$7,'Staff Daily sales'!$G522:$CD522))</f>
        <v>0</v>
      </c>
      <c r="N537">
        <f>IF($E537=0,0,SUMPRODUCT($AI$8:$DF$8,'Staff Daily sales'!$G522:$CD522))</f>
        <v>0</v>
      </c>
      <c r="O537">
        <f>IF($E537=0,0,SUMPRODUCT($AI$9:$DF$9,'Staff Daily sales'!$G522:$CD522))</f>
        <v>4823.05</v>
      </c>
      <c r="P537">
        <f>IF($E537=0,0,SUMPRODUCT($AI$10:$DF$10,'Staff Daily sales'!$G522:$CD522))</f>
        <v>30</v>
      </c>
      <c r="Q537">
        <f>IF($E537=0,0,SUMPRODUCT($AI$11:$DF$11,'Staff Daily sales'!$G522:$CD522))</f>
        <v>7168</v>
      </c>
      <c r="R537">
        <f>IF($E537=0,0,SUMPRODUCT($AI$12:$DF$12,'Staff Daily sales'!$G522:$CD522))</f>
        <v>49</v>
      </c>
      <c r="S537">
        <f>IF($E537=0,0,SUMPRODUCT($AI$13:$DF$13,'Staff Daily sales'!$G522:$CD522))</f>
        <v>2342.0299999999997</v>
      </c>
      <c r="T537">
        <f>IF($E537=0,0,SUMPRODUCT($AI$14:$DF$14,'Staff Daily sales'!$G522:$CD522))</f>
        <v>12</v>
      </c>
      <c r="U537">
        <f>IF($E537=0,0,SUMPRODUCT($AI$15:$DF$15,'Staff Daily sales'!$G522:$CD522))</f>
        <v>1130.0999999999999</v>
      </c>
      <c r="V537">
        <f>IF($E537=0,0,SUMPRODUCT($AI$16:$DF$16,'Staff Daily sales'!$G522:$CD522))</f>
        <v>6</v>
      </c>
      <c r="W537">
        <f t="shared" si="159"/>
        <v>88344.69</v>
      </c>
      <c r="X537">
        <f t="shared" si="160"/>
        <v>166461.59</v>
      </c>
      <c r="Y537">
        <f t="shared" si="161"/>
        <v>140958.21</v>
      </c>
      <c r="Z537">
        <f t="shared" si="162"/>
        <v>132129.16999999998</v>
      </c>
      <c r="AA537">
        <f t="shared" si="163"/>
        <v>31895.88</v>
      </c>
      <c r="AB537">
        <f>--AND($E537=1,OR('Staff Weekly Trend'!$B$3="All",$DH537='Staff Weekly Trend'!$B$3),OR('Staff Weekly Trend'!$B$4="All",$D537='Staff Weekly Trend'!$B$4),OR('Staff Weekly Trend'!$B$5="All",$A537='Staff Weekly Trend'!$B$5))</f>
        <v>1</v>
      </c>
      <c r="AC537" t="str">
        <f t="shared" si="164"/>
        <v/>
      </c>
      <c r="AI537">
        <f t="shared" si="165"/>
        <v>457</v>
      </c>
      <c r="AJ537">
        <f t="shared" si="166"/>
        <v>868</v>
      </c>
      <c r="AK537">
        <f t="shared" si="167"/>
        <v>774</v>
      </c>
      <c r="AL537">
        <f t="shared" si="168"/>
        <v>639</v>
      </c>
      <c r="AM537">
        <f t="shared" si="169"/>
        <v>158</v>
      </c>
      <c r="DH537" t="str" cm="1">
        <f t="array" ref="DH537">IF($A537="","",_xlfn.LET(_xlpm.c,IFERROR(_xlfn.XLOOKUP($A537,TRIM('Sales and count'!$A$4:$A$300&amp;""),TRIM('Sales and count'!$B$4:$B$300&amp;"")),""),IF(OR(_xlpm.c="",_xlpm.c="0",LEFT(_xlpm.c,1)="#"),"Not set",_xlpm.c)))</f>
        <v>KSA</v>
      </c>
    </row>
    <row r="538" spans="1:112" x14ac:dyDescent="0.25">
      <c r="A538" t="str">
        <f>IF('Staff Daily sales'!$B523="","",TRIM('Staff Daily sales'!$B523&amp;""))</f>
        <v>HAABRAJ1</v>
      </c>
      <c r="B538" t="str">
        <f>IF('Staff Daily sales'!$D523="","",TRIM('Staff Daily sales'!$D523&amp;""))</f>
        <v>4563-AAlsaadi</v>
      </c>
      <c r="C538" t="str">
        <f>IFERROR(TRIM('Staff Daily sales'!$E523&amp;""),"")</f>
        <v>Makkah</v>
      </c>
      <c r="D538" t="str">
        <f>IFERROR(IF(TRIM('Staff Daily sales'!$F523&amp;"")="","Unassigned",TRIM('Staff Daily sales'!$F523&amp;"")),"Unassigned")</f>
        <v>Maram Zamzami</v>
      </c>
      <c r="E538">
        <f t="shared" si="154"/>
        <v>1</v>
      </c>
      <c r="F538">
        <f>IF($E538=0,0,SUMPRODUCT($AI$5:$DF$5,'Staff Daily sales'!$G523:$CD523))</f>
        <v>3185.82</v>
      </c>
      <c r="G538">
        <f>IF($E538=0,0,SUMPRODUCT($AI$6:$DF$6,'Staff Daily sales'!$G523:$CD523))</f>
        <v>12</v>
      </c>
      <c r="H538">
        <f t="shared" si="155"/>
        <v>23034.57</v>
      </c>
      <c r="I538">
        <f t="shared" si="156"/>
        <v>101</v>
      </c>
      <c r="J538">
        <f t="shared" si="157"/>
        <v>89423.479999999967</v>
      </c>
      <c r="K538">
        <f t="shared" si="158"/>
        <v>413</v>
      </c>
      <c r="L538">
        <f>--AND($E538=1,OR('Staff Dashboard'!$B$6="All",$DH538='Staff Dashboard'!$B$6),OR('Staff Dashboard'!$B$7="All",$D538='Staff Dashboard'!$B$7),OR('Staff Dashboard'!$B$8="All",$A538='Staff Dashboard'!$B$8))</f>
        <v>1</v>
      </c>
      <c r="M538">
        <f>IF($E538=0,0,SUMPRODUCT($AI$7:$DF$7,'Staff Daily sales'!$G523:$CD523))</f>
        <v>0</v>
      </c>
      <c r="N538">
        <f>IF($E538=0,0,SUMPRODUCT($AI$8:$DF$8,'Staff Daily sales'!$G523:$CD523))</f>
        <v>0</v>
      </c>
      <c r="O538">
        <f>IF($E538=0,0,SUMPRODUCT($AI$9:$DF$9,'Staff Daily sales'!$G523:$CD523))</f>
        <v>20663.449999999997</v>
      </c>
      <c r="P538">
        <f>IF($E538=0,0,SUMPRODUCT($AI$10:$DF$10,'Staff Daily sales'!$G523:$CD523))</f>
        <v>96</v>
      </c>
      <c r="Q538">
        <f>IF($E538=0,0,SUMPRODUCT($AI$11:$DF$11,'Staff Daily sales'!$G523:$CD523))</f>
        <v>18005.240000000002</v>
      </c>
      <c r="R538">
        <f>IF($E538=0,0,SUMPRODUCT($AI$12:$DF$12,'Staff Daily sales'!$G523:$CD523))</f>
        <v>106</v>
      </c>
      <c r="S538">
        <f>IF($E538=0,0,SUMPRODUCT($AI$13:$DF$13,'Staff Daily sales'!$G523:$CD523))</f>
        <v>17051.47</v>
      </c>
      <c r="T538">
        <f>IF($E538=0,0,SUMPRODUCT($AI$14:$DF$14,'Staff Daily sales'!$G523:$CD523))</f>
        <v>78</v>
      </c>
      <c r="U538">
        <f>IF($E538=0,0,SUMPRODUCT($AI$15:$DF$15,'Staff Daily sales'!$G523:$CD523))</f>
        <v>1393.08</v>
      </c>
      <c r="V538">
        <f>IF($E538=0,0,SUMPRODUCT($AI$16:$DF$16,'Staff Daily sales'!$G523:$CD523))</f>
        <v>9</v>
      </c>
      <c r="W538">
        <f t="shared" si="159"/>
        <v>88344.69</v>
      </c>
      <c r="X538">
        <f t="shared" si="160"/>
        <v>166461.59</v>
      </c>
      <c r="Y538">
        <f t="shared" si="161"/>
        <v>140958.21</v>
      </c>
      <c r="Z538">
        <f t="shared" si="162"/>
        <v>132129.16999999998</v>
      </c>
      <c r="AA538">
        <f t="shared" si="163"/>
        <v>31895.88</v>
      </c>
      <c r="AB538">
        <f>--AND($E538=1,OR('Staff Weekly Trend'!$B$3="All",$DH538='Staff Weekly Trend'!$B$3),OR('Staff Weekly Trend'!$B$4="All",$D538='Staff Weekly Trend'!$B$4),OR('Staff Weekly Trend'!$B$5="All",$A538='Staff Weekly Trend'!$B$5))</f>
        <v>1</v>
      </c>
      <c r="AC538">
        <f t="shared" si="164"/>
        <v>4</v>
      </c>
      <c r="AI538">
        <f t="shared" si="165"/>
        <v>457</v>
      </c>
      <c r="AJ538">
        <f t="shared" si="166"/>
        <v>868</v>
      </c>
      <c r="AK538">
        <f t="shared" si="167"/>
        <v>774</v>
      </c>
      <c r="AL538">
        <f t="shared" si="168"/>
        <v>639</v>
      </c>
      <c r="AM538">
        <f t="shared" si="169"/>
        <v>158</v>
      </c>
      <c r="DH538" t="str" cm="1">
        <f t="array" ref="DH538">IF($A538="","",_xlfn.LET(_xlpm.c,IFERROR(_xlfn.XLOOKUP($A538,TRIM('Sales and count'!$A$4:$A$300&amp;""),TRIM('Sales and count'!$B$4:$B$300&amp;"")),""),IF(OR(_xlpm.c="",_xlpm.c="0",LEFT(_xlpm.c,1)="#"),"Not set",_xlpm.c)))</f>
        <v>KSA</v>
      </c>
    </row>
    <row r="539" spans="1:112" x14ac:dyDescent="0.25">
      <c r="A539" t="str">
        <f>IF('Staff Daily sales'!$B524="","",TRIM('Staff Daily sales'!$B524&amp;""))</f>
        <v>HAABRAJ1</v>
      </c>
      <c r="B539" t="str">
        <f>IF('Staff Daily sales'!$D524="","",TRIM('Staff Daily sales'!$D524&amp;""))</f>
        <v>4904-OAlzhrani</v>
      </c>
      <c r="C539" t="str">
        <f>IFERROR(TRIM('Staff Daily sales'!$E524&amp;""),"")</f>
        <v>Makkah</v>
      </c>
      <c r="D539" t="str">
        <f>IFERROR(IF(TRIM('Staff Daily sales'!$F524&amp;"")="","Unassigned",TRIM('Staff Daily sales'!$F524&amp;"")),"Unassigned")</f>
        <v>Maram Zamzami</v>
      </c>
      <c r="E539">
        <f t="shared" si="154"/>
        <v>1</v>
      </c>
      <c r="F539">
        <f>IF($E539=0,0,SUMPRODUCT($AI$5:$DF$5,'Staff Daily sales'!$G524:$CD524))</f>
        <v>6252.6</v>
      </c>
      <c r="G539">
        <f>IF($E539=0,0,SUMPRODUCT($AI$6:$DF$6,'Staff Daily sales'!$G524:$CD524))</f>
        <v>25</v>
      </c>
      <c r="H539">
        <f t="shared" si="155"/>
        <v>23034.57</v>
      </c>
      <c r="I539">
        <f t="shared" si="156"/>
        <v>101</v>
      </c>
      <c r="J539">
        <f t="shared" si="157"/>
        <v>89423.479999999967</v>
      </c>
      <c r="K539">
        <f t="shared" si="158"/>
        <v>413</v>
      </c>
      <c r="L539">
        <f>--AND($E539=1,OR('Staff Dashboard'!$B$6="All",$DH539='Staff Dashboard'!$B$6),OR('Staff Dashboard'!$B$7="All",$D539='Staff Dashboard'!$B$7),OR('Staff Dashboard'!$B$8="All",$A539='Staff Dashboard'!$B$8))</f>
        <v>1</v>
      </c>
      <c r="M539">
        <f>IF($E539=0,0,SUMPRODUCT($AI$7:$DF$7,'Staff Daily sales'!$G524:$CD524))</f>
        <v>18483.2</v>
      </c>
      <c r="N539">
        <f>IF($E539=0,0,SUMPRODUCT($AI$8:$DF$8,'Staff Daily sales'!$G524:$CD524))</f>
        <v>79</v>
      </c>
      <c r="O539">
        <f>IF($E539=0,0,SUMPRODUCT($AI$9:$DF$9,'Staff Daily sales'!$G524:$CD524))</f>
        <v>30731.47</v>
      </c>
      <c r="P539">
        <f>IF($E539=0,0,SUMPRODUCT($AI$10:$DF$10,'Staff Daily sales'!$G524:$CD524))</f>
        <v>157</v>
      </c>
      <c r="Q539">
        <f>IF($E539=0,0,SUMPRODUCT($AI$11:$DF$11,'Staff Daily sales'!$G524:$CD524))</f>
        <v>6015.09</v>
      </c>
      <c r="R539">
        <f>IF($E539=0,0,SUMPRODUCT($AI$12:$DF$12,'Staff Daily sales'!$G524:$CD524))</f>
        <v>39</v>
      </c>
      <c r="S539">
        <f>IF($E539=0,0,SUMPRODUCT($AI$13:$DF$13,'Staff Daily sales'!$G524:$CD524))</f>
        <v>10274.36</v>
      </c>
      <c r="T539">
        <f>IF($E539=0,0,SUMPRODUCT($AI$14:$DF$14,'Staff Daily sales'!$G524:$CD524))</f>
        <v>48</v>
      </c>
      <c r="U539">
        <f>IF($E539=0,0,SUMPRODUCT($AI$15:$DF$15,'Staff Daily sales'!$G524:$CD524))</f>
        <v>9283.18</v>
      </c>
      <c r="V539">
        <f>IF($E539=0,0,SUMPRODUCT($AI$16:$DF$16,'Staff Daily sales'!$G524:$CD524))</f>
        <v>47</v>
      </c>
      <c r="W539">
        <f t="shared" si="159"/>
        <v>88344.69</v>
      </c>
      <c r="X539">
        <f t="shared" si="160"/>
        <v>166461.59</v>
      </c>
      <c r="Y539">
        <f t="shared" si="161"/>
        <v>140958.21</v>
      </c>
      <c r="Z539">
        <f t="shared" si="162"/>
        <v>132129.16999999998</v>
      </c>
      <c r="AA539">
        <f t="shared" si="163"/>
        <v>31895.88</v>
      </c>
      <c r="AB539">
        <f>--AND($E539=1,OR('Staff Weekly Trend'!$B$3="All",$DH539='Staff Weekly Trend'!$B$3),OR('Staff Weekly Trend'!$B$4="All",$D539='Staff Weekly Trend'!$B$4),OR('Staff Weekly Trend'!$B$5="All",$A539='Staff Weekly Trend'!$B$5))</f>
        <v>1</v>
      </c>
      <c r="AC539">
        <f t="shared" si="164"/>
        <v>1</v>
      </c>
      <c r="AI539">
        <f t="shared" si="165"/>
        <v>457</v>
      </c>
      <c r="AJ539">
        <f t="shared" si="166"/>
        <v>868</v>
      </c>
      <c r="AK539">
        <f t="shared" si="167"/>
        <v>774</v>
      </c>
      <c r="AL539">
        <f t="shared" si="168"/>
        <v>639</v>
      </c>
      <c r="AM539">
        <f t="shared" si="169"/>
        <v>158</v>
      </c>
      <c r="DH539" t="str" cm="1">
        <f t="array" ref="DH539">IF($A539="","",_xlfn.LET(_xlpm.c,IFERROR(_xlfn.XLOOKUP($A539,TRIM('Sales and count'!$A$4:$A$300&amp;""),TRIM('Sales and count'!$B$4:$B$300&amp;"")),""),IF(OR(_xlpm.c="",_xlpm.c="0",LEFT(_xlpm.c,1)="#"),"Not set",_xlpm.c)))</f>
        <v>KSA</v>
      </c>
    </row>
    <row r="540" spans="1:112" x14ac:dyDescent="0.25">
      <c r="A540" t="str">
        <f>IF('Staff Daily sales'!$B525="","",TRIM('Staff Daily sales'!$B525&amp;""))</f>
        <v>HAABRAJ1</v>
      </c>
      <c r="B540" t="str">
        <f>IF('Staff Daily sales'!$D525="","",TRIM('Staff Daily sales'!$D525&amp;""))</f>
        <v>5355-FTazy</v>
      </c>
      <c r="C540" t="str">
        <f>IFERROR(TRIM('Staff Daily sales'!$E525&amp;""),"")</f>
        <v>Makkah</v>
      </c>
      <c r="D540" t="str">
        <f>IFERROR(IF(TRIM('Staff Daily sales'!$F525&amp;"")="","Unassigned",TRIM('Staff Daily sales'!$F525&amp;"")),"Unassigned")</f>
        <v>Maram Zamzami</v>
      </c>
      <c r="E540">
        <f t="shared" si="154"/>
        <v>1</v>
      </c>
      <c r="F540">
        <f>IF($E540=0,0,SUMPRODUCT($AI$5:$DF$5,'Staff Daily sales'!$G525:$CD525))</f>
        <v>0</v>
      </c>
      <c r="G540">
        <f>IF($E540=0,0,SUMPRODUCT($AI$6:$DF$6,'Staff Daily sales'!$G525:$CD525))</f>
        <v>0</v>
      </c>
      <c r="H540">
        <f t="shared" si="155"/>
        <v>23034.57</v>
      </c>
      <c r="I540">
        <f t="shared" si="156"/>
        <v>101</v>
      </c>
      <c r="J540">
        <f t="shared" si="157"/>
        <v>89423.479999999967</v>
      </c>
      <c r="K540">
        <f t="shared" si="158"/>
        <v>413</v>
      </c>
      <c r="L540">
        <f>--AND($E540=1,OR('Staff Dashboard'!$B$6="All",$DH540='Staff Dashboard'!$B$6),OR('Staff Dashboard'!$B$7="All",$D540='Staff Dashboard'!$B$7),OR('Staff Dashboard'!$B$8="All",$A540='Staff Dashboard'!$B$8))</f>
        <v>1</v>
      </c>
      <c r="M540">
        <f>IF($E540=0,0,SUMPRODUCT($AI$7:$DF$7,'Staff Daily sales'!$G525:$CD525))</f>
        <v>0</v>
      </c>
      <c r="N540">
        <f>IF($E540=0,0,SUMPRODUCT($AI$8:$DF$8,'Staff Daily sales'!$G525:$CD525))</f>
        <v>0</v>
      </c>
      <c r="O540">
        <f>IF($E540=0,0,SUMPRODUCT($AI$9:$DF$9,'Staff Daily sales'!$G525:$CD525))</f>
        <v>225.01</v>
      </c>
      <c r="P540">
        <f>IF($E540=0,0,SUMPRODUCT($AI$10:$DF$10,'Staff Daily sales'!$G525:$CD525))</f>
        <v>1</v>
      </c>
      <c r="Q540">
        <f>IF($E540=0,0,SUMPRODUCT($AI$11:$DF$11,'Staff Daily sales'!$G525:$CD525))</f>
        <v>0</v>
      </c>
      <c r="R540">
        <f>IF($E540=0,0,SUMPRODUCT($AI$12:$DF$12,'Staff Daily sales'!$G525:$CD525))</f>
        <v>0</v>
      </c>
      <c r="S540">
        <f>IF($E540=0,0,SUMPRODUCT($AI$13:$DF$13,'Staff Daily sales'!$G525:$CD525))</f>
        <v>0</v>
      </c>
      <c r="T540">
        <f>IF($E540=0,0,SUMPRODUCT($AI$14:$DF$14,'Staff Daily sales'!$G525:$CD525))</f>
        <v>0</v>
      </c>
      <c r="U540">
        <f>IF($E540=0,0,SUMPRODUCT($AI$15:$DF$15,'Staff Daily sales'!$G525:$CD525))</f>
        <v>0</v>
      </c>
      <c r="V540">
        <f>IF($E540=0,0,SUMPRODUCT($AI$16:$DF$16,'Staff Daily sales'!$G525:$CD525))</f>
        <v>0</v>
      </c>
      <c r="W540">
        <f t="shared" si="159"/>
        <v>88344.69</v>
      </c>
      <c r="X540">
        <f t="shared" si="160"/>
        <v>166461.59</v>
      </c>
      <c r="Y540">
        <f t="shared" si="161"/>
        <v>140958.21</v>
      </c>
      <c r="Z540">
        <f t="shared" si="162"/>
        <v>132129.16999999998</v>
      </c>
      <c r="AA540">
        <f t="shared" si="163"/>
        <v>31895.88</v>
      </c>
      <c r="AB540">
        <f>--AND($E540=1,OR('Staff Weekly Trend'!$B$3="All",$DH540='Staff Weekly Trend'!$B$3),OR('Staff Weekly Trend'!$B$4="All",$D540='Staff Weekly Trend'!$B$4),OR('Staff Weekly Trend'!$B$5="All",$A540='Staff Weekly Trend'!$B$5))</f>
        <v>1</v>
      </c>
      <c r="AC540" t="str">
        <f t="shared" si="164"/>
        <v/>
      </c>
      <c r="AI540">
        <f t="shared" si="165"/>
        <v>457</v>
      </c>
      <c r="AJ540">
        <f t="shared" si="166"/>
        <v>868</v>
      </c>
      <c r="AK540">
        <f t="shared" si="167"/>
        <v>774</v>
      </c>
      <c r="AL540">
        <f t="shared" si="168"/>
        <v>639</v>
      </c>
      <c r="AM540">
        <f t="shared" si="169"/>
        <v>158</v>
      </c>
      <c r="DH540" t="str" cm="1">
        <f t="array" ref="DH540">IF($A540="","",_xlfn.LET(_xlpm.c,IFERROR(_xlfn.XLOOKUP($A540,TRIM('Sales and count'!$A$4:$A$300&amp;""),TRIM('Sales and count'!$B$4:$B$300&amp;"")),""),IF(OR(_xlpm.c="",_xlpm.c="0",LEFT(_xlpm.c,1)="#"),"Not set",_xlpm.c)))</f>
        <v>KSA</v>
      </c>
    </row>
    <row r="541" spans="1:112" x14ac:dyDescent="0.25">
      <c r="A541" t="str">
        <f>IF('Staff Daily sales'!$B526="","",TRIM('Staff Daily sales'!$B526&amp;""))</f>
        <v>HAABRAJ1</v>
      </c>
      <c r="B541" t="str">
        <f>IF('Staff Daily sales'!$D526="","",TRIM('Staff Daily sales'!$D526&amp;""))</f>
        <v>5426-FNajjar</v>
      </c>
      <c r="C541" t="str">
        <f>IFERROR(TRIM('Staff Daily sales'!$E526&amp;""),"")</f>
        <v>Makkah</v>
      </c>
      <c r="D541" t="str">
        <f>IFERROR(IF(TRIM('Staff Daily sales'!$F526&amp;"")="","Unassigned",TRIM('Staff Daily sales'!$F526&amp;"")),"Unassigned")</f>
        <v>Maram Zamzami</v>
      </c>
      <c r="E541">
        <f t="shared" si="154"/>
        <v>1</v>
      </c>
      <c r="F541">
        <f>IF($E541=0,0,SUMPRODUCT($AI$5:$DF$5,'Staff Daily sales'!$G526:$CD526))</f>
        <v>0</v>
      </c>
      <c r="G541">
        <f>IF($E541=0,0,SUMPRODUCT($AI$6:$DF$6,'Staff Daily sales'!$G526:$CD526))</f>
        <v>0</v>
      </c>
      <c r="H541">
        <f t="shared" si="155"/>
        <v>23034.57</v>
      </c>
      <c r="I541">
        <f t="shared" si="156"/>
        <v>101</v>
      </c>
      <c r="J541">
        <f t="shared" si="157"/>
        <v>89423.479999999967</v>
      </c>
      <c r="K541">
        <f t="shared" si="158"/>
        <v>413</v>
      </c>
      <c r="L541">
        <f>--AND($E541=1,OR('Staff Dashboard'!$B$6="All",$DH541='Staff Dashboard'!$B$6),OR('Staff Dashboard'!$B$7="All",$D541='Staff Dashboard'!$B$7),OR('Staff Dashboard'!$B$8="All",$A541='Staff Dashboard'!$B$8))</f>
        <v>1</v>
      </c>
      <c r="M541">
        <f>IF($E541=0,0,SUMPRODUCT($AI$7:$DF$7,'Staff Daily sales'!$G526:$CD526))</f>
        <v>0</v>
      </c>
      <c r="N541">
        <f>IF($E541=0,0,SUMPRODUCT($AI$8:$DF$8,'Staff Daily sales'!$G526:$CD526))</f>
        <v>0</v>
      </c>
      <c r="O541">
        <f>IF($E541=0,0,SUMPRODUCT($AI$9:$DF$9,'Staff Daily sales'!$G526:$CD526))</f>
        <v>775.03</v>
      </c>
      <c r="P541">
        <f>IF($E541=0,0,SUMPRODUCT($AI$10:$DF$10,'Staff Daily sales'!$G526:$CD526))</f>
        <v>6</v>
      </c>
      <c r="Q541">
        <f>IF($E541=0,0,SUMPRODUCT($AI$11:$DF$11,'Staff Daily sales'!$G526:$CD526))</f>
        <v>0</v>
      </c>
      <c r="R541">
        <f>IF($E541=0,0,SUMPRODUCT($AI$12:$DF$12,'Staff Daily sales'!$G526:$CD526))</f>
        <v>0</v>
      </c>
      <c r="S541">
        <f>IF($E541=0,0,SUMPRODUCT($AI$13:$DF$13,'Staff Daily sales'!$G526:$CD526))</f>
        <v>0</v>
      </c>
      <c r="T541">
        <f>IF($E541=0,0,SUMPRODUCT($AI$14:$DF$14,'Staff Daily sales'!$G526:$CD526))</f>
        <v>0</v>
      </c>
      <c r="U541">
        <f>IF($E541=0,0,SUMPRODUCT($AI$15:$DF$15,'Staff Daily sales'!$G526:$CD526))</f>
        <v>0</v>
      </c>
      <c r="V541">
        <f>IF($E541=0,0,SUMPRODUCT($AI$16:$DF$16,'Staff Daily sales'!$G526:$CD526))</f>
        <v>0</v>
      </c>
      <c r="W541">
        <f t="shared" si="159"/>
        <v>88344.69</v>
      </c>
      <c r="X541">
        <f t="shared" si="160"/>
        <v>166461.59</v>
      </c>
      <c r="Y541">
        <f t="shared" si="161"/>
        <v>140958.21</v>
      </c>
      <c r="Z541">
        <f t="shared" si="162"/>
        <v>132129.16999999998</v>
      </c>
      <c r="AA541">
        <f t="shared" si="163"/>
        <v>31895.88</v>
      </c>
      <c r="AB541">
        <f>--AND($E541=1,OR('Staff Weekly Trend'!$B$3="All",$DH541='Staff Weekly Trend'!$B$3),OR('Staff Weekly Trend'!$B$4="All",$D541='Staff Weekly Trend'!$B$4),OR('Staff Weekly Trend'!$B$5="All",$A541='Staff Weekly Trend'!$B$5))</f>
        <v>1</v>
      </c>
      <c r="AC541" t="str">
        <f t="shared" si="164"/>
        <v/>
      </c>
      <c r="AI541">
        <f t="shared" si="165"/>
        <v>457</v>
      </c>
      <c r="AJ541">
        <f t="shared" si="166"/>
        <v>868</v>
      </c>
      <c r="AK541">
        <f t="shared" si="167"/>
        <v>774</v>
      </c>
      <c r="AL541">
        <f t="shared" si="168"/>
        <v>639</v>
      </c>
      <c r="AM541">
        <f t="shared" si="169"/>
        <v>158</v>
      </c>
      <c r="DH541" t="str" cm="1">
        <f t="array" ref="DH541">IF($A541="","",_xlfn.LET(_xlpm.c,IFERROR(_xlfn.XLOOKUP($A541,TRIM('Sales and count'!$A$4:$A$300&amp;""),TRIM('Sales and count'!$B$4:$B$300&amp;"")),""),IF(OR(_xlpm.c="",_xlpm.c="0",LEFT(_xlpm.c,1)="#"),"Not set",_xlpm.c)))</f>
        <v>KSA</v>
      </c>
    </row>
    <row r="542" spans="1:112" x14ac:dyDescent="0.25">
      <c r="A542" t="str">
        <f>IF('Staff Daily sales'!$B527="","",TRIM('Staff Daily sales'!$B527&amp;""))</f>
        <v>HAABRAJ1</v>
      </c>
      <c r="B542" t="str">
        <f>IF('Staff Daily sales'!$D527="","",TRIM('Staff Daily sales'!$D527&amp;""))</f>
        <v>6629-FTazi</v>
      </c>
      <c r="C542" t="str">
        <f>IFERROR(TRIM('Staff Daily sales'!$E527&amp;""),"")</f>
        <v>Makkah</v>
      </c>
      <c r="D542" t="str">
        <f>IFERROR(IF(TRIM('Staff Daily sales'!$F527&amp;"")="","Unassigned",TRIM('Staff Daily sales'!$F527&amp;"")),"Unassigned")</f>
        <v>Maram Zamzami</v>
      </c>
      <c r="E542">
        <f t="shared" si="154"/>
        <v>1</v>
      </c>
      <c r="F542">
        <f>IF($E542=0,0,SUMPRODUCT($AI$5:$DF$5,'Staff Daily sales'!$G527:$CD527))</f>
        <v>0</v>
      </c>
      <c r="G542">
        <f>IF($E542=0,0,SUMPRODUCT($AI$6:$DF$6,'Staff Daily sales'!$G527:$CD527))</f>
        <v>0</v>
      </c>
      <c r="H542">
        <f t="shared" si="155"/>
        <v>23034.57</v>
      </c>
      <c r="I542">
        <f t="shared" si="156"/>
        <v>101</v>
      </c>
      <c r="J542">
        <f t="shared" si="157"/>
        <v>89423.479999999967</v>
      </c>
      <c r="K542">
        <f t="shared" si="158"/>
        <v>413</v>
      </c>
      <c r="L542">
        <f>--AND($E542=1,OR('Staff Dashboard'!$B$6="All",$DH542='Staff Dashboard'!$B$6),OR('Staff Dashboard'!$B$7="All",$D542='Staff Dashboard'!$B$7),OR('Staff Dashboard'!$B$8="All",$A542='Staff Dashboard'!$B$8))</f>
        <v>1</v>
      </c>
      <c r="M542">
        <f>IF($E542=0,0,SUMPRODUCT($AI$7:$DF$7,'Staff Daily sales'!$G527:$CD527))</f>
        <v>5783.2199999999993</v>
      </c>
      <c r="N542">
        <f>IF($E542=0,0,SUMPRODUCT($AI$8:$DF$8,'Staff Daily sales'!$G527:$CD527))</f>
        <v>28</v>
      </c>
      <c r="O542">
        <f>IF($E542=0,0,SUMPRODUCT($AI$9:$DF$9,'Staff Daily sales'!$G527:$CD527))</f>
        <v>2622.05</v>
      </c>
      <c r="P542">
        <f>IF($E542=0,0,SUMPRODUCT($AI$10:$DF$10,'Staff Daily sales'!$G527:$CD527))</f>
        <v>11</v>
      </c>
      <c r="Q542">
        <f>IF($E542=0,0,SUMPRODUCT($AI$11:$DF$11,'Staff Daily sales'!$G527:$CD527))</f>
        <v>982.02</v>
      </c>
      <c r="R542">
        <f>IF($E542=0,0,SUMPRODUCT($AI$12:$DF$12,'Staff Daily sales'!$G527:$CD527))</f>
        <v>8</v>
      </c>
      <c r="S542">
        <f>IF($E542=0,0,SUMPRODUCT($AI$13:$DF$13,'Staff Daily sales'!$G527:$CD527))</f>
        <v>0</v>
      </c>
      <c r="T542">
        <f>IF($E542=0,0,SUMPRODUCT($AI$14:$DF$14,'Staff Daily sales'!$G527:$CD527))</f>
        <v>0</v>
      </c>
      <c r="U542">
        <f>IF($E542=0,0,SUMPRODUCT($AI$15:$DF$15,'Staff Daily sales'!$G527:$CD527))</f>
        <v>703.06</v>
      </c>
      <c r="V542">
        <f>IF($E542=0,0,SUMPRODUCT($AI$16:$DF$16,'Staff Daily sales'!$G527:$CD527))</f>
        <v>2</v>
      </c>
      <c r="W542">
        <f t="shared" si="159"/>
        <v>88344.69</v>
      </c>
      <c r="X542">
        <f t="shared" si="160"/>
        <v>166461.59</v>
      </c>
      <c r="Y542">
        <f t="shared" si="161"/>
        <v>140958.21</v>
      </c>
      <c r="Z542">
        <f t="shared" si="162"/>
        <v>132129.16999999998</v>
      </c>
      <c r="AA542">
        <f t="shared" si="163"/>
        <v>31895.88</v>
      </c>
      <c r="AB542">
        <f>--AND($E542=1,OR('Staff Weekly Trend'!$B$3="All",$DH542='Staff Weekly Trend'!$B$3),OR('Staff Weekly Trend'!$B$4="All",$D542='Staff Weekly Trend'!$B$4),OR('Staff Weekly Trend'!$B$5="All",$A542='Staff Weekly Trend'!$B$5))</f>
        <v>1</v>
      </c>
      <c r="AC542" t="str">
        <f t="shared" si="164"/>
        <v/>
      </c>
      <c r="AI542">
        <f t="shared" si="165"/>
        <v>457</v>
      </c>
      <c r="AJ542">
        <f t="shared" si="166"/>
        <v>868</v>
      </c>
      <c r="AK542">
        <f t="shared" si="167"/>
        <v>774</v>
      </c>
      <c r="AL542">
        <f t="shared" si="168"/>
        <v>639</v>
      </c>
      <c r="AM542">
        <f t="shared" si="169"/>
        <v>158</v>
      </c>
      <c r="DH542" t="str" cm="1">
        <f t="array" ref="DH542">IF($A542="","",_xlfn.LET(_xlpm.c,IFERROR(_xlfn.XLOOKUP($A542,TRIM('Sales and count'!$A$4:$A$300&amp;""),TRIM('Sales and count'!$B$4:$B$300&amp;"")),""),IF(OR(_xlpm.c="",_xlpm.c="0",LEFT(_xlpm.c,1)="#"),"Not set",_xlpm.c)))</f>
        <v>KSA</v>
      </c>
    </row>
    <row r="543" spans="1:112" x14ac:dyDescent="0.25">
      <c r="A543" t="str">
        <f>IF('Staff Daily sales'!$B528="","",TRIM('Staff Daily sales'!$B528&amp;""))</f>
        <v>HAABRAJ1</v>
      </c>
      <c r="B543" t="str">
        <f>IF('Staff Daily sales'!$D528="","",TRIM('Staff Daily sales'!$D528&amp;""))</f>
        <v>6819-MAlmushuli</v>
      </c>
      <c r="C543" t="str">
        <f>IFERROR(TRIM('Staff Daily sales'!$E528&amp;""),"")</f>
        <v>Makkah</v>
      </c>
      <c r="D543" t="str">
        <f>IFERROR(IF(TRIM('Staff Daily sales'!$F528&amp;"")="","Unassigned",TRIM('Staff Daily sales'!$F528&amp;"")),"Unassigned")</f>
        <v>Maram Zamzami</v>
      </c>
      <c r="E543">
        <f t="shared" si="154"/>
        <v>1</v>
      </c>
      <c r="F543">
        <f>IF($E543=0,0,SUMPRODUCT($AI$5:$DF$5,'Staff Daily sales'!$G528:$CD528))</f>
        <v>4580.75</v>
      </c>
      <c r="G543">
        <f>IF($E543=0,0,SUMPRODUCT($AI$6:$DF$6,'Staff Daily sales'!$G528:$CD528))</f>
        <v>23</v>
      </c>
      <c r="H543">
        <f t="shared" si="155"/>
        <v>23034.57</v>
      </c>
      <c r="I543">
        <f t="shared" si="156"/>
        <v>101</v>
      </c>
      <c r="J543">
        <f t="shared" si="157"/>
        <v>89423.479999999967</v>
      </c>
      <c r="K543">
        <f t="shared" si="158"/>
        <v>413</v>
      </c>
      <c r="L543">
        <f>--AND($E543=1,OR('Staff Dashboard'!$B$6="All",$DH543='Staff Dashboard'!$B$6),OR('Staff Dashboard'!$B$7="All",$D543='Staff Dashboard'!$B$7),OR('Staff Dashboard'!$B$8="All",$A543='Staff Dashboard'!$B$8))</f>
        <v>1</v>
      </c>
      <c r="M543">
        <f>IF($E543=0,0,SUMPRODUCT($AI$7:$DF$7,'Staff Daily sales'!$G528:$CD528))</f>
        <v>13878.29</v>
      </c>
      <c r="N543">
        <f>IF($E543=0,0,SUMPRODUCT($AI$8:$DF$8,'Staff Daily sales'!$G528:$CD528))</f>
        <v>82</v>
      </c>
      <c r="O543">
        <f>IF($E543=0,0,SUMPRODUCT($AI$9:$DF$9,'Staff Daily sales'!$G528:$CD528))</f>
        <v>21271.34</v>
      </c>
      <c r="P543">
        <f>IF($E543=0,0,SUMPRODUCT($AI$10:$DF$10,'Staff Daily sales'!$G528:$CD528))</f>
        <v>117</v>
      </c>
      <c r="Q543">
        <f>IF($E543=0,0,SUMPRODUCT($AI$11:$DF$11,'Staff Daily sales'!$G528:$CD528))</f>
        <v>23962.49</v>
      </c>
      <c r="R543">
        <f>IF($E543=0,0,SUMPRODUCT($AI$12:$DF$12,'Staff Daily sales'!$G528:$CD528))</f>
        <v>125</v>
      </c>
      <c r="S543">
        <f>IF($E543=0,0,SUMPRODUCT($AI$13:$DF$13,'Staff Daily sales'!$G528:$CD528))</f>
        <v>24697.21</v>
      </c>
      <c r="T543">
        <f>IF($E543=0,0,SUMPRODUCT($AI$14:$DF$14,'Staff Daily sales'!$G528:$CD528))</f>
        <v>126</v>
      </c>
      <c r="U543">
        <f>IF($E543=0,0,SUMPRODUCT($AI$15:$DF$15,'Staff Daily sales'!$G528:$CD528))</f>
        <v>898.95</v>
      </c>
      <c r="V543">
        <f>IF($E543=0,0,SUMPRODUCT($AI$16:$DF$16,'Staff Daily sales'!$G528:$CD528))</f>
        <v>6</v>
      </c>
      <c r="W543">
        <f t="shared" si="159"/>
        <v>88344.69</v>
      </c>
      <c r="X543">
        <f t="shared" si="160"/>
        <v>166461.59</v>
      </c>
      <c r="Y543">
        <f t="shared" si="161"/>
        <v>140958.21</v>
      </c>
      <c r="Z543">
        <f t="shared" si="162"/>
        <v>132129.16999999998</v>
      </c>
      <c r="AA543">
        <f t="shared" si="163"/>
        <v>31895.88</v>
      </c>
      <c r="AB543">
        <f>--AND($E543=1,OR('Staff Weekly Trend'!$B$3="All",$DH543='Staff Weekly Trend'!$B$3),OR('Staff Weekly Trend'!$B$4="All",$D543='Staff Weekly Trend'!$B$4),OR('Staff Weekly Trend'!$B$5="All",$A543='Staff Weekly Trend'!$B$5))</f>
        <v>1</v>
      </c>
      <c r="AC543">
        <f t="shared" si="164"/>
        <v>2</v>
      </c>
      <c r="AI543">
        <f t="shared" si="165"/>
        <v>457</v>
      </c>
      <c r="AJ543">
        <f t="shared" si="166"/>
        <v>868</v>
      </c>
      <c r="AK543">
        <f t="shared" si="167"/>
        <v>774</v>
      </c>
      <c r="AL543">
        <f t="shared" si="168"/>
        <v>639</v>
      </c>
      <c r="AM543">
        <f t="shared" si="169"/>
        <v>158</v>
      </c>
      <c r="DH543" t="str" cm="1">
        <f t="array" ref="DH543">IF($A543="","",_xlfn.LET(_xlpm.c,IFERROR(_xlfn.XLOOKUP($A543,TRIM('Sales and count'!$A$4:$A$300&amp;""),TRIM('Sales and count'!$B$4:$B$300&amp;"")),""),IF(OR(_xlpm.c="",_xlpm.c="0",LEFT(_xlpm.c,1)="#"),"Not set",_xlpm.c)))</f>
        <v>KSA</v>
      </c>
    </row>
    <row r="544" spans="1:112" x14ac:dyDescent="0.25">
      <c r="A544" t="str">
        <f>IF('Staff Daily sales'!$B529="","",TRIM('Staff Daily sales'!$B529&amp;""))</f>
        <v>HAABRAJ1</v>
      </c>
      <c r="B544" t="str">
        <f>IF('Staff Daily sales'!$D529="","",TRIM('Staff Daily sales'!$D529&amp;""))</f>
        <v>6907-KAlSharif</v>
      </c>
      <c r="C544" t="str">
        <f>IFERROR(TRIM('Staff Daily sales'!$E529&amp;""),"")</f>
        <v>Makkah</v>
      </c>
      <c r="D544" t="str">
        <f>IFERROR(IF(TRIM('Staff Daily sales'!$F529&amp;"")="","Unassigned",TRIM('Staff Daily sales'!$F529&amp;"")),"Unassigned")</f>
        <v>Maram Zamzami</v>
      </c>
      <c r="E544">
        <f t="shared" si="154"/>
        <v>1</v>
      </c>
      <c r="F544">
        <f>IF($E544=0,0,SUMPRODUCT($AI$5:$DF$5,'Staff Daily sales'!$G529:$CD529))</f>
        <v>2821.79</v>
      </c>
      <c r="G544">
        <f>IF($E544=0,0,SUMPRODUCT($AI$6:$DF$6,'Staff Daily sales'!$G529:$CD529))</f>
        <v>13</v>
      </c>
      <c r="H544">
        <f t="shared" si="155"/>
        <v>23034.57</v>
      </c>
      <c r="I544">
        <f t="shared" si="156"/>
        <v>101</v>
      </c>
      <c r="J544">
        <f t="shared" si="157"/>
        <v>89423.479999999967</v>
      </c>
      <c r="K544">
        <f t="shared" si="158"/>
        <v>413</v>
      </c>
      <c r="L544">
        <f>--AND($E544=1,OR('Staff Dashboard'!$B$6="All",$DH544='Staff Dashboard'!$B$6),OR('Staff Dashboard'!$B$7="All",$D544='Staff Dashboard'!$B$7),OR('Staff Dashboard'!$B$8="All",$A544='Staff Dashboard'!$B$8))</f>
        <v>1</v>
      </c>
      <c r="M544">
        <f>IF($E544=0,0,SUMPRODUCT($AI$7:$DF$7,'Staff Daily sales'!$G529:$CD529))</f>
        <v>8318.1899999999987</v>
      </c>
      <c r="N544">
        <f>IF($E544=0,0,SUMPRODUCT($AI$8:$DF$8,'Staff Daily sales'!$G529:$CD529))</f>
        <v>54</v>
      </c>
      <c r="O544">
        <f>IF($E544=0,0,SUMPRODUCT($AI$9:$DF$9,'Staff Daily sales'!$G529:$CD529))</f>
        <v>15791.11</v>
      </c>
      <c r="P544">
        <f>IF($E544=0,0,SUMPRODUCT($AI$10:$DF$10,'Staff Daily sales'!$G529:$CD529))</f>
        <v>111</v>
      </c>
      <c r="Q544">
        <f>IF($E544=0,0,SUMPRODUCT($AI$11:$DF$11,'Staff Daily sales'!$G529:$CD529))</f>
        <v>12283.150000000001</v>
      </c>
      <c r="R544">
        <f>IF($E544=0,0,SUMPRODUCT($AI$12:$DF$12,'Staff Daily sales'!$G529:$CD529))</f>
        <v>85</v>
      </c>
      <c r="S544">
        <f>IF($E544=0,0,SUMPRODUCT($AI$13:$DF$13,'Staff Daily sales'!$G529:$CD529))</f>
        <v>14030.650000000001</v>
      </c>
      <c r="T544">
        <f>IF($E544=0,0,SUMPRODUCT($AI$14:$DF$14,'Staff Daily sales'!$G529:$CD529))</f>
        <v>79</v>
      </c>
      <c r="U544">
        <f>IF($E544=0,0,SUMPRODUCT($AI$15:$DF$15,'Staff Daily sales'!$G529:$CD529))</f>
        <v>2012.84</v>
      </c>
      <c r="V544">
        <f>IF($E544=0,0,SUMPRODUCT($AI$16:$DF$16,'Staff Daily sales'!$G529:$CD529))</f>
        <v>8</v>
      </c>
      <c r="W544">
        <f t="shared" si="159"/>
        <v>88344.69</v>
      </c>
      <c r="X544">
        <f t="shared" si="160"/>
        <v>166461.59</v>
      </c>
      <c r="Y544">
        <f t="shared" si="161"/>
        <v>140958.21</v>
      </c>
      <c r="Z544">
        <f t="shared" si="162"/>
        <v>132129.16999999998</v>
      </c>
      <c r="AA544">
        <f t="shared" si="163"/>
        <v>31895.88</v>
      </c>
      <c r="AB544">
        <f>--AND($E544=1,OR('Staff Weekly Trend'!$B$3="All",$DH544='Staff Weekly Trend'!$B$3),OR('Staff Weekly Trend'!$B$4="All",$D544='Staff Weekly Trend'!$B$4),OR('Staff Weekly Trend'!$B$5="All",$A544='Staff Weekly Trend'!$B$5))</f>
        <v>1</v>
      </c>
      <c r="AC544">
        <f t="shared" si="164"/>
        <v>6</v>
      </c>
      <c r="AI544">
        <f t="shared" si="165"/>
        <v>457</v>
      </c>
      <c r="AJ544">
        <f t="shared" si="166"/>
        <v>868</v>
      </c>
      <c r="AK544">
        <f t="shared" si="167"/>
        <v>774</v>
      </c>
      <c r="AL544">
        <f t="shared" si="168"/>
        <v>639</v>
      </c>
      <c r="AM544">
        <f t="shared" si="169"/>
        <v>158</v>
      </c>
      <c r="DH544" t="str" cm="1">
        <f t="array" ref="DH544">IF($A544="","",_xlfn.LET(_xlpm.c,IFERROR(_xlfn.XLOOKUP($A544,TRIM('Sales and count'!$A$4:$A$300&amp;""),TRIM('Sales and count'!$B$4:$B$300&amp;"")),""),IF(OR(_xlpm.c="",_xlpm.c="0",LEFT(_xlpm.c,1)="#"),"Not set",_xlpm.c)))</f>
        <v>KSA</v>
      </c>
    </row>
    <row r="545" spans="1:112" x14ac:dyDescent="0.25">
      <c r="A545" t="str">
        <f>IF('Staff Daily sales'!$B530="","",TRIM('Staff Daily sales'!$B530&amp;""))</f>
        <v>HAABRAJ1</v>
      </c>
      <c r="B545" t="str">
        <f>IF('Staff Daily sales'!$D530="","",TRIM('Staff Daily sales'!$D530&amp;""))</f>
        <v>6925-HSindi</v>
      </c>
      <c r="C545" t="str">
        <f>IFERROR(TRIM('Staff Daily sales'!$E530&amp;""),"")</f>
        <v>Makkah</v>
      </c>
      <c r="D545" t="str">
        <f>IFERROR(IF(TRIM('Staff Daily sales'!$F530&amp;"")="","Unassigned",TRIM('Staff Daily sales'!$F530&amp;"")),"Unassigned")</f>
        <v>Maram Zamzami</v>
      </c>
      <c r="E545">
        <f t="shared" si="154"/>
        <v>1</v>
      </c>
      <c r="F545">
        <f>IF($E545=0,0,SUMPRODUCT($AI$5:$DF$5,'Staff Daily sales'!$G530:$CD530))</f>
        <v>3221.76</v>
      </c>
      <c r="G545">
        <f>IF($E545=0,0,SUMPRODUCT($AI$6:$DF$6,'Staff Daily sales'!$G530:$CD530))</f>
        <v>12</v>
      </c>
      <c r="H545">
        <f t="shared" si="155"/>
        <v>23034.57</v>
      </c>
      <c r="I545">
        <f t="shared" si="156"/>
        <v>101</v>
      </c>
      <c r="J545">
        <f t="shared" si="157"/>
        <v>89423.479999999967</v>
      </c>
      <c r="K545">
        <f t="shared" si="158"/>
        <v>413</v>
      </c>
      <c r="L545">
        <f>--AND($E545=1,OR('Staff Dashboard'!$B$6="All",$DH545='Staff Dashboard'!$B$6),OR('Staff Dashboard'!$B$7="All",$D545='Staff Dashboard'!$B$7),OR('Staff Dashboard'!$B$8="All",$A545='Staff Dashboard'!$B$8))</f>
        <v>1</v>
      </c>
      <c r="M545">
        <f>IF($E545=0,0,SUMPRODUCT($AI$7:$DF$7,'Staff Daily sales'!$G530:$CD530))</f>
        <v>9722.16</v>
      </c>
      <c r="N545">
        <f>IF($E545=0,0,SUMPRODUCT($AI$8:$DF$8,'Staff Daily sales'!$G530:$CD530))</f>
        <v>56</v>
      </c>
      <c r="O545">
        <f>IF($E545=0,0,SUMPRODUCT($AI$9:$DF$9,'Staff Daily sales'!$G530:$CD530))</f>
        <v>37885.760000000002</v>
      </c>
      <c r="P545">
        <f>IF($E545=0,0,SUMPRODUCT($AI$10:$DF$10,'Staff Daily sales'!$G530:$CD530))</f>
        <v>179</v>
      </c>
      <c r="Q545">
        <f>IF($E545=0,0,SUMPRODUCT($AI$11:$DF$11,'Staff Daily sales'!$G530:$CD530))</f>
        <v>28095.500000000004</v>
      </c>
      <c r="R545">
        <f>IF($E545=0,0,SUMPRODUCT($AI$12:$DF$12,'Staff Daily sales'!$G530:$CD530))</f>
        <v>149</v>
      </c>
      <c r="S545">
        <f>IF($E545=0,0,SUMPRODUCT($AI$13:$DF$13,'Staff Daily sales'!$G530:$CD530))</f>
        <v>22204.18</v>
      </c>
      <c r="T545">
        <f>IF($E545=0,0,SUMPRODUCT($AI$14:$DF$14,'Staff Daily sales'!$G530:$CD530))</f>
        <v>96</v>
      </c>
      <c r="U545">
        <f>IF($E545=0,0,SUMPRODUCT($AI$15:$DF$15,'Staff Daily sales'!$G530:$CD530))</f>
        <v>5926.82</v>
      </c>
      <c r="V545">
        <f>IF($E545=0,0,SUMPRODUCT($AI$16:$DF$16,'Staff Daily sales'!$G530:$CD530))</f>
        <v>32</v>
      </c>
      <c r="W545">
        <f t="shared" si="159"/>
        <v>88344.69</v>
      </c>
      <c r="X545">
        <f t="shared" si="160"/>
        <v>166461.59</v>
      </c>
      <c r="Y545">
        <f t="shared" si="161"/>
        <v>140958.21</v>
      </c>
      <c r="Z545">
        <f t="shared" si="162"/>
        <v>132129.16999999998</v>
      </c>
      <c r="AA545">
        <f t="shared" si="163"/>
        <v>31895.88</v>
      </c>
      <c r="AB545">
        <f>--AND($E545=1,OR('Staff Weekly Trend'!$B$3="All",$DH545='Staff Weekly Trend'!$B$3),OR('Staff Weekly Trend'!$B$4="All",$D545='Staff Weekly Trend'!$B$4),OR('Staff Weekly Trend'!$B$5="All",$A545='Staff Weekly Trend'!$B$5))</f>
        <v>1</v>
      </c>
      <c r="AC545">
        <f t="shared" si="164"/>
        <v>3</v>
      </c>
      <c r="AI545">
        <f t="shared" si="165"/>
        <v>457</v>
      </c>
      <c r="AJ545">
        <f t="shared" si="166"/>
        <v>868</v>
      </c>
      <c r="AK545">
        <f t="shared" si="167"/>
        <v>774</v>
      </c>
      <c r="AL545">
        <f t="shared" si="168"/>
        <v>639</v>
      </c>
      <c r="AM545">
        <f t="shared" si="169"/>
        <v>158</v>
      </c>
      <c r="DH545" t="str" cm="1">
        <f t="array" ref="DH545">IF($A545="","",_xlfn.LET(_xlpm.c,IFERROR(_xlfn.XLOOKUP($A545,TRIM('Sales and count'!$A$4:$A$300&amp;""),TRIM('Sales and count'!$B$4:$B$300&amp;"")),""),IF(OR(_xlpm.c="",_xlpm.c="0",LEFT(_xlpm.c,1)="#"),"Not set",_xlpm.c)))</f>
        <v>KSA</v>
      </c>
    </row>
    <row r="546" spans="1:112" x14ac:dyDescent="0.25">
      <c r="A546" t="str">
        <f>IF('Staff Daily sales'!$B531="","",TRIM('Staff Daily sales'!$B531&amp;""))</f>
        <v>HAABRAJ1</v>
      </c>
      <c r="B546" t="str">
        <f>IF('Staff Daily sales'!$D531="","",TRIM('Staff Daily sales'!$D531&amp;""))</f>
        <v>6928-RKanjari</v>
      </c>
      <c r="C546" t="str">
        <f>IFERROR(TRIM('Staff Daily sales'!$E531&amp;""),"")</f>
        <v>Makkah</v>
      </c>
      <c r="D546" t="str">
        <f>IFERROR(IF(TRIM('Staff Daily sales'!$F531&amp;"")="","Unassigned",TRIM('Staff Daily sales'!$F531&amp;"")),"Unassigned")</f>
        <v>Maram Zamzami</v>
      </c>
      <c r="E546">
        <f t="shared" si="154"/>
        <v>1</v>
      </c>
      <c r="F546">
        <f>IF($E546=0,0,SUMPRODUCT($AI$5:$DF$5,'Staff Daily sales'!$G531:$CD531))</f>
        <v>0</v>
      </c>
      <c r="G546">
        <f>IF($E546=0,0,SUMPRODUCT($AI$6:$DF$6,'Staff Daily sales'!$G531:$CD531))</f>
        <v>0</v>
      </c>
      <c r="H546">
        <f t="shared" si="155"/>
        <v>23034.57</v>
      </c>
      <c r="I546">
        <f t="shared" si="156"/>
        <v>101</v>
      </c>
      <c r="J546">
        <f t="shared" si="157"/>
        <v>89423.479999999967</v>
      </c>
      <c r="K546">
        <f t="shared" si="158"/>
        <v>413</v>
      </c>
      <c r="L546">
        <f>--AND($E546=1,OR('Staff Dashboard'!$B$6="All",$DH546='Staff Dashboard'!$B$6),OR('Staff Dashboard'!$B$7="All",$D546='Staff Dashboard'!$B$7),OR('Staff Dashboard'!$B$8="All",$A546='Staff Dashboard'!$B$8))</f>
        <v>1</v>
      </c>
      <c r="M546">
        <f>IF($E546=0,0,SUMPRODUCT($AI$7:$DF$7,'Staff Daily sales'!$G531:$CD531))</f>
        <v>0</v>
      </c>
      <c r="N546">
        <f>IF($E546=0,0,SUMPRODUCT($AI$8:$DF$8,'Staff Daily sales'!$G531:$CD531))</f>
        <v>0</v>
      </c>
      <c r="O546">
        <f>IF($E546=0,0,SUMPRODUCT($AI$9:$DF$9,'Staff Daily sales'!$G531:$CD531))</f>
        <v>1926.06</v>
      </c>
      <c r="P546">
        <f>IF($E546=0,0,SUMPRODUCT($AI$10:$DF$10,'Staff Daily sales'!$G531:$CD531))</f>
        <v>8</v>
      </c>
      <c r="Q546">
        <f>IF($E546=0,0,SUMPRODUCT($AI$11:$DF$11,'Staff Daily sales'!$G531:$CD531))</f>
        <v>0</v>
      </c>
      <c r="R546">
        <f>IF($E546=0,0,SUMPRODUCT($AI$12:$DF$12,'Staff Daily sales'!$G531:$CD531))</f>
        <v>0</v>
      </c>
      <c r="S546">
        <f>IF($E546=0,0,SUMPRODUCT($AI$13:$DF$13,'Staff Daily sales'!$G531:$CD531))</f>
        <v>0</v>
      </c>
      <c r="T546">
        <f>IF($E546=0,0,SUMPRODUCT($AI$14:$DF$14,'Staff Daily sales'!$G531:$CD531))</f>
        <v>0</v>
      </c>
      <c r="U546">
        <f>IF($E546=0,0,SUMPRODUCT($AI$15:$DF$15,'Staff Daily sales'!$G531:$CD531))</f>
        <v>0</v>
      </c>
      <c r="V546">
        <f>IF($E546=0,0,SUMPRODUCT($AI$16:$DF$16,'Staff Daily sales'!$G531:$CD531))</f>
        <v>0</v>
      </c>
      <c r="W546">
        <f t="shared" si="159"/>
        <v>88344.69</v>
      </c>
      <c r="X546">
        <f t="shared" si="160"/>
        <v>166461.59</v>
      </c>
      <c r="Y546">
        <f t="shared" si="161"/>
        <v>140958.21</v>
      </c>
      <c r="Z546">
        <f t="shared" si="162"/>
        <v>132129.16999999998</v>
      </c>
      <c r="AA546">
        <f t="shared" si="163"/>
        <v>31895.88</v>
      </c>
      <c r="AB546">
        <f>--AND($E546=1,OR('Staff Weekly Trend'!$B$3="All",$DH546='Staff Weekly Trend'!$B$3),OR('Staff Weekly Trend'!$B$4="All",$D546='Staff Weekly Trend'!$B$4),OR('Staff Weekly Trend'!$B$5="All",$A546='Staff Weekly Trend'!$B$5))</f>
        <v>1</v>
      </c>
      <c r="AC546" t="str">
        <f t="shared" si="164"/>
        <v/>
      </c>
      <c r="AI546">
        <f t="shared" si="165"/>
        <v>457</v>
      </c>
      <c r="AJ546">
        <f t="shared" si="166"/>
        <v>868</v>
      </c>
      <c r="AK546">
        <f t="shared" si="167"/>
        <v>774</v>
      </c>
      <c r="AL546">
        <f t="shared" si="168"/>
        <v>639</v>
      </c>
      <c r="AM546">
        <f t="shared" si="169"/>
        <v>158</v>
      </c>
      <c r="DH546" t="str" cm="1">
        <f t="array" ref="DH546">IF($A546="","",_xlfn.LET(_xlpm.c,IFERROR(_xlfn.XLOOKUP($A546,TRIM('Sales and count'!$A$4:$A$300&amp;""),TRIM('Sales and count'!$B$4:$B$300&amp;"")),""),IF(OR(_xlpm.c="",_xlpm.c="0",LEFT(_xlpm.c,1)="#"),"Not set",_xlpm.c)))</f>
        <v>KSA</v>
      </c>
    </row>
    <row r="547" spans="1:112" x14ac:dyDescent="0.25">
      <c r="A547" t="str">
        <f>IF('Staff Daily sales'!$B532="","",TRIM('Staff Daily sales'!$B532&amp;""))</f>
        <v>HAABRAJ1</v>
      </c>
      <c r="B547" t="str">
        <f>IF('Staff Daily sales'!$D532="","",TRIM('Staff Daily sales'!$D532&amp;""))</f>
        <v>7176-AAljahdali</v>
      </c>
      <c r="C547" t="str">
        <f>IFERROR(TRIM('Staff Daily sales'!$E532&amp;""),"")</f>
        <v>Makkah</v>
      </c>
      <c r="D547" t="str">
        <f>IFERROR(IF(TRIM('Staff Daily sales'!$F532&amp;"")="","Unassigned",TRIM('Staff Daily sales'!$F532&amp;"")),"Unassigned")</f>
        <v>Maram Zamzami</v>
      </c>
      <c r="E547">
        <f t="shared" si="154"/>
        <v>1</v>
      </c>
      <c r="F547">
        <f>IF($E547=0,0,SUMPRODUCT($AI$5:$DF$5,'Staff Daily sales'!$G532:$CD532))</f>
        <v>0</v>
      </c>
      <c r="G547">
        <f>IF($E547=0,0,SUMPRODUCT($AI$6:$DF$6,'Staff Daily sales'!$G532:$CD532))</f>
        <v>0</v>
      </c>
      <c r="H547">
        <f t="shared" si="155"/>
        <v>23034.57</v>
      </c>
      <c r="I547">
        <f t="shared" si="156"/>
        <v>101</v>
      </c>
      <c r="J547">
        <f t="shared" si="157"/>
        <v>89423.479999999967</v>
      </c>
      <c r="K547">
        <f t="shared" si="158"/>
        <v>413</v>
      </c>
      <c r="L547">
        <f>--AND($E547=1,OR('Staff Dashboard'!$B$6="All",$DH547='Staff Dashboard'!$B$6),OR('Staff Dashboard'!$B$7="All",$D547='Staff Dashboard'!$B$7),OR('Staff Dashboard'!$B$8="All",$A547='Staff Dashboard'!$B$8))</f>
        <v>1</v>
      </c>
      <c r="M547">
        <f>IF($E547=0,0,SUMPRODUCT($AI$7:$DF$7,'Staff Daily sales'!$G532:$CD532))</f>
        <v>10690.310000000001</v>
      </c>
      <c r="N547">
        <f>IF($E547=0,0,SUMPRODUCT($AI$8:$DF$8,'Staff Daily sales'!$G532:$CD532))</f>
        <v>56</v>
      </c>
      <c r="O547">
        <f>IF($E547=0,0,SUMPRODUCT($AI$9:$DF$9,'Staff Daily sales'!$G532:$CD532))</f>
        <v>24589.159999999996</v>
      </c>
      <c r="P547">
        <f>IF($E547=0,0,SUMPRODUCT($AI$10:$DF$10,'Staff Daily sales'!$G532:$CD532))</f>
        <v>125</v>
      </c>
      <c r="Q547">
        <f>IF($E547=0,0,SUMPRODUCT($AI$11:$DF$11,'Staff Daily sales'!$G532:$CD532))</f>
        <v>25688.280000000002</v>
      </c>
      <c r="R547">
        <f>IF($E547=0,0,SUMPRODUCT($AI$12:$DF$12,'Staff Daily sales'!$G532:$CD532))</f>
        <v>123</v>
      </c>
      <c r="S547">
        <f>IF($E547=0,0,SUMPRODUCT($AI$13:$DF$13,'Staff Daily sales'!$G532:$CD532))</f>
        <v>25285.53</v>
      </c>
      <c r="T547">
        <f>IF($E547=0,0,SUMPRODUCT($AI$14:$DF$14,'Staff Daily sales'!$G532:$CD532))</f>
        <v>111</v>
      </c>
      <c r="U547">
        <f>IF($E547=0,0,SUMPRODUCT($AI$15:$DF$15,'Staff Daily sales'!$G532:$CD532))</f>
        <v>6782.04</v>
      </c>
      <c r="V547">
        <f>IF($E547=0,0,SUMPRODUCT($AI$16:$DF$16,'Staff Daily sales'!$G532:$CD532))</f>
        <v>32</v>
      </c>
      <c r="W547">
        <f t="shared" si="159"/>
        <v>88344.69</v>
      </c>
      <c r="X547">
        <f t="shared" si="160"/>
        <v>166461.59</v>
      </c>
      <c r="Y547">
        <f t="shared" si="161"/>
        <v>140958.21</v>
      </c>
      <c r="Z547">
        <f t="shared" si="162"/>
        <v>132129.16999999998</v>
      </c>
      <c r="AA547">
        <f t="shared" si="163"/>
        <v>31895.88</v>
      </c>
      <c r="AB547">
        <f>--AND($E547=1,OR('Staff Weekly Trend'!$B$3="All",$DH547='Staff Weekly Trend'!$B$3),OR('Staff Weekly Trend'!$B$4="All",$D547='Staff Weekly Trend'!$B$4),OR('Staff Weekly Trend'!$B$5="All",$A547='Staff Weekly Trend'!$B$5))</f>
        <v>1</v>
      </c>
      <c r="AC547" t="str">
        <f t="shared" si="164"/>
        <v/>
      </c>
      <c r="AI547">
        <f t="shared" si="165"/>
        <v>457</v>
      </c>
      <c r="AJ547">
        <f t="shared" si="166"/>
        <v>868</v>
      </c>
      <c r="AK547">
        <f t="shared" si="167"/>
        <v>774</v>
      </c>
      <c r="AL547">
        <f t="shared" si="168"/>
        <v>639</v>
      </c>
      <c r="AM547">
        <f t="shared" si="169"/>
        <v>158</v>
      </c>
      <c r="DH547" t="str" cm="1">
        <f t="array" ref="DH547">IF($A547="","",_xlfn.LET(_xlpm.c,IFERROR(_xlfn.XLOOKUP($A547,TRIM('Sales and count'!$A$4:$A$300&amp;""),TRIM('Sales and count'!$B$4:$B$300&amp;"")),""),IF(OR(_xlpm.c="",_xlpm.c="0",LEFT(_xlpm.c,1)="#"),"Not set",_xlpm.c)))</f>
        <v>KSA</v>
      </c>
    </row>
    <row r="548" spans="1:112" x14ac:dyDescent="0.25">
      <c r="A548" t="str">
        <f>IF('Staff Daily sales'!$B533="","",TRIM('Staff Daily sales'!$B533&amp;""))</f>
        <v>HAABRAJ1</v>
      </c>
      <c r="B548" t="str">
        <f>IF('Staff Daily sales'!$D533="","",TRIM('Staff Daily sales'!$D533&amp;""))</f>
        <v>7177-MIbrahim</v>
      </c>
      <c r="C548" t="str">
        <f>IFERROR(TRIM('Staff Daily sales'!$E533&amp;""),"")</f>
        <v>Makkah</v>
      </c>
      <c r="D548" t="str">
        <f>IFERROR(IF(TRIM('Staff Daily sales'!$F533&amp;"")="","Unassigned",TRIM('Staff Daily sales'!$F533&amp;"")),"Unassigned")</f>
        <v>Maram Zamzami</v>
      </c>
      <c r="E548">
        <f t="shared" si="154"/>
        <v>1</v>
      </c>
      <c r="F548">
        <f>IF($E548=0,0,SUMPRODUCT($AI$5:$DF$5,'Staff Daily sales'!$G533:$CD533))</f>
        <v>0</v>
      </c>
      <c r="G548">
        <f>IF($E548=0,0,SUMPRODUCT($AI$6:$DF$6,'Staff Daily sales'!$G533:$CD533))</f>
        <v>0</v>
      </c>
      <c r="H548">
        <f t="shared" si="155"/>
        <v>23034.57</v>
      </c>
      <c r="I548">
        <f t="shared" si="156"/>
        <v>101</v>
      </c>
      <c r="J548">
        <f t="shared" si="157"/>
        <v>89423.479999999967</v>
      </c>
      <c r="K548">
        <f t="shared" si="158"/>
        <v>413</v>
      </c>
      <c r="L548">
        <f>--AND($E548=1,OR('Staff Dashboard'!$B$6="All",$DH548='Staff Dashboard'!$B$6),OR('Staff Dashboard'!$B$7="All",$D548='Staff Dashboard'!$B$7),OR('Staff Dashboard'!$B$8="All",$A548='Staff Dashboard'!$B$8))</f>
        <v>1</v>
      </c>
      <c r="M548">
        <f>IF($E548=0,0,SUMPRODUCT($AI$7:$DF$7,'Staff Daily sales'!$G533:$CD533))</f>
        <v>11451.220000000001</v>
      </c>
      <c r="N548">
        <f>IF($E548=0,0,SUMPRODUCT($AI$8:$DF$8,'Staff Daily sales'!$G533:$CD533))</f>
        <v>56</v>
      </c>
      <c r="O548">
        <f>IF($E548=0,0,SUMPRODUCT($AI$9:$DF$9,'Staff Daily sales'!$G533:$CD533))</f>
        <v>0</v>
      </c>
      <c r="P548">
        <f>IF($E548=0,0,SUMPRODUCT($AI$10:$DF$10,'Staff Daily sales'!$G533:$CD533))</f>
        <v>0</v>
      </c>
      <c r="Q548">
        <f>IF($E548=0,0,SUMPRODUCT($AI$11:$DF$11,'Staff Daily sales'!$G533:$CD533))</f>
        <v>0</v>
      </c>
      <c r="R548">
        <f>IF($E548=0,0,SUMPRODUCT($AI$12:$DF$12,'Staff Daily sales'!$G533:$CD533))</f>
        <v>0</v>
      </c>
      <c r="S548">
        <f>IF($E548=0,0,SUMPRODUCT($AI$13:$DF$13,'Staff Daily sales'!$G533:$CD533))</f>
        <v>0</v>
      </c>
      <c r="T548">
        <f>IF($E548=0,0,SUMPRODUCT($AI$14:$DF$14,'Staff Daily sales'!$G533:$CD533))</f>
        <v>0</v>
      </c>
      <c r="U548">
        <f>IF($E548=0,0,SUMPRODUCT($AI$15:$DF$15,'Staff Daily sales'!$G533:$CD533))</f>
        <v>0</v>
      </c>
      <c r="V548">
        <f>IF($E548=0,0,SUMPRODUCT($AI$16:$DF$16,'Staff Daily sales'!$G533:$CD533))</f>
        <v>0</v>
      </c>
      <c r="W548">
        <f t="shared" si="159"/>
        <v>88344.69</v>
      </c>
      <c r="X548">
        <f t="shared" si="160"/>
        <v>166461.59</v>
      </c>
      <c r="Y548">
        <f t="shared" si="161"/>
        <v>140958.21</v>
      </c>
      <c r="Z548">
        <f t="shared" si="162"/>
        <v>132129.16999999998</v>
      </c>
      <c r="AA548">
        <f t="shared" si="163"/>
        <v>31895.88</v>
      </c>
      <c r="AB548">
        <f>--AND($E548=1,OR('Staff Weekly Trend'!$B$3="All",$DH548='Staff Weekly Trend'!$B$3),OR('Staff Weekly Trend'!$B$4="All",$D548='Staff Weekly Trend'!$B$4),OR('Staff Weekly Trend'!$B$5="All",$A548='Staff Weekly Trend'!$B$5))</f>
        <v>1</v>
      </c>
      <c r="AC548" t="str">
        <f t="shared" si="164"/>
        <v/>
      </c>
      <c r="AI548">
        <f t="shared" si="165"/>
        <v>457</v>
      </c>
      <c r="AJ548">
        <f t="shared" si="166"/>
        <v>868</v>
      </c>
      <c r="AK548">
        <f t="shared" si="167"/>
        <v>774</v>
      </c>
      <c r="AL548">
        <f t="shared" si="168"/>
        <v>639</v>
      </c>
      <c r="AM548">
        <f t="shared" si="169"/>
        <v>158</v>
      </c>
      <c r="DH548" t="str" cm="1">
        <f t="array" ref="DH548">IF($A548="","",_xlfn.LET(_xlpm.c,IFERROR(_xlfn.XLOOKUP($A548,TRIM('Sales and count'!$A$4:$A$300&amp;""),TRIM('Sales and count'!$B$4:$B$300&amp;"")),""),IF(OR(_xlpm.c="",_xlpm.c="0",LEFT(_xlpm.c,1)="#"),"Not set",_xlpm.c)))</f>
        <v>KSA</v>
      </c>
    </row>
    <row r="549" spans="1:112" x14ac:dyDescent="0.25">
      <c r="A549" t="str">
        <f>IF('Staff Daily sales'!$B534="","",TRIM('Staff Daily sales'!$B534&amp;""))</f>
        <v>HAABRAJ2</v>
      </c>
      <c r="B549" t="str">
        <f>IF('Staff Daily sales'!$D534="","",TRIM('Staff Daily sales'!$D534&amp;""))</f>
        <v>3675-MNassef</v>
      </c>
      <c r="C549" t="str">
        <f>IFERROR(TRIM('Staff Daily sales'!$E534&amp;""),"")</f>
        <v>Makkah</v>
      </c>
      <c r="D549" t="str">
        <f>IFERROR(IF(TRIM('Staff Daily sales'!$F534&amp;"")="","Unassigned",TRIM('Staff Daily sales'!$F534&amp;"")),"Unassigned")</f>
        <v>Maram Zamzami</v>
      </c>
      <c r="E549">
        <f t="shared" si="154"/>
        <v>1</v>
      </c>
      <c r="F549">
        <f>IF($E549=0,0,SUMPRODUCT($AI$5:$DF$5,'Staff Daily sales'!$G534:$CD534))</f>
        <v>421.96</v>
      </c>
      <c r="G549">
        <f>IF($E549=0,0,SUMPRODUCT($AI$6:$DF$6,'Staff Daily sales'!$G534:$CD534))</f>
        <v>1</v>
      </c>
      <c r="H549">
        <f t="shared" si="155"/>
        <v>2184.83</v>
      </c>
      <c r="I549">
        <f t="shared" si="156"/>
        <v>9</v>
      </c>
      <c r="J549">
        <f t="shared" si="157"/>
        <v>89423.479999999967</v>
      </c>
      <c r="K549">
        <f t="shared" si="158"/>
        <v>413</v>
      </c>
      <c r="L549">
        <f>--AND($E549=1,OR('Staff Dashboard'!$B$6="All",$DH549='Staff Dashboard'!$B$6),OR('Staff Dashboard'!$B$7="All",$D549='Staff Dashboard'!$B$7),OR('Staff Dashboard'!$B$8="All",$A549='Staff Dashboard'!$B$8))</f>
        <v>1</v>
      </c>
      <c r="M549">
        <f>IF($E549=0,0,SUMPRODUCT($AI$7:$DF$7,'Staff Daily sales'!$G534:$CD534))</f>
        <v>1092.03</v>
      </c>
      <c r="N549">
        <f>IF($E549=0,0,SUMPRODUCT($AI$8:$DF$8,'Staff Daily sales'!$G534:$CD534))</f>
        <v>2</v>
      </c>
      <c r="O549">
        <f>IF($E549=0,0,SUMPRODUCT($AI$9:$DF$9,'Staff Daily sales'!$G534:$CD534))</f>
        <v>0</v>
      </c>
      <c r="P549">
        <f>IF($E549=0,0,SUMPRODUCT($AI$10:$DF$10,'Staff Daily sales'!$G534:$CD534))</f>
        <v>0</v>
      </c>
      <c r="Q549">
        <f>IF($E549=0,0,SUMPRODUCT($AI$11:$DF$11,'Staff Daily sales'!$G534:$CD534))</f>
        <v>6432.0499999999993</v>
      </c>
      <c r="R549">
        <f>IF($E549=0,0,SUMPRODUCT($AI$12:$DF$12,'Staff Daily sales'!$G534:$CD534))</f>
        <v>24</v>
      </c>
      <c r="S549">
        <f>IF($E549=0,0,SUMPRODUCT($AI$13:$DF$13,'Staff Daily sales'!$G534:$CD534))</f>
        <v>2858.86</v>
      </c>
      <c r="T549">
        <f>IF($E549=0,0,SUMPRODUCT($AI$14:$DF$14,'Staff Daily sales'!$G534:$CD534))</f>
        <v>6</v>
      </c>
      <c r="U549">
        <f>IF($E549=0,0,SUMPRODUCT($AI$15:$DF$15,'Staff Daily sales'!$G534:$CD534))</f>
        <v>801.97</v>
      </c>
      <c r="V549">
        <f>IF($E549=0,0,SUMPRODUCT($AI$16:$DF$16,'Staff Daily sales'!$G534:$CD534))</f>
        <v>1</v>
      </c>
      <c r="W549">
        <f t="shared" si="159"/>
        <v>29425.82</v>
      </c>
      <c r="X549">
        <f t="shared" si="160"/>
        <v>31945.440000000002</v>
      </c>
      <c r="Y549">
        <f t="shared" si="161"/>
        <v>39537.570000000007</v>
      </c>
      <c r="Z549">
        <f t="shared" si="162"/>
        <v>22692.47</v>
      </c>
      <c r="AA549">
        <f t="shared" si="163"/>
        <v>4063.9500000000003</v>
      </c>
      <c r="AB549">
        <f>--AND($E549=1,OR('Staff Weekly Trend'!$B$3="All",$DH549='Staff Weekly Trend'!$B$3),OR('Staff Weekly Trend'!$B$4="All",$D549='Staff Weekly Trend'!$B$4),OR('Staff Weekly Trend'!$B$5="All",$A549='Staff Weekly Trend'!$B$5))</f>
        <v>1</v>
      </c>
      <c r="AC549">
        <f t="shared" si="164"/>
        <v>3</v>
      </c>
      <c r="AI549">
        <f t="shared" si="165"/>
        <v>110</v>
      </c>
      <c r="AJ549">
        <f t="shared" si="166"/>
        <v>128</v>
      </c>
      <c r="AK549">
        <f t="shared" si="167"/>
        <v>161</v>
      </c>
      <c r="AL549">
        <f t="shared" si="168"/>
        <v>75</v>
      </c>
      <c r="AM549">
        <f t="shared" si="169"/>
        <v>12</v>
      </c>
      <c r="DH549" t="str" cm="1">
        <f t="array" ref="DH549">IF($A549="","",_xlfn.LET(_xlpm.c,IFERROR(_xlfn.XLOOKUP($A549,TRIM('Sales and count'!$A$4:$A$300&amp;""),TRIM('Sales and count'!$B$4:$B$300&amp;"")),""),IF(OR(_xlpm.c="",_xlpm.c="0",LEFT(_xlpm.c,1)="#"),"Not set",_xlpm.c)))</f>
        <v>KSA</v>
      </c>
    </row>
    <row r="550" spans="1:112" x14ac:dyDescent="0.25">
      <c r="A550" t="str">
        <f>IF('Staff Daily sales'!$B535="","",TRIM('Staff Daily sales'!$B535&amp;""))</f>
        <v>HAABRAJ2</v>
      </c>
      <c r="B550" t="str">
        <f>IF('Staff Daily sales'!$D535="","",TRIM('Staff Daily sales'!$D535&amp;""))</f>
        <v>4563-AAlsaadi</v>
      </c>
      <c r="C550" t="str">
        <f>IFERROR(TRIM('Staff Daily sales'!$E535&amp;""),"")</f>
        <v>Makkah</v>
      </c>
      <c r="D550" t="str">
        <f>IFERROR(IF(TRIM('Staff Daily sales'!$F535&amp;"")="","Unassigned",TRIM('Staff Daily sales'!$F535&amp;"")),"Unassigned")</f>
        <v>Maram Zamzami</v>
      </c>
      <c r="E550">
        <f t="shared" si="154"/>
        <v>1</v>
      </c>
      <c r="F550">
        <f>IF($E550=0,0,SUMPRODUCT($AI$5:$DF$5,'Staff Daily sales'!$G535:$CD535))</f>
        <v>0</v>
      </c>
      <c r="G550">
        <f>IF($E550=0,0,SUMPRODUCT($AI$6:$DF$6,'Staff Daily sales'!$G535:$CD535))</f>
        <v>0</v>
      </c>
      <c r="H550">
        <f t="shared" si="155"/>
        <v>2184.83</v>
      </c>
      <c r="I550">
        <f t="shared" si="156"/>
        <v>9</v>
      </c>
      <c r="J550">
        <f t="shared" si="157"/>
        <v>89423.479999999967</v>
      </c>
      <c r="K550">
        <f t="shared" si="158"/>
        <v>413</v>
      </c>
      <c r="L550">
        <f>--AND($E550=1,OR('Staff Dashboard'!$B$6="All",$DH550='Staff Dashboard'!$B$6),OR('Staff Dashboard'!$B$7="All",$D550='Staff Dashboard'!$B$7),OR('Staff Dashboard'!$B$8="All",$A550='Staff Dashboard'!$B$8))</f>
        <v>1</v>
      </c>
      <c r="M550">
        <f>IF($E550=0,0,SUMPRODUCT($AI$7:$DF$7,'Staff Daily sales'!$G535:$CD535))</f>
        <v>0</v>
      </c>
      <c r="N550">
        <f>IF($E550=0,0,SUMPRODUCT($AI$8:$DF$8,'Staff Daily sales'!$G535:$CD535))</f>
        <v>0</v>
      </c>
      <c r="O550">
        <f>IF($E550=0,0,SUMPRODUCT($AI$9:$DF$9,'Staff Daily sales'!$G535:$CD535))</f>
        <v>0</v>
      </c>
      <c r="P550">
        <f>IF($E550=0,0,SUMPRODUCT($AI$10:$DF$10,'Staff Daily sales'!$G535:$CD535))</f>
        <v>0</v>
      </c>
      <c r="Q550">
        <f>IF($E550=0,0,SUMPRODUCT($AI$11:$DF$11,'Staff Daily sales'!$G535:$CD535))</f>
        <v>1054.03</v>
      </c>
      <c r="R550">
        <f>IF($E550=0,0,SUMPRODUCT($AI$12:$DF$12,'Staff Daily sales'!$G535:$CD535))</f>
        <v>3</v>
      </c>
      <c r="S550">
        <f>IF($E550=0,0,SUMPRODUCT($AI$13:$DF$13,'Staff Daily sales'!$G535:$CD535))</f>
        <v>0</v>
      </c>
      <c r="T550">
        <f>IF($E550=0,0,SUMPRODUCT($AI$14:$DF$14,'Staff Daily sales'!$G535:$CD535))</f>
        <v>0</v>
      </c>
      <c r="U550">
        <f>IF($E550=0,0,SUMPRODUCT($AI$15:$DF$15,'Staff Daily sales'!$G535:$CD535))</f>
        <v>0</v>
      </c>
      <c r="V550">
        <f>IF($E550=0,0,SUMPRODUCT($AI$16:$DF$16,'Staff Daily sales'!$G535:$CD535))</f>
        <v>0</v>
      </c>
      <c r="W550">
        <f t="shared" si="159"/>
        <v>29425.82</v>
      </c>
      <c r="X550">
        <f t="shared" si="160"/>
        <v>31945.440000000002</v>
      </c>
      <c r="Y550">
        <f t="shared" si="161"/>
        <v>39537.570000000007</v>
      </c>
      <c r="Z550">
        <f t="shared" si="162"/>
        <v>22692.47</v>
      </c>
      <c r="AA550">
        <f t="shared" si="163"/>
        <v>4063.9500000000003</v>
      </c>
      <c r="AB550">
        <f>--AND($E550=1,OR('Staff Weekly Trend'!$B$3="All",$DH550='Staff Weekly Trend'!$B$3),OR('Staff Weekly Trend'!$B$4="All",$D550='Staff Weekly Trend'!$B$4),OR('Staff Weekly Trend'!$B$5="All",$A550='Staff Weekly Trend'!$B$5))</f>
        <v>1</v>
      </c>
      <c r="AC550" t="str">
        <f t="shared" si="164"/>
        <v/>
      </c>
      <c r="AI550">
        <f t="shared" si="165"/>
        <v>110</v>
      </c>
      <c r="AJ550">
        <f t="shared" si="166"/>
        <v>128</v>
      </c>
      <c r="AK550">
        <f t="shared" si="167"/>
        <v>161</v>
      </c>
      <c r="AL550">
        <f t="shared" si="168"/>
        <v>75</v>
      </c>
      <c r="AM550">
        <f t="shared" si="169"/>
        <v>12</v>
      </c>
      <c r="DH550" t="str" cm="1">
        <f t="array" ref="DH550">IF($A550="","",_xlfn.LET(_xlpm.c,IFERROR(_xlfn.XLOOKUP($A550,TRIM('Sales and count'!$A$4:$A$300&amp;""),TRIM('Sales and count'!$B$4:$B$300&amp;"")),""),IF(OR(_xlpm.c="",_xlpm.c="0",LEFT(_xlpm.c,1)="#"),"Not set",_xlpm.c)))</f>
        <v>KSA</v>
      </c>
    </row>
    <row r="551" spans="1:112" x14ac:dyDescent="0.25">
      <c r="A551" t="str">
        <f>IF('Staff Daily sales'!$B536="","",TRIM('Staff Daily sales'!$B536&amp;""))</f>
        <v>HAABRAJ2</v>
      </c>
      <c r="B551" t="str">
        <f>IF('Staff Daily sales'!$D536="","",TRIM('Staff Daily sales'!$D536&amp;""))</f>
        <v>6629-FTazi</v>
      </c>
      <c r="C551" t="str">
        <f>IFERROR(TRIM('Staff Daily sales'!$E536&amp;""),"")</f>
        <v>Makkah</v>
      </c>
      <c r="D551" t="str">
        <f>IFERROR(IF(TRIM('Staff Daily sales'!$F536&amp;"")="","Unassigned",TRIM('Staff Daily sales'!$F536&amp;"")),"Unassigned")</f>
        <v>Maram Zamzami</v>
      </c>
      <c r="E551">
        <f t="shared" si="154"/>
        <v>1</v>
      </c>
      <c r="F551">
        <f>IF($E551=0,0,SUMPRODUCT($AI$5:$DF$5,'Staff Daily sales'!$G536:$CD536))</f>
        <v>1079.9000000000001</v>
      </c>
      <c r="G551">
        <f>IF($E551=0,0,SUMPRODUCT($AI$6:$DF$6,'Staff Daily sales'!$G536:$CD536))</f>
        <v>5</v>
      </c>
      <c r="H551">
        <f t="shared" si="155"/>
        <v>2184.83</v>
      </c>
      <c r="I551">
        <f t="shared" si="156"/>
        <v>9</v>
      </c>
      <c r="J551">
        <f t="shared" si="157"/>
        <v>89423.479999999967</v>
      </c>
      <c r="K551">
        <f t="shared" si="158"/>
        <v>413</v>
      </c>
      <c r="L551">
        <f>--AND($E551=1,OR('Staff Dashboard'!$B$6="All",$DH551='Staff Dashboard'!$B$6),OR('Staff Dashboard'!$B$7="All",$D551='Staff Dashboard'!$B$7),OR('Staff Dashboard'!$B$8="All",$A551='Staff Dashboard'!$B$8))</f>
        <v>1</v>
      </c>
      <c r="M551">
        <f>IF($E551=0,0,SUMPRODUCT($AI$7:$DF$7,'Staff Daily sales'!$G536:$CD536))</f>
        <v>2664.0699999999997</v>
      </c>
      <c r="N551">
        <f>IF($E551=0,0,SUMPRODUCT($AI$8:$DF$8,'Staff Daily sales'!$G536:$CD536))</f>
        <v>10</v>
      </c>
      <c r="O551">
        <f>IF($E551=0,0,SUMPRODUCT($AI$9:$DF$9,'Staff Daily sales'!$G536:$CD536))</f>
        <v>7741.1800000000012</v>
      </c>
      <c r="P551">
        <f>IF($E551=0,0,SUMPRODUCT($AI$10:$DF$10,'Staff Daily sales'!$G536:$CD536))</f>
        <v>36</v>
      </c>
      <c r="Q551">
        <f>IF($E551=0,0,SUMPRODUCT($AI$11:$DF$11,'Staff Daily sales'!$G536:$CD536))</f>
        <v>9150.130000000001</v>
      </c>
      <c r="R551">
        <f>IF($E551=0,0,SUMPRODUCT($AI$12:$DF$12,'Staff Daily sales'!$G536:$CD536))</f>
        <v>38</v>
      </c>
      <c r="S551">
        <f>IF($E551=0,0,SUMPRODUCT($AI$13:$DF$13,'Staff Daily sales'!$G536:$CD536))</f>
        <v>5028.9400000000005</v>
      </c>
      <c r="T551">
        <f>IF($E551=0,0,SUMPRODUCT($AI$14:$DF$14,'Staff Daily sales'!$G536:$CD536))</f>
        <v>18</v>
      </c>
      <c r="U551">
        <f>IF($E551=0,0,SUMPRODUCT($AI$15:$DF$15,'Staff Daily sales'!$G536:$CD536))</f>
        <v>75</v>
      </c>
      <c r="V551">
        <f>IF($E551=0,0,SUMPRODUCT($AI$16:$DF$16,'Staff Daily sales'!$G536:$CD536))</f>
        <v>1</v>
      </c>
      <c r="W551">
        <f t="shared" si="159"/>
        <v>29425.82</v>
      </c>
      <c r="X551">
        <f t="shared" si="160"/>
        <v>31945.440000000002</v>
      </c>
      <c r="Y551">
        <f t="shared" si="161"/>
        <v>39537.570000000007</v>
      </c>
      <c r="Z551">
        <f t="shared" si="162"/>
        <v>22692.47</v>
      </c>
      <c r="AA551">
        <f t="shared" si="163"/>
        <v>4063.9500000000003</v>
      </c>
      <c r="AB551">
        <f>--AND($E551=1,OR('Staff Weekly Trend'!$B$3="All",$DH551='Staff Weekly Trend'!$B$3),OR('Staff Weekly Trend'!$B$4="All",$D551='Staff Weekly Trend'!$B$4),OR('Staff Weekly Trend'!$B$5="All",$A551='Staff Weekly Trend'!$B$5))</f>
        <v>1</v>
      </c>
      <c r="AC551">
        <f t="shared" si="164"/>
        <v>1</v>
      </c>
      <c r="AI551">
        <f t="shared" si="165"/>
        <v>110</v>
      </c>
      <c r="AJ551">
        <f t="shared" si="166"/>
        <v>128</v>
      </c>
      <c r="AK551">
        <f t="shared" si="167"/>
        <v>161</v>
      </c>
      <c r="AL551">
        <f t="shared" si="168"/>
        <v>75</v>
      </c>
      <c r="AM551">
        <f t="shared" si="169"/>
        <v>12</v>
      </c>
      <c r="DH551" t="str" cm="1">
        <f t="array" ref="DH551">IF($A551="","",_xlfn.LET(_xlpm.c,IFERROR(_xlfn.XLOOKUP($A551,TRIM('Sales and count'!$A$4:$A$300&amp;""),TRIM('Sales and count'!$B$4:$B$300&amp;"")),""),IF(OR(_xlpm.c="",_xlpm.c="0",LEFT(_xlpm.c,1)="#"),"Not set",_xlpm.c)))</f>
        <v>KSA</v>
      </c>
    </row>
    <row r="552" spans="1:112" x14ac:dyDescent="0.25">
      <c r="A552" t="str">
        <f>IF('Staff Daily sales'!$B537="","",TRIM('Staff Daily sales'!$B537&amp;""))</f>
        <v>HAABRAJ2</v>
      </c>
      <c r="B552" t="str">
        <f>IF('Staff Daily sales'!$D537="","",TRIM('Staff Daily sales'!$D537&amp;""))</f>
        <v>6819-MAlmushuli</v>
      </c>
      <c r="C552" t="str">
        <f>IFERROR(TRIM('Staff Daily sales'!$E537&amp;""),"")</f>
        <v>Makkah</v>
      </c>
      <c r="D552" t="str">
        <f>IFERROR(IF(TRIM('Staff Daily sales'!$F537&amp;"")="","Unassigned",TRIM('Staff Daily sales'!$F537&amp;"")),"Unassigned")</f>
        <v>Maram Zamzami</v>
      </c>
      <c r="E552">
        <f t="shared" si="154"/>
        <v>1</v>
      </c>
      <c r="F552">
        <f>IF($E552=0,0,SUMPRODUCT($AI$5:$DF$5,'Staff Daily sales'!$G537:$CD537))</f>
        <v>0</v>
      </c>
      <c r="G552">
        <f>IF($E552=0,0,SUMPRODUCT($AI$6:$DF$6,'Staff Daily sales'!$G537:$CD537))</f>
        <v>0</v>
      </c>
      <c r="H552">
        <f t="shared" si="155"/>
        <v>2184.83</v>
      </c>
      <c r="I552">
        <f t="shared" si="156"/>
        <v>9</v>
      </c>
      <c r="J552">
        <f t="shared" si="157"/>
        <v>89423.479999999967</v>
      </c>
      <c r="K552">
        <f t="shared" si="158"/>
        <v>413</v>
      </c>
      <c r="L552">
        <f>--AND($E552=1,OR('Staff Dashboard'!$B$6="All",$DH552='Staff Dashboard'!$B$6),OR('Staff Dashboard'!$B$7="All",$D552='Staff Dashboard'!$B$7),OR('Staff Dashboard'!$B$8="All",$A552='Staff Dashboard'!$B$8))</f>
        <v>1</v>
      </c>
      <c r="M552">
        <f>IF($E552=0,0,SUMPRODUCT($AI$7:$DF$7,'Staff Daily sales'!$G537:$CD537))</f>
        <v>493.01</v>
      </c>
      <c r="N552">
        <f>IF($E552=0,0,SUMPRODUCT($AI$8:$DF$8,'Staff Daily sales'!$G537:$CD537))</f>
        <v>1</v>
      </c>
      <c r="O552">
        <f>IF($E552=0,0,SUMPRODUCT($AI$9:$DF$9,'Staff Daily sales'!$G537:$CD537))</f>
        <v>0</v>
      </c>
      <c r="P552">
        <f>IF($E552=0,0,SUMPRODUCT($AI$10:$DF$10,'Staff Daily sales'!$G537:$CD537))</f>
        <v>0</v>
      </c>
      <c r="Q552">
        <f>IF($E552=0,0,SUMPRODUCT($AI$11:$DF$11,'Staff Daily sales'!$G537:$CD537))</f>
        <v>2049.08</v>
      </c>
      <c r="R552">
        <f>IF($E552=0,0,SUMPRODUCT($AI$12:$DF$12,'Staff Daily sales'!$G537:$CD537))</f>
        <v>4</v>
      </c>
      <c r="S552">
        <f>IF($E552=0,0,SUMPRODUCT($AI$13:$DF$13,'Staff Daily sales'!$G537:$CD537))</f>
        <v>0</v>
      </c>
      <c r="T552">
        <f>IF($E552=0,0,SUMPRODUCT($AI$14:$DF$14,'Staff Daily sales'!$G537:$CD537))</f>
        <v>0</v>
      </c>
      <c r="U552">
        <f>IF($E552=0,0,SUMPRODUCT($AI$15:$DF$15,'Staff Daily sales'!$G537:$CD537))</f>
        <v>0</v>
      </c>
      <c r="V552">
        <f>IF($E552=0,0,SUMPRODUCT($AI$16:$DF$16,'Staff Daily sales'!$G537:$CD537))</f>
        <v>0</v>
      </c>
      <c r="W552">
        <f t="shared" si="159"/>
        <v>29425.82</v>
      </c>
      <c r="X552">
        <f t="shared" si="160"/>
        <v>31945.440000000002</v>
      </c>
      <c r="Y552">
        <f t="shared" si="161"/>
        <v>39537.570000000007</v>
      </c>
      <c r="Z552">
        <f t="shared" si="162"/>
        <v>22692.47</v>
      </c>
      <c r="AA552">
        <f t="shared" si="163"/>
        <v>4063.9500000000003</v>
      </c>
      <c r="AB552">
        <f>--AND($E552=1,OR('Staff Weekly Trend'!$B$3="All",$DH552='Staff Weekly Trend'!$B$3),OR('Staff Weekly Trend'!$B$4="All",$D552='Staff Weekly Trend'!$B$4),OR('Staff Weekly Trend'!$B$5="All",$A552='Staff Weekly Trend'!$B$5))</f>
        <v>1</v>
      </c>
      <c r="AC552" t="str">
        <f t="shared" si="164"/>
        <v/>
      </c>
      <c r="AI552">
        <f t="shared" si="165"/>
        <v>110</v>
      </c>
      <c r="AJ552">
        <f t="shared" si="166"/>
        <v>128</v>
      </c>
      <c r="AK552">
        <f t="shared" si="167"/>
        <v>161</v>
      </c>
      <c r="AL552">
        <f t="shared" si="168"/>
        <v>75</v>
      </c>
      <c r="AM552">
        <f t="shared" si="169"/>
        <v>12</v>
      </c>
      <c r="DH552" t="str" cm="1">
        <f t="array" ref="DH552">IF($A552="","",_xlfn.LET(_xlpm.c,IFERROR(_xlfn.XLOOKUP($A552,TRIM('Sales and count'!$A$4:$A$300&amp;""),TRIM('Sales and count'!$B$4:$B$300&amp;"")),""),IF(OR(_xlpm.c="",_xlpm.c="0",LEFT(_xlpm.c,1)="#"),"Not set",_xlpm.c)))</f>
        <v>KSA</v>
      </c>
    </row>
    <row r="553" spans="1:112" x14ac:dyDescent="0.25">
      <c r="A553" t="str">
        <f>IF('Staff Daily sales'!$B538="","",TRIM('Staff Daily sales'!$B538&amp;""))</f>
        <v>HAABRAJ2</v>
      </c>
      <c r="B553" t="str">
        <f>IF('Staff Daily sales'!$D538="","",TRIM('Staff Daily sales'!$D538&amp;""))</f>
        <v>6906-RNajae</v>
      </c>
      <c r="C553" t="str">
        <f>IFERROR(TRIM('Staff Daily sales'!$E538&amp;""),"")</f>
        <v>Makkah</v>
      </c>
      <c r="D553" t="str">
        <f>IFERROR(IF(TRIM('Staff Daily sales'!$F538&amp;"")="","Unassigned",TRIM('Staff Daily sales'!$F538&amp;"")),"Unassigned")</f>
        <v>Maram Zamzami</v>
      </c>
      <c r="E553">
        <f t="shared" si="154"/>
        <v>1</v>
      </c>
      <c r="F553">
        <f>IF($E553=0,0,SUMPRODUCT($AI$5:$DF$5,'Staff Daily sales'!$G538:$CD538))</f>
        <v>150</v>
      </c>
      <c r="G553">
        <f>IF($E553=0,0,SUMPRODUCT($AI$6:$DF$6,'Staff Daily sales'!$G538:$CD538))</f>
        <v>1</v>
      </c>
      <c r="H553">
        <f t="shared" si="155"/>
        <v>2184.83</v>
      </c>
      <c r="I553">
        <f t="shared" si="156"/>
        <v>9</v>
      </c>
      <c r="J553">
        <f t="shared" si="157"/>
        <v>89423.479999999967</v>
      </c>
      <c r="K553">
        <f t="shared" si="158"/>
        <v>413</v>
      </c>
      <c r="L553">
        <f>--AND($E553=1,OR('Staff Dashboard'!$B$6="All",$DH553='Staff Dashboard'!$B$6),OR('Staff Dashboard'!$B$7="All",$D553='Staff Dashboard'!$B$7),OR('Staff Dashboard'!$B$8="All",$A553='Staff Dashboard'!$B$8))</f>
        <v>1</v>
      </c>
      <c r="M553">
        <f>IF($E553=0,0,SUMPRODUCT($AI$7:$DF$7,'Staff Daily sales'!$G538:$CD538))</f>
        <v>14762.43</v>
      </c>
      <c r="N553">
        <f>IF($E553=0,0,SUMPRODUCT($AI$8:$DF$8,'Staff Daily sales'!$G538:$CD538))</f>
        <v>51</v>
      </c>
      <c r="O553">
        <f>IF($E553=0,0,SUMPRODUCT($AI$9:$DF$9,'Staff Daily sales'!$G538:$CD538))</f>
        <v>12991.160000000002</v>
      </c>
      <c r="P553">
        <f>IF($E553=0,0,SUMPRODUCT($AI$10:$DF$10,'Staff Daily sales'!$G538:$CD538))</f>
        <v>48</v>
      </c>
      <c r="Q553">
        <f>IF($E553=0,0,SUMPRODUCT($AI$11:$DF$11,'Staff Daily sales'!$G538:$CD538))</f>
        <v>12833.240000000002</v>
      </c>
      <c r="R553">
        <f>IF($E553=0,0,SUMPRODUCT($AI$12:$DF$12,'Staff Daily sales'!$G538:$CD538))</f>
        <v>56</v>
      </c>
      <c r="S553">
        <f>IF($E553=0,0,SUMPRODUCT($AI$13:$DF$13,'Staff Daily sales'!$G538:$CD538))</f>
        <v>9527.77</v>
      </c>
      <c r="T553">
        <f>IF($E553=0,0,SUMPRODUCT($AI$14:$DF$14,'Staff Daily sales'!$G538:$CD538))</f>
        <v>32</v>
      </c>
      <c r="U553">
        <f>IF($E553=0,0,SUMPRODUCT($AI$15:$DF$15,'Staff Daily sales'!$G538:$CD538))</f>
        <v>1507</v>
      </c>
      <c r="V553">
        <f>IF($E553=0,0,SUMPRODUCT($AI$16:$DF$16,'Staff Daily sales'!$G538:$CD538))</f>
        <v>5</v>
      </c>
      <c r="W553">
        <f t="shared" si="159"/>
        <v>29425.82</v>
      </c>
      <c r="X553">
        <f t="shared" si="160"/>
        <v>31945.440000000002</v>
      </c>
      <c r="Y553">
        <f t="shared" si="161"/>
        <v>39537.570000000007</v>
      </c>
      <c r="Z553">
        <f t="shared" si="162"/>
        <v>22692.47</v>
      </c>
      <c r="AA553">
        <f t="shared" si="163"/>
        <v>4063.9500000000003</v>
      </c>
      <c r="AB553">
        <f>--AND($E553=1,OR('Staff Weekly Trend'!$B$3="All",$DH553='Staff Weekly Trend'!$B$3),OR('Staff Weekly Trend'!$B$4="All",$D553='Staff Weekly Trend'!$B$4),OR('Staff Weekly Trend'!$B$5="All",$A553='Staff Weekly Trend'!$B$5))</f>
        <v>1</v>
      </c>
      <c r="AC553">
        <f t="shared" si="164"/>
        <v>4</v>
      </c>
      <c r="AI553">
        <f t="shared" si="165"/>
        <v>110</v>
      </c>
      <c r="AJ553">
        <f t="shared" si="166"/>
        <v>128</v>
      </c>
      <c r="AK553">
        <f t="shared" si="167"/>
        <v>161</v>
      </c>
      <c r="AL553">
        <f t="shared" si="168"/>
        <v>75</v>
      </c>
      <c r="AM553">
        <f t="shared" si="169"/>
        <v>12</v>
      </c>
      <c r="DH553" t="str" cm="1">
        <f t="array" ref="DH553">IF($A553="","",_xlfn.LET(_xlpm.c,IFERROR(_xlfn.XLOOKUP($A553,TRIM('Sales and count'!$A$4:$A$300&amp;""),TRIM('Sales and count'!$B$4:$B$300&amp;"")),""),IF(OR(_xlpm.c="",_xlpm.c="0",LEFT(_xlpm.c,1)="#"),"Not set",_xlpm.c)))</f>
        <v>KSA</v>
      </c>
    </row>
    <row r="554" spans="1:112" x14ac:dyDescent="0.25">
      <c r="A554" t="str">
        <f>IF('Staff Daily sales'!$B539="","",TRIM('Staff Daily sales'!$B539&amp;""))</f>
        <v>HAABRAJ2</v>
      </c>
      <c r="B554" t="str">
        <f>IF('Staff Daily sales'!$D539="","",TRIM('Staff Daily sales'!$D539&amp;""))</f>
        <v>6928-RKanjari</v>
      </c>
      <c r="C554" t="str">
        <f>IFERROR(TRIM('Staff Daily sales'!$E539&amp;""),"")</f>
        <v>Makkah</v>
      </c>
      <c r="D554" t="str">
        <f>IFERROR(IF(TRIM('Staff Daily sales'!$F539&amp;"")="","Unassigned",TRIM('Staff Daily sales'!$F539&amp;"")),"Unassigned")</f>
        <v>Maram Zamzami</v>
      </c>
      <c r="E554">
        <f t="shared" si="154"/>
        <v>1</v>
      </c>
      <c r="F554">
        <f>IF($E554=0,0,SUMPRODUCT($AI$5:$DF$5,'Staff Daily sales'!$G539:$CD539))</f>
        <v>532.97</v>
      </c>
      <c r="G554">
        <f>IF($E554=0,0,SUMPRODUCT($AI$6:$DF$6,'Staff Daily sales'!$G539:$CD539))</f>
        <v>2</v>
      </c>
      <c r="H554">
        <f t="shared" si="155"/>
        <v>2184.83</v>
      </c>
      <c r="I554">
        <f t="shared" si="156"/>
        <v>9</v>
      </c>
      <c r="J554">
        <f t="shared" si="157"/>
        <v>89423.479999999967</v>
      </c>
      <c r="K554">
        <f t="shared" si="158"/>
        <v>413</v>
      </c>
      <c r="L554">
        <f>--AND($E554=1,OR('Staff Dashboard'!$B$6="All",$DH554='Staff Dashboard'!$B$6),OR('Staff Dashboard'!$B$7="All",$D554='Staff Dashboard'!$B$7),OR('Staff Dashboard'!$B$8="All",$A554='Staff Dashboard'!$B$8))</f>
        <v>1</v>
      </c>
      <c r="M554">
        <f>IF($E554=0,0,SUMPRODUCT($AI$7:$DF$7,'Staff Daily sales'!$G539:$CD539))</f>
        <v>10414.280000000001</v>
      </c>
      <c r="N554">
        <f>IF($E554=0,0,SUMPRODUCT($AI$8:$DF$8,'Staff Daily sales'!$G539:$CD539))</f>
        <v>46</v>
      </c>
      <c r="O554">
        <f>IF($E554=0,0,SUMPRODUCT($AI$9:$DF$9,'Staff Daily sales'!$G539:$CD539))</f>
        <v>11213.1</v>
      </c>
      <c r="P554">
        <f>IF($E554=0,0,SUMPRODUCT($AI$10:$DF$10,'Staff Daily sales'!$G539:$CD539))</f>
        <v>44</v>
      </c>
      <c r="Q554">
        <f>IF($E554=0,0,SUMPRODUCT($AI$11:$DF$11,'Staff Daily sales'!$G539:$CD539))</f>
        <v>8019.0400000000009</v>
      </c>
      <c r="R554">
        <f>IF($E554=0,0,SUMPRODUCT($AI$12:$DF$12,'Staff Daily sales'!$G539:$CD539))</f>
        <v>36</v>
      </c>
      <c r="S554">
        <f>IF($E554=0,0,SUMPRODUCT($AI$13:$DF$13,'Staff Daily sales'!$G539:$CD539))</f>
        <v>5276.9000000000005</v>
      </c>
      <c r="T554">
        <f>IF($E554=0,0,SUMPRODUCT($AI$14:$DF$14,'Staff Daily sales'!$G539:$CD539))</f>
        <v>19</v>
      </c>
      <c r="U554">
        <f>IF($E554=0,0,SUMPRODUCT($AI$15:$DF$15,'Staff Daily sales'!$G539:$CD539))</f>
        <v>1504.98</v>
      </c>
      <c r="V554">
        <f>IF($E554=0,0,SUMPRODUCT($AI$16:$DF$16,'Staff Daily sales'!$G539:$CD539))</f>
        <v>4</v>
      </c>
      <c r="W554">
        <f t="shared" si="159"/>
        <v>29425.82</v>
      </c>
      <c r="X554">
        <f t="shared" si="160"/>
        <v>31945.440000000002</v>
      </c>
      <c r="Y554">
        <f t="shared" si="161"/>
        <v>39537.570000000007</v>
      </c>
      <c r="Z554">
        <f t="shared" si="162"/>
        <v>22692.47</v>
      </c>
      <c r="AA554">
        <f t="shared" si="163"/>
        <v>4063.9500000000003</v>
      </c>
      <c r="AB554">
        <f>--AND($E554=1,OR('Staff Weekly Trend'!$B$3="All",$DH554='Staff Weekly Trend'!$B$3),OR('Staff Weekly Trend'!$B$4="All",$D554='Staff Weekly Trend'!$B$4),OR('Staff Weekly Trend'!$B$5="All",$A554='Staff Weekly Trend'!$B$5))</f>
        <v>1</v>
      </c>
      <c r="AC554">
        <f t="shared" si="164"/>
        <v>2</v>
      </c>
      <c r="AI554">
        <f t="shared" si="165"/>
        <v>110</v>
      </c>
      <c r="AJ554">
        <f t="shared" si="166"/>
        <v>128</v>
      </c>
      <c r="AK554">
        <f t="shared" si="167"/>
        <v>161</v>
      </c>
      <c r="AL554">
        <f t="shared" si="168"/>
        <v>75</v>
      </c>
      <c r="AM554">
        <f t="shared" si="169"/>
        <v>12</v>
      </c>
      <c r="DH554" t="str" cm="1">
        <f t="array" ref="DH554">IF($A554="","",_xlfn.LET(_xlpm.c,IFERROR(_xlfn.XLOOKUP($A554,TRIM('Sales and count'!$A$4:$A$300&amp;""),TRIM('Sales and count'!$B$4:$B$300&amp;"")),""),IF(OR(_xlpm.c="",_xlpm.c="0",LEFT(_xlpm.c,1)="#"),"Not set",_xlpm.c)))</f>
        <v>KSA</v>
      </c>
    </row>
    <row r="555" spans="1:112" x14ac:dyDescent="0.25">
      <c r="A555" t="str">
        <f>IF('Staff Daily sales'!$B540="","",TRIM('Staff Daily sales'!$B540&amp;""))</f>
        <v>HAFALLSQ</v>
      </c>
      <c r="B555" t="str">
        <f>IF('Staff Daily sales'!$D540="","",TRIM('Staff Daily sales'!$D540&amp;""))</f>
        <v>3013-Yasir Abu Bakr Almuthafi</v>
      </c>
      <c r="C555" t="str">
        <f>IFERROR(TRIM('Staff Daily sales'!$E540&amp;""),"")</f>
        <v>Jeddah</v>
      </c>
      <c r="D555" t="str">
        <f>IFERROR(IF(TRIM('Staff Daily sales'!$F540&amp;"")="","Unassigned",TRIM('Staff Daily sales'!$F540&amp;"")),"Unassigned")</f>
        <v>Saleh Bin Hoiel</v>
      </c>
      <c r="E555">
        <f t="shared" si="154"/>
        <v>1</v>
      </c>
      <c r="F555">
        <f>IF($E555=0,0,SUMPRODUCT($AI$5:$DF$5,'Staff Daily sales'!$G540:$CD540))</f>
        <v>0</v>
      </c>
      <c r="G555">
        <f>IF($E555=0,0,SUMPRODUCT($AI$6:$DF$6,'Staff Daily sales'!$G540:$CD540))</f>
        <v>0</v>
      </c>
      <c r="H555">
        <f t="shared" si="155"/>
        <v>1508.92</v>
      </c>
      <c r="I555">
        <f t="shared" si="156"/>
        <v>11</v>
      </c>
      <c r="J555">
        <f t="shared" si="157"/>
        <v>69638.36</v>
      </c>
      <c r="K555">
        <f t="shared" si="158"/>
        <v>362</v>
      </c>
      <c r="L555">
        <f>--AND($E555=1,OR('Staff Dashboard'!$B$6="All",$DH555='Staff Dashboard'!$B$6),OR('Staff Dashboard'!$B$7="All",$D555='Staff Dashboard'!$B$7),OR('Staff Dashboard'!$B$8="All",$A555='Staff Dashboard'!$B$8))</f>
        <v>0</v>
      </c>
      <c r="M555">
        <f>IF($E555=0,0,SUMPRODUCT($AI$7:$DF$7,'Staff Daily sales'!$G540:$CD540))</f>
        <v>2554.9</v>
      </c>
      <c r="N555">
        <f>IF($E555=0,0,SUMPRODUCT($AI$8:$DF$8,'Staff Daily sales'!$G540:$CD540))</f>
        <v>17</v>
      </c>
      <c r="O555">
        <f>IF($E555=0,0,SUMPRODUCT($AI$9:$DF$9,'Staff Daily sales'!$G540:$CD540))</f>
        <v>3798.0700000000006</v>
      </c>
      <c r="P555">
        <f>IF($E555=0,0,SUMPRODUCT($AI$10:$DF$10,'Staff Daily sales'!$G540:$CD540))</f>
        <v>23</v>
      </c>
      <c r="Q555">
        <f>IF($E555=0,0,SUMPRODUCT($AI$11:$DF$11,'Staff Daily sales'!$G540:$CD540))</f>
        <v>989.04</v>
      </c>
      <c r="R555">
        <f>IF($E555=0,0,SUMPRODUCT($AI$12:$DF$12,'Staff Daily sales'!$G540:$CD540))</f>
        <v>6</v>
      </c>
      <c r="S555">
        <f>IF($E555=0,0,SUMPRODUCT($AI$13:$DF$13,'Staff Daily sales'!$G540:$CD540))</f>
        <v>0</v>
      </c>
      <c r="T555">
        <f>IF($E555=0,0,SUMPRODUCT($AI$14:$DF$14,'Staff Daily sales'!$G540:$CD540))</f>
        <v>0</v>
      </c>
      <c r="U555">
        <f>IF($E555=0,0,SUMPRODUCT($AI$15:$DF$15,'Staff Daily sales'!$G540:$CD540))</f>
        <v>0</v>
      </c>
      <c r="V555">
        <f>IF($E555=0,0,SUMPRODUCT($AI$16:$DF$16,'Staff Daily sales'!$G540:$CD540))</f>
        <v>0</v>
      </c>
      <c r="W555">
        <f t="shared" si="159"/>
        <v>14972.289999999999</v>
      </c>
      <c r="X555">
        <f t="shared" si="160"/>
        <v>22998.36</v>
      </c>
      <c r="Y555">
        <f t="shared" si="161"/>
        <v>20872.36</v>
      </c>
      <c r="Z555">
        <f t="shared" si="162"/>
        <v>18333.73</v>
      </c>
      <c r="AA555">
        <f t="shared" si="163"/>
        <v>5364.21</v>
      </c>
      <c r="AB555">
        <f>--AND($E555=1,OR('Staff Weekly Trend'!$B$3="All",$DH555='Staff Weekly Trend'!$B$3),OR('Staff Weekly Trend'!$B$4="All",$D555='Staff Weekly Trend'!$B$4),OR('Staff Weekly Trend'!$B$5="All",$A555='Staff Weekly Trend'!$B$5))</f>
        <v>1</v>
      </c>
      <c r="AC555" t="str">
        <f t="shared" si="164"/>
        <v/>
      </c>
      <c r="AI555">
        <f t="shared" si="165"/>
        <v>113</v>
      </c>
      <c r="AJ555">
        <f t="shared" si="166"/>
        <v>146</v>
      </c>
      <c r="AK555">
        <f t="shared" si="167"/>
        <v>133</v>
      </c>
      <c r="AL555">
        <f t="shared" si="168"/>
        <v>110</v>
      </c>
      <c r="AM555">
        <f t="shared" si="169"/>
        <v>25</v>
      </c>
      <c r="DH555" t="str" cm="1">
        <f t="array" ref="DH555">IF($A555="","",_xlfn.LET(_xlpm.c,IFERROR(_xlfn.XLOOKUP($A555,TRIM('Sales and count'!$A$4:$A$300&amp;""),TRIM('Sales and count'!$B$4:$B$300&amp;"")),""),IF(OR(_xlpm.c="",_xlpm.c="0",LEFT(_xlpm.c,1)="#"),"Not set",_xlpm.c)))</f>
        <v>KSA</v>
      </c>
    </row>
    <row r="556" spans="1:112" x14ac:dyDescent="0.25">
      <c r="A556" t="str">
        <f>IF('Staff Daily sales'!$B541="","",TRIM('Staff Daily sales'!$B541&amp;""))</f>
        <v>HAFALLSQ</v>
      </c>
      <c r="B556" t="str">
        <f>IF('Staff Daily sales'!$D541="","",TRIM('Staff Daily sales'!$D541&amp;""))</f>
        <v>6613-AAlbandar</v>
      </c>
      <c r="C556" t="str">
        <f>IFERROR(TRIM('Staff Daily sales'!$E541&amp;""),"")</f>
        <v>Jeddah</v>
      </c>
      <c r="D556" t="str">
        <f>IFERROR(IF(TRIM('Staff Daily sales'!$F541&amp;"")="","Unassigned",TRIM('Staff Daily sales'!$F541&amp;"")),"Unassigned")</f>
        <v>Saleh Bin Hoiel</v>
      </c>
      <c r="E556">
        <f t="shared" si="154"/>
        <v>1</v>
      </c>
      <c r="F556">
        <f>IF($E556=0,0,SUMPRODUCT($AI$5:$DF$5,'Staff Daily sales'!$G541:$CD541))</f>
        <v>1508.92</v>
      </c>
      <c r="G556">
        <f>IF($E556=0,0,SUMPRODUCT($AI$6:$DF$6,'Staff Daily sales'!$G541:$CD541))</f>
        <v>11</v>
      </c>
      <c r="H556">
        <f t="shared" si="155"/>
        <v>1508.92</v>
      </c>
      <c r="I556">
        <f t="shared" si="156"/>
        <v>11</v>
      </c>
      <c r="J556">
        <f t="shared" si="157"/>
        <v>69638.36</v>
      </c>
      <c r="K556">
        <f t="shared" si="158"/>
        <v>362</v>
      </c>
      <c r="L556">
        <f>--AND($E556=1,OR('Staff Dashboard'!$B$6="All",$DH556='Staff Dashboard'!$B$6),OR('Staff Dashboard'!$B$7="All",$D556='Staff Dashboard'!$B$7),OR('Staff Dashboard'!$B$8="All",$A556='Staff Dashboard'!$B$8))</f>
        <v>0</v>
      </c>
      <c r="M556">
        <f>IF($E556=0,0,SUMPRODUCT($AI$7:$DF$7,'Staff Daily sales'!$G541:$CD541))</f>
        <v>7291.24</v>
      </c>
      <c r="N556">
        <f>IF($E556=0,0,SUMPRODUCT($AI$8:$DF$8,'Staff Daily sales'!$G541:$CD541))</f>
        <v>55</v>
      </c>
      <c r="O556">
        <f>IF($E556=0,0,SUMPRODUCT($AI$9:$DF$9,'Staff Daily sales'!$G541:$CD541))</f>
        <v>11027.190000000002</v>
      </c>
      <c r="P556">
        <f>IF($E556=0,0,SUMPRODUCT($AI$10:$DF$10,'Staff Daily sales'!$G541:$CD541))</f>
        <v>74</v>
      </c>
      <c r="Q556">
        <f>IF($E556=0,0,SUMPRODUCT($AI$11:$DF$11,'Staff Daily sales'!$G541:$CD541))</f>
        <v>5557.07</v>
      </c>
      <c r="R556">
        <f>IF($E556=0,0,SUMPRODUCT($AI$12:$DF$12,'Staff Daily sales'!$G541:$CD541))</f>
        <v>33</v>
      </c>
      <c r="S556">
        <f>IF($E556=0,0,SUMPRODUCT($AI$13:$DF$13,'Staff Daily sales'!$G541:$CD541))</f>
        <v>5182.8999999999996</v>
      </c>
      <c r="T556">
        <f>IF($E556=0,0,SUMPRODUCT($AI$14:$DF$14,'Staff Daily sales'!$G541:$CD541))</f>
        <v>35</v>
      </c>
      <c r="U556">
        <f>IF($E556=0,0,SUMPRODUCT($AI$15:$DF$15,'Staff Daily sales'!$G541:$CD541))</f>
        <v>1280.0999999999999</v>
      </c>
      <c r="V556">
        <f>IF($E556=0,0,SUMPRODUCT($AI$16:$DF$16,'Staff Daily sales'!$G541:$CD541))</f>
        <v>8</v>
      </c>
      <c r="W556">
        <f t="shared" si="159"/>
        <v>14972.289999999999</v>
      </c>
      <c r="X556">
        <f t="shared" si="160"/>
        <v>22998.36</v>
      </c>
      <c r="Y556">
        <f t="shared" si="161"/>
        <v>20872.36</v>
      </c>
      <c r="Z556">
        <f t="shared" si="162"/>
        <v>18333.73</v>
      </c>
      <c r="AA556">
        <f t="shared" si="163"/>
        <v>5364.21</v>
      </c>
      <c r="AB556">
        <f>--AND($E556=1,OR('Staff Weekly Trend'!$B$3="All",$DH556='Staff Weekly Trend'!$B$3),OR('Staff Weekly Trend'!$B$4="All",$D556='Staff Weekly Trend'!$B$4),OR('Staff Weekly Trend'!$B$5="All",$A556='Staff Weekly Trend'!$B$5))</f>
        <v>1</v>
      </c>
      <c r="AC556">
        <f t="shared" si="164"/>
        <v>1</v>
      </c>
      <c r="AI556">
        <f t="shared" si="165"/>
        <v>113</v>
      </c>
      <c r="AJ556">
        <f t="shared" si="166"/>
        <v>146</v>
      </c>
      <c r="AK556">
        <f t="shared" si="167"/>
        <v>133</v>
      </c>
      <c r="AL556">
        <f t="shared" si="168"/>
        <v>110</v>
      </c>
      <c r="AM556">
        <f t="shared" si="169"/>
        <v>25</v>
      </c>
      <c r="DH556" t="str" cm="1">
        <f t="array" ref="DH556">IF($A556="","",_xlfn.LET(_xlpm.c,IFERROR(_xlfn.XLOOKUP($A556,TRIM('Sales and count'!$A$4:$A$300&amp;""),TRIM('Sales and count'!$B$4:$B$300&amp;"")),""),IF(OR(_xlpm.c="",_xlpm.c="0",LEFT(_xlpm.c,1)="#"),"Not set",_xlpm.c)))</f>
        <v>KSA</v>
      </c>
    </row>
    <row r="557" spans="1:112" x14ac:dyDescent="0.25">
      <c r="A557" t="str">
        <f>IF('Staff Daily sales'!$B542="","",TRIM('Staff Daily sales'!$B542&amp;""))</f>
        <v>HAFALLSQ</v>
      </c>
      <c r="B557" t="str">
        <f>IF('Staff Daily sales'!$D542="","",TRIM('Staff Daily sales'!$D542&amp;""))</f>
        <v>6944-SAbdullah</v>
      </c>
      <c r="C557" t="str">
        <f>IFERROR(TRIM('Staff Daily sales'!$E542&amp;""),"")</f>
        <v>Jeddah</v>
      </c>
      <c r="D557" t="str">
        <f>IFERROR(IF(TRIM('Staff Daily sales'!$F542&amp;"")="","Unassigned",TRIM('Staff Daily sales'!$F542&amp;"")),"Unassigned")</f>
        <v>Saleh Bin Hoiel</v>
      </c>
      <c r="E557">
        <f t="shared" si="154"/>
        <v>1</v>
      </c>
      <c r="F557">
        <f>IF($E557=0,0,SUMPRODUCT($AI$5:$DF$5,'Staff Daily sales'!$G542:$CD542))</f>
        <v>0</v>
      </c>
      <c r="G557">
        <f>IF($E557=0,0,SUMPRODUCT($AI$6:$DF$6,'Staff Daily sales'!$G542:$CD542))</f>
        <v>0</v>
      </c>
      <c r="H557">
        <f t="shared" si="155"/>
        <v>1508.92</v>
      </c>
      <c r="I557">
        <f t="shared" si="156"/>
        <v>11</v>
      </c>
      <c r="J557">
        <f t="shared" si="157"/>
        <v>69638.36</v>
      </c>
      <c r="K557">
        <f t="shared" si="158"/>
        <v>362</v>
      </c>
      <c r="L557">
        <f>--AND($E557=1,OR('Staff Dashboard'!$B$6="All",$DH557='Staff Dashboard'!$B$6),OR('Staff Dashboard'!$B$7="All",$D557='Staff Dashboard'!$B$7),OR('Staff Dashboard'!$B$8="All",$A557='Staff Dashboard'!$B$8))</f>
        <v>0</v>
      </c>
      <c r="M557">
        <f>IF($E557=0,0,SUMPRODUCT($AI$7:$DF$7,'Staff Daily sales'!$G542:$CD542))</f>
        <v>0</v>
      </c>
      <c r="N557">
        <f>IF($E557=0,0,SUMPRODUCT($AI$8:$DF$8,'Staff Daily sales'!$G542:$CD542))</f>
        <v>0</v>
      </c>
      <c r="O557">
        <f>IF($E557=0,0,SUMPRODUCT($AI$9:$DF$9,'Staff Daily sales'!$G542:$CD542))</f>
        <v>0</v>
      </c>
      <c r="P557">
        <f>IF($E557=0,0,SUMPRODUCT($AI$10:$DF$10,'Staff Daily sales'!$G542:$CD542))</f>
        <v>0</v>
      </c>
      <c r="Q557">
        <f>IF($E557=0,0,SUMPRODUCT($AI$11:$DF$11,'Staff Daily sales'!$G542:$CD542))</f>
        <v>7003.16</v>
      </c>
      <c r="R557">
        <f>IF($E557=0,0,SUMPRODUCT($AI$12:$DF$12,'Staff Daily sales'!$G542:$CD542))</f>
        <v>44</v>
      </c>
      <c r="S557">
        <f>IF($E557=0,0,SUMPRODUCT($AI$13:$DF$13,'Staff Daily sales'!$G542:$CD542))</f>
        <v>7621.9500000000007</v>
      </c>
      <c r="T557">
        <f>IF($E557=0,0,SUMPRODUCT($AI$14:$DF$14,'Staff Daily sales'!$G542:$CD542))</f>
        <v>41</v>
      </c>
      <c r="U557">
        <f>IF($E557=0,0,SUMPRODUCT($AI$15:$DF$15,'Staff Daily sales'!$G542:$CD542))</f>
        <v>4084.11</v>
      </c>
      <c r="V557">
        <f>IF($E557=0,0,SUMPRODUCT($AI$16:$DF$16,'Staff Daily sales'!$G542:$CD542))</f>
        <v>17</v>
      </c>
      <c r="W557">
        <f t="shared" si="159"/>
        <v>14972.289999999999</v>
      </c>
      <c r="X557">
        <f t="shared" si="160"/>
        <v>22998.36</v>
      </c>
      <c r="Y557">
        <f t="shared" si="161"/>
        <v>20872.36</v>
      </c>
      <c r="Z557">
        <f t="shared" si="162"/>
        <v>18333.73</v>
      </c>
      <c r="AA557">
        <f t="shared" si="163"/>
        <v>5364.21</v>
      </c>
      <c r="AB557">
        <f>--AND($E557=1,OR('Staff Weekly Trend'!$B$3="All",$DH557='Staff Weekly Trend'!$B$3),OR('Staff Weekly Trend'!$B$4="All",$D557='Staff Weekly Trend'!$B$4),OR('Staff Weekly Trend'!$B$5="All",$A557='Staff Weekly Trend'!$B$5))</f>
        <v>1</v>
      </c>
      <c r="AC557" t="str">
        <f t="shared" si="164"/>
        <v/>
      </c>
      <c r="AI557">
        <f t="shared" si="165"/>
        <v>113</v>
      </c>
      <c r="AJ557">
        <f t="shared" si="166"/>
        <v>146</v>
      </c>
      <c r="AK557">
        <f t="shared" si="167"/>
        <v>133</v>
      </c>
      <c r="AL557">
        <f t="shared" si="168"/>
        <v>110</v>
      </c>
      <c r="AM557">
        <f t="shared" si="169"/>
        <v>25</v>
      </c>
      <c r="DH557" t="str" cm="1">
        <f t="array" ref="DH557">IF($A557="","",_xlfn.LET(_xlpm.c,IFERROR(_xlfn.XLOOKUP($A557,TRIM('Sales and count'!$A$4:$A$300&amp;""),TRIM('Sales and count'!$B$4:$B$300&amp;"")),""),IF(OR(_xlpm.c="",_xlpm.c="0",LEFT(_xlpm.c,1)="#"),"Not set",_xlpm.c)))</f>
        <v>KSA</v>
      </c>
    </row>
    <row r="558" spans="1:112" x14ac:dyDescent="0.25">
      <c r="A558" t="str">
        <f>IF('Staff Daily sales'!$B543="","",TRIM('Staff Daily sales'!$B543&amp;""))</f>
        <v>HAFALLSQ</v>
      </c>
      <c r="B558" t="str">
        <f>IF('Staff Daily sales'!$D543="","",TRIM('Staff Daily sales'!$D543&amp;""))</f>
        <v>7215-SAlyoubi</v>
      </c>
      <c r="C558" t="str">
        <f>IFERROR(TRIM('Staff Daily sales'!$E543&amp;""),"")</f>
        <v>Jeddah</v>
      </c>
      <c r="D558" t="str">
        <f>IFERROR(IF(TRIM('Staff Daily sales'!$F543&amp;"")="","Unassigned",TRIM('Staff Daily sales'!$F543&amp;"")),"Unassigned")</f>
        <v>Saleh Bin Hoiel</v>
      </c>
      <c r="E558">
        <f t="shared" si="154"/>
        <v>1</v>
      </c>
      <c r="F558">
        <f>IF($E558=0,0,SUMPRODUCT($AI$5:$DF$5,'Staff Daily sales'!$G543:$CD543))</f>
        <v>0</v>
      </c>
      <c r="G558">
        <f>IF($E558=0,0,SUMPRODUCT($AI$6:$DF$6,'Staff Daily sales'!$G543:$CD543))</f>
        <v>0</v>
      </c>
      <c r="H558">
        <f t="shared" si="155"/>
        <v>1508.92</v>
      </c>
      <c r="I558">
        <f t="shared" si="156"/>
        <v>11</v>
      </c>
      <c r="J558">
        <f t="shared" si="157"/>
        <v>69638.36</v>
      </c>
      <c r="K558">
        <f t="shared" si="158"/>
        <v>362</v>
      </c>
      <c r="L558">
        <f>--AND($E558=1,OR('Staff Dashboard'!$B$6="All",$DH558='Staff Dashboard'!$B$6),OR('Staff Dashboard'!$B$7="All",$D558='Staff Dashboard'!$B$7),OR('Staff Dashboard'!$B$8="All",$A558='Staff Dashboard'!$B$8))</f>
        <v>0</v>
      </c>
      <c r="M558">
        <f>IF($E558=0,0,SUMPRODUCT($AI$7:$DF$7,'Staff Daily sales'!$G543:$CD543))</f>
        <v>5126.1499999999996</v>
      </c>
      <c r="N558">
        <f>IF($E558=0,0,SUMPRODUCT($AI$8:$DF$8,'Staff Daily sales'!$G543:$CD543))</f>
        <v>41</v>
      </c>
      <c r="O558">
        <f>IF($E558=0,0,SUMPRODUCT($AI$9:$DF$9,'Staff Daily sales'!$G543:$CD543))</f>
        <v>8173.1</v>
      </c>
      <c r="P558">
        <f>IF($E558=0,0,SUMPRODUCT($AI$10:$DF$10,'Staff Daily sales'!$G543:$CD543))</f>
        <v>49</v>
      </c>
      <c r="Q558">
        <f>IF($E558=0,0,SUMPRODUCT($AI$11:$DF$11,'Staff Daily sales'!$G543:$CD543))</f>
        <v>7323.09</v>
      </c>
      <c r="R558">
        <f>IF($E558=0,0,SUMPRODUCT($AI$12:$DF$12,'Staff Daily sales'!$G543:$CD543))</f>
        <v>50</v>
      </c>
      <c r="S558">
        <f>IF($E558=0,0,SUMPRODUCT($AI$13:$DF$13,'Staff Daily sales'!$G543:$CD543))</f>
        <v>5528.88</v>
      </c>
      <c r="T558">
        <f>IF($E558=0,0,SUMPRODUCT($AI$14:$DF$14,'Staff Daily sales'!$G543:$CD543))</f>
        <v>34</v>
      </c>
      <c r="U558">
        <f>IF($E558=0,0,SUMPRODUCT($AI$15:$DF$15,'Staff Daily sales'!$G543:$CD543))</f>
        <v>0</v>
      </c>
      <c r="V558">
        <f>IF($E558=0,0,SUMPRODUCT($AI$16:$DF$16,'Staff Daily sales'!$G543:$CD543))</f>
        <v>0</v>
      </c>
      <c r="W558">
        <f t="shared" si="159"/>
        <v>14972.289999999999</v>
      </c>
      <c r="X558">
        <f t="shared" si="160"/>
        <v>22998.36</v>
      </c>
      <c r="Y558">
        <f t="shared" si="161"/>
        <v>20872.36</v>
      </c>
      <c r="Z558">
        <f t="shared" si="162"/>
        <v>18333.73</v>
      </c>
      <c r="AA558">
        <f t="shared" si="163"/>
        <v>5364.21</v>
      </c>
      <c r="AB558">
        <f>--AND($E558=1,OR('Staff Weekly Trend'!$B$3="All",$DH558='Staff Weekly Trend'!$B$3),OR('Staff Weekly Trend'!$B$4="All",$D558='Staff Weekly Trend'!$B$4),OR('Staff Weekly Trend'!$B$5="All",$A558='Staff Weekly Trend'!$B$5))</f>
        <v>1</v>
      </c>
      <c r="AC558" t="str">
        <f t="shared" si="164"/>
        <v/>
      </c>
      <c r="AI558">
        <f t="shared" si="165"/>
        <v>113</v>
      </c>
      <c r="AJ558">
        <f t="shared" si="166"/>
        <v>146</v>
      </c>
      <c r="AK558">
        <f t="shared" si="167"/>
        <v>133</v>
      </c>
      <c r="AL558">
        <f t="shared" si="168"/>
        <v>110</v>
      </c>
      <c r="AM558">
        <f t="shared" si="169"/>
        <v>25</v>
      </c>
      <c r="DH558" t="str" cm="1">
        <f t="array" ref="DH558">IF($A558="","",_xlfn.LET(_xlpm.c,IFERROR(_xlfn.XLOOKUP($A558,TRIM('Sales and count'!$A$4:$A$300&amp;""),TRIM('Sales and count'!$B$4:$B$300&amp;"")),""),IF(OR(_xlpm.c="",_xlpm.c="0",LEFT(_xlpm.c,1)="#"),"Not set",_xlpm.c)))</f>
        <v>KSA</v>
      </c>
    </row>
    <row r="559" spans="1:112" x14ac:dyDescent="0.25">
      <c r="A559" t="str">
        <f>IF('Staff Daily sales'!$B544="","",TRIM('Staff Daily sales'!$B544&amp;""))</f>
        <v>HARASHID</v>
      </c>
      <c r="B559" t="str">
        <f>IF('Staff Daily sales'!$D544="","",TRIM('Staff Daily sales'!$D544&amp;""))</f>
        <v>4111-AAlAziz</v>
      </c>
      <c r="C559" t="str">
        <f>IFERROR(TRIM('Staff Daily sales'!$E544&amp;""),"")</f>
        <v>Khobar</v>
      </c>
      <c r="D559" t="str">
        <f>IFERROR(IF(TRIM('Staff Daily sales'!$F544&amp;"")="","Unassigned",TRIM('Staff Daily sales'!$F544&amp;"")),"Unassigned")</f>
        <v>Hamzah Al Makhadam</v>
      </c>
      <c r="E559">
        <f t="shared" si="154"/>
        <v>1</v>
      </c>
      <c r="F559">
        <f>IF($E559=0,0,SUMPRODUCT($AI$5:$DF$5,'Staff Daily sales'!$G544:$CD544))</f>
        <v>2672.84</v>
      </c>
      <c r="G559">
        <f>IF($E559=0,0,SUMPRODUCT($AI$6:$DF$6,'Staff Daily sales'!$G544:$CD544))</f>
        <v>9</v>
      </c>
      <c r="H559">
        <f t="shared" si="155"/>
        <v>10837.48</v>
      </c>
      <c r="I559">
        <f t="shared" si="156"/>
        <v>33</v>
      </c>
      <c r="J559">
        <f t="shared" si="157"/>
        <v>128104.23999999996</v>
      </c>
      <c r="K559">
        <f t="shared" si="158"/>
        <v>596</v>
      </c>
      <c r="L559">
        <f>--AND($E559=1,OR('Staff Dashboard'!$B$6="All",$DH559='Staff Dashboard'!$B$6),OR('Staff Dashboard'!$B$7="All",$D559='Staff Dashboard'!$B$7),OR('Staff Dashboard'!$B$8="All",$A559='Staff Dashboard'!$B$8))</f>
        <v>0</v>
      </c>
      <c r="M559">
        <f>IF($E559=0,0,SUMPRODUCT($AI$7:$DF$7,'Staff Daily sales'!$G544:$CD544))</f>
        <v>11243.21</v>
      </c>
      <c r="N559">
        <f>IF($E559=0,0,SUMPRODUCT($AI$8:$DF$8,'Staff Daily sales'!$G544:$CD544))</f>
        <v>35</v>
      </c>
      <c r="O559">
        <f>IF($E559=0,0,SUMPRODUCT($AI$9:$DF$9,'Staff Daily sales'!$G544:$CD544))</f>
        <v>15091.1</v>
      </c>
      <c r="P559">
        <f>IF($E559=0,0,SUMPRODUCT($AI$10:$DF$10,'Staff Daily sales'!$G544:$CD544))</f>
        <v>49</v>
      </c>
      <c r="Q559">
        <f>IF($E559=0,0,SUMPRODUCT($AI$11:$DF$11,'Staff Daily sales'!$G544:$CD544))</f>
        <v>3807.05</v>
      </c>
      <c r="R559">
        <f>IF($E559=0,0,SUMPRODUCT($AI$12:$DF$12,'Staff Daily sales'!$G544:$CD544))</f>
        <v>16</v>
      </c>
      <c r="S559">
        <f>IF($E559=0,0,SUMPRODUCT($AI$13:$DF$13,'Staff Daily sales'!$G544:$CD544))</f>
        <v>9910.77</v>
      </c>
      <c r="T559">
        <f>IF($E559=0,0,SUMPRODUCT($AI$14:$DF$14,'Staff Daily sales'!$G544:$CD544))</f>
        <v>35</v>
      </c>
      <c r="U559">
        <f>IF($E559=0,0,SUMPRODUCT($AI$15:$DF$15,'Staff Daily sales'!$G544:$CD544))</f>
        <v>6946.12</v>
      </c>
      <c r="V559">
        <f>IF($E559=0,0,SUMPRODUCT($AI$16:$DF$16,'Staff Daily sales'!$G544:$CD544))</f>
        <v>14</v>
      </c>
      <c r="W559">
        <f t="shared" si="159"/>
        <v>41084.89</v>
      </c>
      <c r="X559">
        <f t="shared" si="160"/>
        <v>56485.47</v>
      </c>
      <c r="Y559">
        <f t="shared" si="161"/>
        <v>43275.32</v>
      </c>
      <c r="Z559">
        <f t="shared" si="162"/>
        <v>44938.659999999996</v>
      </c>
      <c r="AA559">
        <f t="shared" si="163"/>
        <v>13088.15</v>
      </c>
      <c r="AB559">
        <f>--AND($E559=1,OR('Staff Weekly Trend'!$B$3="All",$DH559='Staff Weekly Trend'!$B$3),OR('Staff Weekly Trend'!$B$4="All",$D559='Staff Weekly Trend'!$B$4),OR('Staff Weekly Trend'!$B$5="All",$A559='Staff Weekly Trend'!$B$5))</f>
        <v>1</v>
      </c>
      <c r="AC559">
        <f t="shared" si="164"/>
        <v>2</v>
      </c>
      <c r="AI559">
        <f t="shared" si="165"/>
        <v>163</v>
      </c>
      <c r="AJ559">
        <f t="shared" si="166"/>
        <v>236</v>
      </c>
      <c r="AK559">
        <f t="shared" si="167"/>
        <v>184</v>
      </c>
      <c r="AL559">
        <f t="shared" si="168"/>
        <v>174</v>
      </c>
      <c r="AM559">
        <f t="shared" si="169"/>
        <v>38</v>
      </c>
      <c r="DH559" t="str" cm="1">
        <f t="array" ref="DH559">IF($A559="","",_xlfn.LET(_xlpm.c,IFERROR(_xlfn.XLOOKUP($A559,TRIM('Sales and count'!$A$4:$A$300&amp;""),TRIM('Sales and count'!$B$4:$B$300&amp;"")),""),IF(OR(_xlpm.c="",_xlpm.c="0",LEFT(_xlpm.c,1)="#"),"Not set",_xlpm.c)))</f>
        <v>KSA</v>
      </c>
    </row>
    <row r="560" spans="1:112" x14ac:dyDescent="0.25">
      <c r="A560" t="str">
        <f>IF('Staff Daily sales'!$B545="","",TRIM('Staff Daily sales'!$B545&amp;""))</f>
        <v>HARASHID</v>
      </c>
      <c r="B560" t="str">
        <f>IF('Staff Daily sales'!$D545="","",TRIM('Staff Daily sales'!$D545&amp;""))</f>
        <v>4462-WAlsaleh</v>
      </c>
      <c r="C560" t="str">
        <f>IFERROR(TRIM('Staff Daily sales'!$E545&amp;""),"")</f>
        <v>Khobar</v>
      </c>
      <c r="D560" t="str">
        <f>IFERROR(IF(TRIM('Staff Daily sales'!$F545&amp;"")="","Unassigned",TRIM('Staff Daily sales'!$F545&amp;"")),"Unassigned")</f>
        <v>Hamzah Al Makhadam</v>
      </c>
      <c r="E560">
        <f t="shared" si="154"/>
        <v>1</v>
      </c>
      <c r="F560">
        <f>IF($E560=0,0,SUMPRODUCT($AI$5:$DF$5,'Staff Daily sales'!$G545:$CD545))</f>
        <v>0</v>
      </c>
      <c r="G560">
        <f>IF($E560=0,0,SUMPRODUCT($AI$6:$DF$6,'Staff Daily sales'!$G545:$CD545))</f>
        <v>0</v>
      </c>
      <c r="H560">
        <f t="shared" si="155"/>
        <v>10837.48</v>
      </c>
      <c r="I560">
        <f t="shared" si="156"/>
        <v>33</v>
      </c>
      <c r="J560">
        <f t="shared" si="157"/>
        <v>128104.23999999996</v>
      </c>
      <c r="K560">
        <f t="shared" si="158"/>
        <v>596</v>
      </c>
      <c r="L560">
        <f>--AND($E560=1,OR('Staff Dashboard'!$B$6="All",$DH560='Staff Dashboard'!$B$6),OR('Staff Dashboard'!$B$7="All",$D560='Staff Dashboard'!$B$7),OR('Staff Dashboard'!$B$8="All",$A560='Staff Dashboard'!$B$8))</f>
        <v>0</v>
      </c>
      <c r="M560">
        <f>IF($E560=0,0,SUMPRODUCT($AI$7:$DF$7,'Staff Daily sales'!$G545:$CD545))</f>
        <v>0</v>
      </c>
      <c r="N560">
        <f>IF($E560=0,0,SUMPRODUCT($AI$8:$DF$8,'Staff Daily sales'!$G545:$CD545))</f>
        <v>0</v>
      </c>
      <c r="O560">
        <f>IF($E560=0,0,SUMPRODUCT($AI$9:$DF$9,'Staff Daily sales'!$G545:$CD545))</f>
        <v>1619.02</v>
      </c>
      <c r="P560">
        <f>IF($E560=0,0,SUMPRODUCT($AI$10:$DF$10,'Staff Daily sales'!$G545:$CD545))</f>
        <v>9</v>
      </c>
      <c r="Q560">
        <f>IF($E560=0,0,SUMPRODUCT($AI$11:$DF$11,'Staff Daily sales'!$G545:$CD545))</f>
        <v>0</v>
      </c>
      <c r="R560">
        <f>IF($E560=0,0,SUMPRODUCT($AI$12:$DF$12,'Staff Daily sales'!$G545:$CD545))</f>
        <v>0</v>
      </c>
      <c r="S560">
        <f>IF($E560=0,0,SUMPRODUCT($AI$13:$DF$13,'Staff Daily sales'!$G545:$CD545))</f>
        <v>0</v>
      </c>
      <c r="T560">
        <f>IF($E560=0,0,SUMPRODUCT($AI$14:$DF$14,'Staff Daily sales'!$G545:$CD545))</f>
        <v>0</v>
      </c>
      <c r="U560">
        <f>IF($E560=0,0,SUMPRODUCT($AI$15:$DF$15,'Staff Daily sales'!$G545:$CD545))</f>
        <v>0</v>
      </c>
      <c r="V560">
        <f>IF($E560=0,0,SUMPRODUCT($AI$16:$DF$16,'Staff Daily sales'!$G545:$CD545))</f>
        <v>0</v>
      </c>
      <c r="W560">
        <f t="shared" si="159"/>
        <v>41084.89</v>
      </c>
      <c r="X560">
        <f t="shared" si="160"/>
        <v>56485.47</v>
      </c>
      <c r="Y560">
        <f t="shared" si="161"/>
        <v>43275.32</v>
      </c>
      <c r="Z560">
        <f t="shared" si="162"/>
        <v>44938.659999999996</v>
      </c>
      <c r="AA560">
        <f t="shared" si="163"/>
        <v>13088.15</v>
      </c>
      <c r="AB560">
        <f>--AND($E560=1,OR('Staff Weekly Trend'!$B$3="All",$DH560='Staff Weekly Trend'!$B$3),OR('Staff Weekly Trend'!$B$4="All",$D560='Staff Weekly Trend'!$B$4),OR('Staff Weekly Trend'!$B$5="All",$A560='Staff Weekly Trend'!$B$5))</f>
        <v>1</v>
      </c>
      <c r="AC560" t="str">
        <f t="shared" si="164"/>
        <v/>
      </c>
      <c r="AI560">
        <f t="shared" si="165"/>
        <v>163</v>
      </c>
      <c r="AJ560">
        <f t="shared" si="166"/>
        <v>236</v>
      </c>
      <c r="AK560">
        <f t="shared" si="167"/>
        <v>184</v>
      </c>
      <c r="AL560">
        <f t="shared" si="168"/>
        <v>174</v>
      </c>
      <c r="AM560">
        <f t="shared" si="169"/>
        <v>38</v>
      </c>
      <c r="DH560" t="str" cm="1">
        <f t="array" ref="DH560">IF($A560="","",_xlfn.LET(_xlpm.c,IFERROR(_xlfn.XLOOKUP($A560,TRIM('Sales and count'!$A$4:$A$300&amp;""),TRIM('Sales and count'!$B$4:$B$300&amp;"")),""),IF(OR(_xlpm.c="",_xlpm.c="0",LEFT(_xlpm.c,1)="#"),"Not set",_xlpm.c)))</f>
        <v>KSA</v>
      </c>
    </row>
    <row r="561" spans="1:112" x14ac:dyDescent="0.25">
      <c r="A561" t="str">
        <f>IF('Staff Daily sales'!$B546="","",TRIM('Staff Daily sales'!$B546&amp;""))</f>
        <v>HARASHID</v>
      </c>
      <c r="B561" t="str">
        <f>IF('Staff Daily sales'!$D546="","",TRIM('Staff Daily sales'!$D546&amp;""))</f>
        <v>4869-AAlshmriy</v>
      </c>
      <c r="C561" t="str">
        <f>IFERROR(TRIM('Staff Daily sales'!$E546&amp;""),"")</f>
        <v>Khobar</v>
      </c>
      <c r="D561" t="str">
        <f>IFERROR(IF(TRIM('Staff Daily sales'!$F546&amp;"")="","Unassigned",TRIM('Staff Daily sales'!$F546&amp;"")),"Unassigned")</f>
        <v>Hamzah Al Makhadam</v>
      </c>
      <c r="E561">
        <f t="shared" si="154"/>
        <v>1</v>
      </c>
      <c r="F561">
        <f>IF($E561=0,0,SUMPRODUCT($AI$5:$DF$5,'Staff Daily sales'!$G546:$CD546))</f>
        <v>0</v>
      </c>
      <c r="G561">
        <f>IF($E561=0,0,SUMPRODUCT($AI$6:$DF$6,'Staff Daily sales'!$G546:$CD546))</f>
        <v>0</v>
      </c>
      <c r="H561">
        <f t="shared" si="155"/>
        <v>10837.48</v>
      </c>
      <c r="I561">
        <f t="shared" si="156"/>
        <v>33</v>
      </c>
      <c r="J561">
        <f t="shared" si="157"/>
        <v>128104.23999999996</v>
      </c>
      <c r="K561">
        <f t="shared" si="158"/>
        <v>596</v>
      </c>
      <c r="L561">
        <f>--AND($E561=1,OR('Staff Dashboard'!$B$6="All",$DH561='Staff Dashboard'!$B$6),OR('Staff Dashboard'!$B$7="All",$D561='Staff Dashboard'!$B$7),OR('Staff Dashboard'!$B$8="All",$A561='Staff Dashboard'!$B$8))</f>
        <v>0</v>
      </c>
      <c r="M561">
        <f>IF($E561=0,0,SUMPRODUCT($AI$7:$DF$7,'Staff Daily sales'!$G546:$CD546))</f>
        <v>4685.1099999999997</v>
      </c>
      <c r="N561">
        <f>IF($E561=0,0,SUMPRODUCT($AI$8:$DF$8,'Staff Daily sales'!$G546:$CD546))</f>
        <v>20</v>
      </c>
      <c r="O561">
        <f>IF($E561=0,0,SUMPRODUCT($AI$9:$DF$9,'Staff Daily sales'!$G546:$CD546))</f>
        <v>10787.09</v>
      </c>
      <c r="P561">
        <f>IF($E561=0,0,SUMPRODUCT($AI$10:$DF$10,'Staff Daily sales'!$G546:$CD546))</f>
        <v>42</v>
      </c>
      <c r="Q561">
        <f>IF($E561=0,0,SUMPRODUCT($AI$11:$DF$11,'Staff Daily sales'!$G546:$CD546))</f>
        <v>11506.04</v>
      </c>
      <c r="R561">
        <f>IF($E561=0,0,SUMPRODUCT($AI$12:$DF$12,'Staff Daily sales'!$G546:$CD546))</f>
        <v>45</v>
      </c>
      <c r="S561">
        <f>IF($E561=0,0,SUMPRODUCT($AI$13:$DF$13,'Staff Daily sales'!$G546:$CD546))</f>
        <v>7316.6900000000005</v>
      </c>
      <c r="T561">
        <f>IF($E561=0,0,SUMPRODUCT($AI$14:$DF$14,'Staff Daily sales'!$G546:$CD546))</f>
        <v>33</v>
      </c>
      <c r="U561">
        <f>IF($E561=0,0,SUMPRODUCT($AI$15:$DF$15,'Staff Daily sales'!$G546:$CD546))</f>
        <v>0</v>
      </c>
      <c r="V561">
        <f>IF($E561=0,0,SUMPRODUCT($AI$16:$DF$16,'Staff Daily sales'!$G546:$CD546))</f>
        <v>0</v>
      </c>
      <c r="W561">
        <f t="shared" si="159"/>
        <v>41084.89</v>
      </c>
      <c r="X561">
        <f t="shared" si="160"/>
        <v>56485.47</v>
      </c>
      <c r="Y561">
        <f t="shared" si="161"/>
        <v>43275.32</v>
      </c>
      <c r="Z561">
        <f t="shared" si="162"/>
        <v>44938.659999999996</v>
      </c>
      <c r="AA561">
        <f t="shared" si="163"/>
        <v>13088.15</v>
      </c>
      <c r="AB561">
        <f>--AND($E561=1,OR('Staff Weekly Trend'!$B$3="All",$DH561='Staff Weekly Trend'!$B$3),OR('Staff Weekly Trend'!$B$4="All",$D561='Staff Weekly Trend'!$B$4),OR('Staff Weekly Trend'!$B$5="All",$A561='Staff Weekly Trend'!$B$5))</f>
        <v>1</v>
      </c>
      <c r="AC561" t="str">
        <f t="shared" si="164"/>
        <v/>
      </c>
      <c r="AI561">
        <f t="shared" si="165"/>
        <v>163</v>
      </c>
      <c r="AJ561">
        <f t="shared" si="166"/>
        <v>236</v>
      </c>
      <c r="AK561">
        <f t="shared" si="167"/>
        <v>184</v>
      </c>
      <c r="AL561">
        <f t="shared" si="168"/>
        <v>174</v>
      </c>
      <c r="AM561">
        <f t="shared" si="169"/>
        <v>38</v>
      </c>
      <c r="DH561" t="str" cm="1">
        <f t="array" ref="DH561">IF($A561="","",_xlfn.LET(_xlpm.c,IFERROR(_xlfn.XLOOKUP($A561,TRIM('Sales and count'!$A$4:$A$300&amp;""),TRIM('Sales and count'!$B$4:$B$300&amp;"")),""),IF(OR(_xlpm.c="",_xlpm.c="0",LEFT(_xlpm.c,1)="#"),"Not set",_xlpm.c)))</f>
        <v>KSA</v>
      </c>
    </row>
    <row r="562" spans="1:112" x14ac:dyDescent="0.25">
      <c r="A562" t="str">
        <f>IF('Staff Daily sales'!$B547="","",TRIM('Staff Daily sales'!$B547&amp;""))</f>
        <v>HARASHID</v>
      </c>
      <c r="B562" t="str">
        <f>IF('Staff Daily sales'!$D547="","",TRIM('Staff Daily sales'!$D547&amp;""))</f>
        <v>5496-NalDowsari</v>
      </c>
      <c r="C562" t="str">
        <f>IFERROR(TRIM('Staff Daily sales'!$E547&amp;""),"")</f>
        <v>Khobar</v>
      </c>
      <c r="D562" t="str">
        <f>IFERROR(IF(TRIM('Staff Daily sales'!$F547&amp;"")="","Unassigned",TRIM('Staff Daily sales'!$F547&amp;"")),"Unassigned")</f>
        <v>Hamzah Al Makhadam</v>
      </c>
      <c r="E562">
        <f t="shared" si="154"/>
        <v>1</v>
      </c>
      <c r="F562">
        <f>IF($E562=0,0,SUMPRODUCT($AI$5:$DF$5,'Staff Daily sales'!$G547:$CD547))</f>
        <v>4324.91</v>
      </c>
      <c r="G562">
        <f>IF($E562=0,0,SUMPRODUCT($AI$6:$DF$6,'Staff Daily sales'!$G547:$CD547))</f>
        <v>5</v>
      </c>
      <c r="H562">
        <f t="shared" si="155"/>
        <v>10837.48</v>
      </c>
      <c r="I562">
        <f t="shared" si="156"/>
        <v>33</v>
      </c>
      <c r="J562">
        <f t="shared" si="157"/>
        <v>128104.23999999996</v>
      </c>
      <c r="K562">
        <f t="shared" si="158"/>
        <v>596</v>
      </c>
      <c r="L562">
        <f>--AND($E562=1,OR('Staff Dashboard'!$B$6="All",$DH562='Staff Dashboard'!$B$6),OR('Staff Dashboard'!$B$7="All",$D562='Staff Dashboard'!$B$7),OR('Staff Dashboard'!$B$8="All",$A562='Staff Dashboard'!$B$8))</f>
        <v>0</v>
      </c>
      <c r="M562">
        <f>IF($E562=0,0,SUMPRODUCT($AI$7:$DF$7,'Staff Daily sales'!$G547:$CD547))</f>
        <v>8936.2000000000007</v>
      </c>
      <c r="N562">
        <f>IF($E562=0,0,SUMPRODUCT($AI$8:$DF$8,'Staff Daily sales'!$G547:$CD547))</f>
        <v>21</v>
      </c>
      <c r="O562">
        <f>IF($E562=0,0,SUMPRODUCT($AI$9:$DF$9,'Staff Daily sales'!$G547:$CD547))</f>
        <v>0</v>
      </c>
      <c r="P562">
        <f>IF($E562=0,0,SUMPRODUCT($AI$10:$DF$10,'Staff Daily sales'!$G547:$CD547))</f>
        <v>0</v>
      </c>
      <c r="Q562">
        <f>IF($E562=0,0,SUMPRODUCT($AI$11:$DF$11,'Staff Daily sales'!$G547:$CD547))</f>
        <v>8243.16</v>
      </c>
      <c r="R562">
        <f>IF($E562=0,0,SUMPRODUCT($AI$12:$DF$12,'Staff Daily sales'!$G547:$CD547))</f>
        <v>37</v>
      </c>
      <c r="S562">
        <f>IF($E562=0,0,SUMPRODUCT($AI$13:$DF$13,'Staff Daily sales'!$G547:$CD547))</f>
        <v>10714.829999999998</v>
      </c>
      <c r="T562">
        <f>IF($E562=0,0,SUMPRODUCT($AI$14:$DF$14,'Staff Daily sales'!$G547:$CD547))</f>
        <v>27</v>
      </c>
      <c r="U562">
        <f>IF($E562=0,0,SUMPRODUCT($AI$15:$DF$15,'Staff Daily sales'!$G547:$CD547))</f>
        <v>648.03</v>
      </c>
      <c r="V562">
        <f>IF($E562=0,0,SUMPRODUCT($AI$16:$DF$16,'Staff Daily sales'!$G547:$CD547))</f>
        <v>2</v>
      </c>
      <c r="W562">
        <f t="shared" si="159"/>
        <v>41084.89</v>
      </c>
      <c r="X562">
        <f t="shared" si="160"/>
        <v>56485.47</v>
      </c>
      <c r="Y562">
        <f t="shared" si="161"/>
        <v>43275.32</v>
      </c>
      <c r="Z562">
        <f t="shared" si="162"/>
        <v>44938.659999999996</v>
      </c>
      <c r="AA562">
        <f t="shared" si="163"/>
        <v>13088.15</v>
      </c>
      <c r="AB562">
        <f>--AND($E562=1,OR('Staff Weekly Trend'!$B$3="All",$DH562='Staff Weekly Trend'!$B$3),OR('Staff Weekly Trend'!$B$4="All",$D562='Staff Weekly Trend'!$B$4),OR('Staff Weekly Trend'!$B$5="All",$A562='Staff Weekly Trend'!$B$5))</f>
        <v>1</v>
      </c>
      <c r="AC562">
        <f t="shared" si="164"/>
        <v>1</v>
      </c>
      <c r="AI562">
        <f t="shared" si="165"/>
        <v>163</v>
      </c>
      <c r="AJ562">
        <f t="shared" si="166"/>
        <v>236</v>
      </c>
      <c r="AK562">
        <f t="shared" si="167"/>
        <v>184</v>
      </c>
      <c r="AL562">
        <f t="shared" si="168"/>
        <v>174</v>
      </c>
      <c r="AM562">
        <f t="shared" si="169"/>
        <v>38</v>
      </c>
      <c r="DH562" t="str" cm="1">
        <f t="array" ref="DH562">IF($A562="","",_xlfn.LET(_xlpm.c,IFERROR(_xlfn.XLOOKUP($A562,TRIM('Sales and count'!$A$4:$A$300&amp;""),TRIM('Sales and count'!$B$4:$B$300&amp;"")),""),IF(OR(_xlpm.c="",_xlpm.c="0",LEFT(_xlpm.c,1)="#"),"Not set",_xlpm.c)))</f>
        <v>KSA</v>
      </c>
    </row>
    <row r="563" spans="1:112" x14ac:dyDescent="0.25">
      <c r="A563" t="str">
        <f>IF('Staff Daily sales'!$B548="","",TRIM('Staff Daily sales'!$B548&amp;""))</f>
        <v>HARASHID</v>
      </c>
      <c r="B563" t="str">
        <f>IF('Staff Daily sales'!$D548="","",TRIM('Staff Daily sales'!$D548&amp;""))</f>
        <v>6488-JAlmajnuni</v>
      </c>
      <c r="C563" t="str">
        <f>IFERROR(TRIM('Staff Daily sales'!$E548&amp;""),"")</f>
        <v>Khobar</v>
      </c>
      <c r="D563" t="str">
        <f>IFERROR(IF(TRIM('Staff Daily sales'!$F548&amp;"")="","Unassigned",TRIM('Staff Daily sales'!$F548&amp;"")),"Unassigned")</f>
        <v>Hamzah Al Makhadam</v>
      </c>
      <c r="E563">
        <f t="shared" si="154"/>
        <v>1</v>
      </c>
      <c r="F563">
        <f>IF($E563=0,0,SUMPRODUCT($AI$5:$DF$5,'Staff Daily sales'!$G548:$CD548))</f>
        <v>2172.87</v>
      </c>
      <c r="G563">
        <f>IF($E563=0,0,SUMPRODUCT($AI$6:$DF$6,'Staff Daily sales'!$G548:$CD548))</f>
        <v>9</v>
      </c>
      <c r="H563">
        <f t="shared" si="155"/>
        <v>10837.48</v>
      </c>
      <c r="I563">
        <f t="shared" si="156"/>
        <v>33</v>
      </c>
      <c r="J563">
        <f t="shared" si="157"/>
        <v>128104.23999999996</v>
      </c>
      <c r="K563">
        <f t="shared" si="158"/>
        <v>596</v>
      </c>
      <c r="L563">
        <f>--AND($E563=1,OR('Staff Dashboard'!$B$6="All",$DH563='Staff Dashboard'!$B$6),OR('Staff Dashboard'!$B$7="All",$D563='Staff Dashboard'!$B$7),OR('Staff Dashboard'!$B$8="All",$A563='Staff Dashboard'!$B$8))</f>
        <v>0</v>
      </c>
      <c r="M563">
        <f>IF($E563=0,0,SUMPRODUCT($AI$7:$DF$7,'Staff Daily sales'!$G548:$CD548))</f>
        <v>8999.18</v>
      </c>
      <c r="N563">
        <f>IF($E563=0,0,SUMPRODUCT($AI$8:$DF$8,'Staff Daily sales'!$G548:$CD548))</f>
        <v>48</v>
      </c>
      <c r="O563">
        <f>IF($E563=0,0,SUMPRODUCT($AI$9:$DF$9,'Staff Daily sales'!$G548:$CD548))</f>
        <v>16752.18</v>
      </c>
      <c r="P563">
        <f>IF($E563=0,0,SUMPRODUCT($AI$10:$DF$10,'Staff Daily sales'!$G548:$CD548))</f>
        <v>64</v>
      </c>
      <c r="Q563">
        <f>IF($E563=0,0,SUMPRODUCT($AI$11:$DF$11,'Staff Daily sales'!$G548:$CD548))</f>
        <v>5083.0200000000004</v>
      </c>
      <c r="R563">
        <f>IF($E563=0,0,SUMPRODUCT($AI$12:$DF$12,'Staff Daily sales'!$G548:$CD548))</f>
        <v>23</v>
      </c>
      <c r="S563">
        <f>IF($E563=0,0,SUMPRODUCT($AI$13:$DF$13,'Staff Daily sales'!$G548:$CD548))</f>
        <v>9624.67</v>
      </c>
      <c r="T563">
        <f>IF($E563=0,0,SUMPRODUCT($AI$14:$DF$14,'Staff Daily sales'!$G548:$CD548))</f>
        <v>43</v>
      </c>
      <c r="U563">
        <f>IF($E563=0,0,SUMPRODUCT($AI$15:$DF$15,'Staff Daily sales'!$G548:$CD548))</f>
        <v>1662.01</v>
      </c>
      <c r="V563">
        <f>IF($E563=0,0,SUMPRODUCT($AI$16:$DF$16,'Staff Daily sales'!$G548:$CD548))</f>
        <v>10</v>
      </c>
      <c r="W563">
        <f t="shared" si="159"/>
        <v>41084.89</v>
      </c>
      <c r="X563">
        <f t="shared" si="160"/>
        <v>56485.47</v>
      </c>
      <c r="Y563">
        <f t="shared" si="161"/>
        <v>43275.32</v>
      </c>
      <c r="Z563">
        <f t="shared" si="162"/>
        <v>44938.659999999996</v>
      </c>
      <c r="AA563">
        <f t="shared" si="163"/>
        <v>13088.15</v>
      </c>
      <c r="AB563">
        <f>--AND($E563=1,OR('Staff Weekly Trend'!$B$3="All",$DH563='Staff Weekly Trend'!$B$3),OR('Staff Weekly Trend'!$B$4="All",$D563='Staff Weekly Trend'!$B$4),OR('Staff Weekly Trend'!$B$5="All",$A563='Staff Weekly Trend'!$B$5))</f>
        <v>1</v>
      </c>
      <c r="AC563">
        <f t="shared" si="164"/>
        <v>3</v>
      </c>
      <c r="AI563">
        <f t="shared" si="165"/>
        <v>163</v>
      </c>
      <c r="AJ563">
        <f t="shared" si="166"/>
        <v>236</v>
      </c>
      <c r="AK563">
        <f t="shared" si="167"/>
        <v>184</v>
      </c>
      <c r="AL563">
        <f t="shared" si="168"/>
        <v>174</v>
      </c>
      <c r="AM563">
        <f t="shared" si="169"/>
        <v>38</v>
      </c>
      <c r="DH563" t="str" cm="1">
        <f t="array" ref="DH563">IF($A563="","",_xlfn.LET(_xlpm.c,IFERROR(_xlfn.XLOOKUP($A563,TRIM('Sales and count'!$A$4:$A$300&amp;""),TRIM('Sales and count'!$B$4:$B$300&amp;"")),""),IF(OR(_xlpm.c="",_xlpm.c="0",LEFT(_xlpm.c,1)="#"),"Not set",_xlpm.c)))</f>
        <v>KSA</v>
      </c>
    </row>
    <row r="564" spans="1:112" x14ac:dyDescent="0.25">
      <c r="A564" t="str">
        <f>IF('Staff Daily sales'!$B549="","",TRIM('Staff Daily sales'!$B549&amp;""))</f>
        <v>HARASHID</v>
      </c>
      <c r="B564" t="str">
        <f>IF('Staff Daily sales'!$D549="","",TRIM('Staff Daily sales'!$D549&amp;""))</f>
        <v>7304-YAlSalem</v>
      </c>
      <c r="C564" t="str">
        <f>IFERROR(TRIM('Staff Daily sales'!$E549&amp;""),"")</f>
        <v>Khobar</v>
      </c>
      <c r="D564" t="str">
        <f>IFERROR(IF(TRIM('Staff Daily sales'!$F549&amp;"")="","Unassigned",TRIM('Staff Daily sales'!$F549&amp;"")),"Unassigned")</f>
        <v>Hamzah Al Makhadam</v>
      </c>
      <c r="E564">
        <f t="shared" si="154"/>
        <v>1</v>
      </c>
      <c r="F564">
        <f>IF($E564=0,0,SUMPRODUCT($AI$5:$DF$5,'Staff Daily sales'!$G549:$CD549))</f>
        <v>1666.86</v>
      </c>
      <c r="G564">
        <f>IF($E564=0,0,SUMPRODUCT($AI$6:$DF$6,'Staff Daily sales'!$G549:$CD549))</f>
        <v>10</v>
      </c>
      <c r="H564">
        <f t="shared" si="155"/>
        <v>10837.48</v>
      </c>
      <c r="I564">
        <f t="shared" si="156"/>
        <v>33</v>
      </c>
      <c r="J564">
        <f t="shared" si="157"/>
        <v>128104.23999999996</v>
      </c>
      <c r="K564">
        <f t="shared" si="158"/>
        <v>596</v>
      </c>
      <c r="L564">
        <f>--AND($E564=1,OR('Staff Dashboard'!$B$6="All",$DH564='Staff Dashboard'!$B$6),OR('Staff Dashboard'!$B$7="All",$D564='Staff Dashboard'!$B$7),OR('Staff Dashboard'!$B$8="All",$A564='Staff Dashboard'!$B$8))</f>
        <v>0</v>
      </c>
      <c r="M564">
        <f>IF($E564=0,0,SUMPRODUCT($AI$7:$DF$7,'Staff Daily sales'!$G549:$CD549))</f>
        <v>7221.1900000000005</v>
      </c>
      <c r="N564">
        <f>IF($E564=0,0,SUMPRODUCT($AI$8:$DF$8,'Staff Daily sales'!$G549:$CD549))</f>
        <v>39</v>
      </c>
      <c r="O564">
        <f>IF($E564=0,0,SUMPRODUCT($AI$9:$DF$9,'Staff Daily sales'!$G549:$CD549))</f>
        <v>12236.08</v>
      </c>
      <c r="P564">
        <f>IF($E564=0,0,SUMPRODUCT($AI$10:$DF$10,'Staff Daily sales'!$G549:$CD549))</f>
        <v>72</v>
      </c>
      <c r="Q564">
        <f>IF($E564=0,0,SUMPRODUCT($AI$11:$DF$11,'Staff Daily sales'!$G549:$CD549))</f>
        <v>14636.050000000001</v>
      </c>
      <c r="R564">
        <f>IF($E564=0,0,SUMPRODUCT($AI$12:$DF$12,'Staff Daily sales'!$G549:$CD549))</f>
        <v>63</v>
      </c>
      <c r="S564">
        <f>IF($E564=0,0,SUMPRODUCT($AI$13:$DF$13,'Staff Daily sales'!$G549:$CD549))</f>
        <v>7371.7</v>
      </c>
      <c r="T564">
        <f>IF($E564=0,0,SUMPRODUCT($AI$14:$DF$14,'Staff Daily sales'!$G549:$CD549))</f>
        <v>36</v>
      </c>
      <c r="U564">
        <f>IF($E564=0,0,SUMPRODUCT($AI$15:$DF$15,'Staff Daily sales'!$G549:$CD549))</f>
        <v>3831.99</v>
      </c>
      <c r="V564">
        <f>IF($E564=0,0,SUMPRODUCT($AI$16:$DF$16,'Staff Daily sales'!$G549:$CD549))</f>
        <v>12</v>
      </c>
      <c r="W564">
        <f t="shared" si="159"/>
        <v>41084.89</v>
      </c>
      <c r="X564">
        <f t="shared" si="160"/>
        <v>56485.47</v>
      </c>
      <c r="Y564">
        <f t="shared" si="161"/>
        <v>43275.32</v>
      </c>
      <c r="Z564">
        <f t="shared" si="162"/>
        <v>44938.659999999996</v>
      </c>
      <c r="AA564">
        <f t="shared" si="163"/>
        <v>13088.15</v>
      </c>
      <c r="AB564">
        <f>--AND($E564=1,OR('Staff Weekly Trend'!$B$3="All",$DH564='Staff Weekly Trend'!$B$3),OR('Staff Weekly Trend'!$B$4="All",$D564='Staff Weekly Trend'!$B$4),OR('Staff Weekly Trend'!$B$5="All",$A564='Staff Weekly Trend'!$B$5))</f>
        <v>1</v>
      </c>
      <c r="AC564">
        <f t="shared" si="164"/>
        <v>4</v>
      </c>
      <c r="AI564">
        <f t="shared" si="165"/>
        <v>163</v>
      </c>
      <c r="AJ564">
        <f t="shared" si="166"/>
        <v>236</v>
      </c>
      <c r="AK564">
        <f t="shared" si="167"/>
        <v>184</v>
      </c>
      <c r="AL564">
        <f t="shared" si="168"/>
        <v>174</v>
      </c>
      <c r="AM564">
        <f t="shared" si="169"/>
        <v>38</v>
      </c>
      <c r="DH564" t="str" cm="1">
        <f t="array" ref="DH564">IF($A564="","",_xlfn.LET(_xlpm.c,IFERROR(_xlfn.XLOOKUP($A564,TRIM('Sales and count'!$A$4:$A$300&amp;""),TRIM('Sales and count'!$B$4:$B$300&amp;"")),""),IF(OR(_xlpm.c="",_xlpm.c="0",LEFT(_xlpm.c,1)="#"),"Not set",_xlpm.c)))</f>
        <v>KSA</v>
      </c>
    </row>
    <row r="565" spans="1:112" x14ac:dyDescent="0.25">
      <c r="A565" t="str">
        <f>IF('Staff Daily sales'!$B550="","",TRIM('Staff Daily sales'!$B550&amp;""))</f>
        <v>HATHEGATE</v>
      </c>
      <c r="B565" t="str">
        <f>IF('Staff Daily sales'!$D550="","",TRIM('Staff Daily sales'!$D550&amp;""))</f>
        <v>4863-FAlHarbi</v>
      </c>
      <c r="C565" t="str">
        <f>IFERROR(TRIM('Staff Daily sales'!$E550&amp;""),"")</f>
        <v>Madinah</v>
      </c>
      <c r="D565" t="str">
        <f>IFERROR(IF(TRIM('Staff Daily sales'!$F550&amp;"")="","Unassigned",TRIM('Staff Daily sales'!$F550&amp;"")),"Unassigned")</f>
        <v>Mohammed Haidar</v>
      </c>
      <c r="E565">
        <f t="shared" si="154"/>
        <v>1</v>
      </c>
      <c r="F565">
        <f>IF($E565=0,0,SUMPRODUCT($AI$5:$DF$5,'Staff Daily sales'!$G550:$CD550))</f>
        <v>0</v>
      </c>
      <c r="G565">
        <f>IF($E565=0,0,SUMPRODUCT($AI$6:$DF$6,'Staff Daily sales'!$G550:$CD550))</f>
        <v>0</v>
      </c>
      <c r="H565">
        <f t="shared" si="155"/>
        <v>385.98</v>
      </c>
      <c r="I565">
        <f t="shared" si="156"/>
        <v>2</v>
      </c>
      <c r="J565">
        <f t="shared" si="157"/>
        <v>55209.230000000018</v>
      </c>
      <c r="K565">
        <f t="shared" si="158"/>
        <v>272</v>
      </c>
      <c r="L565">
        <f>--AND($E565=1,OR('Staff Dashboard'!$B$6="All",$DH565='Staff Dashboard'!$B$6),OR('Staff Dashboard'!$B$7="All",$D565='Staff Dashboard'!$B$7),OR('Staff Dashboard'!$B$8="All",$A565='Staff Dashboard'!$B$8))</f>
        <v>0</v>
      </c>
      <c r="M565">
        <f>IF($E565=0,0,SUMPRODUCT($AI$7:$DF$7,'Staff Daily sales'!$G550:$CD550))</f>
        <v>2368.09</v>
      </c>
      <c r="N565">
        <f>IF($E565=0,0,SUMPRODUCT($AI$8:$DF$8,'Staff Daily sales'!$G550:$CD550))</f>
        <v>16</v>
      </c>
      <c r="O565">
        <f>IF($E565=0,0,SUMPRODUCT($AI$9:$DF$9,'Staff Daily sales'!$G550:$CD550))</f>
        <v>1910.06</v>
      </c>
      <c r="P565">
        <f>IF($E565=0,0,SUMPRODUCT($AI$10:$DF$10,'Staff Daily sales'!$G550:$CD550))</f>
        <v>11</v>
      </c>
      <c r="Q565">
        <f>IF($E565=0,0,SUMPRODUCT($AI$11:$DF$11,'Staff Daily sales'!$G550:$CD550))</f>
        <v>249</v>
      </c>
      <c r="R565">
        <f>IF($E565=0,0,SUMPRODUCT($AI$12:$DF$12,'Staff Daily sales'!$G550:$CD550))</f>
        <v>1</v>
      </c>
      <c r="S565">
        <f>IF($E565=0,0,SUMPRODUCT($AI$13:$DF$13,'Staff Daily sales'!$G550:$CD550))</f>
        <v>0</v>
      </c>
      <c r="T565">
        <f>IF($E565=0,0,SUMPRODUCT($AI$14:$DF$14,'Staff Daily sales'!$G550:$CD550))</f>
        <v>0</v>
      </c>
      <c r="U565">
        <f>IF($E565=0,0,SUMPRODUCT($AI$15:$DF$15,'Staff Daily sales'!$G550:$CD550))</f>
        <v>0</v>
      </c>
      <c r="V565">
        <f>IF($E565=0,0,SUMPRODUCT($AI$16:$DF$16,'Staff Daily sales'!$G550:$CD550))</f>
        <v>0</v>
      </c>
      <c r="W565">
        <f t="shared" si="159"/>
        <v>6000.2000000000007</v>
      </c>
      <c r="X565">
        <f t="shared" si="160"/>
        <v>6600.15</v>
      </c>
      <c r="Y565">
        <f t="shared" si="161"/>
        <v>6256</v>
      </c>
      <c r="Z565">
        <f t="shared" si="162"/>
        <v>3175.94</v>
      </c>
      <c r="AA565">
        <f t="shared" si="163"/>
        <v>2347.88</v>
      </c>
      <c r="AB565">
        <f>--AND($E565=1,OR('Staff Weekly Trend'!$B$3="All",$DH565='Staff Weekly Trend'!$B$3),OR('Staff Weekly Trend'!$B$4="All",$D565='Staff Weekly Trend'!$B$4),OR('Staff Weekly Trend'!$B$5="All",$A565='Staff Weekly Trend'!$B$5))</f>
        <v>1</v>
      </c>
      <c r="AC565" t="str">
        <f t="shared" si="164"/>
        <v/>
      </c>
      <c r="AI565">
        <f t="shared" si="165"/>
        <v>31</v>
      </c>
      <c r="AJ565">
        <f t="shared" si="166"/>
        <v>33</v>
      </c>
      <c r="AK565">
        <f t="shared" si="167"/>
        <v>31</v>
      </c>
      <c r="AL565">
        <f t="shared" si="168"/>
        <v>18</v>
      </c>
      <c r="AM565">
        <f t="shared" si="169"/>
        <v>9</v>
      </c>
      <c r="DH565" t="str" cm="1">
        <f t="array" ref="DH565">IF($A565="","",_xlfn.LET(_xlpm.c,IFERROR(_xlfn.XLOOKUP($A565,TRIM('Sales and count'!$A$4:$A$300&amp;""),TRIM('Sales and count'!$B$4:$B$300&amp;"")),""),IF(OR(_xlpm.c="",_xlpm.c="0",LEFT(_xlpm.c,1)="#"),"Not set",_xlpm.c)))</f>
        <v>KSA</v>
      </c>
    </row>
    <row r="566" spans="1:112" x14ac:dyDescent="0.25">
      <c r="A566" t="str">
        <f>IF('Staff Daily sales'!$B551="","",TRIM('Staff Daily sales'!$B551&amp;""))</f>
        <v>HATHEGATE</v>
      </c>
      <c r="B566" t="str">
        <f>IF('Staff Daily sales'!$D551="","",TRIM('Staff Daily sales'!$D551&amp;""))</f>
        <v>6455-FAli</v>
      </c>
      <c r="C566" t="str">
        <f>IFERROR(TRIM('Staff Daily sales'!$E551&amp;""),"")</f>
        <v>Madinah</v>
      </c>
      <c r="D566" t="str">
        <f>IFERROR(IF(TRIM('Staff Daily sales'!$F551&amp;"")="","Unassigned",TRIM('Staff Daily sales'!$F551&amp;"")),"Unassigned")</f>
        <v>Mohammed Haidar</v>
      </c>
      <c r="E566">
        <f t="shared" si="154"/>
        <v>1</v>
      </c>
      <c r="F566">
        <f>IF($E566=0,0,SUMPRODUCT($AI$5:$DF$5,'Staff Daily sales'!$G551:$CD551))</f>
        <v>175</v>
      </c>
      <c r="G566">
        <f>IF($E566=0,0,SUMPRODUCT($AI$6:$DF$6,'Staff Daily sales'!$G551:$CD551))</f>
        <v>1</v>
      </c>
      <c r="H566">
        <f t="shared" si="155"/>
        <v>385.98</v>
      </c>
      <c r="I566">
        <f t="shared" si="156"/>
        <v>2</v>
      </c>
      <c r="J566">
        <f t="shared" si="157"/>
        <v>55209.230000000018</v>
      </c>
      <c r="K566">
        <f t="shared" si="158"/>
        <v>272</v>
      </c>
      <c r="L566">
        <f>--AND($E566=1,OR('Staff Dashboard'!$B$6="All",$DH566='Staff Dashboard'!$B$6),OR('Staff Dashboard'!$B$7="All",$D566='Staff Dashboard'!$B$7),OR('Staff Dashboard'!$B$8="All",$A566='Staff Dashboard'!$B$8))</f>
        <v>0</v>
      </c>
      <c r="M566">
        <f>IF($E566=0,0,SUMPRODUCT($AI$7:$DF$7,'Staff Daily sales'!$G551:$CD551))</f>
        <v>699.02</v>
      </c>
      <c r="N566">
        <f>IF($E566=0,0,SUMPRODUCT($AI$8:$DF$8,'Staff Daily sales'!$G551:$CD551))</f>
        <v>5</v>
      </c>
      <c r="O566">
        <f>IF($E566=0,0,SUMPRODUCT($AI$9:$DF$9,'Staff Daily sales'!$G551:$CD551))</f>
        <v>2164.0299999999997</v>
      </c>
      <c r="P566">
        <f>IF($E566=0,0,SUMPRODUCT($AI$10:$DF$10,'Staff Daily sales'!$G551:$CD551))</f>
        <v>11</v>
      </c>
      <c r="Q566">
        <f>IF($E566=0,0,SUMPRODUCT($AI$11:$DF$11,'Staff Daily sales'!$G551:$CD551))</f>
        <v>1315</v>
      </c>
      <c r="R566">
        <f>IF($E566=0,0,SUMPRODUCT($AI$12:$DF$12,'Staff Daily sales'!$G551:$CD551))</f>
        <v>11</v>
      </c>
      <c r="S566">
        <f>IF($E566=0,0,SUMPRODUCT($AI$13:$DF$13,'Staff Daily sales'!$G551:$CD551))</f>
        <v>1328.99</v>
      </c>
      <c r="T566">
        <f>IF($E566=0,0,SUMPRODUCT($AI$14:$DF$14,'Staff Daily sales'!$G551:$CD551))</f>
        <v>7</v>
      </c>
      <c r="U566">
        <f>IF($E566=0,0,SUMPRODUCT($AI$15:$DF$15,'Staff Daily sales'!$G551:$CD551))</f>
        <v>870.98</v>
      </c>
      <c r="V566">
        <f>IF($E566=0,0,SUMPRODUCT($AI$16:$DF$16,'Staff Daily sales'!$G551:$CD551))</f>
        <v>4</v>
      </c>
      <c r="W566">
        <f t="shared" si="159"/>
        <v>6000.2000000000007</v>
      </c>
      <c r="X566">
        <f t="shared" si="160"/>
        <v>6600.15</v>
      </c>
      <c r="Y566">
        <f t="shared" si="161"/>
        <v>6256</v>
      </c>
      <c r="Z566">
        <f t="shared" si="162"/>
        <v>3175.94</v>
      </c>
      <c r="AA566">
        <f t="shared" si="163"/>
        <v>2347.88</v>
      </c>
      <c r="AB566">
        <f>--AND($E566=1,OR('Staff Weekly Trend'!$B$3="All",$DH566='Staff Weekly Trend'!$B$3),OR('Staff Weekly Trend'!$B$4="All",$D566='Staff Weekly Trend'!$B$4),OR('Staff Weekly Trend'!$B$5="All",$A566='Staff Weekly Trend'!$B$5))</f>
        <v>1</v>
      </c>
      <c r="AC566">
        <f t="shared" si="164"/>
        <v>2</v>
      </c>
      <c r="AI566">
        <f t="shared" si="165"/>
        <v>31</v>
      </c>
      <c r="AJ566">
        <f t="shared" si="166"/>
        <v>33</v>
      </c>
      <c r="AK566">
        <f t="shared" si="167"/>
        <v>31</v>
      </c>
      <c r="AL566">
        <f t="shared" si="168"/>
        <v>18</v>
      </c>
      <c r="AM566">
        <f t="shared" si="169"/>
        <v>9</v>
      </c>
      <c r="DH566" t="str" cm="1">
        <f t="array" ref="DH566">IF($A566="","",_xlfn.LET(_xlpm.c,IFERROR(_xlfn.XLOOKUP($A566,TRIM('Sales and count'!$A$4:$A$300&amp;""),TRIM('Sales and count'!$B$4:$B$300&amp;"")),""),IF(OR(_xlpm.c="",_xlpm.c="0",LEFT(_xlpm.c,1)="#"),"Not set",_xlpm.c)))</f>
        <v>KSA</v>
      </c>
    </row>
    <row r="567" spans="1:112" x14ac:dyDescent="0.25">
      <c r="A567" t="str">
        <f>IF('Staff Daily sales'!$B552="","",TRIM('Staff Daily sales'!$B552&amp;""))</f>
        <v>HATHEGATE</v>
      </c>
      <c r="B567" t="str">
        <f>IF('Staff Daily sales'!$D552="","",TRIM('Staff Daily sales'!$D552&amp;""))</f>
        <v>6457-AAlajlan</v>
      </c>
      <c r="C567" t="str">
        <f>IFERROR(TRIM('Staff Daily sales'!$E552&amp;""),"")</f>
        <v>Madinah</v>
      </c>
      <c r="D567" t="str">
        <f>IFERROR(IF(TRIM('Staff Daily sales'!$F552&amp;"")="","Unassigned",TRIM('Staff Daily sales'!$F552&amp;"")),"Unassigned")</f>
        <v>Mohammed Haidar</v>
      </c>
      <c r="E567">
        <f t="shared" si="154"/>
        <v>1</v>
      </c>
      <c r="F567">
        <f>IF($E567=0,0,SUMPRODUCT($AI$5:$DF$5,'Staff Daily sales'!$G552:$CD552))</f>
        <v>0</v>
      </c>
      <c r="G567">
        <f>IF($E567=0,0,SUMPRODUCT($AI$6:$DF$6,'Staff Daily sales'!$G552:$CD552))</f>
        <v>0</v>
      </c>
      <c r="H567">
        <f t="shared" si="155"/>
        <v>385.98</v>
      </c>
      <c r="I567">
        <f t="shared" si="156"/>
        <v>2</v>
      </c>
      <c r="J567">
        <f t="shared" si="157"/>
        <v>55209.230000000018</v>
      </c>
      <c r="K567">
        <f t="shared" si="158"/>
        <v>272</v>
      </c>
      <c r="L567">
        <f>--AND($E567=1,OR('Staff Dashboard'!$B$6="All",$DH567='Staff Dashboard'!$B$6),OR('Staff Dashboard'!$B$7="All",$D567='Staff Dashboard'!$B$7),OR('Staff Dashboard'!$B$8="All",$A567='Staff Dashboard'!$B$8))</f>
        <v>0</v>
      </c>
      <c r="M567">
        <f>IF($E567=0,0,SUMPRODUCT($AI$7:$DF$7,'Staff Daily sales'!$G552:$CD552))</f>
        <v>0</v>
      </c>
      <c r="N567">
        <f>IF($E567=0,0,SUMPRODUCT($AI$8:$DF$8,'Staff Daily sales'!$G552:$CD552))</f>
        <v>0</v>
      </c>
      <c r="O567">
        <f>IF($E567=0,0,SUMPRODUCT($AI$9:$DF$9,'Staff Daily sales'!$G552:$CD552))</f>
        <v>0</v>
      </c>
      <c r="P567">
        <f>IF($E567=0,0,SUMPRODUCT($AI$10:$DF$10,'Staff Daily sales'!$G552:$CD552))</f>
        <v>0</v>
      </c>
      <c r="Q567">
        <f>IF($E567=0,0,SUMPRODUCT($AI$11:$DF$11,'Staff Daily sales'!$G552:$CD552))</f>
        <v>2125</v>
      </c>
      <c r="R567">
        <f>IF($E567=0,0,SUMPRODUCT($AI$12:$DF$12,'Staff Daily sales'!$G552:$CD552))</f>
        <v>6</v>
      </c>
      <c r="S567">
        <f>IF($E567=0,0,SUMPRODUCT($AI$13:$DF$13,'Staff Daily sales'!$G552:$CD552))</f>
        <v>1115.97</v>
      </c>
      <c r="T567">
        <f>IF($E567=0,0,SUMPRODUCT($AI$14:$DF$14,'Staff Daily sales'!$G552:$CD552))</f>
        <v>6</v>
      </c>
      <c r="U567">
        <f>IF($E567=0,0,SUMPRODUCT($AI$15:$DF$15,'Staff Daily sales'!$G552:$CD552))</f>
        <v>421.96</v>
      </c>
      <c r="V567">
        <f>IF($E567=0,0,SUMPRODUCT($AI$16:$DF$16,'Staff Daily sales'!$G552:$CD552))</f>
        <v>2</v>
      </c>
      <c r="W567">
        <f t="shared" si="159"/>
        <v>6000.2000000000007</v>
      </c>
      <c r="X567">
        <f t="shared" si="160"/>
        <v>6600.15</v>
      </c>
      <c r="Y567">
        <f t="shared" si="161"/>
        <v>6256</v>
      </c>
      <c r="Z567">
        <f t="shared" si="162"/>
        <v>3175.94</v>
      </c>
      <c r="AA567">
        <f t="shared" si="163"/>
        <v>2347.88</v>
      </c>
      <c r="AB567">
        <f>--AND($E567=1,OR('Staff Weekly Trend'!$B$3="All",$DH567='Staff Weekly Trend'!$B$3),OR('Staff Weekly Trend'!$B$4="All",$D567='Staff Weekly Trend'!$B$4),OR('Staff Weekly Trend'!$B$5="All",$A567='Staff Weekly Trend'!$B$5))</f>
        <v>1</v>
      </c>
      <c r="AC567" t="str">
        <f t="shared" si="164"/>
        <v/>
      </c>
      <c r="AI567">
        <f t="shared" si="165"/>
        <v>31</v>
      </c>
      <c r="AJ567">
        <f t="shared" si="166"/>
        <v>33</v>
      </c>
      <c r="AK567">
        <f t="shared" si="167"/>
        <v>31</v>
      </c>
      <c r="AL567">
        <f t="shared" si="168"/>
        <v>18</v>
      </c>
      <c r="AM567">
        <f t="shared" si="169"/>
        <v>9</v>
      </c>
      <c r="DH567" t="str" cm="1">
        <f t="array" ref="DH567">IF($A567="","",_xlfn.LET(_xlpm.c,IFERROR(_xlfn.XLOOKUP($A567,TRIM('Sales and count'!$A$4:$A$300&amp;""),TRIM('Sales and count'!$B$4:$B$300&amp;"")),""),IF(OR(_xlpm.c="",_xlpm.c="0",LEFT(_xlpm.c,1)="#"),"Not set",_xlpm.c)))</f>
        <v>KSA</v>
      </c>
    </row>
    <row r="568" spans="1:112" x14ac:dyDescent="0.25">
      <c r="A568" t="str">
        <f>IF('Staff Daily sales'!$B553="","",TRIM('Staff Daily sales'!$B553&amp;""))</f>
        <v>HATHEGATE</v>
      </c>
      <c r="B568" t="str">
        <f>IF('Staff Daily sales'!$D553="","",TRIM('Staff Daily sales'!$D553&amp;""))</f>
        <v>7297-NAlharbi</v>
      </c>
      <c r="C568" t="str">
        <f>IFERROR(TRIM('Staff Daily sales'!$E553&amp;""),"")</f>
        <v>Madinah</v>
      </c>
      <c r="D568" t="str">
        <f>IFERROR(IF(TRIM('Staff Daily sales'!$F553&amp;"")="","Unassigned",TRIM('Staff Daily sales'!$F553&amp;"")),"Unassigned")</f>
        <v>Mohammed Haidar</v>
      </c>
      <c r="E568">
        <f t="shared" si="154"/>
        <v>1</v>
      </c>
      <c r="F568">
        <f>IF($E568=0,0,SUMPRODUCT($AI$5:$DF$5,'Staff Daily sales'!$G553:$CD553))</f>
        <v>210.98</v>
      </c>
      <c r="G568">
        <f>IF($E568=0,0,SUMPRODUCT($AI$6:$DF$6,'Staff Daily sales'!$G553:$CD553))</f>
        <v>1</v>
      </c>
      <c r="H568">
        <f t="shared" si="155"/>
        <v>385.98</v>
      </c>
      <c r="I568">
        <f t="shared" si="156"/>
        <v>2</v>
      </c>
      <c r="J568">
        <f t="shared" si="157"/>
        <v>55209.230000000018</v>
      </c>
      <c r="K568">
        <f t="shared" si="158"/>
        <v>272</v>
      </c>
      <c r="L568">
        <f>--AND($E568=1,OR('Staff Dashboard'!$B$6="All",$DH568='Staff Dashboard'!$B$6),OR('Staff Dashboard'!$B$7="All",$D568='Staff Dashboard'!$B$7),OR('Staff Dashboard'!$B$8="All",$A568='Staff Dashboard'!$B$8))</f>
        <v>0</v>
      </c>
      <c r="M568">
        <f>IF($E568=0,0,SUMPRODUCT($AI$7:$DF$7,'Staff Daily sales'!$G553:$CD553))</f>
        <v>2933.09</v>
      </c>
      <c r="N568">
        <f>IF($E568=0,0,SUMPRODUCT($AI$8:$DF$8,'Staff Daily sales'!$G553:$CD553))</f>
        <v>10</v>
      </c>
      <c r="O568">
        <f>IF($E568=0,0,SUMPRODUCT($AI$9:$DF$9,'Staff Daily sales'!$G553:$CD553))</f>
        <v>2526.06</v>
      </c>
      <c r="P568">
        <f>IF($E568=0,0,SUMPRODUCT($AI$10:$DF$10,'Staff Daily sales'!$G553:$CD553))</f>
        <v>11</v>
      </c>
      <c r="Q568">
        <f>IF($E568=0,0,SUMPRODUCT($AI$11:$DF$11,'Staff Daily sales'!$G553:$CD553))</f>
        <v>2567</v>
      </c>
      <c r="R568">
        <f>IF($E568=0,0,SUMPRODUCT($AI$12:$DF$12,'Staff Daily sales'!$G553:$CD553))</f>
        <v>13</v>
      </c>
      <c r="S568">
        <f>IF($E568=0,0,SUMPRODUCT($AI$13:$DF$13,'Staff Daily sales'!$G553:$CD553))</f>
        <v>730.98</v>
      </c>
      <c r="T568">
        <f>IF($E568=0,0,SUMPRODUCT($AI$14:$DF$14,'Staff Daily sales'!$G553:$CD553))</f>
        <v>5</v>
      </c>
      <c r="U568">
        <f>IF($E568=0,0,SUMPRODUCT($AI$15:$DF$15,'Staff Daily sales'!$G553:$CD553))</f>
        <v>1054.94</v>
      </c>
      <c r="V568">
        <f>IF($E568=0,0,SUMPRODUCT($AI$16:$DF$16,'Staff Daily sales'!$G553:$CD553))</f>
        <v>3</v>
      </c>
      <c r="W568">
        <f t="shared" si="159"/>
        <v>6000.2000000000007</v>
      </c>
      <c r="X568">
        <f t="shared" si="160"/>
        <v>6600.15</v>
      </c>
      <c r="Y568">
        <f t="shared" si="161"/>
        <v>6256</v>
      </c>
      <c r="Z568">
        <f t="shared" si="162"/>
        <v>3175.94</v>
      </c>
      <c r="AA568">
        <f t="shared" si="163"/>
        <v>2347.88</v>
      </c>
      <c r="AB568">
        <f>--AND($E568=1,OR('Staff Weekly Trend'!$B$3="All",$DH568='Staff Weekly Trend'!$B$3),OR('Staff Weekly Trend'!$B$4="All",$D568='Staff Weekly Trend'!$B$4),OR('Staff Weekly Trend'!$B$5="All",$A568='Staff Weekly Trend'!$B$5))</f>
        <v>1</v>
      </c>
      <c r="AC568">
        <f t="shared" si="164"/>
        <v>1</v>
      </c>
      <c r="AI568">
        <f t="shared" si="165"/>
        <v>31</v>
      </c>
      <c r="AJ568">
        <f t="shared" si="166"/>
        <v>33</v>
      </c>
      <c r="AK568">
        <f t="shared" si="167"/>
        <v>31</v>
      </c>
      <c r="AL568">
        <f t="shared" si="168"/>
        <v>18</v>
      </c>
      <c r="AM568">
        <f t="shared" si="169"/>
        <v>9</v>
      </c>
      <c r="DH568" t="str" cm="1">
        <f t="array" ref="DH568">IF($A568="","",_xlfn.LET(_xlpm.c,IFERROR(_xlfn.XLOOKUP($A568,TRIM('Sales and count'!$A$4:$A$300&amp;""),TRIM('Sales and count'!$B$4:$B$300&amp;"")),""),IF(OR(_xlpm.c="",_xlpm.c="0",LEFT(_xlpm.c,1)="#"),"Not set",_xlpm.c)))</f>
        <v>KSA</v>
      </c>
    </row>
    <row r="569" spans="1:112" x14ac:dyDescent="0.25">
      <c r="A569" t="str">
        <f>IF('Staff Daily sales'!$B554="","",TRIM('Staff Daily sales'!$B554&amp;""))</f>
        <v>HAMAKANMAL</v>
      </c>
      <c r="B569" t="str">
        <f>IF('Staff Daily sales'!$D554="","",TRIM('Staff Daily sales'!$D554&amp;""))</f>
        <v>2911-Faisal Alotabi</v>
      </c>
      <c r="C569" t="str">
        <f>IFERROR(TRIM('Staff Daily sales'!$E554&amp;""),"")</f>
        <v>Dawadami</v>
      </c>
      <c r="D569" t="str">
        <f>IFERROR(IF(TRIM('Staff Daily sales'!$F554&amp;"")="","Unassigned",TRIM('Staff Daily sales'!$F554&amp;"")),"Unassigned")</f>
        <v>Lina Al Ghathami</v>
      </c>
      <c r="E569">
        <f t="shared" si="154"/>
        <v>1</v>
      </c>
      <c r="F569">
        <f>IF($E569=0,0,SUMPRODUCT($AI$5:$DF$5,'Staff Daily sales'!$G554:$CD554))</f>
        <v>0</v>
      </c>
      <c r="G569">
        <f>IF($E569=0,0,SUMPRODUCT($AI$6:$DF$6,'Staff Daily sales'!$G554:$CD554))</f>
        <v>0</v>
      </c>
      <c r="H569">
        <f t="shared" si="155"/>
        <v>2937.8999999999996</v>
      </c>
      <c r="I569">
        <f t="shared" si="156"/>
        <v>20</v>
      </c>
      <c r="J569">
        <f t="shared" si="157"/>
        <v>62915.250000000007</v>
      </c>
      <c r="K569">
        <f t="shared" si="158"/>
        <v>385</v>
      </c>
      <c r="L569">
        <f>--AND($E569=1,OR('Staff Dashboard'!$B$6="All",$DH569='Staff Dashboard'!$B$6),OR('Staff Dashboard'!$B$7="All",$D569='Staff Dashboard'!$B$7),OR('Staff Dashboard'!$B$8="All",$A569='Staff Dashboard'!$B$8))</f>
        <v>0</v>
      </c>
      <c r="M569">
        <f>IF($E569=0,0,SUMPRODUCT($AI$7:$DF$7,'Staff Daily sales'!$G554:$CD554))</f>
        <v>0</v>
      </c>
      <c r="N569">
        <f>IF($E569=0,0,SUMPRODUCT($AI$8:$DF$8,'Staff Daily sales'!$G554:$CD554))</f>
        <v>0</v>
      </c>
      <c r="O569">
        <f>IF($E569=0,0,SUMPRODUCT($AI$9:$DF$9,'Staff Daily sales'!$G554:$CD554))</f>
        <v>0</v>
      </c>
      <c r="P569">
        <f>IF($E569=0,0,SUMPRODUCT($AI$10:$DF$10,'Staff Daily sales'!$G554:$CD554))</f>
        <v>0</v>
      </c>
      <c r="Q569">
        <f>IF($E569=0,0,SUMPRODUCT($AI$11:$DF$11,'Staff Daily sales'!$G554:$CD554))</f>
        <v>71</v>
      </c>
      <c r="R569">
        <f>IF($E569=0,0,SUMPRODUCT($AI$12:$DF$12,'Staff Daily sales'!$G554:$CD554))</f>
        <v>1</v>
      </c>
      <c r="S569">
        <f>IF($E569=0,0,SUMPRODUCT($AI$13:$DF$13,'Staff Daily sales'!$G554:$CD554))</f>
        <v>489</v>
      </c>
      <c r="T569">
        <f>IF($E569=0,0,SUMPRODUCT($AI$14:$DF$14,'Staff Daily sales'!$G554:$CD554))</f>
        <v>4</v>
      </c>
      <c r="U569">
        <f>IF($E569=0,0,SUMPRODUCT($AI$15:$DF$15,'Staff Daily sales'!$G554:$CD554))</f>
        <v>0</v>
      </c>
      <c r="V569">
        <f>IF($E569=0,0,SUMPRODUCT($AI$16:$DF$16,'Staff Daily sales'!$G554:$CD554))</f>
        <v>0</v>
      </c>
      <c r="W569">
        <f t="shared" si="159"/>
        <v>14371.330000000002</v>
      </c>
      <c r="X569">
        <f t="shared" si="160"/>
        <v>19338.310000000001</v>
      </c>
      <c r="Y569">
        <f t="shared" si="161"/>
        <v>14713.07</v>
      </c>
      <c r="Z569">
        <f t="shared" si="162"/>
        <v>17511.899999999998</v>
      </c>
      <c r="AA569">
        <f t="shared" si="163"/>
        <v>5234.0200000000004</v>
      </c>
      <c r="AB569">
        <f>--AND($E569=1,OR('Staff Weekly Trend'!$B$3="All",$DH569='Staff Weekly Trend'!$B$3),OR('Staff Weekly Trend'!$B$4="All",$D569='Staff Weekly Trend'!$B$4),OR('Staff Weekly Trend'!$B$5="All",$A569='Staff Weekly Trend'!$B$5))</f>
        <v>1</v>
      </c>
      <c r="AC569" t="str">
        <f t="shared" si="164"/>
        <v/>
      </c>
      <c r="AI569">
        <f t="shared" si="165"/>
        <v>112</v>
      </c>
      <c r="AJ569">
        <f t="shared" si="166"/>
        <v>163</v>
      </c>
      <c r="AK569">
        <f t="shared" si="167"/>
        <v>121</v>
      </c>
      <c r="AL569">
        <f t="shared" si="168"/>
        <v>112</v>
      </c>
      <c r="AM569">
        <f t="shared" si="169"/>
        <v>38</v>
      </c>
      <c r="DH569" t="str" cm="1">
        <f t="array" ref="DH569">IF($A569="","",_xlfn.LET(_xlpm.c,IFERROR(_xlfn.XLOOKUP($A569,TRIM('Sales and count'!$A$4:$A$300&amp;""),TRIM('Sales and count'!$B$4:$B$300&amp;"")),""),IF(OR(_xlpm.c="",_xlpm.c="0",LEFT(_xlpm.c,1)="#"),"Not set",_xlpm.c)))</f>
        <v>KSA</v>
      </c>
    </row>
    <row r="570" spans="1:112" x14ac:dyDescent="0.25">
      <c r="A570" t="str">
        <f>IF('Staff Daily sales'!$B555="","",TRIM('Staff Daily sales'!$B555&amp;""))</f>
        <v>HAMAKANMAL</v>
      </c>
      <c r="B570" t="str">
        <f>IF('Staff Daily sales'!$D555="","",TRIM('Staff Daily sales'!$D555&amp;""))</f>
        <v>7219-YAlotaibi</v>
      </c>
      <c r="C570" t="str">
        <f>IFERROR(TRIM('Staff Daily sales'!$E555&amp;""),"")</f>
        <v>Dawadami</v>
      </c>
      <c r="D570" t="str">
        <f>IFERROR(IF(TRIM('Staff Daily sales'!$F555&amp;"")="","Unassigned",TRIM('Staff Daily sales'!$F555&amp;"")),"Unassigned")</f>
        <v>Lina Al Ghathami</v>
      </c>
      <c r="E570">
        <f t="shared" si="154"/>
        <v>1</v>
      </c>
      <c r="F570">
        <f>IF($E570=0,0,SUMPRODUCT($AI$5:$DF$5,'Staff Daily sales'!$G555:$CD555))</f>
        <v>607.97</v>
      </c>
      <c r="G570">
        <f>IF($E570=0,0,SUMPRODUCT($AI$6:$DF$6,'Staff Daily sales'!$G555:$CD555))</f>
        <v>4</v>
      </c>
      <c r="H570">
        <f t="shared" si="155"/>
        <v>2937.8999999999996</v>
      </c>
      <c r="I570">
        <f t="shared" si="156"/>
        <v>20</v>
      </c>
      <c r="J570">
        <f t="shared" si="157"/>
        <v>62915.250000000007</v>
      </c>
      <c r="K570">
        <f t="shared" si="158"/>
        <v>385</v>
      </c>
      <c r="L570">
        <f>--AND($E570=1,OR('Staff Dashboard'!$B$6="All",$DH570='Staff Dashboard'!$B$6),OR('Staff Dashboard'!$B$7="All",$D570='Staff Dashboard'!$B$7),OR('Staff Dashboard'!$B$8="All",$A570='Staff Dashboard'!$B$8))</f>
        <v>0</v>
      </c>
      <c r="M570">
        <f>IF($E570=0,0,SUMPRODUCT($AI$7:$DF$7,'Staff Daily sales'!$G555:$CD555))</f>
        <v>2333.0500000000002</v>
      </c>
      <c r="N570">
        <f>IF($E570=0,0,SUMPRODUCT($AI$8:$DF$8,'Staff Daily sales'!$G555:$CD555))</f>
        <v>19</v>
      </c>
      <c r="O570">
        <f>IF($E570=0,0,SUMPRODUCT($AI$9:$DF$9,'Staff Daily sales'!$G555:$CD555))</f>
        <v>5908.09</v>
      </c>
      <c r="P570">
        <f>IF($E570=0,0,SUMPRODUCT($AI$10:$DF$10,'Staff Daily sales'!$G555:$CD555))</f>
        <v>45</v>
      </c>
      <c r="Q570">
        <f>IF($E570=0,0,SUMPRODUCT($AI$11:$DF$11,'Staff Daily sales'!$G555:$CD555))</f>
        <v>2776.01</v>
      </c>
      <c r="R570">
        <f>IF($E570=0,0,SUMPRODUCT($AI$12:$DF$12,'Staff Daily sales'!$G555:$CD555))</f>
        <v>23</v>
      </c>
      <c r="S570">
        <f>IF($E570=0,0,SUMPRODUCT($AI$13:$DF$13,'Staff Daily sales'!$G555:$CD555))</f>
        <v>3852.0299999999997</v>
      </c>
      <c r="T570">
        <f>IF($E570=0,0,SUMPRODUCT($AI$14:$DF$14,'Staff Daily sales'!$G555:$CD555))</f>
        <v>26</v>
      </c>
      <c r="U570">
        <f>IF($E570=0,0,SUMPRODUCT($AI$15:$DF$15,'Staff Daily sales'!$G555:$CD555))</f>
        <v>1093.0700000000002</v>
      </c>
      <c r="V570">
        <f>IF($E570=0,0,SUMPRODUCT($AI$16:$DF$16,'Staff Daily sales'!$G555:$CD555))</f>
        <v>9</v>
      </c>
      <c r="W570">
        <f t="shared" si="159"/>
        <v>14371.330000000002</v>
      </c>
      <c r="X570">
        <f t="shared" si="160"/>
        <v>19338.310000000001</v>
      </c>
      <c r="Y570">
        <f t="shared" si="161"/>
        <v>14713.07</v>
      </c>
      <c r="Z570">
        <f t="shared" si="162"/>
        <v>17511.899999999998</v>
      </c>
      <c r="AA570">
        <f t="shared" si="163"/>
        <v>5234.0200000000004</v>
      </c>
      <c r="AB570">
        <f>--AND($E570=1,OR('Staff Weekly Trend'!$B$3="All",$DH570='Staff Weekly Trend'!$B$3),OR('Staff Weekly Trend'!$B$4="All",$D570='Staff Weekly Trend'!$B$4),OR('Staff Weekly Trend'!$B$5="All",$A570='Staff Weekly Trend'!$B$5))</f>
        <v>1</v>
      </c>
      <c r="AC570">
        <f t="shared" si="164"/>
        <v>2</v>
      </c>
      <c r="AI570">
        <f t="shared" si="165"/>
        <v>112</v>
      </c>
      <c r="AJ570">
        <f t="shared" si="166"/>
        <v>163</v>
      </c>
      <c r="AK570">
        <f t="shared" si="167"/>
        <v>121</v>
      </c>
      <c r="AL570">
        <f t="shared" si="168"/>
        <v>112</v>
      </c>
      <c r="AM570">
        <f t="shared" si="169"/>
        <v>38</v>
      </c>
      <c r="DH570" t="str" cm="1">
        <f t="array" ref="DH570">IF($A570="","",_xlfn.LET(_xlpm.c,IFERROR(_xlfn.XLOOKUP($A570,TRIM('Sales and count'!$A$4:$A$300&amp;""),TRIM('Sales and count'!$B$4:$B$300&amp;"")),""),IF(OR(_xlpm.c="",_xlpm.c="0",LEFT(_xlpm.c,1)="#"),"Not set",_xlpm.c)))</f>
        <v>KSA</v>
      </c>
    </row>
    <row r="571" spans="1:112" x14ac:dyDescent="0.25">
      <c r="A571" t="str">
        <f>IF('Staff Daily sales'!$B556="","",TRIM('Staff Daily sales'!$B556&amp;""))</f>
        <v>HAMAKANMAL</v>
      </c>
      <c r="B571" t="str">
        <f>IF('Staff Daily sales'!$D556="","",TRIM('Staff Daily sales'!$D556&amp;""))</f>
        <v>7220-MAlotaibi</v>
      </c>
      <c r="C571" t="str">
        <f>IFERROR(TRIM('Staff Daily sales'!$E556&amp;""),"")</f>
        <v>Dawadami</v>
      </c>
      <c r="D571" t="str">
        <f>IFERROR(IF(TRIM('Staff Daily sales'!$F556&amp;"")="","Unassigned",TRIM('Staff Daily sales'!$F556&amp;"")),"Unassigned")</f>
        <v>Lina Al Ghathami</v>
      </c>
      <c r="E571">
        <f t="shared" si="154"/>
        <v>1</v>
      </c>
      <c r="F571">
        <f>IF($E571=0,0,SUMPRODUCT($AI$5:$DF$5,'Staff Daily sales'!$G556:$CD556))</f>
        <v>2329.9299999999998</v>
      </c>
      <c r="G571">
        <f>IF($E571=0,0,SUMPRODUCT($AI$6:$DF$6,'Staff Daily sales'!$G556:$CD556))</f>
        <v>16</v>
      </c>
      <c r="H571">
        <f t="shared" si="155"/>
        <v>2937.8999999999996</v>
      </c>
      <c r="I571">
        <f t="shared" si="156"/>
        <v>20</v>
      </c>
      <c r="J571">
        <f t="shared" si="157"/>
        <v>62915.250000000007</v>
      </c>
      <c r="K571">
        <f t="shared" si="158"/>
        <v>385</v>
      </c>
      <c r="L571">
        <f>--AND($E571=1,OR('Staff Dashboard'!$B$6="All",$DH571='Staff Dashboard'!$B$6),OR('Staff Dashboard'!$B$7="All",$D571='Staff Dashboard'!$B$7),OR('Staff Dashboard'!$B$8="All",$A571='Staff Dashboard'!$B$8))</f>
        <v>0</v>
      </c>
      <c r="M571">
        <f>IF($E571=0,0,SUMPRODUCT($AI$7:$DF$7,'Staff Daily sales'!$G556:$CD556))</f>
        <v>12038.28</v>
      </c>
      <c r="N571">
        <f>IF($E571=0,0,SUMPRODUCT($AI$8:$DF$8,'Staff Daily sales'!$G556:$CD556))</f>
        <v>93</v>
      </c>
      <c r="O571">
        <f>IF($E571=0,0,SUMPRODUCT($AI$9:$DF$9,'Staff Daily sales'!$G556:$CD556))</f>
        <v>13430.220000000001</v>
      </c>
      <c r="P571">
        <f>IF($E571=0,0,SUMPRODUCT($AI$10:$DF$10,'Staff Daily sales'!$G556:$CD556))</f>
        <v>118</v>
      </c>
      <c r="Q571">
        <f>IF($E571=0,0,SUMPRODUCT($AI$11:$DF$11,'Staff Daily sales'!$G556:$CD556))</f>
        <v>11866.06</v>
      </c>
      <c r="R571">
        <f>IF($E571=0,0,SUMPRODUCT($AI$12:$DF$12,'Staff Daily sales'!$G556:$CD556))</f>
        <v>97</v>
      </c>
      <c r="S571">
        <f>IF($E571=0,0,SUMPRODUCT($AI$13:$DF$13,'Staff Daily sales'!$G556:$CD556))</f>
        <v>13170.869999999999</v>
      </c>
      <c r="T571">
        <f>IF($E571=0,0,SUMPRODUCT($AI$14:$DF$14,'Staff Daily sales'!$G556:$CD556))</f>
        <v>82</v>
      </c>
      <c r="U571">
        <f>IF($E571=0,0,SUMPRODUCT($AI$15:$DF$15,'Staff Daily sales'!$G556:$CD556))</f>
        <v>4140.95</v>
      </c>
      <c r="V571">
        <f>IF($E571=0,0,SUMPRODUCT($AI$16:$DF$16,'Staff Daily sales'!$G556:$CD556))</f>
        <v>29</v>
      </c>
      <c r="W571">
        <f t="shared" si="159"/>
        <v>14371.330000000002</v>
      </c>
      <c r="X571">
        <f t="shared" si="160"/>
        <v>19338.310000000001</v>
      </c>
      <c r="Y571">
        <f t="shared" si="161"/>
        <v>14713.07</v>
      </c>
      <c r="Z571">
        <f t="shared" si="162"/>
        <v>17511.899999999998</v>
      </c>
      <c r="AA571">
        <f t="shared" si="163"/>
        <v>5234.0200000000004</v>
      </c>
      <c r="AB571">
        <f>--AND($E571=1,OR('Staff Weekly Trend'!$B$3="All",$DH571='Staff Weekly Trend'!$B$3),OR('Staff Weekly Trend'!$B$4="All",$D571='Staff Weekly Trend'!$B$4),OR('Staff Weekly Trend'!$B$5="All",$A571='Staff Weekly Trend'!$B$5))</f>
        <v>1</v>
      </c>
      <c r="AC571">
        <f t="shared" si="164"/>
        <v>1</v>
      </c>
      <c r="AI571">
        <f t="shared" si="165"/>
        <v>112</v>
      </c>
      <c r="AJ571">
        <f t="shared" si="166"/>
        <v>163</v>
      </c>
      <c r="AK571">
        <f t="shared" si="167"/>
        <v>121</v>
      </c>
      <c r="AL571">
        <f t="shared" si="168"/>
        <v>112</v>
      </c>
      <c r="AM571">
        <f t="shared" si="169"/>
        <v>38</v>
      </c>
      <c r="DH571" t="str" cm="1">
        <f t="array" ref="DH571">IF($A571="","",_xlfn.LET(_xlpm.c,IFERROR(_xlfn.XLOOKUP($A571,TRIM('Sales and count'!$A$4:$A$300&amp;""),TRIM('Sales and count'!$B$4:$B$300&amp;"")),""),IF(OR(_xlpm.c="",_xlpm.c="0",LEFT(_xlpm.c,1)="#"),"Not set",_xlpm.c)))</f>
        <v>KSA</v>
      </c>
    </row>
    <row r="572" spans="1:112" x14ac:dyDescent="0.25">
      <c r="A572" t="str">
        <f>IF('Staff Daily sales'!$B557="","",TRIM('Staff Daily sales'!$B557&amp;""))</f>
        <v>HASOUQBRZ</v>
      </c>
      <c r="B572" t="str">
        <f>IF('Staff Daily sales'!$D557="","",TRIM('Staff Daily sales'!$D557&amp;""))</f>
        <v>4822-SAlanazi</v>
      </c>
      <c r="C572" t="str">
        <f>IFERROR(TRIM('Staff Daily sales'!$E557&amp;""),"")</f>
        <v>Hail</v>
      </c>
      <c r="D572" t="str">
        <f>IFERROR(IF(TRIM('Staff Daily sales'!$F557&amp;"")="","Unassigned",TRIM('Staff Daily sales'!$F557&amp;"")),"Unassigned")</f>
        <v>Mohammed Sanad</v>
      </c>
      <c r="E572">
        <f t="shared" si="154"/>
        <v>1</v>
      </c>
      <c r="F572">
        <f>IF($E572=0,0,SUMPRODUCT($AI$5:$DF$5,'Staff Daily sales'!$G557:$CD557))</f>
        <v>610</v>
      </c>
      <c r="G572">
        <f>IF($E572=0,0,SUMPRODUCT($AI$6:$DF$6,'Staff Daily sales'!$G557:$CD557))</f>
        <v>4</v>
      </c>
      <c r="H572">
        <f t="shared" si="155"/>
        <v>1817.98</v>
      </c>
      <c r="I572">
        <f t="shared" si="156"/>
        <v>9</v>
      </c>
      <c r="J572">
        <f t="shared" si="157"/>
        <v>64682.640000000014</v>
      </c>
      <c r="K572">
        <f t="shared" si="158"/>
        <v>326</v>
      </c>
      <c r="L572">
        <f>--AND($E572=1,OR('Staff Dashboard'!$B$6="All",$DH572='Staff Dashboard'!$B$6),OR('Staff Dashboard'!$B$7="All",$D572='Staff Dashboard'!$B$7),OR('Staff Dashboard'!$B$8="All",$A572='Staff Dashboard'!$B$8))</f>
        <v>0</v>
      </c>
      <c r="M572">
        <f>IF($E572=0,0,SUMPRODUCT($AI$7:$DF$7,'Staff Daily sales'!$G557:$CD557))</f>
        <v>3149.04</v>
      </c>
      <c r="N572">
        <f>IF($E572=0,0,SUMPRODUCT($AI$8:$DF$8,'Staff Daily sales'!$G557:$CD557))</f>
        <v>25</v>
      </c>
      <c r="O572">
        <f>IF($E572=0,0,SUMPRODUCT($AI$9:$DF$9,'Staff Daily sales'!$G557:$CD557))</f>
        <v>1862.06</v>
      </c>
      <c r="P572">
        <f>IF($E572=0,0,SUMPRODUCT($AI$10:$DF$10,'Staff Daily sales'!$G557:$CD557))</f>
        <v>15</v>
      </c>
      <c r="Q572">
        <f>IF($E572=0,0,SUMPRODUCT($AI$11:$DF$11,'Staff Daily sales'!$G557:$CD557))</f>
        <v>5688.0400000000009</v>
      </c>
      <c r="R572">
        <f>IF($E572=0,0,SUMPRODUCT($AI$12:$DF$12,'Staff Daily sales'!$G557:$CD557))</f>
        <v>30</v>
      </c>
      <c r="S572">
        <f>IF($E572=0,0,SUMPRODUCT($AI$13:$DF$13,'Staff Daily sales'!$G557:$CD557))</f>
        <v>3466.95</v>
      </c>
      <c r="T572">
        <f>IF($E572=0,0,SUMPRODUCT($AI$14:$DF$14,'Staff Daily sales'!$G557:$CD557))</f>
        <v>20</v>
      </c>
      <c r="U572">
        <f>IF($E572=0,0,SUMPRODUCT($AI$15:$DF$15,'Staff Daily sales'!$G557:$CD557))</f>
        <v>712.04</v>
      </c>
      <c r="V572">
        <f>IF($E572=0,0,SUMPRODUCT($AI$16:$DF$16,'Staff Daily sales'!$G557:$CD557))</f>
        <v>2</v>
      </c>
      <c r="W572">
        <f t="shared" si="159"/>
        <v>11368.21</v>
      </c>
      <c r="X572">
        <f t="shared" si="160"/>
        <v>14133.22</v>
      </c>
      <c r="Y572">
        <f t="shared" si="161"/>
        <v>13661.150000000001</v>
      </c>
      <c r="Z572">
        <f t="shared" si="162"/>
        <v>10484.91</v>
      </c>
      <c r="AA572">
        <f t="shared" si="163"/>
        <v>2646.08</v>
      </c>
      <c r="AB572">
        <f>--AND($E572=1,OR('Staff Weekly Trend'!$B$3="All",$DH572='Staff Weekly Trend'!$B$3),OR('Staff Weekly Trend'!$B$4="All",$D572='Staff Weekly Trend'!$B$4),OR('Staff Weekly Trend'!$B$5="All",$A572='Staff Weekly Trend'!$B$5))</f>
        <v>1</v>
      </c>
      <c r="AC572">
        <f t="shared" si="164"/>
        <v>2</v>
      </c>
      <c r="AI572">
        <f t="shared" si="165"/>
        <v>75</v>
      </c>
      <c r="AJ572">
        <f t="shared" si="166"/>
        <v>85</v>
      </c>
      <c r="AK572">
        <f t="shared" si="167"/>
        <v>76</v>
      </c>
      <c r="AL572">
        <f t="shared" si="168"/>
        <v>55</v>
      </c>
      <c r="AM572">
        <f t="shared" si="169"/>
        <v>12</v>
      </c>
      <c r="DH572" t="str" cm="1">
        <f t="array" ref="DH572">IF($A572="","",_xlfn.LET(_xlpm.c,IFERROR(_xlfn.XLOOKUP($A572,TRIM('Sales and count'!$A$4:$A$300&amp;""),TRIM('Sales and count'!$B$4:$B$300&amp;"")),""),IF(OR(_xlpm.c="",_xlpm.c="0",LEFT(_xlpm.c,1)="#"),"Not set",_xlpm.c)))</f>
        <v>KSA</v>
      </c>
    </row>
    <row r="573" spans="1:112" x14ac:dyDescent="0.25">
      <c r="A573" t="str">
        <f>IF('Staff Daily sales'!$B558="","",TRIM('Staff Daily sales'!$B558&amp;""))</f>
        <v>HASOUQBRZ</v>
      </c>
      <c r="B573" t="str">
        <f>IF('Staff Daily sales'!$D558="","",TRIM('Staff Daily sales'!$D558&amp;""))</f>
        <v>6948-HAlanazi</v>
      </c>
      <c r="C573" t="str">
        <f>IFERROR(TRIM('Staff Daily sales'!$E558&amp;""),"")</f>
        <v>Hail</v>
      </c>
      <c r="D573" t="str">
        <f>IFERROR(IF(TRIM('Staff Daily sales'!$F558&amp;"")="","Unassigned",TRIM('Staff Daily sales'!$F558&amp;"")),"Unassigned")</f>
        <v>Mohammed Sanad</v>
      </c>
      <c r="E573">
        <f t="shared" si="154"/>
        <v>1</v>
      </c>
      <c r="F573">
        <f>IF($E573=0,0,SUMPRODUCT($AI$5:$DF$5,'Staff Daily sales'!$G558:$CD558))</f>
        <v>0</v>
      </c>
      <c r="G573">
        <f>IF($E573=0,0,SUMPRODUCT($AI$6:$DF$6,'Staff Daily sales'!$G558:$CD558))</f>
        <v>0</v>
      </c>
      <c r="H573">
        <f t="shared" si="155"/>
        <v>1817.98</v>
      </c>
      <c r="I573">
        <f t="shared" si="156"/>
        <v>9</v>
      </c>
      <c r="J573">
        <f t="shared" si="157"/>
        <v>64682.640000000014</v>
      </c>
      <c r="K573">
        <f t="shared" si="158"/>
        <v>326</v>
      </c>
      <c r="L573">
        <f>--AND($E573=1,OR('Staff Dashboard'!$B$6="All",$DH573='Staff Dashboard'!$B$6),OR('Staff Dashboard'!$B$7="All",$D573='Staff Dashboard'!$B$7),OR('Staff Dashboard'!$B$8="All",$A573='Staff Dashboard'!$B$8))</f>
        <v>0</v>
      </c>
      <c r="M573">
        <f>IF($E573=0,0,SUMPRODUCT($AI$7:$DF$7,'Staff Daily sales'!$G558:$CD558))</f>
        <v>5174.1000000000004</v>
      </c>
      <c r="N573">
        <f>IF($E573=0,0,SUMPRODUCT($AI$8:$DF$8,'Staff Daily sales'!$G558:$CD558))</f>
        <v>33</v>
      </c>
      <c r="O573">
        <f>IF($E573=0,0,SUMPRODUCT($AI$9:$DF$9,'Staff Daily sales'!$G558:$CD558))</f>
        <v>2921.0299999999997</v>
      </c>
      <c r="P573">
        <f>IF($E573=0,0,SUMPRODUCT($AI$10:$DF$10,'Staff Daily sales'!$G558:$CD558))</f>
        <v>20</v>
      </c>
      <c r="Q573">
        <f>IF($E573=0,0,SUMPRODUCT($AI$11:$DF$11,'Staff Daily sales'!$G558:$CD558))</f>
        <v>2110.04</v>
      </c>
      <c r="R573">
        <f>IF($E573=0,0,SUMPRODUCT($AI$12:$DF$12,'Staff Daily sales'!$G558:$CD558))</f>
        <v>14</v>
      </c>
      <c r="S573">
        <f>IF($E573=0,0,SUMPRODUCT($AI$13:$DF$13,'Staff Daily sales'!$G558:$CD558))</f>
        <v>0</v>
      </c>
      <c r="T573">
        <f>IF($E573=0,0,SUMPRODUCT($AI$14:$DF$14,'Staff Daily sales'!$G558:$CD558))</f>
        <v>0</v>
      </c>
      <c r="U573">
        <f>IF($E573=0,0,SUMPRODUCT($AI$15:$DF$15,'Staff Daily sales'!$G558:$CD558))</f>
        <v>0</v>
      </c>
      <c r="V573">
        <f>IF($E573=0,0,SUMPRODUCT($AI$16:$DF$16,'Staff Daily sales'!$G558:$CD558))</f>
        <v>0</v>
      </c>
      <c r="W573">
        <f t="shared" si="159"/>
        <v>11368.21</v>
      </c>
      <c r="X573">
        <f t="shared" si="160"/>
        <v>14133.22</v>
      </c>
      <c r="Y573">
        <f t="shared" si="161"/>
        <v>13661.150000000001</v>
      </c>
      <c r="Z573">
        <f t="shared" si="162"/>
        <v>10484.91</v>
      </c>
      <c r="AA573">
        <f t="shared" si="163"/>
        <v>2646.08</v>
      </c>
      <c r="AB573">
        <f>--AND($E573=1,OR('Staff Weekly Trend'!$B$3="All",$DH573='Staff Weekly Trend'!$B$3),OR('Staff Weekly Trend'!$B$4="All",$D573='Staff Weekly Trend'!$B$4),OR('Staff Weekly Trend'!$B$5="All",$A573='Staff Weekly Trend'!$B$5))</f>
        <v>1</v>
      </c>
      <c r="AC573" t="str">
        <f t="shared" si="164"/>
        <v/>
      </c>
      <c r="AI573">
        <f t="shared" si="165"/>
        <v>75</v>
      </c>
      <c r="AJ573">
        <f t="shared" si="166"/>
        <v>85</v>
      </c>
      <c r="AK573">
        <f t="shared" si="167"/>
        <v>76</v>
      </c>
      <c r="AL573">
        <f t="shared" si="168"/>
        <v>55</v>
      </c>
      <c r="AM573">
        <f t="shared" si="169"/>
        <v>12</v>
      </c>
      <c r="DH573" t="str" cm="1">
        <f t="array" ref="DH573">IF($A573="","",_xlfn.LET(_xlpm.c,IFERROR(_xlfn.XLOOKUP($A573,TRIM('Sales and count'!$A$4:$A$300&amp;""),TRIM('Sales and count'!$B$4:$B$300&amp;"")),""),IF(OR(_xlpm.c="",_xlpm.c="0",LEFT(_xlpm.c,1)="#"),"Not set",_xlpm.c)))</f>
        <v>KSA</v>
      </c>
    </row>
    <row r="574" spans="1:112" x14ac:dyDescent="0.25">
      <c r="A574" t="str">
        <f>IF('Staff Daily sales'!$B559="","",TRIM('Staff Daily sales'!$B559&amp;""))</f>
        <v>HASOUQBRZ</v>
      </c>
      <c r="B574" t="str">
        <f>IF('Staff Daily sales'!$D559="","",TRIM('Staff Daily sales'!$D559&amp;""))</f>
        <v>6949-HAlharbi</v>
      </c>
      <c r="C574" t="str">
        <f>IFERROR(TRIM('Staff Daily sales'!$E559&amp;""),"")</f>
        <v>Hail</v>
      </c>
      <c r="D574" t="str">
        <f>IFERROR(IF(TRIM('Staff Daily sales'!$F559&amp;"")="","Unassigned",TRIM('Staff Daily sales'!$F559&amp;"")),"Unassigned")</f>
        <v>Mohammed Sanad</v>
      </c>
      <c r="E574">
        <f t="shared" si="154"/>
        <v>1</v>
      </c>
      <c r="F574">
        <f>IF($E574=0,0,SUMPRODUCT($AI$5:$DF$5,'Staff Daily sales'!$G559:$CD559))</f>
        <v>772</v>
      </c>
      <c r="G574">
        <f>IF($E574=0,0,SUMPRODUCT($AI$6:$DF$6,'Staff Daily sales'!$G559:$CD559))</f>
        <v>3</v>
      </c>
      <c r="H574">
        <f t="shared" si="155"/>
        <v>1817.98</v>
      </c>
      <c r="I574">
        <f t="shared" si="156"/>
        <v>9</v>
      </c>
      <c r="J574">
        <f t="shared" si="157"/>
        <v>64682.640000000014</v>
      </c>
      <c r="K574">
        <f t="shared" si="158"/>
        <v>326</v>
      </c>
      <c r="L574">
        <f>--AND($E574=1,OR('Staff Dashboard'!$B$6="All",$DH574='Staff Dashboard'!$B$6),OR('Staff Dashboard'!$B$7="All",$D574='Staff Dashboard'!$B$7),OR('Staff Dashboard'!$B$8="All",$A574='Staff Dashboard'!$B$8))</f>
        <v>0</v>
      </c>
      <c r="M574">
        <f>IF($E574=0,0,SUMPRODUCT($AI$7:$DF$7,'Staff Daily sales'!$G559:$CD559))</f>
        <v>342.02</v>
      </c>
      <c r="N574">
        <f>IF($E574=0,0,SUMPRODUCT($AI$8:$DF$8,'Staff Daily sales'!$G559:$CD559))</f>
        <v>3</v>
      </c>
      <c r="O574">
        <f>IF($E574=0,0,SUMPRODUCT($AI$9:$DF$9,'Staff Daily sales'!$G559:$CD559))</f>
        <v>6267.08</v>
      </c>
      <c r="P574">
        <f>IF($E574=0,0,SUMPRODUCT($AI$10:$DF$10,'Staff Daily sales'!$G559:$CD559))</f>
        <v>31</v>
      </c>
      <c r="Q574">
        <f>IF($E574=0,0,SUMPRODUCT($AI$11:$DF$11,'Staff Daily sales'!$G559:$CD559))</f>
        <v>1749.99</v>
      </c>
      <c r="R574">
        <f>IF($E574=0,0,SUMPRODUCT($AI$12:$DF$12,'Staff Daily sales'!$G559:$CD559))</f>
        <v>11</v>
      </c>
      <c r="S574">
        <f>IF($E574=0,0,SUMPRODUCT($AI$13:$DF$13,'Staff Daily sales'!$G559:$CD559))</f>
        <v>2371.02</v>
      </c>
      <c r="T574">
        <f>IF($E574=0,0,SUMPRODUCT($AI$14:$DF$14,'Staff Daily sales'!$G559:$CD559))</f>
        <v>11</v>
      </c>
      <c r="U574">
        <f>IF($E574=0,0,SUMPRODUCT($AI$15:$DF$15,'Staff Daily sales'!$G559:$CD559))</f>
        <v>1151.05</v>
      </c>
      <c r="V574">
        <f>IF($E574=0,0,SUMPRODUCT($AI$16:$DF$16,'Staff Daily sales'!$G559:$CD559))</f>
        <v>7</v>
      </c>
      <c r="W574">
        <f t="shared" si="159"/>
        <v>11368.21</v>
      </c>
      <c r="X574">
        <f t="shared" si="160"/>
        <v>14133.22</v>
      </c>
      <c r="Y574">
        <f t="shared" si="161"/>
        <v>13661.150000000001</v>
      </c>
      <c r="Z574">
        <f t="shared" si="162"/>
        <v>10484.91</v>
      </c>
      <c r="AA574">
        <f t="shared" si="163"/>
        <v>2646.08</v>
      </c>
      <c r="AB574">
        <f>--AND($E574=1,OR('Staff Weekly Trend'!$B$3="All",$DH574='Staff Weekly Trend'!$B$3),OR('Staff Weekly Trend'!$B$4="All",$D574='Staff Weekly Trend'!$B$4),OR('Staff Weekly Trend'!$B$5="All",$A574='Staff Weekly Trend'!$B$5))</f>
        <v>1</v>
      </c>
      <c r="AC574">
        <f t="shared" si="164"/>
        <v>1</v>
      </c>
      <c r="AI574">
        <f t="shared" si="165"/>
        <v>75</v>
      </c>
      <c r="AJ574">
        <f t="shared" si="166"/>
        <v>85</v>
      </c>
      <c r="AK574">
        <f t="shared" si="167"/>
        <v>76</v>
      </c>
      <c r="AL574">
        <f t="shared" si="168"/>
        <v>55</v>
      </c>
      <c r="AM574">
        <f t="shared" si="169"/>
        <v>12</v>
      </c>
      <c r="DH574" t="str" cm="1">
        <f t="array" ref="DH574">IF($A574="","",_xlfn.LET(_xlpm.c,IFERROR(_xlfn.XLOOKUP($A574,TRIM('Sales and count'!$A$4:$A$300&amp;""),TRIM('Sales and count'!$B$4:$B$300&amp;"")),""),IF(OR(_xlpm.c="",_xlpm.c="0",LEFT(_xlpm.c,1)="#"),"Not set",_xlpm.c)))</f>
        <v>KSA</v>
      </c>
    </row>
    <row r="575" spans="1:112" x14ac:dyDescent="0.25">
      <c r="A575" t="str">
        <f>IF('Staff Daily sales'!$B560="","",TRIM('Staff Daily sales'!$B560&amp;""))</f>
        <v>HASOUQBRZ</v>
      </c>
      <c r="B575" t="str">
        <f>IF('Staff Daily sales'!$D560="","",TRIM('Staff Daily sales'!$D560&amp;""))</f>
        <v>6950-NAlrashdi</v>
      </c>
      <c r="C575" t="str">
        <f>IFERROR(TRIM('Staff Daily sales'!$E560&amp;""),"")</f>
        <v>Hail</v>
      </c>
      <c r="D575" t="str">
        <f>IFERROR(IF(TRIM('Staff Daily sales'!$F560&amp;"")="","Unassigned",TRIM('Staff Daily sales'!$F560&amp;"")),"Unassigned")</f>
        <v>Mohammed Sanad</v>
      </c>
      <c r="E575">
        <f t="shared" si="154"/>
        <v>1</v>
      </c>
      <c r="F575">
        <f>IF($E575=0,0,SUMPRODUCT($AI$5:$DF$5,'Staff Daily sales'!$G560:$CD560))</f>
        <v>435.98</v>
      </c>
      <c r="G575">
        <f>IF($E575=0,0,SUMPRODUCT($AI$6:$DF$6,'Staff Daily sales'!$G560:$CD560))</f>
        <v>2</v>
      </c>
      <c r="H575">
        <f t="shared" si="155"/>
        <v>1817.98</v>
      </c>
      <c r="I575">
        <f t="shared" si="156"/>
        <v>9</v>
      </c>
      <c r="J575">
        <f t="shared" si="157"/>
        <v>64682.640000000014</v>
      </c>
      <c r="K575">
        <f t="shared" si="158"/>
        <v>326</v>
      </c>
      <c r="L575">
        <f>--AND($E575=1,OR('Staff Dashboard'!$B$6="All",$DH575='Staff Dashboard'!$B$6),OR('Staff Dashboard'!$B$7="All",$D575='Staff Dashboard'!$B$7),OR('Staff Dashboard'!$B$8="All",$A575='Staff Dashboard'!$B$8))</f>
        <v>0</v>
      </c>
      <c r="M575">
        <f>IF($E575=0,0,SUMPRODUCT($AI$7:$DF$7,'Staff Daily sales'!$G560:$CD560))</f>
        <v>2703.05</v>
      </c>
      <c r="N575">
        <f>IF($E575=0,0,SUMPRODUCT($AI$8:$DF$8,'Staff Daily sales'!$G560:$CD560))</f>
        <v>14</v>
      </c>
      <c r="O575">
        <f>IF($E575=0,0,SUMPRODUCT($AI$9:$DF$9,'Staff Daily sales'!$G560:$CD560))</f>
        <v>3083.0499999999997</v>
      </c>
      <c r="P575">
        <f>IF($E575=0,0,SUMPRODUCT($AI$10:$DF$10,'Staff Daily sales'!$G560:$CD560))</f>
        <v>19</v>
      </c>
      <c r="Q575">
        <f>IF($E575=0,0,SUMPRODUCT($AI$11:$DF$11,'Staff Daily sales'!$G560:$CD560))</f>
        <v>4113.08</v>
      </c>
      <c r="R575">
        <f>IF($E575=0,0,SUMPRODUCT($AI$12:$DF$12,'Staff Daily sales'!$G560:$CD560))</f>
        <v>21</v>
      </c>
      <c r="S575">
        <f>IF($E575=0,0,SUMPRODUCT($AI$13:$DF$13,'Staff Daily sales'!$G560:$CD560))</f>
        <v>4646.9400000000005</v>
      </c>
      <c r="T575">
        <f>IF($E575=0,0,SUMPRODUCT($AI$14:$DF$14,'Staff Daily sales'!$G560:$CD560))</f>
        <v>24</v>
      </c>
      <c r="U575">
        <f>IF($E575=0,0,SUMPRODUCT($AI$15:$DF$15,'Staff Daily sales'!$G560:$CD560))</f>
        <v>782.99</v>
      </c>
      <c r="V575">
        <f>IF($E575=0,0,SUMPRODUCT($AI$16:$DF$16,'Staff Daily sales'!$G560:$CD560))</f>
        <v>3</v>
      </c>
      <c r="W575">
        <f t="shared" si="159"/>
        <v>11368.21</v>
      </c>
      <c r="X575">
        <f t="shared" si="160"/>
        <v>14133.22</v>
      </c>
      <c r="Y575">
        <f t="shared" si="161"/>
        <v>13661.150000000001</v>
      </c>
      <c r="Z575">
        <f t="shared" si="162"/>
        <v>10484.91</v>
      </c>
      <c r="AA575">
        <f t="shared" si="163"/>
        <v>2646.08</v>
      </c>
      <c r="AB575">
        <f>--AND($E575=1,OR('Staff Weekly Trend'!$B$3="All",$DH575='Staff Weekly Trend'!$B$3),OR('Staff Weekly Trend'!$B$4="All",$D575='Staff Weekly Trend'!$B$4),OR('Staff Weekly Trend'!$B$5="All",$A575='Staff Weekly Trend'!$B$5))</f>
        <v>1</v>
      </c>
      <c r="AC575">
        <f t="shared" si="164"/>
        <v>3</v>
      </c>
      <c r="AI575">
        <f t="shared" si="165"/>
        <v>75</v>
      </c>
      <c r="AJ575">
        <f t="shared" si="166"/>
        <v>85</v>
      </c>
      <c r="AK575">
        <f t="shared" si="167"/>
        <v>76</v>
      </c>
      <c r="AL575">
        <f t="shared" si="168"/>
        <v>55</v>
      </c>
      <c r="AM575">
        <f t="shared" si="169"/>
        <v>12</v>
      </c>
      <c r="DH575" t="str" cm="1">
        <f t="array" ref="DH575">IF($A575="","",_xlfn.LET(_xlpm.c,IFERROR(_xlfn.XLOOKUP($A575,TRIM('Sales and count'!$A$4:$A$300&amp;""),TRIM('Sales and count'!$B$4:$B$300&amp;"")),""),IF(OR(_xlpm.c="",_xlpm.c="0",LEFT(_xlpm.c,1)="#"),"Not set",_xlpm.c)))</f>
        <v>KSA</v>
      </c>
    </row>
    <row r="576" spans="1:112" x14ac:dyDescent="0.25">
      <c r="A576" t="str">
        <f>IF('Staff Daily sales'!$B561="","",TRIM('Staff Daily sales'!$B561&amp;""))</f>
        <v>HAJEDSULTN</v>
      </c>
      <c r="B576" t="str">
        <f>IF('Staff Daily sales'!$D561="","",TRIM('Staff Daily sales'!$D561&amp;""))</f>
        <v>2867-Saud Alghamdi</v>
      </c>
      <c r="C576" t="str">
        <f>IFERROR(TRIM('Staff Daily sales'!$E561&amp;""),"")</f>
        <v>Jeddah</v>
      </c>
      <c r="D576" t="str">
        <f>IFERROR(IF(TRIM('Staff Daily sales'!$F561&amp;"")="","Unassigned",TRIM('Staff Daily sales'!$F561&amp;"")),"Unassigned")</f>
        <v>Saleh Bin Hoiel</v>
      </c>
      <c r="E576">
        <f t="shared" si="154"/>
        <v>1</v>
      </c>
      <c r="F576">
        <f>IF($E576=0,0,SUMPRODUCT($AI$5:$DF$5,'Staff Daily sales'!$G561:$CD561))</f>
        <v>0</v>
      </c>
      <c r="G576">
        <f>IF($E576=0,0,SUMPRODUCT($AI$6:$DF$6,'Staff Daily sales'!$G561:$CD561))</f>
        <v>0</v>
      </c>
      <c r="H576">
        <f t="shared" si="155"/>
        <v>5045.67</v>
      </c>
      <c r="I576">
        <f t="shared" si="156"/>
        <v>25</v>
      </c>
      <c r="J576">
        <f t="shared" si="157"/>
        <v>69638.36</v>
      </c>
      <c r="K576">
        <f t="shared" si="158"/>
        <v>362</v>
      </c>
      <c r="L576">
        <f>--AND($E576=1,OR('Staff Dashboard'!$B$6="All",$DH576='Staff Dashboard'!$B$6),OR('Staff Dashboard'!$B$7="All",$D576='Staff Dashboard'!$B$7),OR('Staff Dashboard'!$B$8="All",$A576='Staff Dashboard'!$B$8))</f>
        <v>0</v>
      </c>
      <c r="M576">
        <f>IF($E576=0,0,SUMPRODUCT($AI$7:$DF$7,'Staff Daily sales'!$G561:$CD561))</f>
        <v>10784.23</v>
      </c>
      <c r="N576">
        <f>IF($E576=0,0,SUMPRODUCT($AI$8:$DF$8,'Staff Daily sales'!$G561:$CD561))</f>
        <v>73</v>
      </c>
      <c r="O576">
        <f>IF($E576=0,0,SUMPRODUCT($AI$9:$DF$9,'Staff Daily sales'!$G561:$CD561))</f>
        <v>7342.2</v>
      </c>
      <c r="P576">
        <f>IF($E576=0,0,SUMPRODUCT($AI$10:$DF$10,'Staff Daily sales'!$G561:$CD561))</f>
        <v>45</v>
      </c>
      <c r="Q576">
        <f>IF($E576=0,0,SUMPRODUCT($AI$11:$DF$11,'Staff Daily sales'!$G561:$CD561))</f>
        <v>5565.0300000000007</v>
      </c>
      <c r="R576">
        <f>IF($E576=0,0,SUMPRODUCT($AI$12:$DF$12,'Staff Daily sales'!$G561:$CD561))</f>
        <v>31</v>
      </c>
      <c r="S576">
        <f>IF($E576=0,0,SUMPRODUCT($AI$13:$DF$13,'Staff Daily sales'!$G561:$CD561))</f>
        <v>5082.7299999999996</v>
      </c>
      <c r="T576">
        <f>IF($E576=0,0,SUMPRODUCT($AI$14:$DF$14,'Staff Daily sales'!$G561:$CD561))</f>
        <v>27</v>
      </c>
      <c r="U576">
        <f>IF($E576=0,0,SUMPRODUCT($AI$15:$DF$15,'Staff Daily sales'!$G561:$CD561))</f>
        <v>2021.12</v>
      </c>
      <c r="V576">
        <f>IF($E576=0,0,SUMPRODUCT($AI$16:$DF$16,'Staff Daily sales'!$G561:$CD561))</f>
        <v>12</v>
      </c>
      <c r="W576">
        <f t="shared" si="159"/>
        <v>28098.510000000002</v>
      </c>
      <c r="X576">
        <f t="shared" si="160"/>
        <v>43932.08</v>
      </c>
      <c r="Y576">
        <f t="shared" si="161"/>
        <v>33201.599999999999</v>
      </c>
      <c r="Z576">
        <f t="shared" si="162"/>
        <v>24687.489999999998</v>
      </c>
      <c r="AA576">
        <f t="shared" si="163"/>
        <v>8071.0299999999988</v>
      </c>
      <c r="AB576">
        <f>--AND($E576=1,OR('Staff Weekly Trend'!$B$3="All",$DH576='Staff Weekly Trend'!$B$3),OR('Staff Weekly Trend'!$B$4="All",$D576='Staff Weekly Trend'!$B$4),OR('Staff Weekly Trend'!$B$5="All",$A576='Staff Weekly Trend'!$B$5))</f>
        <v>1</v>
      </c>
      <c r="AC576" t="str">
        <f t="shared" si="164"/>
        <v/>
      </c>
      <c r="AI576">
        <f t="shared" si="165"/>
        <v>184</v>
      </c>
      <c r="AJ576">
        <f t="shared" si="166"/>
        <v>254</v>
      </c>
      <c r="AK576">
        <f t="shared" si="167"/>
        <v>186</v>
      </c>
      <c r="AL576">
        <f t="shared" si="168"/>
        <v>138</v>
      </c>
      <c r="AM576">
        <f t="shared" si="169"/>
        <v>43</v>
      </c>
      <c r="DH576" t="str" cm="1">
        <f t="array" ref="DH576">IF($A576="","",_xlfn.LET(_xlpm.c,IFERROR(_xlfn.XLOOKUP($A576,TRIM('Sales and count'!$A$4:$A$300&amp;""),TRIM('Sales and count'!$B$4:$B$300&amp;"")),""),IF(OR(_xlpm.c="",_xlpm.c="0",LEFT(_xlpm.c,1)="#"),"Not set",_xlpm.c)))</f>
        <v>KSA</v>
      </c>
    </row>
    <row r="577" spans="1:112" x14ac:dyDescent="0.25">
      <c r="A577" t="str">
        <f>IF('Staff Daily sales'!$B562="","",TRIM('Staff Daily sales'!$B562&amp;""))</f>
        <v>HAJEDSULTN</v>
      </c>
      <c r="B577" t="str">
        <f>IF('Staff Daily sales'!$D562="","",TRIM('Staff Daily sales'!$D562&amp;""))</f>
        <v>2990-Hadeel Alshamri</v>
      </c>
      <c r="C577" t="str">
        <f>IFERROR(TRIM('Staff Daily sales'!$E562&amp;""),"")</f>
        <v>Jeddah</v>
      </c>
      <c r="D577" t="str">
        <f>IFERROR(IF(TRIM('Staff Daily sales'!$F562&amp;"")="","Unassigned",TRIM('Staff Daily sales'!$F562&amp;"")),"Unassigned")</f>
        <v>Saleh Bin Hoiel</v>
      </c>
      <c r="E577">
        <f t="shared" si="154"/>
        <v>1</v>
      </c>
      <c r="F577">
        <f>IF($E577=0,0,SUMPRODUCT($AI$5:$DF$5,'Staff Daily sales'!$G562:$CD562))</f>
        <v>3170.81</v>
      </c>
      <c r="G577">
        <f>IF($E577=0,0,SUMPRODUCT($AI$6:$DF$6,'Staff Daily sales'!$G562:$CD562))</f>
        <v>16</v>
      </c>
      <c r="H577">
        <f t="shared" si="155"/>
        <v>5045.67</v>
      </c>
      <c r="I577">
        <f t="shared" si="156"/>
        <v>25</v>
      </c>
      <c r="J577">
        <f t="shared" si="157"/>
        <v>69638.36</v>
      </c>
      <c r="K577">
        <f t="shared" si="158"/>
        <v>362</v>
      </c>
      <c r="L577">
        <f>--AND($E577=1,OR('Staff Dashboard'!$B$6="All",$DH577='Staff Dashboard'!$B$6),OR('Staff Dashboard'!$B$7="All",$D577='Staff Dashboard'!$B$7),OR('Staff Dashboard'!$B$8="All",$A577='Staff Dashboard'!$B$8))</f>
        <v>0</v>
      </c>
      <c r="M577">
        <f>IF($E577=0,0,SUMPRODUCT($AI$7:$DF$7,'Staff Daily sales'!$G562:$CD562))</f>
        <v>1508.02</v>
      </c>
      <c r="N577">
        <f>IF($E577=0,0,SUMPRODUCT($AI$8:$DF$8,'Staff Daily sales'!$G562:$CD562))</f>
        <v>12</v>
      </c>
      <c r="O577">
        <f>IF($E577=0,0,SUMPRODUCT($AI$9:$DF$9,'Staff Daily sales'!$G562:$CD562))</f>
        <v>10476.279999999999</v>
      </c>
      <c r="P577">
        <f>IF($E577=0,0,SUMPRODUCT($AI$10:$DF$10,'Staff Daily sales'!$G562:$CD562))</f>
        <v>66</v>
      </c>
      <c r="Q577">
        <f>IF($E577=0,0,SUMPRODUCT($AI$11:$DF$11,'Staff Daily sales'!$G562:$CD562))</f>
        <v>12377.3</v>
      </c>
      <c r="R577">
        <f>IF($E577=0,0,SUMPRODUCT($AI$12:$DF$12,'Staff Daily sales'!$G562:$CD562))</f>
        <v>67</v>
      </c>
      <c r="S577">
        <f>IF($E577=0,0,SUMPRODUCT($AI$13:$DF$13,'Staff Daily sales'!$G562:$CD562))</f>
        <v>8773.81</v>
      </c>
      <c r="T577">
        <f>IF($E577=0,0,SUMPRODUCT($AI$14:$DF$14,'Staff Daily sales'!$G562:$CD562))</f>
        <v>45</v>
      </c>
      <c r="U577">
        <f>IF($E577=0,0,SUMPRODUCT($AI$15:$DF$15,'Staff Daily sales'!$G562:$CD562))</f>
        <v>2096.1</v>
      </c>
      <c r="V577">
        <f>IF($E577=0,0,SUMPRODUCT($AI$16:$DF$16,'Staff Daily sales'!$G562:$CD562))</f>
        <v>12</v>
      </c>
      <c r="W577">
        <f t="shared" si="159"/>
        <v>28098.510000000002</v>
      </c>
      <c r="X577">
        <f t="shared" si="160"/>
        <v>43932.08</v>
      </c>
      <c r="Y577">
        <f t="shared" si="161"/>
        <v>33201.599999999999</v>
      </c>
      <c r="Z577">
        <f t="shared" si="162"/>
        <v>24687.489999999998</v>
      </c>
      <c r="AA577">
        <f t="shared" si="163"/>
        <v>8071.0299999999988</v>
      </c>
      <c r="AB577">
        <f>--AND($E577=1,OR('Staff Weekly Trend'!$B$3="All",$DH577='Staff Weekly Trend'!$B$3),OR('Staff Weekly Trend'!$B$4="All",$D577='Staff Weekly Trend'!$B$4),OR('Staff Weekly Trend'!$B$5="All",$A577='Staff Weekly Trend'!$B$5))</f>
        <v>1</v>
      </c>
      <c r="AC577">
        <f t="shared" si="164"/>
        <v>1</v>
      </c>
      <c r="AI577">
        <f t="shared" si="165"/>
        <v>184</v>
      </c>
      <c r="AJ577">
        <f t="shared" si="166"/>
        <v>254</v>
      </c>
      <c r="AK577">
        <f t="shared" si="167"/>
        <v>186</v>
      </c>
      <c r="AL577">
        <f t="shared" si="168"/>
        <v>138</v>
      </c>
      <c r="AM577">
        <f t="shared" si="169"/>
        <v>43</v>
      </c>
      <c r="DH577" t="str" cm="1">
        <f t="array" ref="DH577">IF($A577="","",_xlfn.LET(_xlpm.c,IFERROR(_xlfn.XLOOKUP($A577,TRIM('Sales and count'!$A$4:$A$300&amp;""),TRIM('Sales and count'!$B$4:$B$300&amp;"")),""),IF(OR(_xlpm.c="",_xlpm.c="0",LEFT(_xlpm.c,1)="#"),"Not set",_xlpm.c)))</f>
        <v>KSA</v>
      </c>
    </row>
    <row r="578" spans="1:112" x14ac:dyDescent="0.25">
      <c r="A578" t="str">
        <f>IF('Staff Daily sales'!$B563="","",TRIM('Staff Daily sales'!$B563&amp;""))</f>
        <v>HAJEDSULTN</v>
      </c>
      <c r="B578" t="str">
        <f>IF('Staff Daily sales'!$D563="","",TRIM('Staff Daily sales'!$D563&amp;""))</f>
        <v>3559-AIbrahim</v>
      </c>
      <c r="C578" t="str">
        <f>IFERROR(TRIM('Staff Daily sales'!$E563&amp;""),"")</f>
        <v>Jeddah</v>
      </c>
      <c r="D578" t="str">
        <f>IFERROR(IF(TRIM('Staff Daily sales'!$F563&amp;"")="","Unassigned",TRIM('Staff Daily sales'!$F563&amp;"")),"Unassigned")</f>
        <v>Saleh Bin Hoiel</v>
      </c>
      <c r="E578">
        <f t="shared" si="154"/>
        <v>1</v>
      </c>
      <c r="F578">
        <f>IF($E578=0,0,SUMPRODUCT($AI$5:$DF$5,'Staff Daily sales'!$G563:$CD563))</f>
        <v>746.96</v>
      </c>
      <c r="G578">
        <f>IF($E578=0,0,SUMPRODUCT($AI$6:$DF$6,'Staff Daily sales'!$G563:$CD563))</f>
        <v>4</v>
      </c>
      <c r="H578">
        <f t="shared" si="155"/>
        <v>5045.67</v>
      </c>
      <c r="I578">
        <f t="shared" si="156"/>
        <v>25</v>
      </c>
      <c r="J578">
        <f t="shared" si="157"/>
        <v>69638.36</v>
      </c>
      <c r="K578">
        <f t="shared" si="158"/>
        <v>362</v>
      </c>
      <c r="L578">
        <f>--AND($E578=1,OR('Staff Dashboard'!$B$6="All",$DH578='Staff Dashboard'!$B$6),OR('Staff Dashboard'!$B$7="All",$D578='Staff Dashboard'!$B$7),OR('Staff Dashboard'!$B$8="All",$A578='Staff Dashboard'!$B$8))</f>
        <v>0</v>
      </c>
      <c r="M578">
        <f>IF($E578=0,0,SUMPRODUCT($AI$7:$DF$7,'Staff Daily sales'!$G563:$CD563))</f>
        <v>6581.1100000000006</v>
      </c>
      <c r="N578">
        <f>IF($E578=0,0,SUMPRODUCT($AI$8:$DF$8,'Staff Daily sales'!$G563:$CD563))</f>
        <v>44</v>
      </c>
      <c r="O578">
        <f>IF($E578=0,0,SUMPRODUCT($AI$9:$DF$9,'Staff Daily sales'!$G563:$CD563))</f>
        <v>15535.349999999999</v>
      </c>
      <c r="P578">
        <f>IF($E578=0,0,SUMPRODUCT($AI$10:$DF$10,'Staff Daily sales'!$G563:$CD563))</f>
        <v>76</v>
      </c>
      <c r="Q578">
        <f>IF($E578=0,0,SUMPRODUCT($AI$11:$DF$11,'Staff Daily sales'!$G563:$CD563))</f>
        <v>5684.0599999999995</v>
      </c>
      <c r="R578">
        <f>IF($E578=0,0,SUMPRODUCT($AI$12:$DF$12,'Staff Daily sales'!$G563:$CD563))</f>
        <v>33</v>
      </c>
      <c r="S578">
        <f>IF($E578=0,0,SUMPRODUCT($AI$13:$DF$13,'Staff Daily sales'!$G563:$CD563))</f>
        <v>2878.95</v>
      </c>
      <c r="T578">
        <f>IF($E578=0,0,SUMPRODUCT($AI$14:$DF$14,'Staff Daily sales'!$G563:$CD563))</f>
        <v>18</v>
      </c>
      <c r="U578">
        <f>IF($E578=0,0,SUMPRODUCT($AI$15:$DF$15,'Staff Daily sales'!$G563:$CD563))</f>
        <v>2014.91</v>
      </c>
      <c r="V578">
        <f>IF($E578=0,0,SUMPRODUCT($AI$16:$DF$16,'Staff Daily sales'!$G563:$CD563))</f>
        <v>11</v>
      </c>
      <c r="W578">
        <f t="shared" si="159"/>
        <v>28098.510000000002</v>
      </c>
      <c r="X578">
        <f t="shared" si="160"/>
        <v>43932.08</v>
      </c>
      <c r="Y578">
        <f t="shared" si="161"/>
        <v>33201.599999999999</v>
      </c>
      <c r="Z578">
        <f t="shared" si="162"/>
        <v>24687.489999999998</v>
      </c>
      <c r="AA578">
        <f t="shared" si="163"/>
        <v>8071.0299999999988</v>
      </c>
      <c r="AB578">
        <f>--AND($E578=1,OR('Staff Weekly Trend'!$B$3="All",$DH578='Staff Weekly Trend'!$B$3),OR('Staff Weekly Trend'!$B$4="All",$D578='Staff Weekly Trend'!$B$4),OR('Staff Weekly Trend'!$B$5="All",$A578='Staff Weekly Trend'!$B$5))</f>
        <v>1</v>
      </c>
      <c r="AC578">
        <f t="shared" si="164"/>
        <v>3</v>
      </c>
      <c r="AI578">
        <f t="shared" si="165"/>
        <v>184</v>
      </c>
      <c r="AJ578">
        <f t="shared" si="166"/>
        <v>254</v>
      </c>
      <c r="AK578">
        <f t="shared" si="167"/>
        <v>186</v>
      </c>
      <c r="AL578">
        <f t="shared" si="168"/>
        <v>138</v>
      </c>
      <c r="AM578">
        <f t="shared" si="169"/>
        <v>43</v>
      </c>
      <c r="DH578" t="str" cm="1">
        <f t="array" ref="DH578">IF($A578="","",_xlfn.LET(_xlpm.c,IFERROR(_xlfn.XLOOKUP($A578,TRIM('Sales and count'!$A$4:$A$300&amp;""),TRIM('Sales and count'!$B$4:$B$300&amp;"")),""),IF(OR(_xlpm.c="",_xlpm.c="0",LEFT(_xlpm.c,1)="#"),"Not set",_xlpm.c)))</f>
        <v>KSA</v>
      </c>
    </row>
    <row r="579" spans="1:112" x14ac:dyDescent="0.25">
      <c r="A579" t="str">
        <f>IF('Staff Daily sales'!$B564="","",TRIM('Staff Daily sales'!$B564&amp;""))</f>
        <v>HAJEDSULTN</v>
      </c>
      <c r="B579" t="str">
        <f>IF('Staff Daily sales'!$D564="","",TRIM('Staff Daily sales'!$D564&amp;""))</f>
        <v>6614-AIskander</v>
      </c>
      <c r="C579" t="str">
        <f>IFERROR(TRIM('Staff Daily sales'!$E564&amp;""),"")</f>
        <v>Jeddah</v>
      </c>
      <c r="D579" t="str">
        <f>IFERROR(IF(TRIM('Staff Daily sales'!$F564&amp;"")="","Unassigned",TRIM('Staff Daily sales'!$F564&amp;"")),"Unassigned")</f>
        <v>Saleh Bin Hoiel</v>
      </c>
      <c r="E579">
        <f t="shared" si="154"/>
        <v>1</v>
      </c>
      <c r="F579">
        <f>IF($E579=0,0,SUMPRODUCT($AI$5:$DF$5,'Staff Daily sales'!$G564:$CD564))</f>
        <v>1127.9000000000001</v>
      </c>
      <c r="G579">
        <f>IF($E579=0,0,SUMPRODUCT($AI$6:$DF$6,'Staff Daily sales'!$G564:$CD564))</f>
        <v>5</v>
      </c>
      <c r="H579">
        <f t="shared" si="155"/>
        <v>5045.67</v>
      </c>
      <c r="I579">
        <f t="shared" si="156"/>
        <v>25</v>
      </c>
      <c r="J579">
        <f t="shared" si="157"/>
        <v>69638.36</v>
      </c>
      <c r="K579">
        <f t="shared" si="158"/>
        <v>362</v>
      </c>
      <c r="L579">
        <f>--AND($E579=1,OR('Staff Dashboard'!$B$6="All",$DH579='Staff Dashboard'!$B$6),OR('Staff Dashboard'!$B$7="All",$D579='Staff Dashboard'!$B$7),OR('Staff Dashboard'!$B$8="All",$A579='Staff Dashboard'!$B$8))</f>
        <v>0</v>
      </c>
      <c r="M579">
        <f>IF($E579=0,0,SUMPRODUCT($AI$7:$DF$7,'Staff Daily sales'!$G564:$CD564))</f>
        <v>9225.1500000000015</v>
      </c>
      <c r="N579">
        <f>IF($E579=0,0,SUMPRODUCT($AI$8:$DF$8,'Staff Daily sales'!$G564:$CD564))</f>
        <v>55</v>
      </c>
      <c r="O579">
        <f>IF($E579=0,0,SUMPRODUCT($AI$9:$DF$9,'Staff Daily sales'!$G564:$CD564))</f>
        <v>10578.25</v>
      </c>
      <c r="P579">
        <f>IF($E579=0,0,SUMPRODUCT($AI$10:$DF$10,'Staff Daily sales'!$G564:$CD564))</f>
        <v>67</v>
      </c>
      <c r="Q579">
        <f>IF($E579=0,0,SUMPRODUCT($AI$11:$DF$11,'Staff Daily sales'!$G564:$CD564))</f>
        <v>9575.2100000000009</v>
      </c>
      <c r="R579">
        <f>IF($E579=0,0,SUMPRODUCT($AI$12:$DF$12,'Staff Daily sales'!$G564:$CD564))</f>
        <v>55</v>
      </c>
      <c r="S579">
        <f>IF($E579=0,0,SUMPRODUCT($AI$13:$DF$13,'Staff Daily sales'!$G564:$CD564))</f>
        <v>7952</v>
      </c>
      <c r="T579">
        <f>IF($E579=0,0,SUMPRODUCT($AI$14:$DF$14,'Staff Daily sales'!$G564:$CD564))</f>
        <v>48</v>
      </c>
      <c r="U579">
        <f>IF($E579=0,0,SUMPRODUCT($AI$15:$DF$15,'Staff Daily sales'!$G564:$CD564))</f>
        <v>1938.9</v>
      </c>
      <c r="V579">
        <f>IF($E579=0,0,SUMPRODUCT($AI$16:$DF$16,'Staff Daily sales'!$G564:$CD564))</f>
        <v>8</v>
      </c>
      <c r="W579">
        <f t="shared" si="159"/>
        <v>28098.510000000002</v>
      </c>
      <c r="X579">
        <f t="shared" si="160"/>
        <v>43932.08</v>
      </c>
      <c r="Y579">
        <f t="shared" si="161"/>
        <v>33201.599999999999</v>
      </c>
      <c r="Z579">
        <f t="shared" si="162"/>
        <v>24687.489999999998</v>
      </c>
      <c r="AA579">
        <f t="shared" si="163"/>
        <v>8071.0299999999988</v>
      </c>
      <c r="AB579">
        <f>--AND($E579=1,OR('Staff Weekly Trend'!$B$3="All",$DH579='Staff Weekly Trend'!$B$3),OR('Staff Weekly Trend'!$B$4="All",$D579='Staff Weekly Trend'!$B$4),OR('Staff Weekly Trend'!$B$5="All",$A579='Staff Weekly Trend'!$B$5))</f>
        <v>1</v>
      </c>
      <c r="AC579">
        <f t="shared" si="164"/>
        <v>2</v>
      </c>
      <c r="AI579">
        <f t="shared" si="165"/>
        <v>184</v>
      </c>
      <c r="AJ579">
        <f t="shared" si="166"/>
        <v>254</v>
      </c>
      <c r="AK579">
        <f t="shared" si="167"/>
        <v>186</v>
      </c>
      <c r="AL579">
        <f t="shared" si="168"/>
        <v>138</v>
      </c>
      <c r="AM579">
        <f t="shared" si="169"/>
        <v>43</v>
      </c>
      <c r="DH579" t="str" cm="1">
        <f t="array" ref="DH579">IF($A579="","",_xlfn.LET(_xlpm.c,IFERROR(_xlfn.XLOOKUP($A579,TRIM('Sales and count'!$A$4:$A$300&amp;""),TRIM('Sales and count'!$B$4:$B$300&amp;"")),""),IF(OR(_xlpm.c="",_xlpm.c="0",LEFT(_xlpm.c,1)="#"),"Not set",_xlpm.c)))</f>
        <v>KSA</v>
      </c>
    </row>
    <row r="580" spans="1:112" x14ac:dyDescent="0.25">
      <c r="A580" t="str">
        <f>IF('Staff Daily sales'!$B565="","",TRIM('Staff Daily sales'!$B565&amp;""))</f>
        <v>HASULITMAL</v>
      </c>
      <c r="B580" t="str">
        <f>IF('Staff Daily sales'!$D565="","",TRIM('Staff Daily sales'!$D565&amp;""))</f>
        <v>4367-AJafari</v>
      </c>
      <c r="C580" t="str">
        <f>IFERROR(TRIM('Staff Daily sales'!$E565&amp;""),"")</f>
        <v>Riyadh</v>
      </c>
      <c r="D580" t="str">
        <f>IFERROR(IF(TRIM('Staff Daily sales'!$F565&amp;"")="","Unassigned",TRIM('Staff Daily sales'!$F565&amp;"")),"Unassigned")</f>
        <v>Mohammed Sanad</v>
      </c>
      <c r="E580">
        <f t="shared" si="154"/>
        <v>1</v>
      </c>
      <c r="F580">
        <f>IF($E580=0,0,SUMPRODUCT($AI$5:$DF$5,'Staff Daily sales'!$G565:$CD565))</f>
        <v>770.97</v>
      </c>
      <c r="G580">
        <f>IF($E580=0,0,SUMPRODUCT($AI$6:$DF$6,'Staff Daily sales'!$G565:$CD565))</f>
        <v>4</v>
      </c>
      <c r="H580">
        <f t="shared" si="155"/>
        <v>4224.74</v>
      </c>
      <c r="I580">
        <f t="shared" si="156"/>
        <v>21</v>
      </c>
      <c r="J580">
        <f t="shared" si="157"/>
        <v>64682.640000000014</v>
      </c>
      <c r="K580">
        <f t="shared" si="158"/>
        <v>326</v>
      </c>
      <c r="L580">
        <f>--AND($E580=1,OR('Staff Dashboard'!$B$6="All",$DH580='Staff Dashboard'!$B$6),OR('Staff Dashboard'!$B$7="All",$D580='Staff Dashboard'!$B$7),OR('Staff Dashboard'!$B$8="All",$A580='Staff Dashboard'!$B$8))</f>
        <v>0</v>
      </c>
      <c r="M580">
        <f>IF($E580=0,0,SUMPRODUCT($AI$7:$DF$7,'Staff Daily sales'!$G565:$CD565))</f>
        <v>0</v>
      </c>
      <c r="N580">
        <f>IF($E580=0,0,SUMPRODUCT($AI$8:$DF$8,'Staff Daily sales'!$G565:$CD565))</f>
        <v>0</v>
      </c>
      <c r="O580">
        <f>IF($E580=0,0,SUMPRODUCT($AI$9:$DF$9,'Staff Daily sales'!$G565:$CD565))</f>
        <v>2454.0700000000002</v>
      </c>
      <c r="P580">
        <f>IF($E580=0,0,SUMPRODUCT($AI$10:$DF$10,'Staff Daily sales'!$G565:$CD565))</f>
        <v>9</v>
      </c>
      <c r="Q580">
        <f>IF($E580=0,0,SUMPRODUCT($AI$11:$DF$11,'Staff Daily sales'!$G565:$CD565))</f>
        <v>4505.0999999999995</v>
      </c>
      <c r="R580">
        <f>IF($E580=0,0,SUMPRODUCT($AI$12:$DF$12,'Staff Daily sales'!$G565:$CD565))</f>
        <v>24</v>
      </c>
      <c r="S580">
        <f>IF($E580=0,0,SUMPRODUCT($AI$13:$DF$13,'Staff Daily sales'!$G565:$CD565))</f>
        <v>2800.98</v>
      </c>
      <c r="T580">
        <f>IF($E580=0,0,SUMPRODUCT($AI$14:$DF$14,'Staff Daily sales'!$G565:$CD565))</f>
        <v>21</v>
      </c>
      <c r="U580">
        <f>IF($E580=0,0,SUMPRODUCT($AI$15:$DF$15,'Staff Daily sales'!$G565:$CD565))</f>
        <v>1331.1</v>
      </c>
      <c r="V580">
        <f>IF($E580=0,0,SUMPRODUCT($AI$16:$DF$16,'Staff Daily sales'!$G565:$CD565))</f>
        <v>7</v>
      </c>
      <c r="W580">
        <f t="shared" si="159"/>
        <v>10076.280000000001</v>
      </c>
      <c r="X580">
        <f t="shared" si="160"/>
        <v>17456.359999999997</v>
      </c>
      <c r="Y580">
        <f t="shared" si="161"/>
        <v>15302.34</v>
      </c>
      <c r="Z580">
        <f t="shared" si="162"/>
        <v>14978.66</v>
      </c>
      <c r="AA580">
        <f t="shared" si="163"/>
        <v>4481</v>
      </c>
      <c r="AB580">
        <f>--AND($E580=1,OR('Staff Weekly Trend'!$B$3="All",$DH580='Staff Weekly Trend'!$B$3),OR('Staff Weekly Trend'!$B$4="All",$D580='Staff Weekly Trend'!$B$4),OR('Staff Weekly Trend'!$B$5="All",$A580='Staff Weekly Trend'!$B$5))</f>
        <v>1</v>
      </c>
      <c r="AC580">
        <f t="shared" si="164"/>
        <v>2</v>
      </c>
      <c r="AI580">
        <f t="shared" si="165"/>
        <v>57</v>
      </c>
      <c r="AJ580">
        <f t="shared" si="166"/>
        <v>104</v>
      </c>
      <c r="AK580">
        <f t="shared" si="167"/>
        <v>88</v>
      </c>
      <c r="AL580">
        <f t="shared" si="168"/>
        <v>102</v>
      </c>
      <c r="AM580">
        <f t="shared" si="169"/>
        <v>26</v>
      </c>
      <c r="DH580" t="str" cm="1">
        <f t="array" ref="DH580">IF($A580="","",_xlfn.LET(_xlpm.c,IFERROR(_xlfn.XLOOKUP($A580,TRIM('Sales and count'!$A$4:$A$300&amp;""),TRIM('Sales and count'!$B$4:$B$300&amp;"")),""),IF(OR(_xlpm.c="",_xlpm.c="0",LEFT(_xlpm.c,1)="#"),"Not set",_xlpm.c)))</f>
        <v>KSA</v>
      </c>
    </row>
    <row r="581" spans="1:112" x14ac:dyDescent="0.25">
      <c r="A581" t="str">
        <f>IF('Staff Daily sales'!$B566="","",TRIM('Staff Daily sales'!$B566&amp;""))</f>
        <v>HASULITMAL</v>
      </c>
      <c r="B581" t="str">
        <f>IF('Staff Daily sales'!$D566="","",TRIM('Staff Daily sales'!$D566&amp;""))</f>
        <v>7294-MMarzouq</v>
      </c>
      <c r="C581" t="str">
        <f>IFERROR(TRIM('Staff Daily sales'!$E566&amp;""),"")</f>
        <v>Riyadh</v>
      </c>
      <c r="D581" t="str">
        <f>IFERROR(IF(TRIM('Staff Daily sales'!$F566&amp;"")="","Unassigned",TRIM('Staff Daily sales'!$F566&amp;"")),"Unassigned")</f>
        <v>Mohammed Sanad</v>
      </c>
      <c r="E581">
        <f t="shared" si="154"/>
        <v>1</v>
      </c>
      <c r="F581">
        <f>IF($E581=0,0,SUMPRODUCT($AI$5:$DF$5,'Staff Daily sales'!$G566:$CD566))</f>
        <v>0</v>
      </c>
      <c r="G581">
        <f>IF($E581=0,0,SUMPRODUCT($AI$6:$DF$6,'Staff Daily sales'!$G566:$CD566))</f>
        <v>0</v>
      </c>
      <c r="H581">
        <f t="shared" si="155"/>
        <v>4224.74</v>
      </c>
      <c r="I581">
        <f t="shared" si="156"/>
        <v>21</v>
      </c>
      <c r="J581">
        <f t="shared" si="157"/>
        <v>64682.640000000014</v>
      </c>
      <c r="K581">
        <f t="shared" si="158"/>
        <v>326</v>
      </c>
      <c r="L581">
        <f>--AND($E581=1,OR('Staff Dashboard'!$B$6="All",$DH581='Staff Dashboard'!$B$6),OR('Staff Dashboard'!$B$7="All",$D581='Staff Dashboard'!$B$7),OR('Staff Dashboard'!$B$8="All",$A581='Staff Dashboard'!$B$8))</f>
        <v>0</v>
      </c>
      <c r="M581">
        <f>IF($E581=0,0,SUMPRODUCT($AI$7:$DF$7,'Staff Daily sales'!$G566:$CD566))</f>
        <v>10076.280000000001</v>
      </c>
      <c r="N581">
        <f>IF($E581=0,0,SUMPRODUCT($AI$8:$DF$8,'Staff Daily sales'!$G566:$CD566))</f>
        <v>57</v>
      </c>
      <c r="O581">
        <f>IF($E581=0,0,SUMPRODUCT($AI$9:$DF$9,'Staff Daily sales'!$G566:$CD566))</f>
        <v>13952.259999999998</v>
      </c>
      <c r="P581">
        <f>IF($E581=0,0,SUMPRODUCT($AI$10:$DF$10,'Staff Daily sales'!$G566:$CD566))</f>
        <v>87</v>
      </c>
      <c r="Q581">
        <f>IF($E581=0,0,SUMPRODUCT($AI$11:$DF$11,'Staff Daily sales'!$G566:$CD566))</f>
        <v>0</v>
      </c>
      <c r="R581">
        <f>IF($E581=0,0,SUMPRODUCT($AI$12:$DF$12,'Staff Daily sales'!$G566:$CD566))</f>
        <v>0</v>
      </c>
      <c r="S581">
        <f>IF($E581=0,0,SUMPRODUCT($AI$13:$DF$13,'Staff Daily sales'!$G566:$CD566))</f>
        <v>-225.01</v>
      </c>
      <c r="T581">
        <f>IF($E581=0,0,SUMPRODUCT($AI$14:$DF$14,'Staff Daily sales'!$G566:$CD566))</f>
        <v>2</v>
      </c>
      <c r="U581">
        <f>IF($E581=0,0,SUMPRODUCT($AI$15:$DF$15,'Staff Daily sales'!$G566:$CD566))</f>
        <v>0</v>
      </c>
      <c r="V581">
        <f>IF($E581=0,0,SUMPRODUCT($AI$16:$DF$16,'Staff Daily sales'!$G566:$CD566))</f>
        <v>0</v>
      </c>
      <c r="W581">
        <f t="shared" si="159"/>
        <v>10076.280000000001</v>
      </c>
      <c r="X581">
        <f t="shared" si="160"/>
        <v>17456.359999999997</v>
      </c>
      <c r="Y581">
        <f t="shared" si="161"/>
        <v>15302.34</v>
      </c>
      <c r="Z581">
        <f t="shared" si="162"/>
        <v>14978.66</v>
      </c>
      <c r="AA581">
        <f t="shared" si="163"/>
        <v>4481</v>
      </c>
      <c r="AB581">
        <f>--AND($E581=1,OR('Staff Weekly Trend'!$B$3="All",$DH581='Staff Weekly Trend'!$B$3),OR('Staff Weekly Trend'!$B$4="All",$D581='Staff Weekly Trend'!$B$4),OR('Staff Weekly Trend'!$B$5="All",$A581='Staff Weekly Trend'!$B$5))</f>
        <v>1</v>
      </c>
      <c r="AC581" t="str">
        <f t="shared" si="164"/>
        <v/>
      </c>
      <c r="AI581">
        <f t="shared" si="165"/>
        <v>57</v>
      </c>
      <c r="AJ581">
        <f t="shared" si="166"/>
        <v>104</v>
      </c>
      <c r="AK581">
        <f t="shared" si="167"/>
        <v>88</v>
      </c>
      <c r="AL581">
        <f t="shared" si="168"/>
        <v>102</v>
      </c>
      <c r="AM581">
        <f t="shared" si="169"/>
        <v>26</v>
      </c>
      <c r="DH581" t="str" cm="1">
        <f t="array" ref="DH581">IF($A581="","",_xlfn.LET(_xlpm.c,IFERROR(_xlfn.XLOOKUP($A581,TRIM('Sales and count'!$A$4:$A$300&amp;""),TRIM('Sales and count'!$B$4:$B$300&amp;"")),""),IF(OR(_xlpm.c="",_xlpm.c="0",LEFT(_xlpm.c,1)="#"),"Not set",_xlpm.c)))</f>
        <v>KSA</v>
      </c>
    </row>
    <row r="582" spans="1:112" x14ac:dyDescent="0.25">
      <c r="A582" t="str">
        <f>IF('Staff Daily sales'!$B567="","",TRIM('Staff Daily sales'!$B567&amp;""))</f>
        <v>HASULITMAL</v>
      </c>
      <c r="B582" t="str">
        <f>IF('Staff Daily sales'!$D567="","",TRIM('Staff Daily sales'!$D567&amp;""))</f>
        <v>7295-RAlsaqer</v>
      </c>
      <c r="C582" t="str">
        <f>IFERROR(TRIM('Staff Daily sales'!$E567&amp;""),"")</f>
        <v>Riyadh</v>
      </c>
      <c r="D582" t="str">
        <f>IFERROR(IF(TRIM('Staff Daily sales'!$F567&amp;"")="","Unassigned",TRIM('Staff Daily sales'!$F567&amp;"")),"Unassigned")</f>
        <v>Mohammed Sanad</v>
      </c>
      <c r="E582">
        <f t="shared" si="154"/>
        <v>1</v>
      </c>
      <c r="F582">
        <f>IF($E582=0,0,SUMPRODUCT($AI$5:$DF$5,'Staff Daily sales'!$G567:$CD567))</f>
        <v>0</v>
      </c>
      <c r="G582">
        <f>IF($E582=0,0,SUMPRODUCT($AI$6:$DF$6,'Staff Daily sales'!$G567:$CD567))</f>
        <v>0</v>
      </c>
      <c r="H582">
        <f t="shared" si="155"/>
        <v>4224.74</v>
      </c>
      <c r="I582">
        <f t="shared" si="156"/>
        <v>21</v>
      </c>
      <c r="J582">
        <f t="shared" si="157"/>
        <v>64682.640000000014</v>
      </c>
      <c r="K582">
        <f t="shared" si="158"/>
        <v>326</v>
      </c>
      <c r="L582">
        <f>--AND($E582=1,OR('Staff Dashboard'!$B$6="All",$DH582='Staff Dashboard'!$B$6),OR('Staff Dashboard'!$B$7="All",$D582='Staff Dashboard'!$B$7),OR('Staff Dashboard'!$B$8="All",$A582='Staff Dashboard'!$B$8))</f>
        <v>0</v>
      </c>
      <c r="M582">
        <f>IF($E582=0,0,SUMPRODUCT($AI$7:$DF$7,'Staff Daily sales'!$G567:$CD567))</f>
        <v>0</v>
      </c>
      <c r="N582">
        <f>IF($E582=0,0,SUMPRODUCT($AI$8:$DF$8,'Staff Daily sales'!$G567:$CD567))</f>
        <v>0</v>
      </c>
      <c r="O582">
        <f>IF($E582=0,0,SUMPRODUCT($AI$9:$DF$9,'Staff Daily sales'!$G567:$CD567))</f>
        <v>1050.03</v>
      </c>
      <c r="P582">
        <f>IF($E582=0,0,SUMPRODUCT($AI$10:$DF$10,'Staff Daily sales'!$G567:$CD567))</f>
        <v>8</v>
      </c>
      <c r="Q582">
        <f>IF($E582=0,0,SUMPRODUCT($AI$11:$DF$11,'Staff Daily sales'!$G567:$CD567))</f>
        <v>8890.2000000000007</v>
      </c>
      <c r="R582">
        <f>IF($E582=0,0,SUMPRODUCT($AI$12:$DF$12,'Staff Daily sales'!$G567:$CD567))</f>
        <v>51</v>
      </c>
      <c r="S582">
        <f>IF($E582=0,0,SUMPRODUCT($AI$13:$DF$13,'Staff Daily sales'!$G567:$CD567))</f>
        <v>2751.02</v>
      </c>
      <c r="T582">
        <f>IF($E582=0,0,SUMPRODUCT($AI$14:$DF$14,'Staff Daily sales'!$G567:$CD567))</f>
        <v>21</v>
      </c>
      <c r="U582">
        <f>IF($E582=0,0,SUMPRODUCT($AI$15:$DF$15,'Staff Daily sales'!$G567:$CD567))</f>
        <v>898.06</v>
      </c>
      <c r="V582">
        <f>IF($E582=0,0,SUMPRODUCT($AI$16:$DF$16,'Staff Daily sales'!$G567:$CD567))</f>
        <v>5</v>
      </c>
      <c r="W582">
        <f t="shared" si="159"/>
        <v>10076.280000000001</v>
      </c>
      <c r="X582">
        <f t="shared" si="160"/>
        <v>17456.359999999997</v>
      </c>
      <c r="Y582">
        <f t="shared" si="161"/>
        <v>15302.34</v>
      </c>
      <c r="Z582">
        <f t="shared" si="162"/>
        <v>14978.66</v>
      </c>
      <c r="AA582">
        <f t="shared" si="163"/>
        <v>4481</v>
      </c>
      <c r="AB582">
        <f>--AND($E582=1,OR('Staff Weekly Trend'!$B$3="All",$DH582='Staff Weekly Trend'!$B$3),OR('Staff Weekly Trend'!$B$4="All",$D582='Staff Weekly Trend'!$B$4),OR('Staff Weekly Trend'!$B$5="All",$A582='Staff Weekly Trend'!$B$5))</f>
        <v>1</v>
      </c>
      <c r="AC582" t="str">
        <f t="shared" si="164"/>
        <v/>
      </c>
      <c r="AI582">
        <f t="shared" si="165"/>
        <v>57</v>
      </c>
      <c r="AJ582">
        <f t="shared" si="166"/>
        <v>104</v>
      </c>
      <c r="AK582">
        <f t="shared" si="167"/>
        <v>88</v>
      </c>
      <c r="AL582">
        <f t="shared" si="168"/>
        <v>102</v>
      </c>
      <c r="AM582">
        <f t="shared" si="169"/>
        <v>26</v>
      </c>
      <c r="DH582" t="str" cm="1">
        <f t="array" ref="DH582">IF($A582="","",_xlfn.LET(_xlpm.c,IFERROR(_xlfn.XLOOKUP($A582,TRIM('Sales and count'!$A$4:$A$300&amp;""),TRIM('Sales and count'!$B$4:$B$300&amp;"")),""),IF(OR(_xlpm.c="",_xlpm.c="0",LEFT(_xlpm.c,1)="#"),"Not set",_xlpm.c)))</f>
        <v>KSA</v>
      </c>
    </row>
    <row r="583" spans="1:112" x14ac:dyDescent="0.25">
      <c r="A583" t="str">
        <f>IF('Staff Daily sales'!$B568="","",TRIM('Staff Daily sales'!$B568&amp;""))</f>
        <v>HASULITMAL</v>
      </c>
      <c r="B583" t="str">
        <f>IF('Staff Daily sales'!$D568="","",TRIM('Staff Daily sales'!$D568&amp;""))</f>
        <v>7296-AAlhaqbani</v>
      </c>
      <c r="C583" t="str">
        <f>IFERROR(TRIM('Staff Daily sales'!$E568&amp;""),"")</f>
        <v>Riyadh</v>
      </c>
      <c r="D583" t="str">
        <f>IFERROR(IF(TRIM('Staff Daily sales'!$F568&amp;"")="","Unassigned",TRIM('Staff Daily sales'!$F568&amp;"")),"Unassigned")</f>
        <v>Mohammed Sanad</v>
      </c>
      <c r="E583">
        <f t="shared" si="154"/>
        <v>1</v>
      </c>
      <c r="F583">
        <f>IF($E583=0,0,SUMPRODUCT($AI$5:$DF$5,'Staff Daily sales'!$G568:$CD568))</f>
        <v>0</v>
      </c>
      <c r="G583">
        <f>IF($E583=0,0,SUMPRODUCT($AI$6:$DF$6,'Staff Daily sales'!$G568:$CD568))</f>
        <v>0</v>
      </c>
      <c r="H583">
        <f t="shared" si="155"/>
        <v>4224.74</v>
      </c>
      <c r="I583">
        <f t="shared" si="156"/>
        <v>21</v>
      </c>
      <c r="J583">
        <f t="shared" si="157"/>
        <v>64682.640000000014</v>
      </c>
      <c r="K583">
        <f t="shared" si="158"/>
        <v>326</v>
      </c>
      <c r="L583">
        <f>--AND($E583=1,OR('Staff Dashboard'!$B$6="All",$DH583='Staff Dashboard'!$B$6),OR('Staff Dashboard'!$B$7="All",$D583='Staff Dashboard'!$B$7),OR('Staff Dashboard'!$B$8="All",$A583='Staff Dashboard'!$B$8))</f>
        <v>0</v>
      </c>
      <c r="M583">
        <f>IF($E583=0,0,SUMPRODUCT($AI$7:$DF$7,'Staff Daily sales'!$G568:$CD568))</f>
        <v>0</v>
      </c>
      <c r="N583">
        <f>IF($E583=0,0,SUMPRODUCT($AI$8:$DF$8,'Staff Daily sales'!$G568:$CD568))</f>
        <v>0</v>
      </c>
      <c r="O583">
        <f>IF($E583=0,0,SUMPRODUCT($AI$9:$DF$9,'Staff Daily sales'!$G568:$CD568))</f>
        <v>0</v>
      </c>
      <c r="P583">
        <f>IF($E583=0,0,SUMPRODUCT($AI$10:$DF$10,'Staff Daily sales'!$G568:$CD568))</f>
        <v>0</v>
      </c>
      <c r="Q583">
        <f>IF($E583=0,0,SUMPRODUCT($AI$11:$DF$11,'Staff Daily sales'!$G568:$CD568))</f>
        <v>1907.04</v>
      </c>
      <c r="R583">
        <f>IF($E583=0,0,SUMPRODUCT($AI$12:$DF$12,'Staff Daily sales'!$G568:$CD568))</f>
        <v>13</v>
      </c>
      <c r="S583">
        <f>IF($E583=0,0,SUMPRODUCT($AI$13:$DF$13,'Staff Daily sales'!$G568:$CD568))</f>
        <v>6197.9</v>
      </c>
      <c r="T583">
        <f>IF($E583=0,0,SUMPRODUCT($AI$14:$DF$14,'Staff Daily sales'!$G568:$CD568))</f>
        <v>41</v>
      </c>
      <c r="U583">
        <f>IF($E583=0,0,SUMPRODUCT($AI$15:$DF$15,'Staff Daily sales'!$G568:$CD568))</f>
        <v>0</v>
      </c>
      <c r="V583">
        <f>IF($E583=0,0,SUMPRODUCT($AI$16:$DF$16,'Staff Daily sales'!$G568:$CD568))</f>
        <v>0</v>
      </c>
      <c r="W583">
        <f t="shared" si="159"/>
        <v>10076.280000000001</v>
      </c>
      <c r="X583">
        <f t="shared" si="160"/>
        <v>17456.359999999997</v>
      </c>
      <c r="Y583">
        <f t="shared" si="161"/>
        <v>15302.34</v>
      </c>
      <c r="Z583">
        <f t="shared" si="162"/>
        <v>14978.66</v>
      </c>
      <c r="AA583">
        <f t="shared" si="163"/>
        <v>4481</v>
      </c>
      <c r="AB583">
        <f>--AND($E583=1,OR('Staff Weekly Trend'!$B$3="All",$DH583='Staff Weekly Trend'!$B$3),OR('Staff Weekly Trend'!$B$4="All",$D583='Staff Weekly Trend'!$B$4),OR('Staff Weekly Trend'!$B$5="All",$A583='Staff Weekly Trend'!$B$5))</f>
        <v>1</v>
      </c>
      <c r="AC583" t="str">
        <f t="shared" si="164"/>
        <v/>
      </c>
      <c r="AI583">
        <f t="shared" si="165"/>
        <v>57</v>
      </c>
      <c r="AJ583">
        <f t="shared" si="166"/>
        <v>104</v>
      </c>
      <c r="AK583">
        <f t="shared" si="167"/>
        <v>88</v>
      </c>
      <c r="AL583">
        <f t="shared" si="168"/>
        <v>102</v>
      </c>
      <c r="AM583">
        <f t="shared" si="169"/>
        <v>26</v>
      </c>
      <c r="DH583" t="str" cm="1">
        <f t="array" ref="DH583">IF($A583="","",_xlfn.LET(_xlpm.c,IFERROR(_xlfn.XLOOKUP($A583,TRIM('Sales and count'!$A$4:$A$300&amp;""),TRIM('Sales and count'!$B$4:$B$300&amp;"")),""),IF(OR(_xlpm.c="",_xlpm.c="0",LEFT(_xlpm.c,1)="#"),"Not set",_xlpm.c)))</f>
        <v>KSA</v>
      </c>
    </row>
    <row r="584" spans="1:112" x14ac:dyDescent="0.25">
      <c r="A584" t="str">
        <f>IF('Staff Daily sales'!$B569="","",TRIM('Staff Daily sales'!$B569&amp;""))</f>
        <v>HAKHAYLPLZ</v>
      </c>
      <c r="B584" t="str">
        <f>IF('Staff Daily sales'!$D569="","",TRIM('Staff Daily sales'!$D569&amp;""))</f>
        <v>7332-MAlfaqih</v>
      </c>
      <c r="C584" t="str">
        <f>IFERROR(TRIM('Staff Daily sales'!$E569&amp;""),"")</f>
        <v>Qunfudah</v>
      </c>
      <c r="D584" t="str">
        <f>IFERROR(IF(TRIM('Staff Daily sales'!$F569&amp;"")="","Unassigned",TRIM('Staff Daily sales'!$F569&amp;"")),"Unassigned")</f>
        <v>Ahlam Al Zahrani</v>
      </c>
      <c r="E584">
        <f t="shared" si="154"/>
        <v>1</v>
      </c>
      <c r="F584">
        <f>IF($E584=0,0,SUMPRODUCT($AI$5:$DF$5,'Staff Daily sales'!$G569:$CD569))</f>
        <v>658.96</v>
      </c>
      <c r="G584">
        <f>IF($E584=0,0,SUMPRODUCT($AI$6:$DF$6,'Staff Daily sales'!$G569:$CD569))</f>
        <v>4</v>
      </c>
      <c r="H584">
        <f t="shared" si="155"/>
        <v>2301.9300000000003</v>
      </c>
      <c r="I584">
        <f t="shared" si="156"/>
        <v>18</v>
      </c>
      <c r="J584">
        <f t="shared" si="157"/>
        <v>62016.170000000006</v>
      </c>
      <c r="K584">
        <f t="shared" si="158"/>
        <v>398</v>
      </c>
      <c r="L584">
        <f>--AND($E584=1,OR('Staff Dashboard'!$B$6="All",$DH584='Staff Dashboard'!$B$6),OR('Staff Dashboard'!$B$7="All",$D584='Staff Dashboard'!$B$7),OR('Staff Dashboard'!$B$8="All",$A584='Staff Dashboard'!$B$8))</f>
        <v>0</v>
      </c>
      <c r="M584">
        <f>IF($E584=0,0,SUMPRODUCT($AI$7:$DF$7,'Staff Daily sales'!$G569:$CD569))</f>
        <v>0</v>
      </c>
      <c r="N584">
        <f>IF($E584=0,0,SUMPRODUCT($AI$8:$DF$8,'Staff Daily sales'!$G569:$CD569))</f>
        <v>0</v>
      </c>
      <c r="O584">
        <f>IF($E584=0,0,SUMPRODUCT($AI$9:$DF$9,'Staff Daily sales'!$G569:$CD569))</f>
        <v>0</v>
      </c>
      <c r="P584">
        <f>IF($E584=0,0,SUMPRODUCT($AI$10:$DF$10,'Staff Daily sales'!$G569:$CD569))</f>
        <v>0</v>
      </c>
      <c r="Q584">
        <f>IF($E584=0,0,SUMPRODUCT($AI$11:$DF$11,'Staff Daily sales'!$G569:$CD569))</f>
        <v>0</v>
      </c>
      <c r="R584">
        <f>IF($E584=0,0,SUMPRODUCT($AI$12:$DF$12,'Staff Daily sales'!$G569:$CD569))</f>
        <v>0</v>
      </c>
      <c r="S584">
        <f>IF($E584=0,0,SUMPRODUCT($AI$13:$DF$13,'Staff Daily sales'!$G569:$CD569))</f>
        <v>1642.88</v>
      </c>
      <c r="T584">
        <f>IF($E584=0,0,SUMPRODUCT($AI$14:$DF$14,'Staff Daily sales'!$G569:$CD569))</f>
        <v>9</v>
      </c>
      <c r="U584">
        <f>IF($E584=0,0,SUMPRODUCT($AI$15:$DF$15,'Staff Daily sales'!$G569:$CD569))</f>
        <v>2076.98</v>
      </c>
      <c r="V584">
        <f>IF($E584=0,0,SUMPRODUCT($AI$16:$DF$16,'Staff Daily sales'!$G569:$CD569))</f>
        <v>14</v>
      </c>
      <c r="W584">
        <f t="shared" si="159"/>
        <v>20399.400000000001</v>
      </c>
      <c r="X584">
        <f t="shared" si="160"/>
        <v>26181.32</v>
      </c>
      <c r="Y584">
        <f t="shared" si="161"/>
        <v>17080.060000000001</v>
      </c>
      <c r="Z584">
        <f t="shared" si="162"/>
        <v>15507.620000000003</v>
      </c>
      <c r="AA584">
        <f t="shared" si="163"/>
        <v>3503.98</v>
      </c>
      <c r="AB584">
        <f>--AND($E584=1,OR('Staff Weekly Trend'!$B$3="All",$DH584='Staff Weekly Trend'!$B$3),OR('Staff Weekly Trend'!$B$4="All",$D584='Staff Weekly Trend'!$B$4),OR('Staff Weekly Trend'!$B$5="All",$A584='Staff Weekly Trend'!$B$5))</f>
        <v>1</v>
      </c>
      <c r="AC584">
        <f t="shared" si="164"/>
        <v>3</v>
      </c>
      <c r="AI584">
        <f t="shared" si="165"/>
        <v>144</v>
      </c>
      <c r="AJ584">
        <f t="shared" si="166"/>
        <v>179</v>
      </c>
      <c r="AK584">
        <f t="shared" si="167"/>
        <v>133</v>
      </c>
      <c r="AL584">
        <f t="shared" si="168"/>
        <v>113</v>
      </c>
      <c r="AM584">
        <f t="shared" si="169"/>
        <v>23</v>
      </c>
      <c r="DH584" t="str" cm="1">
        <f t="array" ref="DH584">IF($A584="","",_xlfn.LET(_xlpm.c,IFERROR(_xlfn.XLOOKUP($A584,TRIM('Sales and count'!$A$4:$A$300&amp;""),TRIM('Sales and count'!$B$4:$B$300&amp;"")),""),IF(OR(_xlpm.c="",_xlpm.c="0",LEFT(_xlpm.c,1)="#"),"Not set",_xlpm.c)))</f>
        <v>KSA</v>
      </c>
    </row>
    <row r="585" spans="1:112" x14ac:dyDescent="0.25">
      <c r="A585" t="str">
        <f>IF('Staff Daily sales'!$B570="","",TRIM('Staff Daily sales'!$B570&amp;""))</f>
        <v>HAMAKKMAL</v>
      </c>
      <c r="B585" t="str">
        <f>IF('Staff Daily sales'!$D570="","",TRIM('Staff Daily sales'!$D570&amp;""))</f>
        <v>4568-YAlayani</v>
      </c>
      <c r="C585" t="str">
        <f>IFERROR(TRIM('Staff Daily sales'!$E570&amp;""),"")</f>
        <v>Makkah</v>
      </c>
      <c r="D585" t="str">
        <f>IFERROR(IF(TRIM('Staff Daily sales'!$F570&amp;"")="","Unassigned",TRIM('Staff Daily sales'!$F570&amp;"")),"Unassigned")</f>
        <v>Maram Zamzami</v>
      </c>
      <c r="E585">
        <f t="shared" si="154"/>
        <v>1</v>
      </c>
      <c r="F585">
        <f>IF($E585=0,0,SUMPRODUCT($AI$5:$DF$5,'Staff Daily sales'!$G570:$CD570))</f>
        <v>97</v>
      </c>
      <c r="G585">
        <f>IF($E585=0,0,SUMPRODUCT($AI$6:$DF$6,'Staff Daily sales'!$G570:$CD570))</f>
        <v>2</v>
      </c>
      <c r="H585">
        <f t="shared" si="155"/>
        <v>7126.61</v>
      </c>
      <c r="I585">
        <f t="shared" si="156"/>
        <v>34</v>
      </c>
      <c r="J585">
        <f t="shared" si="157"/>
        <v>89423.479999999967</v>
      </c>
      <c r="K585">
        <f t="shared" si="158"/>
        <v>413</v>
      </c>
      <c r="L585">
        <f>--AND($E585=1,OR('Staff Dashboard'!$B$6="All",$DH585='Staff Dashboard'!$B$6),OR('Staff Dashboard'!$B$7="All",$D585='Staff Dashboard'!$B$7),OR('Staff Dashboard'!$B$8="All",$A585='Staff Dashboard'!$B$8))</f>
        <v>1</v>
      </c>
      <c r="M585">
        <f>IF($E585=0,0,SUMPRODUCT($AI$7:$DF$7,'Staff Daily sales'!$G570:$CD570))</f>
        <v>0</v>
      </c>
      <c r="N585">
        <f>IF($E585=0,0,SUMPRODUCT($AI$8:$DF$8,'Staff Daily sales'!$G570:$CD570))</f>
        <v>0</v>
      </c>
      <c r="O585">
        <f>IF($E585=0,0,SUMPRODUCT($AI$9:$DF$9,'Staff Daily sales'!$G570:$CD570))</f>
        <v>0</v>
      </c>
      <c r="P585">
        <f>IF($E585=0,0,SUMPRODUCT($AI$10:$DF$10,'Staff Daily sales'!$G570:$CD570))</f>
        <v>0</v>
      </c>
      <c r="Q585">
        <f>IF($E585=0,0,SUMPRODUCT($AI$11:$DF$11,'Staff Daily sales'!$G570:$CD570))</f>
        <v>0</v>
      </c>
      <c r="R585">
        <f>IF($E585=0,0,SUMPRODUCT($AI$12:$DF$12,'Staff Daily sales'!$G570:$CD570))</f>
        <v>0</v>
      </c>
      <c r="S585">
        <f>IF($E585=0,0,SUMPRODUCT($AI$13:$DF$13,'Staff Daily sales'!$G570:$CD570))</f>
        <v>97</v>
      </c>
      <c r="T585">
        <f>IF($E585=0,0,SUMPRODUCT($AI$14:$DF$14,'Staff Daily sales'!$G570:$CD570))</f>
        <v>2</v>
      </c>
      <c r="U585">
        <f>IF($E585=0,0,SUMPRODUCT($AI$15:$DF$15,'Staff Daily sales'!$G570:$CD570))</f>
        <v>210.98</v>
      </c>
      <c r="V585">
        <f>IF($E585=0,0,SUMPRODUCT($AI$16:$DF$16,'Staff Daily sales'!$G570:$CD570))</f>
        <v>1</v>
      </c>
      <c r="W585">
        <f t="shared" si="159"/>
        <v>41464.950000000004</v>
      </c>
      <c r="X585">
        <f t="shared" si="160"/>
        <v>50424.98</v>
      </c>
      <c r="Y585">
        <f t="shared" si="161"/>
        <v>41279.35</v>
      </c>
      <c r="Z585">
        <f t="shared" si="162"/>
        <v>37102.6</v>
      </c>
      <c r="AA585">
        <f t="shared" si="163"/>
        <v>8276.9999999999982</v>
      </c>
      <c r="AB585">
        <f>--AND($E585=1,OR('Staff Weekly Trend'!$B$3="All",$DH585='Staff Weekly Trend'!$B$3),OR('Staff Weekly Trend'!$B$4="All",$D585='Staff Weekly Trend'!$B$4),OR('Staff Weekly Trend'!$B$5="All",$A585='Staff Weekly Trend'!$B$5))</f>
        <v>1</v>
      </c>
      <c r="AC585">
        <f t="shared" si="164"/>
        <v>5</v>
      </c>
      <c r="AI585">
        <f t="shared" si="165"/>
        <v>312</v>
      </c>
      <c r="AJ585">
        <f t="shared" si="166"/>
        <v>367</v>
      </c>
      <c r="AK585">
        <f t="shared" si="167"/>
        <v>269</v>
      </c>
      <c r="AL585">
        <f t="shared" si="168"/>
        <v>220</v>
      </c>
      <c r="AM585">
        <f t="shared" si="169"/>
        <v>49</v>
      </c>
      <c r="DH585" t="str" cm="1">
        <f t="array" ref="DH585">IF($A585="","",_xlfn.LET(_xlpm.c,IFERROR(_xlfn.XLOOKUP($A585,TRIM('Sales and count'!$A$4:$A$300&amp;""),TRIM('Sales and count'!$B$4:$B$300&amp;"")),""),IF(OR(_xlpm.c="",_xlpm.c="0",LEFT(_xlpm.c,1)="#"),"Not set",_xlpm.c)))</f>
        <v>KSA</v>
      </c>
    </row>
    <row r="586" spans="1:112" x14ac:dyDescent="0.25">
      <c r="A586" t="str">
        <f>IF('Staff Daily sales'!$B571="","",TRIM('Staff Daily sales'!$B571&amp;""))</f>
        <v>HAVILLAGE</v>
      </c>
      <c r="B586" t="str">
        <f>IF('Staff Daily sales'!$D571="","",TRIM('Staff Daily sales'!$D571&amp;""))</f>
        <v>5233-AIskandar</v>
      </c>
      <c r="C586" t="str">
        <f>IFERROR(TRIM('Staff Daily sales'!$E571&amp;""),"")</f>
        <v>Jeddah</v>
      </c>
      <c r="D586" t="str">
        <f>IFERROR(IF(TRIM('Staff Daily sales'!$F571&amp;"")="","Unassigned",TRIM('Staff Daily sales'!$F571&amp;"")),"Unassigned")</f>
        <v>Saleh Bin Hoiel</v>
      </c>
      <c r="E586">
        <f t="shared" si="154"/>
        <v>1</v>
      </c>
      <c r="F586">
        <f>IF($E586=0,0,SUMPRODUCT($AI$5:$DF$5,'Staff Daily sales'!$G571:$CD571))</f>
        <v>150</v>
      </c>
      <c r="G586">
        <f>IF($E586=0,0,SUMPRODUCT($AI$6:$DF$6,'Staff Daily sales'!$G571:$CD571))</f>
        <v>2</v>
      </c>
      <c r="H586">
        <f t="shared" si="155"/>
        <v>3189.9300000000003</v>
      </c>
      <c r="I586">
        <f t="shared" si="156"/>
        <v>32</v>
      </c>
      <c r="J586">
        <f t="shared" si="157"/>
        <v>69638.36</v>
      </c>
      <c r="K586">
        <f t="shared" si="158"/>
        <v>362</v>
      </c>
      <c r="L586">
        <f>--AND($E586=1,OR('Staff Dashboard'!$B$6="All",$DH586='Staff Dashboard'!$B$6),OR('Staff Dashboard'!$B$7="All",$D586='Staff Dashboard'!$B$7),OR('Staff Dashboard'!$B$8="All",$A586='Staff Dashboard'!$B$8))</f>
        <v>0</v>
      </c>
      <c r="M586">
        <f>IF($E586=0,0,SUMPRODUCT($AI$7:$DF$7,'Staff Daily sales'!$G571:$CD571))</f>
        <v>0</v>
      </c>
      <c r="N586">
        <f>IF($E586=0,0,SUMPRODUCT($AI$8:$DF$8,'Staff Daily sales'!$G571:$CD571))</f>
        <v>0</v>
      </c>
      <c r="O586">
        <f>IF($E586=0,0,SUMPRODUCT($AI$9:$DF$9,'Staff Daily sales'!$G571:$CD571))</f>
        <v>0</v>
      </c>
      <c r="P586">
        <f>IF($E586=0,0,SUMPRODUCT($AI$10:$DF$10,'Staff Daily sales'!$G571:$CD571))</f>
        <v>0</v>
      </c>
      <c r="Q586">
        <f>IF($E586=0,0,SUMPRODUCT($AI$11:$DF$11,'Staff Daily sales'!$G571:$CD571))</f>
        <v>0</v>
      </c>
      <c r="R586">
        <f>IF($E586=0,0,SUMPRODUCT($AI$12:$DF$12,'Staff Daily sales'!$G571:$CD571))</f>
        <v>0</v>
      </c>
      <c r="S586">
        <f>IF($E586=0,0,SUMPRODUCT($AI$13:$DF$13,'Staff Daily sales'!$G571:$CD571))</f>
        <v>4526</v>
      </c>
      <c r="T586">
        <f>IF($E586=0,0,SUMPRODUCT($AI$14:$DF$14,'Staff Daily sales'!$G571:$CD571))</f>
        <v>42</v>
      </c>
      <c r="U586">
        <f>IF($E586=0,0,SUMPRODUCT($AI$15:$DF$15,'Staff Daily sales'!$G571:$CD571))</f>
        <v>1476.02</v>
      </c>
      <c r="V586">
        <f>IF($E586=0,0,SUMPRODUCT($AI$16:$DF$16,'Staff Daily sales'!$G571:$CD571))</f>
        <v>12</v>
      </c>
      <c r="W586">
        <f t="shared" si="159"/>
        <v>19935.25</v>
      </c>
      <c r="X586">
        <f t="shared" si="160"/>
        <v>35898.949999999997</v>
      </c>
      <c r="Y586">
        <f t="shared" si="161"/>
        <v>27537.47</v>
      </c>
      <c r="Z586">
        <f t="shared" si="162"/>
        <v>18404.79</v>
      </c>
      <c r="AA586">
        <f t="shared" si="163"/>
        <v>7033.01</v>
      </c>
      <c r="AB586">
        <f>--AND($E586=1,OR('Staff Weekly Trend'!$B$3="All",$DH586='Staff Weekly Trend'!$B$3),OR('Staff Weekly Trend'!$B$4="All",$D586='Staff Weekly Trend'!$B$4),OR('Staff Weekly Trend'!$B$5="All",$A586='Staff Weekly Trend'!$B$5))</f>
        <v>1</v>
      </c>
      <c r="AC586">
        <f t="shared" si="164"/>
        <v>4</v>
      </c>
      <c r="AI586">
        <f t="shared" si="165"/>
        <v>184</v>
      </c>
      <c r="AJ586">
        <f t="shared" si="166"/>
        <v>290</v>
      </c>
      <c r="AK586">
        <f t="shared" si="167"/>
        <v>230</v>
      </c>
      <c r="AL586">
        <f t="shared" si="168"/>
        <v>158</v>
      </c>
      <c r="AM586">
        <f t="shared" si="169"/>
        <v>55</v>
      </c>
      <c r="DH586" t="str" cm="1">
        <f t="array" ref="DH586">IF($A586="","",_xlfn.LET(_xlpm.c,IFERROR(_xlfn.XLOOKUP($A586,TRIM('Sales and count'!$A$4:$A$300&amp;""),TRIM('Sales and count'!$B$4:$B$300&amp;"")),""),IF(OR(_xlpm.c="",_xlpm.c="0",LEFT(_xlpm.c,1)="#"),"Not set",_xlpm.c)))</f>
        <v>KSA</v>
      </c>
    </row>
    <row r="587" spans="1:112" x14ac:dyDescent="0.25">
      <c r="A587" t="str">
        <f>IF('Staff Daily sales'!$B572="","",TRIM('Staff Daily sales'!$B572&amp;""))</f>
        <v>SALAMA</v>
      </c>
      <c r="B587" t="str">
        <f>IF('Staff Daily sales'!$D572="","",TRIM('Staff Daily sales'!$D572&amp;""))</f>
        <v>3029-RAlawi</v>
      </c>
      <c r="C587" t="str">
        <f>IFERROR(TRIM('Staff Daily sales'!$E572&amp;""),"")</f>
        <v>Jeddah</v>
      </c>
      <c r="D587" t="str">
        <f>IFERROR(IF(TRIM('Staff Daily sales'!$F572&amp;"")="","Unassigned",TRIM('Staff Daily sales'!$F572&amp;"")),"Unassigned")</f>
        <v>Saleh Bin Hoiel</v>
      </c>
      <c r="E587">
        <f t="shared" si="154"/>
        <v>1</v>
      </c>
      <c r="F587">
        <f>IF($E587=0,0,SUMPRODUCT($AI$5:$DF$5,'Staff Daily sales'!$G572:$CD572))</f>
        <v>2810.78</v>
      </c>
      <c r="G587">
        <f>IF($E587=0,0,SUMPRODUCT($AI$6:$DF$6,'Staff Daily sales'!$G572:$CD572))</f>
        <v>16</v>
      </c>
      <c r="H587">
        <f t="shared" si="155"/>
        <v>21564.929999999997</v>
      </c>
      <c r="I587">
        <f t="shared" si="156"/>
        <v>55</v>
      </c>
      <c r="J587">
        <f t="shared" si="157"/>
        <v>69638.36</v>
      </c>
      <c r="K587">
        <f t="shared" si="158"/>
        <v>362</v>
      </c>
      <c r="L587">
        <f>--AND($E587=1,OR('Staff Dashboard'!$B$6="All",$DH587='Staff Dashboard'!$B$6),OR('Staff Dashboard'!$B$7="All",$D587='Staff Dashboard'!$B$7),OR('Staff Dashboard'!$B$8="All",$A587='Staff Dashboard'!$B$8))</f>
        <v>0</v>
      </c>
      <c r="M587">
        <f>IF($E587=0,0,SUMPRODUCT($AI$7:$DF$7,'Staff Daily sales'!$G572:$CD572))</f>
        <v>0</v>
      </c>
      <c r="N587">
        <f>IF($E587=0,0,SUMPRODUCT($AI$8:$DF$8,'Staff Daily sales'!$G572:$CD572))</f>
        <v>0</v>
      </c>
      <c r="O587">
        <f>IF($E587=0,0,SUMPRODUCT($AI$9:$DF$9,'Staff Daily sales'!$G572:$CD572))</f>
        <v>0</v>
      </c>
      <c r="P587">
        <f>IF($E587=0,0,SUMPRODUCT($AI$10:$DF$10,'Staff Daily sales'!$G572:$CD572))</f>
        <v>0</v>
      </c>
      <c r="Q587">
        <f>IF($E587=0,0,SUMPRODUCT($AI$11:$DF$11,'Staff Daily sales'!$G572:$CD572))</f>
        <v>0</v>
      </c>
      <c r="R587">
        <f>IF($E587=0,0,SUMPRODUCT($AI$12:$DF$12,'Staff Daily sales'!$G572:$CD572))</f>
        <v>0</v>
      </c>
      <c r="S587">
        <f>IF($E587=0,0,SUMPRODUCT($AI$13:$DF$13,'Staff Daily sales'!$G572:$CD572))</f>
        <v>10665.5</v>
      </c>
      <c r="T587">
        <f>IF($E587=0,0,SUMPRODUCT($AI$14:$DF$14,'Staff Daily sales'!$G572:$CD572))</f>
        <v>71</v>
      </c>
      <c r="U587">
        <f>IF($E587=0,0,SUMPRODUCT($AI$15:$DF$15,'Staff Daily sales'!$G572:$CD572))</f>
        <v>2642.0699999999997</v>
      </c>
      <c r="V587">
        <f>IF($E587=0,0,SUMPRODUCT($AI$16:$DF$16,'Staff Daily sales'!$G572:$CD572))</f>
        <v>17</v>
      </c>
      <c r="W587">
        <f t="shared" si="159"/>
        <v>49630.92</v>
      </c>
      <c r="X587">
        <f t="shared" si="160"/>
        <v>95147.790000000008</v>
      </c>
      <c r="Y587">
        <f t="shared" si="161"/>
        <v>62344.13</v>
      </c>
      <c r="Z587">
        <f t="shared" si="162"/>
        <v>88779.50999999998</v>
      </c>
      <c r="AA587">
        <f t="shared" si="163"/>
        <v>16142.02</v>
      </c>
      <c r="AB587">
        <f>--AND($E587=1,OR('Staff Weekly Trend'!$B$3="All",$DH587='Staff Weekly Trend'!$B$3),OR('Staff Weekly Trend'!$B$4="All",$D587='Staff Weekly Trend'!$B$4),OR('Staff Weekly Trend'!$B$5="All",$A587='Staff Weekly Trend'!$B$5))</f>
        <v>1</v>
      </c>
      <c r="AC587">
        <f t="shared" si="164"/>
        <v>3</v>
      </c>
      <c r="AI587">
        <f t="shared" si="165"/>
        <v>367</v>
      </c>
      <c r="AJ587">
        <f t="shared" si="166"/>
        <v>551</v>
      </c>
      <c r="AK587">
        <f t="shared" si="167"/>
        <v>375</v>
      </c>
      <c r="AL587">
        <f t="shared" si="168"/>
        <v>416</v>
      </c>
      <c r="AM587">
        <f t="shared" si="169"/>
        <v>93</v>
      </c>
      <c r="DH587" t="str" cm="1">
        <f t="array" ref="DH587">IF($A587="","",_xlfn.LET(_xlpm.c,IFERROR(_xlfn.XLOOKUP($A587,TRIM('Sales and count'!$A$4:$A$300&amp;""),TRIM('Sales and count'!$B$4:$B$300&amp;"")),""),IF(OR(_xlpm.c="",_xlpm.c="0",LEFT(_xlpm.c,1)="#"),"Not set",_xlpm.c)))</f>
        <v>KSA</v>
      </c>
    </row>
    <row r="588" spans="1:112" x14ac:dyDescent="0.25">
      <c r="A588" t="str">
        <f>IF('Staff Daily sales'!$B573="","",TRIM('Staff Daily sales'!$B573&amp;""))</f>
        <v>ABHATIMESQ</v>
      </c>
      <c r="B588" t="str">
        <f>IF('Staff Daily sales'!$D573="","",TRIM('Staff Daily sales'!$D573&amp;""))</f>
        <v>3391-AhlamAsiri</v>
      </c>
      <c r="C588" t="str">
        <f>IFERROR(TRIM('Staff Daily sales'!$E573&amp;""),"")</f>
        <v>Abha</v>
      </c>
      <c r="D588" t="str">
        <f>IFERROR(IF(TRIM('Staff Daily sales'!$F573&amp;"")="","Unassigned",TRIM('Staff Daily sales'!$F573&amp;"")),"Unassigned")</f>
        <v>Ahmed Jaffari</v>
      </c>
      <c r="E588">
        <f t="shared" si="154"/>
        <v>1</v>
      </c>
      <c r="F588">
        <f>IF($E588=0,0,SUMPRODUCT($AI$5:$DF$5,'Staff Daily sales'!$G573:$CD573))</f>
        <v>810.98</v>
      </c>
      <c r="G588">
        <f>IF($E588=0,0,SUMPRODUCT($AI$6:$DF$6,'Staff Daily sales'!$G573:$CD573))</f>
        <v>6</v>
      </c>
      <c r="H588">
        <f t="shared" si="155"/>
        <v>3209.85</v>
      </c>
      <c r="I588">
        <f t="shared" si="156"/>
        <v>21</v>
      </c>
      <c r="J588">
        <f t="shared" si="157"/>
        <v>44058.899999999994</v>
      </c>
      <c r="K588">
        <f t="shared" si="158"/>
        <v>244</v>
      </c>
      <c r="L588">
        <f>--AND($E588=1,OR('Staff Dashboard'!$B$6="All",$DH588='Staff Dashboard'!$B$6),OR('Staff Dashboard'!$B$7="All",$D588='Staff Dashboard'!$B$7),OR('Staff Dashboard'!$B$8="All",$A588='Staff Dashboard'!$B$8))</f>
        <v>0</v>
      </c>
      <c r="M588">
        <f>IF($E588=0,0,SUMPRODUCT($AI$7:$DF$7,'Staff Daily sales'!$G573:$CD573))</f>
        <v>0</v>
      </c>
      <c r="N588">
        <f>IF($E588=0,0,SUMPRODUCT($AI$8:$DF$8,'Staff Daily sales'!$G573:$CD573))</f>
        <v>0</v>
      </c>
      <c r="O588">
        <f>IF($E588=0,0,SUMPRODUCT($AI$9:$DF$9,'Staff Daily sales'!$G573:$CD573))</f>
        <v>0</v>
      </c>
      <c r="P588">
        <f>IF($E588=0,0,SUMPRODUCT($AI$10:$DF$10,'Staff Daily sales'!$G573:$CD573))</f>
        <v>0</v>
      </c>
      <c r="Q588">
        <f>IF($E588=0,0,SUMPRODUCT($AI$11:$DF$11,'Staff Daily sales'!$G573:$CD573))</f>
        <v>0</v>
      </c>
      <c r="R588">
        <f>IF($E588=0,0,SUMPRODUCT($AI$12:$DF$12,'Staff Daily sales'!$G573:$CD573))</f>
        <v>0</v>
      </c>
      <c r="S588">
        <f>IF($E588=0,0,SUMPRODUCT($AI$13:$DF$13,'Staff Daily sales'!$G573:$CD573))</f>
        <v>4789.8899999999994</v>
      </c>
      <c r="T588">
        <f>IF($E588=0,0,SUMPRODUCT($AI$14:$DF$14,'Staff Daily sales'!$G573:$CD573))</f>
        <v>30</v>
      </c>
      <c r="U588">
        <f>IF($E588=0,0,SUMPRODUCT($AI$15:$DF$15,'Staff Daily sales'!$G573:$CD573))</f>
        <v>581.98</v>
      </c>
      <c r="V588">
        <f>IF($E588=0,0,SUMPRODUCT($AI$16:$DF$16,'Staff Daily sales'!$G573:$CD573))</f>
        <v>5</v>
      </c>
      <c r="W588">
        <f t="shared" si="159"/>
        <v>22563.51</v>
      </c>
      <c r="X588">
        <f t="shared" si="160"/>
        <v>29116.400000000001</v>
      </c>
      <c r="Y588">
        <f t="shared" si="161"/>
        <v>25659.19</v>
      </c>
      <c r="Z588">
        <f t="shared" si="162"/>
        <v>21945.629999999997</v>
      </c>
      <c r="AA588">
        <f t="shared" si="163"/>
        <v>8028.0499999999993</v>
      </c>
      <c r="AB588">
        <f>--AND($E588=1,OR('Staff Weekly Trend'!$B$3="All",$DH588='Staff Weekly Trend'!$B$3),OR('Staff Weekly Trend'!$B$4="All",$D588='Staff Weekly Trend'!$B$4),OR('Staff Weekly Trend'!$B$5="All",$A588='Staff Weekly Trend'!$B$5))</f>
        <v>1</v>
      </c>
      <c r="AC588">
        <f t="shared" si="164"/>
        <v>2</v>
      </c>
      <c r="AI588">
        <f t="shared" si="165"/>
        <v>170</v>
      </c>
      <c r="AJ588">
        <f t="shared" si="166"/>
        <v>208</v>
      </c>
      <c r="AK588">
        <f t="shared" si="167"/>
        <v>178</v>
      </c>
      <c r="AL588">
        <f t="shared" si="168"/>
        <v>148</v>
      </c>
      <c r="AM588">
        <f t="shared" si="169"/>
        <v>44</v>
      </c>
      <c r="DH588" t="str" cm="1">
        <f t="array" ref="DH588">IF($A588="","",_xlfn.LET(_xlpm.c,IFERROR(_xlfn.XLOOKUP($A588,TRIM('Sales and count'!$A$4:$A$300&amp;""),TRIM('Sales and count'!$B$4:$B$300&amp;"")),""),IF(OR(_xlpm.c="",_xlpm.c="0",LEFT(_xlpm.c,1)="#"),"Not set",_xlpm.c)))</f>
        <v>KSA</v>
      </c>
    </row>
    <row r="589" spans="1:112" x14ac:dyDescent="0.25">
      <c r="A589" t="str">
        <f>IF('Staff Daily sales'!$B574="","",TRIM('Staff Daily sales'!$B574&amp;""))</f>
        <v>ALSHAWGIYAH</v>
      </c>
      <c r="B589" t="str">
        <f>IF('Staff Daily sales'!$D574="","",TRIM('Staff Daily sales'!$D574&amp;""))</f>
        <v>5357-NHilali</v>
      </c>
      <c r="C589" t="str">
        <f>IFERROR(TRIM('Staff Daily sales'!$E574&amp;""),"")</f>
        <v>Makkah</v>
      </c>
      <c r="D589" t="str">
        <f>IFERROR(IF(TRIM('Staff Daily sales'!$F574&amp;"")="","Unassigned",TRIM('Staff Daily sales'!$F574&amp;"")),"Unassigned")</f>
        <v>Maram Zamzami</v>
      </c>
      <c r="E589">
        <f t="shared" si="154"/>
        <v>1</v>
      </c>
      <c r="F589">
        <f>IF($E589=0,0,SUMPRODUCT($AI$5:$DF$5,'Staff Daily sales'!$G574:$CD574))</f>
        <v>0</v>
      </c>
      <c r="G589">
        <f>IF($E589=0,0,SUMPRODUCT($AI$6:$DF$6,'Staff Daily sales'!$G574:$CD574))</f>
        <v>0</v>
      </c>
      <c r="H589">
        <f t="shared" si="155"/>
        <v>7037.78</v>
      </c>
      <c r="I589">
        <f t="shared" si="156"/>
        <v>36</v>
      </c>
      <c r="J589">
        <f t="shared" si="157"/>
        <v>89423.479999999967</v>
      </c>
      <c r="K589">
        <f t="shared" si="158"/>
        <v>413</v>
      </c>
      <c r="L589">
        <f>--AND($E589=1,OR('Staff Dashboard'!$B$6="All",$DH589='Staff Dashboard'!$B$6),OR('Staff Dashboard'!$B$7="All",$D589='Staff Dashboard'!$B$7),OR('Staff Dashboard'!$B$8="All",$A589='Staff Dashboard'!$B$8))</f>
        <v>1</v>
      </c>
      <c r="M589">
        <f>IF($E589=0,0,SUMPRODUCT($AI$7:$DF$7,'Staff Daily sales'!$G574:$CD574))</f>
        <v>0</v>
      </c>
      <c r="N589">
        <f>IF($E589=0,0,SUMPRODUCT($AI$8:$DF$8,'Staff Daily sales'!$G574:$CD574))</f>
        <v>0</v>
      </c>
      <c r="O589">
        <f>IF($E589=0,0,SUMPRODUCT($AI$9:$DF$9,'Staff Daily sales'!$G574:$CD574))</f>
        <v>0</v>
      </c>
      <c r="P589">
        <f>IF($E589=0,0,SUMPRODUCT($AI$10:$DF$10,'Staff Daily sales'!$G574:$CD574))</f>
        <v>0</v>
      </c>
      <c r="Q589">
        <f>IF($E589=0,0,SUMPRODUCT($AI$11:$DF$11,'Staff Daily sales'!$G574:$CD574))</f>
        <v>0</v>
      </c>
      <c r="R589">
        <f>IF($E589=0,0,SUMPRODUCT($AI$12:$DF$12,'Staff Daily sales'!$G574:$CD574))</f>
        <v>0</v>
      </c>
      <c r="S589">
        <f>IF($E589=0,0,SUMPRODUCT($AI$13:$DF$13,'Staff Daily sales'!$G574:$CD574))</f>
        <v>0</v>
      </c>
      <c r="T589">
        <f>IF($E589=0,0,SUMPRODUCT($AI$14:$DF$14,'Staff Daily sales'!$G574:$CD574))</f>
        <v>0</v>
      </c>
      <c r="U589">
        <f>IF($E589=0,0,SUMPRODUCT($AI$15:$DF$15,'Staff Daily sales'!$G574:$CD574))</f>
        <v>1337.98</v>
      </c>
      <c r="V589">
        <f>IF($E589=0,0,SUMPRODUCT($AI$16:$DF$16,'Staff Daily sales'!$G574:$CD574))</f>
        <v>10</v>
      </c>
      <c r="W589">
        <f t="shared" si="159"/>
        <v>28935.53</v>
      </c>
      <c r="X589">
        <f t="shared" si="160"/>
        <v>59731.88</v>
      </c>
      <c r="Y589">
        <f t="shared" si="161"/>
        <v>50311.839999999997</v>
      </c>
      <c r="Z589">
        <f t="shared" si="162"/>
        <v>39812.939999999995</v>
      </c>
      <c r="AA589">
        <f t="shared" si="163"/>
        <v>9199.09</v>
      </c>
      <c r="AB589">
        <f>--AND($E589=1,OR('Staff Weekly Trend'!$B$3="All",$DH589='Staff Weekly Trend'!$B$3),OR('Staff Weekly Trend'!$B$4="All",$D589='Staff Weekly Trend'!$B$4),OR('Staff Weekly Trend'!$B$5="All",$A589='Staff Weekly Trend'!$B$5))</f>
        <v>1</v>
      </c>
      <c r="AC589" t="str">
        <f t="shared" si="164"/>
        <v/>
      </c>
      <c r="AI589">
        <f t="shared" si="165"/>
        <v>191</v>
      </c>
      <c r="AJ589">
        <f t="shared" si="166"/>
        <v>385</v>
      </c>
      <c r="AK589">
        <f t="shared" si="167"/>
        <v>318</v>
      </c>
      <c r="AL589">
        <f t="shared" si="168"/>
        <v>228</v>
      </c>
      <c r="AM589">
        <f t="shared" si="169"/>
        <v>57</v>
      </c>
      <c r="DH589" t="str" cm="1">
        <f t="array" ref="DH589">IF($A589="","",_xlfn.LET(_xlpm.c,IFERROR(_xlfn.XLOOKUP($A589,TRIM('Sales and count'!$A$4:$A$300&amp;""),TRIM('Sales and count'!$B$4:$B$300&amp;"")),""),IF(OR(_xlpm.c="",_xlpm.c="0",LEFT(_xlpm.c,1)="#"),"Not set",_xlpm.c)))</f>
        <v>KSA</v>
      </c>
    </row>
    <row r="590" spans="1:112" x14ac:dyDescent="0.25">
      <c r="A590" t="str">
        <f>IF('Staff Daily sales'!$B575="","",TRIM('Staff Daily sales'!$B575&amp;""))</f>
        <v>JEDDARAB</v>
      </c>
      <c r="B590" t="str">
        <f>IF('Staff Daily sales'!$D575="","",TRIM('Staff Daily sales'!$D575&amp;""))</f>
        <v>3490-NAlmukhlafi</v>
      </c>
      <c r="C590" t="str">
        <f>IFERROR(TRIM('Staff Daily sales'!$E575&amp;""),"")</f>
        <v>Jeddah</v>
      </c>
      <c r="D590" t="str">
        <f>IFERROR(IF(TRIM('Staff Daily sales'!$F575&amp;"")="","Unassigned",TRIM('Staff Daily sales'!$F575&amp;"")),"Unassigned")</f>
        <v>Saleh Bin Hoiel</v>
      </c>
      <c r="E590">
        <f t="shared" si="154"/>
        <v>1</v>
      </c>
      <c r="F590">
        <f>IF($E590=0,0,SUMPRODUCT($AI$5:$DF$5,'Staff Daily sales'!$G575:$CD575))</f>
        <v>0</v>
      </c>
      <c r="G590">
        <f>IF($E590=0,0,SUMPRODUCT($AI$6:$DF$6,'Staff Daily sales'!$G575:$CD575))</f>
        <v>0</v>
      </c>
      <c r="H590">
        <f t="shared" si="155"/>
        <v>6469.6200000000008</v>
      </c>
      <c r="I590">
        <f t="shared" si="156"/>
        <v>44</v>
      </c>
      <c r="J590">
        <f t="shared" si="157"/>
        <v>69638.36</v>
      </c>
      <c r="K590">
        <f t="shared" si="158"/>
        <v>362</v>
      </c>
      <c r="L590">
        <f>--AND($E590=1,OR('Staff Dashboard'!$B$6="All",$DH590='Staff Dashboard'!$B$6),OR('Staff Dashboard'!$B$7="All",$D590='Staff Dashboard'!$B$7),OR('Staff Dashboard'!$B$8="All",$A590='Staff Dashboard'!$B$8))</f>
        <v>0</v>
      </c>
      <c r="M590">
        <f>IF($E590=0,0,SUMPRODUCT($AI$7:$DF$7,'Staff Daily sales'!$G575:$CD575))</f>
        <v>0</v>
      </c>
      <c r="N590">
        <f>IF($E590=0,0,SUMPRODUCT($AI$8:$DF$8,'Staff Daily sales'!$G575:$CD575))</f>
        <v>0</v>
      </c>
      <c r="O590">
        <f>IF($E590=0,0,SUMPRODUCT($AI$9:$DF$9,'Staff Daily sales'!$G575:$CD575))</f>
        <v>0</v>
      </c>
      <c r="P590">
        <f>IF($E590=0,0,SUMPRODUCT($AI$10:$DF$10,'Staff Daily sales'!$G575:$CD575))</f>
        <v>0</v>
      </c>
      <c r="Q590">
        <f>IF($E590=0,0,SUMPRODUCT($AI$11:$DF$11,'Staff Daily sales'!$G575:$CD575))</f>
        <v>0</v>
      </c>
      <c r="R590">
        <f>IF($E590=0,0,SUMPRODUCT($AI$12:$DF$12,'Staff Daily sales'!$G575:$CD575))</f>
        <v>0</v>
      </c>
      <c r="S590">
        <f>IF($E590=0,0,SUMPRODUCT($AI$13:$DF$13,'Staff Daily sales'!$G575:$CD575))</f>
        <v>5855.86</v>
      </c>
      <c r="T590">
        <f>IF($E590=0,0,SUMPRODUCT($AI$14:$DF$14,'Staff Daily sales'!$G575:$CD575))</f>
        <v>44</v>
      </c>
      <c r="U590">
        <f>IF($E590=0,0,SUMPRODUCT($AI$15:$DF$15,'Staff Daily sales'!$G575:$CD575))</f>
        <v>2152.02</v>
      </c>
      <c r="V590">
        <f>IF($E590=0,0,SUMPRODUCT($AI$16:$DF$16,'Staff Daily sales'!$G575:$CD575))</f>
        <v>14</v>
      </c>
      <c r="W590">
        <f t="shared" si="159"/>
        <v>36936.79</v>
      </c>
      <c r="X590">
        <f t="shared" si="160"/>
        <v>61993.979999999996</v>
      </c>
      <c r="Y590">
        <f t="shared" si="161"/>
        <v>41233.72</v>
      </c>
      <c r="Z590">
        <f t="shared" si="162"/>
        <v>42589.340000000004</v>
      </c>
      <c r="AA590">
        <f t="shared" si="163"/>
        <v>12967.07</v>
      </c>
      <c r="AB590">
        <f>--AND($E590=1,OR('Staff Weekly Trend'!$B$3="All",$DH590='Staff Weekly Trend'!$B$3),OR('Staff Weekly Trend'!$B$4="All",$D590='Staff Weekly Trend'!$B$4),OR('Staff Weekly Trend'!$B$5="All",$A590='Staff Weekly Trend'!$B$5))</f>
        <v>1</v>
      </c>
      <c r="AC590" t="str">
        <f t="shared" si="164"/>
        <v/>
      </c>
      <c r="AI590">
        <f t="shared" si="165"/>
        <v>289</v>
      </c>
      <c r="AJ590">
        <f t="shared" si="166"/>
        <v>401</v>
      </c>
      <c r="AK590">
        <f t="shared" si="167"/>
        <v>305</v>
      </c>
      <c r="AL590">
        <f t="shared" si="168"/>
        <v>282</v>
      </c>
      <c r="AM590">
        <f t="shared" si="169"/>
        <v>73</v>
      </c>
      <c r="DH590" t="str" cm="1">
        <f t="array" ref="DH590">IF($A590="","",_xlfn.LET(_xlpm.c,IFERROR(_xlfn.XLOOKUP($A590,TRIM('Sales and count'!$A$4:$A$300&amp;""),TRIM('Sales and count'!$B$4:$B$300&amp;"")),""),IF(OR(_xlpm.c="",_xlpm.c="0",LEFT(_xlpm.c,1)="#"),"Not set",_xlpm.c)))</f>
        <v>KSA</v>
      </c>
    </row>
    <row r="591" spans="1:112" x14ac:dyDescent="0.25">
      <c r="A591" t="str">
        <f>IF('Staff Daily sales'!$B576="","",TRIM('Staff Daily sales'!$B576&amp;""))</f>
        <v>HATASSPLZ</v>
      </c>
      <c r="B591" t="str">
        <f>IF('Staff Daily sales'!$D576="","",TRIM('Staff Daily sales'!$D576&amp;""))</f>
        <v>6050-AAlsalam</v>
      </c>
      <c r="C591" t="str">
        <f>IFERROR(TRIM('Staff Daily sales'!$E576&amp;""),"")</f>
        <v>Makkah</v>
      </c>
      <c r="D591" t="str">
        <f>IFERROR(IF(TRIM('Staff Daily sales'!$F576&amp;"")="","Unassigned",TRIM('Staff Daily sales'!$F576&amp;"")),"Unassigned")</f>
        <v>Maram Zamzami</v>
      </c>
      <c r="E591">
        <f t="shared" si="154"/>
        <v>1</v>
      </c>
      <c r="F591">
        <f>IF($E591=0,0,SUMPRODUCT($AI$5:$DF$5,'Staff Daily sales'!$G576:$CD576))</f>
        <v>1290.92</v>
      </c>
      <c r="G591">
        <f>IF($E591=0,0,SUMPRODUCT($AI$6:$DF$6,'Staff Daily sales'!$G576:$CD576))</f>
        <v>7</v>
      </c>
      <c r="H591">
        <f t="shared" si="155"/>
        <v>1937.89</v>
      </c>
      <c r="I591">
        <f t="shared" si="156"/>
        <v>10</v>
      </c>
      <c r="J591">
        <f t="shared" si="157"/>
        <v>89423.479999999967</v>
      </c>
      <c r="K591">
        <f t="shared" si="158"/>
        <v>413</v>
      </c>
      <c r="L591">
        <f>--AND($E591=1,OR('Staff Dashboard'!$B$6="All",$DH591='Staff Dashboard'!$B$6),OR('Staff Dashboard'!$B$7="All",$D591='Staff Dashboard'!$B$7),OR('Staff Dashboard'!$B$8="All",$A591='Staff Dashboard'!$B$8))</f>
        <v>1</v>
      </c>
      <c r="M591">
        <f>IF($E591=0,0,SUMPRODUCT($AI$7:$DF$7,'Staff Daily sales'!$G576:$CD576))</f>
        <v>0</v>
      </c>
      <c r="N591">
        <f>IF($E591=0,0,SUMPRODUCT($AI$8:$DF$8,'Staff Daily sales'!$G576:$CD576))</f>
        <v>0</v>
      </c>
      <c r="O591">
        <f>IF($E591=0,0,SUMPRODUCT($AI$9:$DF$9,'Staff Daily sales'!$G576:$CD576))</f>
        <v>0</v>
      </c>
      <c r="P591">
        <f>IF($E591=0,0,SUMPRODUCT($AI$10:$DF$10,'Staff Daily sales'!$G576:$CD576))</f>
        <v>0</v>
      </c>
      <c r="Q591">
        <f>IF($E591=0,0,SUMPRODUCT($AI$11:$DF$11,'Staff Daily sales'!$G576:$CD576))</f>
        <v>0</v>
      </c>
      <c r="R591">
        <f>IF($E591=0,0,SUMPRODUCT($AI$12:$DF$12,'Staff Daily sales'!$G576:$CD576))</f>
        <v>0</v>
      </c>
      <c r="S591">
        <f>IF($E591=0,0,SUMPRODUCT($AI$13:$DF$13,'Staff Daily sales'!$G576:$CD576))</f>
        <v>11032.859999999999</v>
      </c>
      <c r="T591">
        <f>IF($E591=0,0,SUMPRODUCT($AI$14:$DF$14,'Staff Daily sales'!$G576:$CD576))</f>
        <v>59</v>
      </c>
      <c r="U591">
        <f>IF($E591=0,0,SUMPRODUCT($AI$15:$DF$15,'Staff Daily sales'!$G576:$CD576))</f>
        <v>2305.86</v>
      </c>
      <c r="V591">
        <f>IF($E591=0,0,SUMPRODUCT($AI$16:$DF$16,'Staff Daily sales'!$G576:$CD576))</f>
        <v>14</v>
      </c>
      <c r="W591">
        <f t="shared" si="159"/>
        <v>11734.35</v>
      </c>
      <c r="X591">
        <f t="shared" si="160"/>
        <v>21291.310000000005</v>
      </c>
      <c r="Y591">
        <f t="shared" si="161"/>
        <v>16192.36</v>
      </c>
      <c r="Z591">
        <f t="shared" si="162"/>
        <v>15843.8</v>
      </c>
      <c r="AA591">
        <f t="shared" si="163"/>
        <v>2736.84</v>
      </c>
      <c r="AB591">
        <f>--AND($E591=1,OR('Staff Weekly Trend'!$B$3="All",$DH591='Staff Weekly Trend'!$B$3),OR('Staff Weekly Trend'!$B$4="All",$D591='Staff Weekly Trend'!$B$4),OR('Staff Weekly Trend'!$B$5="All",$A591='Staff Weekly Trend'!$B$5))</f>
        <v>1</v>
      </c>
      <c r="AC591">
        <f t="shared" si="164"/>
        <v>1</v>
      </c>
      <c r="AI591">
        <f t="shared" si="165"/>
        <v>58</v>
      </c>
      <c r="AJ591">
        <f t="shared" si="166"/>
        <v>88</v>
      </c>
      <c r="AK591">
        <f t="shared" si="167"/>
        <v>90</v>
      </c>
      <c r="AL591">
        <f t="shared" si="168"/>
        <v>83</v>
      </c>
      <c r="AM591">
        <f t="shared" si="169"/>
        <v>16</v>
      </c>
      <c r="DH591" t="str" cm="1">
        <f t="array" ref="DH591">IF($A591="","",_xlfn.LET(_xlpm.c,IFERROR(_xlfn.XLOOKUP($A591,TRIM('Sales and count'!$A$4:$A$300&amp;""),TRIM('Sales and count'!$B$4:$B$300&amp;"")),""),IF(OR(_xlpm.c="",_xlpm.c="0",LEFT(_xlpm.c,1)="#"),"Not set",_xlpm.c)))</f>
        <v>KSA</v>
      </c>
    </row>
    <row r="592" spans="1:112" x14ac:dyDescent="0.25">
      <c r="A592" t="str">
        <f>IF('Staff Daily sales'!$B577="","",TRIM('Staff Daily sales'!$B577&amp;""))</f>
        <v>HAOTHMTH</v>
      </c>
      <c r="B592" t="str">
        <f>IF('Staff Daily sales'!$D577="","",TRIM('Staff Daily sales'!$D577&amp;""))</f>
        <v>4866-EAlmutari</v>
      </c>
      <c r="C592" t="str">
        <f>IFERROR(TRIM('Staff Daily sales'!$E577&amp;""),"")</f>
        <v>Muthnab</v>
      </c>
      <c r="D592" t="str">
        <f>IFERROR(IF(TRIM('Staff Daily sales'!$F577&amp;"")="","Unassigned",TRIM('Staff Daily sales'!$F577&amp;"")),"Unassigned")</f>
        <v>Lina Al Ghathami</v>
      </c>
      <c r="E592">
        <f t="shared" si="154"/>
        <v>1</v>
      </c>
      <c r="F592">
        <f>IF($E592=0,0,SUMPRODUCT($AI$5:$DF$5,'Staff Daily sales'!$G577:$CD577))</f>
        <v>0</v>
      </c>
      <c r="G592">
        <f>IF($E592=0,0,SUMPRODUCT($AI$6:$DF$6,'Staff Daily sales'!$G577:$CD577))</f>
        <v>0</v>
      </c>
      <c r="H592">
        <f t="shared" si="155"/>
        <v>400</v>
      </c>
      <c r="I592">
        <f t="shared" si="156"/>
        <v>4</v>
      </c>
      <c r="J592">
        <f t="shared" si="157"/>
        <v>62915.250000000007</v>
      </c>
      <c r="K592">
        <f t="shared" si="158"/>
        <v>385</v>
      </c>
      <c r="L592">
        <f>--AND($E592=1,OR('Staff Dashboard'!$B$6="All",$DH592='Staff Dashboard'!$B$6),OR('Staff Dashboard'!$B$7="All",$D592='Staff Dashboard'!$B$7),OR('Staff Dashboard'!$B$8="All",$A592='Staff Dashboard'!$B$8))</f>
        <v>0</v>
      </c>
      <c r="M592">
        <f>IF($E592=0,0,SUMPRODUCT($AI$7:$DF$7,'Staff Daily sales'!$G577:$CD577))</f>
        <v>0</v>
      </c>
      <c r="N592">
        <f>IF($E592=0,0,SUMPRODUCT($AI$8:$DF$8,'Staff Daily sales'!$G577:$CD577))</f>
        <v>0</v>
      </c>
      <c r="O592">
        <f>IF($E592=0,0,SUMPRODUCT($AI$9:$DF$9,'Staff Daily sales'!$G577:$CD577))</f>
        <v>0</v>
      </c>
      <c r="P592">
        <f>IF($E592=0,0,SUMPRODUCT($AI$10:$DF$10,'Staff Daily sales'!$G577:$CD577))</f>
        <v>0</v>
      </c>
      <c r="Q592">
        <f>IF($E592=0,0,SUMPRODUCT($AI$11:$DF$11,'Staff Daily sales'!$G577:$CD577))</f>
        <v>0</v>
      </c>
      <c r="R592">
        <f>IF($E592=0,0,SUMPRODUCT($AI$12:$DF$12,'Staff Daily sales'!$G577:$CD577))</f>
        <v>0</v>
      </c>
      <c r="S592">
        <f>IF($E592=0,0,SUMPRODUCT($AI$13:$DF$13,'Staff Daily sales'!$G577:$CD577))</f>
        <v>0</v>
      </c>
      <c r="T592">
        <f>IF($E592=0,0,SUMPRODUCT($AI$14:$DF$14,'Staff Daily sales'!$G577:$CD577))</f>
        <v>0</v>
      </c>
      <c r="U592">
        <f>IF($E592=0,0,SUMPRODUCT($AI$15:$DF$15,'Staff Daily sales'!$G577:$CD577))</f>
        <v>257.98</v>
      </c>
      <c r="V592">
        <f>IF($E592=0,0,SUMPRODUCT($AI$16:$DF$16,'Staff Daily sales'!$G577:$CD577))</f>
        <v>2</v>
      </c>
      <c r="W592">
        <f t="shared" si="159"/>
        <v>3706.04</v>
      </c>
      <c r="X592">
        <f t="shared" si="160"/>
        <v>5753.08</v>
      </c>
      <c r="Y592">
        <f t="shared" si="161"/>
        <v>3494.0899999999997</v>
      </c>
      <c r="Z592">
        <f t="shared" si="162"/>
        <v>2394.0299999999997</v>
      </c>
      <c r="AA592">
        <f t="shared" si="163"/>
        <v>884</v>
      </c>
      <c r="AB592">
        <f>--AND($E592=1,OR('Staff Weekly Trend'!$B$3="All",$DH592='Staff Weekly Trend'!$B$3),OR('Staff Weekly Trend'!$B$4="All",$D592='Staff Weekly Trend'!$B$4),OR('Staff Weekly Trend'!$B$5="All",$A592='Staff Weekly Trend'!$B$5))</f>
        <v>1</v>
      </c>
      <c r="AC592" t="str">
        <f t="shared" si="164"/>
        <v/>
      </c>
      <c r="AI592">
        <f t="shared" si="165"/>
        <v>36</v>
      </c>
      <c r="AJ592">
        <f t="shared" si="166"/>
        <v>46</v>
      </c>
      <c r="AK592">
        <f t="shared" si="167"/>
        <v>34</v>
      </c>
      <c r="AL592">
        <f t="shared" si="168"/>
        <v>23</v>
      </c>
      <c r="AM592">
        <f t="shared" si="169"/>
        <v>7</v>
      </c>
      <c r="DH592" t="str" cm="1">
        <f t="array" ref="DH592">IF($A592="","",_xlfn.LET(_xlpm.c,IFERROR(_xlfn.XLOOKUP($A592,TRIM('Sales and count'!$A$4:$A$300&amp;""),TRIM('Sales and count'!$B$4:$B$300&amp;"")),""),IF(OR(_xlpm.c="",_xlpm.c="0",LEFT(_xlpm.c,1)="#"),"Not set",_xlpm.c)))</f>
        <v>KSA</v>
      </c>
    </row>
    <row r="593" spans="1:112" x14ac:dyDescent="0.25">
      <c r="A593" t="str">
        <f>IF('Staff Daily sales'!$B578="","",TRIM('Staff Daily sales'!$B578&amp;""))</f>
        <v>HAARARSOQ</v>
      </c>
      <c r="B593" t="str">
        <f>IF('Staff Daily sales'!$D578="","",TRIM('Staff Daily sales'!$D578&amp;""))</f>
        <v>5366-AAl-Juwair</v>
      </c>
      <c r="C593" t="str">
        <f>IFERROR(TRIM('Staff Daily sales'!$E578&amp;""),"")</f>
        <v>Arar</v>
      </c>
      <c r="D593" t="str">
        <f>IFERROR(IF(TRIM('Staff Daily sales'!$F578&amp;"")="","Unassigned",TRIM('Staff Daily sales'!$F578&amp;"")),"Unassigned")</f>
        <v>Mohammed Sanad</v>
      </c>
      <c r="E593">
        <f t="shared" si="154"/>
        <v>1</v>
      </c>
      <c r="F593">
        <f>IF($E593=0,0,SUMPRODUCT($AI$5:$DF$5,'Staff Daily sales'!$G578:$CD578))</f>
        <v>945.98</v>
      </c>
      <c r="G593">
        <f>IF($E593=0,0,SUMPRODUCT($AI$6:$DF$6,'Staff Daily sales'!$G578:$CD578))</f>
        <v>3</v>
      </c>
      <c r="H593">
        <f t="shared" si="155"/>
        <v>1749.95</v>
      </c>
      <c r="I593">
        <f t="shared" si="156"/>
        <v>9</v>
      </c>
      <c r="J593">
        <f t="shared" si="157"/>
        <v>64682.640000000014</v>
      </c>
      <c r="K593">
        <f t="shared" si="158"/>
        <v>326</v>
      </c>
      <c r="L593">
        <f>--AND($E593=1,OR('Staff Dashboard'!$B$6="All",$DH593='Staff Dashboard'!$B$6),OR('Staff Dashboard'!$B$7="All",$D593='Staff Dashboard'!$B$7),OR('Staff Dashboard'!$B$8="All",$A593='Staff Dashboard'!$B$8))</f>
        <v>0</v>
      </c>
      <c r="M593">
        <f>IF($E593=0,0,SUMPRODUCT($AI$7:$DF$7,'Staff Daily sales'!$G578:$CD578))</f>
        <v>0</v>
      </c>
      <c r="N593">
        <f>IF($E593=0,0,SUMPRODUCT($AI$8:$DF$8,'Staff Daily sales'!$G578:$CD578))</f>
        <v>0</v>
      </c>
      <c r="O593">
        <f>IF($E593=0,0,SUMPRODUCT($AI$9:$DF$9,'Staff Daily sales'!$G578:$CD578))</f>
        <v>0</v>
      </c>
      <c r="P593">
        <f>IF($E593=0,0,SUMPRODUCT($AI$10:$DF$10,'Staff Daily sales'!$G578:$CD578))</f>
        <v>0</v>
      </c>
      <c r="Q593">
        <f>IF($E593=0,0,SUMPRODUCT($AI$11:$DF$11,'Staff Daily sales'!$G578:$CD578))</f>
        <v>0</v>
      </c>
      <c r="R593">
        <f>IF($E593=0,0,SUMPRODUCT($AI$12:$DF$12,'Staff Daily sales'!$G578:$CD578))</f>
        <v>0</v>
      </c>
      <c r="S593">
        <f>IF($E593=0,0,SUMPRODUCT($AI$13:$DF$13,'Staff Daily sales'!$G578:$CD578))</f>
        <v>1832.94</v>
      </c>
      <c r="T593">
        <f>IF($E593=0,0,SUMPRODUCT($AI$14:$DF$14,'Staff Daily sales'!$G578:$CD578))</f>
        <v>7</v>
      </c>
      <c r="U593">
        <f>IF($E593=0,0,SUMPRODUCT($AI$15:$DF$15,'Staff Daily sales'!$G578:$CD578))</f>
        <v>610.99</v>
      </c>
      <c r="V593">
        <f>IF($E593=0,0,SUMPRODUCT($AI$16:$DF$16,'Staff Daily sales'!$G578:$CD578))</f>
        <v>4</v>
      </c>
      <c r="W593">
        <f t="shared" si="159"/>
        <v>11575.25</v>
      </c>
      <c r="X593">
        <f t="shared" si="160"/>
        <v>14713.14</v>
      </c>
      <c r="Y593">
        <f t="shared" si="161"/>
        <v>12694.13</v>
      </c>
      <c r="Z593">
        <f t="shared" si="162"/>
        <v>13245.000000000002</v>
      </c>
      <c r="AA593">
        <f t="shared" si="163"/>
        <v>2515.98</v>
      </c>
      <c r="AB593">
        <f>--AND($E593=1,OR('Staff Weekly Trend'!$B$3="All",$DH593='Staff Weekly Trend'!$B$3),OR('Staff Weekly Trend'!$B$4="All",$D593='Staff Weekly Trend'!$B$4),OR('Staff Weekly Trend'!$B$5="All",$A593='Staff Weekly Trend'!$B$5))</f>
        <v>1</v>
      </c>
      <c r="AC593">
        <f t="shared" si="164"/>
        <v>1</v>
      </c>
      <c r="AI593">
        <f t="shared" si="165"/>
        <v>99</v>
      </c>
      <c r="AJ593">
        <f t="shared" si="166"/>
        <v>108</v>
      </c>
      <c r="AK593">
        <f t="shared" si="167"/>
        <v>78</v>
      </c>
      <c r="AL593">
        <f t="shared" si="168"/>
        <v>72</v>
      </c>
      <c r="AM593">
        <f t="shared" si="169"/>
        <v>22</v>
      </c>
      <c r="DH593" t="str" cm="1">
        <f t="array" ref="DH593">IF($A593="","",_xlfn.LET(_xlpm.c,IFERROR(_xlfn.XLOOKUP($A593,TRIM('Sales and count'!$A$4:$A$300&amp;""),TRIM('Sales and count'!$B$4:$B$300&amp;"")),""),IF(OR(_xlpm.c="",_xlpm.c="0",LEFT(_xlpm.c,1)="#"),"Not set",_xlpm.c)))</f>
        <v>KSA</v>
      </c>
    </row>
    <row r="594" spans="1:112" x14ac:dyDescent="0.25">
      <c r="A594" t="str">
        <f>IF('Staff Daily sales'!$B579="","",TRIM('Staff Daily sales'!$B579&amp;""))</f>
        <v>HADANAMAK</v>
      </c>
      <c r="B594" t="str">
        <f>IF('Staff Daily sales'!$D579="","",TRIM('Staff Daily sales'!$D579&amp;""))</f>
        <v>5981-AAlqurashi</v>
      </c>
      <c r="C594" t="str">
        <f>IFERROR(TRIM('Staff Daily sales'!$E579&amp;""),"")</f>
        <v>Makkah</v>
      </c>
      <c r="D594" t="str">
        <f>IFERROR(IF(TRIM('Staff Daily sales'!$F579&amp;"")="","Unassigned",TRIM('Staff Daily sales'!$F579&amp;"")),"Unassigned")</f>
        <v>Maram Zamzami</v>
      </c>
      <c r="E594">
        <f t="shared" si="154"/>
        <v>1</v>
      </c>
      <c r="F594">
        <f>IF($E594=0,0,SUMPRODUCT($AI$5:$DF$5,'Staff Daily sales'!$G579:$CD579))</f>
        <v>0</v>
      </c>
      <c r="G594">
        <f>IF($E594=0,0,SUMPRODUCT($AI$6:$DF$6,'Staff Daily sales'!$G579:$CD579))</f>
        <v>0</v>
      </c>
      <c r="H594">
        <f t="shared" si="155"/>
        <v>3607.86</v>
      </c>
      <c r="I594">
        <f t="shared" si="156"/>
        <v>12</v>
      </c>
      <c r="J594">
        <f t="shared" si="157"/>
        <v>89423.479999999967</v>
      </c>
      <c r="K594">
        <f t="shared" si="158"/>
        <v>413</v>
      </c>
      <c r="L594">
        <f>--AND($E594=1,OR('Staff Dashboard'!$B$6="All",$DH594='Staff Dashboard'!$B$6),OR('Staff Dashboard'!$B$7="All",$D594='Staff Dashboard'!$B$7),OR('Staff Dashboard'!$B$8="All",$A594='Staff Dashboard'!$B$8))</f>
        <v>1</v>
      </c>
      <c r="M594">
        <f>IF($E594=0,0,SUMPRODUCT($AI$7:$DF$7,'Staff Daily sales'!$G579:$CD579))</f>
        <v>0</v>
      </c>
      <c r="N594">
        <f>IF($E594=0,0,SUMPRODUCT($AI$8:$DF$8,'Staff Daily sales'!$G579:$CD579))</f>
        <v>0</v>
      </c>
      <c r="O594">
        <f>IF($E594=0,0,SUMPRODUCT($AI$9:$DF$9,'Staff Daily sales'!$G579:$CD579))</f>
        <v>0</v>
      </c>
      <c r="P594">
        <f>IF($E594=0,0,SUMPRODUCT($AI$10:$DF$10,'Staff Daily sales'!$G579:$CD579))</f>
        <v>0</v>
      </c>
      <c r="Q594">
        <f>IF($E594=0,0,SUMPRODUCT($AI$11:$DF$11,'Staff Daily sales'!$G579:$CD579))</f>
        <v>0</v>
      </c>
      <c r="R594">
        <f>IF($E594=0,0,SUMPRODUCT($AI$12:$DF$12,'Staff Daily sales'!$G579:$CD579))</f>
        <v>0</v>
      </c>
      <c r="S594">
        <f>IF($E594=0,0,SUMPRODUCT($AI$13:$DF$13,'Staff Daily sales'!$G579:$CD579))</f>
        <v>4064.8900000000003</v>
      </c>
      <c r="T594">
        <f>IF($E594=0,0,SUMPRODUCT($AI$14:$DF$14,'Staff Daily sales'!$G579:$CD579))</f>
        <v>22</v>
      </c>
      <c r="U594">
        <f>IF($E594=0,0,SUMPRODUCT($AI$15:$DF$15,'Staff Daily sales'!$G579:$CD579))</f>
        <v>3907.1800000000003</v>
      </c>
      <c r="V594">
        <f>IF($E594=0,0,SUMPRODUCT($AI$16:$DF$16,'Staff Daily sales'!$G579:$CD579))</f>
        <v>13</v>
      </c>
      <c r="W594">
        <f t="shared" si="159"/>
        <v>18711.269999999997</v>
      </c>
      <c r="X594">
        <f t="shared" si="160"/>
        <v>27427.53</v>
      </c>
      <c r="Y594">
        <f t="shared" si="161"/>
        <v>26416.309999999998</v>
      </c>
      <c r="Z594">
        <f t="shared" si="162"/>
        <v>19653.740000000002</v>
      </c>
      <c r="AA594">
        <f t="shared" si="163"/>
        <v>5835.15</v>
      </c>
      <c r="AB594">
        <f>--AND($E594=1,OR('Staff Weekly Trend'!$B$3="All",$DH594='Staff Weekly Trend'!$B$3),OR('Staff Weekly Trend'!$B$4="All",$D594='Staff Weekly Trend'!$B$4),OR('Staff Weekly Trend'!$B$5="All",$A594='Staff Weekly Trend'!$B$5))</f>
        <v>1</v>
      </c>
      <c r="AC594" t="str">
        <f t="shared" si="164"/>
        <v/>
      </c>
      <c r="AI594">
        <f t="shared" si="165"/>
        <v>122</v>
      </c>
      <c r="AJ594">
        <f t="shared" si="166"/>
        <v>173</v>
      </c>
      <c r="AK594">
        <f t="shared" si="167"/>
        <v>151</v>
      </c>
      <c r="AL594">
        <f t="shared" si="168"/>
        <v>115</v>
      </c>
      <c r="AM594">
        <f t="shared" si="169"/>
        <v>25</v>
      </c>
      <c r="DH594" t="str" cm="1">
        <f t="array" ref="DH594">IF($A594="","",_xlfn.LET(_xlpm.c,IFERROR(_xlfn.XLOOKUP($A594,TRIM('Sales and count'!$A$4:$A$300&amp;""),TRIM('Sales and count'!$B$4:$B$300&amp;"")),""),IF(OR(_xlpm.c="",_xlpm.c="0",LEFT(_xlpm.c,1)="#"),"Not set",_xlpm.c)))</f>
        <v>KSA</v>
      </c>
    </row>
    <row r="595" spans="1:112" x14ac:dyDescent="0.25">
      <c r="A595" t="str">
        <f>IF('Staff Daily sales'!$B580="","",TRIM('Staff Daily sales'!$B580&amp;""))</f>
        <v>HAMAKHLTON</v>
      </c>
      <c r="B595" t="str">
        <f>IF('Staff Daily sales'!$D580="","",TRIM('Staff Daily sales'!$D580&amp;""))</f>
        <v>3642-UAlGhamdi</v>
      </c>
      <c r="C595" t="str">
        <f>IFERROR(TRIM('Staff Daily sales'!$E580&amp;""),"")</f>
        <v>Makkah</v>
      </c>
      <c r="D595" t="str">
        <f>IFERROR(IF(TRIM('Staff Daily sales'!$F580&amp;"")="","Unassigned",TRIM('Staff Daily sales'!$F580&amp;"")),"Unassigned")</f>
        <v>Maram Zamzami</v>
      </c>
      <c r="E595">
        <f t="shared" si="154"/>
        <v>1</v>
      </c>
      <c r="F595">
        <f>IF($E595=0,0,SUMPRODUCT($AI$5:$DF$5,'Staff Daily sales'!$G580:$CD580))</f>
        <v>3353.73</v>
      </c>
      <c r="G595">
        <f>IF($E595=0,0,SUMPRODUCT($AI$6:$DF$6,'Staff Daily sales'!$G580:$CD580))</f>
        <v>17</v>
      </c>
      <c r="H595">
        <f t="shared" si="155"/>
        <v>11650.3</v>
      </c>
      <c r="I595">
        <f t="shared" si="156"/>
        <v>60</v>
      </c>
      <c r="J595">
        <f t="shared" si="157"/>
        <v>89423.479999999967</v>
      </c>
      <c r="K595">
        <f t="shared" si="158"/>
        <v>413</v>
      </c>
      <c r="L595">
        <f>--AND($E595=1,OR('Staff Dashboard'!$B$6="All",$DH595='Staff Dashboard'!$B$6),OR('Staff Dashboard'!$B$7="All",$D595='Staff Dashboard'!$B$7),OR('Staff Dashboard'!$B$8="All",$A595='Staff Dashboard'!$B$8))</f>
        <v>1</v>
      </c>
      <c r="M595">
        <f>IF($E595=0,0,SUMPRODUCT($AI$7:$DF$7,'Staff Daily sales'!$G580:$CD580))</f>
        <v>0</v>
      </c>
      <c r="N595">
        <f>IF($E595=0,0,SUMPRODUCT($AI$8:$DF$8,'Staff Daily sales'!$G580:$CD580))</f>
        <v>0</v>
      </c>
      <c r="O595">
        <f>IF($E595=0,0,SUMPRODUCT($AI$9:$DF$9,'Staff Daily sales'!$G580:$CD580))</f>
        <v>0</v>
      </c>
      <c r="P595">
        <f>IF($E595=0,0,SUMPRODUCT($AI$10:$DF$10,'Staff Daily sales'!$G580:$CD580))</f>
        <v>0</v>
      </c>
      <c r="Q595">
        <f>IF($E595=0,0,SUMPRODUCT($AI$11:$DF$11,'Staff Daily sales'!$G580:$CD580))</f>
        <v>0</v>
      </c>
      <c r="R595">
        <f>IF($E595=0,0,SUMPRODUCT($AI$12:$DF$12,'Staff Daily sales'!$G580:$CD580))</f>
        <v>0</v>
      </c>
      <c r="S595">
        <f>IF($E595=0,0,SUMPRODUCT($AI$13:$DF$13,'Staff Daily sales'!$G580:$CD580))</f>
        <v>14933.63</v>
      </c>
      <c r="T595">
        <f>IF($E595=0,0,SUMPRODUCT($AI$14:$DF$14,'Staff Daily sales'!$G580:$CD580))</f>
        <v>78</v>
      </c>
      <c r="U595">
        <f>IF($E595=0,0,SUMPRODUCT($AI$15:$DF$15,'Staff Daily sales'!$G580:$CD580))</f>
        <v>4064.84</v>
      </c>
      <c r="V595">
        <f>IF($E595=0,0,SUMPRODUCT($AI$16:$DF$16,'Staff Daily sales'!$G580:$CD580))</f>
        <v>17</v>
      </c>
      <c r="W595">
        <f t="shared" si="159"/>
        <v>68312.09</v>
      </c>
      <c r="X595">
        <f t="shared" si="160"/>
        <v>109830.01999999999</v>
      </c>
      <c r="Y595">
        <f t="shared" si="161"/>
        <v>88009.17</v>
      </c>
      <c r="Z595">
        <f t="shared" si="162"/>
        <v>76882.399999999994</v>
      </c>
      <c r="AA595">
        <f t="shared" si="163"/>
        <v>23889.1</v>
      </c>
      <c r="AB595">
        <f>--AND($E595=1,OR('Staff Weekly Trend'!$B$3="All",$DH595='Staff Weekly Trend'!$B$3),OR('Staff Weekly Trend'!$B$4="All",$D595='Staff Weekly Trend'!$B$4),OR('Staff Weekly Trend'!$B$5="All",$A595='Staff Weekly Trend'!$B$5))</f>
        <v>1</v>
      </c>
      <c r="AC595">
        <f t="shared" si="164"/>
        <v>1</v>
      </c>
      <c r="AI595">
        <f t="shared" si="165"/>
        <v>346</v>
      </c>
      <c r="AJ595">
        <f t="shared" si="166"/>
        <v>529</v>
      </c>
      <c r="AK595">
        <f t="shared" si="167"/>
        <v>415</v>
      </c>
      <c r="AL595">
        <f t="shared" si="168"/>
        <v>373</v>
      </c>
      <c r="AM595">
        <f t="shared" si="169"/>
        <v>94</v>
      </c>
      <c r="DH595" t="str" cm="1">
        <f t="array" ref="DH595">IF($A595="","",_xlfn.LET(_xlpm.c,IFERROR(_xlfn.XLOOKUP($A595,TRIM('Sales and count'!$A$4:$A$300&amp;""),TRIM('Sales and count'!$B$4:$B$300&amp;"")),""),IF(OR(_xlpm.c="",_xlpm.c="0",LEFT(_xlpm.c,1)="#"),"Not set",_xlpm.c)))</f>
        <v>KSA</v>
      </c>
    </row>
    <row r="596" spans="1:112" x14ac:dyDescent="0.25">
      <c r="A596" t="str">
        <f>IF('Staff Daily sales'!$B581="","",TRIM('Staff Daily sales'!$B581&amp;""))</f>
        <v>HAMAKHLTON</v>
      </c>
      <c r="B596" t="str">
        <f>IF('Staff Daily sales'!$D581="","",TRIM('Staff Daily sales'!$D581&amp;""))</f>
        <v>3659-AGharib</v>
      </c>
      <c r="C596" t="str">
        <f>IFERROR(TRIM('Staff Daily sales'!$E581&amp;""),"")</f>
        <v>Makkah</v>
      </c>
      <c r="D596" t="str">
        <f>IFERROR(IF(TRIM('Staff Daily sales'!$F581&amp;"")="","Unassigned",TRIM('Staff Daily sales'!$F581&amp;"")),"Unassigned")</f>
        <v>Maram Zamzami</v>
      </c>
      <c r="E596">
        <f t="shared" ref="E596:E659" si="170">--AND($A596&lt;&gt;"",$B596&lt;&gt;"")</f>
        <v>1</v>
      </c>
      <c r="F596">
        <f>IF($E596=0,0,SUMPRODUCT($AI$5:$DF$5,'Staff Daily sales'!$G581:$CD581))</f>
        <v>981.94</v>
      </c>
      <c r="G596">
        <f>IF($E596=0,0,SUMPRODUCT($AI$6:$DF$6,'Staff Daily sales'!$G581:$CD581))</f>
        <v>5</v>
      </c>
      <c r="H596">
        <f t="shared" ref="H596:H659" si="171">IF($E596=0,0,SUMIFS($F$20:$F$1515,$A$20:$A$1515,$A596))</f>
        <v>11650.3</v>
      </c>
      <c r="I596">
        <f t="shared" ref="I596:I659" si="172">IF($E596=0,0,SUMIFS($G$20:$G$1515,$A$20:$A$1515,$A596))</f>
        <v>60</v>
      </c>
      <c r="J596">
        <f t="shared" ref="J596:J659" si="173">IF($E596=0,0,SUMIFS($F$20:$F$1515,$D$20:$D$1515,$D596))</f>
        <v>89423.479999999967</v>
      </c>
      <c r="K596">
        <f t="shared" ref="K596:K659" si="174">IF($E596=0,0,SUMIFS($G$20:$G$1515,$D$20:$D$1515,$D596))</f>
        <v>413</v>
      </c>
      <c r="L596">
        <f>--AND($E596=1,OR('Staff Dashboard'!$B$6="All",$DH596='Staff Dashboard'!$B$6),OR('Staff Dashboard'!$B$7="All",$D596='Staff Dashboard'!$B$7),OR('Staff Dashboard'!$B$8="All",$A596='Staff Dashboard'!$B$8))</f>
        <v>1</v>
      </c>
      <c r="M596">
        <f>IF($E596=0,0,SUMPRODUCT($AI$7:$DF$7,'Staff Daily sales'!$G581:$CD581))</f>
        <v>0</v>
      </c>
      <c r="N596">
        <f>IF($E596=0,0,SUMPRODUCT($AI$8:$DF$8,'Staff Daily sales'!$G581:$CD581))</f>
        <v>0</v>
      </c>
      <c r="O596">
        <f>IF($E596=0,0,SUMPRODUCT($AI$9:$DF$9,'Staff Daily sales'!$G581:$CD581))</f>
        <v>0</v>
      </c>
      <c r="P596">
        <f>IF($E596=0,0,SUMPRODUCT($AI$10:$DF$10,'Staff Daily sales'!$G581:$CD581))</f>
        <v>0</v>
      </c>
      <c r="Q596">
        <f>IF($E596=0,0,SUMPRODUCT($AI$11:$DF$11,'Staff Daily sales'!$G581:$CD581))</f>
        <v>0</v>
      </c>
      <c r="R596">
        <f>IF($E596=0,0,SUMPRODUCT($AI$12:$DF$12,'Staff Daily sales'!$G581:$CD581))</f>
        <v>0</v>
      </c>
      <c r="S596">
        <f>IF($E596=0,0,SUMPRODUCT($AI$13:$DF$13,'Staff Daily sales'!$G581:$CD581))</f>
        <v>2692.84</v>
      </c>
      <c r="T596">
        <f>IF($E596=0,0,SUMPRODUCT($AI$14:$DF$14,'Staff Daily sales'!$G581:$CD581))</f>
        <v>14</v>
      </c>
      <c r="U596">
        <f>IF($E596=0,0,SUMPRODUCT($AI$15:$DF$15,'Staff Daily sales'!$G581:$CD581))</f>
        <v>2484.9700000000003</v>
      </c>
      <c r="V596">
        <f>IF($E596=0,0,SUMPRODUCT($AI$16:$DF$16,'Staff Daily sales'!$G581:$CD581))</f>
        <v>13</v>
      </c>
      <c r="W596">
        <f t="shared" ref="W596:W659" si="175">IF($E596=0,0,SUMIFS(M$20:M$1515,$A$20:$A$1515,$A596))</f>
        <v>68312.09</v>
      </c>
      <c r="X596">
        <f t="shared" ref="X596:X659" si="176">IF($E596=0,0,SUMIFS(O$20:O$1515,$A$20:$A$1515,$A596))</f>
        <v>109830.01999999999</v>
      </c>
      <c r="Y596">
        <f t="shared" ref="Y596:Y659" si="177">IF($E596=0,0,SUMIFS(Q$20:Q$1515,$A$20:$A$1515,$A596))</f>
        <v>88009.17</v>
      </c>
      <c r="Z596">
        <f t="shared" ref="Z596:Z659" si="178">IF($E596=0,0,SUMIFS(S$20:S$1515,$A$20:$A$1515,$A596))</f>
        <v>76882.399999999994</v>
      </c>
      <c r="AA596">
        <f t="shared" ref="AA596:AA659" si="179">IF($E596=0,0,SUMIFS(U$20:U$1515,$A$20:$A$1515,$A596))</f>
        <v>23889.1</v>
      </c>
      <c r="AB596">
        <f>--AND($E596=1,OR('Staff Weekly Trend'!$B$3="All",$DH596='Staff Weekly Trend'!$B$3),OR('Staff Weekly Trend'!$B$4="All",$D596='Staff Weekly Trend'!$B$4),OR('Staff Weekly Trend'!$B$5="All",$A596='Staff Weekly Trend'!$B$5))</f>
        <v>1</v>
      </c>
      <c r="AC596">
        <f t="shared" ref="AC596:AC659" si="180">IF(OR($E596=0,AND($F596=0,$G596=0)),"",COUNTIFS($A$20:$A$1515,$A596,$E$20:$E$1515,1,$F$20:$F$1515,"&gt;"&amp;$F596)+1)</f>
        <v>6</v>
      </c>
      <c r="AI596">
        <f t="shared" ref="AI596:AI659" si="181">IF($E596=0,0,SUMIFS(N$20:N$1515,$A$20:$A$1515,$A596))</f>
        <v>346</v>
      </c>
      <c r="AJ596">
        <f t="shared" ref="AJ596:AJ659" si="182">IF($E596=0,0,SUMIFS(P$20:P$1515,$A$20:$A$1515,$A596))</f>
        <v>529</v>
      </c>
      <c r="AK596">
        <f t="shared" ref="AK596:AK659" si="183">IF($E596=0,0,SUMIFS(R$20:R$1515,$A$20:$A$1515,$A596))</f>
        <v>415</v>
      </c>
      <c r="AL596">
        <f t="shared" ref="AL596:AL659" si="184">IF($E596=0,0,SUMIFS(T$20:T$1515,$A$20:$A$1515,$A596))</f>
        <v>373</v>
      </c>
      <c r="AM596">
        <f t="shared" ref="AM596:AM659" si="185">IF($E596=0,0,SUMIFS(V$20:V$1515,$A$20:$A$1515,$A596))</f>
        <v>94</v>
      </c>
      <c r="DH596" t="str" cm="1">
        <f t="array" ref="DH596">IF($A596="","",_xlfn.LET(_xlpm.c,IFERROR(_xlfn.XLOOKUP($A596,TRIM('Sales and count'!$A$4:$A$300&amp;""),TRIM('Sales and count'!$B$4:$B$300&amp;"")),""),IF(OR(_xlpm.c="",_xlpm.c="0",LEFT(_xlpm.c,1)="#"),"Not set",_xlpm.c)))</f>
        <v>KSA</v>
      </c>
    </row>
    <row r="597" spans="1:112" x14ac:dyDescent="0.25">
      <c r="A597" t="str">
        <f>IF('Staff Daily sales'!$B582="","",TRIM('Staff Daily sales'!$B582&amp;""))</f>
        <v>HAMAKHLTON</v>
      </c>
      <c r="B597" t="str">
        <f>IF('Staff Daily sales'!$D582="","",TRIM('Staff Daily sales'!$D582&amp;""))</f>
        <v>4905-AAlshamrani</v>
      </c>
      <c r="C597" t="str">
        <f>IFERROR(TRIM('Staff Daily sales'!$E582&amp;""),"")</f>
        <v>Makkah</v>
      </c>
      <c r="D597" t="str">
        <f>IFERROR(IF(TRIM('Staff Daily sales'!$F582&amp;"")="","Unassigned",TRIM('Staff Daily sales'!$F582&amp;"")),"Unassigned")</f>
        <v>Maram Zamzami</v>
      </c>
      <c r="E597">
        <f t="shared" si="170"/>
        <v>1</v>
      </c>
      <c r="F597">
        <f>IF($E597=0,0,SUMPRODUCT($AI$5:$DF$5,'Staff Daily sales'!$G582:$CD582))</f>
        <v>0</v>
      </c>
      <c r="G597">
        <f>IF($E597=0,0,SUMPRODUCT($AI$6:$DF$6,'Staff Daily sales'!$G582:$CD582))</f>
        <v>0</v>
      </c>
      <c r="H597">
        <f t="shared" si="171"/>
        <v>11650.3</v>
      </c>
      <c r="I597">
        <f t="shared" si="172"/>
        <v>60</v>
      </c>
      <c r="J597">
        <f t="shared" si="173"/>
        <v>89423.479999999967</v>
      </c>
      <c r="K597">
        <f t="shared" si="174"/>
        <v>413</v>
      </c>
      <c r="L597">
        <f>--AND($E597=1,OR('Staff Dashboard'!$B$6="All",$DH597='Staff Dashboard'!$B$6),OR('Staff Dashboard'!$B$7="All",$D597='Staff Dashboard'!$B$7),OR('Staff Dashboard'!$B$8="All",$A597='Staff Dashboard'!$B$8))</f>
        <v>1</v>
      </c>
      <c r="M597">
        <f>IF($E597=0,0,SUMPRODUCT($AI$7:$DF$7,'Staff Daily sales'!$G582:$CD582))</f>
        <v>0</v>
      </c>
      <c r="N597">
        <f>IF($E597=0,0,SUMPRODUCT($AI$8:$DF$8,'Staff Daily sales'!$G582:$CD582))</f>
        <v>0</v>
      </c>
      <c r="O597">
        <f>IF($E597=0,0,SUMPRODUCT($AI$9:$DF$9,'Staff Daily sales'!$G582:$CD582))</f>
        <v>0</v>
      </c>
      <c r="P597">
        <f>IF($E597=0,0,SUMPRODUCT($AI$10:$DF$10,'Staff Daily sales'!$G582:$CD582))</f>
        <v>0</v>
      </c>
      <c r="Q597">
        <f>IF($E597=0,0,SUMPRODUCT($AI$11:$DF$11,'Staff Daily sales'!$G582:$CD582))</f>
        <v>0</v>
      </c>
      <c r="R597">
        <f>IF($E597=0,0,SUMPRODUCT($AI$12:$DF$12,'Staff Daily sales'!$G582:$CD582))</f>
        <v>0</v>
      </c>
      <c r="S597">
        <f>IF($E597=0,0,SUMPRODUCT($AI$13:$DF$13,'Staff Daily sales'!$G582:$CD582))</f>
        <v>349.01</v>
      </c>
      <c r="T597">
        <f>IF($E597=0,0,SUMPRODUCT($AI$14:$DF$14,'Staff Daily sales'!$G582:$CD582))</f>
        <v>2</v>
      </c>
      <c r="U597">
        <f>IF($E597=0,0,SUMPRODUCT($AI$15:$DF$15,'Staff Daily sales'!$G582:$CD582))</f>
        <v>1365.1</v>
      </c>
      <c r="V597">
        <f>IF($E597=0,0,SUMPRODUCT($AI$16:$DF$16,'Staff Daily sales'!$G582:$CD582))</f>
        <v>3</v>
      </c>
      <c r="W597">
        <f t="shared" si="175"/>
        <v>68312.09</v>
      </c>
      <c r="X597">
        <f t="shared" si="176"/>
        <v>109830.01999999999</v>
      </c>
      <c r="Y597">
        <f t="shared" si="177"/>
        <v>88009.17</v>
      </c>
      <c r="Z597">
        <f t="shared" si="178"/>
        <v>76882.399999999994</v>
      </c>
      <c r="AA597">
        <f t="shared" si="179"/>
        <v>23889.1</v>
      </c>
      <c r="AB597">
        <f>--AND($E597=1,OR('Staff Weekly Trend'!$B$3="All",$DH597='Staff Weekly Trend'!$B$3),OR('Staff Weekly Trend'!$B$4="All",$D597='Staff Weekly Trend'!$B$4),OR('Staff Weekly Trend'!$B$5="All",$A597='Staff Weekly Trend'!$B$5))</f>
        <v>1</v>
      </c>
      <c r="AC597" t="str">
        <f t="shared" si="180"/>
        <v/>
      </c>
      <c r="AI597">
        <f t="shared" si="181"/>
        <v>346</v>
      </c>
      <c r="AJ597">
        <f t="shared" si="182"/>
        <v>529</v>
      </c>
      <c r="AK597">
        <f t="shared" si="183"/>
        <v>415</v>
      </c>
      <c r="AL597">
        <f t="shared" si="184"/>
        <v>373</v>
      </c>
      <c r="AM597">
        <f t="shared" si="185"/>
        <v>94</v>
      </c>
      <c r="DH597" t="str" cm="1">
        <f t="array" ref="DH597">IF($A597="","",_xlfn.LET(_xlpm.c,IFERROR(_xlfn.XLOOKUP($A597,TRIM('Sales and count'!$A$4:$A$300&amp;""),TRIM('Sales and count'!$B$4:$B$300&amp;"")),""),IF(OR(_xlpm.c="",_xlpm.c="0",LEFT(_xlpm.c,1)="#"),"Not set",_xlpm.c)))</f>
        <v>KSA</v>
      </c>
    </row>
    <row r="598" spans="1:112" x14ac:dyDescent="0.25">
      <c r="A598" t="str">
        <f>IF('Staff Daily sales'!$B583="","",TRIM('Staff Daily sales'!$B583&amp;""))</f>
        <v>HAMAKHLTON</v>
      </c>
      <c r="B598" t="str">
        <f>IF('Staff Daily sales'!$D583="","",TRIM('Staff Daily sales'!$D583&amp;""))</f>
        <v>6819-MAlmushuli</v>
      </c>
      <c r="C598" t="str">
        <f>IFERROR(TRIM('Staff Daily sales'!$E583&amp;""),"")</f>
        <v>Makkah</v>
      </c>
      <c r="D598" t="str">
        <f>IFERROR(IF(TRIM('Staff Daily sales'!$F583&amp;"")="","Unassigned",TRIM('Staff Daily sales'!$F583&amp;"")),"Unassigned")</f>
        <v>Maram Zamzami</v>
      </c>
      <c r="E598">
        <f t="shared" si="170"/>
        <v>1</v>
      </c>
      <c r="F598">
        <f>IF($E598=0,0,SUMPRODUCT($AI$5:$DF$5,'Staff Daily sales'!$G583:$CD583))</f>
        <v>0</v>
      </c>
      <c r="G598">
        <f>IF($E598=0,0,SUMPRODUCT($AI$6:$DF$6,'Staff Daily sales'!$G583:$CD583))</f>
        <v>0</v>
      </c>
      <c r="H598">
        <f t="shared" si="171"/>
        <v>11650.3</v>
      </c>
      <c r="I598">
        <f t="shared" si="172"/>
        <v>60</v>
      </c>
      <c r="J598">
        <f t="shared" si="173"/>
        <v>89423.479999999967</v>
      </c>
      <c r="K598">
        <f t="shared" si="174"/>
        <v>413</v>
      </c>
      <c r="L598">
        <f>--AND($E598=1,OR('Staff Dashboard'!$B$6="All",$DH598='Staff Dashboard'!$B$6),OR('Staff Dashboard'!$B$7="All",$D598='Staff Dashboard'!$B$7),OR('Staff Dashboard'!$B$8="All",$A598='Staff Dashboard'!$B$8))</f>
        <v>1</v>
      </c>
      <c r="M598">
        <f>IF($E598=0,0,SUMPRODUCT($AI$7:$DF$7,'Staff Daily sales'!$G583:$CD583))</f>
        <v>0</v>
      </c>
      <c r="N598">
        <f>IF($E598=0,0,SUMPRODUCT($AI$8:$DF$8,'Staff Daily sales'!$G583:$CD583))</f>
        <v>0</v>
      </c>
      <c r="O598">
        <f>IF($E598=0,0,SUMPRODUCT($AI$9:$DF$9,'Staff Daily sales'!$G583:$CD583))</f>
        <v>0</v>
      </c>
      <c r="P598">
        <f>IF($E598=0,0,SUMPRODUCT($AI$10:$DF$10,'Staff Daily sales'!$G583:$CD583))</f>
        <v>0</v>
      </c>
      <c r="Q598">
        <f>IF($E598=0,0,SUMPRODUCT($AI$11:$DF$11,'Staff Daily sales'!$G583:$CD583))</f>
        <v>0</v>
      </c>
      <c r="R598">
        <f>IF($E598=0,0,SUMPRODUCT($AI$12:$DF$12,'Staff Daily sales'!$G583:$CD583))</f>
        <v>0</v>
      </c>
      <c r="S598">
        <f>IF($E598=0,0,SUMPRODUCT($AI$13:$DF$13,'Staff Daily sales'!$G583:$CD583))</f>
        <v>0</v>
      </c>
      <c r="T598">
        <f>IF($E598=0,0,SUMPRODUCT($AI$14:$DF$14,'Staff Daily sales'!$G583:$CD583))</f>
        <v>0</v>
      </c>
      <c r="U598">
        <f>IF($E598=0,0,SUMPRODUCT($AI$15:$DF$15,'Staff Daily sales'!$G583:$CD583))</f>
        <v>1487.93</v>
      </c>
      <c r="V598">
        <f>IF($E598=0,0,SUMPRODUCT($AI$16:$DF$16,'Staff Daily sales'!$G583:$CD583))</f>
        <v>5</v>
      </c>
      <c r="W598">
        <f t="shared" si="175"/>
        <v>68312.09</v>
      </c>
      <c r="X598">
        <f t="shared" si="176"/>
        <v>109830.01999999999</v>
      </c>
      <c r="Y598">
        <f t="shared" si="177"/>
        <v>88009.17</v>
      </c>
      <c r="Z598">
        <f t="shared" si="178"/>
        <v>76882.399999999994</v>
      </c>
      <c r="AA598">
        <f t="shared" si="179"/>
        <v>23889.1</v>
      </c>
      <c r="AB598">
        <f>--AND($E598=1,OR('Staff Weekly Trend'!$B$3="All",$DH598='Staff Weekly Trend'!$B$3),OR('Staff Weekly Trend'!$B$4="All",$D598='Staff Weekly Trend'!$B$4),OR('Staff Weekly Trend'!$B$5="All",$A598='Staff Weekly Trend'!$B$5))</f>
        <v>1</v>
      </c>
      <c r="AC598" t="str">
        <f t="shared" si="180"/>
        <v/>
      </c>
      <c r="AI598">
        <f t="shared" si="181"/>
        <v>346</v>
      </c>
      <c r="AJ598">
        <f t="shared" si="182"/>
        <v>529</v>
      </c>
      <c r="AK598">
        <f t="shared" si="183"/>
        <v>415</v>
      </c>
      <c r="AL598">
        <f t="shared" si="184"/>
        <v>373</v>
      </c>
      <c r="AM598">
        <f t="shared" si="185"/>
        <v>94</v>
      </c>
      <c r="DH598" t="str" cm="1">
        <f t="array" ref="DH598">IF($A598="","",_xlfn.LET(_xlpm.c,IFERROR(_xlfn.XLOOKUP($A598,TRIM('Sales and count'!$A$4:$A$300&amp;""),TRIM('Sales and count'!$B$4:$B$300&amp;"")),""),IF(OR(_xlpm.c="",_xlpm.c="0",LEFT(_xlpm.c,1)="#"),"Not set",_xlpm.c)))</f>
        <v>KSA</v>
      </c>
    </row>
    <row r="599" spans="1:112" x14ac:dyDescent="0.25">
      <c r="A599" t="str">
        <f>IF('Staff Daily sales'!$B584="","",TRIM('Staff Daily sales'!$B584&amp;""))</f>
        <v>HARSHNRYD</v>
      </c>
      <c r="B599" t="str">
        <f>IF('Staff Daily sales'!$D584="","",TRIM('Staff Daily sales'!$D584&amp;""))</f>
        <v>3701-AAlanzi</v>
      </c>
      <c r="C599" t="str">
        <f>IFERROR(TRIM('Staff Daily sales'!$E584&amp;""),"")</f>
        <v>Riyadh</v>
      </c>
      <c r="D599" t="str">
        <f>IFERROR(IF(TRIM('Staff Daily sales'!$F584&amp;"")="","Unassigned",TRIM('Staff Daily sales'!$F584&amp;"")),"Unassigned")</f>
        <v>Lina Al Ghathami</v>
      </c>
      <c r="E599">
        <f t="shared" si="170"/>
        <v>1</v>
      </c>
      <c r="F599">
        <f>IF($E599=0,0,SUMPRODUCT($AI$5:$DF$5,'Staff Daily sales'!$G584:$CD584))</f>
        <v>0</v>
      </c>
      <c r="G599">
        <f>IF($E599=0,0,SUMPRODUCT($AI$6:$DF$6,'Staff Daily sales'!$G584:$CD584))</f>
        <v>0</v>
      </c>
      <c r="H599">
        <f t="shared" si="171"/>
        <v>2065.9299999999998</v>
      </c>
      <c r="I599">
        <f t="shared" si="172"/>
        <v>15</v>
      </c>
      <c r="J599">
        <f t="shared" si="173"/>
        <v>62915.250000000007</v>
      </c>
      <c r="K599">
        <f t="shared" si="174"/>
        <v>385</v>
      </c>
      <c r="L599">
        <f>--AND($E599=1,OR('Staff Dashboard'!$B$6="All",$DH599='Staff Dashboard'!$B$6),OR('Staff Dashboard'!$B$7="All",$D599='Staff Dashboard'!$B$7),OR('Staff Dashboard'!$B$8="All",$A599='Staff Dashboard'!$B$8))</f>
        <v>0</v>
      </c>
      <c r="M599">
        <f>IF($E599=0,0,SUMPRODUCT($AI$7:$DF$7,'Staff Daily sales'!$G584:$CD584))</f>
        <v>0</v>
      </c>
      <c r="N599">
        <f>IF($E599=0,0,SUMPRODUCT($AI$8:$DF$8,'Staff Daily sales'!$G584:$CD584))</f>
        <v>0</v>
      </c>
      <c r="O599">
        <f>IF($E599=0,0,SUMPRODUCT($AI$9:$DF$9,'Staff Daily sales'!$G584:$CD584))</f>
        <v>0</v>
      </c>
      <c r="P599">
        <f>IF($E599=0,0,SUMPRODUCT($AI$10:$DF$10,'Staff Daily sales'!$G584:$CD584))</f>
        <v>0</v>
      </c>
      <c r="Q599">
        <f>IF($E599=0,0,SUMPRODUCT($AI$11:$DF$11,'Staff Daily sales'!$G584:$CD584))</f>
        <v>0</v>
      </c>
      <c r="R599">
        <f>IF($E599=0,0,SUMPRODUCT($AI$12:$DF$12,'Staff Daily sales'!$G584:$CD584))</f>
        <v>0</v>
      </c>
      <c r="S599">
        <f>IF($E599=0,0,SUMPRODUCT($AI$13:$DF$13,'Staff Daily sales'!$G584:$CD584))</f>
        <v>0</v>
      </c>
      <c r="T599">
        <f>IF($E599=0,0,SUMPRODUCT($AI$14:$DF$14,'Staff Daily sales'!$G584:$CD584))</f>
        <v>0</v>
      </c>
      <c r="U599">
        <f>IF($E599=0,0,SUMPRODUCT($AI$15:$DF$15,'Staff Daily sales'!$G584:$CD584))</f>
        <v>2351.09</v>
      </c>
      <c r="V599">
        <f>IF($E599=0,0,SUMPRODUCT($AI$16:$DF$16,'Staff Daily sales'!$G584:$CD584))</f>
        <v>14</v>
      </c>
      <c r="W599">
        <f t="shared" si="175"/>
        <v>8016.08</v>
      </c>
      <c r="X599">
        <f t="shared" si="176"/>
        <v>17993.34</v>
      </c>
      <c r="Y599">
        <f t="shared" si="177"/>
        <v>8761.119999999999</v>
      </c>
      <c r="Z599">
        <f t="shared" si="178"/>
        <v>12860.87</v>
      </c>
      <c r="AA599">
        <f t="shared" si="179"/>
        <v>2984.11</v>
      </c>
      <c r="AB599">
        <f>--AND($E599=1,OR('Staff Weekly Trend'!$B$3="All",$DH599='Staff Weekly Trend'!$B$3),OR('Staff Weekly Trend'!$B$4="All",$D599='Staff Weekly Trend'!$B$4),OR('Staff Weekly Trend'!$B$5="All",$A599='Staff Weekly Trend'!$B$5))</f>
        <v>1</v>
      </c>
      <c r="AC599" t="str">
        <f t="shared" si="180"/>
        <v/>
      </c>
      <c r="AI599">
        <f t="shared" si="181"/>
        <v>70</v>
      </c>
      <c r="AJ599">
        <f t="shared" si="182"/>
        <v>122</v>
      </c>
      <c r="AK599">
        <f t="shared" si="183"/>
        <v>58</v>
      </c>
      <c r="AL599">
        <f t="shared" si="184"/>
        <v>91</v>
      </c>
      <c r="AM599">
        <f t="shared" si="185"/>
        <v>16</v>
      </c>
      <c r="DH599" t="str" cm="1">
        <f t="array" ref="DH599">IF($A599="","",_xlfn.LET(_xlpm.c,IFERROR(_xlfn.XLOOKUP($A599,TRIM('Sales and count'!$A$4:$A$300&amp;""),TRIM('Sales and count'!$B$4:$B$300&amp;"")),""),IF(OR(_xlpm.c="",_xlpm.c="0",LEFT(_xlpm.c,1)="#"),"Not set",_xlpm.c)))</f>
        <v>KSA</v>
      </c>
    </row>
    <row r="600" spans="1:112" x14ac:dyDescent="0.25">
      <c r="A600" t="str">
        <f>IF('Staff Daily sales'!$B585="","",TRIM('Staff Daily sales'!$B585&amp;""))</f>
        <v>HAABRAJ1</v>
      </c>
      <c r="B600" t="str">
        <f>IF('Staff Daily sales'!$D585="","",TRIM('Staff Daily sales'!$D585&amp;""))</f>
        <v>5403-TAlhudhali</v>
      </c>
      <c r="C600" t="str">
        <f>IFERROR(TRIM('Staff Daily sales'!$E585&amp;""),"")</f>
        <v>Makkah</v>
      </c>
      <c r="D600" t="str">
        <f>IFERROR(IF(TRIM('Staff Daily sales'!$F585&amp;"")="","Unassigned",TRIM('Staff Daily sales'!$F585&amp;"")),"Unassigned")</f>
        <v>Maram Zamzami</v>
      </c>
      <c r="E600">
        <f t="shared" si="170"/>
        <v>1</v>
      </c>
      <c r="F600">
        <f>IF($E600=0,0,SUMPRODUCT($AI$5:$DF$5,'Staff Daily sales'!$G585:$CD585))</f>
        <v>2971.85</v>
      </c>
      <c r="G600">
        <f>IF($E600=0,0,SUMPRODUCT($AI$6:$DF$6,'Staff Daily sales'!$G585:$CD585))</f>
        <v>16</v>
      </c>
      <c r="H600">
        <f t="shared" si="171"/>
        <v>23034.57</v>
      </c>
      <c r="I600">
        <f t="shared" si="172"/>
        <v>101</v>
      </c>
      <c r="J600">
        <f t="shared" si="173"/>
        <v>89423.479999999967</v>
      </c>
      <c r="K600">
        <f t="shared" si="174"/>
        <v>413</v>
      </c>
      <c r="L600">
        <f>--AND($E600=1,OR('Staff Dashboard'!$B$6="All",$DH600='Staff Dashboard'!$B$6),OR('Staff Dashboard'!$B$7="All",$D600='Staff Dashboard'!$B$7),OR('Staff Dashboard'!$B$8="All",$A600='Staff Dashboard'!$B$8))</f>
        <v>1</v>
      </c>
      <c r="M600">
        <f>IF($E600=0,0,SUMPRODUCT($AI$7:$DF$7,'Staff Daily sales'!$G585:$CD585))</f>
        <v>0</v>
      </c>
      <c r="N600">
        <f>IF($E600=0,0,SUMPRODUCT($AI$8:$DF$8,'Staff Daily sales'!$G585:$CD585))</f>
        <v>0</v>
      </c>
      <c r="O600">
        <f>IF($E600=0,0,SUMPRODUCT($AI$9:$DF$9,'Staff Daily sales'!$G585:$CD585))</f>
        <v>0</v>
      </c>
      <c r="P600">
        <f>IF($E600=0,0,SUMPRODUCT($AI$10:$DF$10,'Staff Daily sales'!$G585:$CD585))</f>
        <v>0</v>
      </c>
      <c r="Q600">
        <f>IF($E600=0,0,SUMPRODUCT($AI$11:$DF$11,'Staff Daily sales'!$G585:$CD585))</f>
        <v>0</v>
      </c>
      <c r="R600">
        <f>IF($E600=0,0,SUMPRODUCT($AI$12:$DF$12,'Staff Daily sales'!$G585:$CD585))</f>
        <v>0</v>
      </c>
      <c r="S600">
        <f>IF($E600=0,0,SUMPRODUCT($AI$13:$DF$13,'Staff Daily sales'!$G585:$CD585))</f>
        <v>2971.85</v>
      </c>
      <c r="T600">
        <f>IF($E600=0,0,SUMPRODUCT($AI$14:$DF$14,'Staff Daily sales'!$G585:$CD585))</f>
        <v>16</v>
      </c>
      <c r="U600">
        <f>IF($E600=0,0,SUMPRODUCT($AI$15:$DF$15,'Staff Daily sales'!$G585:$CD585))</f>
        <v>3168.77</v>
      </c>
      <c r="V600">
        <f>IF($E600=0,0,SUMPRODUCT($AI$16:$DF$16,'Staff Daily sales'!$G585:$CD585))</f>
        <v>14</v>
      </c>
      <c r="W600">
        <f t="shared" si="175"/>
        <v>88344.69</v>
      </c>
      <c r="X600">
        <f t="shared" si="176"/>
        <v>166461.59</v>
      </c>
      <c r="Y600">
        <f t="shared" si="177"/>
        <v>140958.21</v>
      </c>
      <c r="Z600">
        <f t="shared" si="178"/>
        <v>132129.16999999998</v>
      </c>
      <c r="AA600">
        <f t="shared" si="179"/>
        <v>31895.88</v>
      </c>
      <c r="AB600">
        <f>--AND($E600=1,OR('Staff Weekly Trend'!$B$3="All",$DH600='Staff Weekly Trend'!$B$3),OR('Staff Weekly Trend'!$B$4="All",$D600='Staff Weekly Trend'!$B$4),OR('Staff Weekly Trend'!$B$5="All",$A600='Staff Weekly Trend'!$B$5))</f>
        <v>1</v>
      </c>
      <c r="AC600">
        <f t="shared" si="180"/>
        <v>5</v>
      </c>
      <c r="AI600">
        <f t="shared" si="181"/>
        <v>457</v>
      </c>
      <c r="AJ600">
        <f t="shared" si="182"/>
        <v>868</v>
      </c>
      <c r="AK600">
        <f t="shared" si="183"/>
        <v>774</v>
      </c>
      <c r="AL600">
        <f t="shared" si="184"/>
        <v>639</v>
      </c>
      <c r="AM600">
        <f t="shared" si="185"/>
        <v>158</v>
      </c>
      <c r="DH600" t="str" cm="1">
        <f t="array" ref="DH600">IF($A600="","",_xlfn.LET(_xlpm.c,IFERROR(_xlfn.XLOOKUP($A600,TRIM('Sales and count'!$A$4:$A$300&amp;""),TRIM('Sales and count'!$B$4:$B$300&amp;"")),""),IF(OR(_xlpm.c="",_xlpm.c="0",LEFT(_xlpm.c,1)="#"),"Not set",_xlpm.c)))</f>
        <v>KSA</v>
      </c>
    </row>
    <row r="601" spans="1:112" x14ac:dyDescent="0.25">
      <c r="A601" t="str">
        <f>IF('Staff Daily sales'!$B586="","",TRIM('Staff Daily sales'!$B586&amp;""))</f>
        <v>HASULITMAL</v>
      </c>
      <c r="B601" t="str">
        <f>IF('Staff Daily sales'!$D586="","",TRIM('Staff Daily sales'!$D586&amp;""))</f>
        <v>4382-HAlhamdan</v>
      </c>
      <c r="C601" t="str">
        <f>IFERROR(TRIM('Staff Daily sales'!$E586&amp;""),"")</f>
        <v>Riyadh</v>
      </c>
      <c r="D601" t="str">
        <f>IFERROR(IF(TRIM('Staff Daily sales'!$F586&amp;"")="","Unassigned",TRIM('Staff Daily sales'!$F586&amp;"")),"Unassigned")</f>
        <v>Mohammed Sanad</v>
      </c>
      <c r="E601">
        <f t="shared" si="170"/>
        <v>1</v>
      </c>
      <c r="F601">
        <f>IF($E601=0,0,SUMPRODUCT($AI$5:$DF$5,'Staff Daily sales'!$G586:$CD586))</f>
        <v>3453.77</v>
      </c>
      <c r="G601">
        <f>IF($E601=0,0,SUMPRODUCT($AI$6:$DF$6,'Staff Daily sales'!$G586:$CD586))</f>
        <v>17</v>
      </c>
      <c r="H601">
        <f t="shared" si="171"/>
        <v>4224.74</v>
      </c>
      <c r="I601">
        <f t="shared" si="172"/>
        <v>21</v>
      </c>
      <c r="J601">
        <f t="shared" si="173"/>
        <v>64682.640000000014</v>
      </c>
      <c r="K601">
        <f t="shared" si="174"/>
        <v>326</v>
      </c>
      <c r="L601">
        <f>--AND($E601=1,OR('Staff Dashboard'!$B$6="All",$DH601='Staff Dashboard'!$B$6),OR('Staff Dashboard'!$B$7="All",$D601='Staff Dashboard'!$B$7),OR('Staff Dashboard'!$B$8="All",$A601='Staff Dashboard'!$B$8))</f>
        <v>0</v>
      </c>
      <c r="M601">
        <f>IF($E601=0,0,SUMPRODUCT($AI$7:$DF$7,'Staff Daily sales'!$G586:$CD586))</f>
        <v>0</v>
      </c>
      <c r="N601">
        <f>IF($E601=0,0,SUMPRODUCT($AI$8:$DF$8,'Staff Daily sales'!$G586:$CD586))</f>
        <v>0</v>
      </c>
      <c r="O601">
        <f>IF($E601=0,0,SUMPRODUCT($AI$9:$DF$9,'Staff Daily sales'!$G586:$CD586))</f>
        <v>0</v>
      </c>
      <c r="P601">
        <f>IF($E601=0,0,SUMPRODUCT($AI$10:$DF$10,'Staff Daily sales'!$G586:$CD586))</f>
        <v>0</v>
      </c>
      <c r="Q601">
        <f>IF($E601=0,0,SUMPRODUCT($AI$11:$DF$11,'Staff Daily sales'!$G586:$CD586))</f>
        <v>0</v>
      </c>
      <c r="R601">
        <f>IF($E601=0,0,SUMPRODUCT($AI$12:$DF$12,'Staff Daily sales'!$G586:$CD586))</f>
        <v>0</v>
      </c>
      <c r="S601">
        <f>IF($E601=0,0,SUMPRODUCT($AI$13:$DF$13,'Staff Daily sales'!$G586:$CD586))</f>
        <v>3453.77</v>
      </c>
      <c r="T601">
        <f>IF($E601=0,0,SUMPRODUCT($AI$14:$DF$14,'Staff Daily sales'!$G586:$CD586))</f>
        <v>17</v>
      </c>
      <c r="U601">
        <f>IF($E601=0,0,SUMPRODUCT($AI$15:$DF$15,'Staff Daily sales'!$G586:$CD586))</f>
        <v>2251.84</v>
      </c>
      <c r="V601">
        <f>IF($E601=0,0,SUMPRODUCT($AI$16:$DF$16,'Staff Daily sales'!$G586:$CD586))</f>
        <v>14</v>
      </c>
      <c r="W601">
        <f t="shared" si="175"/>
        <v>10076.280000000001</v>
      </c>
      <c r="X601">
        <f t="shared" si="176"/>
        <v>17456.359999999997</v>
      </c>
      <c r="Y601">
        <f t="shared" si="177"/>
        <v>15302.34</v>
      </c>
      <c r="Z601">
        <f t="shared" si="178"/>
        <v>14978.66</v>
      </c>
      <c r="AA601">
        <f t="shared" si="179"/>
        <v>4481</v>
      </c>
      <c r="AB601">
        <f>--AND($E601=1,OR('Staff Weekly Trend'!$B$3="All",$DH601='Staff Weekly Trend'!$B$3),OR('Staff Weekly Trend'!$B$4="All",$D601='Staff Weekly Trend'!$B$4),OR('Staff Weekly Trend'!$B$5="All",$A601='Staff Weekly Trend'!$B$5))</f>
        <v>1</v>
      </c>
      <c r="AC601">
        <f t="shared" si="180"/>
        <v>1</v>
      </c>
      <c r="AI601">
        <f t="shared" si="181"/>
        <v>57</v>
      </c>
      <c r="AJ601">
        <f t="shared" si="182"/>
        <v>104</v>
      </c>
      <c r="AK601">
        <f t="shared" si="183"/>
        <v>88</v>
      </c>
      <c r="AL601">
        <f t="shared" si="184"/>
        <v>102</v>
      </c>
      <c r="AM601">
        <f t="shared" si="185"/>
        <v>26</v>
      </c>
      <c r="DH601" t="str" cm="1">
        <f t="array" ref="DH601">IF($A601="","",_xlfn.LET(_xlpm.c,IFERROR(_xlfn.XLOOKUP($A601,TRIM('Sales and count'!$A$4:$A$300&amp;""),TRIM('Sales and count'!$B$4:$B$300&amp;"")),""),IF(OR(_xlpm.c="",_xlpm.c="0",LEFT(_xlpm.c,1)="#"),"Not set",_xlpm.c)))</f>
        <v>KSA</v>
      </c>
    </row>
    <row r="602" spans="1:112" x14ac:dyDescent="0.25">
      <c r="A602" t="str">
        <f>IF('Staff Daily sales'!$B587="","",TRIM('Staff Daily sales'!$B587&amp;""))</f>
        <v>HAMAKKMAL</v>
      </c>
      <c r="B602" t="str">
        <f>IF('Staff Daily sales'!$D587="","",TRIM('Staff Daily sales'!$D587&amp;""))</f>
        <v>3622-MAljezany</v>
      </c>
      <c r="C602" t="str">
        <f>IFERROR(TRIM('Staff Daily sales'!$E587&amp;""),"")</f>
        <v>Makkah</v>
      </c>
      <c r="D602" t="str">
        <f>IFERROR(IF(TRIM('Staff Daily sales'!$F587&amp;"")="","Unassigned",TRIM('Staff Daily sales'!$F587&amp;"")),"Unassigned")</f>
        <v>Maram Zamzami</v>
      </c>
      <c r="E602">
        <f t="shared" si="170"/>
        <v>1</v>
      </c>
      <c r="F602">
        <f>IF($E602=0,0,SUMPRODUCT($AI$5:$DF$5,'Staff Daily sales'!$G587:$CD587))</f>
        <v>0</v>
      </c>
      <c r="G602">
        <f>IF($E602=0,0,SUMPRODUCT($AI$6:$DF$6,'Staff Daily sales'!$G587:$CD587))</f>
        <v>0</v>
      </c>
      <c r="H602">
        <f t="shared" si="171"/>
        <v>7126.61</v>
      </c>
      <c r="I602">
        <f t="shared" si="172"/>
        <v>34</v>
      </c>
      <c r="J602">
        <f t="shared" si="173"/>
        <v>89423.479999999967</v>
      </c>
      <c r="K602">
        <f t="shared" si="174"/>
        <v>413</v>
      </c>
      <c r="L602">
        <f>--AND($E602=1,OR('Staff Dashboard'!$B$6="All",$DH602='Staff Dashboard'!$B$6),OR('Staff Dashboard'!$B$7="All",$D602='Staff Dashboard'!$B$7),OR('Staff Dashboard'!$B$8="All",$A602='Staff Dashboard'!$B$8))</f>
        <v>1</v>
      </c>
      <c r="M602">
        <f>IF($E602=0,0,SUMPRODUCT($AI$7:$DF$7,'Staff Daily sales'!$G587:$CD587))</f>
        <v>0</v>
      </c>
      <c r="N602">
        <f>IF($E602=0,0,SUMPRODUCT($AI$8:$DF$8,'Staff Daily sales'!$G587:$CD587))</f>
        <v>0</v>
      </c>
      <c r="O602">
        <f>IF($E602=0,0,SUMPRODUCT($AI$9:$DF$9,'Staff Daily sales'!$G587:$CD587))</f>
        <v>0</v>
      </c>
      <c r="P602">
        <f>IF($E602=0,0,SUMPRODUCT($AI$10:$DF$10,'Staff Daily sales'!$G587:$CD587))</f>
        <v>0</v>
      </c>
      <c r="Q602">
        <f>IF($E602=0,0,SUMPRODUCT($AI$11:$DF$11,'Staff Daily sales'!$G587:$CD587))</f>
        <v>0</v>
      </c>
      <c r="R602">
        <f>IF($E602=0,0,SUMPRODUCT($AI$12:$DF$12,'Staff Daily sales'!$G587:$CD587))</f>
        <v>0</v>
      </c>
      <c r="S602">
        <f>IF($E602=0,0,SUMPRODUCT($AI$13:$DF$13,'Staff Daily sales'!$G587:$CD587))</f>
        <v>140</v>
      </c>
      <c r="T602">
        <f>IF($E602=0,0,SUMPRODUCT($AI$14:$DF$14,'Staff Daily sales'!$G587:$CD587))</f>
        <v>2</v>
      </c>
      <c r="U602">
        <f>IF($E602=0,0,SUMPRODUCT($AI$15:$DF$15,'Staff Daily sales'!$G587:$CD587))</f>
        <v>0</v>
      </c>
      <c r="V602">
        <f>IF($E602=0,0,SUMPRODUCT($AI$16:$DF$16,'Staff Daily sales'!$G587:$CD587))</f>
        <v>0</v>
      </c>
      <c r="W602">
        <f t="shared" si="175"/>
        <v>41464.950000000004</v>
      </c>
      <c r="X602">
        <f t="shared" si="176"/>
        <v>50424.98</v>
      </c>
      <c r="Y602">
        <f t="shared" si="177"/>
        <v>41279.35</v>
      </c>
      <c r="Z602">
        <f t="shared" si="178"/>
        <v>37102.6</v>
      </c>
      <c r="AA602">
        <f t="shared" si="179"/>
        <v>8276.9999999999982</v>
      </c>
      <c r="AB602">
        <f>--AND($E602=1,OR('Staff Weekly Trend'!$B$3="All",$DH602='Staff Weekly Trend'!$B$3),OR('Staff Weekly Trend'!$B$4="All",$D602='Staff Weekly Trend'!$B$4),OR('Staff Weekly Trend'!$B$5="All",$A602='Staff Weekly Trend'!$B$5))</f>
        <v>1</v>
      </c>
      <c r="AC602" t="str">
        <f t="shared" si="180"/>
        <v/>
      </c>
      <c r="AI602">
        <f t="shared" si="181"/>
        <v>312</v>
      </c>
      <c r="AJ602">
        <f t="shared" si="182"/>
        <v>367</v>
      </c>
      <c r="AK602">
        <f t="shared" si="183"/>
        <v>269</v>
      </c>
      <c r="AL602">
        <f t="shared" si="184"/>
        <v>220</v>
      </c>
      <c r="AM602">
        <f t="shared" si="185"/>
        <v>49</v>
      </c>
      <c r="DH602" t="str" cm="1">
        <f t="array" ref="DH602">IF($A602="","",_xlfn.LET(_xlpm.c,IFERROR(_xlfn.XLOOKUP($A602,TRIM('Sales and count'!$A$4:$A$300&amp;""),TRIM('Sales and count'!$B$4:$B$300&amp;"")),""),IF(OR(_xlpm.c="",_xlpm.c="0",LEFT(_xlpm.c,1)="#"),"Not set",_xlpm.c)))</f>
        <v>KSA</v>
      </c>
    </row>
    <row r="603" spans="1:112" x14ac:dyDescent="0.25">
      <c r="A603" t="str">
        <f>IF('Staff Daily sales'!$B588="","",TRIM('Staff Daily sales'!$B588&amp;""))</f>
        <v>HAMAKKMAL</v>
      </c>
      <c r="B603" t="str">
        <f>IF('Staff Daily sales'!$D588="","",TRIM('Staff Daily sales'!$D588&amp;""))</f>
        <v>5357-NHilali</v>
      </c>
      <c r="C603" t="str">
        <f>IFERROR(TRIM('Staff Daily sales'!$E588&amp;""),"")</f>
        <v>Makkah</v>
      </c>
      <c r="D603" t="str">
        <f>IFERROR(IF(TRIM('Staff Daily sales'!$F588&amp;"")="","Unassigned",TRIM('Staff Daily sales'!$F588&amp;"")),"Unassigned")</f>
        <v>Maram Zamzami</v>
      </c>
      <c r="E603">
        <f t="shared" si="170"/>
        <v>1</v>
      </c>
      <c r="F603">
        <f>IF($E603=0,0,SUMPRODUCT($AI$5:$DF$5,'Staff Daily sales'!$G588:$CD588))</f>
        <v>1320.95</v>
      </c>
      <c r="G603">
        <f>IF($E603=0,0,SUMPRODUCT($AI$6:$DF$6,'Staff Daily sales'!$G588:$CD588))</f>
        <v>8</v>
      </c>
      <c r="H603">
        <f t="shared" si="171"/>
        <v>7126.61</v>
      </c>
      <c r="I603">
        <f t="shared" si="172"/>
        <v>34</v>
      </c>
      <c r="J603">
        <f t="shared" si="173"/>
        <v>89423.479999999967</v>
      </c>
      <c r="K603">
        <f t="shared" si="174"/>
        <v>413</v>
      </c>
      <c r="L603">
        <f>--AND($E603=1,OR('Staff Dashboard'!$B$6="All",$DH603='Staff Dashboard'!$B$6),OR('Staff Dashboard'!$B$7="All",$D603='Staff Dashboard'!$B$7),OR('Staff Dashboard'!$B$8="All",$A603='Staff Dashboard'!$B$8))</f>
        <v>1</v>
      </c>
      <c r="M603">
        <f>IF($E603=0,0,SUMPRODUCT($AI$7:$DF$7,'Staff Daily sales'!$G588:$CD588))</f>
        <v>0</v>
      </c>
      <c r="N603">
        <f>IF($E603=0,0,SUMPRODUCT($AI$8:$DF$8,'Staff Daily sales'!$G588:$CD588))</f>
        <v>0</v>
      </c>
      <c r="O603">
        <f>IF($E603=0,0,SUMPRODUCT($AI$9:$DF$9,'Staff Daily sales'!$G588:$CD588))</f>
        <v>0</v>
      </c>
      <c r="P603">
        <f>IF($E603=0,0,SUMPRODUCT($AI$10:$DF$10,'Staff Daily sales'!$G588:$CD588))</f>
        <v>0</v>
      </c>
      <c r="Q603">
        <f>IF($E603=0,0,SUMPRODUCT($AI$11:$DF$11,'Staff Daily sales'!$G588:$CD588))</f>
        <v>0</v>
      </c>
      <c r="R603">
        <f>IF($E603=0,0,SUMPRODUCT($AI$12:$DF$12,'Staff Daily sales'!$G588:$CD588))</f>
        <v>0</v>
      </c>
      <c r="S603">
        <f>IF($E603=0,0,SUMPRODUCT($AI$13:$DF$13,'Staff Daily sales'!$G588:$CD588))</f>
        <v>4586.96</v>
      </c>
      <c r="T603">
        <f>IF($E603=0,0,SUMPRODUCT($AI$14:$DF$14,'Staff Daily sales'!$G588:$CD588))</f>
        <v>27</v>
      </c>
      <c r="U603">
        <f>IF($E603=0,0,SUMPRODUCT($AI$15:$DF$15,'Staff Daily sales'!$G588:$CD588))</f>
        <v>0</v>
      </c>
      <c r="V603">
        <f>IF($E603=0,0,SUMPRODUCT($AI$16:$DF$16,'Staff Daily sales'!$G588:$CD588))</f>
        <v>0</v>
      </c>
      <c r="W603">
        <f t="shared" si="175"/>
        <v>41464.950000000004</v>
      </c>
      <c r="X603">
        <f t="shared" si="176"/>
        <v>50424.98</v>
      </c>
      <c r="Y603">
        <f t="shared" si="177"/>
        <v>41279.35</v>
      </c>
      <c r="Z603">
        <f t="shared" si="178"/>
        <v>37102.6</v>
      </c>
      <c r="AA603">
        <f t="shared" si="179"/>
        <v>8276.9999999999982</v>
      </c>
      <c r="AB603">
        <f>--AND($E603=1,OR('Staff Weekly Trend'!$B$3="All",$DH603='Staff Weekly Trend'!$B$3),OR('Staff Weekly Trend'!$B$4="All",$D603='Staff Weekly Trend'!$B$4),OR('Staff Weekly Trend'!$B$5="All",$A603='Staff Weekly Trend'!$B$5))</f>
        <v>1</v>
      </c>
      <c r="AC603">
        <f t="shared" si="180"/>
        <v>2</v>
      </c>
      <c r="AI603">
        <f t="shared" si="181"/>
        <v>312</v>
      </c>
      <c r="AJ603">
        <f t="shared" si="182"/>
        <v>367</v>
      </c>
      <c r="AK603">
        <f t="shared" si="183"/>
        <v>269</v>
      </c>
      <c r="AL603">
        <f t="shared" si="184"/>
        <v>220</v>
      </c>
      <c r="AM603">
        <f t="shared" si="185"/>
        <v>49</v>
      </c>
      <c r="DH603" t="str" cm="1">
        <f t="array" ref="DH603">IF($A603="","",_xlfn.LET(_xlpm.c,IFERROR(_xlfn.XLOOKUP($A603,TRIM('Sales and count'!$A$4:$A$300&amp;""),TRIM('Sales and count'!$B$4:$B$300&amp;"")),""),IF(OR(_xlpm.c="",_xlpm.c="0",LEFT(_xlpm.c,1)="#"),"Not set",_xlpm.c)))</f>
        <v>KSA</v>
      </c>
    </row>
    <row r="604" spans="1:112" x14ac:dyDescent="0.25">
      <c r="A604" t="str">
        <f>IF('Staff Daily sales'!$B589="","",TRIM('Staff Daily sales'!$B589&amp;""))</f>
        <v>HACOMPLZ</v>
      </c>
      <c r="B604" t="str">
        <f>IF('Staff Daily sales'!$D589="","",TRIM('Staff Daily sales'!$D589&amp;""))</f>
        <v>2918-TalalBreikah</v>
      </c>
      <c r="C604" t="str">
        <f>IFERROR(TRIM('Staff Daily sales'!$E589&amp;""),"")</f>
        <v>Riyadh</v>
      </c>
      <c r="D604" t="str">
        <f>IFERROR(IF(TRIM('Staff Daily sales'!$F589&amp;"")="","Unassigned",TRIM('Staff Daily sales'!$F589&amp;"")),"Unassigned")</f>
        <v>Lina Al Ghathami</v>
      </c>
      <c r="E604">
        <f t="shared" si="170"/>
        <v>1</v>
      </c>
      <c r="F604">
        <f>IF($E604=0,0,SUMPRODUCT($AI$5:$DF$5,'Staff Daily sales'!$G589:$CD589))</f>
        <v>0</v>
      </c>
      <c r="G604">
        <f>IF($E604=0,0,SUMPRODUCT($AI$6:$DF$6,'Staff Daily sales'!$G589:$CD589))</f>
        <v>0</v>
      </c>
      <c r="H604">
        <f t="shared" si="171"/>
        <v>10765.52</v>
      </c>
      <c r="I604">
        <f t="shared" si="172"/>
        <v>62</v>
      </c>
      <c r="J604">
        <f t="shared" si="173"/>
        <v>62915.250000000007</v>
      </c>
      <c r="K604">
        <f t="shared" si="174"/>
        <v>385</v>
      </c>
      <c r="L604">
        <f>--AND($E604=1,OR('Staff Dashboard'!$B$6="All",$DH604='Staff Dashboard'!$B$6),OR('Staff Dashboard'!$B$7="All",$D604='Staff Dashboard'!$B$7),OR('Staff Dashboard'!$B$8="All",$A604='Staff Dashboard'!$B$8))</f>
        <v>0</v>
      </c>
      <c r="M604">
        <f>IF($E604=0,0,SUMPRODUCT($AI$7:$DF$7,'Staff Daily sales'!$G589:$CD589))</f>
        <v>0</v>
      </c>
      <c r="N604">
        <f>IF($E604=0,0,SUMPRODUCT($AI$8:$DF$8,'Staff Daily sales'!$G589:$CD589))</f>
        <v>0</v>
      </c>
      <c r="O604">
        <f>IF($E604=0,0,SUMPRODUCT($AI$9:$DF$9,'Staff Daily sales'!$G589:$CD589))</f>
        <v>0</v>
      </c>
      <c r="P604">
        <f>IF($E604=0,0,SUMPRODUCT($AI$10:$DF$10,'Staff Daily sales'!$G589:$CD589))</f>
        <v>0</v>
      </c>
      <c r="Q604">
        <f>IF($E604=0,0,SUMPRODUCT($AI$11:$DF$11,'Staff Daily sales'!$G589:$CD589))</f>
        <v>0</v>
      </c>
      <c r="R604">
        <f>IF($E604=0,0,SUMPRODUCT($AI$12:$DF$12,'Staff Daily sales'!$G589:$CD589))</f>
        <v>0</v>
      </c>
      <c r="S604">
        <f>IF($E604=0,0,SUMPRODUCT($AI$13:$DF$13,'Staff Daily sales'!$G589:$CD589))</f>
        <v>3246.05</v>
      </c>
      <c r="T604">
        <f>IF($E604=0,0,SUMPRODUCT($AI$14:$DF$14,'Staff Daily sales'!$G589:$CD589))</f>
        <v>23</v>
      </c>
      <c r="U604">
        <f>IF($E604=0,0,SUMPRODUCT($AI$15:$DF$15,'Staff Daily sales'!$G589:$CD589))</f>
        <v>0</v>
      </c>
      <c r="V604">
        <f>IF($E604=0,0,SUMPRODUCT($AI$16:$DF$16,'Staff Daily sales'!$G589:$CD589))</f>
        <v>0</v>
      </c>
      <c r="W604">
        <f t="shared" si="175"/>
        <v>65770.17</v>
      </c>
      <c r="X604">
        <f t="shared" si="176"/>
        <v>94871.160000000018</v>
      </c>
      <c r="Y604">
        <f t="shared" si="177"/>
        <v>70761.88</v>
      </c>
      <c r="Z604">
        <f t="shared" si="178"/>
        <v>72561.98</v>
      </c>
      <c r="AA604">
        <f t="shared" si="179"/>
        <v>17601.659999999996</v>
      </c>
      <c r="AB604">
        <f>--AND($E604=1,OR('Staff Weekly Trend'!$B$3="All",$DH604='Staff Weekly Trend'!$B$3),OR('Staff Weekly Trend'!$B$4="All",$D604='Staff Weekly Trend'!$B$4),OR('Staff Weekly Trend'!$B$5="All",$A604='Staff Weekly Trend'!$B$5))</f>
        <v>1</v>
      </c>
      <c r="AC604" t="str">
        <f t="shared" si="180"/>
        <v/>
      </c>
      <c r="AI604">
        <f t="shared" si="181"/>
        <v>422</v>
      </c>
      <c r="AJ604">
        <f t="shared" si="182"/>
        <v>582</v>
      </c>
      <c r="AK604">
        <f t="shared" si="183"/>
        <v>419</v>
      </c>
      <c r="AL604">
        <f t="shared" si="184"/>
        <v>421</v>
      </c>
      <c r="AM604">
        <f t="shared" si="185"/>
        <v>83</v>
      </c>
      <c r="DH604" t="str" cm="1">
        <f t="array" ref="DH604">IF($A604="","",_xlfn.LET(_xlpm.c,IFERROR(_xlfn.XLOOKUP($A604,TRIM('Sales and count'!$A$4:$A$300&amp;""),TRIM('Sales and count'!$B$4:$B$300&amp;"")),""),IF(OR(_xlpm.c="",_xlpm.c="0",LEFT(_xlpm.c,1)="#"),"Not set",_xlpm.c)))</f>
        <v>KSA</v>
      </c>
    </row>
    <row r="605" spans="1:112" x14ac:dyDescent="0.25">
      <c r="A605" t="str">
        <f>IF('Staff Daily sales'!$B590="","",TRIM('Staff Daily sales'!$B590&amp;""))</f>
        <v>HADANAMAK</v>
      </c>
      <c r="B605" t="str">
        <f>IF('Staff Daily sales'!$D590="","",TRIM('Staff Daily sales'!$D590&amp;""))</f>
        <v>3641-UAttar</v>
      </c>
      <c r="C605" t="str">
        <f>IFERROR(TRIM('Staff Daily sales'!$E590&amp;""),"")</f>
        <v>Makkah</v>
      </c>
      <c r="D605" t="str">
        <f>IFERROR(IF(TRIM('Staff Daily sales'!$F590&amp;"")="","Unassigned",TRIM('Staff Daily sales'!$F590&amp;"")),"Unassigned")</f>
        <v>Maram Zamzami</v>
      </c>
      <c r="E605">
        <f t="shared" si="170"/>
        <v>1</v>
      </c>
      <c r="F605">
        <f>IF($E605=0,0,SUMPRODUCT($AI$5:$DF$5,'Staff Daily sales'!$G590:$CD590))</f>
        <v>0</v>
      </c>
      <c r="G605">
        <f>IF($E605=0,0,SUMPRODUCT($AI$6:$DF$6,'Staff Daily sales'!$G590:$CD590))</f>
        <v>0</v>
      </c>
      <c r="H605">
        <f t="shared" si="171"/>
        <v>3607.86</v>
      </c>
      <c r="I605">
        <f t="shared" si="172"/>
        <v>12</v>
      </c>
      <c r="J605">
        <f t="shared" si="173"/>
        <v>89423.479999999967</v>
      </c>
      <c r="K605">
        <f t="shared" si="174"/>
        <v>413</v>
      </c>
      <c r="L605">
        <f>--AND($E605=1,OR('Staff Dashboard'!$B$6="All",$DH605='Staff Dashboard'!$B$6),OR('Staff Dashboard'!$B$7="All",$D605='Staff Dashboard'!$B$7),OR('Staff Dashboard'!$B$8="All",$A605='Staff Dashboard'!$B$8))</f>
        <v>1</v>
      </c>
      <c r="M605">
        <f>IF($E605=0,0,SUMPRODUCT($AI$7:$DF$7,'Staff Daily sales'!$G590:$CD590))</f>
        <v>0</v>
      </c>
      <c r="N605">
        <f>IF($E605=0,0,SUMPRODUCT($AI$8:$DF$8,'Staff Daily sales'!$G590:$CD590))</f>
        <v>0</v>
      </c>
      <c r="O605">
        <f>IF($E605=0,0,SUMPRODUCT($AI$9:$DF$9,'Staff Daily sales'!$G590:$CD590))</f>
        <v>0</v>
      </c>
      <c r="P605">
        <f>IF($E605=0,0,SUMPRODUCT($AI$10:$DF$10,'Staff Daily sales'!$G590:$CD590))</f>
        <v>0</v>
      </c>
      <c r="Q605">
        <f>IF($E605=0,0,SUMPRODUCT($AI$11:$DF$11,'Staff Daily sales'!$G590:$CD590))</f>
        <v>0</v>
      </c>
      <c r="R605">
        <f>IF($E605=0,0,SUMPRODUCT($AI$12:$DF$12,'Staff Daily sales'!$G590:$CD590))</f>
        <v>0</v>
      </c>
      <c r="S605">
        <f>IF($E605=0,0,SUMPRODUCT($AI$13:$DF$13,'Staff Daily sales'!$G590:$CD590))</f>
        <v>571</v>
      </c>
      <c r="T605">
        <f>IF($E605=0,0,SUMPRODUCT($AI$14:$DF$14,'Staff Daily sales'!$G590:$CD590))</f>
        <v>3</v>
      </c>
      <c r="U605">
        <f>IF($E605=0,0,SUMPRODUCT($AI$15:$DF$15,'Staff Daily sales'!$G590:$CD590))</f>
        <v>0</v>
      </c>
      <c r="V605">
        <f>IF($E605=0,0,SUMPRODUCT($AI$16:$DF$16,'Staff Daily sales'!$G590:$CD590))</f>
        <v>0</v>
      </c>
      <c r="W605">
        <f t="shared" si="175"/>
        <v>18711.269999999997</v>
      </c>
      <c r="X605">
        <f t="shared" si="176"/>
        <v>27427.53</v>
      </c>
      <c r="Y605">
        <f t="shared" si="177"/>
        <v>26416.309999999998</v>
      </c>
      <c r="Z605">
        <f t="shared" si="178"/>
        <v>19653.740000000002</v>
      </c>
      <c r="AA605">
        <f t="shared" si="179"/>
        <v>5835.15</v>
      </c>
      <c r="AB605">
        <f>--AND($E605=1,OR('Staff Weekly Trend'!$B$3="All",$DH605='Staff Weekly Trend'!$B$3),OR('Staff Weekly Trend'!$B$4="All",$D605='Staff Weekly Trend'!$B$4),OR('Staff Weekly Trend'!$B$5="All",$A605='Staff Weekly Trend'!$B$5))</f>
        <v>1</v>
      </c>
      <c r="AC605" t="str">
        <f t="shared" si="180"/>
        <v/>
      </c>
      <c r="AI605">
        <f t="shared" si="181"/>
        <v>122</v>
      </c>
      <c r="AJ605">
        <f t="shared" si="182"/>
        <v>173</v>
      </c>
      <c r="AK605">
        <f t="shared" si="183"/>
        <v>151</v>
      </c>
      <c r="AL605">
        <f t="shared" si="184"/>
        <v>115</v>
      </c>
      <c r="AM605">
        <f t="shared" si="185"/>
        <v>25</v>
      </c>
      <c r="DH605" t="str" cm="1">
        <f t="array" ref="DH605">IF($A605="","",_xlfn.LET(_xlpm.c,IFERROR(_xlfn.XLOOKUP($A605,TRIM('Sales and count'!$A$4:$A$300&amp;""),TRIM('Sales and count'!$B$4:$B$300&amp;"")),""),IF(OR(_xlpm.c="",_xlpm.c="0",LEFT(_xlpm.c,1)="#"),"Not set",_xlpm.c)))</f>
        <v>KSA</v>
      </c>
    </row>
    <row r="606" spans="1:112" x14ac:dyDescent="0.25">
      <c r="A606" t="str">
        <f>IF('Staff Daily sales'!$B591="","",TRIM('Staff Daily sales'!$B591&amp;""))</f>
        <v>HADANAMAK</v>
      </c>
      <c r="B606" t="str">
        <f>IF('Staff Daily sales'!$D591="","",TRIM('Staff Daily sales'!$D591&amp;""))</f>
        <v>5979-AAlmarhabi</v>
      </c>
      <c r="C606" t="str">
        <f>IFERROR(TRIM('Staff Daily sales'!$E591&amp;""),"")</f>
        <v>Makkah</v>
      </c>
      <c r="D606" t="str">
        <f>IFERROR(IF(TRIM('Staff Daily sales'!$F591&amp;"")="","Unassigned",TRIM('Staff Daily sales'!$F591&amp;"")),"Unassigned")</f>
        <v>Maram Zamzami</v>
      </c>
      <c r="E606">
        <f t="shared" si="170"/>
        <v>1</v>
      </c>
      <c r="F606">
        <f>IF($E606=0,0,SUMPRODUCT($AI$5:$DF$5,'Staff Daily sales'!$G591:$CD591))</f>
        <v>1178.92</v>
      </c>
      <c r="G606">
        <f>IF($E606=0,0,SUMPRODUCT($AI$6:$DF$6,'Staff Daily sales'!$G591:$CD591))</f>
        <v>5</v>
      </c>
      <c r="H606">
        <f t="shared" si="171"/>
        <v>3607.86</v>
      </c>
      <c r="I606">
        <f t="shared" si="172"/>
        <v>12</v>
      </c>
      <c r="J606">
        <f t="shared" si="173"/>
        <v>89423.479999999967</v>
      </c>
      <c r="K606">
        <f t="shared" si="174"/>
        <v>413</v>
      </c>
      <c r="L606">
        <f>--AND($E606=1,OR('Staff Dashboard'!$B$6="All",$DH606='Staff Dashboard'!$B$6),OR('Staff Dashboard'!$B$7="All",$D606='Staff Dashboard'!$B$7),OR('Staff Dashboard'!$B$8="All",$A606='Staff Dashboard'!$B$8))</f>
        <v>1</v>
      </c>
      <c r="M606">
        <f>IF($E606=0,0,SUMPRODUCT($AI$7:$DF$7,'Staff Daily sales'!$G591:$CD591))</f>
        <v>0</v>
      </c>
      <c r="N606">
        <f>IF($E606=0,0,SUMPRODUCT($AI$8:$DF$8,'Staff Daily sales'!$G591:$CD591))</f>
        <v>0</v>
      </c>
      <c r="O606">
        <f>IF($E606=0,0,SUMPRODUCT($AI$9:$DF$9,'Staff Daily sales'!$G591:$CD591))</f>
        <v>0</v>
      </c>
      <c r="P606">
        <f>IF($E606=0,0,SUMPRODUCT($AI$10:$DF$10,'Staff Daily sales'!$G591:$CD591))</f>
        <v>0</v>
      </c>
      <c r="Q606">
        <f>IF($E606=0,0,SUMPRODUCT($AI$11:$DF$11,'Staff Daily sales'!$G591:$CD591))</f>
        <v>0</v>
      </c>
      <c r="R606">
        <f>IF($E606=0,0,SUMPRODUCT($AI$12:$DF$12,'Staff Daily sales'!$G591:$CD591))</f>
        <v>0</v>
      </c>
      <c r="S606">
        <f>IF($E606=0,0,SUMPRODUCT($AI$13:$DF$13,'Staff Daily sales'!$G591:$CD591))</f>
        <v>1478.93</v>
      </c>
      <c r="T606">
        <f>IF($E606=0,0,SUMPRODUCT($AI$14:$DF$14,'Staff Daily sales'!$G591:$CD591))</f>
        <v>7</v>
      </c>
      <c r="U606">
        <f>IF($E606=0,0,SUMPRODUCT($AI$15:$DF$15,'Staff Daily sales'!$G591:$CD591))</f>
        <v>361.02</v>
      </c>
      <c r="V606">
        <f>IF($E606=0,0,SUMPRODUCT($AI$16:$DF$16,'Staff Daily sales'!$G591:$CD591))</f>
        <v>2</v>
      </c>
      <c r="W606">
        <f t="shared" si="175"/>
        <v>18711.269999999997</v>
      </c>
      <c r="X606">
        <f t="shared" si="176"/>
        <v>27427.53</v>
      </c>
      <c r="Y606">
        <f t="shared" si="177"/>
        <v>26416.309999999998</v>
      </c>
      <c r="Z606">
        <f t="shared" si="178"/>
        <v>19653.740000000002</v>
      </c>
      <c r="AA606">
        <f t="shared" si="179"/>
        <v>5835.15</v>
      </c>
      <c r="AB606">
        <f>--AND($E606=1,OR('Staff Weekly Trend'!$B$3="All",$DH606='Staff Weekly Trend'!$B$3),OR('Staff Weekly Trend'!$B$4="All",$D606='Staff Weekly Trend'!$B$4),OR('Staff Weekly Trend'!$B$5="All",$A606='Staff Weekly Trend'!$B$5))</f>
        <v>1</v>
      </c>
      <c r="AC606">
        <f t="shared" si="180"/>
        <v>2</v>
      </c>
      <c r="AI606">
        <f t="shared" si="181"/>
        <v>122</v>
      </c>
      <c r="AJ606">
        <f t="shared" si="182"/>
        <v>173</v>
      </c>
      <c r="AK606">
        <f t="shared" si="183"/>
        <v>151</v>
      </c>
      <c r="AL606">
        <f t="shared" si="184"/>
        <v>115</v>
      </c>
      <c r="AM606">
        <f t="shared" si="185"/>
        <v>25</v>
      </c>
      <c r="DH606" t="str" cm="1">
        <f t="array" ref="DH606">IF($A606="","",_xlfn.LET(_xlpm.c,IFERROR(_xlfn.XLOOKUP($A606,TRIM('Sales and count'!$A$4:$A$300&amp;""),TRIM('Sales and count'!$B$4:$B$300&amp;"")),""),IF(OR(_xlpm.c="",_xlpm.c="0",LEFT(_xlpm.c,1)="#"),"Not set",_xlpm.c)))</f>
        <v>KSA</v>
      </c>
    </row>
    <row r="607" spans="1:112" x14ac:dyDescent="0.25">
      <c r="A607" t="str">
        <f>IF('Staff Daily sales'!$B592="","",TRIM('Staff Daily sales'!$B592&amp;""))</f>
        <v>HAKHURAIS</v>
      </c>
      <c r="B607" t="str">
        <f>IF('Staff Daily sales'!$D592="","",TRIM('Staff Daily sales'!$D592&amp;""))</f>
        <v>4348-MSaqar</v>
      </c>
      <c r="C607" t="str">
        <f>IFERROR(TRIM('Staff Daily sales'!$E592&amp;""),"")</f>
        <v>Riyadh</v>
      </c>
      <c r="D607" t="str">
        <f>IFERROR(IF(TRIM('Staff Daily sales'!$F592&amp;"")="","Unassigned",TRIM('Staff Daily sales'!$F592&amp;"")),"Unassigned")</f>
        <v>Mohammed Sanad</v>
      </c>
      <c r="E607">
        <f t="shared" si="170"/>
        <v>1</v>
      </c>
      <c r="F607">
        <f>IF($E607=0,0,SUMPRODUCT($AI$5:$DF$5,'Staff Daily sales'!$G592:$CD592))</f>
        <v>0</v>
      </c>
      <c r="G607">
        <f>IF($E607=0,0,SUMPRODUCT($AI$6:$DF$6,'Staff Daily sales'!$G592:$CD592))</f>
        <v>0</v>
      </c>
      <c r="H607">
        <f t="shared" si="171"/>
        <v>2963.82</v>
      </c>
      <c r="I607">
        <f t="shared" si="172"/>
        <v>15</v>
      </c>
      <c r="J607">
        <f t="shared" si="173"/>
        <v>64682.640000000014</v>
      </c>
      <c r="K607">
        <f t="shared" si="174"/>
        <v>326</v>
      </c>
      <c r="L607">
        <f>--AND($E607=1,OR('Staff Dashboard'!$B$6="All",$DH607='Staff Dashboard'!$B$6),OR('Staff Dashboard'!$B$7="All",$D607='Staff Dashboard'!$B$7),OR('Staff Dashboard'!$B$8="All",$A607='Staff Dashboard'!$B$8))</f>
        <v>0</v>
      </c>
      <c r="M607">
        <f>IF($E607=0,0,SUMPRODUCT($AI$7:$DF$7,'Staff Daily sales'!$G592:$CD592))</f>
        <v>0</v>
      </c>
      <c r="N607">
        <f>IF($E607=0,0,SUMPRODUCT($AI$8:$DF$8,'Staff Daily sales'!$G592:$CD592))</f>
        <v>0</v>
      </c>
      <c r="O607">
        <f>IF($E607=0,0,SUMPRODUCT($AI$9:$DF$9,'Staff Daily sales'!$G592:$CD592))</f>
        <v>0</v>
      </c>
      <c r="P607">
        <f>IF($E607=0,0,SUMPRODUCT($AI$10:$DF$10,'Staff Daily sales'!$G592:$CD592))</f>
        <v>0</v>
      </c>
      <c r="Q607">
        <f>IF($E607=0,0,SUMPRODUCT($AI$11:$DF$11,'Staff Daily sales'!$G592:$CD592))</f>
        <v>0</v>
      </c>
      <c r="R607">
        <f>IF($E607=0,0,SUMPRODUCT($AI$12:$DF$12,'Staff Daily sales'!$G592:$CD592))</f>
        <v>0</v>
      </c>
      <c r="S607">
        <f>IF($E607=0,0,SUMPRODUCT($AI$13:$DF$13,'Staff Daily sales'!$G592:$CD592))</f>
        <v>965.01</v>
      </c>
      <c r="T607">
        <f>IF($E607=0,0,SUMPRODUCT($AI$14:$DF$14,'Staff Daily sales'!$G592:$CD592))</f>
        <v>7</v>
      </c>
      <c r="U607">
        <f>IF($E607=0,0,SUMPRODUCT($AI$15:$DF$15,'Staff Daily sales'!$G592:$CD592))</f>
        <v>0</v>
      </c>
      <c r="V607">
        <f>IF($E607=0,0,SUMPRODUCT($AI$16:$DF$16,'Staff Daily sales'!$G592:$CD592))</f>
        <v>0</v>
      </c>
      <c r="W607">
        <f t="shared" si="175"/>
        <v>15994.340000000002</v>
      </c>
      <c r="X607">
        <f t="shared" si="176"/>
        <v>24379.449999999997</v>
      </c>
      <c r="Y607">
        <f t="shared" si="177"/>
        <v>29167.39</v>
      </c>
      <c r="Z607">
        <f t="shared" si="178"/>
        <v>23609.52</v>
      </c>
      <c r="AA607">
        <f t="shared" si="179"/>
        <v>4978</v>
      </c>
      <c r="AB607">
        <f>--AND($E607=1,OR('Staff Weekly Trend'!$B$3="All",$DH607='Staff Weekly Trend'!$B$3),OR('Staff Weekly Trend'!$B$4="All",$D607='Staff Weekly Trend'!$B$4),OR('Staff Weekly Trend'!$B$5="All",$A607='Staff Weekly Trend'!$B$5))</f>
        <v>1</v>
      </c>
      <c r="AC607" t="str">
        <f t="shared" si="180"/>
        <v/>
      </c>
      <c r="AI607">
        <f t="shared" si="181"/>
        <v>138</v>
      </c>
      <c r="AJ607">
        <f t="shared" si="182"/>
        <v>181</v>
      </c>
      <c r="AK607">
        <f t="shared" si="183"/>
        <v>210</v>
      </c>
      <c r="AL607">
        <f t="shared" si="184"/>
        <v>157</v>
      </c>
      <c r="AM607">
        <f t="shared" si="185"/>
        <v>33</v>
      </c>
      <c r="DH607" t="str" cm="1">
        <f t="array" ref="DH607">IF($A607="","",_xlfn.LET(_xlpm.c,IFERROR(_xlfn.XLOOKUP($A607,TRIM('Sales and count'!$A$4:$A$300&amp;""),TRIM('Sales and count'!$B$4:$B$300&amp;"")),""),IF(OR(_xlpm.c="",_xlpm.c="0",LEFT(_xlpm.c,1)="#"),"Not set",_xlpm.c)))</f>
        <v>KSA</v>
      </c>
    </row>
    <row r="608" spans="1:112" x14ac:dyDescent="0.25">
      <c r="A608" t="str">
        <f>IF('Staff Daily sales'!$B593="","",TRIM('Staff Daily sales'!$B593&amp;""))</f>
        <v>HADIYAFAML</v>
      </c>
      <c r="B608" t="str">
        <f>IF('Staff Daily sales'!$D593="","",TRIM('Staff Daily sales'!$D593&amp;""))</f>
        <v>3677-RAlGhamdi</v>
      </c>
      <c r="C608" t="str">
        <f>IFERROR(TRIM('Staff Daily sales'!$E593&amp;""),"")</f>
        <v>Makkah</v>
      </c>
      <c r="D608" t="str">
        <f>IFERROR(IF(TRIM('Staff Daily sales'!$F593&amp;"")="","Unassigned",TRIM('Staff Daily sales'!$F593&amp;"")),"Unassigned")</f>
        <v>Maram Zamzami</v>
      </c>
      <c r="E608">
        <f t="shared" si="170"/>
        <v>1</v>
      </c>
      <c r="F608">
        <f>IF($E608=0,0,SUMPRODUCT($AI$5:$DF$5,'Staff Daily sales'!$G593:$CD593))</f>
        <v>0</v>
      </c>
      <c r="G608">
        <f>IF($E608=0,0,SUMPRODUCT($AI$6:$DF$6,'Staff Daily sales'!$G593:$CD593))</f>
        <v>0</v>
      </c>
      <c r="H608">
        <f t="shared" si="171"/>
        <v>1437.02</v>
      </c>
      <c r="I608">
        <f t="shared" si="172"/>
        <v>11</v>
      </c>
      <c r="J608">
        <f t="shared" si="173"/>
        <v>89423.479999999967</v>
      </c>
      <c r="K608">
        <f t="shared" si="174"/>
        <v>413</v>
      </c>
      <c r="L608">
        <f>--AND($E608=1,OR('Staff Dashboard'!$B$6="All",$DH608='Staff Dashboard'!$B$6),OR('Staff Dashboard'!$B$7="All",$D608='Staff Dashboard'!$B$7),OR('Staff Dashboard'!$B$8="All",$A608='Staff Dashboard'!$B$8))</f>
        <v>1</v>
      </c>
      <c r="M608">
        <f>IF($E608=0,0,SUMPRODUCT($AI$7:$DF$7,'Staff Daily sales'!$G593:$CD593))</f>
        <v>0</v>
      </c>
      <c r="N608">
        <f>IF($E608=0,0,SUMPRODUCT($AI$8:$DF$8,'Staff Daily sales'!$G593:$CD593))</f>
        <v>0</v>
      </c>
      <c r="O608">
        <f>IF($E608=0,0,SUMPRODUCT($AI$9:$DF$9,'Staff Daily sales'!$G593:$CD593))</f>
        <v>0</v>
      </c>
      <c r="P608">
        <f>IF($E608=0,0,SUMPRODUCT($AI$10:$DF$10,'Staff Daily sales'!$G593:$CD593))</f>
        <v>0</v>
      </c>
      <c r="Q608">
        <f>IF($E608=0,0,SUMPRODUCT($AI$11:$DF$11,'Staff Daily sales'!$G593:$CD593))</f>
        <v>0</v>
      </c>
      <c r="R608">
        <f>IF($E608=0,0,SUMPRODUCT($AI$12:$DF$12,'Staff Daily sales'!$G593:$CD593))</f>
        <v>0</v>
      </c>
      <c r="S608">
        <f>IF($E608=0,0,SUMPRODUCT($AI$13:$DF$13,'Staff Daily sales'!$G593:$CD593))</f>
        <v>1671</v>
      </c>
      <c r="T608">
        <f>IF($E608=0,0,SUMPRODUCT($AI$14:$DF$14,'Staff Daily sales'!$G593:$CD593))</f>
        <v>12</v>
      </c>
      <c r="U608">
        <f>IF($E608=0,0,SUMPRODUCT($AI$15:$DF$15,'Staff Daily sales'!$G593:$CD593))</f>
        <v>0</v>
      </c>
      <c r="V608">
        <f>IF($E608=0,0,SUMPRODUCT($AI$16:$DF$16,'Staff Daily sales'!$G593:$CD593))</f>
        <v>0</v>
      </c>
      <c r="W608">
        <f t="shared" si="175"/>
        <v>9768.16</v>
      </c>
      <c r="X608">
        <f t="shared" si="176"/>
        <v>18637.300000000003</v>
      </c>
      <c r="Y608">
        <f t="shared" si="177"/>
        <v>12470.16</v>
      </c>
      <c r="Z608">
        <f t="shared" si="178"/>
        <v>9213.0400000000009</v>
      </c>
      <c r="AA608">
        <f t="shared" si="179"/>
        <v>1342.02</v>
      </c>
      <c r="AB608">
        <f>--AND($E608=1,OR('Staff Weekly Trend'!$B$3="All",$DH608='Staff Weekly Trend'!$B$3),OR('Staff Weekly Trend'!$B$4="All",$D608='Staff Weekly Trend'!$B$4),OR('Staff Weekly Trend'!$B$5="All",$A608='Staff Weekly Trend'!$B$5))</f>
        <v>1</v>
      </c>
      <c r="AC608" t="str">
        <f t="shared" si="180"/>
        <v/>
      </c>
      <c r="AI608">
        <f t="shared" si="181"/>
        <v>93</v>
      </c>
      <c r="AJ608">
        <f t="shared" si="182"/>
        <v>149</v>
      </c>
      <c r="AK608">
        <f t="shared" si="183"/>
        <v>104</v>
      </c>
      <c r="AL608">
        <f t="shared" si="184"/>
        <v>77</v>
      </c>
      <c r="AM608">
        <f t="shared" si="185"/>
        <v>9</v>
      </c>
      <c r="DH608" t="str" cm="1">
        <f t="array" ref="DH608">IF($A608="","",_xlfn.LET(_xlpm.c,IFERROR(_xlfn.XLOOKUP($A608,TRIM('Sales and count'!$A$4:$A$300&amp;""),TRIM('Sales and count'!$B$4:$B$300&amp;"")),""),IF(OR(_xlpm.c="",_xlpm.c="0",LEFT(_xlpm.c,1)="#"),"Not set",_xlpm.c)))</f>
        <v>KSA</v>
      </c>
    </row>
    <row r="609" spans="1:112" x14ac:dyDescent="0.25">
      <c r="A609" t="str">
        <f>IF('Staff Daily sales'!$B594="","",TRIM('Staff Daily sales'!$B594&amp;""))</f>
        <v>HADARALEMN</v>
      </c>
      <c r="B609" t="str">
        <f>IF('Staff Daily sales'!$D594="","",TRIM('Staff Daily sales'!$D594&amp;""))</f>
        <v>6027-BAbdulhakim</v>
      </c>
      <c r="C609" t="str">
        <f>IFERROR(TRIM('Staff Daily sales'!$E594&amp;""),"")</f>
        <v>Madinah</v>
      </c>
      <c r="D609" t="str">
        <f>IFERROR(IF(TRIM('Staff Daily sales'!$F594&amp;"")="","Unassigned",TRIM('Staff Daily sales'!$F594&amp;"")),"Unassigned")</f>
        <v>Mohammed Haidar</v>
      </c>
      <c r="E609">
        <f t="shared" si="170"/>
        <v>1</v>
      </c>
      <c r="F609">
        <f>IF($E609=0,0,SUMPRODUCT($AI$5:$DF$5,'Staff Daily sales'!$G594:$CD594))</f>
        <v>0</v>
      </c>
      <c r="G609">
        <f>IF($E609=0,0,SUMPRODUCT($AI$6:$DF$6,'Staff Daily sales'!$G594:$CD594))</f>
        <v>0</v>
      </c>
      <c r="H609">
        <f t="shared" si="171"/>
        <v>12792.14</v>
      </c>
      <c r="I609">
        <f t="shared" si="172"/>
        <v>56</v>
      </c>
      <c r="J609">
        <f t="shared" si="173"/>
        <v>55209.230000000018</v>
      </c>
      <c r="K609">
        <f t="shared" si="174"/>
        <v>272</v>
      </c>
      <c r="L609">
        <f>--AND($E609=1,OR('Staff Dashboard'!$B$6="All",$DH609='Staff Dashboard'!$B$6),OR('Staff Dashboard'!$B$7="All",$D609='Staff Dashboard'!$B$7),OR('Staff Dashboard'!$B$8="All",$A609='Staff Dashboard'!$B$8))</f>
        <v>0</v>
      </c>
      <c r="M609">
        <f>IF($E609=0,0,SUMPRODUCT($AI$7:$DF$7,'Staff Daily sales'!$G594:$CD594))</f>
        <v>0</v>
      </c>
      <c r="N609">
        <f>IF($E609=0,0,SUMPRODUCT($AI$8:$DF$8,'Staff Daily sales'!$G594:$CD594))</f>
        <v>0</v>
      </c>
      <c r="O609">
        <f>IF($E609=0,0,SUMPRODUCT($AI$9:$DF$9,'Staff Daily sales'!$G594:$CD594))</f>
        <v>0</v>
      </c>
      <c r="P609">
        <f>IF($E609=0,0,SUMPRODUCT($AI$10:$DF$10,'Staff Daily sales'!$G594:$CD594))</f>
        <v>0</v>
      </c>
      <c r="Q609">
        <f>IF($E609=0,0,SUMPRODUCT($AI$11:$DF$11,'Staff Daily sales'!$G594:$CD594))</f>
        <v>0</v>
      </c>
      <c r="R609">
        <f>IF($E609=0,0,SUMPRODUCT($AI$12:$DF$12,'Staff Daily sales'!$G594:$CD594))</f>
        <v>0</v>
      </c>
      <c r="S609">
        <f>IF($E609=0,0,SUMPRODUCT($AI$13:$DF$13,'Staff Daily sales'!$G594:$CD594))</f>
        <v>465</v>
      </c>
      <c r="T609">
        <f>IF($E609=0,0,SUMPRODUCT($AI$14:$DF$14,'Staff Daily sales'!$G594:$CD594))</f>
        <v>1</v>
      </c>
      <c r="U609">
        <f>IF($E609=0,0,SUMPRODUCT($AI$15:$DF$15,'Staff Daily sales'!$G594:$CD594))</f>
        <v>0</v>
      </c>
      <c r="V609">
        <f>IF($E609=0,0,SUMPRODUCT($AI$16:$DF$16,'Staff Daily sales'!$G594:$CD594))</f>
        <v>0</v>
      </c>
      <c r="W609">
        <f t="shared" si="175"/>
        <v>28603.83</v>
      </c>
      <c r="X609">
        <f t="shared" si="176"/>
        <v>63583.53</v>
      </c>
      <c r="Y609">
        <f t="shared" si="177"/>
        <v>67535.38</v>
      </c>
      <c r="Z609">
        <f t="shared" si="178"/>
        <v>73568.650000000009</v>
      </c>
      <c r="AA609">
        <f t="shared" si="179"/>
        <v>19001.169999999998</v>
      </c>
      <c r="AB609">
        <f>--AND($E609=1,OR('Staff Weekly Trend'!$B$3="All",$DH609='Staff Weekly Trend'!$B$3),OR('Staff Weekly Trend'!$B$4="All",$D609='Staff Weekly Trend'!$B$4),OR('Staff Weekly Trend'!$B$5="All",$A609='Staff Weekly Trend'!$B$5))</f>
        <v>1</v>
      </c>
      <c r="AC609" t="str">
        <f t="shared" si="180"/>
        <v/>
      </c>
      <c r="AI609">
        <f t="shared" si="181"/>
        <v>160</v>
      </c>
      <c r="AJ609">
        <f t="shared" si="182"/>
        <v>301</v>
      </c>
      <c r="AK609">
        <f t="shared" si="183"/>
        <v>313</v>
      </c>
      <c r="AL609">
        <f t="shared" si="184"/>
        <v>326</v>
      </c>
      <c r="AM609">
        <f t="shared" si="185"/>
        <v>84</v>
      </c>
      <c r="DH609" t="str" cm="1">
        <f t="array" ref="DH609">IF($A609="","",_xlfn.LET(_xlpm.c,IFERROR(_xlfn.XLOOKUP($A609,TRIM('Sales and count'!$A$4:$A$300&amp;""),TRIM('Sales and count'!$B$4:$B$300&amp;"")),""),IF(OR(_xlpm.c="",_xlpm.c="0",LEFT(_xlpm.c,1)="#"),"Not set",_xlpm.c)))</f>
        <v>KSA</v>
      </c>
    </row>
    <row r="610" spans="1:112" x14ac:dyDescent="0.25">
      <c r="A610" t="str">
        <f>IF('Staff Daily sales'!$B595="","",TRIM('Staff Daily sales'!$B595&amp;""))</f>
        <v>HADLHTBHHT</v>
      </c>
      <c r="B610" t="str">
        <f>IF('Staff Daily sales'!$D595="","",TRIM('Staff Daily sales'!$D595&amp;""))</f>
        <v>5270-EAlAzmi</v>
      </c>
      <c r="C610" t="str">
        <f>IFERROR(TRIM('Staff Daily sales'!$E595&amp;""),"")</f>
        <v>Madinah</v>
      </c>
      <c r="D610" t="str">
        <f>IFERROR(IF(TRIM('Staff Daily sales'!$F595&amp;"")="","Unassigned",TRIM('Staff Daily sales'!$F595&amp;"")),"Unassigned")</f>
        <v>Mohammed Haidar</v>
      </c>
      <c r="E610">
        <f t="shared" si="170"/>
        <v>1</v>
      </c>
      <c r="F610">
        <f>IF($E610=0,0,SUMPRODUCT($AI$5:$DF$5,'Staff Daily sales'!$G595:$CD595))</f>
        <v>0</v>
      </c>
      <c r="G610">
        <f>IF($E610=0,0,SUMPRODUCT($AI$6:$DF$6,'Staff Daily sales'!$G595:$CD595))</f>
        <v>0</v>
      </c>
      <c r="H610">
        <f t="shared" si="171"/>
        <v>11238.57</v>
      </c>
      <c r="I610">
        <f t="shared" si="172"/>
        <v>54</v>
      </c>
      <c r="J610">
        <f t="shared" si="173"/>
        <v>55209.230000000018</v>
      </c>
      <c r="K610">
        <f t="shared" si="174"/>
        <v>272</v>
      </c>
      <c r="L610">
        <f>--AND($E610=1,OR('Staff Dashboard'!$B$6="All",$DH610='Staff Dashboard'!$B$6),OR('Staff Dashboard'!$B$7="All",$D610='Staff Dashboard'!$B$7),OR('Staff Dashboard'!$B$8="All",$A610='Staff Dashboard'!$B$8))</f>
        <v>0</v>
      </c>
      <c r="M610">
        <f>IF($E610=0,0,SUMPRODUCT($AI$7:$DF$7,'Staff Daily sales'!$G595:$CD595))</f>
        <v>0</v>
      </c>
      <c r="N610">
        <f>IF($E610=0,0,SUMPRODUCT($AI$8:$DF$8,'Staff Daily sales'!$G595:$CD595))</f>
        <v>0</v>
      </c>
      <c r="O610">
        <f>IF($E610=0,0,SUMPRODUCT($AI$9:$DF$9,'Staff Daily sales'!$G595:$CD595))</f>
        <v>0</v>
      </c>
      <c r="P610">
        <f>IF($E610=0,0,SUMPRODUCT($AI$10:$DF$10,'Staff Daily sales'!$G595:$CD595))</f>
        <v>0</v>
      </c>
      <c r="Q610">
        <f>IF($E610=0,0,SUMPRODUCT($AI$11:$DF$11,'Staff Daily sales'!$G595:$CD595))</f>
        <v>0</v>
      </c>
      <c r="R610">
        <f>IF($E610=0,0,SUMPRODUCT($AI$12:$DF$12,'Staff Daily sales'!$G595:$CD595))</f>
        <v>0</v>
      </c>
      <c r="S610">
        <f>IF($E610=0,0,SUMPRODUCT($AI$13:$DF$13,'Staff Daily sales'!$G595:$CD595))</f>
        <v>600.01</v>
      </c>
      <c r="T610">
        <f>IF($E610=0,0,SUMPRODUCT($AI$14:$DF$14,'Staff Daily sales'!$G595:$CD595))</f>
        <v>4</v>
      </c>
      <c r="U610">
        <f>IF($E610=0,0,SUMPRODUCT($AI$15:$DF$15,'Staff Daily sales'!$G595:$CD595))</f>
        <v>0</v>
      </c>
      <c r="V610">
        <f>IF($E610=0,0,SUMPRODUCT($AI$16:$DF$16,'Staff Daily sales'!$G595:$CD595))</f>
        <v>0</v>
      </c>
      <c r="W610">
        <f t="shared" si="175"/>
        <v>21520.559999999998</v>
      </c>
      <c r="X610">
        <f t="shared" si="176"/>
        <v>54559.42</v>
      </c>
      <c r="Y610">
        <f t="shared" si="177"/>
        <v>52597.280000000006</v>
      </c>
      <c r="Z610">
        <f t="shared" si="178"/>
        <v>54179.830000000009</v>
      </c>
      <c r="AA610">
        <f t="shared" si="179"/>
        <v>20906.240000000002</v>
      </c>
      <c r="AB610">
        <f>--AND($E610=1,OR('Staff Weekly Trend'!$B$3="All",$DH610='Staff Weekly Trend'!$B$3),OR('Staff Weekly Trend'!$B$4="All",$D610='Staff Weekly Trend'!$B$4),OR('Staff Weekly Trend'!$B$5="All",$A610='Staff Weekly Trend'!$B$5))</f>
        <v>1</v>
      </c>
      <c r="AC610" t="str">
        <f t="shared" si="180"/>
        <v/>
      </c>
      <c r="AI610">
        <f t="shared" si="181"/>
        <v>132</v>
      </c>
      <c r="AJ610">
        <f t="shared" si="182"/>
        <v>266</v>
      </c>
      <c r="AK610">
        <f t="shared" si="183"/>
        <v>272</v>
      </c>
      <c r="AL610">
        <f t="shared" si="184"/>
        <v>275</v>
      </c>
      <c r="AM610">
        <f t="shared" si="185"/>
        <v>95</v>
      </c>
      <c r="DH610" t="str" cm="1">
        <f t="array" ref="DH610">IF($A610="","",_xlfn.LET(_xlpm.c,IFERROR(_xlfn.XLOOKUP($A610,TRIM('Sales and count'!$A$4:$A$300&amp;""),TRIM('Sales and count'!$B$4:$B$300&amp;"")),""),IF(OR(_xlpm.c="",_xlpm.c="0",LEFT(_xlpm.c,1)="#"),"Not set",_xlpm.c)))</f>
        <v>KSA</v>
      </c>
    </row>
    <row r="611" spans="1:112" x14ac:dyDescent="0.25">
      <c r="A611" t="str">
        <f>IF('Staff Daily sales'!$B596="","",TRIM('Staff Daily sales'!$B596&amp;""))</f>
        <v>HAMAKHLTON</v>
      </c>
      <c r="B611" t="str">
        <f>IF('Staff Daily sales'!$D596="","",TRIM('Staff Daily sales'!$D596&amp;""))</f>
        <v>3623-SALSulami</v>
      </c>
      <c r="C611" t="str">
        <f>IFERROR(TRIM('Staff Daily sales'!$E596&amp;""),"")</f>
        <v>Makkah</v>
      </c>
      <c r="D611" t="str">
        <f>IFERROR(IF(TRIM('Staff Daily sales'!$F596&amp;"")="","Unassigned",TRIM('Staff Daily sales'!$F596&amp;"")),"Unassigned")</f>
        <v>Maram Zamzami</v>
      </c>
      <c r="E611">
        <f t="shared" si="170"/>
        <v>1</v>
      </c>
      <c r="F611">
        <f>IF($E611=0,0,SUMPRODUCT($AI$5:$DF$5,'Staff Daily sales'!$G596:$CD596))</f>
        <v>0</v>
      </c>
      <c r="G611">
        <f>IF($E611=0,0,SUMPRODUCT($AI$6:$DF$6,'Staff Daily sales'!$G596:$CD596))</f>
        <v>0</v>
      </c>
      <c r="H611">
        <f t="shared" si="171"/>
        <v>11650.3</v>
      </c>
      <c r="I611">
        <f t="shared" si="172"/>
        <v>60</v>
      </c>
      <c r="J611">
        <f t="shared" si="173"/>
        <v>89423.479999999967</v>
      </c>
      <c r="K611">
        <f t="shared" si="174"/>
        <v>413</v>
      </c>
      <c r="L611">
        <f>--AND($E611=1,OR('Staff Dashboard'!$B$6="All",$DH611='Staff Dashboard'!$B$6),OR('Staff Dashboard'!$B$7="All",$D611='Staff Dashboard'!$B$7),OR('Staff Dashboard'!$B$8="All",$A611='Staff Dashboard'!$B$8))</f>
        <v>1</v>
      </c>
      <c r="M611">
        <f>IF($E611=0,0,SUMPRODUCT($AI$7:$DF$7,'Staff Daily sales'!$G596:$CD596))</f>
        <v>0</v>
      </c>
      <c r="N611">
        <f>IF($E611=0,0,SUMPRODUCT($AI$8:$DF$8,'Staff Daily sales'!$G596:$CD596))</f>
        <v>0</v>
      </c>
      <c r="O611">
        <f>IF($E611=0,0,SUMPRODUCT($AI$9:$DF$9,'Staff Daily sales'!$G596:$CD596))</f>
        <v>0</v>
      </c>
      <c r="P611">
        <f>IF($E611=0,0,SUMPRODUCT($AI$10:$DF$10,'Staff Daily sales'!$G596:$CD596))</f>
        <v>0</v>
      </c>
      <c r="Q611">
        <f>IF($E611=0,0,SUMPRODUCT($AI$11:$DF$11,'Staff Daily sales'!$G596:$CD596))</f>
        <v>0</v>
      </c>
      <c r="R611">
        <f>IF($E611=0,0,SUMPRODUCT($AI$12:$DF$12,'Staff Daily sales'!$G596:$CD596))</f>
        <v>0</v>
      </c>
      <c r="S611">
        <f>IF($E611=0,0,SUMPRODUCT($AI$13:$DF$13,'Staff Daily sales'!$G596:$CD596))</f>
        <v>210.98</v>
      </c>
      <c r="T611">
        <f>IF($E611=0,0,SUMPRODUCT($AI$14:$DF$14,'Staff Daily sales'!$G596:$CD596))</f>
        <v>1</v>
      </c>
      <c r="U611">
        <f>IF($E611=0,0,SUMPRODUCT($AI$15:$DF$15,'Staff Daily sales'!$G596:$CD596))</f>
        <v>0</v>
      </c>
      <c r="V611">
        <f>IF($E611=0,0,SUMPRODUCT($AI$16:$DF$16,'Staff Daily sales'!$G596:$CD596))</f>
        <v>0</v>
      </c>
      <c r="W611">
        <f t="shared" si="175"/>
        <v>68312.09</v>
      </c>
      <c r="X611">
        <f t="shared" si="176"/>
        <v>109830.01999999999</v>
      </c>
      <c r="Y611">
        <f t="shared" si="177"/>
        <v>88009.17</v>
      </c>
      <c r="Z611">
        <f t="shared" si="178"/>
        <v>76882.399999999994</v>
      </c>
      <c r="AA611">
        <f t="shared" si="179"/>
        <v>23889.1</v>
      </c>
      <c r="AB611">
        <f>--AND($E611=1,OR('Staff Weekly Trend'!$B$3="All",$DH611='Staff Weekly Trend'!$B$3),OR('Staff Weekly Trend'!$B$4="All",$D611='Staff Weekly Trend'!$B$4),OR('Staff Weekly Trend'!$B$5="All",$A611='Staff Weekly Trend'!$B$5))</f>
        <v>1</v>
      </c>
      <c r="AC611" t="str">
        <f t="shared" si="180"/>
        <v/>
      </c>
      <c r="AI611">
        <f t="shared" si="181"/>
        <v>346</v>
      </c>
      <c r="AJ611">
        <f t="shared" si="182"/>
        <v>529</v>
      </c>
      <c r="AK611">
        <f t="shared" si="183"/>
        <v>415</v>
      </c>
      <c r="AL611">
        <f t="shared" si="184"/>
        <v>373</v>
      </c>
      <c r="AM611">
        <f t="shared" si="185"/>
        <v>94</v>
      </c>
      <c r="DH611" t="str" cm="1">
        <f t="array" ref="DH611">IF($A611="","",_xlfn.LET(_xlpm.c,IFERROR(_xlfn.XLOOKUP($A611,TRIM('Sales and count'!$A$4:$A$300&amp;""),TRIM('Sales and count'!$B$4:$B$300&amp;"")),""),IF(OR(_xlpm.c="",_xlpm.c="0",LEFT(_xlpm.c,1)="#"),"Not set",_xlpm.c)))</f>
        <v>KSA</v>
      </c>
    </row>
    <row r="612" spans="1:112" x14ac:dyDescent="0.25">
      <c r="A612" t="str">
        <f>IF('Staff Daily sales'!$B597="","",TRIM('Staff Daily sales'!$B597&amp;""))</f>
        <v>HAJADBUR</v>
      </c>
      <c r="B612" t="str">
        <f>IF('Staff Daily sales'!$D597="","",TRIM('Staff Daily sales'!$D597&amp;""))</f>
        <v>4425-AAlharbi</v>
      </c>
      <c r="C612" t="str">
        <f>IFERROR(TRIM('Staff Daily sales'!$E597&amp;""),"")</f>
        <v>Buraidah</v>
      </c>
      <c r="D612" t="str">
        <f>IFERROR(IF(TRIM('Staff Daily sales'!$F597&amp;"")="","Unassigned",TRIM('Staff Daily sales'!$F597&amp;"")),"Unassigned")</f>
        <v>Lina Al Ghathami</v>
      </c>
      <c r="E612">
        <f t="shared" si="170"/>
        <v>1</v>
      </c>
      <c r="F612">
        <f>IF($E612=0,0,SUMPRODUCT($AI$5:$DF$5,'Staff Daily sales'!$G597:$CD597))</f>
        <v>285.98</v>
      </c>
      <c r="G612">
        <f>IF($E612=0,0,SUMPRODUCT($AI$6:$DF$6,'Staff Daily sales'!$G597:$CD597))</f>
        <v>2</v>
      </c>
      <c r="H612">
        <f t="shared" si="171"/>
        <v>1639.91</v>
      </c>
      <c r="I612">
        <f t="shared" si="172"/>
        <v>13</v>
      </c>
      <c r="J612">
        <f t="shared" si="173"/>
        <v>62915.250000000007</v>
      </c>
      <c r="K612">
        <f t="shared" si="174"/>
        <v>385</v>
      </c>
      <c r="L612">
        <f>--AND($E612=1,OR('Staff Dashboard'!$B$6="All",$DH612='Staff Dashboard'!$B$6),OR('Staff Dashboard'!$B$7="All",$D612='Staff Dashboard'!$B$7),OR('Staff Dashboard'!$B$8="All",$A612='Staff Dashboard'!$B$8))</f>
        <v>0</v>
      </c>
      <c r="M612">
        <f>IF($E612=0,0,SUMPRODUCT($AI$7:$DF$7,'Staff Daily sales'!$G597:$CD597))</f>
        <v>0</v>
      </c>
      <c r="N612">
        <f>IF($E612=0,0,SUMPRODUCT($AI$8:$DF$8,'Staff Daily sales'!$G597:$CD597))</f>
        <v>0</v>
      </c>
      <c r="O612">
        <f>IF($E612=0,0,SUMPRODUCT($AI$9:$DF$9,'Staff Daily sales'!$G597:$CD597))</f>
        <v>0</v>
      </c>
      <c r="P612">
        <f>IF($E612=0,0,SUMPRODUCT($AI$10:$DF$10,'Staff Daily sales'!$G597:$CD597))</f>
        <v>0</v>
      </c>
      <c r="Q612">
        <f>IF($E612=0,0,SUMPRODUCT($AI$11:$DF$11,'Staff Daily sales'!$G597:$CD597))</f>
        <v>0</v>
      </c>
      <c r="R612">
        <f>IF($E612=0,0,SUMPRODUCT($AI$12:$DF$12,'Staff Daily sales'!$G597:$CD597))</f>
        <v>0</v>
      </c>
      <c r="S612">
        <f>IF($E612=0,0,SUMPRODUCT($AI$13:$DF$13,'Staff Daily sales'!$G597:$CD597))</f>
        <v>1989.91</v>
      </c>
      <c r="T612">
        <f>IF($E612=0,0,SUMPRODUCT($AI$14:$DF$14,'Staff Daily sales'!$G597:$CD597))</f>
        <v>16</v>
      </c>
      <c r="U612">
        <f>IF($E612=0,0,SUMPRODUCT($AI$15:$DF$15,'Staff Daily sales'!$G597:$CD597))</f>
        <v>1282.0899999999999</v>
      </c>
      <c r="V612">
        <f>IF($E612=0,0,SUMPRODUCT($AI$16:$DF$16,'Staff Daily sales'!$G597:$CD597))</f>
        <v>8</v>
      </c>
      <c r="W612">
        <f t="shared" si="175"/>
        <v>8008.09</v>
      </c>
      <c r="X612">
        <f t="shared" si="176"/>
        <v>14455.18</v>
      </c>
      <c r="Y612">
        <f t="shared" si="177"/>
        <v>11731.11</v>
      </c>
      <c r="Z612">
        <f t="shared" si="178"/>
        <v>7692.85</v>
      </c>
      <c r="AA612">
        <f t="shared" si="179"/>
        <v>4136.9800000000005</v>
      </c>
      <c r="AB612">
        <f>--AND($E612=1,OR('Staff Weekly Trend'!$B$3="All",$DH612='Staff Weekly Trend'!$B$3),OR('Staff Weekly Trend'!$B$4="All",$D612='Staff Weekly Trend'!$B$4),OR('Staff Weekly Trend'!$B$5="All",$A612='Staff Weekly Trend'!$B$5))</f>
        <v>1</v>
      </c>
      <c r="AC612">
        <f t="shared" si="180"/>
        <v>3</v>
      </c>
      <c r="AI612">
        <f t="shared" si="181"/>
        <v>68</v>
      </c>
      <c r="AJ612">
        <f t="shared" si="182"/>
        <v>105</v>
      </c>
      <c r="AK612">
        <f t="shared" si="183"/>
        <v>95</v>
      </c>
      <c r="AL612">
        <f t="shared" si="184"/>
        <v>69</v>
      </c>
      <c r="AM612">
        <f t="shared" si="185"/>
        <v>27</v>
      </c>
      <c r="DH612" t="str" cm="1">
        <f t="array" ref="DH612">IF($A612="","",_xlfn.LET(_xlpm.c,IFERROR(_xlfn.XLOOKUP($A612,TRIM('Sales and count'!$A$4:$A$300&amp;""),TRIM('Sales and count'!$B$4:$B$300&amp;"")),""),IF(OR(_xlpm.c="",_xlpm.c="0",LEFT(_xlpm.c,1)="#"),"Not set",_xlpm.c)))</f>
        <v>KSA</v>
      </c>
    </row>
    <row r="613" spans="1:112" x14ac:dyDescent="0.25">
      <c r="A613" t="str">
        <f>IF('Staff Daily sales'!$B598="","",TRIM('Staff Daily sales'!$B598&amp;""))</f>
        <v>HAOTHARAR</v>
      </c>
      <c r="B613" t="str">
        <f>IF('Staff Daily sales'!$D598="","",TRIM('Staff Daily sales'!$D598&amp;""))</f>
        <v>6831-AAlenazi</v>
      </c>
      <c r="C613" t="str">
        <f>IFERROR(TRIM('Staff Daily sales'!$E598&amp;""),"")</f>
        <v>Arar</v>
      </c>
      <c r="D613" t="str">
        <f>IFERROR(IF(TRIM('Staff Daily sales'!$F598&amp;"")="","Unassigned",TRIM('Staff Daily sales'!$F598&amp;"")),"Unassigned")</f>
        <v>Mohammed Sanad</v>
      </c>
      <c r="E613">
        <f t="shared" si="170"/>
        <v>1</v>
      </c>
      <c r="F613">
        <f>IF($E613=0,0,SUMPRODUCT($AI$5:$DF$5,'Staff Daily sales'!$G598:$CD598))</f>
        <v>105</v>
      </c>
      <c r="G613">
        <f>IF($E613=0,0,SUMPRODUCT($AI$6:$DF$6,'Staff Daily sales'!$G598:$CD598))</f>
        <v>2</v>
      </c>
      <c r="H613">
        <f t="shared" si="171"/>
        <v>1049.96</v>
      </c>
      <c r="I613">
        <f t="shared" si="172"/>
        <v>9</v>
      </c>
      <c r="J613">
        <f t="shared" si="173"/>
        <v>64682.640000000014</v>
      </c>
      <c r="K613">
        <f t="shared" si="174"/>
        <v>326</v>
      </c>
      <c r="L613">
        <f>--AND($E613=1,OR('Staff Dashboard'!$B$6="All",$DH613='Staff Dashboard'!$B$6),OR('Staff Dashboard'!$B$7="All",$D613='Staff Dashboard'!$B$7),OR('Staff Dashboard'!$B$8="All",$A613='Staff Dashboard'!$B$8))</f>
        <v>0</v>
      </c>
      <c r="M613">
        <f>IF($E613=0,0,SUMPRODUCT($AI$7:$DF$7,'Staff Daily sales'!$G598:$CD598))</f>
        <v>0</v>
      </c>
      <c r="N613">
        <f>IF($E613=0,0,SUMPRODUCT($AI$8:$DF$8,'Staff Daily sales'!$G598:$CD598))</f>
        <v>0</v>
      </c>
      <c r="O613">
        <f>IF($E613=0,0,SUMPRODUCT($AI$9:$DF$9,'Staff Daily sales'!$G598:$CD598))</f>
        <v>0</v>
      </c>
      <c r="P613">
        <f>IF($E613=0,0,SUMPRODUCT($AI$10:$DF$10,'Staff Daily sales'!$G598:$CD598))</f>
        <v>0</v>
      </c>
      <c r="Q613">
        <f>IF($E613=0,0,SUMPRODUCT($AI$11:$DF$11,'Staff Daily sales'!$G598:$CD598))</f>
        <v>0</v>
      </c>
      <c r="R613">
        <f>IF($E613=0,0,SUMPRODUCT($AI$12:$DF$12,'Staff Daily sales'!$G598:$CD598))</f>
        <v>0</v>
      </c>
      <c r="S613">
        <f>IF($E613=0,0,SUMPRODUCT($AI$13:$DF$13,'Staff Daily sales'!$G598:$CD598))</f>
        <v>352.98</v>
      </c>
      <c r="T613">
        <f>IF($E613=0,0,SUMPRODUCT($AI$14:$DF$14,'Staff Daily sales'!$G598:$CD598))</f>
        <v>4</v>
      </c>
      <c r="U613">
        <f>IF($E613=0,0,SUMPRODUCT($AI$15:$DF$15,'Staff Daily sales'!$G598:$CD598))</f>
        <v>0</v>
      </c>
      <c r="V613">
        <f>IF($E613=0,0,SUMPRODUCT($AI$16:$DF$16,'Staff Daily sales'!$G598:$CD598))</f>
        <v>0</v>
      </c>
      <c r="W613">
        <f t="shared" si="175"/>
        <v>25314.410000000003</v>
      </c>
      <c r="X613">
        <f t="shared" si="176"/>
        <v>14239.240000000002</v>
      </c>
      <c r="Y613">
        <f t="shared" si="177"/>
        <v>14820.25</v>
      </c>
      <c r="Z613">
        <f t="shared" si="178"/>
        <v>6532.92</v>
      </c>
      <c r="AA613">
        <f t="shared" si="179"/>
        <v>1995.09</v>
      </c>
      <c r="AB613">
        <f>--AND($E613=1,OR('Staff Weekly Trend'!$B$3="All",$DH613='Staff Weekly Trend'!$B$3),OR('Staff Weekly Trend'!$B$4="All",$D613='Staff Weekly Trend'!$B$4),OR('Staff Weekly Trend'!$B$5="All",$A613='Staff Weekly Trend'!$B$5))</f>
        <v>1</v>
      </c>
      <c r="AC613">
        <f t="shared" si="180"/>
        <v>2</v>
      </c>
      <c r="AI613">
        <f t="shared" si="181"/>
        <v>75</v>
      </c>
      <c r="AJ613">
        <f t="shared" si="182"/>
        <v>94</v>
      </c>
      <c r="AK613">
        <f t="shared" si="183"/>
        <v>83</v>
      </c>
      <c r="AL613">
        <f t="shared" si="184"/>
        <v>51</v>
      </c>
      <c r="AM613">
        <f t="shared" si="185"/>
        <v>16</v>
      </c>
      <c r="DH613" t="str" cm="1">
        <f t="array" ref="DH613">IF($A613="","",_xlfn.LET(_xlpm.c,IFERROR(_xlfn.XLOOKUP($A613,TRIM('Sales and count'!$A$4:$A$300&amp;""),TRIM('Sales and count'!$B$4:$B$300&amp;"")),""),IF(OR(_xlpm.c="",_xlpm.c="0",LEFT(_xlpm.c,1)="#"),"Not set",_xlpm.c)))</f>
        <v>KSA</v>
      </c>
    </row>
    <row r="614" spans="1:112" x14ac:dyDescent="0.25">
      <c r="A614" t="str">
        <f>IF('Staff Daily sales'!$B599="","",TRIM('Staff Daily sales'!$B599&amp;""))</f>
        <v>HADANAYAN</v>
      </c>
      <c r="B614" t="str">
        <f>IF('Staff Daily sales'!$D599="","",TRIM('Staff Daily sales'!$D599&amp;""))</f>
        <v>7326-HSinan</v>
      </c>
      <c r="C614" t="str">
        <f>IFERROR(TRIM('Staff Daily sales'!$E599&amp;""),"")</f>
        <v>Yanbu</v>
      </c>
      <c r="D614" t="str">
        <f>IFERROR(IF(TRIM('Staff Daily sales'!$F599&amp;"")="","Unassigned",TRIM('Staff Daily sales'!$F599&amp;"")),"Unassigned")</f>
        <v>Mohammed Haidar</v>
      </c>
      <c r="E614">
        <f t="shared" si="170"/>
        <v>1</v>
      </c>
      <c r="F614">
        <f>IF($E614=0,0,SUMPRODUCT($AI$5:$DF$5,'Staff Daily sales'!$G599:$CD599))</f>
        <v>2625.87</v>
      </c>
      <c r="G614">
        <f>IF($E614=0,0,SUMPRODUCT($AI$6:$DF$6,'Staff Daily sales'!$G599:$CD599))</f>
        <v>17</v>
      </c>
      <c r="H614">
        <f t="shared" si="171"/>
        <v>2836.85</v>
      </c>
      <c r="I614">
        <f t="shared" si="172"/>
        <v>18</v>
      </c>
      <c r="J614">
        <f t="shared" si="173"/>
        <v>55209.230000000018</v>
      </c>
      <c r="K614">
        <f t="shared" si="174"/>
        <v>272</v>
      </c>
      <c r="L614">
        <f>--AND($E614=1,OR('Staff Dashboard'!$B$6="All",$DH614='Staff Dashboard'!$B$6),OR('Staff Dashboard'!$B$7="All",$D614='Staff Dashboard'!$B$7),OR('Staff Dashboard'!$B$8="All",$A614='Staff Dashboard'!$B$8))</f>
        <v>0</v>
      </c>
      <c r="M614">
        <f>IF($E614=0,0,SUMPRODUCT($AI$7:$DF$7,'Staff Daily sales'!$G599:$CD599))</f>
        <v>0</v>
      </c>
      <c r="N614">
        <f>IF($E614=0,0,SUMPRODUCT($AI$8:$DF$8,'Staff Daily sales'!$G599:$CD599))</f>
        <v>0</v>
      </c>
      <c r="O614">
        <f>IF($E614=0,0,SUMPRODUCT($AI$9:$DF$9,'Staff Daily sales'!$G599:$CD599))</f>
        <v>0</v>
      </c>
      <c r="P614">
        <f>IF($E614=0,0,SUMPRODUCT($AI$10:$DF$10,'Staff Daily sales'!$G599:$CD599))</f>
        <v>0</v>
      </c>
      <c r="Q614">
        <f>IF($E614=0,0,SUMPRODUCT($AI$11:$DF$11,'Staff Daily sales'!$G599:$CD599))</f>
        <v>0</v>
      </c>
      <c r="R614">
        <f>IF($E614=0,0,SUMPRODUCT($AI$12:$DF$12,'Staff Daily sales'!$G599:$CD599))</f>
        <v>0</v>
      </c>
      <c r="S614">
        <f>IF($E614=0,0,SUMPRODUCT($AI$13:$DF$13,'Staff Daily sales'!$G599:$CD599))</f>
        <v>5278.76</v>
      </c>
      <c r="T614">
        <f>IF($E614=0,0,SUMPRODUCT($AI$14:$DF$14,'Staff Daily sales'!$G599:$CD599))</f>
        <v>35</v>
      </c>
      <c r="U614">
        <f>IF($E614=0,0,SUMPRODUCT($AI$15:$DF$15,'Staff Daily sales'!$G599:$CD599))</f>
        <v>1449.09</v>
      </c>
      <c r="V614">
        <f>IF($E614=0,0,SUMPRODUCT($AI$16:$DF$16,'Staff Daily sales'!$G599:$CD599))</f>
        <v>11</v>
      </c>
      <c r="W614">
        <f t="shared" si="175"/>
        <v>14031.23</v>
      </c>
      <c r="X614">
        <f t="shared" si="176"/>
        <v>18963.22</v>
      </c>
      <c r="Y614">
        <f t="shared" si="177"/>
        <v>11715.09</v>
      </c>
      <c r="Z614">
        <f t="shared" si="178"/>
        <v>11102.75</v>
      </c>
      <c r="AA614">
        <f t="shared" si="179"/>
        <v>3228.0699999999997</v>
      </c>
      <c r="AB614">
        <f>--AND($E614=1,OR('Staff Weekly Trend'!$B$3="All",$DH614='Staff Weekly Trend'!$B$3),OR('Staff Weekly Trend'!$B$4="All",$D614='Staff Weekly Trend'!$B$4),OR('Staff Weekly Trend'!$B$5="All",$A614='Staff Weekly Trend'!$B$5))</f>
        <v>1</v>
      </c>
      <c r="AC614">
        <f t="shared" si="180"/>
        <v>1</v>
      </c>
      <c r="AI614">
        <f t="shared" si="181"/>
        <v>105</v>
      </c>
      <c r="AJ614">
        <f t="shared" si="182"/>
        <v>137</v>
      </c>
      <c r="AK614">
        <f t="shared" si="183"/>
        <v>93</v>
      </c>
      <c r="AL614">
        <f t="shared" si="184"/>
        <v>85</v>
      </c>
      <c r="AM614">
        <f t="shared" si="185"/>
        <v>25</v>
      </c>
      <c r="DH614" t="str" cm="1">
        <f t="array" ref="DH614">IF($A614="","",_xlfn.LET(_xlpm.c,IFERROR(_xlfn.XLOOKUP($A614,TRIM('Sales and count'!$A$4:$A$300&amp;""),TRIM('Sales and count'!$B$4:$B$300&amp;"")),""),IF(OR(_xlpm.c="",_xlpm.c="0",LEFT(_xlpm.c,1)="#"),"Not set",_xlpm.c)))</f>
        <v>KSA</v>
      </c>
    </row>
    <row r="615" spans="1:112" x14ac:dyDescent="0.25">
      <c r="A615" t="str">
        <f>IF('Staff Daily sales'!$B600="","",TRIM('Staff Daily sales'!$B600&amp;""))</f>
        <v>HAMAHMAL</v>
      </c>
      <c r="B615" t="str">
        <f>IF('Staff Daily sales'!$D600="","",TRIM('Staff Daily sales'!$D600&amp;""))</f>
        <v>3001-TMeer</v>
      </c>
      <c r="C615" t="str">
        <f>IFERROR(TRIM('Staff Daily sales'!$E600&amp;""),"")</f>
        <v>Jeddah</v>
      </c>
      <c r="D615" t="str">
        <f>IFERROR(IF(TRIM('Staff Daily sales'!$F600&amp;"")="","Unassigned",TRIM('Staff Daily sales'!$F600&amp;"")),"Unassigned")</f>
        <v>Ahlam Al Zahrani</v>
      </c>
      <c r="E615">
        <f t="shared" si="170"/>
        <v>1</v>
      </c>
      <c r="F615">
        <f>IF($E615=0,0,SUMPRODUCT($AI$5:$DF$5,'Staff Daily sales'!$G600:$CD600))</f>
        <v>0</v>
      </c>
      <c r="G615">
        <f>IF($E615=0,0,SUMPRODUCT($AI$6:$DF$6,'Staff Daily sales'!$G600:$CD600))</f>
        <v>0</v>
      </c>
      <c r="H615">
        <f t="shared" si="171"/>
        <v>7025.6100000000006</v>
      </c>
      <c r="I615">
        <f t="shared" si="172"/>
        <v>23</v>
      </c>
      <c r="J615">
        <f t="shared" si="173"/>
        <v>62016.170000000006</v>
      </c>
      <c r="K615">
        <f t="shared" si="174"/>
        <v>398</v>
      </c>
      <c r="L615">
        <f>--AND($E615=1,OR('Staff Dashboard'!$B$6="All",$DH615='Staff Dashboard'!$B$6),OR('Staff Dashboard'!$B$7="All",$D615='Staff Dashboard'!$B$7),OR('Staff Dashboard'!$B$8="All",$A615='Staff Dashboard'!$B$8))</f>
        <v>0</v>
      </c>
      <c r="M615">
        <f>IF($E615=0,0,SUMPRODUCT($AI$7:$DF$7,'Staff Daily sales'!$G600:$CD600))</f>
        <v>0</v>
      </c>
      <c r="N615">
        <f>IF($E615=0,0,SUMPRODUCT($AI$8:$DF$8,'Staff Daily sales'!$G600:$CD600))</f>
        <v>0</v>
      </c>
      <c r="O615">
        <f>IF($E615=0,0,SUMPRODUCT($AI$9:$DF$9,'Staff Daily sales'!$G600:$CD600))</f>
        <v>0</v>
      </c>
      <c r="P615">
        <f>IF($E615=0,0,SUMPRODUCT($AI$10:$DF$10,'Staff Daily sales'!$G600:$CD600))</f>
        <v>0</v>
      </c>
      <c r="Q615">
        <f>IF($E615=0,0,SUMPRODUCT($AI$11:$DF$11,'Staff Daily sales'!$G600:$CD600))</f>
        <v>0</v>
      </c>
      <c r="R615">
        <f>IF($E615=0,0,SUMPRODUCT($AI$12:$DF$12,'Staff Daily sales'!$G600:$CD600))</f>
        <v>0</v>
      </c>
      <c r="S615">
        <f>IF($E615=0,0,SUMPRODUCT($AI$13:$DF$13,'Staff Daily sales'!$G600:$CD600))</f>
        <v>4076.9700000000003</v>
      </c>
      <c r="T615">
        <f>IF($E615=0,0,SUMPRODUCT($AI$14:$DF$14,'Staff Daily sales'!$G600:$CD600))</f>
        <v>13</v>
      </c>
      <c r="U615">
        <f>IF($E615=0,0,SUMPRODUCT($AI$15:$DF$15,'Staff Daily sales'!$G600:$CD600))</f>
        <v>397.03</v>
      </c>
      <c r="V615">
        <f>IF($E615=0,0,SUMPRODUCT($AI$16:$DF$16,'Staff Daily sales'!$G600:$CD600))</f>
        <v>3</v>
      </c>
      <c r="W615">
        <f t="shared" si="175"/>
        <v>28657.8</v>
      </c>
      <c r="X615">
        <f t="shared" si="176"/>
        <v>41955.649999999994</v>
      </c>
      <c r="Y615">
        <f t="shared" si="177"/>
        <v>33358.92</v>
      </c>
      <c r="Z615">
        <f t="shared" si="178"/>
        <v>54390.560000000005</v>
      </c>
      <c r="AA615">
        <f t="shared" si="179"/>
        <v>10785.92</v>
      </c>
      <c r="AB615">
        <f>--AND($E615=1,OR('Staff Weekly Trend'!$B$3="All",$DH615='Staff Weekly Trend'!$B$3),OR('Staff Weekly Trend'!$B$4="All",$D615='Staff Weekly Trend'!$B$4),OR('Staff Weekly Trend'!$B$5="All",$A615='Staff Weekly Trend'!$B$5))</f>
        <v>1</v>
      </c>
      <c r="AC615" t="str">
        <f t="shared" si="180"/>
        <v/>
      </c>
      <c r="AI615">
        <f t="shared" si="181"/>
        <v>163</v>
      </c>
      <c r="AJ615">
        <f t="shared" si="182"/>
        <v>218</v>
      </c>
      <c r="AK615">
        <f t="shared" si="183"/>
        <v>175</v>
      </c>
      <c r="AL615">
        <f t="shared" si="184"/>
        <v>200</v>
      </c>
      <c r="AM615">
        <f t="shared" si="185"/>
        <v>41</v>
      </c>
      <c r="DH615" t="str" cm="1">
        <f t="array" ref="DH615">IF($A615="","",_xlfn.LET(_xlpm.c,IFERROR(_xlfn.XLOOKUP($A615,TRIM('Sales and count'!$A$4:$A$300&amp;""),TRIM('Sales and count'!$B$4:$B$300&amp;"")),""),IF(OR(_xlpm.c="",_xlpm.c="0",LEFT(_xlpm.c,1)="#"),"Not set",_xlpm.c)))</f>
        <v>KSA</v>
      </c>
    </row>
    <row r="616" spans="1:112" x14ac:dyDescent="0.25">
      <c r="A616" t="str">
        <f>IF('Staff Daily sales'!$B601="","",TRIM('Staff Daily sales'!$B601&amp;""))</f>
        <v>RYDUWALK</v>
      </c>
      <c r="B616" t="str">
        <f>IF('Staff Daily sales'!$D601="","",TRIM('Staff Daily sales'!$D601&amp;""))</f>
        <v>4382-HAlhamdan</v>
      </c>
      <c r="C616" t="str">
        <f>IFERROR(TRIM('Staff Daily sales'!$E601&amp;""),"")</f>
        <v>Riyadh</v>
      </c>
      <c r="D616" t="str">
        <f>IFERROR(IF(TRIM('Staff Daily sales'!$F601&amp;"")="","Unassigned",TRIM('Staff Daily sales'!$F601&amp;"")),"Unassigned")</f>
        <v>Mohammed Sanad</v>
      </c>
      <c r="E616">
        <f t="shared" si="170"/>
        <v>1</v>
      </c>
      <c r="F616">
        <f>IF($E616=0,0,SUMPRODUCT($AI$5:$DF$5,'Staff Daily sales'!$G601:$CD601))</f>
        <v>0</v>
      </c>
      <c r="G616">
        <f>IF($E616=0,0,SUMPRODUCT($AI$6:$DF$6,'Staff Daily sales'!$G601:$CD601))</f>
        <v>0</v>
      </c>
      <c r="H616">
        <f t="shared" si="171"/>
        <v>2428.9</v>
      </c>
      <c r="I616">
        <f t="shared" si="172"/>
        <v>15</v>
      </c>
      <c r="J616">
        <f t="shared" si="173"/>
        <v>64682.640000000014</v>
      </c>
      <c r="K616">
        <f t="shared" si="174"/>
        <v>326</v>
      </c>
      <c r="L616">
        <f>--AND($E616=1,OR('Staff Dashboard'!$B$6="All",$DH616='Staff Dashboard'!$B$6),OR('Staff Dashboard'!$B$7="All",$D616='Staff Dashboard'!$B$7),OR('Staff Dashboard'!$B$8="All",$A616='Staff Dashboard'!$B$8))</f>
        <v>0</v>
      </c>
      <c r="M616">
        <f>IF($E616=0,0,SUMPRODUCT($AI$7:$DF$7,'Staff Daily sales'!$G601:$CD601))</f>
        <v>0</v>
      </c>
      <c r="N616">
        <f>IF($E616=0,0,SUMPRODUCT($AI$8:$DF$8,'Staff Daily sales'!$G601:$CD601))</f>
        <v>0</v>
      </c>
      <c r="O616">
        <f>IF($E616=0,0,SUMPRODUCT($AI$9:$DF$9,'Staff Daily sales'!$G601:$CD601))</f>
        <v>0</v>
      </c>
      <c r="P616">
        <f>IF($E616=0,0,SUMPRODUCT($AI$10:$DF$10,'Staff Daily sales'!$G601:$CD601))</f>
        <v>0</v>
      </c>
      <c r="Q616">
        <f>IF($E616=0,0,SUMPRODUCT($AI$11:$DF$11,'Staff Daily sales'!$G601:$CD601))</f>
        <v>0</v>
      </c>
      <c r="R616">
        <f>IF($E616=0,0,SUMPRODUCT($AI$12:$DF$12,'Staff Daily sales'!$G601:$CD601))</f>
        <v>0</v>
      </c>
      <c r="S616">
        <f>IF($E616=0,0,SUMPRODUCT($AI$13:$DF$13,'Staff Daily sales'!$G601:$CD601))</f>
        <v>0</v>
      </c>
      <c r="T616">
        <f>IF($E616=0,0,SUMPRODUCT($AI$14:$DF$14,'Staff Daily sales'!$G601:$CD601))</f>
        <v>0</v>
      </c>
      <c r="U616">
        <f>IF($E616=0,0,SUMPRODUCT($AI$15:$DF$15,'Staff Daily sales'!$G601:$CD601))</f>
        <v>1780.13</v>
      </c>
      <c r="V616">
        <f>IF($E616=0,0,SUMPRODUCT($AI$16:$DF$16,'Staff Daily sales'!$G601:$CD601))</f>
        <v>8</v>
      </c>
      <c r="W616">
        <f t="shared" si="175"/>
        <v>7013.15</v>
      </c>
      <c r="X616">
        <f t="shared" si="176"/>
        <v>23361.440000000002</v>
      </c>
      <c r="Y616">
        <f t="shared" si="177"/>
        <v>14850.18</v>
      </c>
      <c r="Z616">
        <f t="shared" si="178"/>
        <v>14329.720000000001</v>
      </c>
      <c r="AA616">
        <f t="shared" si="179"/>
        <v>2737.07</v>
      </c>
      <c r="AB616">
        <f>--AND($E616=1,OR('Staff Weekly Trend'!$B$3="All",$DH616='Staff Weekly Trend'!$B$3),OR('Staff Weekly Trend'!$B$4="All",$D616='Staff Weekly Trend'!$B$4),OR('Staff Weekly Trend'!$B$5="All",$A616='Staff Weekly Trend'!$B$5))</f>
        <v>1</v>
      </c>
      <c r="AC616" t="str">
        <f t="shared" si="180"/>
        <v/>
      </c>
      <c r="AI616">
        <f t="shared" si="181"/>
        <v>42</v>
      </c>
      <c r="AJ616">
        <f t="shared" si="182"/>
        <v>154</v>
      </c>
      <c r="AK616">
        <f t="shared" si="183"/>
        <v>94</v>
      </c>
      <c r="AL616">
        <f t="shared" si="184"/>
        <v>83</v>
      </c>
      <c r="AM616">
        <f t="shared" si="185"/>
        <v>14</v>
      </c>
      <c r="DH616" t="str" cm="1">
        <f t="array" ref="DH616">IF($A616="","",_xlfn.LET(_xlpm.c,IFERROR(_xlfn.XLOOKUP($A616,TRIM('Sales and count'!$A$4:$A$300&amp;""),TRIM('Sales and count'!$B$4:$B$300&amp;"")),""),IF(OR(_xlpm.c="",_xlpm.c="0",LEFT(_xlpm.c,1)="#"),"Not set",_xlpm.c)))</f>
        <v>KSA</v>
      </c>
    </row>
    <row r="617" spans="1:112" x14ac:dyDescent="0.25">
      <c r="A617" t="str">
        <f>IF('Staff Daily sales'!$B602="","",TRIM('Staff Daily sales'!$B602&amp;""))</f>
        <v>HAJWALK</v>
      </c>
      <c r="B617" t="str">
        <f>IF('Staff Daily sales'!$D602="","",TRIM('Staff Daily sales'!$D602&amp;""))</f>
        <v>5269-HAlHarthi</v>
      </c>
      <c r="C617" t="str">
        <f>IFERROR(TRIM('Staff Daily sales'!$E602&amp;""),"")</f>
        <v>Madinah</v>
      </c>
      <c r="D617" t="str">
        <f>IFERROR(IF(TRIM('Staff Daily sales'!$F602&amp;"")="","Unassigned",TRIM('Staff Daily sales'!$F602&amp;"")),"Unassigned")</f>
        <v>Mohammed Haidar</v>
      </c>
      <c r="E617">
        <f t="shared" si="170"/>
        <v>1</v>
      </c>
      <c r="F617">
        <f>IF($E617=0,0,SUMPRODUCT($AI$5:$DF$5,'Staff Daily sales'!$G602:$CD602))</f>
        <v>0</v>
      </c>
      <c r="G617">
        <f>IF($E617=0,0,SUMPRODUCT($AI$6:$DF$6,'Staff Daily sales'!$G602:$CD602))</f>
        <v>0</v>
      </c>
      <c r="H617">
        <f t="shared" si="171"/>
        <v>3953.8199999999997</v>
      </c>
      <c r="I617">
        <f t="shared" si="172"/>
        <v>19</v>
      </c>
      <c r="J617">
        <f t="shared" si="173"/>
        <v>55209.230000000018</v>
      </c>
      <c r="K617">
        <f t="shared" si="174"/>
        <v>272</v>
      </c>
      <c r="L617">
        <f>--AND($E617=1,OR('Staff Dashboard'!$B$6="All",$DH617='Staff Dashboard'!$B$6),OR('Staff Dashboard'!$B$7="All",$D617='Staff Dashboard'!$B$7),OR('Staff Dashboard'!$B$8="All",$A617='Staff Dashboard'!$B$8))</f>
        <v>0</v>
      </c>
      <c r="M617">
        <f>IF($E617=0,0,SUMPRODUCT($AI$7:$DF$7,'Staff Daily sales'!$G602:$CD602))</f>
        <v>0</v>
      </c>
      <c r="N617">
        <f>IF($E617=0,0,SUMPRODUCT($AI$8:$DF$8,'Staff Daily sales'!$G602:$CD602))</f>
        <v>0</v>
      </c>
      <c r="O617">
        <f>IF($E617=0,0,SUMPRODUCT($AI$9:$DF$9,'Staff Daily sales'!$G602:$CD602))</f>
        <v>0</v>
      </c>
      <c r="P617">
        <f>IF($E617=0,0,SUMPRODUCT($AI$10:$DF$10,'Staff Daily sales'!$G602:$CD602))</f>
        <v>0</v>
      </c>
      <c r="Q617">
        <f>IF($E617=0,0,SUMPRODUCT($AI$11:$DF$11,'Staff Daily sales'!$G602:$CD602))</f>
        <v>0</v>
      </c>
      <c r="R617">
        <f>IF($E617=0,0,SUMPRODUCT($AI$12:$DF$12,'Staff Daily sales'!$G602:$CD602))</f>
        <v>0</v>
      </c>
      <c r="S617">
        <f>IF($E617=0,0,SUMPRODUCT($AI$13:$DF$13,'Staff Daily sales'!$G602:$CD602))</f>
        <v>0</v>
      </c>
      <c r="T617">
        <f>IF($E617=0,0,SUMPRODUCT($AI$14:$DF$14,'Staff Daily sales'!$G602:$CD602))</f>
        <v>0</v>
      </c>
      <c r="U617">
        <f>IF($E617=0,0,SUMPRODUCT($AI$15:$DF$15,'Staff Daily sales'!$G602:$CD602))</f>
        <v>690.06</v>
      </c>
      <c r="V617">
        <f>IF($E617=0,0,SUMPRODUCT($AI$16:$DF$16,'Staff Daily sales'!$G602:$CD602))</f>
        <v>5</v>
      </c>
      <c r="W617">
        <f t="shared" si="175"/>
        <v>25210.450000000004</v>
      </c>
      <c r="X617">
        <f t="shared" si="176"/>
        <v>40762.35</v>
      </c>
      <c r="Y617">
        <f t="shared" si="177"/>
        <v>32775.310000000005</v>
      </c>
      <c r="Z617">
        <f t="shared" si="178"/>
        <v>27303.599999999999</v>
      </c>
      <c r="AA617">
        <f t="shared" si="179"/>
        <v>9948.2999999999993</v>
      </c>
      <c r="AB617">
        <f>--AND($E617=1,OR('Staff Weekly Trend'!$B$3="All",$DH617='Staff Weekly Trend'!$B$3),OR('Staff Weekly Trend'!$B$4="All",$D617='Staff Weekly Trend'!$B$4),OR('Staff Weekly Trend'!$B$5="All",$A617='Staff Weekly Trend'!$B$5))</f>
        <v>1</v>
      </c>
      <c r="AC617" t="str">
        <f t="shared" si="180"/>
        <v/>
      </c>
      <c r="AI617">
        <f t="shared" si="181"/>
        <v>155</v>
      </c>
      <c r="AJ617">
        <f t="shared" si="182"/>
        <v>190</v>
      </c>
      <c r="AK617">
        <f t="shared" si="183"/>
        <v>185</v>
      </c>
      <c r="AL617">
        <f t="shared" si="184"/>
        <v>145</v>
      </c>
      <c r="AM617">
        <f t="shared" si="185"/>
        <v>61</v>
      </c>
      <c r="DH617" t="str" cm="1">
        <f t="array" ref="DH617">IF($A617="","",_xlfn.LET(_xlpm.c,IFERROR(_xlfn.XLOOKUP($A617,TRIM('Sales and count'!$A$4:$A$300&amp;""),TRIM('Sales and count'!$B$4:$B$300&amp;"")),""),IF(OR(_xlpm.c="",_xlpm.c="0",LEFT(_xlpm.c,1)="#"),"Not set",_xlpm.c)))</f>
        <v>KSA</v>
      </c>
    </row>
    <row r="618" spans="1:112" x14ac:dyDescent="0.25">
      <c r="A618" t="str">
        <f>IF('Staff Daily sales'!$B603="","",TRIM('Staff Daily sales'!$B603&amp;""))</f>
        <v>HASOUQEBQ</v>
      </c>
      <c r="B618" t="str">
        <f>IF('Staff Daily sales'!$D603="","",TRIM('Staff Daily sales'!$D603&amp;""))</f>
        <v>5645-YMakki</v>
      </c>
      <c r="C618" t="str">
        <f>IFERROR(TRIM('Staff Daily sales'!$E603&amp;""),"")</f>
        <v>Madinah</v>
      </c>
      <c r="D618" t="str">
        <f>IFERROR(IF(TRIM('Staff Daily sales'!$F603&amp;"")="","Unassigned",TRIM('Staff Daily sales'!$F603&amp;"")),"Unassigned")</f>
        <v>Mohammed Haidar</v>
      </c>
      <c r="E618">
        <f t="shared" si="170"/>
        <v>1</v>
      </c>
      <c r="F618">
        <f>IF($E618=0,0,SUMPRODUCT($AI$5:$DF$5,'Staff Daily sales'!$G603:$CD603))</f>
        <v>0</v>
      </c>
      <c r="G618">
        <f>IF($E618=0,0,SUMPRODUCT($AI$6:$DF$6,'Staff Daily sales'!$G603:$CD603))</f>
        <v>0</v>
      </c>
      <c r="H618">
        <f t="shared" si="171"/>
        <v>3448.8799999999997</v>
      </c>
      <c r="I618">
        <f t="shared" si="172"/>
        <v>20</v>
      </c>
      <c r="J618">
        <f t="shared" si="173"/>
        <v>55209.230000000018</v>
      </c>
      <c r="K618">
        <f t="shared" si="174"/>
        <v>272</v>
      </c>
      <c r="L618">
        <f>--AND($E618=1,OR('Staff Dashboard'!$B$6="All",$DH618='Staff Dashboard'!$B$6),OR('Staff Dashboard'!$B$7="All",$D618='Staff Dashboard'!$B$7),OR('Staff Dashboard'!$B$8="All",$A618='Staff Dashboard'!$B$8))</f>
        <v>0</v>
      </c>
      <c r="M618">
        <f>IF($E618=0,0,SUMPRODUCT($AI$7:$DF$7,'Staff Daily sales'!$G603:$CD603))</f>
        <v>0</v>
      </c>
      <c r="N618">
        <f>IF($E618=0,0,SUMPRODUCT($AI$8:$DF$8,'Staff Daily sales'!$G603:$CD603))</f>
        <v>0</v>
      </c>
      <c r="O618">
        <f>IF($E618=0,0,SUMPRODUCT($AI$9:$DF$9,'Staff Daily sales'!$G603:$CD603))</f>
        <v>0</v>
      </c>
      <c r="P618">
        <f>IF($E618=0,0,SUMPRODUCT($AI$10:$DF$10,'Staff Daily sales'!$G603:$CD603))</f>
        <v>0</v>
      </c>
      <c r="Q618">
        <f>IF($E618=0,0,SUMPRODUCT($AI$11:$DF$11,'Staff Daily sales'!$G603:$CD603))</f>
        <v>0</v>
      </c>
      <c r="R618">
        <f>IF($E618=0,0,SUMPRODUCT($AI$12:$DF$12,'Staff Daily sales'!$G603:$CD603))</f>
        <v>0</v>
      </c>
      <c r="S618">
        <f>IF($E618=0,0,SUMPRODUCT($AI$13:$DF$13,'Staff Daily sales'!$G603:$CD603))</f>
        <v>0</v>
      </c>
      <c r="T618">
        <f>IF($E618=0,0,SUMPRODUCT($AI$14:$DF$14,'Staff Daily sales'!$G603:$CD603))</f>
        <v>0</v>
      </c>
      <c r="U618">
        <f>IF($E618=0,0,SUMPRODUCT($AI$15:$DF$15,'Staff Daily sales'!$G603:$CD603))</f>
        <v>671.03</v>
      </c>
      <c r="V618">
        <f>IF($E618=0,0,SUMPRODUCT($AI$16:$DF$16,'Staff Daily sales'!$G603:$CD603))</f>
        <v>3</v>
      </c>
      <c r="W618">
        <f t="shared" si="175"/>
        <v>15313.34</v>
      </c>
      <c r="X618">
        <f t="shared" si="176"/>
        <v>29781.329999999998</v>
      </c>
      <c r="Y618">
        <f t="shared" si="177"/>
        <v>32464.260000000002</v>
      </c>
      <c r="Z618">
        <f t="shared" si="178"/>
        <v>31683.41</v>
      </c>
      <c r="AA618">
        <f t="shared" si="179"/>
        <v>8416.3100000000013</v>
      </c>
      <c r="AB618">
        <f>--AND($E618=1,OR('Staff Weekly Trend'!$B$3="All",$DH618='Staff Weekly Trend'!$B$3),OR('Staff Weekly Trend'!$B$4="All",$D618='Staff Weekly Trend'!$B$4),OR('Staff Weekly Trend'!$B$5="All",$A618='Staff Weekly Trend'!$B$5))</f>
        <v>1</v>
      </c>
      <c r="AC618" t="str">
        <f t="shared" si="180"/>
        <v/>
      </c>
      <c r="AI618">
        <f t="shared" si="181"/>
        <v>77</v>
      </c>
      <c r="AJ618">
        <f t="shared" si="182"/>
        <v>153</v>
      </c>
      <c r="AK618">
        <f t="shared" si="183"/>
        <v>142</v>
      </c>
      <c r="AL618">
        <f t="shared" si="184"/>
        <v>155</v>
      </c>
      <c r="AM618">
        <f t="shared" si="185"/>
        <v>38</v>
      </c>
      <c r="DH618" t="str" cm="1">
        <f t="array" ref="DH618">IF($A618="","",_xlfn.LET(_xlpm.c,IFERROR(_xlfn.XLOOKUP($A618,TRIM('Sales and count'!$A$4:$A$300&amp;""),TRIM('Sales and count'!$B$4:$B$300&amp;"")),""),IF(OR(_xlpm.c="",_xlpm.c="0",LEFT(_xlpm.c,1)="#"),"Not set",_xlpm.c)))</f>
        <v>KSA</v>
      </c>
    </row>
    <row r="619" spans="1:112" x14ac:dyDescent="0.25">
      <c r="A619" t="str">
        <f>IF('Staff Daily sales'!$B604="","",TRIM('Staff Daily sales'!$B604&amp;""))</f>
        <v>HAABRAJ2</v>
      </c>
      <c r="B619" t="str">
        <f>IF('Staff Daily sales'!$D604="","",TRIM('Staff Daily sales'!$D604&amp;""))</f>
        <v>5403-TAlhudhali</v>
      </c>
      <c r="C619" t="str">
        <f>IFERROR(TRIM('Staff Daily sales'!$E604&amp;""),"")</f>
        <v>Makkah</v>
      </c>
      <c r="D619" t="str">
        <f>IFERROR(IF(TRIM('Staff Daily sales'!$F604&amp;"")="","Unassigned",TRIM('Staff Daily sales'!$F604&amp;"")),"Unassigned")</f>
        <v>Maram Zamzami</v>
      </c>
      <c r="E619">
        <f t="shared" si="170"/>
        <v>1</v>
      </c>
      <c r="F619">
        <f>IF($E619=0,0,SUMPRODUCT($AI$5:$DF$5,'Staff Daily sales'!$G604:$CD604))</f>
        <v>0</v>
      </c>
      <c r="G619">
        <f>IF($E619=0,0,SUMPRODUCT($AI$6:$DF$6,'Staff Daily sales'!$G604:$CD604))</f>
        <v>0</v>
      </c>
      <c r="H619">
        <f t="shared" si="171"/>
        <v>2184.83</v>
      </c>
      <c r="I619">
        <f t="shared" si="172"/>
        <v>9</v>
      </c>
      <c r="J619">
        <f t="shared" si="173"/>
        <v>89423.479999999967</v>
      </c>
      <c r="K619">
        <f t="shared" si="174"/>
        <v>413</v>
      </c>
      <c r="L619">
        <f>--AND($E619=1,OR('Staff Dashboard'!$B$6="All",$DH619='Staff Dashboard'!$B$6),OR('Staff Dashboard'!$B$7="All",$D619='Staff Dashboard'!$B$7),OR('Staff Dashboard'!$B$8="All",$A619='Staff Dashboard'!$B$8))</f>
        <v>1</v>
      </c>
      <c r="M619">
        <f>IF($E619=0,0,SUMPRODUCT($AI$7:$DF$7,'Staff Daily sales'!$G604:$CD604))</f>
        <v>0</v>
      </c>
      <c r="N619">
        <f>IF($E619=0,0,SUMPRODUCT($AI$8:$DF$8,'Staff Daily sales'!$G604:$CD604))</f>
        <v>0</v>
      </c>
      <c r="O619">
        <f>IF($E619=0,0,SUMPRODUCT($AI$9:$DF$9,'Staff Daily sales'!$G604:$CD604))</f>
        <v>0</v>
      </c>
      <c r="P619">
        <f>IF($E619=0,0,SUMPRODUCT($AI$10:$DF$10,'Staff Daily sales'!$G604:$CD604))</f>
        <v>0</v>
      </c>
      <c r="Q619">
        <f>IF($E619=0,0,SUMPRODUCT($AI$11:$DF$11,'Staff Daily sales'!$G604:$CD604))</f>
        <v>0</v>
      </c>
      <c r="R619">
        <f>IF($E619=0,0,SUMPRODUCT($AI$12:$DF$12,'Staff Daily sales'!$G604:$CD604))</f>
        <v>0</v>
      </c>
      <c r="S619">
        <f>IF($E619=0,0,SUMPRODUCT($AI$13:$DF$13,'Staff Daily sales'!$G604:$CD604))</f>
        <v>0</v>
      </c>
      <c r="T619">
        <f>IF($E619=0,0,SUMPRODUCT($AI$14:$DF$14,'Staff Daily sales'!$G604:$CD604))</f>
        <v>0</v>
      </c>
      <c r="U619">
        <f>IF($E619=0,0,SUMPRODUCT($AI$15:$DF$15,'Staff Daily sales'!$G604:$CD604))</f>
        <v>175</v>
      </c>
      <c r="V619">
        <f>IF($E619=0,0,SUMPRODUCT($AI$16:$DF$16,'Staff Daily sales'!$G604:$CD604))</f>
        <v>1</v>
      </c>
      <c r="W619">
        <f t="shared" si="175"/>
        <v>29425.82</v>
      </c>
      <c r="X619">
        <f t="shared" si="176"/>
        <v>31945.440000000002</v>
      </c>
      <c r="Y619">
        <f t="shared" si="177"/>
        <v>39537.570000000007</v>
      </c>
      <c r="Z619">
        <f t="shared" si="178"/>
        <v>22692.47</v>
      </c>
      <c r="AA619">
        <f t="shared" si="179"/>
        <v>4063.9500000000003</v>
      </c>
      <c r="AB619">
        <f>--AND($E619=1,OR('Staff Weekly Trend'!$B$3="All",$DH619='Staff Weekly Trend'!$B$3),OR('Staff Weekly Trend'!$B$4="All",$D619='Staff Weekly Trend'!$B$4),OR('Staff Weekly Trend'!$B$5="All",$A619='Staff Weekly Trend'!$B$5))</f>
        <v>1</v>
      </c>
      <c r="AC619" t="str">
        <f t="shared" si="180"/>
        <v/>
      </c>
      <c r="AI619">
        <f t="shared" si="181"/>
        <v>110</v>
      </c>
      <c r="AJ619">
        <f t="shared" si="182"/>
        <v>128</v>
      </c>
      <c r="AK619">
        <f t="shared" si="183"/>
        <v>161</v>
      </c>
      <c r="AL619">
        <f t="shared" si="184"/>
        <v>75</v>
      </c>
      <c r="AM619">
        <f t="shared" si="185"/>
        <v>12</v>
      </c>
      <c r="DH619" t="str" cm="1">
        <f t="array" ref="DH619">IF($A619="","",_xlfn.LET(_xlpm.c,IFERROR(_xlfn.XLOOKUP($A619,TRIM('Sales and count'!$A$4:$A$300&amp;""),TRIM('Sales and count'!$B$4:$B$300&amp;"")),""),IF(OR(_xlpm.c="",_xlpm.c="0",LEFT(_xlpm.c,1)="#"),"Not set",_xlpm.c)))</f>
        <v>KSA</v>
      </c>
    </row>
    <row r="620" spans="1:112" x14ac:dyDescent="0.25">
      <c r="A620" t="str">
        <f>IF('Staff Daily sales'!$B605="","",TRIM('Staff Daily sales'!$B605&amp;""))</f>
        <v/>
      </c>
      <c r="B620" t="str">
        <f>IF('Staff Daily sales'!$D605="","",TRIM('Staff Daily sales'!$D605&amp;""))</f>
        <v/>
      </c>
      <c r="C620" t="str">
        <f>IFERROR(TRIM('Staff Daily sales'!$E605&amp;""),"")</f>
        <v/>
      </c>
      <c r="D620" t="str">
        <f>IFERROR(IF(TRIM('Staff Daily sales'!$F605&amp;"")="","Unassigned",TRIM('Staff Daily sales'!$F605&amp;"")),"Unassigned")</f>
        <v>Unassigned</v>
      </c>
      <c r="E620">
        <f t="shared" si="170"/>
        <v>0</v>
      </c>
      <c r="F620">
        <f>IF($E620=0,0,SUMPRODUCT($AI$5:$DF$5,'Staff Daily sales'!$G605:$CD605))</f>
        <v>0</v>
      </c>
      <c r="G620">
        <f>IF($E620=0,0,SUMPRODUCT($AI$6:$DF$6,'Staff Daily sales'!$G605:$CD605))</f>
        <v>0</v>
      </c>
      <c r="H620">
        <f t="shared" si="171"/>
        <v>0</v>
      </c>
      <c r="I620">
        <f t="shared" si="172"/>
        <v>0</v>
      </c>
      <c r="J620">
        <f t="shared" si="173"/>
        <v>0</v>
      </c>
      <c r="K620">
        <f t="shared" si="174"/>
        <v>0</v>
      </c>
      <c r="L620">
        <f>--AND($E620=1,OR('Staff Dashboard'!$B$6="All",$DH620='Staff Dashboard'!$B$6),OR('Staff Dashboard'!$B$7="All",$D620='Staff Dashboard'!$B$7),OR('Staff Dashboard'!$B$8="All",$A620='Staff Dashboard'!$B$8))</f>
        <v>0</v>
      </c>
      <c r="M620">
        <f>IF($E620=0,0,SUMPRODUCT($AI$7:$DF$7,'Staff Daily sales'!$G605:$CD605))</f>
        <v>0</v>
      </c>
      <c r="N620">
        <f>IF($E620=0,0,SUMPRODUCT($AI$8:$DF$8,'Staff Daily sales'!$G605:$CD605))</f>
        <v>0</v>
      </c>
      <c r="O620">
        <f>IF($E620=0,0,SUMPRODUCT($AI$9:$DF$9,'Staff Daily sales'!$G605:$CD605))</f>
        <v>0</v>
      </c>
      <c r="P620">
        <f>IF($E620=0,0,SUMPRODUCT($AI$10:$DF$10,'Staff Daily sales'!$G605:$CD605))</f>
        <v>0</v>
      </c>
      <c r="Q620">
        <f>IF($E620=0,0,SUMPRODUCT($AI$11:$DF$11,'Staff Daily sales'!$G605:$CD605))</f>
        <v>0</v>
      </c>
      <c r="R620">
        <f>IF($E620=0,0,SUMPRODUCT($AI$12:$DF$12,'Staff Daily sales'!$G605:$CD605))</f>
        <v>0</v>
      </c>
      <c r="S620">
        <f>IF($E620=0,0,SUMPRODUCT($AI$13:$DF$13,'Staff Daily sales'!$G605:$CD605))</f>
        <v>0</v>
      </c>
      <c r="T620">
        <f>IF($E620=0,0,SUMPRODUCT($AI$14:$DF$14,'Staff Daily sales'!$G605:$CD605))</f>
        <v>0</v>
      </c>
      <c r="U620">
        <f>IF($E620=0,0,SUMPRODUCT($AI$15:$DF$15,'Staff Daily sales'!$G605:$CD605))</f>
        <v>0</v>
      </c>
      <c r="V620">
        <f>IF($E620=0,0,SUMPRODUCT($AI$16:$DF$16,'Staff Daily sales'!$G605:$CD605))</f>
        <v>0</v>
      </c>
      <c r="W620">
        <f t="shared" si="175"/>
        <v>0</v>
      </c>
      <c r="X620">
        <f t="shared" si="176"/>
        <v>0</v>
      </c>
      <c r="Y620">
        <f t="shared" si="177"/>
        <v>0</v>
      </c>
      <c r="Z620">
        <f t="shared" si="178"/>
        <v>0</v>
      </c>
      <c r="AA620">
        <f t="shared" si="179"/>
        <v>0</v>
      </c>
      <c r="AB620">
        <f>--AND($E620=1,OR('Staff Weekly Trend'!$B$3="All",$DH620='Staff Weekly Trend'!$B$3),OR('Staff Weekly Trend'!$B$4="All",$D620='Staff Weekly Trend'!$B$4),OR('Staff Weekly Trend'!$B$5="All",$A620='Staff Weekly Trend'!$B$5))</f>
        <v>0</v>
      </c>
      <c r="AC620" t="str">
        <f t="shared" si="180"/>
        <v/>
      </c>
      <c r="AI620">
        <f t="shared" si="181"/>
        <v>0</v>
      </c>
      <c r="AJ620">
        <f t="shared" si="182"/>
        <v>0</v>
      </c>
      <c r="AK620">
        <f t="shared" si="183"/>
        <v>0</v>
      </c>
      <c r="AL620">
        <f t="shared" si="184"/>
        <v>0</v>
      </c>
      <c r="AM620">
        <f t="shared" si="185"/>
        <v>0</v>
      </c>
      <c r="DH620" t="str" cm="1">
        <f t="array" ref="DH620">IF($A620="","",_xlfn.LET(_xlpm.c,IFERROR(_xlfn.XLOOKUP($A620,TRIM('Sales and count'!$A$4:$A$300&amp;""),TRIM('Sales and count'!$B$4:$B$300&amp;"")),""),IF(OR(_xlpm.c="",_xlpm.c="0",LEFT(_xlpm.c,1)="#"),"Not set",_xlpm.c)))</f>
        <v/>
      </c>
    </row>
    <row r="621" spans="1:112" x14ac:dyDescent="0.25">
      <c r="A621" t="str">
        <f>IF('Staff Daily sales'!$B606="","",TRIM('Staff Daily sales'!$B606&amp;""))</f>
        <v/>
      </c>
      <c r="B621" t="str">
        <f>IF('Staff Daily sales'!$D606="","",TRIM('Staff Daily sales'!$D606&amp;""))</f>
        <v/>
      </c>
      <c r="C621" t="str">
        <f>IFERROR(TRIM('Staff Daily sales'!$E606&amp;""),"")</f>
        <v/>
      </c>
      <c r="D621" t="str">
        <f>IFERROR(IF(TRIM('Staff Daily sales'!$F606&amp;"")="","Unassigned",TRIM('Staff Daily sales'!$F606&amp;"")),"Unassigned")</f>
        <v>Unassigned</v>
      </c>
      <c r="E621">
        <f t="shared" si="170"/>
        <v>0</v>
      </c>
      <c r="F621">
        <f>IF($E621=0,0,SUMPRODUCT($AI$5:$DF$5,'Staff Daily sales'!$G606:$CD606))</f>
        <v>0</v>
      </c>
      <c r="G621">
        <f>IF($E621=0,0,SUMPRODUCT($AI$6:$DF$6,'Staff Daily sales'!$G606:$CD606))</f>
        <v>0</v>
      </c>
      <c r="H621">
        <f t="shared" si="171"/>
        <v>0</v>
      </c>
      <c r="I621">
        <f t="shared" si="172"/>
        <v>0</v>
      </c>
      <c r="J621">
        <f t="shared" si="173"/>
        <v>0</v>
      </c>
      <c r="K621">
        <f t="shared" si="174"/>
        <v>0</v>
      </c>
      <c r="L621">
        <f>--AND($E621=1,OR('Staff Dashboard'!$B$6="All",$DH621='Staff Dashboard'!$B$6),OR('Staff Dashboard'!$B$7="All",$D621='Staff Dashboard'!$B$7),OR('Staff Dashboard'!$B$8="All",$A621='Staff Dashboard'!$B$8))</f>
        <v>0</v>
      </c>
      <c r="M621">
        <f>IF($E621=0,0,SUMPRODUCT($AI$7:$DF$7,'Staff Daily sales'!$G606:$CD606))</f>
        <v>0</v>
      </c>
      <c r="N621">
        <f>IF($E621=0,0,SUMPRODUCT($AI$8:$DF$8,'Staff Daily sales'!$G606:$CD606))</f>
        <v>0</v>
      </c>
      <c r="O621">
        <f>IF($E621=0,0,SUMPRODUCT($AI$9:$DF$9,'Staff Daily sales'!$G606:$CD606))</f>
        <v>0</v>
      </c>
      <c r="P621">
        <f>IF($E621=0,0,SUMPRODUCT($AI$10:$DF$10,'Staff Daily sales'!$G606:$CD606))</f>
        <v>0</v>
      </c>
      <c r="Q621">
        <f>IF($E621=0,0,SUMPRODUCT($AI$11:$DF$11,'Staff Daily sales'!$G606:$CD606))</f>
        <v>0</v>
      </c>
      <c r="R621">
        <f>IF($E621=0,0,SUMPRODUCT($AI$12:$DF$12,'Staff Daily sales'!$G606:$CD606))</f>
        <v>0</v>
      </c>
      <c r="S621">
        <f>IF($E621=0,0,SUMPRODUCT($AI$13:$DF$13,'Staff Daily sales'!$G606:$CD606))</f>
        <v>0</v>
      </c>
      <c r="T621">
        <f>IF($E621=0,0,SUMPRODUCT($AI$14:$DF$14,'Staff Daily sales'!$G606:$CD606))</f>
        <v>0</v>
      </c>
      <c r="U621">
        <f>IF($E621=0,0,SUMPRODUCT($AI$15:$DF$15,'Staff Daily sales'!$G606:$CD606))</f>
        <v>0</v>
      </c>
      <c r="V621">
        <f>IF($E621=0,0,SUMPRODUCT($AI$16:$DF$16,'Staff Daily sales'!$G606:$CD606))</f>
        <v>0</v>
      </c>
      <c r="W621">
        <f t="shared" si="175"/>
        <v>0</v>
      </c>
      <c r="X621">
        <f t="shared" si="176"/>
        <v>0</v>
      </c>
      <c r="Y621">
        <f t="shared" si="177"/>
        <v>0</v>
      </c>
      <c r="Z621">
        <f t="shared" si="178"/>
        <v>0</v>
      </c>
      <c r="AA621">
        <f t="shared" si="179"/>
        <v>0</v>
      </c>
      <c r="AB621">
        <f>--AND($E621=1,OR('Staff Weekly Trend'!$B$3="All",$DH621='Staff Weekly Trend'!$B$3),OR('Staff Weekly Trend'!$B$4="All",$D621='Staff Weekly Trend'!$B$4),OR('Staff Weekly Trend'!$B$5="All",$A621='Staff Weekly Trend'!$B$5))</f>
        <v>0</v>
      </c>
      <c r="AC621" t="str">
        <f t="shared" si="180"/>
        <v/>
      </c>
      <c r="AI621">
        <f t="shared" si="181"/>
        <v>0</v>
      </c>
      <c r="AJ621">
        <f t="shared" si="182"/>
        <v>0</v>
      </c>
      <c r="AK621">
        <f t="shared" si="183"/>
        <v>0</v>
      </c>
      <c r="AL621">
        <f t="shared" si="184"/>
        <v>0</v>
      </c>
      <c r="AM621">
        <f t="shared" si="185"/>
        <v>0</v>
      </c>
      <c r="DH621" t="str" cm="1">
        <f t="array" ref="DH621">IF($A621="","",_xlfn.LET(_xlpm.c,IFERROR(_xlfn.XLOOKUP($A621,TRIM('Sales and count'!$A$4:$A$300&amp;""),TRIM('Sales and count'!$B$4:$B$300&amp;"")),""),IF(OR(_xlpm.c="",_xlpm.c="0",LEFT(_xlpm.c,1)="#"),"Not set",_xlpm.c)))</f>
        <v/>
      </c>
    </row>
    <row r="622" spans="1:112" x14ac:dyDescent="0.25">
      <c r="A622" t="str">
        <f>IF('Staff Daily sales'!$B607="","",TRIM('Staff Daily sales'!$B607&amp;""))</f>
        <v/>
      </c>
      <c r="B622" t="str">
        <f>IF('Staff Daily sales'!$D607="","",TRIM('Staff Daily sales'!$D607&amp;""))</f>
        <v/>
      </c>
      <c r="C622" t="str">
        <f>IFERROR(TRIM('Staff Daily sales'!$E607&amp;""),"")</f>
        <v/>
      </c>
      <c r="D622" t="str">
        <f>IFERROR(IF(TRIM('Staff Daily sales'!$F607&amp;"")="","Unassigned",TRIM('Staff Daily sales'!$F607&amp;"")),"Unassigned")</f>
        <v>Unassigned</v>
      </c>
      <c r="E622">
        <f t="shared" si="170"/>
        <v>0</v>
      </c>
      <c r="F622">
        <f>IF($E622=0,0,SUMPRODUCT($AI$5:$DF$5,'Staff Daily sales'!$G607:$CD607))</f>
        <v>0</v>
      </c>
      <c r="G622">
        <f>IF($E622=0,0,SUMPRODUCT($AI$6:$DF$6,'Staff Daily sales'!$G607:$CD607))</f>
        <v>0</v>
      </c>
      <c r="H622">
        <f t="shared" si="171"/>
        <v>0</v>
      </c>
      <c r="I622">
        <f t="shared" si="172"/>
        <v>0</v>
      </c>
      <c r="J622">
        <f t="shared" si="173"/>
        <v>0</v>
      </c>
      <c r="K622">
        <f t="shared" si="174"/>
        <v>0</v>
      </c>
      <c r="L622">
        <f>--AND($E622=1,OR('Staff Dashboard'!$B$6="All",$DH622='Staff Dashboard'!$B$6),OR('Staff Dashboard'!$B$7="All",$D622='Staff Dashboard'!$B$7),OR('Staff Dashboard'!$B$8="All",$A622='Staff Dashboard'!$B$8))</f>
        <v>0</v>
      </c>
      <c r="M622">
        <f>IF($E622=0,0,SUMPRODUCT($AI$7:$DF$7,'Staff Daily sales'!$G607:$CD607))</f>
        <v>0</v>
      </c>
      <c r="N622">
        <f>IF($E622=0,0,SUMPRODUCT($AI$8:$DF$8,'Staff Daily sales'!$G607:$CD607))</f>
        <v>0</v>
      </c>
      <c r="O622">
        <f>IF($E622=0,0,SUMPRODUCT($AI$9:$DF$9,'Staff Daily sales'!$G607:$CD607))</f>
        <v>0</v>
      </c>
      <c r="P622">
        <f>IF($E622=0,0,SUMPRODUCT($AI$10:$DF$10,'Staff Daily sales'!$G607:$CD607))</f>
        <v>0</v>
      </c>
      <c r="Q622">
        <f>IF($E622=0,0,SUMPRODUCT($AI$11:$DF$11,'Staff Daily sales'!$G607:$CD607))</f>
        <v>0</v>
      </c>
      <c r="R622">
        <f>IF($E622=0,0,SUMPRODUCT($AI$12:$DF$12,'Staff Daily sales'!$G607:$CD607))</f>
        <v>0</v>
      </c>
      <c r="S622">
        <f>IF($E622=0,0,SUMPRODUCT($AI$13:$DF$13,'Staff Daily sales'!$G607:$CD607))</f>
        <v>0</v>
      </c>
      <c r="T622">
        <f>IF($E622=0,0,SUMPRODUCT($AI$14:$DF$14,'Staff Daily sales'!$G607:$CD607))</f>
        <v>0</v>
      </c>
      <c r="U622">
        <f>IF($E622=0,0,SUMPRODUCT($AI$15:$DF$15,'Staff Daily sales'!$G607:$CD607))</f>
        <v>0</v>
      </c>
      <c r="V622">
        <f>IF($E622=0,0,SUMPRODUCT($AI$16:$DF$16,'Staff Daily sales'!$G607:$CD607))</f>
        <v>0</v>
      </c>
      <c r="W622">
        <f t="shared" si="175"/>
        <v>0</v>
      </c>
      <c r="X622">
        <f t="shared" si="176"/>
        <v>0</v>
      </c>
      <c r="Y622">
        <f t="shared" si="177"/>
        <v>0</v>
      </c>
      <c r="Z622">
        <f t="shared" si="178"/>
        <v>0</v>
      </c>
      <c r="AA622">
        <f t="shared" si="179"/>
        <v>0</v>
      </c>
      <c r="AB622">
        <f>--AND($E622=1,OR('Staff Weekly Trend'!$B$3="All",$DH622='Staff Weekly Trend'!$B$3),OR('Staff Weekly Trend'!$B$4="All",$D622='Staff Weekly Trend'!$B$4),OR('Staff Weekly Trend'!$B$5="All",$A622='Staff Weekly Trend'!$B$5))</f>
        <v>0</v>
      </c>
      <c r="AC622" t="str">
        <f t="shared" si="180"/>
        <v/>
      </c>
      <c r="AI622">
        <f t="shared" si="181"/>
        <v>0</v>
      </c>
      <c r="AJ622">
        <f t="shared" si="182"/>
        <v>0</v>
      </c>
      <c r="AK622">
        <f t="shared" si="183"/>
        <v>0</v>
      </c>
      <c r="AL622">
        <f t="shared" si="184"/>
        <v>0</v>
      </c>
      <c r="AM622">
        <f t="shared" si="185"/>
        <v>0</v>
      </c>
      <c r="DH622" t="str" cm="1">
        <f t="array" ref="DH622">IF($A622="","",_xlfn.LET(_xlpm.c,IFERROR(_xlfn.XLOOKUP($A622,TRIM('Sales and count'!$A$4:$A$300&amp;""),TRIM('Sales and count'!$B$4:$B$300&amp;"")),""),IF(OR(_xlpm.c="",_xlpm.c="0",LEFT(_xlpm.c,1)="#"),"Not set",_xlpm.c)))</f>
        <v/>
      </c>
    </row>
    <row r="623" spans="1:112" x14ac:dyDescent="0.25">
      <c r="A623" t="str">
        <f>IF('Staff Daily sales'!$B608="","",TRIM('Staff Daily sales'!$B608&amp;""))</f>
        <v/>
      </c>
      <c r="B623" t="str">
        <f>IF('Staff Daily sales'!$D608="","",TRIM('Staff Daily sales'!$D608&amp;""))</f>
        <v/>
      </c>
      <c r="C623" t="str">
        <f>IFERROR(TRIM('Staff Daily sales'!$E608&amp;""),"")</f>
        <v/>
      </c>
      <c r="D623" t="str">
        <f>IFERROR(IF(TRIM('Staff Daily sales'!$F608&amp;"")="","Unassigned",TRIM('Staff Daily sales'!$F608&amp;"")),"Unassigned")</f>
        <v>Unassigned</v>
      </c>
      <c r="E623">
        <f t="shared" si="170"/>
        <v>0</v>
      </c>
      <c r="F623">
        <f>IF($E623=0,0,SUMPRODUCT($AI$5:$DF$5,'Staff Daily sales'!$G608:$CD608))</f>
        <v>0</v>
      </c>
      <c r="G623">
        <f>IF($E623=0,0,SUMPRODUCT($AI$6:$DF$6,'Staff Daily sales'!$G608:$CD608))</f>
        <v>0</v>
      </c>
      <c r="H623">
        <f t="shared" si="171"/>
        <v>0</v>
      </c>
      <c r="I623">
        <f t="shared" si="172"/>
        <v>0</v>
      </c>
      <c r="J623">
        <f t="shared" si="173"/>
        <v>0</v>
      </c>
      <c r="K623">
        <f t="shared" si="174"/>
        <v>0</v>
      </c>
      <c r="L623">
        <f>--AND($E623=1,OR('Staff Dashboard'!$B$6="All",$DH623='Staff Dashboard'!$B$6),OR('Staff Dashboard'!$B$7="All",$D623='Staff Dashboard'!$B$7),OR('Staff Dashboard'!$B$8="All",$A623='Staff Dashboard'!$B$8))</f>
        <v>0</v>
      </c>
      <c r="M623">
        <f>IF($E623=0,0,SUMPRODUCT($AI$7:$DF$7,'Staff Daily sales'!$G608:$CD608))</f>
        <v>0</v>
      </c>
      <c r="N623">
        <f>IF($E623=0,0,SUMPRODUCT($AI$8:$DF$8,'Staff Daily sales'!$G608:$CD608))</f>
        <v>0</v>
      </c>
      <c r="O623">
        <f>IF($E623=0,0,SUMPRODUCT($AI$9:$DF$9,'Staff Daily sales'!$G608:$CD608))</f>
        <v>0</v>
      </c>
      <c r="P623">
        <f>IF($E623=0,0,SUMPRODUCT($AI$10:$DF$10,'Staff Daily sales'!$G608:$CD608))</f>
        <v>0</v>
      </c>
      <c r="Q623">
        <f>IF($E623=0,0,SUMPRODUCT($AI$11:$DF$11,'Staff Daily sales'!$G608:$CD608))</f>
        <v>0</v>
      </c>
      <c r="R623">
        <f>IF($E623=0,0,SUMPRODUCT($AI$12:$DF$12,'Staff Daily sales'!$G608:$CD608))</f>
        <v>0</v>
      </c>
      <c r="S623">
        <f>IF($E623=0,0,SUMPRODUCT($AI$13:$DF$13,'Staff Daily sales'!$G608:$CD608))</f>
        <v>0</v>
      </c>
      <c r="T623">
        <f>IF($E623=0,0,SUMPRODUCT($AI$14:$DF$14,'Staff Daily sales'!$G608:$CD608))</f>
        <v>0</v>
      </c>
      <c r="U623">
        <f>IF($E623=0,0,SUMPRODUCT($AI$15:$DF$15,'Staff Daily sales'!$G608:$CD608))</f>
        <v>0</v>
      </c>
      <c r="V623">
        <f>IF($E623=0,0,SUMPRODUCT($AI$16:$DF$16,'Staff Daily sales'!$G608:$CD608))</f>
        <v>0</v>
      </c>
      <c r="W623">
        <f t="shared" si="175"/>
        <v>0</v>
      </c>
      <c r="X623">
        <f t="shared" si="176"/>
        <v>0</v>
      </c>
      <c r="Y623">
        <f t="shared" si="177"/>
        <v>0</v>
      </c>
      <c r="Z623">
        <f t="shared" si="178"/>
        <v>0</v>
      </c>
      <c r="AA623">
        <f t="shared" si="179"/>
        <v>0</v>
      </c>
      <c r="AB623">
        <f>--AND($E623=1,OR('Staff Weekly Trend'!$B$3="All",$DH623='Staff Weekly Trend'!$B$3),OR('Staff Weekly Trend'!$B$4="All",$D623='Staff Weekly Trend'!$B$4),OR('Staff Weekly Trend'!$B$5="All",$A623='Staff Weekly Trend'!$B$5))</f>
        <v>0</v>
      </c>
      <c r="AC623" t="str">
        <f t="shared" si="180"/>
        <v/>
      </c>
      <c r="AI623">
        <f t="shared" si="181"/>
        <v>0</v>
      </c>
      <c r="AJ623">
        <f t="shared" si="182"/>
        <v>0</v>
      </c>
      <c r="AK623">
        <f t="shared" si="183"/>
        <v>0</v>
      </c>
      <c r="AL623">
        <f t="shared" si="184"/>
        <v>0</v>
      </c>
      <c r="AM623">
        <f t="shared" si="185"/>
        <v>0</v>
      </c>
      <c r="DH623" t="str" cm="1">
        <f t="array" ref="DH623">IF($A623="","",_xlfn.LET(_xlpm.c,IFERROR(_xlfn.XLOOKUP($A623,TRIM('Sales and count'!$A$4:$A$300&amp;""),TRIM('Sales and count'!$B$4:$B$300&amp;"")),""),IF(OR(_xlpm.c="",_xlpm.c="0",LEFT(_xlpm.c,1)="#"),"Not set",_xlpm.c)))</f>
        <v/>
      </c>
    </row>
    <row r="624" spans="1:112" x14ac:dyDescent="0.25">
      <c r="A624" t="str">
        <f>IF('Staff Daily sales'!$B609="","",TRIM('Staff Daily sales'!$B609&amp;""))</f>
        <v/>
      </c>
      <c r="B624" t="str">
        <f>IF('Staff Daily sales'!$D609="","",TRIM('Staff Daily sales'!$D609&amp;""))</f>
        <v/>
      </c>
      <c r="C624" t="str">
        <f>IFERROR(TRIM('Staff Daily sales'!$E609&amp;""),"")</f>
        <v/>
      </c>
      <c r="D624" t="str">
        <f>IFERROR(IF(TRIM('Staff Daily sales'!$F609&amp;"")="","Unassigned",TRIM('Staff Daily sales'!$F609&amp;"")),"Unassigned")</f>
        <v>Unassigned</v>
      </c>
      <c r="E624">
        <f t="shared" si="170"/>
        <v>0</v>
      </c>
      <c r="F624">
        <f>IF($E624=0,0,SUMPRODUCT($AI$5:$DF$5,'Staff Daily sales'!$G609:$CD609))</f>
        <v>0</v>
      </c>
      <c r="G624">
        <f>IF($E624=0,0,SUMPRODUCT($AI$6:$DF$6,'Staff Daily sales'!$G609:$CD609))</f>
        <v>0</v>
      </c>
      <c r="H624">
        <f t="shared" si="171"/>
        <v>0</v>
      </c>
      <c r="I624">
        <f t="shared" si="172"/>
        <v>0</v>
      </c>
      <c r="J624">
        <f t="shared" si="173"/>
        <v>0</v>
      </c>
      <c r="K624">
        <f t="shared" si="174"/>
        <v>0</v>
      </c>
      <c r="L624">
        <f>--AND($E624=1,OR('Staff Dashboard'!$B$6="All",$DH624='Staff Dashboard'!$B$6),OR('Staff Dashboard'!$B$7="All",$D624='Staff Dashboard'!$B$7),OR('Staff Dashboard'!$B$8="All",$A624='Staff Dashboard'!$B$8))</f>
        <v>0</v>
      </c>
      <c r="M624">
        <f>IF($E624=0,0,SUMPRODUCT($AI$7:$DF$7,'Staff Daily sales'!$G609:$CD609))</f>
        <v>0</v>
      </c>
      <c r="N624">
        <f>IF($E624=0,0,SUMPRODUCT($AI$8:$DF$8,'Staff Daily sales'!$G609:$CD609))</f>
        <v>0</v>
      </c>
      <c r="O624">
        <f>IF($E624=0,0,SUMPRODUCT($AI$9:$DF$9,'Staff Daily sales'!$G609:$CD609))</f>
        <v>0</v>
      </c>
      <c r="P624">
        <f>IF($E624=0,0,SUMPRODUCT($AI$10:$DF$10,'Staff Daily sales'!$G609:$CD609))</f>
        <v>0</v>
      </c>
      <c r="Q624">
        <f>IF($E624=0,0,SUMPRODUCT($AI$11:$DF$11,'Staff Daily sales'!$G609:$CD609))</f>
        <v>0</v>
      </c>
      <c r="R624">
        <f>IF($E624=0,0,SUMPRODUCT($AI$12:$DF$12,'Staff Daily sales'!$G609:$CD609))</f>
        <v>0</v>
      </c>
      <c r="S624">
        <f>IF($E624=0,0,SUMPRODUCT($AI$13:$DF$13,'Staff Daily sales'!$G609:$CD609))</f>
        <v>0</v>
      </c>
      <c r="T624">
        <f>IF($E624=0,0,SUMPRODUCT($AI$14:$DF$14,'Staff Daily sales'!$G609:$CD609))</f>
        <v>0</v>
      </c>
      <c r="U624">
        <f>IF($E624=0,0,SUMPRODUCT($AI$15:$DF$15,'Staff Daily sales'!$G609:$CD609))</f>
        <v>0</v>
      </c>
      <c r="V624">
        <f>IF($E624=0,0,SUMPRODUCT($AI$16:$DF$16,'Staff Daily sales'!$G609:$CD609))</f>
        <v>0</v>
      </c>
      <c r="W624">
        <f t="shared" si="175"/>
        <v>0</v>
      </c>
      <c r="X624">
        <f t="shared" si="176"/>
        <v>0</v>
      </c>
      <c r="Y624">
        <f t="shared" si="177"/>
        <v>0</v>
      </c>
      <c r="Z624">
        <f t="shared" si="178"/>
        <v>0</v>
      </c>
      <c r="AA624">
        <f t="shared" si="179"/>
        <v>0</v>
      </c>
      <c r="AB624">
        <f>--AND($E624=1,OR('Staff Weekly Trend'!$B$3="All",$DH624='Staff Weekly Trend'!$B$3),OR('Staff Weekly Trend'!$B$4="All",$D624='Staff Weekly Trend'!$B$4),OR('Staff Weekly Trend'!$B$5="All",$A624='Staff Weekly Trend'!$B$5))</f>
        <v>0</v>
      </c>
      <c r="AC624" t="str">
        <f t="shared" si="180"/>
        <v/>
      </c>
      <c r="AI624">
        <f t="shared" si="181"/>
        <v>0</v>
      </c>
      <c r="AJ624">
        <f t="shared" si="182"/>
        <v>0</v>
      </c>
      <c r="AK624">
        <f t="shared" si="183"/>
        <v>0</v>
      </c>
      <c r="AL624">
        <f t="shared" si="184"/>
        <v>0</v>
      </c>
      <c r="AM624">
        <f t="shared" si="185"/>
        <v>0</v>
      </c>
      <c r="DH624" t="str" cm="1">
        <f t="array" ref="DH624">IF($A624="","",_xlfn.LET(_xlpm.c,IFERROR(_xlfn.XLOOKUP($A624,TRIM('Sales and count'!$A$4:$A$300&amp;""),TRIM('Sales and count'!$B$4:$B$300&amp;"")),""),IF(OR(_xlpm.c="",_xlpm.c="0",LEFT(_xlpm.c,1)="#"),"Not set",_xlpm.c)))</f>
        <v/>
      </c>
    </row>
    <row r="625" spans="1:112" x14ac:dyDescent="0.25">
      <c r="A625" t="str">
        <f>IF('Staff Daily sales'!$B610="","",TRIM('Staff Daily sales'!$B610&amp;""))</f>
        <v/>
      </c>
      <c r="B625" t="str">
        <f>IF('Staff Daily sales'!$D610="","",TRIM('Staff Daily sales'!$D610&amp;""))</f>
        <v/>
      </c>
      <c r="C625" t="str">
        <f>IFERROR(TRIM('Staff Daily sales'!$E610&amp;""),"")</f>
        <v/>
      </c>
      <c r="D625" t="str">
        <f>IFERROR(IF(TRIM('Staff Daily sales'!$F610&amp;"")="","Unassigned",TRIM('Staff Daily sales'!$F610&amp;"")),"Unassigned")</f>
        <v>Unassigned</v>
      </c>
      <c r="E625">
        <f t="shared" si="170"/>
        <v>0</v>
      </c>
      <c r="F625">
        <f>IF($E625=0,0,SUMPRODUCT($AI$5:$DF$5,'Staff Daily sales'!$G610:$CD610))</f>
        <v>0</v>
      </c>
      <c r="G625">
        <f>IF($E625=0,0,SUMPRODUCT($AI$6:$DF$6,'Staff Daily sales'!$G610:$CD610))</f>
        <v>0</v>
      </c>
      <c r="H625">
        <f t="shared" si="171"/>
        <v>0</v>
      </c>
      <c r="I625">
        <f t="shared" si="172"/>
        <v>0</v>
      </c>
      <c r="J625">
        <f t="shared" si="173"/>
        <v>0</v>
      </c>
      <c r="K625">
        <f t="shared" si="174"/>
        <v>0</v>
      </c>
      <c r="L625">
        <f>--AND($E625=1,OR('Staff Dashboard'!$B$6="All",$DH625='Staff Dashboard'!$B$6),OR('Staff Dashboard'!$B$7="All",$D625='Staff Dashboard'!$B$7),OR('Staff Dashboard'!$B$8="All",$A625='Staff Dashboard'!$B$8))</f>
        <v>0</v>
      </c>
      <c r="M625">
        <f>IF($E625=0,0,SUMPRODUCT($AI$7:$DF$7,'Staff Daily sales'!$G610:$CD610))</f>
        <v>0</v>
      </c>
      <c r="N625">
        <f>IF($E625=0,0,SUMPRODUCT($AI$8:$DF$8,'Staff Daily sales'!$G610:$CD610))</f>
        <v>0</v>
      </c>
      <c r="O625">
        <f>IF($E625=0,0,SUMPRODUCT($AI$9:$DF$9,'Staff Daily sales'!$G610:$CD610))</f>
        <v>0</v>
      </c>
      <c r="P625">
        <f>IF($E625=0,0,SUMPRODUCT($AI$10:$DF$10,'Staff Daily sales'!$G610:$CD610))</f>
        <v>0</v>
      </c>
      <c r="Q625">
        <f>IF($E625=0,0,SUMPRODUCT($AI$11:$DF$11,'Staff Daily sales'!$G610:$CD610))</f>
        <v>0</v>
      </c>
      <c r="R625">
        <f>IF($E625=0,0,SUMPRODUCT($AI$12:$DF$12,'Staff Daily sales'!$G610:$CD610))</f>
        <v>0</v>
      </c>
      <c r="S625">
        <f>IF($E625=0,0,SUMPRODUCT($AI$13:$DF$13,'Staff Daily sales'!$G610:$CD610))</f>
        <v>0</v>
      </c>
      <c r="T625">
        <f>IF($E625=0,0,SUMPRODUCT($AI$14:$DF$14,'Staff Daily sales'!$G610:$CD610))</f>
        <v>0</v>
      </c>
      <c r="U625">
        <f>IF($E625=0,0,SUMPRODUCT($AI$15:$DF$15,'Staff Daily sales'!$G610:$CD610))</f>
        <v>0</v>
      </c>
      <c r="V625">
        <f>IF($E625=0,0,SUMPRODUCT($AI$16:$DF$16,'Staff Daily sales'!$G610:$CD610))</f>
        <v>0</v>
      </c>
      <c r="W625">
        <f t="shared" si="175"/>
        <v>0</v>
      </c>
      <c r="X625">
        <f t="shared" si="176"/>
        <v>0</v>
      </c>
      <c r="Y625">
        <f t="shared" si="177"/>
        <v>0</v>
      </c>
      <c r="Z625">
        <f t="shared" si="178"/>
        <v>0</v>
      </c>
      <c r="AA625">
        <f t="shared" si="179"/>
        <v>0</v>
      </c>
      <c r="AB625">
        <f>--AND($E625=1,OR('Staff Weekly Trend'!$B$3="All",$DH625='Staff Weekly Trend'!$B$3),OR('Staff Weekly Trend'!$B$4="All",$D625='Staff Weekly Trend'!$B$4),OR('Staff Weekly Trend'!$B$5="All",$A625='Staff Weekly Trend'!$B$5))</f>
        <v>0</v>
      </c>
      <c r="AC625" t="str">
        <f t="shared" si="180"/>
        <v/>
      </c>
      <c r="AI625">
        <f t="shared" si="181"/>
        <v>0</v>
      </c>
      <c r="AJ625">
        <f t="shared" si="182"/>
        <v>0</v>
      </c>
      <c r="AK625">
        <f t="shared" si="183"/>
        <v>0</v>
      </c>
      <c r="AL625">
        <f t="shared" si="184"/>
        <v>0</v>
      </c>
      <c r="AM625">
        <f t="shared" si="185"/>
        <v>0</v>
      </c>
      <c r="DH625" t="str" cm="1">
        <f t="array" ref="DH625">IF($A625="","",_xlfn.LET(_xlpm.c,IFERROR(_xlfn.XLOOKUP($A625,TRIM('Sales and count'!$A$4:$A$300&amp;""),TRIM('Sales and count'!$B$4:$B$300&amp;"")),""),IF(OR(_xlpm.c="",_xlpm.c="0",LEFT(_xlpm.c,1)="#"),"Not set",_xlpm.c)))</f>
        <v/>
      </c>
    </row>
    <row r="626" spans="1:112" x14ac:dyDescent="0.25">
      <c r="A626" t="str">
        <f>IF('Staff Daily sales'!$B611="","",TRIM('Staff Daily sales'!$B611&amp;""))</f>
        <v/>
      </c>
      <c r="B626" t="str">
        <f>IF('Staff Daily sales'!$D611="","",TRIM('Staff Daily sales'!$D611&amp;""))</f>
        <v/>
      </c>
      <c r="C626" t="str">
        <f>IFERROR(TRIM('Staff Daily sales'!$E611&amp;""),"")</f>
        <v/>
      </c>
      <c r="D626" t="str">
        <f>IFERROR(IF(TRIM('Staff Daily sales'!$F611&amp;"")="","Unassigned",TRIM('Staff Daily sales'!$F611&amp;"")),"Unassigned")</f>
        <v>Unassigned</v>
      </c>
      <c r="E626">
        <f t="shared" si="170"/>
        <v>0</v>
      </c>
      <c r="F626">
        <f>IF($E626=0,0,SUMPRODUCT($AI$5:$DF$5,'Staff Daily sales'!$G611:$CD611))</f>
        <v>0</v>
      </c>
      <c r="G626">
        <f>IF($E626=0,0,SUMPRODUCT($AI$6:$DF$6,'Staff Daily sales'!$G611:$CD611))</f>
        <v>0</v>
      </c>
      <c r="H626">
        <f t="shared" si="171"/>
        <v>0</v>
      </c>
      <c r="I626">
        <f t="shared" si="172"/>
        <v>0</v>
      </c>
      <c r="J626">
        <f t="shared" si="173"/>
        <v>0</v>
      </c>
      <c r="K626">
        <f t="shared" si="174"/>
        <v>0</v>
      </c>
      <c r="L626">
        <f>--AND($E626=1,OR('Staff Dashboard'!$B$6="All",$DH626='Staff Dashboard'!$B$6),OR('Staff Dashboard'!$B$7="All",$D626='Staff Dashboard'!$B$7),OR('Staff Dashboard'!$B$8="All",$A626='Staff Dashboard'!$B$8))</f>
        <v>0</v>
      </c>
      <c r="M626">
        <f>IF($E626=0,0,SUMPRODUCT($AI$7:$DF$7,'Staff Daily sales'!$G611:$CD611))</f>
        <v>0</v>
      </c>
      <c r="N626">
        <f>IF($E626=0,0,SUMPRODUCT($AI$8:$DF$8,'Staff Daily sales'!$G611:$CD611))</f>
        <v>0</v>
      </c>
      <c r="O626">
        <f>IF($E626=0,0,SUMPRODUCT($AI$9:$DF$9,'Staff Daily sales'!$G611:$CD611))</f>
        <v>0</v>
      </c>
      <c r="P626">
        <f>IF($E626=0,0,SUMPRODUCT($AI$10:$DF$10,'Staff Daily sales'!$G611:$CD611))</f>
        <v>0</v>
      </c>
      <c r="Q626">
        <f>IF($E626=0,0,SUMPRODUCT($AI$11:$DF$11,'Staff Daily sales'!$G611:$CD611))</f>
        <v>0</v>
      </c>
      <c r="R626">
        <f>IF($E626=0,0,SUMPRODUCT($AI$12:$DF$12,'Staff Daily sales'!$G611:$CD611))</f>
        <v>0</v>
      </c>
      <c r="S626">
        <f>IF($E626=0,0,SUMPRODUCT($AI$13:$DF$13,'Staff Daily sales'!$G611:$CD611))</f>
        <v>0</v>
      </c>
      <c r="T626">
        <f>IF($E626=0,0,SUMPRODUCT($AI$14:$DF$14,'Staff Daily sales'!$G611:$CD611))</f>
        <v>0</v>
      </c>
      <c r="U626">
        <f>IF($E626=0,0,SUMPRODUCT($AI$15:$DF$15,'Staff Daily sales'!$G611:$CD611))</f>
        <v>0</v>
      </c>
      <c r="V626">
        <f>IF($E626=0,0,SUMPRODUCT($AI$16:$DF$16,'Staff Daily sales'!$G611:$CD611))</f>
        <v>0</v>
      </c>
      <c r="W626">
        <f t="shared" si="175"/>
        <v>0</v>
      </c>
      <c r="X626">
        <f t="shared" si="176"/>
        <v>0</v>
      </c>
      <c r="Y626">
        <f t="shared" si="177"/>
        <v>0</v>
      </c>
      <c r="Z626">
        <f t="shared" si="178"/>
        <v>0</v>
      </c>
      <c r="AA626">
        <f t="shared" si="179"/>
        <v>0</v>
      </c>
      <c r="AB626">
        <f>--AND($E626=1,OR('Staff Weekly Trend'!$B$3="All",$DH626='Staff Weekly Trend'!$B$3),OR('Staff Weekly Trend'!$B$4="All",$D626='Staff Weekly Trend'!$B$4),OR('Staff Weekly Trend'!$B$5="All",$A626='Staff Weekly Trend'!$B$5))</f>
        <v>0</v>
      </c>
      <c r="AC626" t="str">
        <f t="shared" si="180"/>
        <v/>
      </c>
      <c r="AI626">
        <f t="shared" si="181"/>
        <v>0</v>
      </c>
      <c r="AJ626">
        <f t="shared" si="182"/>
        <v>0</v>
      </c>
      <c r="AK626">
        <f t="shared" si="183"/>
        <v>0</v>
      </c>
      <c r="AL626">
        <f t="shared" si="184"/>
        <v>0</v>
      </c>
      <c r="AM626">
        <f t="shared" si="185"/>
        <v>0</v>
      </c>
      <c r="DH626" t="str" cm="1">
        <f t="array" ref="DH626">IF($A626="","",_xlfn.LET(_xlpm.c,IFERROR(_xlfn.XLOOKUP($A626,TRIM('Sales and count'!$A$4:$A$300&amp;""),TRIM('Sales and count'!$B$4:$B$300&amp;"")),""),IF(OR(_xlpm.c="",_xlpm.c="0",LEFT(_xlpm.c,1)="#"),"Not set",_xlpm.c)))</f>
        <v/>
      </c>
    </row>
    <row r="627" spans="1:112" x14ac:dyDescent="0.25">
      <c r="A627" t="str">
        <f>IF('Staff Daily sales'!$B612="","",TRIM('Staff Daily sales'!$B612&amp;""))</f>
        <v/>
      </c>
      <c r="B627" t="str">
        <f>IF('Staff Daily sales'!$D612="","",TRIM('Staff Daily sales'!$D612&amp;""))</f>
        <v/>
      </c>
      <c r="C627" t="str">
        <f>IFERROR(TRIM('Staff Daily sales'!$E612&amp;""),"")</f>
        <v/>
      </c>
      <c r="D627" t="str">
        <f>IFERROR(IF(TRIM('Staff Daily sales'!$F612&amp;"")="","Unassigned",TRIM('Staff Daily sales'!$F612&amp;"")),"Unassigned")</f>
        <v>Unassigned</v>
      </c>
      <c r="E627">
        <f t="shared" si="170"/>
        <v>0</v>
      </c>
      <c r="F627">
        <f>IF($E627=0,0,SUMPRODUCT($AI$5:$DF$5,'Staff Daily sales'!$G612:$CD612))</f>
        <v>0</v>
      </c>
      <c r="G627">
        <f>IF($E627=0,0,SUMPRODUCT($AI$6:$DF$6,'Staff Daily sales'!$G612:$CD612))</f>
        <v>0</v>
      </c>
      <c r="H627">
        <f t="shared" si="171"/>
        <v>0</v>
      </c>
      <c r="I627">
        <f t="shared" si="172"/>
        <v>0</v>
      </c>
      <c r="J627">
        <f t="shared" si="173"/>
        <v>0</v>
      </c>
      <c r="K627">
        <f t="shared" si="174"/>
        <v>0</v>
      </c>
      <c r="L627">
        <f>--AND($E627=1,OR('Staff Dashboard'!$B$6="All",$DH627='Staff Dashboard'!$B$6),OR('Staff Dashboard'!$B$7="All",$D627='Staff Dashboard'!$B$7),OR('Staff Dashboard'!$B$8="All",$A627='Staff Dashboard'!$B$8))</f>
        <v>0</v>
      </c>
      <c r="M627">
        <f>IF($E627=0,0,SUMPRODUCT($AI$7:$DF$7,'Staff Daily sales'!$G612:$CD612))</f>
        <v>0</v>
      </c>
      <c r="N627">
        <f>IF($E627=0,0,SUMPRODUCT($AI$8:$DF$8,'Staff Daily sales'!$G612:$CD612))</f>
        <v>0</v>
      </c>
      <c r="O627">
        <f>IF($E627=0,0,SUMPRODUCT($AI$9:$DF$9,'Staff Daily sales'!$G612:$CD612))</f>
        <v>0</v>
      </c>
      <c r="P627">
        <f>IF($E627=0,0,SUMPRODUCT($AI$10:$DF$10,'Staff Daily sales'!$G612:$CD612))</f>
        <v>0</v>
      </c>
      <c r="Q627">
        <f>IF($E627=0,0,SUMPRODUCT($AI$11:$DF$11,'Staff Daily sales'!$G612:$CD612))</f>
        <v>0</v>
      </c>
      <c r="R627">
        <f>IF($E627=0,0,SUMPRODUCT($AI$12:$DF$12,'Staff Daily sales'!$G612:$CD612))</f>
        <v>0</v>
      </c>
      <c r="S627">
        <f>IF($E627=0,0,SUMPRODUCT($AI$13:$DF$13,'Staff Daily sales'!$G612:$CD612))</f>
        <v>0</v>
      </c>
      <c r="T627">
        <f>IF($E627=0,0,SUMPRODUCT($AI$14:$DF$14,'Staff Daily sales'!$G612:$CD612))</f>
        <v>0</v>
      </c>
      <c r="U627">
        <f>IF($E627=0,0,SUMPRODUCT($AI$15:$DF$15,'Staff Daily sales'!$G612:$CD612))</f>
        <v>0</v>
      </c>
      <c r="V627">
        <f>IF($E627=0,0,SUMPRODUCT($AI$16:$DF$16,'Staff Daily sales'!$G612:$CD612))</f>
        <v>0</v>
      </c>
      <c r="W627">
        <f t="shared" si="175"/>
        <v>0</v>
      </c>
      <c r="X627">
        <f t="shared" si="176"/>
        <v>0</v>
      </c>
      <c r="Y627">
        <f t="shared" si="177"/>
        <v>0</v>
      </c>
      <c r="Z627">
        <f t="shared" si="178"/>
        <v>0</v>
      </c>
      <c r="AA627">
        <f t="shared" si="179"/>
        <v>0</v>
      </c>
      <c r="AB627">
        <f>--AND($E627=1,OR('Staff Weekly Trend'!$B$3="All",$DH627='Staff Weekly Trend'!$B$3),OR('Staff Weekly Trend'!$B$4="All",$D627='Staff Weekly Trend'!$B$4),OR('Staff Weekly Trend'!$B$5="All",$A627='Staff Weekly Trend'!$B$5))</f>
        <v>0</v>
      </c>
      <c r="AC627" t="str">
        <f t="shared" si="180"/>
        <v/>
      </c>
      <c r="AI627">
        <f t="shared" si="181"/>
        <v>0</v>
      </c>
      <c r="AJ627">
        <f t="shared" si="182"/>
        <v>0</v>
      </c>
      <c r="AK627">
        <f t="shared" si="183"/>
        <v>0</v>
      </c>
      <c r="AL627">
        <f t="shared" si="184"/>
        <v>0</v>
      </c>
      <c r="AM627">
        <f t="shared" si="185"/>
        <v>0</v>
      </c>
      <c r="DH627" t="str" cm="1">
        <f t="array" ref="DH627">IF($A627="","",_xlfn.LET(_xlpm.c,IFERROR(_xlfn.XLOOKUP($A627,TRIM('Sales and count'!$A$4:$A$300&amp;""),TRIM('Sales and count'!$B$4:$B$300&amp;"")),""),IF(OR(_xlpm.c="",_xlpm.c="0",LEFT(_xlpm.c,1)="#"),"Not set",_xlpm.c)))</f>
        <v/>
      </c>
    </row>
    <row r="628" spans="1:112" x14ac:dyDescent="0.25">
      <c r="A628" t="str">
        <f>IF('Staff Daily sales'!$B613="","",TRIM('Staff Daily sales'!$B613&amp;""))</f>
        <v/>
      </c>
      <c r="B628" t="str">
        <f>IF('Staff Daily sales'!$D613="","",TRIM('Staff Daily sales'!$D613&amp;""))</f>
        <v/>
      </c>
      <c r="C628" t="str">
        <f>IFERROR(TRIM('Staff Daily sales'!$E613&amp;""),"")</f>
        <v/>
      </c>
      <c r="D628" t="str">
        <f>IFERROR(IF(TRIM('Staff Daily sales'!$F613&amp;"")="","Unassigned",TRIM('Staff Daily sales'!$F613&amp;"")),"Unassigned")</f>
        <v>Unassigned</v>
      </c>
      <c r="E628">
        <f t="shared" si="170"/>
        <v>0</v>
      </c>
      <c r="F628">
        <f>IF($E628=0,0,SUMPRODUCT($AI$5:$DF$5,'Staff Daily sales'!$G613:$CD613))</f>
        <v>0</v>
      </c>
      <c r="G628">
        <f>IF($E628=0,0,SUMPRODUCT($AI$6:$DF$6,'Staff Daily sales'!$G613:$CD613))</f>
        <v>0</v>
      </c>
      <c r="H628">
        <f t="shared" si="171"/>
        <v>0</v>
      </c>
      <c r="I628">
        <f t="shared" si="172"/>
        <v>0</v>
      </c>
      <c r="J628">
        <f t="shared" si="173"/>
        <v>0</v>
      </c>
      <c r="K628">
        <f t="shared" si="174"/>
        <v>0</v>
      </c>
      <c r="L628">
        <f>--AND($E628=1,OR('Staff Dashboard'!$B$6="All",$DH628='Staff Dashboard'!$B$6),OR('Staff Dashboard'!$B$7="All",$D628='Staff Dashboard'!$B$7),OR('Staff Dashboard'!$B$8="All",$A628='Staff Dashboard'!$B$8))</f>
        <v>0</v>
      </c>
      <c r="M628">
        <f>IF($E628=0,0,SUMPRODUCT($AI$7:$DF$7,'Staff Daily sales'!$G613:$CD613))</f>
        <v>0</v>
      </c>
      <c r="N628">
        <f>IF($E628=0,0,SUMPRODUCT($AI$8:$DF$8,'Staff Daily sales'!$G613:$CD613))</f>
        <v>0</v>
      </c>
      <c r="O628">
        <f>IF($E628=0,0,SUMPRODUCT($AI$9:$DF$9,'Staff Daily sales'!$G613:$CD613))</f>
        <v>0</v>
      </c>
      <c r="P628">
        <f>IF($E628=0,0,SUMPRODUCT($AI$10:$DF$10,'Staff Daily sales'!$G613:$CD613))</f>
        <v>0</v>
      </c>
      <c r="Q628">
        <f>IF($E628=0,0,SUMPRODUCT($AI$11:$DF$11,'Staff Daily sales'!$G613:$CD613))</f>
        <v>0</v>
      </c>
      <c r="R628">
        <f>IF($E628=0,0,SUMPRODUCT($AI$12:$DF$12,'Staff Daily sales'!$G613:$CD613))</f>
        <v>0</v>
      </c>
      <c r="S628">
        <f>IF($E628=0,0,SUMPRODUCT($AI$13:$DF$13,'Staff Daily sales'!$G613:$CD613))</f>
        <v>0</v>
      </c>
      <c r="T628">
        <f>IF($E628=0,0,SUMPRODUCT($AI$14:$DF$14,'Staff Daily sales'!$G613:$CD613))</f>
        <v>0</v>
      </c>
      <c r="U628">
        <f>IF($E628=0,0,SUMPRODUCT($AI$15:$DF$15,'Staff Daily sales'!$G613:$CD613))</f>
        <v>0</v>
      </c>
      <c r="V628">
        <f>IF($E628=0,0,SUMPRODUCT($AI$16:$DF$16,'Staff Daily sales'!$G613:$CD613))</f>
        <v>0</v>
      </c>
      <c r="W628">
        <f t="shared" si="175"/>
        <v>0</v>
      </c>
      <c r="X628">
        <f t="shared" si="176"/>
        <v>0</v>
      </c>
      <c r="Y628">
        <f t="shared" si="177"/>
        <v>0</v>
      </c>
      <c r="Z628">
        <f t="shared" si="178"/>
        <v>0</v>
      </c>
      <c r="AA628">
        <f t="shared" si="179"/>
        <v>0</v>
      </c>
      <c r="AB628">
        <f>--AND($E628=1,OR('Staff Weekly Trend'!$B$3="All",$DH628='Staff Weekly Trend'!$B$3),OR('Staff Weekly Trend'!$B$4="All",$D628='Staff Weekly Trend'!$B$4),OR('Staff Weekly Trend'!$B$5="All",$A628='Staff Weekly Trend'!$B$5))</f>
        <v>0</v>
      </c>
      <c r="AC628" t="str">
        <f t="shared" si="180"/>
        <v/>
      </c>
      <c r="AI628">
        <f t="shared" si="181"/>
        <v>0</v>
      </c>
      <c r="AJ628">
        <f t="shared" si="182"/>
        <v>0</v>
      </c>
      <c r="AK628">
        <f t="shared" si="183"/>
        <v>0</v>
      </c>
      <c r="AL628">
        <f t="shared" si="184"/>
        <v>0</v>
      </c>
      <c r="AM628">
        <f t="shared" si="185"/>
        <v>0</v>
      </c>
      <c r="DH628" t="str" cm="1">
        <f t="array" ref="DH628">IF($A628="","",_xlfn.LET(_xlpm.c,IFERROR(_xlfn.XLOOKUP($A628,TRIM('Sales and count'!$A$4:$A$300&amp;""),TRIM('Sales and count'!$B$4:$B$300&amp;"")),""),IF(OR(_xlpm.c="",_xlpm.c="0",LEFT(_xlpm.c,1)="#"),"Not set",_xlpm.c)))</f>
        <v/>
      </c>
    </row>
    <row r="629" spans="1:112" x14ac:dyDescent="0.25">
      <c r="A629" t="str">
        <f>IF('Staff Daily sales'!$B614="","",TRIM('Staff Daily sales'!$B614&amp;""))</f>
        <v/>
      </c>
      <c r="B629" t="str">
        <f>IF('Staff Daily sales'!$D614="","",TRIM('Staff Daily sales'!$D614&amp;""))</f>
        <v/>
      </c>
      <c r="C629" t="str">
        <f>IFERROR(TRIM('Staff Daily sales'!$E614&amp;""),"")</f>
        <v/>
      </c>
      <c r="D629" t="str">
        <f>IFERROR(IF(TRIM('Staff Daily sales'!$F614&amp;"")="","Unassigned",TRIM('Staff Daily sales'!$F614&amp;"")),"Unassigned")</f>
        <v>Unassigned</v>
      </c>
      <c r="E629">
        <f t="shared" si="170"/>
        <v>0</v>
      </c>
      <c r="F629">
        <f>IF($E629=0,0,SUMPRODUCT($AI$5:$DF$5,'Staff Daily sales'!$G614:$CD614))</f>
        <v>0</v>
      </c>
      <c r="G629">
        <f>IF($E629=0,0,SUMPRODUCT($AI$6:$DF$6,'Staff Daily sales'!$G614:$CD614))</f>
        <v>0</v>
      </c>
      <c r="H629">
        <f t="shared" si="171"/>
        <v>0</v>
      </c>
      <c r="I629">
        <f t="shared" si="172"/>
        <v>0</v>
      </c>
      <c r="J629">
        <f t="shared" si="173"/>
        <v>0</v>
      </c>
      <c r="K629">
        <f t="shared" si="174"/>
        <v>0</v>
      </c>
      <c r="L629">
        <f>--AND($E629=1,OR('Staff Dashboard'!$B$6="All",$DH629='Staff Dashboard'!$B$6),OR('Staff Dashboard'!$B$7="All",$D629='Staff Dashboard'!$B$7),OR('Staff Dashboard'!$B$8="All",$A629='Staff Dashboard'!$B$8))</f>
        <v>0</v>
      </c>
      <c r="M629">
        <f>IF($E629=0,0,SUMPRODUCT($AI$7:$DF$7,'Staff Daily sales'!$G614:$CD614))</f>
        <v>0</v>
      </c>
      <c r="N629">
        <f>IF($E629=0,0,SUMPRODUCT($AI$8:$DF$8,'Staff Daily sales'!$G614:$CD614))</f>
        <v>0</v>
      </c>
      <c r="O629">
        <f>IF($E629=0,0,SUMPRODUCT($AI$9:$DF$9,'Staff Daily sales'!$G614:$CD614))</f>
        <v>0</v>
      </c>
      <c r="P629">
        <f>IF($E629=0,0,SUMPRODUCT($AI$10:$DF$10,'Staff Daily sales'!$G614:$CD614))</f>
        <v>0</v>
      </c>
      <c r="Q629">
        <f>IF($E629=0,0,SUMPRODUCT($AI$11:$DF$11,'Staff Daily sales'!$G614:$CD614))</f>
        <v>0</v>
      </c>
      <c r="R629">
        <f>IF($E629=0,0,SUMPRODUCT($AI$12:$DF$12,'Staff Daily sales'!$G614:$CD614))</f>
        <v>0</v>
      </c>
      <c r="S629">
        <f>IF($E629=0,0,SUMPRODUCT($AI$13:$DF$13,'Staff Daily sales'!$G614:$CD614))</f>
        <v>0</v>
      </c>
      <c r="T629">
        <f>IF($E629=0,0,SUMPRODUCT($AI$14:$DF$14,'Staff Daily sales'!$G614:$CD614))</f>
        <v>0</v>
      </c>
      <c r="U629">
        <f>IF($E629=0,0,SUMPRODUCT($AI$15:$DF$15,'Staff Daily sales'!$G614:$CD614))</f>
        <v>0</v>
      </c>
      <c r="V629">
        <f>IF($E629=0,0,SUMPRODUCT($AI$16:$DF$16,'Staff Daily sales'!$G614:$CD614))</f>
        <v>0</v>
      </c>
      <c r="W629">
        <f t="shared" si="175"/>
        <v>0</v>
      </c>
      <c r="X629">
        <f t="shared" si="176"/>
        <v>0</v>
      </c>
      <c r="Y629">
        <f t="shared" si="177"/>
        <v>0</v>
      </c>
      <c r="Z629">
        <f t="shared" si="178"/>
        <v>0</v>
      </c>
      <c r="AA629">
        <f t="shared" si="179"/>
        <v>0</v>
      </c>
      <c r="AB629">
        <f>--AND($E629=1,OR('Staff Weekly Trend'!$B$3="All",$DH629='Staff Weekly Trend'!$B$3),OR('Staff Weekly Trend'!$B$4="All",$D629='Staff Weekly Trend'!$B$4),OR('Staff Weekly Trend'!$B$5="All",$A629='Staff Weekly Trend'!$B$5))</f>
        <v>0</v>
      </c>
      <c r="AC629" t="str">
        <f t="shared" si="180"/>
        <v/>
      </c>
      <c r="AI629">
        <f t="shared" si="181"/>
        <v>0</v>
      </c>
      <c r="AJ629">
        <f t="shared" si="182"/>
        <v>0</v>
      </c>
      <c r="AK629">
        <f t="shared" si="183"/>
        <v>0</v>
      </c>
      <c r="AL629">
        <f t="shared" si="184"/>
        <v>0</v>
      </c>
      <c r="AM629">
        <f t="shared" si="185"/>
        <v>0</v>
      </c>
      <c r="DH629" t="str" cm="1">
        <f t="array" ref="DH629">IF($A629="","",_xlfn.LET(_xlpm.c,IFERROR(_xlfn.XLOOKUP($A629,TRIM('Sales and count'!$A$4:$A$300&amp;""),TRIM('Sales and count'!$B$4:$B$300&amp;"")),""),IF(OR(_xlpm.c="",_xlpm.c="0",LEFT(_xlpm.c,1)="#"),"Not set",_xlpm.c)))</f>
        <v/>
      </c>
    </row>
    <row r="630" spans="1:112" x14ac:dyDescent="0.25">
      <c r="A630" t="str">
        <f>IF('Staff Daily sales'!$B615="","",TRIM('Staff Daily sales'!$B615&amp;""))</f>
        <v/>
      </c>
      <c r="B630" t="str">
        <f>IF('Staff Daily sales'!$D615="","",TRIM('Staff Daily sales'!$D615&amp;""))</f>
        <v/>
      </c>
      <c r="C630" t="str">
        <f>IFERROR(TRIM('Staff Daily sales'!$E615&amp;""),"")</f>
        <v/>
      </c>
      <c r="D630" t="str">
        <f>IFERROR(IF(TRIM('Staff Daily sales'!$F615&amp;"")="","Unassigned",TRIM('Staff Daily sales'!$F615&amp;"")),"Unassigned")</f>
        <v>Unassigned</v>
      </c>
      <c r="E630">
        <f t="shared" si="170"/>
        <v>0</v>
      </c>
      <c r="F630">
        <f>IF($E630=0,0,SUMPRODUCT($AI$5:$DF$5,'Staff Daily sales'!$G615:$CD615))</f>
        <v>0</v>
      </c>
      <c r="G630">
        <f>IF($E630=0,0,SUMPRODUCT($AI$6:$DF$6,'Staff Daily sales'!$G615:$CD615))</f>
        <v>0</v>
      </c>
      <c r="H630">
        <f t="shared" si="171"/>
        <v>0</v>
      </c>
      <c r="I630">
        <f t="shared" si="172"/>
        <v>0</v>
      </c>
      <c r="J630">
        <f t="shared" si="173"/>
        <v>0</v>
      </c>
      <c r="K630">
        <f t="shared" si="174"/>
        <v>0</v>
      </c>
      <c r="L630">
        <f>--AND($E630=1,OR('Staff Dashboard'!$B$6="All",$DH630='Staff Dashboard'!$B$6),OR('Staff Dashboard'!$B$7="All",$D630='Staff Dashboard'!$B$7),OR('Staff Dashboard'!$B$8="All",$A630='Staff Dashboard'!$B$8))</f>
        <v>0</v>
      </c>
      <c r="M630">
        <f>IF($E630=0,0,SUMPRODUCT($AI$7:$DF$7,'Staff Daily sales'!$G615:$CD615))</f>
        <v>0</v>
      </c>
      <c r="N630">
        <f>IF($E630=0,0,SUMPRODUCT($AI$8:$DF$8,'Staff Daily sales'!$G615:$CD615))</f>
        <v>0</v>
      </c>
      <c r="O630">
        <f>IF($E630=0,0,SUMPRODUCT($AI$9:$DF$9,'Staff Daily sales'!$G615:$CD615))</f>
        <v>0</v>
      </c>
      <c r="P630">
        <f>IF($E630=0,0,SUMPRODUCT($AI$10:$DF$10,'Staff Daily sales'!$G615:$CD615))</f>
        <v>0</v>
      </c>
      <c r="Q630">
        <f>IF($E630=0,0,SUMPRODUCT($AI$11:$DF$11,'Staff Daily sales'!$G615:$CD615))</f>
        <v>0</v>
      </c>
      <c r="R630">
        <f>IF($E630=0,0,SUMPRODUCT($AI$12:$DF$12,'Staff Daily sales'!$G615:$CD615))</f>
        <v>0</v>
      </c>
      <c r="S630">
        <f>IF($E630=0,0,SUMPRODUCT($AI$13:$DF$13,'Staff Daily sales'!$G615:$CD615))</f>
        <v>0</v>
      </c>
      <c r="T630">
        <f>IF($E630=0,0,SUMPRODUCT($AI$14:$DF$14,'Staff Daily sales'!$G615:$CD615))</f>
        <v>0</v>
      </c>
      <c r="U630">
        <f>IF($E630=0,0,SUMPRODUCT($AI$15:$DF$15,'Staff Daily sales'!$G615:$CD615))</f>
        <v>0</v>
      </c>
      <c r="V630">
        <f>IF($E630=0,0,SUMPRODUCT($AI$16:$DF$16,'Staff Daily sales'!$G615:$CD615))</f>
        <v>0</v>
      </c>
      <c r="W630">
        <f t="shared" si="175"/>
        <v>0</v>
      </c>
      <c r="X630">
        <f t="shared" si="176"/>
        <v>0</v>
      </c>
      <c r="Y630">
        <f t="shared" si="177"/>
        <v>0</v>
      </c>
      <c r="Z630">
        <f t="shared" si="178"/>
        <v>0</v>
      </c>
      <c r="AA630">
        <f t="shared" si="179"/>
        <v>0</v>
      </c>
      <c r="AB630">
        <f>--AND($E630=1,OR('Staff Weekly Trend'!$B$3="All",$DH630='Staff Weekly Trend'!$B$3),OR('Staff Weekly Trend'!$B$4="All",$D630='Staff Weekly Trend'!$B$4),OR('Staff Weekly Trend'!$B$5="All",$A630='Staff Weekly Trend'!$B$5))</f>
        <v>0</v>
      </c>
      <c r="AC630" t="str">
        <f t="shared" si="180"/>
        <v/>
      </c>
      <c r="AI630">
        <f t="shared" si="181"/>
        <v>0</v>
      </c>
      <c r="AJ630">
        <f t="shared" si="182"/>
        <v>0</v>
      </c>
      <c r="AK630">
        <f t="shared" si="183"/>
        <v>0</v>
      </c>
      <c r="AL630">
        <f t="shared" si="184"/>
        <v>0</v>
      </c>
      <c r="AM630">
        <f t="shared" si="185"/>
        <v>0</v>
      </c>
      <c r="DH630" t="str" cm="1">
        <f t="array" ref="DH630">IF($A630="","",_xlfn.LET(_xlpm.c,IFERROR(_xlfn.XLOOKUP($A630,TRIM('Sales and count'!$A$4:$A$300&amp;""),TRIM('Sales and count'!$B$4:$B$300&amp;"")),""),IF(OR(_xlpm.c="",_xlpm.c="0",LEFT(_xlpm.c,1)="#"),"Not set",_xlpm.c)))</f>
        <v/>
      </c>
    </row>
    <row r="631" spans="1:112" x14ac:dyDescent="0.25">
      <c r="A631" t="str">
        <f>IF('Staff Daily sales'!$B616="","",TRIM('Staff Daily sales'!$B616&amp;""))</f>
        <v/>
      </c>
      <c r="B631" t="str">
        <f>IF('Staff Daily sales'!$D616="","",TRIM('Staff Daily sales'!$D616&amp;""))</f>
        <v/>
      </c>
      <c r="C631" t="str">
        <f>IFERROR(TRIM('Staff Daily sales'!$E616&amp;""),"")</f>
        <v/>
      </c>
      <c r="D631" t="str">
        <f>IFERROR(IF(TRIM('Staff Daily sales'!$F616&amp;"")="","Unassigned",TRIM('Staff Daily sales'!$F616&amp;"")),"Unassigned")</f>
        <v>Unassigned</v>
      </c>
      <c r="E631">
        <f t="shared" si="170"/>
        <v>0</v>
      </c>
      <c r="F631">
        <f>IF($E631=0,0,SUMPRODUCT($AI$5:$DF$5,'Staff Daily sales'!$G616:$CD616))</f>
        <v>0</v>
      </c>
      <c r="G631">
        <f>IF($E631=0,0,SUMPRODUCT($AI$6:$DF$6,'Staff Daily sales'!$G616:$CD616))</f>
        <v>0</v>
      </c>
      <c r="H631">
        <f t="shared" si="171"/>
        <v>0</v>
      </c>
      <c r="I631">
        <f t="shared" si="172"/>
        <v>0</v>
      </c>
      <c r="J631">
        <f t="shared" si="173"/>
        <v>0</v>
      </c>
      <c r="K631">
        <f t="shared" si="174"/>
        <v>0</v>
      </c>
      <c r="L631">
        <f>--AND($E631=1,OR('Staff Dashboard'!$B$6="All",$DH631='Staff Dashboard'!$B$6),OR('Staff Dashboard'!$B$7="All",$D631='Staff Dashboard'!$B$7),OR('Staff Dashboard'!$B$8="All",$A631='Staff Dashboard'!$B$8))</f>
        <v>0</v>
      </c>
      <c r="M631">
        <f>IF($E631=0,0,SUMPRODUCT($AI$7:$DF$7,'Staff Daily sales'!$G616:$CD616))</f>
        <v>0</v>
      </c>
      <c r="N631">
        <f>IF($E631=0,0,SUMPRODUCT($AI$8:$DF$8,'Staff Daily sales'!$G616:$CD616))</f>
        <v>0</v>
      </c>
      <c r="O631">
        <f>IF($E631=0,0,SUMPRODUCT($AI$9:$DF$9,'Staff Daily sales'!$G616:$CD616))</f>
        <v>0</v>
      </c>
      <c r="P631">
        <f>IF($E631=0,0,SUMPRODUCT($AI$10:$DF$10,'Staff Daily sales'!$G616:$CD616))</f>
        <v>0</v>
      </c>
      <c r="Q631">
        <f>IF($E631=0,0,SUMPRODUCT($AI$11:$DF$11,'Staff Daily sales'!$G616:$CD616))</f>
        <v>0</v>
      </c>
      <c r="R631">
        <f>IF($E631=0,0,SUMPRODUCT($AI$12:$DF$12,'Staff Daily sales'!$G616:$CD616))</f>
        <v>0</v>
      </c>
      <c r="S631">
        <f>IF($E631=0,0,SUMPRODUCT($AI$13:$DF$13,'Staff Daily sales'!$G616:$CD616))</f>
        <v>0</v>
      </c>
      <c r="T631">
        <f>IF($E631=0,0,SUMPRODUCT($AI$14:$DF$14,'Staff Daily sales'!$G616:$CD616))</f>
        <v>0</v>
      </c>
      <c r="U631">
        <f>IF($E631=0,0,SUMPRODUCT($AI$15:$DF$15,'Staff Daily sales'!$G616:$CD616))</f>
        <v>0</v>
      </c>
      <c r="V631">
        <f>IF($E631=0,0,SUMPRODUCT($AI$16:$DF$16,'Staff Daily sales'!$G616:$CD616))</f>
        <v>0</v>
      </c>
      <c r="W631">
        <f t="shared" si="175"/>
        <v>0</v>
      </c>
      <c r="X631">
        <f t="shared" si="176"/>
        <v>0</v>
      </c>
      <c r="Y631">
        <f t="shared" si="177"/>
        <v>0</v>
      </c>
      <c r="Z631">
        <f t="shared" si="178"/>
        <v>0</v>
      </c>
      <c r="AA631">
        <f t="shared" si="179"/>
        <v>0</v>
      </c>
      <c r="AB631">
        <f>--AND($E631=1,OR('Staff Weekly Trend'!$B$3="All",$DH631='Staff Weekly Trend'!$B$3),OR('Staff Weekly Trend'!$B$4="All",$D631='Staff Weekly Trend'!$B$4),OR('Staff Weekly Trend'!$B$5="All",$A631='Staff Weekly Trend'!$B$5))</f>
        <v>0</v>
      </c>
      <c r="AC631" t="str">
        <f t="shared" si="180"/>
        <v/>
      </c>
      <c r="AI631">
        <f t="shared" si="181"/>
        <v>0</v>
      </c>
      <c r="AJ631">
        <f t="shared" si="182"/>
        <v>0</v>
      </c>
      <c r="AK631">
        <f t="shared" si="183"/>
        <v>0</v>
      </c>
      <c r="AL631">
        <f t="shared" si="184"/>
        <v>0</v>
      </c>
      <c r="AM631">
        <f t="shared" si="185"/>
        <v>0</v>
      </c>
      <c r="DH631" t="str" cm="1">
        <f t="array" ref="DH631">IF($A631="","",_xlfn.LET(_xlpm.c,IFERROR(_xlfn.XLOOKUP($A631,TRIM('Sales and count'!$A$4:$A$300&amp;""),TRIM('Sales and count'!$B$4:$B$300&amp;"")),""),IF(OR(_xlpm.c="",_xlpm.c="0",LEFT(_xlpm.c,1)="#"),"Not set",_xlpm.c)))</f>
        <v/>
      </c>
    </row>
    <row r="632" spans="1:112" x14ac:dyDescent="0.25">
      <c r="A632" t="str">
        <f>IF('Staff Daily sales'!$B617="","",TRIM('Staff Daily sales'!$B617&amp;""))</f>
        <v/>
      </c>
      <c r="B632" t="str">
        <f>IF('Staff Daily sales'!$D617="","",TRIM('Staff Daily sales'!$D617&amp;""))</f>
        <v/>
      </c>
      <c r="C632" t="str">
        <f>IFERROR(TRIM('Staff Daily sales'!$E617&amp;""),"")</f>
        <v/>
      </c>
      <c r="D632" t="str">
        <f>IFERROR(IF(TRIM('Staff Daily sales'!$F617&amp;"")="","Unassigned",TRIM('Staff Daily sales'!$F617&amp;"")),"Unassigned")</f>
        <v>Unassigned</v>
      </c>
      <c r="E632">
        <f t="shared" si="170"/>
        <v>0</v>
      </c>
      <c r="F632">
        <f>IF($E632=0,0,SUMPRODUCT($AI$5:$DF$5,'Staff Daily sales'!$G617:$CD617))</f>
        <v>0</v>
      </c>
      <c r="G632">
        <f>IF($E632=0,0,SUMPRODUCT($AI$6:$DF$6,'Staff Daily sales'!$G617:$CD617))</f>
        <v>0</v>
      </c>
      <c r="H632">
        <f t="shared" si="171"/>
        <v>0</v>
      </c>
      <c r="I632">
        <f t="shared" si="172"/>
        <v>0</v>
      </c>
      <c r="J632">
        <f t="shared" si="173"/>
        <v>0</v>
      </c>
      <c r="K632">
        <f t="shared" si="174"/>
        <v>0</v>
      </c>
      <c r="L632">
        <f>--AND($E632=1,OR('Staff Dashboard'!$B$6="All",$DH632='Staff Dashboard'!$B$6),OR('Staff Dashboard'!$B$7="All",$D632='Staff Dashboard'!$B$7),OR('Staff Dashboard'!$B$8="All",$A632='Staff Dashboard'!$B$8))</f>
        <v>0</v>
      </c>
      <c r="M632">
        <f>IF($E632=0,0,SUMPRODUCT($AI$7:$DF$7,'Staff Daily sales'!$G617:$CD617))</f>
        <v>0</v>
      </c>
      <c r="N632">
        <f>IF($E632=0,0,SUMPRODUCT($AI$8:$DF$8,'Staff Daily sales'!$G617:$CD617))</f>
        <v>0</v>
      </c>
      <c r="O632">
        <f>IF($E632=0,0,SUMPRODUCT($AI$9:$DF$9,'Staff Daily sales'!$G617:$CD617))</f>
        <v>0</v>
      </c>
      <c r="P632">
        <f>IF($E632=0,0,SUMPRODUCT($AI$10:$DF$10,'Staff Daily sales'!$G617:$CD617))</f>
        <v>0</v>
      </c>
      <c r="Q632">
        <f>IF($E632=0,0,SUMPRODUCT($AI$11:$DF$11,'Staff Daily sales'!$G617:$CD617))</f>
        <v>0</v>
      </c>
      <c r="R632">
        <f>IF($E632=0,0,SUMPRODUCT($AI$12:$DF$12,'Staff Daily sales'!$G617:$CD617))</f>
        <v>0</v>
      </c>
      <c r="S632">
        <f>IF($E632=0,0,SUMPRODUCT($AI$13:$DF$13,'Staff Daily sales'!$G617:$CD617))</f>
        <v>0</v>
      </c>
      <c r="T632">
        <f>IF($E632=0,0,SUMPRODUCT($AI$14:$DF$14,'Staff Daily sales'!$G617:$CD617))</f>
        <v>0</v>
      </c>
      <c r="U632">
        <f>IF($E632=0,0,SUMPRODUCT($AI$15:$DF$15,'Staff Daily sales'!$G617:$CD617))</f>
        <v>0</v>
      </c>
      <c r="V632">
        <f>IF($E632=0,0,SUMPRODUCT($AI$16:$DF$16,'Staff Daily sales'!$G617:$CD617))</f>
        <v>0</v>
      </c>
      <c r="W632">
        <f t="shared" si="175"/>
        <v>0</v>
      </c>
      <c r="X632">
        <f t="shared" si="176"/>
        <v>0</v>
      </c>
      <c r="Y632">
        <f t="shared" si="177"/>
        <v>0</v>
      </c>
      <c r="Z632">
        <f t="shared" si="178"/>
        <v>0</v>
      </c>
      <c r="AA632">
        <f t="shared" si="179"/>
        <v>0</v>
      </c>
      <c r="AB632">
        <f>--AND($E632=1,OR('Staff Weekly Trend'!$B$3="All",$DH632='Staff Weekly Trend'!$B$3),OR('Staff Weekly Trend'!$B$4="All",$D632='Staff Weekly Trend'!$B$4),OR('Staff Weekly Trend'!$B$5="All",$A632='Staff Weekly Trend'!$B$5))</f>
        <v>0</v>
      </c>
      <c r="AC632" t="str">
        <f t="shared" si="180"/>
        <v/>
      </c>
      <c r="AI632">
        <f t="shared" si="181"/>
        <v>0</v>
      </c>
      <c r="AJ632">
        <f t="shared" si="182"/>
        <v>0</v>
      </c>
      <c r="AK632">
        <f t="shared" si="183"/>
        <v>0</v>
      </c>
      <c r="AL632">
        <f t="shared" si="184"/>
        <v>0</v>
      </c>
      <c r="AM632">
        <f t="shared" si="185"/>
        <v>0</v>
      </c>
      <c r="DH632" t="str" cm="1">
        <f t="array" ref="DH632">IF($A632="","",_xlfn.LET(_xlpm.c,IFERROR(_xlfn.XLOOKUP($A632,TRIM('Sales and count'!$A$4:$A$300&amp;""),TRIM('Sales and count'!$B$4:$B$300&amp;"")),""),IF(OR(_xlpm.c="",_xlpm.c="0",LEFT(_xlpm.c,1)="#"),"Not set",_xlpm.c)))</f>
        <v/>
      </c>
    </row>
    <row r="633" spans="1:112" x14ac:dyDescent="0.25">
      <c r="A633" t="str">
        <f>IF('Staff Daily sales'!$B618="","",TRIM('Staff Daily sales'!$B618&amp;""))</f>
        <v/>
      </c>
      <c r="B633" t="str">
        <f>IF('Staff Daily sales'!$D618="","",TRIM('Staff Daily sales'!$D618&amp;""))</f>
        <v/>
      </c>
      <c r="C633" t="str">
        <f>IFERROR(TRIM('Staff Daily sales'!$E618&amp;""),"")</f>
        <v/>
      </c>
      <c r="D633" t="str">
        <f>IFERROR(IF(TRIM('Staff Daily sales'!$F618&amp;"")="","Unassigned",TRIM('Staff Daily sales'!$F618&amp;"")),"Unassigned")</f>
        <v>Unassigned</v>
      </c>
      <c r="E633">
        <f t="shared" si="170"/>
        <v>0</v>
      </c>
      <c r="F633">
        <f>IF($E633=0,0,SUMPRODUCT($AI$5:$DF$5,'Staff Daily sales'!$G618:$CD618))</f>
        <v>0</v>
      </c>
      <c r="G633">
        <f>IF($E633=0,0,SUMPRODUCT($AI$6:$DF$6,'Staff Daily sales'!$G618:$CD618))</f>
        <v>0</v>
      </c>
      <c r="H633">
        <f t="shared" si="171"/>
        <v>0</v>
      </c>
      <c r="I633">
        <f t="shared" si="172"/>
        <v>0</v>
      </c>
      <c r="J633">
        <f t="shared" si="173"/>
        <v>0</v>
      </c>
      <c r="K633">
        <f t="shared" si="174"/>
        <v>0</v>
      </c>
      <c r="L633">
        <f>--AND($E633=1,OR('Staff Dashboard'!$B$6="All",$DH633='Staff Dashboard'!$B$6),OR('Staff Dashboard'!$B$7="All",$D633='Staff Dashboard'!$B$7),OR('Staff Dashboard'!$B$8="All",$A633='Staff Dashboard'!$B$8))</f>
        <v>0</v>
      </c>
      <c r="M633">
        <f>IF($E633=0,0,SUMPRODUCT($AI$7:$DF$7,'Staff Daily sales'!$G618:$CD618))</f>
        <v>0</v>
      </c>
      <c r="N633">
        <f>IF($E633=0,0,SUMPRODUCT($AI$8:$DF$8,'Staff Daily sales'!$G618:$CD618))</f>
        <v>0</v>
      </c>
      <c r="O633">
        <f>IF($E633=0,0,SUMPRODUCT($AI$9:$DF$9,'Staff Daily sales'!$G618:$CD618))</f>
        <v>0</v>
      </c>
      <c r="P633">
        <f>IF($E633=0,0,SUMPRODUCT($AI$10:$DF$10,'Staff Daily sales'!$G618:$CD618))</f>
        <v>0</v>
      </c>
      <c r="Q633">
        <f>IF($E633=0,0,SUMPRODUCT($AI$11:$DF$11,'Staff Daily sales'!$G618:$CD618))</f>
        <v>0</v>
      </c>
      <c r="R633">
        <f>IF($E633=0,0,SUMPRODUCT($AI$12:$DF$12,'Staff Daily sales'!$G618:$CD618))</f>
        <v>0</v>
      </c>
      <c r="S633">
        <f>IF($E633=0,0,SUMPRODUCT($AI$13:$DF$13,'Staff Daily sales'!$G618:$CD618))</f>
        <v>0</v>
      </c>
      <c r="T633">
        <f>IF($E633=0,0,SUMPRODUCT($AI$14:$DF$14,'Staff Daily sales'!$G618:$CD618))</f>
        <v>0</v>
      </c>
      <c r="U633">
        <f>IF($E633=0,0,SUMPRODUCT($AI$15:$DF$15,'Staff Daily sales'!$G618:$CD618))</f>
        <v>0</v>
      </c>
      <c r="V633">
        <f>IF($E633=0,0,SUMPRODUCT($AI$16:$DF$16,'Staff Daily sales'!$G618:$CD618))</f>
        <v>0</v>
      </c>
      <c r="W633">
        <f t="shared" si="175"/>
        <v>0</v>
      </c>
      <c r="X633">
        <f t="shared" si="176"/>
        <v>0</v>
      </c>
      <c r="Y633">
        <f t="shared" si="177"/>
        <v>0</v>
      </c>
      <c r="Z633">
        <f t="shared" si="178"/>
        <v>0</v>
      </c>
      <c r="AA633">
        <f t="shared" si="179"/>
        <v>0</v>
      </c>
      <c r="AB633">
        <f>--AND($E633=1,OR('Staff Weekly Trend'!$B$3="All",$DH633='Staff Weekly Trend'!$B$3),OR('Staff Weekly Trend'!$B$4="All",$D633='Staff Weekly Trend'!$B$4),OR('Staff Weekly Trend'!$B$5="All",$A633='Staff Weekly Trend'!$B$5))</f>
        <v>0</v>
      </c>
      <c r="AC633" t="str">
        <f t="shared" si="180"/>
        <v/>
      </c>
      <c r="AI633">
        <f t="shared" si="181"/>
        <v>0</v>
      </c>
      <c r="AJ633">
        <f t="shared" si="182"/>
        <v>0</v>
      </c>
      <c r="AK633">
        <f t="shared" si="183"/>
        <v>0</v>
      </c>
      <c r="AL633">
        <f t="shared" si="184"/>
        <v>0</v>
      </c>
      <c r="AM633">
        <f t="shared" si="185"/>
        <v>0</v>
      </c>
      <c r="DH633" t="str" cm="1">
        <f t="array" ref="DH633">IF($A633="","",_xlfn.LET(_xlpm.c,IFERROR(_xlfn.XLOOKUP($A633,TRIM('Sales and count'!$A$4:$A$300&amp;""),TRIM('Sales and count'!$B$4:$B$300&amp;"")),""),IF(OR(_xlpm.c="",_xlpm.c="0",LEFT(_xlpm.c,1)="#"),"Not set",_xlpm.c)))</f>
        <v/>
      </c>
    </row>
    <row r="634" spans="1:112" x14ac:dyDescent="0.25">
      <c r="A634" t="str">
        <f>IF('Staff Daily sales'!$B619="","",TRIM('Staff Daily sales'!$B619&amp;""))</f>
        <v/>
      </c>
      <c r="B634" t="str">
        <f>IF('Staff Daily sales'!$D619="","",TRIM('Staff Daily sales'!$D619&amp;""))</f>
        <v/>
      </c>
      <c r="C634" t="str">
        <f>IFERROR(TRIM('Staff Daily sales'!$E619&amp;""),"")</f>
        <v/>
      </c>
      <c r="D634" t="str">
        <f>IFERROR(IF(TRIM('Staff Daily sales'!$F619&amp;"")="","Unassigned",TRIM('Staff Daily sales'!$F619&amp;"")),"Unassigned")</f>
        <v>Unassigned</v>
      </c>
      <c r="E634">
        <f t="shared" si="170"/>
        <v>0</v>
      </c>
      <c r="F634">
        <f>IF($E634=0,0,SUMPRODUCT($AI$5:$DF$5,'Staff Daily sales'!$G619:$CD619))</f>
        <v>0</v>
      </c>
      <c r="G634">
        <f>IF($E634=0,0,SUMPRODUCT($AI$6:$DF$6,'Staff Daily sales'!$G619:$CD619))</f>
        <v>0</v>
      </c>
      <c r="H634">
        <f t="shared" si="171"/>
        <v>0</v>
      </c>
      <c r="I634">
        <f t="shared" si="172"/>
        <v>0</v>
      </c>
      <c r="J634">
        <f t="shared" si="173"/>
        <v>0</v>
      </c>
      <c r="K634">
        <f t="shared" si="174"/>
        <v>0</v>
      </c>
      <c r="L634">
        <f>--AND($E634=1,OR('Staff Dashboard'!$B$6="All",$DH634='Staff Dashboard'!$B$6),OR('Staff Dashboard'!$B$7="All",$D634='Staff Dashboard'!$B$7),OR('Staff Dashboard'!$B$8="All",$A634='Staff Dashboard'!$B$8))</f>
        <v>0</v>
      </c>
      <c r="M634">
        <f>IF($E634=0,0,SUMPRODUCT($AI$7:$DF$7,'Staff Daily sales'!$G619:$CD619))</f>
        <v>0</v>
      </c>
      <c r="N634">
        <f>IF($E634=0,0,SUMPRODUCT($AI$8:$DF$8,'Staff Daily sales'!$G619:$CD619))</f>
        <v>0</v>
      </c>
      <c r="O634">
        <f>IF($E634=0,0,SUMPRODUCT($AI$9:$DF$9,'Staff Daily sales'!$G619:$CD619))</f>
        <v>0</v>
      </c>
      <c r="P634">
        <f>IF($E634=0,0,SUMPRODUCT($AI$10:$DF$10,'Staff Daily sales'!$G619:$CD619))</f>
        <v>0</v>
      </c>
      <c r="Q634">
        <f>IF($E634=0,0,SUMPRODUCT($AI$11:$DF$11,'Staff Daily sales'!$G619:$CD619))</f>
        <v>0</v>
      </c>
      <c r="R634">
        <f>IF($E634=0,0,SUMPRODUCT($AI$12:$DF$12,'Staff Daily sales'!$G619:$CD619))</f>
        <v>0</v>
      </c>
      <c r="S634">
        <f>IF($E634=0,0,SUMPRODUCT($AI$13:$DF$13,'Staff Daily sales'!$G619:$CD619))</f>
        <v>0</v>
      </c>
      <c r="T634">
        <f>IF($E634=0,0,SUMPRODUCT($AI$14:$DF$14,'Staff Daily sales'!$G619:$CD619))</f>
        <v>0</v>
      </c>
      <c r="U634">
        <f>IF($E634=0,0,SUMPRODUCT($AI$15:$DF$15,'Staff Daily sales'!$G619:$CD619))</f>
        <v>0</v>
      </c>
      <c r="V634">
        <f>IF($E634=0,0,SUMPRODUCT($AI$16:$DF$16,'Staff Daily sales'!$G619:$CD619))</f>
        <v>0</v>
      </c>
      <c r="W634">
        <f t="shared" si="175"/>
        <v>0</v>
      </c>
      <c r="X634">
        <f t="shared" si="176"/>
        <v>0</v>
      </c>
      <c r="Y634">
        <f t="shared" si="177"/>
        <v>0</v>
      </c>
      <c r="Z634">
        <f t="shared" si="178"/>
        <v>0</v>
      </c>
      <c r="AA634">
        <f t="shared" si="179"/>
        <v>0</v>
      </c>
      <c r="AB634">
        <f>--AND($E634=1,OR('Staff Weekly Trend'!$B$3="All",$DH634='Staff Weekly Trend'!$B$3),OR('Staff Weekly Trend'!$B$4="All",$D634='Staff Weekly Trend'!$B$4),OR('Staff Weekly Trend'!$B$5="All",$A634='Staff Weekly Trend'!$B$5))</f>
        <v>0</v>
      </c>
      <c r="AC634" t="str">
        <f t="shared" si="180"/>
        <v/>
      </c>
      <c r="AI634">
        <f t="shared" si="181"/>
        <v>0</v>
      </c>
      <c r="AJ634">
        <f t="shared" si="182"/>
        <v>0</v>
      </c>
      <c r="AK634">
        <f t="shared" si="183"/>
        <v>0</v>
      </c>
      <c r="AL634">
        <f t="shared" si="184"/>
        <v>0</v>
      </c>
      <c r="AM634">
        <f t="shared" si="185"/>
        <v>0</v>
      </c>
      <c r="DH634" t="str" cm="1">
        <f t="array" ref="DH634">IF($A634="","",_xlfn.LET(_xlpm.c,IFERROR(_xlfn.XLOOKUP($A634,TRIM('Sales and count'!$A$4:$A$300&amp;""),TRIM('Sales and count'!$B$4:$B$300&amp;"")),""),IF(OR(_xlpm.c="",_xlpm.c="0",LEFT(_xlpm.c,1)="#"),"Not set",_xlpm.c)))</f>
        <v/>
      </c>
    </row>
    <row r="635" spans="1:112" x14ac:dyDescent="0.25">
      <c r="A635" t="str">
        <f>IF('Staff Daily sales'!$B620="","",TRIM('Staff Daily sales'!$B620&amp;""))</f>
        <v/>
      </c>
      <c r="B635" t="str">
        <f>IF('Staff Daily sales'!$D620="","",TRIM('Staff Daily sales'!$D620&amp;""))</f>
        <v/>
      </c>
      <c r="C635" t="str">
        <f>IFERROR(TRIM('Staff Daily sales'!$E620&amp;""),"")</f>
        <v/>
      </c>
      <c r="D635" t="str">
        <f>IFERROR(IF(TRIM('Staff Daily sales'!$F620&amp;"")="","Unassigned",TRIM('Staff Daily sales'!$F620&amp;"")),"Unassigned")</f>
        <v>Unassigned</v>
      </c>
      <c r="E635">
        <f t="shared" si="170"/>
        <v>0</v>
      </c>
      <c r="F635">
        <f>IF($E635=0,0,SUMPRODUCT($AI$5:$DF$5,'Staff Daily sales'!$G620:$CD620))</f>
        <v>0</v>
      </c>
      <c r="G635">
        <f>IF($E635=0,0,SUMPRODUCT($AI$6:$DF$6,'Staff Daily sales'!$G620:$CD620))</f>
        <v>0</v>
      </c>
      <c r="H635">
        <f t="shared" si="171"/>
        <v>0</v>
      </c>
      <c r="I635">
        <f t="shared" si="172"/>
        <v>0</v>
      </c>
      <c r="J635">
        <f t="shared" si="173"/>
        <v>0</v>
      </c>
      <c r="K635">
        <f t="shared" si="174"/>
        <v>0</v>
      </c>
      <c r="L635">
        <f>--AND($E635=1,OR('Staff Dashboard'!$B$6="All",$DH635='Staff Dashboard'!$B$6),OR('Staff Dashboard'!$B$7="All",$D635='Staff Dashboard'!$B$7),OR('Staff Dashboard'!$B$8="All",$A635='Staff Dashboard'!$B$8))</f>
        <v>0</v>
      </c>
      <c r="M635">
        <f>IF($E635=0,0,SUMPRODUCT($AI$7:$DF$7,'Staff Daily sales'!$G620:$CD620))</f>
        <v>0</v>
      </c>
      <c r="N635">
        <f>IF($E635=0,0,SUMPRODUCT($AI$8:$DF$8,'Staff Daily sales'!$G620:$CD620))</f>
        <v>0</v>
      </c>
      <c r="O635">
        <f>IF($E635=0,0,SUMPRODUCT($AI$9:$DF$9,'Staff Daily sales'!$G620:$CD620))</f>
        <v>0</v>
      </c>
      <c r="P635">
        <f>IF($E635=0,0,SUMPRODUCT($AI$10:$DF$10,'Staff Daily sales'!$G620:$CD620))</f>
        <v>0</v>
      </c>
      <c r="Q635">
        <f>IF($E635=0,0,SUMPRODUCT($AI$11:$DF$11,'Staff Daily sales'!$G620:$CD620))</f>
        <v>0</v>
      </c>
      <c r="R635">
        <f>IF($E635=0,0,SUMPRODUCT($AI$12:$DF$12,'Staff Daily sales'!$G620:$CD620))</f>
        <v>0</v>
      </c>
      <c r="S635">
        <f>IF($E635=0,0,SUMPRODUCT($AI$13:$DF$13,'Staff Daily sales'!$G620:$CD620))</f>
        <v>0</v>
      </c>
      <c r="T635">
        <f>IF($E635=0,0,SUMPRODUCT($AI$14:$DF$14,'Staff Daily sales'!$G620:$CD620))</f>
        <v>0</v>
      </c>
      <c r="U635">
        <f>IF($E635=0,0,SUMPRODUCT($AI$15:$DF$15,'Staff Daily sales'!$G620:$CD620))</f>
        <v>0</v>
      </c>
      <c r="V635">
        <f>IF($E635=0,0,SUMPRODUCT($AI$16:$DF$16,'Staff Daily sales'!$G620:$CD620))</f>
        <v>0</v>
      </c>
      <c r="W635">
        <f t="shared" si="175"/>
        <v>0</v>
      </c>
      <c r="X635">
        <f t="shared" si="176"/>
        <v>0</v>
      </c>
      <c r="Y635">
        <f t="shared" si="177"/>
        <v>0</v>
      </c>
      <c r="Z635">
        <f t="shared" si="178"/>
        <v>0</v>
      </c>
      <c r="AA635">
        <f t="shared" si="179"/>
        <v>0</v>
      </c>
      <c r="AB635">
        <f>--AND($E635=1,OR('Staff Weekly Trend'!$B$3="All",$DH635='Staff Weekly Trend'!$B$3),OR('Staff Weekly Trend'!$B$4="All",$D635='Staff Weekly Trend'!$B$4),OR('Staff Weekly Trend'!$B$5="All",$A635='Staff Weekly Trend'!$B$5))</f>
        <v>0</v>
      </c>
      <c r="AC635" t="str">
        <f t="shared" si="180"/>
        <v/>
      </c>
      <c r="AI635">
        <f t="shared" si="181"/>
        <v>0</v>
      </c>
      <c r="AJ635">
        <f t="shared" si="182"/>
        <v>0</v>
      </c>
      <c r="AK635">
        <f t="shared" si="183"/>
        <v>0</v>
      </c>
      <c r="AL635">
        <f t="shared" si="184"/>
        <v>0</v>
      </c>
      <c r="AM635">
        <f t="shared" si="185"/>
        <v>0</v>
      </c>
      <c r="DH635" t="str" cm="1">
        <f t="array" ref="DH635">IF($A635="","",_xlfn.LET(_xlpm.c,IFERROR(_xlfn.XLOOKUP($A635,TRIM('Sales and count'!$A$4:$A$300&amp;""),TRIM('Sales and count'!$B$4:$B$300&amp;"")),""),IF(OR(_xlpm.c="",_xlpm.c="0",LEFT(_xlpm.c,1)="#"),"Not set",_xlpm.c)))</f>
        <v/>
      </c>
    </row>
    <row r="636" spans="1:112" x14ac:dyDescent="0.25">
      <c r="A636" t="str">
        <f>IF('Staff Daily sales'!$B621="","",TRIM('Staff Daily sales'!$B621&amp;""))</f>
        <v/>
      </c>
      <c r="B636" t="str">
        <f>IF('Staff Daily sales'!$D621="","",TRIM('Staff Daily sales'!$D621&amp;""))</f>
        <v/>
      </c>
      <c r="C636" t="str">
        <f>IFERROR(TRIM('Staff Daily sales'!$E621&amp;""),"")</f>
        <v/>
      </c>
      <c r="D636" t="str">
        <f>IFERROR(IF(TRIM('Staff Daily sales'!$F621&amp;"")="","Unassigned",TRIM('Staff Daily sales'!$F621&amp;"")),"Unassigned")</f>
        <v>Unassigned</v>
      </c>
      <c r="E636">
        <f t="shared" si="170"/>
        <v>0</v>
      </c>
      <c r="F636">
        <f>IF($E636=0,0,SUMPRODUCT($AI$5:$DF$5,'Staff Daily sales'!$G621:$CD621))</f>
        <v>0</v>
      </c>
      <c r="G636">
        <f>IF($E636=0,0,SUMPRODUCT($AI$6:$DF$6,'Staff Daily sales'!$G621:$CD621))</f>
        <v>0</v>
      </c>
      <c r="H636">
        <f t="shared" si="171"/>
        <v>0</v>
      </c>
      <c r="I636">
        <f t="shared" si="172"/>
        <v>0</v>
      </c>
      <c r="J636">
        <f t="shared" si="173"/>
        <v>0</v>
      </c>
      <c r="K636">
        <f t="shared" si="174"/>
        <v>0</v>
      </c>
      <c r="L636">
        <f>--AND($E636=1,OR('Staff Dashboard'!$B$6="All",$DH636='Staff Dashboard'!$B$6),OR('Staff Dashboard'!$B$7="All",$D636='Staff Dashboard'!$B$7),OR('Staff Dashboard'!$B$8="All",$A636='Staff Dashboard'!$B$8))</f>
        <v>0</v>
      </c>
      <c r="M636">
        <f>IF($E636=0,0,SUMPRODUCT($AI$7:$DF$7,'Staff Daily sales'!$G621:$CD621))</f>
        <v>0</v>
      </c>
      <c r="N636">
        <f>IF($E636=0,0,SUMPRODUCT($AI$8:$DF$8,'Staff Daily sales'!$G621:$CD621))</f>
        <v>0</v>
      </c>
      <c r="O636">
        <f>IF($E636=0,0,SUMPRODUCT($AI$9:$DF$9,'Staff Daily sales'!$G621:$CD621))</f>
        <v>0</v>
      </c>
      <c r="P636">
        <f>IF($E636=0,0,SUMPRODUCT($AI$10:$DF$10,'Staff Daily sales'!$G621:$CD621))</f>
        <v>0</v>
      </c>
      <c r="Q636">
        <f>IF($E636=0,0,SUMPRODUCT($AI$11:$DF$11,'Staff Daily sales'!$G621:$CD621))</f>
        <v>0</v>
      </c>
      <c r="R636">
        <f>IF($E636=0,0,SUMPRODUCT($AI$12:$DF$12,'Staff Daily sales'!$G621:$CD621))</f>
        <v>0</v>
      </c>
      <c r="S636">
        <f>IF($E636=0,0,SUMPRODUCT($AI$13:$DF$13,'Staff Daily sales'!$G621:$CD621))</f>
        <v>0</v>
      </c>
      <c r="T636">
        <f>IF($E636=0,0,SUMPRODUCT($AI$14:$DF$14,'Staff Daily sales'!$G621:$CD621))</f>
        <v>0</v>
      </c>
      <c r="U636">
        <f>IF($E636=0,0,SUMPRODUCT($AI$15:$DF$15,'Staff Daily sales'!$G621:$CD621))</f>
        <v>0</v>
      </c>
      <c r="V636">
        <f>IF($E636=0,0,SUMPRODUCT($AI$16:$DF$16,'Staff Daily sales'!$G621:$CD621))</f>
        <v>0</v>
      </c>
      <c r="W636">
        <f t="shared" si="175"/>
        <v>0</v>
      </c>
      <c r="X636">
        <f t="shared" si="176"/>
        <v>0</v>
      </c>
      <c r="Y636">
        <f t="shared" si="177"/>
        <v>0</v>
      </c>
      <c r="Z636">
        <f t="shared" si="178"/>
        <v>0</v>
      </c>
      <c r="AA636">
        <f t="shared" si="179"/>
        <v>0</v>
      </c>
      <c r="AB636">
        <f>--AND($E636=1,OR('Staff Weekly Trend'!$B$3="All",$DH636='Staff Weekly Trend'!$B$3),OR('Staff Weekly Trend'!$B$4="All",$D636='Staff Weekly Trend'!$B$4),OR('Staff Weekly Trend'!$B$5="All",$A636='Staff Weekly Trend'!$B$5))</f>
        <v>0</v>
      </c>
      <c r="AC636" t="str">
        <f t="shared" si="180"/>
        <v/>
      </c>
      <c r="AI636">
        <f t="shared" si="181"/>
        <v>0</v>
      </c>
      <c r="AJ636">
        <f t="shared" si="182"/>
        <v>0</v>
      </c>
      <c r="AK636">
        <f t="shared" si="183"/>
        <v>0</v>
      </c>
      <c r="AL636">
        <f t="shared" si="184"/>
        <v>0</v>
      </c>
      <c r="AM636">
        <f t="shared" si="185"/>
        <v>0</v>
      </c>
      <c r="DH636" t="str" cm="1">
        <f t="array" ref="DH636">IF($A636="","",_xlfn.LET(_xlpm.c,IFERROR(_xlfn.XLOOKUP($A636,TRIM('Sales and count'!$A$4:$A$300&amp;""),TRIM('Sales and count'!$B$4:$B$300&amp;"")),""),IF(OR(_xlpm.c="",_xlpm.c="0",LEFT(_xlpm.c,1)="#"),"Not set",_xlpm.c)))</f>
        <v/>
      </c>
    </row>
    <row r="637" spans="1:112" x14ac:dyDescent="0.25">
      <c r="A637" t="str">
        <f>IF('Staff Daily sales'!$B622="","",TRIM('Staff Daily sales'!$B622&amp;""))</f>
        <v/>
      </c>
      <c r="B637" t="str">
        <f>IF('Staff Daily sales'!$D622="","",TRIM('Staff Daily sales'!$D622&amp;""))</f>
        <v/>
      </c>
      <c r="C637" t="str">
        <f>IFERROR(TRIM('Staff Daily sales'!$E622&amp;""),"")</f>
        <v/>
      </c>
      <c r="D637" t="str">
        <f>IFERROR(IF(TRIM('Staff Daily sales'!$F622&amp;"")="","Unassigned",TRIM('Staff Daily sales'!$F622&amp;"")),"Unassigned")</f>
        <v>Unassigned</v>
      </c>
      <c r="E637">
        <f t="shared" si="170"/>
        <v>0</v>
      </c>
      <c r="F637">
        <f>IF($E637=0,0,SUMPRODUCT($AI$5:$DF$5,'Staff Daily sales'!$G622:$CD622))</f>
        <v>0</v>
      </c>
      <c r="G637">
        <f>IF($E637=0,0,SUMPRODUCT($AI$6:$DF$6,'Staff Daily sales'!$G622:$CD622))</f>
        <v>0</v>
      </c>
      <c r="H637">
        <f t="shared" si="171"/>
        <v>0</v>
      </c>
      <c r="I637">
        <f t="shared" si="172"/>
        <v>0</v>
      </c>
      <c r="J637">
        <f t="shared" si="173"/>
        <v>0</v>
      </c>
      <c r="K637">
        <f t="shared" si="174"/>
        <v>0</v>
      </c>
      <c r="L637">
        <f>--AND($E637=1,OR('Staff Dashboard'!$B$6="All",$DH637='Staff Dashboard'!$B$6),OR('Staff Dashboard'!$B$7="All",$D637='Staff Dashboard'!$B$7),OR('Staff Dashboard'!$B$8="All",$A637='Staff Dashboard'!$B$8))</f>
        <v>0</v>
      </c>
      <c r="M637">
        <f>IF($E637=0,0,SUMPRODUCT($AI$7:$DF$7,'Staff Daily sales'!$G622:$CD622))</f>
        <v>0</v>
      </c>
      <c r="N637">
        <f>IF($E637=0,0,SUMPRODUCT($AI$8:$DF$8,'Staff Daily sales'!$G622:$CD622))</f>
        <v>0</v>
      </c>
      <c r="O637">
        <f>IF($E637=0,0,SUMPRODUCT($AI$9:$DF$9,'Staff Daily sales'!$G622:$CD622))</f>
        <v>0</v>
      </c>
      <c r="P637">
        <f>IF($E637=0,0,SUMPRODUCT($AI$10:$DF$10,'Staff Daily sales'!$G622:$CD622))</f>
        <v>0</v>
      </c>
      <c r="Q637">
        <f>IF($E637=0,0,SUMPRODUCT($AI$11:$DF$11,'Staff Daily sales'!$G622:$CD622))</f>
        <v>0</v>
      </c>
      <c r="R637">
        <f>IF($E637=0,0,SUMPRODUCT($AI$12:$DF$12,'Staff Daily sales'!$G622:$CD622))</f>
        <v>0</v>
      </c>
      <c r="S637">
        <f>IF($E637=0,0,SUMPRODUCT($AI$13:$DF$13,'Staff Daily sales'!$G622:$CD622))</f>
        <v>0</v>
      </c>
      <c r="T637">
        <f>IF($E637=0,0,SUMPRODUCT($AI$14:$DF$14,'Staff Daily sales'!$G622:$CD622))</f>
        <v>0</v>
      </c>
      <c r="U637">
        <f>IF($E637=0,0,SUMPRODUCT($AI$15:$DF$15,'Staff Daily sales'!$G622:$CD622))</f>
        <v>0</v>
      </c>
      <c r="V637">
        <f>IF($E637=0,0,SUMPRODUCT($AI$16:$DF$16,'Staff Daily sales'!$G622:$CD622))</f>
        <v>0</v>
      </c>
      <c r="W637">
        <f t="shared" si="175"/>
        <v>0</v>
      </c>
      <c r="X637">
        <f t="shared" si="176"/>
        <v>0</v>
      </c>
      <c r="Y637">
        <f t="shared" si="177"/>
        <v>0</v>
      </c>
      <c r="Z637">
        <f t="shared" si="178"/>
        <v>0</v>
      </c>
      <c r="AA637">
        <f t="shared" si="179"/>
        <v>0</v>
      </c>
      <c r="AB637">
        <f>--AND($E637=1,OR('Staff Weekly Trend'!$B$3="All",$DH637='Staff Weekly Trend'!$B$3),OR('Staff Weekly Trend'!$B$4="All",$D637='Staff Weekly Trend'!$B$4),OR('Staff Weekly Trend'!$B$5="All",$A637='Staff Weekly Trend'!$B$5))</f>
        <v>0</v>
      </c>
      <c r="AC637" t="str">
        <f t="shared" si="180"/>
        <v/>
      </c>
      <c r="AI637">
        <f t="shared" si="181"/>
        <v>0</v>
      </c>
      <c r="AJ637">
        <f t="shared" si="182"/>
        <v>0</v>
      </c>
      <c r="AK637">
        <f t="shared" si="183"/>
        <v>0</v>
      </c>
      <c r="AL637">
        <f t="shared" si="184"/>
        <v>0</v>
      </c>
      <c r="AM637">
        <f t="shared" si="185"/>
        <v>0</v>
      </c>
      <c r="DH637" t="str" cm="1">
        <f t="array" ref="DH637">IF($A637="","",_xlfn.LET(_xlpm.c,IFERROR(_xlfn.XLOOKUP($A637,TRIM('Sales and count'!$A$4:$A$300&amp;""),TRIM('Sales and count'!$B$4:$B$300&amp;"")),""),IF(OR(_xlpm.c="",_xlpm.c="0",LEFT(_xlpm.c,1)="#"),"Not set",_xlpm.c)))</f>
        <v/>
      </c>
    </row>
    <row r="638" spans="1:112" x14ac:dyDescent="0.25">
      <c r="A638" t="str">
        <f>IF('Staff Daily sales'!$B623="","",TRIM('Staff Daily sales'!$B623&amp;""))</f>
        <v/>
      </c>
      <c r="B638" t="str">
        <f>IF('Staff Daily sales'!$D623="","",TRIM('Staff Daily sales'!$D623&amp;""))</f>
        <v/>
      </c>
      <c r="C638" t="str">
        <f>IFERROR(TRIM('Staff Daily sales'!$E623&amp;""),"")</f>
        <v/>
      </c>
      <c r="D638" t="str">
        <f>IFERROR(IF(TRIM('Staff Daily sales'!$F623&amp;"")="","Unassigned",TRIM('Staff Daily sales'!$F623&amp;"")),"Unassigned")</f>
        <v>Unassigned</v>
      </c>
      <c r="E638">
        <f t="shared" si="170"/>
        <v>0</v>
      </c>
      <c r="F638">
        <f>IF($E638=0,0,SUMPRODUCT($AI$5:$DF$5,'Staff Daily sales'!$G623:$CD623))</f>
        <v>0</v>
      </c>
      <c r="G638">
        <f>IF($E638=0,0,SUMPRODUCT($AI$6:$DF$6,'Staff Daily sales'!$G623:$CD623))</f>
        <v>0</v>
      </c>
      <c r="H638">
        <f t="shared" si="171"/>
        <v>0</v>
      </c>
      <c r="I638">
        <f t="shared" si="172"/>
        <v>0</v>
      </c>
      <c r="J638">
        <f t="shared" si="173"/>
        <v>0</v>
      </c>
      <c r="K638">
        <f t="shared" si="174"/>
        <v>0</v>
      </c>
      <c r="L638">
        <f>--AND($E638=1,OR('Staff Dashboard'!$B$6="All",$DH638='Staff Dashboard'!$B$6),OR('Staff Dashboard'!$B$7="All",$D638='Staff Dashboard'!$B$7),OR('Staff Dashboard'!$B$8="All",$A638='Staff Dashboard'!$B$8))</f>
        <v>0</v>
      </c>
      <c r="M638">
        <f>IF($E638=0,0,SUMPRODUCT($AI$7:$DF$7,'Staff Daily sales'!$G623:$CD623))</f>
        <v>0</v>
      </c>
      <c r="N638">
        <f>IF($E638=0,0,SUMPRODUCT($AI$8:$DF$8,'Staff Daily sales'!$G623:$CD623))</f>
        <v>0</v>
      </c>
      <c r="O638">
        <f>IF($E638=0,0,SUMPRODUCT($AI$9:$DF$9,'Staff Daily sales'!$G623:$CD623))</f>
        <v>0</v>
      </c>
      <c r="P638">
        <f>IF($E638=0,0,SUMPRODUCT($AI$10:$DF$10,'Staff Daily sales'!$G623:$CD623))</f>
        <v>0</v>
      </c>
      <c r="Q638">
        <f>IF($E638=0,0,SUMPRODUCT($AI$11:$DF$11,'Staff Daily sales'!$G623:$CD623))</f>
        <v>0</v>
      </c>
      <c r="R638">
        <f>IF($E638=0,0,SUMPRODUCT($AI$12:$DF$12,'Staff Daily sales'!$G623:$CD623))</f>
        <v>0</v>
      </c>
      <c r="S638">
        <f>IF($E638=0,0,SUMPRODUCT($AI$13:$DF$13,'Staff Daily sales'!$G623:$CD623))</f>
        <v>0</v>
      </c>
      <c r="T638">
        <f>IF($E638=0,0,SUMPRODUCT($AI$14:$DF$14,'Staff Daily sales'!$G623:$CD623))</f>
        <v>0</v>
      </c>
      <c r="U638">
        <f>IF($E638=0,0,SUMPRODUCT($AI$15:$DF$15,'Staff Daily sales'!$G623:$CD623))</f>
        <v>0</v>
      </c>
      <c r="V638">
        <f>IF($E638=0,0,SUMPRODUCT($AI$16:$DF$16,'Staff Daily sales'!$G623:$CD623))</f>
        <v>0</v>
      </c>
      <c r="W638">
        <f t="shared" si="175"/>
        <v>0</v>
      </c>
      <c r="X638">
        <f t="shared" si="176"/>
        <v>0</v>
      </c>
      <c r="Y638">
        <f t="shared" si="177"/>
        <v>0</v>
      </c>
      <c r="Z638">
        <f t="shared" si="178"/>
        <v>0</v>
      </c>
      <c r="AA638">
        <f t="shared" si="179"/>
        <v>0</v>
      </c>
      <c r="AB638">
        <f>--AND($E638=1,OR('Staff Weekly Trend'!$B$3="All",$DH638='Staff Weekly Trend'!$B$3),OR('Staff Weekly Trend'!$B$4="All",$D638='Staff Weekly Trend'!$B$4),OR('Staff Weekly Trend'!$B$5="All",$A638='Staff Weekly Trend'!$B$5))</f>
        <v>0</v>
      </c>
      <c r="AC638" t="str">
        <f t="shared" si="180"/>
        <v/>
      </c>
      <c r="AI638">
        <f t="shared" si="181"/>
        <v>0</v>
      </c>
      <c r="AJ638">
        <f t="shared" si="182"/>
        <v>0</v>
      </c>
      <c r="AK638">
        <f t="shared" si="183"/>
        <v>0</v>
      </c>
      <c r="AL638">
        <f t="shared" si="184"/>
        <v>0</v>
      </c>
      <c r="AM638">
        <f t="shared" si="185"/>
        <v>0</v>
      </c>
      <c r="DH638" t="str" cm="1">
        <f t="array" ref="DH638">IF($A638="","",_xlfn.LET(_xlpm.c,IFERROR(_xlfn.XLOOKUP($A638,TRIM('Sales and count'!$A$4:$A$300&amp;""),TRIM('Sales and count'!$B$4:$B$300&amp;"")),""),IF(OR(_xlpm.c="",_xlpm.c="0",LEFT(_xlpm.c,1)="#"),"Not set",_xlpm.c)))</f>
        <v/>
      </c>
    </row>
    <row r="639" spans="1:112" x14ac:dyDescent="0.25">
      <c r="A639" t="str">
        <f>IF('Staff Daily sales'!$B624="","",TRIM('Staff Daily sales'!$B624&amp;""))</f>
        <v/>
      </c>
      <c r="B639" t="str">
        <f>IF('Staff Daily sales'!$D624="","",TRIM('Staff Daily sales'!$D624&amp;""))</f>
        <v/>
      </c>
      <c r="C639" t="str">
        <f>IFERROR(TRIM('Staff Daily sales'!$E624&amp;""),"")</f>
        <v/>
      </c>
      <c r="D639" t="str">
        <f>IFERROR(IF(TRIM('Staff Daily sales'!$F624&amp;"")="","Unassigned",TRIM('Staff Daily sales'!$F624&amp;"")),"Unassigned")</f>
        <v>Unassigned</v>
      </c>
      <c r="E639">
        <f t="shared" si="170"/>
        <v>0</v>
      </c>
      <c r="F639">
        <f>IF($E639=0,0,SUMPRODUCT($AI$5:$DF$5,'Staff Daily sales'!$G624:$CD624))</f>
        <v>0</v>
      </c>
      <c r="G639">
        <f>IF($E639=0,0,SUMPRODUCT($AI$6:$DF$6,'Staff Daily sales'!$G624:$CD624))</f>
        <v>0</v>
      </c>
      <c r="H639">
        <f t="shared" si="171"/>
        <v>0</v>
      </c>
      <c r="I639">
        <f t="shared" si="172"/>
        <v>0</v>
      </c>
      <c r="J639">
        <f t="shared" si="173"/>
        <v>0</v>
      </c>
      <c r="K639">
        <f t="shared" si="174"/>
        <v>0</v>
      </c>
      <c r="L639">
        <f>--AND($E639=1,OR('Staff Dashboard'!$B$6="All",$DH639='Staff Dashboard'!$B$6),OR('Staff Dashboard'!$B$7="All",$D639='Staff Dashboard'!$B$7),OR('Staff Dashboard'!$B$8="All",$A639='Staff Dashboard'!$B$8))</f>
        <v>0</v>
      </c>
      <c r="M639">
        <f>IF($E639=0,0,SUMPRODUCT($AI$7:$DF$7,'Staff Daily sales'!$G624:$CD624))</f>
        <v>0</v>
      </c>
      <c r="N639">
        <f>IF($E639=0,0,SUMPRODUCT($AI$8:$DF$8,'Staff Daily sales'!$G624:$CD624))</f>
        <v>0</v>
      </c>
      <c r="O639">
        <f>IF($E639=0,0,SUMPRODUCT($AI$9:$DF$9,'Staff Daily sales'!$G624:$CD624))</f>
        <v>0</v>
      </c>
      <c r="P639">
        <f>IF($E639=0,0,SUMPRODUCT($AI$10:$DF$10,'Staff Daily sales'!$G624:$CD624))</f>
        <v>0</v>
      </c>
      <c r="Q639">
        <f>IF($E639=0,0,SUMPRODUCT($AI$11:$DF$11,'Staff Daily sales'!$G624:$CD624))</f>
        <v>0</v>
      </c>
      <c r="R639">
        <f>IF($E639=0,0,SUMPRODUCT($AI$12:$DF$12,'Staff Daily sales'!$G624:$CD624))</f>
        <v>0</v>
      </c>
      <c r="S639">
        <f>IF($E639=0,0,SUMPRODUCT($AI$13:$DF$13,'Staff Daily sales'!$G624:$CD624))</f>
        <v>0</v>
      </c>
      <c r="T639">
        <f>IF($E639=0,0,SUMPRODUCT($AI$14:$DF$14,'Staff Daily sales'!$G624:$CD624))</f>
        <v>0</v>
      </c>
      <c r="U639">
        <f>IF($E639=0,0,SUMPRODUCT($AI$15:$DF$15,'Staff Daily sales'!$G624:$CD624))</f>
        <v>0</v>
      </c>
      <c r="V639">
        <f>IF($E639=0,0,SUMPRODUCT($AI$16:$DF$16,'Staff Daily sales'!$G624:$CD624))</f>
        <v>0</v>
      </c>
      <c r="W639">
        <f t="shared" si="175"/>
        <v>0</v>
      </c>
      <c r="X639">
        <f t="shared" si="176"/>
        <v>0</v>
      </c>
      <c r="Y639">
        <f t="shared" si="177"/>
        <v>0</v>
      </c>
      <c r="Z639">
        <f t="shared" si="178"/>
        <v>0</v>
      </c>
      <c r="AA639">
        <f t="shared" si="179"/>
        <v>0</v>
      </c>
      <c r="AB639">
        <f>--AND($E639=1,OR('Staff Weekly Trend'!$B$3="All",$DH639='Staff Weekly Trend'!$B$3),OR('Staff Weekly Trend'!$B$4="All",$D639='Staff Weekly Trend'!$B$4),OR('Staff Weekly Trend'!$B$5="All",$A639='Staff Weekly Trend'!$B$5))</f>
        <v>0</v>
      </c>
      <c r="AC639" t="str">
        <f t="shared" si="180"/>
        <v/>
      </c>
      <c r="AI639">
        <f t="shared" si="181"/>
        <v>0</v>
      </c>
      <c r="AJ639">
        <f t="shared" si="182"/>
        <v>0</v>
      </c>
      <c r="AK639">
        <f t="shared" si="183"/>
        <v>0</v>
      </c>
      <c r="AL639">
        <f t="shared" si="184"/>
        <v>0</v>
      </c>
      <c r="AM639">
        <f t="shared" si="185"/>
        <v>0</v>
      </c>
      <c r="DH639" t="str" cm="1">
        <f t="array" ref="DH639">IF($A639="","",_xlfn.LET(_xlpm.c,IFERROR(_xlfn.XLOOKUP($A639,TRIM('Sales and count'!$A$4:$A$300&amp;""),TRIM('Sales and count'!$B$4:$B$300&amp;"")),""),IF(OR(_xlpm.c="",_xlpm.c="0",LEFT(_xlpm.c,1)="#"),"Not set",_xlpm.c)))</f>
        <v/>
      </c>
    </row>
    <row r="640" spans="1:112" x14ac:dyDescent="0.25">
      <c r="A640" t="str">
        <f>IF('Staff Daily sales'!$B625="","",TRIM('Staff Daily sales'!$B625&amp;""))</f>
        <v/>
      </c>
      <c r="B640" t="str">
        <f>IF('Staff Daily sales'!$D625="","",TRIM('Staff Daily sales'!$D625&amp;""))</f>
        <v/>
      </c>
      <c r="C640" t="str">
        <f>IFERROR(TRIM('Staff Daily sales'!$E625&amp;""),"")</f>
        <v/>
      </c>
      <c r="D640" t="str">
        <f>IFERROR(IF(TRIM('Staff Daily sales'!$F625&amp;"")="","Unassigned",TRIM('Staff Daily sales'!$F625&amp;"")),"Unassigned")</f>
        <v>Unassigned</v>
      </c>
      <c r="E640">
        <f t="shared" si="170"/>
        <v>0</v>
      </c>
      <c r="F640">
        <f>IF($E640=0,0,SUMPRODUCT($AI$5:$DF$5,'Staff Daily sales'!$G625:$CD625))</f>
        <v>0</v>
      </c>
      <c r="G640">
        <f>IF($E640=0,0,SUMPRODUCT($AI$6:$DF$6,'Staff Daily sales'!$G625:$CD625))</f>
        <v>0</v>
      </c>
      <c r="H640">
        <f t="shared" si="171"/>
        <v>0</v>
      </c>
      <c r="I640">
        <f t="shared" si="172"/>
        <v>0</v>
      </c>
      <c r="J640">
        <f t="shared" si="173"/>
        <v>0</v>
      </c>
      <c r="K640">
        <f t="shared" si="174"/>
        <v>0</v>
      </c>
      <c r="L640">
        <f>--AND($E640=1,OR('Staff Dashboard'!$B$6="All",$DH640='Staff Dashboard'!$B$6),OR('Staff Dashboard'!$B$7="All",$D640='Staff Dashboard'!$B$7),OR('Staff Dashboard'!$B$8="All",$A640='Staff Dashboard'!$B$8))</f>
        <v>0</v>
      </c>
      <c r="M640">
        <f>IF($E640=0,0,SUMPRODUCT($AI$7:$DF$7,'Staff Daily sales'!$G625:$CD625))</f>
        <v>0</v>
      </c>
      <c r="N640">
        <f>IF($E640=0,0,SUMPRODUCT($AI$8:$DF$8,'Staff Daily sales'!$G625:$CD625))</f>
        <v>0</v>
      </c>
      <c r="O640">
        <f>IF($E640=0,0,SUMPRODUCT($AI$9:$DF$9,'Staff Daily sales'!$G625:$CD625))</f>
        <v>0</v>
      </c>
      <c r="P640">
        <f>IF($E640=0,0,SUMPRODUCT($AI$10:$DF$10,'Staff Daily sales'!$G625:$CD625))</f>
        <v>0</v>
      </c>
      <c r="Q640">
        <f>IF($E640=0,0,SUMPRODUCT($AI$11:$DF$11,'Staff Daily sales'!$G625:$CD625))</f>
        <v>0</v>
      </c>
      <c r="R640">
        <f>IF($E640=0,0,SUMPRODUCT($AI$12:$DF$12,'Staff Daily sales'!$G625:$CD625))</f>
        <v>0</v>
      </c>
      <c r="S640">
        <f>IF($E640=0,0,SUMPRODUCT($AI$13:$DF$13,'Staff Daily sales'!$G625:$CD625))</f>
        <v>0</v>
      </c>
      <c r="T640">
        <f>IF($E640=0,0,SUMPRODUCT($AI$14:$DF$14,'Staff Daily sales'!$G625:$CD625))</f>
        <v>0</v>
      </c>
      <c r="U640">
        <f>IF($E640=0,0,SUMPRODUCT($AI$15:$DF$15,'Staff Daily sales'!$G625:$CD625))</f>
        <v>0</v>
      </c>
      <c r="V640">
        <f>IF($E640=0,0,SUMPRODUCT($AI$16:$DF$16,'Staff Daily sales'!$G625:$CD625))</f>
        <v>0</v>
      </c>
      <c r="W640">
        <f t="shared" si="175"/>
        <v>0</v>
      </c>
      <c r="X640">
        <f t="shared" si="176"/>
        <v>0</v>
      </c>
      <c r="Y640">
        <f t="shared" si="177"/>
        <v>0</v>
      </c>
      <c r="Z640">
        <f t="shared" si="178"/>
        <v>0</v>
      </c>
      <c r="AA640">
        <f t="shared" si="179"/>
        <v>0</v>
      </c>
      <c r="AB640">
        <f>--AND($E640=1,OR('Staff Weekly Trend'!$B$3="All",$DH640='Staff Weekly Trend'!$B$3),OR('Staff Weekly Trend'!$B$4="All",$D640='Staff Weekly Trend'!$B$4),OR('Staff Weekly Trend'!$B$5="All",$A640='Staff Weekly Trend'!$B$5))</f>
        <v>0</v>
      </c>
      <c r="AC640" t="str">
        <f t="shared" si="180"/>
        <v/>
      </c>
      <c r="AI640">
        <f t="shared" si="181"/>
        <v>0</v>
      </c>
      <c r="AJ640">
        <f t="shared" si="182"/>
        <v>0</v>
      </c>
      <c r="AK640">
        <f t="shared" si="183"/>
        <v>0</v>
      </c>
      <c r="AL640">
        <f t="shared" si="184"/>
        <v>0</v>
      </c>
      <c r="AM640">
        <f t="shared" si="185"/>
        <v>0</v>
      </c>
      <c r="DH640" t="str" cm="1">
        <f t="array" ref="DH640">IF($A640="","",_xlfn.LET(_xlpm.c,IFERROR(_xlfn.XLOOKUP($A640,TRIM('Sales and count'!$A$4:$A$300&amp;""),TRIM('Sales and count'!$B$4:$B$300&amp;"")),""),IF(OR(_xlpm.c="",_xlpm.c="0",LEFT(_xlpm.c,1)="#"),"Not set",_xlpm.c)))</f>
        <v/>
      </c>
    </row>
    <row r="641" spans="1:112" x14ac:dyDescent="0.25">
      <c r="A641" t="str">
        <f>IF('Staff Daily sales'!$B626="","",TRIM('Staff Daily sales'!$B626&amp;""))</f>
        <v/>
      </c>
      <c r="B641" t="str">
        <f>IF('Staff Daily sales'!$D626="","",TRIM('Staff Daily sales'!$D626&amp;""))</f>
        <v/>
      </c>
      <c r="C641" t="str">
        <f>IFERROR(TRIM('Staff Daily sales'!$E626&amp;""),"")</f>
        <v/>
      </c>
      <c r="D641" t="str">
        <f>IFERROR(IF(TRIM('Staff Daily sales'!$F626&amp;"")="","Unassigned",TRIM('Staff Daily sales'!$F626&amp;"")),"Unassigned")</f>
        <v>Unassigned</v>
      </c>
      <c r="E641">
        <f t="shared" si="170"/>
        <v>0</v>
      </c>
      <c r="F641">
        <f>IF($E641=0,0,SUMPRODUCT($AI$5:$DF$5,'Staff Daily sales'!$G626:$CD626))</f>
        <v>0</v>
      </c>
      <c r="G641">
        <f>IF($E641=0,0,SUMPRODUCT($AI$6:$DF$6,'Staff Daily sales'!$G626:$CD626))</f>
        <v>0</v>
      </c>
      <c r="H641">
        <f t="shared" si="171"/>
        <v>0</v>
      </c>
      <c r="I641">
        <f t="shared" si="172"/>
        <v>0</v>
      </c>
      <c r="J641">
        <f t="shared" si="173"/>
        <v>0</v>
      </c>
      <c r="K641">
        <f t="shared" si="174"/>
        <v>0</v>
      </c>
      <c r="L641">
        <f>--AND($E641=1,OR('Staff Dashboard'!$B$6="All",$DH641='Staff Dashboard'!$B$6),OR('Staff Dashboard'!$B$7="All",$D641='Staff Dashboard'!$B$7),OR('Staff Dashboard'!$B$8="All",$A641='Staff Dashboard'!$B$8))</f>
        <v>0</v>
      </c>
      <c r="M641">
        <f>IF($E641=0,0,SUMPRODUCT($AI$7:$DF$7,'Staff Daily sales'!$G626:$CD626))</f>
        <v>0</v>
      </c>
      <c r="N641">
        <f>IF($E641=0,0,SUMPRODUCT($AI$8:$DF$8,'Staff Daily sales'!$G626:$CD626))</f>
        <v>0</v>
      </c>
      <c r="O641">
        <f>IF($E641=0,0,SUMPRODUCT($AI$9:$DF$9,'Staff Daily sales'!$G626:$CD626))</f>
        <v>0</v>
      </c>
      <c r="P641">
        <f>IF($E641=0,0,SUMPRODUCT($AI$10:$DF$10,'Staff Daily sales'!$G626:$CD626))</f>
        <v>0</v>
      </c>
      <c r="Q641">
        <f>IF($E641=0,0,SUMPRODUCT($AI$11:$DF$11,'Staff Daily sales'!$G626:$CD626))</f>
        <v>0</v>
      </c>
      <c r="R641">
        <f>IF($E641=0,0,SUMPRODUCT($AI$12:$DF$12,'Staff Daily sales'!$G626:$CD626))</f>
        <v>0</v>
      </c>
      <c r="S641">
        <f>IF($E641=0,0,SUMPRODUCT($AI$13:$DF$13,'Staff Daily sales'!$G626:$CD626))</f>
        <v>0</v>
      </c>
      <c r="T641">
        <f>IF($E641=0,0,SUMPRODUCT($AI$14:$DF$14,'Staff Daily sales'!$G626:$CD626))</f>
        <v>0</v>
      </c>
      <c r="U641">
        <f>IF($E641=0,0,SUMPRODUCT($AI$15:$DF$15,'Staff Daily sales'!$G626:$CD626))</f>
        <v>0</v>
      </c>
      <c r="V641">
        <f>IF($E641=0,0,SUMPRODUCT($AI$16:$DF$16,'Staff Daily sales'!$G626:$CD626))</f>
        <v>0</v>
      </c>
      <c r="W641">
        <f t="shared" si="175"/>
        <v>0</v>
      </c>
      <c r="X641">
        <f t="shared" si="176"/>
        <v>0</v>
      </c>
      <c r="Y641">
        <f t="shared" si="177"/>
        <v>0</v>
      </c>
      <c r="Z641">
        <f t="shared" si="178"/>
        <v>0</v>
      </c>
      <c r="AA641">
        <f t="shared" si="179"/>
        <v>0</v>
      </c>
      <c r="AB641">
        <f>--AND($E641=1,OR('Staff Weekly Trend'!$B$3="All",$DH641='Staff Weekly Trend'!$B$3),OR('Staff Weekly Trend'!$B$4="All",$D641='Staff Weekly Trend'!$B$4),OR('Staff Weekly Trend'!$B$5="All",$A641='Staff Weekly Trend'!$B$5))</f>
        <v>0</v>
      </c>
      <c r="AC641" t="str">
        <f t="shared" si="180"/>
        <v/>
      </c>
      <c r="AI641">
        <f t="shared" si="181"/>
        <v>0</v>
      </c>
      <c r="AJ641">
        <f t="shared" si="182"/>
        <v>0</v>
      </c>
      <c r="AK641">
        <f t="shared" si="183"/>
        <v>0</v>
      </c>
      <c r="AL641">
        <f t="shared" si="184"/>
        <v>0</v>
      </c>
      <c r="AM641">
        <f t="shared" si="185"/>
        <v>0</v>
      </c>
      <c r="DH641" t="str" cm="1">
        <f t="array" ref="DH641">IF($A641="","",_xlfn.LET(_xlpm.c,IFERROR(_xlfn.XLOOKUP($A641,TRIM('Sales and count'!$A$4:$A$300&amp;""),TRIM('Sales and count'!$B$4:$B$300&amp;"")),""),IF(OR(_xlpm.c="",_xlpm.c="0",LEFT(_xlpm.c,1)="#"),"Not set",_xlpm.c)))</f>
        <v/>
      </c>
    </row>
    <row r="642" spans="1:112" x14ac:dyDescent="0.25">
      <c r="A642" t="str">
        <f>IF('Staff Daily sales'!$B627="","",TRIM('Staff Daily sales'!$B627&amp;""))</f>
        <v/>
      </c>
      <c r="B642" t="str">
        <f>IF('Staff Daily sales'!$D627="","",TRIM('Staff Daily sales'!$D627&amp;""))</f>
        <v/>
      </c>
      <c r="C642" t="str">
        <f>IFERROR(TRIM('Staff Daily sales'!$E627&amp;""),"")</f>
        <v/>
      </c>
      <c r="D642" t="str">
        <f>IFERROR(IF(TRIM('Staff Daily sales'!$F627&amp;"")="","Unassigned",TRIM('Staff Daily sales'!$F627&amp;"")),"Unassigned")</f>
        <v>Unassigned</v>
      </c>
      <c r="E642">
        <f t="shared" si="170"/>
        <v>0</v>
      </c>
      <c r="F642">
        <f>IF($E642=0,0,SUMPRODUCT($AI$5:$DF$5,'Staff Daily sales'!$G627:$CD627))</f>
        <v>0</v>
      </c>
      <c r="G642">
        <f>IF($E642=0,0,SUMPRODUCT($AI$6:$DF$6,'Staff Daily sales'!$G627:$CD627))</f>
        <v>0</v>
      </c>
      <c r="H642">
        <f t="shared" si="171"/>
        <v>0</v>
      </c>
      <c r="I642">
        <f t="shared" si="172"/>
        <v>0</v>
      </c>
      <c r="J642">
        <f t="shared" si="173"/>
        <v>0</v>
      </c>
      <c r="K642">
        <f t="shared" si="174"/>
        <v>0</v>
      </c>
      <c r="L642">
        <f>--AND($E642=1,OR('Staff Dashboard'!$B$6="All",$DH642='Staff Dashboard'!$B$6),OR('Staff Dashboard'!$B$7="All",$D642='Staff Dashboard'!$B$7),OR('Staff Dashboard'!$B$8="All",$A642='Staff Dashboard'!$B$8))</f>
        <v>0</v>
      </c>
      <c r="M642">
        <f>IF($E642=0,0,SUMPRODUCT($AI$7:$DF$7,'Staff Daily sales'!$G627:$CD627))</f>
        <v>0</v>
      </c>
      <c r="N642">
        <f>IF($E642=0,0,SUMPRODUCT($AI$8:$DF$8,'Staff Daily sales'!$G627:$CD627))</f>
        <v>0</v>
      </c>
      <c r="O642">
        <f>IF($E642=0,0,SUMPRODUCT($AI$9:$DF$9,'Staff Daily sales'!$G627:$CD627))</f>
        <v>0</v>
      </c>
      <c r="P642">
        <f>IF($E642=0,0,SUMPRODUCT($AI$10:$DF$10,'Staff Daily sales'!$G627:$CD627))</f>
        <v>0</v>
      </c>
      <c r="Q642">
        <f>IF($E642=0,0,SUMPRODUCT($AI$11:$DF$11,'Staff Daily sales'!$G627:$CD627))</f>
        <v>0</v>
      </c>
      <c r="R642">
        <f>IF($E642=0,0,SUMPRODUCT($AI$12:$DF$12,'Staff Daily sales'!$G627:$CD627))</f>
        <v>0</v>
      </c>
      <c r="S642">
        <f>IF($E642=0,0,SUMPRODUCT($AI$13:$DF$13,'Staff Daily sales'!$G627:$CD627))</f>
        <v>0</v>
      </c>
      <c r="T642">
        <f>IF($E642=0,0,SUMPRODUCT($AI$14:$DF$14,'Staff Daily sales'!$G627:$CD627))</f>
        <v>0</v>
      </c>
      <c r="U642">
        <f>IF($E642=0,0,SUMPRODUCT($AI$15:$DF$15,'Staff Daily sales'!$G627:$CD627))</f>
        <v>0</v>
      </c>
      <c r="V642">
        <f>IF($E642=0,0,SUMPRODUCT($AI$16:$DF$16,'Staff Daily sales'!$G627:$CD627))</f>
        <v>0</v>
      </c>
      <c r="W642">
        <f t="shared" si="175"/>
        <v>0</v>
      </c>
      <c r="X642">
        <f t="shared" si="176"/>
        <v>0</v>
      </c>
      <c r="Y642">
        <f t="shared" si="177"/>
        <v>0</v>
      </c>
      <c r="Z642">
        <f t="shared" si="178"/>
        <v>0</v>
      </c>
      <c r="AA642">
        <f t="shared" si="179"/>
        <v>0</v>
      </c>
      <c r="AB642">
        <f>--AND($E642=1,OR('Staff Weekly Trend'!$B$3="All",$DH642='Staff Weekly Trend'!$B$3),OR('Staff Weekly Trend'!$B$4="All",$D642='Staff Weekly Trend'!$B$4),OR('Staff Weekly Trend'!$B$5="All",$A642='Staff Weekly Trend'!$B$5))</f>
        <v>0</v>
      </c>
      <c r="AC642" t="str">
        <f t="shared" si="180"/>
        <v/>
      </c>
      <c r="AI642">
        <f t="shared" si="181"/>
        <v>0</v>
      </c>
      <c r="AJ642">
        <f t="shared" si="182"/>
        <v>0</v>
      </c>
      <c r="AK642">
        <f t="shared" si="183"/>
        <v>0</v>
      </c>
      <c r="AL642">
        <f t="shared" si="184"/>
        <v>0</v>
      </c>
      <c r="AM642">
        <f t="shared" si="185"/>
        <v>0</v>
      </c>
      <c r="DH642" t="str" cm="1">
        <f t="array" ref="DH642">IF($A642="","",_xlfn.LET(_xlpm.c,IFERROR(_xlfn.XLOOKUP($A642,TRIM('Sales and count'!$A$4:$A$300&amp;""),TRIM('Sales and count'!$B$4:$B$300&amp;"")),""),IF(OR(_xlpm.c="",_xlpm.c="0",LEFT(_xlpm.c,1)="#"),"Not set",_xlpm.c)))</f>
        <v/>
      </c>
    </row>
    <row r="643" spans="1:112" x14ac:dyDescent="0.25">
      <c r="A643" t="str">
        <f>IF('Staff Daily sales'!$B628="","",TRIM('Staff Daily sales'!$B628&amp;""))</f>
        <v/>
      </c>
      <c r="B643" t="str">
        <f>IF('Staff Daily sales'!$D628="","",TRIM('Staff Daily sales'!$D628&amp;""))</f>
        <v/>
      </c>
      <c r="C643" t="str">
        <f>IFERROR(TRIM('Staff Daily sales'!$E628&amp;""),"")</f>
        <v/>
      </c>
      <c r="D643" t="str">
        <f>IFERROR(IF(TRIM('Staff Daily sales'!$F628&amp;"")="","Unassigned",TRIM('Staff Daily sales'!$F628&amp;"")),"Unassigned")</f>
        <v>Unassigned</v>
      </c>
      <c r="E643">
        <f t="shared" si="170"/>
        <v>0</v>
      </c>
      <c r="F643">
        <f>IF($E643=0,0,SUMPRODUCT($AI$5:$DF$5,'Staff Daily sales'!$G628:$CD628))</f>
        <v>0</v>
      </c>
      <c r="G643">
        <f>IF($E643=0,0,SUMPRODUCT($AI$6:$DF$6,'Staff Daily sales'!$G628:$CD628))</f>
        <v>0</v>
      </c>
      <c r="H643">
        <f t="shared" si="171"/>
        <v>0</v>
      </c>
      <c r="I643">
        <f t="shared" si="172"/>
        <v>0</v>
      </c>
      <c r="J643">
        <f t="shared" si="173"/>
        <v>0</v>
      </c>
      <c r="K643">
        <f t="shared" si="174"/>
        <v>0</v>
      </c>
      <c r="L643">
        <f>--AND($E643=1,OR('Staff Dashboard'!$B$6="All",$DH643='Staff Dashboard'!$B$6),OR('Staff Dashboard'!$B$7="All",$D643='Staff Dashboard'!$B$7),OR('Staff Dashboard'!$B$8="All",$A643='Staff Dashboard'!$B$8))</f>
        <v>0</v>
      </c>
      <c r="M643">
        <f>IF($E643=0,0,SUMPRODUCT($AI$7:$DF$7,'Staff Daily sales'!$G628:$CD628))</f>
        <v>0</v>
      </c>
      <c r="N643">
        <f>IF($E643=0,0,SUMPRODUCT($AI$8:$DF$8,'Staff Daily sales'!$G628:$CD628))</f>
        <v>0</v>
      </c>
      <c r="O643">
        <f>IF($E643=0,0,SUMPRODUCT($AI$9:$DF$9,'Staff Daily sales'!$G628:$CD628))</f>
        <v>0</v>
      </c>
      <c r="P643">
        <f>IF($E643=0,0,SUMPRODUCT($AI$10:$DF$10,'Staff Daily sales'!$G628:$CD628))</f>
        <v>0</v>
      </c>
      <c r="Q643">
        <f>IF($E643=0,0,SUMPRODUCT($AI$11:$DF$11,'Staff Daily sales'!$G628:$CD628))</f>
        <v>0</v>
      </c>
      <c r="R643">
        <f>IF($E643=0,0,SUMPRODUCT($AI$12:$DF$12,'Staff Daily sales'!$G628:$CD628))</f>
        <v>0</v>
      </c>
      <c r="S643">
        <f>IF($E643=0,0,SUMPRODUCT($AI$13:$DF$13,'Staff Daily sales'!$G628:$CD628))</f>
        <v>0</v>
      </c>
      <c r="T643">
        <f>IF($E643=0,0,SUMPRODUCT($AI$14:$DF$14,'Staff Daily sales'!$G628:$CD628))</f>
        <v>0</v>
      </c>
      <c r="U643">
        <f>IF($E643=0,0,SUMPRODUCT($AI$15:$DF$15,'Staff Daily sales'!$G628:$CD628))</f>
        <v>0</v>
      </c>
      <c r="V643">
        <f>IF($E643=0,0,SUMPRODUCT($AI$16:$DF$16,'Staff Daily sales'!$G628:$CD628))</f>
        <v>0</v>
      </c>
      <c r="W643">
        <f t="shared" si="175"/>
        <v>0</v>
      </c>
      <c r="X643">
        <f t="shared" si="176"/>
        <v>0</v>
      </c>
      <c r="Y643">
        <f t="shared" si="177"/>
        <v>0</v>
      </c>
      <c r="Z643">
        <f t="shared" si="178"/>
        <v>0</v>
      </c>
      <c r="AA643">
        <f t="shared" si="179"/>
        <v>0</v>
      </c>
      <c r="AB643">
        <f>--AND($E643=1,OR('Staff Weekly Trend'!$B$3="All",$DH643='Staff Weekly Trend'!$B$3),OR('Staff Weekly Trend'!$B$4="All",$D643='Staff Weekly Trend'!$B$4),OR('Staff Weekly Trend'!$B$5="All",$A643='Staff Weekly Trend'!$B$5))</f>
        <v>0</v>
      </c>
      <c r="AC643" t="str">
        <f t="shared" si="180"/>
        <v/>
      </c>
      <c r="AI643">
        <f t="shared" si="181"/>
        <v>0</v>
      </c>
      <c r="AJ643">
        <f t="shared" si="182"/>
        <v>0</v>
      </c>
      <c r="AK643">
        <f t="shared" si="183"/>
        <v>0</v>
      </c>
      <c r="AL643">
        <f t="shared" si="184"/>
        <v>0</v>
      </c>
      <c r="AM643">
        <f t="shared" si="185"/>
        <v>0</v>
      </c>
      <c r="DH643" t="str" cm="1">
        <f t="array" ref="DH643">IF($A643="","",_xlfn.LET(_xlpm.c,IFERROR(_xlfn.XLOOKUP($A643,TRIM('Sales and count'!$A$4:$A$300&amp;""),TRIM('Sales and count'!$B$4:$B$300&amp;"")),""),IF(OR(_xlpm.c="",_xlpm.c="0",LEFT(_xlpm.c,1)="#"),"Not set",_xlpm.c)))</f>
        <v/>
      </c>
    </row>
    <row r="644" spans="1:112" x14ac:dyDescent="0.25">
      <c r="A644" t="str">
        <f>IF('Staff Daily sales'!$B629="","",TRIM('Staff Daily sales'!$B629&amp;""))</f>
        <v/>
      </c>
      <c r="B644" t="str">
        <f>IF('Staff Daily sales'!$D629="","",TRIM('Staff Daily sales'!$D629&amp;""))</f>
        <v/>
      </c>
      <c r="C644" t="str">
        <f>IFERROR(TRIM('Staff Daily sales'!$E629&amp;""),"")</f>
        <v/>
      </c>
      <c r="D644" t="str">
        <f>IFERROR(IF(TRIM('Staff Daily sales'!$F629&amp;"")="","Unassigned",TRIM('Staff Daily sales'!$F629&amp;"")),"Unassigned")</f>
        <v>Unassigned</v>
      </c>
      <c r="E644">
        <f t="shared" si="170"/>
        <v>0</v>
      </c>
      <c r="F644">
        <f>IF($E644=0,0,SUMPRODUCT($AI$5:$DF$5,'Staff Daily sales'!$G629:$CD629))</f>
        <v>0</v>
      </c>
      <c r="G644">
        <f>IF($E644=0,0,SUMPRODUCT($AI$6:$DF$6,'Staff Daily sales'!$G629:$CD629))</f>
        <v>0</v>
      </c>
      <c r="H644">
        <f t="shared" si="171"/>
        <v>0</v>
      </c>
      <c r="I644">
        <f t="shared" si="172"/>
        <v>0</v>
      </c>
      <c r="J644">
        <f t="shared" si="173"/>
        <v>0</v>
      </c>
      <c r="K644">
        <f t="shared" si="174"/>
        <v>0</v>
      </c>
      <c r="L644">
        <f>--AND($E644=1,OR('Staff Dashboard'!$B$6="All",$DH644='Staff Dashboard'!$B$6),OR('Staff Dashboard'!$B$7="All",$D644='Staff Dashboard'!$B$7),OR('Staff Dashboard'!$B$8="All",$A644='Staff Dashboard'!$B$8))</f>
        <v>0</v>
      </c>
      <c r="M644">
        <f>IF($E644=0,0,SUMPRODUCT($AI$7:$DF$7,'Staff Daily sales'!$G629:$CD629))</f>
        <v>0</v>
      </c>
      <c r="N644">
        <f>IF($E644=0,0,SUMPRODUCT($AI$8:$DF$8,'Staff Daily sales'!$G629:$CD629))</f>
        <v>0</v>
      </c>
      <c r="O644">
        <f>IF($E644=0,0,SUMPRODUCT($AI$9:$DF$9,'Staff Daily sales'!$G629:$CD629))</f>
        <v>0</v>
      </c>
      <c r="P644">
        <f>IF($E644=0,0,SUMPRODUCT($AI$10:$DF$10,'Staff Daily sales'!$G629:$CD629))</f>
        <v>0</v>
      </c>
      <c r="Q644">
        <f>IF($E644=0,0,SUMPRODUCT($AI$11:$DF$11,'Staff Daily sales'!$G629:$CD629))</f>
        <v>0</v>
      </c>
      <c r="R644">
        <f>IF($E644=0,0,SUMPRODUCT($AI$12:$DF$12,'Staff Daily sales'!$G629:$CD629))</f>
        <v>0</v>
      </c>
      <c r="S644">
        <f>IF($E644=0,0,SUMPRODUCT($AI$13:$DF$13,'Staff Daily sales'!$G629:$CD629))</f>
        <v>0</v>
      </c>
      <c r="T644">
        <f>IF($E644=0,0,SUMPRODUCT($AI$14:$DF$14,'Staff Daily sales'!$G629:$CD629))</f>
        <v>0</v>
      </c>
      <c r="U644">
        <f>IF($E644=0,0,SUMPRODUCT($AI$15:$DF$15,'Staff Daily sales'!$G629:$CD629))</f>
        <v>0</v>
      </c>
      <c r="V644">
        <f>IF($E644=0,0,SUMPRODUCT($AI$16:$DF$16,'Staff Daily sales'!$G629:$CD629))</f>
        <v>0</v>
      </c>
      <c r="W644">
        <f t="shared" si="175"/>
        <v>0</v>
      </c>
      <c r="X644">
        <f t="shared" si="176"/>
        <v>0</v>
      </c>
      <c r="Y644">
        <f t="shared" si="177"/>
        <v>0</v>
      </c>
      <c r="Z644">
        <f t="shared" si="178"/>
        <v>0</v>
      </c>
      <c r="AA644">
        <f t="shared" si="179"/>
        <v>0</v>
      </c>
      <c r="AB644">
        <f>--AND($E644=1,OR('Staff Weekly Trend'!$B$3="All",$DH644='Staff Weekly Trend'!$B$3),OR('Staff Weekly Trend'!$B$4="All",$D644='Staff Weekly Trend'!$B$4),OR('Staff Weekly Trend'!$B$5="All",$A644='Staff Weekly Trend'!$B$5))</f>
        <v>0</v>
      </c>
      <c r="AC644" t="str">
        <f t="shared" si="180"/>
        <v/>
      </c>
      <c r="AI644">
        <f t="shared" si="181"/>
        <v>0</v>
      </c>
      <c r="AJ644">
        <f t="shared" si="182"/>
        <v>0</v>
      </c>
      <c r="AK644">
        <f t="shared" si="183"/>
        <v>0</v>
      </c>
      <c r="AL644">
        <f t="shared" si="184"/>
        <v>0</v>
      </c>
      <c r="AM644">
        <f t="shared" si="185"/>
        <v>0</v>
      </c>
      <c r="DH644" t="str" cm="1">
        <f t="array" ref="DH644">IF($A644="","",_xlfn.LET(_xlpm.c,IFERROR(_xlfn.XLOOKUP($A644,TRIM('Sales and count'!$A$4:$A$300&amp;""),TRIM('Sales and count'!$B$4:$B$300&amp;"")),""),IF(OR(_xlpm.c="",_xlpm.c="0",LEFT(_xlpm.c,1)="#"),"Not set",_xlpm.c)))</f>
        <v/>
      </c>
    </row>
    <row r="645" spans="1:112" x14ac:dyDescent="0.25">
      <c r="A645" t="str">
        <f>IF('Staff Daily sales'!$B630="","",TRIM('Staff Daily sales'!$B630&amp;""))</f>
        <v/>
      </c>
      <c r="B645" t="str">
        <f>IF('Staff Daily sales'!$D630="","",TRIM('Staff Daily sales'!$D630&amp;""))</f>
        <v/>
      </c>
      <c r="C645" t="str">
        <f>IFERROR(TRIM('Staff Daily sales'!$E630&amp;""),"")</f>
        <v/>
      </c>
      <c r="D645" t="str">
        <f>IFERROR(IF(TRIM('Staff Daily sales'!$F630&amp;"")="","Unassigned",TRIM('Staff Daily sales'!$F630&amp;"")),"Unassigned")</f>
        <v>Unassigned</v>
      </c>
      <c r="E645">
        <f t="shared" si="170"/>
        <v>0</v>
      </c>
      <c r="F645">
        <f>IF($E645=0,0,SUMPRODUCT($AI$5:$DF$5,'Staff Daily sales'!$G630:$CD630))</f>
        <v>0</v>
      </c>
      <c r="G645">
        <f>IF($E645=0,0,SUMPRODUCT($AI$6:$DF$6,'Staff Daily sales'!$G630:$CD630))</f>
        <v>0</v>
      </c>
      <c r="H645">
        <f t="shared" si="171"/>
        <v>0</v>
      </c>
      <c r="I645">
        <f t="shared" si="172"/>
        <v>0</v>
      </c>
      <c r="J645">
        <f t="shared" si="173"/>
        <v>0</v>
      </c>
      <c r="K645">
        <f t="shared" si="174"/>
        <v>0</v>
      </c>
      <c r="L645">
        <f>--AND($E645=1,OR('Staff Dashboard'!$B$6="All",$DH645='Staff Dashboard'!$B$6),OR('Staff Dashboard'!$B$7="All",$D645='Staff Dashboard'!$B$7),OR('Staff Dashboard'!$B$8="All",$A645='Staff Dashboard'!$B$8))</f>
        <v>0</v>
      </c>
      <c r="M645">
        <f>IF($E645=0,0,SUMPRODUCT($AI$7:$DF$7,'Staff Daily sales'!$G630:$CD630))</f>
        <v>0</v>
      </c>
      <c r="N645">
        <f>IF($E645=0,0,SUMPRODUCT($AI$8:$DF$8,'Staff Daily sales'!$G630:$CD630))</f>
        <v>0</v>
      </c>
      <c r="O645">
        <f>IF($E645=0,0,SUMPRODUCT($AI$9:$DF$9,'Staff Daily sales'!$G630:$CD630))</f>
        <v>0</v>
      </c>
      <c r="P645">
        <f>IF($E645=0,0,SUMPRODUCT($AI$10:$DF$10,'Staff Daily sales'!$G630:$CD630))</f>
        <v>0</v>
      </c>
      <c r="Q645">
        <f>IF($E645=0,0,SUMPRODUCT($AI$11:$DF$11,'Staff Daily sales'!$G630:$CD630))</f>
        <v>0</v>
      </c>
      <c r="R645">
        <f>IF($E645=0,0,SUMPRODUCT($AI$12:$DF$12,'Staff Daily sales'!$G630:$CD630))</f>
        <v>0</v>
      </c>
      <c r="S645">
        <f>IF($E645=0,0,SUMPRODUCT($AI$13:$DF$13,'Staff Daily sales'!$G630:$CD630))</f>
        <v>0</v>
      </c>
      <c r="T645">
        <f>IF($E645=0,0,SUMPRODUCT($AI$14:$DF$14,'Staff Daily sales'!$G630:$CD630))</f>
        <v>0</v>
      </c>
      <c r="U645">
        <f>IF($E645=0,0,SUMPRODUCT($AI$15:$DF$15,'Staff Daily sales'!$G630:$CD630))</f>
        <v>0</v>
      </c>
      <c r="V645">
        <f>IF($E645=0,0,SUMPRODUCT($AI$16:$DF$16,'Staff Daily sales'!$G630:$CD630))</f>
        <v>0</v>
      </c>
      <c r="W645">
        <f t="shared" si="175"/>
        <v>0</v>
      </c>
      <c r="X645">
        <f t="shared" si="176"/>
        <v>0</v>
      </c>
      <c r="Y645">
        <f t="shared" si="177"/>
        <v>0</v>
      </c>
      <c r="Z645">
        <f t="shared" si="178"/>
        <v>0</v>
      </c>
      <c r="AA645">
        <f t="shared" si="179"/>
        <v>0</v>
      </c>
      <c r="AB645">
        <f>--AND($E645=1,OR('Staff Weekly Trend'!$B$3="All",$DH645='Staff Weekly Trend'!$B$3),OR('Staff Weekly Trend'!$B$4="All",$D645='Staff Weekly Trend'!$B$4),OR('Staff Weekly Trend'!$B$5="All",$A645='Staff Weekly Trend'!$B$5))</f>
        <v>0</v>
      </c>
      <c r="AC645" t="str">
        <f t="shared" si="180"/>
        <v/>
      </c>
      <c r="AI645">
        <f t="shared" si="181"/>
        <v>0</v>
      </c>
      <c r="AJ645">
        <f t="shared" si="182"/>
        <v>0</v>
      </c>
      <c r="AK645">
        <f t="shared" si="183"/>
        <v>0</v>
      </c>
      <c r="AL645">
        <f t="shared" si="184"/>
        <v>0</v>
      </c>
      <c r="AM645">
        <f t="shared" si="185"/>
        <v>0</v>
      </c>
      <c r="DH645" t="str" cm="1">
        <f t="array" ref="DH645">IF($A645="","",_xlfn.LET(_xlpm.c,IFERROR(_xlfn.XLOOKUP($A645,TRIM('Sales and count'!$A$4:$A$300&amp;""),TRIM('Sales and count'!$B$4:$B$300&amp;"")),""),IF(OR(_xlpm.c="",_xlpm.c="0",LEFT(_xlpm.c,1)="#"),"Not set",_xlpm.c)))</f>
        <v/>
      </c>
    </row>
    <row r="646" spans="1:112" x14ac:dyDescent="0.25">
      <c r="A646" t="str">
        <f>IF('Staff Daily sales'!$B631="","",TRIM('Staff Daily sales'!$B631&amp;""))</f>
        <v/>
      </c>
      <c r="B646" t="str">
        <f>IF('Staff Daily sales'!$D631="","",TRIM('Staff Daily sales'!$D631&amp;""))</f>
        <v/>
      </c>
      <c r="C646" t="str">
        <f>IFERROR(TRIM('Staff Daily sales'!$E631&amp;""),"")</f>
        <v/>
      </c>
      <c r="D646" t="str">
        <f>IFERROR(IF(TRIM('Staff Daily sales'!$F631&amp;"")="","Unassigned",TRIM('Staff Daily sales'!$F631&amp;"")),"Unassigned")</f>
        <v>Unassigned</v>
      </c>
      <c r="E646">
        <f t="shared" si="170"/>
        <v>0</v>
      </c>
      <c r="F646">
        <f>IF($E646=0,0,SUMPRODUCT($AI$5:$DF$5,'Staff Daily sales'!$G631:$CD631))</f>
        <v>0</v>
      </c>
      <c r="G646">
        <f>IF($E646=0,0,SUMPRODUCT($AI$6:$DF$6,'Staff Daily sales'!$G631:$CD631))</f>
        <v>0</v>
      </c>
      <c r="H646">
        <f t="shared" si="171"/>
        <v>0</v>
      </c>
      <c r="I646">
        <f t="shared" si="172"/>
        <v>0</v>
      </c>
      <c r="J646">
        <f t="shared" si="173"/>
        <v>0</v>
      </c>
      <c r="K646">
        <f t="shared" si="174"/>
        <v>0</v>
      </c>
      <c r="L646">
        <f>--AND($E646=1,OR('Staff Dashboard'!$B$6="All",$DH646='Staff Dashboard'!$B$6),OR('Staff Dashboard'!$B$7="All",$D646='Staff Dashboard'!$B$7),OR('Staff Dashboard'!$B$8="All",$A646='Staff Dashboard'!$B$8))</f>
        <v>0</v>
      </c>
      <c r="M646">
        <f>IF($E646=0,0,SUMPRODUCT($AI$7:$DF$7,'Staff Daily sales'!$G631:$CD631))</f>
        <v>0</v>
      </c>
      <c r="N646">
        <f>IF($E646=0,0,SUMPRODUCT($AI$8:$DF$8,'Staff Daily sales'!$G631:$CD631))</f>
        <v>0</v>
      </c>
      <c r="O646">
        <f>IF($E646=0,0,SUMPRODUCT($AI$9:$DF$9,'Staff Daily sales'!$G631:$CD631))</f>
        <v>0</v>
      </c>
      <c r="P646">
        <f>IF($E646=0,0,SUMPRODUCT($AI$10:$DF$10,'Staff Daily sales'!$G631:$CD631))</f>
        <v>0</v>
      </c>
      <c r="Q646">
        <f>IF($E646=0,0,SUMPRODUCT($AI$11:$DF$11,'Staff Daily sales'!$G631:$CD631))</f>
        <v>0</v>
      </c>
      <c r="R646">
        <f>IF($E646=0,0,SUMPRODUCT($AI$12:$DF$12,'Staff Daily sales'!$G631:$CD631))</f>
        <v>0</v>
      </c>
      <c r="S646">
        <f>IF($E646=0,0,SUMPRODUCT($AI$13:$DF$13,'Staff Daily sales'!$G631:$CD631))</f>
        <v>0</v>
      </c>
      <c r="T646">
        <f>IF($E646=0,0,SUMPRODUCT($AI$14:$DF$14,'Staff Daily sales'!$G631:$CD631))</f>
        <v>0</v>
      </c>
      <c r="U646">
        <f>IF($E646=0,0,SUMPRODUCT($AI$15:$DF$15,'Staff Daily sales'!$G631:$CD631))</f>
        <v>0</v>
      </c>
      <c r="V646">
        <f>IF($E646=0,0,SUMPRODUCT($AI$16:$DF$16,'Staff Daily sales'!$G631:$CD631))</f>
        <v>0</v>
      </c>
      <c r="W646">
        <f t="shared" si="175"/>
        <v>0</v>
      </c>
      <c r="X646">
        <f t="shared" si="176"/>
        <v>0</v>
      </c>
      <c r="Y646">
        <f t="shared" si="177"/>
        <v>0</v>
      </c>
      <c r="Z646">
        <f t="shared" si="178"/>
        <v>0</v>
      </c>
      <c r="AA646">
        <f t="shared" si="179"/>
        <v>0</v>
      </c>
      <c r="AB646">
        <f>--AND($E646=1,OR('Staff Weekly Trend'!$B$3="All",$DH646='Staff Weekly Trend'!$B$3),OR('Staff Weekly Trend'!$B$4="All",$D646='Staff Weekly Trend'!$B$4),OR('Staff Weekly Trend'!$B$5="All",$A646='Staff Weekly Trend'!$B$5))</f>
        <v>0</v>
      </c>
      <c r="AC646" t="str">
        <f t="shared" si="180"/>
        <v/>
      </c>
      <c r="AI646">
        <f t="shared" si="181"/>
        <v>0</v>
      </c>
      <c r="AJ646">
        <f t="shared" si="182"/>
        <v>0</v>
      </c>
      <c r="AK646">
        <f t="shared" si="183"/>
        <v>0</v>
      </c>
      <c r="AL646">
        <f t="shared" si="184"/>
        <v>0</v>
      </c>
      <c r="AM646">
        <f t="shared" si="185"/>
        <v>0</v>
      </c>
      <c r="DH646" t="str" cm="1">
        <f t="array" ref="DH646">IF($A646="","",_xlfn.LET(_xlpm.c,IFERROR(_xlfn.XLOOKUP($A646,TRIM('Sales and count'!$A$4:$A$300&amp;""),TRIM('Sales and count'!$B$4:$B$300&amp;"")),""),IF(OR(_xlpm.c="",_xlpm.c="0",LEFT(_xlpm.c,1)="#"),"Not set",_xlpm.c)))</f>
        <v/>
      </c>
    </row>
    <row r="647" spans="1:112" x14ac:dyDescent="0.25">
      <c r="A647" t="str">
        <f>IF('Staff Daily sales'!$B632="","",TRIM('Staff Daily sales'!$B632&amp;""))</f>
        <v/>
      </c>
      <c r="B647" t="str">
        <f>IF('Staff Daily sales'!$D632="","",TRIM('Staff Daily sales'!$D632&amp;""))</f>
        <v/>
      </c>
      <c r="C647" t="str">
        <f>IFERROR(TRIM('Staff Daily sales'!$E632&amp;""),"")</f>
        <v/>
      </c>
      <c r="D647" t="str">
        <f>IFERROR(IF(TRIM('Staff Daily sales'!$F632&amp;"")="","Unassigned",TRIM('Staff Daily sales'!$F632&amp;"")),"Unassigned")</f>
        <v>Unassigned</v>
      </c>
      <c r="E647">
        <f t="shared" si="170"/>
        <v>0</v>
      </c>
      <c r="F647">
        <f>IF($E647=0,0,SUMPRODUCT($AI$5:$DF$5,'Staff Daily sales'!$G632:$CD632))</f>
        <v>0</v>
      </c>
      <c r="G647">
        <f>IF($E647=0,0,SUMPRODUCT($AI$6:$DF$6,'Staff Daily sales'!$G632:$CD632))</f>
        <v>0</v>
      </c>
      <c r="H647">
        <f t="shared" si="171"/>
        <v>0</v>
      </c>
      <c r="I647">
        <f t="shared" si="172"/>
        <v>0</v>
      </c>
      <c r="J647">
        <f t="shared" si="173"/>
        <v>0</v>
      </c>
      <c r="K647">
        <f t="shared" si="174"/>
        <v>0</v>
      </c>
      <c r="L647">
        <f>--AND($E647=1,OR('Staff Dashboard'!$B$6="All",$DH647='Staff Dashboard'!$B$6),OR('Staff Dashboard'!$B$7="All",$D647='Staff Dashboard'!$B$7),OR('Staff Dashboard'!$B$8="All",$A647='Staff Dashboard'!$B$8))</f>
        <v>0</v>
      </c>
      <c r="M647">
        <f>IF($E647=0,0,SUMPRODUCT($AI$7:$DF$7,'Staff Daily sales'!$G632:$CD632))</f>
        <v>0</v>
      </c>
      <c r="N647">
        <f>IF($E647=0,0,SUMPRODUCT($AI$8:$DF$8,'Staff Daily sales'!$G632:$CD632))</f>
        <v>0</v>
      </c>
      <c r="O647">
        <f>IF($E647=0,0,SUMPRODUCT($AI$9:$DF$9,'Staff Daily sales'!$G632:$CD632))</f>
        <v>0</v>
      </c>
      <c r="P647">
        <f>IF($E647=0,0,SUMPRODUCT($AI$10:$DF$10,'Staff Daily sales'!$G632:$CD632))</f>
        <v>0</v>
      </c>
      <c r="Q647">
        <f>IF($E647=0,0,SUMPRODUCT($AI$11:$DF$11,'Staff Daily sales'!$G632:$CD632))</f>
        <v>0</v>
      </c>
      <c r="R647">
        <f>IF($E647=0,0,SUMPRODUCT($AI$12:$DF$12,'Staff Daily sales'!$G632:$CD632))</f>
        <v>0</v>
      </c>
      <c r="S647">
        <f>IF($E647=0,0,SUMPRODUCT($AI$13:$DF$13,'Staff Daily sales'!$G632:$CD632))</f>
        <v>0</v>
      </c>
      <c r="T647">
        <f>IF($E647=0,0,SUMPRODUCT($AI$14:$DF$14,'Staff Daily sales'!$G632:$CD632))</f>
        <v>0</v>
      </c>
      <c r="U647">
        <f>IF($E647=0,0,SUMPRODUCT($AI$15:$DF$15,'Staff Daily sales'!$G632:$CD632))</f>
        <v>0</v>
      </c>
      <c r="V647">
        <f>IF($E647=0,0,SUMPRODUCT($AI$16:$DF$16,'Staff Daily sales'!$G632:$CD632))</f>
        <v>0</v>
      </c>
      <c r="W647">
        <f t="shared" si="175"/>
        <v>0</v>
      </c>
      <c r="X647">
        <f t="shared" si="176"/>
        <v>0</v>
      </c>
      <c r="Y647">
        <f t="shared" si="177"/>
        <v>0</v>
      </c>
      <c r="Z647">
        <f t="shared" si="178"/>
        <v>0</v>
      </c>
      <c r="AA647">
        <f t="shared" si="179"/>
        <v>0</v>
      </c>
      <c r="AB647">
        <f>--AND($E647=1,OR('Staff Weekly Trend'!$B$3="All",$DH647='Staff Weekly Trend'!$B$3),OR('Staff Weekly Trend'!$B$4="All",$D647='Staff Weekly Trend'!$B$4),OR('Staff Weekly Trend'!$B$5="All",$A647='Staff Weekly Trend'!$B$5))</f>
        <v>0</v>
      </c>
      <c r="AC647" t="str">
        <f t="shared" si="180"/>
        <v/>
      </c>
      <c r="AI647">
        <f t="shared" si="181"/>
        <v>0</v>
      </c>
      <c r="AJ647">
        <f t="shared" si="182"/>
        <v>0</v>
      </c>
      <c r="AK647">
        <f t="shared" si="183"/>
        <v>0</v>
      </c>
      <c r="AL647">
        <f t="shared" si="184"/>
        <v>0</v>
      </c>
      <c r="AM647">
        <f t="shared" si="185"/>
        <v>0</v>
      </c>
      <c r="DH647" t="str" cm="1">
        <f t="array" ref="DH647">IF($A647="","",_xlfn.LET(_xlpm.c,IFERROR(_xlfn.XLOOKUP($A647,TRIM('Sales and count'!$A$4:$A$300&amp;""),TRIM('Sales and count'!$B$4:$B$300&amp;"")),""),IF(OR(_xlpm.c="",_xlpm.c="0",LEFT(_xlpm.c,1)="#"),"Not set",_xlpm.c)))</f>
        <v/>
      </c>
    </row>
    <row r="648" spans="1:112" x14ac:dyDescent="0.25">
      <c r="A648" t="str">
        <f>IF('Staff Daily sales'!$B633="","",TRIM('Staff Daily sales'!$B633&amp;""))</f>
        <v/>
      </c>
      <c r="B648" t="str">
        <f>IF('Staff Daily sales'!$D633="","",TRIM('Staff Daily sales'!$D633&amp;""))</f>
        <v/>
      </c>
      <c r="C648" t="str">
        <f>IFERROR(TRIM('Staff Daily sales'!$E633&amp;""),"")</f>
        <v/>
      </c>
      <c r="D648" t="str">
        <f>IFERROR(IF(TRIM('Staff Daily sales'!$F633&amp;"")="","Unassigned",TRIM('Staff Daily sales'!$F633&amp;"")),"Unassigned")</f>
        <v>Unassigned</v>
      </c>
      <c r="E648">
        <f t="shared" si="170"/>
        <v>0</v>
      </c>
      <c r="F648">
        <f>IF($E648=0,0,SUMPRODUCT($AI$5:$DF$5,'Staff Daily sales'!$G633:$CD633))</f>
        <v>0</v>
      </c>
      <c r="G648">
        <f>IF($E648=0,0,SUMPRODUCT($AI$6:$DF$6,'Staff Daily sales'!$G633:$CD633))</f>
        <v>0</v>
      </c>
      <c r="H648">
        <f t="shared" si="171"/>
        <v>0</v>
      </c>
      <c r="I648">
        <f t="shared" si="172"/>
        <v>0</v>
      </c>
      <c r="J648">
        <f t="shared" si="173"/>
        <v>0</v>
      </c>
      <c r="K648">
        <f t="shared" si="174"/>
        <v>0</v>
      </c>
      <c r="L648">
        <f>--AND($E648=1,OR('Staff Dashboard'!$B$6="All",$DH648='Staff Dashboard'!$B$6),OR('Staff Dashboard'!$B$7="All",$D648='Staff Dashboard'!$B$7),OR('Staff Dashboard'!$B$8="All",$A648='Staff Dashboard'!$B$8))</f>
        <v>0</v>
      </c>
      <c r="M648">
        <f>IF($E648=0,0,SUMPRODUCT($AI$7:$DF$7,'Staff Daily sales'!$G633:$CD633))</f>
        <v>0</v>
      </c>
      <c r="N648">
        <f>IF($E648=0,0,SUMPRODUCT($AI$8:$DF$8,'Staff Daily sales'!$G633:$CD633))</f>
        <v>0</v>
      </c>
      <c r="O648">
        <f>IF($E648=0,0,SUMPRODUCT($AI$9:$DF$9,'Staff Daily sales'!$G633:$CD633))</f>
        <v>0</v>
      </c>
      <c r="P648">
        <f>IF($E648=0,0,SUMPRODUCT($AI$10:$DF$10,'Staff Daily sales'!$G633:$CD633))</f>
        <v>0</v>
      </c>
      <c r="Q648">
        <f>IF($E648=0,0,SUMPRODUCT($AI$11:$DF$11,'Staff Daily sales'!$G633:$CD633))</f>
        <v>0</v>
      </c>
      <c r="R648">
        <f>IF($E648=0,0,SUMPRODUCT($AI$12:$DF$12,'Staff Daily sales'!$G633:$CD633))</f>
        <v>0</v>
      </c>
      <c r="S648">
        <f>IF($E648=0,0,SUMPRODUCT($AI$13:$DF$13,'Staff Daily sales'!$G633:$CD633))</f>
        <v>0</v>
      </c>
      <c r="T648">
        <f>IF($E648=0,0,SUMPRODUCT($AI$14:$DF$14,'Staff Daily sales'!$G633:$CD633))</f>
        <v>0</v>
      </c>
      <c r="U648">
        <f>IF($E648=0,0,SUMPRODUCT($AI$15:$DF$15,'Staff Daily sales'!$G633:$CD633))</f>
        <v>0</v>
      </c>
      <c r="V648">
        <f>IF($E648=0,0,SUMPRODUCT($AI$16:$DF$16,'Staff Daily sales'!$G633:$CD633))</f>
        <v>0</v>
      </c>
      <c r="W648">
        <f t="shared" si="175"/>
        <v>0</v>
      </c>
      <c r="X648">
        <f t="shared" si="176"/>
        <v>0</v>
      </c>
      <c r="Y648">
        <f t="shared" si="177"/>
        <v>0</v>
      </c>
      <c r="Z648">
        <f t="shared" si="178"/>
        <v>0</v>
      </c>
      <c r="AA648">
        <f t="shared" si="179"/>
        <v>0</v>
      </c>
      <c r="AB648">
        <f>--AND($E648=1,OR('Staff Weekly Trend'!$B$3="All",$DH648='Staff Weekly Trend'!$B$3),OR('Staff Weekly Trend'!$B$4="All",$D648='Staff Weekly Trend'!$B$4),OR('Staff Weekly Trend'!$B$5="All",$A648='Staff Weekly Trend'!$B$5))</f>
        <v>0</v>
      </c>
      <c r="AC648" t="str">
        <f t="shared" si="180"/>
        <v/>
      </c>
      <c r="AI648">
        <f t="shared" si="181"/>
        <v>0</v>
      </c>
      <c r="AJ648">
        <f t="shared" si="182"/>
        <v>0</v>
      </c>
      <c r="AK648">
        <f t="shared" si="183"/>
        <v>0</v>
      </c>
      <c r="AL648">
        <f t="shared" si="184"/>
        <v>0</v>
      </c>
      <c r="AM648">
        <f t="shared" si="185"/>
        <v>0</v>
      </c>
      <c r="DH648" t="str" cm="1">
        <f t="array" ref="DH648">IF($A648="","",_xlfn.LET(_xlpm.c,IFERROR(_xlfn.XLOOKUP($A648,TRIM('Sales and count'!$A$4:$A$300&amp;""),TRIM('Sales and count'!$B$4:$B$300&amp;"")),""),IF(OR(_xlpm.c="",_xlpm.c="0",LEFT(_xlpm.c,1)="#"),"Not set",_xlpm.c)))</f>
        <v/>
      </c>
    </row>
    <row r="649" spans="1:112" x14ac:dyDescent="0.25">
      <c r="A649" t="str">
        <f>IF('Staff Daily sales'!$B634="","",TRIM('Staff Daily sales'!$B634&amp;""))</f>
        <v/>
      </c>
      <c r="B649" t="str">
        <f>IF('Staff Daily sales'!$D634="","",TRIM('Staff Daily sales'!$D634&amp;""))</f>
        <v/>
      </c>
      <c r="C649" t="str">
        <f>IFERROR(TRIM('Staff Daily sales'!$E634&amp;""),"")</f>
        <v/>
      </c>
      <c r="D649" t="str">
        <f>IFERROR(IF(TRIM('Staff Daily sales'!$F634&amp;"")="","Unassigned",TRIM('Staff Daily sales'!$F634&amp;"")),"Unassigned")</f>
        <v>Unassigned</v>
      </c>
      <c r="E649">
        <f t="shared" si="170"/>
        <v>0</v>
      </c>
      <c r="F649">
        <f>IF($E649=0,0,SUMPRODUCT($AI$5:$DF$5,'Staff Daily sales'!$G634:$CD634))</f>
        <v>0</v>
      </c>
      <c r="G649">
        <f>IF($E649=0,0,SUMPRODUCT($AI$6:$DF$6,'Staff Daily sales'!$G634:$CD634))</f>
        <v>0</v>
      </c>
      <c r="H649">
        <f t="shared" si="171"/>
        <v>0</v>
      </c>
      <c r="I649">
        <f t="shared" si="172"/>
        <v>0</v>
      </c>
      <c r="J649">
        <f t="shared" si="173"/>
        <v>0</v>
      </c>
      <c r="K649">
        <f t="shared" si="174"/>
        <v>0</v>
      </c>
      <c r="L649">
        <f>--AND($E649=1,OR('Staff Dashboard'!$B$6="All",$DH649='Staff Dashboard'!$B$6),OR('Staff Dashboard'!$B$7="All",$D649='Staff Dashboard'!$B$7),OR('Staff Dashboard'!$B$8="All",$A649='Staff Dashboard'!$B$8))</f>
        <v>0</v>
      </c>
      <c r="M649">
        <f>IF($E649=0,0,SUMPRODUCT($AI$7:$DF$7,'Staff Daily sales'!$G634:$CD634))</f>
        <v>0</v>
      </c>
      <c r="N649">
        <f>IF($E649=0,0,SUMPRODUCT($AI$8:$DF$8,'Staff Daily sales'!$G634:$CD634))</f>
        <v>0</v>
      </c>
      <c r="O649">
        <f>IF($E649=0,0,SUMPRODUCT($AI$9:$DF$9,'Staff Daily sales'!$G634:$CD634))</f>
        <v>0</v>
      </c>
      <c r="P649">
        <f>IF($E649=0,0,SUMPRODUCT($AI$10:$DF$10,'Staff Daily sales'!$G634:$CD634))</f>
        <v>0</v>
      </c>
      <c r="Q649">
        <f>IF($E649=0,0,SUMPRODUCT($AI$11:$DF$11,'Staff Daily sales'!$G634:$CD634))</f>
        <v>0</v>
      </c>
      <c r="R649">
        <f>IF($E649=0,0,SUMPRODUCT($AI$12:$DF$12,'Staff Daily sales'!$G634:$CD634))</f>
        <v>0</v>
      </c>
      <c r="S649">
        <f>IF($E649=0,0,SUMPRODUCT($AI$13:$DF$13,'Staff Daily sales'!$G634:$CD634))</f>
        <v>0</v>
      </c>
      <c r="T649">
        <f>IF($E649=0,0,SUMPRODUCT($AI$14:$DF$14,'Staff Daily sales'!$G634:$CD634))</f>
        <v>0</v>
      </c>
      <c r="U649">
        <f>IF($E649=0,0,SUMPRODUCT($AI$15:$DF$15,'Staff Daily sales'!$G634:$CD634))</f>
        <v>0</v>
      </c>
      <c r="V649">
        <f>IF($E649=0,0,SUMPRODUCT($AI$16:$DF$16,'Staff Daily sales'!$G634:$CD634))</f>
        <v>0</v>
      </c>
      <c r="W649">
        <f t="shared" si="175"/>
        <v>0</v>
      </c>
      <c r="X649">
        <f t="shared" si="176"/>
        <v>0</v>
      </c>
      <c r="Y649">
        <f t="shared" si="177"/>
        <v>0</v>
      </c>
      <c r="Z649">
        <f t="shared" si="178"/>
        <v>0</v>
      </c>
      <c r="AA649">
        <f t="shared" si="179"/>
        <v>0</v>
      </c>
      <c r="AB649">
        <f>--AND($E649=1,OR('Staff Weekly Trend'!$B$3="All",$DH649='Staff Weekly Trend'!$B$3),OR('Staff Weekly Trend'!$B$4="All",$D649='Staff Weekly Trend'!$B$4),OR('Staff Weekly Trend'!$B$5="All",$A649='Staff Weekly Trend'!$B$5))</f>
        <v>0</v>
      </c>
      <c r="AC649" t="str">
        <f t="shared" si="180"/>
        <v/>
      </c>
      <c r="AI649">
        <f t="shared" si="181"/>
        <v>0</v>
      </c>
      <c r="AJ649">
        <f t="shared" si="182"/>
        <v>0</v>
      </c>
      <c r="AK649">
        <f t="shared" si="183"/>
        <v>0</v>
      </c>
      <c r="AL649">
        <f t="shared" si="184"/>
        <v>0</v>
      </c>
      <c r="AM649">
        <f t="shared" si="185"/>
        <v>0</v>
      </c>
      <c r="DH649" t="str" cm="1">
        <f t="array" ref="DH649">IF($A649="","",_xlfn.LET(_xlpm.c,IFERROR(_xlfn.XLOOKUP($A649,TRIM('Sales and count'!$A$4:$A$300&amp;""),TRIM('Sales and count'!$B$4:$B$300&amp;"")),""),IF(OR(_xlpm.c="",_xlpm.c="0",LEFT(_xlpm.c,1)="#"),"Not set",_xlpm.c)))</f>
        <v/>
      </c>
    </row>
    <row r="650" spans="1:112" x14ac:dyDescent="0.25">
      <c r="A650" t="str">
        <f>IF('Staff Daily sales'!$B635="","",TRIM('Staff Daily sales'!$B635&amp;""))</f>
        <v/>
      </c>
      <c r="B650" t="str">
        <f>IF('Staff Daily sales'!$D635="","",TRIM('Staff Daily sales'!$D635&amp;""))</f>
        <v/>
      </c>
      <c r="C650" t="str">
        <f>IFERROR(TRIM('Staff Daily sales'!$E635&amp;""),"")</f>
        <v/>
      </c>
      <c r="D650" t="str">
        <f>IFERROR(IF(TRIM('Staff Daily sales'!$F635&amp;"")="","Unassigned",TRIM('Staff Daily sales'!$F635&amp;"")),"Unassigned")</f>
        <v>Unassigned</v>
      </c>
      <c r="E650">
        <f t="shared" si="170"/>
        <v>0</v>
      </c>
      <c r="F650">
        <f>IF($E650=0,0,SUMPRODUCT($AI$5:$DF$5,'Staff Daily sales'!$G635:$CD635))</f>
        <v>0</v>
      </c>
      <c r="G650">
        <f>IF($E650=0,0,SUMPRODUCT($AI$6:$DF$6,'Staff Daily sales'!$G635:$CD635))</f>
        <v>0</v>
      </c>
      <c r="H650">
        <f t="shared" si="171"/>
        <v>0</v>
      </c>
      <c r="I650">
        <f t="shared" si="172"/>
        <v>0</v>
      </c>
      <c r="J650">
        <f t="shared" si="173"/>
        <v>0</v>
      </c>
      <c r="K650">
        <f t="shared" si="174"/>
        <v>0</v>
      </c>
      <c r="L650">
        <f>--AND($E650=1,OR('Staff Dashboard'!$B$6="All",$DH650='Staff Dashboard'!$B$6),OR('Staff Dashboard'!$B$7="All",$D650='Staff Dashboard'!$B$7),OR('Staff Dashboard'!$B$8="All",$A650='Staff Dashboard'!$B$8))</f>
        <v>0</v>
      </c>
      <c r="M650">
        <f>IF($E650=0,0,SUMPRODUCT($AI$7:$DF$7,'Staff Daily sales'!$G635:$CD635))</f>
        <v>0</v>
      </c>
      <c r="N650">
        <f>IF($E650=0,0,SUMPRODUCT($AI$8:$DF$8,'Staff Daily sales'!$G635:$CD635))</f>
        <v>0</v>
      </c>
      <c r="O650">
        <f>IF($E650=0,0,SUMPRODUCT($AI$9:$DF$9,'Staff Daily sales'!$G635:$CD635))</f>
        <v>0</v>
      </c>
      <c r="P650">
        <f>IF($E650=0,0,SUMPRODUCT($AI$10:$DF$10,'Staff Daily sales'!$G635:$CD635))</f>
        <v>0</v>
      </c>
      <c r="Q650">
        <f>IF($E650=0,0,SUMPRODUCT($AI$11:$DF$11,'Staff Daily sales'!$G635:$CD635))</f>
        <v>0</v>
      </c>
      <c r="R650">
        <f>IF($E650=0,0,SUMPRODUCT($AI$12:$DF$12,'Staff Daily sales'!$G635:$CD635))</f>
        <v>0</v>
      </c>
      <c r="S650">
        <f>IF($E650=0,0,SUMPRODUCT($AI$13:$DF$13,'Staff Daily sales'!$G635:$CD635))</f>
        <v>0</v>
      </c>
      <c r="T650">
        <f>IF($E650=0,0,SUMPRODUCT($AI$14:$DF$14,'Staff Daily sales'!$G635:$CD635))</f>
        <v>0</v>
      </c>
      <c r="U650">
        <f>IF($E650=0,0,SUMPRODUCT($AI$15:$DF$15,'Staff Daily sales'!$G635:$CD635))</f>
        <v>0</v>
      </c>
      <c r="V650">
        <f>IF($E650=0,0,SUMPRODUCT($AI$16:$DF$16,'Staff Daily sales'!$G635:$CD635))</f>
        <v>0</v>
      </c>
      <c r="W650">
        <f t="shared" si="175"/>
        <v>0</v>
      </c>
      <c r="X650">
        <f t="shared" si="176"/>
        <v>0</v>
      </c>
      <c r="Y650">
        <f t="shared" si="177"/>
        <v>0</v>
      </c>
      <c r="Z650">
        <f t="shared" si="178"/>
        <v>0</v>
      </c>
      <c r="AA650">
        <f t="shared" si="179"/>
        <v>0</v>
      </c>
      <c r="AB650">
        <f>--AND($E650=1,OR('Staff Weekly Trend'!$B$3="All",$DH650='Staff Weekly Trend'!$B$3),OR('Staff Weekly Trend'!$B$4="All",$D650='Staff Weekly Trend'!$B$4),OR('Staff Weekly Trend'!$B$5="All",$A650='Staff Weekly Trend'!$B$5))</f>
        <v>0</v>
      </c>
      <c r="AC650" t="str">
        <f t="shared" si="180"/>
        <v/>
      </c>
      <c r="AI650">
        <f t="shared" si="181"/>
        <v>0</v>
      </c>
      <c r="AJ650">
        <f t="shared" si="182"/>
        <v>0</v>
      </c>
      <c r="AK650">
        <f t="shared" si="183"/>
        <v>0</v>
      </c>
      <c r="AL650">
        <f t="shared" si="184"/>
        <v>0</v>
      </c>
      <c r="AM650">
        <f t="shared" si="185"/>
        <v>0</v>
      </c>
      <c r="DH650" t="str" cm="1">
        <f t="array" ref="DH650">IF($A650="","",_xlfn.LET(_xlpm.c,IFERROR(_xlfn.XLOOKUP($A650,TRIM('Sales and count'!$A$4:$A$300&amp;""),TRIM('Sales and count'!$B$4:$B$300&amp;"")),""),IF(OR(_xlpm.c="",_xlpm.c="0",LEFT(_xlpm.c,1)="#"),"Not set",_xlpm.c)))</f>
        <v/>
      </c>
    </row>
    <row r="651" spans="1:112" x14ac:dyDescent="0.25">
      <c r="A651" t="str">
        <f>IF('Staff Daily sales'!$B636="","",TRIM('Staff Daily sales'!$B636&amp;""))</f>
        <v/>
      </c>
      <c r="B651" t="str">
        <f>IF('Staff Daily sales'!$D636="","",TRIM('Staff Daily sales'!$D636&amp;""))</f>
        <v/>
      </c>
      <c r="C651" t="str">
        <f>IFERROR(TRIM('Staff Daily sales'!$E636&amp;""),"")</f>
        <v/>
      </c>
      <c r="D651" t="str">
        <f>IFERROR(IF(TRIM('Staff Daily sales'!$F636&amp;"")="","Unassigned",TRIM('Staff Daily sales'!$F636&amp;"")),"Unassigned")</f>
        <v>Unassigned</v>
      </c>
      <c r="E651">
        <f t="shared" si="170"/>
        <v>0</v>
      </c>
      <c r="F651">
        <f>IF($E651=0,0,SUMPRODUCT($AI$5:$DF$5,'Staff Daily sales'!$G636:$CD636))</f>
        <v>0</v>
      </c>
      <c r="G651">
        <f>IF($E651=0,0,SUMPRODUCT($AI$6:$DF$6,'Staff Daily sales'!$G636:$CD636))</f>
        <v>0</v>
      </c>
      <c r="H651">
        <f t="shared" si="171"/>
        <v>0</v>
      </c>
      <c r="I651">
        <f t="shared" si="172"/>
        <v>0</v>
      </c>
      <c r="J651">
        <f t="shared" si="173"/>
        <v>0</v>
      </c>
      <c r="K651">
        <f t="shared" si="174"/>
        <v>0</v>
      </c>
      <c r="L651">
        <f>--AND($E651=1,OR('Staff Dashboard'!$B$6="All",$DH651='Staff Dashboard'!$B$6),OR('Staff Dashboard'!$B$7="All",$D651='Staff Dashboard'!$B$7),OR('Staff Dashboard'!$B$8="All",$A651='Staff Dashboard'!$B$8))</f>
        <v>0</v>
      </c>
      <c r="M651">
        <f>IF($E651=0,0,SUMPRODUCT($AI$7:$DF$7,'Staff Daily sales'!$G636:$CD636))</f>
        <v>0</v>
      </c>
      <c r="N651">
        <f>IF($E651=0,0,SUMPRODUCT($AI$8:$DF$8,'Staff Daily sales'!$G636:$CD636))</f>
        <v>0</v>
      </c>
      <c r="O651">
        <f>IF($E651=0,0,SUMPRODUCT($AI$9:$DF$9,'Staff Daily sales'!$G636:$CD636))</f>
        <v>0</v>
      </c>
      <c r="P651">
        <f>IF($E651=0,0,SUMPRODUCT($AI$10:$DF$10,'Staff Daily sales'!$G636:$CD636))</f>
        <v>0</v>
      </c>
      <c r="Q651">
        <f>IF($E651=0,0,SUMPRODUCT($AI$11:$DF$11,'Staff Daily sales'!$G636:$CD636))</f>
        <v>0</v>
      </c>
      <c r="R651">
        <f>IF($E651=0,0,SUMPRODUCT($AI$12:$DF$12,'Staff Daily sales'!$G636:$CD636))</f>
        <v>0</v>
      </c>
      <c r="S651">
        <f>IF($E651=0,0,SUMPRODUCT($AI$13:$DF$13,'Staff Daily sales'!$G636:$CD636))</f>
        <v>0</v>
      </c>
      <c r="T651">
        <f>IF($E651=0,0,SUMPRODUCT($AI$14:$DF$14,'Staff Daily sales'!$G636:$CD636))</f>
        <v>0</v>
      </c>
      <c r="U651">
        <f>IF($E651=0,0,SUMPRODUCT($AI$15:$DF$15,'Staff Daily sales'!$G636:$CD636))</f>
        <v>0</v>
      </c>
      <c r="V651">
        <f>IF($E651=0,0,SUMPRODUCT($AI$16:$DF$16,'Staff Daily sales'!$G636:$CD636))</f>
        <v>0</v>
      </c>
      <c r="W651">
        <f t="shared" si="175"/>
        <v>0</v>
      </c>
      <c r="X651">
        <f t="shared" si="176"/>
        <v>0</v>
      </c>
      <c r="Y651">
        <f t="shared" si="177"/>
        <v>0</v>
      </c>
      <c r="Z651">
        <f t="shared" si="178"/>
        <v>0</v>
      </c>
      <c r="AA651">
        <f t="shared" si="179"/>
        <v>0</v>
      </c>
      <c r="AB651">
        <f>--AND($E651=1,OR('Staff Weekly Trend'!$B$3="All",$DH651='Staff Weekly Trend'!$B$3),OR('Staff Weekly Trend'!$B$4="All",$D651='Staff Weekly Trend'!$B$4),OR('Staff Weekly Trend'!$B$5="All",$A651='Staff Weekly Trend'!$B$5))</f>
        <v>0</v>
      </c>
      <c r="AC651" t="str">
        <f t="shared" si="180"/>
        <v/>
      </c>
      <c r="AI651">
        <f t="shared" si="181"/>
        <v>0</v>
      </c>
      <c r="AJ651">
        <f t="shared" si="182"/>
        <v>0</v>
      </c>
      <c r="AK651">
        <f t="shared" si="183"/>
        <v>0</v>
      </c>
      <c r="AL651">
        <f t="shared" si="184"/>
        <v>0</v>
      </c>
      <c r="AM651">
        <f t="shared" si="185"/>
        <v>0</v>
      </c>
      <c r="DH651" t="str" cm="1">
        <f t="array" ref="DH651">IF($A651="","",_xlfn.LET(_xlpm.c,IFERROR(_xlfn.XLOOKUP($A651,TRIM('Sales and count'!$A$4:$A$300&amp;""),TRIM('Sales and count'!$B$4:$B$300&amp;"")),""),IF(OR(_xlpm.c="",_xlpm.c="0",LEFT(_xlpm.c,1)="#"),"Not set",_xlpm.c)))</f>
        <v/>
      </c>
    </row>
    <row r="652" spans="1:112" x14ac:dyDescent="0.25">
      <c r="A652" t="str">
        <f>IF('Staff Daily sales'!$B637="","",TRIM('Staff Daily sales'!$B637&amp;""))</f>
        <v/>
      </c>
      <c r="B652" t="str">
        <f>IF('Staff Daily sales'!$D637="","",TRIM('Staff Daily sales'!$D637&amp;""))</f>
        <v/>
      </c>
      <c r="C652" t="str">
        <f>IFERROR(TRIM('Staff Daily sales'!$E637&amp;""),"")</f>
        <v/>
      </c>
      <c r="D652" t="str">
        <f>IFERROR(IF(TRIM('Staff Daily sales'!$F637&amp;"")="","Unassigned",TRIM('Staff Daily sales'!$F637&amp;"")),"Unassigned")</f>
        <v>Unassigned</v>
      </c>
      <c r="E652">
        <f t="shared" si="170"/>
        <v>0</v>
      </c>
      <c r="F652">
        <f>IF($E652=0,0,SUMPRODUCT($AI$5:$DF$5,'Staff Daily sales'!$G637:$CD637))</f>
        <v>0</v>
      </c>
      <c r="G652">
        <f>IF($E652=0,0,SUMPRODUCT($AI$6:$DF$6,'Staff Daily sales'!$G637:$CD637))</f>
        <v>0</v>
      </c>
      <c r="H652">
        <f t="shared" si="171"/>
        <v>0</v>
      </c>
      <c r="I652">
        <f t="shared" si="172"/>
        <v>0</v>
      </c>
      <c r="J652">
        <f t="shared" si="173"/>
        <v>0</v>
      </c>
      <c r="K652">
        <f t="shared" si="174"/>
        <v>0</v>
      </c>
      <c r="L652">
        <f>--AND($E652=1,OR('Staff Dashboard'!$B$6="All",$DH652='Staff Dashboard'!$B$6),OR('Staff Dashboard'!$B$7="All",$D652='Staff Dashboard'!$B$7),OR('Staff Dashboard'!$B$8="All",$A652='Staff Dashboard'!$B$8))</f>
        <v>0</v>
      </c>
      <c r="M652">
        <f>IF($E652=0,0,SUMPRODUCT($AI$7:$DF$7,'Staff Daily sales'!$G637:$CD637))</f>
        <v>0</v>
      </c>
      <c r="N652">
        <f>IF($E652=0,0,SUMPRODUCT($AI$8:$DF$8,'Staff Daily sales'!$G637:$CD637))</f>
        <v>0</v>
      </c>
      <c r="O652">
        <f>IF($E652=0,0,SUMPRODUCT($AI$9:$DF$9,'Staff Daily sales'!$G637:$CD637))</f>
        <v>0</v>
      </c>
      <c r="P652">
        <f>IF($E652=0,0,SUMPRODUCT($AI$10:$DF$10,'Staff Daily sales'!$G637:$CD637))</f>
        <v>0</v>
      </c>
      <c r="Q652">
        <f>IF($E652=0,0,SUMPRODUCT($AI$11:$DF$11,'Staff Daily sales'!$G637:$CD637))</f>
        <v>0</v>
      </c>
      <c r="R652">
        <f>IF($E652=0,0,SUMPRODUCT($AI$12:$DF$12,'Staff Daily sales'!$G637:$CD637))</f>
        <v>0</v>
      </c>
      <c r="S652">
        <f>IF($E652=0,0,SUMPRODUCT($AI$13:$DF$13,'Staff Daily sales'!$G637:$CD637))</f>
        <v>0</v>
      </c>
      <c r="T652">
        <f>IF($E652=0,0,SUMPRODUCT($AI$14:$DF$14,'Staff Daily sales'!$G637:$CD637))</f>
        <v>0</v>
      </c>
      <c r="U652">
        <f>IF($E652=0,0,SUMPRODUCT($AI$15:$DF$15,'Staff Daily sales'!$G637:$CD637))</f>
        <v>0</v>
      </c>
      <c r="V652">
        <f>IF($E652=0,0,SUMPRODUCT($AI$16:$DF$16,'Staff Daily sales'!$G637:$CD637))</f>
        <v>0</v>
      </c>
      <c r="W652">
        <f t="shared" si="175"/>
        <v>0</v>
      </c>
      <c r="X652">
        <f t="shared" si="176"/>
        <v>0</v>
      </c>
      <c r="Y652">
        <f t="shared" si="177"/>
        <v>0</v>
      </c>
      <c r="Z652">
        <f t="shared" si="178"/>
        <v>0</v>
      </c>
      <c r="AA652">
        <f t="shared" si="179"/>
        <v>0</v>
      </c>
      <c r="AB652">
        <f>--AND($E652=1,OR('Staff Weekly Trend'!$B$3="All",$DH652='Staff Weekly Trend'!$B$3),OR('Staff Weekly Trend'!$B$4="All",$D652='Staff Weekly Trend'!$B$4),OR('Staff Weekly Trend'!$B$5="All",$A652='Staff Weekly Trend'!$B$5))</f>
        <v>0</v>
      </c>
      <c r="AC652" t="str">
        <f t="shared" si="180"/>
        <v/>
      </c>
      <c r="AI652">
        <f t="shared" si="181"/>
        <v>0</v>
      </c>
      <c r="AJ652">
        <f t="shared" si="182"/>
        <v>0</v>
      </c>
      <c r="AK652">
        <f t="shared" si="183"/>
        <v>0</v>
      </c>
      <c r="AL652">
        <f t="shared" si="184"/>
        <v>0</v>
      </c>
      <c r="AM652">
        <f t="shared" si="185"/>
        <v>0</v>
      </c>
      <c r="DH652" t="str" cm="1">
        <f t="array" ref="DH652">IF($A652="","",_xlfn.LET(_xlpm.c,IFERROR(_xlfn.XLOOKUP($A652,TRIM('Sales and count'!$A$4:$A$300&amp;""),TRIM('Sales and count'!$B$4:$B$300&amp;"")),""),IF(OR(_xlpm.c="",_xlpm.c="0",LEFT(_xlpm.c,1)="#"),"Not set",_xlpm.c)))</f>
        <v/>
      </c>
    </row>
    <row r="653" spans="1:112" x14ac:dyDescent="0.25">
      <c r="A653" t="str">
        <f>IF('Staff Daily sales'!$B638="","",TRIM('Staff Daily sales'!$B638&amp;""))</f>
        <v/>
      </c>
      <c r="B653" t="str">
        <f>IF('Staff Daily sales'!$D638="","",TRIM('Staff Daily sales'!$D638&amp;""))</f>
        <v/>
      </c>
      <c r="C653" t="str">
        <f>IFERROR(TRIM('Staff Daily sales'!$E638&amp;""),"")</f>
        <v/>
      </c>
      <c r="D653" t="str">
        <f>IFERROR(IF(TRIM('Staff Daily sales'!$F638&amp;"")="","Unassigned",TRIM('Staff Daily sales'!$F638&amp;"")),"Unassigned")</f>
        <v>Unassigned</v>
      </c>
      <c r="E653">
        <f t="shared" si="170"/>
        <v>0</v>
      </c>
      <c r="F653">
        <f>IF($E653=0,0,SUMPRODUCT($AI$5:$DF$5,'Staff Daily sales'!$G638:$CD638))</f>
        <v>0</v>
      </c>
      <c r="G653">
        <f>IF($E653=0,0,SUMPRODUCT($AI$6:$DF$6,'Staff Daily sales'!$G638:$CD638))</f>
        <v>0</v>
      </c>
      <c r="H653">
        <f t="shared" si="171"/>
        <v>0</v>
      </c>
      <c r="I653">
        <f t="shared" si="172"/>
        <v>0</v>
      </c>
      <c r="J653">
        <f t="shared" si="173"/>
        <v>0</v>
      </c>
      <c r="K653">
        <f t="shared" si="174"/>
        <v>0</v>
      </c>
      <c r="L653">
        <f>--AND($E653=1,OR('Staff Dashboard'!$B$6="All",$DH653='Staff Dashboard'!$B$6),OR('Staff Dashboard'!$B$7="All",$D653='Staff Dashboard'!$B$7),OR('Staff Dashboard'!$B$8="All",$A653='Staff Dashboard'!$B$8))</f>
        <v>0</v>
      </c>
      <c r="M653">
        <f>IF($E653=0,0,SUMPRODUCT($AI$7:$DF$7,'Staff Daily sales'!$G638:$CD638))</f>
        <v>0</v>
      </c>
      <c r="N653">
        <f>IF($E653=0,0,SUMPRODUCT($AI$8:$DF$8,'Staff Daily sales'!$G638:$CD638))</f>
        <v>0</v>
      </c>
      <c r="O653">
        <f>IF($E653=0,0,SUMPRODUCT($AI$9:$DF$9,'Staff Daily sales'!$G638:$CD638))</f>
        <v>0</v>
      </c>
      <c r="P653">
        <f>IF($E653=0,0,SUMPRODUCT($AI$10:$DF$10,'Staff Daily sales'!$G638:$CD638))</f>
        <v>0</v>
      </c>
      <c r="Q653">
        <f>IF($E653=0,0,SUMPRODUCT($AI$11:$DF$11,'Staff Daily sales'!$G638:$CD638))</f>
        <v>0</v>
      </c>
      <c r="R653">
        <f>IF($E653=0,0,SUMPRODUCT($AI$12:$DF$12,'Staff Daily sales'!$G638:$CD638))</f>
        <v>0</v>
      </c>
      <c r="S653">
        <f>IF($E653=0,0,SUMPRODUCT($AI$13:$DF$13,'Staff Daily sales'!$G638:$CD638))</f>
        <v>0</v>
      </c>
      <c r="T653">
        <f>IF($E653=0,0,SUMPRODUCT($AI$14:$DF$14,'Staff Daily sales'!$G638:$CD638))</f>
        <v>0</v>
      </c>
      <c r="U653">
        <f>IF($E653=0,0,SUMPRODUCT($AI$15:$DF$15,'Staff Daily sales'!$G638:$CD638))</f>
        <v>0</v>
      </c>
      <c r="V653">
        <f>IF($E653=0,0,SUMPRODUCT($AI$16:$DF$16,'Staff Daily sales'!$G638:$CD638))</f>
        <v>0</v>
      </c>
      <c r="W653">
        <f t="shared" si="175"/>
        <v>0</v>
      </c>
      <c r="X653">
        <f t="shared" si="176"/>
        <v>0</v>
      </c>
      <c r="Y653">
        <f t="shared" si="177"/>
        <v>0</v>
      </c>
      <c r="Z653">
        <f t="shared" si="178"/>
        <v>0</v>
      </c>
      <c r="AA653">
        <f t="shared" si="179"/>
        <v>0</v>
      </c>
      <c r="AB653">
        <f>--AND($E653=1,OR('Staff Weekly Trend'!$B$3="All",$DH653='Staff Weekly Trend'!$B$3),OR('Staff Weekly Trend'!$B$4="All",$D653='Staff Weekly Trend'!$B$4),OR('Staff Weekly Trend'!$B$5="All",$A653='Staff Weekly Trend'!$B$5))</f>
        <v>0</v>
      </c>
      <c r="AC653" t="str">
        <f t="shared" si="180"/>
        <v/>
      </c>
      <c r="AI653">
        <f t="shared" si="181"/>
        <v>0</v>
      </c>
      <c r="AJ653">
        <f t="shared" si="182"/>
        <v>0</v>
      </c>
      <c r="AK653">
        <f t="shared" si="183"/>
        <v>0</v>
      </c>
      <c r="AL653">
        <f t="shared" si="184"/>
        <v>0</v>
      </c>
      <c r="AM653">
        <f t="shared" si="185"/>
        <v>0</v>
      </c>
      <c r="DH653" t="str" cm="1">
        <f t="array" ref="DH653">IF($A653="","",_xlfn.LET(_xlpm.c,IFERROR(_xlfn.XLOOKUP($A653,TRIM('Sales and count'!$A$4:$A$300&amp;""),TRIM('Sales and count'!$B$4:$B$300&amp;"")),""),IF(OR(_xlpm.c="",_xlpm.c="0",LEFT(_xlpm.c,1)="#"),"Not set",_xlpm.c)))</f>
        <v/>
      </c>
    </row>
    <row r="654" spans="1:112" x14ac:dyDescent="0.25">
      <c r="A654" t="str">
        <f>IF('Staff Daily sales'!$B639="","",TRIM('Staff Daily sales'!$B639&amp;""))</f>
        <v/>
      </c>
      <c r="B654" t="str">
        <f>IF('Staff Daily sales'!$D639="","",TRIM('Staff Daily sales'!$D639&amp;""))</f>
        <v/>
      </c>
      <c r="C654" t="str">
        <f>IFERROR(TRIM('Staff Daily sales'!$E639&amp;""),"")</f>
        <v/>
      </c>
      <c r="D654" t="str">
        <f>IFERROR(IF(TRIM('Staff Daily sales'!$F639&amp;"")="","Unassigned",TRIM('Staff Daily sales'!$F639&amp;"")),"Unassigned")</f>
        <v>Unassigned</v>
      </c>
      <c r="E654">
        <f t="shared" si="170"/>
        <v>0</v>
      </c>
      <c r="F654">
        <f>IF($E654=0,0,SUMPRODUCT($AI$5:$DF$5,'Staff Daily sales'!$G639:$CD639))</f>
        <v>0</v>
      </c>
      <c r="G654">
        <f>IF($E654=0,0,SUMPRODUCT($AI$6:$DF$6,'Staff Daily sales'!$G639:$CD639))</f>
        <v>0</v>
      </c>
      <c r="H654">
        <f t="shared" si="171"/>
        <v>0</v>
      </c>
      <c r="I654">
        <f t="shared" si="172"/>
        <v>0</v>
      </c>
      <c r="J654">
        <f t="shared" si="173"/>
        <v>0</v>
      </c>
      <c r="K654">
        <f t="shared" si="174"/>
        <v>0</v>
      </c>
      <c r="L654">
        <f>--AND($E654=1,OR('Staff Dashboard'!$B$6="All",$DH654='Staff Dashboard'!$B$6),OR('Staff Dashboard'!$B$7="All",$D654='Staff Dashboard'!$B$7),OR('Staff Dashboard'!$B$8="All",$A654='Staff Dashboard'!$B$8))</f>
        <v>0</v>
      </c>
      <c r="M654">
        <f>IF($E654=0,0,SUMPRODUCT($AI$7:$DF$7,'Staff Daily sales'!$G639:$CD639))</f>
        <v>0</v>
      </c>
      <c r="N654">
        <f>IF($E654=0,0,SUMPRODUCT($AI$8:$DF$8,'Staff Daily sales'!$G639:$CD639))</f>
        <v>0</v>
      </c>
      <c r="O654">
        <f>IF($E654=0,0,SUMPRODUCT($AI$9:$DF$9,'Staff Daily sales'!$G639:$CD639))</f>
        <v>0</v>
      </c>
      <c r="P654">
        <f>IF($E654=0,0,SUMPRODUCT($AI$10:$DF$10,'Staff Daily sales'!$G639:$CD639))</f>
        <v>0</v>
      </c>
      <c r="Q654">
        <f>IF($E654=0,0,SUMPRODUCT($AI$11:$DF$11,'Staff Daily sales'!$G639:$CD639))</f>
        <v>0</v>
      </c>
      <c r="R654">
        <f>IF($E654=0,0,SUMPRODUCT($AI$12:$DF$12,'Staff Daily sales'!$G639:$CD639))</f>
        <v>0</v>
      </c>
      <c r="S654">
        <f>IF($E654=0,0,SUMPRODUCT($AI$13:$DF$13,'Staff Daily sales'!$G639:$CD639))</f>
        <v>0</v>
      </c>
      <c r="T654">
        <f>IF($E654=0,0,SUMPRODUCT($AI$14:$DF$14,'Staff Daily sales'!$G639:$CD639))</f>
        <v>0</v>
      </c>
      <c r="U654">
        <f>IF($E654=0,0,SUMPRODUCT($AI$15:$DF$15,'Staff Daily sales'!$G639:$CD639))</f>
        <v>0</v>
      </c>
      <c r="V654">
        <f>IF($E654=0,0,SUMPRODUCT($AI$16:$DF$16,'Staff Daily sales'!$G639:$CD639))</f>
        <v>0</v>
      </c>
      <c r="W654">
        <f t="shared" si="175"/>
        <v>0</v>
      </c>
      <c r="X654">
        <f t="shared" si="176"/>
        <v>0</v>
      </c>
      <c r="Y654">
        <f t="shared" si="177"/>
        <v>0</v>
      </c>
      <c r="Z654">
        <f t="shared" si="178"/>
        <v>0</v>
      </c>
      <c r="AA654">
        <f t="shared" si="179"/>
        <v>0</v>
      </c>
      <c r="AB654">
        <f>--AND($E654=1,OR('Staff Weekly Trend'!$B$3="All",$DH654='Staff Weekly Trend'!$B$3),OR('Staff Weekly Trend'!$B$4="All",$D654='Staff Weekly Trend'!$B$4),OR('Staff Weekly Trend'!$B$5="All",$A654='Staff Weekly Trend'!$B$5))</f>
        <v>0</v>
      </c>
      <c r="AC654" t="str">
        <f t="shared" si="180"/>
        <v/>
      </c>
      <c r="AI654">
        <f t="shared" si="181"/>
        <v>0</v>
      </c>
      <c r="AJ654">
        <f t="shared" si="182"/>
        <v>0</v>
      </c>
      <c r="AK654">
        <f t="shared" si="183"/>
        <v>0</v>
      </c>
      <c r="AL654">
        <f t="shared" si="184"/>
        <v>0</v>
      </c>
      <c r="AM654">
        <f t="shared" si="185"/>
        <v>0</v>
      </c>
      <c r="DH654" t="str" cm="1">
        <f t="array" ref="DH654">IF($A654="","",_xlfn.LET(_xlpm.c,IFERROR(_xlfn.XLOOKUP($A654,TRIM('Sales and count'!$A$4:$A$300&amp;""),TRIM('Sales and count'!$B$4:$B$300&amp;"")),""),IF(OR(_xlpm.c="",_xlpm.c="0",LEFT(_xlpm.c,1)="#"),"Not set",_xlpm.c)))</f>
        <v/>
      </c>
    </row>
    <row r="655" spans="1:112" x14ac:dyDescent="0.25">
      <c r="A655" t="str">
        <f>IF('Staff Daily sales'!$B640="","",TRIM('Staff Daily sales'!$B640&amp;""))</f>
        <v/>
      </c>
      <c r="B655" t="str">
        <f>IF('Staff Daily sales'!$D640="","",TRIM('Staff Daily sales'!$D640&amp;""))</f>
        <v/>
      </c>
      <c r="C655" t="str">
        <f>IFERROR(TRIM('Staff Daily sales'!$E640&amp;""),"")</f>
        <v/>
      </c>
      <c r="D655" t="str">
        <f>IFERROR(IF(TRIM('Staff Daily sales'!$F640&amp;"")="","Unassigned",TRIM('Staff Daily sales'!$F640&amp;"")),"Unassigned")</f>
        <v>Unassigned</v>
      </c>
      <c r="E655">
        <f t="shared" si="170"/>
        <v>0</v>
      </c>
      <c r="F655">
        <f>IF($E655=0,0,SUMPRODUCT($AI$5:$DF$5,'Staff Daily sales'!$G640:$CD640))</f>
        <v>0</v>
      </c>
      <c r="G655">
        <f>IF($E655=0,0,SUMPRODUCT($AI$6:$DF$6,'Staff Daily sales'!$G640:$CD640))</f>
        <v>0</v>
      </c>
      <c r="H655">
        <f t="shared" si="171"/>
        <v>0</v>
      </c>
      <c r="I655">
        <f t="shared" si="172"/>
        <v>0</v>
      </c>
      <c r="J655">
        <f t="shared" si="173"/>
        <v>0</v>
      </c>
      <c r="K655">
        <f t="shared" si="174"/>
        <v>0</v>
      </c>
      <c r="L655">
        <f>--AND($E655=1,OR('Staff Dashboard'!$B$6="All",$DH655='Staff Dashboard'!$B$6),OR('Staff Dashboard'!$B$7="All",$D655='Staff Dashboard'!$B$7),OR('Staff Dashboard'!$B$8="All",$A655='Staff Dashboard'!$B$8))</f>
        <v>0</v>
      </c>
      <c r="M655">
        <f>IF($E655=0,0,SUMPRODUCT($AI$7:$DF$7,'Staff Daily sales'!$G640:$CD640))</f>
        <v>0</v>
      </c>
      <c r="N655">
        <f>IF($E655=0,0,SUMPRODUCT($AI$8:$DF$8,'Staff Daily sales'!$G640:$CD640))</f>
        <v>0</v>
      </c>
      <c r="O655">
        <f>IF($E655=0,0,SUMPRODUCT($AI$9:$DF$9,'Staff Daily sales'!$G640:$CD640))</f>
        <v>0</v>
      </c>
      <c r="P655">
        <f>IF($E655=0,0,SUMPRODUCT($AI$10:$DF$10,'Staff Daily sales'!$G640:$CD640))</f>
        <v>0</v>
      </c>
      <c r="Q655">
        <f>IF($E655=0,0,SUMPRODUCT($AI$11:$DF$11,'Staff Daily sales'!$G640:$CD640))</f>
        <v>0</v>
      </c>
      <c r="R655">
        <f>IF($E655=0,0,SUMPRODUCT($AI$12:$DF$12,'Staff Daily sales'!$G640:$CD640))</f>
        <v>0</v>
      </c>
      <c r="S655">
        <f>IF($E655=0,0,SUMPRODUCT($AI$13:$DF$13,'Staff Daily sales'!$G640:$CD640))</f>
        <v>0</v>
      </c>
      <c r="T655">
        <f>IF($E655=0,0,SUMPRODUCT($AI$14:$DF$14,'Staff Daily sales'!$G640:$CD640))</f>
        <v>0</v>
      </c>
      <c r="U655">
        <f>IF($E655=0,0,SUMPRODUCT($AI$15:$DF$15,'Staff Daily sales'!$G640:$CD640))</f>
        <v>0</v>
      </c>
      <c r="V655">
        <f>IF($E655=0,0,SUMPRODUCT($AI$16:$DF$16,'Staff Daily sales'!$G640:$CD640))</f>
        <v>0</v>
      </c>
      <c r="W655">
        <f t="shared" si="175"/>
        <v>0</v>
      </c>
      <c r="X655">
        <f t="shared" si="176"/>
        <v>0</v>
      </c>
      <c r="Y655">
        <f t="shared" si="177"/>
        <v>0</v>
      </c>
      <c r="Z655">
        <f t="shared" si="178"/>
        <v>0</v>
      </c>
      <c r="AA655">
        <f t="shared" si="179"/>
        <v>0</v>
      </c>
      <c r="AB655">
        <f>--AND($E655=1,OR('Staff Weekly Trend'!$B$3="All",$DH655='Staff Weekly Trend'!$B$3),OR('Staff Weekly Trend'!$B$4="All",$D655='Staff Weekly Trend'!$B$4),OR('Staff Weekly Trend'!$B$5="All",$A655='Staff Weekly Trend'!$B$5))</f>
        <v>0</v>
      </c>
      <c r="AC655" t="str">
        <f t="shared" si="180"/>
        <v/>
      </c>
      <c r="AI655">
        <f t="shared" si="181"/>
        <v>0</v>
      </c>
      <c r="AJ655">
        <f t="shared" si="182"/>
        <v>0</v>
      </c>
      <c r="AK655">
        <f t="shared" si="183"/>
        <v>0</v>
      </c>
      <c r="AL655">
        <f t="shared" si="184"/>
        <v>0</v>
      </c>
      <c r="AM655">
        <f t="shared" si="185"/>
        <v>0</v>
      </c>
      <c r="DH655" t="str" cm="1">
        <f t="array" ref="DH655">IF($A655="","",_xlfn.LET(_xlpm.c,IFERROR(_xlfn.XLOOKUP($A655,TRIM('Sales and count'!$A$4:$A$300&amp;""),TRIM('Sales and count'!$B$4:$B$300&amp;"")),""),IF(OR(_xlpm.c="",_xlpm.c="0",LEFT(_xlpm.c,1)="#"),"Not set",_xlpm.c)))</f>
        <v/>
      </c>
    </row>
    <row r="656" spans="1:112" x14ac:dyDescent="0.25">
      <c r="A656" t="str">
        <f>IF('Staff Daily sales'!$B641="","",TRIM('Staff Daily sales'!$B641&amp;""))</f>
        <v/>
      </c>
      <c r="B656" t="str">
        <f>IF('Staff Daily sales'!$D641="","",TRIM('Staff Daily sales'!$D641&amp;""))</f>
        <v/>
      </c>
      <c r="C656" t="str">
        <f>IFERROR(TRIM('Staff Daily sales'!$E641&amp;""),"")</f>
        <v/>
      </c>
      <c r="D656" t="str">
        <f>IFERROR(IF(TRIM('Staff Daily sales'!$F641&amp;"")="","Unassigned",TRIM('Staff Daily sales'!$F641&amp;"")),"Unassigned")</f>
        <v>Unassigned</v>
      </c>
      <c r="E656">
        <f t="shared" si="170"/>
        <v>0</v>
      </c>
      <c r="F656">
        <f>IF($E656=0,0,SUMPRODUCT($AI$5:$DF$5,'Staff Daily sales'!$G641:$CD641))</f>
        <v>0</v>
      </c>
      <c r="G656">
        <f>IF($E656=0,0,SUMPRODUCT($AI$6:$DF$6,'Staff Daily sales'!$G641:$CD641))</f>
        <v>0</v>
      </c>
      <c r="H656">
        <f t="shared" si="171"/>
        <v>0</v>
      </c>
      <c r="I656">
        <f t="shared" si="172"/>
        <v>0</v>
      </c>
      <c r="J656">
        <f t="shared" si="173"/>
        <v>0</v>
      </c>
      <c r="K656">
        <f t="shared" si="174"/>
        <v>0</v>
      </c>
      <c r="L656">
        <f>--AND($E656=1,OR('Staff Dashboard'!$B$6="All",$DH656='Staff Dashboard'!$B$6),OR('Staff Dashboard'!$B$7="All",$D656='Staff Dashboard'!$B$7),OR('Staff Dashboard'!$B$8="All",$A656='Staff Dashboard'!$B$8))</f>
        <v>0</v>
      </c>
      <c r="M656">
        <f>IF($E656=0,0,SUMPRODUCT($AI$7:$DF$7,'Staff Daily sales'!$G641:$CD641))</f>
        <v>0</v>
      </c>
      <c r="N656">
        <f>IF($E656=0,0,SUMPRODUCT($AI$8:$DF$8,'Staff Daily sales'!$G641:$CD641))</f>
        <v>0</v>
      </c>
      <c r="O656">
        <f>IF($E656=0,0,SUMPRODUCT($AI$9:$DF$9,'Staff Daily sales'!$G641:$CD641))</f>
        <v>0</v>
      </c>
      <c r="P656">
        <f>IF($E656=0,0,SUMPRODUCT($AI$10:$DF$10,'Staff Daily sales'!$G641:$CD641))</f>
        <v>0</v>
      </c>
      <c r="Q656">
        <f>IF($E656=0,0,SUMPRODUCT($AI$11:$DF$11,'Staff Daily sales'!$G641:$CD641))</f>
        <v>0</v>
      </c>
      <c r="R656">
        <f>IF($E656=0,0,SUMPRODUCT($AI$12:$DF$12,'Staff Daily sales'!$G641:$CD641))</f>
        <v>0</v>
      </c>
      <c r="S656">
        <f>IF($E656=0,0,SUMPRODUCT($AI$13:$DF$13,'Staff Daily sales'!$G641:$CD641))</f>
        <v>0</v>
      </c>
      <c r="T656">
        <f>IF($E656=0,0,SUMPRODUCT($AI$14:$DF$14,'Staff Daily sales'!$G641:$CD641))</f>
        <v>0</v>
      </c>
      <c r="U656">
        <f>IF($E656=0,0,SUMPRODUCT($AI$15:$DF$15,'Staff Daily sales'!$G641:$CD641))</f>
        <v>0</v>
      </c>
      <c r="V656">
        <f>IF($E656=0,0,SUMPRODUCT($AI$16:$DF$16,'Staff Daily sales'!$G641:$CD641))</f>
        <v>0</v>
      </c>
      <c r="W656">
        <f t="shared" si="175"/>
        <v>0</v>
      </c>
      <c r="X656">
        <f t="shared" si="176"/>
        <v>0</v>
      </c>
      <c r="Y656">
        <f t="shared" si="177"/>
        <v>0</v>
      </c>
      <c r="Z656">
        <f t="shared" si="178"/>
        <v>0</v>
      </c>
      <c r="AA656">
        <f t="shared" si="179"/>
        <v>0</v>
      </c>
      <c r="AB656">
        <f>--AND($E656=1,OR('Staff Weekly Trend'!$B$3="All",$DH656='Staff Weekly Trend'!$B$3),OR('Staff Weekly Trend'!$B$4="All",$D656='Staff Weekly Trend'!$B$4),OR('Staff Weekly Trend'!$B$5="All",$A656='Staff Weekly Trend'!$B$5))</f>
        <v>0</v>
      </c>
      <c r="AC656" t="str">
        <f t="shared" si="180"/>
        <v/>
      </c>
      <c r="AI656">
        <f t="shared" si="181"/>
        <v>0</v>
      </c>
      <c r="AJ656">
        <f t="shared" si="182"/>
        <v>0</v>
      </c>
      <c r="AK656">
        <f t="shared" si="183"/>
        <v>0</v>
      </c>
      <c r="AL656">
        <f t="shared" si="184"/>
        <v>0</v>
      </c>
      <c r="AM656">
        <f t="shared" si="185"/>
        <v>0</v>
      </c>
      <c r="DH656" t="str" cm="1">
        <f t="array" ref="DH656">IF($A656="","",_xlfn.LET(_xlpm.c,IFERROR(_xlfn.XLOOKUP($A656,TRIM('Sales and count'!$A$4:$A$300&amp;""),TRIM('Sales and count'!$B$4:$B$300&amp;"")),""),IF(OR(_xlpm.c="",_xlpm.c="0",LEFT(_xlpm.c,1)="#"),"Not set",_xlpm.c)))</f>
        <v/>
      </c>
    </row>
    <row r="657" spans="1:112" x14ac:dyDescent="0.25">
      <c r="A657" t="str">
        <f>IF('Staff Daily sales'!$B642="","",TRIM('Staff Daily sales'!$B642&amp;""))</f>
        <v/>
      </c>
      <c r="B657" t="str">
        <f>IF('Staff Daily sales'!$D642="","",TRIM('Staff Daily sales'!$D642&amp;""))</f>
        <v/>
      </c>
      <c r="C657" t="str">
        <f>IFERROR(TRIM('Staff Daily sales'!$E642&amp;""),"")</f>
        <v/>
      </c>
      <c r="D657" t="str">
        <f>IFERROR(IF(TRIM('Staff Daily sales'!$F642&amp;"")="","Unassigned",TRIM('Staff Daily sales'!$F642&amp;"")),"Unassigned")</f>
        <v>Unassigned</v>
      </c>
      <c r="E657">
        <f t="shared" si="170"/>
        <v>0</v>
      </c>
      <c r="F657">
        <f>IF($E657=0,0,SUMPRODUCT($AI$5:$DF$5,'Staff Daily sales'!$G642:$CD642))</f>
        <v>0</v>
      </c>
      <c r="G657">
        <f>IF($E657=0,0,SUMPRODUCT($AI$6:$DF$6,'Staff Daily sales'!$G642:$CD642))</f>
        <v>0</v>
      </c>
      <c r="H657">
        <f t="shared" si="171"/>
        <v>0</v>
      </c>
      <c r="I657">
        <f t="shared" si="172"/>
        <v>0</v>
      </c>
      <c r="J657">
        <f t="shared" si="173"/>
        <v>0</v>
      </c>
      <c r="K657">
        <f t="shared" si="174"/>
        <v>0</v>
      </c>
      <c r="L657">
        <f>--AND($E657=1,OR('Staff Dashboard'!$B$6="All",$DH657='Staff Dashboard'!$B$6),OR('Staff Dashboard'!$B$7="All",$D657='Staff Dashboard'!$B$7),OR('Staff Dashboard'!$B$8="All",$A657='Staff Dashboard'!$B$8))</f>
        <v>0</v>
      </c>
      <c r="M657">
        <f>IF($E657=0,0,SUMPRODUCT($AI$7:$DF$7,'Staff Daily sales'!$G642:$CD642))</f>
        <v>0</v>
      </c>
      <c r="N657">
        <f>IF($E657=0,0,SUMPRODUCT($AI$8:$DF$8,'Staff Daily sales'!$G642:$CD642))</f>
        <v>0</v>
      </c>
      <c r="O657">
        <f>IF($E657=0,0,SUMPRODUCT($AI$9:$DF$9,'Staff Daily sales'!$G642:$CD642))</f>
        <v>0</v>
      </c>
      <c r="P657">
        <f>IF($E657=0,0,SUMPRODUCT($AI$10:$DF$10,'Staff Daily sales'!$G642:$CD642))</f>
        <v>0</v>
      </c>
      <c r="Q657">
        <f>IF($E657=0,0,SUMPRODUCT($AI$11:$DF$11,'Staff Daily sales'!$G642:$CD642))</f>
        <v>0</v>
      </c>
      <c r="R657">
        <f>IF($E657=0,0,SUMPRODUCT($AI$12:$DF$12,'Staff Daily sales'!$G642:$CD642))</f>
        <v>0</v>
      </c>
      <c r="S657">
        <f>IF($E657=0,0,SUMPRODUCT($AI$13:$DF$13,'Staff Daily sales'!$G642:$CD642))</f>
        <v>0</v>
      </c>
      <c r="T657">
        <f>IF($E657=0,0,SUMPRODUCT($AI$14:$DF$14,'Staff Daily sales'!$G642:$CD642))</f>
        <v>0</v>
      </c>
      <c r="U657">
        <f>IF($E657=0,0,SUMPRODUCT($AI$15:$DF$15,'Staff Daily sales'!$G642:$CD642))</f>
        <v>0</v>
      </c>
      <c r="V657">
        <f>IF($E657=0,0,SUMPRODUCT($AI$16:$DF$16,'Staff Daily sales'!$G642:$CD642))</f>
        <v>0</v>
      </c>
      <c r="W657">
        <f t="shared" si="175"/>
        <v>0</v>
      </c>
      <c r="X657">
        <f t="shared" si="176"/>
        <v>0</v>
      </c>
      <c r="Y657">
        <f t="shared" si="177"/>
        <v>0</v>
      </c>
      <c r="Z657">
        <f t="shared" si="178"/>
        <v>0</v>
      </c>
      <c r="AA657">
        <f t="shared" si="179"/>
        <v>0</v>
      </c>
      <c r="AB657">
        <f>--AND($E657=1,OR('Staff Weekly Trend'!$B$3="All",$DH657='Staff Weekly Trend'!$B$3),OR('Staff Weekly Trend'!$B$4="All",$D657='Staff Weekly Trend'!$B$4),OR('Staff Weekly Trend'!$B$5="All",$A657='Staff Weekly Trend'!$B$5))</f>
        <v>0</v>
      </c>
      <c r="AC657" t="str">
        <f t="shared" si="180"/>
        <v/>
      </c>
      <c r="AI657">
        <f t="shared" si="181"/>
        <v>0</v>
      </c>
      <c r="AJ657">
        <f t="shared" si="182"/>
        <v>0</v>
      </c>
      <c r="AK657">
        <f t="shared" si="183"/>
        <v>0</v>
      </c>
      <c r="AL657">
        <f t="shared" si="184"/>
        <v>0</v>
      </c>
      <c r="AM657">
        <f t="shared" si="185"/>
        <v>0</v>
      </c>
      <c r="DH657" t="str" cm="1">
        <f t="array" ref="DH657">IF($A657="","",_xlfn.LET(_xlpm.c,IFERROR(_xlfn.XLOOKUP($A657,TRIM('Sales and count'!$A$4:$A$300&amp;""),TRIM('Sales and count'!$B$4:$B$300&amp;"")),""),IF(OR(_xlpm.c="",_xlpm.c="0",LEFT(_xlpm.c,1)="#"),"Not set",_xlpm.c)))</f>
        <v/>
      </c>
    </row>
    <row r="658" spans="1:112" x14ac:dyDescent="0.25">
      <c r="A658" t="str">
        <f>IF('Staff Daily sales'!$B643="","",TRIM('Staff Daily sales'!$B643&amp;""))</f>
        <v/>
      </c>
      <c r="B658" t="str">
        <f>IF('Staff Daily sales'!$D643="","",TRIM('Staff Daily sales'!$D643&amp;""))</f>
        <v/>
      </c>
      <c r="C658" t="str">
        <f>IFERROR(TRIM('Staff Daily sales'!$E643&amp;""),"")</f>
        <v/>
      </c>
      <c r="D658" t="str">
        <f>IFERROR(IF(TRIM('Staff Daily sales'!$F643&amp;"")="","Unassigned",TRIM('Staff Daily sales'!$F643&amp;"")),"Unassigned")</f>
        <v>Unassigned</v>
      </c>
      <c r="E658">
        <f t="shared" si="170"/>
        <v>0</v>
      </c>
      <c r="F658">
        <f>IF($E658=0,0,SUMPRODUCT($AI$5:$DF$5,'Staff Daily sales'!$G643:$CD643))</f>
        <v>0</v>
      </c>
      <c r="G658">
        <f>IF($E658=0,0,SUMPRODUCT($AI$6:$DF$6,'Staff Daily sales'!$G643:$CD643))</f>
        <v>0</v>
      </c>
      <c r="H658">
        <f t="shared" si="171"/>
        <v>0</v>
      </c>
      <c r="I658">
        <f t="shared" si="172"/>
        <v>0</v>
      </c>
      <c r="J658">
        <f t="shared" si="173"/>
        <v>0</v>
      </c>
      <c r="K658">
        <f t="shared" si="174"/>
        <v>0</v>
      </c>
      <c r="L658">
        <f>--AND($E658=1,OR('Staff Dashboard'!$B$6="All",$DH658='Staff Dashboard'!$B$6),OR('Staff Dashboard'!$B$7="All",$D658='Staff Dashboard'!$B$7),OR('Staff Dashboard'!$B$8="All",$A658='Staff Dashboard'!$B$8))</f>
        <v>0</v>
      </c>
      <c r="M658">
        <f>IF($E658=0,0,SUMPRODUCT($AI$7:$DF$7,'Staff Daily sales'!$G643:$CD643))</f>
        <v>0</v>
      </c>
      <c r="N658">
        <f>IF($E658=0,0,SUMPRODUCT($AI$8:$DF$8,'Staff Daily sales'!$G643:$CD643))</f>
        <v>0</v>
      </c>
      <c r="O658">
        <f>IF($E658=0,0,SUMPRODUCT($AI$9:$DF$9,'Staff Daily sales'!$G643:$CD643))</f>
        <v>0</v>
      </c>
      <c r="P658">
        <f>IF($E658=0,0,SUMPRODUCT($AI$10:$DF$10,'Staff Daily sales'!$G643:$CD643))</f>
        <v>0</v>
      </c>
      <c r="Q658">
        <f>IF($E658=0,0,SUMPRODUCT($AI$11:$DF$11,'Staff Daily sales'!$G643:$CD643))</f>
        <v>0</v>
      </c>
      <c r="R658">
        <f>IF($E658=0,0,SUMPRODUCT($AI$12:$DF$12,'Staff Daily sales'!$G643:$CD643))</f>
        <v>0</v>
      </c>
      <c r="S658">
        <f>IF($E658=0,0,SUMPRODUCT($AI$13:$DF$13,'Staff Daily sales'!$G643:$CD643))</f>
        <v>0</v>
      </c>
      <c r="T658">
        <f>IF($E658=0,0,SUMPRODUCT($AI$14:$DF$14,'Staff Daily sales'!$G643:$CD643))</f>
        <v>0</v>
      </c>
      <c r="U658">
        <f>IF($E658=0,0,SUMPRODUCT($AI$15:$DF$15,'Staff Daily sales'!$G643:$CD643))</f>
        <v>0</v>
      </c>
      <c r="V658">
        <f>IF($E658=0,0,SUMPRODUCT($AI$16:$DF$16,'Staff Daily sales'!$G643:$CD643))</f>
        <v>0</v>
      </c>
      <c r="W658">
        <f t="shared" si="175"/>
        <v>0</v>
      </c>
      <c r="X658">
        <f t="shared" si="176"/>
        <v>0</v>
      </c>
      <c r="Y658">
        <f t="shared" si="177"/>
        <v>0</v>
      </c>
      <c r="Z658">
        <f t="shared" si="178"/>
        <v>0</v>
      </c>
      <c r="AA658">
        <f t="shared" si="179"/>
        <v>0</v>
      </c>
      <c r="AB658">
        <f>--AND($E658=1,OR('Staff Weekly Trend'!$B$3="All",$DH658='Staff Weekly Trend'!$B$3),OR('Staff Weekly Trend'!$B$4="All",$D658='Staff Weekly Trend'!$B$4),OR('Staff Weekly Trend'!$B$5="All",$A658='Staff Weekly Trend'!$B$5))</f>
        <v>0</v>
      </c>
      <c r="AC658" t="str">
        <f t="shared" si="180"/>
        <v/>
      </c>
      <c r="AI658">
        <f t="shared" si="181"/>
        <v>0</v>
      </c>
      <c r="AJ658">
        <f t="shared" si="182"/>
        <v>0</v>
      </c>
      <c r="AK658">
        <f t="shared" si="183"/>
        <v>0</v>
      </c>
      <c r="AL658">
        <f t="shared" si="184"/>
        <v>0</v>
      </c>
      <c r="AM658">
        <f t="shared" si="185"/>
        <v>0</v>
      </c>
      <c r="DH658" t="str" cm="1">
        <f t="array" ref="DH658">IF($A658="","",_xlfn.LET(_xlpm.c,IFERROR(_xlfn.XLOOKUP($A658,TRIM('Sales and count'!$A$4:$A$300&amp;""),TRIM('Sales and count'!$B$4:$B$300&amp;"")),""),IF(OR(_xlpm.c="",_xlpm.c="0",LEFT(_xlpm.c,1)="#"),"Not set",_xlpm.c)))</f>
        <v/>
      </c>
    </row>
    <row r="659" spans="1:112" x14ac:dyDescent="0.25">
      <c r="A659" t="str">
        <f>IF('Staff Daily sales'!$B644="","",TRIM('Staff Daily sales'!$B644&amp;""))</f>
        <v/>
      </c>
      <c r="B659" t="str">
        <f>IF('Staff Daily sales'!$D644="","",TRIM('Staff Daily sales'!$D644&amp;""))</f>
        <v/>
      </c>
      <c r="C659" t="str">
        <f>IFERROR(TRIM('Staff Daily sales'!$E644&amp;""),"")</f>
        <v/>
      </c>
      <c r="D659" t="str">
        <f>IFERROR(IF(TRIM('Staff Daily sales'!$F644&amp;"")="","Unassigned",TRIM('Staff Daily sales'!$F644&amp;"")),"Unassigned")</f>
        <v>Unassigned</v>
      </c>
      <c r="E659">
        <f t="shared" si="170"/>
        <v>0</v>
      </c>
      <c r="F659">
        <f>IF($E659=0,0,SUMPRODUCT($AI$5:$DF$5,'Staff Daily sales'!$G644:$CD644))</f>
        <v>0</v>
      </c>
      <c r="G659">
        <f>IF($E659=0,0,SUMPRODUCT($AI$6:$DF$6,'Staff Daily sales'!$G644:$CD644))</f>
        <v>0</v>
      </c>
      <c r="H659">
        <f t="shared" si="171"/>
        <v>0</v>
      </c>
      <c r="I659">
        <f t="shared" si="172"/>
        <v>0</v>
      </c>
      <c r="J659">
        <f t="shared" si="173"/>
        <v>0</v>
      </c>
      <c r="K659">
        <f t="shared" si="174"/>
        <v>0</v>
      </c>
      <c r="L659">
        <f>--AND($E659=1,OR('Staff Dashboard'!$B$6="All",$DH659='Staff Dashboard'!$B$6),OR('Staff Dashboard'!$B$7="All",$D659='Staff Dashboard'!$B$7),OR('Staff Dashboard'!$B$8="All",$A659='Staff Dashboard'!$B$8))</f>
        <v>0</v>
      </c>
      <c r="M659">
        <f>IF($E659=0,0,SUMPRODUCT($AI$7:$DF$7,'Staff Daily sales'!$G644:$CD644))</f>
        <v>0</v>
      </c>
      <c r="N659">
        <f>IF($E659=0,0,SUMPRODUCT($AI$8:$DF$8,'Staff Daily sales'!$G644:$CD644))</f>
        <v>0</v>
      </c>
      <c r="O659">
        <f>IF($E659=0,0,SUMPRODUCT($AI$9:$DF$9,'Staff Daily sales'!$G644:$CD644))</f>
        <v>0</v>
      </c>
      <c r="P659">
        <f>IF($E659=0,0,SUMPRODUCT($AI$10:$DF$10,'Staff Daily sales'!$G644:$CD644))</f>
        <v>0</v>
      </c>
      <c r="Q659">
        <f>IF($E659=0,0,SUMPRODUCT($AI$11:$DF$11,'Staff Daily sales'!$G644:$CD644))</f>
        <v>0</v>
      </c>
      <c r="R659">
        <f>IF($E659=0,0,SUMPRODUCT($AI$12:$DF$12,'Staff Daily sales'!$G644:$CD644))</f>
        <v>0</v>
      </c>
      <c r="S659">
        <f>IF($E659=0,0,SUMPRODUCT($AI$13:$DF$13,'Staff Daily sales'!$G644:$CD644))</f>
        <v>0</v>
      </c>
      <c r="T659">
        <f>IF($E659=0,0,SUMPRODUCT($AI$14:$DF$14,'Staff Daily sales'!$G644:$CD644))</f>
        <v>0</v>
      </c>
      <c r="U659">
        <f>IF($E659=0,0,SUMPRODUCT($AI$15:$DF$15,'Staff Daily sales'!$G644:$CD644))</f>
        <v>0</v>
      </c>
      <c r="V659">
        <f>IF($E659=0,0,SUMPRODUCT($AI$16:$DF$16,'Staff Daily sales'!$G644:$CD644))</f>
        <v>0</v>
      </c>
      <c r="W659">
        <f t="shared" si="175"/>
        <v>0</v>
      </c>
      <c r="X659">
        <f t="shared" si="176"/>
        <v>0</v>
      </c>
      <c r="Y659">
        <f t="shared" si="177"/>
        <v>0</v>
      </c>
      <c r="Z659">
        <f t="shared" si="178"/>
        <v>0</v>
      </c>
      <c r="AA659">
        <f t="shared" si="179"/>
        <v>0</v>
      </c>
      <c r="AB659">
        <f>--AND($E659=1,OR('Staff Weekly Trend'!$B$3="All",$DH659='Staff Weekly Trend'!$B$3),OR('Staff Weekly Trend'!$B$4="All",$D659='Staff Weekly Trend'!$B$4),OR('Staff Weekly Trend'!$B$5="All",$A659='Staff Weekly Trend'!$B$5))</f>
        <v>0</v>
      </c>
      <c r="AC659" t="str">
        <f t="shared" si="180"/>
        <v/>
      </c>
      <c r="AI659">
        <f t="shared" si="181"/>
        <v>0</v>
      </c>
      <c r="AJ659">
        <f t="shared" si="182"/>
        <v>0</v>
      </c>
      <c r="AK659">
        <f t="shared" si="183"/>
        <v>0</v>
      </c>
      <c r="AL659">
        <f t="shared" si="184"/>
        <v>0</v>
      </c>
      <c r="AM659">
        <f t="shared" si="185"/>
        <v>0</v>
      </c>
      <c r="DH659" t="str" cm="1">
        <f t="array" ref="DH659">IF($A659="","",_xlfn.LET(_xlpm.c,IFERROR(_xlfn.XLOOKUP($A659,TRIM('Sales and count'!$A$4:$A$300&amp;""),TRIM('Sales and count'!$B$4:$B$300&amp;"")),""),IF(OR(_xlpm.c="",_xlpm.c="0",LEFT(_xlpm.c,1)="#"),"Not set",_xlpm.c)))</f>
        <v/>
      </c>
    </row>
    <row r="660" spans="1:112" x14ac:dyDescent="0.25">
      <c r="A660" t="str">
        <f>IF('Staff Daily sales'!$B645="","",TRIM('Staff Daily sales'!$B645&amp;""))</f>
        <v/>
      </c>
      <c r="B660" t="str">
        <f>IF('Staff Daily sales'!$D645="","",TRIM('Staff Daily sales'!$D645&amp;""))</f>
        <v/>
      </c>
      <c r="C660" t="str">
        <f>IFERROR(TRIM('Staff Daily sales'!$E645&amp;""),"")</f>
        <v/>
      </c>
      <c r="D660" t="str">
        <f>IFERROR(IF(TRIM('Staff Daily sales'!$F645&amp;"")="","Unassigned",TRIM('Staff Daily sales'!$F645&amp;"")),"Unassigned")</f>
        <v>Unassigned</v>
      </c>
      <c r="E660">
        <f t="shared" ref="E660:E723" si="186">--AND($A660&lt;&gt;"",$B660&lt;&gt;"")</f>
        <v>0</v>
      </c>
      <c r="F660">
        <f>IF($E660=0,0,SUMPRODUCT($AI$5:$DF$5,'Staff Daily sales'!$G645:$CD645))</f>
        <v>0</v>
      </c>
      <c r="G660">
        <f>IF($E660=0,0,SUMPRODUCT($AI$6:$DF$6,'Staff Daily sales'!$G645:$CD645))</f>
        <v>0</v>
      </c>
      <c r="H660">
        <f t="shared" ref="H660:H723" si="187">IF($E660=0,0,SUMIFS($F$20:$F$1515,$A$20:$A$1515,$A660))</f>
        <v>0</v>
      </c>
      <c r="I660">
        <f t="shared" ref="I660:I723" si="188">IF($E660=0,0,SUMIFS($G$20:$G$1515,$A$20:$A$1515,$A660))</f>
        <v>0</v>
      </c>
      <c r="J660">
        <f t="shared" ref="J660:J723" si="189">IF($E660=0,0,SUMIFS($F$20:$F$1515,$D$20:$D$1515,$D660))</f>
        <v>0</v>
      </c>
      <c r="K660">
        <f t="shared" ref="K660:K723" si="190">IF($E660=0,0,SUMIFS($G$20:$G$1515,$D$20:$D$1515,$D660))</f>
        <v>0</v>
      </c>
      <c r="L660">
        <f>--AND($E660=1,OR('Staff Dashboard'!$B$6="All",$DH660='Staff Dashboard'!$B$6),OR('Staff Dashboard'!$B$7="All",$D660='Staff Dashboard'!$B$7),OR('Staff Dashboard'!$B$8="All",$A660='Staff Dashboard'!$B$8))</f>
        <v>0</v>
      </c>
      <c r="M660">
        <f>IF($E660=0,0,SUMPRODUCT($AI$7:$DF$7,'Staff Daily sales'!$G645:$CD645))</f>
        <v>0</v>
      </c>
      <c r="N660">
        <f>IF($E660=0,0,SUMPRODUCT($AI$8:$DF$8,'Staff Daily sales'!$G645:$CD645))</f>
        <v>0</v>
      </c>
      <c r="O660">
        <f>IF($E660=0,0,SUMPRODUCT($AI$9:$DF$9,'Staff Daily sales'!$G645:$CD645))</f>
        <v>0</v>
      </c>
      <c r="P660">
        <f>IF($E660=0,0,SUMPRODUCT($AI$10:$DF$10,'Staff Daily sales'!$G645:$CD645))</f>
        <v>0</v>
      </c>
      <c r="Q660">
        <f>IF($E660=0,0,SUMPRODUCT($AI$11:$DF$11,'Staff Daily sales'!$G645:$CD645))</f>
        <v>0</v>
      </c>
      <c r="R660">
        <f>IF($E660=0,0,SUMPRODUCT($AI$12:$DF$12,'Staff Daily sales'!$G645:$CD645))</f>
        <v>0</v>
      </c>
      <c r="S660">
        <f>IF($E660=0,0,SUMPRODUCT($AI$13:$DF$13,'Staff Daily sales'!$G645:$CD645))</f>
        <v>0</v>
      </c>
      <c r="T660">
        <f>IF($E660=0,0,SUMPRODUCT($AI$14:$DF$14,'Staff Daily sales'!$G645:$CD645))</f>
        <v>0</v>
      </c>
      <c r="U660">
        <f>IF($E660=0,0,SUMPRODUCT($AI$15:$DF$15,'Staff Daily sales'!$G645:$CD645))</f>
        <v>0</v>
      </c>
      <c r="V660">
        <f>IF($E660=0,0,SUMPRODUCT($AI$16:$DF$16,'Staff Daily sales'!$G645:$CD645))</f>
        <v>0</v>
      </c>
      <c r="W660">
        <f t="shared" ref="W660:W723" si="191">IF($E660=0,0,SUMIFS(M$20:M$1515,$A$20:$A$1515,$A660))</f>
        <v>0</v>
      </c>
      <c r="X660">
        <f t="shared" ref="X660:X723" si="192">IF($E660=0,0,SUMIFS(O$20:O$1515,$A$20:$A$1515,$A660))</f>
        <v>0</v>
      </c>
      <c r="Y660">
        <f t="shared" ref="Y660:Y723" si="193">IF($E660=0,0,SUMIFS(Q$20:Q$1515,$A$20:$A$1515,$A660))</f>
        <v>0</v>
      </c>
      <c r="Z660">
        <f t="shared" ref="Z660:Z723" si="194">IF($E660=0,0,SUMIFS(S$20:S$1515,$A$20:$A$1515,$A660))</f>
        <v>0</v>
      </c>
      <c r="AA660">
        <f t="shared" ref="AA660:AA723" si="195">IF($E660=0,0,SUMIFS(U$20:U$1515,$A$20:$A$1515,$A660))</f>
        <v>0</v>
      </c>
      <c r="AB660">
        <f>--AND($E660=1,OR('Staff Weekly Trend'!$B$3="All",$DH660='Staff Weekly Trend'!$B$3),OR('Staff Weekly Trend'!$B$4="All",$D660='Staff Weekly Trend'!$B$4),OR('Staff Weekly Trend'!$B$5="All",$A660='Staff Weekly Trend'!$B$5))</f>
        <v>0</v>
      </c>
      <c r="AC660" t="str">
        <f t="shared" ref="AC660:AC723" si="196">IF(OR($E660=0,AND($F660=0,$G660=0)),"",COUNTIFS($A$20:$A$1515,$A660,$E$20:$E$1515,1,$F$20:$F$1515,"&gt;"&amp;$F660)+1)</f>
        <v/>
      </c>
      <c r="AI660">
        <f t="shared" ref="AI660:AI723" si="197">IF($E660=0,0,SUMIFS(N$20:N$1515,$A$20:$A$1515,$A660))</f>
        <v>0</v>
      </c>
      <c r="AJ660">
        <f t="shared" ref="AJ660:AJ723" si="198">IF($E660=0,0,SUMIFS(P$20:P$1515,$A$20:$A$1515,$A660))</f>
        <v>0</v>
      </c>
      <c r="AK660">
        <f t="shared" ref="AK660:AK723" si="199">IF($E660=0,0,SUMIFS(R$20:R$1515,$A$20:$A$1515,$A660))</f>
        <v>0</v>
      </c>
      <c r="AL660">
        <f t="shared" ref="AL660:AL723" si="200">IF($E660=0,0,SUMIFS(T$20:T$1515,$A$20:$A$1515,$A660))</f>
        <v>0</v>
      </c>
      <c r="AM660">
        <f t="shared" ref="AM660:AM723" si="201">IF($E660=0,0,SUMIFS(V$20:V$1515,$A$20:$A$1515,$A660))</f>
        <v>0</v>
      </c>
      <c r="DH660" t="str" cm="1">
        <f t="array" ref="DH660">IF($A660="","",_xlfn.LET(_xlpm.c,IFERROR(_xlfn.XLOOKUP($A660,TRIM('Sales and count'!$A$4:$A$300&amp;""),TRIM('Sales and count'!$B$4:$B$300&amp;"")),""),IF(OR(_xlpm.c="",_xlpm.c="0",LEFT(_xlpm.c,1)="#"),"Not set",_xlpm.c)))</f>
        <v/>
      </c>
    </row>
    <row r="661" spans="1:112" x14ac:dyDescent="0.25">
      <c r="A661" t="str">
        <f>IF('Staff Daily sales'!$B646="","",TRIM('Staff Daily sales'!$B646&amp;""))</f>
        <v/>
      </c>
      <c r="B661" t="str">
        <f>IF('Staff Daily sales'!$D646="","",TRIM('Staff Daily sales'!$D646&amp;""))</f>
        <v/>
      </c>
      <c r="C661" t="str">
        <f>IFERROR(TRIM('Staff Daily sales'!$E646&amp;""),"")</f>
        <v/>
      </c>
      <c r="D661" t="str">
        <f>IFERROR(IF(TRIM('Staff Daily sales'!$F646&amp;"")="","Unassigned",TRIM('Staff Daily sales'!$F646&amp;"")),"Unassigned")</f>
        <v>Unassigned</v>
      </c>
      <c r="E661">
        <f t="shared" si="186"/>
        <v>0</v>
      </c>
      <c r="F661">
        <f>IF($E661=0,0,SUMPRODUCT($AI$5:$DF$5,'Staff Daily sales'!$G646:$CD646))</f>
        <v>0</v>
      </c>
      <c r="G661">
        <f>IF($E661=0,0,SUMPRODUCT($AI$6:$DF$6,'Staff Daily sales'!$G646:$CD646))</f>
        <v>0</v>
      </c>
      <c r="H661">
        <f t="shared" si="187"/>
        <v>0</v>
      </c>
      <c r="I661">
        <f t="shared" si="188"/>
        <v>0</v>
      </c>
      <c r="J661">
        <f t="shared" si="189"/>
        <v>0</v>
      </c>
      <c r="K661">
        <f t="shared" si="190"/>
        <v>0</v>
      </c>
      <c r="L661">
        <f>--AND($E661=1,OR('Staff Dashboard'!$B$6="All",$DH661='Staff Dashboard'!$B$6),OR('Staff Dashboard'!$B$7="All",$D661='Staff Dashboard'!$B$7),OR('Staff Dashboard'!$B$8="All",$A661='Staff Dashboard'!$B$8))</f>
        <v>0</v>
      </c>
      <c r="M661">
        <f>IF($E661=0,0,SUMPRODUCT($AI$7:$DF$7,'Staff Daily sales'!$G646:$CD646))</f>
        <v>0</v>
      </c>
      <c r="N661">
        <f>IF($E661=0,0,SUMPRODUCT($AI$8:$DF$8,'Staff Daily sales'!$G646:$CD646))</f>
        <v>0</v>
      </c>
      <c r="O661">
        <f>IF($E661=0,0,SUMPRODUCT($AI$9:$DF$9,'Staff Daily sales'!$G646:$CD646))</f>
        <v>0</v>
      </c>
      <c r="P661">
        <f>IF($E661=0,0,SUMPRODUCT($AI$10:$DF$10,'Staff Daily sales'!$G646:$CD646))</f>
        <v>0</v>
      </c>
      <c r="Q661">
        <f>IF($E661=0,0,SUMPRODUCT($AI$11:$DF$11,'Staff Daily sales'!$G646:$CD646))</f>
        <v>0</v>
      </c>
      <c r="R661">
        <f>IF($E661=0,0,SUMPRODUCT($AI$12:$DF$12,'Staff Daily sales'!$G646:$CD646))</f>
        <v>0</v>
      </c>
      <c r="S661">
        <f>IF($E661=0,0,SUMPRODUCT($AI$13:$DF$13,'Staff Daily sales'!$G646:$CD646))</f>
        <v>0</v>
      </c>
      <c r="T661">
        <f>IF($E661=0,0,SUMPRODUCT($AI$14:$DF$14,'Staff Daily sales'!$G646:$CD646))</f>
        <v>0</v>
      </c>
      <c r="U661">
        <f>IF($E661=0,0,SUMPRODUCT($AI$15:$DF$15,'Staff Daily sales'!$G646:$CD646))</f>
        <v>0</v>
      </c>
      <c r="V661">
        <f>IF($E661=0,0,SUMPRODUCT($AI$16:$DF$16,'Staff Daily sales'!$G646:$CD646))</f>
        <v>0</v>
      </c>
      <c r="W661">
        <f t="shared" si="191"/>
        <v>0</v>
      </c>
      <c r="X661">
        <f t="shared" si="192"/>
        <v>0</v>
      </c>
      <c r="Y661">
        <f t="shared" si="193"/>
        <v>0</v>
      </c>
      <c r="Z661">
        <f t="shared" si="194"/>
        <v>0</v>
      </c>
      <c r="AA661">
        <f t="shared" si="195"/>
        <v>0</v>
      </c>
      <c r="AB661">
        <f>--AND($E661=1,OR('Staff Weekly Trend'!$B$3="All",$DH661='Staff Weekly Trend'!$B$3),OR('Staff Weekly Trend'!$B$4="All",$D661='Staff Weekly Trend'!$B$4),OR('Staff Weekly Trend'!$B$5="All",$A661='Staff Weekly Trend'!$B$5))</f>
        <v>0</v>
      </c>
      <c r="AC661" t="str">
        <f t="shared" si="196"/>
        <v/>
      </c>
      <c r="AI661">
        <f t="shared" si="197"/>
        <v>0</v>
      </c>
      <c r="AJ661">
        <f t="shared" si="198"/>
        <v>0</v>
      </c>
      <c r="AK661">
        <f t="shared" si="199"/>
        <v>0</v>
      </c>
      <c r="AL661">
        <f t="shared" si="200"/>
        <v>0</v>
      </c>
      <c r="AM661">
        <f t="shared" si="201"/>
        <v>0</v>
      </c>
      <c r="DH661" t="str" cm="1">
        <f t="array" ref="DH661">IF($A661="","",_xlfn.LET(_xlpm.c,IFERROR(_xlfn.XLOOKUP($A661,TRIM('Sales and count'!$A$4:$A$300&amp;""),TRIM('Sales and count'!$B$4:$B$300&amp;"")),""),IF(OR(_xlpm.c="",_xlpm.c="0",LEFT(_xlpm.c,1)="#"),"Not set",_xlpm.c)))</f>
        <v/>
      </c>
    </row>
    <row r="662" spans="1:112" x14ac:dyDescent="0.25">
      <c r="A662" t="str">
        <f>IF('Staff Daily sales'!$B647="","",TRIM('Staff Daily sales'!$B647&amp;""))</f>
        <v/>
      </c>
      <c r="B662" t="str">
        <f>IF('Staff Daily sales'!$D647="","",TRIM('Staff Daily sales'!$D647&amp;""))</f>
        <v/>
      </c>
      <c r="C662" t="str">
        <f>IFERROR(TRIM('Staff Daily sales'!$E647&amp;""),"")</f>
        <v/>
      </c>
      <c r="D662" t="str">
        <f>IFERROR(IF(TRIM('Staff Daily sales'!$F647&amp;"")="","Unassigned",TRIM('Staff Daily sales'!$F647&amp;"")),"Unassigned")</f>
        <v>Unassigned</v>
      </c>
      <c r="E662">
        <f t="shared" si="186"/>
        <v>0</v>
      </c>
      <c r="F662">
        <f>IF($E662=0,0,SUMPRODUCT($AI$5:$DF$5,'Staff Daily sales'!$G647:$CD647))</f>
        <v>0</v>
      </c>
      <c r="G662">
        <f>IF($E662=0,0,SUMPRODUCT($AI$6:$DF$6,'Staff Daily sales'!$G647:$CD647))</f>
        <v>0</v>
      </c>
      <c r="H662">
        <f t="shared" si="187"/>
        <v>0</v>
      </c>
      <c r="I662">
        <f t="shared" si="188"/>
        <v>0</v>
      </c>
      <c r="J662">
        <f t="shared" si="189"/>
        <v>0</v>
      </c>
      <c r="K662">
        <f t="shared" si="190"/>
        <v>0</v>
      </c>
      <c r="L662">
        <f>--AND($E662=1,OR('Staff Dashboard'!$B$6="All",$DH662='Staff Dashboard'!$B$6),OR('Staff Dashboard'!$B$7="All",$D662='Staff Dashboard'!$B$7),OR('Staff Dashboard'!$B$8="All",$A662='Staff Dashboard'!$B$8))</f>
        <v>0</v>
      </c>
      <c r="M662">
        <f>IF($E662=0,0,SUMPRODUCT($AI$7:$DF$7,'Staff Daily sales'!$G647:$CD647))</f>
        <v>0</v>
      </c>
      <c r="N662">
        <f>IF($E662=0,0,SUMPRODUCT($AI$8:$DF$8,'Staff Daily sales'!$G647:$CD647))</f>
        <v>0</v>
      </c>
      <c r="O662">
        <f>IF($E662=0,0,SUMPRODUCT($AI$9:$DF$9,'Staff Daily sales'!$G647:$CD647))</f>
        <v>0</v>
      </c>
      <c r="P662">
        <f>IF($E662=0,0,SUMPRODUCT($AI$10:$DF$10,'Staff Daily sales'!$G647:$CD647))</f>
        <v>0</v>
      </c>
      <c r="Q662">
        <f>IF($E662=0,0,SUMPRODUCT($AI$11:$DF$11,'Staff Daily sales'!$G647:$CD647))</f>
        <v>0</v>
      </c>
      <c r="R662">
        <f>IF($E662=0,0,SUMPRODUCT($AI$12:$DF$12,'Staff Daily sales'!$G647:$CD647))</f>
        <v>0</v>
      </c>
      <c r="S662">
        <f>IF($E662=0,0,SUMPRODUCT($AI$13:$DF$13,'Staff Daily sales'!$G647:$CD647))</f>
        <v>0</v>
      </c>
      <c r="T662">
        <f>IF($E662=0,0,SUMPRODUCT($AI$14:$DF$14,'Staff Daily sales'!$G647:$CD647))</f>
        <v>0</v>
      </c>
      <c r="U662">
        <f>IF($E662=0,0,SUMPRODUCT($AI$15:$DF$15,'Staff Daily sales'!$G647:$CD647))</f>
        <v>0</v>
      </c>
      <c r="V662">
        <f>IF($E662=0,0,SUMPRODUCT($AI$16:$DF$16,'Staff Daily sales'!$G647:$CD647))</f>
        <v>0</v>
      </c>
      <c r="W662">
        <f t="shared" si="191"/>
        <v>0</v>
      </c>
      <c r="X662">
        <f t="shared" si="192"/>
        <v>0</v>
      </c>
      <c r="Y662">
        <f t="shared" si="193"/>
        <v>0</v>
      </c>
      <c r="Z662">
        <f t="shared" si="194"/>
        <v>0</v>
      </c>
      <c r="AA662">
        <f t="shared" si="195"/>
        <v>0</v>
      </c>
      <c r="AB662">
        <f>--AND($E662=1,OR('Staff Weekly Trend'!$B$3="All",$DH662='Staff Weekly Trend'!$B$3),OR('Staff Weekly Trend'!$B$4="All",$D662='Staff Weekly Trend'!$B$4),OR('Staff Weekly Trend'!$B$5="All",$A662='Staff Weekly Trend'!$B$5))</f>
        <v>0</v>
      </c>
      <c r="AC662" t="str">
        <f t="shared" si="196"/>
        <v/>
      </c>
      <c r="AI662">
        <f t="shared" si="197"/>
        <v>0</v>
      </c>
      <c r="AJ662">
        <f t="shared" si="198"/>
        <v>0</v>
      </c>
      <c r="AK662">
        <f t="shared" si="199"/>
        <v>0</v>
      </c>
      <c r="AL662">
        <f t="shared" si="200"/>
        <v>0</v>
      </c>
      <c r="AM662">
        <f t="shared" si="201"/>
        <v>0</v>
      </c>
      <c r="DH662" t="str" cm="1">
        <f t="array" ref="DH662">IF($A662="","",_xlfn.LET(_xlpm.c,IFERROR(_xlfn.XLOOKUP($A662,TRIM('Sales and count'!$A$4:$A$300&amp;""),TRIM('Sales and count'!$B$4:$B$300&amp;"")),""),IF(OR(_xlpm.c="",_xlpm.c="0",LEFT(_xlpm.c,1)="#"),"Not set",_xlpm.c)))</f>
        <v/>
      </c>
    </row>
    <row r="663" spans="1:112" x14ac:dyDescent="0.25">
      <c r="A663" t="str">
        <f>IF('Staff Daily sales'!$B648="","",TRIM('Staff Daily sales'!$B648&amp;""))</f>
        <v/>
      </c>
      <c r="B663" t="str">
        <f>IF('Staff Daily sales'!$D648="","",TRIM('Staff Daily sales'!$D648&amp;""))</f>
        <v/>
      </c>
      <c r="C663" t="str">
        <f>IFERROR(TRIM('Staff Daily sales'!$E648&amp;""),"")</f>
        <v/>
      </c>
      <c r="D663" t="str">
        <f>IFERROR(IF(TRIM('Staff Daily sales'!$F648&amp;"")="","Unassigned",TRIM('Staff Daily sales'!$F648&amp;"")),"Unassigned")</f>
        <v>Unassigned</v>
      </c>
      <c r="E663">
        <f t="shared" si="186"/>
        <v>0</v>
      </c>
      <c r="F663">
        <f>IF($E663=0,0,SUMPRODUCT($AI$5:$DF$5,'Staff Daily sales'!$G648:$CD648))</f>
        <v>0</v>
      </c>
      <c r="G663">
        <f>IF($E663=0,0,SUMPRODUCT($AI$6:$DF$6,'Staff Daily sales'!$G648:$CD648))</f>
        <v>0</v>
      </c>
      <c r="H663">
        <f t="shared" si="187"/>
        <v>0</v>
      </c>
      <c r="I663">
        <f t="shared" si="188"/>
        <v>0</v>
      </c>
      <c r="J663">
        <f t="shared" si="189"/>
        <v>0</v>
      </c>
      <c r="K663">
        <f t="shared" si="190"/>
        <v>0</v>
      </c>
      <c r="L663">
        <f>--AND($E663=1,OR('Staff Dashboard'!$B$6="All",$DH663='Staff Dashboard'!$B$6),OR('Staff Dashboard'!$B$7="All",$D663='Staff Dashboard'!$B$7),OR('Staff Dashboard'!$B$8="All",$A663='Staff Dashboard'!$B$8))</f>
        <v>0</v>
      </c>
      <c r="M663">
        <f>IF($E663=0,0,SUMPRODUCT($AI$7:$DF$7,'Staff Daily sales'!$G648:$CD648))</f>
        <v>0</v>
      </c>
      <c r="N663">
        <f>IF($E663=0,0,SUMPRODUCT($AI$8:$DF$8,'Staff Daily sales'!$G648:$CD648))</f>
        <v>0</v>
      </c>
      <c r="O663">
        <f>IF($E663=0,0,SUMPRODUCT($AI$9:$DF$9,'Staff Daily sales'!$G648:$CD648))</f>
        <v>0</v>
      </c>
      <c r="P663">
        <f>IF($E663=0,0,SUMPRODUCT($AI$10:$DF$10,'Staff Daily sales'!$G648:$CD648))</f>
        <v>0</v>
      </c>
      <c r="Q663">
        <f>IF($E663=0,0,SUMPRODUCT($AI$11:$DF$11,'Staff Daily sales'!$G648:$CD648))</f>
        <v>0</v>
      </c>
      <c r="R663">
        <f>IF($E663=0,0,SUMPRODUCT($AI$12:$DF$12,'Staff Daily sales'!$G648:$CD648))</f>
        <v>0</v>
      </c>
      <c r="S663">
        <f>IF($E663=0,0,SUMPRODUCT($AI$13:$DF$13,'Staff Daily sales'!$G648:$CD648))</f>
        <v>0</v>
      </c>
      <c r="T663">
        <f>IF($E663=0,0,SUMPRODUCT($AI$14:$DF$14,'Staff Daily sales'!$G648:$CD648))</f>
        <v>0</v>
      </c>
      <c r="U663">
        <f>IF($E663=0,0,SUMPRODUCT($AI$15:$DF$15,'Staff Daily sales'!$G648:$CD648))</f>
        <v>0</v>
      </c>
      <c r="V663">
        <f>IF($E663=0,0,SUMPRODUCT($AI$16:$DF$16,'Staff Daily sales'!$G648:$CD648))</f>
        <v>0</v>
      </c>
      <c r="W663">
        <f t="shared" si="191"/>
        <v>0</v>
      </c>
      <c r="X663">
        <f t="shared" si="192"/>
        <v>0</v>
      </c>
      <c r="Y663">
        <f t="shared" si="193"/>
        <v>0</v>
      </c>
      <c r="Z663">
        <f t="shared" si="194"/>
        <v>0</v>
      </c>
      <c r="AA663">
        <f t="shared" si="195"/>
        <v>0</v>
      </c>
      <c r="AB663">
        <f>--AND($E663=1,OR('Staff Weekly Trend'!$B$3="All",$DH663='Staff Weekly Trend'!$B$3),OR('Staff Weekly Trend'!$B$4="All",$D663='Staff Weekly Trend'!$B$4),OR('Staff Weekly Trend'!$B$5="All",$A663='Staff Weekly Trend'!$B$5))</f>
        <v>0</v>
      </c>
      <c r="AC663" t="str">
        <f t="shared" si="196"/>
        <v/>
      </c>
      <c r="AI663">
        <f t="shared" si="197"/>
        <v>0</v>
      </c>
      <c r="AJ663">
        <f t="shared" si="198"/>
        <v>0</v>
      </c>
      <c r="AK663">
        <f t="shared" si="199"/>
        <v>0</v>
      </c>
      <c r="AL663">
        <f t="shared" si="200"/>
        <v>0</v>
      </c>
      <c r="AM663">
        <f t="shared" si="201"/>
        <v>0</v>
      </c>
      <c r="DH663" t="str" cm="1">
        <f t="array" ref="DH663">IF($A663="","",_xlfn.LET(_xlpm.c,IFERROR(_xlfn.XLOOKUP($A663,TRIM('Sales and count'!$A$4:$A$300&amp;""),TRIM('Sales and count'!$B$4:$B$300&amp;"")),""),IF(OR(_xlpm.c="",_xlpm.c="0",LEFT(_xlpm.c,1)="#"),"Not set",_xlpm.c)))</f>
        <v/>
      </c>
    </row>
    <row r="664" spans="1:112" x14ac:dyDescent="0.25">
      <c r="A664" t="str">
        <f>IF('Staff Daily sales'!$B649="","",TRIM('Staff Daily sales'!$B649&amp;""))</f>
        <v/>
      </c>
      <c r="B664" t="str">
        <f>IF('Staff Daily sales'!$D649="","",TRIM('Staff Daily sales'!$D649&amp;""))</f>
        <v/>
      </c>
      <c r="C664" t="str">
        <f>IFERROR(TRIM('Staff Daily sales'!$E649&amp;""),"")</f>
        <v/>
      </c>
      <c r="D664" t="str">
        <f>IFERROR(IF(TRIM('Staff Daily sales'!$F649&amp;"")="","Unassigned",TRIM('Staff Daily sales'!$F649&amp;"")),"Unassigned")</f>
        <v>Unassigned</v>
      </c>
      <c r="E664">
        <f t="shared" si="186"/>
        <v>0</v>
      </c>
      <c r="F664">
        <f>IF($E664=0,0,SUMPRODUCT($AI$5:$DF$5,'Staff Daily sales'!$G649:$CD649))</f>
        <v>0</v>
      </c>
      <c r="G664">
        <f>IF($E664=0,0,SUMPRODUCT($AI$6:$DF$6,'Staff Daily sales'!$G649:$CD649))</f>
        <v>0</v>
      </c>
      <c r="H664">
        <f t="shared" si="187"/>
        <v>0</v>
      </c>
      <c r="I664">
        <f t="shared" si="188"/>
        <v>0</v>
      </c>
      <c r="J664">
        <f t="shared" si="189"/>
        <v>0</v>
      </c>
      <c r="K664">
        <f t="shared" si="190"/>
        <v>0</v>
      </c>
      <c r="L664">
        <f>--AND($E664=1,OR('Staff Dashboard'!$B$6="All",$DH664='Staff Dashboard'!$B$6),OR('Staff Dashboard'!$B$7="All",$D664='Staff Dashboard'!$B$7),OR('Staff Dashboard'!$B$8="All",$A664='Staff Dashboard'!$B$8))</f>
        <v>0</v>
      </c>
      <c r="M664">
        <f>IF($E664=0,0,SUMPRODUCT($AI$7:$DF$7,'Staff Daily sales'!$G649:$CD649))</f>
        <v>0</v>
      </c>
      <c r="N664">
        <f>IF($E664=0,0,SUMPRODUCT($AI$8:$DF$8,'Staff Daily sales'!$G649:$CD649))</f>
        <v>0</v>
      </c>
      <c r="O664">
        <f>IF($E664=0,0,SUMPRODUCT($AI$9:$DF$9,'Staff Daily sales'!$G649:$CD649))</f>
        <v>0</v>
      </c>
      <c r="P664">
        <f>IF($E664=0,0,SUMPRODUCT($AI$10:$DF$10,'Staff Daily sales'!$G649:$CD649))</f>
        <v>0</v>
      </c>
      <c r="Q664">
        <f>IF($E664=0,0,SUMPRODUCT($AI$11:$DF$11,'Staff Daily sales'!$G649:$CD649))</f>
        <v>0</v>
      </c>
      <c r="R664">
        <f>IF($E664=0,0,SUMPRODUCT($AI$12:$DF$12,'Staff Daily sales'!$G649:$CD649))</f>
        <v>0</v>
      </c>
      <c r="S664">
        <f>IF($E664=0,0,SUMPRODUCT($AI$13:$DF$13,'Staff Daily sales'!$G649:$CD649))</f>
        <v>0</v>
      </c>
      <c r="T664">
        <f>IF($E664=0,0,SUMPRODUCT($AI$14:$DF$14,'Staff Daily sales'!$G649:$CD649))</f>
        <v>0</v>
      </c>
      <c r="U664">
        <f>IF($E664=0,0,SUMPRODUCT($AI$15:$DF$15,'Staff Daily sales'!$G649:$CD649))</f>
        <v>0</v>
      </c>
      <c r="V664">
        <f>IF($E664=0,0,SUMPRODUCT($AI$16:$DF$16,'Staff Daily sales'!$G649:$CD649))</f>
        <v>0</v>
      </c>
      <c r="W664">
        <f t="shared" si="191"/>
        <v>0</v>
      </c>
      <c r="X664">
        <f t="shared" si="192"/>
        <v>0</v>
      </c>
      <c r="Y664">
        <f t="shared" si="193"/>
        <v>0</v>
      </c>
      <c r="Z664">
        <f t="shared" si="194"/>
        <v>0</v>
      </c>
      <c r="AA664">
        <f t="shared" si="195"/>
        <v>0</v>
      </c>
      <c r="AB664">
        <f>--AND($E664=1,OR('Staff Weekly Trend'!$B$3="All",$DH664='Staff Weekly Trend'!$B$3),OR('Staff Weekly Trend'!$B$4="All",$D664='Staff Weekly Trend'!$B$4),OR('Staff Weekly Trend'!$B$5="All",$A664='Staff Weekly Trend'!$B$5))</f>
        <v>0</v>
      </c>
      <c r="AC664" t="str">
        <f t="shared" si="196"/>
        <v/>
      </c>
      <c r="AI664">
        <f t="shared" si="197"/>
        <v>0</v>
      </c>
      <c r="AJ664">
        <f t="shared" si="198"/>
        <v>0</v>
      </c>
      <c r="AK664">
        <f t="shared" si="199"/>
        <v>0</v>
      </c>
      <c r="AL664">
        <f t="shared" si="200"/>
        <v>0</v>
      </c>
      <c r="AM664">
        <f t="shared" si="201"/>
        <v>0</v>
      </c>
      <c r="DH664" t="str" cm="1">
        <f t="array" ref="DH664">IF($A664="","",_xlfn.LET(_xlpm.c,IFERROR(_xlfn.XLOOKUP($A664,TRIM('Sales and count'!$A$4:$A$300&amp;""),TRIM('Sales and count'!$B$4:$B$300&amp;"")),""),IF(OR(_xlpm.c="",_xlpm.c="0",LEFT(_xlpm.c,1)="#"),"Not set",_xlpm.c)))</f>
        <v/>
      </c>
    </row>
    <row r="665" spans="1:112" x14ac:dyDescent="0.25">
      <c r="A665" t="str">
        <f>IF('Staff Daily sales'!$B650="","",TRIM('Staff Daily sales'!$B650&amp;""))</f>
        <v/>
      </c>
      <c r="B665" t="str">
        <f>IF('Staff Daily sales'!$D650="","",TRIM('Staff Daily sales'!$D650&amp;""))</f>
        <v/>
      </c>
      <c r="C665" t="str">
        <f>IFERROR(TRIM('Staff Daily sales'!$E650&amp;""),"")</f>
        <v/>
      </c>
      <c r="D665" t="str">
        <f>IFERROR(IF(TRIM('Staff Daily sales'!$F650&amp;"")="","Unassigned",TRIM('Staff Daily sales'!$F650&amp;"")),"Unassigned")</f>
        <v>Unassigned</v>
      </c>
      <c r="E665">
        <f t="shared" si="186"/>
        <v>0</v>
      </c>
      <c r="F665">
        <f>IF($E665=0,0,SUMPRODUCT($AI$5:$DF$5,'Staff Daily sales'!$G650:$CD650))</f>
        <v>0</v>
      </c>
      <c r="G665">
        <f>IF($E665=0,0,SUMPRODUCT($AI$6:$DF$6,'Staff Daily sales'!$G650:$CD650))</f>
        <v>0</v>
      </c>
      <c r="H665">
        <f t="shared" si="187"/>
        <v>0</v>
      </c>
      <c r="I665">
        <f t="shared" si="188"/>
        <v>0</v>
      </c>
      <c r="J665">
        <f t="shared" si="189"/>
        <v>0</v>
      </c>
      <c r="K665">
        <f t="shared" si="190"/>
        <v>0</v>
      </c>
      <c r="L665">
        <f>--AND($E665=1,OR('Staff Dashboard'!$B$6="All",$DH665='Staff Dashboard'!$B$6),OR('Staff Dashboard'!$B$7="All",$D665='Staff Dashboard'!$B$7),OR('Staff Dashboard'!$B$8="All",$A665='Staff Dashboard'!$B$8))</f>
        <v>0</v>
      </c>
      <c r="M665">
        <f>IF($E665=0,0,SUMPRODUCT($AI$7:$DF$7,'Staff Daily sales'!$G650:$CD650))</f>
        <v>0</v>
      </c>
      <c r="N665">
        <f>IF($E665=0,0,SUMPRODUCT($AI$8:$DF$8,'Staff Daily sales'!$G650:$CD650))</f>
        <v>0</v>
      </c>
      <c r="O665">
        <f>IF($E665=0,0,SUMPRODUCT($AI$9:$DF$9,'Staff Daily sales'!$G650:$CD650))</f>
        <v>0</v>
      </c>
      <c r="P665">
        <f>IF($E665=0,0,SUMPRODUCT($AI$10:$DF$10,'Staff Daily sales'!$G650:$CD650))</f>
        <v>0</v>
      </c>
      <c r="Q665">
        <f>IF($E665=0,0,SUMPRODUCT($AI$11:$DF$11,'Staff Daily sales'!$G650:$CD650))</f>
        <v>0</v>
      </c>
      <c r="R665">
        <f>IF($E665=0,0,SUMPRODUCT($AI$12:$DF$12,'Staff Daily sales'!$G650:$CD650))</f>
        <v>0</v>
      </c>
      <c r="S665">
        <f>IF($E665=0,0,SUMPRODUCT($AI$13:$DF$13,'Staff Daily sales'!$G650:$CD650))</f>
        <v>0</v>
      </c>
      <c r="T665">
        <f>IF($E665=0,0,SUMPRODUCT($AI$14:$DF$14,'Staff Daily sales'!$G650:$CD650))</f>
        <v>0</v>
      </c>
      <c r="U665">
        <f>IF($E665=0,0,SUMPRODUCT($AI$15:$DF$15,'Staff Daily sales'!$G650:$CD650))</f>
        <v>0</v>
      </c>
      <c r="V665">
        <f>IF($E665=0,0,SUMPRODUCT($AI$16:$DF$16,'Staff Daily sales'!$G650:$CD650))</f>
        <v>0</v>
      </c>
      <c r="W665">
        <f t="shared" si="191"/>
        <v>0</v>
      </c>
      <c r="X665">
        <f t="shared" si="192"/>
        <v>0</v>
      </c>
      <c r="Y665">
        <f t="shared" si="193"/>
        <v>0</v>
      </c>
      <c r="Z665">
        <f t="shared" si="194"/>
        <v>0</v>
      </c>
      <c r="AA665">
        <f t="shared" si="195"/>
        <v>0</v>
      </c>
      <c r="AB665">
        <f>--AND($E665=1,OR('Staff Weekly Trend'!$B$3="All",$DH665='Staff Weekly Trend'!$B$3),OR('Staff Weekly Trend'!$B$4="All",$D665='Staff Weekly Trend'!$B$4),OR('Staff Weekly Trend'!$B$5="All",$A665='Staff Weekly Trend'!$B$5))</f>
        <v>0</v>
      </c>
      <c r="AC665" t="str">
        <f t="shared" si="196"/>
        <v/>
      </c>
      <c r="AI665">
        <f t="shared" si="197"/>
        <v>0</v>
      </c>
      <c r="AJ665">
        <f t="shared" si="198"/>
        <v>0</v>
      </c>
      <c r="AK665">
        <f t="shared" si="199"/>
        <v>0</v>
      </c>
      <c r="AL665">
        <f t="shared" si="200"/>
        <v>0</v>
      </c>
      <c r="AM665">
        <f t="shared" si="201"/>
        <v>0</v>
      </c>
      <c r="DH665" t="str" cm="1">
        <f t="array" ref="DH665">IF($A665="","",_xlfn.LET(_xlpm.c,IFERROR(_xlfn.XLOOKUP($A665,TRIM('Sales and count'!$A$4:$A$300&amp;""),TRIM('Sales and count'!$B$4:$B$300&amp;"")),""),IF(OR(_xlpm.c="",_xlpm.c="0",LEFT(_xlpm.c,1)="#"),"Not set",_xlpm.c)))</f>
        <v/>
      </c>
    </row>
    <row r="666" spans="1:112" x14ac:dyDescent="0.25">
      <c r="A666" t="str">
        <f>IF('Staff Daily sales'!$B651="","",TRIM('Staff Daily sales'!$B651&amp;""))</f>
        <v/>
      </c>
      <c r="B666" t="str">
        <f>IF('Staff Daily sales'!$D651="","",TRIM('Staff Daily sales'!$D651&amp;""))</f>
        <v/>
      </c>
      <c r="C666" t="str">
        <f>IFERROR(TRIM('Staff Daily sales'!$E651&amp;""),"")</f>
        <v/>
      </c>
      <c r="D666" t="str">
        <f>IFERROR(IF(TRIM('Staff Daily sales'!$F651&amp;"")="","Unassigned",TRIM('Staff Daily sales'!$F651&amp;"")),"Unassigned")</f>
        <v>Unassigned</v>
      </c>
      <c r="E666">
        <f t="shared" si="186"/>
        <v>0</v>
      </c>
      <c r="F666">
        <f>IF($E666=0,0,SUMPRODUCT($AI$5:$DF$5,'Staff Daily sales'!$G651:$CD651))</f>
        <v>0</v>
      </c>
      <c r="G666">
        <f>IF($E666=0,0,SUMPRODUCT($AI$6:$DF$6,'Staff Daily sales'!$G651:$CD651))</f>
        <v>0</v>
      </c>
      <c r="H666">
        <f t="shared" si="187"/>
        <v>0</v>
      </c>
      <c r="I666">
        <f t="shared" si="188"/>
        <v>0</v>
      </c>
      <c r="J666">
        <f t="shared" si="189"/>
        <v>0</v>
      </c>
      <c r="K666">
        <f t="shared" si="190"/>
        <v>0</v>
      </c>
      <c r="L666">
        <f>--AND($E666=1,OR('Staff Dashboard'!$B$6="All",$DH666='Staff Dashboard'!$B$6),OR('Staff Dashboard'!$B$7="All",$D666='Staff Dashboard'!$B$7),OR('Staff Dashboard'!$B$8="All",$A666='Staff Dashboard'!$B$8))</f>
        <v>0</v>
      </c>
      <c r="M666">
        <f>IF($E666=0,0,SUMPRODUCT($AI$7:$DF$7,'Staff Daily sales'!$G651:$CD651))</f>
        <v>0</v>
      </c>
      <c r="N666">
        <f>IF($E666=0,0,SUMPRODUCT($AI$8:$DF$8,'Staff Daily sales'!$G651:$CD651))</f>
        <v>0</v>
      </c>
      <c r="O666">
        <f>IF($E666=0,0,SUMPRODUCT($AI$9:$DF$9,'Staff Daily sales'!$G651:$CD651))</f>
        <v>0</v>
      </c>
      <c r="P666">
        <f>IF($E666=0,0,SUMPRODUCT($AI$10:$DF$10,'Staff Daily sales'!$G651:$CD651))</f>
        <v>0</v>
      </c>
      <c r="Q666">
        <f>IF($E666=0,0,SUMPRODUCT($AI$11:$DF$11,'Staff Daily sales'!$G651:$CD651))</f>
        <v>0</v>
      </c>
      <c r="R666">
        <f>IF($E666=0,0,SUMPRODUCT($AI$12:$DF$12,'Staff Daily sales'!$G651:$CD651))</f>
        <v>0</v>
      </c>
      <c r="S666">
        <f>IF($E666=0,0,SUMPRODUCT($AI$13:$DF$13,'Staff Daily sales'!$G651:$CD651))</f>
        <v>0</v>
      </c>
      <c r="T666">
        <f>IF($E666=0,0,SUMPRODUCT($AI$14:$DF$14,'Staff Daily sales'!$G651:$CD651))</f>
        <v>0</v>
      </c>
      <c r="U666">
        <f>IF($E666=0,0,SUMPRODUCT($AI$15:$DF$15,'Staff Daily sales'!$G651:$CD651))</f>
        <v>0</v>
      </c>
      <c r="V666">
        <f>IF($E666=0,0,SUMPRODUCT($AI$16:$DF$16,'Staff Daily sales'!$G651:$CD651))</f>
        <v>0</v>
      </c>
      <c r="W666">
        <f t="shared" si="191"/>
        <v>0</v>
      </c>
      <c r="X666">
        <f t="shared" si="192"/>
        <v>0</v>
      </c>
      <c r="Y666">
        <f t="shared" si="193"/>
        <v>0</v>
      </c>
      <c r="Z666">
        <f t="shared" si="194"/>
        <v>0</v>
      </c>
      <c r="AA666">
        <f t="shared" si="195"/>
        <v>0</v>
      </c>
      <c r="AB666">
        <f>--AND($E666=1,OR('Staff Weekly Trend'!$B$3="All",$DH666='Staff Weekly Trend'!$B$3),OR('Staff Weekly Trend'!$B$4="All",$D666='Staff Weekly Trend'!$B$4),OR('Staff Weekly Trend'!$B$5="All",$A666='Staff Weekly Trend'!$B$5))</f>
        <v>0</v>
      </c>
      <c r="AC666" t="str">
        <f t="shared" si="196"/>
        <v/>
      </c>
      <c r="AI666">
        <f t="shared" si="197"/>
        <v>0</v>
      </c>
      <c r="AJ666">
        <f t="shared" si="198"/>
        <v>0</v>
      </c>
      <c r="AK666">
        <f t="shared" si="199"/>
        <v>0</v>
      </c>
      <c r="AL666">
        <f t="shared" si="200"/>
        <v>0</v>
      </c>
      <c r="AM666">
        <f t="shared" si="201"/>
        <v>0</v>
      </c>
      <c r="DH666" t="str" cm="1">
        <f t="array" ref="DH666">IF($A666="","",_xlfn.LET(_xlpm.c,IFERROR(_xlfn.XLOOKUP($A666,TRIM('Sales and count'!$A$4:$A$300&amp;""),TRIM('Sales and count'!$B$4:$B$300&amp;"")),""),IF(OR(_xlpm.c="",_xlpm.c="0",LEFT(_xlpm.c,1)="#"),"Not set",_xlpm.c)))</f>
        <v/>
      </c>
    </row>
    <row r="667" spans="1:112" x14ac:dyDescent="0.25">
      <c r="A667" t="str">
        <f>IF('Staff Daily sales'!$B652="","",TRIM('Staff Daily sales'!$B652&amp;""))</f>
        <v/>
      </c>
      <c r="B667" t="str">
        <f>IF('Staff Daily sales'!$D652="","",TRIM('Staff Daily sales'!$D652&amp;""))</f>
        <v/>
      </c>
      <c r="C667" t="str">
        <f>IFERROR(TRIM('Staff Daily sales'!$E652&amp;""),"")</f>
        <v/>
      </c>
      <c r="D667" t="str">
        <f>IFERROR(IF(TRIM('Staff Daily sales'!$F652&amp;"")="","Unassigned",TRIM('Staff Daily sales'!$F652&amp;"")),"Unassigned")</f>
        <v>Unassigned</v>
      </c>
      <c r="E667">
        <f t="shared" si="186"/>
        <v>0</v>
      </c>
      <c r="F667">
        <f>IF($E667=0,0,SUMPRODUCT($AI$5:$DF$5,'Staff Daily sales'!$G652:$CD652))</f>
        <v>0</v>
      </c>
      <c r="G667">
        <f>IF($E667=0,0,SUMPRODUCT($AI$6:$DF$6,'Staff Daily sales'!$G652:$CD652))</f>
        <v>0</v>
      </c>
      <c r="H667">
        <f t="shared" si="187"/>
        <v>0</v>
      </c>
      <c r="I667">
        <f t="shared" si="188"/>
        <v>0</v>
      </c>
      <c r="J667">
        <f t="shared" si="189"/>
        <v>0</v>
      </c>
      <c r="K667">
        <f t="shared" si="190"/>
        <v>0</v>
      </c>
      <c r="L667">
        <f>--AND($E667=1,OR('Staff Dashboard'!$B$6="All",$DH667='Staff Dashboard'!$B$6),OR('Staff Dashboard'!$B$7="All",$D667='Staff Dashboard'!$B$7),OR('Staff Dashboard'!$B$8="All",$A667='Staff Dashboard'!$B$8))</f>
        <v>0</v>
      </c>
      <c r="M667">
        <f>IF($E667=0,0,SUMPRODUCT($AI$7:$DF$7,'Staff Daily sales'!$G652:$CD652))</f>
        <v>0</v>
      </c>
      <c r="N667">
        <f>IF($E667=0,0,SUMPRODUCT($AI$8:$DF$8,'Staff Daily sales'!$G652:$CD652))</f>
        <v>0</v>
      </c>
      <c r="O667">
        <f>IF($E667=0,0,SUMPRODUCT($AI$9:$DF$9,'Staff Daily sales'!$G652:$CD652))</f>
        <v>0</v>
      </c>
      <c r="P667">
        <f>IF($E667=0,0,SUMPRODUCT($AI$10:$DF$10,'Staff Daily sales'!$G652:$CD652))</f>
        <v>0</v>
      </c>
      <c r="Q667">
        <f>IF($E667=0,0,SUMPRODUCT($AI$11:$DF$11,'Staff Daily sales'!$G652:$CD652))</f>
        <v>0</v>
      </c>
      <c r="R667">
        <f>IF($E667=0,0,SUMPRODUCT($AI$12:$DF$12,'Staff Daily sales'!$G652:$CD652))</f>
        <v>0</v>
      </c>
      <c r="S667">
        <f>IF($E667=0,0,SUMPRODUCT($AI$13:$DF$13,'Staff Daily sales'!$G652:$CD652))</f>
        <v>0</v>
      </c>
      <c r="T667">
        <f>IF($E667=0,0,SUMPRODUCT($AI$14:$DF$14,'Staff Daily sales'!$G652:$CD652))</f>
        <v>0</v>
      </c>
      <c r="U667">
        <f>IF($E667=0,0,SUMPRODUCT($AI$15:$DF$15,'Staff Daily sales'!$G652:$CD652))</f>
        <v>0</v>
      </c>
      <c r="V667">
        <f>IF($E667=0,0,SUMPRODUCT($AI$16:$DF$16,'Staff Daily sales'!$G652:$CD652))</f>
        <v>0</v>
      </c>
      <c r="W667">
        <f t="shared" si="191"/>
        <v>0</v>
      </c>
      <c r="X667">
        <f t="shared" si="192"/>
        <v>0</v>
      </c>
      <c r="Y667">
        <f t="shared" si="193"/>
        <v>0</v>
      </c>
      <c r="Z667">
        <f t="shared" si="194"/>
        <v>0</v>
      </c>
      <c r="AA667">
        <f t="shared" si="195"/>
        <v>0</v>
      </c>
      <c r="AB667">
        <f>--AND($E667=1,OR('Staff Weekly Trend'!$B$3="All",$DH667='Staff Weekly Trend'!$B$3),OR('Staff Weekly Trend'!$B$4="All",$D667='Staff Weekly Trend'!$B$4),OR('Staff Weekly Trend'!$B$5="All",$A667='Staff Weekly Trend'!$B$5))</f>
        <v>0</v>
      </c>
      <c r="AC667" t="str">
        <f t="shared" si="196"/>
        <v/>
      </c>
      <c r="AI667">
        <f t="shared" si="197"/>
        <v>0</v>
      </c>
      <c r="AJ667">
        <f t="shared" si="198"/>
        <v>0</v>
      </c>
      <c r="AK667">
        <f t="shared" si="199"/>
        <v>0</v>
      </c>
      <c r="AL667">
        <f t="shared" si="200"/>
        <v>0</v>
      </c>
      <c r="AM667">
        <f t="shared" si="201"/>
        <v>0</v>
      </c>
      <c r="DH667" t="str" cm="1">
        <f t="array" ref="DH667">IF($A667="","",_xlfn.LET(_xlpm.c,IFERROR(_xlfn.XLOOKUP($A667,TRIM('Sales and count'!$A$4:$A$300&amp;""),TRIM('Sales and count'!$B$4:$B$300&amp;"")),""),IF(OR(_xlpm.c="",_xlpm.c="0",LEFT(_xlpm.c,1)="#"),"Not set",_xlpm.c)))</f>
        <v/>
      </c>
    </row>
    <row r="668" spans="1:112" x14ac:dyDescent="0.25">
      <c r="A668" t="str">
        <f>IF('Staff Daily sales'!$B653="","",TRIM('Staff Daily sales'!$B653&amp;""))</f>
        <v/>
      </c>
      <c r="B668" t="str">
        <f>IF('Staff Daily sales'!$D653="","",TRIM('Staff Daily sales'!$D653&amp;""))</f>
        <v/>
      </c>
      <c r="C668" t="str">
        <f>IFERROR(TRIM('Staff Daily sales'!$E653&amp;""),"")</f>
        <v/>
      </c>
      <c r="D668" t="str">
        <f>IFERROR(IF(TRIM('Staff Daily sales'!$F653&amp;"")="","Unassigned",TRIM('Staff Daily sales'!$F653&amp;"")),"Unassigned")</f>
        <v>Unassigned</v>
      </c>
      <c r="E668">
        <f t="shared" si="186"/>
        <v>0</v>
      </c>
      <c r="F668">
        <f>IF($E668=0,0,SUMPRODUCT($AI$5:$DF$5,'Staff Daily sales'!$G653:$CD653))</f>
        <v>0</v>
      </c>
      <c r="G668">
        <f>IF($E668=0,0,SUMPRODUCT($AI$6:$DF$6,'Staff Daily sales'!$G653:$CD653))</f>
        <v>0</v>
      </c>
      <c r="H668">
        <f t="shared" si="187"/>
        <v>0</v>
      </c>
      <c r="I668">
        <f t="shared" si="188"/>
        <v>0</v>
      </c>
      <c r="J668">
        <f t="shared" si="189"/>
        <v>0</v>
      </c>
      <c r="K668">
        <f t="shared" si="190"/>
        <v>0</v>
      </c>
      <c r="L668">
        <f>--AND($E668=1,OR('Staff Dashboard'!$B$6="All",$DH668='Staff Dashboard'!$B$6),OR('Staff Dashboard'!$B$7="All",$D668='Staff Dashboard'!$B$7),OR('Staff Dashboard'!$B$8="All",$A668='Staff Dashboard'!$B$8))</f>
        <v>0</v>
      </c>
      <c r="M668">
        <f>IF($E668=0,0,SUMPRODUCT($AI$7:$DF$7,'Staff Daily sales'!$G653:$CD653))</f>
        <v>0</v>
      </c>
      <c r="N668">
        <f>IF($E668=0,0,SUMPRODUCT($AI$8:$DF$8,'Staff Daily sales'!$G653:$CD653))</f>
        <v>0</v>
      </c>
      <c r="O668">
        <f>IF($E668=0,0,SUMPRODUCT($AI$9:$DF$9,'Staff Daily sales'!$G653:$CD653))</f>
        <v>0</v>
      </c>
      <c r="P668">
        <f>IF($E668=0,0,SUMPRODUCT($AI$10:$DF$10,'Staff Daily sales'!$G653:$CD653))</f>
        <v>0</v>
      </c>
      <c r="Q668">
        <f>IF($E668=0,0,SUMPRODUCT($AI$11:$DF$11,'Staff Daily sales'!$G653:$CD653))</f>
        <v>0</v>
      </c>
      <c r="R668">
        <f>IF($E668=0,0,SUMPRODUCT($AI$12:$DF$12,'Staff Daily sales'!$G653:$CD653))</f>
        <v>0</v>
      </c>
      <c r="S668">
        <f>IF($E668=0,0,SUMPRODUCT($AI$13:$DF$13,'Staff Daily sales'!$G653:$CD653))</f>
        <v>0</v>
      </c>
      <c r="T668">
        <f>IF($E668=0,0,SUMPRODUCT($AI$14:$DF$14,'Staff Daily sales'!$G653:$CD653))</f>
        <v>0</v>
      </c>
      <c r="U668">
        <f>IF($E668=0,0,SUMPRODUCT($AI$15:$DF$15,'Staff Daily sales'!$G653:$CD653))</f>
        <v>0</v>
      </c>
      <c r="V668">
        <f>IF($E668=0,0,SUMPRODUCT($AI$16:$DF$16,'Staff Daily sales'!$G653:$CD653))</f>
        <v>0</v>
      </c>
      <c r="W668">
        <f t="shared" si="191"/>
        <v>0</v>
      </c>
      <c r="X668">
        <f t="shared" si="192"/>
        <v>0</v>
      </c>
      <c r="Y668">
        <f t="shared" si="193"/>
        <v>0</v>
      </c>
      <c r="Z668">
        <f t="shared" si="194"/>
        <v>0</v>
      </c>
      <c r="AA668">
        <f t="shared" si="195"/>
        <v>0</v>
      </c>
      <c r="AB668">
        <f>--AND($E668=1,OR('Staff Weekly Trend'!$B$3="All",$DH668='Staff Weekly Trend'!$B$3),OR('Staff Weekly Trend'!$B$4="All",$D668='Staff Weekly Trend'!$B$4),OR('Staff Weekly Trend'!$B$5="All",$A668='Staff Weekly Trend'!$B$5))</f>
        <v>0</v>
      </c>
      <c r="AC668" t="str">
        <f t="shared" si="196"/>
        <v/>
      </c>
      <c r="AI668">
        <f t="shared" si="197"/>
        <v>0</v>
      </c>
      <c r="AJ668">
        <f t="shared" si="198"/>
        <v>0</v>
      </c>
      <c r="AK668">
        <f t="shared" si="199"/>
        <v>0</v>
      </c>
      <c r="AL668">
        <f t="shared" si="200"/>
        <v>0</v>
      </c>
      <c r="AM668">
        <f t="shared" si="201"/>
        <v>0</v>
      </c>
      <c r="DH668" t="str" cm="1">
        <f t="array" ref="DH668">IF($A668="","",_xlfn.LET(_xlpm.c,IFERROR(_xlfn.XLOOKUP($A668,TRIM('Sales and count'!$A$4:$A$300&amp;""),TRIM('Sales and count'!$B$4:$B$300&amp;"")),""),IF(OR(_xlpm.c="",_xlpm.c="0",LEFT(_xlpm.c,1)="#"),"Not set",_xlpm.c)))</f>
        <v/>
      </c>
    </row>
    <row r="669" spans="1:112" x14ac:dyDescent="0.25">
      <c r="A669" t="str">
        <f>IF('Staff Daily sales'!$B654="","",TRIM('Staff Daily sales'!$B654&amp;""))</f>
        <v/>
      </c>
      <c r="B669" t="str">
        <f>IF('Staff Daily sales'!$D654="","",TRIM('Staff Daily sales'!$D654&amp;""))</f>
        <v/>
      </c>
      <c r="C669" t="str">
        <f>IFERROR(TRIM('Staff Daily sales'!$E654&amp;""),"")</f>
        <v/>
      </c>
      <c r="D669" t="str">
        <f>IFERROR(IF(TRIM('Staff Daily sales'!$F654&amp;"")="","Unassigned",TRIM('Staff Daily sales'!$F654&amp;"")),"Unassigned")</f>
        <v>Unassigned</v>
      </c>
      <c r="E669">
        <f t="shared" si="186"/>
        <v>0</v>
      </c>
      <c r="F669">
        <f>IF($E669=0,0,SUMPRODUCT($AI$5:$DF$5,'Staff Daily sales'!$G654:$CD654))</f>
        <v>0</v>
      </c>
      <c r="G669">
        <f>IF($E669=0,0,SUMPRODUCT($AI$6:$DF$6,'Staff Daily sales'!$G654:$CD654))</f>
        <v>0</v>
      </c>
      <c r="H669">
        <f t="shared" si="187"/>
        <v>0</v>
      </c>
      <c r="I669">
        <f t="shared" si="188"/>
        <v>0</v>
      </c>
      <c r="J669">
        <f t="shared" si="189"/>
        <v>0</v>
      </c>
      <c r="K669">
        <f t="shared" si="190"/>
        <v>0</v>
      </c>
      <c r="L669">
        <f>--AND($E669=1,OR('Staff Dashboard'!$B$6="All",$DH669='Staff Dashboard'!$B$6),OR('Staff Dashboard'!$B$7="All",$D669='Staff Dashboard'!$B$7),OR('Staff Dashboard'!$B$8="All",$A669='Staff Dashboard'!$B$8))</f>
        <v>0</v>
      </c>
      <c r="M669">
        <f>IF($E669=0,0,SUMPRODUCT($AI$7:$DF$7,'Staff Daily sales'!$G654:$CD654))</f>
        <v>0</v>
      </c>
      <c r="N669">
        <f>IF($E669=0,0,SUMPRODUCT($AI$8:$DF$8,'Staff Daily sales'!$G654:$CD654))</f>
        <v>0</v>
      </c>
      <c r="O669">
        <f>IF($E669=0,0,SUMPRODUCT($AI$9:$DF$9,'Staff Daily sales'!$G654:$CD654))</f>
        <v>0</v>
      </c>
      <c r="P669">
        <f>IF($E669=0,0,SUMPRODUCT($AI$10:$DF$10,'Staff Daily sales'!$G654:$CD654))</f>
        <v>0</v>
      </c>
      <c r="Q669">
        <f>IF($E669=0,0,SUMPRODUCT($AI$11:$DF$11,'Staff Daily sales'!$G654:$CD654))</f>
        <v>0</v>
      </c>
      <c r="R669">
        <f>IF($E669=0,0,SUMPRODUCT($AI$12:$DF$12,'Staff Daily sales'!$G654:$CD654))</f>
        <v>0</v>
      </c>
      <c r="S669">
        <f>IF($E669=0,0,SUMPRODUCT($AI$13:$DF$13,'Staff Daily sales'!$G654:$CD654))</f>
        <v>0</v>
      </c>
      <c r="T669">
        <f>IF($E669=0,0,SUMPRODUCT($AI$14:$DF$14,'Staff Daily sales'!$G654:$CD654))</f>
        <v>0</v>
      </c>
      <c r="U669">
        <f>IF($E669=0,0,SUMPRODUCT($AI$15:$DF$15,'Staff Daily sales'!$G654:$CD654))</f>
        <v>0</v>
      </c>
      <c r="V669">
        <f>IF($E669=0,0,SUMPRODUCT($AI$16:$DF$16,'Staff Daily sales'!$G654:$CD654))</f>
        <v>0</v>
      </c>
      <c r="W669">
        <f t="shared" si="191"/>
        <v>0</v>
      </c>
      <c r="X669">
        <f t="shared" si="192"/>
        <v>0</v>
      </c>
      <c r="Y669">
        <f t="shared" si="193"/>
        <v>0</v>
      </c>
      <c r="Z669">
        <f t="shared" si="194"/>
        <v>0</v>
      </c>
      <c r="AA669">
        <f t="shared" si="195"/>
        <v>0</v>
      </c>
      <c r="AB669">
        <f>--AND($E669=1,OR('Staff Weekly Trend'!$B$3="All",$DH669='Staff Weekly Trend'!$B$3),OR('Staff Weekly Trend'!$B$4="All",$D669='Staff Weekly Trend'!$B$4),OR('Staff Weekly Trend'!$B$5="All",$A669='Staff Weekly Trend'!$B$5))</f>
        <v>0</v>
      </c>
      <c r="AC669" t="str">
        <f t="shared" si="196"/>
        <v/>
      </c>
      <c r="AI669">
        <f t="shared" si="197"/>
        <v>0</v>
      </c>
      <c r="AJ669">
        <f t="shared" si="198"/>
        <v>0</v>
      </c>
      <c r="AK669">
        <f t="shared" si="199"/>
        <v>0</v>
      </c>
      <c r="AL669">
        <f t="shared" si="200"/>
        <v>0</v>
      </c>
      <c r="AM669">
        <f t="shared" si="201"/>
        <v>0</v>
      </c>
      <c r="DH669" t="str" cm="1">
        <f t="array" ref="DH669">IF($A669="","",_xlfn.LET(_xlpm.c,IFERROR(_xlfn.XLOOKUP($A669,TRIM('Sales and count'!$A$4:$A$300&amp;""),TRIM('Sales and count'!$B$4:$B$300&amp;"")),""),IF(OR(_xlpm.c="",_xlpm.c="0",LEFT(_xlpm.c,1)="#"),"Not set",_xlpm.c)))</f>
        <v/>
      </c>
    </row>
    <row r="670" spans="1:112" x14ac:dyDescent="0.25">
      <c r="A670" t="str">
        <f>IF('Staff Daily sales'!$B655="","",TRIM('Staff Daily sales'!$B655&amp;""))</f>
        <v/>
      </c>
      <c r="B670" t="str">
        <f>IF('Staff Daily sales'!$D655="","",TRIM('Staff Daily sales'!$D655&amp;""))</f>
        <v/>
      </c>
      <c r="C670" t="str">
        <f>IFERROR(TRIM('Staff Daily sales'!$E655&amp;""),"")</f>
        <v/>
      </c>
      <c r="D670" t="str">
        <f>IFERROR(IF(TRIM('Staff Daily sales'!$F655&amp;"")="","Unassigned",TRIM('Staff Daily sales'!$F655&amp;"")),"Unassigned")</f>
        <v>Unassigned</v>
      </c>
      <c r="E670">
        <f t="shared" si="186"/>
        <v>0</v>
      </c>
      <c r="F670">
        <f>IF($E670=0,0,SUMPRODUCT($AI$5:$DF$5,'Staff Daily sales'!$G655:$CD655))</f>
        <v>0</v>
      </c>
      <c r="G670">
        <f>IF($E670=0,0,SUMPRODUCT($AI$6:$DF$6,'Staff Daily sales'!$G655:$CD655))</f>
        <v>0</v>
      </c>
      <c r="H670">
        <f t="shared" si="187"/>
        <v>0</v>
      </c>
      <c r="I670">
        <f t="shared" si="188"/>
        <v>0</v>
      </c>
      <c r="J670">
        <f t="shared" si="189"/>
        <v>0</v>
      </c>
      <c r="K670">
        <f t="shared" si="190"/>
        <v>0</v>
      </c>
      <c r="L670">
        <f>--AND($E670=1,OR('Staff Dashboard'!$B$6="All",$DH670='Staff Dashboard'!$B$6),OR('Staff Dashboard'!$B$7="All",$D670='Staff Dashboard'!$B$7),OR('Staff Dashboard'!$B$8="All",$A670='Staff Dashboard'!$B$8))</f>
        <v>0</v>
      </c>
      <c r="M670">
        <f>IF($E670=0,0,SUMPRODUCT($AI$7:$DF$7,'Staff Daily sales'!$G655:$CD655))</f>
        <v>0</v>
      </c>
      <c r="N670">
        <f>IF($E670=0,0,SUMPRODUCT($AI$8:$DF$8,'Staff Daily sales'!$G655:$CD655))</f>
        <v>0</v>
      </c>
      <c r="O670">
        <f>IF($E670=0,0,SUMPRODUCT($AI$9:$DF$9,'Staff Daily sales'!$G655:$CD655))</f>
        <v>0</v>
      </c>
      <c r="P670">
        <f>IF($E670=0,0,SUMPRODUCT($AI$10:$DF$10,'Staff Daily sales'!$G655:$CD655))</f>
        <v>0</v>
      </c>
      <c r="Q670">
        <f>IF($E670=0,0,SUMPRODUCT($AI$11:$DF$11,'Staff Daily sales'!$G655:$CD655))</f>
        <v>0</v>
      </c>
      <c r="R670">
        <f>IF($E670=0,0,SUMPRODUCT($AI$12:$DF$12,'Staff Daily sales'!$G655:$CD655))</f>
        <v>0</v>
      </c>
      <c r="S670">
        <f>IF($E670=0,0,SUMPRODUCT($AI$13:$DF$13,'Staff Daily sales'!$G655:$CD655))</f>
        <v>0</v>
      </c>
      <c r="T670">
        <f>IF($E670=0,0,SUMPRODUCT($AI$14:$DF$14,'Staff Daily sales'!$G655:$CD655))</f>
        <v>0</v>
      </c>
      <c r="U670">
        <f>IF($E670=0,0,SUMPRODUCT($AI$15:$DF$15,'Staff Daily sales'!$G655:$CD655))</f>
        <v>0</v>
      </c>
      <c r="V670">
        <f>IF($E670=0,0,SUMPRODUCT($AI$16:$DF$16,'Staff Daily sales'!$G655:$CD655))</f>
        <v>0</v>
      </c>
      <c r="W670">
        <f t="shared" si="191"/>
        <v>0</v>
      </c>
      <c r="X670">
        <f t="shared" si="192"/>
        <v>0</v>
      </c>
      <c r="Y670">
        <f t="shared" si="193"/>
        <v>0</v>
      </c>
      <c r="Z670">
        <f t="shared" si="194"/>
        <v>0</v>
      </c>
      <c r="AA670">
        <f t="shared" si="195"/>
        <v>0</v>
      </c>
      <c r="AB670">
        <f>--AND($E670=1,OR('Staff Weekly Trend'!$B$3="All",$DH670='Staff Weekly Trend'!$B$3),OR('Staff Weekly Trend'!$B$4="All",$D670='Staff Weekly Trend'!$B$4),OR('Staff Weekly Trend'!$B$5="All",$A670='Staff Weekly Trend'!$B$5))</f>
        <v>0</v>
      </c>
      <c r="AC670" t="str">
        <f t="shared" si="196"/>
        <v/>
      </c>
      <c r="AI670">
        <f t="shared" si="197"/>
        <v>0</v>
      </c>
      <c r="AJ670">
        <f t="shared" si="198"/>
        <v>0</v>
      </c>
      <c r="AK670">
        <f t="shared" si="199"/>
        <v>0</v>
      </c>
      <c r="AL670">
        <f t="shared" si="200"/>
        <v>0</v>
      </c>
      <c r="AM670">
        <f t="shared" si="201"/>
        <v>0</v>
      </c>
      <c r="DH670" t="str" cm="1">
        <f t="array" ref="DH670">IF($A670="","",_xlfn.LET(_xlpm.c,IFERROR(_xlfn.XLOOKUP($A670,TRIM('Sales and count'!$A$4:$A$300&amp;""),TRIM('Sales and count'!$B$4:$B$300&amp;"")),""),IF(OR(_xlpm.c="",_xlpm.c="0",LEFT(_xlpm.c,1)="#"),"Not set",_xlpm.c)))</f>
        <v/>
      </c>
    </row>
    <row r="671" spans="1:112" x14ac:dyDescent="0.25">
      <c r="A671" t="str">
        <f>IF('Staff Daily sales'!$B656="","",TRIM('Staff Daily sales'!$B656&amp;""))</f>
        <v/>
      </c>
      <c r="B671" t="str">
        <f>IF('Staff Daily sales'!$D656="","",TRIM('Staff Daily sales'!$D656&amp;""))</f>
        <v/>
      </c>
      <c r="C671" t="str">
        <f>IFERROR(TRIM('Staff Daily sales'!$E656&amp;""),"")</f>
        <v/>
      </c>
      <c r="D671" t="str">
        <f>IFERROR(IF(TRIM('Staff Daily sales'!$F656&amp;"")="","Unassigned",TRIM('Staff Daily sales'!$F656&amp;"")),"Unassigned")</f>
        <v>Unassigned</v>
      </c>
      <c r="E671">
        <f t="shared" si="186"/>
        <v>0</v>
      </c>
      <c r="F671">
        <f>IF($E671=0,0,SUMPRODUCT($AI$5:$DF$5,'Staff Daily sales'!$G656:$CD656))</f>
        <v>0</v>
      </c>
      <c r="G671">
        <f>IF($E671=0,0,SUMPRODUCT($AI$6:$DF$6,'Staff Daily sales'!$G656:$CD656))</f>
        <v>0</v>
      </c>
      <c r="H671">
        <f t="shared" si="187"/>
        <v>0</v>
      </c>
      <c r="I671">
        <f t="shared" si="188"/>
        <v>0</v>
      </c>
      <c r="J671">
        <f t="shared" si="189"/>
        <v>0</v>
      </c>
      <c r="K671">
        <f t="shared" si="190"/>
        <v>0</v>
      </c>
      <c r="L671">
        <f>--AND($E671=1,OR('Staff Dashboard'!$B$6="All",$DH671='Staff Dashboard'!$B$6),OR('Staff Dashboard'!$B$7="All",$D671='Staff Dashboard'!$B$7),OR('Staff Dashboard'!$B$8="All",$A671='Staff Dashboard'!$B$8))</f>
        <v>0</v>
      </c>
      <c r="M671">
        <f>IF($E671=0,0,SUMPRODUCT($AI$7:$DF$7,'Staff Daily sales'!$G656:$CD656))</f>
        <v>0</v>
      </c>
      <c r="N671">
        <f>IF($E671=0,0,SUMPRODUCT($AI$8:$DF$8,'Staff Daily sales'!$G656:$CD656))</f>
        <v>0</v>
      </c>
      <c r="O671">
        <f>IF($E671=0,0,SUMPRODUCT($AI$9:$DF$9,'Staff Daily sales'!$G656:$CD656))</f>
        <v>0</v>
      </c>
      <c r="P671">
        <f>IF($E671=0,0,SUMPRODUCT($AI$10:$DF$10,'Staff Daily sales'!$G656:$CD656))</f>
        <v>0</v>
      </c>
      <c r="Q671">
        <f>IF($E671=0,0,SUMPRODUCT($AI$11:$DF$11,'Staff Daily sales'!$G656:$CD656))</f>
        <v>0</v>
      </c>
      <c r="R671">
        <f>IF($E671=0,0,SUMPRODUCT($AI$12:$DF$12,'Staff Daily sales'!$G656:$CD656))</f>
        <v>0</v>
      </c>
      <c r="S671">
        <f>IF($E671=0,0,SUMPRODUCT($AI$13:$DF$13,'Staff Daily sales'!$G656:$CD656))</f>
        <v>0</v>
      </c>
      <c r="T671">
        <f>IF($E671=0,0,SUMPRODUCT($AI$14:$DF$14,'Staff Daily sales'!$G656:$CD656))</f>
        <v>0</v>
      </c>
      <c r="U671">
        <f>IF($E671=0,0,SUMPRODUCT($AI$15:$DF$15,'Staff Daily sales'!$G656:$CD656))</f>
        <v>0</v>
      </c>
      <c r="V671">
        <f>IF($E671=0,0,SUMPRODUCT($AI$16:$DF$16,'Staff Daily sales'!$G656:$CD656))</f>
        <v>0</v>
      </c>
      <c r="W671">
        <f t="shared" si="191"/>
        <v>0</v>
      </c>
      <c r="X671">
        <f t="shared" si="192"/>
        <v>0</v>
      </c>
      <c r="Y671">
        <f t="shared" si="193"/>
        <v>0</v>
      </c>
      <c r="Z671">
        <f t="shared" si="194"/>
        <v>0</v>
      </c>
      <c r="AA671">
        <f t="shared" si="195"/>
        <v>0</v>
      </c>
      <c r="AB671">
        <f>--AND($E671=1,OR('Staff Weekly Trend'!$B$3="All",$DH671='Staff Weekly Trend'!$B$3),OR('Staff Weekly Trend'!$B$4="All",$D671='Staff Weekly Trend'!$B$4),OR('Staff Weekly Trend'!$B$5="All",$A671='Staff Weekly Trend'!$B$5))</f>
        <v>0</v>
      </c>
      <c r="AC671" t="str">
        <f t="shared" si="196"/>
        <v/>
      </c>
      <c r="AI671">
        <f t="shared" si="197"/>
        <v>0</v>
      </c>
      <c r="AJ671">
        <f t="shared" si="198"/>
        <v>0</v>
      </c>
      <c r="AK671">
        <f t="shared" si="199"/>
        <v>0</v>
      </c>
      <c r="AL671">
        <f t="shared" si="200"/>
        <v>0</v>
      </c>
      <c r="AM671">
        <f t="shared" si="201"/>
        <v>0</v>
      </c>
      <c r="DH671" t="str" cm="1">
        <f t="array" ref="DH671">IF($A671="","",_xlfn.LET(_xlpm.c,IFERROR(_xlfn.XLOOKUP($A671,TRIM('Sales and count'!$A$4:$A$300&amp;""),TRIM('Sales and count'!$B$4:$B$300&amp;"")),""),IF(OR(_xlpm.c="",_xlpm.c="0",LEFT(_xlpm.c,1)="#"),"Not set",_xlpm.c)))</f>
        <v/>
      </c>
    </row>
    <row r="672" spans="1:112" x14ac:dyDescent="0.25">
      <c r="A672" t="str">
        <f>IF('Staff Daily sales'!$B657="","",TRIM('Staff Daily sales'!$B657&amp;""))</f>
        <v/>
      </c>
      <c r="B672" t="str">
        <f>IF('Staff Daily sales'!$D657="","",TRIM('Staff Daily sales'!$D657&amp;""))</f>
        <v/>
      </c>
      <c r="C672" t="str">
        <f>IFERROR(TRIM('Staff Daily sales'!$E657&amp;""),"")</f>
        <v/>
      </c>
      <c r="D672" t="str">
        <f>IFERROR(IF(TRIM('Staff Daily sales'!$F657&amp;"")="","Unassigned",TRIM('Staff Daily sales'!$F657&amp;"")),"Unassigned")</f>
        <v>Unassigned</v>
      </c>
      <c r="E672">
        <f t="shared" si="186"/>
        <v>0</v>
      </c>
      <c r="F672">
        <f>IF($E672=0,0,SUMPRODUCT($AI$5:$DF$5,'Staff Daily sales'!$G657:$CD657))</f>
        <v>0</v>
      </c>
      <c r="G672">
        <f>IF($E672=0,0,SUMPRODUCT($AI$6:$DF$6,'Staff Daily sales'!$G657:$CD657))</f>
        <v>0</v>
      </c>
      <c r="H672">
        <f t="shared" si="187"/>
        <v>0</v>
      </c>
      <c r="I672">
        <f t="shared" si="188"/>
        <v>0</v>
      </c>
      <c r="J672">
        <f t="shared" si="189"/>
        <v>0</v>
      </c>
      <c r="K672">
        <f t="shared" si="190"/>
        <v>0</v>
      </c>
      <c r="L672">
        <f>--AND($E672=1,OR('Staff Dashboard'!$B$6="All",$DH672='Staff Dashboard'!$B$6),OR('Staff Dashboard'!$B$7="All",$D672='Staff Dashboard'!$B$7),OR('Staff Dashboard'!$B$8="All",$A672='Staff Dashboard'!$B$8))</f>
        <v>0</v>
      </c>
      <c r="M672">
        <f>IF($E672=0,0,SUMPRODUCT($AI$7:$DF$7,'Staff Daily sales'!$G657:$CD657))</f>
        <v>0</v>
      </c>
      <c r="N672">
        <f>IF($E672=0,0,SUMPRODUCT($AI$8:$DF$8,'Staff Daily sales'!$G657:$CD657))</f>
        <v>0</v>
      </c>
      <c r="O672">
        <f>IF($E672=0,0,SUMPRODUCT($AI$9:$DF$9,'Staff Daily sales'!$G657:$CD657))</f>
        <v>0</v>
      </c>
      <c r="P672">
        <f>IF($E672=0,0,SUMPRODUCT($AI$10:$DF$10,'Staff Daily sales'!$G657:$CD657))</f>
        <v>0</v>
      </c>
      <c r="Q672">
        <f>IF($E672=0,0,SUMPRODUCT($AI$11:$DF$11,'Staff Daily sales'!$G657:$CD657))</f>
        <v>0</v>
      </c>
      <c r="R672">
        <f>IF($E672=0,0,SUMPRODUCT($AI$12:$DF$12,'Staff Daily sales'!$G657:$CD657))</f>
        <v>0</v>
      </c>
      <c r="S672">
        <f>IF($E672=0,0,SUMPRODUCT($AI$13:$DF$13,'Staff Daily sales'!$G657:$CD657))</f>
        <v>0</v>
      </c>
      <c r="T672">
        <f>IF($E672=0,0,SUMPRODUCT($AI$14:$DF$14,'Staff Daily sales'!$G657:$CD657))</f>
        <v>0</v>
      </c>
      <c r="U672">
        <f>IF($E672=0,0,SUMPRODUCT($AI$15:$DF$15,'Staff Daily sales'!$G657:$CD657))</f>
        <v>0</v>
      </c>
      <c r="V672">
        <f>IF($E672=0,0,SUMPRODUCT($AI$16:$DF$16,'Staff Daily sales'!$G657:$CD657))</f>
        <v>0</v>
      </c>
      <c r="W672">
        <f t="shared" si="191"/>
        <v>0</v>
      </c>
      <c r="X672">
        <f t="shared" si="192"/>
        <v>0</v>
      </c>
      <c r="Y672">
        <f t="shared" si="193"/>
        <v>0</v>
      </c>
      <c r="Z672">
        <f t="shared" si="194"/>
        <v>0</v>
      </c>
      <c r="AA672">
        <f t="shared" si="195"/>
        <v>0</v>
      </c>
      <c r="AB672">
        <f>--AND($E672=1,OR('Staff Weekly Trend'!$B$3="All",$DH672='Staff Weekly Trend'!$B$3),OR('Staff Weekly Trend'!$B$4="All",$D672='Staff Weekly Trend'!$B$4),OR('Staff Weekly Trend'!$B$5="All",$A672='Staff Weekly Trend'!$B$5))</f>
        <v>0</v>
      </c>
      <c r="AC672" t="str">
        <f t="shared" si="196"/>
        <v/>
      </c>
      <c r="AI672">
        <f t="shared" si="197"/>
        <v>0</v>
      </c>
      <c r="AJ672">
        <f t="shared" si="198"/>
        <v>0</v>
      </c>
      <c r="AK672">
        <f t="shared" si="199"/>
        <v>0</v>
      </c>
      <c r="AL672">
        <f t="shared" si="200"/>
        <v>0</v>
      </c>
      <c r="AM672">
        <f t="shared" si="201"/>
        <v>0</v>
      </c>
      <c r="DH672" t="str" cm="1">
        <f t="array" ref="DH672">IF($A672="","",_xlfn.LET(_xlpm.c,IFERROR(_xlfn.XLOOKUP($A672,TRIM('Sales and count'!$A$4:$A$300&amp;""),TRIM('Sales and count'!$B$4:$B$300&amp;"")),""),IF(OR(_xlpm.c="",_xlpm.c="0",LEFT(_xlpm.c,1)="#"),"Not set",_xlpm.c)))</f>
        <v/>
      </c>
    </row>
    <row r="673" spans="1:112" x14ac:dyDescent="0.25">
      <c r="A673" t="str">
        <f>IF('Staff Daily sales'!$B658="","",TRIM('Staff Daily sales'!$B658&amp;""))</f>
        <v/>
      </c>
      <c r="B673" t="str">
        <f>IF('Staff Daily sales'!$D658="","",TRIM('Staff Daily sales'!$D658&amp;""))</f>
        <v/>
      </c>
      <c r="C673" t="str">
        <f>IFERROR(TRIM('Staff Daily sales'!$E658&amp;""),"")</f>
        <v/>
      </c>
      <c r="D673" t="str">
        <f>IFERROR(IF(TRIM('Staff Daily sales'!$F658&amp;"")="","Unassigned",TRIM('Staff Daily sales'!$F658&amp;"")),"Unassigned")</f>
        <v>Unassigned</v>
      </c>
      <c r="E673">
        <f t="shared" si="186"/>
        <v>0</v>
      </c>
      <c r="F673">
        <f>IF($E673=0,0,SUMPRODUCT($AI$5:$DF$5,'Staff Daily sales'!$G658:$CD658))</f>
        <v>0</v>
      </c>
      <c r="G673">
        <f>IF($E673=0,0,SUMPRODUCT($AI$6:$DF$6,'Staff Daily sales'!$G658:$CD658))</f>
        <v>0</v>
      </c>
      <c r="H673">
        <f t="shared" si="187"/>
        <v>0</v>
      </c>
      <c r="I673">
        <f t="shared" si="188"/>
        <v>0</v>
      </c>
      <c r="J673">
        <f t="shared" si="189"/>
        <v>0</v>
      </c>
      <c r="K673">
        <f t="shared" si="190"/>
        <v>0</v>
      </c>
      <c r="L673">
        <f>--AND($E673=1,OR('Staff Dashboard'!$B$6="All",$DH673='Staff Dashboard'!$B$6),OR('Staff Dashboard'!$B$7="All",$D673='Staff Dashboard'!$B$7),OR('Staff Dashboard'!$B$8="All",$A673='Staff Dashboard'!$B$8))</f>
        <v>0</v>
      </c>
      <c r="M673">
        <f>IF($E673=0,0,SUMPRODUCT($AI$7:$DF$7,'Staff Daily sales'!$G658:$CD658))</f>
        <v>0</v>
      </c>
      <c r="N673">
        <f>IF($E673=0,0,SUMPRODUCT($AI$8:$DF$8,'Staff Daily sales'!$G658:$CD658))</f>
        <v>0</v>
      </c>
      <c r="O673">
        <f>IF($E673=0,0,SUMPRODUCT($AI$9:$DF$9,'Staff Daily sales'!$G658:$CD658))</f>
        <v>0</v>
      </c>
      <c r="P673">
        <f>IF($E673=0,0,SUMPRODUCT($AI$10:$DF$10,'Staff Daily sales'!$G658:$CD658))</f>
        <v>0</v>
      </c>
      <c r="Q673">
        <f>IF($E673=0,0,SUMPRODUCT($AI$11:$DF$11,'Staff Daily sales'!$G658:$CD658))</f>
        <v>0</v>
      </c>
      <c r="R673">
        <f>IF($E673=0,0,SUMPRODUCT($AI$12:$DF$12,'Staff Daily sales'!$G658:$CD658))</f>
        <v>0</v>
      </c>
      <c r="S673">
        <f>IF($E673=0,0,SUMPRODUCT($AI$13:$DF$13,'Staff Daily sales'!$G658:$CD658))</f>
        <v>0</v>
      </c>
      <c r="T673">
        <f>IF($E673=0,0,SUMPRODUCT($AI$14:$DF$14,'Staff Daily sales'!$G658:$CD658))</f>
        <v>0</v>
      </c>
      <c r="U673">
        <f>IF($E673=0,0,SUMPRODUCT($AI$15:$DF$15,'Staff Daily sales'!$G658:$CD658))</f>
        <v>0</v>
      </c>
      <c r="V673">
        <f>IF($E673=0,0,SUMPRODUCT($AI$16:$DF$16,'Staff Daily sales'!$G658:$CD658))</f>
        <v>0</v>
      </c>
      <c r="W673">
        <f t="shared" si="191"/>
        <v>0</v>
      </c>
      <c r="X673">
        <f t="shared" si="192"/>
        <v>0</v>
      </c>
      <c r="Y673">
        <f t="shared" si="193"/>
        <v>0</v>
      </c>
      <c r="Z673">
        <f t="shared" si="194"/>
        <v>0</v>
      </c>
      <c r="AA673">
        <f t="shared" si="195"/>
        <v>0</v>
      </c>
      <c r="AB673">
        <f>--AND($E673=1,OR('Staff Weekly Trend'!$B$3="All",$DH673='Staff Weekly Trend'!$B$3),OR('Staff Weekly Trend'!$B$4="All",$D673='Staff Weekly Trend'!$B$4),OR('Staff Weekly Trend'!$B$5="All",$A673='Staff Weekly Trend'!$B$5))</f>
        <v>0</v>
      </c>
      <c r="AC673" t="str">
        <f t="shared" si="196"/>
        <v/>
      </c>
      <c r="AI673">
        <f t="shared" si="197"/>
        <v>0</v>
      </c>
      <c r="AJ673">
        <f t="shared" si="198"/>
        <v>0</v>
      </c>
      <c r="AK673">
        <f t="shared" si="199"/>
        <v>0</v>
      </c>
      <c r="AL673">
        <f t="shared" si="200"/>
        <v>0</v>
      </c>
      <c r="AM673">
        <f t="shared" si="201"/>
        <v>0</v>
      </c>
      <c r="DH673" t="str" cm="1">
        <f t="array" ref="DH673">IF($A673="","",_xlfn.LET(_xlpm.c,IFERROR(_xlfn.XLOOKUP($A673,TRIM('Sales and count'!$A$4:$A$300&amp;""),TRIM('Sales and count'!$B$4:$B$300&amp;"")),""),IF(OR(_xlpm.c="",_xlpm.c="0",LEFT(_xlpm.c,1)="#"),"Not set",_xlpm.c)))</f>
        <v/>
      </c>
    </row>
    <row r="674" spans="1:112" x14ac:dyDescent="0.25">
      <c r="A674" t="str">
        <f>IF('Staff Daily sales'!$B659="","",TRIM('Staff Daily sales'!$B659&amp;""))</f>
        <v/>
      </c>
      <c r="B674" t="str">
        <f>IF('Staff Daily sales'!$D659="","",TRIM('Staff Daily sales'!$D659&amp;""))</f>
        <v/>
      </c>
      <c r="C674" t="str">
        <f>IFERROR(TRIM('Staff Daily sales'!$E659&amp;""),"")</f>
        <v/>
      </c>
      <c r="D674" t="str">
        <f>IFERROR(IF(TRIM('Staff Daily sales'!$F659&amp;"")="","Unassigned",TRIM('Staff Daily sales'!$F659&amp;"")),"Unassigned")</f>
        <v>Unassigned</v>
      </c>
      <c r="E674">
        <f t="shared" si="186"/>
        <v>0</v>
      </c>
      <c r="F674">
        <f>IF($E674=0,0,SUMPRODUCT($AI$5:$DF$5,'Staff Daily sales'!$G659:$CD659))</f>
        <v>0</v>
      </c>
      <c r="G674">
        <f>IF($E674=0,0,SUMPRODUCT($AI$6:$DF$6,'Staff Daily sales'!$G659:$CD659))</f>
        <v>0</v>
      </c>
      <c r="H674">
        <f t="shared" si="187"/>
        <v>0</v>
      </c>
      <c r="I674">
        <f t="shared" si="188"/>
        <v>0</v>
      </c>
      <c r="J674">
        <f t="shared" si="189"/>
        <v>0</v>
      </c>
      <c r="K674">
        <f t="shared" si="190"/>
        <v>0</v>
      </c>
      <c r="L674">
        <f>--AND($E674=1,OR('Staff Dashboard'!$B$6="All",$DH674='Staff Dashboard'!$B$6),OR('Staff Dashboard'!$B$7="All",$D674='Staff Dashboard'!$B$7),OR('Staff Dashboard'!$B$8="All",$A674='Staff Dashboard'!$B$8))</f>
        <v>0</v>
      </c>
      <c r="M674">
        <f>IF($E674=0,0,SUMPRODUCT($AI$7:$DF$7,'Staff Daily sales'!$G659:$CD659))</f>
        <v>0</v>
      </c>
      <c r="N674">
        <f>IF($E674=0,0,SUMPRODUCT($AI$8:$DF$8,'Staff Daily sales'!$G659:$CD659))</f>
        <v>0</v>
      </c>
      <c r="O674">
        <f>IF($E674=0,0,SUMPRODUCT($AI$9:$DF$9,'Staff Daily sales'!$G659:$CD659))</f>
        <v>0</v>
      </c>
      <c r="P674">
        <f>IF($E674=0,0,SUMPRODUCT($AI$10:$DF$10,'Staff Daily sales'!$G659:$CD659))</f>
        <v>0</v>
      </c>
      <c r="Q674">
        <f>IF($E674=0,0,SUMPRODUCT($AI$11:$DF$11,'Staff Daily sales'!$G659:$CD659))</f>
        <v>0</v>
      </c>
      <c r="R674">
        <f>IF($E674=0,0,SUMPRODUCT($AI$12:$DF$12,'Staff Daily sales'!$G659:$CD659))</f>
        <v>0</v>
      </c>
      <c r="S674">
        <f>IF($E674=0,0,SUMPRODUCT($AI$13:$DF$13,'Staff Daily sales'!$G659:$CD659))</f>
        <v>0</v>
      </c>
      <c r="T674">
        <f>IF($E674=0,0,SUMPRODUCT($AI$14:$DF$14,'Staff Daily sales'!$G659:$CD659))</f>
        <v>0</v>
      </c>
      <c r="U674">
        <f>IF($E674=0,0,SUMPRODUCT($AI$15:$DF$15,'Staff Daily sales'!$G659:$CD659))</f>
        <v>0</v>
      </c>
      <c r="V674">
        <f>IF($E674=0,0,SUMPRODUCT($AI$16:$DF$16,'Staff Daily sales'!$G659:$CD659))</f>
        <v>0</v>
      </c>
      <c r="W674">
        <f t="shared" si="191"/>
        <v>0</v>
      </c>
      <c r="X674">
        <f t="shared" si="192"/>
        <v>0</v>
      </c>
      <c r="Y674">
        <f t="shared" si="193"/>
        <v>0</v>
      </c>
      <c r="Z674">
        <f t="shared" si="194"/>
        <v>0</v>
      </c>
      <c r="AA674">
        <f t="shared" si="195"/>
        <v>0</v>
      </c>
      <c r="AB674">
        <f>--AND($E674=1,OR('Staff Weekly Trend'!$B$3="All",$DH674='Staff Weekly Trend'!$B$3),OR('Staff Weekly Trend'!$B$4="All",$D674='Staff Weekly Trend'!$B$4),OR('Staff Weekly Trend'!$B$5="All",$A674='Staff Weekly Trend'!$B$5))</f>
        <v>0</v>
      </c>
      <c r="AC674" t="str">
        <f t="shared" si="196"/>
        <v/>
      </c>
      <c r="AI674">
        <f t="shared" si="197"/>
        <v>0</v>
      </c>
      <c r="AJ674">
        <f t="shared" si="198"/>
        <v>0</v>
      </c>
      <c r="AK674">
        <f t="shared" si="199"/>
        <v>0</v>
      </c>
      <c r="AL674">
        <f t="shared" si="200"/>
        <v>0</v>
      </c>
      <c r="AM674">
        <f t="shared" si="201"/>
        <v>0</v>
      </c>
      <c r="DH674" t="str" cm="1">
        <f t="array" ref="DH674">IF($A674="","",_xlfn.LET(_xlpm.c,IFERROR(_xlfn.XLOOKUP($A674,TRIM('Sales and count'!$A$4:$A$300&amp;""),TRIM('Sales and count'!$B$4:$B$300&amp;"")),""),IF(OR(_xlpm.c="",_xlpm.c="0",LEFT(_xlpm.c,1)="#"),"Not set",_xlpm.c)))</f>
        <v/>
      </c>
    </row>
    <row r="675" spans="1:112" x14ac:dyDescent="0.25">
      <c r="A675" t="str">
        <f>IF('Staff Daily sales'!$B660="","",TRIM('Staff Daily sales'!$B660&amp;""))</f>
        <v/>
      </c>
      <c r="B675" t="str">
        <f>IF('Staff Daily sales'!$D660="","",TRIM('Staff Daily sales'!$D660&amp;""))</f>
        <v/>
      </c>
      <c r="C675" t="str">
        <f>IFERROR(TRIM('Staff Daily sales'!$E660&amp;""),"")</f>
        <v/>
      </c>
      <c r="D675" t="str">
        <f>IFERROR(IF(TRIM('Staff Daily sales'!$F660&amp;"")="","Unassigned",TRIM('Staff Daily sales'!$F660&amp;"")),"Unassigned")</f>
        <v>Unassigned</v>
      </c>
      <c r="E675">
        <f t="shared" si="186"/>
        <v>0</v>
      </c>
      <c r="F675">
        <f>IF($E675=0,0,SUMPRODUCT($AI$5:$DF$5,'Staff Daily sales'!$G660:$CD660))</f>
        <v>0</v>
      </c>
      <c r="G675">
        <f>IF($E675=0,0,SUMPRODUCT($AI$6:$DF$6,'Staff Daily sales'!$G660:$CD660))</f>
        <v>0</v>
      </c>
      <c r="H675">
        <f t="shared" si="187"/>
        <v>0</v>
      </c>
      <c r="I675">
        <f t="shared" si="188"/>
        <v>0</v>
      </c>
      <c r="J675">
        <f t="shared" si="189"/>
        <v>0</v>
      </c>
      <c r="K675">
        <f t="shared" si="190"/>
        <v>0</v>
      </c>
      <c r="L675">
        <f>--AND($E675=1,OR('Staff Dashboard'!$B$6="All",$DH675='Staff Dashboard'!$B$6),OR('Staff Dashboard'!$B$7="All",$D675='Staff Dashboard'!$B$7),OR('Staff Dashboard'!$B$8="All",$A675='Staff Dashboard'!$B$8))</f>
        <v>0</v>
      </c>
      <c r="M675">
        <f>IF($E675=0,0,SUMPRODUCT($AI$7:$DF$7,'Staff Daily sales'!$G660:$CD660))</f>
        <v>0</v>
      </c>
      <c r="N675">
        <f>IF($E675=0,0,SUMPRODUCT($AI$8:$DF$8,'Staff Daily sales'!$G660:$CD660))</f>
        <v>0</v>
      </c>
      <c r="O675">
        <f>IF($E675=0,0,SUMPRODUCT($AI$9:$DF$9,'Staff Daily sales'!$G660:$CD660))</f>
        <v>0</v>
      </c>
      <c r="P675">
        <f>IF($E675=0,0,SUMPRODUCT($AI$10:$DF$10,'Staff Daily sales'!$G660:$CD660))</f>
        <v>0</v>
      </c>
      <c r="Q675">
        <f>IF($E675=0,0,SUMPRODUCT($AI$11:$DF$11,'Staff Daily sales'!$G660:$CD660))</f>
        <v>0</v>
      </c>
      <c r="R675">
        <f>IF($E675=0,0,SUMPRODUCT($AI$12:$DF$12,'Staff Daily sales'!$G660:$CD660))</f>
        <v>0</v>
      </c>
      <c r="S675">
        <f>IF($E675=0,0,SUMPRODUCT($AI$13:$DF$13,'Staff Daily sales'!$G660:$CD660))</f>
        <v>0</v>
      </c>
      <c r="T675">
        <f>IF($E675=0,0,SUMPRODUCT($AI$14:$DF$14,'Staff Daily sales'!$G660:$CD660))</f>
        <v>0</v>
      </c>
      <c r="U675">
        <f>IF($E675=0,0,SUMPRODUCT($AI$15:$DF$15,'Staff Daily sales'!$G660:$CD660))</f>
        <v>0</v>
      </c>
      <c r="V675">
        <f>IF($E675=0,0,SUMPRODUCT($AI$16:$DF$16,'Staff Daily sales'!$G660:$CD660))</f>
        <v>0</v>
      </c>
      <c r="W675">
        <f t="shared" si="191"/>
        <v>0</v>
      </c>
      <c r="X675">
        <f t="shared" si="192"/>
        <v>0</v>
      </c>
      <c r="Y675">
        <f t="shared" si="193"/>
        <v>0</v>
      </c>
      <c r="Z675">
        <f t="shared" si="194"/>
        <v>0</v>
      </c>
      <c r="AA675">
        <f t="shared" si="195"/>
        <v>0</v>
      </c>
      <c r="AB675">
        <f>--AND($E675=1,OR('Staff Weekly Trend'!$B$3="All",$DH675='Staff Weekly Trend'!$B$3),OR('Staff Weekly Trend'!$B$4="All",$D675='Staff Weekly Trend'!$B$4),OR('Staff Weekly Trend'!$B$5="All",$A675='Staff Weekly Trend'!$B$5))</f>
        <v>0</v>
      </c>
      <c r="AC675" t="str">
        <f t="shared" si="196"/>
        <v/>
      </c>
      <c r="AI675">
        <f t="shared" si="197"/>
        <v>0</v>
      </c>
      <c r="AJ675">
        <f t="shared" si="198"/>
        <v>0</v>
      </c>
      <c r="AK675">
        <f t="shared" si="199"/>
        <v>0</v>
      </c>
      <c r="AL675">
        <f t="shared" si="200"/>
        <v>0</v>
      </c>
      <c r="AM675">
        <f t="shared" si="201"/>
        <v>0</v>
      </c>
      <c r="DH675" t="str" cm="1">
        <f t="array" ref="DH675">IF($A675="","",_xlfn.LET(_xlpm.c,IFERROR(_xlfn.XLOOKUP($A675,TRIM('Sales and count'!$A$4:$A$300&amp;""),TRIM('Sales and count'!$B$4:$B$300&amp;"")),""),IF(OR(_xlpm.c="",_xlpm.c="0",LEFT(_xlpm.c,1)="#"),"Not set",_xlpm.c)))</f>
        <v/>
      </c>
    </row>
    <row r="676" spans="1:112" x14ac:dyDescent="0.25">
      <c r="A676" t="str">
        <f>IF('Staff Daily sales'!$B661="","",TRIM('Staff Daily sales'!$B661&amp;""))</f>
        <v/>
      </c>
      <c r="B676" t="str">
        <f>IF('Staff Daily sales'!$D661="","",TRIM('Staff Daily sales'!$D661&amp;""))</f>
        <v/>
      </c>
      <c r="C676" t="str">
        <f>IFERROR(TRIM('Staff Daily sales'!$E661&amp;""),"")</f>
        <v/>
      </c>
      <c r="D676" t="str">
        <f>IFERROR(IF(TRIM('Staff Daily sales'!$F661&amp;"")="","Unassigned",TRIM('Staff Daily sales'!$F661&amp;"")),"Unassigned")</f>
        <v>Unassigned</v>
      </c>
      <c r="E676">
        <f t="shared" si="186"/>
        <v>0</v>
      </c>
      <c r="F676">
        <f>IF($E676=0,0,SUMPRODUCT($AI$5:$DF$5,'Staff Daily sales'!$G661:$CD661))</f>
        <v>0</v>
      </c>
      <c r="G676">
        <f>IF($E676=0,0,SUMPRODUCT($AI$6:$DF$6,'Staff Daily sales'!$G661:$CD661))</f>
        <v>0</v>
      </c>
      <c r="H676">
        <f t="shared" si="187"/>
        <v>0</v>
      </c>
      <c r="I676">
        <f t="shared" si="188"/>
        <v>0</v>
      </c>
      <c r="J676">
        <f t="shared" si="189"/>
        <v>0</v>
      </c>
      <c r="K676">
        <f t="shared" si="190"/>
        <v>0</v>
      </c>
      <c r="L676">
        <f>--AND($E676=1,OR('Staff Dashboard'!$B$6="All",$DH676='Staff Dashboard'!$B$6),OR('Staff Dashboard'!$B$7="All",$D676='Staff Dashboard'!$B$7),OR('Staff Dashboard'!$B$8="All",$A676='Staff Dashboard'!$B$8))</f>
        <v>0</v>
      </c>
      <c r="M676">
        <f>IF($E676=0,0,SUMPRODUCT($AI$7:$DF$7,'Staff Daily sales'!$G661:$CD661))</f>
        <v>0</v>
      </c>
      <c r="N676">
        <f>IF($E676=0,0,SUMPRODUCT($AI$8:$DF$8,'Staff Daily sales'!$G661:$CD661))</f>
        <v>0</v>
      </c>
      <c r="O676">
        <f>IF($E676=0,0,SUMPRODUCT($AI$9:$DF$9,'Staff Daily sales'!$G661:$CD661))</f>
        <v>0</v>
      </c>
      <c r="P676">
        <f>IF($E676=0,0,SUMPRODUCT($AI$10:$DF$10,'Staff Daily sales'!$G661:$CD661))</f>
        <v>0</v>
      </c>
      <c r="Q676">
        <f>IF($E676=0,0,SUMPRODUCT($AI$11:$DF$11,'Staff Daily sales'!$G661:$CD661))</f>
        <v>0</v>
      </c>
      <c r="R676">
        <f>IF($E676=0,0,SUMPRODUCT($AI$12:$DF$12,'Staff Daily sales'!$G661:$CD661))</f>
        <v>0</v>
      </c>
      <c r="S676">
        <f>IF($E676=0,0,SUMPRODUCT($AI$13:$DF$13,'Staff Daily sales'!$G661:$CD661))</f>
        <v>0</v>
      </c>
      <c r="T676">
        <f>IF($E676=0,0,SUMPRODUCT($AI$14:$DF$14,'Staff Daily sales'!$G661:$CD661))</f>
        <v>0</v>
      </c>
      <c r="U676">
        <f>IF($E676=0,0,SUMPRODUCT($AI$15:$DF$15,'Staff Daily sales'!$G661:$CD661))</f>
        <v>0</v>
      </c>
      <c r="V676">
        <f>IF($E676=0,0,SUMPRODUCT($AI$16:$DF$16,'Staff Daily sales'!$G661:$CD661))</f>
        <v>0</v>
      </c>
      <c r="W676">
        <f t="shared" si="191"/>
        <v>0</v>
      </c>
      <c r="X676">
        <f t="shared" si="192"/>
        <v>0</v>
      </c>
      <c r="Y676">
        <f t="shared" si="193"/>
        <v>0</v>
      </c>
      <c r="Z676">
        <f t="shared" si="194"/>
        <v>0</v>
      </c>
      <c r="AA676">
        <f t="shared" si="195"/>
        <v>0</v>
      </c>
      <c r="AB676">
        <f>--AND($E676=1,OR('Staff Weekly Trend'!$B$3="All",$DH676='Staff Weekly Trend'!$B$3),OR('Staff Weekly Trend'!$B$4="All",$D676='Staff Weekly Trend'!$B$4),OR('Staff Weekly Trend'!$B$5="All",$A676='Staff Weekly Trend'!$B$5))</f>
        <v>0</v>
      </c>
      <c r="AC676" t="str">
        <f t="shared" si="196"/>
        <v/>
      </c>
      <c r="AI676">
        <f t="shared" si="197"/>
        <v>0</v>
      </c>
      <c r="AJ676">
        <f t="shared" si="198"/>
        <v>0</v>
      </c>
      <c r="AK676">
        <f t="shared" si="199"/>
        <v>0</v>
      </c>
      <c r="AL676">
        <f t="shared" si="200"/>
        <v>0</v>
      </c>
      <c r="AM676">
        <f t="shared" si="201"/>
        <v>0</v>
      </c>
      <c r="DH676" t="str" cm="1">
        <f t="array" ref="DH676">IF($A676="","",_xlfn.LET(_xlpm.c,IFERROR(_xlfn.XLOOKUP($A676,TRIM('Sales and count'!$A$4:$A$300&amp;""),TRIM('Sales and count'!$B$4:$B$300&amp;"")),""),IF(OR(_xlpm.c="",_xlpm.c="0",LEFT(_xlpm.c,1)="#"),"Not set",_xlpm.c)))</f>
        <v/>
      </c>
    </row>
    <row r="677" spans="1:112" x14ac:dyDescent="0.25">
      <c r="A677" t="str">
        <f>IF('Staff Daily sales'!$B662="","",TRIM('Staff Daily sales'!$B662&amp;""))</f>
        <v/>
      </c>
      <c r="B677" t="str">
        <f>IF('Staff Daily sales'!$D662="","",TRIM('Staff Daily sales'!$D662&amp;""))</f>
        <v/>
      </c>
      <c r="C677" t="str">
        <f>IFERROR(TRIM('Staff Daily sales'!$E662&amp;""),"")</f>
        <v/>
      </c>
      <c r="D677" t="str">
        <f>IFERROR(IF(TRIM('Staff Daily sales'!$F662&amp;"")="","Unassigned",TRIM('Staff Daily sales'!$F662&amp;"")),"Unassigned")</f>
        <v>Unassigned</v>
      </c>
      <c r="E677">
        <f t="shared" si="186"/>
        <v>0</v>
      </c>
      <c r="F677">
        <f>IF($E677=0,0,SUMPRODUCT($AI$5:$DF$5,'Staff Daily sales'!$G662:$CD662))</f>
        <v>0</v>
      </c>
      <c r="G677">
        <f>IF($E677=0,0,SUMPRODUCT($AI$6:$DF$6,'Staff Daily sales'!$G662:$CD662))</f>
        <v>0</v>
      </c>
      <c r="H677">
        <f t="shared" si="187"/>
        <v>0</v>
      </c>
      <c r="I677">
        <f t="shared" si="188"/>
        <v>0</v>
      </c>
      <c r="J677">
        <f t="shared" si="189"/>
        <v>0</v>
      </c>
      <c r="K677">
        <f t="shared" si="190"/>
        <v>0</v>
      </c>
      <c r="L677">
        <f>--AND($E677=1,OR('Staff Dashboard'!$B$6="All",$DH677='Staff Dashboard'!$B$6),OR('Staff Dashboard'!$B$7="All",$D677='Staff Dashboard'!$B$7),OR('Staff Dashboard'!$B$8="All",$A677='Staff Dashboard'!$B$8))</f>
        <v>0</v>
      </c>
      <c r="M677">
        <f>IF($E677=0,0,SUMPRODUCT($AI$7:$DF$7,'Staff Daily sales'!$G662:$CD662))</f>
        <v>0</v>
      </c>
      <c r="N677">
        <f>IF($E677=0,0,SUMPRODUCT($AI$8:$DF$8,'Staff Daily sales'!$G662:$CD662))</f>
        <v>0</v>
      </c>
      <c r="O677">
        <f>IF($E677=0,0,SUMPRODUCT($AI$9:$DF$9,'Staff Daily sales'!$G662:$CD662))</f>
        <v>0</v>
      </c>
      <c r="P677">
        <f>IF($E677=0,0,SUMPRODUCT($AI$10:$DF$10,'Staff Daily sales'!$G662:$CD662))</f>
        <v>0</v>
      </c>
      <c r="Q677">
        <f>IF($E677=0,0,SUMPRODUCT($AI$11:$DF$11,'Staff Daily sales'!$G662:$CD662))</f>
        <v>0</v>
      </c>
      <c r="R677">
        <f>IF($E677=0,0,SUMPRODUCT($AI$12:$DF$12,'Staff Daily sales'!$G662:$CD662))</f>
        <v>0</v>
      </c>
      <c r="S677">
        <f>IF($E677=0,0,SUMPRODUCT($AI$13:$DF$13,'Staff Daily sales'!$G662:$CD662))</f>
        <v>0</v>
      </c>
      <c r="T677">
        <f>IF($E677=0,0,SUMPRODUCT($AI$14:$DF$14,'Staff Daily sales'!$G662:$CD662))</f>
        <v>0</v>
      </c>
      <c r="U677">
        <f>IF($E677=0,0,SUMPRODUCT($AI$15:$DF$15,'Staff Daily sales'!$G662:$CD662))</f>
        <v>0</v>
      </c>
      <c r="V677">
        <f>IF($E677=0,0,SUMPRODUCT($AI$16:$DF$16,'Staff Daily sales'!$G662:$CD662))</f>
        <v>0</v>
      </c>
      <c r="W677">
        <f t="shared" si="191"/>
        <v>0</v>
      </c>
      <c r="X677">
        <f t="shared" si="192"/>
        <v>0</v>
      </c>
      <c r="Y677">
        <f t="shared" si="193"/>
        <v>0</v>
      </c>
      <c r="Z677">
        <f t="shared" si="194"/>
        <v>0</v>
      </c>
      <c r="AA677">
        <f t="shared" si="195"/>
        <v>0</v>
      </c>
      <c r="AB677">
        <f>--AND($E677=1,OR('Staff Weekly Trend'!$B$3="All",$DH677='Staff Weekly Trend'!$B$3),OR('Staff Weekly Trend'!$B$4="All",$D677='Staff Weekly Trend'!$B$4),OR('Staff Weekly Trend'!$B$5="All",$A677='Staff Weekly Trend'!$B$5))</f>
        <v>0</v>
      </c>
      <c r="AC677" t="str">
        <f t="shared" si="196"/>
        <v/>
      </c>
      <c r="AI677">
        <f t="shared" si="197"/>
        <v>0</v>
      </c>
      <c r="AJ677">
        <f t="shared" si="198"/>
        <v>0</v>
      </c>
      <c r="AK677">
        <f t="shared" si="199"/>
        <v>0</v>
      </c>
      <c r="AL677">
        <f t="shared" si="200"/>
        <v>0</v>
      </c>
      <c r="AM677">
        <f t="shared" si="201"/>
        <v>0</v>
      </c>
      <c r="DH677" t="str" cm="1">
        <f t="array" ref="DH677">IF($A677="","",_xlfn.LET(_xlpm.c,IFERROR(_xlfn.XLOOKUP($A677,TRIM('Sales and count'!$A$4:$A$300&amp;""),TRIM('Sales and count'!$B$4:$B$300&amp;"")),""),IF(OR(_xlpm.c="",_xlpm.c="0",LEFT(_xlpm.c,1)="#"),"Not set",_xlpm.c)))</f>
        <v/>
      </c>
    </row>
    <row r="678" spans="1:112" x14ac:dyDescent="0.25">
      <c r="A678" t="str">
        <f>IF('Staff Daily sales'!$B663="","",TRIM('Staff Daily sales'!$B663&amp;""))</f>
        <v/>
      </c>
      <c r="B678" t="str">
        <f>IF('Staff Daily sales'!$D663="","",TRIM('Staff Daily sales'!$D663&amp;""))</f>
        <v/>
      </c>
      <c r="C678" t="str">
        <f>IFERROR(TRIM('Staff Daily sales'!$E663&amp;""),"")</f>
        <v/>
      </c>
      <c r="D678" t="str">
        <f>IFERROR(IF(TRIM('Staff Daily sales'!$F663&amp;"")="","Unassigned",TRIM('Staff Daily sales'!$F663&amp;"")),"Unassigned")</f>
        <v>Unassigned</v>
      </c>
      <c r="E678">
        <f t="shared" si="186"/>
        <v>0</v>
      </c>
      <c r="F678">
        <f>IF($E678=0,0,SUMPRODUCT($AI$5:$DF$5,'Staff Daily sales'!$G663:$CD663))</f>
        <v>0</v>
      </c>
      <c r="G678">
        <f>IF($E678=0,0,SUMPRODUCT($AI$6:$DF$6,'Staff Daily sales'!$G663:$CD663))</f>
        <v>0</v>
      </c>
      <c r="H678">
        <f t="shared" si="187"/>
        <v>0</v>
      </c>
      <c r="I678">
        <f t="shared" si="188"/>
        <v>0</v>
      </c>
      <c r="J678">
        <f t="shared" si="189"/>
        <v>0</v>
      </c>
      <c r="K678">
        <f t="shared" si="190"/>
        <v>0</v>
      </c>
      <c r="L678">
        <f>--AND($E678=1,OR('Staff Dashboard'!$B$6="All",$DH678='Staff Dashboard'!$B$6),OR('Staff Dashboard'!$B$7="All",$D678='Staff Dashboard'!$B$7),OR('Staff Dashboard'!$B$8="All",$A678='Staff Dashboard'!$B$8))</f>
        <v>0</v>
      </c>
      <c r="M678">
        <f>IF($E678=0,0,SUMPRODUCT($AI$7:$DF$7,'Staff Daily sales'!$G663:$CD663))</f>
        <v>0</v>
      </c>
      <c r="N678">
        <f>IF($E678=0,0,SUMPRODUCT($AI$8:$DF$8,'Staff Daily sales'!$G663:$CD663))</f>
        <v>0</v>
      </c>
      <c r="O678">
        <f>IF($E678=0,0,SUMPRODUCT($AI$9:$DF$9,'Staff Daily sales'!$G663:$CD663))</f>
        <v>0</v>
      </c>
      <c r="P678">
        <f>IF($E678=0,0,SUMPRODUCT($AI$10:$DF$10,'Staff Daily sales'!$G663:$CD663))</f>
        <v>0</v>
      </c>
      <c r="Q678">
        <f>IF($E678=0,0,SUMPRODUCT($AI$11:$DF$11,'Staff Daily sales'!$G663:$CD663))</f>
        <v>0</v>
      </c>
      <c r="R678">
        <f>IF($E678=0,0,SUMPRODUCT($AI$12:$DF$12,'Staff Daily sales'!$G663:$CD663))</f>
        <v>0</v>
      </c>
      <c r="S678">
        <f>IF($E678=0,0,SUMPRODUCT($AI$13:$DF$13,'Staff Daily sales'!$G663:$CD663))</f>
        <v>0</v>
      </c>
      <c r="T678">
        <f>IF($E678=0,0,SUMPRODUCT($AI$14:$DF$14,'Staff Daily sales'!$G663:$CD663))</f>
        <v>0</v>
      </c>
      <c r="U678">
        <f>IF($E678=0,0,SUMPRODUCT($AI$15:$DF$15,'Staff Daily sales'!$G663:$CD663))</f>
        <v>0</v>
      </c>
      <c r="V678">
        <f>IF($E678=0,0,SUMPRODUCT($AI$16:$DF$16,'Staff Daily sales'!$G663:$CD663))</f>
        <v>0</v>
      </c>
      <c r="W678">
        <f t="shared" si="191"/>
        <v>0</v>
      </c>
      <c r="X678">
        <f t="shared" si="192"/>
        <v>0</v>
      </c>
      <c r="Y678">
        <f t="shared" si="193"/>
        <v>0</v>
      </c>
      <c r="Z678">
        <f t="shared" si="194"/>
        <v>0</v>
      </c>
      <c r="AA678">
        <f t="shared" si="195"/>
        <v>0</v>
      </c>
      <c r="AB678">
        <f>--AND($E678=1,OR('Staff Weekly Trend'!$B$3="All",$DH678='Staff Weekly Trend'!$B$3),OR('Staff Weekly Trend'!$B$4="All",$D678='Staff Weekly Trend'!$B$4),OR('Staff Weekly Trend'!$B$5="All",$A678='Staff Weekly Trend'!$B$5))</f>
        <v>0</v>
      </c>
      <c r="AC678" t="str">
        <f t="shared" si="196"/>
        <v/>
      </c>
      <c r="AI678">
        <f t="shared" si="197"/>
        <v>0</v>
      </c>
      <c r="AJ678">
        <f t="shared" si="198"/>
        <v>0</v>
      </c>
      <c r="AK678">
        <f t="shared" si="199"/>
        <v>0</v>
      </c>
      <c r="AL678">
        <f t="shared" si="200"/>
        <v>0</v>
      </c>
      <c r="AM678">
        <f t="shared" si="201"/>
        <v>0</v>
      </c>
      <c r="DH678" t="str" cm="1">
        <f t="array" ref="DH678">IF($A678="","",_xlfn.LET(_xlpm.c,IFERROR(_xlfn.XLOOKUP($A678,TRIM('Sales and count'!$A$4:$A$300&amp;""),TRIM('Sales and count'!$B$4:$B$300&amp;"")),""),IF(OR(_xlpm.c="",_xlpm.c="0",LEFT(_xlpm.c,1)="#"),"Not set",_xlpm.c)))</f>
        <v/>
      </c>
    </row>
    <row r="679" spans="1:112" x14ac:dyDescent="0.25">
      <c r="A679" t="str">
        <f>IF('Staff Daily sales'!$B664="","",TRIM('Staff Daily sales'!$B664&amp;""))</f>
        <v/>
      </c>
      <c r="B679" t="str">
        <f>IF('Staff Daily sales'!$D664="","",TRIM('Staff Daily sales'!$D664&amp;""))</f>
        <v/>
      </c>
      <c r="C679" t="str">
        <f>IFERROR(TRIM('Staff Daily sales'!$E664&amp;""),"")</f>
        <v/>
      </c>
      <c r="D679" t="str">
        <f>IFERROR(IF(TRIM('Staff Daily sales'!$F664&amp;"")="","Unassigned",TRIM('Staff Daily sales'!$F664&amp;"")),"Unassigned")</f>
        <v>Unassigned</v>
      </c>
      <c r="E679">
        <f t="shared" si="186"/>
        <v>0</v>
      </c>
      <c r="F679">
        <f>IF($E679=0,0,SUMPRODUCT($AI$5:$DF$5,'Staff Daily sales'!$G664:$CD664))</f>
        <v>0</v>
      </c>
      <c r="G679">
        <f>IF($E679=0,0,SUMPRODUCT($AI$6:$DF$6,'Staff Daily sales'!$G664:$CD664))</f>
        <v>0</v>
      </c>
      <c r="H679">
        <f t="shared" si="187"/>
        <v>0</v>
      </c>
      <c r="I679">
        <f t="shared" si="188"/>
        <v>0</v>
      </c>
      <c r="J679">
        <f t="shared" si="189"/>
        <v>0</v>
      </c>
      <c r="K679">
        <f t="shared" si="190"/>
        <v>0</v>
      </c>
      <c r="L679">
        <f>--AND($E679=1,OR('Staff Dashboard'!$B$6="All",$DH679='Staff Dashboard'!$B$6),OR('Staff Dashboard'!$B$7="All",$D679='Staff Dashboard'!$B$7),OR('Staff Dashboard'!$B$8="All",$A679='Staff Dashboard'!$B$8))</f>
        <v>0</v>
      </c>
      <c r="M679">
        <f>IF($E679=0,0,SUMPRODUCT($AI$7:$DF$7,'Staff Daily sales'!$G664:$CD664))</f>
        <v>0</v>
      </c>
      <c r="N679">
        <f>IF($E679=0,0,SUMPRODUCT($AI$8:$DF$8,'Staff Daily sales'!$G664:$CD664))</f>
        <v>0</v>
      </c>
      <c r="O679">
        <f>IF($E679=0,0,SUMPRODUCT($AI$9:$DF$9,'Staff Daily sales'!$G664:$CD664))</f>
        <v>0</v>
      </c>
      <c r="P679">
        <f>IF($E679=0,0,SUMPRODUCT($AI$10:$DF$10,'Staff Daily sales'!$G664:$CD664))</f>
        <v>0</v>
      </c>
      <c r="Q679">
        <f>IF($E679=0,0,SUMPRODUCT($AI$11:$DF$11,'Staff Daily sales'!$G664:$CD664))</f>
        <v>0</v>
      </c>
      <c r="R679">
        <f>IF($E679=0,0,SUMPRODUCT($AI$12:$DF$12,'Staff Daily sales'!$G664:$CD664))</f>
        <v>0</v>
      </c>
      <c r="S679">
        <f>IF($E679=0,0,SUMPRODUCT($AI$13:$DF$13,'Staff Daily sales'!$G664:$CD664))</f>
        <v>0</v>
      </c>
      <c r="T679">
        <f>IF($E679=0,0,SUMPRODUCT($AI$14:$DF$14,'Staff Daily sales'!$G664:$CD664))</f>
        <v>0</v>
      </c>
      <c r="U679">
        <f>IF($E679=0,0,SUMPRODUCT($AI$15:$DF$15,'Staff Daily sales'!$G664:$CD664))</f>
        <v>0</v>
      </c>
      <c r="V679">
        <f>IF($E679=0,0,SUMPRODUCT($AI$16:$DF$16,'Staff Daily sales'!$G664:$CD664))</f>
        <v>0</v>
      </c>
      <c r="W679">
        <f t="shared" si="191"/>
        <v>0</v>
      </c>
      <c r="X679">
        <f t="shared" si="192"/>
        <v>0</v>
      </c>
      <c r="Y679">
        <f t="shared" si="193"/>
        <v>0</v>
      </c>
      <c r="Z679">
        <f t="shared" si="194"/>
        <v>0</v>
      </c>
      <c r="AA679">
        <f t="shared" si="195"/>
        <v>0</v>
      </c>
      <c r="AB679">
        <f>--AND($E679=1,OR('Staff Weekly Trend'!$B$3="All",$DH679='Staff Weekly Trend'!$B$3),OR('Staff Weekly Trend'!$B$4="All",$D679='Staff Weekly Trend'!$B$4),OR('Staff Weekly Trend'!$B$5="All",$A679='Staff Weekly Trend'!$B$5))</f>
        <v>0</v>
      </c>
      <c r="AC679" t="str">
        <f t="shared" si="196"/>
        <v/>
      </c>
      <c r="AI679">
        <f t="shared" si="197"/>
        <v>0</v>
      </c>
      <c r="AJ679">
        <f t="shared" si="198"/>
        <v>0</v>
      </c>
      <c r="AK679">
        <f t="shared" si="199"/>
        <v>0</v>
      </c>
      <c r="AL679">
        <f t="shared" si="200"/>
        <v>0</v>
      </c>
      <c r="AM679">
        <f t="shared" si="201"/>
        <v>0</v>
      </c>
      <c r="DH679" t="str" cm="1">
        <f t="array" ref="DH679">IF($A679="","",_xlfn.LET(_xlpm.c,IFERROR(_xlfn.XLOOKUP($A679,TRIM('Sales and count'!$A$4:$A$300&amp;""),TRIM('Sales and count'!$B$4:$B$300&amp;"")),""),IF(OR(_xlpm.c="",_xlpm.c="0",LEFT(_xlpm.c,1)="#"),"Not set",_xlpm.c)))</f>
        <v/>
      </c>
    </row>
    <row r="680" spans="1:112" x14ac:dyDescent="0.25">
      <c r="A680" t="str">
        <f>IF('Staff Daily sales'!$B665="","",TRIM('Staff Daily sales'!$B665&amp;""))</f>
        <v/>
      </c>
      <c r="B680" t="str">
        <f>IF('Staff Daily sales'!$D665="","",TRIM('Staff Daily sales'!$D665&amp;""))</f>
        <v/>
      </c>
      <c r="C680" t="str">
        <f>IFERROR(TRIM('Staff Daily sales'!$E665&amp;""),"")</f>
        <v/>
      </c>
      <c r="D680" t="str">
        <f>IFERROR(IF(TRIM('Staff Daily sales'!$F665&amp;"")="","Unassigned",TRIM('Staff Daily sales'!$F665&amp;"")),"Unassigned")</f>
        <v>Unassigned</v>
      </c>
      <c r="E680">
        <f t="shared" si="186"/>
        <v>0</v>
      </c>
      <c r="F680">
        <f>IF($E680=0,0,SUMPRODUCT($AI$5:$DF$5,'Staff Daily sales'!$G665:$CD665))</f>
        <v>0</v>
      </c>
      <c r="G680">
        <f>IF($E680=0,0,SUMPRODUCT($AI$6:$DF$6,'Staff Daily sales'!$G665:$CD665))</f>
        <v>0</v>
      </c>
      <c r="H680">
        <f t="shared" si="187"/>
        <v>0</v>
      </c>
      <c r="I680">
        <f t="shared" si="188"/>
        <v>0</v>
      </c>
      <c r="J680">
        <f t="shared" si="189"/>
        <v>0</v>
      </c>
      <c r="K680">
        <f t="shared" si="190"/>
        <v>0</v>
      </c>
      <c r="L680">
        <f>--AND($E680=1,OR('Staff Dashboard'!$B$6="All",$DH680='Staff Dashboard'!$B$6),OR('Staff Dashboard'!$B$7="All",$D680='Staff Dashboard'!$B$7),OR('Staff Dashboard'!$B$8="All",$A680='Staff Dashboard'!$B$8))</f>
        <v>0</v>
      </c>
      <c r="M680">
        <f>IF($E680=0,0,SUMPRODUCT($AI$7:$DF$7,'Staff Daily sales'!$G665:$CD665))</f>
        <v>0</v>
      </c>
      <c r="N680">
        <f>IF($E680=0,0,SUMPRODUCT($AI$8:$DF$8,'Staff Daily sales'!$G665:$CD665))</f>
        <v>0</v>
      </c>
      <c r="O680">
        <f>IF($E680=0,0,SUMPRODUCT($AI$9:$DF$9,'Staff Daily sales'!$G665:$CD665))</f>
        <v>0</v>
      </c>
      <c r="P680">
        <f>IF($E680=0,0,SUMPRODUCT($AI$10:$DF$10,'Staff Daily sales'!$G665:$CD665))</f>
        <v>0</v>
      </c>
      <c r="Q680">
        <f>IF($E680=0,0,SUMPRODUCT($AI$11:$DF$11,'Staff Daily sales'!$G665:$CD665))</f>
        <v>0</v>
      </c>
      <c r="R680">
        <f>IF($E680=0,0,SUMPRODUCT($AI$12:$DF$12,'Staff Daily sales'!$G665:$CD665))</f>
        <v>0</v>
      </c>
      <c r="S680">
        <f>IF($E680=0,0,SUMPRODUCT($AI$13:$DF$13,'Staff Daily sales'!$G665:$CD665))</f>
        <v>0</v>
      </c>
      <c r="T680">
        <f>IF($E680=0,0,SUMPRODUCT($AI$14:$DF$14,'Staff Daily sales'!$G665:$CD665))</f>
        <v>0</v>
      </c>
      <c r="U680">
        <f>IF($E680=0,0,SUMPRODUCT($AI$15:$DF$15,'Staff Daily sales'!$G665:$CD665))</f>
        <v>0</v>
      </c>
      <c r="V680">
        <f>IF($E680=0,0,SUMPRODUCT($AI$16:$DF$16,'Staff Daily sales'!$G665:$CD665))</f>
        <v>0</v>
      </c>
      <c r="W680">
        <f t="shared" si="191"/>
        <v>0</v>
      </c>
      <c r="X680">
        <f t="shared" si="192"/>
        <v>0</v>
      </c>
      <c r="Y680">
        <f t="shared" si="193"/>
        <v>0</v>
      </c>
      <c r="Z680">
        <f t="shared" si="194"/>
        <v>0</v>
      </c>
      <c r="AA680">
        <f t="shared" si="195"/>
        <v>0</v>
      </c>
      <c r="AB680">
        <f>--AND($E680=1,OR('Staff Weekly Trend'!$B$3="All",$DH680='Staff Weekly Trend'!$B$3),OR('Staff Weekly Trend'!$B$4="All",$D680='Staff Weekly Trend'!$B$4),OR('Staff Weekly Trend'!$B$5="All",$A680='Staff Weekly Trend'!$B$5))</f>
        <v>0</v>
      </c>
      <c r="AC680" t="str">
        <f t="shared" si="196"/>
        <v/>
      </c>
      <c r="AI680">
        <f t="shared" si="197"/>
        <v>0</v>
      </c>
      <c r="AJ680">
        <f t="shared" si="198"/>
        <v>0</v>
      </c>
      <c r="AK680">
        <f t="shared" si="199"/>
        <v>0</v>
      </c>
      <c r="AL680">
        <f t="shared" si="200"/>
        <v>0</v>
      </c>
      <c r="AM680">
        <f t="shared" si="201"/>
        <v>0</v>
      </c>
      <c r="DH680" t="str" cm="1">
        <f t="array" ref="DH680">IF($A680="","",_xlfn.LET(_xlpm.c,IFERROR(_xlfn.XLOOKUP($A680,TRIM('Sales and count'!$A$4:$A$300&amp;""),TRIM('Sales and count'!$B$4:$B$300&amp;"")),""),IF(OR(_xlpm.c="",_xlpm.c="0",LEFT(_xlpm.c,1)="#"),"Not set",_xlpm.c)))</f>
        <v/>
      </c>
    </row>
    <row r="681" spans="1:112" x14ac:dyDescent="0.25">
      <c r="A681" t="str">
        <f>IF('Staff Daily sales'!$B666="","",TRIM('Staff Daily sales'!$B666&amp;""))</f>
        <v/>
      </c>
      <c r="B681" t="str">
        <f>IF('Staff Daily sales'!$D666="","",TRIM('Staff Daily sales'!$D666&amp;""))</f>
        <v/>
      </c>
      <c r="C681" t="str">
        <f>IFERROR(TRIM('Staff Daily sales'!$E666&amp;""),"")</f>
        <v/>
      </c>
      <c r="D681" t="str">
        <f>IFERROR(IF(TRIM('Staff Daily sales'!$F666&amp;"")="","Unassigned",TRIM('Staff Daily sales'!$F666&amp;"")),"Unassigned")</f>
        <v>Unassigned</v>
      </c>
      <c r="E681">
        <f t="shared" si="186"/>
        <v>0</v>
      </c>
      <c r="F681">
        <f>IF($E681=0,0,SUMPRODUCT($AI$5:$DF$5,'Staff Daily sales'!$G666:$CD666))</f>
        <v>0</v>
      </c>
      <c r="G681">
        <f>IF($E681=0,0,SUMPRODUCT($AI$6:$DF$6,'Staff Daily sales'!$G666:$CD666))</f>
        <v>0</v>
      </c>
      <c r="H681">
        <f t="shared" si="187"/>
        <v>0</v>
      </c>
      <c r="I681">
        <f t="shared" si="188"/>
        <v>0</v>
      </c>
      <c r="J681">
        <f t="shared" si="189"/>
        <v>0</v>
      </c>
      <c r="K681">
        <f t="shared" si="190"/>
        <v>0</v>
      </c>
      <c r="L681">
        <f>--AND($E681=1,OR('Staff Dashboard'!$B$6="All",$DH681='Staff Dashboard'!$B$6),OR('Staff Dashboard'!$B$7="All",$D681='Staff Dashboard'!$B$7),OR('Staff Dashboard'!$B$8="All",$A681='Staff Dashboard'!$B$8))</f>
        <v>0</v>
      </c>
      <c r="M681">
        <f>IF($E681=0,0,SUMPRODUCT($AI$7:$DF$7,'Staff Daily sales'!$G666:$CD666))</f>
        <v>0</v>
      </c>
      <c r="N681">
        <f>IF($E681=0,0,SUMPRODUCT($AI$8:$DF$8,'Staff Daily sales'!$G666:$CD666))</f>
        <v>0</v>
      </c>
      <c r="O681">
        <f>IF($E681=0,0,SUMPRODUCT($AI$9:$DF$9,'Staff Daily sales'!$G666:$CD666))</f>
        <v>0</v>
      </c>
      <c r="P681">
        <f>IF($E681=0,0,SUMPRODUCT($AI$10:$DF$10,'Staff Daily sales'!$G666:$CD666))</f>
        <v>0</v>
      </c>
      <c r="Q681">
        <f>IF($E681=0,0,SUMPRODUCT($AI$11:$DF$11,'Staff Daily sales'!$G666:$CD666))</f>
        <v>0</v>
      </c>
      <c r="R681">
        <f>IF($E681=0,0,SUMPRODUCT($AI$12:$DF$12,'Staff Daily sales'!$G666:$CD666))</f>
        <v>0</v>
      </c>
      <c r="S681">
        <f>IF($E681=0,0,SUMPRODUCT($AI$13:$DF$13,'Staff Daily sales'!$G666:$CD666))</f>
        <v>0</v>
      </c>
      <c r="T681">
        <f>IF($E681=0,0,SUMPRODUCT($AI$14:$DF$14,'Staff Daily sales'!$G666:$CD666))</f>
        <v>0</v>
      </c>
      <c r="U681">
        <f>IF($E681=0,0,SUMPRODUCT($AI$15:$DF$15,'Staff Daily sales'!$G666:$CD666))</f>
        <v>0</v>
      </c>
      <c r="V681">
        <f>IF($E681=0,0,SUMPRODUCT($AI$16:$DF$16,'Staff Daily sales'!$G666:$CD666))</f>
        <v>0</v>
      </c>
      <c r="W681">
        <f t="shared" si="191"/>
        <v>0</v>
      </c>
      <c r="X681">
        <f t="shared" si="192"/>
        <v>0</v>
      </c>
      <c r="Y681">
        <f t="shared" si="193"/>
        <v>0</v>
      </c>
      <c r="Z681">
        <f t="shared" si="194"/>
        <v>0</v>
      </c>
      <c r="AA681">
        <f t="shared" si="195"/>
        <v>0</v>
      </c>
      <c r="AB681">
        <f>--AND($E681=1,OR('Staff Weekly Trend'!$B$3="All",$DH681='Staff Weekly Trend'!$B$3),OR('Staff Weekly Trend'!$B$4="All",$D681='Staff Weekly Trend'!$B$4),OR('Staff Weekly Trend'!$B$5="All",$A681='Staff Weekly Trend'!$B$5))</f>
        <v>0</v>
      </c>
      <c r="AC681" t="str">
        <f t="shared" si="196"/>
        <v/>
      </c>
      <c r="AI681">
        <f t="shared" si="197"/>
        <v>0</v>
      </c>
      <c r="AJ681">
        <f t="shared" si="198"/>
        <v>0</v>
      </c>
      <c r="AK681">
        <f t="shared" si="199"/>
        <v>0</v>
      </c>
      <c r="AL681">
        <f t="shared" si="200"/>
        <v>0</v>
      </c>
      <c r="AM681">
        <f t="shared" si="201"/>
        <v>0</v>
      </c>
      <c r="DH681" t="str" cm="1">
        <f t="array" ref="DH681">IF($A681="","",_xlfn.LET(_xlpm.c,IFERROR(_xlfn.XLOOKUP($A681,TRIM('Sales and count'!$A$4:$A$300&amp;""),TRIM('Sales and count'!$B$4:$B$300&amp;"")),""),IF(OR(_xlpm.c="",_xlpm.c="0",LEFT(_xlpm.c,1)="#"),"Not set",_xlpm.c)))</f>
        <v/>
      </c>
    </row>
    <row r="682" spans="1:112" x14ac:dyDescent="0.25">
      <c r="A682" t="str">
        <f>IF('Staff Daily sales'!$B667="","",TRIM('Staff Daily sales'!$B667&amp;""))</f>
        <v/>
      </c>
      <c r="B682" t="str">
        <f>IF('Staff Daily sales'!$D667="","",TRIM('Staff Daily sales'!$D667&amp;""))</f>
        <v/>
      </c>
      <c r="C682" t="str">
        <f>IFERROR(TRIM('Staff Daily sales'!$E667&amp;""),"")</f>
        <v/>
      </c>
      <c r="D682" t="str">
        <f>IFERROR(IF(TRIM('Staff Daily sales'!$F667&amp;"")="","Unassigned",TRIM('Staff Daily sales'!$F667&amp;"")),"Unassigned")</f>
        <v>Unassigned</v>
      </c>
      <c r="E682">
        <f t="shared" si="186"/>
        <v>0</v>
      </c>
      <c r="F682">
        <f>IF($E682=0,0,SUMPRODUCT($AI$5:$DF$5,'Staff Daily sales'!$G667:$CD667))</f>
        <v>0</v>
      </c>
      <c r="G682">
        <f>IF($E682=0,0,SUMPRODUCT($AI$6:$DF$6,'Staff Daily sales'!$G667:$CD667))</f>
        <v>0</v>
      </c>
      <c r="H682">
        <f t="shared" si="187"/>
        <v>0</v>
      </c>
      <c r="I682">
        <f t="shared" si="188"/>
        <v>0</v>
      </c>
      <c r="J682">
        <f t="shared" si="189"/>
        <v>0</v>
      </c>
      <c r="K682">
        <f t="shared" si="190"/>
        <v>0</v>
      </c>
      <c r="L682">
        <f>--AND($E682=1,OR('Staff Dashboard'!$B$6="All",$DH682='Staff Dashboard'!$B$6),OR('Staff Dashboard'!$B$7="All",$D682='Staff Dashboard'!$B$7),OR('Staff Dashboard'!$B$8="All",$A682='Staff Dashboard'!$B$8))</f>
        <v>0</v>
      </c>
      <c r="M682">
        <f>IF($E682=0,0,SUMPRODUCT($AI$7:$DF$7,'Staff Daily sales'!$G667:$CD667))</f>
        <v>0</v>
      </c>
      <c r="N682">
        <f>IF($E682=0,0,SUMPRODUCT($AI$8:$DF$8,'Staff Daily sales'!$G667:$CD667))</f>
        <v>0</v>
      </c>
      <c r="O682">
        <f>IF($E682=0,0,SUMPRODUCT($AI$9:$DF$9,'Staff Daily sales'!$G667:$CD667))</f>
        <v>0</v>
      </c>
      <c r="P682">
        <f>IF($E682=0,0,SUMPRODUCT($AI$10:$DF$10,'Staff Daily sales'!$G667:$CD667))</f>
        <v>0</v>
      </c>
      <c r="Q682">
        <f>IF($E682=0,0,SUMPRODUCT($AI$11:$DF$11,'Staff Daily sales'!$G667:$CD667))</f>
        <v>0</v>
      </c>
      <c r="R682">
        <f>IF($E682=0,0,SUMPRODUCT($AI$12:$DF$12,'Staff Daily sales'!$G667:$CD667))</f>
        <v>0</v>
      </c>
      <c r="S682">
        <f>IF($E682=0,0,SUMPRODUCT($AI$13:$DF$13,'Staff Daily sales'!$G667:$CD667))</f>
        <v>0</v>
      </c>
      <c r="T682">
        <f>IF($E682=0,0,SUMPRODUCT($AI$14:$DF$14,'Staff Daily sales'!$G667:$CD667))</f>
        <v>0</v>
      </c>
      <c r="U682">
        <f>IF($E682=0,0,SUMPRODUCT($AI$15:$DF$15,'Staff Daily sales'!$G667:$CD667))</f>
        <v>0</v>
      </c>
      <c r="V682">
        <f>IF($E682=0,0,SUMPRODUCT($AI$16:$DF$16,'Staff Daily sales'!$G667:$CD667))</f>
        <v>0</v>
      </c>
      <c r="W682">
        <f t="shared" si="191"/>
        <v>0</v>
      </c>
      <c r="X682">
        <f t="shared" si="192"/>
        <v>0</v>
      </c>
      <c r="Y682">
        <f t="shared" si="193"/>
        <v>0</v>
      </c>
      <c r="Z682">
        <f t="shared" si="194"/>
        <v>0</v>
      </c>
      <c r="AA682">
        <f t="shared" si="195"/>
        <v>0</v>
      </c>
      <c r="AB682">
        <f>--AND($E682=1,OR('Staff Weekly Trend'!$B$3="All",$DH682='Staff Weekly Trend'!$B$3),OR('Staff Weekly Trend'!$B$4="All",$D682='Staff Weekly Trend'!$B$4),OR('Staff Weekly Trend'!$B$5="All",$A682='Staff Weekly Trend'!$B$5))</f>
        <v>0</v>
      </c>
      <c r="AC682" t="str">
        <f t="shared" si="196"/>
        <v/>
      </c>
      <c r="AI682">
        <f t="shared" si="197"/>
        <v>0</v>
      </c>
      <c r="AJ682">
        <f t="shared" si="198"/>
        <v>0</v>
      </c>
      <c r="AK682">
        <f t="shared" si="199"/>
        <v>0</v>
      </c>
      <c r="AL682">
        <f t="shared" si="200"/>
        <v>0</v>
      </c>
      <c r="AM682">
        <f t="shared" si="201"/>
        <v>0</v>
      </c>
      <c r="DH682" t="str" cm="1">
        <f t="array" ref="DH682">IF($A682="","",_xlfn.LET(_xlpm.c,IFERROR(_xlfn.XLOOKUP($A682,TRIM('Sales and count'!$A$4:$A$300&amp;""),TRIM('Sales and count'!$B$4:$B$300&amp;"")),""),IF(OR(_xlpm.c="",_xlpm.c="0",LEFT(_xlpm.c,1)="#"),"Not set",_xlpm.c)))</f>
        <v/>
      </c>
    </row>
    <row r="683" spans="1:112" x14ac:dyDescent="0.25">
      <c r="A683" t="str">
        <f>IF('Staff Daily sales'!$B668="","",TRIM('Staff Daily sales'!$B668&amp;""))</f>
        <v/>
      </c>
      <c r="B683" t="str">
        <f>IF('Staff Daily sales'!$D668="","",TRIM('Staff Daily sales'!$D668&amp;""))</f>
        <v/>
      </c>
      <c r="C683" t="str">
        <f>IFERROR(TRIM('Staff Daily sales'!$E668&amp;""),"")</f>
        <v/>
      </c>
      <c r="D683" t="str">
        <f>IFERROR(IF(TRIM('Staff Daily sales'!$F668&amp;"")="","Unassigned",TRIM('Staff Daily sales'!$F668&amp;"")),"Unassigned")</f>
        <v>Unassigned</v>
      </c>
      <c r="E683">
        <f t="shared" si="186"/>
        <v>0</v>
      </c>
      <c r="F683">
        <f>IF($E683=0,0,SUMPRODUCT($AI$5:$DF$5,'Staff Daily sales'!$G668:$CD668))</f>
        <v>0</v>
      </c>
      <c r="G683">
        <f>IF($E683=0,0,SUMPRODUCT($AI$6:$DF$6,'Staff Daily sales'!$G668:$CD668))</f>
        <v>0</v>
      </c>
      <c r="H683">
        <f t="shared" si="187"/>
        <v>0</v>
      </c>
      <c r="I683">
        <f t="shared" si="188"/>
        <v>0</v>
      </c>
      <c r="J683">
        <f t="shared" si="189"/>
        <v>0</v>
      </c>
      <c r="K683">
        <f t="shared" si="190"/>
        <v>0</v>
      </c>
      <c r="L683">
        <f>--AND($E683=1,OR('Staff Dashboard'!$B$6="All",$DH683='Staff Dashboard'!$B$6),OR('Staff Dashboard'!$B$7="All",$D683='Staff Dashboard'!$B$7),OR('Staff Dashboard'!$B$8="All",$A683='Staff Dashboard'!$B$8))</f>
        <v>0</v>
      </c>
      <c r="M683">
        <f>IF($E683=0,0,SUMPRODUCT($AI$7:$DF$7,'Staff Daily sales'!$G668:$CD668))</f>
        <v>0</v>
      </c>
      <c r="N683">
        <f>IF($E683=0,0,SUMPRODUCT($AI$8:$DF$8,'Staff Daily sales'!$G668:$CD668))</f>
        <v>0</v>
      </c>
      <c r="O683">
        <f>IF($E683=0,0,SUMPRODUCT($AI$9:$DF$9,'Staff Daily sales'!$G668:$CD668))</f>
        <v>0</v>
      </c>
      <c r="P683">
        <f>IF($E683=0,0,SUMPRODUCT($AI$10:$DF$10,'Staff Daily sales'!$G668:$CD668))</f>
        <v>0</v>
      </c>
      <c r="Q683">
        <f>IF($E683=0,0,SUMPRODUCT($AI$11:$DF$11,'Staff Daily sales'!$G668:$CD668))</f>
        <v>0</v>
      </c>
      <c r="R683">
        <f>IF($E683=0,0,SUMPRODUCT($AI$12:$DF$12,'Staff Daily sales'!$G668:$CD668))</f>
        <v>0</v>
      </c>
      <c r="S683">
        <f>IF($E683=0,0,SUMPRODUCT($AI$13:$DF$13,'Staff Daily sales'!$G668:$CD668))</f>
        <v>0</v>
      </c>
      <c r="T683">
        <f>IF($E683=0,0,SUMPRODUCT($AI$14:$DF$14,'Staff Daily sales'!$G668:$CD668))</f>
        <v>0</v>
      </c>
      <c r="U683">
        <f>IF($E683=0,0,SUMPRODUCT($AI$15:$DF$15,'Staff Daily sales'!$G668:$CD668))</f>
        <v>0</v>
      </c>
      <c r="V683">
        <f>IF($E683=0,0,SUMPRODUCT($AI$16:$DF$16,'Staff Daily sales'!$G668:$CD668))</f>
        <v>0</v>
      </c>
      <c r="W683">
        <f t="shared" si="191"/>
        <v>0</v>
      </c>
      <c r="X683">
        <f t="shared" si="192"/>
        <v>0</v>
      </c>
      <c r="Y683">
        <f t="shared" si="193"/>
        <v>0</v>
      </c>
      <c r="Z683">
        <f t="shared" si="194"/>
        <v>0</v>
      </c>
      <c r="AA683">
        <f t="shared" si="195"/>
        <v>0</v>
      </c>
      <c r="AB683">
        <f>--AND($E683=1,OR('Staff Weekly Trend'!$B$3="All",$DH683='Staff Weekly Trend'!$B$3),OR('Staff Weekly Trend'!$B$4="All",$D683='Staff Weekly Trend'!$B$4),OR('Staff Weekly Trend'!$B$5="All",$A683='Staff Weekly Trend'!$B$5))</f>
        <v>0</v>
      </c>
      <c r="AC683" t="str">
        <f t="shared" si="196"/>
        <v/>
      </c>
      <c r="AI683">
        <f t="shared" si="197"/>
        <v>0</v>
      </c>
      <c r="AJ683">
        <f t="shared" si="198"/>
        <v>0</v>
      </c>
      <c r="AK683">
        <f t="shared" si="199"/>
        <v>0</v>
      </c>
      <c r="AL683">
        <f t="shared" si="200"/>
        <v>0</v>
      </c>
      <c r="AM683">
        <f t="shared" si="201"/>
        <v>0</v>
      </c>
      <c r="DH683" t="str" cm="1">
        <f t="array" ref="DH683">IF($A683="","",_xlfn.LET(_xlpm.c,IFERROR(_xlfn.XLOOKUP($A683,TRIM('Sales and count'!$A$4:$A$300&amp;""),TRIM('Sales and count'!$B$4:$B$300&amp;"")),""),IF(OR(_xlpm.c="",_xlpm.c="0",LEFT(_xlpm.c,1)="#"),"Not set",_xlpm.c)))</f>
        <v/>
      </c>
    </row>
    <row r="684" spans="1:112" x14ac:dyDescent="0.25">
      <c r="A684" t="str">
        <f>IF('Staff Daily sales'!$B669="","",TRIM('Staff Daily sales'!$B669&amp;""))</f>
        <v/>
      </c>
      <c r="B684" t="str">
        <f>IF('Staff Daily sales'!$D669="","",TRIM('Staff Daily sales'!$D669&amp;""))</f>
        <v/>
      </c>
      <c r="C684" t="str">
        <f>IFERROR(TRIM('Staff Daily sales'!$E669&amp;""),"")</f>
        <v/>
      </c>
      <c r="D684" t="str">
        <f>IFERROR(IF(TRIM('Staff Daily sales'!$F669&amp;"")="","Unassigned",TRIM('Staff Daily sales'!$F669&amp;"")),"Unassigned")</f>
        <v>Unassigned</v>
      </c>
      <c r="E684">
        <f t="shared" si="186"/>
        <v>0</v>
      </c>
      <c r="F684">
        <f>IF($E684=0,0,SUMPRODUCT($AI$5:$DF$5,'Staff Daily sales'!$G669:$CD669))</f>
        <v>0</v>
      </c>
      <c r="G684">
        <f>IF($E684=0,0,SUMPRODUCT($AI$6:$DF$6,'Staff Daily sales'!$G669:$CD669))</f>
        <v>0</v>
      </c>
      <c r="H684">
        <f t="shared" si="187"/>
        <v>0</v>
      </c>
      <c r="I684">
        <f t="shared" si="188"/>
        <v>0</v>
      </c>
      <c r="J684">
        <f t="shared" si="189"/>
        <v>0</v>
      </c>
      <c r="K684">
        <f t="shared" si="190"/>
        <v>0</v>
      </c>
      <c r="L684">
        <f>--AND($E684=1,OR('Staff Dashboard'!$B$6="All",$DH684='Staff Dashboard'!$B$6),OR('Staff Dashboard'!$B$7="All",$D684='Staff Dashboard'!$B$7),OR('Staff Dashboard'!$B$8="All",$A684='Staff Dashboard'!$B$8))</f>
        <v>0</v>
      </c>
      <c r="M684">
        <f>IF($E684=0,0,SUMPRODUCT($AI$7:$DF$7,'Staff Daily sales'!$G669:$CD669))</f>
        <v>0</v>
      </c>
      <c r="N684">
        <f>IF($E684=0,0,SUMPRODUCT($AI$8:$DF$8,'Staff Daily sales'!$G669:$CD669))</f>
        <v>0</v>
      </c>
      <c r="O684">
        <f>IF($E684=0,0,SUMPRODUCT($AI$9:$DF$9,'Staff Daily sales'!$G669:$CD669))</f>
        <v>0</v>
      </c>
      <c r="P684">
        <f>IF($E684=0,0,SUMPRODUCT($AI$10:$DF$10,'Staff Daily sales'!$G669:$CD669))</f>
        <v>0</v>
      </c>
      <c r="Q684">
        <f>IF($E684=0,0,SUMPRODUCT($AI$11:$DF$11,'Staff Daily sales'!$G669:$CD669))</f>
        <v>0</v>
      </c>
      <c r="R684">
        <f>IF($E684=0,0,SUMPRODUCT($AI$12:$DF$12,'Staff Daily sales'!$G669:$CD669))</f>
        <v>0</v>
      </c>
      <c r="S684">
        <f>IF($E684=0,0,SUMPRODUCT($AI$13:$DF$13,'Staff Daily sales'!$G669:$CD669))</f>
        <v>0</v>
      </c>
      <c r="T684">
        <f>IF($E684=0,0,SUMPRODUCT($AI$14:$DF$14,'Staff Daily sales'!$G669:$CD669))</f>
        <v>0</v>
      </c>
      <c r="U684">
        <f>IF($E684=0,0,SUMPRODUCT($AI$15:$DF$15,'Staff Daily sales'!$G669:$CD669))</f>
        <v>0</v>
      </c>
      <c r="V684">
        <f>IF($E684=0,0,SUMPRODUCT($AI$16:$DF$16,'Staff Daily sales'!$G669:$CD669))</f>
        <v>0</v>
      </c>
      <c r="W684">
        <f t="shared" si="191"/>
        <v>0</v>
      </c>
      <c r="X684">
        <f t="shared" si="192"/>
        <v>0</v>
      </c>
      <c r="Y684">
        <f t="shared" si="193"/>
        <v>0</v>
      </c>
      <c r="Z684">
        <f t="shared" si="194"/>
        <v>0</v>
      </c>
      <c r="AA684">
        <f t="shared" si="195"/>
        <v>0</v>
      </c>
      <c r="AB684">
        <f>--AND($E684=1,OR('Staff Weekly Trend'!$B$3="All",$DH684='Staff Weekly Trend'!$B$3),OR('Staff Weekly Trend'!$B$4="All",$D684='Staff Weekly Trend'!$B$4),OR('Staff Weekly Trend'!$B$5="All",$A684='Staff Weekly Trend'!$B$5))</f>
        <v>0</v>
      </c>
      <c r="AC684" t="str">
        <f t="shared" si="196"/>
        <v/>
      </c>
      <c r="AI684">
        <f t="shared" si="197"/>
        <v>0</v>
      </c>
      <c r="AJ684">
        <f t="shared" si="198"/>
        <v>0</v>
      </c>
      <c r="AK684">
        <f t="shared" si="199"/>
        <v>0</v>
      </c>
      <c r="AL684">
        <f t="shared" si="200"/>
        <v>0</v>
      </c>
      <c r="AM684">
        <f t="shared" si="201"/>
        <v>0</v>
      </c>
      <c r="DH684" t="str" cm="1">
        <f t="array" ref="DH684">IF($A684="","",_xlfn.LET(_xlpm.c,IFERROR(_xlfn.XLOOKUP($A684,TRIM('Sales and count'!$A$4:$A$300&amp;""),TRIM('Sales and count'!$B$4:$B$300&amp;"")),""),IF(OR(_xlpm.c="",_xlpm.c="0",LEFT(_xlpm.c,1)="#"),"Not set",_xlpm.c)))</f>
        <v/>
      </c>
    </row>
    <row r="685" spans="1:112" x14ac:dyDescent="0.25">
      <c r="A685" t="str">
        <f>IF('Staff Daily sales'!$B670="","",TRIM('Staff Daily sales'!$B670&amp;""))</f>
        <v/>
      </c>
      <c r="B685" t="str">
        <f>IF('Staff Daily sales'!$D670="","",TRIM('Staff Daily sales'!$D670&amp;""))</f>
        <v/>
      </c>
      <c r="C685" t="str">
        <f>IFERROR(TRIM('Staff Daily sales'!$E670&amp;""),"")</f>
        <v/>
      </c>
      <c r="D685" t="str">
        <f>IFERROR(IF(TRIM('Staff Daily sales'!$F670&amp;"")="","Unassigned",TRIM('Staff Daily sales'!$F670&amp;"")),"Unassigned")</f>
        <v>Unassigned</v>
      </c>
      <c r="E685">
        <f t="shared" si="186"/>
        <v>0</v>
      </c>
      <c r="F685">
        <f>IF($E685=0,0,SUMPRODUCT($AI$5:$DF$5,'Staff Daily sales'!$G670:$CD670))</f>
        <v>0</v>
      </c>
      <c r="G685">
        <f>IF($E685=0,0,SUMPRODUCT($AI$6:$DF$6,'Staff Daily sales'!$G670:$CD670))</f>
        <v>0</v>
      </c>
      <c r="H685">
        <f t="shared" si="187"/>
        <v>0</v>
      </c>
      <c r="I685">
        <f t="shared" si="188"/>
        <v>0</v>
      </c>
      <c r="J685">
        <f t="shared" si="189"/>
        <v>0</v>
      </c>
      <c r="K685">
        <f t="shared" si="190"/>
        <v>0</v>
      </c>
      <c r="L685">
        <f>--AND($E685=1,OR('Staff Dashboard'!$B$6="All",$DH685='Staff Dashboard'!$B$6),OR('Staff Dashboard'!$B$7="All",$D685='Staff Dashboard'!$B$7),OR('Staff Dashboard'!$B$8="All",$A685='Staff Dashboard'!$B$8))</f>
        <v>0</v>
      </c>
      <c r="M685">
        <f>IF($E685=0,0,SUMPRODUCT($AI$7:$DF$7,'Staff Daily sales'!$G670:$CD670))</f>
        <v>0</v>
      </c>
      <c r="N685">
        <f>IF($E685=0,0,SUMPRODUCT($AI$8:$DF$8,'Staff Daily sales'!$G670:$CD670))</f>
        <v>0</v>
      </c>
      <c r="O685">
        <f>IF($E685=0,0,SUMPRODUCT($AI$9:$DF$9,'Staff Daily sales'!$G670:$CD670))</f>
        <v>0</v>
      </c>
      <c r="P685">
        <f>IF($E685=0,0,SUMPRODUCT($AI$10:$DF$10,'Staff Daily sales'!$G670:$CD670))</f>
        <v>0</v>
      </c>
      <c r="Q685">
        <f>IF($E685=0,0,SUMPRODUCT($AI$11:$DF$11,'Staff Daily sales'!$G670:$CD670))</f>
        <v>0</v>
      </c>
      <c r="R685">
        <f>IF($E685=0,0,SUMPRODUCT($AI$12:$DF$12,'Staff Daily sales'!$G670:$CD670))</f>
        <v>0</v>
      </c>
      <c r="S685">
        <f>IF($E685=0,0,SUMPRODUCT($AI$13:$DF$13,'Staff Daily sales'!$G670:$CD670))</f>
        <v>0</v>
      </c>
      <c r="T685">
        <f>IF($E685=0,0,SUMPRODUCT($AI$14:$DF$14,'Staff Daily sales'!$G670:$CD670))</f>
        <v>0</v>
      </c>
      <c r="U685">
        <f>IF($E685=0,0,SUMPRODUCT($AI$15:$DF$15,'Staff Daily sales'!$G670:$CD670))</f>
        <v>0</v>
      </c>
      <c r="V685">
        <f>IF($E685=0,0,SUMPRODUCT($AI$16:$DF$16,'Staff Daily sales'!$G670:$CD670))</f>
        <v>0</v>
      </c>
      <c r="W685">
        <f t="shared" si="191"/>
        <v>0</v>
      </c>
      <c r="X685">
        <f t="shared" si="192"/>
        <v>0</v>
      </c>
      <c r="Y685">
        <f t="shared" si="193"/>
        <v>0</v>
      </c>
      <c r="Z685">
        <f t="shared" si="194"/>
        <v>0</v>
      </c>
      <c r="AA685">
        <f t="shared" si="195"/>
        <v>0</v>
      </c>
      <c r="AB685">
        <f>--AND($E685=1,OR('Staff Weekly Trend'!$B$3="All",$DH685='Staff Weekly Trend'!$B$3),OR('Staff Weekly Trend'!$B$4="All",$D685='Staff Weekly Trend'!$B$4),OR('Staff Weekly Trend'!$B$5="All",$A685='Staff Weekly Trend'!$B$5))</f>
        <v>0</v>
      </c>
      <c r="AC685" t="str">
        <f t="shared" si="196"/>
        <v/>
      </c>
      <c r="AI685">
        <f t="shared" si="197"/>
        <v>0</v>
      </c>
      <c r="AJ685">
        <f t="shared" si="198"/>
        <v>0</v>
      </c>
      <c r="AK685">
        <f t="shared" si="199"/>
        <v>0</v>
      </c>
      <c r="AL685">
        <f t="shared" si="200"/>
        <v>0</v>
      </c>
      <c r="AM685">
        <f t="shared" si="201"/>
        <v>0</v>
      </c>
      <c r="DH685" t="str" cm="1">
        <f t="array" ref="DH685">IF($A685="","",_xlfn.LET(_xlpm.c,IFERROR(_xlfn.XLOOKUP($A685,TRIM('Sales and count'!$A$4:$A$300&amp;""),TRIM('Sales and count'!$B$4:$B$300&amp;"")),""),IF(OR(_xlpm.c="",_xlpm.c="0",LEFT(_xlpm.c,1)="#"),"Not set",_xlpm.c)))</f>
        <v/>
      </c>
    </row>
    <row r="686" spans="1:112" x14ac:dyDescent="0.25">
      <c r="A686" t="str">
        <f>IF('Staff Daily sales'!$B671="","",TRIM('Staff Daily sales'!$B671&amp;""))</f>
        <v/>
      </c>
      <c r="B686" t="str">
        <f>IF('Staff Daily sales'!$D671="","",TRIM('Staff Daily sales'!$D671&amp;""))</f>
        <v/>
      </c>
      <c r="C686" t="str">
        <f>IFERROR(TRIM('Staff Daily sales'!$E671&amp;""),"")</f>
        <v/>
      </c>
      <c r="D686" t="str">
        <f>IFERROR(IF(TRIM('Staff Daily sales'!$F671&amp;"")="","Unassigned",TRIM('Staff Daily sales'!$F671&amp;"")),"Unassigned")</f>
        <v>Unassigned</v>
      </c>
      <c r="E686">
        <f t="shared" si="186"/>
        <v>0</v>
      </c>
      <c r="F686">
        <f>IF($E686=0,0,SUMPRODUCT($AI$5:$DF$5,'Staff Daily sales'!$G671:$CD671))</f>
        <v>0</v>
      </c>
      <c r="G686">
        <f>IF($E686=0,0,SUMPRODUCT($AI$6:$DF$6,'Staff Daily sales'!$G671:$CD671))</f>
        <v>0</v>
      </c>
      <c r="H686">
        <f t="shared" si="187"/>
        <v>0</v>
      </c>
      <c r="I686">
        <f t="shared" si="188"/>
        <v>0</v>
      </c>
      <c r="J686">
        <f t="shared" si="189"/>
        <v>0</v>
      </c>
      <c r="K686">
        <f t="shared" si="190"/>
        <v>0</v>
      </c>
      <c r="L686">
        <f>--AND($E686=1,OR('Staff Dashboard'!$B$6="All",$DH686='Staff Dashboard'!$B$6),OR('Staff Dashboard'!$B$7="All",$D686='Staff Dashboard'!$B$7),OR('Staff Dashboard'!$B$8="All",$A686='Staff Dashboard'!$B$8))</f>
        <v>0</v>
      </c>
      <c r="M686">
        <f>IF($E686=0,0,SUMPRODUCT($AI$7:$DF$7,'Staff Daily sales'!$G671:$CD671))</f>
        <v>0</v>
      </c>
      <c r="N686">
        <f>IF($E686=0,0,SUMPRODUCT($AI$8:$DF$8,'Staff Daily sales'!$G671:$CD671))</f>
        <v>0</v>
      </c>
      <c r="O686">
        <f>IF($E686=0,0,SUMPRODUCT($AI$9:$DF$9,'Staff Daily sales'!$G671:$CD671))</f>
        <v>0</v>
      </c>
      <c r="P686">
        <f>IF($E686=0,0,SUMPRODUCT($AI$10:$DF$10,'Staff Daily sales'!$G671:$CD671))</f>
        <v>0</v>
      </c>
      <c r="Q686">
        <f>IF($E686=0,0,SUMPRODUCT($AI$11:$DF$11,'Staff Daily sales'!$G671:$CD671))</f>
        <v>0</v>
      </c>
      <c r="R686">
        <f>IF($E686=0,0,SUMPRODUCT($AI$12:$DF$12,'Staff Daily sales'!$G671:$CD671))</f>
        <v>0</v>
      </c>
      <c r="S686">
        <f>IF($E686=0,0,SUMPRODUCT($AI$13:$DF$13,'Staff Daily sales'!$G671:$CD671))</f>
        <v>0</v>
      </c>
      <c r="T686">
        <f>IF($E686=0,0,SUMPRODUCT($AI$14:$DF$14,'Staff Daily sales'!$G671:$CD671))</f>
        <v>0</v>
      </c>
      <c r="U686">
        <f>IF($E686=0,0,SUMPRODUCT($AI$15:$DF$15,'Staff Daily sales'!$G671:$CD671))</f>
        <v>0</v>
      </c>
      <c r="V686">
        <f>IF($E686=0,0,SUMPRODUCT($AI$16:$DF$16,'Staff Daily sales'!$G671:$CD671))</f>
        <v>0</v>
      </c>
      <c r="W686">
        <f t="shared" si="191"/>
        <v>0</v>
      </c>
      <c r="X686">
        <f t="shared" si="192"/>
        <v>0</v>
      </c>
      <c r="Y686">
        <f t="shared" si="193"/>
        <v>0</v>
      </c>
      <c r="Z686">
        <f t="shared" si="194"/>
        <v>0</v>
      </c>
      <c r="AA686">
        <f t="shared" si="195"/>
        <v>0</v>
      </c>
      <c r="AB686">
        <f>--AND($E686=1,OR('Staff Weekly Trend'!$B$3="All",$DH686='Staff Weekly Trend'!$B$3),OR('Staff Weekly Trend'!$B$4="All",$D686='Staff Weekly Trend'!$B$4),OR('Staff Weekly Trend'!$B$5="All",$A686='Staff Weekly Trend'!$B$5))</f>
        <v>0</v>
      </c>
      <c r="AC686" t="str">
        <f t="shared" si="196"/>
        <v/>
      </c>
      <c r="AI686">
        <f t="shared" si="197"/>
        <v>0</v>
      </c>
      <c r="AJ686">
        <f t="shared" si="198"/>
        <v>0</v>
      </c>
      <c r="AK686">
        <f t="shared" si="199"/>
        <v>0</v>
      </c>
      <c r="AL686">
        <f t="shared" si="200"/>
        <v>0</v>
      </c>
      <c r="AM686">
        <f t="shared" si="201"/>
        <v>0</v>
      </c>
      <c r="DH686" t="str" cm="1">
        <f t="array" ref="DH686">IF($A686="","",_xlfn.LET(_xlpm.c,IFERROR(_xlfn.XLOOKUP($A686,TRIM('Sales and count'!$A$4:$A$300&amp;""),TRIM('Sales and count'!$B$4:$B$300&amp;"")),""),IF(OR(_xlpm.c="",_xlpm.c="0",LEFT(_xlpm.c,1)="#"),"Not set",_xlpm.c)))</f>
        <v/>
      </c>
    </row>
    <row r="687" spans="1:112" x14ac:dyDescent="0.25">
      <c r="A687" t="str">
        <f>IF('Staff Daily sales'!$B672="","",TRIM('Staff Daily sales'!$B672&amp;""))</f>
        <v/>
      </c>
      <c r="B687" t="str">
        <f>IF('Staff Daily sales'!$D672="","",TRIM('Staff Daily sales'!$D672&amp;""))</f>
        <v/>
      </c>
      <c r="C687" t="str">
        <f>IFERROR(TRIM('Staff Daily sales'!$E672&amp;""),"")</f>
        <v/>
      </c>
      <c r="D687" t="str">
        <f>IFERROR(IF(TRIM('Staff Daily sales'!$F672&amp;"")="","Unassigned",TRIM('Staff Daily sales'!$F672&amp;"")),"Unassigned")</f>
        <v>Unassigned</v>
      </c>
      <c r="E687">
        <f t="shared" si="186"/>
        <v>0</v>
      </c>
      <c r="F687">
        <f>IF($E687=0,0,SUMPRODUCT($AI$5:$DF$5,'Staff Daily sales'!$G672:$CD672))</f>
        <v>0</v>
      </c>
      <c r="G687">
        <f>IF($E687=0,0,SUMPRODUCT($AI$6:$DF$6,'Staff Daily sales'!$G672:$CD672))</f>
        <v>0</v>
      </c>
      <c r="H687">
        <f t="shared" si="187"/>
        <v>0</v>
      </c>
      <c r="I687">
        <f t="shared" si="188"/>
        <v>0</v>
      </c>
      <c r="J687">
        <f t="shared" si="189"/>
        <v>0</v>
      </c>
      <c r="K687">
        <f t="shared" si="190"/>
        <v>0</v>
      </c>
      <c r="L687">
        <f>--AND($E687=1,OR('Staff Dashboard'!$B$6="All",$DH687='Staff Dashboard'!$B$6),OR('Staff Dashboard'!$B$7="All",$D687='Staff Dashboard'!$B$7),OR('Staff Dashboard'!$B$8="All",$A687='Staff Dashboard'!$B$8))</f>
        <v>0</v>
      </c>
      <c r="M687">
        <f>IF($E687=0,0,SUMPRODUCT($AI$7:$DF$7,'Staff Daily sales'!$G672:$CD672))</f>
        <v>0</v>
      </c>
      <c r="N687">
        <f>IF($E687=0,0,SUMPRODUCT($AI$8:$DF$8,'Staff Daily sales'!$G672:$CD672))</f>
        <v>0</v>
      </c>
      <c r="O687">
        <f>IF($E687=0,0,SUMPRODUCT($AI$9:$DF$9,'Staff Daily sales'!$G672:$CD672))</f>
        <v>0</v>
      </c>
      <c r="P687">
        <f>IF($E687=0,0,SUMPRODUCT($AI$10:$DF$10,'Staff Daily sales'!$G672:$CD672))</f>
        <v>0</v>
      </c>
      <c r="Q687">
        <f>IF($E687=0,0,SUMPRODUCT($AI$11:$DF$11,'Staff Daily sales'!$G672:$CD672))</f>
        <v>0</v>
      </c>
      <c r="R687">
        <f>IF($E687=0,0,SUMPRODUCT($AI$12:$DF$12,'Staff Daily sales'!$G672:$CD672))</f>
        <v>0</v>
      </c>
      <c r="S687">
        <f>IF($E687=0,0,SUMPRODUCT($AI$13:$DF$13,'Staff Daily sales'!$G672:$CD672))</f>
        <v>0</v>
      </c>
      <c r="T687">
        <f>IF($E687=0,0,SUMPRODUCT($AI$14:$DF$14,'Staff Daily sales'!$G672:$CD672))</f>
        <v>0</v>
      </c>
      <c r="U687">
        <f>IF($E687=0,0,SUMPRODUCT($AI$15:$DF$15,'Staff Daily sales'!$G672:$CD672))</f>
        <v>0</v>
      </c>
      <c r="V687">
        <f>IF($E687=0,0,SUMPRODUCT($AI$16:$DF$16,'Staff Daily sales'!$G672:$CD672))</f>
        <v>0</v>
      </c>
      <c r="W687">
        <f t="shared" si="191"/>
        <v>0</v>
      </c>
      <c r="X687">
        <f t="shared" si="192"/>
        <v>0</v>
      </c>
      <c r="Y687">
        <f t="shared" si="193"/>
        <v>0</v>
      </c>
      <c r="Z687">
        <f t="shared" si="194"/>
        <v>0</v>
      </c>
      <c r="AA687">
        <f t="shared" si="195"/>
        <v>0</v>
      </c>
      <c r="AB687">
        <f>--AND($E687=1,OR('Staff Weekly Trend'!$B$3="All",$DH687='Staff Weekly Trend'!$B$3),OR('Staff Weekly Trend'!$B$4="All",$D687='Staff Weekly Trend'!$B$4),OR('Staff Weekly Trend'!$B$5="All",$A687='Staff Weekly Trend'!$B$5))</f>
        <v>0</v>
      </c>
      <c r="AC687" t="str">
        <f t="shared" si="196"/>
        <v/>
      </c>
      <c r="AI687">
        <f t="shared" si="197"/>
        <v>0</v>
      </c>
      <c r="AJ687">
        <f t="shared" si="198"/>
        <v>0</v>
      </c>
      <c r="AK687">
        <f t="shared" si="199"/>
        <v>0</v>
      </c>
      <c r="AL687">
        <f t="shared" si="200"/>
        <v>0</v>
      </c>
      <c r="AM687">
        <f t="shared" si="201"/>
        <v>0</v>
      </c>
      <c r="DH687" t="str" cm="1">
        <f t="array" ref="DH687">IF($A687="","",_xlfn.LET(_xlpm.c,IFERROR(_xlfn.XLOOKUP($A687,TRIM('Sales and count'!$A$4:$A$300&amp;""),TRIM('Sales and count'!$B$4:$B$300&amp;"")),""),IF(OR(_xlpm.c="",_xlpm.c="0",LEFT(_xlpm.c,1)="#"),"Not set",_xlpm.c)))</f>
        <v/>
      </c>
    </row>
    <row r="688" spans="1:112" x14ac:dyDescent="0.25">
      <c r="A688" t="str">
        <f>IF('Staff Daily sales'!$B673="","",TRIM('Staff Daily sales'!$B673&amp;""))</f>
        <v/>
      </c>
      <c r="B688" t="str">
        <f>IF('Staff Daily sales'!$D673="","",TRIM('Staff Daily sales'!$D673&amp;""))</f>
        <v/>
      </c>
      <c r="C688" t="str">
        <f>IFERROR(TRIM('Staff Daily sales'!$E673&amp;""),"")</f>
        <v/>
      </c>
      <c r="D688" t="str">
        <f>IFERROR(IF(TRIM('Staff Daily sales'!$F673&amp;"")="","Unassigned",TRIM('Staff Daily sales'!$F673&amp;"")),"Unassigned")</f>
        <v>Unassigned</v>
      </c>
      <c r="E688">
        <f t="shared" si="186"/>
        <v>0</v>
      </c>
      <c r="F688">
        <f>IF($E688=0,0,SUMPRODUCT($AI$5:$DF$5,'Staff Daily sales'!$G673:$CD673))</f>
        <v>0</v>
      </c>
      <c r="G688">
        <f>IF($E688=0,0,SUMPRODUCT($AI$6:$DF$6,'Staff Daily sales'!$G673:$CD673))</f>
        <v>0</v>
      </c>
      <c r="H688">
        <f t="shared" si="187"/>
        <v>0</v>
      </c>
      <c r="I688">
        <f t="shared" si="188"/>
        <v>0</v>
      </c>
      <c r="J688">
        <f t="shared" si="189"/>
        <v>0</v>
      </c>
      <c r="K688">
        <f t="shared" si="190"/>
        <v>0</v>
      </c>
      <c r="L688">
        <f>--AND($E688=1,OR('Staff Dashboard'!$B$6="All",$DH688='Staff Dashboard'!$B$6),OR('Staff Dashboard'!$B$7="All",$D688='Staff Dashboard'!$B$7),OR('Staff Dashboard'!$B$8="All",$A688='Staff Dashboard'!$B$8))</f>
        <v>0</v>
      </c>
      <c r="M688">
        <f>IF($E688=0,0,SUMPRODUCT($AI$7:$DF$7,'Staff Daily sales'!$G673:$CD673))</f>
        <v>0</v>
      </c>
      <c r="N688">
        <f>IF($E688=0,0,SUMPRODUCT($AI$8:$DF$8,'Staff Daily sales'!$G673:$CD673))</f>
        <v>0</v>
      </c>
      <c r="O688">
        <f>IF($E688=0,0,SUMPRODUCT($AI$9:$DF$9,'Staff Daily sales'!$G673:$CD673))</f>
        <v>0</v>
      </c>
      <c r="P688">
        <f>IF($E688=0,0,SUMPRODUCT($AI$10:$DF$10,'Staff Daily sales'!$G673:$CD673))</f>
        <v>0</v>
      </c>
      <c r="Q688">
        <f>IF($E688=0,0,SUMPRODUCT($AI$11:$DF$11,'Staff Daily sales'!$G673:$CD673))</f>
        <v>0</v>
      </c>
      <c r="R688">
        <f>IF($E688=0,0,SUMPRODUCT($AI$12:$DF$12,'Staff Daily sales'!$G673:$CD673))</f>
        <v>0</v>
      </c>
      <c r="S688">
        <f>IF($E688=0,0,SUMPRODUCT($AI$13:$DF$13,'Staff Daily sales'!$G673:$CD673))</f>
        <v>0</v>
      </c>
      <c r="T688">
        <f>IF($E688=0,0,SUMPRODUCT($AI$14:$DF$14,'Staff Daily sales'!$G673:$CD673))</f>
        <v>0</v>
      </c>
      <c r="U688">
        <f>IF($E688=0,0,SUMPRODUCT($AI$15:$DF$15,'Staff Daily sales'!$G673:$CD673))</f>
        <v>0</v>
      </c>
      <c r="V688">
        <f>IF($E688=0,0,SUMPRODUCT($AI$16:$DF$16,'Staff Daily sales'!$G673:$CD673))</f>
        <v>0</v>
      </c>
      <c r="W688">
        <f t="shared" si="191"/>
        <v>0</v>
      </c>
      <c r="X688">
        <f t="shared" si="192"/>
        <v>0</v>
      </c>
      <c r="Y688">
        <f t="shared" si="193"/>
        <v>0</v>
      </c>
      <c r="Z688">
        <f t="shared" si="194"/>
        <v>0</v>
      </c>
      <c r="AA688">
        <f t="shared" si="195"/>
        <v>0</v>
      </c>
      <c r="AB688">
        <f>--AND($E688=1,OR('Staff Weekly Trend'!$B$3="All",$DH688='Staff Weekly Trend'!$B$3),OR('Staff Weekly Trend'!$B$4="All",$D688='Staff Weekly Trend'!$B$4),OR('Staff Weekly Trend'!$B$5="All",$A688='Staff Weekly Trend'!$B$5))</f>
        <v>0</v>
      </c>
      <c r="AC688" t="str">
        <f t="shared" si="196"/>
        <v/>
      </c>
      <c r="AI688">
        <f t="shared" si="197"/>
        <v>0</v>
      </c>
      <c r="AJ688">
        <f t="shared" si="198"/>
        <v>0</v>
      </c>
      <c r="AK688">
        <f t="shared" si="199"/>
        <v>0</v>
      </c>
      <c r="AL688">
        <f t="shared" si="200"/>
        <v>0</v>
      </c>
      <c r="AM688">
        <f t="shared" si="201"/>
        <v>0</v>
      </c>
      <c r="DH688" t="str" cm="1">
        <f t="array" ref="DH688">IF($A688="","",_xlfn.LET(_xlpm.c,IFERROR(_xlfn.XLOOKUP($A688,TRIM('Sales and count'!$A$4:$A$300&amp;""),TRIM('Sales and count'!$B$4:$B$300&amp;"")),""),IF(OR(_xlpm.c="",_xlpm.c="0",LEFT(_xlpm.c,1)="#"),"Not set",_xlpm.c)))</f>
        <v/>
      </c>
    </row>
    <row r="689" spans="1:112" x14ac:dyDescent="0.25">
      <c r="A689" t="str">
        <f>IF('Staff Daily sales'!$B674="","",TRIM('Staff Daily sales'!$B674&amp;""))</f>
        <v/>
      </c>
      <c r="B689" t="str">
        <f>IF('Staff Daily sales'!$D674="","",TRIM('Staff Daily sales'!$D674&amp;""))</f>
        <v/>
      </c>
      <c r="C689" t="str">
        <f>IFERROR(TRIM('Staff Daily sales'!$E674&amp;""),"")</f>
        <v/>
      </c>
      <c r="D689" t="str">
        <f>IFERROR(IF(TRIM('Staff Daily sales'!$F674&amp;"")="","Unassigned",TRIM('Staff Daily sales'!$F674&amp;"")),"Unassigned")</f>
        <v>Unassigned</v>
      </c>
      <c r="E689">
        <f t="shared" si="186"/>
        <v>0</v>
      </c>
      <c r="F689">
        <f>IF($E689=0,0,SUMPRODUCT($AI$5:$DF$5,'Staff Daily sales'!$G674:$CD674))</f>
        <v>0</v>
      </c>
      <c r="G689">
        <f>IF($E689=0,0,SUMPRODUCT($AI$6:$DF$6,'Staff Daily sales'!$G674:$CD674))</f>
        <v>0</v>
      </c>
      <c r="H689">
        <f t="shared" si="187"/>
        <v>0</v>
      </c>
      <c r="I689">
        <f t="shared" si="188"/>
        <v>0</v>
      </c>
      <c r="J689">
        <f t="shared" si="189"/>
        <v>0</v>
      </c>
      <c r="K689">
        <f t="shared" si="190"/>
        <v>0</v>
      </c>
      <c r="L689">
        <f>--AND($E689=1,OR('Staff Dashboard'!$B$6="All",$DH689='Staff Dashboard'!$B$6),OR('Staff Dashboard'!$B$7="All",$D689='Staff Dashboard'!$B$7),OR('Staff Dashboard'!$B$8="All",$A689='Staff Dashboard'!$B$8))</f>
        <v>0</v>
      </c>
      <c r="M689">
        <f>IF($E689=0,0,SUMPRODUCT($AI$7:$DF$7,'Staff Daily sales'!$G674:$CD674))</f>
        <v>0</v>
      </c>
      <c r="N689">
        <f>IF($E689=0,0,SUMPRODUCT($AI$8:$DF$8,'Staff Daily sales'!$G674:$CD674))</f>
        <v>0</v>
      </c>
      <c r="O689">
        <f>IF($E689=0,0,SUMPRODUCT($AI$9:$DF$9,'Staff Daily sales'!$G674:$CD674))</f>
        <v>0</v>
      </c>
      <c r="P689">
        <f>IF($E689=0,0,SUMPRODUCT($AI$10:$DF$10,'Staff Daily sales'!$G674:$CD674))</f>
        <v>0</v>
      </c>
      <c r="Q689">
        <f>IF($E689=0,0,SUMPRODUCT($AI$11:$DF$11,'Staff Daily sales'!$G674:$CD674))</f>
        <v>0</v>
      </c>
      <c r="R689">
        <f>IF($E689=0,0,SUMPRODUCT($AI$12:$DF$12,'Staff Daily sales'!$G674:$CD674))</f>
        <v>0</v>
      </c>
      <c r="S689">
        <f>IF($E689=0,0,SUMPRODUCT($AI$13:$DF$13,'Staff Daily sales'!$G674:$CD674))</f>
        <v>0</v>
      </c>
      <c r="T689">
        <f>IF($E689=0,0,SUMPRODUCT($AI$14:$DF$14,'Staff Daily sales'!$G674:$CD674))</f>
        <v>0</v>
      </c>
      <c r="U689">
        <f>IF($E689=0,0,SUMPRODUCT($AI$15:$DF$15,'Staff Daily sales'!$G674:$CD674))</f>
        <v>0</v>
      </c>
      <c r="V689">
        <f>IF($E689=0,0,SUMPRODUCT($AI$16:$DF$16,'Staff Daily sales'!$G674:$CD674))</f>
        <v>0</v>
      </c>
      <c r="W689">
        <f t="shared" si="191"/>
        <v>0</v>
      </c>
      <c r="X689">
        <f t="shared" si="192"/>
        <v>0</v>
      </c>
      <c r="Y689">
        <f t="shared" si="193"/>
        <v>0</v>
      </c>
      <c r="Z689">
        <f t="shared" si="194"/>
        <v>0</v>
      </c>
      <c r="AA689">
        <f t="shared" si="195"/>
        <v>0</v>
      </c>
      <c r="AB689">
        <f>--AND($E689=1,OR('Staff Weekly Trend'!$B$3="All",$DH689='Staff Weekly Trend'!$B$3),OR('Staff Weekly Trend'!$B$4="All",$D689='Staff Weekly Trend'!$B$4),OR('Staff Weekly Trend'!$B$5="All",$A689='Staff Weekly Trend'!$B$5))</f>
        <v>0</v>
      </c>
      <c r="AC689" t="str">
        <f t="shared" si="196"/>
        <v/>
      </c>
      <c r="AI689">
        <f t="shared" si="197"/>
        <v>0</v>
      </c>
      <c r="AJ689">
        <f t="shared" si="198"/>
        <v>0</v>
      </c>
      <c r="AK689">
        <f t="shared" si="199"/>
        <v>0</v>
      </c>
      <c r="AL689">
        <f t="shared" si="200"/>
        <v>0</v>
      </c>
      <c r="AM689">
        <f t="shared" si="201"/>
        <v>0</v>
      </c>
      <c r="DH689" t="str" cm="1">
        <f t="array" ref="DH689">IF($A689="","",_xlfn.LET(_xlpm.c,IFERROR(_xlfn.XLOOKUP($A689,TRIM('Sales and count'!$A$4:$A$300&amp;""),TRIM('Sales and count'!$B$4:$B$300&amp;"")),""),IF(OR(_xlpm.c="",_xlpm.c="0",LEFT(_xlpm.c,1)="#"),"Not set",_xlpm.c)))</f>
        <v/>
      </c>
    </row>
    <row r="690" spans="1:112" x14ac:dyDescent="0.25">
      <c r="A690" t="str">
        <f>IF('Staff Daily sales'!$B675="","",TRIM('Staff Daily sales'!$B675&amp;""))</f>
        <v/>
      </c>
      <c r="B690" t="str">
        <f>IF('Staff Daily sales'!$D675="","",TRIM('Staff Daily sales'!$D675&amp;""))</f>
        <v/>
      </c>
      <c r="C690" t="str">
        <f>IFERROR(TRIM('Staff Daily sales'!$E675&amp;""),"")</f>
        <v/>
      </c>
      <c r="D690" t="str">
        <f>IFERROR(IF(TRIM('Staff Daily sales'!$F675&amp;"")="","Unassigned",TRIM('Staff Daily sales'!$F675&amp;"")),"Unassigned")</f>
        <v>Unassigned</v>
      </c>
      <c r="E690">
        <f t="shared" si="186"/>
        <v>0</v>
      </c>
      <c r="F690">
        <f>IF($E690=0,0,SUMPRODUCT($AI$5:$DF$5,'Staff Daily sales'!$G675:$CD675))</f>
        <v>0</v>
      </c>
      <c r="G690">
        <f>IF($E690=0,0,SUMPRODUCT($AI$6:$DF$6,'Staff Daily sales'!$G675:$CD675))</f>
        <v>0</v>
      </c>
      <c r="H690">
        <f t="shared" si="187"/>
        <v>0</v>
      </c>
      <c r="I690">
        <f t="shared" si="188"/>
        <v>0</v>
      </c>
      <c r="J690">
        <f t="shared" si="189"/>
        <v>0</v>
      </c>
      <c r="K690">
        <f t="shared" si="190"/>
        <v>0</v>
      </c>
      <c r="L690">
        <f>--AND($E690=1,OR('Staff Dashboard'!$B$6="All",$DH690='Staff Dashboard'!$B$6),OR('Staff Dashboard'!$B$7="All",$D690='Staff Dashboard'!$B$7),OR('Staff Dashboard'!$B$8="All",$A690='Staff Dashboard'!$B$8))</f>
        <v>0</v>
      </c>
      <c r="M690">
        <f>IF($E690=0,0,SUMPRODUCT($AI$7:$DF$7,'Staff Daily sales'!$G675:$CD675))</f>
        <v>0</v>
      </c>
      <c r="N690">
        <f>IF($E690=0,0,SUMPRODUCT($AI$8:$DF$8,'Staff Daily sales'!$G675:$CD675))</f>
        <v>0</v>
      </c>
      <c r="O690">
        <f>IF($E690=0,0,SUMPRODUCT($AI$9:$DF$9,'Staff Daily sales'!$G675:$CD675))</f>
        <v>0</v>
      </c>
      <c r="P690">
        <f>IF($E690=0,0,SUMPRODUCT($AI$10:$DF$10,'Staff Daily sales'!$G675:$CD675))</f>
        <v>0</v>
      </c>
      <c r="Q690">
        <f>IF($E690=0,0,SUMPRODUCT($AI$11:$DF$11,'Staff Daily sales'!$G675:$CD675))</f>
        <v>0</v>
      </c>
      <c r="R690">
        <f>IF($E690=0,0,SUMPRODUCT($AI$12:$DF$12,'Staff Daily sales'!$G675:$CD675))</f>
        <v>0</v>
      </c>
      <c r="S690">
        <f>IF($E690=0,0,SUMPRODUCT($AI$13:$DF$13,'Staff Daily sales'!$G675:$CD675))</f>
        <v>0</v>
      </c>
      <c r="T690">
        <f>IF($E690=0,0,SUMPRODUCT($AI$14:$DF$14,'Staff Daily sales'!$G675:$CD675))</f>
        <v>0</v>
      </c>
      <c r="U690">
        <f>IF($E690=0,0,SUMPRODUCT($AI$15:$DF$15,'Staff Daily sales'!$G675:$CD675))</f>
        <v>0</v>
      </c>
      <c r="V690">
        <f>IF($E690=0,0,SUMPRODUCT($AI$16:$DF$16,'Staff Daily sales'!$G675:$CD675))</f>
        <v>0</v>
      </c>
      <c r="W690">
        <f t="shared" si="191"/>
        <v>0</v>
      </c>
      <c r="X690">
        <f t="shared" si="192"/>
        <v>0</v>
      </c>
      <c r="Y690">
        <f t="shared" si="193"/>
        <v>0</v>
      </c>
      <c r="Z690">
        <f t="shared" si="194"/>
        <v>0</v>
      </c>
      <c r="AA690">
        <f t="shared" si="195"/>
        <v>0</v>
      </c>
      <c r="AB690">
        <f>--AND($E690=1,OR('Staff Weekly Trend'!$B$3="All",$DH690='Staff Weekly Trend'!$B$3),OR('Staff Weekly Trend'!$B$4="All",$D690='Staff Weekly Trend'!$B$4),OR('Staff Weekly Trend'!$B$5="All",$A690='Staff Weekly Trend'!$B$5))</f>
        <v>0</v>
      </c>
      <c r="AC690" t="str">
        <f t="shared" si="196"/>
        <v/>
      </c>
      <c r="AI690">
        <f t="shared" si="197"/>
        <v>0</v>
      </c>
      <c r="AJ690">
        <f t="shared" si="198"/>
        <v>0</v>
      </c>
      <c r="AK690">
        <f t="shared" si="199"/>
        <v>0</v>
      </c>
      <c r="AL690">
        <f t="shared" si="200"/>
        <v>0</v>
      </c>
      <c r="AM690">
        <f t="shared" si="201"/>
        <v>0</v>
      </c>
      <c r="DH690" t="str" cm="1">
        <f t="array" ref="DH690">IF($A690="","",_xlfn.LET(_xlpm.c,IFERROR(_xlfn.XLOOKUP($A690,TRIM('Sales and count'!$A$4:$A$300&amp;""),TRIM('Sales and count'!$B$4:$B$300&amp;"")),""),IF(OR(_xlpm.c="",_xlpm.c="0",LEFT(_xlpm.c,1)="#"),"Not set",_xlpm.c)))</f>
        <v/>
      </c>
    </row>
    <row r="691" spans="1:112" x14ac:dyDescent="0.25">
      <c r="A691" t="str">
        <f>IF('Staff Daily sales'!$B676="","",TRIM('Staff Daily sales'!$B676&amp;""))</f>
        <v/>
      </c>
      <c r="B691" t="str">
        <f>IF('Staff Daily sales'!$D676="","",TRIM('Staff Daily sales'!$D676&amp;""))</f>
        <v/>
      </c>
      <c r="C691" t="str">
        <f>IFERROR(TRIM('Staff Daily sales'!$E676&amp;""),"")</f>
        <v/>
      </c>
      <c r="D691" t="str">
        <f>IFERROR(IF(TRIM('Staff Daily sales'!$F676&amp;"")="","Unassigned",TRIM('Staff Daily sales'!$F676&amp;"")),"Unassigned")</f>
        <v>Unassigned</v>
      </c>
      <c r="E691">
        <f t="shared" si="186"/>
        <v>0</v>
      </c>
      <c r="F691">
        <f>IF($E691=0,0,SUMPRODUCT($AI$5:$DF$5,'Staff Daily sales'!$G676:$CD676))</f>
        <v>0</v>
      </c>
      <c r="G691">
        <f>IF($E691=0,0,SUMPRODUCT($AI$6:$DF$6,'Staff Daily sales'!$G676:$CD676))</f>
        <v>0</v>
      </c>
      <c r="H691">
        <f t="shared" si="187"/>
        <v>0</v>
      </c>
      <c r="I691">
        <f t="shared" si="188"/>
        <v>0</v>
      </c>
      <c r="J691">
        <f t="shared" si="189"/>
        <v>0</v>
      </c>
      <c r="K691">
        <f t="shared" si="190"/>
        <v>0</v>
      </c>
      <c r="L691">
        <f>--AND($E691=1,OR('Staff Dashboard'!$B$6="All",$DH691='Staff Dashboard'!$B$6),OR('Staff Dashboard'!$B$7="All",$D691='Staff Dashboard'!$B$7),OR('Staff Dashboard'!$B$8="All",$A691='Staff Dashboard'!$B$8))</f>
        <v>0</v>
      </c>
      <c r="M691">
        <f>IF($E691=0,0,SUMPRODUCT($AI$7:$DF$7,'Staff Daily sales'!$G676:$CD676))</f>
        <v>0</v>
      </c>
      <c r="N691">
        <f>IF($E691=0,0,SUMPRODUCT($AI$8:$DF$8,'Staff Daily sales'!$G676:$CD676))</f>
        <v>0</v>
      </c>
      <c r="O691">
        <f>IF($E691=0,0,SUMPRODUCT($AI$9:$DF$9,'Staff Daily sales'!$G676:$CD676))</f>
        <v>0</v>
      </c>
      <c r="P691">
        <f>IF($E691=0,0,SUMPRODUCT($AI$10:$DF$10,'Staff Daily sales'!$G676:$CD676))</f>
        <v>0</v>
      </c>
      <c r="Q691">
        <f>IF($E691=0,0,SUMPRODUCT($AI$11:$DF$11,'Staff Daily sales'!$G676:$CD676))</f>
        <v>0</v>
      </c>
      <c r="R691">
        <f>IF($E691=0,0,SUMPRODUCT($AI$12:$DF$12,'Staff Daily sales'!$G676:$CD676))</f>
        <v>0</v>
      </c>
      <c r="S691">
        <f>IF($E691=0,0,SUMPRODUCT($AI$13:$DF$13,'Staff Daily sales'!$G676:$CD676))</f>
        <v>0</v>
      </c>
      <c r="T691">
        <f>IF($E691=0,0,SUMPRODUCT($AI$14:$DF$14,'Staff Daily sales'!$G676:$CD676))</f>
        <v>0</v>
      </c>
      <c r="U691">
        <f>IF($E691=0,0,SUMPRODUCT($AI$15:$DF$15,'Staff Daily sales'!$G676:$CD676))</f>
        <v>0</v>
      </c>
      <c r="V691">
        <f>IF($E691=0,0,SUMPRODUCT($AI$16:$DF$16,'Staff Daily sales'!$G676:$CD676))</f>
        <v>0</v>
      </c>
      <c r="W691">
        <f t="shared" si="191"/>
        <v>0</v>
      </c>
      <c r="X691">
        <f t="shared" si="192"/>
        <v>0</v>
      </c>
      <c r="Y691">
        <f t="shared" si="193"/>
        <v>0</v>
      </c>
      <c r="Z691">
        <f t="shared" si="194"/>
        <v>0</v>
      </c>
      <c r="AA691">
        <f t="shared" si="195"/>
        <v>0</v>
      </c>
      <c r="AB691">
        <f>--AND($E691=1,OR('Staff Weekly Trend'!$B$3="All",$DH691='Staff Weekly Trend'!$B$3),OR('Staff Weekly Trend'!$B$4="All",$D691='Staff Weekly Trend'!$B$4),OR('Staff Weekly Trend'!$B$5="All",$A691='Staff Weekly Trend'!$B$5))</f>
        <v>0</v>
      </c>
      <c r="AC691" t="str">
        <f t="shared" si="196"/>
        <v/>
      </c>
      <c r="AI691">
        <f t="shared" si="197"/>
        <v>0</v>
      </c>
      <c r="AJ691">
        <f t="shared" si="198"/>
        <v>0</v>
      </c>
      <c r="AK691">
        <f t="shared" si="199"/>
        <v>0</v>
      </c>
      <c r="AL691">
        <f t="shared" si="200"/>
        <v>0</v>
      </c>
      <c r="AM691">
        <f t="shared" si="201"/>
        <v>0</v>
      </c>
      <c r="DH691" t="str" cm="1">
        <f t="array" ref="DH691">IF($A691="","",_xlfn.LET(_xlpm.c,IFERROR(_xlfn.XLOOKUP($A691,TRIM('Sales and count'!$A$4:$A$300&amp;""),TRIM('Sales and count'!$B$4:$B$300&amp;"")),""),IF(OR(_xlpm.c="",_xlpm.c="0",LEFT(_xlpm.c,1)="#"),"Not set",_xlpm.c)))</f>
        <v/>
      </c>
    </row>
    <row r="692" spans="1:112" x14ac:dyDescent="0.25">
      <c r="A692" t="str">
        <f>IF('Staff Daily sales'!$B677="","",TRIM('Staff Daily sales'!$B677&amp;""))</f>
        <v/>
      </c>
      <c r="B692" t="str">
        <f>IF('Staff Daily sales'!$D677="","",TRIM('Staff Daily sales'!$D677&amp;""))</f>
        <v/>
      </c>
      <c r="C692" t="str">
        <f>IFERROR(TRIM('Staff Daily sales'!$E677&amp;""),"")</f>
        <v/>
      </c>
      <c r="D692" t="str">
        <f>IFERROR(IF(TRIM('Staff Daily sales'!$F677&amp;"")="","Unassigned",TRIM('Staff Daily sales'!$F677&amp;"")),"Unassigned")</f>
        <v>Unassigned</v>
      </c>
      <c r="E692">
        <f t="shared" si="186"/>
        <v>0</v>
      </c>
      <c r="F692">
        <f>IF($E692=0,0,SUMPRODUCT($AI$5:$DF$5,'Staff Daily sales'!$G677:$CD677))</f>
        <v>0</v>
      </c>
      <c r="G692">
        <f>IF($E692=0,0,SUMPRODUCT($AI$6:$DF$6,'Staff Daily sales'!$G677:$CD677))</f>
        <v>0</v>
      </c>
      <c r="H692">
        <f t="shared" si="187"/>
        <v>0</v>
      </c>
      <c r="I692">
        <f t="shared" si="188"/>
        <v>0</v>
      </c>
      <c r="J692">
        <f t="shared" si="189"/>
        <v>0</v>
      </c>
      <c r="K692">
        <f t="shared" si="190"/>
        <v>0</v>
      </c>
      <c r="L692">
        <f>--AND($E692=1,OR('Staff Dashboard'!$B$6="All",$DH692='Staff Dashboard'!$B$6),OR('Staff Dashboard'!$B$7="All",$D692='Staff Dashboard'!$B$7),OR('Staff Dashboard'!$B$8="All",$A692='Staff Dashboard'!$B$8))</f>
        <v>0</v>
      </c>
      <c r="M692">
        <f>IF($E692=0,0,SUMPRODUCT($AI$7:$DF$7,'Staff Daily sales'!$G677:$CD677))</f>
        <v>0</v>
      </c>
      <c r="N692">
        <f>IF($E692=0,0,SUMPRODUCT($AI$8:$DF$8,'Staff Daily sales'!$G677:$CD677))</f>
        <v>0</v>
      </c>
      <c r="O692">
        <f>IF($E692=0,0,SUMPRODUCT($AI$9:$DF$9,'Staff Daily sales'!$G677:$CD677))</f>
        <v>0</v>
      </c>
      <c r="P692">
        <f>IF($E692=0,0,SUMPRODUCT($AI$10:$DF$10,'Staff Daily sales'!$G677:$CD677))</f>
        <v>0</v>
      </c>
      <c r="Q692">
        <f>IF($E692=0,0,SUMPRODUCT($AI$11:$DF$11,'Staff Daily sales'!$G677:$CD677))</f>
        <v>0</v>
      </c>
      <c r="R692">
        <f>IF($E692=0,0,SUMPRODUCT($AI$12:$DF$12,'Staff Daily sales'!$G677:$CD677))</f>
        <v>0</v>
      </c>
      <c r="S692">
        <f>IF($E692=0,0,SUMPRODUCT($AI$13:$DF$13,'Staff Daily sales'!$G677:$CD677))</f>
        <v>0</v>
      </c>
      <c r="T692">
        <f>IF($E692=0,0,SUMPRODUCT($AI$14:$DF$14,'Staff Daily sales'!$G677:$CD677))</f>
        <v>0</v>
      </c>
      <c r="U692">
        <f>IF($E692=0,0,SUMPRODUCT($AI$15:$DF$15,'Staff Daily sales'!$G677:$CD677))</f>
        <v>0</v>
      </c>
      <c r="V692">
        <f>IF($E692=0,0,SUMPRODUCT($AI$16:$DF$16,'Staff Daily sales'!$G677:$CD677))</f>
        <v>0</v>
      </c>
      <c r="W692">
        <f t="shared" si="191"/>
        <v>0</v>
      </c>
      <c r="X692">
        <f t="shared" si="192"/>
        <v>0</v>
      </c>
      <c r="Y692">
        <f t="shared" si="193"/>
        <v>0</v>
      </c>
      <c r="Z692">
        <f t="shared" si="194"/>
        <v>0</v>
      </c>
      <c r="AA692">
        <f t="shared" si="195"/>
        <v>0</v>
      </c>
      <c r="AB692">
        <f>--AND($E692=1,OR('Staff Weekly Trend'!$B$3="All",$DH692='Staff Weekly Trend'!$B$3),OR('Staff Weekly Trend'!$B$4="All",$D692='Staff Weekly Trend'!$B$4),OR('Staff Weekly Trend'!$B$5="All",$A692='Staff Weekly Trend'!$B$5))</f>
        <v>0</v>
      </c>
      <c r="AC692" t="str">
        <f t="shared" si="196"/>
        <v/>
      </c>
      <c r="AI692">
        <f t="shared" si="197"/>
        <v>0</v>
      </c>
      <c r="AJ692">
        <f t="shared" si="198"/>
        <v>0</v>
      </c>
      <c r="AK692">
        <f t="shared" si="199"/>
        <v>0</v>
      </c>
      <c r="AL692">
        <f t="shared" si="200"/>
        <v>0</v>
      </c>
      <c r="AM692">
        <f t="shared" si="201"/>
        <v>0</v>
      </c>
      <c r="DH692" t="str" cm="1">
        <f t="array" ref="DH692">IF($A692="","",_xlfn.LET(_xlpm.c,IFERROR(_xlfn.XLOOKUP($A692,TRIM('Sales and count'!$A$4:$A$300&amp;""),TRIM('Sales and count'!$B$4:$B$300&amp;"")),""),IF(OR(_xlpm.c="",_xlpm.c="0",LEFT(_xlpm.c,1)="#"),"Not set",_xlpm.c)))</f>
        <v/>
      </c>
    </row>
    <row r="693" spans="1:112" x14ac:dyDescent="0.25">
      <c r="A693" t="str">
        <f>IF('Staff Daily sales'!$B678="","",TRIM('Staff Daily sales'!$B678&amp;""))</f>
        <v/>
      </c>
      <c r="B693" t="str">
        <f>IF('Staff Daily sales'!$D678="","",TRIM('Staff Daily sales'!$D678&amp;""))</f>
        <v/>
      </c>
      <c r="C693" t="str">
        <f>IFERROR(TRIM('Staff Daily sales'!$E678&amp;""),"")</f>
        <v/>
      </c>
      <c r="D693" t="str">
        <f>IFERROR(IF(TRIM('Staff Daily sales'!$F678&amp;"")="","Unassigned",TRIM('Staff Daily sales'!$F678&amp;"")),"Unassigned")</f>
        <v>Unassigned</v>
      </c>
      <c r="E693">
        <f t="shared" si="186"/>
        <v>0</v>
      </c>
      <c r="F693">
        <f>IF($E693=0,0,SUMPRODUCT($AI$5:$DF$5,'Staff Daily sales'!$G678:$CD678))</f>
        <v>0</v>
      </c>
      <c r="G693">
        <f>IF($E693=0,0,SUMPRODUCT($AI$6:$DF$6,'Staff Daily sales'!$G678:$CD678))</f>
        <v>0</v>
      </c>
      <c r="H693">
        <f t="shared" si="187"/>
        <v>0</v>
      </c>
      <c r="I693">
        <f t="shared" si="188"/>
        <v>0</v>
      </c>
      <c r="J693">
        <f t="shared" si="189"/>
        <v>0</v>
      </c>
      <c r="K693">
        <f t="shared" si="190"/>
        <v>0</v>
      </c>
      <c r="L693">
        <f>--AND($E693=1,OR('Staff Dashboard'!$B$6="All",$DH693='Staff Dashboard'!$B$6),OR('Staff Dashboard'!$B$7="All",$D693='Staff Dashboard'!$B$7),OR('Staff Dashboard'!$B$8="All",$A693='Staff Dashboard'!$B$8))</f>
        <v>0</v>
      </c>
      <c r="M693">
        <f>IF($E693=0,0,SUMPRODUCT($AI$7:$DF$7,'Staff Daily sales'!$G678:$CD678))</f>
        <v>0</v>
      </c>
      <c r="N693">
        <f>IF($E693=0,0,SUMPRODUCT($AI$8:$DF$8,'Staff Daily sales'!$G678:$CD678))</f>
        <v>0</v>
      </c>
      <c r="O693">
        <f>IF($E693=0,0,SUMPRODUCT($AI$9:$DF$9,'Staff Daily sales'!$G678:$CD678))</f>
        <v>0</v>
      </c>
      <c r="P693">
        <f>IF($E693=0,0,SUMPRODUCT($AI$10:$DF$10,'Staff Daily sales'!$G678:$CD678))</f>
        <v>0</v>
      </c>
      <c r="Q693">
        <f>IF($E693=0,0,SUMPRODUCT($AI$11:$DF$11,'Staff Daily sales'!$G678:$CD678))</f>
        <v>0</v>
      </c>
      <c r="R693">
        <f>IF($E693=0,0,SUMPRODUCT($AI$12:$DF$12,'Staff Daily sales'!$G678:$CD678))</f>
        <v>0</v>
      </c>
      <c r="S693">
        <f>IF($E693=0,0,SUMPRODUCT($AI$13:$DF$13,'Staff Daily sales'!$G678:$CD678))</f>
        <v>0</v>
      </c>
      <c r="T693">
        <f>IF($E693=0,0,SUMPRODUCT($AI$14:$DF$14,'Staff Daily sales'!$G678:$CD678))</f>
        <v>0</v>
      </c>
      <c r="U693">
        <f>IF($E693=0,0,SUMPRODUCT($AI$15:$DF$15,'Staff Daily sales'!$G678:$CD678))</f>
        <v>0</v>
      </c>
      <c r="V693">
        <f>IF($E693=0,0,SUMPRODUCT($AI$16:$DF$16,'Staff Daily sales'!$G678:$CD678))</f>
        <v>0</v>
      </c>
      <c r="W693">
        <f t="shared" si="191"/>
        <v>0</v>
      </c>
      <c r="X693">
        <f t="shared" si="192"/>
        <v>0</v>
      </c>
      <c r="Y693">
        <f t="shared" si="193"/>
        <v>0</v>
      </c>
      <c r="Z693">
        <f t="shared" si="194"/>
        <v>0</v>
      </c>
      <c r="AA693">
        <f t="shared" si="195"/>
        <v>0</v>
      </c>
      <c r="AB693">
        <f>--AND($E693=1,OR('Staff Weekly Trend'!$B$3="All",$DH693='Staff Weekly Trend'!$B$3),OR('Staff Weekly Trend'!$B$4="All",$D693='Staff Weekly Trend'!$B$4),OR('Staff Weekly Trend'!$B$5="All",$A693='Staff Weekly Trend'!$B$5))</f>
        <v>0</v>
      </c>
      <c r="AC693" t="str">
        <f t="shared" si="196"/>
        <v/>
      </c>
      <c r="AI693">
        <f t="shared" si="197"/>
        <v>0</v>
      </c>
      <c r="AJ693">
        <f t="shared" si="198"/>
        <v>0</v>
      </c>
      <c r="AK693">
        <f t="shared" si="199"/>
        <v>0</v>
      </c>
      <c r="AL693">
        <f t="shared" si="200"/>
        <v>0</v>
      </c>
      <c r="AM693">
        <f t="shared" si="201"/>
        <v>0</v>
      </c>
      <c r="DH693" t="str" cm="1">
        <f t="array" ref="DH693">IF($A693="","",_xlfn.LET(_xlpm.c,IFERROR(_xlfn.XLOOKUP($A693,TRIM('Sales and count'!$A$4:$A$300&amp;""),TRIM('Sales and count'!$B$4:$B$300&amp;"")),""),IF(OR(_xlpm.c="",_xlpm.c="0",LEFT(_xlpm.c,1)="#"),"Not set",_xlpm.c)))</f>
        <v/>
      </c>
    </row>
    <row r="694" spans="1:112" x14ac:dyDescent="0.25">
      <c r="A694" t="str">
        <f>IF('Staff Daily sales'!$B679="","",TRIM('Staff Daily sales'!$B679&amp;""))</f>
        <v/>
      </c>
      <c r="B694" t="str">
        <f>IF('Staff Daily sales'!$D679="","",TRIM('Staff Daily sales'!$D679&amp;""))</f>
        <v/>
      </c>
      <c r="C694" t="str">
        <f>IFERROR(TRIM('Staff Daily sales'!$E679&amp;""),"")</f>
        <v/>
      </c>
      <c r="D694" t="str">
        <f>IFERROR(IF(TRIM('Staff Daily sales'!$F679&amp;"")="","Unassigned",TRIM('Staff Daily sales'!$F679&amp;"")),"Unassigned")</f>
        <v>Unassigned</v>
      </c>
      <c r="E694">
        <f t="shared" si="186"/>
        <v>0</v>
      </c>
      <c r="F694">
        <f>IF($E694=0,0,SUMPRODUCT($AI$5:$DF$5,'Staff Daily sales'!$G679:$CD679))</f>
        <v>0</v>
      </c>
      <c r="G694">
        <f>IF($E694=0,0,SUMPRODUCT($AI$6:$DF$6,'Staff Daily sales'!$G679:$CD679))</f>
        <v>0</v>
      </c>
      <c r="H694">
        <f t="shared" si="187"/>
        <v>0</v>
      </c>
      <c r="I694">
        <f t="shared" si="188"/>
        <v>0</v>
      </c>
      <c r="J694">
        <f t="shared" si="189"/>
        <v>0</v>
      </c>
      <c r="K694">
        <f t="shared" si="190"/>
        <v>0</v>
      </c>
      <c r="L694">
        <f>--AND($E694=1,OR('Staff Dashboard'!$B$6="All",$DH694='Staff Dashboard'!$B$6),OR('Staff Dashboard'!$B$7="All",$D694='Staff Dashboard'!$B$7),OR('Staff Dashboard'!$B$8="All",$A694='Staff Dashboard'!$B$8))</f>
        <v>0</v>
      </c>
      <c r="M694">
        <f>IF($E694=0,0,SUMPRODUCT($AI$7:$DF$7,'Staff Daily sales'!$G679:$CD679))</f>
        <v>0</v>
      </c>
      <c r="N694">
        <f>IF($E694=0,0,SUMPRODUCT($AI$8:$DF$8,'Staff Daily sales'!$G679:$CD679))</f>
        <v>0</v>
      </c>
      <c r="O694">
        <f>IF($E694=0,0,SUMPRODUCT($AI$9:$DF$9,'Staff Daily sales'!$G679:$CD679))</f>
        <v>0</v>
      </c>
      <c r="P694">
        <f>IF($E694=0,0,SUMPRODUCT($AI$10:$DF$10,'Staff Daily sales'!$G679:$CD679))</f>
        <v>0</v>
      </c>
      <c r="Q694">
        <f>IF($E694=0,0,SUMPRODUCT($AI$11:$DF$11,'Staff Daily sales'!$G679:$CD679))</f>
        <v>0</v>
      </c>
      <c r="R694">
        <f>IF($E694=0,0,SUMPRODUCT($AI$12:$DF$12,'Staff Daily sales'!$G679:$CD679))</f>
        <v>0</v>
      </c>
      <c r="S694">
        <f>IF($E694=0,0,SUMPRODUCT($AI$13:$DF$13,'Staff Daily sales'!$G679:$CD679))</f>
        <v>0</v>
      </c>
      <c r="T694">
        <f>IF($E694=0,0,SUMPRODUCT($AI$14:$DF$14,'Staff Daily sales'!$G679:$CD679))</f>
        <v>0</v>
      </c>
      <c r="U694">
        <f>IF($E694=0,0,SUMPRODUCT($AI$15:$DF$15,'Staff Daily sales'!$G679:$CD679))</f>
        <v>0</v>
      </c>
      <c r="V694">
        <f>IF($E694=0,0,SUMPRODUCT($AI$16:$DF$16,'Staff Daily sales'!$G679:$CD679))</f>
        <v>0</v>
      </c>
      <c r="W694">
        <f t="shared" si="191"/>
        <v>0</v>
      </c>
      <c r="X694">
        <f t="shared" si="192"/>
        <v>0</v>
      </c>
      <c r="Y694">
        <f t="shared" si="193"/>
        <v>0</v>
      </c>
      <c r="Z694">
        <f t="shared" si="194"/>
        <v>0</v>
      </c>
      <c r="AA694">
        <f t="shared" si="195"/>
        <v>0</v>
      </c>
      <c r="AB694">
        <f>--AND($E694=1,OR('Staff Weekly Trend'!$B$3="All",$DH694='Staff Weekly Trend'!$B$3),OR('Staff Weekly Trend'!$B$4="All",$D694='Staff Weekly Trend'!$B$4),OR('Staff Weekly Trend'!$B$5="All",$A694='Staff Weekly Trend'!$B$5))</f>
        <v>0</v>
      </c>
      <c r="AC694" t="str">
        <f t="shared" si="196"/>
        <v/>
      </c>
      <c r="AI694">
        <f t="shared" si="197"/>
        <v>0</v>
      </c>
      <c r="AJ694">
        <f t="shared" si="198"/>
        <v>0</v>
      </c>
      <c r="AK694">
        <f t="shared" si="199"/>
        <v>0</v>
      </c>
      <c r="AL694">
        <f t="shared" si="200"/>
        <v>0</v>
      </c>
      <c r="AM694">
        <f t="shared" si="201"/>
        <v>0</v>
      </c>
      <c r="DH694" t="str" cm="1">
        <f t="array" ref="DH694">IF($A694="","",_xlfn.LET(_xlpm.c,IFERROR(_xlfn.XLOOKUP($A694,TRIM('Sales and count'!$A$4:$A$300&amp;""),TRIM('Sales and count'!$B$4:$B$300&amp;"")),""),IF(OR(_xlpm.c="",_xlpm.c="0",LEFT(_xlpm.c,1)="#"),"Not set",_xlpm.c)))</f>
        <v/>
      </c>
    </row>
    <row r="695" spans="1:112" x14ac:dyDescent="0.25">
      <c r="A695" t="str">
        <f>IF('Staff Daily sales'!$B680="","",TRIM('Staff Daily sales'!$B680&amp;""))</f>
        <v/>
      </c>
      <c r="B695" t="str">
        <f>IF('Staff Daily sales'!$D680="","",TRIM('Staff Daily sales'!$D680&amp;""))</f>
        <v/>
      </c>
      <c r="C695" t="str">
        <f>IFERROR(TRIM('Staff Daily sales'!$E680&amp;""),"")</f>
        <v/>
      </c>
      <c r="D695" t="str">
        <f>IFERROR(IF(TRIM('Staff Daily sales'!$F680&amp;"")="","Unassigned",TRIM('Staff Daily sales'!$F680&amp;"")),"Unassigned")</f>
        <v>Unassigned</v>
      </c>
      <c r="E695">
        <f t="shared" si="186"/>
        <v>0</v>
      </c>
      <c r="F695">
        <f>IF($E695=0,0,SUMPRODUCT($AI$5:$DF$5,'Staff Daily sales'!$G680:$CD680))</f>
        <v>0</v>
      </c>
      <c r="G695">
        <f>IF($E695=0,0,SUMPRODUCT($AI$6:$DF$6,'Staff Daily sales'!$G680:$CD680))</f>
        <v>0</v>
      </c>
      <c r="H695">
        <f t="shared" si="187"/>
        <v>0</v>
      </c>
      <c r="I695">
        <f t="shared" si="188"/>
        <v>0</v>
      </c>
      <c r="J695">
        <f t="shared" si="189"/>
        <v>0</v>
      </c>
      <c r="K695">
        <f t="shared" si="190"/>
        <v>0</v>
      </c>
      <c r="L695">
        <f>--AND($E695=1,OR('Staff Dashboard'!$B$6="All",$DH695='Staff Dashboard'!$B$6),OR('Staff Dashboard'!$B$7="All",$D695='Staff Dashboard'!$B$7),OR('Staff Dashboard'!$B$8="All",$A695='Staff Dashboard'!$B$8))</f>
        <v>0</v>
      </c>
      <c r="M695">
        <f>IF($E695=0,0,SUMPRODUCT($AI$7:$DF$7,'Staff Daily sales'!$G680:$CD680))</f>
        <v>0</v>
      </c>
      <c r="N695">
        <f>IF($E695=0,0,SUMPRODUCT($AI$8:$DF$8,'Staff Daily sales'!$G680:$CD680))</f>
        <v>0</v>
      </c>
      <c r="O695">
        <f>IF($E695=0,0,SUMPRODUCT($AI$9:$DF$9,'Staff Daily sales'!$G680:$CD680))</f>
        <v>0</v>
      </c>
      <c r="P695">
        <f>IF($E695=0,0,SUMPRODUCT($AI$10:$DF$10,'Staff Daily sales'!$G680:$CD680))</f>
        <v>0</v>
      </c>
      <c r="Q695">
        <f>IF($E695=0,0,SUMPRODUCT($AI$11:$DF$11,'Staff Daily sales'!$G680:$CD680))</f>
        <v>0</v>
      </c>
      <c r="R695">
        <f>IF($E695=0,0,SUMPRODUCT($AI$12:$DF$12,'Staff Daily sales'!$G680:$CD680))</f>
        <v>0</v>
      </c>
      <c r="S695">
        <f>IF($E695=0,0,SUMPRODUCT($AI$13:$DF$13,'Staff Daily sales'!$G680:$CD680))</f>
        <v>0</v>
      </c>
      <c r="T695">
        <f>IF($E695=0,0,SUMPRODUCT($AI$14:$DF$14,'Staff Daily sales'!$G680:$CD680))</f>
        <v>0</v>
      </c>
      <c r="U695">
        <f>IF($E695=0,0,SUMPRODUCT($AI$15:$DF$15,'Staff Daily sales'!$G680:$CD680))</f>
        <v>0</v>
      </c>
      <c r="V695">
        <f>IF($E695=0,0,SUMPRODUCT($AI$16:$DF$16,'Staff Daily sales'!$G680:$CD680))</f>
        <v>0</v>
      </c>
      <c r="W695">
        <f t="shared" si="191"/>
        <v>0</v>
      </c>
      <c r="X695">
        <f t="shared" si="192"/>
        <v>0</v>
      </c>
      <c r="Y695">
        <f t="shared" si="193"/>
        <v>0</v>
      </c>
      <c r="Z695">
        <f t="shared" si="194"/>
        <v>0</v>
      </c>
      <c r="AA695">
        <f t="shared" si="195"/>
        <v>0</v>
      </c>
      <c r="AB695">
        <f>--AND($E695=1,OR('Staff Weekly Trend'!$B$3="All",$DH695='Staff Weekly Trend'!$B$3),OR('Staff Weekly Trend'!$B$4="All",$D695='Staff Weekly Trend'!$B$4),OR('Staff Weekly Trend'!$B$5="All",$A695='Staff Weekly Trend'!$B$5))</f>
        <v>0</v>
      </c>
      <c r="AC695" t="str">
        <f t="shared" si="196"/>
        <v/>
      </c>
      <c r="AI695">
        <f t="shared" si="197"/>
        <v>0</v>
      </c>
      <c r="AJ695">
        <f t="shared" si="198"/>
        <v>0</v>
      </c>
      <c r="AK695">
        <f t="shared" si="199"/>
        <v>0</v>
      </c>
      <c r="AL695">
        <f t="shared" si="200"/>
        <v>0</v>
      </c>
      <c r="AM695">
        <f t="shared" si="201"/>
        <v>0</v>
      </c>
      <c r="DH695" t="str" cm="1">
        <f t="array" ref="DH695">IF($A695="","",_xlfn.LET(_xlpm.c,IFERROR(_xlfn.XLOOKUP($A695,TRIM('Sales and count'!$A$4:$A$300&amp;""),TRIM('Sales and count'!$B$4:$B$300&amp;"")),""),IF(OR(_xlpm.c="",_xlpm.c="0",LEFT(_xlpm.c,1)="#"),"Not set",_xlpm.c)))</f>
        <v/>
      </c>
    </row>
    <row r="696" spans="1:112" x14ac:dyDescent="0.25">
      <c r="A696" t="str">
        <f>IF('Staff Daily sales'!$B681="","",TRIM('Staff Daily sales'!$B681&amp;""))</f>
        <v/>
      </c>
      <c r="B696" t="str">
        <f>IF('Staff Daily sales'!$D681="","",TRIM('Staff Daily sales'!$D681&amp;""))</f>
        <v/>
      </c>
      <c r="C696" t="str">
        <f>IFERROR(TRIM('Staff Daily sales'!$E681&amp;""),"")</f>
        <v/>
      </c>
      <c r="D696" t="str">
        <f>IFERROR(IF(TRIM('Staff Daily sales'!$F681&amp;"")="","Unassigned",TRIM('Staff Daily sales'!$F681&amp;"")),"Unassigned")</f>
        <v>Unassigned</v>
      </c>
      <c r="E696">
        <f t="shared" si="186"/>
        <v>0</v>
      </c>
      <c r="F696">
        <f>IF($E696=0,0,SUMPRODUCT($AI$5:$DF$5,'Staff Daily sales'!$G681:$CD681))</f>
        <v>0</v>
      </c>
      <c r="G696">
        <f>IF($E696=0,0,SUMPRODUCT($AI$6:$DF$6,'Staff Daily sales'!$G681:$CD681))</f>
        <v>0</v>
      </c>
      <c r="H696">
        <f t="shared" si="187"/>
        <v>0</v>
      </c>
      <c r="I696">
        <f t="shared" si="188"/>
        <v>0</v>
      </c>
      <c r="J696">
        <f t="shared" si="189"/>
        <v>0</v>
      </c>
      <c r="K696">
        <f t="shared" si="190"/>
        <v>0</v>
      </c>
      <c r="L696">
        <f>--AND($E696=1,OR('Staff Dashboard'!$B$6="All",$DH696='Staff Dashboard'!$B$6),OR('Staff Dashboard'!$B$7="All",$D696='Staff Dashboard'!$B$7),OR('Staff Dashboard'!$B$8="All",$A696='Staff Dashboard'!$B$8))</f>
        <v>0</v>
      </c>
      <c r="M696">
        <f>IF($E696=0,0,SUMPRODUCT($AI$7:$DF$7,'Staff Daily sales'!$G681:$CD681))</f>
        <v>0</v>
      </c>
      <c r="N696">
        <f>IF($E696=0,0,SUMPRODUCT($AI$8:$DF$8,'Staff Daily sales'!$G681:$CD681))</f>
        <v>0</v>
      </c>
      <c r="O696">
        <f>IF($E696=0,0,SUMPRODUCT($AI$9:$DF$9,'Staff Daily sales'!$G681:$CD681))</f>
        <v>0</v>
      </c>
      <c r="P696">
        <f>IF($E696=0,0,SUMPRODUCT($AI$10:$DF$10,'Staff Daily sales'!$G681:$CD681))</f>
        <v>0</v>
      </c>
      <c r="Q696">
        <f>IF($E696=0,0,SUMPRODUCT($AI$11:$DF$11,'Staff Daily sales'!$G681:$CD681))</f>
        <v>0</v>
      </c>
      <c r="R696">
        <f>IF($E696=0,0,SUMPRODUCT($AI$12:$DF$12,'Staff Daily sales'!$G681:$CD681))</f>
        <v>0</v>
      </c>
      <c r="S696">
        <f>IF($E696=0,0,SUMPRODUCT($AI$13:$DF$13,'Staff Daily sales'!$G681:$CD681))</f>
        <v>0</v>
      </c>
      <c r="T696">
        <f>IF($E696=0,0,SUMPRODUCT($AI$14:$DF$14,'Staff Daily sales'!$G681:$CD681))</f>
        <v>0</v>
      </c>
      <c r="U696">
        <f>IF($E696=0,0,SUMPRODUCT($AI$15:$DF$15,'Staff Daily sales'!$G681:$CD681))</f>
        <v>0</v>
      </c>
      <c r="V696">
        <f>IF($E696=0,0,SUMPRODUCT($AI$16:$DF$16,'Staff Daily sales'!$G681:$CD681))</f>
        <v>0</v>
      </c>
      <c r="W696">
        <f t="shared" si="191"/>
        <v>0</v>
      </c>
      <c r="X696">
        <f t="shared" si="192"/>
        <v>0</v>
      </c>
      <c r="Y696">
        <f t="shared" si="193"/>
        <v>0</v>
      </c>
      <c r="Z696">
        <f t="shared" si="194"/>
        <v>0</v>
      </c>
      <c r="AA696">
        <f t="shared" si="195"/>
        <v>0</v>
      </c>
      <c r="AB696">
        <f>--AND($E696=1,OR('Staff Weekly Trend'!$B$3="All",$DH696='Staff Weekly Trend'!$B$3),OR('Staff Weekly Trend'!$B$4="All",$D696='Staff Weekly Trend'!$B$4),OR('Staff Weekly Trend'!$B$5="All",$A696='Staff Weekly Trend'!$B$5))</f>
        <v>0</v>
      </c>
      <c r="AC696" t="str">
        <f t="shared" si="196"/>
        <v/>
      </c>
      <c r="AI696">
        <f t="shared" si="197"/>
        <v>0</v>
      </c>
      <c r="AJ696">
        <f t="shared" si="198"/>
        <v>0</v>
      </c>
      <c r="AK696">
        <f t="shared" si="199"/>
        <v>0</v>
      </c>
      <c r="AL696">
        <f t="shared" si="200"/>
        <v>0</v>
      </c>
      <c r="AM696">
        <f t="shared" si="201"/>
        <v>0</v>
      </c>
      <c r="DH696" t="str" cm="1">
        <f t="array" ref="DH696">IF($A696="","",_xlfn.LET(_xlpm.c,IFERROR(_xlfn.XLOOKUP($A696,TRIM('Sales and count'!$A$4:$A$300&amp;""),TRIM('Sales and count'!$B$4:$B$300&amp;"")),""),IF(OR(_xlpm.c="",_xlpm.c="0",LEFT(_xlpm.c,1)="#"),"Not set",_xlpm.c)))</f>
        <v/>
      </c>
    </row>
    <row r="697" spans="1:112" x14ac:dyDescent="0.25">
      <c r="A697" t="str">
        <f>IF('Staff Daily sales'!$B682="","",TRIM('Staff Daily sales'!$B682&amp;""))</f>
        <v/>
      </c>
      <c r="B697" t="str">
        <f>IF('Staff Daily sales'!$D682="","",TRIM('Staff Daily sales'!$D682&amp;""))</f>
        <v/>
      </c>
      <c r="C697" t="str">
        <f>IFERROR(TRIM('Staff Daily sales'!$E682&amp;""),"")</f>
        <v/>
      </c>
      <c r="D697" t="str">
        <f>IFERROR(IF(TRIM('Staff Daily sales'!$F682&amp;"")="","Unassigned",TRIM('Staff Daily sales'!$F682&amp;"")),"Unassigned")</f>
        <v>Unassigned</v>
      </c>
      <c r="E697">
        <f t="shared" si="186"/>
        <v>0</v>
      </c>
      <c r="F697">
        <f>IF($E697=0,0,SUMPRODUCT($AI$5:$DF$5,'Staff Daily sales'!$G682:$CD682))</f>
        <v>0</v>
      </c>
      <c r="G697">
        <f>IF($E697=0,0,SUMPRODUCT($AI$6:$DF$6,'Staff Daily sales'!$G682:$CD682))</f>
        <v>0</v>
      </c>
      <c r="H697">
        <f t="shared" si="187"/>
        <v>0</v>
      </c>
      <c r="I697">
        <f t="shared" si="188"/>
        <v>0</v>
      </c>
      <c r="J697">
        <f t="shared" si="189"/>
        <v>0</v>
      </c>
      <c r="K697">
        <f t="shared" si="190"/>
        <v>0</v>
      </c>
      <c r="L697">
        <f>--AND($E697=1,OR('Staff Dashboard'!$B$6="All",$DH697='Staff Dashboard'!$B$6),OR('Staff Dashboard'!$B$7="All",$D697='Staff Dashboard'!$B$7),OR('Staff Dashboard'!$B$8="All",$A697='Staff Dashboard'!$B$8))</f>
        <v>0</v>
      </c>
      <c r="M697">
        <f>IF($E697=0,0,SUMPRODUCT($AI$7:$DF$7,'Staff Daily sales'!$G682:$CD682))</f>
        <v>0</v>
      </c>
      <c r="N697">
        <f>IF($E697=0,0,SUMPRODUCT($AI$8:$DF$8,'Staff Daily sales'!$G682:$CD682))</f>
        <v>0</v>
      </c>
      <c r="O697">
        <f>IF($E697=0,0,SUMPRODUCT($AI$9:$DF$9,'Staff Daily sales'!$G682:$CD682))</f>
        <v>0</v>
      </c>
      <c r="P697">
        <f>IF($E697=0,0,SUMPRODUCT($AI$10:$DF$10,'Staff Daily sales'!$G682:$CD682))</f>
        <v>0</v>
      </c>
      <c r="Q697">
        <f>IF($E697=0,0,SUMPRODUCT($AI$11:$DF$11,'Staff Daily sales'!$G682:$CD682))</f>
        <v>0</v>
      </c>
      <c r="R697">
        <f>IF($E697=0,0,SUMPRODUCT($AI$12:$DF$12,'Staff Daily sales'!$G682:$CD682))</f>
        <v>0</v>
      </c>
      <c r="S697">
        <f>IF($E697=0,0,SUMPRODUCT($AI$13:$DF$13,'Staff Daily sales'!$G682:$CD682))</f>
        <v>0</v>
      </c>
      <c r="T697">
        <f>IF($E697=0,0,SUMPRODUCT($AI$14:$DF$14,'Staff Daily sales'!$G682:$CD682))</f>
        <v>0</v>
      </c>
      <c r="U697">
        <f>IF($E697=0,0,SUMPRODUCT($AI$15:$DF$15,'Staff Daily sales'!$G682:$CD682))</f>
        <v>0</v>
      </c>
      <c r="V697">
        <f>IF($E697=0,0,SUMPRODUCT($AI$16:$DF$16,'Staff Daily sales'!$G682:$CD682))</f>
        <v>0</v>
      </c>
      <c r="W697">
        <f t="shared" si="191"/>
        <v>0</v>
      </c>
      <c r="X697">
        <f t="shared" si="192"/>
        <v>0</v>
      </c>
      <c r="Y697">
        <f t="shared" si="193"/>
        <v>0</v>
      </c>
      <c r="Z697">
        <f t="shared" si="194"/>
        <v>0</v>
      </c>
      <c r="AA697">
        <f t="shared" si="195"/>
        <v>0</v>
      </c>
      <c r="AB697">
        <f>--AND($E697=1,OR('Staff Weekly Trend'!$B$3="All",$DH697='Staff Weekly Trend'!$B$3),OR('Staff Weekly Trend'!$B$4="All",$D697='Staff Weekly Trend'!$B$4),OR('Staff Weekly Trend'!$B$5="All",$A697='Staff Weekly Trend'!$B$5))</f>
        <v>0</v>
      </c>
      <c r="AC697" t="str">
        <f t="shared" si="196"/>
        <v/>
      </c>
      <c r="AI697">
        <f t="shared" si="197"/>
        <v>0</v>
      </c>
      <c r="AJ697">
        <f t="shared" si="198"/>
        <v>0</v>
      </c>
      <c r="AK697">
        <f t="shared" si="199"/>
        <v>0</v>
      </c>
      <c r="AL697">
        <f t="shared" si="200"/>
        <v>0</v>
      </c>
      <c r="AM697">
        <f t="shared" si="201"/>
        <v>0</v>
      </c>
      <c r="DH697" t="str" cm="1">
        <f t="array" ref="DH697">IF($A697="","",_xlfn.LET(_xlpm.c,IFERROR(_xlfn.XLOOKUP($A697,TRIM('Sales and count'!$A$4:$A$300&amp;""),TRIM('Sales and count'!$B$4:$B$300&amp;"")),""),IF(OR(_xlpm.c="",_xlpm.c="0",LEFT(_xlpm.c,1)="#"),"Not set",_xlpm.c)))</f>
        <v/>
      </c>
    </row>
    <row r="698" spans="1:112" x14ac:dyDescent="0.25">
      <c r="A698" t="str">
        <f>IF('Staff Daily sales'!$B683="","",TRIM('Staff Daily sales'!$B683&amp;""))</f>
        <v/>
      </c>
      <c r="B698" t="str">
        <f>IF('Staff Daily sales'!$D683="","",TRIM('Staff Daily sales'!$D683&amp;""))</f>
        <v/>
      </c>
      <c r="C698" t="str">
        <f>IFERROR(TRIM('Staff Daily sales'!$E683&amp;""),"")</f>
        <v/>
      </c>
      <c r="D698" t="str">
        <f>IFERROR(IF(TRIM('Staff Daily sales'!$F683&amp;"")="","Unassigned",TRIM('Staff Daily sales'!$F683&amp;"")),"Unassigned")</f>
        <v>Unassigned</v>
      </c>
      <c r="E698">
        <f t="shared" si="186"/>
        <v>0</v>
      </c>
      <c r="F698">
        <f>IF($E698=0,0,SUMPRODUCT($AI$5:$DF$5,'Staff Daily sales'!$G683:$CD683))</f>
        <v>0</v>
      </c>
      <c r="G698">
        <f>IF($E698=0,0,SUMPRODUCT($AI$6:$DF$6,'Staff Daily sales'!$G683:$CD683))</f>
        <v>0</v>
      </c>
      <c r="H698">
        <f t="shared" si="187"/>
        <v>0</v>
      </c>
      <c r="I698">
        <f t="shared" si="188"/>
        <v>0</v>
      </c>
      <c r="J698">
        <f t="shared" si="189"/>
        <v>0</v>
      </c>
      <c r="K698">
        <f t="shared" si="190"/>
        <v>0</v>
      </c>
      <c r="L698">
        <f>--AND($E698=1,OR('Staff Dashboard'!$B$6="All",$DH698='Staff Dashboard'!$B$6),OR('Staff Dashboard'!$B$7="All",$D698='Staff Dashboard'!$B$7),OR('Staff Dashboard'!$B$8="All",$A698='Staff Dashboard'!$B$8))</f>
        <v>0</v>
      </c>
      <c r="M698">
        <f>IF($E698=0,0,SUMPRODUCT($AI$7:$DF$7,'Staff Daily sales'!$G683:$CD683))</f>
        <v>0</v>
      </c>
      <c r="N698">
        <f>IF($E698=0,0,SUMPRODUCT($AI$8:$DF$8,'Staff Daily sales'!$G683:$CD683))</f>
        <v>0</v>
      </c>
      <c r="O698">
        <f>IF($E698=0,0,SUMPRODUCT($AI$9:$DF$9,'Staff Daily sales'!$G683:$CD683))</f>
        <v>0</v>
      </c>
      <c r="P698">
        <f>IF($E698=0,0,SUMPRODUCT($AI$10:$DF$10,'Staff Daily sales'!$G683:$CD683))</f>
        <v>0</v>
      </c>
      <c r="Q698">
        <f>IF($E698=0,0,SUMPRODUCT($AI$11:$DF$11,'Staff Daily sales'!$G683:$CD683))</f>
        <v>0</v>
      </c>
      <c r="R698">
        <f>IF($E698=0,0,SUMPRODUCT($AI$12:$DF$12,'Staff Daily sales'!$G683:$CD683))</f>
        <v>0</v>
      </c>
      <c r="S698">
        <f>IF($E698=0,0,SUMPRODUCT($AI$13:$DF$13,'Staff Daily sales'!$G683:$CD683))</f>
        <v>0</v>
      </c>
      <c r="T698">
        <f>IF($E698=0,0,SUMPRODUCT($AI$14:$DF$14,'Staff Daily sales'!$G683:$CD683))</f>
        <v>0</v>
      </c>
      <c r="U698">
        <f>IF($E698=0,0,SUMPRODUCT($AI$15:$DF$15,'Staff Daily sales'!$G683:$CD683))</f>
        <v>0</v>
      </c>
      <c r="V698">
        <f>IF($E698=0,0,SUMPRODUCT($AI$16:$DF$16,'Staff Daily sales'!$G683:$CD683))</f>
        <v>0</v>
      </c>
      <c r="W698">
        <f t="shared" si="191"/>
        <v>0</v>
      </c>
      <c r="X698">
        <f t="shared" si="192"/>
        <v>0</v>
      </c>
      <c r="Y698">
        <f t="shared" si="193"/>
        <v>0</v>
      </c>
      <c r="Z698">
        <f t="shared" si="194"/>
        <v>0</v>
      </c>
      <c r="AA698">
        <f t="shared" si="195"/>
        <v>0</v>
      </c>
      <c r="AB698">
        <f>--AND($E698=1,OR('Staff Weekly Trend'!$B$3="All",$DH698='Staff Weekly Trend'!$B$3),OR('Staff Weekly Trend'!$B$4="All",$D698='Staff Weekly Trend'!$B$4),OR('Staff Weekly Trend'!$B$5="All",$A698='Staff Weekly Trend'!$B$5))</f>
        <v>0</v>
      </c>
      <c r="AC698" t="str">
        <f t="shared" si="196"/>
        <v/>
      </c>
      <c r="AI698">
        <f t="shared" si="197"/>
        <v>0</v>
      </c>
      <c r="AJ698">
        <f t="shared" si="198"/>
        <v>0</v>
      </c>
      <c r="AK698">
        <f t="shared" si="199"/>
        <v>0</v>
      </c>
      <c r="AL698">
        <f t="shared" si="200"/>
        <v>0</v>
      </c>
      <c r="AM698">
        <f t="shared" si="201"/>
        <v>0</v>
      </c>
      <c r="DH698" t="str" cm="1">
        <f t="array" ref="DH698">IF($A698="","",_xlfn.LET(_xlpm.c,IFERROR(_xlfn.XLOOKUP($A698,TRIM('Sales and count'!$A$4:$A$300&amp;""),TRIM('Sales and count'!$B$4:$B$300&amp;"")),""),IF(OR(_xlpm.c="",_xlpm.c="0",LEFT(_xlpm.c,1)="#"),"Not set",_xlpm.c)))</f>
        <v/>
      </c>
    </row>
    <row r="699" spans="1:112" x14ac:dyDescent="0.25">
      <c r="A699" t="str">
        <f>IF('Staff Daily sales'!$B684="","",TRIM('Staff Daily sales'!$B684&amp;""))</f>
        <v/>
      </c>
      <c r="B699" t="str">
        <f>IF('Staff Daily sales'!$D684="","",TRIM('Staff Daily sales'!$D684&amp;""))</f>
        <v/>
      </c>
      <c r="C699" t="str">
        <f>IFERROR(TRIM('Staff Daily sales'!$E684&amp;""),"")</f>
        <v/>
      </c>
      <c r="D699" t="str">
        <f>IFERROR(IF(TRIM('Staff Daily sales'!$F684&amp;"")="","Unassigned",TRIM('Staff Daily sales'!$F684&amp;"")),"Unassigned")</f>
        <v>Unassigned</v>
      </c>
      <c r="E699">
        <f t="shared" si="186"/>
        <v>0</v>
      </c>
      <c r="F699">
        <f>IF($E699=0,0,SUMPRODUCT($AI$5:$DF$5,'Staff Daily sales'!$G684:$CD684))</f>
        <v>0</v>
      </c>
      <c r="G699">
        <f>IF($E699=0,0,SUMPRODUCT($AI$6:$DF$6,'Staff Daily sales'!$G684:$CD684))</f>
        <v>0</v>
      </c>
      <c r="H699">
        <f t="shared" si="187"/>
        <v>0</v>
      </c>
      <c r="I699">
        <f t="shared" si="188"/>
        <v>0</v>
      </c>
      <c r="J699">
        <f t="shared" si="189"/>
        <v>0</v>
      </c>
      <c r="K699">
        <f t="shared" si="190"/>
        <v>0</v>
      </c>
      <c r="L699">
        <f>--AND($E699=1,OR('Staff Dashboard'!$B$6="All",$DH699='Staff Dashboard'!$B$6),OR('Staff Dashboard'!$B$7="All",$D699='Staff Dashboard'!$B$7),OR('Staff Dashboard'!$B$8="All",$A699='Staff Dashboard'!$B$8))</f>
        <v>0</v>
      </c>
      <c r="M699">
        <f>IF($E699=0,0,SUMPRODUCT($AI$7:$DF$7,'Staff Daily sales'!$G684:$CD684))</f>
        <v>0</v>
      </c>
      <c r="N699">
        <f>IF($E699=0,0,SUMPRODUCT($AI$8:$DF$8,'Staff Daily sales'!$G684:$CD684))</f>
        <v>0</v>
      </c>
      <c r="O699">
        <f>IF($E699=0,0,SUMPRODUCT($AI$9:$DF$9,'Staff Daily sales'!$G684:$CD684))</f>
        <v>0</v>
      </c>
      <c r="P699">
        <f>IF($E699=0,0,SUMPRODUCT($AI$10:$DF$10,'Staff Daily sales'!$G684:$CD684))</f>
        <v>0</v>
      </c>
      <c r="Q699">
        <f>IF($E699=0,0,SUMPRODUCT($AI$11:$DF$11,'Staff Daily sales'!$G684:$CD684))</f>
        <v>0</v>
      </c>
      <c r="R699">
        <f>IF($E699=0,0,SUMPRODUCT($AI$12:$DF$12,'Staff Daily sales'!$G684:$CD684))</f>
        <v>0</v>
      </c>
      <c r="S699">
        <f>IF($E699=0,0,SUMPRODUCT($AI$13:$DF$13,'Staff Daily sales'!$G684:$CD684))</f>
        <v>0</v>
      </c>
      <c r="T699">
        <f>IF($E699=0,0,SUMPRODUCT($AI$14:$DF$14,'Staff Daily sales'!$G684:$CD684))</f>
        <v>0</v>
      </c>
      <c r="U699">
        <f>IF($E699=0,0,SUMPRODUCT($AI$15:$DF$15,'Staff Daily sales'!$G684:$CD684))</f>
        <v>0</v>
      </c>
      <c r="V699">
        <f>IF($E699=0,0,SUMPRODUCT($AI$16:$DF$16,'Staff Daily sales'!$G684:$CD684))</f>
        <v>0</v>
      </c>
      <c r="W699">
        <f t="shared" si="191"/>
        <v>0</v>
      </c>
      <c r="X699">
        <f t="shared" si="192"/>
        <v>0</v>
      </c>
      <c r="Y699">
        <f t="shared" si="193"/>
        <v>0</v>
      </c>
      <c r="Z699">
        <f t="shared" si="194"/>
        <v>0</v>
      </c>
      <c r="AA699">
        <f t="shared" si="195"/>
        <v>0</v>
      </c>
      <c r="AB699">
        <f>--AND($E699=1,OR('Staff Weekly Trend'!$B$3="All",$DH699='Staff Weekly Trend'!$B$3),OR('Staff Weekly Trend'!$B$4="All",$D699='Staff Weekly Trend'!$B$4),OR('Staff Weekly Trend'!$B$5="All",$A699='Staff Weekly Trend'!$B$5))</f>
        <v>0</v>
      </c>
      <c r="AC699" t="str">
        <f t="shared" si="196"/>
        <v/>
      </c>
      <c r="AI699">
        <f t="shared" si="197"/>
        <v>0</v>
      </c>
      <c r="AJ699">
        <f t="shared" si="198"/>
        <v>0</v>
      </c>
      <c r="AK699">
        <f t="shared" si="199"/>
        <v>0</v>
      </c>
      <c r="AL699">
        <f t="shared" si="200"/>
        <v>0</v>
      </c>
      <c r="AM699">
        <f t="shared" si="201"/>
        <v>0</v>
      </c>
      <c r="DH699" t="str" cm="1">
        <f t="array" ref="DH699">IF($A699="","",_xlfn.LET(_xlpm.c,IFERROR(_xlfn.XLOOKUP($A699,TRIM('Sales and count'!$A$4:$A$300&amp;""),TRIM('Sales and count'!$B$4:$B$300&amp;"")),""),IF(OR(_xlpm.c="",_xlpm.c="0",LEFT(_xlpm.c,1)="#"),"Not set",_xlpm.c)))</f>
        <v/>
      </c>
    </row>
    <row r="700" spans="1:112" x14ac:dyDescent="0.25">
      <c r="A700" t="str">
        <f>IF('Staff Daily sales'!$B685="","",TRIM('Staff Daily sales'!$B685&amp;""))</f>
        <v/>
      </c>
      <c r="B700" t="str">
        <f>IF('Staff Daily sales'!$D685="","",TRIM('Staff Daily sales'!$D685&amp;""))</f>
        <v/>
      </c>
      <c r="C700" t="str">
        <f>IFERROR(TRIM('Staff Daily sales'!$E685&amp;""),"")</f>
        <v/>
      </c>
      <c r="D700" t="str">
        <f>IFERROR(IF(TRIM('Staff Daily sales'!$F685&amp;"")="","Unassigned",TRIM('Staff Daily sales'!$F685&amp;"")),"Unassigned")</f>
        <v>Unassigned</v>
      </c>
      <c r="E700">
        <f t="shared" si="186"/>
        <v>0</v>
      </c>
      <c r="F700">
        <f>IF($E700=0,0,SUMPRODUCT($AI$5:$DF$5,'Staff Daily sales'!$G685:$CD685))</f>
        <v>0</v>
      </c>
      <c r="G700">
        <f>IF($E700=0,0,SUMPRODUCT($AI$6:$DF$6,'Staff Daily sales'!$G685:$CD685))</f>
        <v>0</v>
      </c>
      <c r="H700">
        <f t="shared" si="187"/>
        <v>0</v>
      </c>
      <c r="I700">
        <f t="shared" si="188"/>
        <v>0</v>
      </c>
      <c r="J700">
        <f t="shared" si="189"/>
        <v>0</v>
      </c>
      <c r="K700">
        <f t="shared" si="190"/>
        <v>0</v>
      </c>
      <c r="L700">
        <f>--AND($E700=1,OR('Staff Dashboard'!$B$6="All",$DH700='Staff Dashboard'!$B$6),OR('Staff Dashboard'!$B$7="All",$D700='Staff Dashboard'!$B$7),OR('Staff Dashboard'!$B$8="All",$A700='Staff Dashboard'!$B$8))</f>
        <v>0</v>
      </c>
      <c r="M700">
        <f>IF($E700=0,0,SUMPRODUCT($AI$7:$DF$7,'Staff Daily sales'!$G685:$CD685))</f>
        <v>0</v>
      </c>
      <c r="N700">
        <f>IF($E700=0,0,SUMPRODUCT($AI$8:$DF$8,'Staff Daily sales'!$G685:$CD685))</f>
        <v>0</v>
      </c>
      <c r="O700">
        <f>IF($E700=0,0,SUMPRODUCT($AI$9:$DF$9,'Staff Daily sales'!$G685:$CD685))</f>
        <v>0</v>
      </c>
      <c r="P700">
        <f>IF($E700=0,0,SUMPRODUCT($AI$10:$DF$10,'Staff Daily sales'!$G685:$CD685))</f>
        <v>0</v>
      </c>
      <c r="Q700">
        <f>IF($E700=0,0,SUMPRODUCT($AI$11:$DF$11,'Staff Daily sales'!$G685:$CD685))</f>
        <v>0</v>
      </c>
      <c r="R700">
        <f>IF($E700=0,0,SUMPRODUCT($AI$12:$DF$12,'Staff Daily sales'!$G685:$CD685))</f>
        <v>0</v>
      </c>
      <c r="S700">
        <f>IF($E700=0,0,SUMPRODUCT($AI$13:$DF$13,'Staff Daily sales'!$G685:$CD685))</f>
        <v>0</v>
      </c>
      <c r="T700">
        <f>IF($E700=0,0,SUMPRODUCT($AI$14:$DF$14,'Staff Daily sales'!$G685:$CD685))</f>
        <v>0</v>
      </c>
      <c r="U700">
        <f>IF($E700=0,0,SUMPRODUCT($AI$15:$DF$15,'Staff Daily sales'!$G685:$CD685))</f>
        <v>0</v>
      </c>
      <c r="V700">
        <f>IF($E700=0,0,SUMPRODUCT($AI$16:$DF$16,'Staff Daily sales'!$G685:$CD685))</f>
        <v>0</v>
      </c>
      <c r="W700">
        <f t="shared" si="191"/>
        <v>0</v>
      </c>
      <c r="X700">
        <f t="shared" si="192"/>
        <v>0</v>
      </c>
      <c r="Y700">
        <f t="shared" si="193"/>
        <v>0</v>
      </c>
      <c r="Z700">
        <f t="shared" si="194"/>
        <v>0</v>
      </c>
      <c r="AA700">
        <f t="shared" si="195"/>
        <v>0</v>
      </c>
      <c r="AB700">
        <f>--AND($E700=1,OR('Staff Weekly Trend'!$B$3="All",$DH700='Staff Weekly Trend'!$B$3),OR('Staff Weekly Trend'!$B$4="All",$D700='Staff Weekly Trend'!$B$4),OR('Staff Weekly Trend'!$B$5="All",$A700='Staff Weekly Trend'!$B$5))</f>
        <v>0</v>
      </c>
      <c r="AC700" t="str">
        <f t="shared" si="196"/>
        <v/>
      </c>
      <c r="AI700">
        <f t="shared" si="197"/>
        <v>0</v>
      </c>
      <c r="AJ700">
        <f t="shared" si="198"/>
        <v>0</v>
      </c>
      <c r="AK700">
        <f t="shared" si="199"/>
        <v>0</v>
      </c>
      <c r="AL700">
        <f t="shared" si="200"/>
        <v>0</v>
      </c>
      <c r="AM700">
        <f t="shared" si="201"/>
        <v>0</v>
      </c>
      <c r="DH700" t="str" cm="1">
        <f t="array" ref="DH700">IF($A700="","",_xlfn.LET(_xlpm.c,IFERROR(_xlfn.XLOOKUP($A700,TRIM('Sales and count'!$A$4:$A$300&amp;""),TRIM('Sales and count'!$B$4:$B$300&amp;"")),""),IF(OR(_xlpm.c="",_xlpm.c="0",LEFT(_xlpm.c,1)="#"),"Not set",_xlpm.c)))</f>
        <v/>
      </c>
    </row>
    <row r="701" spans="1:112" x14ac:dyDescent="0.25">
      <c r="A701" t="str">
        <f>IF('Staff Daily sales'!$B686="","",TRIM('Staff Daily sales'!$B686&amp;""))</f>
        <v/>
      </c>
      <c r="B701" t="str">
        <f>IF('Staff Daily sales'!$D686="","",TRIM('Staff Daily sales'!$D686&amp;""))</f>
        <v/>
      </c>
      <c r="C701" t="str">
        <f>IFERROR(TRIM('Staff Daily sales'!$E686&amp;""),"")</f>
        <v/>
      </c>
      <c r="D701" t="str">
        <f>IFERROR(IF(TRIM('Staff Daily sales'!$F686&amp;"")="","Unassigned",TRIM('Staff Daily sales'!$F686&amp;"")),"Unassigned")</f>
        <v>Unassigned</v>
      </c>
      <c r="E701">
        <f t="shared" si="186"/>
        <v>0</v>
      </c>
      <c r="F701">
        <f>IF($E701=0,0,SUMPRODUCT($AI$5:$DF$5,'Staff Daily sales'!$G686:$CD686))</f>
        <v>0</v>
      </c>
      <c r="G701">
        <f>IF($E701=0,0,SUMPRODUCT($AI$6:$DF$6,'Staff Daily sales'!$G686:$CD686))</f>
        <v>0</v>
      </c>
      <c r="H701">
        <f t="shared" si="187"/>
        <v>0</v>
      </c>
      <c r="I701">
        <f t="shared" si="188"/>
        <v>0</v>
      </c>
      <c r="J701">
        <f t="shared" si="189"/>
        <v>0</v>
      </c>
      <c r="K701">
        <f t="shared" si="190"/>
        <v>0</v>
      </c>
      <c r="L701">
        <f>--AND($E701=1,OR('Staff Dashboard'!$B$6="All",$DH701='Staff Dashboard'!$B$6),OR('Staff Dashboard'!$B$7="All",$D701='Staff Dashboard'!$B$7),OR('Staff Dashboard'!$B$8="All",$A701='Staff Dashboard'!$B$8))</f>
        <v>0</v>
      </c>
      <c r="M701">
        <f>IF($E701=0,0,SUMPRODUCT($AI$7:$DF$7,'Staff Daily sales'!$G686:$CD686))</f>
        <v>0</v>
      </c>
      <c r="N701">
        <f>IF($E701=0,0,SUMPRODUCT($AI$8:$DF$8,'Staff Daily sales'!$G686:$CD686))</f>
        <v>0</v>
      </c>
      <c r="O701">
        <f>IF($E701=0,0,SUMPRODUCT($AI$9:$DF$9,'Staff Daily sales'!$G686:$CD686))</f>
        <v>0</v>
      </c>
      <c r="P701">
        <f>IF($E701=0,0,SUMPRODUCT($AI$10:$DF$10,'Staff Daily sales'!$G686:$CD686))</f>
        <v>0</v>
      </c>
      <c r="Q701">
        <f>IF($E701=0,0,SUMPRODUCT($AI$11:$DF$11,'Staff Daily sales'!$G686:$CD686))</f>
        <v>0</v>
      </c>
      <c r="R701">
        <f>IF($E701=0,0,SUMPRODUCT($AI$12:$DF$12,'Staff Daily sales'!$G686:$CD686))</f>
        <v>0</v>
      </c>
      <c r="S701">
        <f>IF($E701=0,0,SUMPRODUCT($AI$13:$DF$13,'Staff Daily sales'!$G686:$CD686))</f>
        <v>0</v>
      </c>
      <c r="T701">
        <f>IF($E701=0,0,SUMPRODUCT($AI$14:$DF$14,'Staff Daily sales'!$G686:$CD686))</f>
        <v>0</v>
      </c>
      <c r="U701">
        <f>IF($E701=0,0,SUMPRODUCT($AI$15:$DF$15,'Staff Daily sales'!$G686:$CD686))</f>
        <v>0</v>
      </c>
      <c r="V701">
        <f>IF($E701=0,0,SUMPRODUCT($AI$16:$DF$16,'Staff Daily sales'!$G686:$CD686))</f>
        <v>0</v>
      </c>
      <c r="W701">
        <f t="shared" si="191"/>
        <v>0</v>
      </c>
      <c r="X701">
        <f t="shared" si="192"/>
        <v>0</v>
      </c>
      <c r="Y701">
        <f t="shared" si="193"/>
        <v>0</v>
      </c>
      <c r="Z701">
        <f t="shared" si="194"/>
        <v>0</v>
      </c>
      <c r="AA701">
        <f t="shared" si="195"/>
        <v>0</v>
      </c>
      <c r="AB701">
        <f>--AND($E701=1,OR('Staff Weekly Trend'!$B$3="All",$DH701='Staff Weekly Trend'!$B$3),OR('Staff Weekly Trend'!$B$4="All",$D701='Staff Weekly Trend'!$B$4),OR('Staff Weekly Trend'!$B$5="All",$A701='Staff Weekly Trend'!$B$5))</f>
        <v>0</v>
      </c>
      <c r="AC701" t="str">
        <f t="shared" si="196"/>
        <v/>
      </c>
      <c r="AI701">
        <f t="shared" si="197"/>
        <v>0</v>
      </c>
      <c r="AJ701">
        <f t="shared" si="198"/>
        <v>0</v>
      </c>
      <c r="AK701">
        <f t="shared" si="199"/>
        <v>0</v>
      </c>
      <c r="AL701">
        <f t="shared" si="200"/>
        <v>0</v>
      </c>
      <c r="AM701">
        <f t="shared" si="201"/>
        <v>0</v>
      </c>
      <c r="DH701" t="str" cm="1">
        <f t="array" ref="DH701">IF($A701="","",_xlfn.LET(_xlpm.c,IFERROR(_xlfn.XLOOKUP($A701,TRIM('Sales and count'!$A$4:$A$300&amp;""),TRIM('Sales and count'!$B$4:$B$300&amp;"")),""),IF(OR(_xlpm.c="",_xlpm.c="0",LEFT(_xlpm.c,1)="#"),"Not set",_xlpm.c)))</f>
        <v/>
      </c>
    </row>
    <row r="702" spans="1:112" x14ac:dyDescent="0.25">
      <c r="A702" t="str">
        <f>IF('Staff Daily sales'!$B687="","",TRIM('Staff Daily sales'!$B687&amp;""))</f>
        <v/>
      </c>
      <c r="B702" t="str">
        <f>IF('Staff Daily sales'!$D687="","",TRIM('Staff Daily sales'!$D687&amp;""))</f>
        <v/>
      </c>
      <c r="C702" t="str">
        <f>IFERROR(TRIM('Staff Daily sales'!$E687&amp;""),"")</f>
        <v/>
      </c>
      <c r="D702" t="str">
        <f>IFERROR(IF(TRIM('Staff Daily sales'!$F687&amp;"")="","Unassigned",TRIM('Staff Daily sales'!$F687&amp;"")),"Unassigned")</f>
        <v>Unassigned</v>
      </c>
      <c r="E702">
        <f t="shared" si="186"/>
        <v>0</v>
      </c>
      <c r="F702">
        <f>IF($E702=0,0,SUMPRODUCT($AI$5:$DF$5,'Staff Daily sales'!$G687:$CD687))</f>
        <v>0</v>
      </c>
      <c r="G702">
        <f>IF($E702=0,0,SUMPRODUCT($AI$6:$DF$6,'Staff Daily sales'!$G687:$CD687))</f>
        <v>0</v>
      </c>
      <c r="H702">
        <f t="shared" si="187"/>
        <v>0</v>
      </c>
      <c r="I702">
        <f t="shared" si="188"/>
        <v>0</v>
      </c>
      <c r="J702">
        <f t="shared" si="189"/>
        <v>0</v>
      </c>
      <c r="K702">
        <f t="shared" si="190"/>
        <v>0</v>
      </c>
      <c r="L702">
        <f>--AND($E702=1,OR('Staff Dashboard'!$B$6="All",$DH702='Staff Dashboard'!$B$6),OR('Staff Dashboard'!$B$7="All",$D702='Staff Dashboard'!$B$7),OR('Staff Dashboard'!$B$8="All",$A702='Staff Dashboard'!$B$8))</f>
        <v>0</v>
      </c>
      <c r="M702">
        <f>IF($E702=0,0,SUMPRODUCT($AI$7:$DF$7,'Staff Daily sales'!$G687:$CD687))</f>
        <v>0</v>
      </c>
      <c r="N702">
        <f>IF($E702=0,0,SUMPRODUCT($AI$8:$DF$8,'Staff Daily sales'!$G687:$CD687))</f>
        <v>0</v>
      </c>
      <c r="O702">
        <f>IF($E702=0,0,SUMPRODUCT($AI$9:$DF$9,'Staff Daily sales'!$G687:$CD687))</f>
        <v>0</v>
      </c>
      <c r="P702">
        <f>IF($E702=0,0,SUMPRODUCT($AI$10:$DF$10,'Staff Daily sales'!$G687:$CD687))</f>
        <v>0</v>
      </c>
      <c r="Q702">
        <f>IF($E702=0,0,SUMPRODUCT($AI$11:$DF$11,'Staff Daily sales'!$G687:$CD687))</f>
        <v>0</v>
      </c>
      <c r="R702">
        <f>IF($E702=0,0,SUMPRODUCT($AI$12:$DF$12,'Staff Daily sales'!$G687:$CD687))</f>
        <v>0</v>
      </c>
      <c r="S702">
        <f>IF($E702=0,0,SUMPRODUCT($AI$13:$DF$13,'Staff Daily sales'!$G687:$CD687))</f>
        <v>0</v>
      </c>
      <c r="T702">
        <f>IF($E702=0,0,SUMPRODUCT($AI$14:$DF$14,'Staff Daily sales'!$G687:$CD687))</f>
        <v>0</v>
      </c>
      <c r="U702">
        <f>IF($E702=0,0,SUMPRODUCT($AI$15:$DF$15,'Staff Daily sales'!$G687:$CD687))</f>
        <v>0</v>
      </c>
      <c r="V702">
        <f>IF($E702=0,0,SUMPRODUCT($AI$16:$DF$16,'Staff Daily sales'!$G687:$CD687))</f>
        <v>0</v>
      </c>
      <c r="W702">
        <f t="shared" si="191"/>
        <v>0</v>
      </c>
      <c r="X702">
        <f t="shared" si="192"/>
        <v>0</v>
      </c>
      <c r="Y702">
        <f t="shared" si="193"/>
        <v>0</v>
      </c>
      <c r="Z702">
        <f t="shared" si="194"/>
        <v>0</v>
      </c>
      <c r="AA702">
        <f t="shared" si="195"/>
        <v>0</v>
      </c>
      <c r="AB702">
        <f>--AND($E702=1,OR('Staff Weekly Trend'!$B$3="All",$DH702='Staff Weekly Trend'!$B$3),OR('Staff Weekly Trend'!$B$4="All",$D702='Staff Weekly Trend'!$B$4),OR('Staff Weekly Trend'!$B$5="All",$A702='Staff Weekly Trend'!$B$5))</f>
        <v>0</v>
      </c>
      <c r="AC702" t="str">
        <f t="shared" si="196"/>
        <v/>
      </c>
      <c r="AI702">
        <f t="shared" si="197"/>
        <v>0</v>
      </c>
      <c r="AJ702">
        <f t="shared" si="198"/>
        <v>0</v>
      </c>
      <c r="AK702">
        <f t="shared" si="199"/>
        <v>0</v>
      </c>
      <c r="AL702">
        <f t="shared" si="200"/>
        <v>0</v>
      </c>
      <c r="AM702">
        <f t="shared" si="201"/>
        <v>0</v>
      </c>
      <c r="DH702" t="str" cm="1">
        <f t="array" ref="DH702">IF($A702="","",_xlfn.LET(_xlpm.c,IFERROR(_xlfn.XLOOKUP($A702,TRIM('Sales and count'!$A$4:$A$300&amp;""),TRIM('Sales and count'!$B$4:$B$300&amp;"")),""),IF(OR(_xlpm.c="",_xlpm.c="0",LEFT(_xlpm.c,1)="#"),"Not set",_xlpm.c)))</f>
        <v/>
      </c>
    </row>
    <row r="703" spans="1:112" x14ac:dyDescent="0.25">
      <c r="A703" t="str">
        <f>IF('Staff Daily sales'!$B688="","",TRIM('Staff Daily sales'!$B688&amp;""))</f>
        <v/>
      </c>
      <c r="B703" t="str">
        <f>IF('Staff Daily sales'!$D688="","",TRIM('Staff Daily sales'!$D688&amp;""))</f>
        <v/>
      </c>
      <c r="C703" t="str">
        <f>IFERROR(TRIM('Staff Daily sales'!$E688&amp;""),"")</f>
        <v/>
      </c>
      <c r="D703" t="str">
        <f>IFERROR(IF(TRIM('Staff Daily sales'!$F688&amp;"")="","Unassigned",TRIM('Staff Daily sales'!$F688&amp;"")),"Unassigned")</f>
        <v>Unassigned</v>
      </c>
      <c r="E703">
        <f t="shared" si="186"/>
        <v>0</v>
      </c>
      <c r="F703">
        <f>IF($E703=0,0,SUMPRODUCT($AI$5:$DF$5,'Staff Daily sales'!$G688:$CD688))</f>
        <v>0</v>
      </c>
      <c r="G703">
        <f>IF($E703=0,0,SUMPRODUCT($AI$6:$DF$6,'Staff Daily sales'!$G688:$CD688))</f>
        <v>0</v>
      </c>
      <c r="H703">
        <f t="shared" si="187"/>
        <v>0</v>
      </c>
      <c r="I703">
        <f t="shared" si="188"/>
        <v>0</v>
      </c>
      <c r="J703">
        <f t="shared" si="189"/>
        <v>0</v>
      </c>
      <c r="K703">
        <f t="shared" si="190"/>
        <v>0</v>
      </c>
      <c r="L703">
        <f>--AND($E703=1,OR('Staff Dashboard'!$B$6="All",$DH703='Staff Dashboard'!$B$6),OR('Staff Dashboard'!$B$7="All",$D703='Staff Dashboard'!$B$7),OR('Staff Dashboard'!$B$8="All",$A703='Staff Dashboard'!$B$8))</f>
        <v>0</v>
      </c>
      <c r="M703">
        <f>IF($E703=0,0,SUMPRODUCT($AI$7:$DF$7,'Staff Daily sales'!$G688:$CD688))</f>
        <v>0</v>
      </c>
      <c r="N703">
        <f>IF($E703=0,0,SUMPRODUCT($AI$8:$DF$8,'Staff Daily sales'!$G688:$CD688))</f>
        <v>0</v>
      </c>
      <c r="O703">
        <f>IF($E703=0,0,SUMPRODUCT($AI$9:$DF$9,'Staff Daily sales'!$G688:$CD688))</f>
        <v>0</v>
      </c>
      <c r="P703">
        <f>IF($E703=0,0,SUMPRODUCT($AI$10:$DF$10,'Staff Daily sales'!$G688:$CD688))</f>
        <v>0</v>
      </c>
      <c r="Q703">
        <f>IF($E703=0,0,SUMPRODUCT($AI$11:$DF$11,'Staff Daily sales'!$G688:$CD688))</f>
        <v>0</v>
      </c>
      <c r="R703">
        <f>IF($E703=0,0,SUMPRODUCT($AI$12:$DF$12,'Staff Daily sales'!$G688:$CD688))</f>
        <v>0</v>
      </c>
      <c r="S703">
        <f>IF($E703=0,0,SUMPRODUCT($AI$13:$DF$13,'Staff Daily sales'!$G688:$CD688))</f>
        <v>0</v>
      </c>
      <c r="T703">
        <f>IF($E703=0,0,SUMPRODUCT($AI$14:$DF$14,'Staff Daily sales'!$G688:$CD688))</f>
        <v>0</v>
      </c>
      <c r="U703">
        <f>IF($E703=0,0,SUMPRODUCT($AI$15:$DF$15,'Staff Daily sales'!$G688:$CD688))</f>
        <v>0</v>
      </c>
      <c r="V703">
        <f>IF($E703=0,0,SUMPRODUCT($AI$16:$DF$16,'Staff Daily sales'!$G688:$CD688))</f>
        <v>0</v>
      </c>
      <c r="W703">
        <f t="shared" si="191"/>
        <v>0</v>
      </c>
      <c r="X703">
        <f t="shared" si="192"/>
        <v>0</v>
      </c>
      <c r="Y703">
        <f t="shared" si="193"/>
        <v>0</v>
      </c>
      <c r="Z703">
        <f t="shared" si="194"/>
        <v>0</v>
      </c>
      <c r="AA703">
        <f t="shared" si="195"/>
        <v>0</v>
      </c>
      <c r="AB703">
        <f>--AND($E703=1,OR('Staff Weekly Trend'!$B$3="All",$DH703='Staff Weekly Trend'!$B$3),OR('Staff Weekly Trend'!$B$4="All",$D703='Staff Weekly Trend'!$B$4),OR('Staff Weekly Trend'!$B$5="All",$A703='Staff Weekly Trend'!$B$5))</f>
        <v>0</v>
      </c>
      <c r="AC703" t="str">
        <f t="shared" si="196"/>
        <v/>
      </c>
      <c r="AI703">
        <f t="shared" si="197"/>
        <v>0</v>
      </c>
      <c r="AJ703">
        <f t="shared" si="198"/>
        <v>0</v>
      </c>
      <c r="AK703">
        <f t="shared" si="199"/>
        <v>0</v>
      </c>
      <c r="AL703">
        <f t="shared" si="200"/>
        <v>0</v>
      </c>
      <c r="AM703">
        <f t="shared" si="201"/>
        <v>0</v>
      </c>
      <c r="DH703" t="str" cm="1">
        <f t="array" ref="DH703">IF($A703="","",_xlfn.LET(_xlpm.c,IFERROR(_xlfn.XLOOKUP($A703,TRIM('Sales and count'!$A$4:$A$300&amp;""),TRIM('Sales and count'!$B$4:$B$300&amp;"")),""),IF(OR(_xlpm.c="",_xlpm.c="0",LEFT(_xlpm.c,1)="#"),"Not set",_xlpm.c)))</f>
        <v/>
      </c>
    </row>
    <row r="704" spans="1:112" x14ac:dyDescent="0.25">
      <c r="A704" t="str">
        <f>IF('Staff Daily sales'!$B689="","",TRIM('Staff Daily sales'!$B689&amp;""))</f>
        <v/>
      </c>
      <c r="B704" t="str">
        <f>IF('Staff Daily sales'!$D689="","",TRIM('Staff Daily sales'!$D689&amp;""))</f>
        <v/>
      </c>
      <c r="C704" t="str">
        <f>IFERROR(TRIM('Staff Daily sales'!$E689&amp;""),"")</f>
        <v/>
      </c>
      <c r="D704" t="str">
        <f>IFERROR(IF(TRIM('Staff Daily sales'!$F689&amp;"")="","Unassigned",TRIM('Staff Daily sales'!$F689&amp;"")),"Unassigned")</f>
        <v>Unassigned</v>
      </c>
      <c r="E704">
        <f t="shared" si="186"/>
        <v>0</v>
      </c>
      <c r="F704">
        <f>IF($E704=0,0,SUMPRODUCT($AI$5:$DF$5,'Staff Daily sales'!$G689:$CD689))</f>
        <v>0</v>
      </c>
      <c r="G704">
        <f>IF($E704=0,0,SUMPRODUCT($AI$6:$DF$6,'Staff Daily sales'!$G689:$CD689))</f>
        <v>0</v>
      </c>
      <c r="H704">
        <f t="shared" si="187"/>
        <v>0</v>
      </c>
      <c r="I704">
        <f t="shared" si="188"/>
        <v>0</v>
      </c>
      <c r="J704">
        <f t="shared" si="189"/>
        <v>0</v>
      </c>
      <c r="K704">
        <f t="shared" si="190"/>
        <v>0</v>
      </c>
      <c r="L704">
        <f>--AND($E704=1,OR('Staff Dashboard'!$B$6="All",$DH704='Staff Dashboard'!$B$6),OR('Staff Dashboard'!$B$7="All",$D704='Staff Dashboard'!$B$7),OR('Staff Dashboard'!$B$8="All",$A704='Staff Dashboard'!$B$8))</f>
        <v>0</v>
      </c>
      <c r="M704">
        <f>IF($E704=0,0,SUMPRODUCT($AI$7:$DF$7,'Staff Daily sales'!$G689:$CD689))</f>
        <v>0</v>
      </c>
      <c r="N704">
        <f>IF($E704=0,0,SUMPRODUCT($AI$8:$DF$8,'Staff Daily sales'!$G689:$CD689))</f>
        <v>0</v>
      </c>
      <c r="O704">
        <f>IF($E704=0,0,SUMPRODUCT($AI$9:$DF$9,'Staff Daily sales'!$G689:$CD689))</f>
        <v>0</v>
      </c>
      <c r="P704">
        <f>IF($E704=0,0,SUMPRODUCT($AI$10:$DF$10,'Staff Daily sales'!$G689:$CD689))</f>
        <v>0</v>
      </c>
      <c r="Q704">
        <f>IF($E704=0,0,SUMPRODUCT($AI$11:$DF$11,'Staff Daily sales'!$G689:$CD689))</f>
        <v>0</v>
      </c>
      <c r="R704">
        <f>IF($E704=0,0,SUMPRODUCT($AI$12:$DF$12,'Staff Daily sales'!$G689:$CD689))</f>
        <v>0</v>
      </c>
      <c r="S704">
        <f>IF($E704=0,0,SUMPRODUCT($AI$13:$DF$13,'Staff Daily sales'!$G689:$CD689))</f>
        <v>0</v>
      </c>
      <c r="T704">
        <f>IF($E704=0,0,SUMPRODUCT($AI$14:$DF$14,'Staff Daily sales'!$G689:$CD689))</f>
        <v>0</v>
      </c>
      <c r="U704">
        <f>IF($E704=0,0,SUMPRODUCT($AI$15:$DF$15,'Staff Daily sales'!$G689:$CD689))</f>
        <v>0</v>
      </c>
      <c r="V704">
        <f>IF($E704=0,0,SUMPRODUCT($AI$16:$DF$16,'Staff Daily sales'!$G689:$CD689))</f>
        <v>0</v>
      </c>
      <c r="W704">
        <f t="shared" si="191"/>
        <v>0</v>
      </c>
      <c r="X704">
        <f t="shared" si="192"/>
        <v>0</v>
      </c>
      <c r="Y704">
        <f t="shared" si="193"/>
        <v>0</v>
      </c>
      <c r="Z704">
        <f t="shared" si="194"/>
        <v>0</v>
      </c>
      <c r="AA704">
        <f t="shared" si="195"/>
        <v>0</v>
      </c>
      <c r="AB704">
        <f>--AND($E704=1,OR('Staff Weekly Trend'!$B$3="All",$DH704='Staff Weekly Trend'!$B$3),OR('Staff Weekly Trend'!$B$4="All",$D704='Staff Weekly Trend'!$B$4),OR('Staff Weekly Trend'!$B$5="All",$A704='Staff Weekly Trend'!$B$5))</f>
        <v>0</v>
      </c>
      <c r="AC704" t="str">
        <f t="shared" si="196"/>
        <v/>
      </c>
      <c r="AI704">
        <f t="shared" si="197"/>
        <v>0</v>
      </c>
      <c r="AJ704">
        <f t="shared" si="198"/>
        <v>0</v>
      </c>
      <c r="AK704">
        <f t="shared" si="199"/>
        <v>0</v>
      </c>
      <c r="AL704">
        <f t="shared" si="200"/>
        <v>0</v>
      </c>
      <c r="AM704">
        <f t="shared" si="201"/>
        <v>0</v>
      </c>
      <c r="DH704" t="str" cm="1">
        <f t="array" ref="DH704">IF($A704="","",_xlfn.LET(_xlpm.c,IFERROR(_xlfn.XLOOKUP($A704,TRIM('Sales and count'!$A$4:$A$300&amp;""),TRIM('Sales and count'!$B$4:$B$300&amp;"")),""),IF(OR(_xlpm.c="",_xlpm.c="0",LEFT(_xlpm.c,1)="#"),"Not set",_xlpm.c)))</f>
        <v/>
      </c>
    </row>
    <row r="705" spans="1:112" x14ac:dyDescent="0.25">
      <c r="A705" t="str">
        <f>IF('Staff Daily sales'!$B690="","",TRIM('Staff Daily sales'!$B690&amp;""))</f>
        <v/>
      </c>
      <c r="B705" t="str">
        <f>IF('Staff Daily sales'!$D690="","",TRIM('Staff Daily sales'!$D690&amp;""))</f>
        <v/>
      </c>
      <c r="C705" t="str">
        <f>IFERROR(TRIM('Staff Daily sales'!$E690&amp;""),"")</f>
        <v/>
      </c>
      <c r="D705" t="str">
        <f>IFERROR(IF(TRIM('Staff Daily sales'!$F690&amp;"")="","Unassigned",TRIM('Staff Daily sales'!$F690&amp;"")),"Unassigned")</f>
        <v>Unassigned</v>
      </c>
      <c r="E705">
        <f t="shared" si="186"/>
        <v>0</v>
      </c>
      <c r="F705">
        <f>IF($E705=0,0,SUMPRODUCT($AI$5:$DF$5,'Staff Daily sales'!$G690:$CD690))</f>
        <v>0</v>
      </c>
      <c r="G705">
        <f>IF($E705=0,0,SUMPRODUCT($AI$6:$DF$6,'Staff Daily sales'!$G690:$CD690))</f>
        <v>0</v>
      </c>
      <c r="H705">
        <f t="shared" si="187"/>
        <v>0</v>
      </c>
      <c r="I705">
        <f t="shared" si="188"/>
        <v>0</v>
      </c>
      <c r="J705">
        <f t="shared" si="189"/>
        <v>0</v>
      </c>
      <c r="K705">
        <f t="shared" si="190"/>
        <v>0</v>
      </c>
      <c r="L705">
        <f>--AND($E705=1,OR('Staff Dashboard'!$B$6="All",$DH705='Staff Dashboard'!$B$6),OR('Staff Dashboard'!$B$7="All",$D705='Staff Dashboard'!$B$7),OR('Staff Dashboard'!$B$8="All",$A705='Staff Dashboard'!$B$8))</f>
        <v>0</v>
      </c>
      <c r="M705">
        <f>IF($E705=0,0,SUMPRODUCT($AI$7:$DF$7,'Staff Daily sales'!$G690:$CD690))</f>
        <v>0</v>
      </c>
      <c r="N705">
        <f>IF($E705=0,0,SUMPRODUCT($AI$8:$DF$8,'Staff Daily sales'!$G690:$CD690))</f>
        <v>0</v>
      </c>
      <c r="O705">
        <f>IF($E705=0,0,SUMPRODUCT($AI$9:$DF$9,'Staff Daily sales'!$G690:$CD690))</f>
        <v>0</v>
      </c>
      <c r="P705">
        <f>IF($E705=0,0,SUMPRODUCT($AI$10:$DF$10,'Staff Daily sales'!$G690:$CD690))</f>
        <v>0</v>
      </c>
      <c r="Q705">
        <f>IF($E705=0,0,SUMPRODUCT($AI$11:$DF$11,'Staff Daily sales'!$G690:$CD690))</f>
        <v>0</v>
      </c>
      <c r="R705">
        <f>IF($E705=0,0,SUMPRODUCT($AI$12:$DF$12,'Staff Daily sales'!$G690:$CD690))</f>
        <v>0</v>
      </c>
      <c r="S705">
        <f>IF($E705=0,0,SUMPRODUCT($AI$13:$DF$13,'Staff Daily sales'!$G690:$CD690))</f>
        <v>0</v>
      </c>
      <c r="T705">
        <f>IF($E705=0,0,SUMPRODUCT($AI$14:$DF$14,'Staff Daily sales'!$G690:$CD690))</f>
        <v>0</v>
      </c>
      <c r="U705">
        <f>IF($E705=0,0,SUMPRODUCT($AI$15:$DF$15,'Staff Daily sales'!$G690:$CD690))</f>
        <v>0</v>
      </c>
      <c r="V705">
        <f>IF($E705=0,0,SUMPRODUCT($AI$16:$DF$16,'Staff Daily sales'!$G690:$CD690))</f>
        <v>0</v>
      </c>
      <c r="W705">
        <f t="shared" si="191"/>
        <v>0</v>
      </c>
      <c r="X705">
        <f t="shared" si="192"/>
        <v>0</v>
      </c>
      <c r="Y705">
        <f t="shared" si="193"/>
        <v>0</v>
      </c>
      <c r="Z705">
        <f t="shared" si="194"/>
        <v>0</v>
      </c>
      <c r="AA705">
        <f t="shared" si="195"/>
        <v>0</v>
      </c>
      <c r="AB705">
        <f>--AND($E705=1,OR('Staff Weekly Trend'!$B$3="All",$DH705='Staff Weekly Trend'!$B$3),OR('Staff Weekly Trend'!$B$4="All",$D705='Staff Weekly Trend'!$B$4),OR('Staff Weekly Trend'!$B$5="All",$A705='Staff Weekly Trend'!$B$5))</f>
        <v>0</v>
      </c>
      <c r="AC705" t="str">
        <f t="shared" si="196"/>
        <v/>
      </c>
      <c r="AI705">
        <f t="shared" si="197"/>
        <v>0</v>
      </c>
      <c r="AJ705">
        <f t="shared" si="198"/>
        <v>0</v>
      </c>
      <c r="AK705">
        <f t="shared" si="199"/>
        <v>0</v>
      </c>
      <c r="AL705">
        <f t="shared" si="200"/>
        <v>0</v>
      </c>
      <c r="AM705">
        <f t="shared" si="201"/>
        <v>0</v>
      </c>
      <c r="DH705" t="str" cm="1">
        <f t="array" ref="DH705">IF($A705="","",_xlfn.LET(_xlpm.c,IFERROR(_xlfn.XLOOKUP($A705,TRIM('Sales and count'!$A$4:$A$300&amp;""),TRIM('Sales and count'!$B$4:$B$300&amp;"")),""),IF(OR(_xlpm.c="",_xlpm.c="0",LEFT(_xlpm.c,1)="#"),"Not set",_xlpm.c)))</f>
        <v/>
      </c>
    </row>
    <row r="706" spans="1:112" x14ac:dyDescent="0.25">
      <c r="A706" t="str">
        <f>IF('Staff Daily sales'!$B691="","",TRIM('Staff Daily sales'!$B691&amp;""))</f>
        <v/>
      </c>
      <c r="B706" t="str">
        <f>IF('Staff Daily sales'!$D691="","",TRIM('Staff Daily sales'!$D691&amp;""))</f>
        <v/>
      </c>
      <c r="C706" t="str">
        <f>IFERROR(TRIM('Staff Daily sales'!$E691&amp;""),"")</f>
        <v/>
      </c>
      <c r="D706" t="str">
        <f>IFERROR(IF(TRIM('Staff Daily sales'!$F691&amp;"")="","Unassigned",TRIM('Staff Daily sales'!$F691&amp;"")),"Unassigned")</f>
        <v>Unassigned</v>
      </c>
      <c r="E706">
        <f t="shared" si="186"/>
        <v>0</v>
      </c>
      <c r="F706">
        <f>IF($E706=0,0,SUMPRODUCT($AI$5:$DF$5,'Staff Daily sales'!$G691:$CD691))</f>
        <v>0</v>
      </c>
      <c r="G706">
        <f>IF($E706=0,0,SUMPRODUCT($AI$6:$DF$6,'Staff Daily sales'!$G691:$CD691))</f>
        <v>0</v>
      </c>
      <c r="H706">
        <f t="shared" si="187"/>
        <v>0</v>
      </c>
      <c r="I706">
        <f t="shared" si="188"/>
        <v>0</v>
      </c>
      <c r="J706">
        <f t="shared" si="189"/>
        <v>0</v>
      </c>
      <c r="K706">
        <f t="shared" si="190"/>
        <v>0</v>
      </c>
      <c r="L706">
        <f>--AND($E706=1,OR('Staff Dashboard'!$B$6="All",$DH706='Staff Dashboard'!$B$6),OR('Staff Dashboard'!$B$7="All",$D706='Staff Dashboard'!$B$7),OR('Staff Dashboard'!$B$8="All",$A706='Staff Dashboard'!$B$8))</f>
        <v>0</v>
      </c>
      <c r="M706">
        <f>IF($E706=0,0,SUMPRODUCT($AI$7:$DF$7,'Staff Daily sales'!$G691:$CD691))</f>
        <v>0</v>
      </c>
      <c r="N706">
        <f>IF($E706=0,0,SUMPRODUCT($AI$8:$DF$8,'Staff Daily sales'!$G691:$CD691))</f>
        <v>0</v>
      </c>
      <c r="O706">
        <f>IF($E706=0,0,SUMPRODUCT($AI$9:$DF$9,'Staff Daily sales'!$G691:$CD691))</f>
        <v>0</v>
      </c>
      <c r="P706">
        <f>IF($E706=0,0,SUMPRODUCT($AI$10:$DF$10,'Staff Daily sales'!$G691:$CD691))</f>
        <v>0</v>
      </c>
      <c r="Q706">
        <f>IF($E706=0,0,SUMPRODUCT($AI$11:$DF$11,'Staff Daily sales'!$G691:$CD691))</f>
        <v>0</v>
      </c>
      <c r="R706">
        <f>IF($E706=0,0,SUMPRODUCT($AI$12:$DF$12,'Staff Daily sales'!$G691:$CD691))</f>
        <v>0</v>
      </c>
      <c r="S706">
        <f>IF($E706=0,0,SUMPRODUCT($AI$13:$DF$13,'Staff Daily sales'!$G691:$CD691))</f>
        <v>0</v>
      </c>
      <c r="T706">
        <f>IF($E706=0,0,SUMPRODUCT($AI$14:$DF$14,'Staff Daily sales'!$G691:$CD691))</f>
        <v>0</v>
      </c>
      <c r="U706">
        <f>IF($E706=0,0,SUMPRODUCT($AI$15:$DF$15,'Staff Daily sales'!$G691:$CD691))</f>
        <v>0</v>
      </c>
      <c r="V706">
        <f>IF($E706=0,0,SUMPRODUCT($AI$16:$DF$16,'Staff Daily sales'!$G691:$CD691))</f>
        <v>0</v>
      </c>
      <c r="W706">
        <f t="shared" si="191"/>
        <v>0</v>
      </c>
      <c r="X706">
        <f t="shared" si="192"/>
        <v>0</v>
      </c>
      <c r="Y706">
        <f t="shared" si="193"/>
        <v>0</v>
      </c>
      <c r="Z706">
        <f t="shared" si="194"/>
        <v>0</v>
      </c>
      <c r="AA706">
        <f t="shared" si="195"/>
        <v>0</v>
      </c>
      <c r="AB706">
        <f>--AND($E706=1,OR('Staff Weekly Trend'!$B$3="All",$DH706='Staff Weekly Trend'!$B$3),OR('Staff Weekly Trend'!$B$4="All",$D706='Staff Weekly Trend'!$B$4),OR('Staff Weekly Trend'!$B$5="All",$A706='Staff Weekly Trend'!$B$5))</f>
        <v>0</v>
      </c>
      <c r="AC706" t="str">
        <f t="shared" si="196"/>
        <v/>
      </c>
      <c r="AI706">
        <f t="shared" si="197"/>
        <v>0</v>
      </c>
      <c r="AJ706">
        <f t="shared" si="198"/>
        <v>0</v>
      </c>
      <c r="AK706">
        <f t="shared" si="199"/>
        <v>0</v>
      </c>
      <c r="AL706">
        <f t="shared" si="200"/>
        <v>0</v>
      </c>
      <c r="AM706">
        <f t="shared" si="201"/>
        <v>0</v>
      </c>
      <c r="DH706" t="str" cm="1">
        <f t="array" ref="DH706">IF($A706="","",_xlfn.LET(_xlpm.c,IFERROR(_xlfn.XLOOKUP($A706,TRIM('Sales and count'!$A$4:$A$300&amp;""),TRIM('Sales and count'!$B$4:$B$300&amp;"")),""),IF(OR(_xlpm.c="",_xlpm.c="0",LEFT(_xlpm.c,1)="#"),"Not set",_xlpm.c)))</f>
        <v/>
      </c>
    </row>
    <row r="707" spans="1:112" x14ac:dyDescent="0.25">
      <c r="A707" t="str">
        <f>IF('Staff Daily sales'!$B692="","",TRIM('Staff Daily sales'!$B692&amp;""))</f>
        <v/>
      </c>
      <c r="B707" t="str">
        <f>IF('Staff Daily sales'!$D692="","",TRIM('Staff Daily sales'!$D692&amp;""))</f>
        <v/>
      </c>
      <c r="C707" t="str">
        <f>IFERROR(TRIM('Staff Daily sales'!$E692&amp;""),"")</f>
        <v/>
      </c>
      <c r="D707" t="str">
        <f>IFERROR(IF(TRIM('Staff Daily sales'!$F692&amp;"")="","Unassigned",TRIM('Staff Daily sales'!$F692&amp;"")),"Unassigned")</f>
        <v>Unassigned</v>
      </c>
      <c r="E707">
        <f t="shared" si="186"/>
        <v>0</v>
      </c>
      <c r="F707">
        <f>IF($E707=0,0,SUMPRODUCT($AI$5:$DF$5,'Staff Daily sales'!$G692:$CD692))</f>
        <v>0</v>
      </c>
      <c r="G707">
        <f>IF($E707=0,0,SUMPRODUCT($AI$6:$DF$6,'Staff Daily sales'!$G692:$CD692))</f>
        <v>0</v>
      </c>
      <c r="H707">
        <f t="shared" si="187"/>
        <v>0</v>
      </c>
      <c r="I707">
        <f t="shared" si="188"/>
        <v>0</v>
      </c>
      <c r="J707">
        <f t="shared" si="189"/>
        <v>0</v>
      </c>
      <c r="K707">
        <f t="shared" si="190"/>
        <v>0</v>
      </c>
      <c r="L707">
        <f>--AND($E707=1,OR('Staff Dashboard'!$B$6="All",$DH707='Staff Dashboard'!$B$6),OR('Staff Dashboard'!$B$7="All",$D707='Staff Dashboard'!$B$7),OR('Staff Dashboard'!$B$8="All",$A707='Staff Dashboard'!$B$8))</f>
        <v>0</v>
      </c>
      <c r="M707">
        <f>IF($E707=0,0,SUMPRODUCT($AI$7:$DF$7,'Staff Daily sales'!$G692:$CD692))</f>
        <v>0</v>
      </c>
      <c r="N707">
        <f>IF($E707=0,0,SUMPRODUCT($AI$8:$DF$8,'Staff Daily sales'!$G692:$CD692))</f>
        <v>0</v>
      </c>
      <c r="O707">
        <f>IF($E707=0,0,SUMPRODUCT($AI$9:$DF$9,'Staff Daily sales'!$G692:$CD692))</f>
        <v>0</v>
      </c>
      <c r="P707">
        <f>IF($E707=0,0,SUMPRODUCT($AI$10:$DF$10,'Staff Daily sales'!$G692:$CD692))</f>
        <v>0</v>
      </c>
      <c r="Q707">
        <f>IF($E707=0,0,SUMPRODUCT($AI$11:$DF$11,'Staff Daily sales'!$G692:$CD692))</f>
        <v>0</v>
      </c>
      <c r="R707">
        <f>IF($E707=0,0,SUMPRODUCT($AI$12:$DF$12,'Staff Daily sales'!$G692:$CD692))</f>
        <v>0</v>
      </c>
      <c r="S707">
        <f>IF($E707=0,0,SUMPRODUCT($AI$13:$DF$13,'Staff Daily sales'!$G692:$CD692))</f>
        <v>0</v>
      </c>
      <c r="T707">
        <f>IF($E707=0,0,SUMPRODUCT($AI$14:$DF$14,'Staff Daily sales'!$G692:$CD692))</f>
        <v>0</v>
      </c>
      <c r="U707">
        <f>IF($E707=0,0,SUMPRODUCT($AI$15:$DF$15,'Staff Daily sales'!$G692:$CD692))</f>
        <v>0</v>
      </c>
      <c r="V707">
        <f>IF($E707=0,0,SUMPRODUCT($AI$16:$DF$16,'Staff Daily sales'!$G692:$CD692))</f>
        <v>0</v>
      </c>
      <c r="W707">
        <f t="shared" si="191"/>
        <v>0</v>
      </c>
      <c r="X707">
        <f t="shared" si="192"/>
        <v>0</v>
      </c>
      <c r="Y707">
        <f t="shared" si="193"/>
        <v>0</v>
      </c>
      <c r="Z707">
        <f t="shared" si="194"/>
        <v>0</v>
      </c>
      <c r="AA707">
        <f t="shared" si="195"/>
        <v>0</v>
      </c>
      <c r="AB707">
        <f>--AND($E707=1,OR('Staff Weekly Trend'!$B$3="All",$DH707='Staff Weekly Trend'!$B$3),OR('Staff Weekly Trend'!$B$4="All",$D707='Staff Weekly Trend'!$B$4),OR('Staff Weekly Trend'!$B$5="All",$A707='Staff Weekly Trend'!$B$5))</f>
        <v>0</v>
      </c>
      <c r="AC707" t="str">
        <f t="shared" si="196"/>
        <v/>
      </c>
      <c r="AI707">
        <f t="shared" si="197"/>
        <v>0</v>
      </c>
      <c r="AJ707">
        <f t="shared" si="198"/>
        <v>0</v>
      </c>
      <c r="AK707">
        <f t="shared" si="199"/>
        <v>0</v>
      </c>
      <c r="AL707">
        <f t="shared" si="200"/>
        <v>0</v>
      </c>
      <c r="AM707">
        <f t="shared" si="201"/>
        <v>0</v>
      </c>
      <c r="DH707" t="str" cm="1">
        <f t="array" ref="DH707">IF($A707="","",_xlfn.LET(_xlpm.c,IFERROR(_xlfn.XLOOKUP($A707,TRIM('Sales and count'!$A$4:$A$300&amp;""),TRIM('Sales and count'!$B$4:$B$300&amp;"")),""),IF(OR(_xlpm.c="",_xlpm.c="0",LEFT(_xlpm.c,1)="#"),"Not set",_xlpm.c)))</f>
        <v/>
      </c>
    </row>
    <row r="708" spans="1:112" x14ac:dyDescent="0.25">
      <c r="A708" t="str">
        <f>IF('Staff Daily sales'!$B693="","",TRIM('Staff Daily sales'!$B693&amp;""))</f>
        <v/>
      </c>
      <c r="B708" t="str">
        <f>IF('Staff Daily sales'!$D693="","",TRIM('Staff Daily sales'!$D693&amp;""))</f>
        <v/>
      </c>
      <c r="C708" t="str">
        <f>IFERROR(TRIM('Staff Daily sales'!$E693&amp;""),"")</f>
        <v/>
      </c>
      <c r="D708" t="str">
        <f>IFERROR(IF(TRIM('Staff Daily sales'!$F693&amp;"")="","Unassigned",TRIM('Staff Daily sales'!$F693&amp;"")),"Unassigned")</f>
        <v>Unassigned</v>
      </c>
      <c r="E708">
        <f t="shared" si="186"/>
        <v>0</v>
      </c>
      <c r="F708">
        <f>IF($E708=0,0,SUMPRODUCT($AI$5:$DF$5,'Staff Daily sales'!$G693:$CD693))</f>
        <v>0</v>
      </c>
      <c r="G708">
        <f>IF($E708=0,0,SUMPRODUCT($AI$6:$DF$6,'Staff Daily sales'!$G693:$CD693))</f>
        <v>0</v>
      </c>
      <c r="H708">
        <f t="shared" si="187"/>
        <v>0</v>
      </c>
      <c r="I708">
        <f t="shared" si="188"/>
        <v>0</v>
      </c>
      <c r="J708">
        <f t="shared" si="189"/>
        <v>0</v>
      </c>
      <c r="K708">
        <f t="shared" si="190"/>
        <v>0</v>
      </c>
      <c r="L708">
        <f>--AND($E708=1,OR('Staff Dashboard'!$B$6="All",$DH708='Staff Dashboard'!$B$6),OR('Staff Dashboard'!$B$7="All",$D708='Staff Dashboard'!$B$7),OR('Staff Dashboard'!$B$8="All",$A708='Staff Dashboard'!$B$8))</f>
        <v>0</v>
      </c>
      <c r="M708">
        <f>IF($E708=0,0,SUMPRODUCT($AI$7:$DF$7,'Staff Daily sales'!$G693:$CD693))</f>
        <v>0</v>
      </c>
      <c r="N708">
        <f>IF($E708=0,0,SUMPRODUCT($AI$8:$DF$8,'Staff Daily sales'!$G693:$CD693))</f>
        <v>0</v>
      </c>
      <c r="O708">
        <f>IF($E708=0,0,SUMPRODUCT($AI$9:$DF$9,'Staff Daily sales'!$G693:$CD693))</f>
        <v>0</v>
      </c>
      <c r="P708">
        <f>IF($E708=0,0,SUMPRODUCT($AI$10:$DF$10,'Staff Daily sales'!$G693:$CD693))</f>
        <v>0</v>
      </c>
      <c r="Q708">
        <f>IF($E708=0,0,SUMPRODUCT($AI$11:$DF$11,'Staff Daily sales'!$G693:$CD693))</f>
        <v>0</v>
      </c>
      <c r="R708">
        <f>IF($E708=0,0,SUMPRODUCT($AI$12:$DF$12,'Staff Daily sales'!$G693:$CD693))</f>
        <v>0</v>
      </c>
      <c r="S708">
        <f>IF($E708=0,0,SUMPRODUCT($AI$13:$DF$13,'Staff Daily sales'!$G693:$CD693))</f>
        <v>0</v>
      </c>
      <c r="T708">
        <f>IF($E708=0,0,SUMPRODUCT($AI$14:$DF$14,'Staff Daily sales'!$G693:$CD693))</f>
        <v>0</v>
      </c>
      <c r="U708">
        <f>IF($E708=0,0,SUMPRODUCT($AI$15:$DF$15,'Staff Daily sales'!$G693:$CD693))</f>
        <v>0</v>
      </c>
      <c r="V708">
        <f>IF($E708=0,0,SUMPRODUCT($AI$16:$DF$16,'Staff Daily sales'!$G693:$CD693))</f>
        <v>0</v>
      </c>
      <c r="W708">
        <f t="shared" si="191"/>
        <v>0</v>
      </c>
      <c r="X708">
        <f t="shared" si="192"/>
        <v>0</v>
      </c>
      <c r="Y708">
        <f t="shared" si="193"/>
        <v>0</v>
      </c>
      <c r="Z708">
        <f t="shared" si="194"/>
        <v>0</v>
      </c>
      <c r="AA708">
        <f t="shared" si="195"/>
        <v>0</v>
      </c>
      <c r="AB708">
        <f>--AND($E708=1,OR('Staff Weekly Trend'!$B$3="All",$DH708='Staff Weekly Trend'!$B$3),OR('Staff Weekly Trend'!$B$4="All",$D708='Staff Weekly Trend'!$B$4),OR('Staff Weekly Trend'!$B$5="All",$A708='Staff Weekly Trend'!$B$5))</f>
        <v>0</v>
      </c>
      <c r="AC708" t="str">
        <f t="shared" si="196"/>
        <v/>
      </c>
      <c r="AI708">
        <f t="shared" si="197"/>
        <v>0</v>
      </c>
      <c r="AJ708">
        <f t="shared" si="198"/>
        <v>0</v>
      </c>
      <c r="AK708">
        <f t="shared" si="199"/>
        <v>0</v>
      </c>
      <c r="AL708">
        <f t="shared" si="200"/>
        <v>0</v>
      </c>
      <c r="AM708">
        <f t="shared" si="201"/>
        <v>0</v>
      </c>
      <c r="DH708" t="str" cm="1">
        <f t="array" ref="DH708">IF($A708="","",_xlfn.LET(_xlpm.c,IFERROR(_xlfn.XLOOKUP($A708,TRIM('Sales and count'!$A$4:$A$300&amp;""),TRIM('Sales and count'!$B$4:$B$300&amp;"")),""),IF(OR(_xlpm.c="",_xlpm.c="0",LEFT(_xlpm.c,1)="#"),"Not set",_xlpm.c)))</f>
        <v/>
      </c>
    </row>
    <row r="709" spans="1:112" x14ac:dyDescent="0.25">
      <c r="A709" t="str">
        <f>IF('Staff Daily sales'!$B694="","",TRIM('Staff Daily sales'!$B694&amp;""))</f>
        <v/>
      </c>
      <c r="B709" t="str">
        <f>IF('Staff Daily sales'!$D694="","",TRIM('Staff Daily sales'!$D694&amp;""))</f>
        <v/>
      </c>
      <c r="C709" t="str">
        <f>IFERROR(TRIM('Staff Daily sales'!$E694&amp;""),"")</f>
        <v/>
      </c>
      <c r="D709" t="str">
        <f>IFERROR(IF(TRIM('Staff Daily sales'!$F694&amp;"")="","Unassigned",TRIM('Staff Daily sales'!$F694&amp;"")),"Unassigned")</f>
        <v>Unassigned</v>
      </c>
      <c r="E709">
        <f t="shared" si="186"/>
        <v>0</v>
      </c>
      <c r="F709">
        <f>IF($E709=0,0,SUMPRODUCT($AI$5:$DF$5,'Staff Daily sales'!$G694:$CD694))</f>
        <v>0</v>
      </c>
      <c r="G709">
        <f>IF($E709=0,0,SUMPRODUCT($AI$6:$DF$6,'Staff Daily sales'!$G694:$CD694))</f>
        <v>0</v>
      </c>
      <c r="H709">
        <f t="shared" si="187"/>
        <v>0</v>
      </c>
      <c r="I709">
        <f t="shared" si="188"/>
        <v>0</v>
      </c>
      <c r="J709">
        <f t="shared" si="189"/>
        <v>0</v>
      </c>
      <c r="K709">
        <f t="shared" si="190"/>
        <v>0</v>
      </c>
      <c r="L709">
        <f>--AND($E709=1,OR('Staff Dashboard'!$B$6="All",$DH709='Staff Dashboard'!$B$6),OR('Staff Dashboard'!$B$7="All",$D709='Staff Dashboard'!$B$7),OR('Staff Dashboard'!$B$8="All",$A709='Staff Dashboard'!$B$8))</f>
        <v>0</v>
      </c>
      <c r="M709">
        <f>IF($E709=0,0,SUMPRODUCT($AI$7:$DF$7,'Staff Daily sales'!$G694:$CD694))</f>
        <v>0</v>
      </c>
      <c r="N709">
        <f>IF($E709=0,0,SUMPRODUCT($AI$8:$DF$8,'Staff Daily sales'!$G694:$CD694))</f>
        <v>0</v>
      </c>
      <c r="O709">
        <f>IF($E709=0,0,SUMPRODUCT($AI$9:$DF$9,'Staff Daily sales'!$G694:$CD694))</f>
        <v>0</v>
      </c>
      <c r="P709">
        <f>IF($E709=0,0,SUMPRODUCT($AI$10:$DF$10,'Staff Daily sales'!$G694:$CD694))</f>
        <v>0</v>
      </c>
      <c r="Q709">
        <f>IF($E709=0,0,SUMPRODUCT($AI$11:$DF$11,'Staff Daily sales'!$G694:$CD694))</f>
        <v>0</v>
      </c>
      <c r="R709">
        <f>IF($E709=0,0,SUMPRODUCT($AI$12:$DF$12,'Staff Daily sales'!$G694:$CD694))</f>
        <v>0</v>
      </c>
      <c r="S709">
        <f>IF($E709=0,0,SUMPRODUCT($AI$13:$DF$13,'Staff Daily sales'!$G694:$CD694))</f>
        <v>0</v>
      </c>
      <c r="T709">
        <f>IF($E709=0,0,SUMPRODUCT($AI$14:$DF$14,'Staff Daily sales'!$G694:$CD694))</f>
        <v>0</v>
      </c>
      <c r="U709">
        <f>IF($E709=0,0,SUMPRODUCT($AI$15:$DF$15,'Staff Daily sales'!$G694:$CD694))</f>
        <v>0</v>
      </c>
      <c r="V709">
        <f>IF($E709=0,0,SUMPRODUCT($AI$16:$DF$16,'Staff Daily sales'!$G694:$CD694))</f>
        <v>0</v>
      </c>
      <c r="W709">
        <f t="shared" si="191"/>
        <v>0</v>
      </c>
      <c r="X709">
        <f t="shared" si="192"/>
        <v>0</v>
      </c>
      <c r="Y709">
        <f t="shared" si="193"/>
        <v>0</v>
      </c>
      <c r="Z709">
        <f t="shared" si="194"/>
        <v>0</v>
      </c>
      <c r="AA709">
        <f t="shared" si="195"/>
        <v>0</v>
      </c>
      <c r="AB709">
        <f>--AND($E709=1,OR('Staff Weekly Trend'!$B$3="All",$DH709='Staff Weekly Trend'!$B$3),OR('Staff Weekly Trend'!$B$4="All",$D709='Staff Weekly Trend'!$B$4),OR('Staff Weekly Trend'!$B$5="All",$A709='Staff Weekly Trend'!$B$5))</f>
        <v>0</v>
      </c>
      <c r="AC709" t="str">
        <f t="shared" si="196"/>
        <v/>
      </c>
      <c r="AI709">
        <f t="shared" si="197"/>
        <v>0</v>
      </c>
      <c r="AJ709">
        <f t="shared" si="198"/>
        <v>0</v>
      </c>
      <c r="AK709">
        <f t="shared" si="199"/>
        <v>0</v>
      </c>
      <c r="AL709">
        <f t="shared" si="200"/>
        <v>0</v>
      </c>
      <c r="AM709">
        <f t="shared" si="201"/>
        <v>0</v>
      </c>
      <c r="DH709" t="str" cm="1">
        <f t="array" ref="DH709">IF($A709="","",_xlfn.LET(_xlpm.c,IFERROR(_xlfn.XLOOKUP($A709,TRIM('Sales and count'!$A$4:$A$300&amp;""),TRIM('Sales and count'!$B$4:$B$300&amp;"")),""),IF(OR(_xlpm.c="",_xlpm.c="0",LEFT(_xlpm.c,1)="#"),"Not set",_xlpm.c)))</f>
        <v/>
      </c>
    </row>
    <row r="710" spans="1:112" x14ac:dyDescent="0.25">
      <c r="A710" t="str">
        <f>IF('Staff Daily sales'!$B695="","",TRIM('Staff Daily sales'!$B695&amp;""))</f>
        <v/>
      </c>
      <c r="B710" t="str">
        <f>IF('Staff Daily sales'!$D695="","",TRIM('Staff Daily sales'!$D695&amp;""))</f>
        <v/>
      </c>
      <c r="C710" t="str">
        <f>IFERROR(TRIM('Staff Daily sales'!$E695&amp;""),"")</f>
        <v/>
      </c>
      <c r="D710" t="str">
        <f>IFERROR(IF(TRIM('Staff Daily sales'!$F695&amp;"")="","Unassigned",TRIM('Staff Daily sales'!$F695&amp;"")),"Unassigned")</f>
        <v>Unassigned</v>
      </c>
      <c r="E710">
        <f t="shared" si="186"/>
        <v>0</v>
      </c>
      <c r="F710">
        <f>IF($E710=0,0,SUMPRODUCT($AI$5:$DF$5,'Staff Daily sales'!$G695:$CD695))</f>
        <v>0</v>
      </c>
      <c r="G710">
        <f>IF($E710=0,0,SUMPRODUCT($AI$6:$DF$6,'Staff Daily sales'!$G695:$CD695))</f>
        <v>0</v>
      </c>
      <c r="H710">
        <f t="shared" si="187"/>
        <v>0</v>
      </c>
      <c r="I710">
        <f t="shared" si="188"/>
        <v>0</v>
      </c>
      <c r="J710">
        <f t="shared" si="189"/>
        <v>0</v>
      </c>
      <c r="K710">
        <f t="shared" si="190"/>
        <v>0</v>
      </c>
      <c r="L710">
        <f>--AND($E710=1,OR('Staff Dashboard'!$B$6="All",$DH710='Staff Dashboard'!$B$6),OR('Staff Dashboard'!$B$7="All",$D710='Staff Dashboard'!$B$7),OR('Staff Dashboard'!$B$8="All",$A710='Staff Dashboard'!$B$8))</f>
        <v>0</v>
      </c>
      <c r="M710">
        <f>IF($E710=0,0,SUMPRODUCT($AI$7:$DF$7,'Staff Daily sales'!$G695:$CD695))</f>
        <v>0</v>
      </c>
      <c r="N710">
        <f>IF($E710=0,0,SUMPRODUCT($AI$8:$DF$8,'Staff Daily sales'!$G695:$CD695))</f>
        <v>0</v>
      </c>
      <c r="O710">
        <f>IF($E710=0,0,SUMPRODUCT($AI$9:$DF$9,'Staff Daily sales'!$G695:$CD695))</f>
        <v>0</v>
      </c>
      <c r="P710">
        <f>IF($E710=0,0,SUMPRODUCT($AI$10:$DF$10,'Staff Daily sales'!$G695:$CD695))</f>
        <v>0</v>
      </c>
      <c r="Q710">
        <f>IF($E710=0,0,SUMPRODUCT($AI$11:$DF$11,'Staff Daily sales'!$G695:$CD695))</f>
        <v>0</v>
      </c>
      <c r="R710">
        <f>IF($E710=0,0,SUMPRODUCT($AI$12:$DF$12,'Staff Daily sales'!$G695:$CD695))</f>
        <v>0</v>
      </c>
      <c r="S710">
        <f>IF($E710=0,0,SUMPRODUCT($AI$13:$DF$13,'Staff Daily sales'!$G695:$CD695))</f>
        <v>0</v>
      </c>
      <c r="T710">
        <f>IF($E710=0,0,SUMPRODUCT($AI$14:$DF$14,'Staff Daily sales'!$G695:$CD695))</f>
        <v>0</v>
      </c>
      <c r="U710">
        <f>IF($E710=0,0,SUMPRODUCT($AI$15:$DF$15,'Staff Daily sales'!$G695:$CD695))</f>
        <v>0</v>
      </c>
      <c r="V710">
        <f>IF($E710=0,0,SUMPRODUCT($AI$16:$DF$16,'Staff Daily sales'!$G695:$CD695))</f>
        <v>0</v>
      </c>
      <c r="W710">
        <f t="shared" si="191"/>
        <v>0</v>
      </c>
      <c r="X710">
        <f t="shared" si="192"/>
        <v>0</v>
      </c>
      <c r="Y710">
        <f t="shared" si="193"/>
        <v>0</v>
      </c>
      <c r="Z710">
        <f t="shared" si="194"/>
        <v>0</v>
      </c>
      <c r="AA710">
        <f t="shared" si="195"/>
        <v>0</v>
      </c>
      <c r="AB710">
        <f>--AND($E710=1,OR('Staff Weekly Trend'!$B$3="All",$DH710='Staff Weekly Trend'!$B$3),OR('Staff Weekly Trend'!$B$4="All",$D710='Staff Weekly Trend'!$B$4),OR('Staff Weekly Trend'!$B$5="All",$A710='Staff Weekly Trend'!$B$5))</f>
        <v>0</v>
      </c>
      <c r="AC710" t="str">
        <f t="shared" si="196"/>
        <v/>
      </c>
      <c r="AI710">
        <f t="shared" si="197"/>
        <v>0</v>
      </c>
      <c r="AJ710">
        <f t="shared" si="198"/>
        <v>0</v>
      </c>
      <c r="AK710">
        <f t="shared" si="199"/>
        <v>0</v>
      </c>
      <c r="AL710">
        <f t="shared" si="200"/>
        <v>0</v>
      </c>
      <c r="AM710">
        <f t="shared" si="201"/>
        <v>0</v>
      </c>
      <c r="DH710" t="str" cm="1">
        <f t="array" ref="DH710">IF($A710="","",_xlfn.LET(_xlpm.c,IFERROR(_xlfn.XLOOKUP($A710,TRIM('Sales and count'!$A$4:$A$300&amp;""),TRIM('Sales and count'!$B$4:$B$300&amp;"")),""),IF(OR(_xlpm.c="",_xlpm.c="0",LEFT(_xlpm.c,1)="#"),"Not set",_xlpm.c)))</f>
        <v/>
      </c>
    </row>
    <row r="711" spans="1:112" x14ac:dyDescent="0.25">
      <c r="A711" t="str">
        <f>IF('Staff Daily sales'!$B696="","",TRIM('Staff Daily sales'!$B696&amp;""))</f>
        <v/>
      </c>
      <c r="B711" t="str">
        <f>IF('Staff Daily sales'!$D696="","",TRIM('Staff Daily sales'!$D696&amp;""))</f>
        <v/>
      </c>
      <c r="C711" t="str">
        <f>IFERROR(TRIM('Staff Daily sales'!$E696&amp;""),"")</f>
        <v/>
      </c>
      <c r="D711" t="str">
        <f>IFERROR(IF(TRIM('Staff Daily sales'!$F696&amp;"")="","Unassigned",TRIM('Staff Daily sales'!$F696&amp;"")),"Unassigned")</f>
        <v>Unassigned</v>
      </c>
      <c r="E711">
        <f t="shared" si="186"/>
        <v>0</v>
      </c>
      <c r="F711">
        <f>IF($E711=0,0,SUMPRODUCT($AI$5:$DF$5,'Staff Daily sales'!$G696:$CD696))</f>
        <v>0</v>
      </c>
      <c r="G711">
        <f>IF($E711=0,0,SUMPRODUCT($AI$6:$DF$6,'Staff Daily sales'!$G696:$CD696))</f>
        <v>0</v>
      </c>
      <c r="H711">
        <f t="shared" si="187"/>
        <v>0</v>
      </c>
      <c r="I711">
        <f t="shared" si="188"/>
        <v>0</v>
      </c>
      <c r="J711">
        <f t="shared" si="189"/>
        <v>0</v>
      </c>
      <c r="K711">
        <f t="shared" si="190"/>
        <v>0</v>
      </c>
      <c r="L711">
        <f>--AND($E711=1,OR('Staff Dashboard'!$B$6="All",$DH711='Staff Dashboard'!$B$6),OR('Staff Dashboard'!$B$7="All",$D711='Staff Dashboard'!$B$7),OR('Staff Dashboard'!$B$8="All",$A711='Staff Dashboard'!$B$8))</f>
        <v>0</v>
      </c>
      <c r="M711">
        <f>IF($E711=0,0,SUMPRODUCT($AI$7:$DF$7,'Staff Daily sales'!$G696:$CD696))</f>
        <v>0</v>
      </c>
      <c r="N711">
        <f>IF($E711=0,0,SUMPRODUCT($AI$8:$DF$8,'Staff Daily sales'!$G696:$CD696))</f>
        <v>0</v>
      </c>
      <c r="O711">
        <f>IF($E711=0,0,SUMPRODUCT($AI$9:$DF$9,'Staff Daily sales'!$G696:$CD696))</f>
        <v>0</v>
      </c>
      <c r="P711">
        <f>IF($E711=0,0,SUMPRODUCT($AI$10:$DF$10,'Staff Daily sales'!$G696:$CD696))</f>
        <v>0</v>
      </c>
      <c r="Q711">
        <f>IF($E711=0,0,SUMPRODUCT($AI$11:$DF$11,'Staff Daily sales'!$G696:$CD696))</f>
        <v>0</v>
      </c>
      <c r="R711">
        <f>IF($E711=0,0,SUMPRODUCT($AI$12:$DF$12,'Staff Daily sales'!$G696:$CD696))</f>
        <v>0</v>
      </c>
      <c r="S711">
        <f>IF($E711=0,0,SUMPRODUCT($AI$13:$DF$13,'Staff Daily sales'!$G696:$CD696))</f>
        <v>0</v>
      </c>
      <c r="T711">
        <f>IF($E711=0,0,SUMPRODUCT($AI$14:$DF$14,'Staff Daily sales'!$G696:$CD696))</f>
        <v>0</v>
      </c>
      <c r="U711">
        <f>IF($E711=0,0,SUMPRODUCT($AI$15:$DF$15,'Staff Daily sales'!$G696:$CD696))</f>
        <v>0</v>
      </c>
      <c r="V711">
        <f>IF($E711=0,0,SUMPRODUCT($AI$16:$DF$16,'Staff Daily sales'!$G696:$CD696))</f>
        <v>0</v>
      </c>
      <c r="W711">
        <f t="shared" si="191"/>
        <v>0</v>
      </c>
      <c r="X711">
        <f t="shared" si="192"/>
        <v>0</v>
      </c>
      <c r="Y711">
        <f t="shared" si="193"/>
        <v>0</v>
      </c>
      <c r="Z711">
        <f t="shared" si="194"/>
        <v>0</v>
      </c>
      <c r="AA711">
        <f t="shared" si="195"/>
        <v>0</v>
      </c>
      <c r="AB711">
        <f>--AND($E711=1,OR('Staff Weekly Trend'!$B$3="All",$DH711='Staff Weekly Trend'!$B$3),OR('Staff Weekly Trend'!$B$4="All",$D711='Staff Weekly Trend'!$B$4),OR('Staff Weekly Trend'!$B$5="All",$A711='Staff Weekly Trend'!$B$5))</f>
        <v>0</v>
      </c>
      <c r="AC711" t="str">
        <f t="shared" si="196"/>
        <v/>
      </c>
      <c r="AI711">
        <f t="shared" si="197"/>
        <v>0</v>
      </c>
      <c r="AJ711">
        <f t="shared" si="198"/>
        <v>0</v>
      </c>
      <c r="AK711">
        <f t="shared" si="199"/>
        <v>0</v>
      </c>
      <c r="AL711">
        <f t="shared" si="200"/>
        <v>0</v>
      </c>
      <c r="AM711">
        <f t="shared" si="201"/>
        <v>0</v>
      </c>
      <c r="DH711" t="str" cm="1">
        <f t="array" ref="DH711">IF($A711="","",_xlfn.LET(_xlpm.c,IFERROR(_xlfn.XLOOKUP($A711,TRIM('Sales and count'!$A$4:$A$300&amp;""),TRIM('Sales and count'!$B$4:$B$300&amp;"")),""),IF(OR(_xlpm.c="",_xlpm.c="0",LEFT(_xlpm.c,1)="#"),"Not set",_xlpm.c)))</f>
        <v/>
      </c>
    </row>
    <row r="712" spans="1:112" x14ac:dyDescent="0.25">
      <c r="A712" t="str">
        <f>IF('Staff Daily sales'!$B697="","",TRIM('Staff Daily sales'!$B697&amp;""))</f>
        <v/>
      </c>
      <c r="B712" t="str">
        <f>IF('Staff Daily sales'!$D697="","",TRIM('Staff Daily sales'!$D697&amp;""))</f>
        <v/>
      </c>
      <c r="C712" t="str">
        <f>IFERROR(TRIM('Staff Daily sales'!$E697&amp;""),"")</f>
        <v/>
      </c>
      <c r="D712" t="str">
        <f>IFERROR(IF(TRIM('Staff Daily sales'!$F697&amp;"")="","Unassigned",TRIM('Staff Daily sales'!$F697&amp;"")),"Unassigned")</f>
        <v>Unassigned</v>
      </c>
      <c r="E712">
        <f t="shared" si="186"/>
        <v>0</v>
      </c>
      <c r="F712">
        <f>IF($E712=0,0,SUMPRODUCT($AI$5:$DF$5,'Staff Daily sales'!$G697:$CD697))</f>
        <v>0</v>
      </c>
      <c r="G712">
        <f>IF($E712=0,0,SUMPRODUCT($AI$6:$DF$6,'Staff Daily sales'!$G697:$CD697))</f>
        <v>0</v>
      </c>
      <c r="H712">
        <f t="shared" si="187"/>
        <v>0</v>
      </c>
      <c r="I712">
        <f t="shared" si="188"/>
        <v>0</v>
      </c>
      <c r="J712">
        <f t="shared" si="189"/>
        <v>0</v>
      </c>
      <c r="K712">
        <f t="shared" si="190"/>
        <v>0</v>
      </c>
      <c r="L712">
        <f>--AND($E712=1,OR('Staff Dashboard'!$B$6="All",$DH712='Staff Dashboard'!$B$6),OR('Staff Dashboard'!$B$7="All",$D712='Staff Dashboard'!$B$7),OR('Staff Dashboard'!$B$8="All",$A712='Staff Dashboard'!$B$8))</f>
        <v>0</v>
      </c>
      <c r="M712">
        <f>IF($E712=0,0,SUMPRODUCT($AI$7:$DF$7,'Staff Daily sales'!$G697:$CD697))</f>
        <v>0</v>
      </c>
      <c r="N712">
        <f>IF($E712=0,0,SUMPRODUCT($AI$8:$DF$8,'Staff Daily sales'!$G697:$CD697))</f>
        <v>0</v>
      </c>
      <c r="O712">
        <f>IF($E712=0,0,SUMPRODUCT($AI$9:$DF$9,'Staff Daily sales'!$G697:$CD697))</f>
        <v>0</v>
      </c>
      <c r="P712">
        <f>IF($E712=0,0,SUMPRODUCT($AI$10:$DF$10,'Staff Daily sales'!$G697:$CD697))</f>
        <v>0</v>
      </c>
      <c r="Q712">
        <f>IF($E712=0,0,SUMPRODUCT($AI$11:$DF$11,'Staff Daily sales'!$G697:$CD697))</f>
        <v>0</v>
      </c>
      <c r="R712">
        <f>IF($E712=0,0,SUMPRODUCT($AI$12:$DF$12,'Staff Daily sales'!$G697:$CD697))</f>
        <v>0</v>
      </c>
      <c r="S712">
        <f>IF($E712=0,0,SUMPRODUCT($AI$13:$DF$13,'Staff Daily sales'!$G697:$CD697))</f>
        <v>0</v>
      </c>
      <c r="T712">
        <f>IF($E712=0,0,SUMPRODUCT($AI$14:$DF$14,'Staff Daily sales'!$G697:$CD697))</f>
        <v>0</v>
      </c>
      <c r="U712">
        <f>IF($E712=0,0,SUMPRODUCT($AI$15:$DF$15,'Staff Daily sales'!$G697:$CD697))</f>
        <v>0</v>
      </c>
      <c r="V712">
        <f>IF($E712=0,0,SUMPRODUCT($AI$16:$DF$16,'Staff Daily sales'!$G697:$CD697))</f>
        <v>0</v>
      </c>
      <c r="W712">
        <f t="shared" si="191"/>
        <v>0</v>
      </c>
      <c r="X712">
        <f t="shared" si="192"/>
        <v>0</v>
      </c>
      <c r="Y712">
        <f t="shared" si="193"/>
        <v>0</v>
      </c>
      <c r="Z712">
        <f t="shared" si="194"/>
        <v>0</v>
      </c>
      <c r="AA712">
        <f t="shared" si="195"/>
        <v>0</v>
      </c>
      <c r="AB712">
        <f>--AND($E712=1,OR('Staff Weekly Trend'!$B$3="All",$DH712='Staff Weekly Trend'!$B$3),OR('Staff Weekly Trend'!$B$4="All",$D712='Staff Weekly Trend'!$B$4),OR('Staff Weekly Trend'!$B$5="All",$A712='Staff Weekly Trend'!$B$5))</f>
        <v>0</v>
      </c>
      <c r="AC712" t="str">
        <f t="shared" si="196"/>
        <v/>
      </c>
      <c r="AI712">
        <f t="shared" si="197"/>
        <v>0</v>
      </c>
      <c r="AJ712">
        <f t="shared" si="198"/>
        <v>0</v>
      </c>
      <c r="AK712">
        <f t="shared" si="199"/>
        <v>0</v>
      </c>
      <c r="AL712">
        <f t="shared" si="200"/>
        <v>0</v>
      </c>
      <c r="AM712">
        <f t="shared" si="201"/>
        <v>0</v>
      </c>
      <c r="DH712" t="str" cm="1">
        <f t="array" ref="DH712">IF($A712="","",_xlfn.LET(_xlpm.c,IFERROR(_xlfn.XLOOKUP($A712,TRIM('Sales and count'!$A$4:$A$300&amp;""),TRIM('Sales and count'!$B$4:$B$300&amp;"")),""),IF(OR(_xlpm.c="",_xlpm.c="0",LEFT(_xlpm.c,1)="#"),"Not set",_xlpm.c)))</f>
        <v/>
      </c>
    </row>
    <row r="713" spans="1:112" x14ac:dyDescent="0.25">
      <c r="A713" t="str">
        <f>IF('Staff Daily sales'!$B698="","",TRIM('Staff Daily sales'!$B698&amp;""))</f>
        <v/>
      </c>
      <c r="B713" t="str">
        <f>IF('Staff Daily sales'!$D698="","",TRIM('Staff Daily sales'!$D698&amp;""))</f>
        <v/>
      </c>
      <c r="C713" t="str">
        <f>IFERROR(TRIM('Staff Daily sales'!$E698&amp;""),"")</f>
        <v/>
      </c>
      <c r="D713" t="str">
        <f>IFERROR(IF(TRIM('Staff Daily sales'!$F698&amp;"")="","Unassigned",TRIM('Staff Daily sales'!$F698&amp;"")),"Unassigned")</f>
        <v>Unassigned</v>
      </c>
      <c r="E713">
        <f t="shared" si="186"/>
        <v>0</v>
      </c>
      <c r="F713">
        <f>IF($E713=0,0,SUMPRODUCT($AI$5:$DF$5,'Staff Daily sales'!$G698:$CD698))</f>
        <v>0</v>
      </c>
      <c r="G713">
        <f>IF($E713=0,0,SUMPRODUCT($AI$6:$DF$6,'Staff Daily sales'!$G698:$CD698))</f>
        <v>0</v>
      </c>
      <c r="H713">
        <f t="shared" si="187"/>
        <v>0</v>
      </c>
      <c r="I713">
        <f t="shared" si="188"/>
        <v>0</v>
      </c>
      <c r="J713">
        <f t="shared" si="189"/>
        <v>0</v>
      </c>
      <c r="K713">
        <f t="shared" si="190"/>
        <v>0</v>
      </c>
      <c r="L713">
        <f>--AND($E713=1,OR('Staff Dashboard'!$B$6="All",$DH713='Staff Dashboard'!$B$6),OR('Staff Dashboard'!$B$7="All",$D713='Staff Dashboard'!$B$7),OR('Staff Dashboard'!$B$8="All",$A713='Staff Dashboard'!$B$8))</f>
        <v>0</v>
      </c>
      <c r="M713">
        <f>IF($E713=0,0,SUMPRODUCT($AI$7:$DF$7,'Staff Daily sales'!$G698:$CD698))</f>
        <v>0</v>
      </c>
      <c r="N713">
        <f>IF($E713=0,0,SUMPRODUCT($AI$8:$DF$8,'Staff Daily sales'!$G698:$CD698))</f>
        <v>0</v>
      </c>
      <c r="O713">
        <f>IF($E713=0,0,SUMPRODUCT($AI$9:$DF$9,'Staff Daily sales'!$G698:$CD698))</f>
        <v>0</v>
      </c>
      <c r="P713">
        <f>IF($E713=0,0,SUMPRODUCT($AI$10:$DF$10,'Staff Daily sales'!$G698:$CD698))</f>
        <v>0</v>
      </c>
      <c r="Q713">
        <f>IF($E713=0,0,SUMPRODUCT($AI$11:$DF$11,'Staff Daily sales'!$G698:$CD698))</f>
        <v>0</v>
      </c>
      <c r="R713">
        <f>IF($E713=0,0,SUMPRODUCT($AI$12:$DF$12,'Staff Daily sales'!$G698:$CD698))</f>
        <v>0</v>
      </c>
      <c r="S713">
        <f>IF($E713=0,0,SUMPRODUCT($AI$13:$DF$13,'Staff Daily sales'!$G698:$CD698))</f>
        <v>0</v>
      </c>
      <c r="T713">
        <f>IF($E713=0,0,SUMPRODUCT($AI$14:$DF$14,'Staff Daily sales'!$G698:$CD698))</f>
        <v>0</v>
      </c>
      <c r="U713">
        <f>IF($E713=0,0,SUMPRODUCT($AI$15:$DF$15,'Staff Daily sales'!$G698:$CD698))</f>
        <v>0</v>
      </c>
      <c r="V713">
        <f>IF($E713=0,0,SUMPRODUCT($AI$16:$DF$16,'Staff Daily sales'!$G698:$CD698))</f>
        <v>0</v>
      </c>
      <c r="W713">
        <f t="shared" si="191"/>
        <v>0</v>
      </c>
      <c r="X713">
        <f t="shared" si="192"/>
        <v>0</v>
      </c>
      <c r="Y713">
        <f t="shared" si="193"/>
        <v>0</v>
      </c>
      <c r="Z713">
        <f t="shared" si="194"/>
        <v>0</v>
      </c>
      <c r="AA713">
        <f t="shared" si="195"/>
        <v>0</v>
      </c>
      <c r="AB713">
        <f>--AND($E713=1,OR('Staff Weekly Trend'!$B$3="All",$DH713='Staff Weekly Trend'!$B$3),OR('Staff Weekly Trend'!$B$4="All",$D713='Staff Weekly Trend'!$B$4),OR('Staff Weekly Trend'!$B$5="All",$A713='Staff Weekly Trend'!$B$5))</f>
        <v>0</v>
      </c>
      <c r="AC713" t="str">
        <f t="shared" si="196"/>
        <v/>
      </c>
      <c r="AI713">
        <f t="shared" si="197"/>
        <v>0</v>
      </c>
      <c r="AJ713">
        <f t="shared" si="198"/>
        <v>0</v>
      </c>
      <c r="AK713">
        <f t="shared" si="199"/>
        <v>0</v>
      </c>
      <c r="AL713">
        <f t="shared" si="200"/>
        <v>0</v>
      </c>
      <c r="AM713">
        <f t="shared" si="201"/>
        <v>0</v>
      </c>
      <c r="DH713" t="str" cm="1">
        <f t="array" ref="DH713">IF($A713="","",_xlfn.LET(_xlpm.c,IFERROR(_xlfn.XLOOKUP($A713,TRIM('Sales and count'!$A$4:$A$300&amp;""),TRIM('Sales and count'!$B$4:$B$300&amp;"")),""),IF(OR(_xlpm.c="",_xlpm.c="0",LEFT(_xlpm.c,1)="#"),"Not set",_xlpm.c)))</f>
        <v/>
      </c>
    </row>
    <row r="714" spans="1:112" x14ac:dyDescent="0.25">
      <c r="A714" t="str">
        <f>IF('Staff Daily sales'!$B699="","",TRIM('Staff Daily sales'!$B699&amp;""))</f>
        <v/>
      </c>
      <c r="B714" t="str">
        <f>IF('Staff Daily sales'!$D699="","",TRIM('Staff Daily sales'!$D699&amp;""))</f>
        <v/>
      </c>
      <c r="C714" t="str">
        <f>IFERROR(TRIM('Staff Daily sales'!$E699&amp;""),"")</f>
        <v/>
      </c>
      <c r="D714" t="str">
        <f>IFERROR(IF(TRIM('Staff Daily sales'!$F699&amp;"")="","Unassigned",TRIM('Staff Daily sales'!$F699&amp;"")),"Unassigned")</f>
        <v>Unassigned</v>
      </c>
      <c r="E714">
        <f t="shared" si="186"/>
        <v>0</v>
      </c>
      <c r="F714">
        <f>IF($E714=0,0,SUMPRODUCT($AI$5:$DF$5,'Staff Daily sales'!$G699:$CD699))</f>
        <v>0</v>
      </c>
      <c r="G714">
        <f>IF($E714=0,0,SUMPRODUCT($AI$6:$DF$6,'Staff Daily sales'!$G699:$CD699))</f>
        <v>0</v>
      </c>
      <c r="H714">
        <f t="shared" si="187"/>
        <v>0</v>
      </c>
      <c r="I714">
        <f t="shared" si="188"/>
        <v>0</v>
      </c>
      <c r="J714">
        <f t="shared" si="189"/>
        <v>0</v>
      </c>
      <c r="K714">
        <f t="shared" si="190"/>
        <v>0</v>
      </c>
      <c r="L714">
        <f>--AND($E714=1,OR('Staff Dashboard'!$B$6="All",$DH714='Staff Dashboard'!$B$6),OR('Staff Dashboard'!$B$7="All",$D714='Staff Dashboard'!$B$7),OR('Staff Dashboard'!$B$8="All",$A714='Staff Dashboard'!$B$8))</f>
        <v>0</v>
      </c>
      <c r="M714">
        <f>IF($E714=0,0,SUMPRODUCT($AI$7:$DF$7,'Staff Daily sales'!$G699:$CD699))</f>
        <v>0</v>
      </c>
      <c r="N714">
        <f>IF($E714=0,0,SUMPRODUCT($AI$8:$DF$8,'Staff Daily sales'!$G699:$CD699))</f>
        <v>0</v>
      </c>
      <c r="O714">
        <f>IF($E714=0,0,SUMPRODUCT($AI$9:$DF$9,'Staff Daily sales'!$G699:$CD699))</f>
        <v>0</v>
      </c>
      <c r="P714">
        <f>IF($E714=0,0,SUMPRODUCT($AI$10:$DF$10,'Staff Daily sales'!$G699:$CD699))</f>
        <v>0</v>
      </c>
      <c r="Q714">
        <f>IF($E714=0,0,SUMPRODUCT($AI$11:$DF$11,'Staff Daily sales'!$G699:$CD699))</f>
        <v>0</v>
      </c>
      <c r="R714">
        <f>IF($E714=0,0,SUMPRODUCT($AI$12:$DF$12,'Staff Daily sales'!$G699:$CD699))</f>
        <v>0</v>
      </c>
      <c r="S714">
        <f>IF($E714=0,0,SUMPRODUCT($AI$13:$DF$13,'Staff Daily sales'!$G699:$CD699))</f>
        <v>0</v>
      </c>
      <c r="T714">
        <f>IF($E714=0,0,SUMPRODUCT($AI$14:$DF$14,'Staff Daily sales'!$G699:$CD699))</f>
        <v>0</v>
      </c>
      <c r="U714">
        <f>IF($E714=0,0,SUMPRODUCT($AI$15:$DF$15,'Staff Daily sales'!$G699:$CD699))</f>
        <v>0</v>
      </c>
      <c r="V714">
        <f>IF($E714=0,0,SUMPRODUCT($AI$16:$DF$16,'Staff Daily sales'!$G699:$CD699))</f>
        <v>0</v>
      </c>
      <c r="W714">
        <f t="shared" si="191"/>
        <v>0</v>
      </c>
      <c r="X714">
        <f t="shared" si="192"/>
        <v>0</v>
      </c>
      <c r="Y714">
        <f t="shared" si="193"/>
        <v>0</v>
      </c>
      <c r="Z714">
        <f t="shared" si="194"/>
        <v>0</v>
      </c>
      <c r="AA714">
        <f t="shared" si="195"/>
        <v>0</v>
      </c>
      <c r="AB714">
        <f>--AND($E714=1,OR('Staff Weekly Trend'!$B$3="All",$DH714='Staff Weekly Trend'!$B$3),OR('Staff Weekly Trend'!$B$4="All",$D714='Staff Weekly Trend'!$B$4),OR('Staff Weekly Trend'!$B$5="All",$A714='Staff Weekly Trend'!$B$5))</f>
        <v>0</v>
      </c>
      <c r="AC714" t="str">
        <f t="shared" si="196"/>
        <v/>
      </c>
      <c r="AI714">
        <f t="shared" si="197"/>
        <v>0</v>
      </c>
      <c r="AJ714">
        <f t="shared" si="198"/>
        <v>0</v>
      </c>
      <c r="AK714">
        <f t="shared" si="199"/>
        <v>0</v>
      </c>
      <c r="AL714">
        <f t="shared" si="200"/>
        <v>0</v>
      </c>
      <c r="AM714">
        <f t="shared" si="201"/>
        <v>0</v>
      </c>
      <c r="DH714" t="str" cm="1">
        <f t="array" ref="DH714">IF($A714="","",_xlfn.LET(_xlpm.c,IFERROR(_xlfn.XLOOKUP($A714,TRIM('Sales and count'!$A$4:$A$300&amp;""),TRIM('Sales and count'!$B$4:$B$300&amp;"")),""),IF(OR(_xlpm.c="",_xlpm.c="0",LEFT(_xlpm.c,1)="#"),"Not set",_xlpm.c)))</f>
        <v/>
      </c>
    </row>
    <row r="715" spans="1:112" x14ac:dyDescent="0.25">
      <c r="A715" t="str">
        <f>IF('Staff Daily sales'!$B700="","",TRIM('Staff Daily sales'!$B700&amp;""))</f>
        <v/>
      </c>
      <c r="B715" t="str">
        <f>IF('Staff Daily sales'!$D700="","",TRIM('Staff Daily sales'!$D700&amp;""))</f>
        <v/>
      </c>
      <c r="C715" t="str">
        <f>IFERROR(TRIM('Staff Daily sales'!$E700&amp;""),"")</f>
        <v/>
      </c>
      <c r="D715" t="str">
        <f>IFERROR(IF(TRIM('Staff Daily sales'!$F700&amp;"")="","Unassigned",TRIM('Staff Daily sales'!$F700&amp;"")),"Unassigned")</f>
        <v>Unassigned</v>
      </c>
      <c r="E715">
        <f t="shared" si="186"/>
        <v>0</v>
      </c>
      <c r="F715">
        <f>IF($E715=0,0,SUMPRODUCT($AI$5:$DF$5,'Staff Daily sales'!$G700:$CD700))</f>
        <v>0</v>
      </c>
      <c r="G715">
        <f>IF($E715=0,0,SUMPRODUCT($AI$6:$DF$6,'Staff Daily sales'!$G700:$CD700))</f>
        <v>0</v>
      </c>
      <c r="H715">
        <f t="shared" si="187"/>
        <v>0</v>
      </c>
      <c r="I715">
        <f t="shared" si="188"/>
        <v>0</v>
      </c>
      <c r="J715">
        <f t="shared" si="189"/>
        <v>0</v>
      </c>
      <c r="K715">
        <f t="shared" si="190"/>
        <v>0</v>
      </c>
      <c r="L715">
        <f>--AND($E715=1,OR('Staff Dashboard'!$B$6="All",$DH715='Staff Dashboard'!$B$6),OR('Staff Dashboard'!$B$7="All",$D715='Staff Dashboard'!$B$7),OR('Staff Dashboard'!$B$8="All",$A715='Staff Dashboard'!$B$8))</f>
        <v>0</v>
      </c>
      <c r="M715">
        <f>IF($E715=0,0,SUMPRODUCT($AI$7:$DF$7,'Staff Daily sales'!$G700:$CD700))</f>
        <v>0</v>
      </c>
      <c r="N715">
        <f>IF($E715=0,0,SUMPRODUCT($AI$8:$DF$8,'Staff Daily sales'!$G700:$CD700))</f>
        <v>0</v>
      </c>
      <c r="O715">
        <f>IF($E715=0,0,SUMPRODUCT($AI$9:$DF$9,'Staff Daily sales'!$G700:$CD700))</f>
        <v>0</v>
      </c>
      <c r="P715">
        <f>IF($E715=0,0,SUMPRODUCT($AI$10:$DF$10,'Staff Daily sales'!$G700:$CD700))</f>
        <v>0</v>
      </c>
      <c r="Q715">
        <f>IF($E715=0,0,SUMPRODUCT($AI$11:$DF$11,'Staff Daily sales'!$G700:$CD700))</f>
        <v>0</v>
      </c>
      <c r="R715">
        <f>IF($E715=0,0,SUMPRODUCT($AI$12:$DF$12,'Staff Daily sales'!$G700:$CD700))</f>
        <v>0</v>
      </c>
      <c r="S715">
        <f>IF($E715=0,0,SUMPRODUCT($AI$13:$DF$13,'Staff Daily sales'!$G700:$CD700))</f>
        <v>0</v>
      </c>
      <c r="T715">
        <f>IF($E715=0,0,SUMPRODUCT($AI$14:$DF$14,'Staff Daily sales'!$G700:$CD700))</f>
        <v>0</v>
      </c>
      <c r="U715">
        <f>IF($E715=0,0,SUMPRODUCT($AI$15:$DF$15,'Staff Daily sales'!$G700:$CD700))</f>
        <v>0</v>
      </c>
      <c r="V715">
        <f>IF($E715=0,0,SUMPRODUCT($AI$16:$DF$16,'Staff Daily sales'!$G700:$CD700))</f>
        <v>0</v>
      </c>
      <c r="W715">
        <f t="shared" si="191"/>
        <v>0</v>
      </c>
      <c r="X715">
        <f t="shared" si="192"/>
        <v>0</v>
      </c>
      <c r="Y715">
        <f t="shared" si="193"/>
        <v>0</v>
      </c>
      <c r="Z715">
        <f t="shared" si="194"/>
        <v>0</v>
      </c>
      <c r="AA715">
        <f t="shared" si="195"/>
        <v>0</v>
      </c>
      <c r="AB715">
        <f>--AND($E715=1,OR('Staff Weekly Trend'!$B$3="All",$DH715='Staff Weekly Trend'!$B$3),OR('Staff Weekly Trend'!$B$4="All",$D715='Staff Weekly Trend'!$B$4),OR('Staff Weekly Trend'!$B$5="All",$A715='Staff Weekly Trend'!$B$5))</f>
        <v>0</v>
      </c>
      <c r="AC715" t="str">
        <f t="shared" si="196"/>
        <v/>
      </c>
      <c r="AI715">
        <f t="shared" si="197"/>
        <v>0</v>
      </c>
      <c r="AJ715">
        <f t="shared" si="198"/>
        <v>0</v>
      </c>
      <c r="AK715">
        <f t="shared" si="199"/>
        <v>0</v>
      </c>
      <c r="AL715">
        <f t="shared" si="200"/>
        <v>0</v>
      </c>
      <c r="AM715">
        <f t="shared" si="201"/>
        <v>0</v>
      </c>
      <c r="DH715" t="str" cm="1">
        <f t="array" ref="DH715">IF($A715="","",_xlfn.LET(_xlpm.c,IFERROR(_xlfn.XLOOKUP($A715,TRIM('Sales and count'!$A$4:$A$300&amp;""),TRIM('Sales and count'!$B$4:$B$300&amp;"")),""),IF(OR(_xlpm.c="",_xlpm.c="0",LEFT(_xlpm.c,1)="#"),"Not set",_xlpm.c)))</f>
        <v/>
      </c>
    </row>
    <row r="716" spans="1:112" x14ac:dyDescent="0.25">
      <c r="A716" t="str">
        <f>IF('Staff Daily sales'!$B701="","",TRIM('Staff Daily sales'!$B701&amp;""))</f>
        <v/>
      </c>
      <c r="B716" t="str">
        <f>IF('Staff Daily sales'!$D701="","",TRIM('Staff Daily sales'!$D701&amp;""))</f>
        <v/>
      </c>
      <c r="C716" t="str">
        <f>IFERROR(TRIM('Staff Daily sales'!$E701&amp;""),"")</f>
        <v/>
      </c>
      <c r="D716" t="str">
        <f>IFERROR(IF(TRIM('Staff Daily sales'!$F701&amp;"")="","Unassigned",TRIM('Staff Daily sales'!$F701&amp;"")),"Unassigned")</f>
        <v>Unassigned</v>
      </c>
      <c r="E716">
        <f t="shared" si="186"/>
        <v>0</v>
      </c>
      <c r="F716">
        <f>IF($E716=0,0,SUMPRODUCT($AI$5:$DF$5,'Staff Daily sales'!$G701:$CD701))</f>
        <v>0</v>
      </c>
      <c r="G716">
        <f>IF($E716=0,0,SUMPRODUCT($AI$6:$DF$6,'Staff Daily sales'!$G701:$CD701))</f>
        <v>0</v>
      </c>
      <c r="H716">
        <f t="shared" si="187"/>
        <v>0</v>
      </c>
      <c r="I716">
        <f t="shared" si="188"/>
        <v>0</v>
      </c>
      <c r="J716">
        <f t="shared" si="189"/>
        <v>0</v>
      </c>
      <c r="K716">
        <f t="shared" si="190"/>
        <v>0</v>
      </c>
      <c r="L716">
        <f>--AND($E716=1,OR('Staff Dashboard'!$B$6="All",$DH716='Staff Dashboard'!$B$6),OR('Staff Dashboard'!$B$7="All",$D716='Staff Dashboard'!$B$7),OR('Staff Dashboard'!$B$8="All",$A716='Staff Dashboard'!$B$8))</f>
        <v>0</v>
      </c>
      <c r="M716">
        <f>IF($E716=0,0,SUMPRODUCT($AI$7:$DF$7,'Staff Daily sales'!$G701:$CD701))</f>
        <v>0</v>
      </c>
      <c r="N716">
        <f>IF($E716=0,0,SUMPRODUCT($AI$8:$DF$8,'Staff Daily sales'!$G701:$CD701))</f>
        <v>0</v>
      </c>
      <c r="O716">
        <f>IF($E716=0,0,SUMPRODUCT($AI$9:$DF$9,'Staff Daily sales'!$G701:$CD701))</f>
        <v>0</v>
      </c>
      <c r="P716">
        <f>IF($E716=0,0,SUMPRODUCT($AI$10:$DF$10,'Staff Daily sales'!$G701:$CD701))</f>
        <v>0</v>
      </c>
      <c r="Q716">
        <f>IF($E716=0,0,SUMPRODUCT($AI$11:$DF$11,'Staff Daily sales'!$G701:$CD701))</f>
        <v>0</v>
      </c>
      <c r="R716">
        <f>IF($E716=0,0,SUMPRODUCT($AI$12:$DF$12,'Staff Daily sales'!$G701:$CD701))</f>
        <v>0</v>
      </c>
      <c r="S716">
        <f>IF($E716=0,0,SUMPRODUCT($AI$13:$DF$13,'Staff Daily sales'!$G701:$CD701))</f>
        <v>0</v>
      </c>
      <c r="T716">
        <f>IF($E716=0,0,SUMPRODUCT($AI$14:$DF$14,'Staff Daily sales'!$G701:$CD701))</f>
        <v>0</v>
      </c>
      <c r="U716">
        <f>IF($E716=0,0,SUMPRODUCT($AI$15:$DF$15,'Staff Daily sales'!$G701:$CD701))</f>
        <v>0</v>
      </c>
      <c r="V716">
        <f>IF($E716=0,0,SUMPRODUCT($AI$16:$DF$16,'Staff Daily sales'!$G701:$CD701))</f>
        <v>0</v>
      </c>
      <c r="W716">
        <f t="shared" si="191"/>
        <v>0</v>
      </c>
      <c r="X716">
        <f t="shared" si="192"/>
        <v>0</v>
      </c>
      <c r="Y716">
        <f t="shared" si="193"/>
        <v>0</v>
      </c>
      <c r="Z716">
        <f t="shared" si="194"/>
        <v>0</v>
      </c>
      <c r="AA716">
        <f t="shared" si="195"/>
        <v>0</v>
      </c>
      <c r="AB716">
        <f>--AND($E716=1,OR('Staff Weekly Trend'!$B$3="All",$DH716='Staff Weekly Trend'!$B$3),OR('Staff Weekly Trend'!$B$4="All",$D716='Staff Weekly Trend'!$B$4),OR('Staff Weekly Trend'!$B$5="All",$A716='Staff Weekly Trend'!$B$5))</f>
        <v>0</v>
      </c>
      <c r="AC716" t="str">
        <f t="shared" si="196"/>
        <v/>
      </c>
      <c r="AI716">
        <f t="shared" si="197"/>
        <v>0</v>
      </c>
      <c r="AJ716">
        <f t="shared" si="198"/>
        <v>0</v>
      </c>
      <c r="AK716">
        <f t="shared" si="199"/>
        <v>0</v>
      </c>
      <c r="AL716">
        <f t="shared" si="200"/>
        <v>0</v>
      </c>
      <c r="AM716">
        <f t="shared" si="201"/>
        <v>0</v>
      </c>
      <c r="DH716" t="str" cm="1">
        <f t="array" ref="DH716">IF($A716="","",_xlfn.LET(_xlpm.c,IFERROR(_xlfn.XLOOKUP($A716,TRIM('Sales and count'!$A$4:$A$300&amp;""),TRIM('Sales and count'!$B$4:$B$300&amp;"")),""),IF(OR(_xlpm.c="",_xlpm.c="0",LEFT(_xlpm.c,1)="#"),"Not set",_xlpm.c)))</f>
        <v/>
      </c>
    </row>
    <row r="717" spans="1:112" x14ac:dyDescent="0.25">
      <c r="A717" t="str">
        <f>IF('Staff Daily sales'!$B702="","",TRIM('Staff Daily sales'!$B702&amp;""))</f>
        <v/>
      </c>
      <c r="B717" t="str">
        <f>IF('Staff Daily sales'!$D702="","",TRIM('Staff Daily sales'!$D702&amp;""))</f>
        <v/>
      </c>
      <c r="C717" t="str">
        <f>IFERROR(TRIM('Staff Daily sales'!$E702&amp;""),"")</f>
        <v/>
      </c>
      <c r="D717" t="str">
        <f>IFERROR(IF(TRIM('Staff Daily sales'!$F702&amp;"")="","Unassigned",TRIM('Staff Daily sales'!$F702&amp;"")),"Unassigned")</f>
        <v>Unassigned</v>
      </c>
      <c r="E717">
        <f t="shared" si="186"/>
        <v>0</v>
      </c>
      <c r="F717">
        <f>IF($E717=0,0,SUMPRODUCT($AI$5:$DF$5,'Staff Daily sales'!$G702:$CD702))</f>
        <v>0</v>
      </c>
      <c r="G717">
        <f>IF($E717=0,0,SUMPRODUCT($AI$6:$DF$6,'Staff Daily sales'!$G702:$CD702))</f>
        <v>0</v>
      </c>
      <c r="H717">
        <f t="shared" si="187"/>
        <v>0</v>
      </c>
      <c r="I717">
        <f t="shared" si="188"/>
        <v>0</v>
      </c>
      <c r="J717">
        <f t="shared" si="189"/>
        <v>0</v>
      </c>
      <c r="K717">
        <f t="shared" si="190"/>
        <v>0</v>
      </c>
      <c r="L717">
        <f>--AND($E717=1,OR('Staff Dashboard'!$B$6="All",$DH717='Staff Dashboard'!$B$6),OR('Staff Dashboard'!$B$7="All",$D717='Staff Dashboard'!$B$7),OR('Staff Dashboard'!$B$8="All",$A717='Staff Dashboard'!$B$8))</f>
        <v>0</v>
      </c>
      <c r="M717">
        <f>IF($E717=0,0,SUMPRODUCT($AI$7:$DF$7,'Staff Daily sales'!$G702:$CD702))</f>
        <v>0</v>
      </c>
      <c r="N717">
        <f>IF($E717=0,0,SUMPRODUCT($AI$8:$DF$8,'Staff Daily sales'!$G702:$CD702))</f>
        <v>0</v>
      </c>
      <c r="O717">
        <f>IF($E717=0,0,SUMPRODUCT($AI$9:$DF$9,'Staff Daily sales'!$G702:$CD702))</f>
        <v>0</v>
      </c>
      <c r="P717">
        <f>IF($E717=0,0,SUMPRODUCT($AI$10:$DF$10,'Staff Daily sales'!$G702:$CD702))</f>
        <v>0</v>
      </c>
      <c r="Q717">
        <f>IF($E717=0,0,SUMPRODUCT($AI$11:$DF$11,'Staff Daily sales'!$G702:$CD702))</f>
        <v>0</v>
      </c>
      <c r="R717">
        <f>IF($E717=0,0,SUMPRODUCT($AI$12:$DF$12,'Staff Daily sales'!$G702:$CD702))</f>
        <v>0</v>
      </c>
      <c r="S717">
        <f>IF($E717=0,0,SUMPRODUCT($AI$13:$DF$13,'Staff Daily sales'!$G702:$CD702))</f>
        <v>0</v>
      </c>
      <c r="T717">
        <f>IF($E717=0,0,SUMPRODUCT($AI$14:$DF$14,'Staff Daily sales'!$G702:$CD702))</f>
        <v>0</v>
      </c>
      <c r="U717">
        <f>IF($E717=0,0,SUMPRODUCT($AI$15:$DF$15,'Staff Daily sales'!$G702:$CD702))</f>
        <v>0</v>
      </c>
      <c r="V717">
        <f>IF($E717=0,0,SUMPRODUCT($AI$16:$DF$16,'Staff Daily sales'!$G702:$CD702))</f>
        <v>0</v>
      </c>
      <c r="W717">
        <f t="shared" si="191"/>
        <v>0</v>
      </c>
      <c r="X717">
        <f t="shared" si="192"/>
        <v>0</v>
      </c>
      <c r="Y717">
        <f t="shared" si="193"/>
        <v>0</v>
      </c>
      <c r="Z717">
        <f t="shared" si="194"/>
        <v>0</v>
      </c>
      <c r="AA717">
        <f t="shared" si="195"/>
        <v>0</v>
      </c>
      <c r="AB717">
        <f>--AND($E717=1,OR('Staff Weekly Trend'!$B$3="All",$DH717='Staff Weekly Trend'!$B$3),OR('Staff Weekly Trend'!$B$4="All",$D717='Staff Weekly Trend'!$B$4),OR('Staff Weekly Trend'!$B$5="All",$A717='Staff Weekly Trend'!$B$5))</f>
        <v>0</v>
      </c>
      <c r="AC717" t="str">
        <f t="shared" si="196"/>
        <v/>
      </c>
      <c r="AI717">
        <f t="shared" si="197"/>
        <v>0</v>
      </c>
      <c r="AJ717">
        <f t="shared" si="198"/>
        <v>0</v>
      </c>
      <c r="AK717">
        <f t="shared" si="199"/>
        <v>0</v>
      </c>
      <c r="AL717">
        <f t="shared" si="200"/>
        <v>0</v>
      </c>
      <c r="AM717">
        <f t="shared" si="201"/>
        <v>0</v>
      </c>
      <c r="DH717" t="str" cm="1">
        <f t="array" ref="DH717">IF($A717="","",_xlfn.LET(_xlpm.c,IFERROR(_xlfn.XLOOKUP($A717,TRIM('Sales and count'!$A$4:$A$300&amp;""),TRIM('Sales and count'!$B$4:$B$300&amp;"")),""),IF(OR(_xlpm.c="",_xlpm.c="0",LEFT(_xlpm.c,1)="#"),"Not set",_xlpm.c)))</f>
        <v/>
      </c>
    </row>
    <row r="718" spans="1:112" x14ac:dyDescent="0.25">
      <c r="A718" t="str">
        <f>IF('Staff Daily sales'!$B703="","",TRIM('Staff Daily sales'!$B703&amp;""))</f>
        <v/>
      </c>
      <c r="B718" t="str">
        <f>IF('Staff Daily sales'!$D703="","",TRIM('Staff Daily sales'!$D703&amp;""))</f>
        <v/>
      </c>
      <c r="C718" t="str">
        <f>IFERROR(TRIM('Staff Daily sales'!$E703&amp;""),"")</f>
        <v/>
      </c>
      <c r="D718" t="str">
        <f>IFERROR(IF(TRIM('Staff Daily sales'!$F703&amp;"")="","Unassigned",TRIM('Staff Daily sales'!$F703&amp;"")),"Unassigned")</f>
        <v>Unassigned</v>
      </c>
      <c r="E718">
        <f t="shared" si="186"/>
        <v>0</v>
      </c>
      <c r="F718">
        <f>IF($E718=0,0,SUMPRODUCT($AI$5:$DF$5,'Staff Daily sales'!$G703:$CD703))</f>
        <v>0</v>
      </c>
      <c r="G718">
        <f>IF($E718=0,0,SUMPRODUCT($AI$6:$DF$6,'Staff Daily sales'!$G703:$CD703))</f>
        <v>0</v>
      </c>
      <c r="H718">
        <f t="shared" si="187"/>
        <v>0</v>
      </c>
      <c r="I718">
        <f t="shared" si="188"/>
        <v>0</v>
      </c>
      <c r="J718">
        <f t="shared" si="189"/>
        <v>0</v>
      </c>
      <c r="K718">
        <f t="shared" si="190"/>
        <v>0</v>
      </c>
      <c r="L718">
        <f>--AND($E718=1,OR('Staff Dashboard'!$B$6="All",$DH718='Staff Dashboard'!$B$6),OR('Staff Dashboard'!$B$7="All",$D718='Staff Dashboard'!$B$7),OR('Staff Dashboard'!$B$8="All",$A718='Staff Dashboard'!$B$8))</f>
        <v>0</v>
      </c>
      <c r="M718">
        <f>IF($E718=0,0,SUMPRODUCT($AI$7:$DF$7,'Staff Daily sales'!$G703:$CD703))</f>
        <v>0</v>
      </c>
      <c r="N718">
        <f>IF($E718=0,0,SUMPRODUCT($AI$8:$DF$8,'Staff Daily sales'!$G703:$CD703))</f>
        <v>0</v>
      </c>
      <c r="O718">
        <f>IF($E718=0,0,SUMPRODUCT($AI$9:$DF$9,'Staff Daily sales'!$G703:$CD703))</f>
        <v>0</v>
      </c>
      <c r="P718">
        <f>IF($E718=0,0,SUMPRODUCT($AI$10:$DF$10,'Staff Daily sales'!$G703:$CD703))</f>
        <v>0</v>
      </c>
      <c r="Q718">
        <f>IF($E718=0,0,SUMPRODUCT($AI$11:$DF$11,'Staff Daily sales'!$G703:$CD703))</f>
        <v>0</v>
      </c>
      <c r="R718">
        <f>IF($E718=0,0,SUMPRODUCT($AI$12:$DF$12,'Staff Daily sales'!$G703:$CD703))</f>
        <v>0</v>
      </c>
      <c r="S718">
        <f>IF($E718=0,0,SUMPRODUCT($AI$13:$DF$13,'Staff Daily sales'!$G703:$CD703))</f>
        <v>0</v>
      </c>
      <c r="T718">
        <f>IF($E718=0,0,SUMPRODUCT($AI$14:$DF$14,'Staff Daily sales'!$G703:$CD703))</f>
        <v>0</v>
      </c>
      <c r="U718">
        <f>IF($E718=0,0,SUMPRODUCT($AI$15:$DF$15,'Staff Daily sales'!$G703:$CD703))</f>
        <v>0</v>
      </c>
      <c r="V718">
        <f>IF($E718=0,0,SUMPRODUCT($AI$16:$DF$16,'Staff Daily sales'!$G703:$CD703))</f>
        <v>0</v>
      </c>
      <c r="W718">
        <f t="shared" si="191"/>
        <v>0</v>
      </c>
      <c r="X718">
        <f t="shared" si="192"/>
        <v>0</v>
      </c>
      <c r="Y718">
        <f t="shared" si="193"/>
        <v>0</v>
      </c>
      <c r="Z718">
        <f t="shared" si="194"/>
        <v>0</v>
      </c>
      <c r="AA718">
        <f t="shared" si="195"/>
        <v>0</v>
      </c>
      <c r="AB718">
        <f>--AND($E718=1,OR('Staff Weekly Trend'!$B$3="All",$DH718='Staff Weekly Trend'!$B$3),OR('Staff Weekly Trend'!$B$4="All",$D718='Staff Weekly Trend'!$B$4),OR('Staff Weekly Trend'!$B$5="All",$A718='Staff Weekly Trend'!$B$5))</f>
        <v>0</v>
      </c>
      <c r="AC718" t="str">
        <f t="shared" si="196"/>
        <v/>
      </c>
      <c r="AI718">
        <f t="shared" si="197"/>
        <v>0</v>
      </c>
      <c r="AJ718">
        <f t="shared" si="198"/>
        <v>0</v>
      </c>
      <c r="AK718">
        <f t="shared" si="199"/>
        <v>0</v>
      </c>
      <c r="AL718">
        <f t="shared" si="200"/>
        <v>0</v>
      </c>
      <c r="AM718">
        <f t="shared" si="201"/>
        <v>0</v>
      </c>
      <c r="DH718" t="str" cm="1">
        <f t="array" ref="DH718">IF($A718="","",_xlfn.LET(_xlpm.c,IFERROR(_xlfn.XLOOKUP($A718,TRIM('Sales and count'!$A$4:$A$300&amp;""),TRIM('Sales and count'!$B$4:$B$300&amp;"")),""),IF(OR(_xlpm.c="",_xlpm.c="0",LEFT(_xlpm.c,1)="#"),"Not set",_xlpm.c)))</f>
        <v/>
      </c>
    </row>
    <row r="719" spans="1:112" x14ac:dyDescent="0.25">
      <c r="A719" t="str">
        <f>IF('Staff Daily sales'!$B704="","",TRIM('Staff Daily sales'!$B704&amp;""))</f>
        <v/>
      </c>
      <c r="B719" t="str">
        <f>IF('Staff Daily sales'!$D704="","",TRIM('Staff Daily sales'!$D704&amp;""))</f>
        <v/>
      </c>
      <c r="C719" t="str">
        <f>IFERROR(TRIM('Staff Daily sales'!$E704&amp;""),"")</f>
        <v/>
      </c>
      <c r="D719" t="str">
        <f>IFERROR(IF(TRIM('Staff Daily sales'!$F704&amp;"")="","Unassigned",TRIM('Staff Daily sales'!$F704&amp;"")),"Unassigned")</f>
        <v>Unassigned</v>
      </c>
      <c r="E719">
        <f t="shared" si="186"/>
        <v>0</v>
      </c>
      <c r="F719">
        <f>IF($E719=0,0,SUMPRODUCT($AI$5:$DF$5,'Staff Daily sales'!$G704:$CD704))</f>
        <v>0</v>
      </c>
      <c r="G719">
        <f>IF($E719=0,0,SUMPRODUCT($AI$6:$DF$6,'Staff Daily sales'!$G704:$CD704))</f>
        <v>0</v>
      </c>
      <c r="H719">
        <f t="shared" si="187"/>
        <v>0</v>
      </c>
      <c r="I719">
        <f t="shared" si="188"/>
        <v>0</v>
      </c>
      <c r="J719">
        <f t="shared" si="189"/>
        <v>0</v>
      </c>
      <c r="K719">
        <f t="shared" si="190"/>
        <v>0</v>
      </c>
      <c r="L719">
        <f>--AND($E719=1,OR('Staff Dashboard'!$B$6="All",$DH719='Staff Dashboard'!$B$6),OR('Staff Dashboard'!$B$7="All",$D719='Staff Dashboard'!$B$7),OR('Staff Dashboard'!$B$8="All",$A719='Staff Dashboard'!$B$8))</f>
        <v>0</v>
      </c>
      <c r="M719">
        <f>IF($E719=0,0,SUMPRODUCT($AI$7:$DF$7,'Staff Daily sales'!$G704:$CD704))</f>
        <v>0</v>
      </c>
      <c r="N719">
        <f>IF($E719=0,0,SUMPRODUCT($AI$8:$DF$8,'Staff Daily sales'!$G704:$CD704))</f>
        <v>0</v>
      </c>
      <c r="O719">
        <f>IF($E719=0,0,SUMPRODUCT($AI$9:$DF$9,'Staff Daily sales'!$G704:$CD704))</f>
        <v>0</v>
      </c>
      <c r="P719">
        <f>IF($E719=0,0,SUMPRODUCT($AI$10:$DF$10,'Staff Daily sales'!$G704:$CD704))</f>
        <v>0</v>
      </c>
      <c r="Q719">
        <f>IF($E719=0,0,SUMPRODUCT($AI$11:$DF$11,'Staff Daily sales'!$G704:$CD704))</f>
        <v>0</v>
      </c>
      <c r="R719">
        <f>IF($E719=0,0,SUMPRODUCT($AI$12:$DF$12,'Staff Daily sales'!$G704:$CD704))</f>
        <v>0</v>
      </c>
      <c r="S719">
        <f>IF($E719=0,0,SUMPRODUCT($AI$13:$DF$13,'Staff Daily sales'!$G704:$CD704))</f>
        <v>0</v>
      </c>
      <c r="T719">
        <f>IF($E719=0,0,SUMPRODUCT($AI$14:$DF$14,'Staff Daily sales'!$G704:$CD704))</f>
        <v>0</v>
      </c>
      <c r="U719">
        <f>IF($E719=0,0,SUMPRODUCT($AI$15:$DF$15,'Staff Daily sales'!$G704:$CD704))</f>
        <v>0</v>
      </c>
      <c r="V719">
        <f>IF($E719=0,0,SUMPRODUCT($AI$16:$DF$16,'Staff Daily sales'!$G704:$CD704))</f>
        <v>0</v>
      </c>
      <c r="W719">
        <f t="shared" si="191"/>
        <v>0</v>
      </c>
      <c r="X719">
        <f t="shared" si="192"/>
        <v>0</v>
      </c>
      <c r="Y719">
        <f t="shared" si="193"/>
        <v>0</v>
      </c>
      <c r="Z719">
        <f t="shared" si="194"/>
        <v>0</v>
      </c>
      <c r="AA719">
        <f t="shared" si="195"/>
        <v>0</v>
      </c>
      <c r="AB719">
        <f>--AND($E719=1,OR('Staff Weekly Trend'!$B$3="All",$DH719='Staff Weekly Trend'!$B$3),OR('Staff Weekly Trend'!$B$4="All",$D719='Staff Weekly Trend'!$B$4),OR('Staff Weekly Trend'!$B$5="All",$A719='Staff Weekly Trend'!$B$5))</f>
        <v>0</v>
      </c>
      <c r="AC719" t="str">
        <f t="shared" si="196"/>
        <v/>
      </c>
      <c r="AI719">
        <f t="shared" si="197"/>
        <v>0</v>
      </c>
      <c r="AJ719">
        <f t="shared" si="198"/>
        <v>0</v>
      </c>
      <c r="AK719">
        <f t="shared" si="199"/>
        <v>0</v>
      </c>
      <c r="AL719">
        <f t="shared" si="200"/>
        <v>0</v>
      </c>
      <c r="AM719">
        <f t="shared" si="201"/>
        <v>0</v>
      </c>
      <c r="DH719" t="str" cm="1">
        <f t="array" ref="DH719">IF($A719="","",_xlfn.LET(_xlpm.c,IFERROR(_xlfn.XLOOKUP($A719,TRIM('Sales and count'!$A$4:$A$300&amp;""),TRIM('Sales and count'!$B$4:$B$300&amp;"")),""),IF(OR(_xlpm.c="",_xlpm.c="0",LEFT(_xlpm.c,1)="#"),"Not set",_xlpm.c)))</f>
        <v/>
      </c>
    </row>
    <row r="720" spans="1:112" x14ac:dyDescent="0.25">
      <c r="A720" t="str">
        <f>IF('Staff Daily sales'!$B705="","",TRIM('Staff Daily sales'!$B705&amp;""))</f>
        <v/>
      </c>
      <c r="B720" t="str">
        <f>IF('Staff Daily sales'!$D705="","",TRIM('Staff Daily sales'!$D705&amp;""))</f>
        <v/>
      </c>
      <c r="C720" t="str">
        <f>IFERROR(TRIM('Staff Daily sales'!$E705&amp;""),"")</f>
        <v/>
      </c>
      <c r="D720" t="str">
        <f>IFERROR(IF(TRIM('Staff Daily sales'!$F705&amp;"")="","Unassigned",TRIM('Staff Daily sales'!$F705&amp;"")),"Unassigned")</f>
        <v>Unassigned</v>
      </c>
      <c r="E720">
        <f t="shared" si="186"/>
        <v>0</v>
      </c>
      <c r="F720">
        <f>IF($E720=0,0,SUMPRODUCT($AI$5:$DF$5,'Staff Daily sales'!$G705:$CD705))</f>
        <v>0</v>
      </c>
      <c r="G720">
        <f>IF($E720=0,0,SUMPRODUCT($AI$6:$DF$6,'Staff Daily sales'!$G705:$CD705))</f>
        <v>0</v>
      </c>
      <c r="H720">
        <f t="shared" si="187"/>
        <v>0</v>
      </c>
      <c r="I720">
        <f t="shared" si="188"/>
        <v>0</v>
      </c>
      <c r="J720">
        <f t="shared" si="189"/>
        <v>0</v>
      </c>
      <c r="K720">
        <f t="shared" si="190"/>
        <v>0</v>
      </c>
      <c r="L720">
        <f>--AND($E720=1,OR('Staff Dashboard'!$B$6="All",$DH720='Staff Dashboard'!$B$6),OR('Staff Dashboard'!$B$7="All",$D720='Staff Dashboard'!$B$7),OR('Staff Dashboard'!$B$8="All",$A720='Staff Dashboard'!$B$8))</f>
        <v>0</v>
      </c>
      <c r="M720">
        <f>IF($E720=0,0,SUMPRODUCT($AI$7:$DF$7,'Staff Daily sales'!$G705:$CD705))</f>
        <v>0</v>
      </c>
      <c r="N720">
        <f>IF($E720=0,0,SUMPRODUCT($AI$8:$DF$8,'Staff Daily sales'!$G705:$CD705))</f>
        <v>0</v>
      </c>
      <c r="O720">
        <f>IF($E720=0,0,SUMPRODUCT($AI$9:$DF$9,'Staff Daily sales'!$G705:$CD705))</f>
        <v>0</v>
      </c>
      <c r="P720">
        <f>IF($E720=0,0,SUMPRODUCT($AI$10:$DF$10,'Staff Daily sales'!$G705:$CD705))</f>
        <v>0</v>
      </c>
      <c r="Q720">
        <f>IF($E720=0,0,SUMPRODUCT($AI$11:$DF$11,'Staff Daily sales'!$G705:$CD705))</f>
        <v>0</v>
      </c>
      <c r="R720">
        <f>IF($E720=0,0,SUMPRODUCT($AI$12:$DF$12,'Staff Daily sales'!$G705:$CD705))</f>
        <v>0</v>
      </c>
      <c r="S720">
        <f>IF($E720=0,0,SUMPRODUCT($AI$13:$DF$13,'Staff Daily sales'!$G705:$CD705))</f>
        <v>0</v>
      </c>
      <c r="T720">
        <f>IF($E720=0,0,SUMPRODUCT($AI$14:$DF$14,'Staff Daily sales'!$G705:$CD705))</f>
        <v>0</v>
      </c>
      <c r="U720">
        <f>IF($E720=0,0,SUMPRODUCT($AI$15:$DF$15,'Staff Daily sales'!$G705:$CD705))</f>
        <v>0</v>
      </c>
      <c r="V720">
        <f>IF($E720=0,0,SUMPRODUCT($AI$16:$DF$16,'Staff Daily sales'!$G705:$CD705))</f>
        <v>0</v>
      </c>
      <c r="W720">
        <f t="shared" si="191"/>
        <v>0</v>
      </c>
      <c r="X720">
        <f t="shared" si="192"/>
        <v>0</v>
      </c>
      <c r="Y720">
        <f t="shared" si="193"/>
        <v>0</v>
      </c>
      <c r="Z720">
        <f t="shared" si="194"/>
        <v>0</v>
      </c>
      <c r="AA720">
        <f t="shared" si="195"/>
        <v>0</v>
      </c>
      <c r="AB720">
        <f>--AND($E720=1,OR('Staff Weekly Trend'!$B$3="All",$DH720='Staff Weekly Trend'!$B$3),OR('Staff Weekly Trend'!$B$4="All",$D720='Staff Weekly Trend'!$B$4),OR('Staff Weekly Trend'!$B$5="All",$A720='Staff Weekly Trend'!$B$5))</f>
        <v>0</v>
      </c>
      <c r="AC720" t="str">
        <f t="shared" si="196"/>
        <v/>
      </c>
      <c r="AI720">
        <f t="shared" si="197"/>
        <v>0</v>
      </c>
      <c r="AJ720">
        <f t="shared" si="198"/>
        <v>0</v>
      </c>
      <c r="AK720">
        <f t="shared" si="199"/>
        <v>0</v>
      </c>
      <c r="AL720">
        <f t="shared" si="200"/>
        <v>0</v>
      </c>
      <c r="AM720">
        <f t="shared" si="201"/>
        <v>0</v>
      </c>
      <c r="DH720" t="str" cm="1">
        <f t="array" ref="DH720">IF($A720="","",_xlfn.LET(_xlpm.c,IFERROR(_xlfn.XLOOKUP($A720,TRIM('Sales and count'!$A$4:$A$300&amp;""),TRIM('Sales and count'!$B$4:$B$300&amp;"")),""),IF(OR(_xlpm.c="",_xlpm.c="0",LEFT(_xlpm.c,1)="#"),"Not set",_xlpm.c)))</f>
        <v/>
      </c>
    </row>
    <row r="721" spans="1:112" x14ac:dyDescent="0.25">
      <c r="A721" t="str">
        <f>IF('Staff Daily sales'!$B706="","",TRIM('Staff Daily sales'!$B706&amp;""))</f>
        <v/>
      </c>
      <c r="B721" t="str">
        <f>IF('Staff Daily sales'!$D706="","",TRIM('Staff Daily sales'!$D706&amp;""))</f>
        <v/>
      </c>
      <c r="C721" t="str">
        <f>IFERROR(TRIM('Staff Daily sales'!$E706&amp;""),"")</f>
        <v/>
      </c>
      <c r="D721" t="str">
        <f>IFERROR(IF(TRIM('Staff Daily sales'!$F706&amp;"")="","Unassigned",TRIM('Staff Daily sales'!$F706&amp;"")),"Unassigned")</f>
        <v>Unassigned</v>
      </c>
      <c r="E721">
        <f t="shared" si="186"/>
        <v>0</v>
      </c>
      <c r="F721">
        <f>IF($E721=0,0,SUMPRODUCT($AI$5:$DF$5,'Staff Daily sales'!$G706:$CD706))</f>
        <v>0</v>
      </c>
      <c r="G721">
        <f>IF($E721=0,0,SUMPRODUCT($AI$6:$DF$6,'Staff Daily sales'!$G706:$CD706))</f>
        <v>0</v>
      </c>
      <c r="H721">
        <f t="shared" si="187"/>
        <v>0</v>
      </c>
      <c r="I721">
        <f t="shared" si="188"/>
        <v>0</v>
      </c>
      <c r="J721">
        <f t="shared" si="189"/>
        <v>0</v>
      </c>
      <c r="K721">
        <f t="shared" si="190"/>
        <v>0</v>
      </c>
      <c r="L721">
        <f>--AND($E721=1,OR('Staff Dashboard'!$B$6="All",$DH721='Staff Dashboard'!$B$6),OR('Staff Dashboard'!$B$7="All",$D721='Staff Dashboard'!$B$7),OR('Staff Dashboard'!$B$8="All",$A721='Staff Dashboard'!$B$8))</f>
        <v>0</v>
      </c>
      <c r="M721">
        <f>IF($E721=0,0,SUMPRODUCT($AI$7:$DF$7,'Staff Daily sales'!$G706:$CD706))</f>
        <v>0</v>
      </c>
      <c r="N721">
        <f>IF($E721=0,0,SUMPRODUCT($AI$8:$DF$8,'Staff Daily sales'!$G706:$CD706))</f>
        <v>0</v>
      </c>
      <c r="O721">
        <f>IF($E721=0,0,SUMPRODUCT($AI$9:$DF$9,'Staff Daily sales'!$G706:$CD706))</f>
        <v>0</v>
      </c>
      <c r="P721">
        <f>IF($E721=0,0,SUMPRODUCT($AI$10:$DF$10,'Staff Daily sales'!$G706:$CD706))</f>
        <v>0</v>
      </c>
      <c r="Q721">
        <f>IF($E721=0,0,SUMPRODUCT($AI$11:$DF$11,'Staff Daily sales'!$G706:$CD706))</f>
        <v>0</v>
      </c>
      <c r="R721">
        <f>IF($E721=0,0,SUMPRODUCT($AI$12:$DF$12,'Staff Daily sales'!$G706:$CD706))</f>
        <v>0</v>
      </c>
      <c r="S721">
        <f>IF($E721=0,0,SUMPRODUCT($AI$13:$DF$13,'Staff Daily sales'!$G706:$CD706))</f>
        <v>0</v>
      </c>
      <c r="T721">
        <f>IF($E721=0,0,SUMPRODUCT($AI$14:$DF$14,'Staff Daily sales'!$G706:$CD706))</f>
        <v>0</v>
      </c>
      <c r="U721">
        <f>IF($E721=0,0,SUMPRODUCT($AI$15:$DF$15,'Staff Daily sales'!$G706:$CD706))</f>
        <v>0</v>
      </c>
      <c r="V721">
        <f>IF($E721=0,0,SUMPRODUCT($AI$16:$DF$16,'Staff Daily sales'!$G706:$CD706))</f>
        <v>0</v>
      </c>
      <c r="W721">
        <f t="shared" si="191"/>
        <v>0</v>
      </c>
      <c r="X721">
        <f t="shared" si="192"/>
        <v>0</v>
      </c>
      <c r="Y721">
        <f t="shared" si="193"/>
        <v>0</v>
      </c>
      <c r="Z721">
        <f t="shared" si="194"/>
        <v>0</v>
      </c>
      <c r="AA721">
        <f t="shared" si="195"/>
        <v>0</v>
      </c>
      <c r="AB721">
        <f>--AND($E721=1,OR('Staff Weekly Trend'!$B$3="All",$DH721='Staff Weekly Trend'!$B$3),OR('Staff Weekly Trend'!$B$4="All",$D721='Staff Weekly Trend'!$B$4),OR('Staff Weekly Trend'!$B$5="All",$A721='Staff Weekly Trend'!$B$5))</f>
        <v>0</v>
      </c>
      <c r="AC721" t="str">
        <f t="shared" si="196"/>
        <v/>
      </c>
      <c r="AI721">
        <f t="shared" si="197"/>
        <v>0</v>
      </c>
      <c r="AJ721">
        <f t="shared" si="198"/>
        <v>0</v>
      </c>
      <c r="AK721">
        <f t="shared" si="199"/>
        <v>0</v>
      </c>
      <c r="AL721">
        <f t="shared" si="200"/>
        <v>0</v>
      </c>
      <c r="AM721">
        <f t="shared" si="201"/>
        <v>0</v>
      </c>
      <c r="DH721" t="str" cm="1">
        <f t="array" ref="DH721">IF($A721="","",_xlfn.LET(_xlpm.c,IFERROR(_xlfn.XLOOKUP($A721,TRIM('Sales and count'!$A$4:$A$300&amp;""),TRIM('Sales and count'!$B$4:$B$300&amp;"")),""),IF(OR(_xlpm.c="",_xlpm.c="0",LEFT(_xlpm.c,1)="#"),"Not set",_xlpm.c)))</f>
        <v/>
      </c>
    </row>
    <row r="722" spans="1:112" x14ac:dyDescent="0.25">
      <c r="A722" t="str">
        <f>IF('Staff Daily sales'!$B707="","",TRIM('Staff Daily sales'!$B707&amp;""))</f>
        <v/>
      </c>
      <c r="B722" t="str">
        <f>IF('Staff Daily sales'!$D707="","",TRIM('Staff Daily sales'!$D707&amp;""))</f>
        <v/>
      </c>
      <c r="C722" t="str">
        <f>IFERROR(TRIM('Staff Daily sales'!$E707&amp;""),"")</f>
        <v/>
      </c>
      <c r="D722" t="str">
        <f>IFERROR(IF(TRIM('Staff Daily sales'!$F707&amp;"")="","Unassigned",TRIM('Staff Daily sales'!$F707&amp;"")),"Unassigned")</f>
        <v>Unassigned</v>
      </c>
      <c r="E722">
        <f t="shared" si="186"/>
        <v>0</v>
      </c>
      <c r="F722">
        <f>IF($E722=0,0,SUMPRODUCT($AI$5:$DF$5,'Staff Daily sales'!$G707:$CD707))</f>
        <v>0</v>
      </c>
      <c r="G722">
        <f>IF($E722=0,0,SUMPRODUCT($AI$6:$DF$6,'Staff Daily sales'!$G707:$CD707))</f>
        <v>0</v>
      </c>
      <c r="H722">
        <f t="shared" si="187"/>
        <v>0</v>
      </c>
      <c r="I722">
        <f t="shared" si="188"/>
        <v>0</v>
      </c>
      <c r="J722">
        <f t="shared" si="189"/>
        <v>0</v>
      </c>
      <c r="K722">
        <f t="shared" si="190"/>
        <v>0</v>
      </c>
      <c r="L722">
        <f>--AND($E722=1,OR('Staff Dashboard'!$B$6="All",$DH722='Staff Dashboard'!$B$6),OR('Staff Dashboard'!$B$7="All",$D722='Staff Dashboard'!$B$7),OR('Staff Dashboard'!$B$8="All",$A722='Staff Dashboard'!$B$8))</f>
        <v>0</v>
      </c>
      <c r="M722">
        <f>IF($E722=0,0,SUMPRODUCT($AI$7:$DF$7,'Staff Daily sales'!$G707:$CD707))</f>
        <v>0</v>
      </c>
      <c r="N722">
        <f>IF($E722=0,0,SUMPRODUCT($AI$8:$DF$8,'Staff Daily sales'!$G707:$CD707))</f>
        <v>0</v>
      </c>
      <c r="O722">
        <f>IF($E722=0,0,SUMPRODUCT($AI$9:$DF$9,'Staff Daily sales'!$G707:$CD707))</f>
        <v>0</v>
      </c>
      <c r="P722">
        <f>IF($E722=0,0,SUMPRODUCT($AI$10:$DF$10,'Staff Daily sales'!$G707:$CD707))</f>
        <v>0</v>
      </c>
      <c r="Q722">
        <f>IF($E722=0,0,SUMPRODUCT($AI$11:$DF$11,'Staff Daily sales'!$G707:$CD707))</f>
        <v>0</v>
      </c>
      <c r="R722">
        <f>IF($E722=0,0,SUMPRODUCT($AI$12:$DF$12,'Staff Daily sales'!$G707:$CD707))</f>
        <v>0</v>
      </c>
      <c r="S722">
        <f>IF($E722=0,0,SUMPRODUCT($AI$13:$DF$13,'Staff Daily sales'!$G707:$CD707))</f>
        <v>0</v>
      </c>
      <c r="T722">
        <f>IF($E722=0,0,SUMPRODUCT($AI$14:$DF$14,'Staff Daily sales'!$G707:$CD707))</f>
        <v>0</v>
      </c>
      <c r="U722">
        <f>IF($E722=0,0,SUMPRODUCT($AI$15:$DF$15,'Staff Daily sales'!$G707:$CD707))</f>
        <v>0</v>
      </c>
      <c r="V722">
        <f>IF($E722=0,0,SUMPRODUCT($AI$16:$DF$16,'Staff Daily sales'!$G707:$CD707))</f>
        <v>0</v>
      </c>
      <c r="W722">
        <f t="shared" si="191"/>
        <v>0</v>
      </c>
      <c r="X722">
        <f t="shared" si="192"/>
        <v>0</v>
      </c>
      <c r="Y722">
        <f t="shared" si="193"/>
        <v>0</v>
      </c>
      <c r="Z722">
        <f t="shared" si="194"/>
        <v>0</v>
      </c>
      <c r="AA722">
        <f t="shared" si="195"/>
        <v>0</v>
      </c>
      <c r="AB722">
        <f>--AND($E722=1,OR('Staff Weekly Trend'!$B$3="All",$DH722='Staff Weekly Trend'!$B$3),OR('Staff Weekly Trend'!$B$4="All",$D722='Staff Weekly Trend'!$B$4),OR('Staff Weekly Trend'!$B$5="All",$A722='Staff Weekly Trend'!$B$5))</f>
        <v>0</v>
      </c>
      <c r="AC722" t="str">
        <f t="shared" si="196"/>
        <v/>
      </c>
      <c r="AI722">
        <f t="shared" si="197"/>
        <v>0</v>
      </c>
      <c r="AJ722">
        <f t="shared" si="198"/>
        <v>0</v>
      </c>
      <c r="AK722">
        <f t="shared" si="199"/>
        <v>0</v>
      </c>
      <c r="AL722">
        <f t="shared" si="200"/>
        <v>0</v>
      </c>
      <c r="AM722">
        <f t="shared" si="201"/>
        <v>0</v>
      </c>
      <c r="DH722" t="str" cm="1">
        <f t="array" ref="DH722">IF($A722="","",_xlfn.LET(_xlpm.c,IFERROR(_xlfn.XLOOKUP($A722,TRIM('Sales and count'!$A$4:$A$300&amp;""),TRIM('Sales and count'!$B$4:$B$300&amp;"")),""),IF(OR(_xlpm.c="",_xlpm.c="0",LEFT(_xlpm.c,1)="#"),"Not set",_xlpm.c)))</f>
        <v/>
      </c>
    </row>
    <row r="723" spans="1:112" x14ac:dyDescent="0.25">
      <c r="A723" t="str">
        <f>IF('Staff Daily sales'!$B708="","",TRIM('Staff Daily sales'!$B708&amp;""))</f>
        <v/>
      </c>
      <c r="B723" t="str">
        <f>IF('Staff Daily sales'!$D708="","",TRIM('Staff Daily sales'!$D708&amp;""))</f>
        <v/>
      </c>
      <c r="C723" t="str">
        <f>IFERROR(TRIM('Staff Daily sales'!$E708&amp;""),"")</f>
        <v/>
      </c>
      <c r="D723" t="str">
        <f>IFERROR(IF(TRIM('Staff Daily sales'!$F708&amp;"")="","Unassigned",TRIM('Staff Daily sales'!$F708&amp;"")),"Unassigned")</f>
        <v>Unassigned</v>
      </c>
      <c r="E723">
        <f t="shared" si="186"/>
        <v>0</v>
      </c>
      <c r="F723">
        <f>IF($E723=0,0,SUMPRODUCT($AI$5:$DF$5,'Staff Daily sales'!$G708:$CD708))</f>
        <v>0</v>
      </c>
      <c r="G723">
        <f>IF($E723=0,0,SUMPRODUCT($AI$6:$DF$6,'Staff Daily sales'!$G708:$CD708))</f>
        <v>0</v>
      </c>
      <c r="H723">
        <f t="shared" si="187"/>
        <v>0</v>
      </c>
      <c r="I723">
        <f t="shared" si="188"/>
        <v>0</v>
      </c>
      <c r="J723">
        <f t="shared" si="189"/>
        <v>0</v>
      </c>
      <c r="K723">
        <f t="shared" si="190"/>
        <v>0</v>
      </c>
      <c r="L723">
        <f>--AND($E723=1,OR('Staff Dashboard'!$B$6="All",$DH723='Staff Dashboard'!$B$6),OR('Staff Dashboard'!$B$7="All",$D723='Staff Dashboard'!$B$7),OR('Staff Dashboard'!$B$8="All",$A723='Staff Dashboard'!$B$8))</f>
        <v>0</v>
      </c>
      <c r="M723">
        <f>IF($E723=0,0,SUMPRODUCT($AI$7:$DF$7,'Staff Daily sales'!$G708:$CD708))</f>
        <v>0</v>
      </c>
      <c r="N723">
        <f>IF($E723=0,0,SUMPRODUCT($AI$8:$DF$8,'Staff Daily sales'!$G708:$CD708))</f>
        <v>0</v>
      </c>
      <c r="O723">
        <f>IF($E723=0,0,SUMPRODUCT($AI$9:$DF$9,'Staff Daily sales'!$G708:$CD708))</f>
        <v>0</v>
      </c>
      <c r="P723">
        <f>IF($E723=0,0,SUMPRODUCT($AI$10:$DF$10,'Staff Daily sales'!$G708:$CD708))</f>
        <v>0</v>
      </c>
      <c r="Q723">
        <f>IF($E723=0,0,SUMPRODUCT($AI$11:$DF$11,'Staff Daily sales'!$G708:$CD708))</f>
        <v>0</v>
      </c>
      <c r="R723">
        <f>IF($E723=0,0,SUMPRODUCT($AI$12:$DF$12,'Staff Daily sales'!$G708:$CD708))</f>
        <v>0</v>
      </c>
      <c r="S723">
        <f>IF($E723=0,0,SUMPRODUCT($AI$13:$DF$13,'Staff Daily sales'!$G708:$CD708))</f>
        <v>0</v>
      </c>
      <c r="T723">
        <f>IF($E723=0,0,SUMPRODUCT($AI$14:$DF$14,'Staff Daily sales'!$G708:$CD708))</f>
        <v>0</v>
      </c>
      <c r="U723">
        <f>IF($E723=0,0,SUMPRODUCT($AI$15:$DF$15,'Staff Daily sales'!$G708:$CD708))</f>
        <v>0</v>
      </c>
      <c r="V723">
        <f>IF($E723=0,0,SUMPRODUCT($AI$16:$DF$16,'Staff Daily sales'!$G708:$CD708))</f>
        <v>0</v>
      </c>
      <c r="W723">
        <f t="shared" si="191"/>
        <v>0</v>
      </c>
      <c r="X723">
        <f t="shared" si="192"/>
        <v>0</v>
      </c>
      <c r="Y723">
        <f t="shared" si="193"/>
        <v>0</v>
      </c>
      <c r="Z723">
        <f t="shared" si="194"/>
        <v>0</v>
      </c>
      <c r="AA723">
        <f t="shared" si="195"/>
        <v>0</v>
      </c>
      <c r="AB723">
        <f>--AND($E723=1,OR('Staff Weekly Trend'!$B$3="All",$DH723='Staff Weekly Trend'!$B$3),OR('Staff Weekly Trend'!$B$4="All",$D723='Staff Weekly Trend'!$B$4),OR('Staff Weekly Trend'!$B$5="All",$A723='Staff Weekly Trend'!$B$5))</f>
        <v>0</v>
      </c>
      <c r="AC723" t="str">
        <f t="shared" si="196"/>
        <v/>
      </c>
      <c r="AI723">
        <f t="shared" si="197"/>
        <v>0</v>
      </c>
      <c r="AJ723">
        <f t="shared" si="198"/>
        <v>0</v>
      </c>
      <c r="AK723">
        <f t="shared" si="199"/>
        <v>0</v>
      </c>
      <c r="AL723">
        <f t="shared" si="200"/>
        <v>0</v>
      </c>
      <c r="AM723">
        <f t="shared" si="201"/>
        <v>0</v>
      </c>
      <c r="DH723" t="str" cm="1">
        <f t="array" ref="DH723">IF($A723="","",_xlfn.LET(_xlpm.c,IFERROR(_xlfn.XLOOKUP($A723,TRIM('Sales and count'!$A$4:$A$300&amp;""),TRIM('Sales and count'!$B$4:$B$300&amp;"")),""),IF(OR(_xlpm.c="",_xlpm.c="0",LEFT(_xlpm.c,1)="#"),"Not set",_xlpm.c)))</f>
        <v/>
      </c>
    </row>
    <row r="724" spans="1:112" x14ac:dyDescent="0.25">
      <c r="A724" t="str">
        <f>IF('Staff Daily sales'!$B709="","",TRIM('Staff Daily sales'!$B709&amp;""))</f>
        <v/>
      </c>
      <c r="B724" t="str">
        <f>IF('Staff Daily sales'!$D709="","",TRIM('Staff Daily sales'!$D709&amp;""))</f>
        <v/>
      </c>
      <c r="C724" t="str">
        <f>IFERROR(TRIM('Staff Daily sales'!$E709&amp;""),"")</f>
        <v/>
      </c>
      <c r="D724" t="str">
        <f>IFERROR(IF(TRIM('Staff Daily sales'!$F709&amp;"")="","Unassigned",TRIM('Staff Daily sales'!$F709&amp;"")),"Unassigned")</f>
        <v>Unassigned</v>
      </c>
      <c r="E724">
        <f t="shared" ref="E724:E787" si="202">--AND($A724&lt;&gt;"",$B724&lt;&gt;"")</f>
        <v>0</v>
      </c>
      <c r="F724">
        <f>IF($E724=0,0,SUMPRODUCT($AI$5:$DF$5,'Staff Daily sales'!$G709:$CD709))</f>
        <v>0</v>
      </c>
      <c r="G724">
        <f>IF($E724=0,0,SUMPRODUCT($AI$6:$DF$6,'Staff Daily sales'!$G709:$CD709))</f>
        <v>0</v>
      </c>
      <c r="H724">
        <f t="shared" ref="H724:H787" si="203">IF($E724=0,0,SUMIFS($F$20:$F$1515,$A$20:$A$1515,$A724))</f>
        <v>0</v>
      </c>
      <c r="I724">
        <f t="shared" ref="I724:I787" si="204">IF($E724=0,0,SUMIFS($G$20:$G$1515,$A$20:$A$1515,$A724))</f>
        <v>0</v>
      </c>
      <c r="J724">
        <f t="shared" ref="J724:J787" si="205">IF($E724=0,0,SUMIFS($F$20:$F$1515,$D$20:$D$1515,$D724))</f>
        <v>0</v>
      </c>
      <c r="K724">
        <f t="shared" ref="K724:K787" si="206">IF($E724=0,0,SUMIFS($G$20:$G$1515,$D$20:$D$1515,$D724))</f>
        <v>0</v>
      </c>
      <c r="L724">
        <f>--AND($E724=1,OR('Staff Dashboard'!$B$6="All",$DH724='Staff Dashboard'!$B$6),OR('Staff Dashboard'!$B$7="All",$D724='Staff Dashboard'!$B$7),OR('Staff Dashboard'!$B$8="All",$A724='Staff Dashboard'!$B$8))</f>
        <v>0</v>
      </c>
      <c r="M724">
        <f>IF($E724=0,0,SUMPRODUCT($AI$7:$DF$7,'Staff Daily sales'!$G709:$CD709))</f>
        <v>0</v>
      </c>
      <c r="N724">
        <f>IF($E724=0,0,SUMPRODUCT($AI$8:$DF$8,'Staff Daily sales'!$G709:$CD709))</f>
        <v>0</v>
      </c>
      <c r="O724">
        <f>IF($E724=0,0,SUMPRODUCT($AI$9:$DF$9,'Staff Daily sales'!$G709:$CD709))</f>
        <v>0</v>
      </c>
      <c r="P724">
        <f>IF($E724=0,0,SUMPRODUCT($AI$10:$DF$10,'Staff Daily sales'!$G709:$CD709))</f>
        <v>0</v>
      </c>
      <c r="Q724">
        <f>IF($E724=0,0,SUMPRODUCT($AI$11:$DF$11,'Staff Daily sales'!$G709:$CD709))</f>
        <v>0</v>
      </c>
      <c r="R724">
        <f>IF($E724=0,0,SUMPRODUCT($AI$12:$DF$12,'Staff Daily sales'!$G709:$CD709))</f>
        <v>0</v>
      </c>
      <c r="S724">
        <f>IF($E724=0,0,SUMPRODUCT($AI$13:$DF$13,'Staff Daily sales'!$G709:$CD709))</f>
        <v>0</v>
      </c>
      <c r="T724">
        <f>IF($E724=0,0,SUMPRODUCT($AI$14:$DF$14,'Staff Daily sales'!$G709:$CD709))</f>
        <v>0</v>
      </c>
      <c r="U724">
        <f>IF($E724=0,0,SUMPRODUCT($AI$15:$DF$15,'Staff Daily sales'!$G709:$CD709))</f>
        <v>0</v>
      </c>
      <c r="V724">
        <f>IF($E724=0,0,SUMPRODUCT($AI$16:$DF$16,'Staff Daily sales'!$G709:$CD709))</f>
        <v>0</v>
      </c>
      <c r="W724">
        <f t="shared" ref="W724:W787" si="207">IF($E724=0,0,SUMIFS(M$20:M$1515,$A$20:$A$1515,$A724))</f>
        <v>0</v>
      </c>
      <c r="X724">
        <f t="shared" ref="X724:X787" si="208">IF($E724=0,0,SUMIFS(O$20:O$1515,$A$20:$A$1515,$A724))</f>
        <v>0</v>
      </c>
      <c r="Y724">
        <f t="shared" ref="Y724:Y787" si="209">IF($E724=0,0,SUMIFS(Q$20:Q$1515,$A$20:$A$1515,$A724))</f>
        <v>0</v>
      </c>
      <c r="Z724">
        <f t="shared" ref="Z724:Z787" si="210">IF($E724=0,0,SUMIFS(S$20:S$1515,$A$20:$A$1515,$A724))</f>
        <v>0</v>
      </c>
      <c r="AA724">
        <f t="shared" ref="AA724:AA787" si="211">IF($E724=0,0,SUMIFS(U$20:U$1515,$A$20:$A$1515,$A724))</f>
        <v>0</v>
      </c>
      <c r="AB724">
        <f>--AND($E724=1,OR('Staff Weekly Trend'!$B$3="All",$DH724='Staff Weekly Trend'!$B$3),OR('Staff Weekly Trend'!$B$4="All",$D724='Staff Weekly Trend'!$B$4),OR('Staff Weekly Trend'!$B$5="All",$A724='Staff Weekly Trend'!$B$5))</f>
        <v>0</v>
      </c>
      <c r="AC724" t="str">
        <f t="shared" ref="AC724:AC787" si="212">IF(OR($E724=0,AND($F724=0,$G724=0)),"",COUNTIFS($A$20:$A$1515,$A724,$E$20:$E$1515,1,$F$20:$F$1515,"&gt;"&amp;$F724)+1)</f>
        <v/>
      </c>
      <c r="AI724">
        <f t="shared" ref="AI724:AI787" si="213">IF($E724=0,0,SUMIFS(N$20:N$1515,$A$20:$A$1515,$A724))</f>
        <v>0</v>
      </c>
      <c r="AJ724">
        <f t="shared" ref="AJ724:AJ787" si="214">IF($E724=0,0,SUMIFS(P$20:P$1515,$A$20:$A$1515,$A724))</f>
        <v>0</v>
      </c>
      <c r="AK724">
        <f t="shared" ref="AK724:AK787" si="215">IF($E724=0,0,SUMIFS(R$20:R$1515,$A$20:$A$1515,$A724))</f>
        <v>0</v>
      </c>
      <c r="AL724">
        <f t="shared" ref="AL724:AL787" si="216">IF($E724=0,0,SUMIFS(T$20:T$1515,$A$20:$A$1515,$A724))</f>
        <v>0</v>
      </c>
      <c r="AM724">
        <f t="shared" ref="AM724:AM787" si="217">IF($E724=0,0,SUMIFS(V$20:V$1515,$A$20:$A$1515,$A724))</f>
        <v>0</v>
      </c>
      <c r="DH724" t="str" cm="1">
        <f t="array" ref="DH724">IF($A724="","",_xlfn.LET(_xlpm.c,IFERROR(_xlfn.XLOOKUP($A724,TRIM('Sales and count'!$A$4:$A$300&amp;""),TRIM('Sales and count'!$B$4:$B$300&amp;"")),""),IF(OR(_xlpm.c="",_xlpm.c="0",LEFT(_xlpm.c,1)="#"),"Not set",_xlpm.c)))</f>
        <v/>
      </c>
    </row>
    <row r="725" spans="1:112" x14ac:dyDescent="0.25">
      <c r="A725" t="str">
        <f>IF('Staff Daily sales'!$B710="","",TRIM('Staff Daily sales'!$B710&amp;""))</f>
        <v/>
      </c>
      <c r="B725" t="str">
        <f>IF('Staff Daily sales'!$D710="","",TRIM('Staff Daily sales'!$D710&amp;""))</f>
        <v/>
      </c>
      <c r="C725" t="str">
        <f>IFERROR(TRIM('Staff Daily sales'!$E710&amp;""),"")</f>
        <v/>
      </c>
      <c r="D725" t="str">
        <f>IFERROR(IF(TRIM('Staff Daily sales'!$F710&amp;"")="","Unassigned",TRIM('Staff Daily sales'!$F710&amp;"")),"Unassigned")</f>
        <v>Unassigned</v>
      </c>
      <c r="E725">
        <f t="shared" si="202"/>
        <v>0</v>
      </c>
      <c r="F725">
        <f>IF($E725=0,0,SUMPRODUCT($AI$5:$DF$5,'Staff Daily sales'!$G710:$CD710))</f>
        <v>0</v>
      </c>
      <c r="G725">
        <f>IF($E725=0,0,SUMPRODUCT($AI$6:$DF$6,'Staff Daily sales'!$G710:$CD710))</f>
        <v>0</v>
      </c>
      <c r="H725">
        <f t="shared" si="203"/>
        <v>0</v>
      </c>
      <c r="I725">
        <f t="shared" si="204"/>
        <v>0</v>
      </c>
      <c r="J725">
        <f t="shared" si="205"/>
        <v>0</v>
      </c>
      <c r="K725">
        <f t="shared" si="206"/>
        <v>0</v>
      </c>
      <c r="L725">
        <f>--AND($E725=1,OR('Staff Dashboard'!$B$6="All",$DH725='Staff Dashboard'!$B$6),OR('Staff Dashboard'!$B$7="All",$D725='Staff Dashboard'!$B$7),OR('Staff Dashboard'!$B$8="All",$A725='Staff Dashboard'!$B$8))</f>
        <v>0</v>
      </c>
      <c r="M725">
        <f>IF($E725=0,0,SUMPRODUCT($AI$7:$DF$7,'Staff Daily sales'!$G710:$CD710))</f>
        <v>0</v>
      </c>
      <c r="N725">
        <f>IF($E725=0,0,SUMPRODUCT($AI$8:$DF$8,'Staff Daily sales'!$G710:$CD710))</f>
        <v>0</v>
      </c>
      <c r="O725">
        <f>IF($E725=0,0,SUMPRODUCT($AI$9:$DF$9,'Staff Daily sales'!$G710:$CD710))</f>
        <v>0</v>
      </c>
      <c r="P725">
        <f>IF($E725=0,0,SUMPRODUCT($AI$10:$DF$10,'Staff Daily sales'!$G710:$CD710))</f>
        <v>0</v>
      </c>
      <c r="Q725">
        <f>IF($E725=0,0,SUMPRODUCT($AI$11:$DF$11,'Staff Daily sales'!$G710:$CD710))</f>
        <v>0</v>
      </c>
      <c r="R725">
        <f>IF($E725=0,0,SUMPRODUCT($AI$12:$DF$12,'Staff Daily sales'!$G710:$CD710))</f>
        <v>0</v>
      </c>
      <c r="S725">
        <f>IF($E725=0,0,SUMPRODUCT($AI$13:$DF$13,'Staff Daily sales'!$G710:$CD710))</f>
        <v>0</v>
      </c>
      <c r="T725">
        <f>IF($E725=0,0,SUMPRODUCT($AI$14:$DF$14,'Staff Daily sales'!$G710:$CD710))</f>
        <v>0</v>
      </c>
      <c r="U725">
        <f>IF($E725=0,0,SUMPRODUCT($AI$15:$DF$15,'Staff Daily sales'!$G710:$CD710))</f>
        <v>0</v>
      </c>
      <c r="V725">
        <f>IF($E725=0,0,SUMPRODUCT($AI$16:$DF$16,'Staff Daily sales'!$G710:$CD710))</f>
        <v>0</v>
      </c>
      <c r="W725">
        <f t="shared" si="207"/>
        <v>0</v>
      </c>
      <c r="X725">
        <f t="shared" si="208"/>
        <v>0</v>
      </c>
      <c r="Y725">
        <f t="shared" si="209"/>
        <v>0</v>
      </c>
      <c r="Z725">
        <f t="shared" si="210"/>
        <v>0</v>
      </c>
      <c r="AA725">
        <f t="shared" si="211"/>
        <v>0</v>
      </c>
      <c r="AB725">
        <f>--AND($E725=1,OR('Staff Weekly Trend'!$B$3="All",$DH725='Staff Weekly Trend'!$B$3),OR('Staff Weekly Trend'!$B$4="All",$D725='Staff Weekly Trend'!$B$4),OR('Staff Weekly Trend'!$B$5="All",$A725='Staff Weekly Trend'!$B$5))</f>
        <v>0</v>
      </c>
      <c r="AC725" t="str">
        <f t="shared" si="212"/>
        <v/>
      </c>
      <c r="AI725">
        <f t="shared" si="213"/>
        <v>0</v>
      </c>
      <c r="AJ725">
        <f t="shared" si="214"/>
        <v>0</v>
      </c>
      <c r="AK725">
        <f t="shared" si="215"/>
        <v>0</v>
      </c>
      <c r="AL725">
        <f t="shared" si="216"/>
        <v>0</v>
      </c>
      <c r="AM725">
        <f t="shared" si="217"/>
        <v>0</v>
      </c>
      <c r="DH725" t="str" cm="1">
        <f t="array" ref="DH725">IF($A725="","",_xlfn.LET(_xlpm.c,IFERROR(_xlfn.XLOOKUP($A725,TRIM('Sales and count'!$A$4:$A$300&amp;""),TRIM('Sales and count'!$B$4:$B$300&amp;"")),""),IF(OR(_xlpm.c="",_xlpm.c="0",LEFT(_xlpm.c,1)="#"),"Not set",_xlpm.c)))</f>
        <v/>
      </c>
    </row>
    <row r="726" spans="1:112" x14ac:dyDescent="0.25">
      <c r="A726" t="str">
        <f>IF('Staff Daily sales'!$B711="","",TRIM('Staff Daily sales'!$B711&amp;""))</f>
        <v/>
      </c>
      <c r="B726" t="str">
        <f>IF('Staff Daily sales'!$D711="","",TRIM('Staff Daily sales'!$D711&amp;""))</f>
        <v/>
      </c>
      <c r="C726" t="str">
        <f>IFERROR(TRIM('Staff Daily sales'!$E711&amp;""),"")</f>
        <v/>
      </c>
      <c r="D726" t="str">
        <f>IFERROR(IF(TRIM('Staff Daily sales'!$F711&amp;"")="","Unassigned",TRIM('Staff Daily sales'!$F711&amp;"")),"Unassigned")</f>
        <v>Unassigned</v>
      </c>
      <c r="E726">
        <f t="shared" si="202"/>
        <v>0</v>
      </c>
      <c r="F726">
        <f>IF($E726=0,0,SUMPRODUCT($AI$5:$DF$5,'Staff Daily sales'!$G711:$CD711))</f>
        <v>0</v>
      </c>
      <c r="G726">
        <f>IF($E726=0,0,SUMPRODUCT($AI$6:$DF$6,'Staff Daily sales'!$G711:$CD711))</f>
        <v>0</v>
      </c>
      <c r="H726">
        <f t="shared" si="203"/>
        <v>0</v>
      </c>
      <c r="I726">
        <f t="shared" si="204"/>
        <v>0</v>
      </c>
      <c r="J726">
        <f t="shared" si="205"/>
        <v>0</v>
      </c>
      <c r="K726">
        <f t="shared" si="206"/>
        <v>0</v>
      </c>
      <c r="L726">
        <f>--AND($E726=1,OR('Staff Dashboard'!$B$6="All",$DH726='Staff Dashboard'!$B$6),OR('Staff Dashboard'!$B$7="All",$D726='Staff Dashboard'!$B$7),OR('Staff Dashboard'!$B$8="All",$A726='Staff Dashboard'!$B$8))</f>
        <v>0</v>
      </c>
      <c r="M726">
        <f>IF($E726=0,0,SUMPRODUCT($AI$7:$DF$7,'Staff Daily sales'!$G711:$CD711))</f>
        <v>0</v>
      </c>
      <c r="N726">
        <f>IF($E726=0,0,SUMPRODUCT($AI$8:$DF$8,'Staff Daily sales'!$G711:$CD711))</f>
        <v>0</v>
      </c>
      <c r="O726">
        <f>IF($E726=0,0,SUMPRODUCT($AI$9:$DF$9,'Staff Daily sales'!$G711:$CD711))</f>
        <v>0</v>
      </c>
      <c r="P726">
        <f>IF($E726=0,0,SUMPRODUCT($AI$10:$DF$10,'Staff Daily sales'!$G711:$CD711))</f>
        <v>0</v>
      </c>
      <c r="Q726">
        <f>IF($E726=0,0,SUMPRODUCT($AI$11:$DF$11,'Staff Daily sales'!$G711:$CD711))</f>
        <v>0</v>
      </c>
      <c r="R726">
        <f>IF($E726=0,0,SUMPRODUCT($AI$12:$DF$12,'Staff Daily sales'!$G711:$CD711))</f>
        <v>0</v>
      </c>
      <c r="S726">
        <f>IF($E726=0,0,SUMPRODUCT($AI$13:$DF$13,'Staff Daily sales'!$G711:$CD711))</f>
        <v>0</v>
      </c>
      <c r="T726">
        <f>IF($E726=0,0,SUMPRODUCT($AI$14:$DF$14,'Staff Daily sales'!$G711:$CD711))</f>
        <v>0</v>
      </c>
      <c r="U726">
        <f>IF($E726=0,0,SUMPRODUCT($AI$15:$DF$15,'Staff Daily sales'!$G711:$CD711))</f>
        <v>0</v>
      </c>
      <c r="V726">
        <f>IF($E726=0,0,SUMPRODUCT($AI$16:$DF$16,'Staff Daily sales'!$G711:$CD711))</f>
        <v>0</v>
      </c>
      <c r="W726">
        <f t="shared" si="207"/>
        <v>0</v>
      </c>
      <c r="X726">
        <f t="shared" si="208"/>
        <v>0</v>
      </c>
      <c r="Y726">
        <f t="shared" si="209"/>
        <v>0</v>
      </c>
      <c r="Z726">
        <f t="shared" si="210"/>
        <v>0</v>
      </c>
      <c r="AA726">
        <f t="shared" si="211"/>
        <v>0</v>
      </c>
      <c r="AB726">
        <f>--AND($E726=1,OR('Staff Weekly Trend'!$B$3="All",$DH726='Staff Weekly Trend'!$B$3),OR('Staff Weekly Trend'!$B$4="All",$D726='Staff Weekly Trend'!$B$4),OR('Staff Weekly Trend'!$B$5="All",$A726='Staff Weekly Trend'!$B$5))</f>
        <v>0</v>
      </c>
      <c r="AC726" t="str">
        <f t="shared" si="212"/>
        <v/>
      </c>
      <c r="AI726">
        <f t="shared" si="213"/>
        <v>0</v>
      </c>
      <c r="AJ726">
        <f t="shared" si="214"/>
        <v>0</v>
      </c>
      <c r="AK726">
        <f t="shared" si="215"/>
        <v>0</v>
      </c>
      <c r="AL726">
        <f t="shared" si="216"/>
        <v>0</v>
      </c>
      <c r="AM726">
        <f t="shared" si="217"/>
        <v>0</v>
      </c>
      <c r="DH726" t="str" cm="1">
        <f t="array" ref="DH726">IF($A726="","",_xlfn.LET(_xlpm.c,IFERROR(_xlfn.XLOOKUP($A726,TRIM('Sales and count'!$A$4:$A$300&amp;""),TRIM('Sales and count'!$B$4:$B$300&amp;"")),""),IF(OR(_xlpm.c="",_xlpm.c="0",LEFT(_xlpm.c,1)="#"),"Not set",_xlpm.c)))</f>
        <v/>
      </c>
    </row>
    <row r="727" spans="1:112" x14ac:dyDescent="0.25">
      <c r="A727" t="str">
        <f>IF('Staff Daily sales'!$B712="","",TRIM('Staff Daily sales'!$B712&amp;""))</f>
        <v/>
      </c>
      <c r="B727" t="str">
        <f>IF('Staff Daily sales'!$D712="","",TRIM('Staff Daily sales'!$D712&amp;""))</f>
        <v/>
      </c>
      <c r="C727" t="str">
        <f>IFERROR(TRIM('Staff Daily sales'!$E712&amp;""),"")</f>
        <v/>
      </c>
      <c r="D727" t="str">
        <f>IFERROR(IF(TRIM('Staff Daily sales'!$F712&amp;"")="","Unassigned",TRIM('Staff Daily sales'!$F712&amp;"")),"Unassigned")</f>
        <v>Unassigned</v>
      </c>
      <c r="E727">
        <f t="shared" si="202"/>
        <v>0</v>
      </c>
      <c r="F727">
        <f>IF($E727=0,0,SUMPRODUCT($AI$5:$DF$5,'Staff Daily sales'!$G712:$CD712))</f>
        <v>0</v>
      </c>
      <c r="G727">
        <f>IF($E727=0,0,SUMPRODUCT($AI$6:$DF$6,'Staff Daily sales'!$G712:$CD712))</f>
        <v>0</v>
      </c>
      <c r="H727">
        <f t="shared" si="203"/>
        <v>0</v>
      </c>
      <c r="I727">
        <f t="shared" si="204"/>
        <v>0</v>
      </c>
      <c r="J727">
        <f t="shared" si="205"/>
        <v>0</v>
      </c>
      <c r="K727">
        <f t="shared" si="206"/>
        <v>0</v>
      </c>
      <c r="L727">
        <f>--AND($E727=1,OR('Staff Dashboard'!$B$6="All",$DH727='Staff Dashboard'!$B$6),OR('Staff Dashboard'!$B$7="All",$D727='Staff Dashboard'!$B$7),OR('Staff Dashboard'!$B$8="All",$A727='Staff Dashboard'!$B$8))</f>
        <v>0</v>
      </c>
      <c r="M727">
        <f>IF($E727=0,0,SUMPRODUCT($AI$7:$DF$7,'Staff Daily sales'!$G712:$CD712))</f>
        <v>0</v>
      </c>
      <c r="N727">
        <f>IF($E727=0,0,SUMPRODUCT($AI$8:$DF$8,'Staff Daily sales'!$G712:$CD712))</f>
        <v>0</v>
      </c>
      <c r="O727">
        <f>IF($E727=0,0,SUMPRODUCT($AI$9:$DF$9,'Staff Daily sales'!$G712:$CD712))</f>
        <v>0</v>
      </c>
      <c r="P727">
        <f>IF($E727=0,0,SUMPRODUCT($AI$10:$DF$10,'Staff Daily sales'!$G712:$CD712))</f>
        <v>0</v>
      </c>
      <c r="Q727">
        <f>IF($E727=0,0,SUMPRODUCT($AI$11:$DF$11,'Staff Daily sales'!$G712:$CD712))</f>
        <v>0</v>
      </c>
      <c r="R727">
        <f>IF($E727=0,0,SUMPRODUCT($AI$12:$DF$12,'Staff Daily sales'!$G712:$CD712))</f>
        <v>0</v>
      </c>
      <c r="S727">
        <f>IF($E727=0,0,SUMPRODUCT($AI$13:$DF$13,'Staff Daily sales'!$G712:$CD712))</f>
        <v>0</v>
      </c>
      <c r="T727">
        <f>IF($E727=0,0,SUMPRODUCT($AI$14:$DF$14,'Staff Daily sales'!$G712:$CD712))</f>
        <v>0</v>
      </c>
      <c r="U727">
        <f>IF($E727=0,0,SUMPRODUCT($AI$15:$DF$15,'Staff Daily sales'!$G712:$CD712))</f>
        <v>0</v>
      </c>
      <c r="V727">
        <f>IF($E727=0,0,SUMPRODUCT($AI$16:$DF$16,'Staff Daily sales'!$G712:$CD712))</f>
        <v>0</v>
      </c>
      <c r="W727">
        <f t="shared" si="207"/>
        <v>0</v>
      </c>
      <c r="X727">
        <f t="shared" si="208"/>
        <v>0</v>
      </c>
      <c r="Y727">
        <f t="shared" si="209"/>
        <v>0</v>
      </c>
      <c r="Z727">
        <f t="shared" si="210"/>
        <v>0</v>
      </c>
      <c r="AA727">
        <f t="shared" si="211"/>
        <v>0</v>
      </c>
      <c r="AB727">
        <f>--AND($E727=1,OR('Staff Weekly Trend'!$B$3="All",$DH727='Staff Weekly Trend'!$B$3),OR('Staff Weekly Trend'!$B$4="All",$D727='Staff Weekly Trend'!$B$4),OR('Staff Weekly Trend'!$B$5="All",$A727='Staff Weekly Trend'!$B$5))</f>
        <v>0</v>
      </c>
      <c r="AC727" t="str">
        <f t="shared" si="212"/>
        <v/>
      </c>
      <c r="AI727">
        <f t="shared" si="213"/>
        <v>0</v>
      </c>
      <c r="AJ727">
        <f t="shared" si="214"/>
        <v>0</v>
      </c>
      <c r="AK727">
        <f t="shared" si="215"/>
        <v>0</v>
      </c>
      <c r="AL727">
        <f t="shared" si="216"/>
        <v>0</v>
      </c>
      <c r="AM727">
        <f t="shared" si="217"/>
        <v>0</v>
      </c>
      <c r="DH727" t="str" cm="1">
        <f t="array" ref="DH727">IF($A727="","",_xlfn.LET(_xlpm.c,IFERROR(_xlfn.XLOOKUP($A727,TRIM('Sales and count'!$A$4:$A$300&amp;""),TRIM('Sales and count'!$B$4:$B$300&amp;"")),""),IF(OR(_xlpm.c="",_xlpm.c="0",LEFT(_xlpm.c,1)="#"),"Not set",_xlpm.c)))</f>
        <v/>
      </c>
    </row>
    <row r="728" spans="1:112" x14ac:dyDescent="0.25">
      <c r="A728" t="str">
        <f>IF('Staff Daily sales'!$B713="","",TRIM('Staff Daily sales'!$B713&amp;""))</f>
        <v/>
      </c>
      <c r="B728" t="str">
        <f>IF('Staff Daily sales'!$D713="","",TRIM('Staff Daily sales'!$D713&amp;""))</f>
        <v/>
      </c>
      <c r="C728" t="str">
        <f>IFERROR(TRIM('Staff Daily sales'!$E713&amp;""),"")</f>
        <v/>
      </c>
      <c r="D728" t="str">
        <f>IFERROR(IF(TRIM('Staff Daily sales'!$F713&amp;"")="","Unassigned",TRIM('Staff Daily sales'!$F713&amp;"")),"Unassigned")</f>
        <v>Unassigned</v>
      </c>
      <c r="E728">
        <f t="shared" si="202"/>
        <v>0</v>
      </c>
      <c r="F728">
        <f>IF($E728=0,0,SUMPRODUCT($AI$5:$DF$5,'Staff Daily sales'!$G713:$CD713))</f>
        <v>0</v>
      </c>
      <c r="G728">
        <f>IF($E728=0,0,SUMPRODUCT($AI$6:$DF$6,'Staff Daily sales'!$G713:$CD713))</f>
        <v>0</v>
      </c>
      <c r="H728">
        <f t="shared" si="203"/>
        <v>0</v>
      </c>
      <c r="I728">
        <f t="shared" si="204"/>
        <v>0</v>
      </c>
      <c r="J728">
        <f t="shared" si="205"/>
        <v>0</v>
      </c>
      <c r="K728">
        <f t="shared" si="206"/>
        <v>0</v>
      </c>
      <c r="L728">
        <f>--AND($E728=1,OR('Staff Dashboard'!$B$6="All",$DH728='Staff Dashboard'!$B$6),OR('Staff Dashboard'!$B$7="All",$D728='Staff Dashboard'!$B$7),OR('Staff Dashboard'!$B$8="All",$A728='Staff Dashboard'!$B$8))</f>
        <v>0</v>
      </c>
      <c r="M728">
        <f>IF($E728=0,0,SUMPRODUCT($AI$7:$DF$7,'Staff Daily sales'!$G713:$CD713))</f>
        <v>0</v>
      </c>
      <c r="N728">
        <f>IF($E728=0,0,SUMPRODUCT($AI$8:$DF$8,'Staff Daily sales'!$G713:$CD713))</f>
        <v>0</v>
      </c>
      <c r="O728">
        <f>IF($E728=0,0,SUMPRODUCT($AI$9:$DF$9,'Staff Daily sales'!$G713:$CD713))</f>
        <v>0</v>
      </c>
      <c r="P728">
        <f>IF($E728=0,0,SUMPRODUCT($AI$10:$DF$10,'Staff Daily sales'!$G713:$CD713))</f>
        <v>0</v>
      </c>
      <c r="Q728">
        <f>IF($E728=0,0,SUMPRODUCT($AI$11:$DF$11,'Staff Daily sales'!$G713:$CD713))</f>
        <v>0</v>
      </c>
      <c r="R728">
        <f>IF($E728=0,0,SUMPRODUCT($AI$12:$DF$12,'Staff Daily sales'!$G713:$CD713))</f>
        <v>0</v>
      </c>
      <c r="S728">
        <f>IF($E728=0,0,SUMPRODUCT($AI$13:$DF$13,'Staff Daily sales'!$G713:$CD713))</f>
        <v>0</v>
      </c>
      <c r="T728">
        <f>IF($E728=0,0,SUMPRODUCT($AI$14:$DF$14,'Staff Daily sales'!$G713:$CD713))</f>
        <v>0</v>
      </c>
      <c r="U728">
        <f>IF($E728=0,0,SUMPRODUCT($AI$15:$DF$15,'Staff Daily sales'!$G713:$CD713))</f>
        <v>0</v>
      </c>
      <c r="V728">
        <f>IF($E728=0,0,SUMPRODUCT($AI$16:$DF$16,'Staff Daily sales'!$G713:$CD713))</f>
        <v>0</v>
      </c>
      <c r="W728">
        <f t="shared" si="207"/>
        <v>0</v>
      </c>
      <c r="X728">
        <f t="shared" si="208"/>
        <v>0</v>
      </c>
      <c r="Y728">
        <f t="shared" si="209"/>
        <v>0</v>
      </c>
      <c r="Z728">
        <f t="shared" si="210"/>
        <v>0</v>
      </c>
      <c r="AA728">
        <f t="shared" si="211"/>
        <v>0</v>
      </c>
      <c r="AB728">
        <f>--AND($E728=1,OR('Staff Weekly Trend'!$B$3="All",$DH728='Staff Weekly Trend'!$B$3),OR('Staff Weekly Trend'!$B$4="All",$D728='Staff Weekly Trend'!$B$4),OR('Staff Weekly Trend'!$B$5="All",$A728='Staff Weekly Trend'!$B$5))</f>
        <v>0</v>
      </c>
      <c r="AC728" t="str">
        <f t="shared" si="212"/>
        <v/>
      </c>
      <c r="AI728">
        <f t="shared" si="213"/>
        <v>0</v>
      </c>
      <c r="AJ728">
        <f t="shared" si="214"/>
        <v>0</v>
      </c>
      <c r="AK728">
        <f t="shared" si="215"/>
        <v>0</v>
      </c>
      <c r="AL728">
        <f t="shared" si="216"/>
        <v>0</v>
      </c>
      <c r="AM728">
        <f t="shared" si="217"/>
        <v>0</v>
      </c>
      <c r="DH728" t="str" cm="1">
        <f t="array" ref="DH728">IF($A728="","",_xlfn.LET(_xlpm.c,IFERROR(_xlfn.XLOOKUP($A728,TRIM('Sales and count'!$A$4:$A$300&amp;""),TRIM('Sales and count'!$B$4:$B$300&amp;"")),""),IF(OR(_xlpm.c="",_xlpm.c="0",LEFT(_xlpm.c,1)="#"),"Not set",_xlpm.c)))</f>
        <v/>
      </c>
    </row>
    <row r="729" spans="1:112" x14ac:dyDescent="0.25">
      <c r="A729" t="str">
        <f>IF('Staff Daily sales'!$B714="","",TRIM('Staff Daily sales'!$B714&amp;""))</f>
        <v/>
      </c>
      <c r="B729" t="str">
        <f>IF('Staff Daily sales'!$D714="","",TRIM('Staff Daily sales'!$D714&amp;""))</f>
        <v/>
      </c>
      <c r="C729" t="str">
        <f>IFERROR(TRIM('Staff Daily sales'!$E714&amp;""),"")</f>
        <v/>
      </c>
      <c r="D729" t="str">
        <f>IFERROR(IF(TRIM('Staff Daily sales'!$F714&amp;"")="","Unassigned",TRIM('Staff Daily sales'!$F714&amp;"")),"Unassigned")</f>
        <v>Unassigned</v>
      </c>
      <c r="E729">
        <f t="shared" si="202"/>
        <v>0</v>
      </c>
      <c r="F729">
        <f>IF($E729=0,0,SUMPRODUCT($AI$5:$DF$5,'Staff Daily sales'!$G714:$CD714))</f>
        <v>0</v>
      </c>
      <c r="G729">
        <f>IF($E729=0,0,SUMPRODUCT($AI$6:$DF$6,'Staff Daily sales'!$G714:$CD714))</f>
        <v>0</v>
      </c>
      <c r="H729">
        <f t="shared" si="203"/>
        <v>0</v>
      </c>
      <c r="I729">
        <f t="shared" si="204"/>
        <v>0</v>
      </c>
      <c r="J729">
        <f t="shared" si="205"/>
        <v>0</v>
      </c>
      <c r="K729">
        <f t="shared" si="206"/>
        <v>0</v>
      </c>
      <c r="L729">
        <f>--AND($E729=1,OR('Staff Dashboard'!$B$6="All",$DH729='Staff Dashboard'!$B$6),OR('Staff Dashboard'!$B$7="All",$D729='Staff Dashboard'!$B$7),OR('Staff Dashboard'!$B$8="All",$A729='Staff Dashboard'!$B$8))</f>
        <v>0</v>
      </c>
      <c r="M729">
        <f>IF($E729=0,0,SUMPRODUCT($AI$7:$DF$7,'Staff Daily sales'!$G714:$CD714))</f>
        <v>0</v>
      </c>
      <c r="N729">
        <f>IF($E729=0,0,SUMPRODUCT($AI$8:$DF$8,'Staff Daily sales'!$G714:$CD714))</f>
        <v>0</v>
      </c>
      <c r="O729">
        <f>IF($E729=0,0,SUMPRODUCT($AI$9:$DF$9,'Staff Daily sales'!$G714:$CD714))</f>
        <v>0</v>
      </c>
      <c r="P729">
        <f>IF($E729=0,0,SUMPRODUCT($AI$10:$DF$10,'Staff Daily sales'!$G714:$CD714))</f>
        <v>0</v>
      </c>
      <c r="Q729">
        <f>IF($E729=0,0,SUMPRODUCT($AI$11:$DF$11,'Staff Daily sales'!$G714:$CD714))</f>
        <v>0</v>
      </c>
      <c r="R729">
        <f>IF($E729=0,0,SUMPRODUCT($AI$12:$DF$12,'Staff Daily sales'!$G714:$CD714))</f>
        <v>0</v>
      </c>
      <c r="S729">
        <f>IF($E729=0,0,SUMPRODUCT($AI$13:$DF$13,'Staff Daily sales'!$G714:$CD714))</f>
        <v>0</v>
      </c>
      <c r="T729">
        <f>IF($E729=0,0,SUMPRODUCT($AI$14:$DF$14,'Staff Daily sales'!$G714:$CD714))</f>
        <v>0</v>
      </c>
      <c r="U729">
        <f>IF($E729=0,0,SUMPRODUCT($AI$15:$DF$15,'Staff Daily sales'!$G714:$CD714))</f>
        <v>0</v>
      </c>
      <c r="V729">
        <f>IF($E729=0,0,SUMPRODUCT($AI$16:$DF$16,'Staff Daily sales'!$G714:$CD714))</f>
        <v>0</v>
      </c>
      <c r="W729">
        <f t="shared" si="207"/>
        <v>0</v>
      </c>
      <c r="X729">
        <f t="shared" si="208"/>
        <v>0</v>
      </c>
      <c r="Y729">
        <f t="shared" si="209"/>
        <v>0</v>
      </c>
      <c r="Z729">
        <f t="shared" si="210"/>
        <v>0</v>
      </c>
      <c r="AA729">
        <f t="shared" si="211"/>
        <v>0</v>
      </c>
      <c r="AB729">
        <f>--AND($E729=1,OR('Staff Weekly Trend'!$B$3="All",$DH729='Staff Weekly Trend'!$B$3),OR('Staff Weekly Trend'!$B$4="All",$D729='Staff Weekly Trend'!$B$4),OR('Staff Weekly Trend'!$B$5="All",$A729='Staff Weekly Trend'!$B$5))</f>
        <v>0</v>
      </c>
      <c r="AC729" t="str">
        <f t="shared" si="212"/>
        <v/>
      </c>
      <c r="AI729">
        <f t="shared" si="213"/>
        <v>0</v>
      </c>
      <c r="AJ729">
        <f t="shared" si="214"/>
        <v>0</v>
      </c>
      <c r="AK729">
        <f t="shared" si="215"/>
        <v>0</v>
      </c>
      <c r="AL729">
        <f t="shared" si="216"/>
        <v>0</v>
      </c>
      <c r="AM729">
        <f t="shared" si="217"/>
        <v>0</v>
      </c>
      <c r="DH729" t="str" cm="1">
        <f t="array" ref="DH729">IF($A729="","",_xlfn.LET(_xlpm.c,IFERROR(_xlfn.XLOOKUP($A729,TRIM('Sales and count'!$A$4:$A$300&amp;""),TRIM('Sales and count'!$B$4:$B$300&amp;"")),""),IF(OR(_xlpm.c="",_xlpm.c="0",LEFT(_xlpm.c,1)="#"),"Not set",_xlpm.c)))</f>
        <v/>
      </c>
    </row>
    <row r="730" spans="1:112" x14ac:dyDescent="0.25">
      <c r="A730" t="str">
        <f>IF('Staff Daily sales'!$B715="","",TRIM('Staff Daily sales'!$B715&amp;""))</f>
        <v/>
      </c>
      <c r="B730" t="str">
        <f>IF('Staff Daily sales'!$D715="","",TRIM('Staff Daily sales'!$D715&amp;""))</f>
        <v/>
      </c>
      <c r="C730" t="str">
        <f>IFERROR(TRIM('Staff Daily sales'!$E715&amp;""),"")</f>
        <v/>
      </c>
      <c r="D730" t="str">
        <f>IFERROR(IF(TRIM('Staff Daily sales'!$F715&amp;"")="","Unassigned",TRIM('Staff Daily sales'!$F715&amp;"")),"Unassigned")</f>
        <v>Unassigned</v>
      </c>
      <c r="E730">
        <f t="shared" si="202"/>
        <v>0</v>
      </c>
      <c r="F730">
        <f>IF($E730=0,0,SUMPRODUCT($AI$5:$DF$5,'Staff Daily sales'!$G715:$CD715))</f>
        <v>0</v>
      </c>
      <c r="G730">
        <f>IF($E730=0,0,SUMPRODUCT($AI$6:$DF$6,'Staff Daily sales'!$G715:$CD715))</f>
        <v>0</v>
      </c>
      <c r="H730">
        <f t="shared" si="203"/>
        <v>0</v>
      </c>
      <c r="I730">
        <f t="shared" si="204"/>
        <v>0</v>
      </c>
      <c r="J730">
        <f t="shared" si="205"/>
        <v>0</v>
      </c>
      <c r="K730">
        <f t="shared" si="206"/>
        <v>0</v>
      </c>
      <c r="L730">
        <f>--AND($E730=1,OR('Staff Dashboard'!$B$6="All",$DH730='Staff Dashboard'!$B$6),OR('Staff Dashboard'!$B$7="All",$D730='Staff Dashboard'!$B$7),OR('Staff Dashboard'!$B$8="All",$A730='Staff Dashboard'!$B$8))</f>
        <v>0</v>
      </c>
      <c r="M730">
        <f>IF($E730=0,0,SUMPRODUCT($AI$7:$DF$7,'Staff Daily sales'!$G715:$CD715))</f>
        <v>0</v>
      </c>
      <c r="N730">
        <f>IF($E730=0,0,SUMPRODUCT($AI$8:$DF$8,'Staff Daily sales'!$G715:$CD715))</f>
        <v>0</v>
      </c>
      <c r="O730">
        <f>IF($E730=0,0,SUMPRODUCT($AI$9:$DF$9,'Staff Daily sales'!$G715:$CD715))</f>
        <v>0</v>
      </c>
      <c r="P730">
        <f>IF($E730=0,0,SUMPRODUCT($AI$10:$DF$10,'Staff Daily sales'!$G715:$CD715))</f>
        <v>0</v>
      </c>
      <c r="Q730">
        <f>IF($E730=0,0,SUMPRODUCT($AI$11:$DF$11,'Staff Daily sales'!$G715:$CD715))</f>
        <v>0</v>
      </c>
      <c r="R730">
        <f>IF($E730=0,0,SUMPRODUCT($AI$12:$DF$12,'Staff Daily sales'!$G715:$CD715))</f>
        <v>0</v>
      </c>
      <c r="S730">
        <f>IF($E730=0,0,SUMPRODUCT($AI$13:$DF$13,'Staff Daily sales'!$G715:$CD715))</f>
        <v>0</v>
      </c>
      <c r="T730">
        <f>IF($E730=0,0,SUMPRODUCT($AI$14:$DF$14,'Staff Daily sales'!$G715:$CD715))</f>
        <v>0</v>
      </c>
      <c r="U730">
        <f>IF($E730=0,0,SUMPRODUCT($AI$15:$DF$15,'Staff Daily sales'!$G715:$CD715))</f>
        <v>0</v>
      </c>
      <c r="V730">
        <f>IF($E730=0,0,SUMPRODUCT($AI$16:$DF$16,'Staff Daily sales'!$G715:$CD715))</f>
        <v>0</v>
      </c>
      <c r="W730">
        <f t="shared" si="207"/>
        <v>0</v>
      </c>
      <c r="X730">
        <f t="shared" si="208"/>
        <v>0</v>
      </c>
      <c r="Y730">
        <f t="shared" si="209"/>
        <v>0</v>
      </c>
      <c r="Z730">
        <f t="shared" si="210"/>
        <v>0</v>
      </c>
      <c r="AA730">
        <f t="shared" si="211"/>
        <v>0</v>
      </c>
      <c r="AB730">
        <f>--AND($E730=1,OR('Staff Weekly Trend'!$B$3="All",$DH730='Staff Weekly Trend'!$B$3),OR('Staff Weekly Trend'!$B$4="All",$D730='Staff Weekly Trend'!$B$4),OR('Staff Weekly Trend'!$B$5="All",$A730='Staff Weekly Trend'!$B$5))</f>
        <v>0</v>
      </c>
      <c r="AC730" t="str">
        <f t="shared" si="212"/>
        <v/>
      </c>
      <c r="AI730">
        <f t="shared" si="213"/>
        <v>0</v>
      </c>
      <c r="AJ730">
        <f t="shared" si="214"/>
        <v>0</v>
      </c>
      <c r="AK730">
        <f t="shared" si="215"/>
        <v>0</v>
      </c>
      <c r="AL730">
        <f t="shared" si="216"/>
        <v>0</v>
      </c>
      <c r="AM730">
        <f t="shared" si="217"/>
        <v>0</v>
      </c>
      <c r="DH730" t="str" cm="1">
        <f t="array" ref="DH730">IF($A730="","",_xlfn.LET(_xlpm.c,IFERROR(_xlfn.XLOOKUP($A730,TRIM('Sales and count'!$A$4:$A$300&amp;""),TRIM('Sales and count'!$B$4:$B$300&amp;"")),""),IF(OR(_xlpm.c="",_xlpm.c="0",LEFT(_xlpm.c,1)="#"),"Not set",_xlpm.c)))</f>
        <v/>
      </c>
    </row>
    <row r="731" spans="1:112" x14ac:dyDescent="0.25">
      <c r="A731" t="str">
        <f>IF('Staff Daily sales'!$B716="","",TRIM('Staff Daily sales'!$B716&amp;""))</f>
        <v/>
      </c>
      <c r="B731" t="str">
        <f>IF('Staff Daily sales'!$D716="","",TRIM('Staff Daily sales'!$D716&amp;""))</f>
        <v/>
      </c>
      <c r="C731" t="str">
        <f>IFERROR(TRIM('Staff Daily sales'!$E716&amp;""),"")</f>
        <v/>
      </c>
      <c r="D731" t="str">
        <f>IFERROR(IF(TRIM('Staff Daily sales'!$F716&amp;"")="","Unassigned",TRIM('Staff Daily sales'!$F716&amp;"")),"Unassigned")</f>
        <v>Unassigned</v>
      </c>
      <c r="E731">
        <f t="shared" si="202"/>
        <v>0</v>
      </c>
      <c r="F731">
        <f>IF($E731=0,0,SUMPRODUCT($AI$5:$DF$5,'Staff Daily sales'!$G716:$CD716))</f>
        <v>0</v>
      </c>
      <c r="G731">
        <f>IF($E731=0,0,SUMPRODUCT($AI$6:$DF$6,'Staff Daily sales'!$G716:$CD716))</f>
        <v>0</v>
      </c>
      <c r="H731">
        <f t="shared" si="203"/>
        <v>0</v>
      </c>
      <c r="I731">
        <f t="shared" si="204"/>
        <v>0</v>
      </c>
      <c r="J731">
        <f t="shared" si="205"/>
        <v>0</v>
      </c>
      <c r="K731">
        <f t="shared" si="206"/>
        <v>0</v>
      </c>
      <c r="L731">
        <f>--AND($E731=1,OR('Staff Dashboard'!$B$6="All",$DH731='Staff Dashboard'!$B$6),OR('Staff Dashboard'!$B$7="All",$D731='Staff Dashboard'!$B$7),OR('Staff Dashboard'!$B$8="All",$A731='Staff Dashboard'!$B$8))</f>
        <v>0</v>
      </c>
      <c r="M731">
        <f>IF($E731=0,0,SUMPRODUCT($AI$7:$DF$7,'Staff Daily sales'!$G716:$CD716))</f>
        <v>0</v>
      </c>
      <c r="N731">
        <f>IF($E731=0,0,SUMPRODUCT($AI$8:$DF$8,'Staff Daily sales'!$G716:$CD716))</f>
        <v>0</v>
      </c>
      <c r="O731">
        <f>IF($E731=0,0,SUMPRODUCT($AI$9:$DF$9,'Staff Daily sales'!$G716:$CD716))</f>
        <v>0</v>
      </c>
      <c r="P731">
        <f>IF($E731=0,0,SUMPRODUCT($AI$10:$DF$10,'Staff Daily sales'!$G716:$CD716))</f>
        <v>0</v>
      </c>
      <c r="Q731">
        <f>IF($E731=0,0,SUMPRODUCT($AI$11:$DF$11,'Staff Daily sales'!$G716:$CD716))</f>
        <v>0</v>
      </c>
      <c r="R731">
        <f>IF($E731=0,0,SUMPRODUCT($AI$12:$DF$12,'Staff Daily sales'!$G716:$CD716))</f>
        <v>0</v>
      </c>
      <c r="S731">
        <f>IF($E731=0,0,SUMPRODUCT($AI$13:$DF$13,'Staff Daily sales'!$G716:$CD716))</f>
        <v>0</v>
      </c>
      <c r="T731">
        <f>IF($E731=0,0,SUMPRODUCT($AI$14:$DF$14,'Staff Daily sales'!$G716:$CD716))</f>
        <v>0</v>
      </c>
      <c r="U731">
        <f>IF($E731=0,0,SUMPRODUCT($AI$15:$DF$15,'Staff Daily sales'!$G716:$CD716))</f>
        <v>0</v>
      </c>
      <c r="V731">
        <f>IF($E731=0,0,SUMPRODUCT($AI$16:$DF$16,'Staff Daily sales'!$G716:$CD716))</f>
        <v>0</v>
      </c>
      <c r="W731">
        <f t="shared" si="207"/>
        <v>0</v>
      </c>
      <c r="X731">
        <f t="shared" si="208"/>
        <v>0</v>
      </c>
      <c r="Y731">
        <f t="shared" si="209"/>
        <v>0</v>
      </c>
      <c r="Z731">
        <f t="shared" si="210"/>
        <v>0</v>
      </c>
      <c r="AA731">
        <f t="shared" si="211"/>
        <v>0</v>
      </c>
      <c r="AB731">
        <f>--AND($E731=1,OR('Staff Weekly Trend'!$B$3="All",$DH731='Staff Weekly Trend'!$B$3),OR('Staff Weekly Trend'!$B$4="All",$D731='Staff Weekly Trend'!$B$4),OR('Staff Weekly Trend'!$B$5="All",$A731='Staff Weekly Trend'!$B$5))</f>
        <v>0</v>
      </c>
      <c r="AC731" t="str">
        <f t="shared" si="212"/>
        <v/>
      </c>
      <c r="AI731">
        <f t="shared" si="213"/>
        <v>0</v>
      </c>
      <c r="AJ731">
        <f t="shared" si="214"/>
        <v>0</v>
      </c>
      <c r="AK731">
        <f t="shared" si="215"/>
        <v>0</v>
      </c>
      <c r="AL731">
        <f t="shared" si="216"/>
        <v>0</v>
      </c>
      <c r="AM731">
        <f t="shared" si="217"/>
        <v>0</v>
      </c>
      <c r="DH731" t="str" cm="1">
        <f t="array" ref="DH731">IF($A731="","",_xlfn.LET(_xlpm.c,IFERROR(_xlfn.XLOOKUP($A731,TRIM('Sales and count'!$A$4:$A$300&amp;""),TRIM('Sales and count'!$B$4:$B$300&amp;"")),""),IF(OR(_xlpm.c="",_xlpm.c="0",LEFT(_xlpm.c,1)="#"),"Not set",_xlpm.c)))</f>
        <v/>
      </c>
    </row>
    <row r="732" spans="1:112" x14ac:dyDescent="0.25">
      <c r="A732" t="str">
        <f>IF('Staff Daily sales'!$B717="","",TRIM('Staff Daily sales'!$B717&amp;""))</f>
        <v/>
      </c>
      <c r="B732" t="str">
        <f>IF('Staff Daily sales'!$D717="","",TRIM('Staff Daily sales'!$D717&amp;""))</f>
        <v/>
      </c>
      <c r="C732" t="str">
        <f>IFERROR(TRIM('Staff Daily sales'!$E717&amp;""),"")</f>
        <v/>
      </c>
      <c r="D732" t="str">
        <f>IFERROR(IF(TRIM('Staff Daily sales'!$F717&amp;"")="","Unassigned",TRIM('Staff Daily sales'!$F717&amp;"")),"Unassigned")</f>
        <v>Unassigned</v>
      </c>
      <c r="E732">
        <f t="shared" si="202"/>
        <v>0</v>
      </c>
      <c r="F732">
        <f>IF($E732=0,0,SUMPRODUCT($AI$5:$DF$5,'Staff Daily sales'!$G717:$CD717))</f>
        <v>0</v>
      </c>
      <c r="G732">
        <f>IF($E732=0,0,SUMPRODUCT($AI$6:$DF$6,'Staff Daily sales'!$G717:$CD717))</f>
        <v>0</v>
      </c>
      <c r="H732">
        <f t="shared" si="203"/>
        <v>0</v>
      </c>
      <c r="I732">
        <f t="shared" si="204"/>
        <v>0</v>
      </c>
      <c r="J732">
        <f t="shared" si="205"/>
        <v>0</v>
      </c>
      <c r="K732">
        <f t="shared" si="206"/>
        <v>0</v>
      </c>
      <c r="L732">
        <f>--AND($E732=1,OR('Staff Dashboard'!$B$6="All",$DH732='Staff Dashboard'!$B$6),OR('Staff Dashboard'!$B$7="All",$D732='Staff Dashboard'!$B$7),OR('Staff Dashboard'!$B$8="All",$A732='Staff Dashboard'!$B$8))</f>
        <v>0</v>
      </c>
      <c r="M732">
        <f>IF($E732=0,0,SUMPRODUCT($AI$7:$DF$7,'Staff Daily sales'!$G717:$CD717))</f>
        <v>0</v>
      </c>
      <c r="N732">
        <f>IF($E732=0,0,SUMPRODUCT($AI$8:$DF$8,'Staff Daily sales'!$G717:$CD717))</f>
        <v>0</v>
      </c>
      <c r="O732">
        <f>IF($E732=0,0,SUMPRODUCT($AI$9:$DF$9,'Staff Daily sales'!$G717:$CD717))</f>
        <v>0</v>
      </c>
      <c r="P732">
        <f>IF($E732=0,0,SUMPRODUCT($AI$10:$DF$10,'Staff Daily sales'!$G717:$CD717))</f>
        <v>0</v>
      </c>
      <c r="Q732">
        <f>IF($E732=0,0,SUMPRODUCT($AI$11:$DF$11,'Staff Daily sales'!$G717:$CD717))</f>
        <v>0</v>
      </c>
      <c r="R732">
        <f>IF($E732=0,0,SUMPRODUCT($AI$12:$DF$12,'Staff Daily sales'!$G717:$CD717))</f>
        <v>0</v>
      </c>
      <c r="S732">
        <f>IF($E732=0,0,SUMPRODUCT($AI$13:$DF$13,'Staff Daily sales'!$G717:$CD717))</f>
        <v>0</v>
      </c>
      <c r="T732">
        <f>IF($E732=0,0,SUMPRODUCT($AI$14:$DF$14,'Staff Daily sales'!$G717:$CD717))</f>
        <v>0</v>
      </c>
      <c r="U732">
        <f>IF($E732=0,0,SUMPRODUCT($AI$15:$DF$15,'Staff Daily sales'!$G717:$CD717))</f>
        <v>0</v>
      </c>
      <c r="V732">
        <f>IF($E732=0,0,SUMPRODUCT($AI$16:$DF$16,'Staff Daily sales'!$G717:$CD717))</f>
        <v>0</v>
      </c>
      <c r="W732">
        <f t="shared" si="207"/>
        <v>0</v>
      </c>
      <c r="X732">
        <f t="shared" si="208"/>
        <v>0</v>
      </c>
      <c r="Y732">
        <f t="shared" si="209"/>
        <v>0</v>
      </c>
      <c r="Z732">
        <f t="shared" si="210"/>
        <v>0</v>
      </c>
      <c r="AA732">
        <f t="shared" si="211"/>
        <v>0</v>
      </c>
      <c r="AB732">
        <f>--AND($E732=1,OR('Staff Weekly Trend'!$B$3="All",$DH732='Staff Weekly Trend'!$B$3),OR('Staff Weekly Trend'!$B$4="All",$D732='Staff Weekly Trend'!$B$4),OR('Staff Weekly Trend'!$B$5="All",$A732='Staff Weekly Trend'!$B$5))</f>
        <v>0</v>
      </c>
      <c r="AC732" t="str">
        <f t="shared" si="212"/>
        <v/>
      </c>
      <c r="AI732">
        <f t="shared" si="213"/>
        <v>0</v>
      </c>
      <c r="AJ732">
        <f t="shared" si="214"/>
        <v>0</v>
      </c>
      <c r="AK732">
        <f t="shared" si="215"/>
        <v>0</v>
      </c>
      <c r="AL732">
        <f t="shared" si="216"/>
        <v>0</v>
      </c>
      <c r="AM732">
        <f t="shared" si="217"/>
        <v>0</v>
      </c>
      <c r="DH732" t="str" cm="1">
        <f t="array" ref="DH732">IF($A732="","",_xlfn.LET(_xlpm.c,IFERROR(_xlfn.XLOOKUP($A732,TRIM('Sales and count'!$A$4:$A$300&amp;""),TRIM('Sales and count'!$B$4:$B$300&amp;"")),""),IF(OR(_xlpm.c="",_xlpm.c="0",LEFT(_xlpm.c,1)="#"),"Not set",_xlpm.c)))</f>
        <v/>
      </c>
    </row>
    <row r="733" spans="1:112" x14ac:dyDescent="0.25">
      <c r="A733" t="str">
        <f>IF('Staff Daily sales'!$B718="","",TRIM('Staff Daily sales'!$B718&amp;""))</f>
        <v/>
      </c>
      <c r="B733" t="str">
        <f>IF('Staff Daily sales'!$D718="","",TRIM('Staff Daily sales'!$D718&amp;""))</f>
        <v/>
      </c>
      <c r="C733" t="str">
        <f>IFERROR(TRIM('Staff Daily sales'!$E718&amp;""),"")</f>
        <v/>
      </c>
      <c r="D733" t="str">
        <f>IFERROR(IF(TRIM('Staff Daily sales'!$F718&amp;"")="","Unassigned",TRIM('Staff Daily sales'!$F718&amp;"")),"Unassigned")</f>
        <v>Unassigned</v>
      </c>
      <c r="E733">
        <f t="shared" si="202"/>
        <v>0</v>
      </c>
      <c r="F733">
        <f>IF($E733=0,0,SUMPRODUCT($AI$5:$DF$5,'Staff Daily sales'!$G718:$CD718))</f>
        <v>0</v>
      </c>
      <c r="G733">
        <f>IF($E733=0,0,SUMPRODUCT($AI$6:$DF$6,'Staff Daily sales'!$G718:$CD718))</f>
        <v>0</v>
      </c>
      <c r="H733">
        <f t="shared" si="203"/>
        <v>0</v>
      </c>
      <c r="I733">
        <f t="shared" si="204"/>
        <v>0</v>
      </c>
      <c r="J733">
        <f t="shared" si="205"/>
        <v>0</v>
      </c>
      <c r="K733">
        <f t="shared" si="206"/>
        <v>0</v>
      </c>
      <c r="L733">
        <f>--AND($E733=1,OR('Staff Dashboard'!$B$6="All",$DH733='Staff Dashboard'!$B$6),OR('Staff Dashboard'!$B$7="All",$D733='Staff Dashboard'!$B$7),OR('Staff Dashboard'!$B$8="All",$A733='Staff Dashboard'!$B$8))</f>
        <v>0</v>
      </c>
      <c r="M733">
        <f>IF($E733=0,0,SUMPRODUCT($AI$7:$DF$7,'Staff Daily sales'!$G718:$CD718))</f>
        <v>0</v>
      </c>
      <c r="N733">
        <f>IF($E733=0,0,SUMPRODUCT($AI$8:$DF$8,'Staff Daily sales'!$G718:$CD718))</f>
        <v>0</v>
      </c>
      <c r="O733">
        <f>IF($E733=0,0,SUMPRODUCT($AI$9:$DF$9,'Staff Daily sales'!$G718:$CD718))</f>
        <v>0</v>
      </c>
      <c r="P733">
        <f>IF($E733=0,0,SUMPRODUCT($AI$10:$DF$10,'Staff Daily sales'!$G718:$CD718))</f>
        <v>0</v>
      </c>
      <c r="Q733">
        <f>IF($E733=0,0,SUMPRODUCT($AI$11:$DF$11,'Staff Daily sales'!$G718:$CD718))</f>
        <v>0</v>
      </c>
      <c r="R733">
        <f>IF($E733=0,0,SUMPRODUCT($AI$12:$DF$12,'Staff Daily sales'!$G718:$CD718))</f>
        <v>0</v>
      </c>
      <c r="S733">
        <f>IF($E733=0,0,SUMPRODUCT($AI$13:$DF$13,'Staff Daily sales'!$G718:$CD718))</f>
        <v>0</v>
      </c>
      <c r="T733">
        <f>IF($E733=0,0,SUMPRODUCT($AI$14:$DF$14,'Staff Daily sales'!$G718:$CD718))</f>
        <v>0</v>
      </c>
      <c r="U733">
        <f>IF($E733=0,0,SUMPRODUCT($AI$15:$DF$15,'Staff Daily sales'!$G718:$CD718))</f>
        <v>0</v>
      </c>
      <c r="V733">
        <f>IF($E733=0,0,SUMPRODUCT($AI$16:$DF$16,'Staff Daily sales'!$G718:$CD718))</f>
        <v>0</v>
      </c>
      <c r="W733">
        <f t="shared" si="207"/>
        <v>0</v>
      </c>
      <c r="X733">
        <f t="shared" si="208"/>
        <v>0</v>
      </c>
      <c r="Y733">
        <f t="shared" si="209"/>
        <v>0</v>
      </c>
      <c r="Z733">
        <f t="shared" si="210"/>
        <v>0</v>
      </c>
      <c r="AA733">
        <f t="shared" si="211"/>
        <v>0</v>
      </c>
      <c r="AB733">
        <f>--AND($E733=1,OR('Staff Weekly Trend'!$B$3="All",$DH733='Staff Weekly Trend'!$B$3),OR('Staff Weekly Trend'!$B$4="All",$D733='Staff Weekly Trend'!$B$4),OR('Staff Weekly Trend'!$B$5="All",$A733='Staff Weekly Trend'!$B$5))</f>
        <v>0</v>
      </c>
      <c r="AC733" t="str">
        <f t="shared" si="212"/>
        <v/>
      </c>
      <c r="AI733">
        <f t="shared" si="213"/>
        <v>0</v>
      </c>
      <c r="AJ733">
        <f t="shared" si="214"/>
        <v>0</v>
      </c>
      <c r="AK733">
        <f t="shared" si="215"/>
        <v>0</v>
      </c>
      <c r="AL733">
        <f t="shared" si="216"/>
        <v>0</v>
      </c>
      <c r="AM733">
        <f t="shared" si="217"/>
        <v>0</v>
      </c>
      <c r="DH733" t="str" cm="1">
        <f t="array" ref="DH733">IF($A733="","",_xlfn.LET(_xlpm.c,IFERROR(_xlfn.XLOOKUP($A733,TRIM('Sales and count'!$A$4:$A$300&amp;""),TRIM('Sales and count'!$B$4:$B$300&amp;"")),""),IF(OR(_xlpm.c="",_xlpm.c="0",LEFT(_xlpm.c,1)="#"),"Not set",_xlpm.c)))</f>
        <v/>
      </c>
    </row>
    <row r="734" spans="1:112" x14ac:dyDescent="0.25">
      <c r="A734" t="str">
        <f>IF('Staff Daily sales'!$B719="","",TRIM('Staff Daily sales'!$B719&amp;""))</f>
        <v/>
      </c>
      <c r="B734" t="str">
        <f>IF('Staff Daily sales'!$D719="","",TRIM('Staff Daily sales'!$D719&amp;""))</f>
        <v/>
      </c>
      <c r="C734" t="str">
        <f>IFERROR(TRIM('Staff Daily sales'!$E719&amp;""),"")</f>
        <v/>
      </c>
      <c r="D734" t="str">
        <f>IFERROR(IF(TRIM('Staff Daily sales'!$F719&amp;"")="","Unassigned",TRIM('Staff Daily sales'!$F719&amp;"")),"Unassigned")</f>
        <v>Unassigned</v>
      </c>
      <c r="E734">
        <f t="shared" si="202"/>
        <v>0</v>
      </c>
      <c r="F734">
        <f>IF($E734=0,0,SUMPRODUCT($AI$5:$DF$5,'Staff Daily sales'!$G719:$CD719))</f>
        <v>0</v>
      </c>
      <c r="G734">
        <f>IF($E734=0,0,SUMPRODUCT($AI$6:$DF$6,'Staff Daily sales'!$G719:$CD719))</f>
        <v>0</v>
      </c>
      <c r="H734">
        <f t="shared" si="203"/>
        <v>0</v>
      </c>
      <c r="I734">
        <f t="shared" si="204"/>
        <v>0</v>
      </c>
      <c r="J734">
        <f t="shared" si="205"/>
        <v>0</v>
      </c>
      <c r="K734">
        <f t="shared" si="206"/>
        <v>0</v>
      </c>
      <c r="L734">
        <f>--AND($E734=1,OR('Staff Dashboard'!$B$6="All",$DH734='Staff Dashboard'!$B$6),OR('Staff Dashboard'!$B$7="All",$D734='Staff Dashboard'!$B$7),OR('Staff Dashboard'!$B$8="All",$A734='Staff Dashboard'!$B$8))</f>
        <v>0</v>
      </c>
      <c r="M734">
        <f>IF($E734=0,0,SUMPRODUCT($AI$7:$DF$7,'Staff Daily sales'!$G719:$CD719))</f>
        <v>0</v>
      </c>
      <c r="N734">
        <f>IF($E734=0,0,SUMPRODUCT($AI$8:$DF$8,'Staff Daily sales'!$G719:$CD719))</f>
        <v>0</v>
      </c>
      <c r="O734">
        <f>IF($E734=0,0,SUMPRODUCT($AI$9:$DF$9,'Staff Daily sales'!$G719:$CD719))</f>
        <v>0</v>
      </c>
      <c r="P734">
        <f>IF($E734=0,0,SUMPRODUCT($AI$10:$DF$10,'Staff Daily sales'!$G719:$CD719))</f>
        <v>0</v>
      </c>
      <c r="Q734">
        <f>IF($E734=0,0,SUMPRODUCT($AI$11:$DF$11,'Staff Daily sales'!$G719:$CD719))</f>
        <v>0</v>
      </c>
      <c r="R734">
        <f>IF($E734=0,0,SUMPRODUCT($AI$12:$DF$12,'Staff Daily sales'!$G719:$CD719))</f>
        <v>0</v>
      </c>
      <c r="S734">
        <f>IF($E734=0,0,SUMPRODUCT($AI$13:$DF$13,'Staff Daily sales'!$G719:$CD719))</f>
        <v>0</v>
      </c>
      <c r="T734">
        <f>IF($E734=0,0,SUMPRODUCT($AI$14:$DF$14,'Staff Daily sales'!$G719:$CD719))</f>
        <v>0</v>
      </c>
      <c r="U734">
        <f>IF($E734=0,0,SUMPRODUCT($AI$15:$DF$15,'Staff Daily sales'!$G719:$CD719))</f>
        <v>0</v>
      </c>
      <c r="V734">
        <f>IF($E734=0,0,SUMPRODUCT($AI$16:$DF$16,'Staff Daily sales'!$G719:$CD719))</f>
        <v>0</v>
      </c>
      <c r="W734">
        <f t="shared" si="207"/>
        <v>0</v>
      </c>
      <c r="X734">
        <f t="shared" si="208"/>
        <v>0</v>
      </c>
      <c r="Y734">
        <f t="shared" si="209"/>
        <v>0</v>
      </c>
      <c r="Z734">
        <f t="shared" si="210"/>
        <v>0</v>
      </c>
      <c r="AA734">
        <f t="shared" si="211"/>
        <v>0</v>
      </c>
      <c r="AB734">
        <f>--AND($E734=1,OR('Staff Weekly Trend'!$B$3="All",$DH734='Staff Weekly Trend'!$B$3),OR('Staff Weekly Trend'!$B$4="All",$D734='Staff Weekly Trend'!$B$4),OR('Staff Weekly Trend'!$B$5="All",$A734='Staff Weekly Trend'!$B$5))</f>
        <v>0</v>
      </c>
      <c r="AC734" t="str">
        <f t="shared" si="212"/>
        <v/>
      </c>
      <c r="AI734">
        <f t="shared" si="213"/>
        <v>0</v>
      </c>
      <c r="AJ734">
        <f t="shared" si="214"/>
        <v>0</v>
      </c>
      <c r="AK734">
        <f t="shared" si="215"/>
        <v>0</v>
      </c>
      <c r="AL734">
        <f t="shared" si="216"/>
        <v>0</v>
      </c>
      <c r="AM734">
        <f t="shared" si="217"/>
        <v>0</v>
      </c>
      <c r="DH734" t="str" cm="1">
        <f t="array" ref="DH734">IF($A734="","",_xlfn.LET(_xlpm.c,IFERROR(_xlfn.XLOOKUP($A734,TRIM('Sales and count'!$A$4:$A$300&amp;""),TRIM('Sales and count'!$B$4:$B$300&amp;"")),""),IF(OR(_xlpm.c="",_xlpm.c="0",LEFT(_xlpm.c,1)="#"),"Not set",_xlpm.c)))</f>
        <v/>
      </c>
    </row>
    <row r="735" spans="1:112" x14ac:dyDescent="0.25">
      <c r="A735" t="str">
        <f>IF('Staff Daily sales'!$B720="","",TRIM('Staff Daily sales'!$B720&amp;""))</f>
        <v/>
      </c>
      <c r="B735" t="str">
        <f>IF('Staff Daily sales'!$D720="","",TRIM('Staff Daily sales'!$D720&amp;""))</f>
        <v/>
      </c>
      <c r="C735" t="str">
        <f>IFERROR(TRIM('Staff Daily sales'!$E720&amp;""),"")</f>
        <v/>
      </c>
      <c r="D735" t="str">
        <f>IFERROR(IF(TRIM('Staff Daily sales'!$F720&amp;"")="","Unassigned",TRIM('Staff Daily sales'!$F720&amp;"")),"Unassigned")</f>
        <v>Unassigned</v>
      </c>
      <c r="E735">
        <f t="shared" si="202"/>
        <v>0</v>
      </c>
      <c r="F735">
        <f>IF($E735=0,0,SUMPRODUCT($AI$5:$DF$5,'Staff Daily sales'!$G720:$CD720))</f>
        <v>0</v>
      </c>
      <c r="G735">
        <f>IF($E735=0,0,SUMPRODUCT($AI$6:$DF$6,'Staff Daily sales'!$G720:$CD720))</f>
        <v>0</v>
      </c>
      <c r="H735">
        <f t="shared" si="203"/>
        <v>0</v>
      </c>
      <c r="I735">
        <f t="shared" si="204"/>
        <v>0</v>
      </c>
      <c r="J735">
        <f t="shared" si="205"/>
        <v>0</v>
      </c>
      <c r="K735">
        <f t="shared" si="206"/>
        <v>0</v>
      </c>
      <c r="L735">
        <f>--AND($E735=1,OR('Staff Dashboard'!$B$6="All",$DH735='Staff Dashboard'!$B$6),OR('Staff Dashboard'!$B$7="All",$D735='Staff Dashboard'!$B$7),OR('Staff Dashboard'!$B$8="All",$A735='Staff Dashboard'!$B$8))</f>
        <v>0</v>
      </c>
      <c r="M735">
        <f>IF($E735=0,0,SUMPRODUCT($AI$7:$DF$7,'Staff Daily sales'!$G720:$CD720))</f>
        <v>0</v>
      </c>
      <c r="N735">
        <f>IF($E735=0,0,SUMPRODUCT($AI$8:$DF$8,'Staff Daily sales'!$G720:$CD720))</f>
        <v>0</v>
      </c>
      <c r="O735">
        <f>IF($E735=0,0,SUMPRODUCT($AI$9:$DF$9,'Staff Daily sales'!$G720:$CD720))</f>
        <v>0</v>
      </c>
      <c r="P735">
        <f>IF($E735=0,0,SUMPRODUCT($AI$10:$DF$10,'Staff Daily sales'!$G720:$CD720))</f>
        <v>0</v>
      </c>
      <c r="Q735">
        <f>IF($E735=0,0,SUMPRODUCT($AI$11:$DF$11,'Staff Daily sales'!$G720:$CD720))</f>
        <v>0</v>
      </c>
      <c r="R735">
        <f>IF($E735=0,0,SUMPRODUCT($AI$12:$DF$12,'Staff Daily sales'!$G720:$CD720))</f>
        <v>0</v>
      </c>
      <c r="S735">
        <f>IF($E735=0,0,SUMPRODUCT($AI$13:$DF$13,'Staff Daily sales'!$G720:$CD720))</f>
        <v>0</v>
      </c>
      <c r="T735">
        <f>IF($E735=0,0,SUMPRODUCT($AI$14:$DF$14,'Staff Daily sales'!$G720:$CD720))</f>
        <v>0</v>
      </c>
      <c r="U735">
        <f>IF($E735=0,0,SUMPRODUCT($AI$15:$DF$15,'Staff Daily sales'!$G720:$CD720))</f>
        <v>0</v>
      </c>
      <c r="V735">
        <f>IF($E735=0,0,SUMPRODUCT($AI$16:$DF$16,'Staff Daily sales'!$G720:$CD720))</f>
        <v>0</v>
      </c>
      <c r="W735">
        <f t="shared" si="207"/>
        <v>0</v>
      </c>
      <c r="X735">
        <f t="shared" si="208"/>
        <v>0</v>
      </c>
      <c r="Y735">
        <f t="shared" si="209"/>
        <v>0</v>
      </c>
      <c r="Z735">
        <f t="shared" si="210"/>
        <v>0</v>
      </c>
      <c r="AA735">
        <f t="shared" si="211"/>
        <v>0</v>
      </c>
      <c r="AB735">
        <f>--AND($E735=1,OR('Staff Weekly Trend'!$B$3="All",$DH735='Staff Weekly Trend'!$B$3),OR('Staff Weekly Trend'!$B$4="All",$D735='Staff Weekly Trend'!$B$4),OR('Staff Weekly Trend'!$B$5="All",$A735='Staff Weekly Trend'!$B$5))</f>
        <v>0</v>
      </c>
      <c r="AC735" t="str">
        <f t="shared" si="212"/>
        <v/>
      </c>
      <c r="AI735">
        <f t="shared" si="213"/>
        <v>0</v>
      </c>
      <c r="AJ735">
        <f t="shared" si="214"/>
        <v>0</v>
      </c>
      <c r="AK735">
        <f t="shared" si="215"/>
        <v>0</v>
      </c>
      <c r="AL735">
        <f t="shared" si="216"/>
        <v>0</v>
      </c>
      <c r="AM735">
        <f t="shared" si="217"/>
        <v>0</v>
      </c>
      <c r="DH735" t="str" cm="1">
        <f t="array" ref="DH735">IF($A735="","",_xlfn.LET(_xlpm.c,IFERROR(_xlfn.XLOOKUP($A735,TRIM('Sales and count'!$A$4:$A$300&amp;""),TRIM('Sales and count'!$B$4:$B$300&amp;"")),""),IF(OR(_xlpm.c="",_xlpm.c="0",LEFT(_xlpm.c,1)="#"),"Not set",_xlpm.c)))</f>
        <v/>
      </c>
    </row>
    <row r="736" spans="1:112" x14ac:dyDescent="0.25">
      <c r="A736" t="str">
        <f>IF('Staff Daily sales'!$B721="","",TRIM('Staff Daily sales'!$B721&amp;""))</f>
        <v/>
      </c>
      <c r="B736" t="str">
        <f>IF('Staff Daily sales'!$D721="","",TRIM('Staff Daily sales'!$D721&amp;""))</f>
        <v/>
      </c>
      <c r="C736" t="str">
        <f>IFERROR(TRIM('Staff Daily sales'!$E721&amp;""),"")</f>
        <v/>
      </c>
      <c r="D736" t="str">
        <f>IFERROR(IF(TRIM('Staff Daily sales'!$F721&amp;"")="","Unassigned",TRIM('Staff Daily sales'!$F721&amp;"")),"Unassigned")</f>
        <v>Unassigned</v>
      </c>
      <c r="E736">
        <f t="shared" si="202"/>
        <v>0</v>
      </c>
      <c r="F736">
        <f>IF($E736=0,0,SUMPRODUCT($AI$5:$DF$5,'Staff Daily sales'!$G721:$CD721))</f>
        <v>0</v>
      </c>
      <c r="G736">
        <f>IF($E736=0,0,SUMPRODUCT($AI$6:$DF$6,'Staff Daily sales'!$G721:$CD721))</f>
        <v>0</v>
      </c>
      <c r="H736">
        <f t="shared" si="203"/>
        <v>0</v>
      </c>
      <c r="I736">
        <f t="shared" si="204"/>
        <v>0</v>
      </c>
      <c r="J736">
        <f t="shared" si="205"/>
        <v>0</v>
      </c>
      <c r="K736">
        <f t="shared" si="206"/>
        <v>0</v>
      </c>
      <c r="L736">
        <f>--AND($E736=1,OR('Staff Dashboard'!$B$6="All",$DH736='Staff Dashboard'!$B$6),OR('Staff Dashboard'!$B$7="All",$D736='Staff Dashboard'!$B$7),OR('Staff Dashboard'!$B$8="All",$A736='Staff Dashboard'!$B$8))</f>
        <v>0</v>
      </c>
      <c r="M736">
        <f>IF($E736=0,0,SUMPRODUCT($AI$7:$DF$7,'Staff Daily sales'!$G721:$CD721))</f>
        <v>0</v>
      </c>
      <c r="N736">
        <f>IF($E736=0,0,SUMPRODUCT($AI$8:$DF$8,'Staff Daily sales'!$G721:$CD721))</f>
        <v>0</v>
      </c>
      <c r="O736">
        <f>IF($E736=0,0,SUMPRODUCT($AI$9:$DF$9,'Staff Daily sales'!$G721:$CD721))</f>
        <v>0</v>
      </c>
      <c r="P736">
        <f>IF($E736=0,0,SUMPRODUCT($AI$10:$DF$10,'Staff Daily sales'!$G721:$CD721))</f>
        <v>0</v>
      </c>
      <c r="Q736">
        <f>IF($E736=0,0,SUMPRODUCT($AI$11:$DF$11,'Staff Daily sales'!$G721:$CD721))</f>
        <v>0</v>
      </c>
      <c r="R736">
        <f>IF($E736=0,0,SUMPRODUCT($AI$12:$DF$12,'Staff Daily sales'!$G721:$CD721))</f>
        <v>0</v>
      </c>
      <c r="S736">
        <f>IF($E736=0,0,SUMPRODUCT($AI$13:$DF$13,'Staff Daily sales'!$G721:$CD721))</f>
        <v>0</v>
      </c>
      <c r="T736">
        <f>IF($E736=0,0,SUMPRODUCT($AI$14:$DF$14,'Staff Daily sales'!$G721:$CD721))</f>
        <v>0</v>
      </c>
      <c r="U736">
        <f>IF($E736=0,0,SUMPRODUCT($AI$15:$DF$15,'Staff Daily sales'!$G721:$CD721))</f>
        <v>0</v>
      </c>
      <c r="V736">
        <f>IF($E736=0,0,SUMPRODUCT($AI$16:$DF$16,'Staff Daily sales'!$G721:$CD721))</f>
        <v>0</v>
      </c>
      <c r="W736">
        <f t="shared" si="207"/>
        <v>0</v>
      </c>
      <c r="X736">
        <f t="shared" si="208"/>
        <v>0</v>
      </c>
      <c r="Y736">
        <f t="shared" si="209"/>
        <v>0</v>
      </c>
      <c r="Z736">
        <f t="shared" si="210"/>
        <v>0</v>
      </c>
      <c r="AA736">
        <f t="shared" si="211"/>
        <v>0</v>
      </c>
      <c r="AB736">
        <f>--AND($E736=1,OR('Staff Weekly Trend'!$B$3="All",$DH736='Staff Weekly Trend'!$B$3),OR('Staff Weekly Trend'!$B$4="All",$D736='Staff Weekly Trend'!$B$4),OR('Staff Weekly Trend'!$B$5="All",$A736='Staff Weekly Trend'!$B$5))</f>
        <v>0</v>
      </c>
      <c r="AC736" t="str">
        <f t="shared" si="212"/>
        <v/>
      </c>
      <c r="AI736">
        <f t="shared" si="213"/>
        <v>0</v>
      </c>
      <c r="AJ736">
        <f t="shared" si="214"/>
        <v>0</v>
      </c>
      <c r="AK736">
        <f t="shared" si="215"/>
        <v>0</v>
      </c>
      <c r="AL736">
        <f t="shared" si="216"/>
        <v>0</v>
      </c>
      <c r="AM736">
        <f t="shared" si="217"/>
        <v>0</v>
      </c>
      <c r="DH736" t="str" cm="1">
        <f t="array" ref="DH736">IF($A736="","",_xlfn.LET(_xlpm.c,IFERROR(_xlfn.XLOOKUP($A736,TRIM('Sales and count'!$A$4:$A$300&amp;""),TRIM('Sales and count'!$B$4:$B$300&amp;"")),""),IF(OR(_xlpm.c="",_xlpm.c="0",LEFT(_xlpm.c,1)="#"),"Not set",_xlpm.c)))</f>
        <v/>
      </c>
    </row>
    <row r="737" spans="1:112" x14ac:dyDescent="0.25">
      <c r="A737" t="str">
        <f>IF('Staff Daily sales'!$B722="","",TRIM('Staff Daily sales'!$B722&amp;""))</f>
        <v/>
      </c>
      <c r="B737" t="str">
        <f>IF('Staff Daily sales'!$D722="","",TRIM('Staff Daily sales'!$D722&amp;""))</f>
        <v/>
      </c>
      <c r="C737" t="str">
        <f>IFERROR(TRIM('Staff Daily sales'!$E722&amp;""),"")</f>
        <v/>
      </c>
      <c r="D737" t="str">
        <f>IFERROR(IF(TRIM('Staff Daily sales'!$F722&amp;"")="","Unassigned",TRIM('Staff Daily sales'!$F722&amp;"")),"Unassigned")</f>
        <v>Unassigned</v>
      </c>
      <c r="E737">
        <f t="shared" si="202"/>
        <v>0</v>
      </c>
      <c r="F737">
        <f>IF($E737=0,0,SUMPRODUCT($AI$5:$DF$5,'Staff Daily sales'!$G722:$CD722))</f>
        <v>0</v>
      </c>
      <c r="G737">
        <f>IF($E737=0,0,SUMPRODUCT($AI$6:$DF$6,'Staff Daily sales'!$G722:$CD722))</f>
        <v>0</v>
      </c>
      <c r="H737">
        <f t="shared" si="203"/>
        <v>0</v>
      </c>
      <c r="I737">
        <f t="shared" si="204"/>
        <v>0</v>
      </c>
      <c r="J737">
        <f t="shared" si="205"/>
        <v>0</v>
      </c>
      <c r="K737">
        <f t="shared" si="206"/>
        <v>0</v>
      </c>
      <c r="L737">
        <f>--AND($E737=1,OR('Staff Dashboard'!$B$6="All",$DH737='Staff Dashboard'!$B$6),OR('Staff Dashboard'!$B$7="All",$D737='Staff Dashboard'!$B$7),OR('Staff Dashboard'!$B$8="All",$A737='Staff Dashboard'!$B$8))</f>
        <v>0</v>
      </c>
      <c r="M737">
        <f>IF($E737=0,0,SUMPRODUCT($AI$7:$DF$7,'Staff Daily sales'!$G722:$CD722))</f>
        <v>0</v>
      </c>
      <c r="N737">
        <f>IF($E737=0,0,SUMPRODUCT($AI$8:$DF$8,'Staff Daily sales'!$G722:$CD722))</f>
        <v>0</v>
      </c>
      <c r="O737">
        <f>IF($E737=0,0,SUMPRODUCT($AI$9:$DF$9,'Staff Daily sales'!$G722:$CD722))</f>
        <v>0</v>
      </c>
      <c r="P737">
        <f>IF($E737=0,0,SUMPRODUCT($AI$10:$DF$10,'Staff Daily sales'!$G722:$CD722))</f>
        <v>0</v>
      </c>
      <c r="Q737">
        <f>IF($E737=0,0,SUMPRODUCT($AI$11:$DF$11,'Staff Daily sales'!$G722:$CD722))</f>
        <v>0</v>
      </c>
      <c r="R737">
        <f>IF($E737=0,0,SUMPRODUCT($AI$12:$DF$12,'Staff Daily sales'!$G722:$CD722))</f>
        <v>0</v>
      </c>
      <c r="S737">
        <f>IF($E737=0,0,SUMPRODUCT($AI$13:$DF$13,'Staff Daily sales'!$G722:$CD722))</f>
        <v>0</v>
      </c>
      <c r="T737">
        <f>IF($E737=0,0,SUMPRODUCT($AI$14:$DF$14,'Staff Daily sales'!$G722:$CD722))</f>
        <v>0</v>
      </c>
      <c r="U737">
        <f>IF($E737=0,0,SUMPRODUCT($AI$15:$DF$15,'Staff Daily sales'!$G722:$CD722))</f>
        <v>0</v>
      </c>
      <c r="V737">
        <f>IF($E737=0,0,SUMPRODUCT($AI$16:$DF$16,'Staff Daily sales'!$G722:$CD722))</f>
        <v>0</v>
      </c>
      <c r="W737">
        <f t="shared" si="207"/>
        <v>0</v>
      </c>
      <c r="X737">
        <f t="shared" si="208"/>
        <v>0</v>
      </c>
      <c r="Y737">
        <f t="shared" si="209"/>
        <v>0</v>
      </c>
      <c r="Z737">
        <f t="shared" si="210"/>
        <v>0</v>
      </c>
      <c r="AA737">
        <f t="shared" si="211"/>
        <v>0</v>
      </c>
      <c r="AB737">
        <f>--AND($E737=1,OR('Staff Weekly Trend'!$B$3="All",$DH737='Staff Weekly Trend'!$B$3),OR('Staff Weekly Trend'!$B$4="All",$D737='Staff Weekly Trend'!$B$4),OR('Staff Weekly Trend'!$B$5="All",$A737='Staff Weekly Trend'!$B$5))</f>
        <v>0</v>
      </c>
      <c r="AC737" t="str">
        <f t="shared" si="212"/>
        <v/>
      </c>
      <c r="AI737">
        <f t="shared" si="213"/>
        <v>0</v>
      </c>
      <c r="AJ737">
        <f t="shared" si="214"/>
        <v>0</v>
      </c>
      <c r="AK737">
        <f t="shared" si="215"/>
        <v>0</v>
      </c>
      <c r="AL737">
        <f t="shared" si="216"/>
        <v>0</v>
      </c>
      <c r="AM737">
        <f t="shared" si="217"/>
        <v>0</v>
      </c>
      <c r="DH737" t="str" cm="1">
        <f t="array" ref="DH737">IF($A737="","",_xlfn.LET(_xlpm.c,IFERROR(_xlfn.XLOOKUP($A737,TRIM('Sales and count'!$A$4:$A$300&amp;""),TRIM('Sales and count'!$B$4:$B$300&amp;"")),""),IF(OR(_xlpm.c="",_xlpm.c="0",LEFT(_xlpm.c,1)="#"),"Not set",_xlpm.c)))</f>
        <v/>
      </c>
    </row>
    <row r="738" spans="1:112" x14ac:dyDescent="0.25">
      <c r="A738" t="str">
        <f>IF('Staff Daily sales'!$B723="","",TRIM('Staff Daily sales'!$B723&amp;""))</f>
        <v/>
      </c>
      <c r="B738" t="str">
        <f>IF('Staff Daily sales'!$D723="","",TRIM('Staff Daily sales'!$D723&amp;""))</f>
        <v/>
      </c>
      <c r="C738" t="str">
        <f>IFERROR(TRIM('Staff Daily sales'!$E723&amp;""),"")</f>
        <v/>
      </c>
      <c r="D738" t="str">
        <f>IFERROR(IF(TRIM('Staff Daily sales'!$F723&amp;"")="","Unassigned",TRIM('Staff Daily sales'!$F723&amp;"")),"Unassigned")</f>
        <v>Unassigned</v>
      </c>
      <c r="E738">
        <f t="shared" si="202"/>
        <v>0</v>
      </c>
      <c r="F738">
        <f>IF($E738=0,0,SUMPRODUCT($AI$5:$DF$5,'Staff Daily sales'!$G723:$CD723))</f>
        <v>0</v>
      </c>
      <c r="G738">
        <f>IF($E738=0,0,SUMPRODUCT($AI$6:$DF$6,'Staff Daily sales'!$G723:$CD723))</f>
        <v>0</v>
      </c>
      <c r="H738">
        <f t="shared" si="203"/>
        <v>0</v>
      </c>
      <c r="I738">
        <f t="shared" si="204"/>
        <v>0</v>
      </c>
      <c r="J738">
        <f t="shared" si="205"/>
        <v>0</v>
      </c>
      <c r="K738">
        <f t="shared" si="206"/>
        <v>0</v>
      </c>
      <c r="L738">
        <f>--AND($E738=1,OR('Staff Dashboard'!$B$6="All",$DH738='Staff Dashboard'!$B$6),OR('Staff Dashboard'!$B$7="All",$D738='Staff Dashboard'!$B$7),OR('Staff Dashboard'!$B$8="All",$A738='Staff Dashboard'!$B$8))</f>
        <v>0</v>
      </c>
      <c r="M738">
        <f>IF($E738=0,0,SUMPRODUCT($AI$7:$DF$7,'Staff Daily sales'!$G723:$CD723))</f>
        <v>0</v>
      </c>
      <c r="N738">
        <f>IF($E738=0,0,SUMPRODUCT($AI$8:$DF$8,'Staff Daily sales'!$G723:$CD723))</f>
        <v>0</v>
      </c>
      <c r="O738">
        <f>IF($E738=0,0,SUMPRODUCT($AI$9:$DF$9,'Staff Daily sales'!$G723:$CD723))</f>
        <v>0</v>
      </c>
      <c r="P738">
        <f>IF($E738=0,0,SUMPRODUCT($AI$10:$DF$10,'Staff Daily sales'!$G723:$CD723))</f>
        <v>0</v>
      </c>
      <c r="Q738">
        <f>IF($E738=0,0,SUMPRODUCT($AI$11:$DF$11,'Staff Daily sales'!$G723:$CD723))</f>
        <v>0</v>
      </c>
      <c r="R738">
        <f>IF($E738=0,0,SUMPRODUCT($AI$12:$DF$12,'Staff Daily sales'!$G723:$CD723))</f>
        <v>0</v>
      </c>
      <c r="S738">
        <f>IF($E738=0,0,SUMPRODUCT($AI$13:$DF$13,'Staff Daily sales'!$G723:$CD723))</f>
        <v>0</v>
      </c>
      <c r="T738">
        <f>IF($E738=0,0,SUMPRODUCT($AI$14:$DF$14,'Staff Daily sales'!$G723:$CD723))</f>
        <v>0</v>
      </c>
      <c r="U738">
        <f>IF($E738=0,0,SUMPRODUCT($AI$15:$DF$15,'Staff Daily sales'!$G723:$CD723))</f>
        <v>0</v>
      </c>
      <c r="V738">
        <f>IF($E738=0,0,SUMPRODUCT($AI$16:$DF$16,'Staff Daily sales'!$G723:$CD723))</f>
        <v>0</v>
      </c>
      <c r="W738">
        <f t="shared" si="207"/>
        <v>0</v>
      </c>
      <c r="X738">
        <f t="shared" si="208"/>
        <v>0</v>
      </c>
      <c r="Y738">
        <f t="shared" si="209"/>
        <v>0</v>
      </c>
      <c r="Z738">
        <f t="shared" si="210"/>
        <v>0</v>
      </c>
      <c r="AA738">
        <f t="shared" si="211"/>
        <v>0</v>
      </c>
      <c r="AB738">
        <f>--AND($E738=1,OR('Staff Weekly Trend'!$B$3="All",$DH738='Staff Weekly Trend'!$B$3),OR('Staff Weekly Trend'!$B$4="All",$D738='Staff Weekly Trend'!$B$4),OR('Staff Weekly Trend'!$B$5="All",$A738='Staff Weekly Trend'!$B$5))</f>
        <v>0</v>
      </c>
      <c r="AC738" t="str">
        <f t="shared" si="212"/>
        <v/>
      </c>
      <c r="AI738">
        <f t="shared" si="213"/>
        <v>0</v>
      </c>
      <c r="AJ738">
        <f t="shared" si="214"/>
        <v>0</v>
      </c>
      <c r="AK738">
        <f t="shared" si="215"/>
        <v>0</v>
      </c>
      <c r="AL738">
        <f t="shared" si="216"/>
        <v>0</v>
      </c>
      <c r="AM738">
        <f t="shared" si="217"/>
        <v>0</v>
      </c>
      <c r="DH738" t="str" cm="1">
        <f t="array" ref="DH738">IF($A738="","",_xlfn.LET(_xlpm.c,IFERROR(_xlfn.XLOOKUP($A738,TRIM('Sales and count'!$A$4:$A$300&amp;""),TRIM('Sales and count'!$B$4:$B$300&amp;"")),""),IF(OR(_xlpm.c="",_xlpm.c="0",LEFT(_xlpm.c,1)="#"),"Not set",_xlpm.c)))</f>
        <v/>
      </c>
    </row>
    <row r="739" spans="1:112" x14ac:dyDescent="0.25">
      <c r="A739" t="str">
        <f>IF('Staff Daily sales'!$B724="","",TRIM('Staff Daily sales'!$B724&amp;""))</f>
        <v/>
      </c>
      <c r="B739" t="str">
        <f>IF('Staff Daily sales'!$D724="","",TRIM('Staff Daily sales'!$D724&amp;""))</f>
        <v/>
      </c>
      <c r="C739" t="str">
        <f>IFERROR(TRIM('Staff Daily sales'!$E724&amp;""),"")</f>
        <v/>
      </c>
      <c r="D739" t="str">
        <f>IFERROR(IF(TRIM('Staff Daily sales'!$F724&amp;"")="","Unassigned",TRIM('Staff Daily sales'!$F724&amp;"")),"Unassigned")</f>
        <v>Unassigned</v>
      </c>
      <c r="E739">
        <f t="shared" si="202"/>
        <v>0</v>
      </c>
      <c r="F739">
        <f>IF($E739=0,0,SUMPRODUCT($AI$5:$DF$5,'Staff Daily sales'!$G724:$CD724))</f>
        <v>0</v>
      </c>
      <c r="G739">
        <f>IF($E739=0,0,SUMPRODUCT($AI$6:$DF$6,'Staff Daily sales'!$G724:$CD724))</f>
        <v>0</v>
      </c>
      <c r="H739">
        <f t="shared" si="203"/>
        <v>0</v>
      </c>
      <c r="I739">
        <f t="shared" si="204"/>
        <v>0</v>
      </c>
      <c r="J739">
        <f t="shared" si="205"/>
        <v>0</v>
      </c>
      <c r="K739">
        <f t="shared" si="206"/>
        <v>0</v>
      </c>
      <c r="L739">
        <f>--AND($E739=1,OR('Staff Dashboard'!$B$6="All",$DH739='Staff Dashboard'!$B$6),OR('Staff Dashboard'!$B$7="All",$D739='Staff Dashboard'!$B$7),OR('Staff Dashboard'!$B$8="All",$A739='Staff Dashboard'!$B$8))</f>
        <v>0</v>
      </c>
      <c r="M739">
        <f>IF($E739=0,0,SUMPRODUCT($AI$7:$DF$7,'Staff Daily sales'!$G724:$CD724))</f>
        <v>0</v>
      </c>
      <c r="N739">
        <f>IF($E739=0,0,SUMPRODUCT($AI$8:$DF$8,'Staff Daily sales'!$G724:$CD724))</f>
        <v>0</v>
      </c>
      <c r="O739">
        <f>IF($E739=0,0,SUMPRODUCT($AI$9:$DF$9,'Staff Daily sales'!$G724:$CD724))</f>
        <v>0</v>
      </c>
      <c r="P739">
        <f>IF($E739=0,0,SUMPRODUCT($AI$10:$DF$10,'Staff Daily sales'!$G724:$CD724))</f>
        <v>0</v>
      </c>
      <c r="Q739">
        <f>IF($E739=0,0,SUMPRODUCT($AI$11:$DF$11,'Staff Daily sales'!$G724:$CD724))</f>
        <v>0</v>
      </c>
      <c r="R739">
        <f>IF($E739=0,0,SUMPRODUCT($AI$12:$DF$12,'Staff Daily sales'!$G724:$CD724))</f>
        <v>0</v>
      </c>
      <c r="S739">
        <f>IF($E739=0,0,SUMPRODUCT($AI$13:$DF$13,'Staff Daily sales'!$G724:$CD724))</f>
        <v>0</v>
      </c>
      <c r="T739">
        <f>IF($E739=0,0,SUMPRODUCT($AI$14:$DF$14,'Staff Daily sales'!$G724:$CD724))</f>
        <v>0</v>
      </c>
      <c r="U739">
        <f>IF($E739=0,0,SUMPRODUCT($AI$15:$DF$15,'Staff Daily sales'!$G724:$CD724))</f>
        <v>0</v>
      </c>
      <c r="V739">
        <f>IF($E739=0,0,SUMPRODUCT($AI$16:$DF$16,'Staff Daily sales'!$G724:$CD724))</f>
        <v>0</v>
      </c>
      <c r="W739">
        <f t="shared" si="207"/>
        <v>0</v>
      </c>
      <c r="X739">
        <f t="shared" si="208"/>
        <v>0</v>
      </c>
      <c r="Y739">
        <f t="shared" si="209"/>
        <v>0</v>
      </c>
      <c r="Z739">
        <f t="shared" si="210"/>
        <v>0</v>
      </c>
      <c r="AA739">
        <f t="shared" si="211"/>
        <v>0</v>
      </c>
      <c r="AB739">
        <f>--AND($E739=1,OR('Staff Weekly Trend'!$B$3="All",$DH739='Staff Weekly Trend'!$B$3),OR('Staff Weekly Trend'!$B$4="All",$D739='Staff Weekly Trend'!$B$4),OR('Staff Weekly Trend'!$B$5="All",$A739='Staff Weekly Trend'!$B$5))</f>
        <v>0</v>
      </c>
      <c r="AC739" t="str">
        <f t="shared" si="212"/>
        <v/>
      </c>
      <c r="AI739">
        <f t="shared" si="213"/>
        <v>0</v>
      </c>
      <c r="AJ739">
        <f t="shared" si="214"/>
        <v>0</v>
      </c>
      <c r="AK739">
        <f t="shared" si="215"/>
        <v>0</v>
      </c>
      <c r="AL739">
        <f t="shared" si="216"/>
        <v>0</v>
      </c>
      <c r="AM739">
        <f t="shared" si="217"/>
        <v>0</v>
      </c>
      <c r="DH739" t="str" cm="1">
        <f t="array" ref="DH739">IF($A739="","",_xlfn.LET(_xlpm.c,IFERROR(_xlfn.XLOOKUP($A739,TRIM('Sales and count'!$A$4:$A$300&amp;""),TRIM('Sales and count'!$B$4:$B$300&amp;"")),""),IF(OR(_xlpm.c="",_xlpm.c="0",LEFT(_xlpm.c,1)="#"),"Not set",_xlpm.c)))</f>
        <v/>
      </c>
    </row>
    <row r="740" spans="1:112" x14ac:dyDescent="0.25">
      <c r="A740" t="str">
        <f>IF('Staff Daily sales'!$B725="","",TRIM('Staff Daily sales'!$B725&amp;""))</f>
        <v/>
      </c>
      <c r="B740" t="str">
        <f>IF('Staff Daily sales'!$D725="","",TRIM('Staff Daily sales'!$D725&amp;""))</f>
        <v/>
      </c>
      <c r="C740" t="str">
        <f>IFERROR(TRIM('Staff Daily sales'!$E725&amp;""),"")</f>
        <v/>
      </c>
      <c r="D740" t="str">
        <f>IFERROR(IF(TRIM('Staff Daily sales'!$F725&amp;"")="","Unassigned",TRIM('Staff Daily sales'!$F725&amp;"")),"Unassigned")</f>
        <v>Unassigned</v>
      </c>
      <c r="E740">
        <f t="shared" si="202"/>
        <v>0</v>
      </c>
      <c r="F740">
        <f>IF($E740=0,0,SUMPRODUCT($AI$5:$DF$5,'Staff Daily sales'!$G725:$CD725))</f>
        <v>0</v>
      </c>
      <c r="G740">
        <f>IF($E740=0,0,SUMPRODUCT($AI$6:$DF$6,'Staff Daily sales'!$G725:$CD725))</f>
        <v>0</v>
      </c>
      <c r="H740">
        <f t="shared" si="203"/>
        <v>0</v>
      </c>
      <c r="I740">
        <f t="shared" si="204"/>
        <v>0</v>
      </c>
      <c r="J740">
        <f t="shared" si="205"/>
        <v>0</v>
      </c>
      <c r="K740">
        <f t="shared" si="206"/>
        <v>0</v>
      </c>
      <c r="L740">
        <f>--AND($E740=1,OR('Staff Dashboard'!$B$6="All",$DH740='Staff Dashboard'!$B$6),OR('Staff Dashboard'!$B$7="All",$D740='Staff Dashboard'!$B$7),OR('Staff Dashboard'!$B$8="All",$A740='Staff Dashboard'!$B$8))</f>
        <v>0</v>
      </c>
      <c r="M740">
        <f>IF($E740=0,0,SUMPRODUCT($AI$7:$DF$7,'Staff Daily sales'!$G725:$CD725))</f>
        <v>0</v>
      </c>
      <c r="N740">
        <f>IF($E740=0,0,SUMPRODUCT($AI$8:$DF$8,'Staff Daily sales'!$G725:$CD725))</f>
        <v>0</v>
      </c>
      <c r="O740">
        <f>IF($E740=0,0,SUMPRODUCT($AI$9:$DF$9,'Staff Daily sales'!$G725:$CD725))</f>
        <v>0</v>
      </c>
      <c r="P740">
        <f>IF($E740=0,0,SUMPRODUCT($AI$10:$DF$10,'Staff Daily sales'!$G725:$CD725))</f>
        <v>0</v>
      </c>
      <c r="Q740">
        <f>IF($E740=0,0,SUMPRODUCT($AI$11:$DF$11,'Staff Daily sales'!$G725:$CD725))</f>
        <v>0</v>
      </c>
      <c r="R740">
        <f>IF($E740=0,0,SUMPRODUCT($AI$12:$DF$12,'Staff Daily sales'!$G725:$CD725))</f>
        <v>0</v>
      </c>
      <c r="S740">
        <f>IF($E740=0,0,SUMPRODUCT($AI$13:$DF$13,'Staff Daily sales'!$G725:$CD725))</f>
        <v>0</v>
      </c>
      <c r="T740">
        <f>IF($E740=0,0,SUMPRODUCT($AI$14:$DF$14,'Staff Daily sales'!$G725:$CD725))</f>
        <v>0</v>
      </c>
      <c r="U740">
        <f>IF($E740=0,0,SUMPRODUCT($AI$15:$DF$15,'Staff Daily sales'!$G725:$CD725))</f>
        <v>0</v>
      </c>
      <c r="V740">
        <f>IF($E740=0,0,SUMPRODUCT($AI$16:$DF$16,'Staff Daily sales'!$G725:$CD725))</f>
        <v>0</v>
      </c>
      <c r="W740">
        <f t="shared" si="207"/>
        <v>0</v>
      </c>
      <c r="X740">
        <f t="shared" si="208"/>
        <v>0</v>
      </c>
      <c r="Y740">
        <f t="shared" si="209"/>
        <v>0</v>
      </c>
      <c r="Z740">
        <f t="shared" si="210"/>
        <v>0</v>
      </c>
      <c r="AA740">
        <f t="shared" si="211"/>
        <v>0</v>
      </c>
      <c r="AB740">
        <f>--AND($E740=1,OR('Staff Weekly Trend'!$B$3="All",$DH740='Staff Weekly Trend'!$B$3),OR('Staff Weekly Trend'!$B$4="All",$D740='Staff Weekly Trend'!$B$4),OR('Staff Weekly Trend'!$B$5="All",$A740='Staff Weekly Trend'!$B$5))</f>
        <v>0</v>
      </c>
      <c r="AC740" t="str">
        <f t="shared" si="212"/>
        <v/>
      </c>
      <c r="AI740">
        <f t="shared" si="213"/>
        <v>0</v>
      </c>
      <c r="AJ740">
        <f t="shared" si="214"/>
        <v>0</v>
      </c>
      <c r="AK740">
        <f t="shared" si="215"/>
        <v>0</v>
      </c>
      <c r="AL740">
        <f t="shared" si="216"/>
        <v>0</v>
      </c>
      <c r="AM740">
        <f t="shared" si="217"/>
        <v>0</v>
      </c>
      <c r="DH740" t="str" cm="1">
        <f t="array" ref="DH740">IF($A740="","",_xlfn.LET(_xlpm.c,IFERROR(_xlfn.XLOOKUP($A740,TRIM('Sales and count'!$A$4:$A$300&amp;""),TRIM('Sales and count'!$B$4:$B$300&amp;"")),""),IF(OR(_xlpm.c="",_xlpm.c="0",LEFT(_xlpm.c,1)="#"),"Not set",_xlpm.c)))</f>
        <v/>
      </c>
    </row>
    <row r="741" spans="1:112" x14ac:dyDescent="0.25">
      <c r="A741" t="str">
        <f>IF('Staff Daily sales'!$B726="","",TRIM('Staff Daily sales'!$B726&amp;""))</f>
        <v/>
      </c>
      <c r="B741" t="str">
        <f>IF('Staff Daily sales'!$D726="","",TRIM('Staff Daily sales'!$D726&amp;""))</f>
        <v/>
      </c>
      <c r="C741" t="str">
        <f>IFERROR(TRIM('Staff Daily sales'!$E726&amp;""),"")</f>
        <v/>
      </c>
      <c r="D741" t="str">
        <f>IFERROR(IF(TRIM('Staff Daily sales'!$F726&amp;"")="","Unassigned",TRIM('Staff Daily sales'!$F726&amp;"")),"Unassigned")</f>
        <v>Unassigned</v>
      </c>
      <c r="E741">
        <f t="shared" si="202"/>
        <v>0</v>
      </c>
      <c r="F741">
        <f>IF($E741=0,0,SUMPRODUCT($AI$5:$DF$5,'Staff Daily sales'!$G726:$CD726))</f>
        <v>0</v>
      </c>
      <c r="G741">
        <f>IF($E741=0,0,SUMPRODUCT($AI$6:$DF$6,'Staff Daily sales'!$G726:$CD726))</f>
        <v>0</v>
      </c>
      <c r="H741">
        <f t="shared" si="203"/>
        <v>0</v>
      </c>
      <c r="I741">
        <f t="shared" si="204"/>
        <v>0</v>
      </c>
      <c r="J741">
        <f t="shared" si="205"/>
        <v>0</v>
      </c>
      <c r="K741">
        <f t="shared" si="206"/>
        <v>0</v>
      </c>
      <c r="L741">
        <f>--AND($E741=1,OR('Staff Dashboard'!$B$6="All",$DH741='Staff Dashboard'!$B$6),OR('Staff Dashboard'!$B$7="All",$D741='Staff Dashboard'!$B$7),OR('Staff Dashboard'!$B$8="All",$A741='Staff Dashboard'!$B$8))</f>
        <v>0</v>
      </c>
      <c r="M741">
        <f>IF($E741=0,0,SUMPRODUCT($AI$7:$DF$7,'Staff Daily sales'!$G726:$CD726))</f>
        <v>0</v>
      </c>
      <c r="N741">
        <f>IF($E741=0,0,SUMPRODUCT($AI$8:$DF$8,'Staff Daily sales'!$G726:$CD726))</f>
        <v>0</v>
      </c>
      <c r="O741">
        <f>IF($E741=0,0,SUMPRODUCT($AI$9:$DF$9,'Staff Daily sales'!$G726:$CD726))</f>
        <v>0</v>
      </c>
      <c r="P741">
        <f>IF($E741=0,0,SUMPRODUCT($AI$10:$DF$10,'Staff Daily sales'!$G726:$CD726))</f>
        <v>0</v>
      </c>
      <c r="Q741">
        <f>IF($E741=0,0,SUMPRODUCT($AI$11:$DF$11,'Staff Daily sales'!$G726:$CD726))</f>
        <v>0</v>
      </c>
      <c r="R741">
        <f>IF($E741=0,0,SUMPRODUCT($AI$12:$DF$12,'Staff Daily sales'!$G726:$CD726))</f>
        <v>0</v>
      </c>
      <c r="S741">
        <f>IF($E741=0,0,SUMPRODUCT($AI$13:$DF$13,'Staff Daily sales'!$G726:$CD726))</f>
        <v>0</v>
      </c>
      <c r="T741">
        <f>IF($E741=0,0,SUMPRODUCT($AI$14:$DF$14,'Staff Daily sales'!$G726:$CD726))</f>
        <v>0</v>
      </c>
      <c r="U741">
        <f>IF($E741=0,0,SUMPRODUCT($AI$15:$DF$15,'Staff Daily sales'!$G726:$CD726))</f>
        <v>0</v>
      </c>
      <c r="V741">
        <f>IF($E741=0,0,SUMPRODUCT($AI$16:$DF$16,'Staff Daily sales'!$G726:$CD726))</f>
        <v>0</v>
      </c>
      <c r="W741">
        <f t="shared" si="207"/>
        <v>0</v>
      </c>
      <c r="X741">
        <f t="shared" si="208"/>
        <v>0</v>
      </c>
      <c r="Y741">
        <f t="shared" si="209"/>
        <v>0</v>
      </c>
      <c r="Z741">
        <f t="shared" si="210"/>
        <v>0</v>
      </c>
      <c r="AA741">
        <f t="shared" si="211"/>
        <v>0</v>
      </c>
      <c r="AB741">
        <f>--AND($E741=1,OR('Staff Weekly Trend'!$B$3="All",$DH741='Staff Weekly Trend'!$B$3),OR('Staff Weekly Trend'!$B$4="All",$D741='Staff Weekly Trend'!$B$4),OR('Staff Weekly Trend'!$B$5="All",$A741='Staff Weekly Trend'!$B$5))</f>
        <v>0</v>
      </c>
      <c r="AC741" t="str">
        <f t="shared" si="212"/>
        <v/>
      </c>
      <c r="AI741">
        <f t="shared" si="213"/>
        <v>0</v>
      </c>
      <c r="AJ741">
        <f t="shared" si="214"/>
        <v>0</v>
      </c>
      <c r="AK741">
        <f t="shared" si="215"/>
        <v>0</v>
      </c>
      <c r="AL741">
        <f t="shared" si="216"/>
        <v>0</v>
      </c>
      <c r="AM741">
        <f t="shared" si="217"/>
        <v>0</v>
      </c>
      <c r="DH741" t="str" cm="1">
        <f t="array" ref="DH741">IF($A741="","",_xlfn.LET(_xlpm.c,IFERROR(_xlfn.XLOOKUP($A741,TRIM('Sales and count'!$A$4:$A$300&amp;""),TRIM('Sales and count'!$B$4:$B$300&amp;"")),""),IF(OR(_xlpm.c="",_xlpm.c="0",LEFT(_xlpm.c,1)="#"),"Not set",_xlpm.c)))</f>
        <v/>
      </c>
    </row>
    <row r="742" spans="1:112" x14ac:dyDescent="0.25">
      <c r="A742" t="str">
        <f>IF('Staff Daily sales'!$B727="","",TRIM('Staff Daily sales'!$B727&amp;""))</f>
        <v/>
      </c>
      <c r="B742" t="str">
        <f>IF('Staff Daily sales'!$D727="","",TRIM('Staff Daily sales'!$D727&amp;""))</f>
        <v/>
      </c>
      <c r="C742" t="str">
        <f>IFERROR(TRIM('Staff Daily sales'!$E727&amp;""),"")</f>
        <v/>
      </c>
      <c r="D742" t="str">
        <f>IFERROR(IF(TRIM('Staff Daily sales'!$F727&amp;"")="","Unassigned",TRIM('Staff Daily sales'!$F727&amp;"")),"Unassigned")</f>
        <v>Unassigned</v>
      </c>
      <c r="E742">
        <f t="shared" si="202"/>
        <v>0</v>
      </c>
      <c r="F742">
        <f>IF($E742=0,0,SUMPRODUCT($AI$5:$DF$5,'Staff Daily sales'!$G727:$CD727))</f>
        <v>0</v>
      </c>
      <c r="G742">
        <f>IF($E742=0,0,SUMPRODUCT($AI$6:$DF$6,'Staff Daily sales'!$G727:$CD727))</f>
        <v>0</v>
      </c>
      <c r="H742">
        <f t="shared" si="203"/>
        <v>0</v>
      </c>
      <c r="I742">
        <f t="shared" si="204"/>
        <v>0</v>
      </c>
      <c r="J742">
        <f t="shared" si="205"/>
        <v>0</v>
      </c>
      <c r="K742">
        <f t="shared" si="206"/>
        <v>0</v>
      </c>
      <c r="L742">
        <f>--AND($E742=1,OR('Staff Dashboard'!$B$6="All",$DH742='Staff Dashboard'!$B$6),OR('Staff Dashboard'!$B$7="All",$D742='Staff Dashboard'!$B$7),OR('Staff Dashboard'!$B$8="All",$A742='Staff Dashboard'!$B$8))</f>
        <v>0</v>
      </c>
      <c r="M742">
        <f>IF($E742=0,0,SUMPRODUCT($AI$7:$DF$7,'Staff Daily sales'!$G727:$CD727))</f>
        <v>0</v>
      </c>
      <c r="N742">
        <f>IF($E742=0,0,SUMPRODUCT($AI$8:$DF$8,'Staff Daily sales'!$G727:$CD727))</f>
        <v>0</v>
      </c>
      <c r="O742">
        <f>IF($E742=0,0,SUMPRODUCT($AI$9:$DF$9,'Staff Daily sales'!$G727:$CD727))</f>
        <v>0</v>
      </c>
      <c r="P742">
        <f>IF($E742=0,0,SUMPRODUCT($AI$10:$DF$10,'Staff Daily sales'!$G727:$CD727))</f>
        <v>0</v>
      </c>
      <c r="Q742">
        <f>IF($E742=0,0,SUMPRODUCT($AI$11:$DF$11,'Staff Daily sales'!$G727:$CD727))</f>
        <v>0</v>
      </c>
      <c r="R742">
        <f>IF($E742=0,0,SUMPRODUCT($AI$12:$DF$12,'Staff Daily sales'!$G727:$CD727))</f>
        <v>0</v>
      </c>
      <c r="S742">
        <f>IF($E742=0,0,SUMPRODUCT($AI$13:$DF$13,'Staff Daily sales'!$G727:$CD727))</f>
        <v>0</v>
      </c>
      <c r="T742">
        <f>IF($E742=0,0,SUMPRODUCT($AI$14:$DF$14,'Staff Daily sales'!$G727:$CD727))</f>
        <v>0</v>
      </c>
      <c r="U742">
        <f>IF($E742=0,0,SUMPRODUCT($AI$15:$DF$15,'Staff Daily sales'!$G727:$CD727))</f>
        <v>0</v>
      </c>
      <c r="V742">
        <f>IF($E742=0,0,SUMPRODUCT($AI$16:$DF$16,'Staff Daily sales'!$G727:$CD727))</f>
        <v>0</v>
      </c>
      <c r="W742">
        <f t="shared" si="207"/>
        <v>0</v>
      </c>
      <c r="X742">
        <f t="shared" si="208"/>
        <v>0</v>
      </c>
      <c r="Y742">
        <f t="shared" si="209"/>
        <v>0</v>
      </c>
      <c r="Z742">
        <f t="shared" si="210"/>
        <v>0</v>
      </c>
      <c r="AA742">
        <f t="shared" si="211"/>
        <v>0</v>
      </c>
      <c r="AB742">
        <f>--AND($E742=1,OR('Staff Weekly Trend'!$B$3="All",$DH742='Staff Weekly Trend'!$B$3),OR('Staff Weekly Trend'!$B$4="All",$D742='Staff Weekly Trend'!$B$4),OR('Staff Weekly Trend'!$B$5="All",$A742='Staff Weekly Trend'!$B$5))</f>
        <v>0</v>
      </c>
      <c r="AC742" t="str">
        <f t="shared" si="212"/>
        <v/>
      </c>
      <c r="AI742">
        <f t="shared" si="213"/>
        <v>0</v>
      </c>
      <c r="AJ742">
        <f t="shared" si="214"/>
        <v>0</v>
      </c>
      <c r="AK742">
        <f t="shared" si="215"/>
        <v>0</v>
      </c>
      <c r="AL742">
        <f t="shared" si="216"/>
        <v>0</v>
      </c>
      <c r="AM742">
        <f t="shared" si="217"/>
        <v>0</v>
      </c>
      <c r="DH742" t="str" cm="1">
        <f t="array" ref="DH742">IF($A742="","",_xlfn.LET(_xlpm.c,IFERROR(_xlfn.XLOOKUP($A742,TRIM('Sales and count'!$A$4:$A$300&amp;""),TRIM('Sales and count'!$B$4:$B$300&amp;"")),""),IF(OR(_xlpm.c="",_xlpm.c="0",LEFT(_xlpm.c,1)="#"),"Not set",_xlpm.c)))</f>
        <v/>
      </c>
    </row>
    <row r="743" spans="1:112" x14ac:dyDescent="0.25">
      <c r="A743" t="str">
        <f>IF('Staff Daily sales'!$B728="","",TRIM('Staff Daily sales'!$B728&amp;""))</f>
        <v/>
      </c>
      <c r="B743" t="str">
        <f>IF('Staff Daily sales'!$D728="","",TRIM('Staff Daily sales'!$D728&amp;""))</f>
        <v/>
      </c>
      <c r="C743" t="str">
        <f>IFERROR(TRIM('Staff Daily sales'!$E728&amp;""),"")</f>
        <v/>
      </c>
      <c r="D743" t="str">
        <f>IFERROR(IF(TRIM('Staff Daily sales'!$F728&amp;"")="","Unassigned",TRIM('Staff Daily sales'!$F728&amp;"")),"Unassigned")</f>
        <v>Unassigned</v>
      </c>
      <c r="E743">
        <f t="shared" si="202"/>
        <v>0</v>
      </c>
      <c r="F743">
        <f>IF($E743=0,0,SUMPRODUCT($AI$5:$DF$5,'Staff Daily sales'!$G728:$CD728))</f>
        <v>0</v>
      </c>
      <c r="G743">
        <f>IF($E743=0,0,SUMPRODUCT($AI$6:$DF$6,'Staff Daily sales'!$G728:$CD728))</f>
        <v>0</v>
      </c>
      <c r="H743">
        <f t="shared" si="203"/>
        <v>0</v>
      </c>
      <c r="I743">
        <f t="shared" si="204"/>
        <v>0</v>
      </c>
      <c r="J743">
        <f t="shared" si="205"/>
        <v>0</v>
      </c>
      <c r="K743">
        <f t="shared" si="206"/>
        <v>0</v>
      </c>
      <c r="L743">
        <f>--AND($E743=1,OR('Staff Dashboard'!$B$6="All",$DH743='Staff Dashboard'!$B$6),OR('Staff Dashboard'!$B$7="All",$D743='Staff Dashboard'!$B$7),OR('Staff Dashboard'!$B$8="All",$A743='Staff Dashboard'!$B$8))</f>
        <v>0</v>
      </c>
      <c r="M743">
        <f>IF($E743=0,0,SUMPRODUCT($AI$7:$DF$7,'Staff Daily sales'!$G728:$CD728))</f>
        <v>0</v>
      </c>
      <c r="N743">
        <f>IF($E743=0,0,SUMPRODUCT($AI$8:$DF$8,'Staff Daily sales'!$G728:$CD728))</f>
        <v>0</v>
      </c>
      <c r="O743">
        <f>IF($E743=0,0,SUMPRODUCT($AI$9:$DF$9,'Staff Daily sales'!$G728:$CD728))</f>
        <v>0</v>
      </c>
      <c r="P743">
        <f>IF($E743=0,0,SUMPRODUCT($AI$10:$DF$10,'Staff Daily sales'!$G728:$CD728))</f>
        <v>0</v>
      </c>
      <c r="Q743">
        <f>IF($E743=0,0,SUMPRODUCT($AI$11:$DF$11,'Staff Daily sales'!$G728:$CD728))</f>
        <v>0</v>
      </c>
      <c r="R743">
        <f>IF($E743=0,0,SUMPRODUCT($AI$12:$DF$12,'Staff Daily sales'!$G728:$CD728))</f>
        <v>0</v>
      </c>
      <c r="S743">
        <f>IF($E743=0,0,SUMPRODUCT($AI$13:$DF$13,'Staff Daily sales'!$G728:$CD728))</f>
        <v>0</v>
      </c>
      <c r="T743">
        <f>IF($E743=0,0,SUMPRODUCT($AI$14:$DF$14,'Staff Daily sales'!$G728:$CD728))</f>
        <v>0</v>
      </c>
      <c r="U743">
        <f>IF($E743=0,0,SUMPRODUCT($AI$15:$DF$15,'Staff Daily sales'!$G728:$CD728))</f>
        <v>0</v>
      </c>
      <c r="V743">
        <f>IF($E743=0,0,SUMPRODUCT($AI$16:$DF$16,'Staff Daily sales'!$G728:$CD728))</f>
        <v>0</v>
      </c>
      <c r="W743">
        <f t="shared" si="207"/>
        <v>0</v>
      </c>
      <c r="X743">
        <f t="shared" si="208"/>
        <v>0</v>
      </c>
      <c r="Y743">
        <f t="shared" si="209"/>
        <v>0</v>
      </c>
      <c r="Z743">
        <f t="shared" si="210"/>
        <v>0</v>
      </c>
      <c r="AA743">
        <f t="shared" si="211"/>
        <v>0</v>
      </c>
      <c r="AB743">
        <f>--AND($E743=1,OR('Staff Weekly Trend'!$B$3="All",$DH743='Staff Weekly Trend'!$B$3),OR('Staff Weekly Trend'!$B$4="All",$D743='Staff Weekly Trend'!$B$4),OR('Staff Weekly Trend'!$B$5="All",$A743='Staff Weekly Trend'!$B$5))</f>
        <v>0</v>
      </c>
      <c r="AC743" t="str">
        <f t="shared" si="212"/>
        <v/>
      </c>
      <c r="AI743">
        <f t="shared" si="213"/>
        <v>0</v>
      </c>
      <c r="AJ743">
        <f t="shared" si="214"/>
        <v>0</v>
      </c>
      <c r="AK743">
        <f t="shared" si="215"/>
        <v>0</v>
      </c>
      <c r="AL743">
        <f t="shared" si="216"/>
        <v>0</v>
      </c>
      <c r="AM743">
        <f t="shared" si="217"/>
        <v>0</v>
      </c>
      <c r="DH743" t="str" cm="1">
        <f t="array" ref="DH743">IF($A743="","",_xlfn.LET(_xlpm.c,IFERROR(_xlfn.XLOOKUP($A743,TRIM('Sales and count'!$A$4:$A$300&amp;""),TRIM('Sales and count'!$B$4:$B$300&amp;"")),""),IF(OR(_xlpm.c="",_xlpm.c="0",LEFT(_xlpm.c,1)="#"),"Not set",_xlpm.c)))</f>
        <v/>
      </c>
    </row>
    <row r="744" spans="1:112" x14ac:dyDescent="0.25">
      <c r="A744" t="str">
        <f>IF('Staff Daily sales'!$B729="","",TRIM('Staff Daily sales'!$B729&amp;""))</f>
        <v/>
      </c>
      <c r="B744" t="str">
        <f>IF('Staff Daily sales'!$D729="","",TRIM('Staff Daily sales'!$D729&amp;""))</f>
        <v/>
      </c>
      <c r="C744" t="str">
        <f>IFERROR(TRIM('Staff Daily sales'!$E729&amp;""),"")</f>
        <v/>
      </c>
      <c r="D744" t="str">
        <f>IFERROR(IF(TRIM('Staff Daily sales'!$F729&amp;"")="","Unassigned",TRIM('Staff Daily sales'!$F729&amp;"")),"Unassigned")</f>
        <v>Unassigned</v>
      </c>
      <c r="E744">
        <f t="shared" si="202"/>
        <v>0</v>
      </c>
      <c r="F744">
        <f>IF($E744=0,0,SUMPRODUCT($AI$5:$DF$5,'Staff Daily sales'!$G729:$CD729))</f>
        <v>0</v>
      </c>
      <c r="G744">
        <f>IF($E744=0,0,SUMPRODUCT($AI$6:$DF$6,'Staff Daily sales'!$G729:$CD729))</f>
        <v>0</v>
      </c>
      <c r="H744">
        <f t="shared" si="203"/>
        <v>0</v>
      </c>
      <c r="I744">
        <f t="shared" si="204"/>
        <v>0</v>
      </c>
      <c r="J744">
        <f t="shared" si="205"/>
        <v>0</v>
      </c>
      <c r="K744">
        <f t="shared" si="206"/>
        <v>0</v>
      </c>
      <c r="L744">
        <f>--AND($E744=1,OR('Staff Dashboard'!$B$6="All",$DH744='Staff Dashboard'!$B$6),OR('Staff Dashboard'!$B$7="All",$D744='Staff Dashboard'!$B$7),OR('Staff Dashboard'!$B$8="All",$A744='Staff Dashboard'!$B$8))</f>
        <v>0</v>
      </c>
      <c r="M744">
        <f>IF($E744=0,0,SUMPRODUCT($AI$7:$DF$7,'Staff Daily sales'!$G729:$CD729))</f>
        <v>0</v>
      </c>
      <c r="N744">
        <f>IF($E744=0,0,SUMPRODUCT($AI$8:$DF$8,'Staff Daily sales'!$G729:$CD729))</f>
        <v>0</v>
      </c>
      <c r="O744">
        <f>IF($E744=0,0,SUMPRODUCT($AI$9:$DF$9,'Staff Daily sales'!$G729:$CD729))</f>
        <v>0</v>
      </c>
      <c r="P744">
        <f>IF($E744=0,0,SUMPRODUCT($AI$10:$DF$10,'Staff Daily sales'!$G729:$CD729))</f>
        <v>0</v>
      </c>
      <c r="Q744">
        <f>IF($E744=0,0,SUMPRODUCT($AI$11:$DF$11,'Staff Daily sales'!$G729:$CD729))</f>
        <v>0</v>
      </c>
      <c r="R744">
        <f>IF($E744=0,0,SUMPRODUCT($AI$12:$DF$12,'Staff Daily sales'!$G729:$CD729))</f>
        <v>0</v>
      </c>
      <c r="S744">
        <f>IF($E744=0,0,SUMPRODUCT($AI$13:$DF$13,'Staff Daily sales'!$G729:$CD729))</f>
        <v>0</v>
      </c>
      <c r="T744">
        <f>IF($E744=0,0,SUMPRODUCT($AI$14:$DF$14,'Staff Daily sales'!$G729:$CD729))</f>
        <v>0</v>
      </c>
      <c r="U744">
        <f>IF($E744=0,0,SUMPRODUCT($AI$15:$DF$15,'Staff Daily sales'!$G729:$CD729))</f>
        <v>0</v>
      </c>
      <c r="V744">
        <f>IF($E744=0,0,SUMPRODUCT($AI$16:$DF$16,'Staff Daily sales'!$G729:$CD729))</f>
        <v>0</v>
      </c>
      <c r="W744">
        <f t="shared" si="207"/>
        <v>0</v>
      </c>
      <c r="X744">
        <f t="shared" si="208"/>
        <v>0</v>
      </c>
      <c r="Y744">
        <f t="shared" si="209"/>
        <v>0</v>
      </c>
      <c r="Z744">
        <f t="shared" si="210"/>
        <v>0</v>
      </c>
      <c r="AA744">
        <f t="shared" si="211"/>
        <v>0</v>
      </c>
      <c r="AB744">
        <f>--AND($E744=1,OR('Staff Weekly Trend'!$B$3="All",$DH744='Staff Weekly Trend'!$B$3),OR('Staff Weekly Trend'!$B$4="All",$D744='Staff Weekly Trend'!$B$4),OR('Staff Weekly Trend'!$B$5="All",$A744='Staff Weekly Trend'!$B$5))</f>
        <v>0</v>
      </c>
      <c r="AC744" t="str">
        <f t="shared" si="212"/>
        <v/>
      </c>
      <c r="AI744">
        <f t="shared" si="213"/>
        <v>0</v>
      </c>
      <c r="AJ744">
        <f t="shared" si="214"/>
        <v>0</v>
      </c>
      <c r="AK744">
        <f t="shared" si="215"/>
        <v>0</v>
      </c>
      <c r="AL744">
        <f t="shared" si="216"/>
        <v>0</v>
      </c>
      <c r="AM744">
        <f t="shared" si="217"/>
        <v>0</v>
      </c>
      <c r="DH744" t="str" cm="1">
        <f t="array" ref="DH744">IF($A744="","",_xlfn.LET(_xlpm.c,IFERROR(_xlfn.XLOOKUP($A744,TRIM('Sales and count'!$A$4:$A$300&amp;""),TRIM('Sales and count'!$B$4:$B$300&amp;"")),""),IF(OR(_xlpm.c="",_xlpm.c="0",LEFT(_xlpm.c,1)="#"),"Not set",_xlpm.c)))</f>
        <v/>
      </c>
    </row>
    <row r="745" spans="1:112" x14ac:dyDescent="0.25">
      <c r="A745" t="str">
        <f>IF('Staff Daily sales'!$B730="","",TRIM('Staff Daily sales'!$B730&amp;""))</f>
        <v/>
      </c>
      <c r="B745" t="str">
        <f>IF('Staff Daily sales'!$D730="","",TRIM('Staff Daily sales'!$D730&amp;""))</f>
        <v/>
      </c>
      <c r="C745" t="str">
        <f>IFERROR(TRIM('Staff Daily sales'!$E730&amp;""),"")</f>
        <v/>
      </c>
      <c r="D745" t="str">
        <f>IFERROR(IF(TRIM('Staff Daily sales'!$F730&amp;"")="","Unassigned",TRIM('Staff Daily sales'!$F730&amp;"")),"Unassigned")</f>
        <v>Unassigned</v>
      </c>
      <c r="E745">
        <f t="shared" si="202"/>
        <v>0</v>
      </c>
      <c r="F745">
        <f>IF($E745=0,0,SUMPRODUCT($AI$5:$DF$5,'Staff Daily sales'!$G730:$CD730))</f>
        <v>0</v>
      </c>
      <c r="G745">
        <f>IF($E745=0,0,SUMPRODUCT($AI$6:$DF$6,'Staff Daily sales'!$G730:$CD730))</f>
        <v>0</v>
      </c>
      <c r="H745">
        <f t="shared" si="203"/>
        <v>0</v>
      </c>
      <c r="I745">
        <f t="shared" si="204"/>
        <v>0</v>
      </c>
      <c r="J745">
        <f t="shared" si="205"/>
        <v>0</v>
      </c>
      <c r="K745">
        <f t="shared" si="206"/>
        <v>0</v>
      </c>
      <c r="L745">
        <f>--AND($E745=1,OR('Staff Dashboard'!$B$6="All",$DH745='Staff Dashboard'!$B$6),OR('Staff Dashboard'!$B$7="All",$D745='Staff Dashboard'!$B$7),OR('Staff Dashboard'!$B$8="All",$A745='Staff Dashboard'!$B$8))</f>
        <v>0</v>
      </c>
      <c r="M745">
        <f>IF($E745=0,0,SUMPRODUCT($AI$7:$DF$7,'Staff Daily sales'!$G730:$CD730))</f>
        <v>0</v>
      </c>
      <c r="N745">
        <f>IF($E745=0,0,SUMPRODUCT($AI$8:$DF$8,'Staff Daily sales'!$G730:$CD730))</f>
        <v>0</v>
      </c>
      <c r="O745">
        <f>IF($E745=0,0,SUMPRODUCT($AI$9:$DF$9,'Staff Daily sales'!$G730:$CD730))</f>
        <v>0</v>
      </c>
      <c r="P745">
        <f>IF($E745=0,0,SUMPRODUCT($AI$10:$DF$10,'Staff Daily sales'!$G730:$CD730))</f>
        <v>0</v>
      </c>
      <c r="Q745">
        <f>IF($E745=0,0,SUMPRODUCT($AI$11:$DF$11,'Staff Daily sales'!$G730:$CD730))</f>
        <v>0</v>
      </c>
      <c r="R745">
        <f>IF($E745=0,0,SUMPRODUCT($AI$12:$DF$12,'Staff Daily sales'!$G730:$CD730))</f>
        <v>0</v>
      </c>
      <c r="S745">
        <f>IF($E745=0,0,SUMPRODUCT($AI$13:$DF$13,'Staff Daily sales'!$G730:$CD730))</f>
        <v>0</v>
      </c>
      <c r="T745">
        <f>IF($E745=0,0,SUMPRODUCT($AI$14:$DF$14,'Staff Daily sales'!$G730:$CD730))</f>
        <v>0</v>
      </c>
      <c r="U745">
        <f>IF($E745=0,0,SUMPRODUCT($AI$15:$DF$15,'Staff Daily sales'!$G730:$CD730))</f>
        <v>0</v>
      </c>
      <c r="V745">
        <f>IF($E745=0,0,SUMPRODUCT($AI$16:$DF$16,'Staff Daily sales'!$G730:$CD730))</f>
        <v>0</v>
      </c>
      <c r="W745">
        <f t="shared" si="207"/>
        <v>0</v>
      </c>
      <c r="X745">
        <f t="shared" si="208"/>
        <v>0</v>
      </c>
      <c r="Y745">
        <f t="shared" si="209"/>
        <v>0</v>
      </c>
      <c r="Z745">
        <f t="shared" si="210"/>
        <v>0</v>
      </c>
      <c r="AA745">
        <f t="shared" si="211"/>
        <v>0</v>
      </c>
      <c r="AB745">
        <f>--AND($E745=1,OR('Staff Weekly Trend'!$B$3="All",$DH745='Staff Weekly Trend'!$B$3),OR('Staff Weekly Trend'!$B$4="All",$D745='Staff Weekly Trend'!$B$4),OR('Staff Weekly Trend'!$B$5="All",$A745='Staff Weekly Trend'!$B$5))</f>
        <v>0</v>
      </c>
      <c r="AC745" t="str">
        <f t="shared" si="212"/>
        <v/>
      </c>
      <c r="AI745">
        <f t="shared" si="213"/>
        <v>0</v>
      </c>
      <c r="AJ745">
        <f t="shared" si="214"/>
        <v>0</v>
      </c>
      <c r="AK745">
        <f t="shared" si="215"/>
        <v>0</v>
      </c>
      <c r="AL745">
        <f t="shared" si="216"/>
        <v>0</v>
      </c>
      <c r="AM745">
        <f t="shared" si="217"/>
        <v>0</v>
      </c>
      <c r="DH745" t="str" cm="1">
        <f t="array" ref="DH745">IF($A745="","",_xlfn.LET(_xlpm.c,IFERROR(_xlfn.XLOOKUP($A745,TRIM('Sales and count'!$A$4:$A$300&amp;""),TRIM('Sales and count'!$B$4:$B$300&amp;"")),""),IF(OR(_xlpm.c="",_xlpm.c="0",LEFT(_xlpm.c,1)="#"),"Not set",_xlpm.c)))</f>
        <v/>
      </c>
    </row>
    <row r="746" spans="1:112" x14ac:dyDescent="0.25">
      <c r="A746" t="str">
        <f>IF('Staff Daily sales'!$B731="","",TRIM('Staff Daily sales'!$B731&amp;""))</f>
        <v/>
      </c>
      <c r="B746" t="str">
        <f>IF('Staff Daily sales'!$D731="","",TRIM('Staff Daily sales'!$D731&amp;""))</f>
        <v/>
      </c>
      <c r="C746" t="str">
        <f>IFERROR(TRIM('Staff Daily sales'!$E731&amp;""),"")</f>
        <v/>
      </c>
      <c r="D746" t="str">
        <f>IFERROR(IF(TRIM('Staff Daily sales'!$F731&amp;"")="","Unassigned",TRIM('Staff Daily sales'!$F731&amp;"")),"Unassigned")</f>
        <v>Unassigned</v>
      </c>
      <c r="E746">
        <f t="shared" si="202"/>
        <v>0</v>
      </c>
      <c r="F746">
        <f>IF($E746=0,0,SUMPRODUCT($AI$5:$DF$5,'Staff Daily sales'!$G731:$CD731))</f>
        <v>0</v>
      </c>
      <c r="G746">
        <f>IF($E746=0,0,SUMPRODUCT($AI$6:$DF$6,'Staff Daily sales'!$G731:$CD731))</f>
        <v>0</v>
      </c>
      <c r="H746">
        <f t="shared" si="203"/>
        <v>0</v>
      </c>
      <c r="I746">
        <f t="shared" si="204"/>
        <v>0</v>
      </c>
      <c r="J746">
        <f t="shared" si="205"/>
        <v>0</v>
      </c>
      <c r="K746">
        <f t="shared" si="206"/>
        <v>0</v>
      </c>
      <c r="L746">
        <f>--AND($E746=1,OR('Staff Dashboard'!$B$6="All",$DH746='Staff Dashboard'!$B$6),OR('Staff Dashboard'!$B$7="All",$D746='Staff Dashboard'!$B$7),OR('Staff Dashboard'!$B$8="All",$A746='Staff Dashboard'!$B$8))</f>
        <v>0</v>
      </c>
      <c r="M746">
        <f>IF($E746=0,0,SUMPRODUCT($AI$7:$DF$7,'Staff Daily sales'!$G731:$CD731))</f>
        <v>0</v>
      </c>
      <c r="N746">
        <f>IF($E746=0,0,SUMPRODUCT($AI$8:$DF$8,'Staff Daily sales'!$G731:$CD731))</f>
        <v>0</v>
      </c>
      <c r="O746">
        <f>IF($E746=0,0,SUMPRODUCT($AI$9:$DF$9,'Staff Daily sales'!$G731:$CD731))</f>
        <v>0</v>
      </c>
      <c r="P746">
        <f>IF($E746=0,0,SUMPRODUCT($AI$10:$DF$10,'Staff Daily sales'!$G731:$CD731))</f>
        <v>0</v>
      </c>
      <c r="Q746">
        <f>IF($E746=0,0,SUMPRODUCT($AI$11:$DF$11,'Staff Daily sales'!$G731:$CD731))</f>
        <v>0</v>
      </c>
      <c r="R746">
        <f>IF($E746=0,0,SUMPRODUCT($AI$12:$DF$12,'Staff Daily sales'!$G731:$CD731))</f>
        <v>0</v>
      </c>
      <c r="S746">
        <f>IF($E746=0,0,SUMPRODUCT($AI$13:$DF$13,'Staff Daily sales'!$G731:$CD731))</f>
        <v>0</v>
      </c>
      <c r="T746">
        <f>IF($E746=0,0,SUMPRODUCT($AI$14:$DF$14,'Staff Daily sales'!$G731:$CD731))</f>
        <v>0</v>
      </c>
      <c r="U746">
        <f>IF($E746=0,0,SUMPRODUCT($AI$15:$DF$15,'Staff Daily sales'!$G731:$CD731))</f>
        <v>0</v>
      </c>
      <c r="V746">
        <f>IF($E746=0,0,SUMPRODUCT($AI$16:$DF$16,'Staff Daily sales'!$G731:$CD731))</f>
        <v>0</v>
      </c>
      <c r="W746">
        <f t="shared" si="207"/>
        <v>0</v>
      </c>
      <c r="X746">
        <f t="shared" si="208"/>
        <v>0</v>
      </c>
      <c r="Y746">
        <f t="shared" si="209"/>
        <v>0</v>
      </c>
      <c r="Z746">
        <f t="shared" si="210"/>
        <v>0</v>
      </c>
      <c r="AA746">
        <f t="shared" si="211"/>
        <v>0</v>
      </c>
      <c r="AB746">
        <f>--AND($E746=1,OR('Staff Weekly Trend'!$B$3="All",$DH746='Staff Weekly Trend'!$B$3),OR('Staff Weekly Trend'!$B$4="All",$D746='Staff Weekly Trend'!$B$4),OR('Staff Weekly Trend'!$B$5="All",$A746='Staff Weekly Trend'!$B$5))</f>
        <v>0</v>
      </c>
      <c r="AC746" t="str">
        <f t="shared" si="212"/>
        <v/>
      </c>
      <c r="AI746">
        <f t="shared" si="213"/>
        <v>0</v>
      </c>
      <c r="AJ746">
        <f t="shared" si="214"/>
        <v>0</v>
      </c>
      <c r="AK746">
        <f t="shared" si="215"/>
        <v>0</v>
      </c>
      <c r="AL746">
        <f t="shared" si="216"/>
        <v>0</v>
      </c>
      <c r="AM746">
        <f t="shared" si="217"/>
        <v>0</v>
      </c>
      <c r="DH746" t="str" cm="1">
        <f t="array" ref="DH746">IF($A746="","",_xlfn.LET(_xlpm.c,IFERROR(_xlfn.XLOOKUP($A746,TRIM('Sales and count'!$A$4:$A$300&amp;""),TRIM('Sales and count'!$B$4:$B$300&amp;"")),""),IF(OR(_xlpm.c="",_xlpm.c="0",LEFT(_xlpm.c,1)="#"),"Not set",_xlpm.c)))</f>
        <v/>
      </c>
    </row>
    <row r="747" spans="1:112" x14ac:dyDescent="0.25">
      <c r="A747" t="str">
        <f>IF('Staff Daily sales'!$B732="","",TRIM('Staff Daily sales'!$B732&amp;""))</f>
        <v/>
      </c>
      <c r="B747" t="str">
        <f>IF('Staff Daily sales'!$D732="","",TRIM('Staff Daily sales'!$D732&amp;""))</f>
        <v/>
      </c>
      <c r="C747" t="str">
        <f>IFERROR(TRIM('Staff Daily sales'!$E732&amp;""),"")</f>
        <v/>
      </c>
      <c r="D747" t="str">
        <f>IFERROR(IF(TRIM('Staff Daily sales'!$F732&amp;"")="","Unassigned",TRIM('Staff Daily sales'!$F732&amp;"")),"Unassigned")</f>
        <v>Unassigned</v>
      </c>
      <c r="E747">
        <f t="shared" si="202"/>
        <v>0</v>
      </c>
      <c r="F747">
        <f>IF($E747=0,0,SUMPRODUCT($AI$5:$DF$5,'Staff Daily sales'!$G732:$CD732))</f>
        <v>0</v>
      </c>
      <c r="G747">
        <f>IF($E747=0,0,SUMPRODUCT($AI$6:$DF$6,'Staff Daily sales'!$G732:$CD732))</f>
        <v>0</v>
      </c>
      <c r="H747">
        <f t="shared" si="203"/>
        <v>0</v>
      </c>
      <c r="I747">
        <f t="shared" si="204"/>
        <v>0</v>
      </c>
      <c r="J747">
        <f t="shared" si="205"/>
        <v>0</v>
      </c>
      <c r="K747">
        <f t="shared" si="206"/>
        <v>0</v>
      </c>
      <c r="L747">
        <f>--AND($E747=1,OR('Staff Dashboard'!$B$6="All",$DH747='Staff Dashboard'!$B$6),OR('Staff Dashboard'!$B$7="All",$D747='Staff Dashboard'!$B$7),OR('Staff Dashboard'!$B$8="All",$A747='Staff Dashboard'!$B$8))</f>
        <v>0</v>
      </c>
      <c r="M747">
        <f>IF($E747=0,0,SUMPRODUCT($AI$7:$DF$7,'Staff Daily sales'!$G732:$CD732))</f>
        <v>0</v>
      </c>
      <c r="N747">
        <f>IF($E747=0,0,SUMPRODUCT($AI$8:$DF$8,'Staff Daily sales'!$G732:$CD732))</f>
        <v>0</v>
      </c>
      <c r="O747">
        <f>IF($E747=0,0,SUMPRODUCT($AI$9:$DF$9,'Staff Daily sales'!$G732:$CD732))</f>
        <v>0</v>
      </c>
      <c r="P747">
        <f>IF($E747=0,0,SUMPRODUCT($AI$10:$DF$10,'Staff Daily sales'!$G732:$CD732))</f>
        <v>0</v>
      </c>
      <c r="Q747">
        <f>IF($E747=0,0,SUMPRODUCT($AI$11:$DF$11,'Staff Daily sales'!$G732:$CD732))</f>
        <v>0</v>
      </c>
      <c r="R747">
        <f>IF($E747=0,0,SUMPRODUCT($AI$12:$DF$12,'Staff Daily sales'!$G732:$CD732))</f>
        <v>0</v>
      </c>
      <c r="S747">
        <f>IF($E747=0,0,SUMPRODUCT($AI$13:$DF$13,'Staff Daily sales'!$G732:$CD732))</f>
        <v>0</v>
      </c>
      <c r="T747">
        <f>IF($E747=0,0,SUMPRODUCT($AI$14:$DF$14,'Staff Daily sales'!$G732:$CD732))</f>
        <v>0</v>
      </c>
      <c r="U747">
        <f>IF($E747=0,0,SUMPRODUCT($AI$15:$DF$15,'Staff Daily sales'!$G732:$CD732))</f>
        <v>0</v>
      </c>
      <c r="V747">
        <f>IF($E747=0,0,SUMPRODUCT($AI$16:$DF$16,'Staff Daily sales'!$G732:$CD732))</f>
        <v>0</v>
      </c>
      <c r="W747">
        <f t="shared" si="207"/>
        <v>0</v>
      </c>
      <c r="X747">
        <f t="shared" si="208"/>
        <v>0</v>
      </c>
      <c r="Y747">
        <f t="shared" si="209"/>
        <v>0</v>
      </c>
      <c r="Z747">
        <f t="shared" si="210"/>
        <v>0</v>
      </c>
      <c r="AA747">
        <f t="shared" si="211"/>
        <v>0</v>
      </c>
      <c r="AB747">
        <f>--AND($E747=1,OR('Staff Weekly Trend'!$B$3="All",$DH747='Staff Weekly Trend'!$B$3),OR('Staff Weekly Trend'!$B$4="All",$D747='Staff Weekly Trend'!$B$4),OR('Staff Weekly Trend'!$B$5="All",$A747='Staff Weekly Trend'!$B$5))</f>
        <v>0</v>
      </c>
      <c r="AC747" t="str">
        <f t="shared" si="212"/>
        <v/>
      </c>
      <c r="AI747">
        <f t="shared" si="213"/>
        <v>0</v>
      </c>
      <c r="AJ747">
        <f t="shared" si="214"/>
        <v>0</v>
      </c>
      <c r="AK747">
        <f t="shared" si="215"/>
        <v>0</v>
      </c>
      <c r="AL747">
        <f t="shared" si="216"/>
        <v>0</v>
      </c>
      <c r="AM747">
        <f t="shared" si="217"/>
        <v>0</v>
      </c>
      <c r="DH747" t="str" cm="1">
        <f t="array" ref="DH747">IF($A747="","",_xlfn.LET(_xlpm.c,IFERROR(_xlfn.XLOOKUP($A747,TRIM('Sales and count'!$A$4:$A$300&amp;""),TRIM('Sales and count'!$B$4:$B$300&amp;"")),""),IF(OR(_xlpm.c="",_xlpm.c="0",LEFT(_xlpm.c,1)="#"),"Not set",_xlpm.c)))</f>
        <v/>
      </c>
    </row>
    <row r="748" spans="1:112" x14ac:dyDescent="0.25">
      <c r="A748" t="str">
        <f>IF('Staff Daily sales'!$B733="","",TRIM('Staff Daily sales'!$B733&amp;""))</f>
        <v/>
      </c>
      <c r="B748" t="str">
        <f>IF('Staff Daily sales'!$D733="","",TRIM('Staff Daily sales'!$D733&amp;""))</f>
        <v/>
      </c>
      <c r="C748" t="str">
        <f>IFERROR(TRIM('Staff Daily sales'!$E733&amp;""),"")</f>
        <v/>
      </c>
      <c r="D748" t="str">
        <f>IFERROR(IF(TRIM('Staff Daily sales'!$F733&amp;"")="","Unassigned",TRIM('Staff Daily sales'!$F733&amp;"")),"Unassigned")</f>
        <v>Unassigned</v>
      </c>
      <c r="E748">
        <f t="shared" si="202"/>
        <v>0</v>
      </c>
      <c r="F748">
        <f>IF($E748=0,0,SUMPRODUCT($AI$5:$DF$5,'Staff Daily sales'!$G733:$CD733))</f>
        <v>0</v>
      </c>
      <c r="G748">
        <f>IF($E748=0,0,SUMPRODUCT($AI$6:$DF$6,'Staff Daily sales'!$G733:$CD733))</f>
        <v>0</v>
      </c>
      <c r="H748">
        <f t="shared" si="203"/>
        <v>0</v>
      </c>
      <c r="I748">
        <f t="shared" si="204"/>
        <v>0</v>
      </c>
      <c r="J748">
        <f t="shared" si="205"/>
        <v>0</v>
      </c>
      <c r="K748">
        <f t="shared" si="206"/>
        <v>0</v>
      </c>
      <c r="L748">
        <f>--AND($E748=1,OR('Staff Dashboard'!$B$6="All",$DH748='Staff Dashboard'!$B$6),OR('Staff Dashboard'!$B$7="All",$D748='Staff Dashboard'!$B$7),OR('Staff Dashboard'!$B$8="All",$A748='Staff Dashboard'!$B$8))</f>
        <v>0</v>
      </c>
      <c r="M748">
        <f>IF($E748=0,0,SUMPRODUCT($AI$7:$DF$7,'Staff Daily sales'!$G733:$CD733))</f>
        <v>0</v>
      </c>
      <c r="N748">
        <f>IF($E748=0,0,SUMPRODUCT($AI$8:$DF$8,'Staff Daily sales'!$G733:$CD733))</f>
        <v>0</v>
      </c>
      <c r="O748">
        <f>IF($E748=0,0,SUMPRODUCT($AI$9:$DF$9,'Staff Daily sales'!$G733:$CD733))</f>
        <v>0</v>
      </c>
      <c r="P748">
        <f>IF($E748=0,0,SUMPRODUCT($AI$10:$DF$10,'Staff Daily sales'!$G733:$CD733))</f>
        <v>0</v>
      </c>
      <c r="Q748">
        <f>IF($E748=0,0,SUMPRODUCT($AI$11:$DF$11,'Staff Daily sales'!$G733:$CD733))</f>
        <v>0</v>
      </c>
      <c r="R748">
        <f>IF($E748=0,0,SUMPRODUCT($AI$12:$DF$12,'Staff Daily sales'!$G733:$CD733))</f>
        <v>0</v>
      </c>
      <c r="S748">
        <f>IF($E748=0,0,SUMPRODUCT($AI$13:$DF$13,'Staff Daily sales'!$G733:$CD733))</f>
        <v>0</v>
      </c>
      <c r="T748">
        <f>IF($E748=0,0,SUMPRODUCT($AI$14:$DF$14,'Staff Daily sales'!$G733:$CD733))</f>
        <v>0</v>
      </c>
      <c r="U748">
        <f>IF($E748=0,0,SUMPRODUCT($AI$15:$DF$15,'Staff Daily sales'!$G733:$CD733))</f>
        <v>0</v>
      </c>
      <c r="V748">
        <f>IF($E748=0,0,SUMPRODUCT($AI$16:$DF$16,'Staff Daily sales'!$G733:$CD733))</f>
        <v>0</v>
      </c>
      <c r="W748">
        <f t="shared" si="207"/>
        <v>0</v>
      </c>
      <c r="X748">
        <f t="shared" si="208"/>
        <v>0</v>
      </c>
      <c r="Y748">
        <f t="shared" si="209"/>
        <v>0</v>
      </c>
      <c r="Z748">
        <f t="shared" si="210"/>
        <v>0</v>
      </c>
      <c r="AA748">
        <f t="shared" si="211"/>
        <v>0</v>
      </c>
      <c r="AB748">
        <f>--AND($E748=1,OR('Staff Weekly Trend'!$B$3="All",$DH748='Staff Weekly Trend'!$B$3),OR('Staff Weekly Trend'!$B$4="All",$D748='Staff Weekly Trend'!$B$4),OR('Staff Weekly Trend'!$B$5="All",$A748='Staff Weekly Trend'!$B$5))</f>
        <v>0</v>
      </c>
      <c r="AC748" t="str">
        <f t="shared" si="212"/>
        <v/>
      </c>
      <c r="AI748">
        <f t="shared" si="213"/>
        <v>0</v>
      </c>
      <c r="AJ748">
        <f t="shared" si="214"/>
        <v>0</v>
      </c>
      <c r="AK748">
        <f t="shared" si="215"/>
        <v>0</v>
      </c>
      <c r="AL748">
        <f t="shared" si="216"/>
        <v>0</v>
      </c>
      <c r="AM748">
        <f t="shared" si="217"/>
        <v>0</v>
      </c>
      <c r="DH748" t="str" cm="1">
        <f t="array" ref="DH748">IF($A748="","",_xlfn.LET(_xlpm.c,IFERROR(_xlfn.XLOOKUP($A748,TRIM('Sales and count'!$A$4:$A$300&amp;""),TRIM('Sales and count'!$B$4:$B$300&amp;"")),""),IF(OR(_xlpm.c="",_xlpm.c="0",LEFT(_xlpm.c,1)="#"),"Not set",_xlpm.c)))</f>
        <v/>
      </c>
    </row>
    <row r="749" spans="1:112" x14ac:dyDescent="0.25">
      <c r="A749" t="str">
        <f>IF('Staff Daily sales'!$B734="","",TRIM('Staff Daily sales'!$B734&amp;""))</f>
        <v/>
      </c>
      <c r="B749" t="str">
        <f>IF('Staff Daily sales'!$D734="","",TRIM('Staff Daily sales'!$D734&amp;""))</f>
        <v/>
      </c>
      <c r="C749" t="str">
        <f>IFERROR(TRIM('Staff Daily sales'!$E734&amp;""),"")</f>
        <v/>
      </c>
      <c r="D749" t="str">
        <f>IFERROR(IF(TRIM('Staff Daily sales'!$F734&amp;"")="","Unassigned",TRIM('Staff Daily sales'!$F734&amp;"")),"Unassigned")</f>
        <v>Unassigned</v>
      </c>
      <c r="E749">
        <f t="shared" si="202"/>
        <v>0</v>
      </c>
      <c r="F749">
        <f>IF($E749=0,0,SUMPRODUCT($AI$5:$DF$5,'Staff Daily sales'!$G734:$CD734))</f>
        <v>0</v>
      </c>
      <c r="G749">
        <f>IF($E749=0,0,SUMPRODUCT($AI$6:$DF$6,'Staff Daily sales'!$G734:$CD734))</f>
        <v>0</v>
      </c>
      <c r="H749">
        <f t="shared" si="203"/>
        <v>0</v>
      </c>
      <c r="I749">
        <f t="shared" si="204"/>
        <v>0</v>
      </c>
      <c r="J749">
        <f t="shared" si="205"/>
        <v>0</v>
      </c>
      <c r="K749">
        <f t="shared" si="206"/>
        <v>0</v>
      </c>
      <c r="L749">
        <f>--AND($E749=1,OR('Staff Dashboard'!$B$6="All",$DH749='Staff Dashboard'!$B$6),OR('Staff Dashboard'!$B$7="All",$D749='Staff Dashboard'!$B$7),OR('Staff Dashboard'!$B$8="All",$A749='Staff Dashboard'!$B$8))</f>
        <v>0</v>
      </c>
      <c r="M749">
        <f>IF($E749=0,0,SUMPRODUCT($AI$7:$DF$7,'Staff Daily sales'!$G734:$CD734))</f>
        <v>0</v>
      </c>
      <c r="N749">
        <f>IF($E749=0,0,SUMPRODUCT($AI$8:$DF$8,'Staff Daily sales'!$G734:$CD734))</f>
        <v>0</v>
      </c>
      <c r="O749">
        <f>IF($E749=0,0,SUMPRODUCT($AI$9:$DF$9,'Staff Daily sales'!$G734:$CD734))</f>
        <v>0</v>
      </c>
      <c r="P749">
        <f>IF($E749=0,0,SUMPRODUCT($AI$10:$DF$10,'Staff Daily sales'!$G734:$CD734))</f>
        <v>0</v>
      </c>
      <c r="Q749">
        <f>IF($E749=0,0,SUMPRODUCT($AI$11:$DF$11,'Staff Daily sales'!$G734:$CD734))</f>
        <v>0</v>
      </c>
      <c r="R749">
        <f>IF($E749=0,0,SUMPRODUCT($AI$12:$DF$12,'Staff Daily sales'!$G734:$CD734))</f>
        <v>0</v>
      </c>
      <c r="S749">
        <f>IF($E749=0,0,SUMPRODUCT($AI$13:$DF$13,'Staff Daily sales'!$G734:$CD734))</f>
        <v>0</v>
      </c>
      <c r="T749">
        <f>IF($E749=0,0,SUMPRODUCT($AI$14:$DF$14,'Staff Daily sales'!$G734:$CD734))</f>
        <v>0</v>
      </c>
      <c r="U749">
        <f>IF($E749=0,0,SUMPRODUCT($AI$15:$DF$15,'Staff Daily sales'!$G734:$CD734))</f>
        <v>0</v>
      </c>
      <c r="V749">
        <f>IF($E749=0,0,SUMPRODUCT($AI$16:$DF$16,'Staff Daily sales'!$G734:$CD734))</f>
        <v>0</v>
      </c>
      <c r="W749">
        <f t="shared" si="207"/>
        <v>0</v>
      </c>
      <c r="X749">
        <f t="shared" si="208"/>
        <v>0</v>
      </c>
      <c r="Y749">
        <f t="shared" si="209"/>
        <v>0</v>
      </c>
      <c r="Z749">
        <f t="shared" si="210"/>
        <v>0</v>
      </c>
      <c r="AA749">
        <f t="shared" si="211"/>
        <v>0</v>
      </c>
      <c r="AB749">
        <f>--AND($E749=1,OR('Staff Weekly Trend'!$B$3="All",$DH749='Staff Weekly Trend'!$B$3),OR('Staff Weekly Trend'!$B$4="All",$D749='Staff Weekly Trend'!$B$4),OR('Staff Weekly Trend'!$B$5="All",$A749='Staff Weekly Trend'!$B$5))</f>
        <v>0</v>
      </c>
      <c r="AC749" t="str">
        <f t="shared" si="212"/>
        <v/>
      </c>
      <c r="AI749">
        <f t="shared" si="213"/>
        <v>0</v>
      </c>
      <c r="AJ749">
        <f t="shared" si="214"/>
        <v>0</v>
      </c>
      <c r="AK749">
        <f t="shared" si="215"/>
        <v>0</v>
      </c>
      <c r="AL749">
        <f t="shared" si="216"/>
        <v>0</v>
      </c>
      <c r="AM749">
        <f t="shared" si="217"/>
        <v>0</v>
      </c>
      <c r="DH749" t="str" cm="1">
        <f t="array" ref="DH749">IF($A749="","",_xlfn.LET(_xlpm.c,IFERROR(_xlfn.XLOOKUP($A749,TRIM('Sales and count'!$A$4:$A$300&amp;""),TRIM('Sales and count'!$B$4:$B$300&amp;"")),""),IF(OR(_xlpm.c="",_xlpm.c="0",LEFT(_xlpm.c,1)="#"),"Not set",_xlpm.c)))</f>
        <v/>
      </c>
    </row>
    <row r="750" spans="1:112" x14ac:dyDescent="0.25">
      <c r="A750" t="str">
        <f>IF('Staff Daily sales'!$B735="","",TRIM('Staff Daily sales'!$B735&amp;""))</f>
        <v/>
      </c>
      <c r="B750" t="str">
        <f>IF('Staff Daily sales'!$D735="","",TRIM('Staff Daily sales'!$D735&amp;""))</f>
        <v/>
      </c>
      <c r="C750" t="str">
        <f>IFERROR(TRIM('Staff Daily sales'!$E735&amp;""),"")</f>
        <v/>
      </c>
      <c r="D750" t="str">
        <f>IFERROR(IF(TRIM('Staff Daily sales'!$F735&amp;"")="","Unassigned",TRIM('Staff Daily sales'!$F735&amp;"")),"Unassigned")</f>
        <v>Unassigned</v>
      </c>
      <c r="E750">
        <f t="shared" si="202"/>
        <v>0</v>
      </c>
      <c r="F750">
        <f>IF($E750=0,0,SUMPRODUCT($AI$5:$DF$5,'Staff Daily sales'!$G735:$CD735))</f>
        <v>0</v>
      </c>
      <c r="G750">
        <f>IF($E750=0,0,SUMPRODUCT($AI$6:$DF$6,'Staff Daily sales'!$G735:$CD735))</f>
        <v>0</v>
      </c>
      <c r="H750">
        <f t="shared" si="203"/>
        <v>0</v>
      </c>
      <c r="I750">
        <f t="shared" si="204"/>
        <v>0</v>
      </c>
      <c r="J750">
        <f t="shared" si="205"/>
        <v>0</v>
      </c>
      <c r="K750">
        <f t="shared" si="206"/>
        <v>0</v>
      </c>
      <c r="L750">
        <f>--AND($E750=1,OR('Staff Dashboard'!$B$6="All",$DH750='Staff Dashboard'!$B$6),OR('Staff Dashboard'!$B$7="All",$D750='Staff Dashboard'!$B$7),OR('Staff Dashboard'!$B$8="All",$A750='Staff Dashboard'!$B$8))</f>
        <v>0</v>
      </c>
      <c r="M750">
        <f>IF($E750=0,0,SUMPRODUCT($AI$7:$DF$7,'Staff Daily sales'!$G735:$CD735))</f>
        <v>0</v>
      </c>
      <c r="N750">
        <f>IF($E750=0,0,SUMPRODUCT($AI$8:$DF$8,'Staff Daily sales'!$G735:$CD735))</f>
        <v>0</v>
      </c>
      <c r="O750">
        <f>IF($E750=0,0,SUMPRODUCT($AI$9:$DF$9,'Staff Daily sales'!$G735:$CD735))</f>
        <v>0</v>
      </c>
      <c r="P750">
        <f>IF($E750=0,0,SUMPRODUCT($AI$10:$DF$10,'Staff Daily sales'!$G735:$CD735))</f>
        <v>0</v>
      </c>
      <c r="Q750">
        <f>IF($E750=0,0,SUMPRODUCT($AI$11:$DF$11,'Staff Daily sales'!$G735:$CD735))</f>
        <v>0</v>
      </c>
      <c r="R750">
        <f>IF($E750=0,0,SUMPRODUCT($AI$12:$DF$12,'Staff Daily sales'!$G735:$CD735))</f>
        <v>0</v>
      </c>
      <c r="S750">
        <f>IF($E750=0,0,SUMPRODUCT($AI$13:$DF$13,'Staff Daily sales'!$G735:$CD735))</f>
        <v>0</v>
      </c>
      <c r="T750">
        <f>IF($E750=0,0,SUMPRODUCT($AI$14:$DF$14,'Staff Daily sales'!$G735:$CD735))</f>
        <v>0</v>
      </c>
      <c r="U750">
        <f>IF($E750=0,0,SUMPRODUCT($AI$15:$DF$15,'Staff Daily sales'!$G735:$CD735))</f>
        <v>0</v>
      </c>
      <c r="V750">
        <f>IF($E750=0,0,SUMPRODUCT($AI$16:$DF$16,'Staff Daily sales'!$G735:$CD735))</f>
        <v>0</v>
      </c>
      <c r="W750">
        <f t="shared" si="207"/>
        <v>0</v>
      </c>
      <c r="X750">
        <f t="shared" si="208"/>
        <v>0</v>
      </c>
      <c r="Y750">
        <f t="shared" si="209"/>
        <v>0</v>
      </c>
      <c r="Z750">
        <f t="shared" si="210"/>
        <v>0</v>
      </c>
      <c r="AA750">
        <f t="shared" si="211"/>
        <v>0</v>
      </c>
      <c r="AB750">
        <f>--AND($E750=1,OR('Staff Weekly Trend'!$B$3="All",$DH750='Staff Weekly Trend'!$B$3),OR('Staff Weekly Trend'!$B$4="All",$D750='Staff Weekly Trend'!$B$4),OR('Staff Weekly Trend'!$B$5="All",$A750='Staff Weekly Trend'!$B$5))</f>
        <v>0</v>
      </c>
      <c r="AC750" t="str">
        <f t="shared" si="212"/>
        <v/>
      </c>
      <c r="AI750">
        <f t="shared" si="213"/>
        <v>0</v>
      </c>
      <c r="AJ750">
        <f t="shared" si="214"/>
        <v>0</v>
      </c>
      <c r="AK750">
        <f t="shared" si="215"/>
        <v>0</v>
      </c>
      <c r="AL750">
        <f t="shared" si="216"/>
        <v>0</v>
      </c>
      <c r="AM750">
        <f t="shared" si="217"/>
        <v>0</v>
      </c>
      <c r="DH750" t="str" cm="1">
        <f t="array" ref="DH750">IF($A750="","",_xlfn.LET(_xlpm.c,IFERROR(_xlfn.XLOOKUP($A750,TRIM('Sales and count'!$A$4:$A$300&amp;""),TRIM('Sales and count'!$B$4:$B$300&amp;"")),""),IF(OR(_xlpm.c="",_xlpm.c="0",LEFT(_xlpm.c,1)="#"),"Not set",_xlpm.c)))</f>
        <v/>
      </c>
    </row>
    <row r="751" spans="1:112" x14ac:dyDescent="0.25">
      <c r="A751" t="str">
        <f>IF('Staff Daily sales'!$B736="","",TRIM('Staff Daily sales'!$B736&amp;""))</f>
        <v/>
      </c>
      <c r="B751" t="str">
        <f>IF('Staff Daily sales'!$D736="","",TRIM('Staff Daily sales'!$D736&amp;""))</f>
        <v/>
      </c>
      <c r="C751" t="str">
        <f>IFERROR(TRIM('Staff Daily sales'!$E736&amp;""),"")</f>
        <v/>
      </c>
      <c r="D751" t="str">
        <f>IFERROR(IF(TRIM('Staff Daily sales'!$F736&amp;"")="","Unassigned",TRIM('Staff Daily sales'!$F736&amp;"")),"Unassigned")</f>
        <v>Unassigned</v>
      </c>
      <c r="E751">
        <f t="shared" si="202"/>
        <v>0</v>
      </c>
      <c r="F751">
        <f>IF($E751=0,0,SUMPRODUCT($AI$5:$DF$5,'Staff Daily sales'!$G736:$CD736))</f>
        <v>0</v>
      </c>
      <c r="G751">
        <f>IF($E751=0,0,SUMPRODUCT($AI$6:$DF$6,'Staff Daily sales'!$G736:$CD736))</f>
        <v>0</v>
      </c>
      <c r="H751">
        <f t="shared" si="203"/>
        <v>0</v>
      </c>
      <c r="I751">
        <f t="shared" si="204"/>
        <v>0</v>
      </c>
      <c r="J751">
        <f t="shared" si="205"/>
        <v>0</v>
      </c>
      <c r="K751">
        <f t="shared" si="206"/>
        <v>0</v>
      </c>
      <c r="L751">
        <f>--AND($E751=1,OR('Staff Dashboard'!$B$6="All",$DH751='Staff Dashboard'!$B$6),OR('Staff Dashboard'!$B$7="All",$D751='Staff Dashboard'!$B$7),OR('Staff Dashboard'!$B$8="All",$A751='Staff Dashboard'!$B$8))</f>
        <v>0</v>
      </c>
      <c r="M751">
        <f>IF($E751=0,0,SUMPRODUCT($AI$7:$DF$7,'Staff Daily sales'!$G736:$CD736))</f>
        <v>0</v>
      </c>
      <c r="N751">
        <f>IF($E751=0,0,SUMPRODUCT($AI$8:$DF$8,'Staff Daily sales'!$G736:$CD736))</f>
        <v>0</v>
      </c>
      <c r="O751">
        <f>IF($E751=0,0,SUMPRODUCT($AI$9:$DF$9,'Staff Daily sales'!$G736:$CD736))</f>
        <v>0</v>
      </c>
      <c r="P751">
        <f>IF($E751=0,0,SUMPRODUCT($AI$10:$DF$10,'Staff Daily sales'!$G736:$CD736))</f>
        <v>0</v>
      </c>
      <c r="Q751">
        <f>IF($E751=0,0,SUMPRODUCT($AI$11:$DF$11,'Staff Daily sales'!$G736:$CD736))</f>
        <v>0</v>
      </c>
      <c r="R751">
        <f>IF($E751=0,0,SUMPRODUCT($AI$12:$DF$12,'Staff Daily sales'!$G736:$CD736))</f>
        <v>0</v>
      </c>
      <c r="S751">
        <f>IF($E751=0,0,SUMPRODUCT($AI$13:$DF$13,'Staff Daily sales'!$G736:$CD736))</f>
        <v>0</v>
      </c>
      <c r="T751">
        <f>IF($E751=0,0,SUMPRODUCT($AI$14:$DF$14,'Staff Daily sales'!$G736:$CD736))</f>
        <v>0</v>
      </c>
      <c r="U751">
        <f>IF($E751=0,0,SUMPRODUCT($AI$15:$DF$15,'Staff Daily sales'!$G736:$CD736))</f>
        <v>0</v>
      </c>
      <c r="V751">
        <f>IF($E751=0,0,SUMPRODUCT($AI$16:$DF$16,'Staff Daily sales'!$G736:$CD736))</f>
        <v>0</v>
      </c>
      <c r="W751">
        <f t="shared" si="207"/>
        <v>0</v>
      </c>
      <c r="X751">
        <f t="shared" si="208"/>
        <v>0</v>
      </c>
      <c r="Y751">
        <f t="shared" si="209"/>
        <v>0</v>
      </c>
      <c r="Z751">
        <f t="shared" si="210"/>
        <v>0</v>
      </c>
      <c r="AA751">
        <f t="shared" si="211"/>
        <v>0</v>
      </c>
      <c r="AB751">
        <f>--AND($E751=1,OR('Staff Weekly Trend'!$B$3="All",$DH751='Staff Weekly Trend'!$B$3),OR('Staff Weekly Trend'!$B$4="All",$D751='Staff Weekly Trend'!$B$4),OR('Staff Weekly Trend'!$B$5="All",$A751='Staff Weekly Trend'!$B$5))</f>
        <v>0</v>
      </c>
      <c r="AC751" t="str">
        <f t="shared" si="212"/>
        <v/>
      </c>
      <c r="AI751">
        <f t="shared" si="213"/>
        <v>0</v>
      </c>
      <c r="AJ751">
        <f t="shared" si="214"/>
        <v>0</v>
      </c>
      <c r="AK751">
        <f t="shared" si="215"/>
        <v>0</v>
      </c>
      <c r="AL751">
        <f t="shared" si="216"/>
        <v>0</v>
      </c>
      <c r="AM751">
        <f t="shared" si="217"/>
        <v>0</v>
      </c>
      <c r="DH751" t="str" cm="1">
        <f t="array" ref="DH751">IF($A751="","",_xlfn.LET(_xlpm.c,IFERROR(_xlfn.XLOOKUP($A751,TRIM('Sales and count'!$A$4:$A$300&amp;""),TRIM('Sales and count'!$B$4:$B$300&amp;"")),""),IF(OR(_xlpm.c="",_xlpm.c="0",LEFT(_xlpm.c,1)="#"),"Not set",_xlpm.c)))</f>
        <v/>
      </c>
    </row>
    <row r="752" spans="1:112" x14ac:dyDescent="0.25">
      <c r="A752" t="str">
        <f>IF('Staff Daily sales'!$B737="","",TRIM('Staff Daily sales'!$B737&amp;""))</f>
        <v/>
      </c>
      <c r="B752" t="str">
        <f>IF('Staff Daily sales'!$D737="","",TRIM('Staff Daily sales'!$D737&amp;""))</f>
        <v/>
      </c>
      <c r="C752" t="str">
        <f>IFERROR(TRIM('Staff Daily sales'!$E737&amp;""),"")</f>
        <v/>
      </c>
      <c r="D752" t="str">
        <f>IFERROR(IF(TRIM('Staff Daily sales'!$F737&amp;"")="","Unassigned",TRIM('Staff Daily sales'!$F737&amp;"")),"Unassigned")</f>
        <v>Unassigned</v>
      </c>
      <c r="E752">
        <f t="shared" si="202"/>
        <v>0</v>
      </c>
      <c r="F752">
        <f>IF($E752=0,0,SUMPRODUCT($AI$5:$DF$5,'Staff Daily sales'!$G737:$CD737))</f>
        <v>0</v>
      </c>
      <c r="G752">
        <f>IF($E752=0,0,SUMPRODUCT($AI$6:$DF$6,'Staff Daily sales'!$G737:$CD737))</f>
        <v>0</v>
      </c>
      <c r="H752">
        <f t="shared" si="203"/>
        <v>0</v>
      </c>
      <c r="I752">
        <f t="shared" si="204"/>
        <v>0</v>
      </c>
      <c r="J752">
        <f t="shared" si="205"/>
        <v>0</v>
      </c>
      <c r="K752">
        <f t="shared" si="206"/>
        <v>0</v>
      </c>
      <c r="L752">
        <f>--AND($E752=1,OR('Staff Dashboard'!$B$6="All",$DH752='Staff Dashboard'!$B$6),OR('Staff Dashboard'!$B$7="All",$D752='Staff Dashboard'!$B$7),OR('Staff Dashboard'!$B$8="All",$A752='Staff Dashboard'!$B$8))</f>
        <v>0</v>
      </c>
      <c r="M752">
        <f>IF($E752=0,0,SUMPRODUCT($AI$7:$DF$7,'Staff Daily sales'!$G737:$CD737))</f>
        <v>0</v>
      </c>
      <c r="N752">
        <f>IF($E752=0,0,SUMPRODUCT($AI$8:$DF$8,'Staff Daily sales'!$G737:$CD737))</f>
        <v>0</v>
      </c>
      <c r="O752">
        <f>IF($E752=0,0,SUMPRODUCT($AI$9:$DF$9,'Staff Daily sales'!$G737:$CD737))</f>
        <v>0</v>
      </c>
      <c r="P752">
        <f>IF($E752=0,0,SUMPRODUCT($AI$10:$DF$10,'Staff Daily sales'!$G737:$CD737))</f>
        <v>0</v>
      </c>
      <c r="Q752">
        <f>IF($E752=0,0,SUMPRODUCT($AI$11:$DF$11,'Staff Daily sales'!$G737:$CD737))</f>
        <v>0</v>
      </c>
      <c r="R752">
        <f>IF($E752=0,0,SUMPRODUCT($AI$12:$DF$12,'Staff Daily sales'!$G737:$CD737))</f>
        <v>0</v>
      </c>
      <c r="S752">
        <f>IF($E752=0,0,SUMPRODUCT($AI$13:$DF$13,'Staff Daily sales'!$G737:$CD737))</f>
        <v>0</v>
      </c>
      <c r="T752">
        <f>IF($E752=0,0,SUMPRODUCT($AI$14:$DF$14,'Staff Daily sales'!$G737:$CD737))</f>
        <v>0</v>
      </c>
      <c r="U752">
        <f>IF($E752=0,0,SUMPRODUCT($AI$15:$DF$15,'Staff Daily sales'!$G737:$CD737))</f>
        <v>0</v>
      </c>
      <c r="V752">
        <f>IF($E752=0,0,SUMPRODUCT($AI$16:$DF$16,'Staff Daily sales'!$G737:$CD737))</f>
        <v>0</v>
      </c>
      <c r="W752">
        <f t="shared" si="207"/>
        <v>0</v>
      </c>
      <c r="X752">
        <f t="shared" si="208"/>
        <v>0</v>
      </c>
      <c r="Y752">
        <f t="shared" si="209"/>
        <v>0</v>
      </c>
      <c r="Z752">
        <f t="shared" si="210"/>
        <v>0</v>
      </c>
      <c r="AA752">
        <f t="shared" si="211"/>
        <v>0</v>
      </c>
      <c r="AB752">
        <f>--AND($E752=1,OR('Staff Weekly Trend'!$B$3="All",$DH752='Staff Weekly Trend'!$B$3),OR('Staff Weekly Trend'!$B$4="All",$D752='Staff Weekly Trend'!$B$4),OR('Staff Weekly Trend'!$B$5="All",$A752='Staff Weekly Trend'!$B$5))</f>
        <v>0</v>
      </c>
      <c r="AC752" t="str">
        <f t="shared" si="212"/>
        <v/>
      </c>
      <c r="AI752">
        <f t="shared" si="213"/>
        <v>0</v>
      </c>
      <c r="AJ752">
        <f t="shared" si="214"/>
        <v>0</v>
      </c>
      <c r="AK752">
        <f t="shared" si="215"/>
        <v>0</v>
      </c>
      <c r="AL752">
        <f t="shared" si="216"/>
        <v>0</v>
      </c>
      <c r="AM752">
        <f t="shared" si="217"/>
        <v>0</v>
      </c>
      <c r="DH752" t="str" cm="1">
        <f t="array" ref="DH752">IF($A752="","",_xlfn.LET(_xlpm.c,IFERROR(_xlfn.XLOOKUP($A752,TRIM('Sales and count'!$A$4:$A$300&amp;""),TRIM('Sales and count'!$B$4:$B$300&amp;"")),""),IF(OR(_xlpm.c="",_xlpm.c="0",LEFT(_xlpm.c,1)="#"),"Not set",_xlpm.c)))</f>
        <v/>
      </c>
    </row>
    <row r="753" spans="1:112" x14ac:dyDescent="0.25">
      <c r="A753" t="str">
        <f>IF('Staff Daily sales'!$B738="","",TRIM('Staff Daily sales'!$B738&amp;""))</f>
        <v/>
      </c>
      <c r="B753" t="str">
        <f>IF('Staff Daily sales'!$D738="","",TRIM('Staff Daily sales'!$D738&amp;""))</f>
        <v/>
      </c>
      <c r="C753" t="str">
        <f>IFERROR(TRIM('Staff Daily sales'!$E738&amp;""),"")</f>
        <v/>
      </c>
      <c r="D753" t="str">
        <f>IFERROR(IF(TRIM('Staff Daily sales'!$F738&amp;"")="","Unassigned",TRIM('Staff Daily sales'!$F738&amp;"")),"Unassigned")</f>
        <v>Unassigned</v>
      </c>
      <c r="E753">
        <f t="shared" si="202"/>
        <v>0</v>
      </c>
      <c r="F753">
        <f>IF($E753=0,0,SUMPRODUCT($AI$5:$DF$5,'Staff Daily sales'!$G738:$CD738))</f>
        <v>0</v>
      </c>
      <c r="G753">
        <f>IF($E753=0,0,SUMPRODUCT($AI$6:$DF$6,'Staff Daily sales'!$G738:$CD738))</f>
        <v>0</v>
      </c>
      <c r="H753">
        <f t="shared" si="203"/>
        <v>0</v>
      </c>
      <c r="I753">
        <f t="shared" si="204"/>
        <v>0</v>
      </c>
      <c r="J753">
        <f t="shared" si="205"/>
        <v>0</v>
      </c>
      <c r="K753">
        <f t="shared" si="206"/>
        <v>0</v>
      </c>
      <c r="L753">
        <f>--AND($E753=1,OR('Staff Dashboard'!$B$6="All",$DH753='Staff Dashboard'!$B$6),OR('Staff Dashboard'!$B$7="All",$D753='Staff Dashboard'!$B$7),OR('Staff Dashboard'!$B$8="All",$A753='Staff Dashboard'!$B$8))</f>
        <v>0</v>
      </c>
      <c r="M753">
        <f>IF($E753=0,0,SUMPRODUCT($AI$7:$DF$7,'Staff Daily sales'!$G738:$CD738))</f>
        <v>0</v>
      </c>
      <c r="N753">
        <f>IF($E753=0,0,SUMPRODUCT($AI$8:$DF$8,'Staff Daily sales'!$G738:$CD738))</f>
        <v>0</v>
      </c>
      <c r="O753">
        <f>IF($E753=0,0,SUMPRODUCT($AI$9:$DF$9,'Staff Daily sales'!$G738:$CD738))</f>
        <v>0</v>
      </c>
      <c r="P753">
        <f>IF($E753=0,0,SUMPRODUCT($AI$10:$DF$10,'Staff Daily sales'!$G738:$CD738))</f>
        <v>0</v>
      </c>
      <c r="Q753">
        <f>IF($E753=0,0,SUMPRODUCT($AI$11:$DF$11,'Staff Daily sales'!$G738:$CD738))</f>
        <v>0</v>
      </c>
      <c r="R753">
        <f>IF($E753=0,0,SUMPRODUCT($AI$12:$DF$12,'Staff Daily sales'!$G738:$CD738))</f>
        <v>0</v>
      </c>
      <c r="S753">
        <f>IF($E753=0,0,SUMPRODUCT($AI$13:$DF$13,'Staff Daily sales'!$G738:$CD738))</f>
        <v>0</v>
      </c>
      <c r="T753">
        <f>IF($E753=0,0,SUMPRODUCT($AI$14:$DF$14,'Staff Daily sales'!$G738:$CD738))</f>
        <v>0</v>
      </c>
      <c r="U753">
        <f>IF($E753=0,0,SUMPRODUCT($AI$15:$DF$15,'Staff Daily sales'!$G738:$CD738))</f>
        <v>0</v>
      </c>
      <c r="V753">
        <f>IF($E753=0,0,SUMPRODUCT($AI$16:$DF$16,'Staff Daily sales'!$G738:$CD738))</f>
        <v>0</v>
      </c>
      <c r="W753">
        <f t="shared" si="207"/>
        <v>0</v>
      </c>
      <c r="X753">
        <f t="shared" si="208"/>
        <v>0</v>
      </c>
      <c r="Y753">
        <f t="shared" si="209"/>
        <v>0</v>
      </c>
      <c r="Z753">
        <f t="shared" si="210"/>
        <v>0</v>
      </c>
      <c r="AA753">
        <f t="shared" si="211"/>
        <v>0</v>
      </c>
      <c r="AB753">
        <f>--AND($E753=1,OR('Staff Weekly Trend'!$B$3="All",$DH753='Staff Weekly Trend'!$B$3),OR('Staff Weekly Trend'!$B$4="All",$D753='Staff Weekly Trend'!$B$4),OR('Staff Weekly Trend'!$B$5="All",$A753='Staff Weekly Trend'!$B$5))</f>
        <v>0</v>
      </c>
      <c r="AC753" t="str">
        <f t="shared" si="212"/>
        <v/>
      </c>
      <c r="AI753">
        <f t="shared" si="213"/>
        <v>0</v>
      </c>
      <c r="AJ753">
        <f t="shared" si="214"/>
        <v>0</v>
      </c>
      <c r="AK753">
        <f t="shared" si="215"/>
        <v>0</v>
      </c>
      <c r="AL753">
        <f t="shared" si="216"/>
        <v>0</v>
      </c>
      <c r="AM753">
        <f t="shared" si="217"/>
        <v>0</v>
      </c>
      <c r="DH753" t="str" cm="1">
        <f t="array" ref="DH753">IF($A753="","",_xlfn.LET(_xlpm.c,IFERROR(_xlfn.XLOOKUP($A753,TRIM('Sales and count'!$A$4:$A$300&amp;""),TRIM('Sales and count'!$B$4:$B$300&amp;"")),""),IF(OR(_xlpm.c="",_xlpm.c="0",LEFT(_xlpm.c,1)="#"),"Not set",_xlpm.c)))</f>
        <v/>
      </c>
    </row>
    <row r="754" spans="1:112" x14ac:dyDescent="0.25">
      <c r="A754" t="str">
        <f>IF('Staff Daily sales'!$B739="","",TRIM('Staff Daily sales'!$B739&amp;""))</f>
        <v/>
      </c>
      <c r="B754" t="str">
        <f>IF('Staff Daily sales'!$D739="","",TRIM('Staff Daily sales'!$D739&amp;""))</f>
        <v/>
      </c>
      <c r="C754" t="str">
        <f>IFERROR(TRIM('Staff Daily sales'!$E739&amp;""),"")</f>
        <v/>
      </c>
      <c r="D754" t="str">
        <f>IFERROR(IF(TRIM('Staff Daily sales'!$F739&amp;"")="","Unassigned",TRIM('Staff Daily sales'!$F739&amp;"")),"Unassigned")</f>
        <v>Unassigned</v>
      </c>
      <c r="E754">
        <f t="shared" si="202"/>
        <v>0</v>
      </c>
      <c r="F754">
        <f>IF($E754=0,0,SUMPRODUCT($AI$5:$DF$5,'Staff Daily sales'!$G739:$CD739))</f>
        <v>0</v>
      </c>
      <c r="G754">
        <f>IF($E754=0,0,SUMPRODUCT($AI$6:$DF$6,'Staff Daily sales'!$G739:$CD739))</f>
        <v>0</v>
      </c>
      <c r="H754">
        <f t="shared" si="203"/>
        <v>0</v>
      </c>
      <c r="I754">
        <f t="shared" si="204"/>
        <v>0</v>
      </c>
      <c r="J754">
        <f t="shared" si="205"/>
        <v>0</v>
      </c>
      <c r="K754">
        <f t="shared" si="206"/>
        <v>0</v>
      </c>
      <c r="L754">
        <f>--AND($E754=1,OR('Staff Dashboard'!$B$6="All",$DH754='Staff Dashboard'!$B$6),OR('Staff Dashboard'!$B$7="All",$D754='Staff Dashboard'!$B$7),OR('Staff Dashboard'!$B$8="All",$A754='Staff Dashboard'!$B$8))</f>
        <v>0</v>
      </c>
      <c r="M754">
        <f>IF($E754=0,0,SUMPRODUCT($AI$7:$DF$7,'Staff Daily sales'!$G739:$CD739))</f>
        <v>0</v>
      </c>
      <c r="N754">
        <f>IF($E754=0,0,SUMPRODUCT($AI$8:$DF$8,'Staff Daily sales'!$G739:$CD739))</f>
        <v>0</v>
      </c>
      <c r="O754">
        <f>IF($E754=0,0,SUMPRODUCT($AI$9:$DF$9,'Staff Daily sales'!$G739:$CD739))</f>
        <v>0</v>
      </c>
      <c r="P754">
        <f>IF($E754=0,0,SUMPRODUCT($AI$10:$DF$10,'Staff Daily sales'!$G739:$CD739))</f>
        <v>0</v>
      </c>
      <c r="Q754">
        <f>IF($E754=0,0,SUMPRODUCT($AI$11:$DF$11,'Staff Daily sales'!$G739:$CD739))</f>
        <v>0</v>
      </c>
      <c r="R754">
        <f>IF($E754=0,0,SUMPRODUCT($AI$12:$DF$12,'Staff Daily sales'!$G739:$CD739))</f>
        <v>0</v>
      </c>
      <c r="S754">
        <f>IF($E754=0,0,SUMPRODUCT($AI$13:$DF$13,'Staff Daily sales'!$G739:$CD739))</f>
        <v>0</v>
      </c>
      <c r="T754">
        <f>IF($E754=0,0,SUMPRODUCT($AI$14:$DF$14,'Staff Daily sales'!$G739:$CD739))</f>
        <v>0</v>
      </c>
      <c r="U754">
        <f>IF($E754=0,0,SUMPRODUCT($AI$15:$DF$15,'Staff Daily sales'!$G739:$CD739))</f>
        <v>0</v>
      </c>
      <c r="V754">
        <f>IF($E754=0,0,SUMPRODUCT($AI$16:$DF$16,'Staff Daily sales'!$G739:$CD739))</f>
        <v>0</v>
      </c>
      <c r="W754">
        <f t="shared" si="207"/>
        <v>0</v>
      </c>
      <c r="X754">
        <f t="shared" si="208"/>
        <v>0</v>
      </c>
      <c r="Y754">
        <f t="shared" si="209"/>
        <v>0</v>
      </c>
      <c r="Z754">
        <f t="shared" si="210"/>
        <v>0</v>
      </c>
      <c r="AA754">
        <f t="shared" si="211"/>
        <v>0</v>
      </c>
      <c r="AB754">
        <f>--AND($E754=1,OR('Staff Weekly Trend'!$B$3="All",$DH754='Staff Weekly Trend'!$B$3),OR('Staff Weekly Trend'!$B$4="All",$D754='Staff Weekly Trend'!$B$4),OR('Staff Weekly Trend'!$B$5="All",$A754='Staff Weekly Trend'!$B$5))</f>
        <v>0</v>
      </c>
      <c r="AC754" t="str">
        <f t="shared" si="212"/>
        <v/>
      </c>
      <c r="AI754">
        <f t="shared" si="213"/>
        <v>0</v>
      </c>
      <c r="AJ754">
        <f t="shared" si="214"/>
        <v>0</v>
      </c>
      <c r="AK754">
        <f t="shared" si="215"/>
        <v>0</v>
      </c>
      <c r="AL754">
        <f t="shared" si="216"/>
        <v>0</v>
      </c>
      <c r="AM754">
        <f t="shared" si="217"/>
        <v>0</v>
      </c>
      <c r="DH754" t="str" cm="1">
        <f t="array" ref="DH754">IF($A754="","",_xlfn.LET(_xlpm.c,IFERROR(_xlfn.XLOOKUP($A754,TRIM('Sales and count'!$A$4:$A$300&amp;""),TRIM('Sales and count'!$B$4:$B$300&amp;"")),""),IF(OR(_xlpm.c="",_xlpm.c="0",LEFT(_xlpm.c,1)="#"),"Not set",_xlpm.c)))</f>
        <v/>
      </c>
    </row>
    <row r="755" spans="1:112" x14ac:dyDescent="0.25">
      <c r="A755" t="str">
        <f>IF('Staff Daily sales'!$B740="","",TRIM('Staff Daily sales'!$B740&amp;""))</f>
        <v/>
      </c>
      <c r="B755" t="str">
        <f>IF('Staff Daily sales'!$D740="","",TRIM('Staff Daily sales'!$D740&amp;""))</f>
        <v/>
      </c>
      <c r="C755" t="str">
        <f>IFERROR(TRIM('Staff Daily sales'!$E740&amp;""),"")</f>
        <v/>
      </c>
      <c r="D755" t="str">
        <f>IFERROR(IF(TRIM('Staff Daily sales'!$F740&amp;"")="","Unassigned",TRIM('Staff Daily sales'!$F740&amp;"")),"Unassigned")</f>
        <v>Unassigned</v>
      </c>
      <c r="E755">
        <f t="shared" si="202"/>
        <v>0</v>
      </c>
      <c r="F755">
        <f>IF($E755=0,0,SUMPRODUCT($AI$5:$DF$5,'Staff Daily sales'!$G740:$CD740))</f>
        <v>0</v>
      </c>
      <c r="G755">
        <f>IF($E755=0,0,SUMPRODUCT($AI$6:$DF$6,'Staff Daily sales'!$G740:$CD740))</f>
        <v>0</v>
      </c>
      <c r="H755">
        <f t="shared" si="203"/>
        <v>0</v>
      </c>
      <c r="I755">
        <f t="shared" si="204"/>
        <v>0</v>
      </c>
      <c r="J755">
        <f t="shared" si="205"/>
        <v>0</v>
      </c>
      <c r="K755">
        <f t="shared" si="206"/>
        <v>0</v>
      </c>
      <c r="L755">
        <f>--AND($E755=1,OR('Staff Dashboard'!$B$6="All",$DH755='Staff Dashboard'!$B$6),OR('Staff Dashboard'!$B$7="All",$D755='Staff Dashboard'!$B$7),OR('Staff Dashboard'!$B$8="All",$A755='Staff Dashboard'!$B$8))</f>
        <v>0</v>
      </c>
      <c r="M755">
        <f>IF($E755=0,0,SUMPRODUCT($AI$7:$DF$7,'Staff Daily sales'!$G740:$CD740))</f>
        <v>0</v>
      </c>
      <c r="N755">
        <f>IF($E755=0,0,SUMPRODUCT($AI$8:$DF$8,'Staff Daily sales'!$G740:$CD740))</f>
        <v>0</v>
      </c>
      <c r="O755">
        <f>IF($E755=0,0,SUMPRODUCT($AI$9:$DF$9,'Staff Daily sales'!$G740:$CD740))</f>
        <v>0</v>
      </c>
      <c r="P755">
        <f>IF($E755=0,0,SUMPRODUCT($AI$10:$DF$10,'Staff Daily sales'!$G740:$CD740))</f>
        <v>0</v>
      </c>
      <c r="Q755">
        <f>IF($E755=0,0,SUMPRODUCT($AI$11:$DF$11,'Staff Daily sales'!$G740:$CD740))</f>
        <v>0</v>
      </c>
      <c r="R755">
        <f>IF($E755=0,0,SUMPRODUCT($AI$12:$DF$12,'Staff Daily sales'!$G740:$CD740))</f>
        <v>0</v>
      </c>
      <c r="S755">
        <f>IF($E755=0,0,SUMPRODUCT($AI$13:$DF$13,'Staff Daily sales'!$G740:$CD740))</f>
        <v>0</v>
      </c>
      <c r="T755">
        <f>IF($E755=0,0,SUMPRODUCT($AI$14:$DF$14,'Staff Daily sales'!$G740:$CD740))</f>
        <v>0</v>
      </c>
      <c r="U755">
        <f>IF($E755=0,0,SUMPRODUCT($AI$15:$DF$15,'Staff Daily sales'!$G740:$CD740))</f>
        <v>0</v>
      </c>
      <c r="V755">
        <f>IF($E755=0,0,SUMPRODUCT($AI$16:$DF$16,'Staff Daily sales'!$G740:$CD740))</f>
        <v>0</v>
      </c>
      <c r="W755">
        <f t="shared" si="207"/>
        <v>0</v>
      </c>
      <c r="X755">
        <f t="shared" si="208"/>
        <v>0</v>
      </c>
      <c r="Y755">
        <f t="shared" si="209"/>
        <v>0</v>
      </c>
      <c r="Z755">
        <f t="shared" si="210"/>
        <v>0</v>
      </c>
      <c r="AA755">
        <f t="shared" si="211"/>
        <v>0</v>
      </c>
      <c r="AB755">
        <f>--AND($E755=1,OR('Staff Weekly Trend'!$B$3="All",$DH755='Staff Weekly Trend'!$B$3),OR('Staff Weekly Trend'!$B$4="All",$D755='Staff Weekly Trend'!$B$4),OR('Staff Weekly Trend'!$B$5="All",$A755='Staff Weekly Trend'!$B$5))</f>
        <v>0</v>
      </c>
      <c r="AC755" t="str">
        <f t="shared" si="212"/>
        <v/>
      </c>
      <c r="AI755">
        <f t="shared" si="213"/>
        <v>0</v>
      </c>
      <c r="AJ755">
        <f t="shared" si="214"/>
        <v>0</v>
      </c>
      <c r="AK755">
        <f t="shared" si="215"/>
        <v>0</v>
      </c>
      <c r="AL755">
        <f t="shared" si="216"/>
        <v>0</v>
      </c>
      <c r="AM755">
        <f t="shared" si="217"/>
        <v>0</v>
      </c>
      <c r="DH755" t="str" cm="1">
        <f t="array" ref="DH755">IF($A755="","",_xlfn.LET(_xlpm.c,IFERROR(_xlfn.XLOOKUP($A755,TRIM('Sales and count'!$A$4:$A$300&amp;""),TRIM('Sales and count'!$B$4:$B$300&amp;"")),""),IF(OR(_xlpm.c="",_xlpm.c="0",LEFT(_xlpm.c,1)="#"),"Not set",_xlpm.c)))</f>
        <v/>
      </c>
    </row>
    <row r="756" spans="1:112" x14ac:dyDescent="0.25">
      <c r="A756" t="str">
        <f>IF('Staff Daily sales'!$B741="","",TRIM('Staff Daily sales'!$B741&amp;""))</f>
        <v/>
      </c>
      <c r="B756" t="str">
        <f>IF('Staff Daily sales'!$D741="","",TRIM('Staff Daily sales'!$D741&amp;""))</f>
        <v/>
      </c>
      <c r="C756" t="str">
        <f>IFERROR(TRIM('Staff Daily sales'!$E741&amp;""),"")</f>
        <v/>
      </c>
      <c r="D756" t="str">
        <f>IFERROR(IF(TRIM('Staff Daily sales'!$F741&amp;"")="","Unassigned",TRIM('Staff Daily sales'!$F741&amp;"")),"Unassigned")</f>
        <v>Unassigned</v>
      </c>
      <c r="E756">
        <f t="shared" si="202"/>
        <v>0</v>
      </c>
      <c r="F756">
        <f>IF($E756=0,0,SUMPRODUCT($AI$5:$DF$5,'Staff Daily sales'!$G741:$CD741))</f>
        <v>0</v>
      </c>
      <c r="G756">
        <f>IF($E756=0,0,SUMPRODUCT($AI$6:$DF$6,'Staff Daily sales'!$G741:$CD741))</f>
        <v>0</v>
      </c>
      <c r="H756">
        <f t="shared" si="203"/>
        <v>0</v>
      </c>
      <c r="I756">
        <f t="shared" si="204"/>
        <v>0</v>
      </c>
      <c r="J756">
        <f t="shared" si="205"/>
        <v>0</v>
      </c>
      <c r="K756">
        <f t="shared" si="206"/>
        <v>0</v>
      </c>
      <c r="L756">
        <f>--AND($E756=1,OR('Staff Dashboard'!$B$6="All",$DH756='Staff Dashboard'!$B$6),OR('Staff Dashboard'!$B$7="All",$D756='Staff Dashboard'!$B$7),OR('Staff Dashboard'!$B$8="All",$A756='Staff Dashboard'!$B$8))</f>
        <v>0</v>
      </c>
      <c r="M756">
        <f>IF($E756=0,0,SUMPRODUCT($AI$7:$DF$7,'Staff Daily sales'!$G741:$CD741))</f>
        <v>0</v>
      </c>
      <c r="N756">
        <f>IF($E756=0,0,SUMPRODUCT($AI$8:$DF$8,'Staff Daily sales'!$G741:$CD741))</f>
        <v>0</v>
      </c>
      <c r="O756">
        <f>IF($E756=0,0,SUMPRODUCT($AI$9:$DF$9,'Staff Daily sales'!$G741:$CD741))</f>
        <v>0</v>
      </c>
      <c r="P756">
        <f>IF($E756=0,0,SUMPRODUCT($AI$10:$DF$10,'Staff Daily sales'!$G741:$CD741))</f>
        <v>0</v>
      </c>
      <c r="Q756">
        <f>IF($E756=0,0,SUMPRODUCT($AI$11:$DF$11,'Staff Daily sales'!$G741:$CD741))</f>
        <v>0</v>
      </c>
      <c r="R756">
        <f>IF($E756=0,0,SUMPRODUCT($AI$12:$DF$12,'Staff Daily sales'!$G741:$CD741))</f>
        <v>0</v>
      </c>
      <c r="S756">
        <f>IF($E756=0,0,SUMPRODUCT($AI$13:$DF$13,'Staff Daily sales'!$G741:$CD741))</f>
        <v>0</v>
      </c>
      <c r="T756">
        <f>IF($E756=0,0,SUMPRODUCT($AI$14:$DF$14,'Staff Daily sales'!$G741:$CD741))</f>
        <v>0</v>
      </c>
      <c r="U756">
        <f>IF($E756=0,0,SUMPRODUCT($AI$15:$DF$15,'Staff Daily sales'!$G741:$CD741))</f>
        <v>0</v>
      </c>
      <c r="V756">
        <f>IF($E756=0,0,SUMPRODUCT($AI$16:$DF$16,'Staff Daily sales'!$G741:$CD741))</f>
        <v>0</v>
      </c>
      <c r="W756">
        <f t="shared" si="207"/>
        <v>0</v>
      </c>
      <c r="X756">
        <f t="shared" si="208"/>
        <v>0</v>
      </c>
      <c r="Y756">
        <f t="shared" si="209"/>
        <v>0</v>
      </c>
      <c r="Z756">
        <f t="shared" si="210"/>
        <v>0</v>
      </c>
      <c r="AA756">
        <f t="shared" si="211"/>
        <v>0</v>
      </c>
      <c r="AB756">
        <f>--AND($E756=1,OR('Staff Weekly Trend'!$B$3="All",$DH756='Staff Weekly Trend'!$B$3),OR('Staff Weekly Trend'!$B$4="All",$D756='Staff Weekly Trend'!$B$4),OR('Staff Weekly Trend'!$B$5="All",$A756='Staff Weekly Trend'!$B$5))</f>
        <v>0</v>
      </c>
      <c r="AC756" t="str">
        <f t="shared" si="212"/>
        <v/>
      </c>
      <c r="AI756">
        <f t="shared" si="213"/>
        <v>0</v>
      </c>
      <c r="AJ756">
        <f t="shared" si="214"/>
        <v>0</v>
      </c>
      <c r="AK756">
        <f t="shared" si="215"/>
        <v>0</v>
      </c>
      <c r="AL756">
        <f t="shared" si="216"/>
        <v>0</v>
      </c>
      <c r="AM756">
        <f t="shared" si="217"/>
        <v>0</v>
      </c>
      <c r="DH756" t="str" cm="1">
        <f t="array" ref="DH756">IF($A756="","",_xlfn.LET(_xlpm.c,IFERROR(_xlfn.XLOOKUP($A756,TRIM('Sales and count'!$A$4:$A$300&amp;""),TRIM('Sales and count'!$B$4:$B$300&amp;"")),""),IF(OR(_xlpm.c="",_xlpm.c="0",LEFT(_xlpm.c,1)="#"),"Not set",_xlpm.c)))</f>
        <v/>
      </c>
    </row>
    <row r="757" spans="1:112" x14ac:dyDescent="0.25">
      <c r="A757" t="str">
        <f>IF('Staff Daily sales'!$B742="","",TRIM('Staff Daily sales'!$B742&amp;""))</f>
        <v/>
      </c>
      <c r="B757" t="str">
        <f>IF('Staff Daily sales'!$D742="","",TRIM('Staff Daily sales'!$D742&amp;""))</f>
        <v/>
      </c>
      <c r="C757" t="str">
        <f>IFERROR(TRIM('Staff Daily sales'!$E742&amp;""),"")</f>
        <v/>
      </c>
      <c r="D757" t="str">
        <f>IFERROR(IF(TRIM('Staff Daily sales'!$F742&amp;"")="","Unassigned",TRIM('Staff Daily sales'!$F742&amp;"")),"Unassigned")</f>
        <v>Unassigned</v>
      </c>
      <c r="E757">
        <f t="shared" si="202"/>
        <v>0</v>
      </c>
      <c r="F757">
        <f>IF($E757=0,0,SUMPRODUCT($AI$5:$DF$5,'Staff Daily sales'!$G742:$CD742))</f>
        <v>0</v>
      </c>
      <c r="G757">
        <f>IF($E757=0,0,SUMPRODUCT($AI$6:$DF$6,'Staff Daily sales'!$G742:$CD742))</f>
        <v>0</v>
      </c>
      <c r="H757">
        <f t="shared" si="203"/>
        <v>0</v>
      </c>
      <c r="I757">
        <f t="shared" si="204"/>
        <v>0</v>
      </c>
      <c r="J757">
        <f t="shared" si="205"/>
        <v>0</v>
      </c>
      <c r="K757">
        <f t="shared" si="206"/>
        <v>0</v>
      </c>
      <c r="L757">
        <f>--AND($E757=1,OR('Staff Dashboard'!$B$6="All",$DH757='Staff Dashboard'!$B$6),OR('Staff Dashboard'!$B$7="All",$D757='Staff Dashboard'!$B$7),OR('Staff Dashboard'!$B$8="All",$A757='Staff Dashboard'!$B$8))</f>
        <v>0</v>
      </c>
      <c r="M757">
        <f>IF($E757=0,0,SUMPRODUCT($AI$7:$DF$7,'Staff Daily sales'!$G742:$CD742))</f>
        <v>0</v>
      </c>
      <c r="N757">
        <f>IF($E757=0,0,SUMPRODUCT($AI$8:$DF$8,'Staff Daily sales'!$G742:$CD742))</f>
        <v>0</v>
      </c>
      <c r="O757">
        <f>IF($E757=0,0,SUMPRODUCT($AI$9:$DF$9,'Staff Daily sales'!$G742:$CD742))</f>
        <v>0</v>
      </c>
      <c r="P757">
        <f>IF($E757=0,0,SUMPRODUCT($AI$10:$DF$10,'Staff Daily sales'!$G742:$CD742))</f>
        <v>0</v>
      </c>
      <c r="Q757">
        <f>IF($E757=0,0,SUMPRODUCT($AI$11:$DF$11,'Staff Daily sales'!$G742:$CD742))</f>
        <v>0</v>
      </c>
      <c r="R757">
        <f>IF($E757=0,0,SUMPRODUCT($AI$12:$DF$12,'Staff Daily sales'!$G742:$CD742))</f>
        <v>0</v>
      </c>
      <c r="S757">
        <f>IF($E757=0,0,SUMPRODUCT($AI$13:$DF$13,'Staff Daily sales'!$G742:$CD742))</f>
        <v>0</v>
      </c>
      <c r="T757">
        <f>IF($E757=0,0,SUMPRODUCT($AI$14:$DF$14,'Staff Daily sales'!$G742:$CD742))</f>
        <v>0</v>
      </c>
      <c r="U757">
        <f>IF($E757=0,0,SUMPRODUCT($AI$15:$DF$15,'Staff Daily sales'!$G742:$CD742))</f>
        <v>0</v>
      </c>
      <c r="V757">
        <f>IF($E757=0,0,SUMPRODUCT($AI$16:$DF$16,'Staff Daily sales'!$G742:$CD742))</f>
        <v>0</v>
      </c>
      <c r="W757">
        <f t="shared" si="207"/>
        <v>0</v>
      </c>
      <c r="X757">
        <f t="shared" si="208"/>
        <v>0</v>
      </c>
      <c r="Y757">
        <f t="shared" si="209"/>
        <v>0</v>
      </c>
      <c r="Z757">
        <f t="shared" si="210"/>
        <v>0</v>
      </c>
      <c r="AA757">
        <f t="shared" si="211"/>
        <v>0</v>
      </c>
      <c r="AB757">
        <f>--AND($E757=1,OR('Staff Weekly Trend'!$B$3="All",$DH757='Staff Weekly Trend'!$B$3),OR('Staff Weekly Trend'!$B$4="All",$D757='Staff Weekly Trend'!$B$4),OR('Staff Weekly Trend'!$B$5="All",$A757='Staff Weekly Trend'!$B$5))</f>
        <v>0</v>
      </c>
      <c r="AC757" t="str">
        <f t="shared" si="212"/>
        <v/>
      </c>
      <c r="AI757">
        <f t="shared" si="213"/>
        <v>0</v>
      </c>
      <c r="AJ757">
        <f t="shared" si="214"/>
        <v>0</v>
      </c>
      <c r="AK757">
        <f t="shared" si="215"/>
        <v>0</v>
      </c>
      <c r="AL757">
        <f t="shared" si="216"/>
        <v>0</v>
      </c>
      <c r="AM757">
        <f t="shared" si="217"/>
        <v>0</v>
      </c>
      <c r="DH757" t="str" cm="1">
        <f t="array" ref="DH757">IF($A757="","",_xlfn.LET(_xlpm.c,IFERROR(_xlfn.XLOOKUP($A757,TRIM('Sales and count'!$A$4:$A$300&amp;""),TRIM('Sales and count'!$B$4:$B$300&amp;"")),""),IF(OR(_xlpm.c="",_xlpm.c="0",LEFT(_xlpm.c,1)="#"),"Not set",_xlpm.c)))</f>
        <v/>
      </c>
    </row>
    <row r="758" spans="1:112" x14ac:dyDescent="0.25">
      <c r="A758" t="str">
        <f>IF('Staff Daily sales'!$B743="","",TRIM('Staff Daily sales'!$B743&amp;""))</f>
        <v/>
      </c>
      <c r="B758" t="str">
        <f>IF('Staff Daily sales'!$D743="","",TRIM('Staff Daily sales'!$D743&amp;""))</f>
        <v/>
      </c>
      <c r="C758" t="str">
        <f>IFERROR(TRIM('Staff Daily sales'!$E743&amp;""),"")</f>
        <v/>
      </c>
      <c r="D758" t="str">
        <f>IFERROR(IF(TRIM('Staff Daily sales'!$F743&amp;"")="","Unassigned",TRIM('Staff Daily sales'!$F743&amp;"")),"Unassigned")</f>
        <v>Unassigned</v>
      </c>
      <c r="E758">
        <f t="shared" si="202"/>
        <v>0</v>
      </c>
      <c r="F758">
        <f>IF($E758=0,0,SUMPRODUCT($AI$5:$DF$5,'Staff Daily sales'!$G743:$CD743))</f>
        <v>0</v>
      </c>
      <c r="G758">
        <f>IF($E758=0,0,SUMPRODUCT($AI$6:$DF$6,'Staff Daily sales'!$G743:$CD743))</f>
        <v>0</v>
      </c>
      <c r="H758">
        <f t="shared" si="203"/>
        <v>0</v>
      </c>
      <c r="I758">
        <f t="shared" si="204"/>
        <v>0</v>
      </c>
      <c r="J758">
        <f t="shared" si="205"/>
        <v>0</v>
      </c>
      <c r="K758">
        <f t="shared" si="206"/>
        <v>0</v>
      </c>
      <c r="L758">
        <f>--AND($E758=1,OR('Staff Dashboard'!$B$6="All",$DH758='Staff Dashboard'!$B$6),OR('Staff Dashboard'!$B$7="All",$D758='Staff Dashboard'!$B$7),OR('Staff Dashboard'!$B$8="All",$A758='Staff Dashboard'!$B$8))</f>
        <v>0</v>
      </c>
      <c r="M758">
        <f>IF($E758=0,0,SUMPRODUCT($AI$7:$DF$7,'Staff Daily sales'!$G743:$CD743))</f>
        <v>0</v>
      </c>
      <c r="N758">
        <f>IF($E758=0,0,SUMPRODUCT($AI$8:$DF$8,'Staff Daily sales'!$G743:$CD743))</f>
        <v>0</v>
      </c>
      <c r="O758">
        <f>IF($E758=0,0,SUMPRODUCT($AI$9:$DF$9,'Staff Daily sales'!$G743:$CD743))</f>
        <v>0</v>
      </c>
      <c r="P758">
        <f>IF($E758=0,0,SUMPRODUCT($AI$10:$DF$10,'Staff Daily sales'!$G743:$CD743))</f>
        <v>0</v>
      </c>
      <c r="Q758">
        <f>IF($E758=0,0,SUMPRODUCT($AI$11:$DF$11,'Staff Daily sales'!$G743:$CD743))</f>
        <v>0</v>
      </c>
      <c r="R758">
        <f>IF($E758=0,0,SUMPRODUCT($AI$12:$DF$12,'Staff Daily sales'!$G743:$CD743))</f>
        <v>0</v>
      </c>
      <c r="S758">
        <f>IF($E758=0,0,SUMPRODUCT($AI$13:$DF$13,'Staff Daily sales'!$G743:$CD743))</f>
        <v>0</v>
      </c>
      <c r="T758">
        <f>IF($E758=0,0,SUMPRODUCT($AI$14:$DF$14,'Staff Daily sales'!$G743:$CD743))</f>
        <v>0</v>
      </c>
      <c r="U758">
        <f>IF($E758=0,0,SUMPRODUCT($AI$15:$DF$15,'Staff Daily sales'!$G743:$CD743))</f>
        <v>0</v>
      </c>
      <c r="V758">
        <f>IF($E758=0,0,SUMPRODUCT($AI$16:$DF$16,'Staff Daily sales'!$G743:$CD743))</f>
        <v>0</v>
      </c>
      <c r="W758">
        <f t="shared" si="207"/>
        <v>0</v>
      </c>
      <c r="X758">
        <f t="shared" si="208"/>
        <v>0</v>
      </c>
      <c r="Y758">
        <f t="shared" si="209"/>
        <v>0</v>
      </c>
      <c r="Z758">
        <f t="shared" si="210"/>
        <v>0</v>
      </c>
      <c r="AA758">
        <f t="shared" si="211"/>
        <v>0</v>
      </c>
      <c r="AB758">
        <f>--AND($E758=1,OR('Staff Weekly Trend'!$B$3="All",$DH758='Staff Weekly Trend'!$B$3),OR('Staff Weekly Trend'!$B$4="All",$D758='Staff Weekly Trend'!$B$4),OR('Staff Weekly Trend'!$B$5="All",$A758='Staff Weekly Trend'!$B$5))</f>
        <v>0</v>
      </c>
      <c r="AC758" t="str">
        <f t="shared" si="212"/>
        <v/>
      </c>
      <c r="AI758">
        <f t="shared" si="213"/>
        <v>0</v>
      </c>
      <c r="AJ758">
        <f t="shared" si="214"/>
        <v>0</v>
      </c>
      <c r="AK758">
        <f t="shared" si="215"/>
        <v>0</v>
      </c>
      <c r="AL758">
        <f t="shared" si="216"/>
        <v>0</v>
      </c>
      <c r="AM758">
        <f t="shared" si="217"/>
        <v>0</v>
      </c>
      <c r="DH758" t="str" cm="1">
        <f t="array" ref="DH758">IF($A758="","",_xlfn.LET(_xlpm.c,IFERROR(_xlfn.XLOOKUP($A758,TRIM('Sales and count'!$A$4:$A$300&amp;""),TRIM('Sales and count'!$B$4:$B$300&amp;"")),""),IF(OR(_xlpm.c="",_xlpm.c="0",LEFT(_xlpm.c,1)="#"),"Not set",_xlpm.c)))</f>
        <v/>
      </c>
    </row>
    <row r="759" spans="1:112" x14ac:dyDescent="0.25">
      <c r="A759" t="str">
        <f>IF('Staff Daily sales'!$B744="","",TRIM('Staff Daily sales'!$B744&amp;""))</f>
        <v/>
      </c>
      <c r="B759" t="str">
        <f>IF('Staff Daily sales'!$D744="","",TRIM('Staff Daily sales'!$D744&amp;""))</f>
        <v/>
      </c>
      <c r="C759" t="str">
        <f>IFERROR(TRIM('Staff Daily sales'!$E744&amp;""),"")</f>
        <v/>
      </c>
      <c r="D759" t="str">
        <f>IFERROR(IF(TRIM('Staff Daily sales'!$F744&amp;"")="","Unassigned",TRIM('Staff Daily sales'!$F744&amp;"")),"Unassigned")</f>
        <v>Unassigned</v>
      </c>
      <c r="E759">
        <f t="shared" si="202"/>
        <v>0</v>
      </c>
      <c r="F759">
        <f>IF($E759=0,0,SUMPRODUCT($AI$5:$DF$5,'Staff Daily sales'!$G744:$CD744))</f>
        <v>0</v>
      </c>
      <c r="G759">
        <f>IF($E759=0,0,SUMPRODUCT($AI$6:$DF$6,'Staff Daily sales'!$G744:$CD744))</f>
        <v>0</v>
      </c>
      <c r="H759">
        <f t="shared" si="203"/>
        <v>0</v>
      </c>
      <c r="I759">
        <f t="shared" si="204"/>
        <v>0</v>
      </c>
      <c r="J759">
        <f t="shared" si="205"/>
        <v>0</v>
      </c>
      <c r="K759">
        <f t="shared" si="206"/>
        <v>0</v>
      </c>
      <c r="L759">
        <f>--AND($E759=1,OR('Staff Dashboard'!$B$6="All",$DH759='Staff Dashboard'!$B$6),OR('Staff Dashboard'!$B$7="All",$D759='Staff Dashboard'!$B$7),OR('Staff Dashboard'!$B$8="All",$A759='Staff Dashboard'!$B$8))</f>
        <v>0</v>
      </c>
      <c r="M759">
        <f>IF($E759=0,0,SUMPRODUCT($AI$7:$DF$7,'Staff Daily sales'!$G744:$CD744))</f>
        <v>0</v>
      </c>
      <c r="N759">
        <f>IF($E759=0,0,SUMPRODUCT($AI$8:$DF$8,'Staff Daily sales'!$G744:$CD744))</f>
        <v>0</v>
      </c>
      <c r="O759">
        <f>IF($E759=0,0,SUMPRODUCT($AI$9:$DF$9,'Staff Daily sales'!$G744:$CD744))</f>
        <v>0</v>
      </c>
      <c r="P759">
        <f>IF($E759=0,0,SUMPRODUCT($AI$10:$DF$10,'Staff Daily sales'!$G744:$CD744))</f>
        <v>0</v>
      </c>
      <c r="Q759">
        <f>IF($E759=0,0,SUMPRODUCT($AI$11:$DF$11,'Staff Daily sales'!$G744:$CD744))</f>
        <v>0</v>
      </c>
      <c r="R759">
        <f>IF($E759=0,0,SUMPRODUCT($AI$12:$DF$12,'Staff Daily sales'!$G744:$CD744))</f>
        <v>0</v>
      </c>
      <c r="S759">
        <f>IF($E759=0,0,SUMPRODUCT($AI$13:$DF$13,'Staff Daily sales'!$G744:$CD744))</f>
        <v>0</v>
      </c>
      <c r="T759">
        <f>IF($E759=0,0,SUMPRODUCT($AI$14:$DF$14,'Staff Daily sales'!$G744:$CD744))</f>
        <v>0</v>
      </c>
      <c r="U759">
        <f>IF($E759=0,0,SUMPRODUCT($AI$15:$DF$15,'Staff Daily sales'!$G744:$CD744))</f>
        <v>0</v>
      </c>
      <c r="V759">
        <f>IF($E759=0,0,SUMPRODUCT($AI$16:$DF$16,'Staff Daily sales'!$G744:$CD744))</f>
        <v>0</v>
      </c>
      <c r="W759">
        <f t="shared" si="207"/>
        <v>0</v>
      </c>
      <c r="X759">
        <f t="shared" si="208"/>
        <v>0</v>
      </c>
      <c r="Y759">
        <f t="shared" si="209"/>
        <v>0</v>
      </c>
      <c r="Z759">
        <f t="shared" si="210"/>
        <v>0</v>
      </c>
      <c r="AA759">
        <f t="shared" si="211"/>
        <v>0</v>
      </c>
      <c r="AB759">
        <f>--AND($E759=1,OR('Staff Weekly Trend'!$B$3="All",$DH759='Staff Weekly Trend'!$B$3),OR('Staff Weekly Trend'!$B$4="All",$D759='Staff Weekly Trend'!$B$4),OR('Staff Weekly Trend'!$B$5="All",$A759='Staff Weekly Trend'!$B$5))</f>
        <v>0</v>
      </c>
      <c r="AC759" t="str">
        <f t="shared" si="212"/>
        <v/>
      </c>
      <c r="AI759">
        <f t="shared" si="213"/>
        <v>0</v>
      </c>
      <c r="AJ759">
        <f t="shared" si="214"/>
        <v>0</v>
      </c>
      <c r="AK759">
        <f t="shared" si="215"/>
        <v>0</v>
      </c>
      <c r="AL759">
        <f t="shared" si="216"/>
        <v>0</v>
      </c>
      <c r="AM759">
        <f t="shared" si="217"/>
        <v>0</v>
      </c>
      <c r="DH759" t="str" cm="1">
        <f t="array" ref="DH759">IF($A759="","",_xlfn.LET(_xlpm.c,IFERROR(_xlfn.XLOOKUP($A759,TRIM('Sales and count'!$A$4:$A$300&amp;""),TRIM('Sales and count'!$B$4:$B$300&amp;"")),""),IF(OR(_xlpm.c="",_xlpm.c="0",LEFT(_xlpm.c,1)="#"),"Not set",_xlpm.c)))</f>
        <v/>
      </c>
    </row>
    <row r="760" spans="1:112" x14ac:dyDescent="0.25">
      <c r="A760" t="str">
        <f>IF('Staff Daily sales'!$B745="","",TRIM('Staff Daily sales'!$B745&amp;""))</f>
        <v/>
      </c>
      <c r="B760" t="str">
        <f>IF('Staff Daily sales'!$D745="","",TRIM('Staff Daily sales'!$D745&amp;""))</f>
        <v/>
      </c>
      <c r="C760" t="str">
        <f>IFERROR(TRIM('Staff Daily sales'!$E745&amp;""),"")</f>
        <v/>
      </c>
      <c r="D760" t="str">
        <f>IFERROR(IF(TRIM('Staff Daily sales'!$F745&amp;"")="","Unassigned",TRIM('Staff Daily sales'!$F745&amp;"")),"Unassigned")</f>
        <v>Unassigned</v>
      </c>
      <c r="E760">
        <f t="shared" si="202"/>
        <v>0</v>
      </c>
      <c r="F760">
        <f>IF($E760=0,0,SUMPRODUCT($AI$5:$DF$5,'Staff Daily sales'!$G745:$CD745))</f>
        <v>0</v>
      </c>
      <c r="G760">
        <f>IF($E760=0,0,SUMPRODUCT($AI$6:$DF$6,'Staff Daily sales'!$G745:$CD745))</f>
        <v>0</v>
      </c>
      <c r="H760">
        <f t="shared" si="203"/>
        <v>0</v>
      </c>
      <c r="I760">
        <f t="shared" si="204"/>
        <v>0</v>
      </c>
      <c r="J760">
        <f t="shared" si="205"/>
        <v>0</v>
      </c>
      <c r="K760">
        <f t="shared" si="206"/>
        <v>0</v>
      </c>
      <c r="L760">
        <f>--AND($E760=1,OR('Staff Dashboard'!$B$6="All",$DH760='Staff Dashboard'!$B$6),OR('Staff Dashboard'!$B$7="All",$D760='Staff Dashboard'!$B$7),OR('Staff Dashboard'!$B$8="All",$A760='Staff Dashboard'!$B$8))</f>
        <v>0</v>
      </c>
      <c r="M760">
        <f>IF($E760=0,0,SUMPRODUCT($AI$7:$DF$7,'Staff Daily sales'!$G745:$CD745))</f>
        <v>0</v>
      </c>
      <c r="N760">
        <f>IF($E760=0,0,SUMPRODUCT($AI$8:$DF$8,'Staff Daily sales'!$G745:$CD745))</f>
        <v>0</v>
      </c>
      <c r="O760">
        <f>IF($E760=0,0,SUMPRODUCT($AI$9:$DF$9,'Staff Daily sales'!$G745:$CD745))</f>
        <v>0</v>
      </c>
      <c r="P760">
        <f>IF($E760=0,0,SUMPRODUCT($AI$10:$DF$10,'Staff Daily sales'!$G745:$CD745))</f>
        <v>0</v>
      </c>
      <c r="Q760">
        <f>IF($E760=0,0,SUMPRODUCT($AI$11:$DF$11,'Staff Daily sales'!$G745:$CD745))</f>
        <v>0</v>
      </c>
      <c r="R760">
        <f>IF($E760=0,0,SUMPRODUCT($AI$12:$DF$12,'Staff Daily sales'!$G745:$CD745))</f>
        <v>0</v>
      </c>
      <c r="S760">
        <f>IF($E760=0,0,SUMPRODUCT($AI$13:$DF$13,'Staff Daily sales'!$G745:$CD745))</f>
        <v>0</v>
      </c>
      <c r="T760">
        <f>IF($E760=0,0,SUMPRODUCT($AI$14:$DF$14,'Staff Daily sales'!$G745:$CD745))</f>
        <v>0</v>
      </c>
      <c r="U760">
        <f>IF($E760=0,0,SUMPRODUCT($AI$15:$DF$15,'Staff Daily sales'!$G745:$CD745))</f>
        <v>0</v>
      </c>
      <c r="V760">
        <f>IF($E760=0,0,SUMPRODUCT($AI$16:$DF$16,'Staff Daily sales'!$G745:$CD745))</f>
        <v>0</v>
      </c>
      <c r="W760">
        <f t="shared" si="207"/>
        <v>0</v>
      </c>
      <c r="X760">
        <f t="shared" si="208"/>
        <v>0</v>
      </c>
      <c r="Y760">
        <f t="shared" si="209"/>
        <v>0</v>
      </c>
      <c r="Z760">
        <f t="shared" si="210"/>
        <v>0</v>
      </c>
      <c r="AA760">
        <f t="shared" si="211"/>
        <v>0</v>
      </c>
      <c r="AB760">
        <f>--AND($E760=1,OR('Staff Weekly Trend'!$B$3="All",$DH760='Staff Weekly Trend'!$B$3),OR('Staff Weekly Trend'!$B$4="All",$D760='Staff Weekly Trend'!$B$4),OR('Staff Weekly Trend'!$B$5="All",$A760='Staff Weekly Trend'!$B$5))</f>
        <v>0</v>
      </c>
      <c r="AC760" t="str">
        <f t="shared" si="212"/>
        <v/>
      </c>
      <c r="AI760">
        <f t="shared" si="213"/>
        <v>0</v>
      </c>
      <c r="AJ760">
        <f t="shared" si="214"/>
        <v>0</v>
      </c>
      <c r="AK760">
        <f t="shared" si="215"/>
        <v>0</v>
      </c>
      <c r="AL760">
        <f t="shared" si="216"/>
        <v>0</v>
      </c>
      <c r="AM760">
        <f t="shared" si="217"/>
        <v>0</v>
      </c>
      <c r="DH760" t="str" cm="1">
        <f t="array" ref="DH760">IF($A760="","",_xlfn.LET(_xlpm.c,IFERROR(_xlfn.XLOOKUP($A760,TRIM('Sales and count'!$A$4:$A$300&amp;""),TRIM('Sales and count'!$B$4:$B$300&amp;"")),""),IF(OR(_xlpm.c="",_xlpm.c="0",LEFT(_xlpm.c,1)="#"),"Not set",_xlpm.c)))</f>
        <v/>
      </c>
    </row>
    <row r="761" spans="1:112" x14ac:dyDescent="0.25">
      <c r="A761" t="str">
        <f>IF('Staff Daily sales'!$B746="","",TRIM('Staff Daily sales'!$B746&amp;""))</f>
        <v/>
      </c>
      <c r="B761" t="str">
        <f>IF('Staff Daily sales'!$D746="","",TRIM('Staff Daily sales'!$D746&amp;""))</f>
        <v/>
      </c>
      <c r="C761" t="str">
        <f>IFERROR(TRIM('Staff Daily sales'!$E746&amp;""),"")</f>
        <v/>
      </c>
      <c r="D761" t="str">
        <f>IFERROR(IF(TRIM('Staff Daily sales'!$F746&amp;"")="","Unassigned",TRIM('Staff Daily sales'!$F746&amp;"")),"Unassigned")</f>
        <v>Unassigned</v>
      </c>
      <c r="E761">
        <f t="shared" si="202"/>
        <v>0</v>
      </c>
      <c r="F761">
        <f>IF($E761=0,0,SUMPRODUCT($AI$5:$DF$5,'Staff Daily sales'!$G746:$CD746))</f>
        <v>0</v>
      </c>
      <c r="G761">
        <f>IF($E761=0,0,SUMPRODUCT($AI$6:$DF$6,'Staff Daily sales'!$G746:$CD746))</f>
        <v>0</v>
      </c>
      <c r="H761">
        <f t="shared" si="203"/>
        <v>0</v>
      </c>
      <c r="I761">
        <f t="shared" si="204"/>
        <v>0</v>
      </c>
      <c r="J761">
        <f t="shared" si="205"/>
        <v>0</v>
      </c>
      <c r="K761">
        <f t="shared" si="206"/>
        <v>0</v>
      </c>
      <c r="L761">
        <f>--AND($E761=1,OR('Staff Dashboard'!$B$6="All",$DH761='Staff Dashboard'!$B$6),OR('Staff Dashboard'!$B$7="All",$D761='Staff Dashboard'!$B$7),OR('Staff Dashboard'!$B$8="All",$A761='Staff Dashboard'!$B$8))</f>
        <v>0</v>
      </c>
      <c r="M761">
        <f>IF($E761=0,0,SUMPRODUCT($AI$7:$DF$7,'Staff Daily sales'!$G746:$CD746))</f>
        <v>0</v>
      </c>
      <c r="N761">
        <f>IF($E761=0,0,SUMPRODUCT($AI$8:$DF$8,'Staff Daily sales'!$G746:$CD746))</f>
        <v>0</v>
      </c>
      <c r="O761">
        <f>IF($E761=0,0,SUMPRODUCT($AI$9:$DF$9,'Staff Daily sales'!$G746:$CD746))</f>
        <v>0</v>
      </c>
      <c r="P761">
        <f>IF($E761=0,0,SUMPRODUCT($AI$10:$DF$10,'Staff Daily sales'!$G746:$CD746))</f>
        <v>0</v>
      </c>
      <c r="Q761">
        <f>IF($E761=0,0,SUMPRODUCT($AI$11:$DF$11,'Staff Daily sales'!$G746:$CD746))</f>
        <v>0</v>
      </c>
      <c r="R761">
        <f>IF($E761=0,0,SUMPRODUCT($AI$12:$DF$12,'Staff Daily sales'!$G746:$CD746))</f>
        <v>0</v>
      </c>
      <c r="S761">
        <f>IF($E761=0,0,SUMPRODUCT($AI$13:$DF$13,'Staff Daily sales'!$G746:$CD746))</f>
        <v>0</v>
      </c>
      <c r="T761">
        <f>IF($E761=0,0,SUMPRODUCT($AI$14:$DF$14,'Staff Daily sales'!$G746:$CD746))</f>
        <v>0</v>
      </c>
      <c r="U761">
        <f>IF($E761=0,0,SUMPRODUCT($AI$15:$DF$15,'Staff Daily sales'!$G746:$CD746))</f>
        <v>0</v>
      </c>
      <c r="V761">
        <f>IF($E761=0,0,SUMPRODUCT($AI$16:$DF$16,'Staff Daily sales'!$G746:$CD746))</f>
        <v>0</v>
      </c>
      <c r="W761">
        <f t="shared" si="207"/>
        <v>0</v>
      </c>
      <c r="X761">
        <f t="shared" si="208"/>
        <v>0</v>
      </c>
      <c r="Y761">
        <f t="shared" si="209"/>
        <v>0</v>
      </c>
      <c r="Z761">
        <f t="shared" si="210"/>
        <v>0</v>
      </c>
      <c r="AA761">
        <f t="shared" si="211"/>
        <v>0</v>
      </c>
      <c r="AB761">
        <f>--AND($E761=1,OR('Staff Weekly Trend'!$B$3="All",$DH761='Staff Weekly Trend'!$B$3),OR('Staff Weekly Trend'!$B$4="All",$D761='Staff Weekly Trend'!$B$4),OR('Staff Weekly Trend'!$B$5="All",$A761='Staff Weekly Trend'!$B$5))</f>
        <v>0</v>
      </c>
      <c r="AC761" t="str">
        <f t="shared" si="212"/>
        <v/>
      </c>
      <c r="AI761">
        <f t="shared" si="213"/>
        <v>0</v>
      </c>
      <c r="AJ761">
        <f t="shared" si="214"/>
        <v>0</v>
      </c>
      <c r="AK761">
        <f t="shared" si="215"/>
        <v>0</v>
      </c>
      <c r="AL761">
        <f t="shared" si="216"/>
        <v>0</v>
      </c>
      <c r="AM761">
        <f t="shared" si="217"/>
        <v>0</v>
      </c>
      <c r="DH761" t="str" cm="1">
        <f t="array" ref="DH761">IF($A761="","",_xlfn.LET(_xlpm.c,IFERROR(_xlfn.XLOOKUP($A761,TRIM('Sales and count'!$A$4:$A$300&amp;""),TRIM('Sales and count'!$B$4:$B$300&amp;"")),""),IF(OR(_xlpm.c="",_xlpm.c="0",LEFT(_xlpm.c,1)="#"),"Not set",_xlpm.c)))</f>
        <v/>
      </c>
    </row>
    <row r="762" spans="1:112" x14ac:dyDescent="0.25">
      <c r="A762" t="str">
        <f>IF('Staff Daily sales'!$B747="","",TRIM('Staff Daily sales'!$B747&amp;""))</f>
        <v/>
      </c>
      <c r="B762" t="str">
        <f>IF('Staff Daily sales'!$D747="","",TRIM('Staff Daily sales'!$D747&amp;""))</f>
        <v/>
      </c>
      <c r="C762" t="str">
        <f>IFERROR(TRIM('Staff Daily sales'!$E747&amp;""),"")</f>
        <v/>
      </c>
      <c r="D762" t="str">
        <f>IFERROR(IF(TRIM('Staff Daily sales'!$F747&amp;"")="","Unassigned",TRIM('Staff Daily sales'!$F747&amp;"")),"Unassigned")</f>
        <v>Unassigned</v>
      </c>
      <c r="E762">
        <f t="shared" si="202"/>
        <v>0</v>
      </c>
      <c r="F762">
        <f>IF($E762=0,0,SUMPRODUCT($AI$5:$DF$5,'Staff Daily sales'!$G747:$CD747))</f>
        <v>0</v>
      </c>
      <c r="G762">
        <f>IF($E762=0,0,SUMPRODUCT($AI$6:$DF$6,'Staff Daily sales'!$G747:$CD747))</f>
        <v>0</v>
      </c>
      <c r="H762">
        <f t="shared" si="203"/>
        <v>0</v>
      </c>
      <c r="I762">
        <f t="shared" si="204"/>
        <v>0</v>
      </c>
      <c r="J762">
        <f t="shared" si="205"/>
        <v>0</v>
      </c>
      <c r="K762">
        <f t="shared" si="206"/>
        <v>0</v>
      </c>
      <c r="L762">
        <f>--AND($E762=1,OR('Staff Dashboard'!$B$6="All",$DH762='Staff Dashboard'!$B$6),OR('Staff Dashboard'!$B$7="All",$D762='Staff Dashboard'!$B$7),OR('Staff Dashboard'!$B$8="All",$A762='Staff Dashboard'!$B$8))</f>
        <v>0</v>
      </c>
      <c r="M762">
        <f>IF($E762=0,0,SUMPRODUCT($AI$7:$DF$7,'Staff Daily sales'!$G747:$CD747))</f>
        <v>0</v>
      </c>
      <c r="N762">
        <f>IF($E762=0,0,SUMPRODUCT($AI$8:$DF$8,'Staff Daily sales'!$G747:$CD747))</f>
        <v>0</v>
      </c>
      <c r="O762">
        <f>IF($E762=0,0,SUMPRODUCT($AI$9:$DF$9,'Staff Daily sales'!$G747:$CD747))</f>
        <v>0</v>
      </c>
      <c r="P762">
        <f>IF($E762=0,0,SUMPRODUCT($AI$10:$DF$10,'Staff Daily sales'!$G747:$CD747))</f>
        <v>0</v>
      </c>
      <c r="Q762">
        <f>IF($E762=0,0,SUMPRODUCT($AI$11:$DF$11,'Staff Daily sales'!$G747:$CD747))</f>
        <v>0</v>
      </c>
      <c r="R762">
        <f>IF($E762=0,0,SUMPRODUCT($AI$12:$DF$12,'Staff Daily sales'!$G747:$CD747))</f>
        <v>0</v>
      </c>
      <c r="S762">
        <f>IF($E762=0,0,SUMPRODUCT($AI$13:$DF$13,'Staff Daily sales'!$G747:$CD747))</f>
        <v>0</v>
      </c>
      <c r="T762">
        <f>IF($E762=0,0,SUMPRODUCT($AI$14:$DF$14,'Staff Daily sales'!$G747:$CD747))</f>
        <v>0</v>
      </c>
      <c r="U762">
        <f>IF($E762=0,0,SUMPRODUCT($AI$15:$DF$15,'Staff Daily sales'!$G747:$CD747))</f>
        <v>0</v>
      </c>
      <c r="V762">
        <f>IF($E762=0,0,SUMPRODUCT($AI$16:$DF$16,'Staff Daily sales'!$G747:$CD747))</f>
        <v>0</v>
      </c>
      <c r="W762">
        <f t="shared" si="207"/>
        <v>0</v>
      </c>
      <c r="X762">
        <f t="shared" si="208"/>
        <v>0</v>
      </c>
      <c r="Y762">
        <f t="shared" si="209"/>
        <v>0</v>
      </c>
      <c r="Z762">
        <f t="shared" si="210"/>
        <v>0</v>
      </c>
      <c r="AA762">
        <f t="shared" si="211"/>
        <v>0</v>
      </c>
      <c r="AB762">
        <f>--AND($E762=1,OR('Staff Weekly Trend'!$B$3="All",$DH762='Staff Weekly Trend'!$B$3),OR('Staff Weekly Trend'!$B$4="All",$D762='Staff Weekly Trend'!$B$4),OR('Staff Weekly Trend'!$B$5="All",$A762='Staff Weekly Trend'!$B$5))</f>
        <v>0</v>
      </c>
      <c r="AC762" t="str">
        <f t="shared" si="212"/>
        <v/>
      </c>
      <c r="AI762">
        <f t="shared" si="213"/>
        <v>0</v>
      </c>
      <c r="AJ762">
        <f t="shared" si="214"/>
        <v>0</v>
      </c>
      <c r="AK762">
        <f t="shared" si="215"/>
        <v>0</v>
      </c>
      <c r="AL762">
        <f t="shared" si="216"/>
        <v>0</v>
      </c>
      <c r="AM762">
        <f t="shared" si="217"/>
        <v>0</v>
      </c>
      <c r="DH762" t="str" cm="1">
        <f t="array" ref="DH762">IF($A762="","",_xlfn.LET(_xlpm.c,IFERROR(_xlfn.XLOOKUP($A762,TRIM('Sales and count'!$A$4:$A$300&amp;""),TRIM('Sales and count'!$B$4:$B$300&amp;"")),""),IF(OR(_xlpm.c="",_xlpm.c="0",LEFT(_xlpm.c,1)="#"),"Not set",_xlpm.c)))</f>
        <v/>
      </c>
    </row>
    <row r="763" spans="1:112" x14ac:dyDescent="0.25">
      <c r="A763" t="str">
        <f>IF('Staff Daily sales'!$B748="","",TRIM('Staff Daily sales'!$B748&amp;""))</f>
        <v/>
      </c>
      <c r="B763" t="str">
        <f>IF('Staff Daily sales'!$D748="","",TRIM('Staff Daily sales'!$D748&amp;""))</f>
        <v/>
      </c>
      <c r="C763" t="str">
        <f>IFERROR(TRIM('Staff Daily sales'!$E748&amp;""),"")</f>
        <v/>
      </c>
      <c r="D763" t="str">
        <f>IFERROR(IF(TRIM('Staff Daily sales'!$F748&amp;"")="","Unassigned",TRIM('Staff Daily sales'!$F748&amp;"")),"Unassigned")</f>
        <v>Unassigned</v>
      </c>
      <c r="E763">
        <f t="shared" si="202"/>
        <v>0</v>
      </c>
      <c r="F763">
        <f>IF($E763=0,0,SUMPRODUCT($AI$5:$DF$5,'Staff Daily sales'!$G748:$CD748))</f>
        <v>0</v>
      </c>
      <c r="G763">
        <f>IF($E763=0,0,SUMPRODUCT($AI$6:$DF$6,'Staff Daily sales'!$G748:$CD748))</f>
        <v>0</v>
      </c>
      <c r="H763">
        <f t="shared" si="203"/>
        <v>0</v>
      </c>
      <c r="I763">
        <f t="shared" si="204"/>
        <v>0</v>
      </c>
      <c r="J763">
        <f t="shared" si="205"/>
        <v>0</v>
      </c>
      <c r="K763">
        <f t="shared" si="206"/>
        <v>0</v>
      </c>
      <c r="L763">
        <f>--AND($E763=1,OR('Staff Dashboard'!$B$6="All",$DH763='Staff Dashboard'!$B$6),OR('Staff Dashboard'!$B$7="All",$D763='Staff Dashboard'!$B$7),OR('Staff Dashboard'!$B$8="All",$A763='Staff Dashboard'!$B$8))</f>
        <v>0</v>
      </c>
      <c r="M763">
        <f>IF($E763=0,0,SUMPRODUCT($AI$7:$DF$7,'Staff Daily sales'!$G748:$CD748))</f>
        <v>0</v>
      </c>
      <c r="N763">
        <f>IF($E763=0,0,SUMPRODUCT($AI$8:$DF$8,'Staff Daily sales'!$G748:$CD748))</f>
        <v>0</v>
      </c>
      <c r="O763">
        <f>IF($E763=0,0,SUMPRODUCT($AI$9:$DF$9,'Staff Daily sales'!$G748:$CD748))</f>
        <v>0</v>
      </c>
      <c r="P763">
        <f>IF($E763=0,0,SUMPRODUCT($AI$10:$DF$10,'Staff Daily sales'!$G748:$CD748))</f>
        <v>0</v>
      </c>
      <c r="Q763">
        <f>IF($E763=0,0,SUMPRODUCT($AI$11:$DF$11,'Staff Daily sales'!$G748:$CD748))</f>
        <v>0</v>
      </c>
      <c r="R763">
        <f>IF($E763=0,0,SUMPRODUCT($AI$12:$DF$12,'Staff Daily sales'!$G748:$CD748))</f>
        <v>0</v>
      </c>
      <c r="S763">
        <f>IF($E763=0,0,SUMPRODUCT($AI$13:$DF$13,'Staff Daily sales'!$G748:$CD748))</f>
        <v>0</v>
      </c>
      <c r="T763">
        <f>IF($E763=0,0,SUMPRODUCT($AI$14:$DF$14,'Staff Daily sales'!$G748:$CD748))</f>
        <v>0</v>
      </c>
      <c r="U763">
        <f>IF($E763=0,0,SUMPRODUCT($AI$15:$DF$15,'Staff Daily sales'!$G748:$CD748))</f>
        <v>0</v>
      </c>
      <c r="V763">
        <f>IF($E763=0,0,SUMPRODUCT($AI$16:$DF$16,'Staff Daily sales'!$G748:$CD748))</f>
        <v>0</v>
      </c>
      <c r="W763">
        <f t="shared" si="207"/>
        <v>0</v>
      </c>
      <c r="X763">
        <f t="shared" si="208"/>
        <v>0</v>
      </c>
      <c r="Y763">
        <f t="shared" si="209"/>
        <v>0</v>
      </c>
      <c r="Z763">
        <f t="shared" si="210"/>
        <v>0</v>
      </c>
      <c r="AA763">
        <f t="shared" si="211"/>
        <v>0</v>
      </c>
      <c r="AB763">
        <f>--AND($E763=1,OR('Staff Weekly Trend'!$B$3="All",$DH763='Staff Weekly Trend'!$B$3),OR('Staff Weekly Trend'!$B$4="All",$D763='Staff Weekly Trend'!$B$4),OR('Staff Weekly Trend'!$B$5="All",$A763='Staff Weekly Trend'!$B$5))</f>
        <v>0</v>
      </c>
      <c r="AC763" t="str">
        <f t="shared" si="212"/>
        <v/>
      </c>
      <c r="AI763">
        <f t="shared" si="213"/>
        <v>0</v>
      </c>
      <c r="AJ763">
        <f t="shared" si="214"/>
        <v>0</v>
      </c>
      <c r="AK763">
        <f t="shared" si="215"/>
        <v>0</v>
      </c>
      <c r="AL763">
        <f t="shared" si="216"/>
        <v>0</v>
      </c>
      <c r="AM763">
        <f t="shared" si="217"/>
        <v>0</v>
      </c>
      <c r="DH763" t="str" cm="1">
        <f t="array" ref="DH763">IF($A763="","",_xlfn.LET(_xlpm.c,IFERROR(_xlfn.XLOOKUP($A763,TRIM('Sales and count'!$A$4:$A$300&amp;""),TRIM('Sales and count'!$B$4:$B$300&amp;"")),""),IF(OR(_xlpm.c="",_xlpm.c="0",LEFT(_xlpm.c,1)="#"),"Not set",_xlpm.c)))</f>
        <v/>
      </c>
    </row>
    <row r="764" spans="1:112" x14ac:dyDescent="0.25">
      <c r="A764" t="str">
        <f>IF('Staff Daily sales'!$B749="","",TRIM('Staff Daily sales'!$B749&amp;""))</f>
        <v/>
      </c>
      <c r="B764" t="str">
        <f>IF('Staff Daily sales'!$D749="","",TRIM('Staff Daily sales'!$D749&amp;""))</f>
        <v/>
      </c>
      <c r="C764" t="str">
        <f>IFERROR(TRIM('Staff Daily sales'!$E749&amp;""),"")</f>
        <v/>
      </c>
      <c r="D764" t="str">
        <f>IFERROR(IF(TRIM('Staff Daily sales'!$F749&amp;"")="","Unassigned",TRIM('Staff Daily sales'!$F749&amp;"")),"Unassigned")</f>
        <v>Unassigned</v>
      </c>
      <c r="E764">
        <f t="shared" si="202"/>
        <v>0</v>
      </c>
      <c r="F764">
        <f>IF($E764=0,0,SUMPRODUCT($AI$5:$DF$5,'Staff Daily sales'!$G749:$CD749))</f>
        <v>0</v>
      </c>
      <c r="G764">
        <f>IF($E764=0,0,SUMPRODUCT($AI$6:$DF$6,'Staff Daily sales'!$G749:$CD749))</f>
        <v>0</v>
      </c>
      <c r="H764">
        <f t="shared" si="203"/>
        <v>0</v>
      </c>
      <c r="I764">
        <f t="shared" si="204"/>
        <v>0</v>
      </c>
      <c r="J764">
        <f t="shared" si="205"/>
        <v>0</v>
      </c>
      <c r="K764">
        <f t="shared" si="206"/>
        <v>0</v>
      </c>
      <c r="L764">
        <f>--AND($E764=1,OR('Staff Dashboard'!$B$6="All",$DH764='Staff Dashboard'!$B$6),OR('Staff Dashboard'!$B$7="All",$D764='Staff Dashboard'!$B$7),OR('Staff Dashboard'!$B$8="All",$A764='Staff Dashboard'!$B$8))</f>
        <v>0</v>
      </c>
      <c r="M764">
        <f>IF($E764=0,0,SUMPRODUCT($AI$7:$DF$7,'Staff Daily sales'!$G749:$CD749))</f>
        <v>0</v>
      </c>
      <c r="N764">
        <f>IF($E764=0,0,SUMPRODUCT($AI$8:$DF$8,'Staff Daily sales'!$G749:$CD749))</f>
        <v>0</v>
      </c>
      <c r="O764">
        <f>IF($E764=0,0,SUMPRODUCT($AI$9:$DF$9,'Staff Daily sales'!$G749:$CD749))</f>
        <v>0</v>
      </c>
      <c r="P764">
        <f>IF($E764=0,0,SUMPRODUCT($AI$10:$DF$10,'Staff Daily sales'!$G749:$CD749))</f>
        <v>0</v>
      </c>
      <c r="Q764">
        <f>IF($E764=0,0,SUMPRODUCT($AI$11:$DF$11,'Staff Daily sales'!$G749:$CD749))</f>
        <v>0</v>
      </c>
      <c r="R764">
        <f>IF($E764=0,0,SUMPRODUCT($AI$12:$DF$12,'Staff Daily sales'!$G749:$CD749))</f>
        <v>0</v>
      </c>
      <c r="S764">
        <f>IF($E764=0,0,SUMPRODUCT($AI$13:$DF$13,'Staff Daily sales'!$G749:$CD749))</f>
        <v>0</v>
      </c>
      <c r="T764">
        <f>IF($E764=0,0,SUMPRODUCT($AI$14:$DF$14,'Staff Daily sales'!$G749:$CD749))</f>
        <v>0</v>
      </c>
      <c r="U764">
        <f>IF($E764=0,0,SUMPRODUCT($AI$15:$DF$15,'Staff Daily sales'!$G749:$CD749))</f>
        <v>0</v>
      </c>
      <c r="V764">
        <f>IF($E764=0,0,SUMPRODUCT($AI$16:$DF$16,'Staff Daily sales'!$G749:$CD749))</f>
        <v>0</v>
      </c>
      <c r="W764">
        <f t="shared" si="207"/>
        <v>0</v>
      </c>
      <c r="X764">
        <f t="shared" si="208"/>
        <v>0</v>
      </c>
      <c r="Y764">
        <f t="shared" si="209"/>
        <v>0</v>
      </c>
      <c r="Z764">
        <f t="shared" si="210"/>
        <v>0</v>
      </c>
      <c r="AA764">
        <f t="shared" si="211"/>
        <v>0</v>
      </c>
      <c r="AB764">
        <f>--AND($E764=1,OR('Staff Weekly Trend'!$B$3="All",$DH764='Staff Weekly Trend'!$B$3),OR('Staff Weekly Trend'!$B$4="All",$D764='Staff Weekly Trend'!$B$4),OR('Staff Weekly Trend'!$B$5="All",$A764='Staff Weekly Trend'!$B$5))</f>
        <v>0</v>
      </c>
      <c r="AC764" t="str">
        <f t="shared" si="212"/>
        <v/>
      </c>
      <c r="AI764">
        <f t="shared" si="213"/>
        <v>0</v>
      </c>
      <c r="AJ764">
        <f t="shared" si="214"/>
        <v>0</v>
      </c>
      <c r="AK764">
        <f t="shared" si="215"/>
        <v>0</v>
      </c>
      <c r="AL764">
        <f t="shared" si="216"/>
        <v>0</v>
      </c>
      <c r="AM764">
        <f t="shared" si="217"/>
        <v>0</v>
      </c>
      <c r="DH764" t="str" cm="1">
        <f t="array" ref="DH764">IF($A764="","",_xlfn.LET(_xlpm.c,IFERROR(_xlfn.XLOOKUP($A764,TRIM('Sales and count'!$A$4:$A$300&amp;""),TRIM('Sales and count'!$B$4:$B$300&amp;"")),""),IF(OR(_xlpm.c="",_xlpm.c="0",LEFT(_xlpm.c,1)="#"),"Not set",_xlpm.c)))</f>
        <v/>
      </c>
    </row>
    <row r="765" spans="1:112" x14ac:dyDescent="0.25">
      <c r="A765" t="str">
        <f>IF('Staff Daily sales'!$B750="","",TRIM('Staff Daily sales'!$B750&amp;""))</f>
        <v/>
      </c>
      <c r="B765" t="str">
        <f>IF('Staff Daily sales'!$D750="","",TRIM('Staff Daily sales'!$D750&amp;""))</f>
        <v/>
      </c>
      <c r="C765" t="str">
        <f>IFERROR(TRIM('Staff Daily sales'!$E750&amp;""),"")</f>
        <v/>
      </c>
      <c r="D765" t="str">
        <f>IFERROR(IF(TRIM('Staff Daily sales'!$F750&amp;"")="","Unassigned",TRIM('Staff Daily sales'!$F750&amp;"")),"Unassigned")</f>
        <v>Unassigned</v>
      </c>
      <c r="E765">
        <f t="shared" si="202"/>
        <v>0</v>
      </c>
      <c r="F765">
        <f>IF($E765=0,0,SUMPRODUCT($AI$5:$DF$5,'Staff Daily sales'!$G750:$CD750))</f>
        <v>0</v>
      </c>
      <c r="G765">
        <f>IF($E765=0,0,SUMPRODUCT($AI$6:$DF$6,'Staff Daily sales'!$G750:$CD750))</f>
        <v>0</v>
      </c>
      <c r="H765">
        <f t="shared" si="203"/>
        <v>0</v>
      </c>
      <c r="I765">
        <f t="shared" si="204"/>
        <v>0</v>
      </c>
      <c r="J765">
        <f t="shared" si="205"/>
        <v>0</v>
      </c>
      <c r="K765">
        <f t="shared" si="206"/>
        <v>0</v>
      </c>
      <c r="L765">
        <f>--AND($E765=1,OR('Staff Dashboard'!$B$6="All",$DH765='Staff Dashboard'!$B$6),OR('Staff Dashboard'!$B$7="All",$D765='Staff Dashboard'!$B$7),OR('Staff Dashboard'!$B$8="All",$A765='Staff Dashboard'!$B$8))</f>
        <v>0</v>
      </c>
      <c r="M765">
        <f>IF($E765=0,0,SUMPRODUCT($AI$7:$DF$7,'Staff Daily sales'!$G750:$CD750))</f>
        <v>0</v>
      </c>
      <c r="N765">
        <f>IF($E765=0,0,SUMPRODUCT($AI$8:$DF$8,'Staff Daily sales'!$G750:$CD750))</f>
        <v>0</v>
      </c>
      <c r="O765">
        <f>IF($E765=0,0,SUMPRODUCT($AI$9:$DF$9,'Staff Daily sales'!$G750:$CD750))</f>
        <v>0</v>
      </c>
      <c r="P765">
        <f>IF($E765=0,0,SUMPRODUCT($AI$10:$DF$10,'Staff Daily sales'!$G750:$CD750))</f>
        <v>0</v>
      </c>
      <c r="Q765">
        <f>IF($E765=0,0,SUMPRODUCT($AI$11:$DF$11,'Staff Daily sales'!$G750:$CD750))</f>
        <v>0</v>
      </c>
      <c r="R765">
        <f>IF($E765=0,0,SUMPRODUCT($AI$12:$DF$12,'Staff Daily sales'!$G750:$CD750))</f>
        <v>0</v>
      </c>
      <c r="S765">
        <f>IF($E765=0,0,SUMPRODUCT($AI$13:$DF$13,'Staff Daily sales'!$G750:$CD750))</f>
        <v>0</v>
      </c>
      <c r="T765">
        <f>IF($E765=0,0,SUMPRODUCT($AI$14:$DF$14,'Staff Daily sales'!$G750:$CD750))</f>
        <v>0</v>
      </c>
      <c r="U765">
        <f>IF($E765=0,0,SUMPRODUCT($AI$15:$DF$15,'Staff Daily sales'!$G750:$CD750))</f>
        <v>0</v>
      </c>
      <c r="V765">
        <f>IF($E765=0,0,SUMPRODUCT($AI$16:$DF$16,'Staff Daily sales'!$G750:$CD750))</f>
        <v>0</v>
      </c>
      <c r="W765">
        <f t="shared" si="207"/>
        <v>0</v>
      </c>
      <c r="X765">
        <f t="shared" si="208"/>
        <v>0</v>
      </c>
      <c r="Y765">
        <f t="shared" si="209"/>
        <v>0</v>
      </c>
      <c r="Z765">
        <f t="shared" si="210"/>
        <v>0</v>
      </c>
      <c r="AA765">
        <f t="shared" si="211"/>
        <v>0</v>
      </c>
      <c r="AB765">
        <f>--AND($E765=1,OR('Staff Weekly Trend'!$B$3="All",$DH765='Staff Weekly Trend'!$B$3),OR('Staff Weekly Trend'!$B$4="All",$D765='Staff Weekly Trend'!$B$4),OR('Staff Weekly Trend'!$B$5="All",$A765='Staff Weekly Trend'!$B$5))</f>
        <v>0</v>
      </c>
      <c r="AC765" t="str">
        <f t="shared" si="212"/>
        <v/>
      </c>
      <c r="AI765">
        <f t="shared" si="213"/>
        <v>0</v>
      </c>
      <c r="AJ765">
        <f t="shared" si="214"/>
        <v>0</v>
      </c>
      <c r="AK765">
        <f t="shared" si="215"/>
        <v>0</v>
      </c>
      <c r="AL765">
        <f t="shared" si="216"/>
        <v>0</v>
      </c>
      <c r="AM765">
        <f t="shared" si="217"/>
        <v>0</v>
      </c>
      <c r="DH765" t="str" cm="1">
        <f t="array" ref="DH765">IF($A765="","",_xlfn.LET(_xlpm.c,IFERROR(_xlfn.XLOOKUP($A765,TRIM('Sales and count'!$A$4:$A$300&amp;""),TRIM('Sales and count'!$B$4:$B$300&amp;"")),""),IF(OR(_xlpm.c="",_xlpm.c="0",LEFT(_xlpm.c,1)="#"),"Not set",_xlpm.c)))</f>
        <v/>
      </c>
    </row>
    <row r="766" spans="1:112" x14ac:dyDescent="0.25">
      <c r="A766" t="str">
        <f>IF('Staff Daily sales'!$B751="","",TRIM('Staff Daily sales'!$B751&amp;""))</f>
        <v/>
      </c>
      <c r="B766" t="str">
        <f>IF('Staff Daily sales'!$D751="","",TRIM('Staff Daily sales'!$D751&amp;""))</f>
        <v/>
      </c>
      <c r="C766" t="str">
        <f>IFERROR(TRIM('Staff Daily sales'!$E751&amp;""),"")</f>
        <v/>
      </c>
      <c r="D766" t="str">
        <f>IFERROR(IF(TRIM('Staff Daily sales'!$F751&amp;"")="","Unassigned",TRIM('Staff Daily sales'!$F751&amp;"")),"Unassigned")</f>
        <v>Unassigned</v>
      </c>
      <c r="E766">
        <f t="shared" si="202"/>
        <v>0</v>
      </c>
      <c r="F766">
        <f>IF($E766=0,0,SUMPRODUCT($AI$5:$DF$5,'Staff Daily sales'!$G751:$CD751))</f>
        <v>0</v>
      </c>
      <c r="G766">
        <f>IF($E766=0,0,SUMPRODUCT($AI$6:$DF$6,'Staff Daily sales'!$G751:$CD751))</f>
        <v>0</v>
      </c>
      <c r="H766">
        <f t="shared" si="203"/>
        <v>0</v>
      </c>
      <c r="I766">
        <f t="shared" si="204"/>
        <v>0</v>
      </c>
      <c r="J766">
        <f t="shared" si="205"/>
        <v>0</v>
      </c>
      <c r="K766">
        <f t="shared" si="206"/>
        <v>0</v>
      </c>
      <c r="L766">
        <f>--AND($E766=1,OR('Staff Dashboard'!$B$6="All",$DH766='Staff Dashboard'!$B$6),OR('Staff Dashboard'!$B$7="All",$D766='Staff Dashboard'!$B$7),OR('Staff Dashboard'!$B$8="All",$A766='Staff Dashboard'!$B$8))</f>
        <v>0</v>
      </c>
      <c r="M766">
        <f>IF($E766=0,0,SUMPRODUCT($AI$7:$DF$7,'Staff Daily sales'!$G751:$CD751))</f>
        <v>0</v>
      </c>
      <c r="N766">
        <f>IF($E766=0,0,SUMPRODUCT($AI$8:$DF$8,'Staff Daily sales'!$G751:$CD751))</f>
        <v>0</v>
      </c>
      <c r="O766">
        <f>IF($E766=0,0,SUMPRODUCT($AI$9:$DF$9,'Staff Daily sales'!$G751:$CD751))</f>
        <v>0</v>
      </c>
      <c r="P766">
        <f>IF($E766=0,0,SUMPRODUCT($AI$10:$DF$10,'Staff Daily sales'!$G751:$CD751))</f>
        <v>0</v>
      </c>
      <c r="Q766">
        <f>IF($E766=0,0,SUMPRODUCT($AI$11:$DF$11,'Staff Daily sales'!$G751:$CD751))</f>
        <v>0</v>
      </c>
      <c r="R766">
        <f>IF($E766=0,0,SUMPRODUCT($AI$12:$DF$12,'Staff Daily sales'!$G751:$CD751))</f>
        <v>0</v>
      </c>
      <c r="S766">
        <f>IF($E766=0,0,SUMPRODUCT($AI$13:$DF$13,'Staff Daily sales'!$G751:$CD751))</f>
        <v>0</v>
      </c>
      <c r="T766">
        <f>IF($E766=0,0,SUMPRODUCT($AI$14:$DF$14,'Staff Daily sales'!$G751:$CD751))</f>
        <v>0</v>
      </c>
      <c r="U766">
        <f>IF($E766=0,0,SUMPRODUCT($AI$15:$DF$15,'Staff Daily sales'!$G751:$CD751))</f>
        <v>0</v>
      </c>
      <c r="V766">
        <f>IF($E766=0,0,SUMPRODUCT($AI$16:$DF$16,'Staff Daily sales'!$G751:$CD751))</f>
        <v>0</v>
      </c>
      <c r="W766">
        <f t="shared" si="207"/>
        <v>0</v>
      </c>
      <c r="X766">
        <f t="shared" si="208"/>
        <v>0</v>
      </c>
      <c r="Y766">
        <f t="shared" si="209"/>
        <v>0</v>
      </c>
      <c r="Z766">
        <f t="shared" si="210"/>
        <v>0</v>
      </c>
      <c r="AA766">
        <f t="shared" si="211"/>
        <v>0</v>
      </c>
      <c r="AB766">
        <f>--AND($E766=1,OR('Staff Weekly Trend'!$B$3="All",$DH766='Staff Weekly Trend'!$B$3),OR('Staff Weekly Trend'!$B$4="All",$D766='Staff Weekly Trend'!$B$4),OR('Staff Weekly Trend'!$B$5="All",$A766='Staff Weekly Trend'!$B$5))</f>
        <v>0</v>
      </c>
      <c r="AC766" t="str">
        <f t="shared" si="212"/>
        <v/>
      </c>
      <c r="AI766">
        <f t="shared" si="213"/>
        <v>0</v>
      </c>
      <c r="AJ766">
        <f t="shared" si="214"/>
        <v>0</v>
      </c>
      <c r="AK766">
        <f t="shared" si="215"/>
        <v>0</v>
      </c>
      <c r="AL766">
        <f t="shared" si="216"/>
        <v>0</v>
      </c>
      <c r="AM766">
        <f t="shared" si="217"/>
        <v>0</v>
      </c>
      <c r="DH766" t="str" cm="1">
        <f t="array" ref="DH766">IF($A766="","",_xlfn.LET(_xlpm.c,IFERROR(_xlfn.XLOOKUP($A766,TRIM('Sales and count'!$A$4:$A$300&amp;""),TRIM('Sales and count'!$B$4:$B$300&amp;"")),""),IF(OR(_xlpm.c="",_xlpm.c="0",LEFT(_xlpm.c,1)="#"),"Not set",_xlpm.c)))</f>
        <v/>
      </c>
    </row>
    <row r="767" spans="1:112" x14ac:dyDescent="0.25">
      <c r="A767" t="str">
        <f>IF('Staff Daily sales'!$B752="","",TRIM('Staff Daily sales'!$B752&amp;""))</f>
        <v/>
      </c>
      <c r="B767" t="str">
        <f>IF('Staff Daily sales'!$D752="","",TRIM('Staff Daily sales'!$D752&amp;""))</f>
        <v/>
      </c>
      <c r="C767" t="str">
        <f>IFERROR(TRIM('Staff Daily sales'!$E752&amp;""),"")</f>
        <v/>
      </c>
      <c r="D767" t="str">
        <f>IFERROR(IF(TRIM('Staff Daily sales'!$F752&amp;"")="","Unassigned",TRIM('Staff Daily sales'!$F752&amp;"")),"Unassigned")</f>
        <v>Unassigned</v>
      </c>
      <c r="E767">
        <f t="shared" si="202"/>
        <v>0</v>
      </c>
      <c r="F767">
        <f>IF($E767=0,0,SUMPRODUCT($AI$5:$DF$5,'Staff Daily sales'!$G752:$CD752))</f>
        <v>0</v>
      </c>
      <c r="G767">
        <f>IF($E767=0,0,SUMPRODUCT($AI$6:$DF$6,'Staff Daily sales'!$G752:$CD752))</f>
        <v>0</v>
      </c>
      <c r="H767">
        <f t="shared" si="203"/>
        <v>0</v>
      </c>
      <c r="I767">
        <f t="shared" si="204"/>
        <v>0</v>
      </c>
      <c r="J767">
        <f t="shared" si="205"/>
        <v>0</v>
      </c>
      <c r="K767">
        <f t="shared" si="206"/>
        <v>0</v>
      </c>
      <c r="L767">
        <f>--AND($E767=1,OR('Staff Dashboard'!$B$6="All",$DH767='Staff Dashboard'!$B$6),OR('Staff Dashboard'!$B$7="All",$D767='Staff Dashboard'!$B$7),OR('Staff Dashboard'!$B$8="All",$A767='Staff Dashboard'!$B$8))</f>
        <v>0</v>
      </c>
      <c r="M767">
        <f>IF($E767=0,0,SUMPRODUCT($AI$7:$DF$7,'Staff Daily sales'!$G752:$CD752))</f>
        <v>0</v>
      </c>
      <c r="N767">
        <f>IF($E767=0,0,SUMPRODUCT($AI$8:$DF$8,'Staff Daily sales'!$G752:$CD752))</f>
        <v>0</v>
      </c>
      <c r="O767">
        <f>IF($E767=0,0,SUMPRODUCT($AI$9:$DF$9,'Staff Daily sales'!$G752:$CD752))</f>
        <v>0</v>
      </c>
      <c r="P767">
        <f>IF($E767=0,0,SUMPRODUCT($AI$10:$DF$10,'Staff Daily sales'!$G752:$CD752))</f>
        <v>0</v>
      </c>
      <c r="Q767">
        <f>IF($E767=0,0,SUMPRODUCT($AI$11:$DF$11,'Staff Daily sales'!$G752:$CD752))</f>
        <v>0</v>
      </c>
      <c r="R767">
        <f>IF($E767=0,0,SUMPRODUCT($AI$12:$DF$12,'Staff Daily sales'!$G752:$CD752))</f>
        <v>0</v>
      </c>
      <c r="S767">
        <f>IF($E767=0,0,SUMPRODUCT($AI$13:$DF$13,'Staff Daily sales'!$G752:$CD752))</f>
        <v>0</v>
      </c>
      <c r="T767">
        <f>IF($E767=0,0,SUMPRODUCT($AI$14:$DF$14,'Staff Daily sales'!$G752:$CD752))</f>
        <v>0</v>
      </c>
      <c r="U767">
        <f>IF($E767=0,0,SUMPRODUCT($AI$15:$DF$15,'Staff Daily sales'!$G752:$CD752))</f>
        <v>0</v>
      </c>
      <c r="V767">
        <f>IF($E767=0,0,SUMPRODUCT($AI$16:$DF$16,'Staff Daily sales'!$G752:$CD752))</f>
        <v>0</v>
      </c>
      <c r="W767">
        <f t="shared" si="207"/>
        <v>0</v>
      </c>
      <c r="X767">
        <f t="shared" si="208"/>
        <v>0</v>
      </c>
      <c r="Y767">
        <f t="shared" si="209"/>
        <v>0</v>
      </c>
      <c r="Z767">
        <f t="shared" si="210"/>
        <v>0</v>
      </c>
      <c r="AA767">
        <f t="shared" si="211"/>
        <v>0</v>
      </c>
      <c r="AB767">
        <f>--AND($E767=1,OR('Staff Weekly Trend'!$B$3="All",$DH767='Staff Weekly Trend'!$B$3),OR('Staff Weekly Trend'!$B$4="All",$D767='Staff Weekly Trend'!$B$4),OR('Staff Weekly Trend'!$B$5="All",$A767='Staff Weekly Trend'!$B$5))</f>
        <v>0</v>
      </c>
      <c r="AC767" t="str">
        <f t="shared" si="212"/>
        <v/>
      </c>
      <c r="AI767">
        <f t="shared" si="213"/>
        <v>0</v>
      </c>
      <c r="AJ767">
        <f t="shared" si="214"/>
        <v>0</v>
      </c>
      <c r="AK767">
        <f t="shared" si="215"/>
        <v>0</v>
      </c>
      <c r="AL767">
        <f t="shared" si="216"/>
        <v>0</v>
      </c>
      <c r="AM767">
        <f t="shared" si="217"/>
        <v>0</v>
      </c>
      <c r="DH767" t="str" cm="1">
        <f t="array" ref="DH767">IF($A767="","",_xlfn.LET(_xlpm.c,IFERROR(_xlfn.XLOOKUP($A767,TRIM('Sales and count'!$A$4:$A$300&amp;""),TRIM('Sales and count'!$B$4:$B$300&amp;"")),""),IF(OR(_xlpm.c="",_xlpm.c="0",LEFT(_xlpm.c,1)="#"),"Not set",_xlpm.c)))</f>
        <v/>
      </c>
    </row>
    <row r="768" spans="1:112" x14ac:dyDescent="0.25">
      <c r="A768" t="str">
        <f>IF('Staff Daily sales'!$B753="","",TRIM('Staff Daily sales'!$B753&amp;""))</f>
        <v/>
      </c>
      <c r="B768" t="str">
        <f>IF('Staff Daily sales'!$D753="","",TRIM('Staff Daily sales'!$D753&amp;""))</f>
        <v/>
      </c>
      <c r="C768" t="str">
        <f>IFERROR(TRIM('Staff Daily sales'!$E753&amp;""),"")</f>
        <v/>
      </c>
      <c r="D768" t="str">
        <f>IFERROR(IF(TRIM('Staff Daily sales'!$F753&amp;"")="","Unassigned",TRIM('Staff Daily sales'!$F753&amp;"")),"Unassigned")</f>
        <v>Unassigned</v>
      </c>
      <c r="E768">
        <f t="shared" si="202"/>
        <v>0</v>
      </c>
      <c r="F768">
        <f>IF($E768=0,0,SUMPRODUCT($AI$5:$DF$5,'Staff Daily sales'!$G753:$CD753))</f>
        <v>0</v>
      </c>
      <c r="G768">
        <f>IF($E768=0,0,SUMPRODUCT($AI$6:$DF$6,'Staff Daily sales'!$G753:$CD753))</f>
        <v>0</v>
      </c>
      <c r="H768">
        <f t="shared" si="203"/>
        <v>0</v>
      </c>
      <c r="I768">
        <f t="shared" si="204"/>
        <v>0</v>
      </c>
      <c r="J768">
        <f t="shared" si="205"/>
        <v>0</v>
      </c>
      <c r="K768">
        <f t="shared" si="206"/>
        <v>0</v>
      </c>
      <c r="L768">
        <f>--AND($E768=1,OR('Staff Dashboard'!$B$6="All",$DH768='Staff Dashboard'!$B$6),OR('Staff Dashboard'!$B$7="All",$D768='Staff Dashboard'!$B$7),OR('Staff Dashboard'!$B$8="All",$A768='Staff Dashboard'!$B$8))</f>
        <v>0</v>
      </c>
      <c r="M768">
        <f>IF($E768=0,0,SUMPRODUCT($AI$7:$DF$7,'Staff Daily sales'!$G753:$CD753))</f>
        <v>0</v>
      </c>
      <c r="N768">
        <f>IF($E768=0,0,SUMPRODUCT($AI$8:$DF$8,'Staff Daily sales'!$G753:$CD753))</f>
        <v>0</v>
      </c>
      <c r="O768">
        <f>IF($E768=0,0,SUMPRODUCT($AI$9:$DF$9,'Staff Daily sales'!$G753:$CD753))</f>
        <v>0</v>
      </c>
      <c r="P768">
        <f>IF($E768=0,0,SUMPRODUCT($AI$10:$DF$10,'Staff Daily sales'!$G753:$CD753))</f>
        <v>0</v>
      </c>
      <c r="Q768">
        <f>IF($E768=0,0,SUMPRODUCT($AI$11:$DF$11,'Staff Daily sales'!$G753:$CD753))</f>
        <v>0</v>
      </c>
      <c r="R768">
        <f>IF($E768=0,0,SUMPRODUCT($AI$12:$DF$12,'Staff Daily sales'!$G753:$CD753))</f>
        <v>0</v>
      </c>
      <c r="S768">
        <f>IF($E768=0,0,SUMPRODUCT($AI$13:$DF$13,'Staff Daily sales'!$G753:$CD753))</f>
        <v>0</v>
      </c>
      <c r="T768">
        <f>IF($E768=0,0,SUMPRODUCT($AI$14:$DF$14,'Staff Daily sales'!$G753:$CD753))</f>
        <v>0</v>
      </c>
      <c r="U768">
        <f>IF($E768=0,0,SUMPRODUCT($AI$15:$DF$15,'Staff Daily sales'!$G753:$CD753))</f>
        <v>0</v>
      </c>
      <c r="V768">
        <f>IF($E768=0,0,SUMPRODUCT($AI$16:$DF$16,'Staff Daily sales'!$G753:$CD753))</f>
        <v>0</v>
      </c>
      <c r="W768">
        <f t="shared" si="207"/>
        <v>0</v>
      </c>
      <c r="X768">
        <f t="shared" si="208"/>
        <v>0</v>
      </c>
      <c r="Y768">
        <f t="shared" si="209"/>
        <v>0</v>
      </c>
      <c r="Z768">
        <f t="shared" si="210"/>
        <v>0</v>
      </c>
      <c r="AA768">
        <f t="shared" si="211"/>
        <v>0</v>
      </c>
      <c r="AB768">
        <f>--AND($E768=1,OR('Staff Weekly Trend'!$B$3="All",$DH768='Staff Weekly Trend'!$B$3),OR('Staff Weekly Trend'!$B$4="All",$D768='Staff Weekly Trend'!$B$4),OR('Staff Weekly Trend'!$B$5="All",$A768='Staff Weekly Trend'!$B$5))</f>
        <v>0</v>
      </c>
      <c r="AC768" t="str">
        <f t="shared" si="212"/>
        <v/>
      </c>
      <c r="AI768">
        <f t="shared" si="213"/>
        <v>0</v>
      </c>
      <c r="AJ768">
        <f t="shared" si="214"/>
        <v>0</v>
      </c>
      <c r="AK768">
        <f t="shared" si="215"/>
        <v>0</v>
      </c>
      <c r="AL768">
        <f t="shared" si="216"/>
        <v>0</v>
      </c>
      <c r="AM768">
        <f t="shared" si="217"/>
        <v>0</v>
      </c>
      <c r="DH768" t="str" cm="1">
        <f t="array" ref="DH768">IF($A768="","",_xlfn.LET(_xlpm.c,IFERROR(_xlfn.XLOOKUP($A768,TRIM('Sales and count'!$A$4:$A$300&amp;""),TRIM('Sales and count'!$B$4:$B$300&amp;"")),""),IF(OR(_xlpm.c="",_xlpm.c="0",LEFT(_xlpm.c,1)="#"),"Not set",_xlpm.c)))</f>
        <v/>
      </c>
    </row>
    <row r="769" spans="1:112" x14ac:dyDescent="0.25">
      <c r="A769" t="str">
        <f>IF('Staff Daily sales'!$B754="","",TRIM('Staff Daily sales'!$B754&amp;""))</f>
        <v/>
      </c>
      <c r="B769" t="str">
        <f>IF('Staff Daily sales'!$D754="","",TRIM('Staff Daily sales'!$D754&amp;""))</f>
        <v/>
      </c>
      <c r="C769" t="str">
        <f>IFERROR(TRIM('Staff Daily sales'!$E754&amp;""),"")</f>
        <v/>
      </c>
      <c r="D769" t="str">
        <f>IFERROR(IF(TRIM('Staff Daily sales'!$F754&amp;"")="","Unassigned",TRIM('Staff Daily sales'!$F754&amp;"")),"Unassigned")</f>
        <v>Unassigned</v>
      </c>
      <c r="E769">
        <f t="shared" si="202"/>
        <v>0</v>
      </c>
      <c r="F769">
        <f>IF($E769=0,0,SUMPRODUCT($AI$5:$DF$5,'Staff Daily sales'!$G754:$CD754))</f>
        <v>0</v>
      </c>
      <c r="G769">
        <f>IF($E769=0,0,SUMPRODUCT($AI$6:$DF$6,'Staff Daily sales'!$G754:$CD754))</f>
        <v>0</v>
      </c>
      <c r="H769">
        <f t="shared" si="203"/>
        <v>0</v>
      </c>
      <c r="I769">
        <f t="shared" si="204"/>
        <v>0</v>
      </c>
      <c r="J769">
        <f t="shared" si="205"/>
        <v>0</v>
      </c>
      <c r="K769">
        <f t="shared" si="206"/>
        <v>0</v>
      </c>
      <c r="L769">
        <f>--AND($E769=1,OR('Staff Dashboard'!$B$6="All",$DH769='Staff Dashboard'!$B$6),OR('Staff Dashboard'!$B$7="All",$D769='Staff Dashboard'!$B$7),OR('Staff Dashboard'!$B$8="All",$A769='Staff Dashboard'!$B$8))</f>
        <v>0</v>
      </c>
      <c r="M769">
        <f>IF($E769=0,0,SUMPRODUCT($AI$7:$DF$7,'Staff Daily sales'!$G754:$CD754))</f>
        <v>0</v>
      </c>
      <c r="N769">
        <f>IF($E769=0,0,SUMPRODUCT($AI$8:$DF$8,'Staff Daily sales'!$G754:$CD754))</f>
        <v>0</v>
      </c>
      <c r="O769">
        <f>IF($E769=0,0,SUMPRODUCT($AI$9:$DF$9,'Staff Daily sales'!$G754:$CD754))</f>
        <v>0</v>
      </c>
      <c r="P769">
        <f>IF($E769=0,0,SUMPRODUCT($AI$10:$DF$10,'Staff Daily sales'!$G754:$CD754))</f>
        <v>0</v>
      </c>
      <c r="Q769">
        <f>IF($E769=0,0,SUMPRODUCT($AI$11:$DF$11,'Staff Daily sales'!$G754:$CD754))</f>
        <v>0</v>
      </c>
      <c r="R769">
        <f>IF($E769=0,0,SUMPRODUCT($AI$12:$DF$12,'Staff Daily sales'!$G754:$CD754))</f>
        <v>0</v>
      </c>
      <c r="S769">
        <f>IF($E769=0,0,SUMPRODUCT($AI$13:$DF$13,'Staff Daily sales'!$G754:$CD754))</f>
        <v>0</v>
      </c>
      <c r="T769">
        <f>IF($E769=0,0,SUMPRODUCT($AI$14:$DF$14,'Staff Daily sales'!$G754:$CD754))</f>
        <v>0</v>
      </c>
      <c r="U769">
        <f>IF($E769=0,0,SUMPRODUCT($AI$15:$DF$15,'Staff Daily sales'!$G754:$CD754))</f>
        <v>0</v>
      </c>
      <c r="V769">
        <f>IF($E769=0,0,SUMPRODUCT($AI$16:$DF$16,'Staff Daily sales'!$G754:$CD754))</f>
        <v>0</v>
      </c>
      <c r="W769">
        <f t="shared" si="207"/>
        <v>0</v>
      </c>
      <c r="X769">
        <f t="shared" si="208"/>
        <v>0</v>
      </c>
      <c r="Y769">
        <f t="shared" si="209"/>
        <v>0</v>
      </c>
      <c r="Z769">
        <f t="shared" si="210"/>
        <v>0</v>
      </c>
      <c r="AA769">
        <f t="shared" si="211"/>
        <v>0</v>
      </c>
      <c r="AB769">
        <f>--AND($E769=1,OR('Staff Weekly Trend'!$B$3="All",$DH769='Staff Weekly Trend'!$B$3),OR('Staff Weekly Trend'!$B$4="All",$D769='Staff Weekly Trend'!$B$4),OR('Staff Weekly Trend'!$B$5="All",$A769='Staff Weekly Trend'!$B$5))</f>
        <v>0</v>
      </c>
      <c r="AC769" t="str">
        <f t="shared" si="212"/>
        <v/>
      </c>
      <c r="AI769">
        <f t="shared" si="213"/>
        <v>0</v>
      </c>
      <c r="AJ769">
        <f t="shared" si="214"/>
        <v>0</v>
      </c>
      <c r="AK769">
        <f t="shared" si="215"/>
        <v>0</v>
      </c>
      <c r="AL769">
        <f t="shared" si="216"/>
        <v>0</v>
      </c>
      <c r="AM769">
        <f t="shared" si="217"/>
        <v>0</v>
      </c>
      <c r="DH769" t="str" cm="1">
        <f t="array" ref="DH769">IF($A769="","",_xlfn.LET(_xlpm.c,IFERROR(_xlfn.XLOOKUP($A769,TRIM('Sales and count'!$A$4:$A$300&amp;""),TRIM('Sales and count'!$B$4:$B$300&amp;"")),""),IF(OR(_xlpm.c="",_xlpm.c="0",LEFT(_xlpm.c,1)="#"),"Not set",_xlpm.c)))</f>
        <v/>
      </c>
    </row>
    <row r="770" spans="1:112" x14ac:dyDescent="0.25">
      <c r="A770" t="str">
        <f>IF('Staff Daily sales'!$B755="","",TRIM('Staff Daily sales'!$B755&amp;""))</f>
        <v/>
      </c>
      <c r="B770" t="str">
        <f>IF('Staff Daily sales'!$D755="","",TRIM('Staff Daily sales'!$D755&amp;""))</f>
        <v/>
      </c>
      <c r="C770" t="str">
        <f>IFERROR(TRIM('Staff Daily sales'!$E755&amp;""),"")</f>
        <v/>
      </c>
      <c r="D770" t="str">
        <f>IFERROR(IF(TRIM('Staff Daily sales'!$F755&amp;"")="","Unassigned",TRIM('Staff Daily sales'!$F755&amp;"")),"Unassigned")</f>
        <v>Unassigned</v>
      </c>
      <c r="E770">
        <f t="shared" si="202"/>
        <v>0</v>
      </c>
      <c r="F770">
        <f>IF($E770=0,0,SUMPRODUCT($AI$5:$DF$5,'Staff Daily sales'!$G755:$CD755))</f>
        <v>0</v>
      </c>
      <c r="G770">
        <f>IF($E770=0,0,SUMPRODUCT($AI$6:$DF$6,'Staff Daily sales'!$G755:$CD755))</f>
        <v>0</v>
      </c>
      <c r="H770">
        <f t="shared" si="203"/>
        <v>0</v>
      </c>
      <c r="I770">
        <f t="shared" si="204"/>
        <v>0</v>
      </c>
      <c r="J770">
        <f t="shared" si="205"/>
        <v>0</v>
      </c>
      <c r="K770">
        <f t="shared" si="206"/>
        <v>0</v>
      </c>
      <c r="L770">
        <f>--AND($E770=1,OR('Staff Dashboard'!$B$6="All",$DH770='Staff Dashboard'!$B$6),OR('Staff Dashboard'!$B$7="All",$D770='Staff Dashboard'!$B$7),OR('Staff Dashboard'!$B$8="All",$A770='Staff Dashboard'!$B$8))</f>
        <v>0</v>
      </c>
      <c r="M770">
        <f>IF($E770=0,0,SUMPRODUCT($AI$7:$DF$7,'Staff Daily sales'!$G755:$CD755))</f>
        <v>0</v>
      </c>
      <c r="N770">
        <f>IF($E770=0,0,SUMPRODUCT($AI$8:$DF$8,'Staff Daily sales'!$G755:$CD755))</f>
        <v>0</v>
      </c>
      <c r="O770">
        <f>IF($E770=0,0,SUMPRODUCT($AI$9:$DF$9,'Staff Daily sales'!$G755:$CD755))</f>
        <v>0</v>
      </c>
      <c r="P770">
        <f>IF($E770=0,0,SUMPRODUCT($AI$10:$DF$10,'Staff Daily sales'!$G755:$CD755))</f>
        <v>0</v>
      </c>
      <c r="Q770">
        <f>IF($E770=0,0,SUMPRODUCT($AI$11:$DF$11,'Staff Daily sales'!$G755:$CD755))</f>
        <v>0</v>
      </c>
      <c r="R770">
        <f>IF($E770=0,0,SUMPRODUCT($AI$12:$DF$12,'Staff Daily sales'!$G755:$CD755))</f>
        <v>0</v>
      </c>
      <c r="S770">
        <f>IF($E770=0,0,SUMPRODUCT($AI$13:$DF$13,'Staff Daily sales'!$G755:$CD755))</f>
        <v>0</v>
      </c>
      <c r="T770">
        <f>IF($E770=0,0,SUMPRODUCT($AI$14:$DF$14,'Staff Daily sales'!$G755:$CD755))</f>
        <v>0</v>
      </c>
      <c r="U770">
        <f>IF($E770=0,0,SUMPRODUCT($AI$15:$DF$15,'Staff Daily sales'!$G755:$CD755))</f>
        <v>0</v>
      </c>
      <c r="V770">
        <f>IF($E770=0,0,SUMPRODUCT($AI$16:$DF$16,'Staff Daily sales'!$G755:$CD755))</f>
        <v>0</v>
      </c>
      <c r="W770">
        <f t="shared" si="207"/>
        <v>0</v>
      </c>
      <c r="X770">
        <f t="shared" si="208"/>
        <v>0</v>
      </c>
      <c r="Y770">
        <f t="shared" si="209"/>
        <v>0</v>
      </c>
      <c r="Z770">
        <f t="shared" si="210"/>
        <v>0</v>
      </c>
      <c r="AA770">
        <f t="shared" si="211"/>
        <v>0</v>
      </c>
      <c r="AB770">
        <f>--AND($E770=1,OR('Staff Weekly Trend'!$B$3="All",$DH770='Staff Weekly Trend'!$B$3),OR('Staff Weekly Trend'!$B$4="All",$D770='Staff Weekly Trend'!$B$4),OR('Staff Weekly Trend'!$B$5="All",$A770='Staff Weekly Trend'!$B$5))</f>
        <v>0</v>
      </c>
      <c r="AC770" t="str">
        <f t="shared" si="212"/>
        <v/>
      </c>
      <c r="AI770">
        <f t="shared" si="213"/>
        <v>0</v>
      </c>
      <c r="AJ770">
        <f t="shared" si="214"/>
        <v>0</v>
      </c>
      <c r="AK770">
        <f t="shared" si="215"/>
        <v>0</v>
      </c>
      <c r="AL770">
        <f t="shared" si="216"/>
        <v>0</v>
      </c>
      <c r="AM770">
        <f t="shared" si="217"/>
        <v>0</v>
      </c>
      <c r="DH770" t="str" cm="1">
        <f t="array" ref="DH770">IF($A770="","",_xlfn.LET(_xlpm.c,IFERROR(_xlfn.XLOOKUP($A770,TRIM('Sales and count'!$A$4:$A$300&amp;""),TRIM('Sales and count'!$B$4:$B$300&amp;"")),""),IF(OR(_xlpm.c="",_xlpm.c="0",LEFT(_xlpm.c,1)="#"),"Not set",_xlpm.c)))</f>
        <v/>
      </c>
    </row>
    <row r="771" spans="1:112" x14ac:dyDescent="0.25">
      <c r="A771" t="str">
        <f>IF('Staff Daily sales'!$B756="","",TRIM('Staff Daily sales'!$B756&amp;""))</f>
        <v/>
      </c>
      <c r="B771" t="str">
        <f>IF('Staff Daily sales'!$D756="","",TRIM('Staff Daily sales'!$D756&amp;""))</f>
        <v/>
      </c>
      <c r="C771" t="str">
        <f>IFERROR(TRIM('Staff Daily sales'!$E756&amp;""),"")</f>
        <v/>
      </c>
      <c r="D771" t="str">
        <f>IFERROR(IF(TRIM('Staff Daily sales'!$F756&amp;"")="","Unassigned",TRIM('Staff Daily sales'!$F756&amp;"")),"Unassigned")</f>
        <v>Unassigned</v>
      </c>
      <c r="E771">
        <f t="shared" si="202"/>
        <v>0</v>
      </c>
      <c r="F771">
        <f>IF($E771=0,0,SUMPRODUCT($AI$5:$DF$5,'Staff Daily sales'!$G756:$CD756))</f>
        <v>0</v>
      </c>
      <c r="G771">
        <f>IF($E771=0,0,SUMPRODUCT($AI$6:$DF$6,'Staff Daily sales'!$G756:$CD756))</f>
        <v>0</v>
      </c>
      <c r="H771">
        <f t="shared" si="203"/>
        <v>0</v>
      </c>
      <c r="I771">
        <f t="shared" si="204"/>
        <v>0</v>
      </c>
      <c r="J771">
        <f t="shared" si="205"/>
        <v>0</v>
      </c>
      <c r="K771">
        <f t="shared" si="206"/>
        <v>0</v>
      </c>
      <c r="L771">
        <f>--AND($E771=1,OR('Staff Dashboard'!$B$6="All",$DH771='Staff Dashboard'!$B$6),OR('Staff Dashboard'!$B$7="All",$D771='Staff Dashboard'!$B$7),OR('Staff Dashboard'!$B$8="All",$A771='Staff Dashboard'!$B$8))</f>
        <v>0</v>
      </c>
      <c r="M771">
        <f>IF($E771=0,0,SUMPRODUCT($AI$7:$DF$7,'Staff Daily sales'!$G756:$CD756))</f>
        <v>0</v>
      </c>
      <c r="N771">
        <f>IF($E771=0,0,SUMPRODUCT($AI$8:$DF$8,'Staff Daily sales'!$G756:$CD756))</f>
        <v>0</v>
      </c>
      <c r="O771">
        <f>IF($E771=0,0,SUMPRODUCT($AI$9:$DF$9,'Staff Daily sales'!$G756:$CD756))</f>
        <v>0</v>
      </c>
      <c r="P771">
        <f>IF($E771=0,0,SUMPRODUCT($AI$10:$DF$10,'Staff Daily sales'!$G756:$CD756))</f>
        <v>0</v>
      </c>
      <c r="Q771">
        <f>IF($E771=0,0,SUMPRODUCT($AI$11:$DF$11,'Staff Daily sales'!$G756:$CD756))</f>
        <v>0</v>
      </c>
      <c r="R771">
        <f>IF($E771=0,0,SUMPRODUCT($AI$12:$DF$12,'Staff Daily sales'!$G756:$CD756))</f>
        <v>0</v>
      </c>
      <c r="S771">
        <f>IF($E771=0,0,SUMPRODUCT($AI$13:$DF$13,'Staff Daily sales'!$G756:$CD756))</f>
        <v>0</v>
      </c>
      <c r="T771">
        <f>IF($E771=0,0,SUMPRODUCT($AI$14:$DF$14,'Staff Daily sales'!$G756:$CD756))</f>
        <v>0</v>
      </c>
      <c r="U771">
        <f>IF($E771=0,0,SUMPRODUCT($AI$15:$DF$15,'Staff Daily sales'!$G756:$CD756))</f>
        <v>0</v>
      </c>
      <c r="V771">
        <f>IF($E771=0,0,SUMPRODUCT($AI$16:$DF$16,'Staff Daily sales'!$G756:$CD756))</f>
        <v>0</v>
      </c>
      <c r="W771">
        <f t="shared" si="207"/>
        <v>0</v>
      </c>
      <c r="X771">
        <f t="shared" si="208"/>
        <v>0</v>
      </c>
      <c r="Y771">
        <f t="shared" si="209"/>
        <v>0</v>
      </c>
      <c r="Z771">
        <f t="shared" si="210"/>
        <v>0</v>
      </c>
      <c r="AA771">
        <f t="shared" si="211"/>
        <v>0</v>
      </c>
      <c r="AB771">
        <f>--AND($E771=1,OR('Staff Weekly Trend'!$B$3="All",$DH771='Staff Weekly Trend'!$B$3),OR('Staff Weekly Trend'!$B$4="All",$D771='Staff Weekly Trend'!$B$4),OR('Staff Weekly Trend'!$B$5="All",$A771='Staff Weekly Trend'!$B$5))</f>
        <v>0</v>
      </c>
      <c r="AC771" t="str">
        <f t="shared" si="212"/>
        <v/>
      </c>
      <c r="AI771">
        <f t="shared" si="213"/>
        <v>0</v>
      </c>
      <c r="AJ771">
        <f t="shared" si="214"/>
        <v>0</v>
      </c>
      <c r="AK771">
        <f t="shared" si="215"/>
        <v>0</v>
      </c>
      <c r="AL771">
        <f t="shared" si="216"/>
        <v>0</v>
      </c>
      <c r="AM771">
        <f t="shared" si="217"/>
        <v>0</v>
      </c>
      <c r="DH771" t="str" cm="1">
        <f t="array" ref="DH771">IF($A771="","",_xlfn.LET(_xlpm.c,IFERROR(_xlfn.XLOOKUP($A771,TRIM('Sales and count'!$A$4:$A$300&amp;""),TRIM('Sales and count'!$B$4:$B$300&amp;"")),""),IF(OR(_xlpm.c="",_xlpm.c="0",LEFT(_xlpm.c,1)="#"),"Not set",_xlpm.c)))</f>
        <v/>
      </c>
    </row>
    <row r="772" spans="1:112" x14ac:dyDescent="0.25">
      <c r="A772" t="str">
        <f>IF('Staff Daily sales'!$B757="","",TRIM('Staff Daily sales'!$B757&amp;""))</f>
        <v/>
      </c>
      <c r="B772" t="str">
        <f>IF('Staff Daily sales'!$D757="","",TRIM('Staff Daily sales'!$D757&amp;""))</f>
        <v/>
      </c>
      <c r="C772" t="str">
        <f>IFERROR(TRIM('Staff Daily sales'!$E757&amp;""),"")</f>
        <v/>
      </c>
      <c r="D772" t="str">
        <f>IFERROR(IF(TRIM('Staff Daily sales'!$F757&amp;"")="","Unassigned",TRIM('Staff Daily sales'!$F757&amp;"")),"Unassigned")</f>
        <v>Unassigned</v>
      </c>
      <c r="E772">
        <f t="shared" si="202"/>
        <v>0</v>
      </c>
      <c r="F772">
        <f>IF($E772=0,0,SUMPRODUCT($AI$5:$DF$5,'Staff Daily sales'!$G757:$CD757))</f>
        <v>0</v>
      </c>
      <c r="G772">
        <f>IF($E772=0,0,SUMPRODUCT($AI$6:$DF$6,'Staff Daily sales'!$G757:$CD757))</f>
        <v>0</v>
      </c>
      <c r="H772">
        <f t="shared" si="203"/>
        <v>0</v>
      </c>
      <c r="I772">
        <f t="shared" si="204"/>
        <v>0</v>
      </c>
      <c r="J772">
        <f t="shared" si="205"/>
        <v>0</v>
      </c>
      <c r="K772">
        <f t="shared" si="206"/>
        <v>0</v>
      </c>
      <c r="L772">
        <f>--AND($E772=1,OR('Staff Dashboard'!$B$6="All",$DH772='Staff Dashboard'!$B$6),OR('Staff Dashboard'!$B$7="All",$D772='Staff Dashboard'!$B$7),OR('Staff Dashboard'!$B$8="All",$A772='Staff Dashboard'!$B$8))</f>
        <v>0</v>
      </c>
      <c r="M772">
        <f>IF($E772=0,0,SUMPRODUCT($AI$7:$DF$7,'Staff Daily sales'!$G757:$CD757))</f>
        <v>0</v>
      </c>
      <c r="N772">
        <f>IF($E772=0,0,SUMPRODUCT($AI$8:$DF$8,'Staff Daily sales'!$G757:$CD757))</f>
        <v>0</v>
      </c>
      <c r="O772">
        <f>IF($E772=0,0,SUMPRODUCT($AI$9:$DF$9,'Staff Daily sales'!$G757:$CD757))</f>
        <v>0</v>
      </c>
      <c r="P772">
        <f>IF($E772=0,0,SUMPRODUCT($AI$10:$DF$10,'Staff Daily sales'!$G757:$CD757))</f>
        <v>0</v>
      </c>
      <c r="Q772">
        <f>IF($E772=0,0,SUMPRODUCT($AI$11:$DF$11,'Staff Daily sales'!$G757:$CD757))</f>
        <v>0</v>
      </c>
      <c r="R772">
        <f>IF($E772=0,0,SUMPRODUCT($AI$12:$DF$12,'Staff Daily sales'!$G757:$CD757))</f>
        <v>0</v>
      </c>
      <c r="S772">
        <f>IF($E772=0,0,SUMPRODUCT($AI$13:$DF$13,'Staff Daily sales'!$G757:$CD757))</f>
        <v>0</v>
      </c>
      <c r="T772">
        <f>IF($E772=0,0,SUMPRODUCT($AI$14:$DF$14,'Staff Daily sales'!$G757:$CD757))</f>
        <v>0</v>
      </c>
      <c r="U772">
        <f>IF($E772=0,0,SUMPRODUCT($AI$15:$DF$15,'Staff Daily sales'!$G757:$CD757))</f>
        <v>0</v>
      </c>
      <c r="V772">
        <f>IF($E772=0,0,SUMPRODUCT($AI$16:$DF$16,'Staff Daily sales'!$G757:$CD757))</f>
        <v>0</v>
      </c>
      <c r="W772">
        <f t="shared" si="207"/>
        <v>0</v>
      </c>
      <c r="X772">
        <f t="shared" si="208"/>
        <v>0</v>
      </c>
      <c r="Y772">
        <f t="shared" si="209"/>
        <v>0</v>
      </c>
      <c r="Z772">
        <f t="shared" si="210"/>
        <v>0</v>
      </c>
      <c r="AA772">
        <f t="shared" si="211"/>
        <v>0</v>
      </c>
      <c r="AB772">
        <f>--AND($E772=1,OR('Staff Weekly Trend'!$B$3="All",$DH772='Staff Weekly Trend'!$B$3),OR('Staff Weekly Trend'!$B$4="All",$D772='Staff Weekly Trend'!$B$4),OR('Staff Weekly Trend'!$B$5="All",$A772='Staff Weekly Trend'!$B$5))</f>
        <v>0</v>
      </c>
      <c r="AC772" t="str">
        <f t="shared" si="212"/>
        <v/>
      </c>
      <c r="AI772">
        <f t="shared" si="213"/>
        <v>0</v>
      </c>
      <c r="AJ772">
        <f t="shared" si="214"/>
        <v>0</v>
      </c>
      <c r="AK772">
        <f t="shared" si="215"/>
        <v>0</v>
      </c>
      <c r="AL772">
        <f t="shared" si="216"/>
        <v>0</v>
      </c>
      <c r="AM772">
        <f t="shared" si="217"/>
        <v>0</v>
      </c>
      <c r="DH772" t="str" cm="1">
        <f t="array" ref="DH772">IF($A772="","",_xlfn.LET(_xlpm.c,IFERROR(_xlfn.XLOOKUP($A772,TRIM('Sales and count'!$A$4:$A$300&amp;""),TRIM('Sales and count'!$B$4:$B$300&amp;"")),""),IF(OR(_xlpm.c="",_xlpm.c="0",LEFT(_xlpm.c,1)="#"),"Not set",_xlpm.c)))</f>
        <v/>
      </c>
    </row>
    <row r="773" spans="1:112" x14ac:dyDescent="0.25">
      <c r="A773" t="str">
        <f>IF('Staff Daily sales'!$B758="","",TRIM('Staff Daily sales'!$B758&amp;""))</f>
        <v/>
      </c>
      <c r="B773" t="str">
        <f>IF('Staff Daily sales'!$D758="","",TRIM('Staff Daily sales'!$D758&amp;""))</f>
        <v/>
      </c>
      <c r="C773" t="str">
        <f>IFERROR(TRIM('Staff Daily sales'!$E758&amp;""),"")</f>
        <v/>
      </c>
      <c r="D773" t="str">
        <f>IFERROR(IF(TRIM('Staff Daily sales'!$F758&amp;"")="","Unassigned",TRIM('Staff Daily sales'!$F758&amp;"")),"Unassigned")</f>
        <v>Unassigned</v>
      </c>
      <c r="E773">
        <f t="shared" si="202"/>
        <v>0</v>
      </c>
      <c r="F773">
        <f>IF($E773=0,0,SUMPRODUCT($AI$5:$DF$5,'Staff Daily sales'!$G758:$CD758))</f>
        <v>0</v>
      </c>
      <c r="G773">
        <f>IF($E773=0,0,SUMPRODUCT($AI$6:$DF$6,'Staff Daily sales'!$G758:$CD758))</f>
        <v>0</v>
      </c>
      <c r="H773">
        <f t="shared" si="203"/>
        <v>0</v>
      </c>
      <c r="I773">
        <f t="shared" si="204"/>
        <v>0</v>
      </c>
      <c r="J773">
        <f t="shared" si="205"/>
        <v>0</v>
      </c>
      <c r="K773">
        <f t="shared" si="206"/>
        <v>0</v>
      </c>
      <c r="L773">
        <f>--AND($E773=1,OR('Staff Dashboard'!$B$6="All",$DH773='Staff Dashboard'!$B$6),OR('Staff Dashboard'!$B$7="All",$D773='Staff Dashboard'!$B$7),OR('Staff Dashboard'!$B$8="All",$A773='Staff Dashboard'!$B$8))</f>
        <v>0</v>
      </c>
      <c r="M773">
        <f>IF($E773=0,0,SUMPRODUCT($AI$7:$DF$7,'Staff Daily sales'!$G758:$CD758))</f>
        <v>0</v>
      </c>
      <c r="N773">
        <f>IF($E773=0,0,SUMPRODUCT($AI$8:$DF$8,'Staff Daily sales'!$G758:$CD758))</f>
        <v>0</v>
      </c>
      <c r="O773">
        <f>IF($E773=0,0,SUMPRODUCT($AI$9:$DF$9,'Staff Daily sales'!$G758:$CD758))</f>
        <v>0</v>
      </c>
      <c r="P773">
        <f>IF($E773=0,0,SUMPRODUCT($AI$10:$DF$10,'Staff Daily sales'!$G758:$CD758))</f>
        <v>0</v>
      </c>
      <c r="Q773">
        <f>IF($E773=0,0,SUMPRODUCT($AI$11:$DF$11,'Staff Daily sales'!$G758:$CD758))</f>
        <v>0</v>
      </c>
      <c r="R773">
        <f>IF($E773=0,0,SUMPRODUCT($AI$12:$DF$12,'Staff Daily sales'!$G758:$CD758))</f>
        <v>0</v>
      </c>
      <c r="S773">
        <f>IF($E773=0,0,SUMPRODUCT($AI$13:$DF$13,'Staff Daily sales'!$G758:$CD758))</f>
        <v>0</v>
      </c>
      <c r="T773">
        <f>IF($E773=0,0,SUMPRODUCT($AI$14:$DF$14,'Staff Daily sales'!$G758:$CD758))</f>
        <v>0</v>
      </c>
      <c r="U773">
        <f>IF($E773=0,0,SUMPRODUCT($AI$15:$DF$15,'Staff Daily sales'!$G758:$CD758))</f>
        <v>0</v>
      </c>
      <c r="V773">
        <f>IF($E773=0,0,SUMPRODUCT($AI$16:$DF$16,'Staff Daily sales'!$G758:$CD758))</f>
        <v>0</v>
      </c>
      <c r="W773">
        <f t="shared" si="207"/>
        <v>0</v>
      </c>
      <c r="X773">
        <f t="shared" si="208"/>
        <v>0</v>
      </c>
      <c r="Y773">
        <f t="shared" si="209"/>
        <v>0</v>
      </c>
      <c r="Z773">
        <f t="shared" si="210"/>
        <v>0</v>
      </c>
      <c r="AA773">
        <f t="shared" si="211"/>
        <v>0</v>
      </c>
      <c r="AB773">
        <f>--AND($E773=1,OR('Staff Weekly Trend'!$B$3="All",$DH773='Staff Weekly Trend'!$B$3),OR('Staff Weekly Trend'!$B$4="All",$D773='Staff Weekly Trend'!$B$4),OR('Staff Weekly Trend'!$B$5="All",$A773='Staff Weekly Trend'!$B$5))</f>
        <v>0</v>
      </c>
      <c r="AC773" t="str">
        <f t="shared" si="212"/>
        <v/>
      </c>
      <c r="AI773">
        <f t="shared" si="213"/>
        <v>0</v>
      </c>
      <c r="AJ773">
        <f t="shared" si="214"/>
        <v>0</v>
      </c>
      <c r="AK773">
        <f t="shared" si="215"/>
        <v>0</v>
      </c>
      <c r="AL773">
        <f t="shared" si="216"/>
        <v>0</v>
      </c>
      <c r="AM773">
        <f t="shared" si="217"/>
        <v>0</v>
      </c>
      <c r="DH773" t="str" cm="1">
        <f t="array" ref="DH773">IF($A773="","",_xlfn.LET(_xlpm.c,IFERROR(_xlfn.XLOOKUP($A773,TRIM('Sales and count'!$A$4:$A$300&amp;""),TRIM('Sales and count'!$B$4:$B$300&amp;"")),""),IF(OR(_xlpm.c="",_xlpm.c="0",LEFT(_xlpm.c,1)="#"),"Not set",_xlpm.c)))</f>
        <v/>
      </c>
    </row>
    <row r="774" spans="1:112" x14ac:dyDescent="0.25">
      <c r="A774" t="str">
        <f>IF('Staff Daily sales'!$B759="","",TRIM('Staff Daily sales'!$B759&amp;""))</f>
        <v/>
      </c>
      <c r="B774" t="str">
        <f>IF('Staff Daily sales'!$D759="","",TRIM('Staff Daily sales'!$D759&amp;""))</f>
        <v/>
      </c>
      <c r="C774" t="str">
        <f>IFERROR(TRIM('Staff Daily sales'!$E759&amp;""),"")</f>
        <v/>
      </c>
      <c r="D774" t="str">
        <f>IFERROR(IF(TRIM('Staff Daily sales'!$F759&amp;"")="","Unassigned",TRIM('Staff Daily sales'!$F759&amp;"")),"Unassigned")</f>
        <v>Unassigned</v>
      </c>
      <c r="E774">
        <f t="shared" si="202"/>
        <v>0</v>
      </c>
      <c r="F774">
        <f>IF($E774=0,0,SUMPRODUCT($AI$5:$DF$5,'Staff Daily sales'!$G759:$CD759))</f>
        <v>0</v>
      </c>
      <c r="G774">
        <f>IF($E774=0,0,SUMPRODUCT($AI$6:$DF$6,'Staff Daily sales'!$G759:$CD759))</f>
        <v>0</v>
      </c>
      <c r="H774">
        <f t="shared" si="203"/>
        <v>0</v>
      </c>
      <c r="I774">
        <f t="shared" si="204"/>
        <v>0</v>
      </c>
      <c r="J774">
        <f t="shared" si="205"/>
        <v>0</v>
      </c>
      <c r="K774">
        <f t="shared" si="206"/>
        <v>0</v>
      </c>
      <c r="L774">
        <f>--AND($E774=1,OR('Staff Dashboard'!$B$6="All",$DH774='Staff Dashboard'!$B$6),OR('Staff Dashboard'!$B$7="All",$D774='Staff Dashboard'!$B$7),OR('Staff Dashboard'!$B$8="All",$A774='Staff Dashboard'!$B$8))</f>
        <v>0</v>
      </c>
      <c r="M774">
        <f>IF($E774=0,0,SUMPRODUCT($AI$7:$DF$7,'Staff Daily sales'!$G759:$CD759))</f>
        <v>0</v>
      </c>
      <c r="N774">
        <f>IF($E774=0,0,SUMPRODUCT($AI$8:$DF$8,'Staff Daily sales'!$G759:$CD759))</f>
        <v>0</v>
      </c>
      <c r="O774">
        <f>IF($E774=0,0,SUMPRODUCT($AI$9:$DF$9,'Staff Daily sales'!$G759:$CD759))</f>
        <v>0</v>
      </c>
      <c r="P774">
        <f>IF($E774=0,0,SUMPRODUCT($AI$10:$DF$10,'Staff Daily sales'!$G759:$CD759))</f>
        <v>0</v>
      </c>
      <c r="Q774">
        <f>IF($E774=0,0,SUMPRODUCT($AI$11:$DF$11,'Staff Daily sales'!$G759:$CD759))</f>
        <v>0</v>
      </c>
      <c r="R774">
        <f>IF($E774=0,0,SUMPRODUCT($AI$12:$DF$12,'Staff Daily sales'!$G759:$CD759))</f>
        <v>0</v>
      </c>
      <c r="S774">
        <f>IF($E774=0,0,SUMPRODUCT($AI$13:$DF$13,'Staff Daily sales'!$G759:$CD759))</f>
        <v>0</v>
      </c>
      <c r="T774">
        <f>IF($E774=0,0,SUMPRODUCT($AI$14:$DF$14,'Staff Daily sales'!$G759:$CD759))</f>
        <v>0</v>
      </c>
      <c r="U774">
        <f>IF($E774=0,0,SUMPRODUCT($AI$15:$DF$15,'Staff Daily sales'!$G759:$CD759))</f>
        <v>0</v>
      </c>
      <c r="V774">
        <f>IF($E774=0,0,SUMPRODUCT($AI$16:$DF$16,'Staff Daily sales'!$G759:$CD759))</f>
        <v>0</v>
      </c>
      <c r="W774">
        <f t="shared" si="207"/>
        <v>0</v>
      </c>
      <c r="X774">
        <f t="shared" si="208"/>
        <v>0</v>
      </c>
      <c r="Y774">
        <f t="shared" si="209"/>
        <v>0</v>
      </c>
      <c r="Z774">
        <f t="shared" si="210"/>
        <v>0</v>
      </c>
      <c r="AA774">
        <f t="shared" si="211"/>
        <v>0</v>
      </c>
      <c r="AB774">
        <f>--AND($E774=1,OR('Staff Weekly Trend'!$B$3="All",$DH774='Staff Weekly Trend'!$B$3),OR('Staff Weekly Trend'!$B$4="All",$D774='Staff Weekly Trend'!$B$4),OR('Staff Weekly Trend'!$B$5="All",$A774='Staff Weekly Trend'!$B$5))</f>
        <v>0</v>
      </c>
      <c r="AC774" t="str">
        <f t="shared" si="212"/>
        <v/>
      </c>
      <c r="AI774">
        <f t="shared" si="213"/>
        <v>0</v>
      </c>
      <c r="AJ774">
        <f t="shared" si="214"/>
        <v>0</v>
      </c>
      <c r="AK774">
        <f t="shared" si="215"/>
        <v>0</v>
      </c>
      <c r="AL774">
        <f t="shared" si="216"/>
        <v>0</v>
      </c>
      <c r="AM774">
        <f t="shared" si="217"/>
        <v>0</v>
      </c>
      <c r="DH774" t="str" cm="1">
        <f t="array" ref="DH774">IF($A774="","",_xlfn.LET(_xlpm.c,IFERROR(_xlfn.XLOOKUP($A774,TRIM('Sales and count'!$A$4:$A$300&amp;""),TRIM('Sales and count'!$B$4:$B$300&amp;"")),""),IF(OR(_xlpm.c="",_xlpm.c="0",LEFT(_xlpm.c,1)="#"),"Not set",_xlpm.c)))</f>
        <v/>
      </c>
    </row>
    <row r="775" spans="1:112" x14ac:dyDescent="0.25">
      <c r="A775" t="str">
        <f>IF('Staff Daily sales'!$B760="","",TRIM('Staff Daily sales'!$B760&amp;""))</f>
        <v/>
      </c>
      <c r="B775" t="str">
        <f>IF('Staff Daily sales'!$D760="","",TRIM('Staff Daily sales'!$D760&amp;""))</f>
        <v/>
      </c>
      <c r="C775" t="str">
        <f>IFERROR(TRIM('Staff Daily sales'!$E760&amp;""),"")</f>
        <v/>
      </c>
      <c r="D775" t="str">
        <f>IFERROR(IF(TRIM('Staff Daily sales'!$F760&amp;"")="","Unassigned",TRIM('Staff Daily sales'!$F760&amp;"")),"Unassigned")</f>
        <v>Unassigned</v>
      </c>
      <c r="E775">
        <f t="shared" si="202"/>
        <v>0</v>
      </c>
      <c r="F775">
        <f>IF($E775=0,0,SUMPRODUCT($AI$5:$DF$5,'Staff Daily sales'!$G760:$CD760))</f>
        <v>0</v>
      </c>
      <c r="G775">
        <f>IF($E775=0,0,SUMPRODUCT($AI$6:$DF$6,'Staff Daily sales'!$G760:$CD760))</f>
        <v>0</v>
      </c>
      <c r="H775">
        <f t="shared" si="203"/>
        <v>0</v>
      </c>
      <c r="I775">
        <f t="shared" si="204"/>
        <v>0</v>
      </c>
      <c r="J775">
        <f t="shared" si="205"/>
        <v>0</v>
      </c>
      <c r="K775">
        <f t="shared" si="206"/>
        <v>0</v>
      </c>
      <c r="L775">
        <f>--AND($E775=1,OR('Staff Dashboard'!$B$6="All",$DH775='Staff Dashboard'!$B$6),OR('Staff Dashboard'!$B$7="All",$D775='Staff Dashboard'!$B$7),OR('Staff Dashboard'!$B$8="All",$A775='Staff Dashboard'!$B$8))</f>
        <v>0</v>
      </c>
      <c r="M775">
        <f>IF($E775=0,0,SUMPRODUCT($AI$7:$DF$7,'Staff Daily sales'!$G760:$CD760))</f>
        <v>0</v>
      </c>
      <c r="N775">
        <f>IF($E775=0,0,SUMPRODUCT($AI$8:$DF$8,'Staff Daily sales'!$G760:$CD760))</f>
        <v>0</v>
      </c>
      <c r="O775">
        <f>IF($E775=0,0,SUMPRODUCT($AI$9:$DF$9,'Staff Daily sales'!$G760:$CD760))</f>
        <v>0</v>
      </c>
      <c r="P775">
        <f>IF($E775=0,0,SUMPRODUCT($AI$10:$DF$10,'Staff Daily sales'!$G760:$CD760))</f>
        <v>0</v>
      </c>
      <c r="Q775">
        <f>IF($E775=0,0,SUMPRODUCT($AI$11:$DF$11,'Staff Daily sales'!$G760:$CD760))</f>
        <v>0</v>
      </c>
      <c r="R775">
        <f>IF($E775=0,0,SUMPRODUCT($AI$12:$DF$12,'Staff Daily sales'!$G760:$CD760))</f>
        <v>0</v>
      </c>
      <c r="S775">
        <f>IF($E775=0,0,SUMPRODUCT($AI$13:$DF$13,'Staff Daily sales'!$G760:$CD760))</f>
        <v>0</v>
      </c>
      <c r="T775">
        <f>IF($E775=0,0,SUMPRODUCT($AI$14:$DF$14,'Staff Daily sales'!$G760:$CD760))</f>
        <v>0</v>
      </c>
      <c r="U775">
        <f>IF($E775=0,0,SUMPRODUCT($AI$15:$DF$15,'Staff Daily sales'!$G760:$CD760))</f>
        <v>0</v>
      </c>
      <c r="V775">
        <f>IF($E775=0,0,SUMPRODUCT($AI$16:$DF$16,'Staff Daily sales'!$G760:$CD760))</f>
        <v>0</v>
      </c>
      <c r="W775">
        <f t="shared" si="207"/>
        <v>0</v>
      </c>
      <c r="X775">
        <f t="shared" si="208"/>
        <v>0</v>
      </c>
      <c r="Y775">
        <f t="shared" si="209"/>
        <v>0</v>
      </c>
      <c r="Z775">
        <f t="shared" si="210"/>
        <v>0</v>
      </c>
      <c r="AA775">
        <f t="shared" si="211"/>
        <v>0</v>
      </c>
      <c r="AB775">
        <f>--AND($E775=1,OR('Staff Weekly Trend'!$B$3="All",$DH775='Staff Weekly Trend'!$B$3),OR('Staff Weekly Trend'!$B$4="All",$D775='Staff Weekly Trend'!$B$4),OR('Staff Weekly Trend'!$B$5="All",$A775='Staff Weekly Trend'!$B$5))</f>
        <v>0</v>
      </c>
      <c r="AC775" t="str">
        <f t="shared" si="212"/>
        <v/>
      </c>
      <c r="AI775">
        <f t="shared" si="213"/>
        <v>0</v>
      </c>
      <c r="AJ775">
        <f t="shared" si="214"/>
        <v>0</v>
      </c>
      <c r="AK775">
        <f t="shared" si="215"/>
        <v>0</v>
      </c>
      <c r="AL775">
        <f t="shared" si="216"/>
        <v>0</v>
      </c>
      <c r="AM775">
        <f t="shared" si="217"/>
        <v>0</v>
      </c>
      <c r="DH775" t="str" cm="1">
        <f t="array" ref="DH775">IF($A775="","",_xlfn.LET(_xlpm.c,IFERROR(_xlfn.XLOOKUP($A775,TRIM('Sales and count'!$A$4:$A$300&amp;""),TRIM('Sales and count'!$B$4:$B$300&amp;"")),""),IF(OR(_xlpm.c="",_xlpm.c="0",LEFT(_xlpm.c,1)="#"),"Not set",_xlpm.c)))</f>
        <v/>
      </c>
    </row>
    <row r="776" spans="1:112" x14ac:dyDescent="0.25">
      <c r="A776" t="str">
        <f>IF('Staff Daily sales'!$B761="","",TRIM('Staff Daily sales'!$B761&amp;""))</f>
        <v/>
      </c>
      <c r="B776" t="str">
        <f>IF('Staff Daily sales'!$D761="","",TRIM('Staff Daily sales'!$D761&amp;""))</f>
        <v/>
      </c>
      <c r="C776" t="str">
        <f>IFERROR(TRIM('Staff Daily sales'!$E761&amp;""),"")</f>
        <v/>
      </c>
      <c r="D776" t="str">
        <f>IFERROR(IF(TRIM('Staff Daily sales'!$F761&amp;"")="","Unassigned",TRIM('Staff Daily sales'!$F761&amp;"")),"Unassigned")</f>
        <v>Unassigned</v>
      </c>
      <c r="E776">
        <f t="shared" si="202"/>
        <v>0</v>
      </c>
      <c r="F776">
        <f>IF($E776=0,0,SUMPRODUCT($AI$5:$DF$5,'Staff Daily sales'!$G761:$CD761))</f>
        <v>0</v>
      </c>
      <c r="G776">
        <f>IF($E776=0,0,SUMPRODUCT($AI$6:$DF$6,'Staff Daily sales'!$G761:$CD761))</f>
        <v>0</v>
      </c>
      <c r="H776">
        <f t="shared" si="203"/>
        <v>0</v>
      </c>
      <c r="I776">
        <f t="shared" si="204"/>
        <v>0</v>
      </c>
      <c r="J776">
        <f t="shared" si="205"/>
        <v>0</v>
      </c>
      <c r="K776">
        <f t="shared" si="206"/>
        <v>0</v>
      </c>
      <c r="L776">
        <f>--AND($E776=1,OR('Staff Dashboard'!$B$6="All",$DH776='Staff Dashboard'!$B$6),OR('Staff Dashboard'!$B$7="All",$D776='Staff Dashboard'!$B$7),OR('Staff Dashboard'!$B$8="All",$A776='Staff Dashboard'!$B$8))</f>
        <v>0</v>
      </c>
      <c r="M776">
        <f>IF($E776=0,0,SUMPRODUCT($AI$7:$DF$7,'Staff Daily sales'!$G761:$CD761))</f>
        <v>0</v>
      </c>
      <c r="N776">
        <f>IF($E776=0,0,SUMPRODUCT($AI$8:$DF$8,'Staff Daily sales'!$G761:$CD761))</f>
        <v>0</v>
      </c>
      <c r="O776">
        <f>IF($E776=0,0,SUMPRODUCT($AI$9:$DF$9,'Staff Daily sales'!$G761:$CD761))</f>
        <v>0</v>
      </c>
      <c r="P776">
        <f>IF($E776=0,0,SUMPRODUCT($AI$10:$DF$10,'Staff Daily sales'!$G761:$CD761))</f>
        <v>0</v>
      </c>
      <c r="Q776">
        <f>IF($E776=0,0,SUMPRODUCT($AI$11:$DF$11,'Staff Daily sales'!$G761:$CD761))</f>
        <v>0</v>
      </c>
      <c r="R776">
        <f>IF($E776=0,0,SUMPRODUCT($AI$12:$DF$12,'Staff Daily sales'!$G761:$CD761))</f>
        <v>0</v>
      </c>
      <c r="S776">
        <f>IF($E776=0,0,SUMPRODUCT($AI$13:$DF$13,'Staff Daily sales'!$G761:$CD761))</f>
        <v>0</v>
      </c>
      <c r="T776">
        <f>IF($E776=0,0,SUMPRODUCT($AI$14:$DF$14,'Staff Daily sales'!$G761:$CD761))</f>
        <v>0</v>
      </c>
      <c r="U776">
        <f>IF($E776=0,0,SUMPRODUCT($AI$15:$DF$15,'Staff Daily sales'!$G761:$CD761))</f>
        <v>0</v>
      </c>
      <c r="V776">
        <f>IF($E776=0,0,SUMPRODUCT($AI$16:$DF$16,'Staff Daily sales'!$G761:$CD761))</f>
        <v>0</v>
      </c>
      <c r="W776">
        <f t="shared" si="207"/>
        <v>0</v>
      </c>
      <c r="X776">
        <f t="shared" si="208"/>
        <v>0</v>
      </c>
      <c r="Y776">
        <f t="shared" si="209"/>
        <v>0</v>
      </c>
      <c r="Z776">
        <f t="shared" si="210"/>
        <v>0</v>
      </c>
      <c r="AA776">
        <f t="shared" si="211"/>
        <v>0</v>
      </c>
      <c r="AB776">
        <f>--AND($E776=1,OR('Staff Weekly Trend'!$B$3="All",$DH776='Staff Weekly Trend'!$B$3),OR('Staff Weekly Trend'!$B$4="All",$D776='Staff Weekly Trend'!$B$4),OR('Staff Weekly Trend'!$B$5="All",$A776='Staff Weekly Trend'!$B$5))</f>
        <v>0</v>
      </c>
      <c r="AC776" t="str">
        <f t="shared" si="212"/>
        <v/>
      </c>
      <c r="AI776">
        <f t="shared" si="213"/>
        <v>0</v>
      </c>
      <c r="AJ776">
        <f t="shared" si="214"/>
        <v>0</v>
      </c>
      <c r="AK776">
        <f t="shared" si="215"/>
        <v>0</v>
      </c>
      <c r="AL776">
        <f t="shared" si="216"/>
        <v>0</v>
      </c>
      <c r="AM776">
        <f t="shared" si="217"/>
        <v>0</v>
      </c>
      <c r="DH776" t="str" cm="1">
        <f t="array" ref="DH776">IF($A776="","",_xlfn.LET(_xlpm.c,IFERROR(_xlfn.XLOOKUP($A776,TRIM('Sales and count'!$A$4:$A$300&amp;""),TRIM('Sales and count'!$B$4:$B$300&amp;"")),""),IF(OR(_xlpm.c="",_xlpm.c="0",LEFT(_xlpm.c,1)="#"),"Not set",_xlpm.c)))</f>
        <v/>
      </c>
    </row>
    <row r="777" spans="1:112" x14ac:dyDescent="0.25">
      <c r="A777" t="str">
        <f>IF('Staff Daily sales'!$B762="","",TRIM('Staff Daily sales'!$B762&amp;""))</f>
        <v/>
      </c>
      <c r="B777" t="str">
        <f>IF('Staff Daily sales'!$D762="","",TRIM('Staff Daily sales'!$D762&amp;""))</f>
        <v/>
      </c>
      <c r="C777" t="str">
        <f>IFERROR(TRIM('Staff Daily sales'!$E762&amp;""),"")</f>
        <v/>
      </c>
      <c r="D777" t="str">
        <f>IFERROR(IF(TRIM('Staff Daily sales'!$F762&amp;"")="","Unassigned",TRIM('Staff Daily sales'!$F762&amp;"")),"Unassigned")</f>
        <v>Unassigned</v>
      </c>
      <c r="E777">
        <f t="shared" si="202"/>
        <v>0</v>
      </c>
      <c r="F777">
        <f>IF($E777=0,0,SUMPRODUCT($AI$5:$DF$5,'Staff Daily sales'!$G762:$CD762))</f>
        <v>0</v>
      </c>
      <c r="G777">
        <f>IF($E777=0,0,SUMPRODUCT($AI$6:$DF$6,'Staff Daily sales'!$G762:$CD762))</f>
        <v>0</v>
      </c>
      <c r="H777">
        <f t="shared" si="203"/>
        <v>0</v>
      </c>
      <c r="I777">
        <f t="shared" si="204"/>
        <v>0</v>
      </c>
      <c r="J777">
        <f t="shared" si="205"/>
        <v>0</v>
      </c>
      <c r="K777">
        <f t="shared" si="206"/>
        <v>0</v>
      </c>
      <c r="L777">
        <f>--AND($E777=1,OR('Staff Dashboard'!$B$6="All",$DH777='Staff Dashboard'!$B$6),OR('Staff Dashboard'!$B$7="All",$D777='Staff Dashboard'!$B$7),OR('Staff Dashboard'!$B$8="All",$A777='Staff Dashboard'!$B$8))</f>
        <v>0</v>
      </c>
      <c r="M777">
        <f>IF($E777=0,0,SUMPRODUCT($AI$7:$DF$7,'Staff Daily sales'!$G762:$CD762))</f>
        <v>0</v>
      </c>
      <c r="N777">
        <f>IF($E777=0,0,SUMPRODUCT($AI$8:$DF$8,'Staff Daily sales'!$G762:$CD762))</f>
        <v>0</v>
      </c>
      <c r="O777">
        <f>IF($E777=0,0,SUMPRODUCT($AI$9:$DF$9,'Staff Daily sales'!$G762:$CD762))</f>
        <v>0</v>
      </c>
      <c r="P777">
        <f>IF($E777=0,0,SUMPRODUCT($AI$10:$DF$10,'Staff Daily sales'!$G762:$CD762))</f>
        <v>0</v>
      </c>
      <c r="Q777">
        <f>IF($E777=0,0,SUMPRODUCT($AI$11:$DF$11,'Staff Daily sales'!$G762:$CD762))</f>
        <v>0</v>
      </c>
      <c r="R777">
        <f>IF($E777=0,0,SUMPRODUCT($AI$12:$DF$12,'Staff Daily sales'!$G762:$CD762))</f>
        <v>0</v>
      </c>
      <c r="S777">
        <f>IF($E777=0,0,SUMPRODUCT($AI$13:$DF$13,'Staff Daily sales'!$G762:$CD762))</f>
        <v>0</v>
      </c>
      <c r="T777">
        <f>IF($E777=0,0,SUMPRODUCT($AI$14:$DF$14,'Staff Daily sales'!$G762:$CD762))</f>
        <v>0</v>
      </c>
      <c r="U777">
        <f>IF($E777=0,0,SUMPRODUCT($AI$15:$DF$15,'Staff Daily sales'!$G762:$CD762))</f>
        <v>0</v>
      </c>
      <c r="V777">
        <f>IF($E777=0,0,SUMPRODUCT($AI$16:$DF$16,'Staff Daily sales'!$G762:$CD762))</f>
        <v>0</v>
      </c>
      <c r="W777">
        <f t="shared" si="207"/>
        <v>0</v>
      </c>
      <c r="X777">
        <f t="shared" si="208"/>
        <v>0</v>
      </c>
      <c r="Y777">
        <f t="shared" si="209"/>
        <v>0</v>
      </c>
      <c r="Z777">
        <f t="shared" si="210"/>
        <v>0</v>
      </c>
      <c r="AA777">
        <f t="shared" si="211"/>
        <v>0</v>
      </c>
      <c r="AB777">
        <f>--AND($E777=1,OR('Staff Weekly Trend'!$B$3="All",$DH777='Staff Weekly Trend'!$B$3),OR('Staff Weekly Trend'!$B$4="All",$D777='Staff Weekly Trend'!$B$4),OR('Staff Weekly Trend'!$B$5="All",$A777='Staff Weekly Trend'!$B$5))</f>
        <v>0</v>
      </c>
      <c r="AC777" t="str">
        <f t="shared" si="212"/>
        <v/>
      </c>
      <c r="AI777">
        <f t="shared" si="213"/>
        <v>0</v>
      </c>
      <c r="AJ777">
        <f t="shared" si="214"/>
        <v>0</v>
      </c>
      <c r="AK777">
        <f t="shared" si="215"/>
        <v>0</v>
      </c>
      <c r="AL777">
        <f t="shared" si="216"/>
        <v>0</v>
      </c>
      <c r="AM777">
        <f t="shared" si="217"/>
        <v>0</v>
      </c>
      <c r="DH777" t="str" cm="1">
        <f t="array" ref="DH777">IF($A777="","",_xlfn.LET(_xlpm.c,IFERROR(_xlfn.XLOOKUP($A777,TRIM('Sales and count'!$A$4:$A$300&amp;""),TRIM('Sales and count'!$B$4:$B$300&amp;"")),""),IF(OR(_xlpm.c="",_xlpm.c="0",LEFT(_xlpm.c,1)="#"),"Not set",_xlpm.c)))</f>
        <v/>
      </c>
    </row>
    <row r="778" spans="1:112" x14ac:dyDescent="0.25">
      <c r="A778" t="str">
        <f>IF('Staff Daily sales'!$B763="","",TRIM('Staff Daily sales'!$B763&amp;""))</f>
        <v/>
      </c>
      <c r="B778" t="str">
        <f>IF('Staff Daily sales'!$D763="","",TRIM('Staff Daily sales'!$D763&amp;""))</f>
        <v/>
      </c>
      <c r="C778" t="str">
        <f>IFERROR(TRIM('Staff Daily sales'!$E763&amp;""),"")</f>
        <v/>
      </c>
      <c r="D778" t="str">
        <f>IFERROR(IF(TRIM('Staff Daily sales'!$F763&amp;"")="","Unassigned",TRIM('Staff Daily sales'!$F763&amp;"")),"Unassigned")</f>
        <v>Unassigned</v>
      </c>
      <c r="E778">
        <f t="shared" si="202"/>
        <v>0</v>
      </c>
      <c r="F778">
        <f>IF($E778=0,0,SUMPRODUCT($AI$5:$DF$5,'Staff Daily sales'!$G763:$CD763))</f>
        <v>0</v>
      </c>
      <c r="G778">
        <f>IF($E778=0,0,SUMPRODUCT($AI$6:$DF$6,'Staff Daily sales'!$G763:$CD763))</f>
        <v>0</v>
      </c>
      <c r="H778">
        <f t="shared" si="203"/>
        <v>0</v>
      </c>
      <c r="I778">
        <f t="shared" si="204"/>
        <v>0</v>
      </c>
      <c r="J778">
        <f t="shared" si="205"/>
        <v>0</v>
      </c>
      <c r="K778">
        <f t="shared" si="206"/>
        <v>0</v>
      </c>
      <c r="L778">
        <f>--AND($E778=1,OR('Staff Dashboard'!$B$6="All",$DH778='Staff Dashboard'!$B$6),OR('Staff Dashboard'!$B$7="All",$D778='Staff Dashboard'!$B$7),OR('Staff Dashboard'!$B$8="All",$A778='Staff Dashboard'!$B$8))</f>
        <v>0</v>
      </c>
      <c r="M778">
        <f>IF($E778=0,0,SUMPRODUCT($AI$7:$DF$7,'Staff Daily sales'!$G763:$CD763))</f>
        <v>0</v>
      </c>
      <c r="N778">
        <f>IF($E778=0,0,SUMPRODUCT($AI$8:$DF$8,'Staff Daily sales'!$G763:$CD763))</f>
        <v>0</v>
      </c>
      <c r="O778">
        <f>IF($E778=0,0,SUMPRODUCT($AI$9:$DF$9,'Staff Daily sales'!$G763:$CD763))</f>
        <v>0</v>
      </c>
      <c r="P778">
        <f>IF($E778=0,0,SUMPRODUCT($AI$10:$DF$10,'Staff Daily sales'!$G763:$CD763))</f>
        <v>0</v>
      </c>
      <c r="Q778">
        <f>IF($E778=0,0,SUMPRODUCT($AI$11:$DF$11,'Staff Daily sales'!$G763:$CD763))</f>
        <v>0</v>
      </c>
      <c r="R778">
        <f>IF($E778=0,0,SUMPRODUCT($AI$12:$DF$12,'Staff Daily sales'!$G763:$CD763))</f>
        <v>0</v>
      </c>
      <c r="S778">
        <f>IF($E778=0,0,SUMPRODUCT($AI$13:$DF$13,'Staff Daily sales'!$G763:$CD763))</f>
        <v>0</v>
      </c>
      <c r="T778">
        <f>IF($E778=0,0,SUMPRODUCT($AI$14:$DF$14,'Staff Daily sales'!$G763:$CD763))</f>
        <v>0</v>
      </c>
      <c r="U778">
        <f>IF($E778=0,0,SUMPRODUCT($AI$15:$DF$15,'Staff Daily sales'!$G763:$CD763))</f>
        <v>0</v>
      </c>
      <c r="V778">
        <f>IF($E778=0,0,SUMPRODUCT($AI$16:$DF$16,'Staff Daily sales'!$G763:$CD763))</f>
        <v>0</v>
      </c>
      <c r="W778">
        <f t="shared" si="207"/>
        <v>0</v>
      </c>
      <c r="X778">
        <f t="shared" si="208"/>
        <v>0</v>
      </c>
      <c r="Y778">
        <f t="shared" si="209"/>
        <v>0</v>
      </c>
      <c r="Z778">
        <f t="shared" si="210"/>
        <v>0</v>
      </c>
      <c r="AA778">
        <f t="shared" si="211"/>
        <v>0</v>
      </c>
      <c r="AB778">
        <f>--AND($E778=1,OR('Staff Weekly Trend'!$B$3="All",$DH778='Staff Weekly Trend'!$B$3),OR('Staff Weekly Trend'!$B$4="All",$D778='Staff Weekly Trend'!$B$4),OR('Staff Weekly Trend'!$B$5="All",$A778='Staff Weekly Trend'!$B$5))</f>
        <v>0</v>
      </c>
      <c r="AC778" t="str">
        <f t="shared" si="212"/>
        <v/>
      </c>
      <c r="AI778">
        <f t="shared" si="213"/>
        <v>0</v>
      </c>
      <c r="AJ778">
        <f t="shared" si="214"/>
        <v>0</v>
      </c>
      <c r="AK778">
        <f t="shared" si="215"/>
        <v>0</v>
      </c>
      <c r="AL778">
        <f t="shared" si="216"/>
        <v>0</v>
      </c>
      <c r="AM778">
        <f t="shared" si="217"/>
        <v>0</v>
      </c>
      <c r="DH778" t="str" cm="1">
        <f t="array" ref="DH778">IF($A778="","",_xlfn.LET(_xlpm.c,IFERROR(_xlfn.XLOOKUP($A778,TRIM('Sales and count'!$A$4:$A$300&amp;""),TRIM('Sales and count'!$B$4:$B$300&amp;"")),""),IF(OR(_xlpm.c="",_xlpm.c="0",LEFT(_xlpm.c,1)="#"),"Not set",_xlpm.c)))</f>
        <v/>
      </c>
    </row>
    <row r="779" spans="1:112" x14ac:dyDescent="0.25">
      <c r="A779" t="str">
        <f>IF('Staff Daily sales'!$B764="","",TRIM('Staff Daily sales'!$B764&amp;""))</f>
        <v/>
      </c>
      <c r="B779" t="str">
        <f>IF('Staff Daily sales'!$D764="","",TRIM('Staff Daily sales'!$D764&amp;""))</f>
        <v/>
      </c>
      <c r="C779" t="str">
        <f>IFERROR(TRIM('Staff Daily sales'!$E764&amp;""),"")</f>
        <v/>
      </c>
      <c r="D779" t="str">
        <f>IFERROR(IF(TRIM('Staff Daily sales'!$F764&amp;"")="","Unassigned",TRIM('Staff Daily sales'!$F764&amp;"")),"Unassigned")</f>
        <v>Unassigned</v>
      </c>
      <c r="E779">
        <f t="shared" si="202"/>
        <v>0</v>
      </c>
      <c r="F779">
        <f>IF($E779=0,0,SUMPRODUCT($AI$5:$DF$5,'Staff Daily sales'!$G764:$CD764))</f>
        <v>0</v>
      </c>
      <c r="G779">
        <f>IF($E779=0,0,SUMPRODUCT($AI$6:$DF$6,'Staff Daily sales'!$G764:$CD764))</f>
        <v>0</v>
      </c>
      <c r="H779">
        <f t="shared" si="203"/>
        <v>0</v>
      </c>
      <c r="I779">
        <f t="shared" si="204"/>
        <v>0</v>
      </c>
      <c r="J779">
        <f t="shared" si="205"/>
        <v>0</v>
      </c>
      <c r="K779">
        <f t="shared" si="206"/>
        <v>0</v>
      </c>
      <c r="L779">
        <f>--AND($E779=1,OR('Staff Dashboard'!$B$6="All",$DH779='Staff Dashboard'!$B$6),OR('Staff Dashboard'!$B$7="All",$D779='Staff Dashboard'!$B$7),OR('Staff Dashboard'!$B$8="All",$A779='Staff Dashboard'!$B$8))</f>
        <v>0</v>
      </c>
      <c r="M779">
        <f>IF($E779=0,0,SUMPRODUCT($AI$7:$DF$7,'Staff Daily sales'!$G764:$CD764))</f>
        <v>0</v>
      </c>
      <c r="N779">
        <f>IF($E779=0,0,SUMPRODUCT($AI$8:$DF$8,'Staff Daily sales'!$G764:$CD764))</f>
        <v>0</v>
      </c>
      <c r="O779">
        <f>IF($E779=0,0,SUMPRODUCT($AI$9:$DF$9,'Staff Daily sales'!$G764:$CD764))</f>
        <v>0</v>
      </c>
      <c r="P779">
        <f>IF($E779=0,0,SUMPRODUCT($AI$10:$DF$10,'Staff Daily sales'!$G764:$CD764))</f>
        <v>0</v>
      </c>
      <c r="Q779">
        <f>IF($E779=0,0,SUMPRODUCT($AI$11:$DF$11,'Staff Daily sales'!$G764:$CD764))</f>
        <v>0</v>
      </c>
      <c r="R779">
        <f>IF($E779=0,0,SUMPRODUCT($AI$12:$DF$12,'Staff Daily sales'!$G764:$CD764))</f>
        <v>0</v>
      </c>
      <c r="S779">
        <f>IF($E779=0,0,SUMPRODUCT($AI$13:$DF$13,'Staff Daily sales'!$G764:$CD764))</f>
        <v>0</v>
      </c>
      <c r="T779">
        <f>IF($E779=0,0,SUMPRODUCT($AI$14:$DF$14,'Staff Daily sales'!$G764:$CD764))</f>
        <v>0</v>
      </c>
      <c r="U779">
        <f>IF($E779=0,0,SUMPRODUCT($AI$15:$DF$15,'Staff Daily sales'!$G764:$CD764))</f>
        <v>0</v>
      </c>
      <c r="V779">
        <f>IF($E779=0,0,SUMPRODUCT($AI$16:$DF$16,'Staff Daily sales'!$G764:$CD764))</f>
        <v>0</v>
      </c>
      <c r="W779">
        <f t="shared" si="207"/>
        <v>0</v>
      </c>
      <c r="X779">
        <f t="shared" si="208"/>
        <v>0</v>
      </c>
      <c r="Y779">
        <f t="shared" si="209"/>
        <v>0</v>
      </c>
      <c r="Z779">
        <f t="shared" si="210"/>
        <v>0</v>
      </c>
      <c r="AA779">
        <f t="shared" si="211"/>
        <v>0</v>
      </c>
      <c r="AB779">
        <f>--AND($E779=1,OR('Staff Weekly Trend'!$B$3="All",$DH779='Staff Weekly Trend'!$B$3),OR('Staff Weekly Trend'!$B$4="All",$D779='Staff Weekly Trend'!$B$4),OR('Staff Weekly Trend'!$B$5="All",$A779='Staff Weekly Trend'!$B$5))</f>
        <v>0</v>
      </c>
      <c r="AC779" t="str">
        <f t="shared" si="212"/>
        <v/>
      </c>
      <c r="AI779">
        <f t="shared" si="213"/>
        <v>0</v>
      </c>
      <c r="AJ779">
        <f t="shared" si="214"/>
        <v>0</v>
      </c>
      <c r="AK779">
        <f t="shared" si="215"/>
        <v>0</v>
      </c>
      <c r="AL779">
        <f t="shared" si="216"/>
        <v>0</v>
      </c>
      <c r="AM779">
        <f t="shared" si="217"/>
        <v>0</v>
      </c>
      <c r="DH779" t="str" cm="1">
        <f t="array" ref="DH779">IF($A779="","",_xlfn.LET(_xlpm.c,IFERROR(_xlfn.XLOOKUP($A779,TRIM('Sales and count'!$A$4:$A$300&amp;""),TRIM('Sales and count'!$B$4:$B$300&amp;"")),""),IF(OR(_xlpm.c="",_xlpm.c="0",LEFT(_xlpm.c,1)="#"),"Not set",_xlpm.c)))</f>
        <v/>
      </c>
    </row>
    <row r="780" spans="1:112" x14ac:dyDescent="0.25">
      <c r="A780" t="str">
        <f>IF('Staff Daily sales'!$B765="","",TRIM('Staff Daily sales'!$B765&amp;""))</f>
        <v/>
      </c>
      <c r="B780" t="str">
        <f>IF('Staff Daily sales'!$D765="","",TRIM('Staff Daily sales'!$D765&amp;""))</f>
        <v/>
      </c>
      <c r="C780" t="str">
        <f>IFERROR(TRIM('Staff Daily sales'!$E765&amp;""),"")</f>
        <v/>
      </c>
      <c r="D780" t="str">
        <f>IFERROR(IF(TRIM('Staff Daily sales'!$F765&amp;"")="","Unassigned",TRIM('Staff Daily sales'!$F765&amp;"")),"Unassigned")</f>
        <v>Unassigned</v>
      </c>
      <c r="E780">
        <f t="shared" si="202"/>
        <v>0</v>
      </c>
      <c r="F780">
        <f>IF($E780=0,0,SUMPRODUCT($AI$5:$DF$5,'Staff Daily sales'!$G765:$CD765))</f>
        <v>0</v>
      </c>
      <c r="G780">
        <f>IF($E780=0,0,SUMPRODUCT($AI$6:$DF$6,'Staff Daily sales'!$G765:$CD765))</f>
        <v>0</v>
      </c>
      <c r="H780">
        <f t="shared" si="203"/>
        <v>0</v>
      </c>
      <c r="I780">
        <f t="shared" si="204"/>
        <v>0</v>
      </c>
      <c r="J780">
        <f t="shared" si="205"/>
        <v>0</v>
      </c>
      <c r="K780">
        <f t="shared" si="206"/>
        <v>0</v>
      </c>
      <c r="L780">
        <f>--AND($E780=1,OR('Staff Dashboard'!$B$6="All",$DH780='Staff Dashboard'!$B$6),OR('Staff Dashboard'!$B$7="All",$D780='Staff Dashboard'!$B$7),OR('Staff Dashboard'!$B$8="All",$A780='Staff Dashboard'!$B$8))</f>
        <v>0</v>
      </c>
      <c r="M780">
        <f>IF($E780=0,0,SUMPRODUCT($AI$7:$DF$7,'Staff Daily sales'!$G765:$CD765))</f>
        <v>0</v>
      </c>
      <c r="N780">
        <f>IF($E780=0,0,SUMPRODUCT($AI$8:$DF$8,'Staff Daily sales'!$G765:$CD765))</f>
        <v>0</v>
      </c>
      <c r="O780">
        <f>IF($E780=0,0,SUMPRODUCT($AI$9:$DF$9,'Staff Daily sales'!$G765:$CD765))</f>
        <v>0</v>
      </c>
      <c r="P780">
        <f>IF($E780=0,0,SUMPRODUCT($AI$10:$DF$10,'Staff Daily sales'!$G765:$CD765))</f>
        <v>0</v>
      </c>
      <c r="Q780">
        <f>IF($E780=0,0,SUMPRODUCT($AI$11:$DF$11,'Staff Daily sales'!$G765:$CD765))</f>
        <v>0</v>
      </c>
      <c r="R780">
        <f>IF($E780=0,0,SUMPRODUCT($AI$12:$DF$12,'Staff Daily sales'!$G765:$CD765))</f>
        <v>0</v>
      </c>
      <c r="S780">
        <f>IF($E780=0,0,SUMPRODUCT($AI$13:$DF$13,'Staff Daily sales'!$G765:$CD765))</f>
        <v>0</v>
      </c>
      <c r="T780">
        <f>IF($E780=0,0,SUMPRODUCT($AI$14:$DF$14,'Staff Daily sales'!$G765:$CD765))</f>
        <v>0</v>
      </c>
      <c r="U780">
        <f>IF($E780=0,0,SUMPRODUCT($AI$15:$DF$15,'Staff Daily sales'!$G765:$CD765))</f>
        <v>0</v>
      </c>
      <c r="V780">
        <f>IF($E780=0,0,SUMPRODUCT($AI$16:$DF$16,'Staff Daily sales'!$G765:$CD765))</f>
        <v>0</v>
      </c>
      <c r="W780">
        <f t="shared" si="207"/>
        <v>0</v>
      </c>
      <c r="X780">
        <f t="shared" si="208"/>
        <v>0</v>
      </c>
      <c r="Y780">
        <f t="shared" si="209"/>
        <v>0</v>
      </c>
      <c r="Z780">
        <f t="shared" si="210"/>
        <v>0</v>
      </c>
      <c r="AA780">
        <f t="shared" si="211"/>
        <v>0</v>
      </c>
      <c r="AB780">
        <f>--AND($E780=1,OR('Staff Weekly Trend'!$B$3="All",$DH780='Staff Weekly Trend'!$B$3),OR('Staff Weekly Trend'!$B$4="All",$D780='Staff Weekly Trend'!$B$4),OR('Staff Weekly Trend'!$B$5="All",$A780='Staff Weekly Trend'!$B$5))</f>
        <v>0</v>
      </c>
      <c r="AC780" t="str">
        <f t="shared" si="212"/>
        <v/>
      </c>
      <c r="AI780">
        <f t="shared" si="213"/>
        <v>0</v>
      </c>
      <c r="AJ780">
        <f t="shared" si="214"/>
        <v>0</v>
      </c>
      <c r="AK780">
        <f t="shared" si="215"/>
        <v>0</v>
      </c>
      <c r="AL780">
        <f t="shared" si="216"/>
        <v>0</v>
      </c>
      <c r="AM780">
        <f t="shared" si="217"/>
        <v>0</v>
      </c>
      <c r="DH780" t="str" cm="1">
        <f t="array" ref="DH780">IF($A780="","",_xlfn.LET(_xlpm.c,IFERROR(_xlfn.XLOOKUP($A780,TRIM('Sales and count'!$A$4:$A$300&amp;""),TRIM('Sales and count'!$B$4:$B$300&amp;"")),""),IF(OR(_xlpm.c="",_xlpm.c="0",LEFT(_xlpm.c,1)="#"),"Not set",_xlpm.c)))</f>
        <v/>
      </c>
    </row>
    <row r="781" spans="1:112" x14ac:dyDescent="0.25">
      <c r="A781" t="str">
        <f>IF('Staff Daily sales'!$B766="","",TRIM('Staff Daily sales'!$B766&amp;""))</f>
        <v/>
      </c>
      <c r="B781" t="str">
        <f>IF('Staff Daily sales'!$D766="","",TRIM('Staff Daily sales'!$D766&amp;""))</f>
        <v/>
      </c>
      <c r="C781" t="str">
        <f>IFERROR(TRIM('Staff Daily sales'!$E766&amp;""),"")</f>
        <v/>
      </c>
      <c r="D781" t="str">
        <f>IFERROR(IF(TRIM('Staff Daily sales'!$F766&amp;"")="","Unassigned",TRIM('Staff Daily sales'!$F766&amp;"")),"Unassigned")</f>
        <v>Unassigned</v>
      </c>
      <c r="E781">
        <f t="shared" si="202"/>
        <v>0</v>
      </c>
      <c r="F781">
        <f>IF($E781=0,0,SUMPRODUCT($AI$5:$DF$5,'Staff Daily sales'!$G766:$CD766))</f>
        <v>0</v>
      </c>
      <c r="G781">
        <f>IF($E781=0,0,SUMPRODUCT($AI$6:$DF$6,'Staff Daily sales'!$G766:$CD766))</f>
        <v>0</v>
      </c>
      <c r="H781">
        <f t="shared" si="203"/>
        <v>0</v>
      </c>
      <c r="I781">
        <f t="shared" si="204"/>
        <v>0</v>
      </c>
      <c r="J781">
        <f t="shared" si="205"/>
        <v>0</v>
      </c>
      <c r="K781">
        <f t="shared" si="206"/>
        <v>0</v>
      </c>
      <c r="L781">
        <f>--AND($E781=1,OR('Staff Dashboard'!$B$6="All",$DH781='Staff Dashboard'!$B$6),OR('Staff Dashboard'!$B$7="All",$D781='Staff Dashboard'!$B$7),OR('Staff Dashboard'!$B$8="All",$A781='Staff Dashboard'!$B$8))</f>
        <v>0</v>
      </c>
      <c r="M781">
        <f>IF($E781=0,0,SUMPRODUCT($AI$7:$DF$7,'Staff Daily sales'!$G766:$CD766))</f>
        <v>0</v>
      </c>
      <c r="N781">
        <f>IF($E781=0,0,SUMPRODUCT($AI$8:$DF$8,'Staff Daily sales'!$G766:$CD766))</f>
        <v>0</v>
      </c>
      <c r="O781">
        <f>IF($E781=0,0,SUMPRODUCT($AI$9:$DF$9,'Staff Daily sales'!$G766:$CD766))</f>
        <v>0</v>
      </c>
      <c r="P781">
        <f>IF($E781=0,0,SUMPRODUCT($AI$10:$DF$10,'Staff Daily sales'!$G766:$CD766))</f>
        <v>0</v>
      </c>
      <c r="Q781">
        <f>IF($E781=0,0,SUMPRODUCT($AI$11:$DF$11,'Staff Daily sales'!$G766:$CD766))</f>
        <v>0</v>
      </c>
      <c r="R781">
        <f>IF($E781=0,0,SUMPRODUCT($AI$12:$DF$12,'Staff Daily sales'!$G766:$CD766))</f>
        <v>0</v>
      </c>
      <c r="S781">
        <f>IF($E781=0,0,SUMPRODUCT($AI$13:$DF$13,'Staff Daily sales'!$G766:$CD766))</f>
        <v>0</v>
      </c>
      <c r="T781">
        <f>IF($E781=0,0,SUMPRODUCT($AI$14:$DF$14,'Staff Daily sales'!$G766:$CD766))</f>
        <v>0</v>
      </c>
      <c r="U781">
        <f>IF($E781=0,0,SUMPRODUCT($AI$15:$DF$15,'Staff Daily sales'!$G766:$CD766))</f>
        <v>0</v>
      </c>
      <c r="V781">
        <f>IF($E781=0,0,SUMPRODUCT($AI$16:$DF$16,'Staff Daily sales'!$G766:$CD766))</f>
        <v>0</v>
      </c>
      <c r="W781">
        <f t="shared" si="207"/>
        <v>0</v>
      </c>
      <c r="X781">
        <f t="shared" si="208"/>
        <v>0</v>
      </c>
      <c r="Y781">
        <f t="shared" si="209"/>
        <v>0</v>
      </c>
      <c r="Z781">
        <f t="shared" si="210"/>
        <v>0</v>
      </c>
      <c r="AA781">
        <f t="shared" si="211"/>
        <v>0</v>
      </c>
      <c r="AB781">
        <f>--AND($E781=1,OR('Staff Weekly Trend'!$B$3="All",$DH781='Staff Weekly Trend'!$B$3),OR('Staff Weekly Trend'!$B$4="All",$D781='Staff Weekly Trend'!$B$4),OR('Staff Weekly Trend'!$B$5="All",$A781='Staff Weekly Trend'!$B$5))</f>
        <v>0</v>
      </c>
      <c r="AC781" t="str">
        <f t="shared" si="212"/>
        <v/>
      </c>
      <c r="AI781">
        <f t="shared" si="213"/>
        <v>0</v>
      </c>
      <c r="AJ781">
        <f t="shared" si="214"/>
        <v>0</v>
      </c>
      <c r="AK781">
        <f t="shared" si="215"/>
        <v>0</v>
      </c>
      <c r="AL781">
        <f t="shared" si="216"/>
        <v>0</v>
      </c>
      <c r="AM781">
        <f t="shared" si="217"/>
        <v>0</v>
      </c>
      <c r="DH781" t="str" cm="1">
        <f t="array" ref="DH781">IF($A781="","",_xlfn.LET(_xlpm.c,IFERROR(_xlfn.XLOOKUP($A781,TRIM('Sales and count'!$A$4:$A$300&amp;""),TRIM('Sales and count'!$B$4:$B$300&amp;"")),""),IF(OR(_xlpm.c="",_xlpm.c="0",LEFT(_xlpm.c,1)="#"),"Not set",_xlpm.c)))</f>
        <v/>
      </c>
    </row>
    <row r="782" spans="1:112" x14ac:dyDescent="0.25">
      <c r="A782" t="str">
        <f>IF('Staff Daily sales'!$B767="","",TRIM('Staff Daily sales'!$B767&amp;""))</f>
        <v/>
      </c>
      <c r="B782" t="str">
        <f>IF('Staff Daily sales'!$D767="","",TRIM('Staff Daily sales'!$D767&amp;""))</f>
        <v/>
      </c>
      <c r="C782" t="str">
        <f>IFERROR(TRIM('Staff Daily sales'!$E767&amp;""),"")</f>
        <v/>
      </c>
      <c r="D782" t="str">
        <f>IFERROR(IF(TRIM('Staff Daily sales'!$F767&amp;"")="","Unassigned",TRIM('Staff Daily sales'!$F767&amp;"")),"Unassigned")</f>
        <v>Unassigned</v>
      </c>
      <c r="E782">
        <f t="shared" si="202"/>
        <v>0</v>
      </c>
      <c r="F782">
        <f>IF($E782=0,0,SUMPRODUCT($AI$5:$DF$5,'Staff Daily sales'!$G767:$CD767))</f>
        <v>0</v>
      </c>
      <c r="G782">
        <f>IF($E782=0,0,SUMPRODUCT($AI$6:$DF$6,'Staff Daily sales'!$G767:$CD767))</f>
        <v>0</v>
      </c>
      <c r="H782">
        <f t="shared" si="203"/>
        <v>0</v>
      </c>
      <c r="I782">
        <f t="shared" si="204"/>
        <v>0</v>
      </c>
      <c r="J782">
        <f t="shared" si="205"/>
        <v>0</v>
      </c>
      <c r="K782">
        <f t="shared" si="206"/>
        <v>0</v>
      </c>
      <c r="L782">
        <f>--AND($E782=1,OR('Staff Dashboard'!$B$6="All",$DH782='Staff Dashboard'!$B$6),OR('Staff Dashboard'!$B$7="All",$D782='Staff Dashboard'!$B$7),OR('Staff Dashboard'!$B$8="All",$A782='Staff Dashboard'!$B$8))</f>
        <v>0</v>
      </c>
      <c r="M782">
        <f>IF($E782=0,0,SUMPRODUCT($AI$7:$DF$7,'Staff Daily sales'!$G767:$CD767))</f>
        <v>0</v>
      </c>
      <c r="N782">
        <f>IF($E782=0,0,SUMPRODUCT($AI$8:$DF$8,'Staff Daily sales'!$G767:$CD767))</f>
        <v>0</v>
      </c>
      <c r="O782">
        <f>IF($E782=0,0,SUMPRODUCT($AI$9:$DF$9,'Staff Daily sales'!$G767:$CD767))</f>
        <v>0</v>
      </c>
      <c r="P782">
        <f>IF($E782=0,0,SUMPRODUCT($AI$10:$DF$10,'Staff Daily sales'!$G767:$CD767))</f>
        <v>0</v>
      </c>
      <c r="Q782">
        <f>IF($E782=0,0,SUMPRODUCT($AI$11:$DF$11,'Staff Daily sales'!$G767:$CD767))</f>
        <v>0</v>
      </c>
      <c r="R782">
        <f>IF($E782=0,0,SUMPRODUCT($AI$12:$DF$12,'Staff Daily sales'!$G767:$CD767))</f>
        <v>0</v>
      </c>
      <c r="S782">
        <f>IF($E782=0,0,SUMPRODUCT($AI$13:$DF$13,'Staff Daily sales'!$G767:$CD767))</f>
        <v>0</v>
      </c>
      <c r="T782">
        <f>IF($E782=0,0,SUMPRODUCT($AI$14:$DF$14,'Staff Daily sales'!$G767:$CD767))</f>
        <v>0</v>
      </c>
      <c r="U782">
        <f>IF($E782=0,0,SUMPRODUCT($AI$15:$DF$15,'Staff Daily sales'!$G767:$CD767))</f>
        <v>0</v>
      </c>
      <c r="V782">
        <f>IF($E782=0,0,SUMPRODUCT($AI$16:$DF$16,'Staff Daily sales'!$G767:$CD767))</f>
        <v>0</v>
      </c>
      <c r="W782">
        <f t="shared" si="207"/>
        <v>0</v>
      </c>
      <c r="X782">
        <f t="shared" si="208"/>
        <v>0</v>
      </c>
      <c r="Y782">
        <f t="shared" si="209"/>
        <v>0</v>
      </c>
      <c r="Z782">
        <f t="shared" si="210"/>
        <v>0</v>
      </c>
      <c r="AA782">
        <f t="shared" si="211"/>
        <v>0</v>
      </c>
      <c r="AB782">
        <f>--AND($E782=1,OR('Staff Weekly Trend'!$B$3="All",$DH782='Staff Weekly Trend'!$B$3),OR('Staff Weekly Trend'!$B$4="All",$D782='Staff Weekly Trend'!$B$4),OR('Staff Weekly Trend'!$B$5="All",$A782='Staff Weekly Trend'!$B$5))</f>
        <v>0</v>
      </c>
      <c r="AC782" t="str">
        <f t="shared" si="212"/>
        <v/>
      </c>
      <c r="AI782">
        <f t="shared" si="213"/>
        <v>0</v>
      </c>
      <c r="AJ782">
        <f t="shared" si="214"/>
        <v>0</v>
      </c>
      <c r="AK782">
        <f t="shared" si="215"/>
        <v>0</v>
      </c>
      <c r="AL782">
        <f t="shared" si="216"/>
        <v>0</v>
      </c>
      <c r="AM782">
        <f t="shared" si="217"/>
        <v>0</v>
      </c>
      <c r="DH782" t="str" cm="1">
        <f t="array" ref="DH782">IF($A782="","",_xlfn.LET(_xlpm.c,IFERROR(_xlfn.XLOOKUP($A782,TRIM('Sales and count'!$A$4:$A$300&amp;""),TRIM('Sales and count'!$B$4:$B$300&amp;"")),""),IF(OR(_xlpm.c="",_xlpm.c="0",LEFT(_xlpm.c,1)="#"),"Not set",_xlpm.c)))</f>
        <v/>
      </c>
    </row>
    <row r="783" spans="1:112" x14ac:dyDescent="0.25">
      <c r="A783" t="str">
        <f>IF('Staff Daily sales'!$B768="","",TRIM('Staff Daily sales'!$B768&amp;""))</f>
        <v/>
      </c>
      <c r="B783" t="str">
        <f>IF('Staff Daily sales'!$D768="","",TRIM('Staff Daily sales'!$D768&amp;""))</f>
        <v/>
      </c>
      <c r="C783" t="str">
        <f>IFERROR(TRIM('Staff Daily sales'!$E768&amp;""),"")</f>
        <v/>
      </c>
      <c r="D783" t="str">
        <f>IFERROR(IF(TRIM('Staff Daily sales'!$F768&amp;"")="","Unassigned",TRIM('Staff Daily sales'!$F768&amp;"")),"Unassigned")</f>
        <v>Unassigned</v>
      </c>
      <c r="E783">
        <f t="shared" si="202"/>
        <v>0</v>
      </c>
      <c r="F783">
        <f>IF($E783=0,0,SUMPRODUCT($AI$5:$DF$5,'Staff Daily sales'!$G768:$CD768))</f>
        <v>0</v>
      </c>
      <c r="G783">
        <f>IF($E783=0,0,SUMPRODUCT($AI$6:$DF$6,'Staff Daily sales'!$G768:$CD768))</f>
        <v>0</v>
      </c>
      <c r="H783">
        <f t="shared" si="203"/>
        <v>0</v>
      </c>
      <c r="I783">
        <f t="shared" si="204"/>
        <v>0</v>
      </c>
      <c r="J783">
        <f t="shared" si="205"/>
        <v>0</v>
      </c>
      <c r="K783">
        <f t="shared" si="206"/>
        <v>0</v>
      </c>
      <c r="L783">
        <f>--AND($E783=1,OR('Staff Dashboard'!$B$6="All",$DH783='Staff Dashboard'!$B$6),OR('Staff Dashboard'!$B$7="All",$D783='Staff Dashboard'!$B$7),OR('Staff Dashboard'!$B$8="All",$A783='Staff Dashboard'!$B$8))</f>
        <v>0</v>
      </c>
      <c r="M783">
        <f>IF($E783=0,0,SUMPRODUCT($AI$7:$DF$7,'Staff Daily sales'!$G768:$CD768))</f>
        <v>0</v>
      </c>
      <c r="N783">
        <f>IF($E783=0,0,SUMPRODUCT($AI$8:$DF$8,'Staff Daily sales'!$G768:$CD768))</f>
        <v>0</v>
      </c>
      <c r="O783">
        <f>IF($E783=0,0,SUMPRODUCT($AI$9:$DF$9,'Staff Daily sales'!$G768:$CD768))</f>
        <v>0</v>
      </c>
      <c r="P783">
        <f>IF($E783=0,0,SUMPRODUCT($AI$10:$DF$10,'Staff Daily sales'!$G768:$CD768))</f>
        <v>0</v>
      </c>
      <c r="Q783">
        <f>IF($E783=0,0,SUMPRODUCT($AI$11:$DF$11,'Staff Daily sales'!$G768:$CD768))</f>
        <v>0</v>
      </c>
      <c r="R783">
        <f>IF($E783=0,0,SUMPRODUCT($AI$12:$DF$12,'Staff Daily sales'!$G768:$CD768))</f>
        <v>0</v>
      </c>
      <c r="S783">
        <f>IF($E783=0,0,SUMPRODUCT($AI$13:$DF$13,'Staff Daily sales'!$G768:$CD768))</f>
        <v>0</v>
      </c>
      <c r="T783">
        <f>IF($E783=0,0,SUMPRODUCT($AI$14:$DF$14,'Staff Daily sales'!$G768:$CD768))</f>
        <v>0</v>
      </c>
      <c r="U783">
        <f>IF($E783=0,0,SUMPRODUCT($AI$15:$DF$15,'Staff Daily sales'!$G768:$CD768))</f>
        <v>0</v>
      </c>
      <c r="V783">
        <f>IF($E783=0,0,SUMPRODUCT($AI$16:$DF$16,'Staff Daily sales'!$G768:$CD768))</f>
        <v>0</v>
      </c>
      <c r="W783">
        <f t="shared" si="207"/>
        <v>0</v>
      </c>
      <c r="X783">
        <f t="shared" si="208"/>
        <v>0</v>
      </c>
      <c r="Y783">
        <f t="shared" si="209"/>
        <v>0</v>
      </c>
      <c r="Z783">
        <f t="shared" si="210"/>
        <v>0</v>
      </c>
      <c r="AA783">
        <f t="shared" si="211"/>
        <v>0</v>
      </c>
      <c r="AB783">
        <f>--AND($E783=1,OR('Staff Weekly Trend'!$B$3="All",$DH783='Staff Weekly Trend'!$B$3),OR('Staff Weekly Trend'!$B$4="All",$D783='Staff Weekly Trend'!$B$4),OR('Staff Weekly Trend'!$B$5="All",$A783='Staff Weekly Trend'!$B$5))</f>
        <v>0</v>
      </c>
      <c r="AC783" t="str">
        <f t="shared" si="212"/>
        <v/>
      </c>
      <c r="AI783">
        <f t="shared" si="213"/>
        <v>0</v>
      </c>
      <c r="AJ783">
        <f t="shared" si="214"/>
        <v>0</v>
      </c>
      <c r="AK783">
        <f t="shared" si="215"/>
        <v>0</v>
      </c>
      <c r="AL783">
        <f t="shared" si="216"/>
        <v>0</v>
      </c>
      <c r="AM783">
        <f t="shared" si="217"/>
        <v>0</v>
      </c>
      <c r="DH783" t="str" cm="1">
        <f t="array" ref="DH783">IF($A783="","",_xlfn.LET(_xlpm.c,IFERROR(_xlfn.XLOOKUP($A783,TRIM('Sales and count'!$A$4:$A$300&amp;""),TRIM('Sales and count'!$B$4:$B$300&amp;"")),""),IF(OR(_xlpm.c="",_xlpm.c="0",LEFT(_xlpm.c,1)="#"),"Not set",_xlpm.c)))</f>
        <v/>
      </c>
    </row>
    <row r="784" spans="1:112" x14ac:dyDescent="0.25">
      <c r="A784" t="str">
        <f>IF('Staff Daily sales'!$B769="","",TRIM('Staff Daily sales'!$B769&amp;""))</f>
        <v/>
      </c>
      <c r="B784" t="str">
        <f>IF('Staff Daily sales'!$D769="","",TRIM('Staff Daily sales'!$D769&amp;""))</f>
        <v/>
      </c>
      <c r="C784" t="str">
        <f>IFERROR(TRIM('Staff Daily sales'!$E769&amp;""),"")</f>
        <v/>
      </c>
      <c r="D784" t="str">
        <f>IFERROR(IF(TRIM('Staff Daily sales'!$F769&amp;"")="","Unassigned",TRIM('Staff Daily sales'!$F769&amp;"")),"Unassigned")</f>
        <v>Unassigned</v>
      </c>
      <c r="E784">
        <f t="shared" si="202"/>
        <v>0</v>
      </c>
      <c r="F784">
        <f>IF($E784=0,0,SUMPRODUCT($AI$5:$DF$5,'Staff Daily sales'!$G769:$CD769))</f>
        <v>0</v>
      </c>
      <c r="G784">
        <f>IF($E784=0,0,SUMPRODUCT($AI$6:$DF$6,'Staff Daily sales'!$G769:$CD769))</f>
        <v>0</v>
      </c>
      <c r="H784">
        <f t="shared" si="203"/>
        <v>0</v>
      </c>
      <c r="I784">
        <f t="shared" si="204"/>
        <v>0</v>
      </c>
      <c r="J784">
        <f t="shared" si="205"/>
        <v>0</v>
      </c>
      <c r="K784">
        <f t="shared" si="206"/>
        <v>0</v>
      </c>
      <c r="L784">
        <f>--AND($E784=1,OR('Staff Dashboard'!$B$6="All",$DH784='Staff Dashboard'!$B$6),OR('Staff Dashboard'!$B$7="All",$D784='Staff Dashboard'!$B$7),OR('Staff Dashboard'!$B$8="All",$A784='Staff Dashboard'!$B$8))</f>
        <v>0</v>
      </c>
      <c r="M784">
        <f>IF($E784=0,0,SUMPRODUCT($AI$7:$DF$7,'Staff Daily sales'!$G769:$CD769))</f>
        <v>0</v>
      </c>
      <c r="N784">
        <f>IF($E784=0,0,SUMPRODUCT($AI$8:$DF$8,'Staff Daily sales'!$G769:$CD769))</f>
        <v>0</v>
      </c>
      <c r="O784">
        <f>IF($E784=0,0,SUMPRODUCT($AI$9:$DF$9,'Staff Daily sales'!$G769:$CD769))</f>
        <v>0</v>
      </c>
      <c r="P784">
        <f>IF($E784=0,0,SUMPRODUCT($AI$10:$DF$10,'Staff Daily sales'!$G769:$CD769))</f>
        <v>0</v>
      </c>
      <c r="Q784">
        <f>IF($E784=0,0,SUMPRODUCT($AI$11:$DF$11,'Staff Daily sales'!$G769:$CD769))</f>
        <v>0</v>
      </c>
      <c r="R784">
        <f>IF($E784=0,0,SUMPRODUCT($AI$12:$DF$12,'Staff Daily sales'!$G769:$CD769))</f>
        <v>0</v>
      </c>
      <c r="S784">
        <f>IF($E784=0,0,SUMPRODUCT($AI$13:$DF$13,'Staff Daily sales'!$G769:$CD769))</f>
        <v>0</v>
      </c>
      <c r="T784">
        <f>IF($E784=0,0,SUMPRODUCT($AI$14:$DF$14,'Staff Daily sales'!$G769:$CD769))</f>
        <v>0</v>
      </c>
      <c r="U784">
        <f>IF($E784=0,0,SUMPRODUCT($AI$15:$DF$15,'Staff Daily sales'!$G769:$CD769))</f>
        <v>0</v>
      </c>
      <c r="V784">
        <f>IF($E784=0,0,SUMPRODUCT($AI$16:$DF$16,'Staff Daily sales'!$G769:$CD769))</f>
        <v>0</v>
      </c>
      <c r="W784">
        <f t="shared" si="207"/>
        <v>0</v>
      </c>
      <c r="X784">
        <f t="shared" si="208"/>
        <v>0</v>
      </c>
      <c r="Y784">
        <f t="shared" si="209"/>
        <v>0</v>
      </c>
      <c r="Z784">
        <f t="shared" si="210"/>
        <v>0</v>
      </c>
      <c r="AA784">
        <f t="shared" si="211"/>
        <v>0</v>
      </c>
      <c r="AB784">
        <f>--AND($E784=1,OR('Staff Weekly Trend'!$B$3="All",$DH784='Staff Weekly Trend'!$B$3),OR('Staff Weekly Trend'!$B$4="All",$D784='Staff Weekly Trend'!$B$4),OR('Staff Weekly Trend'!$B$5="All",$A784='Staff Weekly Trend'!$B$5))</f>
        <v>0</v>
      </c>
      <c r="AC784" t="str">
        <f t="shared" si="212"/>
        <v/>
      </c>
      <c r="AI784">
        <f t="shared" si="213"/>
        <v>0</v>
      </c>
      <c r="AJ784">
        <f t="shared" si="214"/>
        <v>0</v>
      </c>
      <c r="AK784">
        <f t="shared" si="215"/>
        <v>0</v>
      </c>
      <c r="AL784">
        <f t="shared" si="216"/>
        <v>0</v>
      </c>
      <c r="AM784">
        <f t="shared" si="217"/>
        <v>0</v>
      </c>
      <c r="DH784" t="str" cm="1">
        <f t="array" ref="DH784">IF($A784="","",_xlfn.LET(_xlpm.c,IFERROR(_xlfn.XLOOKUP($A784,TRIM('Sales and count'!$A$4:$A$300&amp;""),TRIM('Sales and count'!$B$4:$B$300&amp;"")),""),IF(OR(_xlpm.c="",_xlpm.c="0",LEFT(_xlpm.c,1)="#"),"Not set",_xlpm.c)))</f>
        <v/>
      </c>
    </row>
    <row r="785" spans="1:112" x14ac:dyDescent="0.25">
      <c r="A785" t="str">
        <f>IF('Staff Daily sales'!$B770="","",TRIM('Staff Daily sales'!$B770&amp;""))</f>
        <v/>
      </c>
      <c r="B785" t="str">
        <f>IF('Staff Daily sales'!$D770="","",TRIM('Staff Daily sales'!$D770&amp;""))</f>
        <v/>
      </c>
      <c r="C785" t="str">
        <f>IFERROR(TRIM('Staff Daily sales'!$E770&amp;""),"")</f>
        <v/>
      </c>
      <c r="D785" t="str">
        <f>IFERROR(IF(TRIM('Staff Daily sales'!$F770&amp;"")="","Unassigned",TRIM('Staff Daily sales'!$F770&amp;"")),"Unassigned")</f>
        <v>Unassigned</v>
      </c>
      <c r="E785">
        <f t="shared" si="202"/>
        <v>0</v>
      </c>
      <c r="F785">
        <f>IF($E785=0,0,SUMPRODUCT($AI$5:$DF$5,'Staff Daily sales'!$G770:$CD770))</f>
        <v>0</v>
      </c>
      <c r="G785">
        <f>IF($E785=0,0,SUMPRODUCT($AI$6:$DF$6,'Staff Daily sales'!$G770:$CD770))</f>
        <v>0</v>
      </c>
      <c r="H785">
        <f t="shared" si="203"/>
        <v>0</v>
      </c>
      <c r="I785">
        <f t="shared" si="204"/>
        <v>0</v>
      </c>
      <c r="J785">
        <f t="shared" si="205"/>
        <v>0</v>
      </c>
      <c r="K785">
        <f t="shared" si="206"/>
        <v>0</v>
      </c>
      <c r="L785">
        <f>--AND($E785=1,OR('Staff Dashboard'!$B$6="All",$DH785='Staff Dashboard'!$B$6),OR('Staff Dashboard'!$B$7="All",$D785='Staff Dashboard'!$B$7),OR('Staff Dashboard'!$B$8="All",$A785='Staff Dashboard'!$B$8))</f>
        <v>0</v>
      </c>
      <c r="M785">
        <f>IF($E785=0,0,SUMPRODUCT($AI$7:$DF$7,'Staff Daily sales'!$G770:$CD770))</f>
        <v>0</v>
      </c>
      <c r="N785">
        <f>IF($E785=0,0,SUMPRODUCT($AI$8:$DF$8,'Staff Daily sales'!$G770:$CD770))</f>
        <v>0</v>
      </c>
      <c r="O785">
        <f>IF($E785=0,0,SUMPRODUCT($AI$9:$DF$9,'Staff Daily sales'!$G770:$CD770))</f>
        <v>0</v>
      </c>
      <c r="P785">
        <f>IF($E785=0,0,SUMPRODUCT($AI$10:$DF$10,'Staff Daily sales'!$G770:$CD770))</f>
        <v>0</v>
      </c>
      <c r="Q785">
        <f>IF($E785=0,0,SUMPRODUCT($AI$11:$DF$11,'Staff Daily sales'!$G770:$CD770))</f>
        <v>0</v>
      </c>
      <c r="R785">
        <f>IF($E785=0,0,SUMPRODUCT($AI$12:$DF$12,'Staff Daily sales'!$G770:$CD770))</f>
        <v>0</v>
      </c>
      <c r="S785">
        <f>IF($E785=0,0,SUMPRODUCT($AI$13:$DF$13,'Staff Daily sales'!$G770:$CD770))</f>
        <v>0</v>
      </c>
      <c r="T785">
        <f>IF($E785=0,0,SUMPRODUCT($AI$14:$DF$14,'Staff Daily sales'!$G770:$CD770))</f>
        <v>0</v>
      </c>
      <c r="U785">
        <f>IF($E785=0,0,SUMPRODUCT($AI$15:$DF$15,'Staff Daily sales'!$G770:$CD770))</f>
        <v>0</v>
      </c>
      <c r="V785">
        <f>IF($E785=0,0,SUMPRODUCT($AI$16:$DF$16,'Staff Daily sales'!$G770:$CD770))</f>
        <v>0</v>
      </c>
      <c r="W785">
        <f t="shared" si="207"/>
        <v>0</v>
      </c>
      <c r="X785">
        <f t="shared" si="208"/>
        <v>0</v>
      </c>
      <c r="Y785">
        <f t="shared" si="209"/>
        <v>0</v>
      </c>
      <c r="Z785">
        <f t="shared" si="210"/>
        <v>0</v>
      </c>
      <c r="AA785">
        <f t="shared" si="211"/>
        <v>0</v>
      </c>
      <c r="AB785">
        <f>--AND($E785=1,OR('Staff Weekly Trend'!$B$3="All",$DH785='Staff Weekly Trend'!$B$3),OR('Staff Weekly Trend'!$B$4="All",$D785='Staff Weekly Trend'!$B$4),OR('Staff Weekly Trend'!$B$5="All",$A785='Staff Weekly Trend'!$B$5))</f>
        <v>0</v>
      </c>
      <c r="AC785" t="str">
        <f t="shared" si="212"/>
        <v/>
      </c>
      <c r="AI785">
        <f t="shared" si="213"/>
        <v>0</v>
      </c>
      <c r="AJ785">
        <f t="shared" si="214"/>
        <v>0</v>
      </c>
      <c r="AK785">
        <f t="shared" si="215"/>
        <v>0</v>
      </c>
      <c r="AL785">
        <f t="shared" si="216"/>
        <v>0</v>
      </c>
      <c r="AM785">
        <f t="shared" si="217"/>
        <v>0</v>
      </c>
      <c r="DH785" t="str" cm="1">
        <f t="array" ref="DH785">IF($A785="","",_xlfn.LET(_xlpm.c,IFERROR(_xlfn.XLOOKUP($A785,TRIM('Sales and count'!$A$4:$A$300&amp;""),TRIM('Sales and count'!$B$4:$B$300&amp;"")),""),IF(OR(_xlpm.c="",_xlpm.c="0",LEFT(_xlpm.c,1)="#"),"Not set",_xlpm.c)))</f>
        <v/>
      </c>
    </row>
    <row r="786" spans="1:112" x14ac:dyDescent="0.25">
      <c r="A786" t="str">
        <f>IF('Staff Daily sales'!$B771="","",TRIM('Staff Daily sales'!$B771&amp;""))</f>
        <v/>
      </c>
      <c r="B786" t="str">
        <f>IF('Staff Daily sales'!$D771="","",TRIM('Staff Daily sales'!$D771&amp;""))</f>
        <v/>
      </c>
      <c r="C786" t="str">
        <f>IFERROR(TRIM('Staff Daily sales'!$E771&amp;""),"")</f>
        <v/>
      </c>
      <c r="D786" t="str">
        <f>IFERROR(IF(TRIM('Staff Daily sales'!$F771&amp;"")="","Unassigned",TRIM('Staff Daily sales'!$F771&amp;"")),"Unassigned")</f>
        <v>Unassigned</v>
      </c>
      <c r="E786">
        <f t="shared" si="202"/>
        <v>0</v>
      </c>
      <c r="F786">
        <f>IF($E786=0,0,SUMPRODUCT($AI$5:$DF$5,'Staff Daily sales'!$G771:$CD771))</f>
        <v>0</v>
      </c>
      <c r="G786">
        <f>IF($E786=0,0,SUMPRODUCT($AI$6:$DF$6,'Staff Daily sales'!$G771:$CD771))</f>
        <v>0</v>
      </c>
      <c r="H786">
        <f t="shared" si="203"/>
        <v>0</v>
      </c>
      <c r="I786">
        <f t="shared" si="204"/>
        <v>0</v>
      </c>
      <c r="J786">
        <f t="shared" si="205"/>
        <v>0</v>
      </c>
      <c r="K786">
        <f t="shared" si="206"/>
        <v>0</v>
      </c>
      <c r="L786">
        <f>--AND($E786=1,OR('Staff Dashboard'!$B$6="All",$DH786='Staff Dashboard'!$B$6),OR('Staff Dashboard'!$B$7="All",$D786='Staff Dashboard'!$B$7),OR('Staff Dashboard'!$B$8="All",$A786='Staff Dashboard'!$B$8))</f>
        <v>0</v>
      </c>
      <c r="M786">
        <f>IF($E786=0,0,SUMPRODUCT($AI$7:$DF$7,'Staff Daily sales'!$G771:$CD771))</f>
        <v>0</v>
      </c>
      <c r="N786">
        <f>IF($E786=0,0,SUMPRODUCT($AI$8:$DF$8,'Staff Daily sales'!$G771:$CD771))</f>
        <v>0</v>
      </c>
      <c r="O786">
        <f>IF($E786=0,0,SUMPRODUCT($AI$9:$DF$9,'Staff Daily sales'!$G771:$CD771))</f>
        <v>0</v>
      </c>
      <c r="P786">
        <f>IF($E786=0,0,SUMPRODUCT($AI$10:$DF$10,'Staff Daily sales'!$G771:$CD771))</f>
        <v>0</v>
      </c>
      <c r="Q786">
        <f>IF($E786=0,0,SUMPRODUCT($AI$11:$DF$11,'Staff Daily sales'!$G771:$CD771))</f>
        <v>0</v>
      </c>
      <c r="R786">
        <f>IF($E786=0,0,SUMPRODUCT($AI$12:$DF$12,'Staff Daily sales'!$G771:$CD771))</f>
        <v>0</v>
      </c>
      <c r="S786">
        <f>IF($E786=0,0,SUMPRODUCT($AI$13:$DF$13,'Staff Daily sales'!$G771:$CD771))</f>
        <v>0</v>
      </c>
      <c r="T786">
        <f>IF($E786=0,0,SUMPRODUCT($AI$14:$DF$14,'Staff Daily sales'!$G771:$CD771))</f>
        <v>0</v>
      </c>
      <c r="U786">
        <f>IF($E786=0,0,SUMPRODUCT($AI$15:$DF$15,'Staff Daily sales'!$G771:$CD771))</f>
        <v>0</v>
      </c>
      <c r="V786">
        <f>IF($E786=0,0,SUMPRODUCT($AI$16:$DF$16,'Staff Daily sales'!$G771:$CD771))</f>
        <v>0</v>
      </c>
      <c r="W786">
        <f t="shared" si="207"/>
        <v>0</v>
      </c>
      <c r="X786">
        <f t="shared" si="208"/>
        <v>0</v>
      </c>
      <c r="Y786">
        <f t="shared" si="209"/>
        <v>0</v>
      </c>
      <c r="Z786">
        <f t="shared" si="210"/>
        <v>0</v>
      </c>
      <c r="AA786">
        <f t="shared" si="211"/>
        <v>0</v>
      </c>
      <c r="AB786">
        <f>--AND($E786=1,OR('Staff Weekly Trend'!$B$3="All",$DH786='Staff Weekly Trend'!$B$3),OR('Staff Weekly Trend'!$B$4="All",$D786='Staff Weekly Trend'!$B$4),OR('Staff Weekly Trend'!$B$5="All",$A786='Staff Weekly Trend'!$B$5))</f>
        <v>0</v>
      </c>
      <c r="AC786" t="str">
        <f t="shared" si="212"/>
        <v/>
      </c>
      <c r="AI786">
        <f t="shared" si="213"/>
        <v>0</v>
      </c>
      <c r="AJ786">
        <f t="shared" si="214"/>
        <v>0</v>
      </c>
      <c r="AK786">
        <f t="shared" si="215"/>
        <v>0</v>
      </c>
      <c r="AL786">
        <f t="shared" si="216"/>
        <v>0</v>
      </c>
      <c r="AM786">
        <f t="shared" si="217"/>
        <v>0</v>
      </c>
      <c r="DH786" t="str" cm="1">
        <f t="array" ref="DH786">IF($A786="","",_xlfn.LET(_xlpm.c,IFERROR(_xlfn.XLOOKUP($A786,TRIM('Sales and count'!$A$4:$A$300&amp;""),TRIM('Sales and count'!$B$4:$B$300&amp;"")),""),IF(OR(_xlpm.c="",_xlpm.c="0",LEFT(_xlpm.c,1)="#"),"Not set",_xlpm.c)))</f>
        <v/>
      </c>
    </row>
    <row r="787" spans="1:112" x14ac:dyDescent="0.25">
      <c r="A787" t="str">
        <f>IF('Staff Daily sales'!$B772="","",TRIM('Staff Daily sales'!$B772&amp;""))</f>
        <v/>
      </c>
      <c r="B787" t="str">
        <f>IF('Staff Daily sales'!$D772="","",TRIM('Staff Daily sales'!$D772&amp;""))</f>
        <v/>
      </c>
      <c r="C787" t="str">
        <f>IFERROR(TRIM('Staff Daily sales'!$E772&amp;""),"")</f>
        <v/>
      </c>
      <c r="D787" t="str">
        <f>IFERROR(IF(TRIM('Staff Daily sales'!$F772&amp;"")="","Unassigned",TRIM('Staff Daily sales'!$F772&amp;"")),"Unassigned")</f>
        <v>Unassigned</v>
      </c>
      <c r="E787">
        <f t="shared" si="202"/>
        <v>0</v>
      </c>
      <c r="F787">
        <f>IF($E787=0,0,SUMPRODUCT($AI$5:$DF$5,'Staff Daily sales'!$G772:$CD772))</f>
        <v>0</v>
      </c>
      <c r="G787">
        <f>IF($E787=0,0,SUMPRODUCT($AI$6:$DF$6,'Staff Daily sales'!$G772:$CD772))</f>
        <v>0</v>
      </c>
      <c r="H787">
        <f t="shared" si="203"/>
        <v>0</v>
      </c>
      <c r="I787">
        <f t="shared" si="204"/>
        <v>0</v>
      </c>
      <c r="J787">
        <f t="shared" si="205"/>
        <v>0</v>
      </c>
      <c r="K787">
        <f t="shared" si="206"/>
        <v>0</v>
      </c>
      <c r="L787">
        <f>--AND($E787=1,OR('Staff Dashboard'!$B$6="All",$DH787='Staff Dashboard'!$B$6),OR('Staff Dashboard'!$B$7="All",$D787='Staff Dashboard'!$B$7),OR('Staff Dashboard'!$B$8="All",$A787='Staff Dashboard'!$B$8))</f>
        <v>0</v>
      </c>
      <c r="M787">
        <f>IF($E787=0,0,SUMPRODUCT($AI$7:$DF$7,'Staff Daily sales'!$G772:$CD772))</f>
        <v>0</v>
      </c>
      <c r="N787">
        <f>IF($E787=0,0,SUMPRODUCT($AI$8:$DF$8,'Staff Daily sales'!$G772:$CD772))</f>
        <v>0</v>
      </c>
      <c r="O787">
        <f>IF($E787=0,0,SUMPRODUCT($AI$9:$DF$9,'Staff Daily sales'!$G772:$CD772))</f>
        <v>0</v>
      </c>
      <c r="P787">
        <f>IF($E787=0,0,SUMPRODUCT($AI$10:$DF$10,'Staff Daily sales'!$G772:$CD772))</f>
        <v>0</v>
      </c>
      <c r="Q787">
        <f>IF($E787=0,0,SUMPRODUCT($AI$11:$DF$11,'Staff Daily sales'!$G772:$CD772))</f>
        <v>0</v>
      </c>
      <c r="R787">
        <f>IF($E787=0,0,SUMPRODUCT($AI$12:$DF$12,'Staff Daily sales'!$G772:$CD772))</f>
        <v>0</v>
      </c>
      <c r="S787">
        <f>IF($E787=0,0,SUMPRODUCT($AI$13:$DF$13,'Staff Daily sales'!$G772:$CD772))</f>
        <v>0</v>
      </c>
      <c r="T787">
        <f>IF($E787=0,0,SUMPRODUCT($AI$14:$DF$14,'Staff Daily sales'!$G772:$CD772))</f>
        <v>0</v>
      </c>
      <c r="U787">
        <f>IF($E787=0,0,SUMPRODUCT($AI$15:$DF$15,'Staff Daily sales'!$G772:$CD772))</f>
        <v>0</v>
      </c>
      <c r="V787">
        <f>IF($E787=0,0,SUMPRODUCT($AI$16:$DF$16,'Staff Daily sales'!$G772:$CD772))</f>
        <v>0</v>
      </c>
      <c r="W787">
        <f t="shared" si="207"/>
        <v>0</v>
      </c>
      <c r="X787">
        <f t="shared" si="208"/>
        <v>0</v>
      </c>
      <c r="Y787">
        <f t="shared" si="209"/>
        <v>0</v>
      </c>
      <c r="Z787">
        <f t="shared" si="210"/>
        <v>0</v>
      </c>
      <c r="AA787">
        <f t="shared" si="211"/>
        <v>0</v>
      </c>
      <c r="AB787">
        <f>--AND($E787=1,OR('Staff Weekly Trend'!$B$3="All",$DH787='Staff Weekly Trend'!$B$3),OR('Staff Weekly Trend'!$B$4="All",$D787='Staff Weekly Trend'!$B$4),OR('Staff Weekly Trend'!$B$5="All",$A787='Staff Weekly Trend'!$B$5))</f>
        <v>0</v>
      </c>
      <c r="AC787" t="str">
        <f t="shared" si="212"/>
        <v/>
      </c>
      <c r="AI787">
        <f t="shared" si="213"/>
        <v>0</v>
      </c>
      <c r="AJ787">
        <f t="shared" si="214"/>
        <v>0</v>
      </c>
      <c r="AK787">
        <f t="shared" si="215"/>
        <v>0</v>
      </c>
      <c r="AL787">
        <f t="shared" si="216"/>
        <v>0</v>
      </c>
      <c r="AM787">
        <f t="shared" si="217"/>
        <v>0</v>
      </c>
      <c r="DH787" t="str" cm="1">
        <f t="array" ref="DH787">IF($A787="","",_xlfn.LET(_xlpm.c,IFERROR(_xlfn.XLOOKUP($A787,TRIM('Sales and count'!$A$4:$A$300&amp;""),TRIM('Sales and count'!$B$4:$B$300&amp;"")),""),IF(OR(_xlpm.c="",_xlpm.c="0",LEFT(_xlpm.c,1)="#"),"Not set",_xlpm.c)))</f>
        <v/>
      </c>
    </row>
    <row r="788" spans="1:112" x14ac:dyDescent="0.25">
      <c r="A788" t="str">
        <f>IF('Staff Daily sales'!$B773="","",TRIM('Staff Daily sales'!$B773&amp;""))</f>
        <v/>
      </c>
      <c r="B788" t="str">
        <f>IF('Staff Daily sales'!$D773="","",TRIM('Staff Daily sales'!$D773&amp;""))</f>
        <v/>
      </c>
      <c r="C788" t="str">
        <f>IFERROR(TRIM('Staff Daily sales'!$E773&amp;""),"")</f>
        <v/>
      </c>
      <c r="D788" t="str">
        <f>IFERROR(IF(TRIM('Staff Daily sales'!$F773&amp;"")="","Unassigned",TRIM('Staff Daily sales'!$F773&amp;"")),"Unassigned")</f>
        <v>Unassigned</v>
      </c>
      <c r="E788">
        <f t="shared" ref="E788:E851" si="218">--AND($A788&lt;&gt;"",$B788&lt;&gt;"")</f>
        <v>0</v>
      </c>
      <c r="F788">
        <f>IF($E788=0,0,SUMPRODUCT($AI$5:$DF$5,'Staff Daily sales'!$G773:$CD773))</f>
        <v>0</v>
      </c>
      <c r="G788">
        <f>IF($E788=0,0,SUMPRODUCT($AI$6:$DF$6,'Staff Daily sales'!$G773:$CD773))</f>
        <v>0</v>
      </c>
      <c r="H788">
        <f t="shared" ref="H788:H851" si="219">IF($E788=0,0,SUMIFS($F$20:$F$1515,$A$20:$A$1515,$A788))</f>
        <v>0</v>
      </c>
      <c r="I788">
        <f t="shared" ref="I788:I851" si="220">IF($E788=0,0,SUMIFS($G$20:$G$1515,$A$20:$A$1515,$A788))</f>
        <v>0</v>
      </c>
      <c r="J788">
        <f t="shared" ref="J788:J851" si="221">IF($E788=0,0,SUMIFS($F$20:$F$1515,$D$20:$D$1515,$D788))</f>
        <v>0</v>
      </c>
      <c r="K788">
        <f t="shared" ref="K788:K851" si="222">IF($E788=0,0,SUMIFS($G$20:$G$1515,$D$20:$D$1515,$D788))</f>
        <v>0</v>
      </c>
      <c r="L788">
        <f>--AND($E788=1,OR('Staff Dashboard'!$B$6="All",$DH788='Staff Dashboard'!$B$6),OR('Staff Dashboard'!$B$7="All",$D788='Staff Dashboard'!$B$7),OR('Staff Dashboard'!$B$8="All",$A788='Staff Dashboard'!$B$8))</f>
        <v>0</v>
      </c>
      <c r="M788">
        <f>IF($E788=0,0,SUMPRODUCT($AI$7:$DF$7,'Staff Daily sales'!$G773:$CD773))</f>
        <v>0</v>
      </c>
      <c r="N788">
        <f>IF($E788=0,0,SUMPRODUCT($AI$8:$DF$8,'Staff Daily sales'!$G773:$CD773))</f>
        <v>0</v>
      </c>
      <c r="O788">
        <f>IF($E788=0,0,SUMPRODUCT($AI$9:$DF$9,'Staff Daily sales'!$G773:$CD773))</f>
        <v>0</v>
      </c>
      <c r="P788">
        <f>IF($E788=0,0,SUMPRODUCT($AI$10:$DF$10,'Staff Daily sales'!$G773:$CD773))</f>
        <v>0</v>
      </c>
      <c r="Q788">
        <f>IF($E788=0,0,SUMPRODUCT($AI$11:$DF$11,'Staff Daily sales'!$G773:$CD773))</f>
        <v>0</v>
      </c>
      <c r="R788">
        <f>IF($E788=0,0,SUMPRODUCT($AI$12:$DF$12,'Staff Daily sales'!$G773:$CD773))</f>
        <v>0</v>
      </c>
      <c r="S788">
        <f>IF($E788=0,0,SUMPRODUCT($AI$13:$DF$13,'Staff Daily sales'!$G773:$CD773))</f>
        <v>0</v>
      </c>
      <c r="T788">
        <f>IF($E788=0,0,SUMPRODUCT($AI$14:$DF$14,'Staff Daily sales'!$G773:$CD773))</f>
        <v>0</v>
      </c>
      <c r="U788">
        <f>IF($E788=0,0,SUMPRODUCT($AI$15:$DF$15,'Staff Daily sales'!$G773:$CD773))</f>
        <v>0</v>
      </c>
      <c r="V788">
        <f>IF($E788=0,0,SUMPRODUCT($AI$16:$DF$16,'Staff Daily sales'!$G773:$CD773))</f>
        <v>0</v>
      </c>
      <c r="W788">
        <f t="shared" ref="W788:W851" si="223">IF($E788=0,0,SUMIFS(M$20:M$1515,$A$20:$A$1515,$A788))</f>
        <v>0</v>
      </c>
      <c r="X788">
        <f t="shared" ref="X788:X851" si="224">IF($E788=0,0,SUMIFS(O$20:O$1515,$A$20:$A$1515,$A788))</f>
        <v>0</v>
      </c>
      <c r="Y788">
        <f t="shared" ref="Y788:Y851" si="225">IF($E788=0,0,SUMIFS(Q$20:Q$1515,$A$20:$A$1515,$A788))</f>
        <v>0</v>
      </c>
      <c r="Z788">
        <f t="shared" ref="Z788:Z851" si="226">IF($E788=0,0,SUMIFS(S$20:S$1515,$A$20:$A$1515,$A788))</f>
        <v>0</v>
      </c>
      <c r="AA788">
        <f t="shared" ref="AA788:AA851" si="227">IF($E788=0,0,SUMIFS(U$20:U$1515,$A$20:$A$1515,$A788))</f>
        <v>0</v>
      </c>
      <c r="AB788">
        <f>--AND($E788=1,OR('Staff Weekly Trend'!$B$3="All",$DH788='Staff Weekly Trend'!$B$3),OR('Staff Weekly Trend'!$B$4="All",$D788='Staff Weekly Trend'!$B$4),OR('Staff Weekly Trend'!$B$5="All",$A788='Staff Weekly Trend'!$B$5))</f>
        <v>0</v>
      </c>
      <c r="AC788" t="str">
        <f t="shared" ref="AC788:AC851" si="228">IF(OR($E788=0,AND($F788=0,$G788=0)),"",COUNTIFS($A$20:$A$1515,$A788,$E$20:$E$1515,1,$F$20:$F$1515,"&gt;"&amp;$F788)+1)</f>
        <v/>
      </c>
      <c r="AI788">
        <f t="shared" ref="AI788:AI851" si="229">IF($E788=0,0,SUMIFS(N$20:N$1515,$A$20:$A$1515,$A788))</f>
        <v>0</v>
      </c>
      <c r="AJ788">
        <f t="shared" ref="AJ788:AJ851" si="230">IF($E788=0,0,SUMIFS(P$20:P$1515,$A$20:$A$1515,$A788))</f>
        <v>0</v>
      </c>
      <c r="AK788">
        <f t="shared" ref="AK788:AK851" si="231">IF($E788=0,0,SUMIFS(R$20:R$1515,$A$20:$A$1515,$A788))</f>
        <v>0</v>
      </c>
      <c r="AL788">
        <f t="shared" ref="AL788:AL851" si="232">IF($E788=0,0,SUMIFS(T$20:T$1515,$A$20:$A$1515,$A788))</f>
        <v>0</v>
      </c>
      <c r="AM788">
        <f t="shared" ref="AM788:AM851" si="233">IF($E788=0,0,SUMIFS(V$20:V$1515,$A$20:$A$1515,$A788))</f>
        <v>0</v>
      </c>
      <c r="DH788" t="str" cm="1">
        <f t="array" ref="DH788">IF($A788="","",_xlfn.LET(_xlpm.c,IFERROR(_xlfn.XLOOKUP($A788,TRIM('Sales and count'!$A$4:$A$300&amp;""),TRIM('Sales and count'!$B$4:$B$300&amp;"")),""),IF(OR(_xlpm.c="",_xlpm.c="0",LEFT(_xlpm.c,1)="#"),"Not set",_xlpm.c)))</f>
        <v/>
      </c>
    </row>
    <row r="789" spans="1:112" x14ac:dyDescent="0.25">
      <c r="A789" t="str">
        <f>IF('Staff Daily sales'!$B774="","",TRIM('Staff Daily sales'!$B774&amp;""))</f>
        <v/>
      </c>
      <c r="B789" t="str">
        <f>IF('Staff Daily sales'!$D774="","",TRIM('Staff Daily sales'!$D774&amp;""))</f>
        <v/>
      </c>
      <c r="C789" t="str">
        <f>IFERROR(TRIM('Staff Daily sales'!$E774&amp;""),"")</f>
        <v/>
      </c>
      <c r="D789" t="str">
        <f>IFERROR(IF(TRIM('Staff Daily sales'!$F774&amp;"")="","Unassigned",TRIM('Staff Daily sales'!$F774&amp;"")),"Unassigned")</f>
        <v>Unassigned</v>
      </c>
      <c r="E789">
        <f t="shared" si="218"/>
        <v>0</v>
      </c>
      <c r="F789">
        <f>IF($E789=0,0,SUMPRODUCT($AI$5:$DF$5,'Staff Daily sales'!$G774:$CD774))</f>
        <v>0</v>
      </c>
      <c r="G789">
        <f>IF($E789=0,0,SUMPRODUCT($AI$6:$DF$6,'Staff Daily sales'!$G774:$CD774))</f>
        <v>0</v>
      </c>
      <c r="H789">
        <f t="shared" si="219"/>
        <v>0</v>
      </c>
      <c r="I789">
        <f t="shared" si="220"/>
        <v>0</v>
      </c>
      <c r="J789">
        <f t="shared" si="221"/>
        <v>0</v>
      </c>
      <c r="K789">
        <f t="shared" si="222"/>
        <v>0</v>
      </c>
      <c r="L789">
        <f>--AND($E789=1,OR('Staff Dashboard'!$B$6="All",$DH789='Staff Dashboard'!$B$6),OR('Staff Dashboard'!$B$7="All",$D789='Staff Dashboard'!$B$7),OR('Staff Dashboard'!$B$8="All",$A789='Staff Dashboard'!$B$8))</f>
        <v>0</v>
      </c>
      <c r="M789">
        <f>IF($E789=0,0,SUMPRODUCT($AI$7:$DF$7,'Staff Daily sales'!$G774:$CD774))</f>
        <v>0</v>
      </c>
      <c r="N789">
        <f>IF($E789=0,0,SUMPRODUCT($AI$8:$DF$8,'Staff Daily sales'!$G774:$CD774))</f>
        <v>0</v>
      </c>
      <c r="O789">
        <f>IF($E789=0,0,SUMPRODUCT($AI$9:$DF$9,'Staff Daily sales'!$G774:$CD774))</f>
        <v>0</v>
      </c>
      <c r="P789">
        <f>IF($E789=0,0,SUMPRODUCT($AI$10:$DF$10,'Staff Daily sales'!$G774:$CD774))</f>
        <v>0</v>
      </c>
      <c r="Q789">
        <f>IF($E789=0,0,SUMPRODUCT($AI$11:$DF$11,'Staff Daily sales'!$G774:$CD774))</f>
        <v>0</v>
      </c>
      <c r="R789">
        <f>IF($E789=0,0,SUMPRODUCT($AI$12:$DF$12,'Staff Daily sales'!$G774:$CD774))</f>
        <v>0</v>
      </c>
      <c r="S789">
        <f>IF($E789=0,0,SUMPRODUCT($AI$13:$DF$13,'Staff Daily sales'!$G774:$CD774))</f>
        <v>0</v>
      </c>
      <c r="T789">
        <f>IF($E789=0,0,SUMPRODUCT($AI$14:$DF$14,'Staff Daily sales'!$G774:$CD774))</f>
        <v>0</v>
      </c>
      <c r="U789">
        <f>IF($E789=0,0,SUMPRODUCT($AI$15:$DF$15,'Staff Daily sales'!$G774:$CD774))</f>
        <v>0</v>
      </c>
      <c r="V789">
        <f>IF($E789=0,0,SUMPRODUCT($AI$16:$DF$16,'Staff Daily sales'!$G774:$CD774))</f>
        <v>0</v>
      </c>
      <c r="W789">
        <f t="shared" si="223"/>
        <v>0</v>
      </c>
      <c r="X789">
        <f t="shared" si="224"/>
        <v>0</v>
      </c>
      <c r="Y789">
        <f t="shared" si="225"/>
        <v>0</v>
      </c>
      <c r="Z789">
        <f t="shared" si="226"/>
        <v>0</v>
      </c>
      <c r="AA789">
        <f t="shared" si="227"/>
        <v>0</v>
      </c>
      <c r="AB789">
        <f>--AND($E789=1,OR('Staff Weekly Trend'!$B$3="All",$DH789='Staff Weekly Trend'!$B$3),OR('Staff Weekly Trend'!$B$4="All",$D789='Staff Weekly Trend'!$B$4),OR('Staff Weekly Trend'!$B$5="All",$A789='Staff Weekly Trend'!$B$5))</f>
        <v>0</v>
      </c>
      <c r="AC789" t="str">
        <f t="shared" si="228"/>
        <v/>
      </c>
      <c r="AI789">
        <f t="shared" si="229"/>
        <v>0</v>
      </c>
      <c r="AJ789">
        <f t="shared" si="230"/>
        <v>0</v>
      </c>
      <c r="AK789">
        <f t="shared" si="231"/>
        <v>0</v>
      </c>
      <c r="AL789">
        <f t="shared" si="232"/>
        <v>0</v>
      </c>
      <c r="AM789">
        <f t="shared" si="233"/>
        <v>0</v>
      </c>
      <c r="DH789" t="str" cm="1">
        <f t="array" ref="DH789">IF($A789="","",_xlfn.LET(_xlpm.c,IFERROR(_xlfn.XLOOKUP($A789,TRIM('Sales and count'!$A$4:$A$300&amp;""),TRIM('Sales and count'!$B$4:$B$300&amp;"")),""),IF(OR(_xlpm.c="",_xlpm.c="0",LEFT(_xlpm.c,1)="#"),"Not set",_xlpm.c)))</f>
        <v/>
      </c>
    </row>
    <row r="790" spans="1:112" x14ac:dyDescent="0.25">
      <c r="A790" t="str">
        <f>IF('Staff Daily sales'!$B775="","",TRIM('Staff Daily sales'!$B775&amp;""))</f>
        <v/>
      </c>
      <c r="B790" t="str">
        <f>IF('Staff Daily sales'!$D775="","",TRIM('Staff Daily sales'!$D775&amp;""))</f>
        <v/>
      </c>
      <c r="C790" t="str">
        <f>IFERROR(TRIM('Staff Daily sales'!$E775&amp;""),"")</f>
        <v/>
      </c>
      <c r="D790" t="str">
        <f>IFERROR(IF(TRIM('Staff Daily sales'!$F775&amp;"")="","Unassigned",TRIM('Staff Daily sales'!$F775&amp;"")),"Unassigned")</f>
        <v>Unassigned</v>
      </c>
      <c r="E790">
        <f t="shared" si="218"/>
        <v>0</v>
      </c>
      <c r="F790">
        <f>IF($E790=0,0,SUMPRODUCT($AI$5:$DF$5,'Staff Daily sales'!$G775:$CD775))</f>
        <v>0</v>
      </c>
      <c r="G790">
        <f>IF($E790=0,0,SUMPRODUCT($AI$6:$DF$6,'Staff Daily sales'!$G775:$CD775))</f>
        <v>0</v>
      </c>
      <c r="H790">
        <f t="shared" si="219"/>
        <v>0</v>
      </c>
      <c r="I790">
        <f t="shared" si="220"/>
        <v>0</v>
      </c>
      <c r="J790">
        <f t="shared" si="221"/>
        <v>0</v>
      </c>
      <c r="K790">
        <f t="shared" si="222"/>
        <v>0</v>
      </c>
      <c r="L790">
        <f>--AND($E790=1,OR('Staff Dashboard'!$B$6="All",$DH790='Staff Dashboard'!$B$6),OR('Staff Dashboard'!$B$7="All",$D790='Staff Dashboard'!$B$7),OR('Staff Dashboard'!$B$8="All",$A790='Staff Dashboard'!$B$8))</f>
        <v>0</v>
      </c>
      <c r="M790">
        <f>IF($E790=0,0,SUMPRODUCT($AI$7:$DF$7,'Staff Daily sales'!$G775:$CD775))</f>
        <v>0</v>
      </c>
      <c r="N790">
        <f>IF($E790=0,0,SUMPRODUCT($AI$8:$DF$8,'Staff Daily sales'!$G775:$CD775))</f>
        <v>0</v>
      </c>
      <c r="O790">
        <f>IF($E790=0,0,SUMPRODUCT($AI$9:$DF$9,'Staff Daily sales'!$G775:$CD775))</f>
        <v>0</v>
      </c>
      <c r="P790">
        <f>IF($E790=0,0,SUMPRODUCT($AI$10:$DF$10,'Staff Daily sales'!$G775:$CD775))</f>
        <v>0</v>
      </c>
      <c r="Q790">
        <f>IF($E790=0,0,SUMPRODUCT($AI$11:$DF$11,'Staff Daily sales'!$G775:$CD775))</f>
        <v>0</v>
      </c>
      <c r="R790">
        <f>IF($E790=0,0,SUMPRODUCT($AI$12:$DF$12,'Staff Daily sales'!$G775:$CD775))</f>
        <v>0</v>
      </c>
      <c r="S790">
        <f>IF($E790=0,0,SUMPRODUCT($AI$13:$DF$13,'Staff Daily sales'!$G775:$CD775))</f>
        <v>0</v>
      </c>
      <c r="T790">
        <f>IF($E790=0,0,SUMPRODUCT($AI$14:$DF$14,'Staff Daily sales'!$G775:$CD775))</f>
        <v>0</v>
      </c>
      <c r="U790">
        <f>IF($E790=0,0,SUMPRODUCT($AI$15:$DF$15,'Staff Daily sales'!$G775:$CD775))</f>
        <v>0</v>
      </c>
      <c r="V790">
        <f>IF($E790=0,0,SUMPRODUCT($AI$16:$DF$16,'Staff Daily sales'!$G775:$CD775))</f>
        <v>0</v>
      </c>
      <c r="W790">
        <f t="shared" si="223"/>
        <v>0</v>
      </c>
      <c r="X790">
        <f t="shared" si="224"/>
        <v>0</v>
      </c>
      <c r="Y790">
        <f t="shared" si="225"/>
        <v>0</v>
      </c>
      <c r="Z790">
        <f t="shared" si="226"/>
        <v>0</v>
      </c>
      <c r="AA790">
        <f t="shared" si="227"/>
        <v>0</v>
      </c>
      <c r="AB790">
        <f>--AND($E790=1,OR('Staff Weekly Trend'!$B$3="All",$DH790='Staff Weekly Trend'!$B$3),OR('Staff Weekly Trend'!$B$4="All",$D790='Staff Weekly Trend'!$B$4),OR('Staff Weekly Trend'!$B$5="All",$A790='Staff Weekly Trend'!$B$5))</f>
        <v>0</v>
      </c>
      <c r="AC790" t="str">
        <f t="shared" si="228"/>
        <v/>
      </c>
      <c r="AI790">
        <f t="shared" si="229"/>
        <v>0</v>
      </c>
      <c r="AJ790">
        <f t="shared" si="230"/>
        <v>0</v>
      </c>
      <c r="AK790">
        <f t="shared" si="231"/>
        <v>0</v>
      </c>
      <c r="AL790">
        <f t="shared" si="232"/>
        <v>0</v>
      </c>
      <c r="AM790">
        <f t="shared" si="233"/>
        <v>0</v>
      </c>
      <c r="DH790" t="str" cm="1">
        <f t="array" ref="DH790">IF($A790="","",_xlfn.LET(_xlpm.c,IFERROR(_xlfn.XLOOKUP($A790,TRIM('Sales and count'!$A$4:$A$300&amp;""),TRIM('Sales and count'!$B$4:$B$300&amp;"")),""),IF(OR(_xlpm.c="",_xlpm.c="0",LEFT(_xlpm.c,1)="#"),"Not set",_xlpm.c)))</f>
        <v/>
      </c>
    </row>
    <row r="791" spans="1:112" x14ac:dyDescent="0.25">
      <c r="A791" t="str">
        <f>IF('Staff Daily sales'!$B776="","",TRIM('Staff Daily sales'!$B776&amp;""))</f>
        <v/>
      </c>
      <c r="B791" t="str">
        <f>IF('Staff Daily sales'!$D776="","",TRIM('Staff Daily sales'!$D776&amp;""))</f>
        <v/>
      </c>
      <c r="C791" t="str">
        <f>IFERROR(TRIM('Staff Daily sales'!$E776&amp;""),"")</f>
        <v/>
      </c>
      <c r="D791" t="str">
        <f>IFERROR(IF(TRIM('Staff Daily sales'!$F776&amp;"")="","Unassigned",TRIM('Staff Daily sales'!$F776&amp;"")),"Unassigned")</f>
        <v>Unassigned</v>
      </c>
      <c r="E791">
        <f t="shared" si="218"/>
        <v>0</v>
      </c>
      <c r="F791">
        <f>IF($E791=0,0,SUMPRODUCT($AI$5:$DF$5,'Staff Daily sales'!$G776:$CD776))</f>
        <v>0</v>
      </c>
      <c r="G791">
        <f>IF($E791=0,0,SUMPRODUCT($AI$6:$DF$6,'Staff Daily sales'!$G776:$CD776))</f>
        <v>0</v>
      </c>
      <c r="H791">
        <f t="shared" si="219"/>
        <v>0</v>
      </c>
      <c r="I791">
        <f t="shared" si="220"/>
        <v>0</v>
      </c>
      <c r="J791">
        <f t="shared" si="221"/>
        <v>0</v>
      </c>
      <c r="K791">
        <f t="shared" si="222"/>
        <v>0</v>
      </c>
      <c r="L791">
        <f>--AND($E791=1,OR('Staff Dashboard'!$B$6="All",$DH791='Staff Dashboard'!$B$6),OR('Staff Dashboard'!$B$7="All",$D791='Staff Dashboard'!$B$7),OR('Staff Dashboard'!$B$8="All",$A791='Staff Dashboard'!$B$8))</f>
        <v>0</v>
      </c>
      <c r="M791">
        <f>IF($E791=0,0,SUMPRODUCT($AI$7:$DF$7,'Staff Daily sales'!$G776:$CD776))</f>
        <v>0</v>
      </c>
      <c r="N791">
        <f>IF($E791=0,0,SUMPRODUCT($AI$8:$DF$8,'Staff Daily sales'!$G776:$CD776))</f>
        <v>0</v>
      </c>
      <c r="O791">
        <f>IF($E791=0,0,SUMPRODUCT($AI$9:$DF$9,'Staff Daily sales'!$G776:$CD776))</f>
        <v>0</v>
      </c>
      <c r="P791">
        <f>IF($E791=0,0,SUMPRODUCT($AI$10:$DF$10,'Staff Daily sales'!$G776:$CD776))</f>
        <v>0</v>
      </c>
      <c r="Q791">
        <f>IF($E791=0,0,SUMPRODUCT($AI$11:$DF$11,'Staff Daily sales'!$G776:$CD776))</f>
        <v>0</v>
      </c>
      <c r="R791">
        <f>IF($E791=0,0,SUMPRODUCT($AI$12:$DF$12,'Staff Daily sales'!$G776:$CD776))</f>
        <v>0</v>
      </c>
      <c r="S791">
        <f>IF($E791=0,0,SUMPRODUCT($AI$13:$DF$13,'Staff Daily sales'!$G776:$CD776))</f>
        <v>0</v>
      </c>
      <c r="T791">
        <f>IF($E791=0,0,SUMPRODUCT($AI$14:$DF$14,'Staff Daily sales'!$G776:$CD776))</f>
        <v>0</v>
      </c>
      <c r="U791">
        <f>IF($E791=0,0,SUMPRODUCT($AI$15:$DF$15,'Staff Daily sales'!$G776:$CD776))</f>
        <v>0</v>
      </c>
      <c r="V791">
        <f>IF($E791=0,0,SUMPRODUCT($AI$16:$DF$16,'Staff Daily sales'!$G776:$CD776))</f>
        <v>0</v>
      </c>
      <c r="W791">
        <f t="shared" si="223"/>
        <v>0</v>
      </c>
      <c r="X791">
        <f t="shared" si="224"/>
        <v>0</v>
      </c>
      <c r="Y791">
        <f t="shared" si="225"/>
        <v>0</v>
      </c>
      <c r="Z791">
        <f t="shared" si="226"/>
        <v>0</v>
      </c>
      <c r="AA791">
        <f t="shared" si="227"/>
        <v>0</v>
      </c>
      <c r="AB791">
        <f>--AND($E791=1,OR('Staff Weekly Trend'!$B$3="All",$DH791='Staff Weekly Trend'!$B$3),OR('Staff Weekly Trend'!$B$4="All",$D791='Staff Weekly Trend'!$B$4),OR('Staff Weekly Trend'!$B$5="All",$A791='Staff Weekly Trend'!$B$5))</f>
        <v>0</v>
      </c>
      <c r="AC791" t="str">
        <f t="shared" si="228"/>
        <v/>
      </c>
      <c r="AI791">
        <f t="shared" si="229"/>
        <v>0</v>
      </c>
      <c r="AJ791">
        <f t="shared" si="230"/>
        <v>0</v>
      </c>
      <c r="AK791">
        <f t="shared" si="231"/>
        <v>0</v>
      </c>
      <c r="AL791">
        <f t="shared" si="232"/>
        <v>0</v>
      </c>
      <c r="AM791">
        <f t="shared" si="233"/>
        <v>0</v>
      </c>
      <c r="DH791" t="str" cm="1">
        <f t="array" ref="DH791">IF($A791="","",_xlfn.LET(_xlpm.c,IFERROR(_xlfn.XLOOKUP($A791,TRIM('Sales and count'!$A$4:$A$300&amp;""),TRIM('Sales and count'!$B$4:$B$300&amp;"")),""),IF(OR(_xlpm.c="",_xlpm.c="0",LEFT(_xlpm.c,1)="#"),"Not set",_xlpm.c)))</f>
        <v/>
      </c>
    </row>
    <row r="792" spans="1:112" x14ac:dyDescent="0.25">
      <c r="A792" t="str">
        <f>IF('Staff Daily sales'!$B777="","",TRIM('Staff Daily sales'!$B777&amp;""))</f>
        <v/>
      </c>
      <c r="B792" t="str">
        <f>IF('Staff Daily sales'!$D777="","",TRIM('Staff Daily sales'!$D777&amp;""))</f>
        <v/>
      </c>
      <c r="C792" t="str">
        <f>IFERROR(TRIM('Staff Daily sales'!$E777&amp;""),"")</f>
        <v/>
      </c>
      <c r="D792" t="str">
        <f>IFERROR(IF(TRIM('Staff Daily sales'!$F777&amp;"")="","Unassigned",TRIM('Staff Daily sales'!$F777&amp;"")),"Unassigned")</f>
        <v>Unassigned</v>
      </c>
      <c r="E792">
        <f t="shared" si="218"/>
        <v>0</v>
      </c>
      <c r="F792">
        <f>IF($E792=0,0,SUMPRODUCT($AI$5:$DF$5,'Staff Daily sales'!$G777:$CD777))</f>
        <v>0</v>
      </c>
      <c r="G792">
        <f>IF($E792=0,0,SUMPRODUCT($AI$6:$DF$6,'Staff Daily sales'!$G777:$CD777))</f>
        <v>0</v>
      </c>
      <c r="H792">
        <f t="shared" si="219"/>
        <v>0</v>
      </c>
      <c r="I792">
        <f t="shared" si="220"/>
        <v>0</v>
      </c>
      <c r="J792">
        <f t="shared" si="221"/>
        <v>0</v>
      </c>
      <c r="K792">
        <f t="shared" si="222"/>
        <v>0</v>
      </c>
      <c r="L792">
        <f>--AND($E792=1,OR('Staff Dashboard'!$B$6="All",$DH792='Staff Dashboard'!$B$6),OR('Staff Dashboard'!$B$7="All",$D792='Staff Dashboard'!$B$7),OR('Staff Dashboard'!$B$8="All",$A792='Staff Dashboard'!$B$8))</f>
        <v>0</v>
      </c>
      <c r="M792">
        <f>IF($E792=0,0,SUMPRODUCT($AI$7:$DF$7,'Staff Daily sales'!$G777:$CD777))</f>
        <v>0</v>
      </c>
      <c r="N792">
        <f>IF($E792=0,0,SUMPRODUCT($AI$8:$DF$8,'Staff Daily sales'!$G777:$CD777))</f>
        <v>0</v>
      </c>
      <c r="O792">
        <f>IF($E792=0,0,SUMPRODUCT($AI$9:$DF$9,'Staff Daily sales'!$G777:$CD777))</f>
        <v>0</v>
      </c>
      <c r="P792">
        <f>IF($E792=0,0,SUMPRODUCT($AI$10:$DF$10,'Staff Daily sales'!$G777:$CD777))</f>
        <v>0</v>
      </c>
      <c r="Q792">
        <f>IF($E792=0,0,SUMPRODUCT($AI$11:$DF$11,'Staff Daily sales'!$G777:$CD777))</f>
        <v>0</v>
      </c>
      <c r="R792">
        <f>IF($E792=0,0,SUMPRODUCT($AI$12:$DF$12,'Staff Daily sales'!$G777:$CD777))</f>
        <v>0</v>
      </c>
      <c r="S792">
        <f>IF($E792=0,0,SUMPRODUCT($AI$13:$DF$13,'Staff Daily sales'!$G777:$CD777))</f>
        <v>0</v>
      </c>
      <c r="T792">
        <f>IF($E792=0,0,SUMPRODUCT($AI$14:$DF$14,'Staff Daily sales'!$G777:$CD777))</f>
        <v>0</v>
      </c>
      <c r="U792">
        <f>IF($E792=0,0,SUMPRODUCT($AI$15:$DF$15,'Staff Daily sales'!$G777:$CD777))</f>
        <v>0</v>
      </c>
      <c r="V792">
        <f>IF($E792=0,0,SUMPRODUCT($AI$16:$DF$16,'Staff Daily sales'!$G777:$CD777))</f>
        <v>0</v>
      </c>
      <c r="W792">
        <f t="shared" si="223"/>
        <v>0</v>
      </c>
      <c r="X792">
        <f t="shared" si="224"/>
        <v>0</v>
      </c>
      <c r="Y792">
        <f t="shared" si="225"/>
        <v>0</v>
      </c>
      <c r="Z792">
        <f t="shared" si="226"/>
        <v>0</v>
      </c>
      <c r="AA792">
        <f t="shared" si="227"/>
        <v>0</v>
      </c>
      <c r="AB792">
        <f>--AND($E792=1,OR('Staff Weekly Trend'!$B$3="All",$DH792='Staff Weekly Trend'!$B$3),OR('Staff Weekly Trend'!$B$4="All",$D792='Staff Weekly Trend'!$B$4),OR('Staff Weekly Trend'!$B$5="All",$A792='Staff Weekly Trend'!$B$5))</f>
        <v>0</v>
      </c>
      <c r="AC792" t="str">
        <f t="shared" si="228"/>
        <v/>
      </c>
      <c r="AI792">
        <f t="shared" si="229"/>
        <v>0</v>
      </c>
      <c r="AJ792">
        <f t="shared" si="230"/>
        <v>0</v>
      </c>
      <c r="AK792">
        <f t="shared" si="231"/>
        <v>0</v>
      </c>
      <c r="AL792">
        <f t="shared" si="232"/>
        <v>0</v>
      </c>
      <c r="AM792">
        <f t="shared" si="233"/>
        <v>0</v>
      </c>
      <c r="DH792" t="str" cm="1">
        <f t="array" ref="DH792">IF($A792="","",_xlfn.LET(_xlpm.c,IFERROR(_xlfn.XLOOKUP($A792,TRIM('Sales and count'!$A$4:$A$300&amp;""),TRIM('Sales and count'!$B$4:$B$300&amp;"")),""),IF(OR(_xlpm.c="",_xlpm.c="0",LEFT(_xlpm.c,1)="#"),"Not set",_xlpm.c)))</f>
        <v/>
      </c>
    </row>
    <row r="793" spans="1:112" x14ac:dyDescent="0.25">
      <c r="A793" t="str">
        <f>IF('Staff Daily sales'!$B778="","",TRIM('Staff Daily sales'!$B778&amp;""))</f>
        <v/>
      </c>
      <c r="B793" t="str">
        <f>IF('Staff Daily sales'!$D778="","",TRIM('Staff Daily sales'!$D778&amp;""))</f>
        <v/>
      </c>
      <c r="C793" t="str">
        <f>IFERROR(TRIM('Staff Daily sales'!$E778&amp;""),"")</f>
        <v/>
      </c>
      <c r="D793" t="str">
        <f>IFERROR(IF(TRIM('Staff Daily sales'!$F778&amp;"")="","Unassigned",TRIM('Staff Daily sales'!$F778&amp;"")),"Unassigned")</f>
        <v>Unassigned</v>
      </c>
      <c r="E793">
        <f t="shared" si="218"/>
        <v>0</v>
      </c>
      <c r="F793">
        <f>IF($E793=0,0,SUMPRODUCT($AI$5:$DF$5,'Staff Daily sales'!$G778:$CD778))</f>
        <v>0</v>
      </c>
      <c r="G793">
        <f>IF($E793=0,0,SUMPRODUCT($AI$6:$DF$6,'Staff Daily sales'!$G778:$CD778))</f>
        <v>0</v>
      </c>
      <c r="H793">
        <f t="shared" si="219"/>
        <v>0</v>
      </c>
      <c r="I793">
        <f t="shared" si="220"/>
        <v>0</v>
      </c>
      <c r="J793">
        <f t="shared" si="221"/>
        <v>0</v>
      </c>
      <c r="K793">
        <f t="shared" si="222"/>
        <v>0</v>
      </c>
      <c r="L793">
        <f>--AND($E793=1,OR('Staff Dashboard'!$B$6="All",$DH793='Staff Dashboard'!$B$6),OR('Staff Dashboard'!$B$7="All",$D793='Staff Dashboard'!$B$7),OR('Staff Dashboard'!$B$8="All",$A793='Staff Dashboard'!$B$8))</f>
        <v>0</v>
      </c>
      <c r="M793">
        <f>IF($E793=0,0,SUMPRODUCT($AI$7:$DF$7,'Staff Daily sales'!$G778:$CD778))</f>
        <v>0</v>
      </c>
      <c r="N793">
        <f>IF($E793=0,0,SUMPRODUCT($AI$8:$DF$8,'Staff Daily sales'!$G778:$CD778))</f>
        <v>0</v>
      </c>
      <c r="O793">
        <f>IF($E793=0,0,SUMPRODUCT($AI$9:$DF$9,'Staff Daily sales'!$G778:$CD778))</f>
        <v>0</v>
      </c>
      <c r="P793">
        <f>IF($E793=0,0,SUMPRODUCT($AI$10:$DF$10,'Staff Daily sales'!$G778:$CD778))</f>
        <v>0</v>
      </c>
      <c r="Q793">
        <f>IF($E793=0,0,SUMPRODUCT($AI$11:$DF$11,'Staff Daily sales'!$G778:$CD778))</f>
        <v>0</v>
      </c>
      <c r="R793">
        <f>IF($E793=0,0,SUMPRODUCT($AI$12:$DF$12,'Staff Daily sales'!$G778:$CD778))</f>
        <v>0</v>
      </c>
      <c r="S793">
        <f>IF($E793=0,0,SUMPRODUCT($AI$13:$DF$13,'Staff Daily sales'!$G778:$CD778))</f>
        <v>0</v>
      </c>
      <c r="T793">
        <f>IF($E793=0,0,SUMPRODUCT($AI$14:$DF$14,'Staff Daily sales'!$G778:$CD778))</f>
        <v>0</v>
      </c>
      <c r="U793">
        <f>IF($E793=0,0,SUMPRODUCT($AI$15:$DF$15,'Staff Daily sales'!$G778:$CD778))</f>
        <v>0</v>
      </c>
      <c r="V793">
        <f>IF($E793=0,0,SUMPRODUCT($AI$16:$DF$16,'Staff Daily sales'!$G778:$CD778))</f>
        <v>0</v>
      </c>
      <c r="W793">
        <f t="shared" si="223"/>
        <v>0</v>
      </c>
      <c r="X793">
        <f t="shared" si="224"/>
        <v>0</v>
      </c>
      <c r="Y793">
        <f t="shared" si="225"/>
        <v>0</v>
      </c>
      <c r="Z793">
        <f t="shared" si="226"/>
        <v>0</v>
      </c>
      <c r="AA793">
        <f t="shared" si="227"/>
        <v>0</v>
      </c>
      <c r="AB793">
        <f>--AND($E793=1,OR('Staff Weekly Trend'!$B$3="All",$DH793='Staff Weekly Trend'!$B$3),OR('Staff Weekly Trend'!$B$4="All",$D793='Staff Weekly Trend'!$B$4),OR('Staff Weekly Trend'!$B$5="All",$A793='Staff Weekly Trend'!$B$5))</f>
        <v>0</v>
      </c>
      <c r="AC793" t="str">
        <f t="shared" si="228"/>
        <v/>
      </c>
      <c r="AI793">
        <f t="shared" si="229"/>
        <v>0</v>
      </c>
      <c r="AJ793">
        <f t="shared" si="230"/>
        <v>0</v>
      </c>
      <c r="AK793">
        <f t="shared" si="231"/>
        <v>0</v>
      </c>
      <c r="AL793">
        <f t="shared" si="232"/>
        <v>0</v>
      </c>
      <c r="AM793">
        <f t="shared" si="233"/>
        <v>0</v>
      </c>
      <c r="DH793" t="str" cm="1">
        <f t="array" ref="DH793">IF($A793="","",_xlfn.LET(_xlpm.c,IFERROR(_xlfn.XLOOKUP($A793,TRIM('Sales and count'!$A$4:$A$300&amp;""),TRIM('Sales and count'!$B$4:$B$300&amp;"")),""),IF(OR(_xlpm.c="",_xlpm.c="0",LEFT(_xlpm.c,1)="#"),"Not set",_xlpm.c)))</f>
        <v/>
      </c>
    </row>
    <row r="794" spans="1:112" x14ac:dyDescent="0.25">
      <c r="A794" t="str">
        <f>IF('Staff Daily sales'!$B779="","",TRIM('Staff Daily sales'!$B779&amp;""))</f>
        <v/>
      </c>
      <c r="B794" t="str">
        <f>IF('Staff Daily sales'!$D779="","",TRIM('Staff Daily sales'!$D779&amp;""))</f>
        <v/>
      </c>
      <c r="C794" t="str">
        <f>IFERROR(TRIM('Staff Daily sales'!$E779&amp;""),"")</f>
        <v/>
      </c>
      <c r="D794" t="str">
        <f>IFERROR(IF(TRIM('Staff Daily sales'!$F779&amp;"")="","Unassigned",TRIM('Staff Daily sales'!$F779&amp;"")),"Unassigned")</f>
        <v>Unassigned</v>
      </c>
      <c r="E794">
        <f t="shared" si="218"/>
        <v>0</v>
      </c>
      <c r="F794">
        <f>IF($E794=0,0,SUMPRODUCT($AI$5:$DF$5,'Staff Daily sales'!$G779:$CD779))</f>
        <v>0</v>
      </c>
      <c r="G794">
        <f>IF($E794=0,0,SUMPRODUCT($AI$6:$DF$6,'Staff Daily sales'!$G779:$CD779))</f>
        <v>0</v>
      </c>
      <c r="H794">
        <f t="shared" si="219"/>
        <v>0</v>
      </c>
      <c r="I794">
        <f t="shared" si="220"/>
        <v>0</v>
      </c>
      <c r="J794">
        <f t="shared" si="221"/>
        <v>0</v>
      </c>
      <c r="K794">
        <f t="shared" si="222"/>
        <v>0</v>
      </c>
      <c r="L794">
        <f>--AND($E794=1,OR('Staff Dashboard'!$B$6="All",$DH794='Staff Dashboard'!$B$6),OR('Staff Dashboard'!$B$7="All",$D794='Staff Dashboard'!$B$7),OR('Staff Dashboard'!$B$8="All",$A794='Staff Dashboard'!$B$8))</f>
        <v>0</v>
      </c>
      <c r="M794">
        <f>IF($E794=0,0,SUMPRODUCT($AI$7:$DF$7,'Staff Daily sales'!$G779:$CD779))</f>
        <v>0</v>
      </c>
      <c r="N794">
        <f>IF($E794=0,0,SUMPRODUCT($AI$8:$DF$8,'Staff Daily sales'!$G779:$CD779))</f>
        <v>0</v>
      </c>
      <c r="O794">
        <f>IF($E794=0,0,SUMPRODUCT($AI$9:$DF$9,'Staff Daily sales'!$G779:$CD779))</f>
        <v>0</v>
      </c>
      <c r="P794">
        <f>IF($E794=0,0,SUMPRODUCT($AI$10:$DF$10,'Staff Daily sales'!$G779:$CD779))</f>
        <v>0</v>
      </c>
      <c r="Q794">
        <f>IF($E794=0,0,SUMPRODUCT($AI$11:$DF$11,'Staff Daily sales'!$G779:$CD779))</f>
        <v>0</v>
      </c>
      <c r="R794">
        <f>IF($E794=0,0,SUMPRODUCT($AI$12:$DF$12,'Staff Daily sales'!$G779:$CD779))</f>
        <v>0</v>
      </c>
      <c r="S794">
        <f>IF($E794=0,0,SUMPRODUCT($AI$13:$DF$13,'Staff Daily sales'!$G779:$CD779))</f>
        <v>0</v>
      </c>
      <c r="T794">
        <f>IF($E794=0,0,SUMPRODUCT($AI$14:$DF$14,'Staff Daily sales'!$G779:$CD779))</f>
        <v>0</v>
      </c>
      <c r="U794">
        <f>IF($E794=0,0,SUMPRODUCT($AI$15:$DF$15,'Staff Daily sales'!$G779:$CD779))</f>
        <v>0</v>
      </c>
      <c r="V794">
        <f>IF($E794=0,0,SUMPRODUCT($AI$16:$DF$16,'Staff Daily sales'!$G779:$CD779))</f>
        <v>0</v>
      </c>
      <c r="W794">
        <f t="shared" si="223"/>
        <v>0</v>
      </c>
      <c r="X794">
        <f t="shared" si="224"/>
        <v>0</v>
      </c>
      <c r="Y794">
        <f t="shared" si="225"/>
        <v>0</v>
      </c>
      <c r="Z794">
        <f t="shared" si="226"/>
        <v>0</v>
      </c>
      <c r="AA794">
        <f t="shared" si="227"/>
        <v>0</v>
      </c>
      <c r="AB794">
        <f>--AND($E794=1,OR('Staff Weekly Trend'!$B$3="All",$DH794='Staff Weekly Trend'!$B$3),OR('Staff Weekly Trend'!$B$4="All",$D794='Staff Weekly Trend'!$B$4),OR('Staff Weekly Trend'!$B$5="All",$A794='Staff Weekly Trend'!$B$5))</f>
        <v>0</v>
      </c>
      <c r="AC794" t="str">
        <f t="shared" si="228"/>
        <v/>
      </c>
      <c r="AI794">
        <f t="shared" si="229"/>
        <v>0</v>
      </c>
      <c r="AJ794">
        <f t="shared" si="230"/>
        <v>0</v>
      </c>
      <c r="AK794">
        <f t="shared" si="231"/>
        <v>0</v>
      </c>
      <c r="AL794">
        <f t="shared" si="232"/>
        <v>0</v>
      </c>
      <c r="AM794">
        <f t="shared" si="233"/>
        <v>0</v>
      </c>
      <c r="DH794" t="str" cm="1">
        <f t="array" ref="DH794">IF($A794="","",_xlfn.LET(_xlpm.c,IFERROR(_xlfn.XLOOKUP($A794,TRIM('Sales and count'!$A$4:$A$300&amp;""),TRIM('Sales and count'!$B$4:$B$300&amp;"")),""),IF(OR(_xlpm.c="",_xlpm.c="0",LEFT(_xlpm.c,1)="#"),"Not set",_xlpm.c)))</f>
        <v/>
      </c>
    </row>
    <row r="795" spans="1:112" x14ac:dyDescent="0.25">
      <c r="A795" t="str">
        <f>IF('Staff Daily sales'!$B780="","",TRIM('Staff Daily sales'!$B780&amp;""))</f>
        <v/>
      </c>
      <c r="B795" t="str">
        <f>IF('Staff Daily sales'!$D780="","",TRIM('Staff Daily sales'!$D780&amp;""))</f>
        <v/>
      </c>
      <c r="C795" t="str">
        <f>IFERROR(TRIM('Staff Daily sales'!$E780&amp;""),"")</f>
        <v/>
      </c>
      <c r="D795" t="str">
        <f>IFERROR(IF(TRIM('Staff Daily sales'!$F780&amp;"")="","Unassigned",TRIM('Staff Daily sales'!$F780&amp;"")),"Unassigned")</f>
        <v>Unassigned</v>
      </c>
      <c r="E795">
        <f t="shared" si="218"/>
        <v>0</v>
      </c>
      <c r="F795">
        <f>IF($E795=0,0,SUMPRODUCT($AI$5:$DF$5,'Staff Daily sales'!$G780:$CD780))</f>
        <v>0</v>
      </c>
      <c r="G795">
        <f>IF($E795=0,0,SUMPRODUCT($AI$6:$DF$6,'Staff Daily sales'!$G780:$CD780))</f>
        <v>0</v>
      </c>
      <c r="H795">
        <f t="shared" si="219"/>
        <v>0</v>
      </c>
      <c r="I795">
        <f t="shared" si="220"/>
        <v>0</v>
      </c>
      <c r="J795">
        <f t="shared" si="221"/>
        <v>0</v>
      </c>
      <c r="K795">
        <f t="shared" si="222"/>
        <v>0</v>
      </c>
      <c r="L795">
        <f>--AND($E795=1,OR('Staff Dashboard'!$B$6="All",$DH795='Staff Dashboard'!$B$6),OR('Staff Dashboard'!$B$7="All",$D795='Staff Dashboard'!$B$7),OR('Staff Dashboard'!$B$8="All",$A795='Staff Dashboard'!$B$8))</f>
        <v>0</v>
      </c>
      <c r="M795">
        <f>IF($E795=0,0,SUMPRODUCT($AI$7:$DF$7,'Staff Daily sales'!$G780:$CD780))</f>
        <v>0</v>
      </c>
      <c r="N795">
        <f>IF($E795=0,0,SUMPRODUCT($AI$8:$DF$8,'Staff Daily sales'!$G780:$CD780))</f>
        <v>0</v>
      </c>
      <c r="O795">
        <f>IF($E795=0,0,SUMPRODUCT($AI$9:$DF$9,'Staff Daily sales'!$G780:$CD780))</f>
        <v>0</v>
      </c>
      <c r="P795">
        <f>IF($E795=0,0,SUMPRODUCT($AI$10:$DF$10,'Staff Daily sales'!$G780:$CD780))</f>
        <v>0</v>
      </c>
      <c r="Q795">
        <f>IF($E795=0,0,SUMPRODUCT($AI$11:$DF$11,'Staff Daily sales'!$G780:$CD780))</f>
        <v>0</v>
      </c>
      <c r="R795">
        <f>IF($E795=0,0,SUMPRODUCT($AI$12:$DF$12,'Staff Daily sales'!$G780:$CD780))</f>
        <v>0</v>
      </c>
      <c r="S795">
        <f>IF($E795=0,0,SUMPRODUCT($AI$13:$DF$13,'Staff Daily sales'!$G780:$CD780))</f>
        <v>0</v>
      </c>
      <c r="T795">
        <f>IF($E795=0,0,SUMPRODUCT($AI$14:$DF$14,'Staff Daily sales'!$G780:$CD780))</f>
        <v>0</v>
      </c>
      <c r="U795">
        <f>IF($E795=0,0,SUMPRODUCT($AI$15:$DF$15,'Staff Daily sales'!$G780:$CD780))</f>
        <v>0</v>
      </c>
      <c r="V795">
        <f>IF($E795=0,0,SUMPRODUCT($AI$16:$DF$16,'Staff Daily sales'!$G780:$CD780))</f>
        <v>0</v>
      </c>
      <c r="W795">
        <f t="shared" si="223"/>
        <v>0</v>
      </c>
      <c r="X795">
        <f t="shared" si="224"/>
        <v>0</v>
      </c>
      <c r="Y795">
        <f t="shared" si="225"/>
        <v>0</v>
      </c>
      <c r="Z795">
        <f t="shared" si="226"/>
        <v>0</v>
      </c>
      <c r="AA795">
        <f t="shared" si="227"/>
        <v>0</v>
      </c>
      <c r="AB795">
        <f>--AND($E795=1,OR('Staff Weekly Trend'!$B$3="All",$DH795='Staff Weekly Trend'!$B$3),OR('Staff Weekly Trend'!$B$4="All",$D795='Staff Weekly Trend'!$B$4),OR('Staff Weekly Trend'!$B$5="All",$A795='Staff Weekly Trend'!$B$5))</f>
        <v>0</v>
      </c>
      <c r="AC795" t="str">
        <f t="shared" si="228"/>
        <v/>
      </c>
      <c r="AI795">
        <f t="shared" si="229"/>
        <v>0</v>
      </c>
      <c r="AJ795">
        <f t="shared" si="230"/>
        <v>0</v>
      </c>
      <c r="AK795">
        <f t="shared" si="231"/>
        <v>0</v>
      </c>
      <c r="AL795">
        <f t="shared" si="232"/>
        <v>0</v>
      </c>
      <c r="AM795">
        <f t="shared" si="233"/>
        <v>0</v>
      </c>
      <c r="DH795" t="str" cm="1">
        <f t="array" ref="DH795">IF($A795="","",_xlfn.LET(_xlpm.c,IFERROR(_xlfn.XLOOKUP($A795,TRIM('Sales and count'!$A$4:$A$300&amp;""),TRIM('Sales and count'!$B$4:$B$300&amp;"")),""),IF(OR(_xlpm.c="",_xlpm.c="0",LEFT(_xlpm.c,1)="#"),"Not set",_xlpm.c)))</f>
        <v/>
      </c>
    </row>
    <row r="796" spans="1:112" x14ac:dyDescent="0.25">
      <c r="A796" t="str">
        <f>IF('Staff Daily sales'!$B781="","",TRIM('Staff Daily sales'!$B781&amp;""))</f>
        <v/>
      </c>
      <c r="B796" t="str">
        <f>IF('Staff Daily sales'!$D781="","",TRIM('Staff Daily sales'!$D781&amp;""))</f>
        <v/>
      </c>
      <c r="C796" t="str">
        <f>IFERROR(TRIM('Staff Daily sales'!$E781&amp;""),"")</f>
        <v/>
      </c>
      <c r="D796" t="str">
        <f>IFERROR(IF(TRIM('Staff Daily sales'!$F781&amp;"")="","Unassigned",TRIM('Staff Daily sales'!$F781&amp;"")),"Unassigned")</f>
        <v>Unassigned</v>
      </c>
      <c r="E796">
        <f t="shared" si="218"/>
        <v>0</v>
      </c>
      <c r="F796">
        <f>IF($E796=0,0,SUMPRODUCT($AI$5:$DF$5,'Staff Daily sales'!$G781:$CD781))</f>
        <v>0</v>
      </c>
      <c r="G796">
        <f>IF($E796=0,0,SUMPRODUCT($AI$6:$DF$6,'Staff Daily sales'!$G781:$CD781))</f>
        <v>0</v>
      </c>
      <c r="H796">
        <f t="shared" si="219"/>
        <v>0</v>
      </c>
      <c r="I796">
        <f t="shared" si="220"/>
        <v>0</v>
      </c>
      <c r="J796">
        <f t="shared" si="221"/>
        <v>0</v>
      </c>
      <c r="K796">
        <f t="shared" si="222"/>
        <v>0</v>
      </c>
      <c r="L796">
        <f>--AND($E796=1,OR('Staff Dashboard'!$B$6="All",$DH796='Staff Dashboard'!$B$6),OR('Staff Dashboard'!$B$7="All",$D796='Staff Dashboard'!$B$7),OR('Staff Dashboard'!$B$8="All",$A796='Staff Dashboard'!$B$8))</f>
        <v>0</v>
      </c>
      <c r="M796">
        <f>IF($E796=0,0,SUMPRODUCT($AI$7:$DF$7,'Staff Daily sales'!$G781:$CD781))</f>
        <v>0</v>
      </c>
      <c r="N796">
        <f>IF($E796=0,0,SUMPRODUCT($AI$8:$DF$8,'Staff Daily sales'!$G781:$CD781))</f>
        <v>0</v>
      </c>
      <c r="O796">
        <f>IF($E796=0,0,SUMPRODUCT($AI$9:$DF$9,'Staff Daily sales'!$G781:$CD781))</f>
        <v>0</v>
      </c>
      <c r="P796">
        <f>IF($E796=0,0,SUMPRODUCT($AI$10:$DF$10,'Staff Daily sales'!$G781:$CD781))</f>
        <v>0</v>
      </c>
      <c r="Q796">
        <f>IF($E796=0,0,SUMPRODUCT($AI$11:$DF$11,'Staff Daily sales'!$G781:$CD781))</f>
        <v>0</v>
      </c>
      <c r="R796">
        <f>IF($E796=0,0,SUMPRODUCT($AI$12:$DF$12,'Staff Daily sales'!$G781:$CD781))</f>
        <v>0</v>
      </c>
      <c r="S796">
        <f>IF($E796=0,0,SUMPRODUCT($AI$13:$DF$13,'Staff Daily sales'!$G781:$CD781))</f>
        <v>0</v>
      </c>
      <c r="T796">
        <f>IF($E796=0,0,SUMPRODUCT($AI$14:$DF$14,'Staff Daily sales'!$G781:$CD781))</f>
        <v>0</v>
      </c>
      <c r="U796">
        <f>IF($E796=0,0,SUMPRODUCT($AI$15:$DF$15,'Staff Daily sales'!$G781:$CD781))</f>
        <v>0</v>
      </c>
      <c r="V796">
        <f>IF($E796=0,0,SUMPRODUCT($AI$16:$DF$16,'Staff Daily sales'!$G781:$CD781))</f>
        <v>0</v>
      </c>
      <c r="W796">
        <f t="shared" si="223"/>
        <v>0</v>
      </c>
      <c r="X796">
        <f t="shared" si="224"/>
        <v>0</v>
      </c>
      <c r="Y796">
        <f t="shared" si="225"/>
        <v>0</v>
      </c>
      <c r="Z796">
        <f t="shared" si="226"/>
        <v>0</v>
      </c>
      <c r="AA796">
        <f t="shared" si="227"/>
        <v>0</v>
      </c>
      <c r="AB796">
        <f>--AND($E796=1,OR('Staff Weekly Trend'!$B$3="All",$DH796='Staff Weekly Trend'!$B$3),OR('Staff Weekly Trend'!$B$4="All",$D796='Staff Weekly Trend'!$B$4),OR('Staff Weekly Trend'!$B$5="All",$A796='Staff Weekly Trend'!$B$5))</f>
        <v>0</v>
      </c>
      <c r="AC796" t="str">
        <f t="shared" si="228"/>
        <v/>
      </c>
      <c r="AI796">
        <f t="shared" si="229"/>
        <v>0</v>
      </c>
      <c r="AJ796">
        <f t="shared" si="230"/>
        <v>0</v>
      </c>
      <c r="AK796">
        <f t="shared" si="231"/>
        <v>0</v>
      </c>
      <c r="AL796">
        <f t="shared" si="232"/>
        <v>0</v>
      </c>
      <c r="AM796">
        <f t="shared" si="233"/>
        <v>0</v>
      </c>
      <c r="DH796" t="str" cm="1">
        <f t="array" ref="DH796">IF($A796="","",_xlfn.LET(_xlpm.c,IFERROR(_xlfn.XLOOKUP($A796,TRIM('Sales and count'!$A$4:$A$300&amp;""),TRIM('Sales and count'!$B$4:$B$300&amp;"")),""),IF(OR(_xlpm.c="",_xlpm.c="0",LEFT(_xlpm.c,1)="#"),"Not set",_xlpm.c)))</f>
        <v/>
      </c>
    </row>
    <row r="797" spans="1:112" x14ac:dyDescent="0.25">
      <c r="A797" t="str">
        <f>IF('Staff Daily sales'!$B782="","",TRIM('Staff Daily sales'!$B782&amp;""))</f>
        <v/>
      </c>
      <c r="B797" t="str">
        <f>IF('Staff Daily sales'!$D782="","",TRIM('Staff Daily sales'!$D782&amp;""))</f>
        <v/>
      </c>
      <c r="C797" t="str">
        <f>IFERROR(TRIM('Staff Daily sales'!$E782&amp;""),"")</f>
        <v/>
      </c>
      <c r="D797" t="str">
        <f>IFERROR(IF(TRIM('Staff Daily sales'!$F782&amp;"")="","Unassigned",TRIM('Staff Daily sales'!$F782&amp;"")),"Unassigned")</f>
        <v>Unassigned</v>
      </c>
      <c r="E797">
        <f t="shared" si="218"/>
        <v>0</v>
      </c>
      <c r="F797">
        <f>IF($E797=0,0,SUMPRODUCT($AI$5:$DF$5,'Staff Daily sales'!$G782:$CD782))</f>
        <v>0</v>
      </c>
      <c r="G797">
        <f>IF($E797=0,0,SUMPRODUCT($AI$6:$DF$6,'Staff Daily sales'!$G782:$CD782))</f>
        <v>0</v>
      </c>
      <c r="H797">
        <f t="shared" si="219"/>
        <v>0</v>
      </c>
      <c r="I797">
        <f t="shared" si="220"/>
        <v>0</v>
      </c>
      <c r="J797">
        <f t="shared" si="221"/>
        <v>0</v>
      </c>
      <c r="K797">
        <f t="shared" si="222"/>
        <v>0</v>
      </c>
      <c r="L797">
        <f>--AND($E797=1,OR('Staff Dashboard'!$B$6="All",$DH797='Staff Dashboard'!$B$6),OR('Staff Dashboard'!$B$7="All",$D797='Staff Dashboard'!$B$7),OR('Staff Dashboard'!$B$8="All",$A797='Staff Dashboard'!$B$8))</f>
        <v>0</v>
      </c>
      <c r="M797">
        <f>IF($E797=0,0,SUMPRODUCT($AI$7:$DF$7,'Staff Daily sales'!$G782:$CD782))</f>
        <v>0</v>
      </c>
      <c r="N797">
        <f>IF($E797=0,0,SUMPRODUCT($AI$8:$DF$8,'Staff Daily sales'!$G782:$CD782))</f>
        <v>0</v>
      </c>
      <c r="O797">
        <f>IF($E797=0,0,SUMPRODUCT($AI$9:$DF$9,'Staff Daily sales'!$G782:$CD782))</f>
        <v>0</v>
      </c>
      <c r="P797">
        <f>IF($E797=0,0,SUMPRODUCT($AI$10:$DF$10,'Staff Daily sales'!$G782:$CD782))</f>
        <v>0</v>
      </c>
      <c r="Q797">
        <f>IF($E797=0,0,SUMPRODUCT($AI$11:$DF$11,'Staff Daily sales'!$G782:$CD782))</f>
        <v>0</v>
      </c>
      <c r="R797">
        <f>IF($E797=0,0,SUMPRODUCT($AI$12:$DF$12,'Staff Daily sales'!$G782:$CD782))</f>
        <v>0</v>
      </c>
      <c r="S797">
        <f>IF($E797=0,0,SUMPRODUCT($AI$13:$DF$13,'Staff Daily sales'!$G782:$CD782))</f>
        <v>0</v>
      </c>
      <c r="T797">
        <f>IF($E797=0,0,SUMPRODUCT($AI$14:$DF$14,'Staff Daily sales'!$G782:$CD782))</f>
        <v>0</v>
      </c>
      <c r="U797">
        <f>IF($E797=0,0,SUMPRODUCT($AI$15:$DF$15,'Staff Daily sales'!$G782:$CD782))</f>
        <v>0</v>
      </c>
      <c r="V797">
        <f>IF($E797=0,0,SUMPRODUCT($AI$16:$DF$16,'Staff Daily sales'!$G782:$CD782))</f>
        <v>0</v>
      </c>
      <c r="W797">
        <f t="shared" si="223"/>
        <v>0</v>
      </c>
      <c r="X797">
        <f t="shared" si="224"/>
        <v>0</v>
      </c>
      <c r="Y797">
        <f t="shared" si="225"/>
        <v>0</v>
      </c>
      <c r="Z797">
        <f t="shared" si="226"/>
        <v>0</v>
      </c>
      <c r="AA797">
        <f t="shared" si="227"/>
        <v>0</v>
      </c>
      <c r="AB797">
        <f>--AND($E797=1,OR('Staff Weekly Trend'!$B$3="All",$DH797='Staff Weekly Trend'!$B$3),OR('Staff Weekly Trend'!$B$4="All",$D797='Staff Weekly Trend'!$B$4),OR('Staff Weekly Trend'!$B$5="All",$A797='Staff Weekly Trend'!$B$5))</f>
        <v>0</v>
      </c>
      <c r="AC797" t="str">
        <f t="shared" si="228"/>
        <v/>
      </c>
      <c r="AI797">
        <f t="shared" si="229"/>
        <v>0</v>
      </c>
      <c r="AJ797">
        <f t="shared" si="230"/>
        <v>0</v>
      </c>
      <c r="AK797">
        <f t="shared" si="231"/>
        <v>0</v>
      </c>
      <c r="AL797">
        <f t="shared" si="232"/>
        <v>0</v>
      </c>
      <c r="AM797">
        <f t="shared" si="233"/>
        <v>0</v>
      </c>
      <c r="DH797" t="str" cm="1">
        <f t="array" ref="DH797">IF($A797="","",_xlfn.LET(_xlpm.c,IFERROR(_xlfn.XLOOKUP($A797,TRIM('Sales and count'!$A$4:$A$300&amp;""),TRIM('Sales and count'!$B$4:$B$300&amp;"")),""),IF(OR(_xlpm.c="",_xlpm.c="0",LEFT(_xlpm.c,1)="#"),"Not set",_xlpm.c)))</f>
        <v/>
      </c>
    </row>
    <row r="798" spans="1:112" x14ac:dyDescent="0.25">
      <c r="A798" t="str">
        <f>IF('Staff Daily sales'!$B783="","",TRIM('Staff Daily sales'!$B783&amp;""))</f>
        <v/>
      </c>
      <c r="B798" t="str">
        <f>IF('Staff Daily sales'!$D783="","",TRIM('Staff Daily sales'!$D783&amp;""))</f>
        <v/>
      </c>
      <c r="C798" t="str">
        <f>IFERROR(TRIM('Staff Daily sales'!$E783&amp;""),"")</f>
        <v/>
      </c>
      <c r="D798" t="str">
        <f>IFERROR(IF(TRIM('Staff Daily sales'!$F783&amp;"")="","Unassigned",TRIM('Staff Daily sales'!$F783&amp;"")),"Unassigned")</f>
        <v>Unassigned</v>
      </c>
      <c r="E798">
        <f t="shared" si="218"/>
        <v>0</v>
      </c>
      <c r="F798">
        <f>IF($E798=0,0,SUMPRODUCT($AI$5:$DF$5,'Staff Daily sales'!$G783:$CD783))</f>
        <v>0</v>
      </c>
      <c r="G798">
        <f>IF($E798=0,0,SUMPRODUCT($AI$6:$DF$6,'Staff Daily sales'!$G783:$CD783))</f>
        <v>0</v>
      </c>
      <c r="H798">
        <f t="shared" si="219"/>
        <v>0</v>
      </c>
      <c r="I798">
        <f t="shared" si="220"/>
        <v>0</v>
      </c>
      <c r="J798">
        <f t="shared" si="221"/>
        <v>0</v>
      </c>
      <c r="K798">
        <f t="shared" si="222"/>
        <v>0</v>
      </c>
      <c r="L798">
        <f>--AND($E798=1,OR('Staff Dashboard'!$B$6="All",$DH798='Staff Dashboard'!$B$6),OR('Staff Dashboard'!$B$7="All",$D798='Staff Dashboard'!$B$7),OR('Staff Dashboard'!$B$8="All",$A798='Staff Dashboard'!$B$8))</f>
        <v>0</v>
      </c>
      <c r="M798">
        <f>IF($E798=0,0,SUMPRODUCT($AI$7:$DF$7,'Staff Daily sales'!$G783:$CD783))</f>
        <v>0</v>
      </c>
      <c r="N798">
        <f>IF($E798=0,0,SUMPRODUCT($AI$8:$DF$8,'Staff Daily sales'!$G783:$CD783))</f>
        <v>0</v>
      </c>
      <c r="O798">
        <f>IF($E798=0,0,SUMPRODUCT($AI$9:$DF$9,'Staff Daily sales'!$G783:$CD783))</f>
        <v>0</v>
      </c>
      <c r="P798">
        <f>IF($E798=0,0,SUMPRODUCT($AI$10:$DF$10,'Staff Daily sales'!$G783:$CD783))</f>
        <v>0</v>
      </c>
      <c r="Q798">
        <f>IF($E798=0,0,SUMPRODUCT($AI$11:$DF$11,'Staff Daily sales'!$G783:$CD783))</f>
        <v>0</v>
      </c>
      <c r="R798">
        <f>IF($E798=0,0,SUMPRODUCT($AI$12:$DF$12,'Staff Daily sales'!$G783:$CD783))</f>
        <v>0</v>
      </c>
      <c r="S798">
        <f>IF($E798=0,0,SUMPRODUCT($AI$13:$DF$13,'Staff Daily sales'!$G783:$CD783))</f>
        <v>0</v>
      </c>
      <c r="T798">
        <f>IF($E798=0,0,SUMPRODUCT($AI$14:$DF$14,'Staff Daily sales'!$G783:$CD783))</f>
        <v>0</v>
      </c>
      <c r="U798">
        <f>IF($E798=0,0,SUMPRODUCT($AI$15:$DF$15,'Staff Daily sales'!$G783:$CD783))</f>
        <v>0</v>
      </c>
      <c r="V798">
        <f>IF($E798=0,0,SUMPRODUCT($AI$16:$DF$16,'Staff Daily sales'!$G783:$CD783))</f>
        <v>0</v>
      </c>
      <c r="W798">
        <f t="shared" si="223"/>
        <v>0</v>
      </c>
      <c r="X798">
        <f t="shared" si="224"/>
        <v>0</v>
      </c>
      <c r="Y798">
        <f t="shared" si="225"/>
        <v>0</v>
      </c>
      <c r="Z798">
        <f t="shared" si="226"/>
        <v>0</v>
      </c>
      <c r="AA798">
        <f t="shared" si="227"/>
        <v>0</v>
      </c>
      <c r="AB798">
        <f>--AND($E798=1,OR('Staff Weekly Trend'!$B$3="All",$DH798='Staff Weekly Trend'!$B$3),OR('Staff Weekly Trend'!$B$4="All",$D798='Staff Weekly Trend'!$B$4),OR('Staff Weekly Trend'!$B$5="All",$A798='Staff Weekly Trend'!$B$5))</f>
        <v>0</v>
      </c>
      <c r="AC798" t="str">
        <f t="shared" si="228"/>
        <v/>
      </c>
      <c r="AI798">
        <f t="shared" si="229"/>
        <v>0</v>
      </c>
      <c r="AJ798">
        <f t="shared" si="230"/>
        <v>0</v>
      </c>
      <c r="AK798">
        <f t="shared" si="231"/>
        <v>0</v>
      </c>
      <c r="AL798">
        <f t="shared" si="232"/>
        <v>0</v>
      </c>
      <c r="AM798">
        <f t="shared" si="233"/>
        <v>0</v>
      </c>
      <c r="DH798" t="str" cm="1">
        <f t="array" ref="DH798">IF($A798="","",_xlfn.LET(_xlpm.c,IFERROR(_xlfn.XLOOKUP($A798,TRIM('Sales and count'!$A$4:$A$300&amp;""),TRIM('Sales and count'!$B$4:$B$300&amp;"")),""),IF(OR(_xlpm.c="",_xlpm.c="0",LEFT(_xlpm.c,1)="#"),"Not set",_xlpm.c)))</f>
        <v/>
      </c>
    </row>
    <row r="799" spans="1:112" x14ac:dyDescent="0.25">
      <c r="A799" t="str">
        <f>IF('Staff Daily sales'!$B784="","",TRIM('Staff Daily sales'!$B784&amp;""))</f>
        <v/>
      </c>
      <c r="B799" t="str">
        <f>IF('Staff Daily sales'!$D784="","",TRIM('Staff Daily sales'!$D784&amp;""))</f>
        <v/>
      </c>
      <c r="C799" t="str">
        <f>IFERROR(TRIM('Staff Daily sales'!$E784&amp;""),"")</f>
        <v/>
      </c>
      <c r="D799" t="str">
        <f>IFERROR(IF(TRIM('Staff Daily sales'!$F784&amp;"")="","Unassigned",TRIM('Staff Daily sales'!$F784&amp;"")),"Unassigned")</f>
        <v>Unassigned</v>
      </c>
      <c r="E799">
        <f t="shared" si="218"/>
        <v>0</v>
      </c>
      <c r="F799">
        <f>IF($E799=0,0,SUMPRODUCT($AI$5:$DF$5,'Staff Daily sales'!$G784:$CD784))</f>
        <v>0</v>
      </c>
      <c r="G799">
        <f>IF($E799=0,0,SUMPRODUCT($AI$6:$DF$6,'Staff Daily sales'!$G784:$CD784))</f>
        <v>0</v>
      </c>
      <c r="H799">
        <f t="shared" si="219"/>
        <v>0</v>
      </c>
      <c r="I799">
        <f t="shared" si="220"/>
        <v>0</v>
      </c>
      <c r="J799">
        <f t="shared" si="221"/>
        <v>0</v>
      </c>
      <c r="K799">
        <f t="shared" si="222"/>
        <v>0</v>
      </c>
      <c r="L799">
        <f>--AND($E799=1,OR('Staff Dashboard'!$B$6="All",$DH799='Staff Dashboard'!$B$6),OR('Staff Dashboard'!$B$7="All",$D799='Staff Dashboard'!$B$7),OR('Staff Dashboard'!$B$8="All",$A799='Staff Dashboard'!$B$8))</f>
        <v>0</v>
      </c>
      <c r="M799">
        <f>IF($E799=0,0,SUMPRODUCT($AI$7:$DF$7,'Staff Daily sales'!$G784:$CD784))</f>
        <v>0</v>
      </c>
      <c r="N799">
        <f>IF($E799=0,0,SUMPRODUCT($AI$8:$DF$8,'Staff Daily sales'!$G784:$CD784))</f>
        <v>0</v>
      </c>
      <c r="O799">
        <f>IF($E799=0,0,SUMPRODUCT($AI$9:$DF$9,'Staff Daily sales'!$G784:$CD784))</f>
        <v>0</v>
      </c>
      <c r="P799">
        <f>IF($E799=0,0,SUMPRODUCT($AI$10:$DF$10,'Staff Daily sales'!$G784:$CD784))</f>
        <v>0</v>
      </c>
      <c r="Q799">
        <f>IF($E799=0,0,SUMPRODUCT($AI$11:$DF$11,'Staff Daily sales'!$G784:$CD784))</f>
        <v>0</v>
      </c>
      <c r="R799">
        <f>IF($E799=0,0,SUMPRODUCT($AI$12:$DF$12,'Staff Daily sales'!$G784:$CD784))</f>
        <v>0</v>
      </c>
      <c r="S799">
        <f>IF($E799=0,0,SUMPRODUCT($AI$13:$DF$13,'Staff Daily sales'!$G784:$CD784))</f>
        <v>0</v>
      </c>
      <c r="T799">
        <f>IF($E799=0,0,SUMPRODUCT($AI$14:$DF$14,'Staff Daily sales'!$G784:$CD784))</f>
        <v>0</v>
      </c>
      <c r="U799">
        <f>IF($E799=0,0,SUMPRODUCT($AI$15:$DF$15,'Staff Daily sales'!$G784:$CD784))</f>
        <v>0</v>
      </c>
      <c r="V799">
        <f>IF($E799=0,0,SUMPRODUCT($AI$16:$DF$16,'Staff Daily sales'!$G784:$CD784))</f>
        <v>0</v>
      </c>
      <c r="W799">
        <f t="shared" si="223"/>
        <v>0</v>
      </c>
      <c r="X799">
        <f t="shared" si="224"/>
        <v>0</v>
      </c>
      <c r="Y799">
        <f t="shared" si="225"/>
        <v>0</v>
      </c>
      <c r="Z799">
        <f t="shared" si="226"/>
        <v>0</v>
      </c>
      <c r="AA799">
        <f t="shared" si="227"/>
        <v>0</v>
      </c>
      <c r="AB799">
        <f>--AND($E799=1,OR('Staff Weekly Trend'!$B$3="All",$DH799='Staff Weekly Trend'!$B$3),OR('Staff Weekly Trend'!$B$4="All",$D799='Staff Weekly Trend'!$B$4),OR('Staff Weekly Trend'!$B$5="All",$A799='Staff Weekly Trend'!$B$5))</f>
        <v>0</v>
      </c>
      <c r="AC799" t="str">
        <f t="shared" si="228"/>
        <v/>
      </c>
      <c r="AI799">
        <f t="shared" si="229"/>
        <v>0</v>
      </c>
      <c r="AJ799">
        <f t="shared" si="230"/>
        <v>0</v>
      </c>
      <c r="AK799">
        <f t="shared" si="231"/>
        <v>0</v>
      </c>
      <c r="AL799">
        <f t="shared" si="232"/>
        <v>0</v>
      </c>
      <c r="AM799">
        <f t="shared" si="233"/>
        <v>0</v>
      </c>
      <c r="DH799" t="str" cm="1">
        <f t="array" ref="DH799">IF($A799="","",_xlfn.LET(_xlpm.c,IFERROR(_xlfn.XLOOKUP($A799,TRIM('Sales and count'!$A$4:$A$300&amp;""),TRIM('Sales and count'!$B$4:$B$300&amp;"")),""),IF(OR(_xlpm.c="",_xlpm.c="0",LEFT(_xlpm.c,1)="#"),"Not set",_xlpm.c)))</f>
        <v/>
      </c>
    </row>
    <row r="800" spans="1:112" x14ac:dyDescent="0.25">
      <c r="A800" t="str">
        <f>IF('Staff Daily sales'!$B785="","",TRIM('Staff Daily sales'!$B785&amp;""))</f>
        <v/>
      </c>
      <c r="B800" t="str">
        <f>IF('Staff Daily sales'!$D785="","",TRIM('Staff Daily sales'!$D785&amp;""))</f>
        <v/>
      </c>
      <c r="C800" t="str">
        <f>IFERROR(TRIM('Staff Daily sales'!$E785&amp;""),"")</f>
        <v/>
      </c>
      <c r="D800" t="str">
        <f>IFERROR(IF(TRIM('Staff Daily sales'!$F785&amp;"")="","Unassigned",TRIM('Staff Daily sales'!$F785&amp;"")),"Unassigned")</f>
        <v>Unassigned</v>
      </c>
      <c r="E800">
        <f t="shared" si="218"/>
        <v>0</v>
      </c>
      <c r="F800">
        <f>IF($E800=0,0,SUMPRODUCT($AI$5:$DF$5,'Staff Daily sales'!$G785:$CD785))</f>
        <v>0</v>
      </c>
      <c r="G800">
        <f>IF($E800=0,0,SUMPRODUCT($AI$6:$DF$6,'Staff Daily sales'!$G785:$CD785))</f>
        <v>0</v>
      </c>
      <c r="H800">
        <f t="shared" si="219"/>
        <v>0</v>
      </c>
      <c r="I800">
        <f t="shared" si="220"/>
        <v>0</v>
      </c>
      <c r="J800">
        <f t="shared" si="221"/>
        <v>0</v>
      </c>
      <c r="K800">
        <f t="shared" si="222"/>
        <v>0</v>
      </c>
      <c r="L800">
        <f>--AND($E800=1,OR('Staff Dashboard'!$B$6="All",$DH800='Staff Dashboard'!$B$6),OR('Staff Dashboard'!$B$7="All",$D800='Staff Dashboard'!$B$7),OR('Staff Dashboard'!$B$8="All",$A800='Staff Dashboard'!$B$8))</f>
        <v>0</v>
      </c>
      <c r="M800">
        <f>IF($E800=0,0,SUMPRODUCT($AI$7:$DF$7,'Staff Daily sales'!$G785:$CD785))</f>
        <v>0</v>
      </c>
      <c r="N800">
        <f>IF($E800=0,0,SUMPRODUCT($AI$8:$DF$8,'Staff Daily sales'!$G785:$CD785))</f>
        <v>0</v>
      </c>
      <c r="O800">
        <f>IF($E800=0,0,SUMPRODUCT($AI$9:$DF$9,'Staff Daily sales'!$G785:$CD785))</f>
        <v>0</v>
      </c>
      <c r="P800">
        <f>IF($E800=0,0,SUMPRODUCT($AI$10:$DF$10,'Staff Daily sales'!$G785:$CD785))</f>
        <v>0</v>
      </c>
      <c r="Q800">
        <f>IF($E800=0,0,SUMPRODUCT($AI$11:$DF$11,'Staff Daily sales'!$G785:$CD785))</f>
        <v>0</v>
      </c>
      <c r="R800">
        <f>IF($E800=0,0,SUMPRODUCT($AI$12:$DF$12,'Staff Daily sales'!$G785:$CD785))</f>
        <v>0</v>
      </c>
      <c r="S800">
        <f>IF($E800=0,0,SUMPRODUCT($AI$13:$DF$13,'Staff Daily sales'!$G785:$CD785))</f>
        <v>0</v>
      </c>
      <c r="T800">
        <f>IF($E800=0,0,SUMPRODUCT($AI$14:$DF$14,'Staff Daily sales'!$G785:$CD785))</f>
        <v>0</v>
      </c>
      <c r="U800">
        <f>IF($E800=0,0,SUMPRODUCT($AI$15:$DF$15,'Staff Daily sales'!$G785:$CD785))</f>
        <v>0</v>
      </c>
      <c r="V800">
        <f>IF($E800=0,0,SUMPRODUCT($AI$16:$DF$16,'Staff Daily sales'!$G785:$CD785))</f>
        <v>0</v>
      </c>
      <c r="W800">
        <f t="shared" si="223"/>
        <v>0</v>
      </c>
      <c r="X800">
        <f t="shared" si="224"/>
        <v>0</v>
      </c>
      <c r="Y800">
        <f t="shared" si="225"/>
        <v>0</v>
      </c>
      <c r="Z800">
        <f t="shared" si="226"/>
        <v>0</v>
      </c>
      <c r="AA800">
        <f t="shared" si="227"/>
        <v>0</v>
      </c>
      <c r="AB800">
        <f>--AND($E800=1,OR('Staff Weekly Trend'!$B$3="All",$DH800='Staff Weekly Trend'!$B$3),OR('Staff Weekly Trend'!$B$4="All",$D800='Staff Weekly Trend'!$B$4),OR('Staff Weekly Trend'!$B$5="All",$A800='Staff Weekly Trend'!$B$5))</f>
        <v>0</v>
      </c>
      <c r="AC800" t="str">
        <f t="shared" si="228"/>
        <v/>
      </c>
      <c r="AI800">
        <f t="shared" si="229"/>
        <v>0</v>
      </c>
      <c r="AJ800">
        <f t="shared" si="230"/>
        <v>0</v>
      </c>
      <c r="AK800">
        <f t="shared" si="231"/>
        <v>0</v>
      </c>
      <c r="AL800">
        <f t="shared" si="232"/>
        <v>0</v>
      </c>
      <c r="AM800">
        <f t="shared" si="233"/>
        <v>0</v>
      </c>
      <c r="DH800" t="str" cm="1">
        <f t="array" ref="DH800">IF($A800="","",_xlfn.LET(_xlpm.c,IFERROR(_xlfn.XLOOKUP($A800,TRIM('Sales and count'!$A$4:$A$300&amp;""),TRIM('Sales and count'!$B$4:$B$300&amp;"")),""),IF(OR(_xlpm.c="",_xlpm.c="0",LEFT(_xlpm.c,1)="#"),"Not set",_xlpm.c)))</f>
        <v/>
      </c>
    </row>
    <row r="801" spans="1:112" x14ac:dyDescent="0.25">
      <c r="A801" t="str">
        <f>IF('Staff Daily sales'!$B786="","",TRIM('Staff Daily sales'!$B786&amp;""))</f>
        <v/>
      </c>
      <c r="B801" t="str">
        <f>IF('Staff Daily sales'!$D786="","",TRIM('Staff Daily sales'!$D786&amp;""))</f>
        <v/>
      </c>
      <c r="C801" t="str">
        <f>IFERROR(TRIM('Staff Daily sales'!$E786&amp;""),"")</f>
        <v/>
      </c>
      <c r="D801" t="str">
        <f>IFERROR(IF(TRIM('Staff Daily sales'!$F786&amp;"")="","Unassigned",TRIM('Staff Daily sales'!$F786&amp;"")),"Unassigned")</f>
        <v>Unassigned</v>
      </c>
      <c r="E801">
        <f t="shared" si="218"/>
        <v>0</v>
      </c>
      <c r="F801">
        <f>IF($E801=0,0,SUMPRODUCT($AI$5:$DF$5,'Staff Daily sales'!$G786:$CD786))</f>
        <v>0</v>
      </c>
      <c r="G801">
        <f>IF($E801=0,0,SUMPRODUCT($AI$6:$DF$6,'Staff Daily sales'!$G786:$CD786))</f>
        <v>0</v>
      </c>
      <c r="H801">
        <f t="shared" si="219"/>
        <v>0</v>
      </c>
      <c r="I801">
        <f t="shared" si="220"/>
        <v>0</v>
      </c>
      <c r="J801">
        <f t="shared" si="221"/>
        <v>0</v>
      </c>
      <c r="K801">
        <f t="shared" si="222"/>
        <v>0</v>
      </c>
      <c r="L801">
        <f>--AND($E801=1,OR('Staff Dashboard'!$B$6="All",$DH801='Staff Dashboard'!$B$6),OR('Staff Dashboard'!$B$7="All",$D801='Staff Dashboard'!$B$7),OR('Staff Dashboard'!$B$8="All",$A801='Staff Dashboard'!$B$8))</f>
        <v>0</v>
      </c>
      <c r="M801">
        <f>IF($E801=0,0,SUMPRODUCT($AI$7:$DF$7,'Staff Daily sales'!$G786:$CD786))</f>
        <v>0</v>
      </c>
      <c r="N801">
        <f>IF($E801=0,0,SUMPRODUCT($AI$8:$DF$8,'Staff Daily sales'!$G786:$CD786))</f>
        <v>0</v>
      </c>
      <c r="O801">
        <f>IF($E801=0,0,SUMPRODUCT($AI$9:$DF$9,'Staff Daily sales'!$G786:$CD786))</f>
        <v>0</v>
      </c>
      <c r="P801">
        <f>IF($E801=0,0,SUMPRODUCT($AI$10:$DF$10,'Staff Daily sales'!$G786:$CD786))</f>
        <v>0</v>
      </c>
      <c r="Q801">
        <f>IF($E801=0,0,SUMPRODUCT($AI$11:$DF$11,'Staff Daily sales'!$G786:$CD786))</f>
        <v>0</v>
      </c>
      <c r="R801">
        <f>IF($E801=0,0,SUMPRODUCT($AI$12:$DF$12,'Staff Daily sales'!$G786:$CD786))</f>
        <v>0</v>
      </c>
      <c r="S801">
        <f>IF($E801=0,0,SUMPRODUCT($AI$13:$DF$13,'Staff Daily sales'!$G786:$CD786))</f>
        <v>0</v>
      </c>
      <c r="T801">
        <f>IF($E801=0,0,SUMPRODUCT($AI$14:$DF$14,'Staff Daily sales'!$G786:$CD786))</f>
        <v>0</v>
      </c>
      <c r="U801">
        <f>IF($E801=0,0,SUMPRODUCT($AI$15:$DF$15,'Staff Daily sales'!$G786:$CD786))</f>
        <v>0</v>
      </c>
      <c r="V801">
        <f>IF($E801=0,0,SUMPRODUCT($AI$16:$DF$16,'Staff Daily sales'!$G786:$CD786))</f>
        <v>0</v>
      </c>
      <c r="W801">
        <f t="shared" si="223"/>
        <v>0</v>
      </c>
      <c r="X801">
        <f t="shared" si="224"/>
        <v>0</v>
      </c>
      <c r="Y801">
        <f t="shared" si="225"/>
        <v>0</v>
      </c>
      <c r="Z801">
        <f t="shared" si="226"/>
        <v>0</v>
      </c>
      <c r="AA801">
        <f t="shared" si="227"/>
        <v>0</v>
      </c>
      <c r="AB801">
        <f>--AND($E801=1,OR('Staff Weekly Trend'!$B$3="All",$DH801='Staff Weekly Trend'!$B$3),OR('Staff Weekly Trend'!$B$4="All",$D801='Staff Weekly Trend'!$B$4),OR('Staff Weekly Trend'!$B$5="All",$A801='Staff Weekly Trend'!$B$5))</f>
        <v>0</v>
      </c>
      <c r="AC801" t="str">
        <f t="shared" si="228"/>
        <v/>
      </c>
      <c r="AI801">
        <f t="shared" si="229"/>
        <v>0</v>
      </c>
      <c r="AJ801">
        <f t="shared" si="230"/>
        <v>0</v>
      </c>
      <c r="AK801">
        <f t="shared" si="231"/>
        <v>0</v>
      </c>
      <c r="AL801">
        <f t="shared" si="232"/>
        <v>0</v>
      </c>
      <c r="AM801">
        <f t="shared" si="233"/>
        <v>0</v>
      </c>
      <c r="DH801" t="str" cm="1">
        <f t="array" ref="DH801">IF($A801="","",_xlfn.LET(_xlpm.c,IFERROR(_xlfn.XLOOKUP($A801,TRIM('Sales and count'!$A$4:$A$300&amp;""),TRIM('Sales and count'!$B$4:$B$300&amp;"")),""),IF(OR(_xlpm.c="",_xlpm.c="0",LEFT(_xlpm.c,1)="#"),"Not set",_xlpm.c)))</f>
        <v/>
      </c>
    </row>
    <row r="802" spans="1:112" x14ac:dyDescent="0.25">
      <c r="A802" t="str">
        <f>IF('Staff Daily sales'!$B787="","",TRIM('Staff Daily sales'!$B787&amp;""))</f>
        <v/>
      </c>
      <c r="B802" t="str">
        <f>IF('Staff Daily sales'!$D787="","",TRIM('Staff Daily sales'!$D787&amp;""))</f>
        <v/>
      </c>
      <c r="C802" t="str">
        <f>IFERROR(TRIM('Staff Daily sales'!$E787&amp;""),"")</f>
        <v/>
      </c>
      <c r="D802" t="str">
        <f>IFERROR(IF(TRIM('Staff Daily sales'!$F787&amp;"")="","Unassigned",TRIM('Staff Daily sales'!$F787&amp;"")),"Unassigned")</f>
        <v>Unassigned</v>
      </c>
      <c r="E802">
        <f t="shared" si="218"/>
        <v>0</v>
      </c>
      <c r="F802">
        <f>IF($E802=0,0,SUMPRODUCT($AI$5:$DF$5,'Staff Daily sales'!$G787:$CD787))</f>
        <v>0</v>
      </c>
      <c r="G802">
        <f>IF($E802=0,0,SUMPRODUCT($AI$6:$DF$6,'Staff Daily sales'!$G787:$CD787))</f>
        <v>0</v>
      </c>
      <c r="H802">
        <f t="shared" si="219"/>
        <v>0</v>
      </c>
      <c r="I802">
        <f t="shared" si="220"/>
        <v>0</v>
      </c>
      <c r="J802">
        <f t="shared" si="221"/>
        <v>0</v>
      </c>
      <c r="K802">
        <f t="shared" si="222"/>
        <v>0</v>
      </c>
      <c r="L802">
        <f>--AND($E802=1,OR('Staff Dashboard'!$B$6="All",$DH802='Staff Dashboard'!$B$6),OR('Staff Dashboard'!$B$7="All",$D802='Staff Dashboard'!$B$7),OR('Staff Dashboard'!$B$8="All",$A802='Staff Dashboard'!$B$8))</f>
        <v>0</v>
      </c>
      <c r="M802">
        <f>IF($E802=0,0,SUMPRODUCT($AI$7:$DF$7,'Staff Daily sales'!$G787:$CD787))</f>
        <v>0</v>
      </c>
      <c r="N802">
        <f>IF($E802=0,0,SUMPRODUCT($AI$8:$DF$8,'Staff Daily sales'!$G787:$CD787))</f>
        <v>0</v>
      </c>
      <c r="O802">
        <f>IF($E802=0,0,SUMPRODUCT($AI$9:$DF$9,'Staff Daily sales'!$G787:$CD787))</f>
        <v>0</v>
      </c>
      <c r="P802">
        <f>IF($E802=0,0,SUMPRODUCT($AI$10:$DF$10,'Staff Daily sales'!$G787:$CD787))</f>
        <v>0</v>
      </c>
      <c r="Q802">
        <f>IF($E802=0,0,SUMPRODUCT($AI$11:$DF$11,'Staff Daily sales'!$G787:$CD787))</f>
        <v>0</v>
      </c>
      <c r="R802">
        <f>IF($E802=0,0,SUMPRODUCT($AI$12:$DF$12,'Staff Daily sales'!$G787:$CD787))</f>
        <v>0</v>
      </c>
      <c r="S802">
        <f>IF($E802=0,0,SUMPRODUCT($AI$13:$DF$13,'Staff Daily sales'!$G787:$CD787))</f>
        <v>0</v>
      </c>
      <c r="T802">
        <f>IF($E802=0,0,SUMPRODUCT($AI$14:$DF$14,'Staff Daily sales'!$G787:$CD787))</f>
        <v>0</v>
      </c>
      <c r="U802">
        <f>IF($E802=0,0,SUMPRODUCT($AI$15:$DF$15,'Staff Daily sales'!$G787:$CD787))</f>
        <v>0</v>
      </c>
      <c r="V802">
        <f>IF($E802=0,0,SUMPRODUCT($AI$16:$DF$16,'Staff Daily sales'!$G787:$CD787))</f>
        <v>0</v>
      </c>
      <c r="W802">
        <f t="shared" si="223"/>
        <v>0</v>
      </c>
      <c r="X802">
        <f t="shared" si="224"/>
        <v>0</v>
      </c>
      <c r="Y802">
        <f t="shared" si="225"/>
        <v>0</v>
      </c>
      <c r="Z802">
        <f t="shared" si="226"/>
        <v>0</v>
      </c>
      <c r="AA802">
        <f t="shared" si="227"/>
        <v>0</v>
      </c>
      <c r="AB802">
        <f>--AND($E802=1,OR('Staff Weekly Trend'!$B$3="All",$DH802='Staff Weekly Trend'!$B$3),OR('Staff Weekly Trend'!$B$4="All",$D802='Staff Weekly Trend'!$B$4),OR('Staff Weekly Trend'!$B$5="All",$A802='Staff Weekly Trend'!$B$5))</f>
        <v>0</v>
      </c>
      <c r="AC802" t="str">
        <f t="shared" si="228"/>
        <v/>
      </c>
      <c r="AI802">
        <f t="shared" si="229"/>
        <v>0</v>
      </c>
      <c r="AJ802">
        <f t="shared" si="230"/>
        <v>0</v>
      </c>
      <c r="AK802">
        <f t="shared" si="231"/>
        <v>0</v>
      </c>
      <c r="AL802">
        <f t="shared" si="232"/>
        <v>0</v>
      </c>
      <c r="AM802">
        <f t="shared" si="233"/>
        <v>0</v>
      </c>
      <c r="DH802" t="str" cm="1">
        <f t="array" ref="DH802">IF($A802="","",_xlfn.LET(_xlpm.c,IFERROR(_xlfn.XLOOKUP($A802,TRIM('Sales and count'!$A$4:$A$300&amp;""),TRIM('Sales and count'!$B$4:$B$300&amp;"")),""),IF(OR(_xlpm.c="",_xlpm.c="0",LEFT(_xlpm.c,1)="#"),"Not set",_xlpm.c)))</f>
        <v/>
      </c>
    </row>
    <row r="803" spans="1:112" x14ac:dyDescent="0.25">
      <c r="A803" t="str">
        <f>IF('Staff Daily sales'!$B788="","",TRIM('Staff Daily sales'!$B788&amp;""))</f>
        <v/>
      </c>
      <c r="B803" t="str">
        <f>IF('Staff Daily sales'!$D788="","",TRIM('Staff Daily sales'!$D788&amp;""))</f>
        <v/>
      </c>
      <c r="C803" t="str">
        <f>IFERROR(TRIM('Staff Daily sales'!$E788&amp;""),"")</f>
        <v/>
      </c>
      <c r="D803" t="str">
        <f>IFERROR(IF(TRIM('Staff Daily sales'!$F788&amp;"")="","Unassigned",TRIM('Staff Daily sales'!$F788&amp;"")),"Unassigned")</f>
        <v>Unassigned</v>
      </c>
      <c r="E803">
        <f t="shared" si="218"/>
        <v>0</v>
      </c>
      <c r="F803">
        <f>IF($E803=0,0,SUMPRODUCT($AI$5:$DF$5,'Staff Daily sales'!$G788:$CD788))</f>
        <v>0</v>
      </c>
      <c r="G803">
        <f>IF($E803=0,0,SUMPRODUCT($AI$6:$DF$6,'Staff Daily sales'!$G788:$CD788))</f>
        <v>0</v>
      </c>
      <c r="H803">
        <f t="shared" si="219"/>
        <v>0</v>
      </c>
      <c r="I803">
        <f t="shared" si="220"/>
        <v>0</v>
      </c>
      <c r="J803">
        <f t="shared" si="221"/>
        <v>0</v>
      </c>
      <c r="K803">
        <f t="shared" si="222"/>
        <v>0</v>
      </c>
      <c r="L803">
        <f>--AND($E803=1,OR('Staff Dashboard'!$B$6="All",$DH803='Staff Dashboard'!$B$6),OR('Staff Dashboard'!$B$7="All",$D803='Staff Dashboard'!$B$7),OR('Staff Dashboard'!$B$8="All",$A803='Staff Dashboard'!$B$8))</f>
        <v>0</v>
      </c>
      <c r="M803">
        <f>IF($E803=0,0,SUMPRODUCT($AI$7:$DF$7,'Staff Daily sales'!$G788:$CD788))</f>
        <v>0</v>
      </c>
      <c r="N803">
        <f>IF($E803=0,0,SUMPRODUCT($AI$8:$DF$8,'Staff Daily sales'!$G788:$CD788))</f>
        <v>0</v>
      </c>
      <c r="O803">
        <f>IF($E803=0,0,SUMPRODUCT($AI$9:$DF$9,'Staff Daily sales'!$G788:$CD788))</f>
        <v>0</v>
      </c>
      <c r="P803">
        <f>IF($E803=0,0,SUMPRODUCT($AI$10:$DF$10,'Staff Daily sales'!$G788:$CD788))</f>
        <v>0</v>
      </c>
      <c r="Q803">
        <f>IF($E803=0,0,SUMPRODUCT($AI$11:$DF$11,'Staff Daily sales'!$G788:$CD788))</f>
        <v>0</v>
      </c>
      <c r="R803">
        <f>IF($E803=0,0,SUMPRODUCT($AI$12:$DF$12,'Staff Daily sales'!$G788:$CD788))</f>
        <v>0</v>
      </c>
      <c r="S803">
        <f>IF($E803=0,0,SUMPRODUCT($AI$13:$DF$13,'Staff Daily sales'!$G788:$CD788))</f>
        <v>0</v>
      </c>
      <c r="T803">
        <f>IF($E803=0,0,SUMPRODUCT($AI$14:$DF$14,'Staff Daily sales'!$G788:$CD788))</f>
        <v>0</v>
      </c>
      <c r="U803">
        <f>IF($E803=0,0,SUMPRODUCT($AI$15:$DF$15,'Staff Daily sales'!$G788:$CD788))</f>
        <v>0</v>
      </c>
      <c r="V803">
        <f>IF($E803=0,0,SUMPRODUCT($AI$16:$DF$16,'Staff Daily sales'!$G788:$CD788))</f>
        <v>0</v>
      </c>
      <c r="W803">
        <f t="shared" si="223"/>
        <v>0</v>
      </c>
      <c r="X803">
        <f t="shared" si="224"/>
        <v>0</v>
      </c>
      <c r="Y803">
        <f t="shared" si="225"/>
        <v>0</v>
      </c>
      <c r="Z803">
        <f t="shared" si="226"/>
        <v>0</v>
      </c>
      <c r="AA803">
        <f t="shared" si="227"/>
        <v>0</v>
      </c>
      <c r="AB803">
        <f>--AND($E803=1,OR('Staff Weekly Trend'!$B$3="All",$DH803='Staff Weekly Trend'!$B$3),OR('Staff Weekly Trend'!$B$4="All",$D803='Staff Weekly Trend'!$B$4),OR('Staff Weekly Trend'!$B$5="All",$A803='Staff Weekly Trend'!$B$5))</f>
        <v>0</v>
      </c>
      <c r="AC803" t="str">
        <f t="shared" si="228"/>
        <v/>
      </c>
      <c r="AI803">
        <f t="shared" si="229"/>
        <v>0</v>
      </c>
      <c r="AJ803">
        <f t="shared" si="230"/>
        <v>0</v>
      </c>
      <c r="AK803">
        <f t="shared" si="231"/>
        <v>0</v>
      </c>
      <c r="AL803">
        <f t="shared" si="232"/>
        <v>0</v>
      </c>
      <c r="AM803">
        <f t="shared" si="233"/>
        <v>0</v>
      </c>
      <c r="DH803" t="str" cm="1">
        <f t="array" ref="DH803">IF($A803="","",_xlfn.LET(_xlpm.c,IFERROR(_xlfn.XLOOKUP($A803,TRIM('Sales and count'!$A$4:$A$300&amp;""),TRIM('Sales and count'!$B$4:$B$300&amp;"")),""),IF(OR(_xlpm.c="",_xlpm.c="0",LEFT(_xlpm.c,1)="#"),"Not set",_xlpm.c)))</f>
        <v/>
      </c>
    </row>
    <row r="804" spans="1:112" x14ac:dyDescent="0.25">
      <c r="A804" t="str">
        <f>IF('Staff Daily sales'!$B789="","",TRIM('Staff Daily sales'!$B789&amp;""))</f>
        <v/>
      </c>
      <c r="B804" t="str">
        <f>IF('Staff Daily sales'!$D789="","",TRIM('Staff Daily sales'!$D789&amp;""))</f>
        <v/>
      </c>
      <c r="C804" t="str">
        <f>IFERROR(TRIM('Staff Daily sales'!$E789&amp;""),"")</f>
        <v/>
      </c>
      <c r="D804" t="str">
        <f>IFERROR(IF(TRIM('Staff Daily sales'!$F789&amp;"")="","Unassigned",TRIM('Staff Daily sales'!$F789&amp;"")),"Unassigned")</f>
        <v>Unassigned</v>
      </c>
      <c r="E804">
        <f t="shared" si="218"/>
        <v>0</v>
      </c>
      <c r="F804">
        <f>IF($E804=0,0,SUMPRODUCT($AI$5:$DF$5,'Staff Daily sales'!$G789:$CD789))</f>
        <v>0</v>
      </c>
      <c r="G804">
        <f>IF($E804=0,0,SUMPRODUCT($AI$6:$DF$6,'Staff Daily sales'!$G789:$CD789))</f>
        <v>0</v>
      </c>
      <c r="H804">
        <f t="shared" si="219"/>
        <v>0</v>
      </c>
      <c r="I804">
        <f t="shared" si="220"/>
        <v>0</v>
      </c>
      <c r="J804">
        <f t="shared" si="221"/>
        <v>0</v>
      </c>
      <c r="K804">
        <f t="shared" si="222"/>
        <v>0</v>
      </c>
      <c r="L804">
        <f>--AND($E804=1,OR('Staff Dashboard'!$B$6="All",$DH804='Staff Dashboard'!$B$6),OR('Staff Dashboard'!$B$7="All",$D804='Staff Dashboard'!$B$7),OR('Staff Dashboard'!$B$8="All",$A804='Staff Dashboard'!$B$8))</f>
        <v>0</v>
      </c>
      <c r="M804">
        <f>IF($E804=0,0,SUMPRODUCT($AI$7:$DF$7,'Staff Daily sales'!$G789:$CD789))</f>
        <v>0</v>
      </c>
      <c r="N804">
        <f>IF($E804=0,0,SUMPRODUCT($AI$8:$DF$8,'Staff Daily sales'!$G789:$CD789))</f>
        <v>0</v>
      </c>
      <c r="O804">
        <f>IF($E804=0,0,SUMPRODUCT($AI$9:$DF$9,'Staff Daily sales'!$G789:$CD789))</f>
        <v>0</v>
      </c>
      <c r="P804">
        <f>IF($E804=0,0,SUMPRODUCT($AI$10:$DF$10,'Staff Daily sales'!$G789:$CD789))</f>
        <v>0</v>
      </c>
      <c r="Q804">
        <f>IF($E804=0,0,SUMPRODUCT($AI$11:$DF$11,'Staff Daily sales'!$G789:$CD789))</f>
        <v>0</v>
      </c>
      <c r="R804">
        <f>IF($E804=0,0,SUMPRODUCT($AI$12:$DF$12,'Staff Daily sales'!$G789:$CD789))</f>
        <v>0</v>
      </c>
      <c r="S804">
        <f>IF($E804=0,0,SUMPRODUCT($AI$13:$DF$13,'Staff Daily sales'!$G789:$CD789))</f>
        <v>0</v>
      </c>
      <c r="T804">
        <f>IF($E804=0,0,SUMPRODUCT($AI$14:$DF$14,'Staff Daily sales'!$G789:$CD789))</f>
        <v>0</v>
      </c>
      <c r="U804">
        <f>IF($E804=0,0,SUMPRODUCT($AI$15:$DF$15,'Staff Daily sales'!$G789:$CD789))</f>
        <v>0</v>
      </c>
      <c r="V804">
        <f>IF($E804=0,0,SUMPRODUCT($AI$16:$DF$16,'Staff Daily sales'!$G789:$CD789))</f>
        <v>0</v>
      </c>
      <c r="W804">
        <f t="shared" si="223"/>
        <v>0</v>
      </c>
      <c r="X804">
        <f t="shared" si="224"/>
        <v>0</v>
      </c>
      <c r="Y804">
        <f t="shared" si="225"/>
        <v>0</v>
      </c>
      <c r="Z804">
        <f t="shared" si="226"/>
        <v>0</v>
      </c>
      <c r="AA804">
        <f t="shared" si="227"/>
        <v>0</v>
      </c>
      <c r="AB804">
        <f>--AND($E804=1,OR('Staff Weekly Trend'!$B$3="All",$DH804='Staff Weekly Trend'!$B$3),OR('Staff Weekly Trend'!$B$4="All",$D804='Staff Weekly Trend'!$B$4),OR('Staff Weekly Trend'!$B$5="All",$A804='Staff Weekly Trend'!$B$5))</f>
        <v>0</v>
      </c>
      <c r="AC804" t="str">
        <f t="shared" si="228"/>
        <v/>
      </c>
      <c r="AI804">
        <f t="shared" si="229"/>
        <v>0</v>
      </c>
      <c r="AJ804">
        <f t="shared" si="230"/>
        <v>0</v>
      </c>
      <c r="AK804">
        <f t="shared" si="231"/>
        <v>0</v>
      </c>
      <c r="AL804">
        <f t="shared" si="232"/>
        <v>0</v>
      </c>
      <c r="AM804">
        <f t="shared" si="233"/>
        <v>0</v>
      </c>
      <c r="DH804" t="str" cm="1">
        <f t="array" ref="DH804">IF($A804="","",_xlfn.LET(_xlpm.c,IFERROR(_xlfn.XLOOKUP($A804,TRIM('Sales and count'!$A$4:$A$300&amp;""),TRIM('Sales and count'!$B$4:$B$300&amp;"")),""),IF(OR(_xlpm.c="",_xlpm.c="0",LEFT(_xlpm.c,1)="#"),"Not set",_xlpm.c)))</f>
        <v/>
      </c>
    </row>
    <row r="805" spans="1:112" x14ac:dyDescent="0.25">
      <c r="A805" t="str">
        <f>IF('Staff Daily sales'!$B790="","",TRIM('Staff Daily sales'!$B790&amp;""))</f>
        <v/>
      </c>
      <c r="B805" t="str">
        <f>IF('Staff Daily sales'!$D790="","",TRIM('Staff Daily sales'!$D790&amp;""))</f>
        <v/>
      </c>
      <c r="C805" t="str">
        <f>IFERROR(TRIM('Staff Daily sales'!$E790&amp;""),"")</f>
        <v/>
      </c>
      <c r="D805" t="str">
        <f>IFERROR(IF(TRIM('Staff Daily sales'!$F790&amp;"")="","Unassigned",TRIM('Staff Daily sales'!$F790&amp;"")),"Unassigned")</f>
        <v>Unassigned</v>
      </c>
      <c r="E805">
        <f t="shared" si="218"/>
        <v>0</v>
      </c>
      <c r="F805">
        <f>IF($E805=0,0,SUMPRODUCT($AI$5:$DF$5,'Staff Daily sales'!$G790:$CD790))</f>
        <v>0</v>
      </c>
      <c r="G805">
        <f>IF($E805=0,0,SUMPRODUCT($AI$6:$DF$6,'Staff Daily sales'!$G790:$CD790))</f>
        <v>0</v>
      </c>
      <c r="H805">
        <f t="shared" si="219"/>
        <v>0</v>
      </c>
      <c r="I805">
        <f t="shared" si="220"/>
        <v>0</v>
      </c>
      <c r="J805">
        <f t="shared" si="221"/>
        <v>0</v>
      </c>
      <c r="K805">
        <f t="shared" si="222"/>
        <v>0</v>
      </c>
      <c r="L805">
        <f>--AND($E805=1,OR('Staff Dashboard'!$B$6="All",$DH805='Staff Dashboard'!$B$6),OR('Staff Dashboard'!$B$7="All",$D805='Staff Dashboard'!$B$7),OR('Staff Dashboard'!$B$8="All",$A805='Staff Dashboard'!$B$8))</f>
        <v>0</v>
      </c>
      <c r="M805">
        <f>IF($E805=0,0,SUMPRODUCT($AI$7:$DF$7,'Staff Daily sales'!$G790:$CD790))</f>
        <v>0</v>
      </c>
      <c r="N805">
        <f>IF($E805=0,0,SUMPRODUCT($AI$8:$DF$8,'Staff Daily sales'!$G790:$CD790))</f>
        <v>0</v>
      </c>
      <c r="O805">
        <f>IF($E805=0,0,SUMPRODUCT($AI$9:$DF$9,'Staff Daily sales'!$G790:$CD790))</f>
        <v>0</v>
      </c>
      <c r="P805">
        <f>IF($E805=0,0,SUMPRODUCT($AI$10:$DF$10,'Staff Daily sales'!$G790:$CD790))</f>
        <v>0</v>
      </c>
      <c r="Q805">
        <f>IF($E805=0,0,SUMPRODUCT($AI$11:$DF$11,'Staff Daily sales'!$G790:$CD790))</f>
        <v>0</v>
      </c>
      <c r="R805">
        <f>IF($E805=0,0,SUMPRODUCT($AI$12:$DF$12,'Staff Daily sales'!$G790:$CD790))</f>
        <v>0</v>
      </c>
      <c r="S805">
        <f>IF($E805=0,0,SUMPRODUCT($AI$13:$DF$13,'Staff Daily sales'!$G790:$CD790))</f>
        <v>0</v>
      </c>
      <c r="T805">
        <f>IF($E805=0,0,SUMPRODUCT($AI$14:$DF$14,'Staff Daily sales'!$G790:$CD790))</f>
        <v>0</v>
      </c>
      <c r="U805">
        <f>IF($E805=0,0,SUMPRODUCT($AI$15:$DF$15,'Staff Daily sales'!$G790:$CD790))</f>
        <v>0</v>
      </c>
      <c r="V805">
        <f>IF($E805=0,0,SUMPRODUCT($AI$16:$DF$16,'Staff Daily sales'!$G790:$CD790))</f>
        <v>0</v>
      </c>
      <c r="W805">
        <f t="shared" si="223"/>
        <v>0</v>
      </c>
      <c r="X805">
        <f t="shared" si="224"/>
        <v>0</v>
      </c>
      <c r="Y805">
        <f t="shared" si="225"/>
        <v>0</v>
      </c>
      <c r="Z805">
        <f t="shared" si="226"/>
        <v>0</v>
      </c>
      <c r="AA805">
        <f t="shared" si="227"/>
        <v>0</v>
      </c>
      <c r="AB805">
        <f>--AND($E805=1,OR('Staff Weekly Trend'!$B$3="All",$DH805='Staff Weekly Trend'!$B$3),OR('Staff Weekly Trend'!$B$4="All",$D805='Staff Weekly Trend'!$B$4),OR('Staff Weekly Trend'!$B$5="All",$A805='Staff Weekly Trend'!$B$5))</f>
        <v>0</v>
      </c>
      <c r="AC805" t="str">
        <f t="shared" si="228"/>
        <v/>
      </c>
      <c r="AI805">
        <f t="shared" si="229"/>
        <v>0</v>
      </c>
      <c r="AJ805">
        <f t="shared" si="230"/>
        <v>0</v>
      </c>
      <c r="AK805">
        <f t="shared" si="231"/>
        <v>0</v>
      </c>
      <c r="AL805">
        <f t="shared" si="232"/>
        <v>0</v>
      </c>
      <c r="AM805">
        <f t="shared" si="233"/>
        <v>0</v>
      </c>
      <c r="DH805" t="str" cm="1">
        <f t="array" ref="DH805">IF($A805="","",_xlfn.LET(_xlpm.c,IFERROR(_xlfn.XLOOKUP($A805,TRIM('Sales and count'!$A$4:$A$300&amp;""),TRIM('Sales and count'!$B$4:$B$300&amp;"")),""),IF(OR(_xlpm.c="",_xlpm.c="0",LEFT(_xlpm.c,1)="#"),"Not set",_xlpm.c)))</f>
        <v/>
      </c>
    </row>
    <row r="806" spans="1:112" x14ac:dyDescent="0.25">
      <c r="A806" t="str">
        <f>IF('Staff Daily sales'!$B791="","",TRIM('Staff Daily sales'!$B791&amp;""))</f>
        <v/>
      </c>
      <c r="B806" t="str">
        <f>IF('Staff Daily sales'!$D791="","",TRIM('Staff Daily sales'!$D791&amp;""))</f>
        <v/>
      </c>
      <c r="C806" t="str">
        <f>IFERROR(TRIM('Staff Daily sales'!$E791&amp;""),"")</f>
        <v/>
      </c>
      <c r="D806" t="str">
        <f>IFERROR(IF(TRIM('Staff Daily sales'!$F791&amp;"")="","Unassigned",TRIM('Staff Daily sales'!$F791&amp;"")),"Unassigned")</f>
        <v>Unassigned</v>
      </c>
      <c r="E806">
        <f t="shared" si="218"/>
        <v>0</v>
      </c>
      <c r="F806">
        <f>IF($E806=0,0,SUMPRODUCT($AI$5:$DF$5,'Staff Daily sales'!$G791:$CD791))</f>
        <v>0</v>
      </c>
      <c r="G806">
        <f>IF($E806=0,0,SUMPRODUCT($AI$6:$DF$6,'Staff Daily sales'!$G791:$CD791))</f>
        <v>0</v>
      </c>
      <c r="H806">
        <f t="shared" si="219"/>
        <v>0</v>
      </c>
      <c r="I806">
        <f t="shared" si="220"/>
        <v>0</v>
      </c>
      <c r="J806">
        <f t="shared" si="221"/>
        <v>0</v>
      </c>
      <c r="K806">
        <f t="shared" si="222"/>
        <v>0</v>
      </c>
      <c r="L806">
        <f>--AND($E806=1,OR('Staff Dashboard'!$B$6="All",$DH806='Staff Dashboard'!$B$6),OR('Staff Dashboard'!$B$7="All",$D806='Staff Dashboard'!$B$7),OR('Staff Dashboard'!$B$8="All",$A806='Staff Dashboard'!$B$8))</f>
        <v>0</v>
      </c>
      <c r="M806">
        <f>IF($E806=0,0,SUMPRODUCT($AI$7:$DF$7,'Staff Daily sales'!$G791:$CD791))</f>
        <v>0</v>
      </c>
      <c r="N806">
        <f>IF($E806=0,0,SUMPRODUCT($AI$8:$DF$8,'Staff Daily sales'!$G791:$CD791))</f>
        <v>0</v>
      </c>
      <c r="O806">
        <f>IF($E806=0,0,SUMPRODUCT($AI$9:$DF$9,'Staff Daily sales'!$G791:$CD791))</f>
        <v>0</v>
      </c>
      <c r="P806">
        <f>IF($E806=0,0,SUMPRODUCT($AI$10:$DF$10,'Staff Daily sales'!$G791:$CD791))</f>
        <v>0</v>
      </c>
      <c r="Q806">
        <f>IF($E806=0,0,SUMPRODUCT($AI$11:$DF$11,'Staff Daily sales'!$G791:$CD791))</f>
        <v>0</v>
      </c>
      <c r="R806">
        <f>IF($E806=0,0,SUMPRODUCT($AI$12:$DF$12,'Staff Daily sales'!$G791:$CD791))</f>
        <v>0</v>
      </c>
      <c r="S806">
        <f>IF($E806=0,0,SUMPRODUCT($AI$13:$DF$13,'Staff Daily sales'!$G791:$CD791))</f>
        <v>0</v>
      </c>
      <c r="T806">
        <f>IF($E806=0,0,SUMPRODUCT($AI$14:$DF$14,'Staff Daily sales'!$G791:$CD791))</f>
        <v>0</v>
      </c>
      <c r="U806">
        <f>IF($E806=0,0,SUMPRODUCT($AI$15:$DF$15,'Staff Daily sales'!$G791:$CD791))</f>
        <v>0</v>
      </c>
      <c r="V806">
        <f>IF($E806=0,0,SUMPRODUCT($AI$16:$DF$16,'Staff Daily sales'!$G791:$CD791))</f>
        <v>0</v>
      </c>
      <c r="W806">
        <f t="shared" si="223"/>
        <v>0</v>
      </c>
      <c r="X806">
        <f t="shared" si="224"/>
        <v>0</v>
      </c>
      <c r="Y806">
        <f t="shared" si="225"/>
        <v>0</v>
      </c>
      <c r="Z806">
        <f t="shared" si="226"/>
        <v>0</v>
      </c>
      <c r="AA806">
        <f t="shared" si="227"/>
        <v>0</v>
      </c>
      <c r="AB806">
        <f>--AND($E806=1,OR('Staff Weekly Trend'!$B$3="All",$DH806='Staff Weekly Trend'!$B$3),OR('Staff Weekly Trend'!$B$4="All",$D806='Staff Weekly Trend'!$B$4),OR('Staff Weekly Trend'!$B$5="All",$A806='Staff Weekly Trend'!$B$5))</f>
        <v>0</v>
      </c>
      <c r="AC806" t="str">
        <f t="shared" si="228"/>
        <v/>
      </c>
      <c r="AI806">
        <f t="shared" si="229"/>
        <v>0</v>
      </c>
      <c r="AJ806">
        <f t="shared" si="230"/>
        <v>0</v>
      </c>
      <c r="AK806">
        <f t="shared" si="231"/>
        <v>0</v>
      </c>
      <c r="AL806">
        <f t="shared" si="232"/>
        <v>0</v>
      </c>
      <c r="AM806">
        <f t="shared" si="233"/>
        <v>0</v>
      </c>
      <c r="DH806" t="str" cm="1">
        <f t="array" ref="DH806">IF($A806="","",_xlfn.LET(_xlpm.c,IFERROR(_xlfn.XLOOKUP($A806,TRIM('Sales and count'!$A$4:$A$300&amp;""),TRIM('Sales and count'!$B$4:$B$300&amp;"")),""),IF(OR(_xlpm.c="",_xlpm.c="0",LEFT(_xlpm.c,1)="#"),"Not set",_xlpm.c)))</f>
        <v/>
      </c>
    </row>
    <row r="807" spans="1:112" x14ac:dyDescent="0.25">
      <c r="A807" t="str">
        <f>IF('Staff Daily sales'!$B792="","",TRIM('Staff Daily sales'!$B792&amp;""))</f>
        <v/>
      </c>
      <c r="B807" t="str">
        <f>IF('Staff Daily sales'!$D792="","",TRIM('Staff Daily sales'!$D792&amp;""))</f>
        <v/>
      </c>
      <c r="C807" t="str">
        <f>IFERROR(TRIM('Staff Daily sales'!$E792&amp;""),"")</f>
        <v/>
      </c>
      <c r="D807" t="str">
        <f>IFERROR(IF(TRIM('Staff Daily sales'!$F792&amp;"")="","Unassigned",TRIM('Staff Daily sales'!$F792&amp;"")),"Unassigned")</f>
        <v>Unassigned</v>
      </c>
      <c r="E807">
        <f t="shared" si="218"/>
        <v>0</v>
      </c>
      <c r="F807">
        <f>IF($E807=0,0,SUMPRODUCT($AI$5:$DF$5,'Staff Daily sales'!$G792:$CD792))</f>
        <v>0</v>
      </c>
      <c r="G807">
        <f>IF($E807=0,0,SUMPRODUCT($AI$6:$DF$6,'Staff Daily sales'!$G792:$CD792))</f>
        <v>0</v>
      </c>
      <c r="H807">
        <f t="shared" si="219"/>
        <v>0</v>
      </c>
      <c r="I807">
        <f t="shared" si="220"/>
        <v>0</v>
      </c>
      <c r="J807">
        <f t="shared" si="221"/>
        <v>0</v>
      </c>
      <c r="K807">
        <f t="shared" si="222"/>
        <v>0</v>
      </c>
      <c r="L807">
        <f>--AND($E807=1,OR('Staff Dashboard'!$B$6="All",$DH807='Staff Dashboard'!$B$6),OR('Staff Dashboard'!$B$7="All",$D807='Staff Dashboard'!$B$7),OR('Staff Dashboard'!$B$8="All",$A807='Staff Dashboard'!$B$8))</f>
        <v>0</v>
      </c>
      <c r="M807">
        <f>IF($E807=0,0,SUMPRODUCT($AI$7:$DF$7,'Staff Daily sales'!$G792:$CD792))</f>
        <v>0</v>
      </c>
      <c r="N807">
        <f>IF($E807=0,0,SUMPRODUCT($AI$8:$DF$8,'Staff Daily sales'!$G792:$CD792))</f>
        <v>0</v>
      </c>
      <c r="O807">
        <f>IF($E807=0,0,SUMPRODUCT($AI$9:$DF$9,'Staff Daily sales'!$G792:$CD792))</f>
        <v>0</v>
      </c>
      <c r="P807">
        <f>IF($E807=0,0,SUMPRODUCT($AI$10:$DF$10,'Staff Daily sales'!$G792:$CD792))</f>
        <v>0</v>
      </c>
      <c r="Q807">
        <f>IF($E807=0,0,SUMPRODUCT($AI$11:$DF$11,'Staff Daily sales'!$G792:$CD792))</f>
        <v>0</v>
      </c>
      <c r="R807">
        <f>IF($E807=0,0,SUMPRODUCT($AI$12:$DF$12,'Staff Daily sales'!$G792:$CD792))</f>
        <v>0</v>
      </c>
      <c r="S807">
        <f>IF($E807=0,0,SUMPRODUCT($AI$13:$DF$13,'Staff Daily sales'!$G792:$CD792))</f>
        <v>0</v>
      </c>
      <c r="T807">
        <f>IF($E807=0,0,SUMPRODUCT($AI$14:$DF$14,'Staff Daily sales'!$G792:$CD792))</f>
        <v>0</v>
      </c>
      <c r="U807">
        <f>IF($E807=0,0,SUMPRODUCT($AI$15:$DF$15,'Staff Daily sales'!$G792:$CD792))</f>
        <v>0</v>
      </c>
      <c r="V807">
        <f>IF($E807=0,0,SUMPRODUCT($AI$16:$DF$16,'Staff Daily sales'!$G792:$CD792))</f>
        <v>0</v>
      </c>
      <c r="W807">
        <f t="shared" si="223"/>
        <v>0</v>
      </c>
      <c r="X807">
        <f t="shared" si="224"/>
        <v>0</v>
      </c>
      <c r="Y807">
        <f t="shared" si="225"/>
        <v>0</v>
      </c>
      <c r="Z807">
        <f t="shared" si="226"/>
        <v>0</v>
      </c>
      <c r="AA807">
        <f t="shared" si="227"/>
        <v>0</v>
      </c>
      <c r="AB807">
        <f>--AND($E807=1,OR('Staff Weekly Trend'!$B$3="All",$DH807='Staff Weekly Trend'!$B$3),OR('Staff Weekly Trend'!$B$4="All",$D807='Staff Weekly Trend'!$B$4),OR('Staff Weekly Trend'!$B$5="All",$A807='Staff Weekly Trend'!$B$5))</f>
        <v>0</v>
      </c>
      <c r="AC807" t="str">
        <f t="shared" si="228"/>
        <v/>
      </c>
      <c r="AI807">
        <f t="shared" si="229"/>
        <v>0</v>
      </c>
      <c r="AJ807">
        <f t="shared" si="230"/>
        <v>0</v>
      </c>
      <c r="AK807">
        <f t="shared" si="231"/>
        <v>0</v>
      </c>
      <c r="AL807">
        <f t="shared" si="232"/>
        <v>0</v>
      </c>
      <c r="AM807">
        <f t="shared" si="233"/>
        <v>0</v>
      </c>
      <c r="DH807" t="str" cm="1">
        <f t="array" ref="DH807">IF($A807="","",_xlfn.LET(_xlpm.c,IFERROR(_xlfn.XLOOKUP($A807,TRIM('Sales and count'!$A$4:$A$300&amp;""),TRIM('Sales and count'!$B$4:$B$300&amp;"")),""),IF(OR(_xlpm.c="",_xlpm.c="0",LEFT(_xlpm.c,1)="#"),"Not set",_xlpm.c)))</f>
        <v/>
      </c>
    </row>
    <row r="808" spans="1:112" x14ac:dyDescent="0.25">
      <c r="A808" t="str">
        <f>IF('Staff Daily sales'!$B793="","",TRIM('Staff Daily sales'!$B793&amp;""))</f>
        <v/>
      </c>
      <c r="B808" t="str">
        <f>IF('Staff Daily sales'!$D793="","",TRIM('Staff Daily sales'!$D793&amp;""))</f>
        <v/>
      </c>
      <c r="C808" t="str">
        <f>IFERROR(TRIM('Staff Daily sales'!$E793&amp;""),"")</f>
        <v/>
      </c>
      <c r="D808" t="str">
        <f>IFERROR(IF(TRIM('Staff Daily sales'!$F793&amp;"")="","Unassigned",TRIM('Staff Daily sales'!$F793&amp;"")),"Unassigned")</f>
        <v>Unassigned</v>
      </c>
      <c r="E808">
        <f t="shared" si="218"/>
        <v>0</v>
      </c>
      <c r="F808">
        <f>IF($E808=0,0,SUMPRODUCT($AI$5:$DF$5,'Staff Daily sales'!$G793:$CD793))</f>
        <v>0</v>
      </c>
      <c r="G808">
        <f>IF($E808=0,0,SUMPRODUCT($AI$6:$DF$6,'Staff Daily sales'!$G793:$CD793))</f>
        <v>0</v>
      </c>
      <c r="H808">
        <f t="shared" si="219"/>
        <v>0</v>
      </c>
      <c r="I808">
        <f t="shared" si="220"/>
        <v>0</v>
      </c>
      <c r="J808">
        <f t="shared" si="221"/>
        <v>0</v>
      </c>
      <c r="K808">
        <f t="shared" si="222"/>
        <v>0</v>
      </c>
      <c r="L808">
        <f>--AND($E808=1,OR('Staff Dashboard'!$B$6="All",$DH808='Staff Dashboard'!$B$6),OR('Staff Dashboard'!$B$7="All",$D808='Staff Dashboard'!$B$7),OR('Staff Dashboard'!$B$8="All",$A808='Staff Dashboard'!$B$8))</f>
        <v>0</v>
      </c>
      <c r="M808">
        <f>IF($E808=0,0,SUMPRODUCT($AI$7:$DF$7,'Staff Daily sales'!$G793:$CD793))</f>
        <v>0</v>
      </c>
      <c r="N808">
        <f>IF($E808=0,0,SUMPRODUCT($AI$8:$DF$8,'Staff Daily sales'!$G793:$CD793))</f>
        <v>0</v>
      </c>
      <c r="O808">
        <f>IF($E808=0,0,SUMPRODUCT($AI$9:$DF$9,'Staff Daily sales'!$G793:$CD793))</f>
        <v>0</v>
      </c>
      <c r="P808">
        <f>IF($E808=0,0,SUMPRODUCT($AI$10:$DF$10,'Staff Daily sales'!$G793:$CD793))</f>
        <v>0</v>
      </c>
      <c r="Q808">
        <f>IF($E808=0,0,SUMPRODUCT($AI$11:$DF$11,'Staff Daily sales'!$G793:$CD793))</f>
        <v>0</v>
      </c>
      <c r="R808">
        <f>IF($E808=0,0,SUMPRODUCT($AI$12:$DF$12,'Staff Daily sales'!$G793:$CD793))</f>
        <v>0</v>
      </c>
      <c r="S808">
        <f>IF($E808=0,0,SUMPRODUCT($AI$13:$DF$13,'Staff Daily sales'!$G793:$CD793))</f>
        <v>0</v>
      </c>
      <c r="T808">
        <f>IF($E808=0,0,SUMPRODUCT($AI$14:$DF$14,'Staff Daily sales'!$G793:$CD793))</f>
        <v>0</v>
      </c>
      <c r="U808">
        <f>IF($E808=0,0,SUMPRODUCT($AI$15:$DF$15,'Staff Daily sales'!$G793:$CD793))</f>
        <v>0</v>
      </c>
      <c r="V808">
        <f>IF($E808=0,0,SUMPRODUCT($AI$16:$DF$16,'Staff Daily sales'!$G793:$CD793))</f>
        <v>0</v>
      </c>
      <c r="W808">
        <f t="shared" si="223"/>
        <v>0</v>
      </c>
      <c r="X808">
        <f t="shared" si="224"/>
        <v>0</v>
      </c>
      <c r="Y808">
        <f t="shared" si="225"/>
        <v>0</v>
      </c>
      <c r="Z808">
        <f t="shared" si="226"/>
        <v>0</v>
      </c>
      <c r="AA808">
        <f t="shared" si="227"/>
        <v>0</v>
      </c>
      <c r="AB808">
        <f>--AND($E808=1,OR('Staff Weekly Trend'!$B$3="All",$DH808='Staff Weekly Trend'!$B$3),OR('Staff Weekly Trend'!$B$4="All",$D808='Staff Weekly Trend'!$B$4),OR('Staff Weekly Trend'!$B$5="All",$A808='Staff Weekly Trend'!$B$5))</f>
        <v>0</v>
      </c>
      <c r="AC808" t="str">
        <f t="shared" si="228"/>
        <v/>
      </c>
      <c r="AI808">
        <f t="shared" si="229"/>
        <v>0</v>
      </c>
      <c r="AJ808">
        <f t="shared" si="230"/>
        <v>0</v>
      </c>
      <c r="AK808">
        <f t="shared" si="231"/>
        <v>0</v>
      </c>
      <c r="AL808">
        <f t="shared" si="232"/>
        <v>0</v>
      </c>
      <c r="AM808">
        <f t="shared" si="233"/>
        <v>0</v>
      </c>
      <c r="DH808" t="str" cm="1">
        <f t="array" ref="DH808">IF($A808="","",_xlfn.LET(_xlpm.c,IFERROR(_xlfn.XLOOKUP($A808,TRIM('Sales and count'!$A$4:$A$300&amp;""),TRIM('Sales and count'!$B$4:$B$300&amp;"")),""),IF(OR(_xlpm.c="",_xlpm.c="0",LEFT(_xlpm.c,1)="#"),"Not set",_xlpm.c)))</f>
        <v/>
      </c>
    </row>
    <row r="809" spans="1:112" x14ac:dyDescent="0.25">
      <c r="A809" t="str">
        <f>IF('Staff Daily sales'!$B794="","",TRIM('Staff Daily sales'!$B794&amp;""))</f>
        <v/>
      </c>
      <c r="B809" t="str">
        <f>IF('Staff Daily sales'!$D794="","",TRIM('Staff Daily sales'!$D794&amp;""))</f>
        <v/>
      </c>
      <c r="C809" t="str">
        <f>IFERROR(TRIM('Staff Daily sales'!$E794&amp;""),"")</f>
        <v/>
      </c>
      <c r="D809" t="str">
        <f>IFERROR(IF(TRIM('Staff Daily sales'!$F794&amp;"")="","Unassigned",TRIM('Staff Daily sales'!$F794&amp;"")),"Unassigned")</f>
        <v>Unassigned</v>
      </c>
      <c r="E809">
        <f t="shared" si="218"/>
        <v>0</v>
      </c>
      <c r="F809">
        <f>IF($E809=0,0,SUMPRODUCT($AI$5:$DF$5,'Staff Daily sales'!$G794:$CD794))</f>
        <v>0</v>
      </c>
      <c r="G809">
        <f>IF($E809=0,0,SUMPRODUCT($AI$6:$DF$6,'Staff Daily sales'!$G794:$CD794))</f>
        <v>0</v>
      </c>
      <c r="H809">
        <f t="shared" si="219"/>
        <v>0</v>
      </c>
      <c r="I809">
        <f t="shared" si="220"/>
        <v>0</v>
      </c>
      <c r="J809">
        <f t="shared" si="221"/>
        <v>0</v>
      </c>
      <c r="K809">
        <f t="shared" si="222"/>
        <v>0</v>
      </c>
      <c r="L809">
        <f>--AND($E809=1,OR('Staff Dashboard'!$B$6="All",$DH809='Staff Dashboard'!$B$6),OR('Staff Dashboard'!$B$7="All",$D809='Staff Dashboard'!$B$7),OR('Staff Dashboard'!$B$8="All",$A809='Staff Dashboard'!$B$8))</f>
        <v>0</v>
      </c>
      <c r="M809">
        <f>IF($E809=0,0,SUMPRODUCT($AI$7:$DF$7,'Staff Daily sales'!$G794:$CD794))</f>
        <v>0</v>
      </c>
      <c r="N809">
        <f>IF($E809=0,0,SUMPRODUCT($AI$8:$DF$8,'Staff Daily sales'!$G794:$CD794))</f>
        <v>0</v>
      </c>
      <c r="O809">
        <f>IF($E809=0,0,SUMPRODUCT($AI$9:$DF$9,'Staff Daily sales'!$G794:$CD794))</f>
        <v>0</v>
      </c>
      <c r="P809">
        <f>IF($E809=0,0,SUMPRODUCT($AI$10:$DF$10,'Staff Daily sales'!$G794:$CD794))</f>
        <v>0</v>
      </c>
      <c r="Q809">
        <f>IF($E809=0,0,SUMPRODUCT($AI$11:$DF$11,'Staff Daily sales'!$G794:$CD794))</f>
        <v>0</v>
      </c>
      <c r="R809">
        <f>IF($E809=0,0,SUMPRODUCT($AI$12:$DF$12,'Staff Daily sales'!$G794:$CD794))</f>
        <v>0</v>
      </c>
      <c r="S809">
        <f>IF($E809=0,0,SUMPRODUCT($AI$13:$DF$13,'Staff Daily sales'!$G794:$CD794))</f>
        <v>0</v>
      </c>
      <c r="T809">
        <f>IF($E809=0,0,SUMPRODUCT($AI$14:$DF$14,'Staff Daily sales'!$G794:$CD794))</f>
        <v>0</v>
      </c>
      <c r="U809">
        <f>IF($E809=0,0,SUMPRODUCT($AI$15:$DF$15,'Staff Daily sales'!$G794:$CD794))</f>
        <v>0</v>
      </c>
      <c r="V809">
        <f>IF($E809=0,0,SUMPRODUCT($AI$16:$DF$16,'Staff Daily sales'!$G794:$CD794))</f>
        <v>0</v>
      </c>
      <c r="W809">
        <f t="shared" si="223"/>
        <v>0</v>
      </c>
      <c r="X809">
        <f t="shared" si="224"/>
        <v>0</v>
      </c>
      <c r="Y809">
        <f t="shared" si="225"/>
        <v>0</v>
      </c>
      <c r="Z809">
        <f t="shared" si="226"/>
        <v>0</v>
      </c>
      <c r="AA809">
        <f t="shared" si="227"/>
        <v>0</v>
      </c>
      <c r="AB809">
        <f>--AND($E809=1,OR('Staff Weekly Trend'!$B$3="All",$DH809='Staff Weekly Trend'!$B$3),OR('Staff Weekly Trend'!$B$4="All",$D809='Staff Weekly Trend'!$B$4),OR('Staff Weekly Trend'!$B$5="All",$A809='Staff Weekly Trend'!$B$5))</f>
        <v>0</v>
      </c>
      <c r="AC809" t="str">
        <f t="shared" si="228"/>
        <v/>
      </c>
      <c r="AI809">
        <f t="shared" si="229"/>
        <v>0</v>
      </c>
      <c r="AJ809">
        <f t="shared" si="230"/>
        <v>0</v>
      </c>
      <c r="AK809">
        <f t="shared" si="231"/>
        <v>0</v>
      </c>
      <c r="AL809">
        <f t="shared" si="232"/>
        <v>0</v>
      </c>
      <c r="AM809">
        <f t="shared" si="233"/>
        <v>0</v>
      </c>
      <c r="DH809" t="str" cm="1">
        <f t="array" ref="DH809">IF($A809="","",_xlfn.LET(_xlpm.c,IFERROR(_xlfn.XLOOKUP($A809,TRIM('Sales and count'!$A$4:$A$300&amp;""),TRIM('Sales and count'!$B$4:$B$300&amp;"")),""),IF(OR(_xlpm.c="",_xlpm.c="0",LEFT(_xlpm.c,1)="#"),"Not set",_xlpm.c)))</f>
        <v/>
      </c>
    </row>
    <row r="810" spans="1:112" x14ac:dyDescent="0.25">
      <c r="A810" t="str">
        <f>IF('Staff Daily sales'!$B795="","",TRIM('Staff Daily sales'!$B795&amp;""))</f>
        <v/>
      </c>
      <c r="B810" t="str">
        <f>IF('Staff Daily sales'!$D795="","",TRIM('Staff Daily sales'!$D795&amp;""))</f>
        <v/>
      </c>
      <c r="C810" t="str">
        <f>IFERROR(TRIM('Staff Daily sales'!$E795&amp;""),"")</f>
        <v/>
      </c>
      <c r="D810" t="str">
        <f>IFERROR(IF(TRIM('Staff Daily sales'!$F795&amp;"")="","Unassigned",TRIM('Staff Daily sales'!$F795&amp;"")),"Unassigned")</f>
        <v>Unassigned</v>
      </c>
      <c r="E810">
        <f t="shared" si="218"/>
        <v>0</v>
      </c>
      <c r="F810">
        <f>IF($E810=0,0,SUMPRODUCT($AI$5:$DF$5,'Staff Daily sales'!$G795:$CD795))</f>
        <v>0</v>
      </c>
      <c r="G810">
        <f>IF($E810=0,0,SUMPRODUCT($AI$6:$DF$6,'Staff Daily sales'!$G795:$CD795))</f>
        <v>0</v>
      </c>
      <c r="H810">
        <f t="shared" si="219"/>
        <v>0</v>
      </c>
      <c r="I810">
        <f t="shared" si="220"/>
        <v>0</v>
      </c>
      <c r="J810">
        <f t="shared" si="221"/>
        <v>0</v>
      </c>
      <c r="K810">
        <f t="shared" si="222"/>
        <v>0</v>
      </c>
      <c r="L810">
        <f>--AND($E810=1,OR('Staff Dashboard'!$B$6="All",$DH810='Staff Dashboard'!$B$6),OR('Staff Dashboard'!$B$7="All",$D810='Staff Dashboard'!$B$7),OR('Staff Dashboard'!$B$8="All",$A810='Staff Dashboard'!$B$8))</f>
        <v>0</v>
      </c>
      <c r="M810">
        <f>IF($E810=0,0,SUMPRODUCT($AI$7:$DF$7,'Staff Daily sales'!$G795:$CD795))</f>
        <v>0</v>
      </c>
      <c r="N810">
        <f>IF($E810=0,0,SUMPRODUCT($AI$8:$DF$8,'Staff Daily sales'!$G795:$CD795))</f>
        <v>0</v>
      </c>
      <c r="O810">
        <f>IF($E810=0,0,SUMPRODUCT($AI$9:$DF$9,'Staff Daily sales'!$G795:$CD795))</f>
        <v>0</v>
      </c>
      <c r="P810">
        <f>IF($E810=0,0,SUMPRODUCT($AI$10:$DF$10,'Staff Daily sales'!$G795:$CD795))</f>
        <v>0</v>
      </c>
      <c r="Q810">
        <f>IF($E810=0,0,SUMPRODUCT($AI$11:$DF$11,'Staff Daily sales'!$G795:$CD795))</f>
        <v>0</v>
      </c>
      <c r="R810">
        <f>IF($E810=0,0,SUMPRODUCT($AI$12:$DF$12,'Staff Daily sales'!$G795:$CD795))</f>
        <v>0</v>
      </c>
      <c r="S810">
        <f>IF($E810=0,0,SUMPRODUCT($AI$13:$DF$13,'Staff Daily sales'!$G795:$CD795))</f>
        <v>0</v>
      </c>
      <c r="T810">
        <f>IF($E810=0,0,SUMPRODUCT($AI$14:$DF$14,'Staff Daily sales'!$G795:$CD795))</f>
        <v>0</v>
      </c>
      <c r="U810">
        <f>IF($E810=0,0,SUMPRODUCT($AI$15:$DF$15,'Staff Daily sales'!$G795:$CD795))</f>
        <v>0</v>
      </c>
      <c r="V810">
        <f>IF($E810=0,0,SUMPRODUCT($AI$16:$DF$16,'Staff Daily sales'!$G795:$CD795))</f>
        <v>0</v>
      </c>
      <c r="W810">
        <f t="shared" si="223"/>
        <v>0</v>
      </c>
      <c r="X810">
        <f t="shared" si="224"/>
        <v>0</v>
      </c>
      <c r="Y810">
        <f t="shared" si="225"/>
        <v>0</v>
      </c>
      <c r="Z810">
        <f t="shared" si="226"/>
        <v>0</v>
      </c>
      <c r="AA810">
        <f t="shared" si="227"/>
        <v>0</v>
      </c>
      <c r="AB810">
        <f>--AND($E810=1,OR('Staff Weekly Trend'!$B$3="All",$DH810='Staff Weekly Trend'!$B$3),OR('Staff Weekly Trend'!$B$4="All",$D810='Staff Weekly Trend'!$B$4),OR('Staff Weekly Trend'!$B$5="All",$A810='Staff Weekly Trend'!$B$5))</f>
        <v>0</v>
      </c>
      <c r="AC810" t="str">
        <f t="shared" si="228"/>
        <v/>
      </c>
      <c r="AI810">
        <f t="shared" si="229"/>
        <v>0</v>
      </c>
      <c r="AJ810">
        <f t="shared" si="230"/>
        <v>0</v>
      </c>
      <c r="AK810">
        <f t="shared" si="231"/>
        <v>0</v>
      </c>
      <c r="AL810">
        <f t="shared" si="232"/>
        <v>0</v>
      </c>
      <c r="AM810">
        <f t="shared" si="233"/>
        <v>0</v>
      </c>
      <c r="DH810" t="str" cm="1">
        <f t="array" ref="DH810">IF($A810="","",_xlfn.LET(_xlpm.c,IFERROR(_xlfn.XLOOKUP($A810,TRIM('Sales and count'!$A$4:$A$300&amp;""),TRIM('Sales and count'!$B$4:$B$300&amp;"")),""),IF(OR(_xlpm.c="",_xlpm.c="0",LEFT(_xlpm.c,1)="#"),"Not set",_xlpm.c)))</f>
        <v/>
      </c>
    </row>
    <row r="811" spans="1:112" x14ac:dyDescent="0.25">
      <c r="A811" t="str">
        <f>IF('Staff Daily sales'!$B796="","",TRIM('Staff Daily sales'!$B796&amp;""))</f>
        <v/>
      </c>
      <c r="B811" t="str">
        <f>IF('Staff Daily sales'!$D796="","",TRIM('Staff Daily sales'!$D796&amp;""))</f>
        <v/>
      </c>
      <c r="C811" t="str">
        <f>IFERROR(TRIM('Staff Daily sales'!$E796&amp;""),"")</f>
        <v/>
      </c>
      <c r="D811" t="str">
        <f>IFERROR(IF(TRIM('Staff Daily sales'!$F796&amp;"")="","Unassigned",TRIM('Staff Daily sales'!$F796&amp;"")),"Unassigned")</f>
        <v>Unassigned</v>
      </c>
      <c r="E811">
        <f t="shared" si="218"/>
        <v>0</v>
      </c>
      <c r="F811">
        <f>IF($E811=0,0,SUMPRODUCT($AI$5:$DF$5,'Staff Daily sales'!$G796:$CD796))</f>
        <v>0</v>
      </c>
      <c r="G811">
        <f>IF($E811=0,0,SUMPRODUCT($AI$6:$DF$6,'Staff Daily sales'!$G796:$CD796))</f>
        <v>0</v>
      </c>
      <c r="H811">
        <f t="shared" si="219"/>
        <v>0</v>
      </c>
      <c r="I811">
        <f t="shared" si="220"/>
        <v>0</v>
      </c>
      <c r="J811">
        <f t="shared" si="221"/>
        <v>0</v>
      </c>
      <c r="K811">
        <f t="shared" si="222"/>
        <v>0</v>
      </c>
      <c r="L811">
        <f>--AND($E811=1,OR('Staff Dashboard'!$B$6="All",$DH811='Staff Dashboard'!$B$6),OR('Staff Dashboard'!$B$7="All",$D811='Staff Dashboard'!$B$7),OR('Staff Dashboard'!$B$8="All",$A811='Staff Dashboard'!$B$8))</f>
        <v>0</v>
      </c>
      <c r="M811">
        <f>IF($E811=0,0,SUMPRODUCT($AI$7:$DF$7,'Staff Daily sales'!$G796:$CD796))</f>
        <v>0</v>
      </c>
      <c r="N811">
        <f>IF($E811=0,0,SUMPRODUCT($AI$8:$DF$8,'Staff Daily sales'!$G796:$CD796))</f>
        <v>0</v>
      </c>
      <c r="O811">
        <f>IF($E811=0,0,SUMPRODUCT($AI$9:$DF$9,'Staff Daily sales'!$G796:$CD796))</f>
        <v>0</v>
      </c>
      <c r="P811">
        <f>IF($E811=0,0,SUMPRODUCT($AI$10:$DF$10,'Staff Daily sales'!$G796:$CD796))</f>
        <v>0</v>
      </c>
      <c r="Q811">
        <f>IF($E811=0,0,SUMPRODUCT($AI$11:$DF$11,'Staff Daily sales'!$G796:$CD796))</f>
        <v>0</v>
      </c>
      <c r="R811">
        <f>IF($E811=0,0,SUMPRODUCT($AI$12:$DF$12,'Staff Daily sales'!$G796:$CD796))</f>
        <v>0</v>
      </c>
      <c r="S811">
        <f>IF($E811=0,0,SUMPRODUCT($AI$13:$DF$13,'Staff Daily sales'!$G796:$CD796))</f>
        <v>0</v>
      </c>
      <c r="T811">
        <f>IF($E811=0,0,SUMPRODUCT($AI$14:$DF$14,'Staff Daily sales'!$G796:$CD796))</f>
        <v>0</v>
      </c>
      <c r="U811">
        <f>IF($E811=0,0,SUMPRODUCT($AI$15:$DF$15,'Staff Daily sales'!$G796:$CD796))</f>
        <v>0</v>
      </c>
      <c r="V811">
        <f>IF($E811=0,0,SUMPRODUCT($AI$16:$DF$16,'Staff Daily sales'!$G796:$CD796))</f>
        <v>0</v>
      </c>
      <c r="W811">
        <f t="shared" si="223"/>
        <v>0</v>
      </c>
      <c r="X811">
        <f t="shared" si="224"/>
        <v>0</v>
      </c>
      <c r="Y811">
        <f t="shared" si="225"/>
        <v>0</v>
      </c>
      <c r="Z811">
        <f t="shared" si="226"/>
        <v>0</v>
      </c>
      <c r="AA811">
        <f t="shared" si="227"/>
        <v>0</v>
      </c>
      <c r="AB811">
        <f>--AND($E811=1,OR('Staff Weekly Trend'!$B$3="All",$DH811='Staff Weekly Trend'!$B$3),OR('Staff Weekly Trend'!$B$4="All",$D811='Staff Weekly Trend'!$B$4),OR('Staff Weekly Trend'!$B$5="All",$A811='Staff Weekly Trend'!$B$5))</f>
        <v>0</v>
      </c>
      <c r="AC811" t="str">
        <f t="shared" si="228"/>
        <v/>
      </c>
      <c r="AI811">
        <f t="shared" si="229"/>
        <v>0</v>
      </c>
      <c r="AJ811">
        <f t="shared" si="230"/>
        <v>0</v>
      </c>
      <c r="AK811">
        <f t="shared" si="231"/>
        <v>0</v>
      </c>
      <c r="AL811">
        <f t="shared" si="232"/>
        <v>0</v>
      </c>
      <c r="AM811">
        <f t="shared" si="233"/>
        <v>0</v>
      </c>
      <c r="DH811" t="str" cm="1">
        <f t="array" ref="DH811">IF($A811="","",_xlfn.LET(_xlpm.c,IFERROR(_xlfn.XLOOKUP($A811,TRIM('Sales and count'!$A$4:$A$300&amp;""),TRIM('Sales and count'!$B$4:$B$300&amp;"")),""),IF(OR(_xlpm.c="",_xlpm.c="0",LEFT(_xlpm.c,1)="#"),"Not set",_xlpm.c)))</f>
        <v/>
      </c>
    </row>
    <row r="812" spans="1:112" x14ac:dyDescent="0.25">
      <c r="A812" t="str">
        <f>IF('Staff Daily sales'!$B797="","",TRIM('Staff Daily sales'!$B797&amp;""))</f>
        <v/>
      </c>
      <c r="B812" t="str">
        <f>IF('Staff Daily sales'!$D797="","",TRIM('Staff Daily sales'!$D797&amp;""))</f>
        <v/>
      </c>
      <c r="C812" t="str">
        <f>IFERROR(TRIM('Staff Daily sales'!$E797&amp;""),"")</f>
        <v/>
      </c>
      <c r="D812" t="str">
        <f>IFERROR(IF(TRIM('Staff Daily sales'!$F797&amp;"")="","Unassigned",TRIM('Staff Daily sales'!$F797&amp;"")),"Unassigned")</f>
        <v>Unassigned</v>
      </c>
      <c r="E812">
        <f t="shared" si="218"/>
        <v>0</v>
      </c>
      <c r="F812">
        <f>IF($E812=0,0,SUMPRODUCT($AI$5:$DF$5,'Staff Daily sales'!$G797:$CD797))</f>
        <v>0</v>
      </c>
      <c r="G812">
        <f>IF($E812=0,0,SUMPRODUCT($AI$6:$DF$6,'Staff Daily sales'!$G797:$CD797))</f>
        <v>0</v>
      </c>
      <c r="H812">
        <f t="shared" si="219"/>
        <v>0</v>
      </c>
      <c r="I812">
        <f t="shared" si="220"/>
        <v>0</v>
      </c>
      <c r="J812">
        <f t="shared" si="221"/>
        <v>0</v>
      </c>
      <c r="K812">
        <f t="shared" si="222"/>
        <v>0</v>
      </c>
      <c r="L812">
        <f>--AND($E812=1,OR('Staff Dashboard'!$B$6="All",$DH812='Staff Dashboard'!$B$6),OR('Staff Dashboard'!$B$7="All",$D812='Staff Dashboard'!$B$7),OR('Staff Dashboard'!$B$8="All",$A812='Staff Dashboard'!$B$8))</f>
        <v>0</v>
      </c>
      <c r="M812">
        <f>IF($E812=0,0,SUMPRODUCT($AI$7:$DF$7,'Staff Daily sales'!$G797:$CD797))</f>
        <v>0</v>
      </c>
      <c r="N812">
        <f>IF($E812=0,0,SUMPRODUCT($AI$8:$DF$8,'Staff Daily sales'!$G797:$CD797))</f>
        <v>0</v>
      </c>
      <c r="O812">
        <f>IF($E812=0,0,SUMPRODUCT($AI$9:$DF$9,'Staff Daily sales'!$G797:$CD797))</f>
        <v>0</v>
      </c>
      <c r="P812">
        <f>IF($E812=0,0,SUMPRODUCT($AI$10:$DF$10,'Staff Daily sales'!$G797:$CD797))</f>
        <v>0</v>
      </c>
      <c r="Q812">
        <f>IF($E812=0,0,SUMPRODUCT($AI$11:$DF$11,'Staff Daily sales'!$G797:$CD797))</f>
        <v>0</v>
      </c>
      <c r="R812">
        <f>IF($E812=0,0,SUMPRODUCT($AI$12:$DF$12,'Staff Daily sales'!$G797:$CD797))</f>
        <v>0</v>
      </c>
      <c r="S812">
        <f>IF($E812=0,0,SUMPRODUCT($AI$13:$DF$13,'Staff Daily sales'!$G797:$CD797))</f>
        <v>0</v>
      </c>
      <c r="T812">
        <f>IF($E812=0,0,SUMPRODUCT($AI$14:$DF$14,'Staff Daily sales'!$G797:$CD797))</f>
        <v>0</v>
      </c>
      <c r="U812">
        <f>IF($E812=0,0,SUMPRODUCT($AI$15:$DF$15,'Staff Daily sales'!$G797:$CD797))</f>
        <v>0</v>
      </c>
      <c r="V812">
        <f>IF($E812=0,0,SUMPRODUCT($AI$16:$DF$16,'Staff Daily sales'!$G797:$CD797))</f>
        <v>0</v>
      </c>
      <c r="W812">
        <f t="shared" si="223"/>
        <v>0</v>
      </c>
      <c r="X812">
        <f t="shared" si="224"/>
        <v>0</v>
      </c>
      <c r="Y812">
        <f t="shared" si="225"/>
        <v>0</v>
      </c>
      <c r="Z812">
        <f t="shared" si="226"/>
        <v>0</v>
      </c>
      <c r="AA812">
        <f t="shared" si="227"/>
        <v>0</v>
      </c>
      <c r="AB812">
        <f>--AND($E812=1,OR('Staff Weekly Trend'!$B$3="All",$DH812='Staff Weekly Trend'!$B$3),OR('Staff Weekly Trend'!$B$4="All",$D812='Staff Weekly Trend'!$B$4),OR('Staff Weekly Trend'!$B$5="All",$A812='Staff Weekly Trend'!$B$5))</f>
        <v>0</v>
      </c>
      <c r="AC812" t="str">
        <f t="shared" si="228"/>
        <v/>
      </c>
      <c r="AI812">
        <f t="shared" si="229"/>
        <v>0</v>
      </c>
      <c r="AJ812">
        <f t="shared" si="230"/>
        <v>0</v>
      </c>
      <c r="AK812">
        <f t="shared" si="231"/>
        <v>0</v>
      </c>
      <c r="AL812">
        <f t="shared" si="232"/>
        <v>0</v>
      </c>
      <c r="AM812">
        <f t="shared" si="233"/>
        <v>0</v>
      </c>
      <c r="DH812" t="str" cm="1">
        <f t="array" ref="DH812">IF($A812="","",_xlfn.LET(_xlpm.c,IFERROR(_xlfn.XLOOKUP($A812,TRIM('Sales and count'!$A$4:$A$300&amp;""),TRIM('Sales and count'!$B$4:$B$300&amp;"")),""),IF(OR(_xlpm.c="",_xlpm.c="0",LEFT(_xlpm.c,1)="#"),"Not set",_xlpm.c)))</f>
        <v/>
      </c>
    </row>
    <row r="813" spans="1:112" x14ac:dyDescent="0.25">
      <c r="A813" t="str">
        <f>IF('Staff Daily sales'!$B798="","",TRIM('Staff Daily sales'!$B798&amp;""))</f>
        <v/>
      </c>
      <c r="B813" t="str">
        <f>IF('Staff Daily sales'!$D798="","",TRIM('Staff Daily sales'!$D798&amp;""))</f>
        <v/>
      </c>
      <c r="C813" t="str">
        <f>IFERROR(TRIM('Staff Daily sales'!$E798&amp;""),"")</f>
        <v/>
      </c>
      <c r="D813" t="str">
        <f>IFERROR(IF(TRIM('Staff Daily sales'!$F798&amp;"")="","Unassigned",TRIM('Staff Daily sales'!$F798&amp;"")),"Unassigned")</f>
        <v>Unassigned</v>
      </c>
      <c r="E813">
        <f t="shared" si="218"/>
        <v>0</v>
      </c>
      <c r="F813">
        <f>IF($E813=0,0,SUMPRODUCT($AI$5:$DF$5,'Staff Daily sales'!$G798:$CD798))</f>
        <v>0</v>
      </c>
      <c r="G813">
        <f>IF($E813=0,0,SUMPRODUCT($AI$6:$DF$6,'Staff Daily sales'!$G798:$CD798))</f>
        <v>0</v>
      </c>
      <c r="H813">
        <f t="shared" si="219"/>
        <v>0</v>
      </c>
      <c r="I813">
        <f t="shared" si="220"/>
        <v>0</v>
      </c>
      <c r="J813">
        <f t="shared" si="221"/>
        <v>0</v>
      </c>
      <c r="K813">
        <f t="shared" si="222"/>
        <v>0</v>
      </c>
      <c r="L813">
        <f>--AND($E813=1,OR('Staff Dashboard'!$B$6="All",$DH813='Staff Dashboard'!$B$6),OR('Staff Dashboard'!$B$7="All",$D813='Staff Dashboard'!$B$7),OR('Staff Dashboard'!$B$8="All",$A813='Staff Dashboard'!$B$8))</f>
        <v>0</v>
      </c>
      <c r="M813">
        <f>IF($E813=0,0,SUMPRODUCT($AI$7:$DF$7,'Staff Daily sales'!$G798:$CD798))</f>
        <v>0</v>
      </c>
      <c r="N813">
        <f>IF($E813=0,0,SUMPRODUCT($AI$8:$DF$8,'Staff Daily sales'!$G798:$CD798))</f>
        <v>0</v>
      </c>
      <c r="O813">
        <f>IF($E813=0,0,SUMPRODUCT($AI$9:$DF$9,'Staff Daily sales'!$G798:$CD798))</f>
        <v>0</v>
      </c>
      <c r="P813">
        <f>IF($E813=0,0,SUMPRODUCT($AI$10:$DF$10,'Staff Daily sales'!$G798:$CD798))</f>
        <v>0</v>
      </c>
      <c r="Q813">
        <f>IF($E813=0,0,SUMPRODUCT($AI$11:$DF$11,'Staff Daily sales'!$G798:$CD798))</f>
        <v>0</v>
      </c>
      <c r="R813">
        <f>IF($E813=0,0,SUMPRODUCT($AI$12:$DF$12,'Staff Daily sales'!$G798:$CD798))</f>
        <v>0</v>
      </c>
      <c r="S813">
        <f>IF($E813=0,0,SUMPRODUCT($AI$13:$DF$13,'Staff Daily sales'!$G798:$CD798))</f>
        <v>0</v>
      </c>
      <c r="T813">
        <f>IF($E813=0,0,SUMPRODUCT($AI$14:$DF$14,'Staff Daily sales'!$G798:$CD798))</f>
        <v>0</v>
      </c>
      <c r="U813">
        <f>IF($E813=0,0,SUMPRODUCT($AI$15:$DF$15,'Staff Daily sales'!$G798:$CD798))</f>
        <v>0</v>
      </c>
      <c r="V813">
        <f>IF($E813=0,0,SUMPRODUCT($AI$16:$DF$16,'Staff Daily sales'!$G798:$CD798))</f>
        <v>0</v>
      </c>
      <c r="W813">
        <f t="shared" si="223"/>
        <v>0</v>
      </c>
      <c r="X813">
        <f t="shared" si="224"/>
        <v>0</v>
      </c>
      <c r="Y813">
        <f t="shared" si="225"/>
        <v>0</v>
      </c>
      <c r="Z813">
        <f t="shared" si="226"/>
        <v>0</v>
      </c>
      <c r="AA813">
        <f t="shared" si="227"/>
        <v>0</v>
      </c>
      <c r="AB813">
        <f>--AND($E813=1,OR('Staff Weekly Trend'!$B$3="All",$DH813='Staff Weekly Trend'!$B$3),OR('Staff Weekly Trend'!$B$4="All",$D813='Staff Weekly Trend'!$B$4),OR('Staff Weekly Trend'!$B$5="All",$A813='Staff Weekly Trend'!$B$5))</f>
        <v>0</v>
      </c>
      <c r="AC813" t="str">
        <f t="shared" si="228"/>
        <v/>
      </c>
      <c r="AI813">
        <f t="shared" si="229"/>
        <v>0</v>
      </c>
      <c r="AJ813">
        <f t="shared" si="230"/>
        <v>0</v>
      </c>
      <c r="AK813">
        <f t="shared" si="231"/>
        <v>0</v>
      </c>
      <c r="AL813">
        <f t="shared" si="232"/>
        <v>0</v>
      </c>
      <c r="AM813">
        <f t="shared" si="233"/>
        <v>0</v>
      </c>
      <c r="DH813" t="str" cm="1">
        <f t="array" ref="DH813">IF($A813="","",_xlfn.LET(_xlpm.c,IFERROR(_xlfn.XLOOKUP($A813,TRIM('Sales and count'!$A$4:$A$300&amp;""),TRIM('Sales and count'!$B$4:$B$300&amp;"")),""),IF(OR(_xlpm.c="",_xlpm.c="0",LEFT(_xlpm.c,1)="#"),"Not set",_xlpm.c)))</f>
        <v/>
      </c>
    </row>
    <row r="814" spans="1:112" x14ac:dyDescent="0.25">
      <c r="A814" t="str">
        <f>IF('Staff Daily sales'!$B799="","",TRIM('Staff Daily sales'!$B799&amp;""))</f>
        <v/>
      </c>
      <c r="B814" t="str">
        <f>IF('Staff Daily sales'!$D799="","",TRIM('Staff Daily sales'!$D799&amp;""))</f>
        <v/>
      </c>
      <c r="C814" t="str">
        <f>IFERROR(TRIM('Staff Daily sales'!$E799&amp;""),"")</f>
        <v/>
      </c>
      <c r="D814" t="str">
        <f>IFERROR(IF(TRIM('Staff Daily sales'!$F799&amp;"")="","Unassigned",TRIM('Staff Daily sales'!$F799&amp;"")),"Unassigned")</f>
        <v>Unassigned</v>
      </c>
      <c r="E814">
        <f t="shared" si="218"/>
        <v>0</v>
      </c>
      <c r="F814">
        <f>IF($E814=0,0,SUMPRODUCT($AI$5:$DF$5,'Staff Daily sales'!$G799:$CD799))</f>
        <v>0</v>
      </c>
      <c r="G814">
        <f>IF($E814=0,0,SUMPRODUCT($AI$6:$DF$6,'Staff Daily sales'!$G799:$CD799))</f>
        <v>0</v>
      </c>
      <c r="H814">
        <f t="shared" si="219"/>
        <v>0</v>
      </c>
      <c r="I814">
        <f t="shared" si="220"/>
        <v>0</v>
      </c>
      <c r="J814">
        <f t="shared" si="221"/>
        <v>0</v>
      </c>
      <c r="K814">
        <f t="shared" si="222"/>
        <v>0</v>
      </c>
      <c r="L814">
        <f>--AND($E814=1,OR('Staff Dashboard'!$B$6="All",$DH814='Staff Dashboard'!$B$6),OR('Staff Dashboard'!$B$7="All",$D814='Staff Dashboard'!$B$7),OR('Staff Dashboard'!$B$8="All",$A814='Staff Dashboard'!$B$8))</f>
        <v>0</v>
      </c>
      <c r="M814">
        <f>IF($E814=0,0,SUMPRODUCT($AI$7:$DF$7,'Staff Daily sales'!$G799:$CD799))</f>
        <v>0</v>
      </c>
      <c r="N814">
        <f>IF($E814=0,0,SUMPRODUCT($AI$8:$DF$8,'Staff Daily sales'!$G799:$CD799))</f>
        <v>0</v>
      </c>
      <c r="O814">
        <f>IF($E814=0,0,SUMPRODUCT($AI$9:$DF$9,'Staff Daily sales'!$G799:$CD799))</f>
        <v>0</v>
      </c>
      <c r="P814">
        <f>IF($E814=0,0,SUMPRODUCT($AI$10:$DF$10,'Staff Daily sales'!$G799:$CD799))</f>
        <v>0</v>
      </c>
      <c r="Q814">
        <f>IF($E814=0,0,SUMPRODUCT($AI$11:$DF$11,'Staff Daily sales'!$G799:$CD799))</f>
        <v>0</v>
      </c>
      <c r="R814">
        <f>IF($E814=0,0,SUMPRODUCT($AI$12:$DF$12,'Staff Daily sales'!$G799:$CD799))</f>
        <v>0</v>
      </c>
      <c r="S814">
        <f>IF($E814=0,0,SUMPRODUCT($AI$13:$DF$13,'Staff Daily sales'!$G799:$CD799))</f>
        <v>0</v>
      </c>
      <c r="T814">
        <f>IF($E814=0,0,SUMPRODUCT($AI$14:$DF$14,'Staff Daily sales'!$G799:$CD799))</f>
        <v>0</v>
      </c>
      <c r="U814">
        <f>IF($E814=0,0,SUMPRODUCT($AI$15:$DF$15,'Staff Daily sales'!$G799:$CD799))</f>
        <v>0</v>
      </c>
      <c r="V814">
        <f>IF($E814=0,0,SUMPRODUCT($AI$16:$DF$16,'Staff Daily sales'!$G799:$CD799))</f>
        <v>0</v>
      </c>
      <c r="W814">
        <f t="shared" si="223"/>
        <v>0</v>
      </c>
      <c r="X814">
        <f t="shared" si="224"/>
        <v>0</v>
      </c>
      <c r="Y814">
        <f t="shared" si="225"/>
        <v>0</v>
      </c>
      <c r="Z814">
        <f t="shared" si="226"/>
        <v>0</v>
      </c>
      <c r="AA814">
        <f t="shared" si="227"/>
        <v>0</v>
      </c>
      <c r="AB814">
        <f>--AND($E814=1,OR('Staff Weekly Trend'!$B$3="All",$DH814='Staff Weekly Trend'!$B$3),OR('Staff Weekly Trend'!$B$4="All",$D814='Staff Weekly Trend'!$B$4),OR('Staff Weekly Trend'!$B$5="All",$A814='Staff Weekly Trend'!$B$5))</f>
        <v>0</v>
      </c>
      <c r="AC814" t="str">
        <f t="shared" si="228"/>
        <v/>
      </c>
      <c r="AI814">
        <f t="shared" si="229"/>
        <v>0</v>
      </c>
      <c r="AJ814">
        <f t="shared" si="230"/>
        <v>0</v>
      </c>
      <c r="AK814">
        <f t="shared" si="231"/>
        <v>0</v>
      </c>
      <c r="AL814">
        <f t="shared" si="232"/>
        <v>0</v>
      </c>
      <c r="AM814">
        <f t="shared" si="233"/>
        <v>0</v>
      </c>
      <c r="DH814" t="str" cm="1">
        <f t="array" ref="DH814">IF($A814="","",_xlfn.LET(_xlpm.c,IFERROR(_xlfn.XLOOKUP($A814,TRIM('Sales and count'!$A$4:$A$300&amp;""),TRIM('Sales and count'!$B$4:$B$300&amp;"")),""),IF(OR(_xlpm.c="",_xlpm.c="0",LEFT(_xlpm.c,1)="#"),"Not set",_xlpm.c)))</f>
        <v/>
      </c>
    </row>
    <row r="815" spans="1:112" x14ac:dyDescent="0.25">
      <c r="A815" t="str">
        <f>IF('Staff Daily sales'!$B800="","",TRIM('Staff Daily sales'!$B800&amp;""))</f>
        <v/>
      </c>
      <c r="B815" t="str">
        <f>IF('Staff Daily sales'!$D800="","",TRIM('Staff Daily sales'!$D800&amp;""))</f>
        <v/>
      </c>
      <c r="C815" t="str">
        <f>IFERROR(TRIM('Staff Daily sales'!$E800&amp;""),"")</f>
        <v/>
      </c>
      <c r="D815" t="str">
        <f>IFERROR(IF(TRIM('Staff Daily sales'!$F800&amp;"")="","Unassigned",TRIM('Staff Daily sales'!$F800&amp;"")),"Unassigned")</f>
        <v>Unassigned</v>
      </c>
      <c r="E815">
        <f t="shared" si="218"/>
        <v>0</v>
      </c>
      <c r="F815">
        <f>IF($E815=0,0,SUMPRODUCT($AI$5:$DF$5,'Staff Daily sales'!$G800:$CD800))</f>
        <v>0</v>
      </c>
      <c r="G815">
        <f>IF($E815=0,0,SUMPRODUCT($AI$6:$DF$6,'Staff Daily sales'!$G800:$CD800))</f>
        <v>0</v>
      </c>
      <c r="H815">
        <f t="shared" si="219"/>
        <v>0</v>
      </c>
      <c r="I815">
        <f t="shared" si="220"/>
        <v>0</v>
      </c>
      <c r="J815">
        <f t="shared" si="221"/>
        <v>0</v>
      </c>
      <c r="K815">
        <f t="shared" si="222"/>
        <v>0</v>
      </c>
      <c r="L815">
        <f>--AND($E815=1,OR('Staff Dashboard'!$B$6="All",$DH815='Staff Dashboard'!$B$6),OR('Staff Dashboard'!$B$7="All",$D815='Staff Dashboard'!$B$7),OR('Staff Dashboard'!$B$8="All",$A815='Staff Dashboard'!$B$8))</f>
        <v>0</v>
      </c>
      <c r="M815">
        <f>IF($E815=0,0,SUMPRODUCT($AI$7:$DF$7,'Staff Daily sales'!$G800:$CD800))</f>
        <v>0</v>
      </c>
      <c r="N815">
        <f>IF($E815=0,0,SUMPRODUCT($AI$8:$DF$8,'Staff Daily sales'!$G800:$CD800))</f>
        <v>0</v>
      </c>
      <c r="O815">
        <f>IF($E815=0,0,SUMPRODUCT($AI$9:$DF$9,'Staff Daily sales'!$G800:$CD800))</f>
        <v>0</v>
      </c>
      <c r="P815">
        <f>IF($E815=0,0,SUMPRODUCT($AI$10:$DF$10,'Staff Daily sales'!$G800:$CD800))</f>
        <v>0</v>
      </c>
      <c r="Q815">
        <f>IF($E815=0,0,SUMPRODUCT($AI$11:$DF$11,'Staff Daily sales'!$G800:$CD800))</f>
        <v>0</v>
      </c>
      <c r="R815">
        <f>IF($E815=0,0,SUMPRODUCT($AI$12:$DF$12,'Staff Daily sales'!$G800:$CD800))</f>
        <v>0</v>
      </c>
      <c r="S815">
        <f>IF($E815=0,0,SUMPRODUCT($AI$13:$DF$13,'Staff Daily sales'!$G800:$CD800))</f>
        <v>0</v>
      </c>
      <c r="T815">
        <f>IF($E815=0,0,SUMPRODUCT($AI$14:$DF$14,'Staff Daily sales'!$G800:$CD800))</f>
        <v>0</v>
      </c>
      <c r="U815">
        <f>IF($E815=0,0,SUMPRODUCT($AI$15:$DF$15,'Staff Daily sales'!$G800:$CD800))</f>
        <v>0</v>
      </c>
      <c r="V815">
        <f>IF($E815=0,0,SUMPRODUCT($AI$16:$DF$16,'Staff Daily sales'!$G800:$CD800))</f>
        <v>0</v>
      </c>
      <c r="W815">
        <f t="shared" si="223"/>
        <v>0</v>
      </c>
      <c r="X815">
        <f t="shared" si="224"/>
        <v>0</v>
      </c>
      <c r="Y815">
        <f t="shared" si="225"/>
        <v>0</v>
      </c>
      <c r="Z815">
        <f t="shared" si="226"/>
        <v>0</v>
      </c>
      <c r="AA815">
        <f t="shared" si="227"/>
        <v>0</v>
      </c>
      <c r="AB815">
        <f>--AND($E815=1,OR('Staff Weekly Trend'!$B$3="All",$DH815='Staff Weekly Trend'!$B$3),OR('Staff Weekly Trend'!$B$4="All",$D815='Staff Weekly Trend'!$B$4),OR('Staff Weekly Trend'!$B$5="All",$A815='Staff Weekly Trend'!$B$5))</f>
        <v>0</v>
      </c>
      <c r="AC815" t="str">
        <f t="shared" si="228"/>
        <v/>
      </c>
      <c r="AI815">
        <f t="shared" si="229"/>
        <v>0</v>
      </c>
      <c r="AJ815">
        <f t="shared" si="230"/>
        <v>0</v>
      </c>
      <c r="AK815">
        <f t="shared" si="231"/>
        <v>0</v>
      </c>
      <c r="AL815">
        <f t="shared" si="232"/>
        <v>0</v>
      </c>
      <c r="AM815">
        <f t="shared" si="233"/>
        <v>0</v>
      </c>
      <c r="DH815" t="str" cm="1">
        <f t="array" ref="DH815">IF($A815="","",_xlfn.LET(_xlpm.c,IFERROR(_xlfn.XLOOKUP($A815,TRIM('Sales and count'!$A$4:$A$300&amp;""),TRIM('Sales and count'!$B$4:$B$300&amp;"")),""),IF(OR(_xlpm.c="",_xlpm.c="0",LEFT(_xlpm.c,1)="#"),"Not set",_xlpm.c)))</f>
        <v/>
      </c>
    </row>
    <row r="816" spans="1:112" x14ac:dyDescent="0.25">
      <c r="A816" t="str">
        <f>IF('Staff Daily sales'!$B801="","",TRIM('Staff Daily sales'!$B801&amp;""))</f>
        <v/>
      </c>
      <c r="B816" t="str">
        <f>IF('Staff Daily sales'!$D801="","",TRIM('Staff Daily sales'!$D801&amp;""))</f>
        <v/>
      </c>
      <c r="C816" t="str">
        <f>IFERROR(TRIM('Staff Daily sales'!$E801&amp;""),"")</f>
        <v/>
      </c>
      <c r="D816" t="str">
        <f>IFERROR(IF(TRIM('Staff Daily sales'!$F801&amp;"")="","Unassigned",TRIM('Staff Daily sales'!$F801&amp;"")),"Unassigned")</f>
        <v>Unassigned</v>
      </c>
      <c r="E816">
        <f t="shared" si="218"/>
        <v>0</v>
      </c>
      <c r="F816">
        <f>IF($E816=0,0,SUMPRODUCT($AI$5:$DF$5,'Staff Daily sales'!$G801:$CD801))</f>
        <v>0</v>
      </c>
      <c r="G816">
        <f>IF($E816=0,0,SUMPRODUCT($AI$6:$DF$6,'Staff Daily sales'!$G801:$CD801))</f>
        <v>0</v>
      </c>
      <c r="H816">
        <f t="shared" si="219"/>
        <v>0</v>
      </c>
      <c r="I816">
        <f t="shared" si="220"/>
        <v>0</v>
      </c>
      <c r="J816">
        <f t="shared" si="221"/>
        <v>0</v>
      </c>
      <c r="K816">
        <f t="shared" si="222"/>
        <v>0</v>
      </c>
      <c r="L816">
        <f>--AND($E816=1,OR('Staff Dashboard'!$B$6="All",$DH816='Staff Dashboard'!$B$6),OR('Staff Dashboard'!$B$7="All",$D816='Staff Dashboard'!$B$7),OR('Staff Dashboard'!$B$8="All",$A816='Staff Dashboard'!$B$8))</f>
        <v>0</v>
      </c>
      <c r="M816">
        <f>IF($E816=0,0,SUMPRODUCT($AI$7:$DF$7,'Staff Daily sales'!$G801:$CD801))</f>
        <v>0</v>
      </c>
      <c r="N816">
        <f>IF($E816=0,0,SUMPRODUCT($AI$8:$DF$8,'Staff Daily sales'!$G801:$CD801))</f>
        <v>0</v>
      </c>
      <c r="O816">
        <f>IF($E816=0,0,SUMPRODUCT($AI$9:$DF$9,'Staff Daily sales'!$G801:$CD801))</f>
        <v>0</v>
      </c>
      <c r="P816">
        <f>IF($E816=0,0,SUMPRODUCT($AI$10:$DF$10,'Staff Daily sales'!$G801:$CD801))</f>
        <v>0</v>
      </c>
      <c r="Q816">
        <f>IF($E816=0,0,SUMPRODUCT($AI$11:$DF$11,'Staff Daily sales'!$G801:$CD801))</f>
        <v>0</v>
      </c>
      <c r="R816">
        <f>IF($E816=0,0,SUMPRODUCT($AI$12:$DF$12,'Staff Daily sales'!$G801:$CD801))</f>
        <v>0</v>
      </c>
      <c r="S816">
        <f>IF($E816=0,0,SUMPRODUCT($AI$13:$DF$13,'Staff Daily sales'!$G801:$CD801))</f>
        <v>0</v>
      </c>
      <c r="T816">
        <f>IF($E816=0,0,SUMPRODUCT($AI$14:$DF$14,'Staff Daily sales'!$G801:$CD801))</f>
        <v>0</v>
      </c>
      <c r="U816">
        <f>IF($E816=0,0,SUMPRODUCT($AI$15:$DF$15,'Staff Daily sales'!$G801:$CD801))</f>
        <v>0</v>
      </c>
      <c r="V816">
        <f>IF($E816=0,0,SUMPRODUCT($AI$16:$DF$16,'Staff Daily sales'!$G801:$CD801))</f>
        <v>0</v>
      </c>
      <c r="W816">
        <f t="shared" si="223"/>
        <v>0</v>
      </c>
      <c r="X816">
        <f t="shared" si="224"/>
        <v>0</v>
      </c>
      <c r="Y816">
        <f t="shared" si="225"/>
        <v>0</v>
      </c>
      <c r="Z816">
        <f t="shared" si="226"/>
        <v>0</v>
      </c>
      <c r="AA816">
        <f t="shared" si="227"/>
        <v>0</v>
      </c>
      <c r="AB816">
        <f>--AND($E816=1,OR('Staff Weekly Trend'!$B$3="All",$DH816='Staff Weekly Trend'!$B$3),OR('Staff Weekly Trend'!$B$4="All",$D816='Staff Weekly Trend'!$B$4),OR('Staff Weekly Trend'!$B$5="All",$A816='Staff Weekly Trend'!$B$5))</f>
        <v>0</v>
      </c>
      <c r="AC816" t="str">
        <f t="shared" si="228"/>
        <v/>
      </c>
      <c r="AI816">
        <f t="shared" si="229"/>
        <v>0</v>
      </c>
      <c r="AJ816">
        <f t="shared" si="230"/>
        <v>0</v>
      </c>
      <c r="AK816">
        <f t="shared" si="231"/>
        <v>0</v>
      </c>
      <c r="AL816">
        <f t="shared" si="232"/>
        <v>0</v>
      </c>
      <c r="AM816">
        <f t="shared" si="233"/>
        <v>0</v>
      </c>
      <c r="DH816" t="str" cm="1">
        <f t="array" ref="DH816">IF($A816="","",_xlfn.LET(_xlpm.c,IFERROR(_xlfn.XLOOKUP($A816,TRIM('Sales and count'!$A$4:$A$300&amp;""),TRIM('Sales and count'!$B$4:$B$300&amp;"")),""),IF(OR(_xlpm.c="",_xlpm.c="0",LEFT(_xlpm.c,1)="#"),"Not set",_xlpm.c)))</f>
        <v/>
      </c>
    </row>
    <row r="817" spans="1:112" x14ac:dyDescent="0.25">
      <c r="A817" t="str">
        <f>IF('Staff Daily sales'!$B802="","",TRIM('Staff Daily sales'!$B802&amp;""))</f>
        <v/>
      </c>
      <c r="B817" t="str">
        <f>IF('Staff Daily sales'!$D802="","",TRIM('Staff Daily sales'!$D802&amp;""))</f>
        <v/>
      </c>
      <c r="C817" t="str">
        <f>IFERROR(TRIM('Staff Daily sales'!$E802&amp;""),"")</f>
        <v/>
      </c>
      <c r="D817" t="str">
        <f>IFERROR(IF(TRIM('Staff Daily sales'!$F802&amp;"")="","Unassigned",TRIM('Staff Daily sales'!$F802&amp;"")),"Unassigned")</f>
        <v>Unassigned</v>
      </c>
      <c r="E817">
        <f t="shared" si="218"/>
        <v>0</v>
      </c>
      <c r="F817">
        <f>IF($E817=0,0,SUMPRODUCT($AI$5:$DF$5,'Staff Daily sales'!$G802:$CD802))</f>
        <v>0</v>
      </c>
      <c r="G817">
        <f>IF($E817=0,0,SUMPRODUCT($AI$6:$DF$6,'Staff Daily sales'!$G802:$CD802))</f>
        <v>0</v>
      </c>
      <c r="H817">
        <f t="shared" si="219"/>
        <v>0</v>
      </c>
      <c r="I817">
        <f t="shared" si="220"/>
        <v>0</v>
      </c>
      <c r="J817">
        <f t="shared" si="221"/>
        <v>0</v>
      </c>
      <c r="K817">
        <f t="shared" si="222"/>
        <v>0</v>
      </c>
      <c r="L817">
        <f>--AND($E817=1,OR('Staff Dashboard'!$B$6="All",$DH817='Staff Dashboard'!$B$6),OR('Staff Dashboard'!$B$7="All",$D817='Staff Dashboard'!$B$7),OR('Staff Dashboard'!$B$8="All",$A817='Staff Dashboard'!$B$8))</f>
        <v>0</v>
      </c>
      <c r="M817">
        <f>IF($E817=0,0,SUMPRODUCT($AI$7:$DF$7,'Staff Daily sales'!$G802:$CD802))</f>
        <v>0</v>
      </c>
      <c r="N817">
        <f>IF($E817=0,0,SUMPRODUCT($AI$8:$DF$8,'Staff Daily sales'!$G802:$CD802))</f>
        <v>0</v>
      </c>
      <c r="O817">
        <f>IF($E817=0,0,SUMPRODUCT($AI$9:$DF$9,'Staff Daily sales'!$G802:$CD802))</f>
        <v>0</v>
      </c>
      <c r="P817">
        <f>IF($E817=0,0,SUMPRODUCT($AI$10:$DF$10,'Staff Daily sales'!$G802:$CD802))</f>
        <v>0</v>
      </c>
      <c r="Q817">
        <f>IF($E817=0,0,SUMPRODUCT($AI$11:$DF$11,'Staff Daily sales'!$G802:$CD802))</f>
        <v>0</v>
      </c>
      <c r="R817">
        <f>IF($E817=0,0,SUMPRODUCT($AI$12:$DF$12,'Staff Daily sales'!$G802:$CD802))</f>
        <v>0</v>
      </c>
      <c r="S817">
        <f>IF($E817=0,0,SUMPRODUCT($AI$13:$DF$13,'Staff Daily sales'!$G802:$CD802))</f>
        <v>0</v>
      </c>
      <c r="T817">
        <f>IF($E817=0,0,SUMPRODUCT($AI$14:$DF$14,'Staff Daily sales'!$G802:$CD802))</f>
        <v>0</v>
      </c>
      <c r="U817">
        <f>IF($E817=0,0,SUMPRODUCT($AI$15:$DF$15,'Staff Daily sales'!$G802:$CD802))</f>
        <v>0</v>
      </c>
      <c r="V817">
        <f>IF($E817=0,0,SUMPRODUCT($AI$16:$DF$16,'Staff Daily sales'!$G802:$CD802))</f>
        <v>0</v>
      </c>
      <c r="W817">
        <f t="shared" si="223"/>
        <v>0</v>
      </c>
      <c r="X817">
        <f t="shared" si="224"/>
        <v>0</v>
      </c>
      <c r="Y817">
        <f t="shared" si="225"/>
        <v>0</v>
      </c>
      <c r="Z817">
        <f t="shared" si="226"/>
        <v>0</v>
      </c>
      <c r="AA817">
        <f t="shared" si="227"/>
        <v>0</v>
      </c>
      <c r="AB817">
        <f>--AND($E817=1,OR('Staff Weekly Trend'!$B$3="All",$DH817='Staff Weekly Trend'!$B$3),OR('Staff Weekly Trend'!$B$4="All",$D817='Staff Weekly Trend'!$B$4),OR('Staff Weekly Trend'!$B$5="All",$A817='Staff Weekly Trend'!$B$5))</f>
        <v>0</v>
      </c>
      <c r="AC817" t="str">
        <f t="shared" si="228"/>
        <v/>
      </c>
      <c r="AI817">
        <f t="shared" si="229"/>
        <v>0</v>
      </c>
      <c r="AJ817">
        <f t="shared" si="230"/>
        <v>0</v>
      </c>
      <c r="AK817">
        <f t="shared" si="231"/>
        <v>0</v>
      </c>
      <c r="AL817">
        <f t="shared" si="232"/>
        <v>0</v>
      </c>
      <c r="AM817">
        <f t="shared" si="233"/>
        <v>0</v>
      </c>
      <c r="DH817" t="str" cm="1">
        <f t="array" ref="DH817">IF($A817="","",_xlfn.LET(_xlpm.c,IFERROR(_xlfn.XLOOKUP($A817,TRIM('Sales and count'!$A$4:$A$300&amp;""),TRIM('Sales and count'!$B$4:$B$300&amp;"")),""),IF(OR(_xlpm.c="",_xlpm.c="0",LEFT(_xlpm.c,1)="#"),"Not set",_xlpm.c)))</f>
        <v/>
      </c>
    </row>
    <row r="818" spans="1:112" x14ac:dyDescent="0.25">
      <c r="A818" t="str">
        <f>IF('Staff Daily sales'!$B803="","",TRIM('Staff Daily sales'!$B803&amp;""))</f>
        <v/>
      </c>
      <c r="B818" t="str">
        <f>IF('Staff Daily sales'!$D803="","",TRIM('Staff Daily sales'!$D803&amp;""))</f>
        <v/>
      </c>
      <c r="C818" t="str">
        <f>IFERROR(TRIM('Staff Daily sales'!$E803&amp;""),"")</f>
        <v/>
      </c>
      <c r="D818" t="str">
        <f>IFERROR(IF(TRIM('Staff Daily sales'!$F803&amp;"")="","Unassigned",TRIM('Staff Daily sales'!$F803&amp;"")),"Unassigned")</f>
        <v>Unassigned</v>
      </c>
      <c r="E818">
        <f t="shared" si="218"/>
        <v>0</v>
      </c>
      <c r="F818">
        <f>IF($E818=0,0,SUMPRODUCT($AI$5:$DF$5,'Staff Daily sales'!$G803:$CD803))</f>
        <v>0</v>
      </c>
      <c r="G818">
        <f>IF($E818=0,0,SUMPRODUCT($AI$6:$DF$6,'Staff Daily sales'!$G803:$CD803))</f>
        <v>0</v>
      </c>
      <c r="H818">
        <f t="shared" si="219"/>
        <v>0</v>
      </c>
      <c r="I818">
        <f t="shared" si="220"/>
        <v>0</v>
      </c>
      <c r="J818">
        <f t="shared" si="221"/>
        <v>0</v>
      </c>
      <c r="K818">
        <f t="shared" si="222"/>
        <v>0</v>
      </c>
      <c r="L818">
        <f>--AND($E818=1,OR('Staff Dashboard'!$B$6="All",$DH818='Staff Dashboard'!$B$6),OR('Staff Dashboard'!$B$7="All",$D818='Staff Dashboard'!$B$7),OR('Staff Dashboard'!$B$8="All",$A818='Staff Dashboard'!$B$8))</f>
        <v>0</v>
      </c>
      <c r="M818">
        <f>IF($E818=0,0,SUMPRODUCT($AI$7:$DF$7,'Staff Daily sales'!$G803:$CD803))</f>
        <v>0</v>
      </c>
      <c r="N818">
        <f>IF($E818=0,0,SUMPRODUCT($AI$8:$DF$8,'Staff Daily sales'!$G803:$CD803))</f>
        <v>0</v>
      </c>
      <c r="O818">
        <f>IF($E818=0,0,SUMPRODUCT($AI$9:$DF$9,'Staff Daily sales'!$G803:$CD803))</f>
        <v>0</v>
      </c>
      <c r="P818">
        <f>IF($E818=0,0,SUMPRODUCT($AI$10:$DF$10,'Staff Daily sales'!$G803:$CD803))</f>
        <v>0</v>
      </c>
      <c r="Q818">
        <f>IF($E818=0,0,SUMPRODUCT($AI$11:$DF$11,'Staff Daily sales'!$G803:$CD803))</f>
        <v>0</v>
      </c>
      <c r="R818">
        <f>IF($E818=0,0,SUMPRODUCT($AI$12:$DF$12,'Staff Daily sales'!$G803:$CD803))</f>
        <v>0</v>
      </c>
      <c r="S818">
        <f>IF($E818=0,0,SUMPRODUCT($AI$13:$DF$13,'Staff Daily sales'!$G803:$CD803))</f>
        <v>0</v>
      </c>
      <c r="T818">
        <f>IF($E818=0,0,SUMPRODUCT($AI$14:$DF$14,'Staff Daily sales'!$G803:$CD803))</f>
        <v>0</v>
      </c>
      <c r="U818">
        <f>IF($E818=0,0,SUMPRODUCT($AI$15:$DF$15,'Staff Daily sales'!$G803:$CD803))</f>
        <v>0</v>
      </c>
      <c r="V818">
        <f>IF($E818=0,0,SUMPRODUCT($AI$16:$DF$16,'Staff Daily sales'!$G803:$CD803))</f>
        <v>0</v>
      </c>
      <c r="W818">
        <f t="shared" si="223"/>
        <v>0</v>
      </c>
      <c r="X818">
        <f t="shared" si="224"/>
        <v>0</v>
      </c>
      <c r="Y818">
        <f t="shared" si="225"/>
        <v>0</v>
      </c>
      <c r="Z818">
        <f t="shared" si="226"/>
        <v>0</v>
      </c>
      <c r="AA818">
        <f t="shared" si="227"/>
        <v>0</v>
      </c>
      <c r="AB818">
        <f>--AND($E818=1,OR('Staff Weekly Trend'!$B$3="All",$DH818='Staff Weekly Trend'!$B$3),OR('Staff Weekly Trend'!$B$4="All",$D818='Staff Weekly Trend'!$B$4),OR('Staff Weekly Trend'!$B$5="All",$A818='Staff Weekly Trend'!$B$5))</f>
        <v>0</v>
      </c>
      <c r="AC818" t="str">
        <f t="shared" si="228"/>
        <v/>
      </c>
      <c r="AI818">
        <f t="shared" si="229"/>
        <v>0</v>
      </c>
      <c r="AJ818">
        <f t="shared" si="230"/>
        <v>0</v>
      </c>
      <c r="AK818">
        <f t="shared" si="231"/>
        <v>0</v>
      </c>
      <c r="AL818">
        <f t="shared" si="232"/>
        <v>0</v>
      </c>
      <c r="AM818">
        <f t="shared" si="233"/>
        <v>0</v>
      </c>
      <c r="DH818" t="str" cm="1">
        <f t="array" ref="DH818">IF($A818="","",_xlfn.LET(_xlpm.c,IFERROR(_xlfn.XLOOKUP($A818,TRIM('Sales and count'!$A$4:$A$300&amp;""),TRIM('Sales and count'!$B$4:$B$300&amp;"")),""),IF(OR(_xlpm.c="",_xlpm.c="0",LEFT(_xlpm.c,1)="#"),"Not set",_xlpm.c)))</f>
        <v/>
      </c>
    </row>
    <row r="819" spans="1:112" x14ac:dyDescent="0.25">
      <c r="A819" t="str">
        <f>IF('Staff Daily sales'!$B804="","",TRIM('Staff Daily sales'!$B804&amp;""))</f>
        <v/>
      </c>
      <c r="B819" t="str">
        <f>IF('Staff Daily sales'!$D804="","",TRIM('Staff Daily sales'!$D804&amp;""))</f>
        <v/>
      </c>
      <c r="C819" t="str">
        <f>IFERROR(TRIM('Staff Daily sales'!$E804&amp;""),"")</f>
        <v/>
      </c>
      <c r="D819" t="str">
        <f>IFERROR(IF(TRIM('Staff Daily sales'!$F804&amp;"")="","Unassigned",TRIM('Staff Daily sales'!$F804&amp;"")),"Unassigned")</f>
        <v>Unassigned</v>
      </c>
      <c r="E819">
        <f t="shared" si="218"/>
        <v>0</v>
      </c>
      <c r="F819">
        <f>IF($E819=0,0,SUMPRODUCT($AI$5:$DF$5,'Staff Daily sales'!$G804:$CD804))</f>
        <v>0</v>
      </c>
      <c r="G819">
        <f>IF($E819=0,0,SUMPRODUCT($AI$6:$DF$6,'Staff Daily sales'!$G804:$CD804))</f>
        <v>0</v>
      </c>
      <c r="H819">
        <f t="shared" si="219"/>
        <v>0</v>
      </c>
      <c r="I819">
        <f t="shared" si="220"/>
        <v>0</v>
      </c>
      <c r="J819">
        <f t="shared" si="221"/>
        <v>0</v>
      </c>
      <c r="K819">
        <f t="shared" si="222"/>
        <v>0</v>
      </c>
      <c r="L819">
        <f>--AND($E819=1,OR('Staff Dashboard'!$B$6="All",$DH819='Staff Dashboard'!$B$6),OR('Staff Dashboard'!$B$7="All",$D819='Staff Dashboard'!$B$7),OR('Staff Dashboard'!$B$8="All",$A819='Staff Dashboard'!$B$8))</f>
        <v>0</v>
      </c>
      <c r="M819">
        <f>IF($E819=0,0,SUMPRODUCT($AI$7:$DF$7,'Staff Daily sales'!$G804:$CD804))</f>
        <v>0</v>
      </c>
      <c r="N819">
        <f>IF($E819=0,0,SUMPRODUCT($AI$8:$DF$8,'Staff Daily sales'!$G804:$CD804))</f>
        <v>0</v>
      </c>
      <c r="O819">
        <f>IF($E819=0,0,SUMPRODUCT($AI$9:$DF$9,'Staff Daily sales'!$G804:$CD804))</f>
        <v>0</v>
      </c>
      <c r="P819">
        <f>IF($E819=0,0,SUMPRODUCT($AI$10:$DF$10,'Staff Daily sales'!$G804:$CD804))</f>
        <v>0</v>
      </c>
      <c r="Q819">
        <f>IF($E819=0,0,SUMPRODUCT($AI$11:$DF$11,'Staff Daily sales'!$G804:$CD804))</f>
        <v>0</v>
      </c>
      <c r="R819">
        <f>IF($E819=0,0,SUMPRODUCT($AI$12:$DF$12,'Staff Daily sales'!$G804:$CD804))</f>
        <v>0</v>
      </c>
      <c r="S819">
        <f>IF($E819=0,0,SUMPRODUCT($AI$13:$DF$13,'Staff Daily sales'!$G804:$CD804))</f>
        <v>0</v>
      </c>
      <c r="T819">
        <f>IF($E819=0,0,SUMPRODUCT($AI$14:$DF$14,'Staff Daily sales'!$G804:$CD804))</f>
        <v>0</v>
      </c>
      <c r="U819">
        <f>IF($E819=0,0,SUMPRODUCT($AI$15:$DF$15,'Staff Daily sales'!$G804:$CD804))</f>
        <v>0</v>
      </c>
      <c r="V819">
        <f>IF($E819=0,0,SUMPRODUCT($AI$16:$DF$16,'Staff Daily sales'!$G804:$CD804))</f>
        <v>0</v>
      </c>
      <c r="W819">
        <f t="shared" si="223"/>
        <v>0</v>
      </c>
      <c r="X819">
        <f t="shared" si="224"/>
        <v>0</v>
      </c>
      <c r="Y819">
        <f t="shared" si="225"/>
        <v>0</v>
      </c>
      <c r="Z819">
        <f t="shared" si="226"/>
        <v>0</v>
      </c>
      <c r="AA819">
        <f t="shared" si="227"/>
        <v>0</v>
      </c>
      <c r="AB819">
        <f>--AND($E819=1,OR('Staff Weekly Trend'!$B$3="All",$DH819='Staff Weekly Trend'!$B$3),OR('Staff Weekly Trend'!$B$4="All",$D819='Staff Weekly Trend'!$B$4),OR('Staff Weekly Trend'!$B$5="All",$A819='Staff Weekly Trend'!$B$5))</f>
        <v>0</v>
      </c>
      <c r="AC819" t="str">
        <f t="shared" si="228"/>
        <v/>
      </c>
      <c r="AI819">
        <f t="shared" si="229"/>
        <v>0</v>
      </c>
      <c r="AJ819">
        <f t="shared" si="230"/>
        <v>0</v>
      </c>
      <c r="AK819">
        <f t="shared" si="231"/>
        <v>0</v>
      </c>
      <c r="AL819">
        <f t="shared" si="232"/>
        <v>0</v>
      </c>
      <c r="AM819">
        <f t="shared" si="233"/>
        <v>0</v>
      </c>
      <c r="DH819" t="str" cm="1">
        <f t="array" ref="DH819">IF($A819="","",_xlfn.LET(_xlpm.c,IFERROR(_xlfn.XLOOKUP($A819,TRIM('Sales and count'!$A$4:$A$300&amp;""),TRIM('Sales and count'!$B$4:$B$300&amp;"")),""),IF(OR(_xlpm.c="",_xlpm.c="0",LEFT(_xlpm.c,1)="#"),"Not set",_xlpm.c)))</f>
        <v/>
      </c>
    </row>
    <row r="820" spans="1:112" x14ac:dyDescent="0.25">
      <c r="A820" t="str">
        <f>IF('Staff Daily sales'!$B805="","",TRIM('Staff Daily sales'!$B805&amp;""))</f>
        <v/>
      </c>
      <c r="B820" t="str">
        <f>IF('Staff Daily sales'!$D805="","",TRIM('Staff Daily sales'!$D805&amp;""))</f>
        <v/>
      </c>
      <c r="C820" t="str">
        <f>IFERROR(TRIM('Staff Daily sales'!$E805&amp;""),"")</f>
        <v/>
      </c>
      <c r="D820" t="str">
        <f>IFERROR(IF(TRIM('Staff Daily sales'!$F805&amp;"")="","Unassigned",TRIM('Staff Daily sales'!$F805&amp;"")),"Unassigned")</f>
        <v>Unassigned</v>
      </c>
      <c r="E820">
        <f t="shared" si="218"/>
        <v>0</v>
      </c>
      <c r="F820">
        <f>IF($E820=0,0,SUMPRODUCT($AI$5:$DF$5,'Staff Daily sales'!$G805:$CD805))</f>
        <v>0</v>
      </c>
      <c r="G820">
        <f>IF($E820=0,0,SUMPRODUCT($AI$6:$DF$6,'Staff Daily sales'!$G805:$CD805))</f>
        <v>0</v>
      </c>
      <c r="H820">
        <f t="shared" si="219"/>
        <v>0</v>
      </c>
      <c r="I820">
        <f t="shared" si="220"/>
        <v>0</v>
      </c>
      <c r="J820">
        <f t="shared" si="221"/>
        <v>0</v>
      </c>
      <c r="K820">
        <f t="shared" si="222"/>
        <v>0</v>
      </c>
      <c r="L820">
        <f>--AND($E820=1,OR('Staff Dashboard'!$B$6="All",$DH820='Staff Dashboard'!$B$6),OR('Staff Dashboard'!$B$7="All",$D820='Staff Dashboard'!$B$7),OR('Staff Dashboard'!$B$8="All",$A820='Staff Dashboard'!$B$8))</f>
        <v>0</v>
      </c>
      <c r="M820">
        <f>IF($E820=0,0,SUMPRODUCT($AI$7:$DF$7,'Staff Daily sales'!$G805:$CD805))</f>
        <v>0</v>
      </c>
      <c r="N820">
        <f>IF($E820=0,0,SUMPRODUCT($AI$8:$DF$8,'Staff Daily sales'!$G805:$CD805))</f>
        <v>0</v>
      </c>
      <c r="O820">
        <f>IF($E820=0,0,SUMPRODUCT($AI$9:$DF$9,'Staff Daily sales'!$G805:$CD805))</f>
        <v>0</v>
      </c>
      <c r="P820">
        <f>IF($E820=0,0,SUMPRODUCT($AI$10:$DF$10,'Staff Daily sales'!$G805:$CD805))</f>
        <v>0</v>
      </c>
      <c r="Q820">
        <f>IF($E820=0,0,SUMPRODUCT($AI$11:$DF$11,'Staff Daily sales'!$G805:$CD805))</f>
        <v>0</v>
      </c>
      <c r="R820">
        <f>IF($E820=0,0,SUMPRODUCT($AI$12:$DF$12,'Staff Daily sales'!$G805:$CD805))</f>
        <v>0</v>
      </c>
      <c r="S820">
        <f>IF($E820=0,0,SUMPRODUCT($AI$13:$DF$13,'Staff Daily sales'!$G805:$CD805))</f>
        <v>0</v>
      </c>
      <c r="T820">
        <f>IF($E820=0,0,SUMPRODUCT($AI$14:$DF$14,'Staff Daily sales'!$G805:$CD805))</f>
        <v>0</v>
      </c>
      <c r="U820">
        <f>IF($E820=0,0,SUMPRODUCT($AI$15:$DF$15,'Staff Daily sales'!$G805:$CD805))</f>
        <v>0</v>
      </c>
      <c r="V820">
        <f>IF($E820=0,0,SUMPRODUCT($AI$16:$DF$16,'Staff Daily sales'!$G805:$CD805))</f>
        <v>0</v>
      </c>
      <c r="W820">
        <f t="shared" si="223"/>
        <v>0</v>
      </c>
      <c r="X820">
        <f t="shared" si="224"/>
        <v>0</v>
      </c>
      <c r="Y820">
        <f t="shared" si="225"/>
        <v>0</v>
      </c>
      <c r="Z820">
        <f t="shared" si="226"/>
        <v>0</v>
      </c>
      <c r="AA820">
        <f t="shared" si="227"/>
        <v>0</v>
      </c>
      <c r="AB820">
        <f>--AND($E820=1,OR('Staff Weekly Trend'!$B$3="All",$DH820='Staff Weekly Trend'!$B$3),OR('Staff Weekly Trend'!$B$4="All",$D820='Staff Weekly Trend'!$B$4),OR('Staff Weekly Trend'!$B$5="All",$A820='Staff Weekly Trend'!$B$5))</f>
        <v>0</v>
      </c>
      <c r="AC820" t="str">
        <f t="shared" si="228"/>
        <v/>
      </c>
      <c r="AI820">
        <f t="shared" si="229"/>
        <v>0</v>
      </c>
      <c r="AJ820">
        <f t="shared" si="230"/>
        <v>0</v>
      </c>
      <c r="AK820">
        <f t="shared" si="231"/>
        <v>0</v>
      </c>
      <c r="AL820">
        <f t="shared" si="232"/>
        <v>0</v>
      </c>
      <c r="AM820">
        <f t="shared" si="233"/>
        <v>0</v>
      </c>
      <c r="DH820" t="str" cm="1">
        <f t="array" ref="DH820">IF($A820="","",_xlfn.LET(_xlpm.c,IFERROR(_xlfn.XLOOKUP($A820,TRIM('Sales and count'!$A$4:$A$300&amp;""),TRIM('Sales and count'!$B$4:$B$300&amp;"")),""),IF(OR(_xlpm.c="",_xlpm.c="0",LEFT(_xlpm.c,1)="#"),"Not set",_xlpm.c)))</f>
        <v/>
      </c>
    </row>
    <row r="821" spans="1:112" x14ac:dyDescent="0.25">
      <c r="A821" t="str">
        <f>IF('Staff Daily sales'!$B806="","",TRIM('Staff Daily sales'!$B806&amp;""))</f>
        <v/>
      </c>
      <c r="B821" t="str">
        <f>IF('Staff Daily sales'!$D806="","",TRIM('Staff Daily sales'!$D806&amp;""))</f>
        <v/>
      </c>
      <c r="C821" t="str">
        <f>IFERROR(TRIM('Staff Daily sales'!$E806&amp;""),"")</f>
        <v/>
      </c>
      <c r="D821" t="str">
        <f>IFERROR(IF(TRIM('Staff Daily sales'!$F806&amp;"")="","Unassigned",TRIM('Staff Daily sales'!$F806&amp;"")),"Unassigned")</f>
        <v>Unassigned</v>
      </c>
      <c r="E821">
        <f t="shared" si="218"/>
        <v>0</v>
      </c>
      <c r="F821">
        <f>IF($E821=0,0,SUMPRODUCT($AI$5:$DF$5,'Staff Daily sales'!$G806:$CD806))</f>
        <v>0</v>
      </c>
      <c r="G821">
        <f>IF($E821=0,0,SUMPRODUCT($AI$6:$DF$6,'Staff Daily sales'!$G806:$CD806))</f>
        <v>0</v>
      </c>
      <c r="H821">
        <f t="shared" si="219"/>
        <v>0</v>
      </c>
      <c r="I821">
        <f t="shared" si="220"/>
        <v>0</v>
      </c>
      <c r="J821">
        <f t="shared" si="221"/>
        <v>0</v>
      </c>
      <c r="K821">
        <f t="shared" si="222"/>
        <v>0</v>
      </c>
      <c r="L821">
        <f>--AND($E821=1,OR('Staff Dashboard'!$B$6="All",$DH821='Staff Dashboard'!$B$6),OR('Staff Dashboard'!$B$7="All",$D821='Staff Dashboard'!$B$7),OR('Staff Dashboard'!$B$8="All",$A821='Staff Dashboard'!$B$8))</f>
        <v>0</v>
      </c>
      <c r="M821">
        <f>IF($E821=0,0,SUMPRODUCT($AI$7:$DF$7,'Staff Daily sales'!$G806:$CD806))</f>
        <v>0</v>
      </c>
      <c r="N821">
        <f>IF($E821=0,0,SUMPRODUCT($AI$8:$DF$8,'Staff Daily sales'!$G806:$CD806))</f>
        <v>0</v>
      </c>
      <c r="O821">
        <f>IF($E821=0,0,SUMPRODUCT($AI$9:$DF$9,'Staff Daily sales'!$G806:$CD806))</f>
        <v>0</v>
      </c>
      <c r="P821">
        <f>IF($E821=0,0,SUMPRODUCT($AI$10:$DF$10,'Staff Daily sales'!$G806:$CD806))</f>
        <v>0</v>
      </c>
      <c r="Q821">
        <f>IF($E821=0,0,SUMPRODUCT($AI$11:$DF$11,'Staff Daily sales'!$G806:$CD806))</f>
        <v>0</v>
      </c>
      <c r="R821">
        <f>IF($E821=0,0,SUMPRODUCT($AI$12:$DF$12,'Staff Daily sales'!$G806:$CD806))</f>
        <v>0</v>
      </c>
      <c r="S821">
        <f>IF($E821=0,0,SUMPRODUCT($AI$13:$DF$13,'Staff Daily sales'!$G806:$CD806))</f>
        <v>0</v>
      </c>
      <c r="T821">
        <f>IF($E821=0,0,SUMPRODUCT($AI$14:$DF$14,'Staff Daily sales'!$G806:$CD806))</f>
        <v>0</v>
      </c>
      <c r="U821">
        <f>IF($E821=0,0,SUMPRODUCT($AI$15:$DF$15,'Staff Daily sales'!$G806:$CD806))</f>
        <v>0</v>
      </c>
      <c r="V821">
        <f>IF($E821=0,0,SUMPRODUCT($AI$16:$DF$16,'Staff Daily sales'!$G806:$CD806))</f>
        <v>0</v>
      </c>
      <c r="W821">
        <f t="shared" si="223"/>
        <v>0</v>
      </c>
      <c r="X821">
        <f t="shared" si="224"/>
        <v>0</v>
      </c>
      <c r="Y821">
        <f t="shared" si="225"/>
        <v>0</v>
      </c>
      <c r="Z821">
        <f t="shared" si="226"/>
        <v>0</v>
      </c>
      <c r="AA821">
        <f t="shared" si="227"/>
        <v>0</v>
      </c>
      <c r="AB821">
        <f>--AND($E821=1,OR('Staff Weekly Trend'!$B$3="All",$DH821='Staff Weekly Trend'!$B$3),OR('Staff Weekly Trend'!$B$4="All",$D821='Staff Weekly Trend'!$B$4),OR('Staff Weekly Trend'!$B$5="All",$A821='Staff Weekly Trend'!$B$5))</f>
        <v>0</v>
      </c>
      <c r="AC821" t="str">
        <f t="shared" si="228"/>
        <v/>
      </c>
      <c r="AI821">
        <f t="shared" si="229"/>
        <v>0</v>
      </c>
      <c r="AJ821">
        <f t="shared" si="230"/>
        <v>0</v>
      </c>
      <c r="AK821">
        <f t="shared" si="231"/>
        <v>0</v>
      </c>
      <c r="AL821">
        <f t="shared" si="232"/>
        <v>0</v>
      </c>
      <c r="AM821">
        <f t="shared" si="233"/>
        <v>0</v>
      </c>
      <c r="DH821" t="str" cm="1">
        <f t="array" ref="DH821">IF($A821="","",_xlfn.LET(_xlpm.c,IFERROR(_xlfn.XLOOKUP($A821,TRIM('Sales and count'!$A$4:$A$300&amp;""),TRIM('Sales and count'!$B$4:$B$300&amp;"")),""),IF(OR(_xlpm.c="",_xlpm.c="0",LEFT(_xlpm.c,1)="#"),"Not set",_xlpm.c)))</f>
        <v/>
      </c>
    </row>
    <row r="822" spans="1:112" x14ac:dyDescent="0.25">
      <c r="A822" t="str">
        <f>IF('Staff Daily sales'!$B807="","",TRIM('Staff Daily sales'!$B807&amp;""))</f>
        <v/>
      </c>
      <c r="B822" t="str">
        <f>IF('Staff Daily sales'!$D807="","",TRIM('Staff Daily sales'!$D807&amp;""))</f>
        <v/>
      </c>
      <c r="C822" t="str">
        <f>IFERROR(TRIM('Staff Daily sales'!$E807&amp;""),"")</f>
        <v/>
      </c>
      <c r="D822" t="str">
        <f>IFERROR(IF(TRIM('Staff Daily sales'!$F807&amp;"")="","Unassigned",TRIM('Staff Daily sales'!$F807&amp;"")),"Unassigned")</f>
        <v>Unassigned</v>
      </c>
      <c r="E822">
        <f t="shared" si="218"/>
        <v>0</v>
      </c>
      <c r="F822">
        <f>IF($E822=0,0,SUMPRODUCT($AI$5:$DF$5,'Staff Daily sales'!$G807:$CD807))</f>
        <v>0</v>
      </c>
      <c r="G822">
        <f>IF($E822=0,0,SUMPRODUCT($AI$6:$DF$6,'Staff Daily sales'!$G807:$CD807))</f>
        <v>0</v>
      </c>
      <c r="H822">
        <f t="shared" si="219"/>
        <v>0</v>
      </c>
      <c r="I822">
        <f t="shared" si="220"/>
        <v>0</v>
      </c>
      <c r="J822">
        <f t="shared" si="221"/>
        <v>0</v>
      </c>
      <c r="K822">
        <f t="shared" si="222"/>
        <v>0</v>
      </c>
      <c r="L822">
        <f>--AND($E822=1,OR('Staff Dashboard'!$B$6="All",$DH822='Staff Dashboard'!$B$6),OR('Staff Dashboard'!$B$7="All",$D822='Staff Dashboard'!$B$7),OR('Staff Dashboard'!$B$8="All",$A822='Staff Dashboard'!$B$8))</f>
        <v>0</v>
      </c>
      <c r="M822">
        <f>IF($E822=0,0,SUMPRODUCT($AI$7:$DF$7,'Staff Daily sales'!$G807:$CD807))</f>
        <v>0</v>
      </c>
      <c r="N822">
        <f>IF($E822=0,0,SUMPRODUCT($AI$8:$DF$8,'Staff Daily sales'!$G807:$CD807))</f>
        <v>0</v>
      </c>
      <c r="O822">
        <f>IF($E822=0,0,SUMPRODUCT($AI$9:$DF$9,'Staff Daily sales'!$G807:$CD807))</f>
        <v>0</v>
      </c>
      <c r="P822">
        <f>IF($E822=0,0,SUMPRODUCT($AI$10:$DF$10,'Staff Daily sales'!$G807:$CD807))</f>
        <v>0</v>
      </c>
      <c r="Q822">
        <f>IF($E822=0,0,SUMPRODUCT($AI$11:$DF$11,'Staff Daily sales'!$G807:$CD807))</f>
        <v>0</v>
      </c>
      <c r="R822">
        <f>IF($E822=0,0,SUMPRODUCT($AI$12:$DF$12,'Staff Daily sales'!$G807:$CD807))</f>
        <v>0</v>
      </c>
      <c r="S822">
        <f>IF($E822=0,0,SUMPRODUCT($AI$13:$DF$13,'Staff Daily sales'!$G807:$CD807))</f>
        <v>0</v>
      </c>
      <c r="T822">
        <f>IF($E822=0,0,SUMPRODUCT($AI$14:$DF$14,'Staff Daily sales'!$G807:$CD807))</f>
        <v>0</v>
      </c>
      <c r="U822">
        <f>IF($E822=0,0,SUMPRODUCT($AI$15:$DF$15,'Staff Daily sales'!$G807:$CD807))</f>
        <v>0</v>
      </c>
      <c r="V822">
        <f>IF($E822=0,0,SUMPRODUCT($AI$16:$DF$16,'Staff Daily sales'!$G807:$CD807))</f>
        <v>0</v>
      </c>
      <c r="W822">
        <f t="shared" si="223"/>
        <v>0</v>
      </c>
      <c r="X822">
        <f t="shared" si="224"/>
        <v>0</v>
      </c>
      <c r="Y822">
        <f t="shared" si="225"/>
        <v>0</v>
      </c>
      <c r="Z822">
        <f t="shared" si="226"/>
        <v>0</v>
      </c>
      <c r="AA822">
        <f t="shared" si="227"/>
        <v>0</v>
      </c>
      <c r="AB822">
        <f>--AND($E822=1,OR('Staff Weekly Trend'!$B$3="All",$DH822='Staff Weekly Trend'!$B$3),OR('Staff Weekly Trend'!$B$4="All",$D822='Staff Weekly Trend'!$B$4),OR('Staff Weekly Trend'!$B$5="All",$A822='Staff Weekly Trend'!$B$5))</f>
        <v>0</v>
      </c>
      <c r="AC822" t="str">
        <f t="shared" si="228"/>
        <v/>
      </c>
      <c r="AI822">
        <f t="shared" si="229"/>
        <v>0</v>
      </c>
      <c r="AJ822">
        <f t="shared" si="230"/>
        <v>0</v>
      </c>
      <c r="AK822">
        <f t="shared" si="231"/>
        <v>0</v>
      </c>
      <c r="AL822">
        <f t="shared" si="232"/>
        <v>0</v>
      </c>
      <c r="AM822">
        <f t="shared" si="233"/>
        <v>0</v>
      </c>
      <c r="DH822" t="str" cm="1">
        <f t="array" ref="DH822">IF($A822="","",_xlfn.LET(_xlpm.c,IFERROR(_xlfn.XLOOKUP($A822,TRIM('Sales and count'!$A$4:$A$300&amp;""),TRIM('Sales and count'!$B$4:$B$300&amp;"")),""),IF(OR(_xlpm.c="",_xlpm.c="0",LEFT(_xlpm.c,1)="#"),"Not set",_xlpm.c)))</f>
        <v/>
      </c>
    </row>
    <row r="823" spans="1:112" x14ac:dyDescent="0.25">
      <c r="A823" t="str">
        <f>IF('Staff Daily sales'!$B808="","",TRIM('Staff Daily sales'!$B808&amp;""))</f>
        <v/>
      </c>
      <c r="B823" t="str">
        <f>IF('Staff Daily sales'!$D808="","",TRIM('Staff Daily sales'!$D808&amp;""))</f>
        <v/>
      </c>
      <c r="C823" t="str">
        <f>IFERROR(TRIM('Staff Daily sales'!$E808&amp;""),"")</f>
        <v/>
      </c>
      <c r="D823" t="str">
        <f>IFERROR(IF(TRIM('Staff Daily sales'!$F808&amp;"")="","Unassigned",TRIM('Staff Daily sales'!$F808&amp;"")),"Unassigned")</f>
        <v>Unassigned</v>
      </c>
      <c r="E823">
        <f t="shared" si="218"/>
        <v>0</v>
      </c>
      <c r="F823">
        <f>IF($E823=0,0,SUMPRODUCT($AI$5:$DF$5,'Staff Daily sales'!$G808:$CD808))</f>
        <v>0</v>
      </c>
      <c r="G823">
        <f>IF($E823=0,0,SUMPRODUCT($AI$6:$DF$6,'Staff Daily sales'!$G808:$CD808))</f>
        <v>0</v>
      </c>
      <c r="H823">
        <f t="shared" si="219"/>
        <v>0</v>
      </c>
      <c r="I823">
        <f t="shared" si="220"/>
        <v>0</v>
      </c>
      <c r="J823">
        <f t="shared" si="221"/>
        <v>0</v>
      </c>
      <c r="K823">
        <f t="shared" si="222"/>
        <v>0</v>
      </c>
      <c r="L823">
        <f>--AND($E823=1,OR('Staff Dashboard'!$B$6="All",$DH823='Staff Dashboard'!$B$6),OR('Staff Dashboard'!$B$7="All",$D823='Staff Dashboard'!$B$7),OR('Staff Dashboard'!$B$8="All",$A823='Staff Dashboard'!$B$8))</f>
        <v>0</v>
      </c>
      <c r="M823">
        <f>IF($E823=0,0,SUMPRODUCT($AI$7:$DF$7,'Staff Daily sales'!$G808:$CD808))</f>
        <v>0</v>
      </c>
      <c r="N823">
        <f>IF($E823=0,0,SUMPRODUCT($AI$8:$DF$8,'Staff Daily sales'!$G808:$CD808))</f>
        <v>0</v>
      </c>
      <c r="O823">
        <f>IF($E823=0,0,SUMPRODUCT($AI$9:$DF$9,'Staff Daily sales'!$G808:$CD808))</f>
        <v>0</v>
      </c>
      <c r="P823">
        <f>IF($E823=0,0,SUMPRODUCT($AI$10:$DF$10,'Staff Daily sales'!$G808:$CD808))</f>
        <v>0</v>
      </c>
      <c r="Q823">
        <f>IF($E823=0,0,SUMPRODUCT($AI$11:$DF$11,'Staff Daily sales'!$G808:$CD808))</f>
        <v>0</v>
      </c>
      <c r="R823">
        <f>IF($E823=0,0,SUMPRODUCT($AI$12:$DF$12,'Staff Daily sales'!$G808:$CD808))</f>
        <v>0</v>
      </c>
      <c r="S823">
        <f>IF($E823=0,0,SUMPRODUCT($AI$13:$DF$13,'Staff Daily sales'!$G808:$CD808))</f>
        <v>0</v>
      </c>
      <c r="T823">
        <f>IF($E823=0,0,SUMPRODUCT($AI$14:$DF$14,'Staff Daily sales'!$G808:$CD808))</f>
        <v>0</v>
      </c>
      <c r="U823">
        <f>IF($E823=0,0,SUMPRODUCT($AI$15:$DF$15,'Staff Daily sales'!$G808:$CD808))</f>
        <v>0</v>
      </c>
      <c r="V823">
        <f>IF($E823=0,0,SUMPRODUCT($AI$16:$DF$16,'Staff Daily sales'!$G808:$CD808))</f>
        <v>0</v>
      </c>
      <c r="W823">
        <f t="shared" si="223"/>
        <v>0</v>
      </c>
      <c r="X823">
        <f t="shared" si="224"/>
        <v>0</v>
      </c>
      <c r="Y823">
        <f t="shared" si="225"/>
        <v>0</v>
      </c>
      <c r="Z823">
        <f t="shared" si="226"/>
        <v>0</v>
      </c>
      <c r="AA823">
        <f t="shared" si="227"/>
        <v>0</v>
      </c>
      <c r="AB823">
        <f>--AND($E823=1,OR('Staff Weekly Trend'!$B$3="All",$DH823='Staff Weekly Trend'!$B$3),OR('Staff Weekly Trend'!$B$4="All",$D823='Staff Weekly Trend'!$B$4),OR('Staff Weekly Trend'!$B$5="All",$A823='Staff Weekly Trend'!$B$5))</f>
        <v>0</v>
      </c>
      <c r="AC823" t="str">
        <f t="shared" si="228"/>
        <v/>
      </c>
      <c r="AI823">
        <f t="shared" si="229"/>
        <v>0</v>
      </c>
      <c r="AJ823">
        <f t="shared" si="230"/>
        <v>0</v>
      </c>
      <c r="AK823">
        <f t="shared" si="231"/>
        <v>0</v>
      </c>
      <c r="AL823">
        <f t="shared" si="232"/>
        <v>0</v>
      </c>
      <c r="AM823">
        <f t="shared" si="233"/>
        <v>0</v>
      </c>
      <c r="DH823" t="str" cm="1">
        <f t="array" ref="DH823">IF($A823="","",_xlfn.LET(_xlpm.c,IFERROR(_xlfn.XLOOKUP($A823,TRIM('Sales and count'!$A$4:$A$300&amp;""),TRIM('Sales and count'!$B$4:$B$300&amp;"")),""),IF(OR(_xlpm.c="",_xlpm.c="0",LEFT(_xlpm.c,1)="#"),"Not set",_xlpm.c)))</f>
        <v/>
      </c>
    </row>
    <row r="824" spans="1:112" x14ac:dyDescent="0.25">
      <c r="A824" t="str">
        <f>IF('Staff Daily sales'!$B809="","",TRIM('Staff Daily sales'!$B809&amp;""))</f>
        <v/>
      </c>
      <c r="B824" t="str">
        <f>IF('Staff Daily sales'!$D809="","",TRIM('Staff Daily sales'!$D809&amp;""))</f>
        <v/>
      </c>
      <c r="C824" t="str">
        <f>IFERROR(TRIM('Staff Daily sales'!$E809&amp;""),"")</f>
        <v/>
      </c>
      <c r="D824" t="str">
        <f>IFERROR(IF(TRIM('Staff Daily sales'!$F809&amp;"")="","Unassigned",TRIM('Staff Daily sales'!$F809&amp;"")),"Unassigned")</f>
        <v>Unassigned</v>
      </c>
      <c r="E824">
        <f t="shared" si="218"/>
        <v>0</v>
      </c>
      <c r="F824">
        <f>IF($E824=0,0,SUMPRODUCT($AI$5:$DF$5,'Staff Daily sales'!$G809:$CD809))</f>
        <v>0</v>
      </c>
      <c r="G824">
        <f>IF($E824=0,0,SUMPRODUCT($AI$6:$DF$6,'Staff Daily sales'!$G809:$CD809))</f>
        <v>0</v>
      </c>
      <c r="H824">
        <f t="shared" si="219"/>
        <v>0</v>
      </c>
      <c r="I824">
        <f t="shared" si="220"/>
        <v>0</v>
      </c>
      <c r="J824">
        <f t="shared" si="221"/>
        <v>0</v>
      </c>
      <c r="K824">
        <f t="shared" si="222"/>
        <v>0</v>
      </c>
      <c r="L824">
        <f>--AND($E824=1,OR('Staff Dashboard'!$B$6="All",$DH824='Staff Dashboard'!$B$6),OR('Staff Dashboard'!$B$7="All",$D824='Staff Dashboard'!$B$7),OR('Staff Dashboard'!$B$8="All",$A824='Staff Dashboard'!$B$8))</f>
        <v>0</v>
      </c>
      <c r="M824">
        <f>IF($E824=0,0,SUMPRODUCT($AI$7:$DF$7,'Staff Daily sales'!$G809:$CD809))</f>
        <v>0</v>
      </c>
      <c r="N824">
        <f>IF($E824=0,0,SUMPRODUCT($AI$8:$DF$8,'Staff Daily sales'!$G809:$CD809))</f>
        <v>0</v>
      </c>
      <c r="O824">
        <f>IF($E824=0,0,SUMPRODUCT($AI$9:$DF$9,'Staff Daily sales'!$G809:$CD809))</f>
        <v>0</v>
      </c>
      <c r="P824">
        <f>IF($E824=0,0,SUMPRODUCT($AI$10:$DF$10,'Staff Daily sales'!$G809:$CD809))</f>
        <v>0</v>
      </c>
      <c r="Q824">
        <f>IF($E824=0,0,SUMPRODUCT($AI$11:$DF$11,'Staff Daily sales'!$G809:$CD809))</f>
        <v>0</v>
      </c>
      <c r="R824">
        <f>IF($E824=0,0,SUMPRODUCT($AI$12:$DF$12,'Staff Daily sales'!$G809:$CD809))</f>
        <v>0</v>
      </c>
      <c r="S824">
        <f>IF($E824=0,0,SUMPRODUCT($AI$13:$DF$13,'Staff Daily sales'!$G809:$CD809))</f>
        <v>0</v>
      </c>
      <c r="T824">
        <f>IF($E824=0,0,SUMPRODUCT($AI$14:$DF$14,'Staff Daily sales'!$G809:$CD809))</f>
        <v>0</v>
      </c>
      <c r="U824">
        <f>IF($E824=0,0,SUMPRODUCT($AI$15:$DF$15,'Staff Daily sales'!$G809:$CD809))</f>
        <v>0</v>
      </c>
      <c r="V824">
        <f>IF($E824=0,0,SUMPRODUCT($AI$16:$DF$16,'Staff Daily sales'!$G809:$CD809))</f>
        <v>0</v>
      </c>
      <c r="W824">
        <f t="shared" si="223"/>
        <v>0</v>
      </c>
      <c r="X824">
        <f t="shared" si="224"/>
        <v>0</v>
      </c>
      <c r="Y824">
        <f t="shared" si="225"/>
        <v>0</v>
      </c>
      <c r="Z824">
        <f t="shared" si="226"/>
        <v>0</v>
      </c>
      <c r="AA824">
        <f t="shared" si="227"/>
        <v>0</v>
      </c>
      <c r="AB824">
        <f>--AND($E824=1,OR('Staff Weekly Trend'!$B$3="All",$DH824='Staff Weekly Trend'!$B$3),OR('Staff Weekly Trend'!$B$4="All",$D824='Staff Weekly Trend'!$B$4),OR('Staff Weekly Trend'!$B$5="All",$A824='Staff Weekly Trend'!$B$5))</f>
        <v>0</v>
      </c>
      <c r="AC824" t="str">
        <f t="shared" si="228"/>
        <v/>
      </c>
      <c r="AI824">
        <f t="shared" si="229"/>
        <v>0</v>
      </c>
      <c r="AJ824">
        <f t="shared" si="230"/>
        <v>0</v>
      </c>
      <c r="AK824">
        <f t="shared" si="231"/>
        <v>0</v>
      </c>
      <c r="AL824">
        <f t="shared" si="232"/>
        <v>0</v>
      </c>
      <c r="AM824">
        <f t="shared" si="233"/>
        <v>0</v>
      </c>
      <c r="DH824" t="str" cm="1">
        <f t="array" ref="DH824">IF($A824="","",_xlfn.LET(_xlpm.c,IFERROR(_xlfn.XLOOKUP($A824,TRIM('Sales and count'!$A$4:$A$300&amp;""),TRIM('Sales and count'!$B$4:$B$300&amp;"")),""),IF(OR(_xlpm.c="",_xlpm.c="0",LEFT(_xlpm.c,1)="#"),"Not set",_xlpm.c)))</f>
        <v/>
      </c>
    </row>
    <row r="825" spans="1:112" x14ac:dyDescent="0.25">
      <c r="A825" t="str">
        <f>IF('Staff Daily sales'!$B810="","",TRIM('Staff Daily sales'!$B810&amp;""))</f>
        <v/>
      </c>
      <c r="B825" t="str">
        <f>IF('Staff Daily sales'!$D810="","",TRIM('Staff Daily sales'!$D810&amp;""))</f>
        <v/>
      </c>
      <c r="C825" t="str">
        <f>IFERROR(TRIM('Staff Daily sales'!$E810&amp;""),"")</f>
        <v/>
      </c>
      <c r="D825" t="str">
        <f>IFERROR(IF(TRIM('Staff Daily sales'!$F810&amp;"")="","Unassigned",TRIM('Staff Daily sales'!$F810&amp;"")),"Unassigned")</f>
        <v>Unassigned</v>
      </c>
      <c r="E825">
        <f t="shared" si="218"/>
        <v>0</v>
      </c>
      <c r="F825">
        <f>IF($E825=0,0,SUMPRODUCT($AI$5:$DF$5,'Staff Daily sales'!$G810:$CD810))</f>
        <v>0</v>
      </c>
      <c r="G825">
        <f>IF($E825=0,0,SUMPRODUCT($AI$6:$DF$6,'Staff Daily sales'!$G810:$CD810))</f>
        <v>0</v>
      </c>
      <c r="H825">
        <f t="shared" si="219"/>
        <v>0</v>
      </c>
      <c r="I825">
        <f t="shared" si="220"/>
        <v>0</v>
      </c>
      <c r="J825">
        <f t="shared" si="221"/>
        <v>0</v>
      </c>
      <c r="K825">
        <f t="shared" si="222"/>
        <v>0</v>
      </c>
      <c r="L825">
        <f>--AND($E825=1,OR('Staff Dashboard'!$B$6="All",$DH825='Staff Dashboard'!$B$6),OR('Staff Dashboard'!$B$7="All",$D825='Staff Dashboard'!$B$7),OR('Staff Dashboard'!$B$8="All",$A825='Staff Dashboard'!$B$8))</f>
        <v>0</v>
      </c>
      <c r="M825">
        <f>IF($E825=0,0,SUMPRODUCT($AI$7:$DF$7,'Staff Daily sales'!$G810:$CD810))</f>
        <v>0</v>
      </c>
      <c r="N825">
        <f>IF($E825=0,0,SUMPRODUCT($AI$8:$DF$8,'Staff Daily sales'!$G810:$CD810))</f>
        <v>0</v>
      </c>
      <c r="O825">
        <f>IF($E825=0,0,SUMPRODUCT($AI$9:$DF$9,'Staff Daily sales'!$G810:$CD810))</f>
        <v>0</v>
      </c>
      <c r="P825">
        <f>IF($E825=0,0,SUMPRODUCT($AI$10:$DF$10,'Staff Daily sales'!$G810:$CD810))</f>
        <v>0</v>
      </c>
      <c r="Q825">
        <f>IF($E825=0,0,SUMPRODUCT($AI$11:$DF$11,'Staff Daily sales'!$G810:$CD810))</f>
        <v>0</v>
      </c>
      <c r="R825">
        <f>IF($E825=0,0,SUMPRODUCT($AI$12:$DF$12,'Staff Daily sales'!$G810:$CD810))</f>
        <v>0</v>
      </c>
      <c r="S825">
        <f>IF($E825=0,0,SUMPRODUCT($AI$13:$DF$13,'Staff Daily sales'!$G810:$CD810))</f>
        <v>0</v>
      </c>
      <c r="T825">
        <f>IF($E825=0,0,SUMPRODUCT($AI$14:$DF$14,'Staff Daily sales'!$G810:$CD810))</f>
        <v>0</v>
      </c>
      <c r="U825">
        <f>IF($E825=0,0,SUMPRODUCT($AI$15:$DF$15,'Staff Daily sales'!$G810:$CD810))</f>
        <v>0</v>
      </c>
      <c r="V825">
        <f>IF($E825=0,0,SUMPRODUCT($AI$16:$DF$16,'Staff Daily sales'!$G810:$CD810))</f>
        <v>0</v>
      </c>
      <c r="W825">
        <f t="shared" si="223"/>
        <v>0</v>
      </c>
      <c r="X825">
        <f t="shared" si="224"/>
        <v>0</v>
      </c>
      <c r="Y825">
        <f t="shared" si="225"/>
        <v>0</v>
      </c>
      <c r="Z825">
        <f t="shared" si="226"/>
        <v>0</v>
      </c>
      <c r="AA825">
        <f t="shared" si="227"/>
        <v>0</v>
      </c>
      <c r="AB825">
        <f>--AND($E825=1,OR('Staff Weekly Trend'!$B$3="All",$DH825='Staff Weekly Trend'!$B$3),OR('Staff Weekly Trend'!$B$4="All",$D825='Staff Weekly Trend'!$B$4),OR('Staff Weekly Trend'!$B$5="All",$A825='Staff Weekly Trend'!$B$5))</f>
        <v>0</v>
      </c>
      <c r="AC825" t="str">
        <f t="shared" si="228"/>
        <v/>
      </c>
      <c r="AI825">
        <f t="shared" si="229"/>
        <v>0</v>
      </c>
      <c r="AJ825">
        <f t="shared" si="230"/>
        <v>0</v>
      </c>
      <c r="AK825">
        <f t="shared" si="231"/>
        <v>0</v>
      </c>
      <c r="AL825">
        <f t="shared" si="232"/>
        <v>0</v>
      </c>
      <c r="AM825">
        <f t="shared" si="233"/>
        <v>0</v>
      </c>
      <c r="DH825" t="str" cm="1">
        <f t="array" ref="DH825">IF($A825="","",_xlfn.LET(_xlpm.c,IFERROR(_xlfn.XLOOKUP($A825,TRIM('Sales and count'!$A$4:$A$300&amp;""),TRIM('Sales and count'!$B$4:$B$300&amp;"")),""),IF(OR(_xlpm.c="",_xlpm.c="0",LEFT(_xlpm.c,1)="#"),"Not set",_xlpm.c)))</f>
        <v/>
      </c>
    </row>
    <row r="826" spans="1:112" x14ac:dyDescent="0.25">
      <c r="A826" t="str">
        <f>IF('Staff Daily sales'!$B811="","",TRIM('Staff Daily sales'!$B811&amp;""))</f>
        <v/>
      </c>
      <c r="B826" t="str">
        <f>IF('Staff Daily sales'!$D811="","",TRIM('Staff Daily sales'!$D811&amp;""))</f>
        <v/>
      </c>
      <c r="C826" t="str">
        <f>IFERROR(TRIM('Staff Daily sales'!$E811&amp;""),"")</f>
        <v/>
      </c>
      <c r="D826" t="str">
        <f>IFERROR(IF(TRIM('Staff Daily sales'!$F811&amp;"")="","Unassigned",TRIM('Staff Daily sales'!$F811&amp;"")),"Unassigned")</f>
        <v>Unassigned</v>
      </c>
      <c r="E826">
        <f t="shared" si="218"/>
        <v>0</v>
      </c>
      <c r="F826">
        <f>IF($E826=0,0,SUMPRODUCT($AI$5:$DF$5,'Staff Daily sales'!$G811:$CD811))</f>
        <v>0</v>
      </c>
      <c r="G826">
        <f>IF($E826=0,0,SUMPRODUCT($AI$6:$DF$6,'Staff Daily sales'!$G811:$CD811))</f>
        <v>0</v>
      </c>
      <c r="H826">
        <f t="shared" si="219"/>
        <v>0</v>
      </c>
      <c r="I826">
        <f t="shared" si="220"/>
        <v>0</v>
      </c>
      <c r="J826">
        <f t="shared" si="221"/>
        <v>0</v>
      </c>
      <c r="K826">
        <f t="shared" si="222"/>
        <v>0</v>
      </c>
      <c r="L826">
        <f>--AND($E826=1,OR('Staff Dashboard'!$B$6="All",$DH826='Staff Dashboard'!$B$6),OR('Staff Dashboard'!$B$7="All",$D826='Staff Dashboard'!$B$7),OR('Staff Dashboard'!$B$8="All",$A826='Staff Dashboard'!$B$8))</f>
        <v>0</v>
      </c>
      <c r="M826">
        <f>IF($E826=0,0,SUMPRODUCT($AI$7:$DF$7,'Staff Daily sales'!$G811:$CD811))</f>
        <v>0</v>
      </c>
      <c r="N826">
        <f>IF($E826=0,0,SUMPRODUCT($AI$8:$DF$8,'Staff Daily sales'!$G811:$CD811))</f>
        <v>0</v>
      </c>
      <c r="O826">
        <f>IF($E826=0,0,SUMPRODUCT($AI$9:$DF$9,'Staff Daily sales'!$G811:$CD811))</f>
        <v>0</v>
      </c>
      <c r="P826">
        <f>IF($E826=0,0,SUMPRODUCT($AI$10:$DF$10,'Staff Daily sales'!$G811:$CD811))</f>
        <v>0</v>
      </c>
      <c r="Q826">
        <f>IF($E826=0,0,SUMPRODUCT($AI$11:$DF$11,'Staff Daily sales'!$G811:$CD811))</f>
        <v>0</v>
      </c>
      <c r="R826">
        <f>IF($E826=0,0,SUMPRODUCT($AI$12:$DF$12,'Staff Daily sales'!$G811:$CD811))</f>
        <v>0</v>
      </c>
      <c r="S826">
        <f>IF($E826=0,0,SUMPRODUCT($AI$13:$DF$13,'Staff Daily sales'!$G811:$CD811))</f>
        <v>0</v>
      </c>
      <c r="T826">
        <f>IF($E826=0,0,SUMPRODUCT($AI$14:$DF$14,'Staff Daily sales'!$G811:$CD811))</f>
        <v>0</v>
      </c>
      <c r="U826">
        <f>IF($E826=0,0,SUMPRODUCT($AI$15:$DF$15,'Staff Daily sales'!$G811:$CD811))</f>
        <v>0</v>
      </c>
      <c r="V826">
        <f>IF($E826=0,0,SUMPRODUCT($AI$16:$DF$16,'Staff Daily sales'!$G811:$CD811))</f>
        <v>0</v>
      </c>
      <c r="W826">
        <f t="shared" si="223"/>
        <v>0</v>
      </c>
      <c r="X826">
        <f t="shared" si="224"/>
        <v>0</v>
      </c>
      <c r="Y826">
        <f t="shared" si="225"/>
        <v>0</v>
      </c>
      <c r="Z826">
        <f t="shared" si="226"/>
        <v>0</v>
      </c>
      <c r="AA826">
        <f t="shared" si="227"/>
        <v>0</v>
      </c>
      <c r="AB826">
        <f>--AND($E826=1,OR('Staff Weekly Trend'!$B$3="All",$DH826='Staff Weekly Trend'!$B$3),OR('Staff Weekly Trend'!$B$4="All",$D826='Staff Weekly Trend'!$B$4),OR('Staff Weekly Trend'!$B$5="All",$A826='Staff Weekly Trend'!$B$5))</f>
        <v>0</v>
      </c>
      <c r="AC826" t="str">
        <f t="shared" si="228"/>
        <v/>
      </c>
      <c r="AI826">
        <f t="shared" si="229"/>
        <v>0</v>
      </c>
      <c r="AJ826">
        <f t="shared" si="230"/>
        <v>0</v>
      </c>
      <c r="AK826">
        <f t="shared" si="231"/>
        <v>0</v>
      </c>
      <c r="AL826">
        <f t="shared" si="232"/>
        <v>0</v>
      </c>
      <c r="AM826">
        <f t="shared" si="233"/>
        <v>0</v>
      </c>
      <c r="DH826" t="str" cm="1">
        <f t="array" ref="DH826">IF($A826="","",_xlfn.LET(_xlpm.c,IFERROR(_xlfn.XLOOKUP($A826,TRIM('Sales and count'!$A$4:$A$300&amp;""),TRIM('Sales and count'!$B$4:$B$300&amp;"")),""),IF(OR(_xlpm.c="",_xlpm.c="0",LEFT(_xlpm.c,1)="#"),"Not set",_xlpm.c)))</f>
        <v/>
      </c>
    </row>
    <row r="827" spans="1:112" x14ac:dyDescent="0.25">
      <c r="A827" t="str">
        <f>IF('Staff Daily sales'!$B812="","",TRIM('Staff Daily sales'!$B812&amp;""))</f>
        <v/>
      </c>
      <c r="B827" t="str">
        <f>IF('Staff Daily sales'!$D812="","",TRIM('Staff Daily sales'!$D812&amp;""))</f>
        <v/>
      </c>
      <c r="C827" t="str">
        <f>IFERROR(TRIM('Staff Daily sales'!$E812&amp;""),"")</f>
        <v/>
      </c>
      <c r="D827" t="str">
        <f>IFERROR(IF(TRIM('Staff Daily sales'!$F812&amp;"")="","Unassigned",TRIM('Staff Daily sales'!$F812&amp;"")),"Unassigned")</f>
        <v>Unassigned</v>
      </c>
      <c r="E827">
        <f t="shared" si="218"/>
        <v>0</v>
      </c>
      <c r="F827">
        <f>IF($E827=0,0,SUMPRODUCT($AI$5:$DF$5,'Staff Daily sales'!$G812:$CD812))</f>
        <v>0</v>
      </c>
      <c r="G827">
        <f>IF($E827=0,0,SUMPRODUCT($AI$6:$DF$6,'Staff Daily sales'!$G812:$CD812))</f>
        <v>0</v>
      </c>
      <c r="H827">
        <f t="shared" si="219"/>
        <v>0</v>
      </c>
      <c r="I827">
        <f t="shared" si="220"/>
        <v>0</v>
      </c>
      <c r="J827">
        <f t="shared" si="221"/>
        <v>0</v>
      </c>
      <c r="K827">
        <f t="shared" si="222"/>
        <v>0</v>
      </c>
      <c r="L827">
        <f>--AND($E827=1,OR('Staff Dashboard'!$B$6="All",$DH827='Staff Dashboard'!$B$6),OR('Staff Dashboard'!$B$7="All",$D827='Staff Dashboard'!$B$7),OR('Staff Dashboard'!$B$8="All",$A827='Staff Dashboard'!$B$8))</f>
        <v>0</v>
      </c>
      <c r="M827">
        <f>IF($E827=0,0,SUMPRODUCT($AI$7:$DF$7,'Staff Daily sales'!$G812:$CD812))</f>
        <v>0</v>
      </c>
      <c r="N827">
        <f>IF($E827=0,0,SUMPRODUCT($AI$8:$DF$8,'Staff Daily sales'!$G812:$CD812))</f>
        <v>0</v>
      </c>
      <c r="O827">
        <f>IF($E827=0,0,SUMPRODUCT($AI$9:$DF$9,'Staff Daily sales'!$G812:$CD812))</f>
        <v>0</v>
      </c>
      <c r="P827">
        <f>IF($E827=0,0,SUMPRODUCT($AI$10:$DF$10,'Staff Daily sales'!$G812:$CD812))</f>
        <v>0</v>
      </c>
      <c r="Q827">
        <f>IF($E827=0,0,SUMPRODUCT($AI$11:$DF$11,'Staff Daily sales'!$G812:$CD812))</f>
        <v>0</v>
      </c>
      <c r="R827">
        <f>IF($E827=0,0,SUMPRODUCT($AI$12:$DF$12,'Staff Daily sales'!$G812:$CD812))</f>
        <v>0</v>
      </c>
      <c r="S827">
        <f>IF($E827=0,0,SUMPRODUCT($AI$13:$DF$13,'Staff Daily sales'!$G812:$CD812))</f>
        <v>0</v>
      </c>
      <c r="T827">
        <f>IF($E827=0,0,SUMPRODUCT($AI$14:$DF$14,'Staff Daily sales'!$G812:$CD812))</f>
        <v>0</v>
      </c>
      <c r="U827">
        <f>IF($E827=0,0,SUMPRODUCT($AI$15:$DF$15,'Staff Daily sales'!$G812:$CD812))</f>
        <v>0</v>
      </c>
      <c r="V827">
        <f>IF($E827=0,0,SUMPRODUCT($AI$16:$DF$16,'Staff Daily sales'!$G812:$CD812))</f>
        <v>0</v>
      </c>
      <c r="W827">
        <f t="shared" si="223"/>
        <v>0</v>
      </c>
      <c r="X827">
        <f t="shared" si="224"/>
        <v>0</v>
      </c>
      <c r="Y827">
        <f t="shared" si="225"/>
        <v>0</v>
      </c>
      <c r="Z827">
        <f t="shared" si="226"/>
        <v>0</v>
      </c>
      <c r="AA827">
        <f t="shared" si="227"/>
        <v>0</v>
      </c>
      <c r="AB827">
        <f>--AND($E827=1,OR('Staff Weekly Trend'!$B$3="All",$DH827='Staff Weekly Trend'!$B$3),OR('Staff Weekly Trend'!$B$4="All",$D827='Staff Weekly Trend'!$B$4),OR('Staff Weekly Trend'!$B$5="All",$A827='Staff Weekly Trend'!$B$5))</f>
        <v>0</v>
      </c>
      <c r="AC827" t="str">
        <f t="shared" si="228"/>
        <v/>
      </c>
      <c r="AI827">
        <f t="shared" si="229"/>
        <v>0</v>
      </c>
      <c r="AJ827">
        <f t="shared" si="230"/>
        <v>0</v>
      </c>
      <c r="AK827">
        <f t="shared" si="231"/>
        <v>0</v>
      </c>
      <c r="AL827">
        <f t="shared" si="232"/>
        <v>0</v>
      </c>
      <c r="AM827">
        <f t="shared" si="233"/>
        <v>0</v>
      </c>
      <c r="DH827" t="str" cm="1">
        <f t="array" ref="DH827">IF($A827="","",_xlfn.LET(_xlpm.c,IFERROR(_xlfn.XLOOKUP($A827,TRIM('Sales and count'!$A$4:$A$300&amp;""),TRIM('Sales and count'!$B$4:$B$300&amp;"")),""),IF(OR(_xlpm.c="",_xlpm.c="0",LEFT(_xlpm.c,1)="#"),"Not set",_xlpm.c)))</f>
        <v/>
      </c>
    </row>
    <row r="828" spans="1:112" x14ac:dyDescent="0.25">
      <c r="A828" t="str">
        <f>IF('Staff Daily sales'!$B813="","",TRIM('Staff Daily sales'!$B813&amp;""))</f>
        <v/>
      </c>
      <c r="B828" t="str">
        <f>IF('Staff Daily sales'!$D813="","",TRIM('Staff Daily sales'!$D813&amp;""))</f>
        <v/>
      </c>
      <c r="C828" t="str">
        <f>IFERROR(TRIM('Staff Daily sales'!$E813&amp;""),"")</f>
        <v/>
      </c>
      <c r="D828" t="str">
        <f>IFERROR(IF(TRIM('Staff Daily sales'!$F813&amp;"")="","Unassigned",TRIM('Staff Daily sales'!$F813&amp;"")),"Unassigned")</f>
        <v>Unassigned</v>
      </c>
      <c r="E828">
        <f t="shared" si="218"/>
        <v>0</v>
      </c>
      <c r="F828">
        <f>IF($E828=0,0,SUMPRODUCT($AI$5:$DF$5,'Staff Daily sales'!$G813:$CD813))</f>
        <v>0</v>
      </c>
      <c r="G828">
        <f>IF($E828=0,0,SUMPRODUCT($AI$6:$DF$6,'Staff Daily sales'!$G813:$CD813))</f>
        <v>0</v>
      </c>
      <c r="H828">
        <f t="shared" si="219"/>
        <v>0</v>
      </c>
      <c r="I828">
        <f t="shared" si="220"/>
        <v>0</v>
      </c>
      <c r="J828">
        <f t="shared" si="221"/>
        <v>0</v>
      </c>
      <c r="K828">
        <f t="shared" si="222"/>
        <v>0</v>
      </c>
      <c r="L828">
        <f>--AND($E828=1,OR('Staff Dashboard'!$B$6="All",$DH828='Staff Dashboard'!$B$6),OR('Staff Dashboard'!$B$7="All",$D828='Staff Dashboard'!$B$7),OR('Staff Dashboard'!$B$8="All",$A828='Staff Dashboard'!$B$8))</f>
        <v>0</v>
      </c>
      <c r="M828">
        <f>IF($E828=0,0,SUMPRODUCT($AI$7:$DF$7,'Staff Daily sales'!$G813:$CD813))</f>
        <v>0</v>
      </c>
      <c r="N828">
        <f>IF($E828=0,0,SUMPRODUCT($AI$8:$DF$8,'Staff Daily sales'!$G813:$CD813))</f>
        <v>0</v>
      </c>
      <c r="O828">
        <f>IF($E828=0,0,SUMPRODUCT($AI$9:$DF$9,'Staff Daily sales'!$G813:$CD813))</f>
        <v>0</v>
      </c>
      <c r="P828">
        <f>IF($E828=0,0,SUMPRODUCT($AI$10:$DF$10,'Staff Daily sales'!$G813:$CD813))</f>
        <v>0</v>
      </c>
      <c r="Q828">
        <f>IF($E828=0,0,SUMPRODUCT($AI$11:$DF$11,'Staff Daily sales'!$G813:$CD813))</f>
        <v>0</v>
      </c>
      <c r="R828">
        <f>IF($E828=0,0,SUMPRODUCT($AI$12:$DF$12,'Staff Daily sales'!$G813:$CD813))</f>
        <v>0</v>
      </c>
      <c r="S828">
        <f>IF($E828=0,0,SUMPRODUCT($AI$13:$DF$13,'Staff Daily sales'!$G813:$CD813))</f>
        <v>0</v>
      </c>
      <c r="T828">
        <f>IF($E828=0,0,SUMPRODUCT($AI$14:$DF$14,'Staff Daily sales'!$G813:$CD813))</f>
        <v>0</v>
      </c>
      <c r="U828">
        <f>IF($E828=0,0,SUMPRODUCT($AI$15:$DF$15,'Staff Daily sales'!$G813:$CD813))</f>
        <v>0</v>
      </c>
      <c r="V828">
        <f>IF($E828=0,0,SUMPRODUCT($AI$16:$DF$16,'Staff Daily sales'!$G813:$CD813))</f>
        <v>0</v>
      </c>
      <c r="W828">
        <f t="shared" si="223"/>
        <v>0</v>
      </c>
      <c r="X828">
        <f t="shared" si="224"/>
        <v>0</v>
      </c>
      <c r="Y828">
        <f t="shared" si="225"/>
        <v>0</v>
      </c>
      <c r="Z828">
        <f t="shared" si="226"/>
        <v>0</v>
      </c>
      <c r="AA828">
        <f t="shared" si="227"/>
        <v>0</v>
      </c>
      <c r="AB828">
        <f>--AND($E828=1,OR('Staff Weekly Trend'!$B$3="All",$DH828='Staff Weekly Trend'!$B$3),OR('Staff Weekly Trend'!$B$4="All",$D828='Staff Weekly Trend'!$B$4),OR('Staff Weekly Trend'!$B$5="All",$A828='Staff Weekly Trend'!$B$5))</f>
        <v>0</v>
      </c>
      <c r="AC828" t="str">
        <f t="shared" si="228"/>
        <v/>
      </c>
      <c r="AI828">
        <f t="shared" si="229"/>
        <v>0</v>
      </c>
      <c r="AJ828">
        <f t="shared" si="230"/>
        <v>0</v>
      </c>
      <c r="AK828">
        <f t="shared" si="231"/>
        <v>0</v>
      </c>
      <c r="AL828">
        <f t="shared" si="232"/>
        <v>0</v>
      </c>
      <c r="AM828">
        <f t="shared" si="233"/>
        <v>0</v>
      </c>
      <c r="DH828" t="str" cm="1">
        <f t="array" ref="DH828">IF($A828="","",_xlfn.LET(_xlpm.c,IFERROR(_xlfn.XLOOKUP($A828,TRIM('Sales and count'!$A$4:$A$300&amp;""),TRIM('Sales and count'!$B$4:$B$300&amp;"")),""),IF(OR(_xlpm.c="",_xlpm.c="0",LEFT(_xlpm.c,1)="#"),"Not set",_xlpm.c)))</f>
        <v/>
      </c>
    </row>
    <row r="829" spans="1:112" x14ac:dyDescent="0.25">
      <c r="A829" t="str">
        <f>IF('Staff Daily sales'!$B814="","",TRIM('Staff Daily sales'!$B814&amp;""))</f>
        <v/>
      </c>
      <c r="B829" t="str">
        <f>IF('Staff Daily sales'!$D814="","",TRIM('Staff Daily sales'!$D814&amp;""))</f>
        <v/>
      </c>
      <c r="C829" t="str">
        <f>IFERROR(TRIM('Staff Daily sales'!$E814&amp;""),"")</f>
        <v/>
      </c>
      <c r="D829" t="str">
        <f>IFERROR(IF(TRIM('Staff Daily sales'!$F814&amp;"")="","Unassigned",TRIM('Staff Daily sales'!$F814&amp;"")),"Unassigned")</f>
        <v>Unassigned</v>
      </c>
      <c r="E829">
        <f t="shared" si="218"/>
        <v>0</v>
      </c>
      <c r="F829">
        <f>IF($E829=0,0,SUMPRODUCT($AI$5:$DF$5,'Staff Daily sales'!$G814:$CD814))</f>
        <v>0</v>
      </c>
      <c r="G829">
        <f>IF($E829=0,0,SUMPRODUCT($AI$6:$DF$6,'Staff Daily sales'!$G814:$CD814))</f>
        <v>0</v>
      </c>
      <c r="H829">
        <f t="shared" si="219"/>
        <v>0</v>
      </c>
      <c r="I829">
        <f t="shared" si="220"/>
        <v>0</v>
      </c>
      <c r="J829">
        <f t="shared" si="221"/>
        <v>0</v>
      </c>
      <c r="K829">
        <f t="shared" si="222"/>
        <v>0</v>
      </c>
      <c r="L829">
        <f>--AND($E829=1,OR('Staff Dashboard'!$B$6="All",$DH829='Staff Dashboard'!$B$6),OR('Staff Dashboard'!$B$7="All",$D829='Staff Dashboard'!$B$7),OR('Staff Dashboard'!$B$8="All",$A829='Staff Dashboard'!$B$8))</f>
        <v>0</v>
      </c>
      <c r="M829">
        <f>IF($E829=0,0,SUMPRODUCT($AI$7:$DF$7,'Staff Daily sales'!$G814:$CD814))</f>
        <v>0</v>
      </c>
      <c r="N829">
        <f>IF($E829=0,0,SUMPRODUCT($AI$8:$DF$8,'Staff Daily sales'!$G814:$CD814))</f>
        <v>0</v>
      </c>
      <c r="O829">
        <f>IF($E829=0,0,SUMPRODUCT($AI$9:$DF$9,'Staff Daily sales'!$G814:$CD814))</f>
        <v>0</v>
      </c>
      <c r="P829">
        <f>IF($E829=0,0,SUMPRODUCT($AI$10:$DF$10,'Staff Daily sales'!$G814:$CD814))</f>
        <v>0</v>
      </c>
      <c r="Q829">
        <f>IF($E829=0,0,SUMPRODUCT($AI$11:$DF$11,'Staff Daily sales'!$G814:$CD814))</f>
        <v>0</v>
      </c>
      <c r="R829">
        <f>IF($E829=0,0,SUMPRODUCT($AI$12:$DF$12,'Staff Daily sales'!$G814:$CD814))</f>
        <v>0</v>
      </c>
      <c r="S829">
        <f>IF($E829=0,0,SUMPRODUCT($AI$13:$DF$13,'Staff Daily sales'!$G814:$CD814))</f>
        <v>0</v>
      </c>
      <c r="T829">
        <f>IF($E829=0,0,SUMPRODUCT($AI$14:$DF$14,'Staff Daily sales'!$G814:$CD814))</f>
        <v>0</v>
      </c>
      <c r="U829">
        <f>IF($E829=0,0,SUMPRODUCT($AI$15:$DF$15,'Staff Daily sales'!$G814:$CD814))</f>
        <v>0</v>
      </c>
      <c r="V829">
        <f>IF($E829=0,0,SUMPRODUCT($AI$16:$DF$16,'Staff Daily sales'!$G814:$CD814))</f>
        <v>0</v>
      </c>
      <c r="W829">
        <f t="shared" si="223"/>
        <v>0</v>
      </c>
      <c r="X829">
        <f t="shared" si="224"/>
        <v>0</v>
      </c>
      <c r="Y829">
        <f t="shared" si="225"/>
        <v>0</v>
      </c>
      <c r="Z829">
        <f t="shared" si="226"/>
        <v>0</v>
      </c>
      <c r="AA829">
        <f t="shared" si="227"/>
        <v>0</v>
      </c>
      <c r="AB829">
        <f>--AND($E829=1,OR('Staff Weekly Trend'!$B$3="All",$DH829='Staff Weekly Trend'!$B$3),OR('Staff Weekly Trend'!$B$4="All",$D829='Staff Weekly Trend'!$B$4),OR('Staff Weekly Trend'!$B$5="All",$A829='Staff Weekly Trend'!$B$5))</f>
        <v>0</v>
      </c>
      <c r="AC829" t="str">
        <f t="shared" si="228"/>
        <v/>
      </c>
      <c r="AI829">
        <f t="shared" si="229"/>
        <v>0</v>
      </c>
      <c r="AJ829">
        <f t="shared" si="230"/>
        <v>0</v>
      </c>
      <c r="AK829">
        <f t="shared" si="231"/>
        <v>0</v>
      </c>
      <c r="AL829">
        <f t="shared" si="232"/>
        <v>0</v>
      </c>
      <c r="AM829">
        <f t="shared" si="233"/>
        <v>0</v>
      </c>
      <c r="DH829" t="str" cm="1">
        <f t="array" ref="DH829">IF($A829="","",_xlfn.LET(_xlpm.c,IFERROR(_xlfn.XLOOKUP($A829,TRIM('Sales and count'!$A$4:$A$300&amp;""),TRIM('Sales and count'!$B$4:$B$300&amp;"")),""),IF(OR(_xlpm.c="",_xlpm.c="0",LEFT(_xlpm.c,1)="#"),"Not set",_xlpm.c)))</f>
        <v/>
      </c>
    </row>
    <row r="830" spans="1:112" x14ac:dyDescent="0.25">
      <c r="A830" t="str">
        <f>IF('Staff Daily sales'!$B815="","",TRIM('Staff Daily sales'!$B815&amp;""))</f>
        <v/>
      </c>
      <c r="B830" t="str">
        <f>IF('Staff Daily sales'!$D815="","",TRIM('Staff Daily sales'!$D815&amp;""))</f>
        <v/>
      </c>
      <c r="C830" t="str">
        <f>IFERROR(TRIM('Staff Daily sales'!$E815&amp;""),"")</f>
        <v/>
      </c>
      <c r="D830" t="str">
        <f>IFERROR(IF(TRIM('Staff Daily sales'!$F815&amp;"")="","Unassigned",TRIM('Staff Daily sales'!$F815&amp;"")),"Unassigned")</f>
        <v>Unassigned</v>
      </c>
      <c r="E830">
        <f t="shared" si="218"/>
        <v>0</v>
      </c>
      <c r="F830">
        <f>IF($E830=0,0,SUMPRODUCT($AI$5:$DF$5,'Staff Daily sales'!$G815:$CD815))</f>
        <v>0</v>
      </c>
      <c r="G830">
        <f>IF($E830=0,0,SUMPRODUCT($AI$6:$DF$6,'Staff Daily sales'!$G815:$CD815))</f>
        <v>0</v>
      </c>
      <c r="H830">
        <f t="shared" si="219"/>
        <v>0</v>
      </c>
      <c r="I830">
        <f t="shared" si="220"/>
        <v>0</v>
      </c>
      <c r="J830">
        <f t="shared" si="221"/>
        <v>0</v>
      </c>
      <c r="K830">
        <f t="shared" si="222"/>
        <v>0</v>
      </c>
      <c r="L830">
        <f>--AND($E830=1,OR('Staff Dashboard'!$B$6="All",$DH830='Staff Dashboard'!$B$6),OR('Staff Dashboard'!$B$7="All",$D830='Staff Dashboard'!$B$7),OR('Staff Dashboard'!$B$8="All",$A830='Staff Dashboard'!$B$8))</f>
        <v>0</v>
      </c>
      <c r="M830">
        <f>IF($E830=0,0,SUMPRODUCT($AI$7:$DF$7,'Staff Daily sales'!$G815:$CD815))</f>
        <v>0</v>
      </c>
      <c r="N830">
        <f>IF($E830=0,0,SUMPRODUCT($AI$8:$DF$8,'Staff Daily sales'!$G815:$CD815))</f>
        <v>0</v>
      </c>
      <c r="O830">
        <f>IF($E830=0,0,SUMPRODUCT($AI$9:$DF$9,'Staff Daily sales'!$G815:$CD815))</f>
        <v>0</v>
      </c>
      <c r="P830">
        <f>IF($E830=0,0,SUMPRODUCT($AI$10:$DF$10,'Staff Daily sales'!$G815:$CD815))</f>
        <v>0</v>
      </c>
      <c r="Q830">
        <f>IF($E830=0,0,SUMPRODUCT($AI$11:$DF$11,'Staff Daily sales'!$G815:$CD815))</f>
        <v>0</v>
      </c>
      <c r="R830">
        <f>IF($E830=0,0,SUMPRODUCT($AI$12:$DF$12,'Staff Daily sales'!$G815:$CD815))</f>
        <v>0</v>
      </c>
      <c r="S830">
        <f>IF($E830=0,0,SUMPRODUCT($AI$13:$DF$13,'Staff Daily sales'!$G815:$CD815))</f>
        <v>0</v>
      </c>
      <c r="T830">
        <f>IF($E830=0,0,SUMPRODUCT($AI$14:$DF$14,'Staff Daily sales'!$G815:$CD815))</f>
        <v>0</v>
      </c>
      <c r="U830">
        <f>IF($E830=0,0,SUMPRODUCT($AI$15:$DF$15,'Staff Daily sales'!$G815:$CD815))</f>
        <v>0</v>
      </c>
      <c r="V830">
        <f>IF($E830=0,0,SUMPRODUCT($AI$16:$DF$16,'Staff Daily sales'!$G815:$CD815))</f>
        <v>0</v>
      </c>
      <c r="W830">
        <f t="shared" si="223"/>
        <v>0</v>
      </c>
      <c r="X830">
        <f t="shared" si="224"/>
        <v>0</v>
      </c>
      <c r="Y830">
        <f t="shared" si="225"/>
        <v>0</v>
      </c>
      <c r="Z830">
        <f t="shared" si="226"/>
        <v>0</v>
      </c>
      <c r="AA830">
        <f t="shared" si="227"/>
        <v>0</v>
      </c>
      <c r="AB830">
        <f>--AND($E830=1,OR('Staff Weekly Trend'!$B$3="All",$DH830='Staff Weekly Trend'!$B$3),OR('Staff Weekly Trend'!$B$4="All",$D830='Staff Weekly Trend'!$B$4),OR('Staff Weekly Trend'!$B$5="All",$A830='Staff Weekly Trend'!$B$5))</f>
        <v>0</v>
      </c>
      <c r="AC830" t="str">
        <f t="shared" si="228"/>
        <v/>
      </c>
      <c r="AI830">
        <f t="shared" si="229"/>
        <v>0</v>
      </c>
      <c r="AJ830">
        <f t="shared" si="230"/>
        <v>0</v>
      </c>
      <c r="AK830">
        <f t="shared" si="231"/>
        <v>0</v>
      </c>
      <c r="AL830">
        <f t="shared" si="232"/>
        <v>0</v>
      </c>
      <c r="AM830">
        <f t="shared" si="233"/>
        <v>0</v>
      </c>
      <c r="DH830" t="str" cm="1">
        <f t="array" ref="DH830">IF($A830="","",_xlfn.LET(_xlpm.c,IFERROR(_xlfn.XLOOKUP($A830,TRIM('Sales and count'!$A$4:$A$300&amp;""),TRIM('Sales and count'!$B$4:$B$300&amp;"")),""),IF(OR(_xlpm.c="",_xlpm.c="0",LEFT(_xlpm.c,1)="#"),"Not set",_xlpm.c)))</f>
        <v/>
      </c>
    </row>
    <row r="831" spans="1:112" x14ac:dyDescent="0.25">
      <c r="A831" t="str">
        <f>IF('Staff Daily sales'!$B816="","",TRIM('Staff Daily sales'!$B816&amp;""))</f>
        <v/>
      </c>
      <c r="B831" t="str">
        <f>IF('Staff Daily sales'!$D816="","",TRIM('Staff Daily sales'!$D816&amp;""))</f>
        <v/>
      </c>
      <c r="C831" t="str">
        <f>IFERROR(TRIM('Staff Daily sales'!$E816&amp;""),"")</f>
        <v/>
      </c>
      <c r="D831" t="str">
        <f>IFERROR(IF(TRIM('Staff Daily sales'!$F816&amp;"")="","Unassigned",TRIM('Staff Daily sales'!$F816&amp;"")),"Unassigned")</f>
        <v>Unassigned</v>
      </c>
      <c r="E831">
        <f t="shared" si="218"/>
        <v>0</v>
      </c>
      <c r="F831">
        <f>IF($E831=0,0,SUMPRODUCT($AI$5:$DF$5,'Staff Daily sales'!$G816:$CD816))</f>
        <v>0</v>
      </c>
      <c r="G831">
        <f>IF($E831=0,0,SUMPRODUCT($AI$6:$DF$6,'Staff Daily sales'!$G816:$CD816))</f>
        <v>0</v>
      </c>
      <c r="H831">
        <f t="shared" si="219"/>
        <v>0</v>
      </c>
      <c r="I831">
        <f t="shared" si="220"/>
        <v>0</v>
      </c>
      <c r="J831">
        <f t="shared" si="221"/>
        <v>0</v>
      </c>
      <c r="K831">
        <f t="shared" si="222"/>
        <v>0</v>
      </c>
      <c r="L831">
        <f>--AND($E831=1,OR('Staff Dashboard'!$B$6="All",$DH831='Staff Dashboard'!$B$6),OR('Staff Dashboard'!$B$7="All",$D831='Staff Dashboard'!$B$7),OR('Staff Dashboard'!$B$8="All",$A831='Staff Dashboard'!$B$8))</f>
        <v>0</v>
      </c>
      <c r="M831">
        <f>IF($E831=0,0,SUMPRODUCT($AI$7:$DF$7,'Staff Daily sales'!$G816:$CD816))</f>
        <v>0</v>
      </c>
      <c r="N831">
        <f>IF($E831=0,0,SUMPRODUCT($AI$8:$DF$8,'Staff Daily sales'!$G816:$CD816))</f>
        <v>0</v>
      </c>
      <c r="O831">
        <f>IF($E831=0,0,SUMPRODUCT($AI$9:$DF$9,'Staff Daily sales'!$G816:$CD816))</f>
        <v>0</v>
      </c>
      <c r="P831">
        <f>IF($E831=0,0,SUMPRODUCT($AI$10:$DF$10,'Staff Daily sales'!$G816:$CD816))</f>
        <v>0</v>
      </c>
      <c r="Q831">
        <f>IF($E831=0,0,SUMPRODUCT($AI$11:$DF$11,'Staff Daily sales'!$G816:$CD816))</f>
        <v>0</v>
      </c>
      <c r="R831">
        <f>IF($E831=0,0,SUMPRODUCT($AI$12:$DF$12,'Staff Daily sales'!$G816:$CD816))</f>
        <v>0</v>
      </c>
      <c r="S831">
        <f>IF($E831=0,0,SUMPRODUCT($AI$13:$DF$13,'Staff Daily sales'!$G816:$CD816))</f>
        <v>0</v>
      </c>
      <c r="T831">
        <f>IF($E831=0,0,SUMPRODUCT($AI$14:$DF$14,'Staff Daily sales'!$G816:$CD816))</f>
        <v>0</v>
      </c>
      <c r="U831">
        <f>IF($E831=0,0,SUMPRODUCT($AI$15:$DF$15,'Staff Daily sales'!$G816:$CD816))</f>
        <v>0</v>
      </c>
      <c r="V831">
        <f>IF($E831=0,0,SUMPRODUCT($AI$16:$DF$16,'Staff Daily sales'!$G816:$CD816))</f>
        <v>0</v>
      </c>
      <c r="W831">
        <f t="shared" si="223"/>
        <v>0</v>
      </c>
      <c r="X831">
        <f t="shared" si="224"/>
        <v>0</v>
      </c>
      <c r="Y831">
        <f t="shared" si="225"/>
        <v>0</v>
      </c>
      <c r="Z831">
        <f t="shared" si="226"/>
        <v>0</v>
      </c>
      <c r="AA831">
        <f t="shared" si="227"/>
        <v>0</v>
      </c>
      <c r="AB831">
        <f>--AND($E831=1,OR('Staff Weekly Trend'!$B$3="All",$DH831='Staff Weekly Trend'!$B$3),OR('Staff Weekly Trend'!$B$4="All",$D831='Staff Weekly Trend'!$B$4),OR('Staff Weekly Trend'!$B$5="All",$A831='Staff Weekly Trend'!$B$5))</f>
        <v>0</v>
      </c>
      <c r="AC831" t="str">
        <f t="shared" si="228"/>
        <v/>
      </c>
      <c r="AI831">
        <f t="shared" si="229"/>
        <v>0</v>
      </c>
      <c r="AJ831">
        <f t="shared" si="230"/>
        <v>0</v>
      </c>
      <c r="AK831">
        <f t="shared" si="231"/>
        <v>0</v>
      </c>
      <c r="AL831">
        <f t="shared" si="232"/>
        <v>0</v>
      </c>
      <c r="AM831">
        <f t="shared" si="233"/>
        <v>0</v>
      </c>
      <c r="DH831" t="str" cm="1">
        <f t="array" ref="DH831">IF($A831="","",_xlfn.LET(_xlpm.c,IFERROR(_xlfn.XLOOKUP($A831,TRIM('Sales and count'!$A$4:$A$300&amp;""),TRIM('Sales and count'!$B$4:$B$300&amp;"")),""),IF(OR(_xlpm.c="",_xlpm.c="0",LEFT(_xlpm.c,1)="#"),"Not set",_xlpm.c)))</f>
        <v/>
      </c>
    </row>
    <row r="832" spans="1:112" x14ac:dyDescent="0.25">
      <c r="A832" t="str">
        <f>IF('Staff Daily sales'!$B817="","",TRIM('Staff Daily sales'!$B817&amp;""))</f>
        <v/>
      </c>
      <c r="B832" t="str">
        <f>IF('Staff Daily sales'!$D817="","",TRIM('Staff Daily sales'!$D817&amp;""))</f>
        <v/>
      </c>
      <c r="C832" t="str">
        <f>IFERROR(TRIM('Staff Daily sales'!$E817&amp;""),"")</f>
        <v/>
      </c>
      <c r="D832" t="str">
        <f>IFERROR(IF(TRIM('Staff Daily sales'!$F817&amp;"")="","Unassigned",TRIM('Staff Daily sales'!$F817&amp;"")),"Unassigned")</f>
        <v>Unassigned</v>
      </c>
      <c r="E832">
        <f t="shared" si="218"/>
        <v>0</v>
      </c>
      <c r="F832">
        <f>IF($E832=0,0,SUMPRODUCT($AI$5:$DF$5,'Staff Daily sales'!$G817:$CD817))</f>
        <v>0</v>
      </c>
      <c r="G832">
        <f>IF($E832=0,0,SUMPRODUCT($AI$6:$DF$6,'Staff Daily sales'!$G817:$CD817))</f>
        <v>0</v>
      </c>
      <c r="H832">
        <f t="shared" si="219"/>
        <v>0</v>
      </c>
      <c r="I832">
        <f t="shared" si="220"/>
        <v>0</v>
      </c>
      <c r="J832">
        <f t="shared" si="221"/>
        <v>0</v>
      </c>
      <c r="K832">
        <f t="shared" si="222"/>
        <v>0</v>
      </c>
      <c r="L832">
        <f>--AND($E832=1,OR('Staff Dashboard'!$B$6="All",$DH832='Staff Dashboard'!$B$6),OR('Staff Dashboard'!$B$7="All",$D832='Staff Dashboard'!$B$7),OR('Staff Dashboard'!$B$8="All",$A832='Staff Dashboard'!$B$8))</f>
        <v>0</v>
      </c>
      <c r="M832">
        <f>IF($E832=0,0,SUMPRODUCT($AI$7:$DF$7,'Staff Daily sales'!$G817:$CD817))</f>
        <v>0</v>
      </c>
      <c r="N832">
        <f>IF($E832=0,0,SUMPRODUCT($AI$8:$DF$8,'Staff Daily sales'!$G817:$CD817))</f>
        <v>0</v>
      </c>
      <c r="O832">
        <f>IF($E832=0,0,SUMPRODUCT($AI$9:$DF$9,'Staff Daily sales'!$G817:$CD817))</f>
        <v>0</v>
      </c>
      <c r="P832">
        <f>IF($E832=0,0,SUMPRODUCT($AI$10:$DF$10,'Staff Daily sales'!$G817:$CD817))</f>
        <v>0</v>
      </c>
      <c r="Q832">
        <f>IF($E832=0,0,SUMPRODUCT($AI$11:$DF$11,'Staff Daily sales'!$G817:$CD817))</f>
        <v>0</v>
      </c>
      <c r="R832">
        <f>IF($E832=0,0,SUMPRODUCT($AI$12:$DF$12,'Staff Daily sales'!$G817:$CD817))</f>
        <v>0</v>
      </c>
      <c r="S832">
        <f>IF($E832=0,0,SUMPRODUCT($AI$13:$DF$13,'Staff Daily sales'!$G817:$CD817))</f>
        <v>0</v>
      </c>
      <c r="T832">
        <f>IF($E832=0,0,SUMPRODUCT($AI$14:$DF$14,'Staff Daily sales'!$G817:$CD817))</f>
        <v>0</v>
      </c>
      <c r="U832">
        <f>IF($E832=0,0,SUMPRODUCT($AI$15:$DF$15,'Staff Daily sales'!$G817:$CD817))</f>
        <v>0</v>
      </c>
      <c r="V832">
        <f>IF($E832=0,0,SUMPRODUCT($AI$16:$DF$16,'Staff Daily sales'!$G817:$CD817))</f>
        <v>0</v>
      </c>
      <c r="W832">
        <f t="shared" si="223"/>
        <v>0</v>
      </c>
      <c r="X832">
        <f t="shared" si="224"/>
        <v>0</v>
      </c>
      <c r="Y832">
        <f t="shared" si="225"/>
        <v>0</v>
      </c>
      <c r="Z832">
        <f t="shared" si="226"/>
        <v>0</v>
      </c>
      <c r="AA832">
        <f t="shared" si="227"/>
        <v>0</v>
      </c>
      <c r="AB832">
        <f>--AND($E832=1,OR('Staff Weekly Trend'!$B$3="All",$DH832='Staff Weekly Trend'!$B$3),OR('Staff Weekly Trend'!$B$4="All",$D832='Staff Weekly Trend'!$B$4),OR('Staff Weekly Trend'!$B$5="All",$A832='Staff Weekly Trend'!$B$5))</f>
        <v>0</v>
      </c>
      <c r="AC832" t="str">
        <f t="shared" si="228"/>
        <v/>
      </c>
      <c r="AI832">
        <f t="shared" si="229"/>
        <v>0</v>
      </c>
      <c r="AJ832">
        <f t="shared" si="230"/>
        <v>0</v>
      </c>
      <c r="AK832">
        <f t="shared" si="231"/>
        <v>0</v>
      </c>
      <c r="AL832">
        <f t="shared" si="232"/>
        <v>0</v>
      </c>
      <c r="AM832">
        <f t="shared" si="233"/>
        <v>0</v>
      </c>
      <c r="DH832" t="str" cm="1">
        <f t="array" ref="DH832">IF($A832="","",_xlfn.LET(_xlpm.c,IFERROR(_xlfn.XLOOKUP($A832,TRIM('Sales and count'!$A$4:$A$300&amp;""),TRIM('Sales and count'!$B$4:$B$300&amp;"")),""),IF(OR(_xlpm.c="",_xlpm.c="0",LEFT(_xlpm.c,1)="#"),"Not set",_xlpm.c)))</f>
        <v/>
      </c>
    </row>
    <row r="833" spans="1:112" x14ac:dyDescent="0.25">
      <c r="A833" t="str">
        <f>IF('Staff Daily sales'!$B818="","",TRIM('Staff Daily sales'!$B818&amp;""))</f>
        <v/>
      </c>
      <c r="B833" t="str">
        <f>IF('Staff Daily sales'!$D818="","",TRIM('Staff Daily sales'!$D818&amp;""))</f>
        <v/>
      </c>
      <c r="C833" t="str">
        <f>IFERROR(TRIM('Staff Daily sales'!$E818&amp;""),"")</f>
        <v/>
      </c>
      <c r="D833" t="str">
        <f>IFERROR(IF(TRIM('Staff Daily sales'!$F818&amp;"")="","Unassigned",TRIM('Staff Daily sales'!$F818&amp;"")),"Unassigned")</f>
        <v>Unassigned</v>
      </c>
      <c r="E833">
        <f t="shared" si="218"/>
        <v>0</v>
      </c>
      <c r="F833">
        <f>IF($E833=0,0,SUMPRODUCT($AI$5:$DF$5,'Staff Daily sales'!$G818:$CD818))</f>
        <v>0</v>
      </c>
      <c r="G833">
        <f>IF($E833=0,0,SUMPRODUCT($AI$6:$DF$6,'Staff Daily sales'!$G818:$CD818))</f>
        <v>0</v>
      </c>
      <c r="H833">
        <f t="shared" si="219"/>
        <v>0</v>
      </c>
      <c r="I833">
        <f t="shared" si="220"/>
        <v>0</v>
      </c>
      <c r="J833">
        <f t="shared" si="221"/>
        <v>0</v>
      </c>
      <c r="K833">
        <f t="shared" si="222"/>
        <v>0</v>
      </c>
      <c r="L833">
        <f>--AND($E833=1,OR('Staff Dashboard'!$B$6="All",$DH833='Staff Dashboard'!$B$6),OR('Staff Dashboard'!$B$7="All",$D833='Staff Dashboard'!$B$7),OR('Staff Dashboard'!$B$8="All",$A833='Staff Dashboard'!$B$8))</f>
        <v>0</v>
      </c>
      <c r="M833">
        <f>IF($E833=0,0,SUMPRODUCT($AI$7:$DF$7,'Staff Daily sales'!$G818:$CD818))</f>
        <v>0</v>
      </c>
      <c r="N833">
        <f>IF($E833=0,0,SUMPRODUCT($AI$8:$DF$8,'Staff Daily sales'!$G818:$CD818))</f>
        <v>0</v>
      </c>
      <c r="O833">
        <f>IF($E833=0,0,SUMPRODUCT($AI$9:$DF$9,'Staff Daily sales'!$G818:$CD818))</f>
        <v>0</v>
      </c>
      <c r="P833">
        <f>IF($E833=0,0,SUMPRODUCT($AI$10:$DF$10,'Staff Daily sales'!$G818:$CD818))</f>
        <v>0</v>
      </c>
      <c r="Q833">
        <f>IF($E833=0,0,SUMPRODUCT($AI$11:$DF$11,'Staff Daily sales'!$G818:$CD818))</f>
        <v>0</v>
      </c>
      <c r="R833">
        <f>IF($E833=0,0,SUMPRODUCT($AI$12:$DF$12,'Staff Daily sales'!$G818:$CD818))</f>
        <v>0</v>
      </c>
      <c r="S833">
        <f>IF($E833=0,0,SUMPRODUCT($AI$13:$DF$13,'Staff Daily sales'!$G818:$CD818))</f>
        <v>0</v>
      </c>
      <c r="T833">
        <f>IF($E833=0,0,SUMPRODUCT($AI$14:$DF$14,'Staff Daily sales'!$G818:$CD818))</f>
        <v>0</v>
      </c>
      <c r="U833">
        <f>IF($E833=0,0,SUMPRODUCT($AI$15:$DF$15,'Staff Daily sales'!$G818:$CD818))</f>
        <v>0</v>
      </c>
      <c r="V833">
        <f>IF($E833=0,0,SUMPRODUCT($AI$16:$DF$16,'Staff Daily sales'!$G818:$CD818))</f>
        <v>0</v>
      </c>
      <c r="W833">
        <f t="shared" si="223"/>
        <v>0</v>
      </c>
      <c r="X833">
        <f t="shared" si="224"/>
        <v>0</v>
      </c>
      <c r="Y833">
        <f t="shared" si="225"/>
        <v>0</v>
      </c>
      <c r="Z833">
        <f t="shared" si="226"/>
        <v>0</v>
      </c>
      <c r="AA833">
        <f t="shared" si="227"/>
        <v>0</v>
      </c>
      <c r="AB833">
        <f>--AND($E833=1,OR('Staff Weekly Trend'!$B$3="All",$DH833='Staff Weekly Trend'!$B$3),OR('Staff Weekly Trend'!$B$4="All",$D833='Staff Weekly Trend'!$B$4),OR('Staff Weekly Trend'!$B$5="All",$A833='Staff Weekly Trend'!$B$5))</f>
        <v>0</v>
      </c>
      <c r="AC833" t="str">
        <f t="shared" si="228"/>
        <v/>
      </c>
      <c r="AI833">
        <f t="shared" si="229"/>
        <v>0</v>
      </c>
      <c r="AJ833">
        <f t="shared" si="230"/>
        <v>0</v>
      </c>
      <c r="AK833">
        <f t="shared" si="231"/>
        <v>0</v>
      </c>
      <c r="AL833">
        <f t="shared" si="232"/>
        <v>0</v>
      </c>
      <c r="AM833">
        <f t="shared" si="233"/>
        <v>0</v>
      </c>
      <c r="DH833" t="str" cm="1">
        <f t="array" ref="DH833">IF($A833="","",_xlfn.LET(_xlpm.c,IFERROR(_xlfn.XLOOKUP($A833,TRIM('Sales and count'!$A$4:$A$300&amp;""),TRIM('Sales and count'!$B$4:$B$300&amp;"")),""),IF(OR(_xlpm.c="",_xlpm.c="0",LEFT(_xlpm.c,1)="#"),"Not set",_xlpm.c)))</f>
        <v/>
      </c>
    </row>
    <row r="834" spans="1:112" x14ac:dyDescent="0.25">
      <c r="A834" t="str">
        <f>IF('Staff Daily sales'!$B819="","",TRIM('Staff Daily sales'!$B819&amp;""))</f>
        <v/>
      </c>
      <c r="B834" t="str">
        <f>IF('Staff Daily sales'!$D819="","",TRIM('Staff Daily sales'!$D819&amp;""))</f>
        <v/>
      </c>
      <c r="C834" t="str">
        <f>IFERROR(TRIM('Staff Daily sales'!$E819&amp;""),"")</f>
        <v/>
      </c>
      <c r="D834" t="str">
        <f>IFERROR(IF(TRIM('Staff Daily sales'!$F819&amp;"")="","Unassigned",TRIM('Staff Daily sales'!$F819&amp;"")),"Unassigned")</f>
        <v>Unassigned</v>
      </c>
      <c r="E834">
        <f t="shared" si="218"/>
        <v>0</v>
      </c>
      <c r="F834">
        <f>IF($E834=0,0,SUMPRODUCT($AI$5:$DF$5,'Staff Daily sales'!$G819:$CD819))</f>
        <v>0</v>
      </c>
      <c r="G834">
        <f>IF($E834=0,0,SUMPRODUCT($AI$6:$DF$6,'Staff Daily sales'!$G819:$CD819))</f>
        <v>0</v>
      </c>
      <c r="H834">
        <f t="shared" si="219"/>
        <v>0</v>
      </c>
      <c r="I834">
        <f t="shared" si="220"/>
        <v>0</v>
      </c>
      <c r="J834">
        <f t="shared" si="221"/>
        <v>0</v>
      </c>
      <c r="K834">
        <f t="shared" si="222"/>
        <v>0</v>
      </c>
      <c r="L834">
        <f>--AND($E834=1,OR('Staff Dashboard'!$B$6="All",$DH834='Staff Dashboard'!$B$6),OR('Staff Dashboard'!$B$7="All",$D834='Staff Dashboard'!$B$7),OR('Staff Dashboard'!$B$8="All",$A834='Staff Dashboard'!$B$8))</f>
        <v>0</v>
      </c>
      <c r="M834">
        <f>IF($E834=0,0,SUMPRODUCT($AI$7:$DF$7,'Staff Daily sales'!$G819:$CD819))</f>
        <v>0</v>
      </c>
      <c r="N834">
        <f>IF($E834=0,0,SUMPRODUCT($AI$8:$DF$8,'Staff Daily sales'!$G819:$CD819))</f>
        <v>0</v>
      </c>
      <c r="O834">
        <f>IF($E834=0,0,SUMPRODUCT($AI$9:$DF$9,'Staff Daily sales'!$G819:$CD819))</f>
        <v>0</v>
      </c>
      <c r="P834">
        <f>IF($E834=0,0,SUMPRODUCT($AI$10:$DF$10,'Staff Daily sales'!$G819:$CD819))</f>
        <v>0</v>
      </c>
      <c r="Q834">
        <f>IF($E834=0,0,SUMPRODUCT($AI$11:$DF$11,'Staff Daily sales'!$G819:$CD819))</f>
        <v>0</v>
      </c>
      <c r="R834">
        <f>IF($E834=0,0,SUMPRODUCT($AI$12:$DF$12,'Staff Daily sales'!$G819:$CD819))</f>
        <v>0</v>
      </c>
      <c r="S834">
        <f>IF($E834=0,0,SUMPRODUCT($AI$13:$DF$13,'Staff Daily sales'!$G819:$CD819))</f>
        <v>0</v>
      </c>
      <c r="T834">
        <f>IF($E834=0,0,SUMPRODUCT($AI$14:$DF$14,'Staff Daily sales'!$G819:$CD819))</f>
        <v>0</v>
      </c>
      <c r="U834">
        <f>IF($E834=0,0,SUMPRODUCT($AI$15:$DF$15,'Staff Daily sales'!$G819:$CD819))</f>
        <v>0</v>
      </c>
      <c r="V834">
        <f>IF($E834=0,0,SUMPRODUCT($AI$16:$DF$16,'Staff Daily sales'!$G819:$CD819))</f>
        <v>0</v>
      </c>
      <c r="W834">
        <f t="shared" si="223"/>
        <v>0</v>
      </c>
      <c r="X834">
        <f t="shared" si="224"/>
        <v>0</v>
      </c>
      <c r="Y834">
        <f t="shared" si="225"/>
        <v>0</v>
      </c>
      <c r="Z834">
        <f t="shared" si="226"/>
        <v>0</v>
      </c>
      <c r="AA834">
        <f t="shared" si="227"/>
        <v>0</v>
      </c>
      <c r="AB834">
        <f>--AND($E834=1,OR('Staff Weekly Trend'!$B$3="All",$DH834='Staff Weekly Trend'!$B$3),OR('Staff Weekly Trend'!$B$4="All",$D834='Staff Weekly Trend'!$B$4),OR('Staff Weekly Trend'!$B$5="All",$A834='Staff Weekly Trend'!$B$5))</f>
        <v>0</v>
      </c>
      <c r="AC834" t="str">
        <f t="shared" si="228"/>
        <v/>
      </c>
      <c r="AI834">
        <f t="shared" si="229"/>
        <v>0</v>
      </c>
      <c r="AJ834">
        <f t="shared" si="230"/>
        <v>0</v>
      </c>
      <c r="AK834">
        <f t="shared" si="231"/>
        <v>0</v>
      </c>
      <c r="AL834">
        <f t="shared" si="232"/>
        <v>0</v>
      </c>
      <c r="AM834">
        <f t="shared" si="233"/>
        <v>0</v>
      </c>
      <c r="DH834" t="str" cm="1">
        <f t="array" ref="DH834">IF($A834="","",_xlfn.LET(_xlpm.c,IFERROR(_xlfn.XLOOKUP($A834,TRIM('Sales and count'!$A$4:$A$300&amp;""),TRIM('Sales and count'!$B$4:$B$300&amp;"")),""),IF(OR(_xlpm.c="",_xlpm.c="0",LEFT(_xlpm.c,1)="#"),"Not set",_xlpm.c)))</f>
        <v/>
      </c>
    </row>
    <row r="835" spans="1:112" x14ac:dyDescent="0.25">
      <c r="A835" t="str">
        <f>IF('Staff Daily sales'!$B820="","",TRIM('Staff Daily sales'!$B820&amp;""))</f>
        <v/>
      </c>
      <c r="B835" t="str">
        <f>IF('Staff Daily sales'!$D820="","",TRIM('Staff Daily sales'!$D820&amp;""))</f>
        <v/>
      </c>
      <c r="C835" t="str">
        <f>IFERROR(TRIM('Staff Daily sales'!$E820&amp;""),"")</f>
        <v/>
      </c>
      <c r="D835" t="str">
        <f>IFERROR(IF(TRIM('Staff Daily sales'!$F820&amp;"")="","Unassigned",TRIM('Staff Daily sales'!$F820&amp;"")),"Unassigned")</f>
        <v>Unassigned</v>
      </c>
      <c r="E835">
        <f t="shared" si="218"/>
        <v>0</v>
      </c>
      <c r="F835">
        <f>IF($E835=0,0,SUMPRODUCT($AI$5:$DF$5,'Staff Daily sales'!$G820:$CD820))</f>
        <v>0</v>
      </c>
      <c r="G835">
        <f>IF($E835=0,0,SUMPRODUCT($AI$6:$DF$6,'Staff Daily sales'!$G820:$CD820))</f>
        <v>0</v>
      </c>
      <c r="H835">
        <f t="shared" si="219"/>
        <v>0</v>
      </c>
      <c r="I835">
        <f t="shared" si="220"/>
        <v>0</v>
      </c>
      <c r="J835">
        <f t="shared" si="221"/>
        <v>0</v>
      </c>
      <c r="K835">
        <f t="shared" si="222"/>
        <v>0</v>
      </c>
      <c r="L835">
        <f>--AND($E835=1,OR('Staff Dashboard'!$B$6="All",$DH835='Staff Dashboard'!$B$6),OR('Staff Dashboard'!$B$7="All",$D835='Staff Dashboard'!$B$7),OR('Staff Dashboard'!$B$8="All",$A835='Staff Dashboard'!$B$8))</f>
        <v>0</v>
      </c>
      <c r="M835">
        <f>IF($E835=0,0,SUMPRODUCT($AI$7:$DF$7,'Staff Daily sales'!$G820:$CD820))</f>
        <v>0</v>
      </c>
      <c r="N835">
        <f>IF($E835=0,0,SUMPRODUCT($AI$8:$DF$8,'Staff Daily sales'!$G820:$CD820))</f>
        <v>0</v>
      </c>
      <c r="O835">
        <f>IF($E835=0,0,SUMPRODUCT($AI$9:$DF$9,'Staff Daily sales'!$G820:$CD820))</f>
        <v>0</v>
      </c>
      <c r="P835">
        <f>IF($E835=0,0,SUMPRODUCT($AI$10:$DF$10,'Staff Daily sales'!$G820:$CD820))</f>
        <v>0</v>
      </c>
      <c r="Q835">
        <f>IF($E835=0,0,SUMPRODUCT($AI$11:$DF$11,'Staff Daily sales'!$G820:$CD820))</f>
        <v>0</v>
      </c>
      <c r="R835">
        <f>IF($E835=0,0,SUMPRODUCT($AI$12:$DF$12,'Staff Daily sales'!$G820:$CD820))</f>
        <v>0</v>
      </c>
      <c r="S835">
        <f>IF($E835=0,0,SUMPRODUCT($AI$13:$DF$13,'Staff Daily sales'!$G820:$CD820))</f>
        <v>0</v>
      </c>
      <c r="T835">
        <f>IF($E835=0,0,SUMPRODUCT($AI$14:$DF$14,'Staff Daily sales'!$G820:$CD820))</f>
        <v>0</v>
      </c>
      <c r="U835">
        <f>IF($E835=0,0,SUMPRODUCT($AI$15:$DF$15,'Staff Daily sales'!$G820:$CD820))</f>
        <v>0</v>
      </c>
      <c r="V835">
        <f>IF($E835=0,0,SUMPRODUCT($AI$16:$DF$16,'Staff Daily sales'!$G820:$CD820))</f>
        <v>0</v>
      </c>
      <c r="W835">
        <f t="shared" si="223"/>
        <v>0</v>
      </c>
      <c r="X835">
        <f t="shared" si="224"/>
        <v>0</v>
      </c>
      <c r="Y835">
        <f t="shared" si="225"/>
        <v>0</v>
      </c>
      <c r="Z835">
        <f t="shared" si="226"/>
        <v>0</v>
      </c>
      <c r="AA835">
        <f t="shared" si="227"/>
        <v>0</v>
      </c>
      <c r="AB835">
        <f>--AND($E835=1,OR('Staff Weekly Trend'!$B$3="All",$DH835='Staff Weekly Trend'!$B$3),OR('Staff Weekly Trend'!$B$4="All",$D835='Staff Weekly Trend'!$B$4),OR('Staff Weekly Trend'!$B$5="All",$A835='Staff Weekly Trend'!$B$5))</f>
        <v>0</v>
      </c>
      <c r="AC835" t="str">
        <f t="shared" si="228"/>
        <v/>
      </c>
      <c r="AI835">
        <f t="shared" si="229"/>
        <v>0</v>
      </c>
      <c r="AJ835">
        <f t="shared" si="230"/>
        <v>0</v>
      </c>
      <c r="AK835">
        <f t="shared" si="231"/>
        <v>0</v>
      </c>
      <c r="AL835">
        <f t="shared" si="232"/>
        <v>0</v>
      </c>
      <c r="AM835">
        <f t="shared" si="233"/>
        <v>0</v>
      </c>
      <c r="DH835" t="str" cm="1">
        <f t="array" ref="DH835">IF($A835="","",_xlfn.LET(_xlpm.c,IFERROR(_xlfn.XLOOKUP($A835,TRIM('Sales and count'!$A$4:$A$300&amp;""),TRIM('Sales and count'!$B$4:$B$300&amp;"")),""),IF(OR(_xlpm.c="",_xlpm.c="0",LEFT(_xlpm.c,1)="#"),"Not set",_xlpm.c)))</f>
        <v/>
      </c>
    </row>
    <row r="836" spans="1:112" x14ac:dyDescent="0.25">
      <c r="A836" t="str">
        <f>IF('Staff Daily sales'!$B821="","",TRIM('Staff Daily sales'!$B821&amp;""))</f>
        <v/>
      </c>
      <c r="B836" t="str">
        <f>IF('Staff Daily sales'!$D821="","",TRIM('Staff Daily sales'!$D821&amp;""))</f>
        <v/>
      </c>
      <c r="C836" t="str">
        <f>IFERROR(TRIM('Staff Daily sales'!$E821&amp;""),"")</f>
        <v/>
      </c>
      <c r="D836" t="str">
        <f>IFERROR(IF(TRIM('Staff Daily sales'!$F821&amp;"")="","Unassigned",TRIM('Staff Daily sales'!$F821&amp;"")),"Unassigned")</f>
        <v>Unassigned</v>
      </c>
      <c r="E836">
        <f t="shared" si="218"/>
        <v>0</v>
      </c>
      <c r="F836">
        <f>IF($E836=0,0,SUMPRODUCT($AI$5:$DF$5,'Staff Daily sales'!$G821:$CD821))</f>
        <v>0</v>
      </c>
      <c r="G836">
        <f>IF($E836=0,0,SUMPRODUCT($AI$6:$DF$6,'Staff Daily sales'!$G821:$CD821))</f>
        <v>0</v>
      </c>
      <c r="H836">
        <f t="shared" si="219"/>
        <v>0</v>
      </c>
      <c r="I836">
        <f t="shared" si="220"/>
        <v>0</v>
      </c>
      <c r="J836">
        <f t="shared" si="221"/>
        <v>0</v>
      </c>
      <c r="K836">
        <f t="shared" si="222"/>
        <v>0</v>
      </c>
      <c r="L836">
        <f>--AND($E836=1,OR('Staff Dashboard'!$B$6="All",$DH836='Staff Dashboard'!$B$6),OR('Staff Dashboard'!$B$7="All",$D836='Staff Dashboard'!$B$7),OR('Staff Dashboard'!$B$8="All",$A836='Staff Dashboard'!$B$8))</f>
        <v>0</v>
      </c>
      <c r="M836">
        <f>IF($E836=0,0,SUMPRODUCT($AI$7:$DF$7,'Staff Daily sales'!$G821:$CD821))</f>
        <v>0</v>
      </c>
      <c r="N836">
        <f>IF($E836=0,0,SUMPRODUCT($AI$8:$DF$8,'Staff Daily sales'!$G821:$CD821))</f>
        <v>0</v>
      </c>
      <c r="O836">
        <f>IF($E836=0,0,SUMPRODUCT($AI$9:$DF$9,'Staff Daily sales'!$G821:$CD821))</f>
        <v>0</v>
      </c>
      <c r="P836">
        <f>IF($E836=0,0,SUMPRODUCT($AI$10:$DF$10,'Staff Daily sales'!$G821:$CD821))</f>
        <v>0</v>
      </c>
      <c r="Q836">
        <f>IF($E836=0,0,SUMPRODUCT($AI$11:$DF$11,'Staff Daily sales'!$G821:$CD821))</f>
        <v>0</v>
      </c>
      <c r="R836">
        <f>IF($E836=0,0,SUMPRODUCT($AI$12:$DF$12,'Staff Daily sales'!$G821:$CD821))</f>
        <v>0</v>
      </c>
      <c r="S836">
        <f>IF($E836=0,0,SUMPRODUCT($AI$13:$DF$13,'Staff Daily sales'!$G821:$CD821))</f>
        <v>0</v>
      </c>
      <c r="T836">
        <f>IF($E836=0,0,SUMPRODUCT($AI$14:$DF$14,'Staff Daily sales'!$G821:$CD821))</f>
        <v>0</v>
      </c>
      <c r="U836">
        <f>IF($E836=0,0,SUMPRODUCT($AI$15:$DF$15,'Staff Daily sales'!$G821:$CD821))</f>
        <v>0</v>
      </c>
      <c r="V836">
        <f>IF($E836=0,0,SUMPRODUCT($AI$16:$DF$16,'Staff Daily sales'!$G821:$CD821))</f>
        <v>0</v>
      </c>
      <c r="W836">
        <f t="shared" si="223"/>
        <v>0</v>
      </c>
      <c r="X836">
        <f t="shared" si="224"/>
        <v>0</v>
      </c>
      <c r="Y836">
        <f t="shared" si="225"/>
        <v>0</v>
      </c>
      <c r="Z836">
        <f t="shared" si="226"/>
        <v>0</v>
      </c>
      <c r="AA836">
        <f t="shared" si="227"/>
        <v>0</v>
      </c>
      <c r="AB836">
        <f>--AND($E836=1,OR('Staff Weekly Trend'!$B$3="All",$DH836='Staff Weekly Trend'!$B$3),OR('Staff Weekly Trend'!$B$4="All",$D836='Staff Weekly Trend'!$B$4),OR('Staff Weekly Trend'!$B$5="All",$A836='Staff Weekly Trend'!$B$5))</f>
        <v>0</v>
      </c>
      <c r="AC836" t="str">
        <f t="shared" si="228"/>
        <v/>
      </c>
      <c r="AI836">
        <f t="shared" si="229"/>
        <v>0</v>
      </c>
      <c r="AJ836">
        <f t="shared" si="230"/>
        <v>0</v>
      </c>
      <c r="AK836">
        <f t="shared" si="231"/>
        <v>0</v>
      </c>
      <c r="AL836">
        <f t="shared" si="232"/>
        <v>0</v>
      </c>
      <c r="AM836">
        <f t="shared" si="233"/>
        <v>0</v>
      </c>
      <c r="DH836" t="str" cm="1">
        <f t="array" ref="DH836">IF($A836="","",_xlfn.LET(_xlpm.c,IFERROR(_xlfn.XLOOKUP($A836,TRIM('Sales and count'!$A$4:$A$300&amp;""),TRIM('Sales and count'!$B$4:$B$300&amp;"")),""),IF(OR(_xlpm.c="",_xlpm.c="0",LEFT(_xlpm.c,1)="#"),"Not set",_xlpm.c)))</f>
        <v/>
      </c>
    </row>
    <row r="837" spans="1:112" x14ac:dyDescent="0.25">
      <c r="A837" t="str">
        <f>IF('Staff Daily sales'!$B822="","",TRIM('Staff Daily sales'!$B822&amp;""))</f>
        <v/>
      </c>
      <c r="B837" t="str">
        <f>IF('Staff Daily sales'!$D822="","",TRIM('Staff Daily sales'!$D822&amp;""))</f>
        <v/>
      </c>
      <c r="C837" t="str">
        <f>IFERROR(TRIM('Staff Daily sales'!$E822&amp;""),"")</f>
        <v/>
      </c>
      <c r="D837" t="str">
        <f>IFERROR(IF(TRIM('Staff Daily sales'!$F822&amp;"")="","Unassigned",TRIM('Staff Daily sales'!$F822&amp;"")),"Unassigned")</f>
        <v>Unassigned</v>
      </c>
      <c r="E837">
        <f t="shared" si="218"/>
        <v>0</v>
      </c>
      <c r="F837">
        <f>IF($E837=0,0,SUMPRODUCT($AI$5:$DF$5,'Staff Daily sales'!$G822:$CD822))</f>
        <v>0</v>
      </c>
      <c r="G837">
        <f>IF($E837=0,0,SUMPRODUCT($AI$6:$DF$6,'Staff Daily sales'!$G822:$CD822))</f>
        <v>0</v>
      </c>
      <c r="H837">
        <f t="shared" si="219"/>
        <v>0</v>
      </c>
      <c r="I837">
        <f t="shared" si="220"/>
        <v>0</v>
      </c>
      <c r="J837">
        <f t="shared" si="221"/>
        <v>0</v>
      </c>
      <c r="K837">
        <f t="shared" si="222"/>
        <v>0</v>
      </c>
      <c r="L837">
        <f>--AND($E837=1,OR('Staff Dashboard'!$B$6="All",$DH837='Staff Dashboard'!$B$6),OR('Staff Dashboard'!$B$7="All",$D837='Staff Dashboard'!$B$7),OR('Staff Dashboard'!$B$8="All",$A837='Staff Dashboard'!$B$8))</f>
        <v>0</v>
      </c>
      <c r="M837">
        <f>IF($E837=0,0,SUMPRODUCT($AI$7:$DF$7,'Staff Daily sales'!$G822:$CD822))</f>
        <v>0</v>
      </c>
      <c r="N837">
        <f>IF($E837=0,0,SUMPRODUCT($AI$8:$DF$8,'Staff Daily sales'!$G822:$CD822))</f>
        <v>0</v>
      </c>
      <c r="O837">
        <f>IF($E837=0,0,SUMPRODUCT($AI$9:$DF$9,'Staff Daily sales'!$G822:$CD822))</f>
        <v>0</v>
      </c>
      <c r="P837">
        <f>IF($E837=0,0,SUMPRODUCT($AI$10:$DF$10,'Staff Daily sales'!$G822:$CD822))</f>
        <v>0</v>
      </c>
      <c r="Q837">
        <f>IF($E837=0,0,SUMPRODUCT($AI$11:$DF$11,'Staff Daily sales'!$G822:$CD822))</f>
        <v>0</v>
      </c>
      <c r="R837">
        <f>IF($E837=0,0,SUMPRODUCT($AI$12:$DF$12,'Staff Daily sales'!$G822:$CD822))</f>
        <v>0</v>
      </c>
      <c r="S837">
        <f>IF($E837=0,0,SUMPRODUCT($AI$13:$DF$13,'Staff Daily sales'!$G822:$CD822))</f>
        <v>0</v>
      </c>
      <c r="T837">
        <f>IF($E837=0,0,SUMPRODUCT($AI$14:$DF$14,'Staff Daily sales'!$G822:$CD822))</f>
        <v>0</v>
      </c>
      <c r="U837">
        <f>IF($E837=0,0,SUMPRODUCT($AI$15:$DF$15,'Staff Daily sales'!$G822:$CD822))</f>
        <v>0</v>
      </c>
      <c r="V837">
        <f>IF($E837=0,0,SUMPRODUCT($AI$16:$DF$16,'Staff Daily sales'!$G822:$CD822))</f>
        <v>0</v>
      </c>
      <c r="W837">
        <f t="shared" si="223"/>
        <v>0</v>
      </c>
      <c r="X837">
        <f t="shared" si="224"/>
        <v>0</v>
      </c>
      <c r="Y837">
        <f t="shared" si="225"/>
        <v>0</v>
      </c>
      <c r="Z837">
        <f t="shared" si="226"/>
        <v>0</v>
      </c>
      <c r="AA837">
        <f t="shared" si="227"/>
        <v>0</v>
      </c>
      <c r="AB837">
        <f>--AND($E837=1,OR('Staff Weekly Trend'!$B$3="All",$DH837='Staff Weekly Trend'!$B$3),OR('Staff Weekly Trend'!$B$4="All",$D837='Staff Weekly Trend'!$B$4),OR('Staff Weekly Trend'!$B$5="All",$A837='Staff Weekly Trend'!$B$5))</f>
        <v>0</v>
      </c>
      <c r="AC837" t="str">
        <f t="shared" si="228"/>
        <v/>
      </c>
      <c r="AI837">
        <f t="shared" si="229"/>
        <v>0</v>
      </c>
      <c r="AJ837">
        <f t="shared" si="230"/>
        <v>0</v>
      </c>
      <c r="AK837">
        <f t="shared" si="231"/>
        <v>0</v>
      </c>
      <c r="AL837">
        <f t="shared" si="232"/>
        <v>0</v>
      </c>
      <c r="AM837">
        <f t="shared" si="233"/>
        <v>0</v>
      </c>
      <c r="DH837" t="str" cm="1">
        <f t="array" ref="DH837">IF($A837="","",_xlfn.LET(_xlpm.c,IFERROR(_xlfn.XLOOKUP($A837,TRIM('Sales and count'!$A$4:$A$300&amp;""),TRIM('Sales and count'!$B$4:$B$300&amp;"")),""),IF(OR(_xlpm.c="",_xlpm.c="0",LEFT(_xlpm.c,1)="#"),"Not set",_xlpm.c)))</f>
        <v/>
      </c>
    </row>
    <row r="838" spans="1:112" x14ac:dyDescent="0.25">
      <c r="A838" t="str">
        <f>IF('Staff Daily sales'!$B823="","",TRIM('Staff Daily sales'!$B823&amp;""))</f>
        <v/>
      </c>
      <c r="B838" t="str">
        <f>IF('Staff Daily sales'!$D823="","",TRIM('Staff Daily sales'!$D823&amp;""))</f>
        <v/>
      </c>
      <c r="C838" t="str">
        <f>IFERROR(TRIM('Staff Daily sales'!$E823&amp;""),"")</f>
        <v/>
      </c>
      <c r="D838" t="str">
        <f>IFERROR(IF(TRIM('Staff Daily sales'!$F823&amp;"")="","Unassigned",TRIM('Staff Daily sales'!$F823&amp;"")),"Unassigned")</f>
        <v>Unassigned</v>
      </c>
      <c r="E838">
        <f t="shared" si="218"/>
        <v>0</v>
      </c>
      <c r="F838">
        <f>IF($E838=0,0,SUMPRODUCT($AI$5:$DF$5,'Staff Daily sales'!$G823:$CD823))</f>
        <v>0</v>
      </c>
      <c r="G838">
        <f>IF($E838=0,0,SUMPRODUCT($AI$6:$DF$6,'Staff Daily sales'!$G823:$CD823))</f>
        <v>0</v>
      </c>
      <c r="H838">
        <f t="shared" si="219"/>
        <v>0</v>
      </c>
      <c r="I838">
        <f t="shared" si="220"/>
        <v>0</v>
      </c>
      <c r="J838">
        <f t="shared" si="221"/>
        <v>0</v>
      </c>
      <c r="K838">
        <f t="shared" si="222"/>
        <v>0</v>
      </c>
      <c r="L838">
        <f>--AND($E838=1,OR('Staff Dashboard'!$B$6="All",$DH838='Staff Dashboard'!$B$6),OR('Staff Dashboard'!$B$7="All",$D838='Staff Dashboard'!$B$7),OR('Staff Dashboard'!$B$8="All",$A838='Staff Dashboard'!$B$8))</f>
        <v>0</v>
      </c>
      <c r="M838">
        <f>IF($E838=0,0,SUMPRODUCT($AI$7:$DF$7,'Staff Daily sales'!$G823:$CD823))</f>
        <v>0</v>
      </c>
      <c r="N838">
        <f>IF($E838=0,0,SUMPRODUCT($AI$8:$DF$8,'Staff Daily sales'!$G823:$CD823))</f>
        <v>0</v>
      </c>
      <c r="O838">
        <f>IF($E838=0,0,SUMPRODUCT($AI$9:$DF$9,'Staff Daily sales'!$G823:$CD823))</f>
        <v>0</v>
      </c>
      <c r="P838">
        <f>IF($E838=0,0,SUMPRODUCT($AI$10:$DF$10,'Staff Daily sales'!$G823:$CD823))</f>
        <v>0</v>
      </c>
      <c r="Q838">
        <f>IF($E838=0,0,SUMPRODUCT($AI$11:$DF$11,'Staff Daily sales'!$G823:$CD823))</f>
        <v>0</v>
      </c>
      <c r="R838">
        <f>IF($E838=0,0,SUMPRODUCT($AI$12:$DF$12,'Staff Daily sales'!$G823:$CD823))</f>
        <v>0</v>
      </c>
      <c r="S838">
        <f>IF($E838=0,0,SUMPRODUCT($AI$13:$DF$13,'Staff Daily sales'!$G823:$CD823))</f>
        <v>0</v>
      </c>
      <c r="T838">
        <f>IF($E838=0,0,SUMPRODUCT($AI$14:$DF$14,'Staff Daily sales'!$G823:$CD823))</f>
        <v>0</v>
      </c>
      <c r="U838">
        <f>IF($E838=0,0,SUMPRODUCT($AI$15:$DF$15,'Staff Daily sales'!$G823:$CD823))</f>
        <v>0</v>
      </c>
      <c r="V838">
        <f>IF($E838=0,0,SUMPRODUCT($AI$16:$DF$16,'Staff Daily sales'!$G823:$CD823))</f>
        <v>0</v>
      </c>
      <c r="W838">
        <f t="shared" si="223"/>
        <v>0</v>
      </c>
      <c r="X838">
        <f t="shared" si="224"/>
        <v>0</v>
      </c>
      <c r="Y838">
        <f t="shared" si="225"/>
        <v>0</v>
      </c>
      <c r="Z838">
        <f t="shared" si="226"/>
        <v>0</v>
      </c>
      <c r="AA838">
        <f t="shared" si="227"/>
        <v>0</v>
      </c>
      <c r="AB838">
        <f>--AND($E838=1,OR('Staff Weekly Trend'!$B$3="All",$DH838='Staff Weekly Trend'!$B$3),OR('Staff Weekly Trend'!$B$4="All",$D838='Staff Weekly Trend'!$B$4),OR('Staff Weekly Trend'!$B$5="All",$A838='Staff Weekly Trend'!$B$5))</f>
        <v>0</v>
      </c>
      <c r="AC838" t="str">
        <f t="shared" si="228"/>
        <v/>
      </c>
      <c r="AI838">
        <f t="shared" si="229"/>
        <v>0</v>
      </c>
      <c r="AJ838">
        <f t="shared" si="230"/>
        <v>0</v>
      </c>
      <c r="AK838">
        <f t="shared" si="231"/>
        <v>0</v>
      </c>
      <c r="AL838">
        <f t="shared" si="232"/>
        <v>0</v>
      </c>
      <c r="AM838">
        <f t="shared" si="233"/>
        <v>0</v>
      </c>
      <c r="DH838" t="str" cm="1">
        <f t="array" ref="DH838">IF($A838="","",_xlfn.LET(_xlpm.c,IFERROR(_xlfn.XLOOKUP($A838,TRIM('Sales and count'!$A$4:$A$300&amp;""),TRIM('Sales and count'!$B$4:$B$300&amp;"")),""),IF(OR(_xlpm.c="",_xlpm.c="0",LEFT(_xlpm.c,1)="#"),"Not set",_xlpm.c)))</f>
        <v/>
      </c>
    </row>
    <row r="839" spans="1:112" x14ac:dyDescent="0.25">
      <c r="A839" t="str">
        <f>IF('Staff Daily sales'!$B824="","",TRIM('Staff Daily sales'!$B824&amp;""))</f>
        <v/>
      </c>
      <c r="B839" t="str">
        <f>IF('Staff Daily sales'!$D824="","",TRIM('Staff Daily sales'!$D824&amp;""))</f>
        <v/>
      </c>
      <c r="C839" t="str">
        <f>IFERROR(TRIM('Staff Daily sales'!$E824&amp;""),"")</f>
        <v/>
      </c>
      <c r="D839" t="str">
        <f>IFERROR(IF(TRIM('Staff Daily sales'!$F824&amp;"")="","Unassigned",TRIM('Staff Daily sales'!$F824&amp;"")),"Unassigned")</f>
        <v>Unassigned</v>
      </c>
      <c r="E839">
        <f t="shared" si="218"/>
        <v>0</v>
      </c>
      <c r="F839">
        <f>IF($E839=0,0,SUMPRODUCT($AI$5:$DF$5,'Staff Daily sales'!$G824:$CD824))</f>
        <v>0</v>
      </c>
      <c r="G839">
        <f>IF($E839=0,0,SUMPRODUCT($AI$6:$DF$6,'Staff Daily sales'!$G824:$CD824))</f>
        <v>0</v>
      </c>
      <c r="H839">
        <f t="shared" si="219"/>
        <v>0</v>
      </c>
      <c r="I839">
        <f t="shared" si="220"/>
        <v>0</v>
      </c>
      <c r="J839">
        <f t="shared" si="221"/>
        <v>0</v>
      </c>
      <c r="K839">
        <f t="shared" si="222"/>
        <v>0</v>
      </c>
      <c r="L839">
        <f>--AND($E839=1,OR('Staff Dashboard'!$B$6="All",$DH839='Staff Dashboard'!$B$6),OR('Staff Dashboard'!$B$7="All",$D839='Staff Dashboard'!$B$7),OR('Staff Dashboard'!$B$8="All",$A839='Staff Dashboard'!$B$8))</f>
        <v>0</v>
      </c>
      <c r="M839">
        <f>IF($E839=0,0,SUMPRODUCT($AI$7:$DF$7,'Staff Daily sales'!$G824:$CD824))</f>
        <v>0</v>
      </c>
      <c r="N839">
        <f>IF($E839=0,0,SUMPRODUCT($AI$8:$DF$8,'Staff Daily sales'!$G824:$CD824))</f>
        <v>0</v>
      </c>
      <c r="O839">
        <f>IF($E839=0,0,SUMPRODUCT($AI$9:$DF$9,'Staff Daily sales'!$G824:$CD824))</f>
        <v>0</v>
      </c>
      <c r="P839">
        <f>IF($E839=0,0,SUMPRODUCT($AI$10:$DF$10,'Staff Daily sales'!$G824:$CD824))</f>
        <v>0</v>
      </c>
      <c r="Q839">
        <f>IF($E839=0,0,SUMPRODUCT($AI$11:$DF$11,'Staff Daily sales'!$G824:$CD824))</f>
        <v>0</v>
      </c>
      <c r="R839">
        <f>IF($E839=0,0,SUMPRODUCT($AI$12:$DF$12,'Staff Daily sales'!$G824:$CD824))</f>
        <v>0</v>
      </c>
      <c r="S839">
        <f>IF($E839=0,0,SUMPRODUCT($AI$13:$DF$13,'Staff Daily sales'!$G824:$CD824))</f>
        <v>0</v>
      </c>
      <c r="T839">
        <f>IF($E839=0,0,SUMPRODUCT($AI$14:$DF$14,'Staff Daily sales'!$G824:$CD824))</f>
        <v>0</v>
      </c>
      <c r="U839">
        <f>IF($E839=0,0,SUMPRODUCT($AI$15:$DF$15,'Staff Daily sales'!$G824:$CD824))</f>
        <v>0</v>
      </c>
      <c r="V839">
        <f>IF($E839=0,0,SUMPRODUCT($AI$16:$DF$16,'Staff Daily sales'!$G824:$CD824))</f>
        <v>0</v>
      </c>
      <c r="W839">
        <f t="shared" si="223"/>
        <v>0</v>
      </c>
      <c r="X839">
        <f t="shared" si="224"/>
        <v>0</v>
      </c>
      <c r="Y839">
        <f t="shared" si="225"/>
        <v>0</v>
      </c>
      <c r="Z839">
        <f t="shared" si="226"/>
        <v>0</v>
      </c>
      <c r="AA839">
        <f t="shared" si="227"/>
        <v>0</v>
      </c>
      <c r="AB839">
        <f>--AND($E839=1,OR('Staff Weekly Trend'!$B$3="All",$DH839='Staff Weekly Trend'!$B$3),OR('Staff Weekly Trend'!$B$4="All",$D839='Staff Weekly Trend'!$B$4),OR('Staff Weekly Trend'!$B$5="All",$A839='Staff Weekly Trend'!$B$5))</f>
        <v>0</v>
      </c>
      <c r="AC839" t="str">
        <f t="shared" si="228"/>
        <v/>
      </c>
      <c r="AI839">
        <f t="shared" si="229"/>
        <v>0</v>
      </c>
      <c r="AJ839">
        <f t="shared" si="230"/>
        <v>0</v>
      </c>
      <c r="AK839">
        <f t="shared" si="231"/>
        <v>0</v>
      </c>
      <c r="AL839">
        <f t="shared" si="232"/>
        <v>0</v>
      </c>
      <c r="AM839">
        <f t="shared" si="233"/>
        <v>0</v>
      </c>
      <c r="DH839" t="str" cm="1">
        <f t="array" ref="DH839">IF($A839="","",_xlfn.LET(_xlpm.c,IFERROR(_xlfn.XLOOKUP($A839,TRIM('Sales and count'!$A$4:$A$300&amp;""),TRIM('Sales and count'!$B$4:$B$300&amp;"")),""),IF(OR(_xlpm.c="",_xlpm.c="0",LEFT(_xlpm.c,1)="#"),"Not set",_xlpm.c)))</f>
        <v/>
      </c>
    </row>
    <row r="840" spans="1:112" x14ac:dyDescent="0.25">
      <c r="A840" t="str">
        <f>IF('Staff Daily sales'!$B825="","",TRIM('Staff Daily sales'!$B825&amp;""))</f>
        <v/>
      </c>
      <c r="B840" t="str">
        <f>IF('Staff Daily sales'!$D825="","",TRIM('Staff Daily sales'!$D825&amp;""))</f>
        <v/>
      </c>
      <c r="C840" t="str">
        <f>IFERROR(TRIM('Staff Daily sales'!$E825&amp;""),"")</f>
        <v/>
      </c>
      <c r="D840" t="str">
        <f>IFERROR(IF(TRIM('Staff Daily sales'!$F825&amp;"")="","Unassigned",TRIM('Staff Daily sales'!$F825&amp;"")),"Unassigned")</f>
        <v>Unassigned</v>
      </c>
      <c r="E840">
        <f t="shared" si="218"/>
        <v>0</v>
      </c>
      <c r="F840">
        <f>IF($E840=0,0,SUMPRODUCT($AI$5:$DF$5,'Staff Daily sales'!$G825:$CD825))</f>
        <v>0</v>
      </c>
      <c r="G840">
        <f>IF($E840=0,0,SUMPRODUCT($AI$6:$DF$6,'Staff Daily sales'!$G825:$CD825))</f>
        <v>0</v>
      </c>
      <c r="H840">
        <f t="shared" si="219"/>
        <v>0</v>
      </c>
      <c r="I840">
        <f t="shared" si="220"/>
        <v>0</v>
      </c>
      <c r="J840">
        <f t="shared" si="221"/>
        <v>0</v>
      </c>
      <c r="K840">
        <f t="shared" si="222"/>
        <v>0</v>
      </c>
      <c r="L840">
        <f>--AND($E840=1,OR('Staff Dashboard'!$B$6="All",$DH840='Staff Dashboard'!$B$6),OR('Staff Dashboard'!$B$7="All",$D840='Staff Dashboard'!$B$7),OR('Staff Dashboard'!$B$8="All",$A840='Staff Dashboard'!$B$8))</f>
        <v>0</v>
      </c>
      <c r="M840">
        <f>IF($E840=0,0,SUMPRODUCT($AI$7:$DF$7,'Staff Daily sales'!$G825:$CD825))</f>
        <v>0</v>
      </c>
      <c r="N840">
        <f>IF($E840=0,0,SUMPRODUCT($AI$8:$DF$8,'Staff Daily sales'!$G825:$CD825))</f>
        <v>0</v>
      </c>
      <c r="O840">
        <f>IF($E840=0,0,SUMPRODUCT($AI$9:$DF$9,'Staff Daily sales'!$G825:$CD825))</f>
        <v>0</v>
      </c>
      <c r="P840">
        <f>IF($E840=0,0,SUMPRODUCT($AI$10:$DF$10,'Staff Daily sales'!$G825:$CD825))</f>
        <v>0</v>
      </c>
      <c r="Q840">
        <f>IF($E840=0,0,SUMPRODUCT($AI$11:$DF$11,'Staff Daily sales'!$G825:$CD825))</f>
        <v>0</v>
      </c>
      <c r="R840">
        <f>IF($E840=0,0,SUMPRODUCT($AI$12:$DF$12,'Staff Daily sales'!$G825:$CD825))</f>
        <v>0</v>
      </c>
      <c r="S840">
        <f>IF($E840=0,0,SUMPRODUCT($AI$13:$DF$13,'Staff Daily sales'!$G825:$CD825))</f>
        <v>0</v>
      </c>
      <c r="T840">
        <f>IF($E840=0,0,SUMPRODUCT($AI$14:$DF$14,'Staff Daily sales'!$G825:$CD825))</f>
        <v>0</v>
      </c>
      <c r="U840">
        <f>IF($E840=0,0,SUMPRODUCT($AI$15:$DF$15,'Staff Daily sales'!$G825:$CD825))</f>
        <v>0</v>
      </c>
      <c r="V840">
        <f>IF($E840=0,0,SUMPRODUCT($AI$16:$DF$16,'Staff Daily sales'!$G825:$CD825))</f>
        <v>0</v>
      </c>
      <c r="W840">
        <f t="shared" si="223"/>
        <v>0</v>
      </c>
      <c r="X840">
        <f t="shared" si="224"/>
        <v>0</v>
      </c>
      <c r="Y840">
        <f t="shared" si="225"/>
        <v>0</v>
      </c>
      <c r="Z840">
        <f t="shared" si="226"/>
        <v>0</v>
      </c>
      <c r="AA840">
        <f t="shared" si="227"/>
        <v>0</v>
      </c>
      <c r="AB840">
        <f>--AND($E840=1,OR('Staff Weekly Trend'!$B$3="All",$DH840='Staff Weekly Trend'!$B$3),OR('Staff Weekly Trend'!$B$4="All",$D840='Staff Weekly Trend'!$B$4),OR('Staff Weekly Trend'!$B$5="All",$A840='Staff Weekly Trend'!$B$5))</f>
        <v>0</v>
      </c>
      <c r="AC840" t="str">
        <f t="shared" si="228"/>
        <v/>
      </c>
      <c r="AI840">
        <f t="shared" si="229"/>
        <v>0</v>
      </c>
      <c r="AJ840">
        <f t="shared" si="230"/>
        <v>0</v>
      </c>
      <c r="AK840">
        <f t="shared" si="231"/>
        <v>0</v>
      </c>
      <c r="AL840">
        <f t="shared" si="232"/>
        <v>0</v>
      </c>
      <c r="AM840">
        <f t="shared" si="233"/>
        <v>0</v>
      </c>
      <c r="DH840" t="str" cm="1">
        <f t="array" ref="DH840">IF($A840="","",_xlfn.LET(_xlpm.c,IFERROR(_xlfn.XLOOKUP($A840,TRIM('Sales and count'!$A$4:$A$300&amp;""),TRIM('Sales and count'!$B$4:$B$300&amp;"")),""),IF(OR(_xlpm.c="",_xlpm.c="0",LEFT(_xlpm.c,1)="#"),"Not set",_xlpm.c)))</f>
        <v/>
      </c>
    </row>
    <row r="841" spans="1:112" x14ac:dyDescent="0.25">
      <c r="A841" t="str">
        <f>IF('Staff Daily sales'!$B826="","",TRIM('Staff Daily sales'!$B826&amp;""))</f>
        <v/>
      </c>
      <c r="B841" t="str">
        <f>IF('Staff Daily sales'!$D826="","",TRIM('Staff Daily sales'!$D826&amp;""))</f>
        <v/>
      </c>
      <c r="C841" t="str">
        <f>IFERROR(TRIM('Staff Daily sales'!$E826&amp;""),"")</f>
        <v/>
      </c>
      <c r="D841" t="str">
        <f>IFERROR(IF(TRIM('Staff Daily sales'!$F826&amp;"")="","Unassigned",TRIM('Staff Daily sales'!$F826&amp;"")),"Unassigned")</f>
        <v>Unassigned</v>
      </c>
      <c r="E841">
        <f t="shared" si="218"/>
        <v>0</v>
      </c>
      <c r="F841">
        <f>IF($E841=0,0,SUMPRODUCT($AI$5:$DF$5,'Staff Daily sales'!$G826:$CD826))</f>
        <v>0</v>
      </c>
      <c r="G841">
        <f>IF($E841=0,0,SUMPRODUCT($AI$6:$DF$6,'Staff Daily sales'!$G826:$CD826))</f>
        <v>0</v>
      </c>
      <c r="H841">
        <f t="shared" si="219"/>
        <v>0</v>
      </c>
      <c r="I841">
        <f t="shared" si="220"/>
        <v>0</v>
      </c>
      <c r="J841">
        <f t="shared" si="221"/>
        <v>0</v>
      </c>
      <c r="K841">
        <f t="shared" si="222"/>
        <v>0</v>
      </c>
      <c r="L841">
        <f>--AND($E841=1,OR('Staff Dashboard'!$B$6="All",$DH841='Staff Dashboard'!$B$6),OR('Staff Dashboard'!$B$7="All",$D841='Staff Dashboard'!$B$7),OR('Staff Dashboard'!$B$8="All",$A841='Staff Dashboard'!$B$8))</f>
        <v>0</v>
      </c>
      <c r="M841">
        <f>IF($E841=0,0,SUMPRODUCT($AI$7:$DF$7,'Staff Daily sales'!$G826:$CD826))</f>
        <v>0</v>
      </c>
      <c r="N841">
        <f>IF($E841=0,0,SUMPRODUCT($AI$8:$DF$8,'Staff Daily sales'!$G826:$CD826))</f>
        <v>0</v>
      </c>
      <c r="O841">
        <f>IF($E841=0,0,SUMPRODUCT($AI$9:$DF$9,'Staff Daily sales'!$G826:$CD826))</f>
        <v>0</v>
      </c>
      <c r="P841">
        <f>IF($E841=0,0,SUMPRODUCT($AI$10:$DF$10,'Staff Daily sales'!$G826:$CD826))</f>
        <v>0</v>
      </c>
      <c r="Q841">
        <f>IF($E841=0,0,SUMPRODUCT($AI$11:$DF$11,'Staff Daily sales'!$G826:$CD826))</f>
        <v>0</v>
      </c>
      <c r="R841">
        <f>IF($E841=0,0,SUMPRODUCT($AI$12:$DF$12,'Staff Daily sales'!$G826:$CD826))</f>
        <v>0</v>
      </c>
      <c r="S841">
        <f>IF($E841=0,0,SUMPRODUCT($AI$13:$DF$13,'Staff Daily sales'!$G826:$CD826))</f>
        <v>0</v>
      </c>
      <c r="T841">
        <f>IF($E841=0,0,SUMPRODUCT($AI$14:$DF$14,'Staff Daily sales'!$G826:$CD826))</f>
        <v>0</v>
      </c>
      <c r="U841">
        <f>IF($E841=0,0,SUMPRODUCT($AI$15:$DF$15,'Staff Daily sales'!$G826:$CD826))</f>
        <v>0</v>
      </c>
      <c r="V841">
        <f>IF($E841=0,0,SUMPRODUCT($AI$16:$DF$16,'Staff Daily sales'!$G826:$CD826))</f>
        <v>0</v>
      </c>
      <c r="W841">
        <f t="shared" si="223"/>
        <v>0</v>
      </c>
      <c r="X841">
        <f t="shared" si="224"/>
        <v>0</v>
      </c>
      <c r="Y841">
        <f t="shared" si="225"/>
        <v>0</v>
      </c>
      <c r="Z841">
        <f t="shared" si="226"/>
        <v>0</v>
      </c>
      <c r="AA841">
        <f t="shared" si="227"/>
        <v>0</v>
      </c>
      <c r="AB841">
        <f>--AND($E841=1,OR('Staff Weekly Trend'!$B$3="All",$DH841='Staff Weekly Trend'!$B$3),OR('Staff Weekly Trend'!$B$4="All",$D841='Staff Weekly Trend'!$B$4),OR('Staff Weekly Trend'!$B$5="All",$A841='Staff Weekly Trend'!$B$5))</f>
        <v>0</v>
      </c>
      <c r="AC841" t="str">
        <f t="shared" si="228"/>
        <v/>
      </c>
      <c r="AI841">
        <f t="shared" si="229"/>
        <v>0</v>
      </c>
      <c r="AJ841">
        <f t="shared" si="230"/>
        <v>0</v>
      </c>
      <c r="AK841">
        <f t="shared" si="231"/>
        <v>0</v>
      </c>
      <c r="AL841">
        <f t="shared" si="232"/>
        <v>0</v>
      </c>
      <c r="AM841">
        <f t="shared" si="233"/>
        <v>0</v>
      </c>
      <c r="DH841" t="str" cm="1">
        <f t="array" ref="DH841">IF($A841="","",_xlfn.LET(_xlpm.c,IFERROR(_xlfn.XLOOKUP($A841,TRIM('Sales and count'!$A$4:$A$300&amp;""),TRIM('Sales and count'!$B$4:$B$300&amp;"")),""),IF(OR(_xlpm.c="",_xlpm.c="0",LEFT(_xlpm.c,1)="#"),"Not set",_xlpm.c)))</f>
        <v/>
      </c>
    </row>
    <row r="842" spans="1:112" x14ac:dyDescent="0.25">
      <c r="A842" t="str">
        <f>IF('Staff Daily sales'!$B827="","",TRIM('Staff Daily sales'!$B827&amp;""))</f>
        <v/>
      </c>
      <c r="B842" t="str">
        <f>IF('Staff Daily sales'!$D827="","",TRIM('Staff Daily sales'!$D827&amp;""))</f>
        <v/>
      </c>
      <c r="C842" t="str">
        <f>IFERROR(TRIM('Staff Daily sales'!$E827&amp;""),"")</f>
        <v/>
      </c>
      <c r="D842" t="str">
        <f>IFERROR(IF(TRIM('Staff Daily sales'!$F827&amp;"")="","Unassigned",TRIM('Staff Daily sales'!$F827&amp;"")),"Unassigned")</f>
        <v>Unassigned</v>
      </c>
      <c r="E842">
        <f t="shared" si="218"/>
        <v>0</v>
      </c>
      <c r="F842">
        <f>IF($E842=0,0,SUMPRODUCT($AI$5:$DF$5,'Staff Daily sales'!$G827:$CD827))</f>
        <v>0</v>
      </c>
      <c r="G842">
        <f>IF($E842=0,0,SUMPRODUCT($AI$6:$DF$6,'Staff Daily sales'!$G827:$CD827))</f>
        <v>0</v>
      </c>
      <c r="H842">
        <f t="shared" si="219"/>
        <v>0</v>
      </c>
      <c r="I842">
        <f t="shared" si="220"/>
        <v>0</v>
      </c>
      <c r="J842">
        <f t="shared" si="221"/>
        <v>0</v>
      </c>
      <c r="K842">
        <f t="shared" si="222"/>
        <v>0</v>
      </c>
      <c r="L842">
        <f>--AND($E842=1,OR('Staff Dashboard'!$B$6="All",$DH842='Staff Dashboard'!$B$6),OR('Staff Dashboard'!$B$7="All",$D842='Staff Dashboard'!$B$7),OR('Staff Dashboard'!$B$8="All",$A842='Staff Dashboard'!$B$8))</f>
        <v>0</v>
      </c>
      <c r="M842">
        <f>IF($E842=0,0,SUMPRODUCT($AI$7:$DF$7,'Staff Daily sales'!$G827:$CD827))</f>
        <v>0</v>
      </c>
      <c r="N842">
        <f>IF($E842=0,0,SUMPRODUCT($AI$8:$DF$8,'Staff Daily sales'!$G827:$CD827))</f>
        <v>0</v>
      </c>
      <c r="O842">
        <f>IF($E842=0,0,SUMPRODUCT($AI$9:$DF$9,'Staff Daily sales'!$G827:$CD827))</f>
        <v>0</v>
      </c>
      <c r="P842">
        <f>IF($E842=0,0,SUMPRODUCT($AI$10:$DF$10,'Staff Daily sales'!$G827:$CD827))</f>
        <v>0</v>
      </c>
      <c r="Q842">
        <f>IF($E842=0,0,SUMPRODUCT($AI$11:$DF$11,'Staff Daily sales'!$G827:$CD827))</f>
        <v>0</v>
      </c>
      <c r="R842">
        <f>IF($E842=0,0,SUMPRODUCT($AI$12:$DF$12,'Staff Daily sales'!$G827:$CD827))</f>
        <v>0</v>
      </c>
      <c r="S842">
        <f>IF($E842=0,0,SUMPRODUCT($AI$13:$DF$13,'Staff Daily sales'!$G827:$CD827))</f>
        <v>0</v>
      </c>
      <c r="T842">
        <f>IF($E842=0,0,SUMPRODUCT($AI$14:$DF$14,'Staff Daily sales'!$G827:$CD827))</f>
        <v>0</v>
      </c>
      <c r="U842">
        <f>IF($E842=0,0,SUMPRODUCT($AI$15:$DF$15,'Staff Daily sales'!$G827:$CD827))</f>
        <v>0</v>
      </c>
      <c r="V842">
        <f>IF($E842=0,0,SUMPRODUCT($AI$16:$DF$16,'Staff Daily sales'!$G827:$CD827))</f>
        <v>0</v>
      </c>
      <c r="W842">
        <f t="shared" si="223"/>
        <v>0</v>
      </c>
      <c r="X842">
        <f t="shared" si="224"/>
        <v>0</v>
      </c>
      <c r="Y842">
        <f t="shared" si="225"/>
        <v>0</v>
      </c>
      <c r="Z842">
        <f t="shared" si="226"/>
        <v>0</v>
      </c>
      <c r="AA842">
        <f t="shared" si="227"/>
        <v>0</v>
      </c>
      <c r="AB842">
        <f>--AND($E842=1,OR('Staff Weekly Trend'!$B$3="All",$DH842='Staff Weekly Trend'!$B$3),OR('Staff Weekly Trend'!$B$4="All",$D842='Staff Weekly Trend'!$B$4),OR('Staff Weekly Trend'!$B$5="All",$A842='Staff Weekly Trend'!$B$5))</f>
        <v>0</v>
      </c>
      <c r="AC842" t="str">
        <f t="shared" si="228"/>
        <v/>
      </c>
      <c r="AI842">
        <f t="shared" si="229"/>
        <v>0</v>
      </c>
      <c r="AJ842">
        <f t="shared" si="230"/>
        <v>0</v>
      </c>
      <c r="AK842">
        <f t="shared" si="231"/>
        <v>0</v>
      </c>
      <c r="AL842">
        <f t="shared" si="232"/>
        <v>0</v>
      </c>
      <c r="AM842">
        <f t="shared" si="233"/>
        <v>0</v>
      </c>
      <c r="DH842" t="str" cm="1">
        <f t="array" ref="DH842">IF($A842="","",_xlfn.LET(_xlpm.c,IFERROR(_xlfn.XLOOKUP($A842,TRIM('Sales and count'!$A$4:$A$300&amp;""),TRIM('Sales and count'!$B$4:$B$300&amp;"")),""),IF(OR(_xlpm.c="",_xlpm.c="0",LEFT(_xlpm.c,1)="#"),"Not set",_xlpm.c)))</f>
        <v/>
      </c>
    </row>
    <row r="843" spans="1:112" x14ac:dyDescent="0.25">
      <c r="A843" t="str">
        <f>IF('Staff Daily sales'!$B828="","",TRIM('Staff Daily sales'!$B828&amp;""))</f>
        <v/>
      </c>
      <c r="B843" t="str">
        <f>IF('Staff Daily sales'!$D828="","",TRIM('Staff Daily sales'!$D828&amp;""))</f>
        <v/>
      </c>
      <c r="C843" t="str">
        <f>IFERROR(TRIM('Staff Daily sales'!$E828&amp;""),"")</f>
        <v/>
      </c>
      <c r="D843" t="str">
        <f>IFERROR(IF(TRIM('Staff Daily sales'!$F828&amp;"")="","Unassigned",TRIM('Staff Daily sales'!$F828&amp;"")),"Unassigned")</f>
        <v>Unassigned</v>
      </c>
      <c r="E843">
        <f t="shared" si="218"/>
        <v>0</v>
      </c>
      <c r="F843">
        <f>IF($E843=0,0,SUMPRODUCT($AI$5:$DF$5,'Staff Daily sales'!$G828:$CD828))</f>
        <v>0</v>
      </c>
      <c r="G843">
        <f>IF($E843=0,0,SUMPRODUCT($AI$6:$DF$6,'Staff Daily sales'!$G828:$CD828))</f>
        <v>0</v>
      </c>
      <c r="H843">
        <f t="shared" si="219"/>
        <v>0</v>
      </c>
      <c r="I843">
        <f t="shared" si="220"/>
        <v>0</v>
      </c>
      <c r="J843">
        <f t="shared" si="221"/>
        <v>0</v>
      </c>
      <c r="K843">
        <f t="shared" si="222"/>
        <v>0</v>
      </c>
      <c r="L843">
        <f>--AND($E843=1,OR('Staff Dashboard'!$B$6="All",$DH843='Staff Dashboard'!$B$6),OR('Staff Dashboard'!$B$7="All",$D843='Staff Dashboard'!$B$7),OR('Staff Dashboard'!$B$8="All",$A843='Staff Dashboard'!$B$8))</f>
        <v>0</v>
      </c>
      <c r="M843">
        <f>IF($E843=0,0,SUMPRODUCT($AI$7:$DF$7,'Staff Daily sales'!$G828:$CD828))</f>
        <v>0</v>
      </c>
      <c r="N843">
        <f>IF($E843=0,0,SUMPRODUCT($AI$8:$DF$8,'Staff Daily sales'!$G828:$CD828))</f>
        <v>0</v>
      </c>
      <c r="O843">
        <f>IF($E843=0,0,SUMPRODUCT($AI$9:$DF$9,'Staff Daily sales'!$G828:$CD828))</f>
        <v>0</v>
      </c>
      <c r="P843">
        <f>IF($E843=0,0,SUMPRODUCT($AI$10:$DF$10,'Staff Daily sales'!$G828:$CD828))</f>
        <v>0</v>
      </c>
      <c r="Q843">
        <f>IF($E843=0,0,SUMPRODUCT($AI$11:$DF$11,'Staff Daily sales'!$G828:$CD828))</f>
        <v>0</v>
      </c>
      <c r="R843">
        <f>IF($E843=0,0,SUMPRODUCT($AI$12:$DF$12,'Staff Daily sales'!$G828:$CD828))</f>
        <v>0</v>
      </c>
      <c r="S843">
        <f>IF($E843=0,0,SUMPRODUCT($AI$13:$DF$13,'Staff Daily sales'!$G828:$CD828))</f>
        <v>0</v>
      </c>
      <c r="T843">
        <f>IF($E843=0,0,SUMPRODUCT($AI$14:$DF$14,'Staff Daily sales'!$G828:$CD828))</f>
        <v>0</v>
      </c>
      <c r="U843">
        <f>IF($E843=0,0,SUMPRODUCT($AI$15:$DF$15,'Staff Daily sales'!$G828:$CD828))</f>
        <v>0</v>
      </c>
      <c r="V843">
        <f>IF($E843=0,0,SUMPRODUCT($AI$16:$DF$16,'Staff Daily sales'!$G828:$CD828))</f>
        <v>0</v>
      </c>
      <c r="W843">
        <f t="shared" si="223"/>
        <v>0</v>
      </c>
      <c r="X843">
        <f t="shared" si="224"/>
        <v>0</v>
      </c>
      <c r="Y843">
        <f t="shared" si="225"/>
        <v>0</v>
      </c>
      <c r="Z843">
        <f t="shared" si="226"/>
        <v>0</v>
      </c>
      <c r="AA843">
        <f t="shared" si="227"/>
        <v>0</v>
      </c>
      <c r="AB843">
        <f>--AND($E843=1,OR('Staff Weekly Trend'!$B$3="All",$DH843='Staff Weekly Trend'!$B$3),OR('Staff Weekly Trend'!$B$4="All",$D843='Staff Weekly Trend'!$B$4),OR('Staff Weekly Trend'!$B$5="All",$A843='Staff Weekly Trend'!$B$5))</f>
        <v>0</v>
      </c>
      <c r="AC843" t="str">
        <f t="shared" si="228"/>
        <v/>
      </c>
      <c r="AI843">
        <f t="shared" si="229"/>
        <v>0</v>
      </c>
      <c r="AJ843">
        <f t="shared" si="230"/>
        <v>0</v>
      </c>
      <c r="AK843">
        <f t="shared" si="231"/>
        <v>0</v>
      </c>
      <c r="AL843">
        <f t="shared" si="232"/>
        <v>0</v>
      </c>
      <c r="AM843">
        <f t="shared" si="233"/>
        <v>0</v>
      </c>
      <c r="DH843" t="str" cm="1">
        <f t="array" ref="DH843">IF($A843="","",_xlfn.LET(_xlpm.c,IFERROR(_xlfn.XLOOKUP($A843,TRIM('Sales and count'!$A$4:$A$300&amp;""),TRIM('Sales and count'!$B$4:$B$300&amp;"")),""),IF(OR(_xlpm.c="",_xlpm.c="0",LEFT(_xlpm.c,1)="#"),"Not set",_xlpm.c)))</f>
        <v/>
      </c>
    </row>
    <row r="844" spans="1:112" x14ac:dyDescent="0.25">
      <c r="A844" t="str">
        <f>IF('Staff Daily sales'!$B829="","",TRIM('Staff Daily sales'!$B829&amp;""))</f>
        <v/>
      </c>
      <c r="B844" t="str">
        <f>IF('Staff Daily sales'!$D829="","",TRIM('Staff Daily sales'!$D829&amp;""))</f>
        <v/>
      </c>
      <c r="C844" t="str">
        <f>IFERROR(TRIM('Staff Daily sales'!$E829&amp;""),"")</f>
        <v/>
      </c>
      <c r="D844" t="str">
        <f>IFERROR(IF(TRIM('Staff Daily sales'!$F829&amp;"")="","Unassigned",TRIM('Staff Daily sales'!$F829&amp;"")),"Unassigned")</f>
        <v>Unassigned</v>
      </c>
      <c r="E844">
        <f t="shared" si="218"/>
        <v>0</v>
      </c>
      <c r="F844">
        <f>IF($E844=0,0,SUMPRODUCT($AI$5:$DF$5,'Staff Daily sales'!$G829:$CD829))</f>
        <v>0</v>
      </c>
      <c r="G844">
        <f>IF($E844=0,0,SUMPRODUCT($AI$6:$DF$6,'Staff Daily sales'!$G829:$CD829))</f>
        <v>0</v>
      </c>
      <c r="H844">
        <f t="shared" si="219"/>
        <v>0</v>
      </c>
      <c r="I844">
        <f t="shared" si="220"/>
        <v>0</v>
      </c>
      <c r="J844">
        <f t="shared" si="221"/>
        <v>0</v>
      </c>
      <c r="K844">
        <f t="shared" si="222"/>
        <v>0</v>
      </c>
      <c r="L844">
        <f>--AND($E844=1,OR('Staff Dashboard'!$B$6="All",$DH844='Staff Dashboard'!$B$6),OR('Staff Dashboard'!$B$7="All",$D844='Staff Dashboard'!$B$7),OR('Staff Dashboard'!$B$8="All",$A844='Staff Dashboard'!$B$8))</f>
        <v>0</v>
      </c>
      <c r="M844">
        <f>IF($E844=0,0,SUMPRODUCT($AI$7:$DF$7,'Staff Daily sales'!$G829:$CD829))</f>
        <v>0</v>
      </c>
      <c r="N844">
        <f>IF($E844=0,0,SUMPRODUCT($AI$8:$DF$8,'Staff Daily sales'!$G829:$CD829))</f>
        <v>0</v>
      </c>
      <c r="O844">
        <f>IF($E844=0,0,SUMPRODUCT($AI$9:$DF$9,'Staff Daily sales'!$G829:$CD829))</f>
        <v>0</v>
      </c>
      <c r="P844">
        <f>IF($E844=0,0,SUMPRODUCT($AI$10:$DF$10,'Staff Daily sales'!$G829:$CD829))</f>
        <v>0</v>
      </c>
      <c r="Q844">
        <f>IF($E844=0,0,SUMPRODUCT($AI$11:$DF$11,'Staff Daily sales'!$G829:$CD829))</f>
        <v>0</v>
      </c>
      <c r="R844">
        <f>IF($E844=0,0,SUMPRODUCT($AI$12:$DF$12,'Staff Daily sales'!$G829:$CD829))</f>
        <v>0</v>
      </c>
      <c r="S844">
        <f>IF($E844=0,0,SUMPRODUCT($AI$13:$DF$13,'Staff Daily sales'!$G829:$CD829))</f>
        <v>0</v>
      </c>
      <c r="T844">
        <f>IF($E844=0,0,SUMPRODUCT($AI$14:$DF$14,'Staff Daily sales'!$G829:$CD829))</f>
        <v>0</v>
      </c>
      <c r="U844">
        <f>IF($E844=0,0,SUMPRODUCT($AI$15:$DF$15,'Staff Daily sales'!$G829:$CD829))</f>
        <v>0</v>
      </c>
      <c r="V844">
        <f>IF($E844=0,0,SUMPRODUCT($AI$16:$DF$16,'Staff Daily sales'!$G829:$CD829))</f>
        <v>0</v>
      </c>
      <c r="W844">
        <f t="shared" si="223"/>
        <v>0</v>
      </c>
      <c r="X844">
        <f t="shared" si="224"/>
        <v>0</v>
      </c>
      <c r="Y844">
        <f t="shared" si="225"/>
        <v>0</v>
      </c>
      <c r="Z844">
        <f t="shared" si="226"/>
        <v>0</v>
      </c>
      <c r="AA844">
        <f t="shared" si="227"/>
        <v>0</v>
      </c>
      <c r="AB844">
        <f>--AND($E844=1,OR('Staff Weekly Trend'!$B$3="All",$DH844='Staff Weekly Trend'!$B$3),OR('Staff Weekly Trend'!$B$4="All",$D844='Staff Weekly Trend'!$B$4),OR('Staff Weekly Trend'!$B$5="All",$A844='Staff Weekly Trend'!$B$5))</f>
        <v>0</v>
      </c>
      <c r="AC844" t="str">
        <f t="shared" si="228"/>
        <v/>
      </c>
      <c r="AI844">
        <f t="shared" si="229"/>
        <v>0</v>
      </c>
      <c r="AJ844">
        <f t="shared" si="230"/>
        <v>0</v>
      </c>
      <c r="AK844">
        <f t="shared" si="231"/>
        <v>0</v>
      </c>
      <c r="AL844">
        <f t="shared" si="232"/>
        <v>0</v>
      </c>
      <c r="AM844">
        <f t="shared" si="233"/>
        <v>0</v>
      </c>
      <c r="DH844" t="str" cm="1">
        <f t="array" ref="DH844">IF($A844="","",_xlfn.LET(_xlpm.c,IFERROR(_xlfn.XLOOKUP($A844,TRIM('Sales and count'!$A$4:$A$300&amp;""),TRIM('Sales and count'!$B$4:$B$300&amp;"")),""),IF(OR(_xlpm.c="",_xlpm.c="0",LEFT(_xlpm.c,1)="#"),"Not set",_xlpm.c)))</f>
        <v/>
      </c>
    </row>
    <row r="845" spans="1:112" x14ac:dyDescent="0.25">
      <c r="A845" t="str">
        <f>IF('Staff Daily sales'!$B830="","",TRIM('Staff Daily sales'!$B830&amp;""))</f>
        <v/>
      </c>
      <c r="B845" t="str">
        <f>IF('Staff Daily sales'!$D830="","",TRIM('Staff Daily sales'!$D830&amp;""))</f>
        <v/>
      </c>
      <c r="C845" t="str">
        <f>IFERROR(TRIM('Staff Daily sales'!$E830&amp;""),"")</f>
        <v/>
      </c>
      <c r="D845" t="str">
        <f>IFERROR(IF(TRIM('Staff Daily sales'!$F830&amp;"")="","Unassigned",TRIM('Staff Daily sales'!$F830&amp;"")),"Unassigned")</f>
        <v>Unassigned</v>
      </c>
      <c r="E845">
        <f t="shared" si="218"/>
        <v>0</v>
      </c>
      <c r="F845">
        <f>IF($E845=0,0,SUMPRODUCT($AI$5:$DF$5,'Staff Daily sales'!$G830:$CD830))</f>
        <v>0</v>
      </c>
      <c r="G845">
        <f>IF($E845=0,0,SUMPRODUCT($AI$6:$DF$6,'Staff Daily sales'!$G830:$CD830))</f>
        <v>0</v>
      </c>
      <c r="H845">
        <f t="shared" si="219"/>
        <v>0</v>
      </c>
      <c r="I845">
        <f t="shared" si="220"/>
        <v>0</v>
      </c>
      <c r="J845">
        <f t="shared" si="221"/>
        <v>0</v>
      </c>
      <c r="K845">
        <f t="shared" si="222"/>
        <v>0</v>
      </c>
      <c r="L845">
        <f>--AND($E845=1,OR('Staff Dashboard'!$B$6="All",$DH845='Staff Dashboard'!$B$6),OR('Staff Dashboard'!$B$7="All",$D845='Staff Dashboard'!$B$7),OR('Staff Dashboard'!$B$8="All",$A845='Staff Dashboard'!$B$8))</f>
        <v>0</v>
      </c>
      <c r="M845">
        <f>IF($E845=0,0,SUMPRODUCT($AI$7:$DF$7,'Staff Daily sales'!$G830:$CD830))</f>
        <v>0</v>
      </c>
      <c r="N845">
        <f>IF($E845=0,0,SUMPRODUCT($AI$8:$DF$8,'Staff Daily sales'!$G830:$CD830))</f>
        <v>0</v>
      </c>
      <c r="O845">
        <f>IF($E845=0,0,SUMPRODUCT($AI$9:$DF$9,'Staff Daily sales'!$G830:$CD830))</f>
        <v>0</v>
      </c>
      <c r="P845">
        <f>IF($E845=0,0,SUMPRODUCT($AI$10:$DF$10,'Staff Daily sales'!$G830:$CD830))</f>
        <v>0</v>
      </c>
      <c r="Q845">
        <f>IF($E845=0,0,SUMPRODUCT($AI$11:$DF$11,'Staff Daily sales'!$G830:$CD830))</f>
        <v>0</v>
      </c>
      <c r="R845">
        <f>IF($E845=0,0,SUMPRODUCT($AI$12:$DF$12,'Staff Daily sales'!$G830:$CD830))</f>
        <v>0</v>
      </c>
      <c r="S845">
        <f>IF($E845=0,0,SUMPRODUCT($AI$13:$DF$13,'Staff Daily sales'!$G830:$CD830))</f>
        <v>0</v>
      </c>
      <c r="T845">
        <f>IF($E845=0,0,SUMPRODUCT($AI$14:$DF$14,'Staff Daily sales'!$G830:$CD830))</f>
        <v>0</v>
      </c>
      <c r="U845">
        <f>IF($E845=0,0,SUMPRODUCT($AI$15:$DF$15,'Staff Daily sales'!$G830:$CD830))</f>
        <v>0</v>
      </c>
      <c r="V845">
        <f>IF($E845=0,0,SUMPRODUCT($AI$16:$DF$16,'Staff Daily sales'!$G830:$CD830))</f>
        <v>0</v>
      </c>
      <c r="W845">
        <f t="shared" si="223"/>
        <v>0</v>
      </c>
      <c r="X845">
        <f t="shared" si="224"/>
        <v>0</v>
      </c>
      <c r="Y845">
        <f t="shared" si="225"/>
        <v>0</v>
      </c>
      <c r="Z845">
        <f t="shared" si="226"/>
        <v>0</v>
      </c>
      <c r="AA845">
        <f t="shared" si="227"/>
        <v>0</v>
      </c>
      <c r="AB845">
        <f>--AND($E845=1,OR('Staff Weekly Trend'!$B$3="All",$DH845='Staff Weekly Trend'!$B$3),OR('Staff Weekly Trend'!$B$4="All",$D845='Staff Weekly Trend'!$B$4),OR('Staff Weekly Trend'!$B$5="All",$A845='Staff Weekly Trend'!$B$5))</f>
        <v>0</v>
      </c>
      <c r="AC845" t="str">
        <f t="shared" si="228"/>
        <v/>
      </c>
      <c r="AI845">
        <f t="shared" si="229"/>
        <v>0</v>
      </c>
      <c r="AJ845">
        <f t="shared" si="230"/>
        <v>0</v>
      </c>
      <c r="AK845">
        <f t="shared" si="231"/>
        <v>0</v>
      </c>
      <c r="AL845">
        <f t="shared" si="232"/>
        <v>0</v>
      </c>
      <c r="AM845">
        <f t="shared" si="233"/>
        <v>0</v>
      </c>
      <c r="DH845" t="str" cm="1">
        <f t="array" ref="DH845">IF($A845="","",_xlfn.LET(_xlpm.c,IFERROR(_xlfn.XLOOKUP($A845,TRIM('Sales and count'!$A$4:$A$300&amp;""),TRIM('Sales and count'!$B$4:$B$300&amp;"")),""),IF(OR(_xlpm.c="",_xlpm.c="0",LEFT(_xlpm.c,1)="#"),"Not set",_xlpm.c)))</f>
        <v/>
      </c>
    </row>
    <row r="846" spans="1:112" x14ac:dyDescent="0.25">
      <c r="A846" t="str">
        <f>IF('Staff Daily sales'!$B831="","",TRIM('Staff Daily sales'!$B831&amp;""))</f>
        <v/>
      </c>
      <c r="B846" t="str">
        <f>IF('Staff Daily sales'!$D831="","",TRIM('Staff Daily sales'!$D831&amp;""))</f>
        <v/>
      </c>
      <c r="C846" t="str">
        <f>IFERROR(TRIM('Staff Daily sales'!$E831&amp;""),"")</f>
        <v/>
      </c>
      <c r="D846" t="str">
        <f>IFERROR(IF(TRIM('Staff Daily sales'!$F831&amp;"")="","Unassigned",TRIM('Staff Daily sales'!$F831&amp;"")),"Unassigned")</f>
        <v>Unassigned</v>
      </c>
      <c r="E846">
        <f t="shared" si="218"/>
        <v>0</v>
      </c>
      <c r="F846">
        <f>IF($E846=0,0,SUMPRODUCT($AI$5:$DF$5,'Staff Daily sales'!$G831:$CD831))</f>
        <v>0</v>
      </c>
      <c r="G846">
        <f>IF($E846=0,0,SUMPRODUCT($AI$6:$DF$6,'Staff Daily sales'!$G831:$CD831))</f>
        <v>0</v>
      </c>
      <c r="H846">
        <f t="shared" si="219"/>
        <v>0</v>
      </c>
      <c r="I846">
        <f t="shared" si="220"/>
        <v>0</v>
      </c>
      <c r="J846">
        <f t="shared" si="221"/>
        <v>0</v>
      </c>
      <c r="K846">
        <f t="shared" si="222"/>
        <v>0</v>
      </c>
      <c r="L846">
        <f>--AND($E846=1,OR('Staff Dashboard'!$B$6="All",$DH846='Staff Dashboard'!$B$6),OR('Staff Dashboard'!$B$7="All",$D846='Staff Dashboard'!$B$7),OR('Staff Dashboard'!$B$8="All",$A846='Staff Dashboard'!$B$8))</f>
        <v>0</v>
      </c>
      <c r="M846">
        <f>IF($E846=0,0,SUMPRODUCT($AI$7:$DF$7,'Staff Daily sales'!$G831:$CD831))</f>
        <v>0</v>
      </c>
      <c r="N846">
        <f>IF($E846=0,0,SUMPRODUCT($AI$8:$DF$8,'Staff Daily sales'!$G831:$CD831))</f>
        <v>0</v>
      </c>
      <c r="O846">
        <f>IF($E846=0,0,SUMPRODUCT($AI$9:$DF$9,'Staff Daily sales'!$G831:$CD831))</f>
        <v>0</v>
      </c>
      <c r="P846">
        <f>IF($E846=0,0,SUMPRODUCT($AI$10:$DF$10,'Staff Daily sales'!$G831:$CD831))</f>
        <v>0</v>
      </c>
      <c r="Q846">
        <f>IF($E846=0,0,SUMPRODUCT($AI$11:$DF$11,'Staff Daily sales'!$G831:$CD831))</f>
        <v>0</v>
      </c>
      <c r="R846">
        <f>IF($E846=0,0,SUMPRODUCT($AI$12:$DF$12,'Staff Daily sales'!$G831:$CD831))</f>
        <v>0</v>
      </c>
      <c r="S846">
        <f>IF($E846=0,0,SUMPRODUCT($AI$13:$DF$13,'Staff Daily sales'!$G831:$CD831))</f>
        <v>0</v>
      </c>
      <c r="T846">
        <f>IF($E846=0,0,SUMPRODUCT($AI$14:$DF$14,'Staff Daily sales'!$G831:$CD831))</f>
        <v>0</v>
      </c>
      <c r="U846">
        <f>IF($E846=0,0,SUMPRODUCT($AI$15:$DF$15,'Staff Daily sales'!$G831:$CD831))</f>
        <v>0</v>
      </c>
      <c r="V846">
        <f>IF($E846=0,0,SUMPRODUCT($AI$16:$DF$16,'Staff Daily sales'!$G831:$CD831))</f>
        <v>0</v>
      </c>
      <c r="W846">
        <f t="shared" si="223"/>
        <v>0</v>
      </c>
      <c r="X846">
        <f t="shared" si="224"/>
        <v>0</v>
      </c>
      <c r="Y846">
        <f t="shared" si="225"/>
        <v>0</v>
      </c>
      <c r="Z846">
        <f t="shared" si="226"/>
        <v>0</v>
      </c>
      <c r="AA846">
        <f t="shared" si="227"/>
        <v>0</v>
      </c>
      <c r="AB846">
        <f>--AND($E846=1,OR('Staff Weekly Trend'!$B$3="All",$DH846='Staff Weekly Trend'!$B$3),OR('Staff Weekly Trend'!$B$4="All",$D846='Staff Weekly Trend'!$B$4),OR('Staff Weekly Trend'!$B$5="All",$A846='Staff Weekly Trend'!$B$5))</f>
        <v>0</v>
      </c>
      <c r="AC846" t="str">
        <f t="shared" si="228"/>
        <v/>
      </c>
      <c r="AI846">
        <f t="shared" si="229"/>
        <v>0</v>
      </c>
      <c r="AJ846">
        <f t="shared" si="230"/>
        <v>0</v>
      </c>
      <c r="AK846">
        <f t="shared" si="231"/>
        <v>0</v>
      </c>
      <c r="AL846">
        <f t="shared" si="232"/>
        <v>0</v>
      </c>
      <c r="AM846">
        <f t="shared" si="233"/>
        <v>0</v>
      </c>
      <c r="DH846" t="str" cm="1">
        <f t="array" ref="DH846">IF($A846="","",_xlfn.LET(_xlpm.c,IFERROR(_xlfn.XLOOKUP($A846,TRIM('Sales and count'!$A$4:$A$300&amp;""),TRIM('Sales and count'!$B$4:$B$300&amp;"")),""),IF(OR(_xlpm.c="",_xlpm.c="0",LEFT(_xlpm.c,1)="#"),"Not set",_xlpm.c)))</f>
        <v/>
      </c>
    </row>
    <row r="847" spans="1:112" x14ac:dyDescent="0.25">
      <c r="A847" t="str">
        <f>IF('Staff Daily sales'!$B832="","",TRIM('Staff Daily sales'!$B832&amp;""))</f>
        <v/>
      </c>
      <c r="B847" t="str">
        <f>IF('Staff Daily sales'!$D832="","",TRIM('Staff Daily sales'!$D832&amp;""))</f>
        <v/>
      </c>
      <c r="C847" t="str">
        <f>IFERROR(TRIM('Staff Daily sales'!$E832&amp;""),"")</f>
        <v/>
      </c>
      <c r="D847" t="str">
        <f>IFERROR(IF(TRIM('Staff Daily sales'!$F832&amp;"")="","Unassigned",TRIM('Staff Daily sales'!$F832&amp;"")),"Unassigned")</f>
        <v>Unassigned</v>
      </c>
      <c r="E847">
        <f t="shared" si="218"/>
        <v>0</v>
      </c>
      <c r="F847">
        <f>IF($E847=0,0,SUMPRODUCT($AI$5:$DF$5,'Staff Daily sales'!$G832:$CD832))</f>
        <v>0</v>
      </c>
      <c r="G847">
        <f>IF($E847=0,0,SUMPRODUCT($AI$6:$DF$6,'Staff Daily sales'!$G832:$CD832))</f>
        <v>0</v>
      </c>
      <c r="H847">
        <f t="shared" si="219"/>
        <v>0</v>
      </c>
      <c r="I847">
        <f t="shared" si="220"/>
        <v>0</v>
      </c>
      <c r="J847">
        <f t="shared" si="221"/>
        <v>0</v>
      </c>
      <c r="K847">
        <f t="shared" si="222"/>
        <v>0</v>
      </c>
      <c r="L847">
        <f>--AND($E847=1,OR('Staff Dashboard'!$B$6="All",$DH847='Staff Dashboard'!$B$6),OR('Staff Dashboard'!$B$7="All",$D847='Staff Dashboard'!$B$7),OR('Staff Dashboard'!$B$8="All",$A847='Staff Dashboard'!$B$8))</f>
        <v>0</v>
      </c>
      <c r="M847">
        <f>IF($E847=0,0,SUMPRODUCT($AI$7:$DF$7,'Staff Daily sales'!$G832:$CD832))</f>
        <v>0</v>
      </c>
      <c r="N847">
        <f>IF($E847=0,0,SUMPRODUCT($AI$8:$DF$8,'Staff Daily sales'!$G832:$CD832))</f>
        <v>0</v>
      </c>
      <c r="O847">
        <f>IF($E847=0,0,SUMPRODUCT($AI$9:$DF$9,'Staff Daily sales'!$G832:$CD832))</f>
        <v>0</v>
      </c>
      <c r="P847">
        <f>IF($E847=0,0,SUMPRODUCT($AI$10:$DF$10,'Staff Daily sales'!$G832:$CD832))</f>
        <v>0</v>
      </c>
      <c r="Q847">
        <f>IF($E847=0,0,SUMPRODUCT($AI$11:$DF$11,'Staff Daily sales'!$G832:$CD832))</f>
        <v>0</v>
      </c>
      <c r="R847">
        <f>IF($E847=0,0,SUMPRODUCT($AI$12:$DF$12,'Staff Daily sales'!$G832:$CD832))</f>
        <v>0</v>
      </c>
      <c r="S847">
        <f>IF($E847=0,0,SUMPRODUCT($AI$13:$DF$13,'Staff Daily sales'!$G832:$CD832))</f>
        <v>0</v>
      </c>
      <c r="T847">
        <f>IF($E847=0,0,SUMPRODUCT($AI$14:$DF$14,'Staff Daily sales'!$G832:$CD832))</f>
        <v>0</v>
      </c>
      <c r="U847">
        <f>IF($E847=0,0,SUMPRODUCT($AI$15:$DF$15,'Staff Daily sales'!$G832:$CD832))</f>
        <v>0</v>
      </c>
      <c r="V847">
        <f>IF($E847=0,0,SUMPRODUCT($AI$16:$DF$16,'Staff Daily sales'!$G832:$CD832))</f>
        <v>0</v>
      </c>
      <c r="W847">
        <f t="shared" si="223"/>
        <v>0</v>
      </c>
      <c r="X847">
        <f t="shared" si="224"/>
        <v>0</v>
      </c>
      <c r="Y847">
        <f t="shared" si="225"/>
        <v>0</v>
      </c>
      <c r="Z847">
        <f t="shared" si="226"/>
        <v>0</v>
      </c>
      <c r="AA847">
        <f t="shared" si="227"/>
        <v>0</v>
      </c>
      <c r="AB847">
        <f>--AND($E847=1,OR('Staff Weekly Trend'!$B$3="All",$DH847='Staff Weekly Trend'!$B$3),OR('Staff Weekly Trend'!$B$4="All",$D847='Staff Weekly Trend'!$B$4),OR('Staff Weekly Trend'!$B$5="All",$A847='Staff Weekly Trend'!$B$5))</f>
        <v>0</v>
      </c>
      <c r="AC847" t="str">
        <f t="shared" si="228"/>
        <v/>
      </c>
      <c r="AI847">
        <f t="shared" si="229"/>
        <v>0</v>
      </c>
      <c r="AJ847">
        <f t="shared" si="230"/>
        <v>0</v>
      </c>
      <c r="AK847">
        <f t="shared" si="231"/>
        <v>0</v>
      </c>
      <c r="AL847">
        <f t="shared" si="232"/>
        <v>0</v>
      </c>
      <c r="AM847">
        <f t="shared" si="233"/>
        <v>0</v>
      </c>
      <c r="DH847" t="str" cm="1">
        <f t="array" ref="DH847">IF($A847="","",_xlfn.LET(_xlpm.c,IFERROR(_xlfn.XLOOKUP($A847,TRIM('Sales and count'!$A$4:$A$300&amp;""),TRIM('Sales and count'!$B$4:$B$300&amp;"")),""),IF(OR(_xlpm.c="",_xlpm.c="0",LEFT(_xlpm.c,1)="#"),"Not set",_xlpm.c)))</f>
        <v/>
      </c>
    </row>
    <row r="848" spans="1:112" x14ac:dyDescent="0.25">
      <c r="A848" t="str">
        <f>IF('Staff Daily sales'!$B833="","",TRIM('Staff Daily sales'!$B833&amp;""))</f>
        <v/>
      </c>
      <c r="B848" t="str">
        <f>IF('Staff Daily sales'!$D833="","",TRIM('Staff Daily sales'!$D833&amp;""))</f>
        <v/>
      </c>
      <c r="C848" t="str">
        <f>IFERROR(TRIM('Staff Daily sales'!$E833&amp;""),"")</f>
        <v/>
      </c>
      <c r="D848" t="str">
        <f>IFERROR(IF(TRIM('Staff Daily sales'!$F833&amp;"")="","Unassigned",TRIM('Staff Daily sales'!$F833&amp;"")),"Unassigned")</f>
        <v>Unassigned</v>
      </c>
      <c r="E848">
        <f t="shared" si="218"/>
        <v>0</v>
      </c>
      <c r="F848">
        <f>IF($E848=0,0,SUMPRODUCT($AI$5:$DF$5,'Staff Daily sales'!$G833:$CD833))</f>
        <v>0</v>
      </c>
      <c r="G848">
        <f>IF($E848=0,0,SUMPRODUCT($AI$6:$DF$6,'Staff Daily sales'!$G833:$CD833))</f>
        <v>0</v>
      </c>
      <c r="H848">
        <f t="shared" si="219"/>
        <v>0</v>
      </c>
      <c r="I848">
        <f t="shared" si="220"/>
        <v>0</v>
      </c>
      <c r="J848">
        <f t="shared" si="221"/>
        <v>0</v>
      </c>
      <c r="K848">
        <f t="shared" si="222"/>
        <v>0</v>
      </c>
      <c r="L848">
        <f>--AND($E848=1,OR('Staff Dashboard'!$B$6="All",$DH848='Staff Dashboard'!$B$6),OR('Staff Dashboard'!$B$7="All",$D848='Staff Dashboard'!$B$7),OR('Staff Dashboard'!$B$8="All",$A848='Staff Dashboard'!$B$8))</f>
        <v>0</v>
      </c>
      <c r="M848">
        <f>IF($E848=0,0,SUMPRODUCT($AI$7:$DF$7,'Staff Daily sales'!$G833:$CD833))</f>
        <v>0</v>
      </c>
      <c r="N848">
        <f>IF($E848=0,0,SUMPRODUCT($AI$8:$DF$8,'Staff Daily sales'!$G833:$CD833))</f>
        <v>0</v>
      </c>
      <c r="O848">
        <f>IF($E848=0,0,SUMPRODUCT($AI$9:$DF$9,'Staff Daily sales'!$G833:$CD833))</f>
        <v>0</v>
      </c>
      <c r="P848">
        <f>IF($E848=0,0,SUMPRODUCT($AI$10:$DF$10,'Staff Daily sales'!$G833:$CD833))</f>
        <v>0</v>
      </c>
      <c r="Q848">
        <f>IF($E848=0,0,SUMPRODUCT($AI$11:$DF$11,'Staff Daily sales'!$G833:$CD833))</f>
        <v>0</v>
      </c>
      <c r="R848">
        <f>IF($E848=0,0,SUMPRODUCT($AI$12:$DF$12,'Staff Daily sales'!$G833:$CD833))</f>
        <v>0</v>
      </c>
      <c r="S848">
        <f>IF($E848=0,0,SUMPRODUCT($AI$13:$DF$13,'Staff Daily sales'!$G833:$CD833))</f>
        <v>0</v>
      </c>
      <c r="T848">
        <f>IF($E848=0,0,SUMPRODUCT($AI$14:$DF$14,'Staff Daily sales'!$G833:$CD833))</f>
        <v>0</v>
      </c>
      <c r="U848">
        <f>IF($E848=0,0,SUMPRODUCT($AI$15:$DF$15,'Staff Daily sales'!$G833:$CD833))</f>
        <v>0</v>
      </c>
      <c r="V848">
        <f>IF($E848=0,0,SUMPRODUCT($AI$16:$DF$16,'Staff Daily sales'!$G833:$CD833))</f>
        <v>0</v>
      </c>
      <c r="W848">
        <f t="shared" si="223"/>
        <v>0</v>
      </c>
      <c r="X848">
        <f t="shared" si="224"/>
        <v>0</v>
      </c>
      <c r="Y848">
        <f t="shared" si="225"/>
        <v>0</v>
      </c>
      <c r="Z848">
        <f t="shared" si="226"/>
        <v>0</v>
      </c>
      <c r="AA848">
        <f t="shared" si="227"/>
        <v>0</v>
      </c>
      <c r="AB848">
        <f>--AND($E848=1,OR('Staff Weekly Trend'!$B$3="All",$DH848='Staff Weekly Trend'!$B$3),OR('Staff Weekly Trend'!$B$4="All",$D848='Staff Weekly Trend'!$B$4),OR('Staff Weekly Trend'!$B$5="All",$A848='Staff Weekly Trend'!$B$5))</f>
        <v>0</v>
      </c>
      <c r="AC848" t="str">
        <f t="shared" si="228"/>
        <v/>
      </c>
      <c r="AI848">
        <f t="shared" si="229"/>
        <v>0</v>
      </c>
      <c r="AJ848">
        <f t="shared" si="230"/>
        <v>0</v>
      </c>
      <c r="AK848">
        <f t="shared" si="231"/>
        <v>0</v>
      </c>
      <c r="AL848">
        <f t="shared" si="232"/>
        <v>0</v>
      </c>
      <c r="AM848">
        <f t="shared" si="233"/>
        <v>0</v>
      </c>
      <c r="DH848" t="str" cm="1">
        <f t="array" ref="DH848">IF($A848="","",_xlfn.LET(_xlpm.c,IFERROR(_xlfn.XLOOKUP($A848,TRIM('Sales and count'!$A$4:$A$300&amp;""),TRIM('Sales and count'!$B$4:$B$300&amp;"")),""),IF(OR(_xlpm.c="",_xlpm.c="0",LEFT(_xlpm.c,1)="#"),"Not set",_xlpm.c)))</f>
        <v/>
      </c>
    </row>
    <row r="849" spans="1:112" x14ac:dyDescent="0.25">
      <c r="A849" t="str">
        <f>IF('Staff Daily sales'!$B834="","",TRIM('Staff Daily sales'!$B834&amp;""))</f>
        <v/>
      </c>
      <c r="B849" t="str">
        <f>IF('Staff Daily sales'!$D834="","",TRIM('Staff Daily sales'!$D834&amp;""))</f>
        <v/>
      </c>
      <c r="C849" t="str">
        <f>IFERROR(TRIM('Staff Daily sales'!$E834&amp;""),"")</f>
        <v/>
      </c>
      <c r="D849" t="str">
        <f>IFERROR(IF(TRIM('Staff Daily sales'!$F834&amp;"")="","Unassigned",TRIM('Staff Daily sales'!$F834&amp;"")),"Unassigned")</f>
        <v>Unassigned</v>
      </c>
      <c r="E849">
        <f t="shared" si="218"/>
        <v>0</v>
      </c>
      <c r="F849">
        <f>IF($E849=0,0,SUMPRODUCT($AI$5:$DF$5,'Staff Daily sales'!$G834:$CD834))</f>
        <v>0</v>
      </c>
      <c r="G849">
        <f>IF($E849=0,0,SUMPRODUCT($AI$6:$DF$6,'Staff Daily sales'!$G834:$CD834))</f>
        <v>0</v>
      </c>
      <c r="H849">
        <f t="shared" si="219"/>
        <v>0</v>
      </c>
      <c r="I849">
        <f t="shared" si="220"/>
        <v>0</v>
      </c>
      <c r="J849">
        <f t="shared" si="221"/>
        <v>0</v>
      </c>
      <c r="K849">
        <f t="shared" si="222"/>
        <v>0</v>
      </c>
      <c r="L849">
        <f>--AND($E849=1,OR('Staff Dashboard'!$B$6="All",$DH849='Staff Dashboard'!$B$6),OR('Staff Dashboard'!$B$7="All",$D849='Staff Dashboard'!$B$7),OR('Staff Dashboard'!$B$8="All",$A849='Staff Dashboard'!$B$8))</f>
        <v>0</v>
      </c>
      <c r="M849">
        <f>IF($E849=0,0,SUMPRODUCT($AI$7:$DF$7,'Staff Daily sales'!$G834:$CD834))</f>
        <v>0</v>
      </c>
      <c r="N849">
        <f>IF($E849=0,0,SUMPRODUCT($AI$8:$DF$8,'Staff Daily sales'!$G834:$CD834))</f>
        <v>0</v>
      </c>
      <c r="O849">
        <f>IF($E849=0,0,SUMPRODUCT($AI$9:$DF$9,'Staff Daily sales'!$G834:$CD834))</f>
        <v>0</v>
      </c>
      <c r="P849">
        <f>IF($E849=0,0,SUMPRODUCT($AI$10:$DF$10,'Staff Daily sales'!$G834:$CD834))</f>
        <v>0</v>
      </c>
      <c r="Q849">
        <f>IF($E849=0,0,SUMPRODUCT($AI$11:$DF$11,'Staff Daily sales'!$G834:$CD834))</f>
        <v>0</v>
      </c>
      <c r="R849">
        <f>IF($E849=0,0,SUMPRODUCT($AI$12:$DF$12,'Staff Daily sales'!$G834:$CD834))</f>
        <v>0</v>
      </c>
      <c r="S849">
        <f>IF($E849=0,0,SUMPRODUCT($AI$13:$DF$13,'Staff Daily sales'!$G834:$CD834))</f>
        <v>0</v>
      </c>
      <c r="T849">
        <f>IF($E849=0,0,SUMPRODUCT($AI$14:$DF$14,'Staff Daily sales'!$G834:$CD834))</f>
        <v>0</v>
      </c>
      <c r="U849">
        <f>IF($E849=0,0,SUMPRODUCT($AI$15:$DF$15,'Staff Daily sales'!$G834:$CD834))</f>
        <v>0</v>
      </c>
      <c r="V849">
        <f>IF($E849=0,0,SUMPRODUCT($AI$16:$DF$16,'Staff Daily sales'!$G834:$CD834))</f>
        <v>0</v>
      </c>
      <c r="W849">
        <f t="shared" si="223"/>
        <v>0</v>
      </c>
      <c r="X849">
        <f t="shared" si="224"/>
        <v>0</v>
      </c>
      <c r="Y849">
        <f t="shared" si="225"/>
        <v>0</v>
      </c>
      <c r="Z849">
        <f t="shared" si="226"/>
        <v>0</v>
      </c>
      <c r="AA849">
        <f t="shared" si="227"/>
        <v>0</v>
      </c>
      <c r="AB849">
        <f>--AND($E849=1,OR('Staff Weekly Trend'!$B$3="All",$DH849='Staff Weekly Trend'!$B$3),OR('Staff Weekly Trend'!$B$4="All",$D849='Staff Weekly Trend'!$B$4),OR('Staff Weekly Trend'!$B$5="All",$A849='Staff Weekly Trend'!$B$5))</f>
        <v>0</v>
      </c>
      <c r="AC849" t="str">
        <f t="shared" si="228"/>
        <v/>
      </c>
      <c r="AI849">
        <f t="shared" si="229"/>
        <v>0</v>
      </c>
      <c r="AJ849">
        <f t="shared" si="230"/>
        <v>0</v>
      </c>
      <c r="AK849">
        <f t="shared" si="231"/>
        <v>0</v>
      </c>
      <c r="AL849">
        <f t="shared" si="232"/>
        <v>0</v>
      </c>
      <c r="AM849">
        <f t="shared" si="233"/>
        <v>0</v>
      </c>
      <c r="DH849" t="str" cm="1">
        <f t="array" ref="DH849">IF($A849="","",_xlfn.LET(_xlpm.c,IFERROR(_xlfn.XLOOKUP($A849,TRIM('Sales and count'!$A$4:$A$300&amp;""),TRIM('Sales and count'!$B$4:$B$300&amp;"")),""),IF(OR(_xlpm.c="",_xlpm.c="0",LEFT(_xlpm.c,1)="#"),"Not set",_xlpm.c)))</f>
        <v/>
      </c>
    </row>
    <row r="850" spans="1:112" x14ac:dyDescent="0.25">
      <c r="A850" t="str">
        <f>IF('Staff Daily sales'!$B835="","",TRIM('Staff Daily sales'!$B835&amp;""))</f>
        <v/>
      </c>
      <c r="B850" t="str">
        <f>IF('Staff Daily sales'!$D835="","",TRIM('Staff Daily sales'!$D835&amp;""))</f>
        <v/>
      </c>
      <c r="C850" t="str">
        <f>IFERROR(TRIM('Staff Daily sales'!$E835&amp;""),"")</f>
        <v/>
      </c>
      <c r="D850" t="str">
        <f>IFERROR(IF(TRIM('Staff Daily sales'!$F835&amp;"")="","Unassigned",TRIM('Staff Daily sales'!$F835&amp;"")),"Unassigned")</f>
        <v>Unassigned</v>
      </c>
      <c r="E850">
        <f t="shared" si="218"/>
        <v>0</v>
      </c>
      <c r="F850">
        <f>IF($E850=0,0,SUMPRODUCT($AI$5:$DF$5,'Staff Daily sales'!$G835:$CD835))</f>
        <v>0</v>
      </c>
      <c r="G850">
        <f>IF($E850=0,0,SUMPRODUCT($AI$6:$DF$6,'Staff Daily sales'!$G835:$CD835))</f>
        <v>0</v>
      </c>
      <c r="H850">
        <f t="shared" si="219"/>
        <v>0</v>
      </c>
      <c r="I850">
        <f t="shared" si="220"/>
        <v>0</v>
      </c>
      <c r="J850">
        <f t="shared" si="221"/>
        <v>0</v>
      </c>
      <c r="K850">
        <f t="shared" si="222"/>
        <v>0</v>
      </c>
      <c r="L850">
        <f>--AND($E850=1,OR('Staff Dashboard'!$B$6="All",$DH850='Staff Dashboard'!$B$6),OR('Staff Dashboard'!$B$7="All",$D850='Staff Dashboard'!$B$7),OR('Staff Dashboard'!$B$8="All",$A850='Staff Dashboard'!$B$8))</f>
        <v>0</v>
      </c>
      <c r="M850">
        <f>IF($E850=0,0,SUMPRODUCT($AI$7:$DF$7,'Staff Daily sales'!$G835:$CD835))</f>
        <v>0</v>
      </c>
      <c r="N850">
        <f>IF($E850=0,0,SUMPRODUCT($AI$8:$DF$8,'Staff Daily sales'!$G835:$CD835))</f>
        <v>0</v>
      </c>
      <c r="O850">
        <f>IF($E850=0,0,SUMPRODUCT($AI$9:$DF$9,'Staff Daily sales'!$G835:$CD835))</f>
        <v>0</v>
      </c>
      <c r="P850">
        <f>IF($E850=0,0,SUMPRODUCT($AI$10:$DF$10,'Staff Daily sales'!$G835:$CD835))</f>
        <v>0</v>
      </c>
      <c r="Q850">
        <f>IF($E850=0,0,SUMPRODUCT($AI$11:$DF$11,'Staff Daily sales'!$G835:$CD835))</f>
        <v>0</v>
      </c>
      <c r="R850">
        <f>IF($E850=0,0,SUMPRODUCT($AI$12:$DF$12,'Staff Daily sales'!$G835:$CD835))</f>
        <v>0</v>
      </c>
      <c r="S850">
        <f>IF($E850=0,0,SUMPRODUCT($AI$13:$DF$13,'Staff Daily sales'!$G835:$CD835))</f>
        <v>0</v>
      </c>
      <c r="T850">
        <f>IF($E850=0,0,SUMPRODUCT($AI$14:$DF$14,'Staff Daily sales'!$G835:$CD835))</f>
        <v>0</v>
      </c>
      <c r="U850">
        <f>IF($E850=0,0,SUMPRODUCT($AI$15:$DF$15,'Staff Daily sales'!$G835:$CD835))</f>
        <v>0</v>
      </c>
      <c r="V850">
        <f>IF($E850=0,0,SUMPRODUCT($AI$16:$DF$16,'Staff Daily sales'!$G835:$CD835))</f>
        <v>0</v>
      </c>
      <c r="W850">
        <f t="shared" si="223"/>
        <v>0</v>
      </c>
      <c r="X850">
        <f t="shared" si="224"/>
        <v>0</v>
      </c>
      <c r="Y850">
        <f t="shared" si="225"/>
        <v>0</v>
      </c>
      <c r="Z850">
        <f t="shared" si="226"/>
        <v>0</v>
      </c>
      <c r="AA850">
        <f t="shared" si="227"/>
        <v>0</v>
      </c>
      <c r="AB850">
        <f>--AND($E850=1,OR('Staff Weekly Trend'!$B$3="All",$DH850='Staff Weekly Trend'!$B$3),OR('Staff Weekly Trend'!$B$4="All",$D850='Staff Weekly Trend'!$B$4),OR('Staff Weekly Trend'!$B$5="All",$A850='Staff Weekly Trend'!$B$5))</f>
        <v>0</v>
      </c>
      <c r="AC850" t="str">
        <f t="shared" si="228"/>
        <v/>
      </c>
      <c r="AI850">
        <f t="shared" si="229"/>
        <v>0</v>
      </c>
      <c r="AJ850">
        <f t="shared" si="230"/>
        <v>0</v>
      </c>
      <c r="AK850">
        <f t="shared" si="231"/>
        <v>0</v>
      </c>
      <c r="AL850">
        <f t="shared" si="232"/>
        <v>0</v>
      </c>
      <c r="AM850">
        <f t="shared" si="233"/>
        <v>0</v>
      </c>
      <c r="DH850" t="str" cm="1">
        <f t="array" ref="DH850">IF($A850="","",_xlfn.LET(_xlpm.c,IFERROR(_xlfn.XLOOKUP($A850,TRIM('Sales and count'!$A$4:$A$300&amp;""),TRIM('Sales and count'!$B$4:$B$300&amp;"")),""),IF(OR(_xlpm.c="",_xlpm.c="0",LEFT(_xlpm.c,1)="#"),"Not set",_xlpm.c)))</f>
        <v/>
      </c>
    </row>
    <row r="851" spans="1:112" x14ac:dyDescent="0.25">
      <c r="A851" t="str">
        <f>IF('Staff Daily sales'!$B836="","",TRIM('Staff Daily sales'!$B836&amp;""))</f>
        <v/>
      </c>
      <c r="B851" t="str">
        <f>IF('Staff Daily sales'!$D836="","",TRIM('Staff Daily sales'!$D836&amp;""))</f>
        <v/>
      </c>
      <c r="C851" t="str">
        <f>IFERROR(TRIM('Staff Daily sales'!$E836&amp;""),"")</f>
        <v/>
      </c>
      <c r="D851" t="str">
        <f>IFERROR(IF(TRIM('Staff Daily sales'!$F836&amp;"")="","Unassigned",TRIM('Staff Daily sales'!$F836&amp;"")),"Unassigned")</f>
        <v>Unassigned</v>
      </c>
      <c r="E851">
        <f t="shared" si="218"/>
        <v>0</v>
      </c>
      <c r="F851">
        <f>IF($E851=0,0,SUMPRODUCT($AI$5:$DF$5,'Staff Daily sales'!$G836:$CD836))</f>
        <v>0</v>
      </c>
      <c r="G851">
        <f>IF($E851=0,0,SUMPRODUCT($AI$6:$DF$6,'Staff Daily sales'!$G836:$CD836))</f>
        <v>0</v>
      </c>
      <c r="H851">
        <f t="shared" si="219"/>
        <v>0</v>
      </c>
      <c r="I851">
        <f t="shared" si="220"/>
        <v>0</v>
      </c>
      <c r="J851">
        <f t="shared" si="221"/>
        <v>0</v>
      </c>
      <c r="K851">
        <f t="shared" si="222"/>
        <v>0</v>
      </c>
      <c r="L851">
        <f>--AND($E851=1,OR('Staff Dashboard'!$B$6="All",$DH851='Staff Dashboard'!$B$6),OR('Staff Dashboard'!$B$7="All",$D851='Staff Dashboard'!$B$7),OR('Staff Dashboard'!$B$8="All",$A851='Staff Dashboard'!$B$8))</f>
        <v>0</v>
      </c>
      <c r="M851">
        <f>IF($E851=0,0,SUMPRODUCT($AI$7:$DF$7,'Staff Daily sales'!$G836:$CD836))</f>
        <v>0</v>
      </c>
      <c r="N851">
        <f>IF($E851=0,0,SUMPRODUCT($AI$8:$DF$8,'Staff Daily sales'!$G836:$CD836))</f>
        <v>0</v>
      </c>
      <c r="O851">
        <f>IF($E851=0,0,SUMPRODUCT($AI$9:$DF$9,'Staff Daily sales'!$G836:$CD836))</f>
        <v>0</v>
      </c>
      <c r="P851">
        <f>IF($E851=0,0,SUMPRODUCT($AI$10:$DF$10,'Staff Daily sales'!$G836:$CD836))</f>
        <v>0</v>
      </c>
      <c r="Q851">
        <f>IF($E851=0,0,SUMPRODUCT($AI$11:$DF$11,'Staff Daily sales'!$G836:$CD836))</f>
        <v>0</v>
      </c>
      <c r="R851">
        <f>IF($E851=0,0,SUMPRODUCT($AI$12:$DF$12,'Staff Daily sales'!$G836:$CD836))</f>
        <v>0</v>
      </c>
      <c r="S851">
        <f>IF($E851=0,0,SUMPRODUCT($AI$13:$DF$13,'Staff Daily sales'!$G836:$CD836))</f>
        <v>0</v>
      </c>
      <c r="T851">
        <f>IF($E851=0,0,SUMPRODUCT($AI$14:$DF$14,'Staff Daily sales'!$G836:$CD836))</f>
        <v>0</v>
      </c>
      <c r="U851">
        <f>IF($E851=0,0,SUMPRODUCT($AI$15:$DF$15,'Staff Daily sales'!$G836:$CD836))</f>
        <v>0</v>
      </c>
      <c r="V851">
        <f>IF($E851=0,0,SUMPRODUCT($AI$16:$DF$16,'Staff Daily sales'!$G836:$CD836))</f>
        <v>0</v>
      </c>
      <c r="W851">
        <f t="shared" si="223"/>
        <v>0</v>
      </c>
      <c r="X851">
        <f t="shared" si="224"/>
        <v>0</v>
      </c>
      <c r="Y851">
        <f t="shared" si="225"/>
        <v>0</v>
      </c>
      <c r="Z851">
        <f t="shared" si="226"/>
        <v>0</v>
      </c>
      <c r="AA851">
        <f t="shared" si="227"/>
        <v>0</v>
      </c>
      <c r="AB851">
        <f>--AND($E851=1,OR('Staff Weekly Trend'!$B$3="All",$DH851='Staff Weekly Trend'!$B$3),OR('Staff Weekly Trend'!$B$4="All",$D851='Staff Weekly Trend'!$B$4),OR('Staff Weekly Trend'!$B$5="All",$A851='Staff Weekly Trend'!$B$5))</f>
        <v>0</v>
      </c>
      <c r="AC851" t="str">
        <f t="shared" si="228"/>
        <v/>
      </c>
      <c r="AI851">
        <f t="shared" si="229"/>
        <v>0</v>
      </c>
      <c r="AJ851">
        <f t="shared" si="230"/>
        <v>0</v>
      </c>
      <c r="AK851">
        <f t="shared" si="231"/>
        <v>0</v>
      </c>
      <c r="AL851">
        <f t="shared" si="232"/>
        <v>0</v>
      </c>
      <c r="AM851">
        <f t="shared" si="233"/>
        <v>0</v>
      </c>
      <c r="DH851" t="str" cm="1">
        <f t="array" ref="DH851">IF($A851="","",_xlfn.LET(_xlpm.c,IFERROR(_xlfn.XLOOKUP($A851,TRIM('Sales and count'!$A$4:$A$300&amp;""),TRIM('Sales and count'!$B$4:$B$300&amp;"")),""),IF(OR(_xlpm.c="",_xlpm.c="0",LEFT(_xlpm.c,1)="#"),"Not set",_xlpm.c)))</f>
        <v/>
      </c>
    </row>
    <row r="852" spans="1:112" x14ac:dyDescent="0.25">
      <c r="A852" t="str">
        <f>IF('Staff Daily sales'!$B837="","",TRIM('Staff Daily sales'!$B837&amp;""))</f>
        <v/>
      </c>
      <c r="B852" t="str">
        <f>IF('Staff Daily sales'!$D837="","",TRIM('Staff Daily sales'!$D837&amp;""))</f>
        <v/>
      </c>
      <c r="C852" t="str">
        <f>IFERROR(TRIM('Staff Daily sales'!$E837&amp;""),"")</f>
        <v/>
      </c>
      <c r="D852" t="str">
        <f>IFERROR(IF(TRIM('Staff Daily sales'!$F837&amp;"")="","Unassigned",TRIM('Staff Daily sales'!$F837&amp;"")),"Unassigned")</f>
        <v>Unassigned</v>
      </c>
      <c r="E852">
        <f t="shared" ref="E852:E915" si="234">--AND($A852&lt;&gt;"",$B852&lt;&gt;"")</f>
        <v>0</v>
      </c>
      <c r="F852">
        <f>IF($E852=0,0,SUMPRODUCT($AI$5:$DF$5,'Staff Daily sales'!$G837:$CD837))</f>
        <v>0</v>
      </c>
      <c r="G852">
        <f>IF($E852=0,0,SUMPRODUCT($AI$6:$DF$6,'Staff Daily sales'!$G837:$CD837))</f>
        <v>0</v>
      </c>
      <c r="H852">
        <f t="shared" ref="H852:H915" si="235">IF($E852=0,0,SUMIFS($F$20:$F$1515,$A$20:$A$1515,$A852))</f>
        <v>0</v>
      </c>
      <c r="I852">
        <f t="shared" ref="I852:I915" si="236">IF($E852=0,0,SUMIFS($G$20:$G$1515,$A$20:$A$1515,$A852))</f>
        <v>0</v>
      </c>
      <c r="J852">
        <f t="shared" ref="J852:J915" si="237">IF($E852=0,0,SUMIFS($F$20:$F$1515,$D$20:$D$1515,$D852))</f>
        <v>0</v>
      </c>
      <c r="K852">
        <f t="shared" ref="K852:K915" si="238">IF($E852=0,0,SUMIFS($G$20:$G$1515,$D$20:$D$1515,$D852))</f>
        <v>0</v>
      </c>
      <c r="L852">
        <f>--AND($E852=1,OR('Staff Dashboard'!$B$6="All",$DH852='Staff Dashboard'!$B$6),OR('Staff Dashboard'!$B$7="All",$D852='Staff Dashboard'!$B$7),OR('Staff Dashboard'!$B$8="All",$A852='Staff Dashboard'!$B$8))</f>
        <v>0</v>
      </c>
      <c r="M852">
        <f>IF($E852=0,0,SUMPRODUCT($AI$7:$DF$7,'Staff Daily sales'!$G837:$CD837))</f>
        <v>0</v>
      </c>
      <c r="N852">
        <f>IF($E852=0,0,SUMPRODUCT($AI$8:$DF$8,'Staff Daily sales'!$G837:$CD837))</f>
        <v>0</v>
      </c>
      <c r="O852">
        <f>IF($E852=0,0,SUMPRODUCT($AI$9:$DF$9,'Staff Daily sales'!$G837:$CD837))</f>
        <v>0</v>
      </c>
      <c r="P852">
        <f>IF($E852=0,0,SUMPRODUCT($AI$10:$DF$10,'Staff Daily sales'!$G837:$CD837))</f>
        <v>0</v>
      </c>
      <c r="Q852">
        <f>IF($E852=0,0,SUMPRODUCT($AI$11:$DF$11,'Staff Daily sales'!$G837:$CD837))</f>
        <v>0</v>
      </c>
      <c r="R852">
        <f>IF($E852=0,0,SUMPRODUCT($AI$12:$DF$12,'Staff Daily sales'!$G837:$CD837))</f>
        <v>0</v>
      </c>
      <c r="S852">
        <f>IF($E852=0,0,SUMPRODUCT($AI$13:$DF$13,'Staff Daily sales'!$G837:$CD837))</f>
        <v>0</v>
      </c>
      <c r="T852">
        <f>IF($E852=0,0,SUMPRODUCT($AI$14:$DF$14,'Staff Daily sales'!$G837:$CD837))</f>
        <v>0</v>
      </c>
      <c r="U852">
        <f>IF($E852=0,0,SUMPRODUCT($AI$15:$DF$15,'Staff Daily sales'!$G837:$CD837))</f>
        <v>0</v>
      </c>
      <c r="V852">
        <f>IF($E852=0,0,SUMPRODUCT($AI$16:$DF$16,'Staff Daily sales'!$G837:$CD837))</f>
        <v>0</v>
      </c>
      <c r="W852">
        <f t="shared" ref="W852:W915" si="239">IF($E852=0,0,SUMIFS(M$20:M$1515,$A$20:$A$1515,$A852))</f>
        <v>0</v>
      </c>
      <c r="X852">
        <f t="shared" ref="X852:X915" si="240">IF($E852=0,0,SUMIFS(O$20:O$1515,$A$20:$A$1515,$A852))</f>
        <v>0</v>
      </c>
      <c r="Y852">
        <f t="shared" ref="Y852:Y915" si="241">IF($E852=0,0,SUMIFS(Q$20:Q$1515,$A$20:$A$1515,$A852))</f>
        <v>0</v>
      </c>
      <c r="Z852">
        <f t="shared" ref="Z852:Z915" si="242">IF($E852=0,0,SUMIFS(S$20:S$1515,$A$20:$A$1515,$A852))</f>
        <v>0</v>
      </c>
      <c r="AA852">
        <f t="shared" ref="AA852:AA915" si="243">IF($E852=0,0,SUMIFS(U$20:U$1515,$A$20:$A$1515,$A852))</f>
        <v>0</v>
      </c>
      <c r="AB852">
        <f>--AND($E852=1,OR('Staff Weekly Trend'!$B$3="All",$DH852='Staff Weekly Trend'!$B$3),OR('Staff Weekly Trend'!$B$4="All",$D852='Staff Weekly Trend'!$B$4),OR('Staff Weekly Trend'!$B$5="All",$A852='Staff Weekly Trend'!$B$5))</f>
        <v>0</v>
      </c>
      <c r="AC852" t="str">
        <f t="shared" ref="AC852:AC915" si="244">IF(OR($E852=0,AND($F852=0,$G852=0)),"",COUNTIFS($A$20:$A$1515,$A852,$E$20:$E$1515,1,$F$20:$F$1515,"&gt;"&amp;$F852)+1)</f>
        <v/>
      </c>
      <c r="AI852">
        <f t="shared" ref="AI852:AI915" si="245">IF($E852=0,0,SUMIFS(N$20:N$1515,$A$20:$A$1515,$A852))</f>
        <v>0</v>
      </c>
      <c r="AJ852">
        <f t="shared" ref="AJ852:AJ915" si="246">IF($E852=0,0,SUMIFS(P$20:P$1515,$A$20:$A$1515,$A852))</f>
        <v>0</v>
      </c>
      <c r="AK852">
        <f t="shared" ref="AK852:AK915" si="247">IF($E852=0,0,SUMIFS(R$20:R$1515,$A$20:$A$1515,$A852))</f>
        <v>0</v>
      </c>
      <c r="AL852">
        <f t="shared" ref="AL852:AL915" si="248">IF($E852=0,0,SUMIFS(T$20:T$1515,$A$20:$A$1515,$A852))</f>
        <v>0</v>
      </c>
      <c r="AM852">
        <f t="shared" ref="AM852:AM915" si="249">IF($E852=0,0,SUMIFS(V$20:V$1515,$A$20:$A$1515,$A852))</f>
        <v>0</v>
      </c>
      <c r="DH852" t="str" cm="1">
        <f t="array" ref="DH852">IF($A852="","",_xlfn.LET(_xlpm.c,IFERROR(_xlfn.XLOOKUP($A852,TRIM('Sales and count'!$A$4:$A$300&amp;""),TRIM('Sales and count'!$B$4:$B$300&amp;"")),""),IF(OR(_xlpm.c="",_xlpm.c="0",LEFT(_xlpm.c,1)="#"),"Not set",_xlpm.c)))</f>
        <v/>
      </c>
    </row>
    <row r="853" spans="1:112" x14ac:dyDescent="0.25">
      <c r="A853" t="str">
        <f>IF('Staff Daily sales'!$B838="","",TRIM('Staff Daily sales'!$B838&amp;""))</f>
        <v/>
      </c>
      <c r="B853" t="str">
        <f>IF('Staff Daily sales'!$D838="","",TRIM('Staff Daily sales'!$D838&amp;""))</f>
        <v/>
      </c>
      <c r="C853" t="str">
        <f>IFERROR(TRIM('Staff Daily sales'!$E838&amp;""),"")</f>
        <v/>
      </c>
      <c r="D853" t="str">
        <f>IFERROR(IF(TRIM('Staff Daily sales'!$F838&amp;"")="","Unassigned",TRIM('Staff Daily sales'!$F838&amp;"")),"Unassigned")</f>
        <v>Unassigned</v>
      </c>
      <c r="E853">
        <f t="shared" si="234"/>
        <v>0</v>
      </c>
      <c r="F853">
        <f>IF($E853=0,0,SUMPRODUCT($AI$5:$DF$5,'Staff Daily sales'!$G838:$CD838))</f>
        <v>0</v>
      </c>
      <c r="G853">
        <f>IF($E853=0,0,SUMPRODUCT($AI$6:$DF$6,'Staff Daily sales'!$G838:$CD838))</f>
        <v>0</v>
      </c>
      <c r="H853">
        <f t="shared" si="235"/>
        <v>0</v>
      </c>
      <c r="I853">
        <f t="shared" si="236"/>
        <v>0</v>
      </c>
      <c r="J853">
        <f t="shared" si="237"/>
        <v>0</v>
      </c>
      <c r="K853">
        <f t="shared" si="238"/>
        <v>0</v>
      </c>
      <c r="L853">
        <f>--AND($E853=1,OR('Staff Dashboard'!$B$6="All",$DH853='Staff Dashboard'!$B$6),OR('Staff Dashboard'!$B$7="All",$D853='Staff Dashboard'!$B$7),OR('Staff Dashboard'!$B$8="All",$A853='Staff Dashboard'!$B$8))</f>
        <v>0</v>
      </c>
      <c r="M853">
        <f>IF($E853=0,0,SUMPRODUCT($AI$7:$DF$7,'Staff Daily sales'!$G838:$CD838))</f>
        <v>0</v>
      </c>
      <c r="N853">
        <f>IF($E853=0,0,SUMPRODUCT($AI$8:$DF$8,'Staff Daily sales'!$G838:$CD838))</f>
        <v>0</v>
      </c>
      <c r="O853">
        <f>IF($E853=0,0,SUMPRODUCT($AI$9:$DF$9,'Staff Daily sales'!$G838:$CD838))</f>
        <v>0</v>
      </c>
      <c r="P853">
        <f>IF($E853=0,0,SUMPRODUCT($AI$10:$DF$10,'Staff Daily sales'!$G838:$CD838))</f>
        <v>0</v>
      </c>
      <c r="Q853">
        <f>IF($E853=0,0,SUMPRODUCT($AI$11:$DF$11,'Staff Daily sales'!$G838:$CD838))</f>
        <v>0</v>
      </c>
      <c r="R853">
        <f>IF($E853=0,0,SUMPRODUCT($AI$12:$DF$12,'Staff Daily sales'!$G838:$CD838))</f>
        <v>0</v>
      </c>
      <c r="S853">
        <f>IF($E853=0,0,SUMPRODUCT($AI$13:$DF$13,'Staff Daily sales'!$G838:$CD838))</f>
        <v>0</v>
      </c>
      <c r="T853">
        <f>IF($E853=0,0,SUMPRODUCT($AI$14:$DF$14,'Staff Daily sales'!$G838:$CD838))</f>
        <v>0</v>
      </c>
      <c r="U853">
        <f>IF($E853=0,0,SUMPRODUCT($AI$15:$DF$15,'Staff Daily sales'!$G838:$CD838))</f>
        <v>0</v>
      </c>
      <c r="V853">
        <f>IF($E853=0,0,SUMPRODUCT($AI$16:$DF$16,'Staff Daily sales'!$G838:$CD838))</f>
        <v>0</v>
      </c>
      <c r="W853">
        <f t="shared" si="239"/>
        <v>0</v>
      </c>
      <c r="X853">
        <f t="shared" si="240"/>
        <v>0</v>
      </c>
      <c r="Y853">
        <f t="shared" si="241"/>
        <v>0</v>
      </c>
      <c r="Z853">
        <f t="shared" si="242"/>
        <v>0</v>
      </c>
      <c r="AA853">
        <f t="shared" si="243"/>
        <v>0</v>
      </c>
      <c r="AB853">
        <f>--AND($E853=1,OR('Staff Weekly Trend'!$B$3="All",$DH853='Staff Weekly Trend'!$B$3),OR('Staff Weekly Trend'!$B$4="All",$D853='Staff Weekly Trend'!$B$4),OR('Staff Weekly Trend'!$B$5="All",$A853='Staff Weekly Trend'!$B$5))</f>
        <v>0</v>
      </c>
      <c r="AC853" t="str">
        <f t="shared" si="244"/>
        <v/>
      </c>
      <c r="AI853">
        <f t="shared" si="245"/>
        <v>0</v>
      </c>
      <c r="AJ853">
        <f t="shared" si="246"/>
        <v>0</v>
      </c>
      <c r="AK853">
        <f t="shared" si="247"/>
        <v>0</v>
      </c>
      <c r="AL853">
        <f t="shared" si="248"/>
        <v>0</v>
      </c>
      <c r="AM853">
        <f t="shared" si="249"/>
        <v>0</v>
      </c>
      <c r="DH853" t="str" cm="1">
        <f t="array" ref="DH853">IF($A853="","",_xlfn.LET(_xlpm.c,IFERROR(_xlfn.XLOOKUP($A853,TRIM('Sales and count'!$A$4:$A$300&amp;""),TRIM('Sales and count'!$B$4:$B$300&amp;"")),""),IF(OR(_xlpm.c="",_xlpm.c="0",LEFT(_xlpm.c,1)="#"),"Not set",_xlpm.c)))</f>
        <v/>
      </c>
    </row>
    <row r="854" spans="1:112" x14ac:dyDescent="0.25">
      <c r="A854" t="str">
        <f>IF('Staff Daily sales'!$B839="","",TRIM('Staff Daily sales'!$B839&amp;""))</f>
        <v/>
      </c>
      <c r="B854" t="str">
        <f>IF('Staff Daily sales'!$D839="","",TRIM('Staff Daily sales'!$D839&amp;""))</f>
        <v/>
      </c>
      <c r="C854" t="str">
        <f>IFERROR(TRIM('Staff Daily sales'!$E839&amp;""),"")</f>
        <v/>
      </c>
      <c r="D854" t="str">
        <f>IFERROR(IF(TRIM('Staff Daily sales'!$F839&amp;"")="","Unassigned",TRIM('Staff Daily sales'!$F839&amp;"")),"Unassigned")</f>
        <v>Unassigned</v>
      </c>
      <c r="E854">
        <f t="shared" si="234"/>
        <v>0</v>
      </c>
      <c r="F854">
        <f>IF($E854=0,0,SUMPRODUCT($AI$5:$DF$5,'Staff Daily sales'!$G839:$CD839))</f>
        <v>0</v>
      </c>
      <c r="G854">
        <f>IF($E854=0,0,SUMPRODUCT($AI$6:$DF$6,'Staff Daily sales'!$G839:$CD839))</f>
        <v>0</v>
      </c>
      <c r="H854">
        <f t="shared" si="235"/>
        <v>0</v>
      </c>
      <c r="I854">
        <f t="shared" si="236"/>
        <v>0</v>
      </c>
      <c r="J854">
        <f t="shared" si="237"/>
        <v>0</v>
      </c>
      <c r="K854">
        <f t="shared" si="238"/>
        <v>0</v>
      </c>
      <c r="L854">
        <f>--AND($E854=1,OR('Staff Dashboard'!$B$6="All",$DH854='Staff Dashboard'!$B$6),OR('Staff Dashboard'!$B$7="All",$D854='Staff Dashboard'!$B$7),OR('Staff Dashboard'!$B$8="All",$A854='Staff Dashboard'!$B$8))</f>
        <v>0</v>
      </c>
      <c r="M854">
        <f>IF($E854=0,0,SUMPRODUCT($AI$7:$DF$7,'Staff Daily sales'!$G839:$CD839))</f>
        <v>0</v>
      </c>
      <c r="N854">
        <f>IF($E854=0,0,SUMPRODUCT($AI$8:$DF$8,'Staff Daily sales'!$G839:$CD839))</f>
        <v>0</v>
      </c>
      <c r="O854">
        <f>IF($E854=0,0,SUMPRODUCT($AI$9:$DF$9,'Staff Daily sales'!$G839:$CD839))</f>
        <v>0</v>
      </c>
      <c r="P854">
        <f>IF($E854=0,0,SUMPRODUCT($AI$10:$DF$10,'Staff Daily sales'!$G839:$CD839))</f>
        <v>0</v>
      </c>
      <c r="Q854">
        <f>IF($E854=0,0,SUMPRODUCT($AI$11:$DF$11,'Staff Daily sales'!$G839:$CD839))</f>
        <v>0</v>
      </c>
      <c r="R854">
        <f>IF($E854=0,0,SUMPRODUCT($AI$12:$DF$12,'Staff Daily sales'!$G839:$CD839))</f>
        <v>0</v>
      </c>
      <c r="S854">
        <f>IF($E854=0,0,SUMPRODUCT($AI$13:$DF$13,'Staff Daily sales'!$G839:$CD839))</f>
        <v>0</v>
      </c>
      <c r="T854">
        <f>IF($E854=0,0,SUMPRODUCT($AI$14:$DF$14,'Staff Daily sales'!$G839:$CD839))</f>
        <v>0</v>
      </c>
      <c r="U854">
        <f>IF($E854=0,0,SUMPRODUCT($AI$15:$DF$15,'Staff Daily sales'!$G839:$CD839))</f>
        <v>0</v>
      </c>
      <c r="V854">
        <f>IF($E854=0,0,SUMPRODUCT($AI$16:$DF$16,'Staff Daily sales'!$G839:$CD839))</f>
        <v>0</v>
      </c>
      <c r="W854">
        <f t="shared" si="239"/>
        <v>0</v>
      </c>
      <c r="X854">
        <f t="shared" si="240"/>
        <v>0</v>
      </c>
      <c r="Y854">
        <f t="shared" si="241"/>
        <v>0</v>
      </c>
      <c r="Z854">
        <f t="shared" si="242"/>
        <v>0</v>
      </c>
      <c r="AA854">
        <f t="shared" si="243"/>
        <v>0</v>
      </c>
      <c r="AB854">
        <f>--AND($E854=1,OR('Staff Weekly Trend'!$B$3="All",$DH854='Staff Weekly Trend'!$B$3),OR('Staff Weekly Trend'!$B$4="All",$D854='Staff Weekly Trend'!$B$4),OR('Staff Weekly Trend'!$B$5="All",$A854='Staff Weekly Trend'!$B$5))</f>
        <v>0</v>
      </c>
      <c r="AC854" t="str">
        <f t="shared" si="244"/>
        <v/>
      </c>
      <c r="AI854">
        <f t="shared" si="245"/>
        <v>0</v>
      </c>
      <c r="AJ854">
        <f t="shared" si="246"/>
        <v>0</v>
      </c>
      <c r="AK854">
        <f t="shared" si="247"/>
        <v>0</v>
      </c>
      <c r="AL854">
        <f t="shared" si="248"/>
        <v>0</v>
      </c>
      <c r="AM854">
        <f t="shared" si="249"/>
        <v>0</v>
      </c>
      <c r="DH854" t="str" cm="1">
        <f t="array" ref="DH854">IF($A854="","",_xlfn.LET(_xlpm.c,IFERROR(_xlfn.XLOOKUP($A854,TRIM('Sales and count'!$A$4:$A$300&amp;""),TRIM('Sales and count'!$B$4:$B$300&amp;"")),""),IF(OR(_xlpm.c="",_xlpm.c="0",LEFT(_xlpm.c,1)="#"),"Not set",_xlpm.c)))</f>
        <v/>
      </c>
    </row>
    <row r="855" spans="1:112" x14ac:dyDescent="0.25">
      <c r="A855" t="str">
        <f>IF('Staff Daily sales'!$B840="","",TRIM('Staff Daily sales'!$B840&amp;""))</f>
        <v/>
      </c>
      <c r="B855" t="str">
        <f>IF('Staff Daily sales'!$D840="","",TRIM('Staff Daily sales'!$D840&amp;""))</f>
        <v/>
      </c>
      <c r="C855" t="str">
        <f>IFERROR(TRIM('Staff Daily sales'!$E840&amp;""),"")</f>
        <v/>
      </c>
      <c r="D855" t="str">
        <f>IFERROR(IF(TRIM('Staff Daily sales'!$F840&amp;"")="","Unassigned",TRIM('Staff Daily sales'!$F840&amp;"")),"Unassigned")</f>
        <v>Unassigned</v>
      </c>
      <c r="E855">
        <f t="shared" si="234"/>
        <v>0</v>
      </c>
      <c r="F855">
        <f>IF($E855=0,0,SUMPRODUCT($AI$5:$DF$5,'Staff Daily sales'!$G840:$CD840))</f>
        <v>0</v>
      </c>
      <c r="G855">
        <f>IF($E855=0,0,SUMPRODUCT($AI$6:$DF$6,'Staff Daily sales'!$G840:$CD840))</f>
        <v>0</v>
      </c>
      <c r="H855">
        <f t="shared" si="235"/>
        <v>0</v>
      </c>
      <c r="I855">
        <f t="shared" si="236"/>
        <v>0</v>
      </c>
      <c r="J855">
        <f t="shared" si="237"/>
        <v>0</v>
      </c>
      <c r="K855">
        <f t="shared" si="238"/>
        <v>0</v>
      </c>
      <c r="L855">
        <f>--AND($E855=1,OR('Staff Dashboard'!$B$6="All",$DH855='Staff Dashboard'!$B$6),OR('Staff Dashboard'!$B$7="All",$D855='Staff Dashboard'!$B$7),OR('Staff Dashboard'!$B$8="All",$A855='Staff Dashboard'!$B$8))</f>
        <v>0</v>
      </c>
      <c r="M855">
        <f>IF($E855=0,0,SUMPRODUCT($AI$7:$DF$7,'Staff Daily sales'!$G840:$CD840))</f>
        <v>0</v>
      </c>
      <c r="N855">
        <f>IF($E855=0,0,SUMPRODUCT($AI$8:$DF$8,'Staff Daily sales'!$G840:$CD840))</f>
        <v>0</v>
      </c>
      <c r="O855">
        <f>IF($E855=0,0,SUMPRODUCT($AI$9:$DF$9,'Staff Daily sales'!$G840:$CD840))</f>
        <v>0</v>
      </c>
      <c r="P855">
        <f>IF($E855=0,0,SUMPRODUCT($AI$10:$DF$10,'Staff Daily sales'!$G840:$CD840))</f>
        <v>0</v>
      </c>
      <c r="Q855">
        <f>IF($E855=0,0,SUMPRODUCT($AI$11:$DF$11,'Staff Daily sales'!$G840:$CD840))</f>
        <v>0</v>
      </c>
      <c r="R855">
        <f>IF($E855=0,0,SUMPRODUCT($AI$12:$DF$12,'Staff Daily sales'!$G840:$CD840))</f>
        <v>0</v>
      </c>
      <c r="S855">
        <f>IF($E855=0,0,SUMPRODUCT($AI$13:$DF$13,'Staff Daily sales'!$G840:$CD840))</f>
        <v>0</v>
      </c>
      <c r="T855">
        <f>IF($E855=0,0,SUMPRODUCT($AI$14:$DF$14,'Staff Daily sales'!$G840:$CD840))</f>
        <v>0</v>
      </c>
      <c r="U855">
        <f>IF($E855=0,0,SUMPRODUCT($AI$15:$DF$15,'Staff Daily sales'!$G840:$CD840))</f>
        <v>0</v>
      </c>
      <c r="V855">
        <f>IF($E855=0,0,SUMPRODUCT($AI$16:$DF$16,'Staff Daily sales'!$G840:$CD840))</f>
        <v>0</v>
      </c>
      <c r="W855">
        <f t="shared" si="239"/>
        <v>0</v>
      </c>
      <c r="X855">
        <f t="shared" si="240"/>
        <v>0</v>
      </c>
      <c r="Y855">
        <f t="shared" si="241"/>
        <v>0</v>
      </c>
      <c r="Z855">
        <f t="shared" si="242"/>
        <v>0</v>
      </c>
      <c r="AA855">
        <f t="shared" si="243"/>
        <v>0</v>
      </c>
      <c r="AB855">
        <f>--AND($E855=1,OR('Staff Weekly Trend'!$B$3="All",$DH855='Staff Weekly Trend'!$B$3),OR('Staff Weekly Trend'!$B$4="All",$D855='Staff Weekly Trend'!$B$4),OR('Staff Weekly Trend'!$B$5="All",$A855='Staff Weekly Trend'!$B$5))</f>
        <v>0</v>
      </c>
      <c r="AC855" t="str">
        <f t="shared" si="244"/>
        <v/>
      </c>
      <c r="AI855">
        <f t="shared" si="245"/>
        <v>0</v>
      </c>
      <c r="AJ855">
        <f t="shared" si="246"/>
        <v>0</v>
      </c>
      <c r="AK855">
        <f t="shared" si="247"/>
        <v>0</v>
      </c>
      <c r="AL855">
        <f t="shared" si="248"/>
        <v>0</v>
      </c>
      <c r="AM855">
        <f t="shared" si="249"/>
        <v>0</v>
      </c>
      <c r="DH855" t="str" cm="1">
        <f t="array" ref="DH855">IF($A855="","",_xlfn.LET(_xlpm.c,IFERROR(_xlfn.XLOOKUP($A855,TRIM('Sales and count'!$A$4:$A$300&amp;""),TRIM('Sales and count'!$B$4:$B$300&amp;"")),""),IF(OR(_xlpm.c="",_xlpm.c="0",LEFT(_xlpm.c,1)="#"),"Not set",_xlpm.c)))</f>
        <v/>
      </c>
    </row>
    <row r="856" spans="1:112" x14ac:dyDescent="0.25">
      <c r="A856" t="str">
        <f>IF('Staff Daily sales'!$B841="","",TRIM('Staff Daily sales'!$B841&amp;""))</f>
        <v/>
      </c>
      <c r="B856" t="str">
        <f>IF('Staff Daily sales'!$D841="","",TRIM('Staff Daily sales'!$D841&amp;""))</f>
        <v/>
      </c>
      <c r="C856" t="str">
        <f>IFERROR(TRIM('Staff Daily sales'!$E841&amp;""),"")</f>
        <v/>
      </c>
      <c r="D856" t="str">
        <f>IFERROR(IF(TRIM('Staff Daily sales'!$F841&amp;"")="","Unassigned",TRIM('Staff Daily sales'!$F841&amp;"")),"Unassigned")</f>
        <v>Unassigned</v>
      </c>
      <c r="E856">
        <f t="shared" si="234"/>
        <v>0</v>
      </c>
      <c r="F856">
        <f>IF($E856=0,0,SUMPRODUCT($AI$5:$DF$5,'Staff Daily sales'!$G841:$CD841))</f>
        <v>0</v>
      </c>
      <c r="G856">
        <f>IF($E856=0,0,SUMPRODUCT($AI$6:$DF$6,'Staff Daily sales'!$G841:$CD841))</f>
        <v>0</v>
      </c>
      <c r="H856">
        <f t="shared" si="235"/>
        <v>0</v>
      </c>
      <c r="I856">
        <f t="shared" si="236"/>
        <v>0</v>
      </c>
      <c r="J856">
        <f t="shared" si="237"/>
        <v>0</v>
      </c>
      <c r="K856">
        <f t="shared" si="238"/>
        <v>0</v>
      </c>
      <c r="L856">
        <f>--AND($E856=1,OR('Staff Dashboard'!$B$6="All",$DH856='Staff Dashboard'!$B$6),OR('Staff Dashboard'!$B$7="All",$D856='Staff Dashboard'!$B$7),OR('Staff Dashboard'!$B$8="All",$A856='Staff Dashboard'!$B$8))</f>
        <v>0</v>
      </c>
      <c r="M856">
        <f>IF($E856=0,0,SUMPRODUCT($AI$7:$DF$7,'Staff Daily sales'!$G841:$CD841))</f>
        <v>0</v>
      </c>
      <c r="N856">
        <f>IF($E856=0,0,SUMPRODUCT($AI$8:$DF$8,'Staff Daily sales'!$G841:$CD841))</f>
        <v>0</v>
      </c>
      <c r="O856">
        <f>IF($E856=0,0,SUMPRODUCT($AI$9:$DF$9,'Staff Daily sales'!$G841:$CD841))</f>
        <v>0</v>
      </c>
      <c r="P856">
        <f>IF($E856=0,0,SUMPRODUCT($AI$10:$DF$10,'Staff Daily sales'!$G841:$CD841))</f>
        <v>0</v>
      </c>
      <c r="Q856">
        <f>IF($E856=0,0,SUMPRODUCT($AI$11:$DF$11,'Staff Daily sales'!$G841:$CD841))</f>
        <v>0</v>
      </c>
      <c r="R856">
        <f>IF($E856=0,0,SUMPRODUCT($AI$12:$DF$12,'Staff Daily sales'!$G841:$CD841))</f>
        <v>0</v>
      </c>
      <c r="S856">
        <f>IF($E856=0,0,SUMPRODUCT($AI$13:$DF$13,'Staff Daily sales'!$G841:$CD841))</f>
        <v>0</v>
      </c>
      <c r="T856">
        <f>IF($E856=0,0,SUMPRODUCT($AI$14:$DF$14,'Staff Daily sales'!$G841:$CD841))</f>
        <v>0</v>
      </c>
      <c r="U856">
        <f>IF($E856=0,0,SUMPRODUCT($AI$15:$DF$15,'Staff Daily sales'!$G841:$CD841))</f>
        <v>0</v>
      </c>
      <c r="V856">
        <f>IF($E856=0,0,SUMPRODUCT($AI$16:$DF$16,'Staff Daily sales'!$G841:$CD841))</f>
        <v>0</v>
      </c>
      <c r="W856">
        <f t="shared" si="239"/>
        <v>0</v>
      </c>
      <c r="X856">
        <f t="shared" si="240"/>
        <v>0</v>
      </c>
      <c r="Y856">
        <f t="shared" si="241"/>
        <v>0</v>
      </c>
      <c r="Z856">
        <f t="shared" si="242"/>
        <v>0</v>
      </c>
      <c r="AA856">
        <f t="shared" si="243"/>
        <v>0</v>
      </c>
      <c r="AB856">
        <f>--AND($E856=1,OR('Staff Weekly Trend'!$B$3="All",$DH856='Staff Weekly Trend'!$B$3),OR('Staff Weekly Trend'!$B$4="All",$D856='Staff Weekly Trend'!$B$4),OR('Staff Weekly Trend'!$B$5="All",$A856='Staff Weekly Trend'!$B$5))</f>
        <v>0</v>
      </c>
      <c r="AC856" t="str">
        <f t="shared" si="244"/>
        <v/>
      </c>
      <c r="AI856">
        <f t="shared" si="245"/>
        <v>0</v>
      </c>
      <c r="AJ856">
        <f t="shared" si="246"/>
        <v>0</v>
      </c>
      <c r="AK856">
        <f t="shared" si="247"/>
        <v>0</v>
      </c>
      <c r="AL856">
        <f t="shared" si="248"/>
        <v>0</v>
      </c>
      <c r="AM856">
        <f t="shared" si="249"/>
        <v>0</v>
      </c>
      <c r="DH856" t="str" cm="1">
        <f t="array" ref="DH856">IF($A856="","",_xlfn.LET(_xlpm.c,IFERROR(_xlfn.XLOOKUP($A856,TRIM('Sales and count'!$A$4:$A$300&amp;""),TRIM('Sales and count'!$B$4:$B$300&amp;"")),""),IF(OR(_xlpm.c="",_xlpm.c="0",LEFT(_xlpm.c,1)="#"),"Not set",_xlpm.c)))</f>
        <v/>
      </c>
    </row>
    <row r="857" spans="1:112" x14ac:dyDescent="0.25">
      <c r="A857" t="str">
        <f>IF('Staff Daily sales'!$B842="","",TRIM('Staff Daily sales'!$B842&amp;""))</f>
        <v/>
      </c>
      <c r="B857" t="str">
        <f>IF('Staff Daily sales'!$D842="","",TRIM('Staff Daily sales'!$D842&amp;""))</f>
        <v/>
      </c>
      <c r="C857" t="str">
        <f>IFERROR(TRIM('Staff Daily sales'!$E842&amp;""),"")</f>
        <v/>
      </c>
      <c r="D857" t="str">
        <f>IFERROR(IF(TRIM('Staff Daily sales'!$F842&amp;"")="","Unassigned",TRIM('Staff Daily sales'!$F842&amp;"")),"Unassigned")</f>
        <v>Unassigned</v>
      </c>
      <c r="E857">
        <f t="shared" si="234"/>
        <v>0</v>
      </c>
      <c r="F857">
        <f>IF($E857=0,0,SUMPRODUCT($AI$5:$DF$5,'Staff Daily sales'!$G842:$CD842))</f>
        <v>0</v>
      </c>
      <c r="G857">
        <f>IF($E857=0,0,SUMPRODUCT($AI$6:$DF$6,'Staff Daily sales'!$G842:$CD842))</f>
        <v>0</v>
      </c>
      <c r="H857">
        <f t="shared" si="235"/>
        <v>0</v>
      </c>
      <c r="I857">
        <f t="shared" si="236"/>
        <v>0</v>
      </c>
      <c r="J857">
        <f t="shared" si="237"/>
        <v>0</v>
      </c>
      <c r="K857">
        <f t="shared" si="238"/>
        <v>0</v>
      </c>
      <c r="L857">
        <f>--AND($E857=1,OR('Staff Dashboard'!$B$6="All",$DH857='Staff Dashboard'!$B$6),OR('Staff Dashboard'!$B$7="All",$D857='Staff Dashboard'!$B$7),OR('Staff Dashboard'!$B$8="All",$A857='Staff Dashboard'!$B$8))</f>
        <v>0</v>
      </c>
      <c r="M857">
        <f>IF($E857=0,0,SUMPRODUCT($AI$7:$DF$7,'Staff Daily sales'!$G842:$CD842))</f>
        <v>0</v>
      </c>
      <c r="N857">
        <f>IF($E857=0,0,SUMPRODUCT($AI$8:$DF$8,'Staff Daily sales'!$G842:$CD842))</f>
        <v>0</v>
      </c>
      <c r="O857">
        <f>IF($E857=0,0,SUMPRODUCT($AI$9:$DF$9,'Staff Daily sales'!$G842:$CD842))</f>
        <v>0</v>
      </c>
      <c r="P857">
        <f>IF($E857=0,0,SUMPRODUCT($AI$10:$DF$10,'Staff Daily sales'!$G842:$CD842))</f>
        <v>0</v>
      </c>
      <c r="Q857">
        <f>IF($E857=0,0,SUMPRODUCT($AI$11:$DF$11,'Staff Daily sales'!$G842:$CD842))</f>
        <v>0</v>
      </c>
      <c r="R857">
        <f>IF($E857=0,0,SUMPRODUCT($AI$12:$DF$12,'Staff Daily sales'!$G842:$CD842))</f>
        <v>0</v>
      </c>
      <c r="S857">
        <f>IF($E857=0,0,SUMPRODUCT($AI$13:$DF$13,'Staff Daily sales'!$G842:$CD842))</f>
        <v>0</v>
      </c>
      <c r="T857">
        <f>IF($E857=0,0,SUMPRODUCT($AI$14:$DF$14,'Staff Daily sales'!$G842:$CD842))</f>
        <v>0</v>
      </c>
      <c r="U857">
        <f>IF($E857=0,0,SUMPRODUCT($AI$15:$DF$15,'Staff Daily sales'!$G842:$CD842))</f>
        <v>0</v>
      </c>
      <c r="V857">
        <f>IF($E857=0,0,SUMPRODUCT($AI$16:$DF$16,'Staff Daily sales'!$G842:$CD842))</f>
        <v>0</v>
      </c>
      <c r="W857">
        <f t="shared" si="239"/>
        <v>0</v>
      </c>
      <c r="X857">
        <f t="shared" si="240"/>
        <v>0</v>
      </c>
      <c r="Y857">
        <f t="shared" si="241"/>
        <v>0</v>
      </c>
      <c r="Z857">
        <f t="shared" si="242"/>
        <v>0</v>
      </c>
      <c r="AA857">
        <f t="shared" si="243"/>
        <v>0</v>
      </c>
      <c r="AB857">
        <f>--AND($E857=1,OR('Staff Weekly Trend'!$B$3="All",$DH857='Staff Weekly Trend'!$B$3),OR('Staff Weekly Trend'!$B$4="All",$D857='Staff Weekly Trend'!$B$4),OR('Staff Weekly Trend'!$B$5="All",$A857='Staff Weekly Trend'!$B$5))</f>
        <v>0</v>
      </c>
      <c r="AC857" t="str">
        <f t="shared" si="244"/>
        <v/>
      </c>
      <c r="AI857">
        <f t="shared" si="245"/>
        <v>0</v>
      </c>
      <c r="AJ857">
        <f t="shared" si="246"/>
        <v>0</v>
      </c>
      <c r="AK857">
        <f t="shared" si="247"/>
        <v>0</v>
      </c>
      <c r="AL857">
        <f t="shared" si="248"/>
        <v>0</v>
      </c>
      <c r="AM857">
        <f t="shared" si="249"/>
        <v>0</v>
      </c>
      <c r="DH857" t="str" cm="1">
        <f t="array" ref="DH857">IF($A857="","",_xlfn.LET(_xlpm.c,IFERROR(_xlfn.XLOOKUP($A857,TRIM('Sales and count'!$A$4:$A$300&amp;""),TRIM('Sales and count'!$B$4:$B$300&amp;"")),""),IF(OR(_xlpm.c="",_xlpm.c="0",LEFT(_xlpm.c,1)="#"),"Not set",_xlpm.c)))</f>
        <v/>
      </c>
    </row>
    <row r="858" spans="1:112" x14ac:dyDescent="0.25">
      <c r="A858" t="str">
        <f>IF('Staff Daily sales'!$B843="","",TRIM('Staff Daily sales'!$B843&amp;""))</f>
        <v/>
      </c>
      <c r="B858" t="str">
        <f>IF('Staff Daily sales'!$D843="","",TRIM('Staff Daily sales'!$D843&amp;""))</f>
        <v/>
      </c>
      <c r="C858" t="str">
        <f>IFERROR(TRIM('Staff Daily sales'!$E843&amp;""),"")</f>
        <v/>
      </c>
      <c r="D858" t="str">
        <f>IFERROR(IF(TRIM('Staff Daily sales'!$F843&amp;"")="","Unassigned",TRIM('Staff Daily sales'!$F843&amp;"")),"Unassigned")</f>
        <v>Unassigned</v>
      </c>
      <c r="E858">
        <f t="shared" si="234"/>
        <v>0</v>
      </c>
      <c r="F858">
        <f>IF($E858=0,0,SUMPRODUCT($AI$5:$DF$5,'Staff Daily sales'!$G843:$CD843))</f>
        <v>0</v>
      </c>
      <c r="G858">
        <f>IF($E858=0,0,SUMPRODUCT($AI$6:$DF$6,'Staff Daily sales'!$G843:$CD843))</f>
        <v>0</v>
      </c>
      <c r="H858">
        <f t="shared" si="235"/>
        <v>0</v>
      </c>
      <c r="I858">
        <f t="shared" si="236"/>
        <v>0</v>
      </c>
      <c r="J858">
        <f t="shared" si="237"/>
        <v>0</v>
      </c>
      <c r="K858">
        <f t="shared" si="238"/>
        <v>0</v>
      </c>
      <c r="L858">
        <f>--AND($E858=1,OR('Staff Dashboard'!$B$6="All",$DH858='Staff Dashboard'!$B$6),OR('Staff Dashboard'!$B$7="All",$D858='Staff Dashboard'!$B$7),OR('Staff Dashboard'!$B$8="All",$A858='Staff Dashboard'!$B$8))</f>
        <v>0</v>
      </c>
      <c r="M858">
        <f>IF($E858=0,0,SUMPRODUCT($AI$7:$DF$7,'Staff Daily sales'!$G843:$CD843))</f>
        <v>0</v>
      </c>
      <c r="N858">
        <f>IF($E858=0,0,SUMPRODUCT($AI$8:$DF$8,'Staff Daily sales'!$G843:$CD843))</f>
        <v>0</v>
      </c>
      <c r="O858">
        <f>IF($E858=0,0,SUMPRODUCT($AI$9:$DF$9,'Staff Daily sales'!$G843:$CD843))</f>
        <v>0</v>
      </c>
      <c r="P858">
        <f>IF($E858=0,0,SUMPRODUCT($AI$10:$DF$10,'Staff Daily sales'!$G843:$CD843))</f>
        <v>0</v>
      </c>
      <c r="Q858">
        <f>IF($E858=0,0,SUMPRODUCT($AI$11:$DF$11,'Staff Daily sales'!$G843:$CD843))</f>
        <v>0</v>
      </c>
      <c r="R858">
        <f>IF($E858=0,0,SUMPRODUCT($AI$12:$DF$12,'Staff Daily sales'!$G843:$CD843))</f>
        <v>0</v>
      </c>
      <c r="S858">
        <f>IF($E858=0,0,SUMPRODUCT($AI$13:$DF$13,'Staff Daily sales'!$G843:$CD843))</f>
        <v>0</v>
      </c>
      <c r="T858">
        <f>IF($E858=0,0,SUMPRODUCT($AI$14:$DF$14,'Staff Daily sales'!$G843:$CD843))</f>
        <v>0</v>
      </c>
      <c r="U858">
        <f>IF($E858=0,0,SUMPRODUCT($AI$15:$DF$15,'Staff Daily sales'!$G843:$CD843))</f>
        <v>0</v>
      </c>
      <c r="V858">
        <f>IF($E858=0,0,SUMPRODUCT($AI$16:$DF$16,'Staff Daily sales'!$G843:$CD843))</f>
        <v>0</v>
      </c>
      <c r="W858">
        <f t="shared" si="239"/>
        <v>0</v>
      </c>
      <c r="X858">
        <f t="shared" si="240"/>
        <v>0</v>
      </c>
      <c r="Y858">
        <f t="shared" si="241"/>
        <v>0</v>
      </c>
      <c r="Z858">
        <f t="shared" si="242"/>
        <v>0</v>
      </c>
      <c r="AA858">
        <f t="shared" si="243"/>
        <v>0</v>
      </c>
      <c r="AB858">
        <f>--AND($E858=1,OR('Staff Weekly Trend'!$B$3="All",$DH858='Staff Weekly Trend'!$B$3),OR('Staff Weekly Trend'!$B$4="All",$D858='Staff Weekly Trend'!$B$4),OR('Staff Weekly Trend'!$B$5="All",$A858='Staff Weekly Trend'!$B$5))</f>
        <v>0</v>
      </c>
      <c r="AC858" t="str">
        <f t="shared" si="244"/>
        <v/>
      </c>
      <c r="AI858">
        <f t="shared" si="245"/>
        <v>0</v>
      </c>
      <c r="AJ858">
        <f t="shared" si="246"/>
        <v>0</v>
      </c>
      <c r="AK858">
        <f t="shared" si="247"/>
        <v>0</v>
      </c>
      <c r="AL858">
        <f t="shared" si="248"/>
        <v>0</v>
      </c>
      <c r="AM858">
        <f t="shared" si="249"/>
        <v>0</v>
      </c>
      <c r="DH858" t="str" cm="1">
        <f t="array" ref="DH858">IF($A858="","",_xlfn.LET(_xlpm.c,IFERROR(_xlfn.XLOOKUP($A858,TRIM('Sales and count'!$A$4:$A$300&amp;""),TRIM('Sales and count'!$B$4:$B$300&amp;"")),""),IF(OR(_xlpm.c="",_xlpm.c="0",LEFT(_xlpm.c,1)="#"),"Not set",_xlpm.c)))</f>
        <v/>
      </c>
    </row>
    <row r="859" spans="1:112" x14ac:dyDescent="0.25">
      <c r="A859" t="str">
        <f>IF('Staff Daily sales'!$B844="","",TRIM('Staff Daily sales'!$B844&amp;""))</f>
        <v/>
      </c>
      <c r="B859" t="str">
        <f>IF('Staff Daily sales'!$D844="","",TRIM('Staff Daily sales'!$D844&amp;""))</f>
        <v/>
      </c>
      <c r="C859" t="str">
        <f>IFERROR(TRIM('Staff Daily sales'!$E844&amp;""),"")</f>
        <v/>
      </c>
      <c r="D859" t="str">
        <f>IFERROR(IF(TRIM('Staff Daily sales'!$F844&amp;"")="","Unassigned",TRIM('Staff Daily sales'!$F844&amp;"")),"Unassigned")</f>
        <v>Unassigned</v>
      </c>
      <c r="E859">
        <f t="shared" si="234"/>
        <v>0</v>
      </c>
      <c r="F859">
        <f>IF($E859=0,0,SUMPRODUCT($AI$5:$DF$5,'Staff Daily sales'!$G844:$CD844))</f>
        <v>0</v>
      </c>
      <c r="G859">
        <f>IF($E859=0,0,SUMPRODUCT($AI$6:$DF$6,'Staff Daily sales'!$G844:$CD844))</f>
        <v>0</v>
      </c>
      <c r="H859">
        <f t="shared" si="235"/>
        <v>0</v>
      </c>
      <c r="I859">
        <f t="shared" si="236"/>
        <v>0</v>
      </c>
      <c r="J859">
        <f t="shared" si="237"/>
        <v>0</v>
      </c>
      <c r="K859">
        <f t="shared" si="238"/>
        <v>0</v>
      </c>
      <c r="L859">
        <f>--AND($E859=1,OR('Staff Dashboard'!$B$6="All",$DH859='Staff Dashboard'!$B$6),OR('Staff Dashboard'!$B$7="All",$D859='Staff Dashboard'!$B$7),OR('Staff Dashboard'!$B$8="All",$A859='Staff Dashboard'!$B$8))</f>
        <v>0</v>
      </c>
      <c r="M859">
        <f>IF($E859=0,0,SUMPRODUCT($AI$7:$DF$7,'Staff Daily sales'!$G844:$CD844))</f>
        <v>0</v>
      </c>
      <c r="N859">
        <f>IF($E859=0,0,SUMPRODUCT($AI$8:$DF$8,'Staff Daily sales'!$G844:$CD844))</f>
        <v>0</v>
      </c>
      <c r="O859">
        <f>IF($E859=0,0,SUMPRODUCT($AI$9:$DF$9,'Staff Daily sales'!$G844:$CD844))</f>
        <v>0</v>
      </c>
      <c r="P859">
        <f>IF($E859=0,0,SUMPRODUCT($AI$10:$DF$10,'Staff Daily sales'!$G844:$CD844))</f>
        <v>0</v>
      </c>
      <c r="Q859">
        <f>IF($E859=0,0,SUMPRODUCT($AI$11:$DF$11,'Staff Daily sales'!$G844:$CD844))</f>
        <v>0</v>
      </c>
      <c r="R859">
        <f>IF($E859=0,0,SUMPRODUCT($AI$12:$DF$12,'Staff Daily sales'!$G844:$CD844))</f>
        <v>0</v>
      </c>
      <c r="S859">
        <f>IF($E859=0,0,SUMPRODUCT($AI$13:$DF$13,'Staff Daily sales'!$G844:$CD844))</f>
        <v>0</v>
      </c>
      <c r="T859">
        <f>IF($E859=0,0,SUMPRODUCT($AI$14:$DF$14,'Staff Daily sales'!$G844:$CD844))</f>
        <v>0</v>
      </c>
      <c r="U859">
        <f>IF($E859=0,0,SUMPRODUCT($AI$15:$DF$15,'Staff Daily sales'!$G844:$CD844))</f>
        <v>0</v>
      </c>
      <c r="V859">
        <f>IF($E859=0,0,SUMPRODUCT($AI$16:$DF$16,'Staff Daily sales'!$G844:$CD844))</f>
        <v>0</v>
      </c>
      <c r="W859">
        <f t="shared" si="239"/>
        <v>0</v>
      </c>
      <c r="X859">
        <f t="shared" si="240"/>
        <v>0</v>
      </c>
      <c r="Y859">
        <f t="shared" si="241"/>
        <v>0</v>
      </c>
      <c r="Z859">
        <f t="shared" si="242"/>
        <v>0</v>
      </c>
      <c r="AA859">
        <f t="shared" si="243"/>
        <v>0</v>
      </c>
      <c r="AB859">
        <f>--AND($E859=1,OR('Staff Weekly Trend'!$B$3="All",$DH859='Staff Weekly Trend'!$B$3),OR('Staff Weekly Trend'!$B$4="All",$D859='Staff Weekly Trend'!$B$4),OR('Staff Weekly Trend'!$B$5="All",$A859='Staff Weekly Trend'!$B$5))</f>
        <v>0</v>
      </c>
      <c r="AC859" t="str">
        <f t="shared" si="244"/>
        <v/>
      </c>
      <c r="AI859">
        <f t="shared" si="245"/>
        <v>0</v>
      </c>
      <c r="AJ859">
        <f t="shared" si="246"/>
        <v>0</v>
      </c>
      <c r="AK859">
        <f t="shared" si="247"/>
        <v>0</v>
      </c>
      <c r="AL859">
        <f t="shared" si="248"/>
        <v>0</v>
      </c>
      <c r="AM859">
        <f t="shared" si="249"/>
        <v>0</v>
      </c>
      <c r="DH859" t="str" cm="1">
        <f t="array" ref="DH859">IF($A859="","",_xlfn.LET(_xlpm.c,IFERROR(_xlfn.XLOOKUP($A859,TRIM('Sales and count'!$A$4:$A$300&amp;""),TRIM('Sales and count'!$B$4:$B$300&amp;"")),""),IF(OR(_xlpm.c="",_xlpm.c="0",LEFT(_xlpm.c,1)="#"),"Not set",_xlpm.c)))</f>
        <v/>
      </c>
    </row>
    <row r="860" spans="1:112" x14ac:dyDescent="0.25">
      <c r="A860" t="str">
        <f>IF('Staff Daily sales'!$B845="","",TRIM('Staff Daily sales'!$B845&amp;""))</f>
        <v/>
      </c>
      <c r="B860" t="str">
        <f>IF('Staff Daily sales'!$D845="","",TRIM('Staff Daily sales'!$D845&amp;""))</f>
        <v/>
      </c>
      <c r="C860" t="str">
        <f>IFERROR(TRIM('Staff Daily sales'!$E845&amp;""),"")</f>
        <v/>
      </c>
      <c r="D860" t="str">
        <f>IFERROR(IF(TRIM('Staff Daily sales'!$F845&amp;"")="","Unassigned",TRIM('Staff Daily sales'!$F845&amp;"")),"Unassigned")</f>
        <v>Unassigned</v>
      </c>
      <c r="E860">
        <f t="shared" si="234"/>
        <v>0</v>
      </c>
      <c r="F860">
        <f>IF($E860=0,0,SUMPRODUCT($AI$5:$DF$5,'Staff Daily sales'!$G845:$CD845))</f>
        <v>0</v>
      </c>
      <c r="G860">
        <f>IF($E860=0,0,SUMPRODUCT($AI$6:$DF$6,'Staff Daily sales'!$G845:$CD845))</f>
        <v>0</v>
      </c>
      <c r="H860">
        <f t="shared" si="235"/>
        <v>0</v>
      </c>
      <c r="I860">
        <f t="shared" si="236"/>
        <v>0</v>
      </c>
      <c r="J860">
        <f t="shared" si="237"/>
        <v>0</v>
      </c>
      <c r="K860">
        <f t="shared" si="238"/>
        <v>0</v>
      </c>
      <c r="L860">
        <f>--AND($E860=1,OR('Staff Dashboard'!$B$6="All",$DH860='Staff Dashboard'!$B$6),OR('Staff Dashboard'!$B$7="All",$D860='Staff Dashboard'!$B$7),OR('Staff Dashboard'!$B$8="All",$A860='Staff Dashboard'!$B$8))</f>
        <v>0</v>
      </c>
      <c r="M860">
        <f>IF($E860=0,0,SUMPRODUCT($AI$7:$DF$7,'Staff Daily sales'!$G845:$CD845))</f>
        <v>0</v>
      </c>
      <c r="N860">
        <f>IF($E860=0,0,SUMPRODUCT($AI$8:$DF$8,'Staff Daily sales'!$G845:$CD845))</f>
        <v>0</v>
      </c>
      <c r="O860">
        <f>IF($E860=0,0,SUMPRODUCT($AI$9:$DF$9,'Staff Daily sales'!$G845:$CD845))</f>
        <v>0</v>
      </c>
      <c r="P860">
        <f>IF($E860=0,0,SUMPRODUCT($AI$10:$DF$10,'Staff Daily sales'!$G845:$CD845))</f>
        <v>0</v>
      </c>
      <c r="Q860">
        <f>IF($E860=0,0,SUMPRODUCT($AI$11:$DF$11,'Staff Daily sales'!$G845:$CD845))</f>
        <v>0</v>
      </c>
      <c r="R860">
        <f>IF($E860=0,0,SUMPRODUCT($AI$12:$DF$12,'Staff Daily sales'!$G845:$CD845))</f>
        <v>0</v>
      </c>
      <c r="S860">
        <f>IF($E860=0,0,SUMPRODUCT($AI$13:$DF$13,'Staff Daily sales'!$G845:$CD845))</f>
        <v>0</v>
      </c>
      <c r="T860">
        <f>IF($E860=0,0,SUMPRODUCT($AI$14:$DF$14,'Staff Daily sales'!$G845:$CD845))</f>
        <v>0</v>
      </c>
      <c r="U860">
        <f>IF($E860=0,0,SUMPRODUCT($AI$15:$DF$15,'Staff Daily sales'!$G845:$CD845))</f>
        <v>0</v>
      </c>
      <c r="V860">
        <f>IF($E860=0,0,SUMPRODUCT($AI$16:$DF$16,'Staff Daily sales'!$G845:$CD845))</f>
        <v>0</v>
      </c>
      <c r="W860">
        <f t="shared" si="239"/>
        <v>0</v>
      </c>
      <c r="X860">
        <f t="shared" si="240"/>
        <v>0</v>
      </c>
      <c r="Y860">
        <f t="shared" si="241"/>
        <v>0</v>
      </c>
      <c r="Z860">
        <f t="shared" si="242"/>
        <v>0</v>
      </c>
      <c r="AA860">
        <f t="shared" si="243"/>
        <v>0</v>
      </c>
      <c r="AB860">
        <f>--AND($E860=1,OR('Staff Weekly Trend'!$B$3="All",$DH860='Staff Weekly Trend'!$B$3),OR('Staff Weekly Trend'!$B$4="All",$D860='Staff Weekly Trend'!$B$4),OR('Staff Weekly Trend'!$B$5="All",$A860='Staff Weekly Trend'!$B$5))</f>
        <v>0</v>
      </c>
      <c r="AC860" t="str">
        <f t="shared" si="244"/>
        <v/>
      </c>
      <c r="AI860">
        <f t="shared" si="245"/>
        <v>0</v>
      </c>
      <c r="AJ860">
        <f t="shared" si="246"/>
        <v>0</v>
      </c>
      <c r="AK860">
        <f t="shared" si="247"/>
        <v>0</v>
      </c>
      <c r="AL860">
        <f t="shared" si="248"/>
        <v>0</v>
      </c>
      <c r="AM860">
        <f t="shared" si="249"/>
        <v>0</v>
      </c>
      <c r="DH860" t="str" cm="1">
        <f t="array" ref="DH860">IF($A860="","",_xlfn.LET(_xlpm.c,IFERROR(_xlfn.XLOOKUP($A860,TRIM('Sales and count'!$A$4:$A$300&amp;""),TRIM('Sales and count'!$B$4:$B$300&amp;"")),""),IF(OR(_xlpm.c="",_xlpm.c="0",LEFT(_xlpm.c,1)="#"),"Not set",_xlpm.c)))</f>
        <v/>
      </c>
    </row>
    <row r="861" spans="1:112" x14ac:dyDescent="0.25">
      <c r="A861" t="str">
        <f>IF('Staff Daily sales'!$B846="","",TRIM('Staff Daily sales'!$B846&amp;""))</f>
        <v/>
      </c>
      <c r="B861" t="str">
        <f>IF('Staff Daily sales'!$D846="","",TRIM('Staff Daily sales'!$D846&amp;""))</f>
        <v/>
      </c>
      <c r="C861" t="str">
        <f>IFERROR(TRIM('Staff Daily sales'!$E846&amp;""),"")</f>
        <v/>
      </c>
      <c r="D861" t="str">
        <f>IFERROR(IF(TRIM('Staff Daily sales'!$F846&amp;"")="","Unassigned",TRIM('Staff Daily sales'!$F846&amp;"")),"Unassigned")</f>
        <v>Unassigned</v>
      </c>
      <c r="E861">
        <f t="shared" si="234"/>
        <v>0</v>
      </c>
      <c r="F861">
        <f>IF($E861=0,0,SUMPRODUCT($AI$5:$DF$5,'Staff Daily sales'!$G846:$CD846))</f>
        <v>0</v>
      </c>
      <c r="G861">
        <f>IF($E861=0,0,SUMPRODUCT($AI$6:$DF$6,'Staff Daily sales'!$G846:$CD846))</f>
        <v>0</v>
      </c>
      <c r="H861">
        <f t="shared" si="235"/>
        <v>0</v>
      </c>
      <c r="I861">
        <f t="shared" si="236"/>
        <v>0</v>
      </c>
      <c r="J861">
        <f t="shared" si="237"/>
        <v>0</v>
      </c>
      <c r="K861">
        <f t="shared" si="238"/>
        <v>0</v>
      </c>
      <c r="L861">
        <f>--AND($E861=1,OR('Staff Dashboard'!$B$6="All",$DH861='Staff Dashboard'!$B$6),OR('Staff Dashboard'!$B$7="All",$D861='Staff Dashboard'!$B$7),OR('Staff Dashboard'!$B$8="All",$A861='Staff Dashboard'!$B$8))</f>
        <v>0</v>
      </c>
      <c r="M861">
        <f>IF($E861=0,0,SUMPRODUCT($AI$7:$DF$7,'Staff Daily sales'!$G846:$CD846))</f>
        <v>0</v>
      </c>
      <c r="N861">
        <f>IF($E861=0,0,SUMPRODUCT($AI$8:$DF$8,'Staff Daily sales'!$G846:$CD846))</f>
        <v>0</v>
      </c>
      <c r="O861">
        <f>IF($E861=0,0,SUMPRODUCT($AI$9:$DF$9,'Staff Daily sales'!$G846:$CD846))</f>
        <v>0</v>
      </c>
      <c r="P861">
        <f>IF($E861=0,0,SUMPRODUCT($AI$10:$DF$10,'Staff Daily sales'!$G846:$CD846))</f>
        <v>0</v>
      </c>
      <c r="Q861">
        <f>IF($E861=0,0,SUMPRODUCT($AI$11:$DF$11,'Staff Daily sales'!$G846:$CD846))</f>
        <v>0</v>
      </c>
      <c r="R861">
        <f>IF($E861=0,0,SUMPRODUCT($AI$12:$DF$12,'Staff Daily sales'!$G846:$CD846))</f>
        <v>0</v>
      </c>
      <c r="S861">
        <f>IF($E861=0,0,SUMPRODUCT($AI$13:$DF$13,'Staff Daily sales'!$G846:$CD846))</f>
        <v>0</v>
      </c>
      <c r="T861">
        <f>IF($E861=0,0,SUMPRODUCT($AI$14:$DF$14,'Staff Daily sales'!$G846:$CD846))</f>
        <v>0</v>
      </c>
      <c r="U861">
        <f>IF($E861=0,0,SUMPRODUCT($AI$15:$DF$15,'Staff Daily sales'!$G846:$CD846))</f>
        <v>0</v>
      </c>
      <c r="V861">
        <f>IF($E861=0,0,SUMPRODUCT($AI$16:$DF$16,'Staff Daily sales'!$G846:$CD846))</f>
        <v>0</v>
      </c>
      <c r="W861">
        <f t="shared" si="239"/>
        <v>0</v>
      </c>
      <c r="X861">
        <f t="shared" si="240"/>
        <v>0</v>
      </c>
      <c r="Y861">
        <f t="shared" si="241"/>
        <v>0</v>
      </c>
      <c r="Z861">
        <f t="shared" si="242"/>
        <v>0</v>
      </c>
      <c r="AA861">
        <f t="shared" si="243"/>
        <v>0</v>
      </c>
      <c r="AB861">
        <f>--AND($E861=1,OR('Staff Weekly Trend'!$B$3="All",$DH861='Staff Weekly Trend'!$B$3),OR('Staff Weekly Trend'!$B$4="All",$D861='Staff Weekly Trend'!$B$4),OR('Staff Weekly Trend'!$B$5="All",$A861='Staff Weekly Trend'!$B$5))</f>
        <v>0</v>
      </c>
      <c r="AC861" t="str">
        <f t="shared" si="244"/>
        <v/>
      </c>
      <c r="AI861">
        <f t="shared" si="245"/>
        <v>0</v>
      </c>
      <c r="AJ861">
        <f t="shared" si="246"/>
        <v>0</v>
      </c>
      <c r="AK861">
        <f t="shared" si="247"/>
        <v>0</v>
      </c>
      <c r="AL861">
        <f t="shared" si="248"/>
        <v>0</v>
      </c>
      <c r="AM861">
        <f t="shared" si="249"/>
        <v>0</v>
      </c>
      <c r="DH861" t="str" cm="1">
        <f t="array" ref="DH861">IF($A861="","",_xlfn.LET(_xlpm.c,IFERROR(_xlfn.XLOOKUP($A861,TRIM('Sales and count'!$A$4:$A$300&amp;""),TRIM('Sales and count'!$B$4:$B$300&amp;"")),""),IF(OR(_xlpm.c="",_xlpm.c="0",LEFT(_xlpm.c,1)="#"),"Not set",_xlpm.c)))</f>
        <v/>
      </c>
    </row>
    <row r="862" spans="1:112" x14ac:dyDescent="0.25">
      <c r="A862" t="str">
        <f>IF('Staff Daily sales'!$B847="","",TRIM('Staff Daily sales'!$B847&amp;""))</f>
        <v/>
      </c>
      <c r="B862" t="str">
        <f>IF('Staff Daily sales'!$D847="","",TRIM('Staff Daily sales'!$D847&amp;""))</f>
        <v/>
      </c>
      <c r="C862" t="str">
        <f>IFERROR(TRIM('Staff Daily sales'!$E847&amp;""),"")</f>
        <v/>
      </c>
      <c r="D862" t="str">
        <f>IFERROR(IF(TRIM('Staff Daily sales'!$F847&amp;"")="","Unassigned",TRIM('Staff Daily sales'!$F847&amp;"")),"Unassigned")</f>
        <v>Unassigned</v>
      </c>
      <c r="E862">
        <f t="shared" si="234"/>
        <v>0</v>
      </c>
      <c r="F862">
        <f>IF($E862=0,0,SUMPRODUCT($AI$5:$DF$5,'Staff Daily sales'!$G847:$CD847))</f>
        <v>0</v>
      </c>
      <c r="G862">
        <f>IF($E862=0,0,SUMPRODUCT($AI$6:$DF$6,'Staff Daily sales'!$G847:$CD847))</f>
        <v>0</v>
      </c>
      <c r="H862">
        <f t="shared" si="235"/>
        <v>0</v>
      </c>
      <c r="I862">
        <f t="shared" si="236"/>
        <v>0</v>
      </c>
      <c r="J862">
        <f t="shared" si="237"/>
        <v>0</v>
      </c>
      <c r="K862">
        <f t="shared" si="238"/>
        <v>0</v>
      </c>
      <c r="L862">
        <f>--AND($E862=1,OR('Staff Dashboard'!$B$6="All",$DH862='Staff Dashboard'!$B$6),OR('Staff Dashboard'!$B$7="All",$D862='Staff Dashboard'!$B$7),OR('Staff Dashboard'!$B$8="All",$A862='Staff Dashboard'!$B$8))</f>
        <v>0</v>
      </c>
      <c r="M862">
        <f>IF($E862=0,0,SUMPRODUCT($AI$7:$DF$7,'Staff Daily sales'!$G847:$CD847))</f>
        <v>0</v>
      </c>
      <c r="N862">
        <f>IF($E862=0,0,SUMPRODUCT($AI$8:$DF$8,'Staff Daily sales'!$G847:$CD847))</f>
        <v>0</v>
      </c>
      <c r="O862">
        <f>IF($E862=0,0,SUMPRODUCT($AI$9:$DF$9,'Staff Daily sales'!$G847:$CD847))</f>
        <v>0</v>
      </c>
      <c r="P862">
        <f>IF($E862=0,0,SUMPRODUCT($AI$10:$DF$10,'Staff Daily sales'!$G847:$CD847))</f>
        <v>0</v>
      </c>
      <c r="Q862">
        <f>IF($E862=0,0,SUMPRODUCT($AI$11:$DF$11,'Staff Daily sales'!$G847:$CD847))</f>
        <v>0</v>
      </c>
      <c r="R862">
        <f>IF($E862=0,0,SUMPRODUCT($AI$12:$DF$12,'Staff Daily sales'!$G847:$CD847))</f>
        <v>0</v>
      </c>
      <c r="S862">
        <f>IF($E862=0,0,SUMPRODUCT($AI$13:$DF$13,'Staff Daily sales'!$G847:$CD847))</f>
        <v>0</v>
      </c>
      <c r="T862">
        <f>IF($E862=0,0,SUMPRODUCT($AI$14:$DF$14,'Staff Daily sales'!$G847:$CD847))</f>
        <v>0</v>
      </c>
      <c r="U862">
        <f>IF($E862=0,0,SUMPRODUCT($AI$15:$DF$15,'Staff Daily sales'!$G847:$CD847))</f>
        <v>0</v>
      </c>
      <c r="V862">
        <f>IF($E862=0,0,SUMPRODUCT($AI$16:$DF$16,'Staff Daily sales'!$G847:$CD847))</f>
        <v>0</v>
      </c>
      <c r="W862">
        <f t="shared" si="239"/>
        <v>0</v>
      </c>
      <c r="X862">
        <f t="shared" si="240"/>
        <v>0</v>
      </c>
      <c r="Y862">
        <f t="shared" si="241"/>
        <v>0</v>
      </c>
      <c r="Z862">
        <f t="shared" si="242"/>
        <v>0</v>
      </c>
      <c r="AA862">
        <f t="shared" si="243"/>
        <v>0</v>
      </c>
      <c r="AB862">
        <f>--AND($E862=1,OR('Staff Weekly Trend'!$B$3="All",$DH862='Staff Weekly Trend'!$B$3),OR('Staff Weekly Trend'!$B$4="All",$D862='Staff Weekly Trend'!$B$4),OR('Staff Weekly Trend'!$B$5="All",$A862='Staff Weekly Trend'!$B$5))</f>
        <v>0</v>
      </c>
      <c r="AC862" t="str">
        <f t="shared" si="244"/>
        <v/>
      </c>
      <c r="AI862">
        <f t="shared" si="245"/>
        <v>0</v>
      </c>
      <c r="AJ862">
        <f t="shared" si="246"/>
        <v>0</v>
      </c>
      <c r="AK862">
        <f t="shared" si="247"/>
        <v>0</v>
      </c>
      <c r="AL862">
        <f t="shared" si="248"/>
        <v>0</v>
      </c>
      <c r="AM862">
        <f t="shared" si="249"/>
        <v>0</v>
      </c>
      <c r="DH862" t="str" cm="1">
        <f t="array" ref="DH862">IF($A862="","",_xlfn.LET(_xlpm.c,IFERROR(_xlfn.XLOOKUP($A862,TRIM('Sales and count'!$A$4:$A$300&amp;""),TRIM('Sales and count'!$B$4:$B$300&amp;"")),""),IF(OR(_xlpm.c="",_xlpm.c="0",LEFT(_xlpm.c,1)="#"),"Not set",_xlpm.c)))</f>
        <v/>
      </c>
    </row>
    <row r="863" spans="1:112" x14ac:dyDescent="0.25">
      <c r="A863" t="str">
        <f>IF('Staff Daily sales'!$B848="","",TRIM('Staff Daily sales'!$B848&amp;""))</f>
        <v/>
      </c>
      <c r="B863" t="str">
        <f>IF('Staff Daily sales'!$D848="","",TRIM('Staff Daily sales'!$D848&amp;""))</f>
        <v/>
      </c>
      <c r="C863" t="str">
        <f>IFERROR(TRIM('Staff Daily sales'!$E848&amp;""),"")</f>
        <v/>
      </c>
      <c r="D863" t="str">
        <f>IFERROR(IF(TRIM('Staff Daily sales'!$F848&amp;"")="","Unassigned",TRIM('Staff Daily sales'!$F848&amp;"")),"Unassigned")</f>
        <v>Unassigned</v>
      </c>
      <c r="E863">
        <f t="shared" si="234"/>
        <v>0</v>
      </c>
      <c r="F863">
        <f>IF($E863=0,0,SUMPRODUCT($AI$5:$DF$5,'Staff Daily sales'!$G848:$CD848))</f>
        <v>0</v>
      </c>
      <c r="G863">
        <f>IF($E863=0,0,SUMPRODUCT($AI$6:$DF$6,'Staff Daily sales'!$G848:$CD848))</f>
        <v>0</v>
      </c>
      <c r="H863">
        <f t="shared" si="235"/>
        <v>0</v>
      </c>
      <c r="I863">
        <f t="shared" si="236"/>
        <v>0</v>
      </c>
      <c r="J863">
        <f t="shared" si="237"/>
        <v>0</v>
      </c>
      <c r="K863">
        <f t="shared" si="238"/>
        <v>0</v>
      </c>
      <c r="L863">
        <f>--AND($E863=1,OR('Staff Dashboard'!$B$6="All",$DH863='Staff Dashboard'!$B$6),OR('Staff Dashboard'!$B$7="All",$D863='Staff Dashboard'!$B$7),OR('Staff Dashboard'!$B$8="All",$A863='Staff Dashboard'!$B$8))</f>
        <v>0</v>
      </c>
      <c r="M863">
        <f>IF($E863=0,0,SUMPRODUCT($AI$7:$DF$7,'Staff Daily sales'!$G848:$CD848))</f>
        <v>0</v>
      </c>
      <c r="N863">
        <f>IF($E863=0,0,SUMPRODUCT($AI$8:$DF$8,'Staff Daily sales'!$G848:$CD848))</f>
        <v>0</v>
      </c>
      <c r="O863">
        <f>IF($E863=0,0,SUMPRODUCT($AI$9:$DF$9,'Staff Daily sales'!$G848:$CD848))</f>
        <v>0</v>
      </c>
      <c r="P863">
        <f>IF($E863=0,0,SUMPRODUCT($AI$10:$DF$10,'Staff Daily sales'!$G848:$CD848))</f>
        <v>0</v>
      </c>
      <c r="Q863">
        <f>IF($E863=0,0,SUMPRODUCT($AI$11:$DF$11,'Staff Daily sales'!$G848:$CD848))</f>
        <v>0</v>
      </c>
      <c r="R863">
        <f>IF($E863=0,0,SUMPRODUCT($AI$12:$DF$12,'Staff Daily sales'!$G848:$CD848))</f>
        <v>0</v>
      </c>
      <c r="S863">
        <f>IF($E863=0,0,SUMPRODUCT($AI$13:$DF$13,'Staff Daily sales'!$G848:$CD848))</f>
        <v>0</v>
      </c>
      <c r="T863">
        <f>IF($E863=0,0,SUMPRODUCT($AI$14:$DF$14,'Staff Daily sales'!$G848:$CD848))</f>
        <v>0</v>
      </c>
      <c r="U863">
        <f>IF($E863=0,0,SUMPRODUCT($AI$15:$DF$15,'Staff Daily sales'!$G848:$CD848))</f>
        <v>0</v>
      </c>
      <c r="V863">
        <f>IF($E863=0,0,SUMPRODUCT($AI$16:$DF$16,'Staff Daily sales'!$G848:$CD848))</f>
        <v>0</v>
      </c>
      <c r="W863">
        <f t="shared" si="239"/>
        <v>0</v>
      </c>
      <c r="X863">
        <f t="shared" si="240"/>
        <v>0</v>
      </c>
      <c r="Y863">
        <f t="shared" si="241"/>
        <v>0</v>
      </c>
      <c r="Z863">
        <f t="shared" si="242"/>
        <v>0</v>
      </c>
      <c r="AA863">
        <f t="shared" si="243"/>
        <v>0</v>
      </c>
      <c r="AB863">
        <f>--AND($E863=1,OR('Staff Weekly Trend'!$B$3="All",$DH863='Staff Weekly Trend'!$B$3),OR('Staff Weekly Trend'!$B$4="All",$D863='Staff Weekly Trend'!$B$4),OR('Staff Weekly Trend'!$B$5="All",$A863='Staff Weekly Trend'!$B$5))</f>
        <v>0</v>
      </c>
      <c r="AC863" t="str">
        <f t="shared" si="244"/>
        <v/>
      </c>
      <c r="AI863">
        <f t="shared" si="245"/>
        <v>0</v>
      </c>
      <c r="AJ863">
        <f t="shared" si="246"/>
        <v>0</v>
      </c>
      <c r="AK863">
        <f t="shared" si="247"/>
        <v>0</v>
      </c>
      <c r="AL863">
        <f t="shared" si="248"/>
        <v>0</v>
      </c>
      <c r="AM863">
        <f t="shared" si="249"/>
        <v>0</v>
      </c>
      <c r="DH863" t="str" cm="1">
        <f t="array" ref="DH863">IF($A863="","",_xlfn.LET(_xlpm.c,IFERROR(_xlfn.XLOOKUP($A863,TRIM('Sales and count'!$A$4:$A$300&amp;""),TRIM('Sales and count'!$B$4:$B$300&amp;"")),""),IF(OR(_xlpm.c="",_xlpm.c="0",LEFT(_xlpm.c,1)="#"),"Not set",_xlpm.c)))</f>
        <v/>
      </c>
    </row>
    <row r="864" spans="1:112" x14ac:dyDescent="0.25">
      <c r="A864" t="str">
        <f>IF('Staff Daily sales'!$B849="","",TRIM('Staff Daily sales'!$B849&amp;""))</f>
        <v/>
      </c>
      <c r="B864" t="str">
        <f>IF('Staff Daily sales'!$D849="","",TRIM('Staff Daily sales'!$D849&amp;""))</f>
        <v/>
      </c>
      <c r="C864" t="str">
        <f>IFERROR(TRIM('Staff Daily sales'!$E849&amp;""),"")</f>
        <v/>
      </c>
      <c r="D864" t="str">
        <f>IFERROR(IF(TRIM('Staff Daily sales'!$F849&amp;"")="","Unassigned",TRIM('Staff Daily sales'!$F849&amp;"")),"Unassigned")</f>
        <v>Unassigned</v>
      </c>
      <c r="E864">
        <f t="shared" si="234"/>
        <v>0</v>
      </c>
      <c r="F864">
        <f>IF($E864=0,0,SUMPRODUCT($AI$5:$DF$5,'Staff Daily sales'!$G849:$CD849))</f>
        <v>0</v>
      </c>
      <c r="G864">
        <f>IF($E864=0,0,SUMPRODUCT($AI$6:$DF$6,'Staff Daily sales'!$G849:$CD849))</f>
        <v>0</v>
      </c>
      <c r="H864">
        <f t="shared" si="235"/>
        <v>0</v>
      </c>
      <c r="I864">
        <f t="shared" si="236"/>
        <v>0</v>
      </c>
      <c r="J864">
        <f t="shared" si="237"/>
        <v>0</v>
      </c>
      <c r="K864">
        <f t="shared" si="238"/>
        <v>0</v>
      </c>
      <c r="L864">
        <f>--AND($E864=1,OR('Staff Dashboard'!$B$6="All",$DH864='Staff Dashboard'!$B$6),OR('Staff Dashboard'!$B$7="All",$D864='Staff Dashboard'!$B$7),OR('Staff Dashboard'!$B$8="All",$A864='Staff Dashboard'!$B$8))</f>
        <v>0</v>
      </c>
      <c r="M864">
        <f>IF($E864=0,0,SUMPRODUCT($AI$7:$DF$7,'Staff Daily sales'!$G849:$CD849))</f>
        <v>0</v>
      </c>
      <c r="N864">
        <f>IF($E864=0,0,SUMPRODUCT($AI$8:$DF$8,'Staff Daily sales'!$G849:$CD849))</f>
        <v>0</v>
      </c>
      <c r="O864">
        <f>IF($E864=0,0,SUMPRODUCT($AI$9:$DF$9,'Staff Daily sales'!$G849:$CD849))</f>
        <v>0</v>
      </c>
      <c r="P864">
        <f>IF($E864=0,0,SUMPRODUCT($AI$10:$DF$10,'Staff Daily sales'!$G849:$CD849))</f>
        <v>0</v>
      </c>
      <c r="Q864">
        <f>IF($E864=0,0,SUMPRODUCT($AI$11:$DF$11,'Staff Daily sales'!$G849:$CD849))</f>
        <v>0</v>
      </c>
      <c r="R864">
        <f>IF($E864=0,0,SUMPRODUCT($AI$12:$DF$12,'Staff Daily sales'!$G849:$CD849))</f>
        <v>0</v>
      </c>
      <c r="S864">
        <f>IF($E864=0,0,SUMPRODUCT($AI$13:$DF$13,'Staff Daily sales'!$G849:$CD849))</f>
        <v>0</v>
      </c>
      <c r="T864">
        <f>IF($E864=0,0,SUMPRODUCT($AI$14:$DF$14,'Staff Daily sales'!$G849:$CD849))</f>
        <v>0</v>
      </c>
      <c r="U864">
        <f>IF($E864=0,0,SUMPRODUCT($AI$15:$DF$15,'Staff Daily sales'!$G849:$CD849))</f>
        <v>0</v>
      </c>
      <c r="V864">
        <f>IF($E864=0,0,SUMPRODUCT($AI$16:$DF$16,'Staff Daily sales'!$G849:$CD849))</f>
        <v>0</v>
      </c>
      <c r="W864">
        <f t="shared" si="239"/>
        <v>0</v>
      </c>
      <c r="X864">
        <f t="shared" si="240"/>
        <v>0</v>
      </c>
      <c r="Y864">
        <f t="shared" si="241"/>
        <v>0</v>
      </c>
      <c r="Z864">
        <f t="shared" si="242"/>
        <v>0</v>
      </c>
      <c r="AA864">
        <f t="shared" si="243"/>
        <v>0</v>
      </c>
      <c r="AB864">
        <f>--AND($E864=1,OR('Staff Weekly Trend'!$B$3="All",$DH864='Staff Weekly Trend'!$B$3),OR('Staff Weekly Trend'!$B$4="All",$D864='Staff Weekly Trend'!$B$4),OR('Staff Weekly Trend'!$B$5="All",$A864='Staff Weekly Trend'!$B$5))</f>
        <v>0</v>
      </c>
      <c r="AC864" t="str">
        <f t="shared" si="244"/>
        <v/>
      </c>
      <c r="AI864">
        <f t="shared" si="245"/>
        <v>0</v>
      </c>
      <c r="AJ864">
        <f t="shared" si="246"/>
        <v>0</v>
      </c>
      <c r="AK864">
        <f t="shared" si="247"/>
        <v>0</v>
      </c>
      <c r="AL864">
        <f t="shared" si="248"/>
        <v>0</v>
      </c>
      <c r="AM864">
        <f t="shared" si="249"/>
        <v>0</v>
      </c>
      <c r="DH864" t="str" cm="1">
        <f t="array" ref="DH864">IF($A864="","",_xlfn.LET(_xlpm.c,IFERROR(_xlfn.XLOOKUP($A864,TRIM('Sales and count'!$A$4:$A$300&amp;""),TRIM('Sales and count'!$B$4:$B$300&amp;"")),""),IF(OR(_xlpm.c="",_xlpm.c="0",LEFT(_xlpm.c,1)="#"),"Not set",_xlpm.c)))</f>
        <v/>
      </c>
    </row>
    <row r="865" spans="1:112" x14ac:dyDescent="0.25">
      <c r="A865" t="str">
        <f>IF('Staff Daily sales'!$B850="","",TRIM('Staff Daily sales'!$B850&amp;""))</f>
        <v/>
      </c>
      <c r="B865" t="str">
        <f>IF('Staff Daily sales'!$D850="","",TRIM('Staff Daily sales'!$D850&amp;""))</f>
        <v/>
      </c>
      <c r="C865" t="str">
        <f>IFERROR(TRIM('Staff Daily sales'!$E850&amp;""),"")</f>
        <v/>
      </c>
      <c r="D865" t="str">
        <f>IFERROR(IF(TRIM('Staff Daily sales'!$F850&amp;"")="","Unassigned",TRIM('Staff Daily sales'!$F850&amp;"")),"Unassigned")</f>
        <v>Unassigned</v>
      </c>
      <c r="E865">
        <f t="shared" si="234"/>
        <v>0</v>
      </c>
      <c r="F865">
        <f>IF($E865=0,0,SUMPRODUCT($AI$5:$DF$5,'Staff Daily sales'!$G850:$CD850))</f>
        <v>0</v>
      </c>
      <c r="G865">
        <f>IF($E865=0,0,SUMPRODUCT($AI$6:$DF$6,'Staff Daily sales'!$G850:$CD850))</f>
        <v>0</v>
      </c>
      <c r="H865">
        <f t="shared" si="235"/>
        <v>0</v>
      </c>
      <c r="I865">
        <f t="shared" si="236"/>
        <v>0</v>
      </c>
      <c r="J865">
        <f t="shared" si="237"/>
        <v>0</v>
      </c>
      <c r="K865">
        <f t="shared" si="238"/>
        <v>0</v>
      </c>
      <c r="L865">
        <f>--AND($E865=1,OR('Staff Dashboard'!$B$6="All",$DH865='Staff Dashboard'!$B$6),OR('Staff Dashboard'!$B$7="All",$D865='Staff Dashboard'!$B$7),OR('Staff Dashboard'!$B$8="All",$A865='Staff Dashboard'!$B$8))</f>
        <v>0</v>
      </c>
      <c r="M865">
        <f>IF($E865=0,0,SUMPRODUCT($AI$7:$DF$7,'Staff Daily sales'!$G850:$CD850))</f>
        <v>0</v>
      </c>
      <c r="N865">
        <f>IF($E865=0,0,SUMPRODUCT($AI$8:$DF$8,'Staff Daily sales'!$G850:$CD850))</f>
        <v>0</v>
      </c>
      <c r="O865">
        <f>IF($E865=0,0,SUMPRODUCT($AI$9:$DF$9,'Staff Daily sales'!$G850:$CD850))</f>
        <v>0</v>
      </c>
      <c r="P865">
        <f>IF($E865=0,0,SUMPRODUCT($AI$10:$DF$10,'Staff Daily sales'!$G850:$CD850))</f>
        <v>0</v>
      </c>
      <c r="Q865">
        <f>IF($E865=0,0,SUMPRODUCT($AI$11:$DF$11,'Staff Daily sales'!$G850:$CD850))</f>
        <v>0</v>
      </c>
      <c r="R865">
        <f>IF($E865=0,0,SUMPRODUCT($AI$12:$DF$12,'Staff Daily sales'!$G850:$CD850))</f>
        <v>0</v>
      </c>
      <c r="S865">
        <f>IF($E865=0,0,SUMPRODUCT($AI$13:$DF$13,'Staff Daily sales'!$G850:$CD850))</f>
        <v>0</v>
      </c>
      <c r="T865">
        <f>IF($E865=0,0,SUMPRODUCT($AI$14:$DF$14,'Staff Daily sales'!$G850:$CD850))</f>
        <v>0</v>
      </c>
      <c r="U865">
        <f>IF($E865=0,0,SUMPRODUCT($AI$15:$DF$15,'Staff Daily sales'!$G850:$CD850))</f>
        <v>0</v>
      </c>
      <c r="V865">
        <f>IF($E865=0,0,SUMPRODUCT($AI$16:$DF$16,'Staff Daily sales'!$G850:$CD850))</f>
        <v>0</v>
      </c>
      <c r="W865">
        <f t="shared" si="239"/>
        <v>0</v>
      </c>
      <c r="X865">
        <f t="shared" si="240"/>
        <v>0</v>
      </c>
      <c r="Y865">
        <f t="shared" si="241"/>
        <v>0</v>
      </c>
      <c r="Z865">
        <f t="shared" si="242"/>
        <v>0</v>
      </c>
      <c r="AA865">
        <f t="shared" si="243"/>
        <v>0</v>
      </c>
      <c r="AB865">
        <f>--AND($E865=1,OR('Staff Weekly Trend'!$B$3="All",$DH865='Staff Weekly Trend'!$B$3),OR('Staff Weekly Trend'!$B$4="All",$D865='Staff Weekly Trend'!$B$4),OR('Staff Weekly Trend'!$B$5="All",$A865='Staff Weekly Trend'!$B$5))</f>
        <v>0</v>
      </c>
      <c r="AC865" t="str">
        <f t="shared" si="244"/>
        <v/>
      </c>
      <c r="AI865">
        <f t="shared" si="245"/>
        <v>0</v>
      </c>
      <c r="AJ865">
        <f t="shared" si="246"/>
        <v>0</v>
      </c>
      <c r="AK865">
        <f t="shared" si="247"/>
        <v>0</v>
      </c>
      <c r="AL865">
        <f t="shared" si="248"/>
        <v>0</v>
      </c>
      <c r="AM865">
        <f t="shared" si="249"/>
        <v>0</v>
      </c>
      <c r="DH865" t="str" cm="1">
        <f t="array" ref="DH865">IF($A865="","",_xlfn.LET(_xlpm.c,IFERROR(_xlfn.XLOOKUP($A865,TRIM('Sales and count'!$A$4:$A$300&amp;""),TRIM('Sales and count'!$B$4:$B$300&amp;"")),""),IF(OR(_xlpm.c="",_xlpm.c="0",LEFT(_xlpm.c,1)="#"),"Not set",_xlpm.c)))</f>
        <v/>
      </c>
    </row>
    <row r="866" spans="1:112" x14ac:dyDescent="0.25">
      <c r="A866" t="str">
        <f>IF('Staff Daily sales'!$B851="","",TRIM('Staff Daily sales'!$B851&amp;""))</f>
        <v/>
      </c>
      <c r="B866" t="str">
        <f>IF('Staff Daily sales'!$D851="","",TRIM('Staff Daily sales'!$D851&amp;""))</f>
        <v/>
      </c>
      <c r="C866" t="str">
        <f>IFERROR(TRIM('Staff Daily sales'!$E851&amp;""),"")</f>
        <v/>
      </c>
      <c r="D866" t="str">
        <f>IFERROR(IF(TRIM('Staff Daily sales'!$F851&amp;"")="","Unassigned",TRIM('Staff Daily sales'!$F851&amp;"")),"Unassigned")</f>
        <v>Unassigned</v>
      </c>
      <c r="E866">
        <f t="shared" si="234"/>
        <v>0</v>
      </c>
      <c r="F866">
        <f>IF($E866=0,0,SUMPRODUCT($AI$5:$DF$5,'Staff Daily sales'!$G851:$CD851))</f>
        <v>0</v>
      </c>
      <c r="G866">
        <f>IF($E866=0,0,SUMPRODUCT($AI$6:$DF$6,'Staff Daily sales'!$G851:$CD851))</f>
        <v>0</v>
      </c>
      <c r="H866">
        <f t="shared" si="235"/>
        <v>0</v>
      </c>
      <c r="I866">
        <f t="shared" si="236"/>
        <v>0</v>
      </c>
      <c r="J866">
        <f t="shared" si="237"/>
        <v>0</v>
      </c>
      <c r="K866">
        <f t="shared" si="238"/>
        <v>0</v>
      </c>
      <c r="L866">
        <f>--AND($E866=1,OR('Staff Dashboard'!$B$6="All",$DH866='Staff Dashboard'!$B$6),OR('Staff Dashboard'!$B$7="All",$D866='Staff Dashboard'!$B$7),OR('Staff Dashboard'!$B$8="All",$A866='Staff Dashboard'!$B$8))</f>
        <v>0</v>
      </c>
      <c r="M866">
        <f>IF($E866=0,0,SUMPRODUCT($AI$7:$DF$7,'Staff Daily sales'!$G851:$CD851))</f>
        <v>0</v>
      </c>
      <c r="N866">
        <f>IF($E866=0,0,SUMPRODUCT($AI$8:$DF$8,'Staff Daily sales'!$G851:$CD851))</f>
        <v>0</v>
      </c>
      <c r="O866">
        <f>IF($E866=0,0,SUMPRODUCT($AI$9:$DF$9,'Staff Daily sales'!$G851:$CD851))</f>
        <v>0</v>
      </c>
      <c r="P866">
        <f>IF($E866=0,0,SUMPRODUCT($AI$10:$DF$10,'Staff Daily sales'!$G851:$CD851))</f>
        <v>0</v>
      </c>
      <c r="Q866">
        <f>IF($E866=0,0,SUMPRODUCT($AI$11:$DF$11,'Staff Daily sales'!$G851:$CD851))</f>
        <v>0</v>
      </c>
      <c r="R866">
        <f>IF($E866=0,0,SUMPRODUCT($AI$12:$DF$12,'Staff Daily sales'!$G851:$CD851))</f>
        <v>0</v>
      </c>
      <c r="S866">
        <f>IF($E866=0,0,SUMPRODUCT($AI$13:$DF$13,'Staff Daily sales'!$G851:$CD851))</f>
        <v>0</v>
      </c>
      <c r="T866">
        <f>IF($E866=0,0,SUMPRODUCT($AI$14:$DF$14,'Staff Daily sales'!$G851:$CD851))</f>
        <v>0</v>
      </c>
      <c r="U866">
        <f>IF($E866=0,0,SUMPRODUCT($AI$15:$DF$15,'Staff Daily sales'!$G851:$CD851))</f>
        <v>0</v>
      </c>
      <c r="V866">
        <f>IF($E866=0,0,SUMPRODUCT($AI$16:$DF$16,'Staff Daily sales'!$G851:$CD851))</f>
        <v>0</v>
      </c>
      <c r="W866">
        <f t="shared" si="239"/>
        <v>0</v>
      </c>
      <c r="X866">
        <f t="shared" si="240"/>
        <v>0</v>
      </c>
      <c r="Y866">
        <f t="shared" si="241"/>
        <v>0</v>
      </c>
      <c r="Z866">
        <f t="shared" si="242"/>
        <v>0</v>
      </c>
      <c r="AA866">
        <f t="shared" si="243"/>
        <v>0</v>
      </c>
      <c r="AB866">
        <f>--AND($E866=1,OR('Staff Weekly Trend'!$B$3="All",$DH866='Staff Weekly Trend'!$B$3),OR('Staff Weekly Trend'!$B$4="All",$D866='Staff Weekly Trend'!$B$4),OR('Staff Weekly Trend'!$B$5="All",$A866='Staff Weekly Trend'!$B$5))</f>
        <v>0</v>
      </c>
      <c r="AC866" t="str">
        <f t="shared" si="244"/>
        <v/>
      </c>
      <c r="AI866">
        <f t="shared" si="245"/>
        <v>0</v>
      </c>
      <c r="AJ866">
        <f t="shared" si="246"/>
        <v>0</v>
      </c>
      <c r="AK866">
        <f t="shared" si="247"/>
        <v>0</v>
      </c>
      <c r="AL866">
        <f t="shared" si="248"/>
        <v>0</v>
      </c>
      <c r="AM866">
        <f t="shared" si="249"/>
        <v>0</v>
      </c>
      <c r="DH866" t="str" cm="1">
        <f t="array" ref="DH866">IF($A866="","",_xlfn.LET(_xlpm.c,IFERROR(_xlfn.XLOOKUP($A866,TRIM('Sales and count'!$A$4:$A$300&amp;""),TRIM('Sales and count'!$B$4:$B$300&amp;"")),""),IF(OR(_xlpm.c="",_xlpm.c="0",LEFT(_xlpm.c,1)="#"),"Not set",_xlpm.c)))</f>
        <v/>
      </c>
    </row>
    <row r="867" spans="1:112" x14ac:dyDescent="0.25">
      <c r="A867" t="str">
        <f>IF('Staff Daily sales'!$B852="","",TRIM('Staff Daily sales'!$B852&amp;""))</f>
        <v/>
      </c>
      <c r="B867" t="str">
        <f>IF('Staff Daily sales'!$D852="","",TRIM('Staff Daily sales'!$D852&amp;""))</f>
        <v/>
      </c>
      <c r="C867" t="str">
        <f>IFERROR(TRIM('Staff Daily sales'!$E852&amp;""),"")</f>
        <v/>
      </c>
      <c r="D867" t="str">
        <f>IFERROR(IF(TRIM('Staff Daily sales'!$F852&amp;"")="","Unassigned",TRIM('Staff Daily sales'!$F852&amp;"")),"Unassigned")</f>
        <v>Unassigned</v>
      </c>
      <c r="E867">
        <f t="shared" si="234"/>
        <v>0</v>
      </c>
      <c r="F867">
        <f>IF($E867=0,0,SUMPRODUCT($AI$5:$DF$5,'Staff Daily sales'!$G852:$CD852))</f>
        <v>0</v>
      </c>
      <c r="G867">
        <f>IF($E867=0,0,SUMPRODUCT($AI$6:$DF$6,'Staff Daily sales'!$G852:$CD852))</f>
        <v>0</v>
      </c>
      <c r="H867">
        <f t="shared" si="235"/>
        <v>0</v>
      </c>
      <c r="I867">
        <f t="shared" si="236"/>
        <v>0</v>
      </c>
      <c r="J867">
        <f t="shared" si="237"/>
        <v>0</v>
      </c>
      <c r="K867">
        <f t="shared" si="238"/>
        <v>0</v>
      </c>
      <c r="L867">
        <f>--AND($E867=1,OR('Staff Dashboard'!$B$6="All",$DH867='Staff Dashboard'!$B$6),OR('Staff Dashboard'!$B$7="All",$D867='Staff Dashboard'!$B$7),OR('Staff Dashboard'!$B$8="All",$A867='Staff Dashboard'!$B$8))</f>
        <v>0</v>
      </c>
      <c r="M867">
        <f>IF($E867=0,0,SUMPRODUCT($AI$7:$DF$7,'Staff Daily sales'!$G852:$CD852))</f>
        <v>0</v>
      </c>
      <c r="N867">
        <f>IF($E867=0,0,SUMPRODUCT($AI$8:$DF$8,'Staff Daily sales'!$G852:$CD852))</f>
        <v>0</v>
      </c>
      <c r="O867">
        <f>IF($E867=0,0,SUMPRODUCT($AI$9:$DF$9,'Staff Daily sales'!$G852:$CD852))</f>
        <v>0</v>
      </c>
      <c r="P867">
        <f>IF($E867=0,0,SUMPRODUCT($AI$10:$DF$10,'Staff Daily sales'!$G852:$CD852))</f>
        <v>0</v>
      </c>
      <c r="Q867">
        <f>IF($E867=0,0,SUMPRODUCT($AI$11:$DF$11,'Staff Daily sales'!$G852:$CD852))</f>
        <v>0</v>
      </c>
      <c r="R867">
        <f>IF($E867=0,0,SUMPRODUCT($AI$12:$DF$12,'Staff Daily sales'!$G852:$CD852))</f>
        <v>0</v>
      </c>
      <c r="S867">
        <f>IF($E867=0,0,SUMPRODUCT($AI$13:$DF$13,'Staff Daily sales'!$G852:$CD852))</f>
        <v>0</v>
      </c>
      <c r="T867">
        <f>IF($E867=0,0,SUMPRODUCT($AI$14:$DF$14,'Staff Daily sales'!$G852:$CD852))</f>
        <v>0</v>
      </c>
      <c r="U867">
        <f>IF($E867=0,0,SUMPRODUCT($AI$15:$DF$15,'Staff Daily sales'!$G852:$CD852))</f>
        <v>0</v>
      </c>
      <c r="V867">
        <f>IF($E867=0,0,SUMPRODUCT($AI$16:$DF$16,'Staff Daily sales'!$G852:$CD852))</f>
        <v>0</v>
      </c>
      <c r="W867">
        <f t="shared" si="239"/>
        <v>0</v>
      </c>
      <c r="X867">
        <f t="shared" si="240"/>
        <v>0</v>
      </c>
      <c r="Y867">
        <f t="shared" si="241"/>
        <v>0</v>
      </c>
      <c r="Z867">
        <f t="shared" si="242"/>
        <v>0</v>
      </c>
      <c r="AA867">
        <f t="shared" si="243"/>
        <v>0</v>
      </c>
      <c r="AB867">
        <f>--AND($E867=1,OR('Staff Weekly Trend'!$B$3="All",$DH867='Staff Weekly Trend'!$B$3),OR('Staff Weekly Trend'!$B$4="All",$D867='Staff Weekly Trend'!$B$4),OR('Staff Weekly Trend'!$B$5="All",$A867='Staff Weekly Trend'!$B$5))</f>
        <v>0</v>
      </c>
      <c r="AC867" t="str">
        <f t="shared" si="244"/>
        <v/>
      </c>
      <c r="AI867">
        <f t="shared" si="245"/>
        <v>0</v>
      </c>
      <c r="AJ867">
        <f t="shared" si="246"/>
        <v>0</v>
      </c>
      <c r="AK867">
        <f t="shared" si="247"/>
        <v>0</v>
      </c>
      <c r="AL867">
        <f t="shared" si="248"/>
        <v>0</v>
      </c>
      <c r="AM867">
        <f t="shared" si="249"/>
        <v>0</v>
      </c>
      <c r="DH867" t="str" cm="1">
        <f t="array" ref="DH867">IF($A867="","",_xlfn.LET(_xlpm.c,IFERROR(_xlfn.XLOOKUP($A867,TRIM('Sales and count'!$A$4:$A$300&amp;""),TRIM('Sales and count'!$B$4:$B$300&amp;"")),""),IF(OR(_xlpm.c="",_xlpm.c="0",LEFT(_xlpm.c,1)="#"),"Not set",_xlpm.c)))</f>
        <v/>
      </c>
    </row>
    <row r="868" spans="1:112" x14ac:dyDescent="0.25">
      <c r="A868" t="str">
        <f>IF('Staff Daily sales'!$B853="","",TRIM('Staff Daily sales'!$B853&amp;""))</f>
        <v/>
      </c>
      <c r="B868" t="str">
        <f>IF('Staff Daily sales'!$D853="","",TRIM('Staff Daily sales'!$D853&amp;""))</f>
        <v/>
      </c>
      <c r="C868" t="str">
        <f>IFERROR(TRIM('Staff Daily sales'!$E853&amp;""),"")</f>
        <v/>
      </c>
      <c r="D868" t="str">
        <f>IFERROR(IF(TRIM('Staff Daily sales'!$F853&amp;"")="","Unassigned",TRIM('Staff Daily sales'!$F853&amp;"")),"Unassigned")</f>
        <v>Unassigned</v>
      </c>
      <c r="E868">
        <f t="shared" si="234"/>
        <v>0</v>
      </c>
      <c r="F868">
        <f>IF($E868=0,0,SUMPRODUCT($AI$5:$DF$5,'Staff Daily sales'!$G853:$CD853))</f>
        <v>0</v>
      </c>
      <c r="G868">
        <f>IF($E868=0,0,SUMPRODUCT($AI$6:$DF$6,'Staff Daily sales'!$G853:$CD853))</f>
        <v>0</v>
      </c>
      <c r="H868">
        <f t="shared" si="235"/>
        <v>0</v>
      </c>
      <c r="I868">
        <f t="shared" si="236"/>
        <v>0</v>
      </c>
      <c r="J868">
        <f t="shared" si="237"/>
        <v>0</v>
      </c>
      <c r="K868">
        <f t="shared" si="238"/>
        <v>0</v>
      </c>
      <c r="L868">
        <f>--AND($E868=1,OR('Staff Dashboard'!$B$6="All",$DH868='Staff Dashboard'!$B$6),OR('Staff Dashboard'!$B$7="All",$D868='Staff Dashboard'!$B$7),OR('Staff Dashboard'!$B$8="All",$A868='Staff Dashboard'!$B$8))</f>
        <v>0</v>
      </c>
      <c r="M868">
        <f>IF($E868=0,0,SUMPRODUCT($AI$7:$DF$7,'Staff Daily sales'!$G853:$CD853))</f>
        <v>0</v>
      </c>
      <c r="N868">
        <f>IF($E868=0,0,SUMPRODUCT($AI$8:$DF$8,'Staff Daily sales'!$G853:$CD853))</f>
        <v>0</v>
      </c>
      <c r="O868">
        <f>IF($E868=0,0,SUMPRODUCT($AI$9:$DF$9,'Staff Daily sales'!$G853:$CD853))</f>
        <v>0</v>
      </c>
      <c r="P868">
        <f>IF($E868=0,0,SUMPRODUCT($AI$10:$DF$10,'Staff Daily sales'!$G853:$CD853))</f>
        <v>0</v>
      </c>
      <c r="Q868">
        <f>IF($E868=0,0,SUMPRODUCT($AI$11:$DF$11,'Staff Daily sales'!$G853:$CD853))</f>
        <v>0</v>
      </c>
      <c r="R868">
        <f>IF($E868=0,0,SUMPRODUCT($AI$12:$DF$12,'Staff Daily sales'!$G853:$CD853))</f>
        <v>0</v>
      </c>
      <c r="S868">
        <f>IF($E868=0,0,SUMPRODUCT($AI$13:$DF$13,'Staff Daily sales'!$G853:$CD853))</f>
        <v>0</v>
      </c>
      <c r="T868">
        <f>IF($E868=0,0,SUMPRODUCT($AI$14:$DF$14,'Staff Daily sales'!$G853:$CD853))</f>
        <v>0</v>
      </c>
      <c r="U868">
        <f>IF($E868=0,0,SUMPRODUCT($AI$15:$DF$15,'Staff Daily sales'!$G853:$CD853))</f>
        <v>0</v>
      </c>
      <c r="V868">
        <f>IF($E868=0,0,SUMPRODUCT($AI$16:$DF$16,'Staff Daily sales'!$G853:$CD853))</f>
        <v>0</v>
      </c>
      <c r="W868">
        <f t="shared" si="239"/>
        <v>0</v>
      </c>
      <c r="X868">
        <f t="shared" si="240"/>
        <v>0</v>
      </c>
      <c r="Y868">
        <f t="shared" si="241"/>
        <v>0</v>
      </c>
      <c r="Z868">
        <f t="shared" si="242"/>
        <v>0</v>
      </c>
      <c r="AA868">
        <f t="shared" si="243"/>
        <v>0</v>
      </c>
      <c r="AB868">
        <f>--AND($E868=1,OR('Staff Weekly Trend'!$B$3="All",$DH868='Staff Weekly Trend'!$B$3),OR('Staff Weekly Trend'!$B$4="All",$D868='Staff Weekly Trend'!$B$4),OR('Staff Weekly Trend'!$B$5="All",$A868='Staff Weekly Trend'!$B$5))</f>
        <v>0</v>
      </c>
      <c r="AC868" t="str">
        <f t="shared" si="244"/>
        <v/>
      </c>
      <c r="AI868">
        <f t="shared" si="245"/>
        <v>0</v>
      </c>
      <c r="AJ868">
        <f t="shared" si="246"/>
        <v>0</v>
      </c>
      <c r="AK868">
        <f t="shared" si="247"/>
        <v>0</v>
      </c>
      <c r="AL868">
        <f t="shared" si="248"/>
        <v>0</v>
      </c>
      <c r="AM868">
        <f t="shared" si="249"/>
        <v>0</v>
      </c>
      <c r="DH868" t="str" cm="1">
        <f t="array" ref="DH868">IF($A868="","",_xlfn.LET(_xlpm.c,IFERROR(_xlfn.XLOOKUP($A868,TRIM('Sales and count'!$A$4:$A$300&amp;""),TRIM('Sales and count'!$B$4:$B$300&amp;"")),""),IF(OR(_xlpm.c="",_xlpm.c="0",LEFT(_xlpm.c,1)="#"),"Not set",_xlpm.c)))</f>
        <v/>
      </c>
    </row>
    <row r="869" spans="1:112" x14ac:dyDescent="0.25">
      <c r="A869" t="str">
        <f>IF('Staff Daily sales'!$B854="","",TRIM('Staff Daily sales'!$B854&amp;""))</f>
        <v/>
      </c>
      <c r="B869" t="str">
        <f>IF('Staff Daily sales'!$D854="","",TRIM('Staff Daily sales'!$D854&amp;""))</f>
        <v/>
      </c>
      <c r="C869" t="str">
        <f>IFERROR(TRIM('Staff Daily sales'!$E854&amp;""),"")</f>
        <v/>
      </c>
      <c r="D869" t="str">
        <f>IFERROR(IF(TRIM('Staff Daily sales'!$F854&amp;"")="","Unassigned",TRIM('Staff Daily sales'!$F854&amp;"")),"Unassigned")</f>
        <v>Unassigned</v>
      </c>
      <c r="E869">
        <f t="shared" si="234"/>
        <v>0</v>
      </c>
      <c r="F869">
        <f>IF($E869=0,0,SUMPRODUCT($AI$5:$DF$5,'Staff Daily sales'!$G854:$CD854))</f>
        <v>0</v>
      </c>
      <c r="G869">
        <f>IF($E869=0,0,SUMPRODUCT($AI$6:$DF$6,'Staff Daily sales'!$G854:$CD854))</f>
        <v>0</v>
      </c>
      <c r="H869">
        <f t="shared" si="235"/>
        <v>0</v>
      </c>
      <c r="I869">
        <f t="shared" si="236"/>
        <v>0</v>
      </c>
      <c r="J869">
        <f t="shared" si="237"/>
        <v>0</v>
      </c>
      <c r="K869">
        <f t="shared" si="238"/>
        <v>0</v>
      </c>
      <c r="L869">
        <f>--AND($E869=1,OR('Staff Dashboard'!$B$6="All",$DH869='Staff Dashboard'!$B$6),OR('Staff Dashboard'!$B$7="All",$D869='Staff Dashboard'!$B$7),OR('Staff Dashboard'!$B$8="All",$A869='Staff Dashboard'!$B$8))</f>
        <v>0</v>
      </c>
      <c r="M869">
        <f>IF($E869=0,0,SUMPRODUCT($AI$7:$DF$7,'Staff Daily sales'!$G854:$CD854))</f>
        <v>0</v>
      </c>
      <c r="N869">
        <f>IF($E869=0,0,SUMPRODUCT($AI$8:$DF$8,'Staff Daily sales'!$G854:$CD854))</f>
        <v>0</v>
      </c>
      <c r="O869">
        <f>IF($E869=0,0,SUMPRODUCT($AI$9:$DF$9,'Staff Daily sales'!$G854:$CD854))</f>
        <v>0</v>
      </c>
      <c r="P869">
        <f>IF($E869=0,0,SUMPRODUCT($AI$10:$DF$10,'Staff Daily sales'!$G854:$CD854))</f>
        <v>0</v>
      </c>
      <c r="Q869">
        <f>IF($E869=0,0,SUMPRODUCT($AI$11:$DF$11,'Staff Daily sales'!$G854:$CD854))</f>
        <v>0</v>
      </c>
      <c r="R869">
        <f>IF($E869=0,0,SUMPRODUCT($AI$12:$DF$12,'Staff Daily sales'!$G854:$CD854))</f>
        <v>0</v>
      </c>
      <c r="S869">
        <f>IF($E869=0,0,SUMPRODUCT($AI$13:$DF$13,'Staff Daily sales'!$G854:$CD854))</f>
        <v>0</v>
      </c>
      <c r="T869">
        <f>IF($E869=0,0,SUMPRODUCT($AI$14:$DF$14,'Staff Daily sales'!$G854:$CD854))</f>
        <v>0</v>
      </c>
      <c r="U869">
        <f>IF($E869=0,0,SUMPRODUCT($AI$15:$DF$15,'Staff Daily sales'!$G854:$CD854))</f>
        <v>0</v>
      </c>
      <c r="V869">
        <f>IF($E869=0,0,SUMPRODUCT($AI$16:$DF$16,'Staff Daily sales'!$G854:$CD854))</f>
        <v>0</v>
      </c>
      <c r="W869">
        <f t="shared" si="239"/>
        <v>0</v>
      </c>
      <c r="X869">
        <f t="shared" si="240"/>
        <v>0</v>
      </c>
      <c r="Y869">
        <f t="shared" si="241"/>
        <v>0</v>
      </c>
      <c r="Z869">
        <f t="shared" si="242"/>
        <v>0</v>
      </c>
      <c r="AA869">
        <f t="shared" si="243"/>
        <v>0</v>
      </c>
      <c r="AB869">
        <f>--AND($E869=1,OR('Staff Weekly Trend'!$B$3="All",$DH869='Staff Weekly Trend'!$B$3),OR('Staff Weekly Trend'!$B$4="All",$D869='Staff Weekly Trend'!$B$4),OR('Staff Weekly Trend'!$B$5="All",$A869='Staff Weekly Trend'!$B$5))</f>
        <v>0</v>
      </c>
      <c r="AC869" t="str">
        <f t="shared" si="244"/>
        <v/>
      </c>
      <c r="AI869">
        <f t="shared" si="245"/>
        <v>0</v>
      </c>
      <c r="AJ869">
        <f t="shared" si="246"/>
        <v>0</v>
      </c>
      <c r="AK869">
        <f t="shared" si="247"/>
        <v>0</v>
      </c>
      <c r="AL869">
        <f t="shared" si="248"/>
        <v>0</v>
      </c>
      <c r="AM869">
        <f t="shared" si="249"/>
        <v>0</v>
      </c>
      <c r="DH869" t="str" cm="1">
        <f t="array" ref="DH869">IF($A869="","",_xlfn.LET(_xlpm.c,IFERROR(_xlfn.XLOOKUP($A869,TRIM('Sales and count'!$A$4:$A$300&amp;""),TRIM('Sales and count'!$B$4:$B$300&amp;"")),""),IF(OR(_xlpm.c="",_xlpm.c="0",LEFT(_xlpm.c,1)="#"),"Not set",_xlpm.c)))</f>
        <v/>
      </c>
    </row>
    <row r="870" spans="1:112" x14ac:dyDescent="0.25">
      <c r="A870" t="str">
        <f>IF('Staff Daily sales'!$B855="","",TRIM('Staff Daily sales'!$B855&amp;""))</f>
        <v/>
      </c>
      <c r="B870" t="str">
        <f>IF('Staff Daily sales'!$D855="","",TRIM('Staff Daily sales'!$D855&amp;""))</f>
        <v/>
      </c>
      <c r="C870" t="str">
        <f>IFERROR(TRIM('Staff Daily sales'!$E855&amp;""),"")</f>
        <v/>
      </c>
      <c r="D870" t="str">
        <f>IFERROR(IF(TRIM('Staff Daily sales'!$F855&amp;"")="","Unassigned",TRIM('Staff Daily sales'!$F855&amp;"")),"Unassigned")</f>
        <v>Unassigned</v>
      </c>
      <c r="E870">
        <f t="shared" si="234"/>
        <v>0</v>
      </c>
      <c r="F870">
        <f>IF($E870=0,0,SUMPRODUCT($AI$5:$DF$5,'Staff Daily sales'!$G855:$CD855))</f>
        <v>0</v>
      </c>
      <c r="G870">
        <f>IF($E870=0,0,SUMPRODUCT($AI$6:$DF$6,'Staff Daily sales'!$G855:$CD855))</f>
        <v>0</v>
      </c>
      <c r="H870">
        <f t="shared" si="235"/>
        <v>0</v>
      </c>
      <c r="I870">
        <f t="shared" si="236"/>
        <v>0</v>
      </c>
      <c r="J870">
        <f t="shared" si="237"/>
        <v>0</v>
      </c>
      <c r="K870">
        <f t="shared" si="238"/>
        <v>0</v>
      </c>
      <c r="L870">
        <f>--AND($E870=1,OR('Staff Dashboard'!$B$6="All",$DH870='Staff Dashboard'!$B$6),OR('Staff Dashboard'!$B$7="All",$D870='Staff Dashboard'!$B$7),OR('Staff Dashboard'!$B$8="All",$A870='Staff Dashboard'!$B$8))</f>
        <v>0</v>
      </c>
      <c r="M870">
        <f>IF($E870=0,0,SUMPRODUCT($AI$7:$DF$7,'Staff Daily sales'!$G855:$CD855))</f>
        <v>0</v>
      </c>
      <c r="N870">
        <f>IF($E870=0,0,SUMPRODUCT($AI$8:$DF$8,'Staff Daily sales'!$G855:$CD855))</f>
        <v>0</v>
      </c>
      <c r="O870">
        <f>IF($E870=0,0,SUMPRODUCT($AI$9:$DF$9,'Staff Daily sales'!$G855:$CD855))</f>
        <v>0</v>
      </c>
      <c r="P870">
        <f>IF($E870=0,0,SUMPRODUCT($AI$10:$DF$10,'Staff Daily sales'!$G855:$CD855))</f>
        <v>0</v>
      </c>
      <c r="Q870">
        <f>IF($E870=0,0,SUMPRODUCT($AI$11:$DF$11,'Staff Daily sales'!$G855:$CD855))</f>
        <v>0</v>
      </c>
      <c r="R870">
        <f>IF($E870=0,0,SUMPRODUCT($AI$12:$DF$12,'Staff Daily sales'!$G855:$CD855))</f>
        <v>0</v>
      </c>
      <c r="S870">
        <f>IF($E870=0,0,SUMPRODUCT($AI$13:$DF$13,'Staff Daily sales'!$G855:$CD855))</f>
        <v>0</v>
      </c>
      <c r="T870">
        <f>IF($E870=0,0,SUMPRODUCT($AI$14:$DF$14,'Staff Daily sales'!$G855:$CD855))</f>
        <v>0</v>
      </c>
      <c r="U870">
        <f>IF($E870=0,0,SUMPRODUCT($AI$15:$DF$15,'Staff Daily sales'!$G855:$CD855))</f>
        <v>0</v>
      </c>
      <c r="V870">
        <f>IF($E870=0,0,SUMPRODUCT($AI$16:$DF$16,'Staff Daily sales'!$G855:$CD855))</f>
        <v>0</v>
      </c>
      <c r="W870">
        <f t="shared" si="239"/>
        <v>0</v>
      </c>
      <c r="X870">
        <f t="shared" si="240"/>
        <v>0</v>
      </c>
      <c r="Y870">
        <f t="shared" si="241"/>
        <v>0</v>
      </c>
      <c r="Z870">
        <f t="shared" si="242"/>
        <v>0</v>
      </c>
      <c r="AA870">
        <f t="shared" si="243"/>
        <v>0</v>
      </c>
      <c r="AB870">
        <f>--AND($E870=1,OR('Staff Weekly Trend'!$B$3="All",$DH870='Staff Weekly Trend'!$B$3),OR('Staff Weekly Trend'!$B$4="All",$D870='Staff Weekly Trend'!$B$4),OR('Staff Weekly Trend'!$B$5="All",$A870='Staff Weekly Trend'!$B$5))</f>
        <v>0</v>
      </c>
      <c r="AC870" t="str">
        <f t="shared" si="244"/>
        <v/>
      </c>
      <c r="AI870">
        <f t="shared" si="245"/>
        <v>0</v>
      </c>
      <c r="AJ870">
        <f t="shared" si="246"/>
        <v>0</v>
      </c>
      <c r="AK870">
        <f t="shared" si="247"/>
        <v>0</v>
      </c>
      <c r="AL870">
        <f t="shared" si="248"/>
        <v>0</v>
      </c>
      <c r="AM870">
        <f t="shared" si="249"/>
        <v>0</v>
      </c>
      <c r="DH870" t="str" cm="1">
        <f t="array" ref="DH870">IF($A870="","",_xlfn.LET(_xlpm.c,IFERROR(_xlfn.XLOOKUP($A870,TRIM('Sales and count'!$A$4:$A$300&amp;""),TRIM('Sales and count'!$B$4:$B$300&amp;"")),""),IF(OR(_xlpm.c="",_xlpm.c="0",LEFT(_xlpm.c,1)="#"),"Not set",_xlpm.c)))</f>
        <v/>
      </c>
    </row>
    <row r="871" spans="1:112" x14ac:dyDescent="0.25">
      <c r="A871" t="str">
        <f>IF('Staff Daily sales'!$B856="","",TRIM('Staff Daily sales'!$B856&amp;""))</f>
        <v/>
      </c>
      <c r="B871" t="str">
        <f>IF('Staff Daily sales'!$D856="","",TRIM('Staff Daily sales'!$D856&amp;""))</f>
        <v/>
      </c>
      <c r="C871" t="str">
        <f>IFERROR(TRIM('Staff Daily sales'!$E856&amp;""),"")</f>
        <v/>
      </c>
      <c r="D871" t="str">
        <f>IFERROR(IF(TRIM('Staff Daily sales'!$F856&amp;"")="","Unassigned",TRIM('Staff Daily sales'!$F856&amp;"")),"Unassigned")</f>
        <v>Unassigned</v>
      </c>
      <c r="E871">
        <f t="shared" si="234"/>
        <v>0</v>
      </c>
      <c r="F871">
        <f>IF($E871=0,0,SUMPRODUCT($AI$5:$DF$5,'Staff Daily sales'!$G856:$CD856))</f>
        <v>0</v>
      </c>
      <c r="G871">
        <f>IF($E871=0,0,SUMPRODUCT($AI$6:$DF$6,'Staff Daily sales'!$G856:$CD856))</f>
        <v>0</v>
      </c>
      <c r="H871">
        <f t="shared" si="235"/>
        <v>0</v>
      </c>
      <c r="I871">
        <f t="shared" si="236"/>
        <v>0</v>
      </c>
      <c r="J871">
        <f t="shared" si="237"/>
        <v>0</v>
      </c>
      <c r="K871">
        <f t="shared" si="238"/>
        <v>0</v>
      </c>
      <c r="L871">
        <f>--AND($E871=1,OR('Staff Dashboard'!$B$6="All",$DH871='Staff Dashboard'!$B$6),OR('Staff Dashboard'!$B$7="All",$D871='Staff Dashboard'!$B$7),OR('Staff Dashboard'!$B$8="All",$A871='Staff Dashboard'!$B$8))</f>
        <v>0</v>
      </c>
      <c r="M871">
        <f>IF($E871=0,0,SUMPRODUCT($AI$7:$DF$7,'Staff Daily sales'!$G856:$CD856))</f>
        <v>0</v>
      </c>
      <c r="N871">
        <f>IF($E871=0,0,SUMPRODUCT($AI$8:$DF$8,'Staff Daily sales'!$G856:$CD856))</f>
        <v>0</v>
      </c>
      <c r="O871">
        <f>IF($E871=0,0,SUMPRODUCT($AI$9:$DF$9,'Staff Daily sales'!$G856:$CD856))</f>
        <v>0</v>
      </c>
      <c r="P871">
        <f>IF($E871=0,0,SUMPRODUCT($AI$10:$DF$10,'Staff Daily sales'!$G856:$CD856))</f>
        <v>0</v>
      </c>
      <c r="Q871">
        <f>IF($E871=0,0,SUMPRODUCT($AI$11:$DF$11,'Staff Daily sales'!$G856:$CD856))</f>
        <v>0</v>
      </c>
      <c r="R871">
        <f>IF($E871=0,0,SUMPRODUCT($AI$12:$DF$12,'Staff Daily sales'!$G856:$CD856))</f>
        <v>0</v>
      </c>
      <c r="S871">
        <f>IF($E871=0,0,SUMPRODUCT($AI$13:$DF$13,'Staff Daily sales'!$G856:$CD856))</f>
        <v>0</v>
      </c>
      <c r="T871">
        <f>IF($E871=0,0,SUMPRODUCT($AI$14:$DF$14,'Staff Daily sales'!$G856:$CD856))</f>
        <v>0</v>
      </c>
      <c r="U871">
        <f>IF($E871=0,0,SUMPRODUCT($AI$15:$DF$15,'Staff Daily sales'!$G856:$CD856))</f>
        <v>0</v>
      </c>
      <c r="V871">
        <f>IF($E871=0,0,SUMPRODUCT($AI$16:$DF$16,'Staff Daily sales'!$G856:$CD856))</f>
        <v>0</v>
      </c>
      <c r="W871">
        <f t="shared" si="239"/>
        <v>0</v>
      </c>
      <c r="X871">
        <f t="shared" si="240"/>
        <v>0</v>
      </c>
      <c r="Y871">
        <f t="shared" si="241"/>
        <v>0</v>
      </c>
      <c r="Z871">
        <f t="shared" si="242"/>
        <v>0</v>
      </c>
      <c r="AA871">
        <f t="shared" si="243"/>
        <v>0</v>
      </c>
      <c r="AB871">
        <f>--AND($E871=1,OR('Staff Weekly Trend'!$B$3="All",$DH871='Staff Weekly Trend'!$B$3),OR('Staff Weekly Trend'!$B$4="All",$D871='Staff Weekly Trend'!$B$4),OR('Staff Weekly Trend'!$B$5="All",$A871='Staff Weekly Trend'!$B$5))</f>
        <v>0</v>
      </c>
      <c r="AC871" t="str">
        <f t="shared" si="244"/>
        <v/>
      </c>
      <c r="AI871">
        <f t="shared" si="245"/>
        <v>0</v>
      </c>
      <c r="AJ871">
        <f t="shared" si="246"/>
        <v>0</v>
      </c>
      <c r="AK871">
        <f t="shared" si="247"/>
        <v>0</v>
      </c>
      <c r="AL871">
        <f t="shared" si="248"/>
        <v>0</v>
      </c>
      <c r="AM871">
        <f t="shared" si="249"/>
        <v>0</v>
      </c>
      <c r="DH871" t="str" cm="1">
        <f t="array" ref="DH871">IF($A871="","",_xlfn.LET(_xlpm.c,IFERROR(_xlfn.XLOOKUP($A871,TRIM('Sales and count'!$A$4:$A$300&amp;""),TRIM('Sales and count'!$B$4:$B$300&amp;"")),""),IF(OR(_xlpm.c="",_xlpm.c="0",LEFT(_xlpm.c,1)="#"),"Not set",_xlpm.c)))</f>
        <v/>
      </c>
    </row>
    <row r="872" spans="1:112" x14ac:dyDescent="0.25">
      <c r="A872" t="str">
        <f>IF('Staff Daily sales'!$B857="","",TRIM('Staff Daily sales'!$B857&amp;""))</f>
        <v/>
      </c>
      <c r="B872" t="str">
        <f>IF('Staff Daily sales'!$D857="","",TRIM('Staff Daily sales'!$D857&amp;""))</f>
        <v/>
      </c>
      <c r="C872" t="str">
        <f>IFERROR(TRIM('Staff Daily sales'!$E857&amp;""),"")</f>
        <v/>
      </c>
      <c r="D872" t="str">
        <f>IFERROR(IF(TRIM('Staff Daily sales'!$F857&amp;"")="","Unassigned",TRIM('Staff Daily sales'!$F857&amp;"")),"Unassigned")</f>
        <v>Unassigned</v>
      </c>
      <c r="E872">
        <f t="shared" si="234"/>
        <v>0</v>
      </c>
      <c r="F872">
        <f>IF($E872=0,0,SUMPRODUCT($AI$5:$DF$5,'Staff Daily sales'!$G857:$CD857))</f>
        <v>0</v>
      </c>
      <c r="G872">
        <f>IF($E872=0,0,SUMPRODUCT($AI$6:$DF$6,'Staff Daily sales'!$G857:$CD857))</f>
        <v>0</v>
      </c>
      <c r="H872">
        <f t="shared" si="235"/>
        <v>0</v>
      </c>
      <c r="I872">
        <f t="shared" si="236"/>
        <v>0</v>
      </c>
      <c r="J872">
        <f t="shared" si="237"/>
        <v>0</v>
      </c>
      <c r="K872">
        <f t="shared" si="238"/>
        <v>0</v>
      </c>
      <c r="L872">
        <f>--AND($E872=1,OR('Staff Dashboard'!$B$6="All",$DH872='Staff Dashboard'!$B$6),OR('Staff Dashboard'!$B$7="All",$D872='Staff Dashboard'!$B$7),OR('Staff Dashboard'!$B$8="All",$A872='Staff Dashboard'!$B$8))</f>
        <v>0</v>
      </c>
      <c r="M872">
        <f>IF($E872=0,0,SUMPRODUCT($AI$7:$DF$7,'Staff Daily sales'!$G857:$CD857))</f>
        <v>0</v>
      </c>
      <c r="N872">
        <f>IF($E872=0,0,SUMPRODUCT($AI$8:$DF$8,'Staff Daily sales'!$G857:$CD857))</f>
        <v>0</v>
      </c>
      <c r="O872">
        <f>IF($E872=0,0,SUMPRODUCT($AI$9:$DF$9,'Staff Daily sales'!$G857:$CD857))</f>
        <v>0</v>
      </c>
      <c r="P872">
        <f>IF($E872=0,0,SUMPRODUCT($AI$10:$DF$10,'Staff Daily sales'!$G857:$CD857))</f>
        <v>0</v>
      </c>
      <c r="Q872">
        <f>IF($E872=0,0,SUMPRODUCT($AI$11:$DF$11,'Staff Daily sales'!$G857:$CD857))</f>
        <v>0</v>
      </c>
      <c r="R872">
        <f>IF($E872=0,0,SUMPRODUCT($AI$12:$DF$12,'Staff Daily sales'!$G857:$CD857))</f>
        <v>0</v>
      </c>
      <c r="S872">
        <f>IF($E872=0,0,SUMPRODUCT($AI$13:$DF$13,'Staff Daily sales'!$G857:$CD857))</f>
        <v>0</v>
      </c>
      <c r="T872">
        <f>IF($E872=0,0,SUMPRODUCT($AI$14:$DF$14,'Staff Daily sales'!$G857:$CD857))</f>
        <v>0</v>
      </c>
      <c r="U872">
        <f>IF($E872=0,0,SUMPRODUCT($AI$15:$DF$15,'Staff Daily sales'!$G857:$CD857))</f>
        <v>0</v>
      </c>
      <c r="V872">
        <f>IF($E872=0,0,SUMPRODUCT($AI$16:$DF$16,'Staff Daily sales'!$G857:$CD857))</f>
        <v>0</v>
      </c>
      <c r="W872">
        <f t="shared" si="239"/>
        <v>0</v>
      </c>
      <c r="X872">
        <f t="shared" si="240"/>
        <v>0</v>
      </c>
      <c r="Y872">
        <f t="shared" si="241"/>
        <v>0</v>
      </c>
      <c r="Z872">
        <f t="shared" si="242"/>
        <v>0</v>
      </c>
      <c r="AA872">
        <f t="shared" si="243"/>
        <v>0</v>
      </c>
      <c r="AB872">
        <f>--AND($E872=1,OR('Staff Weekly Trend'!$B$3="All",$DH872='Staff Weekly Trend'!$B$3),OR('Staff Weekly Trend'!$B$4="All",$D872='Staff Weekly Trend'!$B$4),OR('Staff Weekly Trend'!$B$5="All",$A872='Staff Weekly Trend'!$B$5))</f>
        <v>0</v>
      </c>
      <c r="AC872" t="str">
        <f t="shared" si="244"/>
        <v/>
      </c>
      <c r="AI872">
        <f t="shared" si="245"/>
        <v>0</v>
      </c>
      <c r="AJ872">
        <f t="shared" si="246"/>
        <v>0</v>
      </c>
      <c r="AK872">
        <f t="shared" si="247"/>
        <v>0</v>
      </c>
      <c r="AL872">
        <f t="shared" si="248"/>
        <v>0</v>
      </c>
      <c r="AM872">
        <f t="shared" si="249"/>
        <v>0</v>
      </c>
      <c r="DH872" t="str" cm="1">
        <f t="array" ref="DH872">IF($A872="","",_xlfn.LET(_xlpm.c,IFERROR(_xlfn.XLOOKUP($A872,TRIM('Sales and count'!$A$4:$A$300&amp;""),TRIM('Sales and count'!$B$4:$B$300&amp;"")),""),IF(OR(_xlpm.c="",_xlpm.c="0",LEFT(_xlpm.c,1)="#"),"Not set",_xlpm.c)))</f>
        <v/>
      </c>
    </row>
    <row r="873" spans="1:112" x14ac:dyDescent="0.25">
      <c r="A873" t="str">
        <f>IF('Staff Daily sales'!$B858="","",TRIM('Staff Daily sales'!$B858&amp;""))</f>
        <v/>
      </c>
      <c r="B873" t="str">
        <f>IF('Staff Daily sales'!$D858="","",TRIM('Staff Daily sales'!$D858&amp;""))</f>
        <v/>
      </c>
      <c r="C873" t="str">
        <f>IFERROR(TRIM('Staff Daily sales'!$E858&amp;""),"")</f>
        <v/>
      </c>
      <c r="D873" t="str">
        <f>IFERROR(IF(TRIM('Staff Daily sales'!$F858&amp;"")="","Unassigned",TRIM('Staff Daily sales'!$F858&amp;"")),"Unassigned")</f>
        <v>Unassigned</v>
      </c>
      <c r="E873">
        <f t="shared" si="234"/>
        <v>0</v>
      </c>
      <c r="F873">
        <f>IF($E873=0,0,SUMPRODUCT($AI$5:$DF$5,'Staff Daily sales'!$G858:$CD858))</f>
        <v>0</v>
      </c>
      <c r="G873">
        <f>IF($E873=0,0,SUMPRODUCT($AI$6:$DF$6,'Staff Daily sales'!$G858:$CD858))</f>
        <v>0</v>
      </c>
      <c r="H873">
        <f t="shared" si="235"/>
        <v>0</v>
      </c>
      <c r="I873">
        <f t="shared" si="236"/>
        <v>0</v>
      </c>
      <c r="J873">
        <f t="shared" si="237"/>
        <v>0</v>
      </c>
      <c r="K873">
        <f t="shared" si="238"/>
        <v>0</v>
      </c>
      <c r="L873">
        <f>--AND($E873=1,OR('Staff Dashboard'!$B$6="All",$DH873='Staff Dashboard'!$B$6),OR('Staff Dashboard'!$B$7="All",$D873='Staff Dashboard'!$B$7),OR('Staff Dashboard'!$B$8="All",$A873='Staff Dashboard'!$B$8))</f>
        <v>0</v>
      </c>
      <c r="M873">
        <f>IF($E873=0,0,SUMPRODUCT($AI$7:$DF$7,'Staff Daily sales'!$G858:$CD858))</f>
        <v>0</v>
      </c>
      <c r="N873">
        <f>IF($E873=0,0,SUMPRODUCT($AI$8:$DF$8,'Staff Daily sales'!$G858:$CD858))</f>
        <v>0</v>
      </c>
      <c r="O873">
        <f>IF($E873=0,0,SUMPRODUCT($AI$9:$DF$9,'Staff Daily sales'!$G858:$CD858))</f>
        <v>0</v>
      </c>
      <c r="P873">
        <f>IF($E873=0,0,SUMPRODUCT($AI$10:$DF$10,'Staff Daily sales'!$G858:$CD858))</f>
        <v>0</v>
      </c>
      <c r="Q873">
        <f>IF($E873=0,0,SUMPRODUCT($AI$11:$DF$11,'Staff Daily sales'!$G858:$CD858))</f>
        <v>0</v>
      </c>
      <c r="R873">
        <f>IF($E873=0,0,SUMPRODUCT($AI$12:$DF$12,'Staff Daily sales'!$G858:$CD858))</f>
        <v>0</v>
      </c>
      <c r="S873">
        <f>IF($E873=0,0,SUMPRODUCT($AI$13:$DF$13,'Staff Daily sales'!$G858:$CD858))</f>
        <v>0</v>
      </c>
      <c r="T873">
        <f>IF($E873=0,0,SUMPRODUCT($AI$14:$DF$14,'Staff Daily sales'!$G858:$CD858))</f>
        <v>0</v>
      </c>
      <c r="U873">
        <f>IF($E873=0,0,SUMPRODUCT($AI$15:$DF$15,'Staff Daily sales'!$G858:$CD858))</f>
        <v>0</v>
      </c>
      <c r="V873">
        <f>IF($E873=0,0,SUMPRODUCT($AI$16:$DF$16,'Staff Daily sales'!$G858:$CD858))</f>
        <v>0</v>
      </c>
      <c r="W873">
        <f t="shared" si="239"/>
        <v>0</v>
      </c>
      <c r="X873">
        <f t="shared" si="240"/>
        <v>0</v>
      </c>
      <c r="Y873">
        <f t="shared" si="241"/>
        <v>0</v>
      </c>
      <c r="Z873">
        <f t="shared" si="242"/>
        <v>0</v>
      </c>
      <c r="AA873">
        <f t="shared" si="243"/>
        <v>0</v>
      </c>
      <c r="AB873">
        <f>--AND($E873=1,OR('Staff Weekly Trend'!$B$3="All",$DH873='Staff Weekly Trend'!$B$3),OR('Staff Weekly Trend'!$B$4="All",$D873='Staff Weekly Trend'!$B$4),OR('Staff Weekly Trend'!$B$5="All",$A873='Staff Weekly Trend'!$B$5))</f>
        <v>0</v>
      </c>
      <c r="AC873" t="str">
        <f t="shared" si="244"/>
        <v/>
      </c>
      <c r="AI873">
        <f t="shared" si="245"/>
        <v>0</v>
      </c>
      <c r="AJ873">
        <f t="shared" si="246"/>
        <v>0</v>
      </c>
      <c r="AK873">
        <f t="shared" si="247"/>
        <v>0</v>
      </c>
      <c r="AL873">
        <f t="shared" si="248"/>
        <v>0</v>
      </c>
      <c r="AM873">
        <f t="shared" si="249"/>
        <v>0</v>
      </c>
      <c r="DH873" t="str" cm="1">
        <f t="array" ref="DH873">IF($A873="","",_xlfn.LET(_xlpm.c,IFERROR(_xlfn.XLOOKUP($A873,TRIM('Sales and count'!$A$4:$A$300&amp;""),TRIM('Sales and count'!$B$4:$B$300&amp;"")),""),IF(OR(_xlpm.c="",_xlpm.c="0",LEFT(_xlpm.c,1)="#"),"Not set",_xlpm.c)))</f>
        <v/>
      </c>
    </row>
    <row r="874" spans="1:112" x14ac:dyDescent="0.25">
      <c r="A874" t="str">
        <f>IF('Staff Daily sales'!$B859="","",TRIM('Staff Daily sales'!$B859&amp;""))</f>
        <v/>
      </c>
      <c r="B874" t="str">
        <f>IF('Staff Daily sales'!$D859="","",TRIM('Staff Daily sales'!$D859&amp;""))</f>
        <v/>
      </c>
      <c r="C874" t="str">
        <f>IFERROR(TRIM('Staff Daily sales'!$E859&amp;""),"")</f>
        <v/>
      </c>
      <c r="D874" t="str">
        <f>IFERROR(IF(TRIM('Staff Daily sales'!$F859&amp;"")="","Unassigned",TRIM('Staff Daily sales'!$F859&amp;"")),"Unassigned")</f>
        <v>Unassigned</v>
      </c>
      <c r="E874">
        <f t="shared" si="234"/>
        <v>0</v>
      </c>
      <c r="F874">
        <f>IF($E874=0,0,SUMPRODUCT($AI$5:$DF$5,'Staff Daily sales'!$G859:$CD859))</f>
        <v>0</v>
      </c>
      <c r="G874">
        <f>IF($E874=0,0,SUMPRODUCT($AI$6:$DF$6,'Staff Daily sales'!$G859:$CD859))</f>
        <v>0</v>
      </c>
      <c r="H874">
        <f t="shared" si="235"/>
        <v>0</v>
      </c>
      <c r="I874">
        <f t="shared" si="236"/>
        <v>0</v>
      </c>
      <c r="J874">
        <f t="shared" si="237"/>
        <v>0</v>
      </c>
      <c r="K874">
        <f t="shared" si="238"/>
        <v>0</v>
      </c>
      <c r="L874">
        <f>--AND($E874=1,OR('Staff Dashboard'!$B$6="All",$DH874='Staff Dashboard'!$B$6),OR('Staff Dashboard'!$B$7="All",$D874='Staff Dashboard'!$B$7),OR('Staff Dashboard'!$B$8="All",$A874='Staff Dashboard'!$B$8))</f>
        <v>0</v>
      </c>
      <c r="M874">
        <f>IF($E874=0,0,SUMPRODUCT($AI$7:$DF$7,'Staff Daily sales'!$G859:$CD859))</f>
        <v>0</v>
      </c>
      <c r="N874">
        <f>IF($E874=0,0,SUMPRODUCT($AI$8:$DF$8,'Staff Daily sales'!$G859:$CD859))</f>
        <v>0</v>
      </c>
      <c r="O874">
        <f>IF($E874=0,0,SUMPRODUCT($AI$9:$DF$9,'Staff Daily sales'!$G859:$CD859))</f>
        <v>0</v>
      </c>
      <c r="P874">
        <f>IF($E874=0,0,SUMPRODUCT($AI$10:$DF$10,'Staff Daily sales'!$G859:$CD859))</f>
        <v>0</v>
      </c>
      <c r="Q874">
        <f>IF($E874=0,0,SUMPRODUCT($AI$11:$DF$11,'Staff Daily sales'!$G859:$CD859))</f>
        <v>0</v>
      </c>
      <c r="R874">
        <f>IF($E874=0,0,SUMPRODUCT($AI$12:$DF$12,'Staff Daily sales'!$G859:$CD859))</f>
        <v>0</v>
      </c>
      <c r="S874">
        <f>IF($E874=0,0,SUMPRODUCT($AI$13:$DF$13,'Staff Daily sales'!$G859:$CD859))</f>
        <v>0</v>
      </c>
      <c r="T874">
        <f>IF($E874=0,0,SUMPRODUCT($AI$14:$DF$14,'Staff Daily sales'!$G859:$CD859))</f>
        <v>0</v>
      </c>
      <c r="U874">
        <f>IF($E874=0,0,SUMPRODUCT($AI$15:$DF$15,'Staff Daily sales'!$G859:$CD859))</f>
        <v>0</v>
      </c>
      <c r="V874">
        <f>IF($E874=0,0,SUMPRODUCT($AI$16:$DF$16,'Staff Daily sales'!$G859:$CD859))</f>
        <v>0</v>
      </c>
      <c r="W874">
        <f t="shared" si="239"/>
        <v>0</v>
      </c>
      <c r="X874">
        <f t="shared" si="240"/>
        <v>0</v>
      </c>
      <c r="Y874">
        <f t="shared" si="241"/>
        <v>0</v>
      </c>
      <c r="Z874">
        <f t="shared" si="242"/>
        <v>0</v>
      </c>
      <c r="AA874">
        <f t="shared" si="243"/>
        <v>0</v>
      </c>
      <c r="AB874">
        <f>--AND($E874=1,OR('Staff Weekly Trend'!$B$3="All",$DH874='Staff Weekly Trend'!$B$3),OR('Staff Weekly Trend'!$B$4="All",$D874='Staff Weekly Trend'!$B$4),OR('Staff Weekly Trend'!$B$5="All",$A874='Staff Weekly Trend'!$B$5))</f>
        <v>0</v>
      </c>
      <c r="AC874" t="str">
        <f t="shared" si="244"/>
        <v/>
      </c>
      <c r="AI874">
        <f t="shared" si="245"/>
        <v>0</v>
      </c>
      <c r="AJ874">
        <f t="shared" si="246"/>
        <v>0</v>
      </c>
      <c r="AK874">
        <f t="shared" si="247"/>
        <v>0</v>
      </c>
      <c r="AL874">
        <f t="shared" si="248"/>
        <v>0</v>
      </c>
      <c r="AM874">
        <f t="shared" si="249"/>
        <v>0</v>
      </c>
      <c r="DH874" t="str" cm="1">
        <f t="array" ref="DH874">IF($A874="","",_xlfn.LET(_xlpm.c,IFERROR(_xlfn.XLOOKUP($A874,TRIM('Sales and count'!$A$4:$A$300&amp;""),TRIM('Sales and count'!$B$4:$B$300&amp;"")),""),IF(OR(_xlpm.c="",_xlpm.c="0",LEFT(_xlpm.c,1)="#"),"Not set",_xlpm.c)))</f>
        <v/>
      </c>
    </row>
    <row r="875" spans="1:112" x14ac:dyDescent="0.25">
      <c r="A875" t="str">
        <f>IF('Staff Daily sales'!$B860="","",TRIM('Staff Daily sales'!$B860&amp;""))</f>
        <v/>
      </c>
      <c r="B875" t="str">
        <f>IF('Staff Daily sales'!$D860="","",TRIM('Staff Daily sales'!$D860&amp;""))</f>
        <v/>
      </c>
      <c r="C875" t="str">
        <f>IFERROR(TRIM('Staff Daily sales'!$E860&amp;""),"")</f>
        <v/>
      </c>
      <c r="D875" t="str">
        <f>IFERROR(IF(TRIM('Staff Daily sales'!$F860&amp;"")="","Unassigned",TRIM('Staff Daily sales'!$F860&amp;"")),"Unassigned")</f>
        <v>Unassigned</v>
      </c>
      <c r="E875">
        <f t="shared" si="234"/>
        <v>0</v>
      </c>
      <c r="F875">
        <f>IF($E875=0,0,SUMPRODUCT($AI$5:$DF$5,'Staff Daily sales'!$G860:$CD860))</f>
        <v>0</v>
      </c>
      <c r="G875">
        <f>IF($E875=0,0,SUMPRODUCT($AI$6:$DF$6,'Staff Daily sales'!$G860:$CD860))</f>
        <v>0</v>
      </c>
      <c r="H875">
        <f t="shared" si="235"/>
        <v>0</v>
      </c>
      <c r="I875">
        <f t="shared" si="236"/>
        <v>0</v>
      </c>
      <c r="J875">
        <f t="shared" si="237"/>
        <v>0</v>
      </c>
      <c r="K875">
        <f t="shared" si="238"/>
        <v>0</v>
      </c>
      <c r="L875">
        <f>--AND($E875=1,OR('Staff Dashboard'!$B$6="All",$DH875='Staff Dashboard'!$B$6),OR('Staff Dashboard'!$B$7="All",$D875='Staff Dashboard'!$B$7),OR('Staff Dashboard'!$B$8="All",$A875='Staff Dashboard'!$B$8))</f>
        <v>0</v>
      </c>
      <c r="M875">
        <f>IF($E875=0,0,SUMPRODUCT($AI$7:$DF$7,'Staff Daily sales'!$G860:$CD860))</f>
        <v>0</v>
      </c>
      <c r="N875">
        <f>IF($E875=0,0,SUMPRODUCT($AI$8:$DF$8,'Staff Daily sales'!$G860:$CD860))</f>
        <v>0</v>
      </c>
      <c r="O875">
        <f>IF($E875=0,0,SUMPRODUCT($AI$9:$DF$9,'Staff Daily sales'!$G860:$CD860))</f>
        <v>0</v>
      </c>
      <c r="P875">
        <f>IF($E875=0,0,SUMPRODUCT($AI$10:$DF$10,'Staff Daily sales'!$G860:$CD860))</f>
        <v>0</v>
      </c>
      <c r="Q875">
        <f>IF($E875=0,0,SUMPRODUCT($AI$11:$DF$11,'Staff Daily sales'!$G860:$CD860))</f>
        <v>0</v>
      </c>
      <c r="R875">
        <f>IF($E875=0,0,SUMPRODUCT($AI$12:$DF$12,'Staff Daily sales'!$G860:$CD860))</f>
        <v>0</v>
      </c>
      <c r="S875">
        <f>IF($E875=0,0,SUMPRODUCT($AI$13:$DF$13,'Staff Daily sales'!$G860:$CD860))</f>
        <v>0</v>
      </c>
      <c r="T875">
        <f>IF($E875=0,0,SUMPRODUCT($AI$14:$DF$14,'Staff Daily sales'!$G860:$CD860))</f>
        <v>0</v>
      </c>
      <c r="U875">
        <f>IF($E875=0,0,SUMPRODUCT($AI$15:$DF$15,'Staff Daily sales'!$G860:$CD860))</f>
        <v>0</v>
      </c>
      <c r="V875">
        <f>IF($E875=0,0,SUMPRODUCT($AI$16:$DF$16,'Staff Daily sales'!$G860:$CD860))</f>
        <v>0</v>
      </c>
      <c r="W875">
        <f t="shared" si="239"/>
        <v>0</v>
      </c>
      <c r="X875">
        <f t="shared" si="240"/>
        <v>0</v>
      </c>
      <c r="Y875">
        <f t="shared" si="241"/>
        <v>0</v>
      </c>
      <c r="Z875">
        <f t="shared" si="242"/>
        <v>0</v>
      </c>
      <c r="AA875">
        <f t="shared" si="243"/>
        <v>0</v>
      </c>
      <c r="AB875">
        <f>--AND($E875=1,OR('Staff Weekly Trend'!$B$3="All",$DH875='Staff Weekly Trend'!$B$3),OR('Staff Weekly Trend'!$B$4="All",$D875='Staff Weekly Trend'!$B$4),OR('Staff Weekly Trend'!$B$5="All",$A875='Staff Weekly Trend'!$B$5))</f>
        <v>0</v>
      </c>
      <c r="AC875" t="str">
        <f t="shared" si="244"/>
        <v/>
      </c>
      <c r="AI875">
        <f t="shared" si="245"/>
        <v>0</v>
      </c>
      <c r="AJ875">
        <f t="shared" si="246"/>
        <v>0</v>
      </c>
      <c r="AK875">
        <f t="shared" si="247"/>
        <v>0</v>
      </c>
      <c r="AL875">
        <f t="shared" si="248"/>
        <v>0</v>
      </c>
      <c r="AM875">
        <f t="shared" si="249"/>
        <v>0</v>
      </c>
      <c r="DH875" t="str" cm="1">
        <f t="array" ref="DH875">IF($A875="","",_xlfn.LET(_xlpm.c,IFERROR(_xlfn.XLOOKUP($A875,TRIM('Sales and count'!$A$4:$A$300&amp;""),TRIM('Sales and count'!$B$4:$B$300&amp;"")),""),IF(OR(_xlpm.c="",_xlpm.c="0",LEFT(_xlpm.c,1)="#"),"Not set",_xlpm.c)))</f>
        <v/>
      </c>
    </row>
    <row r="876" spans="1:112" x14ac:dyDescent="0.25">
      <c r="A876" t="str">
        <f>IF('Staff Daily sales'!$B861="","",TRIM('Staff Daily sales'!$B861&amp;""))</f>
        <v/>
      </c>
      <c r="B876" t="str">
        <f>IF('Staff Daily sales'!$D861="","",TRIM('Staff Daily sales'!$D861&amp;""))</f>
        <v/>
      </c>
      <c r="C876" t="str">
        <f>IFERROR(TRIM('Staff Daily sales'!$E861&amp;""),"")</f>
        <v/>
      </c>
      <c r="D876" t="str">
        <f>IFERROR(IF(TRIM('Staff Daily sales'!$F861&amp;"")="","Unassigned",TRIM('Staff Daily sales'!$F861&amp;"")),"Unassigned")</f>
        <v>Unassigned</v>
      </c>
      <c r="E876">
        <f t="shared" si="234"/>
        <v>0</v>
      </c>
      <c r="F876">
        <f>IF($E876=0,0,SUMPRODUCT($AI$5:$DF$5,'Staff Daily sales'!$G861:$CD861))</f>
        <v>0</v>
      </c>
      <c r="G876">
        <f>IF($E876=0,0,SUMPRODUCT($AI$6:$DF$6,'Staff Daily sales'!$G861:$CD861))</f>
        <v>0</v>
      </c>
      <c r="H876">
        <f t="shared" si="235"/>
        <v>0</v>
      </c>
      <c r="I876">
        <f t="shared" si="236"/>
        <v>0</v>
      </c>
      <c r="J876">
        <f t="shared" si="237"/>
        <v>0</v>
      </c>
      <c r="K876">
        <f t="shared" si="238"/>
        <v>0</v>
      </c>
      <c r="L876">
        <f>--AND($E876=1,OR('Staff Dashboard'!$B$6="All",$DH876='Staff Dashboard'!$B$6),OR('Staff Dashboard'!$B$7="All",$D876='Staff Dashboard'!$B$7),OR('Staff Dashboard'!$B$8="All",$A876='Staff Dashboard'!$B$8))</f>
        <v>0</v>
      </c>
      <c r="M876">
        <f>IF($E876=0,0,SUMPRODUCT($AI$7:$DF$7,'Staff Daily sales'!$G861:$CD861))</f>
        <v>0</v>
      </c>
      <c r="N876">
        <f>IF($E876=0,0,SUMPRODUCT($AI$8:$DF$8,'Staff Daily sales'!$G861:$CD861))</f>
        <v>0</v>
      </c>
      <c r="O876">
        <f>IF($E876=0,0,SUMPRODUCT($AI$9:$DF$9,'Staff Daily sales'!$G861:$CD861))</f>
        <v>0</v>
      </c>
      <c r="P876">
        <f>IF($E876=0,0,SUMPRODUCT($AI$10:$DF$10,'Staff Daily sales'!$G861:$CD861))</f>
        <v>0</v>
      </c>
      <c r="Q876">
        <f>IF($E876=0,0,SUMPRODUCT($AI$11:$DF$11,'Staff Daily sales'!$G861:$CD861))</f>
        <v>0</v>
      </c>
      <c r="R876">
        <f>IF($E876=0,0,SUMPRODUCT($AI$12:$DF$12,'Staff Daily sales'!$G861:$CD861))</f>
        <v>0</v>
      </c>
      <c r="S876">
        <f>IF($E876=0,0,SUMPRODUCT($AI$13:$DF$13,'Staff Daily sales'!$G861:$CD861))</f>
        <v>0</v>
      </c>
      <c r="T876">
        <f>IF($E876=0,0,SUMPRODUCT($AI$14:$DF$14,'Staff Daily sales'!$G861:$CD861))</f>
        <v>0</v>
      </c>
      <c r="U876">
        <f>IF($E876=0,0,SUMPRODUCT($AI$15:$DF$15,'Staff Daily sales'!$G861:$CD861))</f>
        <v>0</v>
      </c>
      <c r="V876">
        <f>IF($E876=0,0,SUMPRODUCT($AI$16:$DF$16,'Staff Daily sales'!$G861:$CD861))</f>
        <v>0</v>
      </c>
      <c r="W876">
        <f t="shared" si="239"/>
        <v>0</v>
      </c>
      <c r="X876">
        <f t="shared" si="240"/>
        <v>0</v>
      </c>
      <c r="Y876">
        <f t="shared" si="241"/>
        <v>0</v>
      </c>
      <c r="Z876">
        <f t="shared" si="242"/>
        <v>0</v>
      </c>
      <c r="AA876">
        <f t="shared" si="243"/>
        <v>0</v>
      </c>
      <c r="AB876">
        <f>--AND($E876=1,OR('Staff Weekly Trend'!$B$3="All",$DH876='Staff Weekly Trend'!$B$3),OR('Staff Weekly Trend'!$B$4="All",$D876='Staff Weekly Trend'!$B$4),OR('Staff Weekly Trend'!$B$5="All",$A876='Staff Weekly Trend'!$B$5))</f>
        <v>0</v>
      </c>
      <c r="AC876" t="str">
        <f t="shared" si="244"/>
        <v/>
      </c>
      <c r="AI876">
        <f t="shared" si="245"/>
        <v>0</v>
      </c>
      <c r="AJ876">
        <f t="shared" si="246"/>
        <v>0</v>
      </c>
      <c r="AK876">
        <f t="shared" si="247"/>
        <v>0</v>
      </c>
      <c r="AL876">
        <f t="shared" si="248"/>
        <v>0</v>
      </c>
      <c r="AM876">
        <f t="shared" si="249"/>
        <v>0</v>
      </c>
      <c r="DH876" t="str" cm="1">
        <f t="array" ref="DH876">IF($A876="","",_xlfn.LET(_xlpm.c,IFERROR(_xlfn.XLOOKUP($A876,TRIM('Sales and count'!$A$4:$A$300&amp;""),TRIM('Sales and count'!$B$4:$B$300&amp;"")),""),IF(OR(_xlpm.c="",_xlpm.c="0",LEFT(_xlpm.c,1)="#"),"Not set",_xlpm.c)))</f>
        <v/>
      </c>
    </row>
    <row r="877" spans="1:112" x14ac:dyDescent="0.25">
      <c r="A877" t="str">
        <f>IF('Staff Daily sales'!$B862="","",TRIM('Staff Daily sales'!$B862&amp;""))</f>
        <v/>
      </c>
      <c r="B877" t="str">
        <f>IF('Staff Daily sales'!$D862="","",TRIM('Staff Daily sales'!$D862&amp;""))</f>
        <v/>
      </c>
      <c r="C877" t="str">
        <f>IFERROR(TRIM('Staff Daily sales'!$E862&amp;""),"")</f>
        <v/>
      </c>
      <c r="D877" t="str">
        <f>IFERROR(IF(TRIM('Staff Daily sales'!$F862&amp;"")="","Unassigned",TRIM('Staff Daily sales'!$F862&amp;"")),"Unassigned")</f>
        <v>Unassigned</v>
      </c>
      <c r="E877">
        <f t="shared" si="234"/>
        <v>0</v>
      </c>
      <c r="F877">
        <f>IF($E877=0,0,SUMPRODUCT($AI$5:$DF$5,'Staff Daily sales'!$G862:$CD862))</f>
        <v>0</v>
      </c>
      <c r="G877">
        <f>IF($E877=0,0,SUMPRODUCT($AI$6:$DF$6,'Staff Daily sales'!$G862:$CD862))</f>
        <v>0</v>
      </c>
      <c r="H877">
        <f t="shared" si="235"/>
        <v>0</v>
      </c>
      <c r="I877">
        <f t="shared" si="236"/>
        <v>0</v>
      </c>
      <c r="J877">
        <f t="shared" si="237"/>
        <v>0</v>
      </c>
      <c r="K877">
        <f t="shared" si="238"/>
        <v>0</v>
      </c>
      <c r="L877">
        <f>--AND($E877=1,OR('Staff Dashboard'!$B$6="All",$DH877='Staff Dashboard'!$B$6),OR('Staff Dashboard'!$B$7="All",$D877='Staff Dashboard'!$B$7),OR('Staff Dashboard'!$B$8="All",$A877='Staff Dashboard'!$B$8))</f>
        <v>0</v>
      </c>
      <c r="M877">
        <f>IF($E877=0,0,SUMPRODUCT($AI$7:$DF$7,'Staff Daily sales'!$G862:$CD862))</f>
        <v>0</v>
      </c>
      <c r="N877">
        <f>IF($E877=0,0,SUMPRODUCT($AI$8:$DF$8,'Staff Daily sales'!$G862:$CD862))</f>
        <v>0</v>
      </c>
      <c r="O877">
        <f>IF($E877=0,0,SUMPRODUCT($AI$9:$DF$9,'Staff Daily sales'!$G862:$CD862))</f>
        <v>0</v>
      </c>
      <c r="P877">
        <f>IF($E877=0,0,SUMPRODUCT($AI$10:$DF$10,'Staff Daily sales'!$G862:$CD862))</f>
        <v>0</v>
      </c>
      <c r="Q877">
        <f>IF($E877=0,0,SUMPRODUCT($AI$11:$DF$11,'Staff Daily sales'!$G862:$CD862))</f>
        <v>0</v>
      </c>
      <c r="R877">
        <f>IF($E877=0,0,SUMPRODUCT($AI$12:$DF$12,'Staff Daily sales'!$G862:$CD862))</f>
        <v>0</v>
      </c>
      <c r="S877">
        <f>IF($E877=0,0,SUMPRODUCT($AI$13:$DF$13,'Staff Daily sales'!$G862:$CD862))</f>
        <v>0</v>
      </c>
      <c r="T877">
        <f>IF($E877=0,0,SUMPRODUCT($AI$14:$DF$14,'Staff Daily sales'!$G862:$CD862))</f>
        <v>0</v>
      </c>
      <c r="U877">
        <f>IF($E877=0,0,SUMPRODUCT($AI$15:$DF$15,'Staff Daily sales'!$G862:$CD862))</f>
        <v>0</v>
      </c>
      <c r="V877">
        <f>IF($E877=0,0,SUMPRODUCT($AI$16:$DF$16,'Staff Daily sales'!$G862:$CD862))</f>
        <v>0</v>
      </c>
      <c r="W877">
        <f t="shared" si="239"/>
        <v>0</v>
      </c>
      <c r="X877">
        <f t="shared" si="240"/>
        <v>0</v>
      </c>
      <c r="Y877">
        <f t="shared" si="241"/>
        <v>0</v>
      </c>
      <c r="Z877">
        <f t="shared" si="242"/>
        <v>0</v>
      </c>
      <c r="AA877">
        <f t="shared" si="243"/>
        <v>0</v>
      </c>
      <c r="AB877">
        <f>--AND($E877=1,OR('Staff Weekly Trend'!$B$3="All",$DH877='Staff Weekly Trend'!$B$3),OR('Staff Weekly Trend'!$B$4="All",$D877='Staff Weekly Trend'!$B$4),OR('Staff Weekly Trend'!$B$5="All",$A877='Staff Weekly Trend'!$B$5))</f>
        <v>0</v>
      </c>
      <c r="AC877" t="str">
        <f t="shared" si="244"/>
        <v/>
      </c>
      <c r="AI877">
        <f t="shared" si="245"/>
        <v>0</v>
      </c>
      <c r="AJ877">
        <f t="shared" si="246"/>
        <v>0</v>
      </c>
      <c r="AK877">
        <f t="shared" si="247"/>
        <v>0</v>
      </c>
      <c r="AL877">
        <f t="shared" si="248"/>
        <v>0</v>
      </c>
      <c r="AM877">
        <f t="shared" si="249"/>
        <v>0</v>
      </c>
      <c r="DH877" t="str" cm="1">
        <f t="array" ref="DH877">IF($A877="","",_xlfn.LET(_xlpm.c,IFERROR(_xlfn.XLOOKUP($A877,TRIM('Sales and count'!$A$4:$A$300&amp;""),TRIM('Sales and count'!$B$4:$B$300&amp;"")),""),IF(OR(_xlpm.c="",_xlpm.c="0",LEFT(_xlpm.c,1)="#"),"Not set",_xlpm.c)))</f>
        <v/>
      </c>
    </row>
    <row r="878" spans="1:112" x14ac:dyDescent="0.25">
      <c r="A878" t="str">
        <f>IF('Staff Daily sales'!$B863="","",TRIM('Staff Daily sales'!$B863&amp;""))</f>
        <v/>
      </c>
      <c r="B878" t="str">
        <f>IF('Staff Daily sales'!$D863="","",TRIM('Staff Daily sales'!$D863&amp;""))</f>
        <v/>
      </c>
      <c r="C878" t="str">
        <f>IFERROR(TRIM('Staff Daily sales'!$E863&amp;""),"")</f>
        <v/>
      </c>
      <c r="D878" t="str">
        <f>IFERROR(IF(TRIM('Staff Daily sales'!$F863&amp;"")="","Unassigned",TRIM('Staff Daily sales'!$F863&amp;"")),"Unassigned")</f>
        <v>Unassigned</v>
      </c>
      <c r="E878">
        <f t="shared" si="234"/>
        <v>0</v>
      </c>
      <c r="F878">
        <f>IF($E878=0,0,SUMPRODUCT($AI$5:$DF$5,'Staff Daily sales'!$G863:$CD863))</f>
        <v>0</v>
      </c>
      <c r="G878">
        <f>IF($E878=0,0,SUMPRODUCT($AI$6:$DF$6,'Staff Daily sales'!$G863:$CD863))</f>
        <v>0</v>
      </c>
      <c r="H878">
        <f t="shared" si="235"/>
        <v>0</v>
      </c>
      <c r="I878">
        <f t="shared" si="236"/>
        <v>0</v>
      </c>
      <c r="J878">
        <f t="shared" si="237"/>
        <v>0</v>
      </c>
      <c r="K878">
        <f t="shared" si="238"/>
        <v>0</v>
      </c>
      <c r="L878">
        <f>--AND($E878=1,OR('Staff Dashboard'!$B$6="All",$DH878='Staff Dashboard'!$B$6),OR('Staff Dashboard'!$B$7="All",$D878='Staff Dashboard'!$B$7),OR('Staff Dashboard'!$B$8="All",$A878='Staff Dashboard'!$B$8))</f>
        <v>0</v>
      </c>
      <c r="M878">
        <f>IF($E878=0,0,SUMPRODUCT($AI$7:$DF$7,'Staff Daily sales'!$G863:$CD863))</f>
        <v>0</v>
      </c>
      <c r="N878">
        <f>IF($E878=0,0,SUMPRODUCT($AI$8:$DF$8,'Staff Daily sales'!$G863:$CD863))</f>
        <v>0</v>
      </c>
      <c r="O878">
        <f>IF($E878=0,0,SUMPRODUCT($AI$9:$DF$9,'Staff Daily sales'!$G863:$CD863))</f>
        <v>0</v>
      </c>
      <c r="P878">
        <f>IF($E878=0,0,SUMPRODUCT($AI$10:$DF$10,'Staff Daily sales'!$G863:$CD863))</f>
        <v>0</v>
      </c>
      <c r="Q878">
        <f>IF($E878=0,0,SUMPRODUCT($AI$11:$DF$11,'Staff Daily sales'!$G863:$CD863))</f>
        <v>0</v>
      </c>
      <c r="R878">
        <f>IF($E878=0,0,SUMPRODUCT($AI$12:$DF$12,'Staff Daily sales'!$G863:$CD863))</f>
        <v>0</v>
      </c>
      <c r="S878">
        <f>IF($E878=0,0,SUMPRODUCT($AI$13:$DF$13,'Staff Daily sales'!$G863:$CD863))</f>
        <v>0</v>
      </c>
      <c r="T878">
        <f>IF($E878=0,0,SUMPRODUCT($AI$14:$DF$14,'Staff Daily sales'!$G863:$CD863))</f>
        <v>0</v>
      </c>
      <c r="U878">
        <f>IF($E878=0,0,SUMPRODUCT($AI$15:$DF$15,'Staff Daily sales'!$G863:$CD863))</f>
        <v>0</v>
      </c>
      <c r="V878">
        <f>IF($E878=0,0,SUMPRODUCT($AI$16:$DF$16,'Staff Daily sales'!$G863:$CD863))</f>
        <v>0</v>
      </c>
      <c r="W878">
        <f t="shared" si="239"/>
        <v>0</v>
      </c>
      <c r="X878">
        <f t="shared" si="240"/>
        <v>0</v>
      </c>
      <c r="Y878">
        <f t="shared" si="241"/>
        <v>0</v>
      </c>
      <c r="Z878">
        <f t="shared" si="242"/>
        <v>0</v>
      </c>
      <c r="AA878">
        <f t="shared" si="243"/>
        <v>0</v>
      </c>
      <c r="AB878">
        <f>--AND($E878=1,OR('Staff Weekly Trend'!$B$3="All",$DH878='Staff Weekly Trend'!$B$3),OR('Staff Weekly Trend'!$B$4="All",$D878='Staff Weekly Trend'!$B$4),OR('Staff Weekly Trend'!$B$5="All",$A878='Staff Weekly Trend'!$B$5))</f>
        <v>0</v>
      </c>
      <c r="AC878" t="str">
        <f t="shared" si="244"/>
        <v/>
      </c>
      <c r="AI878">
        <f t="shared" si="245"/>
        <v>0</v>
      </c>
      <c r="AJ878">
        <f t="shared" si="246"/>
        <v>0</v>
      </c>
      <c r="AK878">
        <f t="shared" si="247"/>
        <v>0</v>
      </c>
      <c r="AL878">
        <f t="shared" si="248"/>
        <v>0</v>
      </c>
      <c r="AM878">
        <f t="shared" si="249"/>
        <v>0</v>
      </c>
      <c r="DH878" t="str" cm="1">
        <f t="array" ref="DH878">IF($A878="","",_xlfn.LET(_xlpm.c,IFERROR(_xlfn.XLOOKUP($A878,TRIM('Sales and count'!$A$4:$A$300&amp;""),TRIM('Sales and count'!$B$4:$B$300&amp;"")),""),IF(OR(_xlpm.c="",_xlpm.c="0",LEFT(_xlpm.c,1)="#"),"Not set",_xlpm.c)))</f>
        <v/>
      </c>
    </row>
    <row r="879" spans="1:112" x14ac:dyDescent="0.25">
      <c r="A879" t="str">
        <f>IF('Staff Daily sales'!$B864="","",TRIM('Staff Daily sales'!$B864&amp;""))</f>
        <v/>
      </c>
      <c r="B879" t="str">
        <f>IF('Staff Daily sales'!$D864="","",TRIM('Staff Daily sales'!$D864&amp;""))</f>
        <v/>
      </c>
      <c r="C879" t="str">
        <f>IFERROR(TRIM('Staff Daily sales'!$E864&amp;""),"")</f>
        <v/>
      </c>
      <c r="D879" t="str">
        <f>IFERROR(IF(TRIM('Staff Daily sales'!$F864&amp;"")="","Unassigned",TRIM('Staff Daily sales'!$F864&amp;"")),"Unassigned")</f>
        <v>Unassigned</v>
      </c>
      <c r="E879">
        <f t="shared" si="234"/>
        <v>0</v>
      </c>
      <c r="F879">
        <f>IF($E879=0,0,SUMPRODUCT($AI$5:$DF$5,'Staff Daily sales'!$G864:$CD864))</f>
        <v>0</v>
      </c>
      <c r="G879">
        <f>IF($E879=0,0,SUMPRODUCT($AI$6:$DF$6,'Staff Daily sales'!$G864:$CD864))</f>
        <v>0</v>
      </c>
      <c r="H879">
        <f t="shared" si="235"/>
        <v>0</v>
      </c>
      <c r="I879">
        <f t="shared" si="236"/>
        <v>0</v>
      </c>
      <c r="J879">
        <f t="shared" si="237"/>
        <v>0</v>
      </c>
      <c r="K879">
        <f t="shared" si="238"/>
        <v>0</v>
      </c>
      <c r="L879">
        <f>--AND($E879=1,OR('Staff Dashboard'!$B$6="All",$DH879='Staff Dashboard'!$B$6),OR('Staff Dashboard'!$B$7="All",$D879='Staff Dashboard'!$B$7),OR('Staff Dashboard'!$B$8="All",$A879='Staff Dashboard'!$B$8))</f>
        <v>0</v>
      </c>
      <c r="M879">
        <f>IF($E879=0,0,SUMPRODUCT($AI$7:$DF$7,'Staff Daily sales'!$G864:$CD864))</f>
        <v>0</v>
      </c>
      <c r="N879">
        <f>IF($E879=0,0,SUMPRODUCT($AI$8:$DF$8,'Staff Daily sales'!$G864:$CD864))</f>
        <v>0</v>
      </c>
      <c r="O879">
        <f>IF($E879=0,0,SUMPRODUCT($AI$9:$DF$9,'Staff Daily sales'!$G864:$CD864))</f>
        <v>0</v>
      </c>
      <c r="P879">
        <f>IF($E879=0,0,SUMPRODUCT($AI$10:$DF$10,'Staff Daily sales'!$G864:$CD864))</f>
        <v>0</v>
      </c>
      <c r="Q879">
        <f>IF($E879=0,0,SUMPRODUCT($AI$11:$DF$11,'Staff Daily sales'!$G864:$CD864))</f>
        <v>0</v>
      </c>
      <c r="R879">
        <f>IF($E879=0,0,SUMPRODUCT($AI$12:$DF$12,'Staff Daily sales'!$G864:$CD864))</f>
        <v>0</v>
      </c>
      <c r="S879">
        <f>IF($E879=0,0,SUMPRODUCT($AI$13:$DF$13,'Staff Daily sales'!$G864:$CD864))</f>
        <v>0</v>
      </c>
      <c r="T879">
        <f>IF($E879=0,0,SUMPRODUCT($AI$14:$DF$14,'Staff Daily sales'!$G864:$CD864))</f>
        <v>0</v>
      </c>
      <c r="U879">
        <f>IF($E879=0,0,SUMPRODUCT($AI$15:$DF$15,'Staff Daily sales'!$G864:$CD864))</f>
        <v>0</v>
      </c>
      <c r="V879">
        <f>IF($E879=0,0,SUMPRODUCT($AI$16:$DF$16,'Staff Daily sales'!$G864:$CD864))</f>
        <v>0</v>
      </c>
      <c r="W879">
        <f t="shared" si="239"/>
        <v>0</v>
      </c>
      <c r="X879">
        <f t="shared" si="240"/>
        <v>0</v>
      </c>
      <c r="Y879">
        <f t="shared" si="241"/>
        <v>0</v>
      </c>
      <c r="Z879">
        <f t="shared" si="242"/>
        <v>0</v>
      </c>
      <c r="AA879">
        <f t="shared" si="243"/>
        <v>0</v>
      </c>
      <c r="AB879">
        <f>--AND($E879=1,OR('Staff Weekly Trend'!$B$3="All",$DH879='Staff Weekly Trend'!$B$3),OR('Staff Weekly Trend'!$B$4="All",$D879='Staff Weekly Trend'!$B$4),OR('Staff Weekly Trend'!$B$5="All",$A879='Staff Weekly Trend'!$B$5))</f>
        <v>0</v>
      </c>
      <c r="AC879" t="str">
        <f t="shared" si="244"/>
        <v/>
      </c>
      <c r="AI879">
        <f t="shared" si="245"/>
        <v>0</v>
      </c>
      <c r="AJ879">
        <f t="shared" si="246"/>
        <v>0</v>
      </c>
      <c r="AK879">
        <f t="shared" si="247"/>
        <v>0</v>
      </c>
      <c r="AL879">
        <f t="shared" si="248"/>
        <v>0</v>
      </c>
      <c r="AM879">
        <f t="shared" si="249"/>
        <v>0</v>
      </c>
      <c r="DH879" t="str" cm="1">
        <f t="array" ref="DH879">IF($A879="","",_xlfn.LET(_xlpm.c,IFERROR(_xlfn.XLOOKUP($A879,TRIM('Sales and count'!$A$4:$A$300&amp;""),TRIM('Sales and count'!$B$4:$B$300&amp;"")),""),IF(OR(_xlpm.c="",_xlpm.c="0",LEFT(_xlpm.c,1)="#"),"Not set",_xlpm.c)))</f>
        <v/>
      </c>
    </row>
    <row r="880" spans="1:112" x14ac:dyDescent="0.25">
      <c r="A880" t="str">
        <f>IF('Staff Daily sales'!$B865="","",TRIM('Staff Daily sales'!$B865&amp;""))</f>
        <v/>
      </c>
      <c r="B880" t="str">
        <f>IF('Staff Daily sales'!$D865="","",TRIM('Staff Daily sales'!$D865&amp;""))</f>
        <v/>
      </c>
      <c r="C880" t="str">
        <f>IFERROR(TRIM('Staff Daily sales'!$E865&amp;""),"")</f>
        <v/>
      </c>
      <c r="D880" t="str">
        <f>IFERROR(IF(TRIM('Staff Daily sales'!$F865&amp;"")="","Unassigned",TRIM('Staff Daily sales'!$F865&amp;"")),"Unassigned")</f>
        <v>Unassigned</v>
      </c>
      <c r="E880">
        <f t="shared" si="234"/>
        <v>0</v>
      </c>
      <c r="F880">
        <f>IF($E880=0,0,SUMPRODUCT($AI$5:$DF$5,'Staff Daily sales'!$G865:$CD865))</f>
        <v>0</v>
      </c>
      <c r="G880">
        <f>IF($E880=0,0,SUMPRODUCT($AI$6:$DF$6,'Staff Daily sales'!$G865:$CD865))</f>
        <v>0</v>
      </c>
      <c r="H880">
        <f t="shared" si="235"/>
        <v>0</v>
      </c>
      <c r="I880">
        <f t="shared" si="236"/>
        <v>0</v>
      </c>
      <c r="J880">
        <f t="shared" si="237"/>
        <v>0</v>
      </c>
      <c r="K880">
        <f t="shared" si="238"/>
        <v>0</v>
      </c>
      <c r="L880">
        <f>--AND($E880=1,OR('Staff Dashboard'!$B$6="All",$DH880='Staff Dashboard'!$B$6),OR('Staff Dashboard'!$B$7="All",$D880='Staff Dashboard'!$B$7),OR('Staff Dashboard'!$B$8="All",$A880='Staff Dashboard'!$B$8))</f>
        <v>0</v>
      </c>
      <c r="M880">
        <f>IF($E880=0,0,SUMPRODUCT($AI$7:$DF$7,'Staff Daily sales'!$G865:$CD865))</f>
        <v>0</v>
      </c>
      <c r="N880">
        <f>IF($E880=0,0,SUMPRODUCT($AI$8:$DF$8,'Staff Daily sales'!$G865:$CD865))</f>
        <v>0</v>
      </c>
      <c r="O880">
        <f>IF($E880=0,0,SUMPRODUCT($AI$9:$DF$9,'Staff Daily sales'!$G865:$CD865))</f>
        <v>0</v>
      </c>
      <c r="P880">
        <f>IF($E880=0,0,SUMPRODUCT($AI$10:$DF$10,'Staff Daily sales'!$G865:$CD865))</f>
        <v>0</v>
      </c>
      <c r="Q880">
        <f>IF($E880=0,0,SUMPRODUCT($AI$11:$DF$11,'Staff Daily sales'!$G865:$CD865))</f>
        <v>0</v>
      </c>
      <c r="R880">
        <f>IF($E880=0,0,SUMPRODUCT($AI$12:$DF$12,'Staff Daily sales'!$G865:$CD865))</f>
        <v>0</v>
      </c>
      <c r="S880">
        <f>IF($E880=0,0,SUMPRODUCT($AI$13:$DF$13,'Staff Daily sales'!$G865:$CD865))</f>
        <v>0</v>
      </c>
      <c r="T880">
        <f>IF($E880=0,0,SUMPRODUCT($AI$14:$DF$14,'Staff Daily sales'!$G865:$CD865))</f>
        <v>0</v>
      </c>
      <c r="U880">
        <f>IF($E880=0,0,SUMPRODUCT($AI$15:$DF$15,'Staff Daily sales'!$G865:$CD865))</f>
        <v>0</v>
      </c>
      <c r="V880">
        <f>IF($E880=0,0,SUMPRODUCT($AI$16:$DF$16,'Staff Daily sales'!$G865:$CD865))</f>
        <v>0</v>
      </c>
      <c r="W880">
        <f t="shared" si="239"/>
        <v>0</v>
      </c>
      <c r="X880">
        <f t="shared" si="240"/>
        <v>0</v>
      </c>
      <c r="Y880">
        <f t="shared" si="241"/>
        <v>0</v>
      </c>
      <c r="Z880">
        <f t="shared" si="242"/>
        <v>0</v>
      </c>
      <c r="AA880">
        <f t="shared" si="243"/>
        <v>0</v>
      </c>
      <c r="AB880">
        <f>--AND($E880=1,OR('Staff Weekly Trend'!$B$3="All",$DH880='Staff Weekly Trend'!$B$3),OR('Staff Weekly Trend'!$B$4="All",$D880='Staff Weekly Trend'!$B$4),OR('Staff Weekly Trend'!$B$5="All",$A880='Staff Weekly Trend'!$B$5))</f>
        <v>0</v>
      </c>
      <c r="AC880" t="str">
        <f t="shared" si="244"/>
        <v/>
      </c>
      <c r="AI880">
        <f t="shared" si="245"/>
        <v>0</v>
      </c>
      <c r="AJ880">
        <f t="shared" si="246"/>
        <v>0</v>
      </c>
      <c r="AK880">
        <f t="shared" si="247"/>
        <v>0</v>
      </c>
      <c r="AL880">
        <f t="shared" si="248"/>
        <v>0</v>
      </c>
      <c r="AM880">
        <f t="shared" si="249"/>
        <v>0</v>
      </c>
      <c r="DH880" t="str" cm="1">
        <f t="array" ref="DH880">IF($A880="","",_xlfn.LET(_xlpm.c,IFERROR(_xlfn.XLOOKUP($A880,TRIM('Sales and count'!$A$4:$A$300&amp;""),TRIM('Sales and count'!$B$4:$B$300&amp;"")),""),IF(OR(_xlpm.c="",_xlpm.c="0",LEFT(_xlpm.c,1)="#"),"Not set",_xlpm.c)))</f>
        <v/>
      </c>
    </row>
    <row r="881" spans="1:112" x14ac:dyDescent="0.25">
      <c r="A881" t="str">
        <f>IF('Staff Daily sales'!$B866="","",TRIM('Staff Daily sales'!$B866&amp;""))</f>
        <v/>
      </c>
      <c r="B881" t="str">
        <f>IF('Staff Daily sales'!$D866="","",TRIM('Staff Daily sales'!$D866&amp;""))</f>
        <v/>
      </c>
      <c r="C881" t="str">
        <f>IFERROR(TRIM('Staff Daily sales'!$E866&amp;""),"")</f>
        <v/>
      </c>
      <c r="D881" t="str">
        <f>IFERROR(IF(TRIM('Staff Daily sales'!$F866&amp;"")="","Unassigned",TRIM('Staff Daily sales'!$F866&amp;"")),"Unassigned")</f>
        <v>Unassigned</v>
      </c>
      <c r="E881">
        <f t="shared" si="234"/>
        <v>0</v>
      </c>
      <c r="F881">
        <f>IF($E881=0,0,SUMPRODUCT($AI$5:$DF$5,'Staff Daily sales'!$G866:$CD866))</f>
        <v>0</v>
      </c>
      <c r="G881">
        <f>IF($E881=0,0,SUMPRODUCT($AI$6:$DF$6,'Staff Daily sales'!$G866:$CD866))</f>
        <v>0</v>
      </c>
      <c r="H881">
        <f t="shared" si="235"/>
        <v>0</v>
      </c>
      <c r="I881">
        <f t="shared" si="236"/>
        <v>0</v>
      </c>
      <c r="J881">
        <f t="shared" si="237"/>
        <v>0</v>
      </c>
      <c r="K881">
        <f t="shared" si="238"/>
        <v>0</v>
      </c>
      <c r="L881">
        <f>--AND($E881=1,OR('Staff Dashboard'!$B$6="All",$DH881='Staff Dashboard'!$B$6),OR('Staff Dashboard'!$B$7="All",$D881='Staff Dashboard'!$B$7),OR('Staff Dashboard'!$B$8="All",$A881='Staff Dashboard'!$B$8))</f>
        <v>0</v>
      </c>
      <c r="M881">
        <f>IF($E881=0,0,SUMPRODUCT($AI$7:$DF$7,'Staff Daily sales'!$G866:$CD866))</f>
        <v>0</v>
      </c>
      <c r="N881">
        <f>IF($E881=0,0,SUMPRODUCT($AI$8:$DF$8,'Staff Daily sales'!$G866:$CD866))</f>
        <v>0</v>
      </c>
      <c r="O881">
        <f>IF($E881=0,0,SUMPRODUCT($AI$9:$DF$9,'Staff Daily sales'!$G866:$CD866))</f>
        <v>0</v>
      </c>
      <c r="P881">
        <f>IF($E881=0,0,SUMPRODUCT($AI$10:$DF$10,'Staff Daily sales'!$G866:$CD866))</f>
        <v>0</v>
      </c>
      <c r="Q881">
        <f>IF($E881=0,0,SUMPRODUCT($AI$11:$DF$11,'Staff Daily sales'!$G866:$CD866))</f>
        <v>0</v>
      </c>
      <c r="R881">
        <f>IF($E881=0,0,SUMPRODUCT($AI$12:$DF$12,'Staff Daily sales'!$G866:$CD866))</f>
        <v>0</v>
      </c>
      <c r="S881">
        <f>IF($E881=0,0,SUMPRODUCT($AI$13:$DF$13,'Staff Daily sales'!$G866:$CD866))</f>
        <v>0</v>
      </c>
      <c r="T881">
        <f>IF($E881=0,0,SUMPRODUCT($AI$14:$DF$14,'Staff Daily sales'!$G866:$CD866))</f>
        <v>0</v>
      </c>
      <c r="U881">
        <f>IF($E881=0,0,SUMPRODUCT($AI$15:$DF$15,'Staff Daily sales'!$G866:$CD866))</f>
        <v>0</v>
      </c>
      <c r="V881">
        <f>IF($E881=0,0,SUMPRODUCT($AI$16:$DF$16,'Staff Daily sales'!$G866:$CD866))</f>
        <v>0</v>
      </c>
      <c r="W881">
        <f t="shared" si="239"/>
        <v>0</v>
      </c>
      <c r="X881">
        <f t="shared" si="240"/>
        <v>0</v>
      </c>
      <c r="Y881">
        <f t="shared" si="241"/>
        <v>0</v>
      </c>
      <c r="Z881">
        <f t="shared" si="242"/>
        <v>0</v>
      </c>
      <c r="AA881">
        <f t="shared" si="243"/>
        <v>0</v>
      </c>
      <c r="AB881">
        <f>--AND($E881=1,OR('Staff Weekly Trend'!$B$3="All",$DH881='Staff Weekly Trend'!$B$3),OR('Staff Weekly Trend'!$B$4="All",$D881='Staff Weekly Trend'!$B$4),OR('Staff Weekly Trend'!$B$5="All",$A881='Staff Weekly Trend'!$B$5))</f>
        <v>0</v>
      </c>
      <c r="AC881" t="str">
        <f t="shared" si="244"/>
        <v/>
      </c>
      <c r="AI881">
        <f t="shared" si="245"/>
        <v>0</v>
      </c>
      <c r="AJ881">
        <f t="shared" si="246"/>
        <v>0</v>
      </c>
      <c r="AK881">
        <f t="shared" si="247"/>
        <v>0</v>
      </c>
      <c r="AL881">
        <f t="shared" si="248"/>
        <v>0</v>
      </c>
      <c r="AM881">
        <f t="shared" si="249"/>
        <v>0</v>
      </c>
      <c r="DH881" t="str" cm="1">
        <f t="array" ref="DH881">IF($A881="","",_xlfn.LET(_xlpm.c,IFERROR(_xlfn.XLOOKUP($A881,TRIM('Sales and count'!$A$4:$A$300&amp;""),TRIM('Sales and count'!$B$4:$B$300&amp;"")),""),IF(OR(_xlpm.c="",_xlpm.c="0",LEFT(_xlpm.c,1)="#"),"Not set",_xlpm.c)))</f>
        <v/>
      </c>
    </row>
    <row r="882" spans="1:112" x14ac:dyDescent="0.25">
      <c r="A882" t="str">
        <f>IF('Staff Daily sales'!$B867="","",TRIM('Staff Daily sales'!$B867&amp;""))</f>
        <v/>
      </c>
      <c r="B882" t="str">
        <f>IF('Staff Daily sales'!$D867="","",TRIM('Staff Daily sales'!$D867&amp;""))</f>
        <v/>
      </c>
      <c r="C882" t="str">
        <f>IFERROR(TRIM('Staff Daily sales'!$E867&amp;""),"")</f>
        <v/>
      </c>
      <c r="D882" t="str">
        <f>IFERROR(IF(TRIM('Staff Daily sales'!$F867&amp;"")="","Unassigned",TRIM('Staff Daily sales'!$F867&amp;"")),"Unassigned")</f>
        <v>Unassigned</v>
      </c>
      <c r="E882">
        <f t="shared" si="234"/>
        <v>0</v>
      </c>
      <c r="F882">
        <f>IF($E882=0,0,SUMPRODUCT($AI$5:$DF$5,'Staff Daily sales'!$G867:$CD867))</f>
        <v>0</v>
      </c>
      <c r="G882">
        <f>IF($E882=0,0,SUMPRODUCT($AI$6:$DF$6,'Staff Daily sales'!$G867:$CD867))</f>
        <v>0</v>
      </c>
      <c r="H882">
        <f t="shared" si="235"/>
        <v>0</v>
      </c>
      <c r="I882">
        <f t="shared" si="236"/>
        <v>0</v>
      </c>
      <c r="J882">
        <f t="shared" si="237"/>
        <v>0</v>
      </c>
      <c r="K882">
        <f t="shared" si="238"/>
        <v>0</v>
      </c>
      <c r="L882">
        <f>--AND($E882=1,OR('Staff Dashboard'!$B$6="All",$DH882='Staff Dashboard'!$B$6),OR('Staff Dashboard'!$B$7="All",$D882='Staff Dashboard'!$B$7),OR('Staff Dashboard'!$B$8="All",$A882='Staff Dashboard'!$B$8))</f>
        <v>0</v>
      </c>
      <c r="M882">
        <f>IF($E882=0,0,SUMPRODUCT($AI$7:$DF$7,'Staff Daily sales'!$G867:$CD867))</f>
        <v>0</v>
      </c>
      <c r="N882">
        <f>IF($E882=0,0,SUMPRODUCT($AI$8:$DF$8,'Staff Daily sales'!$G867:$CD867))</f>
        <v>0</v>
      </c>
      <c r="O882">
        <f>IF($E882=0,0,SUMPRODUCT($AI$9:$DF$9,'Staff Daily sales'!$G867:$CD867))</f>
        <v>0</v>
      </c>
      <c r="P882">
        <f>IF($E882=0,0,SUMPRODUCT($AI$10:$DF$10,'Staff Daily sales'!$G867:$CD867))</f>
        <v>0</v>
      </c>
      <c r="Q882">
        <f>IF($E882=0,0,SUMPRODUCT($AI$11:$DF$11,'Staff Daily sales'!$G867:$CD867))</f>
        <v>0</v>
      </c>
      <c r="R882">
        <f>IF($E882=0,0,SUMPRODUCT($AI$12:$DF$12,'Staff Daily sales'!$G867:$CD867))</f>
        <v>0</v>
      </c>
      <c r="S882">
        <f>IF($E882=0,0,SUMPRODUCT($AI$13:$DF$13,'Staff Daily sales'!$G867:$CD867))</f>
        <v>0</v>
      </c>
      <c r="T882">
        <f>IF($E882=0,0,SUMPRODUCT($AI$14:$DF$14,'Staff Daily sales'!$G867:$CD867))</f>
        <v>0</v>
      </c>
      <c r="U882">
        <f>IF($E882=0,0,SUMPRODUCT($AI$15:$DF$15,'Staff Daily sales'!$G867:$CD867))</f>
        <v>0</v>
      </c>
      <c r="V882">
        <f>IF($E882=0,0,SUMPRODUCT($AI$16:$DF$16,'Staff Daily sales'!$G867:$CD867))</f>
        <v>0</v>
      </c>
      <c r="W882">
        <f t="shared" si="239"/>
        <v>0</v>
      </c>
      <c r="X882">
        <f t="shared" si="240"/>
        <v>0</v>
      </c>
      <c r="Y882">
        <f t="shared" si="241"/>
        <v>0</v>
      </c>
      <c r="Z882">
        <f t="shared" si="242"/>
        <v>0</v>
      </c>
      <c r="AA882">
        <f t="shared" si="243"/>
        <v>0</v>
      </c>
      <c r="AB882">
        <f>--AND($E882=1,OR('Staff Weekly Trend'!$B$3="All",$DH882='Staff Weekly Trend'!$B$3),OR('Staff Weekly Trend'!$B$4="All",$D882='Staff Weekly Trend'!$B$4),OR('Staff Weekly Trend'!$B$5="All",$A882='Staff Weekly Trend'!$B$5))</f>
        <v>0</v>
      </c>
      <c r="AC882" t="str">
        <f t="shared" si="244"/>
        <v/>
      </c>
      <c r="AI882">
        <f t="shared" si="245"/>
        <v>0</v>
      </c>
      <c r="AJ882">
        <f t="shared" si="246"/>
        <v>0</v>
      </c>
      <c r="AK882">
        <f t="shared" si="247"/>
        <v>0</v>
      </c>
      <c r="AL882">
        <f t="shared" si="248"/>
        <v>0</v>
      </c>
      <c r="AM882">
        <f t="shared" si="249"/>
        <v>0</v>
      </c>
      <c r="DH882" t="str" cm="1">
        <f t="array" ref="DH882">IF($A882="","",_xlfn.LET(_xlpm.c,IFERROR(_xlfn.XLOOKUP($A882,TRIM('Sales and count'!$A$4:$A$300&amp;""),TRIM('Sales and count'!$B$4:$B$300&amp;"")),""),IF(OR(_xlpm.c="",_xlpm.c="0",LEFT(_xlpm.c,1)="#"),"Not set",_xlpm.c)))</f>
        <v/>
      </c>
    </row>
    <row r="883" spans="1:112" x14ac:dyDescent="0.25">
      <c r="A883" t="str">
        <f>IF('Staff Daily sales'!$B868="","",TRIM('Staff Daily sales'!$B868&amp;""))</f>
        <v/>
      </c>
      <c r="B883" t="str">
        <f>IF('Staff Daily sales'!$D868="","",TRIM('Staff Daily sales'!$D868&amp;""))</f>
        <v/>
      </c>
      <c r="C883" t="str">
        <f>IFERROR(TRIM('Staff Daily sales'!$E868&amp;""),"")</f>
        <v/>
      </c>
      <c r="D883" t="str">
        <f>IFERROR(IF(TRIM('Staff Daily sales'!$F868&amp;"")="","Unassigned",TRIM('Staff Daily sales'!$F868&amp;"")),"Unassigned")</f>
        <v>Unassigned</v>
      </c>
      <c r="E883">
        <f t="shared" si="234"/>
        <v>0</v>
      </c>
      <c r="F883">
        <f>IF($E883=0,0,SUMPRODUCT($AI$5:$DF$5,'Staff Daily sales'!$G868:$CD868))</f>
        <v>0</v>
      </c>
      <c r="G883">
        <f>IF($E883=0,0,SUMPRODUCT($AI$6:$DF$6,'Staff Daily sales'!$G868:$CD868))</f>
        <v>0</v>
      </c>
      <c r="H883">
        <f t="shared" si="235"/>
        <v>0</v>
      </c>
      <c r="I883">
        <f t="shared" si="236"/>
        <v>0</v>
      </c>
      <c r="J883">
        <f t="shared" si="237"/>
        <v>0</v>
      </c>
      <c r="K883">
        <f t="shared" si="238"/>
        <v>0</v>
      </c>
      <c r="L883">
        <f>--AND($E883=1,OR('Staff Dashboard'!$B$6="All",$DH883='Staff Dashboard'!$B$6),OR('Staff Dashboard'!$B$7="All",$D883='Staff Dashboard'!$B$7),OR('Staff Dashboard'!$B$8="All",$A883='Staff Dashboard'!$B$8))</f>
        <v>0</v>
      </c>
      <c r="M883">
        <f>IF($E883=0,0,SUMPRODUCT($AI$7:$DF$7,'Staff Daily sales'!$G868:$CD868))</f>
        <v>0</v>
      </c>
      <c r="N883">
        <f>IF($E883=0,0,SUMPRODUCT($AI$8:$DF$8,'Staff Daily sales'!$G868:$CD868))</f>
        <v>0</v>
      </c>
      <c r="O883">
        <f>IF($E883=0,0,SUMPRODUCT($AI$9:$DF$9,'Staff Daily sales'!$G868:$CD868))</f>
        <v>0</v>
      </c>
      <c r="P883">
        <f>IF($E883=0,0,SUMPRODUCT($AI$10:$DF$10,'Staff Daily sales'!$G868:$CD868))</f>
        <v>0</v>
      </c>
      <c r="Q883">
        <f>IF($E883=0,0,SUMPRODUCT($AI$11:$DF$11,'Staff Daily sales'!$G868:$CD868))</f>
        <v>0</v>
      </c>
      <c r="R883">
        <f>IF($E883=0,0,SUMPRODUCT($AI$12:$DF$12,'Staff Daily sales'!$G868:$CD868))</f>
        <v>0</v>
      </c>
      <c r="S883">
        <f>IF($E883=0,0,SUMPRODUCT($AI$13:$DF$13,'Staff Daily sales'!$G868:$CD868))</f>
        <v>0</v>
      </c>
      <c r="T883">
        <f>IF($E883=0,0,SUMPRODUCT($AI$14:$DF$14,'Staff Daily sales'!$G868:$CD868))</f>
        <v>0</v>
      </c>
      <c r="U883">
        <f>IF($E883=0,0,SUMPRODUCT($AI$15:$DF$15,'Staff Daily sales'!$G868:$CD868))</f>
        <v>0</v>
      </c>
      <c r="V883">
        <f>IF($E883=0,0,SUMPRODUCT($AI$16:$DF$16,'Staff Daily sales'!$G868:$CD868))</f>
        <v>0</v>
      </c>
      <c r="W883">
        <f t="shared" si="239"/>
        <v>0</v>
      </c>
      <c r="X883">
        <f t="shared" si="240"/>
        <v>0</v>
      </c>
      <c r="Y883">
        <f t="shared" si="241"/>
        <v>0</v>
      </c>
      <c r="Z883">
        <f t="shared" si="242"/>
        <v>0</v>
      </c>
      <c r="AA883">
        <f t="shared" si="243"/>
        <v>0</v>
      </c>
      <c r="AB883">
        <f>--AND($E883=1,OR('Staff Weekly Trend'!$B$3="All",$DH883='Staff Weekly Trend'!$B$3),OR('Staff Weekly Trend'!$B$4="All",$D883='Staff Weekly Trend'!$B$4),OR('Staff Weekly Trend'!$B$5="All",$A883='Staff Weekly Trend'!$B$5))</f>
        <v>0</v>
      </c>
      <c r="AC883" t="str">
        <f t="shared" si="244"/>
        <v/>
      </c>
      <c r="AI883">
        <f t="shared" si="245"/>
        <v>0</v>
      </c>
      <c r="AJ883">
        <f t="shared" si="246"/>
        <v>0</v>
      </c>
      <c r="AK883">
        <f t="shared" si="247"/>
        <v>0</v>
      </c>
      <c r="AL883">
        <f t="shared" si="248"/>
        <v>0</v>
      </c>
      <c r="AM883">
        <f t="shared" si="249"/>
        <v>0</v>
      </c>
      <c r="DH883" t="str" cm="1">
        <f t="array" ref="DH883">IF($A883="","",_xlfn.LET(_xlpm.c,IFERROR(_xlfn.XLOOKUP($A883,TRIM('Sales and count'!$A$4:$A$300&amp;""),TRIM('Sales and count'!$B$4:$B$300&amp;"")),""),IF(OR(_xlpm.c="",_xlpm.c="0",LEFT(_xlpm.c,1)="#"),"Not set",_xlpm.c)))</f>
        <v/>
      </c>
    </row>
    <row r="884" spans="1:112" x14ac:dyDescent="0.25">
      <c r="A884" t="str">
        <f>IF('Staff Daily sales'!$B869="","",TRIM('Staff Daily sales'!$B869&amp;""))</f>
        <v/>
      </c>
      <c r="B884" t="str">
        <f>IF('Staff Daily sales'!$D869="","",TRIM('Staff Daily sales'!$D869&amp;""))</f>
        <v/>
      </c>
      <c r="C884" t="str">
        <f>IFERROR(TRIM('Staff Daily sales'!$E869&amp;""),"")</f>
        <v/>
      </c>
      <c r="D884" t="str">
        <f>IFERROR(IF(TRIM('Staff Daily sales'!$F869&amp;"")="","Unassigned",TRIM('Staff Daily sales'!$F869&amp;"")),"Unassigned")</f>
        <v>Unassigned</v>
      </c>
      <c r="E884">
        <f t="shared" si="234"/>
        <v>0</v>
      </c>
      <c r="F884">
        <f>IF($E884=0,0,SUMPRODUCT($AI$5:$DF$5,'Staff Daily sales'!$G869:$CD869))</f>
        <v>0</v>
      </c>
      <c r="G884">
        <f>IF($E884=0,0,SUMPRODUCT($AI$6:$DF$6,'Staff Daily sales'!$G869:$CD869))</f>
        <v>0</v>
      </c>
      <c r="H884">
        <f t="shared" si="235"/>
        <v>0</v>
      </c>
      <c r="I884">
        <f t="shared" si="236"/>
        <v>0</v>
      </c>
      <c r="J884">
        <f t="shared" si="237"/>
        <v>0</v>
      </c>
      <c r="K884">
        <f t="shared" si="238"/>
        <v>0</v>
      </c>
      <c r="L884">
        <f>--AND($E884=1,OR('Staff Dashboard'!$B$6="All",$DH884='Staff Dashboard'!$B$6),OR('Staff Dashboard'!$B$7="All",$D884='Staff Dashboard'!$B$7),OR('Staff Dashboard'!$B$8="All",$A884='Staff Dashboard'!$B$8))</f>
        <v>0</v>
      </c>
      <c r="M884">
        <f>IF($E884=0,0,SUMPRODUCT($AI$7:$DF$7,'Staff Daily sales'!$G869:$CD869))</f>
        <v>0</v>
      </c>
      <c r="N884">
        <f>IF($E884=0,0,SUMPRODUCT($AI$8:$DF$8,'Staff Daily sales'!$G869:$CD869))</f>
        <v>0</v>
      </c>
      <c r="O884">
        <f>IF($E884=0,0,SUMPRODUCT($AI$9:$DF$9,'Staff Daily sales'!$G869:$CD869))</f>
        <v>0</v>
      </c>
      <c r="P884">
        <f>IF($E884=0,0,SUMPRODUCT($AI$10:$DF$10,'Staff Daily sales'!$G869:$CD869))</f>
        <v>0</v>
      </c>
      <c r="Q884">
        <f>IF($E884=0,0,SUMPRODUCT($AI$11:$DF$11,'Staff Daily sales'!$G869:$CD869))</f>
        <v>0</v>
      </c>
      <c r="R884">
        <f>IF($E884=0,0,SUMPRODUCT($AI$12:$DF$12,'Staff Daily sales'!$G869:$CD869))</f>
        <v>0</v>
      </c>
      <c r="S884">
        <f>IF($E884=0,0,SUMPRODUCT($AI$13:$DF$13,'Staff Daily sales'!$G869:$CD869))</f>
        <v>0</v>
      </c>
      <c r="T884">
        <f>IF($E884=0,0,SUMPRODUCT($AI$14:$DF$14,'Staff Daily sales'!$G869:$CD869))</f>
        <v>0</v>
      </c>
      <c r="U884">
        <f>IF($E884=0,0,SUMPRODUCT($AI$15:$DF$15,'Staff Daily sales'!$G869:$CD869))</f>
        <v>0</v>
      </c>
      <c r="V884">
        <f>IF($E884=0,0,SUMPRODUCT($AI$16:$DF$16,'Staff Daily sales'!$G869:$CD869))</f>
        <v>0</v>
      </c>
      <c r="W884">
        <f t="shared" si="239"/>
        <v>0</v>
      </c>
      <c r="X884">
        <f t="shared" si="240"/>
        <v>0</v>
      </c>
      <c r="Y884">
        <f t="shared" si="241"/>
        <v>0</v>
      </c>
      <c r="Z884">
        <f t="shared" si="242"/>
        <v>0</v>
      </c>
      <c r="AA884">
        <f t="shared" si="243"/>
        <v>0</v>
      </c>
      <c r="AB884">
        <f>--AND($E884=1,OR('Staff Weekly Trend'!$B$3="All",$DH884='Staff Weekly Trend'!$B$3),OR('Staff Weekly Trend'!$B$4="All",$D884='Staff Weekly Trend'!$B$4),OR('Staff Weekly Trend'!$B$5="All",$A884='Staff Weekly Trend'!$B$5))</f>
        <v>0</v>
      </c>
      <c r="AC884" t="str">
        <f t="shared" si="244"/>
        <v/>
      </c>
      <c r="AI884">
        <f t="shared" si="245"/>
        <v>0</v>
      </c>
      <c r="AJ884">
        <f t="shared" si="246"/>
        <v>0</v>
      </c>
      <c r="AK884">
        <f t="shared" si="247"/>
        <v>0</v>
      </c>
      <c r="AL884">
        <f t="shared" si="248"/>
        <v>0</v>
      </c>
      <c r="AM884">
        <f t="shared" si="249"/>
        <v>0</v>
      </c>
      <c r="DH884" t="str" cm="1">
        <f t="array" ref="DH884">IF($A884="","",_xlfn.LET(_xlpm.c,IFERROR(_xlfn.XLOOKUP($A884,TRIM('Sales and count'!$A$4:$A$300&amp;""),TRIM('Sales and count'!$B$4:$B$300&amp;"")),""),IF(OR(_xlpm.c="",_xlpm.c="0",LEFT(_xlpm.c,1)="#"),"Not set",_xlpm.c)))</f>
        <v/>
      </c>
    </row>
    <row r="885" spans="1:112" x14ac:dyDescent="0.25">
      <c r="A885" t="str">
        <f>IF('Staff Daily sales'!$B870="","",TRIM('Staff Daily sales'!$B870&amp;""))</f>
        <v/>
      </c>
      <c r="B885" t="str">
        <f>IF('Staff Daily sales'!$D870="","",TRIM('Staff Daily sales'!$D870&amp;""))</f>
        <v/>
      </c>
      <c r="C885" t="str">
        <f>IFERROR(TRIM('Staff Daily sales'!$E870&amp;""),"")</f>
        <v/>
      </c>
      <c r="D885" t="str">
        <f>IFERROR(IF(TRIM('Staff Daily sales'!$F870&amp;"")="","Unassigned",TRIM('Staff Daily sales'!$F870&amp;"")),"Unassigned")</f>
        <v>Unassigned</v>
      </c>
      <c r="E885">
        <f t="shared" si="234"/>
        <v>0</v>
      </c>
      <c r="F885">
        <f>IF($E885=0,0,SUMPRODUCT($AI$5:$DF$5,'Staff Daily sales'!$G870:$CD870))</f>
        <v>0</v>
      </c>
      <c r="G885">
        <f>IF($E885=0,0,SUMPRODUCT($AI$6:$DF$6,'Staff Daily sales'!$G870:$CD870))</f>
        <v>0</v>
      </c>
      <c r="H885">
        <f t="shared" si="235"/>
        <v>0</v>
      </c>
      <c r="I885">
        <f t="shared" si="236"/>
        <v>0</v>
      </c>
      <c r="J885">
        <f t="shared" si="237"/>
        <v>0</v>
      </c>
      <c r="K885">
        <f t="shared" si="238"/>
        <v>0</v>
      </c>
      <c r="L885">
        <f>--AND($E885=1,OR('Staff Dashboard'!$B$6="All",$DH885='Staff Dashboard'!$B$6),OR('Staff Dashboard'!$B$7="All",$D885='Staff Dashboard'!$B$7),OR('Staff Dashboard'!$B$8="All",$A885='Staff Dashboard'!$B$8))</f>
        <v>0</v>
      </c>
      <c r="M885">
        <f>IF($E885=0,0,SUMPRODUCT($AI$7:$DF$7,'Staff Daily sales'!$G870:$CD870))</f>
        <v>0</v>
      </c>
      <c r="N885">
        <f>IF($E885=0,0,SUMPRODUCT($AI$8:$DF$8,'Staff Daily sales'!$G870:$CD870))</f>
        <v>0</v>
      </c>
      <c r="O885">
        <f>IF($E885=0,0,SUMPRODUCT($AI$9:$DF$9,'Staff Daily sales'!$G870:$CD870))</f>
        <v>0</v>
      </c>
      <c r="P885">
        <f>IF($E885=0,0,SUMPRODUCT($AI$10:$DF$10,'Staff Daily sales'!$G870:$CD870))</f>
        <v>0</v>
      </c>
      <c r="Q885">
        <f>IF($E885=0,0,SUMPRODUCT($AI$11:$DF$11,'Staff Daily sales'!$G870:$CD870))</f>
        <v>0</v>
      </c>
      <c r="R885">
        <f>IF($E885=0,0,SUMPRODUCT($AI$12:$DF$12,'Staff Daily sales'!$G870:$CD870))</f>
        <v>0</v>
      </c>
      <c r="S885">
        <f>IF($E885=0,0,SUMPRODUCT($AI$13:$DF$13,'Staff Daily sales'!$G870:$CD870))</f>
        <v>0</v>
      </c>
      <c r="T885">
        <f>IF($E885=0,0,SUMPRODUCT($AI$14:$DF$14,'Staff Daily sales'!$G870:$CD870))</f>
        <v>0</v>
      </c>
      <c r="U885">
        <f>IF($E885=0,0,SUMPRODUCT($AI$15:$DF$15,'Staff Daily sales'!$G870:$CD870))</f>
        <v>0</v>
      </c>
      <c r="V885">
        <f>IF($E885=0,0,SUMPRODUCT($AI$16:$DF$16,'Staff Daily sales'!$G870:$CD870))</f>
        <v>0</v>
      </c>
      <c r="W885">
        <f t="shared" si="239"/>
        <v>0</v>
      </c>
      <c r="X885">
        <f t="shared" si="240"/>
        <v>0</v>
      </c>
      <c r="Y885">
        <f t="shared" si="241"/>
        <v>0</v>
      </c>
      <c r="Z885">
        <f t="shared" si="242"/>
        <v>0</v>
      </c>
      <c r="AA885">
        <f t="shared" si="243"/>
        <v>0</v>
      </c>
      <c r="AB885">
        <f>--AND($E885=1,OR('Staff Weekly Trend'!$B$3="All",$DH885='Staff Weekly Trend'!$B$3),OR('Staff Weekly Trend'!$B$4="All",$D885='Staff Weekly Trend'!$B$4),OR('Staff Weekly Trend'!$B$5="All",$A885='Staff Weekly Trend'!$B$5))</f>
        <v>0</v>
      </c>
      <c r="AC885" t="str">
        <f t="shared" si="244"/>
        <v/>
      </c>
      <c r="AI885">
        <f t="shared" si="245"/>
        <v>0</v>
      </c>
      <c r="AJ885">
        <f t="shared" si="246"/>
        <v>0</v>
      </c>
      <c r="AK885">
        <f t="shared" si="247"/>
        <v>0</v>
      </c>
      <c r="AL885">
        <f t="shared" si="248"/>
        <v>0</v>
      </c>
      <c r="AM885">
        <f t="shared" si="249"/>
        <v>0</v>
      </c>
      <c r="DH885" t="str" cm="1">
        <f t="array" ref="DH885">IF($A885="","",_xlfn.LET(_xlpm.c,IFERROR(_xlfn.XLOOKUP($A885,TRIM('Sales and count'!$A$4:$A$300&amp;""),TRIM('Sales and count'!$B$4:$B$300&amp;"")),""),IF(OR(_xlpm.c="",_xlpm.c="0",LEFT(_xlpm.c,1)="#"),"Not set",_xlpm.c)))</f>
        <v/>
      </c>
    </row>
    <row r="886" spans="1:112" x14ac:dyDescent="0.25">
      <c r="A886" t="str">
        <f>IF('Staff Daily sales'!$B871="","",TRIM('Staff Daily sales'!$B871&amp;""))</f>
        <v/>
      </c>
      <c r="B886" t="str">
        <f>IF('Staff Daily sales'!$D871="","",TRIM('Staff Daily sales'!$D871&amp;""))</f>
        <v/>
      </c>
      <c r="C886" t="str">
        <f>IFERROR(TRIM('Staff Daily sales'!$E871&amp;""),"")</f>
        <v/>
      </c>
      <c r="D886" t="str">
        <f>IFERROR(IF(TRIM('Staff Daily sales'!$F871&amp;"")="","Unassigned",TRIM('Staff Daily sales'!$F871&amp;"")),"Unassigned")</f>
        <v>Unassigned</v>
      </c>
      <c r="E886">
        <f t="shared" si="234"/>
        <v>0</v>
      </c>
      <c r="F886">
        <f>IF($E886=0,0,SUMPRODUCT($AI$5:$DF$5,'Staff Daily sales'!$G871:$CD871))</f>
        <v>0</v>
      </c>
      <c r="G886">
        <f>IF($E886=0,0,SUMPRODUCT($AI$6:$DF$6,'Staff Daily sales'!$G871:$CD871))</f>
        <v>0</v>
      </c>
      <c r="H886">
        <f t="shared" si="235"/>
        <v>0</v>
      </c>
      <c r="I886">
        <f t="shared" si="236"/>
        <v>0</v>
      </c>
      <c r="J886">
        <f t="shared" si="237"/>
        <v>0</v>
      </c>
      <c r="K886">
        <f t="shared" si="238"/>
        <v>0</v>
      </c>
      <c r="L886">
        <f>--AND($E886=1,OR('Staff Dashboard'!$B$6="All",$DH886='Staff Dashboard'!$B$6),OR('Staff Dashboard'!$B$7="All",$D886='Staff Dashboard'!$B$7),OR('Staff Dashboard'!$B$8="All",$A886='Staff Dashboard'!$B$8))</f>
        <v>0</v>
      </c>
      <c r="M886">
        <f>IF($E886=0,0,SUMPRODUCT($AI$7:$DF$7,'Staff Daily sales'!$G871:$CD871))</f>
        <v>0</v>
      </c>
      <c r="N886">
        <f>IF($E886=0,0,SUMPRODUCT($AI$8:$DF$8,'Staff Daily sales'!$G871:$CD871))</f>
        <v>0</v>
      </c>
      <c r="O886">
        <f>IF($E886=0,0,SUMPRODUCT($AI$9:$DF$9,'Staff Daily sales'!$G871:$CD871))</f>
        <v>0</v>
      </c>
      <c r="P886">
        <f>IF($E886=0,0,SUMPRODUCT($AI$10:$DF$10,'Staff Daily sales'!$G871:$CD871))</f>
        <v>0</v>
      </c>
      <c r="Q886">
        <f>IF($E886=0,0,SUMPRODUCT($AI$11:$DF$11,'Staff Daily sales'!$G871:$CD871))</f>
        <v>0</v>
      </c>
      <c r="R886">
        <f>IF($E886=0,0,SUMPRODUCT($AI$12:$DF$12,'Staff Daily sales'!$G871:$CD871))</f>
        <v>0</v>
      </c>
      <c r="S886">
        <f>IF($E886=0,0,SUMPRODUCT($AI$13:$DF$13,'Staff Daily sales'!$G871:$CD871))</f>
        <v>0</v>
      </c>
      <c r="T886">
        <f>IF($E886=0,0,SUMPRODUCT($AI$14:$DF$14,'Staff Daily sales'!$G871:$CD871))</f>
        <v>0</v>
      </c>
      <c r="U886">
        <f>IF($E886=0,0,SUMPRODUCT($AI$15:$DF$15,'Staff Daily sales'!$G871:$CD871))</f>
        <v>0</v>
      </c>
      <c r="V886">
        <f>IF($E886=0,0,SUMPRODUCT($AI$16:$DF$16,'Staff Daily sales'!$G871:$CD871))</f>
        <v>0</v>
      </c>
      <c r="W886">
        <f t="shared" si="239"/>
        <v>0</v>
      </c>
      <c r="X886">
        <f t="shared" si="240"/>
        <v>0</v>
      </c>
      <c r="Y886">
        <f t="shared" si="241"/>
        <v>0</v>
      </c>
      <c r="Z886">
        <f t="shared" si="242"/>
        <v>0</v>
      </c>
      <c r="AA886">
        <f t="shared" si="243"/>
        <v>0</v>
      </c>
      <c r="AB886">
        <f>--AND($E886=1,OR('Staff Weekly Trend'!$B$3="All",$DH886='Staff Weekly Trend'!$B$3),OR('Staff Weekly Trend'!$B$4="All",$D886='Staff Weekly Trend'!$B$4),OR('Staff Weekly Trend'!$B$5="All",$A886='Staff Weekly Trend'!$B$5))</f>
        <v>0</v>
      </c>
      <c r="AC886" t="str">
        <f t="shared" si="244"/>
        <v/>
      </c>
      <c r="AI886">
        <f t="shared" si="245"/>
        <v>0</v>
      </c>
      <c r="AJ886">
        <f t="shared" si="246"/>
        <v>0</v>
      </c>
      <c r="AK886">
        <f t="shared" si="247"/>
        <v>0</v>
      </c>
      <c r="AL886">
        <f t="shared" si="248"/>
        <v>0</v>
      </c>
      <c r="AM886">
        <f t="shared" si="249"/>
        <v>0</v>
      </c>
      <c r="DH886" t="str" cm="1">
        <f t="array" ref="DH886">IF($A886="","",_xlfn.LET(_xlpm.c,IFERROR(_xlfn.XLOOKUP($A886,TRIM('Sales and count'!$A$4:$A$300&amp;""),TRIM('Sales and count'!$B$4:$B$300&amp;"")),""),IF(OR(_xlpm.c="",_xlpm.c="0",LEFT(_xlpm.c,1)="#"),"Not set",_xlpm.c)))</f>
        <v/>
      </c>
    </row>
    <row r="887" spans="1:112" x14ac:dyDescent="0.25">
      <c r="A887" t="str">
        <f>IF('Staff Daily sales'!$B872="","",TRIM('Staff Daily sales'!$B872&amp;""))</f>
        <v/>
      </c>
      <c r="B887" t="str">
        <f>IF('Staff Daily sales'!$D872="","",TRIM('Staff Daily sales'!$D872&amp;""))</f>
        <v/>
      </c>
      <c r="C887" t="str">
        <f>IFERROR(TRIM('Staff Daily sales'!$E872&amp;""),"")</f>
        <v/>
      </c>
      <c r="D887" t="str">
        <f>IFERROR(IF(TRIM('Staff Daily sales'!$F872&amp;"")="","Unassigned",TRIM('Staff Daily sales'!$F872&amp;"")),"Unassigned")</f>
        <v>Unassigned</v>
      </c>
      <c r="E887">
        <f t="shared" si="234"/>
        <v>0</v>
      </c>
      <c r="F887">
        <f>IF($E887=0,0,SUMPRODUCT($AI$5:$DF$5,'Staff Daily sales'!$G872:$CD872))</f>
        <v>0</v>
      </c>
      <c r="G887">
        <f>IF($E887=0,0,SUMPRODUCT($AI$6:$DF$6,'Staff Daily sales'!$G872:$CD872))</f>
        <v>0</v>
      </c>
      <c r="H887">
        <f t="shared" si="235"/>
        <v>0</v>
      </c>
      <c r="I887">
        <f t="shared" si="236"/>
        <v>0</v>
      </c>
      <c r="J887">
        <f t="shared" si="237"/>
        <v>0</v>
      </c>
      <c r="K887">
        <f t="shared" si="238"/>
        <v>0</v>
      </c>
      <c r="L887">
        <f>--AND($E887=1,OR('Staff Dashboard'!$B$6="All",$DH887='Staff Dashboard'!$B$6),OR('Staff Dashboard'!$B$7="All",$D887='Staff Dashboard'!$B$7),OR('Staff Dashboard'!$B$8="All",$A887='Staff Dashboard'!$B$8))</f>
        <v>0</v>
      </c>
      <c r="M887">
        <f>IF($E887=0,0,SUMPRODUCT($AI$7:$DF$7,'Staff Daily sales'!$G872:$CD872))</f>
        <v>0</v>
      </c>
      <c r="N887">
        <f>IF($E887=0,0,SUMPRODUCT($AI$8:$DF$8,'Staff Daily sales'!$G872:$CD872))</f>
        <v>0</v>
      </c>
      <c r="O887">
        <f>IF($E887=0,0,SUMPRODUCT($AI$9:$DF$9,'Staff Daily sales'!$G872:$CD872))</f>
        <v>0</v>
      </c>
      <c r="P887">
        <f>IF($E887=0,0,SUMPRODUCT($AI$10:$DF$10,'Staff Daily sales'!$G872:$CD872))</f>
        <v>0</v>
      </c>
      <c r="Q887">
        <f>IF($E887=0,0,SUMPRODUCT($AI$11:$DF$11,'Staff Daily sales'!$G872:$CD872))</f>
        <v>0</v>
      </c>
      <c r="R887">
        <f>IF($E887=0,0,SUMPRODUCT($AI$12:$DF$12,'Staff Daily sales'!$G872:$CD872))</f>
        <v>0</v>
      </c>
      <c r="S887">
        <f>IF($E887=0,0,SUMPRODUCT($AI$13:$DF$13,'Staff Daily sales'!$G872:$CD872))</f>
        <v>0</v>
      </c>
      <c r="T887">
        <f>IF($E887=0,0,SUMPRODUCT($AI$14:$DF$14,'Staff Daily sales'!$G872:$CD872))</f>
        <v>0</v>
      </c>
      <c r="U887">
        <f>IF($E887=0,0,SUMPRODUCT($AI$15:$DF$15,'Staff Daily sales'!$G872:$CD872))</f>
        <v>0</v>
      </c>
      <c r="V887">
        <f>IF($E887=0,0,SUMPRODUCT($AI$16:$DF$16,'Staff Daily sales'!$G872:$CD872))</f>
        <v>0</v>
      </c>
      <c r="W887">
        <f t="shared" si="239"/>
        <v>0</v>
      </c>
      <c r="X887">
        <f t="shared" si="240"/>
        <v>0</v>
      </c>
      <c r="Y887">
        <f t="shared" si="241"/>
        <v>0</v>
      </c>
      <c r="Z887">
        <f t="shared" si="242"/>
        <v>0</v>
      </c>
      <c r="AA887">
        <f t="shared" si="243"/>
        <v>0</v>
      </c>
      <c r="AB887">
        <f>--AND($E887=1,OR('Staff Weekly Trend'!$B$3="All",$DH887='Staff Weekly Trend'!$B$3),OR('Staff Weekly Trend'!$B$4="All",$D887='Staff Weekly Trend'!$B$4),OR('Staff Weekly Trend'!$B$5="All",$A887='Staff Weekly Trend'!$B$5))</f>
        <v>0</v>
      </c>
      <c r="AC887" t="str">
        <f t="shared" si="244"/>
        <v/>
      </c>
      <c r="AI887">
        <f t="shared" si="245"/>
        <v>0</v>
      </c>
      <c r="AJ887">
        <f t="shared" si="246"/>
        <v>0</v>
      </c>
      <c r="AK887">
        <f t="shared" si="247"/>
        <v>0</v>
      </c>
      <c r="AL887">
        <f t="shared" si="248"/>
        <v>0</v>
      </c>
      <c r="AM887">
        <f t="shared" si="249"/>
        <v>0</v>
      </c>
      <c r="DH887" t="str" cm="1">
        <f t="array" ref="DH887">IF($A887="","",_xlfn.LET(_xlpm.c,IFERROR(_xlfn.XLOOKUP($A887,TRIM('Sales and count'!$A$4:$A$300&amp;""),TRIM('Sales and count'!$B$4:$B$300&amp;"")),""),IF(OR(_xlpm.c="",_xlpm.c="0",LEFT(_xlpm.c,1)="#"),"Not set",_xlpm.c)))</f>
        <v/>
      </c>
    </row>
    <row r="888" spans="1:112" x14ac:dyDescent="0.25">
      <c r="A888" t="str">
        <f>IF('Staff Daily sales'!$B873="","",TRIM('Staff Daily sales'!$B873&amp;""))</f>
        <v/>
      </c>
      <c r="B888" t="str">
        <f>IF('Staff Daily sales'!$D873="","",TRIM('Staff Daily sales'!$D873&amp;""))</f>
        <v/>
      </c>
      <c r="C888" t="str">
        <f>IFERROR(TRIM('Staff Daily sales'!$E873&amp;""),"")</f>
        <v/>
      </c>
      <c r="D888" t="str">
        <f>IFERROR(IF(TRIM('Staff Daily sales'!$F873&amp;"")="","Unassigned",TRIM('Staff Daily sales'!$F873&amp;"")),"Unassigned")</f>
        <v>Unassigned</v>
      </c>
      <c r="E888">
        <f t="shared" si="234"/>
        <v>0</v>
      </c>
      <c r="F888">
        <f>IF($E888=0,0,SUMPRODUCT($AI$5:$DF$5,'Staff Daily sales'!$G873:$CD873))</f>
        <v>0</v>
      </c>
      <c r="G888">
        <f>IF($E888=0,0,SUMPRODUCT($AI$6:$DF$6,'Staff Daily sales'!$G873:$CD873))</f>
        <v>0</v>
      </c>
      <c r="H888">
        <f t="shared" si="235"/>
        <v>0</v>
      </c>
      <c r="I888">
        <f t="shared" si="236"/>
        <v>0</v>
      </c>
      <c r="J888">
        <f t="shared" si="237"/>
        <v>0</v>
      </c>
      <c r="K888">
        <f t="shared" si="238"/>
        <v>0</v>
      </c>
      <c r="L888">
        <f>--AND($E888=1,OR('Staff Dashboard'!$B$6="All",$DH888='Staff Dashboard'!$B$6),OR('Staff Dashboard'!$B$7="All",$D888='Staff Dashboard'!$B$7),OR('Staff Dashboard'!$B$8="All",$A888='Staff Dashboard'!$B$8))</f>
        <v>0</v>
      </c>
      <c r="M888">
        <f>IF($E888=0,0,SUMPRODUCT($AI$7:$DF$7,'Staff Daily sales'!$G873:$CD873))</f>
        <v>0</v>
      </c>
      <c r="N888">
        <f>IF($E888=0,0,SUMPRODUCT($AI$8:$DF$8,'Staff Daily sales'!$G873:$CD873))</f>
        <v>0</v>
      </c>
      <c r="O888">
        <f>IF($E888=0,0,SUMPRODUCT($AI$9:$DF$9,'Staff Daily sales'!$G873:$CD873))</f>
        <v>0</v>
      </c>
      <c r="P888">
        <f>IF($E888=0,0,SUMPRODUCT($AI$10:$DF$10,'Staff Daily sales'!$G873:$CD873))</f>
        <v>0</v>
      </c>
      <c r="Q888">
        <f>IF($E888=0,0,SUMPRODUCT($AI$11:$DF$11,'Staff Daily sales'!$G873:$CD873))</f>
        <v>0</v>
      </c>
      <c r="R888">
        <f>IF($E888=0,0,SUMPRODUCT($AI$12:$DF$12,'Staff Daily sales'!$G873:$CD873))</f>
        <v>0</v>
      </c>
      <c r="S888">
        <f>IF($E888=0,0,SUMPRODUCT($AI$13:$DF$13,'Staff Daily sales'!$G873:$CD873))</f>
        <v>0</v>
      </c>
      <c r="T888">
        <f>IF($E888=0,0,SUMPRODUCT($AI$14:$DF$14,'Staff Daily sales'!$G873:$CD873))</f>
        <v>0</v>
      </c>
      <c r="U888">
        <f>IF($E888=0,0,SUMPRODUCT($AI$15:$DF$15,'Staff Daily sales'!$G873:$CD873))</f>
        <v>0</v>
      </c>
      <c r="V888">
        <f>IF($E888=0,0,SUMPRODUCT($AI$16:$DF$16,'Staff Daily sales'!$G873:$CD873))</f>
        <v>0</v>
      </c>
      <c r="W888">
        <f t="shared" si="239"/>
        <v>0</v>
      </c>
      <c r="X888">
        <f t="shared" si="240"/>
        <v>0</v>
      </c>
      <c r="Y888">
        <f t="shared" si="241"/>
        <v>0</v>
      </c>
      <c r="Z888">
        <f t="shared" si="242"/>
        <v>0</v>
      </c>
      <c r="AA888">
        <f t="shared" si="243"/>
        <v>0</v>
      </c>
      <c r="AB888">
        <f>--AND($E888=1,OR('Staff Weekly Trend'!$B$3="All",$DH888='Staff Weekly Trend'!$B$3),OR('Staff Weekly Trend'!$B$4="All",$D888='Staff Weekly Trend'!$B$4),OR('Staff Weekly Trend'!$B$5="All",$A888='Staff Weekly Trend'!$B$5))</f>
        <v>0</v>
      </c>
      <c r="AC888" t="str">
        <f t="shared" si="244"/>
        <v/>
      </c>
      <c r="AI888">
        <f t="shared" si="245"/>
        <v>0</v>
      </c>
      <c r="AJ888">
        <f t="shared" si="246"/>
        <v>0</v>
      </c>
      <c r="AK888">
        <f t="shared" si="247"/>
        <v>0</v>
      </c>
      <c r="AL888">
        <f t="shared" si="248"/>
        <v>0</v>
      </c>
      <c r="AM888">
        <f t="shared" si="249"/>
        <v>0</v>
      </c>
      <c r="DH888" t="str" cm="1">
        <f t="array" ref="DH888">IF($A888="","",_xlfn.LET(_xlpm.c,IFERROR(_xlfn.XLOOKUP($A888,TRIM('Sales and count'!$A$4:$A$300&amp;""),TRIM('Sales and count'!$B$4:$B$300&amp;"")),""),IF(OR(_xlpm.c="",_xlpm.c="0",LEFT(_xlpm.c,1)="#"),"Not set",_xlpm.c)))</f>
        <v/>
      </c>
    </row>
    <row r="889" spans="1:112" x14ac:dyDescent="0.25">
      <c r="A889" t="str">
        <f>IF('Staff Daily sales'!$B874="","",TRIM('Staff Daily sales'!$B874&amp;""))</f>
        <v/>
      </c>
      <c r="B889" t="str">
        <f>IF('Staff Daily sales'!$D874="","",TRIM('Staff Daily sales'!$D874&amp;""))</f>
        <v/>
      </c>
      <c r="C889" t="str">
        <f>IFERROR(TRIM('Staff Daily sales'!$E874&amp;""),"")</f>
        <v/>
      </c>
      <c r="D889" t="str">
        <f>IFERROR(IF(TRIM('Staff Daily sales'!$F874&amp;"")="","Unassigned",TRIM('Staff Daily sales'!$F874&amp;"")),"Unassigned")</f>
        <v>Unassigned</v>
      </c>
      <c r="E889">
        <f t="shared" si="234"/>
        <v>0</v>
      </c>
      <c r="F889">
        <f>IF($E889=0,0,SUMPRODUCT($AI$5:$DF$5,'Staff Daily sales'!$G874:$CD874))</f>
        <v>0</v>
      </c>
      <c r="G889">
        <f>IF($E889=0,0,SUMPRODUCT($AI$6:$DF$6,'Staff Daily sales'!$G874:$CD874))</f>
        <v>0</v>
      </c>
      <c r="H889">
        <f t="shared" si="235"/>
        <v>0</v>
      </c>
      <c r="I889">
        <f t="shared" si="236"/>
        <v>0</v>
      </c>
      <c r="J889">
        <f t="shared" si="237"/>
        <v>0</v>
      </c>
      <c r="K889">
        <f t="shared" si="238"/>
        <v>0</v>
      </c>
      <c r="L889">
        <f>--AND($E889=1,OR('Staff Dashboard'!$B$6="All",$DH889='Staff Dashboard'!$B$6),OR('Staff Dashboard'!$B$7="All",$D889='Staff Dashboard'!$B$7),OR('Staff Dashboard'!$B$8="All",$A889='Staff Dashboard'!$B$8))</f>
        <v>0</v>
      </c>
      <c r="M889">
        <f>IF($E889=0,0,SUMPRODUCT($AI$7:$DF$7,'Staff Daily sales'!$G874:$CD874))</f>
        <v>0</v>
      </c>
      <c r="N889">
        <f>IF($E889=0,0,SUMPRODUCT($AI$8:$DF$8,'Staff Daily sales'!$G874:$CD874))</f>
        <v>0</v>
      </c>
      <c r="O889">
        <f>IF($E889=0,0,SUMPRODUCT($AI$9:$DF$9,'Staff Daily sales'!$G874:$CD874))</f>
        <v>0</v>
      </c>
      <c r="P889">
        <f>IF($E889=0,0,SUMPRODUCT($AI$10:$DF$10,'Staff Daily sales'!$G874:$CD874))</f>
        <v>0</v>
      </c>
      <c r="Q889">
        <f>IF($E889=0,0,SUMPRODUCT($AI$11:$DF$11,'Staff Daily sales'!$G874:$CD874))</f>
        <v>0</v>
      </c>
      <c r="R889">
        <f>IF($E889=0,0,SUMPRODUCT($AI$12:$DF$12,'Staff Daily sales'!$G874:$CD874))</f>
        <v>0</v>
      </c>
      <c r="S889">
        <f>IF($E889=0,0,SUMPRODUCT($AI$13:$DF$13,'Staff Daily sales'!$G874:$CD874))</f>
        <v>0</v>
      </c>
      <c r="T889">
        <f>IF($E889=0,0,SUMPRODUCT($AI$14:$DF$14,'Staff Daily sales'!$G874:$CD874))</f>
        <v>0</v>
      </c>
      <c r="U889">
        <f>IF($E889=0,0,SUMPRODUCT($AI$15:$DF$15,'Staff Daily sales'!$G874:$CD874))</f>
        <v>0</v>
      </c>
      <c r="V889">
        <f>IF($E889=0,0,SUMPRODUCT($AI$16:$DF$16,'Staff Daily sales'!$G874:$CD874))</f>
        <v>0</v>
      </c>
      <c r="W889">
        <f t="shared" si="239"/>
        <v>0</v>
      </c>
      <c r="X889">
        <f t="shared" si="240"/>
        <v>0</v>
      </c>
      <c r="Y889">
        <f t="shared" si="241"/>
        <v>0</v>
      </c>
      <c r="Z889">
        <f t="shared" si="242"/>
        <v>0</v>
      </c>
      <c r="AA889">
        <f t="shared" si="243"/>
        <v>0</v>
      </c>
      <c r="AB889">
        <f>--AND($E889=1,OR('Staff Weekly Trend'!$B$3="All",$DH889='Staff Weekly Trend'!$B$3),OR('Staff Weekly Trend'!$B$4="All",$D889='Staff Weekly Trend'!$B$4),OR('Staff Weekly Trend'!$B$5="All",$A889='Staff Weekly Trend'!$B$5))</f>
        <v>0</v>
      </c>
      <c r="AC889" t="str">
        <f t="shared" si="244"/>
        <v/>
      </c>
      <c r="AI889">
        <f t="shared" si="245"/>
        <v>0</v>
      </c>
      <c r="AJ889">
        <f t="shared" si="246"/>
        <v>0</v>
      </c>
      <c r="AK889">
        <f t="shared" si="247"/>
        <v>0</v>
      </c>
      <c r="AL889">
        <f t="shared" si="248"/>
        <v>0</v>
      </c>
      <c r="AM889">
        <f t="shared" si="249"/>
        <v>0</v>
      </c>
      <c r="DH889" t="str" cm="1">
        <f t="array" ref="DH889">IF($A889="","",_xlfn.LET(_xlpm.c,IFERROR(_xlfn.XLOOKUP($A889,TRIM('Sales and count'!$A$4:$A$300&amp;""),TRIM('Sales and count'!$B$4:$B$300&amp;"")),""),IF(OR(_xlpm.c="",_xlpm.c="0",LEFT(_xlpm.c,1)="#"),"Not set",_xlpm.c)))</f>
        <v/>
      </c>
    </row>
    <row r="890" spans="1:112" x14ac:dyDescent="0.25">
      <c r="A890" t="str">
        <f>IF('Staff Daily sales'!$B875="","",TRIM('Staff Daily sales'!$B875&amp;""))</f>
        <v/>
      </c>
      <c r="B890" t="str">
        <f>IF('Staff Daily sales'!$D875="","",TRIM('Staff Daily sales'!$D875&amp;""))</f>
        <v/>
      </c>
      <c r="C890" t="str">
        <f>IFERROR(TRIM('Staff Daily sales'!$E875&amp;""),"")</f>
        <v/>
      </c>
      <c r="D890" t="str">
        <f>IFERROR(IF(TRIM('Staff Daily sales'!$F875&amp;"")="","Unassigned",TRIM('Staff Daily sales'!$F875&amp;"")),"Unassigned")</f>
        <v>Unassigned</v>
      </c>
      <c r="E890">
        <f t="shared" si="234"/>
        <v>0</v>
      </c>
      <c r="F890">
        <f>IF($E890=0,0,SUMPRODUCT($AI$5:$DF$5,'Staff Daily sales'!$G875:$CD875))</f>
        <v>0</v>
      </c>
      <c r="G890">
        <f>IF($E890=0,0,SUMPRODUCT($AI$6:$DF$6,'Staff Daily sales'!$G875:$CD875))</f>
        <v>0</v>
      </c>
      <c r="H890">
        <f t="shared" si="235"/>
        <v>0</v>
      </c>
      <c r="I890">
        <f t="shared" si="236"/>
        <v>0</v>
      </c>
      <c r="J890">
        <f t="shared" si="237"/>
        <v>0</v>
      </c>
      <c r="K890">
        <f t="shared" si="238"/>
        <v>0</v>
      </c>
      <c r="L890">
        <f>--AND($E890=1,OR('Staff Dashboard'!$B$6="All",$DH890='Staff Dashboard'!$B$6),OR('Staff Dashboard'!$B$7="All",$D890='Staff Dashboard'!$B$7),OR('Staff Dashboard'!$B$8="All",$A890='Staff Dashboard'!$B$8))</f>
        <v>0</v>
      </c>
      <c r="M890">
        <f>IF($E890=0,0,SUMPRODUCT($AI$7:$DF$7,'Staff Daily sales'!$G875:$CD875))</f>
        <v>0</v>
      </c>
      <c r="N890">
        <f>IF($E890=0,0,SUMPRODUCT($AI$8:$DF$8,'Staff Daily sales'!$G875:$CD875))</f>
        <v>0</v>
      </c>
      <c r="O890">
        <f>IF($E890=0,0,SUMPRODUCT($AI$9:$DF$9,'Staff Daily sales'!$G875:$CD875))</f>
        <v>0</v>
      </c>
      <c r="P890">
        <f>IF($E890=0,0,SUMPRODUCT($AI$10:$DF$10,'Staff Daily sales'!$G875:$CD875))</f>
        <v>0</v>
      </c>
      <c r="Q890">
        <f>IF($E890=0,0,SUMPRODUCT($AI$11:$DF$11,'Staff Daily sales'!$G875:$CD875))</f>
        <v>0</v>
      </c>
      <c r="R890">
        <f>IF($E890=0,0,SUMPRODUCT($AI$12:$DF$12,'Staff Daily sales'!$G875:$CD875))</f>
        <v>0</v>
      </c>
      <c r="S890">
        <f>IF($E890=0,0,SUMPRODUCT($AI$13:$DF$13,'Staff Daily sales'!$G875:$CD875))</f>
        <v>0</v>
      </c>
      <c r="T890">
        <f>IF($E890=0,0,SUMPRODUCT($AI$14:$DF$14,'Staff Daily sales'!$G875:$CD875))</f>
        <v>0</v>
      </c>
      <c r="U890">
        <f>IF($E890=0,0,SUMPRODUCT($AI$15:$DF$15,'Staff Daily sales'!$G875:$CD875))</f>
        <v>0</v>
      </c>
      <c r="V890">
        <f>IF($E890=0,0,SUMPRODUCT($AI$16:$DF$16,'Staff Daily sales'!$G875:$CD875))</f>
        <v>0</v>
      </c>
      <c r="W890">
        <f t="shared" si="239"/>
        <v>0</v>
      </c>
      <c r="X890">
        <f t="shared" si="240"/>
        <v>0</v>
      </c>
      <c r="Y890">
        <f t="shared" si="241"/>
        <v>0</v>
      </c>
      <c r="Z890">
        <f t="shared" si="242"/>
        <v>0</v>
      </c>
      <c r="AA890">
        <f t="shared" si="243"/>
        <v>0</v>
      </c>
      <c r="AB890">
        <f>--AND($E890=1,OR('Staff Weekly Trend'!$B$3="All",$DH890='Staff Weekly Trend'!$B$3),OR('Staff Weekly Trend'!$B$4="All",$D890='Staff Weekly Trend'!$B$4),OR('Staff Weekly Trend'!$B$5="All",$A890='Staff Weekly Trend'!$B$5))</f>
        <v>0</v>
      </c>
      <c r="AC890" t="str">
        <f t="shared" si="244"/>
        <v/>
      </c>
      <c r="AI890">
        <f t="shared" si="245"/>
        <v>0</v>
      </c>
      <c r="AJ890">
        <f t="shared" si="246"/>
        <v>0</v>
      </c>
      <c r="AK890">
        <f t="shared" si="247"/>
        <v>0</v>
      </c>
      <c r="AL890">
        <f t="shared" si="248"/>
        <v>0</v>
      </c>
      <c r="AM890">
        <f t="shared" si="249"/>
        <v>0</v>
      </c>
      <c r="DH890" t="str" cm="1">
        <f t="array" ref="DH890">IF($A890="","",_xlfn.LET(_xlpm.c,IFERROR(_xlfn.XLOOKUP($A890,TRIM('Sales and count'!$A$4:$A$300&amp;""),TRIM('Sales and count'!$B$4:$B$300&amp;"")),""),IF(OR(_xlpm.c="",_xlpm.c="0",LEFT(_xlpm.c,1)="#"),"Not set",_xlpm.c)))</f>
        <v/>
      </c>
    </row>
    <row r="891" spans="1:112" x14ac:dyDescent="0.25">
      <c r="A891" t="str">
        <f>IF('Staff Daily sales'!$B876="","",TRIM('Staff Daily sales'!$B876&amp;""))</f>
        <v/>
      </c>
      <c r="B891" t="str">
        <f>IF('Staff Daily sales'!$D876="","",TRIM('Staff Daily sales'!$D876&amp;""))</f>
        <v/>
      </c>
      <c r="C891" t="str">
        <f>IFERROR(TRIM('Staff Daily sales'!$E876&amp;""),"")</f>
        <v/>
      </c>
      <c r="D891" t="str">
        <f>IFERROR(IF(TRIM('Staff Daily sales'!$F876&amp;"")="","Unassigned",TRIM('Staff Daily sales'!$F876&amp;"")),"Unassigned")</f>
        <v>Unassigned</v>
      </c>
      <c r="E891">
        <f t="shared" si="234"/>
        <v>0</v>
      </c>
      <c r="F891">
        <f>IF($E891=0,0,SUMPRODUCT($AI$5:$DF$5,'Staff Daily sales'!$G876:$CD876))</f>
        <v>0</v>
      </c>
      <c r="G891">
        <f>IF($E891=0,0,SUMPRODUCT($AI$6:$DF$6,'Staff Daily sales'!$G876:$CD876))</f>
        <v>0</v>
      </c>
      <c r="H891">
        <f t="shared" si="235"/>
        <v>0</v>
      </c>
      <c r="I891">
        <f t="shared" si="236"/>
        <v>0</v>
      </c>
      <c r="J891">
        <f t="shared" si="237"/>
        <v>0</v>
      </c>
      <c r="K891">
        <f t="shared" si="238"/>
        <v>0</v>
      </c>
      <c r="L891">
        <f>--AND($E891=1,OR('Staff Dashboard'!$B$6="All",$DH891='Staff Dashboard'!$B$6),OR('Staff Dashboard'!$B$7="All",$D891='Staff Dashboard'!$B$7),OR('Staff Dashboard'!$B$8="All",$A891='Staff Dashboard'!$B$8))</f>
        <v>0</v>
      </c>
      <c r="M891">
        <f>IF($E891=0,0,SUMPRODUCT($AI$7:$DF$7,'Staff Daily sales'!$G876:$CD876))</f>
        <v>0</v>
      </c>
      <c r="N891">
        <f>IF($E891=0,0,SUMPRODUCT($AI$8:$DF$8,'Staff Daily sales'!$G876:$CD876))</f>
        <v>0</v>
      </c>
      <c r="O891">
        <f>IF($E891=0,0,SUMPRODUCT($AI$9:$DF$9,'Staff Daily sales'!$G876:$CD876))</f>
        <v>0</v>
      </c>
      <c r="P891">
        <f>IF($E891=0,0,SUMPRODUCT($AI$10:$DF$10,'Staff Daily sales'!$G876:$CD876))</f>
        <v>0</v>
      </c>
      <c r="Q891">
        <f>IF($E891=0,0,SUMPRODUCT($AI$11:$DF$11,'Staff Daily sales'!$G876:$CD876))</f>
        <v>0</v>
      </c>
      <c r="R891">
        <f>IF($E891=0,0,SUMPRODUCT($AI$12:$DF$12,'Staff Daily sales'!$G876:$CD876))</f>
        <v>0</v>
      </c>
      <c r="S891">
        <f>IF($E891=0,0,SUMPRODUCT($AI$13:$DF$13,'Staff Daily sales'!$G876:$CD876))</f>
        <v>0</v>
      </c>
      <c r="T891">
        <f>IF($E891=0,0,SUMPRODUCT($AI$14:$DF$14,'Staff Daily sales'!$G876:$CD876))</f>
        <v>0</v>
      </c>
      <c r="U891">
        <f>IF($E891=0,0,SUMPRODUCT($AI$15:$DF$15,'Staff Daily sales'!$G876:$CD876))</f>
        <v>0</v>
      </c>
      <c r="V891">
        <f>IF($E891=0,0,SUMPRODUCT($AI$16:$DF$16,'Staff Daily sales'!$G876:$CD876))</f>
        <v>0</v>
      </c>
      <c r="W891">
        <f t="shared" si="239"/>
        <v>0</v>
      </c>
      <c r="X891">
        <f t="shared" si="240"/>
        <v>0</v>
      </c>
      <c r="Y891">
        <f t="shared" si="241"/>
        <v>0</v>
      </c>
      <c r="Z891">
        <f t="shared" si="242"/>
        <v>0</v>
      </c>
      <c r="AA891">
        <f t="shared" si="243"/>
        <v>0</v>
      </c>
      <c r="AB891">
        <f>--AND($E891=1,OR('Staff Weekly Trend'!$B$3="All",$DH891='Staff Weekly Trend'!$B$3),OR('Staff Weekly Trend'!$B$4="All",$D891='Staff Weekly Trend'!$B$4),OR('Staff Weekly Trend'!$B$5="All",$A891='Staff Weekly Trend'!$B$5))</f>
        <v>0</v>
      </c>
      <c r="AC891" t="str">
        <f t="shared" si="244"/>
        <v/>
      </c>
      <c r="AI891">
        <f t="shared" si="245"/>
        <v>0</v>
      </c>
      <c r="AJ891">
        <f t="shared" si="246"/>
        <v>0</v>
      </c>
      <c r="AK891">
        <f t="shared" si="247"/>
        <v>0</v>
      </c>
      <c r="AL891">
        <f t="shared" si="248"/>
        <v>0</v>
      </c>
      <c r="AM891">
        <f t="shared" si="249"/>
        <v>0</v>
      </c>
      <c r="DH891" t="str" cm="1">
        <f t="array" ref="DH891">IF($A891="","",_xlfn.LET(_xlpm.c,IFERROR(_xlfn.XLOOKUP($A891,TRIM('Sales and count'!$A$4:$A$300&amp;""),TRIM('Sales and count'!$B$4:$B$300&amp;"")),""),IF(OR(_xlpm.c="",_xlpm.c="0",LEFT(_xlpm.c,1)="#"),"Not set",_xlpm.c)))</f>
        <v/>
      </c>
    </row>
    <row r="892" spans="1:112" x14ac:dyDescent="0.25">
      <c r="A892" t="str">
        <f>IF('Staff Daily sales'!$B877="","",TRIM('Staff Daily sales'!$B877&amp;""))</f>
        <v/>
      </c>
      <c r="B892" t="str">
        <f>IF('Staff Daily sales'!$D877="","",TRIM('Staff Daily sales'!$D877&amp;""))</f>
        <v/>
      </c>
      <c r="C892" t="str">
        <f>IFERROR(TRIM('Staff Daily sales'!$E877&amp;""),"")</f>
        <v/>
      </c>
      <c r="D892" t="str">
        <f>IFERROR(IF(TRIM('Staff Daily sales'!$F877&amp;"")="","Unassigned",TRIM('Staff Daily sales'!$F877&amp;"")),"Unassigned")</f>
        <v>Unassigned</v>
      </c>
      <c r="E892">
        <f t="shared" si="234"/>
        <v>0</v>
      </c>
      <c r="F892">
        <f>IF($E892=0,0,SUMPRODUCT($AI$5:$DF$5,'Staff Daily sales'!$G877:$CD877))</f>
        <v>0</v>
      </c>
      <c r="G892">
        <f>IF($E892=0,0,SUMPRODUCT($AI$6:$DF$6,'Staff Daily sales'!$G877:$CD877))</f>
        <v>0</v>
      </c>
      <c r="H892">
        <f t="shared" si="235"/>
        <v>0</v>
      </c>
      <c r="I892">
        <f t="shared" si="236"/>
        <v>0</v>
      </c>
      <c r="J892">
        <f t="shared" si="237"/>
        <v>0</v>
      </c>
      <c r="K892">
        <f t="shared" si="238"/>
        <v>0</v>
      </c>
      <c r="L892">
        <f>--AND($E892=1,OR('Staff Dashboard'!$B$6="All",$DH892='Staff Dashboard'!$B$6),OR('Staff Dashboard'!$B$7="All",$D892='Staff Dashboard'!$B$7),OR('Staff Dashboard'!$B$8="All",$A892='Staff Dashboard'!$B$8))</f>
        <v>0</v>
      </c>
      <c r="M892">
        <f>IF($E892=0,0,SUMPRODUCT($AI$7:$DF$7,'Staff Daily sales'!$G877:$CD877))</f>
        <v>0</v>
      </c>
      <c r="N892">
        <f>IF($E892=0,0,SUMPRODUCT($AI$8:$DF$8,'Staff Daily sales'!$G877:$CD877))</f>
        <v>0</v>
      </c>
      <c r="O892">
        <f>IF($E892=0,0,SUMPRODUCT($AI$9:$DF$9,'Staff Daily sales'!$G877:$CD877))</f>
        <v>0</v>
      </c>
      <c r="P892">
        <f>IF($E892=0,0,SUMPRODUCT($AI$10:$DF$10,'Staff Daily sales'!$G877:$CD877))</f>
        <v>0</v>
      </c>
      <c r="Q892">
        <f>IF($E892=0,0,SUMPRODUCT($AI$11:$DF$11,'Staff Daily sales'!$G877:$CD877))</f>
        <v>0</v>
      </c>
      <c r="R892">
        <f>IF($E892=0,0,SUMPRODUCT($AI$12:$DF$12,'Staff Daily sales'!$G877:$CD877))</f>
        <v>0</v>
      </c>
      <c r="S892">
        <f>IF($E892=0,0,SUMPRODUCT($AI$13:$DF$13,'Staff Daily sales'!$G877:$CD877))</f>
        <v>0</v>
      </c>
      <c r="T892">
        <f>IF($E892=0,0,SUMPRODUCT($AI$14:$DF$14,'Staff Daily sales'!$G877:$CD877))</f>
        <v>0</v>
      </c>
      <c r="U892">
        <f>IF($E892=0,0,SUMPRODUCT($AI$15:$DF$15,'Staff Daily sales'!$G877:$CD877))</f>
        <v>0</v>
      </c>
      <c r="V892">
        <f>IF($E892=0,0,SUMPRODUCT($AI$16:$DF$16,'Staff Daily sales'!$G877:$CD877))</f>
        <v>0</v>
      </c>
      <c r="W892">
        <f t="shared" si="239"/>
        <v>0</v>
      </c>
      <c r="X892">
        <f t="shared" si="240"/>
        <v>0</v>
      </c>
      <c r="Y892">
        <f t="shared" si="241"/>
        <v>0</v>
      </c>
      <c r="Z892">
        <f t="shared" si="242"/>
        <v>0</v>
      </c>
      <c r="AA892">
        <f t="shared" si="243"/>
        <v>0</v>
      </c>
      <c r="AB892">
        <f>--AND($E892=1,OR('Staff Weekly Trend'!$B$3="All",$DH892='Staff Weekly Trend'!$B$3),OR('Staff Weekly Trend'!$B$4="All",$D892='Staff Weekly Trend'!$B$4),OR('Staff Weekly Trend'!$B$5="All",$A892='Staff Weekly Trend'!$B$5))</f>
        <v>0</v>
      </c>
      <c r="AC892" t="str">
        <f t="shared" si="244"/>
        <v/>
      </c>
      <c r="AI892">
        <f t="shared" si="245"/>
        <v>0</v>
      </c>
      <c r="AJ892">
        <f t="shared" si="246"/>
        <v>0</v>
      </c>
      <c r="AK892">
        <f t="shared" si="247"/>
        <v>0</v>
      </c>
      <c r="AL892">
        <f t="shared" si="248"/>
        <v>0</v>
      </c>
      <c r="AM892">
        <f t="shared" si="249"/>
        <v>0</v>
      </c>
      <c r="DH892" t="str" cm="1">
        <f t="array" ref="DH892">IF($A892="","",_xlfn.LET(_xlpm.c,IFERROR(_xlfn.XLOOKUP($A892,TRIM('Sales and count'!$A$4:$A$300&amp;""),TRIM('Sales and count'!$B$4:$B$300&amp;"")),""),IF(OR(_xlpm.c="",_xlpm.c="0",LEFT(_xlpm.c,1)="#"),"Not set",_xlpm.c)))</f>
        <v/>
      </c>
    </row>
    <row r="893" spans="1:112" x14ac:dyDescent="0.25">
      <c r="A893" t="str">
        <f>IF('Staff Daily sales'!$B878="","",TRIM('Staff Daily sales'!$B878&amp;""))</f>
        <v/>
      </c>
      <c r="B893" t="str">
        <f>IF('Staff Daily sales'!$D878="","",TRIM('Staff Daily sales'!$D878&amp;""))</f>
        <v/>
      </c>
      <c r="C893" t="str">
        <f>IFERROR(TRIM('Staff Daily sales'!$E878&amp;""),"")</f>
        <v/>
      </c>
      <c r="D893" t="str">
        <f>IFERROR(IF(TRIM('Staff Daily sales'!$F878&amp;"")="","Unassigned",TRIM('Staff Daily sales'!$F878&amp;"")),"Unassigned")</f>
        <v>Unassigned</v>
      </c>
      <c r="E893">
        <f t="shared" si="234"/>
        <v>0</v>
      </c>
      <c r="F893">
        <f>IF($E893=0,0,SUMPRODUCT($AI$5:$DF$5,'Staff Daily sales'!$G878:$CD878))</f>
        <v>0</v>
      </c>
      <c r="G893">
        <f>IF($E893=0,0,SUMPRODUCT($AI$6:$DF$6,'Staff Daily sales'!$G878:$CD878))</f>
        <v>0</v>
      </c>
      <c r="H893">
        <f t="shared" si="235"/>
        <v>0</v>
      </c>
      <c r="I893">
        <f t="shared" si="236"/>
        <v>0</v>
      </c>
      <c r="J893">
        <f t="shared" si="237"/>
        <v>0</v>
      </c>
      <c r="K893">
        <f t="shared" si="238"/>
        <v>0</v>
      </c>
      <c r="L893">
        <f>--AND($E893=1,OR('Staff Dashboard'!$B$6="All",$DH893='Staff Dashboard'!$B$6),OR('Staff Dashboard'!$B$7="All",$D893='Staff Dashboard'!$B$7),OR('Staff Dashboard'!$B$8="All",$A893='Staff Dashboard'!$B$8))</f>
        <v>0</v>
      </c>
      <c r="M893">
        <f>IF($E893=0,0,SUMPRODUCT($AI$7:$DF$7,'Staff Daily sales'!$G878:$CD878))</f>
        <v>0</v>
      </c>
      <c r="N893">
        <f>IF($E893=0,0,SUMPRODUCT($AI$8:$DF$8,'Staff Daily sales'!$G878:$CD878))</f>
        <v>0</v>
      </c>
      <c r="O893">
        <f>IF($E893=0,0,SUMPRODUCT($AI$9:$DF$9,'Staff Daily sales'!$G878:$CD878))</f>
        <v>0</v>
      </c>
      <c r="P893">
        <f>IF($E893=0,0,SUMPRODUCT($AI$10:$DF$10,'Staff Daily sales'!$G878:$CD878))</f>
        <v>0</v>
      </c>
      <c r="Q893">
        <f>IF($E893=0,0,SUMPRODUCT($AI$11:$DF$11,'Staff Daily sales'!$G878:$CD878))</f>
        <v>0</v>
      </c>
      <c r="R893">
        <f>IF($E893=0,0,SUMPRODUCT($AI$12:$DF$12,'Staff Daily sales'!$G878:$CD878))</f>
        <v>0</v>
      </c>
      <c r="S893">
        <f>IF($E893=0,0,SUMPRODUCT($AI$13:$DF$13,'Staff Daily sales'!$G878:$CD878))</f>
        <v>0</v>
      </c>
      <c r="T893">
        <f>IF($E893=0,0,SUMPRODUCT($AI$14:$DF$14,'Staff Daily sales'!$G878:$CD878))</f>
        <v>0</v>
      </c>
      <c r="U893">
        <f>IF($E893=0,0,SUMPRODUCT($AI$15:$DF$15,'Staff Daily sales'!$G878:$CD878))</f>
        <v>0</v>
      </c>
      <c r="V893">
        <f>IF($E893=0,0,SUMPRODUCT($AI$16:$DF$16,'Staff Daily sales'!$G878:$CD878))</f>
        <v>0</v>
      </c>
      <c r="W893">
        <f t="shared" si="239"/>
        <v>0</v>
      </c>
      <c r="X893">
        <f t="shared" si="240"/>
        <v>0</v>
      </c>
      <c r="Y893">
        <f t="shared" si="241"/>
        <v>0</v>
      </c>
      <c r="Z893">
        <f t="shared" si="242"/>
        <v>0</v>
      </c>
      <c r="AA893">
        <f t="shared" si="243"/>
        <v>0</v>
      </c>
      <c r="AB893">
        <f>--AND($E893=1,OR('Staff Weekly Trend'!$B$3="All",$DH893='Staff Weekly Trend'!$B$3),OR('Staff Weekly Trend'!$B$4="All",$D893='Staff Weekly Trend'!$B$4),OR('Staff Weekly Trend'!$B$5="All",$A893='Staff Weekly Trend'!$B$5))</f>
        <v>0</v>
      </c>
      <c r="AC893" t="str">
        <f t="shared" si="244"/>
        <v/>
      </c>
      <c r="AI893">
        <f t="shared" si="245"/>
        <v>0</v>
      </c>
      <c r="AJ893">
        <f t="shared" si="246"/>
        <v>0</v>
      </c>
      <c r="AK893">
        <f t="shared" si="247"/>
        <v>0</v>
      </c>
      <c r="AL893">
        <f t="shared" si="248"/>
        <v>0</v>
      </c>
      <c r="AM893">
        <f t="shared" si="249"/>
        <v>0</v>
      </c>
      <c r="DH893" t="str" cm="1">
        <f t="array" ref="DH893">IF($A893="","",_xlfn.LET(_xlpm.c,IFERROR(_xlfn.XLOOKUP($A893,TRIM('Sales and count'!$A$4:$A$300&amp;""),TRIM('Sales and count'!$B$4:$B$300&amp;"")),""),IF(OR(_xlpm.c="",_xlpm.c="0",LEFT(_xlpm.c,1)="#"),"Not set",_xlpm.c)))</f>
        <v/>
      </c>
    </row>
    <row r="894" spans="1:112" x14ac:dyDescent="0.25">
      <c r="A894" t="str">
        <f>IF('Staff Daily sales'!$B879="","",TRIM('Staff Daily sales'!$B879&amp;""))</f>
        <v/>
      </c>
      <c r="B894" t="str">
        <f>IF('Staff Daily sales'!$D879="","",TRIM('Staff Daily sales'!$D879&amp;""))</f>
        <v/>
      </c>
      <c r="C894" t="str">
        <f>IFERROR(TRIM('Staff Daily sales'!$E879&amp;""),"")</f>
        <v/>
      </c>
      <c r="D894" t="str">
        <f>IFERROR(IF(TRIM('Staff Daily sales'!$F879&amp;"")="","Unassigned",TRIM('Staff Daily sales'!$F879&amp;"")),"Unassigned")</f>
        <v>Unassigned</v>
      </c>
      <c r="E894">
        <f t="shared" si="234"/>
        <v>0</v>
      </c>
      <c r="F894">
        <f>IF($E894=0,0,SUMPRODUCT($AI$5:$DF$5,'Staff Daily sales'!$G879:$CD879))</f>
        <v>0</v>
      </c>
      <c r="G894">
        <f>IF($E894=0,0,SUMPRODUCT($AI$6:$DF$6,'Staff Daily sales'!$G879:$CD879))</f>
        <v>0</v>
      </c>
      <c r="H894">
        <f t="shared" si="235"/>
        <v>0</v>
      </c>
      <c r="I894">
        <f t="shared" si="236"/>
        <v>0</v>
      </c>
      <c r="J894">
        <f t="shared" si="237"/>
        <v>0</v>
      </c>
      <c r="K894">
        <f t="shared" si="238"/>
        <v>0</v>
      </c>
      <c r="L894">
        <f>--AND($E894=1,OR('Staff Dashboard'!$B$6="All",$DH894='Staff Dashboard'!$B$6),OR('Staff Dashboard'!$B$7="All",$D894='Staff Dashboard'!$B$7),OR('Staff Dashboard'!$B$8="All",$A894='Staff Dashboard'!$B$8))</f>
        <v>0</v>
      </c>
      <c r="M894">
        <f>IF($E894=0,0,SUMPRODUCT($AI$7:$DF$7,'Staff Daily sales'!$G879:$CD879))</f>
        <v>0</v>
      </c>
      <c r="N894">
        <f>IF($E894=0,0,SUMPRODUCT($AI$8:$DF$8,'Staff Daily sales'!$G879:$CD879))</f>
        <v>0</v>
      </c>
      <c r="O894">
        <f>IF($E894=0,0,SUMPRODUCT($AI$9:$DF$9,'Staff Daily sales'!$G879:$CD879))</f>
        <v>0</v>
      </c>
      <c r="P894">
        <f>IF($E894=0,0,SUMPRODUCT($AI$10:$DF$10,'Staff Daily sales'!$G879:$CD879))</f>
        <v>0</v>
      </c>
      <c r="Q894">
        <f>IF($E894=0,0,SUMPRODUCT($AI$11:$DF$11,'Staff Daily sales'!$G879:$CD879))</f>
        <v>0</v>
      </c>
      <c r="R894">
        <f>IF($E894=0,0,SUMPRODUCT($AI$12:$DF$12,'Staff Daily sales'!$G879:$CD879))</f>
        <v>0</v>
      </c>
      <c r="S894">
        <f>IF($E894=0,0,SUMPRODUCT($AI$13:$DF$13,'Staff Daily sales'!$G879:$CD879))</f>
        <v>0</v>
      </c>
      <c r="T894">
        <f>IF($E894=0,0,SUMPRODUCT($AI$14:$DF$14,'Staff Daily sales'!$G879:$CD879))</f>
        <v>0</v>
      </c>
      <c r="U894">
        <f>IF($E894=0,0,SUMPRODUCT($AI$15:$DF$15,'Staff Daily sales'!$G879:$CD879))</f>
        <v>0</v>
      </c>
      <c r="V894">
        <f>IF($E894=0,0,SUMPRODUCT($AI$16:$DF$16,'Staff Daily sales'!$G879:$CD879))</f>
        <v>0</v>
      </c>
      <c r="W894">
        <f t="shared" si="239"/>
        <v>0</v>
      </c>
      <c r="X894">
        <f t="shared" si="240"/>
        <v>0</v>
      </c>
      <c r="Y894">
        <f t="shared" si="241"/>
        <v>0</v>
      </c>
      <c r="Z894">
        <f t="shared" si="242"/>
        <v>0</v>
      </c>
      <c r="AA894">
        <f t="shared" si="243"/>
        <v>0</v>
      </c>
      <c r="AB894">
        <f>--AND($E894=1,OR('Staff Weekly Trend'!$B$3="All",$DH894='Staff Weekly Trend'!$B$3),OR('Staff Weekly Trend'!$B$4="All",$D894='Staff Weekly Trend'!$B$4),OR('Staff Weekly Trend'!$B$5="All",$A894='Staff Weekly Trend'!$B$5))</f>
        <v>0</v>
      </c>
      <c r="AC894" t="str">
        <f t="shared" si="244"/>
        <v/>
      </c>
      <c r="AI894">
        <f t="shared" si="245"/>
        <v>0</v>
      </c>
      <c r="AJ894">
        <f t="shared" si="246"/>
        <v>0</v>
      </c>
      <c r="AK894">
        <f t="shared" si="247"/>
        <v>0</v>
      </c>
      <c r="AL894">
        <f t="shared" si="248"/>
        <v>0</v>
      </c>
      <c r="AM894">
        <f t="shared" si="249"/>
        <v>0</v>
      </c>
      <c r="DH894" t="str" cm="1">
        <f t="array" ref="DH894">IF($A894="","",_xlfn.LET(_xlpm.c,IFERROR(_xlfn.XLOOKUP($A894,TRIM('Sales and count'!$A$4:$A$300&amp;""),TRIM('Sales and count'!$B$4:$B$300&amp;"")),""),IF(OR(_xlpm.c="",_xlpm.c="0",LEFT(_xlpm.c,1)="#"),"Not set",_xlpm.c)))</f>
        <v/>
      </c>
    </row>
    <row r="895" spans="1:112" x14ac:dyDescent="0.25">
      <c r="A895" t="str">
        <f>IF('Staff Daily sales'!$B880="","",TRIM('Staff Daily sales'!$B880&amp;""))</f>
        <v/>
      </c>
      <c r="B895" t="str">
        <f>IF('Staff Daily sales'!$D880="","",TRIM('Staff Daily sales'!$D880&amp;""))</f>
        <v/>
      </c>
      <c r="C895" t="str">
        <f>IFERROR(TRIM('Staff Daily sales'!$E880&amp;""),"")</f>
        <v/>
      </c>
      <c r="D895" t="str">
        <f>IFERROR(IF(TRIM('Staff Daily sales'!$F880&amp;"")="","Unassigned",TRIM('Staff Daily sales'!$F880&amp;"")),"Unassigned")</f>
        <v>Unassigned</v>
      </c>
      <c r="E895">
        <f t="shared" si="234"/>
        <v>0</v>
      </c>
      <c r="F895">
        <f>IF($E895=0,0,SUMPRODUCT($AI$5:$DF$5,'Staff Daily sales'!$G880:$CD880))</f>
        <v>0</v>
      </c>
      <c r="G895">
        <f>IF($E895=0,0,SUMPRODUCT($AI$6:$DF$6,'Staff Daily sales'!$G880:$CD880))</f>
        <v>0</v>
      </c>
      <c r="H895">
        <f t="shared" si="235"/>
        <v>0</v>
      </c>
      <c r="I895">
        <f t="shared" si="236"/>
        <v>0</v>
      </c>
      <c r="J895">
        <f t="shared" si="237"/>
        <v>0</v>
      </c>
      <c r="K895">
        <f t="shared" si="238"/>
        <v>0</v>
      </c>
      <c r="L895">
        <f>--AND($E895=1,OR('Staff Dashboard'!$B$6="All",$DH895='Staff Dashboard'!$B$6),OR('Staff Dashboard'!$B$7="All",$D895='Staff Dashboard'!$B$7),OR('Staff Dashboard'!$B$8="All",$A895='Staff Dashboard'!$B$8))</f>
        <v>0</v>
      </c>
      <c r="M895">
        <f>IF($E895=0,0,SUMPRODUCT($AI$7:$DF$7,'Staff Daily sales'!$G880:$CD880))</f>
        <v>0</v>
      </c>
      <c r="N895">
        <f>IF($E895=0,0,SUMPRODUCT($AI$8:$DF$8,'Staff Daily sales'!$G880:$CD880))</f>
        <v>0</v>
      </c>
      <c r="O895">
        <f>IF($E895=0,0,SUMPRODUCT($AI$9:$DF$9,'Staff Daily sales'!$G880:$CD880))</f>
        <v>0</v>
      </c>
      <c r="P895">
        <f>IF($E895=0,0,SUMPRODUCT($AI$10:$DF$10,'Staff Daily sales'!$G880:$CD880))</f>
        <v>0</v>
      </c>
      <c r="Q895">
        <f>IF($E895=0,0,SUMPRODUCT($AI$11:$DF$11,'Staff Daily sales'!$G880:$CD880))</f>
        <v>0</v>
      </c>
      <c r="R895">
        <f>IF($E895=0,0,SUMPRODUCT($AI$12:$DF$12,'Staff Daily sales'!$G880:$CD880))</f>
        <v>0</v>
      </c>
      <c r="S895">
        <f>IF($E895=0,0,SUMPRODUCT($AI$13:$DF$13,'Staff Daily sales'!$G880:$CD880))</f>
        <v>0</v>
      </c>
      <c r="T895">
        <f>IF($E895=0,0,SUMPRODUCT($AI$14:$DF$14,'Staff Daily sales'!$G880:$CD880))</f>
        <v>0</v>
      </c>
      <c r="U895">
        <f>IF($E895=0,0,SUMPRODUCT($AI$15:$DF$15,'Staff Daily sales'!$G880:$CD880))</f>
        <v>0</v>
      </c>
      <c r="V895">
        <f>IF($E895=0,0,SUMPRODUCT($AI$16:$DF$16,'Staff Daily sales'!$G880:$CD880))</f>
        <v>0</v>
      </c>
      <c r="W895">
        <f t="shared" si="239"/>
        <v>0</v>
      </c>
      <c r="X895">
        <f t="shared" si="240"/>
        <v>0</v>
      </c>
      <c r="Y895">
        <f t="shared" si="241"/>
        <v>0</v>
      </c>
      <c r="Z895">
        <f t="shared" si="242"/>
        <v>0</v>
      </c>
      <c r="AA895">
        <f t="shared" si="243"/>
        <v>0</v>
      </c>
      <c r="AB895">
        <f>--AND($E895=1,OR('Staff Weekly Trend'!$B$3="All",$DH895='Staff Weekly Trend'!$B$3),OR('Staff Weekly Trend'!$B$4="All",$D895='Staff Weekly Trend'!$B$4),OR('Staff Weekly Trend'!$B$5="All",$A895='Staff Weekly Trend'!$B$5))</f>
        <v>0</v>
      </c>
      <c r="AC895" t="str">
        <f t="shared" si="244"/>
        <v/>
      </c>
      <c r="AI895">
        <f t="shared" si="245"/>
        <v>0</v>
      </c>
      <c r="AJ895">
        <f t="shared" si="246"/>
        <v>0</v>
      </c>
      <c r="AK895">
        <f t="shared" si="247"/>
        <v>0</v>
      </c>
      <c r="AL895">
        <f t="shared" si="248"/>
        <v>0</v>
      </c>
      <c r="AM895">
        <f t="shared" si="249"/>
        <v>0</v>
      </c>
      <c r="DH895" t="str" cm="1">
        <f t="array" ref="DH895">IF($A895="","",_xlfn.LET(_xlpm.c,IFERROR(_xlfn.XLOOKUP($A895,TRIM('Sales and count'!$A$4:$A$300&amp;""),TRIM('Sales and count'!$B$4:$B$300&amp;"")),""),IF(OR(_xlpm.c="",_xlpm.c="0",LEFT(_xlpm.c,1)="#"),"Not set",_xlpm.c)))</f>
        <v/>
      </c>
    </row>
    <row r="896" spans="1:112" x14ac:dyDescent="0.25">
      <c r="A896" t="str">
        <f>IF('Staff Daily sales'!$B881="","",TRIM('Staff Daily sales'!$B881&amp;""))</f>
        <v/>
      </c>
      <c r="B896" t="str">
        <f>IF('Staff Daily sales'!$D881="","",TRIM('Staff Daily sales'!$D881&amp;""))</f>
        <v/>
      </c>
      <c r="C896" t="str">
        <f>IFERROR(TRIM('Staff Daily sales'!$E881&amp;""),"")</f>
        <v/>
      </c>
      <c r="D896" t="str">
        <f>IFERROR(IF(TRIM('Staff Daily sales'!$F881&amp;"")="","Unassigned",TRIM('Staff Daily sales'!$F881&amp;"")),"Unassigned")</f>
        <v>Unassigned</v>
      </c>
      <c r="E896">
        <f t="shared" si="234"/>
        <v>0</v>
      </c>
      <c r="F896">
        <f>IF($E896=0,0,SUMPRODUCT($AI$5:$DF$5,'Staff Daily sales'!$G881:$CD881))</f>
        <v>0</v>
      </c>
      <c r="G896">
        <f>IF($E896=0,0,SUMPRODUCT($AI$6:$DF$6,'Staff Daily sales'!$G881:$CD881))</f>
        <v>0</v>
      </c>
      <c r="H896">
        <f t="shared" si="235"/>
        <v>0</v>
      </c>
      <c r="I896">
        <f t="shared" si="236"/>
        <v>0</v>
      </c>
      <c r="J896">
        <f t="shared" si="237"/>
        <v>0</v>
      </c>
      <c r="K896">
        <f t="shared" si="238"/>
        <v>0</v>
      </c>
      <c r="L896">
        <f>--AND($E896=1,OR('Staff Dashboard'!$B$6="All",$DH896='Staff Dashboard'!$B$6),OR('Staff Dashboard'!$B$7="All",$D896='Staff Dashboard'!$B$7),OR('Staff Dashboard'!$B$8="All",$A896='Staff Dashboard'!$B$8))</f>
        <v>0</v>
      </c>
      <c r="M896">
        <f>IF($E896=0,0,SUMPRODUCT($AI$7:$DF$7,'Staff Daily sales'!$G881:$CD881))</f>
        <v>0</v>
      </c>
      <c r="N896">
        <f>IF($E896=0,0,SUMPRODUCT($AI$8:$DF$8,'Staff Daily sales'!$G881:$CD881))</f>
        <v>0</v>
      </c>
      <c r="O896">
        <f>IF($E896=0,0,SUMPRODUCT($AI$9:$DF$9,'Staff Daily sales'!$G881:$CD881))</f>
        <v>0</v>
      </c>
      <c r="P896">
        <f>IF($E896=0,0,SUMPRODUCT($AI$10:$DF$10,'Staff Daily sales'!$G881:$CD881))</f>
        <v>0</v>
      </c>
      <c r="Q896">
        <f>IF($E896=0,0,SUMPRODUCT($AI$11:$DF$11,'Staff Daily sales'!$G881:$CD881))</f>
        <v>0</v>
      </c>
      <c r="R896">
        <f>IF($E896=0,0,SUMPRODUCT($AI$12:$DF$12,'Staff Daily sales'!$G881:$CD881))</f>
        <v>0</v>
      </c>
      <c r="S896">
        <f>IF($E896=0,0,SUMPRODUCT($AI$13:$DF$13,'Staff Daily sales'!$G881:$CD881))</f>
        <v>0</v>
      </c>
      <c r="T896">
        <f>IF($E896=0,0,SUMPRODUCT($AI$14:$DF$14,'Staff Daily sales'!$G881:$CD881))</f>
        <v>0</v>
      </c>
      <c r="U896">
        <f>IF($E896=0,0,SUMPRODUCT($AI$15:$DF$15,'Staff Daily sales'!$G881:$CD881))</f>
        <v>0</v>
      </c>
      <c r="V896">
        <f>IF($E896=0,0,SUMPRODUCT($AI$16:$DF$16,'Staff Daily sales'!$G881:$CD881))</f>
        <v>0</v>
      </c>
      <c r="W896">
        <f t="shared" si="239"/>
        <v>0</v>
      </c>
      <c r="X896">
        <f t="shared" si="240"/>
        <v>0</v>
      </c>
      <c r="Y896">
        <f t="shared" si="241"/>
        <v>0</v>
      </c>
      <c r="Z896">
        <f t="shared" si="242"/>
        <v>0</v>
      </c>
      <c r="AA896">
        <f t="shared" si="243"/>
        <v>0</v>
      </c>
      <c r="AB896">
        <f>--AND($E896=1,OR('Staff Weekly Trend'!$B$3="All",$DH896='Staff Weekly Trend'!$B$3),OR('Staff Weekly Trend'!$B$4="All",$D896='Staff Weekly Trend'!$B$4),OR('Staff Weekly Trend'!$B$5="All",$A896='Staff Weekly Trend'!$B$5))</f>
        <v>0</v>
      </c>
      <c r="AC896" t="str">
        <f t="shared" si="244"/>
        <v/>
      </c>
      <c r="AI896">
        <f t="shared" si="245"/>
        <v>0</v>
      </c>
      <c r="AJ896">
        <f t="shared" si="246"/>
        <v>0</v>
      </c>
      <c r="AK896">
        <f t="shared" si="247"/>
        <v>0</v>
      </c>
      <c r="AL896">
        <f t="shared" si="248"/>
        <v>0</v>
      </c>
      <c r="AM896">
        <f t="shared" si="249"/>
        <v>0</v>
      </c>
      <c r="DH896" t="str" cm="1">
        <f t="array" ref="DH896">IF($A896="","",_xlfn.LET(_xlpm.c,IFERROR(_xlfn.XLOOKUP($A896,TRIM('Sales and count'!$A$4:$A$300&amp;""),TRIM('Sales and count'!$B$4:$B$300&amp;"")),""),IF(OR(_xlpm.c="",_xlpm.c="0",LEFT(_xlpm.c,1)="#"),"Not set",_xlpm.c)))</f>
        <v/>
      </c>
    </row>
    <row r="897" spans="1:112" x14ac:dyDescent="0.25">
      <c r="A897" t="str">
        <f>IF('Staff Daily sales'!$B882="","",TRIM('Staff Daily sales'!$B882&amp;""))</f>
        <v/>
      </c>
      <c r="B897" t="str">
        <f>IF('Staff Daily sales'!$D882="","",TRIM('Staff Daily sales'!$D882&amp;""))</f>
        <v/>
      </c>
      <c r="C897" t="str">
        <f>IFERROR(TRIM('Staff Daily sales'!$E882&amp;""),"")</f>
        <v/>
      </c>
      <c r="D897" t="str">
        <f>IFERROR(IF(TRIM('Staff Daily sales'!$F882&amp;"")="","Unassigned",TRIM('Staff Daily sales'!$F882&amp;"")),"Unassigned")</f>
        <v>Unassigned</v>
      </c>
      <c r="E897">
        <f t="shared" si="234"/>
        <v>0</v>
      </c>
      <c r="F897">
        <f>IF($E897=0,0,SUMPRODUCT($AI$5:$DF$5,'Staff Daily sales'!$G882:$CD882))</f>
        <v>0</v>
      </c>
      <c r="G897">
        <f>IF($E897=0,0,SUMPRODUCT($AI$6:$DF$6,'Staff Daily sales'!$G882:$CD882))</f>
        <v>0</v>
      </c>
      <c r="H897">
        <f t="shared" si="235"/>
        <v>0</v>
      </c>
      <c r="I897">
        <f t="shared" si="236"/>
        <v>0</v>
      </c>
      <c r="J897">
        <f t="shared" si="237"/>
        <v>0</v>
      </c>
      <c r="K897">
        <f t="shared" si="238"/>
        <v>0</v>
      </c>
      <c r="L897">
        <f>--AND($E897=1,OR('Staff Dashboard'!$B$6="All",$DH897='Staff Dashboard'!$B$6),OR('Staff Dashboard'!$B$7="All",$D897='Staff Dashboard'!$B$7),OR('Staff Dashboard'!$B$8="All",$A897='Staff Dashboard'!$B$8))</f>
        <v>0</v>
      </c>
      <c r="M897">
        <f>IF($E897=0,0,SUMPRODUCT($AI$7:$DF$7,'Staff Daily sales'!$G882:$CD882))</f>
        <v>0</v>
      </c>
      <c r="N897">
        <f>IF($E897=0,0,SUMPRODUCT($AI$8:$DF$8,'Staff Daily sales'!$G882:$CD882))</f>
        <v>0</v>
      </c>
      <c r="O897">
        <f>IF($E897=0,0,SUMPRODUCT($AI$9:$DF$9,'Staff Daily sales'!$G882:$CD882))</f>
        <v>0</v>
      </c>
      <c r="P897">
        <f>IF($E897=0,0,SUMPRODUCT($AI$10:$DF$10,'Staff Daily sales'!$G882:$CD882))</f>
        <v>0</v>
      </c>
      <c r="Q897">
        <f>IF($E897=0,0,SUMPRODUCT($AI$11:$DF$11,'Staff Daily sales'!$G882:$CD882))</f>
        <v>0</v>
      </c>
      <c r="R897">
        <f>IF($E897=0,0,SUMPRODUCT($AI$12:$DF$12,'Staff Daily sales'!$G882:$CD882))</f>
        <v>0</v>
      </c>
      <c r="S897">
        <f>IF($E897=0,0,SUMPRODUCT($AI$13:$DF$13,'Staff Daily sales'!$G882:$CD882))</f>
        <v>0</v>
      </c>
      <c r="T897">
        <f>IF($E897=0,0,SUMPRODUCT($AI$14:$DF$14,'Staff Daily sales'!$G882:$CD882))</f>
        <v>0</v>
      </c>
      <c r="U897">
        <f>IF($E897=0,0,SUMPRODUCT($AI$15:$DF$15,'Staff Daily sales'!$G882:$CD882))</f>
        <v>0</v>
      </c>
      <c r="V897">
        <f>IF($E897=0,0,SUMPRODUCT($AI$16:$DF$16,'Staff Daily sales'!$G882:$CD882))</f>
        <v>0</v>
      </c>
      <c r="W897">
        <f t="shared" si="239"/>
        <v>0</v>
      </c>
      <c r="X897">
        <f t="shared" si="240"/>
        <v>0</v>
      </c>
      <c r="Y897">
        <f t="shared" si="241"/>
        <v>0</v>
      </c>
      <c r="Z897">
        <f t="shared" si="242"/>
        <v>0</v>
      </c>
      <c r="AA897">
        <f t="shared" si="243"/>
        <v>0</v>
      </c>
      <c r="AB897">
        <f>--AND($E897=1,OR('Staff Weekly Trend'!$B$3="All",$DH897='Staff Weekly Trend'!$B$3),OR('Staff Weekly Trend'!$B$4="All",$D897='Staff Weekly Trend'!$B$4),OR('Staff Weekly Trend'!$B$5="All",$A897='Staff Weekly Trend'!$B$5))</f>
        <v>0</v>
      </c>
      <c r="AC897" t="str">
        <f t="shared" si="244"/>
        <v/>
      </c>
      <c r="AI897">
        <f t="shared" si="245"/>
        <v>0</v>
      </c>
      <c r="AJ897">
        <f t="shared" si="246"/>
        <v>0</v>
      </c>
      <c r="AK897">
        <f t="shared" si="247"/>
        <v>0</v>
      </c>
      <c r="AL897">
        <f t="shared" si="248"/>
        <v>0</v>
      </c>
      <c r="AM897">
        <f t="shared" si="249"/>
        <v>0</v>
      </c>
      <c r="DH897" t="str" cm="1">
        <f t="array" ref="DH897">IF($A897="","",_xlfn.LET(_xlpm.c,IFERROR(_xlfn.XLOOKUP($A897,TRIM('Sales and count'!$A$4:$A$300&amp;""),TRIM('Sales and count'!$B$4:$B$300&amp;"")),""),IF(OR(_xlpm.c="",_xlpm.c="0",LEFT(_xlpm.c,1)="#"),"Not set",_xlpm.c)))</f>
        <v/>
      </c>
    </row>
    <row r="898" spans="1:112" x14ac:dyDescent="0.25">
      <c r="A898" t="str">
        <f>IF('Staff Daily sales'!$B883="","",TRIM('Staff Daily sales'!$B883&amp;""))</f>
        <v/>
      </c>
      <c r="B898" t="str">
        <f>IF('Staff Daily sales'!$D883="","",TRIM('Staff Daily sales'!$D883&amp;""))</f>
        <v/>
      </c>
      <c r="C898" t="str">
        <f>IFERROR(TRIM('Staff Daily sales'!$E883&amp;""),"")</f>
        <v/>
      </c>
      <c r="D898" t="str">
        <f>IFERROR(IF(TRIM('Staff Daily sales'!$F883&amp;"")="","Unassigned",TRIM('Staff Daily sales'!$F883&amp;"")),"Unassigned")</f>
        <v>Unassigned</v>
      </c>
      <c r="E898">
        <f t="shared" si="234"/>
        <v>0</v>
      </c>
      <c r="F898">
        <f>IF($E898=0,0,SUMPRODUCT($AI$5:$DF$5,'Staff Daily sales'!$G883:$CD883))</f>
        <v>0</v>
      </c>
      <c r="G898">
        <f>IF($E898=0,0,SUMPRODUCT($AI$6:$DF$6,'Staff Daily sales'!$G883:$CD883))</f>
        <v>0</v>
      </c>
      <c r="H898">
        <f t="shared" si="235"/>
        <v>0</v>
      </c>
      <c r="I898">
        <f t="shared" si="236"/>
        <v>0</v>
      </c>
      <c r="J898">
        <f t="shared" si="237"/>
        <v>0</v>
      </c>
      <c r="K898">
        <f t="shared" si="238"/>
        <v>0</v>
      </c>
      <c r="L898">
        <f>--AND($E898=1,OR('Staff Dashboard'!$B$6="All",$DH898='Staff Dashboard'!$B$6),OR('Staff Dashboard'!$B$7="All",$D898='Staff Dashboard'!$B$7),OR('Staff Dashboard'!$B$8="All",$A898='Staff Dashboard'!$B$8))</f>
        <v>0</v>
      </c>
      <c r="M898">
        <f>IF($E898=0,0,SUMPRODUCT($AI$7:$DF$7,'Staff Daily sales'!$G883:$CD883))</f>
        <v>0</v>
      </c>
      <c r="N898">
        <f>IF($E898=0,0,SUMPRODUCT($AI$8:$DF$8,'Staff Daily sales'!$G883:$CD883))</f>
        <v>0</v>
      </c>
      <c r="O898">
        <f>IF($E898=0,0,SUMPRODUCT($AI$9:$DF$9,'Staff Daily sales'!$G883:$CD883))</f>
        <v>0</v>
      </c>
      <c r="P898">
        <f>IF($E898=0,0,SUMPRODUCT($AI$10:$DF$10,'Staff Daily sales'!$G883:$CD883))</f>
        <v>0</v>
      </c>
      <c r="Q898">
        <f>IF($E898=0,0,SUMPRODUCT($AI$11:$DF$11,'Staff Daily sales'!$G883:$CD883))</f>
        <v>0</v>
      </c>
      <c r="R898">
        <f>IF($E898=0,0,SUMPRODUCT($AI$12:$DF$12,'Staff Daily sales'!$G883:$CD883))</f>
        <v>0</v>
      </c>
      <c r="S898">
        <f>IF($E898=0,0,SUMPRODUCT($AI$13:$DF$13,'Staff Daily sales'!$G883:$CD883))</f>
        <v>0</v>
      </c>
      <c r="T898">
        <f>IF($E898=0,0,SUMPRODUCT($AI$14:$DF$14,'Staff Daily sales'!$G883:$CD883))</f>
        <v>0</v>
      </c>
      <c r="U898">
        <f>IF($E898=0,0,SUMPRODUCT($AI$15:$DF$15,'Staff Daily sales'!$G883:$CD883))</f>
        <v>0</v>
      </c>
      <c r="V898">
        <f>IF($E898=0,0,SUMPRODUCT($AI$16:$DF$16,'Staff Daily sales'!$G883:$CD883))</f>
        <v>0</v>
      </c>
      <c r="W898">
        <f t="shared" si="239"/>
        <v>0</v>
      </c>
      <c r="X898">
        <f t="shared" si="240"/>
        <v>0</v>
      </c>
      <c r="Y898">
        <f t="shared" si="241"/>
        <v>0</v>
      </c>
      <c r="Z898">
        <f t="shared" si="242"/>
        <v>0</v>
      </c>
      <c r="AA898">
        <f t="shared" si="243"/>
        <v>0</v>
      </c>
      <c r="AB898">
        <f>--AND($E898=1,OR('Staff Weekly Trend'!$B$3="All",$DH898='Staff Weekly Trend'!$B$3),OR('Staff Weekly Trend'!$B$4="All",$D898='Staff Weekly Trend'!$B$4),OR('Staff Weekly Trend'!$B$5="All",$A898='Staff Weekly Trend'!$B$5))</f>
        <v>0</v>
      </c>
      <c r="AC898" t="str">
        <f t="shared" si="244"/>
        <v/>
      </c>
      <c r="AI898">
        <f t="shared" si="245"/>
        <v>0</v>
      </c>
      <c r="AJ898">
        <f t="shared" si="246"/>
        <v>0</v>
      </c>
      <c r="AK898">
        <f t="shared" si="247"/>
        <v>0</v>
      </c>
      <c r="AL898">
        <f t="shared" si="248"/>
        <v>0</v>
      </c>
      <c r="AM898">
        <f t="shared" si="249"/>
        <v>0</v>
      </c>
      <c r="DH898" t="str" cm="1">
        <f t="array" ref="DH898">IF($A898="","",_xlfn.LET(_xlpm.c,IFERROR(_xlfn.XLOOKUP($A898,TRIM('Sales and count'!$A$4:$A$300&amp;""),TRIM('Sales and count'!$B$4:$B$300&amp;"")),""),IF(OR(_xlpm.c="",_xlpm.c="0",LEFT(_xlpm.c,1)="#"),"Not set",_xlpm.c)))</f>
        <v/>
      </c>
    </row>
    <row r="899" spans="1:112" x14ac:dyDescent="0.25">
      <c r="A899" t="str">
        <f>IF('Staff Daily sales'!$B884="","",TRIM('Staff Daily sales'!$B884&amp;""))</f>
        <v/>
      </c>
      <c r="B899" t="str">
        <f>IF('Staff Daily sales'!$D884="","",TRIM('Staff Daily sales'!$D884&amp;""))</f>
        <v/>
      </c>
      <c r="C899" t="str">
        <f>IFERROR(TRIM('Staff Daily sales'!$E884&amp;""),"")</f>
        <v/>
      </c>
      <c r="D899" t="str">
        <f>IFERROR(IF(TRIM('Staff Daily sales'!$F884&amp;"")="","Unassigned",TRIM('Staff Daily sales'!$F884&amp;"")),"Unassigned")</f>
        <v>Unassigned</v>
      </c>
      <c r="E899">
        <f t="shared" si="234"/>
        <v>0</v>
      </c>
      <c r="F899">
        <f>IF($E899=0,0,SUMPRODUCT($AI$5:$DF$5,'Staff Daily sales'!$G884:$CD884))</f>
        <v>0</v>
      </c>
      <c r="G899">
        <f>IF($E899=0,0,SUMPRODUCT($AI$6:$DF$6,'Staff Daily sales'!$G884:$CD884))</f>
        <v>0</v>
      </c>
      <c r="H899">
        <f t="shared" si="235"/>
        <v>0</v>
      </c>
      <c r="I899">
        <f t="shared" si="236"/>
        <v>0</v>
      </c>
      <c r="J899">
        <f t="shared" si="237"/>
        <v>0</v>
      </c>
      <c r="K899">
        <f t="shared" si="238"/>
        <v>0</v>
      </c>
      <c r="L899">
        <f>--AND($E899=1,OR('Staff Dashboard'!$B$6="All",$DH899='Staff Dashboard'!$B$6),OR('Staff Dashboard'!$B$7="All",$D899='Staff Dashboard'!$B$7),OR('Staff Dashboard'!$B$8="All",$A899='Staff Dashboard'!$B$8))</f>
        <v>0</v>
      </c>
      <c r="M899">
        <f>IF($E899=0,0,SUMPRODUCT($AI$7:$DF$7,'Staff Daily sales'!$G884:$CD884))</f>
        <v>0</v>
      </c>
      <c r="N899">
        <f>IF($E899=0,0,SUMPRODUCT($AI$8:$DF$8,'Staff Daily sales'!$G884:$CD884))</f>
        <v>0</v>
      </c>
      <c r="O899">
        <f>IF($E899=0,0,SUMPRODUCT($AI$9:$DF$9,'Staff Daily sales'!$G884:$CD884))</f>
        <v>0</v>
      </c>
      <c r="P899">
        <f>IF($E899=0,0,SUMPRODUCT($AI$10:$DF$10,'Staff Daily sales'!$G884:$CD884))</f>
        <v>0</v>
      </c>
      <c r="Q899">
        <f>IF($E899=0,0,SUMPRODUCT($AI$11:$DF$11,'Staff Daily sales'!$G884:$CD884))</f>
        <v>0</v>
      </c>
      <c r="R899">
        <f>IF($E899=0,0,SUMPRODUCT($AI$12:$DF$12,'Staff Daily sales'!$G884:$CD884))</f>
        <v>0</v>
      </c>
      <c r="S899">
        <f>IF($E899=0,0,SUMPRODUCT($AI$13:$DF$13,'Staff Daily sales'!$G884:$CD884))</f>
        <v>0</v>
      </c>
      <c r="T899">
        <f>IF($E899=0,0,SUMPRODUCT($AI$14:$DF$14,'Staff Daily sales'!$G884:$CD884))</f>
        <v>0</v>
      </c>
      <c r="U899">
        <f>IF($E899=0,0,SUMPRODUCT($AI$15:$DF$15,'Staff Daily sales'!$G884:$CD884))</f>
        <v>0</v>
      </c>
      <c r="V899">
        <f>IF($E899=0,0,SUMPRODUCT($AI$16:$DF$16,'Staff Daily sales'!$G884:$CD884))</f>
        <v>0</v>
      </c>
      <c r="W899">
        <f t="shared" si="239"/>
        <v>0</v>
      </c>
      <c r="X899">
        <f t="shared" si="240"/>
        <v>0</v>
      </c>
      <c r="Y899">
        <f t="shared" si="241"/>
        <v>0</v>
      </c>
      <c r="Z899">
        <f t="shared" si="242"/>
        <v>0</v>
      </c>
      <c r="AA899">
        <f t="shared" si="243"/>
        <v>0</v>
      </c>
      <c r="AB899">
        <f>--AND($E899=1,OR('Staff Weekly Trend'!$B$3="All",$DH899='Staff Weekly Trend'!$B$3),OR('Staff Weekly Trend'!$B$4="All",$D899='Staff Weekly Trend'!$B$4),OR('Staff Weekly Trend'!$B$5="All",$A899='Staff Weekly Trend'!$B$5))</f>
        <v>0</v>
      </c>
      <c r="AC899" t="str">
        <f t="shared" si="244"/>
        <v/>
      </c>
      <c r="AI899">
        <f t="shared" si="245"/>
        <v>0</v>
      </c>
      <c r="AJ899">
        <f t="shared" si="246"/>
        <v>0</v>
      </c>
      <c r="AK899">
        <f t="shared" si="247"/>
        <v>0</v>
      </c>
      <c r="AL899">
        <f t="shared" si="248"/>
        <v>0</v>
      </c>
      <c r="AM899">
        <f t="shared" si="249"/>
        <v>0</v>
      </c>
      <c r="DH899" t="str" cm="1">
        <f t="array" ref="DH899">IF($A899="","",_xlfn.LET(_xlpm.c,IFERROR(_xlfn.XLOOKUP($A899,TRIM('Sales and count'!$A$4:$A$300&amp;""),TRIM('Sales and count'!$B$4:$B$300&amp;"")),""),IF(OR(_xlpm.c="",_xlpm.c="0",LEFT(_xlpm.c,1)="#"),"Not set",_xlpm.c)))</f>
        <v/>
      </c>
    </row>
    <row r="900" spans="1:112" x14ac:dyDescent="0.25">
      <c r="A900" t="str">
        <f>IF('Staff Daily sales'!$B885="","",TRIM('Staff Daily sales'!$B885&amp;""))</f>
        <v/>
      </c>
      <c r="B900" t="str">
        <f>IF('Staff Daily sales'!$D885="","",TRIM('Staff Daily sales'!$D885&amp;""))</f>
        <v/>
      </c>
      <c r="C900" t="str">
        <f>IFERROR(TRIM('Staff Daily sales'!$E885&amp;""),"")</f>
        <v/>
      </c>
      <c r="D900" t="str">
        <f>IFERROR(IF(TRIM('Staff Daily sales'!$F885&amp;"")="","Unassigned",TRIM('Staff Daily sales'!$F885&amp;"")),"Unassigned")</f>
        <v>Unassigned</v>
      </c>
      <c r="E900">
        <f t="shared" si="234"/>
        <v>0</v>
      </c>
      <c r="F900">
        <f>IF($E900=0,0,SUMPRODUCT($AI$5:$DF$5,'Staff Daily sales'!$G885:$CD885))</f>
        <v>0</v>
      </c>
      <c r="G900">
        <f>IF($E900=0,0,SUMPRODUCT($AI$6:$DF$6,'Staff Daily sales'!$G885:$CD885))</f>
        <v>0</v>
      </c>
      <c r="H900">
        <f t="shared" si="235"/>
        <v>0</v>
      </c>
      <c r="I900">
        <f t="shared" si="236"/>
        <v>0</v>
      </c>
      <c r="J900">
        <f t="shared" si="237"/>
        <v>0</v>
      </c>
      <c r="K900">
        <f t="shared" si="238"/>
        <v>0</v>
      </c>
      <c r="L900">
        <f>--AND($E900=1,OR('Staff Dashboard'!$B$6="All",$DH900='Staff Dashboard'!$B$6),OR('Staff Dashboard'!$B$7="All",$D900='Staff Dashboard'!$B$7),OR('Staff Dashboard'!$B$8="All",$A900='Staff Dashboard'!$B$8))</f>
        <v>0</v>
      </c>
      <c r="M900">
        <f>IF($E900=0,0,SUMPRODUCT($AI$7:$DF$7,'Staff Daily sales'!$G885:$CD885))</f>
        <v>0</v>
      </c>
      <c r="N900">
        <f>IF($E900=0,0,SUMPRODUCT($AI$8:$DF$8,'Staff Daily sales'!$G885:$CD885))</f>
        <v>0</v>
      </c>
      <c r="O900">
        <f>IF($E900=0,0,SUMPRODUCT($AI$9:$DF$9,'Staff Daily sales'!$G885:$CD885))</f>
        <v>0</v>
      </c>
      <c r="P900">
        <f>IF($E900=0,0,SUMPRODUCT($AI$10:$DF$10,'Staff Daily sales'!$G885:$CD885))</f>
        <v>0</v>
      </c>
      <c r="Q900">
        <f>IF($E900=0,0,SUMPRODUCT($AI$11:$DF$11,'Staff Daily sales'!$G885:$CD885))</f>
        <v>0</v>
      </c>
      <c r="R900">
        <f>IF($E900=0,0,SUMPRODUCT($AI$12:$DF$12,'Staff Daily sales'!$G885:$CD885))</f>
        <v>0</v>
      </c>
      <c r="S900">
        <f>IF($E900=0,0,SUMPRODUCT($AI$13:$DF$13,'Staff Daily sales'!$G885:$CD885))</f>
        <v>0</v>
      </c>
      <c r="T900">
        <f>IF($E900=0,0,SUMPRODUCT($AI$14:$DF$14,'Staff Daily sales'!$G885:$CD885))</f>
        <v>0</v>
      </c>
      <c r="U900">
        <f>IF($E900=0,0,SUMPRODUCT($AI$15:$DF$15,'Staff Daily sales'!$G885:$CD885))</f>
        <v>0</v>
      </c>
      <c r="V900">
        <f>IF($E900=0,0,SUMPRODUCT($AI$16:$DF$16,'Staff Daily sales'!$G885:$CD885))</f>
        <v>0</v>
      </c>
      <c r="W900">
        <f t="shared" si="239"/>
        <v>0</v>
      </c>
      <c r="X900">
        <f t="shared" si="240"/>
        <v>0</v>
      </c>
      <c r="Y900">
        <f t="shared" si="241"/>
        <v>0</v>
      </c>
      <c r="Z900">
        <f t="shared" si="242"/>
        <v>0</v>
      </c>
      <c r="AA900">
        <f t="shared" si="243"/>
        <v>0</v>
      </c>
      <c r="AB900">
        <f>--AND($E900=1,OR('Staff Weekly Trend'!$B$3="All",$DH900='Staff Weekly Trend'!$B$3),OR('Staff Weekly Trend'!$B$4="All",$D900='Staff Weekly Trend'!$B$4),OR('Staff Weekly Trend'!$B$5="All",$A900='Staff Weekly Trend'!$B$5))</f>
        <v>0</v>
      </c>
      <c r="AC900" t="str">
        <f t="shared" si="244"/>
        <v/>
      </c>
      <c r="AI900">
        <f t="shared" si="245"/>
        <v>0</v>
      </c>
      <c r="AJ900">
        <f t="shared" si="246"/>
        <v>0</v>
      </c>
      <c r="AK900">
        <f t="shared" si="247"/>
        <v>0</v>
      </c>
      <c r="AL900">
        <f t="shared" si="248"/>
        <v>0</v>
      </c>
      <c r="AM900">
        <f t="shared" si="249"/>
        <v>0</v>
      </c>
      <c r="DH900" t="str" cm="1">
        <f t="array" ref="DH900">IF($A900="","",_xlfn.LET(_xlpm.c,IFERROR(_xlfn.XLOOKUP($A900,TRIM('Sales and count'!$A$4:$A$300&amp;""),TRIM('Sales and count'!$B$4:$B$300&amp;"")),""),IF(OR(_xlpm.c="",_xlpm.c="0",LEFT(_xlpm.c,1)="#"),"Not set",_xlpm.c)))</f>
        <v/>
      </c>
    </row>
    <row r="901" spans="1:112" x14ac:dyDescent="0.25">
      <c r="A901" t="str">
        <f>IF('Staff Daily sales'!$B886="","",TRIM('Staff Daily sales'!$B886&amp;""))</f>
        <v/>
      </c>
      <c r="B901" t="str">
        <f>IF('Staff Daily sales'!$D886="","",TRIM('Staff Daily sales'!$D886&amp;""))</f>
        <v/>
      </c>
      <c r="C901" t="str">
        <f>IFERROR(TRIM('Staff Daily sales'!$E886&amp;""),"")</f>
        <v/>
      </c>
      <c r="D901" t="str">
        <f>IFERROR(IF(TRIM('Staff Daily sales'!$F886&amp;"")="","Unassigned",TRIM('Staff Daily sales'!$F886&amp;"")),"Unassigned")</f>
        <v>Unassigned</v>
      </c>
      <c r="E901">
        <f t="shared" si="234"/>
        <v>0</v>
      </c>
      <c r="F901">
        <f>IF($E901=0,0,SUMPRODUCT($AI$5:$DF$5,'Staff Daily sales'!$G886:$CD886))</f>
        <v>0</v>
      </c>
      <c r="G901">
        <f>IF($E901=0,0,SUMPRODUCT($AI$6:$DF$6,'Staff Daily sales'!$G886:$CD886))</f>
        <v>0</v>
      </c>
      <c r="H901">
        <f t="shared" si="235"/>
        <v>0</v>
      </c>
      <c r="I901">
        <f t="shared" si="236"/>
        <v>0</v>
      </c>
      <c r="J901">
        <f t="shared" si="237"/>
        <v>0</v>
      </c>
      <c r="K901">
        <f t="shared" si="238"/>
        <v>0</v>
      </c>
      <c r="L901">
        <f>--AND($E901=1,OR('Staff Dashboard'!$B$6="All",$DH901='Staff Dashboard'!$B$6),OR('Staff Dashboard'!$B$7="All",$D901='Staff Dashboard'!$B$7),OR('Staff Dashboard'!$B$8="All",$A901='Staff Dashboard'!$B$8))</f>
        <v>0</v>
      </c>
      <c r="M901">
        <f>IF($E901=0,0,SUMPRODUCT($AI$7:$DF$7,'Staff Daily sales'!$G886:$CD886))</f>
        <v>0</v>
      </c>
      <c r="N901">
        <f>IF($E901=0,0,SUMPRODUCT($AI$8:$DF$8,'Staff Daily sales'!$G886:$CD886))</f>
        <v>0</v>
      </c>
      <c r="O901">
        <f>IF($E901=0,0,SUMPRODUCT($AI$9:$DF$9,'Staff Daily sales'!$G886:$CD886))</f>
        <v>0</v>
      </c>
      <c r="P901">
        <f>IF($E901=0,0,SUMPRODUCT($AI$10:$DF$10,'Staff Daily sales'!$G886:$CD886))</f>
        <v>0</v>
      </c>
      <c r="Q901">
        <f>IF($E901=0,0,SUMPRODUCT($AI$11:$DF$11,'Staff Daily sales'!$G886:$CD886))</f>
        <v>0</v>
      </c>
      <c r="R901">
        <f>IF($E901=0,0,SUMPRODUCT($AI$12:$DF$12,'Staff Daily sales'!$G886:$CD886))</f>
        <v>0</v>
      </c>
      <c r="S901">
        <f>IF($E901=0,0,SUMPRODUCT($AI$13:$DF$13,'Staff Daily sales'!$G886:$CD886))</f>
        <v>0</v>
      </c>
      <c r="T901">
        <f>IF($E901=0,0,SUMPRODUCT($AI$14:$DF$14,'Staff Daily sales'!$G886:$CD886))</f>
        <v>0</v>
      </c>
      <c r="U901">
        <f>IF($E901=0,0,SUMPRODUCT($AI$15:$DF$15,'Staff Daily sales'!$G886:$CD886))</f>
        <v>0</v>
      </c>
      <c r="V901">
        <f>IF($E901=0,0,SUMPRODUCT($AI$16:$DF$16,'Staff Daily sales'!$G886:$CD886))</f>
        <v>0</v>
      </c>
      <c r="W901">
        <f t="shared" si="239"/>
        <v>0</v>
      </c>
      <c r="X901">
        <f t="shared" si="240"/>
        <v>0</v>
      </c>
      <c r="Y901">
        <f t="shared" si="241"/>
        <v>0</v>
      </c>
      <c r="Z901">
        <f t="shared" si="242"/>
        <v>0</v>
      </c>
      <c r="AA901">
        <f t="shared" si="243"/>
        <v>0</v>
      </c>
      <c r="AB901">
        <f>--AND($E901=1,OR('Staff Weekly Trend'!$B$3="All",$DH901='Staff Weekly Trend'!$B$3),OR('Staff Weekly Trend'!$B$4="All",$D901='Staff Weekly Trend'!$B$4),OR('Staff Weekly Trend'!$B$5="All",$A901='Staff Weekly Trend'!$B$5))</f>
        <v>0</v>
      </c>
      <c r="AC901" t="str">
        <f t="shared" si="244"/>
        <v/>
      </c>
      <c r="AI901">
        <f t="shared" si="245"/>
        <v>0</v>
      </c>
      <c r="AJ901">
        <f t="shared" si="246"/>
        <v>0</v>
      </c>
      <c r="AK901">
        <f t="shared" si="247"/>
        <v>0</v>
      </c>
      <c r="AL901">
        <f t="shared" si="248"/>
        <v>0</v>
      </c>
      <c r="AM901">
        <f t="shared" si="249"/>
        <v>0</v>
      </c>
      <c r="DH901" t="str" cm="1">
        <f t="array" ref="DH901">IF($A901="","",_xlfn.LET(_xlpm.c,IFERROR(_xlfn.XLOOKUP($A901,TRIM('Sales and count'!$A$4:$A$300&amp;""),TRIM('Sales and count'!$B$4:$B$300&amp;"")),""),IF(OR(_xlpm.c="",_xlpm.c="0",LEFT(_xlpm.c,1)="#"),"Not set",_xlpm.c)))</f>
        <v/>
      </c>
    </row>
    <row r="902" spans="1:112" x14ac:dyDescent="0.25">
      <c r="A902" t="str">
        <f>IF('Staff Daily sales'!$B887="","",TRIM('Staff Daily sales'!$B887&amp;""))</f>
        <v/>
      </c>
      <c r="B902" t="str">
        <f>IF('Staff Daily sales'!$D887="","",TRIM('Staff Daily sales'!$D887&amp;""))</f>
        <v/>
      </c>
      <c r="C902" t="str">
        <f>IFERROR(TRIM('Staff Daily sales'!$E887&amp;""),"")</f>
        <v/>
      </c>
      <c r="D902" t="str">
        <f>IFERROR(IF(TRIM('Staff Daily sales'!$F887&amp;"")="","Unassigned",TRIM('Staff Daily sales'!$F887&amp;"")),"Unassigned")</f>
        <v>Unassigned</v>
      </c>
      <c r="E902">
        <f t="shared" si="234"/>
        <v>0</v>
      </c>
      <c r="F902">
        <f>IF($E902=0,0,SUMPRODUCT($AI$5:$DF$5,'Staff Daily sales'!$G887:$CD887))</f>
        <v>0</v>
      </c>
      <c r="G902">
        <f>IF($E902=0,0,SUMPRODUCT($AI$6:$DF$6,'Staff Daily sales'!$G887:$CD887))</f>
        <v>0</v>
      </c>
      <c r="H902">
        <f t="shared" si="235"/>
        <v>0</v>
      </c>
      <c r="I902">
        <f t="shared" si="236"/>
        <v>0</v>
      </c>
      <c r="J902">
        <f t="shared" si="237"/>
        <v>0</v>
      </c>
      <c r="K902">
        <f t="shared" si="238"/>
        <v>0</v>
      </c>
      <c r="L902">
        <f>--AND($E902=1,OR('Staff Dashboard'!$B$6="All",$DH902='Staff Dashboard'!$B$6),OR('Staff Dashboard'!$B$7="All",$D902='Staff Dashboard'!$B$7),OR('Staff Dashboard'!$B$8="All",$A902='Staff Dashboard'!$B$8))</f>
        <v>0</v>
      </c>
      <c r="M902">
        <f>IF($E902=0,0,SUMPRODUCT($AI$7:$DF$7,'Staff Daily sales'!$G887:$CD887))</f>
        <v>0</v>
      </c>
      <c r="N902">
        <f>IF($E902=0,0,SUMPRODUCT($AI$8:$DF$8,'Staff Daily sales'!$G887:$CD887))</f>
        <v>0</v>
      </c>
      <c r="O902">
        <f>IF($E902=0,0,SUMPRODUCT($AI$9:$DF$9,'Staff Daily sales'!$G887:$CD887))</f>
        <v>0</v>
      </c>
      <c r="P902">
        <f>IF($E902=0,0,SUMPRODUCT($AI$10:$DF$10,'Staff Daily sales'!$G887:$CD887))</f>
        <v>0</v>
      </c>
      <c r="Q902">
        <f>IF($E902=0,0,SUMPRODUCT($AI$11:$DF$11,'Staff Daily sales'!$G887:$CD887))</f>
        <v>0</v>
      </c>
      <c r="R902">
        <f>IF($E902=0,0,SUMPRODUCT($AI$12:$DF$12,'Staff Daily sales'!$G887:$CD887))</f>
        <v>0</v>
      </c>
      <c r="S902">
        <f>IF($E902=0,0,SUMPRODUCT($AI$13:$DF$13,'Staff Daily sales'!$G887:$CD887))</f>
        <v>0</v>
      </c>
      <c r="T902">
        <f>IF($E902=0,0,SUMPRODUCT($AI$14:$DF$14,'Staff Daily sales'!$G887:$CD887))</f>
        <v>0</v>
      </c>
      <c r="U902">
        <f>IF($E902=0,0,SUMPRODUCT($AI$15:$DF$15,'Staff Daily sales'!$G887:$CD887))</f>
        <v>0</v>
      </c>
      <c r="V902">
        <f>IF($E902=0,0,SUMPRODUCT($AI$16:$DF$16,'Staff Daily sales'!$G887:$CD887))</f>
        <v>0</v>
      </c>
      <c r="W902">
        <f t="shared" si="239"/>
        <v>0</v>
      </c>
      <c r="X902">
        <f t="shared" si="240"/>
        <v>0</v>
      </c>
      <c r="Y902">
        <f t="shared" si="241"/>
        <v>0</v>
      </c>
      <c r="Z902">
        <f t="shared" si="242"/>
        <v>0</v>
      </c>
      <c r="AA902">
        <f t="shared" si="243"/>
        <v>0</v>
      </c>
      <c r="AB902">
        <f>--AND($E902=1,OR('Staff Weekly Trend'!$B$3="All",$DH902='Staff Weekly Trend'!$B$3),OR('Staff Weekly Trend'!$B$4="All",$D902='Staff Weekly Trend'!$B$4),OR('Staff Weekly Trend'!$B$5="All",$A902='Staff Weekly Trend'!$B$5))</f>
        <v>0</v>
      </c>
      <c r="AC902" t="str">
        <f t="shared" si="244"/>
        <v/>
      </c>
      <c r="AI902">
        <f t="shared" si="245"/>
        <v>0</v>
      </c>
      <c r="AJ902">
        <f t="shared" si="246"/>
        <v>0</v>
      </c>
      <c r="AK902">
        <f t="shared" si="247"/>
        <v>0</v>
      </c>
      <c r="AL902">
        <f t="shared" si="248"/>
        <v>0</v>
      </c>
      <c r="AM902">
        <f t="shared" si="249"/>
        <v>0</v>
      </c>
      <c r="DH902" t="str" cm="1">
        <f t="array" ref="DH902">IF($A902="","",_xlfn.LET(_xlpm.c,IFERROR(_xlfn.XLOOKUP($A902,TRIM('Sales and count'!$A$4:$A$300&amp;""),TRIM('Sales and count'!$B$4:$B$300&amp;"")),""),IF(OR(_xlpm.c="",_xlpm.c="0",LEFT(_xlpm.c,1)="#"),"Not set",_xlpm.c)))</f>
        <v/>
      </c>
    </row>
    <row r="903" spans="1:112" x14ac:dyDescent="0.25">
      <c r="A903" t="str">
        <f>IF('Staff Daily sales'!$B888="","",TRIM('Staff Daily sales'!$B888&amp;""))</f>
        <v/>
      </c>
      <c r="B903" t="str">
        <f>IF('Staff Daily sales'!$D888="","",TRIM('Staff Daily sales'!$D888&amp;""))</f>
        <v/>
      </c>
      <c r="C903" t="str">
        <f>IFERROR(TRIM('Staff Daily sales'!$E888&amp;""),"")</f>
        <v/>
      </c>
      <c r="D903" t="str">
        <f>IFERROR(IF(TRIM('Staff Daily sales'!$F888&amp;"")="","Unassigned",TRIM('Staff Daily sales'!$F888&amp;"")),"Unassigned")</f>
        <v>Unassigned</v>
      </c>
      <c r="E903">
        <f t="shared" si="234"/>
        <v>0</v>
      </c>
      <c r="F903">
        <f>IF($E903=0,0,SUMPRODUCT($AI$5:$DF$5,'Staff Daily sales'!$G888:$CD888))</f>
        <v>0</v>
      </c>
      <c r="G903">
        <f>IF($E903=0,0,SUMPRODUCT($AI$6:$DF$6,'Staff Daily sales'!$G888:$CD888))</f>
        <v>0</v>
      </c>
      <c r="H903">
        <f t="shared" si="235"/>
        <v>0</v>
      </c>
      <c r="I903">
        <f t="shared" si="236"/>
        <v>0</v>
      </c>
      <c r="J903">
        <f t="shared" si="237"/>
        <v>0</v>
      </c>
      <c r="K903">
        <f t="shared" si="238"/>
        <v>0</v>
      </c>
      <c r="L903">
        <f>--AND($E903=1,OR('Staff Dashboard'!$B$6="All",$DH903='Staff Dashboard'!$B$6),OR('Staff Dashboard'!$B$7="All",$D903='Staff Dashboard'!$B$7),OR('Staff Dashboard'!$B$8="All",$A903='Staff Dashboard'!$B$8))</f>
        <v>0</v>
      </c>
      <c r="M903">
        <f>IF($E903=0,0,SUMPRODUCT($AI$7:$DF$7,'Staff Daily sales'!$G888:$CD888))</f>
        <v>0</v>
      </c>
      <c r="N903">
        <f>IF($E903=0,0,SUMPRODUCT($AI$8:$DF$8,'Staff Daily sales'!$G888:$CD888))</f>
        <v>0</v>
      </c>
      <c r="O903">
        <f>IF($E903=0,0,SUMPRODUCT($AI$9:$DF$9,'Staff Daily sales'!$G888:$CD888))</f>
        <v>0</v>
      </c>
      <c r="P903">
        <f>IF($E903=0,0,SUMPRODUCT($AI$10:$DF$10,'Staff Daily sales'!$G888:$CD888))</f>
        <v>0</v>
      </c>
      <c r="Q903">
        <f>IF($E903=0,0,SUMPRODUCT($AI$11:$DF$11,'Staff Daily sales'!$G888:$CD888))</f>
        <v>0</v>
      </c>
      <c r="R903">
        <f>IF($E903=0,0,SUMPRODUCT($AI$12:$DF$12,'Staff Daily sales'!$G888:$CD888))</f>
        <v>0</v>
      </c>
      <c r="S903">
        <f>IF($E903=0,0,SUMPRODUCT($AI$13:$DF$13,'Staff Daily sales'!$G888:$CD888))</f>
        <v>0</v>
      </c>
      <c r="T903">
        <f>IF($E903=0,0,SUMPRODUCT($AI$14:$DF$14,'Staff Daily sales'!$G888:$CD888))</f>
        <v>0</v>
      </c>
      <c r="U903">
        <f>IF($E903=0,0,SUMPRODUCT($AI$15:$DF$15,'Staff Daily sales'!$G888:$CD888))</f>
        <v>0</v>
      </c>
      <c r="V903">
        <f>IF($E903=0,0,SUMPRODUCT($AI$16:$DF$16,'Staff Daily sales'!$G888:$CD888))</f>
        <v>0</v>
      </c>
      <c r="W903">
        <f t="shared" si="239"/>
        <v>0</v>
      </c>
      <c r="X903">
        <f t="shared" si="240"/>
        <v>0</v>
      </c>
      <c r="Y903">
        <f t="shared" si="241"/>
        <v>0</v>
      </c>
      <c r="Z903">
        <f t="shared" si="242"/>
        <v>0</v>
      </c>
      <c r="AA903">
        <f t="shared" si="243"/>
        <v>0</v>
      </c>
      <c r="AB903">
        <f>--AND($E903=1,OR('Staff Weekly Trend'!$B$3="All",$DH903='Staff Weekly Trend'!$B$3),OR('Staff Weekly Trend'!$B$4="All",$D903='Staff Weekly Trend'!$B$4),OR('Staff Weekly Trend'!$B$5="All",$A903='Staff Weekly Trend'!$B$5))</f>
        <v>0</v>
      </c>
      <c r="AC903" t="str">
        <f t="shared" si="244"/>
        <v/>
      </c>
      <c r="AI903">
        <f t="shared" si="245"/>
        <v>0</v>
      </c>
      <c r="AJ903">
        <f t="shared" si="246"/>
        <v>0</v>
      </c>
      <c r="AK903">
        <f t="shared" si="247"/>
        <v>0</v>
      </c>
      <c r="AL903">
        <f t="shared" si="248"/>
        <v>0</v>
      </c>
      <c r="AM903">
        <f t="shared" si="249"/>
        <v>0</v>
      </c>
      <c r="DH903" t="str" cm="1">
        <f t="array" ref="DH903">IF($A903="","",_xlfn.LET(_xlpm.c,IFERROR(_xlfn.XLOOKUP($A903,TRIM('Sales and count'!$A$4:$A$300&amp;""),TRIM('Sales and count'!$B$4:$B$300&amp;"")),""),IF(OR(_xlpm.c="",_xlpm.c="0",LEFT(_xlpm.c,1)="#"),"Not set",_xlpm.c)))</f>
        <v/>
      </c>
    </row>
    <row r="904" spans="1:112" x14ac:dyDescent="0.25">
      <c r="A904" t="str">
        <f>IF('Staff Daily sales'!$B889="","",TRIM('Staff Daily sales'!$B889&amp;""))</f>
        <v/>
      </c>
      <c r="B904" t="str">
        <f>IF('Staff Daily sales'!$D889="","",TRIM('Staff Daily sales'!$D889&amp;""))</f>
        <v/>
      </c>
      <c r="C904" t="str">
        <f>IFERROR(TRIM('Staff Daily sales'!$E889&amp;""),"")</f>
        <v/>
      </c>
      <c r="D904" t="str">
        <f>IFERROR(IF(TRIM('Staff Daily sales'!$F889&amp;"")="","Unassigned",TRIM('Staff Daily sales'!$F889&amp;"")),"Unassigned")</f>
        <v>Unassigned</v>
      </c>
      <c r="E904">
        <f t="shared" si="234"/>
        <v>0</v>
      </c>
      <c r="F904">
        <f>IF($E904=0,0,SUMPRODUCT($AI$5:$DF$5,'Staff Daily sales'!$G889:$CD889))</f>
        <v>0</v>
      </c>
      <c r="G904">
        <f>IF($E904=0,0,SUMPRODUCT($AI$6:$DF$6,'Staff Daily sales'!$G889:$CD889))</f>
        <v>0</v>
      </c>
      <c r="H904">
        <f t="shared" si="235"/>
        <v>0</v>
      </c>
      <c r="I904">
        <f t="shared" si="236"/>
        <v>0</v>
      </c>
      <c r="J904">
        <f t="shared" si="237"/>
        <v>0</v>
      </c>
      <c r="K904">
        <f t="shared" si="238"/>
        <v>0</v>
      </c>
      <c r="L904">
        <f>--AND($E904=1,OR('Staff Dashboard'!$B$6="All",$DH904='Staff Dashboard'!$B$6),OR('Staff Dashboard'!$B$7="All",$D904='Staff Dashboard'!$B$7),OR('Staff Dashboard'!$B$8="All",$A904='Staff Dashboard'!$B$8))</f>
        <v>0</v>
      </c>
      <c r="M904">
        <f>IF($E904=0,0,SUMPRODUCT($AI$7:$DF$7,'Staff Daily sales'!$G889:$CD889))</f>
        <v>0</v>
      </c>
      <c r="N904">
        <f>IF($E904=0,0,SUMPRODUCT($AI$8:$DF$8,'Staff Daily sales'!$G889:$CD889))</f>
        <v>0</v>
      </c>
      <c r="O904">
        <f>IF($E904=0,0,SUMPRODUCT($AI$9:$DF$9,'Staff Daily sales'!$G889:$CD889))</f>
        <v>0</v>
      </c>
      <c r="P904">
        <f>IF($E904=0,0,SUMPRODUCT($AI$10:$DF$10,'Staff Daily sales'!$G889:$CD889))</f>
        <v>0</v>
      </c>
      <c r="Q904">
        <f>IF($E904=0,0,SUMPRODUCT($AI$11:$DF$11,'Staff Daily sales'!$G889:$CD889))</f>
        <v>0</v>
      </c>
      <c r="R904">
        <f>IF($E904=0,0,SUMPRODUCT($AI$12:$DF$12,'Staff Daily sales'!$G889:$CD889))</f>
        <v>0</v>
      </c>
      <c r="S904">
        <f>IF($E904=0,0,SUMPRODUCT($AI$13:$DF$13,'Staff Daily sales'!$G889:$CD889))</f>
        <v>0</v>
      </c>
      <c r="T904">
        <f>IF($E904=0,0,SUMPRODUCT($AI$14:$DF$14,'Staff Daily sales'!$G889:$CD889))</f>
        <v>0</v>
      </c>
      <c r="U904">
        <f>IF($E904=0,0,SUMPRODUCT($AI$15:$DF$15,'Staff Daily sales'!$G889:$CD889))</f>
        <v>0</v>
      </c>
      <c r="V904">
        <f>IF($E904=0,0,SUMPRODUCT($AI$16:$DF$16,'Staff Daily sales'!$G889:$CD889))</f>
        <v>0</v>
      </c>
      <c r="W904">
        <f t="shared" si="239"/>
        <v>0</v>
      </c>
      <c r="X904">
        <f t="shared" si="240"/>
        <v>0</v>
      </c>
      <c r="Y904">
        <f t="shared" si="241"/>
        <v>0</v>
      </c>
      <c r="Z904">
        <f t="shared" si="242"/>
        <v>0</v>
      </c>
      <c r="AA904">
        <f t="shared" si="243"/>
        <v>0</v>
      </c>
      <c r="AB904">
        <f>--AND($E904=1,OR('Staff Weekly Trend'!$B$3="All",$DH904='Staff Weekly Trend'!$B$3),OR('Staff Weekly Trend'!$B$4="All",$D904='Staff Weekly Trend'!$B$4),OR('Staff Weekly Trend'!$B$5="All",$A904='Staff Weekly Trend'!$B$5))</f>
        <v>0</v>
      </c>
      <c r="AC904" t="str">
        <f t="shared" si="244"/>
        <v/>
      </c>
      <c r="AI904">
        <f t="shared" si="245"/>
        <v>0</v>
      </c>
      <c r="AJ904">
        <f t="shared" si="246"/>
        <v>0</v>
      </c>
      <c r="AK904">
        <f t="shared" si="247"/>
        <v>0</v>
      </c>
      <c r="AL904">
        <f t="shared" si="248"/>
        <v>0</v>
      </c>
      <c r="AM904">
        <f t="shared" si="249"/>
        <v>0</v>
      </c>
      <c r="DH904" t="str" cm="1">
        <f t="array" ref="DH904">IF($A904="","",_xlfn.LET(_xlpm.c,IFERROR(_xlfn.XLOOKUP($A904,TRIM('Sales and count'!$A$4:$A$300&amp;""),TRIM('Sales and count'!$B$4:$B$300&amp;"")),""),IF(OR(_xlpm.c="",_xlpm.c="0",LEFT(_xlpm.c,1)="#"),"Not set",_xlpm.c)))</f>
        <v/>
      </c>
    </row>
    <row r="905" spans="1:112" x14ac:dyDescent="0.25">
      <c r="A905" t="str">
        <f>IF('Staff Daily sales'!$B890="","",TRIM('Staff Daily sales'!$B890&amp;""))</f>
        <v/>
      </c>
      <c r="B905" t="str">
        <f>IF('Staff Daily sales'!$D890="","",TRIM('Staff Daily sales'!$D890&amp;""))</f>
        <v/>
      </c>
      <c r="C905" t="str">
        <f>IFERROR(TRIM('Staff Daily sales'!$E890&amp;""),"")</f>
        <v/>
      </c>
      <c r="D905" t="str">
        <f>IFERROR(IF(TRIM('Staff Daily sales'!$F890&amp;"")="","Unassigned",TRIM('Staff Daily sales'!$F890&amp;"")),"Unassigned")</f>
        <v>Unassigned</v>
      </c>
      <c r="E905">
        <f t="shared" si="234"/>
        <v>0</v>
      </c>
      <c r="F905">
        <f>IF($E905=0,0,SUMPRODUCT($AI$5:$DF$5,'Staff Daily sales'!$G890:$CD890))</f>
        <v>0</v>
      </c>
      <c r="G905">
        <f>IF($E905=0,0,SUMPRODUCT($AI$6:$DF$6,'Staff Daily sales'!$G890:$CD890))</f>
        <v>0</v>
      </c>
      <c r="H905">
        <f t="shared" si="235"/>
        <v>0</v>
      </c>
      <c r="I905">
        <f t="shared" si="236"/>
        <v>0</v>
      </c>
      <c r="J905">
        <f t="shared" si="237"/>
        <v>0</v>
      </c>
      <c r="K905">
        <f t="shared" si="238"/>
        <v>0</v>
      </c>
      <c r="L905">
        <f>--AND($E905=1,OR('Staff Dashboard'!$B$6="All",$DH905='Staff Dashboard'!$B$6),OR('Staff Dashboard'!$B$7="All",$D905='Staff Dashboard'!$B$7),OR('Staff Dashboard'!$B$8="All",$A905='Staff Dashboard'!$B$8))</f>
        <v>0</v>
      </c>
      <c r="M905">
        <f>IF($E905=0,0,SUMPRODUCT($AI$7:$DF$7,'Staff Daily sales'!$G890:$CD890))</f>
        <v>0</v>
      </c>
      <c r="N905">
        <f>IF($E905=0,0,SUMPRODUCT($AI$8:$DF$8,'Staff Daily sales'!$G890:$CD890))</f>
        <v>0</v>
      </c>
      <c r="O905">
        <f>IF($E905=0,0,SUMPRODUCT($AI$9:$DF$9,'Staff Daily sales'!$G890:$CD890))</f>
        <v>0</v>
      </c>
      <c r="P905">
        <f>IF($E905=0,0,SUMPRODUCT($AI$10:$DF$10,'Staff Daily sales'!$G890:$CD890))</f>
        <v>0</v>
      </c>
      <c r="Q905">
        <f>IF($E905=0,0,SUMPRODUCT($AI$11:$DF$11,'Staff Daily sales'!$G890:$CD890))</f>
        <v>0</v>
      </c>
      <c r="R905">
        <f>IF($E905=0,0,SUMPRODUCT($AI$12:$DF$12,'Staff Daily sales'!$G890:$CD890))</f>
        <v>0</v>
      </c>
      <c r="S905">
        <f>IF($E905=0,0,SUMPRODUCT($AI$13:$DF$13,'Staff Daily sales'!$G890:$CD890))</f>
        <v>0</v>
      </c>
      <c r="T905">
        <f>IF($E905=0,0,SUMPRODUCT($AI$14:$DF$14,'Staff Daily sales'!$G890:$CD890))</f>
        <v>0</v>
      </c>
      <c r="U905">
        <f>IF($E905=0,0,SUMPRODUCT($AI$15:$DF$15,'Staff Daily sales'!$G890:$CD890))</f>
        <v>0</v>
      </c>
      <c r="V905">
        <f>IF($E905=0,0,SUMPRODUCT($AI$16:$DF$16,'Staff Daily sales'!$G890:$CD890))</f>
        <v>0</v>
      </c>
      <c r="W905">
        <f t="shared" si="239"/>
        <v>0</v>
      </c>
      <c r="X905">
        <f t="shared" si="240"/>
        <v>0</v>
      </c>
      <c r="Y905">
        <f t="shared" si="241"/>
        <v>0</v>
      </c>
      <c r="Z905">
        <f t="shared" si="242"/>
        <v>0</v>
      </c>
      <c r="AA905">
        <f t="shared" si="243"/>
        <v>0</v>
      </c>
      <c r="AB905">
        <f>--AND($E905=1,OR('Staff Weekly Trend'!$B$3="All",$DH905='Staff Weekly Trend'!$B$3),OR('Staff Weekly Trend'!$B$4="All",$D905='Staff Weekly Trend'!$B$4),OR('Staff Weekly Trend'!$B$5="All",$A905='Staff Weekly Trend'!$B$5))</f>
        <v>0</v>
      </c>
      <c r="AC905" t="str">
        <f t="shared" si="244"/>
        <v/>
      </c>
      <c r="AI905">
        <f t="shared" si="245"/>
        <v>0</v>
      </c>
      <c r="AJ905">
        <f t="shared" si="246"/>
        <v>0</v>
      </c>
      <c r="AK905">
        <f t="shared" si="247"/>
        <v>0</v>
      </c>
      <c r="AL905">
        <f t="shared" si="248"/>
        <v>0</v>
      </c>
      <c r="AM905">
        <f t="shared" si="249"/>
        <v>0</v>
      </c>
      <c r="DH905" t="str" cm="1">
        <f t="array" ref="DH905">IF($A905="","",_xlfn.LET(_xlpm.c,IFERROR(_xlfn.XLOOKUP($A905,TRIM('Sales and count'!$A$4:$A$300&amp;""),TRIM('Sales and count'!$B$4:$B$300&amp;"")),""),IF(OR(_xlpm.c="",_xlpm.c="0",LEFT(_xlpm.c,1)="#"),"Not set",_xlpm.c)))</f>
        <v/>
      </c>
    </row>
    <row r="906" spans="1:112" x14ac:dyDescent="0.25">
      <c r="A906" t="str">
        <f>IF('Staff Daily sales'!$B891="","",TRIM('Staff Daily sales'!$B891&amp;""))</f>
        <v/>
      </c>
      <c r="B906" t="str">
        <f>IF('Staff Daily sales'!$D891="","",TRIM('Staff Daily sales'!$D891&amp;""))</f>
        <v/>
      </c>
      <c r="C906" t="str">
        <f>IFERROR(TRIM('Staff Daily sales'!$E891&amp;""),"")</f>
        <v/>
      </c>
      <c r="D906" t="str">
        <f>IFERROR(IF(TRIM('Staff Daily sales'!$F891&amp;"")="","Unassigned",TRIM('Staff Daily sales'!$F891&amp;"")),"Unassigned")</f>
        <v>Unassigned</v>
      </c>
      <c r="E906">
        <f t="shared" si="234"/>
        <v>0</v>
      </c>
      <c r="F906">
        <f>IF($E906=0,0,SUMPRODUCT($AI$5:$DF$5,'Staff Daily sales'!$G891:$CD891))</f>
        <v>0</v>
      </c>
      <c r="G906">
        <f>IF($E906=0,0,SUMPRODUCT($AI$6:$DF$6,'Staff Daily sales'!$G891:$CD891))</f>
        <v>0</v>
      </c>
      <c r="H906">
        <f t="shared" si="235"/>
        <v>0</v>
      </c>
      <c r="I906">
        <f t="shared" si="236"/>
        <v>0</v>
      </c>
      <c r="J906">
        <f t="shared" si="237"/>
        <v>0</v>
      </c>
      <c r="K906">
        <f t="shared" si="238"/>
        <v>0</v>
      </c>
      <c r="L906">
        <f>--AND($E906=1,OR('Staff Dashboard'!$B$6="All",$DH906='Staff Dashboard'!$B$6),OR('Staff Dashboard'!$B$7="All",$D906='Staff Dashboard'!$B$7),OR('Staff Dashboard'!$B$8="All",$A906='Staff Dashboard'!$B$8))</f>
        <v>0</v>
      </c>
      <c r="M906">
        <f>IF($E906=0,0,SUMPRODUCT($AI$7:$DF$7,'Staff Daily sales'!$G891:$CD891))</f>
        <v>0</v>
      </c>
      <c r="N906">
        <f>IF($E906=0,0,SUMPRODUCT($AI$8:$DF$8,'Staff Daily sales'!$G891:$CD891))</f>
        <v>0</v>
      </c>
      <c r="O906">
        <f>IF($E906=0,0,SUMPRODUCT($AI$9:$DF$9,'Staff Daily sales'!$G891:$CD891))</f>
        <v>0</v>
      </c>
      <c r="P906">
        <f>IF($E906=0,0,SUMPRODUCT($AI$10:$DF$10,'Staff Daily sales'!$G891:$CD891))</f>
        <v>0</v>
      </c>
      <c r="Q906">
        <f>IF($E906=0,0,SUMPRODUCT($AI$11:$DF$11,'Staff Daily sales'!$G891:$CD891))</f>
        <v>0</v>
      </c>
      <c r="R906">
        <f>IF($E906=0,0,SUMPRODUCT($AI$12:$DF$12,'Staff Daily sales'!$G891:$CD891))</f>
        <v>0</v>
      </c>
      <c r="S906">
        <f>IF($E906=0,0,SUMPRODUCT($AI$13:$DF$13,'Staff Daily sales'!$G891:$CD891))</f>
        <v>0</v>
      </c>
      <c r="T906">
        <f>IF($E906=0,0,SUMPRODUCT($AI$14:$DF$14,'Staff Daily sales'!$G891:$CD891))</f>
        <v>0</v>
      </c>
      <c r="U906">
        <f>IF($E906=0,0,SUMPRODUCT($AI$15:$DF$15,'Staff Daily sales'!$G891:$CD891))</f>
        <v>0</v>
      </c>
      <c r="V906">
        <f>IF($E906=0,0,SUMPRODUCT($AI$16:$DF$16,'Staff Daily sales'!$G891:$CD891))</f>
        <v>0</v>
      </c>
      <c r="W906">
        <f t="shared" si="239"/>
        <v>0</v>
      </c>
      <c r="X906">
        <f t="shared" si="240"/>
        <v>0</v>
      </c>
      <c r="Y906">
        <f t="shared" si="241"/>
        <v>0</v>
      </c>
      <c r="Z906">
        <f t="shared" si="242"/>
        <v>0</v>
      </c>
      <c r="AA906">
        <f t="shared" si="243"/>
        <v>0</v>
      </c>
      <c r="AB906">
        <f>--AND($E906=1,OR('Staff Weekly Trend'!$B$3="All",$DH906='Staff Weekly Trend'!$B$3),OR('Staff Weekly Trend'!$B$4="All",$D906='Staff Weekly Trend'!$B$4),OR('Staff Weekly Trend'!$B$5="All",$A906='Staff Weekly Trend'!$B$5))</f>
        <v>0</v>
      </c>
      <c r="AC906" t="str">
        <f t="shared" si="244"/>
        <v/>
      </c>
      <c r="AI906">
        <f t="shared" si="245"/>
        <v>0</v>
      </c>
      <c r="AJ906">
        <f t="shared" si="246"/>
        <v>0</v>
      </c>
      <c r="AK906">
        <f t="shared" si="247"/>
        <v>0</v>
      </c>
      <c r="AL906">
        <f t="shared" si="248"/>
        <v>0</v>
      </c>
      <c r="AM906">
        <f t="shared" si="249"/>
        <v>0</v>
      </c>
      <c r="DH906" t="str" cm="1">
        <f t="array" ref="DH906">IF($A906="","",_xlfn.LET(_xlpm.c,IFERROR(_xlfn.XLOOKUP($A906,TRIM('Sales and count'!$A$4:$A$300&amp;""),TRIM('Sales and count'!$B$4:$B$300&amp;"")),""),IF(OR(_xlpm.c="",_xlpm.c="0",LEFT(_xlpm.c,1)="#"),"Not set",_xlpm.c)))</f>
        <v/>
      </c>
    </row>
    <row r="907" spans="1:112" x14ac:dyDescent="0.25">
      <c r="A907" t="str">
        <f>IF('Staff Daily sales'!$B892="","",TRIM('Staff Daily sales'!$B892&amp;""))</f>
        <v/>
      </c>
      <c r="B907" t="str">
        <f>IF('Staff Daily sales'!$D892="","",TRIM('Staff Daily sales'!$D892&amp;""))</f>
        <v/>
      </c>
      <c r="C907" t="str">
        <f>IFERROR(TRIM('Staff Daily sales'!$E892&amp;""),"")</f>
        <v/>
      </c>
      <c r="D907" t="str">
        <f>IFERROR(IF(TRIM('Staff Daily sales'!$F892&amp;"")="","Unassigned",TRIM('Staff Daily sales'!$F892&amp;"")),"Unassigned")</f>
        <v>Unassigned</v>
      </c>
      <c r="E907">
        <f t="shared" si="234"/>
        <v>0</v>
      </c>
      <c r="F907">
        <f>IF($E907=0,0,SUMPRODUCT($AI$5:$DF$5,'Staff Daily sales'!$G892:$CD892))</f>
        <v>0</v>
      </c>
      <c r="G907">
        <f>IF($E907=0,0,SUMPRODUCT($AI$6:$DF$6,'Staff Daily sales'!$G892:$CD892))</f>
        <v>0</v>
      </c>
      <c r="H907">
        <f t="shared" si="235"/>
        <v>0</v>
      </c>
      <c r="I907">
        <f t="shared" si="236"/>
        <v>0</v>
      </c>
      <c r="J907">
        <f t="shared" si="237"/>
        <v>0</v>
      </c>
      <c r="K907">
        <f t="shared" si="238"/>
        <v>0</v>
      </c>
      <c r="L907">
        <f>--AND($E907=1,OR('Staff Dashboard'!$B$6="All",$DH907='Staff Dashboard'!$B$6),OR('Staff Dashboard'!$B$7="All",$D907='Staff Dashboard'!$B$7),OR('Staff Dashboard'!$B$8="All",$A907='Staff Dashboard'!$B$8))</f>
        <v>0</v>
      </c>
      <c r="M907">
        <f>IF($E907=0,0,SUMPRODUCT($AI$7:$DF$7,'Staff Daily sales'!$G892:$CD892))</f>
        <v>0</v>
      </c>
      <c r="N907">
        <f>IF($E907=0,0,SUMPRODUCT($AI$8:$DF$8,'Staff Daily sales'!$G892:$CD892))</f>
        <v>0</v>
      </c>
      <c r="O907">
        <f>IF($E907=0,0,SUMPRODUCT($AI$9:$DF$9,'Staff Daily sales'!$G892:$CD892))</f>
        <v>0</v>
      </c>
      <c r="P907">
        <f>IF($E907=0,0,SUMPRODUCT($AI$10:$DF$10,'Staff Daily sales'!$G892:$CD892))</f>
        <v>0</v>
      </c>
      <c r="Q907">
        <f>IF($E907=0,0,SUMPRODUCT($AI$11:$DF$11,'Staff Daily sales'!$G892:$CD892))</f>
        <v>0</v>
      </c>
      <c r="R907">
        <f>IF($E907=0,0,SUMPRODUCT($AI$12:$DF$12,'Staff Daily sales'!$G892:$CD892))</f>
        <v>0</v>
      </c>
      <c r="S907">
        <f>IF($E907=0,0,SUMPRODUCT($AI$13:$DF$13,'Staff Daily sales'!$G892:$CD892))</f>
        <v>0</v>
      </c>
      <c r="T907">
        <f>IF($E907=0,0,SUMPRODUCT($AI$14:$DF$14,'Staff Daily sales'!$G892:$CD892))</f>
        <v>0</v>
      </c>
      <c r="U907">
        <f>IF($E907=0,0,SUMPRODUCT($AI$15:$DF$15,'Staff Daily sales'!$G892:$CD892))</f>
        <v>0</v>
      </c>
      <c r="V907">
        <f>IF($E907=0,0,SUMPRODUCT($AI$16:$DF$16,'Staff Daily sales'!$G892:$CD892))</f>
        <v>0</v>
      </c>
      <c r="W907">
        <f t="shared" si="239"/>
        <v>0</v>
      </c>
      <c r="X907">
        <f t="shared" si="240"/>
        <v>0</v>
      </c>
      <c r="Y907">
        <f t="shared" si="241"/>
        <v>0</v>
      </c>
      <c r="Z907">
        <f t="shared" si="242"/>
        <v>0</v>
      </c>
      <c r="AA907">
        <f t="shared" si="243"/>
        <v>0</v>
      </c>
      <c r="AB907">
        <f>--AND($E907=1,OR('Staff Weekly Trend'!$B$3="All",$DH907='Staff Weekly Trend'!$B$3),OR('Staff Weekly Trend'!$B$4="All",$D907='Staff Weekly Trend'!$B$4),OR('Staff Weekly Trend'!$B$5="All",$A907='Staff Weekly Trend'!$B$5))</f>
        <v>0</v>
      </c>
      <c r="AC907" t="str">
        <f t="shared" si="244"/>
        <v/>
      </c>
      <c r="AI907">
        <f t="shared" si="245"/>
        <v>0</v>
      </c>
      <c r="AJ907">
        <f t="shared" si="246"/>
        <v>0</v>
      </c>
      <c r="AK907">
        <f t="shared" si="247"/>
        <v>0</v>
      </c>
      <c r="AL907">
        <f t="shared" si="248"/>
        <v>0</v>
      </c>
      <c r="AM907">
        <f t="shared" si="249"/>
        <v>0</v>
      </c>
      <c r="DH907" t="str" cm="1">
        <f t="array" ref="DH907">IF($A907="","",_xlfn.LET(_xlpm.c,IFERROR(_xlfn.XLOOKUP($A907,TRIM('Sales and count'!$A$4:$A$300&amp;""),TRIM('Sales and count'!$B$4:$B$300&amp;"")),""),IF(OR(_xlpm.c="",_xlpm.c="0",LEFT(_xlpm.c,1)="#"),"Not set",_xlpm.c)))</f>
        <v/>
      </c>
    </row>
    <row r="908" spans="1:112" x14ac:dyDescent="0.25">
      <c r="A908" t="str">
        <f>IF('Staff Daily sales'!$B893="","",TRIM('Staff Daily sales'!$B893&amp;""))</f>
        <v/>
      </c>
      <c r="B908" t="str">
        <f>IF('Staff Daily sales'!$D893="","",TRIM('Staff Daily sales'!$D893&amp;""))</f>
        <v/>
      </c>
      <c r="C908" t="str">
        <f>IFERROR(TRIM('Staff Daily sales'!$E893&amp;""),"")</f>
        <v/>
      </c>
      <c r="D908" t="str">
        <f>IFERROR(IF(TRIM('Staff Daily sales'!$F893&amp;"")="","Unassigned",TRIM('Staff Daily sales'!$F893&amp;"")),"Unassigned")</f>
        <v>Unassigned</v>
      </c>
      <c r="E908">
        <f t="shared" si="234"/>
        <v>0</v>
      </c>
      <c r="F908">
        <f>IF($E908=0,0,SUMPRODUCT($AI$5:$DF$5,'Staff Daily sales'!$G893:$CD893))</f>
        <v>0</v>
      </c>
      <c r="G908">
        <f>IF($E908=0,0,SUMPRODUCT($AI$6:$DF$6,'Staff Daily sales'!$G893:$CD893))</f>
        <v>0</v>
      </c>
      <c r="H908">
        <f t="shared" si="235"/>
        <v>0</v>
      </c>
      <c r="I908">
        <f t="shared" si="236"/>
        <v>0</v>
      </c>
      <c r="J908">
        <f t="shared" si="237"/>
        <v>0</v>
      </c>
      <c r="K908">
        <f t="shared" si="238"/>
        <v>0</v>
      </c>
      <c r="L908">
        <f>--AND($E908=1,OR('Staff Dashboard'!$B$6="All",$DH908='Staff Dashboard'!$B$6),OR('Staff Dashboard'!$B$7="All",$D908='Staff Dashboard'!$B$7),OR('Staff Dashboard'!$B$8="All",$A908='Staff Dashboard'!$B$8))</f>
        <v>0</v>
      </c>
      <c r="M908">
        <f>IF($E908=0,0,SUMPRODUCT($AI$7:$DF$7,'Staff Daily sales'!$G893:$CD893))</f>
        <v>0</v>
      </c>
      <c r="N908">
        <f>IF($E908=0,0,SUMPRODUCT($AI$8:$DF$8,'Staff Daily sales'!$G893:$CD893))</f>
        <v>0</v>
      </c>
      <c r="O908">
        <f>IF($E908=0,0,SUMPRODUCT($AI$9:$DF$9,'Staff Daily sales'!$G893:$CD893))</f>
        <v>0</v>
      </c>
      <c r="P908">
        <f>IF($E908=0,0,SUMPRODUCT($AI$10:$DF$10,'Staff Daily sales'!$G893:$CD893))</f>
        <v>0</v>
      </c>
      <c r="Q908">
        <f>IF($E908=0,0,SUMPRODUCT($AI$11:$DF$11,'Staff Daily sales'!$G893:$CD893))</f>
        <v>0</v>
      </c>
      <c r="R908">
        <f>IF($E908=0,0,SUMPRODUCT($AI$12:$DF$12,'Staff Daily sales'!$G893:$CD893))</f>
        <v>0</v>
      </c>
      <c r="S908">
        <f>IF($E908=0,0,SUMPRODUCT($AI$13:$DF$13,'Staff Daily sales'!$G893:$CD893))</f>
        <v>0</v>
      </c>
      <c r="T908">
        <f>IF($E908=0,0,SUMPRODUCT($AI$14:$DF$14,'Staff Daily sales'!$G893:$CD893))</f>
        <v>0</v>
      </c>
      <c r="U908">
        <f>IF($E908=0,0,SUMPRODUCT($AI$15:$DF$15,'Staff Daily sales'!$G893:$CD893))</f>
        <v>0</v>
      </c>
      <c r="V908">
        <f>IF($E908=0,0,SUMPRODUCT($AI$16:$DF$16,'Staff Daily sales'!$G893:$CD893))</f>
        <v>0</v>
      </c>
      <c r="W908">
        <f t="shared" si="239"/>
        <v>0</v>
      </c>
      <c r="X908">
        <f t="shared" si="240"/>
        <v>0</v>
      </c>
      <c r="Y908">
        <f t="shared" si="241"/>
        <v>0</v>
      </c>
      <c r="Z908">
        <f t="shared" si="242"/>
        <v>0</v>
      </c>
      <c r="AA908">
        <f t="shared" si="243"/>
        <v>0</v>
      </c>
      <c r="AB908">
        <f>--AND($E908=1,OR('Staff Weekly Trend'!$B$3="All",$DH908='Staff Weekly Trend'!$B$3),OR('Staff Weekly Trend'!$B$4="All",$D908='Staff Weekly Trend'!$B$4),OR('Staff Weekly Trend'!$B$5="All",$A908='Staff Weekly Trend'!$B$5))</f>
        <v>0</v>
      </c>
      <c r="AC908" t="str">
        <f t="shared" si="244"/>
        <v/>
      </c>
      <c r="AI908">
        <f t="shared" si="245"/>
        <v>0</v>
      </c>
      <c r="AJ908">
        <f t="shared" si="246"/>
        <v>0</v>
      </c>
      <c r="AK908">
        <f t="shared" si="247"/>
        <v>0</v>
      </c>
      <c r="AL908">
        <f t="shared" si="248"/>
        <v>0</v>
      </c>
      <c r="AM908">
        <f t="shared" si="249"/>
        <v>0</v>
      </c>
      <c r="DH908" t="str" cm="1">
        <f t="array" ref="DH908">IF($A908="","",_xlfn.LET(_xlpm.c,IFERROR(_xlfn.XLOOKUP($A908,TRIM('Sales and count'!$A$4:$A$300&amp;""),TRIM('Sales and count'!$B$4:$B$300&amp;"")),""),IF(OR(_xlpm.c="",_xlpm.c="0",LEFT(_xlpm.c,1)="#"),"Not set",_xlpm.c)))</f>
        <v/>
      </c>
    </row>
    <row r="909" spans="1:112" x14ac:dyDescent="0.25">
      <c r="A909" t="str">
        <f>IF('Staff Daily sales'!$B894="","",TRIM('Staff Daily sales'!$B894&amp;""))</f>
        <v/>
      </c>
      <c r="B909" t="str">
        <f>IF('Staff Daily sales'!$D894="","",TRIM('Staff Daily sales'!$D894&amp;""))</f>
        <v/>
      </c>
      <c r="C909" t="str">
        <f>IFERROR(TRIM('Staff Daily sales'!$E894&amp;""),"")</f>
        <v/>
      </c>
      <c r="D909" t="str">
        <f>IFERROR(IF(TRIM('Staff Daily sales'!$F894&amp;"")="","Unassigned",TRIM('Staff Daily sales'!$F894&amp;"")),"Unassigned")</f>
        <v>Unassigned</v>
      </c>
      <c r="E909">
        <f t="shared" si="234"/>
        <v>0</v>
      </c>
      <c r="F909">
        <f>IF($E909=0,0,SUMPRODUCT($AI$5:$DF$5,'Staff Daily sales'!$G894:$CD894))</f>
        <v>0</v>
      </c>
      <c r="G909">
        <f>IF($E909=0,0,SUMPRODUCT($AI$6:$DF$6,'Staff Daily sales'!$G894:$CD894))</f>
        <v>0</v>
      </c>
      <c r="H909">
        <f t="shared" si="235"/>
        <v>0</v>
      </c>
      <c r="I909">
        <f t="shared" si="236"/>
        <v>0</v>
      </c>
      <c r="J909">
        <f t="shared" si="237"/>
        <v>0</v>
      </c>
      <c r="K909">
        <f t="shared" si="238"/>
        <v>0</v>
      </c>
      <c r="L909">
        <f>--AND($E909=1,OR('Staff Dashboard'!$B$6="All",$DH909='Staff Dashboard'!$B$6),OR('Staff Dashboard'!$B$7="All",$D909='Staff Dashboard'!$B$7),OR('Staff Dashboard'!$B$8="All",$A909='Staff Dashboard'!$B$8))</f>
        <v>0</v>
      </c>
      <c r="M909">
        <f>IF($E909=0,0,SUMPRODUCT($AI$7:$DF$7,'Staff Daily sales'!$G894:$CD894))</f>
        <v>0</v>
      </c>
      <c r="N909">
        <f>IF($E909=0,0,SUMPRODUCT($AI$8:$DF$8,'Staff Daily sales'!$G894:$CD894))</f>
        <v>0</v>
      </c>
      <c r="O909">
        <f>IF($E909=0,0,SUMPRODUCT($AI$9:$DF$9,'Staff Daily sales'!$G894:$CD894))</f>
        <v>0</v>
      </c>
      <c r="P909">
        <f>IF($E909=0,0,SUMPRODUCT($AI$10:$DF$10,'Staff Daily sales'!$G894:$CD894))</f>
        <v>0</v>
      </c>
      <c r="Q909">
        <f>IF($E909=0,0,SUMPRODUCT($AI$11:$DF$11,'Staff Daily sales'!$G894:$CD894))</f>
        <v>0</v>
      </c>
      <c r="R909">
        <f>IF($E909=0,0,SUMPRODUCT($AI$12:$DF$12,'Staff Daily sales'!$G894:$CD894))</f>
        <v>0</v>
      </c>
      <c r="S909">
        <f>IF($E909=0,0,SUMPRODUCT($AI$13:$DF$13,'Staff Daily sales'!$G894:$CD894))</f>
        <v>0</v>
      </c>
      <c r="T909">
        <f>IF($E909=0,0,SUMPRODUCT($AI$14:$DF$14,'Staff Daily sales'!$G894:$CD894))</f>
        <v>0</v>
      </c>
      <c r="U909">
        <f>IF($E909=0,0,SUMPRODUCT($AI$15:$DF$15,'Staff Daily sales'!$G894:$CD894))</f>
        <v>0</v>
      </c>
      <c r="V909">
        <f>IF($E909=0,0,SUMPRODUCT($AI$16:$DF$16,'Staff Daily sales'!$G894:$CD894))</f>
        <v>0</v>
      </c>
      <c r="W909">
        <f t="shared" si="239"/>
        <v>0</v>
      </c>
      <c r="X909">
        <f t="shared" si="240"/>
        <v>0</v>
      </c>
      <c r="Y909">
        <f t="shared" si="241"/>
        <v>0</v>
      </c>
      <c r="Z909">
        <f t="shared" si="242"/>
        <v>0</v>
      </c>
      <c r="AA909">
        <f t="shared" si="243"/>
        <v>0</v>
      </c>
      <c r="AB909">
        <f>--AND($E909=1,OR('Staff Weekly Trend'!$B$3="All",$DH909='Staff Weekly Trend'!$B$3),OR('Staff Weekly Trend'!$B$4="All",$D909='Staff Weekly Trend'!$B$4),OR('Staff Weekly Trend'!$B$5="All",$A909='Staff Weekly Trend'!$B$5))</f>
        <v>0</v>
      </c>
      <c r="AC909" t="str">
        <f t="shared" si="244"/>
        <v/>
      </c>
      <c r="AI909">
        <f t="shared" si="245"/>
        <v>0</v>
      </c>
      <c r="AJ909">
        <f t="shared" si="246"/>
        <v>0</v>
      </c>
      <c r="AK909">
        <f t="shared" si="247"/>
        <v>0</v>
      </c>
      <c r="AL909">
        <f t="shared" si="248"/>
        <v>0</v>
      </c>
      <c r="AM909">
        <f t="shared" si="249"/>
        <v>0</v>
      </c>
      <c r="DH909" t="str" cm="1">
        <f t="array" ref="DH909">IF($A909="","",_xlfn.LET(_xlpm.c,IFERROR(_xlfn.XLOOKUP($A909,TRIM('Sales and count'!$A$4:$A$300&amp;""),TRIM('Sales and count'!$B$4:$B$300&amp;"")),""),IF(OR(_xlpm.c="",_xlpm.c="0",LEFT(_xlpm.c,1)="#"),"Not set",_xlpm.c)))</f>
        <v/>
      </c>
    </row>
    <row r="910" spans="1:112" x14ac:dyDescent="0.25">
      <c r="A910" t="str">
        <f>IF('Staff Daily sales'!$B895="","",TRIM('Staff Daily sales'!$B895&amp;""))</f>
        <v/>
      </c>
      <c r="B910" t="str">
        <f>IF('Staff Daily sales'!$D895="","",TRIM('Staff Daily sales'!$D895&amp;""))</f>
        <v/>
      </c>
      <c r="C910" t="str">
        <f>IFERROR(TRIM('Staff Daily sales'!$E895&amp;""),"")</f>
        <v/>
      </c>
      <c r="D910" t="str">
        <f>IFERROR(IF(TRIM('Staff Daily sales'!$F895&amp;"")="","Unassigned",TRIM('Staff Daily sales'!$F895&amp;"")),"Unassigned")</f>
        <v>Unassigned</v>
      </c>
      <c r="E910">
        <f t="shared" si="234"/>
        <v>0</v>
      </c>
      <c r="F910">
        <f>IF($E910=0,0,SUMPRODUCT($AI$5:$DF$5,'Staff Daily sales'!$G895:$CD895))</f>
        <v>0</v>
      </c>
      <c r="G910">
        <f>IF($E910=0,0,SUMPRODUCT($AI$6:$DF$6,'Staff Daily sales'!$G895:$CD895))</f>
        <v>0</v>
      </c>
      <c r="H910">
        <f t="shared" si="235"/>
        <v>0</v>
      </c>
      <c r="I910">
        <f t="shared" si="236"/>
        <v>0</v>
      </c>
      <c r="J910">
        <f t="shared" si="237"/>
        <v>0</v>
      </c>
      <c r="K910">
        <f t="shared" si="238"/>
        <v>0</v>
      </c>
      <c r="L910">
        <f>--AND($E910=1,OR('Staff Dashboard'!$B$6="All",$DH910='Staff Dashboard'!$B$6),OR('Staff Dashboard'!$B$7="All",$D910='Staff Dashboard'!$B$7),OR('Staff Dashboard'!$B$8="All",$A910='Staff Dashboard'!$B$8))</f>
        <v>0</v>
      </c>
      <c r="M910">
        <f>IF($E910=0,0,SUMPRODUCT($AI$7:$DF$7,'Staff Daily sales'!$G895:$CD895))</f>
        <v>0</v>
      </c>
      <c r="N910">
        <f>IF($E910=0,0,SUMPRODUCT($AI$8:$DF$8,'Staff Daily sales'!$G895:$CD895))</f>
        <v>0</v>
      </c>
      <c r="O910">
        <f>IF($E910=0,0,SUMPRODUCT($AI$9:$DF$9,'Staff Daily sales'!$G895:$CD895))</f>
        <v>0</v>
      </c>
      <c r="P910">
        <f>IF($E910=0,0,SUMPRODUCT($AI$10:$DF$10,'Staff Daily sales'!$G895:$CD895))</f>
        <v>0</v>
      </c>
      <c r="Q910">
        <f>IF($E910=0,0,SUMPRODUCT($AI$11:$DF$11,'Staff Daily sales'!$G895:$CD895))</f>
        <v>0</v>
      </c>
      <c r="R910">
        <f>IF($E910=0,0,SUMPRODUCT($AI$12:$DF$12,'Staff Daily sales'!$G895:$CD895))</f>
        <v>0</v>
      </c>
      <c r="S910">
        <f>IF($E910=0,0,SUMPRODUCT($AI$13:$DF$13,'Staff Daily sales'!$G895:$CD895))</f>
        <v>0</v>
      </c>
      <c r="T910">
        <f>IF($E910=0,0,SUMPRODUCT($AI$14:$DF$14,'Staff Daily sales'!$G895:$CD895))</f>
        <v>0</v>
      </c>
      <c r="U910">
        <f>IF($E910=0,0,SUMPRODUCT($AI$15:$DF$15,'Staff Daily sales'!$G895:$CD895))</f>
        <v>0</v>
      </c>
      <c r="V910">
        <f>IF($E910=0,0,SUMPRODUCT($AI$16:$DF$16,'Staff Daily sales'!$G895:$CD895))</f>
        <v>0</v>
      </c>
      <c r="W910">
        <f t="shared" si="239"/>
        <v>0</v>
      </c>
      <c r="X910">
        <f t="shared" si="240"/>
        <v>0</v>
      </c>
      <c r="Y910">
        <f t="shared" si="241"/>
        <v>0</v>
      </c>
      <c r="Z910">
        <f t="shared" si="242"/>
        <v>0</v>
      </c>
      <c r="AA910">
        <f t="shared" si="243"/>
        <v>0</v>
      </c>
      <c r="AB910">
        <f>--AND($E910=1,OR('Staff Weekly Trend'!$B$3="All",$DH910='Staff Weekly Trend'!$B$3),OR('Staff Weekly Trend'!$B$4="All",$D910='Staff Weekly Trend'!$B$4),OR('Staff Weekly Trend'!$B$5="All",$A910='Staff Weekly Trend'!$B$5))</f>
        <v>0</v>
      </c>
      <c r="AC910" t="str">
        <f t="shared" si="244"/>
        <v/>
      </c>
      <c r="AI910">
        <f t="shared" si="245"/>
        <v>0</v>
      </c>
      <c r="AJ910">
        <f t="shared" si="246"/>
        <v>0</v>
      </c>
      <c r="AK910">
        <f t="shared" si="247"/>
        <v>0</v>
      </c>
      <c r="AL910">
        <f t="shared" si="248"/>
        <v>0</v>
      </c>
      <c r="AM910">
        <f t="shared" si="249"/>
        <v>0</v>
      </c>
      <c r="DH910" t="str" cm="1">
        <f t="array" ref="DH910">IF($A910="","",_xlfn.LET(_xlpm.c,IFERROR(_xlfn.XLOOKUP($A910,TRIM('Sales and count'!$A$4:$A$300&amp;""),TRIM('Sales and count'!$B$4:$B$300&amp;"")),""),IF(OR(_xlpm.c="",_xlpm.c="0",LEFT(_xlpm.c,1)="#"),"Not set",_xlpm.c)))</f>
        <v/>
      </c>
    </row>
    <row r="911" spans="1:112" x14ac:dyDescent="0.25">
      <c r="A911" t="str">
        <f>IF('Staff Daily sales'!$B896="","",TRIM('Staff Daily sales'!$B896&amp;""))</f>
        <v/>
      </c>
      <c r="B911" t="str">
        <f>IF('Staff Daily sales'!$D896="","",TRIM('Staff Daily sales'!$D896&amp;""))</f>
        <v/>
      </c>
      <c r="C911" t="str">
        <f>IFERROR(TRIM('Staff Daily sales'!$E896&amp;""),"")</f>
        <v/>
      </c>
      <c r="D911" t="str">
        <f>IFERROR(IF(TRIM('Staff Daily sales'!$F896&amp;"")="","Unassigned",TRIM('Staff Daily sales'!$F896&amp;"")),"Unassigned")</f>
        <v>Unassigned</v>
      </c>
      <c r="E911">
        <f t="shared" si="234"/>
        <v>0</v>
      </c>
      <c r="F911">
        <f>IF($E911=0,0,SUMPRODUCT($AI$5:$DF$5,'Staff Daily sales'!$G896:$CD896))</f>
        <v>0</v>
      </c>
      <c r="G911">
        <f>IF($E911=0,0,SUMPRODUCT($AI$6:$DF$6,'Staff Daily sales'!$G896:$CD896))</f>
        <v>0</v>
      </c>
      <c r="H911">
        <f t="shared" si="235"/>
        <v>0</v>
      </c>
      <c r="I911">
        <f t="shared" si="236"/>
        <v>0</v>
      </c>
      <c r="J911">
        <f t="shared" si="237"/>
        <v>0</v>
      </c>
      <c r="K911">
        <f t="shared" si="238"/>
        <v>0</v>
      </c>
      <c r="L911">
        <f>--AND($E911=1,OR('Staff Dashboard'!$B$6="All",$DH911='Staff Dashboard'!$B$6),OR('Staff Dashboard'!$B$7="All",$D911='Staff Dashboard'!$B$7),OR('Staff Dashboard'!$B$8="All",$A911='Staff Dashboard'!$B$8))</f>
        <v>0</v>
      </c>
      <c r="M911">
        <f>IF($E911=0,0,SUMPRODUCT($AI$7:$DF$7,'Staff Daily sales'!$G896:$CD896))</f>
        <v>0</v>
      </c>
      <c r="N911">
        <f>IF($E911=0,0,SUMPRODUCT($AI$8:$DF$8,'Staff Daily sales'!$G896:$CD896))</f>
        <v>0</v>
      </c>
      <c r="O911">
        <f>IF($E911=0,0,SUMPRODUCT($AI$9:$DF$9,'Staff Daily sales'!$G896:$CD896))</f>
        <v>0</v>
      </c>
      <c r="P911">
        <f>IF($E911=0,0,SUMPRODUCT($AI$10:$DF$10,'Staff Daily sales'!$G896:$CD896))</f>
        <v>0</v>
      </c>
      <c r="Q911">
        <f>IF($E911=0,0,SUMPRODUCT($AI$11:$DF$11,'Staff Daily sales'!$G896:$CD896))</f>
        <v>0</v>
      </c>
      <c r="R911">
        <f>IF($E911=0,0,SUMPRODUCT($AI$12:$DF$12,'Staff Daily sales'!$G896:$CD896))</f>
        <v>0</v>
      </c>
      <c r="S911">
        <f>IF($E911=0,0,SUMPRODUCT($AI$13:$DF$13,'Staff Daily sales'!$G896:$CD896))</f>
        <v>0</v>
      </c>
      <c r="T911">
        <f>IF($E911=0,0,SUMPRODUCT($AI$14:$DF$14,'Staff Daily sales'!$G896:$CD896))</f>
        <v>0</v>
      </c>
      <c r="U911">
        <f>IF($E911=0,0,SUMPRODUCT($AI$15:$DF$15,'Staff Daily sales'!$G896:$CD896))</f>
        <v>0</v>
      </c>
      <c r="V911">
        <f>IF($E911=0,0,SUMPRODUCT($AI$16:$DF$16,'Staff Daily sales'!$G896:$CD896))</f>
        <v>0</v>
      </c>
      <c r="W911">
        <f t="shared" si="239"/>
        <v>0</v>
      </c>
      <c r="X911">
        <f t="shared" si="240"/>
        <v>0</v>
      </c>
      <c r="Y911">
        <f t="shared" si="241"/>
        <v>0</v>
      </c>
      <c r="Z911">
        <f t="shared" si="242"/>
        <v>0</v>
      </c>
      <c r="AA911">
        <f t="shared" si="243"/>
        <v>0</v>
      </c>
      <c r="AB911">
        <f>--AND($E911=1,OR('Staff Weekly Trend'!$B$3="All",$DH911='Staff Weekly Trend'!$B$3),OR('Staff Weekly Trend'!$B$4="All",$D911='Staff Weekly Trend'!$B$4),OR('Staff Weekly Trend'!$B$5="All",$A911='Staff Weekly Trend'!$B$5))</f>
        <v>0</v>
      </c>
      <c r="AC911" t="str">
        <f t="shared" si="244"/>
        <v/>
      </c>
      <c r="AI911">
        <f t="shared" si="245"/>
        <v>0</v>
      </c>
      <c r="AJ911">
        <f t="shared" si="246"/>
        <v>0</v>
      </c>
      <c r="AK911">
        <f t="shared" si="247"/>
        <v>0</v>
      </c>
      <c r="AL911">
        <f t="shared" si="248"/>
        <v>0</v>
      </c>
      <c r="AM911">
        <f t="shared" si="249"/>
        <v>0</v>
      </c>
      <c r="DH911" t="str" cm="1">
        <f t="array" ref="DH911">IF($A911="","",_xlfn.LET(_xlpm.c,IFERROR(_xlfn.XLOOKUP($A911,TRIM('Sales and count'!$A$4:$A$300&amp;""),TRIM('Sales and count'!$B$4:$B$300&amp;"")),""),IF(OR(_xlpm.c="",_xlpm.c="0",LEFT(_xlpm.c,1)="#"),"Not set",_xlpm.c)))</f>
        <v/>
      </c>
    </row>
    <row r="912" spans="1:112" x14ac:dyDescent="0.25">
      <c r="A912" t="str">
        <f>IF('Staff Daily sales'!$B897="","",TRIM('Staff Daily sales'!$B897&amp;""))</f>
        <v/>
      </c>
      <c r="B912" t="str">
        <f>IF('Staff Daily sales'!$D897="","",TRIM('Staff Daily sales'!$D897&amp;""))</f>
        <v/>
      </c>
      <c r="C912" t="str">
        <f>IFERROR(TRIM('Staff Daily sales'!$E897&amp;""),"")</f>
        <v/>
      </c>
      <c r="D912" t="str">
        <f>IFERROR(IF(TRIM('Staff Daily sales'!$F897&amp;"")="","Unassigned",TRIM('Staff Daily sales'!$F897&amp;"")),"Unassigned")</f>
        <v>Unassigned</v>
      </c>
      <c r="E912">
        <f t="shared" si="234"/>
        <v>0</v>
      </c>
      <c r="F912">
        <f>IF($E912=0,0,SUMPRODUCT($AI$5:$DF$5,'Staff Daily sales'!$G897:$CD897))</f>
        <v>0</v>
      </c>
      <c r="G912">
        <f>IF($E912=0,0,SUMPRODUCT($AI$6:$DF$6,'Staff Daily sales'!$G897:$CD897))</f>
        <v>0</v>
      </c>
      <c r="H912">
        <f t="shared" si="235"/>
        <v>0</v>
      </c>
      <c r="I912">
        <f t="shared" si="236"/>
        <v>0</v>
      </c>
      <c r="J912">
        <f t="shared" si="237"/>
        <v>0</v>
      </c>
      <c r="K912">
        <f t="shared" si="238"/>
        <v>0</v>
      </c>
      <c r="L912">
        <f>--AND($E912=1,OR('Staff Dashboard'!$B$6="All",$DH912='Staff Dashboard'!$B$6),OR('Staff Dashboard'!$B$7="All",$D912='Staff Dashboard'!$B$7),OR('Staff Dashboard'!$B$8="All",$A912='Staff Dashboard'!$B$8))</f>
        <v>0</v>
      </c>
      <c r="M912">
        <f>IF($E912=0,0,SUMPRODUCT($AI$7:$DF$7,'Staff Daily sales'!$G897:$CD897))</f>
        <v>0</v>
      </c>
      <c r="N912">
        <f>IF($E912=0,0,SUMPRODUCT($AI$8:$DF$8,'Staff Daily sales'!$G897:$CD897))</f>
        <v>0</v>
      </c>
      <c r="O912">
        <f>IF($E912=0,0,SUMPRODUCT($AI$9:$DF$9,'Staff Daily sales'!$G897:$CD897))</f>
        <v>0</v>
      </c>
      <c r="P912">
        <f>IF($E912=0,0,SUMPRODUCT($AI$10:$DF$10,'Staff Daily sales'!$G897:$CD897))</f>
        <v>0</v>
      </c>
      <c r="Q912">
        <f>IF($E912=0,0,SUMPRODUCT($AI$11:$DF$11,'Staff Daily sales'!$G897:$CD897))</f>
        <v>0</v>
      </c>
      <c r="R912">
        <f>IF($E912=0,0,SUMPRODUCT($AI$12:$DF$12,'Staff Daily sales'!$G897:$CD897))</f>
        <v>0</v>
      </c>
      <c r="S912">
        <f>IF($E912=0,0,SUMPRODUCT($AI$13:$DF$13,'Staff Daily sales'!$G897:$CD897))</f>
        <v>0</v>
      </c>
      <c r="T912">
        <f>IF($E912=0,0,SUMPRODUCT($AI$14:$DF$14,'Staff Daily sales'!$G897:$CD897))</f>
        <v>0</v>
      </c>
      <c r="U912">
        <f>IF($E912=0,0,SUMPRODUCT($AI$15:$DF$15,'Staff Daily sales'!$G897:$CD897))</f>
        <v>0</v>
      </c>
      <c r="V912">
        <f>IF($E912=0,0,SUMPRODUCT($AI$16:$DF$16,'Staff Daily sales'!$G897:$CD897))</f>
        <v>0</v>
      </c>
      <c r="W912">
        <f t="shared" si="239"/>
        <v>0</v>
      </c>
      <c r="X912">
        <f t="shared" si="240"/>
        <v>0</v>
      </c>
      <c r="Y912">
        <f t="shared" si="241"/>
        <v>0</v>
      </c>
      <c r="Z912">
        <f t="shared" si="242"/>
        <v>0</v>
      </c>
      <c r="AA912">
        <f t="shared" si="243"/>
        <v>0</v>
      </c>
      <c r="AB912">
        <f>--AND($E912=1,OR('Staff Weekly Trend'!$B$3="All",$DH912='Staff Weekly Trend'!$B$3),OR('Staff Weekly Trend'!$B$4="All",$D912='Staff Weekly Trend'!$B$4),OR('Staff Weekly Trend'!$B$5="All",$A912='Staff Weekly Trend'!$B$5))</f>
        <v>0</v>
      </c>
      <c r="AC912" t="str">
        <f t="shared" si="244"/>
        <v/>
      </c>
      <c r="AI912">
        <f t="shared" si="245"/>
        <v>0</v>
      </c>
      <c r="AJ912">
        <f t="shared" si="246"/>
        <v>0</v>
      </c>
      <c r="AK912">
        <f t="shared" si="247"/>
        <v>0</v>
      </c>
      <c r="AL912">
        <f t="shared" si="248"/>
        <v>0</v>
      </c>
      <c r="AM912">
        <f t="shared" si="249"/>
        <v>0</v>
      </c>
      <c r="DH912" t="str" cm="1">
        <f t="array" ref="DH912">IF($A912="","",_xlfn.LET(_xlpm.c,IFERROR(_xlfn.XLOOKUP($A912,TRIM('Sales and count'!$A$4:$A$300&amp;""),TRIM('Sales and count'!$B$4:$B$300&amp;"")),""),IF(OR(_xlpm.c="",_xlpm.c="0",LEFT(_xlpm.c,1)="#"),"Not set",_xlpm.c)))</f>
        <v/>
      </c>
    </row>
    <row r="913" spans="1:112" x14ac:dyDescent="0.25">
      <c r="A913" t="str">
        <f>IF('Staff Daily sales'!$B898="","",TRIM('Staff Daily sales'!$B898&amp;""))</f>
        <v/>
      </c>
      <c r="B913" t="str">
        <f>IF('Staff Daily sales'!$D898="","",TRIM('Staff Daily sales'!$D898&amp;""))</f>
        <v/>
      </c>
      <c r="C913" t="str">
        <f>IFERROR(TRIM('Staff Daily sales'!$E898&amp;""),"")</f>
        <v/>
      </c>
      <c r="D913" t="str">
        <f>IFERROR(IF(TRIM('Staff Daily sales'!$F898&amp;"")="","Unassigned",TRIM('Staff Daily sales'!$F898&amp;"")),"Unassigned")</f>
        <v>Unassigned</v>
      </c>
      <c r="E913">
        <f t="shared" si="234"/>
        <v>0</v>
      </c>
      <c r="F913">
        <f>IF($E913=0,0,SUMPRODUCT($AI$5:$DF$5,'Staff Daily sales'!$G898:$CD898))</f>
        <v>0</v>
      </c>
      <c r="G913">
        <f>IF($E913=0,0,SUMPRODUCT($AI$6:$DF$6,'Staff Daily sales'!$G898:$CD898))</f>
        <v>0</v>
      </c>
      <c r="H913">
        <f t="shared" si="235"/>
        <v>0</v>
      </c>
      <c r="I913">
        <f t="shared" si="236"/>
        <v>0</v>
      </c>
      <c r="J913">
        <f t="shared" si="237"/>
        <v>0</v>
      </c>
      <c r="K913">
        <f t="shared" si="238"/>
        <v>0</v>
      </c>
      <c r="L913">
        <f>--AND($E913=1,OR('Staff Dashboard'!$B$6="All",$DH913='Staff Dashboard'!$B$6),OR('Staff Dashboard'!$B$7="All",$D913='Staff Dashboard'!$B$7),OR('Staff Dashboard'!$B$8="All",$A913='Staff Dashboard'!$B$8))</f>
        <v>0</v>
      </c>
      <c r="M913">
        <f>IF($E913=0,0,SUMPRODUCT($AI$7:$DF$7,'Staff Daily sales'!$G898:$CD898))</f>
        <v>0</v>
      </c>
      <c r="N913">
        <f>IF($E913=0,0,SUMPRODUCT($AI$8:$DF$8,'Staff Daily sales'!$G898:$CD898))</f>
        <v>0</v>
      </c>
      <c r="O913">
        <f>IF($E913=0,0,SUMPRODUCT($AI$9:$DF$9,'Staff Daily sales'!$G898:$CD898))</f>
        <v>0</v>
      </c>
      <c r="P913">
        <f>IF($E913=0,0,SUMPRODUCT($AI$10:$DF$10,'Staff Daily sales'!$G898:$CD898))</f>
        <v>0</v>
      </c>
      <c r="Q913">
        <f>IF($E913=0,0,SUMPRODUCT($AI$11:$DF$11,'Staff Daily sales'!$G898:$CD898))</f>
        <v>0</v>
      </c>
      <c r="R913">
        <f>IF($E913=0,0,SUMPRODUCT($AI$12:$DF$12,'Staff Daily sales'!$G898:$CD898))</f>
        <v>0</v>
      </c>
      <c r="S913">
        <f>IF($E913=0,0,SUMPRODUCT($AI$13:$DF$13,'Staff Daily sales'!$G898:$CD898))</f>
        <v>0</v>
      </c>
      <c r="T913">
        <f>IF($E913=0,0,SUMPRODUCT($AI$14:$DF$14,'Staff Daily sales'!$G898:$CD898))</f>
        <v>0</v>
      </c>
      <c r="U913">
        <f>IF($E913=0,0,SUMPRODUCT($AI$15:$DF$15,'Staff Daily sales'!$G898:$CD898))</f>
        <v>0</v>
      </c>
      <c r="V913">
        <f>IF($E913=0,0,SUMPRODUCT($AI$16:$DF$16,'Staff Daily sales'!$G898:$CD898))</f>
        <v>0</v>
      </c>
      <c r="W913">
        <f t="shared" si="239"/>
        <v>0</v>
      </c>
      <c r="X913">
        <f t="shared" si="240"/>
        <v>0</v>
      </c>
      <c r="Y913">
        <f t="shared" si="241"/>
        <v>0</v>
      </c>
      <c r="Z913">
        <f t="shared" si="242"/>
        <v>0</v>
      </c>
      <c r="AA913">
        <f t="shared" si="243"/>
        <v>0</v>
      </c>
      <c r="AB913">
        <f>--AND($E913=1,OR('Staff Weekly Trend'!$B$3="All",$DH913='Staff Weekly Trend'!$B$3),OR('Staff Weekly Trend'!$B$4="All",$D913='Staff Weekly Trend'!$B$4),OR('Staff Weekly Trend'!$B$5="All",$A913='Staff Weekly Trend'!$B$5))</f>
        <v>0</v>
      </c>
      <c r="AC913" t="str">
        <f t="shared" si="244"/>
        <v/>
      </c>
      <c r="AI913">
        <f t="shared" si="245"/>
        <v>0</v>
      </c>
      <c r="AJ913">
        <f t="shared" si="246"/>
        <v>0</v>
      </c>
      <c r="AK913">
        <f t="shared" si="247"/>
        <v>0</v>
      </c>
      <c r="AL913">
        <f t="shared" si="248"/>
        <v>0</v>
      </c>
      <c r="AM913">
        <f t="shared" si="249"/>
        <v>0</v>
      </c>
      <c r="DH913" t="str" cm="1">
        <f t="array" ref="DH913">IF($A913="","",_xlfn.LET(_xlpm.c,IFERROR(_xlfn.XLOOKUP($A913,TRIM('Sales and count'!$A$4:$A$300&amp;""),TRIM('Sales and count'!$B$4:$B$300&amp;"")),""),IF(OR(_xlpm.c="",_xlpm.c="0",LEFT(_xlpm.c,1)="#"),"Not set",_xlpm.c)))</f>
        <v/>
      </c>
    </row>
    <row r="914" spans="1:112" x14ac:dyDescent="0.25">
      <c r="A914" t="str">
        <f>IF('Staff Daily sales'!$B899="","",TRIM('Staff Daily sales'!$B899&amp;""))</f>
        <v/>
      </c>
      <c r="B914" t="str">
        <f>IF('Staff Daily sales'!$D899="","",TRIM('Staff Daily sales'!$D899&amp;""))</f>
        <v/>
      </c>
      <c r="C914" t="str">
        <f>IFERROR(TRIM('Staff Daily sales'!$E899&amp;""),"")</f>
        <v/>
      </c>
      <c r="D914" t="str">
        <f>IFERROR(IF(TRIM('Staff Daily sales'!$F899&amp;"")="","Unassigned",TRIM('Staff Daily sales'!$F899&amp;"")),"Unassigned")</f>
        <v>Unassigned</v>
      </c>
      <c r="E914">
        <f t="shared" si="234"/>
        <v>0</v>
      </c>
      <c r="F914">
        <f>IF($E914=0,0,SUMPRODUCT($AI$5:$DF$5,'Staff Daily sales'!$G899:$CD899))</f>
        <v>0</v>
      </c>
      <c r="G914">
        <f>IF($E914=0,0,SUMPRODUCT($AI$6:$DF$6,'Staff Daily sales'!$G899:$CD899))</f>
        <v>0</v>
      </c>
      <c r="H914">
        <f t="shared" si="235"/>
        <v>0</v>
      </c>
      <c r="I914">
        <f t="shared" si="236"/>
        <v>0</v>
      </c>
      <c r="J914">
        <f t="shared" si="237"/>
        <v>0</v>
      </c>
      <c r="K914">
        <f t="shared" si="238"/>
        <v>0</v>
      </c>
      <c r="L914">
        <f>--AND($E914=1,OR('Staff Dashboard'!$B$6="All",$DH914='Staff Dashboard'!$B$6),OR('Staff Dashboard'!$B$7="All",$D914='Staff Dashboard'!$B$7),OR('Staff Dashboard'!$B$8="All",$A914='Staff Dashboard'!$B$8))</f>
        <v>0</v>
      </c>
      <c r="M914">
        <f>IF($E914=0,0,SUMPRODUCT($AI$7:$DF$7,'Staff Daily sales'!$G899:$CD899))</f>
        <v>0</v>
      </c>
      <c r="N914">
        <f>IF($E914=0,0,SUMPRODUCT($AI$8:$DF$8,'Staff Daily sales'!$G899:$CD899))</f>
        <v>0</v>
      </c>
      <c r="O914">
        <f>IF($E914=0,0,SUMPRODUCT($AI$9:$DF$9,'Staff Daily sales'!$G899:$CD899))</f>
        <v>0</v>
      </c>
      <c r="P914">
        <f>IF($E914=0,0,SUMPRODUCT($AI$10:$DF$10,'Staff Daily sales'!$G899:$CD899))</f>
        <v>0</v>
      </c>
      <c r="Q914">
        <f>IF($E914=0,0,SUMPRODUCT($AI$11:$DF$11,'Staff Daily sales'!$G899:$CD899))</f>
        <v>0</v>
      </c>
      <c r="R914">
        <f>IF($E914=0,0,SUMPRODUCT($AI$12:$DF$12,'Staff Daily sales'!$G899:$CD899))</f>
        <v>0</v>
      </c>
      <c r="S914">
        <f>IF($E914=0,0,SUMPRODUCT($AI$13:$DF$13,'Staff Daily sales'!$G899:$CD899))</f>
        <v>0</v>
      </c>
      <c r="T914">
        <f>IF($E914=0,0,SUMPRODUCT($AI$14:$DF$14,'Staff Daily sales'!$G899:$CD899))</f>
        <v>0</v>
      </c>
      <c r="U914">
        <f>IF($E914=0,0,SUMPRODUCT($AI$15:$DF$15,'Staff Daily sales'!$G899:$CD899))</f>
        <v>0</v>
      </c>
      <c r="V914">
        <f>IF($E914=0,0,SUMPRODUCT($AI$16:$DF$16,'Staff Daily sales'!$G899:$CD899))</f>
        <v>0</v>
      </c>
      <c r="W914">
        <f t="shared" si="239"/>
        <v>0</v>
      </c>
      <c r="X914">
        <f t="shared" si="240"/>
        <v>0</v>
      </c>
      <c r="Y914">
        <f t="shared" si="241"/>
        <v>0</v>
      </c>
      <c r="Z914">
        <f t="shared" si="242"/>
        <v>0</v>
      </c>
      <c r="AA914">
        <f t="shared" si="243"/>
        <v>0</v>
      </c>
      <c r="AB914">
        <f>--AND($E914=1,OR('Staff Weekly Trend'!$B$3="All",$DH914='Staff Weekly Trend'!$B$3),OR('Staff Weekly Trend'!$B$4="All",$D914='Staff Weekly Trend'!$B$4),OR('Staff Weekly Trend'!$B$5="All",$A914='Staff Weekly Trend'!$B$5))</f>
        <v>0</v>
      </c>
      <c r="AC914" t="str">
        <f t="shared" si="244"/>
        <v/>
      </c>
      <c r="AI914">
        <f t="shared" si="245"/>
        <v>0</v>
      </c>
      <c r="AJ914">
        <f t="shared" si="246"/>
        <v>0</v>
      </c>
      <c r="AK914">
        <f t="shared" si="247"/>
        <v>0</v>
      </c>
      <c r="AL914">
        <f t="shared" si="248"/>
        <v>0</v>
      </c>
      <c r="AM914">
        <f t="shared" si="249"/>
        <v>0</v>
      </c>
      <c r="DH914" t="str" cm="1">
        <f t="array" ref="DH914">IF($A914="","",_xlfn.LET(_xlpm.c,IFERROR(_xlfn.XLOOKUP($A914,TRIM('Sales and count'!$A$4:$A$300&amp;""),TRIM('Sales and count'!$B$4:$B$300&amp;"")),""),IF(OR(_xlpm.c="",_xlpm.c="0",LEFT(_xlpm.c,1)="#"),"Not set",_xlpm.c)))</f>
        <v/>
      </c>
    </row>
    <row r="915" spans="1:112" x14ac:dyDescent="0.25">
      <c r="A915" t="str">
        <f>IF('Staff Daily sales'!$B900="","",TRIM('Staff Daily sales'!$B900&amp;""))</f>
        <v/>
      </c>
      <c r="B915" t="str">
        <f>IF('Staff Daily sales'!$D900="","",TRIM('Staff Daily sales'!$D900&amp;""))</f>
        <v/>
      </c>
      <c r="C915" t="str">
        <f>IFERROR(TRIM('Staff Daily sales'!$E900&amp;""),"")</f>
        <v/>
      </c>
      <c r="D915" t="str">
        <f>IFERROR(IF(TRIM('Staff Daily sales'!$F900&amp;"")="","Unassigned",TRIM('Staff Daily sales'!$F900&amp;"")),"Unassigned")</f>
        <v>Unassigned</v>
      </c>
      <c r="E915">
        <f t="shared" si="234"/>
        <v>0</v>
      </c>
      <c r="F915">
        <f>IF($E915=0,0,SUMPRODUCT($AI$5:$DF$5,'Staff Daily sales'!$G900:$CD900))</f>
        <v>0</v>
      </c>
      <c r="G915">
        <f>IF($E915=0,0,SUMPRODUCT($AI$6:$DF$6,'Staff Daily sales'!$G900:$CD900))</f>
        <v>0</v>
      </c>
      <c r="H915">
        <f t="shared" si="235"/>
        <v>0</v>
      </c>
      <c r="I915">
        <f t="shared" si="236"/>
        <v>0</v>
      </c>
      <c r="J915">
        <f t="shared" si="237"/>
        <v>0</v>
      </c>
      <c r="K915">
        <f t="shared" si="238"/>
        <v>0</v>
      </c>
      <c r="L915">
        <f>--AND($E915=1,OR('Staff Dashboard'!$B$6="All",$DH915='Staff Dashboard'!$B$6),OR('Staff Dashboard'!$B$7="All",$D915='Staff Dashboard'!$B$7),OR('Staff Dashboard'!$B$8="All",$A915='Staff Dashboard'!$B$8))</f>
        <v>0</v>
      </c>
      <c r="M915">
        <f>IF($E915=0,0,SUMPRODUCT($AI$7:$DF$7,'Staff Daily sales'!$G900:$CD900))</f>
        <v>0</v>
      </c>
      <c r="N915">
        <f>IF($E915=0,0,SUMPRODUCT($AI$8:$DF$8,'Staff Daily sales'!$G900:$CD900))</f>
        <v>0</v>
      </c>
      <c r="O915">
        <f>IF($E915=0,0,SUMPRODUCT($AI$9:$DF$9,'Staff Daily sales'!$G900:$CD900))</f>
        <v>0</v>
      </c>
      <c r="P915">
        <f>IF($E915=0,0,SUMPRODUCT($AI$10:$DF$10,'Staff Daily sales'!$G900:$CD900))</f>
        <v>0</v>
      </c>
      <c r="Q915">
        <f>IF($E915=0,0,SUMPRODUCT($AI$11:$DF$11,'Staff Daily sales'!$G900:$CD900))</f>
        <v>0</v>
      </c>
      <c r="R915">
        <f>IF($E915=0,0,SUMPRODUCT($AI$12:$DF$12,'Staff Daily sales'!$G900:$CD900))</f>
        <v>0</v>
      </c>
      <c r="S915">
        <f>IF($E915=0,0,SUMPRODUCT($AI$13:$DF$13,'Staff Daily sales'!$G900:$CD900))</f>
        <v>0</v>
      </c>
      <c r="T915">
        <f>IF($E915=0,0,SUMPRODUCT($AI$14:$DF$14,'Staff Daily sales'!$G900:$CD900))</f>
        <v>0</v>
      </c>
      <c r="U915">
        <f>IF($E915=0,0,SUMPRODUCT($AI$15:$DF$15,'Staff Daily sales'!$G900:$CD900))</f>
        <v>0</v>
      </c>
      <c r="V915">
        <f>IF($E915=0,0,SUMPRODUCT($AI$16:$DF$16,'Staff Daily sales'!$G900:$CD900))</f>
        <v>0</v>
      </c>
      <c r="W915">
        <f t="shared" si="239"/>
        <v>0</v>
      </c>
      <c r="X915">
        <f t="shared" si="240"/>
        <v>0</v>
      </c>
      <c r="Y915">
        <f t="shared" si="241"/>
        <v>0</v>
      </c>
      <c r="Z915">
        <f t="shared" si="242"/>
        <v>0</v>
      </c>
      <c r="AA915">
        <f t="shared" si="243"/>
        <v>0</v>
      </c>
      <c r="AB915">
        <f>--AND($E915=1,OR('Staff Weekly Trend'!$B$3="All",$DH915='Staff Weekly Trend'!$B$3),OR('Staff Weekly Trend'!$B$4="All",$D915='Staff Weekly Trend'!$B$4),OR('Staff Weekly Trend'!$B$5="All",$A915='Staff Weekly Trend'!$B$5))</f>
        <v>0</v>
      </c>
      <c r="AC915" t="str">
        <f t="shared" si="244"/>
        <v/>
      </c>
      <c r="AI915">
        <f t="shared" si="245"/>
        <v>0</v>
      </c>
      <c r="AJ915">
        <f t="shared" si="246"/>
        <v>0</v>
      </c>
      <c r="AK915">
        <f t="shared" si="247"/>
        <v>0</v>
      </c>
      <c r="AL915">
        <f t="shared" si="248"/>
        <v>0</v>
      </c>
      <c r="AM915">
        <f t="shared" si="249"/>
        <v>0</v>
      </c>
      <c r="DH915" t="str" cm="1">
        <f t="array" ref="DH915">IF($A915="","",_xlfn.LET(_xlpm.c,IFERROR(_xlfn.XLOOKUP($A915,TRIM('Sales and count'!$A$4:$A$300&amp;""),TRIM('Sales and count'!$B$4:$B$300&amp;"")),""),IF(OR(_xlpm.c="",_xlpm.c="0",LEFT(_xlpm.c,1)="#"),"Not set",_xlpm.c)))</f>
        <v/>
      </c>
    </row>
    <row r="916" spans="1:112" x14ac:dyDescent="0.25">
      <c r="A916" t="str">
        <f>IF('Staff Daily sales'!$B901="","",TRIM('Staff Daily sales'!$B901&amp;""))</f>
        <v/>
      </c>
      <c r="B916" t="str">
        <f>IF('Staff Daily sales'!$D901="","",TRIM('Staff Daily sales'!$D901&amp;""))</f>
        <v/>
      </c>
      <c r="C916" t="str">
        <f>IFERROR(TRIM('Staff Daily sales'!$E901&amp;""),"")</f>
        <v/>
      </c>
      <c r="D916" t="str">
        <f>IFERROR(IF(TRIM('Staff Daily sales'!$F901&amp;"")="","Unassigned",TRIM('Staff Daily sales'!$F901&amp;"")),"Unassigned")</f>
        <v>Unassigned</v>
      </c>
      <c r="E916">
        <f t="shared" ref="E916:E979" si="250">--AND($A916&lt;&gt;"",$B916&lt;&gt;"")</f>
        <v>0</v>
      </c>
      <c r="F916">
        <f>IF($E916=0,0,SUMPRODUCT($AI$5:$DF$5,'Staff Daily sales'!$G901:$CD901))</f>
        <v>0</v>
      </c>
      <c r="G916">
        <f>IF($E916=0,0,SUMPRODUCT($AI$6:$DF$6,'Staff Daily sales'!$G901:$CD901))</f>
        <v>0</v>
      </c>
      <c r="H916">
        <f t="shared" ref="H916:H979" si="251">IF($E916=0,0,SUMIFS($F$20:$F$1515,$A$20:$A$1515,$A916))</f>
        <v>0</v>
      </c>
      <c r="I916">
        <f t="shared" ref="I916:I979" si="252">IF($E916=0,0,SUMIFS($G$20:$G$1515,$A$20:$A$1515,$A916))</f>
        <v>0</v>
      </c>
      <c r="J916">
        <f t="shared" ref="J916:J979" si="253">IF($E916=0,0,SUMIFS($F$20:$F$1515,$D$20:$D$1515,$D916))</f>
        <v>0</v>
      </c>
      <c r="K916">
        <f t="shared" ref="K916:K979" si="254">IF($E916=0,0,SUMIFS($G$20:$G$1515,$D$20:$D$1515,$D916))</f>
        <v>0</v>
      </c>
      <c r="L916">
        <f>--AND($E916=1,OR('Staff Dashboard'!$B$6="All",$DH916='Staff Dashboard'!$B$6),OR('Staff Dashboard'!$B$7="All",$D916='Staff Dashboard'!$B$7),OR('Staff Dashboard'!$B$8="All",$A916='Staff Dashboard'!$B$8))</f>
        <v>0</v>
      </c>
      <c r="M916">
        <f>IF($E916=0,0,SUMPRODUCT($AI$7:$DF$7,'Staff Daily sales'!$G901:$CD901))</f>
        <v>0</v>
      </c>
      <c r="N916">
        <f>IF($E916=0,0,SUMPRODUCT($AI$8:$DF$8,'Staff Daily sales'!$G901:$CD901))</f>
        <v>0</v>
      </c>
      <c r="O916">
        <f>IF($E916=0,0,SUMPRODUCT($AI$9:$DF$9,'Staff Daily sales'!$G901:$CD901))</f>
        <v>0</v>
      </c>
      <c r="P916">
        <f>IF($E916=0,0,SUMPRODUCT($AI$10:$DF$10,'Staff Daily sales'!$G901:$CD901))</f>
        <v>0</v>
      </c>
      <c r="Q916">
        <f>IF($E916=0,0,SUMPRODUCT($AI$11:$DF$11,'Staff Daily sales'!$G901:$CD901))</f>
        <v>0</v>
      </c>
      <c r="R916">
        <f>IF($E916=0,0,SUMPRODUCT($AI$12:$DF$12,'Staff Daily sales'!$G901:$CD901))</f>
        <v>0</v>
      </c>
      <c r="S916">
        <f>IF($E916=0,0,SUMPRODUCT($AI$13:$DF$13,'Staff Daily sales'!$G901:$CD901))</f>
        <v>0</v>
      </c>
      <c r="T916">
        <f>IF($E916=0,0,SUMPRODUCT($AI$14:$DF$14,'Staff Daily sales'!$G901:$CD901))</f>
        <v>0</v>
      </c>
      <c r="U916">
        <f>IF($E916=0,0,SUMPRODUCT($AI$15:$DF$15,'Staff Daily sales'!$G901:$CD901))</f>
        <v>0</v>
      </c>
      <c r="V916">
        <f>IF($E916=0,0,SUMPRODUCT($AI$16:$DF$16,'Staff Daily sales'!$G901:$CD901))</f>
        <v>0</v>
      </c>
      <c r="W916">
        <f t="shared" ref="W916:W979" si="255">IF($E916=0,0,SUMIFS(M$20:M$1515,$A$20:$A$1515,$A916))</f>
        <v>0</v>
      </c>
      <c r="X916">
        <f t="shared" ref="X916:X979" si="256">IF($E916=0,0,SUMIFS(O$20:O$1515,$A$20:$A$1515,$A916))</f>
        <v>0</v>
      </c>
      <c r="Y916">
        <f t="shared" ref="Y916:Y979" si="257">IF($E916=0,0,SUMIFS(Q$20:Q$1515,$A$20:$A$1515,$A916))</f>
        <v>0</v>
      </c>
      <c r="Z916">
        <f t="shared" ref="Z916:Z979" si="258">IF($E916=0,0,SUMIFS(S$20:S$1515,$A$20:$A$1515,$A916))</f>
        <v>0</v>
      </c>
      <c r="AA916">
        <f t="shared" ref="AA916:AA979" si="259">IF($E916=0,0,SUMIFS(U$20:U$1515,$A$20:$A$1515,$A916))</f>
        <v>0</v>
      </c>
      <c r="AB916">
        <f>--AND($E916=1,OR('Staff Weekly Trend'!$B$3="All",$DH916='Staff Weekly Trend'!$B$3),OR('Staff Weekly Trend'!$B$4="All",$D916='Staff Weekly Trend'!$B$4),OR('Staff Weekly Trend'!$B$5="All",$A916='Staff Weekly Trend'!$B$5))</f>
        <v>0</v>
      </c>
      <c r="AC916" t="str">
        <f t="shared" ref="AC916:AC979" si="260">IF(OR($E916=0,AND($F916=0,$G916=0)),"",COUNTIFS($A$20:$A$1515,$A916,$E$20:$E$1515,1,$F$20:$F$1515,"&gt;"&amp;$F916)+1)</f>
        <v/>
      </c>
      <c r="AI916">
        <f t="shared" ref="AI916:AI979" si="261">IF($E916=0,0,SUMIFS(N$20:N$1515,$A$20:$A$1515,$A916))</f>
        <v>0</v>
      </c>
      <c r="AJ916">
        <f t="shared" ref="AJ916:AJ979" si="262">IF($E916=0,0,SUMIFS(P$20:P$1515,$A$20:$A$1515,$A916))</f>
        <v>0</v>
      </c>
      <c r="AK916">
        <f t="shared" ref="AK916:AK979" si="263">IF($E916=0,0,SUMIFS(R$20:R$1515,$A$20:$A$1515,$A916))</f>
        <v>0</v>
      </c>
      <c r="AL916">
        <f t="shared" ref="AL916:AL979" si="264">IF($E916=0,0,SUMIFS(T$20:T$1515,$A$20:$A$1515,$A916))</f>
        <v>0</v>
      </c>
      <c r="AM916">
        <f t="shared" ref="AM916:AM979" si="265">IF($E916=0,0,SUMIFS(V$20:V$1515,$A$20:$A$1515,$A916))</f>
        <v>0</v>
      </c>
      <c r="DH916" t="str" cm="1">
        <f t="array" ref="DH916">IF($A916="","",_xlfn.LET(_xlpm.c,IFERROR(_xlfn.XLOOKUP($A916,TRIM('Sales and count'!$A$4:$A$300&amp;""),TRIM('Sales and count'!$B$4:$B$300&amp;"")),""),IF(OR(_xlpm.c="",_xlpm.c="0",LEFT(_xlpm.c,1)="#"),"Not set",_xlpm.c)))</f>
        <v/>
      </c>
    </row>
    <row r="917" spans="1:112" x14ac:dyDescent="0.25">
      <c r="A917" t="str">
        <f>IF('Staff Daily sales'!$B902="","",TRIM('Staff Daily sales'!$B902&amp;""))</f>
        <v/>
      </c>
      <c r="B917" t="str">
        <f>IF('Staff Daily sales'!$D902="","",TRIM('Staff Daily sales'!$D902&amp;""))</f>
        <v/>
      </c>
      <c r="C917" t="str">
        <f>IFERROR(TRIM('Staff Daily sales'!$E902&amp;""),"")</f>
        <v/>
      </c>
      <c r="D917" t="str">
        <f>IFERROR(IF(TRIM('Staff Daily sales'!$F902&amp;"")="","Unassigned",TRIM('Staff Daily sales'!$F902&amp;"")),"Unassigned")</f>
        <v>Unassigned</v>
      </c>
      <c r="E917">
        <f t="shared" si="250"/>
        <v>0</v>
      </c>
      <c r="F917">
        <f>IF($E917=0,0,SUMPRODUCT($AI$5:$DF$5,'Staff Daily sales'!$G902:$CD902))</f>
        <v>0</v>
      </c>
      <c r="G917">
        <f>IF($E917=0,0,SUMPRODUCT($AI$6:$DF$6,'Staff Daily sales'!$G902:$CD902))</f>
        <v>0</v>
      </c>
      <c r="H917">
        <f t="shared" si="251"/>
        <v>0</v>
      </c>
      <c r="I917">
        <f t="shared" si="252"/>
        <v>0</v>
      </c>
      <c r="J917">
        <f t="shared" si="253"/>
        <v>0</v>
      </c>
      <c r="K917">
        <f t="shared" si="254"/>
        <v>0</v>
      </c>
      <c r="L917">
        <f>--AND($E917=1,OR('Staff Dashboard'!$B$6="All",$DH917='Staff Dashboard'!$B$6),OR('Staff Dashboard'!$B$7="All",$D917='Staff Dashboard'!$B$7),OR('Staff Dashboard'!$B$8="All",$A917='Staff Dashboard'!$B$8))</f>
        <v>0</v>
      </c>
      <c r="M917">
        <f>IF($E917=0,0,SUMPRODUCT($AI$7:$DF$7,'Staff Daily sales'!$G902:$CD902))</f>
        <v>0</v>
      </c>
      <c r="N917">
        <f>IF($E917=0,0,SUMPRODUCT($AI$8:$DF$8,'Staff Daily sales'!$G902:$CD902))</f>
        <v>0</v>
      </c>
      <c r="O917">
        <f>IF($E917=0,0,SUMPRODUCT($AI$9:$DF$9,'Staff Daily sales'!$G902:$CD902))</f>
        <v>0</v>
      </c>
      <c r="P917">
        <f>IF($E917=0,0,SUMPRODUCT($AI$10:$DF$10,'Staff Daily sales'!$G902:$CD902))</f>
        <v>0</v>
      </c>
      <c r="Q917">
        <f>IF($E917=0,0,SUMPRODUCT($AI$11:$DF$11,'Staff Daily sales'!$G902:$CD902))</f>
        <v>0</v>
      </c>
      <c r="R917">
        <f>IF($E917=0,0,SUMPRODUCT($AI$12:$DF$12,'Staff Daily sales'!$G902:$CD902))</f>
        <v>0</v>
      </c>
      <c r="S917">
        <f>IF($E917=0,0,SUMPRODUCT($AI$13:$DF$13,'Staff Daily sales'!$G902:$CD902))</f>
        <v>0</v>
      </c>
      <c r="T917">
        <f>IF($E917=0,0,SUMPRODUCT($AI$14:$DF$14,'Staff Daily sales'!$G902:$CD902))</f>
        <v>0</v>
      </c>
      <c r="U917">
        <f>IF($E917=0,0,SUMPRODUCT($AI$15:$DF$15,'Staff Daily sales'!$G902:$CD902))</f>
        <v>0</v>
      </c>
      <c r="V917">
        <f>IF($E917=0,0,SUMPRODUCT($AI$16:$DF$16,'Staff Daily sales'!$G902:$CD902))</f>
        <v>0</v>
      </c>
      <c r="W917">
        <f t="shared" si="255"/>
        <v>0</v>
      </c>
      <c r="X917">
        <f t="shared" si="256"/>
        <v>0</v>
      </c>
      <c r="Y917">
        <f t="shared" si="257"/>
        <v>0</v>
      </c>
      <c r="Z917">
        <f t="shared" si="258"/>
        <v>0</v>
      </c>
      <c r="AA917">
        <f t="shared" si="259"/>
        <v>0</v>
      </c>
      <c r="AB917">
        <f>--AND($E917=1,OR('Staff Weekly Trend'!$B$3="All",$DH917='Staff Weekly Trend'!$B$3),OR('Staff Weekly Trend'!$B$4="All",$D917='Staff Weekly Trend'!$B$4),OR('Staff Weekly Trend'!$B$5="All",$A917='Staff Weekly Trend'!$B$5))</f>
        <v>0</v>
      </c>
      <c r="AC917" t="str">
        <f t="shared" si="260"/>
        <v/>
      </c>
      <c r="AI917">
        <f t="shared" si="261"/>
        <v>0</v>
      </c>
      <c r="AJ917">
        <f t="shared" si="262"/>
        <v>0</v>
      </c>
      <c r="AK917">
        <f t="shared" si="263"/>
        <v>0</v>
      </c>
      <c r="AL917">
        <f t="shared" si="264"/>
        <v>0</v>
      </c>
      <c r="AM917">
        <f t="shared" si="265"/>
        <v>0</v>
      </c>
      <c r="DH917" t="str" cm="1">
        <f t="array" ref="DH917">IF($A917="","",_xlfn.LET(_xlpm.c,IFERROR(_xlfn.XLOOKUP($A917,TRIM('Sales and count'!$A$4:$A$300&amp;""),TRIM('Sales and count'!$B$4:$B$300&amp;"")),""),IF(OR(_xlpm.c="",_xlpm.c="0",LEFT(_xlpm.c,1)="#"),"Not set",_xlpm.c)))</f>
        <v/>
      </c>
    </row>
    <row r="918" spans="1:112" x14ac:dyDescent="0.25">
      <c r="A918" t="str">
        <f>IF('Staff Daily sales'!$B903="","",TRIM('Staff Daily sales'!$B903&amp;""))</f>
        <v/>
      </c>
      <c r="B918" t="str">
        <f>IF('Staff Daily sales'!$D903="","",TRIM('Staff Daily sales'!$D903&amp;""))</f>
        <v/>
      </c>
      <c r="C918" t="str">
        <f>IFERROR(TRIM('Staff Daily sales'!$E903&amp;""),"")</f>
        <v/>
      </c>
      <c r="D918" t="str">
        <f>IFERROR(IF(TRIM('Staff Daily sales'!$F903&amp;"")="","Unassigned",TRIM('Staff Daily sales'!$F903&amp;"")),"Unassigned")</f>
        <v>Unassigned</v>
      </c>
      <c r="E918">
        <f t="shared" si="250"/>
        <v>0</v>
      </c>
      <c r="F918">
        <f>IF($E918=0,0,SUMPRODUCT($AI$5:$DF$5,'Staff Daily sales'!$G903:$CD903))</f>
        <v>0</v>
      </c>
      <c r="G918">
        <f>IF($E918=0,0,SUMPRODUCT($AI$6:$DF$6,'Staff Daily sales'!$G903:$CD903))</f>
        <v>0</v>
      </c>
      <c r="H918">
        <f t="shared" si="251"/>
        <v>0</v>
      </c>
      <c r="I918">
        <f t="shared" si="252"/>
        <v>0</v>
      </c>
      <c r="J918">
        <f t="shared" si="253"/>
        <v>0</v>
      </c>
      <c r="K918">
        <f t="shared" si="254"/>
        <v>0</v>
      </c>
      <c r="L918">
        <f>--AND($E918=1,OR('Staff Dashboard'!$B$6="All",$DH918='Staff Dashboard'!$B$6),OR('Staff Dashboard'!$B$7="All",$D918='Staff Dashboard'!$B$7),OR('Staff Dashboard'!$B$8="All",$A918='Staff Dashboard'!$B$8))</f>
        <v>0</v>
      </c>
      <c r="M918">
        <f>IF($E918=0,0,SUMPRODUCT($AI$7:$DF$7,'Staff Daily sales'!$G903:$CD903))</f>
        <v>0</v>
      </c>
      <c r="N918">
        <f>IF($E918=0,0,SUMPRODUCT($AI$8:$DF$8,'Staff Daily sales'!$G903:$CD903))</f>
        <v>0</v>
      </c>
      <c r="O918">
        <f>IF($E918=0,0,SUMPRODUCT($AI$9:$DF$9,'Staff Daily sales'!$G903:$CD903))</f>
        <v>0</v>
      </c>
      <c r="P918">
        <f>IF($E918=0,0,SUMPRODUCT($AI$10:$DF$10,'Staff Daily sales'!$G903:$CD903))</f>
        <v>0</v>
      </c>
      <c r="Q918">
        <f>IF($E918=0,0,SUMPRODUCT($AI$11:$DF$11,'Staff Daily sales'!$G903:$CD903))</f>
        <v>0</v>
      </c>
      <c r="R918">
        <f>IF($E918=0,0,SUMPRODUCT($AI$12:$DF$12,'Staff Daily sales'!$G903:$CD903))</f>
        <v>0</v>
      </c>
      <c r="S918">
        <f>IF($E918=0,0,SUMPRODUCT($AI$13:$DF$13,'Staff Daily sales'!$G903:$CD903))</f>
        <v>0</v>
      </c>
      <c r="T918">
        <f>IF($E918=0,0,SUMPRODUCT($AI$14:$DF$14,'Staff Daily sales'!$G903:$CD903))</f>
        <v>0</v>
      </c>
      <c r="U918">
        <f>IF($E918=0,0,SUMPRODUCT($AI$15:$DF$15,'Staff Daily sales'!$G903:$CD903))</f>
        <v>0</v>
      </c>
      <c r="V918">
        <f>IF($E918=0,0,SUMPRODUCT($AI$16:$DF$16,'Staff Daily sales'!$G903:$CD903))</f>
        <v>0</v>
      </c>
      <c r="W918">
        <f t="shared" si="255"/>
        <v>0</v>
      </c>
      <c r="X918">
        <f t="shared" si="256"/>
        <v>0</v>
      </c>
      <c r="Y918">
        <f t="shared" si="257"/>
        <v>0</v>
      </c>
      <c r="Z918">
        <f t="shared" si="258"/>
        <v>0</v>
      </c>
      <c r="AA918">
        <f t="shared" si="259"/>
        <v>0</v>
      </c>
      <c r="AB918">
        <f>--AND($E918=1,OR('Staff Weekly Trend'!$B$3="All",$DH918='Staff Weekly Trend'!$B$3),OR('Staff Weekly Trend'!$B$4="All",$D918='Staff Weekly Trend'!$B$4),OR('Staff Weekly Trend'!$B$5="All",$A918='Staff Weekly Trend'!$B$5))</f>
        <v>0</v>
      </c>
      <c r="AC918" t="str">
        <f t="shared" si="260"/>
        <v/>
      </c>
      <c r="AI918">
        <f t="shared" si="261"/>
        <v>0</v>
      </c>
      <c r="AJ918">
        <f t="shared" si="262"/>
        <v>0</v>
      </c>
      <c r="AK918">
        <f t="shared" si="263"/>
        <v>0</v>
      </c>
      <c r="AL918">
        <f t="shared" si="264"/>
        <v>0</v>
      </c>
      <c r="AM918">
        <f t="shared" si="265"/>
        <v>0</v>
      </c>
      <c r="DH918" t="str" cm="1">
        <f t="array" ref="DH918">IF($A918="","",_xlfn.LET(_xlpm.c,IFERROR(_xlfn.XLOOKUP($A918,TRIM('Sales and count'!$A$4:$A$300&amp;""),TRIM('Sales and count'!$B$4:$B$300&amp;"")),""),IF(OR(_xlpm.c="",_xlpm.c="0",LEFT(_xlpm.c,1)="#"),"Not set",_xlpm.c)))</f>
        <v/>
      </c>
    </row>
    <row r="919" spans="1:112" x14ac:dyDescent="0.25">
      <c r="A919" t="str">
        <f>IF('Staff Daily sales'!$B904="","",TRIM('Staff Daily sales'!$B904&amp;""))</f>
        <v/>
      </c>
      <c r="B919" t="str">
        <f>IF('Staff Daily sales'!$D904="","",TRIM('Staff Daily sales'!$D904&amp;""))</f>
        <v/>
      </c>
      <c r="C919" t="str">
        <f>IFERROR(TRIM('Staff Daily sales'!$E904&amp;""),"")</f>
        <v/>
      </c>
      <c r="D919" t="str">
        <f>IFERROR(IF(TRIM('Staff Daily sales'!$F904&amp;"")="","Unassigned",TRIM('Staff Daily sales'!$F904&amp;"")),"Unassigned")</f>
        <v>Unassigned</v>
      </c>
      <c r="E919">
        <f t="shared" si="250"/>
        <v>0</v>
      </c>
      <c r="F919">
        <f>IF($E919=0,0,SUMPRODUCT($AI$5:$DF$5,'Staff Daily sales'!$G904:$CD904))</f>
        <v>0</v>
      </c>
      <c r="G919">
        <f>IF($E919=0,0,SUMPRODUCT($AI$6:$DF$6,'Staff Daily sales'!$G904:$CD904))</f>
        <v>0</v>
      </c>
      <c r="H919">
        <f t="shared" si="251"/>
        <v>0</v>
      </c>
      <c r="I919">
        <f t="shared" si="252"/>
        <v>0</v>
      </c>
      <c r="J919">
        <f t="shared" si="253"/>
        <v>0</v>
      </c>
      <c r="K919">
        <f t="shared" si="254"/>
        <v>0</v>
      </c>
      <c r="L919">
        <f>--AND($E919=1,OR('Staff Dashboard'!$B$6="All",$DH919='Staff Dashboard'!$B$6),OR('Staff Dashboard'!$B$7="All",$D919='Staff Dashboard'!$B$7),OR('Staff Dashboard'!$B$8="All",$A919='Staff Dashboard'!$B$8))</f>
        <v>0</v>
      </c>
      <c r="M919">
        <f>IF($E919=0,0,SUMPRODUCT($AI$7:$DF$7,'Staff Daily sales'!$G904:$CD904))</f>
        <v>0</v>
      </c>
      <c r="N919">
        <f>IF($E919=0,0,SUMPRODUCT($AI$8:$DF$8,'Staff Daily sales'!$G904:$CD904))</f>
        <v>0</v>
      </c>
      <c r="O919">
        <f>IF($E919=0,0,SUMPRODUCT($AI$9:$DF$9,'Staff Daily sales'!$G904:$CD904))</f>
        <v>0</v>
      </c>
      <c r="P919">
        <f>IF($E919=0,0,SUMPRODUCT($AI$10:$DF$10,'Staff Daily sales'!$G904:$CD904))</f>
        <v>0</v>
      </c>
      <c r="Q919">
        <f>IF($E919=0,0,SUMPRODUCT($AI$11:$DF$11,'Staff Daily sales'!$G904:$CD904))</f>
        <v>0</v>
      </c>
      <c r="R919">
        <f>IF($E919=0,0,SUMPRODUCT($AI$12:$DF$12,'Staff Daily sales'!$G904:$CD904))</f>
        <v>0</v>
      </c>
      <c r="S919">
        <f>IF($E919=0,0,SUMPRODUCT($AI$13:$DF$13,'Staff Daily sales'!$G904:$CD904))</f>
        <v>0</v>
      </c>
      <c r="T919">
        <f>IF($E919=0,0,SUMPRODUCT($AI$14:$DF$14,'Staff Daily sales'!$G904:$CD904))</f>
        <v>0</v>
      </c>
      <c r="U919">
        <f>IF($E919=0,0,SUMPRODUCT($AI$15:$DF$15,'Staff Daily sales'!$G904:$CD904))</f>
        <v>0</v>
      </c>
      <c r="V919">
        <f>IF($E919=0,0,SUMPRODUCT($AI$16:$DF$16,'Staff Daily sales'!$G904:$CD904))</f>
        <v>0</v>
      </c>
      <c r="W919">
        <f t="shared" si="255"/>
        <v>0</v>
      </c>
      <c r="X919">
        <f t="shared" si="256"/>
        <v>0</v>
      </c>
      <c r="Y919">
        <f t="shared" si="257"/>
        <v>0</v>
      </c>
      <c r="Z919">
        <f t="shared" si="258"/>
        <v>0</v>
      </c>
      <c r="AA919">
        <f t="shared" si="259"/>
        <v>0</v>
      </c>
      <c r="AB919">
        <f>--AND($E919=1,OR('Staff Weekly Trend'!$B$3="All",$DH919='Staff Weekly Trend'!$B$3),OR('Staff Weekly Trend'!$B$4="All",$D919='Staff Weekly Trend'!$B$4),OR('Staff Weekly Trend'!$B$5="All",$A919='Staff Weekly Trend'!$B$5))</f>
        <v>0</v>
      </c>
      <c r="AC919" t="str">
        <f t="shared" si="260"/>
        <v/>
      </c>
      <c r="AI919">
        <f t="shared" si="261"/>
        <v>0</v>
      </c>
      <c r="AJ919">
        <f t="shared" si="262"/>
        <v>0</v>
      </c>
      <c r="AK919">
        <f t="shared" si="263"/>
        <v>0</v>
      </c>
      <c r="AL919">
        <f t="shared" si="264"/>
        <v>0</v>
      </c>
      <c r="AM919">
        <f t="shared" si="265"/>
        <v>0</v>
      </c>
      <c r="DH919" t="str" cm="1">
        <f t="array" ref="DH919">IF($A919="","",_xlfn.LET(_xlpm.c,IFERROR(_xlfn.XLOOKUP($A919,TRIM('Sales and count'!$A$4:$A$300&amp;""),TRIM('Sales and count'!$B$4:$B$300&amp;"")),""),IF(OR(_xlpm.c="",_xlpm.c="0",LEFT(_xlpm.c,1)="#"),"Not set",_xlpm.c)))</f>
        <v/>
      </c>
    </row>
    <row r="920" spans="1:112" x14ac:dyDescent="0.25">
      <c r="A920" t="str">
        <f>IF('Staff Daily sales'!$B905="","",TRIM('Staff Daily sales'!$B905&amp;""))</f>
        <v/>
      </c>
      <c r="B920" t="str">
        <f>IF('Staff Daily sales'!$D905="","",TRIM('Staff Daily sales'!$D905&amp;""))</f>
        <v/>
      </c>
      <c r="C920" t="str">
        <f>IFERROR(TRIM('Staff Daily sales'!$E905&amp;""),"")</f>
        <v/>
      </c>
      <c r="D920" t="str">
        <f>IFERROR(IF(TRIM('Staff Daily sales'!$F905&amp;"")="","Unassigned",TRIM('Staff Daily sales'!$F905&amp;"")),"Unassigned")</f>
        <v>Unassigned</v>
      </c>
      <c r="E920">
        <f t="shared" si="250"/>
        <v>0</v>
      </c>
      <c r="F920">
        <f>IF($E920=0,0,SUMPRODUCT($AI$5:$DF$5,'Staff Daily sales'!$G905:$CD905))</f>
        <v>0</v>
      </c>
      <c r="G920">
        <f>IF($E920=0,0,SUMPRODUCT($AI$6:$DF$6,'Staff Daily sales'!$G905:$CD905))</f>
        <v>0</v>
      </c>
      <c r="H920">
        <f t="shared" si="251"/>
        <v>0</v>
      </c>
      <c r="I920">
        <f t="shared" si="252"/>
        <v>0</v>
      </c>
      <c r="J920">
        <f t="shared" si="253"/>
        <v>0</v>
      </c>
      <c r="K920">
        <f t="shared" si="254"/>
        <v>0</v>
      </c>
      <c r="L920">
        <f>--AND($E920=1,OR('Staff Dashboard'!$B$6="All",$DH920='Staff Dashboard'!$B$6),OR('Staff Dashboard'!$B$7="All",$D920='Staff Dashboard'!$B$7),OR('Staff Dashboard'!$B$8="All",$A920='Staff Dashboard'!$B$8))</f>
        <v>0</v>
      </c>
      <c r="M920">
        <f>IF($E920=0,0,SUMPRODUCT($AI$7:$DF$7,'Staff Daily sales'!$G905:$CD905))</f>
        <v>0</v>
      </c>
      <c r="N920">
        <f>IF($E920=0,0,SUMPRODUCT($AI$8:$DF$8,'Staff Daily sales'!$G905:$CD905))</f>
        <v>0</v>
      </c>
      <c r="O920">
        <f>IF($E920=0,0,SUMPRODUCT($AI$9:$DF$9,'Staff Daily sales'!$G905:$CD905))</f>
        <v>0</v>
      </c>
      <c r="P920">
        <f>IF($E920=0,0,SUMPRODUCT($AI$10:$DF$10,'Staff Daily sales'!$G905:$CD905))</f>
        <v>0</v>
      </c>
      <c r="Q920">
        <f>IF($E920=0,0,SUMPRODUCT($AI$11:$DF$11,'Staff Daily sales'!$G905:$CD905))</f>
        <v>0</v>
      </c>
      <c r="R920">
        <f>IF($E920=0,0,SUMPRODUCT($AI$12:$DF$12,'Staff Daily sales'!$G905:$CD905))</f>
        <v>0</v>
      </c>
      <c r="S920">
        <f>IF($E920=0,0,SUMPRODUCT($AI$13:$DF$13,'Staff Daily sales'!$G905:$CD905))</f>
        <v>0</v>
      </c>
      <c r="T920">
        <f>IF($E920=0,0,SUMPRODUCT($AI$14:$DF$14,'Staff Daily sales'!$G905:$CD905))</f>
        <v>0</v>
      </c>
      <c r="U920">
        <f>IF($E920=0,0,SUMPRODUCT($AI$15:$DF$15,'Staff Daily sales'!$G905:$CD905))</f>
        <v>0</v>
      </c>
      <c r="V920">
        <f>IF($E920=0,0,SUMPRODUCT($AI$16:$DF$16,'Staff Daily sales'!$G905:$CD905))</f>
        <v>0</v>
      </c>
      <c r="W920">
        <f t="shared" si="255"/>
        <v>0</v>
      </c>
      <c r="X920">
        <f t="shared" si="256"/>
        <v>0</v>
      </c>
      <c r="Y920">
        <f t="shared" si="257"/>
        <v>0</v>
      </c>
      <c r="Z920">
        <f t="shared" si="258"/>
        <v>0</v>
      </c>
      <c r="AA920">
        <f t="shared" si="259"/>
        <v>0</v>
      </c>
      <c r="AB920">
        <f>--AND($E920=1,OR('Staff Weekly Trend'!$B$3="All",$DH920='Staff Weekly Trend'!$B$3),OR('Staff Weekly Trend'!$B$4="All",$D920='Staff Weekly Trend'!$B$4),OR('Staff Weekly Trend'!$B$5="All",$A920='Staff Weekly Trend'!$B$5))</f>
        <v>0</v>
      </c>
      <c r="AC920" t="str">
        <f t="shared" si="260"/>
        <v/>
      </c>
      <c r="AI920">
        <f t="shared" si="261"/>
        <v>0</v>
      </c>
      <c r="AJ920">
        <f t="shared" si="262"/>
        <v>0</v>
      </c>
      <c r="AK920">
        <f t="shared" si="263"/>
        <v>0</v>
      </c>
      <c r="AL920">
        <f t="shared" si="264"/>
        <v>0</v>
      </c>
      <c r="AM920">
        <f t="shared" si="265"/>
        <v>0</v>
      </c>
      <c r="DH920" t="str" cm="1">
        <f t="array" ref="DH920">IF($A920="","",_xlfn.LET(_xlpm.c,IFERROR(_xlfn.XLOOKUP($A920,TRIM('Sales and count'!$A$4:$A$300&amp;""),TRIM('Sales and count'!$B$4:$B$300&amp;"")),""),IF(OR(_xlpm.c="",_xlpm.c="0",LEFT(_xlpm.c,1)="#"),"Not set",_xlpm.c)))</f>
        <v/>
      </c>
    </row>
    <row r="921" spans="1:112" x14ac:dyDescent="0.25">
      <c r="A921" t="str">
        <f>IF('Staff Daily sales'!$B906="","",TRIM('Staff Daily sales'!$B906&amp;""))</f>
        <v/>
      </c>
      <c r="B921" t="str">
        <f>IF('Staff Daily sales'!$D906="","",TRIM('Staff Daily sales'!$D906&amp;""))</f>
        <v/>
      </c>
      <c r="C921" t="str">
        <f>IFERROR(TRIM('Staff Daily sales'!$E906&amp;""),"")</f>
        <v/>
      </c>
      <c r="D921" t="str">
        <f>IFERROR(IF(TRIM('Staff Daily sales'!$F906&amp;"")="","Unassigned",TRIM('Staff Daily sales'!$F906&amp;"")),"Unassigned")</f>
        <v>Unassigned</v>
      </c>
      <c r="E921">
        <f t="shared" si="250"/>
        <v>0</v>
      </c>
      <c r="F921">
        <f>IF($E921=0,0,SUMPRODUCT($AI$5:$DF$5,'Staff Daily sales'!$G906:$CD906))</f>
        <v>0</v>
      </c>
      <c r="G921">
        <f>IF($E921=0,0,SUMPRODUCT($AI$6:$DF$6,'Staff Daily sales'!$G906:$CD906))</f>
        <v>0</v>
      </c>
      <c r="H921">
        <f t="shared" si="251"/>
        <v>0</v>
      </c>
      <c r="I921">
        <f t="shared" si="252"/>
        <v>0</v>
      </c>
      <c r="J921">
        <f t="shared" si="253"/>
        <v>0</v>
      </c>
      <c r="K921">
        <f t="shared" si="254"/>
        <v>0</v>
      </c>
      <c r="L921">
        <f>--AND($E921=1,OR('Staff Dashboard'!$B$6="All",$DH921='Staff Dashboard'!$B$6),OR('Staff Dashboard'!$B$7="All",$D921='Staff Dashboard'!$B$7),OR('Staff Dashboard'!$B$8="All",$A921='Staff Dashboard'!$B$8))</f>
        <v>0</v>
      </c>
      <c r="M921">
        <f>IF($E921=0,0,SUMPRODUCT($AI$7:$DF$7,'Staff Daily sales'!$G906:$CD906))</f>
        <v>0</v>
      </c>
      <c r="N921">
        <f>IF($E921=0,0,SUMPRODUCT($AI$8:$DF$8,'Staff Daily sales'!$G906:$CD906))</f>
        <v>0</v>
      </c>
      <c r="O921">
        <f>IF($E921=0,0,SUMPRODUCT($AI$9:$DF$9,'Staff Daily sales'!$G906:$CD906))</f>
        <v>0</v>
      </c>
      <c r="P921">
        <f>IF($E921=0,0,SUMPRODUCT($AI$10:$DF$10,'Staff Daily sales'!$G906:$CD906))</f>
        <v>0</v>
      </c>
      <c r="Q921">
        <f>IF($E921=0,0,SUMPRODUCT($AI$11:$DF$11,'Staff Daily sales'!$G906:$CD906))</f>
        <v>0</v>
      </c>
      <c r="R921">
        <f>IF($E921=0,0,SUMPRODUCT($AI$12:$DF$12,'Staff Daily sales'!$G906:$CD906))</f>
        <v>0</v>
      </c>
      <c r="S921">
        <f>IF($E921=0,0,SUMPRODUCT($AI$13:$DF$13,'Staff Daily sales'!$G906:$CD906))</f>
        <v>0</v>
      </c>
      <c r="T921">
        <f>IF($E921=0,0,SUMPRODUCT($AI$14:$DF$14,'Staff Daily sales'!$G906:$CD906))</f>
        <v>0</v>
      </c>
      <c r="U921">
        <f>IF($E921=0,0,SUMPRODUCT($AI$15:$DF$15,'Staff Daily sales'!$G906:$CD906))</f>
        <v>0</v>
      </c>
      <c r="V921">
        <f>IF($E921=0,0,SUMPRODUCT($AI$16:$DF$16,'Staff Daily sales'!$G906:$CD906))</f>
        <v>0</v>
      </c>
      <c r="W921">
        <f t="shared" si="255"/>
        <v>0</v>
      </c>
      <c r="X921">
        <f t="shared" si="256"/>
        <v>0</v>
      </c>
      <c r="Y921">
        <f t="shared" si="257"/>
        <v>0</v>
      </c>
      <c r="Z921">
        <f t="shared" si="258"/>
        <v>0</v>
      </c>
      <c r="AA921">
        <f t="shared" si="259"/>
        <v>0</v>
      </c>
      <c r="AB921">
        <f>--AND($E921=1,OR('Staff Weekly Trend'!$B$3="All",$DH921='Staff Weekly Trend'!$B$3),OR('Staff Weekly Trend'!$B$4="All",$D921='Staff Weekly Trend'!$B$4),OR('Staff Weekly Trend'!$B$5="All",$A921='Staff Weekly Trend'!$B$5))</f>
        <v>0</v>
      </c>
      <c r="AC921" t="str">
        <f t="shared" si="260"/>
        <v/>
      </c>
      <c r="AI921">
        <f t="shared" si="261"/>
        <v>0</v>
      </c>
      <c r="AJ921">
        <f t="shared" si="262"/>
        <v>0</v>
      </c>
      <c r="AK921">
        <f t="shared" si="263"/>
        <v>0</v>
      </c>
      <c r="AL921">
        <f t="shared" si="264"/>
        <v>0</v>
      </c>
      <c r="AM921">
        <f t="shared" si="265"/>
        <v>0</v>
      </c>
      <c r="DH921" t="str" cm="1">
        <f t="array" ref="DH921">IF($A921="","",_xlfn.LET(_xlpm.c,IFERROR(_xlfn.XLOOKUP($A921,TRIM('Sales and count'!$A$4:$A$300&amp;""),TRIM('Sales and count'!$B$4:$B$300&amp;"")),""),IF(OR(_xlpm.c="",_xlpm.c="0",LEFT(_xlpm.c,1)="#"),"Not set",_xlpm.c)))</f>
        <v/>
      </c>
    </row>
    <row r="922" spans="1:112" x14ac:dyDescent="0.25">
      <c r="A922" t="str">
        <f>IF('Staff Daily sales'!$B907="","",TRIM('Staff Daily sales'!$B907&amp;""))</f>
        <v/>
      </c>
      <c r="B922" t="str">
        <f>IF('Staff Daily sales'!$D907="","",TRIM('Staff Daily sales'!$D907&amp;""))</f>
        <v/>
      </c>
      <c r="C922" t="str">
        <f>IFERROR(TRIM('Staff Daily sales'!$E907&amp;""),"")</f>
        <v/>
      </c>
      <c r="D922" t="str">
        <f>IFERROR(IF(TRIM('Staff Daily sales'!$F907&amp;"")="","Unassigned",TRIM('Staff Daily sales'!$F907&amp;"")),"Unassigned")</f>
        <v>Unassigned</v>
      </c>
      <c r="E922">
        <f t="shared" si="250"/>
        <v>0</v>
      </c>
      <c r="F922">
        <f>IF($E922=0,0,SUMPRODUCT($AI$5:$DF$5,'Staff Daily sales'!$G907:$CD907))</f>
        <v>0</v>
      </c>
      <c r="G922">
        <f>IF($E922=0,0,SUMPRODUCT($AI$6:$DF$6,'Staff Daily sales'!$G907:$CD907))</f>
        <v>0</v>
      </c>
      <c r="H922">
        <f t="shared" si="251"/>
        <v>0</v>
      </c>
      <c r="I922">
        <f t="shared" si="252"/>
        <v>0</v>
      </c>
      <c r="J922">
        <f t="shared" si="253"/>
        <v>0</v>
      </c>
      <c r="K922">
        <f t="shared" si="254"/>
        <v>0</v>
      </c>
      <c r="L922">
        <f>--AND($E922=1,OR('Staff Dashboard'!$B$6="All",$DH922='Staff Dashboard'!$B$6),OR('Staff Dashboard'!$B$7="All",$D922='Staff Dashboard'!$B$7),OR('Staff Dashboard'!$B$8="All",$A922='Staff Dashboard'!$B$8))</f>
        <v>0</v>
      </c>
      <c r="M922">
        <f>IF($E922=0,0,SUMPRODUCT($AI$7:$DF$7,'Staff Daily sales'!$G907:$CD907))</f>
        <v>0</v>
      </c>
      <c r="N922">
        <f>IF($E922=0,0,SUMPRODUCT($AI$8:$DF$8,'Staff Daily sales'!$G907:$CD907))</f>
        <v>0</v>
      </c>
      <c r="O922">
        <f>IF($E922=0,0,SUMPRODUCT($AI$9:$DF$9,'Staff Daily sales'!$G907:$CD907))</f>
        <v>0</v>
      </c>
      <c r="P922">
        <f>IF($E922=0,0,SUMPRODUCT($AI$10:$DF$10,'Staff Daily sales'!$G907:$CD907))</f>
        <v>0</v>
      </c>
      <c r="Q922">
        <f>IF($E922=0,0,SUMPRODUCT($AI$11:$DF$11,'Staff Daily sales'!$G907:$CD907))</f>
        <v>0</v>
      </c>
      <c r="R922">
        <f>IF($E922=0,0,SUMPRODUCT($AI$12:$DF$12,'Staff Daily sales'!$G907:$CD907))</f>
        <v>0</v>
      </c>
      <c r="S922">
        <f>IF($E922=0,0,SUMPRODUCT($AI$13:$DF$13,'Staff Daily sales'!$G907:$CD907))</f>
        <v>0</v>
      </c>
      <c r="T922">
        <f>IF($E922=0,0,SUMPRODUCT($AI$14:$DF$14,'Staff Daily sales'!$G907:$CD907))</f>
        <v>0</v>
      </c>
      <c r="U922">
        <f>IF($E922=0,0,SUMPRODUCT($AI$15:$DF$15,'Staff Daily sales'!$G907:$CD907))</f>
        <v>0</v>
      </c>
      <c r="V922">
        <f>IF($E922=0,0,SUMPRODUCT($AI$16:$DF$16,'Staff Daily sales'!$G907:$CD907))</f>
        <v>0</v>
      </c>
      <c r="W922">
        <f t="shared" si="255"/>
        <v>0</v>
      </c>
      <c r="X922">
        <f t="shared" si="256"/>
        <v>0</v>
      </c>
      <c r="Y922">
        <f t="shared" si="257"/>
        <v>0</v>
      </c>
      <c r="Z922">
        <f t="shared" si="258"/>
        <v>0</v>
      </c>
      <c r="AA922">
        <f t="shared" si="259"/>
        <v>0</v>
      </c>
      <c r="AB922">
        <f>--AND($E922=1,OR('Staff Weekly Trend'!$B$3="All",$DH922='Staff Weekly Trend'!$B$3),OR('Staff Weekly Trend'!$B$4="All",$D922='Staff Weekly Trend'!$B$4),OR('Staff Weekly Trend'!$B$5="All",$A922='Staff Weekly Trend'!$B$5))</f>
        <v>0</v>
      </c>
      <c r="AC922" t="str">
        <f t="shared" si="260"/>
        <v/>
      </c>
      <c r="AI922">
        <f t="shared" si="261"/>
        <v>0</v>
      </c>
      <c r="AJ922">
        <f t="shared" si="262"/>
        <v>0</v>
      </c>
      <c r="AK922">
        <f t="shared" si="263"/>
        <v>0</v>
      </c>
      <c r="AL922">
        <f t="shared" si="264"/>
        <v>0</v>
      </c>
      <c r="AM922">
        <f t="shared" si="265"/>
        <v>0</v>
      </c>
      <c r="DH922" t="str" cm="1">
        <f t="array" ref="DH922">IF($A922="","",_xlfn.LET(_xlpm.c,IFERROR(_xlfn.XLOOKUP($A922,TRIM('Sales and count'!$A$4:$A$300&amp;""),TRIM('Sales and count'!$B$4:$B$300&amp;"")),""),IF(OR(_xlpm.c="",_xlpm.c="0",LEFT(_xlpm.c,1)="#"),"Not set",_xlpm.c)))</f>
        <v/>
      </c>
    </row>
    <row r="923" spans="1:112" x14ac:dyDescent="0.25">
      <c r="A923" t="str">
        <f>IF('Staff Daily sales'!$B908="","",TRIM('Staff Daily sales'!$B908&amp;""))</f>
        <v/>
      </c>
      <c r="B923" t="str">
        <f>IF('Staff Daily sales'!$D908="","",TRIM('Staff Daily sales'!$D908&amp;""))</f>
        <v/>
      </c>
      <c r="C923" t="str">
        <f>IFERROR(TRIM('Staff Daily sales'!$E908&amp;""),"")</f>
        <v/>
      </c>
      <c r="D923" t="str">
        <f>IFERROR(IF(TRIM('Staff Daily sales'!$F908&amp;"")="","Unassigned",TRIM('Staff Daily sales'!$F908&amp;"")),"Unassigned")</f>
        <v>Unassigned</v>
      </c>
      <c r="E923">
        <f t="shared" si="250"/>
        <v>0</v>
      </c>
      <c r="F923">
        <f>IF($E923=0,0,SUMPRODUCT($AI$5:$DF$5,'Staff Daily sales'!$G908:$CD908))</f>
        <v>0</v>
      </c>
      <c r="G923">
        <f>IF($E923=0,0,SUMPRODUCT($AI$6:$DF$6,'Staff Daily sales'!$G908:$CD908))</f>
        <v>0</v>
      </c>
      <c r="H923">
        <f t="shared" si="251"/>
        <v>0</v>
      </c>
      <c r="I923">
        <f t="shared" si="252"/>
        <v>0</v>
      </c>
      <c r="J923">
        <f t="shared" si="253"/>
        <v>0</v>
      </c>
      <c r="K923">
        <f t="shared" si="254"/>
        <v>0</v>
      </c>
      <c r="L923">
        <f>--AND($E923=1,OR('Staff Dashboard'!$B$6="All",$DH923='Staff Dashboard'!$B$6),OR('Staff Dashboard'!$B$7="All",$D923='Staff Dashboard'!$B$7),OR('Staff Dashboard'!$B$8="All",$A923='Staff Dashboard'!$B$8))</f>
        <v>0</v>
      </c>
      <c r="M923">
        <f>IF($E923=0,0,SUMPRODUCT($AI$7:$DF$7,'Staff Daily sales'!$G908:$CD908))</f>
        <v>0</v>
      </c>
      <c r="N923">
        <f>IF($E923=0,0,SUMPRODUCT($AI$8:$DF$8,'Staff Daily sales'!$G908:$CD908))</f>
        <v>0</v>
      </c>
      <c r="O923">
        <f>IF($E923=0,0,SUMPRODUCT($AI$9:$DF$9,'Staff Daily sales'!$G908:$CD908))</f>
        <v>0</v>
      </c>
      <c r="P923">
        <f>IF($E923=0,0,SUMPRODUCT($AI$10:$DF$10,'Staff Daily sales'!$G908:$CD908))</f>
        <v>0</v>
      </c>
      <c r="Q923">
        <f>IF($E923=0,0,SUMPRODUCT($AI$11:$DF$11,'Staff Daily sales'!$G908:$CD908))</f>
        <v>0</v>
      </c>
      <c r="R923">
        <f>IF($E923=0,0,SUMPRODUCT($AI$12:$DF$12,'Staff Daily sales'!$G908:$CD908))</f>
        <v>0</v>
      </c>
      <c r="S923">
        <f>IF($E923=0,0,SUMPRODUCT($AI$13:$DF$13,'Staff Daily sales'!$G908:$CD908))</f>
        <v>0</v>
      </c>
      <c r="T923">
        <f>IF($E923=0,0,SUMPRODUCT($AI$14:$DF$14,'Staff Daily sales'!$G908:$CD908))</f>
        <v>0</v>
      </c>
      <c r="U923">
        <f>IF($E923=0,0,SUMPRODUCT($AI$15:$DF$15,'Staff Daily sales'!$G908:$CD908))</f>
        <v>0</v>
      </c>
      <c r="V923">
        <f>IF($E923=0,0,SUMPRODUCT($AI$16:$DF$16,'Staff Daily sales'!$G908:$CD908))</f>
        <v>0</v>
      </c>
      <c r="W923">
        <f t="shared" si="255"/>
        <v>0</v>
      </c>
      <c r="X923">
        <f t="shared" si="256"/>
        <v>0</v>
      </c>
      <c r="Y923">
        <f t="shared" si="257"/>
        <v>0</v>
      </c>
      <c r="Z923">
        <f t="shared" si="258"/>
        <v>0</v>
      </c>
      <c r="AA923">
        <f t="shared" si="259"/>
        <v>0</v>
      </c>
      <c r="AB923">
        <f>--AND($E923=1,OR('Staff Weekly Trend'!$B$3="All",$DH923='Staff Weekly Trend'!$B$3),OR('Staff Weekly Trend'!$B$4="All",$D923='Staff Weekly Trend'!$B$4),OR('Staff Weekly Trend'!$B$5="All",$A923='Staff Weekly Trend'!$B$5))</f>
        <v>0</v>
      </c>
      <c r="AC923" t="str">
        <f t="shared" si="260"/>
        <v/>
      </c>
      <c r="AI923">
        <f t="shared" si="261"/>
        <v>0</v>
      </c>
      <c r="AJ923">
        <f t="shared" si="262"/>
        <v>0</v>
      </c>
      <c r="AK923">
        <f t="shared" si="263"/>
        <v>0</v>
      </c>
      <c r="AL923">
        <f t="shared" si="264"/>
        <v>0</v>
      </c>
      <c r="AM923">
        <f t="shared" si="265"/>
        <v>0</v>
      </c>
      <c r="DH923" t="str" cm="1">
        <f t="array" ref="DH923">IF($A923="","",_xlfn.LET(_xlpm.c,IFERROR(_xlfn.XLOOKUP($A923,TRIM('Sales and count'!$A$4:$A$300&amp;""),TRIM('Sales and count'!$B$4:$B$300&amp;"")),""),IF(OR(_xlpm.c="",_xlpm.c="0",LEFT(_xlpm.c,1)="#"),"Not set",_xlpm.c)))</f>
        <v/>
      </c>
    </row>
    <row r="924" spans="1:112" x14ac:dyDescent="0.25">
      <c r="A924" t="str">
        <f>IF('Staff Daily sales'!$B909="","",TRIM('Staff Daily sales'!$B909&amp;""))</f>
        <v/>
      </c>
      <c r="B924" t="str">
        <f>IF('Staff Daily sales'!$D909="","",TRIM('Staff Daily sales'!$D909&amp;""))</f>
        <v/>
      </c>
      <c r="C924" t="str">
        <f>IFERROR(TRIM('Staff Daily sales'!$E909&amp;""),"")</f>
        <v/>
      </c>
      <c r="D924" t="str">
        <f>IFERROR(IF(TRIM('Staff Daily sales'!$F909&amp;"")="","Unassigned",TRIM('Staff Daily sales'!$F909&amp;"")),"Unassigned")</f>
        <v>Unassigned</v>
      </c>
      <c r="E924">
        <f t="shared" si="250"/>
        <v>0</v>
      </c>
      <c r="F924">
        <f>IF($E924=0,0,SUMPRODUCT($AI$5:$DF$5,'Staff Daily sales'!$G909:$CD909))</f>
        <v>0</v>
      </c>
      <c r="G924">
        <f>IF($E924=0,0,SUMPRODUCT($AI$6:$DF$6,'Staff Daily sales'!$G909:$CD909))</f>
        <v>0</v>
      </c>
      <c r="H924">
        <f t="shared" si="251"/>
        <v>0</v>
      </c>
      <c r="I924">
        <f t="shared" si="252"/>
        <v>0</v>
      </c>
      <c r="J924">
        <f t="shared" si="253"/>
        <v>0</v>
      </c>
      <c r="K924">
        <f t="shared" si="254"/>
        <v>0</v>
      </c>
      <c r="L924">
        <f>--AND($E924=1,OR('Staff Dashboard'!$B$6="All",$DH924='Staff Dashboard'!$B$6),OR('Staff Dashboard'!$B$7="All",$D924='Staff Dashboard'!$B$7),OR('Staff Dashboard'!$B$8="All",$A924='Staff Dashboard'!$B$8))</f>
        <v>0</v>
      </c>
      <c r="M924">
        <f>IF($E924=0,0,SUMPRODUCT($AI$7:$DF$7,'Staff Daily sales'!$G909:$CD909))</f>
        <v>0</v>
      </c>
      <c r="N924">
        <f>IF($E924=0,0,SUMPRODUCT($AI$8:$DF$8,'Staff Daily sales'!$G909:$CD909))</f>
        <v>0</v>
      </c>
      <c r="O924">
        <f>IF($E924=0,0,SUMPRODUCT($AI$9:$DF$9,'Staff Daily sales'!$G909:$CD909))</f>
        <v>0</v>
      </c>
      <c r="P924">
        <f>IF($E924=0,0,SUMPRODUCT($AI$10:$DF$10,'Staff Daily sales'!$G909:$CD909))</f>
        <v>0</v>
      </c>
      <c r="Q924">
        <f>IF($E924=0,0,SUMPRODUCT($AI$11:$DF$11,'Staff Daily sales'!$G909:$CD909))</f>
        <v>0</v>
      </c>
      <c r="R924">
        <f>IF($E924=0,0,SUMPRODUCT($AI$12:$DF$12,'Staff Daily sales'!$G909:$CD909))</f>
        <v>0</v>
      </c>
      <c r="S924">
        <f>IF($E924=0,0,SUMPRODUCT($AI$13:$DF$13,'Staff Daily sales'!$G909:$CD909))</f>
        <v>0</v>
      </c>
      <c r="T924">
        <f>IF($E924=0,0,SUMPRODUCT($AI$14:$DF$14,'Staff Daily sales'!$G909:$CD909))</f>
        <v>0</v>
      </c>
      <c r="U924">
        <f>IF($E924=0,0,SUMPRODUCT($AI$15:$DF$15,'Staff Daily sales'!$G909:$CD909))</f>
        <v>0</v>
      </c>
      <c r="V924">
        <f>IF($E924=0,0,SUMPRODUCT($AI$16:$DF$16,'Staff Daily sales'!$G909:$CD909))</f>
        <v>0</v>
      </c>
      <c r="W924">
        <f t="shared" si="255"/>
        <v>0</v>
      </c>
      <c r="X924">
        <f t="shared" si="256"/>
        <v>0</v>
      </c>
      <c r="Y924">
        <f t="shared" si="257"/>
        <v>0</v>
      </c>
      <c r="Z924">
        <f t="shared" si="258"/>
        <v>0</v>
      </c>
      <c r="AA924">
        <f t="shared" si="259"/>
        <v>0</v>
      </c>
      <c r="AB924">
        <f>--AND($E924=1,OR('Staff Weekly Trend'!$B$3="All",$DH924='Staff Weekly Trend'!$B$3),OR('Staff Weekly Trend'!$B$4="All",$D924='Staff Weekly Trend'!$B$4),OR('Staff Weekly Trend'!$B$5="All",$A924='Staff Weekly Trend'!$B$5))</f>
        <v>0</v>
      </c>
      <c r="AC924" t="str">
        <f t="shared" si="260"/>
        <v/>
      </c>
      <c r="AI924">
        <f t="shared" si="261"/>
        <v>0</v>
      </c>
      <c r="AJ924">
        <f t="shared" si="262"/>
        <v>0</v>
      </c>
      <c r="AK924">
        <f t="shared" si="263"/>
        <v>0</v>
      </c>
      <c r="AL924">
        <f t="shared" si="264"/>
        <v>0</v>
      </c>
      <c r="AM924">
        <f t="shared" si="265"/>
        <v>0</v>
      </c>
      <c r="DH924" t="str" cm="1">
        <f t="array" ref="DH924">IF($A924="","",_xlfn.LET(_xlpm.c,IFERROR(_xlfn.XLOOKUP($A924,TRIM('Sales and count'!$A$4:$A$300&amp;""),TRIM('Sales and count'!$B$4:$B$300&amp;"")),""),IF(OR(_xlpm.c="",_xlpm.c="0",LEFT(_xlpm.c,1)="#"),"Not set",_xlpm.c)))</f>
        <v/>
      </c>
    </row>
    <row r="925" spans="1:112" x14ac:dyDescent="0.25">
      <c r="A925" t="str">
        <f>IF('Staff Daily sales'!$B910="","",TRIM('Staff Daily sales'!$B910&amp;""))</f>
        <v/>
      </c>
      <c r="B925" t="str">
        <f>IF('Staff Daily sales'!$D910="","",TRIM('Staff Daily sales'!$D910&amp;""))</f>
        <v/>
      </c>
      <c r="C925" t="str">
        <f>IFERROR(TRIM('Staff Daily sales'!$E910&amp;""),"")</f>
        <v/>
      </c>
      <c r="D925" t="str">
        <f>IFERROR(IF(TRIM('Staff Daily sales'!$F910&amp;"")="","Unassigned",TRIM('Staff Daily sales'!$F910&amp;"")),"Unassigned")</f>
        <v>Unassigned</v>
      </c>
      <c r="E925">
        <f t="shared" si="250"/>
        <v>0</v>
      </c>
      <c r="F925">
        <f>IF($E925=0,0,SUMPRODUCT($AI$5:$DF$5,'Staff Daily sales'!$G910:$CD910))</f>
        <v>0</v>
      </c>
      <c r="G925">
        <f>IF($E925=0,0,SUMPRODUCT($AI$6:$DF$6,'Staff Daily sales'!$G910:$CD910))</f>
        <v>0</v>
      </c>
      <c r="H925">
        <f t="shared" si="251"/>
        <v>0</v>
      </c>
      <c r="I925">
        <f t="shared" si="252"/>
        <v>0</v>
      </c>
      <c r="J925">
        <f t="shared" si="253"/>
        <v>0</v>
      </c>
      <c r="K925">
        <f t="shared" si="254"/>
        <v>0</v>
      </c>
      <c r="L925">
        <f>--AND($E925=1,OR('Staff Dashboard'!$B$6="All",$DH925='Staff Dashboard'!$B$6),OR('Staff Dashboard'!$B$7="All",$D925='Staff Dashboard'!$B$7),OR('Staff Dashboard'!$B$8="All",$A925='Staff Dashboard'!$B$8))</f>
        <v>0</v>
      </c>
      <c r="M925">
        <f>IF($E925=0,0,SUMPRODUCT($AI$7:$DF$7,'Staff Daily sales'!$G910:$CD910))</f>
        <v>0</v>
      </c>
      <c r="N925">
        <f>IF($E925=0,0,SUMPRODUCT($AI$8:$DF$8,'Staff Daily sales'!$G910:$CD910))</f>
        <v>0</v>
      </c>
      <c r="O925">
        <f>IF($E925=0,0,SUMPRODUCT($AI$9:$DF$9,'Staff Daily sales'!$G910:$CD910))</f>
        <v>0</v>
      </c>
      <c r="P925">
        <f>IF($E925=0,0,SUMPRODUCT($AI$10:$DF$10,'Staff Daily sales'!$G910:$CD910))</f>
        <v>0</v>
      </c>
      <c r="Q925">
        <f>IF($E925=0,0,SUMPRODUCT($AI$11:$DF$11,'Staff Daily sales'!$G910:$CD910))</f>
        <v>0</v>
      </c>
      <c r="R925">
        <f>IF($E925=0,0,SUMPRODUCT($AI$12:$DF$12,'Staff Daily sales'!$G910:$CD910))</f>
        <v>0</v>
      </c>
      <c r="S925">
        <f>IF($E925=0,0,SUMPRODUCT($AI$13:$DF$13,'Staff Daily sales'!$G910:$CD910))</f>
        <v>0</v>
      </c>
      <c r="T925">
        <f>IF($E925=0,0,SUMPRODUCT($AI$14:$DF$14,'Staff Daily sales'!$G910:$CD910))</f>
        <v>0</v>
      </c>
      <c r="U925">
        <f>IF($E925=0,0,SUMPRODUCT($AI$15:$DF$15,'Staff Daily sales'!$G910:$CD910))</f>
        <v>0</v>
      </c>
      <c r="V925">
        <f>IF($E925=0,0,SUMPRODUCT($AI$16:$DF$16,'Staff Daily sales'!$G910:$CD910))</f>
        <v>0</v>
      </c>
      <c r="W925">
        <f t="shared" si="255"/>
        <v>0</v>
      </c>
      <c r="X925">
        <f t="shared" si="256"/>
        <v>0</v>
      </c>
      <c r="Y925">
        <f t="shared" si="257"/>
        <v>0</v>
      </c>
      <c r="Z925">
        <f t="shared" si="258"/>
        <v>0</v>
      </c>
      <c r="AA925">
        <f t="shared" si="259"/>
        <v>0</v>
      </c>
      <c r="AB925">
        <f>--AND($E925=1,OR('Staff Weekly Trend'!$B$3="All",$DH925='Staff Weekly Trend'!$B$3),OR('Staff Weekly Trend'!$B$4="All",$D925='Staff Weekly Trend'!$B$4),OR('Staff Weekly Trend'!$B$5="All",$A925='Staff Weekly Trend'!$B$5))</f>
        <v>0</v>
      </c>
      <c r="AC925" t="str">
        <f t="shared" si="260"/>
        <v/>
      </c>
      <c r="AI925">
        <f t="shared" si="261"/>
        <v>0</v>
      </c>
      <c r="AJ925">
        <f t="shared" si="262"/>
        <v>0</v>
      </c>
      <c r="AK925">
        <f t="shared" si="263"/>
        <v>0</v>
      </c>
      <c r="AL925">
        <f t="shared" si="264"/>
        <v>0</v>
      </c>
      <c r="AM925">
        <f t="shared" si="265"/>
        <v>0</v>
      </c>
      <c r="DH925" t="str" cm="1">
        <f t="array" ref="DH925">IF($A925="","",_xlfn.LET(_xlpm.c,IFERROR(_xlfn.XLOOKUP($A925,TRIM('Sales and count'!$A$4:$A$300&amp;""),TRIM('Sales and count'!$B$4:$B$300&amp;"")),""),IF(OR(_xlpm.c="",_xlpm.c="0",LEFT(_xlpm.c,1)="#"),"Not set",_xlpm.c)))</f>
        <v/>
      </c>
    </row>
    <row r="926" spans="1:112" x14ac:dyDescent="0.25">
      <c r="A926" t="str">
        <f>IF('Staff Daily sales'!$B911="","",TRIM('Staff Daily sales'!$B911&amp;""))</f>
        <v/>
      </c>
      <c r="B926" t="str">
        <f>IF('Staff Daily sales'!$D911="","",TRIM('Staff Daily sales'!$D911&amp;""))</f>
        <v/>
      </c>
      <c r="C926" t="str">
        <f>IFERROR(TRIM('Staff Daily sales'!$E911&amp;""),"")</f>
        <v/>
      </c>
      <c r="D926" t="str">
        <f>IFERROR(IF(TRIM('Staff Daily sales'!$F911&amp;"")="","Unassigned",TRIM('Staff Daily sales'!$F911&amp;"")),"Unassigned")</f>
        <v>Unassigned</v>
      </c>
      <c r="E926">
        <f t="shared" si="250"/>
        <v>0</v>
      </c>
      <c r="F926">
        <f>IF($E926=0,0,SUMPRODUCT($AI$5:$DF$5,'Staff Daily sales'!$G911:$CD911))</f>
        <v>0</v>
      </c>
      <c r="G926">
        <f>IF($E926=0,0,SUMPRODUCT($AI$6:$DF$6,'Staff Daily sales'!$G911:$CD911))</f>
        <v>0</v>
      </c>
      <c r="H926">
        <f t="shared" si="251"/>
        <v>0</v>
      </c>
      <c r="I926">
        <f t="shared" si="252"/>
        <v>0</v>
      </c>
      <c r="J926">
        <f t="shared" si="253"/>
        <v>0</v>
      </c>
      <c r="K926">
        <f t="shared" si="254"/>
        <v>0</v>
      </c>
      <c r="L926">
        <f>--AND($E926=1,OR('Staff Dashboard'!$B$6="All",$DH926='Staff Dashboard'!$B$6),OR('Staff Dashboard'!$B$7="All",$D926='Staff Dashboard'!$B$7),OR('Staff Dashboard'!$B$8="All",$A926='Staff Dashboard'!$B$8))</f>
        <v>0</v>
      </c>
      <c r="M926">
        <f>IF($E926=0,0,SUMPRODUCT($AI$7:$DF$7,'Staff Daily sales'!$G911:$CD911))</f>
        <v>0</v>
      </c>
      <c r="N926">
        <f>IF($E926=0,0,SUMPRODUCT($AI$8:$DF$8,'Staff Daily sales'!$G911:$CD911))</f>
        <v>0</v>
      </c>
      <c r="O926">
        <f>IF($E926=0,0,SUMPRODUCT($AI$9:$DF$9,'Staff Daily sales'!$G911:$CD911))</f>
        <v>0</v>
      </c>
      <c r="P926">
        <f>IF($E926=0,0,SUMPRODUCT($AI$10:$DF$10,'Staff Daily sales'!$G911:$CD911))</f>
        <v>0</v>
      </c>
      <c r="Q926">
        <f>IF($E926=0,0,SUMPRODUCT($AI$11:$DF$11,'Staff Daily sales'!$G911:$CD911))</f>
        <v>0</v>
      </c>
      <c r="R926">
        <f>IF($E926=0,0,SUMPRODUCT($AI$12:$DF$12,'Staff Daily sales'!$G911:$CD911))</f>
        <v>0</v>
      </c>
      <c r="S926">
        <f>IF($E926=0,0,SUMPRODUCT($AI$13:$DF$13,'Staff Daily sales'!$G911:$CD911))</f>
        <v>0</v>
      </c>
      <c r="T926">
        <f>IF($E926=0,0,SUMPRODUCT($AI$14:$DF$14,'Staff Daily sales'!$G911:$CD911))</f>
        <v>0</v>
      </c>
      <c r="U926">
        <f>IF($E926=0,0,SUMPRODUCT($AI$15:$DF$15,'Staff Daily sales'!$G911:$CD911))</f>
        <v>0</v>
      </c>
      <c r="V926">
        <f>IF($E926=0,0,SUMPRODUCT($AI$16:$DF$16,'Staff Daily sales'!$G911:$CD911))</f>
        <v>0</v>
      </c>
      <c r="W926">
        <f t="shared" si="255"/>
        <v>0</v>
      </c>
      <c r="X926">
        <f t="shared" si="256"/>
        <v>0</v>
      </c>
      <c r="Y926">
        <f t="shared" si="257"/>
        <v>0</v>
      </c>
      <c r="Z926">
        <f t="shared" si="258"/>
        <v>0</v>
      </c>
      <c r="AA926">
        <f t="shared" si="259"/>
        <v>0</v>
      </c>
      <c r="AB926">
        <f>--AND($E926=1,OR('Staff Weekly Trend'!$B$3="All",$DH926='Staff Weekly Trend'!$B$3),OR('Staff Weekly Trend'!$B$4="All",$D926='Staff Weekly Trend'!$B$4),OR('Staff Weekly Trend'!$B$5="All",$A926='Staff Weekly Trend'!$B$5))</f>
        <v>0</v>
      </c>
      <c r="AC926" t="str">
        <f t="shared" si="260"/>
        <v/>
      </c>
      <c r="AI926">
        <f t="shared" si="261"/>
        <v>0</v>
      </c>
      <c r="AJ926">
        <f t="shared" si="262"/>
        <v>0</v>
      </c>
      <c r="AK926">
        <f t="shared" si="263"/>
        <v>0</v>
      </c>
      <c r="AL926">
        <f t="shared" si="264"/>
        <v>0</v>
      </c>
      <c r="AM926">
        <f t="shared" si="265"/>
        <v>0</v>
      </c>
      <c r="DH926" t="str" cm="1">
        <f t="array" ref="DH926">IF($A926="","",_xlfn.LET(_xlpm.c,IFERROR(_xlfn.XLOOKUP($A926,TRIM('Sales and count'!$A$4:$A$300&amp;""),TRIM('Sales and count'!$B$4:$B$300&amp;"")),""),IF(OR(_xlpm.c="",_xlpm.c="0",LEFT(_xlpm.c,1)="#"),"Not set",_xlpm.c)))</f>
        <v/>
      </c>
    </row>
    <row r="927" spans="1:112" x14ac:dyDescent="0.25">
      <c r="A927" t="str">
        <f>IF('Staff Daily sales'!$B912="","",TRIM('Staff Daily sales'!$B912&amp;""))</f>
        <v/>
      </c>
      <c r="B927" t="str">
        <f>IF('Staff Daily sales'!$D912="","",TRIM('Staff Daily sales'!$D912&amp;""))</f>
        <v/>
      </c>
      <c r="C927" t="str">
        <f>IFERROR(TRIM('Staff Daily sales'!$E912&amp;""),"")</f>
        <v/>
      </c>
      <c r="D927" t="str">
        <f>IFERROR(IF(TRIM('Staff Daily sales'!$F912&amp;"")="","Unassigned",TRIM('Staff Daily sales'!$F912&amp;"")),"Unassigned")</f>
        <v>Unassigned</v>
      </c>
      <c r="E927">
        <f t="shared" si="250"/>
        <v>0</v>
      </c>
      <c r="F927">
        <f>IF($E927=0,0,SUMPRODUCT($AI$5:$DF$5,'Staff Daily sales'!$G912:$CD912))</f>
        <v>0</v>
      </c>
      <c r="G927">
        <f>IF($E927=0,0,SUMPRODUCT($AI$6:$DF$6,'Staff Daily sales'!$G912:$CD912))</f>
        <v>0</v>
      </c>
      <c r="H927">
        <f t="shared" si="251"/>
        <v>0</v>
      </c>
      <c r="I927">
        <f t="shared" si="252"/>
        <v>0</v>
      </c>
      <c r="J927">
        <f t="shared" si="253"/>
        <v>0</v>
      </c>
      <c r="K927">
        <f t="shared" si="254"/>
        <v>0</v>
      </c>
      <c r="L927">
        <f>--AND($E927=1,OR('Staff Dashboard'!$B$6="All",$DH927='Staff Dashboard'!$B$6),OR('Staff Dashboard'!$B$7="All",$D927='Staff Dashboard'!$B$7),OR('Staff Dashboard'!$B$8="All",$A927='Staff Dashboard'!$B$8))</f>
        <v>0</v>
      </c>
      <c r="M927">
        <f>IF($E927=0,0,SUMPRODUCT($AI$7:$DF$7,'Staff Daily sales'!$G912:$CD912))</f>
        <v>0</v>
      </c>
      <c r="N927">
        <f>IF($E927=0,0,SUMPRODUCT($AI$8:$DF$8,'Staff Daily sales'!$G912:$CD912))</f>
        <v>0</v>
      </c>
      <c r="O927">
        <f>IF($E927=0,0,SUMPRODUCT($AI$9:$DF$9,'Staff Daily sales'!$G912:$CD912))</f>
        <v>0</v>
      </c>
      <c r="P927">
        <f>IF($E927=0,0,SUMPRODUCT($AI$10:$DF$10,'Staff Daily sales'!$G912:$CD912))</f>
        <v>0</v>
      </c>
      <c r="Q927">
        <f>IF($E927=0,0,SUMPRODUCT($AI$11:$DF$11,'Staff Daily sales'!$G912:$CD912))</f>
        <v>0</v>
      </c>
      <c r="R927">
        <f>IF($E927=0,0,SUMPRODUCT($AI$12:$DF$12,'Staff Daily sales'!$G912:$CD912))</f>
        <v>0</v>
      </c>
      <c r="S927">
        <f>IF($E927=0,0,SUMPRODUCT($AI$13:$DF$13,'Staff Daily sales'!$G912:$CD912))</f>
        <v>0</v>
      </c>
      <c r="T927">
        <f>IF($E927=0,0,SUMPRODUCT($AI$14:$DF$14,'Staff Daily sales'!$G912:$CD912))</f>
        <v>0</v>
      </c>
      <c r="U927">
        <f>IF($E927=0,0,SUMPRODUCT($AI$15:$DF$15,'Staff Daily sales'!$G912:$CD912))</f>
        <v>0</v>
      </c>
      <c r="V927">
        <f>IF($E927=0,0,SUMPRODUCT($AI$16:$DF$16,'Staff Daily sales'!$G912:$CD912))</f>
        <v>0</v>
      </c>
      <c r="W927">
        <f t="shared" si="255"/>
        <v>0</v>
      </c>
      <c r="X927">
        <f t="shared" si="256"/>
        <v>0</v>
      </c>
      <c r="Y927">
        <f t="shared" si="257"/>
        <v>0</v>
      </c>
      <c r="Z927">
        <f t="shared" si="258"/>
        <v>0</v>
      </c>
      <c r="AA927">
        <f t="shared" si="259"/>
        <v>0</v>
      </c>
      <c r="AB927">
        <f>--AND($E927=1,OR('Staff Weekly Trend'!$B$3="All",$DH927='Staff Weekly Trend'!$B$3),OR('Staff Weekly Trend'!$B$4="All",$D927='Staff Weekly Trend'!$B$4),OR('Staff Weekly Trend'!$B$5="All",$A927='Staff Weekly Trend'!$B$5))</f>
        <v>0</v>
      </c>
      <c r="AC927" t="str">
        <f t="shared" si="260"/>
        <v/>
      </c>
      <c r="AI927">
        <f t="shared" si="261"/>
        <v>0</v>
      </c>
      <c r="AJ927">
        <f t="shared" si="262"/>
        <v>0</v>
      </c>
      <c r="AK927">
        <f t="shared" si="263"/>
        <v>0</v>
      </c>
      <c r="AL927">
        <f t="shared" si="264"/>
        <v>0</v>
      </c>
      <c r="AM927">
        <f t="shared" si="265"/>
        <v>0</v>
      </c>
      <c r="DH927" t="str" cm="1">
        <f t="array" ref="DH927">IF($A927="","",_xlfn.LET(_xlpm.c,IFERROR(_xlfn.XLOOKUP($A927,TRIM('Sales and count'!$A$4:$A$300&amp;""),TRIM('Sales and count'!$B$4:$B$300&amp;"")),""),IF(OR(_xlpm.c="",_xlpm.c="0",LEFT(_xlpm.c,1)="#"),"Not set",_xlpm.c)))</f>
        <v/>
      </c>
    </row>
    <row r="928" spans="1:112" x14ac:dyDescent="0.25">
      <c r="A928" t="str">
        <f>IF('Staff Daily sales'!$B913="","",TRIM('Staff Daily sales'!$B913&amp;""))</f>
        <v/>
      </c>
      <c r="B928" t="str">
        <f>IF('Staff Daily sales'!$D913="","",TRIM('Staff Daily sales'!$D913&amp;""))</f>
        <v/>
      </c>
      <c r="C928" t="str">
        <f>IFERROR(TRIM('Staff Daily sales'!$E913&amp;""),"")</f>
        <v/>
      </c>
      <c r="D928" t="str">
        <f>IFERROR(IF(TRIM('Staff Daily sales'!$F913&amp;"")="","Unassigned",TRIM('Staff Daily sales'!$F913&amp;"")),"Unassigned")</f>
        <v>Unassigned</v>
      </c>
      <c r="E928">
        <f t="shared" si="250"/>
        <v>0</v>
      </c>
      <c r="F928">
        <f>IF($E928=0,0,SUMPRODUCT($AI$5:$DF$5,'Staff Daily sales'!$G913:$CD913))</f>
        <v>0</v>
      </c>
      <c r="G928">
        <f>IF($E928=0,0,SUMPRODUCT($AI$6:$DF$6,'Staff Daily sales'!$G913:$CD913))</f>
        <v>0</v>
      </c>
      <c r="H928">
        <f t="shared" si="251"/>
        <v>0</v>
      </c>
      <c r="I928">
        <f t="shared" si="252"/>
        <v>0</v>
      </c>
      <c r="J928">
        <f t="shared" si="253"/>
        <v>0</v>
      </c>
      <c r="K928">
        <f t="shared" si="254"/>
        <v>0</v>
      </c>
      <c r="L928">
        <f>--AND($E928=1,OR('Staff Dashboard'!$B$6="All",$DH928='Staff Dashboard'!$B$6),OR('Staff Dashboard'!$B$7="All",$D928='Staff Dashboard'!$B$7),OR('Staff Dashboard'!$B$8="All",$A928='Staff Dashboard'!$B$8))</f>
        <v>0</v>
      </c>
      <c r="M928">
        <f>IF($E928=0,0,SUMPRODUCT($AI$7:$DF$7,'Staff Daily sales'!$G913:$CD913))</f>
        <v>0</v>
      </c>
      <c r="N928">
        <f>IF($E928=0,0,SUMPRODUCT($AI$8:$DF$8,'Staff Daily sales'!$G913:$CD913))</f>
        <v>0</v>
      </c>
      <c r="O928">
        <f>IF($E928=0,0,SUMPRODUCT($AI$9:$DF$9,'Staff Daily sales'!$G913:$CD913))</f>
        <v>0</v>
      </c>
      <c r="P928">
        <f>IF($E928=0,0,SUMPRODUCT($AI$10:$DF$10,'Staff Daily sales'!$G913:$CD913))</f>
        <v>0</v>
      </c>
      <c r="Q928">
        <f>IF($E928=0,0,SUMPRODUCT($AI$11:$DF$11,'Staff Daily sales'!$G913:$CD913))</f>
        <v>0</v>
      </c>
      <c r="R928">
        <f>IF($E928=0,0,SUMPRODUCT($AI$12:$DF$12,'Staff Daily sales'!$G913:$CD913))</f>
        <v>0</v>
      </c>
      <c r="S928">
        <f>IF($E928=0,0,SUMPRODUCT($AI$13:$DF$13,'Staff Daily sales'!$G913:$CD913))</f>
        <v>0</v>
      </c>
      <c r="T928">
        <f>IF($E928=0,0,SUMPRODUCT($AI$14:$DF$14,'Staff Daily sales'!$G913:$CD913))</f>
        <v>0</v>
      </c>
      <c r="U928">
        <f>IF($E928=0,0,SUMPRODUCT($AI$15:$DF$15,'Staff Daily sales'!$G913:$CD913))</f>
        <v>0</v>
      </c>
      <c r="V928">
        <f>IF($E928=0,0,SUMPRODUCT($AI$16:$DF$16,'Staff Daily sales'!$G913:$CD913))</f>
        <v>0</v>
      </c>
      <c r="W928">
        <f t="shared" si="255"/>
        <v>0</v>
      </c>
      <c r="X928">
        <f t="shared" si="256"/>
        <v>0</v>
      </c>
      <c r="Y928">
        <f t="shared" si="257"/>
        <v>0</v>
      </c>
      <c r="Z928">
        <f t="shared" si="258"/>
        <v>0</v>
      </c>
      <c r="AA928">
        <f t="shared" si="259"/>
        <v>0</v>
      </c>
      <c r="AB928">
        <f>--AND($E928=1,OR('Staff Weekly Trend'!$B$3="All",$DH928='Staff Weekly Trend'!$B$3),OR('Staff Weekly Trend'!$B$4="All",$D928='Staff Weekly Trend'!$B$4),OR('Staff Weekly Trend'!$B$5="All",$A928='Staff Weekly Trend'!$B$5))</f>
        <v>0</v>
      </c>
      <c r="AC928" t="str">
        <f t="shared" si="260"/>
        <v/>
      </c>
      <c r="AI928">
        <f t="shared" si="261"/>
        <v>0</v>
      </c>
      <c r="AJ928">
        <f t="shared" si="262"/>
        <v>0</v>
      </c>
      <c r="AK928">
        <f t="shared" si="263"/>
        <v>0</v>
      </c>
      <c r="AL928">
        <f t="shared" si="264"/>
        <v>0</v>
      </c>
      <c r="AM928">
        <f t="shared" si="265"/>
        <v>0</v>
      </c>
      <c r="DH928" t="str" cm="1">
        <f t="array" ref="DH928">IF($A928="","",_xlfn.LET(_xlpm.c,IFERROR(_xlfn.XLOOKUP($A928,TRIM('Sales and count'!$A$4:$A$300&amp;""),TRIM('Sales and count'!$B$4:$B$300&amp;"")),""),IF(OR(_xlpm.c="",_xlpm.c="0",LEFT(_xlpm.c,1)="#"),"Not set",_xlpm.c)))</f>
        <v/>
      </c>
    </row>
    <row r="929" spans="1:112" x14ac:dyDescent="0.25">
      <c r="A929" t="str">
        <f>IF('Staff Daily sales'!$B914="","",TRIM('Staff Daily sales'!$B914&amp;""))</f>
        <v/>
      </c>
      <c r="B929" t="str">
        <f>IF('Staff Daily sales'!$D914="","",TRIM('Staff Daily sales'!$D914&amp;""))</f>
        <v/>
      </c>
      <c r="C929" t="str">
        <f>IFERROR(TRIM('Staff Daily sales'!$E914&amp;""),"")</f>
        <v/>
      </c>
      <c r="D929" t="str">
        <f>IFERROR(IF(TRIM('Staff Daily sales'!$F914&amp;"")="","Unassigned",TRIM('Staff Daily sales'!$F914&amp;"")),"Unassigned")</f>
        <v>Unassigned</v>
      </c>
      <c r="E929">
        <f t="shared" si="250"/>
        <v>0</v>
      </c>
      <c r="F929">
        <f>IF($E929=0,0,SUMPRODUCT($AI$5:$DF$5,'Staff Daily sales'!$G914:$CD914))</f>
        <v>0</v>
      </c>
      <c r="G929">
        <f>IF($E929=0,0,SUMPRODUCT($AI$6:$DF$6,'Staff Daily sales'!$G914:$CD914))</f>
        <v>0</v>
      </c>
      <c r="H929">
        <f t="shared" si="251"/>
        <v>0</v>
      </c>
      <c r="I929">
        <f t="shared" si="252"/>
        <v>0</v>
      </c>
      <c r="J929">
        <f t="shared" si="253"/>
        <v>0</v>
      </c>
      <c r="K929">
        <f t="shared" si="254"/>
        <v>0</v>
      </c>
      <c r="L929">
        <f>--AND($E929=1,OR('Staff Dashboard'!$B$6="All",$DH929='Staff Dashboard'!$B$6),OR('Staff Dashboard'!$B$7="All",$D929='Staff Dashboard'!$B$7),OR('Staff Dashboard'!$B$8="All",$A929='Staff Dashboard'!$B$8))</f>
        <v>0</v>
      </c>
      <c r="M929">
        <f>IF($E929=0,0,SUMPRODUCT($AI$7:$DF$7,'Staff Daily sales'!$G914:$CD914))</f>
        <v>0</v>
      </c>
      <c r="N929">
        <f>IF($E929=0,0,SUMPRODUCT($AI$8:$DF$8,'Staff Daily sales'!$G914:$CD914))</f>
        <v>0</v>
      </c>
      <c r="O929">
        <f>IF($E929=0,0,SUMPRODUCT($AI$9:$DF$9,'Staff Daily sales'!$G914:$CD914))</f>
        <v>0</v>
      </c>
      <c r="P929">
        <f>IF($E929=0,0,SUMPRODUCT($AI$10:$DF$10,'Staff Daily sales'!$G914:$CD914))</f>
        <v>0</v>
      </c>
      <c r="Q929">
        <f>IF($E929=0,0,SUMPRODUCT($AI$11:$DF$11,'Staff Daily sales'!$G914:$CD914))</f>
        <v>0</v>
      </c>
      <c r="R929">
        <f>IF($E929=0,0,SUMPRODUCT($AI$12:$DF$12,'Staff Daily sales'!$G914:$CD914))</f>
        <v>0</v>
      </c>
      <c r="S929">
        <f>IF($E929=0,0,SUMPRODUCT($AI$13:$DF$13,'Staff Daily sales'!$G914:$CD914))</f>
        <v>0</v>
      </c>
      <c r="T929">
        <f>IF($E929=0,0,SUMPRODUCT($AI$14:$DF$14,'Staff Daily sales'!$G914:$CD914))</f>
        <v>0</v>
      </c>
      <c r="U929">
        <f>IF($E929=0,0,SUMPRODUCT($AI$15:$DF$15,'Staff Daily sales'!$G914:$CD914))</f>
        <v>0</v>
      </c>
      <c r="V929">
        <f>IF($E929=0,0,SUMPRODUCT($AI$16:$DF$16,'Staff Daily sales'!$G914:$CD914))</f>
        <v>0</v>
      </c>
      <c r="W929">
        <f t="shared" si="255"/>
        <v>0</v>
      </c>
      <c r="X929">
        <f t="shared" si="256"/>
        <v>0</v>
      </c>
      <c r="Y929">
        <f t="shared" si="257"/>
        <v>0</v>
      </c>
      <c r="Z929">
        <f t="shared" si="258"/>
        <v>0</v>
      </c>
      <c r="AA929">
        <f t="shared" si="259"/>
        <v>0</v>
      </c>
      <c r="AB929">
        <f>--AND($E929=1,OR('Staff Weekly Trend'!$B$3="All",$DH929='Staff Weekly Trend'!$B$3),OR('Staff Weekly Trend'!$B$4="All",$D929='Staff Weekly Trend'!$B$4),OR('Staff Weekly Trend'!$B$5="All",$A929='Staff Weekly Trend'!$B$5))</f>
        <v>0</v>
      </c>
      <c r="AC929" t="str">
        <f t="shared" si="260"/>
        <v/>
      </c>
      <c r="AI929">
        <f t="shared" si="261"/>
        <v>0</v>
      </c>
      <c r="AJ929">
        <f t="shared" si="262"/>
        <v>0</v>
      </c>
      <c r="AK929">
        <f t="shared" si="263"/>
        <v>0</v>
      </c>
      <c r="AL929">
        <f t="shared" si="264"/>
        <v>0</v>
      </c>
      <c r="AM929">
        <f t="shared" si="265"/>
        <v>0</v>
      </c>
      <c r="DH929" t="str" cm="1">
        <f t="array" ref="DH929">IF($A929="","",_xlfn.LET(_xlpm.c,IFERROR(_xlfn.XLOOKUP($A929,TRIM('Sales and count'!$A$4:$A$300&amp;""),TRIM('Sales and count'!$B$4:$B$300&amp;"")),""),IF(OR(_xlpm.c="",_xlpm.c="0",LEFT(_xlpm.c,1)="#"),"Not set",_xlpm.c)))</f>
        <v/>
      </c>
    </row>
    <row r="930" spans="1:112" x14ac:dyDescent="0.25">
      <c r="A930" t="str">
        <f>IF('Staff Daily sales'!$B915="","",TRIM('Staff Daily sales'!$B915&amp;""))</f>
        <v/>
      </c>
      <c r="B930" t="str">
        <f>IF('Staff Daily sales'!$D915="","",TRIM('Staff Daily sales'!$D915&amp;""))</f>
        <v/>
      </c>
      <c r="C930" t="str">
        <f>IFERROR(TRIM('Staff Daily sales'!$E915&amp;""),"")</f>
        <v/>
      </c>
      <c r="D930" t="str">
        <f>IFERROR(IF(TRIM('Staff Daily sales'!$F915&amp;"")="","Unassigned",TRIM('Staff Daily sales'!$F915&amp;"")),"Unassigned")</f>
        <v>Unassigned</v>
      </c>
      <c r="E930">
        <f t="shared" si="250"/>
        <v>0</v>
      </c>
      <c r="F930">
        <f>IF($E930=0,0,SUMPRODUCT($AI$5:$DF$5,'Staff Daily sales'!$G915:$CD915))</f>
        <v>0</v>
      </c>
      <c r="G930">
        <f>IF($E930=0,0,SUMPRODUCT($AI$6:$DF$6,'Staff Daily sales'!$G915:$CD915))</f>
        <v>0</v>
      </c>
      <c r="H930">
        <f t="shared" si="251"/>
        <v>0</v>
      </c>
      <c r="I930">
        <f t="shared" si="252"/>
        <v>0</v>
      </c>
      <c r="J930">
        <f t="shared" si="253"/>
        <v>0</v>
      </c>
      <c r="K930">
        <f t="shared" si="254"/>
        <v>0</v>
      </c>
      <c r="L930">
        <f>--AND($E930=1,OR('Staff Dashboard'!$B$6="All",$DH930='Staff Dashboard'!$B$6),OR('Staff Dashboard'!$B$7="All",$D930='Staff Dashboard'!$B$7),OR('Staff Dashboard'!$B$8="All",$A930='Staff Dashboard'!$B$8))</f>
        <v>0</v>
      </c>
      <c r="M930">
        <f>IF($E930=0,0,SUMPRODUCT($AI$7:$DF$7,'Staff Daily sales'!$G915:$CD915))</f>
        <v>0</v>
      </c>
      <c r="N930">
        <f>IF($E930=0,0,SUMPRODUCT($AI$8:$DF$8,'Staff Daily sales'!$G915:$CD915))</f>
        <v>0</v>
      </c>
      <c r="O930">
        <f>IF($E930=0,0,SUMPRODUCT($AI$9:$DF$9,'Staff Daily sales'!$G915:$CD915))</f>
        <v>0</v>
      </c>
      <c r="P930">
        <f>IF($E930=0,0,SUMPRODUCT($AI$10:$DF$10,'Staff Daily sales'!$G915:$CD915))</f>
        <v>0</v>
      </c>
      <c r="Q930">
        <f>IF($E930=0,0,SUMPRODUCT($AI$11:$DF$11,'Staff Daily sales'!$G915:$CD915))</f>
        <v>0</v>
      </c>
      <c r="R930">
        <f>IF($E930=0,0,SUMPRODUCT($AI$12:$DF$12,'Staff Daily sales'!$G915:$CD915))</f>
        <v>0</v>
      </c>
      <c r="S930">
        <f>IF($E930=0,0,SUMPRODUCT($AI$13:$DF$13,'Staff Daily sales'!$G915:$CD915))</f>
        <v>0</v>
      </c>
      <c r="T930">
        <f>IF($E930=0,0,SUMPRODUCT($AI$14:$DF$14,'Staff Daily sales'!$G915:$CD915))</f>
        <v>0</v>
      </c>
      <c r="U930">
        <f>IF($E930=0,0,SUMPRODUCT($AI$15:$DF$15,'Staff Daily sales'!$G915:$CD915))</f>
        <v>0</v>
      </c>
      <c r="V930">
        <f>IF($E930=0,0,SUMPRODUCT($AI$16:$DF$16,'Staff Daily sales'!$G915:$CD915))</f>
        <v>0</v>
      </c>
      <c r="W930">
        <f t="shared" si="255"/>
        <v>0</v>
      </c>
      <c r="X930">
        <f t="shared" si="256"/>
        <v>0</v>
      </c>
      <c r="Y930">
        <f t="shared" si="257"/>
        <v>0</v>
      </c>
      <c r="Z930">
        <f t="shared" si="258"/>
        <v>0</v>
      </c>
      <c r="AA930">
        <f t="shared" si="259"/>
        <v>0</v>
      </c>
      <c r="AB930">
        <f>--AND($E930=1,OR('Staff Weekly Trend'!$B$3="All",$DH930='Staff Weekly Trend'!$B$3),OR('Staff Weekly Trend'!$B$4="All",$D930='Staff Weekly Trend'!$B$4),OR('Staff Weekly Trend'!$B$5="All",$A930='Staff Weekly Trend'!$B$5))</f>
        <v>0</v>
      </c>
      <c r="AC930" t="str">
        <f t="shared" si="260"/>
        <v/>
      </c>
      <c r="AI930">
        <f t="shared" si="261"/>
        <v>0</v>
      </c>
      <c r="AJ930">
        <f t="shared" si="262"/>
        <v>0</v>
      </c>
      <c r="AK930">
        <f t="shared" si="263"/>
        <v>0</v>
      </c>
      <c r="AL930">
        <f t="shared" si="264"/>
        <v>0</v>
      </c>
      <c r="AM930">
        <f t="shared" si="265"/>
        <v>0</v>
      </c>
      <c r="DH930" t="str" cm="1">
        <f t="array" ref="DH930">IF($A930="","",_xlfn.LET(_xlpm.c,IFERROR(_xlfn.XLOOKUP($A930,TRIM('Sales and count'!$A$4:$A$300&amp;""),TRIM('Sales and count'!$B$4:$B$300&amp;"")),""),IF(OR(_xlpm.c="",_xlpm.c="0",LEFT(_xlpm.c,1)="#"),"Not set",_xlpm.c)))</f>
        <v/>
      </c>
    </row>
    <row r="931" spans="1:112" x14ac:dyDescent="0.25">
      <c r="A931" t="str">
        <f>IF('Staff Daily sales'!$B916="","",TRIM('Staff Daily sales'!$B916&amp;""))</f>
        <v/>
      </c>
      <c r="B931" t="str">
        <f>IF('Staff Daily sales'!$D916="","",TRIM('Staff Daily sales'!$D916&amp;""))</f>
        <v/>
      </c>
      <c r="C931" t="str">
        <f>IFERROR(TRIM('Staff Daily sales'!$E916&amp;""),"")</f>
        <v/>
      </c>
      <c r="D931" t="str">
        <f>IFERROR(IF(TRIM('Staff Daily sales'!$F916&amp;"")="","Unassigned",TRIM('Staff Daily sales'!$F916&amp;"")),"Unassigned")</f>
        <v>Unassigned</v>
      </c>
      <c r="E931">
        <f t="shared" si="250"/>
        <v>0</v>
      </c>
      <c r="F931">
        <f>IF($E931=0,0,SUMPRODUCT($AI$5:$DF$5,'Staff Daily sales'!$G916:$CD916))</f>
        <v>0</v>
      </c>
      <c r="G931">
        <f>IF($E931=0,0,SUMPRODUCT($AI$6:$DF$6,'Staff Daily sales'!$G916:$CD916))</f>
        <v>0</v>
      </c>
      <c r="H931">
        <f t="shared" si="251"/>
        <v>0</v>
      </c>
      <c r="I931">
        <f t="shared" si="252"/>
        <v>0</v>
      </c>
      <c r="J931">
        <f t="shared" si="253"/>
        <v>0</v>
      </c>
      <c r="K931">
        <f t="shared" si="254"/>
        <v>0</v>
      </c>
      <c r="L931">
        <f>--AND($E931=1,OR('Staff Dashboard'!$B$6="All",$DH931='Staff Dashboard'!$B$6),OR('Staff Dashboard'!$B$7="All",$D931='Staff Dashboard'!$B$7),OR('Staff Dashboard'!$B$8="All",$A931='Staff Dashboard'!$B$8))</f>
        <v>0</v>
      </c>
      <c r="M931">
        <f>IF($E931=0,0,SUMPRODUCT($AI$7:$DF$7,'Staff Daily sales'!$G916:$CD916))</f>
        <v>0</v>
      </c>
      <c r="N931">
        <f>IF($E931=0,0,SUMPRODUCT($AI$8:$DF$8,'Staff Daily sales'!$G916:$CD916))</f>
        <v>0</v>
      </c>
      <c r="O931">
        <f>IF($E931=0,0,SUMPRODUCT($AI$9:$DF$9,'Staff Daily sales'!$G916:$CD916))</f>
        <v>0</v>
      </c>
      <c r="P931">
        <f>IF($E931=0,0,SUMPRODUCT($AI$10:$DF$10,'Staff Daily sales'!$G916:$CD916))</f>
        <v>0</v>
      </c>
      <c r="Q931">
        <f>IF($E931=0,0,SUMPRODUCT($AI$11:$DF$11,'Staff Daily sales'!$G916:$CD916))</f>
        <v>0</v>
      </c>
      <c r="R931">
        <f>IF($E931=0,0,SUMPRODUCT($AI$12:$DF$12,'Staff Daily sales'!$G916:$CD916))</f>
        <v>0</v>
      </c>
      <c r="S931">
        <f>IF($E931=0,0,SUMPRODUCT($AI$13:$DF$13,'Staff Daily sales'!$G916:$CD916))</f>
        <v>0</v>
      </c>
      <c r="T931">
        <f>IF($E931=0,0,SUMPRODUCT($AI$14:$DF$14,'Staff Daily sales'!$G916:$CD916))</f>
        <v>0</v>
      </c>
      <c r="U931">
        <f>IF($E931=0,0,SUMPRODUCT($AI$15:$DF$15,'Staff Daily sales'!$G916:$CD916))</f>
        <v>0</v>
      </c>
      <c r="V931">
        <f>IF($E931=0,0,SUMPRODUCT($AI$16:$DF$16,'Staff Daily sales'!$G916:$CD916))</f>
        <v>0</v>
      </c>
      <c r="W931">
        <f t="shared" si="255"/>
        <v>0</v>
      </c>
      <c r="X931">
        <f t="shared" si="256"/>
        <v>0</v>
      </c>
      <c r="Y931">
        <f t="shared" si="257"/>
        <v>0</v>
      </c>
      <c r="Z931">
        <f t="shared" si="258"/>
        <v>0</v>
      </c>
      <c r="AA931">
        <f t="shared" si="259"/>
        <v>0</v>
      </c>
      <c r="AB931">
        <f>--AND($E931=1,OR('Staff Weekly Trend'!$B$3="All",$DH931='Staff Weekly Trend'!$B$3),OR('Staff Weekly Trend'!$B$4="All",$D931='Staff Weekly Trend'!$B$4),OR('Staff Weekly Trend'!$B$5="All",$A931='Staff Weekly Trend'!$B$5))</f>
        <v>0</v>
      </c>
      <c r="AC931" t="str">
        <f t="shared" si="260"/>
        <v/>
      </c>
      <c r="AI931">
        <f t="shared" si="261"/>
        <v>0</v>
      </c>
      <c r="AJ931">
        <f t="shared" si="262"/>
        <v>0</v>
      </c>
      <c r="AK931">
        <f t="shared" si="263"/>
        <v>0</v>
      </c>
      <c r="AL931">
        <f t="shared" si="264"/>
        <v>0</v>
      </c>
      <c r="AM931">
        <f t="shared" si="265"/>
        <v>0</v>
      </c>
      <c r="DH931" t="str" cm="1">
        <f t="array" ref="DH931">IF($A931="","",_xlfn.LET(_xlpm.c,IFERROR(_xlfn.XLOOKUP($A931,TRIM('Sales and count'!$A$4:$A$300&amp;""),TRIM('Sales and count'!$B$4:$B$300&amp;"")),""),IF(OR(_xlpm.c="",_xlpm.c="0",LEFT(_xlpm.c,1)="#"),"Not set",_xlpm.c)))</f>
        <v/>
      </c>
    </row>
    <row r="932" spans="1:112" x14ac:dyDescent="0.25">
      <c r="A932" t="str">
        <f>IF('Staff Daily sales'!$B917="","",TRIM('Staff Daily sales'!$B917&amp;""))</f>
        <v/>
      </c>
      <c r="B932" t="str">
        <f>IF('Staff Daily sales'!$D917="","",TRIM('Staff Daily sales'!$D917&amp;""))</f>
        <v/>
      </c>
      <c r="C932" t="str">
        <f>IFERROR(TRIM('Staff Daily sales'!$E917&amp;""),"")</f>
        <v/>
      </c>
      <c r="D932" t="str">
        <f>IFERROR(IF(TRIM('Staff Daily sales'!$F917&amp;"")="","Unassigned",TRIM('Staff Daily sales'!$F917&amp;"")),"Unassigned")</f>
        <v>Unassigned</v>
      </c>
      <c r="E932">
        <f t="shared" si="250"/>
        <v>0</v>
      </c>
      <c r="F932">
        <f>IF($E932=0,0,SUMPRODUCT($AI$5:$DF$5,'Staff Daily sales'!$G917:$CD917))</f>
        <v>0</v>
      </c>
      <c r="G932">
        <f>IF($E932=0,0,SUMPRODUCT($AI$6:$DF$6,'Staff Daily sales'!$G917:$CD917))</f>
        <v>0</v>
      </c>
      <c r="H932">
        <f t="shared" si="251"/>
        <v>0</v>
      </c>
      <c r="I932">
        <f t="shared" si="252"/>
        <v>0</v>
      </c>
      <c r="J932">
        <f t="shared" si="253"/>
        <v>0</v>
      </c>
      <c r="K932">
        <f t="shared" si="254"/>
        <v>0</v>
      </c>
      <c r="L932">
        <f>--AND($E932=1,OR('Staff Dashboard'!$B$6="All",$DH932='Staff Dashboard'!$B$6),OR('Staff Dashboard'!$B$7="All",$D932='Staff Dashboard'!$B$7),OR('Staff Dashboard'!$B$8="All",$A932='Staff Dashboard'!$B$8))</f>
        <v>0</v>
      </c>
      <c r="M932">
        <f>IF($E932=0,0,SUMPRODUCT($AI$7:$DF$7,'Staff Daily sales'!$G917:$CD917))</f>
        <v>0</v>
      </c>
      <c r="N932">
        <f>IF($E932=0,0,SUMPRODUCT($AI$8:$DF$8,'Staff Daily sales'!$G917:$CD917))</f>
        <v>0</v>
      </c>
      <c r="O932">
        <f>IF($E932=0,0,SUMPRODUCT($AI$9:$DF$9,'Staff Daily sales'!$G917:$CD917))</f>
        <v>0</v>
      </c>
      <c r="P932">
        <f>IF($E932=0,0,SUMPRODUCT($AI$10:$DF$10,'Staff Daily sales'!$G917:$CD917))</f>
        <v>0</v>
      </c>
      <c r="Q932">
        <f>IF($E932=0,0,SUMPRODUCT($AI$11:$DF$11,'Staff Daily sales'!$G917:$CD917))</f>
        <v>0</v>
      </c>
      <c r="R932">
        <f>IF($E932=0,0,SUMPRODUCT($AI$12:$DF$12,'Staff Daily sales'!$G917:$CD917))</f>
        <v>0</v>
      </c>
      <c r="S932">
        <f>IF($E932=0,0,SUMPRODUCT($AI$13:$DF$13,'Staff Daily sales'!$G917:$CD917))</f>
        <v>0</v>
      </c>
      <c r="T932">
        <f>IF($E932=0,0,SUMPRODUCT($AI$14:$DF$14,'Staff Daily sales'!$G917:$CD917))</f>
        <v>0</v>
      </c>
      <c r="U932">
        <f>IF($E932=0,0,SUMPRODUCT($AI$15:$DF$15,'Staff Daily sales'!$G917:$CD917))</f>
        <v>0</v>
      </c>
      <c r="V932">
        <f>IF($E932=0,0,SUMPRODUCT($AI$16:$DF$16,'Staff Daily sales'!$G917:$CD917))</f>
        <v>0</v>
      </c>
      <c r="W932">
        <f t="shared" si="255"/>
        <v>0</v>
      </c>
      <c r="X932">
        <f t="shared" si="256"/>
        <v>0</v>
      </c>
      <c r="Y932">
        <f t="shared" si="257"/>
        <v>0</v>
      </c>
      <c r="Z932">
        <f t="shared" si="258"/>
        <v>0</v>
      </c>
      <c r="AA932">
        <f t="shared" si="259"/>
        <v>0</v>
      </c>
      <c r="AB932">
        <f>--AND($E932=1,OR('Staff Weekly Trend'!$B$3="All",$DH932='Staff Weekly Trend'!$B$3),OR('Staff Weekly Trend'!$B$4="All",$D932='Staff Weekly Trend'!$B$4),OR('Staff Weekly Trend'!$B$5="All",$A932='Staff Weekly Trend'!$B$5))</f>
        <v>0</v>
      </c>
      <c r="AC932" t="str">
        <f t="shared" si="260"/>
        <v/>
      </c>
      <c r="AI932">
        <f t="shared" si="261"/>
        <v>0</v>
      </c>
      <c r="AJ932">
        <f t="shared" si="262"/>
        <v>0</v>
      </c>
      <c r="AK932">
        <f t="shared" si="263"/>
        <v>0</v>
      </c>
      <c r="AL932">
        <f t="shared" si="264"/>
        <v>0</v>
      </c>
      <c r="AM932">
        <f t="shared" si="265"/>
        <v>0</v>
      </c>
      <c r="DH932" t="str" cm="1">
        <f t="array" ref="DH932">IF($A932="","",_xlfn.LET(_xlpm.c,IFERROR(_xlfn.XLOOKUP($A932,TRIM('Sales and count'!$A$4:$A$300&amp;""),TRIM('Sales and count'!$B$4:$B$300&amp;"")),""),IF(OR(_xlpm.c="",_xlpm.c="0",LEFT(_xlpm.c,1)="#"),"Not set",_xlpm.c)))</f>
        <v/>
      </c>
    </row>
    <row r="933" spans="1:112" x14ac:dyDescent="0.25">
      <c r="A933" t="str">
        <f>IF('Staff Daily sales'!$B918="","",TRIM('Staff Daily sales'!$B918&amp;""))</f>
        <v/>
      </c>
      <c r="B933" t="str">
        <f>IF('Staff Daily sales'!$D918="","",TRIM('Staff Daily sales'!$D918&amp;""))</f>
        <v/>
      </c>
      <c r="C933" t="str">
        <f>IFERROR(TRIM('Staff Daily sales'!$E918&amp;""),"")</f>
        <v/>
      </c>
      <c r="D933" t="str">
        <f>IFERROR(IF(TRIM('Staff Daily sales'!$F918&amp;"")="","Unassigned",TRIM('Staff Daily sales'!$F918&amp;"")),"Unassigned")</f>
        <v>Unassigned</v>
      </c>
      <c r="E933">
        <f t="shared" si="250"/>
        <v>0</v>
      </c>
      <c r="F933">
        <f>IF($E933=0,0,SUMPRODUCT($AI$5:$DF$5,'Staff Daily sales'!$G918:$CD918))</f>
        <v>0</v>
      </c>
      <c r="G933">
        <f>IF($E933=0,0,SUMPRODUCT($AI$6:$DF$6,'Staff Daily sales'!$G918:$CD918))</f>
        <v>0</v>
      </c>
      <c r="H933">
        <f t="shared" si="251"/>
        <v>0</v>
      </c>
      <c r="I933">
        <f t="shared" si="252"/>
        <v>0</v>
      </c>
      <c r="J933">
        <f t="shared" si="253"/>
        <v>0</v>
      </c>
      <c r="K933">
        <f t="shared" si="254"/>
        <v>0</v>
      </c>
      <c r="L933">
        <f>--AND($E933=1,OR('Staff Dashboard'!$B$6="All",$DH933='Staff Dashboard'!$B$6),OR('Staff Dashboard'!$B$7="All",$D933='Staff Dashboard'!$B$7),OR('Staff Dashboard'!$B$8="All",$A933='Staff Dashboard'!$B$8))</f>
        <v>0</v>
      </c>
      <c r="M933">
        <f>IF($E933=0,0,SUMPRODUCT($AI$7:$DF$7,'Staff Daily sales'!$G918:$CD918))</f>
        <v>0</v>
      </c>
      <c r="N933">
        <f>IF($E933=0,0,SUMPRODUCT($AI$8:$DF$8,'Staff Daily sales'!$G918:$CD918))</f>
        <v>0</v>
      </c>
      <c r="O933">
        <f>IF($E933=0,0,SUMPRODUCT($AI$9:$DF$9,'Staff Daily sales'!$G918:$CD918))</f>
        <v>0</v>
      </c>
      <c r="P933">
        <f>IF($E933=0,0,SUMPRODUCT($AI$10:$DF$10,'Staff Daily sales'!$G918:$CD918))</f>
        <v>0</v>
      </c>
      <c r="Q933">
        <f>IF($E933=0,0,SUMPRODUCT($AI$11:$DF$11,'Staff Daily sales'!$G918:$CD918))</f>
        <v>0</v>
      </c>
      <c r="R933">
        <f>IF($E933=0,0,SUMPRODUCT($AI$12:$DF$12,'Staff Daily sales'!$G918:$CD918))</f>
        <v>0</v>
      </c>
      <c r="S933">
        <f>IF($E933=0,0,SUMPRODUCT($AI$13:$DF$13,'Staff Daily sales'!$G918:$CD918))</f>
        <v>0</v>
      </c>
      <c r="T933">
        <f>IF($E933=0,0,SUMPRODUCT($AI$14:$DF$14,'Staff Daily sales'!$G918:$CD918))</f>
        <v>0</v>
      </c>
      <c r="U933">
        <f>IF($E933=0,0,SUMPRODUCT($AI$15:$DF$15,'Staff Daily sales'!$G918:$CD918))</f>
        <v>0</v>
      </c>
      <c r="V933">
        <f>IF($E933=0,0,SUMPRODUCT($AI$16:$DF$16,'Staff Daily sales'!$G918:$CD918))</f>
        <v>0</v>
      </c>
      <c r="W933">
        <f t="shared" si="255"/>
        <v>0</v>
      </c>
      <c r="X933">
        <f t="shared" si="256"/>
        <v>0</v>
      </c>
      <c r="Y933">
        <f t="shared" si="257"/>
        <v>0</v>
      </c>
      <c r="Z933">
        <f t="shared" si="258"/>
        <v>0</v>
      </c>
      <c r="AA933">
        <f t="shared" si="259"/>
        <v>0</v>
      </c>
      <c r="AB933">
        <f>--AND($E933=1,OR('Staff Weekly Trend'!$B$3="All",$DH933='Staff Weekly Trend'!$B$3),OR('Staff Weekly Trend'!$B$4="All",$D933='Staff Weekly Trend'!$B$4),OR('Staff Weekly Trend'!$B$5="All",$A933='Staff Weekly Trend'!$B$5))</f>
        <v>0</v>
      </c>
      <c r="AC933" t="str">
        <f t="shared" si="260"/>
        <v/>
      </c>
      <c r="AI933">
        <f t="shared" si="261"/>
        <v>0</v>
      </c>
      <c r="AJ933">
        <f t="shared" si="262"/>
        <v>0</v>
      </c>
      <c r="AK933">
        <f t="shared" si="263"/>
        <v>0</v>
      </c>
      <c r="AL933">
        <f t="shared" si="264"/>
        <v>0</v>
      </c>
      <c r="AM933">
        <f t="shared" si="265"/>
        <v>0</v>
      </c>
      <c r="DH933" t="str" cm="1">
        <f t="array" ref="DH933">IF($A933="","",_xlfn.LET(_xlpm.c,IFERROR(_xlfn.XLOOKUP($A933,TRIM('Sales and count'!$A$4:$A$300&amp;""),TRIM('Sales and count'!$B$4:$B$300&amp;"")),""),IF(OR(_xlpm.c="",_xlpm.c="0",LEFT(_xlpm.c,1)="#"),"Not set",_xlpm.c)))</f>
        <v/>
      </c>
    </row>
    <row r="934" spans="1:112" x14ac:dyDescent="0.25">
      <c r="A934" t="str">
        <f>IF('Staff Daily sales'!$B919="","",TRIM('Staff Daily sales'!$B919&amp;""))</f>
        <v/>
      </c>
      <c r="B934" t="str">
        <f>IF('Staff Daily sales'!$D919="","",TRIM('Staff Daily sales'!$D919&amp;""))</f>
        <v/>
      </c>
      <c r="C934" t="str">
        <f>IFERROR(TRIM('Staff Daily sales'!$E919&amp;""),"")</f>
        <v/>
      </c>
      <c r="D934" t="str">
        <f>IFERROR(IF(TRIM('Staff Daily sales'!$F919&amp;"")="","Unassigned",TRIM('Staff Daily sales'!$F919&amp;"")),"Unassigned")</f>
        <v>Unassigned</v>
      </c>
      <c r="E934">
        <f t="shared" si="250"/>
        <v>0</v>
      </c>
      <c r="F934">
        <f>IF($E934=0,0,SUMPRODUCT($AI$5:$DF$5,'Staff Daily sales'!$G919:$CD919))</f>
        <v>0</v>
      </c>
      <c r="G934">
        <f>IF($E934=0,0,SUMPRODUCT($AI$6:$DF$6,'Staff Daily sales'!$G919:$CD919))</f>
        <v>0</v>
      </c>
      <c r="H934">
        <f t="shared" si="251"/>
        <v>0</v>
      </c>
      <c r="I934">
        <f t="shared" si="252"/>
        <v>0</v>
      </c>
      <c r="J934">
        <f t="shared" si="253"/>
        <v>0</v>
      </c>
      <c r="K934">
        <f t="shared" si="254"/>
        <v>0</v>
      </c>
      <c r="L934">
        <f>--AND($E934=1,OR('Staff Dashboard'!$B$6="All",$DH934='Staff Dashboard'!$B$6),OR('Staff Dashboard'!$B$7="All",$D934='Staff Dashboard'!$B$7),OR('Staff Dashboard'!$B$8="All",$A934='Staff Dashboard'!$B$8))</f>
        <v>0</v>
      </c>
      <c r="M934">
        <f>IF($E934=0,0,SUMPRODUCT($AI$7:$DF$7,'Staff Daily sales'!$G919:$CD919))</f>
        <v>0</v>
      </c>
      <c r="N934">
        <f>IF($E934=0,0,SUMPRODUCT($AI$8:$DF$8,'Staff Daily sales'!$G919:$CD919))</f>
        <v>0</v>
      </c>
      <c r="O934">
        <f>IF($E934=0,0,SUMPRODUCT($AI$9:$DF$9,'Staff Daily sales'!$G919:$CD919))</f>
        <v>0</v>
      </c>
      <c r="P934">
        <f>IF($E934=0,0,SUMPRODUCT($AI$10:$DF$10,'Staff Daily sales'!$G919:$CD919))</f>
        <v>0</v>
      </c>
      <c r="Q934">
        <f>IF($E934=0,0,SUMPRODUCT($AI$11:$DF$11,'Staff Daily sales'!$G919:$CD919))</f>
        <v>0</v>
      </c>
      <c r="R934">
        <f>IF($E934=0,0,SUMPRODUCT($AI$12:$DF$12,'Staff Daily sales'!$G919:$CD919))</f>
        <v>0</v>
      </c>
      <c r="S934">
        <f>IF($E934=0,0,SUMPRODUCT($AI$13:$DF$13,'Staff Daily sales'!$G919:$CD919))</f>
        <v>0</v>
      </c>
      <c r="T934">
        <f>IF($E934=0,0,SUMPRODUCT($AI$14:$DF$14,'Staff Daily sales'!$G919:$CD919))</f>
        <v>0</v>
      </c>
      <c r="U934">
        <f>IF($E934=0,0,SUMPRODUCT($AI$15:$DF$15,'Staff Daily sales'!$G919:$CD919))</f>
        <v>0</v>
      </c>
      <c r="V934">
        <f>IF($E934=0,0,SUMPRODUCT($AI$16:$DF$16,'Staff Daily sales'!$G919:$CD919))</f>
        <v>0</v>
      </c>
      <c r="W934">
        <f t="shared" si="255"/>
        <v>0</v>
      </c>
      <c r="X934">
        <f t="shared" si="256"/>
        <v>0</v>
      </c>
      <c r="Y934">
        <f t="shared" si="257"/>
        <v>0</v>
      </c>
      <c r="Z934">
        <f t="shared" si="258"/>
        <v>0</v>
      </c>
      <c r="AA934">
        <f t="shared" si="259"/>
        <v>0</v>
      </c>
      <c r="AB934">
        <f>--AND($E934=1,OR('Staff Weekly Trend'!$B$3="All",$DH934='Staff Weekly Trend'!$B$3),OR('Staff Weekly Trend'!$B$4="All",$D934='Staff Weekly Trend'!$B$4),OR('Staff Weekly Trend'!$B$5="All",$A934='Staff Weekly Trend'!$B$5))</f>
        <v>0</v>
      </c>
      <c r="AC934" t="str">
        <f t="shared" si="260"/>
        <v/>
      </c>
      <c r="AI934">
        <f t="shared" si="261"/>
        <v>0</v>
      </c>
      <c r="AJ934">
        <f t="shared" si="262"/>
        <v>0</v>
      </c>
      <c r="AK934">
        <f t="shared" si="263"/>
        <v>0</v>
      </c>
      <c r="AL934">
        <f t="shared" si="264"/>
        <v>0</v>
      </c>
      <c r="AM934">
        <f t="shared" si="265"/>
        <v>0</v>
      </c>
      <c r="DH934" t="str" cm="1">
        <f t="array" ref="DH934">IF($A934="","",_xlfn.LET(_xlpm.c,IFERROR(_xlfn.XLOOKUP($A934,TRIM('Sales and count'!$A$4:$A$300&amp;""),TRIM('Sales and count'!$B$4:$B$300&amp;"")),""),IF(OR(_xlpm.c="",_xlpm.c="0",LEFT(_xlpm.c,1)="#"),"Not set",_xlpm.c)))</f>
        <v/>
      </c>
    </row>
    <row r="935" spans="1:112" x14ac:dyDescent="0.25">
      <c r="A935" t="str">
        <f>IF('Staff Daily sales'!$B920="","",TRIM('Staff Daily sales'!$B920&amp;""))</f>
        <v/>
      </c>
      <c r="B935" t="str">
        <f>IF('Staff Daily sales'!$D920="","",TRIM('Staff Daily sales'!$D920&amp;""))</f>
        <v/>
      </c>
      <c r="C935" t="str">
        <f>IFERROR(TRIM('Staff Daily sales'!$E920&amp;""),"")</f>
        <v/>
      </c>
      <c r="D935" t="str">
        <f>IFERROR(IF(TRIM('Staff Daily sales'!$F920&amp;"")="","Unassigned",TRIM('Staff Daily sales'!$F920&amp;"")),"Unassigned")</f>
        <v>Unassigned</v>
      </c>
      <c r="E935">
        <f t="shared" si="250"/>
        <v>0</v>
      </c>
      <c r="F935">
        <f>IF($E935=0,0,SUMPRODUCT($AI$5:$DF$5,'Staff Daily sales'!$G920:$CD920))</f>
        <v>0</v>
      </c>
      <c r="G935">
        <f>IF($E935=0,0,SUMPRODUCT($AI$6:$DF$6,'Staff Daily sales'!$G920:$CD920))</f>
        <v>0</v>
      </c>
      <c r="H935">
        <f t="shared" si="251"/>
        <v>0</v>
      </c>
      <c r="I935">
        <f t="shared" si="252"/>
        <v>0</v>
      </c>
      <c r="J935">
        <f t="shared" si="253"/>
        <v>0</v>
      </c>
      <c r="K935">
        <f t="shared" si="254"/>
        <v>0</v>
      </c>
      <c r="L935">
        <f>--AND($E935=1,OR('Staff Dashboard'!$B$6="All",$DH935='Staff Dashboard'!$B$6),OR('Staff Dashboard'!$B$7="All",$D935='Staff Dashboard'!$B$7),OR('Staff Dashboard'!$B$8="All",$A935='Staff Dashboard'!$B$8))</f>
        <v>0</v>
      </c>
      <c r="M935">
        <f>IF($E935=0,0,SUMPRODUCT($AI$7:$DF$7,'Staff Daily sales'!$G920:$CD920))</f>
        <v>0</v>
      </c>
      <c r="N935">
        <f>IF($E935=0,0,SUMPRODUCT($AI$8:$DF$8,'Staff Daily sales'!$G920:$CD920))</f>
        <v>0</v>
      </c>
      <c r="O935">
        <f>IF($E935=0,0,SUMPRODUCT($AI$9:$DF$9,'Staff Daily sales'!$G920:$CD920))</f>
        <v>0</v>
      </c>
      <c r="P935">
        <f>IF($E935=0,0,SUMPRODUCT($AI$10:$DF$10,'Staff Daily sales'!$G920:$CD920))</f>
        <v>0</v>
      </c>
      <c r="Q935">
        <f>IF($E935=0,0,SUMPRODUCT($AI$11:$DF$11,'Staff Daily sales'!$G920:$CD920))</f>
        <v>0</v>
      </c>
      <c r="R935">
        <f>IF($E935=0,0,SUMPRODUCT($AI$12:$DF$12,'Staff Daily sales'!$G920:$CD920))</f>
        <v>0</v>
      </c>
      <c r="S935">
        <f>IF($E935=0,0,SUMPRODUCT($AI$13:$DF$13,'Staff Daily sales'!$G920:$CD920))</f>
        <v>0</v>
      </c>
      <c r="T935">
        <f>IF($E935=0,0,SUMPRODUCT($AI$14:$DF$14,'Staff Daily sales'!$G920:$CD920))</f>
        <v>0</v>
      </c>
      <c r="U935">
        <f>IF($E935=0,0,SUMPRODUCT($AI$15:$DF$15,'Staff Daily sales'!$G920:$CD920))</f>
        <v>0</v>
      </c>
      <c r="V935">
        <f>IF($E935=0,0,SUMPRODUCT($AI$16:$DF$16,'Staff Daily sales'!$G920:$CD920))</f>
        <v>0</v>
      </c>
      <c r="W935">
        <f t="shared" si="255"/>
        <v>0</v>
      </c>
      <c r="X935">
        <f t="shared" si="256"/>
        <v>0</v>
      </c>
      <c r="Y935">
        <f t="shared" si="257"/>
        <v>0</v>
      </c>
      <c r="Z935">
        <f t="shared" si="258"/>
        <v>0</v>
      </c>
      <c r="AA935">
        <f t="shared" si="259"/>
        <v>0</v>
      </c>
      <c r="AB935">
        <f>--AND($E935=1,OR('Staff Weekly Trend'!$B$3="All",$DH935='Staff Weekly Trend'!$B$3),OR('Staff Weekly Trend'!$B$4="All",$D935='Staff Weekly Trend'!$B$4),OR('Staff Weekly Trend'!$B$5="All",$A935='Staff Weekly Trend'!$B$5))</f>
        <v>0</v>
      </c>
      <c r="AC935" t="str">
        <f t="shared" si="260"/>
        <v/>
      </c>
      <c r="AI935">
        <f t="shared" si="261"/>
        <v>0</v>
      </c>
      <c r="AJ935">
        <f t="shared" si="262"/>
        <v>0</v>
      </c>
      <c r="AK935">
        <f t="shared" si="263"/>
        <v>0</v>
      </c>
      <c r="AL935">
        <f t="shared" si="264"/>
        <v>0</v>
      </c>
      <c r="AM935">
        <f t="shared" si="265"/>
        <v>0</v>
      </c>
      <c r="DH935" t="str" cm="1">
        <f t="array" ref="DH935">IF($A935="","",_xlfn.LET(_xlpm.c,IFERROR(_xlfn.XLOOKUP($A935,TRIM('Sales and count'!$A$4:$A$300&amp;""),TRIM('Sales and count'!$B$4:$B$300&amp;"")),""),IF(OR(_xlpm.c="",_xlpm.c="0",LEFT(_xlpm.c,1)="#"),"Not set",_xlpm.c)))</f>
        <v/>
      </c>
    </row>
    <row r="936" spans="1:112" x14ac:dyDescent="0.25">
      <c r="A936" t="str">
        <f>IF('Staff Daily sales'!$B921="","",TRIM('Staff Daily sales'!$B921&amp;""))</f>
        <v/>
      </c>
      <c r="B936" t="str">
        <f>IF('Staff Daily sales'!$D921="","",TRIM('Staff Daily sales'!$D921&amp;""))</f>
        <v/>
      </c>
      <c r="C936" t="str">
        <f>IFERROR(TRIM('Staff Daily sales'!$E921&amp;""),"")</f>
        <v/>
      </c>
      <c r="D936" t="str">
        <f>IFERROR(IF(TRIM('Staff Daily sales'!$F921&amp;"")="","Unassigned",TRIM('Staff Daily sales'!$F921&amp;"")),"Unassigned")</f>
        <v>Unassigned</v>
      </c>
      <c r="E936">
        <f t="shared" si="250"/>
        <v>0</v>
      </c>
      <c r="F936">
        <f>IF($E936=0,0,SUMPRODUCT($AI$5:$DF$5,'Staff Daily sales'!$G921:$CD921))</f>
        <v>0</v>
      </c>
      <c r="G936">
        <f>IF($E936=0,0,SUMPRODUCT($AI$6:$DF$6,'Staff Daily sales'!$G921:$CD921))</f>
        <v>0</v>
      </c>
      <c r="H936">
        <f t="shared" si="251"/>
        <v>0</v>
      </c>
      <c r="I936">
        <f t="shared" si="252"/>
        <v>0</v>
      </c>
      <c r="J936">
        <f t="shared" si="253"/>
        <v>0</v>
      </c>
      <c r="K936">
        <f t="shared" si="254"/>
        <v>0</v>
      </c>
      <c r="L936">
        <f>--AND($E936=1,OR('Staff Dashboard'!$B$6="All",$DH936='Staff Dashboard'!$B$6),OR('Staff Dashboard'!$B$7="All",$D936='Staff Dashboard'!$B$7),OR('Staff Dashboard'!$B$8="All",$A936='Staff Dashboard'!$B$8))</f>
        <v>0</v>
      </c>
      <c r="M936">
        <f>IF($E936=0,0,SUMPRODUCT($AI$7:$DF$7,'Staff Daily sales'!$G921:$CD921))</f>
        <v>0</v>
      </c>
      <c r="N936">
        <f>IF($E936=0,0,SUMPRODUCT($AI$8:$DF$8,'Staff Daily sales'!$G921:$CD921))</f>
        <v>0</v>
      </c>
      <c r="O936">
        <f>IF($E936=0,0,SUMPRODUCT($AI$9:$DF$9,'Staff Daily sales'!$G921:$CD921))</f>
        <v>0</v>
      </c>
      <c r="P936">
        <f>IF($E936=0,0,SUMPRODUCT($AI$10:$DF$10,'Staff Daily sales'!$G921:$CD921))</f>
        <v>0</v>
      </c>
      <c r="Q936">
        <f>IF($E936=0,0,SUMPRODUCT($AI$11:$DF$11,'Staff Daily sales'!$G921:$CD921))</f>
        <v>0</v>
      </c>
      <c r="R936">
        <f>IF($E936=0,0,SUMPRODUCT($AI$12:$DF$12,'Staff Daily sales'!$G921:$CD921))</f>
        <v>0</v>
      </c>
      <c r="S936">
        <f>IF($E936=0,0,SUMPRODUCT($AI$13:$DF$13,'Staff Daily sales'!$G921:$CD921))</f>
        <v>0</v>
      </c>
      <c r="T936">
        <f>IF($E936=0,0,SUMPRODUCT($AI$14:$DF$14,'Staff Daily sales'!$G921:$CD921))</f>
        <v>0</v>
      </c>
      <c r="U936">
        <f>IF($E936=0,0,SUMPRODUCT($AI$15:$DF$15,'Staff Daily sales'!$G921:$CD921))</f>
        <v>0</v>
      </c>
      <c r="V936">
        <f>IF($E936=0,0,SUMPRODUCT($AI$16:$DF$16,'Staff Daily sales'!$G921:$CD921))</f>
        <v>0</v>
      </c>
      <c r="W936">
        <f t="shared" si="255"/>
        <v>0</v>
      </c>
      <c r="X936">
        <f t="shared" si="256"/>
        <v>0</v>
      </c>
      <c r="Y936">
        <f t="shared" si="257"/>
        <v>0</v>
      </c>
      <c r="Z936">
        <f t="shared" si="258"/>
        <v>0</v>
      </c>
      <c r="AA936">
        <f t="shared" si="259"/>
        <v>0</v>
      </c>
      <c r="AB936">
        <f>--AND($E936=1,OR('Staff Weekly Trend'!$B$3="All",$DH936='Staff Weekly Trend'!$B$3),OR('Staff Weekly Trend'!$B$4="All",$D936='Staff Weekly Trend'!$B$4),OR('Staff Weekly Trend'!$B$5="All",$A936='Staff Weekly Trend'!$B$5))</f>
        <v>0</v>
      </c>
      <c r="AC936" t="str">
        <f t="shared" si="260"/>
        <v/>
      </c>
      <c r="AI936">
        <f t="shared" si="261"/>
        <v>0</v>
      </c>
      <c r="AJ936">
        <f t="shared" si="262"/>
        <v>0</v>
      </c>
      <c r="AK936">
        <f t="shared" si="263"/>
        <v>0</v>
      </c>
      <c r="AL936">
        <f t="shared" si="264"/>
        <v>0</v>
      </c>
      <c r="AM936">
        <f t="shared" si="265"/>
        <v>0</v>
      </c>
      <c r="DH936" t="str" cm="1">
        <f t="array" ref="DH936">IF($A936="","",_xlfn.LET(_xlpm.c,IFERROR(_xlfn.XLOOKUP($A936,TRIM('Sales and count'!$A$4:$A$300&amp;""),TRIM('Sales and count'!$B$4:$B$300&amp;"")),""),IF(OR(_xlpm.c="",_xlpm.c="0",LEFT(_xlpm.c,1)="#"),"Not set",_xlpm.c)))</f>
        <v/>
      </c>
    </row>
    <row r="937" spans="1:112" x14ac:dyDescent="0.25">
      <c r="A937" t="str">
        <f>IF('Staff Daily sales'!$B922="","",TRIM('Staff Daily sales'!$B922&amp;""))</f>
        <v/>
      </c>
      <c r="B937" t="str">
        <f>IF('Staff Daily sales'!$D922="","",TRIM('Staff Daily sales'!$D922&amp;""))</f>
        <v/>
      </c>
      <c r="C937" t="str">
        <f>IFERROR(TRIM('Staff Daily sales'!$E922&amp;""),"")</f>
        <v/>
      </c>
      <c r="D937" t="str">
        <f>IFERROR(IF(TRIM('Staff Daily sales'!$F922&amp;"")="","Unassigned",TRIM('Staff Daily sales'!$F922&amp;"")),"Unassigned")</f>
        <v>Unassigned</v>
      </c>
      <c r="E937">
        <f t="shared" si="250"/>
        <v>0</v>
      </c>
      <c r="F937">
        <f>IF($E937=0,0,SUMPRODUCT($AI$5:$DF$5,'Staff Daily sales'!$G922:$CD922))</f>
        <v>0</v>
      </c>
      <c r="G937">
        <f>IF($E937=0,0,SUMPRODUCT($AI$6:$DF$6,'Staff Daily sales'!$G922:$CD922))</f>
        <v>0</v>
      </c>
      <c r="H937">
        <f t="shared" si="251"/>
        <v>0</v>
      </c>
      <c r="I937">
        <f t="shared" si="252"/>
        <v>0</v>
      </c>
      <c r="J937">
        <f t="shared" si="253"/>
        <v>0</v>
      </c>
      <c r="K937">
        <f t="shared" si="254"/>
        <v>0</v>
      </c>
      <c r="L937">
        <f>--AND($E937=1,OR('Staff Dashboard'!$B$6="All",$DH937='Staff Dashboard'!$B$6),OR('Staff Dashboard'!$B$7="All",$D937='Staff Dashboard'!$B$7),OR('Staff Dashboard'!$B$8="All",$A937='Staff Dashboard'!$B$8))</f>
        <v>0</v>
      </c>
      <c r="M937">
        <f>IF($E937=0,0,SUMPRODUCT($AI$7:$DF$7,'Staff Daily sales'!$G922:$CD922))</f>
        <v>0</v>
      </c>
      <c r="N937">
        <f>IF($E937=0,0,SUMPRODUCT($AI$8:$DF$8,'Staff Daily sales'!$G922:$CD922))</f>
        <v>0</v>
      </c>
      <c r="O937">
        <f>IF($E937=0,0,SUMPRODUCT($AI$9:$DF$9,'Staff Daily sales'!$G922:$CD922))</f>
        <v>0</v>
      </c>
      <c r="P937">
        <f>IF($E937=0,0,SUMPRODUCT($AI$10:$DF$10,'Staff Daily sales'!$G922:$CD922))</f>
        <v>0</v>
      </c>
      <c r="Q937">
        <f>IF($E937=0,0,SUMPRODUCT($AI$11:$DF$11,'Staff Daily sales'!$G922:$CD922))</f>
        <v>0</v>
      </c>
      <c r="R937">
        <f>IF($E937=0,0,SUMPRODUCT($AI$12:$DF$12,'Staff Daily sales'!$G922:$CD922))</f>
        <v>0</v>
      </c>
      <c r="S937">
        <f>IF($E937=0,0,SUMPRODUCT($AI$13:$DF$13,'Staff Daily sales'!$G922:$CD922))</f>
        <v>0</v>
      </c>
      <c r="T937">
        <f>IF($E937=0,0,SUMPRODUCT($AI$14:$DF$14,'Staff Daily sales'!$G922:$CD922))</f>
        <v>0</v>
      </c>
      <c r="U937">
        <f>IF($E937=0,0,SUMPRODUCT($AI$15:$DF$15,'Staff Daily sales'!$G922:$CD922))</f>
        <v>0</v>
      </c>
      <c r="V937">
        <f>IF($E937=0,0,SUMPRODUCT($AI$16:$DF$16,'Staff Daily sales'!$G922:$CD922))</f>
        <v>0</v>
      </c>
      <c r="W937">
        <f t="shared" si="255"/>
        <v>0</v>
      </c>
      <c r="X937">
        <f t="shared" si="256"/>
        <v>0</v>
      </c>
      <c r="Y937">
        <f t="shared" si="257"/>
        <v>0</v>
      </c>
      <c r="Z937">
        <f t="shared" si="258"/>
        <v>0</v>
      </c>
      <c r="AA937">
        <f t="shared" si="259"/>
        <v>0</v>
      </c>
      <c r="AB937">
        <f>--AND($E937=1,OR('Staff Weekly Trend'!$B$3="All",$DH937='Staff Weekly Trend'!$B$3),OR('Staff Weekly Trend'!$B$4="All",$D937='Staff Weekly Trend'!$B$4),OR('Staff Weekly Trend'!$B$5="All",$A937='Staff Weekly Trend'!$B$5))</f>
        <v>0</v>
      </c>
      <c r="AC937" t="str">
        <f t="shared" si="260"/>
        <v/>
      </c>
      <c r="AI937">
        <f t="shared" si="261"/>
        <v>0</v>
      </c>
      <c r="AJ937">
        <f t="shared" si="262"/>
        <v>0</v>
      </c>
      <c r="AK937">
        <f t="shared" si="263"/>
        <v>0</v>
      </c>
      <c r="AL937">
        <f t="shared" si="264"/>
        <v>0</v>
      </c>
      <c r="AM937">
        <f t="shared" si="265"/>
        <v>0</v>
      </c>
      <c r="DH937" t="str" cm="1">
        <f t="array" ref="DH937">IF($A937="","",_xlfn.LET(_xlpm.c,IFERROR(_xlfn.XLOOKUP($A937,TRIM('Sales and count'!$A$4:$A$300&amp;""),TRIM('Sales and count'!$B$4:$B$300&amp;"")),""),IF(OR(_xlpm.c="",_xlpm.c="0",LEFT(_xlpm.c,1)="#"),"Not set",_xlpm.c)))</f>
        <v/>
      </c>
    </row>
    <row r="938" spans="1:112" x14ac:dyDescent="0.25">
      <c r="A938" t="str">
        <f>IF('Staff Daily sales'!$B923="","",TRIM('Staff Daily sales'!$B923&amp;""))</f>
        <v/>
      </c>
      <c r="B938" t="str">
        <f>IF('Staff Daily sales'!$D923="","",TRIM('Staff Daily sales'!$D923&amp;""))</f>
        <v/>
      </c>
      <c r="C938" t="str">
        <f>IFERROR(TRIM('Staff Daily sales'!$E923&amp;""),"")</f>
        <v/>
      </c>
      <c r="D938" t="str">
        <f>IFERROR(IF(TRIM('Staff Daily sales'!$F923&amp;"")="","Unassigned",TRIM('Staff Daily sales'!$F923&amp;"")),"Unassigned")</f>
        <v>Unassigned</v>
      </c>
      <c r="E938">
        <f t="shared" si="250"/>
        <v>0</v>
      </c>
      <c r="F938">
        <f>IF($E938=0,0,SUMPRODUCT($AI$5:$DF$5,'Staff Daily sales'!$G923:$CD923))</f>
        <v>0</v>
      </c>
      <c r="G938">
        <f>IF($E938=0,0,SUMPRODUCT($AI$6:$DF$6,'Staff Daily sales'!$G923:$CD923))</f>
        <v>0</v>
      </c>
      <c r="H938">
        <f t="shared" si="251"/>
        <v>0</v>
      </c>
      <c r="I938">
        <f t="shared" si="252"/>
        <v>0</v>
      </c>
      <c r="J938">
        <f t="shared" si="253"/>
        <v>0</v>
      </c>
      <c r="K938">
        <f t="shared" si="254"/>
        <v>0</v>
      </c>
      <c r="L938">
        <f>--AND($E938=1,OR('Staff Dashboard'!$B$6="All",$DH938='Staff Dashboard'!$B$6),OR('Staff Dashboard'!$B$7="All",$D938='Staff Dashboard'!$B$7),OR('Staff Dashboard'!$B$8="All",$A938='Staff Dashboard'!$B$8))</f>
        <v>0</v>
      </c>
      <c r="M938">
        <f>IF($E938=0,0,SUMPRODUCT($AI$7:$DF$7,'Staff Daily sales'!$G923:$CD923))</f>
        <v>0</v>
      </c>
      <c r="N938">
        <f>IF($E938=0,0,SUMPRODUCT($AI$8:$DF$8,'Staff Daily sales'!$G923:$CD923))</f>
        <v>0</v>
      </c>
      <c r="O938">
        <f>IF($E938=0,0,SUMPRODUCT($AI$9:$DF$9,'Staff Daily sales'!$G923:$CD923))</f>
        <v>0</v>
      </c>
      <c r="P938">
        <f>IF($E938=0,0,SUMPRODUCT($AI$10:$DF$10,'Staff Daily sales'!$G923:$CD923))</f>
        <v>0</v>
      </c>
      <c r="Q938">
        <f>IF($E938=0,0,SUMPRODUCT($AI$11:$DF$11,'Staff Daily sales'!$G923:$CD923))</f>
        <v>0</v>
      </c>
      <c r="R938">
        <f>IF($E938=0,0,SUMPRODUCT($AI$12:$DF$12,'Staff Daily sales'!$G923:$CD923))</f>
        <v>0</v>
      </c>
      <c r="S938">
        <f>IF($E938=0,0,SUMPRODUCT($AI$13:$DF$13,'Staff Daily sales'!$G923:$CD923))</f>
        <v>0</v>
      </c>
      <c r="T938">
        <f>IF($E938=0,0,SUMPRODUCT($AI$14:$DF$14,'Staff Daily sales'!$G923:$CD923))</f>
        <v>0</v>
      </c>
      <c r="U938">
        <f>IF($E938=0,0,SUMPRODUCT($AI$15:$DF$15,'Staff Daily sales'!$G923:$CD923))</f>
        <v>0</v>
      </c>
      <c r="V938">
        <f>IF($E938=0,0,SUMPRODUCT($AI$16:$DF$16,'Staff Daily sales'!$G923:$CD923))</f>
        <v>0</v>
      </c>
      <c r="W938">
        <f t="shared" si="255"/>
        <v>0</v>
      </c>
      <c r="X938">
        <f t="shared" si="256"/>
        <v>0</v>
      </c>
      <c r="Y938">
        <f t="shared" si="257"/>
        <v>0</v>
      </c>
      <c r="Z938">
        <f t="shared" si="258"/>
        <v>0</v>
      </c>
      <c r="AA938">
        <f t="shared" si="259"/>
        <v>0</v>
      </c>
      <c r="AB938">
        <f>--AND($E938=1,OR('Staff Weekly Trend'!$B$3="All",$DH938='Staff Weekly Trend'!$B$3),OR('Staff Weekly Trend'!$B$4="All",$D938='Staff Weekly Trend'!$B$4),OR('Staff Weekly Trend'!$B$5="All",$A938='Staff Weekly Trend'!$B$5))</f>
        <v>0</v>
      </c>
      <c r="AC938" t="str">
        <f t="shared" si="260"/>
        <v/>
      </c>
      <c r="AI938">
        <f t="shared" si="261"/>
        <v>0</v>
      </c>
      <c r="AJ938">
        <f t="shared" si="262"/>
        <v>0</v>
      </c>
      <c r="AK938">
        <f t="shared" si="263"/>
        <v>0</v>
      </c>
      <c r="AL938">
        <f t="shared" si="264"/>
        <v>0</v>
      </c>
      <c r="AM938">
        <f t="shared" si="265"/>
        <v>0</v>
      </c>
      <c r="DH938" t="str" cm="1">
        <f t="array" ref="DH938">IF($A938="","",_xlfn.LET(_xlpm.c,IFERROR(_xlfn.XLOOKUP($A938,TRIM('Sales and count'!$A$4:$A$300&amp;""),TRIM('Sales and count'!$B$4:$B$300&amp;"")),""),IF(OR(_xlpm.c="",_xlpm.c="0",LEFT(_xlpm.c,1)="#"),"Not set",_xlpm.c)))</f>
        <v/>
      </c>
    </row>
    <row r="939" spans="1:112" x14ac:dyDescent="0.25">
      <c r="A939" t="str">
        <f>IF('Staff Daily sales'!$B924="","",TRIM('Staff Daily sales'!$B924&amp;""))</f>
        <v/>
      </c>
      <c r="B939" t="str">
        <f>IF('Staff Daily sales'!$D924="","",TRIM('Staff Daily sales'!$D924&amp;""))</f>
        <v/>
      </c>
      <c r="C939" t="str">
        <f>IFERROR(TRIM('Staff Daily sales'!$E924&amp;""),"")</f>
        <v/>
      </c>
      <c r="D939" t="str">
        <f>IFERROR(IF(TRIM('Staff Daily sales'!$F924&amp;"")="","Unassigned",TRIM('Staff Daily sales'!$F924&amp;"")),"Unassigned")</f>
        <v>Unassigned</v>
      </c>
      <c r="E939">
        <f t="shared" si="250"/>
        <v>0</v>
      </c>
      <c r="F939">
        <f>IF($E939=0,0,SUMPRODUCT($AI$5:$DF$5,'Staff Daily sales'!$G924:$CD924))</f>
        <v>0</v>
      </c>
      <c r="G939">
        <f>IF($E939=0,0,SUMPRODUCT($AI$6:$DF$6,'Staff Daily sales'!$G924:$CD924))</f>
        <v>0</v>
      </c>
      <c r="H939">
        <f t="shared" si="251"/>
        <v>0</v>
      </c>
      <c r="I939">
        <f t="shared" si="252"/>
        <v>0</v>
      </c>
      <c r="J939">
        <f t="shared" si="253"/>
        <v>0</v>
      </c>
      <c r="K939">
        <f t="shared" si="254"/>
        <v>0</v>
      </c>
      <c r="L939">
        <f>--AND($E939=1,OR('Staff Dashboard'!$B$6="All",$DH939='Staff Dashboard'!$B$6),OR('Staff Dashboard'!$B$7="All",$D939='Staff Dashboard'!$B$7),OR('Staff Dashboard'!$B$8="All",$A939='Staff Dashboard'!$B$8))</f>
        <v>0</v>
      </c>
      <c r="M939">
        <f>IF($E939=0,0,SUMPRODUCT($AI$7:$DF$7,'Staff Daily sales'!$G924:$CD924))</f>
        <v>0</v>
      </c>
      <c r="N939">
        <f>IF($E939=0,0,SUMPRODUCT($AI$8:$DF$8,'Staff Daily sales'!$G924:$CD924))</f>
        <v>0</v>
      </c>
      <c r="O939">
        <f>IF($E939=0,0,SUMPRODUCT($AI$9:$DF$9,'Staff Daily sales'!$G924:$CD924))</f>
        <v>0</v>
      </c>
      <c r="P939">
        <f>IF($E939=0,0,SUMPRODUCT($AI$10:$DF$10,'Staff Daily sales'!$G924:$CD924))</f>
        <v>0</v>
      </c>
      <c r="Q939">
        <f>IF($E939=0,0,SUMPRODUCT($AI$11:$DF$11,'Staff Daily sales'!$G924:$CD924))</f>
        <v>0</v>
      </c>
      <c r="R939">
        <f>IF($E939=0,0,SUMPRODUCT($AI$12:$DF$12,'Staff Daily sales'!$G924:$CD924))</f>
        <v>0</v>
      </c>
      <c r="S939">
        <f>IF($E939=0,0,SUMPRODUCT($AI$13:$DF$13,'Staff Daily sales'!$G924:$CD924))</f>
        <v>0</v>
      </c>
      <c r="T939">
        <f>IF($E939=0,0,SUMPRODUCT($AI$14:$DF$14,'Staff Daily sales'!$G924:$CD924))</f>
        <v>0</v>
      </c>
      <c r="U939">
        <f>IF($E939=0,0,SUMPRODUCT($AI$15:$DF$15,'Staff Daily sales'!$G924:$CD924))</f>
        <v>0</v>
      </c>
      <c r="V939">
        <f>IF($E939=0,0,SUMPRODUCT($AI$16:$DF$16,'Staff Daily sales'!$G924:$CD924))</f>
        <v>0</v>
      </c>
      <c r="W939">
        <f t="shared" si="255"/>
        <v>0</v>
      </c>
      <c r="X939">
        <f t="shared" si="256"/>
        <v>0</v>
      </c>
      <c r="Y939">
        <f t="shared" si="257"/>
        <v>0</v>
      </c>
      <c r="Z939">
        <f t="shared" si="258"/>
        <v>0</v>
      </c>
      <c r="AA939">
        <f t="shared" si="259"/>
        <v>0</v>
      </c>
      <c r="AB939">
        <f>--AND($E939=1,OR('Staff Weekly Trend'!$B$3="All",$DH939='Staff Weekly Trend'!$B$3),OR('Staff Weekly Trend'!$B$4="All",$D939='Staff Weekly Trend'!$B$4),OR('Staff Weekly Trend'!$B$5="All",$A939='Staff Weekly Trend'!$B$5))</f>
        <v>0</v>
      </c>
      <c r="AC939" t="str">
        <f t="shared" si="260"/>
        <v/>
      </c>
      <c r="AI939">
        <f t="shared" si="261"/>
        <v>0</v>
      </c>
      <c r="AJ939">
        <f t="shared" si="262"/>
        <v>0</v>
      </c>
      <c r="AK939">
        <f t="shared" si="263"/>
        <v>0</v>
      </c>
      <c r="AL939">
        <f t="shared" si="264"/>
        <v>0</v>
      </c>
      <c r="AM939">
        <f t="shared" si="265"/>
        <v>0</v>
      </c>
      <c r="DH939" t="str" cm="1">
        <f t="array" ref="DH939">IF($A939="","",_xlfn.LET(_xlpm.c,IFERROR(_xlfn.XLOOKUP($A939,TRIM('Sales and count'!$A$4:$A$300&amp;""),TRIM('Sales and count'!$B$4:$B$300&amp;"")),""),IF(OR(_xlpm.c="",_xlpm.c="0",LEFT(_xlpm.c,1)="#"),"Not set",_xlpm.c)))</f>
        <v/>
      </c>
    </row>
    <row r="940" spans="1:112" x14ac:dyDescent="0.25">
      <c r="A940" t="str">
        <f>IF('Staff Daily sales'!$B925="","",TRIM('Staff Daily sales'!$B925&amp;""))</f>
        <v/>
      </c>
      <c r="B940" t="str">
        <f>IF('Staff Daily sales'!$D925="","",TRIM('Staff Daily sales'!$D925&amp;""))</f>
        <v/>
      </c>
      <c r="C940" t="str">
        <f>IFERROR(TRIM('Staff Daily sales'!$E925&amp;""),"")</f>
        <v/>
      </c>
      <c r="D940" t="str">
        <f>IFERROR(IF(TRIM('Staff Daily sales'!$F925&amp;"")="","Unassigned",TRIM('Staff Daily sales'!$F925&amp;"")),"Unassigned")</f>
        <v>Unassigned</v>
      </c>
      <c r="E940">
        <f t="shared" si="250"/>
        <v>0</v>
      </c>
      <c r="F940">
        <f>IF($E940=0,0,SUMPRODUCT($AI$5:$DF$5,'Staff Daily sales'!$G925:$CD925))</f>
        <v>0</v>
      </c>
      <c r="G940">
        <f>IF($E940=0,0,SUMPRODUCT($AI$6:$DF$6,'Staff Daily sales'!$G925:$CD925))</f>
        <v>0</v>
      </c>
      <c r="H940">
        <f t="shared" si="251"/>
        <v>0</v>
      </c>
      <c r="I940">
        <f t="shared" si="252"/>
        <v>0</v>
      </c>
      <c r="J940">
        <f t="shared" si="253"/>
        <v>0</v>
      </c>
      <c r="K940">
        <f t="shared" si="254"/>
        <v>0</v>
      </c>
      <c r="L940">
        <f>--AND($E940=1,OR('Staff Dashboard'!$B$6="All",$DH940='Staff Dashboard'!$B$6),OR('Staff Dashboard'!$B$7="All",$D940='Staff Dashboard'!$B$7),OR('Staff Dashboard'!$B$8="All",$A940='Staff Dashboard'!$B$8))</f>
        <v>0</v>
      </c>
      <c r="M940">
        <f>IF($E940=0,0,SUMPRODUCT($AI$7:$DF$7,'Staff Daily sales'!$G925:$CD925))</f>
        <v>0</v>
      </c>
      <c r="N940">
        <f>IF($E940=0,0,SUMPRODUCT($AI$8:$DF$8,'Staff Daily sales'!$G925:$CD925))</f>
        <v>0</v>
      </c>
      <c r="O940">
        <f>IF($E940=0,0,SUMPRODUCT($AI$9:$DF$9,'Staff Daily sales'!$G925:$CD925))</f>
        <v>0</v>
      </c>
      <c r="P940">
        <f>IF($E940=0,0,SUMPRODUCT($AI$10:$DF$10,'Staff Daily sales'!$G925:$CD925))</f>
        <v>0</v>
      </c>
      <c r="Q940">
        <f>IF($E940=0,0,SUMPRODUCT($AI$11:$DF$11,'Staff Daily sales'!$G925:$CD925))</f>
        <v>0</v>
      </c>
      <c r="R940">
        <f>IF($E940=0,0,SUMPRODUCT($AI$12:$DF$12,'Staff Daily sales'!$G925:$CD925))</f>
        <v>0</v>
      </c>
      <c r="S940">
        <f>IF($E940=0,0,SUMPRODUCT($AI$13:$DF$13,'Staff Daily sales'!$G925:$CD925))</f>
        <v>0</v>
      </c>
      <c r="T940">
        <f>IF($E940=0,0,SUMPRODUCT($AI$14:$DF$14,'Staff Daily sales'!$G925:$CD925))</f>
        <v>0</v>
      </c>
      <c r="U940">
        <f>IF($E940=0,0,SUMPRODUCT($AI$15:$DF$15,'Staff Daily sales'!$G925:$CD925))</f>
        <v>0</v>
      </c>
      <c r="V940">
        <f>IF($E940=0,0,SUMPRODUCT($AI$16:$DF$16,'Staff Daily sales'!$G925:$CD925))</f>
        <v>0</v>
      </c>
      <c r="W940">
        <f t="shared" si="255"/>
        <v>0</v>
      </c>
      <c r="X940">
        <f t="shared" si="256"/>
        <v>0</v>
      </c>
      <c r="Y940">
        <f t="shared" si="257"/>
        <v>0</v>
      </c>
      <c r="Z940">
        <f t="shared" si="258"/>
        <v>0</v>
      </c>
      <c r="AA940">
        <f t="shared" si="259"/>
        <v>0</v>
      </c>
      <c r="AB940">
        <f>--AND($E940=1,OR('Staff Weekly Trend'!$B$3="All",$DH940='Staff Weekly Trend'!$B$3),OR('Staff Weekly Trend'!$B$4="All",$D940='Staff Weekly Trend'!$B$4),OR('Staff Weekly Trend'!$B$5="All",$A940='Staff Weekly Trend'!$B$5))</f>
        <v>0</v>
      </c>
      <c r="AC940" t="str">
        <f t="shared" si="260"/>
        <v/>
      </c>
      <c r="AI940">
        <f t="shared" si="261"/>
        <v>0</v>
      </c>
      <c r="AJ940">
        <f t="shared" si="262"/>
        <v>0</v>
      </c>
      <c r="AK940">
        <f t="shared" si="263"/>
        <v>0</v>
      </c>
      <c r="AL940">
        <f t="shared" si="264"/>
        <v>0</v>
      </c>
      <c r="AM940">
        <f t="shared" si="265"/>
        <v>0</v>
      </c>
      <c r="DH940" t="str" cm="1">
        <f t="array" ref="DH940">IF($A940="","",_xlfn.LET(_xlpm.c,IFERROR(_xlfn.XLOOKUP($A940,TRIM('Sales and count'!$A$4:$A$300&amp;""),TRIM('Sales and count'!$B$4:$B$300&amp;"")),""),IF(OR(_xlpm.c="",_xlpm.c="0",LEFT(_xlpm.c,1)="#"),"Not set",_xlpm.c)))</f>
        <v/>
      </c>
    </row>
    <row r="941" spans="1:112" x14ac:dyDescent="0.25">
      <c r="A941" t="str">
        <f>IF('Staff Daily sales'!$B926="","",TRIM('Staff Daily sales'!$B926&amp;""))</f>
        <v/>
      </c>
      <c r="B941" t="str">
        <f>IF('Staff Daily sales'!$D926="","",TRIM('Staff Daily sales'!$D926&amp;""))</f>
        <v/>
      </c>
      <c r="C941" t="str">
        <f>IFERROR(TRIM('Staff Daily sales'!$E926&amp;""),"")</f>
        <v/>
      </c>
      <c r="D941" t="str">
        <f>IFERROR(IF(TRIM('Staff Daily sales'!$F926&amp;"")="","Unassigned",TRIM('Staff Daily sales'!$F926&amp;"")),"Unassigned")</f>
        <v>Unassigned</v>
      </c>
      <c r="E941">
        <f t="shared" si="250"/>
        <v>0</v>
      </c>
      <c r="F941">
        <f>IF($E941=0,0,SUMPRODUCT($AI$5:$DF$5,'Staff Daily sales'!$G926:$CD926))</f>
        <v>0</v>
      </c>
      <c r="G941">
        <f>IF($E941=0,0,SUMPRODUCT($AI$6:$DF$6,'Staff Daily sales'!$G926:$CD926))</f>
        <v>0</v>
      </c>
      <c r="H941">
        <f t="shared" si="251"/>
        <v>0</v>
      </c>
      <c r="I941">
        <f t="shared" si="252"/>
        <v>0</v>
      </c>
      <c r="J941">
        <f t="shared" si="253"/>
        <v>0</v>
      </c>
      <c r="K941">
        <f t="shared" si="254"/>
        <v>0</v>
      </c>
      <c r="L941">
        <f>--AND($E941=1,OR('Staff Dashboard'!$B$6="All",$DH941='Staff Dashboard'!$B$6),OR('Staff Dashboard'!$B$7="All",$D941='Staff Dashboard'!$B$7),OR('Staff Dashboard'!$B$8="All",$A941='Staff Dashboard'!$B$8))</f>
        <v>0</v>
      </c>
      <c r="M941">
        <f>IF($E941=0,0,SUMPRODUCT($AI$7:$DF$7,'Staff Daily sales'!$G926:$CD926))</f>
        <v>0</v>
      </c>
      <c r="N941">
        <f>IF($E941=0,0,SUMPRODUCT($AI$8:$DF$8,'Staff Daily sales'!$G926:$CD926))</f>
        <v>0</v>
      </c>
      <c r="O941">
        <f>IF($E941=0,0,SUMPRODUCT($AI$9:$DF$9,'Staff Daily sales'!$G926:$CD926))</f>
        <v>0</v>
      </c>
      <c r="P941">
        <f>IF($E941=0,0,SUMPRODUCT($AI$10:$DF$10,'Staff Daily sales'!$G926:$CD926))</f>
        <v>0</v>
      </c>
      <c r="Q941">
        <f>IF($E941=0,0,SUMPRODUCT($AI$11:$DF$11,'Staff Daily sales'!$G926:$CD926))</f>
        <v>0</v>
      </c>
      <c r="R941">
        <f>IF($E941=0,0,SUMPRODUCT($AI$12:$DF$12,'Staff Daily sales'!$G926:$CD926))</f>
        <v>0</v>
      </c>
      <c r="S941">
        <f>IF($E941=0,0,SUMPRODUCT($AI$13:$DF$13,'Staff Daily sales'!$G926:$CD926))</f>
        <v>0</v>
      </c>
      <c r="T941">
        <f>IF($E941=0,0,SUMPRODUCT($AI$14:$DF$14,'Staff Daily sales'!$G926:$CD926))</f>
        <v>0</v>
      </c>
      <c r="U941">
        <f>IF($E941=0,0,SUMPRODUCT($AI$15:$DF$15,'Staff Daily sales'!$G926:$CD926))</f>
        <v>0</v>
      </c>
      <c r="V941">
        <f>IF($E941=0,0,SUMPRODUCT($AI$16:$DF$16,'Staff Daily sales'!$G926:$CD926))</f>
        <v>0</v>
      </c>
      <c r="W941">
        <f t="shared" si="255"/>
        <v>0</v>
      </c>
      <c r="X941">
        <f t="shared" si="256"/>
        <v>0</v>
      </c>
      <c r="Y941">
        <f t="shared" si="257"/>
        <v>0</v>
      </c>
      <c r="Z941">
        <f t="shared" si="258"/>
        <v>0</v>
      </c>
      <c r="AA941">
        <f t="shared" si="259"/>
        <v>0</v>
      </c>
      <c r="AB941">
        <f>--AND($E941=1,OR('Staff Weekly Trend'!$B$3="All",$DH941='Staff Weekly Trend'!$B$3),OR('Staff Weekly Trend'!$B$4="All",$D941='Staff Weekly Trend'!$B$4),OR('Staff Weekly Trend'!$B$5="All",$A941='Staff Weekly Trend'!$B$5))</f>
        <v>0</v>
      </c>
      <c r="AC941" t="str">
        <f t="shared" si="260"/>
        <v/>
      </c>
      <c r="AI941">
        <f t="shared" si="261"/>
        <v>0</v>
      </c>
      <c r="AJ941">
        <f t="shared" si="262"/>
        <v>0</v>
      </c>
      <c r="AK941">
        <f t="shared" si="263"/>
        <v>0</v>
      </c>
      <c r="AL941">
        <f t="shared" si="264"/>
        <v>0</v>
      </c>
      <c r="AM941">
        <f t="shared" si="265"/>
        <v>0</v>
      </c>
      <c r="DH941" t="str" cm="1">
        <f t="array" ref="DH941">IF($A941="","",_xlfn.LET(_xlpm.c,IFERROR(_xlfn.XLOOKUP($A941,TRIM('Sales and count'!$A$4:$A$300&amp;""),TRIM('Sales and count'!$B$4:$B$300&amp;"")),""),IF(OR(_xlpm.c="",_xlpm.c="0",LEFT(_xlpm.c,1)="#"),"Not set",_xlpm.c)))</f>
        <v/>
      </c>
    </row>
    <row r="942" spans="1:112" x14ac:dyDescent="0.25">
      <c r="A942" t="str">
        <f>IF('Staff Daily sales'!$B927="","",TRIM('Staff Daily sales'!$B927&amp;""))</f>
        <v/>
      </c>
      <c r="B942" t="str">
        <f>IF('Staff Daily sales'!$D927="","",TRIM('Staff Daily sales'!$D927&amp;""))</f>
        <v/>
      </c>
      <c r="C942" t="str">
        <f>IFERROR(TRIM('Staff Daily sales'!$E927&amp;""),"")</f>
        <v/>
      </c>
      <c r="D942" t="str">
        <f>IFERROR(IF(TRIM('Staff Daily sales'!$F927&amp;"")="","Unassigned",TRIM('Staff Daily sales'!$F927&amp;"")),"Unassigned")</f>
        <v>Unassigned</v>
      </c>
      <c r="E942">
        <f t="shared" si="250"/>
        <v>0</v>
      </c>
      <c r="F942">
        <f>IF($E942=0,0,SUMPRODUCT($AI$5:$DF$5,'Staff Daily sales'!$G927:$CD927))</f>
        <v>0</v>
      </c>
      <c r="G942">
        <f>IF($E942=0,0,SUMPRODUCT($AI$6:$DF$6,'Staff Daily sales'!$G927:$CD927))</f>
        <v>0</v>
      </c>
      <c r="H942">
        <f t="shared" si="251"/>
        <v>0</v>
      </c>
      <c r="I942">
        <f t="shared" si="252"/>
        <v>0</v>
      </c>
      <c r="J942">
        <f t="shared" si="253"/>
        <v>0</v>
      </c>
      <c r="K942">
        <f t="shared" si="254"/>
        <v>0</v>
      </c>
      <c r="L942">
        <f>--AND($E942=1,OR('Staff Dashboard'!$B$6="All",$DH942='Staff Dashboard'!$B$6),OR('Staff Dashboard'!$B$7="All",$D942='Staff Dashboard'!$B$7),OR('Staff Dashboard'!$B$8="All",$A942='Staff Dashboard'!$B$8))</f>
        <v>0</v>
      </c>
      <c r="M942">
        <f>IF($E942=0,0,SUMPRODUCT($AI$7:$DF$7,'Staff Daily sales'!$G927:$CD927))</f>
        <v>0</v>
      </c>
      <c r="N942">
        <f>IF($E942=0,0,SUMPRODUCT($AI$8:$DF$8,'Staff Daily sales'!$G927:$CD927))</f>
        <v>0</v>
      </c>
      <c r="O942">
        <f>IF($E942=0,0,SUMPRODUCT($AI$9:$DF$9,'Staff Daily sales'!$G927:$CD927))</f>
        <v>0</v>
      </c>
      <c r="P942">
        <f>IF($E942=0,0,SUMPRODUCT($AI$10:$DF$10,'Staff Daily sales'!$G927:$CD927))</f>
        <v>0</v>
      </c>
      <c r="Q942">
        <f>IF($E942=0,0,SUMPRODUCT($AI$11:$DF$11,'Staff Daily sales'!$G927:$CD927))</f>
        <v>0</v>
      </c>
      <c r="R942">
        <f>IF($E942=0,0,SUMPRODUCT($AI$12:$DF$12,'Staff Daily sales'!$G927:$CD927))</f>
        <v>0</v>
      </c>
      <c r="S942">
        <f>IF($E942=0,0,SUMPRODUCT($AI$13:$DF$13,'Staff Daily sales'!$G927:$CD927))</f>
        <v>0</v>
      </c>
      <c r="T942">
        <f>IF($E942=0,0,SUMPRODUCT($AI$14:$DF$14,'Staff Daily sales'!$G927:$CD927))</f>
        <v>0</v>
      </c>
      <c r="U942">
        <f>IF($E942=0,0,SUMPRODUCT($AI$15:$DF$15,'Staff Daily sales'!$G927:$CD927))</f>
        <v>0</v>
      </c>
      <c r="V942">
        <f>IF($E942=0,0,SUMPRODUCT($AI$16:$DF$16,'Staff Daily sales'!$G927:$CD927))</f>
        <v>0</v>
      </c>
      <c r="W942">
        <f t="shared" si="255"/>
        <v>0</v>
      </c>
      <c r="X942">
        <f t="shared" si="256"/>
        <v>0</v>
      </c>
      <c r="Y942">
        <f t="shared" si="257"/>
        <v>0</v>
      </c>
      <c r="Z942">
        <f t="shared" si="258"/>
        <v>0</v>
      </c>
      <c r="AA942">
        <f t="shared" si="259"/>
        <v>0</v>
      </c>
      <c r="AB942">
        <f>--AND($E942=1,OR('Staff Weekly Trend'!$B$3="All",$DH942='Staff Weekly Trend'!$B$3),OR('Staff Weekly Trend'!$B$4="All",$D942='Staff Weekly Trend'!$B$4),OR('Staff Weekly Trend'!$B$5="All",$A942='Staff Weekly Trend'!$B$5))</f>
        <v>0</v>
      </c>
      <c r="AC942" t="str">
        <f t="shared" si="260"/>
        <v/>
      </c>
      <c r="AI942">
        <f t="shared" si="261"/>
        <v>0</v>
      </c>
      <c r="AJ942">
        <f t="shared" si="262"/>
        <v>0</v>
      </c>
      <c r="AK942">
        <f t="shared" si="263"/>
        <v>0</v>
      </c>
      <c r="AL942">
        <f t="shared" si="264"/>
        <v>0</v>
      </c>
      <c r="AM942">
        <f t="shared" si="265"/>
        <v>0</v>
      </c>
      <c r="DH942" t="str" cm="1">
        <f t="array" ref="DH942">IF($A942="","",_xlfn.LET(_xlpm.c,IFERROR(_xlfn.XLOOKUP($A942,TRIM('Sales and count'!$A$4:$A$300&amp;""),TRIM('Sales and count'!$B$4:$B$300&amp;"")),""),IF(OR(_xlpm.c="",_xlpm.c="0",LEFT(_xlpm.c,1)="#"),"Not set",_xlpm.c)))</f>
        <v/>
      </c>
    </row>
    <row r="943" spans="1:112" x14ac:dyDescent="0.25">
      <c r="A943" t="str">
        <f>IF('Staff Daily sales'!$B928="","",TRIM('Staff Daily sales'!$B928&amp;""))</f>
        <v/>
      </c>
      <c r="B943" t="str">
        <f>IF('Staff Daily sales'!$D928="","",TRIM('Staff Daily sales'!$D928&amp;""))</f>
        <v/>
      </c>
      <c r="C943" t="str">
        <f>IFERROR(TRIM('Staff Daily sales'!$E928&amp;""),"")</f>
        <v/>
      </c>
      <c r="D943" t="str">
        <f>IFERROR(IF(TRIM('Staff Daily sales'!$F928&amp;"")="","Unassigned",TRIM('Staff Daily sales'!$F928&amp;"")),"Unassigned")</f>
        <v>Unassigned</v>
      </c>
      <c r="E943">
        <f t="shared" si="250"/>
        <v>0</v>
      </c>
      <c r="F943">
        <f>IF($E943=0,0,SUMPRODUCT($AI$5:$DF$5,'Staff Daily sales'!$G928:$CD928))</f>
        <v>0</v>
      </c>
      <c r="G943">
        <f>IF($E943=0,0,SUMPRODUCT($AI$6:$DF$6,'Staff Daily sales'!$G928:$CD928))</f>
        <v>0</v>
      </c>
      <c r="H943">
        <f t="shared" si="251"/>
        <v>0</v>
      </c>
      <c r="I943">
        <f t="shared" si="252"/>
        <v>0</v>
      </c>
      <c r="J943">
        <f t="shared" si="253"/>
        <v>0</v>
      </c>
      <c r="K943">
        <f t="shared" si="254"/>
        <v>0</v>
      </c>
      <c r="L943">
        <f>--AND($E943=1,OR('Staff Dashboard'!$B$6="All",$DH943='Staff Dashboard'!$B$6),OR('Staff Dashboard'!$B$7="All",$D943='Staff Dashboard'!$B$7),OR('Staff Dashboard'!$B$8="All",$A943='Staff Dashboard'!$B$8))</f>
        <v>0</v>
      </c>
      <c r="M943">
        <f>IF($E943=0,0,SUMPRODUCT($AI$7:$DF$7,'Staff Daily sales'!$G928:$CD928))</f>
        <v>0</v>
      </c>
      <c r="N943">
        <f>IF($E943=0,0,SUMPRODUCT($AI$8:$DF$8,'Staff Daily sales'!$G928:$CD928))</f>
        <v>0</v>
      </c>
      <c r="O943">
        <f>IF($E943=0,0,SUMPRODUCT($AI$9:$DF$9,'Staff Daily sales'!$G928:$CD928))</f>
        <v>0</v>
      </c>
      <c r="P943">
        <f>IF($E943=0,0,SUMPRODUCT($AI$10:$DF$10,'Staff Daily sales'!$G928:$CD928))</f>
        <v>0</v>
      </c>
      <c r="Q943">
        <f>IF($E943=0,0,SUMPRODUCT($AI$11:$DF$11,'Staff Daily sales'!$G928:$CD928))</f>
        <v>0</v>
      </c>
      <c r="R943">
        <f>IF($E943=0,0,SUMPRODUCT($AI$12:$DF$12,'Staff Daily sales'!$G928:$CD928))</f>
        <v>0</v>
      </c>
      <c r="S943">
        <f>IF($E943=0,0,SUMPRODUCT($AI$13:$DF$13,'Staff Daily sales'!$G928:$CD928))</f>
        <v>0</v>
      </c>
      <c r="T943">
        <f>IF($E943=0,0,SUMPRODUCT($AI$14:$DF$14,'Staff Daily sales'!$G928:$CD928))</f>
        <v>0</v>
      </c>
      <c r="U943">
        <f>IF($E943=0,0,SUMPRODUCT($AI$15:$DF$15,'Staff Daily sales'!$G928:$CD928))</f>
        <v>0</v>
      </c>
      <c r="V943">
        <f>IF($E943=0,0,SUMPRODUCT($AI$16:$DF$16,'Staff Daily sales'!$G928:$CD928))</f>
        <v>0</v>
      </c>
      <c r="W943">
        <f t="shared" si="255"/>
        <v>0</v>
      </c>
      <c r="X943">
        <f t="shared" si="256"/>
        <v>0</v>
      </c>
      <c r="Y943">
        <f t="shared" si="257"/>
        <v>0</v>
      </c>
      <c r="Z943">
        <f t="shared" si="258"/>
        <v>0</v>
      </c>
      <c r="AA943">
        <f t="shared" si="259"/>
        <v>0</v>
      </c>
      <c r="AB943">
        <f>--AND($E943=1,OR('Staff Weekly Trend'!$B$3="All",$DH943='Staff Weekly Trend'!$B$3),OR('Staff Weekly Trend'!$B$4="All",$D943='Staff Weekly Trend'!$B$4),OR('Staff Weekly Trend'!$B$5="All",$A943='Staff Weekly Trend'!$B$5))</f>
        <v>0</v>
      </c>
      <c r="AC943" t="str">
        <f t="shared" si="260"/>
        <v/>
      </c>
      <c r="AI943">
        <f t="shared" si="261"/>
        <v>0</v>
      </c>
      <c r="AJ943">
        <f t="shared" si="262"/>
        <v>0</v>
      </c>
      <c r="AK943">
        <f t="shared" si="263"/>
        <v>0</v>
      </c>
      <c r="AL943">
        <f t="shared" si="264"/>
        <v>0</v>
      </c>
      <c r="AM943">
        <f t="shared" si="265"/>
        <v>0</v>
      </c>
      <c r="DH943" t="str" cm="1">
        <f t="array" ref="DH943">IF($A943="","",_xlfn.LET(_xlpm.c,IFERROR(_xlfn.XLOOKUP($A943,TRIM('Sales and count'!$A$4:$A$300&amp;""),TRIM('Sales and count'!$B$4:$B$300&amp;"")),""),IF(OR(_xlpm.c="",_xlpm.c="0",LEFT(_xlpm.c,1)="#"),"Not set",_xlpm.c)))</f>
        <v/>
      </c>
    </row>
    <row r="944" spans="1:112" x14ac:dyDescent="0.25">
      <c r="A944" t="str">
        <f>IF('Staff Daily sales'!$B929="","",TRIM('Staff Daily sales'!$B929&amp;""))</f>
        <v/>
      </c>
      <c r="B944" t="str">
        <f>IF('Staff Daily sales'!$D929="","",TRIM('Staff Daily sales'!$D929&amp;""))</f>
        <v/>
      </c>
      <c r="C944" t="str">
        <f>IFERROR(TRIM('Staff Daily sales'!$E929&amp;""),"")</f>
        <v/>
      </c>
      <c r="D944" t="str">
        <f>IFERROR(IF(TRIM('Staff Daily sales'!$F929&amp;"")="","Unassigned",TRIM('Staff Daily sales'!$F929&amp;"")),"Unassigned")</f>
        <v>Unassigned</v>
      </c>
      <c r="E944">
        <f t="shared" si="250"/>
        <v>0</v>
      </c>
      <c r="F944">
        <f>IF($E944=0,0,SUMPRODUCT($AI$5:$DF$5,'Staff Daily sales'!$G929:$CD929))</f>
        <v>0</v>
      </c>
      <c r="G944">
        <f>IF($E944=0,0,SUMPRODUCT($AI$6:$DF$6,'Staff Daily sales'!$G929:$CD929))</f>
        <v>0</v>
      </c>
      <c r="H944">
        <f t="shared" si="251"/>
        <v>0</v>
      </c>
      <c r="I944">
        <f t="shared" si="252"/>
        <v>0</v>
      </c>
      <c r="J944">
        <f t="shared" si="253"/>
        <v>0</v>
      </c>
      <c r="K944">
        <f t="shared" si="254"/>
        <v>0</v>
      </c>
      <c r="L944">
        <f>--AND($E944=1,OR('Staff Dashboard'!$B$6="All",$DH944='Staff Dashboard'!$B$6),OR('Staff Dashboard'!$B$7="All",$D944='Staff Dashboard'!$B$7),OR('Staff Dashboard'!$B$8="All",$A944='Staff Dashboard'!$B$8))</f>
        <v>0</v>
      </c>
      <c r="M944">
        <f>IF($E944=0,0,SUMPRODUCT($AI$7:$DF$7,'Staff Daily sales'!$G929:$CD929))</f>
        <v>0</v>
      </c>
      <c r="N944">
        <f>IF($E944=0,0,SUMPRODUCT($AI$8:$DF$8,'Staff Daily sales'!$G929:$CD929))</f>
        <v>0</v>
      </c>
      <c r="O944">
        <f>IF($E944=0,0,SUMPRODUCT($AI$9:$DF$9,'Staff Daily sales'!$G929:$CD929))</f>
        <v>0</v>
      </c>
      <c r="P944">
        <f>IF($E944=0,0,SUMPRODUCT($AI$10:$DF$10,'Staff Daily sales'!$G929:$CD929))</f>
        <v>0</v>
      </c>
      <c r="Q944">
        <f>IF($E944=0,0,SUMPRODUCT($AI$11:$DF$11,'Staff Daily sales'!$G929:$CD929))</f>
        <v>0</v>
      </c>
      <c r="R944">
        <f>IF($E944=0,0,SUMPRODUCT($AI$12:$DF$12,'Staff Daily sales'!$G929:$CD929))</f>
        <v>0</v>
      </c>
      <c r="S944">
        <f>IF($E944=0,0,SUMPRODUCT($AI$13:$DF$13,'Staff Daily sales'!$G929:$CD929))</f>
        <v>0</v>
      </c>
      <c r="T944">
        <f>IF($E944=0,0,SUMPRODUCT($AI$14:$DF$14,'Staff Daily sales'!$G929:$CD929))</f>
        <v>0</v>
      </c>
      <c r="U944">
        <f>IF($E944=0,0,SUMPRODUCT($AI$15:$DF$15,'Staff Daily sales'!$G929:$CD929))</f>
        <v>0</v>
      </c>
      <c r="V944">
        <f>IF($E944=0,0,SUMPRODUCT($AI$16:$DF$16,'Staff Daily sales'!$G929:$CD929))</f>
        <v>0</v>
      </c>
      <c r="W944">
        <f t="shared" si="255"/>
        <v>0</v>
      </c>
      <c r="X944">
        <f t="shared" si="256"/>
        <v>0</v>
      </c>
      <c r="Y944">
        <f t="shared" si="257"/>
        <v>0</v>
      </c>
      <c r="Z944">
        <f t="shared" si="258"/>
        <v>0</v>
      </c>
      <c r="AA944">
        <f t="shared" si="259"/>
        <v>0</v>
      </c>
      <c r="AB944">
        <f>--AND($E944=1,OR('Staff Weekly Trend'!$B$3="All",$DH944='Staff Weekly Trend'!$B$3),OR('Staff Weekly Trend'!$B$4="All",$D944='Staff Weekly Trend'!$B$4),OR('Staff Weekly Trend'!$B$5="All",$A944='Staff Weekly Trend'!$B$5))</f>
        <v>0</v>
      </c>
      <c r="AC944" t="str">
        <f t="shared" si="260"/>
        <v/>
      </c>
      <c r="AI944">
        <f t="shared" si="261"/>
        <v>0</v>
      </c>
      <c r="AJ944">
        <f t="shared" si="262"/>
        <v>0</v>
      </c>
      <c r="AK944">
        <f t="shared" si="263"/>
        <v>0</v>
      </c>
      <c r="AL944">
        <f t="shared" si="264"/>
        <v>0</v>
      </c>
      <c r="AM944">
        <f t="shared" si="265"/>
        <v>0</v>
      </c>
      <c r="DH944" t="str" cm="1">
        <f t="array" ref="DH944">IF($A944="","",_xlfn.LET(_xlpm.c,IFERROR(_xlfn.XLOOKUP($A944,TRIM('Sales and count'!$A$4:$A$300&amp;""),TRIM('Sales and count'!$B$4:$B$300&amp;"")),""),IF(OR(_xlpm.c="",_xlpm.c="0",LEFT(_xlpm.c,1)="#"),"Not set",_xlpm.c)))</f>
        <v/>
      </c>
    </row>
    <row r="945" spans="1:112" x14ac:dyDescent="0.25">
      <c r="A945" t="str">
        <f>IF('Staff Daily sales'!$B930="","",TRIM('Staff Daily sales'!$B930&amp;""))</f>
        <v/>
      </c>
      <c r="B945" t="str">
        <f>IF('Staff Daily sales'!$D930="","",TRIM('Staff Daily sales'!$D930&amp;""))</f>
        <v/>
      </c>
      <c r="C945" t="str">
        <f>IFERROR(TRIM('Staff Daily sales'!$E930&amp;""),"")</f>
        <v/>
      </c>
      <c r="D945" t="str">
        <f>IFERROR(IF(TRIM('Staff Daily sales'!$F930&amp;"")="","Unassigned",TRIM('Staff Daily sales'!$F930&amp;"")),"Unassigned")</f>
        <v>Unassigned</v>
      </c>
      <c r="E945">
        <f t="shared" si="250"/>
        <v>0</v>
      </c>
      <c r="F945">
        <f>IF($E945=0,0,SUMPRODUCT($AI$5:$DF$5,'Staff Daily sales'!$G930:$CD930))</f>
        <v>0</v>
      </c>
      <c r="G945">
        <f>IF($E945=0,0,SUMPRODUCT($AI$6:$DF$6,'Staff Daily sales'!$G930:$CD930))</f>
        <v>0</v>
      </c>
      <c r="H945">
        <f t="shared" si="251"/>
        <v>0</v>
      </c>
      <c r="I945">
        <f t="shared" si="252"/>
        <v>0</v>
      </c>
      <c r="J945">
        <f t="shared" si="253"/>
        <v>0</v>
      </c>
      <c r="K945">
        <f t="shared" si="254"/>
        <v>0</v>
      </c>
      <c r="L945">
        <f>--AND($E945=1,OR('Staff Dashboard'!$B$6="All",$DH945='Staff Dashboard'!$B$6),OR('Staff Dashboard'!$B$7="All",$D945='Staff Dashboard'!$B$7),OR('Staff Dashboard'!$B$8="All",$A945='Staff Dashboard'!$B$8))</f>
        <v>0</v>
      </c>
      <c r="M945">
        <f>IF($E945=0,0,SUMPRODUCT($AI$7:$DF$7,'Staff Daily sales'!$G930:$CD930))</f>
        <v>0</v>
      </c>
      <c r="N945">
        <f>IF($E945=0,0,SUMPRODUCT($AI$8:$DF$8,'Staff Daily sales'!$G930:$CD930))</f>
        <v>0</v>
      </c>
      <c r="O945">
        <f>IF($E945=0,0,SUMPRODUCT($AI$9:$DF$9,'Staff Daily sales'!$G930:$CD930))</f>
        <v>0</v>
      </c>
      <c r="P945">
        <f>IF($E945=0,0,SUMPRODUCT($AI$10:$DF$10,'Staff Daily sales'!$G930:$CD930))</f>
        <v>0</v>
      </c>
      <c r="Q945">
        <f>IF($E945=0,0,SUMPRODUCT($AI$11:$DF$11,'Staff Daily sales'!$G930:$CD930))</f>
        <v>0</v>
      </c>
      <c r="R945">
        <f>IF($E945=0,0,SUMPRODUCT($AI$12:$DF$12,'Staff Daily sales'!$G930:$CD930))</f>
        <v>0</v>
      </c>
      <c r="S945">
        <f>IF($E945=0,0,SUMPRODUCT($AI$13:$DF$13,'Staff Daily sales'!$G930:$CD930))</f>
        <v>0</v>
      </c>
      <c r="T945">
        <f>IF($E945=0,0,SUMPRODUCT($AI$14:$DF$14,'Staff Daily sales'!$G930:$CD930))</f>
        <v>0</v>
      </c>
      <c r="U945">
        <f>IF($E945=0,0,SUMPRODUCT($AI$15:$DF$15,'Staff Daily sales'!$G930:$CD930))</f>
        <v>0</v>
      </c>
      <c r="V945">
        <f>IF($E945=0,0,SUMPRODUCT($AI$16:$DF$16,'Staff Daily sales'!$G930:$CD930))</f>
        <v>0</v>
      </c>
      <c r="W945">
        <f t="shared" si="255"/>
        <v>0</v>
      </c>
      <c r="X945">
        <f t="shared" si="256"/>
        <v>0</v>
      </c>
      <c r="Y945">
        <f t="shared" si="257"/>
        <v>0</v>
      </c>
      <c r="Z945">
        <f t="shared" si="258"/>
        <v>0</v>
      </c>
      <c r="AA945">
        <f t="shared" si="259"/>
        <v>0</v>
      </c>
      <c r="AB945">
        <f>--AND($E945=1,OR('Staff Weekly Trend'!$B$3="All",$DH945='Staff Weekly Trend'!$B$3),OR('Staff Weekly Trend'!$B$4="All",$D945='Staff Weekly Trend'!$B$4),OR('Staff Weekly Trend'!$B$5="All",$A945='Staff Weekly Trend'!$B$5))</f>
        <v>0</v>
      </c>
      <c r="AC945" t="str">
        <f t="shared" si="260"/>
        <v/>
      </c>
      <c r="AI945">
        <f t="shared" si="261"/>
        <v>0</v>
      </c>
      <c r="AJ945">
        <f t="shared" si="262"/>
        <v>0</v>
      </c>
      <c r="AK945">
        <f t="shared" si="263"/>
        <v>0</v>
      </c>
      <c r="AL945">
        <f t="shared" si="264"/>
        <v>0</v>
      </c>
      <c r="AM945">
        <f t="shared" si="265"/>
        <v>0</v>
      </c>
      <c r="DH945" t="str" cm="1">
        <f t="array" ref="DH945">IF($A945="","",_xlfn.LET(_xlpm.c,IFERROR(_xlfn.XLOOKUP($A945,TRIM('Sales and count'!$A$4:$A$300&amp;""),TRIM('Sales and count'!$B$4:$B$300&amp;"")),""),IF(OR(_xlpm.c="",_xlpm.c="0",LEFT(_xlpm.c,1)="#"),"Not set",_xlpm.c)))</f>
        <v/>
      </c>
    </row>
    <row r="946" spans="1:112" x14ac:dyDescent="0.25">
      <c r="A946" t="str">
        <f>IF('Staff Daily sales'!$B931="","",TRIM('Staff Daily sales'!$B931&amp;""))</f>
        <v/>
      </c>
      <c r="B946" t="str">
        <f>IF('Staff Daily sales'!$D931="","",TRIM('Staff Daily sales'!$D931&amp;""))</f>
        <v/>
      </c>
      <c r="C946" t="str">
        <f>IFERROR(TRIM('Staff Daily sales'!$E931&amp;""),"")</f>
        <v/>
      </c>
      <c r="D946" t="str">
        <f>IFERROR(IF(TRIM('Staff Daily sales'!$F931&amp;"")="","Unassigned",TRIM('Staff Daily sales'!$F931&amp;"")),"Unassigned")</f>
        <v>Unassigned</v>
      </c>
      <c r="E946">
        <f t="shared" si="250"/>
        <v>0</v>
      </c>
      <c r="F946">
        <f>IF($E946=0,0,SUMPRODUCT($AI$5:$DF$5,'Staff Daily sales'!$G931:$CD931))</f>
        <v>0</v>
      </c>
      <c r="G946">
        <f>IF($E946=0,0,SUMPRODUCT($AI$6:$DF$6,'Staff Daily sales'!$G931:$CD931))</f>
        <v>0</v>
      </c>
      <c r="H946">
        <f t="shared" si="251"/>
        <v>0</v>
      </c>
      <c r="I946">
        <f t="shared" si="252"/>
        <v>0</v>
      </c>
      <c r="J946">
        <f t="shared" si="253"/>
        <v>0</v>
      </c>
      <c r="K946">
        <f t="shared" si="254"/>
        <v>0</v>
      </c>
      <c r="L946">
        <f>--AND($E946=1,OR('Staff Dashboard'!$B$6="All",$DH946='Staff Dashboard'!$B$6),OR('Staff Dashboard'!$B$7="All",$D946='Staff Dashboard'!$B$7),OR('Staff Dashboard'!$B$8="All",$A946='Staff Dashboard'!$B$8))</f>
        <v>0</v>
      </c>
      <c r="M946">
        <f>IF($E946=0,0,SUMPRODUCT($AI$7:$DF$7,'Staff Daily sales'!$G931:$CD931))</f>
        <v>0</v>
      </c>
      <c r="N946">
        <f>IF($E946=0,0,SUMPRODUCT($AI$8:$DF$8,'Staff Daily sales'!$G931:$CD931))</f>
        <v>0</v>
      </c>
      <c r="O946">
        <f>IF($E946=0,0,SUMPRODUCT($AI$9:$DF$9,'Staff Daily sales'!$G931:$CD931))</f>
        <v>0</v>
      </c>
      <c r="P946">
        <f>IF($E946=0,0,SUMPRODUCT($AI$10:$DF$10,'Staff Daily sales'!$G931:$CD931))</f>
        <v>0</v>
      </c>
      <c r="Q946">
        <f>IF($E946=0,0,SUMPRODUCT($AI$11:$DF$11,'Staff Daily sales'!$G931:$CD931))</f>
        <v>0</v>
      </c>
      <c r="R946">
        <f>IF($E946=0,0,SUMPRODUCT($AI$12:$DF$12,'Staff Daily sales'!$G931:$CD931))</f>
        <v>0</v>
      </c>
      <c r="S946">
        <f>IF($E946=0,0,SUMPRODUCT($AI$13:$DF$13,'Staff Daily sales'!$G931:$CD931))</f>
        <v>0</v>
      </c>
      <c r="T946">
        <f>IF($E946=0,0,SUMPRODUCT($AI$14:$DF$14,'Staff Daily sales'!$G931:$CD931))</f>
        <v>0</v>
      </c>
      <c r="U946">
        <f>IF($E946=0,0,SUMPRODUCT($AI$15:$DF$15,'Staff Daily sales'!$G931:$CD931))</f>
        <v>0</v>
      </c>
      <c r="V946">
        <f>IF($E946=0,0,SUMPRODUCT($AI$16:$DF$16,'Staff Daily sales'!$G931:$CD931))</f>
        <v>0</v>
      </c>
      <c r="W946">
        <f t="shared" si="255"/>
        <v>0</v>
      </c>
      <c r="X946">
        <f t="shared" si="256"/>
        <v>0</v>
      </c>
      <c r="Y946">
        <f t="shared" si="257"/>
        <v>0</v>
      </c>
      <c r="Z946">
        <f t="shared" si="258"/>
        <v>0</v>
      </c>
      <c r="AA946">
        <f t="shared" si="259"/>
        <v>0</v>
      </c>
      <c r="AB946">
        <f>--AND($E946=1,OR('Staff Weekly Trend'!$B$3="All",$DH946='Staff Weekly Trend'!$B$3),OR('Staff Weekly Trend'!$B$4="All",$D946='Staff Weekly Trend'!$B$4),OR('Staff Weekly Trend'!$B$5="All",$A946='Staff Weekly Trend'!$B$5))</f>
        <v>0</v>
      </c>
      <c r="AC946" t="str">
        <f t="shared" si="260"/>
        <v/>
      </c>
      <c r="AI946">
        <f t="shared" si="261"/>
        <v>0</v>
      </c>
      <c r="AJ946">
        <f t="shared" si="262"/>
        <v>0</v>
      </c>
      <c r="AK946">
        <f t="shared" si="263"/>
        <v>0</v>
      </c>
      <c r="AL946">
        <f t="shared" si="264"/>
        <v>0</v>
      </c>
      <c r="AM946">
        <f t="shared" si="265"/>
        <v>0</v>
      </c>
      <c r="DH946" t="str" cm="1">
        <f t="array" ref="DH946">IF($A946="","",_xlfn.LET(_xlpm.c,IFERROR(_xlfn.XLOOKUP($A946,TRIM('Sales and count'!$A$4:$A$300&amp;""),TRIM('Sales and count'!$B$4:$B$300&amp;"")),""),IF(OR(_xlpm.c="",_xlpm.c="0",LEFT(_xlpm.c,1)="#"),"Not set",_xlpm.c)))</f>
        <v/>
      </c>
    </row>
    <row r="947" spans="1:112" x14ac:dyDescent="0.25">
      <c r="A947" t="str">
        <f>IF('Staff Daily sales'!$B932="","",TRIM('Staff Daily sales'!$B932&amp;""))</f>
        <v/>
      </c>
      <c r="B947" t="str">
        <f>IF('Staff Daily sales'!$D932="","",TRIM('Staff Daily sales'!$D932&amp;""))</f>
        <v/>
      </c>
      <c r="C947" t="str">
        <f>IFERROR(TRIM('Staff Daily sales'!$E932&amp;""),"")</f>
        <v/>
      </c>
      <c r="D947" t="str">
        <f>IFERROR(IF(TRIM('Staff Daily sales'!$F932&amp;"")="","Unassigned",TRIM('Staff Daily sales'!$F932&amp;"")),"Unassigned")</f>
        <v>Unassigned</v>
      </c>
      <c r="E947">
        <f t="shared" si="250"/>
        <v>0</v>
      </c>
      <c r="F947">
        <f>IF($E947=0,0,SUMPRODUCT($AI$5:$DF$5,'Staff Daily sales'!$G932:$CD932))</f>
        <v>0</v>
      </c>
      <c r="G947">
        <f>IF($E947=0,0,SUMPRODUCT($AI$6:$DF$6,'Staff Daily sales'!$G932:$CD932))</f>
        <v>0</v>
      </c>
      <c r="H947">
        <f t="shared" si="251"/>
        <v>0</v>
      </c>
      <c r="I947">
        <f t="shared" si="252"/>
        <v>0</v>
      </c>
      <c r="J947">
        <f t="shared" si="253"/>
        <v>0</v>
      </c>
      <c r="K947">
        <f t="shared" si="254"/>
        <v>0</v>
      </c>
      <c r="L947">
        <f>--AND($E947=1,OR('Staff Dashboard'!$B$6="All",$DH947='Staff Dashboard'!$B$6),OR('Staff Dashboard'!$B$7="All",$D947='Staff Dashboard'!$B$7),OR('Staff Dashboard'!$B$8="All",$A947='Staff Dashboard'!$B$8))</f>
        <v>0</v>
      </c>
      <c r="M947">
        <f>IF($E947=0,0,SUMPRODUCT($AI$7:$DF$7,'Staff Daily sales'!$G932:$CD932))</f>
        <v>0</v>
      </c>
      <c r="N947">
        <f>IF($E947=0,0,SUMPRODUCT($AI$8:$DF$8,'Staff Daily sales'!$G932:$CD932))</f>
        <v>0</v>
      </c>
      <c r="O947">
        <f>IF($E947=0,0,SUMPRODUCT($AI$9:$DF$9,'Staff Daily sales'!$G932:$CD932))</f>
        <v>0</v>
      </c>
      <c r="P947">
        <f>IF($E947=0,0,SUMPRODUCT($AI$10:$DF$10,'Staff Daily sales'!$G932:$CD932))</f>
        <v>0</v>
      </c>
      <c r="Q947">
        <f>IF($E947=0,0,SUMPRODUCT($AI$11:$DF$11,'Staff Daily sales'!$G932:$CD932))</f>
        <v>0</v>
      </c>
      <c r="R947">
        <f>IF($E947=0,0,SUMPRODUCT($AI$12:$DF$12,'Staff Daily sales'!$G932:$CD932))</f>
        <v>0</v>
      </c>
      <c r="S947">
        <f>IF($E947=0,0,SUMPRODUCT($AI$13:$DF$13,'Staff Daily sales'!$G932:$CD932))</f>
        <v>0</v>
      </c>
      <c r="T947">
        <f>IF($E947=0,0,SUMPRODUCT($AI$14:$DF$14,'Staff Daily sales'!$G932:$CD932))</f>
        <v>0</v>
      </c>
      <c r="U947">
        <f>IF($E947=0,0,SUMPRODUCT($AI$15:$DF$15,'Staff Daily sales'!$G932:$CD932))</f>
        <v>0</v>
      </c>
      <c r="V947">
        <f>IF($E947=0,0,SUMPRODUCT($AI$16:$DF$16,'Staff Daily sales'!$G932:$CD932))</f>
        <v>0</v>
      </c>
      <c r="W947">
        <f t="shared" si="255"/>
        <v>0</v>
      </c>
      <c r="X947">
        <f t="shared" si="256"/>
        <v>0</v>
      </c>
      <c r="Y947">
        <f t="shared" si="257"/>
        <v>0</v>
      </c>
      <c r="Z947">
        <f t="shared" si="258"/>
        <v>0</v>
      </c>
      <c r="AA947">
        <f t="shared" si="259"/>
        <v>0</v>
      </c>
      <c r="AB947">
        <f>--AND($E947=1,OR('Staff Weekly Trend'!$B$3="All",$DH947='Staff Weekly Trend'!$B$3),OR('Staff Weekly Trend'!$B$4="All",$D947='Staff Weekly Trend'!$B$4),OR('Staff Weekly Trend'!$B$5="All",$A947='Staff Weekly Trend'!$B$5))</f>
        <v>0</v>
      </c>
      <c r="AC947" t="str">
        <f t="shared" si="260"/>
        <v/>
      </c>
      <c r="AI947">
        <f t="shared" si="261"/>
        <v>0</v>
      </c>
      <c r="AJ947">
        <f t="shared" si="262"/>
        <v>0</v>
      </c>
      <c r="AK947">
        <f t="shared" si="263"/>
        <v>0</v>
      </c>
      <c r="AL947">
        <f t="shared" si="264"/>
        <v>0</v>
      </c>
      <c r="AM947">
        <f t="shared" si="265"/>
        <v>0</v>
      </c>
      <c r="DH947" t="str" cm="1">
        <f t="array" ref="DH947">IF($A947="","",_xlfn.LET(_xlpm.c,IFERROR(_xlfn.XLOOKUP($A947,TRIM('Sales and count'!$A$4:$A$300&amp;""),TRIM('Sales and count'!$B$4:$B$300&amp;"")),""),IF(OR(_xlpm.c="",_xlpm.c="0",LEFT(_xlpm.c,1)="#"),"Not set",_xlpm.c)))</f>
        <v/>
      </c>
    </row>
    <row r="948" spans="1:112" x14ac:dyDescent="0.25">
      <c r="A948" t="str">
        <f>IF('Staff Daily sales'!$B933="","",TRIM('Staff Daily sales'!$B933&amp;""))</f>
        <v/>
      </c>
      <c r="B948" t="str">
        <f>IF('Staff Daily sales'!$D933="","",TRIM('Staff Daily sales'!$D933&amp;""))</f>
        <v/>
      </c>
      <c r="C948" t="str">
        <f>IFERROR(TRIM('Staff Daily sales'!$E933&amp;""),"")</f>
        <v/>
      </c>
      <c r="D948" t="str">
        <f>IFERROR(IF(TRIM('Staff Daily sales'!$F933&amp;"")="","Unassigned",TRIM('Staff Daily sales'!$F933&amp;"")),"Unassigned")</f>
        <v>Unassigned</v>
      </c>
      <c r="E948">
        <f t="shared" si="250"/>
        <v>0</v>
      </c>
      <c r="F948">
        <f>IF($E948=0,0,SUMPRODUCT($AI$5:$DF$5,'Staff Daily sales'!$G933:$CD933))</f>
        <v>0</v>
      </c>
      <c r="G948">
        <f>IF($E948=0,0,SUMPRODUCT($AI$6:$DF$6,'Staff Daily sales'!$G933:$CD933))</f>
        <v>0</v>
      </c>
      <c r="H948">
        <f t="shared" si="251"/>
        <v>0</v>
      </c>
      <c r="I948">
        <f t="shared" si="252"/>
        <v>0</v>
      </c>
      <c r="J948">
        <f t="shared" si="253"/>
        <v>0</v>
      </c>
      <c r="K948">
        <f t="shared" si="254"/>
        <v>0</v>
      </c>
      <c r="L948">
        <f>--AND($E948=1,OR('Staff Dashboard'!$B$6="All",$DH948='Staff Dashboard'!$B$6),OR('Staff Dashboard'!$B$7="All",$D948='Staff Dashboard'!$B$7),OR('Staff Dashboard'!$B$8="All",$A948='Staff Dashboard'!$B$8))</f>
        <v>0</v>
      </c>
      <c r="M948">
        <f>IF($E948=0,0,SUMPRODUCT($AI$7:$DF$7,'Staff Daily sales'!$G933:$CD933))</f>
        <v>0</v>
      </c>
      <c r="N948">
        <f>IF($E948=0,0,SUMPRODUCT($AI$8:$DF$8,'Staff Daily sales'!$G933:$CD933))</f>
        <v>0</v>
      </c>
      <c r="O948">
        <f>IF($E948=0,0,SUMPRODUCT($AI$9:$DF$9,'Staff Daily sales'!$G933:$CD933))</f>
        <v>0</v>
      </c>
      <c r="P948">
        <f>IF($E948=0,0,SUMPRODUCT($AI$10:$DF$10,'Staff Daily sales'!$G933:$CD933))</f>
        <v>0</v>
      </c>
      <c r="Q948">
        <f>IF($E948=0,0,SUMPRODUCT($AI$11:$DF$11,'Staff Daily sales'!$G933:$CD933))</f>
        <v>0</v>
      </c>
      <c r="R948">
        <f>IF($E948=0,0,SUMPRODUCT($AI$12:$DF$12,'Staff Daily sales'!$G933:$CD933))</f>
        <v>0</v>
      </c>
      <c r="S948">
        <f>IF($E948=0,0,SUMPRODUCT($AI$13:$DF$13,'Staff Daily sales'!$G933:$CD933))</f>
        <v>0</v>
      </c>
      <c r="T948">
        <f>IF($E948=0,0,SUMPRODUCT($AI$14:$DF$14,'Staff Daily sales'!$G933:$CD933))</f>
        <v>0</v>
      </c>
      <c r="U948">
        <f>IF($E948=0,0,SUMPRODUCT($AI$15:$DF$15,'Staff Daily sales'!$G933:$CD933))</f>
        <v>0</v>
      </c>
      <c r="V948">
        <f>IF($E948=0,0,SUMPRODUCT($AI$16:$DF$16,'Staff Daily sales'!$G933:$CD933))</f>
        <v>0</v>
      </c>
      <c r="W948">
        <f t="shared" si="255"/>
        <v>0</v>
      </c>
      <c r="X948">
        <f t="shared" si="256"/>
        <v>0</v>
      </c>
      <c r="Y948">
        <f t="shared" si="257"/>
        <v>0</v>
      </c>
      <c r="Z948">
        <f t="shared" si="258"/>
        <v>0</v>
      </c>
      <c r="AA948">
        <f t="shared" si="259"/>
        <v>0</v>
      </c>
      <c r="AB948">
        <f>--AND($E948=1,OR('Staff Weekly Trend'!$B$3="All",$DH948='Staff Weekly Trend'!$B$3),OR('Staff Weekly Trend'!$B$4="All",$D948='Staff Weekly Trend'!$B$4),OR('Staff Weekly Trend'!$B$5="All",$A948='Staff Weekly Trend'!$B$5))</f>
        <v>0</v>
      </c>
      <c r="AC948" t="str">
        <f t="shared" si="260"/>
        <v/>
      </c>
      <c r="AI948">
        <f t="shared" si="261"/>
        <v>0</v>
      </c>
      <c r="AJ948">
        <f t="shared" si="262"/>
        <v>0</v>
      </c>
      <c r="AK948">
        <f t="shared" si="263"/>
        <v>0</v>
      </c>
      <c r="AL948">
        <f t="shared" si="264"/>
        <v>0</v>
      </c>
      <c r="AM948">
        <f t="shared" si="265"/>
        <v>0</v>
      </c>
      <c r="DH948" t="str" cm="1">
        <f t="array" ref="DH948">IF($A948="","",_xlfn.LET(_xlpm.c,IFERROR(_xlfn.XLOOKUP($A948,TRIM('Sales and count'!$A$4:$A$300&amp;""),TRIM('Sales and count'!$B$4:$B$300&amp;"")),""),IF(OR(_xlpm.c="",_xlpm.c="0",LEFT(_xlpm.c,1)="#"),"Not set",_xlpm.c)))</f>
        <v/>
      </c>
    </row>
    <row r="949" spans="1:112" x14ac:dyDescent="0.25">
      <c r="A949" t="str">
        <f>IF('Staff Daily sales'!$B934="","",TRIM('Staff Daily sales'!$B934&amp;""))</f>
        <v/>
      </c>
      <c r="B949" t="str">
        <f>IF('Staff Daily sales'!$D934="","",TRIM('Staff Daily sales'!$D934&amp;""))</f>
        <v/>
      </c>
      <c r="C949" t="str">
        <f>IFERROR(TRIM('Staff Daily sales'!$E934&amp;""),"")</f>
        <v/>
      </c>
      <c r="D949" t="str">
        <f>IFERROR(IF(TRIM('Staff Daily sales'!$F934&amp;"")="","Unassigned",TRIM('Staff Daily sales'!$F934&amp;"")),"Unassigned")</f>
        <v>Unassigned</v>
      </c>
      <c r="E949">
        <f t="shared" si="250"/>
        <v>0</v>
      </c>
      <c r="F949">
        <f>IF($E949=0,0,SUMPRODUCT($AI$5:$DF$5,'Staff Daily sales'!$G934:$CD934))</f>
        <v>0</v>
      </c>
      <c r="G949">
        <f>IF($E949=0,0,SUMPRODUCT($AI$6:$DF$6,'Staff Daily sales'!$G934:$CD934))</f>
        <v>0</v>
      </c>
      <c r="H949">
        <f t="shared" si="251"/>
        <v>0</v>
      </c>
      <c r="I949">
        <f t="shared" si="252"/>
        <v>0</v>
      </c>
      <c r="J949">
        <f t="shared" si="253"/>
        <v>0</v>
      </c>
      <c r="K949">
        <f t="shared" si="254"/>
        <v>0</v>
      </c>
      <c r="L949">
        <f>--AND($E949=1,OR('Staff Dashboard'!$B$6="All",$DH949='Staff Dashboard'!$B$6),OR('Staff Dashboard'!$B$7="All",$D949='Staff Dashboard'!$B$7),OR('Staff Dashboard'!$B$8="All",$A949='Staff Dashboard'!$B$8))</f>
        <v>0</v>
      </c>
      <c r="M949">
        <f>IF($E949=0,0,SUMPRODUCT($AI$7:$DF$7,'Staff Daily sales'!$G934:$CD934))</f>
        <v>0</v>
      </c>
      <c r="N949">
        <f>IF($E949=0,0,SUMPRODUCT($AI$8:$DF$8,'Staff Daily sales'!$G934:$CD934))</f>
        <v>0</v>
      </c>
      <c r="O949">
        <f>IF($E949=0,0,SUMPRODUCT($AI$9:$DF$9,'Staff Daily sales'!$G934:$CD934))</f>
        <v>0</v>
      </c>
      <c r="P949">
        <f>IF($E949=0,0,SUMPRODUCT($AI$10:$DF$10,'Staff Daily sales'!$G934:$CD934))</f>
        <v>0</v>
      </c>
      <c r="Q949">
        <f>IF($E949=0,0,SUMPRODUCT($AI$11:$DF$11,'Staff Daily sales'!$G934:$CD934))</f>
        <v>0</v>
      </c>
      <c r="R949">
        <f>IF($E949=0,0,SUMPRODUCT($AI$12:$DF$12,'Staff Daily sales'!$G934:$CD934))</f>
        <v>0</v>
      </c>
      <c r="S949">
        <f>IF($E949=0,0,SUMPRODUCT($AI$13:$DF$13,'Staff Daily sales'!$G934:$CD934))</f>
        <v>0</v>
      </c>
      <c r="T949">
        <f>IF($E949=0,0,SUMPRODUCT($AI$14:$DF$14,'Staff Daily sales'!$G934:$CD934))</f>
        <v>0</v>
      </c>
      <c r="U949">
        <f>IF($E949=0,0,SUMPRODUCT($AI$15:$DF$15,'Staff Daily sales'!$G934:$CD934))</f>
        <v>0</v>
      </c>
      <c r="V949">
        <f>IF($E949=0,0,SUMPRODUCT($AI$16:$DF$16,'Staff Daily sales'!$G934:$CD934))</f>
        <v>0</v>
      </c>
      <c r="W949">
        <f t="shared" si="255"/>
        <v>0</v>
      </c>
      <c r="X949">
        <f t="shared" si="256"/>
        <v>0</v>
      </c>
      <c r="Y949">
        <f t="shared" si="257"/>
        <v>0</v>
      </c>
      <c r="Z949">
        <f t="shared" si="258"/>
        <v>0</v>
      </c>
      <c r="AA949">
        <f t="shared" si="259"/>
        <v>0</v>
      </c>
      <c r="AB949">
        <f>--AND($E949=1,OR('Staff Weekly Trend'!$B$3="All",$DH949='Staff Weekly Trend'!$B$3),OR('Staff Weekly Trend'!$B$4="All",$D949='Staff Weekly Trend'!$B$4),OR('Staff Weekly Trend'!$B$5="All",$A949='Staff Weekly Trend'!$B$5))</f>
        <v>0</v>
      </c>
      <c r="AC949" t="str">
        <f t="shared" si="260"/>
        <v/>
      </c>
      <c r="AI949">
        <f t="shared" si="261"/>
        <v>0</v>
      </c>
      <c r="AJ949">
        <f t="shared" si="262"/>
        <v>0</v>
      </c>
      <c r="AK949">
        <f t="shared" si="263"/>
        <v>0</v>
      </c>
      <c r="AL949">
        <f t="shared" si="264"/>
        <v>0</v>
      </c>
      <c r="AM949">
        <f t="shared" si="265"/>
        <v>0</v>
      </c>
      <c r="DH949" t="str" cm="1">
        <f t="array" ref="DH949">IF($A949="","",_xlfn.LET(_xlpm.c,IFERROR(_xlfn.XLOOKUP($A949,TRIM('Sales and count'!$A$4:$A$300&amp;""),TRIM('Sales and count'!$B$4:$B$300&amp;"")),""),IF(OR(_xlpm.c="",_xlpm.c="0",LEFT(_xlpm.c,1)="#"),"Not set",_xlpm.c)))</f>
        <v/>
      </c>
    </row>
    <row r="950" spans="1:112" x14ac:dyDescent="0.25">
      <c r="A950" t="str">
        <f>IF('Staff Daily sales'!$B935="","",TRIM('Staff Daily sales'!$B935&amp;""))</f>
        <v/>
      </c>
      <c r="B950" t="str">
        <f>IF('Staff Daily sales'!$D935="","",TRIM('Staff Daily sales'!$D935&amp;""))</f>
        <v/>
      </c>
      <c r="C950" t="str">
        <f>IFERROR(TRIM('Staff Daily sales'!$E935&amp;""),"")</f>
        <v/>
      </c>
      <c r="D950" t="str">
        <f>IFERROR(IF(TRIM('Staff Daily sales'!$F935&amp;"")="","Unassigned",TRIM('Staff Daily sales'!$F935&amp;"")),"Unassigned")</f>
        <v>Unassigned</v>
      </c>
      <c r="E950">
        <f t="shared" si="250"/>
        <v>0</v>
      </c>
      <c r="F950">
        <f>IF($E950=0,0,SUMPRODUCT($AI$5:$DF$5,'Staff Daily sales'!$G935:$CD935))</f>
        <v>0</v>
      </c>
      <c r="G950">
        <f>IF($E950=0,0,SUMPRODUCT($AI$6:$DF$6,'Staff Daily sales'!$G935:$CD935))</f>
        <v>0</v>
      </c>
      <c r="H950">
        <f t="shared" si="251"/>
        <v>0</v>
      </c>
      <c r="I950">
        <f t="shared" si="252"/>
        <v>0</v>
      </c>
      <c r="J950">
        <f t="shared" si="253"/>
        <v>0</v>
      </c>
      <c r="K950">
        <f t="shared" si="254"/>
        <v>0</v>
      </c>
      <c r="L950">
        <f>--AND($E950=1,OR('Staff Dashboard'!$B$6="All",$DH950='Staff Dashboard'!$B$6),OR('Staff Dashboard'!$B$7="All",$D950='Staff Dashboard'!$B$7),OR('Staff Dashboard'!$B$8="All",$A950='Staff Dashboard'!$B$8))</f>
        <v>0</v>
      </c>
      <c r="M950">
        <f>IF($E950=0,0,SUMPRODUCT($AI$7:$DF$7,'Staff Daily sales'!$G935:$CD935))</f>
        <v>0</v>
      </c>
      <c r="N950">
        <f>IF($E950=0,0,SUMPRODUCT($AI$8:$DF$8,'Staff Daily sales'!$G935:$CD935))</f>
        <v>0</v>
      </c>
      <c r="O950">
        <f>IF($E950=0,0,SUMPRODUCT($AI$9:$DF$9,'Staff Daily sales'!$G935:$CD935))</f>
        <v>0</v>
      </c>
      <c r="P950">
        <f>IF($E950=0,0,SUMPRODUCT($AI$10:$DF$10,'Staff Daily sales'!$G935:$CD935))</f>
        <v>0</v>
      </c>
      <c r="Q950">
        <f>IF($E950=0,0,SUMPRODUCT($AI$11:$DF$11,'Staff Daily sales'!$G935:$CD935))</f>
        <v>0</v>
      </c>
      <c r="R950">
        <f>IF($E950=0,0,SUMPRODUCT($AI$12:$DF$12,'Staff Daily sales'!$G935:$CD935))</f>
        <v>0</v>
      </c>
      <c r="S950">
        <f>IF($E950=0,0,SUMPRODUCT($AI$13:$DF$13,'Staff Daily sales'!$G935:$CD935))</f>
        <v>0</v>
      </c>
      <c r="T950">
        <f>IF($E950=0,0,SUMPRODUCT($AI$14:$DF$14,'Staff Daily sales'!$G935:$CD935))</f>
        <v>0</v>
      </c>
      <c r="U950">
        <f>IF($E950=0,0,SUMPRODUCT($AI$15:$DF$15,'Staff Daily sales'!$G935:$CD935))</f>
        <v>0</v>
      </c>
      <c r="V950">
        <f>IF($E950=0,0,SUMPRODUCT($AI$16:$DF$16,'Staff Daily sales'!$G935:$CD935))</f>
        <v>0</v>
      </c>
      <c r="W950">
        <f t="shared" si="255"/>
        <v>0</v>
      </c>
      <c r="X950">
        <f t="shared" si="256"/>
        <v>0</v>
      </c>
      <c r="Y950">
        <f t="shared" si="257"/>
        <v>0</v>
      </c>
      <c r="Z950">
        <f t="shared" si="258"/>
        <v>0</v>
      </c>
      <c r="AA950">
        <f t="shared" si="259"/>
        <v>0</v>
      </c>
      <c r="AB950">
        <f>--AND($E950=1,OR('Staff Weekly Trend'!$B$3="All",$DH950='Staff Weekly Trend'!$B$3),OR('Staff Weekly Trend'!$B$4="All",$D950='Staff Weekly Trend'!$B$4),OR('Staff Weekly Trend'!$B$5="All",$A950='Staff Weekly Trend'!$B$5))</f>
        <v>0</v>
      </c>
      <c r="AC950" t="str">
        <f t="shared" si="260"/>
        <v/>
      </c>
      <c r="AI950">
        <f t="shared" si="261"/>
        <v>0</v>
      </c>
      <c r="AJ950">
        <f t="shared" si="262"/>
        <v>0</v>
      </c>
      <c r="AK950">
        <f t="shared" si="263"/>
        <v>0</v>
      </c>
      <c r="AL950">
        <f t="shared" si="264"/>
        <v>0</v>
      </c>
      <c r="AM950">
        <f t="shared" si="265"/>
        <v>0</v>
      </c>
      <c r="DH950" t="str" cm="1">
        <f t="array" ref="DH950">IF($A950="","",_xlfn.LET(_xlpm.c,IFERROR(_xlfn.XLOOKUP($A950,TRIM('Sales and count'!$A$4:$A$300&amp;""),TRIM('Sales and count'!$B$4:$B$300&amp;"")),""),IF(OR(_xlpm.c="",_xlpm.c="0",LEFT(_xlpm.c,1)="#"),"Not set",_xlpm.c)))</f>
        <v/>
      </c>
    </row>
    <row r="951" spans="1:112" x14ac:dyDescent="0.25">
      <c r="A951" t="str">
        <f>IF('Staff Daily sales'!$B936="","",TRIM('Staff Daily sales'!$B936&amp;""))</f>
        <v/>
      </c>
      <c r="B951" t="str">
        <f>IF('Staff Daily sales'!$D936="","",TRIM('Staff Daily sales'!$D936&amp;""))</f>
        <v/>
      </c>
      <c r="C951" t="str">
        <f>IFERROR(TRIM('Staff Daily sales'!$E936&amp;""),"")</f>
        <v/>
      </c>
      <c r="D951" t="str">
        <f>IFERROR(IF(TRIM('Staff Daily sales'!$F936&amp;"")="","Unassigned",TRIM('Staff Daily sales'!$F936&amp;"")),"Unassigned")</f>
        <v>Unassigned</v>
      </c>
      <c r="E951">
        <f t="shared" si="250"/>
        <v>0</v>
      </c>
      <c r="F951">
        <f>IF($E951=0,0,SUMPRODUCT($AI$5:$DF$5,'Staff Daily sales'!$G936:$CD936))</f>
        <v>0</v>
      </c>
      <c r="G951">
        <f>IF($E951=0,0,SUMPRODUCT($AI$6:$DF$6,'Staff Daily sales'!$G936:$CD936))</f>
        <v>0</v>
      </c>
      <c r="H951">
        <f t="shared" si="251"/>
        <v>0</v>
      </c>
      <c r="I951">
        <f t="shared" si="252"/>
        <v>0</v>
      </c>
      <c r="J951">
        <f t="shared" si="253"/>
        <v>0</v>
      </c>
      <c r="K951">
        <f t="shared" si="254"/>
        <v>0</v>
      </c>
      <c r="L951">
        <f>--AND($E951=1,OR('Staff Dashboard'!$B$6="All",$DH951='Staff Dashboard'!$B$6),OR('Staff Dashboard'!$B$7="All",$D951='Staff Dashboard'!$B$7),OR('Staff Dashboard'!$B$8="All",$A951='Staff Dashboard'!$B$8))</f>
        <v>0</v>
      </c>
      <c r="M951">
        <f>IF($E951=0,0,SUMPRODUCT($AI$7:$DF$7,'Staff Daily sales'!$G936:$CD936))</f>
        <v>0</v>
      </c>
      <c r="N951">
        <f>IF($E951=0,0,SUMPRODUCT($AI$8:$DF$8,'Staff Daily sales'!$G936:$CD936))</f>
        <v>0</v>
      </c>
      <c r="O951">
        <f>IF($E951=0,0,SUMPRODUCT($AI$9:$DF$9,'Staff Daily sales'!$G936:$CD936))</f>
        <v>0</v>
      </c>
      <c r="P951">
        <f>IF($E951=0,0,SUMPRODUCT($AI$10:$DF$10,'Staff Daily sales'!$G936:$CD936))</f>
        <v>0</v>
      </c>
      <c r="Q951">
        <f>IF($E951=0,0,SUMPRODUCT($AI$11:$DF$11,'Staff Daily sales'!$G936:$CD936))</f>
        <v>0</v>
      </c>
      <c r="R951">
        <f>IF($E951=0,0,SUMPRODUCT($AI$12:$DF$12,'Staff Daily sales'!$G936:$CD936))</f>
        <v>0</v>
      </c>
      <c r="S951">
        <f>IF($E951=0,0,SUMPRODUCT($AI$13:$DF$13,'Staff Daily sales'!$G936:$CD936))</f>
        <v>0</v>
      </c>
      <c r="T951">
        <f>IF($E951=0,0,SUMPRODUCT($AI$14:$DF$14,'Staff Daily sales'!$G936:$CD936))</f>
        <v>0</v>
      </c>
      <c r="U951">
        <f>IF($E951=0,0,SUMPRODUCT($AI$15:$DF$15,'Staff Daily sales'!$G936:$CD936))</f>
        <v>0</v>
      </c>
      <c r="V951">
        <f>IF($E951=0,0,SUMPRODUCT($AI$16:$DF$16,'Staff Daily sales'!$G936:$CD936))</f>
        <v>0</v>
      </c>
      <c r="W951">
        <f t="shared" si="255"/>
        <v>0</v>
      </c>
      <c r="X951">
        <f t="shared" si="256"/>
        <v>0</v>
      </c>
      <c r="Y951">
        <f t="shared" si="257"/>
        <v>0</v>
      </c>
      <c r="Z951">
        <f t="shared" si="258"/>
        <v>0</v>
      </c>
      <c r="AA951">
        <f t="shared" si="259"/>
        <v>0</v>
      </c>
      <c r="AB951">
        <f>--AND($E951=1,OR('Staff Weekly Trend'!$B$3="All",$DH951='Staff Weekly Trend'!$B$3),OR('Staff Weekly Trend'!$B$4="All",$D951='Staff Weekly Trend'!$B$4),OR('Staff Weekly Trend'!$B$5="All",$A951='Staff Weekly Trend'!$B$5))</f>
        <v>0</v>
      </c>
      <c r="AC951" t="str">
        <f t="shared" si="260"/>
        <v/>
      </c>
      <c r="AI951">
        <f t="shared" si="261"/>
        <v>0</v>
      </c>
      <c r="AJ951">
        <f t="shared" si="262"/>
        <v>0</v>
      </c>
      <c r="AK951">
        <f t="shared" si="263"/>
        <v>0</v>
      </c>
      <c r="AL951">
        <f t="shared" si="264"/>
        <v>0</v>
      </c>
      <c r="AM951">
        <f t="shared" si="265"/>
        <v>0</v>
      </c>
      <c r="DH951" t="str" cm="1">
        <f t="array" ref="DH951">IF($A951="","",_xlfn.LET(_xlpm.c,IFERROR(_xlfn.XLOOKUP($A951,TRIM('Sales and count'!$A$4:$A$300&amp;""),TRIM('Sales and count'!$B$4:$B$300&amp;"")),""),IF(OR(_xlpm.c="",_xlpm.c="0",LEFT(_xlpm.c,1)="#"),"Not set",_xlpm.c)))</f>
        <v/>
      </c>
    </row>
    <row r="952" spans="1:112" x14ac:dyDescent="0.25">
      <c r="A952" t="str">
        <f>IF('Staff Daily sales'!$B937="","",TRIM('Staff Daily sales'!$B937&amp;""))</f>
        <v/>
      </c>
      <c r="B952" t="str">
        <f>IF('Staff Daily sales'!$D937="","",TRIM('Staff Daily sales'!$D937&amp;""))</f>
        <v/>
      </c>
      <c r="C952" t="str">
        <f>IFERROR(TRIM('Staff Daily sales'!$E937&amp;""),"")</f>
        <v/>
      </c>
      <c r="D952" t="str">
        <f>IFERROR(IF(TRIM('Staff Daily sales'!$F937&amp;"")="","Unassigned",TRIM('Staff Daily sales'!$F937&amp;"")),"Unassigned")</f>
        <v>Unassigned</v>
      </c>
      <c r="E952">
        <f t="shared" si="250"/>
        <v>0</v>
      </c>
      <c r="F952">
        <f>IF($E952=0,0,SUMPRODUCT($AI$5:$DF$5,'Staff Daily sales'!$G937:$CD937))</f>
        <v>0</v>
      </c>
      <c r="G952">
        <f>IF($E952=0,0,SUMPRODUCT($AI$6:$DF$6,'Staff Daily sales'!$G937:$CD937))</f>
        <v>0</v>
      </c>
      <c r="H952">
        <f t="shared" si="251"/>
        <v>0</v>
      </c>
      <c r="I952">
        <f t="shared" si="252"/>
        <v>0</v>
      </c>
      <c r="J952">
        <f t="shared" si="253"/>
        <v>0</v>
      </c>
      <c r="K952">
        <f t="shared" si="254"/>
        <v>0</v>
      </c>
      <c r="L952">
        <f>--AND($E952=1,OR('Staff Dashboard'!$B$6="All",$DH952='Staff Dashboard'!$B$6),OR('Staff Dashboard'!$B$7="All",$D952='Staff Dashboard'!$B$7),OR('Staff Dashboard'!$B$8="All",$A952='Staff Dashboard'!$B$8))</f>
        <v>0</v>
      </c>
      <c r="M952">
        <f>IF($E952=0,0,SUMPRODUCT($AI$7:$DF$7,'Staff Daily sales'!$G937:$CD937))</f>
        <v>0</v>
      </c>
      <c r="N952">
        <f>IF($E952=0,0,SUMPRODUCT($AI$8:$DF$8,'Staff Daily sales'!$G937:$CD937))</f>
        <v>0</v>
      </c>
      <c r="O952">
        <f>IF($E952=0,0,SUMPRODUCT($AI$9:$DF$9,'Staff Daily sales'!$G937:$CD937))</f>
        <v>0</v>
      </c>
      <c r="P952">
        <f>IF($E952=0,0,SUMPRODUCT($AI$10:$DF$10,'Staff Daily sales'!$G937:$CD937))</f>
        <v>0</v>
      </c>
      <c r="Q952">
        <f>IF($E952=0,0,SUMPRODUCT($AI$11:$DF$11,'Staff Daily sales'!$G937:$CD937))</f>
        <v>0</v>
      </c>
      <c r="R952">
        <f>IF($E952=0,0,SUMPRODUCT($AI$12:$DF$12,'Staff Daily sales'!$G937:$CD937))</f>
        <v>0</v>
      </c>
      <c r="S952">
        <f>IF($E952=0,0,SUMPRODUCT($AI$13:$DF$13,'Staff Daily sales'!$G937:$CD937))</f>
        <v>0</v>
      </c>
      <c r="T952">
        <f>IF($E952=0,0,SUMPRODUCT($AI$14:$DF$14,'Staff Daily sales'!$G937:$CD937))</f>
        <v>0</v>
      </c>
      <c r="U952">
        <f>IF($E952=0,0,SUMPRODUCT($AI$15:$DF$15,'Staff Daily sales'!$G937:$CD937))</f>
        <v>0</v>
      </c>
      <c r="V952">
        <f>IF($E952=0,0,SUMPRODUCT($AI$16:$DF$16,'Staff Daily sales'!$G937:$CD937))</f>
        <v>0</v>
      </c>
      <c r="W952">
        <f t="shared" si="255"/>
        <v>0</v>
      </c>
      <c r="X952">
        <f t="shared" si="256"/>
        <v>0</v>
      </c>
      <c r="Y952">
        <f t="shared" si="257"/>
        <v>0</v>
      </c>
      <c r="Z952">
        <f t="shared" si="258"/>
        <v>0</v>
      </c>
      <c r="AA952">
        <f t="shared" si="259"/>
        <v>0</v>
      </c>
      <c r="AB952">
        <f>--AND($E952=1,OR('Staff Weekly Trend'!$B$3="All",$DH952='Staff Weekly Trend'!$B$3),OR('Staff Weekly Trend'!$B$4="All",$D952='Staff Weekly Trend'!$B$4),OR('Staff Weekly Trend'!$B$5="All",$A952='Staff Weekly Trend'!$B$5))</f>
        <v>0</v>
      </c>
      <c r="AC952" t="str">
        <f t="shared" si="260"/>
        <v/>
      </c>
      <c r="AI952">
        <f t="shared" si="261"/>
        <v>0</v>
      </c>
      <c r="AJ952">
        <f t="shared" si="262"/>
        <v>0</v>
      </c>
      <c r="AK952">
        <f t="shared" si="263"/>
        <v>0</v>
      </c>
      <c r="AL952">
        <f t="shared" si="264"/>
        <v>0</v>
      </c>
      <c r="AM952">
        <f t="shared" si="265"/>
        <v>0</v>
      </c>
      <c r="DH952" t="str" cm="1">
        <f t="array" ref="DH952">IF($A952="","",_xlfn.LET(_xlpm.c,IFERROR(_xlfn.XLOOKUP($A952,TRIM('Sales and count'!$A$4:$A$300&amp;""),TRIM('Sales and count'!$B$4:$B$300&amp;"")),""),IF(OR(_xlpm.c="",_xlpm.c="0",LEFT(_xlpm.c,1)="#"),"Not set",_xlpm.c)))</f>
        <v/>
      </c>
    </row>
    <row r="953" spans="1:112" x14ac:dyDescent="0.25">
      <c r="A953" t="str">
        <f>IF('Staff Daily sales'!$B938="","",TRIM('Staff Daily sales'!$B938&amp;""))</f>
        <v/>
      </c>
      <c r="B953" t="str">
        <f>IF('Staff Daily sales'!$D938="","",TRIM('Staff Daily sales'!$D938&amp;""))</f>
        <v/>
      </c>
      <c r="C953" t="str">
        <f>IFERROR(TRIM('Staff Daily sales'!$E938&amp;""),"")</f>
        <v/>
      </c>
      <c r="D953" t="str">
        <f>IFERROR(IF(TRIM('Staff Daily sales'!$F938&amp;"")="","Unassigned",TRIM('Staff Daily sales'!$F938&amp;"")),"Unassigned")</f>
        <v>Unassigned</v>
      </c>
      <c r="E953">
        <f t="shared" si="250"/>
        <v>0</v>
      </c>
      <c r="F953">
        <f>IF($E953=0,0,SUMPRODUCT($AI$5:$DF$5,'Staff Daily sales'!$G938:$CD938))</f>
        <v>0</v>
      </c>
      <c r="G953">
        <f>IF($E953=0,0,SUMPRODUCT($AI$6:$DF$6,'Staff Daily sales'!$G938:$CD938))</f>
        <v>0</v>
      </c>
      <c r="H953">
        <f t="shared" si="251"/>
        <v>0</v>
      </c>
      <c r="I953">
        <f t="shared" si="252"/>
        <v>0</v>
      </c>
      <c r="J953">
        <f t="shared" si="253"/>
        <v>0</v>
      </c>
      <c r="K953">
        <f t="shared" si="254"/>
        <v>0</v>
      </c>
      <c r="L953">
        <f>--AND($E953=1,OR('Staff Dashboard'!$B$6="All",$DH953='Staff Dashboard'!$B$6),OR('Staff Dashboard'!$B$7="All",$D953='Staff Dashboard'!$B$7),OR('Staff Dashboard'!$B$8="All",$A953='Staff Dashboard'!$B$8))</f>
        <v>0</v>
      </c>
      <c r="M953">
        <f>IF($E953=0,0,SUMPRODUCT($AI$7:$DF$7,'Staff Daily sales'!$G938:$CD938))</f>
        <v>0</v>
      </c>
      <c r="N953">
        <f>IF($E953=0,0,SUMPRODUCT($AI$8:$DF$8,'Staff Daily sales'!$G938:$CD938))</f>
        <v>0</v>
      </c>
      <c r="O953">
        <f>IF($E953=0,0,SUMPRODUCT($AI$9:$DF$9,'Staff Daily sales'!$G938:$CD938))</f>
        <v>0</v>
      </c>
      <c r="P953">
        <f>IF($E953=0,0,SUMPRODUCT($AI$10:$DF$10,'Staff Daily sales'!$G938:$CD938))</f>
        <v>0</v>
      </c>
      <c r="Q953">
        <f>IF($E953=0,0,SUMPRODUCT($AI$11:$DF$11,'Staff Daily sales'!$G938:$CD938))</f>
        <v>0</v>
      </c>
      <c r="R953">
        <f>IF($E953=0,0,SUMPRODUCT($AI$12:$DF$12,'Staff Daily sales'!$G938:$CD938))</f>
        <v>0</v>
      </c>
      <c r="S953">
        <f>IF($E953=0,0,SUMPRODUCT($AI$13:$DF$13,'Staff Daily sales'!$G938:$CD938))</f>
        <v>0</v>
      </c>
      <c r="T953">
        <f>IF($E953=0,0,SUMPRODUCT($AI$14:$DF$14,'Staff Daily sales'!$G938:$CD938))</f>
        <v>0</v>
      </c>
      <c r="U953">
        <f>IF($E953=0,0,SUMPRODUCT($AI$15:$DF$15,'Staff Daily sales'!$G938:$CD938))</f>
        <v>0</v>
      </c>
      <c r="V953">
        <f>IF($E953=0,0,SUMPRODUCT($AI$16:$DF$16,'Staff Daily sales'!$G938:$CD938))</f>
        <v>0</v>
      </c>
      <c r="W953">
        <f t="shared" si="255"/>
        <v>0</v>
      </c>
      <c r="X953">
        <f t="shared" si="256"/>
        <v>0</v>
      </c>
      <c r="Y953">
        <f t="shared" si="257"/>
        <v>0</v>
      </c>
      <c r="Z953">
        <f t="shared" si="258"/>
        <v>0</v>
      </c>
      <c r="AA953">
        <f t="shared" si="259"/>
        <v>0</v>
      </c>
      <c r="AB953">
        <f>--AND($E953=1,OR('Staff Weekly Trend'!$B$3="All",$DH953='Staff Weekly Trend'!$B$3),OR('Staff Weekly Trend'!$B$4="All",$D953='Staff Weekly Trend'!$B$4),OR('Staff Weekly Trend'!$B$5="All",$A953='Staff Weekly Trend'!$B$5))</f>
        <v>0</v>
      </c>
      <c r="AC953" t="str">
        <f t="shared" si="260"/>
        <v/>
      </c>
      <c r="AI953">
        <f t="shared" si="261"/>
        <v>0</v>
      </c>
      <c r="AJ953">
        <f t="shared" si="262"/>
        <v>0</v>
      </c>
      <c r="AK953">
        <f t="shared" si="263"/>
        <v>0</v>
      </c>
      <c r="AL953">
        <f t="shared" si="264"/>
        <v>0</v>
      </c>
      <c r="AM953">
        <f t="shared" si="265"/>
        <v>0</v>
      </c>
      <c r="DH953" t="str" cm="1">
        <f t="array" ref="DH953">IF($A953="","",_xlfn.LET(_xlpm.c,IFERROR(_xlfn.XLOOKUP($A953,TRIM('Sales and count'!$A$4:$A$300&amp;""),TRIM('Sales and count'!$B$4:$B$300&amp;"")),""),IF(OR(_xlpm.c="",_xlpm.c="0",LEFT(_xlpm.c,1)="#"),"Not set",_xlpm.c)))</f>
        <v/>
      </c>
    </row>
    <row r="954" spans="1:112" x14ac:dyDescent="0.25">
      <c r="A954" t="str">
        <f>IF('Staff Daily sales'!$B939="","",TRIM('Staff Daily sales'!$B939&amp;""))</f>
        <v/>
      </c>
      <c r="B954" t="str">
        <f>IF('Staff Daily sales'!$D939="","",TRIM('Staff Daily sales'!$D939&amp;""))</f>
        <v/>
      </c>
      <c r="C954" t="str">
        <f>IFERROR(TRIM('Staff Daily sales'!$E939&amp;""),"")</f>
        <v/>
      </c>
      <c r="D954" t="str">
        <f>IFERROR(IF(TRIM('Staff Daily sales'!$F939&amp;"")="","Unassigned",TRIM('Staff Daily sales'!$F939&amp;"")),"Unassigned")</f>
        <v>Unassigned</v>
      </c>
      <c r="E954">
        <f t="shared" si="250"/>
        <v>0</v>
      </c>
      <c r="F954">
        <f>IF($E954=0,0,SUMPRODUCT($AI$5:$DF$5,'Staff Daily sales'!$G939:$CD939))</f>
        <v>0</v>
      </c>
      <c r="G954">
        <f>IF($E954=0,0,SUMPRODUCT($AI$6:$DF$6,'Staff Daily sales'!$G939:$CD939))</f>
        <v>0</v>
      </c>
      <c r="H954">
        <f t="shared" si="251"/>
        <v>0</v>
      </c>
      <c r="I954">
        <f t="shared" si="252"/>
        <v>0</v>
      </c>
      <c r="J954">
        <f t="shared" si="253"/>
        <v>0</v>
      </c>
      <c r="K954">
        <f t="shared" si="254"/>
        <v>0</v>
      </c>
      <c r="L954">
        <f>--AND($E954=1,OR('Staff Dashboard'!$B$6="All",$DH954='Staff Dashboard'!$B$6),OR('Staff Dashboard'!$B$7="All",$D954='Staff Dashboard'!$B$7),OR('Staff Dashboard'!$B$8="All",$A954='Staff Dashboard'!$B$8))</f>
        <v>0</v>
      </c>
      <c r="M954">
        <f>IF($E954=0,0,SUMPRODUCT($AI$7:$DF$7,'Staff Daily sales'!$G939:$CD939))</f>
        <v>0</v>
      </c>
      <c r="N954">
        <f>IF($E954=0,0,SUMPRODUCT($AI$8:$DF$8,'Staff Daily sales'!$G939:$CD939))</f>
        <v>0</v>
      </c>
      <c r="O954">
        <f>IF($E954=0,0,SUMPRODUCT($AI$9:$DF$9,'Staff Daily sales'!$G939:$CD939))</f>
        <v>0</v>
      </c>
      <c r="P954">
        <f>IF($E954=0,0,SUMPRODUCT($AI$10:$DF$10,'Staff Daily sales'!$G939:$CD939))</f>
        <v>0</v>
      </c>
      <c r="Q954">
        <f>IF($E954=0,0,SUMPRODUCT($AI$11:$DF$11,'Staff Daily sales'!$G939:$CD939))</f>
        <v>0</v>
      </c>
      <c r="R954">
        <f>IF($E954=0,0,SUMPRODUCT($AI$12:$DF$12,'Staff Daily sales'!$G939:$CD939))</f>
        <v>0</v>
      </c>
      <c r="S954">
        <f>IF($E954=0,0,SUMPRODUCT($AI$13:$DF$13,'Staff Daily sales'!$G939:$CD939))</f>
        <v>0</v>
      </c>
      <c r="T954">
        <f>IF($E954=0,0,SUMPRODUCT($AI$14:$DF$14,'Staff Daily sales'!$G939:$CD939))</f>
        <v>0</v>
      </c>
      <c r="U954">
        <f>IF($E954=0,0,SUMPRODUCT($AI$15:$DF$15,'Staff Daily sales'!$G939:$CD939))</f>
        <v>0</v>
      </c>
      <c r="V954">
        <f>IF($E954=0,0,SUMPRODUCT($AI$16:$DF$16,'Staff Daily sales'!$G939:$CD939))</f>
        <v>0</v>
      </c>
      <c r="W954">
        <f t="shared" si="255"/>
        <v>0</v>
      </c>
      <c r="X954">
        <f t="shared" si="256"/>
        <v>0</v>
      </c>
      <c r="Y954">
        <f t="shared" si="257"/>
        <v>0</v>
      </c>
      <c r="Z954">
        <f t="shared" si="258"/>
        <v>0</v>
      </c>
      <c r="AA954">
        <f t="shared" si="259"/>
        <v>0</v>
      </c>
      <c r="AB954">
        <f>--AND($E954=1,OR('Staff Weekly Trend'!$B$3="All",$DH954='Staff Weekly Trend'!$B$3),OR('Staff Weekly Trend'!$B$4="All",$D954='Staff Weekly Trend'!$B$4),OR('Staff Weekly Trend'!$B$5="All",$A954='Staff Weekly Trend'!$B$5))</f>
        <v>0</v>
      </c>
      <c r="AC954" t="str">
        <f t="shared" si="260"/>
        <v/>
      </c>
      <c r="AI954">
        <f t="shared" si="261"/>
        <v>0</v>
      </c>
      <c r="AJ954">
        <f t="shared" si="262"/>
        <v>0</v>
      </c>
      <c r="AK954">
        <f t="shared" si="263"/>
        <v>0</v>
      </c>
      <c r="AL954">
        <f t="shared" si="264"/>
        <v>0</v>
      </c>
      <c r="AM954">
        <f t="shared" si="265"/>
        <v>0</v>
      </c>
      <c r="DH954" t="str" cm="1">
        <f t="array" ref="DH954">IF($A954="","",_xlfn.LET(_xlpm.c,IFERROR(_xlfn.XLOOKUP($A954,TRIM('Sales and count'!$A$4:$A$300&amp;""),TRIM('Sales and count'!$B$4:$B$300&amp;"")),""),IF(OR(_xlpm.c="",_xlpm.c="0",LEFT(_xlpm.c,1)="#"),"Not set",_xlpm.c)))</f>
        <v/>
      </c>
    </row>
    <row r="955" spans="1:112" x14ac:dyDescent="0.25">
      <c r="A955" t="str">
        <f>IF('Staff Daily sales'!$B940="","",TRIM('Staff Daily sales'!$B940&amp;""))</f>
        <v/>
      </c>
      <c r="B955" t="str">
        <f>IF('Staff Daily sales'!$D940="","",TRIM('Staff Daily sales'!$D940&amp;""))</f>
        <v/>
      </c>
      <c r="C955" t="str">
        <f>IFERROR(TRIM('Staff Daily sales'!$E940&amp;""),"")</f>
        <v/>
      </c>
      <c r="D955" t="str">
        <f>IFERROR(IF(TRIM('Staff Daily sales'!$F940&amp;"")="","Unassigned",TRIM('Staff Daily sales'!$F940&amp;"")),"Unassigned")</f>
        <v>Unassigned</v>
      </c>
      <c r="E955">
        <f t="shared" si="250"/>
        <v>0</v>
      </c>
      <c r="F955">
        <f>IF($E955=0,0,SUMPRODUCT($AI$5:$DF$5,'Staff Daily sales'!$G940:$CD940))</f>
        <v>0</v>
      </c>
      <c r="G955">
        <f>IF($E955=0,0,SUMPRODUCT($AI$6:$DF$6,'Staff Daily sales'!$G940:$CD940))</f>
        <v>0</v>
      </c>
      <c r="H955">
        <f t="shared" si="251"/>
        <v>0</v>
      </c>
      <c r="I955">
        <f t="shared" si="252"/>
        <v>0</v>
      </c>
      <c r="J955">
        <f t="shared" si="253"/>
        <v>0</v>
      </c>
      <c r="K955">
        <f t="shared" si="254"/>
        <v>0</v>
      </c>
      <c r="L955">
        <f>--AND($E955=1,OR('Staff Dashboard'!$B$6="All",$DH955='Staff Dashboard'!$B$6),OR('Staff Dashboard'!$B$7="All",$D955='Staff Dashboard'!$B$7),OR('Staff Dashboard'!$B$8="All",$A955='Staff Dashboard'!$B$8))</f>
        <v>0</v>
      </c>
      <c r="M955">
        <f>IF($E955=0,0,SUMPRODUCT($AI$7:$DF$7,'Staff Daily sales'!$G940:$CD940))</f>
        <v>0</v>
      </c>
      <c r="N955">
        <f>IF($E955=0,0,SUMPRODUCT($AI$8:$DF$8,'Staff Daily sales'!$G940:$CD940))</f>
        <v>0</v>
      </c>
      <c r="O955">
        <f>IF($E955=0,0,SUMPRODUCT($AI$9:$DF$9,'Staff Daily sales'!$G940:$CD940))</f>
        <v>0</v>
      </c>
      <c r="P955">
        <f>IF($E955=0,0,SUMPRODUCT($AI$10:$DF$10,'Staff Daily sales'!$G940:$CD940))</f>
        <v>0</v>
      </c>
      <c r="Q955">
        <f>IF($E955=0,0,SUMPRODUCT($AI$11:$DF$11,'Staff Daily sales'!$G940:$CD940))</f>
        <v>0</v>
      </c>
      <c r="R955">
        <f>IF($E955=0,0,SUMPRODUCT($AI$12:$DF$12,'Staff Daily sales'!$G940:$CD940))</f>
        <v>0</v>
      </c>
      <c r="S955">
        <f>IF($E955=0,0,SUMPRODUCT($AI$13:$DF$13,'Staff Daily sales'!$G940:$CD940))</f>
        <v>0</v>
      </c>
      <c r="T955">
        <f>IF($E955=0,0,SUMPRODUCT($AI$14:$DF$14,'Staff Daily sales'!$G940:$CD940))</f>
        <v>0</v>
      </c>
      <c r="U955">
        <f>IF($E955=0,0,SUMPRODUCT($AI$15:$DF$15,'Staff Daily sales'!$G940:$CD940))</f>
        <v>0</v>
      </c>
      <c r="V955">
        <f>IF($E955=0,0,SUMPRODUCT($AI$16:$DF$16,'Staff Daily sales'!$G940:$CD940))</f>
        <v>0</v>
      </c>
      <c r="W955">
        <f t="shared" si="255"/>
        <v>0</v>
      </c>
      <c r="X955">
        <f t="shared" si="256"/>
        <v>0</v>
      </c>
      <c r="Y955">
        <f t="shared" si="257"/>
        <v>0</v>
      </c>
      <c r="Z955">
        <f t="shared" si="258"/>
        <v>0</v>
      </c>
      <c r="AA955">
        <f t="shared" si="259"/>
        <v>0</v>
      </c>
      <c r="AB955">
        <f>--AND($E955=1,OR('Staff Weekly Trend'!$B$3="All",$DH955='Staff Weekly Trend'!$B$3),OR('Staff Weekly Trend'!$B$4="All",$D955='Staff Weekly Trend'!$B$4),OR('Staff Weekly Trend'!$B$5="All",$A955='Staff Weekly Trend'!$B$5))</f>
        <v>0</v>
      </c>
      <c r="AC955" t="str">
        <f t="shared" si="260"/>
        <v/>
      </c>
      <c r="AI955">
        <f t="shared" si="261"/>
        <v>0</v>
      </c>
      <c r="AJ955">
        <f t="shared" si="262"/>
        <v>0</v>
      </c>
      <c r="AK955">
        <f t="shared" si="263"/>
        <v>0</v>
      </c>
      <c r="AL955">
        <f t="shared" si="264"/>
        <v>0</v>
      </c>
      <c r="AM955">
        <f t="shared" si="265"/>
        <v>0</v>
      </c>
      <c r="DH955" t="str" cm="1">
        <f t="array" ref="DH955">IF($A955="","",_xlfn.LET(_xlpm.c,IFERROR(_xlfn.XLOOKUP($A955,TRIM('Sales and count'!$A$4:$A$300&amp;""),TRIM('Sales and count'!$B$4:$B$300&amp;"")),""),IF(OR(_xlpm.c="",_xlpm.c="0",LEFT(_xlpm.c,1)="#"),"Not set",_xlpm.c)))</f>
        <v/>
      </c>
    </row>
    <row r="956" spans="1:112" x14ac:dyDescent="0.25">
      <c r="A956" t="str">
        <f>IF('Staff Daily sales'!$B941="","",TRIM('Staff Daily sales'!$B941&amp;""))</f>
        <v/>
      </c>
      <c r="B956" t="str">
        <f>IF('Staff Daily sales'!$D941="","",TRIM('Staff Daily sales'!$D941&amp;""))</f>
        <v/>
      </c>
      <c r="C956" t="str">
        <f>IFERROR(TRIM('Staff Daily sales'!$E941&amp;""),"")</f>
        <v/>
      </c>
      <c r="D956" t="str">
        <f>IFERROR(IF(TRIM('Staff Daily sales'!$F941&amp;"")="","Unassigned",TRIM('Staff Daily sales'!$F941&amp;"")),"Unassigned")</f>
        <v>Unassigned</v>
      </c>
      <c r="E956">
        <f t="shared" si="250"/>
        <v>0</v>
      </c>
      <c r="F956">
        <f>IF($E956=0,0,SUMPRODUCT($AI$5:$DF$5,'Staff Daily sales'!$G941:$CD941))</f>
        <v>0</v>
      </c>
      <c r="G956">
        <f>IF($E956=0,0,SUMPRODUCT($AI$6:$DF$6,'Staff Daily sales'!$G941:$CD941))</f>
        <v>0</v>
      </c>
      <c r="H956">
        <f t="shared" si="251"/>
        <v>0</v>
      </c>
      <c r="I956">
        <f t="shared" si="252"/>
        <v>0</v>
      </c>
      <c r="J956">
        <f t="shared" si="253"/>
        <v>0</v>
      </c>
      <c r="K956">
        <f t="shared" si="254"/>
        <v>0</v>
      </c>
      <c r="L956">
        <f>--AND($E956=1,OR('Staff Dashboard'!$B$6="All",$DH956='Staff Dashboard'!$B$6),OR('Staff Dashboard'!$B$7="All",$D956='Staff Dashboard'!$B$7),OR('Staff Dashboard'!$B$8="All",$A956='Staff Dashboard'!$B$8))</f>
        <v>0</v>
      </c>
      <c r="M956">
        <f>IF($E956=0,0,SUMPRODUCT($AI$7:$DF$7,'Staff Daily sales'!$G941:$CD941))</f>
        <v>0</v>
      </c>
      <c r="N956">
        <f>IF($E956=0,0,SUMPRODUCT($AI$8:$DF$8,'Staff Daily sales'!$G941:$CD941))</f>
        <v>0</v>
      </c>
      <c r="O956">
        <f>IF($E956=0,0,SUMPRODUCT($AI$9:$DF$9,'Staff Daily sales'!$G941:$CD941))</f>
        <v>0</v>
      </c>
      <c r="P956">
        <f>IF($E956=0,0,SUMPRODUCT($AI$10:$DF$10,'Staff Daily sales'!$G941:$CD941))</f>
        <v>0</v>
      </c>
      <c r="Q956">
        <f>IF($E956=0,0,SUMPRODUCT($AI$11:$DF$11,'Staff Daily sales'!$G941:$CD941))</f>
        <v>0</v>
      </c>
      <c r="R956">
        <f>IF($E956=0,0,SUMPRODUCT($AI$12:$DF$12,'Staff Daily sales'!$G941:$CD941))</f>
        <v>0</v>
      </c>
      <c r="S956">
        <f>IF($E956=0,0,SUMPRODUCT($AI$13:$DF$13,'Staff Daily sales'!$G941:$CD941))</f>
        <v>0</v>
      </c>
      <c r="T956">
        <f>IF($E956=0,0,SUMPRODUCT($AI$14:$DF$14,'Staff Daily sales'!$G941:$CD941))</f>
        <v>0</v>
      </c>
      <c r="U956">
        <f>IF($E956=0,0,SUMPRODUCT($AI$15:$DF$15,'Staff Daily sales'!$G941:$CD941))</f>
        <v>0</v>
      </c>
      <c r="V956">
        <f>IF($E956=0,0,SUMPRODUCT($AI$16:$DF$16,'Staff Daily sales'!$G941:$CD941))</f>
        <v>0</v>
      </c>
      <c r="W956">
        <f t="shared" si="255"/>
        <v>0</v>
      </c>
      <c r="X956">
        <f t="shared" si="256"/>
        <v>0</v>
      </c>
      <c r="Y956">
        <f t="shared" si="257"/>
        <v>0</v>
      </c>
      <c r="Z956">
        <f t="shared" si="258"/>
        <v>0</v>
      </c>
      <c r="AA956">
        <f t="shared" si="259"/>
        <v>0</v>
      </c>
      <c r="AB956">
        <f>--AND($E956=1,OR('Staff Weekly Trend'!$B$3="All",$DH956='Staff Weekly Trend'!$B$3),OR('Staff Weekly Trend'!$B$4="All",$D956='Staff Weekly Trend'!$B$4),OR('Staff Weekly Trend'!$B$5="All",$A956='Staff Weekly Trend'!$B$5))</f>
        <v>0</v>
      </c>
      <c r="AC956" t="str">
        <f t="shared" si="260"/>
        <v/>
      </c>
      <c r="AI956">
        <f t="shared" si="261"/>
        <v>0</v>
      </c>
      <c r="AJ956">
        <f t="shared" si="262"/>
        <v>0</v>
      </c>
      <c r="AK956">
        <f t="shared" si="263"/>
        <v>0</v>
      </c>
      <c r="AL956">
        <f t="shared" si="264"/>
        <v>0</v>
      </c>
      <c r="AM956">
        <f t="shared" si="265"/>
        <v>0</v>
      </c>
      <c r="DH956" t="str" cm="1">
        <f t="array" ref="DH956">IF($A956="","",_xlfn.LET(_xlpm.c,IFERROR(_xlfn.XLOOKUP($A956,TRIM('Sales and count'!$A$4:$A$300&amp;""),TRIM('Sales and count'!$B$4:$B$300&amp;"")),""),IF(OR(_xlpm.c="",_xlpm.c="0",LEFT(_xlpm.c,1)="#"),"Not set",_xlpm.c)))</f>
        <v/>
      </c>
    </row>
    <row r="957" spans="1:112" x14ac:dyDescent="0.25">
      <c r="A957" t="str">
        <f>IF('Staff Daily sales'!$B942="","",TRIM('Staff Daily sales'!$B942&amp;""))</f>
        <v/>
      </c>
      <c r="B957" t="str">
        <f>IF('Staff Daily sales'!$D942="","",TRIM('Staff Daily sales'!$D942&amp;""))</f>
        <v/>
      </c>
      <c r="C957" t="str">
        <f>IFERROR(TRIM('Staff Daily sales'!$E942&amp;""),"")</f>
        <v/>
      </c>
      <c r="D957" t="str">
        <f>IFERROR(IF(TRIM('Staff Daily sales'!$F942&amp;"")="","Unassigned",TRIM('Staff Daily sales'!$F942&amp;"")),"Unassigned")</f>
        <v>Unassigned</v>
      </c>
      <c r="E957">
        <f t="shared" si="250"/>
        <v>0</v>
      </c>
      <c r="F957">
        <f>IF($E957=0,0,SUMPRODUCT($AI$5:$DF$5,'Staff Daily sales'!$G942:$CD942))</f>
        <v>0</v>
      </c>
      <c r="G957">
        <f>IF($E957=0,0,SUMPRODUCT($AI$6:$DF$6,'Staff Daily sales'!$G942:$CD942))</f>
        <v>0</v>
      </c>
      <c r="H957">
        <f t="shared" si="251"/>
        <v>0</v>
      </c>
      <c r="I957">
        <f t="shared" si="252"/>
        <v>0</v>
      </c>
      <c r="J957">
        <f t="shared" si="253"/>
        <v>0</v>
      </c>
      <c r="K957">
        <f t="shared" si="254"/>
        <v>0</v>
      </c>
      <c r="L957">
        <f>--AND($E957=1,OR('Staff Dashboard'!$B$6="All",$DH957='Staff Dashboard'!$B$6),OR('Staff Dashboard'!$B$7="All",$D957='Staff Dashboard'!$B$7),OR('Staff Dashboard'!$B$8="All",$A957='Staff Dashboard'!$B$8))</f>
        <v>0</v>
      </c>
      <c r="M957">
        <f>IF($E957=0,0,SUMPRODUCT($AI$7:$DF$7,'Staff Daily sales'!$G942:$CD942))</f>
        <v>0</v>
      </c>
      <c r="N957">
        <f>IF($E957=0,0,SUMPRODUCT($AI$8:$DF$8,'Staff Daily sales'!$G942:$CD942))</f>
        <v>0</v>
      </c>
      <c r="O957">
        <f>IF($E957=0,0,SUMPRODUCT($AI$9:$DF$9,'Staff Daily sales'!$G942:$CD942))</f>
        <v>0</v>
      </c>
      <c r="P957">
        <f>IF($E957=0,0,SUMPRODUCT($AI$10:$DF$10,'Staff Daily sales'!$G942:$CD942))</f>
        <v>0</v>
      </c>
      <c r="Q957">
        <f>IF($E957=0,0,SUMPRODUCT($AI$11:$DF$11,'Staff Daily sales'!$G942:$CD942))</f>
        <v>0</v>
      </c>
      <c r="R957">
        <f>IF($E957=0,0,SUMPRODUCT($AI$12:$DF$12,'Staff Daily sales'!$G942:$CD942))</f>
        <v>0</v>
      </c>
      <c r="S957">
        <f>IF($E957=0,0,SUMPRODUCT($AI$13:$DF$13,'Staff Daily sales'!$G942:$CD942))</f>
        <v>0</v>
      </c>
      <c r="T957">
        <f>IF($E957=0,0,SUMPRODUCT($AI$14:$DF$14,'Staff Daily sales'!$G942:$CD942))</f>
        <v>0</v>
      </c>
      <c r="U957">
        <f>IF($E957=0,0,SUMPRODUCT($AI$15:$DF$15,'Staff Daily sales'!$G942:$CD942))</f>
        <v>0</v>
      </c>
      <c r="V957">
        <f>IF($E957=0,0,SUMPRODUCT($AI$16:$DF$16,'Staff Daily sales'!$G942:$CD942))</f>
        <v>0</v>
      </c>
      <c r="W957">
        <f t="shared" si="255"/>
        <v>0</v>
      </c>
      <c r="X957">
        <f t="shared" si="256"/>
        <v>0</v>
      </c>
      <c r="Y957">
        <f t="shared" si="257"/>
        <v>0</v>
      </c>
      <c r="Z957">
        <f t="shared" si="258"/>
        <v>0</v>
      </c>
      <c r="AA957">
        <f t="shared" si="259"/>
        <v>0</v>
      </c>
      <c r="AB957">
        <f>--AND($E957=1,OR('Staff Weekly Trend'!$B$3="All",$DH957='Staff Weekly Trend'!$B$3),OR('Staff Weekly Trend'!$B$4="All",$D957='Staff Weekly Trend'!$B$4),OR('Staff Weekly Trend'!$B$5="All",$A957='Staff Weekly Trend'!$B$5))</f>
        <v>0</v>
      </c>
      <c r="AC957" t="str">
        <f t="shared" si="260"/>
        <v/>
      </c>
      <c r="AI957">
        <f t="shared" si="261"/>
        <v>0</v>
      </c>
      <c r="AJ957">
        <f t="shared" si="262"/>
        <v>0</v>
      </c>
      <c r="AK957">
        <f t="shared" si="263"/>
        <v>0</v>
      </c>
      <c r="AL957">
        <f t="shared" si="264"/>
        <v>0</v>
      </c>
      <c r="AM957">
        <f t="shared" si="265"/>
        <v>0</v>
      </c>
      <c r="DH957" t="str" cm="1">
        <f t="array" ref="DH957">IF($A957="","",_xlfn.LET(_xlpm.c,IFERROR(_xlfn.XLOOKUP($A957,TRIM('Sales and count'!$A$4:$A$300&amp;""),TRIM('Sales and count'!$B$4:$B$300&amp;"")),""),IF(OR(_xlpm.c="",_xlpm.c="0",LEFT(_xlpm.c,1)="#"),"Not set",_xlpm.c)))</f>
        <v/>
      </c>
    </row>
    <row r="958" spans="1:112" x14ac:dyDescent="0.25">
      <c r="A958" t="str">
        <f>IF('Staff Daily sales'!$B943="","",TRIM('Staff Daily sales'!$B943&amp;""))</f>
        <v/>
      </c>
      <c r="B958" t="str">
        <f>IF('Staff Daily sales'!$D943="","",TRIM('Staff Daily sales'!$D943&amp;""))</f>
        <v/>
      </c>
      <c r="C958" t="str">
        <f>IFERROR(TRIM('Staff Daily sales'!$E943&amp;""),"")</f>
        <v/>
      </c>
      <c r="D958" t="str">
        <f>IFERROR(IF(TRIM('Staff Daily sales'!$F943&amp;"")="","Unassigned",TRIM('Staff Daily sales'!$F943&amp;"")),"Unassigned")</f>
        <v>Unassigned</v>
      </c>
      <c r="E958">
        <f t="shared" si="250"/>
        <v>0</v>
      </c>
      <c r="F958">
        <f>IF($E958=0,0,SUMPRODUCT($AI$5:$DF$5,'Staff Daily sales'!$G943:$CD943))</f>
        <v>0</v>
      </c>
      <c r="G958">
        <f>IF($E958=0,0,SUMPRODUCT($AI$6:$DF$6,'Staff Daily sales'!$G943:$CD943))</f>
        <v>0</v>
      </c>
      <c r="H958">
        <f t="shared" si="251"/>
        <v>0</v>
      </c>
      <c r="I958">
        <f t="shared" si="252"/>
        <v>0</v>
      </c>
      <c r="J958">
        <f t="shared" si="253"/>
        <v>0</v>
      </c>
      <c r="K958">
        <f t="shared" si="254"/>
        <v>0</v>
      </c>
      <c r="L958">
        <f>--AND($E958=1,OR('Staff Dashboard'!$B$6="All",$DH958='Staff Dashboard'!$B$6),OR('Staff Dashboard'!$B$7="All",$D958='Staff Dashboard'!$B$7),OR('Staff Dashboard'!$B$8="All",$A958='Staff Dashboard'!$B$8))</f>
        <v>0</v>
      </c>
      <c r="M958">
        <f>IF($E958=0,0,SUMPRODUCT($AI$7:$DF$7,'Staff Daily sales'!$G943:$CD943))</f>
        <v>0</v>
      </c>
      <c r="N958">
        <f>IF($E958=0,0,SUMPRODUCT($AI$8:$DF$8,'Staff Daily sales'!$G943:$CD943))</f>
        <v>0</v>
      </c>
      <c r="O958">
        <f>IF($E958=0,0,SUMPRODUCT($AI$9:$DF$9,'Staff Daily sales'!$G943:$CD943))</f>
        <v>0</v>
      </c>
      <c r="P958">
        <f>IF($E958=0,0,SUMPRODUCT($AI$10:$DF$10,'Staff Daily sales'!$G943:$CD943))</f>
        <v>0</v>
      </c>
      <c r="Q958">
        <f>IF($E958=0,0,SUMPRODUCT($AI$11:$DF$11,'Staff Daily sales'!$G943:$CD943))</f>
        <v>0</v>
      </c>
      <c r="R958">
        <f>IF($E958=0,0,SUMPRODUCT($AI$12:$DF$12,'Staff Daily sales'!$G943:$CD943))</f>
        <v>0</v>
      </c>
      <c r="S958">
        <f>IF($E958=0,0,SUMPRODUCT($AI$13:$DF$13,'Staff Daily sales'!$G943:$CD943))</f>
        <v>0</v>
      </c>
      <c r="T958">
        <f>IF($E958=0,0,SUMPRODUCT($AI$14:$DF$14,'Staff Daily sales'!$G943:$CD943))</f>
        <v>0</v>
      </c>
      <c r="U958">
        <f>IF($E958=0,0,SUMPRODUCT($AI$15:$DF$15,'Staff Daily sales'!$G943:$CD943))</f>
        <v>0</v>
      </c>
      <c r="V958">
        <f>IF($E958=0,0,SUMPRODUCT($AI$16:$DF$16,'Staff Daily sales'!$G943:$CD943))</f>
        <v>0</v>
      </c>
      <c r="W958">
        <f t="shared" si="255"/>
        <v>0</v>
      </c>
      <c r="X958">
        <f t="shared" si="256"/>
        <v>0</v>
      </c>
      <c r="Y958">
        <f t="shared" si="257"/>
        <v>0</v>
      </c>
      <c r="Z958">
        <f t="shared" si="258"/>
        <v>0</v>
      </c>
      <c r="AA958">
        <f t="shared" si="259"/>
        <v>0</v>
      </c>
      <c r="AB958">
        <f>--AND($E958=1,OR('Staff Weekly Trend'!$B$3="All",$DH958='Staff Weekly Trend'!$B$3),OR('Staff Weekly Trend'!$B$4="All",$D958='Staff Weekly Trend'!$B$4),OR('Staff Weekly Trend'!$B$5="All",$A958='Staff Weekly Trend'!$B$5))</f>
        <v>0</v>
      </c>
      <c r="AC958" t="str">
        <f t="shared" si="260"/>
        <v/>
      </c>
      <c r="AI958">
        <f t="shared" si="261"/>
        <v>0</v>
      </c>
      <c r="AJ958">
        <f t="shared" si="262"/>
        <v>0</v>
      </c>
      <c r="AK958">
        <f t="shared" si="263"/>
        <v>0</v>
      </c>
      <c r="AL958">
        <f t="shared" si="264"/>
        <v>0</v>
      </c>
      <c r="AM958">
        <f t="shared" si="265"/>
        <v>0</v>
      </c>
      <c r="DH958" t="str" cm="1">
        <f t="array" ref="DH958">IF($A958="","",_xlfn.LET(_xlpm.c,IFERROR(_xlfn.XLOOKUP($A958,TRIM('Sales and count'!$A$4:$A$300&amp;""),TRIM('Sales and count'!$B$4:$B$300&amp;"")),""),IF(OR(_xlpm.c="",_xlpm.c="0",LEFT(_xlpm.c,1)="#"),"Not set",_xlpm.c)))</f>
        <v/>
      </c>
    </row>
    <row r="959" spans="1:112" x14ac:dyDescent="0.25">
      <c r="A959" t="str">
        <f>IF('Staff Daily sales'!$B944="","",TRIM('Staff Daily sales'!$B944&amp;""))</f>
        <v/>
      </c>
      <c r="B959" t="str">
        <f>IF('Staff Daily sales'!$D944="","",TRIM('Staff Daily sales'!$D944&amp;""))</f>
        <v/>
      </c>
      <c r="C959" t="str">
        <f>IFERROR(TRIM('Staff Daily sales'!$E944&amp;""),"")</f>
        <v/>
      </c>
      <c r="D959" t="str">
        <f>IFERROR(IF(TRIM('Staff Daily sales'!$F944&amp;"")="","Unassigned",TRIM('Staff Daily sales'!$F944&amp;"")),"Unassigned")</f>
        <v>Unassigned</v>
      </c>
      <c r="E959">
        <f t="shared" si="250"/>
        <v>0</v>
      </c>
      <c r="F959">
        <f>IF($E959=0,0,SUMPRODUCT($AI$5:$DF$5,'Staff Daily sales'!$G944:$CD944))</f>
        <v>0</v>
      </c>
      <c r="G959">
        <f>IF($E959=0,0,SUMPRODUCT($AI$6:$DF$6,'Staff Daily sales'!$G944:$CD944))</f>
        <v>0</v>
      </c>
      <c r="H959">
        <f t="shared" si="251"/>
        <v>0</v>
      </c>
      <c r="I959">
        <f t="shared" si="252"/>
        <v>0</v>
      </c>
      <c r="J959">
        <f t="shared" si="253"/>
        <v>0</v>
      </c>
      <c r="K959">
        <f t="shared" si="254"/>
        <v>0</v>
      </c>
      <c r="L959">
        <f>--AND($E959=1,OR('Staff Dashboard'!$B$6="All",$DH959='Staff Dashboard'!$B$6),OR('Staff Dashboard'!$B$7="All",$D959='Staff Dashboard'!$B$7),OR('Staff Dashboard'!$B$8="All",$A959='Staff Dashboard'!$B$8))</f>
        <v>0</v>
      </c>
      <c r="M959">
        <f>IF($E959=0,0,SUMPRODUCT($AI$7:$DF$7,'Staff Daily sales'!$G944:$CD944))</f>
        <v>0</v>
      </c>
      <c r="N959">
        <f>IF($E959=0,0,SUMPRODUCT($AI$8:$DF$8,'Staff Daily sales'!$G944:$CD944))</f>
        <v>0</v>
      </c>
      <c r="O959">
        <f>IF($E959=0,0,SUMPRODUCT($AI$9:$DF$9,'Staff Daily sales'!$G944:$CD944))</f>
        <v>0</v>
      </c>
      <c r="P959">
        <f>IF($E959=0,0,SUMPRODUCT($AI$10:$DF$10,'Staff Daily sales'!$G944:$CD944))</f>
        <v>0</v>
      </c>
      <c r="Q959">
        <f>IF($E959=0,0,SUMPRODUCT($AI$11:$DF$11,'Staff Daily sales'!$G944:$CD944))</f>
        <v>0</v>
      </c>
      <c r="R959">
        <f>IF($E959=0,0,SUMPRODUCT($AI$12:$DF$12,'Staff Daily sales'!$G944:$CD944))</f>
        <v>0</v>
      </c>
      <c r="S959">
        <f>IF($E959=0,0,SUMPRODUCT($AI$13:$DF$13,'Staff Daily sales'!$G944:$CD944))</f>
        <v>0</v>
      </c>
      <c r="T959">
        <f>IF($E959=0,0,SUMPRODUCT($AI$14:$DF$14,'Staff Daily sales'!$G944:$CD944))</f>
        <v>0</v>
      </c>
      <c r="U959">
        <f>IF($E959=0,0,SUMPRODUCT($AI$15:$DF$15,'Staff Daily sales'!$G944:$CD944))</f>
        <v>0</v>
      </c>
      <c r="V959">
        <f>IF($E959=0,0,SUMPRODUCT($AI$16:$DF$16,'Staff Daily sales'!$G944:$CD944))</f>
        <v>0</v>
      </c>
      <c r="W959">
        <f t="shared" si="255"/>
        <v>0</v>
      </c>
      <c r="X959">
        <f t="shared" si="256"/>
        <v>0</v>
      </c>
      <c r="Y959">
        <f t="shared" si="257"/>
        <v>0</v>
      </c>
      <c r="Z959">
        <f t="shared" si="258"/>
        <v>0</v>
      </c>
      <c r="AA959">
        <f t="shared" si="259"/>
        <v>0</v>
      </c>
      <c r="AB959">
        <f>--AND($E959=1,OR('Staff Weekly Trend'!$B$3="All",$DH959='Staff Weekly Trend'!$B$3),OR('Staff Weekly Trend'!$B$4="All",$D959='Staff Weekly Trend'!$B$4),OR('Staff Weekly Trend'!$B$5="All",$A959='Staff Weekly Trend'!$B$5))</f>
        <v>0</v>
      </c>
      <c r="AC959" t="str">
        <f t="shared" si="260"/>
        <v/>
      </c>
      <c r="AI959">
        <f t="shared" si="261"/>
        <v>0</v>
      </c>
      <c r="AJ959">
        <f t="shared" si="262"/>
        <v>0</v>
      </c>
      <c r="AK959">
        <f t="shared" si="263"/>
        <v>0</v>
      </c>
      <c r="AL959">
        <f t="shared" si="264"/>
        <v>0</v>
      </c>
      <c r="AM959">
        <f t="shared" si="265"/>
        <v>0</v>
      </c>
      <c r="DH959" t="str" cm="1">
        <f t="array" ref="DH959">IF($A959="","",_xlfn.LET(_xlpm.c,IFERROR(_xlfn.XLOOKUP($A959,TRIM('Sales and count'!$A$4:$A$300&amp;""),TRIM('Sales and count'!$B$4:$B$300&amp;"")),""),IF(OR(_xlpm.c="",_xlpm.c="0",LEFT(_xlpm.c,1)="#"),"Not set",_xlpm.c)))</f>
        <v/>
      </c>
    </row>
    <row r="960" spans="1:112" x14ac:dyDescent="0.25">
      <c r="A960" t="str">
        <f>IF('Staff Daily sales'!$B945="","",TRIM('Staff Daily sales'!$B945&amp;""))</f>
        <v/>
      </c>
      <c r="B960" t="str">
        <f>IF('Staff Daily sales'!$D945="","",TRIM('Staff Daily sales'!$D945&amp;""))</f>
        <v/>
      </c>
      <c r="C960" t="str">
        <f>IFERROR(TRIM('Staff Daily sales'!$E945&amp;""),"")</f>
        <v/>
      </c>
      <c r="D960" t="str">
        <f>IFERROR(IF(TRIM('Staff Daily sales'!$F945&amp;"")="","Unassigned",TRIM('Staff Daily sales'!$F945&amp;"")),"Unassigned")</f>
        <v>Unassigned</v>
      </c>
      <c r="E960">
        <f t="shared" si="250"/>
        <v>0</v>
      </c>
      <c r="F960">
        <f>IF($E960=0,0,SUMPRODUCT($AI$5:$DF$5,'Staff Daily sales'!$G945:$CD945))</f>
        <v>0</v>
      </c>
      <c r="G960">
        <f>IF($E960=0,0,SUMPRODUCT($AI$6:$DF$6,'Staff Daily sales'!$G945:$CD945))</f>
        <v>0</v>
      </c>
      <c r="H960">
        <f t="shared" si="251"/>
        <v>0</v>
      </c>
      <c r="I960">
        <f t="shared" si="252"/>
        <v>0</v>
      </c>
      <c r="J960">
        <f t="shared" si="253"/>
        <v>0</v>
      </c>
      <c r="K960">
        <f t="shared" si="254"/>
        <v>0</v>
      </c>
      <c r="L960">
        <f>--AND($E960=1,OR('Staff Dashboard'!$B$6="All",$DH960='Staff Dashboard'!$B$6),OR('Staff Dashboard'!$B$7="All",$D960='Staff Dashboard'!$B$7),OR('Staff Dashboard'!$B$8="All",$A960='Staff Dashboard'!$B$8))</f>
        <v>0</v>
      </c>
      <c r="M960">
        <f>IF($E960=0,0,SUMPRODUCT($AI$7:$DF$7,'Staff Daily sales'!$G945:$CD945))</f>
        <v>0</v>
      </c>
      <c r="N960">
        <f>IF($E960=0,0,SUMPRODUCT($AI$8:$DF$8,'Staff Daily sales'!$G945:$CD945))</f>
        <v>0</v>
      </c>
      <c r="O960">
        <f>IF($E960=0,0,SUMPRODUCT($AI$9:$DF$9,'Staff Daily sales'!$G945:$CD945))</f>
        <v>0</v>
      </c>
      <c r="P960">
        <f>IF($E960=0,0,SUMPRODUCT($AI$10:$DF$10,'Staff Daily sales'!$G945:$CD945))</f>
        <v>0</v>
      </c>
      <c r="Q960">
        <f>IF($E960=0,0,SUMPRODUCT($AI$11:$DF$11,'Staff Daily sales'!$G945:$CD945))</f>
        <v>0</v>
      </c>
      <c r="R960">
        <f>IF($E960=0,0,SUMPRODUCT($AI$12:$DF$12,'Staff Daily sales'!$G945:$CD945))</f>
        <v>0</v>
      </c>
      <c r="S960">
        <f>IF($E960=0,0,SUMPRODUCT($AI$13:$DF$13,'Staff Daily sales'!$G945:$CD945))</f>
        <v>0</v>
      </c>
      <c r="T960">
        <f>IF($E960=0,0,SUMPRODUCT($AI$14:$DF$14,'Staff Daily sales'!$G945:$CD945))</f>
        <v>0</v>
      </c>
      <c r="U960">
        <f>IF($E960=0,0,SUMPRODUCT($AI$15:$DF$15,'Staff Daily sales'!$G945:$CD945))</f>
        <v>0</v>
      </c>
      <c r="V960">
        <f>IF($E960=0,0,SUMPRODUCT($AI$16:$DF$16,'Staff Daily sales'!$G945:$CD945))</f>
        <v>0</v>
      </c>
      <c r="W960">
        <f t="shared" si="255"/>
        <v>0</v>
      </c>
      <c r="X960">
        <f t="shared" si="256"/>
        <v>0</v>
      </c>
      <c r="Y960">
        <f t="shared" si="257"/>
        <v>0</v>
      </c>
      <c r="Z960">
        <f t="shared" si="258"/>
        <v>0</v>
      </c>
      <c r="AA960">
        <f t="shared" si="259"/>
        <v>0</v>
      </c>
      <c r="AB960">
        <f>--AND($E960=1,OR('Staff Weekly Trend'!$B$3="All",$DH960='Staff Weekly Trend'!$B$3),OR('Staff Weekly Trend'!$B$4="All",$D960='Staff Weekly Trend'!$B$4),OR('Staff Weekly Trend'!$B$5="All",$A960='Staff Weekly Trend'!$B$5))</f>
        <v>0</v>
      </c>
      <c r="AC960" t="str">
        <f t="shared" si="260"/>
        <v/>
      </c>
      <c r="AI960">
        <f t="shared" si="261"/>
        <v>0</v>
      </c>
      <c r="AJ960">
        <f t="shared" si="262"/>
        <v>0</v>
      </c>
      <c r="AK960">
        <f t="shared" si="263"/>
        <v>0</v>
      </c>
      <c r="AL960">
        <f t="shared" si="264"/>
        <v>0</v>
      </c>
      <c r="AM960">
        <f t="shared" si="265"/>
        <v>0</v>
      </c>
      <c r="DH960" t="str" cm="1">
        <f t="array" ref="DH960">IF($A960="","",_xlfn.LET(_xlpm.c,IFERROR(_xlfn.XLOOKUP($A960,TRIM('Sales and count'!$A$4:$A$300&amp;""),TRIM('Sales and count'!$B$4:$B$300&amp;"")),""),IF(OR(_xlpm.c="",_xlpm.c="0",LEFT(_xlpm.c,1)="#"),"Not set",_xlpm.c)))</f>
        <v/>
      </c>
    </row>
    <row r="961" spans="1:112" x14ac:dyDescent="0.25">
      <c r="A961" t="str">
        <f>IF('Staff Daily sales'!$B946="","",TRIM('Staff Daily sales'!$B946&amp;""))</f>
        <v/>
      </c>
      <c r="B961" t="str">
        <f>IF('Staff Daily sales'!$D946="","",TRIM('Staff Daily sales'!$D946&amp;""))</f>
        <v/>
      </c>
      <c r="C961" t="str">
        <f>IFERROR(TRIM('Staff Daily sales'!$E946&amp;""),"")</f>
        <v/>
      </c>
      <c r="D961" t="str">
        <f>IFERROR(IF(TRIM('Staff Daily sales'!$F946&amp;"")="","Unassigned",TRIM('Staff Daily sales'!$F946&amp;"")),"Unassigned")</f>
        <v>Unassigned</v>
      </c>
      <c r="E961">
        <f t="shared" si="250"/>
        <v>0</v>
      </c>
      <c r="F961">
        <f>IF($E961=0,0,SUMPRODUCT($AI$5:$DF$5,'Staff Daily sales'!$G946:$CD946))</f>
        <v>0</v>
      </c>
      <c r="G961">
        <f>IF($E961=0,0,SUMPRODUCT($AI$6:$DF$6,'Staff Daily sales'!$G946:$CD946))</f>
        <v>0</v>
      </c>
      <c r="H961">
        <f t="shared" si="251"/>
        <v>0</v>
      </c>
      <c r="I961">
        <f t="shared" si="252"/>
        <v>0</v>
      </c>
      <c r="J961">
        <f t="shared" si="253"/>
        <v>0</v>
      </c>
      <c r="K961">
        <f t="shared" si="254"/>
        <v>0</v>
      </c>
      <c r="L961">
        <f>--AND($E961=1,OR('Staff Dashboard'!$B$6="All",$DH961='Staff Dashboard'!$B$6),OR('Staff Dashboard'!$B$7="All",$D961='Staff Dashboard'!$B$7),OR('Staff Dashboard'!$B$8="All",$A961='Staff Dashboard'!$B$8))</f>
        <v>0</v>
      </c>
      <c r="M961">
        <f>IF($E961=0,0,SUMPRODUCT($AI$7:$DF$7,'Staff Daily sales'!$G946:$CD946))</f>
        <v>0</v>
      </c>
      <c r="N961">
        <f>IF($E961=0,0,SUMPRODUCT($AI$8:$DF$8,'Staff Daily sales'!$G946:$CD946))</f>
        <v>0</v>
      </c>
      <c r="O961">
        <f>IF($E961=0,0,SUMPRODUCT($AI$9:$DF$9,'Staff Daily sales'!$G946:$CD946))</f>
        <v>0</v>
      </c>
      <c r="P961">
        <f>IF($E961=0,0,SUMPRODUCT($AI$10:$DF$10,'Staff Daily sales'!$G946:$CD946))</f>
        <v>0</v>
      </c>
      <c r="Q961">
        <f>IF($E961=0,0,SUMPRODUCT($AI$11:$DF$11,'Staff Daily sales'!$G946:$CD946))</f>
        <v>0</v>
      </c>
      <c r="R961">
        <f>IF($E961=0,0,SUMPRODUCT($AI$12:$DF$12,'Staff Daily sales'!$G946:$CD946))</f>
        <v>0</v>
      </c>
      <c r="S961">
        <f>IF($E961=0,0,SUMPRODUCT($AI$13:$DF$13,'Staff Daily sales'!$G946:$CD946))</f>
        <v>0</v>
      </c>
      <c r="T961">
        <f>IF($E961=0,0,SUMPRODUCT($AI$14:$DF$14,'Staff Daily sales'!$G946:$CD946))</f>
        <v>0</v>
      </c>
      <c r="U961">
        <f>IF($E961=0,0,SUMPRODUCT($AI$15:$DF$15,'Staff Daily sales'!$G946:$CD946))</f>
        <v>0</v>
      </c>
      <c r="V961">
        <f>IF($E961=0,0,SUMPRODUCT($AI$16:$DF$16,'Staff Daily sales'!$G946:$CD946))</f>
        <v>0</v>
      </c>
      <c r="W961">
        <f t="shared" si="255"/>
        <v>0</v>
      </c>
      <c r="X961">
        <f t="shared" si="256"/>
        <v>0</v>
      </c>
      <c r="Y961">
        <f t="shared" si="257"/>
        <v>0</v>
      </c>
      <c r="Z961">
        <f t="shared" si="258"/>
        <v>0</v>
      </c>
      <c r="AA961">
        <f t="shared" si="259"/>
        <v>0</v>
      </c>
      <c r="AB961">
        <f>--AND($E961=1,OR('Staff Weekly Trend'!$B$3="All",$DH961='Staff Weekly Trend'!$B$3),OR('Staff Weekly Trend'!$B$4="All",$D961='Staff Weekly Trend'!$B$4),OR('Staff Weekly Trend'!$B$5="All",$A961='Staff Weekly Trend'!$B$5))</f>
        <v>0</v>
      </c>
      <c r="AC961" t="str">
        <f t="shared" si="260"/>
        <v/>
      </c>
      <c r="AI961">
        <f t="shared" si="261"/>
        <v>0</v>
      </c>
      <c r="AJ961">
        <f t="shared" si="262"/>
        <v>0</v>
      </c>
      <c r="AK961">
        <f t="shared" si="263"/>
        <v>0</v>
      </c>
      <c r="AL961">
        <f t="shared" si="264"/>
        <v>0</v>
      </c>
      <c r="AM961">
        <f t="shared" si="265"/>
        <v>0</v>
      </c>
      <c r="DH961" t="str" cm="1">
        <f t="array" ref="DH961">IF($A961="","",_xlfn.LET(_xlpm.c,IFERROR(_xlfn.XLOOKUP($A961,TRIM('Sales and count'!$A$4:$A$300&amp;""),TRIM('Sales and count'!$B$4:$B$300&amp;"")),""),IF(OR(_xlpm.c="",_xlpm.c="0",LEFT(_xlpm.c,1)="#"),"Not set",_xlpm.c)))</f>
        <v/>
      </c>
    </row>
    <row r="962" spans="1:112" x14ac:dyDescent="0.25">
      <c r="A962" t="str">
        <f>IF('Staff Daily sales'!$B947="","",TRIM('Staff Daily sales'!$B947&amp;""))</f>
        <v/>
      </c>
      <c r="B962" t="str">
        <f>IF('Staff Daily sales'!$D947="","",TRIM('Staff Daily sales'!$D947&amp;""))</f>
        <v/>
      </c>
      <c r="C962" t="str">
        <f>IFERROR(TRIM('Staff Daily sales'!$E947&amp;""),"")</f>
        <v/>
      </c>
      <c r="D962" t="str">
        <f>IFERROR(IF(TRIM('Staff Daily sales'!$F947&amp;"")="","Unassigned",TRIM('Staff Daily sales'!$F947&amp;"")),"Unassigned")</f>
        <v>Unassigned</v>
      </c>
      <c r="E962">
        <f t="shared" si="250"/>
        <v>0</v>
      </c>
      <c r="F962">
        <f>IF($E962=0,0,SUMPRODUCT($AI$5:$DF$5,'Staff Daily sales'!$G947:$CD947))</f>
        <v>0</v>
      </c>
      <c r="G962">
        <f>IF($E962=0,0,SUMPRODUCT($AI$6:$DF$6,'Staff Daily sales'!$G947:$CD947))</f>
        <v>0</v>
      </c>
      <c r="H962">
        <f t="shared" si="251"/>
        <v>0</v>
      </c>
      <c r="I962">
        <f t="shared" si="252"/>
        <v>0</v>
      </c>
      <c r="J962">
        <f t="shared" si="253"/>
        <v>0</v>
      </c>
      <c r="K962">
        <f t="shared" si="254"/>
        <v>0</v>
      </c>
      <c r="L962">
        <f>--AND($E962=1,OR('Staff Dashboard'!$B$6="All",$DH962='Staff Dashboard'!$B$6),OR('Staff Dashboard'!$B$7="All",$D962='Staff Dashboard'!$B$7),OR('Staff Dashboard'!$B$8="All",$A962='Staff Dashboard'!$B$8))</f>
        <v>0</v>
      </c>
      <c r="M962">
        <f>IF($E962=0,0,SUMPRODUCT($AI$7:$DF$7,'Staff Daily sales'!$G947:$CD947))</f>
        <v>0</v>
      </c>
      <c r="N962">
        <f>IF($E962=0,0,SUMPRODUCT($AI$8:$DF$8,'Staff Daily sales'!$G947:$CD947))</f>
        <v>0</v>
      </c>
      <c r="O962">
        <f>IF($E962=0,0,SUMPRODUCT($AI$9:$DF$9,'Staff Daily sales'!$G947:$CD947))</f>
        <v>0</v>
      </c>
      <c r="P962">
        <f>IF($E962=0,0,SUMPRODUCT($AI$10:$DF$10,'Staff Daily sales'!$G947:$CD947))</f>
        <v>0</v>
      </c>
      <c r="Q962">
        <f>IF($E962=0,0,SUMPRODUCT($AI$11:$DF$11,'Staff Daily sales'!$G947:$CD947))</f>
        <v>0</v>
      </c>
      <c r="R962">
        <f>IF($E962=0,0,SUMPRODUCT($AI$12:$DF$12,'Staff Daily sales'!$G947:$CD947))</f>
        <v>0</v>
      </c>
      <c r="S962">
        <f>IF($E962=0,0,SUMPRODUCT($AI$13:$DF$13,'Staff Daily sales'!$G947:$CD947))</f>
        <v>0</v>
      </c>
      <c r="T962">
        <f>IF($E962=0,0,SUMPRODUCT($AI$14:$DF$14,'Staff Daily sales'!$G947:$CD947))</f>
        <v>0</v>
      </c>
      <c r="U962">
        <f>IF($E962=0,0,SUMPRODUCT($AI$15:$DF$15,'Staff Daily sales'!$G947:$CD947))</f>
        <v>0</v>
      </c>
      <c r="V962">
        <f>IF($E962=0,0,SUMPRODUCT($AI$16:$DF$16,'Staff Daily sales'!$G947:$CD947))</f>
        <v>0</v>
      </c>
      <c r="W962">
        <f t="shared" si="255"/>
        <v>0</v>
      </c>
      <c r="X962">
        <f t="shared" si="256"/>
        <v>0</v>
      </c>
      <c r="Y962">
        <f t="shared" si="257"/>
        <v>0</v>
      </c>
      <c r="Z962">
        <f t="shared" si="258"/>
        <v>0</v>
      </c>
      <c r="AA962">
        <f t="shared" si="259"/>
        <v>0</v>
      </c>
      <c r="AB962">
        <f>--AND($E962=1,OR('Staff Weekly Trend'!$B$3="All",$DH962='Staff Weekly Trend'!$B$3),OR('Staff Weekly Trend'!$B$4="All",$D962='Staff Weekly Trend'!$B$4),OR('Staff Weekly Trend'!$B$5="All",$A962='Staff Weekly Trend'!$B$5))</f>
        <v>0</v>
      </c>
      <c r="AC962" t="str">
        <f t="shared" si="260"/>
        <v/>
      </c>
      <c r="AI962">
        <f t="shared" si="261"/>
        <v>0</v>
      </c>
      <c r="AJ962">
        <f t="shared" si="262"/>
        <v>0</v>
      </c>
      <c r="AK962">
        <f t="shared" si="263"/>
        <v>0</v>
      </c>
      <c r="AL962">
        <f t="shared" si="264"/>
        <v>0</v>
      </c>
      <c r="AM962">
        <f t="shared" si="265"/>
        <v>0</v>
      </c>
      <c r="DH962" t="str" cm="1">
        <f t="array" ref="DH962">IF($A962="","",_xlfn.LET(_xlpm.c,IFERROR(_xlfn.XLOOKUP($A962,TRIM('Sales and count'!$A$4:$A$300&amp;""),TRIM('Sales and count'!$B$4:$B$300&amp;"")),""),IF(OR(_xlpm.c="",_xlpm.c="0",LEFT(_xlpm.c,1)="#"),"Not set",_xlpm.c)))</f>
        <v/>
      </c>
    </row>
    <row r="963" spans="1:112" x14ac:dyDescent="0.25">
      <c r="A963" t="str">
        <f>IF('Staff Daily sales'!$B948="","",TRIM('Staff Daily sales'!$B948&amp;""))</f>
        <v/>
      </c>
      <c r="B963" t="str">
        <f>IF('Staff Daily sales'!$D948="","",TRIM('Staff Daily sales'!$D948&amp;""))</f>
        <v/>
      </c>
      <c r="C963" t="str">
        <f>IFERROR(TRIM('Staff Daily sales'!$E948&amp;""),"")</f>
        <v/>
      </c>
      <c r="D963" t="str">
        <f>IFERROR(IF(TRIM('Staff Daily sales'!$F948&amp;"")="","Unassigned",TRIM('Staff Daily sales'!$F948&amp;"")),"Unassigned")</f>
        <v>Unassigned</v>
      </c>
      <c r="E963">
        <f t="shared" si="250"/>
        <v>0</v>
      </c>
      <c r="F963">
        <f>IF($E963=0,0,SUMPRODUCT($AI$5:$DF$5,'Staff Daily sales'!$G948:$CD948))</f>
        <v>0</v>
      </c>
      <c r="G963">
        <f>IF($E963=0,0,SUMPRODUCT($AI$6:$DF$6,'Staff Daily sales'!$G948:$CD948))</f>
        <v>0</v>
      </c>
      <c r="H963">
        <f t="shared" si="251"/>
        <v>0</v>
      </c>
      <c r="I963">
        <f t="shared" si="252"/>
        <v>0</v>
      </c>
      <c r="J963">
        <f t="shared" si="253"/>
        <v>0</v>
      </c>
      <c r="K963">
        <f t="shared" si="254"/>
        <v>0</v>
      </c>
      <c r="L963">
        <f>--AND($E963=1,OR('Staff Dashboard'!$B$6="All",$DH963='Staff Dashboard'!$B$6),OR('Staff Dashboard'!$B$7="All",$D963='Staff Dashboard'!$B$7),OR('Staff Dashboard'!$B$8="All",$A963='Staff Dashboard'!$B$8))</f>
        <v>0</v>
      </c>
      <c r="M963">
        <f>IF($E963=0,0,SUMPRODUCT($AI$7:$DF$7,'Staff Daily sales'!$G948:$CD948))</f>
        <v>0</v>
      </c>
      <c r="N963">
        <f>IF($E963=0,0,SUMPRODUCT($AI$8:$DF$8,'Staff Daily sales'!$G948:$CD948))</f>
        <v>0</v>
      </c>
      <c r="O963">
        <f>IF($E963=0,0,SUMPRODUCT($AI$9:$DF$9,'Staff Daily sales'!$G948:$CD948))</f>
        <v>0</v>
      </c>
      <c r="P963">
        <f>IF($E963=0,0,SUMPRODUCT($AI$10:$DF$10,'Staff Daily sales'!$G948:$CD948))</f>
        <v>0</v>
      </c>
      <c r="Q963">
        <f>IF($E963=0,0,SUMPRODUCT($AI$11:$DF$11,'Staff Daily sales'!$G948:$CD948))</f>
        <v>0</v>
      </c>
      <c r="R963">
        <f>IF($E963=0,0,SUMPRODUCT($AI$12:$DF$12,'Staff Daily sales'!$G948:$CD948))</f>
        <v>0</v>
      </c>
      <c r="S963">
        <f>IF($E963=0,0,SUMPRODUCT($AI$13:$DF$13,'Staff Daily sales'!$G948:$CD948))</f>
        <v>0</v>
      </c>
      <c r="T963">
        <f>IF($E963=0,0,SUMPRODUCT($AI$14:$DF$14,'Staff Daily sales'!$G948:$CD948))</f>
        <v>0</v>
      </c>
      <c r="U963">
        <f>IF($E963=0,0,SUMPRODUCT($AI$15:$DF$15,'Staff Daily sales'!$G948:$CD948))</f>
        <v>0</v>
      </c>
      <c r="V963">
        <f>IF($E963=0,0,SUMPRODUCT($AI$16:$DF$16,'Staff Daily sales'!$G948:$CD948))</f>
        <v>0</v>
      </c>
      <c r="W963">
        <f t="shared" si="255"/>
        <v>0</v>
      </c>
      <c r="X963">
        <f t="shared" si="256"/>
        <v>0</v>
      </c>
      <c r="Y963">
        <f t="shared" si="257"/>
        <v>0</v>
      </c>
      <c r="Z963">
        <f t="shared" si="258"/>
        <v>0</v>
      </c>
      <c r="AA963">
        <f t="shared" si="259"/>
        <v>0</v>
      </c>
      <c r="AB963">
        <f>--AND($E963=1,OR('Staff Weekly Trend'!$B$3="All",$DH963='Staff Weekly Trend'!$B$3),OR('Staff Weekly Trend'!$B$4="All",$D963='Staff Weekly Trend'!$B$4),OR('Staff Weekly Trend'!$B$5="All",$A963='Staff Weekly Trend'!$B$5))</f>
        <v>0</v>
      </c>
      <c r="AC963" t="str">
        <f t="shared" si="260"/>
        <v/>
      </c>
      <c r="AI963">
        <f t="shared" si="261"/>
        <v>0</v>
      </c>
      <c r="AJ963">
        <f t="shared" si="262"/>
        <v>0</v>
      </c>
      <c r="AK963">
        <f t="shared" si="263"/>
        <v>0</v>
      </c>
      <c r="AL963">
        <f t="shared" si="264"/>
        <v>0</v>
      </c>
      <c r="AM963">
        <f t="shared" si="265"/>
        <v>0</v>
      </c>
      <c r="DH963" t="str" cm="1">
        <f t="array" ref="DH963">IF($A963="","",_xlfn.LET(_xlpm.c,IFERROR(_xlfn.XLOOKUP($A963,TRIM('Sales and count'!$A$4:$A$300&amp;""),TRIM('Sales and count'!$B$4:$B$300&amp;"")),""),IF(OR(_xlpm.c="",_xlpm.c="0",LEFT(_xlpm.c,1)="#"),"Not set",_xlpm.c)))</f>
        <v/>
      </c>
    </row>
    <row r="964" spans="1:112" x14ac:dyDescent="0.25">
      <c r="A964" t="str">
        <f>IF('Staff Daily sales'!$B949="","",TRIM('Staff Daily sales'!$B949&amp;""))</f>
        <v/>
      </c>
      <c r="B964" t="str">
        <f>IF('Staff Daily sales'!$D949="","",TRIM('Staff Daily sales'!$D949&amp;""))</f>
        <v/>
      </c>
      <c r="C964" t="str">
        <f>IFERROR(TRIM('Staff Daily sales'!$E949&amp;""),"")</f>
        <v/>
      </c>
      <c r="D964" t="str">
        <f>IFERROR(IF(TRIM('Staff Daily sales'!$F949&amp;"")="","Unassigned",TRIM('Staff Daily sales'!$F949&amp;"")),"Unassigned")</f>
        <v>Unassigned</v>
      </c>
      <c r="E964">
        <f t="shared" si="250"/>
        <v>0</v>
      </c>
      <c r="F964">
        <f>IF($E964=0,0,SUMPRODUCT($AI$5:$DF$5,'Staff Daily sales'!$G949:$CD949))</f>
        <v>0</v>
      </c>
      <c r="G964">
        <f>IF($E964=0,0,SUMPRODUCT($AI$6:$DF$6,'Staff Daily sales'!$G949:$CD949))</f>
        <v>0</v>
      </c>
      <c r="H964">
        <f t="shared" si="251"/>
        <v>0</v>
      </c>
      <c r="I964">
        <f t="shared" si="252"/>
        <v>0</v>
      </c>
      <c r="J964">
        <f t="shared" si="253"/>
        <v>0</v>
      </c>
      <c r="K964">
        <f t="shared" si="254"/>
        <v>0</v>
      </c>
      <c r="L964">
        <f>--AND($E964=1,OR('Staff Dashboard'!$B$6="All",$DH964='Staff Dashboard'!$B$6),OR('Staff Dashboard'!$B$7="All",$D964='Staff Dashboard'!$B$7),OR('Staff Dashboard'!$B$8="All",$A964='Staff Dashboard'!$B$8))</f>
        <v>0</v>
      </c>
      <c r="M964">
        <f>IF($E964=0,0,SUMPRODUCT($AI$7:$DF$7,'Staff Daily sales'!$G949:$CD949))</f>
        <v>0</v>
      </c>
      <c r="N964">
        <f>IF($E964=0,0,SUMPRODUCT($AI$8:$DF$8,'Staff Daily sales'!$G949:$CD949))</f>
        <v>0</v>
      </c>
      <c r="O964">
        <f>IF($E964=0,0,SUMPRODUCT($AI$9:$DF$9,'Staff Daily sales'!$G949:$CD949))</f>
        <v>0</v>
      </c>
      <c r="P964">
        <f>IF($E964=0,0,SUMPRODUCT($AI$10:$DF$10,'Staff Daily sales'!$G949:$CD949))</f>
        <v>0</v>
      </c>
      <c r="Q964">
        <f>IF($E964=0,0,SUMPRODUCT($AI$11:$DF$11,'Staff Daily sales'!$G949:$CD949))</f>
        <v>0</v>
      </c>
      <c r="R964">
        <f>IF($E964=0,0,SUMPRODUCT($AI$12:$DF$12,'Staff Daily sales'!$G949:$CD949))</f>
        <v>0</v>
      </c>
      <c r="S964">
        <f>IF($E964=0,0,SUMPRODUCT($AI$13:$DF$13,'Staff Daily sales'!$G949:$CD949))</f>
        <v>0</v>
      </c>
      <c r="T964">
        <f>IF($E964=0,0,SUMPRODUCT($AI$14:$DF$14,'Staff Daily sales'!$G949:$CD949))</f>
        <v>0</v>
      </c>
      <c r="U964">
        <f>IF($E964=0,0,SUMPRODUCT($AI$15:$DF$15,'Staff Daily sales'!$G949:$CD949))</f>
        <v>0</v>
      </c>
      <c r="V964">
        <f>IF($E964=0,0,SUMPRODUCT($AI$16:$DF$16,'Staff Daily sales'!$G949:$CD949))</f>
        <v>0</v>
      </c>
      <c r="W964">
        <f t="shared" si="255"/>
        <v>0</v>
      </c>
      <c r="X964">
        <f t="shared" si="256"/>
        <v>0</v>
      </c>
      <c r="Y964">
        <f t="shared" si="257"/>
        <v>0</v>
      </c>
      <c r="Z964">
        <f t="shared" si="258"/>
        <v>0</v>
      </c>
      <c r="AA964">
        <f t="shared" si="259"/>
        <v>0</v>
      </c>
      <c r="AB964">
        <f>--AND($E964=1,OR('Staff Weekly Trend'!$B$3="All",$DH964='Staff Weekly Trend'!$B$3),OR('Staff Weekly Trend'!$B$4="All",$D964='Staff Weekly Trend'!$B$4),OR('Staff Weekly Trend'!$B$5="All",$A964='Staff Weekly Trend'!$B$5))</f>
        <v>0</v>
      </c>
      <c r="AC964" t="str">
        <f t="shared" si="260"/>
        <v/>
      </c>
      <c r="AI964">
        <f t="shared" si="261"/>
        <v>0</v>
      </c>
      <c r="AJ964">
        <f t="shared" si="262"/>
        <v>0</v>
      </c>
      <c r="AK964">
        <f t="shared" si="263"/>
        <v>0</v>
      </c>
      <c r="AL964">
        <f t="shared" si="264"/>
        <v>0</v>
      </c>
      <c r="AM964">
        <f t="shared" si="265"/>
        <v>0</v>
      </c>
      <c r="DH964" t="str" cm="1">
        <f t="array" ref="DH964">IF($A964="","",_xlfn.LET(_xlpm.c,IFERROR(_xlfn.XLOOKUP($A964,TRIM('Sales and count'!$A$4:$A$300&amp;""),TRIM('Sales and count'!$B$4:$B$300&amp;"")),""),IF(OR(_xlpm.c="",_xlpm.c="0",LEFT(_xlpm.c,1)="#"),"Not set",_xlpm.c)))</f>
        <v/>
      </c>
    </row>
    <row r="965" spans="1:112" x14ac:dyDescent="0.25">
      <c r="A965" t="str">
        <f>IF('Staff Daily sales'!$B950="","",TRIM('Staff Daily sales'!$B950&amp;""))</f>
        <v/>
      </c>
      <c r="B965" t="str">
        <f>IF('Staff Daily sales'!$D950="","",TRIM('Staff Daily sales'!$D950&amp;""))</f>
        <v/>
      </c>
      <c r="C965" t="str">
        <f>IFERROR(TRIM('Staff Daily sales'!$E950&amp;""),"")</f>
        <v/>
      </c>
      <c r="D965" t="str">
        <f>IFERROR(IF(TRIM('Staff Daily sales'!$F950&amp;"")="","Unassigned",TRIM('Staff Daily sales'!$F950&amp;"")),"Unassigned")</f>
        <v>Unassigned</v>
      </c>
      <c r="E965">
        <f t="shared" si="250"/>
        <v>0</v>
      </c>
      <c r="F965">
        <f>IF($E965=0,0,SUMPRODUCT($AI$5:$DF$5,'Staff Daily sales'!$G950:$CD950))</f>
        <v>0</v>
      </c>
      <c r="G965">
        <f>IF($E965=0,0,SUMPRODUCT($AI$6:$DF$6,'Staff Daily sales'!$G950:$CD950))</f>
        <v>0</v>
      </c>
      <c r="H965">
        <f t="shared" si="251"/>
        <v>0</v>
      </c>
      <c r="I965">
        <f t="shared" si="252"/>
        <v>0</v>
      </c>
      <c r="J965">
        <f t="shared" si="253"/>
        <v>0</v>
      </c>
      <c r="K965">
        <f t="shared" si="254"/>
        <v>0</v>
      </c>
      <c r="L965">
        <f>--AND($E965=1,OR('Staff Dashboard'!$B$6="All",$DH965='Staff Dashboard'!$B$6),OR('Staff Dashboard'!$B$7="All",$D965='Staff Dashboard'!$B$7),OR('Staff Dashboard'!$B$8="All",$A965='Staff Dashboard'!$B$8))</f>
        <v>0</v>
      </c>
      <c r="M965">
        <f>IF($E965=0,0,SUMPRODUCT($AI$7:$DF$7,'Staff Daily sales'!$G950:$CD950))</f>
        <v>0</v>
      </c>
      <c r="N965">
        <f>IF($E965=0,0,SUMPRODUCT($AI$8:$DF$8,'Staff Daily sales'!$G950:$CD950))</f>
        <v>0</v>
      </c>
      <c r="O965">
        <f>IF($E965=0,0,SUMPRODUCT($AI$9:$DF$9,'Staff Daily sales'!$G950:$CD950))</f>
        <v>0</v>
      </c>
      <c r="P965">
        <f>IF($E965=0,0,SUMPRODUCT($AI$10:$DF$10,'Staff Daily sales'!$G950:$CD950))</f>
        <v>0</v>
      </c>
      <c r="Q965">
        <f>IF($E965=0,0,SUMPRODUCT($AI$11:$DF$11,'Staff Daily sales'!$G950:$CD950))</f>
        <v>0</v>
      </c>
      <c r="R965">
        <f>IF($E965=0,0,SUMPRODUCT($AI$12:$DF$12,'Staff Daily sales'!$G950:$CD950))</f>
        <v>0</v>
      </c>
      <c r="S965">
        <f>IF($E965=0,0,SUMPRODUCT($AI$13:$DF$13,'Staff Daily sales'!$G950:$CD950))</f>
        <v>0</v>
      </c>
      <c r="T965">
        <f>IF($E965=0,0,SUMPRODUCT($AI$14:$DF$14,'Staff Daily sales'!$G950:$CD950))</f>
        <v>0</v>
      </c>
      <c r="U965">
        <f>IF($E965=0,0,SUMPRODUCT($AI$15:$DF$15,'Staff Daily sales'!$G950:$CD950))</f>
        <v>0</v>
      </c>
      <c r="V965">
        <f>IF($E965=0,0,SUMPRODUCT($AI$16:$DF$16,'Staff Daily sales'!$G950:$CD950))</f>
        <v>0</v>
      </c>
      <c r="W965">
        <f t="shared" si="255"/>
        <v>0</v>
      </c>
      <c r="X965">
        <f t="shared" si="256"/>
        <v>0</v>
      </c>
      <c r="Y965">
        <f t="shared" si="257"/>
        <v>0</v>
      </c>
      <c r="Z965">
        <f t="shared" si="258"/>
        <v>0</v>
      </c>
      <c r="AA965">
        <f t="shared" si="259"/>
        <v>0</v>
      </c>
      <c r="AB965">
        <f>--AND($E965=1,OR('Staff Weekly Trend'!$B$3="All",$DH965='Staff Weekly Trend'!$B$3),OR('Staff Weekly Trend'!$B$4="All",$D965='Staff Weekly Trend'!$B$4),OR('Staff Weekly Trend'!$B$5="All",$A965='Staff Weekly Trend'!$B$5))</f>
        <v>0</v>
      </c>
      <c r="AC965" t="str">
        <f t="shared" si="260"/>
        <v/>
      </c>
      <c r="AI965">
        <f t="shared" si="261"/>
        <v>0</v>
      </c>
      <c r="AJ965">
        <f t="shared" si="262"/>
        <v>0</v>
      </c>
      <c r="AK965">
        <f t="shared" si="263"/>
        <v>0</v>
      </c>
      <c r="AL965">
        <f t="shared" si="264"/>
        <v>0</v>
      </c>
      <c r="AM965">
        <f t="shared" si="265"/>
        <v>0</v>
      </c>
      <c r="DH965" t="str" cm="1">
        <f t="array" ref="DH965">IF($A965="","",_xlfn.LET(_xlpm.c,IFERROR(_xlfn.XLOOKUP($A965,TRIM('Sales and count'!$A$4:$A$300&amp;""),TRIM('Sales and count'!$B$4:$B$300&amp;"")),""),IF(OR(_xlpm.c="",_xlpm.c="0",LEFT(_xlpm.c,1)="#"),"Not set",_xlpm.c)))</f>
        <v/>
      </c>
    </row>
    <row r="966" spans="1:112" x14ac:dyDescent="0.25">
      <c r="A966" t="str">
        <f>IF('Staff Daily sales'!$B951="","",TRIM('Staff Daily sales'!$B951&amp;""))</f>
        <v/>
      </c>
      <c r="B966" t="str">
        <f>IF('Staff Daily sales'!$D951="","",TRIM('Staff Daily sales'!$D951&amp;""))</f>
        <v/>
      </c>
      <c r="C966" t="str">
        <f>IFERROR(TRIM('Staff Daily sales'!$E951&amp;""),"")</f>
        <v/>
      </c>
      <c r="D966" t="str">
        <f>IFERROR(IF(TRIM('Staff Daily sales'!$F951&amp;"")="","Unassigned",TRIM('Staff Daily sales'!$F951&amp;"")),"Unassigned")</f>
        <v>Unassigned</v>
      </c>
      <c r="E966">
        <f t="shared" si="250"/>
        <v>0</v>
      </c>
      <c r="F966">
        <f>IF($E966=0,0,SUMPRODUCT($AI$5:$DF$5,'Staff Daily sales'!$G951:$CD951))</f>
        <v>0</v>
      </c>
      <c r="G966">
        <f>IF($E966=0,0,SUMPRODUCT($AI$6:$DF$6,'Staff Daily sales'!$G951:$CD951))</f>
        <v>0</v>
      </c>
      <c r="H966">
        <f t="shared" si="251"/>
        <v>0</v>
      </c>
      <c r="I966">
        <f t="shared" si="252"/>
        <v>0</v>
      </c>
      <c r="J966">
        <f t="shared" si="253"/>
        <v>0</v>
      </c>
      <c r="K966">
        <f t="shared" si="254"/>
        <v>0</v>
      </c>
      <c r="L966">
        <f>--AND($E966=1,OR('Staff Dashboard'!$B$6="All",$DH966='Staff Dashboard'!$B$6),OR('Staff Dashboard'!$B$7="All",$D966='Staff Dashboard'!$B$7),OR('Staff Dashboard'!$B$8="All",$A966='Staff Dashboard'!$B$8))</f>
        <v>0</v>
      </c>
      <c r="M966">
        <f>IF($E966=0,0,SUMPRODUCT($AI$7:$DF$7,'Staff Daily sales'!$G951:$CD951))</f>
        <v>0</v>
      </c>
      <c r="N966">
        <f>IF($E966=0,0,SUMPRODUCT($AI$8:$DF$8,'Staff Daily sales'!$G951:$CD951))</f>
        <v>0</v>
      </c>
      <c r="O966">
        <f>IF($E966=0,0,SUMPRODUCT($AI$9:$DF$9,'Staff Daily sales'!$G951:$CD951))</f>
        <v>0</v>
      </c>
      <c r="P966">
        <f>IF($E966=0,0,SUMPRODUCT($AI$10:$DF$10,'Staff Daily sales'!$G951:$CD951))</f>
        <v>0</v>
      </c>
      <c r="Q966">
        <f>IF($E966=0,0,SUMPRODUCT($AI$11:$DF$11,'Staff Daily sales'!$G951:$CD951))</f>
        <v>0</v>
      </c>
      <c r="R966">
        <f>IF($E966=0,0,SUMPRODUCT($AI$12:$DF$12,'Staff Daily sales'!$G951:$CD951))</f>
        <v>0</v>
      </c>
      <c r="S966">
        <f>IF($E966=0,0,SUMPRODUCT($AI$13:$DF$13,'Staff Daily sales'!$G951:$CD951))</f>
        <v>0</v>
      </c>
      <c r="T966">
        <f>IF($E966=0,0,SUMPRODUCT($AI$14:$DF$14,'Staff Daily sales'!$G951:$CD951))</f>
        <v>0</v>
      </c>
      <c r="U966">
        <f>IF($E966=0,0,SUMPRODUCT($AI$15:$DF$15,'Staff Daily sales'!$G951:$CD951))</f>
        <v>0</v>
      </c>
      <c r="V966">
        <f>IF($E966=0,0,SUMPRODUCT($AI$16:$DF$16,'Staff Daily sales'!$G951:$CD951))</f>
        <v>0</v>
      </c>
      <c r="W966">
        <f t="shared" si="255"/>
        <v>0</v>
      </c>
      <c r="X966">
        <f t="shared" si="256"/>
        <v>0</v>
      </c>
      <c r="Y966">
        <f t="shared" si="257"/>
        <v>0</v>
      </c>
      <c r="Z966">
        <f t="shared" si="258"/>
        <v>0</v>
      </c>
      <c r="AA966">
        <f t="shared" si="259"/>
        <v>0</v>
      </c>
      <c r="AB966">
        <f>--AND($E966=1,OR('Staff Weekly Trend'!$B$3="All",$DH966='Staff Weekly Trend'!$B$3),OR('Staff Weekly Trend'!$B$4="All",$D966='Staff Weekly Trend'!$B$4),OR('Staff Weekly Trend'!$B$5="All",$A966='Staff Weekly Trend'!$B$5))</f>
        <v>0</v>
      </c>
      <c r="AC966" t="str">
        <f t="shared" si="260"/>
        <v/>
      </c>
      <c r="AI966">
        <f t="shared" si="261"/>
        <v>0</v>
      </c>
      <c r="AJ966">
        <f t="shared" si="262"/>
        <v>0</v>
      </c>
      <c r="AK966">
        <f t="shared" si="263"/>
        <v>0</v>
      </c>
      <c r="AL966">
        <f t="shared" si="264"/>
        <v>0</v>
      </c>
      <c r="AM966">
        <f t="shared" si="265"/>
        <v>0</v>
      </c>
      <c r="DH966" t="str" cm="1">
        <f t="array" ref="DH966">IF($A966="","",_xlfn.LET(_xlpm.c,IFERROR(_xlfn.XLOOKUP($A966,TRIM('Sales and count'!$A$4:$A$300&amp;""),TRIM('Sales and count'!$B$4:$B$300&amp;"")),""),IF(OR(_xlpm.c="",_xlpm.c="0",LEFT(_xlpm.c,1)="#"),"Not set",_xlpm.c)))</f>
        <v/>
      </c>
    </row>
    <row r="967" spans="1:112" x14ac:dyDescent="0.25">
      <c r="A967" t="str">
        <f>IF('Staff Daily sales'!$B952="","",TRIM('Staff Daily sales'!$B952&amp;""))</f>
        <v/>
      </c>
      <c r="B967" t="str">
        <f>IF('Staff Daily sales'!$D952="","",TRIM('Staff Daily sales'!$D952&amp;""))</f>
        <v/>
      </c>
      <c r="C967" t="str">
        <f>IFERROR(TRIM('Staff Daily sales'!$E952&amp;""),"")</f>
        <v/>
      </c>
      <c r="D967" t="str">
        <f>IFERROR(IF(TRIM('Staff Daily sales'!$F952&amp;"")="","Unassigned",TRIM('Staff Daily sales'!$F952&amp;"")),"Unassigned")</f>
        <v>Unassigned</v>
      </c>
      <c r="E967">
        <f t="shared" si="250"/>
        <v>0</v>
      </c>
      <c r="F967">
        <f>IF($E967=0,0,SUMPRODUCT($AI$5:$DF$5,'Staff Daily sales'!$G952:$CD952))</f>
        <v>0</v>
      </c>
      <c r="G967">
        <f>IF($E967=0,0,SUMPRODUCT($AI$6:$DF$6,'Staff Daily sales'!$G952:$CD952))</f>
        <v>0</v>
      </c>
      <c r="H967">
        <f t="shared" si="251"/>
        <v>0</v>
      </c>
      <c r="I967">
        <f t="shared" si="252"/>
        <v>0</v>
      </c>
      <c r="J967">
        <f t="shared" si="253"/>
        <v>0</v>
      </c>
      <c r="K967">
        <f t="shared" si="254"/>
        <v>0</v>
      </c>
      <c r="L967">
        <f>--AND($E967=1,OR('Staff Dashboard'!$B$6="All",$DH967='Staff Dashboard'!$B$6),OR('Staff Dashboard'!$B$7="All",$D967='Staff Dashboard'!$B$7),OR('Staff Dashboard'!$B$8="All",$A967='Staff Dashboard'!$B$8))</f>
        <v>0</v>
      </c>
      <c r="M967">
        <f>IF($E967=0,0,SUMPRODUCT($AI$7:$DF$7,'Staff Daily sales'!$G952:$CD952))</f>
        <v>0</v>
      </c>
      <c r="N967">
        <f>IF($E967=0,0,SUMPRODUCT($AI$8:$DF$8,'Staff Daily sales'!$G952:$CD952))</f>
        <v>0</v>
      </c>
      <c r="O967">
        <f>IF($E967=0,0,SUMPRODUCT($AI$9:$DF$9,'Staff Daily sales'!$G952:$CD952))</f>
        <v>0</v>
      </c>
      <c r="P967">
        <f>IF($E967=0,0,SUMPRODUCT($AI$10:$DF$10,'Staff Daily sales'!$G952:$CD952))</f>
        <v>0</v>
      </c>
      <c r="Q967">
        <f>IF($E967=0,0,SUMPRODUCT($AI$11:$DF$11,'Staff Daily sales'!$G952:$CD952))</f>
        <v>0</v>
      </c>
      <c r="R967">
        <f>IF($E967=0,0,SUMPRODUCT($AI$12:$DF$12,'Staff Daily sales'!$G952:$CD952))</f>
        <v>0</v>
      </c>
      <c r="S967">
        <f>IF($E967=0,0,SUMPRODUCT($AI$13:$DF$13,'Staff Daily sales'!$G952:$CD952))</f>
        <v>0</v>
      </c>
      <c r="T967">
        <f>IF($E967=0,0,SUMPRODUCT($AI$14:$DF$14,'Staff Daily sales'!$G952:$CD952))</f>
        <v>0</v>
      </c>
      <c r="U967">
        <f>IF($E967=0,0,SUMPRODUCT($AI$15:$DF$15,'Staff Daily sales'!$G952:$CD952))</f>
        <v>0</v>
      </c>
      <c r="V967">
        <f>IF($E967=0,0,SUMPRODUCT($AI$16:$DF$16,'Staff Daily sales'!$G952:$CD952))</f>
        <v>0</v>
      </c>
      <c r="W967">
        <f t="shared" si="255"/>
        <v>0</v>
      </c>
      <c r="X967">
        <f t="shared" si="256"/>
        <v>0</v>
      </c>
      <c r="Y967">
        <f t="shared" si="257"/>
        <v>0</v>
      </c>
      <c r="Z967">
        <f t="shared" si="258"/>
        <v>0</v>
      </c>
      <c r="AA967">
        <f t="shared" si="259"/>
        <v>0</v>
      </c>
      <c r="AB967">
        <f>--AND($E967=1,OR('Staff Weekly Trend'!$B$3="All",$DH967='Staff Weekly Trend'!$B$3),OR('Staff Weekly Trend'!$B$4="All",$D967='Staff Weekly Trend'!$B$4),OR('Staff Weekly Trend'!$B$5="All",$A967='Staff Weekly Trend'!$B$5))</f>
        <v>0</v>
      </c>
      <c r="AC967" t="str">
        <f t="shared" si="260"/>
        <v/>
      </c>
      <c r="AI967">
        <f t="shared" si="261"/>
        <v>0</v>
      </c>
      <c r="AJ967">
        <f t="shared" si="262"/>
        <v>0</v>
      </c>
      <c r="AK967">
        <f t="shared" si="263"/>
        <v>0</v>
      </c>
      <c r="AL967">
        <f t="shared" si="264"/>
        <v>0</v>
      </c>
      <c r="AM967">
        <f t="shared" si="265"/>
        <v>0</v>
      </c>
      <c r="DH967" t="str" cm="1">
        <f t="array" ref="DH967">IF($A967="","",_xlfn.LET(_xlpm.c,IFERROR(_xlfn.XLOOKUP($A967,TRIM('Sales and count'!$A$4:$A$300&amp;""),TRIM('Sales and count'!$B$4:$B$300&amp;"")),""),IF(OR(_xlpm.c="",_xlpm.c="0",LEFT(_xlpm.c,1)="#"),"Not set",_xlpm.c)))</f>
        <v/>
      </c>
    </row>
    <row r="968" spans="1:112" x14ac:dyDescent="0.25">
      <c r="A968" t="str">
        <f>IF('Staff Daily sales'!$B953="","",TRIM('Staff Daily sales'!$B953&amp;""))</f>
        <v/>
      </c>
      <c r="B968" t="str">
        <f>IF('Staff Daily sales'!$D953="","",TRIM('Staff Daily sales'!$D953&amp;""))</f>
        <v/>
      </c>
      <c r="C968" t="str">
        <f>IFERROR(TRIM('Staff Daily sales'!$E953&amp;""),"")</f>
        <v/>
      </c>
      <c r="D968" t="str">
        <f>IFERROR(IF(TRIM('Staff Daily sales'!$F953&amp;"")="","Unassigned",TRIM('Staff Daily sales'!$F953&amp;"")),"Unassigned")</f>
        <v>Unassigned</v>
      </c>
      <c r="E968">
        <f t="shared" si="250"/>
        <v>0</v>
      </c>
      <c r="F968">
        <f>IF($E968=0,0,SUMPRODUCT($AI$5:$DF$5,'Staff Daily sales'!$G953:$CD953))</f>
        <v>0</v>
      </c>
      <c r="G968">
        <f>IF($E968=0,0,SUMPRODUCT($AI$6:$DF$6,'Staff Daily sales'!$G953:$CD953))</f>
        <v>0</v>
      </c>
      <c r="H968">
        <f t="shared" si="251"/>
        <v>0</v>
      </c>
      <c r="I968">
        <f t="shared" si="252"/>
        <v>0</v>
      </c>
      <c r="J968">
        <f t="shared" si="253"/>
        <v>0</v>
      </c>
      <c r="K968">
        <f t="shared" si="254"/>
        <v>0</v>
      </c>
      <c r="L968">
        <f>--AND($E968=1,OR('Staff Dashboard'!$B$6="All",$DH968='Staff Dashboard'!$B$6),OR('Staff Dashboard'!$B$7="All",$D968='Staff Dashboard'!$B$7),OR('Staff Dashboard'!$B$8="All",$A968='Staff Dashboard'!$B$8))</f>
        <v>0</v>
      </c>
      <c r="M968">
        <f>IF($E968=0,0,SUMPRODUCT($AI$7:$DF$7,'Staff Daily sales'!$G953:$CD953))</f>
        <v>0</v>
      </c>
      <c r="N968">
        <f>IF($E968=0,0,SUMPRODUCT($AI$8:$DF$8,'Staff Daily sales'!$G953:$CD953))</f>
        <v>0</v>
      </c>
      <c r="O968">
        <f>IF($E968=0,0,SUMPRODUCT($AI$9:$DF$9,'Staff Daily sales'!$G953:$CD953))</f>
        <v>0</v>
      </c>
      <c r="P968">
        <f>IF($E968=0,0,SUMPRODUCT($AI$10:$DF$10,'Staff Daily sales'!$G953:$CD953))</f>
        <v>0</v>
      </c>
      <c r="Q968">
        <f>IF($E968=0,0,SUMPRODUCT($AI$11:$DF$11,'Staff Daily sales'!$G953:$CD953))</f>
        <v>0</v>
      </c>
      <c r="R968">
        <f>IF($E968=0,0,SUMPRODUCT($AI$12:$DF$12,'Staff Daily sales'!$G953:$CD953))</f>
        <v>0</v>
      </c>
      <c r="S968">
        <f>IF($E968=0,0,SUMPRODUCT($AI$13:$DF$13,'Staff Daily sales'!$G953:$CD953))</f>
        <v>0</v>
      </c>
      <c r="T968">
        <f>IF($E968=0,0,SUMPRODUCT($AI$14:$DF$14,'Staff Daily sales'!$G953:$CD953))</f>
        <v>0</v>
      </c>
      <c r="U968">
        <f>IF($E968=0,0,SUMPRODUCT($AI$15:$DF$15,'Staff Daily sales'!$G953:$CD953))</f>
        <v>0</v>
      </c>
      <c r="V968">
        <f>IF($E968=0,0,SUMPRODUCT($AI$16:$DF$16,'Staff Daily sales'!$G953:$CD953))</f>
        <v>0</v>
      </c>
      <c r="W968">
        <f t="shared" si="255"/>
        <v>0</v>
      </c>
      <c r="X968">
        <f t="shared" si="256"/>
        <v>0</v>
      </c>
      <c r="Y968">
        <f t="shared" si="257"/>
        <v>0</v>
      </c>
      <c r="Z968">
        <f t="shared" si="258"/>
        <v>0</v>
      </c>
      <c r="AA968">
        <f t="shared" si="259"/>
        <v>0</v>
      </c>
      <c r="AB968">
        <f>--AND($E968=1,OR('Staff Weekly Trend'!$B$3="All",$DH968='Staff Weekly Trend'!$B$3),OR('Staff Weekly Trend'!$B$4="All",$D968='Staff Weekly Trend'!$B$4),OR('Staff Weekly Trend'!$B$5="All",$A968='Staff Weekly Trend'!$B$5))</f>
        <v>0</v>
      </c>
      <c r="AC968" t="str">
        <f t="shared" si="260"/>
        <v/>
      </c>
      <c r="AI968">
        <f t="shared" si="261"/>
        <v>0</v>
      </c>
      <c r="AJ968">
        <f t="shared" si="262"/>
        <v>0</v>
      </c>
      <c r="AK968">
        <f t="shared" si="263"/>
        <v>0</v>
      </c>
      <c r="AL968">
        <f t="shared" si="264"/>
        <v>0</v>
      </c>
      <c r="AM968">
        <f t="shared" si="265"/>
        <v>0</v>
      </c>
      <c r="DH968" t="str" cm="1">
        <f t="array" ref="DH968">IF($A968="","",_xlfn.LET(_xlpm.c,IFERROR(_xlfn.XLOOKUP($A968,TRIM('Sales and count'!$A$4:$A$300&amp;""),TRIM('Sales and count'!$B$4:$B$300&amp;"")),""),IF(OR(_xlpm.c="",_xlpm.c="0",LEFT(_xlpm.c,1)="#"),"Not set",_xlpm.c)))</f>
        <v/>
      </c>
    </row>
    <row r="969" spans="1:112" x14ac:dyDescent="0.25">
      <c r="A969" t="str">
        <f>IF('Staff Daily sales'!$B954="","",TRIM('Staff Daily sales'!$B954&amp;""))</f>
        <v/>
      </c>
      <c r="B969" t="str">
        <f>IF('Staff Daily sales'!$D954="","",TRIM('Staff Daily sales'!$D954&amp;""))</f>
        <v/>
      </c>
      <c r="C969" t="str">
        <f>IFERROR(TRIM('Staff Daily sales'!$E954&amp;""),"")</f>
        <v/>
      </c>
      <c r="D969" t="str">
        <f>IFERROR(IF(TRIM('Staff Daily sales'!$F954&amp;"")="","Unassigned",TRIM('Staff Daily sales'!$F954&amp;"")),"Unassigned")</f>
        <v>Unassigned</v>
      </c>
      <c r="E969">
        <f t="shared" si="250"/>
        <v>0</v>
      </c>
      <c r="F969">
        <f>IF($E969=0,0,SUMPRODUCT($AI$5:$DF$5,'Staff Daily sales'!$G954:$CD954))</f>
        <v>0</v>
      </c>
      <c r="G969">
        <f>IF($E969=0,0,SUMPRODUCT($AI$6:$DF$6,'Staff Daily sales'!$G954:$CD954))</f>
        <v>0</v>
      </c>
      <c r="H969">
        <f t="shared" si="251"/>
        <v>0</v>
      </c>
      <c r="I969">
        <f t="shared" si="252"/>
        <v>0</v>
      </c>
      <c r="J969">
        <f t="shared" si="253"/>
        <v>0</v>
      </c>
      <c r="K969">
        <f t="shared" si="254"/>
        <v>0</v>
      </c>
      <c r="L969">
        <f>--AND($E969=1,OR('Staff Dashboard'!$B$6="All",$DH969='Staff Dashboard'!$B$6),OR('Staff Dashboard'!$B$7="All",$D969='Staff Dashboard'!$B$7),OR('Staff Dashboard'!$B$8="All",$A969='Staff Dashboard'!$B$8))</f>
        <v>0</v>
      </c>
      <c r="M969">
        <f>IF($E969=0,0,SUMPRODUCT($AI$7:$DF$7,'Staff Daily sales'!$G954:$CD954))</f>
        <v>0</v>
      </c>
      <c r="N969">
        <f>IF($E969=0,0,SUMPRODUCT($AI$8:$DF$8,'Staff Daily sales'!$G954:$CD954))</f>
        <v>0</v>
      </c>
      <c r="O969">
        <f>IF($E969=0,0,SUMPRODUCT($AI$9:$DF$9,'Staff Daily sales'!$G954:$CD954))</f>
        <v>0</v>
      </c>
      <c r="P969">
        <f>IF($E969=0,0,SUMPRODUCT($AI$10:$DF$10,'Staff Daily sales'!$G954:$CD954))</f>
        <v>0</v>
      </c>
      <c r="Q969">
        <f>IF($E969=0,0,SUMPRODUCT($AI$11:$DF$11,'Staff Daily sales'!$G954:$CD954))</f>
        <v>0</v>
      </c>
      <c r="R969">
        <f>IF($E969=0,0,SUMPRODUCT($AI$12:$DF$12,'Staff Daily sales'!$G954:$CD954))</f>
        <v>0</v>
      </c>
      <c r="S969">
        <f>IF($E969=0,0,SUMPRODUCT($AI$13:$DF$13,'Staff Daily sales'!$G954:$CD954))</f>
        <v>0</v>
      </c>
      <c r="T969">
        <f>IF($E969=0,0,SUMPRODUCT($AI$14:$DF$14,'Staff Daily sales'!$G954:$CD954))</f>
        <v>0</v>
      </c>
      <c r="U969">
        <f>IF($E969=0,0,SUMPRODUCT($AI$15:$DF$15,'Staff Daily sales'!$G954:$CD954))</f>
        <v>0</v>
      </c>
      <c r="V969">
        <f>IF($E969=0,0,SUMPRODUCT($AI$16:$DF$16,'Staff Daily sales'!$G954:$CD954))</f>
        <v>0</v>
      </c>
      <c r="W969">
        <f t="shared" si="255"/>
        <v>0</v>
      </c>
      <c r="X969">
        <f t="shared" si="256"/>
        <v>0</v>
      </c>
      <c r="Y969">
        <f t="shared" si="257"/>
        <v>0</v>
      </c>
      <c r="Z969">
        <f t="shared" si="258"/>
        <v>0</v>
      </c>
      <c r="AA969">
        <f t="shared" si="259"/>
        <v>0</v>
      </c>
      <c r="AB969">
        <f>--AND($E969=1,OR('Staff Weekly Trend'!$B$3="All",$DH969='Staff Weekly Trend'!$B$3),OR('Staff Weekly Trend'!$B$4="All",$D969='Staff Weekly Trend'!$B$4),OR('Staff Weekly Trend'!$B$5="All",$A969='Staff Weekly Trend'!$B$5))</f>
        <v>0</v>
      </c>
      <c r="AC969" t="str">
        <f t="shared" si="260"/>
        <v/>
      </c>
      <c r="AI969">
        <f t="shared" si="261"/>
        <v>0</v>
      </c>
      <c r="AJ969">
        <f t="shared" si="262"/>
        <v>0</v>
      </c>
      <c r="AK969">
        <f t="shared" si="263"/>
        <v>0</v>
      </c>
      <c r="AL969">
        <f t="shared" si="264"/>
        <v>0</v>
      </c>
      <c r="AM969">
        <f t="shared" si="265"/>
        <v>0</v>
      </c>
      <c r="DH969" t="str" cm="1">
        <f t="array" ref="DH969">IF($A969="","",_xlfn.LET(_xlpm.c,IFERROR(_xlfn.XLOOKUP($A969,TRIM('Sales and count'!$A$4:$A$300&amp;""),TRIM('Sales and count'!$B$4:$B$300&amp;"")),""),IF(OR(_xlpm.c="",_xlpm.c="0",LEFT(_xlpm.c,1)="#"),"Not set",_xlpm.c)))</f>
        <v/>
      </c>
    </row>
    <row r="970" spans="1:112" x14ac:dyDescent="0.25">
      <c r="A970" t="str">
        <f>IF('Staff Daily sales'!$B955="","",TRIM('Staff Daily sales'!$B955&amp;""))</f>
        <v/>
      </c>
      <c r="B970" t="str">
        <f>IF('Staff Daily sales'!$D955="","",TRIM('Staff Daily sales'!$D955&amp;""))</f>
        <v/>
      </c>
      <c r="C970" t="str">
        <f>IFERROR(TRIM('Staff Daily sales'!$E955&amp;""),"")</f>
        <v/>
      </c>
      <c r="D970" t="str">
        <f>IFERROR(IF(TRIM('Staff Daily sales'!$F955&amp;"")="","Unassigned",TRIM('Staff Daily sales'!$F955&amp;"")),"Unassigned")</f>
        <v>Unassigned</v>
      </c>
      <c r="E970">
        <f t="shared" si="250"/>
        <v>0</v>
      </c>
      <c r="F970">
        <f>IF($E970=0,0,SUMPRODUCT($AI$5:$DF$5,'Staff Daily sales'!$G955:$CD955))</f>
        <v>0</v>
      </c>
      <c r="G970">
        <f>IF($E970=0,0,SUMPRODUCT($AI$6:$DF$6,'Staff Daily sales'!$G955:$CD955))</f>
        <v>0</v>
      </c>
      <c r="H970">
        <f t="shared" si="251"/>
        <v>0</v>
      </c>
      <c r="I970">
        <f t="shared" si="252"/>
        <v>0</v>
      </c>
      <c r="J970">
        <f t="shared" si="253"/>
        <v>0</v>
      </c>
      <c r="K970">
        <f t="shared" si="254"/>
        <v>0</v>
      </c>
      <c r="L970">
        <f>--AND($E970=1,OR('Staff Dashboard'!$B$6="All",$DH970='Staff Dashboard'!$B$6),OR('Staff Dashboard'!$B$7="All",$D970='Staff Dashboard'!$B$7),OR('Staff Dashboard'!$B$8="All",$A970='Staff Dashboard'!$B$8))</f>
        <v>0</v>
      </c>
      <c r="M970">
        <f>IF($E970=0,0,SUMPRODUCT($AI$7:$DF$7,'Staff Daily sales'!$G955:$CD955))</f>
        <v>0</v>
      </c>
      <c r="N970">
        <f>IF($E970=0,0,SUMPRODUCT($AI$8:$DF$8,'Staff Daily sales'!$G955:$CD955))</f>
        <v>0</v>
      </c>
      <c r="O970">
        <f>IF($E970=0,0,SUMPRODUCT($AI$9:$DF$9,'Staff Daily sales'!$G955:$CD955))</f>
        <v>0</v>
      </c>
      <c r="P970">
        <f>IF($E970=0,0,SUMPRODUCT($AI$10:$DF$10,'Staff Daily sales'!$G955:$CD955))</f>
        <v>0</v>
      </c>
      <c r="Q970">
        <f>IF($E970=0,0,SUMPRODUCT($AI$11:$DF$11,'Staff Daily sales'!$G955:$CD955))</f>
        <v>0</v>
      </c>
      <c r="R970">
        <f>IF($E970=0,0,SUMPRODUCT($AI$12:$DF$12,'Staff Daily sales'!$G955:$CD955))</f>
        <v>0</v>
      </c>
      <c r="S970">
        <f>IF($E970=0,0,SUMPRODUCT($AI$13:$DF$13,'Staff Daily sales'!$G955:$CD955))</f>
        <v>0</v>
      </c>
      <c r="T970">
        <f>IF($E970=0,0,SUMPRODUCT($AI$14:$DF$14,'Staff Daily sales'!$G955:$CD955))</f>
        <v>0</v>
      </c>
      <c r="U970">
        <f>IF($E970=0,0,SUMPRODUCT($AI$15:$DF$15,'Staff Daily sales'!$G955:$CD955))</f>
        <v>0</v>
      </c>
      <c r="V970">
        <f>IF($E970=0,0,SUMPRODUCT($AI$16:$DF$16,'Staff Daily sales'!$G955:$CD955))</f>
        <v>0</v>
      </c>
      <c r="W970">
        <f t="shared" si="255"/>
        <v>0</v>
      </c>
      <c r="X970">
        <f t="shared" si="256"/>
        <v>0</v>
      </c>
      <c r="Y970">
        <f t="shared" si="257"/>
        <v>0</v>
      </c>
      <c r="Z970">
        <f t="shared" si="258"/>
        <v>0</v>
      </c>
      <c r="AA970">
        <f t="shared" si="259"/>
        <v>0</v>
      </c>
      <c r="AB970">
        <f>--AND($E970=1,OR('Staff Weekly Trend'!$B$3="All",$DH970='Staff Weekly Trend'!$B$3),OR('Staff Weekly Trend'!$B$4="All",$D970='Staff Weekly Trend'!$B$4),OR('Staff Weekly Trend'!$B$5="All",$A970='Staff Weekly Trend'!$B$5))</f>
        <v>0</v>
      </c>
      <c r="AC970" t="str">
        <f t="shared" si="260"/>
        <v/>
      </c>
      <c r="AI970">
        <f t="shared" si="261"/>
        <v>0</v>
      </c>
      <c r="AJ970">
        <f t="shared" si="262"/>
        <v>0</v>
      </c>
      <c r="AK970">
        <f t="shared" si="263"/>
        <v>0</v>
      </c>
      <c r="AL970">
        <f t="shared" si="264"/>
        <v>0</v>
      </c>
      <c r="AM970">
        <f t="shared" si="265"/>
        <v>0</v>
      </c>
      <c r="DH970" t="str" cm="1">
        <f t="array" ref="DH970">IF($A970="","",_xlfn.LET(_xlpm.c,IFERROR(_xlfn.XLOOKUP($A970,TRIM('Sales and count'!$A$4:$A$300&amp;""),TRIM('Sales and count'!$B$4:$B$300&amp;"")),""),IF(OR(_xlpm.c="",_xlpm.c="0",LEFT(_xlpm.c,1)="#"),"Not set",_xlpm.c)))</f>
        <v/>
      </c>
    </row>
    <row r="971" spans="1:112" x14ac:dyDescent="0.25">
      <c r="A971" t="str">
        <f>IF('Staff Daily sales'!$B956="","",TRIM('Staff Daily sales'!$B956&amp;""))</f>
        <v/>
      </c>
      <c r="B971" t="str">
        <f>IF('Staff Daily sales'!$D956="","",TRIM('Staff Daily sales'!$D956&amp;""))</f>
        <v/>
      </c>
      <c r="C971" t="str">
        <f>IFERROR(TRIM('Staff Daily sales'!$E956&amp;""),"")</f>
        <v/>
      </c>
      <c r="D971" t="str">
        <f>IFERROR(IF(TRIM('Staff Daily sales'!$F956&amp;"")="","Unassigned",TRIM('Staff Daily sales'!$F956&amp;"")),"Unassigned")</f>
        <v>Unassigned</v>
      </c>
      <c r="E971">
        <f t="shared" si="250"/>
        <v>0</v>
      </c>
      <c r="F971">
        <f>IF($E971=0,0,SUMPRODUCT($AI$5:$DF$5,'Staff Daily sales'!$G956:$CD956))</f>
        <v>0</v>
      </c>
      <c r="G971">
        <f>IF($E971=0,0,SUMPRODUCT($AI$6:$DF$6,'Staff Daily sales'!$G956:$CD956))</f>
        <v>0</v>
      </c>
      <c r="H971">
        <f t="shared" si="251"/>
        <v>0</v>
      </c>
      <c r="I971">
        <f t="shared" si="252"/>
        <v>0</v>
      </c>
      <c r="J971">
        <f t="shared" si="253"/>
        <v>0</v>
      </c>
      <c r="K971">
        <f t="shared" si="254"/>
        <v>0</v>
      </c>
      <c r="L971">
        <f>--AND($E971=1,OR('Staff Dashboard'!$B$6="All",$DH971='Staff Dashboard'!$B$6),OR('Staff Dashboard'!$B$7="All",$D971='Staff Dashboard'!$B$7),OR('Staff Dashboard'!$B$8="All",$A971='Staff Dashboard'!$B$8))</f>
        <v>0</v>
      </c>
      <c r="M971">
        <f>IF($E971=0,0,SUMPRODUCT($AI$7:$DF$7,'Staff Daily sales'!$G956:$CD956))</f>
        <v>0</v>
      </c>
      <c r="N971">
        <f>IF($E971=0,0,SUMPRODUCT($AI$8:$DF$8,'Staff Daily sales'!$G956:$CD956))</f>
        <v>0</v>
      </c>
      <c r="O971">
        <f>IF($E971=0,0,SUMPRODUCT($AI$9:$DF$9,'Staff Daily sales'!$G956:$CD956))</f>
        <v>0</v>
      </c>
      <c r="P971">
        <f>IF($E971=0,0,SUMPRODUCT($AI$10:$DF$10,'Staff Daily sales'!$G956:$CD956))</f>
        <v>0</v>
      </c>
      <c r="Q971">
        <f>IF($E971=0,0,SUMPRODUCT($AI$11:$DF$11,'Staff Daily sales'!$G956:$CD956))</f>
        <v>0</v>
      </c>
      <c r="R971">
        <f>IF($E971=0,0,SUMPRODUCT($AI$12:$DF$12,'Staff Daily sales'!$G956:$CD956))</f>
        <v>0</v>
      </c>
      <c r="S971">
        <f>IF($E971=0,0,SUMPRODUCT($AI$13:$DF$13,'Staff Daily sales'!$G956:$CD956))</f>
        <v>0</v>
      </c>
      <c r="T971">
        <f>IF($E971=0,0,SUMPRODUCT($AI$14:$DF$14,'Staff Daily sales'!$G956:$CD956))</f>
        <v>0</v>
      </c>
      <c r="U971">
        <f>IF($E971=0,0,SUMPRODUCT($AI$15:$DF$15,'Staff Daily sales'!$G956:$CD956))</f>
        <v>0</v>
      </c>
      <c r="V971">
        <f>IF($E971=0,0,SUMPRODUCT($AI$16:$DF$16,'Staff Daily sales'!$G956:$CD956))</f>
        <v>0</v>
      </c>
      <c r="W971">
        <f t="shared" si="255"/>
        <v>0</v>
      </c>
      <c r="X971">
        <f t="shared" si="256"/>
        <v>0</v>
      </c>
      <c r="Y971">
        <f t="shared" si="257"/>
        <v>0</v>
      </c>
      <c r="Z971">
        <f t="shared" si="258"/>
        <v>0</v>
      </c>
      <c r="AA971">
        <f t="shared" si="259"/>
        <v>0</v>
      </c>
      <c r="AB971">
        <f>--AND($E971=1,OR('Staff Weekly Trend'!$B$3="All",$DH971='Staff Weekly Trend'!$B$3),OR('Staff Weekly Trend'!$B$4="All",$D971='Staff Weekly Trend'!$B$4),OR('Staff Weekly Trend'!$B$5="All",$A971='Staff Weekly Trend'!$B$5))</f>
        <v>0</v>
      </c>
      <c r="AC971" t="str">
        <f t="shared" si="260"/>
        <v/>
      </c>
      <c r="AI971">
        <f t="shared" si="261"/>
        <v>0</v>
      </c>
      <c r="AJ971">
        <f t="shared" si="262"/>
        <v>0</v>
      </c>
      <c r="AK971">
        <f t="shared" si="263"/>
        <v>0</v>
      </c>
      <c r="AL971">
        <f t="shared" si="264"/>
        <v>0</v>
      </c>
      <c r="AM971">
        <f t="shared" si="265"/>
        <v>0</v>
      </c>
      <c r="DH971" t="str" cm="1">
        <f t="array" ref="DH971">IF($A971="","",_xlfn.LET(_xlpm.c,IFERROR(_xlfn.XLOOKUP($A971,TRIM('Sales and count'!$A$4:$A$300&amp;""),TRIM('Sales and count'!$B$4:$B$300&amp;"")),""),IF(OR(_xlpm.c="",_xlpm.c="0",LEFT(_xlpm.c,1)="#"),"Not set",_xlpm.c)))</f>
        <v/>
      </c>
    </row>
    <row r="972" spans="1:112" x14ac:dyDescent="0.25">
      <c r="A972" t="str">
        <f>IF('Staff Daily sales'!$B957="","",TRIM('Staff Daily sales'!$B957&amp;""))</f>
        <v/>
      </c>
      <c r="B972" t="str">
        <f>IF('Staff Daily sales'!$D957="","",TRIM('Staff Daily sales'!$D957&amp;""))</f>
        <v/>
      </c>
      <c r="C972" t="str">
        <f>IFERROR(TRIM('Staff Daily sales'!$E957&amp;""),"")</f>
        <v/>
      </c>
      <c r="D972" t="str">
        <f>IFERROR(IF(TRIM('Staff Daily sales'!$F957&amp;"")="","Unassigned",TRIM('Staff Daily sales'!$F957&amp;"")),"Unassigned")</f>
        <v>Unassigned</v>
      </c>
      <c r="E972">
        <f t="shared" si="250"/>
        <v>0</v>
      </c>
      <c r="F972">
        <f>IF($E972=0,0,SUMPRODUCT($AI$5:$DF$5,'Staff Daily sales'!$G957:$CD957))</f>
        <v>0</v>
      </c>
      <c r="G972">
        <f>IF($E972=0,0,SUMPRODUCT($AI$6:$DF$6,'Staff Daily sales'!$G957:$CD957))</f>
        <v>0</v>
      </c>
      <c r="H972">
        <f t="shared" si="251"/>
        <v>0</v>
      </c>
      <c r="I972">
        <f t="shared" si="252"/>
        <v>0</v>
      </c>
      <c r="J972">
        <f t="shared" si="253"/>
        <v>0</v>
      </c>
      <c r="K972">
        <f t="shared" si="254"/>
        <v>0</v>
      </c>
      <c r="L972">
        <f>--AND($E972=1,OR('Staff Dashboard'!$B$6="All",$DH972='Staff Dashboard'!$B$6),OR('Staff Dashboard'!$B$7="All",$D972='Staff Dashboard'!$B$7),OR('Staff Dashboard'!$B$8="All",$A972='Staff Dashboard'!$B$8))</f>
        <v>0</v>
      </c>
      <c r="M972">
        <f>IF($E972=0,0,SUMPRODUCT($AI$7:$DF$7,'Staff Daily sales'!$G957:$CD957))</f>
        <v>0</v>
      </c>
      <c r="N972">
        <f>IF($E972=0,0,SUMPRODUCT($AI$8:$DF$8,'Staff Daily sales'!$G957:$CD957))</f>
        <v>0</v>
      </c>
      <c r="O972">
        <f>IF($E972=0,0,SUMPRODUCT($AI$9:$DF$9,'Staff Daily sales'!$G957:$CD957))</f>
        <v>0</v>
      </c>
      <c r="P972">
        <f>IF($E972=0,0,SUMPRODUCT($AI$10:$DF$10,'Staff Daily sales'!$G957:$CD957))</f>
        <v>0</v>
      </c>
      <c r="Q972">
        <f>IF($E972=0,0,SUMPRODUCT($AI$11:$DF$11,'Staff Daily sales'!$G957:$CD957))</f>
        <v>0</v>
      </c>
      <c r="R972">
        <f>IF($E972=0,0,SUMPRODUCT($AI$12:$DF$12,'Staff Daily sales'!$G957:$CD957))</f>
        <v>0</v>
      </c>
      <c r="S972">
        <f>IF($E972=0,0,SUMPRODUCT($AI$13:$DF$13,'Staff Daily sales'!$G957:$CD957))</f>
        <v>0</v>
      </c>
      <c r="T972">
        <f>IF($E972=0,0,SUMPRODUCT($AI$14:$DF$14,'Staff Daily sales'!$G957:$CD957))</f>
        <v>0</v>
      </c>
      <c r="U972">
        <f>IF($E972=0,0,SUMPRODUCT($AI$15:$DF$15,'Staff Daily sales'!$G957:$CD957))</f>
        <v>0</v>
      </c>
      <c r="V972">
        <f>IF($E972=0,0,SUMPRODUCT($AI$16:$DF$16,'Staff Daily sales'!$G957:$CD957))</f>
        <v>0</v>
      </c>
      <c r="W972">
        <f t="shared" si="255"/>
        <v>0</v>
      </c>
      <c r="X972">
        <f t="shared" si="256"/>
        <v>0</v>
      </c>
      <c r="Y972">
        <f t="shared" si="257"/>
        <v>0</v>
      </c>
      <c r="Z972">
        <f t="shared" si="258"/>
        <v>0</v>
      </c>
      <c r="AA972">
        <f t="shared" si="259"/>
        <v>0</v>
      </c>
      <c r="AB972">
        <f>--AND($E972=1,OR('Staff Weekly Trend'!$B$3="All",$DH972='Staff Weekly Trend'!$B$3),OR('Staff Weekly Trend'!$B$4="All",$D972='Staff Weekly Trend'!$B$4),OR('Staff Weekly Trend'!$B$5="All",$A972='Staff Weekly Trend'!$B$5))</f>
        <v>0</v>
      </c>
      <c r="AC972" t="str">
        <f t="shared" si="260"/>
        <v/>
      </c>
      <c r="AI972">
        <f t="shared" si="261"/>
        <v>0</v>
      </c>
      <c r="AJ972">
        <f t="shared" si="262"/>
        <v>0</v>
      </c>
      <c r="AK972">
        <f t="shared" si="263"/>
        <v>0</v>
      </c>
      <c r="AL972">
        <f t="shared" si="264"/>
        <v>0</v>
      </c>
      <c r="AM972">
        <f t="shared" si="265"/>
        <v>0</v>
      </c>
      <c r="DH972" t="str" cm="1">
        <f t="array" ref="DH972">IF($A972="","",_xlfn.LET(_xlpm.c,IFERROR(_xlfn.XLOOKUP($A972,TRIM('Sales and count'!$A$4:$A$300&amp;""),TRIM('Sales and count'!$B$4:$B$300&amp;"")),""),IF(OR(_xlpm.c="",_xlpm.c="0",LEFT(_xlpm.c,1)="#"),"Not set",_xlpm.c)))</f>
        <v/>
      </c>
    </row>
    <row r="973" spans="1:112" x14ac:dyDescent="0.25">
      <c r="A973" t="str">
        <f>IF('Staff Daily sales'!$B958="","",TRIM('Staff Daily sales'!$B958&amp;""))</f>
        <v/>
      </c>
      <c r="B973" t="str">
        <f>IF('Staff Daily sales'!$D958="","",TRIM('Staff Daily sales'!$D958&amp;""))</f>
        <v/>
      </c>
      <c r="C973" t="str">
        <f>IFERROR(TRIM('Staff Daily sales'!$E958&amp;""),"")</f>
        <v/>
      </c>
      <c r="D973" t="str">
        <f>IFERROR(IF(TRIM('Staff Daily sales'!$F958&amp;"")="","Unassigned",TRIM('Staff Daily sales'!$F958&amp;"")),"Unassigned")</f>
        <v>Unassigned</v>
      </c>
      <c r="E973">
        <f t="shared" si="250"/>
        <v>0</v>
      </c>
      <c r="F973">
        <f>IF($E973=0,0,SUMPRODUCT($AI$5:$DF$5,'Staff Daily sales'!$G958:$CD958))</f>
        <v>0</v>
      </c>
      <c r="G973">
        <f>IF($E973=0,0,SUMPRODUCT($AI$6:$DF$6,'Staff Daily sales'!$G958:$CD958))</f>
        <v>0</v>
      </c>
      <c r="H973">
        <f t="shared" si="251"/>
        <v>0</v>
      </c>
      <c r="I973">
        <f t="shared" si="252"/>
        <v>0</v>
      </c>
      <c r="J973">
        <f t="shared" si="253"/>
        <v>0</v>
      </c>
      <c r="K973">
        <f t="shared" si="254"/>
        <v>0</v>
      </c>
      <c r="L973">
        <f>--AND($E973=1,OR('Staff Dashboard'!$B$6="All",$DH973='Staff Dashboard'!$B$6),OR('Staff Dashboard'!$B$7="All",$D973='Staff Dashboard'!$B$7),OR('Staff Dashboard'!$B$8="All",$A973='Staff Dashboard'!$B$8))</f>
        <v>0</v>
      </c>
      <c r="M973">
        <f>IF($E973=0,0,SUMPRODUCT($AI$7:$DF$7,'Staff Daily sales'!$G958:$CD958))</f>
        <v>0</v>
      </c>
      <c r="N973">
        <f>IF($E973=0,0,SUMPRODUCT($AI$8:$DF$8,'Staff Daily sales'!$G958:$CD958))</f>
        <v>0</v>
      </c>
      <c r="O973">
        <f>IF($E973=0,0,SUMPRODUCT($AI$9:$DF$9,'Staff Daily sales'!$G958:$CD958))</f>
        <v>0</v>
      </c>
      <c r="P973">
        <f>IF($E973=0,0,SUMPRODUCT($AI$10:$DF$10,'Staff Daily sales'!$G958:$CD958))</f>
        <v>0</v>
      </c>
      <c r="Q973">
        <f>IF($E973=0,0,SUMPRODUCT($AI$11:$DF$11,'Staff Daily sales'!$G958:$CD958))</f>
        <v>0</v>
      </c>
      <c r="R973">
        <f>IF($E973=0,0,SUMPRODUCT($AI$12:$DF$12,'Staff Daily sales'!$G958:$CD958))</f>
        <v>0</v>
      </c>
      <c r="S973">
        <f>IF($E973=0,0,SUMPRODUCT($AI$13:$DF$13,'Staff Daily sales'!$G958:$CD958))</f>
        <v>0</v>
      </c>
      <c r="T973">
        <f>IF($E973=0,0,SUMPRODUCT($AI$14:$DF$14,'Staff Daily sales'!$G958:$CD958))</f>
        <v>0</v>
      </c>
      <c r="U973">
        <f>IF($E973=0,0,SUMPRODUCT($AI$15:$DF$15,'Staff Daily sales'!$G958:$CD958))</f>
        <v>0</v>
      </c>
      <c r="V973">
        <f>IF($E973=0,0,SUMPRODUCT($AI$16:$DF$16,'Staff Daily sales'!$G958:$CD958))</f>
        <v>0</v>
      </c>
      <c r="W973">
        <f t="shared" si="255"/>
        <v>0</v>
      </c>
      <c r="X973">
        <f t="shared" si="256"/>
        <v>0</v>
      </c>
      <c r="Y973">
        <f t="shared" si="257"/>
        <v>0</v>
      </c>
      <c r="Z973">
        <f t="shared" si="258"/>
        <v>0</v>
      </c>
      <c r="AA973">
        <f t="shared" si="259"/>
        <v>0</v>
      </c>
      <c r="AB973">
        <f>--AND($E973=1,OR('Staff Weekly Trend'!$B$3="All",$DH973='Staff Weekly Trend'!$B$3),OR('Staff Weekly Trend'!$B$4="All",$D973='Staff Weekly Trend'!$B$4),OR('Staff Weekly Trend'!$B$5="All",$A973='Staff Weekly Trend'!$B$5))</f>
        <v>0</v>
      </c>
      <c r="AC973" t="str">
        <f t="shared" si="260"/>
        <v/>
      </c>
      <c r="AI973">
        <f t="shared" si="261"/>
        <v>0</v>
      </c>
      <c r="AJ973">
        <f t="shared" si="262"/>
        <v>0</v>
      </c>
      <c r="AK973">
        <f t="shared" si="263"/>
        <v>0</v>
      </c>
      <c r="AL973">
        <f t="shared" si="264"/>
        <v>0</v>
      </c>
      <c r="AM973">
        <f t="shared" si="265"/>
        <v>0</v>
      </c>
      <c r="DH973" t="str" cm="1">
        <f t="array" ref="DH973">IF($A973="","",_xlfn.LET(_xlpm.c,IFERROR(_xlfn.XLOOKUP($A973,TRIM('Sales and count'!$A$4:$A$300&amp;""),TRIM('Sales and count'!$B$4:$B$300&amp;"")),""),IF(OR(_xlpm.c="",_xlpm.c="0",LEFT(_xlpm.c,1)="#"),"Not set",_xlpm.c)))</f>
        <v/>
      </c>
    </row>
    <row r="974" spans="1:112" x14ac:dyDescent="0.25">
      <c r="A974" t="str">
        <f>IF('Staff Daily sales'!$B959="","",TRIM('Staff Daily sales'!$B959&amp;""))</f>
        <v/>
      </c>
      <c r="B974" t="str">
        <f>IF('Staff Daily sales'!$D959="","",TRIM('Staff Daily sales'!$D959&amp;""))</f>
        <v/>
      </c>
      <c r="C974" t="str">
        <f>IFERROR(TRIM('Staff Daily sales'!$E959&amp;""),"")</f>
        <v/>
      </c>
      <c r="D974" t="str">
        <f>IFERROR(IF(TRIM('Staff Daily sales'!$F959&amp;"")="","Unassigned",TRIM('Staff Daily sales'!$F959&amp;"")),"Unassigned")</f>
        <v>Unassigned</v>
      </c>
      <c r="E974">
        <f t="shared" si="250"/>
        <v>0</v>
      </c>
      <c r="F974">
        <f>IF($E974=0,0,SUMPRODUCT($AI$5:$DF$5,'Staff Daily sales'!$G959:$CD959))</f>
        <v>0</v>
      </c>
      <c r="G974">
        <f>IF($E974=0,0,SUMPRODUCT($AI$6:$DF$6,'Staff Daily sales'!$G959:$CD959))</f>
        <v>0</v>
      </c>
      <c r="H974">
        <f t="shared" si="251"/>
        <v>0</v>
      </c>
      <c r="I974">
        <f t="shared" si="252"/>
        <v>0</v>
      </c>
      <c r="J974">
        <f t="shared" si="253"/>
        <v>0</v>
      </c>
      <c r="K974">
        <f t="shared" si="254"/>
        <v>0</v>
      </c>
      <c r="L974">
        <f>--AND($E974=1,OR('Staff Dashboard'!$B$6="All",$DH974='Staff Dashboard'!$B$6),OR('Staff Dashboard'!$B$7="All",$D974='Staff Dashboard'!$B$7),OR('Staff Dashboard'!$B$8="All",$A974='Staff Dashboard'!$B$8))</f>
        <v>0</v>
      </c>
      <c r="M974">
        <f>IF($E974=0,0,SUMPRODUCT($AI$7:$DF$7,'Staff Daily sales'!$G959:$CD959))</f>
        <v>0</v>
      </c>
      <c r="N974">
        <f>IF($E974=0,0,SUMPRODUCT($AI$8:$DF$8,'Staff Daily sales'!$G959:$CD959))</f>
        <v>0</v>
      </c>
      <c r="O974">
        <f>IF($E974=0,0,SUMPRODUCT($AI$9:$DF$9,'Staff Daily sales'!$G959:$CD959))</f>
        <v>0</v>
      </c>
      <c r="P974">
        <f>IF($E974=0,0,SUMPRODUCT($AI$10:$DF$10,'Staff Daily sales'!$G959:$CD959))</f>
        <v>0</v>
      </c>
      <c r="Q974">
        <f>IF($E974=0,0,SUMPRODUCT($AI$11:$DF$11,'Staff Daily sales'!$G959:$CD959))</f>
        <v>0</v>
      </c>
      <c r="R974">
        <f>IF($E974=0,0,SUMPRODUCT($AI$12:$DF$12,'Staff Daily sales'!$G959:$CD959))</f>
        <v>0</v>
      </c>
      <c r="S974">
        <f>IF($E974=0,0,SUMPRODUCT($AI$13:$DF$13,'Staff Daily sales'!$G959:$CD959))</f>
        <v>0</v>
      </c>
      <c r="T974">
        <f>IF($E974=0,0,SUMPRODUCT($AI$14:$DF$14,'Staff Daily sales'!$G959:$CD959))</f>
        <v>0</v>
      </c>
      <c r="U974">
        <f>IF($E974=0,0,SUMPRODUCT($AI$15:$DF$15,'Staff Daily sales'!$G959:$CD959))</f>
        <v>0</v>
      </c>
      <c r="V974">
        <f>IF($E974=0,0,SUMPRODUCT($AI$16:$DF$16,'Staff Daily sales'!$G959:$CD959))</f>
        <v>0</v>
      </c>
      <c r="W974">
        <f t="shared" si="255"/>
        <v>0</v>
      </c>
      <c r="X974">
        <f t="shared" si="256"/>
        <v>0</v>
      </c>
      <c r="Y974">
        <f t="shared" si="257"/>
        <v>0</v>
      </c>
      <c r="Z974">
        <f t="shared" si="258"/>
        <v>0</v>
      </c>
      <c r="AA974">
        <f t="shared" si="259"/>
        <v>0</v>
      </c>
      <c r="AB974">
        <f>--AND($E974=1,OR('Staff Weekly Trend'!$B$3="All",$DH974='Staff Weekly Trend'!$B$3),OR('Staff Weekly Trend'!$B$4="All",$D974='Staff Weekly Trend'!$B$4),OR('Staff Weekly Trend'!$B$5="All",$A974='Staff Weekly Trend'!$B$5))</f>
        <v>0</v>
      </c>
      <c r="AC974" t="str">
        <f t="shared" si="260"/>
        <v/>
      </c>
      <c r="AI974">
        <f t="shared" si="261"/>
        <v>0</v>
      </c>
      <c r="AJ974">
        <f t="shared" si="262"/>
        <v>0</v>
      </c>
      <c r="AK974">
        <f t="shared" si="263"/>
        <v>0</v>
      </c>
      <c r="AL974">
        <f t="shared" si="264"/>
        <v>0</v>
      </c>
      <c r="AM974">
        <f t="shared" si="265"/>
        <v>0</v>
      </c>
      <c r="DH974" t="str" cm="1">
        <f t="array" ref="DH974">IF($A974="","",_xlfn.LET(_xlpm.c,IFERROR(_xlfn.XLOOKUP($A974,TRIM('Sales and count'!$A$4:$A$300&amp;""),TRIM('Sales and count'!$B$4:$B$300&amp;"")),""),IF(OR(_xlpm.c="",_xlpm.c="0",LEFT(_xlpm.c,1)="#"),"Not set",_xlpm.c)))</f>
        <v/>
      </c>
    </row>
    <row r="975" spans="1:112" x14ac:dyDescent="0.25">
      <c r="A975" t="str">
        <f>IF('Staff Daily sales'!$B960="","",TRIM('Staff Daily sales'!$B960&amp;""))</f>
        <v/>
      </c>
      <c r="B975" t="str">
        <f>IF('Staff Daily sales'!$D960="","",TRIM('Staff Daily sales'!$D960&amp;""))</f>
        <v/>
      </c>
      <c r="C975" t="str">
        <f>IFERROR(TRIM('Staff Daily sales'!$E960&amp;""),"")</f>
        <v/>
      </c>
      <c r="D975" t="str">
        <f>IFERROR(IF(TRIM('Staff Daily sales'!$F960&amp;"")="","Unassigned",TRIM('Staff Daily sales'!$F960&amp;"")),"Unassigned")</f>
        <v>Unassigned</v>
      </c>
      <c r="E975">
        <f t="shared" si="250"/>
        <v>0</v>
      </c>
      <c r="F975">
        <f>IF($E975=0,0,SUMPRODUCT($AI$5:$DF$5,'Staff Daily sales'!$G960:$CD960))</f>
        <v>0</v>
      </c>
      <c r="G975">
        <f>IF($E975=0,0,SUMPRODUCT($AI$6:$DF$6,'Staff Daily sales'!$G960:$CD960))</f>
        <v>0</v>
      </c>
      <c r="H975">
        <f t="shared" si="251"/>
        <v>0</v>
      </c>
      <c r="I975">
        <f t="shared" si="252"/>
        <v>0</v>
      </c>
      <c r="J975">
        <f t="shared" si="253"/>
        <v>0</v>
      </c>
      <c r="K975">
        <f t="shared" si="254"/>
        <v>0</v>
      </c>
      <c r="L975">
        <f>--AND($E975=1,OR('Staff Dashboard'!$B$6="All",$DH975='Staff Dashboard'!$B$6),OR('Staff Dashboard'!$B$7="All",$D975='Staff Dashboard'!$B$7),OR('Staff Dashboard'!$B$8="All",$A975='Staff Dashboard'!$B$8))</f>
        <v>0</v>
      </c>
      <c r="M975">
        <f>IF($E975=0,0,SUMPRODUCT($AI$7:$DF$7,'Staff Daily sales'!$G960:$CD960))</f>
        <v>0</v>
      </c>
      <c r="N975">
        <f>IF($E975=0,0,SUMPRODUCT($AI$8:$DF$8,'Staff Daily sales'!$G960:$CD960))</f>
        <v>0</v>
      </c>
      <c r="O975">
        <f>IF($E975=0,0,SUMPRODUCT($AI$9:$DF$9,'Staff Daily sales'!$G960:$CD960))</f>
        <v>0</v>
      </c>
      <c r="P975">
        <f>IF($E975=0,0,SUMPRODUCT($AI$10:$DF$10,'Staff Daily sales'!$G960:$CD960))</f>
        <v>0</v>
      </c>
      <c r="Q975">
        <f>IF($E975=0,0,SUMPRODUCT($AI$11:$DF$11,'Staff Daily sales'!$G960:$CD960))</f>
        <v>0</v>
      </c>
      <c r="R975">
        <f>IF($E975=0,0,SUMPRODUCT($AI$12:$DF$12,'Staff Daily sales'!$G960:$CD960))</f>
        <v>0</v>
      </c>
      <c r="S975">
        <f>IF($E975=0,0,SUMPRODUCT($AI$13:$DF$13,'Staff Daily sales'!$G960:$CD960))</f>
        <v>0</v>
      </c>
      <c r="T975">
        <f>IF($E975=0,0,SUMPRODUCT($AI$14:$DF$14,'Staff Daily sales'!$G960:$CD960))</f>
        <v>0</v>
      </c>
      <c r="U975">
        <f>IF($E975=0,0,SUMPRODUCT($AI$15:$DF$15,'Staff Daily sales'!$G960:$CD960))</f>
        <v>0</v>
      </c>
      <c r="V975">
        <f>IF($E975=0,0,SUMPRODUCT($AI$16:$DF$16,'Staff Daily sales'!$G960:$CD960))</f>
        <v>0</v>
      </c>
      <c r="W975">
        <f t="shared" si="255"/>
        <v>0</v>
      </c>
      <c r="X975">
        <f t="shared" si="256"/>
        <v>0</v>
      </c>
      <c r="Y975">
        <f t="shared" si="257"/>
        <v>0</v>
      </c>
      <c r="Z975">
        <f t="shared" si="258"/>
        <v>0</v>
      </c>
      <c r="AA975">
        <f t="shared" si="259"/>
        <v>0</v>
      </c>
      <c r="AB975">
        <f>--AND($E975=1,OR('Staff Weekly Trend'!$B$3="All",$DH975='Staff Weekly Trend'!$B$3),OR('Staff Weekly Trend'!$B$4="All",$D975='Staff Weekly Trend'!$B$4),OR('Staff Weekly Trend'!$B$5="All",$A975='Staff Weekly Trend'!$B$5))</f>
        <v>0</v>
      </c>
      <c r="AC975" t="str">
        <f t="shared" si="260"/>
        <v/>
      </c>
      <c r="AI975">
        <f t="shared" si="261"/>
        <v>0</v>
      </c>
      <c r="AJ975">
        <f t="shared" si="262"/>
        <v>0</v>
      </c>
      <c r="AK975">
        <f t="shared" si="263"/>
        <v>0</v>
      </c>
      <c r="AL975">
        <f t="shared" si="264"/>
        <v>0</v>
      </c>
      <c r="AM975">
        <f t="shared" si="265"/>
        <v>0</v>
      </c>
      <c r="DH975" t="str" cm="1">
        <f t="array" ref="DH975">IF($A975="","",_xlfn.LET(_xlpm.c,IFERROR(_xlfn.XLOOKUP($A975,TRIM('Sales and count'!$A$4:$A$300&amp;""),TRIM('Sales and count'!$B$4:$B$300&amp;"")),""),IF(OR(_xlpm.c="",_xlpm.c="0",LEFT(_xlpm.c,1)="#"),"Not set",_xlpm.c)))</f>
        <v/>
      </c>
    </row>
    <row r="976" spans="1:112" x14ac:dyDescent="0.25">
      <c r="A976" t="str">
        <f>IF('Staff Daily sales'!$B961="","",TRIM('Staff Daily sales'!$B961&amp;""))</f>
        <v/>
      </c>
      <c r="B976" t="str">
        <f>IF('Staff Daily sales'!$D961="","",TRIM('Staff Daily sales'!$D961&amp;""))</f>
        <v/>
      </c>
      <c r="C976" t="str">
        <f>IFERROR(TRIM('Staff Daily sales'!$E961&amp;""),"")</f>
        <v/>
      </c>
      <c r="D976" t="str">
        <f>IFERROR(IF(TRIM('Staff Daily sales'!$F961&amp;"")="","Unassigned",TRIM('Staff Daily sales'!$F961&amp;"")),"Unassigned")</f>
        <v>Unassigned</v>
      </c>
      <c r="E976">
        <f t="shared" si="250"/>
        <v>0</v>
      </c>
      <c r="F976">
        <f>IF($E976=0,0,SUMPRODUCT($AI$5:$DF$5,'Staff Daily sales'!$G961:$CD961))</f>
        <v>0</v>
      </c>
      <c r="G976">
        <f>IF($E976=0,0,SUMPRODUCT($AI$6:$DF$6,'Staff Daily sales'!$G961:$CD961))</f>
        <v>0</v>
      </c>
      <c r="H976">
        <f t="shared" si="251"/>
        <v>0</v>
      </c>
      <c r="I976">
        <f t="shared" si="252"/>
        <v>0</v>
      </c>
      <c r="J976">
        <f t="shared" si="253"/>
        <v>0</v>
      </c>
      <c r="K976">
        <f t="shared" si="254"/>
        <v>0</v>
      </c>
      <c r="L976">
        <f>--AND($E976=1,OR('Staff Dashboard'!$B$6="All",$DH976='Staff Dashboard'!$B$6),OR('Staff Dashboard'!$B$7="All",$D976='Staff Dashboard'!$B$7),OR('Staff Dashboard'!$B$8="All",$A976='Staff Dashboard'!$B$8))</f>
        <v>0</v>
      </c>
      <c r="M976">
        <f>IF($E976=0,0,SUMPRODUCT($AI$7:$DF$7,'Staff Daily sales'!$G961:$CD961))</f>
        <v>0</v>
      </c>
      <c r="N976">
        <f>IF($E976=0,0,SUMPRODUCT($AI$8:$DF$8,'Staff Daily sales'!$G961:$CD961))</f>
        <v>0</v>
      </c>
      <c r="O976">
        <f>IF($E976=0,0,SUMPRODUCT($AI$9:$DF$9,'Staff Daily sales'!$G961:$CD961))</f>
        <v>0</v>
      </c>
      <c r="P976">
        <f>IF($E976=0,0,SUMPRODUCT($AI$10:$DF$10,'Staff Daily sales'!$G961:$CD961))</f>
        <v>0</v>
      </c>
      <c r="Q976">
        <f>IF($E976=0,0,SUMPRODUCT($AI$11:$DF$11,'Staff Daily sales'!$G961:$CD961))</f>
        <v>0</v>
      </c>
      <c r="R976">
        <f>IF($E976=0,0,SUMPRODUCT($AI$12:$DF$12,'Staff Daily sales'!$G961:$CD961))</f>
        <v>0</v>
      </c>
      <c r="S976">
        <f>IF($E976=0,0,SUMPRODUCT($AI$13:$DF$13,'Staff Daily sales'!$G961:$CD961))</f>
        <v>0</v>
      </c>
      <c r="T976">
        <f>IF($E976=0,0,SUMPRODUCT($AI$14:$DF$14,'Staff Daily sales'!$G961:$CD961))</f>
        <v>0</v>
      </c>
      <c r="U976">
        <f>IF($E976=0,0,SUMPRODUCT($AI$15:$DF$15,'Staff Daily sales'!$G961:$CD961))</f>
        <v>0</v>
      </c>
      <c r="V976">
        <f>IF($E976=0,0,SUMPRODUCT($AI$16:$DF$16,'Staff Daily sales'!$G961:$CD961))</f>
        <v>0</v>
      </c>
      <c r="W976">
        <f t="shared" si="255"/>
        <v>0</v>
      </c>
      <c r="X976">
        <f t="shared" si="256"/>
        <v>0</v>
      </c>
      <c r="Y976">
        <f t="shared" si="257"/>
        <v>0</v>
      </c>
      <c r="Z976">
        <f t="shared" si="258"/>
        <v>0</v>
      </c>
      <c r="AA976">
        <f t="shared" si="259"/>
        <v>0</v>
      </c>
      <c r="AB976">
        <f>--AND($E976=1,OR('Staff Weekly Trend'!$B$3="All",$DH976='Staff Weekly Trend'!$B$3),OR('Staff Weekly Trend'!$B$4="All",$D976='Staff Weekly Trend'!$B$4),OR('Staff Weekly Trend'!$B$5="All",$A976='Staff Weekly Trend'!$B$5))</f>
        <v>0</v>
      </c>
      <c r="AC976" t="str">
        <f t="shared" si="260"/>
        <v/>
      </c>
      <c r="AI976">
        <f t="shared" si="261"/>
        <v>0</v>
      </c>
      <c r="AJ976">
        <f t="shared" si="262"/>
        <v>0</v>
      </c>
      <c r="AK976">
        <f t="shared" si="263"/>
        <v>0</v>
      </c>
      <c r="AL976">
        <f t="shared" si="264"/>
        <v>0</v>
      </c>
      <c r="AM976">
        <f t="shared" si="265"/>
        <v>0</v>
      </c>
      <c r="DH976" t="str" cm="1">
        <f t="array" ref="DH976">IF($A976="","",_xlfn.LET(_xlpm.c,IFERROR(_xlfn.XLOOKUP($A976,TRIM('Sales and count'!$A$4:$A$300&amp;""),TRIM('Sales and count'!$B$4:$B$300&amp;"")),""),IF(OR(_xlpm.c="",_xlpm.c="0",LEFT(_xlpm.c,1)="#"),"Not set",_xlpm.c)))</f>
        <v/>
      </c>
    </row>
    <row r="977" spans="1:112" x14ac:dyDescent="0.25">
      <c r="A977" t="str">
        <f>IF('Staff Daily sales'!$B962="","",TRIM('Staff Daily sales'!$B962&amp;""))</f>
        <v/>
      </c>
      <c r="B977" t="str">
        <f>IF('Staff Daily sales'!$D962="","",TRIM('Staff Daily sales'!$D962&amp;""))</f>
        <v/>
      </c>
      <c r="C977" t="str">
        <f>IFERROR(TRIM('Staff Daily sales'!$E962&amp;""),"")</f>
        <v/>
      </c>
      <c r="D977" t="str">
        <f>IFERROR(IF(TRIM('Staff Daily sales'!$F962&amp;"")="","Unassigned",TRIM('Staff Daily sales'!$F962&amp;"")),"Unassigned")</f>
        <v>Unassigned</v>
      </c>
      <c r="E977">
        <f t="shared" si="250"/>
        <v>0</v>
      </c>
      <c r="F977">
        <f>IF($E977=0,0,SUMPRODUCT($AI$5:$DF$5,'Staff Daily sales'!$G962:$CD962))</f>
        <v>0</v>
      </c>
      <c r="G977">
        <f>IF($E977=0,0,SUMPRODUCT($AI$6:$DF$6,'Staff Daily sales'!$G962:$CD962))</f>
        <v>0</v>
      </c>
      <c r="H977">
        <f t="shared" si="251"/>
        <v>0</v>
      </c>
      <c r="I977">
        <f t="shared" si="252"/>
        <v>0</v>
      </c>
      <c r="J977">
        <f t="shared" si="253"/>
        <v>0</v>
      </c>
      <c r="K977">
        <f t="shared" si="254"/>
        <v>0</v>
      </c>
      <c r="L977">
        <f>--AND($E977=1,OR('Staff Dashboard'!$B$6="All",$DH977='Staff Dashboard'!$B$6),OR('Staff Dashboard'!$B$7="All",$D977='Staff Dashboard'!$B$7),OR('Staff Dashboard'!$B$8="All",$A977='Staff Dashboard'!$B$8))</f>
        <v>0</v>
      </c>
      <c r="M977">
        <f>IF($E977=0,0,SUMPRODUCT($AI$7:$DF$7,'Staff Daily sales'!$G962:$CD962))</f>
        <v>0</v>
      </c>
      <c r="N977">
        <f>IF($E977=0,0,SUMPRODUCT($AI$8:$DF$8,'Staff Daily sales'!$G962:$CD962))</f>
        <v>0</v>
      </c>
      <c r="O977">
        <f>IF($E977=0,0,SUMPRODUCT($AI$9:$DF$9,'Staff Daily sales'!$G962:$CD962))</f>
        <v>0</v>
      </c>
      <c r="P977">
        <f>IF($E977=0,0,SUMPRODUCT($AI$10:$DF$10,'Staff Daily sales'!$G962:$CD962))</f>
        <v>0</v>
      </c>
      <c r="Q977">
        <f>IF($E977=0,0,SUMPRODUCT($AI$11:$DF$11,'Staff Daily sales'!$G962:$CD962))</f>
        <v>0</v>
      </c>
      <c r="R977">
        <f>IF($E977=0,0,SUMPRODUCT($AI$12:$DF$12,'Staff Daily sales'!$G962:$CD962))</f>
        <v>0</v>
      </c>
      <c r="S977">
        <f>IF($E977=0,0,SUMPRODUCT($AI$13:$DF$13,'Staff Daily sales'!$G962:$CD962))</f>
        <v>0</v>
      </c>
      <c r="T977">
        <f>IF($E977=0,0,SUMPRODUCT($AI$14:$DF$14,'Staff Daily sales'!$G962:$CD962))</f>
        <v>0</v>
      </c>
      <c r="U977">
        <f>IF($E977=0,0,SUMPRODUCT($AI$15:$DF$15,'Staff Daily sales'!$G962:$CD962))</f>
        <v>0</v>
      </c>
      <c r="V977">
        <f>IF($E977=0,0,SUMPRODUCT($AI$16:$DF$16,'Staff Daily sales'!$G962:$CD962))</f>
        <v>0</v>
      </c>
      <c r="W977">
        <f t="shared" si="255"/>
        <v>0</v>
      </c>
      <c r="X977">
        <f t="shared" si="256"/>
        <v>0</v>
      </c>
      <c r="Y977">
        <f t="shared" si="257"/>
        <v>0</v>
      </c>
      <c r="Z977">
        <f t="shared" si="258"/>
        <v>0</v>
      </c>
      <c r="AA977">
        <f t="shared" si="259"/>
        <v>0</v>
      </c>
      <c r="AB977">
        <f>--AND($E977=1,OR('Staff Weekly Trend'!$B$3="All",$DH977='Staff Weekly Trend'!$B$3),OR('Staff Weekly Trend'!$B$4="All",$D977='Staff Weekly Trend'!$B$4),OR('Staff Weekly Trend'!$B$5="All",$A977='Staff Weekly Trend'!$B$5))</f>
        <v>0</v>
      </c>
      <c r="AC977" t="str">
        <f t="shared" si="260"/>
        <v/>
      </c>
      <c r="AI977">
        <f t="shared" si="261"/>
        <v>0</v>
      </c>
      <c r="AJ977">
        <f t="shared" si="262"/>
        <v>0</v>
      </c>
      <c r="AK977">
        <f t="shared" si="263"/>
        <v>0</v>
      </c>
      <c r="AL977">
        <f t="shared" si="264"/>
        <v>0</v>
      </c>
      <c r="AM977">
        <f t="shared" si="265"/>
        <v>0</v>
      </c>
      <c r="DH977" t="str" cm="1">
        <f t="array" ref="DH977">IF($A977="","",_xlfn.LET(_xlpm.c,IFERROR(_xlfn.XLOOKUP($A977,TRIM('Sales and count'!$A$4:$A$300&amp;""),TRIM('Sales and count'!$B$4:$B$300&amp;"")),""),IF(OR(_xlpm.c="",_xlpm.c="0",LEFT(_xlpm.c,1)="#"),"Not set",_xlpm.c)))</f>
        <v/>
      </c>
    </row>
    <row r="978" spans="1:112" x14ac:dyDescent="0.25">
      <c r="A978" t="str">
        <f>IF('Staff Daily sales'!$B963="","",TRIM('Staff Daily sales'!$B963&amp;""))</f>
        <v/>
      </c>
      <c r="B978" t="str">
        <f>IF('Staff Daily sales'!$D963="","",TRIM('Staff Daily sales'!$D963&amp;""))</f>
        <v/>
      </c>
      <c r="C978" t="str">
        <f>IFERROR(TRIM('Staff Daily sales'!$E963&amp;""),"")</f>
        <v/>
      </c>
      <c r="D978" t="str">
        <f>IFERROR(IF(TRIM('Staff Daily sales'!$F963&amp;"")="","Unassigned",TRIM('Staff Daily sales'!$F963&amp;"")),"Unassigned")</f>
        <v>Unassigned</v>
      </c>
      <c r="E978">
        <f t="shared" si="250"/>
        <v>0</v>
      </c>
      <c r="F978">
        <f>IF($E978=0,0,SUMPRODUCT($AI$5:$DF$5,'Staff Daily sales'!$G963:$CD963))</f>
        <v>0</v>
      </c>
      <c r="G978">
        <f>IF($E978=0,0,SUMPRODUCT($AI$6:$DF$6,'Staff Daily sales'!$G963:$CD963))</f>
        <v>0</v>
      </c>
      <c r="H978">
        <f t="shared" si="251"/>
        <v>0</v>
      </c>
      <c r="I978">
        <f t="shared" si="252"/>
        <v>0</v>
      </c>
      <c r="J978">
        <f t="shared" si="253"/>
        <v>0</v>
      </c>
      <c r="K978">
        <f t="shared" si="254"/>
        <v>0</v>
      </c>
      <c r="L978">
        <f>--AND($E978=1,OR('Staff Dashboard'!$B$6="All",$DH978='Staff Dashboard'!$B$6),OR('Staff Dashboard'!$B$7="All",$D978='Staff Dashboard'!$B$7),OR('Staff Dashboard'!$B$8="All",$A978='Staff Dashboard'!$B$8))</f>
        <v>0</v>
      </c>
      <c r="M978">
        <f>IF($E978=0,0,SUMPRODUCT($AI$7:$DF$7,'Staff Daily sales'!$G963:$CD963))</f>
        <v>0</v>
      </c>
      <c r="N978">
        <f>IF($E978=0,0,SUMPRODUCT($AI$8:$DF$8,'Staff Daily sales'!$G963:$CD963))</f>
        <v>0</v>
      </c>
      <c r="O978">
        <f>IF($E978=0,0,SUMPRODUCT($AI$9:$DF$9,'Staff Daily sales'!$G963:$CD963))</f>
        <v>0</v>
      </c>
      <c r="P978">
        <f>IF($E978=0,0,SUMPRODUCT($AI$10:$DF$10,'Staff Daily sales'!$G963:$CD963))</f>
        <v>0</v>
      </c>
      <c r="Q978">
        <f>IF($E978=0,0,SUMPRODUCT($AI$11:$DF$11,'Staff Daily sales'!$G963:$CD963))</f>
        <v>0</v>
      </c>
      <c r="R978">
        <f>IF($E978=0,0,SUMPRODUCT($AI$12:$DF$12,'Staff Daily sales'!$G963:$CD963))</f>
        <v>0</v>
      </c>
      <c r="S978">
        <f>IF($E978=0,0,SUMPRODUCT($AI$13:$DF$13,'Staff Daily sales'!$G963:$CD963))</f>
        <v>0</v>
      </c>
      <c r="T978">
        <f>IF($E978=0,0,SUMPRODUCT($AI$14:$DF$14,'Staff Daily sales'!$G963:$CD963))</f>
        <v>0</v>
      </c>
      <c r="U978">
        <f>IF($E978=0,0,SUMPRODUCT($AI$15:$DF$15,'Staff Daily sales'!$G963:$CD963))</f>
        <v>0</v>
      </c>
      <c r="V978">
        <f>IF($E978=0,0,SUMPRODUCT($AI$16:$DF$16,'Staff Daily sales'!$G963:$CD963))</f>
        <v>0</v>
      </c>
      <c r="W978">
        <f t="shared" si="255"/>
        <v>0</v>
      </c>
      <c r="X978">
        <f t="shared" si="256"/>
        <v>0</v>
      </c>
      <c r="Y978">
        <f t="shared" si="257"/>
        <v>0</v>
      </c>
      <c r="Z978">
        <f t="shared" si="258"/>
        <v>0</v>
      </c>
      <c r="AA978">
        <f t="shared" si="259"/>
        <v>0</v>
      </c>
      <c r="AB978">
        <f>--AND($E978=1,OR('Staff Weekly Trend'!$B$3="All",$DH978='Staff Weekly Trend'!$B$3),OR('Staff Weekly Trend'!$B$4="All",$D978='Staff Weekly Trend'!$B$4),OR('Staff Weekly Trend'!$B$5="All",$A978='Staff Weekly Trend'!$B$5))</f>
        <v>0</v>
      </c>
      <c r="AC978" t="str">
        <f t="shared" si="260"/>
        <v/>
      </c>
      <c r="AI978">
        <f t="shared" si="261"/>
        <v>0</v>
      </c>
      <c r="AJ978">
        <f t="shared" si="262"/>
        <v>0</v>
      </c>
      <c r="AK978">
        <f t="shared" si="263"/>
        <v>0</v>
      </c>
      <c r="AL978">
        <f t="shared" si="264"/>
        <v>0</v>
      </c>
      <c r="AM978">
        <f t="shared" si="265"/>
        <v>0</v>
      </c>
      <c r="DH978" t="str" cm="1">
        <f t="array" ref="DH978">IF($A978="","",_xlfn.LET(_xlpm.c,IFERROR(_xlfn.XLOOKUP($A978,TRIM('Sales and count'!$A$4:$A$300&amp;""),TRIM('Sales and count'!$B$4:$B$300&amp;"")),""),IF(OR(_xlpm.c="",_xlpm.c="0",LEFT(_xlpm.c,1)="#"),"Not set",_xlpm.c)))</f>
        <v/>
      </c>
    </row>
    <row r="979" spans="1:112" x14ac:dyDescent="0.25">
      <c r="A979" t="str">
        <f>IF('Staff Daily sales'!$B964="","",TRIM('Staff Daily sales'!$B964&amp;""))</f>
        <v/>
      </c>
      <c r="B979" t="str">
        <f>IF('Staff Daily sales'!$D964="","",TRIM('Staff Daily sales'!$D964&amp;""))</f>
        <v/>
      </c>
      <c r="C979" t="str">
        <f>IFERROR(TRIM('Staff Daily sales'!$E964&amp;""),"")</f>
        <v/>
      </c>
      <c r="D979" t="str">
        <f>IFERROR(IF(TRIM('Staff Daily sales'!$F964&amp;"")="","Unassigned",TRIM('Staff Daily sales'!$F964&amp;"")),"Unassigned")</f>
        <v>Unassigned</v>
      </c>
      <c r="E979">
        <f t="shared" si="250"/>
        <v>0</v>
      </c>
      <c r="F979">
        <f>IF($E979=0,0,SUMPRODUCT($AI$5:$DF$5,'Staff Daily sales'!$G964:$CD964))</f>
        <v>0</v>
      </c>
      <c r="G979">
        <f>IF($E979=0,0,SUMPRODUCT($AI$6:$DF$6,'Staff Daily sales'!$G964:$CD964))</f>
        <v>0</v>
      </c>
      <c r="H979">
        <f t="shared" si="251"/>
        <v>0</v>
      </c>
      <c r="I979">
        <f t="shared" si="252"/>
        <v>0</v>
      </c>
      <c r="J979">
        <f t="shared" si="253"/>
        <v>0</v>
      </c>
      <c r="K979">
        <f t="shared" si="254"/>
        <v>0</v>
      </c>
      <c r="L979">
        <f>--AND($E979=1,OR('Staff Dashboard'!$B$6="All",$DH979='Staff Dashboard'!$B$6),OR('Staff Dashboard'!$B$7="All",$D979='Staff Dashboard'!$B$7),OR('Staff Dashboard'!$B$8="All",$A979='Staff Dashboard'!$B$8))</f>
        <v>0</v>
      </c>
      <c r="M979">
        <f>IF($E979=0,0,SUMPRODUCT($AI$7:$DF$7,'Staff Daily sales'!$G964:$CD964))</f>
        <v>0</v>
      </c>
      <c r="N979">
        <f>IF($E979=0,0,SUMPRODUCT($AI$8:$DF$8,'Staff Daily sales'!$G964:$CD964))</f>
        <v>0</v>
      </c>
      <c r="O979">
        <f>IF($E979=0,0,SUMPRODUCT($AI$9:$DF$9,'Staff Daily sales'!$G964:$CD964))</f>
        <v>0</v>
      </c>
      <c r="P979">
        <f>IF($E979=0,0,SUMPRODUCT($AI$10:$DF$10,'Staff Daily sales'!$G964:$CD964))</f>
        <v>0</v>
      </c>
      <c r="Q979">
        <f>IF($E979=0,0,SUMPRODUCT($AI$11:$DF$11,'Staff Daily sales'!$G964:$CD964))</f>
        <v>0</v>
      </c>
      <c r="R979">
        <f>IF($E979=0,0,SUMPRODUCT($AI$12:$DF$12,'Staff Daily sales'!$G964:$CD964))</f>
        <v>0</v>
      </c>
      <c r="S979">
        <f>IF($E979=0,0,SUMPRODUCT($AI$13:$DF$13,'Staff Daily sales'!$G964:$CD964))</f>
        <v>0</v>
      </c>
      <c r="T979">
        <f>IF($E979=0,0,SUMPRODUCT($AI$14:$DF$14,'Staff Daily sales'!$G964:$CD964))</f>
        <v>0</v>
      </c>
      <c r="U979">
        <f>IF($E979=0,0,SUMPRODUCT($AI$15:$DF$15,'Staff Daily sales'!$G964:$CD964))</f>
        <v>0</v>
      </c>
      <c r="V979">
        <f>IF($E979=0,0,SUMPRODUCT($AI$16:$DF$16,'Staff Daily sales'!$G964:$CD964))</f>
        <v>0</v>
      </c>
      <c r="W979">
        <f t="shared" si="255"/>
        <v>0</v>
      </c>
      <c r="X979">
        <f t="shared" si="256"/>
        <v>0</v>
      </c>
      <c r="Y979">
        <f t="shared" si="257"/>
        <v>0</v>
      </c>
      <c r="Z979">
        <f t="shared" si="258"/>
        <v>0</v>
      </c>
      <c r="AA979">
        <f t="shared" si="259"/>
        <v>0</v>
      </c>
      <c r="AB979">
        <f>--AND($E979=1,OR('Staff Weekly Trend'!$B$3="All",$DH979='Staff Weekly Trend'!$B$3),OR('Staff Weekly Trend'!$B$4="All",$D979='Staff Weekly Trend'!$B$4),OR('Staff Weekly Trend'!$B$5="All",$A979='Staff Weekly Trend'!$B$5))</f>
        <v>0</v>
      </c>
      <c r="AC979" t="str">
        <f t="shared" si="260"/>
        <v/>
      </c>
      <c r="AI979">
        <f t="shared" si="261"/>
        <v>0</v>
      </c>
      <c r="AJ979">
        <f t="shared" si="262"/>
        <v>0</v>
      </c>
      <c r="AK979">
        <f t="shared" si="263"/>
        <v>0</v>
      </c>
      <c r="AL979">
        <f t="shared" si="264"/>
        <v>0</v>
      </c>
      <c r="AM979">
        <f t="shared" si="265"/>
        <v>0</v>
      </c>
      <c r="DH979" t="str" cm="1">
        <f t="array" ref="DH979">IF($A979="","",_xlfn.LET(_xlpm.c,IFERROR(_xlfn.XLOOKUP($A979,TRIM('Sales and count'!$A$4:$A$300&amp;""),TRIM('Sales and count'!$B$4:$B$300&amp;"")),""),IF(OR(_xlpm.c="",_xlpm.c="0",LEFT(_xlpm.c,1)="#"),"Not set",_xlpm.c)))</f>
        <v/>
      </c>
    </row>
    <row r="980" spans="1:112" x14ac:dyDescent="0.25">
      <c r="A980" t="str">
        <f>IF('Staff Daily sales'!$B965="","",TRIM('Staff Daily sales'!$B965&amp;""))</f>
        <v/>
      </c>
      <c r="B980" t="str">
        <f>IF('Staff Daily sales'!$D965="","",TRIM('Staff Daily sales'!$D965&amp;""))</f>
        <v/>
      </c>
      <c r="C980" t="str">
        <f>IFERROR(TRIM('Staff Daily sales'!$E965&amp;""),"")</f>
        <v/>
      </c>
      <c r="D980" t="str">
        <f>IFERROR(IF(TRIM('Staff Daily sales'!$F965&amp;"")="","Unassigned",TRIM('Staff Daily sales'!$F965&amp;"")),"Unassigned")</f>
        <v>Unassigned</v>
      </c>
      <c r="E980">
        <f t="shared" ref="E980:E1043" si="266">--AND($A980&lt;&gt;"",$B980&lt;&gt;"")</f>
        <v>0</v>
      </c>
      <c r="F980">
        <f>IF($E980=0,0,SUMPRODUCT($AI$5:$DF$5,'Staff Daily sales'!$G965:$CD965))</f>
        <v>0</v>
      </c>
      <c r="G980">
        <f>IF($E980=0,0,SUMPRODUCT($AI$6:$DF$6,'Staff Daily sales'!$G965:$CD965))</f>
        <v>0</v>
      </c>
      <c r="H980">
        <f t="shared" ref="H980:H1043" si="267">IF($E980=0,0,SUMIFS($F$20:$F$1515,$A$20:$A$1515,$A980))</f>
        <v>0</v>
      </c>
      <c r="I980">
        <f t="shared" ref="I980:I1043" si="268">IF($E980=0,0,SUMIFS($G$20:$G$1515,$A$20:$A$1515,$A980))</f>
        <v>0</v>
      </c>
      <c r="J980">
        <f t="shared" ref="J980:J1043" si="269">IF($E980=0,0,SUMIFS($F$20:$F$1515,$D$20:$D$1515,$D980))</f>
        <v>0</v>
      </c>
      <c r="K980">
        <f t="shared" ref="K980:K1043" si="270">IF($E980=0,0,SUMIFS($G$20:$G$1515,$D$20:$D$1515,$D980))</f>
        <v>0</v>
      </c>
      <c r="L980">
        <f>--AND($E980=1,OR('Staff Dashboard'!$B$6="All",$DH980='Staff Dashboard'!$B$6),OR('Staff Dashboard'!$B$7="All",$D980='Staff Dashboard'!$B$7),OR('Staff Dashboard'!$B$8="All",$A980='Staff Dashboard'!$B$8))</f>
        <v>0</v>
      </c>
      <c r="M980">
        <f>IF($E980=0,0,SUMPRODUCT($AI$7:$DF$7,'Staff Daily sales'!$G965:$CD965))</f>
        <v>0</v>
      </c>
      <c r="N980">
        <f>IF($E980=0,0,SUMPRODUCT($AI$8:$DF$8,'Staff Daily sales'!$G965:$CD965))</f>
        <v>0</v>
      </c>
      <c r="O980">
        <f>IF($E980=0,0,SUMPRODUCT($AI$9:$DF$9,'Staff Daily sales'!$G965:$CD965))</f>
        <v>0</v>
      </c>
      <c r="P980">
        <f>IF($E980=0,0,SUMPRODUCT($AI$10:$DF$10,'Staff Daily sales'!$G965:$CD965))</f>
        <v>0</v>
      </c>
      <c r="Q980">
        <f>IF($E980=0,0,SUMPRODUCT($AI$11:$DF$11,'Staff Daily sales'!$G965:$CD965))</f>
        <v>0</v>
      </c>
      <c r="R980">
        <f>IF($E980=0,0,SUMPRODUCT($AI$12:$DF$12,'Staff Daily sales'!$G965:$CD965))</f>
        <v>0</v>
      </c>
      <c r="S980">
        <f>IF($E980=0,0,SUMPRODUCT($AI$13:$DF$13,'Staff Daily sales'!$G965:$CD965))</f>
        <v>0</v>
      </c>
      <c r="T980">
        <f>IF($E980=0,0,SUMPRODUCT($AI$14:$DF$14,'Staff Daily sales'!$G965:$CD965))</f>
        <v>0</v>
      </c>
      <c r="U980">
        <f>IF($E980=0,0,SUMPRODUCT($AI$15:$DF$15,'Staff Daily sales'!$G965:$CD965))</f>
        <v>0</v>
      </c>
      <c r="V980">
        <f>IF($E980=0,0,SUMPRODUCT($AI$16:$DF$16,'Staff Daily sales'!$G965:$CD965))</f>
        <v>0</v>
      </c>
      <c r="W980">
        <f t="shared" ref="W980:W1043" si="271">IF($E980=0,0,SUMIFS(M$20:M$1515,$A$20:$A$1515,$A980))</f>
        <v>0</v>
      </c>
      <c r="X980">
        <f t="shared" ref="X980:X1043" si="272">IF($E980=0,0,SUMIFS(O$20:O$1515,$A$20:$A$1515,$A980))</f>
        <v>0</v>
      </c>
      <c r="Y980">
        <f t="shared" ref="Y980:Y1043" si="273">IF($E980=0,0,SUMIFS(Q$20:Q$1515,$A$20:$A$1515,$A980))</f>
        <v>0</v>
      </c>
      <c r="Z980">
        <f t="shared" ref="Z980:Z1043" si="274">IF($E980=0,0,SUMIFS(S$20:S$1515,$A$20:$A$1515,$A980))</f>
        <v>0</v>
      </c>
      <c r="AA980">
        <f t="shared" ref="AA980:AA1043" si="275">IF($E980=0,0,SUMIFS(U$20:U$1515,$A$20:$A$1515,$A980))</f>
        <v>0</v>
      </c>
      <c r="AB980">
        <f>--AND($E980=1,OR('Staff Weekly Trend'!$B$3="All",$DH980='Staff Weekly Trend'!$B$3),OR('Staff Weekly Trend'!$B$4="All",$D980='Staff Weekly Trend'!$B$4),OR('Staff Weekly Trend'!$B$5="All",$A980='Staff Weekly Trend'!$B$5))</f>
        <v>0</v>
      </c>
      <c r="AC980" t="str">
        <f t="shared" ref="AC980:AC1043" si="276">IF(OR($E980=0,AND($F980=0,$G980=0)),"",COUNTIFS($A$20:$A$1515,$A980,$E$20:$E$1515,1,$F$20:$F$1515,"&gt;"&amp;$F980)+1)</f>
        <v/>
      </c>
      <c r="AI980">
        <f t="shared" ref="AI980:AI1043" si="277">IF($E980=0,0,SUMIFS(N$20:N$1515,$A$20:$A$1515,$A980))</f>
        <v>0</v>
      </c>
      <c r="AJ980">
        <f t="shared" ref="AJ980:AJ1043" si="278">IF($E980=0,0,SUMIFS(P$20:P$1515,$A$20:$A$1515,$A980))</f>
        <v>0</v>
      </c>
      <c r="AK980">
        <f t="shared" ref="AK980:AK1043" si="279">IF($E980=0,0,SUMIFS(R$20:R$1515,$A$20:$A$1515,$A980))</f>
        <v>0</v>
      </c>
      <c r="AL980">
        <f t="shared" ref="AL980:AL1043" si="280">IF($E980=0,0,SUMIFS(T$20:T$1515,$A$20:$A$1515,$A980))</f>
        <v>0</v>
      </c>
      <c r="AM980">
        <f t="shared" ref="AM980:AM1043" si="281">IF($E980=0,0,SUMIFS(V$20:V$1515,$A$20:$A$1515,$A980))</f>
        <v>0</v>
      </c>
      <c r="DH980" t="str" cm="1">
        <f t="array" ref="DH980">IF($A980="","",_xlfn.LET(_xlpm.c,IFERROR(_xlfn.XLOOKUP($A980,TRIM('Sales and count'!$A$4:$A$300&amp;""),TRIM('Sales and count'!$B$4:$B$300&amp;"")),""),IF(OR(_xlpm.c="",_xlpm.c="0",LEFT(_xlpm.c,1)="#"),"Not set",_xlpm.c)))</f>
        <v/>
      </c>
    </row>
    <row r="981" spans="1:112" x14ac:dyDescent="0.25">
      <c r="A981" t="str">
        <f>IF('Staff Daily sales'!$B966="","",TRIM('Staff Daily sales'!$B966&amp;""))</f>
        <v/>
      </c>
      <c r="B981" t="str">
        <f>IF('Staff Daily sales'!$D966="","",TRIM('Staff Daily sales'!$D966&amp;""))</f>
        <v/>
      </c>
      <c r="C981" t="str">
        <f>IFERROR(TRIM('Staff Daily sales'!$E966&amp;""),"")</f>
        <v/>
      </c>
      <c r="D981" t="str">
        <f>IFERROR(IF(TRIM('Staff Daily sales'!$F966&amp;"")="","Unassigned",TRIM('Staff Daily sales'!$F966&amp;"")),"Unassigned")</f>
        <v>Unassigned</v>
      </c>
      <c r="E981">
        <f t="shared" si="266"/>
        <v>0</v>
      </c>
      <c r="F981">
        <f>IF($E981=0,0,SUMPRODUCT($AI$5:$DF$5,'Staff Daily sales'!$G966:$CD966))</f>
        <v>0</v>
      </c>
      <c r="G981">
        <f>IF($E981=0,0,SUMPRODUCT($AI$6:$DF$6,'Staff Daily sales'!$G966:$CD966))</f>
        <v>0</v>
      </c>
      <c r="H981">
        <f t="shared" si="267"/>
        <v>0</v>
      </c>
      <c r="I981">
        <f t="shared" si="268"/>
        <v>0</v>
      </c>
      <c r="J981">
        <f t="shared" si="269"/>
        <v>0</v>
      </c>
      <c r="K981">
        <f t="shared" si="270"/>
        <v>0</v>
      </c>
      <c r="L981">
        <f>--AND($E981=1,OR('Staff Dashboard'!$B$6="All",$DH981='Staff Dashboard'!$B$6),OR('Staff Dashboard'!$B$7="All",$D981='Staff Dashboard'!$B$7),OR('Staff Dashboard'!$B$8="All",$A981='Staff Dashboard'!$B$8))</f>
        <v>0</v>
      </c>
      <c r="M981">
        <f>IF($E981=0,0,SUMPRODUCT($AI$7:$DF$7,'Staff Daily sales'!$G966:$CD966))</f>
        <v>0</v>
      </c>
      <c r="N981">
        <f>IF($E981=0,0,SUMPRODUCT($AI$8:$DF$8,'Staff Daily sales'!$G966:$CD966))</f>
        <v>0</v>
      </c>
      <c r="O981">
        <f>IF($E981=0,0,SUMPRODUCT($AI$9:$DF$9,'Staff Daily sales'!$G966:$CD966))</f>
        <v>0</v>
      </c>
      <c r="P981">
        <f>IF($E981=0,0,SUMPRODUCT($AI$10:$DF$10,'Staff Daily sales'!$G966:$CD966))</f>
        <v>0</v>
      </c>
      <c r="Q981">
        <f>IF($E981=0,0,SUMPRODUCT($AI$11:$DF$11,'Staff Daily sales'!$G966:$CD966))</f>
        <v>0</v>
      </c>
      <c r="R981">
        <f>IF($E981=0,0,SUMPRODUCT($AI$12:$DF$12,'Staff Daily sales'!$G966:$CD966))</f>
        <v>0</v>
      </c>
      <c r="S981">
        <f>IF($E981=0,0,SUMPRODUCT($AI$13:$DF$13,'Staff Daily sales'!$G966:$CD966))</f>
        <v>0</v>
      </c>
      <c r="T981">
        <f>IF($E981=0,0,SUMPRODUCT($AI$14:$DF$14,'Staff Daily sales'!$G966:$CD966))</f>
        <v>0</v>
      </c>
      <c r="U981">
        <f>IF($E981=0,0,SUMPRODUCT($AI$15:$DF$15,'Staff Daily sales'!$G966:$CD966))</f>
        <v>0</v>
      </c>
      <c r="V981">
        <f>IF($E981=0,0,SUMPRODUCT($AI$16:$DF$16,'Staff Daily sales'!$G966:$CD966))</f>
        <v>0</v>
      </c>
      <c r="W981">
        <f t="shared" si="271"/>
        <v>0</v>
      </c>
      <c r="X981">
        <f t="shared" si="272"/>
        <v>0</v>
      </c>
      <c r="Y981">
        <f t="shared" si="273"/>
        <v>0</v>
      </c>
      <c r="Z981">
        <f t="shared" si="274"/>
        <v>0</v>
      </c>
      <c r="AA981">
        <f t="shared" si="275"/>
        <v>0</v>
      </c>
      <c r="AB981">
        <f>--AND($E981=1,OR('Staff Weekly Trend'!$B$3="All",$DH981='Staff Weekly Trend'!$B$3),OR('Staff Weekly Trend'!$B$4="All",$D981='Staff Weekly Trend'!$B$4),OR('Staff Weekly Trend'!$B$5="All",$A981='Staff Weekly Trend'!$B$5))</f>
        <v>0</v>
      </c>
      <c r="AC981" t="str">
        <f t="shared" si="276"/>
        <v/>
      </c>
      <c r="AI981">
        <f t="shared" si="277"/>
        <v>0</v>
      </c>
      <c r="AJ981">
        <f t="shared" si="278"/>
        <v>0</v>
      </c>
      <c r="AK981">
        <f t="shared" si="279"/>
        <v>0</v>
      </c>
      <c r="AL981">
        <f t="shared" si="280"/>
        <v>0</v>
      </c>
      <c r="AM981">
        <f t="shared" si="281"/>
        <v>0</v>
      </c>
      <c r="DH981" t="str" cm="1">
        <f t="array" ref="DH981">IF($A981="","",_xlfn.LET(_xlpm.c,IFERROR(_xlfn.XLOOKUP($A981,TRIM('Sales and count'!$A$4:$A$300&amp;""),TRIM('Sales and count'!$B$4:$B$300&amp;"")),""),IF(OR(_xlpm.c="",_xlpm.c="0",LEFT(_xlpm.c,1)="#"),"Not set",_xlpm.c)))</f>
        <v/>
      </c>
    </row>
    <row r="982" spans="1:112" x14ac:dyDescent="0.25">
      <c r="A982" t="str">
        <f>IF('Staff Daily sales'!$B967="","",TRIM('Staff Daily sales'!$B967&amp;""))</f>
        <v/>
      </c>
      <c r="B982" t="str">
        <f>IF('Staff Daily sales'!$D967="","",TRIM('Staff Daily sales'!$D967&amp;""))</f>
        <v/>
      </c>
      <c r="C982" t="str">
        <f>IFERROR(TRIM('Staff Daily sales'!$E967&amp;""),"")</f>
        <v/>
      </c>
      <c r="D982" t="str">
        <f>IFERROR(IF(TRIM('Staff Daily sales'!$F967&amp;"")="","Unassigned",TRIM('Staff Daily sales'!$F967&amp;"")),"Unassigned")</f>
        <v>Unassigned</v>
      </c>
      <c r="E982">
        <f t="shared" si="266"/>
        <v>0</v>
      </c>
      <c r="F982">
        <f>IF($E982=0,0,SUMPRODUCT($AI$5:$DF$5,'Staff Daily sales'!$G967:$CD967))</f>
        <v>0</v>
      </c>
      <c r="G982">
        <f>IF($E982=0,0,SUMPRODUCT($AI$6:$DF$6,'Staff Daily sales'!$G967:$CD967))</f>
        <v>0</v>
      </c>
      <c r="H982">
        <f t="shared" si="267"/>
        <v>0</v>
      </c>
      <c r="I982">
        <f t="shared" si="268"/>
        <v>0</v>
      </c>
      <c r="J982">
        <f t="shared" si="269"/>
        <v>0</v>
      </c>
      <c r="K982">
        <f t="shared" si="270"/>
        <v>0</v>
      </c>
      <c r="L982">
        <f>--AND($E982=1,OR('Staff Dashboard'!$B$6="All",$DH982='Staff Dashboard'!$B$6),OR('Staff Dashboard'!$B$7="All",$D982='Staff Dashboard'!$B$7),OR('Staff Dashboard'!$B$8="All",$A982='Staff Dashboard'!$B$8))</f>
        <v>0</v>
      </c>
      <c r="M982">
        <f>IF($E982=0,0,SUMPRODUCT($AI$7:$DF$7,'Staff Daily sales'!$G967:$CD967))</f>
        <v>0</v>
      </c>
      <c r="N982">
        <f>IF($E982=0,0,SUMPRODUCT($AI$8:$DF$8,'Staff Daily sales'!$G967:$CD967))</f>
        <v>0</v>
      </c>
      <c r="O982">
        <f>IF($E982=0,0,SUMPRODUCT($AI$9:$DF$9,'Staff Daily sales'!$G967:$CD967))</f>
        <v>0</v>
      </c>
      <c r="P982">
        <f>IF($E982=0,0,SUMPRODUCT($AI$10:$DF$10,'Staff Daily sales'!$G967:$CD967))</f>
        <v>0</v>
      </c>
      <c r="Q982">
        <f>IF($E982=0,0,SUMPRODUCT($AI$11:$DF$11,'Staff Daily sales'!$G967:$CD967))</f>
        <v>0</v>
      </c>
      <c r="R982">
        <f>IF($E982=0,0,SUMPRODUCT($AI$12:$DF$12,'Staff Daily sales'!$G967:$CD967))</f>
        <v>0</v>
      </c>
      <c r="S982">
        <f>IF($E982=0,0,SUMPRODUCT($AI$13:$DF$13,'Staff Daily sales'!$G967:$CD967))</f>
        <v>0</v>
      </c>
      <c r="T982">
        <f>IF($E982=0,0,SUMPRODUCT($AI$14:$DF$14,'Staff Daily sales'!$G967:$CD967))</f>
        <v>0</v>
      </c>
      <c r="U982">
        <f>IF($E982=0,0,SUMPRODUCT($AI$15:$DF$15,'Staff Daily sales'!$G967:$CD967))</f>
        <v>0</v>
      </c>
      <c r="V982">
        <f>IF($E982=0,0,SUMPRODUCT($AI$16:$DF$16,'Staff Daily sales'!$G967:$CD967))</f>
        <v>0</v>
      </c>
      <c r="W982">
        <f t="shared" si="271"/>
        <v>0</v>
      </c>
      <c r="X982">
        <f t="shared" si="272"/>
        <v>0</v>
      </c>
      <c r="Y982">
        <f t="shared" si="273"/>
        <v>0</v>
      </c>
      <c r="Z982">
        <f t="shared" si="274"/>
        <v>0</v>
      </c>
      <c r="AA982">
        <f t="shared" si="275"/>
        <v>0</v>
      </c>
      <c r="AB982">
        <f>--AND($E982=1,OR('Staff Weekly Trend'!$B$3="All",$DH982='Staff Weekly Trend'!$B$3),OR('Staff Weekly Trend'!$B$4="All",$D982='Staff Weekly Trend'!$B$4),OR('Staff Weekly Trend'!$B$5="All",$A982='Staff Weekly Trend'!$B$5))</f>
        <v>0</v>
      </c>
      <c r="AC982" t="str">
        <f t="shared" si="276"/>
        <v/>
      </c>
      <c r="AI982">
        <f t="shared" si="277"/>
        <v>0</v>
      </c>
      <c r="AJ982">
        <f t="shared" si="278"/>
        <v>0</v>
      </c>
      <c r="AK982">
        <f t="shared" si="279"/>
        <v>0</v>
      </c>
      <c r="AL982">
        <f t="shared" si="280"/>
        <v>0</v>
      </c>
      <c r="AM982">
        <f t="shared" si="281"/>
        <v>0</v>
      </c>
      <c r="DH982" t="str" cm="1">
        <f t="array" ref="DH982">IF($A982="","",_xlfn.LET(_xlpm.c,IFERROR(_xlfn.XLOOKUP($A982,TRIM('Sales and count'!$A$4:$A$300&amp;""),TRIM('Sales and count'!$B$4:$B$300&amp;"")),""),IF(OR(_xlpm.c="",_xlpm.c="0",LEFT(_xlpm.c,1)="#"),"Not set",_xlpm.c)))</f>
        <v/>
      </c>
    </row>
    <row r="983" spans="1:112" x14ac:dyDescent="0.25">
      <c r="A983" t="str">
        <f>IF('Staff Daily sales'!$B968="","",TRIM('Staff Daily sales'!$B968&amp;""))</f>
        <v/>
      </c>
      <c r="B983" t="str">
        <f>IF('Staff Daily sales'!$D968="","",TRIM('Staff Daily sales'!$D968&amp;""))</f>
        <v/>
      </c>
      <c r="C983" t="str">
        <f>IFERROR(TRIM('Staff Daily sales'!$E968&amp;""),"")</f>
        <v/>
      </c>
      <c r="D983" t="str">
        <f>IFERROR(IF(TRIM('Staff Daily sales'!$F968&amp;"")="","Unassigned",TRIM('Staff Daily sales'!$F968&amp;"")),"Unassigned")</f>
        <v>Unassigned</v>
      </c>
      <c r="E983">
        <f t="shared" si="266"/>
        <v>0</v>
      </c>
      <c r="F983">
        <f>IF($E983=0,0,SUMPRODUCT($AI$5:$DF$5,'Staff Daily sales'!$G968:$CD968))</f>
        <v>0</v>
      </c>
      <c r="G983">
        <f>IF($E983=0,0,SUMPRODUCT($AI$6:$DF$6,'Staff Daily sales'!$G968:$CD968))</f>
        <v>0</v>
      </c>
      <c r="H983">
        <f t="shared" si="267"/>
        <v>0</v>
      </c>
      <c r="I983">
        <f t="shared" si="268"/>
        <v>0</v>
      </c>
      <c r="J983">
        <f t="shared" si="269"/>
        <v>0</v>
      </c>
      <c r="K983">
        <f t="shared" si="270"/>
        <v>0</v>
      </c>
      <c r="L983">
        <f>--AND($E983=1,OR('Staff Dashboard'!$B$6="All",$DH983='Staff Dashboard'!$B$6),OR('Staff Dashboard'!$B$7="All",$D983='Staff Dashboard'!$B$7),OR('Staff Dashboard'!$B$8="All",$A983='Staff Dashboard'!$B$8))</f>
        <v>0</v>
      </c>
      <c r="M983">
        <f>IF($E983=0,0,SUMPRODUCT($AI$7:$DF$7,'Staff Daily sales'!$G968:$CD968))</f>
        <v>0</v>
      </c>
      <c r="N983">
        <f>IF($E983=0,0,SUMPRODUCT($AI$8:$DF$8,'Staff Daily sales'!$G968:$CD968))</f>
        <v>0</v>
      </c>
      <c r="O983">
        <f>IF($E983=0,0,SUMPRODUCT($AI$9:$DF$9,'Staff Daily sales'!$G968:$CD968))</f>
        <v>0</v>
      </c>
      <c r="P983">
        <f>IF($E983=0,0,SUMPRODUCT($AI$10:$DF$10,'Staff Daily sales'!$G968:$CD968))</f>
        <v>0</v>
      </c>
      <c r="Q983">
        <f>IF($E983=0,0,SUMPRODUCT($AI$11:$DF$11,'Staff Daily sales'!$G968:$CD968))</f>
        <v>0</v>
      </c>
      <c r="R983">
        <f>IF($E983=0,0,SUMPRODUCT($AI$12:$DF$12,'Staff Daily sales'!$G968:$CD968))</f>
        <v>0</v>
      </c>
      <c r="S983">
        <f>IF($E983=0,0,SUMPRODUCT($AI$13:$DF$13,'Staff Daily sales'!$G968:$CD968))</f>
        <v>0</v>
      </c>
      <c r="T983">
        <f>IF($E983=0,0,SUMPRODUCT($AI$14:$DF$14,'Staff Daily sales'!$G968:$CD968))</f>
        <v>0</v>
      </c>
      <c r="U983">
        <f>IF($E983=0,0,SUMPRODUCT($AI$15:$DF$15,'Staff Daily sales'!$G968:$CD968))</f>
        <v>0</v>
      </c>
      <c r="V983">
        <f>IF($E983=0,0,SUMPRODUCT($AI$16:$DF$16,'Staff Daily sales'!$G968:$CD968))</f>
        <v>0</v>
      </c>
      <c r="W983">
        <f t="shared" si="271"/>
        <v>0</v>
      </c>
      <c r="X983">
        <f t="shared" si="272"/>
        <v>0</v>
      </c>
      <c r="Y983">
        <f t="shared" si="273"/>
        <v>0</v>
      </c>
      <c r="Z983">
        <f t="shared" si="274"/>
        <v>0</v>
      </c>
      <c r="AA983">
        <f t="shared" si="275"/>
        <v>0</v>
      </c>
      <c r="AB983">
        <f>--AND($E983=1,OR('Staff Weekly Trend'!$B$3="All",$DH983='Staff Weekly Trend'!$B$3),OR('Staff Weekly Trend'!$B$4="All",$D983='Staff Weekly Trend'!$B$4),OR('Staff Weekly Trend'!$B$5="All",$A983='Staff Weekly Trend'!$B$5))</f>
        <v>0</v>
      </c>
      <c r="AC983" t="str">
        <f t="shared" si="276"/>
        <v/>
      </c>
      <c r="AI983">
        <f t="shared" si="277"/>
        <v>0</v>
      </c>
      <c r="AJ983">
        <f t="shared" si="278"/>
        <v>0</v>
      </c>
      <c r="AK983">
        <f t="shared" si="279"/>
        <v>0</v>
      </c>
      <c r="AL983">
        <f t="shared" si="280"/>
        <v>0</v>
      </c>
      <c r="AM983">
        <f t="shared" si="281"/>
        <v>0</v>
      </c>
      <c r="DH983" t="str" cm="1">
        <f t="array" ref="DH983">IF($A983="","",_xlfn.LET(_xlpm.c,IFERROR(_xlfn.XLOOKUP($A983,TRIM('Sales and count'!$A$4:$A$300&amp;""),TRIM('Sales and count'!$B$4:$B$300&amp;"")),""),IF(OR(_xlpm.c="",_xlpm.c="0",LEFT(_xlpm.c,1)="#"),"Not set",_xlpm.c)))</f>
        <v/>
      </c>
    </row>
    <row r="984" spans="1:112" x14ac:dyDescent="0.25">
      <c r="A984" t="str">
        <f>IF('Staff Daily sales'!$B969="","",TRIM('Staff Daily sales'!$B969&amp;""))</f>
        <v/>
      </c>
      <c r="B984" t="str">
        <f>IF('Staff Daily sales'!$D969="","",TRIM('Staff Daily sales'!$D969&amp;""))</f>
        <v/>
      </c>
      <c r="C984" t="str">
        <f>IFERROR(TRIM('Staff Daily sales'!$E969&amp;""),"")</f>
        <v/>
      </c>
      <c r="D984" t="str">
        <f>IFERROR(IF(TRIM('Staff Daily sales'!$F969&amp;"")="","Unassigned",TRIM('Staff Daily sales'!$F969&amp;"")),"Unassigned")</f>
        <v>Unassigned</v>
      </c>
      <c r="E984">
        <f t="shared" si="266"/>
        <v>0</v>
      </c>
      <c r="F984">
        <f>IF($E984=0,0,SUMPRODUCT($AI$5:$DF$5,'Staff Daily sales'!$G969:$CD969))</f>
        <v>0</v>
      </c>
      <c r="G984">
        <f>IF($E984=0,0,SUMPRODUCT($AI$6:$DF$6,'Staff Daily sales'!$G969:$CD969))</f>
        <v>0</v>
      </c>
      <c r="H984">
        <f t="shared" si="267"/>
        <v>0</v>
      </c>
      <c r="I984">
        <f t="shared" si="268"/>
        <v>0</v>
      </c>
      <c r="J984">
        <f t="shared" si="269"/>
        <v>0</v>
      </c>
      <c r="K984">
        <f t="shared" si="270"/>
        <v>0</v>
      </c>
      <c r="L984">
        <f>--AND($E984=1,OR('Staff Dashboard'!$B$6="All",$DH984='Staff Dashboard'!$B$6),OR('Staff Dashboard'!$B$7="All",$D984='Staff Dashboard'!$B$7),OR('Staff Dashboard'!$B$8="All",$A984='Staff Dashboard'!$B$8))</f>
        <v>0</v>
      </c>
      <c r="M984">
        <f>IF($E984=0,0,SUMPRODUCT($AI$7:$DF$7,'Staff Daily sales'!$G969:$CD969))</f>
        <v>0</v>
      </c>
      <c r="N984">
        <f>IF($E984=0,0,SUMPRODUCT($AI$8:$DF$8,'Staff Daily sales'!$G969:$CD969))</f>
        <v>0</v>
      </c>
      <c r="O984">
        <f>IF($E984=0,0,SUMPRODUCT($AI$9:$DF$9,'Staff Daily sales'!$G969:$CD969))</f>
        <v>0</v>
      </c>
      <c r="P984">
        <f>IF($E984=0,0,SUMPRODUCT($AI$10:$DF$10,'Staff Daily sales'!$G969:$CD969))</f>
        <v>0</v>
      </c>
      <c r="Q984">
        <f>IF($E984=0,0,SUMPRODUCT($AI$11:$DF$11,'Staff Daily sales'!$G969:$CD969))</f>
        <v>0</v>
      </c>
      <c r="R984">
        <f>IF($E984=0,0,SUMPRODUCT($AI$12:$DF$12,'Staff Daily sales'!$G969:$CD969))</f>
        <v>0</v>
      </c>
      <c r="S984">
        <f>IF($E984=0,0,SUMPRODUCT($AI$13:$DF$13,'Staff Daily sales'!$G969:$CD969))</f>
        <v>0</v>
      </c>
      <c r="T984">
        <f>IF($E984=0,0,SUMPRODUCT($AI$14:$DF$14,'Staff Daily sales'!$G969:$CD969))</f>
        <v>0</v>
      </c>
      <c r="U984">
        <f>IF($E984=0,0,SUMPRODUCT($AI$15:$DF$15,'Staff Daily sales'!$G969:$CD969))</f>
        <v>0</v>
      </c>
      <c r="V984">
        <f>IF($E984=0,0,SUMPRODUCT($AI$16:$DF$16,'Staff Daily sales'!$G969:$CD969))</f>
        <v>0</v>
      </c>
      <c r="W984">
        <f t="shared" si="271"/>
        <v>0</v>
      </c>
      <c r="X984">
        <f t="shared" si="272"/>
        <v>0</v>
      </c>
      <c r="Y984">
        <f t="shared" si="273"/>
        <v>0</v>
      </c>
      <c r="Z984">
        <f t="shared" si="274"/>
        <v>0</v>
      </c>
      <c r="AA984">
        <f t="shared" si="275"/>
        <v>0</v>
      </c>
      <c r="AB984">
        <f>--AND($E984=1,OR('Staff Weekly Trend'!$B$3="All",$DH984='Staff Weekly Trend'!$B$3),OR('Staff Weekly Trend'!$B$4="All",$D984='Staff Weekly Trend'!$B$4),OR('Staff Weekly Trend'!$B$5="All",$A984='Staff Weekly Trend'!$B$5))</f>
        <v>0</v>
      </c>
      <c r="AC984" t="str">
        <f t="shared" si="276"/>
        <v/>
      </c>
      <c r="AI984">
        <f t="shared" si="277"/>
        <v>0</v>
      </c>
      <c r="AJ984">
        <f t="shared" si="278"/>
        <v>0</v>
      </c>
      <c r="AK984">
        <f t="shared" si="279"/>
        <v>0</v>
      </c>
      <c r="AL984">
        <f t="shared" si="280"/>
        <v>0</v>
      </c>
      <c r="AM984">
        <f t="shared" si="281"/>
        <v>0</v>
      </c>
      <c r="DH984" t="str" cm="1">
        <f t="array" ref="DH984">IF($A984="","",_xlfn.LET(_xlpm.c,IFERROR(_xlfn.XLOOKUP($A984,TRIM('Sales and count'!$A$4:$A$300&amp;""),TRIM('Sales and count'!$B$4:$B$300&amp;"")),""),IF(OR(_xlpm.c="",_xlpm.c="0",LEFT(_xlpm.c,1)="#"),"Not set",_xlpm.c)))</f>
        <v/>
      </c>
    </row>
    <row r="985" spans="1:112" x14ac:dyDescent="0.25">
      <c r="A985" t="str">
        <f>IF('Staff Daily sales'!$B970="","",TRIM('Staff Daily sales'!$B970&amp;""))</f>
        <v/>
      </c>
      <c r="B985" t="str">
        <f>IF('Staff Daily sales'!$D970="","",TRIM('Staff Daily sales'!$D970&amp;""))</f>
        <v/>
      </c>
      <c r="C985" t="str">
        <f>IFERROR(TRIM('Staff Daily sales'!$E970&amp;""),"")</f>
        <v/>
      </c>
      <c r="D985" t="str">
        <f>IFERROR(IF(TRIM('Staff Daily sales'!$F970&amp;"")="","Unassigned",TRIM('Staff Daily sales'!$F970&amp;"")),"Unassigned")</f>
        <v>Unassigned</v>
      </c>
      <c r="E985">
        <f t="shared" si="266"/>
        <v>0</v>
      </c>
      <c r="F985">
        <f>IF($E985=0,0,SUMPRODUCT($AI$5:$DF$5,'Staff Daily sales'!$G970:$CD970))</f>
        <v>0</v>
      </c>
      <c r="G985">
        <f>IF($E985=0,0,SUMPRODUCT($AI$6:$DF$6,'Staff Daily sales'!$G970:$CD970))</f>
        <v>0</v>
      </c>
      <c r="H985">
        <f t="shared" si="267"/>
        <v>0</v>
      </c>
      <c r="I985">
        <f t="shared" si="268"/>
        <v>0</v>
      </c>
      <c r="J985">
        <f t="shared" si="269"/>
        <v>0</v>
      </c>
      <c r="K985">
        <f t="shared" si="270"/>
        <v>0</v>
      </c>
      <c r="L985">
        <f>--AND($E985=1,OR('Staff Dashboard'!$B$6="All",$DH985='Staff Dashboard'!$B$6),OR('Staff Dashboard'!$B$7="All",$D985='Staff Dashboard'!$B$7),OR('Staff Dashboard'!$B$8="All",$A985='Staff Dashboard'!$B$8))</f>
        <v>0</v>
      </c>
      <c r="M985">
        <f>IF($E985=0,0,SUMPRODUCT($AI$7:$DF$7,'Staff Daily sales'!$G970:$CD970))</f>
        <v>0</v>
      </c>
      <c r="N985">
        <f>IF($E985=0,0,SUMPRODUCT($AI$8:$DF$8,'Staff Daily sales'!$G970:$CD970))</f>
        <v>0</v>
      </c>
      <c r="O985">
        <f>IF($E985=0,0,SUMPRODUCT($AI$9:$DF$9,'Staff Daily sales'!$G970:$CD970))</f>
        <v>0</v>
      </c>
      <c r="P985">
        <f>IF($E985=0,0,SUMPRODUCT($AI$10:$DF$10,'Staff Daily sales'!$G970:$CD970))</f>
        <v>0</v>
      </c>
      <c r="Q985">
        <f>IF($E985=0,0,SUMPRODUCT($AI$11:$DF$11,'Staff Daily sales'!$G970:$CD970))</f>
        <v>0</v>
      </c>
      <c r="R985">
        <f>IF($E985=0,0,SUMPRODUCT($AI$12:$DF$12,'Staff Daily sales'!$G970:$CD970))</f>
        <v>0</v>
      </c>
      <c r="S985">
        <f>IF($E985=0,0,SUMPRODUCT($AI$13:$DF$13,'Staff Daily sales'!$G970:$CD970))</f>
        <v>0</v>
      </c>
      <c r="T985">
        <f>IF($E985=0,0,SUMPRODUCT($AI$14:$DF$14,'Staff Daily sales'!$G970:$CD970))</f>
        <v>0</v>
      </c>
      <c r="U985">
        <f>IF($E985=0,0,SUMPRODUCT($AI$15:$DF$15,'Staff Daily sales'!$G970:$CD970))</f>
        <v>0</v>
      </c>
      <c r="V985">
        <f>IF($E985=0,0,SUMPRODUCT($AI$16:$DF$16,'Staff Daily sales'!$G970:$CD970))</f>
        <v>0</v>
      </c>
      <c r="W985">
        <f t="shared" si="271"/>
        <v>0</v>
      </c>
      <c r="X985">
        <f t="shared" si="272"/>
        <v>0</v>
      </c>
      <c r="Y985">
        <f t="shared" si="273"/>
        <v>0</v>
      </c>
      <c r="Z985">
        <f t="shared" si="274"/>
        <v>0</v>
      </c>
      <c r="AA985">
        <f t="shared" si="275"/>
        <v>0</v>
      </c>
      <c r="AB985">
        <f>--AND($E985=1,OR('Staff Weekly Trend'!$B$3="All",$DH985='Staff Weekly Trend'!$B$3),OR('Staff Weekly Trend'!$B$4="All",$D985='Staff Weekly Trend'!$B$4),OR('Staff Weekly Trend'!$B$5="All",$A985='Staff Weekly Trend'!$B$5))</f>
        <v>0</v>
      </c>
      <c r="AC985" t="str">
        <f t="shared" si="276"/>
        <v/>
      </c>
      <c r="AI985">
        <f t="shared" si="277"/>
        <v>0</v>
      </c>
      <c r="AJ985">
        <f t="shared" si="278"/>
        <v>0</v>
      </c>
      <c r="AK985">
        <f t="shared" si="279"/>
        <v>0</v>
      </c>
      <c r="AL985">
        <f t="shared" si="280"/>
        <v>0</v>
      </c>
      <c r="AM985">
        <f t="shared" si="281"/>
        <v>0</v>
      </c>
      <c r="DH985" t="str" cm="1">
        <f t="array" ref="DH985">IF($A985="","",_xlfn.LET(_xlpm.c,IFERROR(_xlfn.XLOOKUP($A985,TRIM('Sales and count'!$A$4:$A$300&amp;""),TRIM('Sales and count'!$B$4:$B$300&amp;"")),""),IF(OR(_xlpm.c="",_xlpm.c="0",LEFT(_xlpm.c,1)="#"),"Not set",_xlpm.c)))</f>
        <v/>
      </c>
    </row>
    <row r="986" spans="1:112" x14ac:dyDescent="0.25">
      <c r="A986" t="str">
        <f>IF('Staff Daily sales'!$B971="","",TRIM('Staff Daily sales'!$B971&amp;""))</f>
        <v/>
      </c>
      <c r="B986" t="str">
        <f>IF('Staff Daily sales'!$D971="","",TRIM('Staff Daily sales'!$D971&amp;""))</f>
        <v/>
      </c>
      <c r="C986" t="str">
        <f>IFERROR(TRIM('Staff Daily sales'!$E971&amp;""),"")</f>
        <v/>
      </c>
      <c r="D986" t="str">
        <f>IFERROR(IF(TRIM('Staff Daily sales'!$F971&amp;"")="","Unassigned",TRIM('Staff Daily sales'!$F971&amp;"")),"Unassigned")</f>
        <v>Unassigned</v>
      </c>
      <c r="E986">
        <f t="shared" si="266"/>
        <v>0</v>
      </c>
      <c r="F986">
        <f>IF($E986=0,0,SUMPRODUCT($AI$5:$DF$5,'Staff Daily sales'!$G971:$CD971))</f>
        <v>0</v>
      </c>
      <c r="G986">
        <f>IF($E986=0,0,SUMPRODUCT($AI$6:$DF$6,'Staff Daily sales'!$G971:$CD971))</f>
        <v>0</v>
      </c>
      <c r="H986">
        <f t="shared" si="267"/>
        <v>0</v>
      </c>
      <c r="I986">
        <f t="shared" si="268"/>
        <v>0</v>
      </c>
      <c r="J986">
        <f t="shared" si="269"/>
        <v>0</v>
      </c>
      <c r="K986">
        <f t="shared" si="270"/>
        <v>0</v>
      </c>
      <c r="L986">
        <f>--AND($E986=1,OR('Staff Dashboard'!$B$6="All",$DH986='Staff Dashboard'!$B$6),OR('Staff Dashboard'!$B$7="All",$D986='Staff Dashboard'!$B$7),OR('Staff Dashboard'!$B$8="All",$A986='Staff Dashboard'!$B$8))</f>
        <v>0</v>
      </c>
      <c r="M986">
        <f>IF($E986=0,0,SUMPRODUCT($AI$7:$DF$7,'Staff Daily sales'!$G971:$CD971))</f>
        <v>0</v>
      </c>
      <c r="N986">
        <f>IF($E986=0,0,SUMPRODUCT($AI$8:$DF$8,'Staff Daily sales'!$G971:$CD971))</f>
        <v>0</v>
      </c>
      <c r="O986">
        <f>IF($E986=0,0,SUMPRODUCT($AI$9:$DF$9,'Staff Daily sales'!$G971:$CD971))</f>
        <v>0</v>
      </c>
      <c r="P986">
        <f>IF($E986=0,0,SUMPRODUCT($AI$10:$DF$10,'Staff Daily sales'!$G971:$CD971))</f>
        <v>0</v>
      </c>
      <c r="Q986">
        <f>IF($E986=0,0,SUMPRODUCT($AI$11:$DF$11,'Staff Daily sales'!$G971:$CD971))</f>
        <v>0</v>
      </c>
      <c r="R986">
        <f>IF($E986=0,0,SUMPRODUCT($AI$12:$DF$12,'Staff Daily sales'!$G971:$CD971))</f>
        <v>0</v>
      </c>
      <c r="S986">
        <f>IF($E986=0,0,SUMPRODUCT($AI$13:$DF$13,'Staff Daily sales'!$G971:$CD971))</f>
        <v>0</v>
      </c>
      <c r="T986">
        <f>IF($E986=0,0,SUMPRODUCT($AI$14:$DF$14,'Staff Daily sales'!$G971:$CD971))</f>
        <v>0</v>
      </c>
      <c r="U986">
        <f>IF($E986=0,0,SUMPRODUCT($AI$15:$DF$15,'Staff Daily sales'!$G971:$CD971))</f>
        <v>0</v>
      </c>
      <c r="V986">
        <f>IF($E986=0,0,SUMPRODUCT($AI$16:$DF$16,'Staff Daily sales'!$G971:$CD971))</f>
        <v>0</v>
      </c>
      <c r="W986">
        <f t="shared" si="271"/>
        <v>0</v>
      </c>
      <c r="X986">
        <f t="shared" si="272"/>
        <v>0</v>
      </c>
      <c r="Y986">
        <f t="shared" si="273"/>
        <v>0</v>
      </c>
      <c r="Z986">
        <f t="shared" si="274"/>
        <v>0</v>
      </c>
      <c r="AA986">
        <f t="shared" si="275"/>
        <v>0</v>
      </c>
      <c r="AB986">
        <f>--AND($E986=1,OR('Staff Weekly Trend'!$B$3="All",$DH986='Staff Weekly Trend'!$B$3),OR('Staff Weekly Trend'!$B$4="All",$D986='Staff Weekly Trend'!$B$4),OR('Staff Weekly Trend'!$B$5="All",$A986='Staff Weekly Trend'!$B$5))</f>
        <v>0</v>
      </c>
      <c r="AC986" t="str">
        <f t="shared" si="276"/>
        <v/>
      </c>
      <c r="AI986">
        <f t="shared" si="277"/>
        <v>0</v>
      </c>
      <c r="AJ986">
        <f t="shared" si="278"/>
        <v>0</v>
      </c>
      <c r="AK986">
        <f t="shared" si="279"/>
        <v>0</v>
      </c>
      <c r="AL986">
        <f t="shared" si="280"/>
        <v>0</v>
      </c>
      <c r="AM986">
        <f t="shared" si="281"/>
        <v>0</v>
      </c>
      <c r="DH986" t="str" cm="1">
        <f t="array" ref="DH986">IF($A986="","",_xlfn.LET(_xlpm.c,IFERROR(_xlfn.XLOOKUP($A986,TRIM('Sales and count'!$A$4:$A$300&amp;""),TRIM('Sales and count'!$B$4:$B$300&amp;"")),""),IF(OR(_xlpm.c="",_xlpm.c="0",LEFT(_xlpm.c,1)="#"),"Not set",_xlpm.c)))</f>
        <v/>
      </c>
    </row>
    <row r="987" spans="1:112" x14ac:dyDescent="0.25">
      <c r="A987" t="str">
        <f>IF('Staff Daily sales'!$B972="","",TRIM('Staff Daily sales'!$B972&amp;""))</f>
        <v/>
      </c>
      <c r="B987" t="str">
        <f>IF('Staff Daily sales'!$D972="","",TRIM('Staff Daily sales'!$D972&amp;""))</f>
        <v/>
      </c>
      <c r="C987" t="str">
        <f>IFERROR(TRIM('Staff Daily sales'!$E972&amp;""),"")</f>
        <v/>
      </c>
      <c r="D987" t="str">
        <f>IFERROR(IF(TRIM('Staff Daily sales'!$F972&amp;"")="","Unassigned",TRIM('Staff Daily sales'!$F972&amp;"")),"Unassigned")</f>
        <v>Unassigned</v>
      </c>
      <c r="E987">
        <f t="shared" si="266"/>
        <v>0</v>
      </c>
      <c r="F987">
        <f>IF($E987=0,0,SUMPRODUCT($AI$5:$DF$5,'Staff Daily sales'!$G972:$CD972))</f>
        <v>0</v>
      </c>
      <c r="G987">
        <f>IF($E987=0,0,SUMPRODUCT($AI$6:$DF$6,'Staff Daily sales'!$G972:$CD972))</f>
        <v>0</v>
      </c>
      <c r="H987">
        <f t="shared" si="267"/>
        <v>0</v>
      </c>
      <c r="I987">
        <f t="shared" si="268"/>
        <v>0</v>
      </c>
      <c r="J987">
        <f t="shared" si="269"/>
        <v>0</v>
      </c>
      <c r="K987">
        <f t="shared" si="270"/>
        <v>0</v>
      </c>
      <c r="L987">
        <f>--AND($E987=1,OR('Staff Dashboard'!$B$6="All",$DH987='Staff Dashboard'!$B$6),OR('Staff Dashboard'!$B$7="All",$D987='Staff Dashboard'!$B$7),OR('Staff Dashboard'!$B$8="All",$A987='Staff Dashboard'!$B$8))</f>
        <v>0</v>
      </c>
      <c r="M987">
        <f>IF($E987=0,0,SUMPRODUCT($AI$7:$DF$7,'Staff Daily sales'!$G972:$CD972))</f>
        <v>0</v>
      </c>
      <c r="N987">
        <f>IF($E987=0,0,SUMPRODUCT($AI$8:$DF$8,'Staff Daily sales'!$G972:$CD972))</f>
        <v>0</v>
      </c>
      <c r="O987">
        <f>IF($E987=0,0,SUMPRODUCT($AI$9:$DF$9,'Staff Daily sales'!$G972:$CD972))</f>
        <v>0</v>
      </c>
      <c r="P987">
        <f>IF($E987=0,0,SUMPRODUCT($AI$10:$DF$10,'Staff Daily sales'!$G972:$CD972))</f>
        <v>0</v>
      </c>
      <c r="Q987">
        <f>IF($E987=0,0,SUMPRODUCT($AI$11:$DF$11,'Staff Daily sales'!$G972:$CD972))</f>
        <v>0</v>
      </c>
      <c r="R987">
        <f>IF($E987=0,0,SUMPRODUCT($AI$12:$DF$12,'Staff Daily sales'!$G972:$CD972))</f>
        <v>0</v>
      </c>
      <c r="S987">
        <f>IF($E987=0,0,SUMPRODUCT($AI$13:$DF$13,'Staff Daily sales'!$G972:$CD972))</f>
        <v>0</v>
      </c>
      <c r="T987">
        <f>IF($E987=0,0,SUMPRODUCT($AI$14:$DF$14,'Staff Daily sales'!$G972:$CD972))</f>
        <v>0</v>
      </c>
      <c r="U987">
        <f>IF($E987=0,0,SUMPRODUCT($AI$15:$DF$15,'Staff Daily sales'!$G972:$CD972))</f>
        <v>0</v>
      </c>
      <c r="V987">
        <f>IF($E987=0,0,SUMPRODUCT($AI$16:$DF$16,'Staff Daily sales'!$G972:$CD972))</f>
        <v>0</v>
      </c>
      <c r="W987">
        <f t="shared" si="271"/>
        <v>0</v>
      </c>
      <c r="X987">
        <f t="shared" si="272"/>
        <v>0</v>
      </c>
      <c r="Y987">
        <f t="shared" si="273"/>
        <v>0</v>
      </c>
      <c r="Z987">
        <f t="shared" si="274"/>
        <v>0</v>
      </c>
      <c r="AA987">
        <f t="shared" si="275"/>
        <v>0</v>
      </c>
      <c r="AB987">
        <f>--AND($E987=1,OR('Staff Weekly Trend'!$B$3="All",$DH987='Staff Weekly Trend'!$B$3),OR('Staff Weekly Trend'!$B$4="All",$D987='Staff Weekly Trend'!$B$4),OR('Staff Weekly Trend'!$B$5="All",$A987='Staff Weekly Trend'!$B$5))</f>
        <v>0</v>
      </c>
      <c r="AC987" t="str">
        <f t="shared" si="276"/>
        <v/>
      </c>
      <c r="AI987">
        <f t="shared" si="277"/>
        <v>0</v>
      </c>
      <c r="AJ987">
        <f t="shared" si="278"/>
        <v>0</v>
      </c>
      <c r="AK987">
        <f t="shared" si="279"/>
        <v>0</v>
      </c>
      <c r="AL987">
        <f t="shared" si="280"/>
        <v>0</v>
      </c>
      <c r="AM987">
        <f t="shared" si="281"/>
        <v>0</v>
      </c>
      <c r="DH987" t="str" cm="1">
        <f t="array" ref="DH987">IF($A987="","",_xlfn.LET(_xlpm.c,IFERROR(_xlfn.XLOOKUP($A987,TRIM('Sales and count'!$A$4:$A$300&amp;""),TRIM('Sales and count'!$B$4:$B$300&amp;"")),""),IF(OR(_xlpm.c="",_xlpm.c="0",LEFT(_xlpm.c,1)="#"),"Not set",_xlpm.c)))</f>
        <v/>
      </c>
    </row>
    <row r="988" spans="1:112" x14ac:dyDescent="0.25">
      <c r="A988" t="str">
        <f>IF('Staff Daily sales'!$B973="","",TRIM('Staff Daily sales'!$B973&amp;""))</f>
        <v/>
      </c>
      <c r="B988" t="str">
        <f>IF('Staff Daily sales'!$D973="","",TRIM('Staff Daily sales'!$D973&amp;""))</f>
        <v/>
      </c>
      <c r="C988" t="str">
        <f>IFERROR(TRIM('Staff Daily sales'!$E973&amp;""),"")</f>
        <v/>
      </c>
      <c r="D988" t="str">
        <f>IFERROR(IF(TRIM('Staff Daily sales'!$F973&amp;"")="","Unassigned",TRIM('Staff Daily sales'!$F973&amp;"")),"Unassigned")</f>
        <v>Unassigned</v>
      </c>
      <c r="E988">
        <f t="shared" si="266"/>
        <v>0</v>
      </c>
      <c r="F988">
        <f>IF($E988=0,0,SUMPRODUCT($AI$5:$DF$5,'Staff Daily sales'!$G973:$CD973))</f>
        <v>0</v>
      </c>
      <c r="G988">
        <f>IF($E988=0,0,SUMPRODUCT($AI$6:$DF$6,'Staff Daily sales'!$G973:$CD973))</f>
        <v>0</v>
      </c>
      <c r="H988">
        <f t="shared" si="267"/>
        <v>0</v>
      </c>
      <c r="I988">
        <f t="shared" si="268"/>
        <v>0</v>
      </c>
      <c r="J988">
        <f t="shared" si="269"/>
        <v>0</v>
      </c>
      <c r="K988">
        <f t="shared" si="270"/>
        <v>0</v>
      </c>
      <c r="L988">
        <f>--AND($E988=1,OR('Staff Dashboard'!$B$6="All",$DH988='Staff Dashboard'!$B$6),OR('Staff Dashboard'!$B$7="All",$D988='Staff Dashboard'!$B$7),OR('Staff Dashboard'!$B$8="All",$A988='Staff Dashboard'!$B$8))</f>
        <v>0</v>
      </c>
      <c r="M988">
        <f>IF($E988=0,0,SUMPRODUCT($AI$7:$DF$7,'Staff Daily sales'!$G973:$CD973))</f>
        <v>0</v>
      </c>
      <c r="N988">
        <f>IF($E988=0,0,SUMPRODUCT($AI$8:$DF$8,'Staff Daily sales'!$G973:$CD973))</f>
        <v>0</v>
      </c>
      <c r="O988">
        <f>IF($E988=0,0,SUMPRODUCT($AI$9:$DF$9,'Staff Daily sales'!$G973:$CD973))</f>
        <v>0</v>
      </c>
      <c r="P988">
        <f>IF($E988=0,0,SUMPRODUCT($AI$10:$DF$10,'Staff Daily sales'!$G973:$CD973))</f>
        <v>0</v>
      </c>
      <c r="Q988">
        <f>IF($E988=0,0,SUMPRODUCT($AI$11:$DF$11,'Staff Daily sales'!$G973:$CD973))</f>
        <v>0</v>
      </c>
      <c r="R988">
        <f>IF($E988=0,0,SUMPRODUCT($AI$12:$DF$12,'Staff Daily sales'!$G973:$CD973))</f>
        <v>0</v>
      </c>
      <c r="S988">
        <f>IF($E988=0,0,SUMPRODUCT($AI$13:$DF$13,'Staff Daily sales'!$G973:$CD973))</f>
        <v>0</v>
      </c>
      <c r="T988">
        <f>IF($E988=0,0,SUMPRODUCT($AI$14:$DF$14,'Staff Daily sales'!$G973:$CD973))</f>
        <v>0</v>
      </c>
      <c r="U988">
        <f>IF($E988=0,0,SUMPRODUCT($AI$15:$DF$15,'Staff Daily sales'!$G973:$CD973))</f>
        <v>0</v>
      </c>
      <c r="V988">
        <f>IF($E988=0,0,SUMPRODUCT($AI$16:$DF$16,'Staff Daily sales'!$G973:$CD973))</f>
        <v>0</v>
      </c>
      <c r="W988">
        <f t="shared" si="271"/>
        <v>0</v>
      </c>
      <c r="X988">
        <f t="shared" si="272"/>
        <v>0</v>
      </c>
      <c r="Y988">
        <f t="shared" si="273"/>
        <v>0</v>
      </c>
      <c r="Z988">
        <f t="shared" si="274"/>
        <v>0</v>
      </c>
      <c r="AA988">
        <f t="shared" si="275"/>
        <v>0</v>
      </c>
      <c r="AB988">
        <f>--AND($E988=1,OR('Staff Weekly Trend'!$B$3="All",$DH988='Staff Weekly Trend'!$B$3),OR('Staff Weekly Trend'!$B$4="All",$D988='Staff Weekly Trend'!$B$4),OR('Staff Weekly Trend'!$B$5="All",$A988='Staff Weekly Trend'!$B$5))</f>
        <v>0</v>
      </c>
      <c r="AC988" t="str">
        <f t="shared" si="276"/>
        <v/>
      </c>
      <c r="AI988">
        <f t="shared" si="277"/>
        <v>0</v>
      </c>
      <c r="AJ988">
        <f t="shared" si="278"/>
        <v>0</v>
      </c>
      <c r="AK988">
        <f t="shared" si="279"/>
        <v>0</v>
      </c>
      <c r="AL988">
        <f t="shared" si="280"/>
        <v>0</v>
      </c>
      <c r="AM988">
        <f t="shared" si="281"/>
        <v>0</v>
      </c>
      <c r="DH988" t="str" cm="1">
        <f t="array" ref="DH988">IF($A988="","",_xlfn.LET(_xlpm.c,IFERROR(_xlfn.XLOOKUP($A988,TRIM('Sales and count'!$A$4:$A$300&amp;""),TRIM('Sales and count'!$B$4:$B$300&amp;"")),""),IF(OR(_xlpm.c="",_xlpm.c="0",LEFT(_xlpm.c,1)="#"),"Not set",_xlpm.c)))</f>
        <v/>
      </c>
    </row>
    <row r="989" spans="1:112" x14ac:dyDescent="0.25">
      <c r="A989" t="str">
        <f>IF('Staff Daily sales'!$B974="","",TRIM('Staff Daily sales'!$B974&amp;""))</f>
        <v/>
      </c>
      <c r="B989" t="str">
        <f>IF('Staff Daily sales'!$D974="","",TRIM('Staff Daily sales'!$D974&amp;""))</f>
        <v/>
      </c>
      <c r="C989" t="str">
        <f>IFERROR(TRIM('Staff Daily sales'!$E974&amp;""),"")</f>
        <v/>
      </c>
      <c r="D989" t="str">
        <f>IFERROR(IF(TRIM('Staff Daily sales'!$F974&amp;"")="","Unassigned",TRIM('Staff Daily sales'!$F974&amp;"")),"Unassigned")</f>
        <v>Unassigned</v>
      </c>
      <c r="E989">
        <f t="shared" si="266"/>
        <v>0</v>
      </c>
      <c r="F989">
        <f>IF($E989=0,0,SUMPRODUCT($AI$5:$DF$5,'Staff Daily sales'!$G974:$CD974))</f>
        <v>0</v>
      </c>
      <c r="G989">
        <f>IF($E989=0,0,SUMPRODUCT($AI$6:$DF$6,'Staff Daily sales'!$G974:$CD974))</f>
        <v>0</v>
      </c>
      <c r="H989">
        <f t="shared" si="267"/>
        <v>0</v>
      </c>
      <c r="I989">
        <f t="shared" si="268"/>
        <v>0</v>
      </c>
      <c r="J989">
        <f t="shared" si="269"/>
        <v>0</v>
      </c>
      <c r="K989">
        <f t="shared" si="270"/>
        <v>0</v>
      </c>
      <c r="L989">
        <f>--AND($E989=1,OR('Staff Dashboard'!$B$6="All",$DH989='Staff Dashboard'!$B$6),OR('Staff Dashboard'!$B$7="All",$D989='Staff Dashboard'!$B$7),OR('Staff Dashboard'!$B$8="All",$A989='Staff Dashboard'!$B$8))</f>
        <v>0</v>
      </c>
      <c r="M989">
        <f>IF($E989=0,0,SUMPRODUCT($AI$7:$DF$7,'Staff Daily sales'!$G974:$CD974))</f>
        <v>0</v>
      </c>
      <c r="N989">
        <f>IF($E989=0,0,SUMPRODUCT($AI$8:$DF$8,'Staff Daily sales'!$G974:$CD974))</f>
        <v>0</v>
      </c>
      <c r="O989">
        <f>IF($E989=0,0,SUMPRODUCT($AI$9:$DF$9,'Staff Daily sales'!$G974:$CD974))</f>
        <v>0</v>
      </c>
      <c r="P989">
        <f>IF($E989=0,0,SUMPRODUCT($AI$10:$DF$10,'Staff Daily sales'!$G974:$CD974))</f>
        <v>0</v>
      </c>
      <c r="Q989">
        <f>IF($E989=0,0,SUMPRODUCT($AI$11:$DF$11,'Staff Daily sales'!$G974:$CD974))</f>
        <v>0</v>
      </c>
      <c r="R989">
        <f>IF($E989=0,0,SUMPRODUCT($AI$12:$DF$12,'Staff Daily sales'!$G974:$CD974))</f>
        <v>0</v>
      </c>
      <c r="S989">
        <f>IF($E989=0,0,SUMPRODUCT($AI$13:$DF$13,'Staff Daily sales'!$G974:$CD974))</f>
        <v>0</v>
      </c>
      <c r="T989">
        <f>IF($E989=0,0,SUMPRODUCT($AI$14:$DF$14,'Staff Daily sales'!$G974:$CD974))</f>
        <v>0</v>
      </c>
      <c r="U989">
        <f>IF($E989=0,0,SUMPRODUCT($AI$15:$DF$15,'Staff Daily sales'!$G974:$CD974))</f>
        <v>0</v>
      </c>
      <c r="V989">
        <f>IF($E989=0,0,SUMPRODUCT($AI$16:$DF$16,'Staff Daily sales'!$G974:$CD974))</f>
        <v>0</v>
      </c>
      <c r="W989">
        <f t="shared" si="271"/>
        <v>0</v>
      </c>
      <c r="X989">
        <f t="shared" si="272"/>
        <v>0</v>
      </c>
      <c r="Y989">
        <f t="shared" si="273"/>
        <v>0</v>
      </c>
      <c r="Z989">
        <f t="shared" si="274"/>
        <v>0</v>
      </c>
      <c r="AA989">
        <f t="shared" si="275"/>
        <v>0</v>
      </c>
      <c r="AB989">
        <f>--AND($E989=1,OR('Staff Weekly Trend'!$B$3="All",$DH989='Staff Weekly Trend'!$B$3),OR('Staff Weekly Trend'!$B$4="All",$D989='Staff Weekly Trend'!$B$4),OR('Staff Weekly Trend'!$B$5="All",$A989='Staff Weekly Trend'!$B$5))</f>
        <v>0</v>
      </c>
      <c r="AC989" t="str">
        <f t="shared" si="276"/>
        <v/>
      </c>
      <c r="AI989">
        <f t="shared" si="277"/>
        <v>0</v>
      </c>
      <c r="AJ989">
        <f t="shared" si="278"/>
        <v>0</v>
      </c>
      <c r="AK989">
        <f t="shared" si="279"/>
        <v>0</v>
      </c>
      <c r="AL989">
        <f t="shared" si="280"/>
        <v>0</v>
      </c>
      <c r="AM989">
        <f t="shared" si="281"/>
        <v>0</v>
      </c>
      <c r="DH989" t="str" cm="1">
        <f t="array" ref="DH989">IF($A989="","",_xlfn.LET(_xlpm.c,IFERROR(_xlfn.XLOOKUP($A989,TRIM('Sales and count'!$A$4:$A$300&amp;""),TRIM('Sales and count'!$B$4:$B$300&amp;"")),""),IF(OR(_xlpm.c="",_xlpm.c="0",LEFT(_xlpm.c,1)="#"),"Not set",_xlpm.c)))</f>
        <v/>
      </c>
    </row>
    <row r="990" spans="1:112" x14ac:dyDescent="0.25">
      <c r="A990" t="str">
        <f>IF('Staff Daily sales'!$B975="","",TRIM('Staff Daily sales'!$B975&amp;""))</f>
        <v/>
      </c>
      <c r="B990" t="str">
        <f>IF('Staff Daily sales'!$D975="","",TRIM('Staff Daily sales'!$D975&amp;""))</f>
        <v/>
      </c>
      <c r="C990" t="str">
        <f>IFERROR(TRIM('Staff Daily sales'!$E975&amp;""),"")</f>
        <v/>
      </c>
      <c r="D990" t="str">
        <f>IFERROR(IF(TRIM('Staff Daily sales'!$F975&amp;"")="","Unassigned",TRIM('Staff Daily sales'!$F975&amp;"")),"Unassigned")</f>
        <v>Unassigned</v>
      </c>
      <c r="E990">
        <f t="shared" si="266"/>
        <v>0</v>
      </c>
      <c r="F990">
        <f>IF($E990=0,0,SUMPRODUCT($AI$5:$DF$5,'Staff Daily sales'!$G975:$CD975))</f>
        <v>0</v>
      </c>
      <c r="G990">
        <f>IF($E990=0,0,SUMPRODUCT($AI$6:$DF$6,'Staff Daily sales'!$G975:$CD975))</f>
        <v>0</v>
      </c>
      <c r="H990">
        <f t="shared" si="267"/>
        <v>0</v>
      </c>
      <c r="I990">
        <f t="shared" si="268"/>
        <v>0</v>
      </c>
      <c r="J990">
        <f t="shared" si="269"/>
        <v>0</v>
      </c>
      <c r="K990">
        <f t="shared" si="270"/>
        <v>0</v>
      </c>
      <c r="L990">
        <f>--AND($E990=1,OR('Staff Dashboard'!$B$6="All",$DH990='Staff Dashboard'!$B$6),OR('Staff Dashboard'!$B$7="All",$D990='Staff Dashboard'!$B$7),OR('Staff Dashboard'!$B$8="All",$A990='Staff Dashboard'!$B$8))</f>
        <v>0</v>
      </c>
      <c r="M990">
        <f>IF($E990=0,0,SUMPRODUCT($AI$7:$DF$7,'Staff Daily sales'!$G975:$CD975))</f>
        <v>0</v>
      </c>
      <c r="N990">
        <f>IF($E990=0,0,SUMPRODUCT($AI$8:$DF$8,'Staff Daily sales'!$G975:$CD975))</f>
        <v>0</v>
      </c>
      <c r="O990">
        <f>IF($E990=0,0,SUMPRODUCT($AI$9:$DF$9,'Staff Daily sales'!$G975:$CD975))</f>
        <v>0</v>
      </c>
      <c r="P990">
        <f>IF($E990=0,0,SUMPRODUCT($AI$10:$DF$10,'Staff Daily sales'!$G975:$CD975))</f>
        <v>0</v>
      </c>
      <c r="Q990">
        <f>IF($E990=0,0,SUMPRODUCT($AI$11:$DF$11,'Staff Daily sales'!$G975:$CD975))</f>
        <v>0</v>
      </c>
      <c r="R990">
        <f>IF($E990=0,0,SUMPRODUCT($AI$12:$DF$12,'Staff Daily sales'!$G975:$CD975))</f>
        <v>0</v>
      </c>
      <c r="S990">
        <f>IF($E990=0,0,SUMPRODUCT($AI$13:$DF$13,'Staff Daily sales'!$G975:$CD975))</f>
        <v>0</v>
      </c>
      <c r="T990">
        <f>IF($E990=0,0,SUMPRODUCT($AI$14:$DF$14,'Staff Daily sales'!$G975:$CD975))</f>
        <v>0</v>
      </c>
      <c r="U990">
        <f>IF($E990=0,0,SUMPRODUCT($AI$15:$DF$15,'Staff Daily sales'!$G975:$CD975))</f>
        <v>0</v>
      </c>
      <c r="V990">
        <f>IF($E990=0,0,SUMPRODUCT($AI$16:$DF$16,'Staff Daily sales'!$G975:$CD975))</f>
        <v>0</v>
      </c>
      <c r="W990">
        <f t="shared" si="271"/>
        <v>0</v>
      </c>
      <c r="X990">
        <f t="shared" si="272"/>
        <v>0</v>
      </c>
      <c r="Y990">
        <f t="shared" si="273"/>
        <v>0</v>
      </c>
      <c r="Z990">
        <f t="shared" si="274"/>
        <v>0</v>
      </c>
      <c r="AA990">
        <f t="shared" si="275"/>
        <v>0</v>
      </c>
      <c r="AB990">
        <f>--AND($E990=1,OR('Staff Weekly Trend'!$B$3="All",$DH990='Staff Weekly Trend'!$B$3),OR('Staff Weekly Trend'!$B$4="All",$D990='Staff Weekly Trend'!$B$4),OR('Staff Weekly Trend'!$B$5="All",$A990='Staff Weekly Trend'!$B$5))</f>
        <v>0</v>
      </c>
      <c r="AC990" t="str">
        <f t="shared" si="276"/>
        <v/>
      </c>
      <c r="AI990">
        <f t="shared" si="277"/>
        <v>0</v>
      </c>
      <c r="AJ990">
        <f t="shared" si="278"/>
        <v>0</v>
      </c>
      <c r="AK990">
        <f t="shared" si="279"/>
        <v>0</v>
      </c>
      <c r="AL990">
        <f t="shared" si="280"/>
        <v>0</v>
      </c>
      <c r="AM990">
        <f t="shared" si="281"/>
        <v>0</v>
      </c>
      <c r="DH990" t="str" cm="1">
        <f t="array" ref="DH990">IF($A990="","",_xlfn.LET(_xlpm.c,IFERROR(_xlfn.XLOOKUP($A990,TRIM('Sales and count'!$A$4:$A$300&amp;""),TRIM('Sales and count'!$B$4:$B$300&amp;"")),""),IF(OR(_xlpm.c="",_xlpm.c="0",LEFT(_xlpm.c,1)="#"),"Not set",_xlpm.c)))</f>
        <v/>
      </c>
    </row>
    <row r="991" spans="1:112" x14ac:dyDescent="0.25">
      <c r="A991" t="str">
        <f>IF('Staff Daily sales'!$B976="","",TRIM('Staff Daily sales'!$B976&amp;""))</f>
        <v/>
      </c>
      <c r="B991" t="str">
        <f>IF('Staff Daily sales'!$D976="","",TRIM('Staff Daily sales'!$D976&amp;""))</f>
        <v/>
      </c>
      <c r="C991" t="str">
        <f>IFERROR(TRIM('Staff Daily sales'!$E976&amp;""),"")</f>
        <v/>
      </c>
      <c r="D991" t="str">
        <f>IFERROR(IF(TRIM('Staff Daily sales'!$F976&amp;"")="","Unassigned",TRIM('Staff Daily sales'!$F976&amp;"")),"Unassigned")</f>
        <v>Unassigned</v>
      </c>
      <c r="E991">
        <f t="shared" si="266"/>
        <v>0</v>
      </c>
      <c r="F991">
        <f>IF($E991=0,0,SUMPRODUCT($AI$5:$DF$5,'Staff Daily sales'!$G976:$CD976))</f>
        <v>0</v>
      </c>
      <c r="G991">
        <f>IF($E991=0,0,SUMPRODUCT($AI$6:$DF$6,'Staff Daily sales'!$G976:$CD976))</f>
        <v>0</v>
      </c>
      <c r="H991">
        <f t="shared" si="267"/>
        <v>0</v>
      </c>
      <c r="I991">
        <f t="shared" si="268"/>
        <v>0</v>
      </c>
      <c r="J991">
        <f t="shared" si="269"/>
        <v>0</v>
      </c>
      <c r="K991">
        <f t="shared" si="270"/>
        <v>0</v>
      </c>
      <c r="L991">
        <f>--AND($E991=1,OR('Staff Dashboard'!$B$6="All",$DH991='Staff Dashboard'!$B$6),OR('Staff Dashboard'!$B$7="All",$D991='Staff Dashboard'!$B$7),OR('Staff Dashboard'!$B$8="All",$A991='Staff Dashboard'!$B$8))</f>
        <v>0</v>
      </c>
      <c r="M991">
        <f>IF($E991=0,0,SUMPRODUCT($AI$7:$DF$7,'Staff Daily sales'!$G976:$CD976))</f>
        <v>0</v>
      </c>
      <c r="N991">
        <f>IF($E991=0,0,SUMPRODUCT($AI$8:$DF$8,'Staff Daily sales'!$G976:$CD976))</f>
        <v>0</v>
      </c>
      <c r="O991">
        <f>IF($E991=0,0,SUMPRODUCT($AI$9:$DF$9,'Staff Daily sales'!$G976:$CD976))</f>
        <v>0</v>
      </c>
      <c r="P991">
        <f>IF($E991=0,0,SUMPRODUCT($AI$10:$DF$10,'Staff Daily sales'!$G976:$CD976))</f>
        <v>0</v>
      </c>
      <c r="Q991">
        <f>IF($E991=0,0,SUMPRODUCT($AI$11:$DF$11,'Staff Daily sales'!$G976:$CD976))</f>
        <v>0</v>
      </c>
      <c r="R991">
        <f>IF($E991=0,0,SUMPRODUCT($AI$12:$DF$12,'Staff Daily sales'!$G976:$CD976))</f>
        <v>0</v>
      </c>
      <c r="S991">
        <f>IF($E991=0,0,SUMPRODUCT($AI$13:$DF$13,'Staff Daily sales'!$G976:$CD976))</f>
        <v>0</v>
      </c>
      <c r="T991">
        <f>IF($E991=0,0,SUMPRODUCT($AI$14:$DF$14,'Staff Daily sales'!$G976:$CD976))</f>
        <v>0</v>
      </c>
      <c r="U991">
        <f>IF($E991=0,0,SUMPRODUCT($AI$15:$DF$15,'Staff Daily sales'!$G976:$CD976))</f>
        <v>0</v>
      </c>
      <c r="V991">
        <f>IF($E991=0,0,SUMPRODUCT($AI$16:$DF$16,'Staff Daily sales'!$G976:$CD976))</f>
        <v>0</v>
      </c>
      <c r="W991">
        <f t="shared" si="271"/>
        <v>0</v>
      </c>
      <c r="X991">
        <f t="shared" si="272"/>
        <v>0</v>
      </c>
      <c r="Y991">
        <f t="shared" si="273"/>
        <v>0</v>
      </c>
      <c r="Z991">
        <f t="shared" si="274"/>
        <v>0</v>
      </c>
      <c r="AA991">
        <f t="shared" si="275"/>
        <v>0</v>
      </c>
      <c r="AB991">
        <f>--AND($E991=1,OR('Staff Weekly Trend'!$B$3="All",$DH991='Staff Weekly Trend'!$B$3),OR('Staff Weekly Trend'!$B$4="All",$D991='Staff Weekly Trend'!$B$4),OR('Staff Weekly Trend'!$B$5="All",$A991='Staff Weekly Trend'!$B$5))</f>
        <v>0</v>
      </c>
      <c r="AC991" t="str">
        <f t="shared" si="276"/>
        <v/>
      </c>
      <c r="AI991">
        <f t="shared" si="277"/>
        <v>0</v>
      </c>
      <c r="AJ991">
        <f t="shared" si="278"/>
        <v>0</v>
      </c>
      <c r="AK991">
        <f t="shared" si="279"/>
        <v>0</v>
      </c>
      <c r="AL991">
        <f t="shared" si="280"/>
        <v>0</v>
      </c>
      <c r="AM991">
        <f t="shared" si="281"/>
        <v>0</v>
      </c>
      <c r="DH991" t="str" cm="1">
        <f t="array" ref="DH991">IF($A991="","",_xlfn.LET(_xlpm.c,IFERROR(_xlfn.XLOOKUP($A991,TRIM('Sales and count'!$A$4:$A$300&amp;""),TRIM('Sales and count'!$B$4:$B$300&amp;"")),""),IF(OR(_xlpm.c="",_xlpm.c="0",LEFT(_xlpm.c,1)="#"),"Not set",_xlpm.c)))</f>
        <v/>
      </c>
    </row>
    <row r="992" spans="1:112" x14ac:dyDescent="0.25">
      <c r="A992" t="str">
        <f>IF('Staff Daily sales'!$B977="","",TRIM('Staff Daily sales'!$B977&amp;""))</f>
        <v/>
      </c>
      <c r="B992" t="str">
        <f>IF('Staff Daily sales'!$D977="","",TRIM('Staff Daily sales'!$D977&amp;""))</f>
        <v/>
      </c>
      <c r="C992" t="str">
        <f>IFERROR(TRIM('Staff Daily sales'!$E977&amp;""),"")</f>
        <v/>
      </c>
      <c r="D992" t="str">
        <f>IFERROR(IF(TRIM('Staff Daily sales'!$F977&amp;"")="","Unassigned",TRIM('Staff Daily sales'!$F977&amp;"")),"Unassigned")</f>
        <v>Unassigned</v>
      </c>
      <c r="E992">
        <f t="shared" si="266"/>
        <v>0</v>
      </c>
      <c r="F992">
        <f>IF($E992=0,0,SUMPRODUCT($AI$5:$DF$5,'Staff Daily sales'!$G977:$CD977))</f>
        <v>0</v>
      </c>
      <c r="G992">
        <f>IF($E992=0,0,SUMPRODUCT($AI$6:$DF$6,'Staff Daily sales'!$G977:$CD977))</f>
        <v>0</v>
      </c>
      <c r="H992">
        <f t="shared" si="267"/>
        <v>0</v>
      </c>
      <c r="I992">
        <f t="shared" si="268"/>
        <v>0</v>
      </c>
      <c r="J992">
        <f t="shared" si="269"/>
        <v>0</v>
      </c>
      <c r="K992">
        <f t="shared" si="270"/>
        <v>0</v>
      </c>
      <c r="L992">
        <f>--AND($E992=1,OR('Staff Dashboard'!$B$6="All",$DH992='Staff Dashboard'!$B$6),OR('Staff Dashboard'!$B$7="All",$D992='Staff Dashboard'!$B$7),OR('Staff Dashboard'!$B$8="All",$A992='Staff Dashboard'!$B$8))</f>
        <v>0</v>
      </c>
      <c r="M992">
        <f>IF($E992=0,0,SUMPRODUCT($AI$7:$DF$7,'Staff Daily sales'!$G977:$CD977))</f>
        <v>0</v>
      </c>
      <c r="N992">
        <f>IF($E992=0,0,SUMPRODUCT($AI$8:$DF$8,'Staff Daily sales'!$G977:$CD977))</f>
        <v>0</v>
      </c>
      <c r="O992">
        <f>IF($E992=0,0,SUMPRODUCT($AI$9:$DF$9,'Staff Daily sales'!$G977:$CD977))</f>
        <v>0</v>
      </c>
      <c r="P992">
        <f>IF($E992=0,0,SUMPRODUCT($AI$10:$DF$10,'Staff Daily sales'!$G977:$CD977))</f>
        <v>0</v>
      </c>
      <c r="Q992">
        <f>IF($E992=0,0,SUMPRODUCT($AI$11:$DF$11,'Staff Daily sales'!$G977:$CD977))</f>
        <v>0</v>
      </c>
      <c r="R992">
        <f>IF($E992=0,0,SUMPRODUCT($AI$12:$DF$12,'Staff Daily sales'!$G977:$CD977))</f>
        <v>0</v>
      </c>
      <c r="S992">
        <f>IF($E992=0,0,SUMPRODUCT($AI$13:$DF$13,'Staff Daily sales'!$G977:$CD977))</f>
        <v>0</v>
      </c>
      <c r="T992">
        <f>IF($E992=0,0,SUMPRODUCT($AI$14:$DF$14,'Staff Daily sales'!$G977:$CD977))</f>
        <v>0</v>
      </c>
      <c r="U992">
        <f>IF($E992=0,0,SUMPRODUCT($AI$15:$DF$15,'Staff Daily sales'!$G977:$CD977))</f>
        <v>0</v>
      </c>
      <c r="V992">
        <f>IF($E992=0,0,SUMPRODUCT($AI$16:$DF$16,'Staff Daily sales'!$G977:$CD977))</f>
        <v>0</v>
      </c>
      <c r="W992">
        <f t="shared" si="271"/>
        <v>0</v>
      </c>
      <c r="X992">
        <f t="shared" si="272"/>
        <v>0</v>
      </c>
      <c r="Y992">
        <f t="shared" si="273"/>
        <v>0</v>
      </c>
      <c r="Z992">
        <f t="shared" si="274"/>
        <v>0</v>
      </c>
      <c r="AA992">
        <f t="shared" si="275"/>
        <v>0</v>
      </c>
      <c r="AB992">
        <f>--AND($E992=1,OR('Staff Weekly Trend'!$B$3="All",$DH992='Staff Weekly Trend'!$B$3),OR('Staff Weekly Trend'!$B$4="All",$D992='Staff Weekly Trend'!$B$4),OR('Staff Weekly Trend'!$B$5="All",$A992='Staff Weekly Trend'!$B$5))</f>
        <v>0</v>
      </c>
      <c r="AC992" t="str">
        <f t="shared" si="276"/>
        <v/>
      </c>
      <c r="AI992">
        <f t="shared" si="277"/>
        <v>0</v>
      </c>
      <c r="AJ992">
        <f t="shared" si="278"/>
        <v>0</v>
      </c>
      <c r="AK992">
        <f t="shared" si="279"/>
        <v>0</v>
      </c>
      <c r="AL992">
        <f t="shared" si="280"/>
        <v>0</v>
      </c>
      <c r="AM992">
        <f t="shared" si="281"/>
        <v>0</v>
      </c>
      <c r="DH992" t="str" cm="1">
        <f t="array" ref="DH992">IF($A992="","",_xlfn.LET(_xlpm.c,IFERROR(_xlfn.XLOOKUP($A992,TRIM('Sales and count'!$A$4:$A$300&amp;""),TRIM('Sales and count'!$B$4:$B$300&amp;"")),""),IF(OR(_xlpm.c="",_xlpm.c="0",LEFT(_xlpm.c,1)="#"),"Not set",_xlpm.c)))</f>
        <v/>
      </c>
    </row>
    <row r="993" spans="1:112" x14ac:dyDescent="0.25">
      <c r="A993" t="str">
        <f>IF('Staff Daily sales'!$B978="","",TRIM('Staff Daily sales'!$B978&amp;""))</f>
        <v/>
      </c>
      <c r="B993" t="str">
        <f>IF('Staff Daily sales'!$D978="","",TRIM('Staff Daily sales'!$D978&amp;""))</f>
        <v/>
      </c>
      <c r="C993" t="str">
        <f>IFERROR(TRIM('Staff Daily sales'!$E978&amp;""),"")</f>
        <v/>
      </c>
      <c r="D993" t="str">
        <f>IFERROR(IF(TRIM('Staff Daily sales'!$F978&amp;"")="","Unassigned",TRIM('Staff Daily sales'!$F978&amp;"")),"Unassigned")</f>
        <v>Unassigned</v>
      </c>
      <c r="E993">
        <f t="shared" si="266"/>
        <v>0</v>
      </c>
      <c r="F993">
        <f>IF($E993=0,0,SUMPRODUCT($AI$5:$DF$5,'Staff Daily sales'!$G978:$CD978))</f>
        <v>0</v>
      </c>
      <c r="G993">
        <f>IF($E993=0,0,SUMPRODUCT($AI$6:$DF$6,'Staff Daily sales'!$G978:$CD978))</f>
        <v>0</v>
      </c>
      <c r="H993">
        <f t="shared" si="267"/>
        <v>0</v>
      </c>
      <c r="I993">
        <f t="shared" si="268"/>
        <v>0</v>
      </c>
      <c r="J993">
        <f t="shared" si="269"/>
        <v>0</v>
      </c>
      <c r="K993">
        <f t="shared" si="270"/>
        <v>0</v>
      </c>
      <c r="L993">
        <f>--AND($E993=1,OR('Staff Dashboard'!$B$6="All",$DH993='Staff Dashboard'!$B$6),OR('Staff Dashboard'!$B$7="All",$D993='Staff Dashboard'!$B$7),OR('Staff Dashboard'!$B$8="All",$A993='Staff Dashboard'!$B$8))</f>
        <v>0</v>
      </c>
      <c r="M993">
        <f>IF($E993=0,0,SUMPRODUCT($AI$7:$DF$7,'Staff Daily sales'!$G978:$CD978))</f>
        <v>0</v>
      </c>
      <c r="N993">
        <f>IF($E993=0,0,SUMPRODUCT($AI$8:$DF$8,'Staff Daily sales'!$G978:$CD978))</f>
        <v>0</v>
      </c>
      <c r="O993">
        <f>IF($E993=0,0,SUMPRODUCT($AI$9:$DF$9,'Staff Daily sales'!$G978:$CD978))</f>
        <v>0</v>
      </c>
      <c r="P993">
        <f>IF($E993=0,0,SUMPRODUCT($AI$10:$DF$10,'Staff Daily sales'!$G978:$CD978))</f>
        <v>0</v>
      </c>
      <c r="Q993">
        <f>IF($E993=0,0,SUMPRODUCT($AI$11:$DF$11,'Staff Daily sales'!$G978:$CD978))</f>
        <v>0</v>
      </c>
      <c r="R993">
        <f>IF($E993=0,0,SUMPRODUCT($AI$12:$DF$12,'Staff Daily sales'!$G978:$CD978))</f>
        <v>0</v>
      </c>
      <c r="S993">
        <f>IF($E993=0,0,SUMPRODUCT($AI$13:$DF$13,'Staff Daily sales'!$G978:$CD978))</f>
        <v>0</v>
      </c>
      <c r="T993">
        <f>IF($E993=0,0,SUMPRODUCT($AI$14:$DF$14,'Staff Daily sales'!$G978:$CD978))</f>
        <v>0</v>
      </c>
      <c r="U993">
        <f>IF($E993=0,0,SUMPRODUCT($AI$15:$DF$15,'Staff Daily sales'!$G978:$CD978))</f>
        <v>0</v>
      </c>
      <c r="V993">
        <f>IF($E993=0,0,SUMPRODUCT($AI$16:$DF$16,'Staff Daily sales'!$G978:$CD978))</f>
        <v>0</v>
      </c>
      <c r="W993">
        <f t="shared" si="271"/>
        <v>0</v>
      </c>
      <c r="X993">
        <f t="shared" si="272"/>
        <v>0</v>
      </c>
      <c r="Y993">
        <f t="shared" si="273"/>
        <v>0</v>
      </c>
      <c r="Z993">
        <f t="shared" si="274"/>
        <v>0</v>
      </c>
      <c r="AA993">
        <f t="shared" si="275"/>
        <v>0</v>
      </c>
      <c r="AB993">
        <f>--AND($E993=1,OR('Staff Weekly Trend'!$B$3="All",$DH993='Staff Weekly Trend'!$B$3),OR('Staff Weekly Trend'!$B$4="All",$D993='Staff Weekly Trend'!$B$4),OR('Staff Weekly Trend'!$B$5="All",$A993='Staff Weekly Trend'!$B$5))</f>
        <v>0</v>
      </c>
      <c r="AC993" t="str">
        <f t="shared" si="276"/>
        <v/>
      </c>
      <c r="AI993">
        <f t="shared" si="277"/>
        <v>0</v>
      </c>
      <c r="AJ993">
        <f t="shared" si="278"/>
        <v>0</v>
      </c>
      <c r="AK993">
        <f t="shared" si="279"/>
        <v>0</v>
      </c>
      <c r="AL993">
        <f t="shared" si="280"/>
        <v>0</v>
      </c>
      <c r="AM993">
        <f t="shared" si="281"/>
        <v>0</v>
      </c>
      <c r="DH993" t="str" cm="1">
        <f t="array" ref="DH993">IF($A993="","",_xlfn.LET(_xlpm.c,IFERROR(_xlfn.XLOOKUP($A993,TRIM('Sales and count'!$A$4:$A$300&amp;""),TRIM('Sales and count'!$B$4:$B$300&amp;"")),""),IF(OR(_xlpm.c="",_xlpm.c="0",LEFT(_xlpm.c,1)="#"),"Not set",_xlpm.c)))</f>
        <v/>
      </c>
    </row>
    <row r="994" spans="1:112" x14ac:dyDescent="0.25">
      <c r="A994" t="str">
        <f>IF('Staff Daily sales'!$B979="","",TRIM('Staff Daily sales'!$B979&amp;""))</f>
        <v/>
      </c>
      <c r="B994" t="str">
        <f>IF('Staff Daily sales'!$D979="","",TRIM('Staff Daily sales'!$D979&amp;""))</f>
        <v/>
      </c>
      <c r="C994" t="str">
        <f>IFERROR(TRIM('Staff Daily sales'!$E979&amp;""),"")</f>
        <v/>
      </c>
      <c r="D994" t="str">
        <f>IFERROR(IF(TRIM('Staff Daily sales'!$F979&amp;"")="","Unassigned",TRIM('Staff Daily sales'!$F979&amp;"")),"Unassigned")</f>
        <v>Unassigned</v>
      </c>
      <c r="E994">
        <f t="shared" si="266"/>
        <v>0</v>
      </c>
      <c r="F994">
        <f>IF($E994=0,0,SUMPRODUCT($AI$5:$DF$5,'Staff Daily sales'!$G979:$CD979))</f>
        <v>0</v>
      </c>
      <c r="G994">
        <f>IF($E994=0,0,SUMPRODUCT($AI$6:$DF$6,'Staff Daily sales'!$G979:$CD979))</f>
        <v>0</v>
      </c>
      <c r="H994">
        <f t="shared" si="267"/>
        <v>0</v>
      </c>
      <c r="I994">
        <f t="shared" si="268"/>
        <v>0</v>
      </c>
      <c r="J994">
        <f t="shared" si="269"/>
        <v>0</v>
      </c>
      <c r="K994">
        <f t="shared" si="270"/>
        <v>0</v>
      </c>
      <c r="L994">
        <f>--AND($E994=1,OR('Staff Dashboard'!$B$6="All",$DH994='Staff Dashboard'!$B$6),OR('Staff Dashboard'!$B$7="All",$D994='Staff Dashboard'!$B$7),OR('Staff Dashboard'!$B$8="All",$A994='Staff Dashboard'!$B$8))</f>
        <v>0</v>
      </c>
      <c r="M994">
        <f>IF($E994=0,0,SUMPRODUCT($AI$7:$DF$7,'Staff Daily sales'!$G979:$CD979))</f>
        <v>0</v>
      </c>
      <c r="N994">
        <f>IF($E994=0,0,SUMPRODUCT($AI$8:$DF$8,'Staff Daily sales'!$G979:$CD979))</f>
        <v>0</v>
      </c>
      <c r="O994">
        <f>IF($E994=0,0,SUMPRODUCT($AI$9:$DF$9,'Staff Daily sales'!$G979:$CD979))</f>
        <v>0</v>
      </c>
      <c r="P994">
        <f>IF($E994=0,0,SUMPRODUCT($AI$10:$DF$10,'Staff Daily sales'!$G979:$CD979))</f>
        <v>0</v>
      </c>
      <c r="Q994">
        <f>IF($E994=0,0,SUMPRODUCT($AI$11:$DF$11,'Staff Daily sales'!$G979:$CD979))</f>
        <v>0</v>
      </c>
      <c r="R994">
        <f>IF($E994=0,0,SUMPRODUCT($AI$12:$DF$12,'Staff Daily sales'!$G979:$CD979))</f>
        <v>0</v>
      </c>
      <c r="S994">
        <f>IF($E994=0,0,SUMPRODUCT($AI$13:$DF$13,'Staff Daily sales'!$G979:$CD979))</f>
        <v>0</v>
      </c>
      <c r="T994">
        <f>IF($E994=0,0,SUMPRODUCT($AI$14:$DF$14,'Staff Daily sales'!$G979:$CD979))</f>
        <v>0</v>
      </c>
      <c r="U994">
        <f>IF($E994=0,0,SUMPRODUCT($AI$15:$DF$15,'Staff Daily sales'!$G979:$CD979))</f>
        <v>0</v>
      </c>
      <c r="V994">
        <f>IF($E994=0,0,SUMPRODUCT($AI$16:$DF$16,'Staff Daily sales'!$G979:$CD979))</f>
        <v>0</v>
      </c>
      <c r="W994">
        <f t="shared" si="271"/>
        <v>0</v>
      </c>
      <c r="X994">
        <f t="shared" si="272"/>
        <v>0</v>
      </c>
      <c r="Y994">
        <f t="shared" si="273"/>
        <v>0</v>
      </c>
      <c r="Z994">
        <f t="shared" si="274"/>
        <v>0</v>
      </c>
      <c r="AA994">
        <f t="shared" si="275"/>
        <v>0</v>
      </c>
      <c r="AB994">
        <f>--AND($E994=1,OR('Staff Weekly Trend'!$B$3="All",$DH994='Staff Weekly Trend'!$B$3),OR('Staff Weekly Trend'!$B$4="All",$D994='Staff Weekly Trend'!$B$4),OR('Staff Weekly Trend'!$B$5="All",$A994='Staff Weekly Trend'!$B$5))</f>
        <v>0</v>
      </c>
      <c r="AC994" t="str">
        <f t="shared" si="276"/>
        <v/>
      </c>
      <c r="AI994">
        <f t="shared" si="277"/>
        <v>0</v>
      </c>
      <c r="AJ994">
        <f t="shared" si="278"/>
        <v>0</v>
      </c>
      <c r="AK994">
        <f t="shared" si="279"/>
        <v>0</v>
      </c>
      <c r="AL994">
        <f t="shared" si="280"/>
        <v>0</v>
      </c>
      <c r="AM994">
        <f t="shared" si="281"/>
        <v>0</v>
      </c>
      <c r="DH994" t="str" cm="1">
        <f t="array" ref="DH994">IF($A994="","",_xlfn.LET(_xlpm.c,IFERROR(_xlfn.XLOOKUP($A994,TRIM('Sales and count'!$A$4:$A$300&amp;""),TRIM('Sales and count'!$B$4:$B$300&amp;"")),""),IF(OR(_xlpm.c="",_xlpm.c="0",LEFT(_xlpm.c,1)="#"),"Not set",_xlpm.c)))</f>
        <v/>
      </c>
    </row>
    <row r="995" spans="1:112" x14ac:dyDescent="0.25">
      <c r="A995" t="str">
        <f>IF('Staff Daily sales'!$B980="","",TRIM('Staff Daily sales'!$B980&amp;""))</f>
        <v/>
      </c>
      <c r="B995" t="str">
        <f>IF('Staff Daily sales'!$D980="","",TRIM('Staff Daily sales'!$D980&amp;""))</f>
        <v/>
      </c>
      <c r="C995" t="str">
        <f>IFERROR(TRIM('Staff Daily sales'!$E980&amp;""),"")</f>
        <v/>
      </c>
      <c r="D995" t="str">
        <f>IFERROR(IF(TRIM('Staff Daily sales'!$F980&amp;"")="","Unassigned",TRIM('Staff Daily sales'!$F980&amp;"")),"Unassigned")</f>
        <v>Unassigned</v>
      </c>
      <c r="E995">
        <f t="shared" si="266"/>
        <v>0</v>
      </c>
      <c r="F995">
        <f>IF($E995=0,0,SUMPRODUCT($AI$5:$DF$5,'Staff Daily sales'!$G980:$CD980))</f>
        <v>0</v>
      </c>
      <c r="G995">
        <f>IF($E995=0,0,SUMPRODUCT($AI$6:$DF$6,'Staff Daily sales'!$G980:$CD980))</f>
        <v>0</v>
      </c>
      <c r="H995">
        <f t="shared" si="267"/>
        <v>0</v>
      </c>
      <c r="I995">
        <f t="shared" si="268"/>
        <v>0</v>
      </c>
      <c r="J995">
        <f t="shared" si="269"/>
        <v>0</v>
      </c>
      <c r="K995">
        <f t="shared" si="270"/>
        <v>0</v>
      </c>
      <c r="L995">
        <f>--AND($E995=1,OR('Staff Dashboard'!$B$6="All",$DH995='Staff Dashboard'!$B$6),OR('Staff Dashboard'!$B$7="All",$D995='Staff Dashboard'!$B$7),OR('Staff Dashboard'!$B$8="All",$A995='Staff Dashboard'!$B$8))</f>
        <v>0</v>
      </c>
      <c r="M995">
        <f>IF($E995=0,0,SUMPRODUCT($AI$7:$DF$7,'Staff Daily sales'!$G980:$CD980))</f>
        <v>0</v>
      </c>
      <c r="N995">
        <f>IF($E995=0,0,SUMPRODUCT($AI$8:$DF$8,'Staff Daily sales'!$G980:$CD980))</f>
        <v>0</v>
      </c>
      <c r="O995">
        <f>IF($E995=0,0,SUMPRODUCT($AI$9:$DF$9,'Staff Daily sales'!$G980:$CD980))</f>
        <v>0</v>
      </c>
      <c r="P995">
        <f>IF($E995=0,0,SUMPRODUCT($AI$10:$DF$10,'Staff Daily sales'!$G980:$CD980))</f>
        <v>0</v>
      </c>
      <c r="Q995">
        <f>IF($E995=0,0,SUMPRODUCT($AI$11:$DF$11,'Staff Daily sales'!$G980:$CD980))</f>
        <v>0</v>
      </c>
      <c r="R995">
        <f>IF($E995=0,0,SUMPRODUCT($AI$12:$DF$12,'Staff Daily sales'!$G980:$CD980))</f>
        <v>0</v>
      </c>
      <c r="S995">
        <f>IF($E995=0,0,SUMPRODUCT($AI$13:$DF$13,'Staff Daily sales'!$G980:$CD980))</f>
        <v>0</v>
      </c>
      <c r="T995">
        <f>IF($E995=0,0,SUMPRODUCT($AI$14:$DF$14,'Staff Daily sales'!$G980:$CD980))</f>
        <v>0</v>
      </c>
      <c r="U995">
        <f>IF($E995=0,0,SUMPRODUCT($AI$15:$DF$15,'Staff Daily sales'!$G980:$CD980))</f>
        <v>0</v>
      </c>
      <c r="V995">
        <f>IF($E995=0,0,SUMPRODUCT($AI$16:$DF$16,'Staff Daily sales'!$G980:$CD980))</f>
        <v>0</v>
      </c>
      <c r="W995">
        <f t="shared" si="271"/>
        <v>0</v>
      </c>
      <c r="X995">
        <f t="shared" si="272"/>
        <v>0</v>
      </c>
      <c r="Y995">
        <f t="shared" si="273"/>
        <v>0</v>
      </c>
      <c r="Z995">
        <f t="shared" si="274"/>
        <v>0</v>
      </c>
      <c r="AA995">
        <f t="shared" si="275"/>
        <v>0</v>
      </c>
      <c r="AB995">
        <f>--AND($E995=1,OR('Staff Weekly Trend'!$B$3="All",$DH995='Staff Weekly Trend'!$B$3),OR('Staff Weekly Trend'!$B$4="All",$D995='Staff Weekly Trend'!$B$4),OR('Staff Weekly Trend'!$B$5="All",$A995='Staff Weekly Trend'!$B$5))</f>
        <v>0</v>
      </c>
      <c r="AC995" t="str">
        <f t="shared" si="276"/>
        <v/>
      </c>
      <c r="AI995">
        <f t="shared" si="277"/>
        <v>0</v>
      </c>
      <c r="AJ995">
        <f t="shared" si="278"/>
        <v>0</v>
      </c>
      <c r="AK995">
        <f t="shared" si="279"/>
        <v>0</v>
      </c>
      <c r="AL995">
        <f t="shared" si="280"/>
        <v>0</v>
      </c>
      <c r="AM995">
        <f t="shared" si="281"/>
        <v>0</v>
      </c>
      <c r="DH995" t="str" cm="1">
        <f t="array" ref="DH995">IF($A995="","",_xlfn.LET(_xlpm.c,IFERROR(_xlfn.XLOOKUP($A995,TRIM('Sales and count'!$A$4:$A$300&amp;""),TRIM('Sales and count'!$B$4:$B$300&amp;"")),""),IF(OR(_xlpm.c="",_xlpm.c="0",LEFT(_xlpm.c,1)="#"),"Not set",_xlpm.c)))</f>
        <v/>
      </c>
    </row>
    <row r="996" spans="1:112" x14ac:dyDescent="0.25">
      <c r="A996" t="str">
        <f>IF('Staff Daily sales'!$B981="","",TRIM('Staff Daily sales'!$B981&amp;""))</f>
        <v/>
      </c>
      <c r="B996" t="str">
        <f>IF('Staff Daily sales'!$D981="","",TRIM('Staff Daily sales'!$D981&amp;""))</f>
        <v/>
      </c>
      <c r="C996" t="str">
        <f>IFERROR(TRIM('Staff Daily sales'!$E981&amp;""),"")</f>
        <v/>
      </c>
      <c r="D996" t="str">
        <f>IFERROR(IF(TRIM('Staff Daily sales'!$F981&amp;"")="","Unassigned",TRIM('Staff Daily sales'!$F981&amp;"")),"Unassigned")</f>
        <v>Unassigned</v>
      </c>
      <c r="E996">
        <f t="shared" si="266"/>
        <v>0</v>
      </c>
      <c r="F996">
        <f>IF($E996=0,0,SUMPRODUCT($AI$5:$DF$5,'Staff Daily sales'!$G981:$CD981))</f>
        <v>0</v>
      </c>
      <c r="G996">
        <f>IF($E996=0,0,SUMPRODUCT($AI$6:$DF$6,'Staff Daily sales'!$G981:$CD981))</f>
        <v>0</v>
      </c>
      <c r="H996">
        <f t="shared" si="267"/>
        <v>0</v>
      </c>
      <c r="I996">
        <f t="shared" si="268"/>
        <v>0</v>
      </c>
      <c r="J996">
        <f t="shared" si="269"/>
        <v>0</v>
      </c>
      <c r="K996">
        <f t="shared" si="270"/>
        <v>0</v>
      </c>
      <c r="L996">
        <f>--AND($E996=1,OR('Staff Dashboard'!$B$6="All",$DH996='Staff Dashboard'!$B$6),OR('Staff Dashboard'!$B$7="All",$D996='Staff Dashboard'!$B$7),OR('Staff Dashboard'!$B$8="All",$A996='Staff Dashboard'!$B$8))</f>
        <v>0</v>
      </c>
      <c r="M996">
        <f>IF($E996=0,0,SUMPRODUCT($AI$7:$DF$7,'Staff Daily sales'!$G981:$CD981))</f>
        <v>0</v>
      </c>
      <c r="N996">
        <f>IF($E996=0,0,SUMPRODUCT($AI$8:$DF$8,'Staff Daily sales'!$G981:$CD981))</f>
        <v>0</v>
      </c>
      <c r="O996">
        <f>IF($E996=0,0,SUMPRODUCT($AI$9:$DF$9,'Staff Daily sales'!$G981:$CD981))</f>
        <v>0</v>
      </c>
      <c r="P996">
        <f>IF($E996=0,0,SUMPRODUCT($AI$10:$DF$10,'Staff Daily sales'!$G981:$CD981))</f>
        <v>0</v>
      </c>
      <c r="Q996">
        <f>IF($E996=0,0,SUMPRODUCT($AI$11:$DF$11,'Staff Daily sales'!$G981:$CD981))</f>
        <v>0</v>
      </c>
      <c r="R996">
        <f>IF($E996=0,0,SUMPRODUCT($AI$12:$DF$12,'Staff Daily sales'!$G981:$CD981))</f>
        <v>0</v>
      </c>
      <c r="S996">
        <f>IF($E996=0,0,SUMPRODUCT($AI$13:$DF$13,'Staff Daily sales'!$G981:$CD981))</f>
        <v>0</v>
      </c>
      <c r="T996">
        <f>IF($E996=0,0,SUMPRODUCT($AI$14:$DF$14,'Staff Daily sales'!$G981:$CD981))</f>
        <v>0</v>
      </c>
      <c r="U996">
        <f>IF($E996=0,0,SUMPRODUCT($AI$15:$DF$15,'Staff Daily sales'!$G981:$CD981))</f>
        <v>0</v>
      </c>
      <c r="V996">
        <f>IF($E996=0,0,SUMPRODUCT($AI$16:$DF$16,'Staff Daily sales'!$G981:$CD981))</f>
        <v>0</v>
      </c>
      <c r="W996">
        <f t="shared" si="271"/>
        <v>0</v>
      </c>
      <c r="X996">
        <f t="shared" si="272"/>
        <v>0</v>
      </c>
      <c r="Y996">
        <f t="shared" si="273"/>
        <v>0</v>
      </c>
      <c r="Z996">
        <f t="shared" si="274"/>
        <v>0</v>
      </c>
      <c r="AA996">
        <f t="shared" si="275"/>
        <v>0</v>
      </c>
      <c r="AB996">
        <f>--AND($E996=1,OR('Staff Weekly Trend'!$B$3="All",$DH996='Staff Weekly Trend'!$B$3),OR('Staff Weekly Trend'!$B$4="All",$D996='Staff Weekly Trend'!$B$4),OR('Staff Weekly Trend'!$B$5="All",$A996='Staff Weekly Trend'!$B$5))</f>
        <v>0</v>
      </c>
      <c r="AC996" t="str">
        <f t="shared" si="276"/>
        <v/>
      </c>
      <c r="AI996">
        <f t="shared" si="277"/>
        <v>0</v>
      </c>
      <c r="AJ996">
        <f t="shared" si="278"/>
        <v>0</v>
      </c>
      <c r="AK996">
        <f t="shared" si="279"/>
        <v>0</v>
      </c>
      <c r="AL996">
        <f t="shared" si="280"/>
        <v>0</v>
      </c>
      <c r="AM996">
        <f t="shared" si="281"/>
        <v>0</v>
      </c>
      <c r="DH996" t="str" cm="1">
        <f t="array" ref="DH996">IF($A996="","",_xlfn.LET(_xlpm.c,IFERROR(_xlfn.XLOOKUP($A996,TRIM('Sales and count'!$A$4:$A$300&amp;""),TRIM('Sales and count'!$B$4:$B$300&amp;"")),""),IF(OR(_xlpm.c="",_xlpm.c="0",LEFT(_xlpm.c,1)="#"),"Not set",_xlpm.c)))</f>
        <v/>
      </c>
    </row>
    <row r="997" spans="1:112" x14ac:dyDescent="0.25">
      <c r="A997" t="str">
        <f>IF('Staff Daily sales'!$B982="","",TRIM('Staff Daily sales'!$B982&amp;""))</f>
        <v/>
      </c>
      <c r="B997" t="str">
        <f>IF('Staff Daily sales'!$D982="","",TRIM('Staff Daily sales'!$D982&amp;""))</f>
        <v/>
      </c>
      <c r="C997" t="str">
        <f>IFERROR(TRIM('Staff Daily sales'!$E982&amp;""),"")</f>
        <v/>
      </c>
      <c r="D997" t="str">
        <f>IFERROR(IF(TRIM('Staff Daily sales'!$F982&amp;"")="","Unassigned",TRIM('Staff Daily sales'!$F982&amp;"")),"Unassigned")</f>
        <v>Unassigned</v>
      </c>
      <c r="E997">
        <f t="shared" si="266"/>
        <v>0</v>
      </c>
      <c r="F997">
        <f>IF($E997=0,0,SUMPRODUCT($AI$5:$DF$5,'Staff Daily sales'!$G982:$CD982))</f>
        <v>0</v>
      </c>
      <c r="G997">
        <f>IF($E997=0,0,SUMPRODUCT($AI$6:$DF$6,'Staff Daily sales'!$G982:$CD982))</f>
        <v>0</v>
      </c>
      <c r="H997">
        <f t="shared" si="267"/>
        <v>0</v>
      </c>
      <c r="I997">
        <f t="shared" si="268"/>
        <v>0</v>
      </c>
      <c r="J997">
        <f t="shared" si="269"/>
        <v>0</v>
      </c>
      <c r="K997">
        <f t="shared" si="270"/>
        <v>0</v>
      </c>
      <c r="L997">
        <f>--AND($E997=1,OR('Staff Dashboard'!$B$6="All",$DH997='Staff Dashboard'!$B$6),OR('Staff Dashboard'!$B$7="All",$D997='Staff Dashboard'!$B$7),OR('Staff Dashboard'!$B$8="All",$A997='Staff Dashboard'!$B$8))</f>
        <v>0</v>
      </c>
      <c r="M997">
        <f>IF($E997=0,0,SUMPRODUCT($AI$7:$DF$7,'Staff Daily sales'!$G982:$CD982))</f>
        <v>0</v>
      </c>
      <c r="N997">
        <f>IF($E997=0,0,SUMPRODUCT($AI$8:$DF$8,'Staff Daily sales'!$G982:$CD982))</f>
        <v>0</v>
      </c>
      <c r="O997">
        <f>IF($E997=0,0,SUMPRODUCT($AI$9:$DF$9,'Staff Daily sales'!$G982:$CD982))</f>
        <v>0</v>
      </c>
      <c r="P997">
        <f>IF($E997=0,0,SUMPRODUCT($AI$10:$DF$10,'Staff Daily sales'!$G982:$CD982))</f>
        <v>0</v>
      </c>
      <c r="Q997">
        <f>IF($E997=0,0,SUMPRODUCT($AI$11:$DF$11,'Staff Daily sales'!$G982:$CD982))</f>
        <v>0</v>
      </c>
      <c r="R997">
        <f>IF($E997=0,0,SUMPRODUCT($AI$12:$DF$12,'Staff Daily sales'!$G982:$CD982))</f>
        <v>0</v>
      </c>
      <c r="S997">
        <f>IF($E997=0,0,SUMPRODUCT($AI$13:$DF$13,'Staff Daily sales'!$G982:$CD982))</f>
        <v>0</v>
      </c>
      <c r="T997">
        <f>IF($E997=0,0,SUMPRODUCT($AI$14:$DF$14,'Staff Daily sales'!$G982:$CD982))</f>
        <v>0</v>
      </c>
      <c r="U997">
        <f>IF($E997=0,0,SUMPRODUCT($AI$15:$DF$15,'Staff Daily sales'!$G982:$CD982))</f>
        <v>0</v>
      </c>
      <c r="V997">
        <f>IF($E997=0,0,SUMPRODUCT($AI$16:$DF$16,'Staff Daily sales'!$G982:$CD982))</f>
        <v>0</v>
      </c>
      <c r="W997">
        <f t="shared" si="271"/>
        <v>0</v>
      </c>
      <c r="X997">
        <f t="shared" si="272"/>
        <v>0</v>
      </c>
      <c r="Y997">
        <f t="shared" si="273"/>
        <v>0</v>
      </c>
      <c r="Z997">
        <f t="shared" si="274"/>
        <v>0</v>
      </c>
      <c r="AA997">
        <f t="shared" si="275"/>
        <v>0</v>
      </c>
      <c r="AB997">
        <f>--AND($E997=1,OR('Staff Weekly Trend'!$B$3="All",$DH997='Staff Weekly Trend'!$B$3),OR('Staff Weekly Trend'!$B$4="All",$D997='Staff Weekly Trend'!$B$4),OR('Staff Weekly Trend'!$B$5="All",$A997='Staff Weekly Trend'!$B$5))</f>
        <v>0</v>
      </c>
      <c r="AC997" t="str">
        <f t="shared" si="276"/>
        <v/>
      </c>
      <c r="AI997">
        <f t="shared" si="277"/>
        <v>0</v>
      </c>
      <c r="AJ997">
        <f t="shared" si="278"/>
        <v>0</v>
      </c>
      <c r="AK997">
        <f t="shared" si="279"/>
        <v>0</v>
      </c>
      <c r="AL997">
        <f t="shared" si="280"/>
        <v>0</v>
      </c>
      <c r="AM997">
        <f t="shared" si="281"/>
        <v>0</v>
      </c>
      <c r="DH997" t="str" cm="1">
        <f t="array" ref="DH997">IF($A997="","",_xlfn.LET(_xlpm.c,IFERROR(_xlfn.XLOOKUP($A997,TRIM('Sales and count'!$A$4:$A$300&amp;""),TRIM('Sales and count'!$B$4:$B$300&amp;"")),""),IF(OR(_xlpm.c="",_xlpm.c="0",LEFT(_xlpm.c,1)="#"),"Not set",_xlpm.c)))</f>
        <v/>
      </c>
    </row>
    <row r="998" spans="1:112" x14ac:dyDescent="0.25">
      <c r="A998" t="str">
        <f>IF('Staff Daily sales'!$B983="","",TRIM('Staff Daily sales'!$B983&amp;""))</f>
        <v/>
      </c>
      <c r="B998" t="str">
        <f>IF('Staff Daily sales'!$D983="","",TRIM('Staff Daily sales'!$D983&amp;""))</f>
        <v/>
      </c>
      <c r="C998" t="str">
        <f>IFERROR(TRIM('Staff Daily sales'!$E983&amp;""),"")</f>
        <v/>
      </c>
      <c r="D998" t="str">
        <f>IFERROR(IF(TRIM('Staff Daily sales'!$F983&amp;"")="","Unassigned",TRIM('Staff Daily sales'!$F983&amp;"")),"Unassigned")</f>
        <v>Unassigned</v>
      </c>
      <c r="E998">
        <f t="shared" si="266"/>
        <v>0</v>
      </c>
      <c r="F998">
        <f>IF($E998=0,0,SUMPRODUCT($AI$5:$DF$5,'Staff Daily sales'!$G983:$CD983))</f>
        <v>0</v>
      </c>
      <c r="G998">
        <f>IF($E998=0,0,SUMPRODUCT($AI$6:$DF$6,'Staff Daily sales'!$G983:$CD983))</f>
        <v>0</v>
      </c>
      <c r="H998">
        <f t="shared" si="267"/>
        <v>0</v>
      </c>
      <c r="I998">
        <f t="shared" si="268"/>
        <v>0</v>
      </c>
      <c r="J998">
        <f t="shared" si="269"/>
        <v>0</v>
      </c>
      <c r="K998">
        <f t="shared" si="270"/>
        <v>0</v>
      </c>
      <c r="L998">
        <f>--AND($E998=1,OR('Staff Dashboard'!$B$6="All",$DH998='Staff Dashboard'!$B$6),OR('Staff Dashboard'!$B$7="All",$D998='Staff Dashboard'!$B$7),OR('Staff Dashboard'!$B$8="All",$A998='Staff Dashboard'!$B$8))</f>
        <v>0</v>
      </c>
      <c r="M998">
        <f>IF($E998=0,0,SUMPRODUCT($AI$7:$DF$7,'Staff Daily sales'!$G983:$CD983))</f>
        <v>0</v>
      </c>
      <c r="N998">
        <f>IF($E998=0,0,SUMPRODUCT($AI$8:$DF$8,'Staff Daily sales'!$G983:$CD983))</f>
        <v>0</v>
      </c>
      <c r="O998">
        <f>IF($E998=0,0,SUMPRODUCT($AI$9:$DF$9,'Staff Daily sales'!$G983:$CD983))</f>
        <v>0</v>
      </c>
      <c r="P998">
        <f>IF($E998=0,0,SUMPRODUCT($AI$10:$DF$10,'Staff Daily sales'!$G983:$CD983))</f>
        <v>0</v>
      </c>
      <c r="Q998">
        <f>IF($E998=0,0,SUMPRODUCT($AI$11:$DF$11,'Staff Daily sales'!$G983:$CD983))</f>
        <v>0</v>
      </c>
      <c r="R998">
        <f>IF($E998=0,0,SUMPRODUCT($AI$12:$DF$12,'Staff Daily sales'!$G983:$CD983))</f>
        <v>0</v>
      </c>
      <c r="S998">
        <f>IF($E998=0,0,SUMPRODUCT($AI$13:$DF$13,'Staff Daily sales'!$G983:$CD983))</f>
        <v>0</v>
      </c>
      <c r="T998">
        <f>IF($E998=0,0,SUMPRODUCT($AI$14:$DF$14,'Staff Daily sales'!$G983:$CD983))</f>
        <v>0</v>
      </c>
      <c r="U998">
        <f>IF($E998=0,0,SUMPRODUCT($AI$15:$DF$15,'Staff Daily sales'!$G983:$CD983))</f>
        <v>0</v>
      </c>
      <c r="V998">
        <f>IF($E998=0,0,SUMPRODUCT($AI$16:$DF$16,'Staff Daily sales'!$G983:$CD983))</f>
        <v>0</v>
      </c>
      <c r="W998">
        <f t="shared" si="271"/>
        <v>0</v>
      </c>
      <c r="X998">
        <f t="shared" si="272"/>
        <v>0</v>
      </c>
      <c r="Y998">
        <f t="shared" si="273"/>
        <v>0</v>
      </c>
      <c r="Z998">
        <f t="shared" si="274"/>
        <v>0</v>
      </c>
      <c r="AA998">
        <f t="shared" si="275"/>
        <v>0</v>
      </c>
      <c r="AB998">
        <f>--AND($E998=1,OR('Staff Weekly Trend'!$B$3="All",$DH998='Staff Weekly Trend'!$B$3),OR('Staff Weekly Trend'!$B$4="All",$D998='Staff Weekly Trend'!$B$4),OR('Staff Weekly Trend'!$B$5="All",$A998='Staff Weekly Trend'!$B$5))</f>
        <v>0</v>
      </c>
      <c r="AC998" t="str">
        <f t="shared" si="276"/>
        <v/>
      </c>
      <c r="AI998">
        <f t="shared" si="277"/>
        <v>0</v>
      </c>
      <c r="AJ998">
        <f t="shared" si="278"/>
        <v>0</v>
      </c>
      <c r="AK998">
        <f t="shared" si="279"/>
        <v>0</v>
      </c>
      <c r="AL998">
        <f t="shared" si="280"/>
        <v>0</v>
      </c>
      <c r="AM998">
        <f t="shared" si="281"/>
        <v>0</v>
      </c>
      <c r="DH998" t="str" cm="1">
        <f t="array" ref="DH998">IF($A998="","",_xlfn.LET(_xlpm.c,IFERROR(_xlfn.XLOOKUP($A998,TRIM('Sales and count'!$A$4:$A$300&amp;""),TRIM('Sales and count'!$B$4:$B$300&amp;"")),""),IF(OR(_xlpm.c="",_xlpm.c="0",LEFT(_xlpm.c,1)="#"),"Not set",_xlpm.c)))</f>
        <v/>
      </c>
    </row>
    <row r="999" spans="1:112" x14ac:dyDescent="0.25">
      <c r="A999" t="str">
        <f>IF('Staff Daily sales'!$B984="","",TRIM('Staff Daily sales'!$B984&amp;""))</f>
        <v/>
      </c>
      <c r="B999" t="str">
        <f>IF('Staff Daily sales'!$D984="","",TRIM('Staff Daily sales'!$D984&amp;""))</f>
        <v/>
      </c>
      <c r="C999" t="str">
        <f>IFERROR(TRIM('Staff Daily sales'!$E984&amp;""),"")</f>
        <v/>
      </c>
      <c r="D999" t="str">
        <f>IFERROR(IF(TRIM('Staff Daily sales'!$F984&amp;"")="","Unassigned",TRIM('Staff Daily sales'!$F984&amp;"")),"Unassigned")</f>
        <v>Unassigned</v>
      </c>
      <c r="E999">
        <f t="shared" si="266"/>
        <v>0</v>
      </c>
      <c r="F999">
        <f>IF($E999=0,0,SUMPRODUCT($AI$5:$DF$5,'Staff Daily sales'!$G984:$CD984))</f>
        <v>0</v>
      </c>
      <c r="G999">
        <f>IF($E999=0,0,SUMPRODUCT($AI$6:$DF$6,'Staff Daily sales'!$G984:$CD984))</f>
        <v>0</v>
      </c>
      <c r="H999">
        <f t="shared" si="267"/>
        <v>0</v>
      </c>
      <c r="I999">
        <f t="shared" si="268"/>
        <v>0</v>
      </c>
      <c r="J999">
        <f t="shared" si="269"/>
        <v>0</v>
      </c>
      <c r="K999">
        <f t="shared" si="270"/>
        <v>0</v>
      </c>
      <c r="L999">
        <f>--AND($E999=1,OR('Staff Dashboard'!$B$6="All",$DH999='Staff Dashboard'!$B$6),OR('Staff Dashboard'!$B$7="All",$D999='Staff Dashboard'!$B$7),OR('Staff Dashboard'!$B$8="All",$A999='Staff Dashboard'!$B$8))</f>
        <v>0</v>
      </c>
      <c r="M999">
        <f>IF($E999=0,0,SUMPRODUCT($AI$7:$DF$7,'Staff Daily sales'!$G984:$CD984))</f>
        <v>0</v>
      </c>
      <c r="N999">
        <f>IF($E999=0,0,SUMPRODUCT($AI$8:$DF$8,'Staff Daily sales'!$G984:$CD984))</f>
        <v>0</v>
      </c>
      <c r="O999">
        <f>IF($E999=0,0,SUMPRODUCT($AI$9:$DF$9,'Staff Daily sales'!$G984:$CD984))</f>
        <v>0</v>
      </c>
      <c r="P999">
        <f>IF($E999=0,0,SUMPRODUCT($AI$10:$DF$10,'Staff Daily sales'!$G984:$CD984))</f>
        <v>0</v>
      </c>
      <c r="Q999">
        <f>IF($E999=0,0,SUMPRODUCT($AI$11:$DF$11,'Staff Daily sales'!$G984:$CD984))</f>
        <v>0</v>
      </c>
      <c r="R999">
        <f>IF($E999=0,0,SUMPRODUCT($AI$12:$DF$12,'Staff Daily sales'!$G984:$CD984))</f>
        <v>0</v>
      </c>
      <c r="S999">
        <f>IF($E999=0,0,SUMPRODUCT($AI$13:$DF$13,'Staff Daily sales'!$G984:$CD984))</f>
        <v>0</v>
      </c>
      <c r="T999">
        <f>IF($E999=0,0,SUMPRODUCT($AI$14:$DF$14,'Staff Daily sales'!$G984:$CD984))</f>
        <v>0</v>
      </c>
      <c r="U999">
        <f>IF($E999=0,0,SUMPRODUCT($AI$15:$DF$15,'Staff Daily sales'!$G984:$CD984))</f>
        <v>0</v>
      </c>
      <c r="V999">
        <f>IF($E999=0,0,SUMPRODUCT($AI$16:$DF$16,'Staff Daily sales'!$G984:$CD984))</f>
        <v>0</v>
      </c>
      <c r="W999">
        <f t="shared" si="271"/>
        <v>0</v>
      </c>
      <c r="X999">
        <f t="shared" si="272"/>
        <v>0</v>
      </c>
      <c r="Y999">
        <f t="shared" si="273"/>
        <v>0</v>
      </c>
      <c r="Z999">
        <f t="shared" si="274"/>
        <v>0</v>
      </c>
      <c r="AA999">
        <f t="shared" si="275"/>
        <v>0</v>
      </c>
      <c r="AB999">
        <f>--AND($E999=1,OR('Staff Weekly Trend'!$B$3="All",$DH999='Staff Weekly Trend'!$B$3),OR('Staff Weekly Trend'!$B$4="All",$D999='Staff Weekly Trend'!$B$4),OR('Staff Weekly Trend'!$B$5="All",$A999='Staff Weekly Trend'!$B$5))</f>
        <v>0</v>
      </c>
      <c r="AC999" t="str">
        <f t="shared" si="276"/>
        <v/>
      </c>
      <c r="AI999">
        <f t="shared" si="277"/>
        <v>0</v>
      </c>
      <c r="AJ999">
        <f t="shared" si="278"/>
        <v>0</v>
      </c>
      <c r="AK999">
        <f t="shared" si="279"/>
        <v>0</v>
      </c>
      <c r="AL999">
        <f t="shared" si="280"/>
        <v>0</v>
      </c>
      <c r="AM999">
        <f t="shared" si="281"/>
        <v>0</v>
      </c>
      <c r="DH999" t="str" cm="1">
        <f t="array" ref="DH999">IF($A999="","",_xlfn.LET(_xlpm.c,IFERROR(_xlfn.XLOOKUP($A999,TRIM('Sales and count'!$A$4:$A$300&amp;""),TRIM('Sales and count'!$B$4:$B$300&amp;"")),""),IF(OR(_xlpm.c="",_xlpm.c="0",LEFT(_xlpm.c,1)="#"),"Not set",_xlpm.c)))</f>
        <v/>
      </c>
    </row>
    <row r="1000" spans="1:112" x14ac:dyDescent="0.25">
      <c r="A1000" t="str">
        <f>IF('Staff Daily sales'!$B985="","",TRIM('Staff Daily sales'!$B985&amp;""))</f>
        <v/>
      </c>
      <c r="B1000" t="str">
        <f>IF('Staff Daily sales'!$D985="","",TRIM('Staff Daily sales'!$D985&amp;""))</f>
        <v/>
      </c>
      <c r="C1000" t="str">
        <f>IFERROR(TRIM('Staff Daily sales'!$E985&amp;""),"")</f>
        <v/>
      </c>
      <c r="D1000" t="str">
        <f>IFERROR(IF(TRIM('Staff Daily sales'!$F985&amp;"")="","Unassigned",TRIM('Staff Daily sales'!$F985&amp;"")),"Unassigned")</f>
        <v>Unassigned</v>
      </c>
      <c r="E1000">
        <f t="shared" si="266"/>
        <v>0</v>
      </c>
      <c r="F1000">
        <f>IF($E1000=0,0,SUMPRODUCT($AI$5:$DF$5,'Staff Daily sales'!$G985:$CD985))</f>
        <v>0</v>
      </c>
      <c r="G1000">
        <f>IF($E1000=0,0,SUMPRODUCT($AI$6:$DF$6,'Staff Daily sales'!$G985:$CD985))</f>
        <v>0</v>
      </c>
      <c r="H1000">
        <f t="shared" si="267"/>
        <v>0</v>
      </c>
      <c r="I1000">
        <f t="shared" si="268"/>
        <v>0</v>
      </c>
      <c r="J1000">
        <f t="shared" si="269"/>
        <v>0</v>
      </c>
      <c r="K1000">
        <f t="shared" si="270"/>
        <v>0</v>
      </c>
      <c r="L1000">
        <f>--AND($E1000=1,OR('Staff Dashboard'!$B$6="All",$DH1000='Staff Dashboard'!$B$6),OR('Staff Dashboard'!$B$7="All",$D1000='Staff Dashboard'!$B$7),OR('Staff Dashboard'!$B$8="All",$A1000='Staff Dashboard'!$B$8))</f>
        <v>0</v>
      </c>
      <c r="M1000">
        <f>IF($E1000=0,0,SUMPRODUCT($AI$7:$DF$7,'Staff Daily sales'!$G985:$CD985))</f>
        <v>0</v>
      </c>
      <c r="N1000">
        <f>IF($E1000=0,0,SUMPRODUCT($AI$8:$DF$8,'Staff Daily sales'!$G985:$CD985))</f>
        <v>0</v>
      </c>
      <c r="O1000">
        <f>IF($E1000=0,0,SUMPRODUCT($AI$9:$DF$9,'Staff Daily sales'!$G985:$CD985))</f>
        <v>0</v>
      </c>
      <c r="P1000">
        <f>IF($E1000=0,0,SUMPRODUCT($AI$10:$DF$10,'Staff Daily sales'!$G985:$CD985))</f>
        <v>0</v>
      </c>
      <c r="Q1000">
        <f>IF($E1000=0,0,SUMPRODUCT($AI$11:$DF$11,'Staff Daily sales'!$G985:$CD985))</f>
        <v>0</v>
      </c>
      <c r="R1000">
        <f>IF($E1000=0,0,SUMPRODUCT($AI$12:$DF$12,'Staff Daily sales'!$G985:$CD985))</f>
        <v>0</v>
      </c>
      <c r="S1000">
        <f>IF($E1000=0,0,SUMPRODUCT($AI$13:$DF$13,'Staff Daily sales'!$G985:$CD985))</f>
        <v>0</v>
      </c>
      <c r="T1000">
        <f>IF($E1000=0,0,SUMPRODUCT($AI$14:$DF$14,'Staff Daily sales'!$G985:$CD985))</f>
        <v>0</v>
      </c>
      <c r="U1000">
        <f>IF($E1000=0,0,SUMPRODUCT($AI$15:$DF$15,'Staff Daily sales'!$G985:$CD985))</f>
        <v>0</v>
      </c>
      <c r="V1000">
        <f>IF($E1000=0,0,SUMPRODUCT($AI$16:$DF$16,'Staff Daily sales'!$G985:$CD985))</f>
        <v>0</v>
      </c>
      <c r="W1000">
        <f t="shared" si="271"/>
        <v>0</v>
      </c>
      <c r="X1000">
        <f t="shared" si="272"/>
        <v>0</v>
      </c>
      <c r="Y1000">
        <f t="shared" si="273"/>
        <v>0</v>
      </c>
      <c r="Z1000">
        <f t="shared" si="274"/>
        <v>0</v>
      </c>
      <c r="AA1000">
        <f t="shared" si="275"/>
        <v>0</v>
      </c>
      <c r="AB1000">
        <f>--AND($E1000=1,OR('Staff Weekly Trend'!$B$3="All",$DH1000='Staff Weekly Trend'!$B$3),OR('Staff Weekly Trend'!$B$4="All",$D1000='Staff Weekly Trend'!$B$4),OR('Staff Weekly Trend'!$B$5="All",$A1000='Staff Weekly Trend'!$B$5))</f>
        <v>0</v>
      </c>
      <c r="AC1000" t="str">
        <f t="shared" si="276"/>
        <v/>
      </c>
      <c r="AI1000">
        <f t="shared" si="277"/>
        <v>0</v>
      </c>
      <c r="AJ1000">
        <f t="shared" si="278"/>
        <v>0</v>
      </c>
      <c r="AK1000">
        <f t="shared" si="279"/>
        <v>0</v>
      </c>
      <c r="AL1000">
        <f t="shared" si="280"/>
        <v>0</v>
      </c>
      <c r="AM1000">
        <f t="shared" si="281"/>
        <v>0</v>
      </c>
      <c r="DH1000" t="str" cm="1">
        <f t="array" ref="DH1000">IF($A1000="","",_xlfn.LET(_xlpm.c,IFERROR(_xlfn.XLOOKUP($A1000,TRIM('Sales and count'!$A$4:$A$300&amp;""),TRIM('Sales and count'!$B$4:$B$300&amp;"")),""),IF(OR(_xlpm.c="",_xlpm.c="0",LEFT(_xlpm.c,1)="#"),"Not set",_xlpm.c)))</f>
        <v/>
      </c>
    </row>
    <row r="1001" spans="1:112" x14ac:dyDescent="0.25">
      <c r="A1001" t="str">
        <f>IF('Staff Daily sales'!$B986="","",TRIM('Staff Daily sales'!$B986&amp;""))</f>
        <v/>
      </c>
      <c r="B1001" t="str">
        <f>IF('Staff Daily sales'!$D986="","",TRIM('Staff Daily sales'!$D986&amp;""))</f>
        <v/>
      </c>
      <c r="C1001" t="str">
        <f>IFERROR(TRIM('Staff Daily sales'!$E986&amp;""),"")</f>
        <v/>
      </c>
      <c r="D1001" t="str">
        <f>IFERROR(IF(TRIM('Staff Daily sales'!$F986&amp;"")="","Unassigned",TRIM('Staff Daily sales'!$F986&amp;"")),"Unassigned")</f>
        <v>Unassigned</v>
      </c>
      <c r="E1001">
        <f t="shared" si="266"/>
        <v>0</v>
      </c>
      <c r="F1001">
        <f>IF($E1001=0,0,SUMPRODUCT($AI$5:$DF$5,'Staff Daily sales'!$G986:$CD986))</f>
        <v>0</v>
      </c>
      <c r="G1001">
        <f>IF($E1001=0,0,SUMPRODUCT($AI$6:$DF$6,'Staff Daily sales'!$G986:$CD986))</f>
        <v>0</v>
      </c>
      <c r="H1001">
        <f t="shared" si="267"/>
        <v>0</v>
      </c>
      <c r="I1001">
        <f t="shared" si="268"/>
        <v>0</v>
      </c>
      <c r="J1001">
        <f t="shared" si="269"/>
        <v>0</v>
      </c>
      <c r="K1001">
        <f t="shared" si="270"/>
        <v>0</v>
      </c>
      <c r="L1001">
        <f>--AND($E1001=1,OR('Staff Dashboard'!$B$6="All",$DH1001='Staff Dashboard'!$B$6),OR('Staff Dashboard'!$B$7="All",$D1001='Staff Dashboard'!$B$7),OR('Staff Dashboard'!$B$8="All",$A1001='Staff Dashboard'!$B$8))</f>
        <v>0</v>
      </c>
      <c r="M1001">
        <f>IF($E1001=0,0,SUMPRODUCT($AI$7:$DF$7,'Staff Daily sales'!$G986:$CD986))</f>
        <v>0</v>
      </c>
      <c r="N1001">
        <f>IF($E1001=0,0,SUMPRODUCT($AI$8:$DF$8,'Staff Daily sales'!$G986:$CD986))</f>
        <v>0</v>
      </c>
      <c r="O1001">
        <f>IF($E1001=0,0,SUMPRODUCT($AI$9:$DF$9,'Staff Daily sales'!$G986:$CD986))</f>
        <v>0</v>
      </c>
      <c r="P1001">
        <f>IF($E1001=0,0,SUMPRODUCT($AI$10:$DF$10,'Staff Daily sales'!$G986:$CD986))</f>
        <v>0</v>
      </c>
      <c r="Q1001">
        <f>IF($E1001=0,0,SUMPRODUCT($AI$11:$DF$11,'Staff Daily sales'!$G986:$CD986))</f>
        <v>0</v>
      </c>
      <c r="R1001">
        <f>IF($E1001=0,0,SUMPRODUCT($AI$12:$DF$12,'Staff Daily sales'!$G986:$CD986))</f>
        <v>0</v>
      </c>
      <c r="S1001">
        <f>IF($E1001=0,0,SUMPRODUCT($AI$13:$DF$13,'Staff Daily sales'!$G986:$CD986))</f>
        <v>0</v>
      </c>
      <c r="T1001">
        <f>IF($E1001=0,0,SUMPRODUCT($AI$14:$DF$14,'Staff Daily sales'!$G986:$CD986))</f>
        <v>0</v>
      </c>
      <c r="U1001">
        <f>IF($E1001=0,0,SUMPRODUCT($AI$15:$DF$15,'Staff Daily sales'!$G986:$CD986))</f>
        <v>0</v>
      </c>
      <c r="V1001">
        <f>IF($E1001=0,0,SUMPRODUCT($AI$16:$DF$16,'Staff Daily sales'!$G986:$CD986))</f>
        <v>0</v>
      </c>
      <c r="W1001">
        <f t="shared" si="271"/>
        <v>0</v>
      </c>
      <c r="X1001">
        <f t="shared" si="272"/>
        <v>0</v>
      </c>
      <c r="Y1001">
        <f t="shared" si="273"/>
        <v>0</v>
      </c>
      <c r="Z1001">
        <f t="shared" si="274"/>
        <v>0</v>
      </c>
      <c r="AA1001">
        <f t="shared" si="275"/>
        <v>0</v>
      </c>
      <c r="AB1001">
        <f>--AND($E1001=1,OR('Staff Weekly Trend'!$B$3="All",$DH1001='Staff Weekly Trend'!$B$3),OR('Staff Weekly Trend'!$B$4="All",$D1001='Staff Weekly Trend'!$B$4),OR('Staff Weekly Trend'!$B$5="All",$A1001='Staff Weekly Trend'!$B$5))</f>
        <v>0</v>
      </c>
      <c r="AC1001" t="str">
        <f t="shared" si="276"/>
        <v/>
      </c>
      <c r="AI1001">
        <f t="shared" si="277"/>
        <v>0</v>
      </c>
      <c r="AJ1001">
        <f t="shared" si="278"/>
        <v>0</v>
      </c>
      <c r="AK1001">
        <f t="shared" si="279"/>
        <v>0</v>
      </c>
      <c r="AL1001">
        <f t="shared" si="280"/>
        <v>0</v>
      </c>
      <c r="AM1001">
        <f t="shared" si="281"/>
        <v>0</v>
      </c>
      <c r="DH1001" t="str" cm="1">
        <f t="array" ref="DH1001">IF($A1001="","",_xlfn.LET(_xlpm.c,IFERROR(_xlfn.XLOOKUP($A1001,TRIM('Sales and count'!$A$4:$A$300&amp;""),TRIM('Sales and count'!$B$4:$B$300&amp;"")),""),IF(OR(_xlpm.c="",_xlpm.c="0",LEFT(_xlpm.c,1)="#"),"Not set",_xlpm.c)))</f>
        <v/>
      </c>
    </row>
    <row r="1002" spans="1:112" x14ac:dyDescent="0.25">
      <c r="A1002" t="str">
        <f>IF('Staff Daily sales'!$B987="","",TRIM('Staff Daily sales'!$B987&amp;""))</f>
        <v/>
      </c>
      <c r="B1002" t="str">
        <f>IF('Staff Daily sales'!$D987="","",TRIM('Staff Daily sales'!$D987&amp;""))</f>
        <v/>
      </c>
      <c r="C1002" t="str">
        <f>IFERROR(TRIM('Staff Daily sales'!$E987&amp;""),"")</f>
        <v/>
      </c>
      <c r="D1002" t="str">
        <f>IFERROR(IF(TRIM('Staff Daily sales'!$F987&amp;"")="","Unassigned",TRIM('Staff Daily sales'!$F987&amp;"")),"Unassigned")</f>
        <v>Unassigned</v>
      </c>
      <c r="E1002">
        <f t="shared" si="266"/>
        <v>0</v>
      </c>
      <c r="F1002">
        <f>IF($E1002=0,0,SUMPRODUCT($AI$5:$DF$5,'Staff Daily sales'!$G987:$CD987))</f>
        <v>0</v>
      </c>
      <c r="G1002">
        <f>IF($E1002=0,0,SUMPRODUCT($AI$6:$DF$6,'Staff Daily sales'!$G987:$CD987))</f>
        <v>0</v>
      </c>
      <c r="H1002">
        <f t="shared" si="267"/>
        <v>0</v>
      </c>
      <c r="I1002">
        <f t="shared" si="268"/>
        <v>0</v>
      </c>
      <c r="J1002">
        <f t="shared" si="269"/>
        <v>0</v>
      </c>
      <c r="K1002">
        <f t="shared" si="270"/>
        <v>0</v>
      </c>
      <c r="L1002">
        <f>--AND($E1002=1,OR('Staff Dashboard'!$B$6="All",$DH1002='Staff Dashboard'!$B$6),OR('Staff Dashboard'!$B$7="All",$D1002='Staff Dashboard'!$B$7),OR('Staff Dashboard'!$B$8="All",$A1002='Staff Dashboard'!$B$8))</f>
        <v>0</v>
      </c>
      <c r="M1002">
        <f>IF($E1002=0,0,SUMPRODUCT($AI$7:$DF$7,'Staff Daily sales'!$G987:$CD987))</f>
        <v>0</v>
      </c>
      <c r="N1002">
        <f>IF($E1002=0,0,SUMPRODUCT($AI$8:$DF$8,'Staff Daily sales'!$G987:$CD987))</f>
        <v>0</v>
      </c>
      <c r="O1002">
        <f>IF($E1002=0,0,SUMPRODUCT($AI$9:$DF$9,'Staff Daily sales'!$G987:$CD987))</f>
        <v>0</v>
      </c>
      <c r="P1002">
        <f>IF($E1002=0,0,SUMPRODUCT($AI$10:$DF$10,'Staff Daily sales'!$G987:$CD987))</f>
        <v>0</v>
      </c>
      <c r="Q1002">
        <f>IF($E1002=0,0,SUMPRODUCT($AI$11:$DF$11,'Staff Daily sales'!$G987:$CD987))</f>
        <v>0</v>
      </c>
      <c r="R1002">
        <f>IF($E1002=0,0,SUMPRODUCT($AI$12:$DF$12,'Staff Daily sales'!$G987:$CD987))</f>
        <v>0</v>
      </c>
      <c r="S1002">
        <f>IF($E1002=0,0,SUMPRODUCT($AI$13:$DF$13,'Staff Daily sales'!$G987:$CD987))</f>
        <v>0</v>
      </c>
      <c r="T1002">
        <f>IF($E1002=0,0,SUMPRODUCT($AI$14:$DF$14,'Staff Daily sales'!$G987:$CD987))</f>
        <v>0</v>
      </c>
      <c r="U1002">
        <f>IF($E1002=0,0,SUMPRODUCT($AI$15:$DF$15,'Staff Daily sales'!$G987:$CD987))</f>
        <v>0</v>
      </c>
      <c r="V1002">
        <f>IF($E1002=0,0,SUMPRODUCT($AI$16:$DF$16,'Staff Daily sales'!$G987:$CD987))</f>
        <v>0</v>
      </c>
      <c r="W1002">
        <f t="shared" si="271"/>
        <v>0</v>
      </c>
      <c r="X1002">
        <f t="shared" si="272"/>
        <v>0</v>
      </c>
      <c r="Y1002">
        <f t="shared" si="273"/>
        <v>0</v>
      </c>
      <c r="Z1002">
        <f t="shared" si="274"/>
        <v>0</v>
      </c>
      <c r="AA1002">
        <f t="shared" si="275"/>
        <v>0</v>
      </c>
      <c r="AB1002">
        <f>--AND($E1002=1,OR('Staff Weekly Trend'!$B$3="All",$DH1002='Staff Weekly Trend'!$B$3),OR('Staff Weekly Trend'!$B$4="All",$D1002='Staff Weekly Trend'!$B$4),OR('Staff Weekly Trend'!$B$5="All",$A1002='Staff Weekly Trend'!$B$5))</f>
        <v>0</v>
      </c>
      <c r="AC1002" t="str">
        <f t="shared" si="276"/>
        <v/>
      </c>
      <c r="AI1002">
        <f t="shared" si="277"/>
        <v>0</v>
      </c>
      <c r="AJ1002">
        <f t="shared" si="278"/>
        <v>0</v>
      </c>
      <c r="AK1002">
        <f t="shared" si="279"/>
        <v>0</v>
      </c>
      <c r="AL1002">
        <f t="shared" si="280"/>
        <v>0</v>
      </c>
      <c r="AM1002">
        <f t="shared" si="281"/>
        <v>0</v>
      </c>
      <c r="DH1002" t="str" cm="1">
        <f t="array" ref="DH1002">IF($A1002="","",_xlfn.LET(_xlpm.c,IFERROR(_xlfn.XLOOKUP($A1002,TRIM('Sales and count'!$A$4:$A$300&amp;""),TRIM('Sales and count'!$B$4:$B$300&amp;"")),""),IF(OR(_xlpm.c="",_xlpm.c="0",LEFT(_xlpm.c,1)="#"),"Not set",_xlpm.c)))</f>
        <v/>
      </c>
    </row>
    <row r="1003" spans="1:112" x14ac:dyDescent="0.25">
      <c r="A1003" t="str">
        <f>IF('Staff Daily sales'!$B988="","",TRIM('Staff Daily sales'!$B988&amp;""))</f>
        <v/>
      </c>
      <c r="B1003" t="str">
        <f>IF('Staff Daily sales'!$D988="","",TRIM('Staff Daily sales'!$D988&amp;""))</f>
        <v/>
      </c>
      <c r="C1003" t="str">
        <f>IFERROR(TRIM('Staff Daily sales'!$E988&amp;""),"")</f>
        <v/>
      </c>
      <c r="D1003" t="str">
        <f>IFERROR(IF(TRIM('Staff Daily sales'!$F988&amp;"")="","Unassigned",TRIM('Staff Daily sales'!$F988&amp;"")),"Unassigned")</f>
        <v>Unassigned</v>
      </c>
      <c r="E1003">
        <f t="shared" si="266"/>
        <v>0</v>
      </c>
      <c r="F1003">
        <f>IF($E1003=0,0,SUMPRODUCT($AI$5:$DF$5,'Staff Daily sales'!$G988:$CD988))</f>
        <v>0</v>
      </c>
      <c r="G1003">
        <f>IF($E1003=0,0,SUMPRODUCT($AI$6:$DF$6,'Staff Daily sales'!$G988:$CD988))</f>
        <v>0</v>
      </c>
      <c r="H1003">
        <f t="shared" si="267"/>
        <v>0</v>
      </c>
      <c r="I1003">
        <f t="shared" si="268"/>
        <v>0</v>
      </c>
      <c r="J1003">
        <f t="shared" si="269"/>
        <v>0</v>
      </c>
      <c r="K1003">
        <f t="shared" si="270"/>
        <v>0</v>
      </c>
      <c r="L1003">
        <f>--AND($E1003=1,OR('Staff Dashboard'!$B$6="All",$DH1003='Staff Dashboard'!$B$6),OR('Staff Dashboard'!$B$7="All",$D1003='Staff Dashboard'!$B$7),OR('Staff Dashboard'!$B$8="All",$A1003='Staff Dashboard'!$B$8))</f>
        <v>0</v>
      </c>
      <c r="M1003">
        <f>IF($E1003=0,0,SUMPRODUCT($AI$7:$DF$7,'Staff Daily sales'!$G988:$CD988))</f>
        <v>0</v>
      </c>
      <c r="N1003">
        <f>IF($E1003=0,0,SUMPRODUCT($AI$8:$DF$8,'Staff Daily sales'!$G988:$CD988))</f>
        <v>0</v>
      </c>
      <c r="O1003">
        <f>IF($E1003=0,0,SUMPRODUCT($AI$9:$DF$9,'Staff Daily sales'!$G988:$CD988))</f>
        <v>0</v>
      </c>
      <c r="P1003">
        <f>IF($E1003=0,0,SUMPRODUCT($AI$10:$DF$10,'Staff Daily sales'!$G988:$CD988))</f>
        <v>0</v>
      </c>
      <c r="Q1003">
        <f>IF($E1003=0,0,SUMPRODUCT($AI$11:$DF$11,'Staff Daily sales'!$G988:$CD988))</f>
        <v>0</v>
      </c>
      <c r="R1003">
        <f>IF($E1003=0,0,SUMPRODUCT($AI$12:$DF$12,'Staff Daily sales'!$G988:$CD988))</f>
        <v>0</v>
      </c>
      <c r="S1003">
        <f>IF($E1003=0,0,SUMPRODUCT($AI$13:$DF$13,'Staff Daily sales'!$G988:$CD988))</f>
        <v>0</v>
      </c>
      <c r="T1003">
        <f>IF($E1003=0,0,SUMPRODUCT($AI$14:$DF$14,'Staff Daily sales'!$G988:$CD988))</f>
        <v>0</v>
      </c>
      <c r="U1003">
        <f>IF($E1003=0,0,SUMPRODUCT($AI$15:$DF$15,'Staff Daily sales'!$G988:$CD988))</f>
        <v>0</v>
      </c>
      <c r="V1003">
        <f>IF($E1003=0,0,SUMPRODUCT($AI$16:$DF$16,'Staff Daily sales'!$G988:$CD988))</f>
        <v>0</v>
      </c>
      <c r="W1003">
        <f t="shared" si="271"/>
        <v>0</v>
      </c>
      <c r="X1003">
        <f t="shared" si="272"/>
        <v>0</v>
      </c>
      <c r="Y1003">
        <f t="shared" si="273"/>
        <v>0</v>
      </c>
      <c r="Z1003">
        <f t="shared" si="274"/>
        <v>0</v>
      </c>
      <c r="AA1003">
        <f t="shared" si="275"/>
        <v>0</v>
      </c>
      <c r="AB1003">
        <f>--AND($E1003=1,OR('Staff Weekly Trend'!$B$3="All",$DH1003='Staff Weekly Trend'!$B$3),OR('Staff Weekly Trend'!$B$4="All",$D1003='Staff Weekly Trend'!$B$4),OR('Staff Weekly Trend'!$B$5="All",$A1003='Staff Weekly Trend'!$B$5))</f>
        <v>0</v>
      </c>
      <c r="AC1003" t="str">
        <f t="shared" si="276"/>
        <v/>
      </c>
      <c r="AI1003">
        <f t="shared" si="277"/>
        <v>0</v>
      </c>
      <c r="AJ1003">
        <f t="shared" si="278"/>
        <v>0</v>
      </c>
      <c r="AK1003">
        <f t="shared" si="279"/>
        <v>0</v>
      </c>
      <c r="AL1003">
        <f t="shared" si="280"/>
        <v>0</v>
      </c>
      <c r="AM1003">
        <f t="shared" si="281"/>
        <v>0</v>
      </c>
      <c r="DH1003" t="str" cm="1">
        <f t="array" ref="DH1003">IF($A1003="","",_xlfn.LET(_xlpm.c,IFERROR(_xlfn.XLOOKUP($A1003,TRIM('Sales and count'!$A$4:$A$300&amp;""),TRIM('Sales and count'!$B$4:$B$300&amp;"")),""),IF(OR(_xlpm.c="",_xlpm.c="0",LEFT(_xlpm.c,1)="#"),"Not set",_xlpm.c)))</f>
        <v/>
      </c>
    </row>
    <row r="1004" spans="1:112" x14ac:dyDescent="0.25">
      <c r="A1004" t="str">
        <f>IF('Staff Daily sales'!$B989="","",TRIM('Staff Daily sales'!$B989&amp;""))</f>
        <v/>
      </c>
      <c r="B1004" t="str">
        <f>IF('Staff Daily sales'!$D989="","",TRIM('Staff Daily sales'!$D989&amp;""))</f>
        <v/>
      </c>
      <c r="C1004" t="str">
        <f>IFERROR(TRIM('Staff Daily sales'!$E989&amp;""),"")</f>
        <v/>
      </c>
      <c r="D1004" t="str">
        <f>IFERROR(IF(TRIM('Staff Daily sales'!$F989&amp;"")="","Unassigned",TRIM('Staff Daily sales'!$F989&amp;"")),"Unassigned")</f>
        <v>Unassigned</v>
      </c>
      <c r="E1004">
        <f t="shared" si="266"/>
        <v>0</v>
      </c>
      <c r="F1004">
        <f>IF($E1004=0,0,SUMPRODUCT($AI$5:$DF$5,'Staff Daily sales'!$G989:$CD989))</f>
        <v>0</v>
      </c>
      <c r="G1004">
        <f>IF($E1004=0,0,SUMPRODUCT($AI$6:$DF$6,'Staff Daily sales'!$G989:$CD989))</f>
        <v>0</v>
      </c>
      <c r="H1004">
        <f t="shared" si="267"/>
        <v>0</v>
      </c>
      <c r="I1004">
        <f t="shared" si="268"/>
        <v>0</v>
      </c>
      <c r="J1004">
        <f t="shared" si="269"/>
        <v>0</v>
      </c>
      <c r="K1004">
        <f t="shared" si="270"/>
        <v>0</v>
      </c>
      <c r="L1004">
        <f>--AND($E1004=1,OR('Staff Dashboard'!$B$6="All",$DH1004='Staff Dashboard'!$B$6),OR('Staff Dashboard'!$B$7="All",$D1004='Staff Dashboard'!$B$7),OR('Staff Dashboard'!$B$8="All",$A1004='Staff Dashboard'!$B$8))</f>
        <v>0</v>
      </c>
      <c r="M1004">
        <f>IF($E1004=0,0,SUMPRODUCT($AI$7:$DF$7,'Staff Daily sales'!$G989:$CD989))</f>
        <v>0</v>
      </c>
      <c r="N1004">
        <f>IF($E1004=0,0,SUMPRODUCT($AI$8:$DF$8,'Staff Daily sales'!$G989:$CD989))</f>
        <v>0</v>
      </c>
      <c r="O1004">
        <f>IF($E1004=0,0,SUMPRODUCT($AI$9:$DF$9,'Staff Daily sales'!$G989:$CD989))</f>
        <v>0</v>
      </c>
      <c r="P1004">
        <f>IF($E1004=0,0,SUMPRODUCT($AI$10:$DF$10,'Staff Daily sales'!$G989:$CD989))</f>
        <v>0</v>
      </c>
      <c r="Q1004">
        <f>IF($E1004=0,0,SUMPRODUCT($AI$11:$DF$11,'Staff Daily sales'!$G989:$CD989))</f>
        <v>0</v>
      </c>
      <c r="R1004">
        <f>IF($E1004=0,0,SUMPRODUCT($AI$12:$DF$12,'Staff Daily sales'!$G989:$CD989))</f>
        <v>0</v>
      </c>
      <c r="S1004">
        <f>IF($E1004=0,0,SUMPRODUCT($AI$13:$DF$13,'Staff Daily sales'!$G989:$CD989))</f>
        <v>0</v>
      </c>
      <c r="T1004">
        <f>IF($E1004=0,0,SUMPRODUCT($AI$14:$DF$14,'Staff Daily sales'!$G989:$CD989))</f>
        <v>0</v>
      </c>
      <c r="U1004">
        <f>IF($E1004=0,0,SUMPRODUCT($AI$15:$DF$15,'Staff Daily sales'!$G989:$CD989))</f>
        <v>0</v>
      </c>
      <c r="V1004">
        <f>IF($E1004=0,0,SUMPRODUCT($AI$16:$DF$16,'Staff Daily sales'!$G989:$CD989))</f>
        <v>0</v>
      </c>
      <c r="W1004">
        <f t="shared" si="271"/>
        <v>0</v>
      </c>
      <c r="X1004">
        <f t="shared" si="272"/>
        <v>0</v>
      </c>
      <c r="Y1004">
        <f t="shared" si="273"/>
        <v>0</v>
      </c>
      <c r="Z1004">
        <f t="shared" si="274"/>
        <v>0</v>
      </c>
      <c r="AA1004">
        <f t="shared" si="275"/>
        <v>0</v>
      </c>
      <c r="AB1004">
        <f>--AND($E1004=1,OR('Staff Weekly Trend'!$B$3="All",$DH1004='Staff Weekly Trend'!$B$3),OR('Staff Weekly Trend'!$B$4="All",$D1004='Staff Weekly Trend'!$B$4),OR('Staff Weekly Trend'!$B$5="All",$A1004='Staff Weekly Trend'!$B$5))</f>
        <v>0</v>
      </c>
      <c r="AC1004" t="str">
        <f t="shared" si="276"/>
        <v/>
      </c>
      <c r="AI1004">
        <f t="shared" si="277"/>
        <v>0</v>
      </c>
      <c r="AJ1004">
        <f t="shared" si="278"/>
        <v>0</v>
      </c>
      <c r="AK1004">
        <f t="shared" si="279"/>
        <v>0</v>
      </c>
      <c r="AL1004">
        <f t="shared" si="280"/>
        <v>0</v>
      </c>
      <c r="AM1004">
        <f t="shared" si="281"/>
        <v>0</v>
      </c>
      <c r="DH1004" t="str" cm="1">
        <f t="array" ref="DH1004">IF($A1004="","",_xlfn.LET(_xlpm.c,IFERROR(_xlfn.XLOOKUP($A1004,TRIM('Sales and count'!$A$4:$A$300&amp;""),TRIM('Sales and count'!$B$4:$B$300&amp;"")),""),IF(OR(_xlpm.c="",_xlpm.c="0",LEFT(_xlpm.c,1)="#"),"Not set",_xlpm.c)))</f>
        <v/>
      </c>
    </row>
    <row r="1005" spans="1:112" x14ac:dyDescent="0.25">
      <c r="A1005" t="str">
        <f>IF('Staff Daily sales'!$B990="","",TRIM('Staff Daily sales'!$B990&amp;""))</f>
        <v/>
      </c>
      <c r="B1005" t="str">
        <f>IF('Staff Daily sales'!$D990="","",TRIM('Staff Daily sales'!$D990&amp;""))</f>
        <v/>
      </c>
      <c r="C1005" t="str">
        <f>IFERROR(TRIM('Staff Daily sales'!$E990&amp;""),"")</f>
        <v/>
      </c>
      <c r="D1005" t="str">
        <f>IFERROR(IF(TRIM('Staff Daily sales'!$F990&amp;"")="","Unassigned",TRIM('Staff Daily sales'!$F990&amp;"")),"Unassigned")</f>
        <v>Unassigned</v>
      </c>
      <c r="E1005">
        <f t="shared" si="266"/>
        <v>0</v>
      </c>
      <c r="F1005">
        <f>IF($E1005=0,0,SUMPRODUCT($AI$5:$DF$5,'Staff Daily sales'!$G990:$CD990))</f>
        <v>0</v>
      </c>
      <c r="G1005">
        <f>IF($E1005=0,0,SUMPRODUCT($AI$6:$DF$6,'Staff Daily sales'!$G990:$CD990))</f>
        <v>0</v>
      </c>
      <c r="H1005">
        <f t="shared" si="267"/>
        <v>0</v>
      </c>
      <c r="I1005">
        <f t="shared" si="268"/>
        <v>0</v>
      </c>
      <c r="J1005">
        <f t="shared" si="269"/>
        <v>0</v>
      </c>
      <c r="K1005">
        <f t="shared" si="270"/>
        <v>0</v>
      </c>
      <c r="L1005">
        <f>--AND($E1005=1,OR('Staff Dashboard'!$B$6="All",$DH1005='Staff Dashboard'!$B$6),OR('Staff Dashboard'!$B$7="All",$D1005='Staff Dashboard'!$B$7),OR('Staff Dashboard'!$B$8="All",$A1005='Staff Dashboard'!$B$8))</f>
        <v>0</v>
      </c>
      <c r="M1005">
        <f>IF($E1005=0,0,SUMPRODUCT($AI$7:$DF$7,'Staff Daily sales'!$G990:$CD990))</f>
        <v>0</v>
      </c>
      <c r="N1005">
        <f>IF($E1005=0,0,SUMPRODUCT($AI$8:$DF$8,'Staff Daily sales'!$G990:$CD990))</f>
        <v>0</v>
      </c>
      <c r="O1005">
        <f>IF($E1005=0,0,SUMPRODUCT($AI$9:$DF$9,'Staff Daily sales'!$G990:$CD990))</f>
        <v>0</v>
      </c>
      <c r="P1005">
        <f>IF($E1005=0,0,SUMPRODUCT($AI$10:$DF$10,'Staff Daily sales'!$G990:$CD990))</f>
        <v>0</v>
      </c>
      <c r="Q1005">
        <f>IF($E1005=0,0,SUMPRODUCT($AI$11:$DF$11,'Staff Daily sales'!$G990:$CD990))</f>
        <v>0</v>
      </c>
      <c r="R1005">
        <f>IF($E1005=0,0,SUMPRODUCT($AI$12:$DF$12,'Staff Daily sales'!$G990:$CD990))</f>
        <v>0</v>
      </c>
      <c r="S1005">
        <f>IF($E1005=0,0,SUMPRODUCT($AI$13:$DF$13,'Staff Daily sales'!$G990:$CD990))</f>
        <v>0</v>
      </c>
      <c r="T1005">
        <f>IF($E1005=0,0,SUMPRODUCT($AI$14:$DF$14,'Staff Daily sales'!$G990:$CD990))</f>
        <v>0</v>
      </c>
      <c r="U1005">
        <f>IF($E1005=0,0,SUMPRODUCT($AI$15:$DF$15,'Staff Daily sales'!$G990:$CD990))</f>
        <v>0</v>
      </c>
      <c r="V1005">
        <f>IF($E1005=0,0,SUMPRODUCT($AI$16:$DF$16,'Staff Daily sales'!$G990:$CD990))</f>
        <v>0</v>
      </c>
      <c r="W1005">
        <f t="shared" si="271"/>
        <v>0</v>
      </c>
      <c r="X1005">
        <f t="shared" si="272"/>
        <v>0</v>
      </c>
      <c r="Y1005">
        <f t="shared" si="273"/>
        <v>0</v>
      </c>
      <c r="Z1005">
        <f t="shared" si="274"/>
        <v>0</v>
      </c>
      <c r="AA1005">
        <f t="shared" si="275"/>
        <v>0</v>
      </c>
      <c r="AB1005">
        <f>--AND($E1005=1,OR('Staff Weekly Trend'!$B$3="All",$DH1005='Staff Weekly Trend'!$B$3),OR('Staff Weekly Trend'!$B$4="All",$D1005='Staff Weekly Trend'!$B$4),OR('Staff Weekly Trend'!$B$5="All",$A1005='Staff Weekly Trend'!$B$5))</f>
        <v>0</v>
      </c>
      <c r="AC1005" t="str">
        <f t="shared" si="276"/>
        <v/>
      </c>
      <c r="AI1005">
        <f t="shared" si="277"/>
        <v>0</v>
      </c>
      <c r="AJ1005">
        <f t="shared" si="278"/>
        <v>0</v>
      </c>
      <c r="AK1005">
        <f t="shared" si="279"/>
        <v>0</v>
      </c>
      <c r="AL1005">
        <f t="shared" si="280"/>
        <v>0</v>
      </c>
      <c r="AM1005">
        <f t="shared" si="281"/>
        <v>0</v>
      </c>
      <c r="DH1005" t="str" cm="1">
        <f t="array" ref="DH1005">IF($A1005="","",_xlfn.LET(_xlpm.c,IFERROR(_xlfn.XLOOKUP($A1005,TRIM('Sales and count'!$A$4:$A$300&amp;""),TRIM('Sales and count'!$B$4:$B$300&amp;"")),""),IF(OR(_xlpm.c="",_xlpm.c="0",LEFT(_xlpm.c,1)="#"),"Not set",_xlpm.c)))</f>
        <v/>
      </c>
    </row>
    <row r="1006" spans="1:112" x14ac:dyDescent="0.25">
      <c r="A1006" t="str">
        <f>IF('Staff Daily sales'!$B991="","",TRIM('Staff Daily sales'!$B991&amp;""))</f>
        <v/>
      </c>
      <c r="B1006" t="str">
        <f>IF('Staff Daily sales'!$D991="","",TRIM('Staff Daily sales'!$D991&amp;""))</f>
        <v/>
      </c>
      <c r="C1006" t="str">
        <f>IFERROR(TRIM('Staff Daily sales'!$E991&amp;""),"")</f>
        <v/>
      </c>
      <c r="D1006" t="str">
        <f>IFERROR(IF(TRIM('Staff Daily sales'!$F991&amp;"")="","Unassigned",TRIM('Staff Daily sales'!$F991&amp;"")),"Unassigned")</f>
        <v>Unassigned</v>
      </c>
      <c r="E1006">
        <f t="shared" si="266"/>
        <v>0</v>
      </c>
      <c r="F1006">
        <f>IF($E1006=0,0,SUMPRODUCT($AI$5:$DF$5,'Staff Daily sales'!$G991:$CD991))</f>
        <v>0</v>
      </c>
      <c r="G1006">
        <f>IF($E1006=0,0,SUMPRODUCT($AI$6:$DF$6,'Staff Daily sales'!$G991:$CD991))</f>
        <v>0</v>
      </c>
      <c r="H1006">
        <f t="shared" si="267"/>
        <v>0</v>
      </c>
      <c r="I1006">
        <f t="shared" si="268"/>
        <v>0</v>
      </c>
      <c r="J1006">
        <f t="shared" si="269"/>
        <v>0</v>
      </c>
      <c r="K1006">
        <f t="shared" si="270"/>
        <v>0</v>
      </c>
      <c r="L1006">
        <f>--AND($E1006=1,OR('Staff Dashboard'!$B$6="All",$DH1006='Staff Dashboard'!$B$6),OR('Staff Dashboard'!$B$7="All",$D1006='Staff Dashboard'!$B$7),OR('Staff Dashboard'!$B$8="All",$A1006='Staff Dashboard'!$B$8))</f>
        <v>0</v>
      </c>
      <c r="M1006">
        <f>IF($E1006=0,0,SUMPRODUCT($AI$7:$DF$7,'Staff Daily sales'!$G991:$CD991))</f>
        <v>0</v>
      </c>
      <c r="N1006">
        <f>IF($E1006=0,0,SUMPRODUCT($AI$8:$DF$8,'Staff Daily sales'!$G991:$CD991))</f>
        <v>0</v>
      </c>
      <c r="O1006">
        <f>IF($E1006=0,0,SUMPRODUCT($AI$9:$DF$9,'Staff Daily sales'!$G991:$CD991))</f>
        <v>0</v>
      </c>
      <c r="P1006">
        <f>IF($E1006=0,0,SUMPRODUCT($AI$10:$DF$10,'Staff Daily sales'!$G991:$CD991))</f>
        <v>0</v>
      </c>
      <c r="Q1006">
        <f>IF($E1006=0,0,SUMPRODUCT($AI$11:$DF$11,'Staff Daily sales'!$G991:$CD991))</f>
        <v>0</v>
      </c>
      <c r="R1006">
        <f>IF($E1006=0,0,SUMPRODUCT($AI$12:$DF$12,'Staff Daily sales'!$G991:$CD991))</f>
        <v>0</v>
      </c>
      <c r="S1006">
        <f>IF($E1006=0,0,SUMPRODUCT($AI$13:$DF$13,'Staff Daily sales'!$G991:$CD991))</f>
        <v>0</v>
      </c>
      <c r="T1006">
        <f>IF($E1006=0,0,SUMPRODUCT($AI$14:$DF$14,'Staff Daily sales'!$G991:$CD991))</f>
        <v>0</v>
      </c>
      <c r="U1006">
        <f>IF($E1006=0,0,SUMPRODUCT($AI$15:$DF$15,'Staff Daily sales'!$G991:$CD991))</f>
        <v>0</v>
      </c>
      <c r="V1006">
        <f>IF($E1006=0,0,SUMPRODUCT($AI$16:$DF$16,'Staff Daily sales'!$G991:$CD991))</f>
        <v>0</v>
      </c>
      <c r="W1006">
        <f t="shared" si="271"/>
        <v>0</v>
      </c>
      <c r="X1006">
        <f t="shared" si="272"/>
        <v>0</v>
      </c>
      <c r="Y1006">
        <f t="shared" si="273"/>
        <v>0</v>
      </c>
      <c r="Z1006">
        <f t="shared" si="274"/>
        <v>0</v>
      </c>
      <c r="AA1006">
        <f t="shared" si="275"/>
        <v>0</v>
      </c>
      <c r="AB1006">
        <f>--AND($E1006=1,OR('Staff Weekly Trend'!$B$3="All",$DH1006='Staff Weekly Trend'!$B$3),OR('Staff Weekly Trend'!$B$4="All",$D1006='Staff Weekly Trend'!$B$4),OR('Staff Weekly Trend'!$B$5="All",$A1006='Staff Weekly Trend'!$B$5))</f>
        <v>0</v>
      </c>
      <c r="AC1006" t="str">
        <f t="shared" si="276"/>
        <v/>
      </c>
      <c r="AI1006">
        <f t="shared" si="277"/>
        <v>0</v>
      </c>
      <c r="AJ1006">
        <f t="shared" si="278"/>
        <v>0</v>
      </c>
      <c r="AK1006">
        <f t="shared" si="279"/>
        <v>0</v>
      </c>
      <c r="AL1006">
        <f t="shared" si="280"/>
        <v>0</v>
      </c>
      <c r="AM1006">
        <f t="shared" si="281"/>
        <v>0</v>
      </c>
      <c r="DH1006" t="str" cm="1">
        <f t="array" ref="DH1006">IF($A1006="","",_xlfn.LET(_xlpm.c,IFERROR(_xlfn.XLOOKUP($A1006,TRIM('Sales and count'!$A$4:$A$300&amp;""),TRIM('Sales and count'!$B$4:$B$300&amp;"")),""),IF(OR(_xlpm.c="",_xlpm.c="0",LEFT(_xlpm.c,1)="#"),"Not set",_xlpm.c)))</f>
        <v/>
      </c>
    </row>
    <row r="1007" spans="1:112" x14ac:dyDescent="0.25">
      <c r="A1007" t="str">
        <f>IF('Staff Daily sales'!$B992="","",TRIM('Staff Daily sales'!$B992&amp;""))</f>
        <v/>
      </c>
      <c r="B1007" t="str">
        <f>IF('Staff Daily sales'!$D992="","",TRIM('Staff Daily sales'!$D992&amp;""))</f>
        <v/>
      </c>
      <c r="C1007" t="str">
        <f>IFERROR(TRIM('Staff Daily sales'!$E992&amp;""),"")</f>
        <v/>
      </c>
      <c r="D1007" t="str">
        <f>IFERROR(IF(TRIM('Staff Daily sales'!$F992&amp;"")="","Unassigned",TRIM('Staff Daily sales'!$F992&amp;"")),"Unassigned")</f>
        <v>Unassigned</v>
      </c>
      <c r="E1007">
        <f t="shared" si="266"/>
        <v>0</v>
      </c>
      <c r="F1007">
        <f>IF($E1007=0,0,SUMPRODUCT($AI$5:$DF$5,'Staff Daily sales'!$G992:$CD992))</f>
        <v>0</v>
      </c>
      <c r="G1007">
        <f>IF($E1007=0,0,SUMPRODUCT($AI$6:$DF$6,'Staff Daily sales'!$G992:$CD992))</f>
        <v>0</v>
      </c>
      <c r="H1007">
        <f t="shared" si="267"/>
        <v>0</v>
      </c>
      <c r="I1007">
        <f t="shared" si="268"/>
        <v>0</v>
      </c>
      <c r="J1007">
        <f t="shared" si="269"/>
        <v>0</v>
      </c>
      <c r="K1007">
        <f t="shared" si="270"/>
        <v>0</v>
      </c>
      <c r="L1007">
        <f>--AND($E1007=1,OR('Staff Dashboard'!$B$6="All",$DH1007='Staff Dashboard'!$B$6),OR('Staff Dashboard'!$B$7="All",$D1007='Staff Dashboard'!$B$7),OR('Staff Dashboard'!$B$8="All",$A1007='Staff Dashboard'!$B$8))</f>
        <v>0</v>
      </c>
      <c r="M1007">
        <f>IF($E1007=0,0,SUMPRODUCT($AI$7:$DF$7,'Staff Daily sales'!$G992:$CD992))</f>
        <v>0</v>
      </c>
      <c r="N1007">
        <f>IF($E1007=0,0,SUMPRODUCT($AI$8:$DF$8,'Staff Daily sales'!$G992:$CD992))</f>
        <v>0</v>
      </c>
      <c r="O1007">
        <f>IF($E1007=0,0,SUMPRODUCT($AI$9:$DF$9,'Staff Daily sales'!$G992:$CD992))</f>
        <v>0</v>
      </c>
      <c r="P1007">
        <f>IF($E1007=0,0,SUMPRODUCT($AI$10:$DF$10,'Staff Daily sales'!$G992:$CD992))</f>
        <v>0</v>
      </c>
      <c r="Q1007">
        <f>IF($E1007=0,0,SUMPRODUCT($AI$11:$DF$11,'Staff Daily sales'!$G992:$CD992))</f>
        <v>0</v>
      </c>
      <c r="R1007">
        <f>IF($E1007=0,0,SUMPRODUCT($AI$12:$DF$12,'Staff Daily sales'!$G992:$CD992))</f>
        <v>0</v>
      </c>
      <c r="S1007">
        <f>IF($E1007=0,0,SUMPRODUCT($AI$13:$DF$13,'Staff Daily sales'!$G992:$CD992))</f>
        <v>0</v>
      </c>
      <c r="T1007">
        <f>IF($E1007=0,0,SUMPRODUCT($AI$14:$DF$14,'Staff Daily sales'!$G992:$CD992))</f>
        <v>0</v>
      </c>
      <c r="U1007">
        <f>IF($E1007=0,0,SUMPRODUCT($AI$15:$DF$15,'Staff Daily sales'!$G992:$CD992))</f>
        <v>0</v>
      </c>
      <c r="V1007">
        <f>IF($E1007=0,0,SUMPRODUCT($AI$16:$DF$16,'Staff Daily sales'!$G992:$CD992))</f>
        <v>0</v>
      </c>
      <c r="W1007">
        <f t="shared" si="271"/>
        <v>0</v>
      </c>
      <c r="X1007">
        <f t="shared" si="272"/>
        <v>0</v>
      </c>
      <c r="Y1007">
        <f t="shared" si="273"/>
        <v>0</v>
      </c>
      <c r="Z1007">
        <f t="shared" si="274"/>
        <v>0</v>
      </c>
      <c r="AA1007">
        <f t="shared" si="275"/>
        <v>0</v>
      </c>
      <c r="AB1007">
        <f>--AND($E1007=1,OR('Staff Weekly Trend'!$B$3="All",$DH1007='Staff Weekly Trend'!$B$3),OR('Staff Weekly Trend'!$B$4="All",$D1007='Staff Weekly Trend'!$B$4),OR('Staff Weekly Trend'!$B$5="All",$A1007='Staff Weekly Trend'!$B$5))</f>
        <v>0</v>
      </c>
      <c r="AC1007" t="str">
        <f t="shared" si="276"/>
        <v/>
      </c>
      <c r="AI1007">
        <f t="shared" si="277"/>
        <v>0</v>
      </c>
      <c r="AJ1007">
        <f t="shared" si="278"/>
        <v>0</v>
      </c>
      <c r="AK1007">
        <f t="shared" si="279"/>
        <v>0</v>
      </c>
      <c r="AL1007">
        <f t="shared" si="280"/>
        <v>0</v>
      </c>
      <c r="AM1007">
        <f t="shared" si="281"/>
        <v>0</v>
      </c>
      <c r="DH1007" t="str" cm="1">
        <f t="array" ref="DH1007">IF($A1007="","",_xlfn.LET(_xlpm.c,IFERROR(_xlfn.XLOOKUP($A1007,TRIM('Sales and count'!$A$4:$A$300&amp;""),TRIM('Sales and count'!$B$4:$B$300&amp;"")),""),IF(OR(_xlpm.c="",_xlpm.c="0",LEFT(_xlpm.c,1)="#"),"Not set",_xlpm.c)))</f>
        <v/>
      </c>
    </row>
    <row r="1008" spans="1:112" x14ac:dyDescent="0.25">
      <c r="A1008" t="str">
        <f>IF('Staff Daily sales'!$B993="","",TRIM('Staff Daily sales'!$B993&amp;""))</f>
        <v/>
      </c>
      <c r="B1008" t="str">
        <f>IF('Staff Daily sales'!$D993="","",TRIM('Staff Daily sales'!$D993&amp;""))</f>
        <v/>
      </c>
      <c r="C1008" t="str">
        <f>IFERROR(TRIM('Staff Daily sales'!$E993&amp;""),"")</f>
        <v/>
      </c>
      <c r="D1008" t="str">
        <f>IFERROR(IF(TRIM('Staff Daily sales'!$F993&amp;"")="","Unassigned",TRIM('Staff Daily sales'!$F993&amp;"")),"Unassigned")</f>
        <v>Unassigned</v>
      </c>
      <c r="E1008">
        <f t="shared" si="266"/>
        <v>0</v>
      </c>
      <c r="F1008">
        <f>IF($E1008=0,0,SUMPRODUCT($AI$5:$DF$5,'Staff Daily sales'!$G993:$CD993))</f>
        <v>0</v>
      </c>
      <c r="G1008">
        <f>IF($E1008=0,0,SUMPRODUCT($AI$6:$DF$6,'Staff Daily sales'!$G993:$CD993))</f>
        <v>0</v>
      </c>
      <c r="H1008">
        <f t="shared" si="267"/>
        <v>0</v>
      </c>
      <c r="I1008">
        <f t="shared" si="268"/>
        <v>0</v>
      </c>
      <c r="J1008">
        <f t="shared" si="269"/>
        <v>0</v>
      </c>
      <c r="K1008">
        <f t="shared" si="270"/>
        <v>0</v>
      </c>
      <c r="L1008">
        <f>--AND($E1008=1,OR('Staff Dashboard'!$B$6="All",$DH1008='Staff Dashboard'!$B$6),OR('Staff Dashboard'!$B$7="All",$D1008='Staff Dashboard'!$B$7),OR('Staff Dashboard'!$B$8="All",$A1008='Staff Dashboard'!$B$8))</f>
        <v>0</v>
      </c>
      <c r="M1008">
        <f>IF($E1008=0,0,SUMPRODUCT($AI$7:$DF$7,'Staff Daily sales'!$G993:$CD993))</f>
        <v>0</v>
      </c>
      <c r="N1008">
        <f>IF($E1008=0,0,SUMPRODUCT($AI$8:$DF$8,'Staff Daily sales'!$G993:$CD993))</f>
        <v>0</v>
      </c>
      <c r="O1008">
        <f>IF($E1008=0,0,SUMPRODUCT($AI$9:$DF$9,'Staff Daily sales'!$G993:$CD993))</f>
        <v>0</v>
      </c>
      <c r="P1008">
        <f>IF($E1008=0,0,SUMPRODUCT($AI$10:$DF$10,'Staff Daily sales'!$G993:$CD993))</f>
        <v>0</v>
      </c>
      <c r="Q1008">
        <f>IF($E1008=0,0,SUMPRODUCT($AI$11:$DF$11,'Staff Daily sales'!$G993:$CD993))</f>
        <v>0</v>
      </c>
      <c r="R1008">
        <f>IF($E1008=0,0,SUMPRODUCT($AI$12:$DF$12,'Staff Daily sales'!$G993:$CD993))</f>
        <v>0</v>
      </c>
      <c r="S1008">
        <f>IF($E1008=0,0,SUMPRODUCT($AI$13:$DF$13,'Staff Daily sales'!$G993:$CD993))</f>
        <v>0</v>
      </c>
      <c r="T1008">
        <f>IF($E1008=0,0,SUMPRODUCT($AI$14:$DF$14,'Staff Daily sales'!$G993:$CD993))</f>
        <v>0</v>
      </c>
      <c r="U1008">
        <f>IF($E1008=0,0,SUMPRODUCT($AI$15:$DF$15,'Staff Daily sales'!$G993:$CD993))</f>
        <v>0</v>
      </c>
      <c r="V1008">
        <f>IF($E1008=0,0,SUMPRODUCT($AI$16:$DF$16,'Staff Daily sales'!$G993:$CD993))</f>
        <v>0</v>
      </c>
      <c r="W1008">
        <f t="shared" si="271"/>
        <v>0</v>
      </c>
      <c r="X1008">
        <f t="shared" si="272"/>
        <v>0</v>
      </c>
      <c r="Y1008">
        <f t="shared" si="273"/>
        <v>0</v>
      </c>
      <c r="Z1008">
        <f t="shared" si="274"/>
        <v>0</v>
      </c>
      <c r="AA1008">
        <f t="shared" si="275"/>
        <v>0</v>
      </c>
      <c r="AB1008">
        <f>--AND($E1008=1,OR('Staff Weekly Trend'!$B$3="All",$DH1008='Staff Weekly Trend'!$B$3),OR('Staff Weekly Trend'!$B$4="All",$D1008='Staff Weekly Trend'!$B$4),OR('Staff Weekly Trend'!$B$5="All",$A1008='Staff Weekly Trend'!$B$5))</f>
        <v>0</v>
      </c>
      <c r="AC1008" t="str">
        <f t="shared" si="276"/>
        <v/>
      </c>
      <c r="AI1008">
        <f t="shared" si="277"/>
        <v>0</v>
      </c>
      <c r="AJ1008">
        <f t="shared" si="278"/>
        <v>0</v>
      </c>
      <c r="AK1008">
        <f t="shared" si="279"/>
        <v>0</v>
      </c>
      <c r="AL1008">
        <f t="shared" si="280"/>
        <v>0</v>
      </c>
      <c r="AM1008">
        <f t="shared" si="281"/>
        <v>0</v>
      </c>
      <c r="DH1008" t="str" cm="1">
        <f t="array" ref="DH1008">IF($A1008="","",_xlfn.LET(_xlpm.c,IFERROR(_xlfn.XLOOKUP($A1008,TRIM('Sales and count'!$A$4:$A$300&amp;""),TRIM('Sales and count'!$B$4:$B$300&amp;"")),""),IF(OR(_xlpm.c="",_xlpm.c="0",LEFT(_xlpm.c,1)="#"),"Not set",_xlpm.c)))</f>
        <v/>
      </c>
    </row>
    <row r="1009" spans="1:112" x14ac:dyDescent="0.25">
      <c r="A1009" t="str">
        <f>IF('Staff Daily sales'!$B994="","",TRIM('Staff Daily sales'!$B994&amp;""))</f>
        <v/>
      </c>
      <c r="B1009" t="str">
        <f>IF('Staff Daily sales'!$D994="","",TRIM('Staff Daily sales'!$D994&amp;""))</f>
        <v/>
      </c>
      <c r="C1009" t="str">
        <f>IFERROR(TRIM('Staff Daily sales'!$E994&amp;""),"")</f>
        <v/>
      </c>
      <c r="D1009" t="str">
        <f>IFERROR(IF(TRIM('Staff Daily sales'!$F994&amp;"")="","Unassigned",TRIM('Staff Daily sales'!$F994&amp;"")),"Unassigned")</f>
        <v>Unassigned</v>
      </c>
      <c r="E1009">
        <f t="shared" si="266"/>
        <v>0</v>
      </c>
      <c r="F1009">
        <f>IF($E1009=0,0,SUMPRODUCT($AI$5:$DF$5,'Staff Daily sales'!$G994:$CD994))</f>
        <v>0</v>
      </c>
      <c r="G1009">
        <f>IF($E1009=0,0,SUMPRODUCT($AI$6:$DF$6,'Staff Daily sales'!$G994:$CD994))</f>
        <v>0</v>
      </c>
      <c r="H1009">
        <f t="shared" si="267"/>
        <v>0</v>
      </c>
      <c r="I1009">
        <f t="shared" si="268"/>
        <v>0</v>
      </c>
      <c r="J1009">
        <f t="shared" si="269"/>
        <v>0</v>
      </c>
      <c r="K1009">
        <f t="shared" si="270"/>
        <v>0</v>
      </c>
      <c r="L1009">
        <f>--AND($E1009=1,OR('Staff Dashboard'!$B$6="All",$DH1009='Staff Dashboard'!$B$6),OR('Staff Dashboard'!$B$7="All",$D1009='Staff Dashboard'!$B$7),OR('Staff Dashboard'!$B$8="All",$A1009='Staff Dashboard'!$B$8))</f>
        <v>0</v>
      </c>
      <c r="M1009">
        <f>IF($E1009=0,0,SUMPRODUCT($AI$7:$DF$7,'Staff Daily sales'!$G994:$CD994))</f>
        <v>0</v>
      </c>
      <c r="N1009">
        <f>IF($E1009=0,0,SUMPRODUCT($AI$8:$DF$8,'Staff Daily sales'!$G994:$CD994))</f>
        <v>0</v>
      </c>
      <c r="O1009">
        <f>IF($E1009=0,0,SUMPRODUCT($AI$9:$DF$9,'Staff Daily sales'!$G994:$CD994))</f>
        <v>0</v>
      </c>
      <c r="P1009">
        <f>IF($E1009=0,0,SUMPRODUCT($AI$10:$DF$10,'Staff Daily sales'!$G994:$CD994))</f>
        <v>0</v>
      </c>
      <c r="Q1009">
        <f>IF($E1009=0,0,SUMPRODUCT($AI$11:$DF$11,'Staff Daily sales'!$G994:$CD994))</f>
        <v>0</v>
      </c>
      <c r="R1009">
        <f>IF($E1009=0,0,SUMPRODUCT($AI$12:$DF$12,'Staff Daily sales'!$G994:$CD994))</f>
        <v>0</v>
      </c>
      <c r="S1009">
        <f>IF($E1009=0,0,SUMPRODUCT($AI$13:$DF$13,'Staff Daily sales'!$G994:$CD994))</f>
        <v>0</v>
      </c>
      <c r="T1009">
        <f>IF($E1009=0,0,SUMPRODUCT($AI$14:$DF$14,'Staff Daily sales'!$G994:$CD994))</f>
        <v>0</v>
      </c>
      <c r="U1009">
        <f>IF($E1009=0,0,SUMPRODUCT($AI$15:$DF$15,'Staff Daily sales'!$G994:$CD994))</f>
        <v>0</v>
      </c>
      <c r="V1009">
        <f>IF($E1009=0,0,SUMPRODUCT($AI$16:$DF$16,'Staff Daily sales'!$G994:$CD994))</f>
        <v>0</v>
      </c>
      <c r="W1009">
        <f t="shared" si="271"/>
        <v>0</v>
      </c>
      <c r="X1009">
        <f t="shared" si="272"/>
        <v>0</v>
      </c>
      <c r="Y1009">
        <f t="shared" si="273"/>
        <v>0</v>
      </c>
      <c r="Z1009">
        <f t="shared" si="274"/>
        <v>0</v>
      </c>
      <c r="AA1009">
        <f t="shared" si="275"/>
        <v>0</v>
      </c>
      <c r="AB1009">
        <f>--AND($E1009=1,OR('Staff Weekly Trend'!$B$3="All",$DH1009='Staff Weekly Trend'!$B$3),OR('Staff Weekly Trend'!$B$4="All",$D1009='Staff Weekly Trend'!$B$4),OR('Staff Weekly Trend'!$B$5="All",$A1009='Staff Weekly Trend'!$B$5))</f>
        <v>0</v>
      </c>
      <c r="AC1009" t="str">
        <f t="shared" si="276"/>
        <v/>
      </c>
      <c r="AI1009">
        <f t="shared" si="277"/>
        <v>0</v>
      </c>
      <c r="AJ1009">
        <f t="shared" si="278"/>
        <v>0</v>
      </c>
      <c r="AK1009">
        <f t="shared" si="279"/>
        <v>0</v>
      </c>
      <c r="AL1009">
        <f t="shared" si="280"/>
        <v>0</v>
      </c>
      <c r="AM1009">
        <f t="shared" si="281"/>
        <v>0</v>
      </c>
      <c r="DH1009" t="str" cm="1">
        <f t="array" ref="DH1009">IF($A1009="","",_xlfn.LET(_xlpm.c,IFERROR(_xlfn.XLOOKUP($A1009,TRIM('Sales and count'!$A$4:$A$300&amp;""),TRIM('Sales and count'!$B$4:$B$300&amp;"")),""),IF(OR(_xlpm.c="",_xlpm.c="0",LEFT(_xlpm.c,1)="#"),"Not set",_xlpm.c)))</f>
        <v/>
      </c>
    </row>
    <row r="1010" spans="1:112" x14ac:dyDescent="0.25">
      <c r="A1010" t="str">
        <f>IF('Staff Daily sales'!$B995="","",TRIM('Staff Daily sales'!$B995&amp;""))</f>
        <v/>
      </c>
      <c r="B1010" t="str">
        <f>IF('Staff Daily sales'!$D995="","",TRIM('Staff Daily sales'!$D995&amp;""))</f>
        <v/>
      </c>
      <c r="C1010" t="str">
        <f>IFERROR(TRIM('Staff Daily sales'!$E995&amp;""),"")</f>
        <v/>
      </c>
      <c r="D1010" t="str">
        <f>IFERROR(IF(TRIM('Staff Daily sales'!$F995&amp;"")="","Unassigned",TRIM('Staff Daily sales'!$F995&amp;"")),"Unassigned")</f>
        <v>Unassigned</v>
      </c>
      <c r="E1010">
        <f t="shared" si="266"/>
        <v>0</v>
      </c>
      <c r="F1010">
        <f>IF($E1010=0,0,SUMPRODUCT($AI$5:$DF$5,'Staff Daily sales'!$G995:$CD995))</f>
        <v>0</v>
      </c>
      <c r="G1010">
        <f>IF($E1010=0,0,SUMPRODUCT($AI$6:$DF$6,'Staff Daily sales'!$G995:$CD995))</f>
        <v>0</v>
      </c>
      <c r="H1010">
        <f t="shared" si="267"/>
        <v>0</v>
      </c>
      <c r="I1010">
        <f t="shared" si="268"/>
        <v>0</v>
      </c>
      <c r="J1010">
        <f t="shared" si="269"/>
        <v>0</v>
      </c>
      <c r="K1010">
        <f t="shared" si="270"/>
        <v>0</v>
      </c>
      <c r="L1010">
        <f>--AND($E1010=1,OR('Staff Dashboard'!$B$6="All",$DH1010='Staff Dashboard'!$B$6),OR('Staff Dashboard'!$B$7="All",$D1010='Staff Dashboard'!$B$7),OR('Staff Dashboard'!$B$8="All",$A1010='Staff Dashboard'!$B$8))</f>
        <v>0</v>
      </c>
      <c r="M1010">
        <f>IF($E1010=0,0,SUMPRODUCT($AI$7:$DF$7,'Staff Daily sales'!$G995:$CD995))</f>
        <v>0</v>
      </c>
      <c r="N1010">
        <f>IF($E1010=0,0,SUMPRODUCT($AI$8:$DF$8,'Staff Daily sales'!$G995:$CD995))</f>
        <v>0</v>
      </c>
      <c r="O1010">
        <f>IF($E1010=0,0,SUMPRODUCT($AI$9:$DF$9,'Staff Daily sales'!$G995:$CD995))</f>
        <v>0</v>
      </c>
      <c r="P1010">
        <f>IF($E1010=0,0,SUMPRODUCT($AI$10:$DF$10,'Staff Daily sales'!$G995:$CD995))</f>
        <v>0</v>
      </c>
      <c r="Q1010">
        <f>IF($E1010=0,0,SUMPRODUCT($AI$11:$DF$11,'Staff Daily sales'!$G995:$CD995))</f>
        <v>0</v>
      </c>
      <c r="R1010">
        <f>IF($E1010=0,0,SUMPRODUCT($AI$12:$DF$12,'Staff Daily sales'!$G995:$CD995))</f>
        <v>0</v>
      </c>
      <c r="S1010">
        <f>IF($E1010=0,0,SUMPRODUCT($AI$13:$DF$13,'Staff Daily sales'!$G995:$CD995))</f>
        <v>0</v>
      </c>
      <c r="T1010">
        <f>IF($E1010=0,0,SUMPRODUCT($AI$14:$DF$14,'Staff Daily sales'!$G995:$CD995))</f>
        <v>0</v>
      </c>
      <c r="U1010">
        <f>IF($E1010=0,0,SUMPRODUCT($AI$15:$DF$15,'Staff Daily sales'!$G995:$CD995))</f>
        <v>0</v>
      </c>
      <c r="V1010">
        <f>IF($E1010=0,0,SUMPRODUCT($AI$16:$DF$16,'Staff Daily sales'!$G995:$CD995))</f>
        <v>0</v>
      </c>
      <c r="W1010">
        <f t="shared" si="271"/>
        <v>0</v>
      </c>
      <c r="X1010">
        <f t="shared" si="272"/>
        <v>0</v>
      </c>
      <c r="Y1010">
        <f t="shared" si="273"/>
        <v>0</v>
      </c>
      <c r="Z1010">
        <f t="shared" si="274"/>
        <v>0</v>
      </c>
      <c r="AA1010">
        <f t="shared" si="275"/>
        <v>0</v>
      </c>
      <c r="AB1010">
        <f>--AND($E1010=1,OR('Staff Weekly Trend'!$B$3="All",$DH1010='Staff Weekly Trend'!$B$3),OR('Staff Weekly Trend'!$B$4="All",$D1010='Staff Weekly Trend'!$B$4),OR('Staff Weekly Trend'!$B$5="All",$A1010='Staff Weekly Trend'!$B$5))</f>
        <v>0</v>
      </c>
      <c r="AC1010" t="str">
        <f t="shared" si="276"/>
        <v/>
      </c>
      <c r="AI1010">
        <f t="shared" si="277"/>
        <v>0</v>
      </c>
      <c r="AJ1010">
        <f t="shared" si="278"/>
        <v>0</v>
      </c>
      <c r="AK1010">
        <f t="shared" si="279"/>
        <v>0</v>
      </c>
      <c r="AL1010">
        <f t="shared" si="280"/>
        <v>0</v>
      </c>
      <c r="AM1010">
        <f t="shared" si="281"/>
        <v>0</v>
      </c>
      <c r="DH1010" t="str" cm="1">
        <f t="array" ref="DH1010">IF($A1010="","",_xlfn.LET(_xlpm.c,IFERROR(_xlfn.XLOOKUP($A1010,TRIM('Sales and count'!$A$4:$A$300&amp;""),TRIM('Sales and count'!$B$4:$B$300&amp;"")),""),IF(OR(_xlpm.c="",_xlpm.c="0",LEFT(_xlpm.c,1)="#"),"Not set",_xlpm.c)))</f>
        <v/>
      </c>
    </row>
    <row r="1011" spans="1:112" x14ac:dyDescent="0.25">
      <c r="A1011" t="str">
        <f>IF('Staff Daily sales'!$B996="","",TRIM('Staff Daily sales'!$B996&amp;""))</f>
        <v/>
      </c>
      <c r="B1011" t="str">
        <f>IF('Staff Daily sales'!$D996="","",TRIM('Staff Daily sales'!$D996&amp;""))</f>
        <v/>
      </c>
      <c r="C1011" t="str">
        <f>IFERROR(TRIM('Staff Daily sales'!$E996&amp;""),"")</f>
        <v/>
      </c>
      <c r="D1011" t="str">
        <f>IFERROR(IF(TRIM('Staff Daily sales'!$F996&amp;"")="","Unassigned",TRIM('Staff Daily sales'!$F996&amp;"")),"Unassigned")</f>
        <v>Unassigned</v>
      </c>
      <c r="E1011">
        <f t="shared" si="266"/>
        <v>0</v>
      </c>
      <c r="F1011">
        <f>IF($E1011=0,0,SUMPRODUCT($AI$5:$DF$5,'Staff Daily sales'!$G996:$CD996))</f>
        <v>0</v>
      </c>
      <c r="G1011">
        <f>IF($E1011=0,0,SUMPRODUCT($AI$6:$DF$6,'Staff Daily sales'!$G996:$CD996))</f>
        <v>0</v>
      </c>
      <c r="H1011">
        <f t="shared" si="267"/>
        <v>0</v>
      </c>
      <c r="I1011">
        <f t="shared" si="268"/>
        <v>0</v>
      </c>
      <c r="J1011">
        <f t="shared" si="269"/>
        <v>0</v>
      </c>
      <c r="K1011">
        <f t="shared" si="270"/>
        <v>0</v>
      </c>
      <c r="L1011">
        <f>--AND($E1011=1,OR('Staff Dashboard'!$B$6="All",$DH1011='Staff Dashboard'!$B$6),OR('Staff Dashboard'!$B$7="All",$D1011='Staff Dashboard'!$B$7),OR('Staff Dashboard'!$B$8="All",$A1011='Staff Dashboard'!$B$8))</f>
        <v>0</v>
      </c>
      <c r="M1011">
        <f>IF($E1011=0,0,SUMPRODUCT($AI$7:$DF$7,'Staff Daily sales'!$G996:$CD996))</f>
        <v>0</v>
      </c>
      <c r="N1011">
        <f>IF($E1011=0,0,SUMPRODUCT($AI$8:$DF$8,'Staff Daily sales'!$G996:$CD996))</f>
        <v>0</v>
      </c>
      <c r="O1011">
        <f>IF($E1011=0,0,SUMPRODUCT($AI$9:$DF$9,'Staff Daily sales'!$G996:$CD996))</f>
        <v>0</v>
      </c>
      <c r="P1011">
        <f>IF($E1011=0,0,SUMPRODUCT($AI$10:$DF$10,'Staff Daily sales'!$G996:$CD996))</f>
        <v>0</v>
      </c>
      <c r="Q1011">
        <f>IF($E1011=0,0,SUMPRODUCT($AI$11:$DF$11,'Staff Daily sales'!$G996:$CD996))</f>
        <v>0</v>
      </c>
      <c r="R1011">
        <f>IF($E1011=0,0,SUMPRODUCT($AI$12:$DF$12,'Staff Daily sales'!$G996:$CD996))</f>
        <v>0</v>
      </c>
      <c r="S1011">
        <f>IF($E1011=0,0,SUMPRODUCT($AI$13:$DF$13,'Staff Daily sales'!$G996:$CD996))</f>
        <v>0</v>
      </c>
      <c r="T1011">
        <f>IF($E1011=0,0,SUMPRODUCT($AI$14:$DF$14,'Staff Daily sales'!$G996:$CD996))</f>
        <v>0</v>
      </c>
      <c r="U1011">
        <f>IF($E1011=0,0,SUMPRODUCT($AI$15:$DF$15,'Staff Daily sales'!$G996:$CD996))</f>
        <v>0</v>
      </c>
      <c r="V1011">
        <f>IF($E1011=0,0,SUMPRODUCT($AI$16:$DF$16,'Staff Daily sales'!$G996:$CD996))</f>
        <v>0</v>
      </c>
      <c r="W1011">
        <f t="shared" si="271"/>
        <v>0</v>
      </c>
      <c r="X1011">
        <f t="shared" si="272"/>
        <v>0</v>
      </c>
      <c r="Y1011">
        <f t="shared" si="273"/>
        <v>0</v>
      </c>
      <c r="Z1011">
        <f t="shared" si="274"/>
        <v>0</v>
      </c>
      <c r="AA1011">
        <f t="shared" si="275"/>
        <v>0</v>
      </c>
      <c r="AB1011">
        <f>--AND($E1011=1,OR('Staff Weekly Trend'!$B$3="All",$DH1011='Staff Weekly Trend'!$B$3),OR('Staff Weekly Trend'!$B$4="All",$D1011='Staff Weekly Trend'!$B$4),OR('Staff Weekly Trend'!$B$5="All",$A1011='Staff Weekly Trend'!$B$5))</f>
        <v>0</v>
      </c>
      <c r="AC1011" t="str">
        <f t="shared" si="276"/>
        <v/>
      </c>
      <c r="AI1011">
        <f t="shared" si="277"/>
        <v>0</v>
      </c>
      <c r="AJ1011">
        <f t="shared" si="278"/>
        <v>0</v>
      </c>
      <c r="AK1011">
        <f t="shared" si="279"/>
        <v>0</v>
      </c>
      <c r="AL1011">
        <f t="shared" si="280"/>
        <v>0</v>
      </c>
      <c r="AM1011">
        <f t="shared" si="281"/>
        <v>0</v>
      </c>
      <c r="DH1011" t="str" cm="1">
        <f t="array" ref="DH1011">IF($A1011="","",_xlfn.LET(_xlpm.c,IFERROR(_xlfn.XLOOKUP($A1011,TRIM('Sales and count'!$A$4:$A$300&amp;""),TRIM('Sales and count'!$B$4:$B$300&amp;"")),""),IF(OR(_xlpm.c="",_xlpm.c="0",LEFT(_xlpm.c,1)="#"),"Not set",_xlpm.c)))</f>
        <v/>
      </c>
    </row>
    <row r="1012" spans="1:112" x14ac:dyDescent="0.25">
      <c r="A1012" t="str">
        <f>IF('Staff Daily sales'!$B997="","",TRIM('Staff Daily sales'!$B997&amp;""))</f>
        <v/>
      </c>
      <c r="B1012" t="str">
        <f>IF('Staff Daily sales'!$D997="","",TRIM('Staff Daily sales'!$D997&amp;""))</f>
        <v/>
      </c>
      <c r="C1012" t="str">
        <f>IFERROR(TRIM('Staff Daily sales'!$E997&amp;""),"")</f>
        <v/>
      </c>
      <c r="D1012" t="str">
        <f>IFERROR(IF(TRIM('Staff Daily sales'!$F997&amp;"")="","Unassigned",TRIM('Staff Daily sales'!$F997&amp;"")),"Unassigned")</f>
        <v>Unassigned</v>
      </c>
      <c r="E1012">
        <f t="shared" si="266"/>
        <v>0</v>
      </c>
      <c r="F1012">
        <f>IF($E1012=0,0,SUMPRODUCT($AI$5:$DF$5,'Staff Daily sales'!$G997:$CD997))</f>
        <v>0</v>
      </c>
      <c r="G1012">
        <f>IF($E1012=0,0,SUMPRODUCT($AI$6:$DF$6,'Staff Daily sales'!$G997:$CD997))</f>
        <v>0</v>
      </c>
      <c r="H1012">
        <f t="shared" si="267"/>
        <v>0</v>
      </c>
      <c r="I1012">
        <f t="shared" si="268"/>
        <v>0</v>
      </c>
      <c r="J1012">
        <f t="shared" si="269"/>
        <v>0</v>
      </c>
      <c r="K1012">
        <f t="shared" si="270"/>
        <v>0</v>
      </c>
      <c r="L1012">
        <f>--AND($E1012=1,OR('Staff Dashboard'!$B$6="All",$DH1012='Staff Dashboard'!$B$6),OR('Staff Dashboard'!$B$7="All",$D1012='Staff Dashboard'!$B$7),OR('Staff Dashboard'!$B$8="All",$A1012='Staff Dashboard'!$B$8))</f>
        <v>0</v>
      </c>
      <c r="M1012">
        <f>IF($E1012=0,0,SUMPRODUCT($AI$7:$DF$7,'Staff Daily sales'!$G997:$CD997))</f>
        <v>0</v>
      </c>
      <c r="N1012">
        <f>IF($E1012=0,0,SUMPRODUCT($AI$8:$DF$8,'Staff Daily sales'!$G997:$CD997))</f>
        <v>0</v>
      </c>
      <c r="O1012">
        <f>IF($E1012=0,0,SUMPRODUCT($AI$9:$DF$9,'Staff Daily sales'!$G997:$CD997))</f>
        <v>0</v>
      </c>
      <c r="P1012">
        <f>IF($E1012=0,0,SUMPRODUCT($AI$10:$DF$10,'Staff Daily sales'!$G997:$CD997))</f>
        <v>0</v>
      </c>
      <c r="Q1012">
        <f>IF($E1012=0,0,SUMPRODUCT($AI$11:$DF$11,'Staff Daily sales'!$G997:$CD997))</f>
        <v>0</v>
      </c>
      <c r="R1012">
        <f>IF($E1012=0,0,SUMPRODUCT($AI$12:$DF$12,'Staff Daily sales'!$G997:$CD997))</f>
        <v>0</v>
      </c>
      <c r="S1012">
        <f>IF($E1012=0,0,SUMPRODUCT($AI$13:$DF$13,'Staff Daily sales'!$G997:$CD997))</f>
        <v>0</v>
      </c>
      <c r="T1012">
        <f>IF($E1012=0,0,SUMPRODUCT($AI$14:$DF$14,'Staff Daily sales'!$G997:$CD997))</f>
        <v>0</v>
      </c>
      <c r="U1012">
        <f>IF($E1012=0,0,SUMPRODUCT($AI$15:$DF$15,'Staff Daily sales'!$G997:$CD997))</f>
        <v>0</v>
      </c>
      <c r="V1012">
        <f>IF($E1012=0,0,SUMPRODUCT($AI$16:$DF$16,'Staff Daily sales'!$G997:$CD997))</f>
        <v>0</v>
      </c>
      <c r="W1012">
        <f t="shared" si="271"/>
        <v>0</v>
      </c>
      <c r="X1012">
        <f t="shared" si="272"/>
        <v>0</v>
      </c>
      <c r="Y1012">
        <f t="shared" si="273"/>
        <v>0</v>
      </c>
      <c r="Z1012">
        <f t="shared" si="274"/>
        <v>0</v>
      </c>
      <c r="AA1012">
        <f t="shared" si="275"/>
        <v>0</v>
      </c>
      <c r="AB1012">
        <f>--AND($E1012=1,OR('Staff Weekly Trend'!$B$3="All",$DH1012='Staff Weekly Trend'!$B$3),OR('Staff Weekly Trend'!$B$4="All",$D1012='Staff Weekly Trend'!$B$4),OR('Staff Weekly Trend'!$B$5="All",$A1012='Staff Weekly Trend'!$B$5))</f>
        <v>0</v>
      </c>
      <c r="AC1012" t="str">
        <f t="shared" si="276"/>
        <v/>
      </c>
      <c r="AI1012">
        <f t="shared" si="277"/>
        <v>0</v>
      </c>
      <c r="AJ1012">
        <f t="shared" si="278"/>
        <v>0</v>
      </c>
      <c r="AK1012">
        <f t="shared" si="279"/>
        <v>0</v>
      </c>
      <c r="AL1012">
        <f t="shared" si="280"/>
        <v>0</v>
      </c>
      <c r="AM1012">
        <f t="shared" si="281"/>
        <v>0</v>
      </c>
      <c r="DH1012" t="str" cm="1">
        <f t="array" ref="DH1012">IF($A1012="","",_xlfn.LET(_xlpm.c,IFERROR(_xlfn.XLOOKUP($A1012,TRIM('Sales and count'!$A$4:$A$300&amp;""),TRIM('Sales and count'!$B$4:$B$300&amp;"")),""),IF(OR(_xlpm.c="",_xlpm.c="0",LEFT(_xlpm.c,1)="#"),"Not set",_xlpm.c)))</f>
        <v/>
      </c>
    </row>
    <row r="1013" spans="1:112" x14ac:dyDescent="0.25">
      <c r="A1013" t="str">
        <f>IF('Staff Daily sales'!$B998="","",TRIM('Staff Daily sales'!$B998&amp;""))</f>
        <v/>
      </c>
      <c r="B1013" t="str">
        <f>IF('Staff Daily sales'!$D998="","",TRIM('Staff Daily sales'!$D998&amp;""))</f>
        <v/>
      </c>
      <c r="C1013" t="str">
        <f>IFERROR(TRIM('Staff Daily sales'!$E998&amp;""),"")</f>
        <v/>
      </c>
      <c r="D1013" t="str">
        <f>IFERROR(IF(TRIM('Staff Daily sales'!$F998&amp;"")="","Unassigned",TRIM('Staff Daily sales'!$F998&amp;"")),"Unassigned")</f>
        <v>Unassigned</v>
      </c>
      <c r="E1013">
        <f t="shared" si="266"/>
        <v>0</v>
      </c>
      <c r="F1013">
        <f>IF($E1013=0,0,SUMPRODUCT($AI$5:$DF$5,'Staff Daily sales'!$G998:$CD998))</f>
        <v>0</v>
      </c>
      <c r="G1013">
        <f>IF($E1013=0,0,SUMPRODUCT($AI$6:$DF$6,'Staff Daily sales'!$G998:$CD998))</f>
        <v>0</v>
      </c>
      <c r="H1013">
        <f t="shared" si="267"/>
        <v>0</v>
      </c>
      <c r="I1013">
        <f t="shared" si="268"/>
        <v>0</v>
      </c>
      <c r="J1013">
        <f t="shared" si="269"/>
        <v>0</v>
      </c>
      <c r="K1013">
        <f t="shared" si="270"/>
        <v>0</v>
      </c>
      <c r="L1013">
        <f>--AND($E1013=1,OR('Staff Dashboard'!$B$6="All",$DH1013='Staff Dashboard'!$B$6),OR('Staff Dashboard'!$B$7="All",$D1013='Staff Dashboard'!$B$7),OR('Staff Dashboard'!$B$8="All",$A1013='Staff Dashboard'!$B$8))</f>
        <v>0</v>
      </c>
      <c r="M1013">
        <f>IF($E1013=0,0,SUMPRODUCT($AI$7:$DF$7,'Staff Daily sales'!$G998:$CD998))</f>
        <v>0</v>
      </c>
      <c r="N1013">
        <f>IF($E1013=0,0,SUMPRODUCT($AI$8:$DF$8,'Staff Daily sales'!$G998:$CD998))</f>
        <v>0</v>
      </c>
      <c r="O1013">
        <f>IF($E1013=0,0,SUMPRODUCT($AI$9:$DF$9,'Staff Daily sales'!$G998:$CD998))</f>
        <v>0</v>
      </c>
      <c r="P1013">
        <f>IF($E1013=0,0,SUMPRODUCT($AI$10:$DF$10,'Staff Daily sales'!$G998:$CD998))</f>
        <v>0</v>
      </c>
      <c r="Q1013">
        <f>IF($E1013=0,0,SUMPRODUCT($AI$11:$DF$11,'Staff Daily sales'!$G998:$CD998))</f>
        <v>0</v>
      </c>
      <c r="R1013">
        <f>IF($E1013=0,0,SUMPRODUCT($AI$12:$DF$12,'Staff Daily sales'!$G998:$CD998))</f>
        <v>0</v>
      </c>
      <c r="S1013">
        <f>IF($E1013=0,0,SUMPRODUCT($AI$13:$DF$13,'Staff Daily sales'!$G998:$CD998))</f>
        <v>0</v>
      </c>
      <c r="T1013">
        <f>IF($E1013=0,0,SUMPRODUCT($AI$14:$DF$14,'Staff Daily sales'!$G998:$CD998))</f>
        <v>0</v>
      </c>
      <c r="U1013">
        <f>IF($E1013=0,0,SUMPRODUCT($AI$15:$DF$15,'Staff Daily sales'!$G998:$CD998))</f>
        <v>0</v>
      </c>
      <c r="V1013">
        <f>IF($E1013=0,0,SUMPRODUCT($AI$16:$DF$16,'Staff Daily sales'!$G998:$CD998))</f>
        <v>0</v>
      </c>
      <c r="W1013">
        <f t="shared" si="271"/>
        <v>0</v>
      </c>
      <c r="X1013">
        <f t="shared" si="272"/>
        <v>0</v>
      </c>
      <c r="Y1013">
        <f t="shared" si="273"/>
        <v>0</v>
      </c>
      <c r="Z1013">
        <f t="shared" si="274"/>
        <v>0</v>
      </c>
      <c r="AA1013">
        <f t="shared" si="275"/>
        <v>0</v>
      </c>
      <c r="AB1013">
        <f>--AND($E1013=1,OR('Staff Weekly Trend'!$B$3="All",$DH1013='Staff Weekly Trend'!$B$3),OR('Staff Weekly Trend'!$B$4="All",$D1013='Staff Weekly Trend'!$B$4),OR('Staff Weekly Trend'!$B$5="All",$A1013='Staff Weekly Trend'!$B$5))</f>
        <v>0</v>
      </c>
      <c r="AC1013" t="str">
        <f t="shared" si="276"/>
        <v/>
      </c>
      <c r="AI1013">
        <f t="shared" si="277"/>
        <v>0</v>
      </c>
      <c r="AJ1013">
        <f t="shared" si="278"/>
        <v>0</v>
      </c>
      <c r="AK1013">
        <f t="shared" si="279"/>
        <v>0</v>
      </c>
      <c r="AL1013">
        <f t="shared" si="280"/>
        <v>0</v>
      </c>
      <c r="AM1013">
        <f t="shared" si="281"/>
        <v>0</v>
      </c>
      <c r="DH1013" t="str" cm="1">
        <f t="array" ref="DH1013">IF($A1013="","",_xlfn.LET(_xlpm.c,IFERROR(_xlfn.XLOOKUP($A1013,TRIM('Sales and count'!$A$4:$A$300&amp;""),TRIM('Sales and count'!$B$4:$B$300&amp;"")),""),IF(OR(_xlpm.c="",_xlpm.c="0",LEFT(_xlpm.c,1)="#"),"Not set",_xlpm.c)))</f>
        <v/>
      </c>
    </row>
    <row r="1014" spans="1:112" x14ac:dyDescent="0.25">
      <c r="A1014" t="str">
        <f>IF('Staff Daily sales'!$B999="","",TRIM('Staff Daily sales'!$B999&amp;""))</f>
        <v/>
      </c>
      <c r="B1014" t="str">
        <f>IF('Staff Daily sales'!$D999="","",TRIM('Staff Daily sales'!$D999&amp;""))</f>
        <v/>
      </c>
      <c r="C1014" t="str">
        <f>IFERROR(TRIM('Staff Daily sales'!$E999&amp;""),"")</f>
        <v/>
      </c>
      <c r="D1014" t="str">
        <f>IFERROR(IF(TRIM('Staff Daily sales'!$F999&amp;"")="","Unassigned",TRIM('Staff Daily sales'!$F999&amp;"")),"Unassigned")</f>
        <v>Unassigned</v>
      </c>
      <c r="E1014">
        <f t="shared" si="266"/>
        <v>0</v>
      </c>
      <c r="F1014">
        <f>IF($E1014=0,0,SUMPRODUCT($AI$5:$DF$5,'Staff Daily sales'!$G999:$CD999))</f>
        <v>0</v>
      </c>
      <c r="G1014">
        <f>IF($E1014=0,0,SUMPRODUCT($AI$6:$DF$6,'Staff Daily sales'!$G999:$CD999))</f>
        <v>0</v>
      </c>
      <c r="H1014">
        <f t="shared" si="267"/>
        <v>0</v>
      </c>
      <c r="I1014">
        <f t="shared" si="268"/>
        <v>0</v>
      </c>
      <c r="J1014">
        <f t="shared" si="269"/>
        <v>0</v>
      </c>
      <c r="K1014">
        <f t="shared" si="270"/>
        <v>0</v>
      </c>
      <c r="L1014">
        <f>--AND($E1014=1,OR('Staff Dashboard'!$B$6="All",$DH1014='Staff Dashboard'!$B$6),OR('Staff Dashboard'!$B$7="All",$D1014='Staff Dashboard'!$B$7),OR('Staff Dashboard'!$B$8="All",$A1014='Staff Dashboard'!$B$8))</f>
        <v>0</v>
      </c>
      <c r="M1014">
        <f>IF($E1014=0,0,SUMPRODUCT($AI$7:$DF$7,'Staff Daily sales'!$G999:$CD999))</f>
        <v>0</v>
      </c>
      <c r="N1014">
        <f>IF($E1014=0,0,SUMPRODUCT($AI$8:$DF$8,'Staff Daily sales'!$G999:$CD999))</f>
        <v>0</v>
      </c>
      <c r="O1014">
        <f>IF($E1014=0,0,SUMPRODUCT($AI$9:$DF$9,'Staff Daily sales'!$G999:$CD999))</f>
        <v>0</v>
      </c>
      <c r="P1014">
        <f>IF($E1014=0,0,SUMPRODUCT($AI$10:$DF$10,'Staff Daily sales'!$G999:$CD999))</f>
        <v>0</v>
      </c>
      <c r="Q1014">
        <f>IF($E1014=0,0,SUMPRODUCT($AI$11:$DF$11,'Staff Daily sales'!$G999:$CD999))</f>
        <v>0</v>
      </c>
      <c r="R1014">
        <f>IF($E1014=0,0,SUMPRODUCT($AI$12:$DF$12,'Staff Daily sales'!$G999:$CD999))</f>
        <v>0</v>
      </c>
      <c r="S1014">
        <f>IF($E1014=0,0,SUMPRODUCT($AI$13:$DF$13,'Staff Daily sales'!$G999:$CD999))</f>
        <v>0</v>
      </c>
      <c r="T1014">
        <f>IF($E1014=0,0,SUMPRODUCT($AI$14:$DF$14,'Staff Daily sales'!$G999:$CD999))</f>
        <v>0</v>
      </c>
      <c r="U1014">
        <f>IF($E1014=0,0,SUMPRODUCT($AI$15:$DF$15,'Staff Daily sales'!$G999:$CD999))</f>
        <v>0</v>
      </c>
      <c r="V1014">
        <f>IF($E1014=0,0,SUMPRODUCT($AI$16:$DF$16,'Staff Daily sales'!$G999:$CD999))</f>
        <v>0</v>
      </c>
      <c r="W1014">
        <f t="shared" si="271"/>
        <v>0</v>
      </c>
      <c r="X1014">
        <f t="shared" si="272"/>
        <v>0</v>
      </c>
      <c r="Y1014">
        <f t="shared" si="273"/>
        <v>0</v>
      </c>
      <c r="Z1014">
        <f t="shared" si="274"/>
        <v>0</v>
      </c>
      <c r="AA1014">
        <f t="shared" si="275"/>
        <v>0</v>
      </c>
      <c r="AB1014">
        <f>--AND($E1014=1,OR('Staff Weekly Trend'!$B$3="All",$DH1014='Staff Weekly Trend'!$B$3),OR('Staff Weekly Trend'!$B$4="All",$D1014='Staff Weekly Trend'!$B$4),OR('Staff Weekly Trend'!$B$5="All",$A1014='Staff Weekly Trend'!$B$5))</f>
        <v>0</v>
      </c>
      <c r="AC1014" t="str">
        <f t="shared" si="276"/>
        <v/>
      </c>
      <c r="AI1014">
        <f t="shared" si="277"/>
        <v>0</v>
      </c>
      <c r="AJ1014">
        <f t="shared" si="278"/>
        <v>0</v>
      </c>
      <c r="AK1014">
        <f t="shared" si="279"/>
        <v>0</v>
      </c>
      <c r="AL1014">
        <f t="shared" si="280"/>
        <v>0</v>
      </c>
      <c r="AM1014">
        <f t="shared" si="281"/>
        <v>0</v>
      </c>
      <c r="DH1014" t="str" cm="1">
        <f t="array" ref="DH1014">IF($A1014="","",_xlfn.LET(_xlpm.c,IFERROR(_xlfn.XLOOKUP($A1014,TRIM('Sales and count'!$A$4:$A$300&amp;""),TRIM('Sales and count'!$B$4:$B$300&amp;"")),""),IF(OR(_xlpm.c="",_xlpm.c="0",LEFT(_xlpm.c,1)="#"),"Not set",_xlpm.c)))</f>
        <v/>
      </c>
    </row>
    <row r="1015" spans="1:112" x14ac:dyDescent="0.25">
      <c r="A1015" t="str">
        <f>IF('Staff Daily sales'!$B1000="","",TRIM('Staff Daily sales'!$B1000&amp;""))</f>
        <v/>
      </c>
      <c r="B1015" t="str">
        <f>IF('Staff Daily sales'!$D1000="","",TRIM('Staff Daily sales'!$D1000&amp;""))</f>
        <v/>
      </c>
      <c r="C1015" t="str">
        <f>IFERROR(TRIM('Staff Daily sales'!$E1000&amp;""),"")</f>
        <v/>
      </c>
      <c r="D1015" t="str">
        <f>IFERROR(IF(TRIM('Staff Daily sales'!$F1000&amp;"")="","Unassigned",TRIM('Staff Daily sales'!$F1000&amp;"")),"Unassigned")</f>
        <v>Unassigned</v>
      </c>
      <c r="E1015">
        <f t="shared" si="266"/>
        <v>0</v>
      </c>
      <c r="F1015">
        <f>IF($E1015=0,0,SUMPRODUCT($AI$5:$DF$5,'Staff Daily sales'!$G1000:$CD1000))</f>
        <v>0</v>
      </c>
      <c r="G1015">
        <f>IF($E1015=0,0,SUMPRODUCT($AI$6:$DF$6,'Staff Daily sales'!$G1000:$CD1000))</f>
        <v>0</v>
      </c>
      <c r="H1015">
        <f t="shared" si="267"/>
        <v>0</v>
      </c>
      <c r="I1015">
        <f t="shared" si="268"/>
        <v>0</v>
      </c>
      <c r="J1015">
        <f t="shared" si="269"/>
        <v>0</v>
      </c>
      <c r="K1015">
        <f t="shared" si="270"/>
        <v>0</v>
      </c>
      <c r="L1015">
        <f>--AND($E1015=1,OR('Staff Dashboard'!$B$6="All",$DH1015='Staff Dashboard'!$B$6),OR('Staff Dashboard'!$B$7="All",$D1015='Staff Dashboard'!$B$7),OR('Staff Dashboard'!$B$8="All",$A1015='Staff Dashboard'!$B$8))</f>
        <v>0</v>
      </c>
      <c r="M1015">
        <f>IF($E1015=0,0,SUMPRODUCT($AI$7:$DF$7,'Staff Daily sales'!$G1000:$CD1000))</f>
        <v>0</v>
      </c>
      <c r="N1015">
        <f>IF($E1015=0,0,SUMPRODUCT($AI$8:$DF$8,'Staff Daily sales'!$G1000:$CD1000))</f>
        <v>0</v>
      </c>
      <c r="O1015">
        <f>IF($E1015=0,0,SUMPRODUCT($AI$9:$DF$9,'Staff Daily sales'!$G1000:$CD1000))</f>
        <v>0</v>
      </c>
      <c r="P1015">
        <f>IF($E1015=0,0,SUMPRODUCT($AI$10:$DF$10,'Staff Daily sales'!$G1000:$CD1000))</f>
        <v>0</v>
      </c>
      <c r="Q1015">
        <f>IF($E1015=0,0,SUMPRODUCT($AI$11:$DF$11,'Staff Daily sales'!$G1000:$CD1000))</f>
        <v>0</v>
      </c>
      <c r="R1015">
        <f>IF($E1015=0,0,SUMPRODUCT($AI$12:$DF$12,'Staff Daily sales'!$G1000:$CD1000))</f>
        <v>0</v>
      </c>
      <c r="S1015">
        <f>IF($E1015=0,0,SUMPRODUCT($AI$13:$DF$13,'Staff Daily sales'!$G1000:$CD1000))</f>
        <v>0</v>
      </c>
      <c r="T1015">
        <f>IF($E1015=0,0,SUMPRODUCT($AI$14:$DF$14,'Staff Daily sales'!$G1000:$CD1000))</f>
        <v>0</v>
      </c>
      <c r="U1015">
        <f>IF($E1015=0,0,SUMPRODUCT($AI$15:$DF$15,'Staff Daily sales'!$G1000:$CD1000))</f>
        <v>0</v>
      </c>
      <c r="V1015">
        <f>IF($E1015=0,0,SUMPRODUCT($AI$16:$DF$16,'Staff Daily sales'!$G1000:$CD1000))</f>
        <v>0</v>
      </c>
      <c r="W1015">
        <f t="shared" si="271"/>
        <v>0</v>
      </c>
      <c r="X1015">
        <f t="shared" si="272"/>
        <v>0</v>
      </c>
      <c r="Y1015">
        <f t="shared" si="273"/>
        <v>0</v>
      </c>
      <c r="Z1015">
        <f t="shared" si="274"/>
        <v>0</v>
      </c>
      <c r="AA1015">
        <f t="shared" si="275"/>
        <v>0</v>
      </c>
      <c r="AB1015">
        <f>--AND($E1015=1,OR('Staff Weekly Trend'!$B$3="All",$DH1015='Staff Weekly Trend'!$B$3),OR('Staff Weekly Trend'!$B$4="All",$D1015='Staff Weekly Trend'!$B$4),OR('Staff Weekly Trend'!$B$5="All",$A1015='Staff Weekly Trend'!$B$5))</f>
        <v>0</v>
      </c>
      <c r="AC1015" t="str">
        <f t="shared" si="276"/>
        <v/>
      </c>
      <c r="AI1015">
        <f t="shared" si="277"/>
        <v>0</v>
      </c>
      <c r="AJ1015">
        <f t="shared" si="278"/>
        <v>0</v>
      </c>
      <c r="AK1015">
        <f t="shared" si="279"/>
        <v>0</v>
      </c>
      <c r="AL1015">
        <f t="shared" si="280"/>
        <v>0</v>
      </c>
      <c r="AM1015">
        <f t="shared" si="281"/>
        <v>0</v>
      </c>
      <c r="DH1015" t="str" cm="1">
        <f t="array" ref="DH1015">IF($A1015="","",_xlfn.LET(_xlpm.c,IFERROR(_xlfn.XLOOKUP($A1015,TRIM('Sales and count'!$A$4:$A$300&amp;""),TRIM('Sales and count'!$B$4:$B$300&amp;"")),""),IF(OR(_xlpm.c="",_xlpm.c="0",LEFT(_xlpm.c,1)="#"),"Not set",_xlpm.c)))</f>
        <v/>
      </c>
    </row>
    <row r="1016" spans="1:112" x14ac:dyDescent="0.25">
      <c r="A1016" t="str">
        <f>IF('Staff Daily sales'!$B1001="","",TRIM('Staff Daily sales'!$B1001&amp;""))</f>
        <v/>
      </c>
      <c r="B1016" t="str">
        <f>IF('Staff Daily sales'!$D1001="","",TRIM('Staff Daily sales'!$D1001&amp;""))</f>
        <v/>
      </c>
      <c r="C1016" t="str">
        <f>IFERROR(TRIM('Staff Daily sales'!$E1001&amp;""),"")</f>
        <v/>
      </c>
      <c r="D1016" t="str">
        <f>IFERROR(IF(TRIM('Staff Daily sales'!$F1001&amp;"")="","Unassigned",TRIM('Staff Daily sales'!$F1001&amp;"")),"Unassigned")</f>
        <v>Unassigned</v>
      </c>
      <c r="E1016">
        <f t="shared" si="266"/>
        <v>0</v>
      </c>
      <c r="F1016">
        <f>IF($E1016=0,0,SUMPRODUCT($AI$5:$DF$5,'Staff Daily sales'!$G1001:$CD1001))</f>
        <v>0</v>
      </c>
      <c r="G1016">
        <f>IF($E1016=0,0,SUMPRODUCT($AI$6:$DF$6,'Staff Daily sales'!$G1001:$CD1001))</f>
        <v>0</v>
      </c>
      <c r="H1016">
        <f t="shared" si="267"/>
        <v>0</v>
      </c>
      <c r="I1016">
        <f t="shared" si="268"/>
        <v>0</v>
      </c>
      <c r="J1016">
        <f t="shared" si="269"/>
        <v>0</v>
      </c>
      <c r="K1016">
        <f t="shared" si="270"/>
        <v>0</v>
      </c>
      <c r="L1016">
        <f>--AND($E1016=1,OR('Staff Dashboard'!$B$6="All",$DH1016='Staff Dashboard'!$B$6),OR('Staff Dashboard'!$B$7="All",$D1016='Staff Dashboard'!$B$7),OR('Staff Dashboard'!$B$8="All",$A1016='Staff Dashboard'!$B$8))</f>
        <v>0</v>
      </c>
      <c r="M1016">
        <f>IF($E1016=0,0,SUMPRODUCT($AI$7:$DF$7,'Staff Daily sales'!$G1001:$CD1001))</f>
        <v>0</v>
      </c>
      <c r="N1016">
        <f>IF($E1016=0,0,SUMPRODUCT($AI$8:$DF$8,'Staff Daily sales'!$G1001:$CD1001))</f>
        <v>0</v>
      </c>
      <c r="O1016">
        <f>IF($E1016=0,0,SUMPRODUCT($AI$9:$DF$9,'Staff Daily sales'!$G1001:$CD1001))</f>
        <v>0</v>
      </c>
      <c r="P1016">
        <f>IF($E1016=0,0,SUMPRODUCT($AI$10:$DF$10,'Staff Daily sales'!$G1001:$CD1001))</f>
        <v>0</v>
      </c>
      <c r="Q1016">
        <f>IF($E1016=0,0,SUMPRODUCT($AI$11:$DF$11,'Staff Daily sales'!$G1001:$CD1001))</f>
        <v>0</v>
      </c>
      <c r="R1016">
        <f>IF($E1016=0,0,SUMPRODUCT($AI$12:$DF$12,'Staff Daily sales'!$G1001:$CD1001))</f>
        <v>0</v>
      </c>
      <c r="S1016">
        <f>IF($E1016=0,0,SUMPRODUCT($AI$13:$DF$13,'Staff Daily sales'!$G1001:$CD1001))</f>
        <v>0</v>
      </c>
      <c r="T1016">
        <f>IF($E1016=0,0,SUMPRODUCT($AI$14:$DF$14,'Staff Daily sales'!$G1001:$CD1001))</f>
        <v>0</v>
      </c>
      <c r="U1016">
        <f>IF($E1016=0,0,SUMPRODUCT($AI$15:$DF$15,'Staff Daily sales'!$G1001:$CD1001))</f>
        <v>0</v>
      </c>
      <c r="V1016">
        <f>IF($E1016=0,0,SUMPRODUCT($AI$16:$DF$16,'Staff Daily sales'!$G1001:$CD1001))</f>
        <v>0</v>
      </c>
      <c r="W1016">
        <f t="shared" si="271"/>
        <v>0</v>
      </c>
      <c r="X1016">
        <f t="shared" si="272"/>
        <v>0</v>
      </c>
      <c r="Y1016">
        <f t="shared" si="273"/>
        <v>0</v>
      </c>
      <c r="Z1016">
        <f t="shared" si="274"/>
        <v>0</v>
      </c>
      <c r="AA1016">
        <f t="shared" si="275"/>
        <v>0</v>
      </c>
      <c r="AB1016">
        <f>--AND($E1016=1,OR('Staff Weekly Trend'!$B$3="All",$DH1016='Staff Weekly Trend'!$B$3),OR('Staff Weekly Trend'!$B$4="All",$D1016='Staff Weekly Trend'!$B$4),OR('Staff Weekly Trend'!$B$5="All",$A1016='Staff Weekly Trend'!$B$5))</f>
        <v>0</v>
      </c>
      <c r="AC1016" t="str">
        <f t="shared" si="276"/>
        <v/>
      </c>
      <c r="AI1016">
        <f t="shared" si="277"/>
        <v>0</v>
      </c>
      <c r="AJ1016">
        <f t="shared" si="278"/>
        <v>0</v>
      </c>
      <c r="AK1016">
        <f t="shared" si="279"/>
        <v>0</v>
      </c>
      <c r="AL1016">
        <f t="shared" si="280"/>
        <v>0</v>
      </c>
      <c r="AM1016">
        <f t="shared" si="281"/>
        <v>0</v>
      </c>
      <c r="DH1016" t="str" cm="1">
        <f t="array" ref="DH1016">IF($A1016="","",_xlfn.LET(_xlpm.c,IFERROR(_xlfn.XLOOKUP($A1016,TRIM('Sales and count'!$A$4:$A$300&amp;""),TRIM('Sales and count'!$B$4:$B$300&amp;"")),""),IF(OR(_xlpm.c="",_xlpm.c="0",LEFT(_xlpm.c,1)="#"),"Not set",_xlpm.c)))</f>
        <v/>
      </c>
    </row>
    <row r="1017" spans="1:112" x14ac:dyDescent="0.25">
      <c r="A1017" t="str">
        <f>IF('Staff Daily sales'!$B1002="","",TRIM('Staff Daily sales'!$B1002&amp;""))</f>
        <v/>
      </c>
      <c r="B1017" t="str">
        <f>IF('Staff Daily sales'!$D1002="","",TRIM('Staff Daily sales'!$D1002&amp;""))</f>
        <v/>
      </c>
      <c r="C1017" t="str">
        <f>IFERROR(TRIM('Staff Daily sales'!$E1002&amp;""),"")</f>
        <v/>
      </c>
      <c r="D1017" t="str">
        <f>IFERROR(IF(TRIM('Staff Daily sales'!$F1002&amp;"")="","Unassigned",TRIM('Staff Daily sales'!$F1002&amp;"")),"Unassigned")</f>
        <v>Unassigned</v>
      </c>
      <c r="E1017">
        <f t="shared" si="266"/>
        <v>0</v>
      </c>
      <c r="F1017">
        <f>IF($E1017=0,0,SUMPRODUCT($AI$5:$DF$5,'Staff Daily sales'!$G1002:$CD1002))</f>
        <v>0</v>
      </c>
      <c r="G1017">
        <f>IF($E1017=0,0,SUMPRODUCT($AI$6:$DF$6,'Staff Daily sales'!$G1002:$CD1002))</f>
        <v>0</v>
      </c>
      <c r="H1017">
        <f t="shared" si="267"/>
        <v>0</v>
      </c>
      <c r="I1017">
        <f t="shared" si="268"/>
        <v>0</v>
      </c>
      <c r="J1017">
        <f t="shared" si="269"/>
        <v>0</v>
      </c>
      <c r="K1017">
        <f t="shared" si="270"/>
        <v>0</v>
      </c>
      <c r="L1017">
        <f>--AND($E1017=1,OR('Staff Dashboard'!$B$6="All",$DH1017='Staff Dashboard'!$B$6),OR('Staff Dashboard'!$B$7="All",$D1017='Staff Dashboard'!$B$7),OR('Staff Dashboard'!$B$8="All",$A1017='Staff Dashboard'!$B$8))</f>
        <v>0</v>
      </c>
      <c r="M1017">
        <f>IF($E1017=0,0,SUMPRODUCT($AI$7:$DF$7,'Staff Daily sales'!$G1002:$CD1002))</f>
        <v>0</v>
      </c>
      <c r="N1017">
        <f>IF($E1017=0,0,SUMPRODUCT($AI$8:$DF$8,'Staff Daily sales'!$G1002:$CD1002))</f>
        <v>0</v>
      </c>
      <c r="O1017">
        <f>IF($E1017=0,0,SUMPRODUCT($AI$9:$DF$9,'Staff Daily sales'!$G1002:$CD1002))</f>
        <v>0</v>
      </c>
      <c r="P1017">
        <f>IF($E1017=0,0,SUMPRODUCT($AI$10:$DF$10,'Staff Daily sales'!$G1002:$CD1002))</f>
        <v>0</v>
      </c>
      <c r="Q1017">
        <f>IF($E1017=0,0,SUMPRODUCT($AI$11:$DF$11,'Staff Daily sales'!$G1002:$CD1002))</f>
        <v>0</v>
      </c>
      <c r="R1017">
        <f>IF($E1017=0,0,SUMPRODUCT($AI$12:$DF$12,'Staff Daily sales'!$G1002:$CD1002))</f>
        <v>0</v>
      </c>
      <c r="S1017">
        <f>IF($E1017=0,0,SUMPRODUCT($AI$13:$DF$13,'Staff Daily sales'!$G1002:$CD1002))</f>
        <v>0</v>
      </c>
      <c r="T1017">
        <f>IF($E1017=0,0,SUMPRODUCT($AI$14:$DF$14,'Staff Daily sales'!$G1002:$CD1002))</f>
        <v>0</v>
      </c>
      <c r="U1017">
        <f>IF($E1017=0,0,SUMPRODUCT($AI$15:$DF$15,'Staff Daily sales'!$G1002:$CD1002))</f>
        <v>0</v>
      </c>
      <c r="V1017">
        <f>IF($E1017=0,0,SUMPRODUCT($AI$16:$DF$16,'Staff Daily sales'!$G1002:$CD1002))</f>
        <v>0</v>
      </c>
      <c r="W1017">
        <f t="shared" si="271"/>
        <v>0</v>
      </c>
      <c r="X1017">
        <f t="shared" si="272"/>
        <v>0</v>
      </c>
      <c r="Y1017">
        <f t="shared" si="273"/>
        <v>0</v>
      </c>
      <c r="Z1017">
        <f t="shared" si="274"/>
        <v>0</v>
      </c>
      <c r="AA1017">
        <f t="shared" si="275"/>
        <v>0</v>
      </c>
      <c r="AB1017">
        <f>--AND($E1017=1,OR('Staff Weekly Trend'!$B$3="All",$DH1017='Staff Weekly Trend'!$B$3),OR('Staff Weekly Trend'!$B$4="All",$D1017='Staff Weekly Trend'!$B$4),OR('Staff Weekly Trend'!$B$5="All",$A1017='Staff Weekly Trend'!$B$5))</f>
        <v>0</v>
      </c>
      <c r="AC1017" t="str">
        <f t="shared" si="276"/>
        <v/>
      </c>
      <c r="AI1017">
        <f t="shared" si="277"/>
        <v>0</v>
      </c>
      <c r="AJ1017">
        <f t="shared" si="278"/>
        <v>0</v>
      </c>
      <c r="AK1017">
        <f t="shared" si="279"/>
        <v>0</v>
      </c>
      <c r="AL1017">
        <f t="shared" si="280"/>
        <v>0</v>
      </c>
      <c r="AM1017">
        <f t="shared" si="281"/>
        <v>0</v>
      </c>
      <c r="DH1017" t="str" cm="1">
        <f t="array" ref="DH1017">IF($A1017="","",_xlfn.LET(_xlpm.c,IFERROR(_xlfn.XLOOKUP($A1017,TRIM('Sales and count'!$A$4:$A$300&amp;""),TRIM('Sales and count'!$B$4:$B$300&amp;"")),""),IF(OR(_xlpm.c="",_xlpm.c="0",LEFT(_xlpm.c,1)="#"),"Not set",_xlpm.c)))</f>
        <v/>
      </c>
    </row>
    <row r="1018" spans="1:112" x14ac:dyDescent="0.25">
      <c r="A1018" t="str">
        <f>IF('Staff Daily sales'!$B1003="","",TRIM('Staff Daily sales'!$B1003&amp;""))</f>
        <v/>
      </c>
      <c r="B1018" t="str">
        <f>IF('Staff Daily sales'!$D1003="","",TRIM('Staff Daily sales'!$D1003&amp;""))</f>
        <v/>
      </c>
      <c r="C1018" t="str">
        <f>IFERROR(TRIM('Staff Daily sales'!$E1003&amp;""),"")</f>
        <v/>
      </c>
      <c r="D1018" t="str">
        <f>IFERROR(IF(TRIM('Staff Daily sales'!$F1003&amp;"")="","Unassigned",TRIM('Staff Daily sales'!$F1003&amp;"")),"Unassigned")</f>
        <v>Unassigned</v>
      </c>
      <c r="E1018">
        <f t="shared" si="266"/>
        <v>0</v>
      </c>
      <c r="F1018">
        <f>IF($E1018=0,0,SUMPRODUCT($AI$5:$DF$5,'Staff Daily sales'!$G1003:$CD1003))</f>
        <v>0</v>
      </c>
      <c r="G1018">
        <f>IF($E1018=0,0,SUMPRODUCT($AI$6:$DF$6,'Staff Daily sales'!$G1003:$CD1003))</f>
        <v>0</v>
      </c>
      <c r="H1018">
        <f t="shared" si="267"/>
        <v>0</v>
      </c>
      <c r="I1018">
        <f t="shared" si="268"/>
        <v>0</v>
      </c>
      <c r="J1018">
        <f t="shared" si="269"/>
        <v>0</v>
      </c>
      <c r="K1018">
        <f t="shared" si="270"/>
        <v>0</v>
      </c>
      <c r="L1018">
        <f>--AND($E1018=1,OR('Staff Dashboard'!$B$6="All",$DH1018='Staff Dashboard'!$B$6),OR('Staff Dashboard'!$B$7="All",$D1018='Staff Dashboard'!$B$7),OR('Staff Dashboard'!$B$8="All",$A1018='Staff Dashboard'!$B$8))</f>
        <v>0</v>
      </c>
      <c r="M1018">
        <f>IF($E1018=0,0,SUMPRODUCT($AI$7:$DF$7,'Staff Daily sales'!$G1003:$CD1003))</f>
        <v>0</v>
      </c>
      <c r="N1018">
        <f>IF($E1018=0,0,SUMPRODUCT($AI$8:$DF$8,'Staff Daily sales'!$G1003:$CD1003))</f>
        <v>0</v>
      </c>
      <c r="O1018">
        <f>IF($E1018=0,0,SUMPRODUCT($AI$9:$DF$9,'Staff Daily sales'!$G1003:$CD1003))</f>
        <v>0</v>
      </c>
      <c r="P1018">
        <f>IF($E1018=0,0,SUMPRODUCT($AI$10:$DF$10,'Staff Daily sales'!$G1003:$CD1003))</f>
        <v>0</v>
      </c>
      <c r="Q1018">
        <f>IF($E1018=0,0,SUMPRODUCT($AI$11:$DF$11,'Staff Daily sales'!$G1003:$CD1003))</f>
        <v>0</v>
      </c>
      <c r="R1018">
        <f>IF($E1018=0,0,SUMPRODUCT($AI$12:$DF$12,'Staff Daily sales'!$G1003:$CD1003))</f>
        <v>0</v>
      </c>
      <c r="S1018">
        <f>IF($E1018=0,0,SUMPRODUCT($AI$13:$DF$13,'Staff Daily sales'!$G1003:$CD1003))</f>
        <v>0</v>
      </c>
      <c r="T1018">
        <f>IF($E1018=0,0,SUMPRODUCT($AI$14:$DF$14,'Staff Daily sales'!$G1003:$CD1003))</f>
        <v>0</v>
      </c>
      <c r="U1018">
        <f>IF($E1018=0,0,SUMPRODUCT($AI$15:$DF$15,'Staff Daily sales'!$G1003:$CD1003))</f>
        <v>0</v>
      </c>
      <c r="V1018">
        <f>IF($E1018=0,0,SUMPRODUCT($AI$16:$DF$16,'Staff Daily sales'!$G1003:$CD1003))</f>
        <v>0</v>
      </c>
      <c r="W1018">
        <f t="shared" si="271"/>
        <v>0</v>
      </c>
      <c r="X1018">
        <f t="shared" si="272"/>
        <v>0</v>
      </c>
      <c r="Y1018">
        <f t="shared" si="273"/>
        <v>0</v>
      </c>
      <c r="Z1018">
        <f t="shared" si="274"/>
        <v>0</v>
      </c>
      <c r="AA1018">
        <f t="shared" si="275"/>
        <v>0</v>
      </c>
      <c r="AB1018">
        <f>--AND($E1018=1,OR('Staff Weekly Trend'!$B$3="All",$DH1018='Staff Weekly Trend'!$B$3),OR('Staff Weekly Trend'!$B$4="All",$D1018='Staff Weekly Trend'!$B$4),OR('Staff Weekly Trend'!$B$5="All",$A1018='Staff Weekly Trend'!$B$5))</f>
        <v>0</v>
      </c>
      <c r="AC1018" t="str">
        <f t="shared" si="276"/>
        <v/>
      </c>
      <c r="AI1018">
        <f t="shared" si="277"/>
        <v>0</v>
      </c>
      <c r="AJ1018">
        <f t="shared" si="278"/>
        <v>0</v>
      </c>
      <c r="AK1018">
        <f t="shared" si="279"/>
        <v>0</v>
      </c>
      <c r="AL1018">
        <f t="shared" si="280"/>
        <v>0</v>
      </c>
      <c r="AM1018">
        <f t="shared" si="281"/>
        <v>0</v>
      </c>
      <c r="DH1018" t="str" cm="1">
        <f t="array" ref="DH1018">IF($A1018="","",_xlfn.LET(_xlpm.c,IFERROR(_xlfn.XLOOKUP($A1018,TRIM('Sales and count'!$A$4:$A$300&amp;""),TRIM('Sales and count'!$B$4:$B$300&amp;"")),""),IF(OR(_xlpm.c="",_xlpm.c="0",LEFT(_xlpm.c,1)="#"),"Not set",_xlpm.c)))</f>
        <v/>
      </c>
    </row>
    <row r="1019" spans="1:112" x14ac:dyDescent="0.25">
      <c r="A1019" t="str">
        <f>IF('Staff Daily sales'!$B1004="","",TRIM('Staff Daily sales'!$B1004&amp;""))</f>
        <v/>
      </c>
      <c r="B1019" t="str">
        <f>IF('Staff Daily sales'!$D1004="","",TRIM('Staff Daily sales'!$D1004&amp;""))</f>
        <v/>
      </c>
      <c r="C1019" t="str">
        <f>IFERROR(TRIM('Staff Daily sales'!$E1004&amp;""),"")</f>
        <v/>
      </c>
      <c r="D1019" t="str">
        <f>IFERROR(IF(TRIM('Staff Daily sales'!$F1004&amp;"")="","Unassigned",TRIM('Staff Daily sales'!$F1004&amp;"")),"Unassigned")</f>
        <v>Unassigned</v>
      </c>
      <c r="E1019">
        <f t="shared" si="266"/>
        <v>0</v>
      </c>
      <c r="F1019">
        <f>IF($E1019=0,0,SUMPRODUCT($AI$5:$DF$5,'Staff Daily sales'!$G1004:$CD1004))</f>
        <v>0</v>
      </c>
      <c r="G1019">
        <f>IF($E1019=0,0,SUMPRODUCT($AI$6:$DF$6,'Staff Daily sales'!$G1004:$CD1004))</f>
        <v>0</v>
      </c>
      <c r="H1019">
        <f t="shared" si="267"/>
        <v>0</v>
      </c>
      <c r="I1019">
        <f t="shared" si="268"/>
        <v>0</v>
      </c>
      <c r="J1019">
        <f t="shared" si="269"/>
        <v>0</v>
      </c>
      <c r="K1019">
        <f t="shared" si="270"/>
        <v>0</v>
      </c>
      <c r="L1019">
        <f>--AND($E1019=1,OR('Staff Dashboard'!$B$6="All",$DH1019='Staff Dashboard'!$B$6),OR('Staff Dashboard'!$B$7="All",$D1019='Staff Dashboard'!$B$7),OR('Staff Dashboard'!$B$8="All",$A1019='Staff Dashboard'!$B$8))</f>
        <v>0</v>
      </c>
      <c r="M1019">
        <f>IF($E1019=0,0,SUMPRODUCT($AI$7:$DF$7,'Staff Daily sales'!$G1004:$CD1004))</f>
        <v>0</v>
      </c>
      <c r="N1019">
        <f>IF($E1019=0,0,SUMPRODUCT($AI$8:$DF$8,'Staff Daily sales'!$G1004:$CD1004))</f>
        <v>0</v>
      </c>
      <c r="O1019">
        <f>IF($E1019=0,0,SUMPRODUCT($AI$9:$DF$9,'Staff Daily sales'!$G1004:$CD1004))</f>
        <v>0</v>
      </c>
      <c r="P1019">
        <f>IF($E1019=0,0,SUMPRODUCT($AI$10:$DF$10,'Staff Daily sales'!$G1004:$CD1004))</f>
        <v>0</v>
      </c>
      <c r="Q1019">
        <f>IF($E1019=0,0,SUMPRODUCT($AI$11:$DF$11,'Staff Daily sales'!$G1004:$CD1004))</f>
        <v>0</v>
      </c>
      <c r="R1019">
        <f>IF($E1019=0,0,SUMPRODUCT($AI$12:$DF$12,'Staff Daily sales'!$G1004:$CD1004))</f>
        <v>0</v>
      </c>
      <c r="S1019">
        <f>IF($E1019=0,0,SUMPRODUCT($AI$13:$DF$13,'Staff Daily sales'!$G1004:$CD1004))</f>
        <v>0</v>
      </c>
      <c r="T1019">
        <f>IF($E1019=0,0,SUMPRODUCT($AI$14:$DF$14,'Staff Daily sales'!$G1004:$CD1004))</f>
        <v>0</v>
      </c>
      <c r="U1019">
        <f>IF($E1019=0,0,SUMPRODUCT($AI$15:$DF$15,'Staff Daily sales'!$G1004:$CD1004))</f>
        <v>0</v>
      </c>
      <c r="V1019">
        <f>IF($E1019=0,0,SUMPRODUCT($AI$16:$DF$16,'Staff Daily sales'!$G1004:$CD1004))</f>
        <v>0</v>
      </c>
      <c r="W1019">
        <f t="shared" si="271"/>
        <v>0</v>
      </c>
      <c r="X1019">
        <f t="shared" si="272"/>
        <v>0</v>
      </c>
      <c r="Y1019">
        <f t="shared" si="273"/>
        <v>0</v>
      </c>
      <c r="Z1019">
        <f t="shared" si="274"/>
        <v>0</v>
      </c>
      <c r="AA1019">
        <f t="shared" si="275"/>
        <v>0</v>
      </c>
      <c r="AB1019">
        <f>--AND($E1019=1,OR('Staff Weekly Trend'!$B$3="All",$DH1019='Staff Weekly Trend'!$B$3),OR('Staff Weekly Trend'!$B$4="All",$D1019='Staff Weekly Trend'!$B$4),OR('Staff Weekly Trend'!$B$5="All",$A1019='Staff Weekly Trend'!$B$5))</f>
        <v>0</v>
      </c>
      <c r="AC1019" t="str">
        <f t="shared" si="276"/>
        <v/>
      </c>
      <c r="AI1019">
        <f t="shared" si="277"/>
        <v>0</v>
      </c>
      <c r="AJ1019">
        <f t="shared" si="278"/>
        <v>0</v>
      </c>
      <c r="AK1019">
        <f t="shared" si="279"/>
        <v>0</v>
      </c>
      <c r="AL1019">
        <f t="shared" si="280"/>
        <v>0</v>
      </c>
      <c r="AM1019">
        <f t="shared" si="281"/>
        <v>0</v>
      </c>
      <c r="DH1019" t="str" cm="1">
        <f t="array" ref="DH1019">IF($A1019="","",_xlfn.LET(_xlpm.c,IFERROR(_xlfn.XLOOKUP($A1019,TRIM('Sales and count'!$A$4:$A$300&amp;""),TRIM('Sales and count'!$B$4:$B$300&amp;"")),""),IF(OR(_xlpm.c="",_xlpm.c="0",LEFT(_xlpm.c,1)="#"),"Not set",_xlpm.c)))</f>
        <v/>
      </c>
    </row>
    <row r="1020" spans="1:112" x14ac:dyDescent="0.25">
      <c r="A1020" t="str">
        <f>IF('Staff Daily sales'!$B1005="","",TRIM('Staff Daily sales'!$B1005&amp;""))</f>
        <v/>
      </c>
      <c r="B1020" t="str">
        <f>IF('Staff Daily sales'!$D1005="","",TRIM('Staff Daily sales'!$D1005&amp;""))</f>
        <v/>
      </c>
      <c r="C1020" t="str">
        <f>IFERROR(TRIM('Staff Daily sales'!$E1005&amp;""),"")</f>
        <v/>
      </c>
      <c r="D1020" t="str">
        <f>IFERROR(IF(TRIM('Staff Daily sales'!$F1005&amp;"")="","Unassigned",TRIM('Staff Daily sales'!$F1005&amp;"")),"Unassigned")</f>
        <v>Unassigned</v>
      </c>
      <c r="E1020">
        <f t="shared" si="266"/>
        <v>0</v>
      </c>
      <c r="F1020">
        <f>IF($E1020=0,0,SUMPRODUCT($AI$5:$DF$5,'Staff Daily sales'!$G1005:$CD1005))</f>
        <v>0</v>
      </c>
      <c r="G1020">
        <f>IF($E1020=0,0,SUMPRODUCT($AI$6:$DF$6,'Staff Daily sales'!$G1005:$CD1005))</f>
        <v>0</v>
      </c>
      <c r="H1020">
        <f t="shared" si="267"/>
        <v>0</v>
      </c>
      <c r="I1020">
        <f t="shared" si="268"/>
        <v>0</v>
      </c>
      <c r="J1020">
        <f t="shared" si="269"/>
        <v>0</v>
      </c>
      <c r="K1020">
        <f t="shared" si="270"/>
        <v>0</v>
      </c>
      <c r="L1020">
        <f>--AND($E1020=1,OR('Staff Dashboard'!$B$6="All",$DH1020='Staff Dashboard'!$B$6),OR('Staff Dashboard'!$B$7="All",$D1020='Staff Dashboard'!$B$7),OR('Staff Dashboard'!$B$8="All",$A1020='Staff Dashboard'!$B$8))</f>
        <v>0</v>
      </c>
      <c r="M1020">
        <f>IF($E1020=0,0,SUMPRODUCT($AI$7:$DF$7,'Staff Daily sales'!$G1005:$CD1005))</f>
        <v>0</v>
      </c>
      <c r="N1020">
        <f>IF($E1020=0,0,SUMPRODUCT($AI$8:$DF$8,'Staff Daily sales'!$G1005:$CD1005))</f>
        <v>0</v>
      </c>
      <c r="O1020">
        <f>IF($E1020=0,0,SUMPRODUCT($AI$9:$DF$9,'Staff Daily sales'!$G1005:$CD1005))</f>
        <v>0</v>
      </c>
      <c r="P1020">
        <f>IF($E1020=0,0,SUMPRODUCT($AI$10:$DF$10,'Staff Daily sales'!$G1005:$CD1005))</f>
        <v>0</v>
      </c>
      <c r="Q1020">
        <f>IF($E1020=0,0,SUMPRODUCT($AI$11:$DF$11,'Staff Daily sales'!$G1005:$CD1005))</f>
        <v>0</v>
      </c>
      <c r="R1020">
        <f>IF($E1020=0,0,SUMPRODUCT($AI$12:$DF$12,'Staff Daily sales'!$G1005:$CD1005))</f>
        <v>0</v>
      </c>
      <c r="S1020">
        <f>IF($E1020=0,0,SUMPRODUCT($AI$13:$DF$13,'Staff Daily sales'!$G1005:$CD1005))</f>
        <v>0</v>
      </c>
      <c r="T1020">
        <f>IF($E1020=0,0,SUMPRODUCT($AI$14:$DF$14,'Staff Daily sales'!$G1005:$CD1005))</f>
        <v>0</v>
      </c>
      <c r="U1020">
        <f>IF($E1020=0,0,SUMPRODUCT($AI$15:$DF$15,'Staff Daily sales'!$G1005:$CD1005))</f>
        <v>0</v>
      </c>
      <c r="V1020">
        <f>IF($E1020=0,0,SUMPRODUCT($AI$16:$DF$16,'Staff Daily sales'!$G1005:$CD1005))</f>
        <v>0</v>
      </c>
      <c r="W1020">
        <f t="shared" si="271"/>
        <v>0</v>
      </c>
      <c r="X1020">
        <f t="shared" si="272"/>
        <v>0</v>
      </c>
      <c r="Y1020">
        <f t="shared" si="273"/>
        <v>0</v>
      </c>
      <c r="Z1020">
        <f t="shared" si="274"/>
        <v>0</v>
      </c>
      <c r="AA1020">
        <f t="shared" si="275"/>
        <v>0</v>
      </c>
      <c r="AB1020">
        <f>--AND($E1020=1,OR('Staff Weekly Trend'!$B$3="All",$DH1020='Staff Weekly Trend'!$B$3),OR('Staff Weekly Trend'!$B$4="All",$D1020='Staff Weekly Trend'!$B$4),OR('Staff Weekly Trend'!$B$5="All",$A1020='Staff Weekly Trend'!$B$5))</f>
        <v>0</v>
      </c>
      <c r="AC1020" t="str">
        <f t="shared" si="276"/>
        <v/>
      </c>
      <c r="AI1020">
        <f t="shared" si="277"/>
        <v>0</v>
      </c>
      <c r="AJ1020">
        <f t="shared" si="278"/>
        <v>0</v>
      </c>
      <c r="AK1020">
        <f t="shared" si="279"/>
        <v>0</v>
      </c>
      <c r="AL1020">
        <f t="shared" si="280"/>
        <v>0</v>
      </c>
      <c r="AM1020">
        <f t="shared" si="281"/>
        <v>0</v>
      </c>
      <c r="DH1020" t="str" cm="1">
        <f t="array" ref="DH1020">IF($A1020="","",_xlfn.LET(_xlpm.c,IFERROR(_xlfn.XLOOKUP($A1020,TRIM('Sales and count'!$A$4:$A$300&amp;""),TRIM('Sales and count'!$B$4:$B$300&amp;"")),""),IF(OR(_xlpm.c="",_xlpm.c="0",LEFT(_xlpm.c,1)="#"),"Not set",_xlpm.c)))</f>
        <v/>
      </c>
    </row>
    <row r="1021" spans="1:112" x14ac:dyDescent="0.25">
      <c r="A1021" t="str">
        <f>IF('Staff Daily sales'!$B1006="","",TRIM('Staff Daily sales'!$B1006&amp;""))</f>
        <v/>
      </c>
      <c r="B1021" t="str">
        <f>IF('Staff Daily sales'!$D1006="","",TRIM('Staff Daily sales'!$D1006&amp;""))</f>
        <v/>
      </c>
      <c r="C1021" t="str">
        <f>IFERROR(TRIM('Staff Daily sales'!$E1006&amp;""),"")</f>
        <v/>
      </c>
      <c r="D1021" t="str">
        <f>IFERROR(IF(TRIM('Staff Daily sales'!$F1006&amp;"")="","Unassigned",TRIM('Staff Daily sales'!$F1006&amp;"")),"Unassigned")</f>
        <v>Unassigned</v>
      </c>
      <c r="E1021">
        <f t="shared" si="266"/>
        <v>0</v>
      </c>
      <c r="F1021">
        <f>IF($E1021=0,0,SUMPRODUCT($AI$5:$DF$5,'Staff Daily sales'!$G1006:$CD1006))</f>
        <v>0</v>
      </c>
      <c r="G1021">
        <f>IF($E1021=0,0,SUMPRODUCT($AI$6:$DF$6,'Staff Daily sales'!$G1006:$CD1006))</f>
        <v>0</v>
      </c>
      <c r="H1021">
        <f t="shared" si="267"/>
        <v>0</v>
      </c>
      <c r="I1021">
        <f t="shared" si="268"/>
        <v>0</v>
      </c>
      <c r="J1021">
        <f t="shared" si="269"/>
        <v>0</v>
      </c>
      <c r="K1021">
        <f t="shared" si="270"/>
        <v>0</v>
      </c>
      <c r="L1021">
        <f>--AND($E1021=1,OR('Staff Dashboard'!$B$6="All",$DH1021='Staff Dashboard'!$B$6),OR('Staff Dashboard'!$B$7="All",$D1021='Staff Dashboard'!$B$7),OR('Staff Dashboard'!$B$8="All",$A1021='Staff Dashboard'!$B$8))</f>
        <v>0</v>
      </c>
      <c r="M1021">
        <f>IF($E1021=0,0,SUMPRODUCT($AI$7:$DF$7,'Staff Daily sales'!$G1006:$CD1006))</f>
        <v>0</v>
      </c>
      <c r="N1021">
        <f>IF($E1021=0,0,SUMPRODUCT($AI$8:$DF$8,'Staff Daily sales'!$G1006:$CD1006))</f>
        <v>0</v>
      </c>
      <c r="O1021">
        <f>IF($E1021=0,0,SUMPRODUCT($AI$9:$DF$9,'Staff Daily sales'!$G1006:$CD1006))</f>
        <v>0</v>
      </c>
      <c r="P1021">
        <f>IF($E1021=0,0,SUMPRODUCT($AI$10:$DF$10,'Staff Daily sales'!$G1006:$CD1006))</f>
        <v>0</v>
      </c>
      <c r="Q1021">
        <f>IF($E1021=0,0,SUMPRODUCT($AI$11:$DF$11,'Staff Daily sales'!$G1006:$CD1006))</f>
        <v>0</v>
      </c>
      <c r="R1021">
        <f>IF($E1021=0,0,SUMPRODUCT($AI$12:$DF$12,'Staff Daily sales'!$G1006:$CD1006))</f>
        <v>0</v>
      </c>
      <c r="S1021">
        <f>IF($E1021=0,0,SUMPRODUCT($AI$13:$DF$13,'Staff Daily sales'!$G1006:$CD1006))</f>
        <v>0</v>
      </c>
      <c r="T1021">
        <f>IF($E1021=0,0,SUMPRODUCT($AI$14:$DF$14,'Staff Daily sales'!$G1006:$CD1006))</f>
        <v>0</v>
      </c>
      <c r="U1021">
        <f>IF($E1021=0,0,SUMPRODUCT($AI$15:$DF$15,'Staff Daily sales'!$G1006:$CD1006))</f>
        <v>0</v>
      </c>
      <c r="V1021">
        <f>IF($E1021=0,0,SUMPRODUCT($AI$16:$DF$16,'Staff Daily sales'!$G1006:$CD1006))</f>
        <v>0</v>
      </c>
      <c r="W1021">
        <f t="shared" si="271"/>
        <v>0</v>
      </c>
      <c r="X1021">
        <f t="shared" si="272"/>
        <v>0</v>
      </c>
      <c r="Y1021">
        <f t="shared" si="273"/>
        <v>0</v>
      </c>
      <c r="Z1021">
        <f t="shared" si="274"/>
        <v>0</v>
      </c>
      <c r="AA1021">
        <f t="shared" si="275"/>
        <v>0</v>
      </c>
      <c r="AB1021">
        <f>--AND($E1021=1,OR('Staff Weekly Trend'!$B$3="All",$DH1021='Staff Weekly Trend'!$B$3),OR('Staff Weekly Trend'!$B$4="All",$D1021='Staff Weekly Trend'!$B$4),OR('Staff Weekly Trend'!$B$5="All",$A1021='Staff Weekly Trend'!$B$5))</f>
        <v>0</v>
      </c>
      <c r="AC1021" t="str">
        <f t="shared" si="276"/>
        <v/>
      </c>
      <c r="AI1021">
        <f t="shared" si="277"/>
        <v>0</v>
      </c>
      <c r="AJ1021">
        <f t="shared" si="278"/>
        <v>0</v>
      </c>
      <c r="AK1021">
        <f t="shared" si="279"/>
        <v>0</v>
      </c>
      <c r="AL1021">
        <f t="shared" si="280"/>
        <v>0</v>
      </c>
      <c r="AM1021">
        <f t="shared" si="281"/>
        <v>0</v>
      </c>
      <c r="DH1021" t="str" cm="1">
        <f t="array" ref="DH1021">IF($A1021="","",_xlfn.LET(_xlpm.c,IFERROR(_xlfn.XLOOKUP($A1021,TRIM('Sales and count'!$A$4:$A$300&amp;""),TRIM('Sales and count'!$B$4:$B$300&amp;"")),""),IF(OR(_xlpm.c="",_xlpm.c="0",LEFT(_xlpm.c,1)="#"),"Not set",_xlpm.c)))</f>
        <v/>
      </c>
    </row>
    <row r="1022" spans="1:112" x14ac:dyDescent="0.25">
      <c r="A1022" t="str">
        <f>IF('Staff Daily sales'!$B1007="","",TRIM('Staff Daily sales'!$B1007&amp;""))</f>
        <v/>
      </c>
      <c r="B1022" t="str">
        <f>IF('Staff Daily sales'!$D1007="","",TRIM('Staff Daily sales'!$D1007&amp;""))</f>
        <v/>
      </c>
      <c r="C1022" t="str">
        <f>IFERROR(TRIM('Staff Daily sales'!$E1007&amp;""),"")</f>
        <v/>
      </c>
      <c r="D1022" t="str">
        <f>IFERROR(IF(TRIM('Staff Daily sales'!$F1007&amp;"")="","Unassigned",TRIM('Staff Daily sales'!$F1007&amp;"")),"Unassigned")</f>
        <v>Unassigned</v>
      </c>
      <c r="E1022">
        <f t="shared" si="266"/>
        <v>0</v>
      </c>
      <c r="F1022">
        <f>IF($E1022=0,0,SUMPRODUCT($AI$5:$DF$5,'Staff Daily sales'!$G1007:$CD1007))</f>
        <v>0</v>
      </c>
      <c r="G1022">
        <f>IF($E1022=0,0,SUMPRODUCT($AI$6:$DF$6,'Staff Daily sales'!$G1007:$CD1007))</f>
        <v>0</v>
      </c>
      <c r="H1022">
        <f t="shared" si="267"/>
        <v>0</v>
      </c>
      <c r="I1022">
        <f t="shared" si="268"/>
        <v>0</v>
      </c>
      <c r="J1022">
        <f t="shared" si="269"/>
        <v>0</v>
      </c>
      <c r="K1022">
        <f t="shared" si="270"/>
        <v>0</v>
      </c>
      <c r="L1022">
        <f>--AND($E1022=1,OR('Staff Dashboard'!$B$6="All",$DH1022='Staff Dashboard'!$B$6),OR('Staff Dashboard'!$B$7="All",$D1022='Staff Dashboard'!$B$7),OR('Staff Dashboard'!$B$8="All",$A1022='Staff Dashboard'!$B$8))</f>
        <v>0</v>
      </c>
      <c r="M1022">
        <f>IF($E1022=0,0,SUMPRODUCT($AI$7:$DF$7,'Staff Daily sales'!$G1007:$CD1007))</f>
        <v>0</v>
      </c>
      <c r="N1022">
        <f>IF($E1022=0,0,SUMPRODUCT($AI$8:$DF$8,'Staff Daily sales'!$G1007:$CD1007))</f>
        <v>0</v>
      </c>
      <c r="O1022">
        <f>IF($E1022=0,0,SUMPRODUCT($AI$9:$DF$9,'Staff Daily sales'!$G1007:$CD1007))</f>
        <v>0</v>
      </c>
      <c r="P1022">
        <f>IF($E1022=0,0,SUMPRODUCT($AI$10:$DF$10,'Staff Daily sales'!$G1007:$CD1007))</f>
        <v>0</v>
      </c>
      <c r="Q1022">
        <f>IF($E1022=0,0,SUMPRODUCT($AI$11:$DF$11,'Staff Daily sales'!$G1007:$CD1007))</f>
        <v>0</v>
      </c>
      <c r="R1022">
        <f>IF($E1022=0,0,SUMPRODUCT($AI$12:$DF$12,'Staff Daily sales'!$G1007:$CD1007))</f>
        <v>0</v>
      </c>
      <c r="S1022">
        <f>IF($E1022=0,0,SUMPRODUCT($AI$13:$DF$13,'Staff Daily sales'!$G1007:$CD1007))</f>
        <v>0</v>
      </c>
      <c r="T1022">
        <f>IF($E1022=0,0,SUMPRODUCT($AI$14:$DF$14,'Staff Daily sales'!$G1007:$CD1007))</f>
        <v>0</v>
      </c>
      <c r="U1022">
        <f>IF($E1022=0,0,SUMPRODUCT($AI$15:$DF$15,'Staff Daily sales'!$G1007:$CD1007))</f>
        <v>0</v>
      </c>
      <c r="V1022">
        <f>IF($E1022=0,0,SUMPRODUCT($AI$16:$DF$16,'Staff Daily sales'!$G1007:$CD1007))</f>
        <v>0</v>
      </c>
      <c r="W1022">
        <f t="shared" si="271"/>
        <v>0</v>
      </c>
      <c r="X1022">
        <f t="shared" si="272"/>
        <v>0</v>
      </c>
      <c r="Y1022">
        <f t="shared" si="273"/>
        <v>0</v>
      </c>
      <c r="Z1022">
        <f t="shared" si="274"/>
        <v>0</v>
      </c>
      <c r="AA1022">
        <f t="shared" si="275"/>
        <v>0</v>
      </c>
      <c r="AB1022">
        <f>--AND($E1022=1,OR('Staff Weekly Trend'!$B$3="All",$DH1022='Staff Weekly Trend'!$B$3),OR('Staff Weekly Trend'!$B$4="All",$D1022='Staff Weekly Trend'!$B$4),OR('Staff Weekly Trend'!$B$5="All",$A1022='Staff Weekly Trend'!$B$5))</f>
        <v>0</v>
      </c>
      <c r="AC1022" t="str">
        <f t="shared" si="276"/>
        <v/>
      </c>
      <c r="AI1022">
        <f t="shared" si="277"/>
        <v>0</v>
      </c>
      <c r="AJ1022">
        <f t="shared" si="278"/>
        <v>0</v>
      </c>
      <c r="AK1022">
        <f t="shared" si="279"/>
        <v>0</v>
      </c>
      <c r="AL1022">
        <f t="shared" si="280"/>
        <v>0</v>
      </c>
      <c r="AM1022">
        <f t="shared" si="281"/>
        <v>0</v>
      </c>
      <c r="DH1022" t="str" cm="1">
        <f t="array" ref="DH1022">IF($A1022="","",_xlfn.LET(_xlpm.c,IFERROR(_xlfn.XLOOKUP($A1022,TRIM('Sales and count'!$A$4:$A$300&amp;""),TRIM('Sales and count'!$B$4:$B$300&amp;"")),""),IF(OR(_xlpm.c="",_xlpm.c="0",LEFT(_xlpm.c,1)="#"),"Not set",_xlpm.c)))</f>
        <v/>
      </c>
    </row>
    <row r="1023" spans="1:112" x14ac:dyDescent="0.25">
      <c r="A1023" t="str">
        <f>IF('Staff Daily sales'!$B1008="","",TRIM('Staff Daily sales'!$B1008&amp;""))</f>
        <v/>
      </c>
      <c r="B1023" t="str">
        <f>IF('Staff Daily sales'!$D1008="","",TRIM('Staff Daily sales'!$D1008&amp;""))</f>
        <v/>
      </c>
      <c r="C1023" t="str">
        <f>IFERROR(TRIM('Staff Daily sales'!$E1008&amp;""),"")</f>
        <v/>
      </c>
      <c r="D1023" t="str">
        <f>IFERROR(IF(TRIM('Staff Daily sales'!$F1008&amp;"")="","Unassigned",TRIM('Staff Daily sales'!$F1008&amp;"")),"Unassigned")</f>
        <v>Unassigned</v>
      </c>
      <c r="E1023">
        <f t="shared" si="266"/>
        <v>0</v>
      </c>
      <c r="F1023">
        <f>IF($E1023=0,0,SUMPRODUCT($AI$5:$DF$5,'Staff Daily sales'!$G1008:$CD1008))</f>
        <v>0</v>
      </c>
      <c r="G1023">
        <f>IF($E1023=0,0,SUMPRODUCT($AI$6:$DF$6,'Staff Daily sales'!$G1008:$CD1008))</f>
        <v>0</v>
      </c>
      <c r="H1023">
        <f t="shared" si="267"/>
        <v>0</v>
      </c>
      <c r="I1023">
        <f t="shared" si="268"/>
        <v>0</v>
      </c>
      <c r="J1023">
        <f t="shared" si="269"/>
        <v>0</v>
      </c>
      <c r="K1023">
        <f t="shared" si="270"/>
        <v>0</v>
      </c>
      <c r="L1023">
        <f>--AND($E1023=1,OR('Staff Dashboard'!$B$6="All",$DH1023='Staff Dashboard'!$B$6),OR('Staff Dashboard'!$B$7="All",$D1023='Staff Dashboard'!$B$7),OR('Staff Dashboard'!$B$8="All",$A1023='Staff Dashboard'!$B$8))</f>
        <v>0</v>
      </c>
      <c r="M1023">
        <f>IF($E1023=0,0,SUMPRODUCT($AI$7:$DF$7,'Staff Daily sales'!$G1008:$CD1008))</f>
        <v>0</v>
      </c>
      <c r="N1023">
        <f>IF($E1023=0,0,SUMPRODUCT($AI$8:$DF$8,'Staff Daily sales'!$G1008:$CD1008))</f>
        <v>0</v>
      </c>
      <c r="O1023">
        <f>IF($E1023=0,0,SUMPRODUCT($AI$9:$DF$9,'Staff Daily sales'!$G1008:$CD1008))</f>
        <v>0</v>
      </c>
      <c r="P1023">
        <f>IF($E1023=0,0,SUMPRODUCT($AI$10:$DF$10,'Staff Daily sales'!$G1008:$CD1008))</f>
        <v>0</v>
      </c>
      <c r="Q1023">
        <f>IF($E1023=0,0,SUMPRODUCT($AI$11:$DF$11,'Staff Daily sales'!$G1008:$CD1008))</f>
        <v>0</v>
      </c>
      <c r="R1023">
        <f>IF($E1023=0,0,SUMPRODUCT($AI$12:$DF$12,'Staff Daily sales'!$G1008:$CD1008))</f>
        <v>0</v>
      </c>
      <c r="S1023">
        <f>IF($E1023=0,0,SUMPRODUCT($AI$13:$DF$13,'Staff Daily sales'!$G1008:$CD1008))</f>
        <v>0</v>
      </c>
      <c r="T1023">
        <f>IF($E1023=0,0,SUMPRODUCT($AI$14:$DF$14,'Staff Daily sales'!$G1008:$CD1008))</f>
        <v>0</v>
      </c>
      <c r="U1023">
        <f>IF($E1023=0,0,SUMPRODUCT($AI$15:$DF$15,'Staff Daily sales'!$G1008:$CD1008))</f>
        <v>0</v>
      </c>
      <c r="V1023">
        <f>IF($E1023=0,0,SUMPRODUCT($AI$16:$DF$16,'Staff Daily sales'!$G1008:$CD1008))</f>
        <v>0</v>
      </c>
      <c r="W1023">
        <f t="shared" si="271"/>
        <v>0</v>
      </c>
      <c r="X1023">
        <f t="shared" si="272"/>
        <v>0</v>
      </c>
      <c r="Y1023">
        <f t="shared" si="273"/>
        <v>0</v>
      </c>
      <c r="Z1023">
        <f t="shared" si="274"/>
        <v>0</v>
      </c>
      <c r="AA1023">
        <f t="shared" si="275"/>
        <v>0</v>
      </c>
      <c r="AB1023">
        <f>--AND($E1023=1,OR('Staff Weekly Trend'!$B$3="All",$DH1023='Staff Weekly Trend'!$B$3),OR('Staff Weekly Trend'!$B$4="All",$D1023='Staff Weekly Trend'!$B$4),OR('Staff Weekly Trend'!$B$5="All",$A1023='Staff Weekly Trend'!$B$5))</f>
        <v>0</v>
      </c>
      <c r="AC1023" t="str">
        <f t="shared" si="276"/>
        <v/>
      </c>
      <c r="AI1023">
        <f t="shared" si="277"/>
        <v>0</v>
      </c>
      <c r="AJ1023">
        <f t="shared" si="278"/>
        <v>0</v>
      </c>
      <c r="AK1023">
        <f t="shared" si="279"/>
        <v>0</v>
      </c>
      <c r="AL1023">
        <f t="shared" si="280"/>
        <v>0</v>
      </c>
      <c r="AM1023">
        <f t="shared" si="281"/>
        <v>0</v>
      </c>
      <c r="DH1023" t="str" cm="1">
        <f t="array" ref="DH1023">IF($A1023="","",_xlfn.LET(_xlpm.c,IFERROR(_xlfn.XLOOKUP($A1023,TRIM('Sales and count'!$A$4:$A$300&amp;""),TRIM('Sales and count'!$B$4:$B$300&amp;"")),""),IF(OR(_xlpm.c="",_xlpm.c="0",LEFT(_xlpm.c,1)="#"),"Not set",_xlpm.c)))</f>
        <v/>
      </c>
    </row>
    <row r="1024" spans="1:112" x14ac:dyDescent="0.25">
      <c r="A1024" t="str">
        <f>IF('Staff Daily sales'!$B1009="","",TRIM('Staff Daily sales'!$B1009&amp;""))</f>
        <v/>
      </c>
      <c r="B1024" t="str">
        <f>IF('Staff Daily sales'!$D1009="","",TRIM('Staff Daily sales'!$D1009&amp;""))</f>
        <v/>
      </c>
      <c r="C1024" t="str">
        <f>IFERROR(TRIM('Staff Daily sales'!$E1009&amp;""),"")</f>
        <v/>
      </c>
      <c r="D1024" t="str">
        <f>IFERROR(IF(TRIM('Staff Daily sales'!$F1009&amp;"")="","Unassigned",TRIM('Staff Daily sales'!$F1009&amp;"")),"Unassigned")</f>
        <v>Unassigned</v>
      </c>
      <c r="E1024">
        <f t="shared" si="266"/>
        <v>0</v>
      </c>
      <c r="F1024">
        <f>IF($E1024=0,0,SUMPRODUCT($AI$5:$DF$5,'Staff Daily sales'!$G1009:$CD1009))</f>
        <v>0</v>
      </c>
      <c r="G1024">
        <f>IF($E1024=0,0,SUMPRODUCT($AI$6:$DF$6,'Staff Daily sales'!$G1009:$CD1009))</f>
        <v>0</v>
      </c>
      <c r="H1024">
        <f t="shared" si="267"/>
        <v>0</v>
      </c>
      <c r="I1024">
        <f t="shared" si="268"/>
        <v>0</v>
      </c>
      <c r="J1024">
        <f t="shared" si="269"/>
        <v>0</v>
      </c>
      <c r="K1024">
        <f t="shared" si="270"/>
        <v>0</v>
      </c>
      <c r="L1024">
        <f>--AND($E1024=1,OR('Staff Dashboard'!$B$6="All",$DH1024='Staff Dashboard'!$B$6),OR('Staff Dashboard'!$B$7="All",$D1024='Staff Dashboard'!$B$7),OR('Staff Dashboard'!$B$8="All",$A1024='Staff Dashboard'!$B$8))</f>
        <v>0</v>
      </c>
      <c r="M1024">
        <f>IF($E1024=0,0,SUMPRODUCT($AI$7:$DF$7,'Staff Daily sales'!$G1009:$CD1009))</f>
        <v>0</v>
      </c>
      <c r="N1024">
        <f>IF($E1024=0,0,SUMPRODUCT($AI$8:$DF$8,'Staff Daily sales'!$G1009:$CD1009))</f>
        <v>0</v>
      </c>
      <c r="O1024">
        <f>IF($E1024=0,0,SUMPRODUCT($AI$9:$DF$9,'Staff Daily sales'!$G1009:$CD1009))</f>
        <v>0</v>
      </c>
      <c r="P1024">
        <f>IF($E1024=0,0,SUMPRODUCT($AI$10:$DF$10,'Staff Daily sales'!$G1009:$CD1009))</f>
        <v>0</v>
      </c>
      <c r="Q1024">
        <f>IF($E1024=0,0,SUMPRODUCT($AI$11:$DF$11,'Staff Daily sales'!$G1009:$CD1009))</f>
        <v>0</v>
      </c>
      <c r="R1024">
        <f>IF($E1024=0,0,SUMPRODUCT($AI$12:$DF$12,'Staff Daily sales'!$G1009:$CD1009))</f>
        <v>0</v>
      </c>
      <c r="S1024">
        <f>IF($E1024=0,0,SUMPRODUCT($AI$13:$DF$13,'Staff Daily sales'!$G1009:$CD1009))</f>
        <v>0</v>
      </c>
      <c r="T1024">
        <f>IF($E1024=0,0,SUMPRODUCT($AI$14:$DF$14,'Staff Daily sales'!$G1009:$CD1009))</f>
        <v>0</v>
      </c>
      <c r="U1024">
        <f>IF($E1024=0,0,SUMPRODUCT($AI$15:$DF$15,'Staff Daily sales'!$G1009:$CD1009))</f>
        <v>0</v>
      </c>
      <c r="V1024">
        <f>IF($E1024=0,0,SUMPRODUCT($AI$16:$DF$16,'Staff Daily sales'!$G1009:$CD1009))</f>
        <v>0</v>
      </c>
      <c r="W1024">
        <f t="shared" si="271"/>
        <v>0</v>
      </c>
      <c r="X1024">
        <f t="shared" si="272"/>
        <v>0</v>
      </c>
      <c r="Y1024">
        <f t="shared" si="273"/>
        <v>0</v>
      </c>
      <c r="Z1024">
        <f t="shared" si="274"/>
        <v>0</v>
      </c>
      <c r="AA1024">
        <f t="shared" si="275"/>
        <v>0</v>
      </c>
      <c r="AB1024">
        <f>--AND($E1024=1,OR('Staff Weekly Trend'!$B$3="All",$DH1024='Staff Weekly Trend'!$B$3),OR('Staff Weekly Trend'!$B$4="All",$D1024='Staff Weekly Trend'!$B$4),OR('Staff Weekly Trend'!$B$5="All",$A1024='Staff Weekly Trend'!$B$5))</f>
        <v>0</v>
      </c>
      <c r="AC1024" t="str">
        <f t="shared" si="276"/>
        <v/>
      </c>
      <c r="AI1024">
        <f t="shared" si="277"/>
        <v>0</v>
      </c>
      <c r="AJ1024">
        <f t="shared" si="278"/>
        <v>0</v>
      </c>
      <c r="AK1024">
        <f t="shared" si="279"/>
        <v>0</v>
      </c>
      <c r="AL1024">
        <f t="shared" si="280"/>
        <v>0</v>
      </c>
      <c r="AM1024">
        <f t="shared" si="281"/>
        <v>0</v>
      </c>
      <c r="DH1024" t="str" cm="1">
        <f t="array" ref="DH1024">IF($A1024="","",_xlfn.LET(_xlpm.c,IFERROR(_xlfn.XLOOKUP($A1024,TRIM('Sales and count'!$A$4:$A$300&amp;""),TRIM('Sales and count'!$B$4:$B$300&amp;"")),""),IF(OR(_xlpm.c="",_xlpm.c="0",LEFT(_xlpm.c,1)="#"),"Not set",_xlpm.c)))</f>
        <v/>
      </c>
    </row>
    <row r="1025" spans="1:112" x14ac:dyDescent="0.25">
      <c r="A1025" t="str">
        <f>IF('Staff Daily sales'!$B1010="","",TRIM('Staff Daily sales'!$B1010&amp;""))</f>
        <v/>
      </c>
      <c r="B1025" t="str">
        <f>IF('Staff Daily sales'!$D1010="","",TRIM('Staff Daily sales'!$D1010&amp;""))</f>
        <v/>
      </c>
      <c r="C1025" t="str">
        <f>IFERROR(TRIM('Staff Daily sales'!$E1010&amp;""),"")</f>
        <v/>
      </c>
      <c r="D1025" t="str">
        <f>IFERROR(IF(TRIM('Staff Daily sales'!$F1010&amp;"")="","Unassigned",TRIM('Staff Daily sales'!$F1010&amp;"")),"Unassigned")</f>
        <v>Unassigned</v>
      </c>
      <c r="E1025">
        <f t="shared" si="266"/>
        <v>0</v>
      </c>
      <c r="F1025">
        <f>IF($E1025=0,0,SUMPRODUCT($AI$5:$DF$5,'Staff Daily sales'!$G1010:$CD1010))</f>
        <v>0</v>
      </c>
      <c r="G1025">
        <f>IF($E1025=0,0,SUMPRODUCT($AI$6:$DF$6,'Staff Daily sales'!$G1010:$CD1010))</f>
        <v>0</v>
      </c>
      <c r="H1025">
        <f t="shared" si="267"/>
        <v>0</v>
      </c>
      <c r="I1025">
        <f t="shared" si="268"/>
        <v>0</v>
      </c>
      <c r="J1025">
        <f t="shared" si="269"/>
        <v>0</v>
      </c>
      <c r="K1025">
        <f t="shared" si="270"/>
        <v>0</v>
      </c>
      <c r="L1025">
        <f>--AND($E1025=1,OR('Staff Dashboard'!$B$6="All",$DH1025='Staff Dashboard'!$B$6),OR('Staff Dashboard'!$B$7="All",$D1025='Staff Dashboard'!$B$7),OR('Staff Dashboard'!$B$8="All",$A1025='Staff Dashboard'!$B$8))</f>
        <v>0</v>
      </c>
      <c r="M1025">
        <f>IF($E1025=0,0,SUMPRODUCT($AI$7:$DF$7,'Staff Daily sales'!$G1010:$CD1010))</f>
        <v>0</v>
      </c>
      <c r="N1025">
        <f>IF($E1025=0,0,SUMPRODUCT($AI$8:$DF$8,'Staff Daily sales'!$G1010:$CD1010))</f>
        <v>0</v>
      </c>
      <c r="O1025">
        <f>IF($E1025=0,0,SUMPRODUCT($AI$9:$DF$9,'Staff Daily sales'!$G1010:$CD1010))</f>
        <v>0</v>
      </c>
      <c r="P1025">
        <f>IF($E1025=0,0,SUMPRODUCT($AI$10:$DF$10,'Staff Daily sales'!$G1010:$CD1010))</f>
        <v>0</v>
      </c>
      <c r="Q1025">
        <f>IF($E1025=0,0,SUMPRODUCT($AI$11:$DF$11,'Staff Daily sales'!$G1010:$CD1010))</f>
        <v>0</v>
      </c>
      <c r="R1025">
        <f>IF($E1025=0,0,SUMPRODUCT($AI$12:$DF$12,'Staff Daily sales'!$G1010:$CD1010))</f>
        <v>0</v>
      </c>
      <c r="S1025">
        <f>IF($E1025=0,0,SUMPRODUCT($AI$13:$DF$13,'Staff Daily sales'!$G1010:$CD1010))</f>
        <v>0</v>
      </c>
      <c r="T1025">
        <f>IF($E1025=0,0,SUMPRODUCT($AI$14:$DF$14,'Staff Daily sales'!$G1010:$CD1010))</f>
        <v>0</v>
      </c>
      <c r="U1025">
        <f>IF($E1025=0,0,SUMPRODUCT($AI$15:$DF$15,'Staff Daily sales'!$G1010:$CD1010))</f>
        <v>0</v>
      </c>
      <c r="V1025">
        <f>IF($E1025=0,0,SUMPRODUCT($AI$16:$DF$16,'Staff Daily sales'!$G1010:$CD1010))</f>
        <v>0</v>
      </c>
      <c r="W1025">
        <f t="shared" si="271"/>
        <v>0</v>
      </c>
      <c r="X1025">
        <f t="shared" si="272"/>
        <v>0</v>
      </c>
      <c r="Y1025">
        <f t="shared" si="273"/>
        <v>0</v>
      </c>
      <c r="Z1025">
        <f t="shared" si="274"/>
        <v>0</v>
      </c>
      <c r="AA1025">
        <f t="shared" si="275"/>
        <v>0</v>
      </c>
      <c r="AB1025">
        <f>--AND($E1025=1,OR('Staff Weekly Trend'!$B$3="All",$DH1025='Staff Weekly Trend'!$B$3),OR('Staff Weekly Trend'!$B$4="All",$D1025='Staff Weekly Trend'!$B$4),OR('Staff Weekly Trend'!$B$5="All",$A1025='Staff Weekly Trend'!$B$5))</f>
        <v>0</v>
      </c>
      <c r="AC1025" t="str">
        <f t="shared" si="276"/>
        <v/>
      </c>
      <c r="AI1025">
        <f t="shared" si="277"/>
        <v>0</v>
      </c>
      <c r="AJ1025">
        <f t="shared" si="278"/>
        <v>0</v>
      </c>
      <c r="AK1025">
        <f t="shared" si="279"/>
        <v>0</v>
      </c>
      <c r="AL1025">
        <f t="shared" si="280"/>
        <v>0</v>
      </c>
      <c r="AM1025">
        <f t="shared" si="281"/>
        <v>0</v>
      </c>
      <c r="DH1025" t="str" cm="1">
        <f t="array" ref="DH1025">IF($A1025="","",_xlfn.LET(_xlpm.c,IFERROR(_xlfn.XLOOKUP($A1025,TRIM('Sales and count'!$A$4:$A$300&amp;""),TRIM('Sales and count'!$B$4:$B$300&amp;"")),""),IF(OR(_xlpm.c="",_xlpm.c="0",LEFT(_xlpm.c,1)="#"),"Not set",_xlpm.c)))</f>
        <v/>
      </c>
    </row>
    <row r="1026" spans="1:112" x14ac:dyDescent="0.25">
      <c r="A1026" t="str">
        <f>IF('Staff Daily sales'!$B1011="","",TRIM('Staff Daily sales'!$B1011&amp;""))</f>
        <v/>
      </c>
      <c r="B1026" t="str">
        <f>IF('Staff Daily sales'!$D1011="","",TRIM('Staff Daily sales'!$D1011&amp;""))</f>
        <v/>
      </c>
      <c r="C1026" t="str">
        <f>IFERROR(TRIM('Staff Daily sales'!$E1011&amp;""),"")</f>
        <v/>
      </c>
      <c r="D1026" t="str">
        <f>IFERROR(IF(TRIM('Staff Daily sales'!$F1011&amp;"")="","Unassigned",TRIM('Staff Daily sales'!$F1011&amp;"")),"Unassigned")</f>
        <v>Unassigned</v>
      </c>
      <c r="E1026">
        <f t="shared" si="266"/>
        <v>0</v>
      </c>
      <c r="F1026">
        <f>IF($E1026=0,0,SUMPRODUCT($AI$5:$DF$5,'Staff Daily sales'!$G1011:$CD1011))</f>
        <v>0</v>
      </c>
      <c r="G1026">
        <f>IF($E1026=0,0,SUMPRODUCT($AI$6:$DF$6,'Staff Daily sales'!$G1011:$CD1011))</f>
        <v>0</v>
      </c>
      <c r="H1026">
        <f t="shared" si="267"/>
        <v>0</v>
      </c>
      <c r="I1026">
        <f t="shared" si="268"/>
        <v>0</v>
      </c>
      <c r="J1026">
        <f t="shared" si="269"/>
        <v>0</v>
      </c>
      <c r="K1026">
        <f t="shared" si="270"/>
        <v>0</v>
      </c>
      <c r="L1026">
        <f>--AND($E1026=1,OR('Staff Dashboard'!$B$6="All",$DH1026='Staff Dashboard'!$B$6),OR('Staff Dashboard'!$B$7="All",$D1026='Staff Dashboard'!$B$7),OR('Staff Dashboard'!$B$8="All",$A1026='Staff Dashboard'!$B$8))</f>
        <v>0</v>
      </c>
      <c r="M1026">
        <f>IF($E1026=0,0,SUMPRODUCT($AI$7:$DF$7,'Staff Daily sales'!$G1011:$CD1011))</f>
        <v>0</v>
      </c>
      <c r="N1026">
        <f>IF($E1026=0,0,SUMPRODUCT($AI$8:$DF$8,'Staff Daily sales'!$G1011:$CD1011))</f>
        <v>0</v>
      </c>
      <c r="O1026">
        <f>IF($E1026=0,0,SUMPRODUCT($AI$9:$DF$9,'Staff Daily sales'!$G1011:$CD1011))</f>
        <v>0</v>
      </c>
      <c r="P1026">
        <f>IF($E1026=0,0,SUMPRODUCT($AI$10:$DF$10,'Staff Daily sales'!$G1011:$CD1011))</f>
        <v>0</v>
      </c>
      <c r="Q1026">
        <f>IF($E1026=0,0,SUMPRODUCT($AI$11:$DF$11,'Staff Daily sales'!$G1011:$CD1011))</f>
        <v>0</v>
      </c>
      <c r="R1026">
        <f>IF($E1026=0,0,SUMPRODUCT($AI$12:$DF$12,'Staff Daily sales'!$G1011:$CD1011))</f>
        <v>0</v>
      </c>
      <c r="S1026">
        <f>IF($E1026=0,0,SUMPRODUCT($AI$13:$DF$13,'Staff Daily sales'!$G1011:$CD1011))</f>
        <v>0</v>
      </c>
      <c r="T1026">
        <f>IF($E1026=0,0,SUMPRODUCT($AI$14:$DF$14,'Staff Daily sales'!$G1011:$CD1011))</f>
        <v>0</v>
      </c>
      <c r="U1026">
        <f>IF($E1026=0,0,SUMPRODUCT($AI$15:$DF$15,'Staff Daily sales'!$G1011:$CD1011))</f>
        <v>0</v>
      </c>
      <c r="V1026">
        <f>IF($E1026=0,0,SUMPRODUCT($AI$16:$DF$16,'Staff Daily sales'!$G1011:$CD1011))</f>
        <v>0</v>
      </c>
      <c r="W1026">
        <f t="shared" si="271"/>
        <v>0</v>
      </c>
      <c r="X1026">
        <f t="shared" si="272"/>
        <v>0</v>
      </c>
      <c r="Y1026">
        <f t="shared" si="273"/>
        <v>0</v>
      </c>
      <c r="Z1026">
        <f t="shared" si="274"/>
        <v>0</v>
      </c>
      <c r="AA1026">
        <f t="shared" si="275"/>
        <v>0</v>
      </c>
      <c r="AB1026">
        <f>--AND($E1026=1,OR('Staff Weekly Trend'!$B$3="All",$DH1026='Staff Weekly Trend'!$B$3),OR('Staff Weekly Trend'!$B$4="All",$D1026='Staff Weekly Trend'!$B$4),OR('Staff Weekly Trend'!$B$5="All",$A1026='Staff Weekly Trend'!$B$5))</f>
        <v>0</v>
      </c>
      <c r="AC1026" t="str">
        <f t="shared" si="276"/>
        <v/>
      </c>
      <c r="AI1026">
        <f t="shared" si="277"/>
        <v>0</v>
      </c>
      <c r="AJ1026">
        <f t="shared" si="278"/>
        <v>0</v>
      </c>
      <c r="AK1026">
        <f t="shared" si="279"/>
        <v>0</v>
      </c>
      <c r="AL1026">
        <f t="shared" si="280"/>
        <v>0</v>
      </c>
      <c r="AM1026">
        <f t="shared" si="281"/>
        <v>0</v>
      </c>
      <c r="DH1026" t="str" cm="1">
        <f t="array" ref="DH1026">IF($A1026="","",_xlfn.LET(_xlpm.c,IFERROR(_xlfn.XLOOKUP($A1026,TRIM('Sales and count'!$A$4:$A$300&amp;""),TRIM('Sales and count'!$B$4:$B$300&amp;"")),""),IF(OR(_xlpm.c="",_xlpm.c="0",LEFT(_xlpm.c,1)="#"),"Not set",_xlpm.c)))</f>
        <v/>
      </c>
    </row>
    <row r="1027" spans="1:112" x14ac:dyDescent="0.25">
      <c r="A1027" t="str">
        <f>IF('Staff Daily sales'!$B1012="","",TRIM('Staff Daily sales'!$B1012&amp;""))</f>
        <v/>
      </c>
      <c r="B1027" t="str">
        <f>IF('Staff Daily sales'!$D1012="","",TRIM('Staff Daily sales'!$D1012&amp;""))</f>
        <v/>
      </c>
      <c r="C1027" t="str">
        <f>IFERROR(TRIM('Staff Daily sales'!$E1012&amp;""),"")</f>
        <v/>
      </c>
      <c r="D1027" t="str">
        <f>IFERROR(IF(TRIM('Staff Daily sales'!$F1012&amp;"")="","Unassigned",TRIM('Staff Daily sales'!$F1012&amp;"")),"Unassigned")</f>
        <v>Unassigned</v>
      </c>
      <c r="E1027">
        <f t="shared" si="266"/>
        <v>0</v>
      </c>
      <c r="F1027">
        <f>IF($E1027=0,0,SUMPRODUCT($AI$5:$DF$5,'Staff Daily sales'!$G1012:$CD1012))</f>
        <v>0</v>
      </c>
      <c r="G1027">
        <f>IF($E1027=0,0,SUMPRODUCT($AI$6:$DF$6,'Staff Daily sales'!$G1012:$CD1012))</f>
        <v>0</v>
      </c>
      <c r="H1027">
        <f t="shared" si="267"/>
        <v>0</v>
      </c>
      <c r="I1027">
        <f t="shared" si="268"/>
        <v>0</v>
      </c>
      <c r="J1027">
        <f t="shared" si="269"/>
        <v>0</v>
      </c>
      <c r="K1027">
        <f t="shared" si="270"/>
        <v>0</v>
      </c>
      <c r="L1027">
        <f>--AND($E1027=1,OR('Staff Dashboard'!$B$6="All",$DH1027='Staff Dashboard'!$B$6),OR('Staff Dashboard'!$B$7="All",$D1027='Staff Dashboard'!$B$7),OR('Staff Dashboard'!$B$8="All",$A1027='Staff Dashboard'!$B$8))</f>
        <v>0</v>
      </c>
      <c r="M1027">
        <f>IF($E1027=0,0,SUMPRODUCT($AI$7:$DF$7,'Staff Daily sales'!$G1012:$CD1012))</f>
        <v>0</v>
      </c>
      <c r="N1027">
        <f>IF($E1027=0,0,SUMPRODUCT($AI$8:$DF$8,'Staff Daily sales'!$G1012:$CD1012))</f>
        <v>0</v>
      </c>
      <c r="O1027">
        <f>IF($E1027=0,0,SUMPRODUCT($AI$9:$DF$9,'Staff Daily sales'!$G1012:$CD1012))</f>
        <v>0</v>
      </c>
      <c r="P1027">
        <f>IF($E1027=0,0,SUMPRODUCT($AI$10:$DF$10,'Staff Daily sales'!$G1012:$CD1012))</f>
        <v>0</v>
      </c>
      <c r="Q1027">
        <f>IF($E1027=0,0,SUMPRODUCT($AI$11:$DF$11,'Staff Daily sales'!$G1012:$CD1012))</f>
        <v>0</v>
      </c>
      <c r="R1027">
        <f>IF($E1027=0,0,SUMPRODUCT($AI$12:$DF$12,'Staff Daily sales'!$G1012:$CD1012))</f>
        <v>0</v>
      </c>
      <c r="S1027">
        <f>IF($E1027=0,0,SUMPRODUCT($AI$13:$DF$13,'Staff Daily sales'!$G1012:$CD1012))</f>
        <v>0</v>
      </c>
      <c r="T1027">
        <f>IF($E1027=0,0,SUMPRODUCT($AI$14:$DF$14,'Staff Daily sales'!$G1012:$CD1012))</f>
        <v>0</v>
      </c>
      <c r="U1027">
        <f>IF($E1027=0,0,SUMPRODUCT($AI$15:$DF$15,'Staff Daily sales'!$G1012:$CD1012))</f>
        <v>0</v>
      </c>
      <c r="V1027">
        <f>IF($E1027=0,0,SUMPRODUCT($AI$16:$DF$16,'Staff Daily sales'!$G1012:$CD1012))</f>
        <v>0</v>
      </c>
      <c r="W1027">
        <f t="shared" si="271"/>
        <v>0</v>
      </c>
      <c r="X1027">
        <f t="shared" si="272"/>
        <v>0</v>
      </c>
      <c r="Y1027">
        <f t="shared" si="273"/>
        <v>0</v>
      </c>
      <c r="Z1027">
        <f t="shared" si="274"/>
        <v>0</v>
      </c>
      <c r="AA1027">
        <f t="shared" si="275"/>
        <v>0</v>
      </c>
      <c r="AB1027">
        <f>--AND($E1027=1,OR('Staff Weekly Trend'!$B$3="All",$DH1027='Staff Weekly Trend'!$B$3),OR('Staff Weekly Trend'!$B$4="All",$D1027='Staff Weekly Trend'!$B$4),OR('Staff Weekly Trend'!$B$5="All",$A1027='Staff Weekly Trend'!$B$5))</f>
        <v>0</v>
      </c>
      <c r="AC1027" t="str">
        <f t="shared" si="276"/>
        <v/>
      </c>
      <c r="AI1027">
        <f t="shared" si="277"/>
        <v>0</v>
      </c>
      <c r="AJ1027">
        <f t="shared" si="278"/>
        <v>0</v>
      </c>
      <c r="AK1027">
        <f t="shared" si="279"/>
        <v>0</v>
      </c>
      <c r="AL1027">
        <f t="shared" si="280"/>
        <v>0</v>
      </c>
      <c r="AM1027">
        <f t="shared" si="281"/>
        <v>0</v>
      </c>
      <c r="DH1027" t="str" cm="1">
        <f t="array" ref="DH1027">IF($A1027="","",_xlfn.LET(_xlpm.c,IFERROR(_xlfn.XLOOKUP($A1027,TRIM('Sales and count'!$A$4:$A$300&amp;""),TRIM('Sales and count'!$B$4:$B$300&amp;"")),""),IF(OR(_xlpm.c="",_xlpm.c="0",LEFT(_xlpm.c,1)="#"),"Not set",_xlpm.c)))</f>
        <v/>
      </c>
    </row>
    <row r="1028" spans="1:112" x14ac:dyDescent="0.25">
      <c r="A1028" t="str">
        <f>IF('Staff Daily sales'!$B1013="","",TRIM('Staff Daily sales'!$B1013&amp;""))</f>
        <v/>
      </c>
      <c r="B1028" t="str">
        <f>IF('Staff Daily sales'!$D1013="","",TRIM('Staff Daily sales'!$D1013&amp;""))</f>
        <v/>
      </c>
      <c r="C1028" t="str">
        <f>IFERROR(TRIM('Staff Daily sales'!$E1013&amp;""),"")</f>
        <v/>
      </c>
      <c r="D1028" t="str">
        <f>IFERROR(IF(TRIM('Staff Daily sales'!$F1013&amp;"")="","Unassigned",TRIM('Staff Daily sales'!$F1013&amp;"")),"Unassigned")</f>
        <v>Unassigned</v>
      </c>
      <c r="E1028">
        <f t="shared" si="266"/>
        <v>0</v>
      </c>
      <c r="F1028">
        <f>IF($E1028=0,0,SUMPRODUCT($AI$5:$DF$5,'Staff Daily sales'!$G1013:$CD1013))</f>
        <v>0</v>
      </c>
      <c r="G1028">
        <f>IF($E1028=0,0,SUMPRODUCT($AI$6:$DF$6,'Staff Daily sales'!$G1013:$CD1013))</f>
        <v>0</v>
      </c>
      <c r="H1028">
        <f t="shared" si="267"/>
        <v>0</v>
      </c>
      <c r="I1028">
        <f t="shared" si="268"/>
        <v>0</v>
      </c>
      <c r="J1028">
        <f t="shared" si="269"/>
        <v>0</v>
      </c>
      <c r="K1028">
        <f t="shared" si="270"/>
        <v>0</v>
      </c>
      <c r="L1028">
        <f>--AND($E1028=1,OR('Staff Dashboard'!$B$6="All",$DH1028='Staff Dashboard'!$B$6),OR('Staff Dashboard'!$B$7="All",$D1028='Staff Dashboard'!$B$7),OR('Staff Dashboard'!$B$8="All",$A1028='Staff Dashboard'!$B$8))</f>
        <v>0</v>
      </c>
      <c r="M1028">
        <f>IF($E1028=0,0,SUMPRODUCT($AI$7:$DF$7,'Staff Daily sales'!$G1013:$CD1013))</f>
        <v>0</v>
      </c>
      <c r="N1028">
        <f>IF($E1028=0,0,SUMPRODUCT($AI$8:$DF$8,'Staff Daily sales'!$G1013:$CD1013))</f>
        <v>0</v>
      </c>
      <c r="O1028">
        <f>IF($E1028=0,0,SUMPRODUCT($AI$9:$DF$9,'Staff Daily sales'!$G1013:$CD1013))</f>
        <v>0</v>
      </c>
      <c r="P1028">
        <f>IF($E1028=0,0,SUMPRODUCT($AI$10:$DF$10,'Staff Daily sales'!$G1013:$CD1013))</f>
        <v>0</v>
      </c>
      <c r="Q1028">
        <f>IF($E1028=0,0,SUMPRODUCT($AI$11:$DF$11,'Staff Daily sales'!$G1013:$CD1013))</f>
        <v>0</v>
      </c>
      <c r="R1028">
        <f>IF($E1028=0,0,SUMPRODUCT($AI$12:$DF$12,'Staff Daily sales'!$G1013:$CD1013))</f>
        <v>0</v>
      </c>
      <c r="S1028">
        <f>IF($E1028=0,0,SUMPRODUCT($AI$13:$DF$13,'Staff Daily sales'!$G1013:$CD1013))</f>
        <v>0</v>
      </c>
      <c r="T1028">
        <f>IF($E1028=0,0,SUMPRODUCT($AI$14:$DF$14,'Staff Daily sales'!$G1013:$CD1013))</f>
        <v>0</v>
      </c>
      <c r="U1028">
        <f>IF($E1028=0,0,SUMPRODUCT($AI$15:$DF$15,'Staff Daily sales'!$G1013:$CD1013))</f>
        <v>0</v>
      </c>
      <c r="V1028">
        <f>IF($E1028=0,0,SUMPRODUCT($AI$16:$DF$16,'Staff Daily sales'!$G1013:$CD1013))</f>
        <v>0</v>
      </c>
      <c r="W1028">
        <f t="shared" si="271"/>
        <v>0</v>
      </c>
      <c r="X1028">
        <f t="shared" si="272"/>
        <v>0</v>
      </c>
      <c r="Y1028">
        <f t="shared" si="273"/>
        <v>0</v>
      </c>
      <c r="Z1028">
        <f t="shared" si="274"/>
        <v>0</v>
      </c>
      <c r="AA1028">
        <f t="shared" si="275"/>
        <v>0</v>
      </c>
      <c r="AB1028">
        <f>--AND($E1028=1,OR('Staff Weekly Trend'!$B$3="All",$DH1028='Staff Weekly Trend'!$B$3),OR('Staff Weekly Trend'!$B$4="All",$D1028='Staff Weekly Trend'!$B$4),OR('Staff Weekly Trend'!$B$5="All",$A1028='Staff Weekly Trend'!$B$5))</f>
        <v>0</v>
      </c>
      <c r="AC1028" t="str">
        <f t="shared" si="276"/>
        <v/>
      </c>
      <c r="AI1028">
        <f t="shared" si="277"/>
        <v>0</v>
      </c>
      <c r="AJ1028">
        <f t="shared" si="278"/>
        <v>0</v>
      </c>
      <c r="AK1028">
        <f t="shared" si="279"/>
        <v>0</v>
      </c>
      <c r="AL1028">
        <f t="shared" si="280"/>
        <v>0</v>
      </c>
      <c r="AM1028">
        <f t="shared" si="281"/>
        <v>0</v>
      </c>
      <c r="DH1028" t="str" cm="1">
        <f t="array" ref="DH1028">IF($A1028="","",_xlfn.LET(_xlpm.c,IFERROR(_xlfn.XLOOKUP($A1028,TRIM('Sales and count'!$A$4:$A$300&amp;""),TRIM('Sales and count'!$B$4:$B$300&amp;"")),""),IF(OR(_xlpm.c="",_xlpm.c="0",LEFT(_xlpm.c,1)="#"),"Not set",_xlpm.c)))</f>
        <v/>
      </c>
    </row>
    <row r="1029" spans="1:112" x14ac:dyDescent="0.25">
      <c r="A1029" t="str">
        <f>IF('Staff Daily sales'!$B1014="","",TRIM('Staff Daily sales'!$B1014&amp;""))</f>
        <v/>
      </c>
      <c r="B1029" t="str">
        <f>IF('Staff Daily sales'!$D1014="","",TRIM('Staff Daily sales'!$D1014&amp;""))</f>
        <v/>
      </c>
      <c r="C1029" t="str">
        <f>IFERROR(TRIM('Staff Daily sales'!$E1014&amp;""),"")</f>
        <v/>
      </c>
      <c r="D1029" t="str">
        <f>IFERROR(IF(TRIM('Staff Daily sales'!$F1014&amp;"")="","Unassigned",TRIM('Staff Daily sales'!$F1014&amp;"")),"Unassigned")</f>
        <v>Unassigned</v>
      </c>
      <c r="E1029">
        <f t="shared" si="266"/>
        <v>0</v>
      </c>
      <c r="F1029">
        <f>IF($E1029=0,0,SUMPRODUCT($AI$5:$DF$5,'Staff Daily sales'!$G1014:$CD1014))</f>
        <v>0</v>
      </c>
      <c r="G1029">
        <f>IF($E1029=0,0,SUMPRODUCT($AI$6:$DF$6,'Staff Daily sales'!$G1014:$CD1014))</f>
        <v>0</v>
      </c>
      <c r="H1029">
        <f t="shared" si="267"/>
        <v>0</v>
      </c>
      <c r="I1029">
        <f t="shared" si="268"/>
        <v>0</v>
      </c>
      <c r="J1029">
        <f t="shared" si="269"/>
        <v>0</v>
      </c>
      <c r="K1029">
        <f t="shared" si="270"/>
        <v>0</v>
      </c>
      <c r="L1029">
        <f>--AND($E1029=1,OR('Staff Dashboard'!$B$6="All",$DH1029='Staff Dashboard'!$B$6),OR('Staff Dashboard'!$B$7="All",$D1029='Staff Dashboard'!$B$7),OR('Staff Dashboard'!$B$8="All",$A1029='Staff Dashboard'!$B$8))</f>
        <v>0</v>
      </c>
      <c r="M1029">
        <f>IF($E1029=0,0,SUMPRODUCT($AI$7:$DF$7,'Staff Daily sales'!$G1014:$CD1014))</f>
        <v>0</v>
      </c>
      <c r="N1029">
        <f>IF($E1029=0,0,SUMPRODUCT($AI$8:$DF$8,'Staff Daily sales'!$G1014:$CD1014))</f>
        <v>0</v>
      </c>
      <c r="O1029">
        <f>IF($E1029=0,0,SUMPRODUCT($AI$9:$DF$9,'Staff Daily sales'!$G1014:$CD1014))</f>
        <v>0</v>
      </c>
      <c r="P1029">
        <f>IF($E1029=0,0,SUMPRODUCT($AI$10:$DF$10,'Staff Daily sales'!$G1014:$CD1014))</f>
        <v>0</v>
      </c>
      <c r="Q1029">
        <f>IF($E1029=0,0,SUMPRODUCT($AI$11:$DF$11,'Staff Daily sales'!$G1014:$CD1014))</f>
        <v>0</v>
      </c>
      <c r="R1029">
        <f>IF($E1029=0,0,SUMPRODUCT($AI$12:$DF$12,'Staff Daily sales'!$G1014:$CD1014))</f>
        <v>0</v>
      </c>
      <c r="S1029">
        <f>IF($E1029=0,0,SUMPRODUCT($AI$13:$DF$13,'Staff Daily sales'!$G1014:$CD1014))</f>
        <v>0</v>
      </c>
      <c r="T1029">
        <f>IF($E1029=0,0,SUMPRODUCT($AI$14:$DF$14,'Staff Daily sales'!$G1014:$CD1014))</f>
        <v>0</v>
      </c>
      <c r="U1029">
        <f>IF($E1029=0,0,SUMPRODUCT($AI$15:$DF$15,'Staff Daily sales'!$G1014:$CD1014))</f>
        <v>0</v>
      </c>
      <c r="V1029">
        <f>IF($E1029=0,0,SUMPRODUCT($AI$16:$DF$16,'Staff Daily sales'!$G1014:$CD1014))</f>
        <v>0</v>
      </c>
      <c r="W1029">
        <f t="shared" si="271"/>
        <v>0</v>
      </c>
      <c r="X1029">
        <f t="shared" si="272"/>
        <v>0</v>
      </c>
      <c r="Y1029">
        <f t="shared" si="273"/>
        <v>0</v>
      </c>
      <c r="Z1029">
        <f t="shared" si="274"/>
        <v>0</v>
      </c>
      <c r="AA1029">
        <f t="shared" si="275"/>
        <v>0</v>
      </c>
      <c r="AB1029">
        <f>--AND($E1029=1,OR('Staff Weekly Trend'!$B$3="All",$DH1029='Staff Weekly Trend'!$B$3),OR('Staff Weekly Trend'!$B$4="All",$D1029='Staff Weekly Trend'!$B$4),OR('Staff Weekly Trend'!$B$5="All",$A1029='Staff Weekly Trend'!$B$5))</f>
        <v>0</v>
      </c>
      <c r="AC1029" t="str">
        <f t="shared" si="276"/>
        <v/>
      </c>
      <c r="AI1029">
        <f t="shared" si="277"/>
        <v>0</v>
      </c>
      <c r="AJ1029">
        <f t="shared" si="278"/>
        <v>0</v>
      </c>
      <c r="AK1029">
        <f t="shared" si="279"/>
        <v>0</v>
      </c>
      <c r="AL1029">
        <f t="shared" si="280"/>
        <v>0</v>
      </c>
      <c r="AM1029">
        <f t="shared" si="281"/>
        <v>0</v>
      </c>
      <c r="DH1029" t="str" cm="1">
        <f t="array" ref="DH1029">IF($A1029="","",_xlfn.LET(_xlpm.c,IFERROR(_xlfn.XLOOKUP($A1029,TRIM('Sales and count'!$A$4:$A$300&amp;""),TRIM('Sales and count'!$B$4:$B$300&amp;"")),""),IF(OR(_xlpm.c="",_xlpm.c="0",LEFT(_xlpm.c,1)="#"),"Not set",_xlpm.c)))</f>
        <v/>
      </c>
    </row>
    <row r="1030" spans="1:112" x14ac:dyDescent="0.25">
      <c r="A1030" t="str">
        <f>IF('Staff Daily sales'!$B1015="","",TRIM('Staff Daily sales'!$B1015&amp;""))</f>
        <v/>
      </c>
      <c r="B1030" t="str">
        <f>IF('Staff Daily sales'!$D1015="","",TRIM('Staff Daily sales'!$D1015&amp;""))</f>
        <v/>
      </c>
      <c r="C1030" t="str">
        <f>IFERROR(TRIM('Staff Daily sales'!$E1015&amp;""),"")</f>
        <v/>
      </c>
      <c r="D1030" t="str">
        <f>IFERROR(IF(TRIM('Staff Daily sales'!$F1015&amp;"")="","Unassigned",TRIM('Staff Daily sales'!$F1015&amp;"")),"Unassigned")</f>
        <v>Unassigned</v>
      </c>
      <c r="E1030">
        <f t="shared" si="266"/>
        <v>0</v>
      </c>
      <c r="F1030">
        <f>IF($E1030=0,0,SUMPRODUCT($AI$5:$DF$5,'Staff Daily sales'!$G1015:$CD1015))</f>
        <v>0</v>
      </c>
      <c r="G1030">
        <f>IF($E1030=0,0,SUMPRODUCT($AI$6:$DF$6,'Staff Daily sales'!$G1015:$CD1015))</f>
        <v>0</v>
      </c>
      <c r="H1030">
        <f t="shared" si="267"/>
        <v>0</v>
      </c>
      <c r="I1030">
        <f t="shared" si="268"/>
        <v>0</v>
      </c>
      <c r="J1030">
        <f t="shared" si="269"/>
        <v>0</v>
      </c>
      <c r="K1030">
        <f t="shared" si="270"/>
        <v>0</v>
      </c>
      <c r="L1030">
        <f>--AND($E1030=1,OR('Staff Dashboard'!$B$6="All",$DH1030='Staff Dashboard'!$B$6),OR('Staff Dashboard'!$B$7="All",$D1030='Staff Dashboard'!$B$7),OR('Staff Dashboard'!$B$8="All",$A1030='Staff Dashboard'!$B$8))</f>
        <v>0</v>
      </c>
      <c r="M1030">
        <f>IF($E1030=0,0,SUMPRODUCT($AI$7:$DF$7,'Staff Daily sales'!$G1015:$CD1015))</f>
        <v>0</v>
      </c>
      <c r="N1030">
        <f>IF($E1030=0,0,SUMPRODUCT($AI$8:$DF$8,'Staff Daily sales'!$G1015:$CD1015))</f>
        <v>0</v>
      </c>
      <c r="O1030">
        <f>IF($E1030=0,0,SUMPRODUCT($AI$9:$DF$9,'Staff Daily sales'!$G1015:$CD1015))</f>
        <v>0</v>
      </c>
      <c r="P1030">
        <f>IF($E1030=0,0,SUMPRODUCT($AI$10:$DF$10,'Staff Daily sales'!$G1015:$CD1015))</f>
        <v>0</v>
      </c>
      <c r="Q1030">
        <f>IF($E1030=0,0,SUMPRODUCT($AI$11:$DF$11,'Staff Daily sales'!$G1015:$CD1015))</f>
        <v>0</v>
      </c>
      <c r="R1030">
        <f>IF($E1030=0,0,SUMPRODUCT($AI$12:$DF$12,'Staff Daily sales'!$G1015:$CD1015))</f>
        <v>0</v>
      </c>
      <c r="S1030">
        <f>IF($E1030=0,0,SUMPRODUCT($AI$13:$DF$13,'Staff Daily sales'!$G1015:$CD1015))</f>
        <v>0</v>
      </c>
      <c r="T1030">
        <f>IF($E1030=0,0,SUMPRODUCT($AI$14:$DF$14,'Staff Daily sales'!$G1015:$CD1015))</f>
        <v>0</v>
      </c>
      <c r="U1030">
        <f>IF($E1030=0,0,SUMPRODUCT($AI$15:$DF$15,'Staff Daily sales'!$G1015:$CD1015))</f>
        <v>0</v>
      </c>
      <c r="V1030">
        <f>IF($E1030=0,0,SUMPRODUCT($AI$16:$DF$16,'Staff Daily sales'!$G1015:$CD1015))</f>
        <v>0</v>
      </c>
      <c r="W1030">
        <f t="shared" si="271"/>
        <v>0</v>
      </c>
      <c r="X1030">
        <f t="shared" si="272"/>
        <v>0</v>
      </c>
      <c r="Y1030">
        <f t="shared" si="273"/>
        <v>0</v>
      </c>
      <c r="Z1030">
        <f t="shared" si="274"/>
        <v>0</v>
      </c>
      <c r="AA1030">
        <f t="shared" si="275"/>
        <v>0</v>
      </c>
      <c r="AB1030">
        <f>--AND($E1030=1,OR('Staff Weekly Trend'!$B$3="All",$DH1030='Staff Weekly Trend'!$B$3),OR('Staff Weekly Trend'!$B$4="All",$D1030='Staff Weekly Trend'!$B$4),OR('Staff Weekly Trend'!$B$5="All",$A1030='Staff Weekly Trend'!$B$5))</f>
        <v>0</v>
      </c>
      <c r="AC1030" t="str">
        <f t="shared" si="276"/>
        <v/>
      </c>
      <c r="AI1030">
        <f t="shared" si="277"/>
        <v>0</v>
      </c>
      <c r="AJ1030">
        <f t="shared" si="278"/>
        <v>0</v>
      </c>
      <c r="AK1030">
        <f t="shared" si="279"/>
        <v>0</v>
      </c>
      <c r="AL1030">
        <f t="shared" si="280"/>
        <v>0</v>
      </c>
      <c r="AM1030">
        <f t="shared" si="281"/>
        <v>0</v>
      </c>
      <c r="DH1030" t="str" cm="1">
        <f t="array" ref="DH1030">IF($A1030="","",_xlfn.LET(_xlpm.c,IFERROR(_xlfn.XLOOKUP($A1030,TRIM('Sales and count'!$A$4:$A$300&amp;""),TRIM('Sales and count'!$B$4:$B$300&amp;"")),""),IF(OR(_xlpm.c="",_xlpm.c="0",LEFT(_xlpm.c,1)="#"),"Not set",_xlpm.c)))</f>
        <v/>
      </c>
    </row>
    <row r="1031" spans="1:112" x14ac:dyDescent="0.25">
      <c r="A1031" t="str">
        <f>IF('Staff Daily sales'!$B1016="","",TRIM('Staff Daily sales'!$B1016&amp;""))</f>
        <v/>
      </c>
      <c r="B1031" t="str">
        <f>IF('Staff Daily sales'!$D1016="","",TRIM('Staff Daily sales'!$D1016&amp;""))</f>
        <v/>
      </c>
      <c r="C1031" t="str">
        <f>IFERROR(TRIM('Staff Daily sales'!$E1016&amp;""),"")</f>
        <v/>
      </c>
      <c r="D1031" t="str">
        <f>IFERROR(IF(TRIM('Staff Daily sales'!$F1016&amp;"")="","Unassigned",TRIM('Staff Daily sales'!$F1016&amp;"")),"Unassigned")</f>
        <v>Unassigned</v>
      </c>
      <c r="E1031">
        <f t="shared" si="266"/>
        <v>0</v>
      </c>
      <c r="F1031">
        <f>IF($E1031=0,0,SUMPRODUCT($AI$5:$DF$5,'Staff Daily sales'!$G1016:$CD1016))</f>
        <v>0</v>
      </c>
      <c r="G1031">
        <f>IF($E1031=0,0,SUMPRODUCT($AI$6:$DF$6,'Staff Daily sales'!$G1016:$CD1016))</f>
        <v>0</v>
      </c>
      <c r="H1031">
        <f t="shared" si="267"/>
        <v>0</v>
      </c>
      <c r="I1031">
        <f t="shared" si="268"/>
        <v>0</v>
      </c>
      <c r="J1031">
        <f t="shared" si="269"/>
        <v>0</v>
      </c>
      <c r="K1031">
        <f t="shared" si="270"/>
        <v>0</v>
      </c>
      <c r="L1031">
        <f>--AND($E1031=1,OR('Staff Dashboard'!$B$6="All",$DH1031='Staff Dashboard'!$B$6),OR('Staff Dashboard'!$B$7="All",$D1031='Staff Dashboard'!$B$7),OR('Staff Dashboard'!$B$8="All",$A1031='Staff Dashboard'!$B$8))</f>
        <v>0</v>
      </c>
      <c r="M1031">
        <f>IF($E1031=0,0,SUMPRODUCT($AI$7:$DF$7,'Staff Daily sales'!$G1016:$CD1016))</f>
        <v>0</v>
      </c>
      <c r="N1031">
        <f>IF($E1031=0,0,SUMPRODUCT($AI$8:$DF$8,'Staff Daily sales'!$G1016:$CD1016))</f>
        <v>0</v>
      </c>
      <c r="O1031">
        <f>IF($E1031=0,0,SUMPRODUCT($AI$9:$DF$9,'Staff Daily sales'!$G1016:$CD1016))</f>
        <v>0</v>
      </c>
      <c r="P1031">
        <f>IF($E1031=0,0,SUMPRODUCT($AI$10:$DF$10,'Staff Daily sales'!$G1016:$CD1016))</f>
        <v>0</v>
      </c>
      <c r="Q1031">
        <f>IF($E1031=0,0,SUMPRODUCT($AI$11:$DF$11,'Staff Daily sales'!$G1016:$CD1016))</f>
        <v>0</v>
      </c>
      <c r="R1031">
        <f>IF($E1031=0,0,SUMPRODUCT($AI$12:$DF$12,'Staff Daily sales'!$G1016:$CD1016))</f>
        <v>0</v>
      </c>
      <c r="S1031">
        <f>IF($E1031=0,0,SUMPRODUCT($AI$13:$DF$13,'Staff Daily sales'!$G1016:$CD1016))</f>
        <v>0</v>
      </c>
      <c r="T1031">
        <f>IF($E1031=0,0,SUMPRODUCT($AI$14:$DF$14,'Staff Daily sales'!$G1016:$CD1016))</f>
        <v>0</v>
      </c>
      <c r="U1031">
        <f>IF($E1031=0,0,SUMPRODUCT($AI$15:$DF$15,'Staff Daily sales'!$G1016:$CD1016))</f>
        <v>0</v>
      </c>
      <c r="V1031">
        <f>IF($E1031=0,0,SUMPRODUCT($AI$16:$DF$16,'Staff Daily sales'!$G1016:$CD1016))</f>
        <v>0</v>
      </c>
      <c r="W1031">
        <f t="shared" si="271"/>
        <v>0</v>
      </c>
      <c r="X1031">
        <f t="shared" si="272"/>
        <v>0</v>
      </c>
      <c r="Y1031">
        <f t="shared" si="273"/>
        <v>0</v>
      </c>
      <c r="Z1031">
        <f t="shared" si="274"/>
        <v>0</v>
      </c>
      <c r="AA1031">
        <f t="shared" si="275"/>
        <v>0</v>
      </c>
      <c r="AB1031">
        <f>--AND($E1031=1,OR('Staff Weekly Trend'!$B$3="All",$DH1031='Staff Weekly Trend'!$B$3),OR('Staff Weekly Trend'!$B$4="All",$D1031='Staff Weekly Trend'!$B$4),OR('Staff Weekly Trend'!$B$5="All",$A1031='Staff Weekly Trend'!$B$5))</f>
        <v>0</v>
      </c>
      <c r="AC1031" t="str">
        <f t="shared" si="276"/>
        <v/>
      </c>
      <c r="AI1031">
        <f t="shared" si="277"/>
        <v>0</v>
      </c>
      <c r="AJ1031">
        <f t="shared" si="278"/>
        <v>0</v>
      </c>
      <c r="AK1031">
        <f t="shared" si="279"/>
        <v>0</v>
      </c>
      <c r="AL1031">
        <f t="shared" si="280"/>
        <v>0</v>
      </c>
      <c r="AM1031">
        <f t="shared" si="281"/>
        <v>0</v>
      </c>
      <c r="DH1031" t="str" cm="1">
        <f t="array" ref="DH1031">IF($A1031="","",_xlfn.LET(_xlpm.c,IFERROR(_xlfn.XLOOKUP($A1031,TRIM('Sales and count'!$A$4:$A$300&amp;""),TRIM('Sales and count'!$B$4:$B$300&amp;"")),""),IF(OR(_xlpm.c="",_xlpm.c="0",LEFT(_xlpm.c,1)="#"),"Not set",_xlpm.c)))</f>
        <v/>
      </c>
    </row>
    <row r="1032" spans="1:112" x14ac:dyDescent="0.25">
      <c r="A1032" t="str">
        <f>IF('Staff Daily sales'!$B1017="","",TRIM('Staff Daily sales'!$B1017&amp;""))</f>
        <v/>
      </c>
      <c r="B1032" t="str">
        <f>IF('Staff Daily sales'!$D1017="","",TRIM('Staff Daily sales'!$D1017&amp;""))</f>
        <v/>
      </c>
      <c r="C1032" t="str">
        <f>IFERROR(TRIM('Staff Daily sales'!$E1017&amp;""),"")</f>
        <v/>
      </c>
      <c r="D1032" t="str">
        <f>IFERROR(IF(TRIM('Staff Daily sales'!$F1017&amp;"")="","Unassigned",TRIM('Staff Daily sales'!$F1017&amp;"")),"Unassigned")</f>
        <v>Unassigned</v>
      </c>
      <c r="E1032">
        <f t="shared" si="266"/>
        <v>0</v>
      </c>
      <c r="F1032">
        <f>IF($E1032=0,0,SUMPRODUCT($AI$5:$DF$5,'Staff Daily sales'!$G1017:$CD1017))</f>
        <v>0</v>
      </c>
      <c r="G1032">
        <f>IF($E1032=0,0,SUMPRODUCT($AI$6:$DF$6,'Staff Daily sales'!$G1017:$CD1017))</f>
        <v>0</v>
      </c>
      <c r="H1032">
        <f t="shared" si="267"/>
        <v>0</v>
      </c>
      <c r="I1032">
        <f t="shared" si="268"/>
        <v>0</v>
      </c>
      <c r="J1032">
        <f t="shared" si="269"/>
        <v>0</v>
      </c>
      <c r="K1032">
        <f t="shared" si="270"/>
        <v>0</v>
      </c>
      <c r="L1032">
        <f>--AND($E1032=1,OR('Staff Dashboard'!$B$6="All",$DH1032='Staff Dashboard'!$B$6),OR('Staff Dashboard'!$B$7="All",$D1032='Staff Dashboard'!$B$7),OR('Staff Dashboard'!$B$8="All",$A1032='Staff Dashboard'!$B$8))</f>
        <v>0</v>
      </c>
      <c r="M1032">
        <f>IF($E1032=0,0,SUMPRODUCT($AI$7:$DF$7,'Staff Daily sales'!$G1017:$CD1017))</f>
        <v>0</v>
      </c>
      <c r="N1032">
        <f>IF($E1032=0,0,SUMPRODUCT($AI$8:$DF$8,'Staff Daily sales'!$G1017:$CD1017))</f>
        <v>0</v>
      </c>
      <c r="O1032">
        <f>IF($E1032=0,0,SUMPRODUCT($AI$9:$DF$9,'Staff Daily sales'!$G1017:$CD1017))</f>
        <v>0</v>
      </c>
      <c r="P1032">
        <f>IF($E1032=0,0,SUMPRODUCT($AI$10:$DF$10,'Staff Daily sales'!$G1017:$CD1017))</f>
        <v>0</v>
      </c>
      <c r="Q1032">
        <f>IF($E1032=0,0,SUMPRODUCT($AI$11:$DF$11,'Staff Daily sales'!$G1017:$CD1017))</f>
        <v>0</v>
      </c>
      <c r="R1032">
        <f>IF($E1032=0,0,SUMPRODUCT($AI$12:$DF$12,'Staff Daily sales'!$G1017:$CD1017))</f>
        <v>0</v>
      </c>
      <c r="S1032">
        <f>IF($E1032=0,0,SUMPRODUCT($AI$13:$DF$13,'Staff Daily sales'!$G1017:$CD1017))</f>
        <v>0</v>
      </c>
      <c r="T1032">
        <f>IF($E1032=0,0,SUMPRODUCT($AI$14:$DF$14,'Staff Daily sales'!$G1017:$CD1017))</f>
        <v>0</v>
      </c>
      <c r="U1032">
        <f>IF($E1032=0,0,SUMPRODUCT($AI$15:$DF$15,'Staff Daily sales'!$G1017:$CD1017))</f>
        <v>0</v>
      </c>
      <c r="V1032">
        <f>IF($E1032=0,0,SUMPRODUCT($AI$16:$DF$16,'Staff Daily sales'!$G1017:$CD1017))</f>
        <v>0</v>
      </c>
      <c r="W1032">
        <f t="shared" si="271"/>
        <v>0</v>
      </c>
      <c r="X1032">
        <f t="shared" si="272"/>
        <v>0</v>
      </c>
      <c r="Y1032">
        <f t="shared" si="273"/>
        <v>0</v>
      </c>
      <c r="Z1032">
        <f t="shared" si="274"/>
        <v>0</v>
      </c>
      <c r="AA1032">
        <f t="shared" si="275"/>
        <v>0</v>
      </c>
      <c r="AB1032">
        <f>--AND($E1032=1,OR('Staff Weekly Trend'!$B$3="All",$DH1032='Staff Weekly Trend'!$B$3),OR('Staff Weekly Trend'!$B$4="All",$D1032='Staff Weekly Trend'!$B$4),OR('Staff Weekly Trend'!$B$5="All",$A1032='Staff Weekly Trend'!$B$5))</f>
        <v>0</v>
      </c>
      <c r="AC1032" t="str">
        <f t="shared" si="276"/>
        <v/>
      </c>
      <c r="AI1032">
        <f t="shared" si="277"/>
        <v>0</v>
      </c>
      <c r="AJ1032">
        <f t="shared" si="278"/>
        <v>0</v>
      </c>
      <c r="AK1032">
        <f t="shared" si="279"/>
        <v>0</v>
      </c>
      <c r="AL1032">
        <f t="shared" si="280"/>
        <v>0</v>
      </c>
      <c r="AM1032">
        <f t="shared" si="281"/>
        <v>0</v>
      </c>
      <c r="DH1032" t="str" cm="1">
        <f t="array" ref="DH1032">IF($A1032="","",_xlfn.LET(_xlpm.c,IFERROR(_xlfn.XLOOKUP($A1032,TRIM('Sales and count'!$A$4:$A$300&amp;""),TRIM('Sales and count'!$B$4:$B$300&amp;"")),""),IF(OR(_xlpm.c="",_xlpm.c="0",LEFT(_xlpm.c,1)="#"),"Not set",_xlpm.c)))</f>
        <v/>
      </c>
    </row>
    <row r="1033" spans="1:112" x14ac:dyDescent="0.25">
      <c r="A1033" t="str">
        <f>IF('Staff Daily sales'!$B1018="","",TRIM('Staff Daily sales'!$B1018&amp;""))</f>
        <v/>
      </c>
      <c r="B1033" t="str">
        <f>IF('Staff Daily sales'!$D1018="","",TRIM('Staff Daily sales'!$D1018&amp;""))</f>
        <v/>
      </c>
      <c r="C1033" t="str">
        <f>IFERROR(TRIM('Staff Daily sales'!$E1018&amp;""),"")</f>
        <v/>
      </c>
      <c r="D1033" t="str">
        <f>IFERROR(IF(TRIM('Staff Daily sales'!$F1018&amp;"")="","Unassigned",TRIM('Staff Daily sales'!$F1018&amp;"")),"Unassigned")</f>
        <v>Unassigned</v>
      </c>
      <c r="E1033">
        <f t="shared" si="266"/>
        <v>0</v>
      </c>
      <c r="F1033">
        <f>IF($E1033=0,0,SUMPRODUCT($AI$5:$DF$5,'Staff Daily sales'!$G1018:$CD1018))</f>
        <v>0</v>
      </c>
      <c r="G1033">
        <f>IF($E1033=0,0,SUMPRODUCT($AI$6:$DF$6,'Staff Daily sales'!$G1018:$CD1018))</f>
        <v>0</v>
      </c>
      <c r="H1033">
        <f t="shared" si="267"/>
        <v>0</v>
      </c>
      <c r="I1033">
        <f t="shared" si="268"/>
        <v>0</v>
      </c>
      <c r="J1033">
        <f t="shared" si="269"/>
        <v>0</v>
      </c>
      <c r="K1033">
        <f t="shared" si="270"/>
        <v>0</v>
      </c>
      <c r="L1033">
        <f>--AND($E1033=1,OR('Staff Dashboard'!$B$6="All",$DH1033='Staff Dashboard'!$B$6),OR('Staff Dashboard'!$B$7="All",$D1033='Staff Dashboard'!$B$7),OR('Staff Dashboard'!$B$8="All",$A1033='Staff Dashboard'!$B$8))</f>
        <v>0</v>
      </c>
      <c r="M1033">
        <f>IF($E1033=0,0,SUMPRODUCT($AI$7:$DF$7,'Staff Daily sales'!$G1018:$CD1018))</f>
        <v>0</v>
      </c>
      <c r="N1033">
        <f>IF($E1033=0,0,SUMPRODUCT($AI$8:$DF$8,'Staff Daily sales'!$G1018:$CD1018))</f>
        <v>0</v>
      </c>
      <c r="O1033">
        <f>IF($E1033=0,0,SUMPRODUCT($AI$9:$DF$9,'Staff Daily sales'!$G1018:$CD1018))</f>
        <v>0</v>
      </c>
      <c r="P1033">
        <f>IF($E1033=0,0,SUMPRODUCT($AI$10:$DF$10,'Staff Daily sales'!$G1018:$CD1018))</f>
        <v>0</v>
      </c>
      <c r="Q1033">
        <f>IF($E1033=0,0,SUMPRODUCT($AI$11:$DF$11,'Staff Daily sales'!$G1018:$CD1018))</f>
        <v>0</v>
      </c>
      <c r="R1033">
        <f>IF($E1033=0,0,SUMPRODUCT($AI$12:$DF$12,'Staff Daily sales'!$G1018:$CD1018))</f>
        <v>0</v>
      </c>
      <c r="S1033">
        <f>IF($E1033=0,0,SUMPRODUCT($AI$13:$DF$13,'Staff Daily sales'!$G1018:$CD1018))</f>
        <v>0</v>
      </c>
      <c r="T1033">
        <f>IF($E1033=0,0,SUMPRODUCT($AI$14:$DF$14,'Staff Daily sales'!$G1018:$CD1018))</f>
        <v>0</v>
      </c>
      <c r="U1033">
        <f>IF($E1033=0,0,SUMPRODUCT($AI$15:$DF$15,'Staff Daily sales'!$G1018:$CD1018))</f>
        <v>0</v>
      </c>
      <c r="V1033">
        <f>IF($E1033=0,0,SUMPRODUCT($AI$16:$DF$16,'Staff Daily sales'!$G1018:$CD1018))</f>
        <v>0</v>
      </c>
      <c r="W1033">
        <f t="shared" si="271"/>
        <v>0</v>
      </c>
      <c r="X1033">
        <f t="shared" si="272"/>
        <v>0</v>
      </c>
      <c r="Y1033">
        <f t="shared" si="273"/>
        <v>0</v>
      </c>
      <c r="Z1033">
        <f t="shared" si="274"/>
        <v>0</v>
      </c>
      <c r="AA1033">
        <f t="shared" si="275"/>
        <v>0</v>
      </c>
      <c r="AB1033">
        <f>--AND($E1033=1,OR('Staff Weekly Trend'!$B$3="All",$DH1033='Staff Weekly Trend'!$B$3),OR('Staff Weekly Trend'!$B$4="All",$D1033='Staff Weekly Trend'!$B$4),OR('Staff Weekly Trend'!$B$5="All",$A1033='Staff Weekly Trend'!$B$5))</f>
        <v>0</v>
      </c>
      <c r="AC1033" t="str">
        <f t="shared" si="276"/>
        <v/>
      </c>
      <c r="AI1033">
        <f t="shared" si="277"/>
        <v>0</v>
      </c>
      <c r="AJ1033">
        <f t="shared" si="278"/>
        <v>0</v>
      </c>
      <c r="AK1033">
        <f t="shared" si="279"/>
        <v>0</v>
      </c>
      <c r="AL1033">
        <f t="shared" si="280"/>
        <v>0</v>
      </c>
      <c r="AM1033">
        <f t="shared" si="281"/>
        <v>0</v>
      </c>
      <c r="DH1033" t="str" cm="1">
        <f t="array" ref="DH1033">IF($A1033="","",_xlfn.LET(_xlpm.c,IFERROR(_xlfn.XLOOKUP($A1033,TRIM('Sales and count'!$A$4:$A$300&amp;""),TRIM('Sales and count'!$B$4:$B$300&amp;"")),""),IF(OR(_xlpm.c="",_xlpm.c="0",LEFT(_xlpm.c,1)="#"),"Not set",_xlpm.c)))</f>
        <v/>
      </c>
    </row>
    <row r="1034" spans="1:112" x14ac:dyDescent="0.25">
      <c r="A1034" t="str">
        <f>IF('Staff Daily sales'!$B1019="","",TRIM('Staff Daily sales'!$B1019&amp;""))</f>
        <v/>
      </c>
      <c r="B1034" t="str">
        <f>IF('Staff Daily sales'!$D1019="","",TRIM('Staff Daily sales'!$D1019&amp;""))</f>
        <v/>
      </c>
      <c r="C1034" t="str">
        <f>IFERROR(TRIM('Staff Daily sales'!$E1019&amp;""),"")</f>
        <v/>
      </c>
      <c r="D1034" t="str">
        <f>IFERROR(IF(TRIM('Staff Daily sales'!$F1019&amp;"")="","Unassigned",TRIM('Staff Daily sales'!$F1019&amp;"")),"Unassigned")</f>
        <v>Unassigned</v>
      </c>
      <c r="E1034">
        <f t="shared" si="266"/>
        <v>0</v>
      </c>
      <c r="F1034">
        <f>IF($E1034=0,0,SUMPRODUCT($AI$5:$DF$5,'Staff Daily sales'!$G1019:$CD1019))</f>
        <v>0</v>
      </c>
      <c r="G1034">
        <f>IF($E1034=0,0,SUMPRODUCT($AI$6:$DF$6,'Staff Daily sales'!$G1019:$CD1019))</f>
        <v>0</v>
      </c>
      <c r="H1034">
        <f t="shared" si="267"/>
        <v>0</v>
      </c>
      <c r="I1034">
        <f t="shared" si="268"/>
        <v>0</v>
      </c>
      <c r="J1034">
        <f t="shared" si="269"/>
        <v>0</v>
      </c>
      <c r="K1034">
        <f t="shared" si="270"/>
        <v>0</v>
      </c>
      <c r="L1034">
        <f>--AND($E1034=1,OR('Staff Dashboard'!$B$6="All",$DH1034='Staff Dashboard'!$B$6),OR('Staff Dashboard'!$B$7="All",$D1034='Staff Dashboard'!$B$7),OR('Staff Dashboard'!$B$8="All",$A1034='Staff Dashboard'!$B$8))</f>
        <v>0</v>
      </c>
      <c r="M1034">
        <f>IF($E1034=0,0,SUMPRODUCT($AI$7:$DF$7,'Staff Daily sales'!$G1019:$CD1019))</f>
        <v>0</v>
      </c>
      <c r="N1034">
        <f>IF($E1034=0,0,SUMPRODUCT($AI$8:$DF$8,'Staff Daily sales'!$G1019:$CD1019))</f>
        <v>0</v>
      </c>
      <c r="O1034">
        <f>IF($E1034=0,0,SUMPRODUCT($AI$9:$DF$9,'Staff Daily sales'!$G1019:$CD1019))</f>
        <v>0</v>
      </c>
      <c r="P1034">
        <f>IF($E1034=0,0,SUMPRODUCT($AI$10:$DF$10,'Staff Daily sales'!$G1019:$CD1019))</f>
        <v>0</v>
      </c>
      <c r="Q1034">
        <f>IF($E1034=0,0,SUMPRODUCT($AI$11:$DF$11,'Staff Daily sales'!$G1019:$CD1019))</f>
        <v>0</v>
      </c>
      <c r="R1034">
        <f>IF($E1034=0,0,SUMPRODUCT($AI$12:$DF$12,'Staff Daily sales'!$G1019:$CD1019))</f>
        <v>0</v>
      </c>
      <c r="S1034">
        <f>IF($E1034=0,0,SUMPRODUCT($AI$13:$DF$13,'Staff Daily sales'!$G1019:$CD1019))</f>
        <v>0</v>
      </c>
      <c r="T1034">
        <f>IF($E1034=0,0,SUMPRODUCT($AI$14:$DF$14,'Staff Daily sales'!$G1019:$CD1019))</f>
        <v>0</v>
      </c>
      <c r="U1034">
        <f>IF($E1034=0,0,SUMPRODUCT($AI$15:$DF$15,'Staff Daily sales'!$G1019:$CD1019))</f>
        <v>0</v>
      </c>
      <c r="V1034">
        <f>IF($E1034=0,0,SUMPRODUCT($AI$16:$DF$16,'Staff Daily sales'!$G1019:$CD1019))</f>
        <v>0</v>
      </c>
      <c r="W1034">
        <f t="shared" si="271"/>
        <v>0</v>
      </c>
      <c r="X1034">
        <f t="shared" si="272"/>
        <v>0</v>
      </c>
      <c r="Y1034">
        <f t="shared" si="273"/>
        <v>0</v>
      </c>
      <c r="Z1034">
        <f t="shared" si="274"/>
        <v>0</v>
      </c>
      <c r="AA1034">
        <f t="shared" si="275"/>
        <v>0</v>
      </c>
      <c r="AB1034">
        <f>--AND($E1034=1,OR('Staff Weekly Trend'!$B$3="All",$DH1034='Staff Weekly Trend'!$B$3),OR('Staff Weekly Trend'!$B$4="All",$D1034='Staff Weekly Trend'!$B$4),OR('Staff Weekly Trend'!$B$5="All",$A1034='Staff Weekly Trend'!$B$5))</f>
        <v>0</v>
      </c>
      <c r="AC1034" t="str">
        <f t="shared" si="276"/>
        <v/>
      </c>
      <c r="AI1034">
        <f t="shared" si="277"/>
        <v>0</v>
      </c>
      <c r="AJ1034">
        <f t="shared" si="278"/>
        <v>0</v>
      </c>
      <c r="AK1034">
        <f t="shared" si="279"/>
        <v>0</v>
      </c>
      <c r="AL1034">
        <f t="shared" si="280"/>
        <v>0</v>
      </c>
      <c r="AM1034">
        <f t="shared" si="281"/>
        <v>0</v>
      </c>
      <c r="DH1034" t="str" cm="1">
        <f t="array" ref="DH1034">IF($A1034="","",_xlfn.LET(_xlpm.c,IFERROR(_xlfn.XLOOKUP($A1034,TRIM('Sales and count'!$A$4:$A$300&amp;""),TRIM('Sales and count'!$B$4:$B$300&amp;"")),""),IF(OR(_xlpm.c="",_xlpm.c="0",LEFT(_xlpm.c,1)="#"),"Not set",_xlpm.c)))</f>
        <v/>
      </c>
    </row>
    <row r="1035" spans="1:112" x14ac:dyDescent="0.25">
      <c r="A1035" t="str">
        <f>IF('Staff Daily sales'!$B1020="","",TRIM('Staff Daily sales'!$B1020&amp;""))</f>
        <v/>
      </c>
      <c r="B1035" t="str">
        <f>IF('Staff Daily sales'!$D1020="","",TRIM('Staff Daily sales'!$D1020&amp;""))</f>
        <v/>
      </c>
      <c r="C1035" t="str">
        <f>IFERROR(TRIM('Staff Daily sales'!$E1020&amp;""),"")</f>
        <v/>
      </c>
      <c r="D1035" t="str">
        <f>IFERROR(IF(TRIM('Staff Daily sales'!$F1020&amp;"")="","Unassigned",TRIM('Staff Daily sales'!$F1020&amp;"")),"Unassigned")</f>
        <v>Unassigned</v>
      </c>
      <c r="E1035">
        <f t="shared" si="266"/>
        <v>0</v>
      </c>
      <c r="F1035">
        <f>IF($E1035=0,0,SUMPRODUCT($AI$5:$DF$5,'Staff Daily sales'!$G1020:$CD1020))</f>
        <v>0</v>
      </c>
      <c r="G1035">
        <f>IF($E1035=0,0,SUMPRODUCT($AI$6:$DF$6,'Staff Daily sales'!$G1020:$CD1020))</f>
        <v>0</v>
      </c>
      <c r="H1035">
        <f t="shared" si="267"/>
        <v>0</v>
      </c>
      <c r="I1035">
        <f t="shared" si="268"/>
        <v>0</v>
      </c>
      <c r="J1035">
        <f t="shared" si="269"/>
        <v>0</v>
      </c>
      <c r="K1035">
        <f t="shared" si="270"/>
        <v>0</v>
      </c>
      <c r="L1035">
        <f>--AND($E1035=1,OR('Staff Dashboard'!$B$6="All",$DH1035='Staff Dashboard'!$B$6),OR('Staff Dashboard'!$B$7="All",$D1035='Staff Dashboard'!$B$7),OR('Staff Dashboard'!$B$8="All",$A1035='Staff Dashboard'!$B$8))</f>
        <v>0</v>
      </c>
      <c r="M1035">
        <f>IF($E1035=0,0,SUMPRODUCT($AI$7:$DF$7,'Staff Daily sales'!$G1020:$CD1020))</f>
        <v>0</v>
      </c>
      <c r="N1035">
        <f>IF($E1035=0,0,SUMPRODUCT($AI$8:$DF$8,'Staff Daily sales'!$G1020:$CD1020))</f>
        <v>0</v>
      </c>
      <c r="O1035">
        <f>IF($E1035=0,0,SUMPRODUCT($AI$9:$DF$9,'Staff Daily sales'!$G1020:$CD1020))</f>
        <v>0</v>
      </c>
      <c r="P1035">
        <f>IF($E1035=0,0,SUMPRODUCT($AI$10:$DF$10,'Staff Daily sales'!$G1020:$CD1020))</f>
        <v>0</v>
      </c>
      <c r="Q1035">
        <f>IF($E1035=0,0,SUMPRODUCT($AI$11:$DF$11,'Staff Daily sales'!$G1020:$CD1020))</f>
        <v>0</v>
      </c>
      <c r="R1035">
        <f>IF($E1035=0,0,SUMPRODUCT($AI$12:$DF$12,'Staff Daily sales'!$G1020:$CD1020))</f>
        <v>0</v>
      </c>
      <c r="S1035">
        <f>IF($E1035=0,0,SUMPRODUCT($AI$13:$DF$13,'Staff Daily sales'!$G1020:$CD1020))</f>
        <v>0</v>
      </c>
      <c r="T1035">
        <f>IF($E1035=0,0,SUMPRODUCT($AI$14:$DF$14,'Staff Daily sales'!$G1020:$CD1020))</f>
        <v>0</v>
      </c>
      <c r="U1035">
        <f>IF($E1035=0,0,SUMPRODUCT($AI$15:$DF$15,'Staff Daily sales'!$G1020:$CD1020))</f>
        <v>0</v>
      </c>
      <c r="V1035">
        <f>IF($E1035=0,0,SUMPRODUCT($AI$16:$DF$16,'Staff Daily sales'!$G1020:$CD1020))</f>
        <v>0</v>
      </c>
      <c r="W1035">
        <f t="shared" si="271"/>
        <v>0</v>
      </c>
      <c r="X1035">
        <f t="shared" si="272"/>
        <v>0</v>
      </c>
      <c r="Y1035">
        <f t="shared" si="273"/>
        <v>0</v>
      </c>
      <c r="Z1035">
        <f t="shared" si="274"/>
        <v>0</v>
      </c>
      <c r="AA1035">
        <f t="shared" si="275"/>
        <v>0</v>
      </c>
      <c r="AB1035">
        <f>--AND($E1035=1,OR('Staff Weekly Trend'!$B$3="All",$DH1035='Staff Weekly Trend'!$B$3),OR('Staff Weekly Trend'!$B$4="All",$D1035='Staff Weekly Trend'!$B$4),OR('Staff Weekly Trend'!$B$5="All",$A1035='Staff Weekly Trend'!$B$5))</f>
        <v>0</v>
      </c>
      <c r="AC1035" t="str">
        <f t="shared" si="276"/>
        <v/>
      </c>
      <c r="AI1035">
        <f t="shared" si="277"/>
        <v>0</v>
      </c>
      <c r="AJ1035">
        <f t="shared" si="278"/>
        <v>0</v>
      </c>
      <c r="AK1035">
        <f t="shared" si="279"/>
        <v>0</v>
      </c>
      <c r="AL1035">
        <f t="shared" si="280"/>
        <v>0</v>
      </c>
      <c r="AM1035">
        <f t="shared" si="281"/>
        <v>0</v>
      </c>
      <c r="DH1035" t="str" cm="1">
        <f t="array" ref="DH1035">IF($A1035="","",_xlfn.LET(_xlpm.c,IFERROR(_xlfn.XLOOKUP($A1035,TRIM('Sales and count'!$A$4:$A$300&amp;""),TRIM('Sales and count'!$B$4:$B$300&amp;"")),""),IF(OR(_xlpm.c="",_xlpm.c="0",LEFT(_xlpm.c,1)="#"),"Not set",_xlpm.c)))</f>
        <v/>
      </c>
    </row>
    <row r="1036" spans="1:112" x14ac:dyDescent="0.25">
      <c r="A1036" t="str">
        <f>IF('Staff Daily sales'!$B1021="","",TRIM('Staff Daily sales'!$B1021&amp;""))</f>
        <v/>
      </c>
      <c r="B1036" t="str">
        <f>IF('Staff Daily sales'!$D1021="","",TRIM('Staff Daily sales'!$D1021&amp;""))</f>
        <v/>
      </c>
      <c r="C1036" t="str">
        <f>IFERROR(TRIM('Staff Daily sales'!$E1021&amp;""),"")</f>
        <v/>
      </c>
      <c r="D1036" t="str">
        <f>IFERROR(IF(TRIM('Staff Daily sales'!$F1021&amp;"")="","Unassigned",TRIM('Staff Daily sales'!$F1021&amp;"")),"Unassigned")</f>
        <v>Unassigned</v>
      </c>
      <c r="E1036">
        <f t="shared" si="266"/>
        <v>0</v>
      </c>
      <c r="F1036">
        <f>IF($E1036=0,0,SUMPRODUCT($AI$5:$DF$5,'Staff Daily sales'!$G1021:$CD1021))</f>
        <v>0</v>
      </c>
      <c r="G1036">
        <f>IF($E1036=0,0,SUMPRODUCT($AI$6:$DF$6,'Staff Daily sales'!$G1021:$CD1021))</f>
        <v>0</v>
      </c>
      <c r="H1036">
        <f t="shared" si="267"/>
        <v>0</v>
      </c>
      <c r="I1036">
        <f t="shared" si="268"/>
        <v>0</v>
      </c>
      <c r="J1036">
        <f t="shared" si="269"/>
        <v>0</v>
      </c>
      <c r="K1036">
        <f t="shared" si="270"/>
        <v>0</v>
      </c>
      <c r="L1036">
        <f>--AND($E1036=1,OR('Staff Dashboard'!$B$6="All",$DH1036='Staff Dashboard'!$B$6),OR('Staff Dashboard'!$B$7="All",$D1036='Staff Dashboard'!$B$7),OR('Staff Dashboard'!$B$8="All",$A1036='Staff Dashboard'!$B$8))</f>
        <v>0</v>
      </c>
      <c r="M1036">
        <f>IF($E1036=0,0,SUMPRODUCT($AI$7:$DF$7,'Staff Daily sales'!$G1021:$CD1021))</f>
        <v>0</v>
      </c>
      <c r="N1036">
        <f>IF($E1036=0,0,SUMPRODUCT($AI$8:$DF$8,'Staff Daily sales'!$G1021:$CD1021))</f>
        <v>0</v>
      </c>
      <c r="O1036">
        <f>IF($E1036=0,0,SUMPRODUCT($AI$9:$DF$9,'Staff Daily sales'!$G1021:$CD1021))</f>
        <v>0</v>
      </c>
      <c r="P1036">
        <f>IF($E1036=0,0,SUMPRODUCT($AI$10:$DF$10,'Staff Daily sales'!$G1021:$CD1021))</f>
        <v>0</v>
      </c>
      <c r="Q1036">
        <f>IF($E1036=0,0,SUMPRODUCT($AI$11:$DF$11,'Staff Daily sales'!$G1021:$CD1021))</f>
        <v>0</v>
      </c>
      <c r="R1036">
        <f>IF($E1036=0,0,SUMPRODUCT($AI$12:$DF$12,'Staff Daily sales'!$G1021:$CD1021))</f>
        <v>0</v>
      </c>
      <c r="S1036">
        <f>IF($E1036=0,0,SUMPRODUCT($AI$13:$DF$13,'Staff Daily sales'!$G1021:$CD1021))</f>
        <v>0</v>
      </c>
      <c r="T1036">
        <f>IF($E1036=0,0,SUMPRODUCT($AI$14:$DF$14,'Staff Daily sales'!$G1021:$CD1021))</f>
        <v>0</v>
      </c>
      <c r="U1036">
        <f>IF($E1036=0,0,SUMPRODUCT($AI$15:$DF$15,'Staff Daily sales'!$G1021:$CD1021))</f>
        <v>0</v>
      </c>
      <c r="V1036">
        <f>IF($E1036=0,0,SUMPRODUCT($AI$16:$DF$16,'Staff Daily sales'!$G1021:$CD1021))</f>
        <v>0</v>
      </c>
      <c r="W1036">
        <f t="shared" si="271"/>
        <v>0</v>
      </c>
      <c r="X1036">
        <f t="shared" si="272"/>
        <v>0</v>
      </c>
      <c r="Y1036">
        <f t="shared" si="273"/>
        <v>0</v>
      </c>
      <c r="Z1036">
        <f t="shared" si="274"/>
        <v>0</v>
      </c>
      <c r="AA1036">
        <f t="shared" si="275"/>
        <v>0</v>
      </c>
      <c r="AB1036">
        <f>--AND($E1036=1,OR('Staff Weekly Trend'!$B$3="All",$DH1036='Staff Weekly Trend'!$B$3),OR('Staff Weekly Trend'!$B$4="All",$D1036='Staff Weekly Trend'!$B$4),OR('Staff Weekly Trend'!$B$5="All",$A1036='Staff Weekly Trend'!$B$5))</f>
        <v>0</v>
      </c>
      <c r="AC1036" t="str">
        <f t="shared" si="276"/>
        <v/>
      </c>
      <c r="AI1036">
        <f t="shared" si="277"/>
        <v>0</v>
      </c>
      <c r="AJ1036">
        <f t="shared" si="278"/>
        <v>0</v>
      </c>
      <c r="AK1036">
        <f t="shared" si="279"/>
        <v>0</v>
      </c>
      <c r="AL1036">
        <f t="shared" si="280"/>
        <v>0</v>
      </c>
      <c r="AM1036">
        <f t="shared" si="281"/>
        <v>0</v>
      </c>
      <c r="DH1036" t="str" cm="1">
        <f t="array" ref="DH1036">IF($A1036="","",_xlfn.LET(_xlpm.c,IFERROR(_xlfn.XLOOKUP($A1036,TRIM('Sales and count'!$A$4:$A$300&amp;""),TRIM('Sales and count'!$B$4:$B$300&amp;"")),""),IF(OR(_xlpm.c="",_xlpm.c="0",LEFT(_xlpm.c,1)="#"),"Not set",_xlpm.c)))</f>
        <v/>
      </c>
    </row>
    <row r="1037" spans="1:112" x14ac:dyDescent="0.25">
      <c r="A1037" t="str">
        <f>IF('Staff Daily sales'!$B1022="","",TRIM('Staff Daily sales'!$B1022&amp;""))</f>
        <v/>
      </c>
      <c r="B1037" t="str">
        <f>IF('Staff Daily sales'!$D1022="","",TRIM('Staff Daily sales'!$D1022&amp;""))</f>
        <v/>
      </c>
      <c r="C1037" t="str">
        <f>IFERROR(TRIM('Staff Daily sales'!$E1022&amp;""),"")</f>
        <v/>
      </c>
      <c r="D1037" t="str">
        <f>IFERROR(IF(TRIM('Staff Daily sales'!$F1022&amp;"")="","Unassigned",TRIM('Staff Daily sales'!$F1022&amp;"")),"Unassigned")</f>
        <v>Unassigned</v>
      </c>
      <c r="E1037">
        <f t="shared" si="266"/>
        <v>0</v>
      </c>
      <c r="F1037">
        <f>IF($E1037=0,0,SUMPRODUCT($AI$5:$DF$5,'Staff Daily sales'!$G1022:$CD1022))</f>
        <v>0</v>
      </c>
      <c r="G1037">
        <f>IF($E1037=0,0,SUMPRODUCT($AI$6:$DF$6,'Staff Daily sales'!$G1022:$CD1022))</f>
        <v>0</v>
      </c>
      <c r="H1037">
        <f t="shared" si="267"/>
        <v>0</v>
      </c>
      <c r="I1037">
        <f t="shared" si="268"/>
        <v>0</v>
      </c>
      <c r="J1037">
        <f t="shared" si="269"/>
        <v>0</v>
      </c>
      <c r="K1037">
        <f t="shared" si="270"/>
        <v>0</v>
      </c>
      <c r="L1037">
        <f>--AND($E1037=1,OR('Staff Dashboard'!$B$6="All",$DH1037='Staff Dashboard'!$B$6),OR('Staff Dashboard'!$B$7="All",$D1037='Staff Dashboard'!$B$7),OR('Staff Dashboard'!$B$8="All",$A1037='Staff Dashboard'!$B$8))</f>
        <v>0</v>
      </c>
      <c r="M1037">
        <f>IF($E1037=0,0,SUMPRODUCT($AI$7:$DF$7,'Staff Daily sales'!$G1022:$CD1022))</f>
        <v>0</v>
      </c>
      <c r="N1037">
        <f>IF($E1037=0,0,SUMPRODUCT($AI$8:$DF$8,'Staff Daily sales'!$G1022:$CD1022))</f>
        <v>0</v>
      </c>
      <c r="O1037">
        <f>IF($E1037=0,0,SUMPRODUCT($AI$9:$DF$9,'Staff Daily sales'!$G1022:$CD1022))</f>
        <v>0</v>
      </c>
      <c r="P1037">
        <f>IF($E1037=0,0,SUMPRODUCT($AI$10:$DF$10,'Staff Daily sales'!$G1022:$CD1022))</f>
        <v>0</v>
      </c>
      <c r="Q1037">
        <f>IF($E1037=0,0,SUMPRODUCT($AI$11:$DF$11,'Staff Daily sales'!$G1022:$CD1022))</f>
        <v>0</v>
      </c>
      <c r="R1037">
        <f>IF($E1037=0,0,SUMPRODUCT($AI$12:$DF$12,'Staff Daily sales'!$G1022:$CD1022))</f>
        <v>0</v>
      </c>
      <c r="S1037">
        <f>IF($E1037=0,0,SUMPRODUCT($AI$13:$DF$13,'Staff Daily sales'!$G1022:$CD1022))</f>
        <v>0</v>
      </c>
      <c r="T1037">
        <f>IF($E1037=0,0,SUMPRODUCT($AI$14:$DF$14,'Staff Daily sales'!$G1022:$CD1022))</f>
        <v>0</v>
      </c>
      <c r="U1037">
        <f>IF($E1037=0,0,SUMPRODUCT($AI$15:$DF$15,'Staff Daily sales'!$G1022:$CD1022))</f>
        <v>0</v>
      </c>
      <c r="V1037">
        <f>IF($E1037=0,0,SUMPRODUCT($AI$16:$DF$16,'Staff Daily sales'!$G1022:$CD1022))</f>
        <v>0</v>
      </c>
      <c r="W1037">
        <f t="shared" si="271"/>
        <v>0</v>
      </c>
      <c r="X1037">
        <f t="shared" si="272"/>
        <v>0</v>
      </c>
      <c r="Y1037">
        <f t="shared" si="273"/>
        <v>0</v>
      </c>
      <c r="Z1037">
        <f t="shared" si="274"/>
        <v>0</v>
      </c>
      <c r="AA1037">
        <f t="shared" si="275"/>
        <v>0</v>
      </c>
      <c r="AB1037">
        <f>--AND($E1037=1,OR('Staff Weekly Trend'!$B$3="All",$DH1037='Staff Weekly Trend'!$B$3),OR('Staff Weekly Trend'!$B$4="All",$D1037='Staff Weekly Trend'!$B$4),OR('Staff Weekly Trend'!$B$5="All",$A1037='Staff Weekly Trend'!$B$5))</f>
        <v>0</v>
      </c>
      <c r="AC1037" t="str">
        <f t="shared" si="276"/>
        <v/>
      </c>
      <c r="AI1037">
        <f t="shared" si="277"/>
        <v>0</v>
      </c>
      <c r="AJ1037">
        <f t="shared" si="278"/>
        <v>0</v>
      </c>
      <c r="AK1037">
        <f t="shared" si="279"/>
        <v>0</v>
      </c>
      <c r="AL1037">
        <f t="shared" si="280"/>
        <v>0</v>
      </c>
      <c r="AM1037">
        <f t="shared" si="281"/>
        <v>0</v>
      </c>
      <c r="DH1037" t="str" cm="1">
        <f t="array" ref="DH1037">IF($A1037="","",_xlfn.LET(_xlpm.c,IFERROR(_xlfn.XLOOKUP($A1037,TRIM('Sales and count'!$A$4:$A$300&amp;""),TRIM('Sales and count'!$B$4:$B$300&amp;"")),""),IF(OR(_xlpm.c="",_xlpm.c="0",LEFT(_xlpm.c,1)="#"),"Not set",_xlpm.c)))</f>
        <v/>
      </c>
    </row>
    <row r="1038" spans="1:112" x14ac:dyDescent="0.25">
      <c r="A1038" t="str">
        <f>IF('Staff Daily sales'!$B1023="","",TRIM('Staff Daily sales'!$B1023&amp;""))</f>
        <v/>
      </c>
      <c r="B1038" t="str">
        <f>IF('Staff Daily sales'!$D1023="","",TRIM('Staff Daily sales'!$D1023&amp;""))</f>
        <v/>
      </c>
      <c r="C1038" t="str">
        <f>IFERROR(TRIM('Staff Daily sales'!$E1023&amp;""),"")</f>
        <v/>
      </c>
      <c r="D1038" t="str">
        <f>IFERROR(IF(TRIM('Staff Daily sales'!$F1023&amp;"")="","Unassigned",TRIM('Staff Daily sales'!$F1023&amp;"")),"Unassigned")</f>
        <v>Unassigned</v>
      </c>
      <c r="E1038">
        <f t="shared" si="266"/>
        <v>0</v>
      </c>
      <c r="F1038">
        <f>IF($E1038=0,0,SUMPRODUCT($AI$5:$DF$5,'Staff Daily sales'!$G1023:$CD1023))</f>
        <v>0</v>
      </c>
      <c r="G1038">
        <f>IF($E1038=0,0,SUMPRODUCT($AI$6:$DF$6,'Staff Daily sales'!$G1023:$CD1023))</f>
        <v>0</v>
      </c>
      <c r="H1038">
        <f t="shared" si="267"/>
        <v>0</v>
      </c>
      <c r="I1038">
        <f t="shared" si="268"/>
        <v>0</v>
      </c>
      <c r="J1038">
        <f t="shared" si="269"/>
        <v>0</v>
      </c>
      <c r="K1038">
        <f t="shared" si="270"/>
        <v>0</v>
      </c>
      <c r="L1038">
        <f>--AND($E1038=1,OR('Staff Dashboard'!$B$6="All",$DH1038='Staff Dashboard'!$B$6),OR('Staff Dashboard'!$B$7="All",$D1038='Staff Dashboard'!$B$7),OR('Staff Dashboard'!$B$8="All",$A1038='Staff Dashboard'!$B$8))</f>
        <v>0</v>
      </c>
      <c r="M1038">
        <f>IF($E1038=0,0,SUMPRODUCT($AI$7:$DF$7,'Staff Daily sales'!$G1023:$CD1023))</f>
        <v>0</v>
      </c>
      <c r="N1038">
        <f>IF($E1038=0,0,SUMPRODUCT($AI$8:$DF$8,'Staff Daily sales'!$G1023:$CD1023))</f>
        <v>0</v>
      </c>
      <c r="O1038">
        <f>IF($E1038=0,0,SUMPRODUCT($AI$9:$DF$9,'Staff Daily sales'!$G1023:$CD1023))</f>
        <v>0</v>
      </c>
      <c r="P1038">
        <f>IF($E1038=0,0,SUMPRODUCT($AI$10:$DF$10,'Staff Daily sales'!$G1023:$CD1023))</f>
        <v>0</v>
      </c>
      <c r="Q1038">
        <f>IF($E1038=0,0,SUMPRODUCT($AI$11:$DF$11,'Staff Daily sales'!$G1023:$CD1023))</f>
        <v>0</v>
      </c>
      <c r="R1038">
        <f>IF($E1038=0,0,SUMPRODUCT($AI$12:$DF$12,'Staff Daily sales'!$G1023:$CD1023))</f>
        <v>0</v>
      </c>
      <c r="S1038">
        <f>IF($E1038=0,0,SUMPRODUCT($AI$13:$DF$13,'Staff Daily sales'!$G1023:$CD1023))</f>
        <v>0</v>
      </c>
      <c r="T1038">
        <f>IF($E1038=0,0,SUMPRODUCT($AI$14:$DF$14,'Staff Daily sales'!$G1023:$CD1023))</f>
        <v>0</v>
      </c>
      <c r="U1038">
        <f>IF($E1038=0,0,SUMPRODUCT($AI$15:$DF$15,'Staff Daily sales'!$G1023:$CD1023))</f>
        <v>0</v>
      </c>
      <c r="V1038">
        <f>IF($E1038=0,0,SUMPRODUCT($AI$16:$DF$16,'Staff Daily sales'!$G1023:$CD1023))</f>
        <v>0</v>
      </c>
      <c r="W1038">
        <f t="shared" si="271"/>
        <v>0</v>
      </c>
      <c r="X1038">
        <f t="shared" si="272"/>
        <v>0</v>
      </c>
      <c r="Y1038">
        <f t="shared" si="273"/>
        <v>0</v>
      </c>
      <c r="Z1038">
        <f t="shared" si="274"/>
        <v>0</v>
      </c>
      <c r="AA1038">
        <f t="shared" si="275"/>
        <v>0</v>
      </c>
      <c r="AB1038">
        <f>--AND($E1038=1,OR('Staff Weekly Trend'!$B$3="All",$DH1038='Staff Weekly Trend'!$B$3),OR('Staff Weekly Trend'!$B$4="All",$D1038='Staff Weekly Trend'!$B$4),OR('Staff Weekly Trend'!$B$5="All",$A1038='Staff Weekly Trend'!$B$5))</f>
        <v>0</v>
      </c>
      <c r="AC1038" t="str">
        <f t="shared" si="276"/>
        <v/>
      </c>
      <c r="AI1038">
        <f t="shared" si="277"/>
        <v>0</v>
      </c>
      <c r="AJ1038">
        <f t="shared" si="278"/>
        <v>0</v>
      </c>
      <c r="AK1038">
        <f t="shared" si="279"/>
        <v>0</v>
      </c>
      <c r="AL1038">
        <f t="shared" si="280"/>
        <v>0</v>
      </c>
      <c r="AM1038">
        <f t="shared" si="281"/>
        <v>0</v>
      </c>
      <c r="DH1038" t="str" cm="1">
        <f t="array" ref="DH1038">IF($A1038="","",_xlfn.LET(_xlpm.c,IFERROR(_xlfn.XLOOKUP($A1038,TRIM('Sales and count'!$A$4:$A$300&amp;""),TRIM('Sales and count'!$B$4:$B$300&amp;"")),""),IF(OR(_xlpm.c="",_xlpm.c="0",LEFT(_xlpm.c,1)="#"),"Not set",_xlpm.c)))</f>
        <v/>
      </c>
    </row>
    <row r="1039" spans="1:112" x14ac:dyDescent="0.25">
      <c r="A1039" t="str">
        <f>IF('Staff Daily sales'!$B1024="","",TRIM('Staff Daily sales'!$B1024&amp;""))</f>
        <v/>
      </c>
      <c r="B1039" t="str">
        <f>IF('Staff Daily sales'!$D1024="","",TRIM('Staff Daily sales'!$D1024&amp;""))</f>
        <v/>
      </c>
      <c r="C1039" t="str">
        <f>IFERROR(TRIM('Staff Daily sales'!$E1024&amp;""),"")</f>
        <v/>
      </c>
      <c r="D1039" t="str">
        <f>IFERROR(IF(TRIM('Staff Daily sales'!$F1024&amp;"")="","Unassigned",TRIM('Staff Daily sales'!$F1024&amp;"")),"Unassigned")</f>
        <v>Unassigned</v>
      </c>
      <c r="E1039">
        <f t="shared" si="266"/>
        <v>0</v>
      </c>
      <c r="F1039">
        <f>IF($E1039=0,0,SUMPRODUCT($AI$5:$DF$5,'Staff Daily sales'!$G1024:$CD1024))</f>
        <v>0</v>
      </c>
      <c r="G1039">
        <f>IF($E1039=0,0,SUMPRODUCT($AI$6:$DF$6,'Staff Daily sales'!$G1024:$CD1024))</f>
        <v>0</v>
      </c>
      <c r="H1039">
        <f t="shared" si="267"/>
        <v>0</v>
      </c>
      <c r="I1039">
        <f t="shared" si="268"/>
        <v>0</v>
      </c>
      <c r="J1039">
        <f t="shared" si="269"/>
        <v>0</v>
      </c>
      <c r="K1039">
        <f t="shared" si="270"/>
        <v>0</v>
      </c>
      <c r="L1039">
        <f>--AND($E1039=1,OR('Staff Dashboard'!$B$6="All",$DH1039='Staff Dashboard'!$B$6),OR('Staff Dashboard'!$B$7="All",$D1039='Staff Dashboard'!$B$7),OR('Staff Dashboard'!$B$8="All",$A1039='Staff Dashboard'!$B$8))</f>
        <v>0</v>
      </c>
      <c r="M1039">
        <f>IF($E1039=0,0,SUMPRODUCT($AI$7:$DF$7,'Staff Daily sales'!$G1024:$CD1024))</f>
        <v>0</v>
      </c>
      <c r="N1039">
        <f>IF($E1039=0,0,SUMPRODUCT($AI$8:$DF$8,'Staff Daily sales'!$G1024:$CD1024))</f>
        <v>0</v>
      </c>
      <c r="O1039">
        <f>IF($E1039=0,0,SUMPRODUCT($AI$9:$DF$9,'Staff Daily sales'!$G1024:$CD1024))</f>
        <v>0</v>
      </c>
      <c r="P1039">
        <f>IF($E1039=0,0,SUMPRODUCT($AI$10:$DF$10,'Staff Daily sales'!$G1024:$CD1024))</f>
        <v>0</v>
      </c>
      <c r="Q1039">
        <f>IF($E1039=0,0,SUMPRODUCT($AI$11:$DF$11,'Staff Daily sales'!$G1024:$CD1024))</f>
        <v>0</v>
      </c>
      <c r="R1039">
        <f>IF($E1039=0,0,SUMPRODUCT($AI$12:$DF$12,'Staff Daily sales'!$G1024:$CD1024))</f>
        <v>0</v>
      </c>
      <c r="S1039">
        <f>IF($E1039=0,0,SUMPRODUCT($AI$13:$DF$13,'Staff Daily sales'!$G1024:$CD1024))</f>
        <v>0</v>
      </c>
      <c r="T1039">
        <f>IF($E1039=0,0,SUMPRODUCT($AI$14:$DF$14,'Staff Daily sales'!$G1024:$CD1024))</f>
        <v>0</v>
      </c>
      <c r="U1039">
        <f>IF($E1039=0,0,SUMPRODUCT($AI$15:$DF$15,'Staff Daily sales'!$G1024:$CD1024))</f>
        <v>0</v>
      </c>
      <c r="V1039">
        <f>IF($E1039=0,0,SUMPRODUCT($AI$16:$DF$16,'Staff Daily sales'!$G1024:$CD1024))</f>
        <v>0</v>
      </c>
      <c r="W1039">
        <f t="shared" si="271"/>
        <v>0</v>
      </c>
      <c r="X1039">
        <f t="shared" si="272"/>
        <v>0</v>
      </c>
      <c r="Y1039">
        <f t="shared" si="273"/>
        <v>0</v>
      </c>
      <c r="Z1039">
        <f t="shared" si="274"/>
        <v>0</v>
      </c>
      <c r="AA1039">
        <f t="shared" si="275"/>
        <v>0</v>
      </c>
      <c r="AB1039">
        <f>--AND($E1039=1,OR('Staff Weekly Trend'!$B$3="All",$DH1039='Staff Weekly Trend'!$B$3),OR('Staff Weekly Trend'!$B$4="All",$D1039='Staff Weekly Trend'!$B$4),OR('Staff Weekly Trend'!$B$5="All",$A1039='Staff Weekly Trend'!$B$5))</f>
        <v>0</v>
      </c>
      <c r="AC1039" t="str">
        <f t="shared" si="276"/>
        <v/>
      </c>
      <c r="AI1039">
        <f t="shared" si="277"/>
        <v>0</v>
      </c>
      <c r="AJ1039">
        <f t="shared" si="278"/>
        <v>0</v>
      </c>
      <c r="AK1039">
        <f t="shared" si="279"/>
        <v>0</v>
      </c>
      <c r="AL1039">
        <f t="shared" si="280"/>
        <v>0</v>
      </c>
      <c r="AM1039">
        <f t="shared" si="281"/>
        <v>0</v>
      </c>
      <c r="DH1039" t="str" cm="1">
        <f t="array" ref="DH1039">IF($A1039="","",_xlfn.LET(_xlpm.c,IFERROR(_xlfn.XLOOKUP($A1039,TRIM('Sales and count'!$A$4:$A$300&amp;""),TRIM('Sales and count'!$B$4:$B$300&amp;"")),""),IF(OR(_xlpm.c="",_xlpm.c="0",LEFT(_xlpm.c,1)="#"),"Not set",_xlpm.c)))</f>
        <v/>
      </c>
    </row>
    <row r="1040" spans="1:112" x14ac:dyDescent="0.25">
      <c r="A1040" t="str">
        <f>IF('Staff Daily sales'!$B1025="","",TRIM('Staff Daily sales'!$B1025&amp;""))</f>
        <v/>
      </c>
      <c r="B1040" t="str">
        <f>IF('Staff Daily sales'!$D1025="","",TRIM('Staff Daily sales'!$D1025&amp;""))</f>
        <v/>
      </c>
      <c r="C1040" t="str">
        <f>IFERROR(TRIM('Staff Daily sales'!$E1025&amp;""),"")</f>
        <v/>
      </c>
      <c r="D1040" t="str">
        <f>IFERROR(IF(TRIM('Staff Daily sales'!$F1025&amp;"")="","Unassigned",TRIM('Staff Daily sales'!$F1025&amp;"")),"Unassigned")</f>
        <v>Unassigned</v>
      </c>
      <c r="E1040">
        <f t="shared" si="266"/>
        <v>0</v>
      </c>
      <c r="F1040">
        <f>IF($E1040=0,0,SUMPRODUCT($AI$5:$DF$5,'Staff Daily sales'!$G1025:$CD1025))</f>
        <v>0</v>
      </c>
      <c r="G1040">
        <f>IF($E1040=0,0,SUMPRODUCT($AI$6:$DF$6,'Staff Daily sales'!$G1025:$CD1025))</f>
        <v>0</v>
      </c>
      <c r="H1040">
        <f t="shared" si="267"/>
        <v>0</v>
      </c>
      <c r="I1040">
        <f t="shared" si="268"/>
        <v>0</v>
      </c>
      <c r="J1040">
        <f t="shared" si="269"/>
        <v>0</v>
      </c>
      <c r="K1040">
        <f t="shared" si="270"/>
        <v>0</v>
      </c>
      <c r="L1040">
        <f>--AND($E1040=1,OR('Staff Dashboard'!$B$6="All",$DH1040='Staff Dashboard'!$B$6),OR('Staff Dashboard'!$B$7="All",$D1040='Staff Dashboard'!$B$7),OR('Staff Dashboard'!$B$8="All",$A1040='Staff Dashboard'!$B$8))</f>
        <v>0</v>
      </c>
      <c r="M1040">
        <f>IF($E1040=0,0,SUMPRODUCT($AI$7:$DF$7,'Staff Daily sales'!$G1025:$CD1025))</f>
        <v>0</v>
      </c>
      <c r="N1040">
        <f>IF($E1040=0,0,SUMPRODUCT($AI$8:$DF$8,'Staff Daily sales'!$G1025:$CD1025))</f>
        <v>0</v>
      </c>
      <c r="O1040">
        <f>IF($E1040=0,0,SUMPRODUCT($AI$9:$DF$9,'Staff Daily sales'!$G1025:$CD1025))</f>
        <v>0</v>
      </c>
      <c r="P1040">
        <f>IF($E1040=0,0,SUMPRODUCT($AI$10:$DF$10,'Staff Daily sales'!$G1025:$CD1025))</f>
        <v>0</v>
      </c>
      <c r="Q1040">
        <f>IF($E1040=0,0,SUMPRODUCT($AI$11:$DF$11,'Staff Daily sales'!$G1025:$CD1025))</f>
        <v>0</v>
      </c>
      <c r="R1040">
        <f>IF($E1040=0,0,SUMPRODUCT($AI$12:$DF$12,'Staff Daily sales'!$G1025:$CD1025))</f>
        <v>0</v>
      </c>
      <c r="S1040">
        <f>IF($E1040=0,0,SUMPRODUCT($AI$13:$DF$13,'Staff Daily sales'!$G1025:$CD1025))</f>
        <v>0</v>
      </c>
      <c r="T1040">
        <f>IF($E1040=0,0,SUMPRODUCT($AI$14:$DF$14,'Staff Daily sales'!$G1025:$CD1025))</f>
        <v>0</v>
      </c>
      <c r="U1040">
        <f>IF($E1040=0,0,SUMPRODUCT($AI$15:$DF$15,'Staff Daily sales'!$G1025:$CD1025))</f>
        <v>0</v>
      </c>
      <c r="V1040">
        <f>IF($E1040=0,0,SUMPRODUCT($AI$16:$DF$16,'Staff Daily sales'!$G1025:$CD1025))</f>
        <v>0</v>
      </c>
      <c r="W1040">
        <f t="shared" si="271"/>
        <v>0</v>
      </c>
      <c r="X1040">
        <f t="shared" si="272"/>
        <v>0</v>
      </c>
      <c r="Y1040">
        <f t="shared" si="273"/>
        <v>0</v>
      </c>
      <c r="Z1040">
        <f t="shared" si="274"/>
        <v>0</v>
      </c>
      <c r="AA1040">
        <f t="shared" si="275"/>
        <v>0</v>
      </c>
      <c r="AB1040">
        <f>--AND($E1040=1,OR('Staff Weekly Trend'!$B$3="All",$DH1040='Staff Weekly Trend'!$B$3),OR('Staff Weekly Trend'!$B$4="All",$D1040='Staff Weekly Trend'!$B$4),OR('Staff Weekly Trend'!$B$5="All",$A1040='Staff Weekly Trend'!$B$5))</f>
        <v>0</v>
      </c>
      <c r="AC1040" t="str">
        <f t="shared" si="276"/>
        <v/>
      </c>
      <c r="AI1040">
        <f t="shared" si="277"/>
        <v>0</v>
      </c>
      <c r="AJ1040">
        <f t="shared" si="278"/>
        <v>0</v>
      </c>
      <c r="AK1040">
        <f t="shared" si="279"/>
        <v>0</v>
      </c>
      <c r="AL1040">
        <f t="shared" si="280"/>
        <v>0</v>
      </c>
      <c r="AM1040">
        <f t="shared" si="281"/>
        <v>0</v>
      </c>
      <c r="DH1040" t="str" cm="1">
        <f t="array" ref="DH1040">IF($A1040="","",_xlfn.LET(_xlpm.c,IFERROR(_xlfn.XLOOKUP($A1040,TRIM('Sales and count'!$A$4:$A$300&amp;""),TRIM('Sales and count'!$B$4:$B$300&amp;"")),""),IF(OR(_xlpm.c="",_xlpm.c="0",LEFT(_xlpm.c,1)="#"),"Not set",_xlpm.c)))</f>
        <v/>
      </c>
    </row>
    <row r="1041" spans="1:112" x14ac:dyDescent="0.25">
      <c r="A1041" t="str">
        <f>IF('Staff Daily sales'!$B1026="","",TRIM('Staff Daily sales'!$B1026&amp;""))</f>
        <v/>
      </c>
      <c r="B1041" t="str">
        <f>IF('Staff Daily sales'!$D1026="","",TRIM('Staff Daily sales'!$D1026&amp;""))</f>
        <v/>
      </c>
      <c r="C1041" t="str">
        <f>IFERROR(TRIM('Staff Daily sales'!$E1026&amp;""),"")</f>
        <v/>
      </c>
      <c r="D1041" t="str">
        <f>IFERROR(IF(TRIM('Staff Daily sales'!$F1026&amp;"")="","Unassigned",TRIM('Staff Daily sales'!$F1026&amp;"")),"Unassigned")</f>
        <v>Unassigned</v>
      </c>
      <c r="E1041">
        <f t="shared" si="266"/>
        <v>0</v>
      </c>
      <c r="F1041">
        <f>IF($E1041=0,0,SUMPRODUCT($AI$5:$DF$5,'Staff Daily sales'!$G1026:$CD1026))</f>
        <v>0</v>
      </c>
      <c r="G1041">
        <f>IF($E1041=0,0,SUMPRODUCT($AI$6:$DF$6,'Staff Daily sales'!$G1026:$CD1026))</f>
        <v>0</v>
      </c>
      <c r="H1041">
        <f t="shared" si="267"/>
        <v>0</v>
      </c>
      <c r="I1041">
        <f t="shared" si="268"/>
        <v>0</v>
      </c>
      <c r="J1041">
        <f t="shared" si="269"/>
        <v>0</v>
      </c>
      <c r="K1041">
        <f t="shared" si="270"/>
        <v>0</v>
      </c>
      <c r="L1041">
        <f>--AND($E1041=1,OR('Staff Dashboard'!$B$6="All",$DH1041='Staff Dashboard'!$B$6),OR('Staff Dashboard'!$B$7="All",$D1041='Staff Dashboard'!$B$7),OR('Staff Dashboard'!$B$8="All",$A1041='Staff Dashboard'!$B$8))</f>
        <v>0</v>
      </c>
      <c r="M1041">
        <f>IF($E1041=0,0,SUMPRODUCT($AI$7:$DF$7,'Staff Daily sales'!$G1026:$CD1026))</f>
        <v>0</v>
      </c>
      <c r="N1041">
        <f>IF($E1041=0,0,SUMPRODUCT($AI$8:$DF$8,'Staff Daily sales'!$G1026:$CD1026))</f>
        <v>0</v>
      </c>
      <c r="O1041">
        <f>IF($E1041=0,0,SUMPRODUCT($AI$9:$DF$9,'Staff Daily sales'!$G1026:$CD1026))</f>
        <v>0</v>
      </c>
      <c r="P1041">
        <f>IF($E1041=0,0,SUMPRODUCT($AI$10:$DF$10,'Staff Daily sales'!$G1026:$CD1026))</f>
        <v>0</v>
      </c>
      <c r="Q1041">
        <f>IF($E1041=0,0,SUMPRODUCT($AI$11:$DF$11,'Staff Daily sales'!$G1026:$CD1026))</f>
        <v>0</v>
      </c>
      <c r="R1041">
        <f>IF($E1041=0,0,SUMPRODUCT($AI$12:$DF$12,'Staff Daily sales'!$G1026:$CD1026))</f>
        <v>0</v>
      </c>
      <c r="S1041">
        <f>IF($E1041=0,0,SUMPRODUCT($AI$13:$DF$13,'Staff Daily sales'!$G1026:$CD1026))</f>
        <v>0</v>
      </c>
      <c r="T1041">
        <f>IF($E1041=0,0,SUMPRODUCT($AI$14:$DF$14,'Staff Daily sales'!$G1026:$CD1026))</f>
        <v>0</v>
      </c>
      <c r="U1041">
        <f>IF($E1041=0,0,SUMPRODUCT($AI$15:$DF$15,'Staff Daily sales'!$G1026:$CD1026))</f>
        <v>0</v>
      </c>
      <c r="V1041">
        <f>IF($E1041=0,0,SUMPRODUCT($AI$16:$DF$16,'Staff Daily sales'!$G1026:$CD1026))</f>
        <v>0</v>
      </c>
      <c r="W1041">
        <f t="shared" si="271"/>
        <v>0</v>
      </c>
      <c r="X1041">
        <f t="shared" si="272"/>
        <v>0</v>
      </c>
      <c r="Y1041">
        <f t="shared" si="273"/>
        <v>0</v>
      </c>
      <c r="Z1041">
        <f t="shared" si="274"/>
        <v>0</v>
      </c>
      <c r="AA1041">
        <f t="shared" si="275"/>
        <v>0</v>
      </c>
      <c r="AB1041">
        <f>--AND($E1041=1,OR('Staff Weekly Trend'!$B$3="All",$DH1041='Staff Weekly Trend'!$B$3),OR('Staff Weekly Trend'!$B$4="All",$D1041='Staff Weekly Trend'!$B$4),OR('Staff Weekly Trend'!$B$5="All",$A1041='Staff Weekly Trend'!$B$5))</f>
        <v>0</v>
      </c>
      <c r="AC1041" t="str">
        <f t="shared" si="276"/>
        <v/>
      </c>
      <c r="AI1041">
        <f t="shared" si="277"/>
        <v>0</v>
      </c>
      <c r="AJ1041">
        <f t="shared" si="278"/>
        <v>0</v>
      </c>
      <c r="AK1041">
        <f t="shared" si="279"/>
        <v>0</v>
      </c>
      <c r="AL1041">
        <f t="shared" si="280"/>
        <v>0</v>
      </c>
      <c r="AM1041">
        <f t="shared" si="281"/>
        <v>0</v>
      </c>
      <c r="DH1041" t="str" cm="1">
        <f t="array" ref="DH1041">IF($A1041="","",_xlfn.LET(_xlpm.c,IFERROR(_xlfn.XLOOKUP($A1041,TRIM('Sales and count'!$A$4:$A$300&amp;""),TRIM('Sales and count'!$B$4:$B$300&amp;"")),""),IF(OR(_xlpm.c="",_xlpm.c="0",LEFT(_xlpm.c,1)="#"),"Not set",_xlpm.c)))</f>
        <v/>
      </c>
    </row>
    <row r="1042" spans="1:112" x14ac:dyDescent="0.25">
      <c r="A1042" t="str">
        <f>IF('Staff Daily sales'!$B1027="","",TRIM('Staff Daily sales'!$B1027&amp;""))</f>
        <v/>
      </c>
      <c r="B1042" t="str">
        <f>IF('Staff Daily sales'!$D1027="","",TRIM('Staff Daily sales'!$D1027&amp;""))</f>
        <v/>
      </c>
      <c r="C1042" t="str">
        <f>IFERROR(TRIM('Staff Daily sales'!$E1027&amp;""),"")</f>
        <v/>
      </c>
      <c r="D1042" t="str">
        <f>IFERROR(IF(TRIM('Staff Daily sales'!$F1027&amp;"")="","Unassigned",TRIM('Staff Daily sales'!$F1027&amp;"")),"Unassigned")</f>
        <v>Unassigned</v>
      </c>
      <c r="E1042">
        <f t="shared" si="266"/>
        <v>0</v>
      </c>
      <c r="F1042">
        <f>IF($E1042=0,0,SUMPRODUCT($AI$5:$DF$5,'Staff Daily sales'!$G1027:$CD1027))</f>
        <v>0</v>
      </c>
      <c r="G1042">
        <f>IF($E1042=0,0,SUMPRODUCT($AI$6:$DF$6,'Staff Daily sales'!$G1027:$CD1027))</f>
        <v>0</v>
      </c>
      <c r="H1042">
        <f t="shared" si="267"/>
        <v>0</v>
      </c>
      <c r="I1042">
        <f t="shared" si="268"/>
        <v>0</v>
      </c>
      <c r="J1042">
        <f t="shared" si="269"/>
        <v>0</v>
      </c>
      <c r="K1042">
        <f t="shared" si="270"/>
        <v>0</v>
      </c>
      <c r="L1042">
        <f>--AND($E1042=1,OR('Staff Dashboard'!$B$6="All",$DH1042='Staff Dashboard'!$B$6),OR('Staff Dashboard'!$B$7="All",$D1042='Staff Dashboard'!$B$7),OR('Staff Dashboard'!$B$8="All",$A1042='Staff Dashboard'!$B$8))</f>
        <v>0</v>
      </c>
      <c r="M1042">
        <f>IF($E1042=0,0,SUMPRODUCT($AI$7:$DF$7,'Staff Daily sales'!$G1027:$CD1027))</f>
        <v>0</v>
      </c>
      <c r="N1042">
        <f>IF($E1042=0,0,SUMPRODUCT($AI$8:$DF$8,'Staff Daily sales'!$G1027:$CD1027))</f>
        <v>0</v>
      </c>
      <c r="O1042">
        <f>IF($E1042=0,0,SUMPRODUCT($AI$9:$DF$9,'Staff Daily sales'!$G1027:$CD1027))</f>
        <v>0</v>
      </c>
      <c r="P1042">
        <f>IF($E1042=0,0,SUMPRODUCT($AI$10:$DF$10,'Staff Daily sales'!$G1027:$CD1027))</f>
        <v>0</v>
      </c>
      <c r="Q1042">
        <f>IF($E1042=0,0,SUMPRODUCT($AI$11:$DF$11,'Staff Daily sales'!$G1027:$CD1027))</f>
        <v>0</v>
      </c>
      <c r="R1042">
        <f>IF($E1042=0,0,SUMPRODUCT($AI$12:$DF$12,'Staff Daily sales'!$G1027:$CD1027))</f>
        <v>0</v>
      </c>
      <c r="S1042">
        <f>IF($E1042=0,0,SUMPRODUCT($AI$13:$DF$13,'Staff Daily sales'!$G1027:$CD1027))</f>
        <v>0</v>
      </c>
      <c r="T1042">
        <f>IF($E1042=0,0,SUMPRODUCT($AI$14:$DF$14,'Staff Daily sales'!$G1027:$CD1027))</f>
        <v>0</v>
      </c>
      <c r="U1042">
        <f>IF($E1042=0,0,SUMPRODUCT($AI$15:$DF$15,'Staff Daily sales'!$G1027:$CD1027))</f>
        <v>0</v>
      </c>
      <c r="V1042">
        <f>IF($E1042=0,0,SUMPRODUCT($AI$16:$DF$16,'Staff Daily sales'!$G1027:$CD1027))</f>
        <v>0</v>
      </c>
      <c r="W1042">
        <f t="shared" si="271"/>
        <v>0</v>
      </c>
      <c r="X1042">
        <f t="shared" si="272"/>
        <v>0</v>
      </c>
      <c r="Y1042">
        <f t="shared" si="273"/>
        <v>0</v>
      </c>
      <c r="Z1042">
        <f t="shared" si="274"/>
        <v>0</v>
      </c>
      <c r="AA1042">
        <f t="shared" si="275"/>
        <v>0</v>
      </c>
      <c r="AB1042">
        <f>--AND($E1042=1,OR('Staff Weekly Trend'!$B$3="All",$DH1042='Staff Weekly Trend'!$B$3),OR('Staff Weekly Trend'!$B$4="All",$D1042='Staff Weekly Trend'!$B$4),OR('Staff Weekly Trend'!$B$5="All",$A1042='Staff Weekly Trend'!$B$5))</f>
        <v>0</v>
      </c>
      <c r="AC1042" t="str">
        <f t="shared" si="276"/>
        <v/>
      </c>
      <c r="AI1042">
        <f t="shared" si="277"/>
        <v>0</v>
      </c>
      <c r="AJ1042">
        <f t="shared" si="278"/>
        <v>0</v>
      </c>
      <c r="AK1042">
        <f t="shared" si="279"/>
        <v>0</v>
      </c>
      <c r="AL1042">
        <f t="shared" si="280"/>
        <v>0</v>
      </c>
      <c r="AM1042">
        <f t="shared" si="281"/>
        <v>0</v>
      </c>
      <c r="DH1042" t="str" cm="1">
        <f t="array" ref="DH1042">IF($A1042="","",_xlfn.LET(_xlpm.c,IFERROR(_xlfn.XLOOKUP($A1042,TRIM('Sales and count'!$A$4:$A$300&amp;""),TRIM('Sales and count'!$B$4:$B$300&amp;"")),""),IF(OR(_xlpm.c="",_xlpm.c="0",LEFT(_xlpm.c,1)="#"),"Not set",_xlpm.c)))</f>
        <v/>
      </c>
    </row>
    <row r="1043" spans="1:112" x14ac:dyDescent="0.25">
      <c r="A1043" t="str">
        <f>IF('Staff Daily sales'!$B1028="","",TRIM('Staff Daily sales'!$B1028&amp;""))</f>
        <v/>
      </c>
      <c r="B1043" t="str">
        <f>IF('Staff Daily sales'!$D1028="","",TRIM('Staff Daily sales'!$D1028&amp;""))</f>
        <v/>
      </c>
      <c r="C1043" t="str">
        <f>IFERROR(TRIM('Staff Daily sales'!$E1028&amp;""),"")</f>
        <v/>
      </c>
      <c r="D1043" t="str">
        <f>IFERROR(IF(TRIM('Staff Daily sales'!$F1028&amp;"")="","Unassigned",TRIM('Staff Daily sales'!$F1028&amp;"")),"Unassigned")</f>
        <v>Unassigned</v>
      </c>
      <c r="E1043">
        <f t="shared" si="266"/>
        <v>0</v>
      </c>
      <c r="F1043">
        <f>IF($E1043=0,0,SUMPRODUCT($AI$5:$DF$5,'Staff Daily sales'!$G1028:$CD1028))</f>
        <v>0</v>
      </c>
      <c r="G1043">
        <f>IF($E1043=0,0,SUMPRODUCT($AI$6:$DF$6,'Staff Daily sales'!$G1028:$CD1028))</f>
        <v>0</v>
      </c>
      <c r="H1043">
        <f t="shared" si="267"/>
        <v>0</v>
      </c>
      <c r="I1043">
        <f t="shared" si="268"/>
        <v>0</v>
      </c>
      <c r="J1043">
        <f t="shared" si="269"/>
        <v>0</v>
      </c>
      <c r="K1043">
        <f t="shared" si="270"/>
        <v>0</v>
      </c>
      <c r="L1043">
        <f>--AND($E1043=1,OR('Staff Dashboard'!$B$6="All",$DH1043='Staff Dashboard'!$B$6),OR('Staff Dashboard'!$B$7="All",$D1043='Staff Dashboard'!$B$7),OR('Staff Dashboard'!$B$8="All",$A1043='Staff Dashboard'!$B$8))</f>
        <v>0</v>
      </c>
      <c r="M1043">
        <f>IF($E1043=0,0,SUMPRODUCT($AI$7:$DF$7,'Staff Daily sales'!$G1028:$CD1028))</f>
        <v>0</v>
      </c>
      <c r="N1043">
        <f>IF($E1043=0,0,SUMPRODUCT($AI$8:$DF$8,'Staff Daily sales'!$G1028:$CD1028))</f>
        <v>0</v>
      </c>
      <c r="O1043">
        <f>IF($E1043=0,0,SUMPRODUCT($AI$9:$DF$9,'Staff Daily sales'!$G1028:$CD1028))</f>
        <v>0</v>
      </c>
      <c r="P1043">
        <f>IF($E1043=0,0,SUMPRODUCT($AI$10:$DF$10,'Staff Daily sales'!$G1028:$CD1028))</f>
        <v>0</v>
      </c>
      <c r="Q1043">
        <f>IF($E1043=0,0,SUMPRODUCT($AI$11:$DF$11,'Staff Daily sales'!$G1028:$CD1028))</f>
        <v>0</v>
      </c>
      <c r="R1043">
        <f>IF($E1043=0,0,SUMPRODUCT($AI$12:$DF$12,'Staff Daily sales'!$G1028:$CD1028))</f>
        <v>0</v>
      </c>
      <c r="S1043">
        <f>IF($E1043=0,0,SUMPRODUCT($AI$13:$DF$13,'Staff Daily sales'!$G1028:$CD1028))</f>
        <v>0</v>
      </c>
      <c r="T1043">
        <f>IF($E1043=0,0,SUMPRODUCT($AI$14:$DF$14,'Staff Daily sales'!$G1028:$CD1028))</f>
        <v>0</v>
      </c>
      <c r="U1043">
        <f>IF($E1043=0,0,SUMPRODUCT($AI$15:$DF$15,'Staff Daily sales'!$G1028:$CD1028))</f>
        <v>0</v>
      </c>
      <c r="V1043">
        <f>IF($E1043=0,0,SUMPRODUCT($AI$16:$DF$16,'Staff Daily sales'!$G1028:$CD1028))</f>
        <v>0</v>
      </c>
      <c r="W1043">
        <f t="shared" si="271"/>
        <v>0</v>
      </c>
      <c r="X1043">
        <f t="shared" si="272"/>
        <v>0</v>
      </c>
      <c r="Y1043">
        <f t="shared" si="273"/>
        <v>0</v>
      </c>
      <c r="Z1043">
        <f t="shared" si="274"/>
        <v>0</v>
      </c>
      <c r="AA1043">
        <f t="shared" si="275"/>
        <v>0</v>
      </c>
      <c r="AB1043">
        <f>--AND($E1043=1,OR('Staff Weekly Trend'!$B$3="All",$DH1043='Staff Weekly Trend'!$B$3),OR('Staff Weekly Trend'!$B$4="All",$D1043='Staff Weekly Trend'!$B$4),OR('Staff Weekly Trend'!$B$5="All",$A1043='Staff Weekly Trend'!$B$5))</f>
        <v>0</v>
      </c>
      <c r="AC1043" t="str">
        <f t="shared" si="276"/>
        <v/>
      </c>
      <c r="AI1043">
        <f t="shared" si="277"/>
        <v>0</v>
      </c>
      <c r="AJ1043">
        <f t="shared" si="278"/>
        <v>0</v>
      </c>
      <c r="AK1043">
        <f t="shared" si="279"/>
        <v>0</v>
      </c>
      <c r="AL1043">
        <f t="shared" si="280"/>
        <v>0</v>
      </c>
      <c r="AM1043">
        <f t="shared" si="281"/>
        <v>0</v>
      </c>
      <c r="DH1043" t="str" cm="1">
        <f t="array" ref="DH1043">IF($A1043="","",_xlfn.LET(_xlpm.c,IFERROR(_xlfn.XLOOKUP($A1043,TRIM('Sales and count'!$A$4:$A$300&amp;""),TRIM('Sales and count'!$B$4:$B$300&amp;"")),""),IF(OR(_xlpm.c="",_xlpm.c="0",LEFT(_xlpm.c,1)="#"),"Not set",_xlpm.c)))</f>
        <v/>
      </c>
    </row>
    <row r="1044" spans="1:112" x14ac:dyDescent="0.25">
      <c r="A1044" t="str">
        <f>IF('Staff Daily sales'!$B1029="","",TRIM('Staff Daily sales'!$B1029&amp;""))</f>
        <v/>
      </c>
      <c r="B1044" t="str">
        <f>IF('Staff Daily sales'!$D1029="","",TRIM('Staff Daily sales'!$D1029&amp;""))</f>
        <v/>
      </c>
      <c r="C1044" t="str">
        <f>IFERROR(TRIM('Staff Daily sales'!$E1029&amp;""),"")</f>
        <v/>
      </c>
      <c r="D1044" t="str">
        <f>IFERROR(IF(TRIM('Staff Daily sales'!$F1029&amp;"")="","Unassigned",TRIM('Staff Daily sales'!$F1029&amp;"")),"Unassigned")</f>
        <v>Unassigned</v>
      </c>
      <c r="E1044">
        <f t="shared" ref="E1044:E1107" si="282">--AND($A1044&lt;&gt;"",$B1044&lt;&gt;"")</f>
        <v>0</v>
      </c>
      <c r="F1044">
        <f>IF($E1044=0,0,SUMPRODUCT($AI$5:$DF$5,'Staff Daily sales'!$G1029:$CD1029))</f>
        <v>0</v>
      </c>
      <c r="G1044">
        <f>IF($E1044=0,0,SUMPRODUCT($AI$6:$DF$6,'Staff Daily sales'!$G1029:$CD1029))</f>
        <v>0</v>
      </c>
      <c r="H1044">
        <f t="shared" ref="H1044:H1107" si="283">IF($E1044=0,0,SUMIFS($F$20:$F$1515,$A$20:$A$1515,$A1044))</f>
        <v>0</v>
      </c>
      <c r="I1044">
        <f t="shared" ref="I1044:I1107" si="284">IF($E1044=0,0,SUMIFS($G$20:$G$1515,$A$20:$A$1515,$A1044))</f>
        <v>0</v>
      </c>
      <c r="J1044">
        <f t="shared" ref="J1044:J1107" si="285">IF($E1044=0,0,SUMIFS($F$20:$F$1515,$D$20:$D$1515,$D1044))</f>
        <v>0</v>
      </c>
      <c r="K1044">
        <f t="shared" ref="K1044:K1107" si="286">IF($E1044=0,0,SUMIFS($G$20:$G$1515,$D$20:$D$1515,$D1044))</f>
        <v>0</v>
      </c>
      <c r="L1044">
        <f>--AND($E1044=1,OR('Staff Dashboard'!$B$6="All",$DH1044='Staff Dashboard'!$B$6),OR('Staff Dashboard'!$B$7="All",$D1044='Staff Dashboard'!$B$7),OR('Staff Dashboard'!$B$8="All",$A1044='Staff Dashboard'!$B$8))</f>
        <v>0</v>
      </c>
      <c r="M1044">
        <f>IF($E1044=0,0,SUMPRODUCT($AI$7:$DF$7,'Staff Daily sales'!$G1029:$CD1029))</f>
        <v>0</v>
      </c>
      <c r="N1044">
        <f>IF($E1044=0,0,SUMPRODUCT($AI$8:$DF$8,'Staff Daily sales'!$G1029:$CD1029))</f>
        <v>0</v>
      </c>
      <c r="O1044">
        <f>IF($E1044=0,0,SUMPRODUCT($AI$9:$DF$9,'Staff Daily sales'!$G1029:$CD1029))</f>
        <v>0</v>
      </c>
      <c r="P1044">
        <f>IF($E1044=0,0,SUMPRODUCT($AI$10:$DF$10,'Staff Daily sales'!$G1029:$CD1029))</f>
        <v>0</v>
      </c>
      <c r="Q1044">
        <f>IF($E1044=0,0,SUMPRODUCT($AI$11:$DF$11,'Staff Daily sales'!$G1029:$CD1029))</f>
        <v>0</v>
      </c>
      <c r="R1044">
        <f>IF($E1044=0,0,SUMPRODUCT($AI$12:$DF$12,'Staff Daily sales'!$G1029:$CD1029))</f>
        <v>0</v>
      </c>
      <c r="S1044">
        <f>IF($E1044=0,0,SUMPRODUCT($AI$13:$DF$13,'Staff Daily sales'!$G1029:$CD1029))</f>
        <v>0</v>
      </c>
      <c r="T1044">
        <f>IF($E1044=0,0,SUMPRODUCT($AI$14:$DF$14,'Staff Daily sales'!$G1029:$CD1029))</f>
        <v>0</v>
      </c>
      <c r="U1044">
        <f>IF($E1044=0,0,SUMPRODUCT($AI$15:$DF$15,'Staff Daily sales'!$G1029:$CD1029))</f>
        <v>0</v>
      </c>
      <c r="V1044">
        <f>IF($E1044=0,0,SUMPRODUCT($AI$16:$DF$16,'Staff Daily sales'!$G1029:$CD1029))</f>
        <v>0</v>
      </c>
      <c r="W1044">
        <f t="shared" ref="W1044:W1107" si="287">IF($E1044=0,0,SUMIFS(M$20:M$1515,$A$20:$A$1515,$A1044))</f>
        <v>0</v>
      </c>
      <c r="X1044">
        <f t="shared" ref="X1044:X1107" si="288">IF($E1044=0,0,SUMIFS(O$20:O$1515,$A$20:$A$1515,$A1044))</f>
        <v>0</v>
      </c>
      <c r="Y1044">
        <f t="shared" ref="Y1044:Y1107" si="289">IF($E1044=0,0,SUMIFS(Q$20:Q$1515,$A$20:$A$1515,$A1044))</f>
        <v>0</v>
      </c>
      <c r="Z1044">
        <f t="shared" ref="Z1044:Z1107" si="290">IF($E1044=0,0,SUMIFS(S$20:S$1515,$A$20:$A$1515,$A1044))</f>
        <v>0</v>
      </c>
      <c r="AA1044">
        <f t="shared" ref="AA1044:AA1107" si="291">IF($E1044=0,0,SUMIFS(U$20:U$1515,$A$20:$A$1515,$A1044))</f>
        <v>0</v>
      </c>
      <c r="AB1044">
        <f>--AND($E1044=1,OR('Staff Weekly Trend'!$B$3="All",$DH1044='Staff Weekly Trend'!$B$3),OR('Staff Weekly Trend'!$B$4="All",$D1044='Staff Weekly Trend'!$B$4),OR('Staff Weekly Trend'!$B$5="All",$A1044='Staff Weekly Trend'!$B$5))</f>
        <v>0</v>
      </c>
      <c r="AC1044" t="str">
        <f t="shared" ref="AC1044:AC1107" si="292">IF(OR($E1044=0,AND($F1044=0,$G1044=0)),"",COUNTIFS($A$20:$A$1515,$A1044,$E$20:$E$1515,1,$F$20:$F$1515,"&gt;"&amp;$F1044)+1)</f>
        <v/>
      </c>
      <c r="AI1044">
        <f t="shared" ref="AI1044:AI1107" si="293">IF($E1044=0,0,SUMIFS(N$20:N$1515,$A$20:$A$1515,$A1044))</f>
        <v>0</v>
      </c>
      <c r="AJ1044">
        <f t="shared" ref="AJ1044:AJ1107" si="294">IF($E1044=0,0,SUMIFS(P$20:P$1515,$A$20:$A$1515,$A1044))</f>
        <v>0</v>
      </c>
      <c r="AK1044">
        <f t="shared" ref="AK1044:AK1107" si="295">IF($E1044=0,0,SUMIFS(R$20:R$1515,$A$20:$A$1515,$A1044))</f>
        <v>0</v>
      </c>
      <c r="AL1044">
        <f t="shared" ref="AL1044:AL1107" si="296">IF($E1044=0,0,SUMIFS(T$20:T$1515,$A$20:$A$1515,$A1044))</f>
        <v>0</v>
      </c>
      <c r="AM1044">
        <f t="shared" ref="AM1044:AM1107" si="297">IF($E1044=0,0,SUMIFS(V$20:V$1515,$A$20:$A$1515,$A1044))</f>
        <v>0</v>
      </c>
      <c r="DH1044" t="str" cm="1">
        <f t="array" ref="DH1044">IF($A1044="","",_xlfn.LET(_xlpm.c,IFERROR(_xlfn.XLOOKUP($A1044,TRIM('Sales and count'!$A$4:$A$300&amp;""),TRIM('Sales and count'!$B$4:$B$300&amp;"")),""),IF(OR(_xlpm.c="",_xlpm.c="0",LEFT(_xlpm.c,1)="#"),"Not set",_xlpm.c)))</f>
        <v/>
      </c>
    </row>
    <row r="1045" spans="1:112" x14ac:dyDescent="0.25">
      <c r="A1045" t="str">
        <f>IF('Staff Daily sales'!$B1030="","",TRIM('Staff Daily sales'!$B1030&amp;""))</f>
        <v/>
      </c>
      <c r="B1045" t="str">
        <f>IF('Staff Daily sales'!$D1030="","",TRIM('Staff Daily sales'!$D1030&amp;""))</f>
        <v/>
      </c>
      <c r="C1045" t="str">
        <f>IFERROR(TRIM('Staff Daily sales'!$E1030&amp;""),"")</f>
        <v/>
      </c>
      <c r="D1045" t="str">
        <f>IFERROR(IF(TRIM('Staff Daily sales'!$F1030&amp;"")="","Unassigned",TRIM('Staff Daily sales'!$F1030&amp;"")),"Unassigned")</f>
        <v>Unassigned</v>
      </c>
      <c r="E1045">
        <f t="shared" si="282"/>
        <v>0</v>
      </c>
      <c r="F1045">
        <f>IF($E1045=0,0,SUMPRODUCT($AI$5:$DF$5,'Staff Daily sales'!$G1030:$CD1030))</f>
        <v>0</v>
      </c>
      <c r="G1045">
        <f>IF($E1045=0,0,SUMPRODUCT($AI$6:$DF$6,'Staff Daily sales'!$G1030:$CD1030))</f>
        <v>0</v>
      </c>
      <c r="H1045">
        <f t="shared" si="283"/>
        <v>0</v>
      </c>
      <c r="I1045">
        <f t="shared" si="284"/>
        <v>0</v>
      </c>
      <c r="J1045">
        <f t="shared" si="285"/>
        <v>0</v>
      </c>
      <c r="K1045">
        <f t="shared" si="286"/>
        <v>0</v>
      </c>
      <c r="L1045">
        <f>--AND($E1045=1,OR('Staff Dashboard'!$B$6="All",$DH1045='Staff Dashboard'!$B$6),OR('Staff Dashboard'!$B$7="All",$D1045='Staff Dashboard'!$B$7),OR('Staff Dashboard'!$B$8="All",$A1045='Staff Dashboard'!$B$8))</f>
        <v>0</v>
      </c>
      <c r="M1045">
        <f>IF($E1045=0,0,SUMPRODUCT($AI$7:$DF$7,'Staff Daily sales'!$G1030:$CD1030))</f>
        <v>0</v>
      </c>
      <c r="N1045">
        <f>IF($E1045=0,0,SUMPRODUCT($AI$8:$DF$8,'Staff Daily sales'!$G1030:$CD1030))</f>
        <v>0</v>
      </c>
      <c r="O1045">
        <f>IF($E1045=0,0,SUMPRODUCT($AI$9:$DF$9,'Staff Daily sales'!$G1030:$CD1030))</f>
        <v>0</v>
      </c>
      <c r="P1045">
        <f>IF($E1045=0,0,SUMPRODUCT($AI$10:$DF$10,'Staff Daily sales'!$G1030:$CD1030))</f>
        <v>0</v>
      </c>
      <c r="Q1045">
        <f>IF($E1045=0,0,SUMPRODUCT($AI$11:$DF$11,'Staff Daily sales'!$G1030:$CD1030))</f>
        <v>0</v>
      </c>
      <c r="R1045">
        <f>IF($E1045=0,0,SUMPRODUCT($AI$12:$DF$12,'Staff Daily sales'!$G1030:$CD1030))</f>
        <v>0</v>
      </c>
      <c r="S1045">
        <f>IF($E1045=0,0,SUMPRODUCT($AI$13:$DF$13,'Staff Daily sales'!$G1030:$CD1030))</f>
        <v>0</v>
      </c>
      <c r="T1045">
        <f>IF($E1045=0,0,SUMPRODUCT($AI$14:$DF$14,'Staff Daily sales'!$G1030:$CD1030))</f>
        <v>0</v>
      </c>
      <c r="U1045">
        <f>IF($E1045=0,0,SUMPRODUCT($AI$15:$DF$15,'Staff Daily sales'!$G1030:$CD1030))</f>
        <v>0</v>
      </c>
      <c r="V1045">
        <f>IF($E1045=0,0,SUMPRODUCT($AI$16:$DF$16,'Staff Daily sales'!$G1030:$CD1030))</f>
        <v>0</v>
      </c>
      <c r="W1045">
        <f t="shared" si="287"/>
        <v>0</v>
      </c>
      <c r="X1045">
        <f t="shared" si="288"/>
        <v>0</v>
      </c>
      <c r="Y1045">
        <f t="shared" si="289"/>
        <v>0</v>
      </c>
      <c r="Z1045">
        <f t="shared" si="290"/>
        <v>0</v>
      </c>
      <c r="AA1045">
        <f t="shared" si="291"/>
        <v>0</v>
      </c>
      <c r="AB1045">
        <f>--AND($E1045=1,OR('Staff Weekly Trend'!$B$3="All",$DH1045='Staff Weekly Trend'!$B$3),OR('Staff Weekly Trend'!$B$4="All",$D1045='Staff Weekly Trend'!$B$4),OR('Staff Weekly Trend'!$B$5="All",$A1045='Staff Weekly Trend'!$B$5))</f>
        <v>0</v>
      </c>
      <c r="AC1045" t="str">
        <f t="shared" si="292"/>
        <v/>
      </c>
      <c r="AI1045">
        <f t="shared" si="293"/>
        <v>0</v>
      </c>
      <c r="AJ1045">
        <f t="shared" si="294"/>
        <v>0</v>
      </c>
      <c r="AK1045">
        <f t="shared" si="295"/>
        <v>0</v>
      </c>
      <c r="AL1045">
        <f t="shared" si="296"/>
        <v>0</v>
      </c>
      <c r="AM1045">
        <f t="shared" si="297"/>
        <v>0</v>
      </c>
      <c r="DH1045" t="str" cm="1">
        <f t="array" ref="DH1045">IF($A1045="","",_xlfn.LET(_xlpm.c,IFERROR(_xlfn.XLOOKUP($A1045,TRIM('Sales and count'!$A$4:$A$300&amp;""),TRIM('Sales and count'!$B$4:$B$300&amp;"")),""),IF(OR(_xlpm.c="",_xlpm.c="0",LEFT(_xlpm.c,1)="#"),"Not set",_xlpm.c)))</f>
        <v/>
      </c>
    </row>
    <row r="1046" spans="1:112" x14ac:dyDescent="0.25">
      <c r="A1046" t="str">
        <f>IF('Staff Daily sales'!$B1031="","",TRIM('Staff Daily sales'!$B1031&amp;""))</f>
        <v/>
      </c>
      <c r="B1046" t="str">
        <f>IF('Staff Daily sales'!$D1031="","",TRIM('Staff Daily sales'!$D1031&amp;""))</f>
        <v/>
      </c>
      <c r="C1046" t="str">
        <f>IFERROR(TRIM('Staff Daily sales'!$E1031&amp;""),"")</f>
        <v/>
      </c>
      <c r="D1046" t="str">
        <f>IFERROR(IF(TRIM('Staff Daily sales'!$F1031&amp;"")="","Unassigned",TRIM('Staff Daily sales'!$F1031&amp;"")),"Unassigned")</f>
        <v>Unassigned</v>
      </c>
      <c r="E1046">
        <f t="shared" si="282"/>
        <v>0</v>
      </c>
      <c r="F1046">
        <f>IF($E1046=0,0,SUMPRODUCT($AI$5:$DF$5,'Staff Daily sales'!$G1031:$CD1031))</f>
        <v>0</v>
      </c>
      <c r="G1046">
        <f>IF($E1046=0,0,SUMPRODUCT($AI$6:$DF$6,'Staff Daily sales'!$G1031:$CD1031))</f>
        <v>0</v>
      </c>
      <c r="H1046">
        <f t="shared" si="283"/>
        <v>0</v>
      </c>
      <c r="I1046">
        <f t="shared" si="284"/>
        <v>0</v>
      </c>
      <c r="J1046">
        <f t="shared" si="285"/>
        <v>0</v>
      </c>
      <c r="K1046">
        <f t="shared" si="286"/>
        <v>0</v>
      </c>
      <c r="L1046">
        <f>--AND($E1046=1,OR('Staff Dashboard'!$B$6="All",$DH1046='Staff Dashboard'!$B$6),OR('Staff Dashboard'!$B$7="All",$D1046='Staff Dashboard'!$B$7),OR('Staff Dashboard'!$B$8="All",$A1046='Staff Dashboard'!$B$8))</f>
        <v>0</v>
      </c>
      <c r="M1046">
        <f>IF($E1046=0,0,SUMPRODUCT($AI$7:$DF$7,'Staff Daily sales'!$G1031:$CD1031))</f>
        <v>0</v>
      </c>
      <c r="N1046">
        <f>IF($E1046=0,0,SUMPRODUCT($AI$8:$DF$8,'Staff Daily sales'!$G1031:$CD1031))</f>
        <v>0</v>
      </c>
      <c r="O1046">
        <f>IF($E1046=0,0,SUMPRODUCT($AI$9:$DF$9,'Staff Daily sales'!$G1031:$CD1031))</f>
        <v>0</v>
      </c>
      <c r="P1046">
        <f>IF($E1046=0,0,SUMPRODUCT($AI$10:$DF$10,'Staff Daily sales'!$G1031:$CD1031))</f>
        <v>0</v>
      </c>
      <c r="Q1046">
        <f>IF($E1046=0,0,SUMPRODUCT($AI$11:$DF$11,'Staff Daily sales'!$G1031:$CD1031))</f>
        <v>0</v>
      </c>
      <c r="R1046">
        <f>IF($E1046=0,0,SUMPRODUCT($AI$12:$DF$12,'Staff Daily sales'!$G1031:$CD1031))</f>
        <v>0</v>
      </c>
      <c r="S1046">
        <f>IF($E1046=0,0,SUMPRODUCT($AI$13:$DF$13,'Staff Daily sales'!$G1031:$CD1031))</f>
        <v>0</v>
      </c>
      <c r="T1046">
        <f>IF($E1046=0,0,SUMPRODUCT($AI$14:$DF$14,'Staff Daily sales'!$G1031:$CD1031))</f>
        <v>0</v>
      </c>
      <c r="U1046">
        <f>IF($E1046=0,0,SUMPRODUCT($AI$15:$DF$15,'Staff Daily sales'!$G1031:$CD1031))</f>
        <v>0</v>
      </c>
      <c r="V1046">
        <f>IF($E1046=0,0,SUMPRODUCT($AI$16:$DF$16,'Staff Daily sales'!$G1031:$CD1031))</f>
        <v>0</v>
      </c>
      <c r="W1046">
        <f t="shared" si="287"/>
        <v>0</v>
      </c>
      <c r="X1046">
        <f t="shared" si="288"/>
        <v>0</v>
      </c>
      <c r="Y1046">
        <f t="shared" si="289"/>
        <v>0</v>
      </c>
      <c r="Z1046">
        <f t="shared" si="290"/>
        <v>0</v>
      </c>
      <c r="AA1046">
        <f t="shared" si="291"/>
        <v>0</v>
      </c>
      <c r="AB1046">
        <f>--AND($E1046=1,OR('Staff Weekly Trend'!$B$3="All",$DH1046='Staff Weekly Trend'!$B$3),OR('Staff Weekly Trend'!$B$4="All",$D1046='Staff Weekly Trend'!$B$4),OR('Staff Weekly Trend'!$B$5="All",$A1046='Staff Weekly Trend'!$B$5))</f>
        <v>0</v>
      </c>
      <c r="AC1046" t="str">
        <f t="shared" si="292"/>
        <v/>
      </c>
      <c r="AI1046">
        <f t="shared" si="293"/>
        <v>0</v>
      </c>
      <c r="AJ1046">
        <f t="shared" si="294"/>
        <v>0</v>
      </c>
      <c r="AK1046">
        <f t="shared" si="295"/>
        <v>0</v>
      </c>
      <c r="AL1046">
        <f t="shared" si="296"/>
        <v>0</v>
      </c>
      <c r="AM1046">
        <f t="shared" si="297"/>
        <v>0</v>
      </c>
      <c r="DH1046" t="str" cm="1">
        <f t="array" ref="DH1046">IF($A1046="","",_xlfn.LET(_xlpm.c,IFERROR(_xlfn.XLOOKUP($A1046,TRIM('Sales and count'!$A$4:$A$300&amp;""),TRIM('Sales and count'!$B$4:$B$300&amp;"")),""),IF(OR(_xlpm.c="",_xlpm.c="0",LEFT(_xlpm.c,1)="#"),"Not set",_xlpm.c)))</f>
        <v/>
      </c>
    </row>
    <row r="1047" spans="1:112" x14ac:dyDescent="0.25">
      <c r="A1047" t="str">
        <f>IF('Staff Daily sales'!$B1032="","",TRIM('Staff Daily sales'!$B1032&amp;""))</f>
        <v/>
      </c>
      <c r="B1047" t="str">
        <f>IF('Staff Daily sales'!$D1032="","",TRIM('Staff Daily sales'!$D1032&amp;""))</f>
        <v/>
      </c>
      <c r="C1047" t="str">
        <f>IFERROR(TRIM('Staff Daily sales'!$E1032&amp;""),"")</f>
        <v/>
      </c>
      <c r="D1047" t="str">
        <f>IFERROR(IF(TRIM('Staff Daily sales'!$F1032&amp;"")="","Unassigned",TRIM('Staff Daily sales'!$F1032&amp;"")),"Unassigned")</f>
        <v>Unassigned</v>
      </c>
      <c r="E1047">
        <f t="shared" si="282"/>
        <v>0</v>
      </c>
      <c r="F1047">
        <f>IF($E1047=0,0,SUMPRODUCT($AI$5:$DF$5,'Staff Daily sales'!$G1032:$CD1032))</f>
        <v>0</v>
      </c>
      <c r="G1047">
        <f>IF($E1047=0,0,SUMPRODUCT($AI$6:$DF$6,'Staff Daily sales'!$G1032:$CD1032))</f>
        <v>0</v>
      </c>
      <c r="H1047">
        <f t="shared" si="283"/>
        <v>0</v>
      </c>
      <c r="I1047">
        <f t="shared" si="284"/>
        <v>0</v>
      </c>
      <c r="J1047">
        <f t="shared" si="285"/>
        <v>0</v>
      </c>
      <c r="K1047">
        <f t="shared" si="286"/>
        <v>0</v>
      </c>
      <c r="L1047">
        <f>--AND($E1047=1,OR('Staff Dashboard'!$B$6="All",$DH1047='Staff Dashboard'!$B$6),OR('Staff Dashboard'!$B$7="All",$D1047='Staff Dashboard'!$B$7),OR('Staff Dashboard'!$B$8="All",$A1047='Staff Dashboard'!$B$8))</f>
        <v>0</v>
      </c>
      <c r="M1047">
        <f>IF($E1047=0,0,SUMPRODUCT($AI$7:$DF$7,'Staff Daily sales'!$G1032:$CD1032))</f>
        <v>0</v>
      </c>
      <c r="N1047">
        <f>IF($E1047=0,0,SUMPRODUCT($AI$8:$DF$8,'Staff Daily sales'!$G1032:$CD1032))</f>
        <v>0</v>
      </c>
      <c r="O1047">
        <f>IF($E1047=0,0,SUMPRODUCT($AI$9:$DF$9,'Staff Daily sales'!$G1032:$CD1032))</f>
        <v>0</v>
      </c>
      <c r="P1047">
        <f>IF($E1047=0,0,SUMPRODUCT($AI$10:$DF$10,'Staff Daily sales'!$G1032:$CD1032))</f>
        <v>0</v>
      </c>
      <c r="Q1047">
        <f>IF($E1047=0,0,SUMPRODUCT($AI$11:$DF$11,'Staff Daily sales'!$G1032:$CD1032))</f>
        <v>0</v>
      </c>
      <c r="R1047">
        <f>IF($E1047=0,0,SUMPRODUCT($AI$12:$DF$12,'Staff Daily sales'!$G1032:$CD1032))</f>
        <v>0</v>
      </c>
      <c r="S1047">
        <f>IF($E1047=0,0,SUMPRODUCT($AI$13:$DF$13,'Staff Daily sales'!$G1032:$CD1032))</f>
        <v>0</v>
      </c>
      <c r="T1047">
        <f>IF($E1047=0,0,SUMPRODUCT($AI$14:$DF$14,'Staff Daily sales'!$G1032:$CD1032))</f>
        <v>0</v>
      </c>
      <c r="U1047">
        <f>IF($E1047=0,0,SUMPRODUCT($AI$15:$DF$15,'Staff Daily sales'!$G1032:$CD1032))</f>
        <v>0</v>
      </c>
      <c r="V1047">
        <f>IF($E1047=0,0,SUMPRODUCT($AI$16:$DF$16,'Staff Daily sales'!$G1032:$CD1032))</f>
        <v>0</v>
      </c>
      <c r="W1047">
        <f t="shared" si="287"/>
        <v>0</v>
      </c>
      <c r="X1047">
        <f t="shared" si="288"/>
        <v>0</v>
      </c>
      <c r="Y1047">
        <f t="shared" si="289"/>
        <v>0</v>
      </c>
      <c r="Z1047">
        <f t="shared" si="290"/>
        <v>0</v>
      </c>
      <c r="AA1047">
        <f t="shared" si="291"/>
        <v>0</v>
      </c>
      <c r="AB1047">
        <f>--AND($E1047=1,OR('Staff Weekly Trend'!$B$3="All",$DH1047='Staff Weekly Trend'!$B$3),OR('Staff Weekly Trend'!$B$4="All",$D1047='Staff Weekly Trend'!$B$4),OR('Staff Weekly Trend'!$B$5="All",$A1047='Staff Weekly Trend'!$B$5))</f>
        <v>0</v>
      </c>
      <c r="AC1047" t="str">
        <f t="shared" si="292"/>
        <v/>
      </c>
      <c r="AI1047">
        <f t="shared" si="293"/>
        <v>0</v>
      </c>
      <c r="AJ1047">
        <f t="shared" si="294"/>
        <v>0</v>
      </c>
      <c r="AK1047">
        <f t="shared" si="295"/>
        <v>0</v>
      </c>
      <c r="AL1047">
        <f t="shared" si="296"/>
        <v>0</v>
      </c>
      <c r="AM1047">
        <f t="shared" si="297"/>
        <v>0</v>
      </c>
      <c r="DH1047" t="str" cm="1">
        <f t="array" ref="DH1047">IF($A1047="","",_xlfn.LET(_xlpm.c,IFERROR(_xlfn.XLOOKUP($A1047,TRIM('Sales and count'!$A$4:$A$300&amp;""),TRIM('Sales and count'!$B$4:$B$300&amp;"")),""),IF(OR(_xlpm.c="",_xlpm.c="0",LEFT(_xlpm.c,1)="#"),"Not set",_xlpm.c)))</f>
        <v/>
      </c>
    </row>
    <row r="1048" spans="1:112" x14ac:dyDescent="0.25">
      <c r="A1048" t="str">
        <f>IF('Staff Daily sales'!$B1033="","",TRIM('Staff Daily sales'!$B1033&amp;""))</f>
        <v/>
      </c>
      <c r="B1048" t="str">
        <f>IF('Staff Daily sales'!$D1033="","",TRIM('Staff Daily sales'!$D1033&amp;""))</f>
        <v/>
      </c>
      <c r="C1048" t="str">
        <f>IFERROR(TRIM('Staff Daily sales'!$E1033&amp;""),"")</f>
        <v/>
      </c>
      <c r="D1048" t="str">
        <f>IFERROR(IF(TRIM('Staff Daily sales'!$F1033&amp;"")="","Unassigned",TRIM('Staff Daily sales'!$F1033&amp;"")),"Unassigned")</f>
        <v>Unassigned</v>
      </c>
      <c r="E1048">
        <f t="shared" si="282"/>
        <v>0</v>
      </c>
      <c r="F1048">
        <f>IF($E1048=0,0,SUMPRODUCT($AI$5:$DF$5,'Staff Daily sales'!$G1033:$CD1033))</f>
        <v>0</v>
      </c>
      <c r="G1048">
        <f>IF($E1048=0,0,SUMPRODUCT($AI$6:$DF$6,'Staff Daily sales'!$G1033:$CD1033))</f>
        <v>0</v>
      </c>
      <c r="H1048">
        <f t="shared" si="283"/>
        <v>0</v>
      </c>
      <c r="I1048">
        <f t="shared" si="284"/>
        <v>0</v>
      </c>
      <c r="J1048">
        <f t="shared" si="285"/>
        <v>0</v>
      </c>
      <c r="K1048">
        <f t="shared" si="286"/>
        <v>0</v>
      </c>
      <c r="L1048">
        <f>--AND($E1048=1,OR('Staff Dashboard'!$B$6="All",$DH1048='Staff Dashboard'!$B$6),OR('Staff Dashboard'!$B$7="All",$D1048='Staff Dashboard'!$B$7),OR('Staff Dashboard'!$B$8="All",$A1048='Staff Dashboard'!$B$8))</f>
        <v>0</v>
      </c>
      <c r="M1048">
        <f>IF($E1048=0,0,SUMPRODUCT($AI$7:$DF$7,'Staff Daily sales'!$G1033:$CD1033))</f>
        <v>0</v>
      </c>
      <c r="N1048">
        <f>IF($E1048=0,0,SUMPRODUCT($AI$8:$DF$8,'Staff Daily sales'!$G1033:$CD1033))</f>
        <v>0</v>
      </c>
      <c r="O1048">
        <f>IF($E1048=0,0,SUMPRODUCT($AI$9:$DF$9,'Staff Daily sales'!$G1033:$CD1033))</f>
        <v>0</v>
      </c>
      <c r="P1048">
        <f>IF($E1048=0,0,SUMPRODUCT($AI$10:$DF$10,'Staff Daily sales'!$G1033:$CD1033))</f>
        <v>0</v>
      </c>
      <c r="Q1048">
        <f>IF($E1048=0,0,SUMPRODUCT($AI$11:$DF$11,'Staff Daily sales'!$G1033:$CD1033))</f>
        <v>0</v>
      </c>
      <c r="R1048">
        <f>IF($E1048=0,0,SUMPRODUCT($AI$12:$DF$12,'Staff Daily sales'!$G1033:$CD1033))</f>
        <v>0</v>
      </c>
      <c r="S1048">
        <f>IF($E1048=0,0,SUMPRODUCT($AI$13:$DF$13,'Staff Daily sales'!$G1033:$CD1033))</f>
        <v>0</v>
      </c>
      <c r="T1048">
        <f>IF($E1048=0,0,SUMPRODUCT($AI$14:$DF$14,'Staff Daily sales'!$G1033:$CD1033))</f>
        <v>0</v>
      </c>
      <c r="U1048">
        <f>IF($E1048=0,0,SUMPRODUCT($AI$15:$DF$15,'Staff Daily sales'!$G1033:$CD1033))</f>
        <v>0</v>
      </c>
      <c r="V1048">
        <f>IF($E1048=0,0,SUMPRODUCT($AI$16:$DF$16,'Staff Daily sales'!$G1033:$CD1033))</f>
        <v>0</v>
      </c>
      <c r="W1048">
        <f t="shared" si="287"/>
        <v>0</v>
      </c>
      <c r="X1048">
        <f t="shared" si="288"/>
        <v>0</v>
      </c>
      <c r="Y1048">
        <f t="shared" si="289"/>
        <v>0</v>
      </c>
      <c r="Z1048">
        <f t="shared" si="290"/>
        <v>0</v>
      </c>
      <c r="AA1048">
        <f t="shared" si="291"/>
        <v>0</v>
      </c>
      <c r="AB1048">
        <f>--AND($E1048=1,OR('Staff Weekly Trend'!$B$3="All",$DH1048='Staff Weekly Trend'!$B$3),OR('Staff Weekly Trend'!$B$4="All",$D1048='Staff Weekly Trend'!$B$4),OR('Staff Weekly Trend'!$B$5="All",$A1048='Staff Weekly Trend'!$B$5))</f>
        <v>0</v>
      </c>
      <c r="AC1048" t="str">
        <f t="shared" si="292"/>
        <v/>
      </c>
      <c r="AI1048">
        <f t="shared" si="293"/>
        <v>0</v>
      </c>
      <c r="AJ1048">
        <f t="shared" si="294"/>
        <v>0</v>
      </c>
      <c r="AK1048">
        <f t="shared" si="295"/>
        <v>0</v>
      </c>
      <c r="AL1048">
        <f t="shared" si="296"/>
        <v>0</v>
      </c>
      <c r="AM1048">
        <f t="shared" si="297"/>
        <v>0</v>
      </c>
      <c r="DH1048" t="str" cm="1">
        <f t="array" ref="DH1048">IF($A1048="","",_xlfn.LET(_xlpm.c,IFERROR(_xlfn.XLOOKUP($A1048,TRIM('Sales and count'!$A$4:$A$300&amp;""),TRIM('Sales and count'!$B$4:$B$300&amp;"")),""),IF(OR(_xlpm.c="",_xlpm.c="0",LEFT(_xlpm.c,1)="#"),"Not set",_xlpm.c)))</f>
        <v/>
      </c>
    </row>
    <row r="1049" spans="1:112" x14ac:dyDescent="0.25">
      <c r="A1049" t="str">
        <f>IF('Staff Daily sales'!$B1034="","",TRIM('Staff Daily sales'!$B1034&amp;""))</f>
        <v/>
      </c>
      <c r="B1049" t="str">
        <f>IF('Staff Daily sales'!$D1034="","",TRIM('Staff Daily sales'!$D1034&amp;""))</f>
        <v/>
      </c>
      <c r="C1049" t="str">
        <f>IFERROR(TRIM('Staff Daily sales'!$E1034&amp;""),"")</f>
        <v/>
      </c>
      <c r="D1049" t="str">
        <f>IFERROR(IF(TRIM('Staff Daily sales'!$F1034&amp;"")="","Unassigned",TRIM('Staff Daily sales'!$F1034&amp;"")),"Unassigned")</f>
        <v>Unassigned</v>
      </c>
      <c r="E1049">
        <f t="shared" si="282"/>
        <v>0</v>
      </c>
      <c r="F1049">
        <f>IF($E1049=0,0,SUMPRODUCT($AI$5:$DF$5,'Staff Daily sales'!$G1034:$CD1034))</f>
        <v>0</v>
      </c>
      <c r="G1049">
        <f>IF($E1049=0,0,SUMPRODUCT($AI$6:$DF$6,'Staff Daily sales'!$G1034:$CD1034))</f>
        <v>0</v>
      </c>
      <c r="H1049">
        <f t="shared" si="283"/>
        <v>0</v>
      </c>
      <c r="I1049">
        <f t="shared" si="284"/>
        <v>0</v>
      </c>
      <c r="J1049">
        <f t="shared" si="285"/>
        <v>0</v>
      </c>
      <c r="K1049">
        <f t="shared" si="286"/>
        <v>0</v>
      </c>
      <c r="L1049">
        <f>--AND($E1049=1,OR('Staff Dashboard'!$B$6="All",$DH1049='Staff Dashboard'!$B$6),OR('Staff Dashboard'!$B$7="All",$D1049='Staff Dashboard'!$B$7),OR('Staff Dashboard'!$B$8="All",$A1049='Staff Dashboard'!$B$8))</f>
        <v>0</v>
      </c>
      <c r="M1049">
        <f>IF($E1049=0,0,SUMPRODUCT($AI$7:$DF$7,'Staff Daily sales'!$G1034:$CD1034))</f>
        <v>0</v>
      </c>
      <c r="N1049">
        <f>IF($E1049=0,0,SUMPRODUCT($AI$8:$DF$8,'Staff Daily sales'!$G1034:$CD1034))</f>
        <v>0</v>
      </c>
      <c r="O1049">
        <f>IF($E1049=0,0,SUMPRODUCT($AI$9:$DF$9,'Staff Daily sales'!$G1034:$CD1034))</f>
        <v>0</v>
      </c>
      <c r="P1049">
        <f>IF($E1049=0,0,SUMPRODUCT($AI$10:$DF$10,'Staff Daily sales'!$G1034:$CD1034))</f>
        <v>0</v>
      </c>
      <c r="Q1049">
        <f>IF($E1049=0,0,SUMPRODUCT($AI$11:$DF$11,'Staff Daily sales'!$G1034:$CD1034))</f>
        <v>0</v>
      </c>
      <c r="R1049">
        <f>IF($E1049=0,0,SUMPRODUCT($AI$12:$DF$12,'Staff Daily sales'!$G1034:$CD1034))</f>
        <v>0</v>
      </c>
      <c r="S1049">
        <f>IF($E1049=0,0,SUMPRODUCT($AI$13:$DF$13,'Staff Daily sales'!$G1034:$CD1034))</f>
        <v>0</v>
      </c>
      <c r="T1049">
        <f>IF($E1049=0,0,SUMPRODUCT($AI$14:$DF$14,'Staff Daily sales'!$G1034:$CD1034))</f>
        <v>0</v>
      </c>
      <c r="U1049">
        <f>IF($E1049=0,0,SUMPRODUCT($AI$15:$DF$15,'Staff Daily sales'!$G1034:$CD1034))</f>
        <v>0</v>
      </c>
      <c r="V1049">
        <f>IF($E1049=0,0,SUMPRODUCT($AI$16:$DF$16,'Staff Daily sales'!$G1034:$CD1034))</f>
        <v>0</v>
      </c>
      <c r="W1049">
        <f t="shared" si="287"/>
        <v>0</v>
      </c>
      <c r="X1049">
        <f t="shared" si="288"/>
        <v>0</v>
      </c>
      <c r="Y1049">
        <f t="shared" si="289"/>
        <v>0</v>
      </c>
      <c r="Z1049">
        <f t="shared" si="290"/>
        <v>0</v>
      </c>
      <c r="AA1049">
        <f t="shared" si="291"/>
        <v>0</v>
      </c>
      <c r="AB1049">
        <f>--AND($E1049=1,OR('Staff Weekly Trend'!$B$3="All",$DH1049='Staff Weekly Trend'!$B$3),OR('Staff Weekly Trend'!$B$4="All",$D1049='Staff Weekly Trend'!$B$4),OR('Staff Weekly Trend'!$B$5="All",$A1049='Staff Weekly Trend'!$B$5))</f>
        <v>0</v>
      </c>
      <c r="AC1049" t="str">
        <f t="shared" si="292"/>
        <v/>
      </c>
      <c r="AI1049">
        <f t="shared" si="293"/>
        <v>0</v>
      </c>
      <c r="AJ1049">
        <f t="shared" si="294"/>
        <v>0</v>
      </c>
      <c r="AK1049">
        <f t="shared" si="295"/>
        <v>0</v>
      </c>
      <c r="AL1049">
        <f t="shared" si="296"/>
        <v>0</v>
      </c>
      <c r="AM1049">
        <f t="shared" si="297"/>
        <v>0</v>
      </c>
      <c r="DH1049" t="str" cm="1">
        <f t="array" ref="DH1049">IF($A1049="","",_xlfn.LET(_xlpm.c,IFERROR(_xlfn.XLOOKUP($A1049,TRIM('Sales and count'!$A$4:$A$300&amp;""),TRIM('Sales and count'!$B$4:$B$300&amp;"")),""),IF(OR(_xlpm.c="",_xlpm.c="0",LEFT(_xlpm.c,1)="#"),"Not set",_xlpm.c)))</f>
        <v/>
      </c>
    </row>
    <row r="1050" spans="1:112" x14ac:dyDescent="0.25">
      <c r="A1050" t="str">
        <f>IF('Staff Daily sales'!$B1035="","",TRIM('Staff Daily sales'!$B1035&amp;""))</f>
        <v/>
      </c>
      <c r="B1050" t="str">
        <f>IF('Staff Daily sales'!$D1035="","",TRIM('Staff Daily sales'!$D1035&amp;""))</f>
        <v/>
      </c>
      <c r="C1050" t="str">
        <f>IFERROR(TRIM('Staff Daily sales'!$E1035&amp;""),"")</f>
        <v/>
      </c>
      <c r="D1050" t="str">
        <f>IFERROR(IF(TRIM('Staff Daily sales'!$F1035&amp;"")="","Unassigned",TRIM('Staff Daily sales'!$F1035&amp;"")),"Unassigned")</f>
        <v>Unassigned</v>
      </c>
      <c r="E1050">
        <f t="shared" si="282"/>
        <v>0</v>
      </c>
      <c r="F1050">
        <f>IF($E1050=0,0,SUMPRODUCT($AI$5:$DF$5,'Staff Daily sales'!$G1035:$CD1035))</f>
        <v>0</v>
      </c>
      <c r="G1050">
        <f>IF($E1050=0,0,SUMPRODUCT($AI$6:$DF$6,'Staff Daily sales'!$G1035:$CD1035))</f>
        <v>0</v>
      </c>
      <c r="H1050">
        <f t="shared" si="283"/>
        <v>0</v>
      </c>
      <c r="I1050">
        <f t="shared" si="284"/>
        <v>0</v>
      </c>
      <c r="J1050">
        <f t="shared" si="285"/>
        <v>0</v>
      </c>
      <c r="K1050">
        <f t="shared" si="286"/>
        <v>0</v>
      </c>
      <c r="L1050">
        <f>--AND($E1050=1,OR('Staff Dashboard'!$B$6="All",$DH1050='Staff Dashboard'!$B$6),OR('Staff Dashboard'!$B$7="All",$D1050='Staff Dashboard'!$B$7),OR('Staff Dashboard'!$B$8="All",$A1050='Staff Dashboard'!$B$8))</f>
        <v>0</v>
      </c>
      <c r="M1050">
        <f>IF($E1050=0,0,SUMPRODUCT($AI$7:$DF$7,'Staff Daily sales'!$G1035:$CD1035))</f>
        <v>0</v>
      </c>
      <c r="N1050">
        <f>IF($E1050=0,0,SUMPRODUCT($AI$8:$DF$8,'Staff Daily sales'!$G1035:$CD1035))</f>
        <v>0</v>
      </c>
      <c r="O1050">
        <f>IF($E1050=0,0,SUMPRODUCT($AI$9:$DF$9,'Staff Daily sales'!$G1035:$CD1035))</f>
        <v>0</v>
      </c>
      <c r="P1050">
        <f>IF($E1050=0,0,SUMPRODUCT($AI$10:$DF$10,'Staff Daily sales'!$G1035:$CD1035))</f>
        <v>0</v>
      </c>
      <c r="Q1050">
        <f>IF($E1050=0,0,SUMPRODUCT($AI$11:$DF$11,'Staff Daily sales'!$G1035:$CD1035))</f>
        <v>0</v>
      </c>
      <c r="R1050">
        <f>IF($E1050=0,0,SUMPRODUCT($AI$12:$DF$12,'Staff Daily sales'!$G1035:$CD1035))</f>
        <v>0</v>
      </c>
      <c r="S1050">
        <f>IF($E1050=0,0,SUMPRODUCT($AI$13:$DF$13,'Staff Daily sales'!$G1035:$CD1035))</f>
        <v>0</v>
      </c>
      <c r="T1050">
        <f>IF($E1050=0,0,SUMPRODUCT($AI$14:$DF$14,'Staff Daily sales'!$G1035:$CD1035))</f>
        <v>0</v>
      </c>
      <c r="U1050">
        <f>IF($E1050=0,0,SUMPRODUCT($AI$15:$DF$15,'Staff Daily sales'!$G1035:$CD1035))</f>
        <v>0</v>
      </c>
      <c r="V1050">
        <f>IF($E1050=0,0,SUMPRODUCT($AI$16:$DF$16,'Staff Daily sales'!$G1035:$CD1035))</f>
        <v>0</v>
      </c>
      <c r="W1050">
        <f t="shared" si="287"/>
        <v>0</v>
      </c>
      <c r="X1050">
        <f t="shared" si="288"/>
        <v>0</v>
      </c>
      <c r="Y1050">
        <f t="shared" si="289"/>
        <v>0</v>
      </c>
      <c r="Z1050">
        <f t="shared" si="290"/>
        <v>0</v>
      </c>
      <c r="AA1050">
        <f t="shared" si="291"/>
        <v>0</v>
      </c>
      <c r="AB1050">
        <f>--AND($E1050=1,OR('Staff Weekly Trend'!$B$3="All",$DH1050='Staff Weekly Trend'!$B$3),OR('Staff Weekly Trend'!$B$4="All",$D1050='Staff Weekly Trend'!$B$4),OR('Staff Weekly Trend'!$B$5="All",$A1050='Staff Weekly Trend'!$B$5))</f>
        <v>0</v>
      </c>
      <c r="AC1050" t="str">
        <f t="shared" si="292"/>
        <v/>
      </c>
      <c r="AI1050">
        <f t="shared" si="293"/>
        <v>0</v>
      </c>
      <c r="AJ1050">
        <f t="shared" si="294"/>
        <v>0</v>
      </c>
      <c r="AK1050">
        <f t="shared" si="295"/>
        <v>0</v>
      </c>
      <c r="AL1050">
        <f t="shared" si="296"/>
        <v>0</v>
      </c>
      <c r="AM1050">
        <f t="shared" si="297"/>
        <v>0</v>
      </c>
      <c r="DH1050" t="str" cm="1">
        <f t="array" ref="DH1050">IF($A1050="","",_xlfn.LET(_xlpm.c,IFERROR(_xlfn.XLOOKUP($A1050,TRIM('Sales and count'!$A$4:$A$300&amp;""),TRIM('Sales and count'!$B$4:$B$300&amp;"")),""),IF(OR(_xlpm.c="",_xlpm.c="0",LEFT(_xlpm.c,1)="#"),"Not set",_xlpm.c)))</f>
        <v/>
      </c>
    </row>
    <row r="1051" spans="1:112" x14ac:dyDescent="0.25">
      <c r="A1051" t="str">
        <f>IF('Staff Daily sales'!$B1036="","",TRIM('Staff Daily sales'!$B1036&amp;""))</f>
        <v/>
      </c>
      <c r="B1051" t="str">
        <f>IF('Staff Daily sales'!$D1036="","",TRIM('Staff Daily sales'!$D1036&amp;""))</f>
        <v/>
      </c>
      <c r="C1051" t="str">
        <f>IFERROR(TRIM('Staff Daily sales'!$E1036&amp;""),"")</f>
        <v/>
      </c>
      <c r="D1051" t="str">
        <f>IFERROR(IF(TRIM('Staff Daily sales'!$F1036&amp;"")="","Unassigned",TRIM('Staff Daily sales'!$F1036&amp;"")),"Unassigned")</f>
        <v>Unassigned</v>
      </c>
      <c r="E1051">
        <f t="shared" si="282"/>
        <v>0</v>
      </c>
      <c r="F1051">
        <f>IF($E1051=0,0,SUMPRODUCT($AI$5:$DF$5,'Staff Daily sales'!$G1036:$CD1036))</f>
        <v>0</v>
      </c>
      <c r="G1051">
        <f>IF($E1051=0,0,SUMPRODUCT($AI$6:$DF$6,'Staff Daily sales'!$G1036:$CD1036))</f>
        <v>0</v>
      </c>
      <c r="H1051">
        <f t="shared" si="283"/>
        <v>0</v>
      </c>
      <c r="I1051">
        <f t="shared" si="284"/>
        <v>0</v>
      </c>
      <c r="J1051">
        <f t="shared" si="285"/>
        <v>0</v>
      </c>
      <c r="K1051">
        <f t="shared" si="286"/>
        <v>0</v>
      </c>
      <c r="L1051">
        <f>--AND($E1051=1,OR('Staff Dashboard'!$B$6="All",$DH1051='Staff Dashboard'!$B$6),OR('Staff Dashboard'!$B$7="All",$D1051='Staff Dashboard'!$B$7),OR('Staff Dashboard'!$B$8="All",$A1051='Staff Dashboard'!$B$8))</f>
        <v>0</v>
      </c>
      <c r="M1051">
        <f>IF($E1051=0,0,SUMPRODUCT($AI$7:$DF$7,'Staff Daily sales'!$G1036:$CD1036))</f>
        <v>0</v>
      </c>
      <c r="N1051">
        <f>IF($E1051=0,0,SUMPRODUCT($AI$8:$DF$8,'Staff Daily sales'!$G1036:$CD1036))</f>
        <v>0</v>
      </c>
      <c r="O1051">
        <f>IF($E1051=0,0,SUMPRODUCT($AI$9:$DF$9,'Staff Daily sales'!$G1036:$CD1036))</f>
        <v>0</v>
      </c>
      <c r="P1051">
        <f>IF($E1051=0,0,SUMPRODUCT($AI$10:$DF$10,'Staff Daily sales'!$G1036:$CD1036))</f>
        <v>0</v>
      </c>
      <c r="Q1051">
        <f>IF($E1051=0,0,SUMPRODUCT($AI$11:$DF$11,'Staff Daily sales'!$G1036:$CD1036))</f>
        <v>0</v>
      </c>
      <c r="R1051">
        <f>IF($E1051=0,0,SUMPRODUCT($AI$12:$DF$12,'Staff Daily sales'!$G1036:$CD1036))</f>
        <v>0</v>
      </c>
      <c r="S1051">
        <f>IF($E1051=0,0,SUMPRODUCT($AI$13:$DF$13,'Staff Daily sales'!$G1036:$CD1036))</f>
        <v>0</v>
      </c>
      <c r="T1051">
        <f>IF($E1051=0,0,SUMPRODUCT($AI$14:$DF$14,'Staff Daily sales'!$G1036:$CD1036))</f>
        <v>0</v>
      </c>
      <c r="U1051">
        <f>IF($E1051=0,0,SUMPRODUCT($AI$15:$DF$15,'Staff Daily sales'!$G1036:$CD1036))</f>
        <v>0</v>
      </c>
      <c r="V1051">
        <f>IF($E1051=0,0,SUMPRODUCT($AI$16:$DF$16,'Staff Daily sales'!$G1036:$CD1036))</f>
        <v>0</v>
      </c>
      <c r="W1051">
        <f t="shared" si="287"/>
        <v>0</v>
      </c>
      <c r="X1051">
        <f t="shared" si="288"/>
        <v>0</v>
      </c>
      <c r="Y1051">
        <f t="shared" si="289"/>
        <v>0</v>
      </c>
      <c r="Z1051">
        <f t="shared" si="290"/>
        <v>0</v>
      </c>
      <c r="AA1051">
        <f t="shared" si="291"/>
        <v>0</v>
      </c>
      <c r="AB1051">
        <f>--AND($E1051=1,OR('Staff Weekly Trend'!$B$3="All",$DH1051='Staff Weekly Trend'!$B$3),OR('Staff Weekly Trend'!$B$4="All",$D1051='Staff Weekly Trend'!$B$4),OR('Staff Weekly Trend'!$B$5="All",$A1051='Staff Weekly Trend'!$B$5))</f>
        <v>0</v>
      </c>
      <c r="AC1051" t="str">
        <f t="shared" si="292"/>
        <v/>
      </c>
      <c r="AI1051">
        <f t="shared" si="293"/>
        <v>0</v>
      </c>
      <c r="AJ1051">
        <f t="shared" si="294"/>
        <v>0</v>
      </c>
      <c r="AK1051">
        <f t="shared" si="295"/>
        <v>0</v>
      </c>
      <c r="AL1051">
        <f t="shared" si="296"/>
        <v>0</v>
      </c>
      <c r="AM1051">
        <f t="shared" si="297"/>
        <v>0</v>
      </c>
      <c r="DH1051" t="str" cm="1">
        <f t="array" ref="DH1051">IF($A1051="","",_xlfn.LET(_xlpm.c,IFERROR(_xlfn.XLOOKUP($A1051,TRIM('Sales and count'!$A$4:$A$300&amp;""),TRIM('Sales and count'!$B$4:$B$300&amp;"")),""),IF(OR(_xlpm.c="",_xlpm.c="0",LEFT(_xlpm.c,1)="#"),"Not set",_xlpm.c)))</f>
        <v/>
      </c>
    </row>
    <row r="1052" spans="1:112" x14ac:dyDescent="0.25">
      <c r="A1052" t="str">
        <f>IF('Staff Daily sales'!$B1037="","",TRIM('Staff Daily sales'!$B1037&amp;""))</f>
        <v/>
      </c>
      <c r="B1052" t="str">
        <f>IF('Staff Daily sales'!$D1037="","",TRIM('Staff Daily sales'!$D1037&amp;""))</f>
        <v/>
      </c>
      <c r="C1052" t="str">
        <f>IFERROR(TRIM('Staff Daily sales'!$E1037&amp;""),"")</f>
        <v/>
      </c>
      <c r="D1052" t="str">
        <f>IFERROR(IF(TRIM('Staff Daily sales'!$F1037&amp;"")="","Unassigned",TRIM('Staff Daily sales'!$F1037&amp;"")),"Unassigned")</f>
        <v>Unassigned</v>
      </c>
      <c r="E1052">
        <f t="shared" si="282"/>
        <v>0</v>
      </c>
      <c r="F1052">
        <f>IF($E1052=0,0,SUMPRODUCT($AI$5:$DF$5,'Staff Daily sales'!$G1037:$CD1037))</f>
        <v>0</v>
      </c>
      <c r="G1052">
        <f>IF($E1052=0,0,SUMPRODUCT($AI$6:$DF$6,'Staff Daily sales'!$G1037:$CD1037))</f>
        <v>0</v>
      </c>
      <c r="H1052">
        <f t="shared" si="283"/>
        <v>0</v>
      </c>
      <c r="I1052">
        <f t="shared" si="284"/>
        <v>0</v>
      </c>
      <c r="J1052">
        <f t="shared" si="285"/>
        <v>0</v>
      </c>
      <c r="K1052">
        <f t="shared" si="286"/>
        <v>0</v>
      </c>
      <c r="L1052">
        <f>--AND($E1052=1,OR('Staff Dashboard'!$B$6="All",$DH1052='Staff Dashboard'!$B$6),OR('Staff Dashboard'!$B$7="All",$D1052='Staff Dashboard'!$B$7),OR('Staff Dashboard'!$B$8="All",$A1052='Staff Dashboard'!$B$8))</f>
        <v>0</v>
      </c>
      <c r="M1052">
        <f>IF($E1052=0,0,SUMPRODUCT($AI$7:$DF$7,'Staff Daily sales'!$G1037:$CD1037))</f>
        <v>0</v>
      </c>
      <c r="N1052">
        <f>IF($E1052=0,0,SUMPRODUCT($AI$8:$DF$8,'Staff Daily sales'!$G1037:$CD1037))</f>
        <v>0</v>
      </c>
      <c r="O1052">
        <f>IF($E1052=0,0,SUMPRODUCT($AI$9:$DF$9,'Staff Daily sales'!$G1037:$CD1037))</f>
        <v>0</v>
      </c>
      <c r="P1052">
        <f>IF($E1052=0,0,SUMPRODUCT($AI$10:$DF$10,'Staff Daily sales'!$G1037:$CD1037))</f>
        <v>0</v>
      </c>
      <c r="Q1052">
        <f>IF($E1052=0,0,SUMPRODUCT($AI$11:$DF$11,'Staff Daily sales'!$G1037:$CD1037))</f>
        <v>0</v>
      </c>
      <c r="R1052">
        <f>IF($E1052=0,0,SUMPRODUCT($AI$12:$DF$12,'Staff Daily sales'!$G1037:$CD1037))</f>
        <v>0</v>
      </c>
      <c r="S1052">
        <f>IF($E1052=0,0,SUMPRODUCT($AI$13:$DF$13,'Staff Daily sales'!$G1037:$CD1037))</f>
        <v>0</v>
      </c>
      <c r="T1052">
        <f>IF($E1052=0,0,SUMPRODUCT($AI$14:$DF$14,'Staff Daily sales'!$G1037:$CD1037))</f>
        <v>0</v>
      </c>
      <c r="U1052">
        <f>IF($E1052=0,0,SUMPRODUCT($AI$15:$DF$15,'Staff Daily sales'!$G1037:$CD1037))</f>
        <v>0</v>
      </c>
      <c r="V1052">
        <f>IF($E1052=0,0,SUMPRODUCT($AI$16:$DF$16,'Staff Daily sales'!$G1037:$CD1037))</f>
        <v>0</v>
      </c>
      <c r="W1052">
        <f t="shared" si="287"/>
        <v>0</v>
      </c>
      <c r="X1052">
        <f t="shared" si="288"/>
        <v>0</v>
      </c>
      <c r="Y1052">
        <f t="shared" si="289"/>
        <v>0</v>
      </c>
      <c r="Z1052">
        <f t="shared" si="290"/>
        <v>0</v>
      </c>
      <c r="AA1052">
        <f t="shared" si="291"/>
        <v>0</v>
      </c>
      <c r="AB1052">
        <f>--AND($E1052=1,OR('Staff Weekly Trend'!$B$3="All",$DH1052='Staff Weekly Trend'!$B$3),OR('Staff Weekly Trend'!$B$4="All",$D1052='Staff Weekly Trend'!$B$4),OR('Staff Weekly Trend'!$B$5="All",$A1052='Staff Weekly Trend'!$B$5))</f>
        <v>0</v>
      </c>
      <c r="AC1052" t="str">
        <f t="shared" si="292"/>
        <v/>
      </c>
      <c r="AI1052">
        <f t="shared" si="293"/>
        <v>0</v>
      </c>
      <c r="AJ1052">
        <f t="shared" si="294"/>
        <v>0</v>
      </c>
      <c r="AK1052">
        <f t="shared" si="295"/>
        <v>0</v>
      </c>
      <c r="AL1052">
        <f t="shared" si="296"/>
        <v>0</v>
      </c>
      <c r="AM1052">
        <f t="shared" si="297"/>
        <v>0</v>
      </c>
      <c r="DH1052" t="str" cm="1">
        <f t="array" ref="DH1052">IF($A1052="","",_xlfn.LET(_xlpm.c,IFERROR(_xlfn.XLOOKUP($A1052,TRIM('Sales and count'!$A$4:$A$300&amp;""),TRIM('Sales and count'!$B$4:$B$300&amp;"")),""),IF(OR(_xlpm.c="",_xlpm.c="0",LEFT(_xlpm.c,1)="#"),"Not set",_xlpm.c)))</f>
        <v/>
      </c>
    </row>
    <row r="1053" spans="1:112" x14ac:dyDescent="0.25">
      <c r="A1053" t="str">
        <f>IF('Staff Daily sales'!$B1038="","",TRIM('Staff Daily sales'!$B1038&amp;""))</f>
        <v/>
      </c>
      <c r="B1053" t="str">
        <f>IF('Staff Daily sales'!$D1038="","",TRIM('Staff Daily sales'!$D1038&amp;""))</f>
        <v/>
      </c>
      <c r="C1053" t="str">
        <f>IFERROR(TRIM('Staff Daily sales'!$E1038&amp;""),"")</f>
        <v/>
      </c>
      <c r="D1053" t="str">
        <f>IFERROR(IF(TRIM('Staff Daily sales'!$F1038&amp;"")="","Unassigned",TRIM('Staff Daily sales'!$F1038&amp;"")),"Unassigned")</f>
        <v>Unassigned</v>
      </c>
      <c r="E1053">
        <f t="shared" si="282"/>
        <v>0</v>
      </c>
      <c r="F1053">
        <f>IF($E1053=0,0,SUMPRODUCT($AI$5:$DF$5,'Staff Daily sales'!$G1038:$CD1038))</f>
        <v>0</v>
      </c>
      <c r="G1053">
        <f>IF($E1053=0,0,SUMPRODUCT($AI$6:$DF$6,'Staff Daily sales'!$G1038:$CD1038))</f>
        <v>0</v>
      </c>
      <c r="H1053">
        <f t="shared" si="283"/>
        <v>0</v>
      </c>
      <c r="I1053">
        <f t="shared" si="284"/>
        <v>0</v>
      </c>
      <c r="J1053">
        <f t="shared" si="285"/>
        <v>0</v>
      </c>
      <c r="K1053">
        <f t="shared" si="286"/>
        <v>0</v>
      </c>
      <c r="L1053">
        <f>--AND($E1053=1,OR('Staff Dashboard'!$B$6="All",$DH1053='Staff Dashboard'!$B$6),OR('Staff Dashboard'!$B$7="All",$D1053='Staff Dashboard'!$B$7),OR('Staff Dashboard'!$B$8="All",$A1053='Staff Dashboard'!$B$8))</f>
        <v>0</v>
      </c>
      <c r="M1053">
        <f>IF($E1053=0,0,SUMPRODUCT($AI$7:$DF$7,'Staff Daily sales'!$G1038:$CD1038))</f>
        <v>0</v>
      </c>
      <c r="N1053">
        <f>IF($E1053=0,0,SUMPRODUCT($AI$8:$DF$8,'Staff Daily sales'!$G1038:$CD1038))</f>
        <v>0</v>
      </c>
      <c r="O1053">
        <f>IF($E1053=0,0,SUMPRODUCT($AI$9:$DF$9,'Staff Daily sales'!$G1038:$CD1038))</f>
        <v>0</v>
      </c>
      <c r="P1053">
        <f>IF($E1053=0,0,SUMPRODUCT($AI$10:$DF$10,'Staff Daily sales'!$G1038:$CD1038))</f>
        <v>0</v>
      </c>
      <c r="Q1053">
        <f>IF($E1053=0,0,SUMPRODUCT($AI$11:$DF$11,'Staff Daily sales'!$G1038:$CD1038))</f>
        <v>0</v>
      </c>
      <c r="R1053">
        <f>IF($E1053=0,0,SUMPRODUCT($AI$12:$DF$12,'Staff Daily sales'!$G1038:$CD1038))</f>
        <v>0</v>
      </c>
      <c r="S1053">
        <f>IF($E1053=0,0,SUMPRODUCT($AI$13:$DF$13,'Staff Daily sales'!$G1038:$CD1038))</f>
        <v>0</v>
      </c>
      <c r="T1053">
        <f>IF($E1053=0,0,SUMPRODUCT($AI$14:$DF$14,'Staff Daily sales'!$G1038:$CD1038))</f>
        <v>0</v>
      </c>
      <c r="U1053">
        <f>IF($E1053=0,0,SUMPRODUCT($AI$15:$DF$15,'Staff Daily sales'!$G1038:$CD1038))</f>
        <v>0</v>
      </c>
      <c r="V1053">
        <f>IF($E1053=0,0,SUMPRODUCT($AI$16:$DF$16,'Staff Daily sales'!$G1038:$CD1038))</f>
        <v>0</v>
      </c>
      <c r="W1053">
        <f t="shared" si="287"/>
        <v>0</v>
      </c>
      <c r="X1053">
        <f t="shared" si="288"/>
        <v>0</v>
      </c>
      <c r="Y1053">
        <f t="shared" si="289"/>
        <v>0</v>
      </c>
      <c r="Z1053">
        <f t="shared" si="290"/>
        <v>0</v>
      </c>
      <c r="AA1053">
        <f t="shared" si="291"/>
        <v>0</v>
      </c>
      <c r="AB1053">
        <f>--AND($E1053=1,OR('Staff Weekly Trend'!$B$3="All",$DH1053='Staff Weekly Trend'!$B$3),OR('Staff Weekly Trend'!$B$4="All",$D1053='Staff Weekly Trend'!$B$4),OR('Staff Weekly Trend'!$B$5="All",$A1053='Staff Weekly Trend'!$B$5))</f>
        <v>0</v>
      </c>
      <c r="AC1053" t="str">
        <f t="shared" si="292"/>
        <v/>
      </c>
      <c r="AI1053">
        <f t="shared" si="293"/>
        <v>0</v>
      </c>
      <c r="AJ1053">
        <f t="shared" si="294"/>
        <v>0</v>
      </c>
      <c r="AK1053">
        <f t="shared" si="295"/>
        <v>0</v>
      </c>
      <c r="AL1053">
        <f t="shared" si="296"/>
        <v>0</v>
      </c>
      <c r="AM1053">
        <f t="shared" si="297"/>
        <v>0</v>
      </c>
      <c r="DH1053" t="str" cm="1">
        <f t="array" ref="DH1053">IF($A1053="","",_xlfn.LET(_xlpm.c,IFERROR(_xlfn.XLOOKUP($A1053,TRIM('Sales and count'!$A$4:$A$300&amp;""),TRIM('Sales and count'!$B$4:$B$300&amp;"")),""),IF(OR(_xlpm.c="",_xlpm.c="0",LEFT(_xlpm.c,1)="#"),"Not set",_xlpm.c)))</f>
        <v/>
      </c>
    </row>
    <row r="1054" spans="1:112" x14ac:dyDescent="0.25">
      <c r="A1054" t="str">
        <f>IF('Staff Daily sales'!$B1039="","",TRIM('Staff Daily sales'!$B1039&amp;""))</f>
        <v/>
      </c>
      <c r="B1054" t="str">
        <f>IF('Staff Daily sales'!$D1039="","",TRIM('Staff Daily sales'!$D1039&amp;""))</f>
        <v/>
      </c>
      <c r="C1054" t="str">
        <f>IFERROR(TRIM('Staff Daily sales'!$E1039&amp;""),"")</f>
        <v/>
      </c>
      <c r="D1054" t="str">
        <f>IFERROR(IF(TRIM('Staff Daily sales'!$F1039&amp;"")="","Unassigned",TRIM('Staff Daily sales'!$F1039&amp;"")),"Unassigned")</f>
        <v>Unassigned</v>
      </c>
      <c r="E1054">
        <f t="shared" si="282"/>
        <v>0</v>
      </c>
      <c r="F1054">
        <f>IF($E1054=0,0,SUMPRODUCT($AI$5:$DF$5,'Staff Daily sales'!$G1039:$CD1039))</f>
        <v>0</v>
      </c>
      <c r="G1054">
        <f>IF($E1054=0,0,SUMPRODUCT($AI$6:$DF$6,'Staff Daily sales'!$G1039:$CD1039))</f>
        <v>0</v>
      </c>
      <c r="H1054">
        <f t="shared" si="283"/>
        <v>0</v>
      </c>
      <c r="I1054">
        <f t="shared" si="284"/>
        <v>0</v>
      </c>
      <c r="J1054">
        <f t="shared" si="285"/>
        <v>0</v>
      </c>
      <c r="K1054">
        <f t="shared" si="286"/>
        <v>0</v>
      </c>
      <c r="L1054">
        <f>--AND($E1054=1,OR('Staff Dashboard'!$B$6="All",$DH1054='Staff Dashboard'!$B$6),OR('Staff Dashboard'!$B$7="All",$D1054='Staff Dashboard'!$B$7),OR('Staff Dashboard'!$B$8="All",$A1054='Staff Dashboard'!$B$8))</f>
        <v>0</v>
      </c>
      <c r="M1054">
        <f>IF($E1054=0,0,SUMPRODUCT($AI$7:$DF$7,'Staff Daily sales'!$G1039:$CD1039))</f>
        <v>0</v>
      </c>
      <c r="N1054">
        <f>IF($E1054=0,0,SUMPRODUCT($AI$8:$DF$8,'Staff Daily sales'!$G1039:$CD1039))</f>
        <v>0</v>
      </c>
      <c r="O1054">
        <f>IF($E1054=0,0,SUMPRODUCT($AI$9:$DF$9,'Staff Daily sales'!$G1039:$CD1039))</f>
        <v>0</v>
      </c>
      <c r="P1054">
        <f>IF($E1054=0,0,SUMPRODUCT($AI$10:$DF$10,'Staff Daily sales'!$G1039:$CD1039))</f>
        <v>0</v>
      </c>
      <c r="Q1054">
        <f>IF($E1054=0,0,SUMPRODUCT($AI$11:$DF$11,'Staff Daily sales'!$G1039:$CD1039))</f>
        <v>0</v>
      </c>
      <c r="R1054">
        <f>IF($E1054=0,0,SUMPRODUCT($AI$12:$DF$12,'Staff Daily sales'!$G1039:$CD1039))</f>
        <v>0</v>
      </c>
      <c r="S1054">
        <f>IF($E1054=0,0,SUMPRODUCT($AI$13:$DF$13,'Staff Daily sales'!$G1039:$CD1039))</f>
        <v>0</v>
      </c>
      <c r="T1054">
        <f>IF($E1054=0,0,SUMPRODUCT($AI$14:$DF$14,'Staff Daily sales'!$G1039:$CD1039))</f>
        <v>0</v>
      </c>
      <c r="U1054">
        <f>IF($E1054=0,0,SUMPRODUCT($AI$15:$DF$15,'Staff Daily sales'!$G1039:$CD1039))</f>
        <v>0</v>
      </c>
      <c r="V1054">
        <f>IF($E1054=0,0,SUMPRODUCT($AI$16:$DF$16,'Staff Daily sales'!$G1039:$CD1039))</f>
        <v>0</v>
      </c>
      <c r="W1054">
        <f t="shared" si="287"/>
        <v>0</v>
      </c>
      <c r="X1054">
        <f t="shared" si="288"/>
        <v>0</v>
      </c>
      <c r="Y1054">
        <f t="shared" si="289"/>
        <v>0</v>
      </c>
      <c r="Z1054">
        <f t="shared" si="290"/>
        <v>0</v>
      </c>
      <c r="AA1054">
        <f t="shared" si="291"/>
        <v>0</v>
      </c>
      <c r="AB1054">
        <f>--AND($E1054=1,OR('Staff Weekly Trend'!$B$3="All",$DH1054='Staff Weekly Trend'!$B$3),OR('Staff Weekly Trend'!$B$4="All",$D1054='Staff Weekly Trend'!$B$4),OR('Staff Weekly Trend'!$B$5="All",$A1054='Staff Weekly Trend'!$B$5))</f>
        <v>0</v>
      </c>
      <c r="AC1054" t="str">
        <f t="shared" si="292"/>
        <v/>
      </c>
      <c r="AI1054">
        <f t="shared" si="293"/>
        <v>0</v>
      </c>
      <c r="AJ1054">
        <f t="shared" si="294"/>
        <v>0</v>
      </c>
      <c r="AK1054">
        <f t="shared" si="295"/>
        <v>0</v>
      </c>
      <c r="AL1054">
        <f t="shared" si="296"/>
        <v>0</v>
      </c>
      <c r="AM1054">
        <f t="shared" si="297"/>
        <v>0</v>
      </c>
      <c r="DH1054" t="str" cm="1">
        <f t="array" ref="DH1054">IF($A1054="","",_xlfn.LET(_xlpm.c,IFERROR(_xlfn.XLOOKUP($A1054,TRIM('Sales and count'!$A$4:$A$300&amp;""),TRIM('Sales and count'!$B$4:$B$300&amp;"")),""),IF(OR(_xlpm.c="",_xlpm.c="0",LEFT(_xlpm.c,1)="#"),"Not set",_xlpm.c)))</f>
        <v/>
      </c>
    </row>
    <row r="1055" spans="1:112" x14ac:dyDescent="0.25">
      <c r="A1055" t="str">
        <f>IF('Staff Daily sales'!$B1040="","",TRIM('Staff Daily sales'!$B1040&amp;""))</f>
        <v/>
      </c>
      <c r="B1055" t="str">
        <f>IF('Staff Daily sales'!$D1040="","",TRIM('Staff Daily sales'!$D1040&amp;""))</f>
        <v/>
      </c>
      <c r="C1055" t="str">
        <f>IFERROR(TRIM('Staff Daily sales'!$E1040&amp;""),"")</f>
        <v/>
      </c>
      <c r="D1055" t="str">
        <f>IFERROR(IF(TRIM('Staff Daily sales'!$F1040&amp;"")="","Unassigned",TRIM('Staff Daily sales'!$F1040&amp;"")),"Unassigned")</f>
        <v>Unassigned</v>
      </c>
      <c r="E1055">
        <f t="shared" si="282"/>
        <v>0</v>
      </c>
      <c r="F1055">
        <f>IF($E1055=0,0,SUMPRODUCT($AI$5:$DF$5,'Staff Daily sales'!$G1040:$CD1040))</f>
        <v>0</v>
      </c>
      <c r="G1055">
        <f>IF($E1055=0,0,SUMPRODUCT($AI$6:$DF$6,'Staff Daily sales'!$G1040:$CD1040))</f>
        <v>0</v>
      </c>
      <c r="H1055">
        <f t="shared" si="283"/>
        <v>0</v>
      </c>
      <c r="I1055">
        <f t="shared" si="284"/>
        <v>0</v>
      </c>
      <c r="J1055">
        <f t="shared" si="285"/>
        <v>0</v>
      </c>
      <c r="K1055">
        <f t="shared" si="286"/>
        <v>0</v>
      </c>
      <c r="L1055">
        <f>--AND($E1055=1,OR('Staff Dashboard'!$B$6="All",$DH1055='Staff Dashboard'!$B$6),OR('Staff Dashboard'!$B$7="All",$D1055='Staff Dashboard'!$B$7),OR('Staff Dashboard'!$B$8="All",$A1055='Staff Dashboard'!$B$8))</f>
        <v>0</v>
      </c>
      <c r="M1055">
        <f>IF($E1055=0,0,SUMPRODUCT($AI$7:$DF$7,'Staff Daily sales'!$G1040:$CD1040))</f>
        <v>0</v>
      </c>
      <c r="N1055">
        <f>IF($E1055=0,0,SUMPRODUCT($AI$8:$DF$8,'Staff Daily sales'!$G1040:$CD1040))</f>
        <v>0</v>
      </c>
      <c r="O1055">
        <f>IF($E1055=0,0,SUMPRODUCT($AI$9:$DF$9,'Staff Daily sales'!$G1040:$CD1040))</f>
        <v>0</v>
      </c>
      <c r="P1055">
        <f>IF($E1055=0,0,SUMPRODUCT($AI$10:$DF$10,'Staff Daily sales'!$G1040:$CD1040))</f>
        <v>0</v>
      </c>
      <c r="Q1055">
        <f>IF($E1055=0,0,SUMPRODUCT($AI$11:$DF$11,'Staff Daily sales'!$G1040:$CD1040))</f>
        <v>0</v>
      </c>
      <c r="R1055">
        <f>IF($E1055=0,0,SUMPRODUCT($AI$12:$DF$12,'Staff Daily sales'!$G1040:$CD1040))</f>
        <v>0</v>
      </c>
      <c r="S1055">
        <f>IF($E1055=0,0,SUMPRODUCT($AI$13:$DF$13,'Staff Daily sales'!$G1040:$CD1040))</f>
        <v>0</v>
      </c>
      <c r="T1055">
        <f>IF($E1055=0,0,SUMPRODUCT($AI$14:$DF$14,'Staff Daily sales'!$G1040:$CD1040))</f>
        <v>0</v>
      </c>
      <c r="U1055">
        <f>IF($E1055=0,0,SUMPRODUCT($AI$15:$DF$15,'Staff Daily sales'!$G1040:$CD1040))</f>
        <v>0</v>
      </c>
      <c r="V1055">
        <f>IF($E1055=0,0,SUMPRODUCT($AI$16:$DF$16,'Staff Daily sales'!$G1040:$CD1040))</f>
        <v>0</v>
      </c>
      <c r="W1055">
        <f t="shared" si="287"/>
        <v>0</v>
      </c>
      <c r="X1055">
        <f t="shared" si="288"/>
        <v>0</v>
      </c>
      <c r="Y1055">
        <f t="shared" si="289"/>
        <v>0</v>
      </c>
      <c r="Z1055">
        <f t="shared" si="290"/>
        <v>0</v>
      </c>
      <c r="AA1055">
        <f t="shared" si="291"/>
        <v>0</v>
      </c>
      <c r="AB1055">
        <f>--AND($E1055=1,OR('Staff Weekly Trend'!$B$3="All",$DH1055='Staff Weekly Trend'!$B$3),OR('Staff Weekly Trend'!$B$4="All",$D1055='Staff Weekly Trend'!$B$4),OR('Staff Weekly Trend'!$B$5="All",$A1055='Staff Weekly Trend'!$B$5))</f>
        <v>0</v>
      </c>
      <c r="AC1055" t="str">
        <f t="shared" si="292"/>
        <v/>
      </c>
      <c r="AI1055">
        <f t="shared" si="293"/>
        <v>0</v>
      </c>
      <c r="AJ1055">
        <f t="shared" si="294"/>
        <v>0</v>
      </c>
      <c r="AK1055">
        <f t="shared" si="295"/>
        <v>0</v>
      </c>
      <c r="AL1055">
        <f t="shared" si="296"/>
        <v>0</v>
      </c>
      <c r="AM1055">
        <f t="shared" si="297"/>
        <v>0</v>
      </c>
      <c r="DH1055" t="str" cm="1">
        <f t="array" ref="DH1055">IF($A1055="","",_xlfn.LET(_xlpm.c,IFERROR(_xlfn.XLOOKUP($A1055,TRIM('Sales and count'!$A$4:$A$300&amp;""),TRIM('Sales and count'!$B$4:$B$300&amp;"")),""),IF(OR(_xlpm.c="",_xlpm.c="0",LEFT(_xlpm.c,1)="#"),"Not set",_xlpm.c)))</f>
        <v/>
      </c>
    </row>
    <row r="1056" spans="1:112" x14ac:dyDescent="0.25">
      <c r="A1056" t="str">
        <f>IF('Staff Daily sales'!$B1041="","",TRIM('Staff Daily sales'!$B1041&amp;""))</f>
        <v/>
      </c>
      <c r="B1056" t="str">
        <f>IF('Staff Daily sales'!$D1041="","",TRIM('Staff Daily sales'!$D1041&amp;""))</f>
        <v/>
      </c>
      <c r="C1056" t="str">
        <f>IFERROR(TRIM('Staff Daily sales'!$E1041&amp;""),"")</f>
        <v/>
      </c>
      <c r="D1056" t="str">
        <f>IFERROR(IF(TRIM('Staff Daily sales'!$F1041&amp;"")="","Unassigned",TRIM('Staff Daily sales'!$F1041&amp;"")),"Unassigned")</f>
        <v>Unassigned</v>
      </c>
      <c r="E1056">
        <f t="shared" si="282"/>
        <v>0</v>
      </c>
      <c r="F1056">
        <f>IF($E1056=0,0,SUMPRODUCT($AI$5:$DF$5,'Staff Daily sales'!$G1041:$CD1041))</f>
        <v>0</v>
      </c>
      <c r="G1056">
        <f>IF($E1056=0,0,SUMPRODUCT($AI$6:$DF$6,'Staff Daily sales'!$G1041:$CD1041))</f>
        <v>0</v>
      </c>
      <c r="H1056">
        <f t="shared" si="283"/>
        <v>0</v>
      </c>
      <c r="I1056">
        <f t="shared" si="284"/>
        <v>0</v>
      </c>
      <c r="J1056">
        <f t="shared" si="285"/>
        <v>0</v>
      </c>
      <c r="K1056">
        <f t="shared" si="286"/>
        <v>0</v>
      </c>
      <c r="L1056">
        <f>--AND($E1056=1,OR('Staff Dashboard'!$B$6="All",$DH1056='Staff Dashboard'!$B$6),OR('Staff Dashboard'!$B$7="All",$D1056='Staff Dashboard'!$B$7),OR('Staff Dashboard'!$B$8="All",$A1056='Staff Dashboard'!$B$8))</f>
        <v>0</v>
      </c>
      <c r="M1056">
        <f>IF($E1056=0,0,SUMPRODUCT($AI$7:$DF$7,'Staff Daily sales'!$G1041:$CD1041))</f>
        <v>0</v>
      </c>
      <c r="N1056">
        <f>IF($E1056=0,0,SUMPRODUCT($AI$8:$DF$8,'Staff Daily sales'!$G1041:$CD1041))</f>
        <v>0</v>
      </c>
      <c r="O1056">
        <f>IF($E1056=0,0,SUMPRODUCT($AI$9:$DF$9,'Staff Daily sales'!$G1041:$CD1041))</f>
        <v>0</v>
      </c>
      <c r="P1056">
        <f>IF($E1056=0,0,SUMPRODUCT($AI$10:$DF$10,'Staff Daily sales'!$G1041:$CD1041))</f>
        <v>0</v>
      </c>
      <c r="Q1056">
        <f>IF($E1056=0,0,SUMPRODUCT($AI$11:$DF$11,'Staff Daily sales'!$G1041:$CD1041))</f>
        <v>0</v>
      </c>
      <c r="R1056">
        <f>IF($E1056=0,0,SUMPRODUCT($AI$12:$DF$12,'Staff Daily sales'!$G1041:$CD1041))</f>
        <v>0</v>
      </c>
      <c r="S1056">
        <f>IF($E1056=0,0,SUMPRODUCT($AI$13:$DF$13,'Staff Daily sales'!$G1041:$CD1041))</f>
        <v>0</v>
      </c>
      <c r="T1056">
        <f>IF($E1056=0,0,SUMPRODUCT($AI$14:$DF$14,'Staff Daily sales'!$G1041:$CD1041))</f>
        <v>0</v>
      </c>
      <c r="U1056">
        <f>IF($E1056=0,0,SUMPRODUCT($AI$15:$DF$15,'Staff Daily sales'!$G1041:$CD1041))</f>
        <v>0</v>
      </c>
      <c r="V1056">
        <f>IF($E1056=0,0,SUMPRODUCT($AI$16:$DF$16,'Staff Daily sales'!$G1041:$CD1041))</f>
        <v>0</v>
      </c>
      <c r="W1056">
        <f t="shared" si="287"/>
        <v>0</v>
      </c>
      <c r="X1056">
        <f t="shared" si="288"/>
        <v>0</v>
      </c>
      <c r="Y1056">
        <f t="shared" si="289"/>
        <v>0</v>
      </c>
      <c r="Z1056">
        <f t="shared" si="290"/>
        <v>0</v>
      </c>
      <c r="AA1056">
        <f t="shared" si="291"/>
        <v>0</v>
      </c>
      <c r="AB1056">
        <f>--AND($E1056=1,OR('Staff Weekly Trend'!$B$3="All",$DH1056='Staff Weekly Trend'!$B$3),OR('Staff Weekly Trend'!$B$4="All",$D1056='Staff Weekly Trend'!$B$4),OR('Staff Weekly Trend'!$B$5="All",$A1056='Staff Weekly Trend'!$B$5))</f>
        <v>0</v>
      </c>
      <c r="AC1056" t="str">
        <f t="shared" si="292"/>
        <v/>
      </c>
      <c r="AI1056">
        <f t="shared" si="293"/>
        <v>0</v>
      </c>
      <c r="AJ1056">
        <f t="shared" si="294"/>
        <v>0</v>
      </c>
      <c r="AK1056">
        <f t="shared" si="295"/>
        <v>0</v>
      </c>
      <c r="AL1056">
        <f t="shared" si="296"/>
        <v>0</v>
      </c>
      <c r="AM1056">
        <f t="shared" si="297"/>
        <v>0</v>
      </c>
      <c r="DH1056" t="str" cm="1">
        <f t="array" ref="DH1056">IF($A1056="","",_xlfn.LET(_xlpm.c,IFERROR(_xlfn.XLOOKUP($A1056,TRIM('Sales and count'!$A$4:$A$300&amp;""),TRIM('Sales and count'!$B$4:$B$300&amp;"")),""),IF(OR(_xlpm.c="",_xlpm.c="0",LEFT(_xlpm.c,1)="#"),"Not set",_xlpm.c)))</f>
        <v/>
      </c>
    </row>
    <row r="1057" spans="1:112" x14ac:dyDescent="0.25">
      <c r="A1057" t="str">
        <f>IF('Staff Daily sales'!$B1042="","",TRIM('Staff Daily sales'!$B1042&amp;""))</f>
        <v/>
      </c>
      <c r="B1057" t="str">
        <f>IF('Staff Daily sales'!$D1042="","",TRIM('Staff Daily sales'!$D1042&amp;""))</f>
        <v/>
      </c>
      <c r="C1057" t="str">
        <f>IFERROR(TRIM('Staff Daily sales'!$E1042&amp;""),"")</f>
        <v/>
      </c>
      <c r="D1057" t="str">
        <f>IFERROR(IF(TRIM('Staff Daily sales'!$F1042&amp;"")="","Unassigned",TRIM('Staff Daily sales'!$F1042&amp;"")),"Unassigned")</f>
        <v>Unassigned</v>
      </c>
      <c r="E1057">
        <f t="shared" si="282"/>
        <v>0</v>
      </c>
      <c r="F1057">
        <f>IF($E1057=0,0,SUMPRODUCT($AI$5:$DF$5,'Staff Daily sales'!$G1042:$CD1042))</f>
        <v>0</v>
      </c>
      <c r="G1057">
        <f>IF($E1057=0,0,SUMPRODUCT($AI$6:$DF$6,'Staff Daily sales'!$G1042:$CD1042))</f>
        <v>0</v>
      </c>
      <c r="H1057">
        <f t="shared" si="283"/>
        <v>0</v>
      </c>
      <c r="I1057">
        <f t="shared" si="284"/>
        <v>0</v>
      </c>
      <c r="J1057">
        <f t="shared" si="285"/>
        <v>0</v>
      </c>
      <c r="K1057">
        <f t="shared" si="286"/>
        <v>0</v>
      </c>
      <c r="L1057">
        <f>--AND($E1057=1,OR('Staff Dashboard'!$B$6="All",$DH1057='Staff Dashboard'!$B$6),OR('Staff Dashboard'!$B$7="All",$D1057='Staff Dashboard'!$B$7),OR('Staff Dashboard'!$B$8="All",$A1057='Staff Dashboard'!$B$8))</f>
        <v>0</v>
      </c>
      <c r="M1057">
        <f>IF($E1057=0,0,SUMPRODUCT($AI$7:$DF$7,'Staff Daily sales'!$G1042:$CD1042))</f>
        <v>0</v>
      </c>
      <c r="N1057">
        <f>IF($E1057=0,0,SUMPRODUCT($AI$8:$DF$8,'Staff Daily sales'!$G1042:$CD1042))</f>
        <v>0</v>
      </c>
      <c r="O1057">
        <f>IF($E1057=0,0,SUMPRODUCT($AI$9:$DF$9,'Staff Daily sales'!$G1042:$CD1042))</f>
        <v>0</v>
      </c>
      <c r="P1057">
        <f>IF($E1057=0,0,SUMPRODUCT($AI$10:$DF$10,'Staff Daily sales'!$G1042:$CD1042))</f>
        <v>0</v>
      </c>
      <c r="Q1057">
        <f>IF($E1057=0,0,SUMPRODUCT($AI$11:$DF$11,'Staff Daily sales'!$G1042:$CD1042))</f>
        <v>0</v>
      </c>
      <c r="R1057">
        <f>IF($E1057=0,0,SUMPRODUCT($AI$12:$DF$12,'Staff Daily sales'!$G1042:$CD1042))</f>
        <v>0</v>
      </c>
      <c r="S1057">
        <f>IF($E1057=0,0,SUMPRODUCT($AI$13:$DF$13,'Staff Daily sales'!$G1042:$CD1042))</f>
        <v>0</v>
      </c>
      <c r="T1057">
        <f>IF($E1057=0,0,SUMPRODUCT($AI$14:$DF$14,'Staff Daily sales'!$G1042:$CD1042))</f>
        <v>0</v>
      </c>
      <c r="U1057">
        <f>IF($E1057=0,0,SUMPRODUCT($AI$15:$DF$15,'Staff Daily sales'!$G1042:$CD1042))</f>
        <v>0</v>
      </c>
      <c r="V1057">
        <f>IF($E1057=0,0,SUMPRODUCT($AI$16:$DF$16,'Staff Daily sales'!$G1042:$CD1042))</f>
        <v>0</v>
      </c>
      <c r="W1057">
        <f t="shared" si="287"/>
        <v>0</v>
      </c>
      <c r="X1057">
        <f t="shared" si="288"/>
        <v>0</v>
      </c>
      <c r="Y1057">
        <f t="shared" si="289"/>
        <v>0</v>
      </c>
      <c r="Z1057">
        <f t="shared" si="290"/>
        <v>0</v>
      </c>
      <c r="AA1057">
        <f t="shared" si="291"/>
        <v>0</v>
      </c>
      <c r="AB1057">
        <f>--AND($E1057=1,OR('Staff Weekly Trend'!$B$3="All",$DH1057='Staff Weekly Trend'!$B$3),OR('Staff Weekly Trend'!$B$4="All",$D1057='Staff Weekly Trend'!$B$4),OR('Staff Weekly Trend'!$B$5="All",$A1057='Staff Weekly Trend'!$B$5))</f>
        <v>0</v>
      </c>
      <c r="AC1057" t="str">
        <f t="shared" si="292"/>
        <v/>
      </c>
      <c r="AI1057">
        <f t="shared" si="293"/>
        <v>0</v>
      </c>
      <c r="AJ1057">
        <f t="shared" si="294"/>
        <v>0</v>
      </c>
      <c r="AK1057">
        <f t="shared" si="295"/>
        <v>0</v>
      </c>
      <c r="AL1057">
        <f t="shared" si="296"/>
        <v>0</v>
      </c>
      <c r="AM1057">
        <f t="shared" si="297"/>
        <v>0</v>
      </c>
      <c r="DH1057" t="str" cm="1">
        <f t="array" ref="DH1057">IF($A1057="","",_xlfn.LET(_xlpm.c,IFERROR(_xlfn.XLOOKUP($A1057,TRIM('Sales and count'!$A$4:$A$300&amp;""),TRIM('Sales and count'!$B$4:$B$300&amp;"")),""),IF(OR(_xlpm.c="",_xlpm.c="0",LEFT(_xlpm.c,1)="#"),"Not set",_xlpm.c)))</f>
        <v/>
      </c>
    </row>
    <row r="1058" spans="1:112" x14ac:dyDescent="0.25">
      <c r="A1058" t="str">
        <f>IF('Staff Daily sales'!$B1043="","",TRIM('Staff Daily sales'!$B1043&amp;""))</f>
        <v/>
      </c>
      <c r="B1058" t="str">
        <f>IF('Staff Daily sales'!$D1043="","",TRIM('Staff Daily sales'!$D1043&amp;""))</f>
        <v/>
      </c>
      <c r="C1058" t="str">
        <f>IFERROR(TRIM('Staff Daily sales'!$E1043&amp;""),"")</f>
        <v/>
      </c>
      <c r="D1058" t="str">
        <f>IFERROR(IF(TRIM('Staff Daily sales'!$F1043&amp;"")="","Unassigned",TRIM('Staff Daily sales'!$F1043&amp;"")),"Unassigned")</f>
        <v>Unassigned</v>
      </c>
      <c r="E1058">
        <f t="shared" si="282"/>
        <v>0</v>
      </c>
      <c r="F1058">
        <f>IF($E1058=0,0,SUMPRODUCT($AI$5:$DF$5,'Staff Daily sales'!$G1043:$CD1043))</f>
        <v>0</v>
      </c>
      <c r="G1058">
        <f>IF($E1058=0,0,SUMPRODUCT($AI$6:$DF$6,'Staff Daily sales'!$G1043:$CD1043))</f>
        <v>0</v>
      </c>
      <c r="H1058">
        <f t="shared" si="283"/>
        <v>0</v>
      </c>
      <c r="I1058">
        <f t="shared" si="284"/>
        <v>0</v>
      </c>
      <c r="J1058">
        <f t="shared" si="285"/>
        <v>0</v>
      </c>
      <c r="K1058">
        <f t="shared" si="286"/>
        <v>0</v>
      </c>
      <c r="L1058">
        <f>--AND($E1058=1,OR('Staff Dashboard'!$B$6="All",$DH1058='Staff Dashboard'!$B$6),OR('Staff Dashboard'!$B$7="All",$D1058='Staff Dashboard'!$B$7),OR('Staff Dashboard'!$B$8="All",$A1058='Staff Dashboard'!$B$8))</f>
        <v>0</v>
      </c>
      <c r="M1058">
        <f>IF($E1058=0,0,SUMPRODUCT($AI$7:$DF$7,'Staff Daily sales'!$G1043:$CD1043))</f>
        <v>0</v>
      </c>
      <c r="N1058">
        <f>IF($E1058=0,0,SUMPRODUCT($AI$8:$DF$8,'Staff Daily sales'!$G1043:$CD1043))</f>
        <v>0</v>
      </c>
      <c r="O1058">
        <f>IF($E1058=0,0,SUMPRODUCT($AI$9:$DF$9,'Staff Daily sales'!$G1043:$CD1043))</f>
        <v>0</v>
      </c>
      <c r="P1058">
        <f>IF($E1058=0,0,SUMPRODUCT($AI$10:$DF$10,'Staff Daily sales'!$G1043:$CD1043))</f>
        <v>0</v>
      </c>
      <c r="Q1058">
        <f>IF($E1058=0,0,SUMPRODUCT($AI$11:$DF$11,'Staff Daily sales'!$G1043:$CD1043))</f>
        <v>0</v>
      </c>
      <c r="R1058">
        <f>IF($E1058=0,0,SUMPRODUCT($AI$12:$DF$12,'Staff Daily sales'!$G1043:$CD1043))</f>
        <v>0</v>
      </c>
      <c r="S1058">
        <f>IF($E1058=0,0,SUMPRODUCT($AI$13:$DF$13,'Staff Daily sales'!$G1043:$CD1043))</f>
        <v>0</v>
      </c>
      <c r="T1058">
        <f>IF($E1058=0,0,SUMPRODUCT($AI$14:$DF$14,'Staff Daily sales'!$G1043:$CD1043))</f>
        <v>0</v>
      </c>
      <c r="U1058">
        <f>IF($E1058=0,0,SUMPRODUCT($AI$15:$DF$15,'Staff Daily sales'!$G1043:$CD1043))</f>
        <v>0</v>
      </c>
      <c r="V1058">
        <f>IF($E1058=0,0,SUMPRODUCT($AI$16:$DF$16,'Staff Daily sales'!$G1043:$CD1043))</f>
        <v>0</v>
      </c>
      <c r="W1058">
        <f t="shared" si="287"/>
        <v>0</v>
      </c>
      <c r="X1058">
        <f t="shared" si="288"/>
        <v>0</v>
      </c>
      <c r="Y1058">
        <f t="shared" si="289"/>
        <v>0</v>
      </c>
      <c r="Z1058">
        <f t="shared" si="290"/>
        <v>0</v>
      </c>
      <c r="AA1058">
        <f t="shared" si="291"/>
        <v>0</v>
      </c>
      <c r="AB1058">
        <f>--AND($E1058=1,OR('Staff Weekly Trend'!$B$3="All",$DH1058='Staff Weekly Trend'!$B$3),OR('Staff Weekly Trend'!$B$4="All",$D1058='Staff Weekly Trend'!$B$4),OR('Staff Weekly Trend'!$B$5="All",$A1058='Staff Weekly Trend'!$B$5))</f>
        <v>0</v>
      </c>
      <c r="AC1058" t="str">
        <f t="shared" si="292"/>
        <v/>
      </c>
      <c r="AI1058">
        <f t="shared" si="293"/>
        <v>0</v>
      </c>
      <c r="AJ1058">
        <f t="shared" si="294"/>
        <v>0</v>
      </c>
      <c r="AK1058">
        <f t="shared" si="295"/>
        <v>0</v>
      </c>
      <c r="AL1058">
        <f t="shared" si="296"/>
        <v>0</v>
      </c>
      <c r="AM1058">
        <f t="shared" si="297"/>
        <v>0</v>
      </c>
      <c r="DH1058" t="str" cm="1">
        <f t="array" ref="DH1058">IF($A1058="","",_xlfn.LET(_xlpm.c,IFERROR(_xlfn.XLOOKUP($A1058,TRIM('Sales and count'!$A$4:$A$300&amp;""),TRIM('Sales and count'!$B$4:$B$300&amp;"")),""),IF(OR(_xlpm.c="",_xlpm.c="0",LEFT(_xlpm.c,1)="#"),"Not set",_xlpm.c)))</f>
        <v/>
      </c>
    </row>
    <row r="1059" spans="1:112" x14ac:dyDescent="0.25">
      <c r="A1059" t="str">
        <f>IF('Staff Daily sales'!$B1044="","",TRIM('Staff Daily sales'!$B1044&amp;""))</f>
        <v/>
      </c>
      <c r="B1059" t="str">
        <f>IF('Staff Daily sales'!$D1044="","",TRIM('Staff Daily sales'!$D1044&amp;""))</f>
        <v/>
      </c>
      <c r="C1059" t="str">
        <f>IFERROR(TRIM('Staff Daily sales'!$E1044&amp;""),"")</f>
        <v/>
      </c>
      <c r="D1059" t="str">
        <f>IFERROR(IF(TRIM('Staff Daily sales'!$F1044&amp;"")="","Unassigned",TRIM('Staff Daily sales'!$F1044&amp;"")),"Unassigned")</f>
        <v>Unassigned</v>
      </c>
      <c r="E1059">
        <f t="shared" si="282"/>
        <v>0</v>
      </c>
      <c r="F1059">
        <f>IF($E1059=0,0,SUMPRODUCT($AI$5:$DF$5,'Staff Daily sales'!$G1044:$CD1044))</f>
        <v>0</v>
      </c>
      <c r="G1059">
        <f>IF($E1059=0,0,SUMPRODUCT($AI$6:$DF$6,'Staff Daily sales'!$G1044:$CD1044))</f>
        <v>0</v>
      </c>
      <c r="H1059">
        <f t="shared" si="283"/>
        <v>0</v>
      </c>
      <c r="I1059">
        <f t="shared" si="284"/>
        <v>0</v>
      </c>
      <c r="J1059">
        <f t="shared" si="285"/>
        <v>0</v>
      </c>
      <c r="K1059">
        <f t="shared" si="286"/>
        <v>0</v>
      </c>
      <c r="L1059">
        <f>--AND($E1059=1,OR('Staff Dashboard'!$B$6="All",$DH1059='Staff Dashboard'!$B$6),OR('Staff Dashboard'!$B$7="All",$D1059='Staff Dashboard'!$B$7),OR('Staff Dashboard'!$B$8="All",$A1059='Staff Dashboard'!$B$8))</f>
        <v>0</v>
      </c>
      <c r="M1059">
        <f>IF($E1059=0,0,SUMPRODUCT($AI$7:$DF$7,'Staff Daily sales'!$G1044:$CD1044))</f>
        <v>0</v>
      </c>
      <c r="N1059">
        <f>IF($E1059=0,0,SUMPRODUCT($AI$8:$DF$8,'Staff Daily sales'!$G1044:$CD1044))</f>
        <v>0</v>
      </c>
      <c r="O1059">
        <f>IF($E1059=0,0,SUMPRODUCT($AI$9:$DF$9,'Staff Daily sales'!$G1044:$CD1044))</f>
        <v>0</v>
      </c>
      <c r="P1059">
        <f>IF($E1059=0,0,SUMPRODUCT($AI$10:$DF$10,'Staff Daily sales'!$G1044:$CD1044))</f>
        <v>0</v>
      </c>
      <c r="Q1059">
        <f>IF($E1059=0,0,SUMPRODUCT($AI$11:$DF$11,'Staff Daily sales'!$G1044:$CD1044))</f>
        <v>0</v>
      </c>
      <c r="R1059">
        <f>IF($E1059=0,0,SUMPRODUCT($AI$12:$DF$12,'Staff Daily sales'!$G1044:$CD1044))</f>
        <v>0</v>
      </c>
      <c r="S1059">
        <f>IF($E1059=0,0,SUMPRODUCT($AI$13:$DF$13,'Staff Daily sales'!$G1044:$CD1044))</f>
        <v>0</v>
      </c>
      <c r="T1059">
        <f>IF($E1059=0,0,SUMPRODUCT($AI$14:$DF$14,'Staff Daily sales'!$G1044:$CD1044))</f>
        <v>0</v>
      </c>
      <c r="U1059">
        <f>IF($E1059=0,0,SUMPRODUCT($AI$15:$DF$15,'Staff Daily sales'!$G1044:$CD1044))</f>
        <v>0</v>
      </c>
      <c r="V1059">
        <f>IF($E1059=0,0,SUMPRODUCT($AI$16:$DF$16,'Staff Daily sales'!$G1044:$CD1044))</f>
        <v>0</v>
      </c>
      <c r="W1059">
        <f t="shared" si="287"/>
        <v>0</v>
      </c>
      <c r="X1059">
        <f t="shared" si="288"/>
        <v>0</v>
      </c>
      <c r="Y1059">
        <f t="shared" si="289"/>
        <v>0</v>
      </c>
      <c r="Z1059">
        <f t="shared" si="290"/>
        <v>0</v>
      </c>
      <c r="AA1059">
        <f t="shared" si="291"/>
        <v>0</v>
      </c>
      <c r="AB1059">
        <f>--AND($E1059=1,OR('Staff Weekly Trend'!$B$3="All",$DH1059='Staff Weekly Trend'!$B$3),OR('Staff Weekly Trend'!$B$4="All",$D1059='Staff Weekly Trend'!$B$4),OR('Staff Weekly Trend'!$B$5="All",$A1059='Staff Weekly Trend'!$B$5))</f>
        <v>0</v>
      </c>
      <c r="AC1059" t="str">
        <f t="shared" si="292"/>
        <v/>
      </c>
      <c r="AI1059">
        <f t="shared" si="293"/>
        <v>0</v>
      </c>
      <c r="AJ1059">
        <f t="shared" si="294"/>
        <v>0</v>
      </c>
      <c r="AK1059">
        <f t="shared" si="295"/>
        <v>0</v>
      </c>
      <c r="AL1059">
        <f t="shared" si="296"/>
        <v>0</v>
      </c>
      <c r="AM1059">
        <f t="shared" si="297"/>
        <v>0</v>
      </c>
      <c r="DH1059" t="str" cm="1">
        <f t="array" ref="DH1059">IF($A1059="","",_xlfn.LET(_xlpm.c,IFERROR(_xlfn.XLOOKUP($A1059,TRIM('Sales and count'!$A$4:$A$300&amp;""),TRIM('Sales and count'!$B$4:$B$300&amp;"")),""),IF(OR(_xlpm.c="",_xlpm.c="0",LEFT(_xlpm.c,1)="#"),"Not set",_xlpm.c)))</f>
        <v/>
      </c>
    </row>
    <row r="1060" spans="1:112" x14ac:dyDescent="0.25">
      <c r="A1060" t="str">
        <f>IF('Staff Daily sales'!$B1045="","",TRIM('Staff Daily sales'!$B1045&amp;""))</f>
        <v/>
      </c>
      <c r="B1060" t="str">
        <f>IF('Staff Daily sales'!$D1045="","",TRIM('Staff Daily sales'!$D1045&amp;""))</f>
        <v/>
      </c>
      <c r="C1060" t="str">
        <f>IFERROR(TRIM('Staff Daily sales'!$E1045&amp;""),"")</f>
        <v/>
      </c>
      <c r="D1060" t="str">
        <f>IFERROR(IF(TRIM('Staff Daily sales'!$F1045&amp;"")="","Unassigned",TRIM('Staff Daily sales'!$F1045&amp;"")),"Unassigned")</f>
        <v>Unassigned</v>
      </c>
      <c r="E1060">
        <f t="shared" si="282"/>
        <v>0</v>
      </c>
      <c r="F1060">
        <f>IF($E1060=0,0,SUMPRODUCT($AI$5:$DF$5,'Staff Daily sales'!$G1045:$CD1045))</f>
        <v>0</v>
      </c>
      <c r="G1060">
        <f>IF($E1060=0,0,SUMPRODUCT($AI$6:$DF$6,'Staff Daily sales'!$G1045:$CD1045))</f>
        <v>0</v>
      </c>
      <c r="H1060">
        <f t="shared" si="283"/>
        <v>0</v>
      </c>
      <c r="I1060">
        <f t="shared" si="284"/>
        <v>0</v>
      </c>
      <c r="J1060">
        <f t="shared" si="285"/>
        <v>0</v>
      </c>
      <c r="K1060">
        <f t="shared" si="286"/>
        <v>0</v>
      </c>
      <c r="L1060">
        <f>--AND($E1060=1,OR('Staff Dashboard'!$B$6="All",$DH1060='Staff Dashboard'!$B$6),OR('Staff Dashboard'!$B$7="All",$D1060='Staff Dashboard'!$B$7),OR('Staff Dashboard'!$B$8="All",$A1060='Staff Dashboard'!$B$8))</f>
        <v>0</v>
      </c>
      <c r="M1060">
        <f>IF($E1060=0,0,SUMPRODUCT($AI$7:$DF$7,'Staff Daily sales'!$G1045:$CD1045))</f>
        <v>0</v>
      </c>
      <c r="N1060">
        <f>IF($E1060=0,0,SUMPRODUCT($AI$8:$DF$8,'Staff Daily sales'!$G1045:$CD1045))</f>
        <v>0</v>
      </c>
      <c r="O1060">
        <f>IF($E1060=0,0,SUMPRODUCT($AI$9:$DF$9,'Staff Daily sales'!$G1045:$CD1045))</f>
        <v>0</v>
      </c>
      <c r="P1060">
        <f>IF($E1060=0,0,SUMPRODUCT($AI$10:$DF$10,'Staff Daily sales'!$G1045:$CD1045))</f>
        <v>0</v>
      </c>
      <c r="Q1060">
        <f>IF($E1060=0,0,SUMPRODUCT($AI$11:$DF$11,'Staff Daily sales'!$G1045:$CD1045))</f>
        <v>0</v>
      </c>
      <c r="R1060">
        <f>IF($E1060=0,0,SUMPRODUCT($AI$12:$DF$12,'Staff Daily sales'!$G1045:$CD1045))</f>
        <v>0</v>
      </c>
      <c r="S1060">
        <f>IF($E1060=0,0,SUMPRODUCT($AI$13:$DF$13,'Staff Daily sales'!$G1045:$CD1045))</f>
        <v>0</v>
      </c>
      <c r="T1060">
        <f>IF($E1060=0,0,SUMPRODUCT($AI$14:$DF$14,'Staff Daily sales'!$G1045:$CD1045))</f>
        <v>0</v>
      </c>
      <c r="U1060">
        <f>IF($E1060=0,0,SUMPRODUCT($AI$15:$DF$15,'Staff Daily sales'!$G1045:$CD1045))</f>
        <v>0</v>
      </c>
      <c r="V1060">
        <f>IF($E1060=0,0,SUMPRODUCT($AI$16:$DF$16,'Staff Daily sales'!$G1045:$CD1045))</f>
        <v>0</v>
      </c>
      <c r="W1060">
        <f t="shared" si="287"/>
        <v>0</v>
      </c>
      <c r="X1060">
        <f t="shared" si="288"/>
        <v>0</v>
      </c>
      <c r="Y1060">
        <f t="shared" si="289"/>
        <v>0</v>
      </c>
      <c r="Z1060">
        <f t="shared" si="290"/>
        <v>0</v>
      </c>
      <c r="AA1060">
        <f t="shared" si="291"/>
        <v>0</v>
      </c>
      <c r="AB1060">
        <f>--AND($E1060=1,OR('Staff Weekly Trend'!$B$3="All",$DH1060='Staff Weekly Trend'!$B$3),OR('Staff Weekly Trend'!$B$4="All",$D1060='Staff Weekly Trend'!$B$4),OR('Staff Weekly Trend'!$B$5="All",$A1060='Staff Weekly Trend'!$B$5))</f>
        <v>0</v>
      </c>
      <c r="AC1060" t="str">
        <f t="shared" si="292"/>
        <v/>
      </c>
      <c r="AI1060">
        <f t="shared" si="293"/>
        <v>0</v>
      </c>
      <c r="AJ1060">
        <f t="shared" si="294"/>
        <v>0</v>
      </c>
      <c r="AK1060">
        <f t="shared" si="295"/>
        <v>0</v>
      </c>
      <c r="AL1060">
        <f t="shared" si="296"/>
        <v>0</v>
      </c>
      <c r="AM1060">
        <f t="shared" si="297"/>
        <v>0</v>
      </c>
      <c r="DH1060" t="str" cm="1">
        <f t="array" ref="DH1060">IF($A1060="","",_xlfn.LET(_xlpm.c,IFERROR(_xlfn.XLOOKUP($A1060,TRIM('Sales and count'!$A$4:$A$300&amp;""),TRIM('Sales and count'!$B$4:$B$300&amp;"")),""),IF(OR(_xlpm.c="",_xlpm.c="0",LEFT(_xlpm.c,1)="#"),"Not set",_xlpm.c)))</f>
        <v/>
      </c>
    </row>
    <row r="1061" spans="1:112" x14ac:dyDescent="0.25">
      <c r="A1061" t="str">
        <f>IF('Staff Daily sales'!$B1046="","",TRIM('Staff Daily sales'!$B1046&amp;""))</f>
        <v/>
      </c>
      <c r="B1061" t="str">
        <f>IF('Staff Daily sales'!$D1046="","",TRIM('Staff Daily sales'!$D1046&amp;""))</f>
        <v/>
      </c>
      <c r="C1061" t="str">
        <f>IFERROR(TRIM('Staff Daily sales'!$E1046&amp;""),"")</f>
        <v/>
      </c>
      <c r="D1061" t="str">
        <f>IFERROR(IF(TRIM('Staff Daily sales'!$F1046&amp;"")="","Unassigned",TRIM('Staff Daily sales'!$F1046&amp;"")),"Unassigned")</f>
        <v>Unassigned</v>
      </c>
      <c r="E1061">
        <f t="shared" si="282"/>
        <v>0</v>
      </c>
      <c r="F1061">
        <f>IF($E1061=0,0,SUMPRODUCT($AI$5:$DF$5,'Staff Daily sales'!$G1046:$CD1046))</f>
        <v>0</v>
      </c>
      <c r="G1061">
        <f>IF($E1061=0,0,SUMPRODUCT($AI$6:$DF$6,'Staff Daily sales'!$G1046:$CD1046))</f>
        <v>0</v>
      </c>
      <c r="H1061">
        <f t="shared" si="283"/>
        <v>0</v>
      </c>
      <c r="I1061">
        <f t="shared" si="284"/>
        <v>0</v>
      </c>
      <c r="J1061">
        <f t="shared" si="285"/>
        <v>0</v>
      </c>
      <c r="K1061">
        <f t="shared" si="286"/>
        <v>0</v>
      </c>
      <c r="L1061">
        <f>--AND($E1061=1,OR('Staff Dashboard'!$B$6="All",$DH1061='Staff Dashboard'!$B$6),OR('Staff Dashboard'!$B$7="All",$D1061='Staff Dashboard'!$B$7),OR('Staff Dashboard'!$B$8="All",$A1061='Staff Dashboard'!$B$8))</f>
        <v>0</v>
      </c>
      <c r="M1061">
        <f>IF($E1061=0,0,SUMPRODUCT($AI$7:$DF$7,'Staff Daily sales'!$G1046:$CD1046))</f>
        <v>0</v>
      </c>
      <c r="N1061">
        <f>IF($E1061=0,0,SUMPRODUCT($AI$8:$DF$8,'Staff Daily sales'!$G1046:$CD1046))</f>
        <v>0</v>
      </c>
      <c r="O1061">
        <f>IF($E1061=0,0,SUMPRODUCT($AI$9:$DF$9,'Staff Daily sales'!$G1046:$CD1046))</f>
        <v>0</v>
      </c>
      <c r="P1061">
        <f>IF($E1061=0,0,SUMPRODUCT($AI$10:$DF$10,'Staff Daily sales'!$G1046:$CD1046))</f>
        <v>0</v>
      </c>
      <c r="Q1061">
        <f>IF($E1061=0,0,SUMPRODUCT($AI$11:$DF$11,'Staff Daily sales'!$G1046:$CD1046))</f>
        <v>0</v>
      </c>
      <c r="R1061">
        <f>IF($E1061=0,0,SUMPRODUCT($AI$12:$DF$12,'Staff Daily sales'!$G1046:$CD1046))</f>
        <v>0</v>
      </c>
      <c r="S1061">
        <f>IF($E1061=0,0,SUMPRODUCT($AI$13:$DF$13,'Staff Daily sales'!$G1046:$CD1046))</f>
        <v>0</v>
      </c>
      <c r="T1061">
        <f>IF($E1061=0,0,SUMPRODUCT($AI$14:$DF$14,'Staff Daily sales'!$G1046:$CD1046))</f>
        <v>0</v>
      </c>
      <c r="U1061">
        <f>IF($E1061=0,0,SUMPRODUCT($AI$15:$DF$15,'Staff Daily sales'!$G1046:$CD1046))</f>
        <v>0</v>
      </c>
      <c r="V1061">
        <f>IF($E1061=0,0,SUMPRODUCT($AI$16:$DF$16,'Staff Daily sales'!$G1046:$CD1046))</f>
        <v>0</v>
      </c>
      <c r="W1061">
        <f t="shared" si="287"/>
        <v>0</v>
      </c>
      <c r="X1061">
        <f t="shared" si="288"/>
        <v>0</v>
      </c>
      <c r="Y1061">
        <f t="shared" si="289"/>
        <v>0</v>
      </c>
      <c r="Z1061">
        <f t="shared" si="290"/>
        <v>0</v>
      </c>
      <c r="AA1061">
        <f t="shared" si="291"/>
        <v>0</v>
      </c>
      <c r="AB1061">
        <f>--AND($E1061=1,OR('Staff Weekly Trend'!$B$3="All",$DH1061='Staff Weekly Trend'!$B$3),OR('Staff Weekly Trend'!$B$4="All",$D1061='Staff Weekly Trend'!$B$4),OR('Staff Weekly Trend'!$B$5="All",$A1061='Staff Weekly Trend'!$B$5))</f>
        <v>0</v>
      </c>
      <c r="AC1061" t="str">
        <f t="shared" si="292"/>
        <v/>
      </c>
      <c r="AI1061">
        <f t="shared" si="293"/>
        <v>0</v>
      </c>
      <c r="AJ1061">
        <f t="shared" si="294"/>
        <v>0</v>
      </c>
      <c r="AK1061">
        <f t="shared" si="295"/>
        <v>0</v>
      </c>
      <c r="AL1061">
        <f t="shared" si="296"/>
        <v>0</v>
      </c>
      <c r="AM1061">
        <f t="shared" si="297"/>
        <v>0</v>
      </c>
      <c r="DH1061" t="str" cm="1">
        <f t="array" ref="DH1061">IF($A1061="","",_xlfn.LET(_xlpm.c,IFERROR(_xlfn.XLOOKUP($A1061,TRIM('Sales and count'!$A$4:$A$300&amp;""),TRIM('Sales and count'!$B$4:$B$300&amp;"")),""),IF(OR(_xlpm.c="",_xlpm.c="0",LEFT(_xlpm.c,1)="#"),"Not set",_xlpm.c)))</f>
        <v/>
      </c>
    </row>
    <row r="1062" spans="1:112" x14ac:dyDescent="0.25">
      <c r="A1062" t="str">
        <f>IF('Staff Daily sales'!$B1047="","",TRIM('Staff Daily sales'!$B1047&amp;""))</f>
        <v/>
      </c>
      <c r="B1062" t="str">
        <f>IF('Staff Daily sales'!$D1047="","",TRIM('Staff Daily sales'!$D1047&amp;""))</f>
        <v/>
      </c>
      <c r="C1062" t="str">
        <f>IFERROR(TRIM('Staff Daily sales'!$E1047&amp;""),"")</f>
        <v/>
      </c>
      <c r="D1062" t="str">
        <f>IFERROR(IF(TRIM('Staff Daily sales'!$F1047&amp;"")="","Unassigned",TRIM('Staff Daily sales'!$F1047&amp;"")),"Unassigned")</f>
        <v>Unassigned</v>
      </c>
      <c r="E1062">
        <f t="shared" si="282"/>
        <v>0</v>
      </c>
      <c r="F1062">
        <f>IF($E1062=0,0,SUMPRODUCT($AI$5:$DF$5,'Staff Daily sales'!$G1047:$CD1047))</f>
        <v>0</v>
      </c>
      <c r="G1062">
        <f>IF($E1062=0,0,SUMPRODUCT($AI$6:$DF$6,'Staff Daily sales'!$G1047:$CD1047))</f>
        <v>0</v>
      </c>
      <c r="H1062">
        <f t="shared" si="283"/>
        <v>0</v>
      </c>
      <c r="I1062">
        <f t="shared" si="284"/>
        <v>0</v>
      </c>
      <c r="J1062">
        <f t="shared" si="285"/>
        <v>0</v>
      </c>
      <c r="K1062">
        <f t="shared" si="286"/>
        <v>0</v>
      </c>
      <c r="L1062">
        <f>--AND($E1062=1,OR('Staff Dashboard'!$B$6="All",$DH1062='Staff Dashboard'!$B$6),OR('Staff Dashboard'!$B$7="All",$D1062='Staff Dashboard'!$B$7),OR('Staff Dashboard'!$B$8="All",$A1062='Staff Dashboard'!$B$8))</f>
        <v>0</v>
      </c>
      <c r="M1062">
        <f>IF($E1062=0,0,SUMPRODUCT($AI$7:$DF$7,'Staff Daily sales'!$G1047:$CD1047))</f>
        <v>0</v>
      </c>
      <c r="N1062">
        <f>IF($E1062=0,0,SUMPRODUCT($AI$8:$DF$8,'Staff Daily sales'!$G1047:$CD1047))</f>
        <v>0</v>
      </c>
      <c r="O1062">
        <f>IF($E1062=0,0,SUMPRODUCT($AI$9:$DF$9,'Staff Daily sales'!$G1047:$CD1047))</f>
        <v>0</v>
      </c>
      <c r="P1062">
        <f>IF($E1062=0,0,SUMPRODUCT($AI$10:$DF$10,'Staff Daily sales'!$G1047:$CD1047))</f>
        <v>0</v>
      </c>
      <c r="Q1062">
        <f>IF($E1062=0,0,SUMPRODUCT($AI$11:$DF$11,'Staff Daily sales'!$G1047:$CD1047))</f>
        <v>0</v>
      </c>
      <c r="R1062">
        <f>IF($E1062=0,0,SUMPRODUCT($AI$12:$DF$12,'Staff Daily sales'!$G1047:$CD1047))</f>
        <v>0</v>
      </c>
      <c r="S1062">
        <f>IF($E1062=0,0,SUMPRODUCT($AI$13:$DF$13,'Staff Daily sales'!$G1047:$CD1047))</f>
        <v>0</v>
      </c>
      <c r="T1062">
        <f>IF($E1062=0,0,SUMPRODUCT($AI$14:$DF$14,'Staff Daily sales'!$G1047:$CD1047))</f>
        <v>0</v>
      </c>
      <c r="U1062">
        <f>IF($E1062=0,0,SUMPRODUCT($AI$15:$DF$15,'Staff Daily sales'!$G1047:$CD1047))</f>
        <v>0</v>
      </c>
      <c r="V1062">
        <f>IF($E1062=0,0,SUMPRODUCT($AI$16:$DF$16,'Staff Daily sales'!$G1047:$CD1047))</f>
        <v>0</v>
      </c>
      <c r="W1062">
        <f t="shared" si="287"/>
        <v>0</v>
      </c>
      <c r="X1062">
        <f t="shared" si="288"/>
        <v>0</v>
      </c>
      <c r="Y1062">
        <f t="shared" si="289"/>
        <v>0</v>
      </c>
      <c r="Z1062">
        <f t="shared" si="290"/>
        <v>0</v>
      </c>
      <c r="AA1062">
        <f t="shared" si="291"/>
        <v>0</v>
      </c>
      <c r="AB1062">
        <f>--AND($E1062=1,OR('Staff Weekly Trend'!$B$3="All",$DH1062='Staff Weekly Trend'!$B$3),OR('Staff Weekly Trend'!$B$4="All",$D1062='Staff Weekly Trend'!$B$4),OR('Staff Weekly Trend'!$B$5="All",$A1062='Staff Weekly Trend'!$B$5))</f>
        <v>0</v>
      </c>
      <c r="AC1062" t="str">
        <f t="shared" si="292"/>
        <v/>
      </c>
      <c r="AI1062">
        <f t="shared" si="293"/>
        <v>0</v>
      </c>
      <c r="AJ1062">
        <f t="shared" si="294"/>
        <v>0</v>
      </c>
      <c r="AK1062">
        <f t="shared" si="295"/>
        <v>0</v>
      </c>
      <c r="AL1062">
        <f t="shared" si="296"/>
        <v>0</v>
      </c>
      <c r="AM1062">
        <f t="shared" si="297"/>
        <v>0</v>
      </c>
      <c r="DH1062" t="str" cm="1">
        <f t="array" ref="DH1062">IF($A1062="","",_xlfn.LET(_xlpm.c,IFERROR(_xlfn.XLOOKUP($A1062,TRIM('Sales and count'!$A$4:$A$300&amp;""),TRIM('Sales and count'!$B$4:$B$300&amp;"")),""),IF(OR(_xlpm.c="",_xlpm.c="0",LEFT(_xlpm.c,1)="#"),"Not set",_xlpm.c)))</f>
        <v/>
      </c>
    </row>
    <row r="1063" spans="1:112" x14ac:dyDescent="0.25">
      <c r="A1063" t="str">
        <f>IF('Staff Daily sales'!$B1048="","",TRIM('Staff Daily sales'!$B1048&amp;""))</f>
        <v/>
      </c>
      <c r="B1063" t="str">
        <f>IF('Staff Daily sales'!$D1048="","",TRIM('Staff Daily sales'!$D1048&amp;""))</f>
        <v/>
      </c>
      <c r="C1063" t="str">
        <f>IFERROR(TRIM('Staff Daily sales'!$E1048&amp;""),"")</f>
        <v/>
      </c>
      <c r="D1063" t="str">
        <f>IFERROR(IF(TRIM('Staff Daily sales'!$F1048&amp;"")="","Unassigned",TRIM('Staff Daily sales'!$F1048&amp;"")),"Unassigned")</f>
        <v>Unassigned</v>
      </c>
      <c r="E1063">
        <f t="shared" si="282"/>
        <v>0</v>
      </c>
      <c r="F1063">
        <f>IF($E1063=0,0,SUMPRODUCT($AI$5:$DF$5,'Staff Daily sales'!$G1048:$CD1048))</f>
        <v>0</v>
      </c>
      <c r="G1063">
        <f>IF($E1063=0,0,SUMPRODUCT($AI$6:$DF$6,'Staff Daily sales'!$G1048:$CD1048))</f>
        <v>0</v>
      </c>
      <c r="H1063">
        <f t="shared" si="283"/>
        <v>0</v>
      </c>
      <c r="I1063">
        <f t="shared" si="284"/>
        <v>0</v>
      </c>
      <c r="J1063">
        <f t="shared" si="285"/>
        <v>0</v>
      </c>
      <c r="K1063">
        <f t="shared" si="286"/>
        <v>0</v>
      </c>
      <c r="L1063">
        <f>--AND($E1063=1,OR('Staff Dashboard'!$B$6="All",$DH1063='Staff Dashboard'!$B$6),OR('Staff Dashboard'!$B$7="All",$D1063='Staff Dashboard'!$B$7),OR('Staff Dashboard'!$B$8="All",$A1063='Staff Dashboard'!$B$8))</f>
        <v>0</v>
      </c>
      <c r="M1063">
        <f>IF($E1063=0,0,SUMPRODUCT($AI$7:$DF$7,'Staff Daily sales'!$G1048:$CD1048))</f>
        <v>0</v>
      </c>
      <c r="N1063">
        <f>IF($E1063=0,0,SUMPRODUCT($AI$8:$DF$8,'Staff Daily sales'!$G1048:$CD1048))</f>
        <v>0</v>
      </c>
      <c r="O1063">
        <f>IF($E1063=0,0,SUMPRODUCT($AI$9:$DF$9,'Staff Daily sales'!$G1048:$CD1048))</f>
        <v>0</v>
      </c>
      <c r="P1063">
        <f>IF($E1063=0,0,SUMPRODUCT($AI$10:$DF$10,'Staff Daily sales'!$G1048:$CD1048))</f>
        <v>0</v>
      </c>
      <c r="Q1063">
        <f>IF($E1063=0,0,SUMPRODUCT($AI$11:$DF$11,'Staff Daily sales'!$G1048:$CD1048))</f>
        <v>0</v>
      </c>
      <c r="R1063">
        <f>IF($E1063=0,0,SUMPRODUCT($AI$12:$DF$12,'Staff Daily sales'!$G1048:$CD1048))</f>
        <v>0</v>
      </c>
      <c r="S1063">
        <f>IF($E1063=0,0,SUMPRODUCT($AI$13:$DF$13,'Staff Daily sales'!$G1048:$CD1048))</f>
        <v>0</v>
      </c>
      <c r="T1063">
        <f>IF($E1063=0,0,SUMPRODUCT($AI$14:$DF$14,'Staff Daily sales'!$G1048:$CD1048))</f>
        <v>0</v>
      </c>
      <c r="U1063">
        <f>IF($E1063=0,0,SUMPRODUCT($AI$15:$DF$15,'Staff Daily sales'!$G1048:$CD1048))</f>
        <v>0</v>
      </c>
      <c r="V1063">
        <f>IF($E1063=0,0,SUMPRODUCT($AI$16:$DF$16,'Staff Daily sales'!$G1048:$CD1048))</f>
        <v>0</v>
      </c>
      <c r="W1063">
        <f t="shared" si="287"/>
        <v>0</v>
      </c>
      <c r="X1063">
        <f t="shared" si="288"/>
        <v>0</v>
      </c>
      <c r="Y1063">
        <f t="shared" si="289"/>
        <v>0</v>
      </c>
      <c r="Z1063">
        <f t="shared" si="290"/>
        <v>0</v>
      </c>
      <c r="AA1063">
        <f t="shared" si="291"/>
        <v>0</v>
      </c>
      <c r="AB1063">
        <f>--AND($E1063=1,OR('Staff Weekly Trend'!$B$3="All",$DH1063='Staff Weekly Trend'!$B$3),OR('Staff Weekly Trend'!$B$4="All",$D1063='Staff Weekly Trend'!$B$4),OR('Staff Weekly Trend'!$B$5="All",$A1063='Staff Weekly Trend'!$B$5))</f>
        <v>0</v>
      </c>
      <c r="AC1063" t="str">
        <f t="shared" si="292"/>
        <v/>
      </c>
      <c r="AI1063">
        <f t="shared" si="293"/>
        <v>0</v>
      </c>
      <c r="AJ1063">
        <f t="shared" si="294"/>
        <v>0</v>
      </c>
      <c r="AK1063">
        <f t="shared" si="295"/>
        <v>0</v>
      </c>
      <c r="AL1063">
        <f t="shared" si="296"/>
        <v>0</v>
      </c>
      <c r="AM1063">
        <f t="shared" si="297"/>
        <v>0</v>
      </c>
      <c r="DH1063" t="str" cm="1">
        <f t="array" ref="DH1063">IF($A1063="","",_xlfn.LET(_xlpm.c,IFERROR(_xlfn.XLOOKUP($A1063,TRIM('Sales and count'!$A$4:$A$300&amp;""),TRIM('Sales and count'!$B$4:$B$300&amp;"")),""),IF(OR(_xlpm.c="",_xlpm.c="0",LEFT(_xlpm.c,1)="#"),"Not set",_xlpm.c)))</f>
        <v/>
      </c>
    </row>
    <row r="1064" spans="1:112" x14ac:dyDescent="0.25">
      <c r="A1064" t="str">
        <f>IF('Staff Daily sales'!$B1049="","",TRIM('Staff Daily sales'!$B1049&amp;""))</f>
        <v/>
      </c>
      <c r="B1064" t="str">
        <f>IF('Staff Daily sales'!$D1049="","",TRIM('Staff Daily sales'!$D1049&amp;""))</f>
        <v/>
      </c>
      <c r="C1064" t="str">
        <f>IFERROR(TRIM('Staff Daily sales'!$E1049&amp;""),"")</f>
        <v/>
      </c>
      <c r="D1064" t="str">
        <f>IFERROR(IF(TRIM('Staff Daily sales'!$F1049&amp;"")="","Unassigned",TRIM('Staff Daily sales'!$F1049&amp;"")),"Unassigned")</f>
        <v>Unassigned</v>
      </c>
      <c r="E1064">
        <f t="shared" si="282"/>
        <v>0</v>
      </c>
      <c r="F1064">
        <f>IF($E1064=0,0,SUMPRODUCT($AI$5:$DF$5,'Staff Daily sales'!$G1049:$CD1049))</f>
        <v>0</v>
      </c>
      <c r="G1064">
        <f>IF($E1064=0,0,SUMPRODUCT($AI$6:$DF$6,'Staff Daily sales'!$G1049:$CD1049))</f>
        <v>0</v>
      </c>
      <c r="H1064">
        <f t="shared" si="283"/>
        <v>0</v>
      </c>
      <c r="I1064">
        <f t="shared" si="284"/>
        <v>0</v>
      </c>
      <c r="J1064">
        <f t="shared" si="285"/>
        <v>0</v>
      </c>
      <c r="K1064">
        <f t="shared" si="286"/>
        <v>0</v>
      </c>
      <c r="L1064">
        <f>--AND($E1064=1,OR('Staff Dashboard'!$B$6="All",$DH1064='Staff Dashboard'!$B$6),OR('Staff Dashboard'!$B$7="All",$D1064='Staff Dashboard'!$B$7),OR('Staff Dashboard'!$B$8="All",$A1064='Staff Dashboard'!$B$8))</f>
        <v>0</v>
      </c>
      <c r="M1064">
        <f>IF($E1064=0,0,SUMPRODUCT($AI$7:$DF$7,'Staff Daily sales'!$G1049:$CD1049))</f>
        <v>0</v>
      </c>
      <c r="N1064">
        <f>IF($E1064=0,0,SUMPRODUCT($AI$8:$DF$8,'Staff Daily sales'!$G1049:$CD1049))</f>
        <v>0</v>
      </c>
      <c r="O1064">
        <f>IF($E1064=0,0,SUMPRODUCT($AI$9:$DF$9,'Staff Daily sales'!$G1049:$CD1049))</f>
        <v>0</v>
      </c>
      <c r="P1064">
        <f>IF($E1064=0,0,SUMPRODUCT($AI$10:$DF$10,'Staff Daily sales'!$G1049:$CD1049))</f>
        <v>0</v>
      </c>
      <c r="Q1064">
        <f>IF($E1064=0,0,SUMPRODUCT($AI$11:$DF$11,'Staff Daily sales'!$G1049:$CD1049))</f>
        <v>0</v>
      </c>
      <c r="R1064">
        <f>IF($E1064=0,0,SUMPRODUCT($AI$12:$DF$12,'Staff Daily sales'!$G1049:$CD1049))</f>
        <v>0</v>
      </c>
      <c r="S1064">
        <f>IF($E1064=0,0,SUMPRODUCT($AI$13:$DF$13,'Staff Daily sales'!$G1049:$CD1049))</f>
        <v>0</v>
      </c>
      <c r="T1064">
        <f>IF($E1064=0,0,SUMPRODUCT($AI$14:$DF$14,'Staff Daily sales'!$G1049:$CD1049))</f>
        <v>0</v>
      </c>
      <c r="U1064">
        <f>IF($E1064=0,0,SUMPRODUCT($AI$15:$DF$15,'Staff Daily sales'!$G1049:$CD1049))</f>
        <v>0</v>
      </c>
      <c r="V1064">
        <f>IF($E1064=0,0,SUMPRODUCT($AI$16:$DF$16,'Staff Daily sales'!$G1049:$CD1049))</f>
        <v>0</v>
      </c>
      <c r="W1064">
        <f t="shared" si="287"/>
        <v>0</v>
      </c>
      <c r="X1064">
        <f t="shared" si="288"/>
        <v>0</v>
      </c>
      <c r="Y1064">
        <f t="shared" si="289"/>
        <v>0</v>
      </c>
      <c r="Z1064">
        <f t="shared" si="290"/>
        <v>0</v>
      </c>
      <c r="AA1064">
        <f t="shared" si="291"/>
        <v>0</v>
      </c>
      <c r="AB1064">
        <f>--AND($E1064=1,OR('Staff Weekly Trend'!$B$3="All",$DH1064='Staff Weekly Trend'!$B$3),OR('Staff Weekly Trend'!$B$4="All",$D1064='Staff Weekly Trend'!$B$4),OR('Staff Weekly Trend'!$B$5="All",$A1064='Staff Weekly Trend'!$B$5))</f>
        <v>0</v>
      </c>
      <c r="AC1064" t="str">
        <f t="shared" si="292"/>
        <v/>
      </c>
      <c r="AI1064">
        <f t="shared" si="293"/>
        <v>0</v>
      </c>
      <c r="AJ1064">
        <f t="shared" si="294"/>
        <v>0</v>
      </c>
      <c r="AK1064">
        <f t="shared" si="295"/>
        <v>0</v>
      </c>
      <c r="AL1064">
        <f t="shared" si="296"/>
        <v>0</v>
      </c>
      <c r="AM1064">
        <f t="shared" si="297"/>
        <v>0</v>
      </c>
      <c r="DH1064" t="str" cm="1">
        <f t="array" ref="DH1064">IF($A1064="","",_xlfn.LET(_xlpm.c,IFERROR(_xlfn.XLOOKUP($A1064,TRIM('Sales and count'!$A$4:$A$300&amp;""),TRIM('Sales and count'!$B$4:$B$300&amp;"")),""),IF(OR(_xlpm.c="",_xlpm.c="0",LEFT(_xlpm.c,1)="#"),"Not set",_xlpm.c)))</f>
        <v/>
      </c>
    </row>
    <row r="1065" spans="1:112" x14ac:dyDescent="0.25">
      <c r="A1065" t="str">
        <f>IF('Staff Daily sales'!$B1050="","",TRIM('Staff Daily sales'!$B1050&amp;""))</f>
        <v/>
      </c>
      <c r="B1065" t="str">
        <f>IF('Staff Daily sales'!$D1050="","",TRIM('Staff Daily sales'!$D1050&amp;""))</f>
        <v/>
      </c>
      <c r="C1065" t="str">
        <f>IFERROR(TRIM('Staff Daily sales'!$E1050&amp;""),"")</f>
        <v/>
      </c>
      <c r="D1065" t="str">
        <f>IFERROR(IF(TRIM('Staff Daily sales'!$F1050&amp;"")="","Unassigned",TRIM('Staff Daily sales'!$F1050&amp;"")),"Unassigned")</f>
        <v>Unassigned</v>
      </c>
      <c r="E1065">
        <f t="shared" si="282"/>
        <v>0</v>
      </c>
      <c r="F1065">
        <f>IF($E1065=0,0,SUMPRODUCT($AI$5:$DF$5,'Staff Daily sales'!$G1050:$CD1050))</f>
        <v>0</v>
      </c>
      <c r="G1065">
        <f>IF($E1065=0,0,SUMPRODUCT($AI$6:$DF$6,'Staff Daily sales'!$G1050:$CD1050))</f>
        <v>0</v>
      </c>
      <c r="H1065">
        <f t="shared" si="283"/>
        <v>0</v>
      </c>
      <c r="I1065">
        <f t="shared" si="284"/>
        <v>0</v>
      </c>
      <c r="J1065">
        <f t="shared" si="285"/>
        <v>0</v>
      </c>
      <c r="K1065">
        <f t="shared" si="286"/>
        <v>0</v>
      </c>
      <c r="L1065">
        <f>--AND($E1065=1,OR('Staff Dashboard'!$B$6="All",$DH1065='Staff Dashboard'!$B$6),OR('Staff Dashboard'!$B$7="All",$D1065='Staff Dashboard'!$B$7),OR('Staff Dashboard'!$B$8="All",$A1065='Staff Dashboard'!$B$8))</f>
        <v>0</v>
      </c>
      <c r="M1065">
        <f>IF($E1065=0,0,SUMPRODUCT($AI$7:$DF$7,'Staff Daily sales'!$G1050:$CD1050))</f>
        <v>0</v>
      </c>
      <c r="N1065">
        <f>IF($E1065=0,0,SUMPRODUCT($AI$8:$DF$8,'Staff Daily sales'!$G1050:$CD1050))</f>
        <v>0</v>
      </c>
      <c r="O1065">
        <f>IF($E1065=0,0,SUMPRODUCT($AI$9:$DF$9,'Staff Daily sales'!$G1050:$CD1050))</f>
        <v>0</v>
      </c>
      <c r="P1065">
        <f>IF($E1065=0,0,SUMPRODUCT($AI$10:$DF$10,'Staff Daily sales'!$G1050:$CD1050))</f>
        <v>0</v>
      </c>
      <c r="Q1065">
        <f>IF($E1065=0,0,SUMPRODUCT($AI$11:$DF$11,'Staff Daily sales'!$G1050:$CD1050))</f>
        <v>0</v>
      </c>
      <c r="R1065">
        <f>IF($E1065=0,0,SUMPRODUCT($AI$12:$DF$12,'Staff Daily sales'!$G1050:$CD1050))</f>
        <v>0</v>
      </c>
      <c r="S1065">
        <f>IF($E1065=0,0,SUMPRODUCT($AI$13:$DF$13,'Staff Daily sales'!$G1050:$CD1050))</f>
        <v>0</v>
      </c>
      <c r="T1065">
        <f>IF($E1065=0,0,SUMPRODUCT($AI$14:$DF$14,'Staff Daily sales'!$G1050:$CD1050))</f>
        <v>0</v>
      </c>
      <c r="U1065">
        <f>IF($E1065=0,0,SUMPRODUCT($AI$15:$DF$15,'Staff Daily sales'!$G1050:$CD1050))</f>
        <v>0</v>
      </c>
      <c r="V1065">
        <f>IF($E1065=0,0,SUMPRODUCT($AI$16:$DF$16,'Staff Daily sales'!$G1050:$CD1050))</f>
        <v>0</v>
      </c>
      <c r="W1065">
        <f t="shared" si="287"/>
        <v>0</v>
      </c>
      <c r="X1065">
        <f t="shared" si="288"/>
        <v>0</v>
      </c>
      <c r="Y1065">
        <f t="shared" si="289"/>
        <v>0</v>
      </c>
      <c r="Z1065">
        <f t="shared" si="290"/>
        <v>0</v>
      </c>
      <c r="AA1065">
        <f t="shared" si="291"/>
        <v>0</v>
      </c>
      <c r="AB1065">
        <f>--AND($E1065=1,OR('Staff Weekly Trend'!$B$3="All",$DH1065='Staff Weekly Trend'!$B$3),OR('Staff Weekly Trend'!$B$4="All",$D1065='Staff Weekly Trend'!$B$4),OR('Staff Weekly Trend'!$B$5="All",$A1065='Staff Weekly Trend'!$B$5))</f>
        <v>0</v>
      </c>
      <c r="AC1065" t="str">
        <f t="shared" si="292"/>
        <v/>
      </c>
      <c r="AI1065">
        <f t="shared" si="293"/>
        <v>0</v>
      </c>
      <c r="AJ1065">
        <f t="shared" si="294"/>
        <v>0</v>
      </c>
      <c r="AK1065">
        <f t="shared" si="295"/>
        <v>0</v>
      </c>
      <c r="AL1065">
        <f t="shared" si="296"/>
        <v>0</v>
      </c>
      <c r="AM1065">
        <f t="shared" si="297"/>
        <v>0</v>
      </c>
      <c r="DH1065" t="str" cm="1">
        <f t="array" ref="DH1065">IF($A1065="","",_xlfn.LET(_xlpm.c,IFERROR(_xlfn.XLOOKUP($A1065,TRIM('Sales and count'!$A$4:$A$300&amp;""),TRIM('Sales and count'!$B$4:$B$300&amp;"")),""),IF(OR(_xlpm.c="",_xlpm.c="0",LEFT(_xlpm.c,1)="#"),"Not set",_xlpm.c)))</f>
        <v/>
      </c>
    </row>
    <row r="1066" spans="1:112" x14ac:dyDescent="0.25">
      <c r="A1066" t="str">
        <f>IF('Staff Daily sales'!$B1051="","",TRIM('Staff Daily sales'!$B1051&amp;""))</f>
        <v/>
      </c>
      <c r="B1066" t="str">
        <f>IF('Staff Daily sales'!$D1051="","",TRIM('Staff Daily sales'!$D1051&amp;""))</f>
        <v/>
      </c>
      <c r="C1066" t="str">
        <f>IFERROR(TRIM('Staff Daily sales'!$E1051&amp;""),"")</f>
        <v/>
      </c>
      <c r="D1066" t="str">
        <f>IFERROR(IF(TRIM('Staff Daily sales'!$F1051&amp;"")="","Unassigned",TRIM('Staff Daily sales'!$F1051&amp;"")),"Unassigned")</f>
        <v>Unassigned</v>
      </c>
      <c r="E1066">
        <f t="shared" si="282"/>
        <v>0</v>
      </c>
      <c r="F1066">
        <f>IF($E1066=0,0,SUMPRODUCT($AI$5:$DF$5,'Staff Daily sales'!$G1051:$CD1051))</f>
        <v>0</v>
      </c>
      <c r="G1066">
        <f>IF($E1066=0,0,SUMPRODUCT($AI$6:$DF$6,'Staff Daily sales'!$G1051:$CD1051))</f>
        <v>0</v>
      </c>
      <c r="H1066">
        <f t="shared" si="283"/>
        <v>0</v>
      </c>
      <c r="I1066">
        <f t="shared" si="284"/>
        <v>0</v>
      </c>
      <c r="J1066">
        <f t="shared" si="285"/>
        <v>0</v>
      </c>
      <c r="K1066">
        <f t="shared" si="286"/>
        <v>0</v>
      </c>
      <c r="L1066">
        <f>--AND($E1066=1,OR('Staff Dashboard'!$B$6="All",$DH1066='Staff Dashboard'!$B$6),OR('Staff Dashboard'!$B$7="All",$D1066='Staff Dashboard'!$B$7),OR('Staff Dashboard'!$B$8="All",$A1066='Staff Dashboard'!$B$8))</f>
        <v>0</v>
      </c>
      <c r="M1066">
        <f>IF($E1066=0,0,SUMPRODUCT($AI$7:$DF$7,'Staff Daily sales'!$G1051:$CD1051))</f>
        <v>0</v>
      </c>
      <c r="N1066">
        <f>IF($E1066=0,0,SUMPRODUCT($AI$8:$DF$8,'Staff Daily sales'!$G1051:$CD1051))</f>
        <v>0</v>
      </c>
      <c r="O1066">
        <f>IF($E1066=0,0,SUMPRODUCT($AI$9:$DF$9,'Staff Daily sales'!$G1051:$CD1051))</f>
        <v>0</v>
      </c>
      <c r="P1066">
        <f>IF($E1066=0,0,SUMPRODUCT($AI$10:$DF$10,'Staff Daily sales'!$G1051:$CD1051))</f>
        <v>0</v>
      </c>
      <c r="Q1066">
        <f>IF($E1066=0,0,SUMPRODUCT($AI$11:$DF$11,'Staff Daily sales'!$G1051:$CD1051))</f>
        <v>0</v>
      </c>
      <c r="R1066">
        <f>IF($E1066=0,0,SUMPRODUCT($AI$12:$DF$12,'Staff Daily sales'!$G1051:$CD1051))</f>
        <v>0</v>
      </c>
      <c r="S1066">
        <f>IF($E1066=0,0,SUMPRODUCT($AI$13:$DF$13,'Staff Daily sales'!$G1051:$CD1051))</f>
        <v>0</v>
      </c>
      <c r="T1066">
        <f>IF($E1066=0,0,SUMPRODUCT($AI$14:$DF$14,'Staff Daily sales'!$G1051:$CD1051))</f>
        <v>0</v>
      </c>
      <c r="U1066">
        <f>IF($E1066=0,0,SUMPRODUCT($AI$15:$DF$15,'Staff Daily sales'!$G1051:$CD1051))</f>
        <v>0</v>
      </c>
      <c r="V1066">
        <f>IF($E1066=0,0,SUMPRODUCT($AI$16:$DF$16,'Staff Daily sales'!$G1051:$CD1051))</f>
        <v>0</v>
      </c>
      <c r="W1066">
        <f t="shared" si="287"/>
        <v>0</v>
      </c>
      <c r="X1066">
        <f t="shared" si="288"/>
        <v>0</v>
      </c>
      <c r="Y1066">
        <f t="shared" si="289"/>
        <v>0</v>
      </c>
      <c r="Z1066">
        <f t="shared" si="290"/>
        <v>0</v>
      </c>
      <c r="AA1066">
        <f t="shared" si="291"/>
        <v>0</v>
      </c>
      <c r="AB1066">
        <f>--AND($E1066=1,OR('Staff Weekly Trend'!$B$3="All",$DH1066='Staff Weekly Trend'!$B$3),OR('Staff Weekly Trend'!$B$4="All",$D1066='Staff Weekly Trend'!$B$4),OR('Staff Weekly Trend'!$B$5="All",$A1066='Staff Weekly Trend'!$B$5))</f>
        <v>0</v>
      </c>
      <c r="AC1066" t="str">
        <f t="shared" si="292"/>
        <v/>
      </c>
      <c r="AI1066">
        <f t="shared" si="293"/>
        <v>0</v>
      </c>
      <c r="AJ1066">
        <f t="shared" si="294"/>
        <v>0</v>
      </c>
      <c r="AK1066">
        <f t="shared" si="295"/>
        <v>0</v>
      </c>
      <c r="AL1066">
        <f t="shared" si="296"/>
        <v>0</v>
      </c>
      <c r="AM1066">
        <f t="shared" si="297"/>
        <v>0</v>
      </c>
      <c r="DH1066" t="str" cm="1">
        <f t="array" ref="DH1066">IF($A1066="","",_xlfn.LET(_xlpm.c,IFERROR(_xlfn.XLOOKUP($A1066,TRIM('Sales and count'!$A$4:$A$300&amp;""),TRIM('Sales and count'!$B$4:$B$300&amp;"")),""),IF(OR(_xlpm.c="",_xlpm.c="0",LEFT(_xlpm.c,1)="#"),"Not set",_xlpm.c)))</f>
        <v/>
      </c>
    </row>
    <row r="1067" spans="1:112" x14ac:dyDescent="0.25">
      <c r="A1067" t="str">
        <f>IF('Staff Daily sales'!$B1052="","",TRIM('Staff Daily sales'!$B1052&amp;""))</f>
        <v/>
      </c>
      <c r="B1067" t="str">
        <f>IF('Staff Daily sales'!$D1052="","",TRIM('Staff Daily sales'!$D1052&amp;""))</f>
        <v/>
      </c>
      <c r="C1067" t="str">
        <f>IFERROR(TRIM('Staff Daily sales'!$E1052&amp;""),"")</f>
        <v/>
      </c>
      <c r="D1067" t="str">
        <f>IFERROR(IF(TRIM('Staff Daily sales'!$F1052&amp;"")="","Unassigned",TRIM('Staff Daily sales'!$F1052&amp;"")),"Unassigned")</f>
        <v>Unassigned</v>
      </c>
      <c r="E1067">
        <f t="shared" si="282"/>
        <v>0</v>
      </c>
      <c r="F1067">
        <f>IF($E1067=0,0,SUMPRODUCT($AI$5:$DF$5,'Staff Daily sales'!$G1052:$CD1052))</f>
        <v>0</v>
      </c>
      <c r="G1067">
        <f>IF($E1067=0,0,SUMPRODUCT($AI$6:$DF$6,'Staff Daily sales'!$G1052:$CD1052))</f>
        <v>0</v>
      </c>
      <c r="H1067">
        <f t="shared" si="283"/>
        <v>0</v>
      </c>
      <c r="I1067">
        <f t="shared" si="284"/>
        <v>0</v>
      </c>
      <c r="J1067">
        <f t="shared" si="285"/>
        <v>0</v>
      </c>
      <c r="K1067">
        <f t="shared" si="286"/>
        <v>0</v>
      </c>
      <c r="L1067">
        <f>--AND($E1067=1,OR('Staff Dashboard'!$B$6="All",$DH1067='Staff Dashboard'!$B$6),OR('Staff Dashboard'!$B$7="All",$D1067='Staff Dashboard'!$B$7),OR('Staff Dashboard'!$B$8="All",$A1067='Staff Dashboard'!$B$8))</f>
        <v>0</v>
      </c>
      <c r="M1067">
        <f>IF($E1067=0,0,SUMPRODUCT($AI$7:$DF$7,'Staff Daily sales'!$G1052:$CD1052))</f>
        <v>0</v>
      </c>
      <c r="N1067">
        <f>IF($E1067=0,0,SUMPRODUCT($AI$8:$DF$8,'Staff Daily sales'!$G1052:$CD1052))</f>
        <v>0</v>
      </c>
      <c r="O1067">
        <f>IF($E1067=0,0,SUMPRODUCT($AI$9:$DF$9,'Staff Daily sales'!$G1052:$CD1052))</f>
        <v>0</v>
      </c>
      <c r="P1067">
        <f>IF($E1067=0,0,SUMPRODUCT($AI$10:$DF$10,'Staff Daily sales'!$G1052:$CD1052))</f>
        <v>0</v>
      </c>
      <c r="Q1067">
        <f>IF($E1067=0,0,SUMPRODUCT($AI$11:$DF$11,'Staff Daily sales'!$G1052:$CD1052))</f>
        <v>0</v>
      </c>
      <c r="R1067">
        <f>IF($E1067=0,0,SUMPRODUCT($AI$12:$DF$12,'Staff Daily sales'!$G1052:$CD1052))</f>
        <v>0</v>
      </c>
      <c r="S1067">
        <f>IF($E1067=0,0,SUMPRODUCT($AI$13:$DF$13,'Staff Daily sales'!$G1052:$CD1052))</f>
        <v>0</v>
      </c>
      <c r="T1067">
        <f>IF($E1067=0,0,SUMPRODUCT($AI$14:$DF$14,'Staff Daily sales'!$G1052:$CD1052))</f>
        <v>0</v>
      </c>
      <c r="U1067">
        <f>IF($E1067=0,0,SUMPRODUCT($AI$15:$DF$15,'Staff Daily sales'!$G1052:$CD1052))</f>
        <v>0</v>
      </c>
      <c r="V1067">
        <f>IF($E1067=0,0,SUMPRODUCT($AI$16:$DF$16,'Staff Daily sales'!$G1052:$CD1052))</f>
        <v>0</v>
      </c>
      <c r="W1067">
        <f t="shared" si="287"/>
        <v>0</v>
      </c>
      <c r="X1067">
        <f t="shared" si="288"/>
        <v>0</v>
      </c>
      <c r="Y1067">
        <f t="shared" si="289"/>
        <v>0</v>
      </c>
      <c r="Z1067">
        <f t="shared" si="290"/>
        <v>0</v>
      </c>
      <c r="AA1067">
        <f t="shared" si="291"/>
        <v>0</v>
      </c>
      <c r="AB1067">
        <f>--AND($E1067=1,OR('Staff Weekly Trend'!$B$3="All",$DH1067='Staff Weekly Trend'!$B$3),OR('Staff Weekly Trend'!$B$4="All",$D1067='Staff Weekly Trend'!$B$4),OR('Staff Weekly Trend'!$B$5="All",$A1067='Staff Weekly Trend'!$B$5))</f>
        <v>0</v>
      </c>
      <c r="AC1067" t="str">
        <f t="shared" si="292"/>
        <v/>
      </c>
      <c r="AI1067">
        <f t="shared" si="293"/>
        <v>0</v>
      </c>
      <c r="AJ1067">
        <f t="shared" si="294"/>
        <v>0</v>
      </c>
      <c r="AK1067">
        <f t="shared" si="295"/>
        <v>0</v>
      </c>
      <c r="AL1067">
        <f t="shared" si="296"/>
        <v>0</v>
      </c>
      <c r="AM1067">
        <f t="shared" si="297"/>
        <v>0</v>
      </c>
      <c r="DH1067" t="str" cm="1">
        <f t="array" ref="DH1067">IF($A1067="","",_xlfn.LET(_xlpm.c,IFERROR(_xlfn.XLOOKUP($A1067,TRIM('Sales and count'!$A$4:$A$300&amp;""),TRIM('Sales and count'!$B$4:$B$300&amp;"")),""),IF(OR(_xlpm.c="",_xlpm.c="0",LEFT(_xlpm.c,1)="#"),"Not set",_xlpm.c)))</f>
        <v/>
      </c>
    </row>
    <row r="1068" spans="1:112" x14ac:dyDescent="0.25">
      <c r="A1068" t="str">
        <f>IF('Staff Daily sales'!$B1053="","",TRIM('Staff Daily sales'!$B1053&amp;""))</f>
        <v/>
      </c>
      <c r="B1068" t="str">
        <f>IF('Staff Daily sales'!$D1053="","",TRIM('Staff Daily sales'!$D1053&amp;""))</f>
        <v/>
      </c>
      <c r="C1068" t="str">
        <f>IFERROR(TRIM('Staff Daily sales'!$E1053&amp;""),"")</f>
        <v/>
      </c>
      <c r="D1068" t="str">
        <f>IFERROR(IF(TRIM('Staff Daily sales'!$F1053&amp;"")="","Unassigned",TRIM('Staff Daily sales'!$F1053&amp;"")),"Unassigned")</f>
        <v>Unassigned</v>
      </c>
      <c r="E1068">
        <f t="shared" si="282"/>
        <v>0</v>
      </c>
      <c r="F1068">
        <f>IF($E1068=0,0,SUMPRODUCT($AI$5:$DF$5,'Staff Daily sales'!$G1053:$CD1053))</f>
        <v>0</v>
      </c>
      <c r="G1068">
        <f>IF($E1068=0,0,SUMPRODUCT($AI$6:$DF$6,'Staff Daily sales'!$G1053:$CD1053))</f>
        <v>0</v>
      </c>
      <c r="H1068">
        <f t="shared" si="283"/>
        <v>0</v>
      </c>
      <c r="I1068">
        <f t="shared" si="284"/>
        <v>0</v>
      </c>
      <c r="J1068">
        <f t="shared" si="285"/>
        <v>0</v>
      </c>
      <c r="K1068">
        <f t="shared" si="286"/>
        <v>0</v>
      </c>
      <c r="L1068">
        <f>--AND($E1068=1,OR('Staff Dashboard'!$B$6="All",$DH1068='Staff Dashboard'!$B$6),OR('Staff Dashboard'!$B$7="All",$D1068='Staff Dashboard'!$B$7),OR('Staff Dashboard'!$B$8="All",$A1068='Staff Dashboard'!$B$8))</f>
        <v>0</v>
      </c>
      <c r="M1068">
        <f>IF($E1068=0,0,SUMPRODUCT($AI$7:$DF$7,'Staff Daily sales'!$G1053:$CD1053))</f>
        <v>0</v>
      </c>
      <c r="N1068">
        <f>IF($E1068=0,0,SUMPRODUCT($AI$8:$DF$8,'Staff Daily sales'!$G1053:$CD1053))</f>
        <v>0</v>
      </c>
      <c r="O1068">
        <f>IF($E1068=0,0,SUMPRODUCT($AI$9:$DF$9,'Staff Daily sales'!$G1053:$CD1053))</f>
        <v>0</v>
      </c>
      <c r="P1068">
        <f>IF($E1068=0,0,SUMPRODUCT($AI$10:$DF$10,'Staff Daily sales'!$G1053:$CD1053))</f>
        <v>0</v>
      </c>
      <c r="Q1068">
        <f>IF($E1068=0,0,SUMPRODUCT($AI$11:$DF$11,'Staff Daily sales'!$G1053:$CD1053))</f>
        <v>0</v>
      </c>
      <c r="R1068">
        <f>IF($E1068=0,0,SUMPRODUCT($AI$12:$DF$12,'Staff Daily sales'!$G1053:$CD1053))</f>
        <v>0</v>
      </c>
      <c r="S1068">
        <f>IF($E1068=0,0,SUMPRODUCT($AI$13:$DF$13,'Staff Daily sales'!$G1053:$CD1053))</f>
        <v>0</v>
      </c>
      <c r="T1068">
        <f>IF($E1068=0,0,SUMPRODUCT($AI$14:$DF$14,'Staff Daily sales'!$G1053:$CD1053))</f>
        <v>0</v>
      </c>
      <c r="U1068">
        <f>IF($E1068=0,0,SUMPRODUCT($AI$15:$DF$15,'Staff Daily sales'!$G1053:$CD1053))</f>
        <v>0</v>
      </c>
      <c r="V1068">
        <f>IF($E1068=0,0,SUMPRODUCT($AI$16:$DF$16,'Staff Daily sales'!$G1053:$CD1053))</f>
        <v>0</v>
      </c>
      <c r="W1068">
        <f t="shared" si="287"/>
        <v>0</v>
      </c>
      <c r="X1068">
        <f t="shared" si="288"/>
        <v>0</v>
      </c>
      <c r="Y1068">
        <f t="shared" si="289"/>
        <v>0</v>
      </c>
      <c r="Z1068">
        <f t="shared" si="290"/>
        <v>0</v>
      </c>
      <c r="AA1068">
        <f t="shared" si="291"/>
        <v>0</v>
      </c>
      <c r="AB1068">
        <f>--AND($E1068=1,OR('Staff Weekly Trend'!$B$3="All",$DH1068='Staff Weekly Trend'!$B$3),OR('Staff Weekly Trend'!$B$4="All",$D1068='Staff Weekly Trend'!$B$4),OR('Staff Weekly Trend'!$B$5="All",$A1068='Staff Weekly Trend'!$B$5))</f>
        <v>0</v>
      </c>
      <c r="AC1068" t="str">
        <f t="shared" si="292"/>
        <v/>
      </c>
      <c r="AI1068">
        <f t="shared" si="293"/>
        <v>0</v>
      </c>
      <c r="AJ1068">
        <f t="shared" si="294"/>
        <v>0</v>
      </c>
      <c r="AK1068">
        <f t="shared" si="295"/>
        <v>0</v>
      </c>
      <c r="AL1068">
        <f t="shared" si="296"/>
        <v>0</v>
      </c>
      <c r="AM1068">
        <f t="shared" si="297"/>
        <v>0</v>
      </c>
      <c r="DH1068" t="str" cm="1">
        <f t="array" ref="DH1068">IF($A1068="","",_xlfn.LET(_xlpm.c,IFERROR(_xlfn.XLOOKUP($A1068,TRIM('Sales and count'!$A$4:$A$300&amp;""),TRIM('Sales and count'!$B$4:$B$300&amp;"")),""),IF(OR(_xlpm.c="",_xlpm.c="0",LEFT(_xlpm.c,1)="#"),"Not set",_xlpm.c)))</f>
        <v/>
      </c>
    </row>
    <row r="1069" spans="1:112" x14ac:dyDescent="0.25">
      <c r="A1069" t="str">
        <f>IF('Staff Daily sales'!$B1054="","",TRIM('Staff Daily sales'!$B1054&amp;""))</f>
        <v/>
      </c>
      <c r="B1069" t="str">
        <f>IF('Staff Daily sales'!$D1054="","",TRIM('Staff Daily sales'!$D1054&amp;""))</f>
        <v/>
      </c>
      <c r="C1069" t="str">
        <f>IFERROR(TRIM('Staff Daily sales'!$E1054&amp;""),"")</f>
        <v/>
      </c>
      <c r="D1069" t="str">
        <f>IFERROR(IF(TRIM('Staff Daily sales'!$F1054&amp;"")="","Unassigned",TRIM('Staff Daily sales'!$F1054&amp;"")),"Unassigned")</f>
        <v>Unassigned</v>
      </c>
      <c r="E1069">
        <f t="shared" si="282"/>
        <v>0</v>
      </c>
      <c r="F1069">
        <f>IF($E1069=0,0,SUMPRODUCT($AI$5:$DF$5,'Staff Daily sales'!$G1054:$CD1054))</f>
        <v>0</v>
      </c>
      <c r="G1069">
        <f>IF($E1069=0,0,SUMPRODUCT($AI$6:$DF$6,'Staff Daily sales'!$G1054:$CD1054))</f>
        <v>0</v>
      </c>
      <c r="H1069">
        <f t="shared" si="283"/>
        <v>0</v>
      </c>
      <c r="I1069">
        <f t="shared" si="284"/>
        <v>0</v>
      </c>
      <c r="J1069">
        <f t="shared" si="285"/>
        <v>0</v>
      </c>
      <c r="K1069">
        <f t="shared" si="286"/>
        <v>0</v>
      </c>
      <c r="L1069">
        <f>--AND($E1069=1,OR('Staff Dashboard'!$B$6="All",$DH1069='Staff Dashboard'!$B$6),OR('Staff Dashboard'!$B$7="All",$D1069='Staff Dashboard'!$B$7),OR('Staff Dashboard'!$B$8="All",$A1069='Staff Dashboard'!$B$8))</f>
        <v>0</v>
      </c>
      <c r="M1069">
        <f>IF($E1069=0,0,SUMPRODUCT($AI$7:$DF$7,'Staff Daily sales'!$G1054:$CD1054))</f>
        <v>0</v>
      </c>
      <c r="N1069">
        <f>IF($E1069=0,0,SUMPRODUCT($AI$8:$DF$8,'Staff Daily sales'!$G1054:$CD1054))</f>
        <v>0</v>
      </c>
      <c r="O1069">
        <f>IF($E1069=0,0,SUMPRODUCT($AI$9:$DF$9,'Staff Daily sales'!$G1054:$CD1054))</f>
        <v>0</v>
      </c>
      <c r="P1069">
        <f>IF($E1069=0,0,SUMPRODUCT($AI$10:$DF$10,'Staff Daily sales'!$G1054:$CD1054))</f>
        <v>0</v>
      </c>
      <c r="Q1069">
        <f>IF($E1069=0,0,SUMPRODUCT($AI$11:$DF$11,'Staff Daily sales'!$G1054:$CD1054))</f>
        <v>0</v>
      </c>
      <c r="R1069">
        <f>IF($E1069=0,0,SUMPRODUCT($AI$12:$DF$12,'Staff Daily sales'!$G1054:$CD1054))</f>
        <v>0</v>
      </c>
      <c r="S1069">
        <f>IF($E1069=0,0,SUMPRODUCT($AI$13:$DF$13,'Staff Daily sales'!$G1054:$CD1054))</f>
        <v>0</v>
      </c>
      <c r="T1069">
        <f>IF($E1069=0,0,SUMPRODUCT($AI$14:$DF$14,'Staff Daily sales'!$G1054:$CD1054))</f>
        <v>0</v>
      </c>
      <c r="U1069">
        <f>IF($E1069=0,0,SUMPRODUCT($AI$15:$DF$15,'Staff Daily sales'!$G1054:$CD1054))</f>
        <v>0</v>
      </c>
      <c r="V1069">
        <f>IF($E1069=0,0,SUMPRODUCT($AI$16:$DF$16,'Staff Daily sales'!$G1054:$CD1054))</f>
        <v>0</v>
      </c>
      <c r="W1069">
        <f t="shared" si="287"/>
        <v>0</v>
      </c>
      <c r="X1069">
        <f t="shared" si="288"/>
        <v>0</v>
      </c>
      <c r="Y1069">
        <f t="shared" si="289"/>
        <v>0</v>
      </c>
      <c r="Z1069">
        <f t="shared" si="290"/>
        <v>0</v>
      </c>
      <c r="AA1069">
        <f t="shared" si="291"/>
        <v>0</v>
      </c>
      <c r="AB1069">
        <f>--AND($E1069=1,OR('Staff Weekly Trend'!$B$3="All",$DH1069='Staff Weekly Trend'!$B$3),OR('Staff Weekly Trend'!$B$4="All",$D1069='Staff Weekly Trend'!$B$4),OR('Staff Weekly Trend'!$B$5="All",$A1069='Staff Weekly Trend'!$B$5))</f>
        <v>0</v>
      </c>
      <c r="AC1069" t="str">
        <f t="shared" si="292"/>
        <v/>
      </c>
      <c r="AI1069">
        <f t="shared" si="293"/>
        <v>0</v>
      </c>
      <c r="AJ1069">
        <f t="shared" si="294"/>
        <v>0</v>
      </c>
      <c r="AK1069">
        <f t="shared" si="295"/>
        <v>0</v>
      </c>
      <c r="AL1069">
        <f t="shared" si="296"/>
        <v>0</v>
      </c>
      <c r="AM1069">
        <f t="shared" si="297"/>
        <v>0</v>
      </c>
      <c r="DH1069" t="str" cm="1">
        <f t="array" ref="DH1069">IF($A1069="","",_xlfn.LET(_xlpm.c,IFERROR(_xlfn.XLOOKUP($A1069,TRIM('Sales and count'!$A$4:$A$300&amp;""),TRIM('Sales and count'!$B$4:$B$300&amp;"")),""),IF(OR(_xlpm.c="",_xlpm.c="0",LEFT(_xlpm.c,1)="#"),"Not set",_xlpm.c)))</f>
        <v/>
      </c>
    </row>
    <row r="1070" spans="1:112" x14ac:dyDescent="0.25">
      <c r="A1070" t="str">
        <f>IF('Staff Daily sales'!$B1055="","",TRIM('Staff Daily sales'!$B1055&amp;""))</f>
        <v/>
      </c>
      <c r="B1070" t="str">
        <f>IF('Staff Daily sales'!$D1055="","",TRIM('Staff Daily sales'!$D1055&amp;""))</f>
        <v/>
      </c>
      <c r="C1070" t="str">
        <f>IFERROR(TRIM('Staff Daily sales'!$E1055&amp;""),"")</f>
        <v/>
      </c>
      <c r="D1070" t="str">
        <f>IFERROR(IF(TRIM('Staff Daily sales'!$F1055&amp;"")="","Unassigned",TRIM('Staff Daily sales'!$F1055&amp;"")),"Unassigned")</f>
        <v>Unassigned</v>
      </c>
      <c r="E1070">
        <f t="shared" si="282"/>
        <v>0</v>
      </c>
      <c r="F1070">
        <f>IF($E1070=0,0,SUMPRODUCT($AI$5:$DF$5,'Staff Daily sales'!$G1055:$CD1055))</f>
        <v>0</v>
      </c>
      <c r="G1070">
        <f>IF($E1070=0,0,SUMPRODUCT($AI$6:$DF$6,'Staff Daily sales'!$G1055:$CD1055))</f>
        <v>0</v>
      </c>
      <c r="H1070">
        <f t="shared" si="283"/>
        <v>0</v>
      </c>
      <c r="I1070">
        <f t="shared" si="284"/>
        <v>0</v>
      </c>
      <c r="J1070">
        <f t="shared" si="285"/>
        <v>0</v>
      </c>
      <c r="K1070">
        <f t="shared" si="286"/>
        <v>0</v>
      </c>
      <c r="L1070">
        <f>--AND($E1070=1,OR('Staff Dashboard'!$B$6="All",$DH1070='Staff Dashboard'!$B$6),OR('Staff Dashboard'!$B$7="All",$D1070='Staff Dashboard'!$B$7),OR('Staff Dashboard'!$B$8="All",$A1070='Staff Dashboard'!$B$8))</f>
        <v>0</v>
      </c>
      <c r="M1070">
        <f>IF($E1070=0,0,SUMPRODUCT($AI$7:$DF$7,'Staff Daily sales'!$G1055:$CD1055))</f>
        <v>0</v>
      </c>
      <c r="N1070">
        <f>IF($E1070=0,0,SUMPRODUCT($AI$8:$DF$8,'Staff Daily sales'!$G1055:$CD1055))</f>
        <v>0</v>
      </c>
      <c r="O1070">
        <f>IF($E1070=0,0,SUMPRODUCT($AI$9:$DF$9,'Staff Daily sales'!$G1055:$CD1055))</f>
        <v>0</v>
      </c>
      <c r="P1070">
        <f>IF($E1070=0,0,SUMPRODUCT($AI$10:$DF$10,'Staff Daily sales'!$G1055:$CD1055))</f>
        <v>0</v>
      </c>
      <c r="Q1070">
        <f>IF($E1070=0,0,SUMPRODUCT($AI$11:$DF$11,'Staff Daily sales'!$G1055:$CD1055))</f>
        <v>0</v>
      </c>
      <c r="R1070">
        <f>IF($E1070=0,0,SUMPRODUCT($AI$12:$DF$12,'Staff Daily sales'!$G1055:$CD1055))</f>
        <v>0</v>
      </c>
      <c r="S1070">
        <f>IF($E1070=0,0,SUMPRODUCT($AI$13:$DF$13,'Staff Daily sales'!$G1055:$CD1055))</f>
        <v>0</v>
      </c>
      <c r="T1070">
        <f>IF($E1070=0,0,SUMPRODUCT($AI$14:$DF$14,'Staff Daily sales'!$G1055:$CD1055))</f>
        <v>0</v>
      </c>
      <c r="U1070">
        <f>IF($E1070=0,0,SUMPRODUCT($AI$15:$DF$15,'Staff Daily sales'!$G1055:$CD1055))</f>
        <v>0</v>
      </c>
      <c r="V1070">
        <f>IF($E1070=0,0,SUMPRODUCT($AI$16:$DF$16,'Staff Daily sales'!$G1055:$CD1055))</f>
        <v>0</v>
      </c>
      <c r="W1070">
        <f t="shared" si="287"/>
        <v>0</v>
      </c>
      <c r="X1070">
        <f t="shared" si="288"/>
        <v>0</v>
      </c>
      <c r="Y1070">
        <f t="shared" si="289"/>
        <v>0</v>
      </c>
      <c r="Z1070">
        <f t="shared" si="290"/>
        <v>0</v>
      </c>
      <c r="AA1070">
        <f t="shared" si="291"/>
        <v>0</v>
      </c>
      <c r="AB1070">
        <f>--AND($E1070=1,OR('Staff Weekly Trend'!$B$3="All",$DH1070='Staff Weekly Trend'!$B$3),OR('Staff Weekly Trend'!$B$4="All",$D1070='Staff Weekly Trend'!$B$4),OR('Staff Weekly Trend'!$B$5="All",$A1070='Staff Weekly Trend'!$B$5))</f>
        <v>0</v>
      </c>
      <c r="AC1070" t="str">
        <f t="shared" si="292"/>
        <v/>
      </c>
      <c r="AI1070">
        <f t="shared" si="293"/>
        <v>0</v>
      </c>
      <c r="AJ1070">
        <f t="shared" si="294"/>
        <v>0</v>
      </c>
      <c r="AK1070">
        <f t="shared" si="295"/>
        <v>0</v>
      </c>
      <c r="AL1070">
        <f t="shared" si="296"/>
        <v>0</v>
      </c>
      <c r="AM1070">
        <f t="shared" si="297"/>
        <v>0</v>
      </c>
      <c r="DH1070" t="str" cm="1">
        <f t="array" ref="DH1070">IF($A1070="","",_xlfn.LET(_xlpm.c,IFERROR(_xlfn.XLOOKUP($A1070,TRIM('Sales and count'!$A$4:$A$300&amp;""),TRIM('Sales and count'!$B$4:$B$300&amp;"")),""),IF(OR(_xlpm.c="",_xlpm.c="0",LEFT(_xlpm.c,1)="#"),"Not set",_xlpm.c)))</f>
        <v/>
      </c>
    </row>
    <row r="1071" spans="1:112" x14ac:dyDescent="0.25">
      <c r="A1071" t="str">
        <f>IF('Staff Daily sales'!$B1056="","",TRIM('Staff Daily sales'!$B1056&amp;""))</f>
        <v/>
      </c>
      <c r="B1071" t="str">
        <f>IF('Staff Daily sales'!$D1056="","",TRIM('Staff Daily sales'!$D1056&amp;""))</f>
        <v/>
      </c>
      <c r="C1071" t="str">
        <f>IFERROR(TRIM('Staff Daily sales'!$E1056&amp;""),"")</f>
        <v/>
      </c>
      <c r="D1071" t="str">
        <f>IFERROR(IF(TRIM('Staff Daily sales'!$F1056&amp;"")="","Unassigned",TRIM('Staff Daily sales'!$F1056&amp;"")),"Unassigned")</f>
        <v>Unassigned</v>
      </c>
      <c r="E1071">
        <f t="shared" si="282"/>
        <v>0</v>
      </c>
      <c r="F1071">
        <f>IF($E1071=0,0,SUMPRODUCT($AI$5:$DF$5,'Staff Daily sales'!$G1056:$CD1056))</f>
        <v>0</v>
      </c>
      <c r="G1071">
        <f>IF($E1071=0,0,SUMPRODUCT($AI$6:$DF$6,'Staff Daily sales'!$G1056:$CD1056))</f>
        <v>0</v>
      </c>
      <c r="H1071">
        <f t="shared" si="283"/>
        <v>0</v>
      </c>
      <c r="I1071">
        <f t="shared" si="284"/>
        <v>0</v>
      </c>
      <c r="J1071">
        <f t="shared" si="285"/>
        <v>0</v>
      </c>
      <c r="K1071">
        <f t="shared" si="286"/>
        <v>0</v>
      </c>
      <c r="L1071">
        <f>--AND($E1071=1,OR('Staff Dashboard'!$B$6="All",$DH1071='Staff Dashboard'!$B$6),OR('Staff Dashboard'!$B$7="All",$D1071='Staff Dashboard'!$B$7),OR('Staff Dashboard'!$B$8="All",$A1071='Staff Dashboard'!$B$8))</f>
        <v>0</v>
      </c>
      <c r="M1071">
        <f>IF($E1071=0,0,SUMPRODUCT($AI$7:$DF$7,'Staff Daily sales'!$G1056:$CD1056))</f>
        <v>0</v>
      </c>
      <c r="N1071">
        <f>IF($E1071=0,0,SUMPRODUCT($AI$8:$DF$8,'Staff Daily sales'!$G1056:$CD1056))</f>
        <v>0</v>
      </c>
      <c r="O1071">
        <f>IF($E1071=0,0,SUMPRODUCT($AI$9:$DF$9,'Staff Daily sales'!$G1056:$CD1056))</f>
        <v>0</v>
      </c>
      <c r="P1071">
        <f>IF($E1071=0,0,SUMPRODUCT($AI$10:$DF$10,'Staff Daily sales'!$G1056:$CD1056))</f>
        <v>0</v>
      </c>
      <c r="Q1071">
        <f>IF($E1071=0,0,SUMPRODUCT($AI$11:$DF$11,'Staff Daily sales'!$G1056:$CD1056))</f>
        <v>0</v>
      </c>
      <c r="R1071">
        <f>IF($E1071=0,0,SUMPRODUCT($AI$12:$DF$12,'Staff Daily sales'!$G1056:$CD1056))</f>
        <v>0</v>
      </c>
      <c r="S1071">
        <f>IF($E1071=0,0,SUMPRODUCT($AI$13:$DF$13,'Staff Daily sales'!$G1056:$CD1056))</f>
        <v>0</v>
      </c>
      <c r="T1071">
        <f>IF($E1071=0,0,SUMPRODUCT($AI$14:$DF$14,'Staff Daily sales'!$G1056:$CD1056))</f>
        <v>0</v>
      </c>
      <c r="U1071">
        <f>IF($E1071=0,0,SUMPRODUCT($AI$15:$DF$15,'Staff Daily sales'!$G1056:$CD1056))</f>
        <v>0</v>
      </c>
      <c r="V1071">
        <f>IF($E1071=0,0,SUMPRODUCT($AI$16:$DF$16,'Staff Daily sales'!$G1056:$CD1056))</f>
        <v>0</v>
      </c>
      <c r="W1071">
        <f t="shared" si="287"/>
        <v>0</v>
      </c>
      <c r="X1071">
        <f t="shared" si="288"/>
        <v>0</v>
      </c>
      <c r="Y1071">
        <f t="shared" si="289"/>
        <v>0</v>
      </c>
      <c r="Z1071">
        <f t="shared" si="290"/>
        <v>0</v>
      </c>
      <c r="AA1071">
        <f t="shared" si="291"/>
        <v>0</v>
      </c>
      <c r="AB1071">
        <f>--AND($E1071=1,OR('Staff Weekly Trend'!$B$3="All",$DH1071='Staff Weekly Trend'!$B$3),OR('Staff Weekly Trend'!$B$4="All",$D1071='Staff Weekly Trend'!$B$4),OR('Staff Weekly Trend'!$B$5="All",$A1071='Staff Weekly Trend'!$B$5))</f>
        <v>0</v>
      </c>
      <c r="AC1071" t="str">
        <f t="shared" si="292"/>
        <v/>
      </c>
      <c r="AI1071">
        <f t="shared" si="293"/>
        <v>0</v>
      </c>
      <c r="AJ1071">
        <f t="shared" si="294"/>
        <v>0</v>
      </c>
      <c r="AK1071">
        <f t="shared" si="295"/>
        <v>0</v>
      </c>
      <c r="AL1071">
        <f t="shared" si="296"/>
        <v>0</v>
      </c>
      <c r="AM1071">
        <f t="shared" si="297"/>
        <v>0</v>
      </c>
      <c r="DH1071" t="str" cm="1">
        <f t="array" ref="DH1071">IF($A1071="","",_xlfn.LET(_xlpm.c,IFERROR(_xlfn.XLOOKUP($A1071,TRIM('Sales and count'!$A$4:$A$300&amp;""),TRIM('Sales and count'!$B$4:$B$300&amp;"")),""),IF(OR(_xlpm.c="",_xlpm.c="0",LEFT(_xlpm.c,1)="#"),"Not set",_xlpm.c)))</f>
        <v/>
      </c>
    </row>
    <row r="1072" spans="1:112" x14ac:dyDescent="0.25">
      <c r="A1072" t="str">
        <f>IF('Staff Daily sales'!$B1057="","",TRIM('Staff Daily sales'!$B1057&amp;""))</f>
        <v/>
      </c>
      <c r="B1072" t="str">
        <f>IF('Staff Daily sales'!$D1057="","",TRIM('Staff Daily sales'!$D1057&amp;""))</f>
        <v/>
      </c>
      <c r="C1072" t="str">
        <f>IFERROR(TRIM('Staff Daily sales'!$E1057&amp;""),"")</f>
        <v/>
      </c>
      <c r="D1072" t="str">
        <f>IFERROR(IF(TRIM('Staff Daily sales'!$F1057&amp;"")="","Unassigned",TRIM('Staff Daily sales'!$F1057&amp;"")),"Unassigned")</f>
        <v>Unassigned</v>
      </c>
      <c r="E1072">
        <f t="shared" si="282"/>
        <v>0</v>
      </c>
      <c r="F1072">
        <f>IF($E1072=0,0,SUMPRODUCT($AI$5:$DF$5,'Staff Daily sales'!$G1057:$CD1057))</f>
        <v>0</v>
      </c>
      <c r="G1072">
        <f>IF($E1072=0,0,SUMPRODUCT($AI$6:$DF$6,'Staff Daily sales'!$G1057:$CD1057))</f>
        <v>0</v>
      </c>
      <c r="H1072">
        <f t="shared" si="283"/>
        <v>0</v>
      </c>
      <c r="I1072">
        <f t="shared" si="284"/>
        <v>0</v>
      </c>
      <c r="J1072">
        <f t="shared" si="285"/>
        <v>0</v>
      </c>
      <c r="K1072">
        <f t="shared" si="286"/>
        <v>0</v>
      </c>
      <c r="L1072">
        <f>--AND($E1072=1,OR('Staff Dashboard'!$B$6="All",$DH1072='Staff Dashboard'!$B$6),OR('Staff Dashboard'!$B$7="All",$D1072='Staff Dashboard'!$B$7),OR('Staff Dashboard'!$B$8="All",$A1072='Staff Dashboard'!$B$8))</f>
        <v>0</v>
      </c>
      <c r="M1072">
        <f>IF($E1072=0,0,SUMPRODUCT($AI$7:$DF$7,'Staff Daily sales'!$G1057:$CD1057))</f>
        <v>0</v>
      </c>
      <c r="N1072">
        <f>IF($E1072=0,0,SUMPRODUCT($AI$8:$DF$8,'Staff Daily sales'!$G1057:$CD1057))</f>
        <v>0</v>
      </c>
      <c r="O1072">
        <f>IF($E1072=0,0,SUMPRODUCT($AI$9:$DF$9,'Staff Daily sales'!$G1057:$CD1057))</f>
        <v>0</v>
      </c>
      <c r="P1072">
        <f>IF($E1072=0,0,SUMPRODUCT($AI$10:$DF$10,'Staff Daily sales'!$G1057:$CD1057))</f>
        <v>0</v>
      </c>
      <c r="Q1072">
        <f>IF($E1072=0,0,SUMPRODUCT($AI$11:$DF$11,'Staff Daily sales'!$G1057:$CD1057))</f>
        <v>0</v>
      </c>
      <c r="R1072">
        <f>IF($E1072=0,0,SUMPRODUCT($AI$12:$DF$12,'Staff Daily sales'!$G1057:$CD1057))</f>
        <v>0</v>
      </c>
      <c r="S1072">
        <f>IF($E1072=0,0,SUMPRODUCT($AI$13:$DF$13,'Staff Daily sales'!$G1057:$CD1057))</f>
        <v>0</v>
      </c>
      <c r="T1072">
        <f>IF($E1072=0,0,SUMPRODUCT($AI$14:$DF$14,'Staff Daily sales'!$G1057:$CD1057))</f>
        <v>0</v>
      </c>
      <c r="U1072">
        <f>IF($E1072=0,0,SUMPRODUCT($AI$15:$DF$15,'Staff Daily sales'!$G1057:$CD1057))</f>
        <v>0</v>
      </c>
      <c r="V1072">
        <f>IF($E1072=0,0,SUMPRODUCT($AI$16:$DF$16,'Staff Daily sales'!$G1057:$CD1057))</f>
        <v>0</v>
      </c>
      <c r="W1072">
        <f t="shared" si="287"/>
        <v>0</v>
      </c>
      <c r="X1072">
        <f t="shared" si="288"/>
        <v>0</v>
      </c>
      <c r="Y1072">
        <f t="shared" si="289"/>
        <v>0</v>
      </c>
      <c r="Z1072">
        <f t="shared" si="290"/>
        <v>0</v>
      </c>
      <c r="AA1072">
        <f t="shared" si="291"/>
        <v>0</v>
      </c>
      <c r="AB1072">
        <f>--AND($E1072=1,OR('Staff Weekly Trend'!$B$3="All",$DH1072='Staff Weekly Trend'!$B$3),OR('Staff Weekly Trend'!$B$4="All",$D1072='Staff Weekly Trend'!$B$4),OR('Staff Weekly Trend'!$B$5="All",$A1072='Staff Weekly Trend'!$B$5))</f>
        <v>0</v>
      </c>
      <c r="AC1072" t="str">
        <f t="shared" si="292"/>
        <v/>
      </c>
      <c r="AI1072">
        <f t="shared" si="293"/>
        <v>0</v>
      </c>
      <c r="AJ1072">
        <f t="shared" si="294"/>
        <v>0</v>
      </c>
      <c r="AK1072">
        <f t="shared" si="295"/>
        <v>0</v>
      </c>
      <c r="AL1072">
        <f t="shared" si="296"/>
        <v>0</v>
      </c>
      <c r="AM1072">
        <f t="shared" si="297"/>
        <v>0</v>
      </c>
      <c r="DH1072" t="str" cm="1">
        <f t="array" ref="DH1072">IF($A1072="","",_xlfn.LET(_xlpm.c,IFERROR(_xlfn.XLOOKUP($A1072,TRIM('Sales and count'!$A$4:$A$300&amp;""),TRIM('Sales and count'!$B$4:$B$300&amp;"")),""),IF(OR(_xlpm.c="",_xlpm.c="0",LEFT(_xlpm.c,1)="#"),"Not set",_xlpm.c)))</f>
        <v/>
      </c>
    </row>
    <row r="1073" spans="1:112" x14ac:dyDescent="0.25">
      <c r="A1073" t="str">
        <f>IF('Staff Daily sales'!$B1058="","",TRIM('Staff Daily sales'!$B1058&amp;""))</f>
        <v/>
      </c>
      <c r="B1073" t="str">
        <f>IF('Staff Daily sales'!$D1058="","",TRIM('Staff Daily sales'!$D1058&amp;""))</f>
        <v/>
      </c>
      <c r="C1073" t="str">
        <f>IFERROR(TRIM('Staff Daily sales'!$E1058&amp;""),"")</f>
        <v/>
      </c>
      <c r="D1073" t="str">
        <f>IFERROR(IF(TRIM('Staff Daily sales'!$F1058&amp;"")="","Unassigned",TRIM('Staff Daily sales'!$F1058&amp;"")),"Unassigned")</f>
        <v>Unassigned</v>
      </c>
      <c r="E1073">
        <f t="shared" si="282"/>
        <v>0</v>
      </c>
      <c r="F1073">
        <f>IF($E1073=0,0,SUMPRODUCT($AI$5:$DF$5,'Staff Daily sales'!$G1058:$CD1058))</f>
        <v>0</v>
      </c>
      <c r="G1073">
        <f>IF($E1073=0,0,SUMPRODUCT($AI$6:$DF$6,'Staff Daily sales'!$G1058:$CD1058))</f>
        <v>0</v>
      </c>
      <c r="H1073">
        <f t="shared" si="283"/>
        <v>0</v>
      </c>
      <c r="I1073">
        <f t="shared" si="284"/>
        <v>0</v>
      </c>
      <c r="J1073">
        <f t="shared" si="285"/>
        <v>0</v>
      </c>
      <c r="K1073">
        <f t="shared" si="286"/>
        <v>0</v>
      </c>
      <c r="L1073">
        <f>--AND($E1073=1,OR('Staff Dashboard'!$B$6="All",$DH1073='Staff Dashboard'!$B$6),OR('Staff Dashboard'!$B$7="All",$D1073='Staff Dashboard'!$B$7),OR('Staff Dashboard'!$B$8="All",$A1073='Staff Dashboard'!$B$8))</f>
        <v>0</v>
      </c>
      <c r="M1073">
        <f>IF($E1073=0,0,SUMPRODUCT($AI$7:$DF$7,'Staff Daily sales'!$G1058:$CD1058))</f>
        <v>0</v>
      </c>
      <c r="N1073">
        <f>IF($E1073=0,0,SUMPRODUCT($AI$8:$DF$8,'Staff Daily sales'!$G1058:$CD1058))</f>
        <v>0</v>
      </c>
      <c r="O1073">
        <f>IF($E1073=0,0,SUMPRODUCT($AI$9:$DF$9,'Staff Daily sales'!$G1058:$CD1058))</f>
        <v>0</v>
      </c>
      <c r="P1073">
        <f>IF($E1073=0,0,SUMPRODUCT($AI$10:$DF$10,'Staff Daily sales'!$G1058:$CD1058))</f>
        <v>0</v>
      </c>
      <c r="Q1073">
        <f>IF($E1073=0,0,SUMPRODUCT($AI$11:$DF$11,'Staff Daily sales'!$G1058:$CD1058))</f>
        <v>0</v>
      </c>
      <c r="R1073">
        <f>IF($E1073=0,0,SUMPRODUCT($AI$12:$DF$12,'Staff Daily sales'!$G1058:$CD1058))</f>
        <v>0</v>
      </c>
      <c r="S1073">
        <f>IF($E1073=0,0,SUMPRODUCT($AI$13:$DF$13,'Staff Daily sales'!$G1058:$CD1058))</f>
        <v>0</v>
      </c>
      <c r="T1073">
        <f>IF($E1073=0,0,SUMPRODUCT($AI$14:$DF$14,'Staff Daily sales'!$G1058:$CD1058))</f>
        <v>0</v>
      </c>
      <c r="U1073">
        <f>IF($E1073=0,0,SUMPRODUCT($AI$15:$DF$15,'Staff Daily sales'!$G1058:$CD1058))</f>
        <v>0</v>
      </c>
      <c r="V1073">
        <f>IF($E1073=0,0,SUMPRODUCT($AI$16:$DF$16,'Staff Daily sales'!$G1058:$CD1058))</f>
        <v>0</v>
      </c>
      <c r="W1073">
        <f t="shared" si="287"/>
        <v>0</v>
      </c>
      <c r="X1073">
        <f t="shared" si="288"/>
        <v>0</v>
      </c>
      <c r="Y1073">
        <f t="shared" si="289"/>
        <v>0</v>
      </c>
      <c r="Z1073">
        <f t="shared" si="290"/>
        <v>0</v>
      </c>
      <c r="AA1073">
        <f t="shared" si="291"/>
        <v>0</v>
      </c>
      <c r="AB1073">
        <f>--AND($E1073=1,OR('Staff Weekly Trend'!$B$3="All",$DH1073='Staff Weekly Trend'!$B$3),OR('Staff Weekly Trend'!$B$4="All",$D1073='Staff Weekly Trend'!$B$4),OR('Staff Weekly Trend'!$B$5="All",$A1073='Staff Weekly Trend'!$B$5))</f>
        <v>0</v>
      </c>
      <c r="AC1073" t="str">
        <f t="shared" si="292"/>
        <v/>
      </c>
      <c r="AI1073">
        <f t="shared" si="293"/>
        <v>0</v>
      </c>
      <c r="AJ1073">
        <f t="shared" si="294"/>
        <v>0</v>
      </c>
      <c r="AK1073">
        <f t="shared" si="295"/>
        <v>0</v>
      </c>
      <c r="AL1073">
        <f t="shared" si="296"/>
        <v>0</v>
      </c>
      <c r="AM1073">
        <f t="shared" si="297"/>
        <v>0</v>
      </c>
      <c r="DH1073" t="str" cm="1">
        <f t="array" ref="DH1073">IF($A1073="","",_xlfn.LET(_xlpm.c,IFERROR(_xlfn.XLOOKUP($A1073,TRIM('Sales and count'!$A$4:$A$300&amp;""),TRIM('Sales and count'!$B$4:$B$300&amp;"")),""),IF(OR(_xlpm.c="",_xlpm.c="0",LEFT(_xlpm.c,1)="#"),"Not set",_xlpm.c)))</f>
        <v/>
      </c>
    </row>
    <row r="1074" spans="1:112" x14ac:dyDescent="0.25">
      <c r="A1074" t="str">
        <f>IF('Staff Daily sales'!$B1059="","",TRIM('Staff Daily sales'!$B1059&amp;""))</f>
        <v/>
      </c>
      <c r="B1074" t="str">
        <f>IF('Staff Daily sales'!$D1059="","",TRIM('Staff Daily sales'!$D1059&amp;""))</f>
        <v/>
      </c>
      <c r="C1074" t="str">
        <f>IFERROR(TRIM('Staff Daily sales'!$E1059&amp;""),"")</f>
        <v/>
      </c>
      <c r="D1074" t="str">
        <f>IFERROR(IF(TRIM('Staff Daily sales'!$F1059&amp;"")="","Unassigned",TRIM('Staff Daily sales'!$F1059&amp;"")),"Unassigned")</f>
        <v>Unassigned</v>
      </c>
      <c r="E1074">
        <f t="shared" si="282"/>
        <v>0</v>
      </c>
      <c r="F1074">
        <f>IF($E1074=0,0,SUMPRODUCT($AI$5:$DF$5,'Staff Daily sales'!$G1059:$CD1059))</f>
        <v>0</v>
      </c>
      <c r="G1074">
        <f>IF($E1074=0,0,SUMPRODUCT($AI$6:$DF$6,'Staff Daily sales'!$G1059:$CD1059))</f>
        <v>0</v>
      </c>
      <c r="H1074">
        <f t="shared" si="283"/>
        <v>0</v>
      </c>
      <c r="I1074">
        <f t="shared" si="284"/>
        <v>0</v>
      </c>
      <c r="J1074">
        <f t="shared" si="285"/>
        <v>0</v>
      </c>
      <c r="K1074">
        <f t="shared" si="286"/>
        <v>0</v>
      </c>
      <c r="L1074">
        <f>--AND($E1074=1,OR('Staff Dashboard'!$B$6="All",$DH1074='Staff Dashboard'!$B$6),OR('Staff Dashboard'!$B$7="All",$D1074='Staff Dashboard'!$B$7),OR('Staff Dashboard'!$B$8="All",$A1074='Staff Dashboard'!$B$8))</f>
        <v>0</v>
      </c>
      <c r="M1074">
        <f>IF($E1074=0,0,SUMPRODUCT($AI$7:$DF$7,'Staff Daily sales'!$G1059:$CD1059))</f>
        <v>0</v>
      </c>
      <c r="N1074">
        <f>IF($E1074=0,0,SUMPRODUCT($AI$8:$DF$8,'Staff Daily sales'!$G1059:$CD1059))</f>
        <v>0</v>
      </c>
      <c r="O1074">
        <f>IF($E1074=0,0,SUMPRODUCT($AI$9:$DF$9,'Staff Daily sales'!$G1059:$CD1059))</f>
        <v>0</v>
      </c>
      <c r="P1074">
        <f>IF($E1074=0,0,SUMPRODUCT($AI$10:$DF$10,'Staff Daily sales'!$G1059:$CD1059))</f>
        <v>0</v>
      </c>
      <c r="Q1074">
        <f>IF($E1074=0,0,SUMPRODUCT($AI$11:$DF$11,'Staff Daily sales'!$G1059:$CD1059))</f>
        <v>0</v>
      </c>
      <c r="R1074">
        <f>IF($E1074=0,0,SUMPRODUCT($AI$12:$DF$12,'Staff Daily sales'!$G1059:$CD1059))</f>
        <v>0</v>
      </c>
      <c r="S1074">
        <f>IF($E1074=0,0,SUMPRODUCT($AI$13:$DF$13,'Staff Daily sales'!$G1059:$CD1059))</f>
        <v>0</v>
      </c>
      <c r="T1074">
        <f>IF($E1074=0,0,SUMPRODUCT($AI$14:$DF$14,'Staff Daily sales'!$G1059:$CD1059))</f>
        <v>0</v>
      </c>
      <c r="U1074">
        <f>IF($E1074=0,0,SUMPRODUCT($AI$15:$DF$15,'Staff Daily sales'!$G1059:$CD1059))</f>
        <v>0</v>
      </c>
      <c r="V1074">
        <f>IF($E1074=0,0,SUMPRODUCT($AI$16:$DF$16,'Staff Daily sales'!$G1059:$CD1059))</f>
        <v>0</v>
      </c>
      <c r="W1074">
        <f t="shared" si="287"/>
        <v>0</v>
      </c>
      <c r="X1074">
        <f t="shared" si="288"/>
        <v>0</v>
      </c>
      <c r="Y1074">
        <f t="shared" si="289"/>
        <v>0</v>
      </c>
      <c r="Z1074">
        <f t="shared" si="290"/>
        <v>0</v>
      </c>
      <c r="AA1074">
        <f t="shared" si="291"/>
        <v>0</v>
      </c>
      <c r="AB1074">
        <f>--AND($E1074=1,OR('Staff Weekly Trend'!$B$3="All",$DH1074='Staff Weekly Trend'!$B$3),OR('Staff Weekly Trend'!$B$4="All",$D1074='Staff Weekly Trend'!$B$4),OR('Staff Weekly Trend'!$B$5="All",$A1074='Staff Weekly Trend'!$B$5))</f>
        <v>0</v>
      </c>
      <c r="AC1074" t="str">
        <f t="shared" si="292"/>
        <v/>
      </c>
      <c r="AI1074">
        <f t="shared" si="293"/>
        <v>0</v>
      </c>
      <c r="AJ1074">
        <f t="shared" si="294"/>
        <v>0</v>
      </c>
      <c r="AK1074">
        <f t="shared" si="295"/>
        <v>0</v>
      </c>
      <c r="AL1074">
        <f t="shared" si="296"/>
        <v>0</v>
      </c>
      <c r="AM1074">
        <f t="shared" si="297"/>
        <v>0</v>
      </c>
      <c r="DH1074" t="str" cm="1">
        <f t="array" ref="DH1074">IF($A1074="","",_xlfn.LET(_xlpm.c,IFERROR(_xlfn.XLOOKUP($A1074,TRIM('Sales and count'!$A$4:$A$300&amp;""),TRIM('Sales and count'!$B$4:$B$300&amp;"")),""),IF(OR(_xlpm.c="",_xlpm.c="0",LEFT(_xlpm.c,1)="#"),"Not set",_xlpm.c)))</f>
        <v/>
      </c>
    </row>
    <row r="1075" spans="1:112" x14ac:dyDescent="0.25">
      <c r="A1075" t="str">
        <f>IF('Staff Daily sales'!$B1060="","",TRIM('Staff Daily sales'!$B1060&amp;""))</f>
        <v/>
      </c>
      <c r="B1075" t="str">
        <f>IF('Staff Daily sales'!$D1060="","",TRIM('Staff Daily sales'!$D1060&amp;""))</f>
        <v/>
      </c>
      <c r="C1075" t="str">
        <f>IFERROR(TRIM('Staff Daily sales'!$E1060&amp;""),"")</f>
        <v/>
      </c>
      <c r="D1075" t="str">
        <f>IFERROR(IF(TRIM('Staff Daily sales'!$F1060&amp;"")="","Unassigned",TRIM('Staff Daily sales'!$F1060&amp;"")),"Unassigned")</f>
        <v>Unassigned</v>
      </c>
      <c r="E1075">
        <f t="shared" si="282"/>
        <v>0</v>
      </c>
      <c r="F1075">
        <f>IF($E1075=0,0,SUMPRODUCT($AI$5:$DF$5,'Staff Daily sales'!$G1060:$CD1060))</f>
        <v>0</v>
      </c>
      <c r="G1075">
        <f>IF($E1075=0,0,SUMPRODUCT($AI$6:$DF$6,'Staff Daily sales'!$G1060:$CD1060))</f>
        <v>0</v>
      </c>
      <c r="H1075">
        <f t="shared" si="283"/>
        <v>0</v>
      </c>
      <c r="I1075">
        <f t="shared" si="284"/>
        <v>0</v>
      </c>
      <c r="J1075">
        <f t="shared" si="285"/>
        <v>0</v>
      </c>
      <c r="K1075">
        <f t="shared" si="286"/>
        <v>0</v>
      </c>
      <c r="L1075">
        <f>--AND($E1075=1,OR('Staff Dashboard'!$B$6="All",$DH1075='Staff Dashboard'!$B$6),OR('Staff Dashboard'!$B$7="All",$D1075='Staff Dashboard'!$B$7),OR('Staff Dashboard'!$B$8="All",$A1075='Staff Dashboard'!$B$8))</f>
        <v>0</v>
      </c>
      <c r="M1075">
        <f>IF($E1075=0,0,SUMPRODUCT($AI$7:$DF$7,'Staff Daily sales'!$G1060:$CD1060))</f>
        <v>0</v>
      </c>
      <c r="N1075">
        <f>IF($E1075=0,0,SUMPRODUCT($AI$8:$DF$8,'Staff Daily sales'!$G1060:$CD1060))</f>
        <v>0</v>
      </c>
      <c r="O1075">
        <f>IF($E1075=0,0,SUMPRODUCT($AI$9:$DF$9,'Staff Daily sales'!$G1060:$CD1060))</f>
        <v>0</v>
      </c>
      <c r="P1075">
        <f>IF($E1075=0,0,SUMPRODUCT($AI$10:$DF$10,'Staff Daily sales'!$G1060:$CD1060))</f>
        <v>0</v>
      </c>
      <c r="Q1075">
        <f>IF($E1075=0,0,SUMPRODUCT($AI$11:$DF$11,'Staff Daily sales'!$G1060:$CD1060))</f>
        <v>0</v>
      </c>
      <c r="R1075">
        <f>IF($E1075=0,0,SUMPRODUCT($AI$12:$DF$12,'Staff Daily sales'!$G1060:$CD1060))</f>
        <v>0</v>
      </c>
      <c r="S1075">
        <f>IF($E1075=0,0,SUMPRODUCT($AI$13:$DF$13,'Staff Daily sales'!$G1060:$CD1060))</f>
        <v>0</v>
      </c>
      <c r="T1075">
        <f>IF($E1075=0,0,SUMPRODUCT($AI$14:$DF$14,'Staff Daily sales'!$G1060:$CD1060))</f>
        <v>0</v>
      </c>
      <c r="U1075">
        <f>IF($E1075=0,0,SUMPRODUCT($AI$15:$DF$15,'Staff Daily sales'!$G1060:$CD1060))</f>
        <v>0</v>
      </c>
      <c r="V1075">
        <f>IF($E1075=0,0,SUMPRODUCT($AI$16:$DF$16,'Staff Daily sales'!$G1060:$CD1060))</f>
        <v>0</v>
      </c>
      <c r="W1075">
        <f t="shared" si="287"/>
        <v>0</v>
      </c>
      <c r="X1075">
        <f t="shared" si="288"/>
        <v>0</v>
      </c>
      <c r="Y1075">
        <f t="shared" si="289"/>
        <v>0</v>
      </c>
      <c r="Z1075">
        <f t="shared" si="290"/>
        <v>0</v>
      </c>
      <c r="AA1075">
        <f t="shared" si="291"/>
        <v>0</v>
      </c>
      <c r="AB1075">
        <f>--AND($E1075=1,OR('Staff Weekly Trend'!$B$3="All",$DH1075='Staff Weekly Trend'!$B$3),OR('Staff Weekly Trend'!$B$4="All",$D1075='Staff Weekly Trend'!$B$4),OR('Staff Weekly Trend'!$B$5="All",$A1075='Staff Weekly Trend'!$B$5))</f>
        <v>0</v>
      </c>
      <c r="AC1075" t="str">
        <f t="shared" si="292"/>
        <v/>
      </c>
      <c r="AI1075">
        <f t="shared" si="293"/>
        <v>0</v>
      </c>
      <c r="AJ1075">
        <f t="shared" si="294"/>
        <v>0</v>
      </c>
      <c r="AK1075">
        <f t="shared" si="295"/>
        <v>0</v>
      </c>
      <c r="AL1075">
        <f t="shared" si="296"/>
        <v>0</v>
      </c>
      <c r="AM1075">
        <f t="shared" si="297"/>
        <v>0</v>
      </c>
      <c r="DH1075" t="str" cm="1">
        <f t="array" ref="DH1075">IF($A1075="","",_xlfn.LET(_xlpm.c,IFERROR(_xlfn.XLOOKUP($A1075,TRIM('Sales and count'!$A$4:$A$300&amp;""),TRIM('Sales and count'!$B$4:$B$300&amp;"")),""),IF(OR(_xlpm.c="",_xlpm.c="0",LEFT(_xlpm.c,1)="#"),"Not set",_xlpm.c)))</f>
        <v/>
      </c>
    </row>
    <row r="1076" spans="1:112" x14ac:dyDescent="0.25">
      <c r="A1076" t="str">
        <f>IF('Staff Daily sales'!$B1061="","",TRIM('Staff Daily sales'!$B1061&amp;""))</f>
        <v/>
      </c>
      <c r="B1076" t="str">
        <f>IF('Staff Daily sales'!$D1061="","",TRIM('Staff Daily sales'!$D1061&amp;""))</f>
        <v/>
      </c>
      <c r="C1076" t="str">
        <f>IFERROR(TRIM('Staff Daily sales'!$E1061&amp;""),"")</f>
        <v/>
      </c>
      <c r="D1076" t="str">
        <f>IFERROR(IF(TRIM('Staff Daily sales'!$F1061&amp;"")="","Unassigned",TRIM('Staff Daily sales'!$F1061&amp;"")),"Unassigned")</f>
        <v>Unassigned</v>
      </c>
      <c r="E1076">
        <f t="shared" si="282"/>
        <v>0</v>
      </c>
      <c r="F1076">
        <f>IF($E1076=0,0,SUMPRODUCT($AI$5:$DF$5,'Staff Daily sales'!$G1061:$CD1061))</f>
        <v>0</v>
      </c>
      <c r="G1076">
        <f>IF($E1076=0,0,SUMPRODUCT($AI$6:$DF$6,'Staff Daily sales'!$G1061:$CD1061))</f>
        <v>0</v>
      </c>
      <c r="H1076">
        <f t="shared" si="283"/>
        <v>0</v>
      </c>
      <c r="I1076">
        <f t="shared" si="284"/>
        <v>0</v>
      </c>
      <c r="J1076">
        <f t="shared" si="285"/>
        <v>0</v>
      </c>
      <c r="K1076">
        <f t="shared" si="286"/>
        <v>0</v>
      </c>
      <c r="L1076">
        <f>--AND($E1076=1,OR('Staff Dashboard'!$B$6="All",$DH1076='Staff Dashboard'!$B$6),OR('Staff Dashboard'!$B$7="All",$D1076='Staff Dashboard'!$B$7),OR('Staff Dashboard'!$B$8="All",$A1076='Staff Dashboard'!$B$8))</f>
        <v>0</v>
      </c>
      <c r="M1076">
        <f>IF($E1076=0,0,SUMPRODUCT($AI$7:$DF$7,'Staff Daily sales'!$G1061:$CD1061))</f>
        <v>0</v>
      </c>
      <c r="N1076">
        <f>IF($E1076=0,0,SUMPRODUCT($AI$8:$DF$8,'Staff Daily sales'!$G1061:$CD1061))</f>
        <v>0</v>
      </c>
      <c r="O1076">
        <f>IF($E1076=0,0,SUMPRODUCT($AI$9:$DF$9,'Staff Daily sales'!$G1061:$CD1061))</f>
        <v>0</v>
      </c>
      <c r="P1076">
        <f>IF($E1076=0,0,SUMPRODUCT($AI$10:$DF$10,'Staff Daily sales'!$G1061:$CD1061))</f>
        <v>0</v>
      </c>
      <c r="Q1076">
        <f>IF($E1076=0,0,SUMPRODUCT($AI$11:$DF$11,'Staff Daily sales'!$G1061:$CD1061))</f>
        <v>0</v>
      </c>
      <c r="R1076">
        <f>IF($E1076=0,0,SUMPRODUCT($AI$12:$DF$12,'Staff Daily sales'!$G1061:$CD1061))</f>
        <v>0</v>
      </c>
      <c r="S1076">
        <f>IF($E1076=0,0,SUMPRODUCT($AI$13:$DF$13,'Staff Daily sales'!$G1061:$CD1061))</f>
        <v>0</v>
      </c>
      <c r="T1076">
        <f>IF($E1076=0,0,SUMPRODUCT($AI$14:$DF$14,'Staff Daily sales'!$G1061:$CD1061))</f>
        <v>0</v>
      </c>
      <c r="U1076">
        <f>IF($E1076=0,0,SUMPRODUCT($AI$15:$DF$15,'Staff Daily sales'!$G1061:$CD1061))</f>
        <v>0</v>
      </c>
      <c r="V1076">
        <f>IF($E1076=0,0,SUMPRODUCT($AI$16:$DF$16,'Staff Daily sales'!$G1061:$CD1061))</f>
        <v>0</v>
      </c>
      <c r="W1076">
        <f t="shared" si="287"/>
        <v>0</v>
      </c>
      <c r="X1076">
        <f t="shared" si="288"/>
        <v>0</v>
      </c>
      <c r="Y1076">
        <f t="shared" si="289"/>
        <v>0</v>
      </c>
      <c r="Z1076">
        <f t="shared" si="290"/>
        <v>0</v>
      </c>
      <c r="AA1076">
        <f t="shared" si="291"/>
        <v>0</v>
      </c>
      <c r="AB1076">
        <f>--AND($E1076=1,OR('Staff Weekly Trend'!$B$3="All",$DH1076='Staff Weekly Trend'!$B$3),OR('Staff Weekly Trend'!$B$4="All",$D1076='Staff Weekly Trend'!$B$4),OR('Staff Weekly Trend'!$B$5="All",$A1076='Staff Weekly Trend'!$B$5))</f>
        <v>0</v>
      </c>
      <c r="AC1076" t="str">
        <f t="shared" si="292"/>
        <v/>
      </c>
      <c r="AI1076">
        <f t="shared" si="293"/>
        <v>0</v>
      </c>
      <c r="AJ1076">
        <f t="shared" si="294"/>
        <v>0</v>
      </c>
      <c r="AK1076">
        <f t="shared" si="295"/>
        <v>0</v>
      </c>
      <c r="AL1076">
        <f t="shared" si="296"/>
        <v>0</v>
      </c>
      <c r="AM1076">
        <f t="shared" si="297"/>
        <v>0</v>
      </c>
      <c r="DH1076" t="str" cm="1">
        <f t="array" ref="DH1076">IF($A1076="","",_xlfn.LET(_xlpm.c,IFERROR(_xlfn.XLOOKUP($A1076,TRIM('Sales and count'!$A$4:$A$300&amp;""),TRIM('Sales and count'!$B$4:$B$300&amp;"")),""),IF(OR(_xlpm.c="",_xlpm.c="0",LEFT(_xlpm.c,1)="#"),"Not set",_xlpm.c)))</f>
        <v/>
      </c>
    </row>
    <row r="1077" spans="1:112" x14ac:dyDescent="0.25">
      <c r="A1077" t="str">
        <f>IF('Staff Daily sales'!$B1062="","",TRIM('Staff Daily sales'!$B1062&amp;""))</f>
        <v/>
      </c>
      <c r="B1077" t="str">
        <f>IF('Staff Daily sales'!$D1062="","",TRIM('Staff Daily sales'!$D1062&amp;""))</f>
        <v/>
      </c>
      <c r="C1077" t="str">
        <f>IFERROR(TRIM('Staff Daily sales'!$E1062&amp;""),"")</f>
        <v/>
      </c>
      <c r="D1077" t="str">
        <f>IFERROR(IF(TRIM('Staff Daily sales'!$F1062&amp;"")="","Unassigned",TRIM('Staff Daily sales'!$F1062&amp;"")),"Unassigned")</f>
        <v>Unassigned</v>
      </c>
      <c r="E1077">
        <f t="shared" si="282"/>
        <v>0</v>
      </c>
      <c r="F1077">
        <f>IF($E1077=0,0,SUMPRODUCT($AI$5:$DF$5,'Staff Daily sales'!$G1062:$CD1062))</f>
        <v>0</v>
      </c>
      <c r="G1077">
        <f>IF($E1077=0,0,SUMPRODUCT($AI$6:$DF$6,'Staff Daily sales'!$G1062:$CD1062))</f>
        <v>0</v>
      </c>
      <c r="H1077">
        <f t="shared" si="283"/>
        <v>0</v>
      </c>
      <c r="I1077">
        <f t="shared" si="284"/>
        <v>0</v>
      </c>
      <c r="J1077">
        <f t="shared" si="285"/>
        <v>0</v>
      </c>
      <c r="K1077">
        <f t="shared" si="286"/>
        <v>0</v>
      </c>
      <c r="L1077">
        <f>--AND($E1077=1,OR('Staff Dashboard'!$B$6="All",$DH1077='Staff Dashboard'!$B$6),OR('Staff Dashboard'!$B$7="All",$D1077='Staff Dashboard'!$B$7),OR('Staff Dashboard'!$B$8="All",$A1077='Staff Dashboard'!$B$8))</f>
        <v>0</v>
      </c>
      <c r="M1077">
        <f>IF($E1077=0,0,SUMPRODUCT($AI$7:$DF$7,'Staff Daily sales'!$G1062:$CD1062))</f>
        <v>0</v>
      </c>
      <c r="N1077">
        <f>IF($E1077=0,0,SUMPRODUCT($AI$8:$DF$8,'Staff Daily sales'!$G1062:$CD1062))</f>
        <v>0</v>
      </c>
      <c r="O1077">
        <f>IF($E1077=0,0,SUMPRODUCT($AI$9:$DF$9,'Staff Daily sales'!$G1062:$CD1062))</f>
        <v>0</v>
      </c>
      <c r="P1077">
        <f>IF($E1077=0,0,SUMPRODUCT($AI$10:$DF$10,'Staff Daily sales'!$G1062:$CD1062))</f>
        <v>0</v>
      </c>
      <c r="Q1077">
        <f>IF($E1077=0,0,SUMPRODUCT($AI$11:$DF$11,'Staff Daily sales'!$G1062:$CD1062))</f>
        <v>0</v>
      </c>
      <c r="R1077">
        <f>IF($E1077=0,0,SUMPRODUCT($AI$12:$DF$12,'Staff Daily sales'!$G1062:$CD1062))</f>
        <v>0</v>
      </c>
      <c r="S1077">
        <f>IF($E1077=0,0,SUMPRODUCT($AI$13:$DF$13,'Staff Daily sales'!$G1062:$CD1062))</f>
        <v>0</v>
      </c>
      <c r="T1077">
        <f>IF($E1077=0,0,SUMPRODUCT($AI$14:$DF$14,'Staff Daily sales'!$G1062:$CD1062))</f>
        <v>0</v>
      </c>
      <c r="U1077">
        <f>IF($E1077=0,0,SUMPRODUCT($AI$15:$DF$15,'Staff Daily sales'!$G1062:$CD1062))</f>
        <v>0</v>
      </c>
      <c r="V1077">
        <f>IF($E1077=0,0,SUMPRODUCT($AI$16:$DF$16,'Staff Daily sales'!$G1062:$CD1062))</f>
        <v>0</v>
      </c>
      <c r="W1077">
        <f t="shared" si="287"/>
        <v>0</v>
      </c>
      <c r="X1077">
        <f t="shared" si="288"/>
        <v>0</v>
      </c>
      <c r="Y1077">
        <f t="shared" si="289"/>
        <v>0</v>
      </c>
      <c r="Z1077">
        <f t="shared" si="290"/>
        <v>0</v>
      </c>
      <c r="AA1077">
        <f t="shared" si="291"/>
        <v>0</v>
      </c>
      <c r="AB1077">
        <f>--AND($E1077=1,OR('Staff Weekly Trend'!$B$3="All",$DH1077='Staff Weekly Trend'!$B$3),OR('Staff Weekly Trend'!$B$4="All",$D1077='Staff Weekly Trend'!$B$4),OR('Staff Weekly Trend'!$B$5="All",$A1077='Staff Weekly Trend'!$B$5))</f>
        <v>0</v>
      </c>
      <c r="AC1077" t="str">
        <f t="shared" si="292"/>
        <v/>
      </c>
      <c r="AI1077">
        <f t="shared" si="293"/>
        <v>0</v>
      </c>
      <c r="AJ1077">
        <f t="shared" si="294"/>
        <v>0</v>
      </c>
      <c r="AK1077">
        <f t="shared" si="295"/>
        <v>0</v>
      </c>
      <c r="AL1077">
        <f t="shared" si="296"/>
        <v>0</v>
      </c>
      <c r="AM1077">
        <f t="shared" si="297"/>
        <v>0</v>
      </c>
      <c r="DH1077" t="str" cm="1">
        <f t="array" ref="DH1077">IF($A1077="","",_xlfn.LET(_xlpm.c,IFERROR(_xlfn.XLOOKUP($A1077,TRIM('Sales and count'!$A$4:$A$300&amp;""),TRIM('Sales and count'!$B$4:$B$300&amp;"")),""),IF(OR(_xlpm.c="",_xlpm.c="0",LEFT(_xlpm.c,1)="#"),"Not set",_xlpm.c)))</f>
        <v/>
      </c>
    </row>
    <row r="1078" spans="1:112" x14ac:dyDescent="0.25">
      <c r="A1078" t="str">
        <f>IF('Staff Daily sales'!$B1063="","",TRIM('Staff Daily sales'!$B1063&amp;""))</f>
        <v/>
      </c>
      <c r="B1078" t="str">
        <f>IF('Staff Daily sales'!$D1063="","",TRIM('Staff Daily sales'!$D1063&amp;""))</f>
        <v/>
      </c>
      <c r="C1078" t="str">
        <f>IFERROR(TRIM('Staff Daily sales'!$E1063&amp;""),"")</f>
        <v/>
      </c>
      <c r="D1078" t="str">
        <f>IFERROR(IF(TRIM('Staff Daily sales'!$F1063&amp;"")="","Unassigned",TRIM('Staff Daily sales'!$F1063&amp;"")),"Unassigned")</f>
        <v>Unassigned</v>
      </c>
      <c r="E1078">
        <f t="shared" si="282"/>
        <v>0</v>
      </c>
      <c r="F1078">
        <f>IF($E1078=0,0,SUMPRODUCT($AI$5:$DF$5,'Staff Daily sales'!$G1063:$CD1063))</f>
        <v>0</v>
      </c>
      <c r="G1078">
        <f>IF($E1078=0,0,SUMPRODUCT($AI$6:$DF$6,'Staff Daily sales'!$G1063:$CD1063))</f>
        <v>0</v>
      </c>
      <c r="H1078">
        <f t="shared" si="283"/>
        <v>0</v>
      </c>
      <c r="I1078">
        <f t="shared" si="284"/>
        <v>0</v>
      </c>
      <c r="J1078">
        <f t="shared" si="285"/>
        <v>0</v>
      </c>
      <c r="K1078">
        <f t="shared" si="286"/>
        <v>0</v>
      </c>
      <c r="L1078">
        <f>--AND($E1078=1,OR('Staff Dashboard'!$B$6="All",$DH1078='Staff Dashboard'!$B$6),OR('Staff Dashboard'!$B$7="All",$D1078='Staff Dashboard'!$B$7),OR('Staff Dashboard'!$B$8="All",$A1078='Staff Dashboard'!$B$8))</f>
        <v>0</v>
      </c>
      <c r="M1078">
        <f>IF($E1078=0,0,SUMPRODUCT($AI$7:$DF$7,'Staff Daily sales'!$G1063:$CD1063))</f>
        <v>0</v>
      </c>
      <c r="N1078">
        <f>IF($E1078=0,0,SUMPRODUCT($AI$8:$DF$8,'Staff Daily sales'!$G1063:$CD1063))</f>
        <v>0</v>
      </c>
      <c r="O1078">
        <f>IF($E1078=0,0,SUMPRODUCT($AI$9:$DF$9,'Staff Daily sales'!$G1063:$CD1063))</f>
        <v>0</v>
      </c>
      <c r="P1078">
        <f>IF($E1078=0,0,SUMPRODUCT($AI$10:$DF$10,'Staff Daily sales'!$G1063:$CD1063))</f>
        <v>0</v>
      </c>
      <c r="Q1078">
        <f>IF($E1078=0,0,SUMPRODUCT($AI$11:$DF$11,'Staff Daily sales'!$G1063:$CD1063))</f>
        <v>0</v>
      </c>
      <c r="R1078">
        <f>IF($E1078=0,0,SUMPRODUCT($AI$12:$DF$12,'Staff Daily sales'!$G1063:$CD1063))</f>
        <v>0</v>
      </c>
      <c r="S1078">
        <f>IF($E1078=0,0,SUMPRODUCT($AI$13:$DF$13,'Staff Daily sales'!$G1063:$CD1063))</f>
        <v>0</v>
      </c>
      <c r="T1078">
        <f>IF($E1078=0,0,SUMPRODUCT($AI$14:$DF$14,'Staff Daily sales'!$G1063:$CD1063))</f>
        <v>0</v>
      </c>
      <c r="U1078">
        <f>IF($E1078=0,0,SUMPRODUCT($AI$15:$DF$15,'Staff Daily sales'!$G1063:$CD1063))</f>
        <v>0</v>
      </c>
      <c r="V1078">
        <f>IF($E1078=0,0,SUMPRODUCT($AI$16:$DF$16,'Staff Daily sales'!$G1063:$CD1063))</f>
        <v>0</v>
      </c>
      <c r="W1078">
        <f t="shared" si="287"/>
        <v>0</v>
      </c>
      <c r="X1078">
        <f t="shared" si="288"/>
        <v>0</v>
      </c>
      <c r="Y1078">
        <f t="shared" si="289"/>
        <v>0</v>
      </c>
      <c r="Z1078">
        <f t="shared" si="290"/>
        <v>0</v>
      </c>
      <c r="AA1078">
        <f t="shared" si="291"/>
        <v>0</v>
      </c>
      <c r="AB1078">
        <f>--AND($E1078=1,OR('Staff Weekly Trend'!$B$3="All",$DH1078='Staff Weekly Trend'!$B$3),OR('Staff Weekly Trend'!$B$4="All",$D1078='Staff Weekly Trend'!$B$4),OR('Staff Weekly Trend'!$B$5="All",$A1078='Staff Weekly Trend'!$B$5))</f>
        <v>0</v>
      </c>
      <c r="AC1078" t="str">
        <f t="shared" si="292"/>
        <v/>
      </c>
      <c r="AI1078">
        <f t="shared" si="293"/>
        <v>0</v>
      </c>
      <c r="AJ1078">
        <f t="shared" si="294"/>
        <v>0</v>
      </c>
      <c r="AK1078">
        <f t="shared" si="295"/>
        <v>0</v>
      </c>
      <c r="AL1078">
        <f t="shared" si="296"/>
        <v>0</v>
      </c>
      <c r="AM1078">
        <f t="shared" si="297"/>
        <v>0</v>
      </c>
      <c r="DH1078" t="str" cm="1">
        <f t="array" ref="DH1078">IF($A1078="","",_xlfn.LET(_xlpm.c,IFERROR(_xlfn.XLOOKUP($A1078,TRIM('Sales and count'!$A$4:$A$300&amp;""),TRIM('Sales and count'!$B$4:$B$300&amp;"")),""),IF(OR(_xlpm.c="",_xlpm.c="0",LEFT(_xlpm.c,1)="#"),"Not set",_xlpm.c)))</f>
        <v/>
      </c>
    </row>
    <row r="1079" spans="1:112" x14ac:dyDescent="0.25">
      <c r="A1079" t="str">
        <f>IF('Staff Daily sales'!$B1064="","",TRIM('Staff Daily sales'!$B1064&amp;""))</f>
        <v/>
      </c>
      <c r="B1079" t="str">
        <f>IF('Staff Daily sales'!$D1064="","",TRIM('Staff Daily sales'!$D1064&amp;""))</f>
        <v/>
      </c>
      <c r="C1079" t="str">
        <f>IFERROR(TRIM('Staff Daily sales'!$E1064&amp;""),"")</f>
        <v/>
      </c>
      <c r="D1079" t="str">
        <f>IFERROR(IF(TRIM('Staff Daily sales'!$F1064&amp;"")="","Unassigned",TRIM('Staff Daily sales'!$F1064&amp;"")),"Unassigned")</f>
        <v>Unassigned</v>
      </c>
      <c r="E1079">
        <f t="shared" si="282"/>
        <v>0</v>
      </c>
      <c r="F1079">
        <f>IF($E1079=0,0,SUMPRODUCT($AI$5:$DF$5,'Staff Daily sales'!$G1064:$CD1064))</f>
        <v>0</v>
      </c>
      <c r="G1079">
        <f>IF($E1079=0,0,SUMPRODUCT($AI$6:$DF$6,'Staff Daily sales'!$G1064:$CD1064))</f>
        <v>0</v>
      </c>
      <c r="H1079">
        <f t="shared" si="283"/>
        <v>0</v>
      </c>
      <c r="I1079">
        <f t="shared" si="284"/>
        <v>0</v>
      </c>
      <c r="J1079">
        <f t="shared" si="285"/>
        <v>0</v>
      </c>
      <c r="K1079">
        <f t="shared" si="286"/>
        <v>0</v>
      </c>
      <c r="L1079">
        <f>--AND($E1079=1,OR('Staff Dashboard'!$B$6="All",$DH1079='Staff Dashboard'!$B$6),OR('Staff Dashboard'!$B$7="All",$D1079='Staff Dashboard'!$B$7),OR('Staff Dashboard'!$B$8="All",$A1079='Staff Dashboard'!$B$8))</f>
        <v>0</v>
      </c>
      <c r="M1079">
        <f>IF($E1079=0,0,SUMPRODUCT($AI$7:$DF$7,'Staff Daily sales'!$G1064:$CD1064))</f>
        <v>0</v>
      </c>
      <c r="N1079">
        <f>IF($E1079=0,0,SUMPRODUCT($AI$8:$DF$8,'Staff Daily sales'!$G1064:$CD1064))</f>
        <v>0</v>
      </c>
      <c r="O1079">
        <f>IF($E1079=0,0,SUMPRODUCT($AI$9:$DF$9,'Staff Daily sales'!$G1064:$CD1064))</f>
        <v>0</v>
      </c>
      <c r="P1079">
        <f>IF($E1079=0,0,SUMPRODUCT($AI$10:$DF$10,'Staff Daily sales'!$G1064:$CD1064))</f>
        <v>0</v>
      </c>
      <c r="Q1079">
        <f>IF($E1079=0,0,SUMPRODUCT($AI$11:$DF$11,'Staff Daily sales'!$G1064:$CD1064))</f>
        <v>0</v>
      </c>
      <c r="R1079">
        <f>IF($E1079=0,0,SUMPRODUCT($AI$12:$DF$12,'Staff Daily sales'!$G1064:$CD1064))</f>
        <v>0</v>
      </c>
      <c r="S1079">
        <f>IF($E1079=0,0,SUMPRODUCT($AI$13:$DF$13,'Staff Daily sales'!$G1064:$CD1064))</f>
        <v>0</v>
      </c>
      <c r="T1079">
        <f>IF($E1079=0,0,SUMPRODUCT($AI$14:$DF$14,'Staff Daily sales'!$G1064:$CD1064))</f>
        <v>0</v>
      </c>
      <c r="U1079">
        <f>IF($E1079=0,0,SUMPRODUCT($AI$15:$DF$15,'Staff Daily sales'!$G1064:$CD1064))</f>
        <v>0</v>
      </c>
      <c r="V1079">
        <f>IF($E1079=0,0,SUMPRODUCT($AI$16:$DF$16,'Staff Daily sales'!$G1064:$CD1064))</f>
        <v>0</v>
      </c>
      <c r="W1079">
        <f t="shared" si="287"/>
        <v>0</v>
      </c>
      <c r="X1079">
        <f t="shared" si="288"/>
        <v>0</v>
      </c>
      <c r="Y1079">
        <f t="shared" si="289"/>
        <v>0</v>
      </c>
      <c r="Z1079">
        <f t="shared" si="290"/>
        <v>0</v>
      </c>
      <c r="AA1079">
        <f t="shared" si="291"/>
        <v>0</v>
      </c>
      <c r="AB1079">
        <f>--AND($E1079=1,OR('Staff Weekly Trend'!$B$3="All",$DH1079='Staff Weekly Trend'!$B$3),OR('Staff Weekly Trend'!$B$4="All",$D1079='Staff Weekly Trend'!$B$4),OR('Staff Weekly Trend'!$B$5="All",$A1079='Staff Weekly Trend'!$B$5))</f>
        <v>0</v>
      </c>
      <c r="AC1079" t="str">
        <f t="shared" si="292"/>
        <v/>
      </c>
      <c r="AI1079">
        <f t="shared" si="293"/>
        <v>0</v>
      </c>
      <c r="AJ1079">
        <f t="shared" si="294"/>
        <v>0</v>
      </c>
      <c r="AK1079">
        <f t="shared" si="295"/>
        <v>0</v>
      </c>
      <c r="AL1079">
        <f t="shared" si="296"/>
        <v>0</v>
      </c>
      <c r="AM1079">
        <f t="shared" si="297"/>
        <v>0</v>
      </c>
      <c r="DH1079" t="str" cm="1">
        <f t="array" ref="DH1079">IF($A1079="","",_xlfn.LET(_xlpm.c,IFERROR(_xlfn.XLOOKUP($A1079,TRIM('Sales and count'!$A$4:$A$300&amp;""),TRIM('Sales and count'!$B$4:$B$300&amp;"")),""),IF(OR(_xlpm.c="",_xlpm.c="0",LEFT(_xlpm.c,1)="#"),"Not set",_xlpm.c)))</f>
        <v/>
      </c>
    </row>
    <row r="1080" spans="1:112" x14ac:dyDescent="0.25">
      <c r="A1080" t="str">
        <f>IF('Staff Daily sales'!$B1065="","",TRIM('Staff Daily sales'!$B1065&amp;""))</f>
        <v/>
      </c>
      <c r="B1080" t="str">
        <f>IF('Staff Daily sales'!$D1065="","",TRIM('Staff Daily sales'!$D1065&amp;""))</f>
        <v/>
      </c>
      <c r="C1080" t="str">
        <f>IFERROR(TRIM('Staff Daily sales'!$E1065&amp;""),"")</f>
        <v/>
      </c>
      <c r="D1080" t="str">
        <f>IFERROR(IF(TRIM('Staff Daily sales'!$F1065&amp;"")="","Unassigned",TRIM('Staff Daily sales'!$F1065&amp;"")),"Unassigned")</f>
        <v>Unassigned</v>
      </c>
      <c r="E1080">
        <f t="shared" si="282"/>
        <v>0</v>
      </c>
      <c r="F1080">
        <f>IF($E1080=0,0,SUMPRODUCT($AI$5:$DF$5,'Staff Daily sales'!$G1065:$CD1065))</f>
        <v>0</v>
      </c>
      <c r="G1080">
        <f>IF($E1080=0,0,SUMPRODUCT($AI$6:$DF$6,'Staff Daily sales'!$G1065:$CD1065))</f>
        <v>0</v>
      </c>
      <c r="H1080">
        <f t="shared" si="283"/>
        <v>0</v>
      </c>
      <c r="I1080">
        <f t="shared" si="284"/>
        <v>0</v>
      </c>
      <c r="J1080">
        <f t="shared" si="285"/>
        <v>0</v>
      </c>
      <c r="K1080">
        <f t="shared" si="286"/>
        <v>0</v>
      </c>
      <c r="L1080">
        <f>--AND($E1080=1,OR('Staff Dashboard'!$B$6="All",$DH1080='Staff Dashboard'!$B$6),OR('Staff Dashboard'!$B$7="All",$D1080='Staff Dashboard'!$B$7),OR('Staff Dashboard'!$B$8="All",$A1080='Staff Dashboard'!$B$8))</f>
        <v>0</v>
      </c>
      <c r="M1080">
        <f>IF($E1080=0,0,SUMPRODUCT($AI$7:$DF$7,'Staff Daily sales'!$G1065:$CD1065))</f>
        <v>0</v>
      </c>
      <c r="N1080">
        <f>IF($E1080=0,0,SUMPRODUCT($AI$8:$DF$8,'Staff Daily sales'!$G1065:$CD1065))</f>
        <v>0</v>
      </c>
      <c r="O1080">
        <f>IF($E1080=0,0,SUMPRODUCT($AI$9:$DF$9,'Staff Daily sales'!$G1065:$CD1065))</f>
        <v>0</v>
      </c>
      <c r="P1080">
        <f>IF($E1080=0,0,SUMPRODUCT($AI$10:$DF$10,'Staff Daily sales'!$G1065:$CD1065))</f>
        <v>0</v>
      </c>
      <c r="Q1080">
        <f>IF($E1080=0,0,SUMPRODUCT($AI$11:$DF$11,'Staff Daily sales'!$G1065:$CD1065))</f>
        <v>0</v>
      </c>
      <c r="R1080">
        <f>IF($E1080=0,0,SUMPRODUCT($AI$12:$DF$12,'Staff Daily sales'!$G1065:$CD1065))</f>
        <v>0</v>
      </c>
      <c r="S1080">
        <f>IF($E1080=0,0,SUMPRODUCT($AI$13:$DF$13,'Staff Daily sales'!$G1065:$CD1065))</f>
        <v>0</v>
      </c>
      <c r="T1080">
        <f>IF($E1080=0,0,SUMPRODUCT($AI$14:$DF$14,'Staff Daily sales'!$G1065:$CD1065))</f>
        <v>0</v>
      </c>
      <c r="U1080">
        <f>IF($E1080=0,0,SUMPRODUCT($AI$15:$DF$15,'Staff Daily sales'!$G1065:$CD1065))</f>
        <v>0</v>
      </c>
      <c r="V1080">
        <f>IF($E1080=0,0,SUMPRODUCT($AI$16:$DF$16,'Staff Daily sales'!$G1065:$CD1065))</f>
        <v>0</v>
      </c>
      <c r="W1080">
        <f t="shared" si="287"/>
        <v>0</v>
      </c>
      <c r="X1080">
        <f t="shared" si="288"/>
        <v>0</v>
      </c>
      <c r="Y1080">
        <f t="shared" si="289"/>
        <v>0</v>
      </c>
      <c r="Z1080">
        <f t="shared" si="290"/>
        <v>0</v>
      </c>
      <c r="AA1080">
        <f t="shared" si="291"/>
        <v>0</v>
      </c>
      <c r="AB1080">
        <f>--AND($E1080=1,OR('Staff Weekly Trend'!$B$3="All",$DH1080='Staff Weekly Trend'!$B$3),OR('Staff Weekly Trend'!$B$4="All",$D1080='Staff Weekly Trend'!$B$4),OR('Staff Weekly Trend'!$B$5="All",$A1080='Staff Weekly Trend'!$B$5))</f>
        <v>0</v>
      </c>
      <c r="AC1080" t="str">
        <f t="shared" si="292"/>
        <v/>
      </c>
      <c r="AI1080">
        <f t="shared" si="293"/>
        <v>0</v>
      </c>
      <c r="AJ1080">
        <f t="shared" si="294"/>
        <v>0</v>
      </c>
      <c r="AK1080">
        <f t="shared" si="295"/>
        <v>0</v>
      </c>
      <c r="AL1080">
        <f t="shared" si="296"/>
        <v>0</v>
      </c>
      <c r="AM1080">
        <f t="shared" si="297"/>
        <v>0</v>
      </c>
      <c r="DH1080" t="str" cm="1">
        <f t="array" ref="DH1080">IF($A1080="","",_xlfn.LET(_xlpm.c,IFERROR(_xlfn.XLOOKUP($A1080,TRIM('Sales and count'!$A$4:$A$300&amp;""),TRIM('Sales and count'!$B$4:$B$300&amp;"")),""),IF(OR(_xlpm.c="",_xlpm.c="0",LEFT(_xlpm.c,1)="#"),"Not set",_xlpm.c)))</f>
        <v/>
      </c>
    </row>
    <row r="1081" spans="1:112" x14ac:dyDescent="0.25">
      <c r="A1081" t="str">
        <f>IF('Staff Daily sales'!$B1066="","",TRIM('Staff Daily sales'!$B1066&amp;""))</f>
        <v/>
      </c>
      <c r="B1081" t="str">
        <f>IF('Staff Daily sales'!$D1066="","",TRIM('Staff Daily sales'!$D1066&amp;""))</f>
        <v/>
      </c>
      <c r="C1081" t="str">
        <f>IFERROR(TRIM('Staff Daily sales'!$E1066&amp;""),"")</f>
        <v/>
      </c>
      <c r="D1081" t="str">
        <f>IFERROR(IF(TRIM('Staff Daily sales'!$F1066&amp;"")="","Unassigned",TRIM('Staff Daily sales'!$F1066&amp;"")),"Unassigned")</f>
        <v>Unassigned</v>
      </c>
      <c r="E1081">
        <f t="shared" si="282"/>
        <v>0</v>
      </c>
      <c r="F1081">
        <f>IF($E1081=0,0,SUMPRODUCT($AI$5:$DF$5,'Staff Daily sales'!$G1066:$CD1066))</f>
        <v>0</v>
      </c>
      <c r="G1081">
        <f>IF($E1081=0,0,SUMPRODUCT($AI$6:$DF$6,'Staff Daily sales'!$G1066:$CD1066))</f>
        <v>0</v>
      </c>
      <c r="H1081">
        <f t="shared" si="283"/>
        <v>0</v>
      </c>
      <c r="I1081">
        <f t="shared" si="284"/>
        <v>0</v>
      </c>
      <c r="J1081">
        <f t="shared" si="285"/>
        <v>0</v>
      </c>
      <c r="K1081">
        <f t="shared" si="286"/>
        <v>0</v>
      </c>
      <c r="L1081">
        <f>--AND($E1081=1,OR('Staff Dashboard'!$B$6="All",$DH1081='Staff Dashboard'!$B$6),OR('Staff Dashboard'!$B$7="All",$D1081='Staff Dashboard'!$B$7),OR('Staff Dashboard'!$B$8="All",$A1081='Staff Dashboard'!$B$8))</f>
        <v>0</v>
      </c>
      <c r="M1081">
        <f>IF($E1081=0,0,SUMPRODUCT($AI$7:$DF$7,'Staff Daily sales'!$G1066:$CD1066))</f>
        <v>0</v>
      </c>
      <c r="N1081">
        <f>IF($E1081=0,0,SUMPRODUCT($AI$8:$DF$8,'Staff Daily sales'!$G1066:$CD1066))</f>
        <v>0</v>
      </c>
      <c r="O1081">
        <f>IF($E1081=0,0,SUMPRODUCT($AI$9:$DF$9,'Staff Daily sales'!$G1066:$CD1066))</f>
        <v>0</v>
      </c>
      <c r="P1081">
        <f>IF($E1081=0,0,SUMPRODUCT($AI$10:$DF$10,'Staff Daily sales'!$G1066:$CD1066))</f>
        <v>0</v>
      </c>
      <c r="Q1081">
        <f>IF($E1081=0,0,SUMPRODUCT($AI$11:$DF$11,'Staff Daily sales'!$G1066:$CD1066))</f>
        <v>0</v>
      </c>
      <c r="R1081">
        <f>IF($E1081=0,0,SUMPRODUCT($AI$12:$DF$12,'Staff Daily sales'!$G1066:$CD1066))</f>
        <v>0</v>
      </c>
      <c r="S1081">
        <f>IF($E1081=0,0,SUMPRODUCT($AI$13:$DF$13,'Staff Daily sales'!$G1066:$CD1066))</f>
        <v>0</v>
      </c>
      <c r="T1081">
        <f>IF($E1081=0,0,SUMPRODUCT($AI$14:$DF$14,'Staff Daily sales'!$G1066:$CD1066))</f>
        <v>0</v>
      </c>
      <c r="U1081">
        <f>IF($E1081=0,0,SUMPRODUCT($AI$15:$DF$15,'Staff Daily sales'!$G1066:$CD1066))</f>
        <v>0</v>
      </c>
      <c r="V1081">
        <f>IF($E1081=0,0,SUMPRODUCT($AI$16:$DF$16,'Staff Daily sales'!$G1066:$CD1066))</f>
        <v>0</v>
      </c>
      <c r="W1081">
        <f t="shared" si="287"/>
        <v>0</v>
      </c>
      <c r="X1081">
        <f t="shared" si="288"/>
        <v>0</v>
      </c>
      <c r="Y1081">
        <f t="shared" si="289"/>
        <v>0</v>
      </c>
      <c r="Z1081">
        <f t="shared" si="290"/>
        <v>0</v>
      </c>
      <c r="AA1081">
        <f t="shared" si="291"/>
        <v>0</v>
      </c>
      <c r="AB1081">
        <f>--AND($E1081=1,OR('Staff Weekly Trend'!$B$3="All",$DH1081='Staff Weekly Trend'!$B$3),OR('Staff Weekly Trend'!$B$4="All",$D1081='Staff Weekly Trend'!$B$4),OR('Staff Weekly Trend'!$B$5="All",$A1081='Staff Weekly Trend'!$B$5))</f>
        <v>0</v>
      </c>
      <c r="AC1081" t="str">
        <f t="shared" si="292"/>
        <v/>
      </c>
      <c r="AI1081">
        <f t="shared" si="293"/>
        <v>0</v>
      </c>
      <c r="AJ1081">
        <f t="shared" si="294"/>
        <v>0</v>
      </c>
      <c r="AK1081">
        <f t="shared" si="295"/>
        <v>0</v>
      </c>
      <c r="AL1081">
        <f t="shared" si="296"/>
        <v>0</v>
      </c>
      <c r="AM1081">
        <f t="shared" si="297"/>
        <v>0</v>
      </c>
      <c r="DH1081" t="str" cm="1">
        <f t="array" ref="DH1081">IF($A1081="","",_xlfn.LET(_xlpm.c,IFERROR(_xlfn.XLOOKUP($A1081,TRIM('Sales and count'!$A$4:$A$300&amp;""),TRIM('Sales and count'!$B$4:$B$300&amp;"")),""),IF(OR(_xlpm.c="",_xlpm.c="0",LEFT(_xlpm.c,1)="#"),"Not set",_xlpm.c)))</f>
        <v/>
      </c>
    </row>
    <row r="1082" spans="1:112" x14ac:dyDescent="0.25">
      <c r="A1082" t="str">
        <f>IF('Staff Daily sales'!$B1067="","",TRIM('Staff Daily sales'!$B1067&amp;""))</f>
        <v/>
      </c>
      <c r="B1082" t="str">
        <f>IF('Staff Daily sales'!$D1067="","",TRIM('Staff Daily sales'!$D1067&amp;""))</f>
        <v/>
      </c>
      <c r="C1082" t="str">
        <f>IFERROR(TRIM('Staff Daily sales'!$E1067&amp;""),"")</f>
        <v/>
      </c>
      <c r="D1082" t="str">
        <f>IFERROR(IF(TRIM('Staff Daily sales'!$F1067&amp;"")="","Unassigned",TRIM('Staff Daily sales'!$F1067&amp;"")),"Unassigned")</f>
        <v>Unassigned</v>
      </c>
      <c r="E1082">
        <f t="shared" si="282"/>
        <v>0</v>
      </c>
      <c r="F1082">
        <f>IF($E1082=0,0,SUMPRODUCT($AI$5:$DF$5,'Staff Daily sales'!$G1067:$CD1067))</f>
        <v>0</v>
      </c>
      <c r="G1082">
        <f>IF($E1082=0,0,SUMPRODUCT($AI$6:$DF$6,'Staff Daily sales'!$G1067:$CD1067))</f>
        <v>0</v>
      </c>
      <c r="H1082">
        <f t="shared" si="283"/>
        <v>0</v>
      </c>
      <c r="I1082">
        <f t="shared" si="284"/>
        <v>0</v>
      </c>
      <c r="J1082">
        <f t="shared" si="285"/>
        <v>0</v>
      </c>
      <c r="K1082">
        <f t="shared" si="286"/>
        <v>0</v>
      </c>
      <c r="L1082">
        <f>--AND($E1082=1,OR('Staff Dashboard'!$B$6="All",$DH1082='Staff Dashboard'!$B$6),OR('Staff Dashboard'!$B$7="All",$D1082='Staff Dashboard'!$B$7),OR('Staff Dashboard'!$B$8="All",$A1082='Staff Dashboard'!$B$8))</f>
        <v>0</v>
      </c>
      <c r="M1082">
        <f>IF($E1082=0,0,SUMPRODUCT($AI$7:$DF$7,'Staff Daily sales'!$G1067:$CD1067))</f>
        <v>0</v>
      </c>
      <c r="N1082">
        <f>IF($E1082=0,0,SUMPRODUCT($AI$8:$DF$8,'Staff Daily sales'!$G1067:$CD1067))</f>
        <v>0</v>
      </c>
      <c r="O1082">
        <f>IF($E1082=0,0,SUMPRODUCT($AI$9:$DF$9,'Staff Daily sales'!$G1067:$CD1067))</f>
        <v>0</v>
      </c>
      <c r="P1082">
        <f>IF($E1082=0,0,SUMPRODUCT($AI$10:$DF$10,'Staff Daily sales'!$G1067:$CD1067))</f>
        <v>0</v>
      </c>
      <c r="Q1082">
        <f>IF($E1082=0,0,SUMPRODUCT($AI$11:$DF$11,'Staff Daily sales'!$G1067:$CD1067))</f>
        <v>0</v>
      </c>
      <c r="R1082">
        <f>IF($E1082=0,0,SUMPRODUCT($AI$12:$DF$12,'Staff Daily sales'!$G1067:$CD1067))</f>
        <v>0</v>
      </c>
      <c r="S1082">
        <f>IF($E1082=0,0,SUMPRODUCT($AI$13:$DF$13,'Staff Daily sales'!$G1067:$CD1067))</f>
        <v>0</v>
      </c>
      <c r="T1082">
        <f>IF($E1082=0,0,SUMPRODUCT($AI$14:$DF$14,'Staff Daily sales'!$G1067:$CD1067))</f>
        <v>0</v>
      </c>
      <c r="U1082">
        <f>IF($E1082=0,0,SUMPRODUCT($AI$15:$DF$15,'Staff Daily sales'!$G1067:$CD1067))</f>
        <v>0</v>
      </c>
      <c r="V1082">
        <f>IF($E1082=0,0,SUMPRODUCT($AI$16:$DF$16,'Staff Daily sales'!$G1067:$CD1067))</f>
        <v>0</v>
      </c>
      <c r="W1082">
        <f t="shared" si="287"/>
        <v>0</v>
      </c>
      <c r="X1082">
        <f t="shared" si="288"/>
        <v>0</v>
      </c>
      <c r="Y1082">
        <f t="shared" si="289"/>
        <v>0</v>
      </c>
      <c r="Z1082">
        <f t="shared" si="290"/>
        <v>0</v>
      </c>
      <c r="AA1082">
        <f t="shared" si="291"/>
        <v>0</v>
      </c>
      <c r="AB1082">
        <f>--AND($E1082=1,OR('Staff Weekly Trend'!$B$3="All",$DH1082='Staff Weekly Trend'!$B$3),OR('Staff Weekly Trend'!$B$4="All",$D1082='Staff Weekly Trend'!$B$4),OR('Staff Weekly Trend'!$B$5="All",$A1082='Staff Weekly Trend'!$B$5))</f>
        <v>0</v>
      </c>
      <c r="AC1082" t="str">
        <f t="shared" si="292"/>
        <v/>
      </c>
      <c r="AI1082">
        <f t="shared" si="293"/>
        <v>0</v>
      </c>
      <c r="AJ1082">
        <f t="shared" si="294"/>
        <v>0</v>
      </c>
      <c r="AK1082">
        <f t="shared" si="295"/>
        <v>0</v>
      </c>
      <c r="AL1082">
        <f t="shared" si="296"/>
        <v>0</v>
      </c>
      <c r="AM1082">
        <f t="shared" si="297"/>
        <v>0</v>
      </c>
      <c r="DH1082" t="str" cm="1">
        <f t="array" ref="DH1082">IF($A1082="","",_xlfn.LET(_xlpm.c,IFERROR(_xlfn.XLOOKUP($A1082,TRIM('Sales and count'!$A$4:$A$300&amp;""),TRIM('Sales and count'!$B$4:$B$300&amp;"")),""),IF(OR(_xlpm.c="",_xlpm.c="0",LEFT(_xlpm.c,1)="#"),"Not set",_xlpm.c)))</f>
        <v/>
      </c>
    </row>
    <row r="1083" spans="1:112" x14ac:dyDescent="0.25">
      <c r="A1083" t="str">
        <f>IF('Staff Daily sales'!$B1068="","",TRIM('Staff Daily sales'!$B1068&amp;""))</f>
        <v/>
      </c>
      <c r="B1083" t="str">
        <f>IF('Staff Daily sales'!$D1068="","",TRIM('Staff Daily sales'!$D1068&amp;""))</f>
        <v/>
      </c>
      <c r="C1083" t="str">
        <f>IFERROR(TRIM('Staff Daily sales'!$E1068&amp;""),"")</f>
        <v/>
      </c>
      <c r="D1083" t="str">
        <f>IFERROR(IF(TRIM('Staff Daily sales'!$F1068&amp;"")="","Unassigned",TRIM('Staff Daily sales'!$F1068&amp;"")),"Unassigned")</f>
        <v>Unassigned</v>
      </c>
      <c r="E1083">
        <f t="shared" si="282"/>
        <v>0</v>
      </c>
      <c r="F1083">
        <f>IF($E1083=0,0,SUMPRODUCT($AI$5:$DF$5,'Staff Daily sales'!$G1068:$CD1068))</f>
        <v>0</v>
      </c>
      <c r="G1083">
        <f>IF($E1083=0,0,SUMPRODUCT($AI$6:$DF$6,'Staff Daily sales'!$G1068:$CD1068))</f>
        <v>0</v>
      </c>
      <c r="H1083">
        <f t="shared" si="283"/>
        <v>0</v>
      </c>
      <c r="I1083">
        <f t="shared" si="284"/>
        <v>0</v>
      </c>
      <c r="J1083">
        <f t="shared" si="285"/>
        <v>0</v>
      </c>
      <c r="K1083">
        <f t="shared" si="286"/>
        <v>0</v>
      </c>
      <c r="L1083">
        <f>--AND($E1083=1,OR('Staff Dashboard'!$B$6="All",$DH1083='Staff Dashboard'!$B$6),OR('Staff Dashboard'!$B$7="All",$D1083='Staff Dashboard'!$B$7),OR('Staff Dashboard'!$B$8="All",$A1083='Staff Dashboard'!$B$8))</f>
        <v>0</v>
      </c>
      <c r="M1083">
        <f>IF($E1083=0,0,SUMPRODUCT($AI$7:$DF$7,'Staff Daily sales'!$G1068:$CD1068))</f>
        <v>0</v>
      </c>
      <c r="N1083">
        <f>IF($E1083=0,0,SUMPRODUCT($AI$8:$DF$8,'Staff Daily sales'!$G1068:$CD1068))</f>
        <v>0</v>
      </c>
      <c r="O1083">
        <f>IF($E1083=0,0,SUMPRODUCT($AI$9:$DF$9,'Staff Daily sales'!$G1068:$CD1068))</f>
        <v>0</v>
      </c>
      <c r="P1083">
        <f>IF($E1083=0,0,SUMPRODUCT($AI$10:$DF$10,'Staff Daily sales'!$G1068:$CD1068))</f>
        <v>0</v>
      </c>
      <c r="Q1083">
        <f>IF($E1083=0,0,SUMPRODUCT($AI$11:$DF$11,'Staff Daily sales'!$G1068:$CD1068))</f>
        <v>0</v>
      </c>
      <c r="R1083">
        <f>IF($E1083=0,0,SUMPRODUCT($AI$12:$DF$12,'Staff Daily sales'!$G1068:$CD1068))</f>
        <v>0</v>
      </c>
      <c r="S1083">
        <f>IF($E1083=0,0,SUMPRODUCT($AI$13:$DF$13,'Staff Daily sales'!$G1068:$CD1068))</f>
        <v>0</v>
      </c>
      <c r="T1083">
        <f>IF($E1083=0,0,SUMPRODUCT($AI$14:$DF$14,'Staff Daily sales'!$G1068:$CD1068))</f>
        <v>0</v>
      </c>
      <c r="U1083">
        <f>IF($E1083=0,0,SUMPRODUCT($AI$15:$DF$15,'Staff Daily sales'!$G1068:$CD1068))</f>
        <v>0</v>
      </c>
      <c r="V1083">
        <f>IF($E1083=0,0,SUMPRODUCT($AI$16:$DF$16,'Staff Daily sales'!$G1068:$CD1068))</f>
        <v>0</v>
      </c>
      <c r="W1083">
        <f t="shared" si="287"/>
        <v>0</v>
      </c>
      <c r="X1083">
        <f t="shared" si="288"/>
        <v>0</v>
      </c>
      <c r="Y1083">
        <f t="shared" si="289"/>
        <v>0</v>
      </c>
      <c r="Z1083">
        <f t="shared" si="290"/>
        <v>0</v>
      </c>
      <c r="AA1083">
        <f t="shared" si="291"/>
        <v>0</v>
      </c>
      <c r="AB1083">
        <f>--AND($E1083=1,OR('Staff Weekly Trend'!$B$3="All",$DH1083='Staff Weekly Trend'!$B$3),OR('Staff Weekly Trend'!$B$4="All",$D1083='Staff Weekly Trend'!$B$4),OR('Staff Weekly Trend'!$B$5="All",$A1083='Staff Weekly Trend'!$B$5))</f>
        <v>0</v>
      </c>
      <c r="AC1083" t="str">
        <f t="shared" si="292"/>
        <v/>
      </c>
      <c r="AI1083">
        <f t="shared" si="293"/>
        <v>0</v>
      </c>
      <c r="AJ1083">
        <f t="shared" si="294"/>
        <v>0</v>
      </c>
      <c r="AK1083">
        <f t="shared" si="295"/>
        <v>0</v>
      </c>
      <c r="AL1083">
        <f t="shared" si="296"/>
        <v>0</v>
      </c>
      <c r="AM1083">
        <f t="shared" si="297"/>
        <v>0</v>
      </c>
      <c r="DH1083" t="str" cm="1">
        <f t="array" ref="DH1083">IF($A1083="","",_xlfn.LET(_xlpm.c,IFERROR(_xlfn.XLOOKUP($A1083,TRIM('Sales and count'!$A$4:$A$300&amp;""),TRIM('Sales and count'!$B$4:$B$300&amp;"")),""),IF(OR(_xlpm.c="",_xlpm.c="0",LEFT(_xlpm.c,1)="#"),"Not set",_xlpm.c)))</f>
        <v/>
      </c>
    </row>
    <row r="1084" spans="1:112" x14ac:dyDescent="0.25">
      <c r="A1084" t="str">
        <f>IF('Staff Daily sales'!$B1069="","",TRIM('Staff Daily sales'!$B1069&amp;""))</f>
        <v/>
      </c>
      <c r="B1084" t="str">
        <f>IF('Staff Daily sales'!$D1069="","",TRIM('Staff Daily sales'!$D1069&amp;""))</f>
        <v/>
      </c>
      <c r="C1084" t="str">
        <f>IFERROR(TRIM('Staff Daily sales'!$E1069&amp;""),"")</f>
        <v/>
      </c>
      <c r="D1084" t="str">
        <f>IFERROR(IF(TRIM('Staff Daily sales'!$F1069&amp;"")="","Unassigned",TRIM('Staff Daily sales'!$F1069&amp;"")),"Unassigned")</f>
        <v>Unassigned</v>
      </c>
      <c r="E1084">
        <f t="shared" si="282"/>
        <v>0</v>
      </c>
      <c r="F1084">
        <f>IF($E1084=0,0,SUMPRODUCT($AI$5:$DF$5,'Staff Daily sales'!$G1069:$CD1069))</f>
        <v>0</v>
      </c>
      <c r="G1084">
        <f>IF($E1084=0,0,SUMPRODUCT($AI$6:$DF$6,'Staff Daily sales'!$G1069:$CD1069))</f>
        <v>0</v>
      </c>
      <c r="H1084">
        <f t="shared" si="283"/>
        <v>0</v>
      </c>
      <c r="I1084">
        <f t="shared" si="284"/>
        <v>0</v>
      </c>
      <c r="J1084">
        <f t="shared" si="285"/>
        <v>0</v>
      </c>
      <c r="K1084">
        <f t="shared" si="286"/>
        <v>0</v>
      </c>
      <c r="L1084">
        <f>--AND($E1084=1,OR('Staff Dashboard'!$B$6="All",$DH1084='Staff Dashboard'!$B$6),OR('Staff Dashboard'!$B$7="All",$D1084='Staff Dashboard'!$B$7),OR('Staff Dashboard'!$B$8="All",$A1084='Staff Dashboard'!$B$8))</f>
        <v>0</v>
      </c>
      <c r="M1084">
        <f>IF($E1084=0,0,SUMPRODUCT($AI$7:$DF$7,'Staff Daily sales'!$G1069:$CD1069))</f>
        <v>0</v>
      </c>
      <c r="N1084">
        <f>IF($E1084=0,0,SUMPRODUCT($AI$8:$DF$8,'Staff Daily sales'!$G1069:$CD1069))</f>
        <v>0</v>
      </c>
      <c r="O1084">
        <f>IF($E1084=0,0,SUMPRODUCT($AI$9:$DF$9,'Staff Daily sales'!$G1069:$CD1069))</f>
        <v>0</v>
      </c>
      <c r="P1084">
        <f>IF($E1084=0,0,SUMPRODUCT($AI$10:$DF$10,'Staff Daily sales'!$G1069:$CD1069))</f>
        <v>0</v>
      </c>
      <c r="Q1084">
        <f>IF($E1084=0,0,SUMPRODUCT($AI$11:$DF$11,'Staff Daily sales'!$G1069:$CD1069))</f>
        <v>0</v>
      </c>
      <c r="R1084">
        <f>IF($E1084=0,0,SUMPRODUCT($AI$12:$DF$12,'Staff Daily sales'!$G1069:$CD1069))</f>
        <v>0</v>
      </c>
      <c r="S1084">
        <f>IF($E1084=0,0,SUMPRODUCT($AI$13:$DF$13,'Staff Daily sales'!$G1069:$CD1069))</f>
        <v>0</v>
      </c>
      <c r="T1084">
        <f>IF($E1084=0,0,SUMPRODUCT($AI$14:$DF$14,'Staff Daily sales'!$G1069:$CD1069))</f>
        <v>0</v>
      </c>
      <c r="U1084">
        <f>IF($E1084=0,0,SUMPRODUCT($AI$15:$DF$15,'Staff Daily sales'!$G1069:$CD1069))</f>
        <v>0</v>
      </c>
      <c r="V1084">
        <f>IF($E1084=0,0,SUMPRODUCT($AI$16:$DF$16,'Staff Daily sales'!$G1069:$CD1069))</f>
        <v>0</v>
      </c>
      <c r="W1084">
        <f t="shared" si="287"/>
        <v>0</v>
      </c>
      <c r="X1084">
        <f t="shared" si="288"/>
        <v>0</v>
      </c>
      <c r="Y1084">
        <f t="shared" si="289"/>
        <v>0</v>
      </c>
      <c r="Z1084">
        <f t="shared" si="290"/>
        <v>0</v>
      </c>
      <c r="AA1084">
        <f t="shared" si="291"/>
        <v>0</v>
      </c>
      <c r="AB1084">
        <f>--AND($E1084=1,OR('Staff Weekly Trend'!$B$3="All",$DH1084='Staff Weekly Trend'!$B$3),OR('Staff Weekly Trend'!$B$4="All",$D1084='Staff Weekly Trend'!$B$4),OR('Staff Weekly Trend'!$B$5="All",$A1084='Staff Weekly Trend'!$B$5))</f>
        <v>0</v>
      </c>
      <c r="AC1084" t="str">
        <f t="shared" si="292"/>
        <v/>
      </c>
      <c r="AI1084">
        <f t="shared" si="293"/>
        <v>0</v>
      </c>
      <c r="AJ1084">
        <f t="shared" si="294"/>
        <v>0</v>
      </c>
      <c r="AK1084">
        <f t="shared" si="295"/>
        <v>0</v>
      </c>
      <c r="AL1084">
        <f t="shared" si="296"/>
        <v>0</v>
      </c>
      <c r="AM1084">
        <f t="shared" si="297"/>
        <v>0</v>
      </c>
      <c r="DH1084" t="str" cm="1">
        <f t="array" ref="DH1084">IF($A1084="","",_xlfn.LET(_xlpm.c,IFERROR(_xlfn.XLOOKUP($A1084,TRIM('Sales and count'!$A$4:$A$300&amp;""),TRIM('Sales and count'!$B$4:$B$300&amp;"")),""),IF(OR(_xlpm.c="",_xlpm.c="0",LEFT(_xlpm.c,1)="#"),"Not set",_xlpm.c)))</f>
        <v/>
      </c>
    </row>
    <row r="1085" spans="1:112" x14ac:dyDescent="0.25">
      <c r="A1085" t="str">
        <f>IF('Staff Daily sales'!$B1070="","",TRIM('Staff Daily sales'!$B1070&amp;""))</f>
        <v/>
      </c>
      <c r="B1085" t="str">
        <f>IF('Staff Daily sales'!$D1070="","",TRIM('Staff Daily sales'!$D1070&amp;""))</f>
        <v/>
      </c>
      <c r="C1085" t="str">
        <f>IFERROR(TRIM('Staff Daily sales'!$E1070&amp;""),"")</f>
        <v/>
      </c>
      <c r="D1085" t="str">
        <f>IFERROR(IF(TRIM('Staff Daily sales'!$F1070&amp;"")="","Unassigned",TRIM('Staff Daily sales'!$F1070&amp;"")),"Unassigned")</f>
        <v>Unassigned</v>
      </c>
      <c r="E1085">
        <f t="shared" si="282"/>
        <v>0</v>
      </c>
      <c r="F1085">
        <f>IF($E1085=0,0,SUMPRODUCT($AI$5:$DF$5,'Staff Daily sales'!$G1070:$CD1070))</f>
        <v>0</v>
      </c>
      <c r="G1085">
        <f>IF($E1085=0,0,SUMPRODUCT($AI$6:$DF$6,'Staff Daily sales'!$G1070:$CD1070))</f>
        <v>0</v>
      </c>
      <c r="H1085">
        <f t="shared" si="283"/>
        <v>0</v>
      </c>
      <c r="I1085">
        <f t="shared" si="284"/>
        <v>0</v>
      </c>
      <c r="J1085">
        <f t="shared" si="285"/>
        <v>0</v>
      </c>
      <c r="K1085">
        <f t="shared" si="286"/>
        <v>0</v>
      </c>
      <c r="L1085">
        <f>--AND($E1085=1,OR('Staff Dashboard'!$B$6="All",$DH1085='Staff Dashboard'!$B$6),OR('Staff Dashboard'!$B$7="All",$D1085='Staff Dashboard'!$B$7),OR('Staff Dashboard'!$B$8="All",$A1085='Staff Dashboard'!$B$8))</f>
        <v>0</v>
      </c>
      <c r="M1085">
        <f>IF($E1085=0,0,SUMPRODUCT($AI$7:$DF$7,'Staff Daily sales'!$G1070:$CD1070))</f>
        <v>0</v>
      </c>
      <c r="N1085">
        <f>IF($E1085=0,0,SUMPRODUCT($AI$8:$DF$8,'Staff Daily sales'!$G1070:$CD1070))</f>
        <v>0</v>
      </c>
      <c r="O1085">
        <f>IF($E1085=0,0,SUMPRODUCT($AI$9:$DF$9,'Staff Daily sales'!$G1070:$CD1070))</f>
        <v>0</v>
      </c>
      <c r="P1085">
        <f>IF($E1085=0,0,SUMPRODUCT($AI$10:$DF$10,'Staff Daily sales'!$G1070:$CD1070))</f>
        <v>0</v>
      </c>
      <c r="Q1085">
        <f>IF($E1085=0,0,SUMPRODUCT($AI$11:$DF$11,'Staff Daily sales'!$G1070:$CD1070))</f>
        <v>0</v>
      </c>
      <c r="R1085">
        <f>IF($E1085=0,0,SUMPRODUCT($AI$12:$DF$12,'Staff Daily sales'!$G1070:$CD1070))</f>
        <v>0</v>
      </c>
      <c r="S1085">
        <f>IF($E1085=0,0,SUMPRODUCT($AI$13:$DF$13,'Staff Daily sales'!$G1070:$CD1070))</f>
        <v>0</v>
      </c>
      <c r="T1085">
        <f>IF($E1085=0,0,SUMPRODUCT($AI$14:$DF$14,'Staff Daily sales'!$G1070:$CD1070))</f>
        <v>0</v>
      </c>
      <c r="U1085">
        <f>IF($E1085=0,0,SUMPRODUCT($AI$15:$DF$15,'Staff Daily sales'!$G1070:$CD1070))</f>
        <v>0</v>
      </c>
      <c r="V1085">
        <f>IF($E1085=0,0,SUMPRODUCT($AI$16:$DF$16,'Staff Daily sales'!$G1070:$CD1070))</f>
        <v>0</v>
      </c>
      <c r="W1085">
        <f t="shared" si="287"/>
        <v>0</v>
      </c>
      <c r="X1085">
        <f t="shared" si="288"/>
        <v>0</v>
      </c>
      <c r="Y1085">
        <f t="shared" si="289"/>
        <v>0</v>
      </c>
      <c r="Z1085">
        <f t="shared" si="290"/>
        <v>0</v>
      </c>
      <c r="AA1085">
        <f t="shared" si="291"/>
        <v>0</v>
      </c>
      <c r="AB1085">
        <f>--AND($E1085=1,OR('Staff Weekly Trend'!$B$3="All",$DH1085='Staff Weekly Trend'!$B$3),OR('Staff Weekly Trend'!$B$4="All",$D1085='Staff Weekly Trend'!$B$4),OR('Staff Weekly Trend'!$B$5="All",$A1085='Staff Weekly Trend'!$B$5))</f>
        <v>0</v>
      </c>
      <c r="AC1085" t="str">
        <f t="shared" si="292"/>
        <v/>
      </c>
      <c r="AI1085">
        <f t="shared" si="293"/>
        <v>0</v>
      </c>
      <c r="AJ1085">
        <f t="shared" si="294"/>
        <v>0</v>
      </c>
      <c r="AK1085">
        <f t="shared" si="295"/>
        <v>0</v>
      </c>
      <c r="AL1085">
        <f t="shared" si="296"/>
        <v>0</v>
      </c>
      <c r="AM1085">
        <f t="shared" si="297"/>
        <v>0</v>
      </c>
      <c r="DH1085" t="str" cm="1">
        <f t="array" ref="DH1085">IF($A1085="","",_xlfn.LET(_xlpm.c,IFERROR(_xlfn.XLOOKUP($A1085,TRIM('Sales and count'!$A$4:$A$300&amp;""),TRIM('Sales and count'!$B$4:$B$300&amp;"")),""),IF(OR(_xlpm.c="",_xlpm.c="0",LEFT(_xlpm.c,1)="#"),"Not set",_xlpm.c)))</f>
        <v/>
      </c>
    </row>
    <row r="1086" spans="1:112" x14ac:dyDescent="0.25">
      <c r="A1086" t="str">
        <f>IF('Staff Daily sales'!$B1071="","",TRIM('Staff Daily sales'!$B1071&amp;""))</f>
        <v/>
      </c>
      <c r="B1086" t="str">
        <f>IF('Staff Daily sales'!$D1071="","",TRIM('Staff Daily sales'!$D1071&amp;""))</f>
        <v/>
      </c>
      <c r="C1086" t="str">
        <f>IFERROR(TRIM('Staff Daily sales'!$E1071&amp;""),"")</f>
        <v/>
      </c>
      <c r="D1086" t="str">
        <f>IFERROR(IF(TRIM('Staff Daily sales'!$F1071&amp;"")="","Unassigned",TRIM('Staff Daily sales'!$F1071&amp;"")),"Unassigned")</f>
        <v>Unassigned</v>
      </c>
      <c r="E1086">
        <f t="shared" si="282"/>
        <v>0</v>
      </c>
      <c r="F1086">
        <f>IF($E1086=0,0,SUMPRODUCT($AI$5:$DF$5,'Staff Daily sales'!$G1071:$CD1071))</f>
        <v>0</v>
      </c>
      <c r="G1086">
        <f>IF($E1086=0,0,SUMPRODUCT($AI$6:$DF$6,'Staff Daily sales'!$G1071:$CD1071))</f>
        <v>0</v>
      </c>
      <c r="H1086">
        <f t="shared" si="283"/>
        <v>0</v>
      </c>
      <c r="I1086">
        <f t="shared" si="284"/>
        <v>0</v>
      </c>
      <c r="J1086">
        <f t="shared" si="285"/>
        <v>0</v>
      </c>
      <c r="K1086">
        <f t="shared" si="286"/>
        <v>0</v>
      </c>
      <c r="L1086">
        <f>--AND($E1086=1,OR('Staff Dashboard'!$B$6="All",$DH1086='Staff Dashboard'!$B$6),OR('Staff Dashboard'!$B$7="All",$D1086='Staff Dashboard'!$B$7),OR('Staff Dashboard'!$B$8="All",$A1086='Staff Dashboard'!$B$8))</f>
        <v>0</v>
      </c>
      <c r="M1086">
        <f>IF($E1086=0,0,SUMPRODUCT($AI$7:$DF$7,'Staff Daily sales'!$G1071:$CD1071))</f>
        <v>0</v>
      </c>
      <c r="N1086">
        <f>IF($E1086=0,0,SUMPRODUCT($AI$8:$DF$8,'Staff Daily sales'!$G1071:$CD1071))</f>
        <v>0</v>
      </c>
      <c r="O1086">
        <f>IF($E1086=0,0,SUMPRODUCT($AI$9:$DF$9,'Staff Daily sales'!$G1071:$CD1071))</f>
        <v>0</v>
      </c>
      <c r="P1086">
        <f>IF($E1086=0,0,SUMPRODUCT($AI$10:$DF$10,'Staff Daily sales'!$G1071:$CD1071))</f>
        <v>0</v>
      </c>
      <c r="Q1086">
        <f>IF($E1086=0,0,SUMPRODUCT($AI$11:$DF$11,'Staff Daily sales'!$G1071:$CD1071))</f>
        <v>0</v>
      </c>
      <c r="R1086">
        <f>IF($E1086=0,0,SUMPRODUCT($AI$12:$DF$12,'Staff Daily sales'!$G1071:$CD1071))</f>
        <v>0</v>
      </c>
      <c r="S1086">
        <f>IF($E1086=0,0,SUMPRODUCT($AI$13:$DF$13,'Staff Daily sales'!$G1071:$CD1071))</f>
        <v>0</v>
      </c>
      <c r="T1086">
        <f>IF($E1086=0,0,SUMPRODUCT($AI$14:$DF$14,'Staff Daily sales'!$G1071:$CD1071))</f>
        <v>0</v>
      </c>
      <c r="U1086">
        <f>IF($E1086=0,0,SUMPRODUCT($AI$15:$DF$15,'Staff Daily sales'!$G1071:$CD1071))</f>
        <v>0</v>
      </c>
      <c r="V1086">
        <f>IF($E1086=0,0,SUMPRODUCT($AI$16:$DF$16,'Staff Daily sales'!$G1071:$CD1071))</f>
        <v>0</v>
      </c>
      <c r="W1086">
        <f t="shared" si="287"/>
        <v>0</v>
      </c>
      <c r="X1086">
        <f t="shared" si="288"/>
        <v>0</v>
      </c>
      <c r="Y1086">
        <f t="shared" si="289"/>
        <v>0</v>
      </c>
      <c r="Z1086">
        <f t="shared" si="290"/>
        <v>0</v>
      </c>
      <c r="AA1086">
        <f t="shared" si="291"/>
        <v>0</v>
      </c>
      <c r="AB1086">
        <f>--AND($E1086=1,OR('Staff Weekly Trend'!$B$3="All",$DH1086='Staff Weekly Trend'!$B$3),OR('Staff Weekly Trend'!$B$4="All",$D1086='Staff Weekly Trend'!$B$4),OR('Staff Weekly Trend'!$B$5="All",$A1086='Staff Weekly Trend'!$B$5))</f>
        <v>0</v>
      </c>
      <c r="AC1086" t="str">
        <f t="shared" si="292"/>
        <v/>
      </c>
      <c r="AI1086">
        <f t="shared" si="293"/>
        <v>0</v>
      </c>
      <c r="AJ1086">
        <f t="shared" si="294"/>
        <v>0</v>
      </c>
      <c r="AK1086">
        <f t="shared" si="295"/>
        <v>0</v>
      </c>
      <c r="AL1086">
        <f t="shared" si="296"/>
        <v>0</v>
      </c>
      <c r="AM1086">
        <f t="shared" si="297"/>
        <v>0</v>
      </c>
      <c r="DH1086" t="str" cm="1">
        <f t="array" ref="DH1086">IF($A1086="","",_xlfn.LET(_xlpm.c,IFERROR(_xlfn.XLOOKUP($A1086,TRIM('Sales and count'!$A$4:$A$300&amp;""),TRIM('Sales and count'!$B$4:$B$300&amp;"")),""),IF(OR(_xlpm.c="",_xlpm.c="0",LEFT(_xlpm.c,1)="#"),"Not set",_xlpm.c)))</f>
        <v/>
      </c>
    </row>
    <row r="1087" spans="1:112" x14ac:dyDescent="0.25">
      <c r="A1087" t="str">
        <f>IF('Staff Daily sales'!$B1072="","",TRIM('Staff Daily sales'!$B1072&amp;""))</f>
        <v/>
      </c>
      <c r="B1087" t="str">
        <f>IF('Staff Daily sales'!$D1072="","",TRIM('Staff Daily sales'!$D1072&amp;""))</f>
        <v/>
      </c>
      <c r="C1087" t="str">
        <f>IFERROR(TRIM('Staff Daily sales'!$E1072&amp;""),"")</f>
        <v/>
      </c>
      <c r="D1087" t="str">
        <f>IFERROR(IF(TRIM('Staff Daily sales'!$F1072&amp;"")="","Unassigned",TRIM('Staff Daily sales'!$F1072&amp;"")),"Unassigned")</f>
        <v>Unassigned</v>
      </c>
      <c r="E1087">
        <f t="shared" si="282"/>
        <v>0</v>
      </c>
      <c r="F1087">
        <f>IF($E1087=0,0,SUMPRODUCT($AI$5:$DF$5,'Staff Daily sales'!$G1072:$CD1072))</f>
        <v>0</v>
      </c>
      <c r="G1087">
        <f>IF($E1087=0,0,SUMPRODUCT($AI$6:$DF$6,'Staff Daily sales'!$G1072:$CD1072))</f>
        <v>0</v>
      </c>
      <c r="H1087">
        <f t="shared" si="283"/>
        <v>0</v>
      </c>
      <c r="I1087">
        <f t="shared" si="284"/>
        <v>0</v>
      </c>
      <c r="J1087">
        <f t="shared" si="285"/>
        <v>0</v>
      </c>
      <c r="K1087">
        <f t="shared" si="286"/>
        <v>0</v>
      </c>
      <c r="L1087">
        <f>--AND($E1087=1,OR('Staff Dashboard'!$B$6="All",$DH1087='Staff Dashboard'!$B$6),OR('Staff Dashboard'!$B$7="All",$D1087='Staff Dashboard'!$B$7),OR('Staff Dashboard'!$B$8="All",$A1087='Staff Dashboard'!$B$8))</f>
        <v>0</v>
      </c>
      <c r="M1087">
        <f>IF($E1087=0,0,SUMPRODUCT($AI$7:$DF$7,'Staff Daily sales'!$G1072:$CD1072))</f>
        <v>0</v>
      </c>
      <c r="N1087">
        <f>IF($E1087=0,0,SUMPRODUCT($AI$8:$DF$8,'Staff Daily sales'!$G1072:$CD1072))</f>
        <v>0</v>
      </c>
      <c r="O1087">
        <f>IF($E1087=0,0,SUMPRODUCT($AI$9:$DF$9,'Staff Daily sales'!$G1072:$CD1072))</f>
        <v>0</v>
      </c>
      <c r="P1087">
        <f>IF($E1087=0,0,SUMPRODUCT($AI$10:$DF$10,'Staff Daily sales'!$G1072:$CD1072))</f>
        <v>0</v>
      </c>
      <c r="Q1087">
        <f>IF($E1087=0,0,SUMPRODUCT($AI$11:$DF$11,'Staff Daily sales'!$G1072:$CD1072))</f>
        <v>0</v>
      </c>
      <c r="R1087">
        <f>IF($E1087=0,0,SUMPRODUCT($AI$12:$DF$12,'Staff Daily sales'!$G1072:$CD1072))</f>
        <v>0</v>
      </c>
      <c r="S1087">
        <f>IF($E1087=0,0,SUMPRODUCT($AI$13:$DF$13,'Staff Daily sales'!$G1072:$CD1072))</f>
        <v>0</v>
      </c>
      <c r="T1087">
        <f>IF($E1087=0,0,SUMPRODUCT($AI$14:$DF$14,'Staff Daily sales'!$G1072:$CD1072))</f>
        <v>0</v>
      </c>
      <c r="U1087">
        <f>IF($E1087=0,0,SUMPRODUCT($AI$15:$DF$15,'Staff Daily sales'!$G1072:$CD1072))</f>
        <v>0</v>
      </c>
      <c r="V1087">
        <f>IF($E1087=0,0,SUMPRODUCT($AI$16:$DF$16,'Staff Daily sales'!$G1072:$CD1072))</f>
        <v>0</v>
      </c>
      <c r="W1087">
        <f t="shared" si="287"/>
        <v>0</v>
      </c>
      <c r="X1087">
        <f t="shared" si="288"/>
        <v>0</v>
      </c>
      <c r="Y1087">
        <f t="shared" si="289"/>
        <v>0</v>
      </c>
      <c r="Z1087">
        <f t="shared" si="290"/>
        <v>0</v>
      </c>
      <c r="AA1087">
        <f t="shared" si="291"/>
        <v>0</v>
      </c>
      <c r="AB1087">
        <f>--AND($E1087=1,OR('Staff Weekly Trend'!$B$3="All",$DH1087='Staff Weekly Trend'!$B$3),OR('Staff Weekly Trend'!$B$4="All",$D1087='Staff Weekly Trend'!$B$4),OR('Staff Weekly Trend'!$B$5="All",$A1087='Staff Weekly Trend'!$B$5))</f>
        <v>0</v>
      </c>
      <c r="AC1087" t="str">
        <f t="shared" si="292"/>
        <v/>
      </c>
      <c r="AI1087">
        <f t="shared" si="293"/>
        <v>0</v>
      </c>
      <c r="AJ1087">
        <f t="shared" si="294"/>
        <v>0</v>
      </c>
      <c r="AK1087">
        <f t="shared" si="295"/>
        <v>0</v>
      </c>
      <c r="AL1087">
        <f t="shared" si="296"/>
        <v>0</v>
      </c>
      <c r="AM1087">
        <f t="shared" si="297"/>
        <v>0</v>
      </c>
      <c r="DH1087" t="str" cm="1">
        <f t="array" ref="DH1087">IF($A1087="","",_xlfn.LET(_xlpm.c,IFERROR(_xlfn.XLOOKUP($A1087,TRIM('Sales and count'!$A$4:$A$300&amp;""),TRIM('Sales and count'!$B$4:$B$300&amp;"")),""),IF(OR(_xlpm.c="",_xlpm.c="0",LEFT(_xlpm.c,1)="#"),"Not set",_xlpm.c)))</f>
        <v/>
      </c>
    </row>
    <row r="1088" spans="1:112" x14ac:dyDescent="0.25">
      <c r="A1088" t="str">
        <f>IF('Staff Daily sales'!$B1073="","",TRIM('Staff Daily sales'!$B1073&amp;""))</f>
        <v/>
      </c>
      <c r="B1088" t="str">
        <f>IF('Staff Daily sales'!$D1073="","",TRIM('Staff Daily sales'!$D1073&amp;""))</f>
        <v/>
      </c>
      <c r="C1088" t="str">
        <f>IFERROR(TRIM('Staff Daily sales'!$E1073&amp;""),"")</f>
        <v/>
      </c>
      <c r="D1088" t="str">
        <f>IFERROR(IF(TRIM('Staff Daily sales'!$F1073&amp;"")="","Unassigned",TRIM('Staff Daily sales'!$F1073&amp;"")),"Unassigned")</f>
        <v>Unassigned</v>
      </c>
      <c r="E1088">
        <f t="shared" si="282"/>
        <v>0</v>
      </c>
      <c r="F1088">
        <f>IF($E1088=0,0,SUMPRODUCT($AI$5:$DF$5,'Staff Daily sales'!$G1073:$CD1073))</f>
        <v>0</v>
      </c>
      <c r="G1088">
        <f>IF($E1088=0,0,SUMPRODUCT($AI$6:$DF$6,'Staff Daily sales'!$G1073:$CD1073))</f>
        <v>0</v>
      </c>
      <c r="H1088">
        <f t="shared" si="283"/>
        <v>0</v>
      </c>
      <c r="I1088">
        <f t="shared" si="284"/>
        <v>0</v>
      </c>
      <c r="J1088">
        <f t="shared" si="285"/>
        <v>0</v>
      </c>
      <c r="K1088">
        <f t="shared" si="286"/>
        <v>0</v>
      </c>
      <c r="L1088">
        <f>--AND($E1088=1,OR('Staff Dashboard'!$B$6="All",$DH1088='Staff Dashboard'!$B$6),OR('Staff Dashboard'!$B$7="All",$D1088='Staff Dashboard'!$B$7),OR('Staff Dashboard'!$B$8="All",$A1088='Staff Dashboard'!$B$8))</f>
        <v>0</v>
      </c>
      <c r="M1088">
        <f>IF($E1088=0,0,SUMPRODUCT($AI$7:$DF$7,'Staff Daily sales'!$G1073:$CD1073))</f>
        <v>0</v>
      </c>
      <c r="N1088">
        <f>IF($E1088=0,0,SUMPRODUCT($AI$8:$DF$8,'Staff Daily sales'!$G1073:$CD1073))</f>
        <v>0</v>
      </c>
      <c r="O1088">
        <f>IF($E1088=0,0,SUMPRODUCT($AI$9:$DF$9,'Staff Daily sales'!$G1073:$CD1073))</f>
        <v>0</v>
      </c>
      <c r="P1088">
        <f>IF($E1088=0,0,SUMPRODUCT($AI$10:$DF$10,'Staff Daily sales'!$G1073:$CD1073))</f>
        <v>0</v>
      </c>
      <c r="Q1088">
        <f>IF($E1088=0,0,SUMPRODUCT($AI$11:$DF$11,'Staff Daily sales'!$G1073:$CD1073))</f>
        <v>0</v>
      </c>
      <c r="R1088">
        <f>IF($E1088=0,0,SUMPRODUCT($AI$12:$DF$12,'Staff Daily sales'!$G1073:$CD1073))</f>
        <v>0</v>
      </c>
      <c r="S1088">
        <f>IF($E1088=0,0,SUMPRODUCT($AI$13:$DF$13,'Staff Daily sales'!$G1073:$CD1073))</f>
        <v>0</v>
      </c>
      <c r="T1088">
        <f>IF($E1088=0,0,SUMPRODUCT($AI$14:$DF$14,'Staff Daily sales'!$G1073:$CD1073))</f>
        <v>0</v>
      </c>
      <c r="U1088">
        <f>IF($E1088=0,0,SUMPRODUCT($AI$15:$DF$15,'Staff Daily sales'!$G1073:$CD1073))</f>
        <v>0</v>
      </c>
      <c r="V1088">
        <f>IF($E1088=0,0,SUMPRODUCT($AI$16:$DF$16,'Staff Daily sales'!$G1073:$CD1073))</f>
        <v>0</v>
      </c>
      <c r="W1088">
        <f t="shared" si="287"/>
        <v>0</v>
      </c>
      <c r="X1088">
        <f t="shared" si="288"/>
        <v>0</v>
      </c>
      <c r="Y1088">
        <f t="shared" si="289"/>
        <v>0</v>
      </c>
      <c r="Z1088">
        <f t="shared" si="290"/>
        <v>0</v>
      </c>
      <c r="AA1088">
        <f t="shared" si="291"/>
        <v>0</v>
      </c>
      <c r="AB1088">
        <f>--AND($E1088=1,OR('Staff Weekly Trend'!$B$3="All",$DH1088='Staff Weekly Trend'!$B$3),OR('Staff Weekly Trend'!$B$4="All",$D1088='Staff Weekly Trend'!$B$4),OR('Staff Weekly Trend'!$B$5="All",$A1088='Staff Weekly Trend'!$B$5))</f>
        <v>0</v>
      </c>
      <c r="AC1088" t="str">
        <f t="shared" si="292"/>
        <v/>
      </c>
      <c r="AI1088">
        <f t="shared" si="293"/>
        <v>0</v>
      </c>
      <c r="AJ1088">
        <f t="shared" si="294"/>
        <v>0</v>
      </c>
      <c r="AK1088">
        <f t="shared" si="295"/>
        <v>0</v>
      </c>
      <c r="AL1088">
        <f t="shared" si="296"/>
        <v>0</v>
      </c>
      <c r="AM1088">
        <f t="shared" si="297"/>
        <v>0</v>
      </c>
      <c r="DH1088" t="str" cm="1">
        <f t="array" ref="DH1088">IF($A1088="","",_xlfn.LET(_xlpm.c,IFERROR(_xlfn.XLOOKUP($A1088,TRIM('Sales and count'!$A$4:$A$300&amp;""),TRIM('Sales and count'!$B$4:$B$300&amp;"")),""),IF(OR(_xlpm.c="",_xlpm.c="0",LEFT(_xlpm.c,1)="#"),"Not set",_xlpm.c)))</f>
        <v/>
      </c>
    </row>
    <row r="1089" spans="1:112" x14ac:dyDescent="0.25">
      <c r="A1089" t="str">
        <f>IF('Staff Daily sales'!$B1074="","",TRIM('Staff Daily sales'!$B1074&amp;""))</f>
        <v/>
      </c>
      <c r="B1089" t="str">
        <f>IF('Staff Daily sales'!$D1074="","",TRIM('Staff Daily sales'!$D1074&amp;""))</f>
        <v/>
      </c>
      <c r="C1089" t="str">
        <f>IFERROR(TRIM('Staff Daily sales'!$E1074&amp;""),"")</f>
        <v/>
      </c>
      <c r="D1089" t="str">
        <f>IFERROR(IF(TRIM('Staff Daily sales'!$F1074&amp;"")="","Unassigned",TRIM('Staff Daily sales'!$F1074&amp;"")),"Unassigned")</f>
        <v>Unassigned</v>
      </c>
      <c r="E1089">
        <f t="shared" si="282"/>
        <v>0</v>
      </c>
      <c r="F1089">
        <f>IF($E1089=0,0,SUMPRODUCT($AI$5:$DF$5,'Staff Daily sales'!$G1074:$CD1074))</f>
        <v>0</v>
      </c>
      <c r="G1089">
        <f>IF($E1089=0,0,SUMPRODUCT($AI$6:$DF$6,'Staff Daily sales'!$G1074:$CD1074))</f>
        <v>0</v>
      </c>
      <c r="H1089">
        <f t="shared" si="283"/>
        <v>0</v>
      </c>
      <c r="I1089">
        <f t="shared" si="284"/>
        <v>0</v>
      </c>
      <c r="J1089">
        <f t="shared" si="285"/>
        <v>0</v>
      </c>
      <c r="K1089">
        <f t="shared" si="286"/>
        <v>0</v>
      </c>
      <c r="L1089">
        <f>--AND($E1089=1,OR('Staff Dashboard'!$B$6="All",$DH1089='Staff Dashboard'!$B$6),OR('Staff Dashboard'!$B$7="All",$D1089='Staff Dashboard'!$B$7),OR('Staff Dashboard'!$B$8="All",$A1089='Staff Dashboard'!$B$8))</f>
        <v>0</v>
      </c>
      <c r="M1089">
        <f>IF($E1089=0,0,SUMPRODUCT($AI$7:$DF$7,'Staff Daily sales'!$G1074:$CD1074))</f>
        <v>0</v>
      </c>
      <c r="N1089">
        <f>IF($E1089=0,0,SUMPRODUCT($AI$8:$DF$8,'Staff Daily sales'!$G1074:$CD1074))</f>
        <v>0</v>
      </c>
      <c r="O1089">
        <f>IF($E1089=0,0,SUMPRODUCT($AI$9:$DF$9,'Staff Daily sales'!$G1074:$CD1074))</f>
        <v>0</v>
      </c>
      <c r="P1089">
        <f>IF($E1089=0,0,SUMPRODUCT($AI$10:$DF$10,'Staff Daily sales'!$G1074:$CD1074))</f>
        <v>0</v>
      </c>
      <c r="Q1089">
        <f>IF($E1089=0,0,SUMPRODUCT($AI$11:$DF$11,'Staff Daily sales'!$G1074:$CD1074))</f>
        <v>0</v>
      </c>
      <c r="R1089">
        <f>IF($E1089=0,0,SUMPRODUCT($AI$12:$DF$12,'Staff Daily sales'!$G1074:$CD1074))</f>
        <v>0</v>
      </c>
      <c r="S1089">
        <f>IF($E1089=0,0,SUMPRODUCT($AI$13:$DF$13,'Staff Daily sales'!$G1074:$CD1074))</f>
        <v>0</v>
      </c>
      <c r="T1089">
        <f>IF($E1089=0,0,SUMPRODUCT($AI$14:$DF$14,'Staff Daily sales'!$G1074:$CD1074))</f>
        <v>0</v>
      </c>
      <c r="U1089">
        <f>IF($E1089=0,0,SUMPRODUCT($AI$15:$DF$15,'Staff Daily sales'!$G1074:$CD1074))</f>
        <v>0</v>
      </c>
      <c r="V1089">
        <f>IF($E1089=0,0,SUMPRODUCT($AI$16:$DF$16,'Staff Daily sales'!$G1074:$CD1074))</f>
        <v>0</v>
      </c>
      <c r="W1089">
        <f t="shared" si="287"/>
        <v>0</v>
      </c>
      <c r="X1089">
        <f t="shared" si="288"/>
        <v>0</v>
      </c>
      <c r="Y1089">
        <f t="shared" si="289"/>
        <v>0</v>
      </c>
      <c r="Z1089">
        <f t="shared" si="290"/>
        <v>0</v>
      </c>
      <c r="AA1089">
        <f t="shared" si="291"/>
        <v>0</v>
      </c>
      <c r="AB1089">
        <f>--AND($E1089=1,OR('Staff Weekly Trend'!$B$3="All",$DH1089='Staff Weekly Trend'!$B$3),OR('Staff Weekly Trend'!$B$4="All",$D1089='Staff Weekly Trend'!$B$4),OR('Staff Weekly Trend'!$B$5="All",$A1089='Staff Weekly Trend'!$B$5))</f>
        <v>0</v>
      </c>
      <c r="AC1089" t="str">
        <f t="shared" si="292"/>
        <v/>
      </c>
      <c r="AI1089">
        <f t="shared" si="293"/>
        <v>0</v>
      </c>
      <c r="AJ1089">
        <f t="shared" si="294"/>
        <v>0</v>
      </c>
      <c r="AK1089">
        <f t="shared" si="295"/>
        <v>0</v>
      </c>
      <c r="AL1089">
        <f t="shared" si="296"/>
        <v>0</v>
      </c>
      <c r="AM1089">
        <f t="shared" si="297"/>
        <v>0</v>
      </c>
      <c r="DH1089" t="str" cm="1">
        <f t="array" ref="DH1089">IF($A1089="","",_xlfn.LET(_xlpm.c,IFERROR(_xlfn.XLOOKUP($A1089,TRIM('Sales and count'!$A$4:$A$300&amp;""),TRIM('Sales and count'!$B$4:$B$300&amp;"")),""),IF(OR(_xlpm.c="",_xlpm.c="0",LEFT(_xlpm.c,1)="#"),"Not set",_xlpm.c)))</f>
        <v/>
      </c>
    </row>
    <row r="1090" spans="1:112" x14ac:dyDescent="0.25">
      <c r="A1090" t="str">
        <f>IF('Staff Daily sales'!$B1075="","",TRIM('Staff Daily sales'!$B1075&amp;""))</f>
        <v/>
      </c>
      <c r="B1090" t="str">
        <f>IF('Staff Daily sales'!$D1075="","",TRIM('Staff Daily sales'!$D1075&amp;""))</f>
        <v/>
      </c>
      <c r="C1090" t="str">
        <f>IFERROR(TRIM('Staff Daily sales'!$E1075&amp;""),"")</f>
        <v/>
      </c>
      <c r="D1090" t="str">
        <f>IFERROR(IF(TRIM('Staff Daily sales'!$F1075&amp;"")="","Unassigned",TRIM('Staff Daily sales'!$F1075&amp;"")),"Unassigned")</f>
        <v>Unassigned</v>
      </c>
      <c r="E1090">
        <f t="shared" si="282"/>
        <v>0</v>
      </c>
      <c r="F1090">
        <f>IF($E1090=0,0,SUMPRODUCT($AI$5:$DF$5,'Staff Daily sales'!$G1075:$CD1075))</f>
        <v>0</v>
      </c>
      <c r="G1090">
        <f>IF($E1090=0,0,SUMPRODUCT($AI$6:$DF$6,'Staff Daily sales'!$G1075:$CD1075))</f>
        <v>0</v>
      </c>
      <c r="H1090">
        <f t="shared" si="283"/>
        <v>0</v>
      </c>
      <c r="I1090">
        <f t="shared" si="284"/>
        <v>0</v>
      </c>
      <c r="J1090">
        <f t="shared" si="285"/>
        <v>0</v>
      </c>
      <c r="K1090">
        <f t="shared" si="286"/>
        <v>0</v>
      </c>
      <c r="L1090">
        <f>--AND($E1090=1,OR('Staff Dashboard'!$B$6="All",$DH1090='Staff Dashboard'!$B$6),OR('Staff Dashboard'!$B$7="All",$D1090='Staff Dashboard'!$B$7),OR('Staff Dashboard'!$B$8="All",$A1090='Staff Dashboard'!$B$8))</f>
        <v>0</v>
      </c>
      <c r="M1090">
        <f>IF($E1090=0,0,SUMPRODUCT($AI$7:$DF$7,'Staff Daily sales'!$G1075:$CD1075))</f>
        <v>0</v>
      </c>
      <c r="N1090">
        <f>IF($E1090=0,0,SUMPRODUCT($AI$8:$DF$8,'Staff Daily sales'!$G1075:$CD1075))</f>
        <v>0</v>
      </c>
      <c r="O1090">
        <f>IF($E1090=0,0,SUMPRODUCT($AI$9:$DF$9,'Staff Daily sales'!$G1075:$CD1075))</f>
        <v>0</v>
      </c>
      <c r="P1090">
        <f>IF($E1090=0,0,SUMPRODUCT($AI$10:$DF$10,'Staff Daily sales'!$G1075:$CD1075))</f>
        <v>0</v>
      </c>
      <c r="Q1090">
        <f>IF($E1090=0,0,SUMPRODUCT($AI$11:$DF$11,'Staff Daily sales'!$G1075:$CD1075))</f>
        <v>0</v>
      </c>
      <c r="R1090">
        <f>IF($E1090=0,0,SUMPRODUCT($AI$12:$DF$12,'Staff Daily sales'!$G1075:$CD1075))</f>
        <v>0</v>
      </c>
      <c r="S1090">
        <f>IF($E1090=0,0,SUMPRODUCT($AI$13:$DF$13,'Staff Daily sales'!$G1075:$CD1075))</f>
        <v>0</v>
      </c>
      <c r="T1090">
        <f>IF($E1090=0,0,SUMPRODUCT($AI$14:$DF$14,'Staff Daily sales'!$G1075:$CD1075))</f>
        <v>0</v>
      </c>
      <c r="U1090">
        <f>IF($E1090=0,0,SUMPRODUCT($AI$15:$DF$15,'Staff Daily sales'!$G1075:$CD1075))</f>
        <v>0</v>
      </c>
      <c r="V1090">
        <f>IF($E1090=0,0,SUMPRODUCT($AI$16:$DF$16,'Staff Daily sales'!$G1075:$CD1075))</f>
        <v>0</v>
      </c>
      <c r="W1090">
        <f t="shared" si="287"/>
        <v>0</v>
      </c>
      <c r="X1090">
        <f t="shared" si="288"/>
        <v>0</v>
      </c>
      <c r="Y1090">
        <f t="shared" si="289"/>
        <v>0</v>
      </c>
      <c r="Z1090">
        <f t="shared" si="290"/>
        <v>0</v>
      </c>
      <c r="AA1090">
        <f t="shared" si="291"/>
        <v>0</v>
      </c>
      <c r="AB1090">
        <f>--AND($E1090=1,OR('Staff Weekly Trend'!$B$3="All",$DH1090='Staff Weekly Trend'!$B$3),OR('Staff Weekly Trend'!$B$4="All",$D1090='Staff Weekly Trend'!$B$4),OR('Staff Weekly Trend'!$B$5="All",$A1090='Staff Weekly Trend'!$B$5))</f>
        <v>0</v>
      </c>
      <c r="AC1090" t="str">
        <f t="shared" si="292"/>
        <v/>
      </c>
      <c r="AI1090">
        <f t="shared" si="293"/>
        <v>0</v>
      </c>
      <c r="AJ1090">
        <f t="shared" si="294"/>
        <v>0</v>
      </c>
      <c r="AK1090">
        <f t="shared" si="295"/>
        <v>0</v>
      </c>
      <c r="AL1090">
        <f t="shared" si="296"/>
        <v>0</v>
      </c>
      <c r="AM1090">
        <f t="shared" si="297"/>
        <v>0</v>
      </c>
      <c r="DH1090" t="str" cm="1">
        <f t="array" ref="DH1090">IF($A1090="","",_xlfn.LET(_xlpm.c,IFERROR(_xlfn.XLOOKUP($A1090,TRIM('Sales and count'!$A$4:$A$300&amp;""),TRIM('Sales and count'!$B$4:$B$300&amp;"")),""),IF(OR(_xlpm.c="",_xlpm.c="0",LEFT(_xlpm.c,1)="#"),"Not set",_xlpm.c)))</f>
        <v/>
      </c>
    </row>
    <row r="1091" spans="1:112" x14ac:dyDescent="0.25">
      <c r="A1091" t="str">
        <f>IF('Staff Daily sales'!$B1076="","",TRIM('Staff Daily sales'!$B1076&amp;""))</f>
        <v/>
      </c>
      <c r="B1091" t="str">
        <f>IF('Staff Daily sales'!$D1076="","",TRIM('Staff Daily sales'!$D1076&amp;""))</f>
        <v/>
      </c>
      <c r="C1091" t="str">
        <f>IFERROR(TRIM('Staff Daily sales'!$E1076&amp;""),"")</f>
        <v/>
      </c>
      <c r="D1091" t="str">
        <f>IFERROR(IF(TRIM('Staff Daily sales'!$F1076&amp;"")="","Unassigned",TRIM('Staff Daily sales'!$F1076&amp;"")),"Unassigned")</f>
        <v>Unassigned</v>
      </c>
      <c r="E1091">
        <f t="shared" si="282"/>
        <v>0</v>
      </c>
      <c r="F1091">
        <f>IF($E1091=0,0,SUMPRODUCT($AI$5:$DF$5,'Staff Daily sales'!$G1076:$CD1076))</f>
        <v>0</v>
      </c>
      <c r="G1091">
        <f>IF($E1091=0,0,SUMPRODUCT($AI$6:$DF$6,'Staff Daily sales'!$G1076:$CD1076))</f>
        <v>0</v>
      </c>
      <c r="H1091">
        <f t="shared" si="283"/>
        <v>0</v>
      </c>
      <c r="I1091">
        <f t="shared" si="284"/>
        <v>0</v>
      </c>
      <c r="J1091">
        <f t="shared" si="285"/>
        <v>0</v>
      </c>
      <c r="K1091">
        <f t="shared" si="286"/>
        <v>0</v>
      </c>
      <c r="L1091">
        <f>--AND($E1091=1,OR('Staff Dashboard'!$B$6="All",$DH1091='Staff Dashboard'!$B$6),OR('Staff Dashboard'!$B$7="All",$D1091='Staff Dashboard'!$B$7),OR('Staff Dashboard'!$B$8="All",$A1091='Staff Dashboard'!$B$8))</f>
        <v>0</v>
      </c>
      <c r="M1091">
        <f>IF($E1091=0,0,SUMPRODUCT($AI$7:$DF$7,'Staff Daily sales'!$G1076:$CD1076))</f>
        <v>0</v>
      </c>
      <c r="N1091">
        <f>IF($E1091=0,0,SUMPRODUCT($AI$8:$DF$8,'Staff Daily sales'!$G1076:$CD1076))</f>
        <v>0</v>
      </c>
      <c r="O1091">
        <f>IF($E1091=0,0,SUMPRODUCT($AI$9:$DF$9,'Staff Daily sales'!$G1076:$CD1076))</f>
        <v>0</v>
      </c>
      <c r="P1091">
        <f>IF($E1091=0,0,SUMPRODUCT($AI$10:$DF$10,'Staff Daily sales'!$G1076:$CD1076))</f>
        <v>0</v>
      </c>
      <c r="Q1091">
        <f>IF($E1091=0,0,SUMPRODUCT($AI$11:$DF$11,'Staff Daily sales'!$G1076:$CD1076))</f>
        <v>0</v>
      </c>
      <c r="R1091">
        <f>IF($E1091=0,0,SUMPRODUCT($AI$12:$DF$12,'Staff Daily sales'!$G1076:$CD1076))</f>
        <v>0</v>
      </c>
      <c r="S1091">
        <f>IF($E1091=0,0,SUMPRODUCT($AI$13:$DF$13,'Staff Daily sales'!$G1076:$CD1076))</f>
        <v>0</v>
      </c>
      <c r="T1091">
        <f>IF($E1091=0,0,SUMPRODUCT($AI$14:$DF$14,'Staff Daily sales'!$G1076:$CD1076))</f>
        <v>0</v>
      </c>
      <c r="U1091">
        <f>IF($E1091=0,0,SUMPRODUCT($AI$15:$DF$15,'Staff Daily sales'!$G1076:$CD1076))</f>
        <v>0</v>
      </c>
      <c r="V1091">
        <f>IF($E1091=0,0,SUMPRODUCT($AI$16:$DF$16,'Staff Daily sales'!$G1076:$CD1076))</f>
        <v>0</v>
      </c>
      <c r="W1091">
        <f t="shared" si="287"/>
        <v>0</v>
      </c>
      <c r="X1091">
        <f t="shared" si="288"/>
        <v>0</v>
      </c>
      <c r="Y1091">
        <f t="shared" si="289"/>
        <v>0</v>
      </c>
      <c r="Z1091">
        <f t="shared" si="290"/>
        <v>0</v>
      </c>
      <c r="AA1091">
        <f t="shared" si="291"/>
        <v>0</v>
      </c>
      <c r="AB1091">
        <f>--AND($E1091=1,OR('Staff Weekly Trend'!$B$3="All",$DH1091='Staff Weekly Trend'!$B$3),OR('Staff Weekly Trend'!$B$4="All",$D1091='Staff Weekly Trend'!$B$4),OR('Staff Weekly Trend'!$B$5="All",$A1091='Staff Weekly Trend'!$B$5))</f>
        <v>0</v>
      </c>
      <c r="AC1091" t="str">
        <f t="shared" si="292"/>
        <v/>
      </c>
      <c r="AI1091">
        <f t="shared" si="293"/>
        <v>0</v>
      </c>
      <c r="AJ1091">
        <f t="shared" si="294"/>
        <v>0</v>
      </c>
      <c r="AK1091">
        <f t="shared" si="295"/>
        <v>0</v>
      </c>
      <c r="AL1091">
        <f t="shared" si="296"/>
        <v>0</v>
      </c>
      <c r="AM1091">
        <f t="shared" si="297"/>
        <v>0</v>
      </c>
      <c r="DH1091" t="str" cm="1">
        <f t="array" ref="DH1091">IF($A1091="","",_xlfn.LET(_xlpm.c,IFERROR(_xlfn.XLOOKUP($A1091,TRIM('Sales and count'!$A$4:$A$300&amp;""),TRIM('Sales and count'!$B$4:$B$300&amp;"")),""),IF(OR(_xlpm.c="",_xlpm.c="0",LEFT(_xlpm.c,1)="#"),"Not set",_xlpm.c)))</f>
        <v/>
      </c>
    </row>
    <row r="1092" spans="1:112" x14ac:dyDescent="0.25">
      <c r="A1092" t="str">
        <f>IF('Staff Daily sales'!$B1077="","",TRIM('Staff Daily sales'!$B1077&amp;""))</f>
        <v/>
      </c>
      <c r="B1092" t="str">
        <f>IF('Staff Daily sales'!$D1077="","",TRIM('Staff Daily sales'!$D1077&amp;""))</f>
        <v/>
      </c>
      <c r="C1092" t="str">
        <f>IFERROR(TRIM('Staff Daily sales'!$E1077&amp;""),"")</f>
        <v/>
      </c>
      <c r="D1092" t="str">
        <f>IFERROR(IF(TRIM('Staff Daily sales'!$F1077&amp;"")="","Unassigned",TRIM('Staff Daily sales'!$F1077&amp;"")),"Unassigned")</f>
        <v>Unassigned</v>
      </c>
      <c r="E1092">
        <f t="shared" si="282"/>
        <v>0</v>
      </c>
      <c r="F1092">
        <f>IF($E1092=0,0,SUMPRODUCT($AI$5:$DF$5,'Staff Daily sales'!$G1077:$CD1077))</f>
        <v>0</v>
      </c>
      <c r="G1092">
        <f>IF($E1092=0,0,SUMPRODUCT($AI$6:$DF$6,'Staff Daily sales'!$G1077:$CD1077))</f>
        <v>0</v>
      </c>
      <c r="H1092">
        <f t="shared" si="283"/>
        <v>0</v>
      </c>
      <c r="I1092">
        <f t="shared" si="284"/>
        <v>0</v>
      </c>
      <c r="J1092">
        <f t="shared" si="285"/>
        <v>0</v>
      </c>
      <c r="K1092">
        <f t="shared" si="286"/>
        <v>0</v>
      </c>
      <c r="L1092">
        <f>--AND($E1092=1,OR('Staff Dashboard'!$B$6="All",$DH1092='Staff Dashboard'!$B$6),OR('Staff Dashboard'!$B$7="All",$D1092='Staff Dashboard'!$B$7),OR('Staff Dashboard'!$B$8="All",$A1092='Staff Dashboard'!$B$8))</f>
        <v>0</v>
      </c>
      <c r="M1092">
        <f>IF($E1092=0,0,SUMPRODUCT($AI$7:$DF$7,'Staff Daily sales'!$G1077:$CD1077))</f>
        <v>0</v>
      </c>
      <c r="N1092">
        <f>IF($E1092=0,0,SUMPRODUCT($AI$8:$DF$8,'Staff Daily sales'!$G1077:$CD1077))</f>
        <v>0</v>
      </c>
      <c r="O1092">
        <f>IF($E1092=0,0,SUMPRODUCT($AI$9:$DF$9,'Staff Daily sales'!$G1077:$CD1077))</f>
        <v>0</v>
      </c>
      <c r="P1092">
        <f>IF($E1092=0,0,SUMPRODUCT($AI$10:$DF$10,'Staff Daily sales'!$G1077:$CD1077))</f>
        <v>0</v>
      </c>
      <c r="Q1092">
        <f>IF($E1092=0,0,SUMPRODUCT($AI$11:$DF$11,'Staff Daily sales'!$G1077:$CD1077))</f>
        <v>0</v>
      </c>
      <c r="R1092">
        <f>IF($E1092=0,0,SUMPRODUCT($AI$12:$DF$12,'Staff Daily sales'!$G1077:$CD1077))</f>
        <v>0</v>
      </c>
      <c r="S1092">
        <f>IF($E1092=0,0,SUMPRODUCT($AI$13:$DF$13,'Staff Daily sales'!$G1077:$CD1077))</f>
        <v>0</v>
      </c>
      <c r="T1092">
        <f>IF($E1092=0,0,SUMPRODUCT($AI$14:$DF$14,'Staff Daily sales'!$G1077:$CD1077))</f>
        <v>0</v>
      </c>
      <c r="U1092">
        <f>IF($E1092=0,0,SUMPRODUCT($AI$15:$DF$15,'Staff Daily sales'!$G1077:$CD1077))</f>
        <v>0</v>
      </c>
      <c r="V1092">
        <f>IF($E1092=0,0,SUMPRODUCT($AI$16:$DF$16,'Staff Daily sales'!$G1077:$CD1077))</f>
        <v>0</v>
      </c>
      <c r="W1092">
        <f t="shared" si="287"/>
        <v>0</v>
      </c>
      <c r="X1092">
        <f t="shared" si="288"/>
        <v>0</v>
      </c>
      <c r="Y1092">
        <f t="shared" si="289"/>
        <v>0</v>
      </c>
      <c r="Z1092">
        <f t="shared" si="290"/>
        <v>0</v>
      </c>
      <c r="AA1092">
        <f t="shared" si="291"/>
        <v>0</v>
      </c>
      <c r="AB1092">
        <f>--AND($E1092=1,OR('Staff Weekly Trend'!$B$3="All",$DH1092='Staff Weekly Trend'!$B$3),OR('Staff Weekly Trend'!$B$4="All",$D1092='Staff Weekly Trend'!$B$4),OR('Staff Weekly Trend'!$B$5="All",$A1092='Staff Weekly Trend'!$B$5))</f>
        <v>0</v>
      </c>
      <c r="AC1092" t="str">
        <f t="shared" si="292"/>
        <v/>
      </c>
      <c r="AI1092">
        <f t="shared" si="293"/>
        <v>0</v>
      </c>
      <c r="AJ1092">
        <f t="shared" si="294"/>
        <v>0</v>
      </c>
      <c r="AK1092">
        <f t="shared" si="295"/>
        <v>0</v>
      </c>
      <c r="AL1092">
        <f t="shared" si="296"/>
        <v>0</v>
      </c>
      <c r="AM1092">
        <f t="shared" si="297"/>
        <v>0</v>
      </c>
      <c r="DH1092" t="str" cm="1">
        <f t="array" ref="DH1092">IF($A1092="","",_xlfn.LET(_xlpm.c,IFERROR(_xlfn.XLOOKUP($A1092,TRIM('Sales and count'!$A$4:$A$300&amp;""),TRIM('Sales and count'!$B$4:$B$300&amp;"")),""),IF(OR(_xlpm.c="",_xlpm.c="0",LEFT(_xlpm.c,1)="#"),"Not set",_xlpm.c)))</f>
        <v/>
      </c>
    </row>
    <row r="1093" spans="1:112" x14ac:dyDescent="0.25">
      <c r="A1093" t="str">
        <f>IF('Staff Daily sales'!$B1078="","",TRIM('Staff Daily sales'!$B1078&amp;""))</f>
        <v/>
      </c>
      <c r="B1093" t="str">
        <f>IF('Staff Daily sales'!$D1078="","",TRIM('Staff Daily sales'!$D1078&amp;""))</f>
        <v/>
      </c>
      <c r="C1093" t="str">
        <f>IFERROR(TRIM('Staff Daily sales'!$E1078&amp;""),"")</f>
        <v/>
      </c>
      <c r="D1093" t="str">
        <f>IFERROR(IF(TRIM('Staff Daily sales'!$F1078&amp;"")="","Unassigned",TRIM('Staff Daily sales'!$F1078&amp;"")),"Unassigned")</f>
        <v>Unassigned</v>
      </c>
      <c r="E1093">
        <f t="shared" si="282"/>
        <v>0</v>
      </c>
      <c r="F1093">
        <f>IF($E1093=0,0,SUMPRODUCT($AI$5:$DF$5,'Staff Daily sales'!$G1078:$CD1078))</f>
        <v>0</v>
      </c>
      <c r="G1093">
        <f>IF($E1093=0,0,SUMPRODUCT($AI$6:$DF$6,'Staff Daily sales'!$G1078:$CD1078))</f>
        <v>0</v>
      </c>
      <c r="H1093">
        <f t="shared" si="283"/>
        <v>0</v>
      </c>
      <c r="I1093">
        <f t="shared" si="284"/>
        <v>0</v>
      </c>
      <c r="J1093">
        <f t="shared" si="285"/>
        <v>0</v>
      </c>
      <c r="K1093">
        <f t="shared" si="286"/>
        <v>0</v>
      </c>
      <c r="L1093">
        <f>--AND($E1093=1,OR('Staff Dashboard'!$B$6="All",$DH1093='Staff Dashboard'!$B$6),OR('Staff Dashboard'!$B$7="All",$D1093='Staff Dashboard'!$B$7),OR('Staff Dashboard'!$B$8="All",$A1093='Staff Dashboard'!$B$8))</f>
        <v>0</v>
      </c>
      <c r="M1093">
        <f>IF($E1093=0,0,SUMPRODUCT($AI$7:$DF$7,'Staff Daily sales'!$G1078:$CD1078))</f>
        <v>0</v>
      </c>
      <c r="N1093">
        <f>IF($E1093=0,0,SUMPRODUCT($AI$8:$DF$8,'Staff Daily sales'!$G1078:$CD1078))</f>
        <v>0</v>
      </c>
      <c r="O1093">
        <f>IF($E1093=0,0,SUMPRODUCT($AI$9:$DF$9,'Staff Daily sales'!$G1078:$CD1078))</f>
        <v>0</v>
      </c>
      <c r="P1093">
        <f>IF($E1093=0,0,SUMPRODUCT($AI$10:$DF$10,'Staff Daily sales'!$G1078:$CD1078))</f>
        <v>0</v>
      </c>
      <c r="Q1093">
        <f>IF($E1093=0,0,SUMPRODUCT($AI$11:$DF$11,'Staff Daily sales'!$G1078:$CD1078))</f>
        <v>0</v>
      </c>
      <c r="R1093">
        <f>IF($E1093=0,0,SUMPRODUCT($AI$12:$DF$12,'Staff Daily sales'!$G1078:$CD1078))</f>
        <v>0</v>
      </c>
      <c r="S1093">
        <f>IF($E1093=0,0,SUMPRODUCT($AI$13:$DF$13,'Staff Daily sales'!$G1078:$CD1078))</f>
        <v>0</v>
      </c>
      <c r="T1093">
        <f>IF($E1093=0,0,SUMPRODUCT($AI$14:$DF$14,'Staff Daily sales'!$G1078:$CD1078))</f>
        <v>0</v>
      </c>
      <c r="U1093">
        <f>IF($E1093=0,0,SUMPRODUCT($AI$15:$DF$15,'Staff Daily sales'!$G1078:$CD1078))</f>
        <v>0</v>
      </c>
      <c r="V1093">
        <f>IF($E1093=0,0,SUMPRODUCT($AI$16:$DF$16,'Staff Daily sales'!$G1078:$CD1078))</f>
        <v>0</v>
      </c>
      <c r="W1093">
        <f t="shared" si="287"/>
        <v>0</v>
      </c>
      <c r="X1093">
        <f t="shared" si="288"/>
        <v>0</v>
      </c>
      <c r="Y1093">
        <f t="shared" si="289"/>
        <v>0</v>
      </c>
      <c r="Z1093">
        <f t="shared" si="290"/>
        <v>0</v>
      </c>
      <c r="AA1093">
        <f t="shared" si="291"/>
        <v>0</v>
      </c>
      <c r="AB1093">
        <f>--AND($E1093=1,OR('Staff Weekly Trend'!$B$3="All",$DH1093='Staff Weekly Trend'!$B$3),OR('Staff Weekly Trend'!$B$4="All",$D1093='Staff Weekly Trend'!$B$4),OR('Staff Weekly Trend'!$B$5="All",$A1093='Staff Weekly Trend'!$B$5))</f>
        <v>0</v>
      </c>
      <c r="AC1093" t="str">
        <f t="shared" si="292"/>
        <v/>
      </c>
      <c r="AI1093">
        <f t="shared" si="293"/>
        <v>0</v>
      </c>
      <c r="AJ1093">
        <f t="shared" si="294"/>
        <v>0</v>
      </c>
      <c r="AK1093">
        <f t="shared" si="295"/>
        <v>0</v>
      </c>
      <c r="AL1093">
        <f t="shared" si="296"/>
        <v>0</v>
      </c>
      <c r="AM1093">
        <f t="shared" si="297"/>
        <v>0</v>
      </c>
      <c r="DH1093" t="str" cm="1">
        <f t="array" ref="DH1093">IF($A1093="","",_xlfn.LET(_xlpm.c,IFERROR(_xlfn.XLOOKUP($A1093,TRIM('Sales and count'!$A$4:$A$300&amp;""),TRIM('Sales and count'!$B$4:$B$300&amp;"")),""),IF(OR(_xlpm.c="",_xlpm.c="0",LEFT(_xlpm.c,1)="#"),"Not set",_xlpm.c)))</f>
        <v/>
      </c>
    </row>
    <row r="1094" spans="1:112" x14ac:dyDescent="0.25">
      <c r="A1094" t="str">
        <f>IF('Staff Daily sales'!$B1079="","",TRIM('Staff Daily sales'!$B1079&amp;""))</f>
        <v/>
      </c>
      <c r="B1094" t="str">
        <f>IF('Staff Daily sales'!$D1079="","",TRIM('Staff Daily sales'!$D1079&amp;""))</f>
        <v/>
      </c>
      <c r="C1094" t="str">
        <f>IFERROR(TRIM('Staff Daily sales'!$E1079&amp;""),"")</f>
        <v/>
      </c>
      <c r="D1094" t="str">
        <f>IFERROR(IF(TRIM('Staff Daily sales'!$F1079&amp;"")="","Unassigned",TRIM('Staff Daily sales'!$F1079&amp;"")),"Unassigned")</f>
        <v>Unassigned</v>
      </c>
      <c r="E1094">
        <f t="shared" si="282"/>
        <v>0</v>
      </c>
      <c r="F1094">
        <f>IF($E1094=0,0,SUMPRODUCT($AI$5:$DF$5,'Staff Daily sales'!$G1079:$CD1079))</f>
        <v>0</v>
      </c>
      <c r="G1094">
        <f>IF($E1094=0,0,SUMPRODUCT($AI$6:$DF$6,'Staff Daily sales'!$G1079:$CD1079))</f>
        <v>0</v>
      </c>
      <c r="H1094">
        <f t="shared" si="283"/>
        <v>0</v>
      </c>
      <c r="I1094">
        <f t="shared" si="284"/>
        <v>0</v>
      </c>
      <c r="J1094">
        <f t="shared" si="285"/>
        <v>0</v>
      </c>
      <c r="K1094">
        <f t="shared" si="286"/>
        <v>0</v>
      </c>
      <c r="L1094">
        <f>--AND($E1094=1,OR('Staff Dashboard'!$B$6="All",$DH1094='Staff Dashboard'!$B$6),OR('Staff Dashboard'!$B$7="All",$D1094='Staff Dashboard'!$B$7),OR('Staff Dashboard'!$B$8="All",$A1094='Staff Dashboard'!$B$8))</f>
        <v>0</v>
      </c>
      <c r="M1094">
        <f>IF($E1094=0,0,SUMPRODUCT($AI$7:$DF$7,'Staff Daily sales'!$G1079:$CD1079))</f>
        <v>0</v>
      </c>
      <c r="N1094">
        <f>IF($E1094=0,0,SUMPRODUCT($AI$8:$DF$8,'Staff Daily sales'!$G1079:$CD1079))</f>
        <v>0</v>
      </c>
      <c r="O1094">
        <f>IF($E1094=0,0,SUMPRODUCT($AI$9:$DF$9,'Staff Daily sales'!$G1079:$CD1079))</f>
        <v>0</v>
      </c>
      <c r="P1094">
        <f>IF($E1094=0,0,SUMPRODUCT($AI$10:$DF$10,'Staff Daily sales'!$G1079:$CD1079))</f>
        <v>0</v>
      </c>
      <c r="Q1094">
        <f>IF($E1094=0,0,SUMPRODUCT($AI$11:$DF$11,'Staff Daily sales'!$G1079:$CD1079))</f>
        <v>0</v>
      </c>
      <c r="R1094">
        <f>IF($E1094=0,0,SUMPRODUCT($AI$12:$DF$12,'Staff Daily sales'!$G1079:$CD1079))</f>
        <v>0</v>
      </c>
      <c r="S1094">
        <f>IF($E1094=0,0,SUMPRODUCT($AI$13:$DF$13,'Staff Daily sales'!$G1079:$CD1079))</f>
        <v>0</v>
      </c>
      <c r="T1094">
        <f>IF($E1094=0,0,SUMPRODUCT($AI$14:$DF$14,'Staff Daily sales'!$G1079:$CD1079))</f>
        <v>0</v>
      </c>
      <c r="U1094">
        <f>IF($E1094=0,0,SUMPRODUCT($AI$15:$DF$15,'Staff Daily sales'!$G1079:$CD1079))</f>
        <v>0</v>
      </c>
      <c r="V1094">
        <f>IF($E1094=0,0,SUMPRODUCT($AI$16:$DF$16,'Staff Daily sales'!$G1079:$CD1079))</f>
        <v>0</v>
      </c>
      <c r="W1094">
        <f t="shared" si="287"/>
        <v>0</v>
      </c>
      <c r="X1094">
        <f t="shared" si="288"/>
        <v>0</v>
      </c>
      <c r="Y1094">
        <f t="shared" si="289"/>
        <v>0</v>
      </c>
      <c r="Z1094">
        <f t="shared" si="290"/>
        <v>0</v>
      </c>
      <c r="AA1094">
        <f t="shared" si="291"/>
        <v>0</v>
      </c>
      <c r="AB1094">
        <f>--AND($E1094=1,OR('Staff Weekly Trend'!$B$3="All",$DH1094='Staff Weekly Trend'!$B$3),OR('Staff Weekly Trend'!$B$4="All",$D1094='Staff Weekly Trend'!$B$4),OR('Staff Weekly Trend'!$B$5="All",$A1094='Staff Weekly Trend'!$B$5))</f>
        <v>0</v>
      </c>
      <c r="AC1094" t="str">
        <f t="shared" si="292"/>
        <v/>
      </c>
      <c r="AI1094">
        <f t="shared" si="293"/>
        <v>0</v>
      </c>
      <c r="AJ1094">
        <f t="shared" si="294"/>
        <v>0</v>
      </c>
      <c r="AK1094">
        <f t="shared" si="295"/>
        <v>0</v>
      </c>
      <c r="AL1094">
        <f t="shared" si="296"/>
        <v>0</v>
      </c>
      <c r="AM1094">
        <f t="shared" si="297"/>
        <v>0</v>
      </c>
      <c r="DH1094" t="str" cm="1">
        <f t="array" ref="DH1094">IF($A1094="","",_xlfn.LET(_xlpm.c,IFERROR(_xlfn.XLOOKUP($A1094,TRIM('Sales and count'!$A$4:$A$300&amp;""),TRIM('Sales and count'!$B$4:$B$300&amp;"")),""),IF(OR(_xlpm.c="",_xlpm.c="0",LEFT(_xlpm.c,1)="#"),"Not set",_xlpm.c)))</f>
        <v/>
      </c>
    </row>
    <row r="1095" spans="1:112" x14ac:dyDescent="0.25">
      <c r="A1095" t="str">
        <f>IF('Staff Daily sales'!$B1080="","",TRIM('Staff Daily sales'!$B1080&amp;""))</f>
        <v/>
      </c>
      <c r="B1095" t="str">
        <f>IF('Staff Daily sales'!$D1080="","",TRIM('Staff Daily sales'!$D1080&amp;""))</f>
        <v/>
      </c>
      <c r="C1095" t="str">
        <f>IFERROR(TRIM('Staff Daily sales'!$E1080&amp;""),"")</f>
        <v/>
      </c>
      <c r="D1095" t="str">
        <f>IFERROR(IF(TRIM('Staff Daily sales'!$F1080&amp;"")="","Unassigned",TRIM('Staff Daily sales'!$F1080&amp;"")),"Unassigned")</f>
        <v>Unassigned</v>
      </c>
      <c r="E1095">
        <f t="shared" si="282"/>
        <v>0</v>
      </c>
      <c r="F1095">
        <f>IF($E1095=0,0,SUMPRODUCT($AI$5:$DF$5,'Staff Daily sales'!$G1080:$CD1080))</f>
        <v>0</v>
      </c>
      <c r="G1095">
        <f>IF($E1095=0,0,SUMPRODUCT($AI$6:$DF$6,'Staff Daily sales'!$G1080:$CD1080))</f>
        <v>0</v>
      </c>
      <c r="H1095">
        <f t="shared" si="283"/>
        <v>0</v>
      </c>
      <c r="I1095">
        <f t="shared" si="284"/>
        <v>0</v>
      </c>
      <c r="J1095">
        <f t="shared" si="285"/>
        <v>0</v>
      </c>
      <c r="K1095">
        <f t="shared" si="286"/>
        <v>0</v>
      </c>
      <c r="L1095">
        <f>--AND($E1095=1,OR('Staff Dashboard'!$B$6="All",$DH1095='Staff Dashboard'!$B$6),OR('Staff Dashboard'!$B$7="All",$D1095='Staff Dashboard'!$B$7),OR('Staff Dashboard'!$B$8="All",$A1095='Staff Dashboard'!$B$8))</f>
        <v>0</v>
      </c>
      <c r="M1095">
        <f>IF($E1095=0,0,SUMPRODUCT($AI$7:$DF$7,'Staff Daily sales'!$G1080:$CD1080))</f>
        <v>0</v>
      </c>
      <c r="N1095">
        <f>IF($E1095=0,0,SUMPRODUCT($AI$8:$DF$8,'Staff Daily sales'!$G1080:$CD1080))</f>
        <v>0</v>
      </c>
      <c r="O1095">
        <f>IF($E1095=0,0,SUMPRODUCT($AI$9:$DF$9,'Staff Daily sales'!$G1080:$CD1080))</f>
        <v>0</v>
      </c>
      <c r="P1095">
        <f>IF($E1095=0,0,SUMPRODUCT($AI$10:$DF$10,'Staff Daily sales'!$G1080:$CD1080))</f>
        <v>0</v>
      </c>
      <c r="Q1095">
        <f>IF($E1095=0,0,SUMPRODUCT($AI$11:$DF$11,'Staff Daily sales'!$G1080:$CD1080))</f>
        <v>0</v>
      </c>
      <c r="R1095">
        <f>IF($E1095=0,0,SUMPRODUCT($AI$12:$DF$12,'Staff Daily sales'!$G1080:$CD1080))</f>
        <v>0</v>
      </c>
      <c r="S1095">
        <f>IF($E1095=0,0,SUMPRODUCT($AI$13:$DF$13,'Staff Daily sales'!$G1080:$CD1080))</f>
        <v>0</v>
      </c>
      <c r="T1095">
        <f>IF($E1095=0,0,SUMPRODUCT($AI$14:$DF$14,'Staff Daily sales'!$G1080:$CD1080))</f>
        <v>0</v>
      </c>
      <c r="U1095">
        <f>IF($E1095=0,0,SUMPRODUCT($AI$15:$DF$15,'Staff Daily sales'!$G1080:$CD1080))</f>
        <v>0</v>
      </c>
      <c r="V1095">
        <f>IF($E1095=0,0,SUMPRODUCT($AI$16:$DF$16,'Staff Daily sales'!$G1080:$CD1080))</f>
        <v>0</v>
      </c>
      <c r="W1095">
        <f t="shared" si="287"/>
        <v>0</v>
      </c>
      <c r="X1095">
        <f t="shared" si="288"/>
        <v>0</v>
      </c>
      <c r="Y1095">
        <f t="shared" si="289"/>
        <v>0</v>
      </c>
      <c r="Z1095">
        <f t="shared" si="290"/>
        <v>0</v>
      </c>
      <c r="AA1095">
        <f t="shared" si="291"/>
        <v>0</v>
      </c>
      <c r="AB1095">
        <f>--AND($E1095=1,OR('Staff Weekly Trend'!$B$3="All",$DH1095='Staff Weekly Trend'!$B$3),OR('Staff Weekly Trend'!$B$4="All",$D1095='Staff Weekly Trend'!$B$4),OR('Staff Weekly Trend'!$B$5="All",$A1095='Staff Weekly Trend'!$B$5))</f>
        <v>0</v>
      </c>
      <c r="AC1095" t="str">
        <f t="shared" si="292"/>
        <v/>
      </c>
      <c r="AI1095">
        <f t="shared" si="293"/>
        <v>0</v>
      </c>
      <c r="AJ1095">
        <f t="shared" si="294"/>
        <v>0</v>
      </c>
      <c r="AK1095">
        <f t="shared" si="295"/>
        <v>0</v>
      </c>
      <c r="AL1095">
        <f t="shared" si="296"/>
        <v>0</v>
      </c>
      <c r="AM1095">
        <f t="shared" si="297"/>
        <v>0</v>
      </c>
      <c r="DH1095" t="str" cm="1">
        <f t="array" ref="DH1095">IF($A1095="","",_xlfn.LET(_xlpm.c,IFERROR(_xlfn.XLOOKUP($A1095,TRIM('Sales and count'!$A$4:$A$300&amp;""),TRIM('Sales and count'!$B$4:$B$300&amp;"")),""),IF(OR(_xlpm.c="",_xlpm.c="0",LEFT(_xlpm.c,1)="#"),"Not set",_xlpm.c)))</f>
        <v/>
      </c>
    </row>
    <row r="1096" spans="1:112" x14ac:dyDescent="0.25">
      <c r="A1096" t="str">
        <f>IF('Staff Daily sales'!$B1081="","",TRIM('Staff Daily sales'!$B1081&amp;""))</f>
        <v/>
      </c>
      <c r="B1096" t="str">
        <f>IF('Staff Daily sales'!$D1081="","",TRIM('Staff Daily sales'!$D1081&amp;""))</f>
        <v/>
      </c>
      <c r="C1096" t="str">
        <f>IFERROR(TRIM('Staff Daily sales'!$E1081&amp;""),"")</f>
        <v/>
      </c>
      <c r="D1096" t="str">
        <f>IFERROR(IF(TRIM('Staff Daily sales'!$F1081&amp;"")="","Unassigned",TRIM('Staff Daily sales'!$F1081&amp;"")),"Unassigned")</f>
        <v>Unassigned</v>
      </c>
      <c r="E1096">
        <f t="shared" si="282"/>
        <v>0</v>
      </c>
      <c r="F1096">
        <f>IF($E1096=0,0,SUMPRODUCT($AI$5:$DF$5,'Staff Daily sales'!$G1081:$CD1081))</f>
        <v>0</v>
      </c>
      <c r="G1096">
        <f>IF($E1096=0,0,SUMPRODUCT($AI$6:$DF$6,'Staff Daily sales'!$G1081:$CD1081))</f>
        <v>0</v>
      </c>
      <c r="H1096">
        <f t="shared" si="283"/>
        <v>0</v>
      </c>
      <c r="I1096">
        <f t="shared" si="284"/>
        <v>0</v>
      </c>
      <c r="J1096">
        <f t="shared" si="285"/>
        <v>0</v>
      </c>
      <c r="K1096">
        <f t="shared" si="286"/>
        <v>0</v>
      </c>
      <c r="L1096">
        <f>--AND($E1096=1,OR('Staff Dashboard'!$B$6="All",$DH1096='Staff Dashboard'!$B$6),OR('Staff Dashboard'!$B$7="All",$D1096='Staff Dashboard'!$B$7),OR('Staff Dashboard'!$B$8="All",$A1096='Staff Dashboard'!$B$8))</f>
        <v>0</v>
      </c>
      <c r="M1096">
        <f>IF($E1096=0,0,SUMPRODUCT($AI$7:$DF$7,'Staff Daily sales'!$G1081:$CD1081))</f>
        <v>0</v>
      </c>
      <c r="N1096">
        <f>IF($E1096=0,0,SUMPRODUCT($AI$8:$DF$8,'Staff Daily sales'!$G1081:$CD1081))</f>
        <v>0</v>
      </c>
      <c r="O1096">
        <f>IF($E1096=0,0,SUMPRODUCT($AI$9:$DF$9,'Staff Daily sales'!$G1081:$CD1081))</f>
        <v>0</v>
      </c>
      <c r="P1096">
        <f>IF($E1096=0,0,SUMPRODUCT($AI$10:$DF$10,'Staff Daily sales'!$G1081:$CD1081))</f>
        <v>0</v>
      </c>
      <c r="Q1096">
        <f>IF($E1096=0,0,SUMPRODUCT($AI$11:$DF$11,'Staff Daily sales'!$G1081:$CD1081))</f>
        <v>0</v>
      </c>
      <c r="R1096">
        <f>IF($E1096=0,0,SUMPRODUCT($AI$12:$DF$12,'Staff Daily sales'!$G1081:$CD1081))</f>
        <v>0</v>
      </c>
      <c r="S1096">
        <f>IF($E1096=0,0,SUMPRODUCT($AI$13:$DF$13,'Staff Daily sales'!$G1081:$CD1081))</f>
        <v>0</v>
      </c>
      <c r="T1096">
        <f>IF($E1096=0,0,SUMPRODUCT($AI$14:$DF$14,'Staff Daily sales'!$G1081:$CD1081))</f>
        <v>0</v>
      </c>
      <c r="U1096">
        <f>IF($E1096=0,0,SUMPRODUCT($AI$15:$DF$15,'Staff Daily sales'!$G1081:$CD1081))</f>
        <v>0</v>
      </c>
      <c r="V1096">
        <f>IF($E1096=0,0,SUMPRODUCT($AI$16:$DF$16,'Staff Daily sales'!$G1081:$CD1081))</f>
        <v>0</v>
      </c>
      <c r="W1096">
        <f t="shared" si="287"/>
        <v>0</v>
      </c>
      <c r="X1096">
        <f t="shared" si="288"/>
        <v>0</v>
      </c>
      <c r="Y1096">
        <f t="shared" si="289"/>
        <v>0</v>
      </c>
      <c r="Z1096">
        <f t="shared" si="290"/>
        <v>0</v>
      </c>
      <c r="AA1096">
        <f t="shared" si="291"/>
        <v>0</v>
      </c>
      <c r="AB1096">
        <f>--AND($E1096=1,OR('Staff Weekly Trend'!$B$3="All",$DH1096='Staff Weekly Trend'!$B$3),OR('Staff Weekly Trend'!$B$4="All",$D1096='Staff Weekly Trend'!$B$4),OR('Staff Weekly Trend'!$B$5="All",$A1096='Staff Weekly Trend'!$B$5))</f>
        <v>0</v>
      </c>
      <c r="AC1096" t="str">
        <f t="shared" si="292"/>
        <v/>
      </c>
      <c r="AI1096">
        <f t="shared" si="293"/>
        <v>0</v>
      </c>
      <c r="AJ1096">
        <f t="shared" si="294"/>
        <v>0</v>
      </c>
      <c r="AK1096">
        <f t="shared" si="295"/>
        <v>0</v>
      </c>
      <c r="AL1096">
        <f t="shared" si="296"/>
        <v>0</v>
      </c>
      <c r="AM1096">
        <f t="shared" si="297"/>
        <v>0</v>
      </c>
      <c r="DH1096" t="str" cm="1">
        <f t="array" ref="DH1096">IF($A1096="","",_xlfn.LET(_xlpm.c,IFERROR(_xlfn.XLOOKUP($A1096,TRIM('Sales and count'!$A$4:$A$300&amp;""),TRIM('Sales and count'!$B$4:$B$300&amp;"")),""),IF(OR(_xlpm.c="",_xlpm.c="0",LEFT(_xlpm.c,1)="#"),"Not set",_xlpm.c)))</f>
        <v/>
      </c>
    </row>
    <row r="1097" spans="1:112" x14ac:dyDescent="0.25">
      <c r="A1097" t="str">
        <f>IF('Staff Daily sales'!$B1082="","",TRIM('Staff Daily sales'!$B1082&amp;""))</f>
        <v/>
      </c>
      <c r="B1097" t="str">
        <f>IF('Staff Daily sales'!$D1082="","",TRIM('Staff Daily sales'!$D1082&amp;""))</f>
        <v/>
      </c>
      <c r="C1097" t="str">
        <f>IFERROR(TRIM('Staff Daily sales'!$E1082&amp;""),"")</f>
        <v/>
      </c>
      <c r="D1097" t="str">
        <f>IFERROR(IF(TRIM('Staff Daily sales'!$F1082&amp;"")="","Unassigned",TRIM('Staff Daily sales'!$F1082&amp;"")),"Unassigned")</f>
        <v>Unassigned</v>
      </c>
      <c r="E1097">
        <f t="shared" si="282"/>
        <v>0</v>
      </c>
      <c r="F1097">
        <f>IF($E1097=0,0,SUMPRODUCT($AI$5:$DF$5,'Staff Daily sales'!$G1082:$CD1082))</f>
        <v>0</v>
      </c>
      <c r="G1097">
        <f>IF($E1097=0,0,SUMPRODUCT($AI$6:$DF$6,'Staff Daily sales'!$G1082:$CD1082))</f>
        <v>0</v>
      </c>
      <c r="H1097">
        <f t="shared" si="283"/>
        <v>0</v>
      </c>
      <c r="I1097">
        <f t="shared" si="284"/>
        <v>0</v>
      </c>
      <c r="J1097">
        <f t="shared" si="285"/>
        <v>0</v>
      </c>
      <c r="K1097">
        <f t="shared" si="286"/>
        <v>0</v>
      </c>
      <c r="L1097">
        <f>--AND($E1097=1,OR('Staff Dashboard'!$B$6="All",$DH1097='Staff Dashboard'!$B$6),OR('Staff Dashboard'!$B$7="All",$D1097='Staff Dashboard'!$B$7),OR('Staff Dashboard'!$B$8="All",$A1097='Staff Dashboard'!$B$8))</f>
        <v>0</v>
      </c>
      <c r="M1097">
        <f>IF($E1097=0,0,SUMPRODUCT($AI$7:$DF$7,'Staff Daily sales'!$G1082:$CD1082))</f>
        <v>0</v>
      </c>
      <c r="N1097">
        <f>IF($E1097=0,0,SUMPRODUCT($AI$8:$DF$8,'Staff Daily sales'!$G1082:$CD1082))</f>
        <v>0</v>
      </c>
      <c r="O1097">
        <f>IF($E1097=0,0,SUMPRODUCT($AI$9:$DF$9,'Staff Daily sales'!$G1082:$CD1082))</f>
        <v>0</v>
      </c>
      <c r="P1097">
        <f>IF($E1097=0,0,SUMPRODUCT($AI$10:$DF$10,'Staff Daily sales'!$G1082:$CD1082))</f>
        <v>0</v>
      </c>
      <c r="Q1097">
        <f>IF($E1097=0,0,SUMPRODUCT($AI$11:$DF$11,'Staff Daily sales'!$G1082:$CD1082))</f>
        <v>0</v>
      </c>
      <c r="R1097">
        <f>IF($E1097=0,0,SUMPRODUCT($AI$12:$DF$12,'Staff Daily sales'!$G1082:$CD1082))</f>
        <v>0</v>
      </c>
      <c r="S1097">
        <f>IF($E1097=0,0,SUMPRODUCT($AI$13:$DF$13,'Staff Daily sales'!$G1082:$CD1082))</f>
        <v>0</v>
      </c>
      <c r="T1097">
        <f>IF($E1097=0,0,SUMPRODUCT($AI$14:$DF$14,'Staff Daily sales'!$G1082:$CD1082))</f>
        <v>0</v>
      </c>
      <c r="U1097">
        <f>IF($E1097=0,0,SUMPRODUCT($AI$15:$DF$15,'Staff Daily sales'!$G1082:$CD1082))</f>
        <v>0</v>
      </c>
      <c r="V1097">
        <f>IF($E1097=0,0,SUMPRODUCT($AI$16:$DF$16,'Staff Daily sales'!$G1082:$CD1082))</f>
        <v>0</v>
      </c>
      <c r="W1097">
        <f t="shared" si="287"/>
        <v>0</v>
      </c>
      <c r="X1097">
        <f t="shared" si="288"/>
        <v>0</v>
      </c>
      <c r="Y1097">
        <f t="shared" si="289"/>
        <v>0</v>
      </c>
      <c r="Z1097">
        <f t="shared" si="290"/>
        <v>0</v>
      </c>
      <c r="AA1097">
        <f t="shared" si="291"/>
        <v>0</v>
      </c>
      <c r="AB1097">
        <f>--AND($E1097=1,OR('Staff Weekly Trend'!$B$3="All",$DH1097='Staff Weekly Trend'!$B$3),OR('Staff Weekly Trend'!$B$4="All",$D1097='Staff Weekly Trend'!$B$4),OR('Staff Weekly Trend'!$B$5="All",$A1097='Staff Weekly Trend'!$B$5))</f>
        <v>0</v>
      </c>
      <c r="AC1097" t="str">
        <f t="shared" si="292"/>
        <v/>
      </c>
      <c r="AI1097">
        <f t="shared" si="293"/>
        <v>0</v>
      </c>
      <c r="AJ1097">
        <f t="shared" si="294"/>
        <v>0</v>
      </c>
      <c r="AK1097">
        <f t="shared" si="295"/>
        <v>0</v>
      </c>
      <c r="AL1097">
        <f t="shared" si="296"/>
        <v>0</v>
      </c>
      <c r="AM1097">
        <f t="shared" si="297"/>
        <v>0</v>
      </c>
      <c r="DH1097" t="str" cm="1">
        <f t="array" ref="DH1097">IF($A1097="","",_xlfn.LET(_xlpm.c,IFERROR(_xlfn.XLOOKUP($A1097,TRIM('Sales and count'!$A$4:$A$300&amp;""),TRIM('Sales and count'!$B$4:$B$300&amp;"")),""),IF(OR(_xlpm.c="",_xlpm.c="0",LEFT(_xlpm.c,1)="#"),"Not set",_xlpm.c)))</f>
        <v/>
      </c>
    </row>
    <row r="1098" spans="1:112" x14ac:dyDescent="0.25">
      <c r="A1098" t="str">
        <f>IF('Staff Daily sales'!$B1083="","",TRIM('Staff Daily sales'!$B1083&amp;""))</f>
        <v/>
      </c>
      <c r="B1098" t="str">
        <f>IF('Staff Daily sales'!$D1083="","",TRIM('Staff Daily sales'!$D1083&amp;""))</f>
        <v/>
      </c>
      <c r="C1098" t="str">
        <f>IFERROR(TRIM('Staff Daily sales'!$E1083&amp;""),"")</f>
        <v/>
      </c>
      <c r="D1098" t="str">
        <f>IFERROR(IF(TRIM('Staff Daily sales'!$F1083&amp;"")="","Unassigned",TRIM('Staff Daily sales'!$F1083&amp;"")),"Unassigned")</f>
        <v>Unassigned</v>
      </c>
      <c r="E1098">
        <f t="shared" si="282"/>
        <v>0</v>
      </c>
      <c r="F1098">
        <f>IF($E1098=0,0,SUMPRODUCT($AI$5:$DF$5,'Staff Daily sales'!$G1083:$CD1083))</f>
        <v>0</v>
      </c>
      <c r="G1098">
        <f>IF($E1098=0,0,SUMPRODUCT($AI$6:$DF$6,'Staff Daily sales'!$G1083:$CD1083))</f>
        <v>0</v>
      </c>
      <c r="H1098">
        <f t="shared" si="283"/>
        <v>0</v>
      </c>
      <c r="I1098">
        <f t="shared" si="284"/>
        <v>0</v>
      </c>
      <c r="J1098">
        <f t="shared" si="285"/>
        <v>0</v>
      </c>
      <c r="K1098">
        <f t="shared" si="286"/>
        <v>0</v>
      </c>
      <c r="L1098">
        <f>--AND($E1098=1,OR('Staff Dashboard'!$B$6="All",$DH1098='Staff Dashboard'!$B$6),OR('Staff Dashboard'!$B$7="All",$D1098='Staff Dashboard'!$B$7),OR('Staff Dashboard'!$B$8="All",$A1098='Staff Dashboard'!$B$8))</f>
        <v>0</v>
      </c>
      <c r="M1098">
        <f>IF($E1098=0,0,SUMPRODUCT($AI$7:$DF$7,'Staff Daily sales'!$G1083:$CD1083))</f>
        <v>0</v>
      </c>
      <c r="N1098">
        <f>IF($E1098=0,0,SUMPRODUCT($AI$8:$DF$8,'Staff Daily sales'!$G1083:$CD1083))</f>
        <v>0</v>
      </c>
      <c r="O1098">
        <f>IF($E1098=0,0,SUMPRODUCT($AI$9:$DF$9,'Staff Daily sales'!$G1083:$CD1083))</f>
        <v>0</v>
      </c>
      <c r="P1098">
        <f>IF($E1098=0,0,SUMPRODUCT($AI$10:$DF$10,'Staff Daily sales'!$G1083:$CD1083))</f>
        <v>0</v>
      </c>
      <c r="Q1098">
        <f>IF($E1098=0,0,SUMPRODUCT($AI$11:$DF$11,'Staff Daily sales'!$G1083:$CD1083))</f>
        <v>0</v>
      </c>
      <c r="R1098">
        <f>IF($E1098=0,0,SUMPRODUCT($AI$12:$DF$12,'Staff Daily sales'!$G1083:$CD1083))</f>
        <v>0</v>
      </c>
      <c r="S1098">
        <f>IF($E1098=0,0,SUMPRODUCT($AI$13:$DF$13,'Staff Daily sales'!$G1083:$CD1083))</f>
        <v>0</v>
      </c>
      <c r="T1098">
        <f>IF($E1098=0,0,SUMPRODUCT($AI$14:$DF$14,'Staff Daily sales'!$G1083:$CD1083))</f>
        <v>0</v>
      </c>
      <c r="U1098">
        <f>IF($E1098=0,0,SUMPRODUCT($AI$15:$DF$15,'Staff Daily sales'!$G1083:$CD1083))</f>
        <v>0</v>
      </c>
      <c r="V1098">
        <f>IF($E1098=0,0,SUMPRODUCT($AI$16:$DF$16,'Staff Daily sales'!$G1083:$CD1083))</f>
        <v>0</v>
      </c>
      <c r="W1098">
        <f t="shared" si="287"/>
        <v>0</v>
      </c>
      <c r="X1098">
        <f t="shared" si="288"/>
        <v>0</v>
      </c>
      <c r="Y1098">
        <f t="shared" si="289"/>
        <v>0</v>
      </c>
      <c r="Z1098">
        <f t="shared" si="290"/>
        <v>0</v>
      </c>
      <c r="AA1098">
        <f t="shared" si="291"/>
        <v>0</v>
      </c>
      <c r="AB1098">
        <f>--AND($E1098=1,OR('Staff Weekly Trend'!$B$3="All",$DH1098='Staff Weekly Trend'!$B$3),OR('Staff Weekly Trend'!$B$4="All",$D1098='Staff Weekly Trend'!$B$4),OR('Staff Weekly Trend'!$B$5="All",$A1098='Staff Weekly Trend'!$B$5))</f>
        <v>0</v>
      </c>
      <c r="AC1098" t="str">
        <f t="shared" si="292"/>
        <v/>
      </c>
      <c r="AI1098">
        <f t="shared" si="293"/>
        <v>0</v>
      </c>
      <c r="AJ1098">
        <f t="shared" si="294"/>
        <v>0</v>
      </c>
      <c r="AK1098">
        <f t="shared" si="295"/>
        <v>0</v>
      </c>
      <c r="AL1098">
        <f t="shared" si="296"/>
        <v>0</v>
      </c>
      <c r="AM1098">
        <f t="shared" si="297"/>
        <v>0</v>
      </c>
      <c r="DH1098" t="str" cm="1">
        <f t="array" ref="DH1098">IF($A1098="","",_xlfn.LET(_xlpm.c,IFERROR(_xlfn.XLOOKUP($A1098,TRIM('Sales and count'!$A$4:$A$300&amp;""),TRIM('Sales and count'!$B$4:$B$300&amp;"")),""),IF(OR(_xlpm.c="",_xlpm.c="0",LEFT(_xlpm.c,1)="#"),"Not set",_xlpm.c)))</f>
        <v/>
      </c>
    </row>
    <row r="1099" spans="1:112" x14ac:dyDescent="0.25">
      <c r="A1099" t="str">
        <f>IF('Staff Daily sales'!$B1084="","",TRIM('Staff Daily sales'!$B1084&amp;""))</f>
        <v/>
      </c>
      <c r="B1099" t="str">
        <f>IF('Staff Daily sales'!$D1084="","",TRIM('Staff Daily sales'!$D1084&amp;""))</f>
        <v/>
      </c>
      <c r="C1099" t="str">
        <f>IFERROR(TRIM('Staff Daily sales'!$E1084&amp;""),"")</f>
        <v/>
      </c>
      <c r="D1099" t="str">
        <f>IFERROR(IF(TRIM('Staff Daily sales'!$F1084&amp;"")="","Unassigned",TRIM('Staff Daily sales'!$F1084&amp;"")),"Unassigned")</f>
        <v>Unassigned</v>
      </c>
      <c r="E1099">
        <f t="shared" si="282"/>
        <v>0</v>
      </c>
      <c r="F1099">
        <f>IF($E1099=0,0,SUMPRODUCT($AI$5:$DF$5,'Staff Daily sales'!$G1084:$CD1084))</f>
        <v>0</v>
      </c>
      <c r="G1099">
        <f>IF($E1099=0,0,SUMPRODUCT($AI$6:$DF$6,'Staff Daily sales'!$G1084:$CD1084))</f>
        <v>0</v>
      </c>
      <c r="H1099">
        <f t="shared" si="283"/>
        <v>0</v>
      </c>
      <c r="I1099">
        <f t="shared" si="284"/>
        <v>0</v>
      </c>
      <c r="J1099">
        <f t="shared" si="285"/>
        <v>0</v>
      </c>
      <c r="K1099">
        <f t="shared" si="286"/>
        <v>0</v>
      </c>
      <c r="L1099">
        <f>--AND($E1099=1,OR('Staff Dashboard'!$B$6="All",$DH1099='Staff Dashboard'!$B$6),OR('Staff Dashboard'!$B$7="All",$D1099='Staff Dashboard'!$B$7),OR('Staff Dashboard'!$B$8="All",$A1099='Staff Dashboard'!$B$8))</f>
        <v>0</v>
      </c>
      <c r="M1099">
        <f>IF($E1099=0,0,SUMPRODUCT($AI$7:$DF$7,'Staff Daily sales'!$G1084:$CD1084))</f>
        <v>0</v>
      </c>
      <c r="N1099">
        <f>IF($E1099=0,0,SUMPRODUCT($AI$8:$DF$8,'Staff Daily sales'!$G1084:$CD1084))</f>
        <v>0</v>
      </c>
      <c r="O1099">
        <f>IF($E1099=0,0,SUMPRODUCT($AI$9:$DF$9,'Staff Daily sales'!$G1084:$CD1084))</f>
        <v>0</v>
      </c>
      <c r="P1099">
        <f>IF($E1099=0,0,SUMPRODUCT($AI$10:$DF$10,'Staff Daily sales'!$G1084:$CD1084))</f>
        <v>0</v>
      </c>
      <c r="Q1099">
        <f>IF($E1099=0,0,SUMPRODUCT($AI$11:$DF$11,'Staff Daily sales'!$G1084:$CD1084))</f>
        <v>0</v>
      </c>
      <c r="R1099">
        <f>IF($E1099=0,0,SUMPRODUCT($AI$12:$DF$12,'Staff Daily sales'!$G1084:$CD1084))</f>
        <v>0</v>
      </c>
      <c r="S1099">
        <f>IF($E1099=0,0,SUMPRODUCT($AI$13:$DF$13,'Staff Daily sales'!$G1084:$CD1084))</f>
        <v>0</v>
      </c>
      <c r="T1099">
        <f>IF($E1099=0,0,SUMPRODUCT($AI$14:$DF$14,'Staff Daily sales'!$G1084:$CD1084))</f>
        <v>0</v>
      </c>
      <c r="U1099">
        <f>IF($E1099=0,0,SUMPRODUCT($AI$15:$DF$15,'Staff Daily sales'!$G1084:$CD1084))</f>
        <v>0</v>
      </c>
      <c r="V1099">
        <f>IF($E1099=0,0,SUMPRODUCT($AI$16:$DF$16,'Staff Daily sales'!$G1084:$CD1084))</f>
        <v>0</v>
      </c>
      <c r="W1099">
        <f t="shared" si="287"/>
        <v>0</v>
      </c>
      <c r="X1099">
        <f t="shared" si="288"/>
        <v>0</v>
      </c>
      <c r="Y1099">
        <f t="shared" si="289"/>
        <v>0</v>
      </c>
      <c r="Z1099">
        <f t="shared" si="290"/>
        <v>0</v>
      </c>
      <c r="AA1099">
        <f t="shared" si="291"/>
        <v>0</v>
      </c>
      <c r="AB1099">
        <f>--AND($E1099=1,OR('Staff Weekly Trend'!$B$3="All",$DH1099='Staff Weekly Trend'!$B$3),OR('Staff Weekly Trend'!$B$4="All",$D1099='Staff Weekly Trend'!$B$4),OR('Staff Weekly Trend'!$B$5="All",$A1099='Staff Weekly Trend'!$B$5))</f>
        <v>0</v>
      </c>
      <c r="AC1099" t="str">
        <f t="shared" si="292"/>
        <v/>
      </c>
      <c r="AI1099">
        <f t="shared" si="293"/>
        <v>0</v>
      </c>
      <c r="AJ1099">
        <f t="shared" si="294"/>
        <v>0</v>
      </c>
      <c r="AK1099">
        <f t="shared" si="295"/>
        <v>0</v>
      </c>
      <c r="AL1099">
        <f t="shared" si="296"/>
        <v>0</v>
      </c>
      <c r="AM1099">
        <f t="shared" si="297"/>
        <v>0</v>
      </c>
      <c r="DH1099" t="str" cm="1">
        <f t="array" ref="DH1099">IF($A1099="","",_xlfn.LET(_xlpm.c,IFERROR(_xlfn.XLOOKUP($A1099,TRIM('Sales and count'!$A$4:$A$300&amp;""),TRIM('Sales and count'!$B$4:$B$300&amp;"")),""),IF(OR(_xlpm.c="",_xlpm.c="0",LEFT(_xlpm.c,1)="#"),"Not set",_xlpm.c)))</f>
        <v/>
      </c>
    </row>
    <row r="1100" spans="1:112" x14ac:dyDescent="0.25">
      <c r="A1100" t="str">
        <f>IF('Staff Daily sales'!$B1085="","",TRIM('Staff Daily sales'!$B1085&amp;""))</f>
        <v/>
      </c>
      <c r="B1100" t="str">
        <f>IF('Staff Daily sales'!$D1085="","",TRIM('Staff Daily sales'!$D1085&amp;""))</f>
        <v/>
      </c>
      <c r="C1100" t="str">
        <f>IFERROR(TRIM('Staff Daily sales'!$E1085&amp;""),"")</f>
        <v/>
      </c>
      <c r="D1100" t="str">
        <f>IFERROR(IF(TRIM('Staff Daily sales'!$F1085&amp;"")="","Unassigned",TRIM('Staff Daily sales'!$F1085&amp;"")),"Unassigned")</f>
        <v>Unassigned</v>
      </c>
      <c r="E1100">
        <f t="shared" si="282"/>
        <v>0</v>
      </c>
      <c r="F1100">
        <f>IF($E1100=0,0,SUMPRODUCT($AI$5:$DF$5,'Staff Daily sales'!$G1085:$CD1085))</f>
        <v>0</v>
      </c>
      <c r="G1100">
        <f>IF($E1100=0,0,SUMPRODUCT($AI$6:$DF$6,'Staff Daily sales'!$G1085:$CD1085))</f>
        <v>0</v>
      </c>
      <c r="H1100">
        <f t="shared" si="283"/>
        <v>0</v>
      </c>
      <c r="I1100">
        <f t="shared" si="284"/>
        <v>0</v>
      </c>
      <c r="J1100">
        <f t="shared" si="285"/>
        <v>0</v>
      </c>
      <c r="K1100">
        <f t="shared" si="286"/>
        <v>0</v>
      </c>
      <c r="L1100">
        <f>--AND($E1100=1,OR('Staff Dashboard'!$B$6="All",$DH1100='Staff Dashboard'!$B$6),OR('Staff Dashboard'!$B$7="All",$D1100='Staff Dashboard'!$B$7),OR('Staff Dashboard'!$B$8="All",$A1100='Staff Dashboard'!$B$8))</f>
        <v>0</v>
      </c>
      <c r="M1100">
        <f>IF($E1100=0,0,SUMPRODUCT($AI$7:$DF$7,'Staff Daily sales'!$G1085:$CD1085))</f>
        <v>0</v>
      </c>
      <c r="N1100">
        <f>IF($E1100=0,0,SUMPRODUCT($AI$8:$DF$8,'Staff Daily sales'!$G1085:$CD1085))</f>
        <v>0</v>
      </c>
      <c r="O1100">
        <f>IF($E1100=0,0,SUMPRODUCT($AI$9:$DF$9,'Staff Daily sales'!$G1085:$CD1085))</f>
        <v>0</v>
      </c>
      <c r="P1100">
        <f>IF($E1100=0,0,SUMPRODUCT($AI$10:$DF$10,'Staff Daily sales'!$G1085:$CD1085))</f>
        <v>0</v>
      </c>
      <c r="Q1100">
        <f>IF($E1100=0,0,SUMPRODUCT($AI$11:$DF$11,'Staff Daily sales'!$G1085:$CD1085))</f>
        <v>0</v>
      </c>
      <c r="R1100">
        <f>IF($E1100=0,0,SUMPRODUCT($AI$12:$DF$12,'Staff Daily sales'!$G1085:$CD1085))</f>
        <v>0</v>
      </c>
      <c r="S1100">
        <f>IF($E1100=0,0,SUMPRODUCT($AI$13:$DF$13,'Staff Daily sales'!$G1085:$CD1085))</f>
        <v>0</v>
      </c>
      <c r="T1100">
        <f>IF($E1100=0,0,SUMPRODUCT($AI$14:$DF$14,'Staff Daily sales'!$G1085:$CD1085))</f>
        <v>0</v>
      </c>
      <c r="U1100">
        <f>IF($E1100=0,0,SUMPRODUCT($AI$15:$DF$15,'Staff Daily sales'!$G1085:$CD1085))</f>
        <v>0</v>
      </c>
      <c r="V1100">
        <f>IF($E1100=0,0,SUMPRODUCT($AI$16:$DF$16,'Staff Daily sales'!$G1085:$CD1085))</f>
        <v>0</v>
      </c>
      <c r="W1100">
        <f t="shared" si="287"/>
        <v>0</v>
      </c>
      <c r="X1100">
        <f t="shared" si="288"/>
        <v>0</v>
      </c>
      <c r="Y1100">
        <f t="shared" si="289"/>
        <v>0</v>
      </c>
      <c r="Z1100">
        <f t="shared" si="290"/>
        <v>0</v>
      </c>
      <c r="AA1100">
        <f t="shared" si="291"/>
        <v>0</v>
      </c>
      <c r="AB1100">
        <f>--AND($E1100=1,OR('Staff Weekly Trend'!$B$3="All",$DH1100='Staff Weekly Trend'!$B$3),OR('Staff Weekly Trend'!$B$4="All",$D1100='Staff Weekly Trend'!$B$4),OR('Staff Weekly Trend'!$B$5="All",$A1100='Staff Weekly Trend'!$B$5))</f>
        <v>0</v>
      </c>
      <c r="AC1100" t="str">
        <f t="shared" si="292"/>
        <v/>
      </c>
      <c r="AI1100">
        <f t="shared" si="293"/>
        <v>0</v>
      </c>
      <c r="AJ1100">
        <f t="shared" si="294"/>
        <v>0</v>
      </c>
      <c r="AK1100">
        <f t="shared" si="295"/>
        <v>0</v>
      </c>
      <c r="AL1100">
        <f t="shared" si="296"/>
        <v>0</v>
      </c>
      <c r="AM1100">
        <f t="shared" si="297"/>
        <v>0</v>
      </c>
      <c r="DH1100" t="str" cm="1">
        <f t="array" ref="DH1100">IF($A1100="","",_xlfn.LET(_xlpm.c,IFERROR(_xlfn.XLOOKUP($A1100,TRIM('Sales and count'!$A$4:$A$300&amp;""),TRIM('Sales and count'!$B$4:$B$300&amp;"")),""),IF(OR(_xlpm.c="",_xlpm.c="0",LEFT(_xlpm.c,1)="#"),"Not set",_xlpm.c)))</f>
        <v/>
      </c>
    </row>
    <row r="1101" spans="1:112" x14ac:dyDescent="0.25">
      <c r="A1101" t="str">
        <f>IF('Staff Daily sales'!$B1086="","",TRIM('Staff Daily sales'!$B1086&amp;""))</f>
        <v/>
      </c>
      <c r="B1101" t="str">
        <f>IF('Staff Daily sales'!$D1086="","",TRIM('Staff Daily sales'!$D1086&amp;""))</f>
        <v/>
      </c>
      <c r="C1101" t="str">
        <f>IFERROR(TRIM('Staff Daily sales'!$E1086&amp;""),"")</f>
        <v/>
      </c>
      <c r="D1101" t="str">
        <f>IFERROR(IF(TRIM('Staff Daily sales'!$F1086&amp;"")="","Unassigned",TRIM('Staff Daily sales'!$F1086&amp;"")),"Unassigned")</f>
        <v>Unassigned</v>
      </c>
      <c r="E1101">
        <f t="shared" si="282"/>
        <v>0</v>
      </c>
      <c r="F1101">
        <f>IF($E1101=0,0,SUMPRODUCT($AI$5:$DF$5,'Staff Daily sales'!$G1086:$CD1086))</f>
        <v>0</v>
      </c>
      <c r="G1101">
        <f>IF($E1101=0,0,SUMPRODUCT($AI$6:$DF$6,'Staff Daily sales'!$G1086:$CD1086))</f>
        <v>0</v>
      </c>
      <c r="H1101">
        <f t="shared" si="283"/>
        <v>0</v>
      </c>
      <c r="I1101">
        <f t="shared" si="284"/>
        <v>0</v>
      </c>
      <c r="J1101">
        <f t="shared" si="285"/>
        <v>0</v>
      </c>
      <c r="K1101">
        <f t="shared" si="286"/>
        <v>0</v>
      </c>
      <c r="L1101">
        <f>--AND($E1101=1,OR('Staff Dashboard'!$B$6="All",$DH1101='Staff Dashboard'!$B$6),OR('Staff Dashboard'!$B$7="All",$D1101='Staff Dashboard'!$B$7),OR('Staff Dashboard'!$B$8="All",$A1101='Staff Dashboard'!$B$8))</f>
        <v>0</v>
      </c>
      <c r="M1101">
        <f>IF($E1101=0,0,SUMPRODUCT($AI$7:$DF$7,'Staff Daily sales'!$G1086:$CD1086))</f>
        <v>0</v>
      </c>
      <c r="N1101">
        <f>IF($E1101=0,0,SUMPRODUCT($AI$8:$DF$8,'Staff Daily sales'!$G1086:$CD1086))</f>
        <v>0</v>
      </c>
      <c r="O1101">
        <f>IF($E1101=0,0,SUMPRODUCT($AI$9:$DF$9,'Staff Daily sales'!$G1086:$CD1086))</f>
        <v>0</v>
      </c>
      <c r="P1101">
        <f>IF($E1101=0,0,SUMPRODUCT($AI$10:$DF$10,'Staff Daily sales'!$G1086:$CD1086))</f>
        <v>0</v>
      </c>
      <c r="Q1101">
        <f>IF($E1101=0,0,SUMPRODUCT($AI$11:$DF$11,'Staff Daily sales'!$G1086:$CD1086))</f>
        <v>0</v>
      </c>
      <c r="R1101">
        <f>IF($E1101=0,0,SUMPRODUCT($AI$12:$DF$12,'Staff Daily sales'!$G1086:$CD1086))</f>
        <v>0</v>
      </c>
      <c r="S1101">
        <f>IF($E1101=0,0,SUMPRODUCT($AI$13:$DF$13,'Staff Daily sales'!$G1086:$CD1086))</f>
        <v>0</v>
      </c>
      <c r="T1101">
        <f>IF($E1101=0,0,SUMPRODUCT($AI$14:$DF$14,'Staff Daily sales'!$G1086:$CD1086))</f>
        <v>0</v>
      </c>
      <c r="U1101">
        <f>IF($E1101=0,0,SUMPRODUCT($AI$15:$DF$15,'Staff Daily sales'!$G1086:$CD1086))</f>
        <v>0</v>
      </c>
      <c r="V1101">
        <f>IF($E1101=0,0,SUMPRODUCT($AI$16:$DF$16,'Staff Daily sales'!$G1086:$CD1086))</f>
        <v>0</v>
      </c>
      <c r="W1101">
        <f t="shared" si="287"/>
        <v>0</v>
      </c>
      <c r="X1101">
        <f t="shared" si="288"/>
        <v>0</v>
      </c>
      <c r="Y1101">
        <f t="shared" si="289"/>
        <v>0</v>
      </c>
      <c r="Z1101">
        <f t="shared" si="290"/>
        <v>0</v>
      </c>
      <c r="AA1101">
        <f t="shared" si="291"/>
        <v>0</v>
      </c>
      <c r="AB1101">
        <f>--AND($E1101=1,OR('Staff Weekly Trend'!$B$3="All",$DH1101='Staff Weekly Trend'!$B$3),OR('Staff Weekly Trend'!$B$4="All",$D1101='Staff Weekly Trend'!$B$4),OR('Staff Weekly Trend'!$B$5="All",$A1101='Staff Weekly Trend'!$B$5))</f>
        <v>0</v>
      </c>
      <c r="AC1101" t="str">
        <f t="shared" si="292"/>
        <v/>
      </c>
      <c r="AI1101">
        <f t="shared" si="293"/>
        <v>0</v>
      </c>
      <c r="AJ1101">
        <f t="shared" si="294"/>
        <v>0</v>
      </c>
      <c r="AK1101">
        <f t="shared" si="295"/>
        <v>0</v>
      </c>
      <c r="AL1101">
        <f t="shared" si="296"/>
        <v>0</v>
      </c>
      <c r="AM1101">
        <f t="shared" si="297"/>
        <v>0</v>
      </c>
      <c r="DH1101" t="str" cm="1">
        <f t="array" ref="DH1101">IF($A1101="","",_xlfn.LET(_xlpm.c,IFERROR(_xlfn.XLOOKUP($A1101,TRIM('Sales and count'!$A$4:$A$300&amp;""),TRIM('Sales and count'!$B$4:$B$300&amp;"")),""),IF(OR(_xlpm.c="",_xlpm.c="0",LEFT(_xlpm.c,1)="#"),"Not set",_xlpm.c)))</f>
        <v/>
      </c>
    </row>
    <row r="1102" spans="1:112" x14ac:dyDescent="0.25">
      <c r="A1102" t="str">
        <f>IF('Staff Daily sales'!$B1087="","",TRIM('Staff Daily sales'!$B1087&amp;""))</f>
        <v/>
      </c>
      <c r="B1102" t="str">
        <f>IF('Staff Daily sales'!$D1087="","",TRIM('Staff Daily sales'!$D1087&amp;""))</f>
        <v/>
      </c>
      <c r="C1102" t="str">
        <f>IFERROR(TRIM('Staff Daily sales'!$E1087&amp;""),"")</f>
        <v/>
      </c>
      <c r="D1102" t="str">
        <f>IFERROR(IF(TRIM('Staff Daily sales'!$F1087&amp;"")="","Unassigned",TRIM('Staff Daily sales'!$F1087&amp;"")),"Unassigned")</f>
        <v>Unassigned</v>
      </c>
      <c r="E1102">
        <f t="shared" si="282"/>
        <v>0</v>
      </c>
      <c r="F1102">
        <f>IF($E1102=0,0,SUMPRODUCT($AI$5:$DF$5,'Staff Daily sales'!$G1087:$CD1087))</f>
        <v>0</v>
      </c>
      <c r="G1102">
        <f>IF($E1102=0,0,SUMPRODUCT($AI$6:$DF$6,'Staff Daily sales'!$G1087:$CD1087))</f>
        <v>0</v>
      </c>
      <c r="H1102">
        <f t="shared" si="283"/>
        <v>0</v>
      </c>
      <c r="I1102">
        <f t="shared" si="284"/>
        <v>0</v>
      </c>
      <c r="J1102">
        <f t="shared" si="285"/>
        <v>0</v>
      </c>
      <c r="K1102">
        <f t="shared" si="286"/>
        <v>0</v>
      </c>
      <c r="L1102">
        <f>--AND($E1102=1,OR('Staff Dashboard'!$B$6="All",$DH1102='Staff Dashboard'!$B$6),OR('Staff Dashboard'!$B$7="All",$D1102='Staff Dashboard'!$B$7),OR('Staff Dashboard'!$B$8="All",$A1102='Staff Dashboard'!$B$8))</f>
        <v>0</v>
      </c>
      <c r="M1102">
        <f>IF($E1102=0,0,SUMPRODUCT($AI$7:$DF$7,'Staff Daily sales'!$G1087:$CD1087))</f>
        <v>0</v>
      </c>
      <c r="N1102">
        <f>IF($E1102=0,0,SUMPRODUCT($AI$8:$DF$8,'Staff Daily sales'!$G1087:$CD1087))</f>
        <v>0</v>
      </c>
      <c r="O1102">
        <f>IF($E1102=0,0,SUMPRODUCT($AI$9:$DF$9,'Staff Daily sales'!$G1087:$CD1087))</f>
        <v>0</v>
      </c>
      <c r="P1102">
        <f>IF($E1102=0,0,SUMPRODUCT($AI$10:$DF$10,'Staff Daily sales'!$G1087:$CD1087))</f>
        <v>0</v>
      </c>
      <c r="Q1102">
        <f>IF($E1102=0,0,SUMPRODUCT($AI$11:$DF$11,'Staff Daily sales'!$G1087:$CD1087))</f>
        <v>0</v>
      </c>
      <c r="R1102">
        <f>IF($E1102=0,0,SUMPRODUCT($AI$12:$DF$12,'Staff Daily sales'!$G1087:$CD1087))</f>
        <v>0</v>
      </c>
      <c r="S1102">
        <f>IF($E1102=0,0,SUMPRODUCT($AI$13:$DF$13,'Staff Daily sales'!$G1087:$CD1087))</f>
        <v>0</v>
      </c>
      <c r="T1102">
        <f>IF($E1102=0,0,SUMPRODUCT($AI$14:$DF$14,'Staff Daily sales'!$G1087:$CD1087))</f>
        <v>0</v>
      </c>
      <c r="U1102">
        <f>IF($E1102=0,0,SUMPRODUCT($AI$15:$DF$15,'Staff Daily sales'!$G1087:$CD1087))</f>
        <v>0</v>
      </c>
      <c r="V1102">
        <f>IF($E1102=0,0,SUMPRODUCT($AI$16:$DF$16,'Staff Daily sales'!$G1087:$CD1087))</f>
        <v>0</v>
      </c>
      <c r="W1102">
        <f t="shared" si="287"/>
        <v>0</v>
      </c>
      <c r="X1102">
        <f t="shared" si="288"/>
        <v>0</v>
      </c>
      <c r="Y1102">
        <f t="shared" si="289"/>
        <v>0</v>
      </c>
      <c r="Z1102">
        <f t="shared" si="290"/>
        <v>0</v>
      </c>
      <c r="AA1102">
        <f t="shared" si="291"/>
        <v>0</v>
      </c>
      <c r="AB1102">
        <f>--AND($E1102=1,OR('Staff Weekly Trend'!$B$3="All",$DH1102='Staff Weekly Trend'!$B$3),OR('Staff Weekly Trend'!$B$4="All",$D1102='Staff Weekly Trend'!$B$4),OR('Staff Weekly Trend'!$B$5="All",$A1102='Staff Weekly Trend'!$B$5))</f>
        <v>0</v>
      </c>
      <c r="AC1102" t="str">
        <f t="shared" si="292"/>
        <v/>
      </c>
      <c r="AI1102">
        <f t="shared" si="293"/>
        <v>0</v>
      </c>
      <c r="AJ1102">
        <f t="shared" si="294"/>
        <v>0</v>
      </c>
      <c r="AK1102">
        <f t="shared" si="295"/>
        <v>0</v>
      </c>
      <c r="AL1102">
        <f t="shared" si="296"/>
        <v>0</v>
      </c>
      <c r="AM1102">
        <f t="shared" si="297"/>
        <v>0</v>
      </c>
      <c r="DH1102" t="str" cm="1">
        <f t="array" ref="DH1102">IF($A1102="","",_xlfn.LET(_xlpm.c,IFERROR(_xlfn.XLOOKUP($A1102,TRIM('Sales and count'!$A$4:$A$300&amp;""),TRIM('Sales and count'!$B$4:$B$300&amp;"")),""),IF(OR(_xlpm.c="",_xlpm.c="0",LEFT(_xlpm.c,1)="#"),"Not set",_xlpm.c)))</f>
        <v/>
      </c>
    </row>
    <row r="1103" spans="1:112" x14ac:dyDescent="0.25">
      <c r="A1103" t="str">
        <f>IF('Staff Daily sales'!$B1088="","",TRIM('Staff Daily sales'!$B1088&amp;""))</f>
        <v/>
      </c>
      <c r="B1103" t="str">
        <f>IF('Staff Daily sales'!$D1088="","",TRIM('Staff Daily sales'!$D1088&amp;""))</f>
        <v/>
      </c>
      <c r="C1103" t="str">
        <f>IFERROR(TRIM('Staff Daily sales'!$E1088&amp;""),"")</f>
        <v/>
      </c>
      <c r="D1103" t="str">
        <f>IFERROR(IF(TRIM('Staff Daily sales'!$F1088&amp;"")="","Unassigned",TRIM('Staff Daily sales'!$F1088&amp;"")),"Unassigned")</f>
        <v>Unassigned</v>
      </c>
      <c r="E1103">
        <f t="shared" si="282"/>
        <v>0</v>
      </c>
      <c r="F1103">
        <f>IF($E1103=0,0,SUMPRODUCT($AI$5:$DF$5,'Staff Daily sales'!$G1088:$CD1088))</f>
        <v>0</v>
      </c>
      <c r="G1103">
        <f>IF($E1103=0,0,SUMPRODUCT($AI$6:$DF$6,'Staff Daily sales'!$G1088:$CD1088))</f>
        <v>0</v>
      </c>
      <c r="H1103">
        <f t="shared" si="283"/>
        <v>0</v>
      </c>
      <c r="I1103">
        <f t="shared" si="284"/>
        <v>0</v>
      </c>
      <c r="J1103">
        <f t="shared" si="285"/>
        <v>0</v>
      </c>
      <c r="K1103">
        <f t="shared" si="286"/>
        <v>0</v>
      </c>
      <c r="L1103">
        <f>--AND($E1103=1,OR('Staff Dashboard'!$B$6="All",$DH1103='Staff Dashboard'!$B$6),OR('Staff Dashboard'!$B$7="All",$D1103='Staff Dashboard'!$B$7),OR('Staff Dashboard'!$B$8="All",$A1103='Staff Dashboard'!$B$8))</f>
        <v>0</v>
      </c>
      <c r="M1103">
        <f>IF($E1103=0,0,SUMPRODUCT($AI$7:$DF$7,'Staff Daily sales'!$G1088:$CD1088))</f>
        <v>0</v>
      </c>
      <c r="N1103">
        <f>IF($E1103=0,0,SUMPRODUCT($AI$8:$DF$8,'Staff Daily sales'!$G1088:$CD1088))</f>
        <v>0</v>
      </c>
      <c r="O1103">
        <f>IF($E1103=0,0,SUMPRODUCT($AI$9:$DF$9,'Staff Daily sales'!$G1088:$CD1088))</f>
        <v>0</v>
      </c>
      <c r="P1103">
        <f>IF($E1103=0,0,SUMPRODUCT($AI$10:$DF$10,'Staff Daily sales'!$G1088:$CD1088))</f>
        <v>0</v>
      </c>
      <c r="Q1103">
        <f>IF($E1103=0,0,SUMPRODUCT($AI$11:$DF$11,'Staff Daily sales'!$G1088:$CD1088))</f>
        <v>0</v>
      </c>
      <c r="R1103">
        <f>IF($E1103=0,0,SUMPRODUCT($AI$12:$DF$12,'Staff Daily sales'!$G1088:$CD1088))</f>
        <v>0</v>
      </c>
      <c r="S1103">
        <f>IF($E1103=0,0,SUMPRODUCT($AI$13:$DF$13,'Staff Daily sales'!$G1088:$CD1088))</f>
        <v>0</v>
      </c>
      <c r="T1103">
        <f>IF($E1103=0,0,SUMPRODUCT($AI$14:$DF$14,'Staff Daily sales'!$G1088:$CD1088))</f>
        <v>0</v>
      </c>
      <c r="U1103">
        <f>IF($E1103=0,0,SUMPRODUCT($AI$15:$DF$15,'Staff Daily sales'!$G1088:$CD1088))</f>
        <v>0</v>
      </c>
      <c r="V1103">
        <f>IF($E1103=0,0,SUMPRODUCT($AI$16:$DF$16,'Staff Daily sales'!$G1088:$CD1088))</f>
        <v>0</v>
      </c>
      <c r="W1103">
        <f t="shared" si="287"/>
        <v>0</v>
      </c>
      <c r="X1103">
        <f t="shared" si="288"/>
        <v>0</v>
      </c>
      <c r="Y1103">
        <f t="shared" si="289"/>
        <v>0</v>
      </c>
      <c r="Z1103">
        <f t="shared" si="290"/>
        <v>0</v>
      </c>
      <c r="AA1103">
        <f t="shared" si="291"/>
        <v>0</v>
      </c>
      <c r="AB1103">
        <f>--AND($E1103=1,OR('Staff Weekly Trend'!$B$3="All",$DH1103='Staff Weekly Trend'!$B$3),OR('Staff Weekly Trend'!$B$4="All",$D1103='Staff Weekly Trend'!$B$4),OR('Staff Weekly Trend'!$B$5="All",$A1103='Staff Weekly Trend'!$B$5))</f>
        <v>0</v>
      </c>
      <c r="AC1103" t="str">
        <f t="shared" si="292"/>
        <v/>
      </c>
      <c r="AI1103">
        <f t="shared" si="293"/>
        <v>0</v>
      </c>
      <c r="AJ1103">
        <f t="shared" si="294"/>
        <v>0</v>
      </c>
      <c r="AK1103">
        <f t="shared" si="295"/>
        <v>0</v>
      </c>
      <c r="AL1103">
        <f t="shared" si="296"/>
        <v>0</v>
      </c>
      <c r="AM1103">
        <f t="shared" si="297"/>
        <v>0</v>
      </c>
      <c r="DH1103" t="str" cm="1">
        <f t="array" ref="DH1103">IF($A1103="","",_xlfn.LET(_xlpm.c,IFERROR(_xlfn.XLOOKUP($A1103,TRIM('Sales and count'!$A$4:$A$300&amp;""),TRIM('Sales and count'!$B$4:$B$300&amp;"")),""),IF(OR(_xlpm.c="",_xlpm.c="0",LEFT(_xlpm.c,1)="#"),"Not set",_xlpm.c)))</f>
        <v/>
      </c>
    </row>
    <row r="1104" spans="1:112" x14ac:dyDescent="0.25">
      <c r="A1104" t="str">
        <f>IF('Staff Daily sales'!$B1089="","",TRIM('Staff Daily sales'!$B1089&amp;""))</f>
        <v/>
      </c>
      <c r="B1104" t="str">
        <f>IF('Staff Daily sales'!$D1089="","",TRIM('Staff Daily sales'!$D1089&amp;""))</f>
        <v/>
      </c>
      <c r="C1104" t="str">
        <f>IFERROR(TRIM('Staff Daily sales'!$E1089&amp;""),"")</f>
        <v/>
      </c>
      <c r="D1104" t="str">
        <f>IFERROR(IF(TRIM('Staff Daily sales'!$F1089&amp;"")="","Unassigned",TRIM('Staff Daily sales'!$F1089&amp;"")),"Unassigned")</f>
        <v>Unassigned</v>
      </c>
      <c r="E1104">
        <f t="shared" si="282"/>
        <v>0</v>
      </c>
      <c r="F1104">
        <f>IF($E1104=0,0,SUMPRODUCT($AI$5:$DF$5,'Staff Daily sales'!$G1089:$CD1089))</f>
        <v>0</v>
      </c>
      <c r="G1104">
        <f>IF($E1104=0,0,SUMPRODUCT($AI$6:$DF$6,'Staff Daily sales'!$G1089:$CD1089))</f>
        <v>0</v>
      </c>
      <c r="H1104">
        <f t="shared" si="283"/>
        <v>0</v>
      </c>
      <c r="I1104">
        <f t="shared" si="284"/>
        <v>0</v>
      </c>
      <c r="J1104">
        <f t="shared" si="285"/>
        <v>0</v>
      </c>
      <c r="K1104">
        <f t="shared" si="286"/>
        <v>0</v>
      </c>
      <c r="L1104">
        <f>--AND($E1104=1,OR('Staff Dashboard'!$B$6="All",$DH1104='Staff Dashboard'!$B$6),OR('Staff Dashboard'!$B$7="All",$D1104='Staff Dashboard'!$B$7),OR('Staff Dashboard'!$B$8="All",$A1104='Staff Dashboard'!$B$8))</f>
        <v>0</v>
      </c>
      <c r="M1104">
        <f>IF($E1104=0,0,SUMPRODUCT($AI$7:$DF$7,'Staff Daily sales'!$G1089:$CD1089))</f>
        <v>0</v>
      </c>
      <c r="N1104">
        <f>IF($E1104=0,0,SUMPRODUCT($AI$8:$DF$8,'Staff Daily sales'!$G1089:$CD1089))</f>
        <v>0</v>
      </c>
      <c r="O1104">
        <f>IF($E1104=0,0,SUMPRODUCT($AI$9:$DF$9,'Staff Daily sales'!$G1089:$CD1089))</f>
        <v>0</v>
      </c>
      <c r="P1104">
        <f>IF($E1104=0,0,SUMPRODUCT($AI$10:$DF$10,'Staff Daily sales'!$G1089:$CD1089))</f>
        <v>0</v>
      </c>
      <c r="Q1104">
        <f>IF($E1104=0,0,SUMPRODUCT($AI$11:$DF$11,'Staff Daily sales'!$G1089:$CD1089))</f>
        <v>0</v>
      </c>
      <c r="R1104">
        <f>IF($E1104=0,0,SUMPRODUCT($AI$12:$DF$12,'Staff Daily sales'!$G1089:$CD1089))</f>
        <v>0</v>
      </c>
      <c r="S1104">
        <f>IF($E1104=0,0,SUMPRODUCT($AI$13:$DF$13,'Staff Daily sales'!$G1089:$CD1089))</f>
        <v>0</v>
      </c>
      <c r="T1104">
        <f>IF($E1104=0,0,SUMPRODUCT($AI$14:$DF$14,'Staff Daily sales'!$G1089:$CD1089))</f>
        <v>0</v>
      </c>
      <c r="U1104">
        <f>IF($E1104=0,0,SUMPRODUCT($AI$15:$DF$15,'Staff Daily sales'!$G1089:$CD1089))</f>
        <v>0</v>
      </c>
      <c r="V1104">
        <f>IF($E1104=0,0,SUMPRODUCT($AI$16:$DF$16,'Staff Daily sales'!$G1089:$CD1089))</f>
        <v>0</v>
      </c>
      <c r="W1104">
        <f t="shared" si="287"/>
        <v>0</v>
      </c>
      <c r="X1104">
        <f t="shared" si="288"/>
        <v>0</v>
      </c>
      <c r="Y1104">
        <f t="shared" si="289"/>
        <v>0</v>
      </c>
      <c r="Z1104">
        <f t="shared" si="290"/>
        <v>0</v>
      </c>
      <c r="AA1104">
        <f t="shared" si="291"/>
        <v>0</v>
      </c>
      <c r="AB1104">
        <f>--AND($E1104=1,OR('Staff Weekly Trend'!$B$3="All",$DH1104='Staff Weekly Trend'!$B$3),OR('Staff Weekly Trend'!$B$4="All",$D1104='Staff Weekly Trend'!$B$4),OR('Staff Weekly Trend'!$B$5="All",$A1104='Staff Weekly Trend'!$B$5))</f>
        <v>0</v>
      </c>
      <c r="AC1104" t="str">
        <f t="shared" si="292"/>
        <v/>
      </c>
      <c r="AI1104">
        <f t="shared" si="293"/>
        <v>0</v>
      </c>
      <c r="AJ1104">
        <f t="shared" si="294"/>
        <v>0</v>
      </c>
      <c r="AK1104">
        <f t="shared" si="295"/>
        <v>0</v>
      </c>
      <c r="AL1104">
        <f t="shared" si="296"/>
        <v>0</v>
      </c>
      <c r="AM1104">
        <f t="shared" si="297"/>
        <v>0</v>
      </c>
      <c r="DH1104" t="str" cm="1">
        <f t="array" ref="DH1104">IF($A1104="","",_xlfn.LET(_xlpm.c,IFERROR(_xlfn.XLOOKUP($A1104,TRIM('Sales and count'!$A$4:$A$300&amp;""),TRIM('Sales and count'!$B$4:$B$300&amp;"")),""),IF(OR(_xlpm.c="",_xlpm.c="0",LEFT(_xlpm.c,1)="#"),"Not set",_xlpm.c)))</f>
        <v/>
      </c>
    </row>
    <row r="1105" spans="1:112" x14ac:dyDescent="0.25">
      <c r="A1105" t="str">
        <f>IF('Staff Daily sales'!$B1090="","",TRIM('Staff Daily sales'!$B1090&amp;""))</f>
        <v/>
      </c>
      <c r="B1105" t="str">
        <f>IF('Staff Daily sales'!$D1090="","",TRIM('Staff Daily sales'!$D1090&amp;""))</f>
        <v/>
      </c>
      <c r="C1105" t="str">
        <f>IFERROR(TRIM('Staff Daily sales'!$E1090&amp;""),"")</f>
        <v/>
      </c>
      <c r="D1105" t="str">
        <f>IFERROR(IF(TRIM('Staff Daily sales'!$F1090&amp;"")="","Unassigned",TRIM('Staff Daily sales'!$F1090&amp;"")),"Unassigned")</f>
        <v>Unassigned</v>
      </c>
      <c r="E1105">
        <f t="shared" si="282"/>
        <v>0</v>
      </c>
      <c r="F1105">
        <f>IF($E1105=0,0,SUMPRODUCT($AI$5:$DF$5,'Staff Daily sales'!$G1090:$CD1090))</f>
        <v>0</v>
      </c>
      <c r="G1105">
        <f>IF($E1105=0,0,SUMPRODUCT($AI$6:$DF$6,'Staff Daily sales'!$G1090:$CD1090))</f>
        <v>0</v>
      </c>
      <c r="H1105">
        <f t="shared" si="283"/>
        <v>0</v>
      </c>
      <c r="I1105">
        <f t="shared" si="284"/>
        <v>0</v>
      </c>
      <c r="J1105">
        <f t="shared" si="285"/>
        <v>0</v>
      </c>
      <c r="K1105">
        <f t="shared" si="286"/>
        <v>0</v>
      </c>
      <c r="L1105">
        <f>--AND($E1105=1,OR('Staff Dashboard'!$B$6="All",$DH1105='Staff Dashboard'!$B$6),OR('Staff Dashboard'!$B$7="All",$D1105='Staff Dashboard'!$B$7),OR('Staff Dashboard'!$B$8="All",$A1105='Staff Dashboard'!$B$8))</f>
        <v>0</v>
      </c>
      <c r="M1105">
        <f>IF($E1105=0,0,SUMPRODUCT($AI$7:$DF$7,'Staff Daily sales'!$G1090:$CD1090))</f>
        <v>0</v>
      </c>
      <c r="N1105">
        <f>IF($E1105=0,0,SUMPRODUCT($AI$8:$DF$8,'Staff Daily sales'!$G1090:$CD1090))</f>
        <v>0</v>
      </c>
      <c r="O1105">
        <f>IF($E1105=0,0,SUMPRODUCT($AI$9:$DF$9,'Staff Daily sales'!$G1090:$CD1090))</f>
        <v>0</v>
      </c>
      <c r="P1105">
        <f>IF($E1105=0,0,SUMPRODUCT($AI$10:$DF$10,'Staff Daily sales'!$G1090:$CD1090))</f>
        <v>0</v>
      </c>
      <c r="Q1105">
        <f>IF($E1105=0,0,SUMPRODUCT($AI$11:$DF$11,'Staff Daily sales'!$G1090:$CD1090))</f>
        <v>0</v>
      </c>
      <c r="R1105">
        <f>IF($E1105=0,0,SUMPRODUCT($AI$12:$DF$12,'Staff Daily sales'!$G1090:$CD1090))</f>
        <v>0</v>
      </c>
      <c r="S1105">
        <f>IF($E1105=0,0,SUMPRODUCT($AI$13:$DF$13,'Staff Daily sales'!$G1090:$CD1090))</f>
        <v>0</v>
      </c>
      <c r="T1105">
        <f>IF($E1105=0,0,SUMPRODUCT($AI$14:$DF$14,'Staff Daily sales'!$G1090:$CD1090))</f>
        <v>0</v>
      </c>
      <c r="U1105">
        <f>IF($E1105=0,0,SUMPRODUCT($AI$15:$DF$15,'Staff Daily sales'!$G1090:$CD1090))</f>
        <v>0</v>
      </c>
      <c r="V1105">
        <f>IF($E1105=0,0,SUMPRODUCT($AI$16:$DF$16,'Staff Daily sales'!$G1090:$CD1090))</f>
        <v>0</v>
      </c>
      <c r="W1105">
        <f t="shared" si="287"/>
        <v>0</v>
      </c>
      <c r="X1105">
        <f t="shared" si="288"/>
        <v>0</v>
      </c>
      <c r="Y1105">
        <f t="shared" si="289"/>
        <v>0</v>
      </c>
      <c r="Z1105">
        <f t="shared" si="290"/>
        <v>0</v>
      </c>
      <c r="AA1105">
        <f t="shared" si="291"/>
        <v>0</v>
      </c>
      <c r="AB1105">
        <f>--AND($E1105=1,OR('Staff Weekly Trend'!$B$3="All",$DH1105='Staff Weekly Trend'!$B$3),OR('Staff Weekly Trend'!$B$4="All",$D1105='Staff Weekly Trend'!$B$4),OR('Staff Weekly Trend'!$B$5="All",$A1105='Staff Weekly Trend'!$B$5))</f>
        <v>0</v>
      </c>
      <c r="AC1105" t="str">
        <f t="shared" si="292"/>
        <v/>
      </c>
      <c r="AI1105">
        <f t="shared" si="293"/>
        <v>0</v>
      </c>
      <c r="AJ1105">
        <f t="shared" si="294"/>
        <v>0</v>
      </c>
      <c r="AK1105">
        <f t="shared" si="295"/>
        <v>0</v>
      </c>
      <c r="AL1105">
        <f t="shared" si="296"/>
        <v>0</v>
      </c>
      <c r="AM1105">
        <f t="shared" si="297"/>
        <v>0</v>
      </c>
      <c r="DH1105" t="str" cm="1">
        <f t="array" ref="DH1105">IF($A1105="","",_xlfn.LET(_xlpm.c,IFERROR(_xlfn.XLOOKUP($A1105,TRIM('Sales and count'!$A$4:$A$300&amp;""),TRIM('Sales and count'!$B$4:$B$300&amp;"")),""),IF(OR(_xlpm.c="",_xlpm.c="0",LEFT(_xlpm.c,1)="#"),"Not set",_xlpm.c)))</f>
        <v/>
      </c>
    </row>
    <row r="1106" spans="1:112" x14ac:dyDescent="0.25">
      <c r="A1106" t="str">
        <f>IF('Staff Daily sales'!$B1091="","",TRIM('Staff Daily sales'!$B1091&amp;""))</f>
        <v/>
      </c>
      <c r="B1106" t="str">
        <f>IF('Staff Daily sales'!$D1091="","",TRIM('Staff Daily sales'!$D1091&amp;""))</f>
        <v/>
      </c>
      <c r="C1106" t="str">
        <f>IFERROR(TRIM('Staff Daily sales'!$E1091&amp;""),"")</f>
        <v/>
      </c>
      <c r="D1106" t="str">
        <f>IFERROR(IF(TRIM('Staff Daily sales'!$F1091&amp;"")="","Unassigned",TRIM('Staff Daily sales'!$F1091&amp;"")),"Unassigned")</f>
        <v>Unassigned</v>
      </c>
      <c r="E1106">
        <f t="shared" si="282"/>
        <v>0</v>
      </c>
      <c r="F1106">
        <f>IF($E1106=0,0,SUMPRODUCT($AI$5:$DF$5,'Staff Daily sales'!$G1091:$CD1091))</f>
        <v>0</v>
      </c>
      <c r="G1106">
        <f>IF($E1106=0,0,SUMPRODUCT($AI$6:$DF$6,'Staff Daily sales'!$G1091:$CD1091))</f>
        <v>0</v>
      </c>
      <c r="H1106">
        <f t="shared" si="283"/>
        <v>0</v>
      </c>
      <c r="I1106">
        <f t="shared" si="284"/>
        <v>0</v>
      </c>
      <c r="J1106">
        <f t="shared" si="285"/>
        <v>0</v>
      </c>
      <c r="K1106">
        <f t="shared" si="286"/>
        <v>0</v>
      </c>
      <c r="L1106">
        <f>--AND($E1106=1,OR('Staff Dashboard'!$B$6="All",$DH1106='Staff Dashboard'!$B$6),OR('Staff Dashboard'!$B$7="All",$D1106='Staff Dashboard'!$B$7),OR('Staff Dashboard'!$B$8="All",$A1106='Staff Dashboard'!$B$8))</f>
        <v>0</v>
      </c>
      <c r="M1106">
        <f>IF($E1106=0,0,SUMPRODUCT($AI$7:$DF$7,'Staff Daily sales'!$G1091:$CD1091))</f>
        <v>0</v>
      </c>
      <c r="N1106">
        <f>IF($E1106=0,0,SUMPRODUCT($AI$8:$DF$8,'Staff Daily sales'!$G1091:$CD1091))</f>
        <v>0</v>
      </c>
      <c r="O1106">
        <f>IF($E1106=0,0,SUMPRODUCT($AI$9:$DF$9,'Staff Daily sales'!$G1091:$CD1091))</f>
        <v>0</v>
      </c>
      <c r="P1106">
        <f>IF($E1106=0,0,SUMPRODUCT($AI$10:$DF$10,'Staff Daily sales'!$G1091:$CD1091))</f>
        <v>0</v>
      </c>
      <c r="Q1106">
        <f>IF($E1106=0,0,SUMPRODUCT($AI$11:$DF$11,'Staff Daily sales'!$G1091:$CD1091))</f>
        <v>0</v>
      </c>
      <c r="R1106">
        <f>IF($E1106=0,0,SUMPRODUCT($AI$12:$DF$12,'Staff Daily sales'!$G1091:$CD1091))</f>
        <v>0</v>
      </c>
      <c r="S1106">
        <f>IF($E1106=0,0,SUMPRODUCT($AI$13:$DF$13,'Staff Daily sales'!$G1091:$CD1091))</f>
        <v>0</v>
      </c>
      <c r="T1106">
        <f>IF($E1106=0,0,SUMPRODUCT($AI$14:$DF$14,'Staff Daily sales'!$G1091:$CD1091))</f>
        <v>0</v>
      </c>
      <c r="U1106">
        <f>IF($E1106=0,0,SUMPRODUCT($AI$15:$DF$15,'Staff Daily sales'!$G1091:$CD1091))</f>
        <v>0</v>
      </c>
      <c r="V1106">
        <f>IF($E1106=0,0,SUMPRODUCT($AI$16:$DF$16,'Staff Daily sales'!$G1091:$CD1091))</f>
        <v>0</v>
      </c>
      <c r="W1106">
        <f t="shared" si="287"/>
        <v>0</v>
      </c>
      <c r="X1106">
        <f t="shared" si="288"/>
        <v>0</v>
      </c>
      <c r="Y1106">
        <f t="shared" si="289"/>
        <v>0</v>
      </c>
      <c r="Z1106">
        <f t="shared" si="290"/>
        <v>0</v>
      </c>
      <c r="AA1106">
        <f t="shared" si="291"/>
        <v>0</v>
      </c>
      <c r="AB1106">
        <f>--AND($E1106=1,OR('Staff Weekly Trend'!$B$3="All",$DH1106='Staff Weekly Trend'!$B$3),OR('Staff Weekly Trend'!$B$4="All",$D1106='Staff Weekly Trend'!$B$4),OR('Staff Weekly Trend'!$B$5="All",$A1106='Staff Weekly Trend'!$B$5))</f>
        <v>0</v>
      </c>
      <c r="AC1106" t="str">
        <f t="shared" si="292"/>
        <v/>
      </c>
      <c r="AI1106">
        <f t="shared" si="293"/>
        <v>0</v>
      </c>
      <c r="AJ1106">
        <f t="shared" si="294"/>
        <v>0</v>
      </c>
      <c r="AK1106">
        <f t="shared" si="295"/>
        <v>0</v>
      </c>
      <c r="AL1106">
        <f t="shared" si="296"/>
        <v>0</v>
      </c>
      <c r="AM1106">
        <f t="shared" si="297"/>
        <v>0</v>
      </c>
      <c r="DH1106" t="str" cm="1">
        <f t="array" ref="DH1106">IF($A1106="","",_xlfn.LET(_xlpm.c,IFERROR(_xlfn.XLOOKUP($A1106,TRIM('Sales and count'!$A$4:$A$300&amp;""),TRIM('Sales and count'!$B$4:$B$300&amp;"")),""),IF(OR(_xlpm.c="",_xlpm.c="0",LEFT(_xlpm.c,1)="#"),"Not set",_xlpm.c)))</f>
        <v/>
      </c>
    </row>
    <row r="1107" spans="1:112" x14ac:dyDescent="0.25">
      <c r="A1107" t="str">
        <f>IF('Staff Daily sales'!$B1092="","",TRIM('Staff Daily sales'!$B1092&amp;""))</f>
        <v/>
      </c>
      <c r="B1107" t="str">
        <f>IF('Staff Daily sales'!$D1092="","",TRIM('Staff Daily sales'!$D1092&amp;""))</f>
        <v/>
      </c>
      <c r="C1107" t="str">
        <f>IFERROR(TRIM('Staff Daily sales'!$E1092&amp;""),"")</f>
        <v/>
      </c>
      <c r="D1107" t="str">
        <f>IFERROR(IF(TRIM('Staff Daily sales'!$F1092&amp;"")="","Unassigned",TRIM('Staff Daily sales'!$F1092&amp;"")),"Unassigned")</f>
        <v>Unassigned</v>
      </c>
      <c r="E1107">
        <f t="shared" si="282"/>
        <v>0</v>
      </c>
      <c r="F1107">
        <f>IF($E1107=0,0,SUMPRODUCT($AI$5:$DF$5,'Staff Daily sales'!$G1092:$CD1092))</f>
        <v>0</v>
      </c>
      <c r="G1107">
        <f>IF($E1107=0,0,SUMPRODUCT($AI$6:$DF$6,'Staff Daily sales'!$G1092:$CD1092))</f>
        <v>0</v>
      </c>
      <c r="H1107">
        <f t="shared" si="283"/>
        <v>0</v>
      </c>
      <c r="I1107">
        <f t="shared" si="284"/>
        <v>0</v>
      </c>
      <c r="J1107">
        <f t="shared" si="285"/>
        <v>0</v>
      </c>
      <c r="K1107">
        <f t="shared" si="286"/>
        <v>0</v>
      </c>
      <c r="L1107">
        <f>--AND($E1107=1,OR('Staff Dashboard'!$B$6="All",$DH1107='Staff Dashboard'!$B$6),OR('Staff Dashboard'!$B$7="All",$D1107='Staff Dashboard'!$B$7),OR('Staff Dashboard'!$B$8="All",$A1107='Staff Dashboard'!$B$8))</f>
        <v>0</v>
      </c>
      <c r="M1107">
        <f>IF($E1107=0,0,SUMPRODUCT($AI$7:$DF$7,'Staff Daily sales'!$G1092:$CD1092))</f>
        <v>0</v>
      </c>
      <c r="N1107">
        <f>IF($E1107=0,0,SUMPRODUCT($AI$8:$DF$8,'Staff Daily sales'!$G1092:$CD1092))</f>
        <v>0</v>
      </c>
      <c r="O1107">
        <f>IF($E1107=0,0,SUMPRODUCT($AI$9:$DF$9,'Staff Daily sales'!$G1092:$CD1092))</f>
        <v>0</v>
      </c>
      <c r="P1107">
        <f>IF($E1107=0,0,SUMPRODUCT($AI$10:$DF$10,'Staff Daily sales'!$G1092:$CD1092))</f>
        <v>0</v>
      </c>
      <c r="Q1107">
        <f>IF($E1107=0,0,SUMPRODUCT($AI$11:$DF$11,'Staff Daily sales'!$G1092:$CD1092))</f>
        <v>0</v>
      </c>
      <c r="R1107">
        <f>IF($E1107=0,0,SUMPRODUCT($AI$12:$DF$12,'Staff Daily sales'!$G1092:$CD1092))</f>
        <v>0</v>
      </c>
      <c r="S1107">
        <f>IF($E1107=0,0,SUMPRODUCT($AI$13:$DF$13,'Staff Daily sales'!$G1092:$CD1092))</f>
        <v>0</v>
      </c>
      <c r="T1107">
        <f>IF($E1107=0,0,SUMPRODUCT($AI$14:$DF$14,'Staff Daily sales'!$G1092:$CD1092))</f>
        <v>0</v>
      </c>
      <c r="U1107">
        <f>IF($E1107=0,0,SUMPRODUCT($AI$15:$DF$15,'Staff Daily sales'!$G1092:$CD1092))</f>
        <v>0</v>
      </c>
      <c r="V1107">
        <f>IF($E1107=0,0,SUMPRODUCT($AI$16:$DF$16,'Staff Daily sales'!$G1092:$CD1092))</f>
        <v>0</v>
      </c>
      <c r="W1107">
        <f t="shared" si="287"/>
        <v>0</v>
      </c>
      <c r="X1107">
        <f t="shared" si="288"/>
        <v>0</v>
      </c>
      <c r="Y1107">
        <f t="shared" si="289"/>
        <v>0</v>
      </c>
      <c r="Z1107">
        <f t="shared" si="290"/>
        <v>0</v>
      </c>
      <c r="AA1107">
        <f t="shared" si="291"/>
        <v>0</v>
      </c>
      <c r="AB1107">
        <f>--AND($E1107=1,OR('Staff Weekly Trend'!$B$3="All",$DH1107='Staff Weekly Trend'!$B$3),OR('Staff Weekly Trend'!$B$4="All",$D1107='Staff Weekly Trend'!$B$4),OR('Staff Weekly Trend'!$B$5="All",$A1107='Staff Weekly Trend'!$B$5))</f>
        <v>0</v>
      </c>
      <c r="AC1107" t="str">
        <f t="shared" si="292"/>
        <v/>
      </c>
      <c r="AI1107">
        <f t="shared" si="293"/>
        <v>0</v>
      </c>
      <c r="AJ1107">
        <f t="shared" si="294"/>
        <v>0</v>
      </c>
      <c r="AK1107">
        <f t="shared" si="295"/>
        <v>0</v>
      </c>
      <c r="AL1107">
        <f t="shared" si="296"/>
        <v>0</v>
      </c>
      <c r="AM1107">
        <f t="shared" si="297"/>
        <v>0</v>
      </c>
      <c r="DH1107" t="str" cm="1">
        <f t="array" ref="DH1107">IF($A1107="","",_xlfn.LET(_xlpm.c,IFERROR(_xlfn.XLOOKUP($A1107,TRIM('Sales and count'!$A$4:$A$300&amp;""),TRIM('Sales and count'!$B$4:$B$300&amp;"")),""),IF(OR(_xlpm.c="",_xlpm.c="0",LEFT(_xlpm.c,1)="#"),"Not set",_xlpm.c)))</f>
        <v/>
      </c>
    </row>
    <row r="1108" spans="1:112" x14ac:dyDescent="0.25">
      <c r="A1108" t="str">
        <f>IF('Staff Daily sales'!$B1093="","",TRIM('Staff Daily sales'!$B1093&amp;""))</f>
        <v/>
      </c>
      <c r="B1108" t="str">
        <f>IF('Staff Daily sales'!$D1093="","",TRIM('Staff Daily sales'!$D1093&amp;""))</f>
        <v/>
      </c>
      <c r="C1108" t="str">
        <f>IFERROR(TRIM('Staff Daily sales'!$E1093&amp;""),"")</f>
        <v/>
      </c>
      <c r="D1108" t="str">
        <f>IFERROR(IF(TRIM('Staff Daily sales'!$F1093&amp;"")="","Unassigned",TRIM('Staff Daily sales'!$F1093&amp;"")),"Unassigned")</f>
        <v>Unassigned</v>
      </c>
      <c r="E1108">
        <f t="shared" ref="E1108:E1171" si="298">--AND($A1108&lt;&gt;"",$B1108&lt;&gt;"")</f>
        <v>0</v>
      </c>
      <c r="F1108">
        <f>IF($E1108=0,0,SUMPRODUCT($AI$5:$DF$5,'Staff Daily sales'!$G1093:$CD1093))</f>
        <v>0</v>
      </c>
      <c r="G1108">
        <f>IF($E1108=0,0,SUMPRODUCT($AI$6:$DF$6,'Staff Daily sales'!$G1093:$CD1093))</f>
        <v>0</v>
      </c>
      <c r="H1108">
        <f t="shared" ref="H1108:H1171" si="299">IF($E1108=0,0,SUMIFS($F$20:$F$1515,$A$20:$A$1515,$A1108))</f>
        <v>0</v>
      </c>
      <c r="I1108">
        <f t="shared" ref="I1108:I1171" si="300">IF($E1108=0,0,SUMIFS($G$20:$G$1515,$A$20:$A$1515,$A1108))</f>
        <v>0</v>
      </c>
      <c r="J1108">
        <f t="shared" ref="J1108:J1171" si="301">IF($E1108=0,0,SUMIFS($F$20:$F$1515,$D$20:$D$1515,$D1108))</f>
        <v>0</v>
      </c>
      <c r="K1108">
        <f t="shared" ref="K1108:K1171" si="302">IF($E1108=0,0,SUMIFS($G$20:$G$1515,$D$20:$D$1515,$D1108))</f>
        <v>0</v>
      </c>
      <c r="L1108">
        <f>--AND($E1108=1,OR('Staff Dashboard'!$B$6="All",$DH1108='Staff Dashboard'!$B$6),OR('Staff Dashboard'!$B$7="All",$D1108='Staff Dashboard'!$B$7),OR('Staff Dashboard'!$B$8="All",$A1108='Staff Dashboard'!$B$8))</f>
        <v>0</v>
      </c>
      <c r="M1108">
        <f>IF($E1108=0,0,SUMPRODUCT($AI$7:$DF$7,'Staff Daily sales'!$G1093:$CD1093))</f>
        <v>0</v>
      </c>
      <c r="N1108">
        <f>IF($E1108=0,0,SUMPRODUCT($AI$8:$DF$8,'Staff Daily sales'!$G1093:$CD1093))</f>
        <v>0</v>
      </c>
      <c r="O1108">
        <f>IF($E1108=0,0,SUMPRODUCT($AI$9:$DF$9,'Staff Daily sales'!$G1093:$CD1093))</f>
        <v>0</v>
      </c>
      <c r="P1108">
        <f>IF($E1108=0,0,SUMPRODUCT($AI$10:$DF$10,'Staff Daily sales'!$G1093:$CD1093))</f>
        <v>0</v>
      </c>
      <c r="Q1108">
        <f>IF($E1108=0,0,SUMPRODUCT($AI$11:$DF$11,'Staff Daily sales'!$G1093:$CD1093))</f>
        <v>0</v>
      </c>
      <c r="R1108">
        <f>IF($E1108=0,0,SUMPRODUCT($AI$12:$DF$12,'Staff Daily sales'!$G1093:$CD1093))</f>
        <v>0</v>
      </c>
      <c r="S1108">
        <f>IF($E1108=0,0,SUMPRODUCT($AI$13:$DF$13,'Staff Daily sales'!$G1093:$CD1093))</f>
        <v>0</v>
      </c>
      <c r="T1108">
        <f>IF($E1108=0,0,SUMPRODUCT($AI$14:$DF$14,'Staff Daily sales'!$G1093:$CD1093))</f>
        <v>0</v>
      </c>
      <c r="U1108">
        <f>IF($E1108=0,0,SUMPRODUCT($AI$15:$DF$15,'Staff Daily sales'!$G1093:$CD1093))</f>
        <v>0</v>
      </c>
      <c r="V1108">
        <f>IF($E1108=0,0,SUMPRODUCT($AI$16:$DF$16,'Staff Daily sales'!$G1093:$CD1093))</f>
        <v>0</v>
      </c>
      <c r="W1108">
        <f t="shared" ref="W1108:W1171" si="303">IF($E1108=0,0,SUMIFS(M$20:M$1515,$A$20:$A$1515,$A1108))</f>
        <v>0</v>
      </c>
      <c r="X1108">
        <f t="shared" ref="X1108:X1171" si="304">IF($E1108=0,0,SUMIFS(O$20:O$1515,$A$20:$A$1515,$A1108))</f>
        <v>0</v>
      </c>
      <c r="Y1108">
        <f t="shared" ref="Y1108:Y1171" si="305">IF($E1108=0,0,SUMIFS(Q$20:Q$1515,$A$20:$A$1515,$A1108))</f>
        <v>0</v>
      </c>
      <c r="Z1108">
        <f t="shared" ref="Z1108:Z1171" si="306">IF($E1108=0,0,SUMIFS(S$20:S$1515,$A$20:$A$1515,$A1108))</f>
        <v>0</v>
      </c>
      <c r="AA1108">
        <f t="shared" ref="AA1108:AA1171" si="307">IF($E1108=0,0,SUMIFS(U$20:U$1515,$A$20:$A$1515,$A1108))</f>
        <v>0</v>
      </c>
      <c r="AB1108">
        <f>--AND($E1108=1,OR('Staff Weekly Trend'!$B$3="All",$DH1108='Staff Weekly Trend'!$B$3),OR('Staff Weekly Trend'!$B$4="All",$D1108='Staff Weekly Trend'!$B$4),OR('Staff Weekly Trend'!$B$5="All",$A1108='Staff Weekly Trend'!$B$5))</f>
        <v>0</v>
      </c>
      <c r="AC1108" t="str">
        <f t="shared" ref="AC1108:AC1171" si="308">IF(OR($E1108=0,AND($F1108=0,$G1108=0)),"",COUNTIFS($A$20:$A$1515,$A1108,$E$20:$E$1515,1,$F$20:$F$1515,"&gt;"&amp;$F1108)+1)</f>
        <v/>
      </c>
      <c r="AI1108">
        <f t="shared" ref="AI1108:AI1171" si="309">IF($E1108=0,0,SUMIFS(N$20:N$1515,$A$20:$A$1515,$A1108))</f>
        <v>0</v>
      </c>
      <c r="AJ1108">
        <f t="shared" ref="AJ1108:AJ1171" si="310">IF($E1108=0,0,SUMIFS(P$20:P$1515,$A$20:$A$1515,$A1108))</f>
        <v>0</v>
      </c>
      <c r="AK1108">
        <f t="shared" ref="AK1108:AK1171" si="311">IF($E1108=0,0,SUMIFS(R$20:R$1515,$A$20:$A$1515,$A1108))</f>
        <v>0</v>
      </c>
      <c r="AL1108">
        <f t="shared" ref="AL1108:AL1171" si="312">IF($E1108=0,0,SUMIFS(T$20:T$1515,$A$20:$A$1515,$A1108))</f>
        <v>0</v>
      </c>
      <c r="AM1108">
        <f t="shared" ref="AM1108:AM1171" si="313">IF($E1108=0,0,SUMIFS(V$20:V$1515,$A$20:$A$1515,$A1108))</f>
        <v>0</v>
      </c>
      <c r="DH1108" t="str" cm="1">
        <f t="array" ref="DH1108">IF($A1108="","",_xlfn.LET(_xlpm.c,IFERROR(_xlfn.XLOOKUP($A1108,TRIM('Sales and count'!$A$4:$A$300&amp;""),TRIM('Sales and count'!$B$4:$B$300&amp;"")),""),IF(OR(_xlpm.c="",_xlpm.c="0",LEFT(_xlpm.c,1)="#"),"Not set",_xlpm.c)))</f>
        <v/>
      </c>
    </row>
    <row r="1109" spans="1:112" x14ac:dyDescent="0.25">
      <c r="A1109" t="str">
        <f>IF('Staff Daily sales'!$B1094="","",TRIM('Staff Daily sales'!$B1094&amp;""))</f>
        <v/>
      </c>
      <c r="B1109" t="str">
        <f>IF('Staff Daily sales'!$D1094="","",TRIM('Staff Daily sales'!$D1094&amp;""))</f>
        <v/>
      </c>
      <c r="C1109" t="str">
        <f>IFERROR(TRIM('Staff Daily sales'!$E1094&amp;""),"")</f>
        <v/>
      </c>
      <c r="D1109" t="str">
        <f>IFERROR(IF(TRIM('Staff Daily sales'!$F1094&amp;"")="","Unassigned",TRIM('Staff Daily sales'!$F1094&amp;"")),"Unassigned")</f>
        <v>Unassigned</v>
      </c>
      <c r="E1109">
        <f t="shared" si="298"/>
        <v>0</v>
      </c>
      <c r="F1109">
        <f>IF($E1109=0,0,SUMPRODUCT($AI$5:$DF$5,'Staff Daily sales'!$G1094:$CD1094))</f>
        <v>0</v>
      </c>
      <c r="G1109">
        <f>IF($E1109=0,0,SUMPRODUCT($AI$6:$DF$6,'Staff Daily sales'!$G1094:$CD1094))</f>
        <v>0</v>
      </c>
      <c r="H1109">
        <f t="shared" si="299"/>
        <v>0</v>
      </c>
      <c r="I1109">
        <f t="shared" si="300"/>
        <v>0</v>
      </c>
      <c r="J1109">
        <f t="shared" si="301"/>
        <v>0</v>
      </c>
      <c r="K1109">
        <f t="shared" si="302"/>
        <v>0</v>
      </c>
      <c r="L1109">
        <f>--AND($E1109=1,OR('Staff Dashboard'!$B$6="All",$DH1109='Staff Dashboard'!$B$6),OR('Staff Dashboard'!$B$7="All",$D1109='Staff Dashboard'!$B$7),OR('Staff Dashboard'!$B$8="All",$A1109='Staff Dashboard'!$B$8))</f>
        <v>0</v>
      </c>
      <c r="M1109">
        <f>IF($E1109=0,0,SUMPRODUCT($AI$7:$DF$7,'Staff Daily sales'!$G1094:$CD1094))</f>
        <v>0</v>
      </c>
      <c r="N1109">
        <f>IF($E1109=0,0,SUMPRODUCT($AI$8:$DF$8,'Staff Daily sales'!$G1094:$CD1094))</f>
        <v>0</v>
      </c>
      <c r="O1109">
        <f>IF($E1109=0,0,SUMPRODUCT($AI$9:$DF$9,'Staff Daily sales'!$G1094:$CD1094))</f>
        <v>0</v>
      </c>
      <c r="P1109">
        <f>IF($E1109=0,0,SUMPRODUCT($AI$10:$DF$10,'Staff Daily sales'!$G1094:$CD1094))</f>
        <v>0</v>
      </c>
      <c r="Q1109">
        <f>IF($E1109=0,0,SUMPRODUCT($AI$11:$DF$11,'Staff Daily sales'!$G1094:$CD1094))</f>
        <v>0</v>
      </c>
      <c r="R1109">
        <f>IF($E1109=0,0,SUMPRODUCT($AI$12:$DF$12,'Staff Daily sales'!$G1094:$CD1094))</f>
        <v>0</v>
      </c>
      <c r="S1109">
        <f>IF($E1109=0,0,SUMPRODUCT($AI$13:$DF$13,'Staff Daily sales'!$G1094:$CD1094))</f>
        <v>0</v>
      </c>
      <c r="T1109">
        <f>IF($E1109=0,0,SUMPRODUCT($AI$14:$DF$14,'Staff Daily sales'!$G1094:$CD1094))</f>
        <v>0</v>
      </c>
      <c r="U1109">
        <f>IF($E1109=0,0,SUMPRODUCT($AI$15:$DF$15,'Staff Daily sales'!$G1094:$CD1094))</f>
        <v>0</v>
      </c>
      <c r="V1109">
        <f>IF($E1109=0,0,SUMPRODUCT($AI$16:$DF$16,'Staff Daily sales'!$G1094:$CD1094))</f>
        <v>0</v>
      </c>
      <c r="W1109">
        <f t="shared" si="303"/>
        <v>0</v>
      </c>
      <c r="X1109">
        <f t="shared" si="304"/>
        <v>0</v>
      </c>
      <c r="Y1109">
        <f t="shared" si="305"/>
        <v>0</v>
      </c>
      <c r="Z1109">
        <f t="shared" si="306"/>
        <v>0</v>
      </c>
      <c r="AA1109">
        <f t="shared" si="307"/>
        <v>0</v>
      </c>
      <c r="AB1109">
        <f>--AND($E1109=1,OR('Staff Weekly Trend'!$B$3="All",$DH1109='Staff Weekly Trend'!$B$3),OR('Staff Weekly Trend'!$B$4="All",$D1109='Staff Weekly Trend'!$B$4),OR('Staff Weekly Trend'!$B$5="All",$A1109='Staff Weekly Trend'!$B$5))</f>
        <v>0</v>
      </c>
      <c r="AC1109" t="str">
        <f t="shared" si="308"/>
        <v/>
      </c>
      <c r="AI1109">
        <f t="shared" si="309"/>
        <v>0</v>
      </c>
      <c r="AJ1109">
        <f t="shared" si="310"/>
        <v>0</v>
      </c>
      <c r="AK1109">
        <f t="shared" si="311"/>
        <v>0</v>
      </c>
      <c r="AL1109">
        <f t="shared" si="312"/>
        <v>0</v>
      </c>
      <c r="AM1109">
        <f t="shared" si="313"/>
        <v>0</v>
      </c>
      <c r="DH1109" t="str" cm="1">
        <f t="array" ref="DH1109">IF($A1109="","",_xlfn.LET(_xlpm.c,IFERROR(_xlfn.XLOOKUP($A1109,TRIM('Sales and count'!$A$4:$A$300&amp;""),TRIM('Sales and count'!$B$4:$B$300&amp;"")),""),IF(OR(_xlpm.c="",_xlpm.c="0",LEFT(_xlpm.c,1)="#"),"Not set",_xlpm.c)))</f>
        <v/>
      </c>
    </row>
    <row r="1110" spans="1:112" x14ac:dyDescent="0.25">
      <c r="A1110" t="str">
        <f>IF('Staff Daily sales'!$B1095="","",TRIM('Staff Daily sales'!$B1095&amp;""))</f>
        <v/>
      </c>
      <c r="B1110" t="str">
        <f>IF('Staff Daily sales'!$D1095="","",TRIM('Staff Daily sales'!$D1095&amp;""))</f>
        <v/>
      </c>
      <c r="C1110" t="str">
        <f>IFERROR(TRIM('Staff Daily sales'!$E1095&amp;""),"")</f>
        <v/>
      </c>
      <c r="D1110" t="str">
        <f>IFERROR(IF(TRIM('Staff Daily sales'!$F1095&amp;"")="","Unassigned",TRIM('Staff Daily sales'!$F1095&amp;"")),"Unassigned")</f>
        <v>Unassigned</v>
      </c>
      <c r="E1110">
        <f t="shared" si="298"/>
        <v>0</v>
      </c>
      <c r="F1110">
        <f>IF($E1110=0,0,SUMPRODUCT($AI$5:$DF$5,'Staff Daily sales'!$G1095:$CD1095))</f>
        <v>0</v>
      </c>
      <c r="G1110">
        <f>IF($E1110=0,0,SUMPRODUCT($AI$6:$DF$6,'Staff Daily sales'!$G1095:$CD1095))</f>
        <v>0</v>
      </c>
      <c r="H1110">
        <f t="shared" si="299"/>
        <v>0</v>
      </c>
      <c r="I1110">
        <f t="shared" si="300"/>
        <v>0</v>
      </c>
      <c r="J1110">
        <f t="shared" si="301"/>
        <v>0</v>
      </c>
      <c r="K1110">
        <f t="shared" si="302"/>
        <v>0</v>
      </c>
      <c r="L1110">
        <f>--AND($E1110=1,OR('Staff Dashboard'!$B$6="All",$DH1110='Staff Dashboard'!$B$6),OR('Staff Dashboard'!$B$7="All",$D1110='Staff Dashboard'!$B$7),OR('Staff Dashboard'!$B$8="All",$A1110='Staff Dashboard'!$B$8))</f>
        <v>0</v>
      </c>
      <c r="M1110">
        <f>IF($E1110=0,0,SUMPRODUCT($AI$7:$DF$7,'Staff Daily sales'!$G1095:$CD1095))</f>
        <v>0</v>
      </c>
      <c r="N1110">
        <f>IF($E1110=0,0,SUMPRODUCT($AI$8:$DF$8,'Staff Daily sales'!$G1095:$CD1095))</f>
        <v>0</v>
      </c>
      <c r="O1110">
        <f>IF($E1110=0,0,SUMPRODUCT($AI$9:$DF$9,'Staff Daily sales'!$G1095:$CD1095))</f>
        <v>0</v>
      </c>
      <c r="P1110">
        <f>IF($E1110=0,0,SUMPRODUCT($AI$10:$DF$10,'Staff Daily sales'!$G1095:$CD1095))</f>
        <v>0</v>
      </c>
      <c r="Q1110">
        <f>IF($E1110=0,0,SUMPRODUCT($AI$11:$DF$11,'Staff Daily sales'!$G1095:$CD1095))</f>
        <v>0</v>
      </c>
      <c r="R1110">
        <f>IF($E1110=0,0,SUMPRODUCT($AI$12:$DF$12,'Staff Daily sales'!$G1095:$CD1095))</f>
        <v>0</v>
      </c>
      <c r="S1110">
        <f>IF($E1110=0,0,SUMPRODUCT($AI$13:$DF$13,'Staff Daily sales'!$G1095:$CD1095))</f>
        <v>0</v>
      </c>
      <c r="T1110">
        <f>IF($E1110=0,0,SUMPRODUCT($AI$14:$DF$14,'Staff Daily sales'!$G1095:$CD1095))</f>
        <v>0</v>
      </c>
      <c r="U1110">
        <f>IF($E1110=0,0,SUMPRODUCT($AI$15:$DF$15,'Staff Daily sales'!$G1095:$CD1095))</f>
        <v>0</v>
      </c>
      <c r="V1110">
        <f>IF($E1110=0,0,SUMPRODUCT($AI$16:$DF$16,'Staff Daily sales'!$G1095:$CD1095))</f>
        <v>0</v>
      </c>
      <c r="W1110">
        <f t="shared" si="303"/>
        <v>0</v>
      </c>
      <c r="X1110">
        <f t="shared" si="304"/>
        <v>0</v>
      </c>
      <c r="Y1110">
        <f t="shared" si="305"/>
        <v>0</v>
      </c>
      <c r="Z1110">
        <f t="shared" si="306"/>
        <v>0</v>
      </c>
      <c r="AA1110">
        <f t="shared" si="307"/>
        <v>0</v>
      </c>
      <c r="AB1110">
        <f>--AND($E1110=1,OR('Staff Weekly Trend'!$B$3="All",$DH1110='Staff Weekly Trend'!$B$3),OR('Staff Weekly Trend'!$B$4="All",$D1110='Staff Weekly Trend'!$B$4),OR('Staff Weekly Trend'!$B$5="All",$A1110='Staff Weekly Trend'!$B$5))</f>
        <v>0</v>
      </c>
      <c r="AC1110" t="str">
        <f t="shared" si="308"/>
        <v/>
      </c>
      <c r="AI1110">
        <f t="shared" si="309"/>
        <v>0</v>
      </c>
      <c r="AJ1110">
        <f t="shared" si="310"/>
        <v>0</v>
      </c>
      <c r="AK1110">
        <f t="shared" si="311"/>
        <v>0</v>
      </c>
      <c r="AL1110">
        <f t="shared" si="312"/>
        <v>0</v>
      </c>
      <c r="AM1110">
        <f t="shared" si="313"/>
        <v>0</v>
      </c>
      <c r="DH1110" t="str" cm="1">
        <f t="array" ref="DH1110">IF($A1110="","",_xlfn.LET(_xlpm.c,IFERROR(_xlfn.XLOOKUP($A1110,TRIM('Sales and count'!$A$4:$A$300&amp;""),TRIM('Sales and count'!$B$4:$B$300&amp;"")),""),IF(OR(_xlpm.c="",_xlpm.c="0",LEFT(_xlpm.c,1)="#"),"Not set",_xlpm.c)))</f>
        <v/>
      </c>
    </row>
    <row r="1111" spans="1:112" x14ac:dyDescent="0.25">
      <c r="A1111" t="str">
        <f>IF('Staff Daily sales'!$B1096="","",TRIM('Staff Daily sales'!$B1096&amp;""))</f>
        <v/>
      </c>
      <c r="B1111" t="str">
        <f>IF('Staff Daily sales'!$D1096="","",TRIM('Staff Daily sales'!$D1096&amp;""))</f>
        <v/>
      </c>
      <c r="C1111" t="str">
        <f>IFERROR(TRIM('Staff Daily sales'!$E1096&amp;""),"")</f>
        <v/>
      </c>
      <c r="D1111" t="str">
        <f>IFERROR(IF(TRIM('Staff Daily sales'!$F1096&amp;"")="","Unassigned",TRIM('Staff Daily sales'!$F1096&amp;"")),"Unassigned")</f>
        <v>Unassigned</v>
      </c>
      <c r="E1111">
        <f t="shared" si="298"/>
        <v>0</v>
      </c>
      <c r="F1111">
        <f>IF($E1111=0,0,SUMPRODUCT($AI$5:$DF$5,'Staff Daily sales'!$G1096:$CD1096))</f>
        <v>0</v>
      </c>
      <c r="G1111">
        <f>IF($E1111=0,0,SUMPRODUCT($AI$6:$DF$6,'Staff Daily sales'!$G1096:$CD1096))</f>
        <v>0</v>
      </c>
      <c r="H1111">
        <f t="shared" si="299"/>
        <v>0</v>
      </c>
      <c r="I1111">
        <f t="shared" si="300"/>
        <v>0</v>
      </c>
      <c r="J1111">
        <f t="shared" si="301"/>
        <v>0</v>
      </c>
      <c r="K1111">
        <f t="shared" si="302"/>
        <v>0</v>
      </c>
      <c r="L1111">
        <f>--AND($E1111=1,OR('Staff Dashboard'!$B$6="All",$DH1111='Staff Dashboard'!$B$6),OR('Staff Dashboard'!$B$7="All",$D1111='Staff Dashboard'!$B$7),OR('Staff Dashboard'!$B$8="All",$A1111='Staff Dashboard'!$B$8))</f>
        <v>0</v>
      </c>
      <c r="M1111">
        <f>IF($E1111=0,0,SUMPRODUCT($AI$7:$DF$7,'Staff Daily sales'!$G1096:$CD1096))</f>
        <v>0</v>
      </c>
      <c r="N1111">
        <f>IF($E1111=0,0,SUMPRODUCT($AI$8:$DF$8,'Staff Daily sales'!$G1096:$CD1096))</f>
        <v>0</v>
      </c>
      <c r="O1111">
        <f>IF($E1111=0,0,SUMPRODUCT($AI$9:$DF$9,'Staff Daily sales'!$G1096:$CD1096))</f>
        <v>0</v>
      </c>
      <c r="P1111">
        <f>IF($E1111=0,0,SUMPRODUCT($AI$10:$DF$10,'Staff Daily sales'!$G1096:$CD1096))</f>
        <v>0</v>
      </c>
      <c r="Q1111">
        <f>IF($E1111=0,0,SUMPRODUCT($AI$11:$DF$11,'Staff Daily sales'!$G1096:$CD1096))</f>
        <v>0</v>
      </c>
      <c r="R1111">
        <f>IF($E1111=0,0,SUMPRODUCT($AI$12:$DF$12,'Staff Daily sales'!$G1096:$CD1096))</f>
        <v>0</v>
      </c>
      <c r="S1111">
        <f>IF($E1111=0,0,SUMPRODUCT($AI$13:$DF$13,'Staff Daily sales'!$G1096:$CD1096))</f>
        <v>0</v>
      </c>
      <c r="T1111">
        <f>IF($E1111=0,0,SUMPRODUCT($AI$14:$DF$14,'Staff Daily sales'!$G1096:$CD1096))</f>
        <v>0</v>
      </c>
      <c r="U1111">
        <f>IF($E1111=0,0,SUMPRODUCT($AI$15:$DF$15,'Staff Daily sales'!$G1096:$CD1096))</f>
        <v>0</v>
      </c>
      <c r="V1111">
        <f>IF($E1111=0,0,SUMPRODUCT($AI$16:$DF$16,'Staff Daily sales'!$G1096:$CD1096))</f>
        <v>0</v>
      </c>
      <c r="W1111">
        <f t="shared" si="303"/>
        <v>0</v>
      </c>
      <c r="X1111">
        <f t="shared" si="304"/>
        <v>0</v>
      </c>
      <c r="Y1111">
        <f t="shared" si="305"/>
        <v>0</v>
      </c>
      <c r="Z1111">
        <f t="shared" si="306"/>
        <v>0</v>
      </c>
      <c r="AA1111">
        <f t="shared" si="307"/>
        <v>0</v>
      </c>
      <c r="AB1111">
        <f>--AND($E1111=1,OR('Staff Weekly Trend'!$B$3="All",$DH1111='Staff Weekly Trend'!$B$3),OR('Staff Weekly Trend'!$B$4="All",$D1111='Staff Weekly Trend'!$B$4),OR('Staff Weekly Trend'!$B$5="All",$A1111='Staff Weekly Trend'!$B$5))</f>
        <v>0</v>
      </c>
      <c r="AC1111" t="str">
        <f t="shared" si="308"/>
        <v/>
      </c>
      <c r="AI1111">
        <f t="shared" si="309"/>
        <v>0</v>
      </c>
      <c r="AJ1111">
        <f t="shared" si="310"/>
        <v>0</v>
      </c>
      <c r="AK1111">
        <f t="shared" si="311"/>
        <v>0</v>
      </c>
      <c r="AL1111">
        <f t="shared" si="312"/>
        <v>0</v>
      </c>
      <c r="AM1111">
        <f t="shared" si="313"/>
        <v>0</v>
      </c>
      <c r="DH1111" t="str" cm="1">
        <f t="array" ref="DH1111">IF($A1111="","",_xlfn.LET(_xlpm.c,IFERROR(_xlfn.XLOOKUP($A1111,TRIM('Sales and count'!$A$4:$A$300&amp;""),TRIM('Sales and count'!$B$4:$B$300&amp;"")),""),IF(OR(_xlpm.c="",_xlpm.c="0",LEFT(_xlpm.c,1)="#"),"Not set",_xlpm.c)))</f>
        <v/>
      </c>
    </row>
    <row r="1112" spans="1:112" x14ac:dyDescent="0.25">
      <c r="A1112" t="str">
        <f>IF('Staff Daily sales'!$B1097="","",TRIM('Staff Daily sales'!$B1097&amp;""))</f>
        <v/>
      </c>
      <c r="B1112" t="str">
        <f>IF('Staff Daily sales'!$D1097="","",TRIM('Staff Daily sales'!$D1097&amp;""))</f>
        <v/>
      </c>
      <c r="C1112" t="str">
        <f>IFERROR(TRIM('Staff Daily sales'!$E1097&amp;""),"")</f>
        <v/>
      </c>
      <c r="D1112" t="str">
        <f>IFERROR(IF(TRIM('Staff Daily sales'!$F1097&amp;"")="","Unassigned",TRIM('Staff Daily sales'!$F1097&amp;"")),"Unassigned")</f>
        <v>Unassigned</v>
      </c>
      <c r="E1112">
        <f t="shared" si="298"/>
        <v>0</v>
      </c>
      <c r="F1112">
        <f>IF($E1112=0,0,SUMPRODUCT($AI$5:$DF$5,'Staff Daily sales'!$G1097:$CD1097))</f>
        <v>0</v>
      </c>
      <c r="G1112">
        <f>IF($E1112=0,0,SUMPRODUCT($AI$6:$DF$6,'Staff Daily sales'!$G1097:$CD1097))</f>
        <v>0</v>
      </c>
      <c r="H1112">
        <f t="shared" si="299"/>
        <v>0</v>
      </c>
      <c r="I1112">
        <f t="shared" si="300"/>
        <v>0</v>
      </c>
      <c r="J1112">
        <f t="shared" si="301"/>
        <v>0</v>
      </c>
      <c r="K1112">
        <f t="shared" si="302"/>
        <v>0</v>
      </c>
      <c r="L1112">
        <f>--AND($E1112=1,OR('Staff Dashboard'!$B$6="All",$DH1112='Staff Dashboard'!$B$6),OR('Staff Dashboard'!$B$7="All",$D1112='Staff Dashboard'!$B$7),OR('Staff Dashboard'!$B$8="All",$A1112='Staff Dashboard'!$B$8))</f>
        <v>0</v>
      </c>
      <c r="M1112">
        <f>IF($E1112=0,0,SUMPRODUCT($AI$7:$DF$7,'Staff Daily sales'!$G1097:$CD1097))</f>
        <v>0</v>
      </c>
      <c r="N1112">
        <f>IF($E1112=0,0,SUMPRODUCT($AI$8:$DF$8,'Staff Daily sales'!$G1097:$CD1097))</f>
        <v>0</v>
      </c>
      <c r="O1112">
        <f>IF($E1112=0,0,SUMPRODUCT($AI$9:$DF$9,'Staff Daily sales'!$G1097:$CD1097))</f>
        <v>0</v>
      </c>
      <c r="P1112">
        <f>IF($E1112=0,0,SUMPRODUCT($AI$10:$DF$10,'Staff Daily sales'!$G1097:$CD1097))</f>
        <v>0</v>
      </c>
      <c r="Q1112">
        <f>IF($E1112=0,0,SUMPRODUCT($AI$11:$DF$11,'Staff Daily sales'!$G1097:$CD1097))</f>
        <v>0</v>
      </c>
      <c r="R1112">
        <f>IF($E1112=0,0,SUMPRODUCT($AI$12:$DF$12,'Staff Daily sales'!$G1097:$CD1097))</f>
        <v>0</v>
      </c>
      <c r="S1112">
        <f>IF($E1112=0,0,SUMPRODUCT($AI$13:$DF$13,'Staff Daily sales'!$G1097:$CD1097))</f>
        <v>0</v>
      </c>
      <c r="T1112">
        <f>IF($E1112=0,0,SUMPRODUCT($AI$14:$DF$14,'Staff Daily sales'!$G1097:$CD1097))</f>
        <v>0</v>
      </c>
      <c r="U1112">
        <f>IF($E1112=0,0,SUMPRODUCT($AI$15:$DF$15,'Staff Daily sales'!$G1097:$CD1097))</f>
        <v>0</v>
      </c>
      <c r="V1112">
        <f>IF($E1112=0,0,SUMPRODUCT($AI$16:$DF$16,'Staff Daily sales'!$G1097:$CD1097))</f>
        <v>0</v>
      </c>
      <c r="W1112">
        <f t="shared" si="303"/>
        <v>0</v>
      </c>
      <c r="X1112">
        <f t="shared" si="304"/>
        <v>0</v>
      </c>
      <c r="Y1112">
        <f t="shared" si="305"/>
        <v>0</v>
      </c>
      <c r="Z1112">
        <f t="shared" si="306"/>
        <v>0</v>
      </c>
      <c r="AA1112">
        <f t="shared" si="307"/>
        <v>0</v>
      </c>
      <c r="AB1112">
        <f>--AND($E1112=1,OR('Staff Weekly Trend'!$B$3="All",$DH1112='Staff Weekly Trend'!$B$3),OR('Staff Weekly Trend'!$B$4="All",$D1112='Staff Weekly Trend'!$B$4),OR('Staff Weekly Trend'!$B$5="All",$A1112='Staff Weekly Trend'!$B$5))</f>
        <v>0</v>
      </c>
      <c r="AC1112" t="str">
        <f t="shared" si="308"/>
        <v/>
      </c>
      <c r="AI1112">
        <f t="shared" si="309"/>
        <v>0</v>
      </c>
      <c r="AJ1112">
        <f t="shared" si="310"/>
        <v>0</v>
      </c>
      <c r="AK1112">
        <f t="shared" si="311"/>
        <v>0</v>
      </c>
      <c r="AL1112">
        <f t="shared" si="312"/>
        <v>0</v>
      </c>
      <c r="AM1112">
        <f t="shared" si="313"/>
        <v>0</v>
      </c>
      <c r="DH1112" t="str" cm="1">
        <f t="array" ref="DH1112">IF($A1112="","",_xlfn.LET(_xlpm.c,IFERROR(_xlfn.XLOOKUP($A1112,TRIM('Sales and count'!$A$4:$A$300&amp;""),TRIM('Sales and count'!$B$4:$B$300&amp;"")),""),IF(OR(_xlpm.c="",_xlpm.c="0",LEFT(_xlpm.c,1)="#"),"Not set",_xlpm.c)))</f>
        <v/>
      </c>
    </row>
    <row r="1113" spans="1:112" x14ac:dyDescent="0.25">
      <c r="A1113" t="str">
        <f>IF('Staff Daily sales'!$B1098="","",TRIM('Staff Daily sales'!$B1098&amp;""))</f>
        <v/>
      </c>
      <c r="B1113" t="str">
        <f>IF('Staff Daily sales'!$D1098="","",TRIM('Staff Daily sales'!$D1098&amp;""))</f>
        <v/>
      </c>
      <c r="C1113" t="str">
        <f>IFERROR(TRIM('Staff Daily sales'!$E1098&amp;""),"")</f>
        <v/>
      </c>
      <c r="D1113" t="str">
        <f>IFERROR(IF(TRIM('Staff Daily sales'!$F1098&amp;"")="","Unassigned",TRIM('Staff Daily sales'!$F1098&amp;"")),"Unassigned")</f>
        <v>Unassigned</v>
      </c>
      <c r="E1113">
        <f t="shared" si="298"/>
        <v>0</v>
      </c>
      <c r="F1113">
        <f>IF($E1113=0,0,SUMPRODUCT($AI$5:$DF$5,'Staff Daily sales'!$G1098:$CD1098))</f>
        <v>0</v>
      </c>
      <c r="G1113">
        <f>IF($E1113=0,0,SUMPRODUCT($AI$6:$DF$6,'Staff Daily sales'!$G1098:$CD1098))</f>
        <v>0</v>
      </c>
      <c r="H1113">
        <f t="shared" si="299"/>
        <v>0</v>
      </c>
      <c r="I1113">
        <f t="shared" si="300"/>
        <v>0</v>
      </c>
      <c r="J1113">
        <f t="shared" si="301"/>
        <v>0</v>
      </c>
      <c r="K1113">
        <f t="shared" si="302"/>
        <v>0</v>
      </c>
      <c r="L1113">
        <f>--AND($E1113=1,OR('Staff Dashboard'!$B$6="All",$DH1113='Staff Dashboard'!$B$6),OR('Staff Dashboard'!$B$7="All",$D1113='Staff Dashboard'!$B$7),OR('Staff Dashboard'!$B$8="All",$A1113='Staff Dashboard'!$B$8))</f>
        <v>0</v>
      </c>
      <c r="M1113">
        <f>IF($E1113=0,0,SUMPRODUCT($AI$7:$DF$7,'Staff Daily sales'!$G1098:$CD1098))</f>
        <v>0</v>
      </c>
      <c r="N1113">
        <f>IF($E1113=0,0,SUMPRODUCT($AI$8:$DF$8,'Staff Daily sales'!$G1098:$CD1098))</f>
        <v>0</v>
      </c>
      <c r="O1113">
        <f>IF($E1113=0,0,SUMPRODUCT($AI$9:$DF$9,'Staff Daily sales'!$G1098:$CD1098))</f>
        <v>0</v>
      </c>
      <c r="P1113">
        <f>IF($E1113=0,0,SUMPRODUCT($AI$10:$DF$10,'Staff Daily sales'!$G1098:$CD1098))</f>
        <v>0</v>
      </c>
      <c r="Q1113">
        <f>IF($E1113=0,0,SUMPRODUCT($AI$11:$DF$11,'Staff Daily sales'!$G1098:$CD1098))</f>
        <v>0</v>
      </c>
      <c r="R1113">
        <f>IF($E1113=0,0,SUMPRODUCT($AI$12:$DF$12,'Staff Daily sales'!$G1098:$CD1098))</f>
        <v>0</v>
      </c>
      <c r="S1113">
        <f>IF($E1113=0,0,SUMPRODUCT($AI$13:$DF$13,'Staff Daily sales'!$G1098:$CD1098))</f>
        <v>0</v>
      </c>
      <c r="T1113">
        <f>IF($E1113=0,0,SUMPRODUCT($AI$14:$DF$14,'Staff Daily sales'!$G1098:$CD1098))</f>
        <v>0</v>
      </c>
      <c r="U1113">
        <f>IF($E1113=0,0,SUMPRODUCT($AI$15:$DF$15,'Staff Daily sales'!$G1098:$CD1098))</f>
        <v>0</v>
      </c>
      <c r="V1113">
        <f>IF($E1113=0,0,SUMPRODUCT($AI$16:$DF$16,'Staff Daily sales'!$G1098:$CD1098))</f>
        <v>0</v>
      </c>
      <c r="W1113">
        <f t="shared" si="303"/>
        <v>0</v>
      </c>
      <c r="X1113">
        <f t="shared" si="304"/>
        <v>0</v>
      </c>
      <c r="Y1113">
        <f t="shared" si="305"/>
        <v>0</v>
      </c>
      <c r="Z1113">
        <f t="shared" si="306"/>
        <v>0</v>
      </c>
      <c r="AA1113">
        <f t="shared" si="307"/>
        <v>0</v>
      </c>
      <c r="AB1113">
        <f>--AND($E1113=1,OR('Staff Weekly Trend'!$B$3="All",$DH1113='Staff Weekly Trend'!$B$3),OR('Staff Weekly Trend'!$B$4="All",$D1113='Staff Weekly Trend'!$B$4),OR('Staff Weekly Trend'!$B$5="All",$A1113='Staff Weekly Trend'!$B$5))</f>
        <v>0</v>
      </c>
      <c r="AC1113" t="str">
        <f t="shared" si="308"/>
        <v/>
      </c>
      <c r="AI1113">
        <f t="shared" si="309"/>
        <v>0</v>
      </c>
      <c r="AJ1113">
        <f t="shared" si="310"/>
        <v>0</v>
      </c>
      <c r="AK1113">
        <f t="shared" si="311"/>
        <v>0</v>
      </c>
      <c r="AL1113">
        <f t="shared" si="312"/>
        <v>0</v>
      </c>
      <c r="AM1113">
        <f t="shared" si="313"/>
        <v>0</v>
      </c>
      <c r="DH1113" t="str" cm="1">
        <f t="array" ref="DH1113">IF($A1113="","",_xlfn.LET(_xlpm.c,IFERROR(_xlfn.XLOOKUP($A1113,TRIM('Sales and count'!$A$4:$A$300&amp;""),TRIM('Sales and count'!$B$4:$B$300&amp;"")),""),IF(OR(_xlpm.c="",_xlpm.c="0",LEFT(_xlpm.c,1)="#"),"Not set",_xlpm.c)))</f>
        <v/>
      </c>
    </row>
    <row r="1114" spans="1:112" x14ac:dyDescent="0.25">
      <c r="A1114" t="str">
        <f>IF('Staff Daily sales'!$B1099="","",TRIM('Staff Daily sales'!$B1099&amp;""))</f>
        <v/>
      </c>
      <c r="B1114" t="str">
        <f>IF('Staff Daily sales'!$D1099="","",TRIM('Staff Daily sales'!$D1099&amp;""))</f>
        <v/>
      </c>
      <c r="C1114" t="str">
        <f>IFERROR(TRIM('Staff Daily sales'!$E1099&amp;""),"")</f>
        <v/>
      </c>
      <c r="D1114" t="str">
        <f>IFERROR(IF(TRIM('Staff Daily sales'!$F1099&amp;"")="","Unassigned",TRIM('Staff Daily sales'!$F1099&amp;"")),"Unassigned")</f>
        <v>Unassigned</v>
      </c>
      <c r="E1114">
        <f t="shared" si="298"/>
        <v>0</v>
      </c>
      <c r="F1114">
        <f>IF($E1114=0,0,SUMPRODUCT($AI$5:$DF$5,'Staff Daily sales'!$G1099:$CD1099))</f>
        <v>0</v>
      </c>
      <c r="G1114">
        <f>IF($E1114=0,0,SUMPRODUCT($AI$6:$DF$6,'Staff Daily sales'!$G1099:$CD1099))</f>
        <v>0</v>
      </c>
      <c r="H1114">
        <f t="shared" si="299"/>
        <v>0</v>
      </c>
      <c r="I1114">
        <f t="shared" si="300"/>
        <v>0</v>
      </c>
      <c r="J1114">
        <f t="shared" si="301"/>
        <v>0</v>
      </c>
      <c r="K1114">
        <f t="shared" si="302"/>
        <v>0</v>
      </c>
      <c r="L1114">
        <f>--AND($E1114=1,OR('Staff Dashboard'!$B$6="All",$DH1114='Staff Dashboard'!$B$6),OR('Staff Dashboard'!$B$7="All",$D1114='Staff Dashboard'!$B$7),OR('Staff Dashboard'!$B$8="All",$A1114='Staff Dashboard'!$B$8))</f>
        <v>0</v>
      </c>
      <c r="M1114">
        <f>IF($E1114=0,0,SUMPRODUCT($AI$7:$DF$7,'Staff Daily sales'!$G1099:$CD1099))</f>
        <v>0</v>
      </c>
      <c r="N1114">
        <f>IF($E1114=0,0,SUMPRODUCT($AI$8:$DF$8,'Staff Daily sales'!$G1099:$CD1099))</f>
        <v>0</v>
      </c>
      <c r="O1114">
        <f>IF($E1114=0,0,SUMPRODUCT($AI$9:$DF$9,'Staff Daily sales'!$G1099:$CD1099))</f>
        <v>0</v>
      </c>
      <c r="P1114">
        <f>IF($E1114=0,0,SUMPRODUCT($AI$10:$DF$10,'Staff Daily sales'!$G1099:$CD1099))</f>
        <v>0</v>
      </c>
      <c r="Q1114">
        <f>IF($E1114=0,0,SUMPRODUCT($AI$11:$DF$11,'Staff Daily sales'!$G1099:$CD1099))</f>
        <v>0</v>
      </c>
      <c r="R1114">
        <f>IF($E1114=0,0,SUMPRODUCT($AI$12:$DF$12,'Staff Daily sales'!$G1099:$CD1099))</f>
        <v>0</v>
      </c>
      <c r="S1114">
        <f>IF($E1114=0,0,SUMPRODUCT($AI$13:$DF$13,'Staff Daily sales'!$G1099:$CD1099))</f>
        <v>0</v>
      </c>
      <c r="T1114">
        <f>IF($E1114=0,0,SUMPRODUCT($AI$14:$DF$14,'Staff Daily sales'!$G1099:$CD1099))</f>
        <v>0</v>
      </c>
      <c r="U1114">
        <f>IF($E1114=0,0,SUMPRODUCT($AI$15:$DF$15,'Staff Daily sales'!$G1099:$CD1099))</f>
        <v>0</v>
      </c>
      <c r="V1114">
        <f>IF($E1114=0,0,SUMPRODUCT($AI$16:$DF$16,'Staff Daily sales'!$G1099:$CD1099))</f>
        <v>0</v>
      </c>
      <c r="W1114">
        <f t="shared" si="303"/>
        <v>0</v>
      </c>
      <c r="X1114">
        <f t="shared" si="304"/>
        <v>0</v>
      </c>
      <c r="Y1114">
        <f t="shared" si="305"/>
        <v>0</v>
      </c>
      <c r="Z1114">
        <f t="shared" si="306"/>
        <v>0</v>
      </c>
      <c r="AA1114">
        <f t="shared" si="307"/>
        <v>0</v>
      </c>
      <c r="AB1114">
        <f>--AND($E1114=1,OR('Staff Weekly Trend'!$B$3="All",$DH1114='Staff Weekly Trend'!$B$3),OR('Staff Weekly Trend'!$B$4="All",$D1114='Staff Weekly Trend'!$B$4),OR('Staff Weekly Trend'!$B$5="All",$A1114='Staff Weekly Trend'!$B$5))</f>
        <v>0</v>
      </c>
      <c r="AC1114" t="str">
        <f t="shared" si="308"/>
        <v/>
      </c>
      <c r="AI1114">
        <f t="shared" si="309"/>
        <v>0</v>
      </c>
      <c r="AJ1114">
        <f t="shared" si="310"/>
        <v>0</v>
      </c>
      <c r="AK1114">
        <f t="shared" si="311"/>
        <v>0</v>
      </c>
      <c r="AL1114">
        <f t="shared" si="312"/>
        <v>0</v>
      </c>
      <c r="AM1114">
        <f t="shared" si="313"/>
        <v>0</v>
      </c>
      <c r="DH1114" t="str" cm="1">
        <f t="array" ref="DH1114">IF($A1114="","",_xlfn.LET(_xlpm.c,IFERROR(_xlfn.XLOOKUP($A1114,TRIM('Sales and count'!$A$4:$A$300&amp;""),TRIM('Sales and count'!$B$4:$B$300&amp;"")),""),IF(OR(_xlpm.c="",_xlpm.c="0",LEFT(_xlpm.c,1)="#"),"Not set",_xlpm.c)))</f>
        <v/>
      </c>
    </row>
    <row r="1115" spans="1:112" x14ac:dyDescent="0.25">
      <c r="A1115" t="str">
        <f>IF('Staff Daily sales'!$B1100="","",TRIM('Staff Daily sales'!$B1100&amp;""))</f>
        <v/>
      </c>
      <c r="B1115" t="str">
        <f>IF('Staff Daily sales'!$D1100="","",TRIM('Staff Daily sales'!$D1100&amp;""))</f>
        <v/>
      </c>
      <c r="C1115" t="str">
        <f>IFERROR(TRIM('Staff Daily sales'!$E1100&amp;""),"")</f>
        <v/>
      </c>
      <c r="D1115" t="str">
        <f>IFERROR(IF(TRIM('Staff Daily sales'!$F1100&amp;"")="","Unassigned",TRIM('Staff Daily sales'!$F1100&amp;"")),"Unassigned")</f>
        <v>Unassigned</v>
      </c>
      <c r="E1115">
        <f t="shared" si="298"/>
        <v>0</v>
      </c>
      <c r="F1115">
        <f>IF($E1115=0,0,SUMPRODUCT($AI$5:$DF$5,'Staff Daily sales'!$G1100:$CD1100))</f>
        <v>0</v>
      </c>
      <c r="G1115">
        <f>IF($E1115=0,0,SUMPRODUCT($AI$6:$DF$6,'Staff Daily sales'!$G1100:$CD1100))</f>
        <v>0</v>
      </c>
      <c r="H1115">
        <f t="shared" si="299"/>
        <v>0</v>
      </c>
      <c r="I1115">
        <f t="shared" si="300"/>
        <v>0</v>
      </c>
      <c r="J1115">
        <f t="shared" si="301"/>
        <v>0</v>
      </c>
      <c r="K1115">
        <f t="shared" si="302"/>
        <v>0</v>
      </c>
      <c r="L1115">
        <f>--AND($E1115=1,OR('Staff Dashboard'!$B$6="All",$DH1115='Staff Dashboard'!$B$6),OR('Staff Dashboard'!$B$7="All",$D1115='Staff Dashboard'!$B$7),OR('Staff Dashboard'!$B$8="All",$A1115='Staff Dashboard'!$B$8))</f>
        <v>0</v>
      </c>
      <c r="M1115">
        <f>IF($E1115=0,0,SUMPRODUCT($AI$7:$DF$7,'Staff Daily sales'!$G1100:$CD1100))</f>
        <v>0</v>
      </c>
      <c r="N1115">
        <f>IF($E1115=0,0,SUMPRODUCT($AI$8:$DF$8,'Staff Daily sales'!$G1100:$CD1100))</f>
        <v>0</v>
      </c>
      <c r="O1115">
        <f>IF($E1115=0,0,SUMPRODUCT($AI$9:$DF$9,'Staff Daily sales'!$G1100:$CD1100))</f>
        <v>0</v>
      </c>
      <c r="P1115">
        <f>IF($E1115=0,0,SUMPRODUCT($AI$10:$DF$10,'Staff Daily sales'!$G1100:$CD1100))</f>
        <v>0</v>
      </c>
      <c r="Q1115">
        <f>IF($E1115=0,0,SUMPRODUCT($AI$11:$DF$11,'Staff Daily sales'!$G1100:$CD1100))</f>
        <v>0</v>
      </c>
      <c r="R1115">
        <f>IF($E1115=0,0,SUMPRODUCT($AI$12:$DF$12,'Staff Daily sales'!$G1100:$CD1100))</f>
        <v>0</v>
      </c>
      <c r="S1115">
        <f>IF($E1115=0,0,SUMPRODUCT($AI$13:$DF$13,'Staff Daily sales'!$G1100:$CD1100))</f>
        <v>0</v>
      </c>
      <c r="T1115">
        <f>IF($E1115=0,0,SUMPRODUCT($AI$14:$DF$14,'Staff Daily sales'!$G1100:$CD1100))</f>
        <v>0</v>
      </c>
      <c r="U1115">
        <f>IF($E1115=0,0,SUMPRODUCT($AI$15:$DF$15,'Staff Daily sales'!$G1100:$CD1100))</f>
        <v>0</v>
      </c>
      <c r="V1115">
        <f>IF($E1115=0,0,SUMPRODUCT($AI$16:$DF$16,'Staff Daily sales'!$G1100:$CD1100))</f>
        <v>0</v>
      </c>
      <c r="W1115">
        <f t="shared" si="303"/>
        <v>0</v>
      </c>
      <c r="X1115">
        <f t="shared" si="304"/>
        <v>0</v>
      </c>
      <c r="Y1115">
        <f t="shared" si="305"/>
        <v>0</v>
      </c>
      <c r="Z1115">
        <f t="shared" si="306"/>
        <v>0</v>
      </c>
      <c r="AA1115">
        <f t="shared" si="307"/>
        <v>0</v>
      </c>
      <c r="AB1115">
        <f>--AND($E1115=1,OR('Staff Weekly Trend'!$B$3="All",$DH1115='Staff Weekly Trend'!$B$3),OR('Staff Weekly Trend'!$B$4="All",$D1115='Staff Weekly Trend'!$B$4),OR('Staff Weekly Trend'!$B$5="All",$A1115='Staff Weekly Trend'!$B$5))</f>
        <v>0</v>
      </c>
      <c r="AC1115" t="str">
        <f t="shared" si="308"/>
        <v/>
      </c>
      <c r="AI1115">
        <f t="shared" si="309"/>
        <v>0</v>
      </c>
      <c r="AJ1115">
        <f t="shared" si="310"/>
        <v>0</v>
      </c>
      <c r="AK1115">
        <f t="shared" si="311"/>
        <v>0</v>
      </c>
      <c r="AL1115">
        <f t="shared" si="312"/>
        <v>0</v>
      </c>
      <c r="AM1115">
        <f t="shared" si="313"/>
        <v>0</v>
      </c>
      <c r="DH1115" t="str" cm="1">
        <f t="array" ref="DH1115">IF($A1115="","",_xlfn.LET(_xlpm.c,IFERROR(_xlfn.XLOOKUP($A1115,TRIM('Sales and count'!$A$4:$A$300&amp;""),TRIM('Sales and count'!$B$4:$B$300&amp;"")),""),IF(OR(_xlpm.c="",_xlpm.c="0",LEFT(_xlpm.c,1)="#"),"Not set",_xlpm.c)))</f>
        <v/>
      </c>
    </row>
    <row r="1116" spans="1:112" x14ac:dyDescent="0.25">
      <c r="A1116" t="str">
        <f>IF('Staff Daily sales'!$B1101="","",TRIM('Staff Daily sales'!$B1101&amp;""))</f>
        <v/>
      </c>
      <c r="B1116" t="str">
        <f>IF('Staff Daily sales'!$D1101="","",TRIM('Staff Daily sales'!$D1101&amp;""))</f>
        <v/>
      </c>
      <c r="C1116" t="str">
        <f>IFERROR(TRIM('Staff Daily sales'!$E1101&amp;""),"")</f>
        <v/>
      </c>
      <c r="D1116" t="str">
        <f>IFERROR(IF(TRIM('Staff Daily sales'!$F1101&amp;"")="","Unassigned",TRIM('Staff Daily sales'!$F1101&amp;"")),"Unassigned")</f>
        <v>Unassigned</v>
      </c>
      <c r="E1116">
        <f t="shared" si="298"/>
        <v>0</v>
      </c>
      <c r="F1116">
        <f>IF($E1116=0,0,SUMPRODUCT($AI$5:$DF$5,'Staff Daily sales'!$G1101:$CD1101))</f>
        <v>0</v>
      </c>
      <c r="G1116">
        <f>IF($E1116=0,0,SUMPRODUCT($AI$6:$DF$6,'Staff Daily sales'!$G1101:$CD1101))</f>
        <v>0</v>
      </c>
      <c r="H1116">
        <f t="shared" si="299"/>
        <v>0</v>
      </c>
      <c r="I1116">
        <f t="shared" si="300"/>
        <v>0</v>
      </c>
      <c r="J1116">
        <f t="shared" si="301"/>
        <v>0</v>
      </c>
      <c r="K1116">
        <f t="shared" si="302"/>
        <v>0</v>
      </c>
      <c r="L1116">
        <f>--AND($E1116=1,OR('Staff Dashboard'!$B$6="All",$DH1116='Staff Dashboard'!$B$6),OR('Staff Dashboard'!$B$7="All",$D1116='Staff Dashboard'!$B$7),OR('Staff Dashboard'!$B$8="All",$A1116='Staff Dashboard'!$B$8))</f>
        <v>0</v>
      </c>
      <c r="M1116">
        <f>IF($E1116=0,0,SUMPRODUCT($AI$7:$DF$7,'Staff Daily sales'!$G1101:$CD1101))</f>
        <v>0</v>
      </c>
      <c r="N1116">
        <f>IF($E1116=0,0,SUMPRODUCT($AI$8:$DF$8,'Staff Daily sales'!$G1101:$CD1101))</f>
        <v>0</v>
      </c>
      <c r="O1116">
        <f>IF($E1116=0,0,SUMPRODUCT($AI$9:$DF$9,'Staff Daily sales'!$G1101:$CD1101))</f>
        <v>0</v>
      </c>
      <c r="P1116">
        <f>IF($E1116=0,0,SUMPRODUCT($AI$10:$DF$10,'Staff Daily sales'!$G1101:$CD1101))</f>
        <v>0</v>
      </c>
      <c r="Q1116">
        <f>IF($E1116=0,0,SUMPRODUCT($AI$11:$DF$11,'Staff Daily sales'!$G1101:$CD1101))</f>
        <v>0</v>
      </c>
      <c r="R1116">
        <f>IF($E1116=0,0,SUMPRODUCT($AI$12:$DF$12,'Staff Daily sales'!$G1101:$CD1101))</f>
        <v>0</v>
      </c>
      <c r="S1116">
        <f>IF($E1116=0,0,SUMPRODUCT($AI$13:$DF$13,'Staff Daily sales'!$G1101:$CD1101))</f>
        <v>0</v>
      </c>
      <c r="T1116">
        <f>IF($E1116=0,0,SUMPRODUCT($AI$14:$DF$14,'Staff Daily sales'!$G1101:$CD1101))</f>
        <v>0</v>
      </c>
      <c r="U1116">
        <f>IF($E1116=0,0,SUMPRODUCT($AI$15:$DF$15,'Staff Daily sales'!$G1101:$CD1101))</f>
        <v>0</v>
      </c>
      <c r="V1116">
        <f>IF($E1116=0,0,SUMPRODUCT($AI$16:$DF$16,'Staff Daily sales'!$G1101:$CD1101))</f>
        <v>0</v>
      </c>
      <c r="W1116">
        <f t="shared" si="303"/>
        <v>0</v>
      </c>
      <c r="X1116">
        <f t="shared" si="304"/>
        <v>0</v>
      </c>
      <c r="Y1116">
        <f t="shared" si="305"/>
        <v>0</v>
      </c>
      <c r="Z1116">
        <f t="shared" si="306"/>
        <v>0</v>
      </c>
      <c r="AA1116">
        <f t="shared" si="307"/>
        <v>0</v>
      </c>
      <c r="AB1116">
        <f>--AND($E1116=1,OR('Staff Weekly Trend'!$B$3="All",$DH1116='Staff Weekly Trend'!$B$3),OR('Staff Weekly Trend'!$B$4="All",$D1116='Staff Weekly Trend'!$B$4),OR('Staff Weekly Trend'!$B$5="All",$A1116='Staff Weekly Trend'!$B$5))</f>
        <v>0</v>
      </c>
      <c r="AC1116" t="str">
        <f t="shared" si="308"/>
        <v/>
      </c>
      <c r="AI1116">
        <f t="shared" si="309"/>
        <v>0</v>
      </c>
      <c r="AJ1116">
        <f t="shared" si="310"/>
        <v>0</v>
      </c>
      <c r="AK1116">
        <f t="shared" si="311"/>
        <v>0</v>
      </c>
      <c r="AL1116">
        <f t="shared" si="312"/>
        <v>0</v>
      </c>
      <c r="AM1116">
        <f t="shared" si="313"/>
        <v>0</v>
      </c>
      <c r="DH1116" t="str" cm="1">
        <f t="array" ref="DH1116">IF($A1116="","",_xlfn.LET(_xlpm.c,IFERROR(_xlfn.XLOOKUP($A1116,TRIM('Sales and count'!$A$4:$A$300&amp;""),TRIM('Sales and count'!$B$4:$B$300&amp;"")),""),IF(OR(_xlpm.c="",_xlpm.c="0",LEFT(_xlpm.c,1)="#"),"Not set",_xlpm.c)))</f>
        <v/>
      </c>
    </row>
    <row r="1117" spans="1:112" x14ac:dyDescent="0.25">
      <c r="A1117" t="str">
        <f>IF('Staff Daily sales'!$B1102="","",TRIM('Staff Daily sales'!$B1102&amp;""))</f>
        <v/>
      </c>
      <c r="B1117" t="str">
        <f>IF('Staff Daily sales'!$D1102="","",TRIM('Staff Daily sales'!$D1102&amp;""))</f>
        <v/>
      </c>
      <c r="C1117" t="str">
        <f>IFERROR(TRIM('Staff Daily sales'!$E1102&amp;""),"")</f>
        <v/>
      </c>
      <c r="D1117" t="str">
        <f>IFERROR(IF(TRIM('Staff Daily sales'!$F1102&amp;"")="","Unassigned",TRIM('Staff Daily sales'!$F1102&amp;"")),"Unassigned")</f>
        <v>Unassigned</v>
      </c>
      <c r="E1117">
        <f t="shared" si="298"/>
        <v>0</v>
      </c>
      <c r="F1117">
        <f>IF($E1117=0,0,SUMPRODUCT($AI$5:$DF$5,'Staff Daily sales'!$G1102:$CD1102))</f>
        <v>0</v>
      </c>
      <c r="G1117">
        <f>IF($E1117=0,0,SUMPRODUCT($AI$6:$DF$6,'Staff Daily sales'!$G1102:$CD1102))</f>
        <v>0</v>
      </c>
      <c r="H1117">
        <f t="shared" si="299"/>
        <v>0</v>
      </c>
      <c r="I1117">
        <f t="shared" si="300"/>
        <v>0</v>
      </c>
      <c r="J1117">
        <f t="shared" si="301"/>
        <v>0</v>
      </c>
      <c r="K1117">
        <f t="shared" si="302"/>
        <v>0</v>
      </c>
      <c r="L1117">
        <f>--AND($E1117=1,OR('Staff Dashboard'!$B$6="All",$DH1117='Staff Dashboard'!$B$6),OR('Staff Dashboard'!$B$7="All",$D1117='Staff Dashboard'!$B$7),OR('Staff Dashboard'!$B$8="All",$A1117='Staff Dashboard'!$B$8))</f>
        <v>0</v>
      </c>
      <c r="M1117">
        <f>IF($E1117=0,0,SUMPRODUCT($AI$7:$DF$7,'Staff Daily sales'!$G1102:$CD1102))</f>
        <v>0</v>
      </c>
      <c r="N1117">
        <f>IF($E1117=0,0,SUMPRODUCT($AI$8:$DF$8,'Staff Daily sales'!$G1102:$CD1102))</f>
        <v>0</v>
      </c>
      <c r="O1117">
        <f>IF($E1117=0,0,SUMPRODUCT($AI$9:$DF$9,'Staff Daily sales'!$G1102:$CD1102))</f>
        <v>0</v>
      </c>
      <c r="P1117">
        <f>IF($E1117=0,0,SUMPRODUCT($AI$10:$DF$10,'Staff Daily sales'!$G1102:$CD1102))</f>
        <v>0</v>
      </c>
      <c r="Q1117">
        <f>IF($E1117=0,0,SUMPRODUCT($AI$11:$DF$11,'Staff Daily sales'!$G1102:$CD1102))</f>
        <v>0</v>
      </c>
      <c r="R1117">
        <f>IF($E1117=0,0,SUMPRODUCT($AI$12:$DF$12,'Staff Daily sales'!$G1102:$CD1102))</f>
        <v>0</v>
      </c>
      <c r="S1117">
        <f>IF($E1117=0,0,SUMPRODUCT($AI$13:$DF$13,'Staff Daily sales'!$G1102:$CD1102))</f>
        <v>0</v>
      </c>
      <c r="T1117">
        <f>IF($E1117=0,0,SUMPRODUCT($AI$14:$DF$14,'Staff Daily sales'!$G1102:$CD1102))</f>
        <v>0</v>
      </c>
      <c r="U1117">
        <f>IF($E1117=0,0,SUMPRODUCT($AI$15:$DF$15,'Staff Daily sales'!$G1102:$CD1102))</f>
        <v>0</v>
      </c>
      <c r="V1117">
        <f>IF($E1117=0,0,SUMPRODUCT($AI$16:$DF$16,'Staff Daily sales'!$G1102:$CD1102))</f>
        <v>0</v>
      </c>
      <c r="W1117">
        <f t="shared" si="303"/>
        <v>0</v>
      </c>
      <c r="X1117">
        <f t="shared" si="304"/>
        <v>0</v>
      </c>
      <c r="Y1117">
        <f t="shared" si="305"/>
        <v>0</v>
      </c>
      <c r="Z1117">
        <f t="shared" si="306"/>
        <v>0</v>
      </c>
      <c r="AA1117">
        <f t="shared" si="307"/>
        <v>0</v>
      </c>
      <c r="AB1117">
        <f>--AND($E1117=1,OR('Staff Weekly Trend'!$B$3="All",$DH1117='Staff Weekly Trend'!$B$3),OR('Staff Weekly Trend'!$B$4="All",$D1117='Staff Weekly Trend'!$B$4),OR('Staff Weekly Trend'!$B$5="All",$A1117='Staff Weekly Trend'!$B$5))</f>
        <v>0</v>
      </c>
      <c r="AC1117" t="str">
        <f t="shared" si="308"/>
        <v/>
      </c>
      <c r="AI1117">
        <f t="shared" si="309"/>
        <v>0</v>
      </c>
      <c r="AJ1117">
        <f t="shared" si="310"/>
        <v>0</v>
      </c>
      <c r="AK1117">
        <f t="shared" si="311"/>
        <v>0</v>
      </c>
      <c r="AL1117">
        <f t="shared" si="312"/>
        <v>0</v>
      </c>
      <c r="AM1117">
        <f t="shared" si="313"/>
        <v>0</v>
      </c>
      <c r="DH1117" t="str" cm="1">
        <f t="array" ref="DH1117">IF($A1117="","",_xlfn.LET(_xlpm.c,IFERROR(_xlfn.XLOOKUP($A1117,TRIM('Sales and count'!$A$4:$A$300&amp;""),TRIM('Sales and count'!$B$4:$B$300&amp;"")),""),IF(OR(_xlpm.c="",_xlpm.c="0",LEFT(_xlpm.c,1)="#"),"Not set",_xlpm.c)))</f>
        <v/>
      </c>
    </row>
    <row r="1118" spans="1:112" x14ac:dyDescent="0.25">
      <c r="A1118" t="str">
        <f>IF('Staff Daily sales'!$B1103="","",TRIM('Staff Daily sales'!$B1103&amp;""))</f>
        <v/>
      </c>
      <c r="B1118" t="str">
        <f>IF('Staff Daily sales'!$D1103="","",TRIM('Staff Daily sales'!$D1103&amp;""))</f>
        <v/>
      </c>
      <c r="C1118" t="str">
        <f>IFERROR(TRIM('Staff Daily sales'!$E1103&amp;""),"")</f>
        <v/>
      </c>
      <c r="D1118" t="str">
        <f>IFERROR(IF(TRIM('Staff Daily sales'!$F1103&amp;"")="","Unassigned",TRIM('Staff Daily sales'!$F1103&amp;"")),"Unassigned")</f>
        <v>Unassigned</v>
      </c>
      <c r="E1118">
        <f t="shared" si="298"/>
        <v>0</v>
      </c>
      <c r="F1118">
        <f>IF($E1118=0,0,SUMPRODUCT($AI$5:$DF$5,'Staff Daily sales'!$G1103:$CD1103))</f>
        <v>0</v>
      </c>
      <c r="G1118">
        <f>IF($E1118=0,0,SUMPRODUCT($AI$6:$DF$6,'Staff Daily sales'!$G1103:$CD1103))</f>
        <v>0</v>
      </c>
      <c r="H1118">
        <f t="shared" si="299"/>
        <v>0</v>
      </c>
      <c r="I1118">
        <f t="shared" si="300"/>
        <v>0</v>
      </c>
      <c r="J1118">
        <f t="shared" si="301"/>
        <v>0</v>
      </c>
      <c r="K1118">
        <f t="shared" si="302"/>
        <v>0</v>
      </c>
      <c r="L1118">
        <f>--AND($E1118=1,OR('Staff Dashboard'!$B$6="All",$DH1118='Staff Dashboard'!$B$6),OR('Staff Dashboard'!$B$7="All",$D1118='Staff Dashboard'!$B$7),OR('Staff Dashboard'!$B$8="All",$A1118='Staff Dashboard'!$B$8))</f>
        <v>0</v>
      </c>
      <c r="M1118">
        <f>IF($E1118=0,0,SUMPRODUCT($AI$7:$DF$7,'Staff Daily sales'!$G1103:$CD1103))</f>
        <v>0</v>
      </c>
      <c r="N1118">
        <f>IF($E1118=0,0,SUMPRODUCT($AI$8:$DF$8,'Staff Daily sales'!$G1103:$CD1103))</f>
        <v>0</v>
      </c>
      <c r="O1118">
        <f>IF($E1118=0,0,SUMPRODUCT($AI$9:$DF$9,'Staff Daily sales'!$G1103:$CD1103))</f>
        <v>0</v>
      </c>
      <c r="P1118">
        <f>IF($E1118=0,0,SUMPRODUCT($AI$10:$DF$10,'Staff Daily sales'!$G1103:$CD1103))</f>
        <v>0</v>
      </c>
      <c r="Q1118">
        <f>IF($E1118=0,0,SUMPRODUCT($AI$11:$DF$11,'Staff Daily sales'!$G1103:$CD1103))</f>
        <v>0</v>
      </c>
      <c r="R1118">
        <f>IF($E1118=0,0,SUMPRODUCT($AI$12:$DF$12,'Staff Daily sales'!$G1103:$CD1103))</f>
        <v>0</v>
      </c>
      <c r="S1118">
        <f>IF($E1118=0,0,SUMPRODUCT($AI$13:$DF$13,'Staff Daily sales'!$G1103:$CD1103))</f>
        <v>0</v>
      </c>
      <c r="T1118">
        <f>IF($E1118=0,0,SUMPRODUCT($AI$14:$DF$14,'Staff Daily sales'!$G1103:$CD1103))</f>
        <v>0</v>
      </c>
      <c r="U1118">
        <f>IF($E1118=0,0,SUMPRODUCT($AI$15:$DF$15,'Staff Daily sales'!$G1103:$CD1103))</f>
        <v>0</v>
      </c>
      <c r="V1118">
        <f>IF($E1118=0,0,SUMPRODUCT($AI$16:$DF$16,'Staff Daily sales'!$G1103:$CD1103))</f>
        <v>0</v>
      </c>
      <c r="W1118">
        <f t="shared" si="303"/>
        <v>0</v>
      </c>
      <c r="X1118">
        <f t="shared" si="304"/>
        <v>0</v>
      </c>
      <c r="Y1118">
        <f t="shared" si="305"/>
        <v>0</v>
      </c>
      <c r="Z1118">
        <f t="shared" si="306"/>
        <v>0</v>
      </c>
      <c r="AA1118">
        <f t="shared" si="307"/>
        <v>0</v>
      </c>
      <c r="AB1118">
        <f>--AND($E1118=1,OR('Staff Weekly Trend'!$B$3="All",$DH1118='Staff Weekly Trend'!$B$3),OR('Staff Weekly Trend'!$B$4="All",$D1118='Staff Weekly Trend'!$B$4),OR('Staff Weekly Trend'!$B$5="All",$A1118='Staff Weekly Trend'!$B$5))</f>
        <v>0</v>
      </c>
      <c r="AC1118" t="str">
        <f t="shared" si="308"/>
        <v/>
      </c>
      <c r="AI1118">
        <f t="shared" si="309"/>
        <v>0</v>
      </c>
      <c r="AJ1118">
        <f t="shared" si="310"/>
        <v>0</v>
      </c>
      <c r="AK1118">
        <f t="shared" si="311"/>
        <v>0</v>
      </c>
      <c r="AL1118">
        <f t="shared" si="312"/>
        <v>0</v>
      </c>
      <c r="AM1118">
        <f t="shared" si="313"/>
        <v>0</v>
      </c>
      <c r="DH1118" t="str" cm="1">
        <f t="array" ref="DH1118">IF($A1118="","",_xlfn.LET(_xlpm.c,IFERROR(_xlfn.XLOOKUP($A1118,TRIM('Sales and count'!$A$4:$A$300&amp;""),TRIM('Sales and count'!$B$4:$B$300&amp;"")),""),IF(OR(_xlpm.c="",_xlpm.c="0",LEFT(_xlpm.c,1)="#"),"Not set",_xlpm.c)))</f>
        <v/>
      </c>
    </row>
    <row r="1119" spans="1:112" x14ac:dyDescent="0.25">
      <c r="A1119" t="str">
        <f>IF('Staff Daily sales'!$B1104="","",TRIM('Staff Daily sales'!$B1104&amp;""))</f>
        <v/>
      </c>
      <c r="B1119" t="str">
        <f>IF('Staff Daily sales'!$D1104="","",TRIM('Staff Daily sales'!$D1104&amp;""))</f>
        <v/>
      </c>
      <c r="C1119" t="str">
        <f>IFERROR(TRIM('Staff Daily sales'!$E1104&amp;""),"")</f>
        <v/>
      </c>
      <c r="D1119" t="str">
        <f>IFERROR(IF(TRIM('Staff Daily sales'!$F1104&amp;"")="","Unassigned",TRIM('Staff Daily sales'!$F1104&amp;"")),"Unassigned")</f>
        <v>Unassigned</v>
      </c>
      <c r="E1119">
        <f t="shared" si="298"/>
        <v>0</v>
      </c>
      <c r="F1119">
        <f>IF($E1119=0,0,SUMPRODUCT($AI$5:$DF$5,'Staff Daily sales'!$G1104:$CD1104))</f>
        <v>0</v>
      </c>
      <c r="G1119">
        <f>IF($E1119=0,0,SUMPRODUCT($AI$6:$DF$6,'Staff Daily sales'!$G1104:$CD1104))</f>
        <v>0</v>
      </c>
      <c r="H1119">
        <f t="shared" si="299"/>
        <v>0</v>
      </c>
      <c r="I1119">
        <f t="shared" si="300"/>
        <v>0</v>
      </c>
      <c r="J1119">
        <f t="shared" si="301"/>
        <v>0</v>
      </c>
      <c r="K1119">
        <f t="shared" si="302"/>
        <v>0</v>
      </c>
      <c r="L1119">
        <f>--AND($E1119=1,OR('Staff Dashboard'!$B$6="All",$DH1119='Staff Dashboard'!$B$6),OR('Staff Dashboard'!$B$7="All",$D1119='Staff Dashboard'!$B$7),OR('Staff Dashboard'!$B$8="All",$A1119='Staff Dashboard'!$B$8))</f>
        <v>0</v>
      </c>
      <c r="M1119">
        <f>IF($E1119=0,0,SUMPRODUCT($AI$7:$DF$7,'Staff Daily sales'!$G1104:$CD1104))</f>
        <v>0</v>
      </c>
      <c r="N1119">
        <f>IF($E1119=0,0,SUMPRODUCT($AI$8:$DF$8,'Staff Daily sales'!$G1104:$CD1104))</f>
        <v>0</v>
      </c>
      <c r="O1119">
        <f>IF($E1119=0,0,SUMPRODUCT($AI$9:$DF$9,'Staff Daily sales'!$G1104:$CD1104))</f>
        <v>0</v>
      </c>
      <c r="P1119">
        <f>IF($E1119=0,0,SUMPRODUCT($AI$10:$DF$10,'Staff Daily sales'!$G1104:$CD1104))</f>
        <v>0</v>
      </c>
      <c r="Q1119">
        <f>IF($E1119=0,0,SUMPRODUCT($AI$11:$DF$11,'Staff Daily sales'!$G1104:$CD1104))</f>
        <v>0</v>
      </c>
      <c r="R1119">
        <f>IF($E1119=0,0,SUMPRODUCT($AI$12:$DF$12,'Staff Daily sales'!$G1104:$CD1104))</f>
        <v>0</v>
      </c>
      <c r="S1119">
        <f>IF($E1119=0,0,SUMPRODUCT($AI$13:$DF$13,'Staff Daily sales'!$G1104:$CD1104))</f>
        <v>0</v>
      </c>
      <c r="T1119">
        <f>IF($E1119=0,0,SUMPRODUCT($AI$14:$DF$14,'Staff Daily sales'!$G1104:$CD1104))</f>
        <v>0</v>
      </c>
      <c r="U1119">
        <f>IF($E1119=0,0,SUMPRODUCT($AI$15:$DF$15,'Staff Daily sales'!$G1104:$CD1104))</f>
        <v>0</v>
      </c>
      <c r="V1119">
        <f>IF($E1119=0,0,SUMPRODUCT($AI$16:$DF$16,'Staff Daily sales'!$G1104:$CD1104))</f>
        <v>0</v>
      </c>
      <c r="W1119">
        <f t="shared" si="303"/>
        <v>0</v>
      </c>
      <c r="X1119">
        <f t="shared" si="304"/>
        <v>0</v>
      </c>
      <c r="Y1119">
        <f t="shared" si="305"/>
        <v>0</v>
      </c>
      <c r="Z1119">
        <f t="shared" si="306"/>
        <v>0</v>
      </c>
      <c r="AA1119">
        <f t="shared" si="307"/>
        <v>0</v>
      </c>
      <c r="AB1119">
        <f>--AND($E1119=1,OR('Staff Weekly Trend'!$B$3="All",$DH1119='Staff Weekly Trend'!$B$3),OR('Staff Weekly Trend'!$B$4="All",$D1119='Staff Weekly Trend'!$B$4),OR('Staff Weekly Trend'!$B$5="All",$A1119='Staff Weekly Trend'!$B$5))</f>
        <v>0</v>
      </c>
      <c r="AC1119" t="str">
        <f t="shared" si="308"/>
        <v/>
      </c>
      <c r="AI1119">
        <f t="shared" si="309"/>
        <v>0</v>
      </c>
      <c r="AJ1119">
        <f t="shared" si="310"/>
        <v>0</v>
      </c>
      <c r="AK1119">
        <f t="shared" si="311"/>
        <v>0</v>
      </c>
      <c r="AL1119">
        <f t="shared" si="312"/>
        <v>0</v>
      </c>
      <c r="AM1119">
        <f t="shared" si="313"/>
        <v>0</v>
      </c>
      <c r="DH1119" t="str" cm="1">
        <f t="array" ref="DH1119">IF($A1119="","",_xlfn.LET(_xlpm.c,IFERROR(_xlfn.XLOOKUP($A1119,TRIM('Sales and count'!$A$4:$A$300&amp;""),TRIM('Sales and count'!$B$4:$B$300&amp;"")),""),IF(OR(_xlpm.c="",_xlpm.c="0",LEFT(_xlpm.c,1)="#"),"Not set",_xlpm.c)))</f>
        <v/>
      </c>
    </row>
    <row r="1120" spans="1:112" x14ac:dyDescent="0.25">
      <c r="A1120" t="str">
        <f>IF('Staff Daily sales'!$B1105="","",TRIM('Staff Daily sales'!$B1105&amp;""))</f>
        <v/>
      </c>
      <c r="B1120" t="str">
        <f>IF('Staff Daily sales'!$D1105="","",TRIM('Staff Daily sales'!$D1105&amp;""))</f>
        <v/>
      </c>
      <c r="C1120" t="str">
        <f>IFERROR(TRIM('Staff Daily sales'!$E1105&amp;""),"")</f>
        <v/>
      </c>
      <c r="D1120" t="str">
        <f>IFERROR(IF(TRIM('Staff Daily sales'!$F1105&amp;"")="","Unassigned",TRIM('Staff Daily sales'!$F1105&amp;"")),"Unassigned")</f>
        <v>Unassigned</v>
      </c>
      <c r="E1120">
        <f t="shared" si="298"/>
        <v>0</v>
      </c>
      <c r="F1120">
        <f>IF($E1120=0,0,SUMPRODUCT($AI$5:$DF$5,'Staff Daily sales'!$G1105:$CD1105))</f>
        <v>0</v>
      </c>
      <c r="G1120">
        <f>IF($E1120=0,0,SUMPRODUCT($AI$6:$DF$6,'Staff Daily sales'!$G1105:$CD1105))</f>
        <v>0</v>
      </c>
      <c r="H1120">
        <f t="shared" si="299"/>
        <v>0</v>
      </c>
      <c r="I1120">
        <f t="shared" si="300"/>
        <v>0</v>
      </c>
      <c r="J1120">
        <f t="shared" si="301"/>
        <v>0</v>
      </c>
      <c r="K1120">
        <f t="shared" si="302"/>
        <v>0</v>
      </c>
      <c r="L1120">
        <f>--AND($E1120=1,OR('Staff Dashboard'!$B$6="All",$DH1120='Staff Dashboard'!$B$6),OR('Staff Dashboard'!$B$7="All",$D1120='Staff Dashboard'!$B$7),OR('Staff Dashboard'!$B$8="All",$A1120='Staff Dashboard'!$B$8))</f>
        <v>0</v>
      </c>
      <c r="M1120">
        <f>IF($E1120=0,0,SUMPRODUCT($AI$7:$DF$7,'Staff Daily sales'!$G1105:$CD1105))</f>
        <v>0</v>
      </c>
      <c r="N1120">
        <f>IF($E1120=0,0,SUMPRODUCT($AI$8:$DF$8,'Staff Daily sales'!$G1105:$CD1105))</f>
        <v>0</v>
      </c>
      <c r="O1120">
        <f>IF($E1120=0,0,SUMPRODUCT($AI$9:$DF$9,'Staff Daily sales'!$G1105:$CD1105))</f>
        <v>0</v>
      </c>
      <c r="P1120">
        <f>IF($E1120=0,0,SUMPRODUCT($AI$10:$DF$10,'Staff Daily sales'!$G1105:$CD1105))</f>
        <v>0</v>
      </c>
      <c r="Q1120">
        <f>IF($E1120=0,0,SUMPRODUCT($AI$11:$DF$11,'Staff Daily sales'!$G1105:$CD1105))</f>
        <v>0</v>
      </c>
      <c r="R1120">
        <f>IF($E1120=0,0,SUMPRODUCT($AI$12:$DF$12,'Staff Daily sales'!$G1105:$CD1105))</f>
        <v>0</v>
      </c>
      <c r="S1120">
        <f>IF($E1120=0,0,SUMPRODUCT($AI$13:$DF$13,'Staff Daily sales'!$G1105:$CD1105))</f>
        <v>0</v>
      </c>
      <c r="T1120">
        <f>IF($E1120=0,0,SUMPRODUCT($AI$14:$DF$14,'Staff Daily sales'!$G1105:$CD1105))</f>
        <v>0</v>
      </c>
      <c r="U1120">
        <f>IF($E1120=0,0,SUMPRODUCT($AI$15:$DF$15,'Staff Daily sales'!$G1105:$CD1105))</f>
        <v>0</v>
      </c>
      <c r="V1120">
        <f>IF($E1120=0,0,SUMPRODUCT($AI$16:$DF$16,'Staff Daily sales'!$G1105:$CD1105))</f>
        <v>0</v>
      </c>
      <c r="W1120">
        <f t="shared" si="303"/>
        <v>0</v>
      </c>
      <c r="X1120">
        <f t="shared" si="304"/>
        <v>0</v>
      </c>
      <c r="Y1120">
        <f t="shared" si="305"/>
        <v>0</v>
      </c>
      <c r="Z1120">
        <f t="shared" si="306"/>
        <v>0</v>
      </c>
      <c r="AA1120">
        <f t="shared" si="307"/>
        <v>0</v>
      </c>
      <c r="AB1120">
        <f>--AND($E1120=1,OR('Staff Weekly Trend'!$B$3="All",$DH1120='Staff Weekly Trend'!$B$3),OR('Staff Weekly Trend'!$B$4="All",$D1120='Staff Weekly Trend'!$B$4),OR('Staff Weekly Trend'!$B$5="All",$A1120='Staff Weekly Trend'!$B$5))</f>
        <v>0</v>
      </c>
      <c r="AC1120" t="str">
        <f t="shared" si="308"/>
        <v/>
      </c>
      <c r="AI1120">
        <f t="shared" si="309"/>
        <v>0</v>
      </c>
      <c r="AJ1120">
        <f t="shared" si="310"/>
        <v>0</v>
      </c>
      <c r="AK1120">
        <f t="shared" si="311"/>
        <v>0</v>
      </c>
      <c r="AL1120">
        <f t="shared" si="312"/>
        <v>0</v>
      </c>
      <c r="AM1120">
        <f t="shared" si="313"/>
        <v>0</v>
      </c>
      <c r="DH1120" t="str" cm="1">
        <f t="array" ref="DH1120">IF($A1120="","",_xlfn.LET(_xlpm.c,IFERROR(_xlfn.XLOOKUP($A1120,TRIM('Sales and count'!$A$4:$A$300&amp;""),TRIM('Sales and count'!$B$4:$B$300&amp;"")),""),IF(OR(_xlpm.c="",_xlpm.c="0",LEFT(_xlpm.c,1)="#"),"Not set",_xlpm.c)))</f>
        <v/>
      </c>
    </row>
    <row r="1121" spans="1:112" x14ac:dyDescent="0.25">
      <c r="A1121" t="str">
        <f>IF('Staff Daily sales'!$B1106="","",TRIM('Staff Daily sales'!$B1106&amp;""))</f>
        <v/>
      </c>
      <c r="B1121" t="str">
        <f>IF('Staff Daily sales'!$D1106="","",TRIM('Staff Daily sales'!$D1106&amp;""))</f>
        <v/>
      </c>
      <c r="C1121" t="str">
        <f>IFERROR(TRIM('Staff Daily sales'!$E1106&amp;""),"")</f>
        <v/>
      </c>
      <c r="D1121" t="str">
        <f>IFERROR(IF(TRIM('Staff Daily sales'!$F1106&amp;"")="","Unassigned",TRIM('Staff Daily sales'!$F1106&amp;"")),"Unassigned")</f>
        <v>Unassigned</v>
      </c>
      <c r="E1121">
        <f t="shared" si="298"/>
        <v>0</v>
      </c>
      <c r="F1121">
        <f>IF($E1121=0,0,SUMPRODUCT($AI$5:$DF$5,'Staff Daily sales'!$G1106:$CD1106))</f>
        <v>0</v>
      </c>
      <c r="G1121">
        <f>IF($E1121=0,0,SUMPRODUCT($AI$6:$DF$6,'Staff Daily sales'!$G1106:$CD1106))</f>
        <v>0</v>
      </c>
      <c r="H1121">
        <f t="shared" si="299"/>
        <v>0</v>
      </c>
      <c r="I1121">
        <f t="shared" si="300"/>
        <v>0</v>
      </c>
      <c r="J1121">
        <f t="shared" si="301"/>
        <v>0</v>
      </c>
      <c r="K1121">
        <f t="shared" si="302"/>
        <v>0</v>
      </c>
      <c r="L1121">
        <f>--AND($E1121=1,OR('Staff Dashboard'!$B$6="All",$DH1121='Staff Dashboard'!$B$6),OR('Staff Dashboard'!$B$7="All",$D1121='Staff Dashboard'!$B$7),OR('Staff Dashboard'!$B$8="All",$A1121='Staff Dashboard'!$B$8))</f>
        <v>0</v>
      </c>
      <c r="M1121">
        <f>IF($E1121=0,0,SUMPRODUCT($AI$7:$DF$7,'Staff Daily sales'!$G1106:$CD1106))</f>
        <v>0</v>
      </c>
      <c r="N1121">
        <f>IF($E1121=0,0,SUMPRODUCT($AI$8:$DF$8,'Staff Daily sales'!$G1106:$CD1106))</f>
        <v>0</v>
      </c>
      <c r="O1121">
        <f>IF($E1121=0,0,SUMPRODUCT($AI$9:$DF$9,'Staff Daily sales'!$G1106:$CD1106))</f>
        <v>0</v>
      </c>
      <c r="P1121">
        <f>IF($E1121=0,0,SUMPRODUCT($AI$10:$DF$10,'Staff Daily sales'!$G1106:$CD1106))</f>
        <v>0</v>
      </c>
      <c r="Q1121">
        <f>IF($E1121=0,0,SUMPRODUCT($AI$11:$DF$11,'Staff Daily sales'!$G1106:$CD1106))</f>
        <v>0</v>
      </c>
      <c r="R1121">
        <f>IF($E1121=0,0,SUMPRODUCT($AI$12:$DF$12,'Staff Daily sales'!$G1106:$CD1106))</f>
        <v>0</v>
      </c>
      <c r="S1121">
        <f>IF($E1121=0,0,SUMPRODUCT($AI$13:$DF$13,'Staff Daily sales'!$G1106:$CD1106))</f>
        <v>0</v>
      </c>
      <c r="T1121">
        <f>IF($E1121=0,0,SUMPRODUCT($AI$14:$DF$14,'Staff Daily sales'!$G1106:$CD1106))</f>
        <v>0</v>
      </c>
      <c r="U1121">
        <f>IF($E1121=0,0,SUMPRODUCT($AI$15:$DF$15,'Staff Daily sales'!$G1106:$CD1106))</f>
        <v>0</v>
      </c>
      <c r="V1121">
        <f>IF($E1121=0,0,SUMPRODUCT($AI$16:$DF$16,'Staff Daily sales'!$G1106:$CD1106))</f>
        <v>0</v>
      </c>
      <c r="W1121">
        <f t="shared" si="303"/>
        <v>0</v>
      </c>
      <c r="X1121">
        <f t="shared" si="304"/>
        <v>0</v>
      </c>
      <c r="Y1121">
        <f t="shared" si="305"/>
        <v>0</v>
      </c>
      <c r="Z1121">
        <f t="shared" si="306"/>
        <v>0</v>
      </c>
      <c r="AA1121">
        <f t="shared" si="307"/>
        <v>0</v>
      </c>
      <c r="AB1121">
        <f>--AND($E1121=1,OR('Staff Weekly Trend'!$B$3="All",$DH1121='Staff Weekly Trend'!$B$3),OR('Staff Weekly Trend'!$B$4="All",$D1121='Staff Weekly Trend'!$B$4),OR('Staff Weekly Trend'!$B$5="All",$A1121='Staff Weekly Trend'!$B$5))</f>
        <v>0</v>
      </c>
      <c r="AC1121" t="str">
        <f t="shared" si="308"/>
        <v/>
      </c>
      <c r="AI1121">
        <f t="shared" si="309"/>
        <v>0</v>
      </c>
      <c r="AJ1121">
        <f t="shared" si="310"/>
        <v>0</v>
      </c>
      <c r="AK1121">
        <f t="shared" si="311"/>
        <v>0</v>
      </c>
      <c r="AL1121">
        <f t="shared" si="312"/>
        <v>0</v>
      </c>
      <c r="AM1121">
        <f t="shared" si="313"/>
        <v>0</v>
      </c>
      <c r="DH1121" t="str" cm="1">
        <f t="array" ref="DH1121">IF($A1121="","",_xlfn.LET(_xlpm.c,IFERROR(_xlfn.XLOOKUP($A1121,TRIM('Sales and count'!$A$4:$A$300&amp;""),TRIM('Sales and count'!$B$4:$B$300&amp;"")),""),IF(OR(_xlpm.c="",_xlpm.c="0",LEFT(_xlpm.c,1)="#"),"Not set",_xlpm.c)))</f>
        <v/>
      </c>
    </row>
    <row r="1122" spans="1:112" x14ac:dyDescent="0.25">
      <c r="A1122" t="str">
        <f>IF('Staff Daily sales'!$B1107="","",TRIM('Staff Daily sales'!$B1107&amp;""))</f>
        <v/>
      </c>
      <c r="B1122" t="str">
        <f>IF('Staff Daily sales'!$D1107="","",TRIM('Staff Daily sales'!$D1107&amp;""))</f>
        <v/>
      </c>
      <c r="C1122" t="str">
        <f>IFERROR(TRIM('Staff Daily sales'!$E1107&amp;""),"")</f>
        <v/>
      </c>
      <c r="D1122" t="str">
        <f>IFERROR(IF(TRIM('Staff Daily sales'!$F1107&amp;"")="","Unassigned",TRIM('Staff Daily sales'!$F1107&amp;"")),"Unassigned")</f>
        <v>Unassigned</v>
      </c>
      <c r="E1122">
        <f t="shared" si="298"/>
        <v>0</v>
      </c>
      <c r="F1122">
        <f>IF($E1122=0,0,SUMPRODUCT($AI$5:$DF$5,'Staff Daily sales'!$G1107:$CD1107))</f>
        <v>0</v>
      </c>
      <c r="G1122">
        <f>IF($E1122=0,0,SUMPRODUCT($AI$6:$DF$6,'Staff Daily sales'!$G1107:$CD1107))</f>
        <v>0</v>
      </c>
      <c r="H1122">
        <f t="shared" si="299"/>
        <v>0</v>
      </c>
      <c r="I1122">
        <f t="shared" si="300"/>
        <v>0</v>
      </c>
      <c r="J1122">
        <f t="shared" si="301"/>
        <v>0</v>
      </c>
      <c r="K1122">
        <f t="shared" si="302"/>
        <v>0</v>
      </c>
      <c r="L1122">
        <f>--AND($E1122=1,OR('Staff Dashboard'!$B$6="All",$DH1122='Staff Dashboard'!$B$6),OR('Staff Dashboard'!$B$7="All",$D1122='Staff Dashboard'!$B$7),OR('Staff Dashboard'!$B$8="All",$A1122='Staff Dashboard'!$B$8))</f>
        <v>0</v>
      </c>
      <c r="M1122">
        <f>IF($E1122=0,0,SUMPRODUCT($AI$7:$DF$7,'Staff Daily sales'!$G1107:$CD1107))</f>
        <v>0</v>
      </c>
      <c r="N1122">
        <f>IF($E1122=0,0,SUMPRODUCT($AI$8:$DF$8,'Staff Daily sales'!$G1107:$CD1107))</f>
        <v>0</v>
      </c>
      <c r="O1122">
        <f>IF($E1122=0,0,SUMPRODUCT($AI$9:$DF$9,'Staff Daily sales'!$G1107:$CD1107))</f>
        <v>0</v>
      </c>
      <c r="P1122">
        <f>IF($E1122=0,0,SUMPRODUCT($AI$10:$DF$10,'Staff Daily sales'!$G1107:$CD1107))</f>
        <v>0</v>
      </c>
      <c r="Q1122">
        <f>IF($E1122=0,0,SUMPRODUCT($AI$11:$DF$11,'Staff Daily sales'!$G1107:$CD1107))</f>
        <v>0</v>
      </c>
      <c r="R1122">
        <f>IF($E1122=0,0,SUMPRODUCT($AI$12:$DF$12,'Staff Daily sales'!$G1107:$CD1107))</f>
        <v>0</v>
      </c>
      <c r="S1122">
        <f>IF($E1122=0,0,SUMPRODUCT($AI$13:$DF$13,'Staff Daily sales'!$G1107:$CD1107))</f>
        <v>0</v>
      </c>
      <c r="T1122">
        <f>IF($E1122=0,0,SUMPRODUCT($AI$14:$DF$14,'Staff Daily sales'!$G1107:$CD1107))</f>
        <v>0</v>
      </c>
      <c r="U1122">
        <f>IF($E1122=0,0,SUMPRODUCT($AI$15:$DF$15,'Staff Daily sales'!$G1107:$CD1107))</f>
        <v>0</v>
      </c>
      <c r="V1122">
        <f>IF($E1122=0,0,SUMPRODUCT($AI$16:$DF$16,'Staff Daily sales'!$G1107:$CD1107))</f>
        <v>0</v>
      </c>
      <c r="W1122">
        <f t="shared" si="303"/>
        <v>0</v>
      </c>
      <c r="X1122">
        <f t="shared" si="304"/>
        <v>0</v>
      </c>
      <c r="Y1122">
        <f t="shared" si="305"/>
        <v>0</v>
      </c>
      <c r="Z1122">
        <f t="shared" si="306"/>
        <v>0</v>
      </c>
      <c r="AA1122">
        <f t="shared" si="307"/>
        <v>0</v>
      </c>
      <c r="AB1122">
        <f>--AND($E1122=1,OR('Staff Weekly Trend'!$B$3="All",$DH1122='Staff Weekly Trend'!$B$3),OR('Staff Weekly Trend'!$B$4="All",$D1122='Staff Weekly Trend'!$B$4),OR('Staff Weekly Trend'!$B$5="All",$A1122='Staff Weekly Trend'!$B$5))</f>
        <v>0</v>
      </c>
      <c r="AC1122" t="str">
        <f t="shared" si="308"/>
        <v/>
      </c>
      <c r="AI1122">
        <f t="shared" si="309"/>
        <v>0</v>
      </c>
      <c r="AJ1122">
        <f t="shared" si="310"/>
        <v>0</v>
      </c>
      <c r="AK1122">
        <f t="shared" si="311"/>
        <v>0</v>
      </c>
      <c r="AL1122">
        <f t="shared" si="312"/>
        <v>0</v>
      </c>
      <c r="AM1122">
        <f t="shared" si="313"/>
        <v>0</v>
      </c>
      <c r="DH1122" t="str" cm="1">
        <f t="array" ref="DH1122">IF($A1122="","",_xlfn.LET(_xlpm.c,IFERROR(_xlfn.XLOOKUP($A1122,TRIM('Sales and count'!$A$4:$A$300&amp;""),TRIM('Sales and count'!$B$4:$B$300&amp;"")),""),IF(OR(_xlpm.c="",_xlpm.c="0",LEFT(_xlpm.c,1)="#"),"Not set",_xlpm.c)))</f>
        <v/>
      </c>
    </row>
    <row r="1123" spans="1:112" x14ac:dyDescent="0.25">
      <c r="A1123" t="str">
        <f>IF('Staff Daily sales'!$B1108="","",TRIM('Staff Daily sales'!$B1108&amp;""))</f>
        <v/>
      </c>
      <c r="B1123" t="str">
        <f>IF('Staff Daily sales'!$D1108="","",TRIM('Staff Daily sales'!$D1108&amp;""))</f>
        <v/>
      </c>
      <c r="C1123" t="str">
        <f>IFERROR(TRIM('Staff Daily sales'!$E1108&amp;""),"")</f>
        <v/>
      </c>
      <c r="D1123" t="str">
        <f>IFERROR(IF(TRIM('Staff Daily sales'!$F1108&amp;"")="","Unassigned",TRIM('Staff Daily sales'!$F1108&amp;"")),"Unassigned")</f>
        <v>Unassigned</v>
      </c>
      <c r="E1123">
        <f t="shared" si="298"/>
        <v>0</v>
      </c>
      <c r="F1123">
        <f>IF($E1123=0,0,SUMPRODUCT($AI$5:$DF$5,'Staff Daily sales'!$G1108:$CD1108))</f>
        <v>0</v>
      </c>
      <c r="G1123">
        <f>IF($E1123=0,0,SUMPRODUCT($AI$6:$DF$6,'Staff Daily sales'!$G1108:$CD1108))</f>
        <v>0</v>
      </c>
      <c r="H1123">
        <f t="shared" si="299"/>
        <v>0</v>
      </c>
      <c r="I1123">
        <f t="shared" si="300"/>
        <v>0</v>
      </c>
      <c r="J1123">
        <f t="shared" si="301"/>
        <v>0</v>
      </c>
      <c r="K1123">
        <f t="shared" si="302"/>
        <v>0</v>
      </c>
      <c r="L1123">
        <f>--AND($E1123=1,OR('Staff Dashboard'!$B$6="All",$DH1123='Staff Dashboard'!$B$6),OR('Staff Dashboard'!$B$7="All",$D1123='Staff Dashboard'!$B$7),OR('Staff Dashboard'!$B$8="All",$A1123='Staff Dashboard'!$B$8))</f>
        <v>0</v>
      </c>
      <c r="M1123">
        <f>IF($E1123=0,0,SUMPRODUCT($AI$7:$DF$7,'Staff Daily sales'!$G1108:$CD1108))</f>
        <v>0</v>
      </c>
      <c r="N1123">
        <f>IF($E1123=0,0,SUMPRODUCT($AI$8:$DF$8,'Staff Daily sales'!$G1108:$CD1108))</f>
        <v>0</v>
      </c>
      <c r="O1123">
        <f>IF($E1123=0,0,SUMPRODUCT($AI$9:$DF$9,'Staff Daily sales'!$G1108:$CD1108))</f>
        <v>0</v>
      </c>
      <c r="P1123">
        <f>IF($E1123=0,0,SUMPRODUCT($AI$10:$DF$10,'Staff Daily sales'!$G1108:$CD1108))</f>
        <v>0</v>
      </c>
      <c r="Q1123">
        <f>IF($E1123=0,0,SUMPRODUCT($AI$11:$DF$11,'Staff Daily sales'!$G1108:$CD1108))</f>
        <v>0</v>
      </c>
      <c r="R1123">
        <f>IF($E1123=0,0,SUMPRODUCT($AI$12:$DF$12,'Staff Daily sales'!$G1108:$CD1108))</f>
        <v>0</v>
      </c>
      <c r="S1123">
        <f>IF($E1123=0,0,SUMPRODUCT($AI$13:$DF$13,'Staff Daily sales'!$G1108:$CD1108))</f>
        <v>0</v>
      </c>
      <c r="T1123">
        <f>IF($E1123=0,0,SUMPRODUCT($AI$14:$DF$14,'Staff Daily sales'!$G1108:$CD1108))</f>
        <v>0</v>
      </c>
      <c r="U1123">
        <f>IF($E1123=0,0,SUMPRODUCT($AI$15:$DF$15,'Staff Daily sales'!$G1108:$CD1108))</f>
        <v>0</v>
      </c>
      <c r="V1123">
        <f>IF($E1123=0,0,SUMPRODUCT($AI$16:$DF$16,'Staff Daily sales'!$G1108:$CD1108))</f>
        <v>0</v>
      </c>
      <c r="W1123">
        <f t="shared" si="303"/>
        <v>0</v>
      </c>
      <c r="X1123">
        <f t="shared" si="304"/>
        <v>0</v>
      </c>
      <c r="Y1123">
        <f t="shared" si="305"/>
        <v>0</v>
      </c>
      <c r="Z1123">
        <f t="shared" si="306"/>
        <v>0</v>
      </c>
      <c r="AA1123">
        <f t="shared" si="307"/>
        <v>0</v>
      </c>
      <c r="AB1123">
        <f>--AND($E1123=1,OR('Staff Weekly Trend'!$B$3="All",$DH1123='Staff Weekly Trend'!$B$3),OR('Staff Weekly Trend'!$B$4="All",$D1123='Staff Weekly Trend'!$B$4),OR('Staff Weekly Trend'!$B$5="All",$A1123='Staff Weekly Trend'!$B$5))</f>
        <v>0</v>
      </c>
      <c r="AC1123" t="str">
        <f t="shared" si="308"/>
        <v/>
      </c>
      <c r="AI1123">
        <f t="shared" si="309"/>
        <v>0</v>
      </c>
      <c r="AJ1123">
        <f t="shared" si="310"/>
        <v>0</v>
      </c>
      <c r="AK1123">
        <f t="shared" si="311"/>
        <v>0</v>
      </c>
      <c r="AL1123">
        <f t="shared" si="312"/>
        <v>0</v>
      </c>
      <c r="AM1123">
        <f t="shared" si="313"/>
        <v>0</v>
      </c>
      <c r="DH1123" t="str" cm="1">
        <f t="array" ref="DH1123">IF($A1123="","",_xlfn.LET(_xlpm.c,IFERROR(_xlfn.XLOOKUP($A1123,TRIM('Sales and count'!$A$4:$A$300&amp;""),TRIM('Sales and count'!$B$4:$B$300&amp;"")),""),IF(OR(_xlpm.c="",_xlpm.c="0",LEFT(_xlpm.c,1)="#"),"Not set",_xlpm.c)))</f>
        <v/>
      </c>
    </row>
    <row r="1124" spans="1:112" x14ac:dyDescent="0.25">
      <c r="A1124" t="str">
        <f>IF('Staff Daily sales'!$B1109="","",TRIM('Staff Daily sales'!$B1109&amp;""))</f>
        <v/>
      </c>
      <c r="B1124" t="str">
        <f>IF('Staff Daily sales'!$D1109="","",TRIM('Staff Daily sales'!$D1109&amp;""))</f>
        <v/>
      </c>
      <c r="C1124" t="str">
        <f>IFERROR(TRIM('Staff Daily sales'!$E1109&amp;""),"")</f>
        <v/>
      </c>
      <c r="D1124" t="str">
        <f>IFERROR(IF(TRIM('Staff Daily sales'!$F1109&amp;"")="","Unassigned",TRIM('Staff Daily sales'!$F1109&amp;"")),"Unassigned")</f>
        <v>Unassigned</v>
      </c>
      <c r="E1124">
        <f t="shared" si="298"/>
        <v>0</v>
      </c>
      <c r="F1124">
        <f>IF($E1124=0,0,SUMPRODUCT($AI$5:$DF$5,'Staff Daily sales'!$G1109:$CD1109))</f>
        <v>0</v>
      </c>
      <c r="G1124">
        <f>IF($E1124=0,0,SUMPRODUCT($AI$6:$DF$6,'Staff Daily sales'!$G1109:$CD1109))</f>
        <v>0</v>
      </c>
      <c r="H1124">
        <f t="shared" si="299"/>
        <v>0</v>
      </c>
      <c r="I1124">
        <f t="shared" si="300"/>
        <v>0</v>
      </c>
      <c r="J1124">
        <f t="shared" si="301"/>
        <v>0</v>
      </c>
      <c r="K1124">
        <f t="shared" si="302"/>
        <v>0</v>
      </c>
      <c r="L1124">
        <f>--AND($E1124=1,OR('Staff Dashboard'!$B$6="All",$DH1124='Staff Dashboard'!$B$6),OR('Staff Dashboard'!$B$7="All",$D1124='Staff Dashboard'!$B$7),OR('Staff Dashboard'!$B$8="All",$A1124='Staff Dashboard'!$B$8))</f>
        <v>0</v>
      </c>
      <c r="M1124">
        <f>IF($E1124=0,0,SUMPRODUCT($AI$7:$DF$7,'Staff Daily sales'!$G1109:$CD1109))</f>
        <v>0</v>
      </c>
      <c r="N1124">
        <f>IF($E1124=0,0,SUMPRODUCT($AI$8:$DF$8,'Staff Daily sales'!$G1109:$CD1109))</f>
        <v>0</v>
      </c>
      <c r="O1124">
        <f>IF($E1124=0,0,SUMPRODUCT($AI$9:$DF$9,'Staff Daily sales'!$G1109:$CD1109))</f>
        <v>0</v>
      </c>
      <c r="P1124">
        <f>IF($E1124=0,0,SUMPRODUCT($AI$10:$DF$10,'Staff Daily sales'!$G1109:$CD1109))</f>
        <v>0</v>
      </c>
      <c r="Q1124">
        <f>IF($E1124=0,0,SUMPRODUCT($AI$11:$DF$11,'Staff Daily sales'!$G1109:$CD1109))</f>
        <v>0</v>
      </c>
      <c r="R1124">
        <f>IF($E1124=0,0,SUMPRODUCT($AI$12:$DF$12,'Staff Daily sales'!$G1109:$CD1109))</f>
        <v>0</v>
      </c>
      <c r="S1124">
        <f>IF($E1124=0,0,SUMPRODUCT($AI$13:$DF$13,'Staff Daily sales'!$G1109:$CD1109))</f>
        <v>0</v>
      </c>
      <c r="T1124">
        <f>IF($E1124=0,0,SUMPRODUCT($AI$14:$DF$14,'Staff Daily sales'!$G1109:$CD1109))</f>
        <v>0</v>
      </c>
      <c r="U1124">
        <f>IF($E1124=0,0,SUMPRODUCT($AI$15:$DF$15,'Staff Daily sales'!$G1109:$CD1109))</f>
        <v>0</v>
      </c>
      <c r="V1124">
        <f>IF($E1124=0,0,SUMPRODUCT($AI$16:$DF$16,'Staff Daily sales'!$G1109:$CD1109))</f>
        <v>0</v>
      </c>
      <c r="W1124">
        <f t="shared" si="303"/>
        <v>0</v>
      </c>
      <c r="X1124">
        <f t="shared" si="304"/>
        <v>0</v>
      </c>
      <c r="Y1124">
        <f t="shared" si="305"/>
        <v>0</v>
      </c>
      <c r="Z1124">
        <f t="shared" si="306"/>
        <v>0</v>
      </c>
      <c r="AA1124">
        <f t="shared" si="307"/>
        <v>0</v>
      </c>
      <c r="AB1124">
        <f>--AND($E1124=1,OR('Staff Weekly Trend'!$B$3="All",$DH1124='Staff Weekly Trend'!$B$3),OR('Staff Weekly Trend'!$B$4="All",$D1124='Staff Weekly Trend'!$B$4),OR('Staff Weekly Trend'!$B$5="All",$A1124='Staff Weekly Trend'!$B$5))</f>
        <v>0</v>
      </c>
      <c r="AC1124" t="str">
        <f t="shared" si="308"/>
        <v/>
      </c>
      <c r="AI1124">
        <f t="shared" si="309"/>
        <v>0</v>
      </c>
      <c r="AJ1124">
        <f t="shared" si="310"/>
        <v>0</v>
      </c>
      <c r="AK1124">
        <f t="shared" si="311"/>
        <v>0</v>
      </c>
      <c r="AL1124">
        <f t="shared" si="312"/>
        <v>0</v>
      </c>
      <c r="AM1124">
        <f t="shared" si="313"/>
        <v>0</v>
      </c>
      <c r="DH1124" t="str" cm="1">
        <f t="array" ref="DH1124">IF($A1124="","",_xlfn.LET(_xlpm.c,IFERROR(_xlfn.XLOOKUP($A1124,TRIM('Sales and count'!$A$4:$A$300&amp;""),TRIM('Sales and count'!$B$4:$B$300&amp;"")),""),IF(OR(_xlpm.c="",_xlpm.c="0",LEFT(_xlpm.c,1)="#"),"Not set",_xlpm.c)))</f>
        <v/>
      </c>
    </row>
    <row r="1125" spans="1:112" x14ac:dyDescent="0.25">
      <c r="A1125" t="str">
        <f>IF('Staff Daily sales'!$B1110="","",TRIM('Staff Daily sales'!$B1110&amp;""))</f>
        <v/>
      </c>
      <c r="B1125" t="str">
        <f>IF('Staff Daily sales'!$D1110="","",TRIM('Staff Daily sales'!$D1110&amp;""))</f>
        <v/>
      </c>
      <c r="C1125" t="str">
        <f>IFERROR(TRIM('Staff Daily sales'!$E1110&amp;""),"")</f>
        <v/>
      </c>
      <c r="D1125" t="str">
        <f>IFERROR(IF(TRIM('Staff Daily sales'!$F1110&amp;"")="","Unassigned",TRIM('Staff Daily sales'!$F1110&amp;"")),"Unassigned")</f>
        <v>Unassigned</v>
      </c>
      <c r="E1125">
        <f t="shared" si="298"/>
        <v>0</v>
      </c>
      <c r="F1125">
        <f>IF($E1125=0,0,SUMPRODUCT($AI$5:$DF$5,'Staff Daily sales'!$G1110:$CD1110))</f>
        <v>0</v>
      </c>
      <c r="G1125">
        <f>IF($E1125=0,0,SUMPRODUCT($AI$6:$DF$6,'Staff Daily sales'!$G1110:$CD1110))</f>
        <v>0</v>
      </c>
      <c r="H1125">
        <f t="shared" si="299"/>
        <v>0</v>
      </c>
      <c r="I1125">
        <f t="shared" si="300"/>
        <v>0</v>
      </c>
      <c r="J1125">
        <f t="shared" si="301"/>
        <v>0</v>
      </c>
      <c r="K1125">
        <f t="shared" si="302"/>
        <v>0</v>
      </c>
      <c r="L1125">
        <f>--AND($E1125=1,OR('Staff Dashboard'!$B$6="All",$DH1125='Staff Dashboard'!$B$6),OR('Staff Dashboard'!$B$7="All",$D1125='Staff Dashboard'!$B$7),OR('Staff Dashboard'!$B$8="All",$A1125='Staff Dashboard'!$B$8))</f>
        <v>0</v>
      </c>
      <c r="M1125">
        <f>IF($E1125=0,0,SUMPRODUCT($AI$7:$DF$7,'Staff Daily sales'!$G1110:$CD1110))</f>
        <v>0</v>
      </c>
      <c r="N1125">
        <f>IF($E1125=0,0,SUMPRODUCT($AI$8:$DF$8,'Staff Daily sales'!$G1110:$CD1110))</f>
        <v>0</v>
      </c>
      <c r="O1125">
        <f>IF($E1125=0,0,SUMPRODUCT($AI$9:$DF$9,'Staff Daily sales'!$G1110:$CD1110))</f>
        <v>0</v>
      </c>
      <c r="P1125">
        <f>IF($E1125=0,0,SUMPRODUCT($AI$10:$DF$10,'Staff Daily sales'!$G1110:$CD1110))</f>
        <v>0</v>
      </c>
      <c r="Q1125">
        <f>IF($E1125=0,0,SUMPRODUCT($AI$11:$DF$11,'Staff Daily sales'!$G1110:$CD1110))</f>
        <v>0</v>
      </c>
      <c r="R1125">
        <f>IF($E1125=0,0,SUMPRODUCT($AI$12:$DF$12,'Staff Daily sales'!$G1110:$CD1110))</f>
        <v>0</v>
      </c>
      <c r="S1125">
        <f>IF($E1125=0,0,SUMPRODUCT($AI$13:$DF$13,'Staff Daily sales'!$G1110:$CD1110))</f>
        <v>0</v>
      </c>
      <c r="T1125">
        <f>IF($E1125=0,0,SUMPRODUCT($AI$14:$DF$14,'Staff Daily sales'!$G1110:$CD1110))</f>
        <v>0</v>
      </c>
      <c r="U1125">
        <f>IF($E1125=0,0,SUMPRODUCT($AI$15:$DF$15,'Staff Daily sales'!$G1110:$CD1110))</f>
        <v>0</v>
      </c>
      <c r="V1125">
        <f>IF($E1125=0,0,SUMPRODUCT($AI$16:$DF$16,'Staff Daily sales'!$G1110:$CD1110))</f>
        <v>0</v>
      </c>
      <c r="W1125">
        <f t="shared" si="303"/>
        <v>0</v>
      </c>
      <c r="X1125">
        <f t="shared" si="304"/>
        <v>0</v>
      </c>
      <c r="Y1125">
        <f t="shared" si="305"/>
        <v>0</v>
      </c>
      <c r="Z1125">
        <f t="shared" si="306"/>
        <v>0</v>
      </c>
      <c r="AA1125">
        <f t="shared" si="307"/>
        <v>0</v>
      </c>
      <c r="AB1125">
        <f>--AND($E1125=1,OR('Staff Weekly Trend'!$B$3="All",$DH1125='Staff Weekly Trend'!$B$3),OR('Staff Weekly Trend'!$B$4="All",$D1125='Staff Weekly Trend'!$B$4),OR('Staff Weekly Trend'!$B$5="All",$A1125='Staff Weekly Trend'!$B$5))</f>
        <v>0</v>
      </c>
      <c r="AC1125" t="str">
        <f t="shared" si="308"/>
        <v/>
      </c>
      <c r="AI1125">
        <f t="shared" si="309"/>
        <v>0</v>
      </c>
      <c r="AJ1125">
        <f t="shared" si="310"/>
        <v>0</v>
      </c>
      <c r="AK1125">
        <f t="shared" si="311"/>
        <v>0</v>
      </c>
      <c r="AL1125">
        <f t="shared" si="312"/>
        <v>0</v>
      </c>
      <c r="AM1125">
        <f t="shared" si="313"/>
        <v>0</v>
      </c>
      <c r="DH1125" t="str" cm="1">
        <f t="array" ref="DH1125">IF($A1125="","",_xlfn.LET(_xlpm.c,IFERROR(_xlfn.XLOOKUP($A1125,TRIM('Sales and count'!$A$4:$A$300&amp;""),TRIM('Sales and count'!$B$4:$B$300&amp;"")),""),IF(OR(_xlpm.c="",_xlpm.c="0",LEFT(_xlpm.c,1)="#"),"Not set",_xlpm.c)))</f>
        <v/>
      </c>
    </row>
    <row r="1126" spans="1:112" x14ac:dyDescent="0.25">
      <c r="A1126" t="str">
        <f>IF('Staff Daily sales'!$B1111="","",TRIM('Staff Daily sales'!$B1111&amp;""))</f>
        <v/>
      </c>
      <c r="B1126" t="str">
        <f>IF('Staff Daily sales'!$D1111="","",TRIM('Staff Daily sales'!$D1111&amp;""))</f>
        <v/>
      </c>
      <c r="C1126" t="str">
        <f>IFERROR(TRIM('Staff Daily sales'!$E1111&amp;""),"")</f>
        <v/>
      </c>
      <c r="D1126" t="str">
        <f>IFERROR(IF(TRIM('Staff Daily sales'!$F1111&amp;"")="","Unassigned",TRIM('Staff Daily sales'!$F1111&amp;"")),"Unassigned")</f>
        <v>Unassigned</v>
      </c>
      <c r="E1126">
        <f t="shared" si="298"/>
        <v>0</v>
      </c>
      <c r="F1126">
        <f>IF($E1126=0,0,SUMPRODUCT($AI$5:$DF$5,'Staff Daily sales'!$G1111:$CD1111))</f>
        <v>0</v>
      </c>
      <c r="G1126">
        <f>IF($E1126=0,0,SUMPRODUCT($AI$6:$DF$6,'Staff Daily sales'!$G1111:$CD1111))</f>
        <v>0</v>
      </c>
      <c r="H1126">
        <f t="shared" si="299"/>
        <v>0</v>
      </c>
      <c r="I1126">
        <f t="shared" si="300"/>
        <v>0</v>
      </c>
      <c r="J1126">
        <f t="shared" si="301"/>
        <v>0</v>
      </c>
      <c r="K1126">
        <f t="shared" si="302"/>
        <v>0</v>
      </c>
      <c r="L1126">
        <f>--AND($E1126=1,OR('Staff Dashboard'!$B$6="All",$DH1126='Staff Dashboard'!$B$6),OR('Staff Dashboard'!$B$7="All",$D1126='Staff Dashboard'!$B$7),OR('Staff Dashboard'!$B$8="All",$A1126='Staff Dashboard'!$B$8))</f>
        <v>0</v>
      </c>
      <c r="M1126">
        <f>IF($E1126=0,0,SUMPRODUCT($AI$7:$DF$7,'Staff Daily sales'!$G1111:$CD1111))</f>
        <v>0</v>
      </c>
      <c r="N1126">
        <f>IF($E1126=0,0,SUMPRODUCT($AI$8:$DF$8,'Staff Daily sales'!$G1111:$CD1111))</f>
        <v>0</v>
      </c>
      <c r="O1126">
        <f>IF($E1126=0,0,SUMPRODUCT($AI$9:$DF$9,'Staff Daily sales'!$G1111:$CD1111))</f>
        <v>0</v>
      </c>
      <c r="P1126">
        <f>IF($E1126=0,0,SUMPRODUCT($AI$10:$DF$10,'Staff Daily sales'!$G1111:$CD1111))</f>
        <v>0</v>
      </c>
      <c r="Q1126">
        <f>IF($E1126=0,0,SUMPRODUCT($AI$11:$DF$11,'Staff Daily sales'!$G1111:$CD1111))</f>
        <v>0</v>
      </c>
      <c r="R1126">
        <f>IF($E1126=0,0,SUMPRODUCT($AI$12:$DF$12,'Staff Daily sales'!$G1111:$CD1111))</f>
        <v>0</v>
      </c>
      <c r="S1126">
        <f>IF($E1126=0,0,SUMPRODUCT($AI$13:$DF$13,'Staff Daily sales'!$G1111:$CD1111))</f>
        <v>0</v>
      </c>
      <c r="T1126">
        <f>IF($E1126=0,0,SUMPRODUCT($AI$14:$DF$14,'Staff Daily sales'!$G1111:$CD1111))</f>
        <v>0</v>
      </c>
      <c r="U1126">
        <f>IF($E1126=0,0,SUMPRODUCT($AI$15:$DF$15,'Staff Daily sales'!$G1111:$CD1111))</f>
        <v>0</v>
      </c>
      <c r="V1126">
        <f>IF($E1126=0,0,SUMPRODUCT($AI$16:$DF$16,'Staff Daily sales'!$G1111:$CD1111))</f>
        <v>0</v>
      </c>
      <c r="W1126">
        <f t="shared" si="303"/>
        <v>0</v>
      </c>
      <c r="X1126">
        <f t="shared" si="304"/>
        <v>0</v>
      </c>
      <c r="Y1126">
        <f t="shared" si="305"/>
        <v>0</v>
      </c>
      <c r="Z1126">
        <f t="shared" si="306"/>
        <v>0</v>
      </c>
      <c r="AA1126">
        <f t="shared" si="307"/>
        <v>0</v>
      </c>
      <c r="AB1126">
        <f>--AND($E1126=1,OR('Staff Weekly Trend'!$B$3="All",$DH1126='Staff Weekly Trend'!$B$3),OR('Staff Weekly Trend'!$B$4="All",$D1126='Staff Weekly Trend'!$B$4),OR('Staff Weekly Trend'!$B$5="All",$A1126='Staff Weekly Trend'!$B$5))</f>
        <v>0</v>
      </c>
      <c r="AC1126" t="str">
        <f t="shared" si="308"/>
        <v/>
      </c>
      <c r="AI1126">
        <f t="shared" si="309"/>
        <v>0</v>
      </c>
      <c r="AJ1126">
        <f t="shared" si="310"/>
        <v>0</v>
      </c>
      <c r="AK1126">
        <f t="shared" si="311"/>
        <v>0</v>
      </c>
      <c r="AL1126">
        <f t="shared" si="312"/>
        <v>0</v>
      </c>
      <c r="AM1126">
        <f t="shared" si="313"/>
        <v>0</v>
      </c>
      <c r="DH1126" t="str" cm="1">
        <f t="array" ref="DH1126">IF($A1126="","",_xlfn.LET(_xlpm.c,IFERROR(_xlfn.XLOOKUP($A1126,TRIM('Sales and count'!$A$4:$A$300&amp;""),TRIM('Sales and count'!$B$4:$B$300&amp;"")),""),IF(OR(_xlpm.c="",_xlpm.c="0",LEFT(_xlpm.c,1)="#"),"Not set",_xlpm.c)))</f>
        <v/>
      </c>
    </row>
    <row r="1127" spans="1:112" x14ac:dyDescent="0.25">
      <c r="A1127" t="str">
        <f>IF('Staff Daily sales'!$B1112="","",TRIM('Staff Daily sales'!$B1112&amp;""))</f>
        <v/>
      </c>
      <c r="B1127" t="str">
        <f>IF('Staff Daily sales'!$D1112="","",TRIM('Staff Daily sales'!$D1112&amp;""))</f>
        <v/>
      </c>
      <c r="C1127" t="str">
        <f>IFERROR(TRIM('Staff Daily sales'!$E1112&amp;""),"")</f>
        <v/>
      </c>
      <c r="D1127" t="str">
        <f>IFERROR(IF(TRIM('Staff Daily sales'!$F1112&amp;"")="","Unassigned",TRIM('Staff Daily sales'!$F1112&amp;"")),"Unassigned")</f>
        <v>Unassigned</v>
      </c>
      <c r="E1127">
        <f t="shared" si="298"/>
        <v>0</v>
      </c>
      <c r="F1127">
        <f>IF($E1127=0,0,SUMPRODUCT($AI$5:$DF$5,'Staff Daily sales'!$G1112:$CD1112))</f>
        <v>0</v>
      </c>
      <c r="G1127">
        <f>IF($E1127=0,0,SUMPRODUCT($AI$6:$DF$6,'Staff Daily sales'!$G1112:$CD1112))</f>
        <v>0</v>
      </c>
      <c r="H1127">
        <f t="shared" si="299"/>
        <v>0</v>
      </c>
      <c r="I1127">
        <f t="shared" si="300"/>
        <v>0</v>
      </c>
      <c r="J1127">
        <f t="shared" si="301"/>
        <v>0</v>
      </c>
      <c r="K1127">
        <f t="shared" si="302"/>
        <v>0</v>
      </c>
      <c r="L1127">
        <f>--AND($E1127=1,OR('Staff Dashboard'!$B$6="All",$DH1127='Staff Dashboard'!$B$6),OR('Staff Dashboard'!$B$7="All",$D1127='Staff Dashboard'!$B$7),OR('Staff Dashboard'!$B$8="All",$A1127='Staff Dashboard'!$B$8))</f>
        <v>0</v>
      </c>
      <c r="M1127">
        <f>IF($E1127=0,0,SUMPRODUCT($AI$7:$DF$7,'Staff Daily sales'!$G1112:$CD1112))</f>
        <v>0</v>
      </c>
      <c r="N1127">
        <f>IF($E1127=0,0,SUMPRODUCT($AI$8:$DF$8,'Staff Daily sales'!$G1112:$CD1112))</f>
        <v>0</v>
      </c>
      <c r="O1127">
        <f>IF($E1127=0,0,SUMPRODUCT($AI$9:$DF$9,'Staff Daily sales'!$G1112:$CD1112))</f>
        <v>0</v>
      </c>
      <c r="P1127">
        <f>IF($E1127=0,0,SUMPRODUCT($AI$10:$DF$10,'Staff Daily sales'!$G1112:$CD1112))</f>
        <v>0</v>
      </c>
      <c r="Q1127">
        <f>IF($E1127=0,0,SUMPRODUCT($AI$11:$DF$11,'Staff Daily sales'!$G1112:$CD1112))</f>
        <v>0</v>
      </c>
      <c r="R1127">
        <f>IF($E1127=0,0,SUMPRODUCT($AI$12:$DF$12,'Staff Daily sales'!$G1112:$CD1112))</f>
        <v>0</v>
      </c>
      <c r="S1127">
        <f>IF($E1127=0,0,SUMPRODUCT($AI$13:$DF$13,'Staff Daily sales'!$G1112:$CD1112))</f>
        <v>0</v>
      </c>
      <c r="T1127">
        <f>IF($E1127=0,0,SUMPRODUCT($AI$14:$DF$14,'Staff Daily sales'!$G1112:$CD1112))</f>
        <v>0</v>
      </c>
      <c r="U1127">
        <f>IF($E1127=0,0,SUMPRODUCT($AI$15:$DF$15,'Staff Daily sales'!$G1112:$CD1112))</f>
        <v>0</v>
      </c>
      <c r="V1127">
        <f>IF($E1127=0,0,SUMPRODUCT($AI$16:$DF$16,'Staff Daily sales'!$G1112:$CD1112))</f>
        <v>0</v>
      </c>
      <c r="W1127">
        <f t="shared" si="303"/>
        <v>0</v>
      </c>
      <c r="X1127">
        <f t="shared" si="304"/>
        <v>0</v>
      </c>
      <c r="Y1127">
        <f t="shared" si="305"/>
        <v>0</v>
      </c>
      <c r="Z1127">
        <f t="shared" si="306"/>
        <v>0</v>
      </c>
      <c r="AA1127">
        <f t="shared" si="307"/>
        <v>0</v>
      </c>
      <c r="AB1127">
        <f>--AND($E1127=1,OR('Staff Weekly Trend'!$B$3="All",$DH1127='Staff Weekly Trend'!$B$3),OR('Staff Weekly Trend'!$B$4="All",$D1127='Staff Weekly Trend'!$B$4),OR('Staff Weekly Trend'!$B$5="All",$A1127='Staff Weekly Trend'!$B$5))</f>
        <v>0</v>
      </c>
      <c r="AC1127" t="str">
        <f t="shared" si="308"/>
        <v/>
      </c>
      <c r="AI1127">
        <f t="shared" si="309"/>
        <v>0</v>
      </c>
      <c r="AJ1127">
        <f t="shared" si="310"/>
        <v>0</v>
      </c>
      <c r="AK1127">
        <f t="shared" si="311"/>
        <v>0</v>
      </c>
      <c r="AL1127">
        <f t="shared" si="312"/>
        <v>0</v>
      </c>
      <c r="AM1127">
        <f t="shared" si="313"/>
        <v>0</v>
      </c>
      <c r="DH1127" t="str" cm="1">
        <f t="array" ref="DH1127">IF($A1127="","",_xlfn.LET(_xlpm.c,IFERROR(_xlfn.XLOOKUP($A1127,TRIM('Sales and count'!$A$4:$A$300&amp;""),TRIM('Sales and count'!$B$4:$B$300&amp;"")),""),IF(OR(_xlpm.c="",_xlpm.c="0",LEFT(_xlpm.c,1)="#"),"Not set",_xlpm.c)))</f>
        <v/>
      </c>
    </row>
    <row r="1128" spans="1:112" x14ac:dyDescent="0.25">
      <c r="A1128" t="str">
        <f>IF('Staff Daily sales'!$B1113="","",TRIM('Staff Daily sales'!$B1113&amp;""))</f>
        <v/>
      </c>
      <c r="B1128" t="str">
        <f>IF('Staff Daily sales'!$D1113="","",TRIM('Staff Daily sales'!$D1113&amp;""))</f>
        <v/>
      </c>
      <c r="C1128" t="str">
        <f>IFERROR(TRIM('Staff Daily sales'!$E1113&amp;""),"")</f>
        <v/>
      </c>
      <c r="D1128" t="str">
        <f>IFERROR(IF(TRIM('Staff Daily sales'!$F1113&amp;"")="","Unassigned",TRIM('Staff Daily sales'!$F1113&amp;"")),"Unassigned")</f>
        <v>Unassigned</v>
      </c>
      <c r="E1128">
        <f t="shared" si="298"/>
        <v>0</v>
      </c>
      <c r="F1128">
        <f>IF($E1128=0,0,SUMPRODUCT($AI$5:$DF$5,'Staff Daily sales'!$G1113:$CD1113))</f>
        <v>0</v>
      </c>
      <c r="G1128">
        <f>IF($E1128=0,0,SUMPRODUCT($AI$6:$DF$6,'Staff Daily sales'!$G1113:$CD1113))</f>
        <v>0</v>
      </c>
      <c r="H1128">
        <f t="shared" si="299"/>
        <v>0</v>
      </c>
      <c r="I1128">
        <f t="shared" si="300"/>
        <v>0</v>
      </c>
      <c r="J1128">
        <f t="shared" si="301"/>
        <v>0</v>
      </c>
      <c r="K1128">
        <f t="shared" si="302"/>
        <v>0</v>
      </c>
      <c r="L1128">
        <f>--AND($E1128=1,OR('Staff Dashboard'!$B$6="All",$DH1128='Staff Dashboard'!$B$6),OR('Staff Dashboard'!$B$7="All",$D1128='Staff Dashboard'!$B$7),OR('Staff Dashboard'!$B$8="All",$A1128='Staff Dashboard'!$B$8))</f>
        <v>0</v>
      </c>
      <c r="M1128">
        <f>IF($E1128=0,0,SUMPRODUCT($AI$7:$DF$7,'Staff Daily sales'!$G1113:$CD1113))</f>
        <v>0</v>
      </c>
      <c r="N1128">
        <f>IF($E1128=0,0,SUMPRODUCT($AI$8:$DF$8,'Staff Daily sales'!$G1113:$CD1113))</f>
        <v>0</v>
      </c>
      <c r="O1128">
        <f>IF($E1128=0,0,SUMPRODUCT($AI$9:$DF$9,'Staff Daily sales'!$G1113:$CD1113))</f>
        <v>0</v>
      </c>
      <c r="P1128">
        <f>IF($E1128=0,0,SUMPRODUCT($AI$10:$DF$10,'Staff Daily sales'!$G1113:$CD1113))</f>
        <v>0</v>
      </c>
      <c r="Q1128">
        <f>IF($E1128=0,0,SUMPRODUCT($AI$11:$DF$11,'Staff Daily sales'!$G1113:$CD1113))</f>
        <v>0</v>
      </c>
      <c r="R1128">
        <f>IF($E1128=0,0,SUMPRODUCT($AI$12:$DF$12,'Staff Daily sales'!$G1113:$CD1113))</f>
        <v>0</v>
      </c>
      <c r="S1128">
        <f>IF($E1128=0,0,SUMPRODUCT($AI$13:$DF$13,'Staff Daily sales'!$G1113:$CD1113))</f>
        <v>0</v>
      </c>
      <c r="T1128">
        <f>IF($E1128=0,0,SUMPRODUCT($AI$14:$DF$14,'Staff Daily sales'!$G1113:$CD1113))</f>
        <v>0</v>
      </c>
      <c r="U1128">
        <f>IF($E1128=0,0,SUMPRODUCT($AI$15:$DF$15,'Staff Daily sales'!$G1113:$CD1113))</f>
        <v>0</v>
      </c>
      <c r="V1128">
        <f>IF($E1128=0,0,SUMPRODUCT($AI$16:$DF$16,'Staff Daily sales'!$G1113:$CD1113))</f>
        <v>0</v>
      </c>
      <c r="W1128">
        <f t="shared" si="303"/>
        <v>0</v>
      </c>
      <c r="X1128">
        <f t="shared" si="304"/>
        <v>0</v>
      </c>
      <c r="Y1128">
        <f t="shared" si="305"/>
        <v>0</v>
      </c>
      <c r="Z1128">
        <f t="shared" si="306"/>
        <v>0</v>
      </c>
      <c r="AA1128">
        <f t="shared" si="307"/>
        <v>0</v>
      </c>
      <c r="AB1128">
        <f>--AND($E1128=1,OR('Staff Weekly Trend'!$B$3="All",$DH1128='Staff Weekly Trend'!$B$3),OR('Staff Weekly Trend'!$B$4="All",$D1128='Staff Weekly Trend'!$B$4),OR('Staff Weekly Trend'!$B$5="All",$A1128='Staff Weekly Trend'!$B$5))</f>
        <v>0</v>
      </c>
      <c r="AC1128" t="str">
        <f t="shared" si="308"/>
        <v/>
      </c>
      <c r="AI1128">
        <f t="shared" si="309"/>
        <v>0</v>
      </c>
      <c r="AJ1128">
        <f t="shared" si="310"/>
        <v>0</v>
      </c>
      <c r="AK1128">
        <f t="shared" si="311"/>
        <v>0</v>
      </c>
      <c r="AL1128">
        <f t="shared" si="312"/>
        <v>0</v>
      </c>
      <c r="AM1128">
        <f t="shared" si="313"/>
        <v>0</v>
      </c>
      <c r="DH1128" t="str" cm="1">
        <f t="array" ref="DH1128">IF($A1128="","",_xlfn.LET(_xlpm.c,IFERROR(_xlfn.XLOOKUP($A1128,TRIM('Sales and count'!$A$4:$A$300&amp;""),TRIM('Sales and count'!$B$4:$B$300&amp;"")),""),IF(OR(_xlpm.c="",_xlpm.c="0",LEFT(_xlpm.c,1)="#"),"Not set",_xlpm.c)))</f>
        <v/>
      </c>
    </row>
    <row r="1129" spans="1:112" x14ac:dyDescent="0.25">
      <c r="A1129" t="str">
        <f>IF('Staff Daily sales'!$B1114="","",TRIM('Staff Daily sales'!$B1114&amp;""))</f>
        <v/>
      </c>
      <c r="B1129" t="str">
        <f>IF('Staff Daily sales'!$D1114="","",TRIM('Staff Daily sales'!$D1114&amp;""))</f>
        <v/>
      </c>
      <c r="C1129" t="str">
        <f>IFERROR(TRIM('Staff Daily sales'!$E1114&amp;""),"")</f>
        <v/>
      </c>
      <c r="D1129" t="str">
        <f>IFERROR(IF(TRIM('Staff Daily sales'!$F1114&amp;"")="","Unassigned",TRIM('Staff Daily sales'!$F1114&amp;"")),"Unassigned")</f>
        <v>Unassigned</v>
      </c>
      <c r="E1129">
        <f t="shared" si="298"/>
        <v>0</v>
      </c>
      <c r="F1129">
        <f>IF($E1129=0,0,SUMPRODUCT($AI$5:$DF$5,'Staff Daily sales'!$G1114:$CD1114))</f>
        <v>0</v>
      </c>
      <c r="G1129">
        <f>IF($E1129=0,0,SUMPRODUCT($AI$6:$DF$6,'Staff Daily sales'!$G1114:$CD1114))</f>
        <v>0</v>
      </c>
      <c r="H1129">
        <f t="shared" si="299"/>
        <v>0</v>
      </c>
      <c r="I1129">
        <f t="shared" si="300"/>
        <v>0</v>
      </c>
      <c r="J1129">
        <f t="shared" si="301"/>
        <v>0</v>
      </c>
      <c r="K1129">
        <f t="shared" si="302"/>
        <v>0</v>
      </c>
      <c r="L1129">
        <f>--AND($E1129=1,OR('Staff Dashboard'!$B$6="All",$DH1129='Staff Dashboard'!$B$6),OR('Staff Dashboard'!$B$7="All",$D1129='Staff Dashboard'!$B$7),OR('Staff Dashboard'!$B$8="All",$A1129='Staff Dashboard'!$B$8))</f>
        <v>0</v>
      </c>
      <c r="M1129">
        <f>IF($E1129=0,0,SUMPRODUCT($AI$7:$DF$7,'Staff Daily sales'!$G1114:$CD1114))</f>
        <v>0</v>
      </c>
      <c r="N1129">
        <f>IF($E1129=0,0,SUMPRODUCT($AI$8:$DF$8,'Staff Daily sales'!$G1114:$CD1114))</f>
        <v>0</v>
      </c>
      <c r="O1129">
        <f>IF($E1129=0,0,SUMPRODUCT($AI$9:$DF$9,'Staff Daily sales'!$G1114:$CD1114))</f>
        <v>0</v>
      </c>
      <c r="P1129">
        <f>IF($E1129=0,0,SUMPRODUCT($AI$10:$DF$10,'Staff Daily sales'!$G1114:$CD1114))</f>
        <v>0</v>
      </c>
      <c r="Q1129">
        <f>IF($E1129=0,0,SUMPRODUCT($AI$11:$DF$11,'Staff Daily sales'!$G1114:$CD1114))</f>
        <v>0</v>
      </c>
      <c r="R1129">
        <f>IF($E1129=0,0,SUMPRODUCT($AI$12:$DF$12,'Staff Daily sales'!$G1114:$CD1114))</f>
        <v>0</v>
      </c>
      <c r="S1129">
        <f>IF($E1129=0,0,SUMPRODUCT($AI$13:$DF$13,'Staff Daily sales'!$G1114:$CD1114))</f>
        <v>0</v>
      </c>
      <c r="T1129">
        <f>IF($E1129=0,0,SUMPRODUCT($AI$14:$DF$14,'Staff Daily sales'!$G1114:$CD1114))</f>
        <v>0</v>
      </c>
      <c r="U1129">
        <f>IF($E1129=0,0,SUMPRODUCT($AI$15:$DF$15,'Staff Daily sales'!$G1114:$CD1114))</f>
        <v>0</v>
      </c>
      <c r="V1129">
        <f>IF($E1129=0,0,SUMPRODUCT($AI$16:$DF$16,'Staff Daily sales'!$G1114:$CD1114))</f>
        <v>0</v>
      </c>
      <c r="W1129">
        <f t="shared" si="303"/>
        <v>0</v>
      </c>
      <c r="X1129">
        <f t="shared" si="304"/>
        <v>0</v>
      </c>
      <c r="Y1129">
        <f t="shared" si="305"/>
        <v>0</v>
      </c>
      <c r="Z1129">
        <f t="shared" si="306"/>
        <v>0</v>
      </c>
      <c r="AA1129">
        <f t="shared" si="307"/>
        <v>0</v>
      </c>
      <c r="AB1129">
        <f>--AND($E1129=1,OR('Staff Weekly Trend'!$B$3="All",$DH1129='Staff Weekly Trend'!$B$3),OR('Staff Weekly Trend'!$B$4="All",$D1129='Staff Weekly Trend'!$B$4),OR('Staff Weekly Trend'!$B$5="All",$A1129='Staff Weekly Trend'!$B$5))</f>
        <v>0</v>
      </c>
      <c r="AC1129" t="str">
        <f t="shared" si="308"/>
        <v/>
      </c>
      <c r="AI1129">
        <f t="shared" si="309"/>
        <v>0</v>
      </c>
      <c r="AJ1129">
        <f t="shared" si="310"/>
        <v>0</v>
      </c>
      <c r="AK1129">
        <f t="shared" si="311"/>
        <v>0</v>
      </c>
      <c r="AL1129">
        <f t="shared" si="312"/>
        <v>0</v>
      </c>
      <c r="AM1129">
        <f t="shared" si="313"/>
        <v>0</v>
      </c>
      <c r="DH1129" t="str" cm="1">
        <f t="array" ref="DH1129">IF($A1129="","",_xlfn.LET(_xlpm.c,IFERROR(_xlfn.XLOOKUP($A1129,TRIM('Sales and count'!$A$4:$A$300&amp;""),TRIM('Sales and count'!$B$4:$B$300&amp;"")),""),IF(OR(_xlpm.c="",_xlpm.c="0",LEFT(_xlpm.c,1)="#"),"Not set",_xlpm.c)))</f>
        <v/>
      </c>
    </row>
    <row r="1130" spans="1:112" x14ac:dyDescent="0.25">
      <c r="A1130" t="str">
        <f>IF('Staff Daily sales'!$B1115="","",TRIM('Staff Daily sales'!$B1115&amp;""))</f>
        <v/>
      </c>
      <c r="B1130" t="str">
        <f>IF('Staff Daily sales'!$D1115="","",TRIM('Staff Daily sales'!$D1115&amp;""))</f>
        <v/>
      </c>
      <c r="C1130" t="str">
        <f>IFERROR(TRIM('Staff Daily sales'!$E1115&amp;""),"")</f>
        <v/>
      </c>
      <c r="D1130" t="str">
        <f>IFERROR(IF(TRIM('Staff Daily sales'!$F1115&amp;"")="","Unassigned",TRIM('Staff Daily sales'!$F1115&amp;"")),"Unassigned")</f>
        <v>Unassigned</v>
      </c>
      <c r="E1130">
        <f t="shared" si="298"/>
        <v>0</v>
      </c>
      <c r="F1130">
        <f>IF($E1130=0,0,SUMPRODUCT($AI$5:$DF$5,'Staff Daily sales'!$G1115:$CD1115))</f>
        <v>0</v>
      </c>
      <c r="G1130">
        <f>IF($E1130=0,0,SUMPRODUCT($AI$6:$DF$6,'Staff Daily sales'!$G1115:$CD1115))</f>
        <v>0</v>
      </c>
      <c r="H1130">
        <f t="shared" si="299"/>
        <v>0</v>
      </c>
      <c r="I1130">
        <f t="shared" si="300"/>
        <v>0</v>
      </c>
      <c r="J1130">
        <f t="shared" si="301"/>
        <v>0</v>
      </c>
      <c r="K1130">
        <f t="shared" si="302"/>
        <v>0</v>
      </c>
      <c r="L1130">
        <f>--AND($E1130=1,OR('Staff Dashboard'!$B$6="All",$DH1130='Staff Dashboard'!$B$6),OR('Staff Dashboard'!$B$7="All",$D1130='Staff Dashboard'!$B$7),OR('Staff Dashboard'!$B$8="All",$A1130='Staff Dashboard'!$B$8))</f>
        <v>0</v>
      </c>
      <c r="M1130">
        <f>IF($E1130=0,0,SUMPRODUCT($AI$7:$DF$7,'Staff Daily sales'!$G1115:$CD1115))</f>
        <v>0</v>
      </c>
      <c r="N1130">
        <f>IF($E1130=0,0,SUMPRODUCT($AI$8:$DF$8,'Staff Daily sales'!$G1115:$CD1115))</f>
        <v>0</v>
      </c>
      <c r="O1130">
        <f>IF($E1130=0,0,SUMPRODUCT($AI$9:$DF$9,'Staff Daily sales'!$G1115:$CD1115))</f>
        <v>0</v>
      </c>
      <c r="P1130">
        <f>IF($E1130=0,0,SUMPRODUCT($AI$10:$DF$10,'Staff Daily sales'!$G1115:$CD1115))</f>
        <v>0</v>
      </c>
      <c r="Q1130">
        <f>IF($E1130=0,0,SUMPRODUCT($AI$11:$DF$11,'Staff Daily sales'!$G1115:$CD1115))</f>
        <v>0</v>
      </c>
      <c r="R1130">
        <f>IF($E1130=0,0,SUMPRODUCT($AI$12:$DF$12,'Staff Daily sales'!$G1115:$CD1115))</f>
        <v>0</v>
      </c>
      <c r="S1130">
        <f>IF($E1130=0,0,SUMPRODUCT($AI$13:$DF$13,'Staff Daily sales'!$G1115:$CD1115))</f>
        <v>0</v>
      </c>
      <c r="T1130">
        <f>IF($E1130=0,0,SUMPRODUCT($AI$14:$DF$14,'Staff Daily sales'!$G1115:$CD1115))</f>
        <v>0</v>
      </c>
      <c r="U1130">
        <f>IF($E1130=0,0,SUMPRODUCT($AI$15:$DF$15,'Staff Daily sales'!$G1115:$CD1115))</f>
        <v>0</v>
      </c>
      <c r="V1130">
        <f>IF($E1130=0,0,SUMPRODUCT($AI$16:$DF$16,'Staff Daily sales'!$G1115:$CD1115))</f>
        <v>0</v>
      </c>
      <c r="W1130">
        <f t="shared" si="303"/>
        <v>0</v>
      </c>
      <c r="X1130">
        <f t="shared" si="304"/>
        <v>0</v>
      </c>
      <c r="Y1130">
        <f t="shared" si="305"/>
        <v>0</v>
      </c>
      <c r="Z1130">
        <f t="shared" si="306"/>
        <v>0</v>
      </c>
      <c r="AA1130">
        <f t="shared" si="307"/>
        <v>0</v>
      </c>
      <c r="AB1130">
        <f>--AND($E1130=1,OR('Staff Weekly Trend'!$B$3="All",$DH1130='Staff Weekly Trend'!$B$3),OR('Staff Weekly Trend'!$B$4="All",$D1130='Staff Weekly Trend'!$B$4),OR('Staff Weekly Trend'!$B$5="All",$A1130='Staff Weekly Trend'!$B$5))</f>
        <v>0</v>
      </c>
      <c r="AC1130" t="str">
        <f t="shared" si="308"/>
        <v/>
      </c>
      <c r="AI1130">
        <f t="shared" si="309"/>
        <v>0</v>
      </c>
      <c r="AJ1130">
        <f t="shared" si="310"/>
        <v>0</v>
      </c>
      <c r="AK1130">
        <f t="shared" si="311"/>
        <v>0</v>
      </c>
      <c r="AL1130">
        <f t="shared" si="312"/>
        <v>0</v>
      </c>
      <c r="AM1130">
        <f t="shared" si="313"/>
        <v>0</v>
      </c>
      <c r="DH1130" t="str" cm="1">
        <f t="array" ref="DH1130">IF($A1130="","",_xlfn.LET(_xlpm.c,IFERROR(_xlfn.XLOOKUP($A1130,TRIM('Sales and count'!$A$4:$A$300&amp;""),TRIM('Sales and count'!$B$4:$B$300&amp;"")),""),IF(OR(_xlpm.c="",_xlpm.c="0",LEFT(_xlpm.c,1)="#"),"Not set",_xlpm.c)))</f>
        <v/>
      </c>
    </row>
    <row r="1131" spans="1:112" x14ac:dyDescent="0.25">
      <c r="A1131" t="str">
        <f>IF('Staff Daily sales'!$B1116="","",TRIM('Staff Daily sales'!$B1116&amp;""))</f>
        <v/>
      </c>
      <c r="B1131" t="str">
        <f>IF('Staff Daily sales'!$D1116="","",TRIM('Staff Daily sales'!$D1116&amp;""))</f>
        <v/>
      </c>
      <c r="C1131" t="str">
        <f>IFERROR(TRIM('Staff Daily sales'!$E1116&amp;""),"")</f>
        <v/>
      </c>
      <c r="D1131" t="str">
        <f>IFERROR(IF(TRIM('Staff Daily sales'!$F1116&amp;"")="","Unassigned",TRIM('Staff Daily sales'!$F1116&amp;"")),"Unassigned")</f>
        <v>Unassigned</v>
      </c>
      <c r="E1131">
        <f t="shared" si="298"/>
        <v>0</v>
      </c>
      <c r="F1131">
        <f>IF($E1131=0,0,SUMPRODUCT($AI$5:$DF$5,'Staff Daily sales'!$G1116:$CD1116))</f>
        <v>0</v>
      </c>
      <c r="G1131">
        <f>IF($E1131=0,0,SUMPRODUCT($AI$6:$DF$6,'Staff Daily sales'!$G1116:$CD1116))</f>
        <v>0</v>
      </c>
      <c r="H1131">
        <f t="shared" si="299"/>
        <v>0</v>
      </c>
      <c r="I1131">
        <f t="shared" si="300"/>
        <v>0</v>
      </c>
      <c r="J1131">
        <f t="shared" si="301"/>
        <v>0</v>
      </c>
      <c r="K1131">
        <f t="shared" si="302"/>
        <v>0</v>
      </c>
      <c r="L1131">
        <f>--AND($E1131=1,OR('Staff Dashboard'!$B$6="All",$DH1131='Staff Dashboard'!$B$6),OR('Staff Dashboard'!$B$7="All",$D1131='Staff Dashboard'!$B$7),OR('Staff Dashboard'!$B$8="All",$A1131='Staff Dashboard'!$B$8))</f>
        <v>0</v>
      </c>
      <c r="M1131">
        <f>IF($E1131=0,0,SUMPRODUCT($AI$7:$DF$7,'Staff Daily sales'!$G1116:$CD1116))</f>
        <v>0</v>
      </c>
      <c r="N1131">
        <f>IF($E1131=0,0,SUMPRODUCT($AI$8:$DF$8,'Staff Daily sales'!$G1116:$CD1116))</f>
        <v>0</v>
      </c>
      <c r="O1131">
        <f>IF($E1131=0,0,SUMPRODUCT($AI$9:$DF$9,'Staff Daily sales'!$G1116:$CD1116))</f>
        <v>0</v>
      </c>
      <c r="P1131">
        <f>IF($E1131=0,0,SUMPRODUCT($AI$10:$DF$10,'Staff Daily sales'!$G1116:$CD1116))</f>
        <v>0</v>
      </c>
      <c r="Q1131">
        <f>IF($E1131=0,0,SUMPRODUCT($AI$11:$DF$11,'Staff Daily sales'!$G1116:$CD1116))</f>
        <v>0</v>
      </c>
      <c r="R1131">
        <f>IF($E1131=0,0,SUMPRODUCT($AI$12:$DF$12,'Staff Daily sales'!$G1116:$CD1116))</f>
        <v>0</v>
      </c>
      <c r="S1131">
        <f>IF($E1131=0,0,SUMPRODUCT($AI$13:$DF$13,'Staff Daily sales'!$G1116:$CD1116))</f>
        <v>0</v>
      </c>
      <c r="T1131">
        <f>IF($E1131=0,0,SUMPRODUCT($AI$14:$DF$14,'Staff Daily sales'!$G1116:$CD1116))</f>
        <v>0</v>
      </c>
      <c r="U1131">
        <f>IF($E1131=0,0,SUMPRODUCT($AI$15:$DF$15,'Staff Daily sales'!$G1116:$CD1116))</f>
        <v>0</v>
      </c>
      <c r="V1131">
        <f>IF($E1131=0,0,SUMPRODUCT($AI$16:$DF$16,'Staff Daily sales'!$G1116:$CD1116))</f>
        <v>0</v>
      </c>
      <c r="W1131">
        <f t="shared" si="303"/>
        <v>0</v>
      </c>
      <c r="X1131">
        <f t="shared" si="304"/>
        <v>0</v>
      </c>
      <c r="Y1131">
        <f t="shared" si="305"/>
        <v>0</v>
      </c>
      <c r="Z1131">
        <f t="shared" si="306"/>
        <v>0</v>
      </c>
      <c r="AA1131">
        <f t="shared" si="307"/>
        <v>0</v>
      </c>
      <c r="AB1131">
        <f>--AND($E1131=1,OR('Staff Weekly Trend'!$B$3="All",$DH1131='Staff Weekly Trend'!$B$3),OR('Staff Weekly Trend'!$B$4="All",$D1131='Staff Weekly Trend'!$B$4),OR('Staff Weekly Trend'!$B$5="All",$A1131='Staff Weekly Trend'!$B$5))</f>
        <v>0</v>
      </c>
      <c r="AC1131" t="str">
        <f t="shared" si="308"/>
        <v/>
      </c>
      <c r="AI1131">
        <f t="shared" si="309"/>
        <v>0</v>
      </c>
      <c r="AJ1131">
        <f t="shared" si="310"/>
        <v>0</v>
      </c>
      <c r="AK1131">
        <f t="shared" si="311"/>
        <v>0</v>
      </c>
      <c r="AL1131">
        <f t="shared" si="312"/>
        <v>0</v>
      </c>
      <c r="AM1131">
        <f t="shared" si="313"/>
        <v>0</v>
      </c>
      <c r="DH1131" t="str" cm="1">
        <f t="array" ref="DH1131">IF($A1131="","",_xlfn.LET(_xlpm.c,IFERROR(_xlfn.XLOOKUP($A1131,TRIM('Sales and count'!$A$4:$A$300&amp;""),TRIM('Sales and count'!$B$4:$B$300&amp;"")),""),IF(OR(_xlpm.c="",_xlpm.c="0",LEFT(_xlpm.c,1)="#"),"Not set",_xlpm.c)))</f>
        <v/>
      </c>
    </row>
    <row r="1132" spans="1:112" x14ac:dyDescent="0.25">
      <c r="A1132" t="str">
        <f>IF('Staff Daily sales'!$B1117="","",TRIM('Staff Daily sales'!$B1117&amp;""))</f>
        <v/>
      </c>
      <c r="B1132" t="str">
        <f>IF('Staff Daily sales'!$D1117="","",TRIM('Staff Daily sales'!$D1117&amp;""))</f>
        <v/>
      </c>
      <c r="C1132" t="str">
        <f>IFERROR(TRIM('Staff Daily sales'!$E1117&amp;""),"")</f>
        <v/>
      </c>
      <c r="D1132" t="str">
        <f>IFERROR(IF(TRIM('Staff Daily sales'!$F1117&amp;"")="","Unassigned",TRIM('Staff Daily sales'!$F1117&amp;"")),"Unassigned")</f>
        <v>Unassigned</v>
      </c>
      <c r="E1132">
        <f t="shared" si="298"/>
        <v>0</v>
      </c>
      <c r="F1132">
        <f>IF($E1132=0,0,SUMPRODUCT($AI$5:$DF$5,'Staff Daily sales'!$G1117:$CD1117))</f>
        <v>0</v>
      </c>
      <c r="G1132">
        <f>IF($E1132=0,0,SUMPRODUCT($AI$6:$DF$6,'Staff Daily sales'!$G1117:$CD1117))</f>
        <v>0</v>
      </c>
      <c r="H1132">
        <f t="shared" si="299"/>
        <v>0</v>
      </c>
      <c r="I1132">
        <f t="shared" si="300"/>
        <v>0</v>
      </c>
      <c r="J1132">
        <f t="shared" si="301"/>
        <v>0</v>
      </c>
      <c r="K1132">
        <f t="shared" si="302"/>
        <v>0</v>
      </c>
      <c r="L1132">
        <f>--AND($E1132=1,OR('Staff Dashboard'!$B$6="All",$DH1132='Staff Dashboard'!$B$6),OR('Staff Dashboard'!$B$7="All",$D1132='Staff Dashboard'!$B$7),OR('Staff Dashboard'!$B$8="All",$A1132='Staff Dashboard'!$B$8))</f>
        <v>0</v>
      </c>
      <c r="M1132">
        <f>IF($E1132=0,0,SUMPRODUCT($AI$7:$DF$7,'Staff Daily sales'!$G1117:$CD1117))</f>
        <v>0</v>
      </c>
      <c r="N1132">
        <f>IF($E1132=0,0,SUMPRODUCT($AI$8:$DF$8,'Staff Daily sales'!$G1117:$CD1117))</f>
        <v>0</v>
      </c>
      <c r="O1132">
        <f>IF($E1132=0,0,SUMPRODUCT($AI$9:$DF$9,'Staff Daily sales'!$G1117:$CD1117))</f>
        <v>0</v>
      </c>
      <c r="P1132">
        <f>IF($E1132=0,0,SUMPRODUCT($AI$10:$DF$10,'Staff Daily sales'!$G1117:$CD1117))</f>
        <v>0</v>
      </c>
      <c r="Q1132">
        <f>IF($E1132=0,0,SUMPRODUCT($AI$11:$DF$11,'Staff Daily sales'!$G1117:$CD1117))</f>
        <v>0</v>
      </c>
      <c r="R1132">
        <f>IF($E1132=0,0,SUMPRODUCT($AI$12:$DF$12,'Staff Daily sales'!$G1117:$CD1117))</f>
        <v>0</v>
      </c>
      <c r="S1132">
        <f>IF($E1132=0,0,SUMPRODUCT($AI$13:$DF$13,'Staff Daily sales'!$G1117:$CD1117))</f>
        <v>0</v>
      </c>
      <c r="T1132">
        <f>IF($E1132=0,0,SUMPRODUCT($AI$14:$DF$14,'Staff Daily sales'!$G1117:$CD1117))</f>
        <v>0</v>
      </c>
      <c r="U1132">
        <f>IF($E1132=0,0,SUMPRODUCT($AI$15:$DF$15,'Staff Daily sales'!$G1117:$CD1117))</f>
        <v>0</v>
      </c>
      <c r="V1132">
        <f>IF($E1132=0,0,SUMPRODUCT($AI$16:$DF$16,'Staff Daily sales'!$G1117:$CD1117))</f>
        <v>0</v>
      </c>
      <c r="W1132">
        <f t="shared" si="303"/>
        <v>0</v>
      </c>
      <c r="X1132">
        <f t="shared" si="304"/>
        <v>0</v>
      </c>
      <c r="Y1132">
        <f t="shared" si="305"/>
        <v>0</v>
      </c>
      <c r="Z1132">
        <f t="shared" si="306"/>
        <v>0</v>
      </c>
      <c r="AA1132">
        <f t="shared" si="307"/>
        <v>0</v>
      </c>
      <c r="AB1132">
        <f>--AND($E1132=1,OR('Staff Weekly Trend'!$B$3="All",$DH1132='Staff Weekly Trend'!$B$3),OR('Staff Weekly Trend'!$B$4="All",$D1132='Staff Weekly Trend'!$B$4),OR('Staff Weekly Trend'!$B$5="All",$A1132='Staff Weekly Trend'!$B$5))</f>
        <v>0</v>
      </c>
      <c r="AC1132" t="str">
        <f t="shared" si="308"/>
        <v/>
      </c>
      <c r="AI1132">
        <f t="shared" si="309"/>
        <v>0</v>
      </c>
      <c r="AJ1132">
        <f t="shared" si="310"/>
        <v>0</v>
      </c>
      <c r="AK1132">
        <f t="shared" si="311"/>
        <v>0</v>
      </c>
      <c r="AL1132">
        <f t="shared" si="312"/>
        <v>0</v>
      </c>
      <c r="AM1132">
        <f t="shared" si="313"/>
        <v>0</v>
      </c>
      <c r="DH1132" t="str" cm="1">
        <f t="array" ref="DH1132">IF($A1132="","",_xlfn.LET(_xlpm.c,IFERROR(_xlfn.XLOOKUP($A1132,TRIM('Sales and count'!$A$4:$A$300&amp;""),TRIM('Sales and count'!$B$4:$B$300&amp;"")),""),IF(OR(_xlpm.c="",_xlpm.c="0",LEFT(_xlpm.c,1)="#"),"Not set",_xlpm.c)))</f>
        <v/>
      </c>
    </row>
    <row r="1133" spans="1:112" x14ac:dyDescent="0.25">
      <c r="A1133" t="str">
        <f>IF('Staff Daily sales'!$B1118="","",TRIM('Staff Daily sales'!$B1118&amp;""))</f>
        <v/>
      </c>
      <c r="B1133" t="str">
        <f>IF('Staff Daily sales'!$D1118="","",TRIM('Staff Daily sales'!$D1118&amp;""))</f>
        <v/>
      </c>
      <c r="C1133" t="str">
        <f>IFERROR(TRIM('Staff Daily sales'!$E1118&amp;""),"")</f>
        <v/>
      </c>
      <c r="D1133" t="str">
        <f>IFERROR(IF(TRIM('Staff Daily sales'!$F1118&amp;"")="","Unassigned",TRIM('Staff Daily sales'!$F1118&amp;"")),"Unassigned")</f>
        <v>Unassigned</v>
      </c>
      <c r="E1133">
        <f t="shared" si="298"/>
        <v>0</v>
      </c>
      <c r="F1133">
        <f>IF($E1133=0,0,SUMPRODUCT($AI$5:$DF$5,'Staff Daily sales'!$G1118:$CD1118))</f>
        <v>0</v>
      </c>
      <c r="G1133">
        <f>IF($E1133=0,0,SUMPRODUCT($AI$6:$DF$6,'Staff Daily sales'!$G1118:$CD1118))</f>
        <v>0</v>
      </c>
      <c r="H1133">
        <f t="shared" si="299"/>
        <v>0</v>
      </c>
      <c r="I1133">
        <f t="shared" si="300"/>
        <v>0</v>
      </c>
      <c r="J1133">
        <f t="shared" si="301"/>
        <v>0</v>
      </c>
      <c r="K1133">
        <f t="shared" si="302"/>
        <v>0</v>
      </c>
      <c r="L1133">
        <f>--AND($E1133=1,OR('Staff Dashboard'!$B$6="All",$DH1133='Staff Dashboard'!$B$6),OR('Staff Dashboard'!$B$7="All",$D1133='Staff Dashboard'!$B$7),OR('Staff Dashboard'!$B$8="All",$A1133='Staff Dashboard'!$B$8))</f>
        <v>0</v>
      </c>
      <c r="M1133">
        <f>IF($E1133=0,0,SUMPRODUCT($AI$7:$DF$7,'Staff Daily sales'!$G1118:$CD1118))</f>
        <v>0</v>
      </c>
      <c r="N1133">
        <f>IF($E1133=0,0,SUMPRODUCT($AI$8:$DF$8,'Staff Daily sales'!$G1118:$CD1118))</f>
        <v>0</v>
      </c>
      <c r="O1133">
        <f>IF($E1133=0,0,SUMPRODUCT($AI$9:$DF$9,'Staff Daily sales'!$G1118:$CD1118))</f>
        <v>0</v>
      </c>
      <c r="P1133">
        <f>IF($E1133=0,0,SUMPRODUCT($AI$10:$DF$10,'Staff Daily sales'!$G1118:$CD1118))</f>
        <v>0</v>
      </c>
      <c r="Q1133">
        <f>IF($E1133=0,0,SUMPRODUCT($AI$11:$DF$11,'Staff Daily sales'!$G1118:$CD1118))</f>
        <v>0</v>
      </c>
      <c r="R1133">
        <f>IF($E1133=0,0,SUMPRODUCT($AI$12:$DF$12,'Staff Daily sales'!$G1118:$CD1118))</f>
        <v>0</v>
      </c>
      <c r="S1133">
        <f>IF($E1133=0,0,SUMPRODUCT($AI$13:$DF$13,'Staff Daily sales'!$G1118:$CD1118))</f>
        <v>0</v>
      </c>
      <c r="T1133">
        <f>IF($E1133=0,0,SUMPRODUCT($AI$14:$DF$14,'Staff Daily sales'!$G1118:$CD1118))</f>
        <v>0</v>
      </c>
      <c r="U1133">
        <f>IF($E1133=0,0,SUMPRODUCT($AI$15:$DF$15,'Staff Daily sales'!$G1118:$CD1118))</f>
        <v>0</v>
      </c>
      <c r="V1133">
        <f>IF($E1133=0,0,SUMPRODUCT($AI$16:$DF$16,'Staff Daily sales'!$G1118:$CD1118))</f>
        <v>0</v>
      </c>
      <c r="W1133">
        <f t="shared" si="303"/>
        <v>0</v>
      </c>
      <c r="X1133">
        <f t="shared" si="304"/>
        <v>0</v>
      </c>
      <c r="Y1133">
        <f t="shared" si="305"/>
        <v>0</v>
      </c>
      <c r="Z1133">
        <f t="shared" si="306"/>
        <v>0</v>
      </c>
      <c r="AA1133">
        <f t="shared" si="307"/>
        <v>0</v>
      </c>
      <c r="AB1133">
        <f>--AND($E1133=1,OR('Staff Weekly Trend'!$B$3="All",$DH1133='Staff Weekly Trend'!$B$3),OR('Staff Weekly Trend'!$B$4="All",$D1133='Staff Weekly Trend'!$B$4),OR('Staff Weekly Trend'!$B$5="All",$A1133='Staff Weekly Trend'!$B$5))</f>
        <v>0</v>
      </c>
      <c r="AC1133" t="str">
        <f t="shared" si="308"/>
        <v/>
      </c>
      <c r="AI1133">
        <f t="shared" si="309"/>
        <v>0</v>
      </c>
      <c r="AJ1133">
        <f t="shared" si="310"/>
        <v>0</v>
      </c>
      <c r="AK1133">
        <f t="shared" si="311"/>
        <v>0</v>
      </c>
      <c r="AL1133">
        <f t="shared" si="312"/>
        <v>0</v>
      </c>
      <c r="AM1133">
        <f t="shared" si="313"/>
        <v>0</v>
      </c>
      <c r="DH1133" t="str" cm="1">
        <f t="array" ref="DH1133">IF($A1133="","",_xlfn.LET(_xlpm.c,IFERROR(_xlfn.XLOOKUP($A1133,TRIM('Sales and count'!$A$4:$A$300&amp;""),TRIM('Sales and count'!$B$4:$B$300&amp;"")),""),IF(OR(_xlpm.c="",_xlpm.c="0",LEFT(_xlpm.c,1)="#"),"Not set",_xlpm.c)))</f>
        <v/>
      </c>
    </row>
    <row r="1134" spans="1:112" x14ac:dyDescent="0.25">
      <c r="A1134" t="str">
        <f>IF('Staff Daily sales'!$B1119="","",TRIM('Staff Daily sales'!$B1119&amp;""))</f>
        <v/>
      </c>
      <c r="B1134" t="str">
        <f>IF('Staff Daily sales'!$D1119="","",TRIM('Staff Daily sales'!$D1119&amp;""))</f>
        <v/>
      </c>
      <c r="C1134" t="str">
        <f>IFERROR(TRIM('Staff Daily sales'!$E1119&amp;""),"")</f>
        <v/>
      </c>
      <c r="D1134" t="str">
        <f>IFERROR(IF(TRIM('Staff Daily sales'!$F1119&amp;"")="","Unassigned",TRIM('Staff Daily sales'!$F1119&amp;"")),"Unassigned")</f>
        <v>Unassigned</v>
      </c>
      <c r="E1134">
        <f t="shared" si="298"/>
        <v>0</v>
      </c>
      <c r="F1134">
        <f>IF($E1134=0,0,SUMPRODUCT($AI$5:$DF$5,'Staff Daily sales'!$G1119:$CD1119))</f>
        <v>0</v>
      </c>
      <c r="G1134">
        <f>IF($E1134=0,0,SUMPRODUCT($AI$6:$DF$6,'Staff Daily sales'!$G1119:$CD1119))</f>
        <v>0</v>
      </c>
      <c r="H1134">
        <f t="shared" si="299"/>
        <v>0</v>
      </c>
      <c r="I1134">
        <f t="shared" si="300"/>
        <v>0</v>
      </c>
      <c r="J1134">
        <f t="shared" si="301"/>
        <v>0</v>
      </c>
      <c r="K1134">
        <f t="shared" si="302"/>
        <v>0</v>
      </c>
      <c r="L1134">
        <f>--AND($E1134=1,OR('Staff Dashboard'!$B$6="All",$DH1134='Staff Dashboard'!$B$6),OR('Staff Dashboard'!$B$7="All",$D1134='Staff Dashboard'!$B$7),OR('Staff Dashboard'!$B$8="All",$A1134='Staff Dashboard'!$B$8))</f>
        <v>0</v>
      </c>
      <c r="M1134">
        <f>IF($E1134=0,0,SUMPRODUCT($AI$7:$DF$7,'Staff Daily sales'!$G1119:$CD1119))</f>
        <v>0</v>
      </c>
      <c r="N1134">
        <f>IF($E1134=0,0,SUMPRODUCT($AI$8:$DF$8,'Staff Daily sales'!$G1119:$CD1119))</f>
        <v>0</v>
      </c>
      <c r="O1134">
        <f>IF($E1134=0,0,SUMPRODUCT($AI$9:$DF$9,'Staff Daily sales'!$G1119:$CD1119))</f>
        <v>0</v>
      </c>
      <c r="P1134">
        <f>IF($E1134=0,0,SUMPRODUCT($AI$10:$DF$10,'Staff Daily sales'!$G1119:$CD1119))</f>
        <v>0</v>
      </c>
      <c r="Q1134">
        <f>IF($E1134=0,0,SUMPRODUCT($AI$11:$DF$11,'Staff Daily sales'!$G1119:$CD1119))</f>
        <v>0</v>
      </c>
      <c r="R1134">
        <f>IF($E1134=0,0,SUMPRODUCT($AI$12:$DF$12,'Staff Daily sales'!$G1119:$CD1119))</f>
        <v>0</v>
      </c>
      <c r="S1134">
        <f>IF($E1134=0,0,SUMPRODUCT($AI$13:$DF$13,'Staff Daily sales'!$G1119:$CD1119))</f>
        <v>0</v>
      </c>
      <c r="T1134">
        <f>IF($E1134=0,0,SUMPRODUCT($AI$14:$DF$14,'Staff Daily sales'!$G1119:$CD1119))</f>
        <v>0</v>
      </c>
      <c r="U1134">
        <f>IF($E1134=0,0,SUMPRODUCT($AI$15:$DF$15,'Staff Daily sales'!$G1119:$CD1119))</f>
        <v>0</v>
      </c>
      <c r="V1134">
        <f>IF($E1134=0,0,SUMPRODUCT($AI$16:$DF$16,'Staff Daily sales'!$G1119:$CD1119))</f>
        <v>0</v>
      </c>
      <c r="W1134">
        <f t="shared" si="303"/>
        <v>0</v>
      </c>
      <c r="X1134">
        <f t="shared" si="304"/>
        <v>0</v>
      </c>
      <c r="Y1134">
        <f t="shared" si="305"/>
        <v>0</v>
      </c>
      <c r="Z1134">
        <f t="shared" si="306"/>
        <v>0</v>
      </c>
      <c r="AA1134">
        <f t="shared" si="307"/>
        <v>0</v>
      </c>
      <c r="AB1134">
        <f>--AND($E1134=1,OR('Staff Weekly Trend'!$B$3="All",$DH1134='Staff Weekly Trend'!$B$3),OR('Staff Weekly Trend'!$B$4="All",$D1134='Staff Weekly Trend'!$B$4),OR('Staff Weekly Trend'!$B$5="All",$A1134='Staff Weekly Trend'!$B$5))</f>
        <v>0</v>
      </c>
      <c r="AC1134" t="str">
        <f t="shared" si="308"/>
        <v/>
      </c>
      <c r="AI1134">
        <f t="shared" si="309"/>
        <v>0</v>
      </c>
      <c r="AJ1134">
        <f t="shared" si="310"/>
        <v>0</v>
      </c>
      <c r="AK1134">
        <f t="shared" si="311"/>
        <v>0</v>
      </c>
      <c r="AL1134">
        <f t="shared" si="312"/>
        <v>0</v>
      </c>
      <c r="AM1134">
        <f t="shared" si="313"/>
        <v>0</v>
      </c>
      <c r="DH1134" t="str" cm="1">
        <f t="array" ref="DH1134">IF($A1134="","",_xlfn.LET(_xlpm.c,IFERROR(_xlfn.XLOOKUP($A1134,TRIM('Sales and count'!$A$4:$A$300&amp;""),TRIM('Sales and count'!$B$4:$B$300&amp;"")),""),IF(OR(_xlpm.c="",_xlpm.c="0",LEFT(_xlpm.c,1)="#"),"Not set",_xlpm.c)))</f>
        <v/>
      </c>
    </row>
    <row r="1135" spans="1:112" x14ac:dyDescent="0.25">
      <c r="A1135" t="str">
        <f>IF('Staff Daily sales'!$B1120="","",TRIM('Staff Daily sales'!$B1120&amp;""))</f>
        <v/>
      </c>
      <c r="B1135" t="str">
        <f>IF('Staff Daily sales'!$D1120="","",TRIM('Staff Daily sales'!$D1120&amp;""))</f>
        <v/>
      </c>
      <c r="C1135" t="str">
        <f>IFERROR(TRIM('Staff Daily sales'!$E1120&amp;""),"")</f>
        <v/>
      </c>
      <c r="D1135" t="str">
        <f>IFERROR(IF(TRIM('Staff Daily sales'!$F1120&amp;"")="","Unassigned",TRIM('Staff Daily sales'!$F1120&amp;"")),"Unassigned")</f>
        <v>Unassigned</v>
      </c>
      <c r="E1135">
        <f t="shared" si="298"/>
        <v>0</v>
      </c>
      <c r="F1135">
        <f>IF($E1135=0,0,SUMPRODUCT($AI$5:$DF$5,'Staff Daily sales'!$G1120:$CD1120))</f>
        <v>0</v>
      </c>
      <c r="G1135">
        <f>IF($E1135=0,0,SUMPRODUCT($AI$6:$DF$6,'Staff Daily sales'!$G1120:$CD1120))</f>
        <v>0</v>
      </c>
      <c r="H1135">
        <f t="shared" si="299"/>
        <v>0</v>
      </c>
      <c r="I1135">
        <f t="shared" si="300"/>
        <v>0</v>
      </c>
      <c r="J1135">
        <f t="shared" si="301"/>
        <v>0</v>
      </c>
      <c r="K1135">
        <f t="shared" si="302"/>
        <v>0</v>
      </c>
      <c r="L1135">
        <f>--AND($E1135=1,OR('Staff Dashboard'!$B$6="All",$DH1135='Staff Dashboard'!$B$6),OR('Staff Dashboard'!$B$7="All",$D1135='Staff Dashboard'!$B$7),OR('Staff Dashboard'!$B$8="All",$A1135='Staff Dashboard'!$B$8))</f>
        <v>0</v>
      </c>
      <c r="M1135">
        <f>IF($E1135=0,0,SUMPRODUCT($AI$7:$DF$7,'Staff Daily sales'!$G1120:$CD1120))</f>
        <v>0</v>
      </c>
      <c r="N1135">
        <f>IF($E1135=0,0,SUMPRODUCT($AI$8:$DF$8,'Staff Daily sales'!$G1120:$CD1120))</f>
        <v>0</v>
      </c>
      <c r="O1135">
        <f>IF($E1135=0,0,SUMPRODUCT($AI$9:$DF$9,'Staff Daily sales'!$G1120:$CD1120))</f>
        <v>0</v>
      </c>
      <c r="P1135">
        <f>IF($E1135=0,0,SUMPRODUCT($AI$10:$DF$10,'Staff Daily sales'!$G1120:$CD1120))</f>
        <v>0</v>
      </c>
      <c r="Q1135">
        <f>IF($E1135=0,0,SUMPRODUCT($AI$11:$DF$11,'Staff Daily sales'!$G1120:$CD1120))</f>
        <v>0</v>
      </c>
      <c r="R1135">
        <f>IF($E1135=0,0,SUMPRODUCT($AI$12:$DF$12,'Staff Daily sales'!$G1120:$CD1120))</f>
        <v>0</v>
      </c>
      <c r="S1135">
        <f>IF($E1135=0,0,SUMPRODUCT($AI$13:$DF$13,'Staff Daily sales'!$G1120:$CD1120))</f>
        <v>0</v>
      </c>
      <c r="T1135">
        <f>IF($E1135=0,0,SUMPRODUCT($AI$14:$DF$14,'Staff Daily sales'!$G1120:$CD1120))</f>
        <v>0</v>
      </c>
      <c r="U1135">
        <f>IF($E1135=0,0,SUMPRODUCT($AI$15:$DF$15,'Staff Daily sales'!$G1120:$CD1120))</f>
        <v>0</v>
      </c>
      <c r="V1135">
        <f>IF($E1135=0,0,SUMPRODUCT($AI$16:$DF$16,'Staff Daily sales'!$G1120:$CD1120))</f>
        <v>0</v>
      </c>
      <c r="W1135">
        <f t="shared" si="303"/>
        <v>0</v>
      </c>
      <c r="X1135">
        <f t="shared" si="304"/>
        <v>0</v>
      </c>
      <c r="Y1135">
        <f t="shared" si="305"/>
        <v>0</v>
      </c>
      <c r="Z1135">
        <f t="shared" si="306"/>
        <v>0</v>
      </c>
      <c r="AA1135">
        <f t="shared" si="307"/>
        <v>0</v>
      </c>
      <c r="AB1135">
        <f>--AND($E1135=1,OR('Staff Weekly Trend'!$B$3="All",$DH1135='Staff Weekly Trend'!$B$3),OR('Staff Weekly Trend'!$B$4="All",$D1135='Staff Weekly Trend'!$B$4),OR('Staff Weekly Trend'!$B$5="All",$A1135='Staff Weekly Trend'!$B$5))</f>
        <v>0</v>
      </c>
      <c r="AC1135" t="str">
        <f t="shared" si="308"/>
        <v/>
      </c>
      <c r="AI1135">
        <f t="shared" si="309"/>
        <v>0</v>
      </c>
      <c r="AJ1135">
        <f t="shared" si="310"/>
        <v>0</v>
      </c>
      <c r="AK1135">
        <f t="shared" si="311"/>
        <v>0</v>
      </c>
      <c r="AL1135">
        <f t="shared" si="312"/>
        <v>0</v>
      </c>
      <c r="AM1135">
        <f t="shared" si="313"/>
        <v>0</v>
      </c>
      <c r="DH1135" t="str" cm="1">
        <f t="array" ref="DH1135">IF($A1135="","",_xlfn.LET(_xlpm.c,IFERROR(_xlfn.XLOOKUP($A1135,TRIM('Sales and count'!$A$4:$A$300&amp;""),TRIM('Sales and count'!$B$4:$B$300&amp;"")),""),IF(OR(_xlpm.c="",_xlpm.c="0",LEFT(_xlpm.c,1)="#"),"Not set",_xlpm.c)))</f>
        <v/>
      </c>
    </row>
    <row r="1136" spans="1:112" x14ac:dyDescent="0.25">
      <c r="A1136" t="str">
        <f>IF('Staff Daily sales'!$B1121="","",TRIM('Staff Daily sales'!$B1121&amp;""))</f>
        <v/>
      </c>
      <c r="B1136" t="str">
        <f>IF('Staff Daily sales'!$D1121="","",TRIM('Staff Daily sales'!$D1121&amp;""))</f>
        <v/>
      </c>
      <c r="C1136" t="str">
        <f>IFERROR(TRIM('Staff Daily sales'!$E1121&amp;""),"")</f>
        <v/>
      </c>
      <c r="D1136" t="str">
        <f>IFERROR(IF(TRIM('Staff Daily sales'!$F1121&amp;"")="","Unassigned",TRIM('Staff Daily sales'!$F1121&amp;"")),"Unassigned")</f>
        <v>Unassigned</v>
      </c>
      <c r="E1136">
        <f t="shared" si="298"/>
        <v>0</v>
      </c>
      <c r="F1136">
        <f>IF($E1136=0,0,SUMPRODUCT($AI$5:$DF$5,'Staff Daily sales'!$G1121:$CD1121))</f>
        <v>0</v>
      </c>
      <c r="G1136">
        <f>IF($E1136=0,0,SUMPRODUCT($AI$6:$DF$6,'Staff Daily sales'!$G1121:$CD1121))</f>
        <v>0</v>
      </c>
      <c r="H1136">
        <f t="shared" si="299"/>
        <v>0</v>
      </c>
      <c r="I1136">
        <f t="shared" si="300"/>
        <v>0</v>
      </c>
      <c r="J1136">
        <f t="shared" si="301"/>
        <v>0</v>
      </c>
      <c r="K1136">
        <f t="shared" si="302"/>
        <v>0</v>
      </c>
      <c r="L1136">
        <f>--AND($E1136=1,OR('Staff Dashboard'!$B$6="All",$DH1136='Staff Dashboard'!$B$6),OR('Staff Dashboard'!$B$7="All",$D1136='Staff Dashboard'!$B$7),OR('Staff Dashboard'!$B$8="All",$A1136='Staff Dashboard'!$B$8))</f>
        <v>0</v>
      </c>
      <c r="M1136">
        <f>IF($E1136=0,0,SUMPRODUCT($AI$7:$DF$7,'Staff Daily sales'!$G1121:$CD1121))</f>
        <v>0</v>
      </c>
      <c r="N1136">
        <f>IF($E1136=0,0,SUMPRODUCT($AI$8:$DF$8,'Staff Daily sales'!$G1121:$CD1121))</f>
        <v>0</v>
      </c>
      <c r="O1136">
        <f>IF($E1136=0,0,SUMPRODUCT($AI$9:$DF$9,'Staff Daily sales'!$G1121:$CD1121))</f>
        <v>0</v>
      </c>
      <c r="P1136">
        <f>IF($E1136=0,0,SUMPRODUCT($AI$10:$DF$10,'Staff Daily sales'!$G1121:$CD1121))</f>
        <v>0</v>
      </c>
      <c r="Q1136">
        <f>IF($E1136=0,0,SUMPRODUCT($AI$11:$DF$11,'Staff Daily sales'!$G1121:$CD1121))</f>
        <v>0</v>
      </c>
      <c r="R1136">
        <f>IF($E1136=0,0,SUMPRODUCT($AI$12:$DF$12,'Staff Daily sales'!$G1121:$CD1121))</f>
        <v>0</v>
      </c>
      <c r="S1136">
        <f>IF($E1136=0,0,SUMPRODUCT($AI$13:$DF$13,'Staff Daily sales'!$G1121:$CD1121))</f>
        <v>0</v>
      </c>
      <c r="T1136">
        <f>IF($E1136=0,0,SUMPRODUCT($AI$14:$DF$14,'Staff Daily sales'!$G1121:$CD1121))</f>
        <v>0</v>
      </c>
      <c r="U1136">
        <f>IF($E1136=0,0,SUMPRODUCT($AI$15:$DF$15,'Staff Daily sales'!$G1121:$CD1121))</f>
        <v>0</v>
      </c>
      <c r="V1136">
        <f>IF($E1136=0,0,SUMPRODUCT($AI$16:$DF$16,'Staff Daily sales'!$G1121:$CD1121))</f>
        <v>0</v>
      </c>
      <c r="W1136">
        <f t="shared" si="303"/>
        <v>0</v>
      </c>
      <c r="X1136">
        <f t="shared" si="304"/>
        <v>0</v>
      </c>
      <c r="Y1136">
        <f t="shared" si="305"/>
        <v>0</v>
      </c>
      <c r="Z1136">
        <f t="shared" si="306"/>
        <v>0</v>
      </c>
      <c r="AA1136">
        <f t="shared" si="307"/>
        <v>0</v>
      </c>
      <c r="AB1136">
        <f>--AND($E1136=1,OR('Staff Weekly Trend'!$B$3="All",$DH1136='Staff Weekly Trend'!$B$3),OR('Staff Weekly Trend'!$B$4="All",$D1136='Staff Weekly Trend'!$B$4),OR('Staff Weekly Trend'!$B$5="All",$A1136='Staff Weekly Trend'!$B$5))</f>
        <v>0</v>
      </c>
      <c r="AC1136" t="str">
        <f t="shared" si="308"/>
        <v/>
      </c>
      <c r="AI1136">
        <f t="shared" si="309"/>
        <v>0</v>
      </c>
      <c r="AJ1136">
        <f t="shared" si="310"/>
        <v>0</v>
      </c>
      <c r="AK1136">
        <f t="shared" si="311"/>
        <v>0</v>
      </c>
      <c r="AL1136">
        <f t="shared" si="312"/>
        <v>0</v>
      </c>
      <c r="AM1136">
        <f t="shared" si="313"/>
        <v>0</v>
      </c>
      <c r="DH1136" t="str" cm="1">
        <f t="array" ref="DH1136">IF($A1136="","",_xlfn.LET(_xlpm.c,IFERROR(_xlfn.XLOOKUP($A1136,TRIM('Sales and count'!$A$4:$A$300&amp;""),TRIM('Sales and count'!$B$4:$B$300&amp;"")),""),IF(OR(_xlpm.c="",_xlpm.c="0",LEFT(_xlpm.c,1)="#"),"Not set",_xlpm.c)))</f>
        <v/>
      </c>
    </row>
    <row r="1137" spans="1:112" x14ac:dyDescent="0.25">
      <c r="A1137" t="str">
        <f>IF('Staff Daily sales'!$B1122="","",TRIM('Staff Daily sales'!$B1122&amp;""))</f>
        <v/>
      </c>
      <c r="B1137" t="str">
        <f>IF('Staff Daily sales'!$D1122="","",TRIM('Staff Daily sales'!$D1122&amp;""))</f>
        <v/>
      </c>
      <c r="C1137" t="str">
        <f>IFERROR(TRIM('Staff Daily sales'!$E1122&amp;""),"")</f>
        <v/>
      </c>
      <c r="D1137" t="str">
        <f>IFERROR(IF(TRIM('Staff Daily sales'!$F1122&amp;"")="","Unassigned",TRIM('Staff Daily sales'!$F1122&amp;"")),"Unassigned")</f>
        <v>Unassigned</v>
      </c>
      <c r="E1137">
        <f t="shared" si="298"/>
        <v>0</v>
      </c>
      <c r="F1137">
        <f>IF($E1137=0,0,SUMPRODUCT($AI$5:$DF$5,'Staff Daily sales'!$G1122:$CD1122))</f>
        <v>0</v>
      </c>
      <c r="G1137">
        <f>IF($E1137=0,0,SUMPRODUCT($AI$6:$DF$6,'Staff Daily sales'!$G1122:$CD1122))</f>
        <v>0</v>
      </c>
      <c r="H1137">
        <f t="shared" si="299"/>
        <v>0</v>
      </c>
      <c r="I1137">
        <f t="shared" si="300"/>
        <v>0</v>
      </c>
      <c r="J1137">
        <f t="shared" si="301"/>
        <v>0</v>
      </c>
      <c r="K1137">
        <f t="shared" si="302"/>
        <v>0</v>
      </c>
      <c r="L1137">
        <f>--AND($E1137=1,OR('Staff Dashboard'!$B$6="All",$DH1137='Staff Dashboard'!$B$6),OR('Staff Dashboard'!$B$7="All",$D1137='Staff Dashboard'!$B$7),OR('Staff Dashboard'!$B$8="All",$A1137='Staff Dashboard'!$B$8))</f>
        <v>0</v>
      </c>
      <c r="M1137">
        <f>IF($E1137=0,0,SUMPRODUCT($AI$7:$DF$7,'Staff Daily sales'!$G1122:$CD1122))</f>
        <v>0</v>
      </c>
      <c r="N1137">
        <f>IF($E1137=0,0,SUMPRODUCT($AI$8:$DF$8,'Staff Daily sales'!$G1122:$CD1122))</f>
        <v>0</v>
      </c>
      <c r="O1137">
        <f>IF($E1137=0,0,SUMPRODUCT($AI$9:$DF$9,'Staff Daily sales'!$G1122:$CD1122))</f>
        <v>0</v>
      </c>
      <c r="P1137">
        <f>IF($E1137=0,0,SUMPRODUCT($AI$10:$DF$10,'Staff Daily sales'!$G1122:$CD1122))</f>
        <v>0</v>
      </c>
      <c r="Q1137">
        <f>IF($E1137=0,0,SUMPRODUCT($AI$11:$DF$11,'Staff Daily sales'!$G1122:$CD1122))</f>
        <v>0</v>
      </c>
      <c r="R1137">
        <f>IF($E1137=0,0,SUMPRODUCT($AI$12:$DF$12,'Staff Daily sales'!$G1122:$CD1122))</f>
        <v>0</v>
      </c>
      <c r="S1137">
        <f>IF($E1137=0,0,SUMPRODUCT($AI$13:$DF$13,'Staff Daily sales'!$G1122:$CD1122))</f>
        <v>0</v>
      </c>
      <c r="T1137">
        <f>IF($E1137=0,0,SUMPRODUCT($AI$14:$DF$14,'Staff Daily sales'!$G1122:$CD1122))</f>
        <v>0</v>
      </c>
      <c r="U1137">
        <f>IF($E1137=0,0,SUMPRODUCT($AI$15:$DF$15,'Staff Daily sales'!$G1122:$CD1122))</f>
        <v>0</v>
      </c>
      <c r="V1137">
        <f>IF($E1137=0,0,SUMPRODUCT($AI$16:$DF$16,'Staff Daily sales'!$G1122:$CD1122))</f>
        <v>0</v>
      </c>
      <c r="W1137">
        <f t="shared" si="303"/>
        <v>0</v>
      </c>
      <c r="X1137">
        <f t="shared" si="304"/>
        <v>0</v>
      </c>
      <c r="Y1137">
        <f t="shared" si="305"/>
        <v>0</v>
      </c>
      <c r="Z1137">
        <f t="shared" si="306"/>
        <v>0</v>
      </c>
      <c r="AA1137">
        <f t="shared" si="307"/>
        <v>0</v>
      </c>
      <c r="AB1137">
        <f>--AND($E1137=1,OR('Staff Weekly Trend'!$B$3="All",$DH1137='Staff Weekly Trend'!$B$3),OR('Staff Weekly Trend'!$B$4="All",$D1137='Staff Weekly Trend'!$B$4),OR('Staff Weekly Trend'!$B$5="All",$A1137='Staff Weekly Trend'!$B$5))</f>
        <v>0</v>
      </c>
      <c r="AC1137" t="str">
        <f t="shared" si="308"/>
        <v/>
      </c>
      <c r="AI1137">
        <f t="shared" si="309"/>
        <v>0</v>
      </c>
      <c r="AJ1137">
        <f t="shared" si="310"/>
        <v>0</v>
      </c>
      <c r="AK1137">
        <f t="shared" si="311"/>
        <v>0</v>
      </c>
      <c r="AL1137">
        <f t="shared" si="312"/>
        <v>0</v>
      </c>
      <c r="AM1137">
        <f t="shared" si="313"/>
        <v>0</v>
      </c>
      <c r="DH1137" t="str" cm="1">
        <f t="array" ref="DH1137">IF($A1137="","",_xlfn.LET(_xlpm.c,IFERROR(_xlfn.XLOOKUP($A1137,TRIM('Sales and count'!$A$4:$A$300&amp;""),TRIM('Sales and count'!$B$4:$B$300&amp;"")),""),IF(OR(_xlpm.c="",_xlpm.c="0",LEFT(_xlpm.c,1)="#"),"Not set",_xlpm.c)))</f>
        <v/>
      </c>
    </row>
    <row r="1138" spans="1:112" x14ac:dyDescent="0.25">
      <c r="A1138" t="str">
        <f>IF('Staff Daily sales'!$B1123="","",TRIM('Staff Daily sales'!$B1123&amp;""))</f>
        <v/>
      </c>
      <c r="B1138" t="str">
        <f>IF('Staff Daily sales'!$D1123="","",TRIM('Staff Daily sales'!$D1123&amp;""))</f>
        <v/>
      </c>
      <c r="C1138" t="str">
        <f>IFERROR(TRIM('Staff Daily sales'!$E1123&amp;""),"")</f>
        <v/>
      </c>
      <c r="D1138" t="str">
        <f>IFERROR(IF(TRIM('Staff Daily sales'!$F1123&amp;"")="","Unassigned",TRIM('Staff Daily sales'!$F1123&amp;"")),"Unassigned")</f>
        <v>Unassigned</v>
      </c>
      <c r="E1138">
        <f t="shared" si="298"/>
        <v>0</v>
      </c>
      <c r="F1138">
        <f>IF($E1138=0,0,SUMPRODUCT($AI$5:$DF$5,'Staff Daily sales'!$G1123:$CD1123))</f>
        <v>0</v>
      </c>
      <c r="G1138">
        <f>IF($E1138=0,0,SUMPRODUCT($AI$6:$DF$6,'Staff Daily sales'!$G1123:$CD1123))</f>
        <v>0</v>
      </c>
      <c r="H1138">
        <f t="shared" si="299"/>
        <v>0</v>
      </c>
      <c r="I1138">
        <f t="shared" si="300"/>
        <v>0</v>
      </c>
      <c r="J1138">
        <f t="shared" si="301"/>
        <v>0</v>
      </c>
      <c r="K1138">
        <f t="shared" si="302"/>
        <v>0</v>
      </c>
      <c r="L1138">
        <f>--AND($E1138=1,OR('Staff Dashboard'!$B$6="All",$DH1138='Staff Dashboard'!$B$6),OR('Staff Dashboard'!$B$7="All",$D1138='Staff Dashboard'!$B$7),OR('Staff Dashboard'!$B$8="All",$A1138='Staff Dashboard'!$B$8))</f>
        <v>0</v>
      </c>
      <c r="M1138">
        <f>IF($E1138=0,0,SUMPRODUCT($AI$7:$DF$7,'Staff Daily sales'!$G1123:$CD1123))</f>
        <v>0</v>
      </c>
      <c r="N1138">
        <f>IF($E1138=0,0,SUMPRODUCT($AI$8:$DF$8,'Staff Daily sales'!$G1123:$CD1123))</f>
        <v>0</v>
      </c>
      <c r="O1138">
        <f>IF($E1138=0,0,SUMPRODUCT($AI$9:$DF$9,'Staff Daily sales'!$G1123:$CD1123))</f>
        <v>0</v>
      </c>
      <c r="P1138">
        <f>IF($E1138=0,0,SUMPRODUCT($AI$10:$DF$10,'Staff Daily sales'!$G1123:$CD1123))</f>
        <v>0</v>
      </c>
      <c r="Q1138">
        <f>IF($E1138=0,0,SUMPRODUCT($AI$11:$DF$11,'Staff Daily sales'!$G1123:$CD1123))</f>
        <v>0</v>
      </c>
      <c r="R1138">
        <f>IF($E1138=0,0,SUMPRODUCT($AI$12:$DF$12,'Staff Daily sales'!$G1123:$CD1123))</f>
        <v>0</v>
      </c>
      <c r="S1138">
        <f>IF($E1138=0,0,SUMPRODUCT($AI$13:$DF$13,'Staff Daily sales'!$G1123:$CD1123))</f>
        <v>0</v>
      </c>
      <c r="T1138">
        <f>IF($E1138=0,0,SUMPRODUCT($AI$14:$DF$14,'Staff Daily sales'!$G1123:$CD1123))</f>
        <v>0</v>
      </c>
      <c r="U1138">
        <f>IF($E1138=0,0,SUMPRODUCT($AI$15:$DF$15,'Staff Daily sales'!$G1123:$CD1123))</f>
        <v>0</v>
      </c>
      <c r="V1138">
        <f>IF($E1138=0,0,SUMPRODUCT($AI$16:$DF$16,'Staff Daily sales'!$G1123:$CD1123))</f>
        <v>0</v>
      </c>
      <c r="W1138">
        <f t="shared" si="303"/>
        <v>0</v>
      </c>
      <c r="X1138">
        <f t="shared" si="304"/>
        <v>0</v>
      </c>
      <c r="Y1138">
        <f t="shared" si="305"/>
        <v>0</v>
      </c>
      <c r="Z1138">
        <f t="shared" si="306"/>
        <v>0</v>
      </c>
      <c r="AA1138">
        <f t="shared" si="307"/>
        <v>0</v>
      </c>
      <c r="AB1138">
        <f>--AND($E1138=1,OR('Staff Weekly Trend'!$B$3="All",$DH1138='Staff Weekly Trend'!$B$3),OR('Staff Weekly Trend'!$B$4="All",$D1138='Staff Weekly Trend'!$B$4),OR('Staff Weekly Trend'!$B$5="All",$A1138='Staff Weekly Trend'!$B$5))</f>
        <v>0</v>
      </c>
      <c r="AC1138" t="str">
        <f t="shared" si="308"/>
        <v/>
      </c>
      <c r="AI1138">
        <f t="shared" si="309"/>
        <v>0</v>
      </c>
      <c r="AJ1138">
        <f t="shared" si="310"/>
        <v>0</v>
      </c>
      <c r="AK1138">
        <f t="shared" si="311"/>
        <v>0</v>
      </c>
      <c r="AL1138">
        <f t="shared" si="312"/>
        <v>0</v>
      </c>
      <c r="AM1138">
        <f t="shared" si="313"/>
        <v>0</v>
      </c>
      <c r="DH1138" t="str" cm="1">
        <f t="array" ref="DH1138">IF($A1138="","",_xlfn.LET(_xlpm.c,IFERROR(_xlfn.XLOOKUP($A1138,TRIM('Sales and count'!$A$4:$A$300&amp;""),TRIM('Sales and count'!$B$4:$B$300&amp;"")),""),IF(OR(_xlpm.c="",_xlpm.c="0",LEFT(_xlpm.c,1)="#"),"Not set",_xlpm.c)))</f>
        <v/>
      </c>
    </row>
    <row r="1139" spans="1:112" x14ac:dyDescent="0.25">
      <c r="A1139" t="str">
        <f>IF('Staff Daily sales'!$B1124="","",TRIM('Staff Daily sales'!$B1124&amp;""))</f>
        <v/>
      </c>
      <c r="B1139" t="str">
        <f>IF('Staff Daily sales'!$D1124="","",TRIM('Staff Daily sales'!$D1124&amp;""))</f>
        <v/>
      </c>
      <c r="C1139" t="str">
        <f>IFERROR(TRIM('Staff Daily sales'!$E1124&amp;""),"")</f>
        <v/>
      </c>
      <c r="D1139" t="str">
        <f>IFERROR(IF(TRIM('Staff Daily sales'!$F1124&amp;"")="","Unassigned",TRIM('Staff Daily sales'!$F1124&amp;"")),"Unassigned")</f>
        <v>Unassigned</v>
      </c>
      <c r="E1139">
        <f t="shared" si="298"/>
        <v>0</v>
      </c>
      <c r="F1139">
        <f>IF($E1139=0,0,SUMPRODUCT($AI$5:$DF$5,'Staff Daily sales'!$G1124:$CD1124))</f>
        <v>0</v>
      </c>
      <c r="G1139">
        <f>IF($E1139=0,0,SUMPRODUCT($AI$6:$DF$6,'Staff Daily sales'!$G1124:$CD1124))</f>
        <v>0</v>
      </c>
      <c r="H1139">
        <f t="shared" si="299"/>
        <v>0</v>
      </c>
      <c r="I1139">
        <f t="shared" si="300"/>
        <v>0</v>
      </c>
      <c r="J1139">
        <f t="shared" si="301"/>
        <v>0</v>
      </c>
      <c r="K1139">
        <f t="shared" si="302"/>
        <v>0</v>
      </c>
      <c r="L1139">
        <f>--AND($E1139=1,OR('Staff Dashboard'!$B$6="All",$DH1139='Staff Dashboard'!$B$6),OR('Staff Dashboard'!$B$7="All",$D1139='Staff Dashboard'!$B$7),OR('Staff Dashboard'!$B$8="All",$A1139='Staff Dashboard'!$B$8))</f>
        <v>0</v>
      </c>
      <c r="M1139">
        <f>IF($E1139=0,0,SUMPRODUCT($AI$7:$DF$7,'Staff Daily sales'!$G1124:$CD1124))</f>
        <v>0</v>
      </c>
      <c r="N1139">
        <f>IF($E1139=0,0,SUMPRODUCT($AI$8:$DF$8,'Staff Daily sales'!$G1124:$CD1124))</f>
        <v>0</v>
      </c>
      <c r="O1139">
        <f>IF($E1139=0,0,SUMPRODUCT($AI$9:$DF$9,'Staff Daily sales'!$G1124:$CD1124))</f>
        <v>0</v>
      </c>
      <c r="P1139">
        <f>IF($E1139=0,0,SUMPRODUCT($AI$10:$DF$10,'Staff Daily sales'!$G1124:$CD1124))</f>
        <v>0</v>
      </c>
      <c r="Q1139">
        <f>IF($E1139=0,0,SUMPRODUCT($AI$11:$DF$11,'Staff Daily sales'!$G1124:$CD1124))</f>
        <v>0</v>
      </c>
      <c r="R1139">
        <f>IF($E1139=0,0,SUMPRODUCT($AI$12:$DF$12,'Staff Daily sales'!$G1124:$CD1124))</f>
        <v>0</v>
      </c>
      <c r="S1139">
        <f>IF($E1139=0,0,SUMPRODUCT($AI$13:$DF$13,'Staff Daily sales'!$G1124:$CD1124))</f>
        <v>0</v>
      </c>
      <c r="T1139">
        <f>IF($E1139=0,0,SUMPRODUCT($AI$14:$DF$14,'Staff Daily sales'!$G1124:$CD1124))</f>
        <v>0</v>
      </c>
      <c r="U1139">
        <f>IF($E1139=0,0,SUMPRODUCT($AI$15:$DF$15,'Staff Daily sales'!$G1124:$CD1124))</f>
        <v>0</v>
      </c>
      <c r="V1139">
        <f>IF($E1139=0,0,SUMPRODUCT($AI$16:$DF$16,'Staff Daily sales'!$G1124:$CD1124))</f>
        <v>0</v>
      </c>
      <c r="W1139">
        <f t="shared" si="303"/>
        <v>0</v>
      </c>
      <c r="X1139">
        <f t="shared" si="304"/>
        <v>0</v>
      </c>
      <c r="Y1139">
        <f t="shared" si="305"/>
        <v>0</v>
      </c>
      <c r="Z1139">
        <f t="shared" si="306"/>
        <v>0</v>
      </c>
      <c r="AA1139">
        <f t="shared" si="307"/>
        <v>0</v>
      </c>
      <c r="AB1139">
        <f>--AND($E1139=1,OR('Staff Weekly Trend'!$B$3="All",$DH1139='Staff Weekly Trend'!$B$3),OR('Staff Weekly Trend'!$B$4="All",$D1139='Staff Weekly Trend'!$B$4),OR('Staff Weekly Trend'!$B$5="All",$A1139='Staff Weekly Trend'!$B$5))</f>
        <v>0</v>
      </c>
      <c r="AC1139" t="str">
        <f t="shared" si="308"/>
        <v/>
      </c>
      <c r="AI1139">
        <f t="shared" si="309"/>
        <v>0</v>
      </c>
      <c r="AJ1139">
        <f t="shared" si="310"/>
        <v>0</v>
      </c>
      <c r="AK1139">
        <f t="shared" si="311"/>
        <v>0</v>
      </c>
      <c r="AL1139">
        <f t="shared" si="312"/>
        <v>0</v>
      </c>
      <c r="AM1139">
        <f t="shared" si="313"/>
        <v>0</v>
      </c>
      <c r="DH1139" t="str" cm="1">
        <f t="array" ref="DH1139">IF($A1139="","",_xlfn.LET(_xlpm.c,IFERROR(_xlfn.XLOOKUP($A1139,TRIM('Sales and count'!$A$4:$A$300&amp;""),TRIM('Sales and count'!$B$4:$B$300&amp;"")),""),IF(OR(_xlpm.c="",_xlpm.c="0",LEFT(_xlpm.c,1)="#"),"Not set",_xlpm.c)))</f>
        <v/>
      </c>
    </row>
    <row r="1140" spans="1:112" x14ac:dyDescent="0.25">
      <c r="A1140" t="str">
        <f>IF('Staff Daily sales'!$B1125="","",TRIM('Staff Daily sales'!$B1125&amp;""))</f>
        <v/>
      </c>
      <c r="B1140" t="str">
        <f>IF('Staff Daily sales'!$D1125="","",TRIM('Staff Daily sales'!$D1125&amp;""))</f>
        <v/>
      </c>
      <c r="C1140" t="str">
        <f>IFERROR(TRIM('Staff Daily sales'!$E1125&amp;""),"")</f>
        <v/>
      </c>
      <c r="D1140" t="str">
        <f>IFERROR(IF(TRIM('Staff Daily sales'!$F1125&amp;"")="","Unassigned",TRIM('Staff Daily sales'!$F1125&amp;"")),"Unassigned")</f>
        <v>Unassigned</v>
      </c>
      <c r="E1140">
        <f t="shared" si="298"/>
        <v>0</v>
      </c>
      <c r="F1140">
        <f>IF($E1140=0,0,SUMPRODUCT($AI$5:$DF$5,'Staff Daily sales'!$G1125:$CD1125))</f>
        <v>0</v>
      </c>
      <c r="G1140">
        <f>IF($E1140=0,0,SUMPRODUCT($AI$6:$DF$6,'Staff Daily sales'!$G1125:$CD1125))</f>
        <v>0</v>
      </c>
      <c r="H1140">
        <f t="shared" si="299"/>
        <v>0</v>
      </c>
      <c r="I1140">
        <f t="shared" si="300"/>
        <v>0</v>
      </c>
      <c r="J1140">
        <f t="shared" si="301"/>
        <v>0</v>
      </c>
      <c r="K1140">
        <f t="shared" si="302"/>
        <v>0</v>
      </c>
      <c r="L1140">
        <f>--AND($E1140=1,OR('Staff Dashboard'!$B$6="All",$DH1140='Staff Dashboard'!$B$6),OR('Staff Dashboard'!$B$7="All",$D1140='Staff Dashboard'!$B$7),OR('Staff Dashboard'!$B$8="All",$A1140='Staff Dashboard'!$B$8))</f>
        <v>0</v>
      </c>
      <c r="M1140">
        <f>IF($E1140=0,0,SUMPRODUCT($AI$7:$DF$7,'Staff Daily sales'!$G1125:$CD1125))</f>
        <v>0</v>
      </c>
      <c r="N1140">
        <f>IF($E1140=0,0,SUMPRODUCT($AI$8:$DF$8,'Staff Daily sales'!$G1125:$CD1125))</f>
        <v>0</v>
      </c>
      <c r="O1140">
        <f>IF($E1140=0,0,SUMPRODUCT($AI$9:$DF$9,'Staff Daily sales'!$G1125:$CD1125))</f>
        <v>0</v>
      </c>
      <c r="P1140">
        <f>IF($E1140=0,0,SUMPRODUCT($AI$10:$DF$10,'Staff Daily sales'!$G1125:$CD1125))</f>
        <v>0</v>
      </c>
      <c r="Q1140">
        <f>IF($E1140=0,0,SUMPRODUCT($AI$11:$DF$11,'Staff Daily sales'!$G1125:$CD1125))</f>
        <v>0</v>
      </c>
      <c r="R1140">
        <f>IF($E1140=0,0,SUMPRODUCT($AI$12:$DF$12,'Staff Daily sales'!$G1125:$CD1125))</f>
        <v>0</v>
      </c>
      <c r="S1140">
        <f>IF($E1140=0,0,SUMPRODUCT($AI$13:$DF$13,'Staff Daily sales'!$G1125:$CD1125))</f>
        <v>0</v>
      </c>
      <c r="T1140">
        <f>IF($E1140=0,0,SUMPRODUCT($AI$14:$DF$14,'Staff Daily sales'!$G1125:$CD1125))</f>
        <v>0</v>
      </c>
      <c r="U1140">
        <f>IF($E1140=0,0,SUMPRODUCT($AI$15:$DF$15,'Staff Daily sales'!$G1125:$CD1125))</f>
        <v>0</v>
      </c>
      <c r="V1140">
        <f>IF($E1140=0,0,SUMPRODUCT($AI$16:$DF$16,'Staff Daily sales'!$G1125:$CD1125))</f>
        <v>0</v>
      </c>
      <c r="W1140">
        <f t="shared" si="303"/>
        <v>0</v>
      </c>
      <c r="X1140">
        <f t="shared" si="304"/>
        <v>0</v>
      </c>
      <c r="Y1140">
        <f t="shared" si="305"/>
        <v>0</v>
      </c>
      <c r="Z1140">
        <f t="shared" si="306"/>
        <v>0</v>
      </c>
      <c r="AA1140">
        <f t="shared" si="307"/>
        <v>0</v>
      </c>
      <c r="AB1140">
        <f>--AND($E1140=1,OR('Staff Weekly Trend'!$B$3="All",$DH1140='Staff Weekly Trend'!$B$3),OR('Staff Weekly Trend'!$B$4="All",$D1140='Staff Weekly Trend'!$B$4),OR('Staff Weekly Trend'!$B$5="All",$A1140='Staff Weekly Trend'!$B$5))</f>
        <v>0</v>
      </c>
      <c r="AC1140" t="str">
        <f t="shared" si="308"/>
        <v/>
      </c>
      <c r="AI1140">
        <f t="shared" si="309"/>
        <v>0</v>
      </c>
      <c r="AJ1140">
        <f t="shared" si="310"/>
        <v>0</v>
      </c>
      <c r="AK1140">
        <f t="shared" si="311"/>
        <v>0</v>
      </c>
      <c r="AL1140">
        <f t="shared" si="312"/>
        <v>0</v>
      </c>
      <c r="AM1140">
        <f t="shared" si="313"/>
        <v>0</v>
      </c>
      <c r="DH1140" t="str" cm="1">
        <f t="array" ref="DH1140">IF($A1140="","",_xlfn.LET(_xlpm.c,IFERROR(_xlfn.XLOOKUP($A1140,TRIM('Sales and count'!$A$4:$A$300&amp;""),TRIM('Sales and count'!$B$4:$B$300&amp;"")),""),IF(OR(_xlpm.c="",_xlpm.c="0",LEFT(_xlpm.c,1)="#"),"Not set",_xlpm.c)))</f>
        <v/>
      </c>
    </row>
    <row r="1141" spans="1:112" x14ac:dyDescent="0.25">
      <c r="A1141" t="str">
        <f>IF('Staff Daily sales'!$B1126="","",TRIM('Staff Daily sales'!$B1126&amp;""))</f>
        <v/>
      </c>
      <c r="B1141" t="str">
        <f>IF('Staff Daily sales'!$D1126="","",TRIM('Staff Daily sales'!$D1126&amp;""))</f>
        <v/>
      </c>
      <c r="C1141" t="str">
        <f>IFERROR(TRIM('Staff Daily sales'!$E1126&amp;""),"")</f>
        <v/>
      </c>
      <c r="D1141" t="str">
        <f>IFERROR(IF(TRIM('Staff Daily sales'!$F1126&amp;"")="","Unassigned",TRIM('Staff Daily sales'!$F1126&amp;"")),"Unassigned")</f>
        <v>Unassigned</v>
      </c>
      <c r="E1141">
        <f t="shared" si="298"/>
        <v>0</v>
      </c>
      <c r="F1141">
        <f>IF($E1141=0,0,SUMPRODUCT($AI$5:$DF$5,'Staff Daily sales'!$G1126:$CD1126))</f>
        <v>0</v>
      </c>
      <c r="G1141">
        <f>IF($E1141=0,0,SUMPRODUCT($AI$6:$DF$6,'Staff Daily sales'!$G1126:$CD1126))</f>
        <v>0</v>
      </c>
      <c r="H1141">
        <f t="shared" si="299"/>
        <v>0</v>
      </c>
      <c r="I1141">
        <f t="shared" si="300"/>
        <v>0</v>
      </c>
      <c r="J1141">
        <f t="shared" si="301"/>
        <v>0</v>
      </c>
      <c r="K1141">
        <f t="shared" si="302"/>
        <v>0</v>
      </c>
      <c r="L1141">
        <f>--AND($E1141=1,OR('Staff Dashboard'!$B$6="All",$DH1141='Staff Dashboard'!$B$6),OR('Staff Dashboard'!$B$7="All",$D1141='Staff Dashboard'!$B$7),OR('Staff Dashboard'!$B$8="All",$A1141='Staff Dashboard'!$B$8))</f>
        <v>0</v>
      </c>
      <c r="M1141">
        <f>IF($E1141=0,0,SUMPRODUCT($AI$7:$DF$7,'Staff Daily sales'!$G1126:$CD1126))</f>
        <v>0</v>
      </c>
      <c r="N1141">
        <f>IF($E1141=0,0,SUMPRODUCT($AI$8:$DF$8,'Staff Daily sales'!$G1126:$CD1126))</f>
        <v>0</v>
      </c>
      <c r="O1141">
        <f>IF($E1141=0,0,SUMPRODUCT($AI$9:$DF$9,'Staff Daily sales'!$G1126:$CD1126))</f>
        <v>0</v>
      </c>
      <c r="P1141">
        <f>IF($E1141=0,0,SUMPRODUCT($AI$10:$DF$10,'Staff Daily sales'!$G1126:$CD1126))</f>
        <v>0</v>
      </c>
      <c r="Q1141">
        <f>IF($E1141=0,0,SUMPRODUCT($AI$11:$DF$11,'Staff Daily sales'!$G1126:$CD1126))</f>
        <v>0</v>
      </c>
      <c r="R1141">
        <f>IF($E1141=0,0,SUMPRODUCT($AI$12:$DF$12,'Staff Daily sales'!$G1126:$CD1126))</f>
        <v>0</v>
      </c>
      <c r="S1141">
        <f>IF($E1141=0,0,SUMPRODUCT($AI$13:$DF$13,'Staff Daily sales'!$G1126:$CD1126))</f>
        <v>0</v>
      </c>
      <c r="T1141">
        <f>IF($E1141=0,0,SUMPRODUCT($AI$14:$DF$14,'Staff Daily sales'!$G1126:$CD1126))</f>
        <v>0</v>
      </c>
      <c r="U1141">
        <f>IF($E1141=0,0,SUMPRODUCT($AI$15:$DF$15,'Staff Daily sales'!$G1126:$CD1126))</f>
        <v>0</v>
      </c>
      <c r="V1141">
        <f>IF($E1141=0,0,SUMPRODUCT($AI$16:$DF$16,'Staff Daily sales'!$G1126:$CD1126))</f>
        <v>0</v>
      </c>
      <c r="W1141">
        <f t="shared" si="303"/>
        <v>0</v>
      </c>
      <c r="X1141">
        <f t="shared" si="304"/>
        <v>0</v>
      </c>
      <c r="Y1141">
        <f t="shared" si="305"/>
        <v>0</v>
      </c>
      <c r="Z1141">
        <f t="shared" si="306"/>
        <v>0</v>
      </c>
      <c r="AA1141">
        <f t="shared" si="307"/>
        <v>0</v>
      </c>
      <c r="AB1141">
        <f>--AND($E1141=1,OR('Staff Weekly Trend'!$B$3="All",$DH1141='Staff Weekly Trend'!$B$3),OR('Staff Weekly Trend'!$B$4="All",$D1141='Staff Weekly Trend'!$B$4),OR('Staff Weekly Trend'!$B$5="All",$A1141='Staff Weekly Trend'!$B$5))</f>
        <v>0</v>
      </c>
      <c r="AC1141" t="str">
        <f t="shared" si="308"/>
        <v/>
      </c>
      <c r="AI1141">
        <f t="shared" si="309"/>
        <v>0</v>
      </c>
      <c r="AJ1141">
        <f t="shared" si="310"/>
        <v>0</v>
      </c>
      <c r="AK1141">
        <f t="shared" si="311"/>
        <v>0</v>
      </c>
      <c r="AL1141">
        <f t="shared" si="312"/>
        <v>0</v>
      </c>
      <c r="AM1141">
        <f t="shared" si="313"/>
        <v>0</v>
      </c>
      <c r="DH1141" t="str" cm="1">
        <f t="array" ref="DH1141">IF($A1141="","",_xlfn.LET(_xlpm.c,IFERROR(_xlfn.XLOOKUP($A1141,TRIM('Sales and count'!$A$4:$A$300&amp;""),TRIM('Sales and count'!$B$4:$B$300&amp;"")),""),IF(OR(_xlpm.c="",_xlpm.c="0",LEFT(_xlpm.c,1)="#"),"Not set",_xlpm.c)))</f>
        <v/>
      </c>
    </row>
    <row r="1142" spans="1:112" x14ac:dyDescent="0.25">
      <c r="A1142" t="str">
        <f>IF('Staff Daily sales'!$B1127="","",TRIM('Staff Daily sales'!$B1127&amp;""))</f>
        <v/>
      </c>
      <c r="B1142" t="str">
        <f>IF('Staff Daily sales'!$D1127="","",TRIM('Staff Daily sales'!$D1127&amp;""))</f>
        <v/>
      </c>
      <c r="C1142" t="str">
        <f>IFERROR(TRIM('Staff Daily sales'!$E1127&amp;""),"")</f>
        <v/>
      </c>
      <c r="D1142" t="str">
        <f>IFERROR(IF(TRIM('Staff Daily sales'!$F1127&amp;"")="","Unassigned",TRIM('Staff Daily sales'!$F1127&amp;"")),"Unassigned")</f>
        <v>Unassigned</v>
      </c>
      <c r="E1142">
        <f t="shared" si="298"/>
        <v>0</v>
      </c>
      <c r="F1142">
        <f>IF($E1142=0,0,SUMPRODUCT($AI$5:$DF$5,'Staff Daily sales'!$G1127:$CD1127))</f>
        <v>0</v>
      </c>
      <c r="G1142">
        <f>IF($E1142=0,0,SUMPRODUCT($AI$6:$DF$6,'Staff Daily sales'!$G1127:$CD1127))</f>
        <v>0</v>
      </c>
      <c r="H1142">
        <f t="shared" si="299"/>
        <v>0</v>
      </c>
      <c r="I1142">
        <f t="shared" si="300"/>
        <v>0</v>
      </c>
      <c r="J1142">
        <f t="shared" si="301"/>
        <v>0</v>
      </c>
      <c r="K1142">
        <f t="shared" si="302"/>
        <v>0</v>
      </c>
      <c r="L1142">
        <f>--AND($E1142=1,OR('Staff Dashboard'!$B$6="All",$DH1142='Staff Dashboard'!$B$6),OR('Staff Dashboard'!$B$7="All",$D1142='Staff Dashboard'!$B$7),OR('Staff Dashboard'!$B$8="All",$A1142='Staff Dashboard'!$B$8))</f>
        <v>0</v>
      </c>
      <c r="M1142">
        <f>IF($E1142=0,0,SUMPRODUCT($AI$7:$DF$7,'Staff Daily sales'!$G1127:$CD1127))</f>
        <v>0</v>
      </c>
      <c r="N1142">
        <f>IF($E1142=0,0,SUMPRODUCT($AI$8:$DF$8,'Staff Daily sales'!$G1127:$CD1127))</f>
        <v>0</v>
      </c>
      <c r="O1142">
        <f>IF($E1142=0,0,SUMPRODUCT($AI$9:$DF$9,'Staff Daily sales'!$G1127:$CD1127))</f>
        <v>0</v>
      </c>
      <c r="P1142">
        <f>IF($E1142=0,0,SUMPRODUCT($AI$10:$DF$10,'Staff Daily sales'!$G1127:$CD1127))</f>
        <v>0</v>
      </c>
      <c r="Q1142">
        <f>IF($E1142=0,0,SUMPRODUCT($AI$11:$DF$11,'Staff Daily sales'!$G1127:$CD1127))</f>
        <v>0</v>
      </c>
      <c r="R1142">
        <f>IF($E1142=0,0,SUMPRODUCT($AI$12:$DF$12,'Staff Daily sales'!$G1127:$CD1127))</f>
        <v>0</v>
      </c>
      <c r="S1142">
        <f>IF($E1142=0,0,SUMPRODUCT($AI$13:$DF$13,'Staff Daily sales'!$G1127:$CD1127))</f>
        <v>0</v>
      </c>
      <c r="T1142">
        <f>IF($E1142=0,0,SUMPRODUCT($AI$14:$DF$14,'Staff Daily sales'!$G1127:$CD1127))</f>
        <v>0</v>
      </c>
      <c r="U1142">
        <f>IF($E1142=0,0,SUMPRODUCT($AI$15:$DF$15,'Staff Daily sales'!$G1127:$CD1127))</f>
        <v>0</v>
      </c>
      <c r="V1142">
        <f>IF($E1142=0,0,SUMPRODUCT($AI$16:$DF$16,'Staff Daily sales'!$G1127:$CD1127))</f>
        <v>0</v>
      </c>
      <c r="W1142">
        <f t="shared" si="303"/>
        <v>0</v>
      </c>
      <c r="X1142">
        <f t="shared" si="304"/>
        <v>0</v>
      </c>
      <c r="Y1142">
        <f t="shared" si="305"/>
        <v>0</v>
      </c>
      <c r="Z1142">
        <f t="shared" si="306"/>
        <v>0</v>
      </c>
      <c r="AA1142">
        <f t="shared" si="307"/>
        <v>0</v>
      </c>
      <c r="AB1142">
        <f>--AND($E1142=1,OR('Staff Weekly Trend'!$B$3="All",$DH1142='Staff Weekly Trend'!$B$3),OR('Staff Weekly Trend'!$B$4="All",$D1142='Staff Weekly Trend'!$B$4),OR('Staff Weekly Trend'!$B$5="All",$A1142='Staff Weekly Trend'!$B$5))</f>
        <v>0</v>
      </c>
      <c r="AC1142" t="str">
        <f t="shared" si="308"/>
        <v/>
      </c>
      <c r="AI1142">
        <f t="shared" si="309"/>
        <v>0</v>
      </c>
      <c r="AJ1142">
        <f t="shared" si="310"/>
        <v>0</v>
      </c>
      <c r="AK1142">
        <f t="shared" si="311"/>
        <v>0</v>
      </c>
      <c r="AL1142">
        <f t="shared" si="312"/>
        <v>0</v>
      </c>
      <c r="AM1142">
        <f t="shared" si="313"/>
        <v>0</v>
      </c>
      <c r="DH1142" t="str" cm="1">
        <f t="array" ref="DH1142">IF($A1142="","",_xlfn.LET(_xlpm.c,IFERROR(_xlfn.XLOOKUP($A1142,TRIM('Sales and count'!$A$4:$A$300&amp;""),TRIM('Sales and count'!$B$4:$B$300&amp;"")),""),IF(OR(_xlpm.c="",_xlpm.c="0",LEFT(_xlpm.c,1)="#"),"Not set",_xlpm.c)))</f>
        <v/>
      </c>
    </row>
    <row r="1143" spans="1:112" x14ac:dyDescent="0.25">
      <c r="A1143" t="str">
        <f>IF('Staff Daily sales'!$B1128="","",TRIM('Staff Daily sales'!$B1128&amp;""))</f>
        <v/>
      </c>
      <c r="B1143" t="str">
        <f>IF('Staff Daily sales'!$D1128="","",TRIM('Staff Daily sales'!$D1128&amp;""))</f>
        <v/>
      </c>
      <c r="C1143" t="str">
        <f>IFERROR(TRIM('Staff Daily sales'!$E1128&amp;""),"")</f>
        <v/>
      </c>
      <c r="D1143" t="str">
        <f>IFERROR(IF(TRIM('Staff Daily sales'!$F1128&amp;"")="","Unassigned",TRIM('Staff Daily sales'!$F1128&amp;"")),"Unassigned")</f>
        <v>Unassigned</v>
      </c>
      <c r="E1143">
        <f t="shared" si="298"/>
        <v>0</v>
      </c>
      <c r="F1143">
        <f>IF($E1143=0,0,SUMPRODUCT($AI$5:$DF$5,'Staff Daily sales'!$G1128:$CD1128))</f>
        <v>0</v>
      </c>
      <c r="G1143">
        <f>IF($E1143=0,0,SUMPRODUCT($AI$6:$DF$6,'Staff Daily sales'!$G1128:$CD1128))</f>
        <v>0</v>
      </c>
      <c r="H1143">
        <f t="shared" si="299"/>
        <v>0</v>
      </c>
      <c r="I1143">
        <f t="shared" si="300"/>
        <v>0</v>
      </c>
      <c r="J1143">
        <f t="shared" si="301"/>
        <v>0</v>
      </c>
      <c r="K1143">
        <f t="shared" si="302"/>
        <v>0</v>
      </c>
      <c r="L1143">
        <f>--AND($E1143=1,OR('Staff Dashboard'!$B$6="All",$DH1143='Staff Dashboard'!$B$6),OR('Staff Dashboard'!$B$7="All",$D1143='Staff Dashboard'!$B$7),OR('Staff Dashboard'!$B$8="All",$A1143='Staff Dashboard'!$B$8))</f>
        <v>0</v>
      </c>
      <c r="M1143">
        <f>IF($E1143=0,0,SUMPRODUCT($AI$7:$DF$7,'Staff Daily sales'!$G1128:$CD1128))</f>
        <v>0</v>
      </c>
      <c r="N1143">
        <f>IF($E1143=0,0,SUMPRODUCT($AI$8:$DF$8,'Staff Daily sales'!$G1128:$CD1128))</f>
        <v>0</v>
      </c>
      <c r="O1143">
        <f>IF($E1143=0,0,SUMPRODUCT($AI$9:$DF$9,'Staff Daily sales'!$G1128:$CD1128))</f>
        <v>0</v>
      </c>
      <c r="P1143">
        <f>IF($E1143=0,0,SUMPRODUCT($AI$10:$DF$10,'Staff Daily sales'!$G1128:$CD1128))</f>
        <v>0</v>
      </c>
      <c r="Q1143">
        <f>IF($E1143=0,0,SUMPRODUCT($AI$11:$DF$11,'Staff Daily sales'!$G1128:$CD1128))</f>
        <v>0</v>
      </c>
      <c r="R1143">
        <f>IF($E1143=0,0,SUMPRODUCT($AI$12:$DF$12,'Staff Daily sales'!$G1128:$CD1128))</f>
        <v>0</v>
      </c>
      <c r="S1143">
        <f>IF($E1143=0,0,SUMPRODUCT($AI$13:$DF$13,'Staff Daily sales'!$G1128:$CD1128))</f>
        <v>0</v>
      </c>
      <c r="T1143">
        <f>IF($E1143=0,0,SUMPRODUCT($AI$14:$DF$14,'Staff Daily sales'!$G1128:$CD1128))</f>
        <v>0</v>
      </c>
      <c r="U1143">
        <f>IF($E1143=0,0,SUMPRODUCT($AI$15:$DF$15,'Staff Daily sales'!$G1128:$CD1128))</f>
        <v>0</v>
      </c>
      <c r="V1143">
        <f>IF($E1143=0,0,SUMPRODUCT($AI$16:$DF$16,'Staff Daily sales'!$G1128:$CD1128))</f>
        <v>0</v>
      </c>
      <c r="W1143">
        <f t="shared" si="303"/>
        <v>0</v>
      </c>
      <c r="X1143">
        <f t="shared" si="304"/>
        <v>0</v>
      </c>
      <c r="Y1143">
        <f t="shared" si="305"/>
        <v>0</v>
      </c>
      <c r="Z1143">
        <f t="shared" si="306"/>
        <v>0</v>
      </c>
      <c r="AA1143">
        <f t="shared" si="307"/>
        <v>0</v>
      </c>
      <c r="AB1143">
        <f>--AND($E1143=1,OR('Staff Weekly Trend'!$B$3="All",$DH1143='Staff Weekly Trend'!$B$3),OR('Staff Weekly Trend'!$B$4="All",$D1143='Staff Weekly Trend'!$B$4),OR('Staff Weekly Trend'!$B$5="All",$A1143='Staff Weekly Trend'!$B$5))</f>
        <v>0</v>
      </c>
      <c r="AC1143" t="str">
        <f t="shared" si="308"/>
        <v/>
      </c>
      <c r="AI1143">
        <f t="shared" si="309"/>
        <v>0</v>
      </c>
      <c r="AJ1143">
        <f t="shared" si="310"/>
        <v>0</v>
      </c>
      <c r="AK1143">
        <f t="shared" si="311"/>
        <v>0</v>
      </c>
      <c r="AL1143">
        <f t="shared" si="312"/>
        <v>0</v>
      </c>
      <c r="AM1143">
        <f t="shared" si="313"/>
        <v>0</v>
      </c>
      <c r="DH1143" t="str" cm="1">
        <f t="array" ref="DH1143">IF($A1143="","",_xlfn.LET(_xlpm.c,IFERROR(_xlfn.XLOOKUP($A1143,TRIM('Sales and count'!$A$4:$A$300&amp;""),TRIM('Sales and count'!$B$4:$B$300&amp;"")),""),IF(OR(_xlpm.c="",_xlpm.c="0",LEFT(_xlpm.c,1)="#"),"Not set",_xlpm.c)))</f>
        <v/>
      </c>
    </row>
    <row r="1144" spans="1:112" x14ac:dyDescent="0.25">
      <c r="A1144" t="str">
        <f>IF('Staff Daily sales'!$B1129="","",TRIM('Staff Daily sales'!$B1129&amp;""))</f>
        <v/>
      </c>
      <c r="B1144" t="str">
        <f>IF('Staff Daily sales'!$D1129="","",TRIM('Staff Daily sales'!$D1129&amp;""))</f>
        <v/>
      </c>
      <c r="C1144" t="str">
        <f>IFERROR(TRIM('Staff Daily sales'!$E1129&amp;""),"")</f>
        <v/>
      </c>
      <c r="D1144" t="str">
        <f>IFERROR(IF(TRIM('Staff Daily sales'!$F1129&amp;"")="","Unassigned",TRIM('Staff Daily sales'!$F1129&amp;"")),"Unassigned")</f>
        <v>Unassigned</v>
      </c>
      <c r="E1144">
        <f t="shared" si="298"/>
        <v>0</v>
      </c>
      <c r="F1144">
        <f>IF($E1144=0,0,SUMPRODUCT($AI$5:$DF$5,'Staff Daily sales'!$G1129:$CD1129))</f>
        <v>0</v>
      </c>
      <c r="G1144">
        <f>IF($E1144=0,0,SUMPRODUCT($AI$6:$DF$6,'Staff Daily sales'!$G1129:$CD1129))</f>
        <v>0</v>
      </c>
      <c r="H1144">
        <f t="shared" si="299"/>
        <v>0</v>
      </c>
      <c r="I1144">
        <f t="shared" si="300"/>
        <v>0</v>
      </c>
      <c r="J1144">
        <f t="shared" si="301"/>
        <v>0</v>
      </c>
      <c r="K1144">
        <f t="shared" si="302"/>
        <v>0</v>
      </c>
      <c r="L1144">
        <f>--AND($E1144=1,OR('Staff Dashboard'!$B$6="All",$DH1144='Staff Dashboard'!$B$6),OR('Staff Dashboard'!$B$7="All",$D1144='Staff Dashboard'!$B$7),OR('Staff Dashboard'!$B$8="All",$A1144='Staff Dashboard'!$B$8))</f>
        <v>0</v>
      </c>
      <c r="M1144">
        <f>IF($E1144=0,0,SUMPRODUCT($AI$7:$DF$7,'Staff Daily sales'!$G1129:$CD1129))</f>
        <v>0</v>
      </c>
      <c r="N1144">
        <f>IF($E1144=0,0,SUMPRODUCT($AI$8:$DF$8,'Staff Daily sales'!$G1129:$CD1129))</f>
        <v>0</v>
      </c>
      <c r="O1144">
        <f>IF($E1144=0,0,SUMPRODUCT($AI$9:$DF$9,'Staff Daily sales'!$G1129:$CD1129))</f>
        <v>0</v>
      </c>
      <c r="P1144">
        <f>IF($E1144=0,0,SUMPRODUCT($AI$10:$DF$10,'Staff Daily sales'!$G1129:$CD1129))</f>
        <v>0</v>
      </c>
      <c r="Q1144">
        <f>IF($E1144=0,0,SUMPRODUCT($AI$11:$DF$11,'Staff Daily sales'!$G1129:$CD1129))</f>
        <v>0</v>
      </c>
      <c r="R1144">
        <f>IF($E1144=0,0,SUMPRODUCT($AI$12:$DF$12,'Staff Daily sales'!$G1129:$CD1129))</f>
        <v>0</v>
      </c>
      <c r="S1144">
        <f>IF($E1144=0,0,SUMPRODUCT($AI$13:$DF$13,'Staff Daily sales'!$G1129:$CD1129))</f>
        <v>0</v>
      </c>
      <c r="T1144">
        <f>IF($E1144=0,0,SUMPRODUCT($AI$14:$DF$14,'Staff Daily sales'!$G1129:$CD1129))</f>
        <v>0</v>
      </c>
      <c r="U1144">
        <f>IF($E1144=0,0,SUMPRODUCT($AI$15:$DF$15,'Staff Daily sales'!$G1129:$CD1129))</f>
        <v>0</v>
      </c>
      <c r="V1144">
        <f>IF($E1144=0,0,SUMPRODUCT($AI$16:$DF$16,'Staff Daily sales'!$G1129:$CD1129))</f>
        <v>0</v>
      </c>
      <c r="W1144">
        <f t="shared" si="303"/>
        <v>0</v>
      </c>
      <c r="X1144">
        <f t="shared" si="304"/>
        <v>0</v>
      </c>
      <c r="Y1144">
        <f t="shared" si="305"/>
        <v>0</v>
      </c>
      <c r="Z1144">
        <f t="shared" si="306"/>
        <v>0</v>
      </c>
      <c r="AA1144">
        <f t="shared" si="307"/>
        <v>0</v>
      </c>
      <c r="AB1144">
        <f>--AND($E1144=1,OR('Staff Weekly Trend'!$B$3="All",$DH1144='Staff Weekly Trend'!$B$3),OR('Staff Weekly Trend'!$B$4="All",$D1144='Staff Weekly Trend'!$B$4),OR('Staff Weekly Trend'!$B$5="All",$A1144='Staff Weekly Trend'!$B$5))</f>
        <v>0</v>
      </c>
      <c r="AC1144" t="str">
        <f t="shared" si="308"/>
        <v/>
      </c>
      <c r="AI1144">
        <f t="shared" si="309"/>
        <v>0</v>
      </c>
      <c r="AJ1144">
        <f t="shared" si="310"/>
        <v>0</v>
      </c>
      <c r="AK1144">
        <f t="shared" si="311"/>
        <v>0</v>
      </c>
      <c r="AL1144">
        <f t="shared" si="312"/>
        <v>0</v>
      </c>
      <c r="AM1144">
        <f t="shared" si="313"/>
        <v>0</v>
      </c>
      <c r="DH1144" t="str" cm="1">
        <f t="array" ref="DH1144">IF($A1144="","",_xlfn.LET(_xlpm.c,IFERROR(_xlfn.XLOOKUP($A1144,TRIM('Sales and count'!$A$4:$A$300&amp;""),TRIM('Sales and count'!$B$4:$B$300&amp;"")),""),IF(OR(_xlpm.c="",_xlpm.c="0",LEFT(_xlpm.c,1)="#"),"Not set",_xlpm.c)))</f>
        <v/>
      </c>
    </row>
    <row r="1145" spans="1:112" x14ac:dyDescent="0.25">
      <c r="A1145" t="str">
        <f>IF('Staff Daily sales'!$B1130="","",TRIM('Staff Daily sales'!$B1130&amp;""))</f>
        <v/>
      </c>
      <c r="B1145" t="str">
        <f>IF('Staff Daily sales'!$D1130="","",TRIM('Staff Daily sales'!$D1130&amp;""))</f>
        <v/>
      </c>
      <c r="C1145" t="str">
        <f>IFERROR(TRIM('Staff Daily sales'!$E1130&amp;""),"")</f>
        <v/>
      </c>
      <c r="D1145" t="str">
        <f>IFERROR(IF(TRIM('Staff Daily sales'!$F1130&amp;"")="","Unassigned",TRIM('Staff Daily sales'!$F1130&amp;"")),"Unassigned")</f>
        <v>Unassigned</v>
      </c>
      <c r="E1145">
        <f t="shared" si="298"/>
        <v>0</v>
      </c>
      <c r="F1145">
        <f>IF($E1145=0,0,SUMPRODUCT($AI$5:$DF$5,'Staff Daily sales'!$G1130:$CD1130))</f>
        <v>0</v>
      </c>
      <c r="G1145">
        <f>IF($E1145=0,0,SUMPRODUCT($AI$6:$DF$6,'Staff Daily sales'!$G1130:$CD1130))</f>
        <v>0</v>
      </c>
      <c r="H1145">
        <f t="shared" si="299"/>
        <v>0</v>
      </c>
      <c r="I1145">
        <f t="shared" si="300"/>
        <v>0</v>
      </c>
      <c r="J1145">
        <f t="shared" si="301"/>
        <v>0</v>
      </c>
      <c r="K1145">
        <f t="shared" si="302"/>
        <v>0</v>
      </c>
      <c r="L1145">
        <f>--AND($E1145=1,OR('Staff Dashboard'!$B$6="All",$DH1145='Staff Dashboard'!$B$6),OR('Staff Dashboard'!$B$7="All",$D1145='Staff Dashboard'!$B$7),OR('Staff Dashboard'!$B$8="All",$A1145='Staff Dashboard'!$B$8))</f>
        <v>0</v>
      </c>
      <c r="M1145">
        <f>IF($E1145=0,0,SUMPRODUCT($AI$7:$DF$7,'Staff Daily sales'!$G1130:$CD1130))</f>
        <v>0</v>
      </c>
      <c r="N1145">
        <f>IF($E1145=0,0,SUMPRODUCT($AI$8:$DF$8,'Staff Daily sales'!$G1130:$CD1130))</f>
        <v>0</v>
      </c>
      <c r="O1145">
        <f>IF($E1145=0,0,SUMPRODUCT($AI$9:$DF$9,'Staff Daily sales'!$G1130:$CD1130))</f>
        <v>0</v>
      </c>
      <c r="P1145">
        <f>IF($E1145=0,0,SUMPRODUCT($AI$10:$DF$10,'Staff Daily sales'!$G1130:$CD1130))</f>
        <v>0</v>
      </c>
      <c r="Q1145">
        <f>IF($E1145=0,0,SUMPRODUCT($AI$11:$DF$11,'Staff Daily sales'!$G1130:$CD1130))</f>
        <v>0</v>
      </c>
      <c r="R1145">
        <f>IF($E1145=0,0,SUMPRODUCT($AI$12:$DF$12,'Staff Daily sales'!$G1130:$CD1130))</f>
        <v>0</v>
      </c>
      <c r="S1145">
        <f>IF($E1145=0,0,SUMPRODUCT($AI$13:$DF$13,'Staff Daily sales'!$G1130:$CD1130))</f>
        <v>0</v>
      </c>
      <c r="T1145">
        <f>IF($E1145=0,0,SUMPRODUCT($AI$14:$DF$14,'Staff Daily sales'!$G1130:$CD1130))</f>
        <v>0</v>
      </c>
      <c r="U1145">
        <f>IF($E1145=0,0,SUMPRODUCT($AI$15:$DF$15,'Staff Daily sales'!$G1130:$CD1130))</f>
        <v>0</v>
      </c>
      <c r="V1145">
        <f>IF($E1145=0,0,SUMPRODUCT($AI$16:$DF$16,'Staff Daily sales'!$G1130:$CD1130))</f>
        <v>0</v>
      </c>
      <c r="W1145">
        <f t="shared" si="303"/>
        <v>0</v>
      </c>
      <c r="X1145">
        <f t="shared" si="304"/>
        <v>0</v>
      </c>
      <c r="Y1145">
        <f t="shared" si="305"/>
        <v>0</v>
      </c>
      <c r="Z1145">
        <f t="shared" si="306"/>
        <v>0</v>
      </c>
      <c r="AA1145">
        <f t="shared" si="307"/>
        <v>0</v>
      </c>
      <c r="AB1145">
        <f>--AND($E1145=1,OR('Staff Weekly Trend'!$B$3="All",$DH1145='Staff Weekly Trend'!$B$3),OR('Staff Weekly Trend'!$B$4="All",$D1145='Staff Weekly Trend'!$B$4),OR('Staff Weekly Trend'!$B$5="All",$A1145='Staff Weekly Trend'!$B$5))</f>
        <v>0</v>
      </c>
      <c r="AC1145" t="str">
        <f t="shared" si="308"/>
        <v/>
      </c>
      <c r="AI1145">
        <f t="shared" si="309"/>
        <v>0</v>
      </c>
      <c r="AJ1145">
        <f t="shared" si="310"/>
        <v>0</v>
      </c>
      <c r="AK1145">
        <f t="shared" si="311"/>
        <v>0</v>
      </c>
      <c r="AL1145">
        <f t="shared" si="312"/>
        <v>0</v>
      </c>
      <c r="AM1145">
        <f t="shared" si="313"/>
        <v>0</v>
      </c>
      <c r="DH1145" t="str" cm="1">
        <f t="array" ref="DH1145">IF($A1145="","",_xlfn.LET(_xlpm.c,IFERROR(_xlfn.XLOOKUP($A1145,TRIM('Sales and count'!$A$4:$A$300&amp;""),TRIM('Sales and count'!$B$4:$B$300&amp;"")),""),IF(OR(_xlpm.c="",_xlpm.c="0",LEFT(_xlpm.c,1)="#"),"Not set",_xlpm.c)))</f>
        <v/>
      </c>
    </row>
    <row r="1146" spans="1:112" x14ac:dyDescent="0.25">
      <c r="A1146" t="str">
        <f>IF('Staff Daily sales'!$B1131="","",TRIM('Staff Daily sales'!$B1131&amp;""))</f>
        <v/>
      </c>
      <c r="B1146" t="str">
        <f>IF('Staff Daily sales'!$D1131="","",TRIM('Staff Daily sales'!$D1131&amp;""))</f>
        <v/>
      </c>
      <c r="C1146" t="str">
        <f>IFERROR(TRIM('Staff Daily sales'!$E1131&amp;""),"")</f>
        <v/>
      </c>
      <c r="D1146" t="str">
        <f>IFERROR(IF(TRIM('Staff Daily sales'!$F1131&amp;"")="","Unassigned",TRIM('Staff Daily sales'!$F1131&amp;"")),"Unassigned")</f>
        <v>Unassigned</v>
      </c>
      <c r="E1146">
        <f t="shared" si="298"/>
        <v>0</v>
      </c>
      <c r="F1146">
        <f>IF($E1146=0,0,SUMPRODUCT($AI$5:$DF$5,'Staff Daily sales'!$G1131:$CD1131))</f>
        <v>0</v>
      </c>
      <c r="G1146">
        <f>IF($E1146=0,0,SUMPRODUCT($AI$6:$DF$6,'Staff Daily sales'!$G1131:$CD1131))</f>
        <v>0</v>
      </c>
      <c r="H1146">
        <f t="shared" si="299"/>
        <v>0</v>
      </c>
      <c r="I1146">
        <f t="shared" si="300"/>
        <v>0</v>
      </c>
      <c r="J1146">
        <f t="shared" si="301"/>
        <v>0</v>
      </c>
      <c r="K1146">
        <f t="shared" si="302"/>
        <v>0</v>
      </c>
      <c r="L1146">
        <f>--AND($E1146=1,OR('Staff Dashboard'!$B$6="All",$DH1146='Staff Dashboard'!$B$6),OR('Staff Dashboard'!$B$7="All",$D1146='Staff Dashboard'!$B$7),OR('Staff Dashboard'!$B$8="All",$A1146='Staff Dashboard'!$B$8))</f>
        <v>0</v>
      </c>
      <c r="M1146">
        <f>IF($E1146=0,0,SUMPRODUCT($AI$7:$DF$7,'Staff Daily sales'!$G1131:$CD1131))</f>
        <v>0</v>
      </c>
      <c r="N1146">
        <f>IF($E1146=0,0,SUMPRODUCT($AI$8:$DF$8,'Staff Daily sales'!$G1131:$CD1131))</f>
        <v>0</v>
      </c>
      <c r="O1146">
        <f>IF($E1146=0,0,SUMPRODUCT($AI$9:$DF$9,'Staff Daily sales'!$G1131:$CD1131))</f>
        <v>0</v>
      </c>
      <c r="P1146">
        <f>IF($E1146=0,0,SUMPRODUCT($AI$10:$DF$10,'Staff Daily sales'!$G1131:$CD1131))</f>
        <v>0</v>
      </c>
      <c r="Q1146">
        <f>IF($E1146=0,0,SUMPRODUCT($AI$11:$DF$11,'Staff Daily sales'!$G1131:$CD1131))</f>
        <v>0</v>
      </c>
      <c r="R1146">
        <f>IF($E1146=0,0,SUMPRODUCT($AI$12:$DF$12,'Staff Daily sales'!$G1131:$CD1131))</f>
        <v>0</v>
      </c>
      <c r="S1146">
        <f>IF($E1146=0,0,SUMPRODUCT($AI$13:$DF$13,'Staff Daily sales'!$G1131:$CD1131))</f>
        <v>0</v>
      </c>
      <c r="T1146">
        <f>IF($E1146=0,0,SUMPRODUCT($AI$14:$DF$14,'Staff Daily sales'!$G1131:$CD1131))</f>
        <v>0</v>
      </c>
      <c r="U1146">
        <f>IF($E1146=0,0,SUMPRODUCT($AI$15:$DF$15,'Staff Daily sales'!$G1131:$CD1131))</f>
        <v>0</v>
      </c>
      <c r="V1146">
        <f>IF($E1146=0,0,SUMPRODUCT($AI$16:$DF$16,'Staff Daily sales'!$G1131:$CD1131))</f>
        <v>0</v>
      </c>
      <c r="W1146">
        <f t="shared" si="303"/>
        <v>0</v>
      </c>
      <c r="X1146">
        <f t="shared" si="304"/>
        <v>0</v>
      </c>
      <c r="Y1146">
        <f t="shared" si="305"/>
        <v>0</v>
      </c>
      <c r="Z1146">
        <f t="shared" si="306"/>
        <v>0</v>
      </c>
      <c r="AA1146">
        <f t="shared" si="307"/>
        <v>0</v>
      </c>
      <c r="AB1146">
        <f>--AND($E1146=1,OR('Staff Weekly Trend'!$B$3="All",$DH1146='Staff Weekly Trend'!$B$3),OR('Staff Weekly Trend'!$B$4="All",$D1146='Staff Weekly Trend'!$B$4),OR('Staff Weekly Trend'!$B$5="All",$A1146='Staff Weekly Trend'!$B$5))</f>
        <v>0</v>
      </c>
      <c r="AC1146" t="str">
        <f t="shared" si="308"/>
        <v/>
      </c>
      <c r="AI1146">
        <f t="shared" si="309"/>
        <v>0</v>
      </c>
      <c r="AJ1146">
        <f t="shared" si="310"/>
        <v>0</v>
      </c>
      <c r="AK1146">
        <f t="shared" si="311"/>
        <v>0</v>
      </c>
      <c r="AL1146">
        <f t="shared" si="312"/>
        <v>0</v>
      </c>
      <c r="AM1146">
        <f t="shared" si="313"/>
        <v>0</v>
      </c>
      <c r="DH1146" t="str" cm="1">
        <f t="array" ref="DH1146">IF($A1146="","",_xlfn.LET(_xlpm.c,IFERROR(_xlfn.XLOOKUP($A1146,TRIM('Sales and count'!$A$4:$A$300&amp;""),TRIM('Sales and count'!$B$4:$B$300&amp;"")),""),IF(OR(_xlpm.c="",_xlpm.c="0",LEFT(_xlpm.c,1)="#"),"Not set",_xlpm.c)))</f>
        <v/>
      </c>
    </row>
    <row r="1147" spans="1:112" x14ac:dyDescent="0.25">
      <c r="A1147" t="str">
        <f>IF('Staff Daily sales'!$B1132="","",TRIM('Staff Daily sales'!$B1132&amp;""))</f>
        <v/>
      </c>
      <c r="B1147" t="str">
        <f>IF('Staff Daily sales'!$D1132="","",TRIM('Staff Daily sales'!$D1132&amp;""))</f>
        <v/>
      </c>
      <c r="C1147" t="str">
        <f>IFERROR(TRIM('Staff Daily sales'!$E1132&amp;""),"")</f>
        <v/>
      </c>
      <c r="D1147" t="str">
        <f>IFERROR(IF(TRIM('Staff Daily sales'!$F1132&amp;"")="","Unassigned",TRIM('Staff Daily sales'!$F1132&amp;"")),"Unassigned")</f>
        <v>Unassigned</v>
      </c>
      <c r="E1147">
        <f t="shared" si="298"/>
        <v>0</v>
      </c>
      <c r="F1147">
        <f>IF($E1147=0,0,SUMPRODUCT($AI$5:$DF$5,'Staff Daily sales'!$G1132:$CD1132))</f>
        <v>0</v>
      </c>
      <c r="G1147">
        <f>IF($E1147=0,0,SUMPRODUCT($AI$6:$DF$6,'Staff Daily sales'!$G1132:$CD1132))</f>
        <v>0</v>
      </c>
      <c r="H1147">
        <f t="shared" si="299"/>
        <v>0</v>
      </c>
      <c r="I1147">
        <f t="shared" si="300"/>
        <v>0</v>
      </c>
      <c r="J1147">
        <f t="shared" si="301"/>
        <v>0</v>
      </c>
      <c r="K1147">
        <f t="shared" si="302"/>
        <v>0</v>
      </c>
      <c r="L1147">
        <f>--AND($E1147=1,OR('Staff Dashboard'!$B$6="All",$DH1147='Staff Dashboard'!$B$6),OR('Staff Dashboard'!$B$7="All",$D1147='Staff Dashboard'!$B$7),OR('Staff Dashboard'!$B$8="All",$A1147='Staff Dashboard'!$B$8))</f>
        <v>0</v>
      </c>
      <c r="M1147">
        <f>IF($E1147=0,0,SUMPRODUCT($AI$7:$DF$7,'Staff Daily sales'!$G1132:$CD1132))</f>
        <v>0</v>
      </c>
      <c r="N1147">
        <f>IF($E1147=0,0,SUMPRODUCT($AI$8:$DF$8,'Staff Daily sales'!$G1132:$CD1132))</f>
        <v>0</v>
      </c>
      <c r="O1147">
        <f>IF($E1147=0,0,SUMPRODUCT($AI$9:$DF$9,'Staff Daily sales'!$G1132:$CD1132))</f>
        <v>0</v>
      </c>
      <c r="P1147">
        <f>IF($E1147=0,0,SUMPRODUCT($AI$10:$DF$10,'Staff Daily sales'!$G1132:$CD1132))</f>
        <v>0</v>
      </c>
      <c r="Q1147">
        <f>IF($E1147=0,0,SUMPRODUCT($AI$11:$DF$11,'Staff Daily sales'!$G1132:$CD1132))</f>
        <v>0</v>
      </c>
      <c r="R1147">
        <f>IF($E1147=0,0,SUMPRODUCT($AI$12:$DF$12,'Staff Daily sales'!$G1132:$CD1132))</f>
        <v>0</v>
      </c>
      <c r="S1147">
        <f>IF($E1147=0,0,SUMPRODUCT($AI$13:$DF$13,'Staff Daily sales'!$G1132:$CD1132))</f>
        <v>0</v>
      </c>
      <c r="T1147">
        <f>IF($E1147=0,0,SUMPRODUCT($AI$14:$DF$14,'Staff Daily sales'!$G1132:$CD1132))</f>
        <v>0</v>
      </c>
      <c r="U1147">
        <f>IF($E1147=0,0,SUMPRODUCT($AI$15:$DF$15,'Staff Daily sales'!$G1132:$CD1132))</f>
        <v>0</v>
      </c>
      <c r="V1147">
        <f>IF($E1147=0,0,SUMPRODUCT($AI$16:$DF$16,'Staff Daily sales'!$G1132:$CD1132))</f>
        <v>0</v>
      </c>
      <c r="W1147">
        <f t="shared" si="303"/>
        <v>0</v>
      </c>
      <c r="X1147">
        <f t="shared" si="304"/>
        <v>0</v>
      </c>
      <c r="Y1147">
        <f t="shared" si="305"/>
        <v>0</v>
      </c>
      <c r="Z1147">
        <f t="shared" si="306"/>
        <v>0</v>
      </c>
      <c r="AA1147">
        <f t="shared" si="307"/>
        <v>0</v>
      </c>
      <c r="AB1147">
        <f>--AND($E1147=1,OR('Staff Weekly Trend'!$B$3="All",$DH1147='Staff Weekly Trend'!$B$3),OR('Staff Weekly Trend'!$B$4="All",$D1147='Staff Weekly Trend'!$B$4),OR('Staff Weekly Trend'!$B$5="All",$A1147='Staff Weekly Trend'!$B$5))</f>
        <v>0</v>
      </c>
      <c r="AC1147" t="str">
        <f t="shared" si="308"/>
        <v/>
      </c>
      <c r="AI1147">
        <f t="shared" si="309"/>
        <v>0</v>
      </c>
      <c r="AJ1147">
        <f t="shared" si="310"/>
        <v>0</v>
      </c>
      <c r="AK1147">
        <f t="shared" si="311"/>
        <v>0</v>
      </c>
      <c r="AL1147">
        <f t="shared" si="312"/>
        <v>0</v>
      </c>
      <c r="AM1147">
        <f t="shared" si="313"/>
        <v>0</v>
      </c>
      <c r="DH1147" t="str" cm="1">
        <f t="array" ref="DH1147">IF($A1147="","",_xlfn.LET(_xlpm.c,IFERROR(_xlfn.XLOOKUP($A1147,TRIM('Sales and count'!$A$4:$A$300&amp;""),TRIM('Sales and count'!$B$4:$B$300&amp;"")),""),IF(OR(_xlpm.c="",_xlpm.c="0",LEFT(_xlpm.c,1)="#"),"Not set",_xlpm.c)))</f>
        <v/>
      </c>
    </row>
    <row r="1148" spans="1:112" x14ac:dyDescent="0.25">
      <c r="A1148" t="str">
        <f>IF('Staff Daily sales'!$B1133="","",TRIM('Staff Daily sales'!$B1133&amp;""))</f>
        <v/>
      </c>
      <c r="B1148" t="str">
        <f>IF('Staff Daily sales'!$D1133="","",TRIM('Staff Daily sales'!$D1133&amp;""))</f>
        <v/>
      </c>
      <c r="C1148" t="str">
        <f>IFERROR(TRIM('Staff Daily sales'!$E1133&amp;""),"")</f>
        <v/>
      </c>
      <c r="D1148" t="str">
        <f>IFERROR(IF(TRIM('Staff Daily sales'!$F1133&amp;"")="","Unassigned",TRIM('Staff Daily sales'!$F1133&amp;"")),"Unassigned")</f>
        <v>Unassigned</v>
      </c>
      <c r="E1148">
        <f t="shared" si="298"/>
        <v>0</v>
      </c>
      <c r="F1148">
        <f>IF($E1148=0,0,SUMPRODUCT($AI$5:$DF$5,'Staff Daily sales'!$G1133:$CD1133))</f>
        <v>0</v>
      </c>
      <c r="G1148">
        <f>IF($E1148=0,0,SUMPRODUCT($AI$6:$DF$6,'Staff Daily sales'!$G1133:$CD1133))</f>
        <v>0</v>
      </c>
      <c r="H1148">
        <f t="shared" si="299"/>
        <v>0</v>
      </c>
      <c r="I1148">
        <f t="shared" si="300"/>
        <v>0</v>
      </c>
      <c r="J1148">
        <f t="shared" si="301"/>
        <v>0</v>
      </c>
      <c r="K1148">
        <f t="shared" si="302"/>
        <v>0</v>
      </c>
      <c r="L1148">
        <f>--AND($E1148=1,OR('Staff Dashboard'!$B$6="All",$DH1148='Staff Dashboard'!$B$6),OR('Staff Dashboard'!$B$7="All",$D1148='Staff Dashboard'!$B$7),OR('Staff Dashboard'!$B$8="All",$A1148='Staff Dashboard'!$B$8))</f>
        <v>0</v>
      </c>
      <c r="M1148">
        <f>IF($E1148=0,0,SUMPRODUCT($AI$7:$DF$7,'Staff Daily sales'!$G1133:$CD1133))</f>
        <v>0</v>
      </c>
      <c r="N1148">
        <f>IF($E1148=0,0,SUMPRODUCT($AI$8:$DF$8,'Staff Daily sales'!$G1133:$CD1133))</f>
        <v>0</v>
      </c>
      <c r="O1148">
        <f>IF($E1148=0,0,SUMPRODUCT($AI$9:$DF$9,'Staff Daily sales'!$G1133:$CD1133))</f>
        <v>0</v>
      </c>
      <c r="P1148">
        <f>IF($E1148=0,0,SUMPRODUCT($AI$10:$DF$10,'Staff Daily sales'!$G1133:$CD1133))</f>
        <v>0</v>
      </c>
      <c r="Q1148">
        <f>IF($E1148=0,0,SUMPRODUCT($AI$11:$DF$11,'Staff Daily sales'!$G1133:$CD1133))</f>
        <v>0</v>
      </c>
      <c r="R1148">
        <f>IF($E1148=0,0,SUMPRODUCT($AI$12:$DF$12,'Staff Daily sales'!$G1133:$CD1133))</f>
        <v>0</v>
      </c>
      <c r="S1148">
        <f>IF($E1148=0,0,SUMPRODUCT($AI$13:$DF$13,'Staff Daily sales'!$G1133:$CD1133))</f>
        <v>0</v>
      </c>
      <c r="T1148">
        <f>IF($E1148=0,0,SUMPRODUCT($AI$14:$DF$14,'Staff Daily sales'!$G1133:$CD1133))</f>
        <v>0</v>
      </c>
      <c r="U1148">
        <f>IF($E1148=0,0,SUMPRODUCT($AI$15:$DF$15,'Staff Daily sales'!$G1133:$CD1133))</f>
        <v>0</v>
      </c>
      <c r="V1148">
        <f>IF($E1148=0,0,SUMPRODUCT($AI$16:$DF$16,'Staff Daily sales'!$G1133:$CD1133))</f>
        <v>0</v>
      </c>
      <c r="W1148">
        <f t="shared" si="303"/>
        <v>0</v>
      </c>
      <c r="X1148">
        <f t="shared" si="304"/>
        <v>0</v>
      </c>
      <c r="Y1148">
        <f t="shared" si="305"/>
        <v>0</v>
      </c>
      <c r="Z1148">
        <f t="shared" si="306"/>
        <v>0</v>
      </c>
      <c r="AA1148">
        <f t="shared" si="307"/>
        <v>0</v>
      </c>
      <c r="AB1148">
        <f>--AND($E1148=1,OR('Staff Weekly Trend'!$B$3="All",$DH1148='Staff Weekly Trend'!$B$3),OR('Staff Weekly Trend'!$B$4="All",$D1148='Staff Weekly Trend'!$B$4),OR('Staff Weekly Trend'!$B$5="All",$A1148='Staff Weekly Trend'!$B$5))</f>
        <v>0</v>
      </c>
      <c r="AC1148" t="str">
        <f t="shared" si="308"/>
        <v/>
      </c>
      <c r="AI1148">
        <f t="shared" si="309"/>
        <v>0</v>
      </c>
      <c r="AJ1148">
        <f t="shared" si="310"/>
        <v>0</v>
      </c>
      <c r="AK1148">
        <f t="shared" si="311"/>
        <v>0</v>
      </c>
      <c r="AL1148">
        <f t="shared" si="312"/>
        <v>0</v>
      </c>
      <c r="AM1148">
        <f t="shared" si="313"/>
        <v>0</v>
      </c>
      <c r="DH1148" t="str" cm="1">
        <f t="array" ref="DH1148">IF($A1148="","",_xlfn.LET(_xlpm.c,IFERROR(_xlfn.XLOOKUP($A1148,TRIM('Sales and count'!$A$4:$A$300&amp;""),TRIM('Sales and count'!$B$4:$B$300&amp;"")),""),IF(OR(_xlpm.c="",_xlpm.c="0",LEFT(_xlpm.c,1)="#"),"Not set",_xlpm.c)))</f>
        <v/>
      </c>
    </row>
    <row r="1149" spans="1:112" x14ac:dyDescent="0.25">
      <c r="A1149" t="str">
        <f>IF('Staff Daily sales'!$B1134="","",TRIM('Staff Daily sales'!$B1134&amp;""))</f>
        <v/>
      </c>
      <c r="B1149" t="str">
        <f>IF('Staff Daily sales'!$D1134="","",TRIM('Staff Daily sales'!$D1134&amp;""))</f>
        <v/>
      </c>
      <c r="C1149" t="str">
        <f>IFERROR(TRIM('Staff Daily sales'!$E1134&amp;""),"")</f>
        <v/>
      </c>
      <c r="D1149" t="str">
        <f>IFERROR(IF(TRIM('Staff Daily sales'!$F1134&amp;"")="","Unassigned",TRIM('Staff Daily sales'!$F1134&amp;"")),"Unassigned")</f>
        <v>Unassigned</v>
      </c>
      <c r="E1149">
        <f t="shared" si="298"/>
        <v>0</v>
      </c>
      <c r="F1149">
        <f>IF($E1149=0,0,SUMPRODUCT($AI$5:$DF$5,'Staff Daily sales'!$G1134:$CD1134))</f>
        <v>0</v>
      </c>
      <c r="G1149">
        <f>IF($E1149=0,0,SUMPRODUCT($AI$6:$DF$6,'Staff Daily sales'!$G1134:$CD1134))</f>
        <v>0</v>
      </c>
      <c r="H1149">
        <f t="shared" si="299"/>
        <v>0</v>
      </c>
      <c r="I1149">
        <f t="shared" si="300"/>
        <v>0</v>
      </c>
      <c r="J1149">
        <f t="shared" si="301"/>
        <v>0</v>
      </c>
      <c r="K1149">
        <f t="shared" si="302"/>
        <v>0</v>
      </c>
      <c r="L1149">
        <f>--AND($E1149=1,OR('Staff Dashboard'!$B$6="All",$DH1149='Staff Dashboard'!$B$6),OR('Staff Dashboard'!$B$7="All",$D1149='Staff Dashboard'!$B$7),OR('Staff Dashboard'!$B$8="All",$A1149='Staff Dashboard'!$B$8))</f>
        <v>0</v>
      </c>
      <c r="M1149">
        <f>IF($E1149=0,0,SUMPRODUCT($AI$7:$DF$7,'Staff Daily sales'!$G1134:$CD1134))</f>
        <v>0</v>
      </c>
      <c r="N1149">
        <f>IF($E1149=0,0,SUMPRODUCT($AI$8:$DF$8,'Staff Daily sales'!$G1134:$CD1134))</f>
        <v>0</v>
      </c>
      <c r="O1149">
        <f>IF($E1149=0,0,SUMPRODUCT($AI$9:$DF$9,'Staff Daily sales'!$G1134:$CD1134))</f>
        <v>0</v>
      </c>
      <c r="P1149">
        <f>IF($E1149=0,0,SUMPRODUCT($AI$10:$DF$10,'Staff Daily sales'!$G1134:$CD1134))</f>
        <v>0</v>
      </c>
      <c r="Q1149">
        <f>IF($E1149=0,0,SUMPRODUCT($AI$11:$DF$11,'Staff Daily sales'!$G1134:$CD1134))</f>
        <v>0</v>
      </c>
      <c r="R1149">
        <f>IF($E1149=0,0,SUMPRODUCT($AI$12:$DF$12,'Staff Daily sales'!$G1134:$CD1134))</f>
        <v>0</v>
      </c>
      <c r="S1149">
        <f>IF($E1149=0,0,SUMPRODUCT($AI$13:$DF$13,'Staff Daily sales'!$G1134:$CD1134))</f>
        <v>0</v>
      </c>
      <c r="T1149">
        <f>IF($E1149=0,0,SUMPRODUCT($AI$14:$DF$14,'Staff Daily sales'!$G1134:$CD1134))</f>
        <v>0</v>
      </c>
      <c r="U1149">
        <f>IF($E1149=0,0,SUMPRODUCT($AI$15:$DF$15,'Staff Daily sales'!$G1134:$CD1134))</f>
        <v>0</v>
      </c>
      <c r="V1149">
        <f>IF($E1149=0,0,SUMPRODUCT($AI$16:$DF$16,'Staff Daily sales'!$G1134:$CD1134))</f>
        <v>0</v>
      </c>
      <c r="W1149">
        <f t="shared" si="303"/>
        <v>0</v>
      </c>
      <c r="X1149">
        <f t="shared" si="304"/>
        <v>0</v>
      </c>
      <c r="Y1149">
        <f t="shared" si="305"/>
        <v>0</v>
      </c>
      <c r="Z1149">
        <f t="shared" si="306"/>
        <v>0</v>
      </c>
      <c r="AA1149">
        <f t="shared" si="307"/>
        <v>0</v>
      </c>
      <c r="AB1149">
        <f>--AND($E1149=1,OR('Staff Weekly Trend'!$B$3="All",$DH1149='Staff Weekly Trend'!$B$3),OR('Staff Weekly Trend'!$B$4="All",$D1149='Staff Weekly Trend'!$B$4),OR('Staff Weekly Trend'!$B$5="All",$A1149='Staff Weekly Trend'!$B$5))</f>
        <v>0</v>
      </c>
      <c r="AC1149" t="str">
        <f t="shared" si="308"/>
        <v/>
      </c>
      <c r="AI1149">
        <f t="shared" si="309"/>
        <v>0</v>
      </c>
      <c r="AJ1149">
        <f t="shared" si="310"/>
        <v>0</v>
      </c>
      <c r="AK1149">
        <f t="shared" si="311"/>
        <v>0</v>
      </c>
      <c r="AL1149">
        <f t="shared" si="312"/>
        <v>0</v>
      </c>
      <c r="AM1149">
        <f t="shared" si="313"/>
        <v>0</v>
      </c>
      <c r="DH1149" t="str" cm="1">
        <f t="array" ref="DH1149">IF($A1149="","",_xlfn.LET(_xlpm.c,IFERROR(_xlfn.XLOOKUP($A1149,TRIM('Sales and count'!$A$4:$A$300&amp;""),TRIM('Sales and count'!$B$4:$B$300&amp;"")),""),IF(OR(_xlpm.c="",_xlpm.c="0",LEFT(_xlpm.c,1)="#"),"Not set",_xlpm.c)))</f>
        <v/>
      </c>
    </row>
    <row r="1150" spans="1:112" x14ac:dyDescent="0.25">
      <c r="A1150" t="str">
        <f>IF('Staff Daily sales'!$B1135="","",TRIM('Staff Daily sales'!$B1135&amp;""))</f>
        <v/>
      </c>
      <c r="B1150" t="str">
        <f>IF('Staff Daily sales'!$D1135="","",TRIM('Staff Daily sales'!$D1135&amp;""))</f>
        <v/>
      </c>
      <c r="C1150" t="str">
        <f>IFERROR(TRIM('Staff Daily sales'!$E1135&amp;""),"")</f>
        <v/>
      </c>
      <c r="D1150" t="str">
        <f>IFERROR(IF(TRIM('Staff Daily sales'!$F1135&amp;"")="","Unassigned",TRIM('Staff Daily sales'!$F1135&amp;"")),"Unassigned")</f>
        <v>Unassigned</v>
      </c>
      <c r="E1150">
        <f t="shared" si="298"/>
        <v>0</v>
      </c>
      <c r="F1150">
        <f>IF($E1150=0,0,SUMPRODUCT($AI$5:$DF$5,'Staff Daily sales'!$G1135:$CD1135))</f>
        <v>0</v>
      </c>
      <c r="G1150">
        <f>IF($E1150=0,0,SUMPRODUCT($AI$6:$DF$6,'Staff Daily sales'!$G1135:$CD1135))</f>
        <v>0</v>
      </c>
      <c r="H1150">
        <f t="shared" si="299"/>
        <v>0</v>
      </c>
      <c r="I1150">
        <f t="shared" si="300"/>
        <v>0</v>
      </c>
      <c r="J1150">
        <f t="shared" si="301"/>
        <v>0</v>
      </c>
      <c r="K1150">
        <f t="shared" si="302"/>
        <v>0</v>
      </c>
      <c r="L1150">
        <f>--AND($E1150=1,OR('Staff Dashboard'!$B$6="All",$DH1150='Staff Dashboard'!$B$6),OR('Staff Dashboard'!$B$7="All",$D1150='Staff Dashboard'!$B$7),OR('Staff Dashboard'!$B$8="All",$A1150='Staff Dashboard'!$B$8))</f>
        <v>0</v>
      </c>
      <c r="M1150">
        <f>IF($E1150=0,0,SUMPRODUCT($AI$7:$DF$7,'Staff Daily sales'!$G1135:$CD1135))</f>
        <v>0</v>
      </c>
      <c r="N1150">
        <f>IF($E1150=0,0,SUMPRODUCT($AI$8:$DF$8,'Staff Daily sales'!$G1135:$CD1135))</f>
        <v>0</v>
      </c>
      <c r="O1150">
        <f>IF($E1150=0,0,SUMPRODUCT($AI$9:$DF$9,'Staff Daily sales'!$G1135:$CD1135))</f>
        <v>0</v>
      </c>
      <c r="P1150">
        <f>IF($E1150=0,0,SUMPRODUCT($AI$10:$DF$10,'Staff Daily sales'!$G1135:$CD1135))</f>
        <v>0</v>
      </c>
      <c r="Q1150">
        <f>IF($E1150=0,0,SUMPRODUCT($AI$11:$DF$11,'Staff Daily sales'!$G1135:$CD1135))</f>
        <v>0</v>
      </c>
      <c r="R1150">
        <f>IF($E1150=0,0,SUMPRODUCT($AI$12:$DF$12,'Staff Daily sales'!$G1135:$CD1135))</f>
        <v>0</v>
      </c>
      <c r="S1150">
        <f>IF($E1150=0,0,SUMPRODUCT($AI$13:$DF$13,'Staff Daily sales'!$G1135:$CD1135))</f>
        <v>0</v>
      </c>
      <c r="T1150">
        <f>IF($E1150=0,0,SUMPRODUCT($AI$14:$DF$14,'Staff Daily sales'!$G1135:$CD1135))</f>
        <v>0</v>
      </c>
      <c r="U1150">
        <f>IF($E1150=0,0,SUMPRODUCT($AI$15:$DF$15,'Staff Daily sales'!$G1135:$CD1135))</f>
        <v>0</v>
      </c>
      <c r="V1150">
        <f>IF($E1150=0,0,SUMPRODUCT($AI$16:$DF$16,'Staff Daily sales'!$G1135:$CD1135))</f>
        <v>0</v>
      </c>
      <c r="W1150">
        <f t="shared" si="303"/>
        <v>0</v>
      </c>
      <c r="X1150">
        <f t="shared" si="304"/>
        <v>0</v>
      </c>
      <c r="Y1150">
        <f t="shared" si="305"/>
        <v>0</v>
      </c>
      <c r="Z1150">
        <f t="shared" si="306"/>
        <v>0</v>
      </c>
      <c r="AA1150">
        <f t="shared" si="307"/>
        <v>0</v>
      </c>
      <c r="AB1150">
        <f>--AND($E1150=1,OR('Staff Weekly Trend'!$B$3="All",$DH1150='Staff Weekly Trend'!$B$3),OR('Staff Weekly Trend'!$B$4="All",$D1150='Staff Weekly Trend'!$B$4),OR('Staff Weekly Trend'!$B$5="All",$A1150='Staff Weekly Trend'!$B$5))</f>
        <v>0</v>
      </c>
      <c r="AC1150" t="str">
        <f t="shared" si="308"/>
        <v/>
      </c>
      <c r="AI1150">
        <f t="shared" si="309"/>
        <v>0</v>
      </c>
      <c r="AJ1150">
        <f t="shared" si="310"/>
        <v>0</v>
      </c>
      <c r="AK1150">
        <f t="shared" si="311"/>
        <v>0</v>
      </c>
      <c r="AL1150">
        <f t="shared" si="312"/>
        <v>0</v>
      </c>
      <c r="AM1150">
        <f t="shared" si="313"/>
        <v>0</v>
      </c>
      <c r="DH1150" t="str" cm="1">
        <f t="array" ref="DH1150">IF($A1150="","",_xlfn.LET(_xlpm.c,IFERROR(_xlfn.XLOOKUP($A1150,TRIM('Sales and count'!$A$4:$A$300&amp;""),TRIM('Sales and count'!$B$4:$B$300&amp;"")),""),IF(OR(_xlpm.c="",_xlpm.c="0",LEFT(_xlpm.c,1)="#"),"Not set",_xlpm.c)))</f>
        <v/>
      </c>
    </row>
    <row r="1151" spans="1:112" x14ac:dyDescent="0.25">
      <c r="A1151" t="str">
        <f>IF('Staff Daily sales'!$B1136="","",TRIM('Staff Daily sales'!$B1136&amp;""))</f>
        <v/>
      </c>
      <c r="B1151" t="str">
        <f>IF('Staff Daily sales'!$D1136="","",TRIM('Staff Daily sales'!$D1136&amp;""))</f>
        <v/>
      </c>
      <c r="C1151" t="str">
        <f>IFERROR(TRIM('Staff Daily sales'!$E1136&amp;""),"")</f>
        <v/>
      </c>
      <c r="D1151" t="str">
        <f>IFERROR(IF(TRIM('Staff Daily sales'!$F1136&amp;"")="","Unassigned",TRIM('Staff Daily sales'!$F1136&amp;"")),"Unassigned")</f>
        <v>Unassigned</v>
      </c>
      <c r="E1151">
        <f t="shared" si="298"/>
        <v>0</v>
      </c>
      <c r="F1151">
        <f>IF($E1151=0,0,SUMPRODUCT($AI$5:$DF$5,'Staff Daily sales'!$G1136:$CD1136))</f>
        <v>0</v>
      </c>
      <c r="G1151">
        <f>IF($E1151=0,0,SUMPRODUCT($AI$6:$DF$6,'Staff Daily sales'!$G1136:$CD1136))</f>
        <v>0</v>
      </c>
      <c r="H1151">
        <f t="shared" si="299"/>
        <v>0</v>
      </c>
      <c r="I1151">
        <f t="shared" si="300"/>
        <v>0</v>
      </c>
      <c r="J1151">
        <f t="shared" si="301"/>
        <v>0</v>
      </c>
      <c r="K1151">
        <f t="shared" si="302"/>
        <v>0</v>
      </c>
      <c r="L1151">
        <f>--AND($E1151=1,OR('Staff Dashboard'!$B$6="All",$DH1151='Staff Dashboard'!$B$6),OR('Staff Dashboard'!$B$7="All",$D1151='Staff Dashboard'!$B$7),OR('Staff Dashboard'!$B$8="All",$A1151='Staff Dashboard'!$B$8))</f>
        <v>0</v>
      </c>
      <c r="M1151">
        <f>IF($E1151=0,0,SUMPRODUCT($AI$7:$DF$7,'Staff Daily sales'!$G1136:$CD1136))</f>
        <v>0</v>
      </c>
      <c r="N1151">
        <f>IF($E1151=0,0,SUMPRODUCT($AI$8:$DF$8,'Staff Daily sales'!$G1136:$CD1136))</f>
        <v>0</v>
      </c>
      <c r="O1151">
        <f>IF($E1151=0,0,SUMPRODUCT($AI$9:$DF$9,'Staff Daily sales'!$G1136:$CD1136))</f>
        <v>0</v>
      </c>
      <c r="P1151">
        <f>IF($E1151=0,0,SUMPRODUCT($AI$10:$DF$10,'Staff Daily sales'!$G1136:$CD1136))</f>
        <v>0</v>
      </c>
      <c r="Q1151">
        <f>IF($E1151=0,0,SUMPRODUCT($AI$11:$DF$11,'Staff Daily sales'!$G1136:$CD1136))</f>
        <v>0</v>
      </c>
      <c r="R1151">
        <f>IF($E1151=0,0,SUMPRODUCT($AI$12:$DF$12,'Staff Daily sales'!$G1136:$CD1136))</f>
        <v>0</v>
      </c>
      <c r="S1151">
        <f>IF($E1151=0,0,SUMPRODUCT($AI$13:$DF$13,'Staff Daily sales'!$G1136:$CD1136))</f>
        <v>0</v>
      </c>
      <c r="T1151">
        <f>IF($E1151=0,0,SUMPRODUCT($AI$14:$DF$14,'Staff Daily sales'!$G1136:$CD1136))</f>
        <v>0</v>
      </c>
      <c r="U1151">
        <f>IF($E1151=0,0,SUMPRODUCT($AI$15:$DF$15,'Staff Daily sales'!$G1136:$CD1136))</f>
        <v>0</v>
      </c>
      <c r="V1151">
        <f>IF($E1151=0,0,SUMPRODUCT($AI$16:$DF$16,'Staff Daily sales'!$G1136:$CD1136))</f>
        <v>0</v>
      </c>
      <c r="W1151">
        <f t="shared" si="303"/>
        <v>0</v>
      </c>
      <c r="X1151">
        <f t="shared" si="304"/>
        <v>0</v>
      </c>
      <c r="Y1151">
        <f t="shared" si="305"/>
        <v>0</v>
      </c>
      <c r="Z1151">
        <f t="shared" si="306"/>
        <v>0</v>
      </c>
      <c r="AA1151">
        <f t="shared" si="307"/>
        <v>0</v>
      </c>
      <c r="AB1151">
        <f>--AND($E1151=1,OR('Staff Weekly Trend'!$B$3="All",$DH1151='Staff Weekly Trend'!$B$3),OR('Staff Weekly Trend'!$B$4="All",$D1151='Staff Weekly Trend'!$B$4),OR('Staff Weekly Trend'!$B$5="All",$A1151='Staff Weekly Trend'!$B$5))</f>
        <v>0</v>
      </c>
      <c r="AC1151" t="str">
        <f t="shared" si="308"/>
        <v/>
      </c>
      <c r="AI1151">
        <f t="shared" si="309"/>
        <v>0</v>
      </c>
      <c r="AJ1151">
        <f t="shared" si="310"/>
        <v>0</v>
      </c>
      <c r="AK1151">
        <f t="shared" si="311"/>
        <v>0</v>
      </c>
      <c r="AL1151">
        <f t="shared" si="312"/>
        <v>0</v>
      </c>
      <c r="AM1151">
        <f t="shared" si="313"/>
        <v>0</v>
      </c>
      <c r="DH1151" t="str" cm="1">
        <f t="array" ref="DH1151">IF($A1151="","",_xlfn.LET(_xlpm.c,IFERROR(_xlfn.XLOOKUP($A1151,TRIM('Sales and count'!$A$4:$A$300&amp;""),TRIM('Sales and count'!$B$4:$B$300&amp;"")),""),IF(OR(_xlpm.c="",_xlpm.c="0",LEFT(_xlpm.c,1)="#"),"Not set",_xlpm.c)))</f>
        <v/>
      </c>
    </row>
    <row r="1152" spans="1:112" x14ac:dyDescent="0.25">
      <c r="A1152" t="str">
        <f>IF('Staff Daily sales'!$B1137="","",TRIM('Staff Daily sales'!$B1137&amp;""))</f>
        <v/>
      </c>
      <c r="B1152" t="str">
        <f>IF('Staff Daily sales'!$D1137="","",TRIM('Staff Daily sales'!$D1137&amp;""))</f>
        <v/>
      </c>
      <c r="C1152" t="str">
        <f>IFERROR(TRIM('Staff Daily sales'!$E1137&amp;""),"")</f>
        <v/>
      </c>
      <c r="D1152" t="str">
        <f>IFERROR(IF(TRIM('Staff Daily sales'!$F1137&amp;"")="","Unassigned",TRIM('Staff Daily sales'!$F1137&amp;"")),"Unassigned")</f>
        <v>Unassigned</v>
      </c>
      <c r="E1152">
        <f t="shared" si="298"/>
        <v>0</v>
      </c>
      <c r="F1152">
        <f>IF($E1152=0,0,SUMPRODUCT($AI$5:$DF$5,'Staff Daily sales'!$G1137:$CD1137))</f>
        <v>0</v>
      </c>
      <c r="G1152">
        <f>IF($E1152=0,0,SUMPRODUCT($AI$6:$DF$6,'Staff Daily sales'!$G1137:$CD1137))</f>
        <v>0</v>
      </c>
      <c r="H1152">
        <f t="shared" si="299"/>
        <v>0</v>
      </c>
      <c r="I1152">
        <f t="shared" si="300"/>
        <v>0</v>
      </c>
      <c r="J1152">
        <f t="shared" si="301"/>
        <v>0</v>
      </c>
      <c r="K1152">
        <f t="shared" si="302"/>
        <v>0</v>
      </c>
      <c r="L1152">
        <f>--AND($E1152=1,OR('Staff Dashboard'!$B$6="All",$DH1152='Staff Dashboard'!$B$6),OR('Staff Dashboard'!$B$7="All",$D1152='Staff Dashboard'!$B$7),OR('Staff Dashboard'!$B$8="All",$A1152='Staff Dashboard'!$B$8))</f>
        <v>0</v>
      </c>
      <c r="M1152">
        <f>IF($E1152=0,0,SUMPRODUCT($AI$7:$DF$7,'Staff Daily sales'!$G1137:$CD1137))</f>
        <v>0</v>
      </c>
      <c r="N1152">
        <f>IF($E1152=0,0,SUMPRODUCT($AI$8:$DF$8,'Staff Daily sales'!$G1137:$CD1137))</f>
        <v>0</v>
      </c>
      <c r="O1152">
        <f>IF($E1152=0,0,SUMPRODUCT($AI$9:$DF$9,'Staff Daily sales'!$G1137:$CD1137))</f>
        <v>0</v>
      </c>
      <c r="P1152">
        <f>IF($E1152=0,0,SUMPRODUCT($AI$10:$DF$10,'Staff Daily sales'!$G1137:$CD1137))</f>
        <v>0</v>
      </c>
      <c r="Q1152">
        <f>IF($E1152=0,0,SUMPRODUCT($AI$11:$DF$11,'Staff Daily sales'!$G1137:$CD1137))</f>
        <v>0</v>
      </c>
      <c r="R1152">
        <f>IF($E1152=0,0,SUMPRODUCT($AI$12:$DF$12,'Staff Daily sales'!$G1137:$CD1137))</f>
        <v>0</v>
      </c>
      <c r="S1152">
        <f>IF($E1152=0,0,SUMPRODUCT($AI$13:$DF$13,'Staff Daily sales'!$G1137:$CD1137))</f>
        <v>0</v>
      </c>
      <c r="T1152">
        <f>IF($E1152=0,0,SUMPRODUCT($AI$14:$DF$14,'Staff Daily sales'!$G1137:$CD1137))</f>
        <v>0</v>
      </c>
      <c r="U1152">
        <f>IF($E1152=0,0,SUMPRODUCT($AI$15:$DF$15,'Staff Daily sales'!$G1137:$CD1137))</f>
        <v>0</v>
      </c>
      <c r="V1152">
        <f>IF($E1152=0,0,SUMPRODUCT($AI$16:$DF$16,'Staff Daily sales'!$G1137:$CD1137))</f>
        <v>0</v>
      </c>
      <c r="W1152">
        <f t="shared" si="303"/>
        <v>0</v>
      </c>
      <c r="X1152">
        <f t="shared" si="304"/>
        <v>0</v>
      </c>
      <c r="Y1152">
        <f t="shared" si="305"/>
        <v>0</v>
      </c>
      <c r="Z1152">
        <f t="shared" si="306"/>
        <v>0</v>
      </c>
      <c r="AA1152">
        <f t="shared" si="307"/>
        <v>0</v>
      </c>
      <c r="AB1152">
        <f>--AND($E1152=1,OR('Staff Weekly Trend'!$B$3="All",$DH1152='Staff Weekly Trend'!$B$3),OR('Staff Weekly Trend'!$B$4="All",$D1152='Staff Weekly Trend'!$B$4),OR('Staff Weekly Trend'!$B$5="All",$A1152='Staff Weekly Trend'!$B$5))</f>
        <v>0</v>
      </c>
      <c r="AC1152" t="str">
        <f t="shared" si="308"/>
        <v/>
      </c>
      <c r="AI1152">
        <f t="shared" si="309"/>
        <v>0</v>
      </c>
      <c r="AJ1152">
        <f t="shared" si="310"/>
        <v>0</v>
      </c>
      <c r="AK1152">
        <f t="shared" si="311"/>
        <v>0</v>
      </c>
      <c r="AL1152">
        <f t="shared" si="312"/>
        <v>0</v>
      </c>
      <c r="AM1152">
        <f t="shared" si="313"/>
        <v>0</v>
      </c>
      <c r="DH1152" t="str" cm="1">
        <f t="array" ref="DH1152">IF($A1152="","",_xlfn.LET(_xlpm.c,IFERROR(_xlfn.XLOOKUP($A1152,TRIM('Sales and count'!$A$4:$A$300&amp;""),TRIM('Sales and count'!$B$4:$B$300&amp;"")),""),IF(OR(_xlpm.c="",_xlpm.c="0",LEFT(_xlpm.c,1)="#"),"Not set",_xlpm.c)))</f>
        <v/>
      </c>
    </row>
    <row r="1153" spans="1:112" x14ac:dyDescent="0.25">
      <c r="A1153" t="str">
        <f>IF('Staff Daily sales'!$B1138="","",TRIM('Staff Daily sales'!$B1138&amp;""))</f>
        <v/>
      </c>
      <c r="B1153" t="str">
        <f>IF('Staff Daily sales'!$D1138="","",TRIM('Staff Daily sales'!$D1138&amp;""))</f>
        <v/>
      </c>
      <c r="C1153" t="str">
        <f>IFERROR(TRIM('Staff Daily sales'!$E1138&amp;""),"")</f>
        <v/>
      </c>
      <c r="D1153" t="str">
        <f>IFERROR(IF(TRIM('Staff Daily sales'!$F1138&amp;"")="","Unassigned",TRIM('Staff Daily sales'!$F1138&amp;"")),"Unassigned")</f>
        <v>Unassigned</v>
      </c>
      <c r="E1153">
        <f t="shared" si="298"/>
        <v>0</v>
      </c>
      <c r="F1153">
        <f>IF($E1153=0,0,SUMPRODUCT($AI$5:$DF$5,'Staff Daily sales'!$G1138:$CD1138))</f>
        <v>0</v>
      </c>
      <c r="G1153">
        <f>IF($E1153=0,0,SUMPRODUCT($AI$6:$DF$6,'Staff Daily sales'!$G1138:$CD1138))</f>
        <v>0</v>
      </c>
      <c r="H1153">
        <f t="shared" si="299"/>
        <v>0</v>
      </c>
      <c r="I1153">
        <f t="shared" si="300"/>
        <v>0</v>
      </c>
      <c r="J1153">
        <f t="shared" si="301"/>
        <v>0</v>
      </c>
      <c r="K1153">
        <f t="shared" si="302"/>
        <v>0</v>
      </c>
      <c r="L1153">
        <f>--AND($E1153=1,OR('Staff Dashboard'!$B$6="All",$DH1153='Staff Dashboard'!$B$6),OR('Staff Dashboard'!$B$7="All",$D1153='Staff Dashboard'!$B$7),OR('Staff Dashboard'!$B$8="All",$A1153='Staff Dashboard'!$B$8))</f>
        <v>0</v>
      </c>
      <c r="M1153">
        <f>IF($E1153=0,0,SUMPRODUCT($AI$7:$DF$7,'Staff Daily sales'!$G1138:$CD1138))</f>
        <v>0</v>
      </c>
      <c r="N1153">
        <f>IF($E1153=0,0,SUMPRODUCT($AI$8:$DF$8,'Staff Daily sales'!$G1138:$CD1138))</f>
        <v>0</v>
      </c>
      <c r="O1153">
        <f>IF($E1153=0,0,SUMPRODUCT($AI$9:$DF$9,'Staff Daily sales'!$G1138:$CD1138))</f>
        <v>0</v>
      </c>
      <c r="P1153">
        <f>IF($E1153=0,0,SUMPRODUCT($AI$10:$DF$10,'Staff Daily sales'!$G1138:$CD1138))</f>
        <v>0</v>
      </c>
      <c r="Q1153">
        <f>IF($E1153=0,0,SUMPRODUCT($AI$11:$DF$11,'Staff Daily sales'!$G1138:$CD1138))</f>
        <v>0</v>
      </c>
      <c r="R1153">
        <f>IF($E1153=0,0,SUMPRODUCT($AI$12:$DF$12,'Staff Daily sales'!$G1138:$CD1138))</f>
        <v>0</v>
      </c>
      <c r="S1153">
        <f>IF($E1153=0,0,SUMPRODUCT($AI$13:$DF$13,'Staff Daily sales'!$G1138:$CD1138))</f>
        <v>0</v>
      </c>
      <c r="T1153">
        <f>IF($E1153=0,0,SUMPRODUCT($AI$14:$DF$14,'Staff Daily sales'!$G1138:$CD1138))</f>
        <v>0</v>
      </c>
      <c r="U1153">
        <f>IF($E1153=0,0,SUMPRODUCT($AI$15:$DF$15,'Staff Daily sales'!$G1138:$CD1138))</f>
        <v>0</v>
      </c>
      <c r="V1153">
        <f>IF($E1153=0,0,SUMPRODUCT($AI$16:$DF$16,'Staff Daily sales'!$G1138:$CD1138))</f>
        <v>0</v>
      </c>
      <c r="W1153">
        <f t="shared" si="303"/>
        <v>0</v>
      </c>
      <c r="X1153">
        <f t="shared" si="304"/>
        <v>0</v>
      </c>
      <c r="Y1153">
        <f t="shared" si="305"/>
        <v>0</v>
      </c>
      <c r="Z1153">
        <f t="shared" si="306"/>
        <v>0</v>
      </c>
      <c r="AA1153">
        <f t="shared" si="307"/>
        <v>0</v>
      </c>
      <c r="AB1153">
        <f>--AND($E1153=1,OR('Staff Weekly Trend'!$B$3="All",$DH1153='Staff Weekly Trend'!$B$3),OR('Staff Weekly Trend'!$B$4="All",$D1153='Staff Weekly Trend'!$B$4),OR('Staff Weekly Trend'!$B$5="All",$A1153='Staff Weekly Trend'!$B$5))</f>
        <v>0</v>
      </c>
      <c r="AC1153" t="str">
        <f t="shared" si="308"/>
        <v/>
      </c>
      <c r="AI1153">
        <f t="shared" si="309"/>
        <v>0</v>
      </c>
      <c r="AJ1153">
        <f t="shared" si="310"/>
        <v>0</v>
      </c>
      <c r="AK1153">
        <f t="shared" si="311"/>
        <v>0</v>
      </c>
      <c r="AL1153">
        <f t="shared" si="312"/>
        <v>0</v>
      </c>
      <c r="AM1153">
        <f t="shared" si="313"/>
        <v>0</v>
      </c>
      <c r="DH1153" t="str" cm="1">
        <f t="array" ref="DH1153">IF($A1153="","",_xlfn.LET(_xlpm.c,IFERROR(_xlfn.XLOOKUP($A1153,TRIM('Sales and count'!$A$4:$A$300&amp;""),TRIM('Sales and count'!$B$4:$B$300&amp;"")),""),IF(OR(_xlpm.c="",_xlpm.c="0",LEFT(_xlpm.c,1)="#"),"Not set",_xlpm.c)))</f>
        <v/>
      </c>
    </row>
    <row r="1154" spans="1:112" x14ac:dyDescent="0.25">
      <c r="A1154" t="str">
        <f>IF('Staff Daily sales'!$B1139="","",TRIM('Staff Daily sales'!$B1139&amp;""))</f>
        <v/>
      </c>
      <c r="B1154" t="str">
        <f>IF('Staff Daily sales'!$D1139="","",TRIM('Staff Daily sales'!$D1139&amp;""))</f>
        <v/>
      </c>
      <c r="C1154" t="str">
        <f>IFERROR(TRIM('Staff Daily sales'!$E1139&amp;""),"")</f>
        <v/>
      </c>
      <c r="D1154" t="str">
        <f>IFERROR(IF(TRIM('Staff Daily sales'!$F1139&amp;"")="","Unassigned",TRIM('Staff Daily sales'!$F1139&amp;"")),"Unassigned")</f>
        <v>Unassigned</v>
      </c>
      <c r="E1154">
        <f t="shared" si="298"/>
        <v>0</v>
      </c>
      <c r="F1154">
        <f>IF($E1154=0,0,SUMPRODUCT($AI$5:$DF$5,'Staff Daily sales'!$G1139:$CD1139))</f>
        <v>0</v>
      </c>
      <c r="G1154">
        <f>IF($E1154=0,0,SUMPRODUCT($AI$6:$DF$6,'Staff Daily sales'!$G1139:$CD1139))</f>
        <v>0</v>
      </c>
      <c r="H1154">
        <f t="shared" si="299"/>
        <v>0</v>
      </c>
      <c r="I1154">
        <f t="shared" si="300"/>
        <v>0</v>
      </c>
      <c r="J1154">
        <f t="shared" si="301"/>
        <v>0</v>
      </c>
      <c r="K1154">
        <f t="shared" si="302"/>
        <v>0</v>
      </c>
      <c r="L1154">
        <f>--AND($E1154=1,OR('Staff Dashboard'!$B$6="All",$DH1154='Staff Dashboard'!$B$6),OR('Staff Dashboard'!$B$7="All",$D1154='Staff Dashboard'!$B$7),OR('Staff Dashboard'!$B$8="All",$A1154='Staff Dashboard'!$B$8))</f>
        <v>0</v>
      </c>
      <c r="M1154">
        <f>IF($E1154=0,0,SUMPRODUCT($AI$7:$DF$7,'Staff Daily sales'!$G1139:$CD1139))</f>
        <v>0</v>
      </c>
      <c r="N1154">
        <f>IF($E1154=0,0,SUMPRODUCT($AI$8:$DF$8,'Staff Daily sales'!$G1139:$CD1139))</f>
        <v>0</v>
      </c>
      <c r="O1154">
        <f>IF($E1154=0,0,SUMPRODUCT($AI$9:$DF$9,'Staff Daily sales'!$G1139:$CD1139))</f>
        <v>0</v>
      </c>
      <c r="P1154">
        <f>IF($E1154=0,0,SUMPRODUCT($AI$10:$DF$10,'Staff Daily sales'!$G1139:$CD1139))</f>
        <v>0</v>
      </c>
      <c r="Q1154">
        <f>IF($E1154=0,0,SUMPRODUCT($AI$11:$DF$11,'Staff Daily sales'!$G1139:$CD1139))</f>
        <v>0</v>
      </c>
      <c r="R1154">
        <f>IF($E1154=0,0,SUMPRODUCT($AI$12:$DF$12,'Staff Daily sales'!$G1139:$CD1139))</f>
        <v>0</v>
      </c>
      <c r="S1154">
        <f>IF($E1154=0,0,SUMPRODUCT($AI$13:$DF$13,'Staff Daily sales'!$G1139:$CD1139))</f>
        <v>0</v>
      </c>
      <c r="T1154">
        <f>IF($E1154=0,0,SUMPRODUCT($AI$14:$DF$14,'Staff Daily sales'!$G1139:$CD1139))</f>
        <v>0</v>
      </c>
      <c r="U1154">
        <f>IF($E1154=0,0,SUMPRODUCT($AI$15:$DF$15,'Staff Daily sales'!$G1139:$CD1139))</f>
        <v>0</v>
      </c>
      <c r="V1154">
        <f>IF($E1154=0,0,SUMPRODUCT($AI$16:$DF$16,'Staff Daily sales'!$G1139:$CD1139))</f>
        <v>0</v>
      </c>
      <c r="W1154">
        <f t="shared" si="303"/>
        <v>0</v>
      </c>
      <c r="X1154">
        <f t="shared" si="304"/>
        <v>0</v>
      </c>
      <c r="Y1154">
        <f t="shared" si="305"/>
        <v>0</v>
      </c>
      <c r="Z1154">
        <f t="shared" si="306"/>
        <v>0</v>
      </c>
      <c r="AA1154">
        <f t="shared" si="307"/>
        <v>0</v>
      </c>
      <c r="AB1154">
        <f>--AND($E1154=1,OR('Staff Weekly Trend'!$B$3="All",$DH1154='Staff Weekly Trend'!$B$3),OR('Staff Weekly Trend'!$B$4="All",$D1154='Staff Weekly Trend'!$B$4),OR('Staff Weekly Trend'!$B$5="All",$A1154='Staff Weekly Trend'!$B$5))</f>
        <v>0</v>
      </c>
      <c r="AC1154" t="str">
        <f t="shared" si="308"/>
        <v/>
      </c>
      <c r="AI1154">
        <f t="shared" si="309"/>
        <v>0</v>
      </c>
      <c r="AJ1154">
        <f t="shared" si="310"/>
        <v>0</v>
      </c>
      <c r="AK1154">
        <f t="shared" si="311"/>
        <v>0</v>
      </c>
      <c r="AL1154">
        <f t="shared" si="312"/>
        <v>0</v>
      </c>
      <c r="AM1154">
        <f t="shared" si="313"/>
        <v>0</v>
      </c>
      <c r="DH1154" t="str" cm="1">
        <f t="array" ref="DH1154">IF($A1154="","",_xlfn.LET(_xlpm.c,IFERROR(_xlfn.XLOOKUP($A1154,TRIM('Sales and count'!$A$4:$A$300&amp;""),TRIM('Sales and count'!$B$4:$B$300&amp;"")),""),IF(OR(_xlpm.c="",_xlpm.c="0",LEFT(_xlpm.c,1)="#"),"Not set",_xlpm.c)))</f>
        <v/>
      </c>
    </row>
    <row r="1155" spans="1:112" x14ac:dyDescent="0.25">
      <c r="A1155" t="str">
        <f>IF('Staff Daily sales'!$B1140="","",TRIM('Staff Daily sales'!$B1140&amp;""))</f>
        <v/>
      </c>
      <c r="B1155" t="str">
        <f>IF('Staff Daily sales'!$D1140="","",TRIM('Staff Daily sales'!$D1140&amp;""))</f>
        <v/>
      </c>
      <c r="C1155" t="str">
        <f>IFERROR(TRIM('Staff Daily sales'!$E1140&amp;""),"")</f>
        <v/>
      </c>
      <c r="D1155" t="str">
        <f>IFERROR(IF(TRIM('Staff Daily sales'!$F1140&amp;"")="","Unassigned",TRIM('Staff Daily sales'!$F1140&amp;"")),"Unassigned")</f>
        <v>Unassigned</v>
      </c>
      <c r="E1155">
        <f t="shared" si="298"/>
        <v>0</v>
      </c>
      <c r="F1155">
        <f>IF($E1155=0,0,SUMPRODUCT($AI$5:$DF$5,'Staff Daily sales'!$G1140:$CD1140))</f>
        <v>0</v>
      </c>
      <c r="G1155">
        <f>IF($E1155=0,0,SUMPRODUCT($AI$6:$DF$6,'Staff Daily sales'!$G1140:$CD1140))</f>
        <v>0</v>
      </c>
      <c r="H1155">
        <f t="shared" si="299"/>
        <v>0</v>
      </c>
      <c r="I1155">
        <f t="shared" si="300"/>
        <v>0</v>
      </c>
      <c r="J1155">
        <f t="shared" si="301"/>
        <v>0</v>
      </c>
      <c r="K1155">
        <f t="shared" si="302"/>
        <v>0</v>
      </c>
      <c r="L1155">
        <f>--AND($E1155=1,OR('Staff Dashboard'!$B$6="All",$DH1155='Staff Dashboard'!$B$6),OR('Staff Dashboard'!$B$7="All",$D1155='Staff Dashboard'!$B$7),OR('Staff Dashboard'!$B$8="All",$A1155='Staff Dashboard'!$B$8))</f>
        <v>0</v>
      </c>
      <c r="M1155">
        <f>IF($E1155=0,0,SUMPRODUCT($AI$7:$DF$7,'Staff Daily sales'!$G1140:$CD1140))</f>
        <v>0</v>
      </c>
      <c r="N1155">
        <f>IF($E1155=0,0,SUMPRODUCT($AI$8:$DF$8,'Staff Daily sales'!$G1140:$CD1140))</f>
        <v>0</v>
      </c>
      <c r="O1155">
        <f>IF($E1155=0,0,SUMPRODUCT($AI$9:$DF$9,'Staff Daily sales'!$G1140:$CD1140))</f>
        <v>0</v>
      </c>
      <c r="P1155">
        <f>IF($E1155=0,0,SUMPRODUCT($AI$10:$DF$10,'Staff Daily sales'!$G1140:$CD1140))</f>
        <v>0</v>
      </c>
      <c r="Q1155">
        <f>IF($E1155=0,0,SUMPRODUCT($AI$11:$DF$11,'Staff Daily sales'!$G1140:$CD1140))</f>
        <v>0</v>
      </c>
      <c r="R1155">
        <f>IF($E1155=0,0,SUMPRODUCT($AI$12:$DF$12,'Staff Daily sales'!$G1140:$CD1140))</f>
        <v>0</v>
      </c>
      <c r="S1155">
        <f>IF($E1155=0,0,SUMPRODUCT($AI$13:$DF$13,'Staff Daily sales'!$G1140:$CD1140))</f>
        <v>0</v>
      </c>
      <c r="T1155">
        <f>IF($E1155=0,0,SUMPRODUCT($AI$14:$DF$14,'Staff Daily sales'!$G1140:$CD1140))</f>
        <v>0</v>
      </c>
      <c r="U1155">
        <f>IF($E1155=0,0,SUMPRODUCT($AI$15:$DF$15,'Staff Daily sales'!$G1140:$CD1140))</f>
        <v>0</v>
      </c>
      <c r="V1155">
        <f>IF($E1155=0,0,SUMPRODUCT($AI$16:$DF$16,'Staff Daily sales'!$G1140:$CD1140))</f>
        <v>0</v>
      </c>
      <c r="W1155">
        <f t="shared" si="303"/>
        <v>0</v>
      </c>
      <c r="X1155">
        <f t="shared" si="304"/>
        <v>0</v>
      </c>
      <c r="Y1155">
        <f t="shared" si="305"/>
        <v>0</v>
      </c>
      <c r="Z1155">
        <f t="shared" si="306"/>
        <v>0</v>
      </c>
      <c r="AA1155">
        <f t="shared" si="307"/>
        <v>0</v>
      </c>
      <c r="AB1155">
        <f>--AND($E1155=1,OR('Staff Weekly Trend'!$B$3="All",$DH1155='Staff Weekly Trend'!$B$3),OR('Staff Weekly Trend'!$B$4="All",$D1155='Staff Weekly Trend'!$B$4),OR('Staff Weekly Trend'!$B$5="All",$A1155='Staff Weekly Trend'!$B$5))</f>
        <v>0</v>
      </c>
      <c r="AC1155" t="str">
        <f t="shared" si="308"/>
        <v/>
      </c>
      <c r="AI1155">
        <f t="shared" si="309"/>
        <v>0</v>
      </c>
      <c r="AJ1155">
        <f t="shared" si="310"/>
        <v>0</v>
      </c>
      <c r="AK1155">
        <f t="shared" si="311"/>
        <v>0</v>
      </c>
      <c r="AL1155">
        <f t="shared" si="312"/>
        <v>0</v>
      </c>
      <c r="AM1155">
        <f t="shared" si="313"/>
        <v>0</v>
      </c>
      <c r="DH1155" t="str" cm="1">
        <f t="array" ref="DH1155">IF($A1155="","",_xlfn.LET(_xlpm.c,IFERROR(_xlfn.XLOOKUP($A1155,TRIM('Sales and count'!$A$4:$A$300&amp;""),TRIM('Sales and count'!$B$4:$B$300&amp;"")),""),IF(OR(_xlpm.c="",_xlpm.c="0",LEFT(_xlpm.c,1)="#"),"Not set",_xlpm.c)))</f>
        <v/>
      </c>
    </row>
    <row r="1156" spans="1:112" x14ac:dyDescent="0.25">
      <c r="A1156" t="str">
        <f>IF('Staff Daily sales'!$B1141="","",TRIM('Staff Daily sales'!$B1141&amp;""))</f>
        <v/>
      </c>
      <c r="B1156" t="str">
        <f>IF('Staff Daily sales'!$D1141="","",TRIM('Staff Daily sales'!$D1141&amp;""))</f>
        <v/>
      </c>
      <c r="C1156" t="str">
        <f>IFERROR(TRIM('Staff Daily sales'!$E1141&amp;""),"")</f>
        <v/>
      </c>
      <c r="D1156" t="str">
        <f>IFERROR(IF(TRIM('Staff Daily sales'!$F1141&amp;"")="","Unassigned",TRIM('Staff Daily sales'!$F1141&amp;"")),"Unassigned")</f>
        <v>Unassigned</v>
      </c>
      <c r="E1156">
        <f t="shared" si="298"/>
        <v>0</v>
      </c>
      <c r="F1156">
        <f>IF($E1156=0,0,SUMPRODUCT($AI$5:$DF$5,'Staff Daily sales'!$G1141:$CD1141))</f>
        <v>0</v>
      </c>
      <c r="G1156">
        <f>IF($E1156=0,0,SUMPRODUCT($AI$6:$DF$6,'Staff Daily sales'!$G1141:$CD1141))</f>
        <v>0</v>
      </c>
      <c r="H1156">
        <f t="shared" si="299"/>
        <v>0</v>
      </c>
      <c r="I1156">
        <f t="shared" si="300"/>
        <v>0</v>
      </c>
      <c r="J1156">
        <f t="shared" si="301"/>
        <v>0</v>
      </c>
      <c r="K1156">
        <f t="shared" si="302"/>
        <v>0</v>
      </c>
      <c r="L1156">
        <f>--AND($E1156=1,OR('Staff Dashboard'!$B$6="All",$DH1156='Staff Dashboard'!$B$6),OR('Staff Dashboard'!$B$7="All",$D1156='Staff Dashboard'!$B$7),OR('Staff Dashboard'!$B$8="All",$A1156='Staff Dashboard'!$B$8))</f>
        <v>0</v>
      </c>
      <c r="M1156">
        <f>IF($E1156=0,0,SUMPRODUCT($AI$7:$DF$7,'Staff Daily sales'!$G1141:$CD1141))</f>
        <v>0</v>
      </c>
      <c r="N1156">
        <f>IF($E1156=0,0,SUMPRODUCT($AI$8:$DF$8,'Staff Daily sales'!$G1141:$CD1141))</f>
        <v>0</v>
      </c>
      <c r="O1156">
        <f>IF($E1156=0,0,SUMPRODUCT($AI$9:$DF$9,'Staff Daily sales'!$G1141:$CD1141))</f>
        <v>0</v>
      </c>
      <c r="P1156">
        <f>IF($E1156=0,0,SUMPRODUCT($AI$10:$DF$10,'Staff Daily sales'!$G1141:$CD1141))</f>
        <v>0</v>
      </c>
      <c r="Q1156">
        <f>IF($E1156=0,0,SUMPRODUCT($AI$11:$DF$11,'Staff Daily sales'!$G1141:$CD1141))</f>
        <v>0</v>
      </c>
      <c r="R1156">
        <f>IF($E1156=0,0,SUMPRODUCT($AI$12:$DF$12,'Staff Daily sales'!$G1141:$CD1141))</f>
        <v>0</v>
      </c>
      <c r="S1156">
        <f>IF($E1156=0,0,SUMPRODUCT($AI$13:$DF$13,'Staff Daily sales'!$G1141:$CD1141))</f>
        <v>0</v>
      </c>
      <c r="T1156">
        <f>IF($E1156=0,0,SUMPRODUCT($AI$14:$DF$14,'Staff Daily sales'!$G1141:$CD1141))</f>
        <v>0</v>
      </c>
      <c r="U1156">
        <f>IF($E1156=0,0,SUMPRODUCT($AI$15:$DF$15,'Staff Daily sales'!$G1141:$CD1141))</f>
        <v>0</v>
      </c>
      <c r="V1156">
        <f>IF($E1156=0,0,SUMPRODUCT($AI$16:$DF$16,'Staff Daily sales'!$G1141:$CD1141))</f>
        <v>0</v>
      </c>
      <c r="W1156">
        <f t="shared" si="303"/>
        <v>0</v>
      </c>
      <c r="X1156">
        <f t="shared" si="304"/>
        <v>0</v>
      </c>
      <c r="Y1156">
        <f t="shared" si="305"/>
        <v>0</v>
      </c>
      <c r="Z1156">
        <f t="shared" si="306"/>
        <v>0</v>
      </c>
      <c r="AA1156">
        <f t="shared" si="307"/>
        <v>0</v>
      </c>
      <c r="AB1156">
        <f>--AND($E1156=1,OR('Staff Weekly Trend'!$B$3="All",$DH1156='Staff Weekly Trend'!$B$3),OR('Staff Weekly Trend'!$B$4="All",$D1156='Staff Weekly Trend'!$B$4),OR('Staff Weekly Trend'!$B$5="All",$A1156='Staff Weekly Trend'!$B$5))</f>
        <v>0</v>
      </c>
      <c r="AC1156" t="str">
        <f t="shared" si="308"/>
        <v/>
      </c>
      <c r="AI1156">
        <f t="shared" si="309"/>
        <v>0</v>
      </c>
      <c r="AJ1156">
        <f t="shared" si="310"/>
        <v>0</v>
      </c>
      <c r="AK1156">
        <f t="shared" si="311"/>
        <v>0</v>
      </c>
      <c r="AL1156">
        <f t="shared" si="312"/>
        <v>0</v>
      </c>
      <c r="AM1156">
        <f t="shared" si="313"/>
        <v>0</v>
      </c>
      <c r="DH1156" t="str" cm="1">
        <f t="array" ref="DH1156">IF($A1156="","",_xlfn.LET(_xlpm.c,IFERROR(_xlfn.XLOOKUP($A1156,TRIM('Sales and count'!$A$4:$A$300&amp;""),TRIM('Sales and count'!$B$4:$B$300&amp;"")),""),IF(OR(_xlpm.c="",_xlpm.c="0",LEFT(_xlpm.c,1)="#"),"Not set",_xlpm.c)))</f>
        <v/>
      </c>
    </row>
    <row r="1157" spans="1:112" x14ac:dyDescent="0.25">
      <c r="A1157" t="str">
        <f>IF('Staff Daily sales'!$B1142="","",TRIM('Staff Daily sales'!$B1142&amp;""))</f>
        <v/>
      </c>
      <c r="B1157" t="str">
        <f>IF('Staff Daily sales'!$D1142="","",TRIM('Staff Daily sales'!$D1142&amp;""))</f>
        <v/>
      </c>
      <c r="C1157" t="str">
        <f>IFERROR(TRIM('Staff Daily sales'!$E1142&amp;""),"")</f>
        <v/>
      </c>
      <c r="D1157" t="str">
        <f>IFERROR(IF(TRIM('Staff Daily sales'!$F1142&amp;"")="","Unassigned",TRIM('Staff Daily sales'!$F1142&amp;"")),"Unassigned")</f>
        <v>Unassigned</v>
      </c>
      <c r="E1157">
        <f t="shared" si="298"/>
        <v>0</v>
      </c>
      <c r="F1157">
        <f>IF($E1157=0,0,SUMPRODUCT($AI$5:$DF$5,'Staff Daily sales'!$G1142:$CD1142))</f>
        <v>0</v>
      </c>
      <c r="G1157">
        <f>IF($E1157=0,0,SUMPRODUCT($AI$6:$DF$6,'Staff Daily sales'!$G1142:$CD1142))</f>
        <v>0</v>
      </c>
      <c r="H1157">
        <f t="shared" si="299"/>
        <v>0</v>
      </c>
      <c r="I1157">
        <f t="shared" si="300"/>
        <v>0</v>
      </c>
      <c r="J1157">
        <f t="shared" si="301"/>
        <v>0</v>
      </c>
      <c r="K1157">
        <f t="shared" si="302"/>
        <v>0</v>
      </c>
      <c r="L1157">
        <f>--AND($E1157=1,OR('Staff Dashboard'!$B$6="All",$DH1157='Staff Dashboard'!$B$6),OR('Staff Dashboard'!$B$7="All",$D1157='Staff Dashboard'!$B$7),OR('Staff Dashboard'!$B$8="All",$A1157='Staff Dashboard'!$B$8))</f>
        <v>0</v>
      </c>
      <c r="M1157">
        <f>IF($E1157=0,0,SUMPRODUCT($AI$7:$DF$7,'Staff Daily sales'!$G1142:$CD1142))</f>
        <v>0</v>
      </c>
      <c r="N1157">
        <f>IF($E1157=0,0,SUMPRODUCT($AI$8:$DF$8,'Staff Daily sales'!$G1142:$CD1142))</f>
        <v>0</v>
      </c>
      <c r="O1157">
        <f>IF($E1157=0,0,SUMPRODUCT($AI$9:$DF$9,'Staff Daily sales'!$G1142:$CD1142))</f>
        <v>0</v>
      </c>
      <c r="P1157">
        <f>IF($E1157=0,0,SUMPRODUCT($AI$10:$DF$10,'Staff Daily sales'!$G1142:$CD1142))</f>
        <v>0</v>
      </c>
      <c r="Q1157">
        <f>IF($E1157=0,0,SUMPRODUCT($AI$11:$DF$11,'Staff Daily sales'!$G1142:$CD1142))</f>
        <v>0</v>
      </c>
      <c r="R1157">
        <f>IF($E1157=0,0,SUMPRODUCT($AI$12:$DF$12,'Staff Daily sales'!$G1142:$CD1142))</f>
        <v>0</v>
      </c>
      <c r="S1157">
        <f>IF($E1157=0,0,SUMPRODUCT($AI$13:$DF$13,'Staff Daily sales'!$G1142:$CD1142))</f>
        <v>0</v>
      </c>
      <c r="T1157">
        <f>IF($E1157=0,0,SUMPRODUCT($AI$14:$DF$14,'Staff Daily sales'!$G1142:$CD1142))</f>
        <v>0</v>
      </c>
      <c r="U1157">
        <f>IF($E1157=0,0,SUMPRODUCT($AI$15:$DF$15,'Staff Daily sales'!$G1142:$CD1142))</f>
        <v>0</v>
      </c>
      <c r="V1157">
        <f>IF($E1157=0,0,SUMPRODUCT($AI$16:$DF$16,'Staff Daily sales'!$G1142:$CD1142))</f>
        <v>0</v>
      </c>
      <c r="W1157">
        <f t="shared" si="303"/>
        <v>0</v>
      </c>
      <c r="X1157">
        <f t="shared" si="304"/>
        <v>0</v>
      </c>
      <c r="Y1157">
        <f t="shared" si="305"/>
        <v>0</v>
      </c>
      <c r="Z1157">
        <f t="shared" si="306"/>
        <v>0</v>
      </c>
      <c r="AA1157">
        <f t="shared" si="307"/>
        <v>0</v>
      </c>
      <c r="AB1157">
        <f>--AND($E1157=1,OR('Staff Weekly Trend'!$B$3="All",$DH1157='Staff Weekly Trend'!$B$3),OR('Staff Weekly Trend'!$B$4="All",$D1157='Staff Weekly Trend'!$B$4),OR('Staff Weekly Trend'!$B$5="All",$A1157='Staff Weekly Trend'!$B$5))</f>
        <v>0</v>
      </c>
      <c r="AC1157" t="str">
        <f t="shared" si="308"/>
        <v/>
      </c>
      <c r="AI1157">
        <f t="shared" si="309"/>
        <v>0</v>
      </c>
      <c r="AJ1157">
        <f t="shared" si="310"/>
        <v>0</v>
      </c>
      <c r="AK1157">
        <f t="shared" si="311"/>
        <v>0</v>
      </c>
      <c r="AL1157">
        <f t="shared" si="312"/>
        <v>0</v>
      </c>
      <c r="AM1157">
        <f t="shared" si="313"/>
        <v>0</v>
      </c>
      <c r="DH1157" t="str" cm="1">
        <f t="array" ref="DH1157">IF($A1157="","",_xlfn.LET(_xlpm.c,IFERROR(_xlfn.XLOOKUP($A1157,TRIM('Sales and count'!$A$4:$A$300&amp;""),TRIM('Sales and count'!$B$4:$B$300&amp;"")),""),IF(OR(_xlpm.c="",_xlpm.c="0",LEFT(_xlpm.c,1)="#"),"Not set",_xlpm.c)))</f>
        <v/>
      </c>
    </row>
    <row r="1158" spans="1:112" x14ac:dyDescent="0.25">
      <c r="A1158" t="str">
        <f>IF('Staff Daily sales'!$B1143="","",TRIM('Staff Daily sales'!$B1143&amp;""))</f>
        <v/>
      </c>
      <c r="B1158" t="str">
        <f>IF('Staff Daily sales'!$D1143="","",TRIM('Staff Daily sales'!$D1143&amp;""))</f>
        <v/>
      </c>
      <c r="C1158" t="str">
        <f>IFERROR(TRIM('Staff Daily sales'!$E1143&amp;""),"")</f>
        <v/>
      </c>
      <c r="D1158" t="str">
        <f>IFERROR(IF(TRIM('Staff Daily sales'!$F1143&amp;"")="","Unassigned",TRIM('Staff Daily sales'!$F1143&amp;"")),"Unassigned")</f>
        <v>Unassigned</v>
      </c>
      <c r="E1158">
        <f t="shared" si="298"/>
        <v>0</v>
      </c>
      <c r="F1158">
        <f>IF($E1158=0,0,SUMPRODUCT($AI$5:$DF$5,'Staff Daily sales'!$G1143:$CD1143))</f>
        <v>0</v>
      </c>
      <c r="G1158">
        <f>IF($E1158=0,0,SUMPRODUCT($AI$6:$DF$6,'Staff Daily sales'!$G1143:$CD1143))</f>
        <v>0</v>
      </c>
      <c r="H1158">
        <f t="shared" si="299"/>
        <v>0</v>
      </c>
      <c r="I1158">
        <f t="shared" si="300"/>
        <v>0</v>
      </c>
      <c r="J1158">
        <f t="shared" si="301"/>
        <v>0</v>
      </c>
      <c r="K1158">
        <f t="shared" si="302"/>
        <v>0</v>
      </c>
      <c r="L1158">
        <f>--AND($E1158=1,OR('Staff Dashboard'!$B$6="All",$DH1158='Staff Dashboard'!$B$6),OR('Staff Dashboard'!$B$7="All",$D1158='Staff Dashboard'!$B$7),OR('Staff Dashboard'!$B$8="All",$A1158='Staff Dashboard'!$B$8))</f>
        <v>0</v>
      </c>
      <c r="M1158">
        <f>IF($E1158=0,0,SUMPRODUCT($AI$7:$DF$7,'Staff Daily sales'!$G1143:$CD1143))</f>
        <v>0</v>
      </c>
      <c r="N1158">
        <f>IF($E1158=0,0,SUMPRODUCT($AI$8:$DF$8,'Staff Daily sales'!$G1143:$CD1143))</f>
        <v>0</v>
      </c>
      <c r="O1158">
        <f>IF($E1158=0,0,SUMPRODUCT($AI$9:$DF$9,'Staff Daily sales'!$G1143:$CD1143))</f>
        <v>0</v>
      </c>
      <c r="P1158">
        <f>IF($E1158=0,0,SUMPRODUCT($AI$10:$DF$10,'Staff Daily sales'!$G1143:$CD1143))</f>
        <v>0</v>
      </c>
      <c r="Q1158">
        <f>IF($E1158=0,0,SUMPRODUCT($AI$11:$DF$11,'Staff Daily sales'!$G1143:$CD1143))</f>
        <v>0</v>
      </c>
      <c r="R1158">
        <f>IF($E1158=0,0,SUMPRODUCT($AI$12:$DF$12,'Staff Daily sales'!$G1143:$CD1143))</f>
        <v>0</v>
      </c>
      <c r="S1158">
        <f>IF($E1158=0,0,SUMPRODUCT($AI$13:$DF$13,'Staff Daily sales'!$G1143:$CD1143))</f>
        <v>0</v>
      </c>
      <c r="T1158">
        <f>IF($E1158=0,0,SUMPRODUCT($AI$14:$DF$14,'Staff Daily sales'!$G1143:$CD1143))</f>
        <v>0</v>
      </c>
      <c r="U1158">
        <f>IF($E1158=0,0,SUMPRODUCT($AI$15:$DF$15,'Staff Daily sales'!$G1143:$CD1143))</f>
        <v>0</v>
      </c>
      <c r="V1158">
        <f>IF($E1158=0,0,SUMPRODUCT($AI$16:$DF$16,'Staff Daily sales'!$G1143:$CD1143))</f>
        <v>0</v>
      </c>
      <c r="W1158">
        <f t="shared" si="303"/>
        <v>0</v>
      </c>
      <c r="X1158">
        <f t="shared" si="304"/>
        <v>0</v>
      </c>
      <c r="Y1158">
        <f t="shared" si="305"/>
        <v>0</v>
      </c>
      <c r="Z1158">
        <f t="shared" si="306"/>
        <v>0</v>
      </c>
      <c r="AA1158">
        <f t="shared" si="307"/>
        <v>0</v>
      </c>
      <c r="AB1158">
        <f>--AND($E1158=1,OR('Staff Weekly Trend'!$B$3="All",$DH1158='Staff Weekly Trend'!$B$3),OR('Staff Weekly Trend'!$B$4="All",$D1158='Staff Weekly Trend'!$B$4),OR('Staff Weekly Trend'!$B$5="All",$A1158='Staff Weekly Trend'!$B$5))</f>
        <v>0</v>
      </c>
      <c r="AC1158" t="str">
        <f t="shared" si="308"/>
        <v/>
      </c>
      <c r="AI1158">
        <f t="shared" si="309"/>
        <v>0</v>
      </c>
      <c r="AJ1158">
        <f t="shared" si="310"/>
        <v>0</v>
      </c>
      <c r="AK1158">
        <f t="shared" si="311"/>
        <v>0</v>
      </c>
      <c r="AL1158">
        <f t="shared" si="312"/>
        <v>0</v>
      </c>
      <c r="AM1158">
        <f t="shared" si="313"/>
        <v>0</v>
      </c>
      <c r="DH1158" t="str" cm="1">
        <f t="array" ref="DH1158">IF($A1158="","",_xlfn.LET(_xlpm.c,IFERROR(_xlfn.XLOOKUP($A1158,TRIM('Sales and count'!$A$4:$A$300&amp;""),TRIM('Sales and count'!$B$4:$B$300&amp;"")),""),IF(OR(_xlpm.c="",_xlpm.c="0",LEFT(_xlpm.c,1)="#"),"Not set",_xlpm.c)))</f>
        <v/>
      </c>
    </row>
    <row r="1159" spans="1:112" x14ac:dyDescent="0.25">
      <c r="A1159" t="str">
        <f>IF('Staff Daily sales'!$B1144="","",TRIM('Staff Daily sales'!$B1144&amp;""))</f>
        <v/>
      </c>
      <c r="B1159" t="str">
        <f>IF('Staff Daily sales'!$D1144="","",TRIM('Staff Daily sales'!$D1144&amp;""))</f>
        <v/>
      </c>
      <c r="C1159" t="str">
        <f>IFERROR(TRIM('Staff Daily sales'!$E1144&amp;""),"")</f>
        <v/>
      </c>
      <c r="D1159" t="str">
        <f>IFERROR(IF(TRIM('Staff Daily sales'!$F1144&amp;"")="","Unassigned",TRIM('Staff Daily sales'!$F1144&amp;"")),"Unassigned")</f>
        <v>Unassigned</v>
      </c>
      <c r="E1159">
        <f t="shared" si="298"/>
        <v>0</v>
      </c>
      <c r="F1159">
        <f>IF($E1159=0,0,SUMPRODUCT($AI$5:$DF$5,'Staff Daily sales'!$G1144:$CD1144))</f>
        <v>0</v>
      </c>
      <c r="G1159">
        <f>IF($E1159=0,0,SUMPRODUCT($AI$6:$DF$6,'Staff Daily sales'!$G1144:$CD1144))</f>
        <v>0</v>
      </c>
      <c r="H1159">
        <f t="shared" si="299"/>
        <v>0</v>
      </c>
      <c r="I1159">
        <f t="shared" si="300"/>
        <v>0</v>
      </c>
      <c r="J1159">
        <f t="shared" si="301"/>
        <v>0</v>
      </c>
      <c r="K1159">
        <f t="shared" si="302"/>
        <v>0</v>
      </c>
      <c r="L1159">
        <f>--AND($E1159=1,OR('Staff Dashboard'!$B$6="All",$DH1159='Staff Dashboard'!$B$6),OR('Staff Dashboard'!$B$7="All",$D1159='Staff Dashboard'!$B$7),OR('Staff Dashboard'!$B$8="All",$A1159='Staff Dashboard'!$B$8))</f>
        <v>0</v>
      </c>
      <c r="M1159">
        <f>IF($E1159=0,0,SUMPRODUCT($AI$7:$DF$7,'Staff Daily sales'!$G1144:$CD1144))</f>
        <v>0</v>
      </c>
      <c r="N1159">
        <f>IF($E1159=0,0,SUMPRODUCT($AI$8:$DF$8,'Staff Daily sales'!$G1144:$CD1144))</f>
        <v>0</v>
      </c>
      <c r="O1159">
        <f>IF($E1159=0,0,SUMPRODUCT($AI$9:$DF$9,'Staff Daily sales'!$G1144:$CD1144))</f>
        <v>0</v>
      </c>
      <c r="P1159">
        <f>IF($E1159=0,0,SUMPRODUCT($AI$10:$DF$10,'Staff Daily sales'!$G1144:$CD1144))</f>
        <v>0</v>
      </c>
      <c r="Q1159">
        <f>IF($E1159=0,0,SUMPRODUCT($AI$11:$DF$11,'Staff Daily sales'!$G1144:$CD1144))</f>
        <v>0</v>
      </c>
      <c r="R1159">
        <f>IF($E1159=0,0,SUMPRODUCT($AI$12:$DF$12,'Staff Daily sales'!$G1144:$CD1144))</f>
        <v>0</v>
      </c>
      <c r="S1159">
        <f>IF($E1159=0,0,SUMPRODUCT($AI$13:$DF$13,'Staff Daily sales'!$G1144:$CD1144))</f>
        <v>0</v>
      </c>
      <c r="T1159">
        <f>IF($E1159=0,0,SUMPRODUCT($AI$14:$DF$14,'Staff Daily sales'!$G1144:$CD1144))</f>
        <v>0</v>
      </c>
      <c r="U1159">
        <f>IF($E1159=0,0,SUMPRODUCT($AI$15:$DF$15,'Staff Daily sales'!$G1144:$CD1144))</f>
        <v>0</v>
      </c>
      <c r="V1159">
        <f>IF($E1159=0,0,SUMPRODUCT($AI$16:$DF$16,'Staff Daily sales'!$G1144:$CD1144))</f>
        <v>0</v>
      </c>
      <c r="W1159">
        <f t="shared" si="303"/>
        <v>0</v>
      </c>
      <c r="X1159">
        <f t="shared" si="304"/>
        <v>0</v>
      </c>
      <c r="Y1159">
        <f t="shared" si="305"/>
        <v>0</v>
      </c>
      <c r="Z1159">
        <f t="shared" si="306"/>
        <v>0</v>
      </c>
      <c r="AA1159">
        <f t="shared" si="307"/>
        <v>0</v>
      </c>
      <c r="AB1159">
        <f>--AND($E1159=1,OR('Staff Weekly Trend'!$B$3="All",$DH1159='Staff Weekly Trend'!$B$3),OR('Staff Weekly Trend'!$B$4="All",$D1159='Staff Weekly Trend'!$B$4),OR('Staff Weekly Trend'!$B$5="All",$A1159='Staff Weekly Trend'!$B$5))</f>
        <v>0</v>
      </c>
      <c r="AC1159" t="str">
        <f t="shared" si="308"/>
        <v/>
      </c>
      <c r="AI1159">
        <f t="shared" si="309"/>
        <v>0</v>
      </c>
      <c r="AJ1159">
        <f t="shared" si="310"/>
        <v>0</v>
      </c>
      <c r="AK1159">
        <f t="shared" si="311"/>
        <v>0</v>
      </c>
      <c r="AL1159">
        <f t="shared" si="312"/>
        <v>0</v>
      </c>
      <c r="AM1159">
        <f t="shared" si="313"/>
        <v>0</v>
      </c>
      <c r="DH1159" t="str" cm="1">
        <f t="array" ref="DH1159">IF($A1159="","",_xlfn.LET(_xlpm.c,IFERROR(_xlfn.XLOOKUP($A1159,TRIM('Sales and count'!$A$4:$A$300&amp;""),TRIM('Sales and count'!$B$4:$B$300&amp;"")),""),IF(OR(_xlpm.c="",_xlpm.c="0",LEFT(_xlpm.c,1)="#"),"Not set",_xlpm.c)))</f>
        <v/>
      </c>
    </row>
    <row r="1160" spans="1:112" x14ac:dyDescent="0.25">
      <c r="A1160" t="str">
        <f>IF('Staff Daily sales'!$B1145="","",TRIM('Staff Daily sales'!$B1145&amp;""))</f>
        <v/>
      </c>
      <c r="B1160" t="str">
        <f>IF('Staff Daily sales'!$D1145="","",TRIM('Staff Daily sales'!$D1145&amp;""))</f>
        <v/>
      </c>
      <c r="C1160" t="str">
        <f>IFERROR(TRIM('Staff Daily sales'!$E1145&amp;""),"")</f>
        <v/>
      </c>
      <c r="D1160" t="str">
        <f>IFERROR(IF(TRIM('Staff Daily sales'!$F1145&amp;"")="","Unassigned",TRIM('Staff Daily sales'!$F1145&amp;"")),"Unassigned")</f>
        <v>Unassigned</v>
      </c>
      <c r="E1160">
        <f t="shared" si="298"/>
        <v>0</v>
      </c>
      <c r="F1160">
        <f>IF($E1160=0,0,SUMPRODUCT($AI$5:$DF$5,'Staff Daily sales'!$G1145:$CD1145))</f>
        <v>0</v>
      </c>
      <c r="G1160">
        <f>IF($E1160=0,0,SUMPRODUCT($AI$6:$DF$6,'Staff Daily sales'!$G1145:$CD1145))</f>
        <v>0</v>
      </c>
      <c r="H1160">
        <f t="shared" si="299"/>
        <v>0</v>
      </c>
      <c r="I1160">
        <f t="shared" si="300"/>
        <v>0</v>
      </c>
      <c r="J1160">
        <f t="shared" si="301"/>
        <v>0</v>
      </c>
      <c r="K1160">
        <f t="shared" si="302"/>
        <v>0</v>
      </c>
      <c r="L1160">
        <f>--AND($E1160=1,OR('Staff Dashboard'!$B$6="All",$DH1160='Staff Dashboard'!$B$6),OR('Staff Dashboard'!$B$7="All",$D1160='Staff Dashboard'!$B$7),OR('Staff Dashboard'!$B$8="All",$A1160='Staff Dashboard'!$B$8))</f>
        <v>0</v>
      </c>
      <c r="M1160">
        <f>IF($E1160=0,0,SUMPRODUCT($AI$7:$DF$7,'Staff Daily sales'!$G1145:$CD1145))</f>
        <v>0</v>
      </c>
      <c r="N1160">
        <f>IF($E1160=0,0,SUMPRODUCT($AI$8:$DF$8,'Staff Daily sales'!$G1145:$CD1145))</f>
        <v>0</v>
      </c>
      <c r="O1160">
        <f>IF($E1160=0,0,SUMPRODUCT($AI$9:$DF$9,'Staff Daily sales'!$G1145:$CD1145))</f>
        <v>0</v>
      </c>
      <c r="P1160">
        <f>IF($E1160=0,0,SUMPRODUCT($AI$10:$DF$10,'Staff Daily sales'!$G1145:$CD1145))</f>
        <v>0</v>
      </c>
      <c r="Q1160">
        <f>IF($E1160=0,0,SUMPRODUCT($AI$11:$DF$11,'Staff Daily sales'!$G1145:$CD1145))</f>
        <v>0</v>
      </c>
      <c r="R1160">
        <f>IF($E1160=0,0,SUMPRODUCT($AI$12:$DF$12,'Staff Daily sales'!$G1145:$CD1145))</f>
        <v>0</v>
      </c>
      <c r="S1160">
        <f>IF($E1160=0,0,SUMPRODUCT($AI$13:$DF$13,'Staff Daily sales'!$G1145:$CD1145))</f>
        <v>0</v>
      </c>
      <c r="T1160">
        <f>IF($E1160=0,0,SUMPRODUCT($AI$14:$DF$14,'Staff Daily sales'!$G1145:$CD1145))</f>
        <v>0</v>
      </c>
      <c r="U1160">
        <f>IF($E1160=0,0,SUMPRODUCT($AI$15:$DF$15,'Staff Daily sales'!$G1145:$CD1145))</f>
        <v>0</v>
      </c>
      <c r="V1160">
        <f>IF($E1160=0,0,SUMPRODUCT($AI$16:$DF$16,'Staff Daily sales'!$G1145:$CD1145))</f>
        <v>0</v>
      </c>
      <c r="W1160">
        <f t="shared" si="303"/>
        <v>0</v>
      </c>
      <c r="X1160">
        <f t="shared" si="304"/>
        <v>0</v>
      </c>
      <c r="Y1160">
        <f t="shared" si="305"/>
        <v>0</v>
      </c>
      <c r="Z1160">
        <f t="shared" si="306"/>
        <v>0</v>
      </c>
      <c r="AA1160">
        <f t="shared" si="307"/>
        <v>0</v>
      </c>
      <c r="AB1160">
        <f>--AND($E1160=1,OR('Staff Weekly Trend'!$B$3="All",$DH1160='Staff Weekly Trend'!$B$3),OR('Staff Weekly Trend'!$B$4="All",$D1160='Staff Weekly Trend'!$B$4),OR('Staff Weekly Trend'!$B$5="All",$A1160='Staff Weekly Trend'!$B$5))</f>
        <v>0</v>
      </c>
      <c r="AC1160" t="str">
        <f t="shared" si="308"/>
        <v/>
      </c>
      <c r="AI1160">
        <f t="shared" si="309"/>
        <v>0</v>
      </c>
      <c r="AJ1160">
        <f t="shared" si="310"/>
        <v>0</v>
      </c>
      <c r="AK1160">
        <f t="shared" si="311"/>
        <v>0</v>
      </c>
      <c r="AL1160">
        <f t="shared" si="312"/>
        <v>0</v>
      </c>
      <c r="AM1160">
        <f t="shared" si="313"/>
        <v>0</v>
      </c>
      <c r="DH1160" t="str" cm="1">
        <f t="array" ref="DH1160">IF($A1160="","",_xlfn.LET(_xlpm.c,IFERROR(_xlfn.XLOOKUP($A1160,TRIM('Sales and count'!$A$4:$A$300&amp;""),TRIM('Sales and count'!$B$4:$B$300&amp;"")),""),IF(OR(_xlpm.c="",_xlpm.c="0",LEFT(_xlpm.c,1)="#"),"Not set",_xlpm.c)))</f>
        <v/>
      </c>
    </row>
    <row r="1161" spans="1:112" x14ac:dyDescent="0.25">
      <c r="A1161" t="str">
        <f>IF('Staff Daily sales'!$B1146="","",TRIM('Staff Daily sales'!$B1146&amp;""))</f>
        <v/>
      </c>
      <c r="B1161" t="str">
        <f>IF('Staff Daily sales'!$D1146="","",TRIM('Staff Daily sales'!$D1146&amp;""))</f>
        <v/>
      </c>
      <c r="C1161" t="str">
        <f>IFERROR(TRIM('Staff Daily sales'!$E1146&amp;""),"")</f>
        <v/>
      </c>
      <c r="D1161" t="str">
        <f>IFERROR(IF(TRIM('Staff Daily sales'!$F1146&amp;"")="","Unassigned",TRIM('Staff Daily sales'!$F1146&amp;"")),"Unassigned")</f>
        <v>Unassigned</v>
      </c>
      <c r="E1161">
        <f t="shared" si="298"/>
        <v>0</v>
      </c>
      <c r="F1161">
        <f>IF($E1161=0,0,SUMPRODUCT($AI$5:$DF$5,'Staff Daily sales'!$G1146:$CD1146))</f>
        <v>0</v>
      </c>
      <c r="G1161">
        <f>IF($E1161=0,0,SUMPRODUCT($AI$6:$DF$6,'Staff Daily sales'!$G1146:$CD1146))</f>
        <v>0</v>
      </c>
      <c r="H1161">
        <f t="shared" si="299"/>
        <v>0</v>
      </c>
      <c r="I1161">
        <f t="shared" si="300"/>
        <v>0</v>
      </c>
      <c r="J1161">
        <f t="shared" si="301"/>
        <v>0</v>
      </c>
      <c r="K1161">
        <f t="shared" si="302"/>
        <v>0</v>
      </c>
      <c r="L1161">
        <f>--AND($E1161=1,OR('Staff Dashboard'!$B$6="All",$DH1161='Staff Dashboard'!$B$6),OR('Staff Dashboard'!$B$7="All",$D1161='Staff Dashboard'!$B$7),OR('Staff Dashboard'!$B$8="All",$A1161='Staff Dashboard'!$B$8))</f>
        <v>0</v>
      </c>
      <c r="M1161">
        <f>IF($E1161=0,0,SUMPRODUCT($AI$7:$DF$7,'Staff Daily sales'!$G1146:$CD1146))</f>
        <v>0</v>
      </c>
      <c r="N1161">
        <f>IF($E1161=0,0,SUMPRODUCT($AI$8:$DF$8,'Staff Daily sales'!$G1146:$CD1146))</f>
        <v>0</v>
      </c>
      <c r="O1161">
        <f>IF($E1161=0,0,SUMPRODUCT($AI$9:$DF$9,'Staff Daily sales'!$G1146:$CD1146))</f>
        <v>0</v>
      </c>
      <c r="P1161">
        <f>IF($E1161=0,0,SUMPRODUCT($AI$10:$DF$10,'Staff Daily sales'!$G1146:$CD1146))</f>
        <v>0</v>
      </c>
      <c r="Q1161">
        <f>IF($E1161=0,0,SUMPRODUCT($AI$11:$DF$11,'Staff Daily sales'!$G1146:$CD1146))</f>
        <v>0</v>
      </c>
      <c r="R1161">
        <f>IF($E1161=0,0,SUMPRODUCT($AI$12:$DF$12,'Staff Daily sales'!$G1146:$CD1146))</f>
        <v>0</v>
      </c>
      <c r="S1161">
        <f>IF($E1161=0,0,SUMPRODUCT($AI$13:$DF$13,'Staff Daily sales'!$G1146:$CD1146))</f>
        <v>0</v>
      </c>
      <c r="T1161">
        <f>IF($E1161=0,0,SUMPRODUCT($AI$14:$DF$14,'Staff Daily sales'!$G1146:$CD1146))</f>
        <v>0</v>
      </c>
      <c r="U1161">
        <f>IF($E1161=0,0,SUMPRODUCT($AI$15:$DF$15,'Staff Daily sales'!$G1146:$CD1146))</f>
        <v>0</v>
      </c>
      <c r="V1161">
        <f>IF($E1161=0,0,SUMPRODUCT($AI$16:$DF$16,'Staff Daily sales'!$G1146:$CD1146))</f>
        <v>0</v>
      </c>
      <c r="W1161">
        <f t="shared" si="303"/>
        <v>0</v>
      </c>
      <c r="X1161">
        <f t="shared" si="304"/>
        <v>0</v>
      </c>
      <c r="Y1161">
        <f t="shared" si="305"/>
        <v>0</v>
      </c>
      <c r="Z1161">
        <f t="shared" si="306"/>
        <v>0</v>
      </c>
      <c r="AA1161">
        <f t="shared" si="307"/>
        <v>0</v>
      </c>
      <c r="AB1161">
        <f>--AND($E1161=1,OR('Staff Weekly Trend'!$B$3="All",$DH1161='Staff Weekly Trend'!$B$3),OR('Staff Weekly Trend'!$B$4="All",$D1161='Staff Weekly Trend'!$B$4),OR('Staff Weekly Trend'!$B$5="All",$A1161='Staff Weekly Trend'!$B$5))</f>
        <v>0</v>
      </c>
      <c r="AC1161" t="str">
        <f t="shared" si="308"/>
        <v/>
      </c>
      <c r="AI1161">
        <f t="shared" si="309"/>
        <v>0</v>
      </c>
      <c r="AJ1161">
        <f t="shared" si="310"/>
        <v>0</v>
      </c>
      <c r="AK1161">
        <f t="shared" si="311"/>
        <v>0</v>
      </c>
      <c r="AL1161">
        <f t="shared" si="312"/>
        <v>0</v>
      </c>
      <c r="AM1161">
        <f t="shared" si="313"/>
        <v>0</v>
      </c>
      <c r="DH1161" t="str" cm="1">
        <f t="array" ref="DH1161">IF($A1161="","",_xlfn.LET(_xlpm.c,IFERROR(_xlfn.XLOOKUP($A1161,TRIM('Sales and count'!$A$4:$A$300&amp;""),TRIM('Sales and count'!$B$4:$B$300&amp;"")),""),IF(OR(_xlpm.c="",_xlpm.c="0",LEFT(_xlpm.c,1)="#"),"Not set",_xlpm.c)))</f>
        <v/>
      </c>
    </row>
    <row r="1162" spans="1:112" x14ac:dyDescent="0.25">
      <c r="A1162" t="str">
        <f>IF('Staff Daily sales'!$B1147="","",TRIM('Staff Daily sales'!$B1147&amp;""))</f>
        <v/>
      </c>
      <c r="B1162" t="str">
        <f>IF('Staff Daily sales'!$D1147="","",TRIM('Staff Daily sales'!$D1147&amp;""))</f>
        <v/>
      </c>
      <c r="C1162" t="str">
        <f>IFERROR(TRIM('Staff Daily sales'!$E1147&amp;""),"")</f>
        <v/>
      </c>
      <c r="D1162" t="str">
        <f>IFERROR(IF(TRIM('Staff Daily sales'!$F1147&amp;"")="","Unassigned",TRIM('Staff Daily sales'!$F1147&amp;"")),"Unassigned")</f>
        <v>Unassigned</v>
      </c>
      <c r="E1162">
        <f t="shared" si="298"/>
        <v>0</v>
      </c>
      <c r="F1162">
        <f>IF($E1162=0,0,SUMPRODUCT($AI$5:$DF$5,'Staff Daily sales'!$G1147:$CD1147))</f>
        <v>0</v>
      </c>
      <c r="G1162">
        <f>IF($E1162=0,0,SUMPRODUCT($AI$6:$DF$6,'Staff Daily sales'!$G1147:$CD1147))</f>
        <v>0</v>
      </c>
      <c r="H1162">
        <f t="shared" si="299"/>
        <v>0</v>
      </c>
      <c r="I1162">
        <f t="shared" si="300"/>
        <v>0</v>
      </c>
      <c r="J1162">
        <f t="shared" si="301"/>
        <v>0</v>
      </c>
      <c r="K1162">
        <f t="shared" si="302"/>
        <v>0</v>
      </c>
      <c r="L1162">
        <f>--AND($E1162=1,OR('Staff Dashboard'!$B$6="All",$DH1162='Staff Dashboard'!$B$6),OR('Staff Dashboard'!$B$7="All",$D1162='Staff Dashboard'!$B$7),OR('Staff Dashboard'!$B$8="All",$A1162='Staff Dashboard'!$B$8))</f>
        <v>0</v>
      </c>
      <c r="M1162">
        <f>IF($E1162=0,0,SUMPRODUCT($AI$7:$DF$7,'Staff Daily sales'!$G1147:$CD1147))</f>
        <v>0</v>
      </c>
      <c r="N1162">
        <f>IF($E1162=0,0,SUMPRODUCT($AI$8:$DF$8,'Staff Daily sales'!$G1147:$CD1147))</f>
        <v>0</v>
      </c>
      <c r="O1162">
        <f>IF($E1162=0,0,SUMPRODUCT($AI$9:$DF$9,'Staff Daily sales'!$G1147:$CD1147))</f>
        <v>0</v>
      </c>
      <c r="P1162">
        <f>IF($E1162=0,0,SUMPRODUCT($AI$10:$DF$10,'Staff Daily sales'!$G1147:$CD1147))</f>
        <v>0</v>
      </c>
      <c r="Q1162">
        <f>IF($E1162=0,0,SUMPRODUCT($AI$11:$DF$11,'Staff Daily sales'!$G1147:$CD1147))</f>
        <v>0</v>
      </c>
      <c r="R1162">
        <f>IF($E1162=0,0,SUMPRODUCT($AI$12:$DF$12,'Staff Daily sales'!$G1147:$CD1147))</f>
        <v>0</v>
      </c>
      <c r="S1162">
        <f>IF($E1162=0,0,SUMPRODUCT($AI$13:$DF$13,'Staff Daily sales'!$G1147:$CD1147))</f>
        <v>0</v>
      </c>
      <c r="T1162">
        <f>IF($E1162=0,0,SUMPRODUCT($AI$14:$DF$14,'Staff Daily sales'!$G1147:$CD1147))</f>
        <v>0</v>
      </c>
      <c r="U1162">
        <f>IF($E1162=0,0,SUMPRODUCT($AI$15:$DF$15,'Staff Daily sales'!$G1147:$CD1147))</f>
        <v>0</v>
      </c>
      <c r="V1162">
        <f>IF($E1162=0,0,SUMPRODUCT($AI$16:$DF$16,'Staff Daily sales'!$G1147:$CD1147))</f>
        <v>0</v>
      </c>
      <c r="W1162">
        <f t="shared" si="303"/>
        <v>0</v>
      </c>
      <c r="X1162">
        <f t="shared" si="304"/>
        <v>0</v>
      </c>
      <c r="Y1162">
        <f t="shared" si="305"/>
        <v>0</v>
      </c>
      <c r="Z1162">
        <f t="shared" si="306"/>
        <v>0</v>
      </c>
      <c r="AA1162">
        <f t="shared" si="307"/>
        <v>0</v>
      </c>
      <c r="AB1162">
        <f>--AND($E1162=1,OR('Staff Weekly Trend'!$B$3="All",$DH1162='Staff Weekly Trend'!$B$3),OR('Staff Weekly Trend'!$B$4="All",$D1162='Staff Weekly Trend'!$B$4),OR('Staff Weekly Trend'!$B$5="All",$A1162='Staff Weekly Trend'!$B$5))</f>
        <v>0</v>
      </c>
      <c r="AC1162" t="str">
        <f t="shared" si="308"/>
        <v/>
      </c>
      <c r="AI1162">
        <f t="shared" si="309"/>
        <v>0</v>
      </c>
      <c r="AJ1162">
        <f t="shared" si="310"/>
        <v>0</v>
      </c>
      <c r="AK1162">
        <f t="shared" si="311"/>
        <v>0</v>
      </c>
      <c r="AL1162">
        <f t="shared" si="312"/>
        <v>0</v>
      </c>
      <c r="AM1162">
        <f t="shared" si="313"/>
        <v>0</v>
      </c>
      <c r="DH1162" t="str" cm="1">
        <f t="array" ref="DH1162">IF($A1162="","",_xlfn.LET(_xlpm.c,IFERROR(_xlfn.XLOOKUP($A1162,TRIM('Sales and count'!$A$4:$A$300&amp;""),TRIM('Sales and count'!$B$4:$B$300&amp;"")),""),IF(OR(_xlpm.c="",_xlpm.c="0",LEFT(_xlpm.c,1)="#"),"Not set",_xlpm.c)))</f>
        <v/>
      </c>
    </row>
    <row r="1163" spans="1:112" x14ac:dyDescent="0.25">
      <c r="A1163" t="str">
        <f>IF('Staff Daily sales'!$B1148="","",TRIM('Staff Daily sales'!$B1148&amp;""))</f>
        <v/>
      </c>
      <c r="B1163" t="str">
        <f>IF('Staff Daily sales'!$D1148="","",TRIM('Staff Daily sales'!$D1148&amp;""))</f>
        <v/>
      </c>
      <c r="C1163" t="str">
        <f>IFERROR(TRIM('Staff Daily sales'!$E1148&amp;""),"")</f>
        <v/>
      </c>
      <c r="D1163" t="str">
        <f>IFERROR(IF(TRIM('Staff Daily sales'!$F1148&amp;"")="","Unassigned",TRIM('Staff Daily sales'!$F1148&amp;"")),"Unassigned")</f>
        <v>Unassigned</v>
      </c>
      <c r="E1163">
        <f t="shared" si="298"/>
        <v>0</v>
      </c>
      <c r="F1163">
        <f>IF($E1163=0,0,SUMPRODUCT($AI$5:$DF$5,'Staff Daily sales'!$G1148:$CD1148))</f>
        <v>0</v>
      </c>
      <c r="G1163">
        <f>IF($E1163=0,0,SUMPRODUCT($AI$6:$DF$6,'Staff Daily sales'!$G1148:$CD1148))</f>
        <v>0</v>
      </c>
      <c r="H1163">
        <f t="shared" si="299"/>
        <v>0</v>
      </c>
      <c r="I1163">
        <f t="shared" si="300"/>
        <v>0</v>
      </c>
      <c r="J1163">
        <f t="shared" si="301"/>
        <v>0</v>
      </c>
      <c r="K1163">
        <f t="shared" si="302"/>
        <v>0</v>
      </c>
      <c r="L1163">
        <f>--AND($E1163=1,OR('Staff Dashboard'!$B$6="All",$DH1163='Staff Dashboard'!$B$6),OR('Staff Dashboard'!$B$7="All",$D1163='Staff Dashboard'!$B$7),OR('Staff Dashboard'!$B$8="All",$A1163='Staff Dashboard'!$B$8))</f>
        <v>0</v>
      </c>
      <c r="M1163">
        <f>IF($E1163=0,0,SUMPRODUCT($AI$7:$DF$7,'Staff Daily sales'!$G1148:$CD1148))</f>
        <v>0</v>
      </c>
      <c r="N1163">
        <f>IF($E1163=0,0,SUMPRODUCT($AI$8:$DF$8,'Staff Daily sales'!$G1148:$CD1148))</f>
        <v>0</v>
      </c>
      <c r="O1163">
        <f>IF($E1163=0,0,SUMPRODUCT($AI$9:$DF$9,'Staff Daily sales'!$G1148:$CD1148))</f>
        <v>0</v>
      </c>
      <c r="P1163">
        <f>IF($E1163=0,0,SUMPRODUCT($AI$10:$DF$10,'Staff Daily sales'!$G1148:$CD1148))</f>
        <v>0</v>
      </c>
      <c r="Q1163">
        <f>IF($E1163=0,0,SUMPRODUCT($AI$11:$DF$11,'Staff Daily sales'!$G1148:$CD1148))</f>
        <v>0</v>
      </c>
      <c r="R1163">
        <f>IF($E1163=0,0,SUMPRODUCT($AI$12:$DF$12,'Staff Daily sales'!$G1148:$CD1148))</f>
        <v>0</v>
      </c>
      <c r="S1163">
        <f>IF($E1163=0,0,SUMPRODUCT($AI$13:$DF$13,'Staff Daily sales'!$G1148:$CD1148))</f>
        <v>0</v>
      </c>
      <c r="T1163">
        <f>IF($E1163=0,0,SUMPRODUCT($AI$14:$DF$14,'Staff Daily sales'!$G1148:$CD1148))</f>
        <v>0</v>
      </c>
      <c r="U1163">
        <f>IF($E1163=0,0,SUMPRODUCT($AI$15:$DF$15,'Staff Daily sales'!$G1148:$CD1148))</f>
        <v>0</v>
      </c>
      <c r="V1163">
        <f>IF($E1163=0,0,SUMPRODUCT($AI$16:$DF$16,'Staff Daily sales'!$G1148:$CD1148))</f>
        <v>0</v>
      </c>
      <c r="W1163">
        <f t="shared" si="303"/>
        <v>0</v>
      </c>
      <c r="X1163">
        <f t="shared" si="304"/>
        <v>0</v>
      </c>
      <c r="Y1163">
        <f t="shared" si="305"/>
        <v>0</v>
      </c>
      <c r="Z1163">
        <f t="shared" si="306"/>
        <v>0</v>
      </c>
      <c r="AA1163">
        <f t="shared" si="307"/>
        <v>0</v>
      </c>
      <c r="AB1163">
        <f>--AND($E1163=1,OR('Staff Weekly Trend'!$B$3="All",$DH1163='Staff Weekly Trend'!$B$3),OR('Staff Weekly Trend'!$B$4="All",$D1163='Staff Weekly Trend'!$B$4),OR('Staff Weekly Trend'!$B$5="All",$A1163='Staff Weekly Trend'!$B$5))</f>
        <v>0</v>
      </c>
      <c r="AC1163" t="str">
        <f t="shared" si="308"/>
        <v/>
      </c>
      <c r="AI1163">
        <f t="shared" si="309"/>
        <v>0</v>
      </c>
      <c r="AJ1163">
        <f t="shared" si="310"/>
        <v>0</v>
      </c>
      <c r="AK1163">
        <f t="shared" si="311"/>
        <v>0</v>
      </c>
      <c r="AL1163">
        <f t="shared" si="312"/>
        <v>0</v>
      </c>
      <c r="AM1163">
        <f t="shared" si="313"/>
        <v>0</v>
      </c>
      <c r="DH1163" t="str" cm="1">
        <f t="array" ref="DH1163">IF($A1163="","",_xlfn.LET(_xlpm.c,IFERROR(_xlfn.XLOOKUP($A1163,TRIM('Sales and count'!$A$4:$A$300&amp;""),TRIM('Sales and count'!$B$4:$B$300&amp;"")),""),IF(OR(_xlpm.c="",_xlpm.c="0",LEFT(_xlpm.c,1)="#"),"Not set",_xlpm.c)))</f>
        <v/>
      </c>
    </row>
    <row r="1164" spans="1:112" x14ac:dyDescent="0.25">
      <c r="A1164" t="str">
        <f>IF('Staff Daily sales'!$B1149="","",TRIM('Staff Daily sales'!$B1149&amp;""))</f>
        <v/>
      </c>
      <c r="B1164" t="str">
        <f>IF('Staff Daily sales'!$D1149="","",TRIM('Staff Daily sales'!$D1149&amp;""))</f>
        <v/>
      </c>
      <c r="C1164" t="str">
        <f>IFERROR(TRIM('Staff Daily sales'!$E1149&amp;""),"")</f>
        <v/>
      </c>
      <c r="D1164" t="str">
        <f>IFERROR(IF(TRIM('Staff Daily sales'!$F1149&amp;"")="","Unassigned",TRIM('Staff Daily sales'!$F1149&amp;"")),"Unassigned")</f>
        <v>Unassigned</v>
      </c>
      <c r="E1164">
        <f t="shared" si="298"/>
        <v>0</v>
      </c>
      <c r="F1164">
        <f>IF($E1164=0,0,SUMPRODUCT($AI$5:$DF$5,'Staff Daily sales'!$G1149:$CD1149))</f>
        <v>0</v>
      </c>
      <c r="G1164">
        <f>IF($E1164=0,0,SUMPRODUCT($AI$6:$DF$6,'Staff Daily sales'!$G1149:$CD1149))</f>
        <v>0</v>
      </c>
      <c r="H1164">
        <f t="shared" si="299"/>
        <v>0</v>
      </c>
      <c r="I1164">
        <f t="shared" si="300"/>
        <v>0</v>
      </c>
      <c r="J1164">
        <f t="shared" si="301"/>
        <v>0</v>
      </c>
      <c r="K1164">
        <f t="shared" si="302"/>
        <v>0</v>
      </c>
      <c r="L1164">
        <f>--AND($E1164=1,OR('Staff Dashboard'!$B$6="All",$DH1164='Staff Dashboard'!$B$6),OR('Staff Dashboard'!$B$7="All",$D1164='Staff Dashboard'!$B$7),OR('Staff Dashboard'!$B$8="All",$A1164='Staff Dashboard'!$B$8))</f>
        <v>0</v>
      </c>
      <c r="M1164">
        <f>IF($E1164=0,0,SUMPRODUCT($AI$7:$DF$7,'Staff Daily sales'!$G1149:$CD1149))</f>
        <v>0</v>
      </c>
      <c r="N1164">
        <f>IF($E1164=0,0,SUMPRODUCT($AI$8:$DF$8,'Staff Daily sales'!$G1149:$CD1149))</f>
        <v>0</v>
      </c>
      <c r="O1164">
        <f>IF($E1164=0,0,SUMPRODUCT($AI$9:$DF$9,'Staff Daily sales'!$G1149:$CD1149))</f>
        <v>0</v>
      </c>
      <c r="P1164">
        <f>IF($E1164=0,0,SUMPRODUCT($AI$10:$DF$10,'Staff Daily sales'!$G1149:$CD1149))</f>
        <v>0</v>
      </c>
      <c r="Q1164">
        <f>IF($E1164=0,0,SUMPRODUCT($AI$11:$DF$11,'Staff Daily sales'!$G1149:$CD1149))</f>
        <v>0</v>
      </c>
      <c r="R1164">
        <f>IF($E1164=0,0,SUMPRODUCT($AI$12:$DF$12,'Staff Daily sales'!$G1149:$CD1149))</f>
        <v>0</v>
      </c>
      <c r="S1164">
        <f>IF($E1164=0,0,SUMPRODUCT($AI$13:$DF$13,'Staff Daily sales'!$G1149:$CD1149))</f>
        <v>0</v>
      </c>
      <c r="T1164">
        <f>IF($E1164=0,0,SUMPRODUCT($AI$14:$DF$14,'Staff Daily sales'!$G1149:$CD1149))</f>
        <v>0</v>
      </c>
      <c r="U1164">
        <f>IF($E1164=0,0,SUMPRODUCT($AI$15:$DF$15,'Staff Daily sales'!$G1149:$CD1149))</f>
        <v>0</v>
      </c>
      <c r="V1164">
        <f>IF($E1164=0,0,SUMPRODUCT($AI$16:$DF$16,'Staff Daily sales'!$G1149:$CD1149))</f>
        <v>0</v>
      </c>
      <c r="W1164">
        <f t="shared" si="303"/>
        <v>0</v>
      </c>
      <c r="X1164">
        <f t="shared" si="304"/>
        <v>0</v>
      </c>
      <c r="Y1164">
        <f t="shared" si="305"/>
        <v>0</v>
      </c>
      <c r="Z1164">
        <f t="shared" si="306"/>
        <v>0</v>
      </c>
      <c r="AA1164">
        <f t="shared" si="307"/>
        <v>0</v>
      </c>
      <c r="AB1164">
        <f>--AND($E1164=1,OR('Staff Weekly Trend'!$B$3="All",$DH1164='Staff Weekly Trend'!$B$3),OR('Staff Weekly Trend'!$B$4="All",$D1164='Staff Weekly Trend'!$B$4),OR('Staff Weekly Trend'!$B$5="All",$A1164='Staff Weekly Trend'!$B$5))</f>
        <v>0</v>
      </c>
      <c r="AC1164" t="str">
        <f t="shared" si="308"/>
        <v/>
      </c>
      <c r="AI1164">
        <f t="shared" si="309"/>
        <v>0</v>
      </c>
      <c r="AJ1164">
        <f t="shared" si="310"/>
        <v>0</v>
      </c>
      <c r="AK1164">
        <f t="shared" si="311"/>
        <v>0</v>
      </c>
      <c r="AL1164">
        <f t="shared" si="312"/>
        <v>0</v>
      </c>
      <c r="AM1164">
        <f t="shared" si="313"/>
        <v>0</v>
      </c>
      <c r="DH1164" t="str" cm="1">
        <f t="array" ref="DH1164">IF($A1164="","",_xlfn.LET(_xlpm.c,IFERROR(_xlfn.XLOOKUP($A1164,TRIM('Sales and count'!$A$4:$A$300&amp;""),TRIM('Sales and count'!$B$4:$B$300&amp;"")),""),IF(OR(_xlpm.c="",_xlpm.c="0",LEFT(_xlpm.c,1)="#"),"Not set",_xlpm.c)))</f>
        <v/>
      </c>
    </row>
    <row r="1165" spans="1:112" x14ac:dyDescent="0.25">
      <c r="A1165" t="str">
        <f>IF('Staff Daily sales'!$B1150="","",TRIM('Staff Daily sales'!$B1150&amp;""))</f>
        <v/>
      </c>
      <c r="B1165" t="str">
        <f>IF('Staff Daily sales'!$D1150="","",TRIM('Staff Daily sales'!$D1150&amp;""))</f>
        <v/>
      </c>
      <c r="C1165" t="str">
        <f>IFERROR(TRIM('Staff Daily sales'!$E1150&amp;""),"")</f>
        <v/>
      </c>
      <c r="D1165" t="str">
        <f>IFERROR(IF(TRIM('Staff Daily sales'!$F1150&amp;"")="","Unassigned",TRIM('Staff Daily sales'!$F1150&amp;"")),"Unassigned")</f>
        <v>Unassigned</v>
      </c>
      <c r="E1165">
        <f t="shared" si="298"/>
        <v>0</v>
      </c>
      <c r="F1165">
        <f>IF($E1165=0,0,SUMPRODUCT($AI$5:$DF$5,'Staff Daily sales'!$G1150:$CD1150))</f>
        <v>0</v>
      </c>
      <c r="G1165">
        <f>IF($E1165=0,0,SUMPRODUCT($AI$6:$DF$6,'Staff Daily sales'!$G1150:$CD1150))</f>
        <v>0</v>
      </c>
      <c r="H1165">
        <f t="shared" si="299"/>
        <v>0</v>
      </c>
      <c r="I1165">
        <f t="shared" si="300"/>
        <v>0</v>
      </c>
      <c r="J1165">
        <f t="shared" si="301"/>
        <v>0</v>
      </c>
      <c r="K1165">
        <f t="shared" si="302"/>
        <v>0</v>
      </c>
      <c r="L1165">
        <f>--AND($E1165=1,OR('Staff Dashboard'!$B$6="All",$DH1165='Staff Dashboard'!$B$6),OR('Staff Dashboard'!$B$7="All",$D1165='Staff Dashboard'!$B$7),OR('Staff Dashboard'!$B$8="All",$A1165='Staff Dashboard'!$B$8))</f>
        <v>0</v>
      </c>
      <c r="M1165">
        <f>IF($E1165=0,0,SUMPRODUCT($AI$7:$DF$7,'Staff Daily sales'!$G1150:$CD1150))</f>
        <v>0</v>
      </c>
      <c r="N1165">
        <f>IF($E1165=0,0,SUMPRODUCT($AI$8:$DF$8,'Staff Daily sales'!$G1150:$CD1150))</f>
        <v>0</v>
      </c>
      <c r="O1165">
        <f>IF($E1165=0,0,SUMPRODUCT($AI$9:$DF$9,'Staff Daily sales'!$G1150:$CD1150))</f>
        <v>0</v>
      </c>
      <c r="P1165">
        <f>IF($E1165=0,0,SUMPRODUCT($AI$10:$DF$10,'Staff Daily sales'!$G1150:$CD1150))</f>
        <v>0</v>
      </c>
      <c r="Q1165">
        <f>IF($E1165=0,0,SUMPRODUCT($AI$11:$DF$11,'Staff Daily sales'!$G1150:$CD1150))</f>
        <v>0</v>
      </c>
      <c r="R1165">
        <f>IF($E1165=0,0,SUMPRODUCT($AI$12:$DF$12,'Staff Daily sales'!$G1150:$CD1150))</f>
        <v>0</v>
      </c>
      <c r="S1165">
        <f>IF($E1165=0,0,SUMPRODUCT($AI$13:$DF$13,'Staff Daily sales'!$G1150:$CD1150))</f>
        <v>0</v>
      </c>
      <c r="T1165">
        <f>IF($E1165=0,0,SUMPRODUCT($AI$14:$DF$14,'Staff Daily sales'!$G1150:$CD1150))</f>
        <v>0</v>
      </c>
      <c r="U1165">
        <f>IF($E1165=0,0,SUMPRODUCT($AI$15:$DF$15,'Staff Daily sales'!$G1150:$CD1150))</f>
        <v>0</v>
      </c>
      <c r="V1165">
        <f>IF($E1165=0,0,SUMPRODUCT($AI$16:$DF$16,'Staff Daily sales'!$G1150:$CD1150))</f>
        <v>0</v>
      </c>
      <c r="W1165">
        <f t="shared" si="303"/>
        <v>0</v>
      </c>
      <c r="X1165">
        <f t="shared" si="304"/>
        <v>0</v>
      </c>
      <c r="Y1165">
        <f t="shared" si="305"/>
        <v>0</v>
      </c>
      <c r="Z1165">
        <f t="shared" si="306"/>
        <v>0</v>
      </c>
      <c r="AA1165">
        <f t="shared" si="307"/>
        <v>0</v>
      </c>
      <c r="AB1165">
        <f>--AND($E1165=1,OR('Staff Weekly Trend'!$B$3="All",$DH1165='Staff Weekly Trend'!$B$3),OR('Staff Weekly Trend'!$B$4="All",$D1165='Staff Weekly Trend'!$B$4),OR('Staff Weekly Trend'!$B$5="All",$A1165='Staff Weekly Trend'!$B$5))</f>
        <v>0</v>
      </c>
      <c r="AC1165" t="str">
        <f t="shared" si="308"/>
        <v/>
      </c>
      <c r="AI1165">
        <f t="shared" si="309"/>
        <v>0</v>
      </c>
      <c r="AJ1165">
        <f t="shared" si="310"/>
        <v>0</v>
      </c>
      <c r="AK1165">
        <f t="shared" si="311"/>
        <v>0</v>
      </c>
      <c r="AL1165">
        <f t="shared" si="312"/>
        <v>0</v>
      </c>
      <c r="AM1165">
        <f t="shared" si="313"/>
        <v>0</v>
      </c>
      <c r="DH1165" t="str" cm="1">
        <f t="array" ref="DH1165">IF($A1165="","",_xlfn.LET(_xlpm.c,IFERROR(_xlfn.XLOOKUP($A1165,TRIM('Sales and count'!$A$4:$A$300&amp;""),TRIM('Sales and count'!$B$4:$B$300&amp;"")),""),IF(OR(_xlpm.c="",_xlpm.c="0",LEFT(_xlpm.c,1)="#"),"Not set",_xlpm.c)))</f>
        <v/>
      </c>
    </row>
    <row r="1166" spans="1:112" x14ac:dyDescent="0.25">
      <c r="A1166" t="str">
        <f>IF('Staff Daily sales'!$B1151="","",TRIM('Staff Daily sales'!$B1151&amp;""))</f>
        <v/>
      </c>
      <c r="B1166" t="str">
        <f>IF('Staff Daily sales'!$D1151="","",TRIM('Staff Daily sales'!$D1151&amp;""))</f>
        <v/>
      </c>
      <c r="C1166" t="str">
        <f>IFERROR(TRIM('Staff Daily sales'!$E1151&amp;""),"")</f>
        <v/>
      </c>
      <c r="D1166" t="str">
        <f>IFERROR(IF(TRIM('Staff Daily sales'!$F1151&amp;"")="","Unassigned",TRIM('Staff Daily sales'!$F1151&amp;"")),"Unassigned")</f>
        <v>Unassigned</v>
      </c>
      <c r="E1166">
        <f t="shared" si="298"/>
        <v>0</v>
      </c>
      <c r="F1166">
        <f>IF($E1166=0,0,SUMPRODUCT($AI$5:$DF$5,'Staff Daily sales'!$G1151:$CD1151))</f>
        <v>0</v>
      </c>
      <c r="G1166">
        <f>IF($E1166=0,0,SUMPRODUCT($AI$6:$DF$6,'Staff Daily sales'!$G1151:$CD1151))</f>
        <v>0</v>
      </c>
      <c r="H1166">
        <f t="shared" si="299"/>
        <v>0</v>
      </c>
      <c r="I1166">
        <f t="shared" si="300"/>
        <v>0</v>
      </c>
      <c r="J1166">
        <f t="shared" si="301"/>
        <v>0</v>
      </c>
      <c r="K1166">
        <f t="shared" si="302"/>
        <v>0</v>
      </c>
      <c r="L1166">
        <f>--AND($E1166=1,OR('Staff Dashboard'!$B$6="All",$DH1166='Staff Dashboard'!$B$6),OR('Staff Dashboard'!$B$7="All",$D1166='Staff Dashboard'!$B$7),OR('Staff Dashboard'!$B$8="All",$A1166='Staff Dashboard'!$B$8))</f>
        <v>0</v>
      </c>
      <c r="M1166">
        <f>IF($E1166=0,0,SUMPRODUCT($AI$7:$DF$7,'Staff Daily sales'!$G1151:$CD1151))</f>
        <v>0</v>
      </c>
      <c r="N1166">
        <f>IF($E1166=0,0,SUMPRODUCT($AI$8:$DF$8,'Staff Daily sales'!$G1151:$CD1151))</f>
        <v>0</v>
      </c>
      <c r="O1166">
        <f>IF($E1166=0,0,SUMPRODUCT($AI$9:$DF$9,'Staff Daily sales'!$G1151:$CD1151))</f>
        <v>0</v>
      </c>
      <c r="P1166">
        <f>IF($E1166=0,0,SUMPRODUCT($AI$10:$DF$10,'Staff Daily sales'!$G1151:$CD1151))</f>
        <v>0</v>
      </c>
      <c r="Q1166">
        <f>IF($E1166=0,0,SUMPRODUCT($AI$11:$DF$11,'Staff Daily sales'!$G1151:$CD1151))</f>
        <v>0</v>
      </c>
      <c r="R1166">
        <f>IF($E1166=0,0,SUMPRODUCT($AI$12:$DF$12,'Staff Daily sales'!$G1151:$CD1151))</f>
        <v>0</v>
      </c>
      <c r="S1166">
        <f>IF($E1166=0,0,SUMPRODUCT($AI$13:$DF$13,'Staff Daily sales'!$G1151:$CD1151))</f>
        <v>0</v>
      </c>
      <c r="T1166">
        <f>IF($E1166=0,0,SUMPRODUCT($AI$14:$DF$14,'Staff Daily sales'!$G1151:$CD1151))</f>
        <v>0</v>
      </c>
      <c r="U1166">
        <f>IF($E1166=0,0,SUMPRODUCT($AI$15:$DF$15,'Staff Daily sales'!$G1151:$CD1151))</f>
        <v>0</v>
      </c>
      <c r="V1166">
        <f>IF($E1166=0,0,SUMPRODUCT($AI$16:$DF$16,'Staff Daily sales'!$G1151:$CD1151))</f>
        <v>0</v>
      </c>
      <c r="W1166">
        <f t="shared" si="303"/>
        <v>0</v>
      </c>
      <c r="X1166">
        <f t="shared" si="304"/>
        <v>0</v>
      </c>
      <c r="Y1166">
        <f t="shared" si="305"/>
        <v>0</v>
      </c>
      <c r="Z1166">
        <f t="shared" si="306"/>
        <v>0</v>
      </c>
      <c r="AA1166">
        <f t="shared" si="307"/>
        <v>0</v>
      </c>
      <c r="AB1166">
        <f>--AND($E1166=1,OR('Staff Weekly Trend'!$B$3="All",$DH1166='Staff Weekly Trend'!$B$3),OR('Staff Weekly Trend'!$B$4="All",$D1166='Staff Weekly Trend'!$B$4),OR('Staff Weekly Trend'!$B$5="All",$A1166='Staff Weekly Trend'!$B$5))</f>
        <v>0</v>
      </c>
      <c r="AC1166" t="str">
        <f t="shared" si="308"/>
        <v/>
      </c>
      <c r="AI1166">
        <f t="shared" si="309"/>
        <v>0</v>
      </c>
      <c r="AJ1166">
        <f t="shared" si="310"/>
        <v>0</v>
      </c>
      <c r="AK1166">
        <f t="shared" si="311"/>
        <v>0</v>
      </c>
      <c r="AL1166">
        <f t="shared" si="312"/>
        <v>0</v>
      </c>
      <c r="AM1166">
        <f t="shared" si="313"/>
        <v>0</v>
      </c>
      <c r="DH1166" t="str" cm="1">
        <f t="array" ref="DH1166">IF($A1166="","",_xlfn.LET(_xlpm.c,IFERROR(_xlfn.XLOOKUP($A1166,TRIM('Sales and count'!$A$4:$A$300&amp;""),TRIM('Sales and count'!$B$4:$B$300&amp;"")),""),IF(OR(_xlpm.c="",_xlpm.c="0",LEFT(_xlpm.c,1)="#"),"Not set",_xlpm.c)))</f>
        <v/>
      </c>
    </row>
    <row r="1167" spans="1:112" x14ac:dyDescent="0.25">
      <c r="A1167" t="str">
        <f>IF('Staff Daily sales'!$B1152="","",TRIM('Staff Daily sales'!$B1152&amp;""))</f>
        <v/>
      </c>
      <c r="B1167" t="str">
        <f>IF('Staff Daily sales'!$D1152="","",TRIM('Staff Daily sales'!$D1152&amp;""))</f>
        <v/>
      </c>
      <c r="C1167" t="str">
        <f>IFERROR(TRIM('Staff Daily sales'!$E1152&amp;""),"")</f>
        <v/>
      </c>
      <c r="D1167" t="str">
        <f>IFERROR(IF(TRIM('Staff Daily sales'!$F1152&amp;"")="","Unassigned",TRIM('Staff Daily sales'!$F1152&amp;"")),"Unassigned")</f>
        <v>Unassigned</v>
      </c>
      <c r="E1167">
        <f t="shared" si="298"/>
        <v>0</v>
      </c>
      <c r="F1167">
        <f>IF($E1167=0,0,SUMPRODUCT($AI$5:$DF$5,'Staff Daily sales'!$G1152:$CD1152))</f>
        <v>0</v>
      </c>
      <c r="G1167">
        <f>IF($E1167=0,0,SUMPRODUCT($AI$6:$DF$6,'Staff Daily sales'!$G1152:$CD1152))</f>
        <v>0</v>
      </c>
      <c r="H1167">
        <f t="shared" si="299"/>
        <v>0</v>
      </c>
      <c r="I1167">
        <f t="shared" si="300"/>
        <v>0</v>
      </c>
      <c r="J1167">
        <f t="shared" si="301"/>
        <v>0</v>
      </c>
      <c r="K1167">
        <f t="shared" si="302"/>
        <v>0</v>
      </c>
      <c r="L1167">
        <f>--AND($E1167=1,OR('Staff Dashboard'!$B$6="All",$DH1167='Staff Dashboard'!$B$6),OR('Staff Dashboard'!$B$7="All",$D1167='Staff Dashboard'!$B$7),OR('Staff Dashboard'!$B$8="All",$A1167='Staff Dashboard'!$B$8))</f>
        <v>0</v>
      </c>
      <c r="M1167">
        <f>IF($E1167=0,0,SUMPRODUCT($AI$7:$DF$7,'Staff Daily sales'!$G1152:$CD1152))</f>
        <v>0</v>
      </c>
      <c r="N1167">
        <f>IF($E1167=0,0,SUMPRODUCT($AI$8:$DF$8,'Staff Daily sales'!$G1152:$CD1152))</f>
        <v>0</v>
      </c>
      <c r="O1167">
        <f>IF($E1167=0,0,SUMPRODUCT($AI$9:$DF$9,'Staff Daily sales'!$G1152:$CD1152))</f>
        <v>0</v>
      </c>
      <c r="P1167">
        <f>IF($E1167=0,0,SUMPRODUCT($AI$10:$DF$10,'Staff Daily sales'!$G1152:$CD1152))</f>
        <v>0</v>
      </c>
      <c r="Q1167">
        <f>IF($E1167=0,0,SUMPRODUCT($AI$11:$DF$11,'Staff Daily sales'!$G1152:$CD1152))</f>
        <v>0</v>
      </c>
      <c r="R1167">
        <f>IF($E1167=0,0,SUMPRODUCT($AI$12:$DF$12,'Staff Daily sales'!$G1152:$CD1152))</f>
        <v>0</v>
      </c>
      <c r="S1167">
        <f>IF($E1167=0,0,SUMPRODUCT($AI$13:$DF$13,'Staff Daily sales'!$G1152:$CD1152))</f>
        <v>0</v>
      </c>
      <c r="T1167">
        <f>IF($E1167=0,0,SUMPRODUCT($AI$14:$DF$14,'Staff Daily sales'!$G1152:$CD1152))</f>
        <v>0</v>
      </c>
      <c r="U1167">
        <f>IF($E1167=0,0,SUMPRODUCT($AI$15:$DF$15,'Staff Daily sales'!$G1152:$CD1152))</f>
        <v>0</v>
      </c>
      <c r="V1167">
        <f>IF($E1167=0,0,SUMPRODUCT($AI$16:$DF$16,'Staff Daily sales'!$G1152:$CD1152))</f>
        <v>0</v>
      </c>
      <c r="W1167">
        <f t="shared" si="303"/>
        <v>0</v>
      </c>
      <c r="X1167">
        <f t="shared" si="304"/>
        <v>0</v>
      </c>
      <c r="Y1167">
        <f t="shared" si="305"/>
        <v>0</v>
      </c>
      <c r="Z1167">
        <f t="shared" si="306"/>
        <v>0</v>
      </c>
      <c r="AA1167">
        <f t="shared" si="307"/>
        <v>0</v>
      </c>
      <c r="AB1167">
        <f>--AND($E1167=1,OR('Staff Weekly Trend'!$B$3="All",$DH1167='Staff Weekly Trend'!$B$3),OR('Staff Weekly Trend'!$B$4="All",$D1167='Staff Weekly Trend'!$B$4),OR('Staff Weekly Trend'!$B$5="All",$A1167='Staff Weekly Trend'!$B$5))</f>
        <v>0</v>
      </c>
      <c r="AC1167" t="str">
        <f t="shared" si="308"/>
        <v/>
      </c>
      <c r="AI1167">
        <f t="shared" si="309"/>
        <v>0</v>
      </c>
      <c r="AJ1167">
        <f t="shared" si="310"/>
        <v>0</v>
      </c>
      <c r="AK1167">
        <f t="shared" si="311"/>
        <v>0</v>
      </c>
      <c r="AL1167">
        <f t="shared" si="312"/>
        <v>0</v>
      </c>
      <c r="AM1167">
        <f t="shared" si="313"/>
        <v>0</v>
      </c>
      <c r="DH1167" t="str" cm="1">
        <f t="array" ref="DH1167">IF($A1167="","",_xlfn.LET(_xlpm.c,IFERROR(_xlfn.XLOOKUP($A1167,TRIM('Sales and count'!$A$4:$A$300&amp;""),TRIM('Sales and count'!$B$4:$B$300&amp;"")),""),IF(OR(_xlpm.c="",_xlpm.c="0",LEFT(_xlpm.c,1)="#"),"Not set",_xlpm.c)))</f>
        <v/>
      </c>
    </row>
    <row r="1168" spans="1:112" x14ac:dyDescent="0.25">
      <c r="A1168" t="str">
        <f>IF('Staff Daily sales'!$B1153="","",TRIM('Staff Daily sales'!$B1153&amp;""))</f>
        <v/>
      </c>
      <c r="B1168" t="str">
        <f>IF('Staff Daily sales'!$D1153="","",TRIM('Staff Daily sales'!$D1153&amp;""))</f>
        <v/>
      </c>
      <c r="C1168" t="str">
        <f>IFERROR(TRIM('Staff Daily sales'!$E1153&amp;""),"")</f>
        <v/>
      </c>
      <c r="D1168" t="str">
        <f>IFERROR(IF(TRIM('Staff Daily sales'!$F1153&amp;"")="","Unassigned",TRIM('Staff Daily sales'!$F1153&amp;"")),"Unassigned")</f>
        <v>Unassigned</v>
      </c>
      <c r="E1168">
        <f t="shared" si="298"/>
        <v>0</v>
      </c>
      <c r="F1168">
        <f>IF($E1168=0,0,SUMPRODUCT($AI$5:$DF$5,'Staff Daily sales'!$G1153:$CD1153))</f>
        <v>0</v>
      </c>
      <c r="G1168">
        <f>IF($E1168=0,0,SUMPRODUCT($AI$6:$DF$6,'Staff Daily sales'!$G1153:$CD1153))</f>
        <v>0</v>
      </c>
      <c r="H1168">
        <f t="shared" si="299"/>
        <v>0</v>
      </c>
      <c r="I1168">
        <f t="shared" si="300"/>
        <v>0</v>
      </c>
      <c r="J1168">
        <f t="shared" si="301"/>
        <v>0</v>
      </c>
      <c r="K1168">
        <f t="shared" si="302"/>
        <v>0</v>
      </c>
      <c r="L1168">
        <f>--AND($E1168=1,OR('Staff Dashboard'!$B$6="All",$DH1168='Staff Dashboard'!$B$6),OR('Staff Dashboard'!$B$7="All",$D1168='Staff Dashboard'!$B$7),OR('Staff Dashboard'!$B$8="All",$A1168='Staff Dashboard'!$B$8))</f>
        <v>0</v>
      </c>
      <c r="M1168">
        <f>IF($E1168=0,0,SUMPRODUCT($AI$7:$DF$7,'Staff Daily sales'!$G1153:$CD1153))</f>
        <v>0</v>
      </c>
      <c r="N1168">
        <f>IF($E1168=0,0,SUMPRODUCT($AI$8:$DF$8,'Staff Daily sales'!$G1153:$CD1153))</f>
        <v>0</v>
      </c>
      <c r="O1168">
        <f>IF($E1168=0,0,SUMPRODUCT($AI$9:$DF$9,'Staff Daily sales'!$G1153:$CD1153))</f>
        <v>0</v>
      </c>
      <c r="P1168">
        <f>IF($E1168=0,0,SUMPRODUCT($AI$10:$DF$10,'Staff Daily sales'!$G1153:$CD1153))</f>
        <v>0</v>
      </c>
      <c r="Q1168">
        <f>IF($E1168=0,0,SUMPRODUCT($AI$11:$DF$11,'Staff Daily sales'!$G1153:$CD1153))</f>
        <v>0</v>
      </c>
      <c r="R1168">
        <f>IF($E1168=0,0,SUMPRODUCT($AI$12:$DF$12,'Staff Daily sales'!$G1153:$CD1153))</f>
        <v>0</v>
      </c>
      <c r="S1168">
        <f>IF($E1168=0,0,SUMPRODUCT($AI$13:$DF$13,'Staff Daily sales'!$G1153:$CD1153))</f>
        <v>0</v>
      </c>
      <c r="T1168">
        <f>IF($E1168=0,0,SUMPRODUCT($AI$14:$DF$14,'Staff Daily sales'!$G1153:$CD1153))</f>
        <v>0</v>
      </c>
      <c r="U1168">
        <f>IF($E1168=0,0,SUMPRODUCT($AI$15:$DF$15,'Staff Daily sales'!$G1153:$CD1153))</f>
        <v>0</v>
      </c>
      <c r="V1168">
        <f>IF($E1168=0,0,SUMPRODUCT($AI$16:$DF$16,'Staff Daily sales'!$G1153:$CD1153))</f>
        <v>0</v>
      </c>
      <c r="W1168">
        <f t="shared" si="303"/>
        <v>0</v>
      </c>
      <c r="X1168">
        <f t="shared" si="304"/>
        <v>0</v>
      </c>
      <c r="Y1168">
        <f t="shared" si="305"/>
        <v>0</v>
      </c>
      <c r="Z1168">
        <f t="shared" si="306"/>
        <v>0</v>
      </c>
      <c r="AA1168">
        <f t="shared" si="307"/>
        <v>0</v>
      </c>
      <c r="AB1168">
        <f>--AND($E1168=1,OR('Staff Weekly Trend'!$B$3="All",$DH1168='Staff Weekly Trend'!$B$3),OR('Staff Weekly Trend'!$B$4="All",$D1168='Staff Weekly Trend'!$B$4),OR('Staff Weekly Trend'!$B$5="All",$A1168='Staff Weekly Trend'!$B$5))</f>
        <v>0</v>
      </c>
      <c r="AC1168" t="str">
        <f t="shared" si="308"/>
        <v/>
      </c>
      <c r="AI1168">
        <f t="shared" si="309"/>
        <v>0</v>
      </c>
      <c r="AJ1168">
        <f t="shared" si="310"/>
        <v>0</v>
      </c>
      <c r="AK1168">
        <f t="shared" si="311"/>
        <v>0</v>
      </c>
      <c r="AL1168">
        <f t="shared" si="312"/>
        <v>0</v>
      </c>
      <c r="AM1168">
        <f t="shared" si="313"/>
        <v>0</v>
      </c>
      <c r="DH1168" t="str" cm="1">
        <f t="array" ref="DH1168">IF($A1168="","",_xlfn.LET(_xlpm.c,IFERROR(_xlfn.XLOOKUP($A1168,TRIM('Sales and count'!$A$4:$A$300&amp;""),TRIM('Sales and count'!$B$4:$B$300&amp;"")),""),IF(OR(_xlpm.c="",_xlpm.c="0",LEFT(_xlpm.c,1)="#"),"Not set",_xlpm.c)))</f>
        <v/>
      </c>
    </row>
    <row r="1169" spans="1:112" x14ac:dyDescent="0.25">
      <c r="A1169" t="str">
        <f>IF('Staff Daily sales'!$B1154="","",TRIM('Staff Daily sales'!$B1154&amp;""))</f>
        <v/>
      </c>
      <c r="B1169" t="str">
        <f>IF('Staff Daily sales'!$D1154="","",TRIM('Staff Daily sales'!$D1154&amp;""))</f>
        <v/>
      </c>
      <c r="C1169" t="str">
        <f>IFERROR(TRIM('Staff Daily sales'!$E1154&amp;""),"")</f>
        <v/>
      </c>
      <c r="D1169" t="str">
        <f>IFERROR(IF(TRIM('Staff Daily sales'!$F1154&amp;"")="","Unassigned",TRIM('Staff Daily sales'!$F1154&amp;"")),"Unassigned")</f>
        <v>Unassigned</v>
      </c>
      <c r="E1169">
        <f t="shared" si="298"/>
        <v>0</v>
      </c>
      <c r="F1169">
        <f>IF($E1169=0,0,SUMPRODUCT($AI$5:$DF$5,'Staff Daily sales'!$G1154:$CD1154))</f>
        <v>0</v>
      </c>
      <c r="G1169">
        <f>IF($E1169=0,0,SUMPRODUCT($AI$6:$DF$6,'Staff Daily sales'!$G1154:$CD1154))</f>
        <v>0</v>
      </c>
      <c r="H1169">
        <f t="shared" si="299"/>
        <v>0</v>
      </c>
      <c r="I1169">
        <f t="shared" si="300"/>
        <v>0</v>
      </c>
      <c r="J1169">
        <f t="shared" si="301"/>
        <v>0</v>
      </c>
      <c r="K1169">
        <f t="shared" si="302"/>
        <v>0</v>
      </c>
      <c r="L1169">
        <f>--AND($E1169=1,OR('Staff Dashboard'!$B$6="All",$DH1169='Staff Dashboard'!$B$6),OR('Staff Dashboard'!$B$7="All",$D1169='Staff Dashboard'!$B$7),OR('Staff Dashboard'!$B$8="All",$A1169='Staff Dashboard'!$B$8))</f>
        <v>0</v>
      </c>
      <c r="M1169">
        <f>IF($E1169=0,0,SUMPRODUCT($AI$7:$DF$7,'Staff Daily sales'!$G1154:$CD1154))</f>
        <v>0</v>
      </c>
      <c r="N1169">
        <f>IF($E1169=0,0,SUMPRODUCT($AI$8:$DF$8,'Staff Daily sales'!$G1154:$CD1154))</f>
        <v>0</v>
      </c>
      <c r="O1169">
        <f>IF($E1169=0,0,SUMPRODUCT($AI$9:$DF$9,'Staff Daily sales'!$G1154:$CD1154))</f>
        <v>0</v>
      </c>
      <c r="P1169">
        <f>IF($E1169=0,0,SUMPRODUCT($AI$10:$DF$10,'Staff Daily sales'!$G1154:$CD1154))</f>
        <v>0</v>
      </c>
      <c r="Q1169">
        <f>IF($E1169=0,0,SUMPRODUCT($AI$11:$DF$11,'Staff Daily sales'!$G1154:$CD1154))</f>
        <v>0</v>
      </c>
      <c r="R1169">
        <f>IF($E1169=0,0,SUMPRODUCT($AI$12:$DF$12,'Staff Daily sales'!$G1154:$CD1154))</f>
        <v>0</v>
      </c>
      <c r="S1169">
        <f>IF($E1169=0,0,SUMPRODUCT($AI$13:$DF$13,'Staff Daily sales'!$G1154:$CD1154))</f>
        <v>0</v>
      </c>
      <c r="T1169">
        <f>IF($E1169=0,0,SUMPRODUCT($AI$14:$DF$14,'Staff Daily sales'!$G1154:$CD1154))</f>
        <v>0</v>
      </c>
      <c r="U1169">
        <f>IF($E1169=0,0,SUMPRODUCT($AI$15:$DF$15,'Staff Daily sales'!$G1154:$CD1154))</f>
        <v>0</v>
      </c>
      <c r="V1169">
        <f>IF($E1169=0,0,SUMPRODUCT($AI$16:$DF$16,'Staff Daily sales'!$G1154:$CD1154))</f>
        <v>0</v>
      </c>
      <c r="W1169">
        <f t="shared" si="303"/>
        <v>0</v>
      </c>
      <c r="X1169">
        <f t="shared" si="304"/>
        <v>0</v>
      </c>
      <c r="Y1169">
        <f t="shared" si="305"/>
        <v>0</v>
      </c>
      <c r="Z1169">
        <f t="shared" si="306"/>
        <v>0</v>
      </c>
      <c r="AA1169">
        <f t="shared" si="307"/>
        <v>0</v>
      </c>
      <c r="AB1169">
        <f>--AND($E1169=1,OR('Staff Weekly Trend'!$B$3="All",$DH1169='Staff Weekly Trend'!$B$3),OR('Staff Weekly Trend'!$B$4="All",$D1169='Staff Weekly Trend'!$B$4),OR('Staff Weekly Trend'!$B$5="All",$A1169='Staff Weekly Trend'!$B$5))</f>
        <v>0</v>
      </c>
      <c r="AC1169" t="str">
        <f t="shared" si="308"/>
        <v/>
      </c>
      <c r="AI1169">
        <f t="shared" si="309"/>
        <v>0</v>
      </c>
      <c r="AJ1169">
        <f t="shared" si="310"/>
        <v>0</v>
      </c>
      <c r="AK1169">
        <f t="shared" si="311"/>
        <v>0</v>
      </c>
      <c r="AL1169">
        <f t="shared" si="312"/>
        <v>0</v>
      </c>
      <c r="AM1169">
        <f t="shared" si="313"/>
        <v>0</v>
      </c>
      <c r="DH1169" t="str" cm="1">
        <f t="array" ref="DH1169">IF($A1169="","",_xlfn.LET(_xlpm.c,IFERROR(_xlfn.XLOOKUP($A1169,TRIM('Sales and count'!$A$4:$A$300&amp;""),TRIM('Sales and count'!$B$4:$B$300&amp;"")),""),IF(OR(_xlpm.c="",_xlpm.c="0",LEFT(_xlpm.c,1)="#"),"Not set",_xlpm.c)))</f>
        <v/>
      </c>
    </row>
    <row r="1170" spans="1:112" x14ac:dyDescent="0.25">
      <c r="A1170" t="str">
        <f>IF('Staff Daily sales'!$B1155="","",TRIM('Staff Daily sales'!$B1155&amp;""))</f>
        <v/>
      </c>
      <c r="B1170" t="str">
        <f>IF('Staff Daily sales'!$D1155="","",TRIM('Staff Daily sales'!$D1155&amp;""))</f>
        <v/>
      </c>
      <c r="C1170" t="str">
        <f>IFERROR(TRIM('Staff Daily sales'!$E1155&amp;""),"")</f>
        <v/>
      </c>
      <c r="D1170" t="str">
        <f>IFERROR(IF(TRIM('Staff Daily sales'!$F1155&amp;"")="","Unassigned",TRIM('Staff Daily sales'!$F1155&amp;"")),"Unassigned")</f>
        <v>Unassigned</v>
      </c>
      <c r="E1170">
        <f t="shared" si="298"/>
        <v>0</v>
      </c>
      <c r="F1170">
        <f>IF($E1170=0,0,SUMPRODUCT($AI$5:$DF$5,'Staff Daily sales'!$G1155:$CD1155))</f>
        <v>0</v>
      </c>
      <c r="G1170">
        <f>IF($E1170=0,0,SUMPRODUCT($AI$6:$DF$6,'Staff Daily sales'!$G1155:$CD1155))</f>
        <v>0</v>
      </c>
      <c r="H1170">
        <f t="shared" si="299"/>
        <v>0</v>
      </c>
      <c r="I1170">
        <f t="shared" si="300"/>
        <v>0</v>
      </c>
      <c r="J1170">
        <f t="shared" si="301"/>
        <v>0</v>
      </c>
      <c r="K1170">
        <f t="shared" si="302"/>
        <v>0</v>
      </c>
      <c r="L1170">
        <f>--AND($E1170=1,OR('Staff Dashboard'!$B$6="All",$DH1170='Staff Dashboard'!$B$6),OR('Staff Dashboard'!$B$7="All",$D1170='Staff Dashboard'!$B$7),OR('Staff Dashboard'!$B$8="All",$A1170='Staff Dashboard'!$B$8))</f>
        <v>0</v>
      </c>
      <c r="M1170">
        <f>IF($E1170=0,0,SUMPRODUCT($AI$7:$DF$7,'Staff Daily sales'!$G1155:$CD1155))</f>
        <v>0</v>
      </c>
      <c r="N1170">
        <f>IF($E1170=0,0,SUMPRODUCT($AI$8:$DF$8,'Staff Daily sales'!$G1155:$CD1155))</f>
        <v>0</v>
      </c>
      <c r="O1170">
        <f>IF($E1170=0,0,SUMPRODUCT($AI$9:$DF$9,'Staff Daily sales'!$G1155:$CD1155))</f>
        <v>0</v>
      </c>
      <c r="P1170">
        <f>IF($E1170=0,0,SUMPRODUCT($AI$10:$DF$10,'Staff Daily sales'!$G1155:$CD1155))</f>
        <v>0</v>
      </c>
      <c r="Q1170">
        <f>IF($E1170=0,0,SUMPRODUCT($AI$11:$DF$11,'Staff Daily sales'!$G1155:$CD1155))</f>
        <v>0</v>
      </c>
      <c r="R1170">
        <f>IF($E1170=0,0,SUMPRODUCT($AI$12:$DF$12,'Staff Daily sales'!$G1155:$CD1155))</f>
        <v>0</v>
      </c>
      <c r="S1170">
        <f>IF($E1170=0,0,SUMPRODUCT($AI$13:$DF$13,'Staff Daily sales'!$G1155:$CD1155))</f>
        <v>0</v>
      </c>
      <c r="T1170">
        <f>IF($E1170=0,0,SUMPRODUCT($AI$14:$DF$14,'Staff Daily sales'!$G1155:$CD1155))</f>
        <v>0</v>
      </c>
      <c r="U1170">
        <f>IF($E1170=0,0,SUMPRODUCT($AI$15:$DF$15,'Staff Daily sales'!$G1155:$CD1155))</f>
        <v>0</v>
      </c>
      <c r="V1170">
        <f>IF($E1170=0,0,SUMPRODUCT($AI$16:$DF$16,'Staff Daily sales'!$G1155:$CD1155))</f>
        <v>0</v>
      </c>
      <c r="W1170">
        <f t="shared" si="303"/>
        <v>0</v>
      </c>
      <c r="X1170">
        <f t="shared" si="304"/>
        <v>0</v>
      </c>
      <c r="Y1170">
        <f t="shared" si="305"/>
        <v>0</v>
      </c>
      <c r="Z1170">
        <f t="shared" si="306"/>
        <v>0</v>
      </c>
      <c r="AA1170">
        <f t="shared" si="307"/>
        <v>0</v>
      </c>
      <c r="AB1170">
        <f>--AND($E1170=1,OR('Staff Weekly Trend'!$B$3="All",$DH1170='Staff Weekly Trend'!$B$3),OR('Staff Weekly Trend'!$B$4="All",$D1170='Staff Weekly Trend'!$B$4),OR('Staff Weekly Trend'!$B$5="All",$A1170='Staff Weekly Trend'!$B$5))</f>
        <v>0</v>
      </c>
      <c r="AC1170" t="str">
        <f t="shared" si="308"/>
        <v/>
      </c>
      <c r="AI1170">
        <f t="shared" si="309"/>
        <v>0</v>
      </c>
      <c r="AJ1170">
        <f t="shared" si="310"/>
        <v>0</v>
      </c>
      <c r="AK1170">
        <f t="shared" si="311"/>
        <v>0</v>
      </c>
      <c r="AL1170">
        <f t="shared" si="312"/>
        <v>0</v>
      </c>
      <c r="AM1170">
        <f t="shared" si="313"/>
        <v>0</v>
      </c>
      <c r="DH1170" t="str" cm="1">
        <f t="array" ref="DH1170">IF($A1170="","",_xlfn.LET(_xlpm.c,IFERROR(_xlfn.XLOOKUP($A1170,TRIM('Sales and count'!$A$4:$A$300&amp;""),TRIM('Sales and count'!$B$4:$B$300&amp;"")),""),IF(OR(_xlpm.c="",_xlpm.c="0",LEFT(_xlpm.c,1)="#"),"Not set",_xlpm.c)))</f>
        <v/>
      </c>
    </row>
    <row r="1171" spans="1:112" x14ac:dyDescent="0.25">
      <c r="A1171" t="str">
        <f>IF('Staff Daily sales'!$B1156="","",TRIM('Staff Daily sales'!$B1156&amp;""))</f>
        <v/>
      </c>
      <c r="B1171" t="str">
        <f>IF('Staff Daily sales'!$D1156="","",TRIM('Staff Daily sales'!$D1156&amp;""))</f>
        <v/>
      </c>
      <c r="C1171" t="str">
        <f>IFERROR(TRIM('Staff Daily sales'!$E1156&amp;""),"")</f>
        <v/>
      </c>
      <c r="D1171" t="str">
        <f>IFERROR(IF(TRIM('Staff Daily sales'!$F1156&amp;"")="","Unassigned",TRIM('Staff Daily sales'!$F1156&amp;"")),"Unassigned")</f>
        <v>Unassigned</v>
      </c>
      <c r="E1171">
        <f t="shared" si="298"/>
        <v>0</v>
      </c>
      <c r="F1171">
        <f>IF($E1171=0,0,SUMPRODUCT($AI$5:$DF$5,'Staff Daily sales'!$G1156:$CD1156))</f>
        <v>0</v>
      </c>
      <c r="G1171">
        <f>IF($E1171=0,0,SUMPRODUCT($AI$6:$DF$6,'Staff Daily sales'!$G1156:$CD1156))</f>
        <v>0</v>
      </c>
      <c r="H1171">
        <f t="shared" si="299"/>
        <v>0</v>
      </c>
      <c r="I1171">
        <f t="shared" si="300"/>
        <v>0</v>
      </c>
      <c r="J1171">
        <f t="shared" si="301"/>
        <v>0</v>
      </c>
      <c r="K1171">
        <f t="shared" si="302"/>
        <v>0</v>
      </c>
      <c r="L1171">
        <f>--AND($E1171=1,OR('Staff Dashboard'!$B$6="All",$DH1171='Staff Dashboard'!$B$6),OR('Staff Dashboard'!$B$7="All",$D1171='Staff Dashboard'!$B$7),OR('Staff Dashboard'!$B$8="All",$A1171='Staff Dashboard'!$B$8))</f>
        <v>0</v>
      </c>
      <c r="M1171">
        <f>IF($E1171=0,0,SUMPRODUCT($AI$7:$DF$7,'Staff Daily sales'!$G1156:$CD1156))</f>
        <v>0</v>
      </c>
      <c r="N1171">
        <f>IF($E1171=0,0,SUMPRODUCT($AI$8:$DF$8,'Staff Daily sales'!$G1156:$CD1156))</f>
        <v>0</v>
      </c>
      <c r="O1171">
        <f>IF($E1171=0,0,SUMPRODUCT($AI$9:$DF$9,'Staff Daily sales'!$G1156:$CD1156))</f>
        <v>0</v>
      </c>
      <c r="P1171">
        <f>IF($E1171=0,0,SUMPRODUCT($AI$10:$DF$10,'Staff Daily sales'!$G1156:$CD1156))</f>
        <v>0</v>
      </c>
      <c r="Q1171">
        <f>IF($E1171=0,0,SUMPRODUCT($AI$11:$DF$11,'Staff Daily sales'!$G1156:$CD1156))</f>
        <v>0</v>
      </c>
      <c r="R1171">
        <f>IF($E1171=0,0,SUMPRODUCT($AI$12:$DF$12,'Staff Daily sales'!$G1156:$CD1156))</f>
        <v>0</v>
      </c>
      <c r="S1171">
        <f>IF($E1171=0,0,SUMPRODUCT($AI$13:$DF$13,'Staff Daily sales'!$G1156:$CD1156))</f>
        <v>0</v>
      </c>
      <c r="T1171">
        <f>IF($E1171=0,0,SUMPRODUCT($AI$14:$DF$14,'Staff Daily sales'!$G1156:$CD1156))</f>
        <v>0</v>
      </c>
      <c r="U1171">
        <f>IF($E1171=0,0,SUMPRODUCT($AI$15:$DF$15,'Staff Daily sales'!$G1156:$CD1156))</f>
        <v>0</v>
      </c>
      <c r="V1171">
        <f>IF($E1171=0,0,SUMPRODUCT($AI$16:$DF$16,'Staff Daily sales'!$G1156:$CD1156))</f>
        <v>0</v>
      </c>
      <c r="W1171">
        <f t="shared" si="303"/>
        <v>0</v>
      </c>
      <c r="X1171">
        <f t="shared" si="304"/>
        <v>0</v>
      </c>
      <c r="Y1171">
        <f t="shared" si="305"/>
        <v>0</v>
      </c>
      <c r="Z1171">
        <f t="shared" si="306"/>
        <v>0</v>
      </c>
      <c r="AA1171">
        <f t="shared" si="307"/>
        <v>0</v>
      </c>
      <c r="AB1171">
        <f>--AND($E1171=1,OR('Staff Weekly Trend'!$B$3="All",$DH1171='Staff Weekly Trend'!$B$3),OR('Staff Weekly Trend'!$B$4="All",$D1171='Staff Weekly Trend'!$B$4),OR('Staff Weekly Trend'!$B$5="All",$A1171='Staff Weekly Trend'!$B$5))</f>
        <v>0</v>
      </c>
      <c r="AC1171" t="str">
        <f t="shared" si="308"/>
        <v/>
      </c>
      <c r="AI1171">
        <f t="shared" si="309"/>
        <v>0</v>
      </c>
      <c r="AJ1171">
        <f t="shared" si="310"/>
        <v>0</v>
      </c>
      <c r="AK1171">
        <f t="shared" si="311"/>
        <v>0</v>
      </c>
      <c r="AL1171">
        <f t="shared" si="312"/>
        <v>0</v>
      </c>
      <c r="AM1171">
        <f t="shared" si="313"/>
        <v>0</v>
      </c>
      <c r="DH1171" t="str" cm="1">
        <f t="array" ref="DH1171">IF($A1171="","",_xlfn.LET(_xlpm.c,IFERROR(_xlfn.XLOOKUP($A1171,TRIM('Sales and count'!$A$4:$A$300&amp;""),TRIM('Sales and count'!$B$4:$B$300&amp;"")),""),IF(OR(_xlpm.c="",_xlpm.c="0",LEFT(_xlpm.c,1)="#"),"Not set",_xlpm.c)))</f>
        <v/>
      </c>
    </row>
    <row r="1172" spans="1:112" x14ac:dyDescent="0.25">
      <c r="A1172" t="str">
        <f>IF('Staff Daily sales'!$B1157="","",TRIM('Staff Daily sales'!$B1157&amp;""))</f>
        <v/>
      </c>
      <c r="B1172" t="str">
        <f>IF('Staff Daily sales'!$D1157="","",TRIM('Staff Daily sales'!$D1157&amp;""))</f>
        <v/>
      </c>
      <c r="C1172" t="str">
        <f>IFERROR(TRIM('Staff Daily sales'!$E1157&amp;""),"")</f>
        <v/>
      </c>
      <c r="D1172" t="str">
        <f>IFERROR(IF(TRIM('Staff Daily sales'!$F1157&amp;"")="","Unassigned",TRIM('Staff Daily sales'!$F1157&amp;"")),"Unassigned")</f>
        <v>Unassigned</v>
      </c>
      <c r="E1172">
        <f t="shared" ref="E1172:E1235" si="314">--AND($A1172&lt;&gt;"",$B1172&lt;&gt;"")</f>
        <v>0</v>
      </c>
      <c r="F1172">
        <f>IF($E1172=0,0,SUMPRODUCT($AI$5:$DF$5,'Staff Daily sales'!$G1157:$CD1157))</f>
        <v>0</v>
      </c>
      <c r="G1172">
        <f>IF($E1172=0,0,SUMPRODUCT($AI$6:$DF$6,'Staff Daily sales'!$G1157:$CD1157))</f>
        <v>0</v>
      </c>
      <c r="H1172">
        <f t="shared" ref="H1172:H1235" si="315">IF($E1172=0,0,SUMIFS($F$20:$F$1515,$A$20:$A$1515,$A1172))</f>
        <v>0</v>
      </c>
      <c r="I1172">
        <f t="shared" ref="I1172:I1235" si="316">IF($E1172=0,0,SUMIFS($G$20:$G$1515,$A$20:$A$1515,$A1172))</f>
        <v>0</v>
      </c>
      <c r="J1172">
        <f t="shared" ref="J1172:J1235" si="317">IF($E1172=0,0,SUMIFS($F$20:$F$1515,$D$20:$D$1515,$D1172))</f>
        <v>0</v>
      </c>
      <c r="K1172">
        <f t="shared" ref="K1172:K1235" si="318">IF($E1172=0,0,SUMIFS($G$20:$G$1515,$D$20:$D$1515,$D1172))</f>
        <v>0</v>
      </c>
      <c r="L1172">
        <f>--AND($E1172=1,OR('Staff Dashboard'!$B$6="All",$DH1172='Staff Dashboard'!$B$6),OR('Staff Dashboard'!$B$7="All",$D1172='Staff Dashboard'!$B$7),OR('Staff Dashboard'!$B$8="All",$A1172='Staff Dashboard'!$B$8))</f>
        <v>0</v>
      </c>
      <c r="M1172">
        <f>IF($E1172=0,0,SUMPRODUCT($AI$7:$DF$7,'Staff Daily sales'!$G1157:$CD1157))</f>
        <v>0</v>
      </c>
      <c r="N1172">
        <f>IF($E1172=0,0,SUMPRODUCT($AI$8:$DF$8,'Staff Daily sales'!$G1157:$CD1157))</f>
        <v>0</v>
      </c>
      <c r="O1172">
        <f>IF($E1172=0,0,SUMPRODUCT($AI$9:$DF$9,'Staff Daily sales'!$G1157:$CD1157))</f>
        <v>0</v>
      </c>
      <c r="P1172">
        <f>IF($E1172=0,0,SUMPRODUCT($AI$10:$DF$10,'Staff Daily sales'!$G1157:$CD1157))</f>
        <v>0</v>
      </c>
      <c r="Q1172">
        <f>IF($E1172=0,0,SUMPRODUCT($AI$11:$DF$11,'Staff Daily sales'!$G1157:$CD1157))</f>
        <v>0</v>
      </c>
      <c r="R1172">
        <f>IF($E1172=0,0,SUMPRODUCT($AI$12:$DF$12,'Staff Daily sales'!$G1157:$CD1157))</f>
        <v>0</v>
      </c>
      <c r="S1172">
        <f>IF($E1172=0,0,SUMPRODUCT($AI$13:$DF$13,'Staff Daily sales'!$G1157:$CD1157))</f>
        <v>0</v>
      </c>
      <c r="T1172">
        <f>IF($E1172=0,0,SUMPRODUCT($AI$14:$DF$14,'Staff Daily sales'!$G1157:$CD1157))</f>
        <v>0</v>
      </c>
      <c r="U1172">
        <f>IF($E1172=0,0,SUMPRODUCT($AI$15:$DF$15,'Staff Daily sales'!$G1157:$CD1157))</f>
        <v>0</v>
      </c>
      <c r="V1172">
        <f>IF($E1172=0,0,SUMPRODUCT($AI$16:$DF$16,'Staff Daily sales'!$G1157:$CD1157))</f>
        <v>0</v>
      </c>
      <c r="W1172">
        <f t="shared" ref="W1172:W1235" si="319">IF($E1172=0,0,SUMIFS(M$20:M$1515,$A$20:$A$1515,$A1172))</f>
        <v>0</v>
      </c>
      <c r="X1172">
        <f t="shared" ref="X1172:X1235" si="320">IF($E1172=0,0,SUMIFS(O$20:O$1515,$A$20:$A$1515,$A1172))</f>
        <v>0</v>
      </c>
      <c r="Y1172">
        <f t="shared" ref="Y1172:Y1235" si="321">IF($E1172=0,0,SUMIFS(Q$20:Q$1515,$A$20:$A$1515,$A1172))</f>
        <v>0</v>
      </c>
      <c r="Z1172">
        <f t="shared" ref="Z1172:Z1235" si="322">IF($E1172=0,0,SUMIFS(S$20:S$1515,$A$20:$A$1515,$A1172))</f>
        <v>0</v>
      </c>
      <c r="AA1172">
        <f t="shared" ref="AA1172:AA1235" si="323">IF($E1172=0,0,SUMIFS(U$20:U$1515,$A$20:$A$1515,$A1172))</f>
        <v>0</v>
      </c>
      <c r="AB1172">
        <f>--AND($E1172=1,OR('Staff Weekly Trend'!$B$3="All",$DH1172='Staff Weekly Trend'!$B$3),OR('Staff Weekly Trend'!$B$4="All",$D1172='Staff Weekly Trend'!$B$4),OR('Staff Weekly Trend'!$B$5="All",$A1172='Staff Weekly Trend'!$B$5))</f>
        <v>0</v>
      </c>
      <c r="AC1172" t="str">
        <f t="shared" ref="AC1172:AC1235" si="324">IF(OR($E1172=0,AND($F1172=0,$G1172=0)),"",COUNTIFS($A$20:$A$1515,$A1172,$E$20:$E$1515,1,$F$20:$F$1515,"&gt;"&amp;$F1172)+1)</f>
        <v/>
      </c>
      <c r="AI1172">
        <f t="shared" ref="AI1172:AI1235" si="325">IF($E1172=0,0,SUMIFS(N$20:N$1515,$A$20:$A$1515,$A1172))</f>
        <v>0</v>
      </c>
      <c r="AJ1172">
        <f t="shared" ref="AJ1172:AJ1235" si="326">IF($E1172=0,0,SUMIFS(P$20:P$1515,$A$20:$A$1515,$A1172))</f>
        <v>0</v>
      </c>
      <c r="AK1172">
        <f t="shared" ref="AK1172:AK1235" si="327">IF($E1172=0,0,SUMIFS(R$20:R$1515,$A$20:$A$1515,$A1172))</f>
        <v>0</v>
      </c>
      <c r="AL1172">
        <f t="shared" ref="AL1172:AL1235" si="328">IF($E1172=0,0,SUMIFS(T$20:T$1515,$A$20:$A$1515,$A1172))</f>
        <v>0</v>
      </c>
      <c r="AM1172">
        <f t="shared" ref="AM1172:AM1235" si="329">IF($E1172=0,0,SUMIFS(V$20:V$1515,$A$20:$A$1515,$A1172))</f>
        <v>0</v>
      </c>
      <c r="DH1172" t="str" cm="1">
        <f t="array" ref="DH1172">IF($A1172="","",_xlfn.LET(_xlpm.c,IFERROR(_xlfn.XLOOKUP($A1172,TRIM('Sales and count'!$A$4:$A$300&amp;""),TRIM('Sales and count'!$B$4:$B$300&amp;"")),""),IF(OR(_xlpm.c="",_xlpm.c="0",LEFT(_xlpm.c,1)="#"),"Not set",_xlpm.c)))</f>
        <v/>
      </c>
    </row>
    <row r="1173" spans="1:112" x14ac:dyDescent="0.25">
      <c r="A1173" t="str">
        <f>IF('Staff Daily sales'!$B1158="","",TRIM('Staff Daily sales'!$B1158&amp;""))</f>
        <v/>
      </c>
      <c r="B1173" t="str">
        <f>IF('Staff Daily sales'!$D1158="","",TRIM('Staff Daily sales'!$D1158&amp;""))</f>
        <v/>
      </c>
      <c r="C1173" t="str">
        <f>IFERROR(TRIM('Staff Daily sales'!$E1158&amp;""),"")</f>
        <v/>
      </c>
      <c r="D1173" t="str">
        <f>IFERROR(IF(TRIM('Staff Daily sales'!$F1158&amp;"")="","Unassigned",TRIM('Staff Daily sales'!$F1158&amp;"")),"Unassigned")</f>
        <v>Unassigned</v>
      </c>
      <c r="E1173">
        <f t="shared" si="314"/>
        <v>0</v>
      </c>
      <c r="F1173">
        <f>IF($E1173=0,0,SUMPRODUCT($AI$5:$DF$5,'Staff Daily sales'!$G1158:$CD1158))</f>
        <v>0</v>
      </c>
      <c r="G1173">
        <f>IF($E1173=0,0,SUMPRODUCT($AI$6:$DF$6,'Staff Daily sales'!$G1158:$CD1158))</f>
        <v>0</v>
      </c>
      <c r="H1173">
        <f t="shared" si="315"/>
        <v>0</v>
      </c>
      <c r="I1173">
        <f t="shared" si="316"/>
        <v>0</v>
      </c>
      <c r="J1173">
        <f t="shared" si="317"/>
        <v>0</v>
      </c>
      <c r="K1173">
        <f t="shared" si="318"/>
        <v>0</v>
      </c>
      <c r="L1173">
        <f>--AND($E1173=1,OR('Staff Dashboard'!$B$6="All",$DH1173='Staff Dashboard'!$B$6),OR('Staff Dashboard'!$B$7="All",$D1173='Staff Dashboard'!$B$7),OR('Staff Dashboard'!$B$8="All",$A1173='Staff Dashboard'!$B$8))</f>
        <v>0</v>
      </c>
      <c r="M1173">
        <f>IF($E1173=0,0,SUMPRODUCT($AI$7:$DF$7,'Staff Daily sales'!$G1158:$CD1158))</f>
        <v>0</v>
      </c>
      <c r="N1173">
        <f>IF($E1173=0,0,SUMPRODUCT($AI$8:$DF$8,'Staff Daily sales'!$G1158:$CD1158))</f>
        <v>0</v>
      </c>
      <c r="O1173">
        <f>IF($E1173=0,0,SUMPRODUCT($AI$9:$DF$9,'Staff Daily sales'!$G1158:$CD1158))</f>
        <v>0</v>
      </c>
      <c r="P1173">
        <f>IF($E1173=0,0,SUMPRODUCT($AI$10:$DF$10,'Staff Daily sales'!$G1158:$CD1158))</f>
        <v>0</v>
      </c>
      <c r="Q1173">
        <f>IF($E1173=0,0,SUMPRODUCT($AI$11:$DF$11,'Staff Daily sales'!$G1158:$CD1158))</f>
        <v>0</v>
      </c>
      <c r="R1173">
        <f>IF($E1173=0,0,SUMPRODUCT($AI$12:$DF$12,'Staff Daily sales'!$G1158:$CD1158))</f>
        <v>0</v>
      </c>
      <c r="S1173">
        <f>IF($E1173=0,0,SUMPRODUCT($AI$13:$DF$13,'Staff Daily sales'!$G1158:$CD1158))</f>
        <v>0</v>
      </c>
      <c r="T1173">
        <f>IF($E1173=0,0,SUMPRODUCT($AI$14:$DF$14,'Staff Daily sales'!$G1158:$CD1158))</f>
        <v>0</v>
      </c>
      <c r="U1173">
        <f>IF($E1173=0,0,SUMPRODUCT($AI$15:$DF$15,'Staff Daily sales'!$G1158:$CD1158))</f>
        <v>0</v>
      </c>
      <c r="V1173">
        <f>IF($E1173=0,0,SUMPRODUCT($AI$16:$DF$16,'Staff Daily sales'!$G1158:$CD1158))</f>
        <v>0</v>
      </c>
      <c r="W1173">
        <f t="shared" si="319"/>
        <v>0</v>
      </c>
      <c r="X1173">
        <f t="shared" si="320"/>
        <v>0</v>
      </c>
      <c r="Y1173">
        <f t="shared" si="321"/>
        <v>0</v>
      </c>
      <c r="Z1173">
        <f t="shared" si="322"/>
        <v>0</v>
      </c>
      <c r="AA1173">
        <f t="shared" si="323"/>
        <v>0</v>
      </c>
      <c r="AB1173">
        <f>--AND($E1173=1,OR('Staff Weekly Trend'!$B$3="All",$DH1173='Staff Weekly Trend'!$B$3),OR('Staff Weekly Trend'!$B$4="All",$D1173='Staff Weekly Trend'!$B$4),OR('Staff Weekly Trend'!$B$5="All",$A1173='Staff Weekly Trend'!$B$5))</f>
        <v>0</v>
      </c>
      <c r="AC1173" t="str">
        <f t="shared" si="324"/>
        <v/>
      </c>
      <c r="AI1173">
        <f t="shared" si="325"/>
        <v>0</v>
      </c>
      <c r="AJ1173">
        <f t="shared" si="326"/>
        <v>0</v>
      </c>
      <c r="AK1173">
        <f t="shared" si="327"/>
        <v>0</v>
      </c>
      <c r="AL1173">
        <f t="shared" si="328"/>
        <v>0</v>
      </c>
      <c r="AM1173">
        <f t="shared" si="329"/>
        <v>0</v>
      </c>
      <c r="DH1173" t="str" cm="1">
        <f t="array" ref="DH1173">IF($A1173="","",_xlfn.LET(_xlpm.c,IFERROR(_xlfn.XLOOKUP($A1173,TRIM('Sales and count'!$A$4:$A$300&amp;""),TRIM('Sales and count'!$B$4:$B$300&amp;"")),""),IF(OR(_xlpm.c="",_xlpm.c="0",LEFT(_xlpm.c,1)="#"),"Not set",_xlpm.c)))</f>
        <v/>
      </c>
    </row>
    <row r="1174" spans="1:112" x14ac:dyDescent="0.25">
      <c r="A1174" t="str">
        <f>IF('Staff Daily sales'!$B1159="","",TRIM('Staff Daily sales'!$B1159&amp;""))</f>
        <v/>
      </c>
      <c r="B1174" t="str">
        <f>IF('Staff Daily sales'!$D1159="","",TRIM('Staff Daily sales'!$D1159&amp;""))</f>
        <v/>
      </c>
      <c r="C1174" t="str">
        <f>IFERROR(TRIM('Staff Daily sales'!$E1159&amp;""),"")</f>
        <v/>
      </c>
      <c r="D1174" t="str">
        <f>IFERROR(IF(TRIM('Staff Daily sales'!$F1159&amp;"")="","Unassigned",TRIM('Staff Daily sales'!$F1159&amp;"")),"Unassigned")</f>
        <v>Unassigned</v>
      </c>
      <c r="E1174">
        <f t="shared" si="314"/>
        <v>0</v>
      </c>
      <c r="F1174">
        <f>IF($E1174=0,0,SUMPRODUCT($AI$5:$DF$5,'Staff Daily sales'!$G1159:$CD1159))</f>
        <v>0</v>
      </c>
      <c r="G1174">
        <f>IF($E1174=0,0,SUMPRODUCT($AI$6:$DF$6,'Staff Daily sales'!$G1159:$CD1159))</f>
        <v>0</v>
      </c>
      <c r="H1174">
        <f t="shared" si="315"/>
        <v>0</v>
      </c>
      <c r="I1174">
        <f t="shared" si="316"/>
        <v>0</v>
      </c>
      <c r="J1174">
        <f t="shared" si="317"/>
        <v>0</v>
      </c>
      <c r="K1174">
        <f t="shared" si="318"/>
        <v>0</v>
      </c>
      <c r="L1174">
        <f>--AND($E1174=1,OR('Staff Dashboard'!$B$6="All",$DH1174='Staff Dashboard'!$B$6),OR('Staff Dashboard'!$B$7="All",$D1174='Staff Dashboard'!$B$7),OR('Staff Dashboard'!$B$8="All",$A1174='Staff Dashboard'!$B$8))</f>
        <v>0</v>
      </c>
      <c r="M1174">
        <f>IF($E1174=0,0,SUMPRODUCT($AI$7:$DF$7,'Staff Daily sales'!$G1159:$CD1159))</f>
        <v>0</v>
      </c>
      <c r="N1174">
        <f>IF($E1174=0,0,SUMPRODUCT($AI$8:$DF$8,'Staff Daily sales'!$G1159:$CD1159))</f>
        <v>0</v>
      </c>
      <c r="O1174">
        <f>IF($E1174=0,0,SUMPRODUCT($AI$9:$DF$9,'Staff Daily sales'!$G1159:$CD1159))</f>
        <v>0</v>
      </c>
      <c r="P1174">
        <f>IF($E1174=0,0,SUMPRODUCT($AI$10:$DF$10,'Staff Daily sales'!$G1159:$CD1159))</f>
        <v>0</v>
      </c>
      <c r="Q1174">
        <f>IF($E1174=0,0,SUMPRODUCT($AI$11:$DF$11,'Staff Daily sales'!$G1159:$CD1159))</f>
        <v>0</v>
      </c>
      <c r="R1174">
        <f>IF($E1174=0,0,SUMPRODUCT($AI$12:$DF$12,'Staff Daily sales'!$G1159:$CD1159))</f>
        <v>0</v>
      </c>
      <c r="S1174">
        <f>IF($E1174=0,0,SUMPRODUCT($AI$13:$DF$13,'Staff Daily sales'!$G1159:$CD1159))</f>
        <v>0</v>
      </c>
      <c r="T1174">
        <f>IF($E1174=0,0,SUMPRODUCT($AI$14:$DF$14,'Staff Daily sales'!$G1159:$CD1159))</f>
        <v>0</v>
      </c>
      <c r="U1174">
        <f>IF($E1174=0,0,SUMPRODUCT($AI$15:$DF$15,'Staff Daily sales'!$G1159:$CD1159))</f>
        <v>0</v>
      </c>
      <c r="V1174">
        <f>IF($E1174=0,0,SUMPRODUCT($AI$16:$DF$16,'Staff Daily sales'!$G1159:$CD1159))</f>
        <v>0</v>
      </c>
      <c r="W1174">
        <f t="shared" si="319"/>
        <v>0</v>
      </c>
      <c r="X1174">
        <f t="shared" si="320"/>
        <v>0</v>
      </c>
      <c r="Y1174">
        <f t="shared" si="321"/>
        <v>0</v>
      </c>
      <c r="Z1174">
        <f t="shared" si="322"/>
        <v>0</v>
      </c>
      <c r="AA1174">
        <f t="shared" si="323"/>
        <v>0</v>
      </c>
      <c r="AB1174">
        <f>--AND($E1174=1,OR('Staff Weekly Trend'!$B$3="All",$DH1174='Staff Weekly Trend'!$B$3),OR('Staff Weekly Trend'!$B$4="All",$D1174='Staff Weekly Trend'!$B$4),OR('Staff Weekly Trend'!$B$5="All",$A1174='Staff Weekly Trend'!$B$5))</f>
        <v>0</v>
      </c>
      <c r="AC1174" t="str">
        <f t="shared" si="324"/>
        <v/>
      </c>
      <c r="AI1174">
        <f t="shared" si="325"/>
        <v>0</v>
      </c>
      <c r="AJ1174">
        <f t="shared" si="326"/>
        <v>0</v>
      </c>
      <c r="AK1174">
        <f t="shared" si="327"/>
        <v>0</v>
      </c>
      <c r="AL1174">
        <f t="shared" si="328"/>
        <v>0</v>
      </c>
      <c r="AM1174">
        <f t="shared" si="329"/>
        <v>0</v>
      </c>
      <c r="DH1174" t="str" cm="1">
        <f t="array" ref="DH1174">IF($A1174="","",_xlfn.LET(_xlpm.c,IFERROR(_xlfn.XLOOKUP($A1174,TRIM('Sales and count'!$A$4:$A$300&amp;""),TRIM('Sales and count'!$B$4:$B$300&amp;"")),""),IF(OR(_xlpm.c="",_xlpm.c="0",LEFT(_xlpm.c,1)="#"),"Not set",_xlpm.c)))</f>
        <v/>
      </c>
    </row>
    <row r="1175" spans="1:112" x14ac:dyDescent="0.25">
      <c r="A1175" t="str">
        <f>IF('Staff Daily sales'!$B1160="","",TRIM('Staff Daily sales'!$B1160&amp;""))</f>
        <v/>
      </c>
      <c r="B1175" t="str">
        <f>IF('Staff Daily sales'!$D1160="","",TRIM('Staff Daily sales'!$D1160&amp;""))</f>
        <v/>
      </c>
      <c r="C1175" t="str">
        <f>IFERROR(TRIM('Staff Daily sales'!$E1160&amp;""),"")</f>
        <v/>
      </c>
      <c r="D1175" t="str">
        <f>IFERROR(IF(TRIM('Staff Daily sales'!$F1160&amp;"")="","Unassigned",TRIM('Staff Daily sales'!$F1160&amp;"")),"Unassigned")</f>
        <v>Unassigned</v>
      </c>
      <c r="E1175">
        <f t="shared" si="314"/>
        <v>0</v>
      </c>
      <c r="F1175">
        <f>IF($E1175=0,0,SUMPRODUCT($AI$5:$DF$5,'Staff Daily sales'!$G1160:$CD1160))</f>
        <v>0</v>
      </c>
      <c r="G1175">
        <f>IF($E1175=0,0,SUMPRODUCT($AI$6:$DF$6,'Staff Daily sales'!$G1160:$CD1160))</f>
        <v>0</v>
      </c>
      <c r="H1175">
        <f t="shared" si="315"/>
        <v>0</v>
      </c>
      <c r="I1175">
        <f t="shared" si="316"/>
        <v>0</v>
      </c>
      <c r="J1175">
        <f t="shared" si="317"/>
        <v>0</v>
      </c>
      <c r="K1175">
        <f t="shared" si="318"/>
        <v>0</v>
      </c>
      <c r="L1175">
        <f>--AND($E1175=1,OR('Staff Dashboard'!$B$6="All",$DH1175='Staff Dashboard'!$B$6),OR('Staff Dashboard'!$B$7="All",$D1175='Staff Dashboard'!$B$7),OR('Staff Dashboard'!$B$8="All",$A1175='Staff Dashboard'!$B$8))</f>
        <v>0</v>
      </c>
      <c r="M1175">
        <f>IF($E1175=0,0,SUMPRODUCT($AI$7:$DF$7,'Staff Daily sales'!$G1160:$CD1160))</f>
        <v>0</v>
      </c>
      <c r="N1175">
        <f>IF($E1175=0,0,SUMPRODUCT($AI$8:$DF$8,'Staff Daily sales'!$G1160:$CD1160))</f>
        <v>0</v>
      </c>
      <c r="O1175">
        <f>IF($E1175=0,0,SUMPRODUCT($AI$9:$DF$9,'Staff Daily sales'!$G1160:$CD1160))</f>
        <v>0</v>
      </c>
      <c r="P1175">
        <f>IF($E1175=0,0,SUMPRODUCT($AI$10:$DF$10,'Staff Daily sales'!$G1160:$CD1160))</f>
        <v>0</v>
      </c>
      <c r="Q1175">
        <f>IF($E1175=0,0,SUMPRODUCT($AI$11:$DF$11,'Staff Daily sales'!$G1160:$CD1160))</f>
        <v>0</v>
      </c>
      <c r="R1175">
        <f>IF($E1175=0,0,SUMPRODUCT($AI$12:$DF$12,'Staff Daily sales'!$G1160:$CD1160))</f>
        <v>0</v>
      </c>
      <c r="S1175">
        <f>IF($E1175=0,0,SUMPRODUCT($AI$13:$DF$13,'Staff Daily sales'!$G1160:$CD1160))</f>
        <v>0</v>
      </c>
      <c r="T1175">
        <f>IF($E1175=0,0,SUMPRODUCT($AI$14:$DF$14,'Staff Daily sales'!$G1160:$CD1160))</f>
        <v>0</v>
      </c>
      <c r="U1175">
        <f>IF($E1175=0,0,SUMPRODUCT($AI$15:$DF$15,'Staff Daily sales'!$G1160:$CD1160))</f>
        <v>0</v>
      </c>
      <c r="V1175">
        <f>IF($E1175=0,0,SUMPRODUCT($AI$16:$DF$16,'Staff Daily sales'!$G1160:$CD1160))</f>
        <v>0</v>
      </c>
      <c r="W1175">
        <f t="shared" si="319"/>
        <v>0</v>
      </c>
      <c r="X1175">
        <f t="shared" si="320"/>
        <v>0</v>
      </c>
      <c r="Y1175">
        <f t="shared" si="321"/>
        <v>0</v>
      </c>
      <c r="Z1175">
        <f t="shared" si="322"/>
        <v>0</v>
      </c>
      <c r="AA1175">
        <f t="shared" si="323"/>
        <v>0</v>
      </c>
      <c r="AB1175">
        <f>--AND($E1175=1,OR('Staff Weekly Trend'!$B$3="All",$DH1175='Staff Weekly Trend'!$B$3),OR('Staff Weekly Trend'!$B$4="All",$D1175='Staff Weekly Trend'!$B$4),OR('Staff Weekly Trend'!$B$5="All",$A1175='Staff Weekly Trend'!$B$5))</f>
        <v>0</v>
      </c>
      <c r="AC1175" t="str">
        <f t="shared" si="324"/>
        <v/>
      </c>
      <c r="AI1175">
        <f t="shared" si="325"/>
        <v>0</v>
      </c>
      <c r="AJ1175">
        <f t="shared" si="326"/>
        <v>0</v>
      </c>
      <c r="AK1175">
        <f t="shared" si="327"/>
        <v>0</v>
      </c>
      <c r="AL1175">
        <f t="shared" si="328"/>
        <v>0</v>
      </c>
      <c r="AM1175">
        <f t="shared" si="329"/>
        <v>0</v>
      </c>
      <c r="DH1175" t="str" cm="1">
        <f t="array" ref="DH1175">IF($A1175="","",_xlfn.LET(_xlpm.c,IFERROR(_xlfn.XLOOKUP($A1175,TRIM('Sales and count'!$A$4:$A$300&amp;""),TRIM('Sales and count'!$B$4:$B$300&amp;"")),""),IF(OR(_xlpm.c="",_xlpm.c="0",LEFT(_xlpm.c,1)="#"),"Not set",_xlpm.c)))</f>
        <v/>
      </c>
    </row>
    <row r="1176" spans="1:112" x14ac:dyDescent="0.25">
      <c r="A1176" t="str">
        <f>IF('Staff Daily sales'!$B1161="","",TRIM('Staff Daily sales'!$B1161&amp;""))</f>
        <v/>
      </c>
      <c r="B1176" t="str">
        <f>IF('Staff Daily sales'!$D1161="","",TRIM('Staff Daily sales'!$D1161&amp;""))</f>
        <v/>
      </c>
      <c r="C1176" t="str">
        <f>IFERROR(TRIM('Staff Daily sales'!$E1161&amp;""),"")</f>
        <v/>
      </c>
      <c r="D1176" t="str">
        <f>IFERROR(IF(TRIM('Staff Daily sales'!$F1161&amp;"")="","Unassigned",TRIM('Staff Daily sales'!$F1161&amp;"")),"Unassigned")</f>
        <v>Unassigned</v>
      </c>
      <c r="E1176">
        <f t="shared" si="314"/>
        <v>0</v>
      </c>
      <c r="F1176">
        <f>IF($E1176=0,0,SUMPRODUCT($AI$5:$DF$5,'Staff Daily sales'!$G1161:$CD1161))</f>
        <v>0</v>
      </c>
      <c r="G1176">
        <f>IF($E1176=0,0,SUMPRODUCT($AI$6:$DF$6,'Staff Daily sales'!$G1161:$CD1161))</f>
        <v>0</v>
      </c>
      <c r="H1176">
        <f t="shared" si="315"/>
        <v>0</v>
      </c>
      <c r="I1176">
        <f t="shared" si="316"/>
        <v>0</v>
      </c>
      <c r="J1176">
        <f t="shared" si="317"/>
        <v>0</v>
      </c>
      <c r="K1176">
        <f t="shared" si="318"/>
        <v>0</v>
      </c>
      <c r="L1176">
        <f>--AND($E1176=1,OR('Staff Dashboard'!$B$6="All",$DH1176='Staff Dashboard'!$B$6),OR('Staff Dashboard'!$B$7="All",$D1176='Staff Dashboard'!$B$7),OR('Staff Dashboard'!$B$8="All",$A1176='Staff Dashboard'!$B$8))</f>
        <v>0</v>
      </c>
      <c r="M1176">
        <f>IF($E1176=0,0,SUMPRODUCT($AI$7:$DF$7,'Staff Daily sales'!$G1161:$CD1161))</f>
        <v>0</v>
      </c>
      <c r="N1176">
        <f>IF($E1176=0,0,SUMPRODUCT($AI$8:$DF$8,'Staff Daily sales'!$G1161:$CD1161))</f>
        <v>0</v>
      </c>
      <c r="O1176">
        <f>IF($E1176=0,0,SUMPRODUCT($AI$9:$DF$9,'Staff Daily sales'!$G1161:$CD1161))</f>
        <v>0</v>
      </c>
      <c r="P1176">
        <f>IF($E1176=0,0,SUMPRODUCT($AI$10:$DF$10,'Staff Daily sales'!$G1161:$CD1161))</f>
        <v>0</v>
      </c>
      <c r="Q1176">
        <f>IF($E1176=0,0,SUMPRODUCT($AI$11:$DF$11,'Staff Daily sales'!$G1161:$CD1161))</f>
        <v>0</v>
      </c>
      <c r="R1176">
        <f>IF($E1176=0,0,SUMPRODUCT($AI$12:$DF$12,'Staff Daily sales'!$G1161:$CD1161))</f>
        <v>0</v>
      </c>
      <c r="S1176">
        <f>IF($E1176=0,0,SUMPRODUCT($AI$13:$DF$13,'Staff Daily sales'!$G1161:$CD1161))</f>
        <v>0</v>
      </c>
      <c r="T1176">
        <f>IF($E1176=0,0,SUMPRODUCT($AI$14:$DF$14,'Staff Daily sales'!$G1161:$CD1161))</f>
        <v>0</v>
      </c>
      <c r="U1176">
        <f>IF($E1176=0,0,SUMPRODUCT($AI$15:$DF$15,'Staff Daily sales'!$G1161:$CD1161))</f>
        <v>0</v>
      </c>
      <c r="V1176">
        <f>IF($E1176=0,0,SUMPRODUCT($AI$16:$DF$16,'Staff Daily sales'!$G1161:$CD1161))</f>
        <v>0</v>
      </c>
      <c r="W1176">
        <f t="shared" si="319"/>
        <v>0</v>
      </c>
      <c r="X1176">
        <f t="shared" si="320"/>
        <v>0</v>
      </c>
      <c r="Y1176">
        <f t="shared" si="321"/>
        <v>0</v>
      </c>
      <c r="Z1176">
        <f t="shared" si="322"/>
        <v>0</v>
      </c>
      <c r="AA1176">
        <f t="shared" si="323"/>
        <v>0</v>
      </c>
      <c r="AB1176">
        <f>--AND($E1176=1,OR('Staff Weekly Trend'!$B$3="All",$DH1176='Staff Weekly Trend'!$B$3),OR('Staff Weekly Trend'!$B$4="All",$D1176='Staff Weekly Trend'!$B$4),OR('Staff Weekly Trend'!$B$5="All",$A1176='Staff Weekly Trend'!$B$5))</f>
        <v>0</v>
      </c>
      <c r="AC1176" t="str">
        <f t="shared" si="324"/>
        <v/>
      </c>
      <c r="AI1176">
        <f t="shared" si="325"/>
        <v>0</v>
      </c>
      <c r="AJ1176">
        <f t="shared" si="326"/>
        <v>0</v>
      </c>
      <c r="AK1176">
        <f t="shared" si="327"/>
        <v>0</v>
      </c>
      <c r="AL1176">
        <f t="shared" si="328"/>
        <v>0</v>
      </c>
      <c r="AM1176">
        <f t="shared" si="329"/>
        <v>0</v>
      </c>
      <c r="DH1176" t="str" cm="1">
        <f t="array" ref="DH1176">IF($A1176="","",_xlfn.LET(_xlpm.c,IFERROR(_xlfn.XLOOKUP($A1176,TRIM('Sales and count'!$A$4:$A$300&amp;""),TRIM('Sales and count'!$B$4:$B$300&amp;"")),""),IF(OR(_xlpm.c="",_xlpm.c="0",LEFT(_xlpm.c,1)="#"),"Not set",_xlpm.c)))</f>
        <v/>
      </c>
    </row>
    <row r="1177" spans="1:112" x14ac:dyDescent="0.25">
      <c r="A1177" t="str">
        <f>IF('Staff Daily sales'!$B1162="","",TRIM('Staff Daily sales'!$B1162&amp;""))</f>
        <v/>
      </c>
      <c r="B1177" t="str">
        <f>IF('Staff Daily sales'!$D1162="","",TRIM('Staff Daily sales'!$D1162&amp;""))</f>
        <v/>
      </c>
      <c r="C1177" t="str">
        <f>IFERROR(TRIM('Staff Daily sales'!$E1162&amp;""),"")</f>
        <v/>
      </c>
      <c r="D1177" t="str">
        <f>IFERROR(IF(TRIM('Staff Daily sales'!$F1162&amp;"")="","Unassigned",TRIM('Staff Daily sales'!$F1162&amp;"")),"Unassigned")</f>
        <v>Unassigned</v>
      </c>
      <c r="E1177">
        <f t="shared" si="314"/>
        <v>0</v>
      </c>
      <c r="F1177">
        <f>IF($E1177=0,0,SUMPRODUCT($AI$5:$DF$5,'Staff Daily sales'!$G1162:$CD1162))</f>
        <v>0</v>
      </c>
      <c r="G1177">
        <f>IF($E1177=0,0,SUMPRODUCT($AI$6:$DF$6,'Staff Daily sales'!$G1162:$CD1162))</f>
        <v>0</v>
      </c>
      <c r="H1177">
        <f t="shared" si="315"/>
        <v>0</v>
      </c>
      <c r="I1177">
        <f t="shared" si="316"/>
        <v>0</v>
      </c>
      <c r="J1177">
        <f t="shared" si="317"/>
        <v>0</v>
      </c>
      <c r="K1177">
        <f t="shared" si="318"/>
        <v>0</v>
      </c>
      <c r="L1177">
        <f>--AND($E1177=1,OR('Staff Dashboard'!$B$6="All",$DH1177='Staff Dashboard'!$B$6),OR('Staff Dashboard'!$B$7="All",$D1177='Staff Dashboard'!$B$7),OR('Staff Dashboard'!$B$8="All",$A1177='Staff Dashboard'!$B$8))</f>
        <v>0</v>
      </c>
      <c r="M1177">
        <f>IF($E1177=0,0,SUMPRODUCT($AI$7:$DF$7,'Staff Daily sales'!$G1162:$CD1162))</f>
        <v>0</v>
      </c>
      <c r="N1177">
        <f>IF($E1177=0,0,SUMPRODUCT($AI$8:$DF$8,'Staff Daily sales'!$G1162:$CD1162))</f>
        <v>0</v>
      </c>
      <c r="O1177">
        <f>IF($E1177=0,0,SUMPRODUCT($AI$9:$DF$9,'Staff Daily sales'!$G1162:$CD1162))</f>
        <v>0</v>
      </c>
      <c r="P1177">
        <f>IF($E1177=0,0,SUMPRODUCT($AI$10:$DF$10,'Staff Daily sales'!$G1162:$CD1162))</f>
        <v>0</v>
      </c>
      <c r="Q1177">
        <f>IF($E1177=0,0,SUMPRODUCT($AI$11:$DF$11,'Staff Daily sales'!$G1162:$CD1162))</f>
        <v>0</v>
      </c>
      <c r="R1177">
        <f>IF($E1177=0,0,SUMPRODUCT($AI$12:$DF$12,'Staff Daily sales'!$G1162:$CD1162))</f>
        <v>0</v>
      </c>
      <c r="S1177">
        <f>IF($E1177=0,0,SUMPRODUCT($AI$13:$DF$13,'Staff Daily sales'!$G1162:$CD1162))</f>
        <v>0</v>
      </c>
      <c r="T1177">
        <f>IF($E1177=0,0,SUMPRODUCT($AI$14:$DF$14,'Staff Daily sales'!$G1162:$CD1162))</f>
        <v>0</v>
      </c>
      <c r="U1177">
        <f>IF($E1177=0,0,SUMPRODUCT($AI$15:$DF$15,'Staff Daily sales'!$G1162:$CD1162))</f>
        <v>0</v>
      </c>
      <c r="V1177">
        <f>IF($E1177=0,0,SUMPRODUCT($AI$16:$DF$16,'Staff Daily sales'!$G1162:$CD1162))</f>
        <v>0</v>
      </c>
      <c r="W1177">
        <f t="shared" si="319"/>
        <v>0</v>
      </c>
      <c r="X1177">
        <f t="shared" si="320"/>
        <v>0</v>
      </c>
      <c r="Y1177">
        <f t="shared" si="321"/>
        <v>0</v>
      </c>
      <c r="Z1177">
        <f t="shared" si="322"/>
        <v>0</v>
      </c>
      <c r="AA1177">
        <f t="shared" si="323"/>
        <v>0</v>
      </c>
      <c r="AB1177">
        <f>--AND($E1177=1,OR('Staff Weekly Trend'!$B$3="All",$DH1177='Staff Weekly Trend'!$B$3),OR('Staff Weekly Trend'!$B$4="All",$D1177='Staff Weekly Trend'!$B$4),OR('Staff Weekly Trend'!$B$5="All",$A1177='Staff Weekly Trend'!$B$5))</f>
        <v>0</v>
      </c>
      <c r="AC1177" t="str">
        <f t="shared" si="324"/>
        <v/>
      </c>
      <c r="AI1177">
        <f t="shared" si="325"/>
        <v>0</v>
      </c>
      <c r="AJ1177">
        <f t="shared" si="326"/>
        <v>0</v>
      </c>
      <c r="AK1177">
        <f t="shared" si="327"/>
        <v>0</v>
      </c>
      <c r="AL1177">
        <f t="shared" si="328"/>
        <v>0</v>
      </c>
      <c r="AM1177">
        <f t="shared" si="329"/>
        <v>0</v>
      </c>
      <c r="DH1177" t="str" cm="1">
        <f t="array" ref="DH1177">IF($A1177="","",_xlfn.LET(_xlpm.c,IFERROR(_xlfn.XLOOKUP($A1177,TRIM('Sales and count'!$A$4:$A$300&amp;""),TRIM('Sales and count'!$B$4:$B$300&amp;"")),""),IF(OR(_xlpm.c="",_xlpm.c="0",LEFT(_xlpm.c,1)="#"),"Not set",_xlpm.c)))</f>
        <v/>
      </c>
    </row>
    <row r="1178" spans="1:112" x14ac:dyDescent="0.25">
      <c r="A1178" t="str">
        <f>IF('Staff Daily sales'!$B1163="","",TRIM('Staff Daily sales'!$B1163&amp;""))</f>
        <v/>
      </c>
      <c r="B1178" t="str">
        <f>IF('Staff Daily sales'!$D1163="","",TRIM('Staff Daily sales'!$D1163&amp;""))</f>
        <v/>
      </c>
      <c r="C1178" t="str">
        <f>IFERROR(TRIM('Staff Daily sales'!$E1163&amp;""),"")</f>
        <v/>
      </c>
      <c r="D1178" t="str">
        <f>IFERROR(IF(TRIM('Staff Daily sales'!$F1163&amp;"")="","Unassigned",TRIM('Staff Daily sales'!$F1163&amp;"")),"Unassigned")</f>
        <v>Unassigned</v>
      </c>
      <c r="E1178">
        <f t="shared" si="314"/>
        <v>0</v>
      </c>
      <c r="F1178">
        <f>IF($E1178=0,0,SUMPRODUCT($AI$5:$DF$5,'Staff Daily sales'!$G1163:$CD1163))</f>
        <v>0</v>
      </c>
      <c r="G1178">
        <f>IF($E1178=0,0,SUMPRODUCT($AI$6:$DF$6,'Staff Daily sales'!$G1163:$CD1163))</f>
        <v>0</v>
      </c>
      <c r="H1178">
        <f t="shared" si="315"/>
        <v>0</v>
      </c>
      <c r="I1178">
        <f t="shared" si="316"/>
        <v>0</v>
      </c>
      <c r="J1178">
        <f t="shared" si="317"/>
        <v>0</v>
      </c>
      <c r="K1178">
        <f t="shared" si="318"/>
        <v>0</v>
      </c>
      <c r="L1178">
        <f>--AND($E1178=1,OR('Staff Dashboard'!$B$6="All",$DH1178='Staff Dashboard'!$B$6),OR('Staff Dashboard'!$B$7="All",$D1178='Staff Dashboard'!$B$7),OR('Staff Dashboard'!$B$8="All",$A1178='Staff Dashboard'!$B$8))</f>
        <v>0</v>
      </c>
      <c r="M1178">
        <f>IF($E1178=0,0,SUMPRODUCT($AI$7:$DF$7,'Staff Daily sales'!$G1163:$CD1163))</f>
        <v>0</v>
      </c>
      <c r="N1178">
        <f>IF($E1178=0,0,SUMPRODUCT($AI$8:$DF$8,'Staff Daily sales'!$G1163:$CD1163))</f>
        <v>0</v>
      </c>
      <c r="O1178">
        <f>IF($E1178=0,0,SUMPRODUCT($AI$9:$DF$9,'Staff Daily sales'!$G1163:$CD1163))</f>
        <v>0</v>
      </c>
      <c r="P1178">
        <f>IF($E1178=0,0,SUMPRODUCT($AI$10:$DF$10,'Staff Daily sales'!$G1163:$CD1163))</f>
        <v>0</v>
      </c>
      <c r="Q1178">
        <f>IF($E1178=0,0,SUMPRODUCT($AI$11:$DF$11,'Staff Daily sales'!$G1163:$CD1163))</f>
        <v>0</v>
      </c>
      <c r="R1178">
        <f>IF($E1178=0,0,SUMPRODUCT($AI$12:$DF$12,'Staff Daily sales'!$G1163:$CD1163))</f>
        <v>0</v>
      </c>
      <c r="S1178">
        <f>IF($E1178=0,0,SUMPRODUCT($AI$13:$DF$13,'Staff Daily sales'!$G1163:$CD1163))</f>
        <v>0</v>
      </c>
      <c r="T1178">
        <f>IF($E1178=0,0,SUMPRODUCT($AI$14:$DF$14,'Staff Daily sales'!$G1163:$CD1163))</f>
        <v>0</v>
      </c>
      <c r="U1178">
        <f>IF($E1178=0,0,SUMPRODUCT($AI$15:$DF$15,'Staff Daily sales'!$G1163:$CD1163))</f>
        <v>0</v>
      </c>
      <c r="V1178">
        <f>IF($E1178=0,0,SUMPRODUCT($AI$16:$DF$16,'Staff Daily sales'!$G1163:$CD1163))</f>
        <v>0</v>
      </c>
      <c r="W1178">
        <f t="shared" si="319"/>
        <v>0</v>
      </c>
      <c r="X1178">
        <f t="shared" si="320"/>
        <v>0</v>
      </c>
      <c r="Y1178">
        <f t="shared" si="321"/>
        <v>0</v>
      </c>
      <c r="Z1178">
        <f t="shared" si="322"/>
        <v>0</v>
      </c>
      <c r="AA1178">
        <f t="shared" si="323"/>
        <v>0</v>
      </c>
      <c r="AB1178">
        <f>--AND($E1178=1,OR('Staff Weekly Trend'!$B$3="All",$DH1178='Staff Weekly Trend'!$B$3),OR('Staff Weekly Trend'!$B$4="All",$D1178='Staff Weekly Trend'!$B$4),OR('Staff Weekly Trend'!$B$5="All",$A1178='Staff Weekly Trend'!$B$5))</f>
        <v>0</v>
      </c>
      <c r="AC1178" t="str">
        <f t="shared" si="324"/>
        <v/>
      </c>
      <c r="AI1178">
        <f t="shared" si="325"/>
        <v>0</v>
      </c>
      <c r="AJ1178">
        <f t="shared" si="326"/>
        <v>0</v>
      </c>
      <c r="AK1178">
        <f t="shared" si="327"/>
        <v>0</v>
      </c>
      <c r="AL1178">
        <f t="shared" si="328"/>
        <v>0</v>
      </c>
      <c r="AM1178">
        <f t="shared" si="329"/>
        <v>0</v>
      </c>
      <c r="DH1178" t="str" cm="1">
        <f t="array" ref="DH1178">IF($A1178="","",_xlfn.LET(_xlpm.c,IFERROR(_xlfn.XLOOKUP($A1178,TRIM('Sales and count'!$A$4:$A$300&amp;""),TRIM('Sales and count'!$B$4:$B$300&amp;"")),""),IF(OR(_xlpm.c="",_xlpm.c="0",LEFT(_xlpm.c,1)="#"),"Not set",_xlpm.c)))</f>
        <v/>
      </c>
    </row>
    <row r="1179" spans="1:112" x14ac:dyDescent="0.25">
      <c r="A1179" t="str">
        <f>IF('Staff Daily sales'!$B1164="","",TRIM('Staff Daily sales'!$B1164&amp;""))</f>
        <v/>
      </c>
      <c r="B1179" t="str">
        <f>IF('Staff Daily sales'!$D1164="","",TRIM('Staff Daily sales'!$D1164&amp;""))</f>
        <v/>
      </c>
      <c r="C1179" t="str">
        <f>IFERROR(TRIM('Staff Daily sales'!$E1164&amp;""),"")</f>
        <v/>
      </c>
      <c r="D1179" t="str">
        <f>IFERROR(IF(TRIM('Staff Daily sales'!$F1164&amp;"")="","Unassigned",TRIM('Staff Daily sales'!$F1164&amp;"")),"Unassigned")</f>
        <v>Unassigned</v>
      </c>
      <c r="E1179">
        <f t="shared" si="314"/>
        <v>0</v>
      </c>
      <c r="F1179">
        <f>IF($E1179=0,0,SUMPRODUCT($AI$5:$DF$5,'Staff Daily sales'!$G1164:$CD1164))</f>
        <v>0</v>
      </c>
      <c r="G1179">
        <f>IF($E1179=0,0,SUMPRODUCT($AI$6:$DF$6,'Staff Daily sales'!$G1164:$CD1164))</f>
        <v>0</v>
      </c>
      <c r="H1179">
        <f t="shared" si="315"/>
        <v>0</v>
      </c>
      <c r="I1179">
        <f t="shared" si="316"/>
        <v>0</v>
      </c>
      <c r="J1179">
        <f t="shared" si="317"/>
        <v>0</v>
      </c>
      <c r="K1179">
        <f t="shared" si="318"/>
        <v>0</v>
      </c>
      <c r="L1179">
        <f>--AND($E1179=1,OR('Staff Dashboard'!$B$6="All",$DH1179='Staff Dashboard'!$B$6),OR('Staff Dashboard'!$B$7="All",$D1179='Staff Dashboard'!$B$7),OR('Staff Dashboard'!$B$8="All",$A1179='Staff Dashboard'!$B$8))</f>
        <v>0</v>
      </c>
      <c r="M1179">
        <f>IF($E1179=0,0,SUMPRODUCT($AI$7:$DF$7,'Staff Daily sales'!$G1164:$CD1164))</f>
        <v>0</v>
      </c>
      <c r="N1179">
        <f>IF($E1179=0,0,SUMPRODUCT($AI$8:$DF$8,'Staff Daily sales'!$G1164:$CD1164))</f>
        <v>0</v>
      </c>
      <c r="O1179">
        <f>IF($E1179=0,0,SUMPRODUCT($AI$9:$DF$9,'Staff Daily sales'!$G1164:$CD1164))</f>
        <v>0</v>
      </c>
      <c r="P1179">
        <f>IF($E1179=0,0,SUMPRODUCT($AI$10:$DF$10,'Staff Daily sales'!$G1164:$CD1164))</f>
        <v>0</v>
      </c>
      <c r="Q1179">
        <f>IF($E1179=0,0,SUMPRODUCT($AI$11:$DF$11,'Staff Daily sales'!$G1164:$CD1164))</f>
        <v>0</v>
      </c>
      <c r="R1179">
        <f>IF($E1179=0,0,SUMPRODUCT($AI$12:$DF$12,'Staff Daily sales'!$G1164:$CD1164))</f>
        <v>0</v>
      </c>
      <c r="S1179">
        <f>IF($E1179=0,0,SUMPRODUCT($AI$13:$DF$13,'Staff Daily sales'!$G1164:$CD1164))</f>
        <v>0</v>
      </c>
      <c r="T1179">
        <f>IF($E1179=0,0,SUMPRODUCT($AI$14:$DF$14,'Staff Daily sales'!$G1164:$CD1164))</f>
        <v>0</v>
      </c>
      <c r="U1179">
        <f>IF($E1179=0,0,SUMPRODUCT($AI$15:$DF$15,'Staff Daily sales'!$G1164:$CD1164))</f>
        <v>0</v>
      </c>
      <c r="V1179">
        <f>IF($E1179=0,0,SUMPRODUCT($AI$16:$DF$16,'Staff Daily sales'!$G1164:$CD1164))</f>
        <v>0</v>
      </c>
      <c r="W1179">
        <f t="shared" si="319"/>
        <v>0</v>
      </c>
      <c r="X1179">
        <f t="shared" si="320"/>
        <v>0</v>
      </c>
      <c r="Y1179">
        <f t="shared" si="321"/>
        <v>0</v>
      </c>
      <c r="Z1179">
        <f t="shared" si="322"/>
        <v>0</v>
      </c>
      <c r="AA1179">
        <f t="shared" si="323"/>
        <v>0</v>
      </c>
      <c r="AB1179">
        <f>--AND($E1179=1,OR('Staff Weekly Trend'!$B$3="All",$DH1179='Staff Weekly Trend'!$B$3),OR('Staff Weekly Trend'!$B$4="All",$D1179='Staff Weekly Trend'!$B$4),OR('Staff Weekly Trend'!$B$5="All",$A1179='Staff Weekly Trend'!$B$5))</f>
        <v>0</v>
      </c>
      <c r="AC1179" t="str">
        <f t="shared" si="324"/>
        <v/>
      </c>
      <c r="AI1179">
        <f t="shared" si="325"/>
        <v>0</v>
      </c>
      <c r="AJ1179">
        <f t="shared" si="326"/>
        <v>0</v>
      </c>
      <c r="AK1179">
        <f t="shared" si="327"/>
        <v>0</v>
      </c>
      <c r="AL1179">
        <f t="shared" si="328"/>
        <v>0</v>
      </c>
      <c r="AM1179">
        <f t="shared" si="329"/>
        <v>0</v>
      </c>
      <c r="DH1179" t="str" cm="1">
        <f t="array" ref="DH1179">IF($A1179="","",_xlfn.LET(_xlpm.c,IFERROR(_xlfn.XLOOKUP($A1179,TRIM('Sales and count'!$A$4:$A$300&amp;""),TRIM('Sales and count'!$B$4:$B$300&amp;"")),""),IF(OR(_xlpm.c="",_xlpm.c="0",LEFT(_xlpm.c,1)="#"),"Not set",_xlpm.c)))</f>
        <v/>
      </c>
    </row>
    <row r="1180" spans="1:112" x14ac:dyDescent="0.25">
      <c r="A1180" t="str">
        <f>IF('Staff Daily sales'!$B1165="","",TRIM('Staff Daily sales'!$B1165&amp;""))</f>
        <v/>
      </c>
      <c r="B1180" t="str">
        <f>IF('Staff Daily sales'!$D1165="","",TRIM('Staff Daily sales'!$D1165&amp;""))</f>
        <v/>
      </c>
      <c r="C1180" t="str">
        <f>IFERROR(TRIM('Staff Daily sales'!$E1165&amp;""),"")</f>
        <v/>
      </c>
      <c r="D1180" t="str">
        <f>IFERROR(IF(TRIM('Staff Daily sales'!$F1165&amp;"")="","Unassigned",TRIM('Staff Daily sales'!$F1165&amp;"")),"Unassigned")</f>
        <v>Unassigned</v>
      </c>
      <c r="E1180">
        <f t="shared" si="314"/>
        <v>0</v>
      </c>
      <c r="F1180">
        <f>IF($E1180=0,0,SUMPRODUCT($AI$5:$DF$5,'Staff Daily sales'!$G1165:$CD1165))</f>
        <v>0</v>
      </c>
      <c r="G1180">
        <f>IF($E1180=0,0,SUMPRODUCT($AI$6:$DF$6,'Staff Daily sales'!$G1165:$CD1165))</f>
        <v>0</v>
      </c>
      <c r="H1180">
        <f t="shared" si="315"/>
        <v>0</v>
      </c>
      <c r="I1180">
        <f t="shared" si="316"/>
        <v>0</v>
      </c>
      <c r="J1180">
        <f t="shared" si="317"/>
        <v>0</v>
      </c>
      <c r="K1180">
        <f t="shared" si="318"/>
        <v>0</v>
      </c>
      <c r="L1180">
        <f>--AND($E1180=1,OR('Staff Dashboard'!$B$6="All",$DH1180='Staff Dashboard'!$B$6),OR('Staff Dashboard'!$B$7="All",$D1180='Staff Dashboard'!$B$7),OR('Staff Dashboard'!$B$8="All",$A1180='Staff Dashboard'!$B$8))</f>
        <v>0</v>
      </c>
      <c r="M1180">
        <f>IF($E1180=0,0,SUMPRODUCT($AI$7:$DF$7,'Staff Daily sales'!$G1165:$CD1165))</f>
        <v>0</v>
      </c>
      <c r="N1180">
        <f>IF($E1180=0,0,SUMPRODUCT($AI$8:$DF$8,'Staff Daily sales'!$G1165:$CD1165))</f>
        <v>0</v>
      </c>
      <c r="O1180">
        <f>IF($E1180=0,0,SUMPRODUCT($AI$9:$DF$9,'Staff Daily sales'!$G1165:$CD1165))</f>
        <v>0</v>
      </c>
      <c r="P1180">
        <f>IF($E1180=0,0,SUMPRODUCT($AI$10:$DF$10,'Staff Daily sales'!$G1165:$CD1165))</f>
        <v>0</v>
      </c>
      <c r="Q1180">
        <f>IF($E1180=0,0,SUMPRODUCT($AI$11:$DF$11,'Staff Daily sales'!$G1165:$CD1165))</f>
        <v>0</v>
      </c>
      <c r="R1180">
        <f>IF($E1180=0,0,SUMPRODUCT($AI$12:$DF$12,'Staff Daily sales'!$G1165:$CD1165))</f>
        <v>0</v>
      </c>
      <c r="S1180">
        <f>IF($E1180=0,0,SUMPRODUCT($AI$13:$DF$13,'Staff Daily sales'!$G1165:$CD1165))</f>
        <v>0</v>
      </c>
      <c r="T1180">
        <f>IF($E1180=0,0,SUMPRODUCT($AI$14:$DF$14,'Staff Daily sales'!$G1165:$CD1165))</f>
        <v>0</v>
      </c>
      <c r="U1180">
        <f>IF($E1180=0,0,SUMPRODUCT($AI$15:$DF$15,'Staff Daily sales'!$G1165:$CD1165))</f>
        <v>0</v>
      </c>
      <c r="V1180">
        <f>IF($E1180=0,0,SUMPRODUCT($AI$16:$DF$16,'Staff Daily sales'!$G1165:$CD1165))</f>
        <v>0</v>
      </c>
      <c r="W1180">
        <f t="shared" si="319"/>
        <v>0</v>
      </c>
      <c r="X1180">
        <f t="shared" si="320"/>
        <v>0</v>
      </c>
      <c r="Y1180">
        <f t="shared" si="321"/>
        <v>0</v>
      </c>
      <c r="Z1180">
        <f t="shared" si="322"/>
        <v>0</v>
      </c>
      <c r="AA1180">
        <f t="shared" si="323"/>
        <v>0</v>
      </c>
      <c r="AB1180">
        <f>--AND($E1180=1,OR('Staff Weekly Trend'!$B$3="All",$DH1180='Staff Weekly Trend'!$B$3),OR('Staff Weekly Trend'!$B$4="All",$D1180='Staff Weekly Trend'!$B$4),OR('Staff Weekly Trend'!$B$5="All",$A1180='Staff Weekly Trend'!$B$5))</f>
        <v>0</v>
      </c>
      <c r="AC1180" t="str">
        <f t="shared" si="324"/>
        <v/>
      </c>
      <c r="AI1180">
        <f t="shared" si="325"/>
        <v>0</v>
      </c>
      <c r="AJ1180">
        <f t="shared" si="326"/>
        <v>0</v>
      </c>
      <c r="AK1180">
        <f t="shared" si="327"/>
        <v>0</v>
      </c>
      <c r="AL1180">
        <f t="shared" si="328"/>
        <v>0</v>
      </c>
      <c r="AM1180">
        <f t="shared" si="329"/>
        <v>0</v>
      </c>
      <c r="DH1180" t="str" cm="1">
        <f t="array" ref="DH1180">IF($A1180="","",_xlfn.LET(_xlpm.c,IFERROR(_xlfn.XLOOKUP($A1180,TRIM('Sales and count'!$A$4:$A$300&amp;""),TRIM('Sales and count'!$B$4:$B$300&amp;"")),""),IF(OR(_xlpm.c="",_xlpm.c="0",LEFT(_xlpm.c,1)="#"),"Not set",_xlpm.c)))</f>
        <v/>
      </c>
    </row>
    <row r="1181" spans="1:112" x14ac:dyDescent="0.25">
      <c r="A1181" t="str">
        <f>IF('Staff Daily sales'!$B1166="","",TRIM('Staff Daily sales'!$B1166&amp;""))</f>
        <v/>
      </c>
      <c r="B1181" t="str">
        <f>IF('Staff Daily sales'!$D1166="","",TRIM('Staff Daily sales'!$D1166&amp;""))</f>
        <v/>
      </c>
      <c r="C1181" t="str">
        <f>IFERROR(TRIM('Staff Daily sales'!$E1166&amp;""),"")</f>
        <v/>
      </c>
      <c r="D1181" t="str">
        <f>IFERROR(IF(TRIM('Staff Daily sales'!$F1166&amp;"")="","Unassigned",TRIM('Staff Daily sales'!$F1166&amp;"")),"Unassigned")</f>
        <v>Unassigned</v>
      </c>
      <c r="E1181">
        <f t="shared" si="314"/>
        <v>0</v>
      </c>
      <c r="F1181">
        <f>IF($E1181=0,0,SUMPRODUCT($AI$5:$DF$5,'Staff Daily sales'!$G1166:$CD1166))</f>
        <v>0</v>
      </c>
      <c r="G1181">
        <f>IF($E1181=0,0,SUMPRODUCT($AI$6:$DF$6,'Staff Daily sales'!$G1166:$CD1166))</f>
        <v>0</v>
      </c>
      <c r="H1181">
        <f t="shared" si="315"/>
        <v>0</v>
      </c>
      <c r="I1181">
        <f t="shared" si="316"/>
        <v>0</v>
      </c>
      <c r="J1181">
        <f t="shared" si="317"/>
        <v>0</v>
      </c>
      <c r="K1181">
        <f t="shared" si="318"/>
        <v>0</v>
      </c>
      <c r="L1181">
        <f>--AND($E1181=1,OR('Staff Dashboard'!$B$6="All",$DH1181='Staff Dashboard'!$B$6),OR('Staff Dashboard'!$B$7="All",$D1181='Staff Dashboard'!$B$7),OR('Staff Dashboard'!$B$8="All",$A1181='Staff Dashboard'!$B$8))</f>
        <v>0</v>
      </c>
      <c r="M1181">
        <f>IF($E1181=0,0,SUMPRODUCT($AI$7:$DF$7,'Staff Daily sales'!$G1166:$CD1166))</f>
        <v>0</v>
      </c>
      <c r="N1181">
        <f>IF($E1181=0,0,SUMPRODUCT($AI$8:$DF$8,'Staff Daily sales'!$G1166:$CD1166))</f>
        <v>0</v>
      </c>
      <c r="O1181">
        <f>IF($E1181=0,0,SUMPRODUCT($AI$9:$DF$9,'Staff Daily sales'!$G1166:$CD1166))</f>
        <v>0</v>
      </c>
      <c r="P1181">
        <f>IF($E1181=0,0,SUMPRODUCT($AI$10:$DF$10,'Staff Daily sales'!$G1166:$CD1166))</f>
        <v>0</v>
      </c>
      <c r="Q1181">
        <f>IF($E1181=0,0,SUMPRODUCT($AI$11:$DF$11,'Staff Daily sales'!$G1166:$CD1166))</f>
        <v>0</v>
      </c>
      <c r="R1181">
        <f>IF($E1181=0,0,SUMPRODUCT($AI$12:$DF$12,'Staff Daily sales'!$G1166:$CD1166))</f>
        <v>0</v>
      </c>
      <c r="S1181">
        <f>IF($E1181=0,0,SUMPRODUCT($AI$13:$DF$13,'Staff Daily sales'!$G1166:$CD1166))</f>
        <v>0</v>
      </c>
      <c r="T1181">
        <f>IF($E1181=0,0,SUMPRODUCT($AI$14:$DF$14,'Staff Daily sales'!$G1166:$CD1166))</f>
        <v>0</v>
      </c>
      <c r="U1181">
        <f>IF($E1181=0,0,SUMPRODUCT($AI$15:$DF$15,'Staff Daily sales'!$G1166:$CD1166))</f>
        <v>0</v>
      </c>
      <c r="V1181">
        <f>IF($E1181=0,0,SUMPRODUCT($AI$16:$DF$16,'Staff Daily sales'!$G1166:$CD1166))</f>
        <v>0</v>
      </c>
      <c r="W1181">
        <f t="shared" si="319"/>
        <v>0</v>
      </c>
      <c r="X1181">
        <f t="shared" si="320"/>
        <v>0</v>
      </c>
      <c r="Y1181">
        <f t="shared" si="321"/>
        <v>0</v>
      </c>
      <c r="Z1181">
        <f t="shared" si="322"/>
        <v>0</v>
      </c>
      <c r="AA1181">
        <f t="shared" si="323"/>
        <v>0</v>
      </c>
      <c r="AB1181">
        <f>--AND($E1181=1,OR('Staff Weekly Trend'!$B$3="All",$DH1181='Staff Weekly Trend'!$B$3),OR('Staff Weekly Trend'!$B$4="All",$D1181='Staff Weekly Trend'!$B$4),OR('Staff Weekly Trend'!$B$5="All",$A1181='Staff Weekly Trend'!$B$5))</f>
        <v>0</v>
      </c>
      <c r="AC1181" t="str">
        <f t="shared" si="324"/>
        <v/>
      </c>
      <c r="AI1181">
        <f t="shared" si="325"/>
        <v>0</v>
      </c>
      <c r="AJ1181">
        <f t="shared" si="326"/>
        <v>0</v>
      </c>
      <c r="AK1181">
        <f t="shared" si="327"/>
        <v>0</v>
      </c>
      <c r="AL1181">
        <f t="shared" si="328"/>
        <v>0</v>
      </c>
      <c r="AM1181">
        <f t="shared" si="329"/>
        <v>0</v>
      </c>
      <c r="DH1181" t="str" cm="1">
        <f t="array" ref="DH1181">IF($A1181="","",_xlfn.LET(_xlpm.c,IFERROR(_xlfn.XLOOKUP($A1181,TRIM('Sales and count'!$A$4:$A$300&amp;""),TRIM('Sales and count'!$B$4:$B$300&amp;"")),""),IF(OR(_xlpm.c="",_xlpm.c="0",LEFT(_xlpm.c,1)="#"),"Not set",_xlpm.c)))</f>
        <v/>
      </c>
    </row>
    <row r="1182" spans="1:112" x14ac:dyDescent="0.25">
      <c r="A1182" t="str">
        <f>IF('Staff Daily sales'!$B1167="","",TRIM('Staff Daily sales'!$B1167&amp;""))</f>
        <v/>
      </c>
      <c r="B1182" t="str">
        <f>IF('Staff Daily sales'!$D1167="","",TRIM('Staff Daily sales'!$D1167&amp;""))</f>
        <v/>
      </c>
      <c r="C1182" t="str">
        <f>IFERROR(TRIM('Staff Daily sales'!$E1167&amp;""),"")</f>
        <v/>
      </c>
      <c r="D1182" t="str">
        <f>IFERROR(IF(TRIM('Staff Daily sales'!$F1167&amp;"")="","Unassigned",TRIM('Staff Daily sales'!$F1167&amp;"")),"Unassigned")</f>
        <v>Unassigned</v>
      </c>
      <c r="E1182">
        <f t="shared" si="314"/>
        <v>0</v>
      </c>
      <c r="F1182">
        <f>IF($E1182=0,0,SUMPRODUCT($AI$5:$DF$5,'Staff Daily sales'!$G1167:$CD1167))</f>
        <v>0</v>
      </c>
      <c r="G1182">
        <f>IF($E1182=0,0,SUMPRODUCT($AI$6:$DF$6,'Staff Daily sales'!$G1167:$CD1167))</f>
        <v>0</v>
      </c>
      <c r="H1182">
        <f t="shared" si="315"/>
        <v>0</v>
      </c>
      <c r="I1182">
        <f t="shared" si="316"/>
        <v>0</v>
      </c>
      <c r="J1182">
        <f t="shared" si="317"/>
        <v>0</v>
      </c>
      <c r="K1182">
        <f t="shared" si="318"/>
        <v>0</v>
      </c>
      <c r="L1182">
        <f>--AND($E1182=1,OR('Staff Dashboard'!$B$6="All",$DH1182='Staff Dashboard'!$B$6),OR('Staff Dashboard'!$B$7="All",$D1182='Staff Dashboard'!$B$7),OR('Staff Dashboard'!$B$8="All",$A1182='Staff Dashboard'!$B$8))</f>
        <v>0</v>
      </c>
      <c r="M1182">
        <f>IF($E1182=0,0,SUMPRODUCT($AI$7:$DF$7,'Staff Daily sales'!$G1167:$CD1167))</f>
        <v>0</v>
      </c>
      <c r="N1182">
        <f>IF($E1182=0,0,SUMPRODUCT($AI$8:$DF$8,'Staff Daily sales'!$G1167:$CD1167))</f>
        <v>0</v>
      </c>
      <c r="O1182">
        <f>IF($E1182=0,0,SUMPRODUCT($AI$9:$DF$9,'Staff Daily sales'!$G1167:$CD1167))</f>
        <v>0</v>
      </c>
      <c r="P1182">
        <f>IF($E1182=0,0,SUMPRODUCT($AI$10:$DF$10,'Staff Daily sales'!$G1167:$CD1167))</f>
        <v>0</v>
      </c>
      <c r="Q1182">
        <f>IF($E1182=0,0,SUMPRODUCT($AI$11:$DF$11,'Staff Daily sales'!$G1167:$CD1167))</f>
        <v>0</v>
      </c>
      <c r="R1182">
        <f>IF($E1182=0,0,SUMPRODUCT($AI$12:$DF$12,'Staff Daily sales'!$G1167:$CD1167))</f>
        <v>0</v>
      </c>
      <c r="S1182">
        <f>IF($E1182=0,0,SUMPRODUCT($AI$13:$DF$13,'Staff Daily sales'!$G1167:$CD1167))</f>
        <v>0</v>
      </c>
      <c r="T1182">
        <f>IF($E1182=0,0,SUMPRODUCT($AI$14:$DF$14,'Staff Daily sales'!$G1167:$CD1167))</f>
        <v>0</v>
      </c>
      <c r="U1182">
        <f>IF($E1182=0,0,SUMPRODUCT($AI$15:$DF$15,'Staff Daily sales'!$G1167:$CD1167))</f>
        <v>0</v>
      </c>
      <c r="V1182">
        <f>IF($E1182=0,0,SUMPRODUCT($AI$16:$DF$16,'Staff Daily sales'!$G1167:$CD1167))</f>
        <v>0</v>
      </c>
      <c r="W1182">
        <f t="shared" si="319"/>
        <v>0</v>
      </c>
      <c r="X1182">
        <f t="shared" si="320"/>
        <v>0</v>
      </c>
      <c r="Y1182">
        <f t="shared" si="321"/>
        <v>0</v>
      </c>
      <c r="Z1182">
        <f t="shared" si="322"/>
        <v>0</v>
      </c>
      <c r="AA1182">
        <f t="shared" si="323"/>
        <v>0</v>
      </c>
      <c r="AB1182">
        <f>--AND($E1182=1,OR('Staff Weekly Trend'!$B$3="All",$DH1182='Staff Weekly Trend'!$B$3),OR('Staff Weekly Trend'!$B$4="All",$D1182='Staff Weekly Trend'!$B$4),OR('Staff Weekly Trend'!$B$5="All",$A1182='Staff Weekly Trend'!$B$5))</f>
        <v>0</v>
      </c>
      <c r="AC1182" t="str">
        <f t="shared" si="324"/>
        <v/>
      </c>
      <c r="AI1182">
        <f t="shared" si="325"/>
        <v>0</v>
      </c>
      <c r="AJ1182">
        <f t="shared" si="326"/>
        <v>0</v>
      </c>
      <c r="AK1182">
        <f t="shared" si="327"/>
        <v>0</v>
      </c>
      <c r="AL1182">
        <f t="shared" si="328"/>
        <v>0</v>
      </c>
      <c r="AM1182">
        <f t="shared" si="329"/>
        <v>0</v>
      </c>
      <c r="DH1182" t="str" cm="1">
        <f t="array" ref="DH1182">IF($A1182="","",_xlfn.LET(_xlpm.c,IFERROR(_xlfn.XLOOKUP($A1182,TRIM('Sales and count'!$A$4:$A$300&amp;""),TRIM('Sales and count'!$B$4:$B$300&amp;"")),""),IF(OR(_xlpm.c="",_xlpm.c="0",LEFT(_xlpm.c,1)="#"),"Not set",_xlpm.c)))</f>
        <v/>
      </c>
    </row>
    <row r="1183" spans="1:112" x14ac:dyDescent="0.25">
      <c r="A1183" t="str">
        <f>IF('Staff Daily sales'!$B1168="","",TRIM('Staff Daily sales'!$B1168&amp;""))</f>
        <v/>
      </c>
      <c r="B1183" t="str">
        <f>IF('Staff Daily sales'!$D1168="","",TRIM('Staff Daily sales'!$D1168&amp;""))</f>
        <v/>
      </c>
      <c r="C1183" t="str">
        <f>IFERROR(TRIM('Staff Daily sales'!$E1168&amp;""),"")</f>
        <v/>
      </c>
      <c r="D1183" t="str">
        <f>IFERROR(IF(TRIM('Staff Daily sales'!$F1168&amp;"")="","Unassigned",TRIM('Staff Daily sales'!$F1168&amp;"")),"Unassigned")</f>
        <v>Unassigned</v>
      </c>
      <c r="E1183">
        <f t="shared" si="314"/>
        <v>0</v>
      </c>
      <c r="F1183">
        <f>IF($E1183=0,0,SUMPRODUCT($AI$5:$DF$5,'Staff Daily sales'!$G1168:$CD1168))</f>
        <v>0</v>
      </c>
      <c r="G1183">
        <f>IF($E1183=0,0,SUMPRODUCT($AI$6:$DF$6,'Staff Daily sales'!$G1168:$CD1168))</f>
        <v>0</v>
      </c>
      <c r="H1183">
        <f t="shared" si="315"/>
        <v>0</v>
      </c>
      <c r="I1183">
        <f t="shared" si="316"/>
        <v>0</v>
      </c>
      <c r="J1183">
        <f t="shared" si="317"/>
        <v>0</v>
      </c>
      <c r="K1183">
        <f t="shared" si="318"/>
        <v>0</v>
      </c>
      <c r="L1183">
        <f>--AND($E1183=1,OR('Staff Dashboard'!$B$6="All",$DH1183='Staff Dashboard'!$B$6),OR('Staff Dashboard'!$B$7="All",$D1183='Staff Dashboard'!$B$7),OR('Staff Dashboard'!$B$8="All",$A1183='Staff Dashboard'!$B$8))</f>
        <v>0</v>
      </c>
      <c r="M1183">
        <f>IF($E1183=0,0,SUMPRODUCT($AI$7:$DF$7,'Staff Daily sales'!$G1168:$CD1168))</f>
        <v>0</v>
      </c>
      <c r="N1183">
        <f>IF($E1183=0,0,SUMPRODUCT($AI$8:$DF$8,'Staff Daily sales'!$G1168:$CD1168))</f>
        <v>0</v>
      </c>
      <c r="O1183">
        <f>IF($E1183=0,0,SUMPRODUCT($AI$9:$DF$9,'Staff Daily sales'!$G1168:$CD1168))</f>
        <v>0</v>
      </c>
      <c r="P1183">
        <f>IF($E1183=0,0,SUMPRODUCT($AI$10:$DF$10,'Staff Daily sales'!$G1168:$CD1168))</f>
        <v>0</v>
      </c>
      <c r="Q1183">
        <f>IF($E1183=0,0,SUMPRODUCT($AI$11:$DF$11,'Staff Daily sales'!$G1168:$CD1168))</f>
        <v>0</v>
      </c>
      <c r="R1183">
        <f>IF($E1183=0,0,SUMPRODUCT($AI$12:$DF$12,'Staff Daily sales'!$G1168:$CD1168))</f>
        <v>0</v>
      </c>
      <c r="S1183">
        <f>IF($E1183=0,0,SUMPRODUCT($AI$13:$DF$13,'Staff Daily sales'!$G1168:$CD1168))</f>
        <v>0</v>
      </c>
      <c r="T1183">
        <f>IF($E1183=0,0,SUMPRODUCT($AI$14:$DF$14,'Staff Daily sales'!$G1168:$CD1168))</f>
        <v>0</v>
      </c>
      <c r="U1183">
        <f>IF($E1183=0,0,SUMPRODUCT($AI$15:$DF$15,'Staff Daily sales'!$G1168:$CD1168))</f>
        <v>0</v>
      </c>
      <c r="V1183">
        <f>IF($E1183=0,0,SUMPRODUCT($AI$16:$DF$16,'Staff Daily sales'!$G1168:$CD1168))</f>
        <v>0</v>
      </c>
      <c r="W1183">
        <f t="shared" si="319"/>
        <v>0</v>
      </c>
      <c r="X1183">
        <f t="shared" si="320"/>
        <v>0</v>
      </c>
      <c r="Y1183">
        <f t="shared" si="321"/>
        <v>0</v>
      </c>
      <c r="Z1183">
        <f t="shared" si="322"/>
        <v>0</v>
      </c>
      <c r="AA1183">
        <f t="shared" si="323"/>
        <v>0</v>
      </c>
      <c r="AB1183">
        <f>--AND($E1183=1,OR('Staff Weekly Trend'!$B$3="All",$DH1183='Staff Weekly Trend'!$B$3),OR('Staff Weekly Trend'!$B$4="All",$D1183='Staff Weekly Trend'!$B$4),OR('Staff Weekly Trend'!$B$5="All",$A1183='Staff Weekly Trend'!$B$5))</f>
        <v>0</v>
      </c>
      <c r="AC1183" t="str">
        <f t="shared" si="324"/>
        <v/>
      </c>
      <c r="AI1183">
        <f t="shared" si="325"/>
        <v>0</v>
      </c>
      <c r="AJ1183">
        <f t="shared" si="326"/>
        <v>0</v>
      </c>
      <c r="AK1183">
        <f t="shared" si="327"/>
        <v>0</v>
      </c>
      <c r="AL1183">
        <f t="shared" si="328"/>
        <v>0</v>
      </c>
      <c r="AM1183">
        <f t="shared" si="329"/>
        <v>0</v>
      </c>
      <c r="DH1183" t="str" cm="1">
        <f t="array" ref="DH1183">IF($A1183="","",_xlfn.LET(_xlpm.c,IFERROR(_xlfn.XLOOKUP($A1183,TRIM('Sales and count'!$A$4:$A$300&amp;""),TRIM('Sales and count'!$B$4:$B$300&amp;"")),""),IF(OR(_xlpm.c="",_xlpm.c="0",LEFT(_xlpm.c,1)="#"),"Not set",_xlpm.c)))</f>
        <v/>
      </c>
    </row>
    <row r="1184" spans="1:112" x14ac:dyDescent="0.25">
      <c r="A1184" t="str">
        <f>IF('Staff Daily sales'!$B1169="","",TRIM('Staff Daily sales'!$B1169&amp;""))</f>
        <v/>
      </c>
      <c r="B1184" t="str">
        <f>IF('Staff Daily sales'!$D1169="","",TRIM('Staff Daily sales'!$D1169&amp;""))</f>
        <v/>
      </c>
      <c r="C1184" t="str">
        <f>IFERROR(TRIM('Staff Daily sales'!$E1169&amp;""),"")</f>
        <v/>
      </c>
      <c r="D1184" t="str">
        <f>IFERROR(IF(TRIM('Staff Daily sales'!$F1169&amp;"")="","Unassigned",TRIM('Staff Daily sales'!$F1169&amp;"")),"Unassigned")</f>
        <v>Unassigned</v>
      </c>
      <c r="E1184">
        <f t="shared" si="314"/>
        <v>0</v>
      </c>
      <c r="F1184">
        <f>IF($E1184=0,0,SUMPRODUCT($AI$5:$DF$5,'Staff Daily sales'!$G1169:$CD1169))</f>
        <v>0</v>
      </c>
      <c r="G1184">
        <f>IF($E1184=0,0,SUMPRODUCT($AI$6:$DF$6,'Staff Daily sales'!$G1169:$CD1169))</f>
        <v>0</v>
      </c>
      <c r="H1184">
        <f t="shared" si="315"/>
        <v>0</v>
      </c>
      <c r="I1184">
        <f t="shared" si="316"/>
        <v>0</v>
      </c>
      <c r="J1184">
        <f t="shared" si="317"/>
        <v>0</v>
      </c>
      <c r="K1184">
        <f t="shared" si="318"/>
        <v>0</v>
      </c>
      <c r="L1184">
        <f>--AND($E1184=1,OR('Staff Dashboard'!$B$6="All",$DH1184='Staff Dashboard'!$B$6),OR('Staff Dashboard'!$B$7="All",$D1184='Staff Dashboard'!$B$7),OR('Staff Dashboard'!$B$8="All",$A1184='Staff Dashboard'!$B$8))</f>
        <v>0</v>
      </c>
      <c r="M1184">
        <f>IF($E1184=0,0,SUMPRODUCT($AI$7:$DF$7,'Staff Daily sales'!$G1169:$CD1169))</f>
        <v>0</v>
      </c>
      <c r="N1184">
        <f>IF($E1184=0,0,SUMPRODUCT($AI$8:$DF$8,'Staff Daily sales'!$G1169:$CD1169))</f>
        <v>0</v>
      </c>
      <c r="O1184">
        <f>IF($E1184=0,0,SUMPRODUCT($AI$9:$DF$9,'Staff Daily sales'!$G1169:$CD1169))</f>
        <v>0</v>
      </c>
      <c r="P1184">
        <f>IF($E1184=0,0,SUMPRODUCT($AI$10:$DF$10,'Staff Daily sales'!$G1169:$CD1169))</f>
        <v>0</v>
      </c>
      <c r="Q1184">
        <f>IF($E1184=0,0,SUMPRODUCT($AI$11:$DF$11,'Staff Daily sales'!$G1169:$CD1169))</f>
        <v>0</v>
      </c>
      <c r="R1184">
        <f>IF($E1184=0,0,SUMPRODUCT($AI$12:$DF$12,'Staff Daily sales'!$G1169:$CD1169))</f>
        <v>0</v>
      </c>
      <c r="S1184">
        <f>IF($E1184=0,0,SUMPRODUCT($AI$13:$DF$13,'Staff Daily sales'!$G1169:$CD1169))</f>
        <v>0</v>
      </c>
      <c r="T1184">
        <f>IF($E1184=0,0,SUMPRODUCT($AI$14:$DF$14,'Staff Daily sales'!$G1169:$CD1169))</f>
        <v>0</v>
      </c>
      <c r="U1184">
        <f>IF($E1184=0,0,SUMPRODUCT($AI$15:$DF$15,'Staff Daily sales'!$G1169:$CD1169))</f>
        <v>0</v>
      </c>
      <c r="V1184">
        <f>IF($E1184=0,0,SUMPRODUCT($AI$16:$DF$16,'Staff Daily sales'!$G1169:$CD1169))</f>
        <v>0</v>
      </c>
      <c r="W1184">
        <f t="shared" si="319"/>
        <v>0</v>
      </c>
      <c r="X1184">
        <f t="shared" si="320"/>
        <v>0</v>
      </c>
      <c r="Y1184">
        <f t="shared" si="321"/>
        <v>0</v>
      </c>
      <c r="Z1184">
        <f t="shared" si="322"/>
        <v>0</v>
      </c>
      <c r="AA1184">
        <f t="shared" si="323"/>
        <v>0</v>
      </c>
      <c r="AB1184">
        <f>--AND($E1184=1,OR('Staff Weekly Trend'!$B$3="All",$DH1184='Staff Weekly Trend'!$B$3),OR('Staff Weekly Trend'!$B$4="All",$D1184='Staff Weekly Trend'!$B$4),OR('Staff Weekly Trend'!$B$5="All",$A1184='Staff Weekly Trend'!$B$5))</f>
        <v>0</v>
      </c>
      <c r="AC1184" t="str">
        <f t="shared" si="324"/>
        <v/>
      </c>
      <c r="AI1184">
        <f t="shared" si="325"/>
        <v>0</v>
      </c>
      <c r="AJ1184">
        <f t="shared" si="326"/>
        <v>0</v>
      </c>
      <c r="AK1184">
        <f t="shared" si="327"/>
        <v>0</v>
      </c>
      <c r="AL1184">
        <f t="shared" si="328"/>
        <v>0</v>
      </c>
      <c r="AM1184">
        <f t="shared" si="329"/>
        <v>0</v>
      </c>
      <c r="DH1184" t="str" cm="1">
        <f t="array" ref="DH1184">IF($A1184="","",_xlfn.LET(_xlpm.c,IFERROR(_xlfn.XLOOKUP($A1184,TRIM('Sales and count'!$A$4:$A$300&amp;""),TRIM('Sales and count'!$B$4:$B$300&amp;"")),""),IF(OR(_xlpm.c="",_xlpm.c="0",LEFT(_xlpm.c,1)="#"),"Not set",_xlpm.c)))</f>
        <v/>
      </c>
    </row>
    <row r="1185" spans="1:112" x14ac:dyDescent="0.25">
      <c r="A1185" t="str">
        <f>IF('Staff Daily sales'!$B1170="","",TRIM('Staff Daily sales'!$B1170&amp;""))</f>
        <v/>
      </c>
      <c r="B1185" t="str">
        <f>IF('Staff Daily sales'!$D1170="","",TRIM('Staff Daily sales'!$D1170&amp;""))</f>
        <v/>
      </c>
      <c r="C1185" t="str">
        <f>IFERROR(TRIM('Staff Daily sales'!$E1170&amp;""),"")</f>
        <v/>
      </c>
      <c r="D1185" t="str">
        <f>IFERROR(IF(TRIM('Staff Daily sales'!$F1170&amp;"")="","Unassigned",TRIM('Staff Daily sales'!$F1170&amp;"")),"Unassigned")</f>
        <v>Unassigned</v>
      </c>
      <c r="E1185">
        <f t="shared" si="314"/>
        <v>0</v>
      </c>
      <c r="F1185">
        <f>IF($E1185=0,0,SUMPRODUCT($AI$5:$DF$5,'Staff Daily sales'!$G1170:$CD1170))</f>
        <v>0</v>
      </c>
      <c r="G1185">
        <f>IF($E1185=0,0,SUMPRODUCT($AI$6:$DF$6,'Staff Daily sales'!$G1170:$CD1170))</f>
        <v>0</v>
      </c>
      <c r="H1185">
        <f t="shared" si="315"/>
        <v>0</v>
      </c>
      <c r="I1185">
        <f t="shared" si="316"/>
        <v>0</v>
      </c>
      <c r="J1185">
        <f t="shared" si="317"/>
        <v>0</v>
      </c>
      <c r="K1185">
        <f t="shared" si="318"/>
        <v>0</v>
      </c>
      <c r="L1185">
        <f>--AND($E1185=1,OR('Staff Dashboard'!$B$6="All",$DH1185='Staff Dashboard'!$B$6),OR('Staff Dashboard'!$B$7="All",$D1185='Staff Dashboard'!$B$7),OR('Staff Dashboard'!$B$8="All",$A1185='Staff Dashboard'!$B$8))</f>
        <v>0</v>
      </c>
      <c r="M1185">
        <f>IF($E1185=0,0,SUMPRODUCT($AI$7:$DF$7,'Staff Daily sales'!$G1170:$CD1170))</f>
        <v>0</v>
      </c>
      <c r="N1185">
        <f>IF($E1185=0,0,SUMPRODUCT($AI$8:$DF$8,'Staff Daily sales'!$G1170:$CD1170))</f>
        <v>0</v>
      </c>
      <c r="O1185">
        <f>IF($E1185=0,0,SUMPRODUCT($AI$9:$DF$9,'Staff Daily sales'!$G1170:$CD1170))</f>
        <v>0</v>
      </c>
      <c r="P1185">
        <f>IF($E1185=0,0,SUMPRODUCT($AI$10:$DF$10,'Staff Daily sales'!$G1170:$CD1170))</f>
        <v>0</v>
      </c>
      <c r="Q1185">
        <f>IF($E1185=0,0,SUMPRODUCT($AI$11:$DF$11,'Staff Daily sales'!$G1170:$CD1170))</f>
        <v>0</v>
      </c>
      <c r="R1185">
        <f>IF($E1185=0,0,SUMPRODUCT($AI$12:$DF$12,'Staff Daily sales'!$G1170:$CD1170))</f>
        <v>0</v>
      </c>
      <c r="S1185">
        <f>IF($E1185=0,0,SUMPRODUCT($AI$13:$DF$13,'Staff Daily sales'!$G1170:$CD1170))</f>
        <v>0</v>
      </c>
      <c r="T1185">
        <f>IF($E1185=0,0,SUMPRODUCT($AI$14:$DF$14,'Staff Daily sales'!$G1170:$CD1170))</f>
        <v>0</v>
      </c>
      <c r="U1185">
        <f>IF($E1185=0,0,SUMPRODUCT($AI$15:$DF$15,'Staff Daily sales'!$G1170:$CD1170))</f>
        <v>0</v>
      </c>
      <c r="V1185">
        <f>IF($E1185=0,0,SUMPRODUCT($AI$16:$DF$16,'Staff Daily sales'!$G1170:$CD1170))</f>
        <v>0</v>
      </c>
      <c r="W1185">
        <f t="shared" si="319"/>
        <v>0</v>
      </c>
      <c r="X1185">
        <f t="shared" si="320"/>
        <v>0</v>
      </c>
      <c r="Y1185">
        <f t="shared" si="321"/>
        <v>0</v>
      </c>
      <c r="Z1185">
        <f t="shared" si="322"/>
        <v>0</v>
      </c>
      <c r="AA1185">
        <f t="shared" si="323"/>
        <v>0</v>
      </c>
      <c r="AB1185">
        <f>--AND($E1185=1,OR('Staff Weekly Trend'!$B$3="All",$DH1185='Staff Weekly Trend'!$B$3),OR('Staff Weekly Trend'!$B$4="All",$D1185='Staff Weekly Trend'!$B$4),OR('Staff Weekly Trend'!$B$5="All",$A1185='Staff Weekly Trend'!$B$5))</f>
        <v>0</v>
      </c>
      <c r="AC1185" t="str">
        <f t="shared" si="324"/>
        <v/>
      </c>
      <c r="AI1185">
        <f t="shared" si="325"/>
        <v>0</v>
      </c>
      <c r="AJ1185">
        <f t="shared" si="326"/>
        <v>0</v>
      </c>
      <c r="AK1185">
        <f t="shared" si="327"/>
        <v>0</v>
      </c>
      <c r="AL1185">
        <f t="shared" si="328"/>
        <v>0</v>
      </c>
      <c r="AM1185">
        <f t="shared" si="329"/>
        <v>0</v>
      </c>
      <c r="DH1185" t="str" cm="1">
        <f t="array" ref="DH1185">IF($A1185="","",_xlfn.LET(_xlpm.c,IFERROR(_xlfn.XLOOKUP($A1185,TRIM('Sales and count'!$A$4:$A$300&amp;""),TRIM('Sales and count'!$B$4:$B$300&amp;"")),""),IF(OR(_xlpm.c="",_xlpm.c="0",LEFT(_xlpm.c,1)="#"),"Not set",_xlpm.c)))</f>
        <v/>
      </c>
    </row>
    <row r="1186" spans="1:112" x14ac:dyDescent="0.25">
      <c r="A1186" t="str">
        <f>IF('Staff Daily sales'!$B1171="","",TRIM('Staff Daily sales'!$B1171&amp;""))</f>
        <v/>
      </c>
      <c r="B1186" t="str">
        <f>IF('Staff Daily sales'!$D1171="","",TRIM('Staff Daily sales'!$D1171&amp;""))</f>
        <v/>
      </c>
      <c r="C1186" t="str">
        <f>IFERROR(TRIM('Staff Daily sales'!$E1171&amp;""),"")</f>
        <v/>
      </c>
      <c r="D1186" t="str">
        <f>IFERROR(IF(TRIM('Staff Daily sales'!$F1171&amp;"")="","Unassigned",TRIM('Staff Daily sales'!$F1171&amp;"")),"Unassigned")</f>
        <v>Unassigned</v>
      </c>
      <c r="E1186">
        <f t="shared" si="314"/>
        <v>0</v>
      </c>
      <c r="F1186">
        <f>IF($E1186=0,0,SUMPRODUCT($AI$5:$DF$5,'Staff Daily sales'!$G1171:$CD1171))</f>
        <v>0</v>
      </c>
      <c r="G1186">
        <f>IF($E1186=0,0,SUMPRODUCT($AI$6:$DF$6,'Staff Daily sales'!$G1171:$CD1171))</f>
        <v>0</v>
      </c>
      <c r="H1186">
        <f t="shared" si="315"/>
        <v>0</v>
      </c>
      <c r="I1186">
        <f t="shared" si="316"/>
        <v>0</v>
      </c>
      <c r="J1186">
        <f t="shared" si="317"/>
        <v>0</v>
      </c>
      <c r="K1186">
        <f t="shared" si="318"/>
        <v>0</v>
      </c>
      <c r="L1186">
        <f>--AND($E1186=1,OR('Staff Dashboard'!$B$6="All",$DH1186='Staff Dashboard'!$B$6),OR('Staff Dashboard'!$B$7="All",$D1186='Staff Dashboard'!$B$7),OR('Staff Dashboard'!$B$8="All",$A1186='Staff Dashboard'!$B$8))</f>
        <v>0</v>
      </c>
      <c r="M1186">
        <f>IF($E1186=0,0,SUMPRODUCT($AI$7:$DF$7,'Staff Daily sales'!$G1171:$CD1171))</f>
        <v>0</v>
      </c>
      <c r="N1186">
        <f>IF($E1186=0,0,SUMPRODUCT($AI$8:$DF$8,'Staff Daily sales'!$G1171:$CD1171))</f>
        <v>0</v>
      </c>
      <c r="O1186">
        <f>IF($E1186=0,0,SUMPRODUCT($AI$9:$DF$9,'Staff Daily sales'!$G1171:$CD1171))</f>
        <v>0</v>
      </c>
      <c r="P1186">
        <f>IF($E1186=0,0,SUMPRODUCT($AI$10:$DF$10,'Staff Daily sales'!$G1171:$CD1171))</f>
        <v>0</v>
      </c>
      <c r="Q1186">
        <f>IF($E1186=0,0,SUMPRODUCT($AI$11:$DF$11,'Staff Daily sales'!$G1171:$CD1171))</f>
        <v>0</v>
      </c>
      <c r="R1186">
        <f>IF($E1186=0,0,SUMPRODUCT($AI$12:$DF$12,'Staff Daily sales'!$G1171:$CD1171))</f>
        <v>0</v>
      </c>
      <c r="S1186">
        <f>IF($E1186=0,0,SUMPRODUCT($AI$13:$DF$13,'Staff Daily sales'!$G1171:$CD1171))</f>
        <v>0</v>
      </c>
      <c r="T1186">
        <f>IF($E1186=0,0,SUMPRODUCT($AI$14:$DF$14,'Staff Daily sales'!$G1171:$CD1171))</f>
        <v>0</v>
      </c>
      <c r="U1186">
        <f>IF($E1186=0,0,SUMPRODUCT($AI$15:$DF$15,'Staff Daily sales'!$G1171:$CD1171))</f>
        <v>0</v>
      </c>
      <c r="V1186">
        <f>IF($E1186=0,0,SUMPRODUCT($AI$16:$DF$16,'Staff Daily sales'!$G1171:$CD1171))</f>
        <v>0</v>
      </c>
      <c r="W1186">
        <f t="shared" si="319"/>
        <v>0</v>
      </c>
      <c r="X1186">
        <f t="shared" si="320"/>
        <v>0</v>
      </c>
      <c r="Y1186">
        <f t="shared" si="321"/>
        <v>0</v>
      </c>
      <c r="Z1186">
        <f t="shared" si="322"/>
        <v>0</v>
      </c>
      <c r="AA1186">
        <f t="shared" si="323"/>
        <v>0</v>
      </c>
      <c r="AB1186">
        <f>--AND($E1186=1,OR('Staff Weekly Trend'!$B$3="All",$DH1186='Staff Weekly Trend'!$B$3),OR('Staff Weekly Trend'!$B$4="All",$D1186='Staff Weekly Trend'!$B$4),OR('Staff Weekly Trend'!$B$5="All",$A1186='Staff Weekly Trend'!$B$5))</f>
        <v>0</v>
      </c>
      <c r="AC1186" t="str">
        <f t="shared" si="324"/>
        <v/>
      </c>
      <c r="AI1186">
        <f t="shared" si="325"/>
        <v>0</v>
      </c>
      <c r="AJ1186">
        <f t="shared" si="326"/>
        <v>0</v>
      </c>
      <c r="AK1186">
        <f t="shared" si="327"/>
        <v>0</v>
      </c>
      <c r="AL1186">
        <f t="shared" si="328"/>
        <v>0</v>
      </c>
      <c r="AM1186">
        <f t="shared" si="329"/>
        <v>0</v>
      </c>
      <c r="DH1186" t="str" cm="1">
        <f t="array" ref="DH1186">IF($A1186="","",_xlfn.LET(_xlpm.c,IFERROR(_xlfn.XLOOKUP($A1186,TRIM('Sales and count'!$A$4:$A$300&amp;""),TRIM('Sales and count'!$B$4:$B$300&amp;"")),""),IF(OR(_xlpm.c="",_xlpm.c="0",LEFT(_xlpm.c,1)="#"),"Not set",_xlpm.c)))</f>
        <v/>
      </c>
    </row>
    <row r="1187" spans="1:112" x14ac:dyDescent="0.25">
      <c r="A1187" t="str">
        <f>IF('Staff Daily sales'!$B1172="","",TRIM('Staff Daily sales'!$B1172&amp;""))</f>
        <v/>
      </c>
      <c r="B1187" t="str">
        <f>IF('Staff Daily sales'!$D1172="","",TRIM('Staff Daily sales'!$D1172&amp;""))</f>
        <v/>
      </c>
      <c r="C1187" t="str">
        <f>IFERROR(TRIM('Staff Daily sales'!$E1172&amp;""),"")</f>
        <v/>
      </c>
      <c r="D1187" t="str">
        <f>IFERROR(IF(TRIM('Staff Daily sales'!$F1172&amp;"")="","Unassigned",TRIM('Staff Daily sales'!$F1172&amp;"")),"Unassigned")</f>
        <v>Unassigned</v>
      </c>
      <c r="E1187">
        <f t="shared" si="314"/>
        <v>0</v>
      </c>
      <c r="F1187">
        <f>IF($E1187=0,0,SUMPRODUCT($AI$5:$DF$5,'Staff Daily sales'!$G1172:$CD1172))</f>
        <v>0</v>
      </c>
      <c r="G1187">
        <f>IF($E1187=0,0,SUMPRODUCT($AI$6:$DF$6,'Staff Daily sales'!$G1172:$CD1172))</f>
        <v>0</v>
      </c>
      <c r="H1187">
        <f t="shared" si="315"/>
        <v>0</v>
      </c>
      <c r="I1187">
        <f t="shared" si="316"/>
        <v>0</v>
      </c>
      <c r="J1187">
        <f t="shared" si="317"/>
        <v>0</v>
      </c>
      <c r="K1187">
        <f t="shared" si="318"/>
        <v>0</v>
      </c>
      <c r="L1187">
        <f>--AND($E1187=1,OR('Staff Dashboard'!$B$6="All",$DH1187='Staff Dashboard'!$B$6),OR('Staff Dashboard'!$B$7="All",$D1187='Staff Dashboard'!$B$7),OR('Staff Dashboard'!$B$8="All",$A1187='Staff Dashboard'!$B$8))</f>
        <v>0</v>
      </c>
      <c r="M1187">
        <f>IF($E1187=0,0,SUMPRODUCT($AI$7:$DF$7,'Staff Daily sales'!$G1172:$CD1172))</f>
        <v>0</v>
      </c>
      <c r="N1187">
        <f>IF($E1187=0,0,SUMPRODUCT($AI$8:$DF$8,'Staff Daily sales'!$G1172:$CD1172))</f>
        <v>0</v>
      </c>
      <c r="O1187">
        <f>IF($E1187=0,0,SUMPRODUCT($AI$9:$DF$9,'Staff Daily sales'!$G1172:$CD1172))</f>
        <v>0</v>
      </c>
      <c r="P1187">
        <f>IF($E1187=0,0,SUMPRODUCT($AI$10:$DF$10,'Staff Daily sales'!$G1172:$CD1172))</f>
        <v>0</v>
      </c>
      <c r="Q1187">
        <f>IF($E1187=0,0,SUMPRODUCT($AI$11:$DF$11,'Staff Daily sales'!$G1172:$CD1172))</f>
        <v>0</v>
      </c>
      <c r="R1187">
        <f>IF($E1187=0,0,SUMPRODUCT($AI$12:$DF$12,'Staff Daily sales'!$G1172:$CD1172))</f>
        <v>0</v>
      </c>
      <c r="S1187">
        <f>IF($E1187=0,0,SUMPRODUCT($AI$13:$DF$13,'Staff Daily sales'!$G1172:$CD1172))</f>
        <v>0</v>
      </c>
      <c r="T1187">
        <f>IF($E1187=0,0,SUMPRODUCT($AI$14:$DF$14,'Staff Daily sales'!$G1172:$CD1172))</f>
        <v>0</v>
      </c>
      <c r="U1187">
        <f>IF($E1187=0,0,SUMPRODUCT($AI$15:$DF$15,'Staff Daily sales'!$G1172:$CD1172))</f>
        <v>0</v>
      </c>
      <c r="V1187">
        <f>IF($E1187=0,0,SUMPRODUCT($AI$16:$DF$16,'Staff Daily sales'!$G1172:$CD1172))</f>
        <v>0</v>
      </c>
      <c r="W1187">
        <f t="shared" si="319"/>
        <v>0</v>
      </c>
      <c r="X1187">
        <f t="shared" si="320"/>
        <v>0</v>
      </c>
      <c r="Y1187">
        <f t="shared" si="321"/>
        <v>0</v>
      </c>
      <c r="Z1187">
        <f t="shared" si="322"/>
        <v>0</v>
      </c>
      <c r="AA1187">
        <f t="shared" si="323"/>
        <v>0</v>
      </c>
      <c r="AB1187">
        <f>--AND($E1187=1,OR('Staff Weekly Trend'!$B$3="All",$DH1187='Staff Weekly Trend'!$B$3),OR('Staff Weekly Trend'!$B$4="All",$D1187='Staff Weekly Trend'!$B$4),OR('Staff Weekly Trend'!$B$5="All",$A1187='Staff Weekly Trend'!$B$5))</f>
        <v>0</v>
      </c>
      <c r="AC1187" t="str">
        <f t="shared" si="324"/>
        <v/>
      </c>
      <c r="AI1187">
        <f t="shared" si="325"/>
        <v>0</v>
      </c>
      <c r="AJ1187">
        <f t="shared" si="326"/>
        <v>0</v>
      </c>
      <c r="AK1187">
        <f t="shared" si="327"/>
        <v>0</v>
      </c>
      <c r="AL1187">
        <f t="shared" si="328"/>
        <v>0</v>
      </c>
      <c r="AM1187">
        <f t="shared" si="329"/>
        <v>0</v>
      </c>
      <c r="DH1187" t="str" cm="1">
        <f t="array" ref="DH1187">IF($A1187="","",_xlfn.LET(_xlpm.c,IFERROR(_xlfn.XLOOKUP($A1187,TRIM('Sales and count'!$A$4:$A$300&amp;""),TRIM('Sales and count'!$B$4:$B$300&amp;"")),""),IF(OR(_xlpm.c="",_xlpm.c="0",LEFT(_xlpm.c,1)="#"),"Not set",_xlpm.c)))</f>
        <v/>
      </c>
    </row>
    <row r="1188" spans="1:112" x14ac:dyDescent="0.25">
      <c r="A1188" t="str">
        <f>IF('Staff Daily sales'!$B1173="","",TRIM('Staff Daily sales'!$B1173&amp;""))</f>
        <v/>
      </c>
      <c r="B1188" t="str">
        <f>IF('Staff Daily sales'!$D1173="","",TRIM('Staff Daily sales'!$D1173&amp;""))</f>
        <v/>
      </c>
      <c r="C1188" t="str">
        <f>IFERROR(TRIM('Staff Daily sales'!$E1173&amp;""),"")</f>
        <v/>
      </c>
      <c r="D1188" t="str">
        <f>IFERROR(IF(TRIM('Staff Daily sales'!$F1173&amp;"")="","Unassigned",TRIM('Staff Daily sales'!$F1173&amp;"")),"Unassigned")</f>
        <v>Unassigned</v>
      </c>
      <c r="E1188">
        <f t="shared" si="314"/>
        <v>0</v>
      </c>
      <c r="F1188">
        <f>IF($E1188=0,0,SUMPRODUCT($AI$5:$DF$5,'Staff Daily sales'!$G1173:$CD1173))</f>
        <v>0</v>
      </c>
      <c r="G1188">
        <f>IF($E1188=0,0,SUMPRODUCT($AI$6:$DF$6,'Staff Daily sales'!$G1173:$CD1173))</f>
        <v>0</v>
      </c>
      <c r="H1188">
        <f t="shared" si="315"/>
        <v>0</v>
      </c>
      <c r="I1188">
        <f t="shared" si="316"/>
        <v>0</v>
      </c>
      <c r="J1188">
        <f t="shared" si="317"/>
        <v>0</v>
      </c>
      <c r="K1188">
        <f t="shared" si="318"/>
        <v>0</v>
      </c>
      <c r="L1188">
        <f>--AND($E1188=1,OR('Staff Dashboard'!$B$6="All",$DH1188='Staff Dashboard'!$B$6),OR('Staff Dashboard'!$B$7="All",$D1188='Staff Dashboard'!$B$7),OR('Staff Dashboard'!$B$8="All",$A1188='Staff Dashboard'!$B$8))</f>
        <v>0</v>
      </c>
      <c r="M1188">
        <f>IF($E1188=0,0,SUMPRODUCT($AI$7:$DF$7,'Staff Daily sales'!$G1173:$CD1173))</f>
        <v>0</v>
      </c>
      <c r="N1188">
        <f>IF($E1188=0,0,SUMPRODUCT($AI$8:$DF$8,'Staff Daily sales'!$G1173:$CD1173))</f>
        <v>0</v>
      </c>
      <c r="O1188">
        <f>IF($E1188=0,0,SUMPRODUCT($AI$9:$DF$9,'Staff Daily sales'!$G1173:$CD1173))</f>
        <v>0</v>
      </c>
      <c r="P1188">
        <f>IF($E1188=0,0,SUMPRODUCT($AI$10:$DF$10,'Staff Daily sales'!$G1173:$CD1173))</f>
        <v>0</v>
      </c>
      <c r="Q1188">
        <f>IF($E1188=0,0,SUMPRODUCT($AI$11:$DF$11,'Staff Daily sales'!$G1173:$CD1173))</f>
        <v>0</v>
      </c>
      <c r="R1188">
        <f>IF($E1188=0,0,SUMPRODUCT($AI$12:$DF$12,'Staff Daily sales'!$G1173:$CD1173))</f>
        <v>0</v>
      </c>
      <c r="S1188">
        <f>IF($E1188=0,0,SUMPRODUCT($AI$13:$DF$13,'Staff Daily sales'!$G1173:$CD1173))</f>
        <v>0</v>
      </c>
      <c r="T1188">
        <f>IF($E1188=0,0,SUMPRODUCT($AI$14:$DF$14,'Staff Daily sales'!$G1173:$CD1173))</f>
        <v>0</v>
      </c>
      <c r="U1188">
        <f>IF($E1188=0,0,SUMPRODUCT($AI$15:$DF$15,'Staff Daily sales'!$G1173:$CD1173))</f>
        <v>0</v>
      </c>
      <c r="V1188">
        <f>IF($E1188=0,0,SUMPRODUCT($AI$16:$DF$16,'Staff Daily sales'!$G1173:$CD1173))</f>
        <v>0</v>
      </c>
      <c r="W1188">
        <f t="shared" si="319"/>
        <v>0</v>
      </c>
      <c r="X1188">
        <f t="shared" si="320"/>
        <v>0</v>
      </c>
      <c r="Y1188">
        <f t="shared" si="321"/>
        <v>0</v>
      </c>
      <c r="Z1188">
        <f t="shared" si="322"/>
        <v>0</v>
      </c>
      <c r="AA1188">
        <f t="shared" si="323"/>
        <v>0</v>
      </c>
      <c r="AB1188">
        <f>--AND($E1188=1,OR('Staff Weekly Trend'!$B$3="All",$DH1188='Staff Weekly Trend'!$B$3),OR('Staff Weekly Trend'!$B$4="All",$D1188='Staff Weekly Trend'!$B$4),OR('Staff Weekly Trend'!$B$5="All",$A1188='Staff Weekly Trend'!$B$5))</f>
        <v>0</v>
      </c>
      <c r="AC1188" t="str">
        <f t="shared" si="324"/>
        <v/>
      </c>
      <c r="AI1188">
        <f t="shared" si="325"/>
        <v>0</v>
      </c>
      <c r="AJ1188">
        <f t="shared" si="326"/>
        <v>0</v>
      </c>
      <c r="AK1188">
        <f t="shared" si="327"/>
        <v>0</v>
      </c>
      <c r="AL1188">
        <f t="shared" si="328"/>
        <v>0</v>
      </c>
      <c r="AM1188">
        <f t="shared" si="329"/>
        <v>0</v>
      </c>
      <c r="DH1188" t="str" cm="1">
        <f t="array" ref="DH1188">IF($A1188="","",_xlfn.LET(_xlpm.c,IFERROR(_xlfn.XLOOKUP($A1188,TRIM('Sales and count'!$A$4:$A$300&amp;""),TRIM('Sales and count'!$B$4:$B$300&amp;"")),""),IF(OR(_xlpm.c="",_xlpm.c="0",LEFT(_xlpm.c,1)="#"),"Not set",_xlpm.c)))</f>
        <v/>
      </c>
    </row>
    <row r="1189" spans="1:112" x14ac:dyDescent="0.25">
      <c r="A1189" t="str">
        <f>IF('Staff Daily sales'!$B1174="","",TRIM('Staff Daily sales'!$B1174&amp;""))</f>
        <v/>
      </c>
      <c r="B1189" t="str">
        <f>IF('Staff Daily sales'!$D1174="","",TRIM('Staff Daily sales'!$D1174&amp;""))</f>
        <v/>
      </c>
      <c r="C1189" t="str">
        <f>IFERROR(TRIM('Staff Daily sales'!$E1174&amp;""),"")</f>
        <v/>
      </c>
      <c r="D1189" t="str">
        <f>IFERROR(IF(TRIM('Staff Daily sales'!$F1174&amp;"")="","Unassigned",TRIM('Staff Daily sales'!$F1174&amp;"")),"Unassigned")</f>
        <v>Unassigned</v>
      </c>
      <c r="E1189">
        <f t="shared" si="314"/>
        <v>0</v>
      </c>
      <c r="F1189">
        <f>IF($E1189=0,0,SUMPRODUCT($AI$5:$DF$5,'Staff Daily sales'!$G1174:$CD1174))</f>
        <v>0</v>
      </c>
      <c r="G1189">
        <f>IF($E1189=0,0,SUMPRODUCT($AI$6:$DF$6,'Staff Daily sales'!$G1174:$CD1174))</f>
        <v>0</v>
      </c>
      <c r="H1189">
        <f t="shared" si="315"/>
        <v>0</v>
      </c>
      <c r="I1189">
        <f t="shared" si="316"/>
        <v>0</v>
      </c>
      <c r="J1189">
        <f t="shared" si="317"/>
        <v>0</v>
      </c>
      <c r="K1189">
        <f t="shared" si="318"/>
        <v>0</v>
      </c>
      <c r="L1189">
        <f>--AND($E1189=1,OR('Staff Dashboard'!$B$6="All",$DH1189='Staff Dashboard'!$B$6),OR('Staff Dashboard'!$B$7="All",$D1189='Staff Dashboard'!$B$7),OR('Staff Dashboard'!$B$8="All",$A1189='Staff Dashboard'!$B$8))</f>
        <v>0</v>
      </c>
      <c r="M1189">
        <f>IF($E1189=0,0,SUMPRODUCT($AI$7:$DF$7,'Staff Daily sales'!$G1174:$CD1174))</f>
        <v>0</v>
      </c>
      <c r="N1189">
        <f>IF($E1189=0,0,SUMPRODUCT($AI$8:$DF$8,'Staff Daily sales'!$G1174:$CD1174))</f>
        <v>0</v>
      </c>
      <c r="O1189">
        <f>IF($E1189=0,0,SUMPRODUCT($AI$9:$DF$9,'Staff Daily sales'!$G1174:$CD1174))</f>
        <v>0</v>
      </c>
      <c r="P1189">
        <f>IF($E1189=0,0,SUMPRODUCT($AI$10:$DF$10,'Staff Daily sales'!$G1174:$CD1174))</f>
        <v>0</v>
      </c>
      <c r="Q1189">
        <f>IF($E1189=0,0,SUMPRODUCT($AI$11:$DF$11,'Staff Daily sales'!$G1174:$CD1174))</f>
        <v>0</v>
      </c>
      <c r="R1189">
        <f>IF($E1189=0,0,SUMPRODUCT($AI$12:$DF$12,'Staff Daily sales'!$G1174:$CD1174))</f>
        <v>0</v>
      </c>
      <c r="S1189">
        <f>IF($E1189=0,0,SUMPRODUCT($AI$13:$DF$13,'Staff Daily sales'!$G1174:$CD1174))</f>
        <v>0</v>
      </c>
      <c r="T1189">
        <f>IF($E1189=0,0,SUMPRODUCT($AI$14:$DF$14,'Staff Daily sales'!$G1174:$CD1174))</f>
        <v>0</v>
      </c>
      <c r="U1189">
        <f>IF($E1189=0,0,SUMPRODUCT($AI$15:$DF$15,'Staff Daily sales'!$G1174:$CD1174))</f>
        <v>0</v>
      </c>
      <c r="V1189">
        <f>IF($E1189=0,0,SUMPRODUCT($AI$16:$DF$16,'Staff Daily sales'!$G1174:$CD1174))</f>
        <v>0</v>
      </c>
      <c r="W1189">
        <f t="shared" si="319"/>
        <v>0</v>
      </c>
      <c r="X1189">
        <f t="shared" si="320"/>
        <v>0</v>
      </c>
      <c r="Y1189">
        <f t="shared" si="321"/>
        <v>0</v>
      </c>
      <c r="Z1189">
        <f t="shared" si="322"/>
        <v>0</v>
      </c>
      <c r="AA1189">
        <f t="shared" si="323"/>
        <v>0</v>
      </c>
      <c r="AB1189">
        <f>--AND($E1189=1,OR('Staff Weekly Trend'!$B$3="All",$DH1189='Staff Weekly Trend'!$B$3),OR('Staff Weekly Trend'!$B$4="All",$D1189='Staff Weekly Trend'!$B$4),OR('Staff Weekly Trend'!$B$5="All",$A1189='Staff Weekly Trend'!$B$5))</f>
        <v>0</v>
      </c>
      <c r="AC1189" t="str">
        <f t="shared" si="324"/>
        <v/>
      </c>
      <c r="AI1189">
        <f t="shared" si="325"/>
        <v>0</v>
      </c>
      <c r="AJ1189">
        <f t="shared" si="326"/>
        <v>0</v>
      </c>
      <c r="AK1189">
        <f t="shared" si="327"/>
        <v>0</v>
      </c>
      <c r="AL1189">
        <f t="shared" si="328"/>
        <v>0</v>
      </c>
      <c r="AM1189">
        <f t="shared" si="329"/>
        <v>0</v>
      </c>
      <c r="DH1189" t="str" cm="1">
        <f t="array" ref="DH1189">IF($A1189="","",_xlfn.LET(_xlpm.c,IFERROR(_xlfn.XLOOKUP($A1189,TRIM('Sales and count'!$A$4:$A$300&amp;""),TRIM('Sales and count'!$B$4:$B$300&amp;"")),""),IF(OR(_xlpm.c="",_xlpm.c="0",LEFT(_xlpm.c,1)="#"),"Not set",_xlpm.c)))</f>
        <v/>
      </c>
    </row>
    <row r="1190" spans="1:112" x14ac:dyDescent="0.25">
      <c r="A1190" t="str">
        <f>IF('Staff Daily sales'!$B1175="","",TRIM('Staff Daily sales'!$B1175&amp;""))</f>
        <v/>
      </c>
      <c r="B1190" t="str">
        <f>IF('Staff Daily sales'!$D1175="","",TRIM('Staff Daily sales'!$D1175&amp;""))</f>
        <v/>
      </c>
      <c r="C1190" t="str">
        <f>IFERROR(TRIM('Staff Daily sales'!$E1175&amp;""),"")</f>
        <v/>
      </c>
      <c r="D1190" t="str">
        <f>IFERROR(IF(TRIM('Staff Daily sales'!$F1175&amp;"")="","Unassigned",TRIM('Staff Daily sales'!$F1175&amp;"")),"Unassigned")</f>
        <v>Unassigned</v>
      </c>
      <c r="E1190">
        <f t="shared" si="314"/>
        <v>0</v>
      </c>
      <c r="F1190">
        <f>IF($E1190=0,0,SUMPRODUCT($AI$5:$DF$5,'Staff Daily sales'!$G1175:$CD1175))</f>
        <v>0</v>
      </c>
      <c r="G1190">
        <f>IF($E1190=0,0,SUMPRODUCT($AI$6:$DF$6,'Staff Daily sales'!$G1175:$CD1175))</f>
        <v>0</v>
      </c>
      <c r="H1190">
        <f t="shared" si="315"/>
        <v>0</v>
      </c>
      <c r="I1190">
        <f t="shared" si="316"/>
        <v>0</v>
      </c>
      <c r="J1190">
        <f t="shared" si="317"/>
        <v>0</v>
      </c>
      <c r="K1190">
        <f t="shared" si="318"/>
        <v>0</v>
      </c>
      <c r="L1190">
        <f>--AND($E1190=1,OR('Staff Dashboard'!$B$6="All",$DH1190='Staff Dashboard'!$B$6),OR('Staff Dashboard'!$B$7="All",$D1190='Staff Dashboard'!$B$7),OR('Staff Dashboard'!$B$8="All",$A1190='Staff Dashboard'!$B$8))</f>
        <v>0</v>
      </c>
      <c r="M1190">
        <f>IF($E1190=0,0,SUMPRODUCT($AI$7:$DF$7,'Staff Daily sales'!$G1175:$CD1175))</f>
        <v>0</v>
      </c>
      <c r="N1190">
        <f>IF($E1190=0,0,SUMPRODUCT($AI$8:$DF$8,'Staff Daily sales'!$G1175:$CD1175))</f>
        <v>0</v>
      </c>
      <c r="O1190">
        <f>IF($E1190=0,0,SUMPRODUCT($AI$9:$DF$9,'Staff Daily sales'!$G1175:$CD1175))</f>
        <v>0</v>
      </c>
      <c r="P1190">
        <f>IF($E1190=0,0,SUMPRODUCT($AI$10:$DF$10,'Staff Daily sales'!$G1175:$CD1175))</f>
        <v>0</v>
      </c>
      <c r="Q1190">
        <f>IF($E1190=0,0,SUMPRODUCT($AI$11:$DF$11,'Staff Daily sales'!$G1175:$CD1175))</f>
        <v>0</v>
      </c>
      <c r="R1190">
        <f>IF($E1190=0,0,SUMPRODUCT($AI$12:$DF$12,'Staff Daily sales'!$G1175:$CD1175))</f>
        <v>0</v>
      </c>
      <c r="S1190">
        <f>IF($E1190=0,0,SUMPRODUCT($AI$13:$DF$13,'Staff Daily sales'!$G1175:$CD1175))</f>
        <v>0</v>
      </c>
      <c r="T1190">
        <f>IF($E1190=0,0,SUMPRODUCT($AI$14:$DF$14,'Staff Daily sales'!$G1175:$CD1175))</f>
        <v>0</v>
      </c>
      <c r="U1190">
        <f>IF($E1190=0,0,SUMPRODUCT($AI$15:$DF$15,'Staff Daily sales'!$G1175:$CD1175))</f>
        <v>0</v>
      </c>
      <c r="V1190">
        <f>IF($E1190=0,0,SUMPRODUCT($AI$16:$DF$16,'Staff Daily sales'!$G1175:$CD1175))</f>
        <v>0</v>
      </c>
      <c r="W1190">
        <f t="shared" si="319"/>
        <v>0</v>
      </c>
      <c r="X1190">
        <f t="shared" si="320"/>
        <v>0</v>
      </c>
      <c r="Y1190">
        <f t="shared" si="321"/>
        <v>0</v>
      </c>
      <c r="Z1190">
        <f t="shared" si="322"/>
        <v>0</v>
      </c>
      <c r="AA1190">
        <f t="shared" si="323"/>
        <v>0</v>
      </c>
      <c r="AB1190">
        <f>--AND($E1190=1,OR('Staff Weekly Trend'!$B$3="All",$DH1190='Staff Weekly Trend'!$B$3),OR('Staff Weekly Trend'!$B$4="All",$D1190='Staff Weekly Trend'!$B$4),OR('Staff Weekly Trend'!$B$5="All",$A1190='Staff Weekly Trend'!$B$5))</f>
        <v>0</v>
      </c>
      <c r="AC1190" t="str">
        <f t="shared" si="324"/>
        <v/>
      </c>
      <c r="AI1190">
        <f t="shared" si="325"/>
        <v>0</v>
      </c>
      <c r="AJ1190">
        <f t="shared" si="326"/>
        <v>0</v>
      </c>
      <c r="AK1190">
        <f t="shared" si="327"/>
        <v>0</v>
      </c>
      <c r="AL1190">
        <f t="shared" si="328"/>
        <v>0</v>
      </c>
      <c r="AM1190">
        <f t="shared" si="329"/>
        <v>0</v>
      </c>
      <c r="DH1190" t="str" cm="1">
        <f t="array" ref="DH1190">IF($A1190="","",_xlfn.LET(_xlpm.c,IFERROR(_xlfn.XLOOKUP($A1190,TRIM('Sales and count'!$A$4:$A$300&amp;""),TRIM('Sales and count'!$B$4:$B$300&amp;"")),""),IF(OR(_xlpm.c="",_xlpm.c="0",LEFT(_xlpm.c,1)="#"),"Not set",_xlpm.c)))</f>
        <v/>
      </c>
    </row>
    <row r="1191" spans="1:112" x14ac:dyDescent="0.25">
      <c r="A1191" t="str">
        <f>IF('Staff Daily sales'!$B1176="","",TRIM('Staff Daily sales'!$B1176&amp;""))</f>
        <v/>
      </c>
      <c r="B1191" t="str">
        <f>IF('Staff Daily sales'!$D1176="","",TRIM('Staff Daily sales'!$D1176&amp;""))</f>
        <v/>
      </c>
      <c r="C1191" t="str">
        <f>IFERROR(TRIM('Staff Daily sales'!$E1176&amp;""),"")</f>
        <v/>
      </c>
      <c r="D1191" t="str">
        <f>IFERROR(IF(TRIM('Staff Daily sales'!$F1176&amp;"")="","Unassigned",TRIM('Staff Daily sales'!$F1176&amp;"")),"Unassigned")</f>
        <v>Unassigned</v>
      </c>
      <c r="E1191">
        <f t="shared" si="314"/>
        <v>0</v>
      </c>
      <c r="F1191">
        <f>IF($E1191=0,0,SUMPRODUCT($AI$5:$DF$5,'Staff Daily sales'!$G1176:$CD1176))</f>
        <v>0</v>
      </c>
      <c r="G1191">
        <f>IF($E1191=0,0,SUMPRODUCT($AI$6:$DF$6,'Staff Daily sales'!$G1176:$CD1176))</f>
        <v>0</v>
      </c>
      <c r="H1191">
        <f t="shared" si="315"/>
        <v>0</v>
      </c>
      <c r="I1191">
        <f t="shared" si="316"/>
        <v>0</v>
      </c>
      <c r="J1191">
        <f t="shared" si="317"/>
        <v>0</v>
      </c>
      <c r="K1191">
        <f t="shared" si="318"/>
        <v>0</v>
      </c>
      <c r="L1191">
        <f>--AND($E1191=1,OR('Staff Dashboard'!$B$6="All",$DH1191='Staff Dashboard'!$B$6),OR('Staff Dashboard'!$B$7="All",$D1191='Staff Dashboard'!$B$7),OR('Staff Dashboard'!$B$8="All",$A1191='Staff Dashboard'!$B$8))</f>
        <v>0</v>
      </c>
      <c r="M1191">
        <f>IF($E1191=0,0,SUMPRODUCT($AI$7:$DF$7,'Staff Daily sales'!$G1176:$CD1176))</f>
        <v>0</v>
      </c>
      <c r="N1191">
        <f>IF($E1191=0,0,SUMPRODUCT($AI$8:$DF$8,'Staff Daily sales'!$G1176:$CD1176))</f>
        <v>0</v>
      </c>
      <c r="O1191">
        <f>IF($E1191=0,0,SUMPRODUCT($AI$9:$DF$9,'Staff Daily sales'!$G1176:$CD1176))</f>
        <v>0</v>
      </c>
      <c r="P1191">
        <f>IF($E1191=0,0,SUMPRODUCT($AI$10:$DF$10,'Staff Daily sales'!$G1176:$CD1176))</f>
        <v>0</v>
      </c>
      <c r="Q1191">
        <f>IF($E1191=0,0,SUMPRODUCT($AI$11:$DF$11,'Staff Daily sales'!$G1176:$CD1176))</f>
        <v>0</v>
      </c>
      <c r="R1191">
        <f>IF($E1191=0,0,SUMPRODUCT($AI$12:$DF$12,'Staff Daily sales'!$G1176:$CD1176))</f>
        <v>0</v>
      </c>
      <c r="S1191">
        <f>IF($E1191=0,0,SUMPRODUCT($AI$13:$DF$13,'Staff Daily sales'!$G1176:$CD1176))</f>
        <v>0</v>
      </c>
      <c r="T1191">
        <f>IF($E1191=0,0,SUMPRODUCT($AI$14:$DF$14,'Staff Daily sales'!$G1176:$CD1176))</f>
        <v>0</v>
      </c>
      <c r="U1191">
        <f>IF($E1191=0,0,SUMPRODUCT($AI$15:$DF$15,'Staff Daily sales'!$G1176:$CD1176))</f>
        <v>0</v>
      </c>
      <c r="V1191">
        <f>IF($E1191=0,0,SUMPRODUCT($AI$16:$DF$16,'Staff Daily sales'!$G1176:$CD1176))</f>
        <v>0</v>
      </c>
      <c r="W1191">
        <f t="shared" si="319"/>
        <v>0</v>
      </c>
      <c r="X1191">
        <f t="shared" si="320"/>
        <v>0</v>
      </c>
      <c r="Y1191">
        <f t="shared" si="321"/>
        <v>0</v>
      </c>
      <c r="Z1191">
        <f t="shared" si="322"/>
        <v>0</v>
      </c>
      <c r="AA1191">
        <f t="shared" si="323"/>
        <v>0</v>
      </c>
      <c r="AB1191">
        <f>--AND($E1191=1,OR('Staff Weekly Trend'!$B$3="All",$DH1191='Staff Weekly Trend'!$B$3),OR('Staff Weekly Trend'!$B$4="All",$D1191='Staff Weekly Trend'!$B$4),OR('Staff Weekly Trend'!$B$5="All",$A1191='Staff Weekly Trend'!$B$5))</f>
        <v>0</v>
      </c>
      <c r="AC1191" t="str">
        <f t="shared" si="324"/>
        <v/>
      </c>
      <c r="AI1191">
        <f t="shared" si="325"/>
        <v>0</v>
      </c>
      <c r="AJ1191">
        <f t="shared" si="326"/>
        <v>0</v>
      </c>
      <c r="AK1191">
        <f t="shared" si="327"/>
        <v>0</v>
      </c>
      <c r="AL1191">
        <f t="shared" si="328"/>
        <v>0</v>
      </c>
      <c r="AM1191">
        <f t="shared" si="329"/>
        <v>0</v>
      </c>
      <c r="DH1191" t="str" cm="1">
        <f t="array" ref="DH1191">IF($A1191="","",_xlfn.LET(_xlpm.c,IFERROR(_xlfn.XLOOKUP($A1191,TRIM('Sales and count'!$A$4:$A$300&amp;""),TRIM('Sales and count'!$B$4:$B$300&amp;"")),""),IF(OR(_xlpm.c="",_xlpm.c="0",LEFT(_xlpm.c,1)="#"),"Not set",_xlpm.c)))</f>
        <v/>
      </c>
    </row>
    <row r="1192" spans="1:112" x14ac:dyDescent="0.25">
      <c r="A1192" t="str">
        <f>IF('Staff Daily sales'!$B1177="","",TRIM('Staff Daily sales'!$B1177&amp;""))</f>
        <v/>
      </c>
      <c r="B1192" t="str">
        <f>IF('Staff Daily sales'!$D1177="","",TRIM('Staff Daily sales'!$D1177&amp;""))</f>
        <v/>
      </c>
      <c r="C1192" t="str">
        <f>IFERROR(TRIM('Staff Daily sales'!$E1177&amp;""),"")</f>
        <v/>
      </c>
      <c r="D1192" t="str">
        <f>IFERROR(IF(TRIM('Staff Daily sales'!$F1177&amp;"")="","Unassigned",TRIM('Staff Daily sales'!$F1177&amp;"")),"Unassigned")</f>
        <v>Unassigned</v>
      </c>
      <c r="E1192">
        <f t="shared" si="314"/>
        <v>0</v>
      </c>
      <c r="F1192">
        <f>IF($E1192=0,0,SUMPRODUCT($AI$5:$DF$5,'Staff Daily sales'!$G1177:$CD1177))</f>
        <v>0</v>
      </c>
      <c r="G1192">
        <f>IF($E1192=0,0,SUMPRODUCT($AI$6:$DF$6,'Staff Daily sales'!$G1177:$CD1177))</f>
        <v>0</v>
      </c>
      <c r="H1192">
        <f t="shared" si="315"/>
        <v>0</v>
      </c>
      <c r="I1192">
        <f t="shared" si="316"/>
        <v>0</v>
      </c>
      <c r="J1192">
        <f t="shared" si="317"/>
        <v>0</v>
      </c>
      <c r="K1192">
        <f t="shared" si="318"/>
        <v>0</v>
      </c>
      <c r="L1192">
        <f>--AND($E1192=1,OR('Staff Dashboard'!$B$6="All",$DH1192='Staff Dashboard'!$B$6),OR('Staff Dashboard'!$B$7="All",$D1192='Staff Dashboard'!$B$7),OR('Staff Dashboard'!$B$8="All",$A1192='Staff Dashboard'!$B$8))</f>
        <v>0</v>
      </c>
      <c r="M1192">
        <f>IF($E1192=0,0,SUMPRODUCT($AI$7:$DF$7,'Staff Daily sales'!$G1177:$CD1177))</f>
        <v>0</v>
      </c>
      <c r="N1192">
        <f>IF($E1192=0,0,SUMPRODUCT($AI$8:$DF$8,'Staff Daily sales'!$G1177:$CD1177))</f>
        <v>0</v>
      </c>
      <c r="O1192">
        <f>IF($E1192=0,0,SUMPRODUCT($AI$9:$DF$9,'Staff Daily sales'!$G1177:$CD1177))</f>
        <v>0</v>
      </c>
      <c r="P1192">
        <f>IF($E1192=0,0,SUMPRODUCT($AI$10:$DF$10,'Staff Daily sales'!$G1177:$CD1177))</f>
        <v>0</v>
      </c>
      <c r="Q1192">
        <f>IF($E1192=0,0,SUMPRODUCT($AI$11:$DF$11,'Staff Daily sales'!$G1177:$CD1177))</f>
        <v>0</v>
      </c>
      <c r="R1192">
        <f>IF($E1192=0,0,SUMPRODUCT($AI$12:$DF$12,'Staff Daily sales'!$G1177:$CD1177))</f>
        <v>0</v>
      </c>
      <c r="S1192">
        <f>IF($E1192=0,0,SUMPRODUCT($AI$13:$DF$13,'Staff Daily sales'!$G1177:$CD1177))</f>
        <v>0</v>
      </c>
      <c r="T1192">
        <f>IF($E1192=0,0,SUMPRODUCT($AI$14:$DF$14,'Staff Daily sales'!$G1177:$CD1177))</f>
        <v>0</v>
      </c>
      <c r="U1192">
        <f>IF($E1192=0,0,SUMPRODUCT($AI$15:$DF$15,'Staff Daily sales'!$G1177:$CD1177))</f>
        <v>0</v>
      </c>
      <c r="V1192">
        <f>IF($E1192=0,0,SUMPRODUCT($AI$16:$DF$16,'Staff Daily sales'!$G1177:$CD1177))</f>
        <v>0</v>
      </c>
      <c r="W1192">
        <f t="shared" si="319"/>
        <v>0</v>
      </c>
      <c r="X1192">
        <f t="shared" si="320"/>
        <v>0</v>
      </c>
      <c r="Y1192">
        <f t="shared" si="321"/>
        <v>0</v>
      </c>
      <c r="Z1192">
        <f t="shared" si="322"/>
        <v>0</v>
      </c>
      <c r="AA1192">
        <f t="shared" si="323"/>
        <v>0</v>
      </c>
      <c r="AB1192">
        <f>--AND($E1192=1,OR('Staff Weekly Trend'!$B$3="All",$DH1192='Staff Weekly Trend'!$B$3),OR('Staff Weekly Trend'!$B$4="All",$D1192='Staff Weekly Trend'!$B$4),OR('Staff Weekly Trend'!$B$5="All",$A1192='Staff Weekly Trend'!$B$5))</f>
        <v>0</v>
      </c>
      <c r="AC1192" t="str">
        <f t="shared" si="324"/>
        <v/>
      </c>
      <c r="AI1192">
        <f t="shared" si="325"/>
        <v>0</v>
      </c>
      <c r="AJ1192">
        <f t="shared" si="326"/>
        <v>0</v>
      </c>
      <c r="AK1192">
        <f t="shared" si="327"/>
        <v>0</v>
      </c>
      <c r="AL1192">
        <f t="shared" si="328"/>
        <v>0</v>
      </c>
      <c r="AM1192">
        <f t="shared" si="329"/>
        <v>0</v>
      </c>
      <c r="DH1192" t="str" cm="1">
        <f t="array" ref="DH1192">IF($A1192="","",_xlfn.LET(_xlpm.c,IFERROR(_xlfn.XLOOKUP($A1192,TRIM('Sales and count'!$A$4:$A$300&amp;""),TRIM('Sales and count'!$B$4:$B$300&amp;"")),""),IF(OR(_xlpm.c="",_xlpm.c="0",LEFT(_xlpm.c,1)="#"),"Not set",_xlpm.c)))</f>
        <v/>
      </c>
    </row>
    <row r="1193" spans="1:112" x14ac:dyDescent="0.25">
      <c r="A1193" t="str">
        <f>IF('Staff Daily sales'!$B1178="","",TRIM('Staff Daily sales'!$B1178&amp;""))</f>
        <v/>
      </c>
      <c r="B1193" t="str">
        <f>IF('Staff Daily sales'!$D1178="","",TRIM('Staff Daily sales'!$D1178&amp;""))</f>
        <v/>
      </c>
      <c r="C1193" t="str">
        <f>IFERROR(TRIM('Staff Daily sales'!$E1178&amp;""),"")</f>
        <v/>
      </c>
      <c r="D1193" t="str">
        <f>IFERROR(IF(TRIM('Staff Daily sales'!$F1178&amp;"")="","Unassigned",TRIM('Staff Daily sales'!$F1178&amp;"")),"Unassigned")</f>
        <v>Unassigned</v>
      </c>
      <c r="E1193">
        <f t="shared" si="314"/>
        <v>0</v>
      </c>
      <c r="F1193">
        <f>IF($E1193=0,0,SUMPRODUCT($AI$5:$DF$5,'Staff Daily sales'!$G1178:$CD1178))</f>
        <v>0</v>
      </c>
      <c r="G1193">
        <f>IF($E1193=0,0,SUMPRODUCT($AI$6:$DF$6,'Staff Daily sales'!$G1178:$CD1178))</f>
        <v>0</v>
      </c>
      <c r="H1193">
        <f t="shared" si="315"/>
        <v>0</v>
      </c>
      <c r="I1193">
        <f t="shared" si="316"/>
        <v>0</v>
      </c>
      <c r="J1193">
        <f t="shared" si="317"/>
        <v>0</v>
      </c>
      <c r="K1193">
        <f t="shared" si="318"/>
        <v>0</v>
      </c>
      <c r="L1193">
        <f>--AND($E1193=1,OR('Staff Dashboard'!$B$6="All",$DH1193='Staff Dashboard'!$B$6),OR('Staff Dashboard'!$B$7="All",$D1193='Staff Dashboard'!$B$7),OR('Staff Dashboard'!$B$8="All",$A1193='Staff Dashboard'!$B$8))</f>
        <v>0</v>
      </c>
      <c r="M1193">
        <f>IF($E1193=0,0,SUMPRODUCT($AI$7:$DF$7,'Staff Daily sales'!$G1178:$CD1178))</f>
        <v>0</v>
      </c>
      <c r="N1193">
        <f>IF($E1193=0,0,SUMPRODUCT($AI$8:$DF$8,'Staff Daily sales'!$G1178:$CD1178))</f>
        <v>0</v>
      </c>
      <c r="O1193">
        <f>IF($E1193=0,0,SUMPRODUCT($AI$9:$DF$9,'Staff Daily sales'!$G1178:$CD1178))</f>
        <v>0</v>
      </c>
      <c r="P1193">
        <f>IF($E1193=0,0,SUMPRODUCT($AI$10:$DF$10,'Staff Daily sales'!$G1178:$CD1178))</f>
        <v>0</v>
      </c>
      <c r="Q1193">
        <f>IF($E1193=0,0,SUMPRODUCT($AI$11:$DF$11,'Staff Daily sales'!$G1178:$CD1178))</f>
        <v>0</v>
      </c>
      <c r="R1193">
        <f>IF($E1193=0,0,SUMPRODUCT($AI$12:$DF$12,'Staff Daily sales'!$G1178:$CD1178))</f>
        <v>0</v>
      </c>
      <c r="S1193">
        <f>IF($E1193=0,0,SUMPRODUCT($AI$13:$DF$13,'Staff Daily sales'!$G1178:$CD1178))</f>
        <v>0</v>
      </c>
      <c r="T1193">
        <f>IF($E1193=0,0,SUMPRODUCT($AI$14:$DF$14,'Staff Daily sales'!$G1178:$CD1178))</f>
        <v>0</v>
      </c>
      <c r="U1193">
        <f>IF($E1193=0,0,SUMPRODUCT($AI$15:$DF$15,'Staff Daily sales'!$G1178:$CD1178))</f>
        <v>0</v>
      </c>
      <c r="V1193">
        <f>IF($E1193=0,0,SUMPRODUCT($AI$16:$DF$16,'Staff Daily sales'!$G1178:$CD1178))</f>
        <v>0</v>
      </c>
      <c r="W1193">
        <f t="shared" si="319"/>
        <v>0</v>
      </c>
      <c r="X1193">
        <f t="shared" si="320"/>
        <v>0</v>
      </c>
      <c r="Y1193">
        <f t="shared" si="321"/>
        <v>0</v>
      </c>
      <c r="Z1193">
        <f t="shared" si="322"/>
        <v>0</v>
      </c>
      <c r="AA1193">
        <f t="shared" si="323"/>
        <v>0</v>
      </c>
      <c r="AB1193">
        <f>--AND($E1193=1,OR('Staff Weekly Trend'!$B$3="All",$DH1193='Staff Weekly Trend'!$B$3),OR('Staff Weekly Trend'!$B$4="All",$D1193='Staff Weekly Trend'!$B$4),OR('Staff Weekly Trend'!$B$5="All",$A1193='Staff Weekly Trend'!$B$5))</f>
        <v>0</v>
      </c>
      <c r="AC1193" t="str">
        <f t="shared" si="324"/>
        <v/>
      </c>
      <c r="AI1193">
        <f t="shared" si="325"/>
        <v>0</v>
      </c>
      <c r="AJ1193">
        <f t="shared" si="326"/>
        <v>0</v>
      </c>
      <c r="AK1193">
        <f t="shared" si="327"/>
        <v>0</v>
      </c>
      <c r="AL1193">
        <f t="shared" si="328"/>
        <v>0</v>
      </c>
      <c r="AM1193">
        <f t="shared" si="329"/>
        <v>0</v>
      </c>
      <c r="DH1193" t="str" cm="1">
        <f t="array" ref="DH1193">IF($A1193="","",_xlfn.LET(_xlpm.c,IFERROR(_xlfn.XLOOKUP($A1193,TRIM('Sales and count'!$A$4:$A$300&amp;""),TRIM('Sales and count'!$B$4:$B$300&amp;"")),""),IF(OR(_xlpm.c="",_xlpm.c="0",LEFT(_xlpm.c,1)="#"),"Not set",_xlpm.c)))</f>
        <v/>
      </c>
    </row>
    <row r="1194" spans="1:112" x14ac:dyDescent="0.25">
      <c r="A1194" t="str">
        <f>IF('Staff Daily sales'!$B1179="","",TRIM('Staff Daily sales'!$B1179&amp;""))</f>
        <v/>
      </c>
      <c r="B1194" t="str">
        <f>IF('Staff Daily sales'!$D1179="","",TRIM('Staff Daily sales'!$D1179&amp;""))</f>
        <v/>
      </c>
      <c r="C1194" t="str">
        <f>IFERROR(TRIM('Staff Daily sales'!$E1179&amp;""),"")</f>
        <v/>
      </c>
      <c r="D1194" t="str">
        <f>IFERROR(IF(TRIM('Staff Daily sales'!$F1179&amp;"")="","Unassigned",TRIM('Staff Daily sales'!$F1179&amp;"")),"Unassigned")</f>
        <v>Unassigned</v>
      </c>
      <c r="E1194">
        <f t="shared" si="314"/>
        <v>0</v>
      </c>
      <c r="F1194">
        <f>IF($E1194=0,0,SUMPRODUCT($AI$5:$DF$5,'Staff Daily sales'!$G1179:$CD1179))</f>
        <v>0</v>
      </c>
      <c r="G1194">
        <f>IF($E1194=0,0,SUMPRODUCT($AI$6:$DF$6,'Staff Daily sales'!$G1179:$CD1179))</f>
        <v>0</v>
      </c>
      <c r="H1194">
        <f t="shared" si="315"/>
        <v>0</v>
      </c>
      <c r="I1194">
        <f t="shared" si="316"/>
        <v>0</v>
      </c>
      <c r="J1194">
        <f t="shared" si="317"/>
        <v>0</v>
      </c>
      <c r="K1194">
        <f t="shared" si="318"/>
        <v>0</v>
      </c>
      <c r="L1194">
        <f>--AND($E1194=1,OR('Staff Dashboard'!$B$6="All",$DH1194='Staff Dashboard'!$B$6),OR('Staff Dashboard'!$B$7="All",$D1194='Staff Dashboard'!$B$7),OR('Staff Dashboard'!$B$8="All",$A1194='Staff Dashboard'!$B$8))</f>
        <v>0</v>
      </c>
      <c r="M1194">
        <f>IF($E1194=0,0,SUMPRODUCT($AI$7:$DF$7,'Staff Daily sales'!$G1179:$CD1179))</f>
        <v>0</v>
      </c>
      <c r="N1194">
        <f>IF($E1194=0,0,SUMPRODUCT($AI$8:$DF$8,'Staff Daily sales'!$G1179:$CD1179))</f>
        <v>0</v>
      </c>
      <c r="O1194">
        <f>IF($E1194=0,0,SUMPRODUCT($AI$9:$DF$9,'Staff Daily sales'!$G1179:$CD1179))</f>
        <v>0</v>
      </c>
      <c r="P1194">
        <f>IF($E1194=0,0,SUMPRODUCT($AI$10:$DF$10,'Staff Daily sales'!$G1179:$CD1179))</f>
        <v>0</v>
      </c>
      <c r="Q1194">
        <f>IF($E1194=0,0,SUMPRODUCT($AI$11:$DF$11,'Staff Daily sales'!$G1179:$CD1179))</f>
        <v>0</v>
      </c>
      <c r="R1194">
        <f>IF($E1194=0,0,SUMPRODUCT($AI$12:$DF$12,'Staff Daily sales'!$G1179:$CD1179))</f>
        <v>0</v>
      </c>
      <c r="S1194">
        <f>IF($E1194=0,0,SUMPRODUCT($AI$13:$DF$13,'Staff Daily sales'!$G1179:$CD1179))</f>
        <v>0</v>
      </c>
      <c r="T1194">
        <f>IF($E1194=0,0,SUMPRODUCT($AI$14:$DF$14,'Staff Daily sales'!$G1179:$CD1179))</f>
        <v>0</v>
      </c>
      <c r="U1194">
        <f>IF($E1194=0,0,SUMPRODUCT($AI$15:$DF$15,'Staff Daily sales'!$G1179:$CD1179))</f>
        <v>0</v>
      </c>
      <c r="V1194">
        <f>IF($E1194=0,0,SUMPRODUCT($AI$16:$DF$16,'Staff Daily sales'!$G1179:$CD1179))</f>
        <v>0</v>
      </c>
      <c r="W1194">
        <f t="shared" si="319"/>
        <v>0</v>
      </c>
      <c r="X1194">
        <f t="shared" si="320"/>
        <v>0</v>
      </c>
      <c r="Y1194">
        <f t="shared" si="321"/>
        <v>0</v>
      </c>
      <c r="Z1194">
        <f t="shared" si="322"/>
        <v>0</v>
      </c>
      <c r="AA1194">
        <f t="shared" si="323"/>
        <v>0</v>
      </c>
      <c r="AB1194">
        <f>--AND($E1194=1,OR('Staff Weekly Trend'!$B$3="All",$DH1194='Staff Weekly Trend'!$B$3),OR('Staff Weekly Trend'!$B$4="All",$D1194='Staff Weekly Trend'!$B$4),OR('Staff Weekly Trend'!$B$5="All",$A1194='Staff Weekly Trend'!$B$5))</f>
        <v>0</v>
      </c>
      <c r="AC1194" t="str">
        <f t="shared" si="324"/>
        <v/>
      </c>
      <c r="AI1194">
        <f t="shared" si="325"/>
        <v>0</v>
      </c>
      <c r="AJ1194">
        <f t="shared" si="326"/>
        <v>0</v>
      </c>
      <c r="AK1194">
        <f t="shared" si="327"/>
        <v>0</v>
      </c>
      <c r="AL1194">
        <f t="shared" si="328"/>
        <v>0</v>
      </c>
      <c r="AM1194">
        <f t="shared" si="329"/>
        <v>0</v>
      </c>
      <c r="DH1194" t="str" cm="1">
        <f t="array" ref="DH1194">IF($A1194="","",_xlfn.LET(_xlpm.c,IFERROR(_xlfn.XLOOKUP($A1194,TRIM('Sales and count'!$A$4:$A$300&amp;""),TRIM('Sales and count'!$B$4:$B$300&amp;"")),""),IF(OR(_xlpm.c="",_xlpm.c="0",LEFT(_xlpm.c,1)="#"),"Not set",_xlpm.c)))</f>
        <v/>
      </c>
    </row>
    <row r="1195" spans="1:112" x14ac:dyDescent="0.25">
      <c r="A1195" t="str">
        <f>IF('Staff Daily sales'!$B1180="","",TRIM('Staff Daily sales'!$B1180&amp;""))</f>
        <v/>
      </c>
      <c r="B1195" t="str">
        <f>IF('Staff Daily sales'!$D1180="","",TRIM('Staff Daily sales'!$D1180&amp;""))</f>
        <v/>
      </c>
      <c r="C1195" t="str">
        <f>IFERROR(TRIM('Staff Daily sales'!$E1180&amp;""),"")</f>
        <v/>
      </c>
      <c r="D1195" t="str">
        <f>IFERROR(IF(TRIM('Staff Daily sales'!$F1180&amp;"")="","Unassigned",TRIM('Staff Daily sales'!$F1180&amp;"")),"Unassigned")</f>
        <v>Unassigned</v>
      </c>
      <c r="E1195">
        <f t="shared" si="314"/>
        <v>0</v>
      </c>
      <c r="F1195">
        <f>IF($E1195=0,0,SUMPRODUCT($AI$5:$DF$5,'Staff Daily sales'!$G1180:$CD1180))</f>
        <v>0</v>
      </c>
      <c r="G1195">
        <f>IF($E1195=0,0,SUMPRODUCT($AI$6:$DF$6,'Staff Daily sales'!$G1180:$CD1180))</f>
        <v>0</v>
      </c>
      <c r="H1195">
        <f t="shared" si="315"/>
        <v>0</v>
      </c>
      <c r="I1195">
        <f t="shared" si="316"/>
        <v>0</v>
      </c>
      <c r="J1195">
        <f t="shared" si="317"/>
        <v>0</v>
      </c>
      <c r="K1195">
        <f t="shared" si="318"/>
        <v>0</v>
      </c>
      <c r="L1195">
        <f>--AND($E1195=1,OR('Staff Dashboard'!$B$6="All",$DH1195='Staff Dashboard'!$B$6),OR('Staff Dashboard'!$B$7="All",$D1195='Staff Dashboard'!$B$7),OR('Staff Dashboard'!$B$8="All",$A1195='Staff Dashboard'!$B$8))</f>
        <v>0</v>
      </c>
      <c r="M1195">
        <f>IF($E1195=0,0,SUMPRODUCT($AI$7:$DF$7,'Staff Daily sales'!$G1180:$CD1180))</f>
        <v>0</v>
      </c>
      <c r="N1195">
        <f>IF($E1195=0,0,SUMPRODUCT($AI$8:$DF$8,'Staff Daily sales'!$G1180:$CD1180))</f>
        <v>0</v>
      </c>
      <c r="O1195">
        <f>IF($E1195=0,0,SUMPRODUCT($AI$9:$DF$9,'Staff Daily sales'!$G1180:$CD1180))</f>
        <v>0</v>
      </c>
      <c r="P1195">
        <f>IF($E1195=0,0,SUMPRODUCT($AI$10:$DF$10,'Staff Daily sales'!$G1180:$CD1180))</f>
        <v>0</v>
      </c>
      <c r="Q1195">
        <f>IF($E1195=0,0,SUMPRODUCT($AI$11:$DF$11,'Staff Daily sales'!$G1180:$CD1180))</f>
        <v>0</v>
      </c>
      <c r="R1195">
        <f>IF($E1195=0,0,SUMPRODUCT($AI$12:$DF$12,'Staff Daily sales'!$G1180:$CD1180))</f>
        <v>0</v>
      </c>
      <c r="S1195">
        <f>IF($E1195=0,0,SUMPRODUCT($AI$13:$DF$13,'Staff Daily sales'!$G1180:$CD1180))</f>
        <v>0</v>
      </c>
      <c r="T1195">
        <f>IF($E1195=0,0,SUMPRODUCT($AI$14:$DF$14,'Staff Daily sales'!$G1180:$CD1180))</f>
        <v>0</v>
      </c>
      <c r="U1195">
        <f>IF($E1195=0,0,SUMPRODUCT($AI$15:$DF$15,'Staff Daily sales'!$G1180:$CD1180))</f>
        <v>0</v>
      </c>
      <c r="V1195">
        <f>IF($E1195=0,0,SUMPRODUCT($AI$16:$DF$16,'Staff Daily sales'!$G1180:$CD1180))</f>
        <v>0</v>
      </c>
      <c r="W1195">
        <f t="shared" si="319"/>
        <v>0</v>
      </c>
      <c r="X1195">
        <f t="shared" si="320"/>
        <v>0</v>
      </c>
      <c r="Y1195">
        <f t="shared" si="321"/>
        <v>0</v>
      </c>
      <c r="Z1195">
        <f t="shared" si="322"/>
        <v>0</v>
      </c>
      <c r="AA1195">
        <f t="shared" si="323"/>
        <v>0</v>
      </c>
      <c r="AB1195">
        <f>--AND($E1195=1,OR('Staff Weekly Trend'!$B$3="All",$DH1195='Staff Weekly Trend'!$B$3),OR('Staff Weekly Trend'!$B$4="All",$D1195='Staff Weekly Trend'!$B$4),OR('Staff Weekly Trend'!$B$5="All",$A1195='Staff Weekly Trend'!$B$5))</f>
        <v>0</v>
      </c>
      <c r="AC1195" t="str">
        <f t="shared" si="324"/>
        <v/>
      </c>
      <c r="AI1195">
        <f t="shared" si="325"/>
        <v>0</v>
      </c>
      <c r="AJ1195">
        <f t="shared" si="326"/>
        <v>0</v>
      </c>
      <c r="AK1195">
        <f t="shared" si="327"/>
        <v>0</v>
      </c>
      <c r="AL1195">
        <f t="shared" si="328"/>
        <v>0</v>
      </c>
      <c r="AM1195">
        <f t="shared" si="329"/>
        <v>0</v>
      </c>
      <c r="DH1195" t="str" cm="1">
        <f t="array" ref="DH1195">IF($A1195="","",_xlfn.LET(_xlpm.c,IFERROR(_xlfn.XLOOKUP($A1195,TRIM('Sales and count'!$A$4:$A$300&amp;""),TRIM('Sales and count'!$B$4:$B$300&amp;"")),""),IF(OR(_xlpm.c="",_xlpm.c="0",LEFT(_xlpm.c,1)="#"),"Not set",_xlpm.c)))</f>
        <v/>
      </c>
    </row>
    <row r="1196" spans="1:112" x14ac:dyDescent="0.25">
      <c r="A1196" t="str">
        <f>IF('Staff Daily sales'!$B1181="","",TRIM('Staff Daily sales'!$B1181&amp;""))</f>
        <v/>
      </c>
      <c r="B1196" t="str">
        <f>IF('Staff Daily sales'!$D1181="","",TRIM('Staff Daily sales'!$D1181&amp;""))</f>
        <v/>
      </c>
      <c r="C1196" t="str">
        <f>IFERROR(TRIM('Staff Daily sales'!$E1181&amp;""),"")</f>
        <v/>
      </c>
      <c r="D1196" t="str">
        <f>IFERROR(IF(TRIM('Staff Daily sales'!$F1181&amp;"")="","Unassigned",TRIM('Staff Daily sales'!$F1181&amp;"")),"Unassigned")</f>
        <v>Unassigned</v>
      </c>
      <c r="E1196">
        <f t="shared" si="314"/>
        <v>0</v>
      </c>
      <c r="F1196">
        <f>IF($E1196=0,0,SUMPRODUCT($AI$5:$DF$5,'Staff Daily sales'!$G1181:$CD1181))</f>
        <v>0</v>
      </c>
      <c r="G1196">
        <f>IF($E1196=0,0,SUMPRODUCT($AI$6:$DF$6,'Staff Daily sales'!$G1181:$CD1181))</f>
        <v>0</v>
      </c>
      <c r="H1196">
        <f t="shared" si="315"/>
        <v>0</v>
      </c>
      <c r="I1196">
        <f t="shared" si="316"/>
        <v>0</v>
      </c>
      <c r="J1196">
        <f t="shared" si="317"/>
        <v>0</v>
      </c>
      <c r="K1196">
        <f t="shared" si="318"/>
        <v>0</v>
      </c>
      <c r="L1196">
        <f>--AND($E1196=1,OR('Staff Dashboard'!$B$6="All",$DH1196='Staff Dashboard'!$B$6),OR('Staff Dashboard'!$B$7="All",$D1196='Staff Dashboard'!$B$7),OR('Staff Dashboard'!$B$8="All",$A1196='Staff Dashboard'!$B$8))</f>
        <v>0</v>
      </c>
      <c r="M1196">
        <f>IF($E1196=0,0,SUMPRODUCT($AI$7:$DF$7,'Staff Daily sales'!$G1181:$CD1181))</f>
        <v>0</v>
      </c>
      <c r="N1196">
        <f>IF($E1196=0,0,SUMPRODUCT($AI$8:$DF$8,'Staff Daily sales'!$G1181:$CD1181))</f>
        <v>0</v>
      </c>
      <c r="O1196">
        <f>IF($E1196=0,0,SUMPRODUCT($AI$9:$DF$9,'Staff Daily sales'!$G1181:$CD1181))</f>
        <v>0</v>
      </c>
      <c r="P1196">
        <f>IF($E1196=0,0,SUMPRODUCT($AI$10:$DF$10,'Staff Daily sales'!$G1181:$CD1181))</f>
        <v>0</v>
      </c>
      <c r="Q1196">
        <f>IF($E1196=0,0,SUMPRODUCT($AI$11:$DF$11,'Staff Daily sales'!$G1181:$CD1181))</f>
        <v>0</v>
      </c>
      <c r="R1196">
        <f>IF($E1196=0,0,SUMPRODUCT($AI$12:$DF$12,'Staff Daily sales'!$G1181:$CD1181))</f>
        <v>0</v>
      </c>
      <c r="S1196">
        <f>IF($E1196=0,0,SUMPRODUCT($AI$13:$DF$13,'Staff Daily sales'!$G1181:$CD1181))</f>
        <v>0</v>
      </c>
      <c r="T1196">
        <f>IF($E1196=0,0,SUMPRODUCT($AI$14:$DF$14,'Staff Daily sales'!$G1181:$CD1181))</f>
        <v>0</v>
      </c>
      <c r="U1196">
        <f>IF($E1196=0,0,SUMPRODUCT($AI$15:$DF$15,'Staff Daily sales'!$G1181:$CD1181))</f>
        <v>0</v>
      </c>
      <c r="V1196">
        <f>IF($E1196=0,0,SUMPRODUCT($AI$16:$DF$16,'Staff Daily sales'!$G1181:$CD1181))</f>
        <v>0</v>
      </c>
      <c r="W1196">
        <f t="shared" si="319"/>
        <v>0</v>
      </c>
      <c r="X1196">
        <f t="shared" si="320"/>
        <v>0</v>
      </c>
      <c r="Y1196">
        <f t="shared" si="321"/>
        <v>0</v>
      </c>
      <c r="Z1196">
        <f t="shared" si="322"/>
        <v>0</v>
      </c>
      <c r="AA1196">
        <f t="shared" si="323"/>
        <v>0</v>
      </c>
      <c r="AB1196">
        <f>--AND($E1196=1,OR('Staff Weekly Trend'!$B$3="All",$DH1196='Staff Weekly Trend'!$B$3),OR('Staff Weekly Trend'!$B$4="All",$D1196='Staff Weekly Trend'!$B$4),OR('Staff Weekly Trend'!$B$5="All",$A1196='Staff Weekly Trend'!$B$5))</f>
        <v>0</v>
      </c>
      <c r="AC1196" t="str">
        <f t="shared" si="324"/>
        <v/>
      </c>
      <c r="AI1196">
        <f t="shared" si="325"/>
        <v>0</v>
      </c>
      <c r="AJ1196">
        <f t="shared" si="326"/>
        <v>0</v>
      </c>
      <c r="AK1196">
        <f t="shared" si="327"/>
        <v>0</v>
      </c>
      <c r="AL1196">
        <f t="shared" si="328"/>
        <v>0</v>
      </c>
      <c r="AM1196">
        <f t="shared" si="329"/>
        <v>0</v>
      </c>
      <c r="DH1196" t="str" cm="1">
        <f t="array" ref="DH1196">IF($A1196="","",_xlfn.LET(_xlpm.c,IFERROR(_xlfn.XLOOKUP($A1196,TRIM('Sales and count'!$A$4:$A$300&amp;""),TRIM('Sales and count'!$B$4:$B$300&amp;"")),""),IF(OR(_xlpm.c="",_xlpm.c="0",LEFT(_xlpm.c,1)="#"),"Not set",_xlpm.c)))</f>
        <v/>
      </c>
    </row>
    <row r="1197" spans="1:112" x14ac:dyDescent="0.25">
      <c r="A1197" t="str">
        <f>IF('Staff Daily sales'!$B1182="","",TRIM('Staff Daily sales'!$B1182&amp;""))</f>
        <v/>
      </c>
      <c r="B1197" t="str">
        <f>IF('Staff Daily sales'!$D1182="","",TRIM('Staff Daily sales'!$D1182&amp;""))</f>
        <v/>
      </c>
      <c r="C1197" t="str">
        <f>IFERROR(TRIM('Staff Daily sales'!$E1182&amp;""),"")</f>
        <v/>
      </c>
      <c r="D1197" t="str">
        <f>IFERROR(IF(TRIM('Staff Daily sales'!$F1182&amp;"")="","Unassigned",TRIM('Staff Daily sales'!$F1182&amp;"")),"Unassigned")</f>
        <v>Unassigned</v>
      </c>
      <c r="E1197">
        <f t="shared" si="314"/>
        <v>0</v>
      </c>
      <c r="F1197">
        <f>IF($E1197=0,0,SUMPRODUCT($AI$5:$DF$5,'Staff Daily sales'!$G1182:$CD1182))</f>
        <v>0</v>
      </c>
      <c r="G1197">
        <f>IF($E1197=0,0,SUMPRODUCT($AI$6:$DF$6,'Staff Daily sales'!$G1182:$CD1182))</f>
        <v>0</v>
      </c>
      <c r="H1197">
        <f t="shared" si="315"/>
        <v>0</v>
      </c>
      <c r="I1197">
        <f t="shared" si="316"/>
        <v>0</v>
      </c>
      <c r="J1197">
        <f t="shared" si="317"/>
        <v>0</v>
      </c>
      <c r="K1197">
        <f t="shared" si="318"/>
        <v>0</v>
      </c>
      <c r="L1197">
        <f>--AND($E1197=1,OR('Staff Dashboard'!$B$6="All",$DH1197='Staff Dashboard'!$B$6),OR('Staff Dashboard'!$B$7="All",$D1197='Staff Dashboard'!$B$7),OR('Staff Dashboard'!$B$8="All",$A1197='Staff Dashboard'!$B$8))</f>
        <v>0</v>
      </c>
      <c r="M1197">
        <f>IF($E1197=0,0,SUMPRODUCT($AI$7:$DF$7,'Staff Daily sales'!$G1182:$CD1182))</f>
        <v>0</v>
      </c>
      <c r="N1197">
        <f>IF($E1197=0,0,SUMPRODUCT($AI$8:$DF$8,'Staff Daily sales'!$G1182:$CD1182))</f>
        <v>0</v>
      </c>
      <c r="O1197">
        <f>IF($E1197=0,0,SUMPRODUCT($AI$9:$DF$9,'Staff Daily sales'!$G1182:$CD1182))</f>
        <v>0</v>
      </c>
      <c r="P1197">
        <f>IF($E1197=0,0,SUMPRODUCT($AI$10:$DF$10,'Staff Daily sales'!$G1182:$CD1182))</f>
        <v>0</v>
      </c>
      <c r="Q1197">
        <f>IF($E1197=0,0,SUMPRODUCT($AI$11:$DF$11,'Staff Daily sales'!$G1182:$CD1182))</f>
        <v>0</v>
      </c>
      <c r="R1197">
        <f>IF($E1197=0,0,SUMPRODUCT($AI$12:$DF$12,'Staff Daily sales'!$G1182:$CD1182))</f>
        <v>0</v>
      </c>
      <c r="S1197">
        <f>IF($E1197=0,0,SUMPRODUCT($AI$13:$DF$13,'Staff Daily sales'!$G1182:$CD1182))</f>
        <v>0</v>
      </c>
      <c r="T1197">
        <f>IF($E1197=0,0,SUMPRODUCT($AI$14:$DF$14,'Staff Daily sales'!$G1182:$CD1182))</f>
        <v>0</v>
      </c>
      <c r="U1197">
        <f>IF($E1197=0,0,SUMPRODUCT($AI$15:$DF$15,'Staff Daily sales'!$G1182:$CD1182))</f>
        <v>0</v>
      </c>
      <c r="V1197">
        <f>IF($E1197=0,0,SUMPRODUCT($AI$16:$DF$16,'Staff Daily sales'!$G1182:$CD1182))</f>
        <v>0</v>
      </c>
      <c r="W1197">
        <f t="shared" si="319"/>
        <v>0</v>
      </c>
      <c r="X1197">
        <f t="shared" si="320"/>
        <v>0</v>
      </c>
      <c r="Y1197">
        <f t="shared" si="321"/>
        <v>0</v>
      </c>
      <c r="Z1197">
        <f t="shared" si="322"/>
        <v>0</v>
      </c>
      <c r="AA1197">
        <f t="shared" si="323"/>
        <v>0</v>
      </c>
      <c r="AB1197">
        <f>--AND($E1197=1,OR('Staff Weekly Trend'!$B$3="All",$DH1197='Staff Weekly Trend'!$B$3),OR('Staff Weekly Trend'!$B$4="All",$D1197='Staff Weekly Trend'!$B$4),OR('Staff Weekly Trend'!$B$5="All",$A1197='Staff Weekly Trend'!$B$5))</f>
        <v>0</v>
      </c>
      <c r="AC1197" t="str">
        <f t="shared" si="324"/>
        <v/>
      </c>
      <c r="AI1197">
        <f t="shared" si="325"/>
        <v>0</v>
      </c>
      <c r="AJ1197">
        <f t="shared" si="326"/>
        <v>0</v>
      </c>
      <c r="AK1197">
        <f t="shared" si="327"/>
        <v>0</v>
      </c>
      <c r="AL1197">
        <f t="shared" si="328"/>
        <v>0</v>
      </c>
      <c r="AM1197">
        <f t="shared" si="329"/>
        <v>0</v>
      </c>
      <c r="DH1197" t="str" cm="1">
        <f t="array" ref="DH1197">IF($A1197="","",_xlfn.LET(_xlpm.c,IFERROR(_xlfn.XLOOKUP($A1197,TRIM('Sales and count'!$A$4:$A$300&amp;""),TRIM('Sales and count'!$B$4:$B$300&amp;"")),""),IF(OR(_xlpm.c="",_xlpm.c="0",LEFT(_xlpm.c,1)="#"),"Not set",_xlpm.c)))</f>
        <v/>
      </c>
    </row>
    <row r="1198" spans="1:112" x14ac:dyDescent="0.25">
      <c r="A1198" t="str">
        <f>IF('Staff Daily sales'!$B1183="","",TRIM('Staff Daily sales'!$B1183&amp;""))</f>
        <v/>
      </c>
      <c r="B1198" t="str">
        <f>IF('Staff Daily sales'!$D1183="","",TRIM('Staff Daily sales'!$D1183&amp;""))</f>
        <v/>
      </c>
      <c r="C1198" t="str">
        <f>IFERROR(TRIM('Staff Daily sales'!$E1183&amp;""),"")</f>
        <v/>
      </c>
      <c r="D1198" t="str">
        <f>IFERROR(IF(TRIM('Staff Daily sales'!$F1183&amp;"")="","Unassigned",TRIM('Staff Daily sales'!$F1183&amp;"")),"Unassigned")</f>
        <v>Unassigned</v>
      </c>
      <c r="E1198">
        <f t="shared" si="314"/>
        <v>0</v>
      </c>
      <c r="F1198">
        <f>IF($E1198=0,0,SUMPRODUCT($AI$5:$DF$5,'Staff Daily sales'!$G1183:$CD1183))</f>
        <v>0</v>
      </c>
      <c r="G1198">
        <f>IF($E1198=0,0,SUMPRODUCT($AI$6:$DF$6,'Staff Daily sales'!$G1183:$CD1183))</f>
        <v>0</v>
      </c>
      <c r="H1198">
        <f t="shared" si="315"/>
        <v>0</v>
      </c>
      <c r="I1198">
        <f t="shared" si="316"/>
        <v>0</v>
      </c>
      <c r="J1198">
        <f t="shared" si="317"/>
        <v>0</v>
      </c>
      <c r="K1198">
        <f t="shared" si="318"/>
        <v>0</v>
      </c>
      <c r="L1198">
        <f>--AND($E1198=1,OR('Staff Dashboard'!$B$6="All",$DH1198='Staff Dashboard'!$B$6),OR('Staff Dashboard'!$B$7="All",$D1198='Staff Dashboard'!$B$7),OR('Staff Dashboard'!$B$8="All",$A1198='Staff Dashboard'!$B$8))</f>
        <v>0</v>
      </c>
      <c r="M1198">
        <f>IF($E1198=0,0,SUMPRODUCT($AI$7:$DF$7,'Staff Daily sales'!$G1183:$CD1183))</f>
        <v>0</v>
      </c>
      <c r="N1198">
        <f>IF($E1198=0,0,SUMPRODUCT($AI$8:$DF$8,'Staff Daily sales'!$G1183:$CD1183))</f>
        <v>0</v>
      </c>
      <c r="O1198">
        <f>IF($E1198=0,0,SUMPRODUCT($AI$9:$DF$9,'Staff Daily sales'!$G1183:$CD1183))</f>
        <v>0</v>
      </c>
      <c r="P1198">
        <f>IF($E1198=0,0,SUMPRODUCT($AI$10:$DF$10,'Staff Daily sales'!$G1183:$CD1183))</f>
        <v>0</v>
      </c>
      <c r="Q1198">
        <f>IF($E1198=0,0,SUMPRODUCT($AI$11:$DF$11,'Staff Daily sales'!$G1183:$CD1183))</f>
        <v>0</v>
      </c>
      <c r="R1198">
        <f>IF($E1198=0,0,SUMPRODUCT($AI$12:$DF$12,'Staff Daily sales'!$G1183:$CD1183))</f>
        <v>0</v>
      </c>
      <c r="S1198">
        <f>IF($E1198=0,0,SUMPRODUCT($AI$13:$DF$13,'Staff Daily sales'!$G1183:$CD1183))</f>
        <v>0</v>
      </c>
      <c r="T1198">
        <f>IF($E1198=0,0,SUMPRODUCT($AI$14:$DF$14,'Staff Daily sales'!$G1183:$CD1183))</f>
        <v>0</v>
      </c>
      <c r="U1198">
        <f>IF($E1198=0,0,SUMPRODUCT($AI$15:$DF$15,'Staff Daily sales'!$G1183:$CD1183))</f>
        <v>0</v>
      </c>
      <c r="V1198">
        <f>IF($E1198=0,0,SUMPRODUCT($AI$16:$DF$16,'Staff Daily sales'!$G1183:$CD1183))</f>
        <v>0</v>
      </c>
      <c r="W1198">
        <f t="shared" si="319"/>
        <v>0</v>
      </c>
      <c r="X1198">
        <f t="shared" si="320"/>
        <v>0</v>
      </c>
      <c r="Y1198">
        <f t="shared" si="321"/>
        <v>0</v>
      </c>
      <c r="Z1198">
        <f t="shared" si="322"/>
        <v>0</v>
      </c>
      <c r="AA1198">
        <f t="shared" si="323"/>
        <v>0</v>
      </c>
      <c r="AB1198">
        <f>--AND($E1198=1,OR('Staff Weekly Trend'!$B$3="All",$DH1198='Staff Weekly Trend'!$B$3),OR('Staff Weekly Trend'!$B$4="All",$D1198='Staff Weekly Trend'!$B$4),OR('Staff Weekly Trend'!$B$5="All",$A1198='Staff Weekly Trend'!$B$5))</f>
        <v>0</v>
      </c>
      <c r="AC1198" t="str">
        <f t="shared" si="324"/>
        <v/>
      </c>
      <c r="AI1198">
        <f t="shared" si="325"/>
        <v>0</v>
      </c>
      <c r="AJ1198">
        <f t="shared" si="326"/>
        <v>0</v>
      </c>
      <c r="AK1198">
        <f t="shared" si="327"/>
        <v>0</v>
      </c>
      <c r="AL1198">
        <f t="shared" si="328"/>
        <v>0</v>
      </c>
      <c r="AM1198">
        <f t="shared" si="329"/>
        <v>0</v>
      </c>
      <c r="DH1198" t="str" cm="1">
        <f t="array" ref="DH1198">IF($A1198="","",_xlfn.LET(_xlpm.c,IFERROR(_xlfn.XLOOKUP($A1198,TRIM('Sales and count'!$A$4:$A$300&amp;""),TRIM('Sales and count'!$B$4:$B$300&amp;"")),""),IF(OR(_xlpm.c="",_xlpm.c="0",LEFT(_xlpm.c,1)="#"),"Not set",_xlpm.c)))</f>
        <v/>
      </c>
    </row>
    <row r="1199" spans="1:112" x14ac:dyDescent="0.25">
      <c r="A1199" t="str">
        <f>IF('Staff Daily sales'!$B1184="","",TRIM('Staff Daily sales'!$B1184&amp;""))</f>
        <v/>
      </c>
      <c r="B1199" t="str">
        <f>IF('Staff Daily sales'!$D1184="","",TRIM('Staff Daily sales'!$D1184&amp;""))</f>
        <v/>
      </c>
      <c r="C1199" t="str">
        <f>IFERROR(TRIM('Staff Daily sales'!$E1184&amp;""),"")</f>
        <v/>
      </c>
      <c r="D1199" t="str">
        <f>IFERROR(IF(TRIM('Staff Daily sales'!$F1184&amp;"")="","Unassigned",TRIM('Staff Daily sales'!$F1184&amp;"")),"Unassigned")</f>
        <v>Unassigned</v>
      </c>
      <c r="E1199">
        <f t="shared" si="314"/>
        <v>0</v>
      </c>
      <c r="F1199">
        <f>IF($E1199=0,0,SUMPRODUCT($AI$5:$DF$5,'Staff Daily sales'!$G1184:$CD1184))</f>
        <v>0</v>
      </c>
      <c r="G1199">
        <f>IF($E1199=0,0,SUMPRODUCT($AI$6:$DF$6,'Staff Daily sales'!$G1184:$CD1184))</f>
        <v>0</v>
      </c>
      <c r="H1199">
        <f t="shared" si="315"/>
        <v>0</v>
      </c>
      <c r="I1199">
        <f t="shared" si="316"/>
        <v>0</v>
      </c>
      <c r="J1199">
        <f t="shared" si="317"/>
        <v>0</v>
      </c>
      <c r="K1199">
        <f t="shared" si="318"/>
        <v>0</v>
      </c>
      <c r="L1199">
        <f>--AND($E1199=1,OR('Staff Dashboard'!$B$6="All",$DH1199='Staff Dashboard'!$B$6),OR('Staff Dashboard'!$B$7="All",$D1199='Staff Dashboard'!$B$7),OR('Staff Dashboard'!$B$8="All",$A1199='Staff Dashboard'!$B$8))</f>
        <v>0</v>
      </c>
      <c r="M1199">
        <f>IF($E1199=0,0,SUMPRODUCT($AI$7:$DF$7,'Staff Daily sales'!$G1184:$CD1184))</f>
        <v>0</v>
      </c>
      <c r="N1199">
        <f>IF($E1199=0,0,SUMPRODUCT($AI$8:$DF$8,'Staff Daily sales'!$G1184:$CD1184))</f>
        <v>0</v>
      </c>
      <c r="O1199">
        <f>IF($E1199=0,0,SUMPRODUCT($AI$9:$DF$9,'Staff Daily sales'!$G1184:$CD1184))</f>
        <v>0</v>
      </c>
      <c r="P1199">
        <f>IF($E1199=0,0,SUMPRODUCT($AI$10:$DF$10,'Staff Daily sales'!$G1184:$CD1184))</f>
        <v>0</v>
      </c>
      <c r="Q1199">
        <f>IF($E1199=0,0,SUMPRODUCT($AI$11:$DF$11,'Staff Daily sales'!$G1184:$CD1184))</f>
        <v>0</v>
      </c>
      <c r="R1199">
        <f>IF($E1199=0,0,SUMPRODUCT($AI$12:$DF$12,'Staff Daily sales'!$G1184:$CD1184))</f>
        <v>0</v>
      </c>
      <c r="S1199">
        <f>IF($E1199=0,0,SUMPRODUCT($AI$13:$DF$13,'Staff Daily sales'!$G1184:$CD1184))</f>
        <v>0</v>
      </c>
      <c r="T1199">
        <f>IF($E1199=0,0,SUMPRODUCT($AI$14:$DF$14,'Staff Daily sales'!$G1184:$CD1184))</f>
        <v>0</v>
      </c>
      <c r="U1199">
        <f>IF($E1199=0,0,SUMPRODUCT($AI$15:$DF$15,'Staff Daily sales'!$G1184:$CD1184))</f>
        <v>0</v>
      </c>
      <c r="V1199">
        <f>IF($E1199=0,0,SUMPRODUCT($AI$16:$DF$16,'Staff Daily sales'!$G1184:$CD1184))</f>
        <v>0</v>
      </c>
      <c r="W1199">
        <f t="shared" si="319"/>
        <v>0</v>
      </c>
      <c r="X1199">
        <f t="shared" si="320"/>
        <v>0</v>
      </c>
      <c r="Y1199">
        <f t="shared" si="321"/>
        <v>0</v>
      </c>
      <c r="Z1199">
        <f t="shared" si="322"/>
        <v>0</v>
      </c>
      <c r="AA1199">
        <f t="shared" si="323"/>
        <v>0</v>
      </c>
      <c r="AB1199">
        <f>--AND($E1199=1,OR('Staff Weekly Trend'!$B$3="All",$DH1199='Staff Weekly Trend'!$B$3),OR('Staff Weekly Trend'!$B$4="All",$D1199='Staff Weekly Trend'!$B$4),OR('Staff Weekly Trend'!$B$5="All",$A1199='Staff Weekly Trend'!$B$5))</f>
        <v>0</v>
      </c>
      <c r="AC1199" t="str">
        <f t="shared" si="324"/>
        <v/>
      </c>
      <c r="AI1199">
        <f t="shared" si="325"/>
        <v>0</v>
      </c>
      <c r="AJ1199">
        <f t="shared" si="326"/>
        <v>0</v>
      </c>
      <c r="AK1199">
        <f t="shared" si="327"/>
        <v>0</v>
      </c>
      <c r="AL1199">
        <f t="shared" si="328"/>
        <v>0</v>
      </c>
      <c r="AM1199">
        <f t="shared" si="329"/>
        <v>0</v>
      </c>
      <c r="DH1199" t="str" cm="1">
        <f t="array" ref="DH1199">IF($A1199="","",_xlfn.LET(_xlpm.c,IFERROR(_xlfn.XLOOKUP($A1199,TRIM('Sales and count'!$A$4:$A$300&amp;""),TRIM('Sales and count'!$B$4:$B$300&amp;"")),""),IF(OR(_xlpm.c="",_xlpm.c="0",LEFT(_xlpm.c,1)="#"),"Not set",_xlpm.c)))</f>
        <v/>
      </c>
    </row>
    <row r="1200" spans="1:112" x14ac:dyDescent="0.25">
      <c r="A1200" t="str">
        <f>IF('Staff Daily sales'!$B1185="","",TRIM('Staff Daily sales'!$B1185&amp;""))</f>
        <v/>
      </c>
      <c r="B1200" t="str">
        <f>IF('Staff Daily sales'!$D1185="","",TRIM('Staff Daily sales'!$D1185&amp;""))</f>
        <v/>
      </c>
      <c r="C1200" t="str">
        <f>IFERROR(TRIM('Staff Daily sales'!$E1185&amp;""),"")</f>
        <v/>
      </c>
      <c r="D1200" t="str">
        <f>IFERROR(IF(TRIM('Staff Daily sales'!$F1185&amp;"")="","Unassigned",TRIM('Staff Daily sales'!$F1185&amp;"")),"Unassigned")</f>
        <v>Unassigned</v>
      </c>
      <c r="E1200">
        <f t="shared" si="314"/>
        <v>0</v>
      </c>
      <c r="F1200">
        <f>IF($E1200=0,0,SUMPRODUCT($AI$5:$DF$5,'Staff Daily sales'!$G1185:$CD1185))</f>
        <v>0</v>
      </c>
      <c r="G1200">
        <f>IF($E1200=0,0,SUMPRODUCT($AI$6:$DF$6,'Staff Daily sales'!$G1185:$CD1185))</f>
        <v>0</v>
      </c>
      <c r="H1200">
        <f t="shared" si="315"/>
        <v>0</v>
      </c>
      <c r="I1200">
        <f t="shared" si="316"/>
        <v>0</v>
      </c>
      <c r="J1200">
        <f t="shared" si="317"/>
        <v>0</v>
      </c>
      <c r="K1200">
        <f t="shared" si="318"/>
        <v>0</v>
      </c>
      <c r="L1200">
        <f>--AND($E1200=1,OR('Staff Dashboard'!$B$6="All",$DH1200='Staff Dashboard'!$B$6),OR('Staff Dashboard'!$B$7="All",$D1200='Staff Dashboard'!$B$7),OR('Staff Dashboard'!$B$8="All",$A1200='Staff Dashboard'!$B$8))</f>
        <v>0</v>
      </c>
      <c r="M1200">
        <f>IF($E1200=0,0,SUMPRODUCT($AI$7:$DF$7,'Staff Daily sales'!$G1185:$CD1185))</f>
        <v>0</v>
      </c>
      <c r="N1200">
        <f>IF($E1200=0,0,SUMPRODUCT($AI$8:$DF$8,'Staff Daily sales'!$G1185:$CD1185))</f>
        <v>0</v>
      </c>
      <c r="O1200">
        <f>IF($E1200=0,0,SUMPRODUCT($AI$9:$DF$9,'Staff Daily sales'!$G1185:$CD1185))</f>
        <v>0</v>
      </c>
      <c r="P1200">
        <f>IF($E1200=0,0,SUMPRODUCT($AI$10:$DF$10,'Staff Daily sales'!$G1185:$CD1185))</f>
        <v>0</v>
      </c>
      <c r="Q1200">
        <f>IF($E1200=0,0,SUMPRODUCT($AI$11:$DF$11,'Staff Daily sales'!$G1185:$CD1185))</f>
        <v>0</v>
      </c>
      <c r="R1200">
        <f>IF($E1200=0,0,SUMPRODUCT($AI$12:$DF$12,'Staff Daily sales'!$G1185:$CD1185))</f>
        <v>0</v>
      </c>
      <c r="S1200">
        <f>IF($E1200=0,0,SUMPRODUCT($AI$13:$DF$13,'Staff Daily sales'!$G1185:$CD1185))</f>
        <v>0</v>
      </c>
      <c r="T1200">
        <f>IF($E1200=0,0,SUMPRODUCT($AI$14:$DF$14,'Staff Daily sales'!$G1185:$CD1185))</f>
        <v>0</v>
      </c>
      <c r="U1200">
        <f>IF($E1200=0,0,SUMPRODUCT($AI$15:$DF$15,'Staff Daily sales'!$G1185:$CD1185))</f>
        <v>0</v>
      </c>
      <c r="V1200">
        <f>IF($E1200=0,0,SUMPRODUCT($AI$16:$DF$16,'Staff Daily sales'!$G1185:$CD1185))</f>
        <v>0</v>
      </c>
      <c r="W1200">
        <f t="shared" si="319"/>
        <v>0</v>
      </c>
      <c r="X1200">
        <f t="shared" si="320"/>
        <v>0</v>
      </c>
      <c r="Y1200">
        <f t="shared" si="321"/>
        <v>0</v>
      </c>
      <c r="Z1200">
        <f t="shared" si="322"/>
        <v>0</v>
      </c>
      <c r="AA1200">
        <f t="shared" si="323"/>
        <v>0</v>
      </c>
      <c r="AB1200">
        <f>--AND($E1200=1,OR('Staff Weekly Trend'!$B$3="All",$DH1200='Staff Weekly Trend'!$B$3),OR('Staff Weekly Trend'!$B$4="All",$D1200='Staff Weekly Trend'!$B$4),OR('Staff Weekly Trend'!$B$5="All",$A1200='Staff Weekly Trend'!$B$5))</f>
        <v>0</v>
      </c>
      <c r="AC1200" t="str">
        <f t="shared" si="324"/>
        <v/>
      </c>
      <c r="AI1200">
        <f t="shared" si="325"/>
        <v>0</v>
      </c>
      <c r="AJ1200">
        <f t="shared" si="326"/>
        <v>0</v>
      </c>
      <c r="AK1200">
        <f t="shared" si="327"/>
        <v>0</v>
      </c>
      <c r="AL1200">
        <f t="shared" si="328"/>
        <v>0</v>
      </c>
      <c r="AM1200">
        <f t="shared" si="329"/>
        <v>0</v>
      </c>
      <c r="DH1200" t="str" cm="1">
        <f t="array" ref="DH1200">IF($A1200="","",_xlfn.LET(_xlpm.c,IFERROR(_xlfn.XLOOKUP($A1200,TRIM('Sales and count'!$A$4:$A$300&amp;""),TRIM('Sales and count'!$B$4:$B$300&amp;"")),""),IF(OR(_xlpm.c="",_xlpm.c="0",LEFT(_xlpm.c,1)="#"),"Not set",_xlpm.c)))</f>
        <v/>
      </c>
    </row>
    <row r="1201" spans="1:112" x14ac:dyDescent="0.25">
      <c r="A1201" t="str">
        <f>IF('Staff Daily sales'!$B1186="","",TRIM('Staff Daily sales'!$B1186&amp;""))</f>
        <v/>
      </c>
      <c r="B1201" t="str">
        <f>IF('Staff Daily sales'!$D1186="","",TRIM('Staff Daily sales'!$D1186&amp;""))</f>
        <v/>
      </c>
      <c r="C1201" t="str">
        <f>IFERROR(TRIM('Staff Daily sales'!$E1186&amp;""),"")</f>
        <v/>
      </c>
      <c r="D1201" t="str">
        <f>IFERROR(IF(TRIM('Staff Daily sales'!$F1186&amp;"")="","Unassigned",TRIM('Staff Daily sales'!$F1186&amp;"")),"Unassigned")</f>
        <v>Unassigned</v>
      </c>
      <c r="E1201">
        <f t="shared" si="314"/>
        <v>0</v>
      </c>
      <c r="F1201">
        <f>IF($E1201=0,0,SUMPRODUCT($AI$5:$DF$5,'Staff Daily sales'!$G1186:$CD1186))</f>
        <v>0</v>
      </c>
      <c r="G1201">
        <f>IF($E1201=0,0,SUMPRODUCT($AI$6:$DF$6,'Staff Daily sales'!$G1186:$CD1186))</f>
        <v>0</v>
      </c>
      <c r="H1201">
        <f t="shared" si="315"/>
        <v>0</v>
      </c>
      <c r="I1201">
        <f t="shared" si="316"/>
        <v>0</v>
      </c>
      <c r="J1201">
        <f t="shared" si="317"/>
        <v>0</v>
      </c>
      <c r="K1201">
        <f t="shared" si="318"/>
        <v>0</v>
      </c>
      <c r="L1201">
        <f>--AND($E1201=1,OR('Staff Dashboard'!$B$6="All",$DH1201='Staff Dashboard'!$B$6),OR('Staff Dashboard'!$B$7="All",$D1201='Staff Dashboard'!$B$7),OR('Staff Dashboard'!$B$8="All",$A1201='Staff Dashboard'!$B$8))</f>
        <v>0</v>
      </c>
      <c r="M1201">
        <f>IF($E1201=0,0,SUMPRODUCT($AI$7:$DF$7,'Staff Daily sales'!$G1186:$CD1186))</f>
        <v>0</v>
      </c>
      <c r="N1201">
        <f>IF($E1201=0,0,SUMPRODUCT($AI$8:$DF$8,'Staff Daily sales'!$G1186:$CD1186))</f>
        <v>0</v>
      </c>
      <c r="O1201">
        <f>IF($E1201=0,0,SUMPRODUCT($AI$9:$DF$9,'Staff Daily sales'!$G1186:$CD1186))</f>
        <v>0</v>
      </c>
      <c r="P1201">
        <f>IF($E1201=0,0,SUMPRODUCT($AI$10:$DF$10,'Staff Daily sales'!$G1186:$CD1186))</f>
        <v>0</v>
      </c>
      <c r="Q1201">
        <f>IF($E1201=0,0,SUMPRODUCT($AI$11:$DF$11,'Staff Daily sales'!$G1186:$CD1186))</f>
        <v>0</v>
      </c>
      <c r="R1201">
        <f>IF($E1201=0,0,SUMPRODUCT($AI$12:$DF$12,'Staff Daily sales'!$G1186:$CD1186))</f>
        <v>0</v>
      </c>
      <c r="S1201">
        <f>IF($E1201=0,0,SUMPRODUCT($AI$13:$DF$13,'Staff Daily sales'!$G1186:$CD1186))</f>
        <v>0</v>
      </c>
      <c r="T1201">
        <f>IF($E1201=0,0,SUMPRODUCT($AI$14:$DF$14,'Staff Daily sales'!$G1186:$CD1186))</f>
        <v>0</v>
      </c>
      <c r="U1201">
        <f>IF($E1201=0,0,SUMPRODUCT($AI$15:$DF$15,'Staff Daily sales'!$G1186:$CD1186))</f>
        <v>0</v>
      </c>
      <c r="V1201">
        <f>IF($E1201=0,0,SUMPRODUCT($AI$16:$DF$16,'Staff Daily sales'!$G1186:$CD1186))</f>
        <v>0</v>
      </c>
      <c r="W1201">
        <f t="shared" si="319"/>
        <v>0</v>
      </c>
      <c r="X1201">
        <f t="shared" si="320"/>
        <v>0</v>
      </c>
      <c r="Y1201">
        <f t="shared" si="321"/>
        <v>0</v>
      </c>
      <c r="Z1201">
        <f t="shared" si="322"/>
        <v>0</v>
      </c>
      <c r="AA1201">
        <f t="shared" si="323"/>
        <v>0</v>
      </c>
      <c r="AB1201">
        <f>--AND($E1201=1,OR('Staff Weekly Trend'!$B$3="All",$DH1201='Staff Weekly Trend'!$B$3),OR('Staff Weekly Trend'!$B$4="All",$D1201='Staff Weekly Trend'!$B$4),OR('Staff Weekly Trend'!$B$5="All",$A1201='Staff Weekly Trend'!$B$5))</f>
        <v>0</v>
      </c>
      <c r="AC1201" t="str">
        <f t="shared" si="324"/>
        <v/>
      </c>
      <c r="AI1201">
        <f t="shared" si="325"/>
        <v>0</v>
      </c>
      <c r="AJ1201">
        <f t="shared" si="326"/>
        <v>0</v>
      </c>
      <c r="AK1201">
        <f t="shared" si="327"/>
        <v>0</v>
      </c>
      <c r="AL1201">
        <f t="shared" si="328"/>
        <v>0</v>
      </c>
      <c r="AM1201">
        <f t="shared" si="329"/>
        <v>0</v>
      </c>
      <c r="DH1201" t="str" cm="1">
        <f t="array" ref="DH1201">IF($A1201="","",_xlfn.LET(_xlpm.c,IFERROR(_xlfn.XLOOKUP($A1201,TRIM('Sales and count'!$A$4:$A$300&amp;""),TRIM('Sales and count'!$B$4:$B$300&amp;"")),""),IF(OR(_xlpm.c="",_xlpm.c="0",LEFT(_xlpm.c,1)="#"),"Not set",_xlpm.c)))</f>
        <v/>
      </c>
    </row>
    <row r="1202" spans="1:112" x14ac:dyDescent="0.25">
      <c r="A1202" t="str">
        <f>IF('Staff Daily sales'!$B1187="","",TRIM('Staff Daily sales'!$B1187&amp;""))</f>
        <v/>
      </c>
      <c r="B1202" t="str">
        <f>IF('Staff Daily sales'!$D1187="","",TRIM('Staff Daily sales'!$D1187&amp;""))</f>
        <v/>
      </c>
      <c r="C1202" t="str">
        <f>IFERROR(TRIM('Staff Daily sales'!$E1187&amp;""),"")</f>
        <v/>
      </c>
      <c r="D1202" t="str">
        <f>IFERROR(IF(TRIM('Staff Daily sales'!$F1187&amp;"")="","Unassigned",TRIM('Staff Daily sales'!$F1187&amp;"")),"Unassigned")</f>
        <v>Unassigned</v>
      </c>
      <c r="E1202">
        <f t="shared" si="314"/>
        <v>0</v>
      </c>
      <c r="F1202">
        <f>IF($E1202=0,0,SUMPRODUCT($AI$5:$DF$5,'Staff Daily sales'!$G1187:$CD1187))</f>
        <v>0</v>
      </c>
      <c r="G1202">
        <f>IF($E1202=0,0,SUMPRODUCT($AI$6:$DF$6,'Staff Daily sales'!$G1187:$CD1187))</f>
        <v>0</v>
      </c>
      <c r="H1202">
        <f t="shared" si="315"/>
        <v>0</v>
      </c>
      <c r="I1202">
        <f t="shared" si="316"/>
        <v>0</v>
      </c>
      <c r="J1202">
        <f t="shared" si="317"/>
        <v>0</v>
      </c>
      <c r="K1202">
        <f t="shared" si="318"/>
        <v>0</v>
      </c>
      <c r="L1202">
        <f>--AND($E1202=1,OR('Staff Dashboard'!$B$6="All",$DH1202='Staff Dashboard'!$B$6),OR('Staff Dashboard'!$B$7="All",$D1202='Staff Dashboard'!$B$7),OR('Staff Dashboard'!$B$8="All",$A1202='Staff Dashboard'!$B$8))</f>
        <v>0</v>
      </c>
      <c r="M1202">
        <f>IF($E1202=0,0,SUMPRODUCT($AI$7:$DF$7,'Staff Daily sales'!$G1187:$CD1187))</f>
        <v>0</v>
      </c>
      <c r="N1202">
        <f>IF($E1202=0,0,SUMPRODUCT($AI$8:$DF$8,'Staff Daily sales'!$G1187:$CD1187))</f>
        <v>0</v>
      </c>
      <c r="O1202">
        <f>IF($E1202=0,0,SUMPRODUCT($AI$9:$DF$9,'Staff Daily sales'!$G1187:$CD1187))</f>
        <v>0</v>
      </c>
      <c r="P1202">
        <f>IF($E1202=0,0,SUMPRODUCT($AI$10:$DF$10,'Staff Daily sales'!$G1187:$CD1187))</f>
        <v>0</v>
      </c>
      <c r="Q1202">
        <f>IF($E1202=0,0,SUMPRODUCT($AI$11:$DF$11,'Staff Daily sales'!$G1187:$CD1187))</f>
        <v>0</v>
      </c>
      <c r="R1202">
        <f>IF($E1202=0,0,SUMPRODUCT($AI$12:$DF$12,'Staff Daily sales'!$G1187:$CD1187))</f>
        <v>0</v>
      </c>
      <c r="S1202">
        <f>IF($E1202=0,0,SUMPRODUCT($AI$13:$DF$13,'Staff Daily sales'!$G1187:$CD1187))</f>
        <v>0</v>
      </c>
      <c r="T1202">
        <f>IF($E1202=0,0,SUMPRODUCT($AI$14:$DF$14,'Staff Daily sales'!$G1187:$CD1187))</f>
        <v>0</v>
      </c>
      <c r="U1202">
        <f>IF($E1202=0,0,SUMPRODUCT($AI$15:$DF$15,'Staff Daily sales'!$G1187:$CD1187))</f>
        <v>0</v>
      </c>
      <c r="V1202">
        <f>IF($E1202=0,0,SUMPRODUCT($AI$16:$DF$16,'Staff Daily sales'!$G1187:$CD1187))</f>
        <v>0</v>
      </c>
      <c r="W1202">
        <f t="shared" si="319"/>
        <v>0</v>
      </c>
      <c r="X1202">
        <f t="shared" si="320"/>
        <v>0</v>
      </c>
      <c r="Y1202">
        <f t="shared" si="321"/>
        <v>0</v>
      </c>
      <c r="Z1202">
        <f t="shared" si="322"/>
        <v>0</v>
      </c>
      <c r="AA1202">
        <f t="shared" si="323"/>
        <v>0</v>
      </c>
      <c r="AB1202">
        <f>--AND($E1202=1,OR('Staff Weekly Trend'!$B$3="All",$DH1202='Staff Weekly Trend'!$B$3),OR('Staff Weekly Trend'!$B$4="All",$D1202='Staff Weekly Trend'!$B$4),OR('Staff Weekly Trend'!$B$5="All",$A1202='Staff Weekly Trend'!$B$5))</f>
        <v>0</v>
      </c>
      <c r="AC1202" t="str">
        <f t="shared" si="324"/>
        <v/>
      </c>
      <c r="AI1202">
        <f t="shared" si="325"/>
        <v>0</v>
      </c>
      <c r="AJ1202">
        <f t="shared" si="326"/>
        <v>0</v>
      </c>
      <c r="AK1202">
        <f t="shared" si="327"/>
        <v>0</v>
      </c>
      <c r="AL1202">
        <f t="shared" si="328"/>
        <v>0</v>
      </c>
      <c r="AM1202">
        <f t="shared" si="329"/>
        <v>0</v>
      </c>
      <c r="DH1202" t="str" cm="1">
        <f t="array" ref="DH1202">IF($A1202="","",_xlfn.LET(_xlpm.c,IFERROR(_xlfn.XLOOKUP($A1202,TRIM('Sales and count'!$A$4:$A$300&amp;""),TRIM('Sales and count'!$B$4:$B$300&amp;"")),""),IF(OR(_xlpm.c="",_xlpm.c="0",LEFT(_xlpm.c,1)="#"),"Not set",_xlpm.c)))</f>
        <v/>
      </c>
    </row>
    <row r="1203" spans="1:112" x14ac:dyDescent="0.25">
      <c r="A1203" t="str">
        <f>IF('Staff Daily sales'!$B1188="","",TRIM('Staff Daily sales'!$B1188&amp;""))</f>
        <v/>
      </c>
      <c r="B1203" t="str">
        <f>IF('Staff Daily sales'!$D1188="","",TRIM('Staff Daily sales'!$D1188&amp;""))</f>
        <v/>
      </c>
      <c r="C1203" t="str">
        <f>IFERROR(TRIM('Staff Daily sales'!$E1188&amp;""),"")</f>
        <v/>
      </c>
      <c r="D1203" t="str">
        <f>IFERROR(IF(TRIM('Staff Daily sales'!$F1188&amp;"")="","Unassigned",TRIM('Staff Daily sales'!$F1188&amp;"")),"Unassigned")</f>
        <v>Unassigned</v>
      </c>
      <c r="E1203">
        <f t="shared" si="314"/>
        <v>0</v>
      </c>
      <c r="F1203">
        <f>IF($E1203=0,0,SUMPRODUCT($AI$5:$DF$5,'Staff Daily sales'!$G1188:$CD1188))</f>
        <v>0</v>
      </c>
      <c r="G1203">
        <f>IF($E1203=0,0,SUMPRODUCT($AI$6:$DF$6,'Staff Daily sales'!$G1188:$CD1188))</f>
        <v>0</v>
      </c>
      <c r="H1203">
        <f t="shared" si="315"/>
        <v>0</v>
      </c>
      <c r="I1203">
        <f t="shared" si="316"/>
        <v>0</v>
      </c>
      <c r="J1203">
        <f t="shared" si="317"/>
        <v>0</v>
      </c>
      <c r="K1203">
        <f t="shared" si="318"/>
        <v>0</v>
      </c>
      <c r="L1203">
        <f>--AND($E1203=1,OR('Staff Dashboard'!$B$6="All",$DH1203='Staff Dashboard'!$B$6),OR('Staff Dashboard'!$B$7="All",$D1203='Staff Dashboard'!$B$7),OR('Staff Dashboard'!$B$8="All",$A1203='Staff Dashboard'!$B$8))</f>
        <v>0</v>
      </c>
      <c r="M1203">
        <f>IF($E1203=0,0,SUMPRODUCT($AI$7:$DF$7,'Staff Daily sales'!$G1188:$CD1188))</f>
        <v>0</v>
      </c>
      <c r="N1203">
        <f>IF($E1203=0,0,SUMPRODUCT($AI$8:$DF$8,'Staff Daily sales'!$G1188:$CD1188))</f>
        <v>0</v>
      </c>
      <c r="O1203">
        <f>IF($E1203=0,0,SUMPRODUCT($AI$9:$DF$9,'Staff Daily sales'!$G1188:$CD1188))</f>
        <v>0</v>
      </c>
      <c r="P1203">
        <f>IF($E1203=0,0,SUMPRODUCT($AI$10:$DF$10,'Staff Daily sales'!$G1188:$CD1188))</f>
        <v>0</v>
      </c>
      <c r="Q1203">
        <f>IF($E1203=0,0,SUMPRODUCT($AI$11:$DF$11,'Staff Daily sales'!$G1188:$CD1188))</f>
        <v>0</v>
      </c>
      <c r="R1203">
        <f>IF($E1203=0,0,SUMPRODUCT($AI$12:$DF$12,'Staff Daily sales'!$G1188:$CD1188))</f>
        <v>0</v>
      </c>
      <c r="S1203">
        <f>IF($E1203=0,0,SUMPRODUCT($AI$13:$DF$13,'Staff Daily sales'!$G1188:$CD1188))</f>
        <v>0</v>
      </c>
      <c r="T1203">
        <f>IF($E1203=0,0,SUMPRODUCT($AI$14:$DF$14,'Staff Daily sales'!$G1188:$CD1188))</f>
        <v>0</v>
      </c>
      <c r="U1203">
        <f>IF($E1203=0,0,SUMPRODUCT($AI$15:$DF$15,'Staff Daily sales'!$G1188:$CD1188))</f>
        <v>0</v>
      </c>
      <c r="V1203">
        <f>IF($E1203=0,0,SUMPRODUCT($AI$16:$DF$16,'Staff Daily sales'!$G1188:$CD1188))</f>
        <v>0</v>
      </c>
      <c r="W1203">
        <f t="shared" si="319"/>
        <v>0</v>
      </c>
      <c r="X1203">
        <f t="shared" si="320"/>
        <v>0</v>
      </c>
      <c r="Y1203">
        <f t="shared" si="321"/>
        <v>0</v>
      </c>
      <c r="Z1203">
        <f t="shared" si="322"/>
        <v>0</v>
      </c>
      <c r="AA1203">
        <f t="shared" si="323"/>
        <v>0</v>
      </c>
      <c r="AB1203">
        <f>--AND($E1203=1,OR('Staff Weekly Trend'!$B$3="All",$DH1203='Staff Weekly Trend'!$B$3),OR('Staff Weekly Trend'!$B$4="All",$D1203='Staff Weekly Trend'!$B$4),OR('Staff Weekly Trend'!$B$5="All",$A1203='Staff Weekly Trend'!$B$5))</f>
        <v>0</v>
      </c>
      <c r="AC1203" t="str">
        <f t="shared" si="324"/>
        <v/>
      </c>
      <c r="AI1203">
        <f t="shared" si="325"/>
        <v>0</v>
      </c>
      <c r="AJ1203">
        <f t="shared" si="326"/>
        <v>0</v>
      </c>
      <c r="AK1203">
        <f t="shared" si="327"/>
        <v>0</v>
      </c>
      <c r="AL1203">
        <f t="shared" si="328"/>
        <v>0</v>
      </c>
      <c r="AM1203">
        <f t="shared" si="329"/>
        <v>0</v>
      </c>
      <c r="DH1203" t="str" cm="1">
        <f t="array" ref="DH1203">IF($A1203="","",_xlfn.LET(_xlpm.c,IFERROR(_xlfn.XLOOKUP($A1203,TRIM('Sales and count'!$A$4:$A$300&amp;""),TRIM('Sales and count'!$B$4:$B$300&amp;"")),""),IF(OR(_xlpm.c="",_xlpm.c="0",LEFT(_xlpm.c,1)="#"),"Not set",_xlpm.c)))</f>
        <v/>
      </c>
    </row>
    <row r="1204" spans="1:112" x14ac:dyDescent="0.25">
      <c r="A1204" t="str">
        <f>IF('Staff Daily sales'!$B1189="","",TRIM('Staff Daily sales'!$B1189&amp;""))</f>
        <v/>
      </c>
      <c r="B1204" t="str">
        <f>IF('Staff Daily sales'!$D1189="","",TRIM('Staff Daily sales'!$D1189&amp;""))</f>
        <v/>
      </c>
      <c r="C1204" t="str">
        <f>IFERROR(TRIM('Staff Daily sales'!$E1189&amp;""),"")</f>
        <v/>
      </c>
      <c r="D1204" t="str">
        <f>IFERROR(IF(TRIM('Staff Daily sales'!$F1189&amp;"")="","Unassigned",TRIM('Staff Daily sales'!$F1189&amp;"")),"Unassigned")</f>
        <v>Unassigned</v>
      </c>
      <c r="E1204">
        <f t="shared" si="314"/>
        <v>0</v>
      </c>
      <c r="F1204">
        <f>IF($E1204=0,0,SUMPRODUCT($AI$5:$DF$5,'Staff Daily sales'!$G1189:$CD1189))</f>
        <v>0</v>
      </c>
      <c r="G1204">
        <f>IF($E1204=0,0,SUMPRODUCT($AI$6:$DF$6,'Staff Daily sales'!$G1189:$CD1189))</f>
        <v>0</v>
      </c>
      <c r="H1204">
        <f t="shared" si="315"/>
        <v>0</v>
      </c>
      <c r="I1204">
        <f t="shared" si="316"/>
        <v>0</v>
      </c>
      <c r="J1204">
        <f t="shared" si="317"/>
        <v>0</v>
      </c>
      <c r="K1204">
        <f t="shared" si="318"/>
        <v>0</v>
      </c>
      <c r="L1204">
        <f>--AND($E1204=1,OR('Staff Dashboard'!$B$6="All",$DH1204='Staff Dashboard'!$B$6),OR('Staff Dashboard'!$B$7="All",$D1204='Staff Dashboard'!$B$7),OR('Staff Dashboard'!$B$8="All",$A1204='Staff Dashboard'!$B$8))</f>
        <v>0</v>
      </c>
      <c r="M1204">
        <f>IF($E1204=0,0,SUMPRODUCT($AI$7:$DF$7,'Staff Daily sales'!$G1189:$CD1189))</f>
        <v>0</v>
      </c>
      <c r="N1204">
        <f>IF($E1204=0,0,SUMPRODUCT($AI$8:$DF$8,'Staff Daily sales'!$G1189:$CD1189))</f>
        <v>0</v>
      </c>
      <c r="O1204">
        <f>IF($E1204=0,0,SUMPRODUCT($AI$9:$DF$9,'Staff Daily sales'!$G1189:$CD1189))</f>
        <v>0</v>
      </c>
      <c r="P1204">
        <f>IF($E1204=0,0,SUMPRODUCT($AI$10:$DF$10,'Staff Daily sales'!$G1189:$CD1189))</f>
        <v>0</v>
      </c>
      <c r="Q1204">
        <f>IF($E1204=0,0,SUMPRODUCT($AI$11:$DF$11,'Staff Daily sales'!$G1189:$CD1189))</f>
        <v>0</v>
      </c>
      <c r="R1204">
        <f>IF($E1204=0,0,SUMPRODUCT($AI$12:$DF$12,'Staff Daily sales'!$G1189:$CD1189))</f>
        <v>0</v>
      </c>
      <c r="S1204">
        <f>IF($E1204=0,0,SUMPRODUCT($AI$13:$DF$13,'Staff Daily sales'!$G1189:$CD1189))</f>
        <v>0</v>
      </c>
      <c r="T1204">
        <f>IF($E1204=0,0,SUMPRODUCT($AI$14:$DF$14,'Staff Daily sales'!$G1189:$CD1189))</f>
        <v>0</v>
      </c>
      <c r="U1204">
        <f>IF($E1204=0,0,SUMPRODUCT($AI$15:$DF$15,'Staff Daily sales'!$G1189:$CD1189))</f>
        <v>0</v>
      </c>
      <c r="V1204">
        <f>IF($E1204=0,0,SUMPRODUCT($AI$16:$DF$16,'Staff Daily sales'!$G1189:$CD1189))</f>
        <v>0</v>
      </c>
      <c r="W1204">
        <f t="shared" si="319"/>
        <v>0</v>
      </c>
      <c r="X1204">
        <f t="shared" si="320"/>
        <v>0</v>
      </c>
      <c r="Y1204">
        <f t="shared" si="321"/>
        <v>0</v>
      </c>
      <c r="Z1204">
        <f t="shared" si="322"/>
        <v>0</v>
      </c>
      <c r="AA1204">
        <f t="shared" si="323"/>
        <v>0</v>
      </c>
      <c r="AB1204">
        <f>--AND($E1204=1,OR('Staff Weekly Trend'!$B$3="All",$DH1204='Staff Weekly Trend'!$B$3),OR('Staff Weekly Trend'!$B$4="All",$D1204='Staff Weekly Trend'!$B$4),OR('Staff Weekly Trend'!$B$5="All",$A1204='Staff Weekly Trend'!$B$5))</f>
        <v>0</v>
      </c>
      <c r="AC1204" t="str">
        <f t="shared" si="324"/>
        <v/>
      </c>
      <c r="AI1204">
        <f t="shared" si="325"/>
        <v>0</v>
      </c>
      <c r="AJ1204">
        <f t="shared" si="326"/>
        <v>0</v>
      </c>
      <c r="AK1204">
        <f t="shared" si="327"/>
        <v>0</v>
      </c>
      <c r="AL1204">
        <f t="shared" si="328"/>
        <v>0</v>
      </c>
      <c r="AM1204">
        <f t="shared" si="329"/>
        <v>0</v>
      </c>
      <c r="DH1204" t="str" cm="1">
        <f t="array" ref="DH1204">IF($A1204="","",_xlfn.LET(_xlpm.c,IFERROR(_xlfn.XLOOKUP($A1204,TRIM('Sales and count'!$A$4:$A$300&amp;""),TRIM('Sales and count'!$B$4:$B$300&amp;"")),""),IF(OR(_xlpm.c="",_xlpm.c="0",LEFT(_xlpm.c,1)="#"),"Not set",_xlpm.c)))</f>
        <v/>
      </c>
    </row>
    <row r="1205" spans="1:112" x14ac:dyDescent="0.25">
      <c r="A1205" t="str">
        <f>IF('Staff Daily sales'!$B1190="","",TRIM('Staff Daily sales'!$B1190&amp;""))</f>
        <v/>
      </c>
      <c r="B1205" t="str">
        <f>IF('Staff Daily sales'!$D1190="","",TRIM('Staff Daily sales'!$D1190&amp;""))</f>
        <v/>
      </c>
      <c r="C1205" t="str">
        <f>IFERROR(TRIM('Staff Daily sales'!$E1190&amp;""),"")</f>
        <v/>
      </c>
      <c r="D1205" t="str">
        <f>IFERROR(IF(TRIM('Staff Daily sales'!$F1190&amp;"")="","Unassigned",TRIM('Staff Daily sales'!$F1190&amp;"")),"Unassigned")</f>
        <v>Unassigned</v>
      </c>
      <c r="E1205">
        <f t="shared" si="314"/>
        <v>0</v>
      </c>
      <c r="F1205">
        <f>IF($E1205=0,0,SUMPRODUCT($AI$5:$DF$5,'Staff Daily sales'!$G1190:$CD1190))</f>
        <v>0</v>
      </c>
      <c r="G1205">
        <f>IF($E1205=0,0,SUMPRODUCT($AI$6:$DF$6,'Staff Daily sales'!$G1190:$CD1190))</f>
        <v>0</v>
      </c>
      <c r="H1205">
        <f t="shared" si="315"/>
        <v>0</v>
      </c>
      <c r="I1205">
        <f t="shared" si="316"/>
        <v>0</v>
      </c>
      <c r="J1205">
        <f t="shared" si="317"/>
        <v>0</v>
      </c>
      <c r="K1205">
        <f t="shared" si="318"/>
        <v>0</v>
      </c>
      <c r="L1205">
        <f>--AND($E1205=1,OR('Staff Dashboard'!$B$6="All",$DH1205='Staff Dashboard'!$B$6),OR('Staff Dashboard'!$B$7="All",$D1205='Staff Dashboard'!$B$7),OR('Staff Dashboard'!$B$8="All",$A1205='Staff Dashboard'!$B$8))</f>
        <v>0</v>
      </c>
      <c r="M1205">
        <f>IF($E1205=0,0,SUMPRODUCT($AI$7:$DF$7,'Staff Daily sales'!$G1190:$CD1190))</f>
        <v>0</v>
      </c>
      <c r="N1205">
        <f>IF($E1205=0,0,SUMPRODUCT($AI$8:$DF$8,'Staff Daily sales'!$G1190:$CD1190))</f>
        <v>0</v>
      </c>
      <c r="O1205">
        <f>IF($E1205=0,0,SUMPRODUCT($AI$9:$DF$9,'Staff Daily sales'!$G1190:$CD1190))</f>
        <v>0</v>
      </c>
      <c r="P1205">
        <f>IF($E1205=0,0,SUMPRODUCT($AI$10:$DF$10,'Staff Daily sales'!$G1190:$CD1190))</f>
        <v>0</v>
      </c>
      <c r="Q1205">
        <f>IF($E1205=0,0,SUMPRODUCT($AI$11:$DF$11,'Staff Daily sales'!$G1190:$CD1190))</f>
        <v>0</v>
      </c>
      <c r="R1205">
        <f>IF($E1205=0,0,SUMPRODUCT($AI$12:$DF$12,'Staff Daily sales'!$G1190:$CD1190))</f>
        <v>0</v>
      </c>
      <c r="S1205">
        <f>IF($E1205=0,0,SUMPRODUCT($AI$13:$DF$13,'Staff Daily sales'!$G1190:$CD1190))</f>
        <v>0</v>
      </c>
      <c r="T1205">
        <f>IF($E1205=0,0,SUMPRODUCT($AI$14:$DF$14,'Staff Daily sales'!$G1190:$CD1190))</f>
        <v>0</v>
      </c>
      <c r="U1205">
        <f>IF($E1205=0,0,SUMPRODUCT($AI$15:$DF$15,'Staff Daily sales'!$G1190:$CD1190))</f>
        <v>0</v>
      </c>
      <c r="V1205">
        <f>IF($E1205=0,0,SUMPRODUCT($AI$16:$DF$16,'Staff Daily sales'!$G1190:$CD1190))</f>
        <v>0</v>
      </c>
      <c r="W1205">
        <f t="shared" si="319"/>
        <v>0</v>
      </c>
      <c r="X1205">
        <f t="shared" si="320"/>
        <v>0</v>
      </c>
      <c r="Y1205">
        <f t="shared" si="321"/>
        <v>0</v>
      </c>
      <c r="Z1205">
        <f t="shared" si="322"/>
        <v>0</v>
      </c>
      <c r="AA1205">
        <f t="shared" si="323"/>
        <v>0</v>
      </c>
      <c r="AB1205">
        <f>--AND($E1205=1,OR('Staff Weekly Trend'!$B$3="All",$DH1205='Staff Weekly Trend'!$B$3),OR('Staff Weekly Trend'!$B$4="All",$D1205='Staff Weekly Trend'!$B$4),OR('Staff Weekly Trend'!$B$5="All",$A1205='Staff Weekly Trend'!$B$5))</f>
        <v>0</v>
      </c>
      <c r="AC1205" t="str">
        <f t="shared" si="324"/>
        <v/>
      </c>
      <c r="AI1205">
        <f t="shared" si="325"/>
        <v>0</v>
      </c>
      <c r="AJ1205">
        <f t="shared" si="326"/>
        <v>0</v>
      </c>
      <c r="AK1205">
        <f t="shared" si="327"/>
        <v>0</v>
      </c>
      <c r="AL1205">
        <f t="shared" si="328"/>
        <v>0</v>
      </c>
      <c r="AM1205">
        <f t="shared" si="329"/>
        <v>0</v>
      </c>
      <c r="DH1205" t="str" cm="1">
        <f t="array" ref="DH1205">IF($A1205="","",_xlfn.LET(_xlpm.c,IFERROR(_xlfn.XLOOKUP($A1205,TRIM('Sales and count'!$A$4:$A$300&amp;""),TRIM('Sales and count'!$B$4:$B$300&amp;"")),""),IF(OR(_xlpm.c="",_xlpm.c="0",LEFT(_xlpm.c,1)="#"),"Not set",_xlpm.c)))</f>
        <v/>
      </c>
    </row>
    <row r="1206" spans="1:112" x14ac:dyDescent="0.25">
      <c r="A1206" t="str">
        <f>IF('Staff Daily sales'!$B1191="","",TRIM('Staff Daily sales'!$B1191&amp;""))</f>
        <v/>
      </c>
      <c r="B1206" t="str">
        <f>IF('Staff Daily sales'!$D1191="","",TRIM('Staff Daily sales'!$D1191&amp;""))</f>
        <v/>
      </c>
      <c r="C1206" t="str">
        <f>IFERROR(TRIM('Staff Daily sales'!$E1191&amp;""),"")</f>
        <v/>
      </c>
      <c r="D1206" t="str">
        <f>IFERROR(IF(TRIM('Staff Daily sales'!$F1191&amp;"")="","Unassigned",TRIM('Staff Daily sales'!$F1191&amp;"")),"Unassigned")</f>
        <v>Unassigned</v>
      </c>
      <c r="E1206">
        <f t="shared" si="314"/>
        <v>0</v>
      </c>
      <c r="F1206">
        <f>IF($E1206=0,0,SUMPRODUCT($AI$5:$DF$5,'Staff Daily sales'!$G1191:$CD1191))</f>
        <v>0</v>
      </c>
      <c r="G1206">
        <f>IF($E1206=0,0,SUMPRODUCT($AI$6:$DF$6,'Staff Daily sales'!$G1191:$CD1191))</f>
        <v>0</v>
      </c>
      <c r="H1206">
        <f t="shared" si="315"/>
        <v>0</v>
      </c>
      <c r="I1206">
        <f t="shared" si="316"/>
        <v>0</v>
      </c>
      <c r="J1206">
        <f t="shared" si="317"/>
        <v>0</v>
      </c>
      <c r="K1206">
        <f t="shared" si="318"/>
        <v>0</v>
      </c>
      <c r="L1206">
        <f>--AND($E1206=1,OR('Staff Dashboard'!$B$6="All",$DH1206='Staff Dashboard'!$B$6),OR('Staff Dashboard'!$B$7="All",$D1206='Staff Dashboard'!$B$7),OR('Staff Dashboard'!$B$8="All",$A1206='Staff Dashboard'!$B$8))</f>
        <v>0</v>
      </c>
      <c r="M1206">
        <f>IF($E1206=0,0,SUMPRODUCT($AI$7:$DF$7,'Staff Daily sales'!$G1191:$CD1191))</f>
        <v>0</v>
      </c>
      <c r="N1206">
        <f>IF($E1206=0,0,SUMPRODUCT($AI$8:$DF$8,'Staff Daily sales'!$G1191:$CD1191))</f>
        <v>0</v>
      </c>
      <c r="O1206">
        <f>IF($E1206=0,0,SUMPRODUCT($AI$9:$DF$9,'Staff Daily sales'!$G1191:$CD1191))</f>
        <v>0</v>
      </c>
      <c r="P1206">
        <f>IF($E1206=0,0,SUMPRODUCT($AI$10:$DF$10,'Staff Daily sales'!$G1191:$CD1191))</f>
        <v>0</v>
      </c>
      <c r="Q1206">
        <f>IF($E1206=0,0,SUMPRODUCT($AI$11:$DF$11,'Staff Daily sales'!$G1191:$CD1191))</f>
        <v>0</v>
      </c>
      <c r="R1206">
        <f>IF($E1206=0,0,SUMPRODUCT($AI$12:$DF$12,'Staff Daily sales'!$G1191:$CD1191))</f>
        <v>0</v>
      </c>
      <c r="S1206">
        <f>IF($E1206=0,0,SUMPRODUCT($AI$13:$DF$13,'Staff Daily sales'!$G1191:$CD1191))</f>
        <v>0</v>
      </c>
      <c r="T1206">
        <f>IF($E1206=0,0,SUMPRODUCT($AI$14:$DF$14,'Staff Daily sales'!$G1191:$CD1191))</f>
        <v>0</v>
      </c>
      <c r="U1206">
        <f>IF($E1206=0,0,SUMPRODUCT($AI$15:$DF$15,'Staff Daily sales'!$G1191:$CD1191))</f>
        <v>0</v>
      </c>
      <c r="V1206">
        <f>IF($E1206=0,0,SUMPRODUCT($AI$16:$DF$16,'Staff Daily sales'!$G1191:$CD1191))</f>
        <v>0</v>
      </c>
      <c r="W1206">
        <f t="shared" si="319"/>
        <v>0</v>
      </c>
      <c r="X1206">
        <f t="shared" si="320"/>
        <v>0</v>
      </c>
      <c r="Y1206">
        <f t="shared" si="321"/>
        <v>0</v>
      </c>
      <c r="Z1206">
        <f t="shared" si="322"/>
        <v>0</v>
      </c>
      <c r="AA1206">
        <f t="shared" si="323"/>
        <v>0</v>
      </c>
      <c r="AB1206">
        <f>--AND($E1206=1,OR('Staff Weekly Trend'!$B$3="All",$DH1206='Staff Weekly Trend'!$B$3),OR('Staff Weekly Trend'!$B$4="All",$D1206='Staff Weekly Trend'!$B$4),OR('Staff Weekly Trend'!$B$5="All",$A1206='Staff Weekly Trend'!$B$5))</f>
        <v>0</v>
      </c>
      <c r="AC1206" t="str">
        <f t="shared" si="324"/>
        <v/>
      </c>
      <c r="AI1206">
        <f t="shared" si="325"/>
        <v>0</v>
      </c>
      <c r="AJ1206">
        <f t="shared" si="326"/>
        <v>0</v>
      </c>
      <c r="AK1206">
        <f t="shared" si="327"/>
        <v>0</v>
      </c>
      <c r="AL1206">
        <f t="shared" si="328"/>
        <v>0</v>
      </c>
      <c r="AM1206">
        <f t="shared" si="329"/>
        <v>0</v>
      </c>
      <c r="DH1206" t="str" cm="1">
        <f t="array" ref="DH1206">IF($A1206="","",_xlfn.LET(_xlpm.c,IFERROR(_xlfn.XLOOKUP($A1206,TRIM('Sales and count'!$A$4:$A$300&amp;""),TRIM('Sales and count'!$B$4:$B$300&amp;"")),""),IF(OR(_xlpm.c="",_xlpm.c="0",LEFT(_xlpm.c,1)="#"),"Not set",_xlpm.c)))</f>
        <v/>
      </c>
    </row>
    <row r="1207" spans="1:112" x14ac:dyDescent="0.25">
      <c r="A1207" t="str">
        <f>IF('Staff Daily sales'!$B1192="","",TRIM('Staff Daily sales'!$B1192&amp;""))</f>
        <v/>
      </c>
      <c r="B1207" t="str">
        <f>IF('Staff Daily sales'!$D1192="","",TRIM('Staff Daily sales'!$D1192&amp;""))</f>
        <v/>
      </c>
      <c r="C1207" t="str">
        <f>IFERROR(TRIM('Staff Daily sales'!$E1192&amp;""),"")</f>
        <v/>
      </c>
      <c r="D1207" t="str">
        <f>IFERROR(IF(TRIM('Staff Daily sales'!$F1192&amp;"")="","Unassigned",TRIM('Staff Daily sales'!$F1192&amp;"")),"Unassigned")</f>
        <v>Unassigned</v>
      </c>
      <c r="E1207">
        <f t="shared" si="314"/>
        <v>0</v>
      </c>
      <c r="F1207">
        <f>IF($E1207=0,0,SUMPRODUCT($AI$5:$DF$5,'Staff Daily sales'!$G1192:$CD1192))</f>
        <v>0</v>
      </c>
      <c r="G1207">
        <f>IF($E1207=0,0,SUMPRODUCT($AI$6:$DF$6,'Staff Daily sales'!$G1192:$CD1192))</f>
        <v>0</v>
      </c>
      <c r="H1207">
        <f t="shared" si="315"/>
        <v>0</v>
      </c>
      <c r="I1207">
        <f t="shared" si="316"/>
        <v>0</v>
      </c>
      <c r="J1207">
        <f t="shared" si="317"/>
        <v>0</v>
      </c>
      <c r="K1207">
        <f t="shared" si="318"/>
        <v>0</v>
      </c>
      <c r="L1207">
        <f>--AND($E1207=1,OR('Staff Dashboard'!$B$6="All",$DH1207='Staff Dashboard'!$B$6),OR('Staff Dashboard'!$B$7="All",$D1207='Staff Dashboard'!$B$7),OR('Staff Dashboard'!$B$8="All",$A1207='Staff Dashboard'!$B$8))</f>
        <v>0</v>
      </c>
      <c r="M1207">
        <f>IF($E1207=0,0,SUMPRODUCT($AI$7:$DF$7,'Staff Daily sales'!$G1192:$CD1192))</f>
        <v>0</v>
      </c>
      <c r="N1207">
        <f>IF($E1207=0,0,SUMPRODUCT($AI$8:$DF$8,'Staff Daily sales'!$G1192:$CD1192))</f>
        <v>0</v>
      </c>
      <c r="O1207">
        <f>IF($E1207=0,0,SUMPRODUCT($AI$9:$DF$9,'Staff Daily sales'!$G1192:$CD1192))</f>
        <v>0</v>
      </c>
      <c r="P1207">
        <f>IF($E1207=0,0,SUMPRODUCT($AI$10:$DF$10,'Staff Daily sales'!$G1192:$CD1192))</f>
        <v>0</v>
      </c>
      <c r="Q1207">
        <f>IF($E1207=0,0,SUMPRODUCT($AI$11:$DF$11,'Staff Daily sales'!$G1192:$CD1192))</f>
        <v>0</v>
      </c>
      <c r="R1207">
        <f>IF($E1207=0,0,SUMPRODUCT($AI$12:$DF$12,'Staff Daily sales'!$G1192:$CD1192))</f>
        <v>0</v>
      </c>
      <c r="S1207">
        <f>IF($E1207=0,0,SUMPRODUCT($AI$13:$DF$13,'Staff Daily sales'!$G1192:$CD1192))</f>
        <v>0</v>
      </c>
      <c r="T1207">
        <f>IF($E1207=0,0,SUMPRODUCT($AI$14:$DF$14,'Staff Daily sales'!$G1192:$CD1192))</f>
        <v>0</v>
      </c>
      <c r="U1207">
        <f>IF($E1207=0,0,SUMPRODUCT($AI$15:$DF$15,'Staff Daily sales'!$G1192:$CD1192))</f>
        <v>0</v>
      </c>
      <c r="V1207">
        <f>IF($E1207=0,0,SUMPRODUCT($AI$16:$DF$16,'Staff Daily sales'!$G1192:$CD1192))</f>
        <v>0</v>
      </c>
      <c r="W1207">
        <f t="shared" si="319"/>
        <v>0</v>
      </c>
      <c r="X1207">
        <f t="shared" si="320"/>
        <v>0</v>
      </c>
      <c r="Y1207">
        <f t="shared" si="321"/>
        <v>0</v>
      </c>
      <c r="Z1207">
        <f t="shared" si="322"/>
        <v>0</v>
      </c>
      <c r="AA1207">
        <f t="shared" si="323"/>
        <v>0</v>
      </c>
      <c r="AB1207">
        <f>--AND($E1207=1,OR('Staff Weekly Trend'!$B$3="All",$DH1207='Staff Weekly Trend'!$B$3),OR('Staff Weekly Trend'!$B$4="All",$D1207='Staff Weekly Trend'!$B$4),OR('Staff Weekly Trend'!$B$5="All",$A1207='Staff Weekly Trend'!$B$5))</f>
        <v>0</v>
      </c>
      <c r="AC1207" t="str">
        <f t="shared" si="324"/>
        <v/>
      </c>
      <c r="AI1207">
        <f t="shared" si="325"/>
        <v>0</v>
      </c>
      <c r="AJ1207">
        <f t="shared" si="326"/>
        <v>0</v>
      </c>
      <c r="AK1207">
        <f t="shared" si="327"/>
        <v>0</v>
      </c>
      <c r="AL1207">
        <f t="shared" si="328"/>
        <v>0</v>
      </c>
      <c r="AM1207">
        <f t="shared" si="329"/>
        <v>0</v>
      </c>
      <c r="DH1207" t="str" cm="1">
        <f t="array" ref="DH1207">IF($A1207="","",_xlfn.LET(_xlpm.c,IFERROR(_xlfn.XLOOKUP($A1207,TRIM('Sales and count'!$A$4:$A$300&amp;""),TRIM('Sales and count'!$B$4:$B$300&amp;"")),""),IF(OR(_xlpm.c="",_xlpm.c="0",LEFT(_xlpm.c,1)="#"),"Not set",_xlpm.c)))</f>
        <v/>
      </c>
    </row>
    <row r="1208" spans="1:112" x14ac:dyDescent="0.25">
      <c r="A1208" t="str">
        <f>IF('Staff Daily sales'!$B1193="","",TRIM('Staff Daily sales'!$B1193&amp;""))</f>
        <v/>
      </c>
      <c r="B1208" t="str">
        <f>IF('Staff Daily sales'!$D1193="","",TRIM('Staff Daily sales'!$D1193&amp;""))</f>
        <v/>
      </c>
      <c r="C1208" t="str">
        <f>IFERROR(TRIM('Staff Daily sales'!$E1193&amp;""),"")</f>
        <v/>
      </c>
      <c r="D1208" t="str">
        <f>IFERROR(IF(TRIM('Staff Daily sales'!$F1193&amp;"")="","Unassigned",TRIM('Staff Daily sales'!$F1193&amp;"")),"Unassigned")</f>
        <v>Unassigned</v>
      </c>
      <c r="E1208">
        <f t="shared" si="314"/>
        <v>0</v>
      </c>
      <c r="F1208">
        <f>IF($E1208=0,0,SUMPRODUCT($AI$5:$DF$5,'Staff Daily sales'!$G1193:$CD1193))</f>
        <v>0</v>
      </c>
      <c r="G1208">
        <f>IF($E1208=0,0,SUMPRODUCT($AI$6:$DF$6,'Staff Daily sales'!$G1193:$CD1193))</f>
        <v>0</v>
      </c>
      <c r="H1208">
        <f t="shared" si="315"/>
        <v>0</v>
      </c>
      <c r="I1208">
        <f t="shared" si="316"/>
        <v>0</v>
      </c>
      <c r="J1208">
        <f t="shared" si="317"/>
        <v>0</v>
      </c>
      <c r="K1208">
        <f t="shared" si="318"/>
        <v>0</v>
      </c>
      <c r="L1208">
        <f>--AND($E1208=1,OR('Staff Dashboard'!$B$6="All",$DH1208='Staff Dashboard'!$B$6),OR('Staff Dashboard'!$B$7="All",$D1208='Staff Dashboard'!$B$7),OR('Staff Dashboard'!$B$8="All",$A1208='Staff Dashboard'!$B$8))</f>
        <v>0</v>
      </c>
      <c r="M1208">
        <f>IF($E1208=0,0,SUMPRODUCT($AI$7:$DF$7,'Staff Daily sales'!$G1193:$CD1193))</f>
        <v>0</v>
      </c>
      <c r="N1208">
        <f>IF($E1208=0,0,SUMPRODUCT($AI$8:$DF$8,'Staff Daily sales'!$G1193:$CD1193))</f>
        <v>0</v>
      </c>
      <c r="O1208">
        <f>IF($E1208=0,0,SUMPRODUCT($AI$9:$DF$9,'Staff Daily sales'!$G1193:$CD1193))</f>
        <v>0</v>
      </c>
      <c r="P1208">
        <f>IF($E1208=0,0,SUMPRODUCT($AI$10:$DF$10,'Staff Daily sales'!$G1193:$CD1193))</f>
        <v>0</v>
      </c>
      <c r="Q1208">
        <f>IF($E1208=0,0,SUMPRODUCT($AI$11:$DF$11,'Staff Daily sales'!$G1193:$CD1193))</f>
        <v>0</v>
      </c>
      <c r="R1208">
        <f>IF($E1208=0,0,SUMPRODUCT($AI$12:$DF$12,'Staff Daily sales'!$G1193:$CD1193))</f>
        <v>0</v>
      </c>
      <c r="S1208">
        <f>IF($E1208=0,0,SUMPRODUCT($AI$13:$DF$13,'Staff Daily sales'!$G1193:$CD1193))</f>
        <v>0</v>
      </c>
      <c r="T1208">
        <f>IF($E1208=0,0,SUMPRODUCT($AI$14:$DF$14,'Staff Daily sales'!$G1193:$CD1193))</f>
        <v>0</v>
      </c>
      <c r="U1208">
        <f>IF($E1208=0,0,SUMPRODUCT($AI$15:$DF$15,'Staff Daily sales'!$G1193:$CD1193))</f>
        <v>0</v>
      </c>
      <c r="V1208">
        <f>IF($E1208=0,0,SUMPRODUCT($AI$16:$DF$16,'Staff Daily sales'!$G1193:$CD1193))</f>
        <v>0</v>
      </c>
      <c r="W1208">
        <f t="shared" si="319"/>
        <v>0</v>
      </c>
      <c r="X1208">
        <f t="shared" si="320"/>
        <v>0</v>
      </c>
      <c r="Y1208">
        <f t="shared" si="321"/>
        <v>0</v>
      </c>
      <c r="Z1208">
        <f t="shared" si="322"/>
        <v>0</v>
      </c>
      <c r="AA1208">
        <f t="shared" si="323"/>
        <v>0</v>
      </c>
      <c r="AB1208">
        <f>--AND($E1208=1,OR('Staff Weekly Trend'!$B$3="All",$DH1208='Staff Weekly Trend'!$B$3),OR('Staff Weekly Trend'!$B$4="All",$D1208='Staff Weekly Trend'!$B$4),OR('Staff Weekly Trend'!$B$5="All",$A1208='Staff Weekly Trend'!$B$5))</f>
        <v>0</v>
      </c>
      <c r="AC1208" t="str">
        <f t="shared" si="324"/>
        <v/>
      </c>
      <c r="AI1208">
        <f t="shared" si="325"/>
        <v>0</v>
      </c>
      <c r="AJ1208">
        <f t="shared" si="326"/>
        <v>0</v>
      </c>
      <c r="AK1208">
        <f t="shared" si="327"/>
        <v>0</v>
      </c>
      <c r="AL1208">
        <f t="shared" si="328"/>
        <v>0</v>
      </c>
      <c r="AM1208">
        <f t="shared" si="329"/>
        <v>0</v>
      </c>
      <c r="DH1208" t="str" cm="1">
        <f t="array" ref="DH1208">IF($A1208="","",_xlfn.LET(_xlpm.c,IFERROR(_xlfn.XLOOKUP($A1208,TRIM('Sales and count'!$A$4:$A$300&amp;""),TRIM('Sales and count'!$B$4:$B$300&amp;"")),""),IF(OR(_xlpm.c="",_xlpm.c="0",LEFT(_xlpm.c,1)="#"),"Not set",_xlpm.c)))</f>
        <v/>
      </c>
    </row>
    <row r="1209" spans="1:112" x14ac:dyDescent="0.25">
      <c r="A1209" t="str">
        <f>IF('Staff Daily sales'!$B1194="","",TRIM('Staff Daily sales'!$B1194&amp;""))</f>
        <v/>
      </c>
      <c r="B1209" t="str">
        <f>IF('Staff Daily sales'!$D1194="","",TRIM('Staff Daily sales'!$D1194&amp;""))</f>
        <v/>
      </c>
      <c r="C1209" t="str">
        <f>IFERROR(TRIM('Staff Daily sales'!$E1194&amp;""),"")</f>
        <v/>
      </c>
      <c r="D1209" t="str">
        <f>IFERROR(IF(TRIM('Staff Daily sales'!$F1194&amp;"")="","Unassigned",TRIM('Staff Daily sales'!$F1194&amp;"")),"Unassigned")</f>
        <v>Unassigned</v>
      </c>
      <c r="E1209">
        <f t="shared" si="314"/>
        <v>0</v>
      </c>
      <c r="F1209">
        <f>IF($E1209=0,0,SUMPRODUCT($AI$5:$DF$5,'Staff Daily sales'!$G1194:$CD1194))</f>
        <v>0</v>
      </c>
      <c r="G1209">
        <f>IF($E1209=0,0,SUMPRODUCT($AI$6:$DF$6,'Staff Daily sales'!$G1194:$CD1194))</f>
        <v>0</v>
      </c>
      <c r="H1209">
        <f t="shared" si="315"/>
        <v>0</v>
      </c>
      <c r="I1209">
        <f t="shared" si="316"/>
        <v>0</v>
      </c>
      <c r="J1209">
        <f t="shared" si="317"/>
        <v>0</v>
      </c>
      <c r="K1209">
        <f t="shared" si="318"/>
        <v>0</v>
      </c>
      <c r="L1209">
        <f>--AND($E1209=1,OR('Staff Dashboard'!$B$6="All",$DH1209='Staff Dashboard'!$B$6),OR('Staff Dashboard'!$B$7="All",$D1209='Staff Dashboard'!$B$7),OR('Staff Dashboard'!$B$8="All",$A1209='Staff Dashboard'!$B$8))</f>
        <v>0</v>
      </c>
      <c r="M1209">
        <f>IF($E1209=0,0,SUMPRODUCT($AI$7:$DF$7,'Staff Daily sales'!$G1194:$CD1194))</f>
        <v>0</v>
      </c>
      <c r="N1209">
        <f>IF($E1209=0,0,SUMPRODUCT($AI$8:$DF$8,'Staff Daily sales'!$G1194:$CD1194))</f>
        <v>0</v>
      </c>
      <c r="O1209">
        <f>IF($E1209=0,0,SUMPRODUCT($AI$9:$DF$9,'Staff Daily sales'!$G1194:$CD1194))</f>
        <v>0</v>
      </c>
      <c r="P1209">
        <f>IF($E1209=0,0,SUMPRODUCT($AI$10:$DF$10,'Staff Daily sales'!$G1194:$CD1194))</f>
        <v>0</v>
      </c>
      <c r="Q1209">
        <f>IF($E1209=0,0,SUMPRODUCT($AI$11:$DF$11,'Staff Daily sales'!$G1194:$CD1194))</f>
        <v>0</v>
      </c>
      <c r="R1209">
        <f>IF($E1209=0,0,SUMPRODUCT($AI$12:$DF$12,'Staff Daily sales'!$G1194:$CD1194))</f>
        <v>0</v>
      </c>
      <c r="S1209">
        <f>IF($E1209=0,0,SUMPRODUCT($AI$13:$DF$13,'Staff Daily sales'!$G1194:$CD1194))</f>
        <v>0</v>
      </c>
      <c r="T1209">
        <f>IF($E1209=0,0,SUMPRODUCT($AI$14:$DF$14,'Staff Daily sales'!$G1194:$CD1194))</f>
        <v>0</v>
      </c>
      <c r="U1209">
        <f>IF($E1209=0,0,SUMPRODUCT($AI$15:$DF$15,'Staff Daily sales'!$G1194:$CD1194))</f>
        <v>0</v>
      </c>
      <c r="V1209">
        <f>IF($E1209=0,0,SUMPRODUCT($AI$16:$DF$16,'Staff Daily sales'!$G1194:$CD1194))</f>
        <v>0</v>
      </c>
      <c r="W1209">
        <f t="shared" si="319"/>
        <v>0</v>
      </c>
      <c r="X1209">
        <f t="shared" si="320"/>
        <v>0</v>
      </c>
      <c r="Y1209">
        <f t="shared" si="321"/>
        <v>0</v>
      </c>
      <c r="Z1209">
        <f t="shared" si="322"/>
        <v>0</v>
      </c>
      <c r="AA1209">
        <f t="shared" si="323"/>
        <v>0</v>
      </c>
      <c r="AB1209">
        <f>--AND($E1209=1,OR('Staff Weekly Trend'!$B$3="All",$DH1209='Staff Weekly Trend'!$B$3),OR('Staff Weekly Trend'!$B$4="All",$D1209='Staff Weekly Trend'!$B$4),OR('Staff Weekly Trend'!$B$5="All",$A1209='Staff Weekly Trend'!$B$5))</f>
        <v>0</v>
      </c>
      <c r="AC1209" t="str">
        <f t="shared" si="324"/>
        <v/>
      </c>
      <c r="AI1209">
        <f t="shared" si="325"/>
        <v>0</v>
      </c>
      <c r="AJ1209">
        <f t="shared" si="326"/>
        <v>0</v>
      </c>
      <c r="AK1209">
        <f t="shared" si="327"/>
        <v>0</v>
      </c>
      <c r="AL1209">
        <f t="shared" si="328"/>
        <v>0</v>
      </c>
      <c r="AM1209">
        <f t="shared" si="329"/>
        <v>0</v>
      </c>
      <c r="DH1209" t="str" cm="1">
        <f t="array" ref="DH1209">IF($A1209="","",_xlfn.LET(_xlpm.c,IFERROR(_xlfn.XLOOKUP($A1209,TRIM('Sales and count'!$A$4:$A$300&amp;""),TRIM('Sales and count'!$B$4:$B$300&amp;"")),""),IF(OR(_xlpm.c="",_xlpm.c="0",LEFT(_xlpm.c,1)="#"),"Not set",_xlpm.c)))</f>
        <v/>
      </c>
    </row>
    <row r="1210" spans="1:112" x14ac:dyDescent="0.25">
      <c r="A1210" t="str">
        <f>IF('Staff Daily sales'!$B1195="","",TRIM('Staff Daily sales'!$B1195&amp;""))</f>
        <v/>
      </c>
      <c r="B1210" t="str">
        <f>IF('Staff Daily sales'!$D1195="","",TRIM('Staff Daily sales'!$D1195&amp;""))</f>
        <v/>
      </c>
      <c r="C1210" t="str">
        <f>IFERROR(TRIM('Staff Daily sales'!$E1195&amp;""),"")</f>
        <v/>
      </c>
      <c r="D1210" t="str">
        <f>IFERROR(IF(TRIM('Staff Daily sales'!$F1195&amp;"")="","Unassigned",TRIM('Staff Daily sales'!$F1195&amp;"")),"Unassigned")</f>
        <v>Unassigned</v>
      </c>
      <c r="E1210">
        <f t="shared" si="314"/>
        <v>0</v>
      </c>
      <c r="F1210">
        <f>IF($E1210=0,0,SUMPRODUCT($AI$5:$DF$5,'Staff Daily sales'!$G1195:$CD1195))</f>
        <v>0</v>
      </c>
      <c r="G1210">
        <f>IF($E1210=0,0,SUMPRODUCT($AI$6:$DF$6,'Staff Daily sales'!$G1195:$CD1195))</f>
        <v>0</v>
      </c>
      <c r="H1210">
        <f t="shared" si="315"/>
        <v>0</v>
      </c>
      <c r="I1210">
        <f t="shared" si="316"/>
        <v>0</v>
      </c>
      <c r="J1210">
        <f t="shared" si="317"/>
        <v>0</v>
      </c>
      <c r="K1210">
        <f t="shared" si="318"/>
        <v>0</v>
      </c>
      <c r="L1210">
        <f>--AND($E1210=1,OR('Staff Dashboard'!$B$6="All",$DH1210='Staff Dashboard'!$B$6),OR('Staff Dashboard'!$B$7="All",$D1210='Staff Dashboard'!$B$7),OR('Staff Dashboard'!$B$8="All",$A1210='Staff Dashboard'!$B$8))</f>
        <v>0</v>
      </c>
      <c r="M1210">
        <f>IF($E1210=0,0,SUMPRODUCT($AI$7:$DF$7,'Staff Daily sales'!$G1195:$CD1195))</f>
        <v>0</v>
      </c>
      <c r="N1210">
        <f>IF($E1210=0,0,SUMPRODUCT($AI$8:$DF$8,'Staff Daily sales'!$G1195:$CD1195))</f>
        <v>0</v>
      </c>
      <c r="O1210">
        <f>IF($E1210=0,0,SUMPRODUCT($AI$9:$DF$9,'Staff Daily sales'!$G1195:$CD1195))</f>
        <v>0</v>
      </c>
      <c r="P1210">
        <f>IF($E1210=0,0,SUMPRODUCT($AI$10:$DF$10,'Staff Daily sales'!$G1195:$CD1195))</f>
        <v>0</v>
      </c>
      <c r="Q1210">
        <f>IF($E1210=0,0,SUMPRODUCT($AI$11:$DF$11,'Staff Daily sales'!$G1195:$CD1195))</f>
        <v>0</v>
      </c>
      <c r="R1210">
        <f>IF($E1210=0,0,SUMPRODUCT($AI$12:$DF$12,'Staff Daily sales'!$G1195:$CD1195))</f>
        <v>0</v>
      </c>
      <c r="S1210">
        <f>IF($E1210=0,0,SUMPRODUCT($AI$13:$DF$13,'Staff Daily sales'!$G1195:$CD1195))</f>
        <v>0</v>
      </c>
      <c r="T1210">
        <f>IF($E1210=0,0,SUMPRODUCT($AI$14:$DF$14,'Staff Daily sales'!$G1195:$CD1195))</f>
        <v>0</v>
      </c>
      <c r="U1210">
        <f>IF($E1210=0,0,SUMPRODUCT($AI$15:$DF$15,'Staff Daily sales'!$G1195:$CD1195))</f>
        <v>0</v>
      </c>
      <c r="V1210">
        <f>IF($E1210=0,0,SUMPRODUCT($AI$16:$DF$16,'Staff Daily sales'!$G1195:$CD1195))</f>
        <v>0</v>
      </c>
      <c r="W1210">
        <f t="shared" si="319"/>
        <v>0</v>
      </c>
      <c r="X1210">
        <f t="shared" si="320"/>
        <v>0</v>
      </c>
      <c r="Y1210">
        <f t="shared" si="321"/>
        <v>0</v>
      </c>
      <c r="Z1210">
        <f t="shared" si="322"/>
        <v>0</v>
      </c>
      <c r="AA1210">
        <f t="shared" si="323"/>
        <v>0</v>
      </c>
      <c r="AB1210">
        <f>--AND($E1210=1,OR('Staff Weekly Trend'!$B$3="All",$DH1210='Staff Weekly Trend'!$B$3),OR('Staff Weekly Trend'!$B$4="All",$D1210='Staff Weekly Trend'!$B$4),OR('Staff Weekly Trend'!$B$5="All",$A1210='Staff Weekly Trend'!$B$5))</f>
        <v>0</v>
      </c>
      <c r="AC1210" t="str">
        <f t="shared" si="324"/>
        <v/>
      </c>
      <c r="AI1210">
        <f t="shared" si="325"/>
        <v>0</v>
      </c>
      <c r="AJ1210">
        <f t="shared" si="326"/>
        <v>0</v>
      </c>
      <c r="AK1210">
        <f t="shared" si="327"/>
        <v>0</v>
      </c>
      <c r="AL1210">
        <f t="shared" si="328"/>
        <v>0</v>
      </c>
      <c r="AM1210">
        <f t="shared" si="329"/>
        <v>0</v>
      </c>
      <c r="DH1210" t="str" cm="1">
        <f t="array" ref="DH1210">IF($A1210="","",_xlfn.LET(_xlpm.c,IFERROR(_xlfn.XLOOKUP($A1210,TRIM('Sales and count'!$A$4:$A$300&amp;""),TRIM('Sales and count'!$B$4:$B$300&amp;"")),""),IF(OR(_xlpm.c="",_xlpm.c="0",LEFT(_xlpm.c,1)="#"),"Not set",_xlpm.c)))</f>
        <v/>
      </c>
    </row>
    <row r="1211" spans="1:112" x14ac:dyDescent="0.25">
      <c r="A1211" t="str">
        <f>IF('Staff Daily sales'!$B1196="","",TRIM('Staff Daily sales'!$B1196&amp;""))</f>
        <v/>
      </c>
      <c r="B1211" t="str">
        <f>IF('Staff Daily sales'!$D1196="","",TRIM('Staff Daily sales'!$D1196&amp;""))</f>
        <v/>
      </c>
      <c r="C1211" t="str">
        <f>IFERROR(TRIM('Staff Daily sales'!$E1196&amp;""),"")</f>
        <v/>
      </c>
      <c r="D1211" t="str">
        <f>IFERROR(IF(TRIM('Staff Daily sales'!$F1196&amp;"")="","Unassigned",TRIM('Staff Daily sales'!$F1196&amp;"")),"Unassigned")</f>
        <v>Unassigned</v>
      </c>
      <c r="E1211">
        <f t="shared" si="314"/>
        <v>0</v>
      </c>
      <c r="F1211">
        <f>IF($E1211=0,0,SUMPRODUCT($AI$5:$DF$5,'Staff Daily sales'!$G1196:$CD1196))</f>
        <v>0</v>
      </c>
      <c r="G1211">
        <f>IF($E1211=0,0,SUMPRODUCT($AI$6:$DF$6,'Staff Daily sales'!$G1196:$CD1196))</f>
        <v>0</v>
      </c>
      <c r="H1211">
        <f t="shared" si="315"/>
        <v>0</v>
      </c>
      <c r="I1211">
        <f t="shared" si="316"/>
        <v>0</v>
      </c>
      <c r="J1211">
        <f t="shared" si="317"/>
        <v>0</v>
      </c>
      <c r="K1211">
        <f t="shared" si="318"/>
        <v>0</v>
      </c>
      <c r="L1211">
        <f>--AND($E1211=1,OR('Staff Dashboard'!$B$6="All",$DH1211='Staff Dashboard'!$B$6),OR('Staff Dashboard'!$B$7="All",$D1211='Staff Dashboard'!$B$7),OR('Staff Dashboard'!$B$8="All",$A1211='Staff Dashboard'!$B$8))</f>
        <v>0</v>
      </c>
      <c r="M1211">
        <f>IF($E1211=0,0,SUMPRODUCT($AI$7:$DF$7,'Staff Daily sales'!$G1196:$CD1196))</f>
        <v>0</v>
      </c>
      <c r="N1211">
        <f>IF($E1211=0,0,SUMPRODUCT($AI$8:$DF$8,'Staff Daily sales'!$G1196:$CD1196))</f>
        <v>0</v>
      </c>
      <c r="O1211">
        <f>IF($E1211=0,0,SUMPRODUCT($AI$9:$DF$9,'Staff Daily sales'!$G1196:$CD1196))</f>
        <v>0</v>
      </c>
      <c r="P1211">
        <f>IF($E1211=0,0,SUMPRODUCT($AI$10:$DF$10,'Staff Daily sales'!$G1196:$CD1196))</f>
        <v>0</v>
      </c>
      <c r="Q1211">
        <f>IF($E1211=0,0,SUMPRODUCT($AI$11:$DF$11,'Staff Daily sales'!$G1196:$CD1196))</f>
        <v>0</v>
      </c>
      <c r="R1211">
        <f>IF($E1211=0,0,SUMPRODUCT($AI$12:$DF$12,'Staff Daily sales'!$G1196:$CD1196))</f>
        <v>0</v>
      </c>
      <c r="S1211">
        <f>IF($E1211=0,0,SUMPRODUCT($AI$13:$DF$13,'Staff Daily sales'!$G1196:$CD1196))</f>
        <v>0</v>
      </c>
      <c r="T1211">
        <f>IF($E1211=0,0,SUMPRODUCT($AI$14:$DF$14,'Staff Daily sales'!$G1196:$CD1196))</f>
        <v>0</v>
      </c>
      <c r="U1211">
        <f>IF($E1211=0,0,SUMPRODUCT($AI$15:$DF$15,'Staff Daily sales'!$G1196:$CD1196))</f>
        <v>0</v>
      </c>
      <c r="V1211">
        <f>IF($E1211=0,0,SUMPRODUCT($AI$16:$DF$16,'Staff Daily sales'!$G1196:$CD1196))</f>
        <v>0</v>
      </c>
      <c r="W1211">
        <f t="shared" si="319"/>
        <v>0</v>
      </c>
      <c r="X1211">
        <f t="shared" si="320"/>
        <v>0</v>
      </c>
      <c r="Y1211">
        <f t="shared" si="321"/>
        <v>0</v>
      </c>
      <c r="Z1211">
        <f t="shared" si="322"/>
        <v>0</v>
      </c>
      <c r="AA1211">
        <f t="shared" si="323"/>
        <v>0</v>
      </c>
      <c r="AB1211">
        <f>--AND($E1211=1,OR('Staff Weekly Trend'!$B$3="All",$DH1211='Staff Weekly Trend'!$B$3),OR('Staff Weekly Trend'!$B$4="All",$D1211='Staff Weekly Trend'!$B$4),OR('Staff Weekly Trend'!$B$5="All",$A1211='Staff Weekly Trend'!$B$5))</f>
        <v>0</v>
      </c>
      <c r="AC1211" t="str">
        <f t="shared" si="324"/>
        <v/>
      </c>
      <c r="AI1211">
        <f t="shared" si="325"/>
        <v>0</v>
      </c>
      <c r="AJ1211">
        <f t="shared" si="326"/>
        <v>0</v>
      </c>
      <c r="AK1211">
        <f t="shared" si="327"/>
        <v>0</v>
      </c>
      <c r="AL1211">
        <f t="shared" si="328"/>
        <v>0</v>
      </c>
      <c r="AM1211">
        <f t="shared" si="329"/>
        <v>0</v>
      </c>
      <c r="DH1211" t="str" cm="1">
        <f t="array" ref="DH1211">IF($A1211="","",_xlfn.LET(_xlpm.c,IFERROR(_xlfn.XLOOKUP($A1211,TRIM('Sales and count'!$A$4:$A$300&amp;""),TRIM('Sales and count'!$B$4:$B$300&amp;"")),""),IF(OR(_xlpm.c="",_xlpm.c="0",LEFT(_xlpm.c,1)="#"),"Not set",_xlpm.c)))</f>
        <v/>
      </c>
    </row>
    <row r="1212" spans="1:112" x14ac:dyDescent="0.25">
      <c r="A1212" t="str">
        <f>IF('Staff Daily sales'!$B1197="","",TRIM('Staff Daily sales'!$B1197&amp;""))</f>
        <v/>
      </c>
      <c r="B1212" t="str">
        <f>IF('Staff Daily sales'!$D1197="","",TRIM('Staff Daily sales'!$D1197&amp;""))</f>
        <v/>
      </c>
      <c r="C1212" t="str">
        <f>IFERROR(TRIM('Staff Daily sales'!$E1197&amp;""),"")</f>
        <v/>
      </c>
      <c r="D1212" t="str">
        <f>IFERROR(IF(TRIM('Staff Daily sales'!$F1197&amp;"")="","Unassigned",TRIM('Staff Daily sales'!$F1197&amp;"")),"Unassigned")</f>
        <v>Unassigned</v>
      </c>
      <c r="E1212">
        <f t="shared" si="314"/>
        <v>0</v>
      </c>
      <c r="F1212">
        <f>IF($E1212=0,0,SUMPRODUCT($AI$5:$DF$5,'Staff Daily sales'!$G1197:$CD1197))</f>
        <v>0</v>
      </c>
      <c r="G1212">
        <f>IF($E1212=0,0,SUMPRODUCT($AI$6:$DF$6,'Staff Daily sales'!$G1197:$CD1197))</f>
        <v>0</v>
      </c>
      <c r="H1212">
        <f t="shared" si="315"/>
        <v>0</v>
      </c>
      <c r="I1212">
        <f t="shared" si="316"/>
        <v>0</v>
      </c>
      <c r="J1212">
        <f t="shared" si="317"/>
        <v>0</v>
      </c>
      <c r="K1212">
        <f t="shared" si="318"/>
        <v>0</v>
      </c>
      <c r="L1212">
        <f>--AND($E1212=1,OR('Staff Dashboard'!$B$6="All",$DH1212='Staff Dashboard'!$B$6),OR('Staff Dashboard'!$B$7="All",$D1212='Staff Dashboard'!$B$7),OR('Staff Dashboard'!$B$8="All",$A1212='Staff Dashboard'!$B$8))</f>
        <v>0</v>
      </c>
      <c r="M1212">
        <f>IF($E1212=0,0,SUMPRODUCT($AI$7:$DF$7,'Staff Daily sales'!$G1197:$CD1197))</f>
        <v>0</v>
      </c>
      <c r="N1212">
        <f>IF($E1212=0,0,SUMPRODUCT($AI$8:$DF$8,'Staff Daily sales'!$G1197:$CD1197))</f>
        <v>0</v>
      </c>
      <c r="O1212">
        <f>IF($E1212=0,0,SUMPRODUCT($AI$9:$DF$9,'Staff Daily sales'!$G1197:$CD1197))</f>
        <v>0</v>
      </c>
      <c r="P1212">
        <f>IF($E1212=0,0,SUMPRODUCT($AI$10:$DF$10,'Staff Daily sales'!$G1197:$CD1197))</f>
        <v>0</v>
      </c>
      <c r="Q1212">
        <f>IF($E1212=0,0,SUMPRODUCT($AI$11:$DF$11,'Staff Daily sales'!$G1197:$CD1197))</f>
        <v>0</v>
      </c>
      <c r="R1212">
        <f>IF($E1212=0,0,SUMPRODUCT($AI$12:$DF$12,'Staff Daily sales'!$G1197:$CD1197))</f>
        <v>0</v>
      </c>
      <c r="S1212">
        <f>IF($E1212=0,0,SUMPRODUCT($AI$13:$DF$13,'Staff Daily sales'!$G1197:$CD1197))</f>
        <v>0</v>
      </c>
      <c r="T1212">
        <f>IF($E1212=0,0,SUMPRODUCT($AI$14:$DF$14,'Staff Daily sales'!$G1197:$CD1197))</f>
        <v>0</v>
      </c>
      <c r="U1212">
        <f>IF($E1212=0,0,SUMPRODUCT($AI$15:$DF$15,'Staff Daily sales'!$G1197:$CD1197))</f>
        <v>0</v>
      </c>
      <c r="V1212">
        <f>IF($E1212=0,0,SUMPRODUCT($AI$16:$DF$16,'Staff Daily sales'!$G1197:$CD1197))</f>
        <v>0</v>
      </c>
      <c r="W1212">
        <f t="shared" si="319"/>
        <v>0</v>
      </c>
      <c r="X1212">
        <f t="shared" si="320"/>
        <v>0</v>
      </c>
      <c r="Y1212">
        <f t="shared" si="321"/>
        <v>0</v>
      </c>
      <c r="Z1212">
        <f t="shared" si="322"/>
        <v>0</v>
      </c>
      <c r="AA1212">
        <f t="shared" si="323"/>
        <v>0</v>
      </c>
      <c r="AB1212">
        <f>--AND($E1212=1,OR('Staff Weekly Trend'!$B$3="All",$DH1212='Staff Weekly Trend'!$B$3),OR('Staff Weekly Trend'!$B$4="All",$D1212='Staff Weekly Trend'!$B$4),OR('Staff Weekly Trend'!$B$5="All",$A1212='Staff Weekly Trend'!$B$5))</f>
        <v>0</v>
      </c>
      <c r="AC1212" t="str">
        <f t="shared" si="324"/>
        <v/>
      </c>
      <c r="AI1212">
        <f t="shared" si="325"/>
        <v>0</v>
      </c>
      <c r="AJ1212">
        <f t="shared" si="326"/>
        <v>0</v>
      </c>
      <c r="AK1212">
        <f t="shared" si="327"/>
        <v>0</v>
      </c>
      <c r="AL1212">
        <f t="shared" si="328"/>
        <v>0</v>
      </c>
      <c r="AM1212">
        <f t="shared" si="329"/>
        <v>0</v>
      </c>
      <c r="DH1212" t="str" cm="1">
        <f t="array" ref="DH1212">IF($A1212="","",_xlfn.LET(_xlpm.c,IFERROR(_xlfn.XLOOKUP($A1212,TRIM('Sales and count'!$A$4:$A$300&amp;""),TRIM('Sales and count'!$B$4:$B$300&amp;"")),""),IF(OR(_xlpm.c="",_xlpm.c="0",LEFT(_xlpm.c,1)="#"),"Not set",_xlpm.c)))</f>
        <v/>
      </c>
    </row>
    <row r="1213" spans="1:112" x14ac:dyDescent="0.25">
      <c r="A1213" t="str">
        <f>IF('Staff Daily sales'!$B1198="","",TRIM('Staff Daily sales'!$B1198&amp;""))</f>
        <v/>
      </c>
      <c r="B1213" t="str">
        <f>IF('Staff Daily sales'!$D1198="","",TRIM('Staff Daily sales'!$D1198&amp;""))</f>
        <v/>
      </c>
      <c r="C1213" t="str">
        <f>IFERROR(TRIM('Staff Daily sales'!$E1198&amp;""),"")</f>
        <v/>
      </c>
      <c r="D1213" t="str">
        <f>IFERROR(IF(TRIM('Staff Daily sales'!$F1198&amp;"")="","Unassigned",TRIM('Staff Daily sales'!$F1198&amp;"")),"Unassigned")</f>
        <v>Unassigned</v>
      </c>
      <c r="E1213">
        <f t="shared" si="314"/>
        <v>0</v>
      </c>
      <c r="F1213">
        <f>IF($E1213=0,0,SUMPRODUCT($AI$5:$DF$5,'Staff Daily sales'!$G1198:$CD1198))</f>
        <v>0</v>
      </c>
      <c r="G1213">
        <f>IF($E1213=0,0,SUMPRODUCT($AI$6:$DF$6,'Staff Daily sales'!$G1198:$CD1198))</f>
        <v>0</v>
      </c>
      <c r="H1213">
        <f t="shared" si="315"/>
        <v>0</v>
      </c>
      <c r="I1213">
        <f t="shared" si="316"/>
        <v>0</v>
      </c>
      <c r="J1213">
        <f t="shared" si="317"/>
        <v>0</v>
      </c>
      <c r="K1213">
        <f t="shared" si="318"/>
        <v>0</v>
      </c>
      <c r="L1213">
        <f>--AND($E1213=1,OR('Staff Dashboard'!$B$6="All",$DH1213='Staff Dashboard'!$B$6),OR('Staff Dashboard'!$B$7="All",$D1213='Staff Dashboard'!$B$7),OR('Staff Dashboard'!$B$8="All",$A1213='Staff Dashboard'!$B$8))</f>
        <v>0</v>
      </c>
      <c r="M1213">
        <f>IF($E1213=0,0,SUMPRODUCT($AI$7:$DF$7,'Staff Daily sales'!$G1198:$CD1198))</f>
        <v>0</v>
      </c>
      <c r="N1213">
        <f>IF($E1213=0,0,SUMPRODUCT($AI$8:$DF$8,'Staff Daily sales'!$G1198:$CD1198))</f>
        <v>0</v>
      </c>
      <c r="O1213">
        <f>IF($E1213=0,0,SUMPRODUCT($AI$9:$DF$9,'Staff Daily sales'!$G1198:$CD1198))</f>
        <v>0</v>
      </c>
      <c r="P1213">
        <f>IF($E1213=0,0,SUMPRODUCT($AI$10:$DF$10,'Staff Daily sales'!$G1198:$CD1198))</f>
        <v>0</v>
      </c>
      <c r="Q1213">
        <f>IF($E1213=0,0,SUMPRODUCT($AI$11:$DF$11,'Staff Daily sales'!$G1198:$CD1198))</f>
        <v>0</v>
      </c>
      <c r="R1213">
        <f>IF($E1213=0,0,SUMPRODUCT($AI$12:$DF$12,'Staff Daily sales'!$G1198:$CD1198))</f>
        <v>0</v>
      </c>
      <c r="S1213">
        <f>IF($E1213=0,0,SUMPRODUCT($AI$13:$DF$13,'Staff Daily sales'!$G1198:$CD1198))</f>
        <v>0</v>
      </c>
      <c r="T1213">
        <f>IF($E1213=0,0,SUMPRODUCT($AI$14:$DF$14,'Staff Daily sales'!$G1198:$CD1198))</f>
        <v>0</v>
      </c>
      <c r="U1213">
        <f>IF($E1213=0,0,SUMPRODUCT($AI$15:$DF$15,'Staff Daily sales'!$G1198:$CD1198))</f>
        <v>0</v>
      </c>
      <c r="V1213">
        <f>IF($E1213=0,0,SUMPRODUCT($AI$16:$DF$16,'Staff Daily sales'!$G1198:$CD1198))</f>
        <v>0</v>
      </c>
      <c r="W1213">
        <f t="shared" si="319"/>
        <v>0</v>
      </c>
      <c r="X1213">
        <f t="shared" si="320"/>
        <v>0</v>
      </c>
      <c r="Y1213">
        <f t="shared" si="321"/>
        <v>0</v>
      </c>
      <c r="Z1213">
        <f t="shared" si="322"/>
        <v>0</v>
      </c>
      <c r="AA1213">
        <f t="shared" si="323"/>
        <v>0</v>
      </c>
      <c r="AB1213">
        <f>--AND($E1213=1,OR('Staff Weekly Trend'!$B$3="All",$DH1213='Staff Weekly Trend'!$B$3),OR('Staff Weekly Trend'!$B$4="All",$D1213='Staff Weekly Trend'!$B$4),OR('Staff Weekly Trend'!$B$5="All",$A1213='Staff Weekly Trend'!$B$5))</f>
        <v>0</v>
      </c>
      <c r="AC1213" t="str">
        <f t="shared" si="324"/>
        <v/>
      </c>
      <c r="AI1213">
        <f t="shared" si="325"/>
        <v>0</v>
      </c>
      <c r="AJ1213">
        <f t="shared" si="326"/>
        <v>0</v>
      </c>
      <c r="AK1213">
        <f t="shared" si="327"/>
        <v>0</v>
      </c>
      <c r="AL1213">
        <f t="shared" si="328"/>
        <v>0</v>
      </c>
      <c r="AM1213">
        <f t="shared" si="329"/>
        <v>0</v>
      </c>
      <c r="DH1213" t="str" cm="1">
        <f t="array" ref="DH1213">IF($A1213="","",_xlfn.LET(_xlpm.c,IFERROR(_xlfn.XLOOKUP($A1213,TRIM('Sales and count'!$A$4:$A$300&amp;""),TRIM('Sales and count'!$B$4:$B$300&amp;"")),""),IF(OR(_xlpm.c="",_xlpm.c="0",LEFT(_xlpm.c,1)="#"),"Not set",_xlpm.c)))</f>
        <v/>
      </c>
    </row>
    <row r="1214" spans="1:112" x14ac:dyDescent="0.25">
      <c r="A1214" t="str">
        <f>IF('Staff Daily sales'!$B1199="","",TRIM('Staff Daily sales'!$B1199&amp;""))</f>
        <v/>
      </c>
      <c r="B1214" t="str">
        <f>IF('Staff Daily sales'!$D1199="","",TRIM('Staff Daily sales'!$D1199&amp;""))</f>
        <v/>
      </c>
      <c r="C1214" t="str">
        <f>IFERROR(TRIM('Staff Daily sales'!$E1199&amp;""),"")</f>
        <v/>
      </c>
      <c r="D1214" t="str">
        <f>IFERROR(IF(TRIM('Staff Daily sales'!$F1199&amp;"")="","Unassigned",TRIM('Staff Daily sales'!$F1199&amp;"")),"Unassigned")</f>
        <v>Unassigned</v>
      </c>
      <c r="E1214">
        <f t="shared" si="314"/>
        <v>0</v>
      </c>
      <c r="F1214">
        <f>IF($E1214=0,0,SUMPRODUCT($AI$5:$DF$5,'Staff Daily sales'!$G1199:$CD1199))</f>
        <v>0</v>
      </c>
      <c r="G1214">
        <f>IF($E1214=0,0,SUMPRODUCT($AI$6:$DF$6,'Staff Daily sales'!$G1199:$CD1199))</f>
        <v>0</v>
      </c>
      <c r="H1214">
        <f t="shared" si="315"/>
        <v>0</v>
      </c>
      <c r="I1214">
        <f t="shared" si="316"/>
        <v>0</v>
      </c>
      <c r="J1214">
        <f t="shared" si="317"/>
        <v>0</v>
      </c>
      <c r="K1214">
        <f t="shared" si="318"/>
        <v>0</v>
      </c>
      <c r="L1214">
        <f>--AND($E1214=1,OR('Staff Dashboard'!$B$6="All",$DH1214='Staff Dashboard'!$B$6),OR('Staff Dashboard'!$B$7="All",$D1214='Staff Dashboard'!$B$7),OR('Staff Dashboard'!$B$8="All",$A1214='Staff Dashboard'!$B$8))</f>
        <v>0</v>
      </c>
      <c r="M1214">
        <f>IF($E1214=0,0,SUMPRODUCT($AI$7:$DF$7,'Staff Daily sales'!$G1199:$CD1199))</f>
        <v>0</v>
      </c>
      <c r="N1214">
        <f>IF($E1214=0,0,SUMPRODUCT($AI$8:$DF$8,'Staff Daily sales'!$G1199:$CD1199))</f>
        <v>0</v>
      </c>
      <c r="O1214">
        <f>IF($E1214=0,0,SUMPRODUCT($AI$9:$DF$9,'Staff Daily sales'!$G1199:$CD1199))</f>
        <v>0</v>
      </c>
      <c r="P1214">
        <f>IF($E1214=0,0,SUMPRODUCT($AI$10:$DF$10,'Staff Daily sales'!$G1199:$CD1199))</f>
        <v>0</v>
      </c>
      <c r="Q1214">
        <f>IF($E1214=0,0,SUMPRODUCT($AI$11:$DF$11,'Staff Daily sales'!$G1199:$CD1199))</f>
        <v>0</v>
      </c>
      <c r="R1214">
        <f>IF($E1214=0,0,SUMPRODUCT($AI$12:$DF$12,'Staff Daily sales'!$G1199:$CD1199))</f>
        <v>0</v>
      </c>
      <c r="S1214">
        <f>IF($E1214=0,0,SUMPRODUCT($AI$13:$DF$13,'Staff Daily sales'!$G1199:$CD1199))</f>
        <v>0</v>
      </c>
      <c r="T1214">
        <f>IF($E1214=0,0,SUMPRODUCT($AI$14:$DF$14,'Staff Daily sales'!$G1199:$CD1199))</f>
        <v>0</v>
      </c>
      <c r="U1214">
        <f>IF($E1214=0,0,SUMPRODUCT($AI$15:$DF$15,'Staff Daily sales'!$G1199:$CD1199))</f>
        <v>0</v>
      </c>
      <c r="V1214">
        <f>IF($E1214=0,0,SUMPRODUCT($AI$16:$DF$16,'Staff Daily sales'!$G1199:$CD1199))</f>
        <v>0</v>
      </c>
      <c r="W1214">
        <f t="shared" si="319"/>
        <v>0</v>
      </c>
      <c r="X1214">
        <f t="shared" si="320"/>
        <v>0</v>
      </c>
      <c r="Y1214">
        <f t="shared" si="321"/>
        <v>0</v>
      </c>
      <c r="Z1214">
        <f t="shared" si="322"/>
        <v>0</v>
      </c>
      <c r="AA1214">
        <f t="shared" si="323"/>
        <v>0</v>
      </c>
      <c r="AB1214">
        <f>--AND($E1214=1,OR('Staff Weekly Trend'!$B$3="All",$DH1214='Staff Weekly Trend'!$B$3),OR('Staff Weekly Trend'!$B$4="All",$D1214='Staff Weekly Trend'!$B$4),OR('Staff Weekly Trend'!$B$5="All",$A1214='Staff Weekly Trend'!$B$5))</f>
        <v>0</v>
      </c>
      <c r="AC1214" t="str">
        <f t="shared" si="324"/>
        <v/>
      </c>
      <c r="AI1214">
        <f t="shared" si="325"/>
        <v>0</v>
      </c>
      <c r="AJ1214">
        <f t="shared" si="326"/>
        <v>0</v>
      </c>
      <c r="AK1214">
        <f t="shared" si="327"/>
        <v>0</v>
      </c>
      <c r="AL1214">
        <f t="shared" si="328"/>
        <v>0</v>
      </c>
      <c r="AM1214">
        <f t="shared" si="329"/>
        <v>0</v>
      </c>
      <c r="DH1214" t="str" cm="1">
        <f t="array" ref="DH1214">IF($A1214="","",_xlfn.LET(_xlpm.c,IFERROR(_xlfn.XLOOKUP($A1214,TRIM('Sales and count'!$A$4:$A$300&amp;""),TRIM('Sales and count'!$B$4:$B$300&amp;"")),""),IF(OR(_xlpm.c="",_xlpm.c="0",LEFT(_xlpm.c,1)="#"),"Not set",_xlpm.c)))</f>
        <v/>
      </c>
    </row>
    <row r="1215" spans="1:112" x14ac:dyDescent="0.25">
      <c r="A1215" t="str">
        <f>IF('Staff Daily sales'!$B1200="","",TRIM('Staff Daily sales'!$B1200&amp;""))</f>
        <v/>
      </c>
      <c r="B1215" t="str">
        <f>IF('Staff Daily sales'!$D1200="","",TRIM('Staff Daily sales'!$D1200&amp;""))</f>
        <v/>
      </c>
      <c r="C1215" t="str">
        <f>IFERROR(TRIM('Staff Daily sales'!$E1200&amp;""),"")</f>
        <v/>
      </c>
      <c r="D1215" t="str">
        <f>IFERROR(IF(TRIM('Staff Daily sales'!$F1200&amp;"")="","Unassigned",TRIM('Staff Daily sales'!$F1200&amp;"")),"Unassigned")</f>
        <v>Unassigned</v>
      </c>
      <c r="E1215">
        <f t="shared" si="314"/>
        <v>0</v>
      </c>
      <c r="F1215">
        <f>IF($E1215=0,0,SUMPRODUCT($AI$5:$DF$5,'Staff Daily sales'!$G1200:$CD1200))</f>
        <v>0</v>
      </c>
      <c r="G1215">
        <f>IF($E1215=0,0,SUMPRODUCT($AI$6:$DF$6,'Staff Daily sales'!$G1200:$CD1200))</f>
        <v>0</v>
      </c>
      <c r="H1215">
        <f t="shared" si="315"/>
        <v>0</v>
      </c>
      <c r="I1215">
        <f t="shared" si="316"/>
        <v>0</v>
      </c>
      <c r="J1215">
        <f t="shared" si="317"/>
        <v>0</v>
      </c>
      <c r="K1215">
        <f t="shared" si="318"/>
        <v>0</v>
      </c>
      <c r="L1215">
        <f>--AND($E1215=1,OR('Staff Dashboard'!$B$6="All",$DH1215='Staff Dashboard'!$B$6),OR('Staff Dashboard'!$B$7="All",$D1215='Staff Dashboard'!$B$7),OR('Staff Dashboard'!$B$8="All",$A1215='Staff Dashboard'!$B$8))</f>
        <v>0</v>
      </c>
      <c r="M1215">
        <f>IF($E1215=0,0,SUMPRODUCT($AI$7:$DF$7,'Staff Daily sales'!$G1200:$CD1200))</f>
        <v>0</v>
      </c>
      <c r="N1215">
        <f>IF($E1215=0,0,SUMPRODUCT($AI$8:$DF$8,'Staff Daily sales'!$G1200:$CD1200))</f>
        <v>0</v>
      </c>
      <c r="O1215">
        <f>IF($E1215=0,0,SUMPRODUCT($AI$9:$DF$9,'Staff Daily sales'!$G1200:$CD1200))</f>
        <v>0</v>
      </c>
      <c r="P1215">
        <f>IF($E1215=0,0,SUMPRODUCT($AI$10:$DF$10,'Staff Daily sales'!$G1200:$CD1200))</f>
        <v>0</v>
      </c>
      <c r="Q1215">
        <f>IF($E1215=0,0,SUMPRODUCT($AI$11:$DF$11,'Staff Daily sales'!$G1200:$CD1200))</f>
        <v>0</v>
      </c>
      <c r="R1215">
        <f>IF($E1215=0,0,SUMPRODUCT($AI$12:$DF$12,'Staff Daily sales'!$G1200:$CD1200))</f>
        <v>0</v>
      </c>
      <c r="S1215">
        <f>IF($E1215=0,0,SUMPRODUCT($AI$13:$DF$13,'Staff Daily sales'!$G1200:$CD1200))</f>
        <v>0</v>
      </c>
      <c r="T1215">
        <f>IF($E1215=0,0,SUMPRODUCT($AI$14:$DF$14,'Staff Daily sales'!$G1200:$CD1200))</f>
        <v>0</v>
      </c>
      <c r="U1215">
        <f>IF($E1215=0,0,SUMPRODUCT($AI$15:$DF$15,'Staff Daily sales'!$G1200:$CD1200))</f>
        <v>0</v>
      </c>
      <c r="V1215">
        <f>IF($E1215=0,0,SUMPRODUCT($AI$16:$DF$16,'Staff Daily sales'!$G1200:$CD1200))</f>
        <v>0</v>
      </c>
      <c r="W1215">
        <f t="shared" si="319"/>
        <v>0</v>
      </c>
      <c r="X1215">
        <f t="shared" si="320"/>
        <v>0</v>
      </c>
      <c r="Y1215">
        <f t="shared" si="321"/>
        <v>0</v>
      </c>
      <c r="Z1215">
        <f t="shared" si="322"/>
        <v>0</v>
      </c>
      <c r="AA1215">
        <f t="shared" si="323"/>
        <v>0</v>
      </c>
      <c r="AB1215">
        <f>--AND($E1215=1,OR('Staff Weekly Trend'!$B$3="All",$DH1215='Staff Weekly Trend'!$B$3),OR('Staff Weekly Trend'!$B$4="All",$D1215='Staff Weekly Trend'!$B$4),OR('Staff Weekly Trend'!$B$5="All",$A1215='Staff Weekly Trend'!$B$5))</f>
        <v>0</v>
      </c>
      <c r="AC1215" t="str">
        <f t="shared" si="324"/>
        <v/>
      </c>
      <c r="AI1215">
        <f t="shared" si="325"/>
        <v>0</v>
      </c>
      <c r="AJ1215">
        <f t="shared" si="326"/>
        <v>0</v>
      </c>
      <c r="AK1215">
        <f t="shared" si="327"/>
        <v>0</v>
      </c>
      <c r="AL1215">
        <f t="shared" si="328"/>
        <v>0</v>
      </c>
      <c r="AM1215">
        <f t="shared" si="329"/>
        <v>0</v>
      </c>
      <c r="DH1215" t="str" cm="1">
        <f t="array" ref="DH1215">IF($A1215="","",_xlfn.LET(_xlpm.c,IFERROR(_xlfn.XLOOKUP($A1215,TRIM('Sales and count'!$A$4:$A$300&amp;""),TRIM('Sales and count'!$B$4:$B$300&amp;"")),""),IF(OR(_xlpm.c="",_xlpm.c="0",LEFT(_xlpm.c,1)="#"),"Not set",_xlpm.c)))</f>
        <v/>
      </c>
    </row>
    <row r="1216" spans="1:112" x14ac:dyDescent="0.25">
      <c r="A1216" t="str">
        <f>IF('Staff Daily sales'!$B1201="","",TRIM('Staff Daily sales'!$B1201&amp;""))</f>
        <v/>
      </c>
      <c r="B1216" t="str">
        <f>IF('Staff Daily sales'!$D1201="","",TRIM('Staff Daily sales'!$D1201&amp;""))</f>
        <v/>
      </c>
      <c r="C1216" t="str">
        <f>IFERROR(TRIM('Staff Daily sales'!$E1201&amp;""),"")</f>
        <v/>
      </c>
      <c r="D1216" t="str">
        <f>IFERROR(IF(TRIM('Staff Daily sales'!$F1201&amp;"")="","Unassigned",TRIM('Staff Daily sales'!$F1201&amp;"")),"Unassigned")</f>
        <v>Unassigned</v>
      </c>
      <c r="E1216">
        <f t="shared" si="314"/>
        <v>0</v>
      </c>
      <c r="F1216">
        <f>IF($E1216=0,0,SUMPRODUCT($AI$5:$DF$5,'Staff Daily sales'!$G1201:$CD1201))</f>
        <v>0</v>
      </c>
      <c r="G1216">
        <f>IF($E1216=0,0,SUMPRODUCT($AI$6:$DF$6,'Staff Daily sales'!$G1201:$CD1201))</f>
        <v>0</v>
      </c>
      <c r="H1216">
        <f t="shared" si="315"/>
        <v>0</v>
      </c>
      <c r="I1216">
        <f t="shared" si="316"/>
        <v>0</v>
      </c>
      <c r="J1216">
        <f t="shared" si="317"/>
        <v>0</v>
      </c>
      <c r="K1216">
        <f t="shared" si="318"/>
        <v>0</v>
      </c>
      <c r="L1216">
        <f>--AND($E1216=1,OR('Staff Dashboard'!$B$6="All",$DH1216='Staff Dashboard'!$B$6),OR('Staff Dashboard'!$B$7="All",$D1216='Staff Dashboard'!$B$7),OR('Staff Dashboard'!$B$8="All",$A1216='Staff Dashboard'!$B$8))</f>
        <v>0</v>
      </c>
      <c r="M1216">
        <f>IF($E1216=0,0,SUMPRODUCT($AI$7:$DF$7,'Staff Daily sales'!$G1201:$CD1201))</f>
        <v>0</v>
      </c>
      <c r="N1216">
        <f>IF($E1216=0,0,SUMPRODUCT($AI$8:$DF$8,'Staff Daily sales'!$G1201:$CD1201))</f>
        <v>0</v>
      </c>
      <c r="O1216">
        <f>IF($E1216=0,0,SUMPRODUCT($AI$9:$DF$9,'Staff Daily sales'!$G1201:$CD1201))</f>
        <v>0</v>
      </c>
      <c r="P1216">
        <f>IF($E1216=0,0,SUMPRODUCT($AI$10:$DF$10,'Staff Daily sales'!$G1201:$CD1201))</f>
        <v>0</v>
      </c>
      <c r="Q1216">
        <f>IF($E1216=0,0,SUMPRODUCT($AI$11:$DF$11,'Staff Daily sales'!$G1201:$CD1201))</f>
        <v>0</v>
      </c>
      <c r="R1216">
        <f>IF($E1216=0,0,SUMPRODUCT($AI$12:$DF$12,'Staff Daily sales'!$G1201:$CD1201))</f>
        <v>0</v>
      </c>
      <c r="S1216">
        <f>IF($E1216=0,0,SUMPRODUCT($AI$13:$DF$13,'Staff Daily sales'!$G1201:$CD1201))</f>
        <v>0</v>
      </c>
      <c r="T1216">
        <f>IF($E1216=0,0,SUMPRODUCT($AI$14:$DF$14,'Staff Daily sales'!$G1201:$CD1201))</f>
        <v>0</v>
      </c>
      <c r="U1216">
        <f>IF($E1216=0,0,SUMPRODUCT($AI$15:$DF$15,'Staff Daily sales'!$G1201:$CD1201))</f>
        <v>0</v>
      </c>
      <c r="V1216">
        <f>IF($E1216=0,0,SUMPRODUCT($AI$16:$DF$16,'Staff Daily sales'!$G1201:$CD1201))</f>
        <v>0</v>
      </c>
      <c r="W1216">
        <f t="shared" si="319"/>
        <v>0</v>
      </c>
      <c r="X1216">
        <f t="shared" si="320"/>
        <v>0</v>
      </c>
      <c r="Y1216">
        <f t="shared" si="321"/>
        <v>0</v>
      </c>
      <c r="Z1216">
        <f t="shared" si="322"/>
        <v>0</v>
      </c>
      <c r="AA1216">
        <f t="shared" si="323"/>
        <v>0</v>
      </c>
      <c r="AB1216">
        <f>--AND($E1216=1,OR('Staff Weekly Trend'!$B$3="All",$DH1216='Staff Weekly Trend'!$B$3),OR('Staff Weekly Trend'!$B$4="All",$D1216='Staff Weekly Trend'!$B$4),OR('Staff Weekly Trend'!$B$5="All",$A1216='Staff Weekly Trend'!$B$5))</f>
        <v>0</v>
      </c>
      <c r="AC1216" t="str">
        <f t="shared" si="324"/>
        <v/>
      </c>
      <c r="AI1216">
        <f t="shared" si="325"/>
        <v>0</v>
      </c>
      <c r="AJ1216">
        <f t="shared" si="326"/>
        <v>0</v>
      </c>
      <c r="AK1216">
        <f t="shared" si="327"/>
        <v>0</v>
      </c>
      <c r="AL1216">
        <f t="shared" si="328"/>
        <v>0</v>
      </c>
      <c r="AM1216">
        <f t="shared" si="329"/>
        <v>0</v>
      </c>
      <c r="DH1216" t="str" cm="1">
        <f t="array" ref="DH1216">IF($A1216="","",_xlfn.LET(_xlpm.c,IFERROR(_xlfn.XLOOKUP($A1216,TRIM('Sales and count'!$A$4:$A$300&amp;""),TRIM('Sales and count'!$B$4:$B$300&amp;"")),""),IF(OR(_xlpm.c="",_xlpm.c="0",LEFT(_xlpm.c,1)="#"),"Not set",_xlpm.c)))</f>
        <v/>
      </c>
    </row>
    <row r="1217" spans="1:112" x14ac:dyDescent="0.25">
      <c r="A1217" t="str">
        <f>IF('Staff Daily sales'!$B1202="","",TRIM('Staff Daily sales'!$B1202&amp;""))</f>
        <v/>
      </c>
      <c r="B1217" t="str">
        <f>IF('Staff Daily sales'!$D1202="","",TRIM('Staff Daily sales'!$D1202&amp;""))</f>
        <v/>
      </c>
      <c r="C1217" t="str">
        <f>IFERROR(TRIM('Staff Daily sales'!$E1202&amp;""),"")</f>
        <v/>
      </c>
      <c r="D1217" t="str">
        <f>IFERROR(IF(TRIM('Staff Daily sales'!$F1202&amp;"")="","Unassigned",TRIM('Staff Daily sales'!$F1202&amp;"")),"Unassigned")</f>
        <v>Unassigned</v>
      </c>
      <c r="E1217">
        <f t="shared" si="314"/>
        <v>0</v>
      </c>
      <c r="F1217">
        <f>IF($E1217=0,0,SUMPRODUCT($AI$5:$DF$5,'Staff Daily sales'!$G1202:$CD1202))</f>
        <v>0</v>
      </c>
      <c r="G1217">
        <f>IF($E1217=0,0,SUMPRODUCT($AI$6:$DF$6,'Staff Daily sales'!$G1202:$CD1202))</f>
        <v>0</v>
      </c>
      <c r="H1217">
        <f t="shared" si="315"/>
        <v>0</v>
      </c>
      <c r="I1217">
        <f t="shared" si="316"/>
        <v>0</v>
      </c>
      <c r="J1217">
        <f t="shared" si="317"/>
        <v>0</v>
      </c>
      <c r="K1217">
        <f t="shared" si="318"/>
        <v>0</v>
      </c>
      <c r="L1217">
        <f>--AND($E1217=1,OR('Staff Dashboard'!$B$6="All",$DH1217='Staff Dashboard'!$B$6),OR('Staff Dashboard'!$B$7="All",$D1217='Staff Dashboard'!$B$7),OR('Staff Dashboard'!$B$8="All",$A1217='Staff Dashboard'!$B$8))</f>
        <v>0</v>
      </c>
      <c r="M1217">
        <f>IF($E1217=0,0,SUMPRODUCT($AI$7:$DF$7,'Staff Daily sales'!$G1202:$CD1202))</f>
        <v>0</v>
      </c>
      <c r="N1217">
        <f>IF($E1217=0,0,SUMPRODUCT($AI$8:$DF$8,'Staff Daily sales'!$G1202:$CD1202))</f>
        <v>0</v>
      </c>
      <c r="O1217">
        <f>IF($E1217=0,0,SUMPRODUCT($AI$9:$DF$9,'Staff Daily sales'!$G1202:$CD1202))</f>
        <v>0</v>
      </c>
      <c r="P1217">
        <f>IF($E1217=0,0,SUMPRODUCT($AI$10:$DF$10,'Staff Daily sales'!$G1202:$CD1202))</f>
        <v>0</v>
      </c>
      <c r="Q1217">
        <f>IF($E1217=0,0,SUMPRODUCT($AI$11:$DF$11,'Staff Daily sales'!$G1202:$CD1202))</f>
        <v>0</v>
      </c>
      <c r="R1217">
        <f>IF($E1217=0,0,SUMPRODUCT($AI$12:$DF$12,'Staff Daily sales'!$G1202:$CD1202))</f>
        <v>0</v>
      </c>
      <c r="S1217">
        <f>IF($E1217=0,0,SUMPRODUCT($AI$13:$DF$13,'Staff Daily sales'!$G1202:$CD1202))</f>
        <v>0</v>
      </c>
      <c r="T1217">
        <f>IF($E1217=0,0,SUMPRODUCT($AI$14:$DF$14,'Staff Daily sales'!$G1202:$CD1202))</f>
        <v>0</v>
      </c>
      <c r="U1217">
        <f>IF($E1217=0,0,SUMPRODUCT($AI$15:$DF$15,'Staff Daily sales'!$G1202:$CD1202))</f>
        <v>0</v>
      </c>
      <c r="V1217">
        <f>IF($E1217=0,0,SUMPRODUCT($AI$16:$DF$16,'Staff Daily sales'!$G1202:$CD1202))</f>
        <v>0</v>
      </c>
      <c r="W1217">
        <f t="shared" si="319"/>
        <v>0</v>
      </c>
      <c r="X1217">
        <f t="shared" si="320"/>
        <v>0</v>
      </c>
      <c r="Y1217">
        <f t="shared" si="321"/>
        <v>0</v>
      </c>
      <c r="Z1217">
        <f t="shared" si="322"/>
        <v>0</v>
      </c>
      <c r="AA1217">
        <f t="shared" si="323"/>
        <v>0</v>
      </c>
      <c r="AB1217">
        <f>--AND($E1217=1,OR('Staff Weekly Trend'!$B$3="All",$DH1217='Staff Weekly Trend'!$B$3),OR('Staff Weekly Trend'!$B$4="All",$D1217='Staff Weekly Trend'!$B$4),OR('Staff Weekly Trend'!$B$5="All",$A1217='Staff Weekly Trend'!$B$5))</f>
        <v>0</v>
      </c>
      <c r="AC1217" t="str">
        <f t="shared" si="324"/>
        <v/>
      </c>
      <c r="AI1217">
        <f t="shared" si="325"/>
        <v>0</v>
      </c>
      <c r="AJ1217">
        <f t="shared" si="326"/>
        <v>0</v>
      </c>
      <c r="AK1217">
        <f t="shared" si="327"/>
        <v>0</v>
      </c>
      <c r="AL1217">
        <f t="shared" si="328"/>
        <v>0</v>
      </c>
      <c r="AM1217">
        <f t="shared" si="329"/>
        <v>0</v>
      </c>
      <c r="DH1217" t="str" cm="1">
        <f t="array" ref="DH1217">IF($A1217="","",_xlfn.LET(_xlpm.c,IFERROR(_xlfn.XLOOKUP($A1217,TRIM('Sales and count'!$A$4:$A$300&amp;""),TRIM('Sales and count'!$B$4:$B$300&amp;"")),""),IF(OR(_xlpm.c="",_xlpm.c="0",LEFT(_xlpm.c,1)="#"),"Not set",_xlpm.c)))</f>
        <v/>
      </c>
    </row>
    <row r="1218" spans="1:112" x14ac:dyDescent="0.25">
      <c r="A1218" t="str">
        <f>IF('Staff Daily sales'!$B1203="","",TRIM('Staff Daily sales'!$B1203&amp;""))</f>
        <v/>
      </c>
      <c r="B1218" t="str">
        <f>IF('Staff Daily sales'!$D1203="","",TRIM('Staff Daily sales'!$D1203&amp;""))</f>
        <v/>
      </c>
      <c r="C1218" t="str">
        <f>IFERROR(TRIM('Staff Daily sales'!$E1203&amp;""),"")</f>
        <v/>
      </c>
      <c r="D1218" t="str">
        <f>IFERROR(IF(TRIM('Staff Daily sales'!$F1203&amp;"")="","Unassigned",TRIM('Staff Daily sales'!$F1203&amp;"")),"Unassigned")</f>
        <v>Unassigned</v>
      </c>
      <c r="E1218">
        <f t="shared" si="314"/>
        <v>0</v>
      </c>
      <c r="F1218">
        <f>IF($E1218=0,0,SUMPRODUCT($AI$5:$DF$5,'Staff Daily sales'!$G1203:$CD1203))</f>
        <v>0</v>
      </c>
      <c r="G1218">
        <f>IF($E1218=0,0,SUMPRODUCT($AI$6:$DF$6,'Staff Daily sales'!$G1203:$CD1203))</f>
        <v>0</v>
      </c>
      <c r="H1218">
        <f t="shared" si="315"/>
        <v>0</v>
      </c>
      <c r="I1218">
        <f t="shared" si="316"/>
        <v>0</v>
      </c>
      <c r="J1218">
        <f t="shared" si="317"/>
        <v>0</v>
      </c>
      <c r="K1218">
        <f t="shared" si="318"/>
        <v>0</v>
      </c>
      <c r="L1218">
        <f>--AND($E1218=1,OR('Staff Dashboard'!$B$6="All",$DH1218='Staff Dashboard'!$B$6),OR('Staff Dashboard'!$B$7="All",$D1218='Staff Dashboard'!$B$7),OR('Staff Dashboard'!$B$8="All",$A1218='Staff Dashboard'!$B$8))</f>
        <v>0</v>
      </c>
      <c r="M1218">
        <f>IF($E1218=0,0,SUMPRODUCT($AI$7:$DF$7,'Staff Daily sales'!$G1203:$CD1203))</f>
        <v>0</v>
      </c>
      <c r="N1218">
        <f>IF($E1218=0,0,SUMPRODUCT($AI$8:$DF$8,'Staff Daily sales'!$G1203:$CD1203))</f>
        <v>0</v>
      </c>
      <c r="O1218">
        <f>IF($E1218=0,0,SUMPRODUCT($AI$9:$DF$9,'Staff Daily sales'!$G1203:$CD1203))</f>
        <v>0</v>
      </c>
      <c r="P1218">
        <f>IF($E1218=0,0,SUMPRODUCT($AI$10:$DF$10,'Staff Daily sales'!$G1203:$CD1203))</f>
        <v>0</v>
      </c>
      <c r="Q1218">
        <f>IF($E1218=0,0,SUMPRODUCT($AI$11:$DF$11,'Staff Daily sales'!$G1203:$CD1203))</f>
        <v>0</v>
      </c>
      <c r="R1218">
        <f>IF($E1218=0,0,SUMPRODUCT($AI$12:$DF$12,'Staff Daily sales'!$G1203:$CD1203))</f>
        <v>0</v>
      </c>
      <c r="S1218">
        <f>IF($E1218=0,0,SUMPRODUCT($AI$13:$DF$13,'Staff Daily sales'!$G1203:$CD1203))</f>
        <v>0</v>
      </c>
      <c r="T1218">
        <f>IF($E1218=0,0,SUMPRODUCT($AI$14:$DF$14,'Staff Daily sales'!$G1203:$CD1203))</f>
        <v>0</v>
      </c>
      <c r="U1218">
        <f>IF($E1218=0,0,SUMPRODUCT($AI$15:$DF$15,'Staff Daily sales'!$G1203:$CD1203))</f>
        <v>0</v>
      </c>
      <c r="V1218">
        <f>IF($E1218=0,0,SUMPRODUCT($AI$16:$DF$16,'Staff Daily sales'!$G1203:$CD1203))</f>
        <v>0</v>
      </c>
      <c r="W1218">
        <f t="shared" si="319"/>
        <v>0</v>
      </c>
      <c r="X1218">
        <f t="shared" si="320"/>
        <v>0</v>
      </c>
      <c r="Y1218">
        <f t="shared" si="321"/>
        <v>0</v>
      </c>
      <c r="Z1218">
        <f t="shared" si="322"/>
        <v>0</v>
      </c>
      <c r="AA1218">
        <f t="shared" si="323"/>
        <v>0</v>
      </c>
      <c r="AB1218">
        <f>--AND($E1218=1,OR('Staff Weekly Trend'!$B$3="All",$DH1218='Staff Weekly Trend'!$B$3),OR('Staff Weekly Trend'!$B$4="All",$D1218='Staff Weekly Trend'!$B$4),OR('Staff Weekly Trend'!$B$5="All",$A1218='Staff Weekly Trend'!$B$5))</f>
        <v>0</v>
      </c>
      <c r="AC1218" t="str">
        <f t="shared" si="324"/>
        <v/>
      </c>
      <c r="AI1218">
        <f t="shared" si="325"/>
        <v>0</v>
      </c>
      <c r="AJ1218">
        <f t="shared" si="326"/>
        <v>0</v>
      </c>
      <c r="AK1218">
        <f t="shared" si="327"/>
        <v>0</v>
      </c>
      <c r="AL1218">
        <f t="shared" si="328"/>
        <v>0</v>
      </c>
      <c r="AM1218">
        <f t="shared" si="329"/>
        <v>0</v>
      </c>
      <c r="DH1218" t="str" cm="1">
        <f t="array" ref="DH1218">IF($A1218="","",_xlfn.LET(_xlpm.c,IFERROR(_xlfn.XLOOKUP($A1218,TRIM('Sales and count'!$A$4:$A$300&amp;""),TRIM('Sales and count'!$B$4:$B$300&amp;"")),""),IF(OR(_xlpm.c="",_xlpm.c="0",LEFT(_xlpm.c,1)="#"),"Not set",_xlpm.c)))</f>
        <v/>
      </c>
    </row>
    <row r="1219" spans="1:112" x14ac:dyDescent="0.25">
      <c r="A1219" t="str">
        <f>IF('Staff Daily sales'!$B1204="","",TRIM('Staff Daily sales'!$B1204&amp;""))</f>
        <v/>
      </c>
      <c r="B1219" t="str">
        <f>IF('Staff Daily sales'!$D1204="","",TRIM('Staff Daily sales'!$D1204&amp;""))</f>
        <v/>
      </c>
      <c r="C1219" t="str">
        <f>IFERROR(TRIM('Staff Daily sales'!$E1204&amp;""),"")</f>
        <v/>
      </c>
      <c r="D1219" t="str">
        <f>IFERROR(IF(TRIM('Staff Daily sales'!$F1204&amp;"")="","Unassigned",TRIM('Staff Daily sales'!$F1204&amp;"")),"Unassigned")</f>
        <v>Unassigned</v>
      </c>
      <c r="E1219">
        <f t="shared" si="314"/>
        <v>0</v>
      </c>
      <c r="F1219">
        <f>IF($E1219=0,0,SUMPRODUCT($AI$5:$DF$5,'Staff Daily sales'!$G1204:$CD1204))</f>
        <v>0</v>
      </c>
      <c r="G1219">
        <f>IF($E1219=0,0,SUMPRODUCT($AI$6:$DF$6,'Staff Daily sales'!$G1204:$CD1204))</f>
        <v>0</v>
      </c>
      <c r="H1219">
        <f t="shared" si="315"/>
        <v>0</v>
      </c>
      <c r="I1219">
        <f t="shared" si="316"/>
        <v>0</v>
      </c>
      <c r="J1219">
        <f t="shared" si="317"/>
        <v>0</v>
      </c>
      <c r="K1219">
        <f t="shared" si="318"/>
        <v>0</v>
      </c>
      <c r="L1219">
        <f>--AND($E1219=1,OR('Staff Dashboard'!$B$6="All",$DH1219='Staff Dashboard'!$B$6),OR('Staff Dashboard'!$B$7="All",$D1219='Staff Dashboard'!$B$7),OR('Staff Dashboard'!$B$8="All",$A1219='Staff Dashboard'!$B$8))</f>
        <v>0</v>
      </c>
      <c r="M1219">
        <f>IF($E1219=0,0,SUMPRODUCT($AI$7:$DF$7,'Staff Daily sales'!$G1204:$CD1204))</f>
        <v>0</v>
      </c>
      <c r="N1219">
        <f>IF($E1219=0,0,SUMPRODUCT($AI$8:$DF$8,'Staff Daily sales'!$G1204:$CD1204))</f>
        <v>0</v>
      </c>
      <c r="O1219">
        <f>IF($E1219=0,0,SUMPRODUCT($AI$9:$DF$9,'Staff Daily sales'!$G1204:$CD1204))</f>
        <v>0</v>
      </c>
      <c r="P1219">
        <f>IF($E1219=0,0,SUMPRODUCT($AI$10:$DF$10,'Staff Daily sales'!$G1204:$CD1204))</f>
        <v>0</v>
      </c>
      <c r="Q1219">
        <f>IF($E1219=0,0,SUMPRODUCT($AI$11:$DF$11,'Staff Daily sales'!$G1204:$CD1204))</f>
        <v>0</v>
      </c>
      <c r="R1219">
        <f>IF($E1219=0,0,SUMPRODUCT($AI$12:$DF$12,'Staff Daily sales'!$G1204:$CD1204))</f>
        <v>0</v>
      </c>
      <c r="S1219">
        <f>IF($E1219=0,0,SUMPRODUCT($AI$13:$DF$13,'Staff Daily sales'!$G1204:$CD1204))</f>
        <v>0</v>
      </c>
      <c r="T1219">
        <f>IF($E1219=0,0,SUMPRODUCT($AI$14:$DF$14,'Staff Daily sales'!$G1204:$CD1204))</f>
        <v>0</v>
      </c>
      <c r="U1219">
        <f>IF($E1219=0,0,SUMPRODUCT($AI$15:$DF$15,'Staff Daily sales'!$G1204:$CD1204))</f>
        <v>0</v>
      </c>
      <c r="V1219">
        <f>IF($E1219=0,0,SUMPRODUCT($AI$16:$DF$16,'Staff Daily sales'!$G1204:$CD1204))</f>
        <v>0</v>
      </c>
      <c r="W1219">
        <f t="shared" si="319"/>
        <v>0</v>
      </c>
      <c r="X1219">
        <f t="shared" si="320"/>
        <v>0</v>
      </c>
      <c r="Y1219">
        <f t="shared" si="321"/>
        <v>0</v>
      </c>
      <c r="Z1219">
        <f t="shared" si="322"/>
        <v>0</v>
      </c>
      <c r="AA1219">
        <f t="shared" si="323"/>
        <v>0</v>
      </c>
      <c r="AB1219">
        <f>--AND($E1219=1,OR('Staff Weekly Trend'!$B$3="All",$DH1219='Staff Weekly Trend'!$B$3),OR('Staff Weekly Trend'!$B$4="All",$D1219='Staff Weekly Trend'!$B$4),OR('Staff Weekly Trend'!$B$5="All",$A1219='Staff Weekly Trend'!$B$5))</f>
        <v>0</v>
      </c>
      <c r="AC1219" t="str">
        <f t="shared" si="324"/>
        <v/>
      </c>
      <c r="AI1219">
        <f t="shared" si="325"/>
        <v>0</v>
      </c>
      <c r="AJ1219">
        <f t="shared" si="326"/>
        <v>0</v>
      </c>
      <c r="AK1219">
        <f t="shared" si="327"/>
        <v>0</v>
      </c>
      <c r="AL1219">
        <f t="shared" si="328"/>
        <v>0</v>
      </c>
      <c r="AM1219">
        <f t="shared" si="329"/>
        <v>0</v>
      </c>
      <c r="DH1219" t="str" cm="1">
        <f t="array" ref="DH1219">IF($A1219="","",_xlfn.LET(_xlpm.c,IFERROR(_xlfn.XLOOKUP($A1219,TRIM('Sales and count'!$A$4:$A$300&amp;""),TRIM('Sales and count'!$B$4:$B$300&amp;"")),""),IF(OR(_xlpm.c="",_xlpm.c="0",LEFT(_xlpm.c,1)="#"),"Not set",_xlpm.c)))</f>
        <v/>
      </c>
    </row>
    <row r="1220" spans="1:112" x14ac:dyDescent="0.25">
      <c r="A1220" t="str">
        <f>IF('Staff Daily sales'!$B1205="","",TRIM('Staff Daily sales'!$B1205&amp;""))</f>
        <v/>
      </c>
      <c r="B1220" t="str">
        <f>IF('Staff Daily sales'!$D1205="","",TRIM('Staff Daily sales'!$D1205&amp;""))</f>
        <v/>
      </c>
      <c r="C1220" t="str">
        <f>IFERROR(TRIM('Staff Daily sales'!$E1205&amp;""),"")</f>
        <v/>
      </c>
      <c r="D1220" t="str">
        <f>IFERROR(IF(TRIM('Staff Daily sales'!$F1205&amp;"")="","Unassigned",TRIM('Staff Daily sales'!$F1205&amp;"")),"Unassigned")</f>
        <v>Unassigned</v>
      </c>
      <c r="E1220">
        <f t="shared" si="314"/>
        <v>0</v>
      </c>
      <c r="F1220">
        <f>IF($E1220=0,0,SUMPRODUCT($AI$5:$DF$5,'Staff Daily sales'!$G1205:$CD1205))</f>
        <v>0</v>
      </c>
      <c r="G1220">
        <f>IF($E1220=0,0,SUMPRODUCT($AI$6:$DF$6,'Staff Daily sales'!$G1205:$CD1205))</f>
        <v>0</v>
      </c>
      <c r="H1220">
        <f t="shared" si="315"/>
        <v>0</v>
      </c>
      <c r="I1220">
        <f t="shared" si="316"/>
        <v>0</v>
      </c>
      <c r="J1220">
        <f t="shared" si="317"/>
        <v>0</v>
      </c>
      <c r="K1220">
        <f t="shared" si="318"/>
        <v>0</v>
      </c>
      <c r="L1220">
        <f>--AND($E1220=1,OR('Staff Dashboard'!$B$6="All",$DH1220='Staff Dashboard'!$B$6),OR('Staff Dashboard'!$B$7="All",$D1220='Staff Dashboard'!$B$7),OR('Staff Dashboard'!$B$8="All",$A1220='Staff Dashboard'!$B$8))</f>
        <v>0</v>
      </c>
      <c r="M1220">
        <f>IF($E1220=0,0,SUMPRODUCT($AI$7:$DF$7,'Staff Daily sales'!$G1205:$CD1205))</f>
        <v>0</v>
      </c>
      <c r="N1220">
        <f>IF($E1220=0,0,SUMPRODUCT($AI$8:$DF$8,'Staff Daily sales'!$G1205:$CD1205))</f>
        <v>0</v>
      </c>
      <c r="O1220">
        <f>IF($E1220=0,0,SUMPRODUCT($AI$9:$DF$9,'Staff Daily sales'!$G1205:$CD1205))</f>
        <v>0</v>
      </c>
      <c r="P1220">
        <f>IF($E1220=0,0,SUMPRODUCT($AI$10:$DF$10,'Staff Daily sales'!$G1205:$CD1205))</f>
        <v>0</v>
      </c>
      <c r="Q1220">
        <f>IF($E1220=0,0,SUMPRODUCT($AI$11:$DF$11,'Staff Daily sales'!$G1205:$CD1205))</f>
        <v>0</v>
      </c>
      <c r="R1220">
        <f>IF($E1220=0,0,SUMPRODUCT($AI$12:$DF$12,'Staff Daily sales'!$G1205:$CD1205))</f>
        <v>0</v>
      </c>
      <c r="S1220">
        <f>IF($E1220=0,0,SUMPRODUCT($AI$13:$DF$13,'Staff Daily sales'!$G1205:$CD1205))</f>
        <v>0</v>
      </c>
      <c r="T1220">
        <f>IF($E1220=0,0,SUMPRODUCT($AI$14:$DF$14,'Staff Daily sales'!$G1205:$CD1205))</f>
        <v>0</v>
      </c>
      <c r="U1220">
        <f>IF($E1220=0,0,SUMPRODUCT($AI$15:$DF$15,'Staff Daily sales'!$G1205:$CD1205))</f>
        <v>0</v>
      </c>
      <c r="V1220">
        <f>IF($E1220=0,0,SUMPRODUCT($AI$16:$DF$16,'Staff Daily sales'!$G1205:$CD1205))</f>
        <v>0</v>
      </c>
      <c r="W1220">
        <f t="shared" si="319"/>
        <v>0</v>
      </c>
      <c r="X1220">
        <f t="shared" si="320"/>
        <v>0</v>
      </c>
      <c r="Y1220">
        <f t="shared" si="321"/>
        <v>0</v>
      </c>
      <c r="Z1220">
        <f t="shared" si="322"/>
        <v>0</v>
      </c>
      <c r="AA1220">
        <f t="shared" si="323"/>
        <v>0</v>
      </c>
      <c r="AB1220">
        <f>--AND($E1220=1,OR('Staff Weekly Trend'!$B$3="All",$DH1220='Staff Weekly Trend'!$B$3),OR('Staff Weekly Trend'!$B$4="All",$D1220='Staff Weekly Trend'!$B$4),OR('Staff Weekly Trend'!$B$5="All",$A1220='Staff Weekly Trend'!$B$5))</f>
        <v>0</v>
      </c>
      <c r="AC1220" t="str">
        <f t="shared" si="324"/>
        <v/>
      </c>
      <c r="AI1220">
        <f t="shared" si="325"/>
        <v>0</v>
      </c>
      <c r="AJ1220">
        <f t="shared" si="326"/>
        <v>0</v>
      </c>
      <c r="AK1220">
        <f t="shared" si="327"/>
        <v>0</v>
      </c>
      <c r="AL1220">
        <f t="shared" si="328"/>
        <v>0</v>
      </c>
      <c r="AM1220">
        <f t="shared" si="329"/>
        <v>0</v>
      </c>
      <c r="DH1220" t="str" cm="1">
        <f t="array" ref="DH1220">IF($A1220="","",_xlfn.LET(_xlpm.c,IFERROR(_xlfn.XLOOKUP($A1220,TRIM('Sales and count'!$A$4:$A$300&amp;""),TRIM('Sales and count'!$B$4:$B$300&amp;"")),""),IF(OR(_xlpm.c="",_xlpm.c="0",LEFT(_xlpm.c,1)="#"),"Not set",_xlpm.c)))</f>
        <v/>
      </c>
    </row>
    <row r="1221" spans="1:112" x14ac:dyDescent="0.25">
      <c r="A1221" t="str">
        <f>IF('Staff Daily sales'!$B1206="","",TRIM('Staff Daily sales'!$B1206&amp;""))</f>
        <v/>
      </c>
      <c r="B1221" t="str">
        <f>IF('Staff Daily sales'!$D1206="","",TRIM('Staff Daily sales'!$D1206&amp;""))</f>
        <v/>
      </c>
      <c r="C1221" t="str">
        <f>IFERROR(TRIM('Staff Daily sales'!$E1206&amp;""),"")</f>
        <v/>
      </c>
      <c r="D1221" t="str">
        <f>IFERROR(IF(TRIM('Staff Daily sales'!$F1206&amp;"")="","Unassigned",TRIM('Staff Daily sales'!$F1206&amp;"")),"Unassigned")</f>
        <v>Unassigned</v>
      </c>
      <c r="E1221">
        <f t="shared" si="314"/>
        <v>0</v>
      </c>
      <c r="F1221">
        <f>IF($E1221=0,0,SUMPRODUCT($AI$5:$DF$5,'Staff Daily sales'!$G1206:$CD1206))</f>
        <v>0</v>
      </c>
      <c r="G1221">
        <f>IF($E1221=0,0,SUMPRODUCT($AI$6:$DF$6,'Staff Daily sales'!$G1206:$CD1206))</f>
        <v>0</v>
      </c>
      <c r="H1221">
        <f t="shared" si="315"/>
        <v>0</v>
      </c>
      <c r="I1221">
        <f t="shared" si="316"/>
        <v>0</v>
      </c>
      <c r="J1221">
        <f t="shared" si="317"/>
        <v>0</v>
      </c>
      <c r="K1221">
        <f t="shared" si="318"/>
        <v>0</v>
      </c>
      <c r="L1221">
        <f>--AND($E1221=1,OR('Staff Dashboard'!$B$6="All",$DH1221='Staff Dashboard'!$B$6),OR('Staff Dashboard'!$B$7="All",$D1221='Staff Dashboard'!$B$7),OR('Staff Dashboard'!$B$8="All",$A1221='Staff Dashboard'!$B$8))</f>
        <v>0</v>
      </c>
      <c r="M1221">
        <f>IF($E1221=0,0,SUMPRODUCT($AI$7:$DF$7,'Staff Daily sales'!$G1206:$CD1206))</f>
        <v>0</v>
      </c>
      <c r="N1221">
        <f>IF($E1221=0,0,SUMPRODUCT($AI$8:$DF$8,'Staff Daily sales'!$G1206:$CD1206))</f>
        <v>0</v>
      </c>
      <c r="O1221">
        <f>IF($E1221=0,0,SUMPRODUCT($AI$9:$DF$9,'Staff Daily sales'!$G1206:$CD1206))</f>
        <v>0</v>
      </c>
      <c r="P1221">
        <f>IF($E1221=0,0,SUMPRODUCT($AI$10:$DF$10,'Staff Daily sales'!$G1206:$CD1206))</f>
        <v>0</v>
      </c>
      <c r="Q1221">
        <f>IF($E1221=0,0,SUMPRODUCT($AI$11:$DF$11,'Staff Daily sales'!$G1206:$CD1206))</f>
        <v>0</v>
      </c>
      <c r="R1221">
        <f>IF($E1221=0,0,SUMPRODUCT($AI$12:$DF$12,'Staff Daily sales'!$G1206:$CD1206))</f>
        <v>0</v>
      </c>
      <c r="S1221">
        <f>IF($E1221=0,0,SUMPRODUCT($AI$13:$DF$13,'Staff Daily sales'!$G1206:$CD1206))</f>
        <v>0</v>
      </c>
      <c r="T1221">
        <f>IF($E1221=0,0,SUMPRODUCT($AI$14:$DF$14,'Staff Daily sales'!$G1206:$CD1206))</f>
        <v>0</v>
      </c>
      <c r="U1221">
        <f>IF($E1221=0,0,SUMPRODUCT($AI$15:$DF$15,'Staff Daily sales'!$G1206:$CD1206))</f>
        <v>0</v>
      </c>
      <c r="V1221">
        <f>IF($E1221=0,0,SUMPRODUCT($AI$16:$DF$16,'Staff Daily sales'!$G1206:$CD1206))</f>
        <v>0</v>
      </c>
      <c r="W1221">
        <f t="shared" si="319"/>
        <v>0</v>
      </c>
      <c r="X1221">
        <f t="shared" si="320"/>
        <v>0</v>
      </c>
      <c r="Y1221">
        <f t="shared" si="321"/>
        <v>0</v>
      </c>
      <c r="Z1221">
        <f t="shared" si="322"/>
        <v>0</v>
      </c>
      <c r="AA1221">
        <f t="shared" si="323"/>
        <v>0</v>
      </c>
      <c r="AB1221">
        <f>--AND($E1221=1,OR('Staff Weekly Trend'!$B$3="All",$DH1221='Staff Weekly Trend'!$B$3),OR('Staff Weekly Trend'!$B$4="All",$D1221='Staff Weekly Trend'!$B$4),OR('Staff Weekly Trend'!$B$5="All",$A1221='Staff Weekly Trend'!$B$5))</f>
        <v>0</v>
      </c>
      <c r="AC1221" t="str">
        <f t="shared" si="324"/>
        <v/>
      </c>
      <c r="AI1221">
        <f t="shared" si="325"/>
        <v>0</v>
      </c>
      <c r="AJ1221">
        <f t="shared" si="326"/>
        <v>0</v>
      </c>
      <c r="AK1221">
        <f t="shared" si="327"/>
        <v>0</v>
      </c>
      <c r="AL1221">
        <f t="shared" si="328"/>
        <v>0</v>
      </c>
      <c r="AM1221">
        <f t="shared" si="329"/>
        <v>0</v>
      </c>
      <c r="DH1221" t="str" cm="1">
        <f t="array" ref="DH1221">IF($A1221="","",_xlfn.LET(_xlpm.c,IFERROR(_xlfn.XLOOKUP($A1221,TRIM('Sales and count'!$A$4:$A$300&amp;""),TRIM('Sales and count'!$B$4:$B$300&amp;"")),""),IF(OR(_xlpm.c="",_xlpm.c="0",LEFT(_xlpm.c,1)="#"),"Not set",_xlpm.c)))</f>
        <v/>
      </c>
    </row>
    <row r="1222" spans="1:112" x14ac:dyDescent="0.25">
      <c r="A1222" t="str">
        <f>IF('Staff Daily sales'!$B1207="","",TRIM('Staff Daily sales'!$B1207&amp;""))</f>
        <v/>
      </c>
      <c r="B1222" t="str">
        <f>IF('Staff Daily sales'!$D1207="","",TRIM('Staff Daily sales'!$D1207&amp;""))</f>
        <v/>
      </c>
      <c r="C1222" t="str">
        <f>IFERROR(TRIM('Staff Daily sales'!$E1207&amp;""),"")</f>
        <v/>
      </c>
      <c r="D1222" t="str">
        <f>IFERROR(IF(TRIM('Staff Daily sales'!$F1207&amp;"")="","Unassigned",TRIM('Staff Daily sales'!$F1207&amp;"")),"Unassigned")</f>
        <v>Unassigned</v>
      </c>
      <c r="E1222">
        <f t="shared" si="314"/>
        <v>0</v>
      </c>
      <c r="F1222">
        <f>IF($E1222=0,0,SUMPRODUCT($AI$5:$DF$5,'Staff Daily sales'!$G1207:$CD1207))</f>
        <v>0</v>
      </c>
      <c r="G1222">
        <f>IF($E1222=0,0,SUMPRODUCT($AI$6:$DF$6,'Staff Daily sales'!$G1207:$CD1207))</f>
        <v>0</v>
      </c>
      <c r="H1222">
        <f t="shared" si="315"/>
        <v>0</v>
      </c>
      <c r="I1222">
        <f t="shared" si="316"/>
        <v>0</v>
      </c>
      <c r="J1222">
        <f t="shared" si="317"/>
        <v>0</v>
      </c>
      <c r="K1222">
        <f t="shared" si="318"/>
        <v>0</v>
      </c>
      <c r="L1222">
        <f>--AND($E1222=1,OR('Staff Dashboard'!$B$6="All",$DH1222='Staff Dashboard'!$B$6),OR('Staff Dashboard'!$B$7="All",$D1222='Staff Dashboard'!$B$7),OR('Staff Dashboard'!$B$8="All",$A1222='Staff Dashboard'!$B$8))</f>
        <v>0</v>
      </c>
      <c r="M1222">
        <f>IF($E1222=0,0,SUMPRODUCT($AI$7:$DF$7,'Staff Daily sales'!$G1207:$CD1207))</f>
        <v>0</v>
      </c>
      <c r="N1222">
        <f>IF($E1222=0,0,SUMPRODUCT($AI$8:$DF$8,'Staff Daily sales'!$G1207:$CD1207))</f>
        <v>0</v>
      </c>
      <c r="O1222">
        <f>IF($E1222=0,0,SUMPRODUCT($AI$9:$DF$9,'Staff Daily sales'!$G1207:$CD1207))</f>
        <v>0</v>
      </c>
      <c r="P1222">
        <f>IF($E1222=0,0,SUMPRODUCT($AI$10:$DF$10,'Staff Daily sales'!$G1207:$CD1207))</f>
        <v>0</v>
      </c>
      <c r="Q1222">
        <f>IF($E1222=0,0,SUMPRODUCT($AI$11:$DF$11,'Staff Daily sales'!$G1207:$CD1207))</f>
        <v>0</v>
      </c>
      <c r="R1222">
        <f>IF($E1222=0,0,SUMPRODUCT($AI$12:$DF$12,'Staff Daily sales'!$G1207:$CD1207))</f>
        <v>0</v>
      </c>
      <c r="S1222">
        <f>IF($E1222=0,0,SUMPRODUCT($AI$13:$DF$13,'Staff Daily sales'!$G1207:$CD1207))</f>
        <v>0</v>
      </c>
      <c r="T1222">
        <f>IF($E1222=0,0,SUMPRODUCT($AI$14:$DF$14,'Staff Daily sales'!$G1207:$CD1207))</f>
        <v>0</v>
      </c>
      <c r="U1222">
        <f>IF($E1222=0,0,SUMPRODUCT($AI$15:$DF$15,'Staff Daily sales'!$G1207:$CD1207))</f>
        <v>0</v>
      </c>
      <c r="V1222">
        <f>IF($E1222=0,0,SUMPRODUCT($AI$16:$DF$16,'Staff Daily sales'!$G1207:$CD1207))</f>
        <v>0</v>
      </c>
      <c r="W1222">
        <f t="shared" si="319"/>
        <v>0</v>
      </c>
      <c r="X1222">
        <f t="shared" si="320"/>
        <v>0</v>
      </c>
      <c r="Y1222">
        <f t="shared" si="321"/>
        <v>0</v>
      </c>
      <c r="Z1222">
        <f t="shared" si="322"/>
        <v>0</v>
      </c>
      <c r="AA1222">
        <f t="shared" si="323"/>
        <v>0</v>
      </c>
      <c r="AB1222">
        <f>--AND($E1222=1,OR('Staff Weekly Trend'!$B$3="All",$DH1222='Staff Weekly Trend'!$B$3),OR('Staff Weekly Trend'!$B$4="All",$D1222='Staff Weekly Trend'!$B$4),OR('Staff Weekly Trend'!$B$5="All",$A1222='Staff Weekly Trend'!$B$5))</f>
        <v>0</v>
      </c>
      <c r="AC1222" t="str">
        <f t="shared" si="324"/>
        <v/>
      </c>
      <c r="AI1222">
        <f t="shared" si="325"/>
        <v>0</v>
      </c>
      <c r="AJ1222">
        <f t="shared" si="326"/>
        <v>0</v>
      </c>
      <c r="AK1222">
        <f t="shared" si="327"/>
        <v>0</v>
      </c>
      <c r="AL1222">
        <f t="shared" si="328"/>
        <v>0</v>
      </c>
      <c r="AM1222">
        <f t="shared" si="329"/>
        <v>0</v>
      </c>
      <c r="DH1222" t="str" cm="1">
        <f t="array" ref="DH1222">IF($A1222="","",_xlfn.LET(_xlpm.c,IFERROR(_xlfn.XLOOKUP($A1222,TRIM('Sales and count'!$A$4:$A$300&amp;""),TRIM('Sales and count'!$B$4:$B$300&amp;"")),""),IF(OR(_xlpm.c="",_xlpm.c="0",LEFT(_xlpm.c,1)="#"),"Not set",_xlpm.c)))</f>
        <v/>
      </c>
    </row>
    <row r="1223" spans="1:112" x14ac:dyDescent="0.25">
      <c r="A1223" t="str">
        <f>IF('Staff Daily sales'!$B1208="","",TRIM('Staff Daily sales'!$B1208&amp;""))</f>
        <v/>
      </c>
      <c r="B1223" t="str">
        <f>IF('Staff Daily sales'!$D1208="","",TRIM('Staff Daily sales'!$D1208&amp;""))</f>
        <v/>
      </c>
      <c r="C1223" t="str">
        <f>IFERROR(TRIM('Staff Daily sales'!$E1208&amp;""),"")</f>
        <v/>
      </c>
      <c r="D1223" t="str">
        <f>IFERROR(IF(TRIM('Staff Daily sales'!$F1208&amp;"")="","Unassigned",TRIM('Staff Daily sales'!$F1208&amp;"")),"Unassigned")</f>
        <v>Unassigned</v>
      </c>
      <c r="E1223">
        <f t="shared" si="314"/>
        <v>0</v>
      </c>
      <c r="F1223">
        <f>IF($E1223=0,0,SUMPRODUCT($AI$5:$DF$5,'Staff Daily sales'!$G1208:$CD1208))</f>
        <v>0</v>
      </c>
      <c r="G1223">
        <f>IF($E1223=0,0,SUMPRODUCT($AI$6:$DF$6,'Staff Daily sales'!$G1208:$CD1208))</f>
        <v>0</v>
      </c>
      <c r="H1223">
        <f t="shared" si="315"/>
        <v>0</v>
      </c>
      <c r="I1223">
        <f t="shared" si="316"/>
        <v>0</v>
      </c>
      <c r="J1223">
        <f t="shared" si="317"/>
        <v>0</v>
      </c>
      <c r="K1223">
        <f t="shared" si="318"/>
        <v>0</v>
      </c>
      <c r="L1223">
        <f>--AND($E1223=1,OR('Staff Dashboard'!$B$6="All",$DH1223='Staff Dashboard'!$B$6),OR('Staff Dashboard'!$B$7="All",$D1223='Staff Dashboard'!$B$7),OR('Staff Dashboard'!$B$8="All",$A1223='Staff Dashboard'!$B$8))</f>
        <v>0</v>
      </c>
      <c r="M1223">
        <f>IF($E1223=0,0,SUMPRODUCT($AI$7:$DF$7,'Staff Daily sales'!$G1208:$CD1208))</f>
        <v>0</v>
      </c>
      <c r="N1223">
        <f>IF($E1223=0,0,SUMPRODUCT($AI$8:$DF$8,'Staff Daily sales'!$G1208:$CD1208))</f>
        <v>0</v>
      </c>
      <c r="O1223">
        <f>IF($E1223=0,0,SUMPRODUCT($AI$9:$DF$9,'Staff Daily sales'!$G1208:$CD1208))</f>
        <v>0</v>
      </c>
      <c r="P1223">
        <f>IF($E1223=0,0,SUMPRODUCT($AI$10:$DF$10,'Staff Daily sales'!$G1208:$CD1208))</f>
        <v>0</v>
      </c>
      <c r="Q1223">
        <f>IF($E1223=0,0,SUMPRODUCT($AI$11:$DF$11,'Staff Daily sales'!$G1208:$CD1208))</f>
        <v>0</v>
      </c>
      <c r="R1223">
        <f>IF($E1223=0,0,SUMPRODUCT($AI$12:$DF$12,'Staff Daily sales'!$G1208:$CD1208))</f>
        <v>0</v>
      </c>
      <c r="S1223">
        <f>IF($E1223=0,0,SUMPRODUCT($AI$13:$DF$13,'Staff Daily sales'!$G1208:$CD1208))</f>
        <v>0</v>
      </c>
      <c r="T1223">
        <f>IF($E1223=0,0,SUMPRODUCT($AI$14:$DF$14,'Staff Daily sales'!$G1208:$CD1208))</f>
        <v>0</v>
      </c>
      <c r="U1223">
        <f>IF($E1223=0,0,SUMPRODUCT($AI$15:$DF$15,'Staff Daily sales'!$G1208:$CD1208))</f>
        <v>0</v>
      </c>
      <c r="V1223">
        <f>IF($E1223=0,0,SUMPRODUCT($AI$16:$DF$16,'Staff Daily sales'!$G1208:$CD1208))</f>
        <v>0</v>
      </c>
      <c r="W1223">
        <f t="shared" si="319"/>
        <v>0</v>
      </c>
      <c r="X1223">
        <f t="shared" si="320"/>
        <v>0</v>
      </c>
      <c r="Y1223">
        <f t="shared" si="321"/>
        <v>0</v>
      </c>
      <c r="Z1223">
        <f t="shared" si="322"/>
        <v>0</v>
      </c>
      <c r="AA1223">
        <f t="shared" si="323"/>
        <v>0</v>
      </c>
      <c r="AB1223">
        <f>--AND($E1223=1,OR('Staff Weekly Trend'!$B$3="All",$DH1223='Staff Weekly Trend'!$B$3),OR('Staff Weekly Trend'!$B$4="All",$D1223='Staff Weekly Trend'!$B$4),OR('Staff Weekly Trend'!$B$5="All",$A1223='Staff Weekly Trend'!$B$5))</f>
        <v>0</v>
      </c>
      <c r="AC1223" t="str">
        <f t="shared" si="324"/>
        <v/>
      </c>
      <c r="AI1223">
        <f t="shared" si="325"/>
        <v>0</v>
      </c>
      <c r="AJ1223">
        <f t="shared" si="326"/>
        <v>0</v>
      </c>
      <c r="AK1223">
        <f t="shared" si="327"/>
        <v>0</v>
      </c>
      <c r="AL1223">
        <f t="shared" si="328"/>
        <v>0</v>
      </c>
      <c r="AM1223">
        <f t="shared" si="329"/>
        <v>0</v>
      </c>
      <c r="DH1223" t="str" cm="1">
        <f t="array" ref="DH1223">IF($A1223="","",_xlfn.LET(_xlpm.c,IFERROR(_xlfn.XLOOKUP($A1223,TRIM('Sales and count'!$A$4:$A$300&amp;""),TRIM('Sales and count'!$B$4:$B$300&amp;"")),""),IF(OR(_xlpm.c="",_xlpm.c="0",LEFT(_xlpm.c,1)="#"),"Not set",_xlpm.c)))</f>
        <v/>
      </c>
    </row>
    <row r="1224" spans="1:112" x14ac:dyDescent="0.25">
      <c r="A1224" t="str">
        <f>IF('Staff Daily sales'!$B1209="","",TRIM('Staff Daily sales'!$B1209&amp;""))</f>
        <v/>
      </c>
      <c r="B1224" t="str">
        <f>IF('Staff Daily sales'!$D1209="","",TRIM('Staff Daily sales'!$D1209&amp;""))</f>
        <v/>
      </c>
      <c r="C1224" t="str">
        <f>IFERROR(TRIM('Staff Daily sales'!$E1209&amp;""),"")</f>
        <v/>
      </c>
      <c r="D1224" t="str">
        <f>IFERROR(IF(TRIM('Staff Daily sales'!$F1209&amp;"")="","Unassigned",TRIM('Staff Daily sales'!$F1209&amp;"")),"Unassigned")</f>
        <v>Unassigned</v>
      </c>
      <c r="E1224">
        <f t="shared" si="314"/>
        <v>0</v>
      </c>
      <c r="F1224">
        <f>IF($E1224=0,0,SUMPRODUCT($AI$5:$DF$5,'Staff Daily sales'!$G1209:$CD1209))</f>
        <v>0</v>
      </c>
      <c r="G1224">
        <f>IF($E1224=0,0,SUMPRODUCT($AI$6:$DF$6,'Staff Daily sales'!$G1209:$CD1209))</f>
        <v>0</v>
      </c>
      <c r="H1224">
        <f t="shared" si="315"/>
        <v>0</v>
      </c>
      <c r="I1224">
        <f t="shared" si="316"/>
        <v>0</v>
      </c>
      <c r="J1224">
        <f t="shared" si="317"/>
        <v>0</v>
      </c>
      <c r="K1224">
        <f t="shared" si="318"/>
        <v>0</v>
      </c>
      <c r="L1224">
        <f>--AND($E1224=1,OR('Staff Dashboard'!$B$6="All",$DH1224='Staff Dashboard'!$B$6),OR('Staff Dashboard'!$B$7="All",$D1224='Staff Dashboard'!$B$7),OR('Staff Dashboard'!$B$8="All",$A1224='Staff Dashboard'!$B$8))</f>
        <v>0</v>
      </c>
      <c r="M1224">
        <f>IF($E1224=0,0,SUMPRODUCT($AI$7:$DF$7,'Staff Daily sales'!$G1209:$CD1209))</f>
        <v>0</v>
      </c>
      <c r="N1224">
        <f>IF($E1224=0,0,SUMPRODUCT($AI$8:$DF$8,'Staff Daily sales'!$G1209:$CD1209))</f>
        <v>0</v>
      </c>
      <c r="O1224">
        <f>IF($E1224=0,0,SUMPRODUCT($AI$9:$DF$9,'Staff Daily sales'!$G1209:$CD1209))</f>
        <v>0</v>
      </c>
      <c r="P1224">
        <f>IF($E1224=0,0,SUMPRODUCT($AI$10:$DF$10,'Staff Daily sales'!$G1209:$CD1209))</f>
        <v>0</v>
      </c>
      <c r="Q1224">
        <f>IF($E1224=0,0,SUMPRODUCT($AI$11:$DF$11,'Staff Daily sales'!$G1209:$CD1209))</f>
        <v>0</v>
      </c>
      <c r="R1224">
        <f>IF($E1224=0,0,SUMPRODUCT($AI$12:$DF$12,'Staff Daily sales'!$G1209:$CD1209))</f>
        <v>0</v>
      </c>
      <c r="S1224">
        <f>IF($E1224=0,0,SUMPRODUCT($AI$13:$DF$13,'Staff Daily sales'!$G1209:$CD1209))</f>
        <v>0</v>
      </c>
      <c r="T1224">
        <f>IF($E1224=0,0,SUMPRODUCT($AI$14:$DF$14,'Staff Daily sales'!$G1209:$CD1209))</f>
        <v>0</v>
      </c>
      <c r="U1224">
        <f>IF($E1224=0,0,SUMPRODUCT($AI$15:$DF$15,'Staff Daily sales'!$G1209:$CD1209))</f>
        <v>0</v>
      </c>
      <c r="V1224">
        <f>IF($E1224=0,0,SUMPRODUCT($AI$16:$DF$16,'Staff Daily sales'!$G1209:$CD1209))</f>
        <v>0</v>
      </c>
      <c r="W1224">
        <f t="shared" si="319"/>
        <v>0</v>
      </c>
      <c r="X1224">
        <f t="shared" si="320"/>
        <v>0</v>
      </c>
      <c r="Y1224">
        <f t="shared" si="321"/>
        <v>0</v>
      </c>
      <c r="Z1224">
        <f t="shared" si="322"/>
        <v>0</v>
      </c>
      <c r="AA1224">
        <f t="shared" si="323"/>
        <v>0</v>
      </c>
      <c r="AB1224">
        <f>--AND($E1224=1,OR('Staff Weekly Trend'!$B$3="All",$DH1224='Staff Weekly Trend'!$B$3),OR('Staff Weekly Trend'!$B$4="All",$D1224='Staff Weekly Trend'!$B$4),OR('Staff Weekly Trend'!$B$5="All",$A1224='Staff Weekly Trend'!$B$5))</f>
        <v>0</v>
      </c>
      <c r="AC1224" t="str">
        <f t="shared" si="324"/>
        <v/>
      </c>
      <c r="AI1224">
        <f t="shared" si="325"/>
        <v>0</v>
      </c>
      <c r="AJ1224">
        <f t="shared" si="326"/>
        <v>0</v>
      </c>
      <c r="AK1224">
        <f t="shared" si="327"/>
        <v>0</v>
      </c>
      <c r="AL1224">
        <f t="shared" si="328"/>
        <v>0</v>
      </c>
      <c r="AM1224">
        <f t="shared" si="329"/>
        <v>0</v>
      </c>
      <c r="DH1224" t="str" cm="1">
        <f t="array" ref="DH1224">IF($A1224="","",_xlfn.LET(_xlpm.c,IFERROR(_xlfn.XLOOKUP($A1224,TRIM('Sales and count'!$A$4:$A$300&amp;""),TRIM('Sales and count'!$B$4:$B$300&amp;"")),""),IF(OR(_xlpm.c="",_xlpm.c="0",LEFT(_xlpm.c,1)="#"),"Not set",_xlpm.c)))</f>
        <v/>
      </c>
    </row>
    <row r="1225" spans="1:112" x14ac:dyDescent="0.25">
      <c r="A1225" t="str">
        <f>IF('Staff Daily sales'!$B1210="","",TRIM('Staff Daily sales'!$B1210&amp;""))</f>
        <v/>
      </c>
      <c r="B1225" t="str">
        <f>IF('Staff Daily sales'!$D1210="","",TRIM('Staff Daily sales'!$D1210&amp;""))</f>
        <v/>
      </c>
      <c r="C1225" t="str">
        <f>IFERROR(TRIM('Staff Daily sales'!$E1210&amp;""),"")</f>
        <v/>
      </c>
      <c r="D1225" t="str">
        <f>IFERROR(IF(TRIM('Staff Daily sales'!$F1210&amp;"")="","Unassigned",TRIM('Staff Daily sales'!$F1210&amp;"")),"Unassigned")</f>
        <v>Unassigned</v>
      </c>
      <c r="E1225">
        <f t="shared" si="314"/>
        <v>0</v>
      </c>
      <c r="F1225">
        <f>IF($E1225=0,0,SUMPRODUCT($AI$5:$DF$5,'Staff Daily sales'!$G1210:$CD1210))</f>
        <v>0</v>
      </c>
      <c r="G1225">
        <f>IF($E1225=0,0,SUMPRODUCT($AI$6:$DF$6,'Staff Daily sales'!$G1210:$CD1210))</f>
        <v>0</v>
      </c>
      <c r="H1225">
        <f t="shared" si="315"/>
        <v>0</v>
      </c>
      <c r="I1225">
        <f t="shared" si="316"/>
        <v>0</v>
      </c>
      <c r="J1225">
        <f t="shared" si="317"/>
        <v>0</v>
      </c>
      <c r="K1225">
        <f t="shared" si="318"/>
        <v>0</v>
      </c>
      <c r="L1225">
        <f>--AND($E1225=1,OR('Staff Dashboard'!$B$6="All",$DH1225='Staff Dashboard'!$B$6),OR('Staff Dashboard'!$B$7="All",$D1225='Staff Dashboard'!$B$7),OR('Staff Dashboard'!$B$8="All",$A1225='Staff Dashboard'!$B$8))</f>
        <v>0</v>
      </c>
      <c r="M1225">
        <f>IF($E1225=0,0,SUMPRODUCT($AI$7:$DF$7,'Staff Daily sales'!$G1210:$CD1210))</f>
        <v>0</v>
      </c>
      <c r="N1225">
        <f>IF($E1225=0,0,SUMPRODUCT($AI$8:$DF$8,'Staff Daily sales'!$G1210:$CD1210))</f>
        <v>0</v>
      </c>
      <c r="O1225">
        <f>IF($E1225=0,0,SUMPRODUCT($AI$9:$DF$9,'Staff Daily sales'!$G1210:$CD1210))</f>
        <v>0</v>
      </c>
      <c r="P1225">
        <f>IF($E1225=0,0,SUMPRODUCT($AI$10:$DF$10,'Staff Daily sales'!$G1210:$CD1210))</f>
        <v>0</v>
      </c>
      <c r="Q1225">
        <f>IF($E1225=0,0,SUMPRODUCT($AI$11:$DF$11,'Staff Daily sales'!$G1210:$CD1210))</f>
        <v>0</v>
      </c>
      <c r="R1225">
        <f>IF($E1225=0,0,SUMPRODUCT($AI$12:$DF$12,'Staff Daily sales'!$G1210:$CD1210))</f>
        <v>0</v>
      </c>
      <c r="S1225">
        <f>IF($E1225=0,0,SUMPRODUCT($AI$13:$DF$13,'Staff Daily sales'!$G1210:$CD1210))</f>
        <v>0</v>
      </c>
      <c r="T1225">
        <f>IF($E1225=0,0,SUMPRODUCT($AI$14:$DF$14,'Staff Daily sales'!$G1210:$CD1210))</f>
        <v>0</v>
      </c>
      <c r="U1225">
        <f>IF($E1225=0,0,SUMPRODUCT($AI$15:$DF$15,'Staff Daily sales'!$G1210:$CD1210))</f>
        <v>0</v>
      </c>
      <c r="V1225">
        <f>IF($E1225=0,0,SUMPRODUCT($AI$16:$DF$16,'Staff Daily sales'!$G1210:$CD1210))</f>
        <v>0</v>
      </c>
      <c r="W1225">
        <f t="shared" si="319"/>
        <v>0</v>
      </c>
      <c r="X1225">
        <f t="shared" si="320"/>
        <v>0</v>
      </c>
      <c r="Y1225">
        <f t="shared" si="321"/>
        <v>0</v>
      </c>
      <c r="Z1225">
        <f t="shared" si="322"/>
        <v>0</v>
      </c>
      <c r="AA1225">
        <f t="shared" si="323"/>
        <v>0</v>
      </c>
      <c r="AB1225">
        <f>--AND($E1225=1,OR('Staff Weekly Trend'!$B$3="All",$DH1225='Staff Weekly Trend'!$B$3),OR('Staff Weekly Trend'!$B$4="All",$D1225='Staff Weekly Trend'!$B$4),OR('Staff Weekly Trend'!$B$5="All",$A1225='Staff Weekly Trend'!$B$5))</f>
        <v>0</v>
      </c>
      <c r="AC1225" t="str">
        <f t="shared" si="324"/>
        <v/>
      </c>
      <c r="AI1225">
        <f t="shared" si="325"/>
        <v>0</v>
      </c>
      <c r="AJ1225">
        <f t="shared" si="326"/>
        <v>0</v>
      </c>
      <c r="AK1225">
        <f t="shared" si="327"/>
        <v>0</v>
      </c>
      <c r="AL1225">
        <f t="shared" si="328"/>
        <v>0</v>
      </c>
      <c r="AM1225">
        <f t="shared" si="329"/>
        <v>0</v>
      </c>
      <c r="DH1225" t="str" cm="1">
        <f t="array" ref="DH1225">IF($A1225="","",_xlfn.LET(_xlpm.c,IFERROR(_xlfn.XLOOKUP($A1225,TRIM('Sales and count'!$A$4:$A$300&amp;""),TRIM('Sales and count'!$B$4:$B$300&amp;"")),""),IF(OR(_xlpm.c="",_xlpm.c="0",LEFT(_xlpm.c,1)="#"),"Not set",_xlpm.c)))</f>
        <v/>
      </c>
    </row>
    <row r="1226" spans="1:112" x14ac:dyDescent="0.25">
      <c r="A1226" t="str">
        <f>IF('Staff Daily sales'!$B1211="","",TRIM('Staff Daily sales'!$B1211&amp;""))</f>
        <v/>
      </c>
      <c r="B1226" t="str">
        <f>IF('Staff Daily sales'!$D1211="","",TRIM('Staff Daily sales'!$D1211&amp;""))</f>
        <v/>
      </c>
      <c r="C1226" t="str">
        <f>IFERROR(TRIM('Staff Daily sales'!$E1211&amp;""),"")</f>
        <v/>
      </c>
      <c r="D1226" t="str">
        <f>IFERROR(IF(TRIM('Staff Daily sales'!$F1211&amp;"")="","Unassigned",TRIM('Staff Daily sales'!$F1211&amp;"")),"Unassigned")</f>
        <v>Unassigned</v>
      </c>
      <c r="E1226">
        <f t="shared" si="314"/>
        <v>0</v>
      </c>
      <c r="F1226">
        <f>IF($E1226=0,0,SUMPRODUCT($AI$5:$DF$5,'Staff Daily sales'!$G1211:$CD1211))</f>
        <v>0</v>
      </c>
      <c r="G1226">
        <f>IF($E1226=0,0,SUMPRODUCT($AI$6:$DF$6,'Staff Daily sales'!$G1211:$CD1211))</f>
        <v>0</v>
      </c>
      <c r="H1226">
        <f t="shared" si="315"/>
        <v>0</v>
      </c>
      <c r="I1226">
        <f t="shared" si="316"/>
        <v>0</v>
      </c>
      <c r="J1226">
        <f t="shared" si="317"/>
        <v>0</v>
      </c>
      <c r="K1226">
        <f t="shared" si="318"/>
        <v>0</v>
      </c>
      <c r="L1226">
        <f>--AND($E1226=1,OR('Staff Dashboard'!$B$6="All",$DH1226='Staff Dashboard'!$B$6),OR('Staff Dashboard'!$B$7="All",$D1226='Staff Dashboard'!$B$7),OR('Staff Dashboard'!$B$8="All",$A1226='Staff Dashboard'!$B$8))</f>
        <v>0</v>
      </c>
      <c r="M1226">
        <f>IF($E1226=0,0,SUMPRODUCT($AI$7:$DF$7,'Staff Daily sales'!$G1211:$CD1211))</f>
        <v>0</v>
      </c>
      <c r="N1226">
        <f>IF($E1226=0,0,SUMPRODUCT($AI$8:$DF$8,'Staff Daily sales'!$G1211:$CD1211))</f>
        <v>0</v>
      </c>
      <c r="O1226">
        <f>IF($E1226=0,0,SUMPRODUCT($AI$9:$DF$9,'Staff Daily sales'!$G1211:$CD1211))</f>
        <v>0</v>
      </c>
      <c r="P1226">
        <f>IF($E1226=0,0,SUMPRODUCT($AI$10:$DF$10,'Staff Daily sales'!$G1211:$CD1211))</f>
        <v>0</v>
      </c>
      <c r="Q1226">
        <f>IF($E1226=0,0,SUMPRODUCT($AI$11:$DF$11,'Staff Daily sales'!$G1211:$CD1211))</f>
        <v>0</v>
      </c>
      <c r="R1226">
        <f>IF($E1226=0,0,SUMPRODUCT($AI$12:$DF$12,'Staff Daily sales'!$G1211:$CD1211))</f>
        <v>0</v>
      </c>
      <c r="S1226">
        <f>IF($E1226=0,0,SUMPRODUCT($AI$13:$DF$13,'Staff Daily sales'!$G1211:$CD1211))</f>
        <v>0</v>
      </c>
      <c r="T1226">
        <f>IF($E1226=0,0,SUMPRODUCT($AI$14:$DF$14,'Staff Daily sales'!$G1211:$CD1211))</f>
        <v>0</v>
      </c>
      <c r="U1226">
        <f>IF($E1226=0,0,SUMPRODUCT($AI$15:$DF$15,'Staff Daily sales'!$G1211:$CD1211))</f>
        <v>0</v>
      </c>
      <c r="V1226">
        <f>IF($E1226=0,0,SUMPRODUCT($AI$16:$DF$16,'Staff Daily sales'!$G1211:$CD1211))</f>
        <v>0</v>
      </c>
      <c r="W1226">
        <f t="shared" si="319"/>
        <v>0</v>
      </c>
      <c r="X1226">
        <f t="shared" si="320"/>
        <v>0</v>
      </c>
      <c r="Y1226">
        <f t="shared" si="321"/>
        <v>0</v>
      </c>
      <c r="Z1226">
        <f t="shared" si="322"/>
        <v>0</v>
      </c>
      <c r="AA1226">
        <f t="shared" si="323"/>
        <v>0</v>
      </c>
      <c r="AB1226">
        <f>--AND($E1226=1,OR('Staff Weekly Trend'!$B$3="All",$DH1226='Staff Weekly Trend'!$B$3),OR('Staff Weekly Trend'!$B$4="All",$D1226='Staff Weekly Trend'!$B$4),OR('Staff Weekly Trend'!$B$5="All",$A1226='Staff Weekly Trend'!$B$5))</f>
        <v>0</v>
      </c>
      <c r="AC1226" t="str">
        <f t="shared" si="324"/>
        <v/>
      </c>
      <c r="AI1226">
        <f t="shared" si="325"/>
        <v>0</v>
      </c>
      <c r="AJ1226">
        <f t="shared" si="326"/>
        <v>0</v>
      </c>
      <c r="AK1226">
        <f t="shared" si="327"/>
        <v>0</v>
      </c>
      <c r="AL1226">
        <f t="shared" si="328"/>
        <v>0</v>
      </c>
      <c r="AM1226">
        <f t="shared" si="329"/>
        <v>0</v>
      </c>
      <c r="DH1226" t="str" cm="1">
        <f t="array" ref="DH1226">IF($A1226="","",_xlfn.LET(_xlpm.c,IFERROR(_xlfn.XLOOKUP($A1226,TRIM('Sales and count'!$A$4:$A$300&amp;""),TRIM('Sales and count'!$B$4:$B$300&amp;"")),""),IF(OR(_xlpm.c="",_xlpm.c="0",LEFT(_xlpm.c,1)="#"),"Not set",_xlpm.c)))</f>
        <v/>
      </c>
    </row>
    <row r="1227" spans="1:112" x14ac:dyDescent="0.25">
      <c r="A1227" t="str">
        <f>IF('Staff Daily sales'!$B1212="","",TRIM('Staff Daily sales'!$B1212&amp;""))</f>
        <v/>
      </c>
      <c r="B1227" t="str">
        <f>IF('Staff Daily sales'!$D1212="","",TRIM('Staff Daily sales'!$D1212&amp;""))</f>
        <v/>
      </c>
      <c r="C1227" t="str">
        <f>IFERROR(TRIM('Staff Daily sales'!$E1212&amp;""),"")</f>
        <v/>
      </c>
      <c r="D1227" t="str">
        <f>IFERROR(IF(TRIM('Staff Daily sales'!$F1212&amp;"")="","Unassigned",TRIM('Staff Daily sales'!$F1212&amp;"")),"Unassigned")</f>
        <v>Unassigned</v>
      </c>
      <c r="E1227">
        <f t="shared" si="314"/>
        <v>0</v>
      </c>
      <c r="F1227">
        <f>IF($E1227=0,0,SUMPRODUCT($AI$5:$DF$5,'Staff Daily sales'!$G1212:$CD1212))</f>
        <v>0</v>
      </c>
      <c r="G1227">
        <f>IF($E1227=0,0,SUMPRODUCT($AI$6:$DF$6,'Staff Daily sales'!$G1212:$CD1212))</f>
        <v>0</v>
      </c>
      <c r="H1227">
        <f t="shared" si="315"/>
        <v>0</v>
      </c>
      <c r="I1227">
        <f t="shared" si="316"/>
        <v>0</v>
      </c>
      <c r="J1227">
        <f t="shared" si="317"/>
        <v>0</v>
      </c>
      <c r="K1227">
        <f t="shared" si="318"/>
        <v>0</v>
      </c>
      <c r="L1227">
        <f>--AND($E1227=1,OR('Staff Dashboard'!$B$6="All",$DH1227='Staff Dashboard'!$B$6),OR('Staff Dashboard'!$B$7="All",$D1227='Staff Dashboard'!$B$7),OR('Staff Dashboard'!$B$8="All",$A1227='Staff Dashboard'!$B$8))</f>
        <v>0</v>
      </c>
      <c r="M1227">
        <f>IF($E1227=0,0,SUMPRODUCT($AI$7:$DF$7,'Staff Daily sales'!$G1212:$CD1212))</f>
        <v>0</v>
      </c>
      <c r="N1227">
        <f>IF($E1227=0,0,SUMPRODUCT($AI$8:$DF$8,'Staff Daily sales'!$G1212:$CD1212))</f>
        <v>0</v>
      </c>
      <c r="O1227">
        <f>IF($E1227=0,0,SUMPRODUCT($AI$9:$DF$9,'Staff Daily sales'!$G1212:$CD1212))</f>
        <v>0</v>
      </c>
      <c r="P1227">
        <f>IF($E1227=0,0,SUMPRODUCT($AI$10:$DF$10,'Staff Daily sales'!$G1212:$CD1212))</f>
        <v>0</v>
      </c>
      <c r="Q1227">
        <f>IF($E1227=0,0,SUMPRODUCT($AI$11:$DF$11,'Staff Daily sales'!$G1212:$CD1212))</f>
        <v>0</v>
      </c>
      <c r="R1227">
        <f>IF($E1227=0,0,SUMPRODUCT($AI$12:$DF$12,'Staff Daily sales'!$G1212:$CD1212))</f>
        <v>0</v>
      </c>
      <c r="S1227">
        <f>IF($E1227=0,0,SUMPRODUCT($AI$13:$DF$13,'Staff Daily sales'!$G1212:$CD1212))</f>
        <v>0</v>
      </c>
      <c r="T1227">
        <f>IF($E1227=0,0,SUMPRODUCT($AI$14:$DF$14,'Staff Daily sales'!$G1212:$CD1212))</f>
        <v>0</v>
      </c>
      <c r="U1227">
        <f>IF($E1227=0,0,SUMPRODUCT($AI$15:$DF$15,'Staff Daily sales'!$G1212:$CD1212))</f>
        <v>0</v>
      </c>
      <c r="V1227">
        <f>IF($E1227=0,0,SUMPRODUCT($AI$16:$DF$16,'Staff Daily sales'!$G1212:$CD1212))</f>
        <v>0</v>
      </c>
      <c r="W1227">
        <f t="shared" si="319"/>
        <v>0</v>
      </c>
      <c r="X1227">
        <f t="shared" si="320"/>
        <v>0</v>
      </c>
      <c r="Y1227">
        <f t="shared" si="321"/>
        <v>0</v>
      </c>
      <c r="Z1227">
        <f t="shared" si="322"/>
        <v>0</v>
      </c>
      <c r="AA1227">
        <f t="shared" si="323"/>
        <v>0</v>
      </c>
      <c r="AB1227">
        <f>--AND($E1227=1,OR('Staff Weekly Trend'!$B$3="All",$DH1227='Staff Weekly Trend'!$B$3),OR('Staff Weekly Trend'!$B$4="All",$D1227='Staff Weekly Trend'!$B$4),OR('Staff Weekly Trend'!$B$5="All",$A1227='Staff Weekly Trend'!$B$5))</f>
        <v>0</v>
      </c>
      <c r="AC1227" t="str">
        <f t="shared" si="324"/>
        <v/>
      </c>
      <c r="AI1227">
        <f t="shared" si="325"/>
        <v>0</v>
      </c>
      <c r="AJ1227">
        <f t="shared" si="326"/>
        <v>0</v>
      </c>
      <c r="AK1227">
        <f t="shared" si="327"/>
        <v>0</v>
      </c>
      <c r="AL1227">
        <f t="shared" si="328"/>
        <v>0</v>
      </c>
      <c r="AM1227">
        <f t="shared" si="329"/>
        <v>0</v>
      </c>
      <c r="DH1227" t="str" cm="1">
        <f t="array" ref="DH1227">IF($A1227="","",_xlfn.LET(_xlpm.c,IFERROR(_xlfn.XLOOKUP($A1227,TRIM('Sales and count'!$A$4:$A$300&amp;""),TRIM('Sales and count'!$B$4:$B$300&amp;"")),""),IF(OR(_xlpm.c="",_xlpm.c="0",LEFT(_xlpm.c,1)="#"),"Not set",_xlpm.c)))</f>
        <v/>
      </c>
    </row>
    <row r="1228" spans="1:112" x14ac:dyDescent="0.25">
      <c r="A1228" t="str">
        <f>IF('Staff Daily sales'!$B1213="","",TRIM('Staff Daily sales'!$B1213&amp;""))</f>
        <v/>
      </c>
      <c r="B1228" t="str">
        <f>IF('Staff Daily sales'!$D1213="","",TRIM('Staff Daily sales'!$D1213&amp;""))</f>
        <v/>
      </c>
      <c r="C1228" t="str">
        <f>IFERROR(TRIM('Staff Daily sales'!$E1213&amp;""),"")</f>
        <v/>
      </c>
      <c r="D1228" t="str">
        <f>IFERROR(IF(TRIM('Staff Daily sales'!$F1213&amp;"")="","Unassigned",TRIM('Staff Daily sales'!$F1213&amp;"")),"Unassigned")</f>
        <v>Unassigned</v>
      </c>
      <c r="E1228">
        <f t="shared" si="314"/>
        <v>0</v>
      </c>
      <c r="F1228">
        <f>IF($E1228=0,0,SUMPRODUCT($AI$5:$DF$5,'Staff Daily sales'!$G1213:$CD1213))</f>
        <v>0</v>
      </c>
      <c r="G1228">
        <f>IF($E1228=0,0,SUMPRODUCT($AI$6:$DF$6,'Staff Daily sales'!$G1213:$CD1213))</f>
        <v>0</v>
      </c>
      <c r="H1228">
        <f t="shared" si="315"/>
        <v>0</v>
      </c>
      <c r="I1228">
        <f t="shared" si="316"/>
        <v>0</v>
      </c>
      <c r="J1228">
        <f t="shared" si="317"/>
        <v>0</v>
      </c>
      <c r="K1228">
        <f t="shared" si="318"/>
        <v>0</v>
      </c>
      <c r="L1228">
        <f>--AND($E1228=1,OR('Staff Dashboard'!$B$6="All",$DH1228='Staff Dashboard'!$B$6),OR('Staff Dashboard'!$B$7="All",$D1228='Staff Dashboard'!$B$7),OR('Staff Dashboard'!$B$8="All",$A1228='Staff Dashboard'!$B$8))</f>
        <v>0</v>
      </c>
      <c r="M1228">
        <f>IF($E1228=0,0,SUMPRODUCT($AI$7:$DF$7,'Staff Daily sales'!$G1213:$CD1213))</f>
        <v>0</v>
      </c>
      <c r="N1228">
        <f>IF($E1228=0,0,SUMPRODUCT($AI$8:$DF$8,'Staff Daily sales'!$G1213:$CD1213))</f>
        <v>0</v>
      </c>
      <c r="O1228">
        <f>IF($E1228=0,0,SUMPRODUCT($AI$9:$DF$9,'Staff Daily sales'!$G1213:$CD1213))</f>
        <v>0</v>
      </c>
      <c r="P1228">
        <f>IF($E1228=0,0,SUMPRODUCT($AI$10:$DF$10,'Staff Daily sales'!$G1213:$CD1213))</f>
        <v>0</v>
      </c>
      <c r="Q1228">
        <f>IF($E1228=0,0,SUMPRODUCT($AI$11:$DF$11,'Staff Daily sales'!$G1213:$CD1213))</f>
        <v>0</v>
      </c>
      <c r="R1228">
        <f>IF($E1228=0,0,SUMPRODUCT($AI$12:$DF$12,'Staff Daily sales'!$G1213:$CD1213))</f>
        <v>0</v>
      </c>
      <c r="S1228">
        <f>IF($E1228=0,0,SUMPRODUCT($AI$13:$DF$13,'Staff Daily sales'!$G1213:$CD1213))</f>
        <v>0</v>
      </c>
      <c r="T1228">
        <f>IF($E1228=0,0,SUMPRODUCT($AI$14:$DF$14,'Staff Daily sales'!$G1213:$CD1213))</f>
        <v>0</v>
      </c>
      <c r="U1228">
        <f>IF($E1228=0,0,SUMPRODUCT($AI$15:$DF$15,'Staff Daily sales'!$G1213:$CD1213))</f>
        <v>0</v>
      </c>
      <c r="V1228">
        <f>IF($E1228=0,0,SUMPRODUCT($AI$16:$DF$16,'Staff Daily sales'!$G1213:$CD1213))</f>
        <v>0</v>
      </c>
      <c r="W1228">
        <f t="shared" si="319"/>
        <v>0</v>
      </c>
      <c r="X1228">
        <f t="shared" si="320"/>
        <v>0</v>
      </c>
      <c r="Y1228">
        <f t="shared" si="321"/>
        <v>0</v>
      </c>
      <c r="Z1228">
        <f t="shared" si="322"/>
        <v>0</v>
      </c>
      <c r="AA1228">
        <f t="shared" si="323"/>
        <v>0</v>
      </c>
      <c r="AB1228">
        <f>--AND($E1228=1,OR('Staff Weekly Trend'!$B$3="All",$DH1228='Staff Weekly Trend'!$B$3),OR('Staff Weekly Trend'!$B$4="All",$D1228='Staff Weekly Trend'!$B$4),OR('Staff Weekly Trend'!$B$5="All",$A1228='Staff Weekly Trend'!$B$5))</f>
        <v>0</v>
      </c>
      <c r="AC1228" t="str">
        <f t="shared" si="324"/>
        <v/>
      </c>
      <c r="AI1228">
        <f t="shared" si="325"/>
        <v>0</v>
      </c>
      <c r="AJ1228">
        <f t="shared" si="326"/>
        <v>0</v>
      </c>
      <c r="AK1228">
        <f t="shared" si="327"/>
        <v>0</v>
      </c>
      <c r="AL1228">
        <f t="shared" si="328"/>
        <v>0</v>
      </c>
      <c r="AM1228">
        <f t="shared" si="329"/>
        <v>0</v>
      </c>
      <c r="DH1228" t="str" cm="1">
        <f t="array" ref="DH1228">IF($A1228="","",_xlfn.LET(_xlpm.c,IFERROR(_xlfn.XLOOKUP($A1228,TRIM('Sales and count'!$A$4:$A$300&amp;""),TRIM('Sales and count'!$B$4:$B$300&amp;"")),""),IF(OR(_xlpm.c="",_xlpm.c="0",LEFT(_xlpm.c,1)="#"),"Not set",_xlpm.c)))</f>
        <v/>
      </c>
    </row>
    <row r="1229" spans="1:112" x14ac:dyDescent="0.25">
      <c r="A1229" t="str">
        <f>IF('Staff Daily sales'!$B1214="","",TRIM('Staff Daily sales'!$B1214&amp;""))</f>
        <v/>
      </c>
      <c r="B1229" t="str">
        <f>IF('Staff Daily sales'!$D1214="","",TRIM('Staff Daily sales'!$D1214&amp;""))</f>
        <v/>
      </c>
      <c r="C1229" t="str">
        <f>IFERROR(TRIM('Staff Daily sales'!$E1214&amp;""),"")</f>
        <v/>
      </c>
      <c r="D1229" t="str">
        <f>IFERROR(IF(TRIM('Staff Daily sales'!$F1214&amp;"")="","Unassigned",TRIM('Staff Daily sales'!$F1214&amp;"")),"Unassigned")</f>
        <v>Unassigned</v>
      </c>
      <c r="E1229">
        <f t="shared" si="314"/>
        <v>0</v>
      </c>
      <c r="F1229">
        <f>IF($E1229=0,0,SUMPRODUCT($AI$5:$DF$5,'Staff Daily sales'!$G1214:$CD1214))</f>
        <v>0</v>
      </c>
      <c r="G1229">
        <f>IF($E1229=0,0,SUMPRODUCT($AI$6:$DF$6,'Staff Daily sales'!$G1214:$CD1214))</f>
        <v>0</v>
      </c>
      <c r="H1229">
        <f t="shared" si="315"/>
        <v>0</v>
      </c>
      <c r="I1229">
        <f t="shared" si="316"/>
        <v>0</v>
      </c>
      <c r="J1229">
        <f t="shared" si="317"/>
        <v>0</v>
      </c>
      <c r="K1229">
        <f t="shared" si="318"/>
        <v>0</v>
      </c>
      <c r="L1229">
        <f>--AND($E1229=1,OR('Staff Dashboard'!$B$6="All",$DH1229='Staff Dashboard'!$B$6),OR('Staff Dashboard'!$B$7="All",$D1229='Staff Dashboard'!$B$7),OR('Staff Dashboard'!$B$8="All",$A1229='Staff Dashboard'!$B$8))</f>
        <v>0</v>
      </c>
      <c r="M1229">
        <f>IF($E1229=0,0,SUMPRODUCT($AI$7:$DF$7,'Staff Daily sales'!$G1214:$CD1214))</f>
        <v>0</v>
      </c>
      <c r="N1229">
        <f>IF($E1229=0,0,SUMPRODUCT($AI$8:$DF$8,'Staff Daily sales'!$G1214:$CD1214))</f>
        <v>0</v>
      </c>
      <c r="O1229">
        <f>IF($E1229=0,0,SUMPRODUCT($AI$9:$DF$9,'Staff Daily sales'!$G1214:$CD1214))</f>
        <v>0</v>
      </c>
      <c r="P1229">
        <f>IF($E1229=0,0,SUMPRODUCT($AI$10:$DF$10,'Staff Daily sales'!$G1214:$CD1214))</f>
        <v>0</v>
      </c>
      <c r="Q1229">
        <f>IF($E1229=0,0,SUMPRODUCT($AI$11:$DF$11,'Staff Daily sales'!$G1214:$CD1214))</f>
        <v>0</v>
      </c>
      <c r="R1229">
        <f>IF($E1229=0,0,SUMPRODUCT($AI$12:$DF$12,'Staff Daily sales'!$G1214:$CD1214))</f>
        <v>0</v>
      </c>
      <c r="S1229">
        <f>IF($E1229=0,0,SUMPRODUCT($AI$13:$DF$13,'Staff Daily sales'!$G1214:$CD1214))</f>
        <v>0</v>
      </c>
      <c r="T1229">
        <f>IF($E1229=0,0,SUMPRODUCT($AI$14:$DF$14,'Staff Daily sales'!$G1214:$CD1214))</f>
        <v>0</v>
      </c>
      <c r="U1229">
        <f>IF($E1229=0,0,SUMPRODUCT($AI$15:$DF$15,'Staff Daily sales'!$G1214:$CD1214))</f>
        <v>0</v>
      </c>
      <c r="V1229">
        <f>IF($E1229=0,0,SUMPRODUCT($AI$16:$DF$16,'Staff Daily sales'!$G1214:$CD1214))</f>
        <v>0</v>
      </c>
      <c r="W1229">
        <f t="shared" si="319"/>
        <v>0</v>
      </c>
      <c r="X1229">
        <f t="shared" si="320"/>
        <v>0</v>
      </c>
      <c r="Y1229">
        <f t="shared" si="321"/>
        <v>0</v>
      </c>
      <c r="Z1229">
        <f t="shared" si="322"/>
        <v>0</v>
      </c>
      <c r="AA1229">
        <f t="shared" si="323"/>
        <v>0</v>
      </c>
      <c r="AB1229">
        <f>--AND($E1229=1,OR('Staff Weekly Trend'!$B$3="All",$DH1229='Staff Weekly Trend'!$B$3),OR('Staff Weekly Trend'!$B$4="All",$D1229='Staff Weekly Trend'!$B$4),OR('Staff Weekly Trend'!$B$5="All",$A1229='Staff Weekly Trend'!$B$5))</f>
        <v>0</v>
      </c>
      <c r="AC1229" t="str">
        <f t="shared" si="324"/>
        <v/>
      </c>
      <c r="AI1229">
        <f t="shared" si="325"/>
        <v>0</v>
      </c>
      <c r="AJ1229">
        <f t="shared" si="326"/>
        <v>0</v>
      </c>
      <c r="AK1229">
        <f t="shared" si="327"/>
        <v>0</v>
      </c>
      <c r="AL1229">
        <f t="shared" si="328"/>
        <v>0</v>
      </c>
      <c r="AM1229">
        <f t="shared" si="329"/>
        <v>0</v>
      </c>
      <c r="DH1229" t="str" cm="1">
        <f t="array" ref="DH1229">IF($A1229="","",_xlfn.LET(_xlpm.c,IFERROR(_xlfn.XLOOKUP($A1229,TRIM('Sales and count'!$A$4:$A$300&amp;""),TRIM('Sales and count'!$B$4:$B$300&amp;"")),""),IF(OR(_xlpm.c="",_xlpm.c="0",LEFT(_xlpm.c,1)="#"),"Not set",_xlpm.c)))</f>
        <v/>
      </c>
    </row>
    <row r="1230" spans="1:112" x14ac:dyDescent="0.25">
      <c r="A1230" t="str">
        <f>IF('Staff Daily sales'!$B1215="","",TRIM('Staff Daily sales'!$B1215&amp;""))</f>
        <v/>
      </c>
      <c r="B1230" t="str">
        <f>IF('Staff Daily sales'!$D1215="","",TRIM('Staff Daily sales'!$D1215&amp;""))</f>
        <v/>
      </c>
      <c r="C1230" t="str">
        <f>IFERROR(TRIM('Staff Daily sales'!$E1215&amp;""),"")</f>
        <v/>
      </c>
      <c r="D1230" t="str">
        <f>IFERROR(IF(TRIM('Staff Daily sales'!$F1215&amp;"")="","Unassigned",TRIM('Staff Daily sales'!$F1215&amp;"")),"Unassigned")</f>
        <v>Unassigned</v>
      </c>
      <c r="E1230">
        <f t="shared" si="314"/>
        <v>0</v>
      </c>
      <c r="F1230">
        <f>IF($E1230=0,0,SUMPRODUCT($AI$5:$DF$5,'Staff Daily sales'!$G1215:$CD1215))</f>
        <v>0</v>
      </c>
      <c r="G1230">
        <f>IF($E1230=0,0,SUMPRODUCT($AI$6:$DF$6,'Staff Daily sales'!$G1215:$CD1215))</f>
        <v>0</v>
      </c>
      <c r="H1230">
        <f t="shared" si="315"/>
        <v>0</v>
      </c>
      <c r="I1230">
        <f t="shared" si="316"/>
        <v>0</v>
      </c>
      <c r="J1230">
        <f t="shared" si="317"/>
        <v>0</v>
      </c>
      <c r="K1230">
        <f t="shared" si="318"/>
        <v>0</v>
      </c>
      <c r="L1230">
        <f>--AND($E1230=1,OR('Staff Dashboard'!$B$6="All",$DH1230='Staff Dashboard'!$B$6),OR('Staff Dashboard'!$B$7="All",$D1230='Staff Dashboard'!$B$7),OR('Staff Dashboard'!$B$8="All",$A1230='Staff Dashboard'!$B$8))</f>
        <v>0</v>
      </c>
      <c r="M1230">
        <f>IF($E1230=0,0,SUMPRODUCT($AI$7:$DF$7,'Staff Daily sales'!$G1215:$CD1215))</f>
        <v>0</v>
      </c>
      <c r="N1230">
        <f>IF($E1230=0,0,SUMPRODUCT($AI$8:$DF$8,'Staff Daily sales'!$G1215:$CD1215))</f>
        <v>0</v>
      </c>
      <c r="O1230">
        <f>IF($E1230=0,0,SUMPRODUCT($AI$9:$DF$9,'Staff Daily sales'!$G1215:$CD1215))</f>
        <v>0</v>
      </c>
      <c r="P1230">
        <f>IF($E1230=0,0,SUMPRODUCT($AI$10:$DF$10,'Staff Daily sales'!$G1215:$CD1215))</f>
        <v>0</v>
      </c>
      <c r="Q1230">
        <f>IF($E1230=0,0,SUMPRODUCT($AI$11:$DF$11,'Staff Daily sales'!$G1215:$CD1215))</f>
        <v>0</v>
      </c>
      <c r="R1230">
        <f>IF($E1230=0,0,SUMPRODUCT($AI$12:$DF$12,'Staff Daily sales'!$G1215:$CD1215))</f>
        <v>0</v>
      </c>
      <c r="S1230">
        <f>IF($E1230=0,0,SUMPRODUCT($AI$13:$DF$13,'Staff Daily sales'!$G1215:$CD1215))</f>
        <v>0</v>
      </c>
      <c r="T1230">
        <f>IF($E1230=0,0,SUMPRODUCT($AI$14:$DF$14,'Staff Daily sales'!$G1215:$CD1215))</f>
        <v>0</v>
      </c>
      <c r="U1230">
        <f>IF($E1230=0,0,SUMPRODUCT($AI$15:$DF$15,'Staff Daily sales'!$G1215:$CD1215))</f>
        <v>0</v>
      </c>
      <c r="V1230">
        <f>IF($E1230=0,0,SUMPRODUCT($AI$16:$DF$16,'Staff Daily sales'!$G1215:$CD1215))</f>
        <v>0</v>
      </c>
      <c r="W1230">
        <f t="shared" si="319"/>
        <v>0</v>
      </c>
      <c r="X1230">
        <f t="shared" si="320"/>
        <v>0</v>
      </c>
      <c r="Y1230">
        <f t="shared" si="321"/>
        <v>0</v>
      </c>
      <c r="Z1230">
        <f t="shared" si="322"/>
        <v>0</v>
      </c>
      <c r="AA1230">
        <f t="shared" si="323"/>
        <v>0</v>
      </c>
      <c r="AB1230">
        <f>--AND($E1230=1,OR('Staff Weekly Trend'!$B$3="All",$DH1230='Staff Weekly Trend'!$B$3),OR('Staff Weekly Trend'!$B$4="All",$D1230='Staff Weekly Trend'!$B$4),OR('Staff Weekly Trend'!$B$5="All",$A1230='Staff Weekly Trend'!$B$5))</f>
        <v>0</v>
      </c>
      <c r="AC1230" t="str">
        <f t="shared" si="324"/>
        <v/>
      </c>
      <c r="AI1230">
        <f t="shared" si="325"/>
        <v>0</v>
      </c>
      <c r="AJ1230">
        <f t="shared" si="326"/>
        <v>0</v>
      </c>
      <c r="AK1230">
        <f t="shared" si="327"/>
        <v>0</v>
      </c>
      <c r="AL1230">
        <f t="shared" si="328"/>
        <v>0</v>
      </c>
      <c r="AM1230">
        <f t="shared" si="329"/>
        <v>0</v>
      </c>
      <c r="DH1230" t="str" cm="1">
        <f t="array" ref="DH1230">IF($A1230="","",_xlfn.LET(_xlpm.c,IFERROR(_xlfn.XLOOKUP($A1230,TRIM('Sales and count'!$A$4:$A$300&amp;""),TRIM('Sales and count'!$B$4:$B$300&amp;"")),""),IF(OR(_xlpm.c="",_xlpm.c="0",LEFT(_xlpm.c,1)="#"),"Not set",_xlpm.c)))</f>
        <v/>
      </c>
    </row>
    <row r="1231" spans="1:112" x14ac:dyDescent="0.25">
      <c r="A1231" t="str">
        <f>IF('Staff Daily sales'!$B1216="","",TRIM('Staff Daily sales'!$B1216&amp;""))</f>
        <v/>
      </c>
      <c r="B1231" t="str">
        <f>IF('Staff Daily sales'!$D1216="","",TRIM('Staff Daily sales'!$D1216&amp;""))</f>
        <v/>
      </c>
      <c r="C1231" t="str">
        <f>IFERROR(TRIM('Staff Daily sales'!$E1216&amp;""),"")</f>
        <v/>
      </c>
      <c r="D1231" t="str">
        <f>IFERROR(IF(TRIM('Staff Daily sales'!$F1216&amp;"")="","Unassigned",TRIM('Staff Daily sales'!$F1216&amp;"")),"Unassigned")</f>
        <v>Unassigned</v>
      </c>
      <c r="E1231">
        <f t="shared" si="314"/>
        <v>0</v>
      </c>
      <c r="F1231">
        <f>IF($E1231=0,0,SUMPRODUCT($AI$5:$DF$5,'Staff Daily sales'!$G1216:$CD1216))</f>
        <v>0</v>
      </c>
      <c r="G1231">
        <f>IF($E1231=0,0,SUMPRODUCT($AI$6:$DF$6,'Staff Daily sales'!$G1216:$CD1216))</f>
        <v>0</v>
      </c>
      <c r="H1231">
        <f t="shared" si="315"/>
        <v>0</v>
      </c>
      <c r="I1231">
        <f t="shared" si="316"/>
        <v>0</v>
      </c>
      <c r="J1231">
        <f t="shared" si="317"/>
        <v>0</v>
      </c>
      <c r="K1231">
        <f t="shared" si="318"/>
        <v>0</v>
      </c>
      <c r="L1231">
        <f>--AND($E1231=1,OR('Staff Dashboard'!$B$6="All",$DH1231='Staff Dashboard'!$B$6),OR('Staff Dashboard'!$B$7="All",$D1231='Staff Dashboard'!$B$7),OR('Staff Dashboard'!$B$8="All",$A1231='Staff Dashboard'!$B$8))</f>
        <v>0</v>
      </c>
      <c r="M1231">
        <f>IF($E1231=0,0,SUMPRODUCT($AI$7:$DF$7,'Staff Daily sales'!$G1216:$CD1216))</f>
        <v>0</v>
      </c>
      <c r="N1231">
        <f>IF($E1231=0,0,SUMPRODUCT($AI$8:$DF$8,'Staff Daily sales'!$G1216:$CD1216))</f>
        <v>0</v>
      </c>
      <c r="O1231">
        <f>IF($E1231=0,0,SUMPRODUCT($AI$9:$DF$9,'Staff Daily sales'!$G1216:$CD1216))</f>
        <v>0</v>
      </c>
      <c r="P1231">
        <f>IF($E1231=0,0,SUMPRODUCT($AI$10:$DF$10,'Staff Daily sales'!$G1216:$CD1216))</f>
        <v>0</v>
      </c>
      <c r="Q1231">
        <f>IF($E1231=0,0,SUMPRODUCT($AI$11:$DF$11,'Staff Daily sales'!$G1216:$CD1216))</f>
        <v>0</v>
      </c>
      <c r="R1231">
        <f>IF($E1231=0,0,SUMPRODUCT($AI$12:$DF$12,'Staff Daily sales'!$G1216:$CD1216))</f>
        <v>0</v>
      </c>
      <c r="S1231">
        <f>IF($E1231=0,0,SUMPRODUCT($AI$13:$DF$13,'Staff Daily sales'!$G1216:$CD1216))</f>
        <v>0</v>
      </c>
      <c r="T1231">
        <f>IF($E1231=0,0,SUMPRODUCT($AI$14:$DF$14,'Staff Daily sales'!$G1216:$CD1216))</f>
        <v>0</v>
      </c>
      <c r="U1231">
        <f>IF($E1231=0,0,SUMPRODUCT($AI$15:$DF$15,'Staff Daily sales'!$G1216:$CD1216))</f>
        <v>0</v>
      </c>
      <c r="V1231">
        <f>IF($E1231=0,0,SUMPRODUCT($AI$16:$DF$16,'Staff Daily sales'!$G1216:$CD1216))</f>
        <v>0</v>
      </c>
      <c r="W1231">
        <f t="shared" si="319"/>
        <v>0</v>
      </c>
      <c r="X1231">
        <f t="shared" si="320"/>
        <v>0</v>
      </c>
      <c r="Y1231">
        <f t="shared" si="321"/>
        <v>0</v>
      </c>
      <c r="Z1231">
        <f t="shared" si="322"/>
        <v>0</v>
      </c>
      <c r="AA1231">
        <f t="shared" si="323"/>
        <v>0</v>
      </c>
      <c r="AB1231">
        <f>--AND($E1231=1,OR('Staff Weekly Trend'!$B$3="All",$DH1231='Staff Weekly Trend'!$B$3),OR('Staff Weekly Trend'!$B$4="All",$D1231='Staff Weekly Trend'!$B$4),OR('Staff Weekly Trend'!$B$5="All",$A1231='Staff Weekly Trend'!$B$5))</f>
        <v>0</v>
      </c>
      <c r="AC1231" t="str">
        <f t="shared" si="324"/>
        <v/>
      </c>
      <c r="AI1231">
        <f t="shared" si="325"/>
        <v>0</v>
      </c>
      <c r="AJ1231">
        <f t="shared" si="326"/>
        <v>0</v>
      </c>
      <c r="AK1231">
        <f t="shared" si="327"/>
        <v>0</v>
      </c>
      <c r="AL1231">
        <f t="shared" si="328"/>
        <v>0</v>
      </c>
      <c r="AM1231">
        <f t="shared" si="329"/>
        <v>0</v>
      </c>
      <c r="DH1231" t="str" cm="1">
        <f t="array" ref="DH1231">IF($A1231="","",_xlfn.LET(_xlpm.c,IFERROR(_xlfn.XLOOKUP($A1231,TRIM('Sales and count'!$A$4:$A$300&amp;""),TRIM('Sales and count'!$B$4:$B$300&amp;"")),""),IF(OR(_xlpm.c="",_xlpm.c="0",LEFT(_xlpm.c,1)="#"),"Not set",_xlpm.c)))</f>
        <v/>
      </c>
    </row>
    <row r="1232" spans="1:112" x14ac:dyDescent="0.25">
      <c r="A1232" t="str">
        <f>IF('Staff Daily sales'!$B1217="","",TRIM('Staff Daily sales'!$B1217&amp;""))</f>
        <v/>
      </c>
      <c r="B1232" t="str">
        <f>IF('Staff Daily sales'!$D1217="","",TRIM('Staff Daily sales'!$D1217&amp;""))</f>
        <v/>
      </c>
      <c r="C1232" t="str">
        <f>IFERROR(TRIM('Staff Daily sales'!$E1217&amp;""),"")</f>
        <v/>
      </c>
      <c r="D1232" t="str">
        <f>IFERROR(IF(TRIM('Staff Daily sales'!$F1217&amp;"")="","Unassigned",TRIM('Staff Daily sales'!$F1217&amp;"")),"Unassigned")</f>
        <v>Unassigned</v>
      </c>
      <c r="E1232">
        <f t="shared" si="314"/>
        <v>0</v>
      </c>
      <c r="F1232">
        <f>IF($E1232=0,0,SUMPRODUCT($AI$5:$DF$5,'Staff Daily sales'!$G1217:$CD1217))</f>
        <v>0</v>
      </c>
      <c r="G1232">
        <f>IF($E1232=0,0,SUMPRODUCT($AI$6:$DF$6,'Staff Daily sales'!$G1217:$CD1217))</f>
        <v>0</v>
      </c>
      <c r="H1232">
        <f t="shared" si="315"/>
        <v>0</v>
      </c>
      <c r="I1232">
        <f t="shared" si="316"/>
        <v>0</v>
      </c>
      <c r="J1232">
        <f t="shared" si="317"/>
        <v>0</v>
      </c>
      <c r="K1232">
        <f t="shared" si="318"/>
        <v>0</v>
      </c>
      <c r="L1232">
        <f>--AND($E1232=1,OR('Staff Dashboard'!$B$6="All",$DH1232='Staff Dashboard'!$B$6),OR('Staff Dashboard'!$B$7="All",$D1232='Staff Dashboard'!$B$7),OR('Staff Dashboard'!$B$8="All",$A1232='Staff Dashboard'!$B$8))</f>
        <v>0</v>
      </c>
      <c r="M1232">
        <f>IF($E1232=0,0,SUMPRODUCT($AI$7:$DF$7,'Staff Daily sales'!$G1217:$CD1217))</f>
        <v>0</v>
      </c>
      <c r="N1232">
        <f>IF($E1232=0,0,SUMPRODUCT($AI$8:$DF$8,'Staff Daily sales'!$G1217:$CD1217))</f>
        <v>0</v>
      </c>
      <c r="O1232">
        <f>IF($E1232=0,0,SUMPRODUCT($AI$9:$DF$9,'Staff Daily sales'!$G1217:$CD1217))</f>
        <v>0</v>
      </c>
      <c r="P1232">
        <f>IF($E1232=0,0,SUMPRODUCT($AI$10:$DF$10,'Staff Daily sales'!$G1217:$CD1217))</f>
        <v>0</v>
      </c>
      <c r="Q1232">
        <f>IF($E1232=0,0,SUMPRODUCT($AI$11:$DF$11,'Staff Daily sales'!$G1217:$CD1217))</f>
        <v>0</v>
      </c>
      <c r="R1232">
        <f>IF($E1232=0,0,SUMPRODUCT($AI$12:$DF$12,'Staff Daily sales'!$G1217:$CD1217))</f>
        <v>0</v>
      </c>
      <c r="S1232">
        <f>IF($E1232=0,0,SUMPRODUCT($AI$13:$DF$13,'Staff Daily sales'!$G1217:$CD1217))</f>
        <v>0</v>
      </c>
      <c r="T1232">
        <f>IF($E1232=0,0,SUMPRODUCT($AI$14:$DF$14,'Staff Daily sales'!$G1217:$CD1217))</f>
        <v>0</v>
      </c>
      <c r="U1232">
        <f>IF($E1232=0,0,SUMPRODUCT($AI$15:$DF$15,'Staff Daily sales'!$G1217:$CD1217))</f>
        <v>0</v>
      </c>
      <c r="V1232">
        <f>IF($E1232=0,0,SUMPRODUCT($AI$16:$DF$16,'Staff Daily sales'!$G1217:$CD1217))</f>
        <v>0</v>
      </c>
      <c r="W1232">
        <f t="shared" si="319"/>
        <v>0</v>
      </c>
      <c r="X1232">
        <f t="shared" si="320"/>
        <v>0</v>
      </c>
      <c r="Y1232">
        <f t="shared" si="321"/>
        <v>0</v>
      </c>
      <c r="Z1232">
        <f t="shared" si="322"/>
        <v>0</v>
      </c>
      <c r="AA1232">
        <f t="shared" si="323"/>
        <v>0</v>
      </c>
      <c r="AB1232">
        <f>--AND($E1232=1,OR('Staff Weekly Trend'!$B$3="All",$DH1232='Staff Weekly Trend'!$B$3),OR('Staff Weekly Trend'!$B$4="All",$D1232='Staff Weekly Trend'!$B$4),OR('Staff Weekly Trend'!$B$5="All",$A1232='Staff Weekly Trend'!$B$5))</f>
        <v>0</v>
      </c>
      <c r="AC1232" t="str">
        <f t="shared" si="324"/>
        <v/>
      </c>
      <c r="AI1232">
        <f t="shared" si="325"/>
        <v>0</v>
      </c>
      <c r="AJ1232">
        <f t="shared" si="326"/>
        <v>0</v>
      </c>
      <c r="AK1232">
        <f t="shared" si="327"/>
        <v>0</v>
      </c>
      <c r="AL1232">
        <f t="shared" si="328"/>
        <v>0</v>
      </c>
      <c r="AM1232">
        <f t="shared" si="329"/>
        <v>0</v>
      </c>
      <c r="DH1232" t="str" cm="1">
        <f t="array" ref="DH1232">IF($A1232="","",_xlfn.LET(_xlpm.c,IFERROR(_xlfn.XLOOKUP($A1232,TRIM('Sales and count'!$A$4:$A$300&amp;""),TRIM('Sales and count'!$B$4:$B$300&amp;"")),""),IF(OR(_xlpm.c="",_xlpm.c="0",LEFT(_xlpm.c,1)="#"),"Not set",_xlpm.c)))</f>
        <v/>
      </c>
    </row>
    <row r="1233" spans="1:112" x14ac:dyDescent="0.25">
      <c r="A1233" t="str">
        <f>IF('Staff Daily sales'!$B1218="","",TRIM('Staff Daily sales'!$B1218&amp;""))</f>
        <v/>
      </c>
      <c r="B1233" t="str">
        <f>IF('Staff Daily sales'!$D1218="","",TRIM('Staff Daily sales'!$D1218&amp;""))</f>
        <v/>
      </c>
      <c r="C1233" t="str">
        <f>IFERROR(TRIM('Staff Daily sales'!$E1218&amp;""),"")</f>
        <v/>
      </c>
      <c r="D1233" t="str">
        <f>IFERROR(IF(TRIM('Staff Daily sales'!$F1218&amp;"")="","Unassigned",TRIM('Staff Daily sales'!$F1218&amp;"")),"Unassigned")</f>
        <v>Unassigned</v>
      </c>
      <c r="E1233">
        <f t="shared" si="314"/>
        <v>0</v>
      </c>
      <c r="F1233">
        <f>IF($E1233=0,0,SUMPRODUCT($AI$5:$DF$5,'Staff Daily sales'!$G1218:$CD1218))</f>
        <v>0</v>
      </c>
      <c r="G1233">
        <f>IF($E1233=0,0,SUMPRODUCT($AI$6:$DF$6,'Staff Daily sales'!$G1218:$CD1218))</f>
        <v>0</v>
      </c>
      <c r="H1233">
        <f t="shared" si="315"/>
        <v>0</v>
      </c>
      <c r="I1233">
        <f t="shared" si="316"/>
        <v>0</v>
      </c>
      <c r="J1233">
        <f t="shared" si="317"/>
        <v>0</v>
      </c>
      <c r="K1233">
        <f t="shared" si="318"/>
        <v>0</v>
      </c>
      <c r="L1233">
        <f>--AND($E1233=1,OR('Staff Dashboard'!$B$6="All",$DH1233='Staff Dashboard'!$B$6),OR('Staff Dashboard'!$B$7="All",$D1233='Staff Dashboard'!$B$7),OR('Staff Dashboard'!$B$8="All",$A1233='Staff Dashboard'!$B$8))</f>
        <v>0</v>
      </c>
      <c r="M1233">
        <f>IF($E1233=0,0,SUMPRODUCT($AI$7:$DF$7,'Staff Daily sales'!$G1218:$CD1218))</f>
        <v>0</v>
      </c>
      <c r="N1233">
        <f>IF($E1233=0,0,SUMPRODUCT($AI$8:$DF$8,'Staff Daily sales'!$G1218:$CD1218))</f>
        <v>0</v>
      </c>
      <c r="O1233">
        <f>IF($E1233=0,0,SUMPRODUCT($AI$9:$DF$9,'Staff Daily sales'!$G1218:$CD1218))</f>
        <v>0</v>
      </c>
      <c r="P1233">
        <f>IF($E1233=0,0,SUMPRODUCT($AI$10:$DF$10,'Staff Daily sales'!$G1218:$CD1218))</f>
        <v>0</v>
      </c>
      <c r="Q1233">
        <f>IF($E1233=0,0,SUMPRODUCT($AI$11:$DF$11,'Staff Daily sales'!$G1218:$CD1218))</f>
        <v>0</v>
      </c>
      <c r="R1233">
        <f>IF($E1233=0,0,SUMPRODUCT($AI$12:$DF$12,'Staff Daily sales'!$G1218:$CD1218))</f>
        <v>0</v>
      </c>
      <c r="S1233">
        <f>IF($E1233=0,0,SUMPRODUCT($AI$13:$DF$13,'Staff Daily sales'!$G1218:$CD1218))</f>
        <v>0</v>
      </c>
      <c r="T1233">
        <f>IF($E1233=0,0,SUMPRODUCT($AI$14:$DF$14,'Staff Daily sales'!$G1218:$CD1218))</f>
        <v>0</v>
      </c>
      <c r="U1233">
        <f>IF($E1233=0,0,SUMPRODUCT($AI$15:$DF$15,'Staff Daily sales'!$G1218:$CD1218))</f>
        <v>0</v>
      </c>
      <c r="V1233">
        <f>IF($E1233=0,0,SUMPRODUCT($AI$16:$DF$16,'Staff Daily sales'!$G1218:$CD1218))</f>
        <v>0</v>
      </c>
      <c r="W1233">
        <f t="shared" si="319"/>
        <v>0</v>
      </c>
      <c r="X1233">
        <f t="shared" si="320"/>
        <v>0</v>
      </c>
      <c r="Y1233">
        <f t="shared" si="321"/>
        <v>0</v>
      </c>
      <c r="Z1233">
        <f t="shared" si="322"/>
        <v>0</v>
      </c>
      <c r="AA1233">
        <f t="shared" si="323"/>
        <v>0</v>
      </c>
      <c r="AB1233">
        <f>--AND($E1233=1,OR('Staff Weekly Trend'!$B$3="All",$DH1233='Staff Weekly Trend'!$B$3),OR('Staff Weekly Trend'!$B$4="All",$D1233='Staff Weekly Trend'!$B$4),OR('Staff Weekly Trend'!$B$5="All",$A1233='Staff Weekly Trend'!$B$5))</f>
        <v>0</v>
      </c>
      <c r="AC1233" t="str">
        <f t="shared" si="324"/>
        <v/>
      </c>
      <c r="AI1233">
        <f t="shared" si="325"/>
        <v>0</v>
      </c>
      <c r="AJ1233">
        <f t="shared" si="326"/>
        <v>0</v>
      </c>
      <c r="AK1233">
        <f t="shared" si="327"/>
        <v>0</v>
      </c>
      <c r="AL1233">
        <f t="shared" si="328"/>
        <v>0</v>
      </c>
      <c r="AM1233">
        <f t="shared" si="329"/>
        <v>0</v>
      </c>
      <c r="DH1233" t="str" cm="1">
        <f t="array" ref="DH1233">IF($A1233="","",_xlfn.LET(_xlpm.c,IFERROR(_xlfn.XLOOKUP($A1233,TRIM('Sales and count'!$A$4:$A$300&amp;""),TRIM('Sales and count'!$B$4:$B$300&amp;"")),""),IF(OR(_xlpm.c="",_xlpm.c="0",LEFT(_xlpm.c,1)="#"),"Not set",_xlpm.c)))</f>
        <v/>
      </c>
    </row>
    <row r="1234" spans="1:112" x14ac:dyDescent="0.25">
      <c r="A1234" t="str">
        <f>IF('Staff Daily sales'!$B1219="","",TRIM('Staff Daily sales'!$B1219&amp;""))</f>
        <v/>
      </c>
      <c r="B1234" t="str">
        <f>IF('Staff Daily sales'!$D1219="","",TRIM('Staff Daily sales'!$D1219&amp;""))</f>
        <v/>
      </c>
      <c r="C1234" t="str">
        <f>IFERROR(TRIM('Staff Daily sales'!$E1219&amp;""),"")</f>
        <v/>
      </c>
      <c r="D1234" t="str">
        <f>IFERROR(IF(TRIM('Staff Daily sales'!$F1219&amp;"")="","Unassigned",TRIM('Staff Daily sales'!$F1219&amp;"")),"Unassigned")</f>
        <v>Unassigned</v>
      </c>
      <c r="E1234">
        <f t="shared" si="314"/>
        <v>0</v>
      </c>
      <c r="F1234">
        <f>IF($E1234=0,0,SUMPRODUCT($AI$5:$DF$5,'Staff Daily sales'!$G1219:$CD1219))</f>
        <v>0</v>
      </c>
      <c r="G1234">
        <f>IF($E1234=0,0,SUMPRODUCT($AI$6:$DF$6,'Staff Daily sales'!$G1219:$CD1219))</f>
        <v>0</v>
      </c>
      <c r="H1234">
        <f t="shared" si="315"/>
        <v>0</v>
      </c>
      <c r="I1234">
        <f t="shared" si="316"/>
        <v>0</v>
      </c>
      <c r="J1234">
        <f t="shared" si="317"/>
        <v>0</v>
      </c>
      <c r="K1234">
        <f t="shared" si="318"/>
        <v>0</v>
      </c>
      <c r="L1234">
        <f>--AND($E1234=1,OR('Staff Dashboard'!$B$6="All",$DH1234='Staff Dashboard'!$B$6),OR('Staff Dashboard'!$B$7="All",$D1234='Staff Dashboard'!$B$7),OR('Staff Dashboard'!$B$8="All",$A1234='Staff Dashboard'!$B$8))</f>
        <v>0</v>
      </c>
      <c r="M1234">
        <f>IF($E1234=0,0,SUMPRODUCT($AI$7:$DF$7,'Staff Daily sales'!$G1219:$CD1219))</f>
        <v>0</v>
      </c>
      <c r="N1234">
        <f>IF($E1234=0,0,SUMPRODUCT($AI$8:$DF$8,'Staff Daily sales'!$G1219:$CD1219))</f>
        <v>0</v>
      </c>
      <c r="O1234">
        <f>IF($E1234=0,0,SUMPRODUCT($AI$9:$DF$9,'Staff Daily sales'!$G1219:$CD1219))</f>
        <v>0</v>
      </c>
      <c r="P1234">
        <f>IF($E1234=0,0,SUMPRODUCT($AI$10:$DF$10,'Staff Daily sales'!$G1219:$CD1219))</f>
        <v>0</v>
      </c>
      <c r="Q1234">
        <f>IF($E1234=0,0,SUMPRODUCT($AI$11:$DF$11,'Staff Daily sales'!$G1219:$CD1219))</f>
        <v>0</v>
      </c>
      <c r="R1234">
        <f>IF($E1234=0,0,SUMPRODUCT($AI$12:$DF$12,'Staff Daily sales'!$G1219:$CD1219))</f>
        <v>0</v>
      </c>
      <c r="S1234">
        <f>IF($E1234=0,0,SUMPRODUCT($AI$13:$DF$13,'Staff Daily sales'!$G1219:$CD1219))</f>
        <v>0</v>
      </c>
      <c r="T1234">
        <f>IF($E1234=0,0,SUMPRODUCT($AI$14:$DF$14,'Staff Daily sales'!$G1219:$CD1219))</f>
        <v>0</v>
      </c>
      <c r="U1234">
        <f>IF($E1234=0,0,SUMPRODUCT($AI$15:$DF$15,'Staff Daily sales'!$G1219:$CD1219))</f>
        <v>0</v>
      </c>
      <c r="V1234">
        <f>IF($E1234=0,0,SUMPRODUCT($AI$16:$DF$16,'Staff Daily sales'!$G1219:$CD1219))</f>
        <v>0</v>
      </c>
      <c r="W1234">
        <f t="shared" si="319"/>
        <v>0</v>
      </c>
      <c r="X1234">
        <f t="shared" si="320"/>
        <v>0</v>
      </c>
      <c r="Y1234">
        <f t="shared" si="321"/>
        <v>0</v>
      </c>
      <c r="Z1234">
        <f t="shared" si="322"/>
        <v>0</v>
      </c>
      <c r="AA1234">
        <f t="shared" si="323"/>
        <v>0</v>
      </c>
      <c r="AB1234">
        <f>--AND($E1234=1,OR('Staff Weekly Trend'!$B$3="All",$DH1234='Staff Weekly Trend'!$B$3),OR('Staff Weekly Trend'!$B$4="All",$D1234='Staff Weekly Trend'!$B$4),OR('Staff Weekly Trend'!$B$5="All",$A1234='Staff Weekly Trend'!$B$5))</f>
        <v>0</v>
      </c>
      <c r="AC1234" t="str">
        <f t="shared" si="324"/>
        <v/>
      </c>
      <c r="AI1234">
        <f t="shared" si="325"/>
        <v>0</v>
      </c>
      <c r="AJ1234">
        <f t="shared" si="326"/>
        <v>0</v>
      </c>
      <c r="AK1234">
        <f t="shared" si="327"/>
        <v>0</v>
      </c>
      <c r="AL1234">
        <f t="shared" si="328"/>
        <v>0</v>
      </c>
      <c r="AM1234">
        <f t="shared" si="329"/>
        <v>0</v>
      </c>
      <c r="DH1234" t="str" cm="1">
        <f t="array" ref="DH1234">IF($A1234="","",_xlfn.LET(_xlpm.c,IFERROR(_xlfn.XLOOKUP($A1234,TRIM('Sales and count'!$A$4:$A$300&amp;""),TRIM('Sales and count'!$B$4:$B$300&amp;"")),""),IF(OR(_xlpm.c="",_xlpm.c="0",LEFT(_xlpm.c,1)="#"),"Not set",_xlpm.c)))</f>
        <v/>
      </c>
    </row>
    <row r="1235" spans="1:112" x14ac:dyDescent="0.25">
      <c r="A1235" t="str">
        <f>IF('Staff Daily sales'!$B1220="","",TRIM('Staff Daily sales'!$B1220&amp;""))</f>
        <v/>
      </c>
      <c r="B1235" t="str">
        <f>IF('Staff Daily sales'!$D1220="","",TRIM('Staff Daily sales'!$D1220&amp;""))</f>
        <v/>
      </c>
      <c r="C1235" t="str">
        <f>IFERROR(TRIM('Staff Daily sales'!$E1220&amp;""),"")</f>
        <v/>
      </c>
      <c r="D1235" t="str">
        <f>IFERROR(IF(TRIM('Staff Daily sales'!$F1220&amp;"")="","Unassigned",TRIM('Staff Daily sales'!$F1220&amp;"")),"Unassigned")</f>
        <v>Unassigned</v>
      </c>
      <c r="E1235">
        <f t="shared" si="314"/>
        <v>0</v>
      </c>
      <c r="F1235">
        <f>IF($E1235=0,0,SUMPRODUCT($AI$5:$DF$5,'Staff Daily sales'!$G1220:$CD1220))</f>
        <v>0</v>
      </c>
      <c r="G1235">
        <f>IF($E1235=0,0,SUMPRODUCT($AI$6:$DF$6,'Staff Daily sales'!$G1220:$CD1220))</f>
        <v>0</v>
      </c>
      <c r="H1235">
        <f t="shared" si="315"/>
        <v>0</v>
      </c>
      <c r="I1235">
        <f t="shared" si="316"/>
        <v>0</v>
      </c>
      <c r="J1235">
        <f t="shared" si="317"/>
        <v>0</v>
      </c>
      <c r="K1235">
        <f t="shared" si="318"/>
        <v>0</v>
      </c>
      <c r="L1235">
        <f>--AND($E1235=1,OR('Staff Dashboard'!$B$6="All",$DH1235='Staff Dashboard'!$B$6),OR('Staff Dashboard'!$B$7="All",$D1235='Staff Dashboard'!$B$7),OR('Staff Dashboard'!$B$8="All",$A1235='Staff Dashboard'!$B$8))</f>
        <v>0</v>
      </c>
      <c r="M1235">
        <f>IF($E1235=0,0,SUMPRODUCT($AI$7:$DF$7,'Staff Daily sales'!$G1220:$CD1220))</f>
        <v>0</v>
      </c>
      <c r="N1235">
        <f>IF($E1235=0,0,SUMPRODUCT($AI$8:$DF$8,'Staff Daily sales'!$G1220:$CD1220))</f>
        <v>0</v>
      </c>
      <c r="O1235">
        <f>IF($E1235=0,0,SUMPRODUCT($AI$9:$DF$9,'Staff Daily sales'!$G1220:$CD1220))</f>
        <v>0</v>
      </c>
      <c r="P1235">
        <f>IF($E1235=0,0,SUMPRODUCT($AI$10:$DF$10,'Staff Daily sales'!$G1220:$CD1220))</f>
        <v>0</v>
      </c>
      <c r="Q1235">
        <f>IF($E1235=0,0,SUMPRODUCT($AI$11:$DF$11,'Staff Daily sales'!$G1220:$CD1220))</f>
        <v>0</v>
      </c>
      <c r="R1235">
        <f>IF($E1235=0,0,SUMPRODUCT($AI$12:$DF$12,'Staff Daily sales'!$G1220:$CD1220))</f>
        <v>0</v>
      </c>
      <c r="S1235">
        <f>IF($E1235=0,0,SUMPRODUCT($AI$13:$DF$13,'Staff Daily sales'!$G1220:$CD1220))</f>
        <v>0</v>
      </c>
      <c r="T1235">
        <f>IF($E1235=0,0,SUMPRODUCT($AI$14:$DF$14,'Staff Daily sales'!$G1220:$CD1220))</f>
        <v>0</v>
      </c>
      <c r="U1235">
        <f>IF($E1235=0,0,SUMPRODUCT($AI$15:$DF$15,'Staff Daily sales'!$G1220:$CD1220))</f>
        <v>0</v>
      </c>
      <c r="V1235">
        <f>IF($E1235=0,0,SUMPRODUCT($AI$16:$DF$16,'Staff Daily sales'!$G1220:$CD1220))</f>
        <v>0</v>
      </c>
      <c r="W1235">
        <f t="shared" si="319"/>
        <v>0</v>
      </c>
      <c r="X1235">
        <f t="shared" si="320"/>
        <v>0</v>
      </c>
      <c r="Y1235">
        <f t="shared" si="321"/>
        <v>0</v>
      </c>
      <c r="Z1235">
        <f t="shared" si="322"/>
        <v>0</v>
      </c>
      <c r="AA1235">
        <f t="shared" si="323"/>
        <v>0</v>
      </c>
      <c r="AB1235">
        <f>--AND($E1235=1,OR('Staff Weekly Trend'!$B$3="All",$DH1235='Staff Weekly Trend'!$B$3),OR('Staff Weekly Trend'!$B$4="All",$D1235='Staff Weekly Trend'!$B$4),OR('Staff Weekly Trend'!$B$5="All",$A1235='Staff Weekly Trend'!$B$5))</f>
        <v>0</v>
      </c>
      <c r="AC1235" t="str">
        <f t="shared" si="324"/>
        <v/>
      </c>
      <c r="AI1235">
        <f t="shared" si="325"/>
        <v>0</v>
      </c>
      <c r="AJ1235">
        <f t="shared" si="326"/>
        <v>0</v>
      </c>
      <c r="AK1235">
        <f t="shared" si="327"/>
        <v>0</v>
      </c>
      <c r="AL1235">
        <f t="shared" si="328"/>
        <v>0</v>
      </c>
      <c r="AM1235">
        <f t="shared" si="329"/>
        <v>0</v>
      </c>
      <c r="DH1235" t="str" cm="1">
        <f t="array" ref="DH1235">IF($A1235="","",_xlfn.LET(_xlpm.c,IFERROR(_xlfn.XLOOKUP($A1235,TRIM('Sales and count'!$A$4:$A$300&amp;""),TRIM('Sales and count'!$B$4:$B$300&amp;"")),""),IF(OR(_xlpm.c="",_xlpm.c="0",LEFT(_xlpm.c,1)="#"),"Not set",_xlpm.c)))</f>
        <v/>
      </c>
    </row>
    <row r="1236" spans="1:112" x14ac:dyDescent="0.25">
      <c r="A1236" t="str">
        <f>IF('Staff Daily sales'!$B1221="","",TRIM('Staff Daily sales'!$B1221&amp;""))</f>
        <v/>
      </c>
      <c r="B1236" t="str">
        <f>IF('Staff Daily sales'!$D1221="","",TRIM('Staff Daily sales'!$D1221&amp;""))</f>
        <v/>
      </c>
      <c r="C1236" t="str">
        <f>IFERROR(TRIM('Staff Daily sales'!$E1221&amp;""),"")</f>
        <v/>
      </c>
      <c r="D1236" t="str">
        <f>IFERROR(IF(TRIM('Staff Daily sales'!$F1221&amp;"")="","Unassigned",TRIM('Staff Daily sales'!$F1221&amp;"")),"Unassigned")</f>
        <v>Unassigned</v>
      </c>
      <c r="E1236">
        <f t="shared" ref="E1236:E1299" si="330">--AND($A1236&lt;&gt;"",$B1236&lt;&gt;"")</f>
        <v>0</v>
      </c>
      <c r="F1236">
        <f>IF($E1236=0,0,SUMPRODUCT($AI$5:$DF$5,'Staff Daily sales'!$G1221:$CD1221))</f>
        <v>0</v>
      </c>
      <c r="G1236">
        <f>IF($E1236=0,0,SUMPRODUCT($AI$6:$DF$6,'Staff Daily sales'!$G1221:$CD1221))</f>
        <v>0</v>
      </c>
      <c r="H1236">
        <f t="shared" ref="H1236:H1299" si="331">IF($E1236=0,0,SUMIFS($F$20:$F$1515,$A$20:$A$1515,$A1236))</f>
        <v>0</v>
      </c>
      <c r="I1236">
        <f t="shared" ref="I1236:I1299" si="332">IF($E1236=0,0,SUMIFS($G$20:$G$1515,$A$20:$A$1515,$A1236))</f>
        <v>0</v>
      </c>
      <c r="J1236">
        <f t="shared" ref="J1236:J1299" si="333">IF($E1236=0,0,SUMIFS($F$20:$F$1515,$D$20:$D$1515,$D1236))</f>
        <v>0</v>
      </c>
      <c r="K1236">
        <f t="shared" ref="K1236:K1299" si="334">IF($E1236=0,0,SUMIFS($G$20:$G$1515,$D$20:$D$1515,$D1236))</f>
        <v>0</v>
      </c>
      <c r="L1236">
        <f>--AND($E1236=1,OR('Staff Dashboard'!$B$6="All",$DH1236='Staff Dashboard'!$B$6),OR('Staff Dashboard'!$B$7="All",$D1236='Staff Dashboard'!$B$7),OR('Staff Dashboard'!$B$8="All",$A1236='Staff Dashboard'!$B$8))</f>
        <v>0</v>
      </c>
      <c r="M1236">
        <f>IF($E1236=0,0,SUMPRODUCT($AI$7:$DF$7,'Staff Daily sales'!$G1221:$CD1221))</f>
        <v>0</v>
      </c>
      <c r="N1236">
        <f>IF($E1236=0,0,SUMPRODUCT($AI$8:$DF$8,'Staff Daily sales'!$G1221:$CD1221))</f>
        <v>0</v>
      </c>
      <c r="O1236">
        <f>IF($E1236=0,0,SUMPRODUCT($AI$9:$DF$9,'Staff Daily sales'!$G1221:$CD1221))</f>
        <v>0</v>
      </c>
      <c r="P1236">
        <f>IF($E1236=0,0,SUMPRODUCT($AI$10:$DF$10,'Staff Daily sales'!$G1221:$CD1221))</f>
        <v>0</v>
      </c>
      <c r="Q1236">
        <f>IF($E1236=0,0,SUMPRODUCT($AI$11:$DF$11,'Staff Daily sales'!$G1221:$CD1221))</f>
        <v>0</v>
      </c>
      <c r="R1236">
        <f>IF($E1236=0,0,SUMPRODUCT($AI$12:$DF$12,'Staff Daily sales'!$G1221:$CD1221))</f>
        <v>0</v>
      </c>
      <c r="S1236">
        <f>IF($E1236=0,0,SUMPRODUCT($AI$13:$DF$13,'Staff Daily sales'!$G1221:$CD1221))</f>
        <v>0</v>
      </c>
      <c r="T1236">
        <f>IF($E1236=0,0,SUMPRODUCT($AI$14:$DF$14,'Staff Daily sales'!$G1221:$CD1221))</f>
        <v>0</v>
      </c>
      <c r="U1236">
        <f>IF($E1236=0,0,SUMPRODUCT($AI$15:$DF$15,'Staff Daily sales'!$G1221:$CD1221))</f>
        <v>0</v>
      </c>
      <c r="V1236">
        <f>IF($E1236=0,0,SUMPRODUCT($AI$16:$DF$16,'Staff Daily sales'!$G1221:$CD1221))</f>
        <v>0</v>
      </c>
      <c r="W1236">
        <f t="shared" ref="W1236:W1299" si="335">IF($E1236=0,0,SUMIFS(M$20:M$1515,$A$20:$A$1515,$A1236))</f>
        <v>0</v>
      </c>
      <c r="X1236">
        <f t="shared" ref="X1236:X1299" si="336">IF($E1236=0,0,SUMIFS(O$20:O$1515,$A$20:$A$1515,$A1236))</f>
        <v>0</v>
      </c>
      <c r="Y1236">
        <f t="shared" ref="Y1236:Y1299" si="337">IF($E1236=0,0,SUMIFS(Q$20:Q$1515,$A$20:$A$1515,$A1236))</f>
        <v>0</v>
      </c>
      <c r="Z1236">
        <f t="shared" ref="Z1236:Z1299" si="338">IF($E1236=0,0,SUMIFS(S$20:S$1515,$A$20:$A$1515,$A1236))</f>
        <v>0</v>
      </c>
      <c r="AA1236">
        <f t="shared" ref="AA1236:AA1299" si="339">IF($E1236=0,0,SUMIFS(U$20:U$1515,$A$20:$A$1515,$A1236))</f>
        <v>0</v>
      </c>
      <c r="AB1236">
        <f>--AND($E1236=1,OR('Staff Weekly Trend'!$B$3="All",$DH1236='Staff Weekly Trend'!$B$3),OR('Staff Weekly Trend'!$B$4="All",$D1236='Staff Weekly Trend'!$B$4),OR('Staff Weekly Trend'!$B$5="All",$A1236='Staff Weekly Trend'!$B$5))</f>
        <v>0</v>
      </c>
      <c r="AC1236" t="str">
        <f t="shared" ref="AC1236:AC1299" si="340">IF(OR($E1236=0,AND($F1236=0,$G1236=0)),"",COUNTIFS($A$20:$A$1515,$A1236,$E$20:$E$1515,1,$F$20:$F$1515,"&gt;"&amp;$F1236)+1)</f>
        <v/>
      </c>
      <c r="AI1236">
        <f t="shared" ref="AI1236:AI1299" si="341">IF($E1236=0,0,SUMIFS(N$20:N$1515,$A$20:$A$1515,$A1236))</f>
        <v>0</v>
      </c>
      <c r="AJ1236">
        <f t="shared" ref="AJ1236:AJ1299" si="342">IF($E1236=0,0,SUMIFS(P$20:P$1515,$A$20:$A$1515,$A1236))</f>
        <v>0</v>
      </c>
      <c r="AK1236">
        <f t="shared" ref="AK1236:AK1299" si="343">IF($E1236=0,0,SUMIFS(R$20:R$1515,$A$20:$A$1515,$A1236))</f>
        <v>0</v>
      </c>
      <c r="AL1236">
        <f t="shared" ref="AL1236:AL1299" si="344">IF($E1236=0,0,SUMIFS(T$20:T$1515,$A$20:$A$1515,$A1236))</f>
        <v>0</v>
      </c>
      <c r="AM1236">
        <f t="shared" ref="AM1236:AM1299" si="345">IF($E1236=0,0,SUMIFS(V$20:V$1515,$A$20:$A$1515,$A1236))</f>
        <v>0</v>
      </c>
      <c r="DH1236" t="str" cm="1">
        <f t="array" ref="DH1236">IF($A1236="","",_xlfn.LET(_xlpm.c,IFERROR(_xlfn.XLOOKUP($A1236,TRIM('Sales and count'!$A$4:$A$300&amp;""),TRIM('Sales and count'!$B$4:$B$300&amp;"")),""),IF(OR(_xlpm.c="",_xlpm.c="0",LEFT(_xlpm.c,1)="#"),"Not set",_xlpm.c)))</f>
        <v/>
      </c>
    </row>
    <row r="1237" spans="1:112" x14ac:dyDescent="0.25">
      <c r="A1237" t="str">
        <f>IF('Staff Daily sales'!$B1222="","",TRIM('Staff Daily sales'!$B1222&amp;""))</f>
        <v/>
      </c>
      <c r="B1237" t="str">
        <f>IF('Staff Daily sales'!$D1222="","",TRIM('Staff Daily sales'!$D1222&amp;""))</f>
        <v/>
      </c>
      <c r="C1237" t="str">
        <f>IFERROR(TRIM('Staff Daily sales'!$E1222&amp;""),"")</f>
        <v/>
      </c>
      <c r="D1237" t="str">
        <f>IFERROR(IF(TRIM('Staff Daily sales'!$F1222&amp;"")="","Unassigned",TRIM('Staff Daily sales'!$F1222&amp;"")),"Unassigned")</f>
        <v>Unassigned</v>
      </c>
      <c r="E1237">
        <f t="shared" si="330"/>
        <v>0</v>
      </c>
      <c r="F1237">
        <f>IF($E1237=0,0,SUMPRODUCT($AI$5:$DF$5,'Staff Daily sales'!$G1222:$CD1222))</f>
        <v>0</v>
      </c>
      <c r="G1237">
        <f>IF($E1237=0,0,SUMPRODUCT($AI$6:$DF$6,'Staff Daily sales'!$G1222:$CD1222))</f>
        <v>0</v>
      </c>
      <c r="H1237">
        <f t="shared" si="331"/>
        <v>0</v>
      </c>
      <c r="I1237">
        <f t="shared" si="332"/>
        <v>0</v>
      </c>
      <c r="J1237">
        <f t="shared" si="333"/>
        <v>0</v>
      </c>
      <c r="K1237">
        <f t="shared" si="334"/>
        <v>0</v>
      </c>
      <c r="L1237">
        <f>--AND($E1237=1,OR('Staff Dashboard'!$B$6="All",$DH1237='Staff Dashboard'!$B$6),OR('Staff Dashboard'!$B$7="All",$D1237='Staff Dashboard'!$B$7),OR('Staff Dashboard'!$B$8="All",$A1237='Staff Dashboard'!$B$8))</f>
        <v>0</v>
      </c>
      <c r="M1237">
        <f>IF($E1237=0,0,SUMPRODUCT($AI$7:$DF$7,'Staff Daily sales'!$G1222:$CD1222))</f>
        <v>0</v>
      </c>
      <c r="N1237">
        <f>IF($E1237=0,0,SUMPRODUCT($AI$8:$DF$8,'Staff Daily sales'!$G1222:$CD1222))</f>
        <v>0</v>
      </c>
      <c r="O1237">
        <f>IF($E1237=0,0,SUMPRODUCT($AI$9:$DF$9,'Staff Daily sales'!$G1222:$CD1222))</f>
        <v>0</v>
      </c>
      <c r="P1237">
        <f>IF($E1237=0,0,SUMPRODUCT($AI$10:$DF$10,'Staff Daily sales'!$G1222:$CD1222))</f>
        <v>0</v>
      </c>
      <c r="Q1237">
        <f>IF($E1237=0,0,SUMPRODUCT($AI$11:$DF$11,'Staff Daily sales'!$G1222:$CD1222))</f>
        <v>0</v>
      </c>
      <c r="R1237">
        <f>IF($E1237=0,0,SUMPRODUCT($AI$12:$DF$12,'Staff Daily sales'!$G1222:$CD1222))</f>
        <v>0</v>
      </c>
      <c r="S1237">
        <f>IF($E1237=0,0,SUMPRODUCT($AI$13:$DF$13,'Staff Daily sales'!$G1222:$CD1222))</f>
        <v>0</v>
      </c>
      <c r="T1237">
        <f>IF($E1237=0,0,SUMPRODUCT($AI$14:$DF$14,'Staff Daily sales'!$G1222:$CD1222))</f>
        <v>0</v>
      </c>
      <c r="U1237">
        <f>IF($E1237=0,0,SUMPRODUCT($AI$15:$DF$15,'Staff Daily sales'!$G1222:$CD1222))</f>
        <v>0</v>
      </c>
      <c r="V1237">
        <f>IF($E1237=0,0,SUMPRODUCT($AI$16:$DF$16,'Staff Daily sales'!$G1222:$CD1222))</f>
        <v>0</v>
      </c>
      <c r="W1237">
        <f t="shared" si="335"/>
        <v>0</v>
      </c>
      <c r="X1237">
        <f t="shared" si="336"/>
        <v>0</v>
      </c>
      <c r="Y1237">
        <f t="shared" si="337"/>
        <v>0</v>
      </c>
      <c r="Z1237">
        <f t="shared" si="338"/>
        <v>0</v>
      </c>
      <c r="AA1237">
        <f t="shared" si="339"/>
        <v>0</v>
      </c>
      <c r="AB1237">
        <f>--AND($E1237=1,OR('Staff Weekly Trend'!$B$3="All",$DH1237='Staff Weekly Trend'!$B$3),OR('Staff Weekly Trend'!$B$4="All",$D1237='Staff Weekly Trend'!$B$4),OR('Staff Weekly Trend'!$B$5="All",$A1237='Staff Weekly Trend'!$B$5))</f>
        <v>0</v>
      </c>
      <c r="AC1237" t="str">
        <f t="shared" si="340"/>
        <v/>
      </c>
      <c r="AI1237">
        <f t="shared" si="341"/>
        <v>0</v>
      </c>
      <c r="AJ1237">
        <f t="shared" si="342"/>
        <v>0</v>
      </c>
      <c r="AK1237">
        <f t="shared" si="343"/>
        <v>0</v>
      </c>
      <c r="AL1237">
        <f t="shared" si="344"/>
        <v>0</v>
      </c>
      <c r="AM1237">
        <f t="shared" si="345"/>
        <v>0</v>
      </c>
      <c r="DH1237" t="str" cm="1">
        <f t="array" ref="DH1237">IF($A1237="","",_xlfn.LET(_xlpm.c,IFERROR(_xlfn.XLOOKUP($A1237,TRIM('Sales and count'!$A$4:$A$300&amp;""),TRIM('Sales and count'!$B$4:$B$300&amp;"")),""),IF(OR(_xlpm.c="",_xlpm.c="0",LEFT(_xlpm.c,1)="#"),"Not set",_xlpm.c)))</f>
        <v/>
      </c>
    </row>
    <row r="1238" spans="1:112" x14ac:dyDescent="0.25">
      <c r="A1238" t="str">
        <f>IF('Staff Daily sales'!$B1223="","",TRIM('Staff Daily sales'!$B1223&amp;""))</f>
        <v/>
      </c>
      <c r="B1238" t="str">
        <f>IF('Staff Daily sales'!$D1223="","",TRIM('Staff Daily sales'!$D1223&amp;""))</f>
        <v/>
      </c>
      <c r="C1238" t="str">
        <f>IFERROR(TRIM('Staff Daily sales'!$E1223&amp;""),"")</f>
        <v/>
      </c>
      <c r="D1238" t="str">
        <f>IFERROR(IF(TRIM('Staff Daily sales'!$F1223&amp;"")="","Unassigned",TRIM('Staff Daily sales'!$F1223&amp;"")),"Unassigned")</f>
        <v>Unassigned</v>
      </c>
      <c r="E1238">
        <f t="shared" si="330"/>
        <v>0</v>
      </c>
      <c r="F1238">
        <f>IF($E1238=0,0,SUMPRODUCT($AI$5:$DF$5,'Staff Daily sales'!$G1223:$CD1223))</f>
        <v>0</v>
      </c>
      <c r="G1238">
        <f>IF($E1238=0,0,SUMPRODUCT($AI$6:$DF$6,'Staff Daily sales'!$G1223:$CD1223))</f>
        <v>0</v>
      </c>
      <c r="H1238">
        <f t="shared" si="331"/>
        <v>0</v>
      </c>
      <c r="I1238">
        <f t="shared" si="332"/>
        <v>0</v>
      </c>
      <c r="J1238">
        <f t="shared" si="333"/>
        <v>0</v>
      </c>
      <c r="K1238">
        <f t="shared" si="334"/>
        <v>0</v>
      </c>
      <c r="L1238">
        <f>--AND($E1238=1,OR('Staff Dashboard'!$B$6="All",$DH1238='Staff Dashboard'!$B$6),OR('Staff Dashboard'!$B$7="All",$D1238='Staff Dashboard'!$B$7),OR('Staff Dashboard'!$B$8="All",$A1238='Staff Dashboard'!$B$8))</f>
        <v>0</v>
      </c>
      <c r="M1238">
        <f>IF($E1238=0,0,SUMPRODUCT($AI$7:$DF$7,'Staff Daily sales'!$G1223:$CD1223))</f>
        <v>0</v>
      </c>
      <c r="N1238">
        <f>IF($E1238=0,0,SUMPRODUCT($AI$8:$DF$8,'Staff Daily sales'!$G1223:$CD1223))</f>
        <v>0</v>
      </c>
      <c r="O1238">
        <f>IF($E1238=0,0,SUMPRODUCT($AI$9:$DF$9,'Staff Daily sales'!$G1223:$CD1223))</f>
        <v>0</v>
      </c>
      <c r="P1238">
        <f>IF($E1238=0,0,SUMPRODUCT($AI$10:$DF$10,'Staff Daily sales'!$G1223:$CD1223))</f>
        <v>0</v>
      </c>
      <c r="Q1238">
        <f>IF($E1238=0,0,SUMPRODUCT($AI$11:$DF$11,'Staff Daily sales'!$G1223:$CD1223))</f>
        <v>0</v>
      </c>
      <c r="R1238">
        <f>IF($E1238=0,0,SUMPRODUCT($AI$12:$DF$12,'Staff Daily sales'!$G1223:$CD1223))</f>
        <v>0</v>
      </c>
      <c r="S1238">
        <f>IF($E1238=0,0,SUMPRODUCT($AI$13:$DF$13,'Staff Daily sales'!$G1223:$CD1223))</f>
        <v>0</v>
      </c>
      <c r="T1238">
        <f>IF($E1238=0,0,SUMPRODUCT($AI$14:$DF$14,'Staff Daily sales'!$G1223:$CD1223))</f>
        <v>0</v>
      </c>
      <c r="U1238">
        <f>IF($E1238=0,0,SUMPRODUCT($AI$15:$DF$15,'Staff Daily sales'!$G1223:$CD1223))</f>
        <v>0</v>
      </c>
      <c r="V1238">
        <f>IF($E1238=0,0,SUMPRODUCT($AI$16:$DF$16,'Staff Daily sales'!$G1223:$CD1223))</f>
        <v>0</v>
      </c>
      <c r="W1238">
        <f t="shared" si="335"/>
        <v>0</v>
      </c>
      <c r="X1238">
        <f t="shared" si="336"/>
        <v>0</v>
      </c>
      <c r="Y1238">
        <f t="shared" si="337"/>
        <v>0</v>
      </c>
      <c r="Z1238">
        <f t="shared" si="338"/>
        <v>0</v>
      </c>
      <c r="AA1238">
        <f t="shared" si="339"/>
        <v>0</v>
      </c>
      <c r="AB1238">
        <f>--AND($E1238=1,OR('Staff Weekly Trend'!$B$3="All",$DH1238='Staff Weekly Trend'!$B$3),OR('Staff Weekly Trend'!$B$4="All",$D1238='Staff Weekly Trend'!$B$4),OR('Staff Weekly Trend'!$B$5="All",$A1238='Staff Weekly Trend'!$B$5))</f>
        <v>0</v>
      </c>
      <c r="AC1238" t="str">
        <f t="shared" si="340"/>
        <v/>
      </c>
      <c r="AI1238">
        <f t="shared" si="341"/>
        <v>0</v>
      </c>
      <c r="AJ1238">
        <f t="shared" si="342"/>
        <v>0</v>
      </c>
      <c r="AK1238">
        <f t="shared" si="343"/>
        <v>0</v>
      </c>
      <c r="AL1238">
        <f t="shared" si="344"/>
        <v>0</v>
      </c>
      <c r="AM1238">
        <f t="shared" si="345"/>
        <v>0</v>
      </c>
      <c r="DH1238" t="str" cm="1">
        <f t="array" ref="DH1238">IF($A1238="","",_xlfn.LET(_xlpm.c,IFERROR(_xlfn.XLOOKUP($A1238,TRIM('Sales and count'!$A$4:$A$300&amp;""),TRIM('Sales and count'!$B$4:$B$300&amp;"")),""),IF(OR(_xlpm.c="",_xlpm.c="0",LEFT(_xlpm.c,1)="#"),"Not set",_xlpm.c)))</f>
        <v/>
      </c>
    </row>
    <row r="1239" spans="1:112" x14ac:dyDescent="0.25">
      <c r="A1239" t="str">
        <f>IF('Staff Daily sales'!$B1224="","",TRIM('Staff Daily sales'!$B1224&amp;""))</f>
        <v/>
      </c>
      <c r="B1239" t="str">
        <f>IF('Staff Daily sales'!$D1224="","",TRIM('Staff Daily sales'!$D1224&amp;""))</f>
        <v/>
      </c>
      <c r="C1239" t="str">
        <f>IFERROR(TRIM('Staff Daily sales'!$E1224&amp;""),"")</f>
        <v/>
      </c>
      <c r="D1239" t="str">
        <f>IFERROR(IF(TRIM('Staff Daily sales'!$F1224&amp;"")="","Unassigned",TRIM('Staff Daily sales'!$F1224&amp;"")),"Unassigned")</f>
        <v>Unassigned</v>
      </c>
      <c r="E1239">
        <f t="shared" si="330"/>
        <v>0</v>
      </c>
      <c r="F1239">
        <f>IF($E1239=0,0,SUMPRODUCT($AI$5:$DF$5,'Staff Daily sales'!$G1224:$CD1224))</f>
        <v>0</v>
      </c>
      <c r="G1239">
        <f>IF($E1239=0,0,SUMPRODUCT($AI$6:$DF$6,'Staff Daily sales'!$G1224:$CD1224))</f>
        <v>0</v>
      </c>
      <c r="H1239">
        <f t="shared" si="331"/>
        <v>0</v>
      </c>
      <c r="I1239">
        <f t="shared" si="332"/>
        <v>0</v>
      </c>
      <c r="J1239">
        <f t="shared" si="333"/>
        <v>0</v>
      </c>
      <c r="K1239">
        <f t="shared" si="334"/>
        <v>0</v>
      </c>
      <c r="L1239">
        <f>--AND($E1239=1,OR('Staff Dashboard'!$B$6="All",$DH1239='Staff Dashboard'!$B$6),OR('Staff Dashboard'!$B$7="All",$D1239='Staff Dashboard'!$B$7),OR('Staff Dashboard'!$B$8="All",$A1239='Staff Dashboard'!$B$8))</f>
        <v>0</v>
      </c>
      <c r="M1239">
        <f>IF($E1239=0,0,SUMPRODUCT($AI$7:$DF$7,'Staff Daily sales'!$G1224:$CD1224))</f>
        <v>0</v>
      </c>
      <c r="N1239">
        <f>IF($E1239=0,0,SUMPRODUCT($AI$8:$DF$8,'Staff Daily sales'!$G1224:$CD1224))</f>
        <v>0</v>
      </c>
      <c r="O1239">
        <f>IF($E1239=0,0,SUMPRODUCT($AI$9:$DF$9,'Staff Daily sales'!$G1224:$CD1224))</f>
        <v>0</v>
      </c>
      <c r="P1239">
        <f>IF($E1239=0,0,SUMPRODUCT($AI$10:$DF$10,'Staff Daily sales'!$G1224:$CD1224))</f>
        <v>0</v>
      </c>
      <c r="Q1239">
        <f>IF($E1239=0,0,SUMPRODUCT($AI$11:$DF$11,'Staff Daily sales'!$G1224:$CD1224))</f>
        <v>0</v>
      </c>
      <c r="R1239">
        <f>IF($E1239=0,0,SUMPRODUCT($AI$12:$DF$12,'Staff Daily sales'!$G1224:$CD1224))</f>
        <v>0</v>
      </c>
      <c r="S1239">
        <f>IF($E1239=0,0,SUMPRODUCT($AI$13:$DF$13,'Staff Daily sales'!$G1224:$CD1224))</f>
        <v>0</v>
      </c>
      <c r="T1239">
        <f>IF($E1239=0,0,SUMPRODUCT($AI$14:$DF$14,'Staff Daily sales'!$G1224:$CD1224))</f>
        <v>0</v>
      </c>
      <c r="U1239">
        <f>IF($E1239=0,0,SUMPRODUCT($AI$15:$DF$15,'Staff Daily sales'!$G1224:$CD1224))</f>
        <v>0</v>
      </c>
      <c r="V1239">
        <f>IF($E1239=0,0,SUMPRODUCT($AI$16:$DF$16,'Staff Daily sales'!$G1224:$CD1224))</f>
        <v>0</v>
      </c>
      <c r="W1239">
        <f t="shared" si="335"/>
        <v>0</v>
      </c>
      <c r="X1239">
        <f t="shared" si="336"/>
        <v>0</v>
      </c>
      <c r="Y1239">
        <f t="shared" si="337"/>
        <v>0</v>
      </c>
      <c r="Z1239">
        <f t="shared" si="338"/>
        <v>0</v>
      </c>
      <c r="AA1239">
        <f t="shared" si="339"/>
        <v>0</v>
      </c>
      <c r="AB1239">
        <f>--AND($E1239=1,OR('Staff Weekly Trend'!$B$3="All",$DH1239='Staff Weekly Trend'!$B$3),OR('Staff Weekly Trend'!$B$4="All",$D1239='Staff Weekly Trend'!$B$4),OR('Staff Weekly Trend'!$B$5="All",$A1239='Staff Weekly Trend'!$B$5))</f>
        <v>0</v>
      </c>
      <c r="AC1239" t="str">
        <f t="shared" si="340"/>
        <v/>
      </c>
      <c r="AI1239">
        <f t="shared" si="341"/>
        <v>0</v>
      </c>
      <c r="AJ1239">
        <f t="shared" si="342"/>
        <v>0</v>
      </c>
      <c r="AK1239">
        <f t="shared" si="343"/>
        <v>0</v>
      </c>
      <c r="AL1239">
        <f t="shared" si="344"/>
        <v>0</v>
      </c>
      <c r="AM1239">
        <f t="shared" si="345"/>
        <v>0</v>
      </c>
      <c r="DH1239" t="str" cm="1">
        <f t="array" ref="DH1239">IF($A1239="","",_xlfn.LET(_xlpm.c,IFERROR(_xlfn.XLOOKUP($A1239,TRIM('Sales and count'!$A$4:$A$300&amp;""),TRIM('Sales and count'!$B$4:$B$300&amp;"")),""),IF(OR(_xlpm.c="",_xlpm.c="0",LEFT(_xlpm.c,1)="#"),"Not set",_xlpm.c)))</f>
        <v/>
      </c>
    </row>
    <row r="1240" spans="1:112" x14ac:dyDescent="0.25">
      <c r="A1240" t="str">
        <f>IF('Staff Daily sales'!$B1225="","",TRIM('Staff Daily sales'!$B1225&amp;""))</f>
        <v/>
      </c>
      <c r="B1240" t="str">
        <f>IF('Staff Daily sales'!$D1225="","",TRIM('Staff Daily sales'!$D1225&amp;""))</f>
        <v/>
      </c>
      <c r="C1240" t="str">
        <f>IFERROR(TRIM('Staff Daily sales'!$E1225&amp;""),"")</f>
        <v/>
      </c>
      <c r="D1240" t="str">
        <f>IFERROR(IF(TRIM('Staff Daily sales'!$F1225&amp;"")="","Unassigned",TRIM('Staff Daily sales'!$F1225&amp;"")),"Unassigned")</f>
        <v>Unassigned</v>
      </c>
      <c r="E1240">
        <f t="shared" si="330"/>
        <v>0</v>
      </c>
      <c r="F1240">
        <f>IF($E1240=0,0,SUMPRODUCT($AI$5:$DF$5,'Staff Daily sales'!$G1225:$CD1225))</f>
        <v>0</v>
      </c>
      <c r="G1240">
        <f>IF($E1240=0,0,SUMPRODUCT($AI$6:$DF$6,'Staff Daily sales'!$G1225:$CD1225))</f>
        <v>0</v>
      </c>
      <c r="H1240">
        <f t="shared" si="331"/>
        <v>0</v>
      </c>
      <c r="I1240">
        <f t="shared" si="332"/>
        <v>0</v>
      </c>
      <c r="J1240">
        <f t="shared" si="333"/>
        <v>0</v>
      </c>
      <c r="K1240">
        <f t="shared" si="334"/>
        <v>0</v>
      </c>
      <c r="L1240">
        <f>--AND($E1240=1,OR('Staff Dashboard'!$B$6="All",$DH1240='Staff Dashboard'!$B$6),OR('Staff Dashboard'!$B$7="All",$D1240='Staff Dashboard'!$B$7),OR('Staff Dashboard'!$B$8="All",$A1240='Staff Dashboard'!$B$8))</f>
        <v>0</v>
      </c>
      <c r="M1240">
        <f>IF($E1240=0,0,SUMPRODUCT($AI$7:$DF$7,'Staff Daily sales'!$G1225:$CD1225))</f>
        <v>0</v>
      </c>
      <c r="N1240">
        <f>IF($E1240=0,0,SUMPRODUCT($AI$8:$DF$8,'Staff Daily sales'!$G1225:$CD1225))</f>
        <v>0</v>
      </c>
      <c r="O1240">
        <f>IF($E1240=0,0,SUMPRODUCT($AI$9:$DF$9,'Staff Daily sales'!$G1225:$CD1225))</f>
        <v>0</v>
      </c>
      <c r="P1240">
        <f>IF($E1240=0,0,SUMPRODUCT($AI$10:$DF$10,'Staff Daily sales'!$G1225:$CD1225))</f>
        <v>0</v>
      </c>
      <c r="Q1240">
        <f>IF($E1240=0,0,SUMPRODUCT($AI$11:$DF$11,'Staff Daily sales'!$G1225:$CD1225))</f>
        <v>0</v>
      </c>
      <c r="R1240">
        <f>IF($E1240=0,0,SUMPRODUCT($AI$12:$DF$12,'Staff Daily sales'!$G1225:$CD1225))</f>
        <v>0</v>
      </c>
      <c r="S1240">
        <f>IF($E1240=0,0,SUMPRODUCT($AI$13:$DF$13,'Staff Daily sales'!$G1225:$CD1225))</f>
        <v>0</v>
      </c>
      <c r="T1240">
        <f>IF($E1240=0,0,SUMPRODUCT($AI$14:$DF$14,'Staff Daily sales'!$G1225:$CD1225))</f>
        <v>0</v>
      </c>
      <c r="U1240">
        <f>IF($E1240=0,0,SUMPRODUCT($AI$15:$DF$15,'Staff Daily sales'!$G1225:$CD1225))</f>
        <v>0</v>
      </c>
      <c r="V1240">
        <f>IF($E1240=0,0,SUMPRODUCT($AI$16:$DF$16,'Staff Daily sales'!$G1225:$CD1225))</f>
        <v>0</v>
      </c>
      <c r="W1240">
        <f t="shared" si="335"/>
        <v>0</v>
      </c>
      <c r="X1240">
        <f t="shared" si="336"/>
        <v>0</v>
      </c>
      <c r="Y1240">
        <f t="shared" si="337"/>
        <v>0</v>
      </c>
      <c r="Z1240">
        <f t="shared" si="338"/>
        <v>0</v>
      </c>
      <c r="AA1240">
        <f t="shared" si="339"/>
        <v>0</v>
      </c>
      <c r="AB1240">
        <f>--AND($E1240=1,OR('Staff Weekly Trend'!$B$3="All",$DH1240='Staff Weekly Trend'!$B$3),OR('Staff Weekly Trend'!$B$4="All",$D1240='Staff Weekly Trend'!$B$4),OR('Staff Weekly Trend'!$B$5="All",$A1240='Staff Weekly Trend'!$B$5))</f>
        <v>0</v>
      </c>
      <c r="AC1240" t="str">
        <f t="shared" si="340"/>
        <v/>
      </c>
      <c r="AI1240">
        <f t="shared" si="341"/>
        <v>0</v>
      </c>
      <c r="AJ1240">
        <f t="shared" si="342"/>
        <v>0</v>
      </c>
      <c r="AK1240">
        <f t="shared" si="343"/>
        <v>0</v>
      </c>
      <c r="AL1240">
        <f t="shared" si="344"/>
        <v>0</v>
      </c>
      <c r="AM1240">
        <f t="shared" si="345"/>
        <v>0</v>
      </c>
      <c r="DH1240" t="str" cm="1">
        <f t="array" ref="DH1240">IF($A1240="","",_xlfn.LET(_xlpm.c,IFERROR(_xlfn.XLOOKUP($A1240,TRIM('Sales and count'!$A$4:$A$300&amp;""),TRIM('Sales and count'!$B$4:$B$300&amp;"")),""),IF(OR(_xlpm.c="",_xlpm.c="0",LEFT(_xlpm.c,1)="#"),"Not set",_xlpm.c)))</f>
        <v/>
      </c>
    </row>
    <row r="1241" spans="1:112" x14ac:dyDescent="0.25">
      <c r="A1241" t="str">
        <f>IF('Staff Daily sales'!$B1226="","",TRIM('Staff Daily sales'!$B1226&amp;""))</f>
        <v/>
      </c>
      <c r="B1241" t="str">
        <f>IF('Staff Daily sales'!$D1226="","",TRIM('Staff Daily sales'!$D1226&amp;""))</f>
        <v/>
      </c>
      <c r="C1241" t="str">
        <f>IFERROR(TRIM('Staff Daily sales'!$E1226&amp;""),"")</f>
        <v/>
      </c>
      <c r="D1241" t="str">
        <f>IFERROR(IF(TRIM('Staff Daily sales'!$F1226&amp;"")="","Unassigned",TRIM('Staff Daily sales'!$F1226&amp;"")),"Unassigned")</f>
        <v>Unassigned</v>
      </c>
      <c r="E1241">
        <f t="shared" si="330"/>
        <v>0</v>
      </c>
      <c r="F1241">
        <f>IF($E1241=0,0,SUMPRODUCT($AI$5:$DF$5,'Staff Daily sales'!$G1226:$CD1226))</f>
        <v>0</v>
      </c>
      <c r="G1241">
        <f>IF($E1241=0,0,SUMPRODUCT($AI$6:$DF$6,'Staff Daily sales'!$G1226:$CD1226))</f>
        <v>0</v>
      </c>
      <c r="H1241">
        <f t="shared" si="331"/>
        <v>0</v>
      </c>
      <c r="I1241">
        <f t="shared" si="332"/>
        <v>0</v>
      </c>
      <c r="J1241">
        <f t="shared" si="333"/>
        <v>0</v>
      </c>
      <c r="K1241">
        <f t="shared" si="334"/>
        <v>0</v>
      </c>
      <c r="L1241">
        <f>--AND($E1241=1,OR('Staff Dashboard'!$B$6="All",$DH1241='Staff Dashboard'!$B$6),OR('Staff Dashboard'!$B$7="All",$D1241='Staff Dashboard'!$B$7),OR('Staff Dashboard'!$B$8="All",$A1241='Staff Dashboard'!$B$8))</f>
        <v>0</v>
      </c>
      <c r="M1241">
        <f>IF($E1241=0,0,SUMPRODUCT($AI$7:$DF$7,'Staff Daily sales'!$G1226:$CD1226))</f>
        <v>0</v>
      </c>
      <c r="N1241">
        <f>IF($E1241=0,0,SUMPRODUCT($AI$8:$DF$8,'Staff Daily sales'!$G1226:$CD1226))</f>
        <v>0</v>
      </c>
      <c r="O1241">
        <f>IF($E1241=0,0,SUMPRODUCT($AI$9:$DF$9,'Staff Daily sales'!$G1226:$CD1226))</f>
        <v>0</v>
      </c>
      <c r="P1241">
        <f>IF($E1241=0,0,SUMPRODUCT($AI$10:$DF$10,'Staff Daily sales'!$G1226:$CD1226))</f>
        <v>0</v>
      </c>
      <c r="Q1241">
        <f>IF($E1241=0,0,SUMPRODUCT($AI$11:$DF$11,'Staff Daily sales'!$G1226:$CD1226))</f>
        <v>0</v>
      </c>
      <c r="R1241">
        <f>IF($E1241=0,0,SUMPRODUCT($AI$12:$DF$12,'Staff Daily sales'!$G1226:$CD1226))</f>
        <v>0</v>
      </c>
      <c r="S1241">
        <f>IF($E1241=0,0,SUMPRODUCT($AI$13:$DF$13,'Staff Daily sales'!$G1226:$CD1226))</f>
        <v>0</v>
      </c>
      <c r="T1241">
        <f>IF($E1241=0,0,SUMPRODUCT($AI$14:$DF$14,'Staff Daily sales'!$G1226:$CD1226))</f>
        <v>0</v>
      </c>
      <c r="U1241">
        <f>IF($E1241=0,0,SUMPRODUCT($AI$15:$DF$15,'Staff Daily sales'!$G1226:$CD1226))</f>
        <v>0</v>
      </c>
      <c r="V1241">
        <f>IF($E1241=0,0,SUMPRODUCT($AI$16:$DF$16,'Staff Daily sales'!$G1226:$CD1226))</f>
        <v>0</v>
      </c>
      <c r="W1241">
        <f t="shared" si="335"/>
        <v>0</v>
      </c>
      <c r="X1241">
        <f t="shared" si="336"/>
        <v>0</v>
      </c>
      <c r="Y1241">
        <f t="shared" si="337"/>
        <v>0</v>
      </c>
      <c r="Z1241">
        <f t="shared" si="338"/>
        <v>0</v>
      </c>
      <c r="AA1241">
        <f t="shared" si="339"/>
        <v>0</v>
      </c>
      <c r="AB1241">
        <f>--AND($E1241=1,OR('Staff Weekly Trend'!$B$3="All",$DH1241='Staff Weekly Trend'!$B$3),OR('Staff Weekly Trend'!$B$4="All",$D1241='Staff Weekly Trend'!$B$4),OR('Staff Weekly Trend'!$B$5="All",$A1241='Staff Weekly Trend'!$B$5))</f>
        <v>0</v>
      </c>
      <c r="AC1241" t="str">
        <f t="shared" si="340"/>
        <v/>
      </c>
      <c r="AI1241">
        <f t="shared" si="341"/>
        <v>0</v>
      </c>
      <c r="AJ1241">
        <f t="shared" si="342"/>
        <v>0</v>
      </c>
      <c r="AK1241">
        <f t="shared" si="343"/>
        <v>0</v>
      </c>
      <c r="AL1241">
        <f t="shared" si="344"/>
        <v>0</v>
      </c>
      <c r="AM1241">
        <f t="shared" si="345"/>
        <v>0</v>
      </c>
      <c r="DH1241" t="str" cm="1">
        <f t="array" ref="DH1241">IF($A1241="","",_xlfn.LET(_xlpm.c,IFERROR(_xlfn.XLOOKUP($A1241,TRIM('Sales and count'!$A$4:$A$300&amp;""),TRIM('Sales and count'!$B$4:$B$300&amp;"")),""),IF(OR(_xlpm.c="",_xlpm.c="0",LEFT(_xlpm.c,1)="#"),"Not set",_xlpm.c)))</f>
        <v/>
      </c>
    </row>
    <row r="1242" spans="1:112" x14ac:dyDescent="0.25">
      <c r="A1242" t="str">
        <f>IF('Staff Daily sales'!$B1227="","",TRIM('Staff Daily sales'!$B1227&amp;""))</f>
        <v/>
      </c>
      <c r="B1242" t="str">
        <f>IF('Staff Daily sales'!$D1227="","",TRIM('Staff Daily sales'!$D1227&amp;""))</f>
        <v/>
      </c>
      <c r="C1242" t="str">
        <f>IFERROR(TRIM('Staff Daily sales'!$E1227&amp;""),"")</f>
        <v/>
      </c>
      <c r="D1242" t="str">
        <f>IFERROR(IF(TRIM('Staff Daily sales'!$F1227&amp;"")="","Unassigned",TRIM('Staff Daily sales'!$F1227&amp;"")),"Unassigned")</f>
        <v>Unassigned</v>
      </c>
      <c r="E1242">
        <f t="shared" si="330"/>
        <v>0</v>
      </c>
      <c r="F1242">
        <f>IF($E1242=0,0,SUMPRODUCT($AI$5:$DF$5,'Staff Daily sales'!$G1227:$CD1227))</f>
        <v>0</v>
      </c>
      <c r="G1242">
        <f>IF($E1242=0,0,SUMPRODUCT($AI$6:$DF$6,'Staff Daily sales'!$G1227:$CD1227))</f>
        <v>0</v>
      </c>
      <c r="H1242">
        <f t="shared" si="331"/>
        <v>0</v>
      </c>
      <c r="I1242">
        <f t="shared" si="332"/>
        <v>0</v>
      </c>
      <c r="J1242">
        <f t="shared" si="333"/>
        <v>0</v>
      </c>
      <c r="K1242">
        <f t="shared" si="334"/>
        <v>0</v>
      </c>
      <c r="L1242">
        <f>--AND($E1242=1,OR('Staff Dashboard'!$B$6="All",$DH1242='Staff Dashboard'!$B$6),OR('Staff Dashboard'!$B$7="All",$D1242='Staff Dashboard'!$B$7),OR('Staff Dashboard'!$B$8="All",$A1242='Staff Dashboard'!$B$8))</f>
        <v>0</v>
      </c>
      <c r="M1242">
        <f>IF($E1242=0,0,SUMPRODUCT($AI$7:$DF$7,'Staff Daily sales'!$G1227:$CD1227))</f>
        <v>0</v>
      </c>
      <c r="N1242">
        <f>IF($E1242=0,0,SUMPRODUCT($AI$8:$DF$8,'Staff Daily sales'!$G1227:$CD1227))</f>
        <v>0</v>
      </c>
      <c r="O1242">
        <f>IF($E1242=0,0,SUMPRODUCT($AI$9:$DF$9,'Staff Daily sales'!$G1227:$CD1227))</f>
        <v>0</v>
      </c>
      <c r="P1242">
        <f>IF($E1242=0,0,SUMPRODUCT($AI$10:$DF$10,'Staff Daily sales'!$G1227:$CD1227))</f>
        <v>0</v>
      </c>
      <c r="Q1242">
        <f>IF($E1242=0,0,SUMPRODUCT($AI$11:$DF$11,'Staff Daily sales'!$G1227:$CD1227))</f>
        <v>0</v>
      </c>
      <c r="R1242">
        <f>IF($E1242=0,0,SUMPRODUCT($AI$12:$DF$12,'Staff Daily sales'!$G1227:$CD1227))</f>
        <v>0</v>
      </c>
      <c r="S1242">
        <f>IF($E1242=0,0,SUMPRODUCT($AI$13:$DF$13,'Staff Daily sales'!$G1227:$CD1227))</f>
        <v>0</v>
      </c>
      <c r="T1242">
        <f>IF($E1242=0,0,SUMPRODUCT($AI$14:$DF$14,'Staff Daily sales'!$G1227:$CD1227))</f>
        <v>0</v>
      </c>
      <c r="U1242">
        <f>IF($E1242=0,0,SUMPRODUCT($AI$15:$DF$15,'Staff Daily sales'!$G1227:$CD1227))</f>
        <v>0</v>
      </c>
      <c r="V1242">
        <f>IF($E1242=0,0,SUMPRODUCT($AI$16:$DF$16,'Staff Daily sales'!$G1227:$CD1227))</f>
        <v>0</v>
      </c>
      <c r="W1242">
        <f t="shared" si="335"/>
        <v>0</v>
      </c>
      <c r="X1242">
        <f t="shared" si="336"/>
        <v>0</v>
      </c>
      <c r="Y1242">
        <f t="shared" si="337"/>
        <v>0</v>
      </c>
      <c r="Z1242">
        <f t="shared" si="338"/>
        <v>0</v>
      </c>
      <c r="AA1242">
        <f t="shared" si="339"/>
        <v>0</v>
      </c>
      <c r="AB1242">
        <f>--AND($E1242=1,OR('Staff Weekly Trend'!$B$3="All",$DH1242='Staff Weekly Trend'!$B$3),OR('Staff Weekly Trend'!$B$4="All",$D1242='Staff Weekly Trend'!$B$4),OR('Staff Weekly Trend'!$B$5="All",$A1242='Staff Weekly Trend'!$B$5))</f>
        <v>0</v>
      </c>
      <c r="AC1242" t="str">
        <f t="shared" si="340"/>
        <v/>
      </c>
      <c r="AI1242">
        <f t="shared" si="341"/>
        <v>0</v>
      </c>
      <c r="AJ1242">
        <f t="shared" si="342"/>
        <v>0</v>
      </c>
      <c r="AK1242">
        <f t="shared" si="343"/>
        <v>0</v>
      </c>
      <c r="AL1242">
        <f t="shared" si="344"/>
        <v>0</v>
      </c>
      <c r="AM1242">
        <f t="shared" si="345"/>
        <v>0</v>
      </c>
      <c r="DH1242" t="str" cm="1">
        <f t="array" ref="DH1242">IF($A1242="","",_xlfn.LET(_xlpm.c,IFERROR(_xlfn.XLOOKUP($A1242,TRIM('Sales and count'!$A$4:$A$300&amp;""),TRIM('Sales and count'!$B$4:$B$300&amp;"")),""),IF(OR(_xlpm.c="",_xlpm.c="0",LEFT(_xlpm.c,1)="#"),"Not set",_xlpm.c)))</f>
        <v/>
      </c>
    </row>
    <row r="1243" spans="1:112" x14ac:dyDescent="0.25">
      <c r="A1243" t="str">
        <f>IF('Staff Daily sales'!$B1228="","",TRIM('Staff Daily sales'!$B1228&amp;""))</f>
        <v/>
      </c>
      <c r="B1243" t="str">
        <f>IF('Staff Daily sales'!$D1228="","",TRIM('Staff Daily sales'!$D1228&amp;""))</f>
        <v/>
      </c>
      <c r="C1243" t="str">
        <f>IFERROR(TRIM('Staff Daily sales'!$E1228&amp;""),"")</f>
        <v/>
      </c>
      <c r="D1243" t="str">
        <f>IFERROR(IF(TRIM('Staff Daily sales'!$F1228&amp;"")="","Unassigned",TRIM('Staff Daily sales'!$F1228&amp;"")),"Unassigned")</f>
        <v>Unassigned</v>
      </c>
      <c r="E1243">
        <f t="shared" si="330"/>
        <v>0</v>
      </c>
      <c r="F1243">
        <f>IF($E1243=0,0,SUMPRODUCT($AI$5:$DF$5,'Staff Daily sales'!$G1228:$CD1228))</f>
        <v>0</v>
      </c>
      <c r="G1243">
        <f>IF($E1243=0,0,SUMPRODUCT($AI$6:$DF$6,'Staff Daily sales'!$G1228:$CD1228))</f>
        <v>0</v>
      </c>
      <c r="H1243">
        <f t="shared" si="331"/>
        <v>0</v>
      </c>
      <c r="I1243">
        <f t="shared" si="332"/>
        <v>0</v>
      </c>
      <c r="J1243">
        <f t="shared" si="333"/>
        <v>0</v>
      </c>
      <c r="K1243">
        <f t="shared" si="334"/>
        <v>0</v>
      </c>
      <c r="L1243">
        <f>--AND($E1243=1,OR('Staff Dashboard'!$B$6="All",$DH1243='Staff Dashboard'!$B$6),OR('Staff Dashboard'!$B$7="All",$D1243='Staff Dashboard'!$B$7),OR('Staff Dashboard'!$B$8="All",$A1243='Staff Dashboard'!$B$8))</f>
        <v>0</v>
      </c>
      <c r="M1243">
        <f>IF($E1243=0,0,SUMPRODUCT($AI$7:$DF$7,'Staff Daily sales'!$G1228:$CD1228))</f>
        <v>0</v>
      </c>
      <c r="N1243">
        <f>IF($E1243=0,0,SUMPRODUCT($AI$8:$DF$8,'Staff Daily sales'!$G1228:$CD1228))</f>
        <v>0</v>
      </c>
      <c r="O1243">
        <f>IF($E1243=0,0,SUMPRODUCT($AI$9:$DF$9,'Staff Daily sales'!$G1228:$CD1228))</f>
        <v>0</v>
      </c>
      <c r="P1243">
        <f>IF($E1243=0,0,SUMPRODUCT($AI$10:$DF$10,'Staff Daily sales'!$G1228:$CD1228))</f>
        <v>0</v>
      </c>
      <c r="Q1243">
        <f>IF($E1243=0,0,SUMPRODUCT($AI$11:$DF$11,'Staff Daily sales'!$G1228:$CD1228))</f>
        <v>0</v>
      </c>
      <c r="R1243">
        <f>IF($E1243=0,0,SUMPRODUCT($AI$12:$DF$12,'Staff Daily sales'!$G1228:$CD1228))</f>
        <v>0</v>
      </c>
      <c r="S1243">
        <f>IF($E1243=0,0,SUMPRODUCT($AI$13:$DF$13,'Staff Daily sales'!$G1228:$CD1228))</f>
        <v>0</v>
      </c>
      <c r="T1243">
        <f>IF($E1243=0,0,SUMPRODUCT($AI$14:$DF$14,'Staff Daily sales'!$G1228:$CD1228))</f>
        <v>0</v>
      </c>
      <c r="U1243">
        <f>IF($E1243=0,0,SUMPRODUCT($AI$15:$DF$15,'Staff Daily sales'!$G1228:$CD1228))</f>
        <v>0</v>
      </c>
      <c r="V1243">
        <f>IF($E1243=0,0,SUMPRODUCT($AI$16:$DF$16,'Staff Daily sales'!$G1228:$CD1228))</f>
        <v>0</v>
      </c>
      <c r="W1243">
        <f t="shared" si="335"/>
        <v>0</v>
      </c>
      <c r="X1243">
        <f t="shared" si="336"/>
        <v>0</v>
      </c>
      <c r="Y1243">
        <f t="shared" si="337"/>
        <v>0</v>
      </c>
      <c r="Z1243">
        <f t="shared" si="338"/>
        <v>0</v>
      </c>
      <c r="AA1243">
        <f t="shared" si="339"/>
        <v>0</v>
      </c>
      <c r="AB1243">
        <f>--AND($E1243=1,OR('Staff Weekly Trend'!$B$3="All",$DH1243='Staff Weekly Trend'!$B$3),OR('Staff Weekly Trend'!$B$4="All",$D1243='Staff Weekly Trend'!$B$4),OR('Staff Weekly Trend'!$B$5="All",$A1243='Staff Weekly Trend'!$B$5))</f>
        <v>0</v>
      </c>
      <c r="AC1243" t="str">
        <f t="shared" si="340"/>
        <v/>
      </c>
      <c r="AI1243">
        <f t="shared" si="341"/>
        <v>0</v>
      </c>
      <c r="AJ1243">
        <f t="shared" si="342"/>
        <v>0</v>
      </c>
      <c r="AK1243">
        <f t="shared" si="343"/>
        <v>0</v>
      </c>
      <c r="AL1243">
        <f t="shared" si="344"/>
        <v>0</v>
      </c>
      <c r="AM1243">
        <f t="shared" si="345"/>
        <v>0</v>
      </c>
      <c r="DH1243" t="str" cm="1">
        <f t="array" ref="DH1243">IF($A1243="","",_xlfn.LET(_xlpm.c,IFERROR(_xlfn.XLOOKUP($A1243,TRIM('Sales and count'!$A$4:$A$300&amp;""),TRIM('Sales and count'!$B$4:$B$300&amp;"")),""),IF(OR(_xlpm.c="",_xlpm.c="0",LEFT(_xlpm.c,1)="#"),"Not set",_xlpm.c)))</f>
        <v/>
      </c>
    </row>
    <row r="1244" spans="1:112" x14ac:dyDescent="0.25">
      <c r="A1244" t="str">
        <f>IF('Staff Daily sales'!$B1229="","",TRIM('Staff Daily sales'!$B1229&amp;""))</f>
        <v/>
      </c>
      <c r="B1244" t="str">
        <f>IF('Staff Daily sales'!$D1229="","",TRIM('Staff Daily sales'!$D1229&amp;""))</f>
        <v/>
      </c>
      <c r="C1244" t="str">
        <f>IFERROR(TRIM('Staff Daily sales'!$E1229&amp;""),"")</f>
        <v/>
      </c>
      <c r="D1244" t="str">
        <f>IFERROR(IF(TRIM('Staff Daily sales'!$F1229&amp;"")="","Unassigned",TRIM('Staff Daily sales'!$F1229&amp;"")),"Unassigned")</f>
        <v>Unassigned</v>
      </c>
      <c r="E1244">
        <f t="shared" si="330"/>
        <v>0</v>
      </c>
      <c r="F1244">
        <f>IF($E1244=0,0,SUMPRODUCT($AI$5:$DF$5,'Staff Daily sales'!$G1229:$CD1229))</f>
        <v>0</v>
      </c>
      <c r="G1244">
        <f>IF($E1244=0,0,SUMPRODUCT($AI$6:$DF$6,'Staff Daily sales'!$G1229:$CD1229))</f>
        <v>0</v>
      </c>
      <c r="H1244">
        <f t="shared" si="331"/>
        <v>0</v>
      </c>
      <c r="I1244">
        <f t="shared" si="332"/>
        <v>0</v>
      </c>
      <c r="J1244">
        <f t="shared" si="333"/>
        <v>0</v>
      </c>
      <c r="K1244">
        <f t="shared" si="334"/>
        <v>0</v>
      </c>
      <c r="L1244">
        <f>--AND($E1244=1,OR('Staff Dashboard'!$B$6="All",$DH1244='Staff Dashboard'!$B$6),OR('Staff Dashboard'!$B$7="All",$D1244='Staff Dashboard'!$B$7),OR('Staff Dashboard'!$B$8="All",$A1244='Staff Dashboard'!$B$8))</f>
        <v>0</v>
      </c>
      <c r="M1244">
        <f>IF($E1244=0,0,SUMPRODUCT($AI$7:$DF$7,'Staff Daily sales'!$G1229:$CD1229))</f>
        <v>0</v>
      </c>
      <c r="N1244">
        <f>IF($E1244=0,0,SUMPRODUCT($AI$8:$DF$8,'Staff Daily sales'!$G1229:$CD1229))</f>
        <v>0</v>
      </c>
      <c r="O1244">
        <f>IF($E1244=0,0,SUMPRODUCT($AI$9:$DF$9,'Staff Daily sales'!$G1229:$CD1229))</f>
        <v>0</v>
      </c>
      <c r="P1244">
        <f>IF($E1244=0,0,SUMPRODUCT($AI$10:$DF$10,'Staff Daily sales'!$G1229:$CD1229))</f>
        <v>0</v>
      </c>
      <c r="Q1244">
        <f>IF($E1244=0,0,SUMPRODUCT($AI$11:$DF$11,'Staff Daily sales'!$G1229:$CD1229))</f>
        <v>0</v>
      </c>
      <c r="R1244">
        <f>IF($E1244=0,0,SUMPRODUCT($AI$12:$DF$12,'Staff Daily sales'!$G1229:$CD1229))</f>
        <v>0</v>
      </c>
      <c r="S1244">
        <f>IF($E1244=0,0,SUMPRODUCT($AI$13:$DF$13,'Staff Daily sales'!$G1229:$CD1229))</f>
        <v>0</v>
      </c>
      <c r="T1244">
        <f>IF($E1244=0,0,SUMPRODUCT($AI$14:$DF$14,'Staff Daily sales'!$G1229:$CD1229))</f>
        <v>0</v>
      </c>
      <c r="U1244">
        <f>IF($E1244=0,0,SUMPRODUCT($AI$15:$DF$15,'Staff Daily sales'!$G1229:$CD1229))</f>
        <v>0</v>
      </c>
      <c r="V1244">
        <f>IF($E1244=0,0,SUMPRODUCT($AI$16:$DF$16,'Staff Daily sales'!$G1229:$CD1229))</f>
        <v>0</v>
      </c>
      <c r="W1244">
        <f t="shared" si="335"/>
        <v>0</v>
      </c>
      <c r="X1244">
        <f t="shared" si="336"/>
        <v>0</v>
      </c>
      <c r="Y1244">
        <f t="shared" si="337"/>
        <v>0</v>
      </c>
      <c r="Z1244">
        <f t="shared" si="338"/>
        <v>0</v>
      </c>
      <c r="AA1244">
        <f t="shared" si="339"/>
        <v>0</v>
      </c>
      <c r="AB1244">
        <f>--AND($E1244=1,OR('Staff Weekly Trend'!$B$3="All",$DH1244='Staff Weekly Trend'!$B$3),OR('Staff Weekly Trend'!$B$4="All",$D1244='Staff Weekly Trend'!$B$4),OR('Staff Weekly Trend'!$B$5="All",$A1244='Staff Weekly Trend'!$B$5))</f>
        <v>0</v>
      </c>
      <c r="AC1244" t="str">
        <f t="shared" si="340"/>
        <v/>
      </c>
      <c r="AI1244">
        <f t="shared" si="341"/>
        <v>0</v>
      </c>
      <c r="AJ1244">
        <f t="shared" si="342"/>
        <v>0</v>
      </c>
      <c r="AK1244">
        <f t="shared" si="343"/>
        <v>0</v>
      </c>
      <c r="AL1244">
        <f t="shared" si="344"/>
        <v>0</v>
      </c>
      <c r="AM1244">
        <f t="shared" si="345"/>
        <v>0</v>
      </c>
      <c r="DH1244" t="str" cm="1">
        <f t="array" ref="DH1244">IF($A1244="","",_xlfn.LET(_xlpm.c,IFERROR(_xlfn.XLOOKUP($A1244,TRIM('Sales and count'!$A$4:$A$300&amp;""),TRIM('Sales and count'!$B$4:$B$300&amp;"")),""),IF(OR(_xlpm.c="",_xlpm.c="0",LEFT(_xlpm.c,1)="#"),"Not set",_xlpm.c)))</f>
        <v/>
      </c>
    </row>
    <row r="1245" spans="1:112" x14ac:dyDescent="0.25">
      <c r="A1245" t="str">
        <f>IF('Staff Daily sales'!$B1230="","",TRIM('Staff Daily sales'!$B1230&amp;""))</f>
        <v/>
      </c>
      <c r="B1245" t="str">
        <f>IF('Staff Daily sales'!$D1230="","",TRIM('Staff Daily sales'!$D1230&amp;""))</f>
        <v/>
      </c>
      <c r="C1245" t="str">
        <f>IFERROR(TRIM('Staff Daily sales'!$E1230&amp;""),"")</f>
        <v/>
      </c>
      <c r="D1245" t="str">
        <f>IFERROR(IF(TRIM('Staff Daily sales'!$F1230&amp;"")="","Unassigned",TRIM('Staff Daily sales'!$F1230&amp;"")),"Unassigned")</f>
        <v>Unassigned</v>
      </c>
      <c r="E1245">
        <f t="shared" si="330"/>
        <v>0</v>
      </c>
      <c r="F1245">
        <f>IF($E1245=0,0,SUMPRODUCT($AI$5:$DF$5,'Staff Daily sales'!$G1230:$CD1230))</f>
        <v>0</v>
      </c>
      <c r="G1245">
        <f>IF($E1245=0,0,SUMPRODUCT($AI$6:$DF$6,'Staff Daily sales'!$G1230:$CD1230))</f>
        <v>0</v>
      </c>
      <c r="H1245">
        <f t="shared" si="331"/>
        <v>0</v>
      </c>
      <c r="I1245">
        <f t="shared" si="332"/>
        <v>0</v>
      </c>
      <c r="J1245">
        <f t="shared" si="333"/>
        <v>0</v>
      </c>
      <c r="K1245">
        <f t="shared" si="334"/>
        <v>0</v>
      </c>
      <c r="L1245">
        <f>--AND($E1245=1,OR('Staff Dashboard'!$B$6="All",$DH1245='Staff Dashboard'!$B$6),OR('Staff Dashboard'!$B$7="All",$D1245='Staff Dashboard'!$B$7),OR('Staff Dashboard'!$B$8="All",$A1245='Staff Dashboard'!$B$8))</f>
        <v>0</v>
      </c>
      <c r="M1245">
        <f>IF($E1245=0,0,SUMPRODUCT($AI$7:$DF$7,'Staff Daily sales'!$G1230:$CD1230))</f>
        <v>0</v>
      </c>
      <c r="N1245">
        <f>IF($E1245=0,0,SUMPRODUCT($AI$8:$DF$8,'Staff Daily sales'!$G1230:$CD1230))</f>
        <v>0</v>
      </c>
      <c r="O1245">
        <f>IF($E1245=0,0,SUMPRODUCT($AI$9:$DF$9,'Staff Daily sales'!$G1230:$CD1230))</f>
        <v>0</v>
      </c>
      <c r="P1245">
        <f>IF($E1245=0,0,SUMPRODUCT($AI$10:$DF$10,'Staff Daily sales'!$G1230:$CD1230))</f>
        <v>0</v>
      </c>
      <c r="Q1245">
        <f>IF($E1245=0,0,SUMPRODUCT($AI$11:$DF$11,'Staff Daily sales'!$G1230:$CD1230))</f>
        <v>0</v>
      </c>
      <c r="R1245">
        <f>IF($E1245=0,0,SUMPRODUCT($AI$12:$DF$12,'Staff Daily sales'!$G1230:$CD1230))</f>
        <v>0</v>
      </c>
      <c r="S1245">
        <f>IF($E1245=0,0,SUMPRODUCT($AI$13:$DF$13,'Staff Daily sales'!$G1230:$CD1230))</f>
        <v>0</v>
      </c>
      <c r="T1245">
        <f>IF($E1245=0,0,SUMPRODUCT($AI$14:$DF$14,'Staff Daily sales'!$G1230:$CD1230))</f>
        <v>0</v>
      </c>
      <c r="U1245">
        <f>IF($E1245=0,0,SUMPRODUCT($AI$15:$DF$15,'Staff Daily sales'!$G1230:$CD1230))</f>
        <v>0</v>
      </c>
      <c r="V1245">
        <f>IF($E1245=0,0,SUMPRODUCT($AI$16:$DF$16,'Staff Daily sales'!$G1230:$CD1230))</f>
        <v>0</v>
      </c>
      <c r="W1245">
        <f t="shared" si="335"/>
        <v>0</v>
      </c>
      <c r="X1245">
        <f t="shared" si="336"/>
        <v>0</v>
      </c>
      <c r="Y1245">
        <f t="shared" si="337"/>
        <v>0</v>
      </c>
      <c r="Z1245">
        <f t="shared" si="338"/>
        <v>0</v>
      </c>
      <c r="AA1245">
        <f t="shared" si="339"/>
        <v>0</v>
      </c>
      <c r="AB1245">
        <f>--AND($E1245=1,OR('Staff Weekly Trend'!$B$3="All",$DH1245='Staff Weekly Trend'!$B$3),OR('Staff Weekly Trend'!$B$4="All",$D1245='Staff Weekly Trend'!$B$4),OR('Staff Weekly Trend'!$B$5="All",$A1245='Staff Weekly Trend'!$B$5))</f>
        <v>0</v>
      </c>
      <c r="AC1245" t="str">
        <f t="shared" si="340"/>
        <v/>
      </c>
      <c r="AI1245">
        <f t="shared" si="341"/>
        <v>0</v>
      </c>
      <c r="AJ1245">
        <f t="shared" si="342"/>
        <v>0</v>
      </c>
      <c r="AK1245">
        <f t="shared" si="343"/>
        <v>0</v>
      </c>
      <c r="AL1245">
        <f t="shared" si="344"/>
        <v>0</v>
      </c>
      <c r="AM1245">
        <f t="shared" si="345"/>
        <v>0</v>
      </c>
      <c r="DH1245" t="str" cm="1">
        <f t="array" ref="DH1245">IF($A1245="","",_xlfn.LET(_xlpm.c,IFERROR(_xlfn.XLOOKUP($A1245,TRIM('Sales and count'!$A$4:$A$300&amp;""),TRIM('Sales and count'!$B$4:$B$300&amp;"")),""),IF(OR(_xlpm.c="",_xlpm.c="0",LEFT(_xlpm.c,1)="#"),"Not set",_xlpm.c)))</f>
        <v/>
      </c>
    </row>
    <row r="1246" spans="1:112" x14ac:dyDescent="0.25">
      <c r="A1246" t="str">
        <f>IF('Staff Daily sales'!$B1231="","",TRIM('Staff Daily sales'!$B1231&amp;""))</f>
        <v/>
      </c>
      <c r="B1246" t="str">
        <f>IF('Staff Daily sales'!$D1231="","",TRIM('Staff Daily sales'!$D1231&amp;""))</f>
        <v/>
      </c>
      <c r="C1246" t="str">
        <f>IFERROR(TRIM('Staff Daily sales'!$E1231&amp;""),"")</f>
        <v/>
      </c>
      <c r="D1246" t="str">
        <f>IFERROR(IF(TRIM('Staff Daily sales'!$F1231&amp;"")="","Unassigned",TRIM('Staff Daily sales'!$F1231&amp;"")),"Unassigned")</f>
        <v>Unassigned</v>
      </c>
      <c r="E1246">
        <f t="shared" si="330"/>
        <v>0</v>
      </c>
      <c r="F1246">
        <f>IF($E1246=0,0,SUMPRODUCT($AI$5:$DF$5,'Staff Daily sales'!$G1231:$CD1231))</f>
        <v>0</v>
      </c>
      <c r="G1246">
        <f>IF($E1246=0,0,SUMPRODUCT($AI$6:$DF$6,'Staff Daily sales'!$G1231:$CD1231))</f>
        <v>0</v>
      </c>
      <c r="H1246">
        <f t="shared" si="331"/>
        <v>0</v>
      </c>
      <c r="I1246">
        <f t="shared" si="332"/>
        <v>0</v>
      </c>
      <c r="J1246">
        <f t="shared" si="333"/>
        <v>0</v>
      </c>
      <c r="K1246">
        <f t="shared" si="334"/>
        <v>0</v>
      </c>
      <c r="L1246">
        <f>--AND($E1246=1,OR('Staff Dashboard'!$B$6="All",$DH1246='Staff Dashboard'!$B$6),OR('Staff Dashboard'!$B$7="All",$D1246='Staff Dashboard'!$B$7),OR('Staff Dashboard'!$B$8="All",$A1246='Staff Dashboard'!$B$8))</f>
        <v>0</v>
      </c>
      <c r="M1246">
        <f>IF($E1246=0,0,SUMPRODUCT($AI$7:$DF$7,'Staff Daily sales'!$G1231:$CD1231))</f>
        <v>0</v>
      </c>
      <c r="N1246">
        <f>IF($E1246=0,0,SUMPRODUCT($AI$8:$DF$8,'Staff Daily sales'!$G1231:$CD1231))</f>
        <v>0</v>
      </c>
      <c r="O1246">
        <f>IF($E1246=0,0,SUMPRODUCT($AI$9:$DF$9,'Staff Daily sales'!$G1231:$CD1231))</f>
        <v>0</v>
      </c>
      <c r="P1246">
        <f>IF($E1246=0,0,SUMPRODUCT($AI$10:$DF$10,'Staff Daily sales'!$G1231:$CD1231))</f>
        <v>0</v>
      </c>
      <c r="Q1246">
        <f>IF($E1246=0,0,SUMPRODUCT($AI$11:$DF$11,'Staff Daily sales'!$G1231:$CD1231))</f>
        <v>0</v>
      </c>
      <c r="R1246">
        <f>IF($E1246=0,0,SUMPRODUCT($AI$12:$DF$12,'Staff Daily sales'!$G1231:$CD1231))</f>
        <v>0</v>
      </c>
      <c r="S1246">
        <f>IF($E1246=0,0,SUMPRODUCT($AI$13:$DF$13,'Staff Daily sales'!$G1231:$CD1231))</f>
        <v>0</v>
      </c>
      <c r="T1246">
        <f>IF($E1246=0,0,SUMPRODUCT($AI$14:$DF$14,'Staff Daily sales'!$G1231:$CD1231))</f>
        <v>0</v>
      </c>
      <c r="U1246">
        <f>IF($E1246=0,0,SUMPRODUCT($AI$15:$DF$15,'Staff Daily sales'!$G1231:$CD1231))</f>
        <v>0</v>
      </c>
      <c r="V1246">
        <f>IF($E1246=0,0,SUMPRODUCT($AI$16:$DF$16,'Staff Daily sales'!$G1231:$CD1231))</f>
        <v>0</v>
      </c>
      <c r="W1246">
        <f t="shared" si="335"/>
        <v>0</v>
      </c>
      <c r="X1246">
        <f t="shared" si="336"/>
        <v>0</v>
      </c>
      <c r="Y1246">
        <f t="shared" si="337"/>
        <v>0</v>
      </c>
      <c r="Z1246">
        <f t="shared" si="338"/>
        <v>0</v>
      </c>
      <c r="AA1246">
        <f t="shared" si="339"/>
        <v>0</v>
      </c>
      <c r="AB1246">
        <f>--AND($E1246=1,OR('Staff Weekly Trend'!$B$3="All",$DH1246='Staff Weekly Trend'!$B$3),OR('Staff Weekly Trend'!$B$4="All",$D1246='Staff Weekly Trend'!$B$4),OR('Staff Weekly Trend'!$B$5="All",$A1246='Staff Weekly Trend'!$B$5))</f>
        <v>0</v>
      </c>
      <c r="AC1246" t="str">
        <f t="shared" si="340"/>
        <v/>
      </c>
      <c r="AI1246">
        <f t="shared" si="341"/>
        <v>0</v>
      </c>
      <c r="AJ1246">
        <f t="shared" si="342"/>
        <v>0</v>
      </c>
      <c r="AK1246">
        <f t="shared" si="343"/>
        <v>0</v>
      </c>
      <c r="AL1246">
        <f t="shared" si="344"/>
        <v>0</v>
      </c>
      <c r="AM1246">
        <f t="shared" si="345"/>
        <v>0</v>
      </c>
      <c r="DH1246" t="str" cm="1">
        <f t="array" ref="DH1246">IF($A1246="","",_xlfn.LET(_xlpm.c,IFERROR(_xlfn.XLOOKUP($A1246,TRIM('Sales and count'!$A$4:$A$300&amp;""),TRIM('Sales and count'!$B$4:$B$300&amp;"")),""),IF(OR(_xlpm.c="",_xlpm.c="0",LEFT(_xlpm.c,1)="#"),"Not set",_xlpm.c)))</f>
        <v/>
      </c>
    </row>
    <row r="1247" spans="1:112" x14ac:dyDescent="0.25">
      <c r="A1247" t="str">
        <f>IF('Staff Daily sales'!$B1232="","",TRIM('Staff Daily sales'!$B1232&amp;""))</f>
        <v/>
      </c>
      <c r="B1247" t="str">
        <f>IF('Staff Daily sales'!$D1232="","",TRIM('Staff Daily sales'!$D1232&amp;""))</f>
        <v/>
      </c>
      <c r="C1247" t="str">
        <f>IFERROR(TRIM('Staff Daily sales'!$E1232&amp;""),"")</f>
        <v/>
      </c>
      <c r="D1247" t="str">
        <f>IFERROR(IF(TRIM('Staff Daily sales'!$F1232&amp;"")="","Unassigned",TRIM('Staff Daily sales'!$F1232&amp;"")),"Unassigned")</f>
        <v>Unassigned</v>
      </c>
      <c r="E1247">
        <f t="shared" si="330"/>
        <v>0</v>
      </c>
      <c r="F1247">
        <f>IF($E1247=0,0,SUMPRODUCT($AI$5:$DF$5,'Staff Daily sales'!$G1232:$CD1232))</f>
        <v>0</v>
      </c>
      <c r="G1247">
        <f>IF($E1247=0,0,SUMPRODUCT($AI$6:$DF$6,'Staff Daily sales'!$G1232:$CD1232))</f>
        <v>0</v>
      </c>
      <c r="H1247">
        <f t="shared" si="331"/>
        <v>0</v>
      </c>
      <c r="I1247">
        <f t="shared" si="332"/>
        <v>0</v>
      </c>
      <c r="J1247">
        <f t="shared" si="333"/>
        <v>0</v>
      </c>
      <c r="K1247">
        <f t="shared" si="334"/>
        <v>0</v>
      </c>
      <c r="L1247">
        <f>--AND($E1247=1,OR('Staff Dashboard'!$B$6="All",$DH1247='Staff Dashboard'!$B$6),OR('Staff Dashboard'!$B$7="All",$D1247='Staff Dashboard'!$B$7),OR('Staff Dashboard'!$B$8="All",$A1247='Staff Dashboard'!$B$8))</f>
        <v>0</v>
      </c>
      <c r="M1247">
        <f>IF($E1247=0,0,SUMPRODUCT($AI$7:$DF$7,'Staff Daily sales'!$G1232:$CD1232))</f>
        <v>0</v>
      </c>
      <c r="N1247">
        <f>IF($E1247=0,0,SUMPRODUCT($AI$8:$DF$8,'Staff Daily sales'!$G1232:$CD1232))</f>
        <v>0</v>
      </c>
      <c r="O1247">
        <f>IF($E1247=0,0,SUMPRODUCT($AI$9:$DF$9,'Staff Daily sales'!$G1232:$CD1232))</f>
        <v>0</v>
      </c>
      <c r="P1247">
        <f>IF($E1247=0,0,SUMPRODUCT($AI$10:$DF$10,'Staff Daily sales'!$G1232:$CD1232))</f>
        <v>0</v>
      </c>
      <c r="Q1247">
        <f>IF($E1247=0,0,SUMPRODUCT($AI$11:$DF$11,'Staff Daily sales'!$G1232:$CD1232))</f>
        <v>0</v>
      </c>
      <c r="R1247">
        <f>IF($E1247=0,0,SUMPRODUCT($AI$12:$DF$12,'Staff Daily sales'!$G1232:$CD1232))</f>
        <v>0</v>
      </c>
      <c r="S1247">
        <f>IF($E1247=0,0,SUMPRODUCT($AI$13:$DF$13,'Staff Daily sales'!$G1232:$CD1232))</f>
        <v>0</v>
      </c>
      <c r="T1247">
        <f>IF($E1247=0,0,SUMPRODUCT($AI$14:$DF$14,'Staff Daily sales'!$G1232:$CD1232))</f>
        <v>0</v>
      </c>
      <c r="U1247">
        <f>IF($E1247=0,0,SUMPRODUCT($AI$15:$DF$15,'Staff Daily sales'!$G1232:$CD1232))</f>
        <v>0</v>
      </c>
      <c r="V1247">
        <f>IF($E1247=0,0,SUMPRODUCT($AI$16:$DF$16,'Staff Daily sales'!$G1232:$CD1232))</f>
        <v>0</v>
      </c>
      <c r="W1247">
        <f t="shared" si="335"/>
        <v>0</v>
      </c>
      <c r="X1247">
        <f t="shared" si="336"/>
        <v>0</v>
      </c>
      <c r="Y1247">
        <f t="shared" si="337"/>
        <v>0</v>
      </c>
      <c r="Z1247">
        <f t="shared" si="338"/>
        <v>0</v>
      </c>
      <c r="AA1247">
        <f t="shared" si="339"/>
        <v>0</v>
      </c>
      <c r="AB1247">
        <f>--AND($E1247=1,OR('Staff Weekly Trend'!$B$3="All",$DH1247='Staff Weekly Trend'!$B$3),OR('Staff Weekly Trend'!$B$4="All",$D1247='Staff Weekly Trend'!$B$4),OR('Staff Weekly Trend'!$B$5="All",$A1247='Staff Weekly Trend'!$B$5))</f>
        <v>0</v>
      </c>
      <c r="AC1247" t="str">
        <f t="shared" si="340"/>
        <v/>
      </c>
      <c r="AI1247">
        <f t="shared" si="341"/>
        <v>0</v>
      </c>
      <c r="AJ1247">
        <f t="shared" si="342"/>
        <v>0</v>
      </c>
      <c r="AK1247">
        <f t="shared" si="343"/>
        <v>0</v>
      </c>
      <c r="AL1247">
        <f t="shared" si="344"/>
        <v>0</v>
      </c>
      <c r="AM1247">
        <f t="shared" si="345"/>
        <v>0</v>
      </c>
      <c r="DH1247" t="str" cm="1">
        <f t="array" ref="DH1247">IF($A1247="","",_xlfn.LET(_xlpm.c,IFERROR(_xlfn.XLOOKUP($A1247,TRIM('Sales and count'!$A$4:$A$300&amp;""),TRIM('Sales and count'!$B$4:$B$300&amp;"")),""),IF(OR(_xlpm.c="",_xlpm.c="0",LEFT(_xlpm.c,1)="#"),"Not set",_xlpm.c)))</f>
        <v/>
      </c>
    </row>
    <row r="1248" spans="1:112" x14ac:dyDescent="0.25">
      <c r="A1248" t="str">
        <f>IF('Staff Daily sales'!$B1233="","",TRIM('Staff Daily sales'!$B1233&amp;""))</f>
        <v/>
      </c>
      <c r="B1248" t="str">
        <f>IF('Staff Daily sales'!$D1233="","",TRIM('Staff Daily sales'!$D1233&amp;""))</f>
        <v/>
      </c>
      <c r="C1248" t="str">
        <f>IFERROR(TRIM('Staff Daily sales'!$E1233&amp;""),"")</f>
        <v/>
      </c>
      <c r="D1248" t="str">
        <f>IFERROR(IF(TRIM('Staff Daily sales'!$F1233&amp;"")="","Unassigned",TRIM('Staff Daily sales'!$F1233&amp;"")),"Unassigned")</f>
        <v>Unassigned</v>
      </c>
      <c r="E1248">
        <f t="shared" si="330"/>
        <v>0</v>
      </c>
      <c r="F1248">
        <f>IF($E1248=0,0,SUMPRODUCT($AI$5:$DF$5,'Staff Daily sales'!$G1233:$CD1233))</f>
        <v>0</v>
      </c>
      <c r="G1248">
        <f>IF($E1248=0,0,SUMPRODUCT($AI$6:$DF$6,'Staff Daily sales'!$G1233:$CD1233))</f>
        <v>0</v>
      </c>
      <c r="H1248">
        <f t="shared" si="331"/>
        <v>0</v>
      </c>
      <c r="I1248">
        <f t="shared" si="332"/>
        <v>0</v>
      </c>
      <c r="J1248">
        <f t="shared" si="333"/>
        <v>0</v>
      </c>
      <c r="K1248">
        <f t="shared" si="334"/>
        <v>0</v>
      </c>
      <c r="L1248">
        <f>--AND($E1248=1,OR('Staff Dashboard'!$B$6="All",$DH1248='Staff Dashboard'!$B$6),OR('Staff Dashboard'!$B$7="All",$D1248='Staff Dashboard'!$B$7),OR('Staff Dashboard'!$B$8="All",$A1248='Staff Dashboard'!$B$8))</f>
        <v>0</v>
      </c>
      <c r="M1248">
        <f>IF($E1248=0,0,SUMPRODUCT($AI$7:$DF$7,'Staff Daily sales'!$G1233:$CD1233))</f>
        <v>0</v>
      </c>
      <c r="N1248">
        <f>IF($E1248=0,0,SUMPRODUCT($AI$8:$DF$8,'Staff Daily sales'!$G1233:$CD1233))</f>
        <v>0</v>
      </c>
      <c r="O1248">
        <f>IF($E1248=0,0,SUMPRODUCT($AI$9:$DF$9,'Staff Daily sales'!$G1233:$CD1233))</f>
        <v>0</v>
      </c>
      <c r="P1248">
        <f>IF($E1248=0,0,SUMPRODUCT($AI$10:$DF$10,'Staff Daily sales'!$G1233:$CD1233))</f>
        <v>0</v>
      </c>
      <c r="Q1248">
        <f>IF($E1248=0,0,SUMPRODUCT($AI$11:$DF$11,'Staff Daily sales'!$G1233:$CD1233))</f>
        <v>0</v>
      </c>
      <c r="R1248">
        <f>IF($E1248=0,0,SUMPRODUCT($AI$12:$DF$12,'Staff Daily sales'!$G1233:$CD1233))</f>
        <v>0</v>
      </c>
      <c r="S1248">
        <f>IF($E1248=0,0,SUMPRODUCT($AI$13:$DF$13,'Staff Daily sales'!$G1233:$CD1233))</f>
        <v>0</v>
      </c>
      <c r="T1248">
        <f>IF($E1248=0,0,SUMPRODUCT($AI$14:$DF$14,'Staff Daily sales'!$G1233:$CD1233))</f>
        <v>0</v>
      </c>
      <c r="U1248">
        <f>IF($E1248=0,0,SUMPRODUCT($AI$15:$DF$15,'Staff Daily sales'!$G1233:$CD1233))</f>
        <v>0</v>
      </c>
      <c r="V1248">
        <f>IF($E1248=0,0,SUMPRODUCT($AI$16:$DF$16,'Staff Daily sales'!$G1233:$CD1233))</f>
        <v>0</v>
      </c>
      <c r="W1248">
        <f t="shared" si="335"/>
        <v>0</v>
      </c>
      <c r="X1248">
        <f t="shared" si="336"/>
        <v>0</v>
      </c>
      <c r="Y1248">
        <f t="shared" si="337"/>
        <v>0</v>
      </c>
      <c r="Z1248">
        <f t="shared" si="338"/>
        <v>0</v>
      </c>
      <c r="AA1248">
        <f t="shared" si="339"/>
        <v>0</v>
      </c>
      <c r="AB1248">
        <f>--AND($E1248=1,OR('Staff Weekly Trend'!$B$3="All",$DH1248='Staff Weekly Trend'!$B$3),OR('Staff Weekly Trend'!$B$4="All",$D1248='Staff Weekly Trend'!$B$4),OR('Staff Weekly Trend'!$B$5="All",$A1248='Staff Weekly Trend'!$B$5))</f>
        <v>0</v>
      </c>
      <c r="AC1248" t="str">
        <f t="shared" si="340"/>
        <v/>
      </c>
      <c r="AI1248">
        <f t="shared" si="341"/>
        <v>0</v>
      </c>
      <c r="AJ1248">
        <f t="shared" si="342"/>
        <v>0</v>
      </c>
      <c r="AK1248">
        <f t="shared" si="343"/>
        <v>0</v>
      </c>
      <c r="AL1248">
        <f t="shared" si="344"/>
        <v>0</v>
      </c>
      <c r="AM1248">
        <f t="shared" si="345"/>
        <v>0</v>
      </c>
      <c r="DH1248" t="str" cm="1">
        <f t="array" ref="DH1248">IF($A1248="","",_xlfn.LET(_xlpm.c,IFERROR(_xlfn.XLOOKUP($A1248,TRIM('Sales and count'!$A$4:$A$300&amp;""),TRIM('Sales and count'!$B$4:$B$300&amp;"")),""),IF(OR(_xlpm.c="",_xlpm.c="0",LEFT(_xlpm.c,1)="#"),"Not set",_xlpm.c)))</f>
        <v/>
      </c>
    </row>
    <row r="1249" spans="1:112" x14ac:dyDescent="0.25">
      <c r="A1249" t="str">
        <f>IF('Staff Daily sales'!$B1234="","",TRIM('Staff Daily sales'!$B1234&amp;""))</f>
        <v/>
      </c>
      <c r="B1249" t="str">
        <f>IF('Staff Daily sales'!$D1234="","",TRIM('Staff Daily sales'!$D1234&amp;""))</f>
        <v/>
      </c>
      <c r="C1249" t="str">
        <f>IFERROR(TRIM('Staff Daily sales'!$E1234&amp;""),"")</f>
        <v/>
      </c>
      <c r="D1249" t="str">
        <f>IFERROR(IF(TRIM('Staff Daily sales'!$F1234&amp;"")="","Unassigned",TRIM('Staff Daily sales'!$F1234&amp;"")),"Unassigned")</f>
        <v>Unassigned</v>
      </c>
      <c r="E1249">
        <f t="shared" si="330"/>
        <v>0</v>
      </c>
      <c r="F1249">
        <f>IF($E1249=0,0,SUMPRODUCT($AI$5:$DF$5,'Staff Daily sales'!$G1234:$CD1234))</f>
        <v>0</v>
      </c>
      <c r="G1249">
        <f>IF($E1249=0,0,SUMPRODUCT($AI$6:$DF$6,'Staff Daily sales'!$G1234:$CD1234))</f>
        <v>0</v>
      </c>
      <c r="H1249">
        <f t="shared" si="331"/>
        <v>0</v>
      </c>
      <c r="I1249">
        <f t="shared" si="332"/>
        <v>0</v>
      </c>
      <c r="J1249">
        <f t="shared" si="333"/>
        <v>0</v>
      </c>
      <c r="K1249">
        <f t="shared" si="334"/>
        <v>0</v>
      </c>
      <c r="L1249">
        <f>--AND($E1249=1,OR('Staff Dashboard'!$B$6="All",$DH1249='Staff Dashboard'!$B$6),OR('Staff Dashboard'!$B$7="All",$D1249='Staff Dashboard'!$B$7),OR('Staff Dashboard'!$B$8="All",$A1249='Staff Dashboard'!$B$8))</f>
        <v>0</v>
      </c>
      <c r="M1249">
        <f>IF($E1249=0,0,SUMPRODUCT($AI$7:$DF$7,'Staff Daily sales'!$G1234:$CD1234))</f>
        <v>0</v>
      </c>
      <c r="N1249">
        <f>IF($E1249=0,0,SUMPRODUCT($AI$8:$DF$8,'Staff Daily sales'!$G1234:$CD1234))</f>
        <v>0</v>
      </c>
      <c r="O1249">
        <f>IF($E1249=0,0,SUMPRODUCT($AI$9:$DF$9,'Staff Daily sales'!$G1234:$CD1234))</f>
        <v>0</v>
      </c>
      <c r="P1249">
        <f>IF($E1249=0,0,SUMPRODUCT($AI$10:$DF$10,'Staff Daily sales'!$G1234:$CD1234))</f>
        <v>0</v>
      </c>
      <c r="Q1249">
        <f>IF($E1249=0,0,SUMPRODUCT($AI$11:$DF$11,'Staff Daily sales'!$G1234:$CD1234))</f>
        <v>0</v>
      </c>
      <c r="R1249">
        <f>IF($E1249=0,0,SUMPRODUCT($AI$12:$DF$12,'Staff Daily sales'!$G1234:$CD1234))</f>
        <v>0</v>
      </c>
      <c r="S1249">
        <f>IF($E1249=0,0,SUMPRODUCT($AI$13:$DF$13,'Staff Daily sales'!$G1234:$CD1234))</f>
        <v>0</v>
      </c>
      <c r="T1249">
        <f>IF($E1249=0,0,SUMPRODUCT($AI$14:$DF$14,'Staff Daily sales'!$G1234:$CD1234))</f>
        <v>0</v>
      </c>
      <c r="U1249">
        <f>IF($E1249=0,0,SUMPRODUCT($AI$15:$DF$15,'Staff Daily sales'!$G1234:$CD1234))</f>
        <v>0</v>
      </c>
      <c r="V1249">
        <f>IF($E1249=0,0,SUMPRODUCT($AI$16:$DF$16,'Staff Daily sales'!$G1234:$CD1234))</f>
        <v>0</v>
      </c>
      <c r="W1249">
        <f t="shared" si="335"/>
        <v>0</v>
      </c>
      <c r="X1249">
        <f t="shared" si="336"/>
        <v>0</v>
      </c>
      <c r="Y1249">
        <f t="shared" si="337"/>
        <v>0</v>
      </c>
      <c r="Z1249">
        <f t="shared" si="338"/>
        <v>0</v>
      </c>
      <c r="AA1249">
        <f t="shared" si="339"/>
        <v>0</v>
      </c>
      <c r="AB1249">
        <f>--AND($E1249=1,OR('Staff Weekly Trend'!$B$3="All",$DH1249='Staff Weekly Trend'!$B$3),OR('Staff Weekly Trend'!$B$4="All",$D1249='Staff Weekly Trend'!$B$4),OR('Staff Weekly Trend'!$B$5="All",$A1249='Staff Weekly Trend'!$B$5))</f>
        <v>0</v>
      </c>
      <c r="AC1249" t="str">
        <f t="shared" si="340"/>
        <v/>
      </c>
      <c r="AI1249">
        <f t="shared" si="341"/>
        <v>0</v>
      </c>
      <c r="AJ1249">
        <f t="shared" si="342"/>
        <v>0</v>
      </c>
      <c r="AK1249">
        <f t="shared" si="343"/>
        <v>0</v>
      </c>
      <c r="AL1249">
        <f t="shared" si="344"/>
        <v>0</v>
      </c>
      <c r="AM1249">
        <f t="shared" si="345"/>
        <v>0</v>
      </c>
      <c r="DH1249" t="str" cm="1">
        <f t="array" ref="DH1249">IF($A1249="","",_xlfn.LET(_xlpm.c,IFERROR(_xlfn.XLOOKUP($A1249,TRIM('Sales and count'!$A$4:$A$300&amp;""),TRIM('Sales and count'!$B$4:$B$300&amp;"")),""),IF(OR(_xlpm.c="",_xlpm.c="0",LEFT(_xlpm.c,1)="#"),"Not set",_xlpm.c)))</f>
        <v/>
      </c>
    </row>
    <row r="1250" spans="1:112" x14ac:dyDescent="0.25">
      <c r="A1250" t="str">
        <f>IF('Staff Daily sales'!$B1235="","",TRIM('Staff Daily sales'!$B1235&amp;""))</f>
        <v/>
      </c>
      <c r="B1250" t="str">
        <f>IF('Staff Daily sales'!$D1235="","",TRIM('Staff Daily sales'!$D1235&amp;""))</f>
        <v/>
      </c>
      <c r="C1250" t="str">
        <f>IFERROR(TRIM('Staff Daily sales'!$E1235&amp;""),"")</f>
        <v/>
      </c>
      <c r="D1250" t="str">
        <f>IFERROR(IF(TRIM('Staff Daily sales'!$F1235&amp;"")="","Unassigned",TRIM('Staff Daily sales'!$F1235&amp;"")),"Unassigned")</f>
        <v>Unassigned</v>
      </c>
      <c r="E1250">
        <f t="shared" si="330"/>
        <v>0</v>
      </c>
      <c r="F1250">
        <f>IF($E1250=0,0,SUMPRODUCT($AI$5:$DF$5,'Staff Daily sales'!$G1235:$CD1235))</f>
        <v>0</v>
      </c>
      <c r="G1250">
        <f>IF($E1250=0,0,SUMPRODUCT($AI$6:$DF$6,'Staff Daily sales'!$G1235:$CD1235))</f>
        <v>0</v>
      </c>
      <c r="H1250">
        <f t="shared" si="331"/>
        <v>0</v>
      </c>
      <c r="I1250">
        <f t="shared" si="332"/>
        <v>0</v>
      </c>
      <c r="J1250">
        <f t="shared" si="333"/>
        <v>0</v>
      </c>
      <c r="K1250">
        <f t="shared" si="334"/>
        <v>0</v>
      </c>
      <c r="L1250">
        <f>--AND($E1250=1,OR('Staff Dashboard'!$B$6="All",$DH1250='Staff Dashboard'!$B$6),OR('Staff Dashboard'!$B$7="All",$D1250='Staff Dashboard'!$B$7),OR('Staff Dashboard'!$B$8="All",$A1250='Staff Dashboard'!$B$8))</f>
        <v>0</v>
      </c>
      <c r="M1250">
        <f>IF($E1250=0,0,SUMPRODUCT($AI$7:$DF$7,'Staff Daily sales'!$G1235:$CD1235))</f>
        <v>0</v>
      </c>
      <c r="N1250">
        <f>IF($E1250=0,0,SUMPRODUCT($AI$8:$DF$8,'Staff Daily sales'!$G1235:$CD1235))</f>
        <v>0</v>
      </c>
      <c r="O1250">
        <f>IF($E1250=0,0,SUMPRODUCT($AI$9:$DF$9,'Staff Daily sales'!$G1235:$CD1235))</f>
        <v>0</v>
      </c>
      <c r="P1250">
        <f>IF($E1250=0,0,SUMPRODUCT($AI$10:$DF$10,'Staff Daily sales'!$G1235:$CD1235))</f>
        <v>0</v>
      </c>
      <c r="Q1250">
        <f>IF($E1250=0,0,SUMPRODUCT($AI$11:$DF$11,'Staff Daily sales'!$G1235:$CD1235))</f>
        <v>0</v>
      </c>
      <c r="R1250">
        <f>IF($E1250=0,0,SUMPRODUCT($AI$12:$DF$12,'Staff Daily sales'!$G1235:$CD1235))</f>
        <v>0</v>
      </c>
      <c r="S1250">
        <f>IF($E1250=0,0,SUMPRODUCT($AI$13:$DF$13,'Staff Daily sales'!$G1235:$CD1235))</f>
        <v>0</v>
      </c>
      <c r="T1250">
        <f>IF($E1250=0,0,SUMPRODUCT($AI$14:$DF$14,'Staff Daily sales'!$G1235:$CD1235))</f>
        <v>0</v>
      </c>
      <c r="U1250">
        <f>IF($E1250=0,0,SUMPRODUCT($AI$15:$DF$15,'Staff Daily sales'!$G1235:$CD1235))</f>
        <v>0</v>
      </c>
      <c r="V1250">
        <f>IF($E1250=0,0,SUMPRODUCT($AI$16:$DF$16,'Staff Daily sales'!$G1235:$CD1235))</f>
        <v>0</v>
      </c>
      <c r="W1250">
        <f t="shared" si="335"/>
        <v>0</v>
      </c>
      <c r="X1250">
        <f t="shared" si="336"/>
        <v>0</v>
      </c>
      <c r="Y1250">
        <f t="shared" si="337"/>
        <v>0</v>
      </c>
      <c r="Z1250">
        <f t="shared" si="338"/>
        <v>0</v>
      </c>
      <c r="AA1250">
        <f t="shared" si="339"/>
        <v>0</v>
      </c>
      <c r="AB1250">
        <f>--AND($E1250=1,OR('Staff Weekly Trend'!$B$3="All",$DH1250='Staff Weekly Trend'!$B$3),OR('Staff Weekly Trend'!$B$4="All",$D1250='Staff Weekly Trend'!$B$4),OR('Staff Weekly Trend'!$B$5="All",$A1250='Staff Weekly Trend'!$B$5))</f>
        <v>0</v>
      </c>
      <c r="AC1250" t="str">
        <f t="shared" si="340"/>
        <v/>
      </c>
      <c r="AI1250">
        <f t="shared" si="341"/>
        <v>0</v>
      </c>
      <c r="AJ1250">
        <f t="shared" si="342"/>
        <v>0</v>
      </c>
      <c r="AK1250">
        <f t="shared" si="343"/>
        <v>0</v>
      </c>
      <c r="AL1250">
        <f t="shared" si="344"/>
        <v>0</v>
      </c>
      <c r="AM1250">
        <f t="shared" si="345"/>
        <v>0</v>
      </c>
      <c r="DH1250" t="str" cm="1">
        <f t="array" ref="DH1250">IF($A1250="","",_xlfn.LET(_xlpm.c,IFERROR(_xlfn.XLOOKUP($A1250,TRIM('Sales and count'!$A$4:$A$300&amp;""),TRIM('Sales and count'!$B$4:$B$300&amp;"")),""),IF(OR(_xlpm.c="",_xlpm.c="0",LEFT(_xlpm.c,1)="#"),"Not set",_xlpm.c)))</f>
        <v/>
      </c>
    </row>
    <row r="1251" spans="1:112" x14ac:dyDescent="0.25">
      <c r="A1251" t="str">
        <f>IF('Staff Daily sales'!$B1236="","",TRIM('Staff Daily sales'!$B1236&amp;""))</f>
        <v/>
      </c>
      <c r="B1251" t="str">
        <f>IF('Staff Daily sales'!$D1236="","",TRIM('Staff Daily sales'!$D1236&amp;""))</f>
        <v/>
      </c>
      <c r="C1251" t="str">
        <f>IFERROR(TRIM('Staff Daily sales'!$E1236&amp;""),"")</f>
        <v/>
      </c>
      <c r="D1251" t="str">
        <f>IFERROR(IF(TRIM('Staff Daily sales'!$F1236&amp;"")="","Unassigned",TRIM('Staff Daily sales'!$F1236&amp;"")),"Unassigned")</f>
        <v>Unassigned</v>
      </c>
      <c r="E1251">
        <f t="shared" si="330"/>
        <v>0</v>
      </c>
      <c r="F1251">
        <f>IF($E1251=0,0,SUMPRODUCT($AI$5:$DF$5,'Staff Daily sales'!$G1236:$CD1236))</f>
        <v>0</v>
      </c>
      <c r="G1251">
        <f>IF($E1251=0,0,SUMPRODUCT($AI$6:$DF$6,'Staff Daily sales'!$G1236:$CD1236))</f>
        <v>0</v>
      </c>
      <c r="H1251">
        <f t="shared" si="331"/>
        <v>0</v>
      </c>
      <c r="I1251">
        <f t="shared" si="332"/>
        <v>0</v>
      </c>
      <c r="J1251">
        <f t="shared" si="333"/>
        <v>0</v>
      </c>
      <c r="K1251">
        <f t="shared" si="334"/>
        <v>0</v>
      </c>
      <c r="L1251">
        <f>--AND($E1251=1,OR('Staff Dashboard'!$B$6="All",$DH1251='Staff Dashboard'!$B$6),OR('Staff Dashboard'!$B$7="All",$D1251='Staff Dashboard'!$B$7),OR('Staff Dashboard'!$B$8="All",$A1251='Staff Dashboard'!$B$8))</f>
        <v>0</v>
      </c>
      <c r="M1251">
        <f>IF($E1251=0,0,SUMPRODUCT($AI$7:$DF$7,'Staff Daily sales'!$G1236:$CD1236))</f>
        <v>0</v>
      </c>
      <c r="N1251">
        <f>IF($E1251=0,0,SUMPRODUCT($AI$8:$DF$8,'Staff Daily sales'!$G1236:$CD1236))</f>
        <v>0</v>
      </c>
      <c r="O1251">
        <f>IF($E1251=0,0,SUMPRODUCT($AI$9:$DF$9,'Staff Daily sales'!$G1236:$CD1236))</f>
        <v>0</v>
      </c>
      <c r="P1251">
        <f>IF($E1251=0,0,SUMPRODUCT($AI$10:$DF$10,'Staff Daily sales'!$G1236:$CD1236))</f>
        <v>0</v>
      </c>
      <c r="Q1251">
        <f>IF($E1251=0,0,SUMPRODUCT($AI$11:$DF$11,'Staff Daily sales'!$G1236:$CD1236))</f>
        <v>0</v>
      </c>
      <c r="R1251">
        <f>IF($E1251=0,0,SUMPRODUCT($AI$12:$DF$12,'Staff Daily sales'!$G1236:$CD1236))</f>
        <v>0</v>
      </c>
      <c r="S1251">
        <f>IF($E1251=0,0,SUMPRODUCT($AI$13:$DF$13,'Staff Daily sales'!$G1236:$CD1236))</f>
        <v>0</v>
      </c>
      <c r="T1251">
        <f>IF($E1251=0,0,SUMPRODUCT($AI$14:$DF$14,'Staff Daily sales'!$G1236:$CD1236))</f>
        <v>0</v>
      </c>
      <c r="U1251">
        <f>IF($E1251=0,0,SUMPRODUCT($AI$15:$DF$15,'Staff Daily sales'!$G1236:$CD1236))</f>
        <v>0</v>
      </c>
      <c r="V1251">
        <f>IF($E1251=0,0,SUMPRODUCT($AI$16:$DF$16,'Staff Daily sales'!$G1236:$CD1236))</f>
        <v>0</v>
      </c>
      <c r="W1251">
        <f t="shared" si="335"/>
        <v>0</v>
      </c>
      <c r="X1251">
        <f t="shared" si="336"/>
        <v>0</v>
      </c>
      <c r="Y1251">
        <f t="shared" si="337"/>
        <v>0</v>
      </c>
      <c r="Z1251">
        <f t="shared" si="338"/>
        <v>0</v>
      </c>
      <c r="AA1251">
        <f t="shared" si="339"/>
        <v>0</v>
      </c>
      <c r="AB1251">
        <f>--AND($E1251=1,OR('Staff Weekly Trend'!$B$3="All",$DH1251='Staff Weekly Trend'!$B$3),OR('Staff Weekly Trend'!$B$4="All",$D1251='Staff Weekly Trend'!$B$4),OR('Staff Weekly Trend'!$B$5="All",$A1251='Staff Weekly Trend'!$B$5))</f>
        <v>0</v>
      </c>
      <c r="AC1251" t="str">
        <f t="shared" si="340"/>
        <v/>
      </c>
      <c r="AI1251">
        <f t="shared" si="341"/>
        <v>0</v>
      </c>
      <c r="AJ1251">
        <f t="shared" si="342"/>
        <v>0</v>
      </c>
      <c r="AK1251">
        <f t="shared" si="343"/>
        <v>0</v>
      </c>
      <c r="AL1251">
        <f t="shared" si="344"/>
        <v>0</v>
      </c>
      <c r="AM1251">
        <f t="shared" si="345"/>
        <v>0</v>
      </c>
      <c r="DH1251" t="str" cm="1">
        <f t="array" ref="DH1251">IF($A1251="","",_xlfn.LET(_xlpm.c,IFERROR(_xlfn.XLOOKUP($A1251,TRIM('Sales and count'!$A$4:$A$300&amp;""),TRIM('Sales and count'!$B$4:$B$300&amp;"")),""),IF(OR(_xlpm.c="",_xlpm.c="0",LEFT(_xlpm.c,1)="#"),"Not set",_xlpm.c)))</f>
        <v/>
      </c>
    </row>
    <row r="1252" spans="1:112" x14ac:dyDescent="0.25">
      <c r="A1252" t="str">
        <f>IF('Staff Daily sales'!$B1237="","",TRIM('Staff Daily sales'!$B1237&amp;""))</f>
        <v/>
      </c>
      <c r="B1252" t="str">
        <f>IF('Staff Daily sales'!$D1237="","",TRIM('Staff Daily sales'!$D1237&amp;""))</f>
        <v/>
      </c>
      <c r="C1252" t="str">
        <f>IFERROR(TRIM('Staff Daily sales'!$E1237&amp;""),"")</f>
        <v/>
      </c>
      <c r="D1252" t="str">
        <f>IFERROR(IF(TRIM('Staff Daily sales'!$F1237&amp;"")="","Unassigned",TRIM('Staff Daily sales'!$F1237&amp;"")),"Unassigned")</f>
        <v>Unassigned</v>
      </c>
      <c r="E1252">
        <f t="shared" si="330"/>
        <v>0</v>
      </c>
      <c r="F1252">
        <f>IF($E1252=0,0,SUMPRODUCT($AI$5:$DF$5,'Staff Daily sales'!$G1237:$CD1237))</f>
        <v>0</v>
      </c>
      <c r="G1252">
        <f>IF($E1252=0,0,SUMPRODUCT($AI$6:$DF$6,'Staff Daily sales'!$G1237:$CD1237))</f>
        <v>0</v>
      </c>
      <c r="H1252">
        <f t="shared" si="331"/>
        <v>0</v>
      </c>
      <c r="I1252">
        <f t="shared" si="332"/>
        <v>0</v>
      </c>
      <c r="J1252">
        <f t="shared" si="333"/>
        <v>0</v>
      </c>
      <c r="K1252">
        <f t="shared" si="334"/>
        <v>0</v>
      </c>
      <c r="L1252">
        <f>--AND($E1252=1,OR('Staff Dashboard'!$B$6="All",$DH1252='Staff Dashboard'!$B$6),OR('Staff Dashboard'!$B$7="All",$D1252='Staff Dashboard'!$B$7),OR('Staff Dashboard'!$B$8="All",$A1252='Staff Dashboard'!$B$8))</f>
        <v>0</v>
      </c>
      <c r="M1252">
        <f>IF($E1252=0,0,SUMPRODUCT($AI$7:$DF$7,'Staff Daily sales'!$G1237:$CD1237))</f>
        <v>0</v>
      </c>
      <c r="N1252">
        <f>IF($E1252=0,0,SUMPRODUCT($AI$8:$DF$8,'Staff Daily sales'!$G1237:$CD1237))</f>
        <v>0</v>
      </c>
      <c r="O1252">
        <f>IF($E1252=0,0,SUMPRODUCT($AI$9:$DF$9,'Staff Daily sales'!$G1237:$CD1237))</f>
        <v>0</v>
      </c>
      <c r="P1252">
        <f>IF($E1252=0,0,SUMPRODUCT($AI$10:$DF$10,'Staff Daily sales'!$G1237:$CD1237))</f>
        <v>0</v>
      </c>
      <c r="Q1252">
        <f>IF($E1252=0,0,SUMPRODUCT($AI$11:$DF$11,'Staff Daily sales'!$G1237:$CD1237))</f>
        <v>0</v>
      </c>
      <c r="R1252">
        <f>IF($E1252=0,0,SUMPRODUCT($AI$12:$DF$12,'Staff Daily sales'!$G1237:$CD1237))</f>
        <v>0</v>
      </c>
      <c r="S1252">
        <f>IF($E1252=0,0,SUMPRODUCT($AI$13:$DF$13,'Staff Daily sales'!$G1237:$CD1237))</f>
        <v>0</v>
      </c>
      <c r="T1252">
        <f>IF($E1252=0,0,SUMPRODUCT($AI$14:$DF$14,'Staff Daily sales'!$G1237:$CD1237))</f>
        <v>0</v>
      </c>
      <c r="U1252">
        <f>IF($E1252=0,0,SUMPRODUCT($AI$15:$DF$15,'Staff Daily sales'!$G1237:$CD1237))</f>
        <v>0</v>
      </c>
      <c r="V1252">
        <f>IF($E1252=0,0,SUMPRODUCT($AI$16:$DF$16,'Staff Daily sales'!$G1237:$CD1237))</f>
        <v>0</v>
      </c>
      <c r="W1252">
        <f t="shared" si="335"/>
        <v>0</v>
      </c>
      <c r="X1252">
        <f t="shared" si="336"/>
        <v>0</v>
      </c>
      <c r="Y1252">
        <f t="shared" si="337"/>
        <v>0</v>
      </c>
      <c r="Z1252">
        <f t="shared" si="338"/>
        <v>0</v>
      </c>
      <c r="AA1252">
        <f t="shared" si="339"/>
        <v>0</v>
      </c>
      <c r="AB1252">
        <f>--AND($E1252=1,OR('Staff Weekly Trend'!$B$3="All",$DH1252='Staff Weekly Trend'!$B$3),OR('Staff Weekly Trend'!$B$4="All",$D1252='Staff Weekly Trend'!$B$4),OR('Staff Weekly Trend'!$B$5="All",$A1252='Staff Weekly Trend'!$B$5))</f>
        <v>0</v>
      </c>
      <c r="AC1252" t="str">
        <f t="shared" si="340"/>
        <v/>
      </c>
      <c r="AI1252">
        <f t="shared" si="341"/>
        <v>0</v>
      </c>
      <c r="AJ1252">
        <f t="shared" si="342"/>
        <v>0</v>
      </c>
      <c r="AK1252">
        <f t="shared" si="343"/>
        <v>0</v>
      </c>
      <c r="AL1252">
        <f t="shared" si="344"/>
        <v>0</v>
      </c>
      <c r="AM1252">
        <f t="shared" si="345"/>
        <v>0</v>
      </c>
      <c r="DH1252" t="str" cm="1">
        <f t="array" ref="DH1252">IF($A1252="","",_xlfn.LET(_xlpm.c,IFERROR(_xlfn.XLOOKUP($A1252,TRIM('Sales and count'!$A$4:$A$300&amp;""),TRIM('Sales and count'!$B$4:$B$300&amp;"")),""),IF(OR(_xlpm.c="",_xlpm.c="0",LEFT(_xlpm.c,1)="#"),"Not set",_xlpm.c)))</f>
        <v/>
      </c>
    </row>
    <row r="1253" spans="1:112" x14ac:dyDescent="0.25">
      <c r="A1253" t="str">
        <f>IF('Staff Daily sales'!$B1238="","",TRIM('Staff Daily sales'!$B1238&amp;""))</f>
        <v/>
      </c>
      <c r="B1253" t="str">
        <f>IF('Staff Daily sales'!$D1238="","",TRIM('Staff Daily sales'!$D1238&amp;""))</f>
        <v/>
      </c>
      <c r="C1253" t="str">
        <f>IFERROR(TRIM('Staff Daily sales'!$E1238&amp;""),"")</f>
        <v/>
      </c>
      <c r="D1253" t="str">
        <f>IFERROR(IF(TRIM('Staff Daily sales'!$F1238&amp;"")="","Unassigned",TRIM('Staff Daily sales'!$F1238&amp;"")),"Unassigned")</f>
        <v>Unassigned</v>
      </c>
      <c r="E1253">
        <f t="shared" si="330"/>
        <v>0</v>
      </c>
      <c r="F1253">
        <f>IF($E1253=0,0,SUMPRODUCT($AI$5:$DF$5,'Staff Daily sales'!$G1238:$CD1238))</f>
        <v>0</v>
      </c>
      <c r="G1253">
        <f>IF($E1253=0,0,SUMPRODUCT($AI$6:$DF$6,'Staff Daily sales'!$G1238:$CD1238))</f>
        <v>0</v>
      </c>
      <c r="H1253">
        <f t="shared" si="331"/>
        <v>0</v>
      </c>
      <c r="I1253">
        <f t="shared" si="332"/>
        <v>0</v>
      </c>
      <c r="J1253">
        <f t="shared" si="333"/>
        <v>0</v>
      </c>
      <c r="K1253">
        <f t="shared" si="334"/>
        <v>0</v>
      </c>
      <c r="L1253">
        <f>--AND($E1253=1,OR('Staff Dashboard'!$B$6="All",$DH1253='Staff Dashboard'!$B$6),OR('Staff Dashboard'!$B$7="All",$D1253='Staff Dashboard'!$B$7),OR('Staff Dashboard'!$B$8="All",$A1253='Staff Dashboard'!$B$8))</f>
        <v>0</v>
      </c>
      <c r="M1253">
        <f>IF($E1253=0,0,SUMPRODUCT($AI$7:$DF$7,'Staff Daily sales'!$G1238:$CD1238))</f>
        <v>0</v>
      </c>
      <c r="N1253">
        <f>IF($E1253=0,0,SUMPRODUCT($AI$8:$DF$8,'Staff Daily sales'!$G1238:$CD1238))</f>
        <v>0</v>
      </c>
      <c r="O1253">
        <f>IF($E1253=0,0,SUMPRODUCT($AI$9:$DF$9,'Staff Daily sales'!$G1238:$CD1238))</f>
        <v>0</v>
      </c>
      <c r="P1253">
        <f>IF($E1253=0,0,SUMPRODUCT($AI$10:$DF$10,'Staff Daily sales'!$G1238:$CD1238))</f>
        <v>0</v>
      </c>
      <c r="Q1253">
        <f>IF($E1253=0,0,SUMPRODUCT($AI$11:$DF$11,'Staff Daily sales'!$G1238:$CD1238))</f>
        <v>0</v>
      </c>
      <c r="R1253">
        <f>IF($E1253=0,0,SUMPRODUCT($AI$12:$DF$12,'Staff Daily sales'!$G1238:$CD1238))</f>
        <v>0</v>
      </c>
      <c r="S1253">
        <f>IF($E1253=0,0,SUMPRODUCT($AI$13:$DF$13,'Staff Daily sales'!$G1238:$CD1238))</f>
        <v>0</v>
      </c>
      <c r="T1253">
        <f>IF($E1253=0,0,SUMPRODUCT($AI$14:$DF$14,'Staff Daily sales'!$G1238:$CD1238))</f>
        <v>0</v>
      </c>
      <c r="U1253">
        <f>IF($E1253=0,0,SUMPRODUCT($AI$15:$DF$15,'Staff Daily sales'!$G1238:$CD1238))</f>
        <v>0</v>
      </c>
      <c r="V1253">
        <f>IF($E1253=0,0,SUMPRODUCT($AI$16:$DF$16,'Staff Daily sales'!$G1238:$CD1238))</f>
        <v>0</v>
      </c>
      <c r="W1253">
        <f t="shared" si="335"/>
        <v>0</v>
      </c>
      <c r="X1253">
        <f t="shared" si="336"/>
        <v>0</v>
      </c>
      <c r="Y1253">
        <f t="shared" si="337"/>
        <v>0</v>
      </c>
      <c r="Z1253">
        <f t="shared" si="338"/>
        <v>0</v>
      </c>
      <c r="AA1253">
        <f t="shared" si="339"/>
        <v>0</v>
      </c>
      <c r="AB1253">
        <f>--AND($E1253=1,OR('Staff Weekly Trend'!$B$3="All",$DH1253='Staff Weekly Trend'!$B$3),OR('Staff Weekly Trend'!$B$4="All",$D1253='Staff Weekly Trend'!$B$4),OR('Staff Weekly Trend'!$B$5="All",$A1253='Staff Weekly Trend'!$B$5))</f>
        <v>0</v>
      </c>
      <c r="AC1253" t="str">
        <f t="shared" si="340"/>
        <v/>
      </c>
      <c r="AI1253">
        <f t="shared" si="341"/>
        <v>0</v>
      </c>
      <c r="AJ1253">
        <f t="shared" si="342"/>
        <v>0</v>
      </c>
      <c r="AK1253">
        <f t="shared" si="343"/>
        <v>0</v>
      </c>
      <c r="AL1253">
        <f t="shared" si="344"/>
        <v>0</v>
      </c>
      <c r="AM1253">
        <f t="shared" si="345"/>
        <v>0</v>
      </c>
      <c r="DH1253" t="str" cm="1">
        <f t="array" ref="DH1253">IF($A1253="","",_xlfn.LET(_xlpm.c,IFERROR(_xlfn.XLOOKUP($A1253,TRIM('Sales and count'!$A$4:$A$300&amp;""),TRIM('Sales and count'!$B$4:$B$300&amp;"")),""),IF(OR(_xlpm.c="",_xlpm.c="0",LEFT(_xlpm.c,1)="#"),"Not set",_xlpm.c)))</f>
        <v/>
      </c>
    </row>
    <row r="1254" spans="1:112" x14ac:dyDescent="0.25">
      <c r="A1254" t="str">
        <f>IF('Staff Daily sales'!$B1239="","",TRIM('Staff Daily sales'!$B1239&amp;""))</f>
        <v/>
      </c>
      <c r="B1254" t="str">
        <f>IF('Staff Daily sales'!$D1239="","",TRIM('Staff Daily sales'!$D1239&amp;""))</f>
        <v/>
      </c>
      <c r="C1254" t="str">
        <f>IFERROR(TRIM('Staff Daily sales'!$E1239&amp;""),"")</f>
        <v/>
      </c>
      <c r="D1254" t="str">
        <f>IFERROR(IF(TRIM('Staff Daily sales'!$F1239&amp;"")="","Unassigned",TRIM('Staff Daily sales'!$F1239&amp;"")),"Unassigned")</f>
        <v>Unassigned</v>
      </c>
      <c r="E1254">
        <f t="shared" si="330"/>
        <v>0</v>
      </c>
      <c r="F1254">
        <f>IF($E1254=0,0,SUMPRODUCT($AI$5:$DF$5,'Staff Daily sales'!$G1239:$CD1239))</f>
        <v>0</v>
      </c>
      <c r="G1254">
        <f>IF($E1254=0,0,SUMPRODUCT($AI$6:$DF$6,'Staff Daily sales'!$G1239:$CD1239))</f>
        <v>0</v>
      </c>
      <c r="H1254">
        <f t="shared" si="331"/>
        <v>0</v>
      </c>
      <c r="I1254">
        <f t="shared" si="332"/>
        <v>0</v>
      </c>
      <c r="J1254">
        <f t="shared" si="333"/>
        <v>0</v>
      </c>
      <c r="K1254">
        <f t="shared" si="334"/>
        <v>0</v>
      </c>
      <c r="L1254">
        <f>--AND($E1254=1,OR('Staff Dashboard'!$B$6="All",$DH1254='Staff Dashboard'!$B$6),OR('Staff Dashboard'!$B$7="All",$D1254='Staff Dashboard'!$B$7),OR('Staff Dashboard'!$B$8="All",$A1254='Staff Dashboard'!$B$8))</f>
        <v>0</v>
      </c>
      <c r="M1254">
        <f>IF($E1254=0,0,SUMPRODUCT($AI$7:$DF$7,'Staff Daily sales'!$G1239:$CD1239))</f>
        <v>0</v>
      </c>
      <c r="N1254">
        <f>IF($E1254=0,0,SUMPRODUCT($AI$8:$DF$8,'Staff Daily sales'!$G1239:$CD1239))</f>
        <v>0</v>
      </c>
      <c r="O1254">
        <f>IF($E1254=0,0,SUMPRODUCT($AI$9:$DF$9,'Staff Daily sales'!$G1239:$CD1239))</f>
        <v>0</v>
      </c>
      <c r="P1254">
        <f>IF($E1254=0,0,SUMPRODUCT($AI$10:$DF$10,'Staff Daily sales'!$G1239:$CD1239))</f>
        <v>0</v>
      </c>
      <c r="Q1254">
        <f>IF($E1254=0,0,SUMPRODUCT($AI$11:$DF$11,'Staff Daily sales'!$G1239:$CD1239))</f>
        <v>0</v>
      </c>
      <c r="R1254">
        <f>IF($E1254=0,0,SUMPRODUCT($AI$12:$DF$12,'Staff Daily sales'!$G1239:$CD1239))</f>
        <v>0</v>
      </c>
      <c r="S1254">
        <f>IF($E1254=0,0,SUMPRODUCT($AI$13:$DF$13,'Staff Daily sales'!$G1239:$CD1239))</f>
        <v>0</v>
      </c>
      <c r="T1254">
        <f>IF($E1254=0,0,SUMPRODUCT($AI$14:$DF$14,'Staff Daily sales'!$G1239:$CD1239))</f>
        <v>0</v>
      </c>
      <c r="U1254">
        <f>IF($E1254=0,0,SUMPRODUCT($AI$15:$DF$15,'Staff Daily sales'!$G1239:$CD1239))</f>
        <v>0</v>
      </c>
      <c r="V1254">
        <f>IF($E1254=0,0,SUMPRODUCT($AI$16:$DF$16,'Staff Daily sales'!$G1239:$CD1239))</f>
        <v>0</v>
      </c>
      <c r="W1254">
        <f t="shared" si="335"/>
        <v>0</v>
      </c>
      <c r="X1254">
        <f t="shared" si="336"/>
        <v>0</v>
      </c>
      <c r="Y1254">
        <f t="shared" si="337"/>
        <v>0</v>
      </c>
      <c r="Z1254">
        <f t="shared" si="338"/>
        <v>0</v>
      </c>
      <c r="AA1254">
        <f t="shared" si="339"/>
        <v>0</v>
      </c>
      <c r="AB1254">
        <f>--AND($E1254=1,OR('Staff Weekly Trend'!$B$3="All",$DH1254='Staff Weekly Trend'!$B$3),OR('Staff Weekly Trend'!$B$4="All",$D1254='Staff Weekly Trend'!$B$4),OR('Staff Weekly Trend'!$B$5="All",$A1254='Staff Weekly Trend'!$B$5))</f>
        <v>0</v>
      </c>
      <c r="AC1254" t="str">
        <f t="shared" si="340"/>
        <v/>
      </c>
      <c r="AI1254">
        <f t="shared" si="341"/>
        <v>0</v>
      </c>
      <c r="AJ1254">
        <f t="shared" si="342"/>
        <v>0</v>
      </c>
      <c r="AK1254">
        <f t="shared" si="343"/>
        <v>0</v>
      </c>
      <c r="AL1254">
        <f t="shared" si="344"/>
        <v>0</v>
      </c>
      <c r="AM1254">
        <f t="shared" si="345"/>
        <v>0</v>
      </c>
      <c r="DH1254" t="str" cm="1">
        <f t="array" ref="DH1254">IF($A1254="","",_xlfn.LET(_xlpm.c,IFERROR(_xlfn.XLOOKUP($A1254,TRIM('Sales and count'!$A$4:$A$300&amp;""),TRIM('Sales and count'!$B$4:$B$300&amp;"")),""),IF(OR(_xlpm.c="",_xlpm.c="0",LEFT(_xlpm.c,1)="#"),"Not set",_xlpm.c)))</f>
        <v/>
      </c>
    </row>
    <row r="1255" spans="1:112" x14ac:dyDescent="0.25">
      <c r="A1255" t="str">
        <f>IF('Staff Daily sales'!$B1240="","",TRIM('Staff Daily sales'!$B1240&amp;""))</f>
        <v/>
      </c>
      <c r="B1255" t="str">
        <f>IF('Staff Daily sales'!$D1240="","",TRIM('Staff Daily sales'!$D1240&amp;""))</f>
        <v/>
      </c>
      <c r="C1255" t="str">
        <f>IFERROR(TRIM('Staff Daily sales'!$E1240&amp;""),"")</f>
        <v/>
      </c>
      <c r="D1255" t="str">
        <f>IFERROR(IF(TRIM('Staff Daily sales'!$F1240&amp;"")="","Unassigned",TRIM('Staff Daily sales'!$F1240&amp;"")),"Unassigned")</f>
        <v>Unassigned</v>
      </c>
      <c r="E1255">
        <f t="shared" si="330"/>
        <v>0</v>
      </c>
      <c r="F1255">
        <f>IF($E1255=0,0,SUMPRODUCT($AI$5:$DF$5,'Staff Daily sales'!$G1240:$CD1240))</f>
        <v>0</v>
      </c>
      <c r="G1255">
        <f>IF($E1255=0,0,SUMPRODUCT($AI$6:$DF$6,'Staff Daily sales'!$G1240:$CD1240))</f>
        <v>0</v>
      </c>
      <c r="H1255">
        <f t="shared" si="331"/>
        <v>0</v>
      </c>
      <c r="I1255">
        <f t="shared" si="332"/>
        <v>0</v>
      </c>
      <c r="J1255">
        <f t="shared" si="333"/>
        <v>0</v>
      </c>
      <c r="K1255">
        <f t="shared" si="334"/>
        <v>0</v>
      </c>
      <c r="L1255">
        <f>--AND($E1255=1,OR('Staff Dashboard'!$B$6="All",$DH1255='Staff Dashboard'!$B$6),OR('Staff Dashboard'!$B$7="All",$D1255='Staff Dashboard'!$B$7),OR('Staff Dashboard'!$B$8="All",$A1255='Staff Dashboard'!$B$8))</f>
        <v>0</v>
      </c>
      <c r="M1255">
        <f>IF($E1255=0,0,SUMPRODUCT($AI$7:$DF$7,'Staff Daily sales'!$G1240:$CD1240))</f>
        <v>0</v>
      </c>
      <c r="N1255">
        <f>IF($E1255=0,0,SUMPRODUCT($AI$8:$DF$8,'Staff Daily sales'!$G1240:$CD1240))</f>
        <v>0</v>
      </c>
      <c r="O1255">
        <f>IF($E1255=0,0,SUMPRODUCT($AI$9:$DF$9,'Staff Daily sales'!$G1240:$CD1240))</f>
        <v>0</v>
      </c>
      <c r="P1255">
        <f>IF($E1255=0,0,SUMPRODUCT($AI$10:$DF$10,'Staff Daily sales'!$G1240:$CD1240))</f>
        <v>0</v>
      </c>
      <c r="Q1255">
        <f>IF($E1255=0,0,SUMPRODUCT($AI$11:$DF$11,'Staff Daily sales'!$G1240:$CD1240))</f>
        <v>0</v>
      </c>
      <c r="R1255">
        <f>IF($E1255=0,0,SUMPRODUCT($AI$12:$DF$12,'Staff Daily sales'!$G1240:$CD1240))</f>
        <v>0</v>
      </c>
      <c r="S1255">
        <f>IF($E1255=0,0,SUMPRODUCT($AI$13:$DF$13,'Staff Daily sales'!$G1240:$CD1240))</f>
        <v>0</v>
      </c>
      <c r="T1255">
        <f>IF($E1255=0,0,SUMPRODUCT($AI$14:$DF$14,'Staff Daily sales'!$G1240:$CD1240))</f>
        <v>0</v>
      </c>
      <c r="U1255">
        <f>IF($E1255=0,0,SUMPRODUCT($AI$15:$DF$15,'Staff Daily sales'!$G1240:$CD1240))</f>
        <v>0</v>
      </c>
      <c r="V1255">
        <f>IF($E1255=0,0,SUMPRODUCT($AI$16:$DF$16,'Staff Daily sales'!$G1240:$CD1240))</f>
        <v>0</v>
      </c>
      <c r="W1255">
        <f t="shared" si="335"/>
        <v>0</v>
      </c>
      <c r="X1255">
        <f t="shared" si="336"/>
        <v>0</v>
      </c>
      <c r="Y1255">
        <f t="shared" si="337"/>
        <v>0</v>
      </c>
      <c r="Z1255">
        <f t="shared" si="338"/>
        <v>0</v>
      </c>
      <c r="AA1255">
        <f t="shared" si="339"/>
        <v>0</v>
      </c>
      <c r="AB1255">
        <f>--AND($E1255=1,OR('Staff Weekly Trend'!$B$3="All",$DH1255='Staff Weekly Trend'!$B$3),OR('Staff Weekly Trend'!$B$4="All",$D1255='Staff Weekly Trend'!$B$4),OR('Staff Weekly Trend'!$B$5="All",$A1255='Staff Weekly Trend'!$B$5))</f>
        <v>0</v>
      </c>
      <c r="AC1255" t="str">
        <f t="shared" si="340"/>
        <v/>
      </c>
      <c r="AI1255">
        <f t="shared" si="341"/>
        <v>0</v>
      </c>
      <c r="AJ1255">
        <f t="shared" si="342"/>
        <v>0</v>
      </c>
      <c r="AK1255">
        <f t="shared" si="343"/>
        <v>0</v>
      </c>
      <c r="AL1255">
        <f t="shared" si="344"/>
        <v>0</v>
      </c>
      <c r="AM1255">
        <f t="shared" si="345"/>
        <v>0</v>
      </c>
      <c r="DH1255" t="str" cm="1">
        <f t="array" ref="DH1255">IF($A1255="","",_xlfn.LET(_xlpm.c,IFERROR(_xlfn.XLOOKUP($A1255,TRIM('Sales and count'!$A$4:$A$300&amp;""),TRIM('Sales and count'!$B$4:$B$300&amp;"")),""),IF(OR(_xlpm.c="",_xlpm.c="0",LEFT(_xlpm.c,1)="#"),"Not set",_xlpm.c)))</f>
        <v/>
      </c>
    </row>
    <row r="1256" spans="1:112" x14ac:dyDescent="0.25">
      <c r="A1256" t="str">
        <f>IF('Staff Daily sales'!$B1241="","",TRIM('Staff Daily sales'!$B1241&amp;""))</f>
        <v/>
      </c>
      <c r="B1256" t="str">
        <f>IF('Staff Daily sales'!$D1241="","",TRIM('Staff Daily sales'!$D1241&amp;""))</f>
        <v/>
      </c>
      <c r="C1256" t="str">
        <f>IFERROR(TRIM('Staff Daily sales'!$E1241&amp;""),"")</f>
        <v/>
      </c>
      <c r="D1256" t="str">
        <f>IFERROR(IF(TRIM('Staff Daily sales'!$F1241&amp;"")="","Unassigned",TRIM('Staff Daily sales'!$F1241&amp;"")),"Unassigned")</f>
        <v>Unassigned</v>
      </c>
      <c r="E1256">
        <f t="shared" si="330"/>
        <v>0</v>
      </c>
      <c r="F1256">
        <f>IF($E1256=0,0,SUMPRODUCT($AI$5:$DF$5,'Staff Daily sales'!$G1241:$CD1241))</f>
        <v>0</v>
      </c>
      <c r="G1256">
        <f>IF($E1256=0,0,SUMPRODUCT($AI$6:$DF$6,'Staff Daily sales'!$G1241:$CD1241))</f>
        <v>0</v>
      </c>
      <c r="H1256">
        <f t="shared" si="331"/>
        <v>0</v>
      </c>
      <c r="I1256">
        <f t="shared" si="332"/>
        <v>0</v>
      </c>
      <c r="J1256">
        <f t="shared" si="333"/>
        <v>0</v>
      </c>
      <c r="K1256">
        <f t="shared" si="334"/>
        <v>0</v>
      </c>
      <c r="L1256">
        <f>--AND($E1256=1,OR('Staff Dashboard'!$B$6="All",$DH1256='Staff Dashboard'!$B$6),OR('Staff Dashboard'!$B$7="All",$D1256='Staff Dashboard'!$B$7),OR('Staff Dashboard'!$B$8="All",$A1256='Staff Dashboard'!$B$8))</f>
        <v>0</v>
      </c>
      <c r="M1256">
        <f>IF($E1256=0,0,SUMPRODUCT($AI$7:$DF$7,'Staff Daily sales'!$G1241:$CD1241))</f>
        <v>0</v>
      </c>
      <c r="N1256">
        <f>IF($E1256=0,0,SUMPRODUCT($AI$8:$DF$8,'Staff Daily sales'!$G1241:$CD1241))</f>
        <v>0</v>
      </c>
      <c r="O1256">
        <f>IF($E1256=0,0,SUMPRODUCT($AI$9:$DF$9,'Staff Daily sales'!$G1241:$CD1241))</f>
        <v>0</v>
      </c>
      <c r="P1256">
        <f>IF($E1256=0,0,SUMPRODUCT($AI$10:$DF$10,'Staff Daily sales'!$G1241:$CD1241))</f>
        <v>0</v>
      </c>
      <c r="Q1256">
        <f>IF($E1256=0,0,SUMPRODUCT($AI$11:$DF$11,'Staff Daily sales'!$G1241:$CD1241))</f>
        <v>0</v>
      </c>
      <c r="R1256">
        <f>IF($E1256=0,0,SUMPRODUCT($AI$12:$DF$12,'Staff Daily sales'!$G1241:$CD1241))</f>
        <v>0</v>
      </c>
      <c r="S1256">
        <f>IF($E1256=0,0,SUMPRODUCT($AI$13:$DF$13,'Staff Daily sales'!$G1241:$CD1241))</f>
        <v>0</v>
      </c>
      <c r="T1256">
        <f>IF($E1256=0,0,SUMPRODUCT($AI$14:$DF$14,'Staff Daily sales'!$G1241:$CD1241))</f>
        <v>0</v>
      </c>
      <c r="U1256">
        <f>IF($E1256=0,0,SUMPRODUCT($AI$15:$DF$15,'Staff Daily sales'!$G1241:$CD1241))</f>
        <v>0</v>
      </c>
      <c r="V1256">
        <f>IF($E1256=0,0,SUMPRODUCT($AI$16:$DF$16,'Staff Daily sales'!$G1241:$CD1241))</f>
        <v>0</v>
      </c>
      <c r="W1256">
        <f t="shared" si="335"/>
        <v>0</v>
      </c>
      <c r="X1256">
        <f t="shared" si="336"/>
        <v>0</v>
      </c>
      <c r="Y1256">
        <f t="shared" si="337"/>
        <v>0</v>
      </c>
      <c r="Z1256">
        <f t="shared" si="338"/>
        <v>0</v>
      </c>
      <c r="AA1256">
        <f t="shared" si="339"/>
        <v>0</v>
      </c>
      <c r="AB1256">
        <f>--AND($E1256=1,OR('Staff Weekly Trend'!$B$3="All",$DH1256='Staff Weekly Trend'!$B$3),OR('Staff Weekly Trend'!$B$4="All",$D1256='Staff Weekly Trend'!$B$4),OR('Staff Weekly Trend'!$B$5="All",$A1256='Staff Weekly Trend'!$B$5))</f>
        <v>0</v>
      </c>
      <c r="AC1256" t="str">
        <f t="shared" si="340"/>
        <v/>
      </c>
      <c r="AI1256">
        <f t="shared" si="341"/>
        <v>0</v>
      </c>
      <c r="AJ1256">
        <f t="shared" si="342"/>
        <v>0</v>
      </c>
      <c r="AK1256">
        <f t="shared" si="343"/>
        <v>0</v>
      </c>
      <c r="AL1256">
        <f t="shared" si="344"/>
        <v>0</v>
      </c>
      <c r="AM1256">
        <f t="shared" si="345"/>
        <v>0</v>
      </c>
      <c r="DH1256" t="str" cm="1">
        <f t="array" ref="DH1256">IF($A1256="","",_xlfn.LET(_xlpm.c,IFERROR(_xlfn.XLOOKUP($A1256,TRIM('Sales and count'!$A$4:$A$300&amp;""),TRIM('Sales and count'!$B$4:$B$300&amp;"")),""),IF(OR(_xlpm.c="",_xlpm.c="0",LEFT(_xlpm.c,1)="#"),"Not set",_xlpm.c)))</f>
        <v/>
      </c>
    </row>
    <row r="1257" spans="1:112" x14ac:dyDescent="0.25">
      <c r="A1257" t="str">
        <f>IF('Staff Daily sales'!$B1242="","",TRIM('Staff Daily sales'!$B1242&amp;""))</f>
        <v/>
      </c>
      <c r="B1257" t="str">
        <f>IF('Staff Daily sales'!$D1242="","",TRIM('Staff Daily sales'!$D1242&amp;""))</f>
        <v/>
      </c>
      <c r="C1257" t="str">
        <f>IFERROR(TRIM('Staff Daily sales'!$E1242&amp;""),"")</f>
        <v/>
      </c>
      <c r="D1257" t="str">
        <f>IFERROR(IF(TRIM('Staff Daily sales'!$F1242&amp;"")="","Unassigned",TRIM('Staff Daily sales'!$F1242&amp;"")),"Unassigned")</f>
        <v>Unassigned</v>
      </c>
      <c r="E1257">
        <f t="shared" si="330"/>
        <v>0</v>
      </c>
      <c r="F1257">
        <f>IF($E1257=0,0,SUMPRODUCT($AI$5:$DF$5,'Staff Daily sales'!$G1242:$CD1242))</f>
        <v>0</v>
      </c>
      <c r="G1257">
        <f>IF($E1257=0,0,SUMPRODUCT($AI$6:$DF$6,'Staff Daily sales'!$G1242:$CD1242))</f>
        <v>0</v>
      </c>
      <c r="H1257">
        <f t="shared" si="331"/>
        <v>0</v>
      </c>
      <c r="I1257">
        <f t="shared" si="332"/>
        <v>0</v>
      </c>
      <c r="J1257">
        <f t="shared" si="333"/>
        <v>0</v>
      </c>
      <c r="K1257">
        <f t="shared" si="334"/>
        <v>0</v>
      </c>
      <c r="L1257">
        <f>--AND($E1257=1,OR('Staff Dashboard'!$B$6="All",$DH1257='Staff Dashboard'!$B$6),OR('Staff Dashboard'!$B$7="All",$D1257='Staff Dashboard'!$B$7),OR('Staff Dashboard'!$B$8="All",$A1257='Staff Dashboard'!$B$8))</f>
        <v>0</v>
      </c>
      <c r="M1257">
        <f>IF($E1257=0,0,SUMPRODUCT($AI$7:$DF$7,'Staff Daily sales'!$G1242:$CD1242))</f>
        <v>0</v>
      </c>
      <c r="N1257">
        <f>IF($E1257=0,0,SUMPRODUCT($AI$8:$DF$8,'Staff Daily sales'!$G1242:$CD1242))</f>
        <v>0</v>
      </c>
      <c r="O1257">
        <f>IF($E1257=0,0,SUMPRODUCT($AI$9:$DF$9,'Staff Daily sales'!$G1242:$CD1242))</f>
        <v>0</v>
      </c>
      <c r="P1257">
        <f>IF($E1257=0,0,SUMPRODUCT($AI$10:$DF$10,'Staff Daily sales'!$G1242:$CD1242))</f>
        <v>0</v>
      </c>
      <c r="Q1257">
        <f>IF($E1257=0,0,SUMPRODUCT($AI$11:$DF$11,'Staff Daily sales'!$G1242:$CD1242))</f>
        <v>0</v>
      </c>
      <c r="R1257">
        <f>IF($E1257=0,0,SUMPRODUCT($AI$12:$DF$12,'Staff Daily sales'!$G1242:$CD1242))</f>
        <v>0</v>
      </c>
      <c r="S1257">
        <f>IF($E1257=0,0,SUMPRODUCT($AI$13:$DF$13,'Staff Daily sales'!$G1242:$CD1242))</f>
        <v>0</v>
      </c>
      <c r="T1257">
        <f>IF($E1257=0,0,SUMPRODUCT($AI$14:$DF$14,'Staff Daily sales'!$G1242:$CD1242))</f>
        <v>0</v>
      </c>
      <c r="U1257">
        <f>IF($E1257=0,0,SUMPRODUCT($AI$15:$DF$15,'Staff Daily sales'!$G1242:$CD1242))</f>
        <v>0</v>
      </c>
      <c r="V1257">
        <f>IF($E1257=0,0,SUMPRODUCT($AI$16:$DF$16,'Staff Daily sales'!$G1242:$CD1242))</f>
        <v>0</v>
      </c>
      <c r="W1257">
        <f t="shared" si="335"/>
        <v>0</v>
      </c>
      <c r="X1257">
        <f t="shared" si="336"/>
        <v>0</v>
      </c>
      <c r="Y1257">
        <f t="shared" si="337"/>
        <v>0</v>
      </c>
      <c r="Z1257">
        <f t="shared" si="338"/>
        <v>0</v>
      </c>
      <c r="AA1257">
        <f t="shared" si="339"/>
        <v>0</v>
      </c>
      <c r="AB1257">
        <f>--AND($E1257=1,OR('Staff Weekly Trend'!$B$3="All",$DH1257='Staff Weekly Trend'!$B$3),OR('Staff Weekly Trend'!$B$4="All",$D1257='Staff Weekly Trend'!$B$4),OR('Staff Weekly Trend'!$B$5="All",$A1257='Staff Weekly Trend'!$B$5))</f>
        <v>0</v>
      </c>
      <c r="AC1257" t="str">
        <f t="shared" si="340"/>
        <v/>
      </c>
      <c r="AI1257">
        <f t="shared" si="341"/>
        <v>0</v>
      </c>
      <c r="AJ1257">
        <f t="shared" si="342"/>
        <v>0</v>
      </c>
      <c r="AK1257">
        <f t="shared" si="343"/>
        <v>0</v>
      </c>
      <c r="AL1257">
        <f t="shared" si="344"/>
        <v>0</v>
      </c>
      <c r="AM1257">
        <f t="shared" si="345"/>
        <v>0</v>
      </c>
      <c r="DH1257" t="str" cm="1">
        <f t="array" ref="DH1257">IF($A1257="","",_xlfn.LET(_xlpm.c,IFERROR(_xlfn.XLOOKUP($A1257,TRIM('Sales and count'!$A$4:$A$300&amp;""),TRIM('Sales and count'!$B$4:$B$300&amp;"")),""),IF(OR(_xlpm.c="",_xlpm.c="0",LEFT(_xlpm.c,1)="#"),"Not set",_xlpm.c)))</f>
        <v/>
      </c>
    </row>
    <row r="1258" spans="1:112" x14ac:dyDescent="0.25">
      <c r="A1258" t="str">
        <f>IF('Staff Daily sales'!$B1243="","",TRIM('Staff Daily sales'!$B1243&amp;""))</f>
        <v/>
      </c>
      <c r="B1258" t="str">
        <f>IF('Staff Daily sales'!$D1243="","",TRIM('Staff Daily sales'!$D1243&amp;""))</f>
        <v/>
      </c>
      <c r="C1258" t="str">
        <f>IFERROR(TRIM('Staff Daily sales'!$E1243&amp;""),"")</f>
        <v/>
      </c>
      <c r="D1258" t="str">
        <f>IFERROR(IF(TRIM('Staff Daily sales'!$F1243&amp;"")="","Unassigned",TRIM('Staff Daily sales'!$F1243&amp;"")),"Unassigned")</f>
        <v>Unassigned</v>
      </c>
      <c r="E1258">
        <f t="shared" si="330"/>
        <v>0</v>
      </c>
      <c r="F1258">
        <f>IF($E1258=0,0,SUMPRODUCT($AI$5:$DF$5,'Staff Daily sales'!$G1243:$CD1243))</f>
        <v>0</v>
      </c>
      <c r="G1258">
        <f>IF($E1258=0,0,SUMPRODUCT($AI$6:$DF$6,'Staff Daily sales'!$G1243:$CD1243))</f>
        <v>0</v>
      </c>
      <c r="H1258">
        <f t="shared" si="331"/>
        <v>0</v>
      </c>
      <c r="I1258">
        <f t="shared" si="332"/>
        <v>0</v>
      </c>
      <c r="J1258">
        <f t="shared" si="333"/>
        <v>0</v>
      </c>
      <c r="K1258">
        <f t="shared" si="334"/>
        <v>0</v>
      </c>
      <c r="L1258">
        <f>--AND($E1258=1,OR('Staff Dashboard'!$B$6="All",$DH1258='Staff Dashboard'!$B$6),OR('Staff Dashboard'!$B$7="All",$D1258='Staff Dashboard'!$B$7),OR('Staff Dashboard'!$B$8="All",$A1258='Staff Dashboard'!$B$8))</f>
        <v>0</v>
      </c>
      <c r="M1258">
        <f>IF($E1258=0,0,SUMPRODUCT($AI$7:$DF$7,'Staff Daily sales'!$G1243:$CD1243))</f>
        <v>0</v>
      </c>
      <c r="N1258">
        <f>IF($E1258=0,0,SUMPRODUCT($AI$8:$DF$8,'Staff Daily sales'!$G1243:$CD1243))</f>
        <v>0</v>
      </c>
      <c r="O1258">
        <f>IF($E1258=0,0,SUMPRODUCT($AI$9:$DF$9,'Staff Daily sales'!$G1243:$CD1243))</f>
        <v>0</v>
      </c>
      <c r="P1258">
        <f>IF($E1258=0,0,SUMPRODUCT($AI$10:$DF$10,'Staff Daily sales'!$G1243:$CD1243))</f>
        <v>0</v>
      </c>
      <c r="Q1258">
        <f>IF($E1258=0,0,SUMPRODUCT($AI$11:$DF$11,'Staff Daily sales'!$G1243:$CD1243))</f>
        <v>0</v>
      </c>
      <c r="R1258">
        <f>IF($E1258=0,0,SUMPRODUCT($AI$12:$DF$12,'Staff Daily sales'!$G1243:$CD1243))</f>
        <v>0</v>
      </c>
      <c r="S1258">
        <f>IF($E1258=0,0,SUMPRODUCT($AI$13:$DF$13,'Staff Daily sales'!$G1243:$CD1243))</f>
        <v>0</v>
      </c>
      <c r="T1258">
        <f>IF($E1258=0,0,SUMPRODUCT($AI$14:$DF$14,'Staff Daily sales'!$G1243:$CD1243))</f>
        <v>0</v>
      </c>
      <c r="U1258">
        <f>IF($E1258=0,0,SUMPRODUCT($AI$15:$DF$15,'Staff Daily sales'!$G1243:$CD1243))</f>
        <v>0</v>
      </c>
      <c r="V1258">
        <f>IF($E1258=0,0,SUMPRODUCT($AI$16:$DF$16,'Staff Daily sales'!$G1243:$CD1243))</f>
        <v>0</v>
      </c>
      <c r="W1258">
        <f t="shared" si="335"/>
        <v>0</v>
      </c>
      <c r="X1258">
        <f t="shared" si="336"/>
        <v>0</v>
      </c>
      <c r="Y1258">
        <f t="shared" si="337"/>
        <v>0</v>
      </c>
      <c r="Z1258">
        <f t="shared" si="338"/>
        <v>0</v>
      </c>
      <c r="AA1258">
        <f t="shared" si="339"/>
        <v>0</v>
      </c>
      <c r="AB1258">
        <f>--AND($E1258=1,OR('Staff Weekly Trend'!$B$3="All",$DH1258='Staff Weekly Trend'!$B$3),OR('Staff Weekly Trend'!$B$4="All",$D1258='Staff Weekly Trend'!$B$4),OR('Staff Weekly Trend'!$B$5="All",$A1258='Staff Weekly Trend'!$B$5))</f>
        <v>0</v>
      </c>
      <c r="AC1258" t="str">
        <f t="shared" si="340"/>
        <v/>
      </c>
      <c r="AI1258">
        <f t="shared" si="341"/>
        <v>0</v>
      </c>
      <c r="AJ1258">
        <f t="shared" si="342"/>
        <v>0</v>
      </c>
      <c r="AK1258">
        <f t="shared" si="343"/>
        <v>0</v>
      </c>
      <c r="AL1258">
        <f t="shared" si="344"/>
        <v>0</v>
      </c>
      <c r="AM1258">
        <f t="shared" si="345"/>
        <v>0</v>
      </c>
      <c r="DH1258" t="str" cm="1">
        <f t="array" ref="DH1258">IF($A1258="","",_xlfn.LET(_xlpm.c,IFERROR(_xlfn.XLOOKUP($A1258,TRIM('Sales and count'!$A$4:$A$300&amp;""),TRIM('Sales and count'!$B$4:$B$300&amp;"")),""),IF(OR(_xlpm.c="",_xlpm.c="0",LEFT(_xlpm.c,1)="#"),"Not set",_xlpm.c)))</f>
        <v/>
      </c>
    </row>
    <row r="1259" spans="1:112" x14ac:dyDescent="0.25">
      <c r="A1259" t="str">
        <f>IF('Staff Daily sales'!$B1244="","",TRIM('Staff Daily sales'!$B1244&amp;""))</f>
        <v/>
      </c>
      <c r="B1259" t="str">
        <f>IF('Staff Daily sales'!$D1244="","",TRIM('Staff Daily sales'!$D1244&amp;""))</f>
        <v/>
      </c>
      <c r="C1259" t="str">
        <f>IFERROR(TRIM('Staff Daily sales'!$E1244&amp;""),"")</f>
        <v/>
      </c>
      <c r="D1259" t="str">
        <f>IFERROR(IF(TRIM('Staff Daily sales'!$F1244&amp;"")="","Unassigned",TRIM('Staff Daily sales'!$F1244&amp;"")),"Unassigned")</f>
        <v>Unassigned</v>
      </c>
      <c r="E1259">
        <f t="shared" si="330"/>
        <v>0</v>
      </c>
      <c r="F1259">
        <f>IF($E1259=0,0,SUMPRODUCT($AI$5:$DF$5,'Staff Daily sales'!$G1244:$CD1244))</f>
        <v>0</v>
      </c>
      <c r="G1259">
        <f>IF($E1259=0,0,SUMPRODUCT($AI$6:$DF$6,'Staff Daily sales'!$G1244:$CD1244))</f>
        <v>0</v>
      </c>
      <c r="H1259">
        <f t="shared" si="331"/>
        <v>0</v>
      </c>
      <c r="I1259">
        <f t="shared" si="332"/>
        <v>0</v>
      </c>
      <c r="J1259">
        <f t="shared" si="333"/>
        <v>0</v>
      </c>
      <c r="K1259">
        <f t="shared" si="334"/>
        <v>0</v>
      </c>
      <c r="L1259">
        <f>--AND($E1259=1,OR('Staff Dashboard'!$B$6="All",$DH1259='Staff Dashboard'!$B$6),OR('Staff Dashboard'!$B$7="All",$D1259='Staff Dashboard'!$B$7),OR('Staff Dashboard'!$B$8="All",$A1259='Staff Dashboard'!$B$8))</f>
        <v>0</v>
      </c>
      <c r="M1259">
        <f>IF($E1259=0,0,SUMPRODUCT($AI$7:$DF$7,'Staff Daily sales'!$G1244:$CD1244))</f>
        <v>0</v>
      </c>
      <c r="N1259">
        <f>IF($E1259=0,0,SUMPRODUCT($AI$8:$DF$8,'Staff Daily sales'!$G1244:$CD1244))</f>
        <v>0</v>
      </c>
      <c r="O1259">
        <f>IF($E1259=0,0,SUMPRODUCT($AI$9:$DF$9,'Staff Daily sales'!$G1244:$CD1244))</f>
        <v>0</v>
      </c>
      <c r="P1259">
        <f>IF($E1259=0,0,SUMPRODUCT($AI$10:$DF$10,'Staff Daily sales'!$G1244:$CD1244))</f>
        <v>0</v>
      </c>
      <c r="Q1259">
        <f>IF($E1259=0,0,SUMPRODUCT($AI$11:$DF$11,'Staff Daily sales'!$G1244:$CD1244))</f>
        <v>0</v>
      </c>
      <c r="R1259">
        <f>IF($E1259=0,0,SUMPRODUCT($AI$12:$DF$12,'Staff Daily sales'!$G1244:$CD1244))</f>
        <v>0</v>
      </c>
      <c r="S1259">
        <f>IF($E1259=0,0,SUMPRODUCT($AI$13:$DF$13,'Staff Daily sales'!$G1244:$CD1244))</f>
        <v>0</v>
      </c>
      <c r="T1259">
        <f>IF($E1259=0,0,SUMPRODUCT($AI$14:$DF$14,'Staff Daily sales'!$G1244:$CD1244))</f>
        <v>0</v>
      </c>
      <c r="U1259">
        <f>IF($E1259=0,0,SUMPRODUCT($AI$15:$DF$15,'Staff Daily sales'!$G1244:$CD1244))</f>
        <v>0</v>
      </c>
      <c r="V1259">
        <f>IF($E1259=0,0,SUMPRODUCT($AI$16:$DF$16,'Staff Daily sales'!$G1244:$CD1244))</f>
        <v>0</v>
      </c>
      <c r="W1259">
        <f t="shared" si="335"/>
        <v>0</v>
      </c>
      <c r="X1259">
        <f t="shared" si="336"/>
        <v>0</v>
      </c>
      <c r="Y1259">
        <f t="shared" si="337"/>
        <v>0</v>
      </c>
      <c r="Z1259">
        <f t="shared" si="338"/>
        <v>0</v>
      </c>
      <c r="AA1259">
        <f t="shared" si="339"/>
        <v>0</v>
      </c>
      <c r="AB1259">
        <f>--AND($E1259=1,OR('Staff Weekly Trend'!$B$3="All",$DH1259='Staff Weekly Trend'!$B$3),OR('Staff Weekly Trend'!$B$4="All",$D1259='Staff Weekly Trend'!$B$4),OR('Staff Weekly Trend'!$B$5="All",$A1259='Staff Weekly Trend'!$B$5))</f>
        <v>0</v>
      </c>
      <c r="AC1259" t="str">
        <f t="shared" si="340"/>
        <v/>
      </c>
      <c r="AI1259">
        <f t="shared" si="341"/>
        <v>0</v>
      </c>
      <c r="AJ1259">
        <f t="shared" si="342"/>
        <v>0</v>
      </c>
      <c r="AK1259">
        <f t="shared" si="343"/>
        <v>0</v>
      </c>
      <c r="AL1259">
        <f t="shared" si="344"/>
        <v>0</v>
      </c>
      <c r="AM1259">
        <f t="shared" si="345"/>
        <v>0</v>
      </c>
      <c r="DH1259" t="str" cm="1">
        <f t="array" ref="DH1259">IF($A1259="","",_xlfn.LET(_xlpm.c,IFERROR(_xlfn.XLOOKUP($A1259,TRIM('Sales and count'!$A$4:$A$300&amp;""),TRIM('Sales and count'!$B$4:$B$300&amp;"")),""),IF(OR(_xlpm.c="",_xlpm.c="0",LEFT(_xlpm.c,1)="#"),"Not set",_xlpm.c)))</f>
        <v/>
      </c>
    </row>
    <row r="1260" spans="1:112" x14ac:dyDescent="0.25">
      <c r="A1260" t="str">
        <f>IF('Staff Daily sales'!$B1245="","",TRIM('Staff Daily sales'!$B1245&amp;""))</f>
        <v/>
      </c>
      <c r="B1260" t="str">
        <f>IF('Staff Daily sales'!$D1245="","",TRIM('Staff Daily sales'!$D1245&amp;""))</f>
        <v/>
      </c>
      <c r="C1260" t="str">
        <f>IFERROR(TRIM('Staff Daily sales'!$E1245&amp;""),"")</f>
        <v/>
      </c>
      <c r="D1260" t="str">
        <f>IFERROR(IF(TRIM('Staff Daily sales'!$F1245&amp;"")="","Unassigned",TRIM('Staff Daily sales'!$F1245&amp;"")),"Unassigned")</f>
        <v>Unassigned</v>
      </c>
      <c r="E1260">
        <f t="shared" si="330"/>
        <v>0</v>
      </c>
      <c r="F1260">
        <f>IF($E1260=0,0,SUMPRODUCT($AI$5:$DF$5,'Staff Daily sales'!$G1245:$CD1245))</f>
        <v>0</v>
      </c>
      <c r="G1260">
        <f>IF($E1260=0,0,SUMPRODUCT($AI$6:$DF$6,'Staff Daily sales'!$G1245:$CD1245))</f>
        <v>0</v>
      </c>
      <c r="H1260">
        <f t="shared" si="331"/>
        <v>0</v>
      </c>
      <c r="I1260">
        <f t="shared" si="332"/>
        <v>0</v>
      </c>
      <c r="J1260">
        <f t="shared" si="333"/>
        <v>0</v>
      </c>
      <c r="K1260">
        <f t="shared" si="334"/>
        <v>0</v>
      </c>
      <c r="L1260">
        <f>--AND($E1260=1,OR('Staff Dashboard'!$B$6="All",$DH1260='Staff Dashboard'!$B$6),OR('Staff Dashboard'!$B$7="All",$D1260='Staff Dashboard'!$B$7),OR('Staff Dashboard'!$B$8="All",$A1260='Staff Dashboard'!$B$8))</f>
        <v>0</v>
      </c>
      <c r="M1260">
        <f>IF($E1260=0,0,SUMPRODUCT($AI$7:$DF$7,'Staff Daily sales'!$G1245:$CD1245))</f>
        <v>0</v>
      </c>
      <c r="N1260">
        <f>IF($E1260=0,0,SUMPRODUCT($AI$8:$DF$8,'Staff Daily sales'!$G1245:$CD1245))</f>
        <v>0</v>
      </c>
      <c r="O1260">
        <f>IF($E1260=0,0,SUMPRODUCT($AI$9:$DF$9,'Staff Daily sales'!$G1245:$CD1245))</f>
        <v>0</v>
      </c>
      <c r="P1260">
        <f>IF($E1260=0,0,SUMPRODUCT($AI$10:$DF$10,'Staff Daily sales'!$G1245:$CD1245))</f>
        <v>0</v>
      </c>
      <c r="Q1260">
        <f>IF($E1260=0,0,SUMPRODUCT($AI$11:$DF$11,'Staff Daily sales'!$G1245:$CD1245))</f>
        <v>0</v>
      </c>
      <c r="R1260">
        <f>IF($E1260=0,0,SUMPRODUCT($AI$12:$DF$12,'Staff Daily sales'!$G1245:$CD1245))</f>
        <v>0</v>
      </c>
      <c r="S1260">
        <f>IF($E1260=0,0,SUMPRODUCT($AI$13:$DF$13,'Staff Daily sales'!$G1245:$CD1245))</f>
        <v>0</v>
      </c>
      <c r="T1260">
        <f>IF($E1260=0,0,SUMPRODUCT($AI$14:$DF$14,'Staff Daily sales'!$G1245:$CD1245))</f>
        <v>0</v>
      </c>
      <c r="U1260">
        <f>IF($E1260=0,0,SUMPRODUCT($AI$15:$DF$15,'Staff Daily sales'!$G1245:$CD1245))</f>
        <v>0</v>
      </c>
      <c r="V1260">
        <f>IF($E1260=0,0,SUMPRODUCT($AI$16:$DF$16,'Staff Daily sales'!$G1245:$CD1245))</f>
        <v>0</v>
      </c>
      <c r="W1260">
        <f t="shared" si="335"/>
        <v>0</v>
      </c>
      <c r="X1260">
        <f t="shared" si="336"/>
        <v>0</v>
      </c>
      <c r="Y1260">
        <f t="shared" si="337"/>
        <v>0</v>
      </c>
      <c r="Z1260">
        <f t="shared" si="338"/>
        <v>0</v>
      </c>
      <c r="AA1260">
        <f t="shared" si="339"/>
        <v>0</v>
      </c>
      <c r="AB1260">
        <f>--AND($E1260=1,OR('Staff Weekly Trend'!$B$3="All",$DH1260='Staff Weekly Trend'!$B$3),OR('Staff Weekly Trend'!$B$4="All",$D1260='Staff Weekly Trend'!$B$4),OR('Staff Weekly Trend'!$B$5="All",$A1260='Staff Weekly Trend'!$B$5))</f>
        <v>0</v>
      </c>
      <c r="AC1260" t="str">
        <f t="shared" si="340"/>
        <v/>
      </c>
      <c r="AI1260">
        <f t="shared" si="341"/>
        <v>0</v>
      </c>
      <c r="AJ1260">
        <f t="shared" si="342"/>
        <v>0</v>
      </c>
      <c r="AK1260">
        <f t="shared" si="343"/>
        <v>0</v>
      </c>
      <c r="AL1260">
        <f t="shared" si="344"/>
        <v>0</v>
      </c>
      <c r="AM1260">
        <f t="shared" si="345"/>
        <v>0</v>
      </c>
      <c r="DH1260" t="str" cm="1">
        <f t="array" ref="DH1260">IF($A1260="","",_xlfn.LET(_xlpm.c,IFERROR(_xlfn.XLOOKUP($A1260,TRIM('Sales and count'!$A$4:$A$300&amp;""),TRIM('Sales and count'!$B$4:$B$300&amp;"")),""),IF(OR(_xlpm.c="",_xlpm.c="0",LEFT(_xlpm.c,1)="#"),"Not set",_xlpm.c)))</f>
        <v/>
      </c>
    </row>
    <row r="1261" spans="1:112" x14ac:dyDescent="0.25">
      <c r="A1261" t="str">
        <f>IF('Staff Daily sales'!$B1246="","",TRIM('Staff Daily sales'!$B1246&amp;""))</f>
        <v/>
      </c>
      <c r="B1261" t="str">
        <f>IF('Staff Daily sales'!$D1246="","",TRIM('Staff Daily sales'!$D1246&amp;""))</f>
        <v/>
      </c>
      <c r="C1261" t="str">
        <f>IFERROR(TRIM('Staff Daily sales'!$E1246&amp;""),"")</f>
        <v/>
      </c>
      <c r="D1261" t="str">
        <f>IFERROR(IF(TRIM('Staff Daily sales'!$F1246&amp;"")="","Unassigned",TRIM('Staff Daily sales'!$F1246&amp;"")),"Unassigned")</f>
        <v>Unassigned</v>
      </c>
      <c r="E1261">
        <f t="shared" si="330"/>
        <v>0</v>
      </c>
      <c r="F1261">
        <f>IF($E1261=0,0,SUMPRODUCT($AI$5:$DF$5,'Staff Daily sales'!$G1246:$CD1246))</f>
        <v>0</v>
      </c>
      <c r="G1261">
        <f>IF($E1261=0,0,SUMPRODUCT($AI$6:$DF$6,'Staff Daily sales'!$G1246:$CD1246))</f>
        <v>0</v>
      </c>
      <c r="H1261">
        <f t="shared" si="331"/>
        <v>0</v>
      </c>
      <c r="I1261">
        <f t="shared" si="332"/>
        <v>0</v>
      </c>
      <c r="J1261">
        <f t="shared" si="333"/>
        <v>0</v>
      </c>
      <c r="K1261">
        <f t="shared" si="334"/>
        <v>0</v>
      </c>
      <c r="L1261">
        <f>--AND($E1261=1,OR('Staff Dashboard'!$B$6="All",$DH1261='Staff Dashboard'!$B$6),OR('Staff Dashboard'!$B$7="All",$D1261='Staff Dashboard'!$B$7),OR('Staff Dashboard'!$B$8="All",$A1261='Staff Dashboard'!$B$8))</f>
        <v>0</v>
      </c>
      <c r="M1261">
        <f>IF($E1261=0,0,SUMPRODUCT($AI$7:$DF$7,'Staff Daily sales'!$G1246:$CD1246))</f>
        <v>0</v>
      </c>
      <c r="N1261">
        <f>IF($E1261=0,0,SUMPRODUCT($AI$8:$DF$8,'Staff Daily sales'!$G1246:$CD1246))</f>
        <v>0</v>
      </c>
      <c r="O1261">
        <f>IF($E1261=0,0,SUMPRODUCT($AI$9:$DF$9,'Staff Daily sales'!$G1246:$CD1246))</f>
        <v>0</v>
      </c>
      <c r="P1261">
        <f>IF($E1261=0,0,SUMPRODUCT($AI$10:$DF$10,'Staff Daily sales'!$G1246:$CD1246))</f>
        <v>0</v>
      </c>
      <c r="Q1261">
        <f>IF($E1261=0,0,SUMPRODUCT($AI$11:$DF$11,'Staff Daily sales'!$G1246:$CD1246))</f>
        <v>0</v>
      </c>
      <c r="R1261">
        <f>IF($E1261=0,0,SUMPRODUCT($AI$12:$DF$12,'Staff Daily sales'!$G1246:$CD1246))</f>
        <v>0</v>
      </c>
      <c r="S1261">
        <f>IF($E1261=0,0,SUMPRODUCT($AI$13:$DF$13,'Staff Daily sales'!$G1246:$CD1246))</f>
        <v>0</v>
      </c>
      <c r="T1261">
        <f>IF($E1261=0,0,SUMPRODUCT($AI$14:$DF$14,'Staff Daily sales'!$G1246:$CD1246))</f>
        <v>0</v>
      </c>
      <c r="U1261">
        <f>IF($E1261=0,0,SUMPRODUCT($AI$15:$DF$15,'Staff Daily sales'!$G1246:$CD1246))</f>
        <v>0</v>
      </c>
      <c r="V1261">
        <f>IF($E1261=0,0,SUMPRODUCT($AI$16:$DF$16,'Staff Daily sales'!$G1246:$CD1246))</f>
        <v>0</v>
      </c>
      <c r="W1261">
        <f t="shared" si="335"/>
        <v>0</v>
      </c>
      <c r="X1261">
        <f t="shared" si="336"/>
        <v>0</v>
      </c>
      <c r="Y1261">
        <f t="shared" si="337"/>
        <v>0</v>
      </c>
      <c r="Z1261">
        <f t="shared" si="338"/>
        <v>0</v>
      </c>
      <c r="AA1261">
        <f t="shared" si="339"/>
        <v>0</v>
      </c>
      <c r="AB1261">
        <f>--AND($E1261=1,OR('Staff Weekly Trend'!$B$3="All",$DH1261='Staff Weekly Trend'!$B$3),OR('Staff Weekly Trend'!$B$4="All",$D1261='Staff Weekly Trend'!$B$4),OR('Staff Weekly Trend'!$B$5="All",$A1261='Staff Weekly Trend'!$B$5))</f>
        <v>0</v>
      </c>
      <c r="AC1261" t="str">
        <f t="shared" si="340"/>
        <v/>
      </c>
      <c r="AI1261">
        <f t="shared" si="341"/>
        <v>0</v>
      </c>
      <c r="AJ1261">
        <f t="shared" si="342"/>
        <v>0</v>
      </c>
      <c r="AK1261">
        <f t="shared" si="343"/>
        <v>0</v>
      </c>
      <c r="AL1261">
        <f t="shared" si="344"/>
        <v>0</v>
      </c>
      <c r="AM1261">
        <f t="shared" si="345"/>
        <v>0</v>
      </c>
      <c r="DH1261" t="str" cm="1">
        <f t="array" ref="DH1261">IF($A1261="","",_xlfn.LET(_xlpm.c,IFERROR(_xlfn.XLOOKUP($A1261,TRIM('Sales and count'!$A$4:$A$300&amp;""),TRIM('Sales and count'!$B$4:$B$300&amp;"")),""),IF(OR(_xlpm.c="",_xlpm.c="0",LEFT(_xlpm.c,1)="#"),"Not set",_xlpm.c)))</f>
        <v/>
      </c>
    </row>
    <row r="1262" spans="1:112" x14ac:dyDescent="0.25">
      <c r="A1262" t="str">
        <f>IF('Staff Daily sales'!$B1247="","",TRIM('Staff Daily sales'!$B1247&amp;""))</f>
        <v/>
      </c>
      <c r="B1262" t="str">
        <f>IF('Staff Daily sales'!$D1247="","",TRIM('Staff Daily sales'!$D1247&amp;""))</f>
        <v/>
      </c>
      <c r="C1262" t="str">
        <f>IFERROR(TRIM('Staff Daily sales'!$E1247&amp;""),"")</f>
        <v/>
      </c>
      <c r="D1262" t="str">
        <f>IFERROR(IF(TRIM('Staff Daily sales'!$F1247&amp;"")="","Unassigned",TRIM('Staff Daily sales'!$F1247&amp;"")),"Unassigned")</f>
        <v>Unassigned</v>
      </c>
      <c r="E1262">
        <f t="shared" si="330"/>
        <v>0</v>
      </c>
      <c r="F1262">
        <f>IF($E1262=0,0,SUMPRODUCT($AI$5:$DF$5,'Staff Daily sales'!$G1247:$CD1247))</f>
        <v>0</v>
      </c>
      <c r="G1262">
        <f>IF($E1262=0,0,SUMPRODUCT($AI$6:$DF$6,'Staff Daily sales'!$G1247:$CD1247))</f>
        <v>0</v>
      </c>
      <c r="H1262">
        <f t="shared" si="331"/>
        <v>0</v>
      </c>
      <c r="I1262">
        <f t="shared" si="332"/>
        <v>0</v>
      </c>
      <c r="J1262">
        <f t="shared" si="333"/>
        <v>0</v>
      </c>
      <c r="K1262">
        <f t="shared" si="334"/>
        <v>0</v>
      </c>
      <c r="L1262">
        <f>--AND($E1262=1,OR('Staff Dashboard'!$B$6="All",$DH1262='Staff Dashboard'!$B$6),OR('Staff Dashboard'!$B$7="All",$D1262='Staff Dashboard'!$B$7),OR('Staff Dashboard'!$B$8="All",$A1262='Staff Dashboard'!$B$8))</f>
        <v>0</v>
      </c>
      <c r="M1262">
        <f>IF($E1262=0,0,SUMPRODUCT($AI$7:$DF$7,'Staff Daily sales'!$G1247:$CD1247))</f>
        <v>0</v>
      </c>
      <c r="N1262">
        <f>IF($E1262=0,0,SUMPRODUCT($AI$8:$DF$8,'Staff Daily sales'!$G1247:$CD1247))</f>
        <v>0</v>
      </c>
      <c r="O1262">
        <f>IF($E1262=0,0,SUMPRODUCT($AI$9:$DF$9,'Staff Daily sales'!$G1247:$CD1247))</f>
        <v>0</v>
      </c>
      <c r="P1262">
        <f>IF($E1262=0,0,SUMPRODUCT($AI$10:$DF$10,'Staff Daily sales'!$G1247:$CD1247))</f>
        <v>0</v>
      </c>
      <c r="Q1262">
        <f>IF($E1262=0,0,SUMPRODUCT($AI$11:$DF$11,'Staff Daily sales'!$G1247:$CD1247))</f>
        <v>0</v>
      </c>
      <c r="R1262">
        <f>IF($E1262=0,0,SUMPRODUCT($AI$12:$DF$12,'Staff Daily sales'!$G1247:$CD1247))</f>
        <v>0</v>
      </c>
      <c r="S1262">
        <f>IF($E1262=0,0,SUMPRODUCT($AI$13:$DF$13,'Staff Daily sales'!$G1247:$CD1247))</f>
        <v>0</v>
      </c>
      <c r="T1262">
        <f>IF($E1262=0,0,SUMPRODUCT($AI$14:$DF$14,'Staff Daily sales'!$G1247:$CD1247))</f>
        <v>0</v>
      </c>
      <c r="U1262">
        <f>IF($E1262=0,0,SUMPRODUCT($AI$15:$DF$15,'Staff Daily sales'!$G1247:$CD1247))</f>
        <v>0</v>
      </c>
      <c r="V1262">
        <f>IF($E1262=0,0,SUMPRODUCT($AI$16:$DF$16,'Staff Daily sales'!$G1247:$CD1247))</f>
        <v>0</v>
      </c>
      <c r="W1262">
        <f t="shared" si="335"/>
        <v>0</v>
      </c>
      <c r="X1262">
        <f t="shared" si="336"/>
        <v>0</v>
      </c>
      <c r="Y1262">
        <f t="shared" si="337"/>
        <v>0</v>
      </c>
      <c r="Z1262">
        <f t="shared" si="338"/>
        <v>0</v>
      </c>
      <c r="AA1262">
        <f t="shared" si="339"/>
        <v>0</v>
      </c>
      <c r="AB1262">
        <f>--AND($E1262=1,OR('Staff Weekly Trend'!$B$3="All",$DH1262='Staff Weekly Trend'!$B$3),OR('Staff Weekly Trend'!$B$4="All",$D1262='Staff Weekly Trend'!$B$4),OR('Staff Weekly Trend'!$B$5="All",$A1262='Staff Weekly Trend'!$B$5))</f>
        <v>0</v>
      </c>
      <c r="AC1262" t="str">
        <f t="shared" si="340"/>
        <v/>
      </c>
      <c r="AI1262">
        <f t="shared" si="341"/>
        <v>0</v>
      </c>
      <c r="AJ1262">
        <f t="shared" si="342"/>
        <v>0</v>
      </c>
      <c r="AK1262">
        <f t="shared" si="343"/>
        <v>0</v>
      </c>
      <c r="AL1262">
        <f t="shared" si="344"/>
        <v>0</v>
      </c>
      <c r="AM1262">
        <f t="shared" si="345"/>
        <v>0</v>
      </c>
      <c r="DH1262" t="str" cm="1">
        <f t="array" ref="DH1262">IF($A1262="","",_xlfn.LET(_xlpm.c,IFERROR(_xlfn.XLOOKUP($A1262,TRIM('Sales and count'!$A$4:$A$300&amp;""),TRIM('Sales and count'!$B$4:$B$300&amp;"")),""),IF(OR(_xlpm.c="",_xlpm.c="0",LEFT(_xlpm.c,1)="#"),"Not set",_xlpm.c)))</f>
        <v/>
      </c>
    </row>
    <row r="1263" spans="1:112" x14ac:dyDescent="0.25">
      <c r="A1263" t="str">
        <f>IF('Staff Daily sales'!$B1248="","",TRIM('Staff Daily sales'!$B1248&amp;""))</f>
        <v/>
      </c>
      <c r="B1263" t="str">
        <f>IF('Staff Daily sales'!$D1248="","",TRIM('Staff Daily sales'!$D1248&amp;""))</f>
        <v/>
      </c>
      <c r="C1263" t="str">
        <f>IFERROR(TRIM('Staff Daily sales'!$E1248&amp;""),"")</f>
        <v/>
      </c>
      <c r="D1263" t="str">
        <f>IFERROR(IF(TRIM('Staff Daily sales'!$F1248&amp;"")="","Unassigned",TRIM('Staff Daily sales'!$F1248&amp;"")),"Unassigned")</f>
        <v>Unassigned</v>
      </c>
      <c r="E1263">
        <f t="shared" si="330"/>
        <v>0</v>
      </c>
      <c r="F1263">
        <f>IF($E1263=0,0,SUMPRODUCT($AI$5:$DF$5,'Staff Daily sales'!$G1248:$CD1248))</f>
        <v>0</v>
      </c>
      <c r="G1263">
        <f>IF($E1263=0,0,SUMPRODUCT($AI$6:$DF$6,'Staff Daily sales'!$G1248:$CD1248))</f>
        <v>0</v>
      </c>
      <c r="H1263">
        <f t="shared" si="331"/>
        <v>0</v>
      </c>
      <c r="I1263">
        <f t="shared" si="332"/>
        <v>0</v>
      </c>
      <c r="J1263">
        <f t="shared" si="333"/>
        <v>0</v>
      </c>
      <c r="K1263">
        <f t="shared" si="334"/>
        <v>0</v>
      </c>
      <c r="L1263">
        <f>--AND($E1263=1,OR('Staff Dashboard'!$B$6="All",$DH1263='Staff Dashboard'!$B$6),OR('Staff Dashboard'!$B$7="All",$D1263='Staff Dashboard'!$B$7),OR('Staff Dashboard'!$B$8="All",$A1263='Staff Dashboard'!$B$8))</f>
        <v>0</v>
      </c>
      <c r="M1263">
        <f>IF($E1263=0,0,SUMPRODUCT($AI$7:$DF$7,'Staff Daily sales'!$G1248:$CD1248))</f>
        <v>0</v>
      </c>
      <c r="N1263">
        <f>IF($E1263=0,0,SUMPRODUCT($AI$8:$DF$8,'Staff Daily sales'!$G1248:$CD1248))</f>
        <v>0</v>
      </c>
      <c r="O1263">
        <f>IF($E1263=0,0,SUMPRODUCT($AI$9:$DF$9,'Staff Daily sales'!$G1248:$CD1248))</f>
        <v>0</v>
      </c>
      <c r="P1263">
        <f>IF($E1263=0,0,SUMPRODUCT($AI$10:$DF$10,'Staff Daily sales'!$G1248:$CD1248))</f>
        <v>0</v>
      </c>
      <c r="Q1263">
        <f>IF($E1263=0,0,SUMPRODUCT($AI$11:$DF$11,'Staff Daily sales'!$G1248:$CD1248))</f>
        <v>0</v>
      </c>
      <c r="R1263">
        <f>IF($E1263=0,0,SUMPRODUCT($AI$12:$DF$12,'Staff Daily sales'!$G1248:$CD1248))</f>
        <v>0</v>
      </c>
      <c r="S1263">
        <f>IF($E1263=0,0,SUMPRODUCT($AI$13:$DF$13,'Staff Daily sales'!$G1248:$CD1248))</f>
        <v>0</v>
      </c>
      <c r="T1263">
        <f>IF($E1263=0,0,SUMPRODUCT($AI$14:$DF$14,'Staff Daily sales'!$G1248:$CD1248))</f>
        <v>0</v>
      </c>
      <c r="U1263">
        <f>IF($E1263=0,0,SUMPRODUCT($AI$15:$DF$15,'Staff Daily sales'!$G1248:$CD1248))</f>
        <v>0</v>
      </c>
      <c r="V1263">
        <f>IF($E1263=0,0,SUMPRODUCT($AI$16:$DF$16,'Staff Daily sales'!$G1248:$CD1248))</f>
        <v>0</v>
      </c>
      <c r="W1263">
        <f t="shared" si="335"/>
        <v>0</v>
      </c>
      <c r="X1263">
        <f t="shared" si="336"/>
        <v>0</v>
      </c>
      <c r="Y1263">
        <f t="shared" si="337"/>
        <v>0</v>
      </c>
      <c r="Z1263">
        <f t="shared" si="338"/>
        <v>0</v>
      </c>
      <c r="AA1263">
        <f t="shared" si="339"/>
        <v>0</v>
      </c>
      <c r="AB1263">
        <f>--AND($E1263=1,OR('Staff Weekly Trend'!$B$3="All",$DH1263='Staff Weekly Trend'!$B$3),OR('Staff Weekly Trend'!$B$4="All",$D1263='Staff Weekly Trend'!$B$4),OR('Staff Weekly Trend'!$B$5="All",$A1263='Staff Weekly Trend'!$B$5))</f>
        <v>0</v>
      </c>
      <c r="AC1263" t="str">
        <f t="shared" si="340"/>
        <v/>
      </c>
      <c r="AI1263">
        <f t="shared" si="341"/>
        <v>0</v>
      </c>
      <c r="AJ1263">
        <f t="shared" si="342"/>
        <v>0</v>
      </c>
      <c r="AK1263">
        <f t="shared" si="343"/>
        <v>0</v>
      </c>
      <c r="AL1263">
        <f t="shared" si="344"/>
        <v>0</v>
      </c>
      <c r="AM1263">
        <f t="shared" si="345"/>
        <v>0</v>
      </c>
      <c r="DH1263" t="str" cm="1">
        <f t="array" ref="DH1263">IF($A1263="","",_xlfn.LET(_xlpm.c,IFERROR(_xlfn.XLOOKUP($A1263,TRIM('Sales and count'!$A$4:$A$300&amp;""),TRIM('Sales and count'!$B$4:$B$300&amp;"")),""),IF(OR(_xlpm.c="",_xlpm.c="0",LEFT(_xlpm.c,1)="#"),"Not set",_xlpm.c)))</f>
        <v/>
      </c>
    </row>
    <row r="1264" spans="1:112" x14ac:dyDescent="0.25">
      <c r="A1264" t="str">
        <f>IF('Staff Daily sales'!$B1249="","",TRIM('Staff Daily sales'!$B1249&amp;""))</f>
        <v/>
      </c>
      <c r="B1264" t="str">
        <f>IF('Staff Daily sales'!$D1249="","",TRIM('Staff Daily sales'!$D1249&amp;""))</f>
        <v/>
      </c>
      <c r="C1264" t="str">
        <f>IFERROR(TRIM('Staff Daily sales'!$E1249&amp;""),"")</f>
        <v/>
      </c>
      <c r="D1264" t="str">
        <f>IFERROR(IF(TRIM('Staff Daily sales'!$F1249&amp;"")="","Unassigned",TRIM('Staff Daily sales'!$F1249&amp;"")),"Unassigned")</f>
        <v>Unassigned</v>
      </c>
      <c r="E1264">
        <f t="shared" si="330"/>
        <v>0</v>
      </c>
      <c r="F1264">
        <f>IF($E1264=0,0,SUMPRODUCT($AI$5:$DF$5,'Staff Daily sales'!$G1249:$CD1249))</f>
        <v>0</v>
      </c>
      <c r="G1264">
        <f>IF($E1264=0,0,SUMPRODUCT($AI$6:$DF$6,'Staff Daily sales'!$G1249:$CD1249))</f>
        <v>0</v>
      </c>
      <c r="H1264">
        <f t="shared" si="331"/>
        <v>0</v>
      </c>
      <c r="I1264">
        <f t="shared" si="332"/>
        <v>0</v>
      </c>
      <c r="J1264">
        <f t="shared" si="333"/>
        <v>0</v>
      </c>
      <c r="K1264">
        <f t="shared" si="334"/>
        <v>0</v>
      </c>
      <c r="L1264">
        <f>--AND($E1264=1,OR('Staff Dashboard'!$B$6="All",$DH1264='Staff Dashboard'!$B$6),OR('Staff Dashboard'!$B$7="All",$D1264='Staff Dashboard'!$B$7),OR('Staff Dashboard'!$B$8="All",$A1264='Staff Dashboard'!$B$8))</f>
        <v>0</v>
      </c>
      <c r="M1264">
        <f>IF($E1264=0,0,SUMPRODUCT($AI$7:$DF$7,'Staff Daily sales'!$G1249:$CD1249))</f>
        <v>0</v>
      </c>
      <c r="N1264">
        <f>IF($E1264=0,0,SUMPRODUCT($AI$8:$DF$8,'Staff Daily sales'!$G1249:$CD1249))</f>
        <v>0</v>
      </c>
      <c r="O1264">
        <f>IF($E1264=0,0,SUMPRODUCT($AI$9:$DF$9,'Staff Daily sales'!$G1249:$CD1249))</f>
        <v>0</v>
      </c>
      <c r="P1264">
        <f>IF($E1264=0,0,SUMPRODUCT($AI$10:$DF$10,'Staff Daily sales'!$G1249:$CD1249))</f>
        <v>0</v>
      </c>
      <c r="Q1264">
        <f>IF($E1264=0,0,SUMPRODUCT($AI$11:$DF$11,'Staff Daily sales'!$G1249:$CD1249))</f>
        <v>0</v>
      </c>
      <c r="R1264">
        <f>IF($E1264=0,0,SUMPRODUCT($AI$12:$DF$12,'Staff Daily sales'!$G1249:$CD1249))</f>
        <v>0</v>
      </c>
      <c r="S1264">
        <f>IF($E1264=0,0,SUMPRODUCT($AI$13:$DF$13,'Staff Daily sales'!$G1249:$CD1249))</f>
        <v>0</v>
      </c>
      <c r="T1264">
        <f>IF($E1264=0,0,SUMPRODUCT($AI$14:$DF$14,'Staff Daily sales'!$G1249:$CD1249))</f>
        <v>0</v>
      </c>
      <c r="U1264">
        <f>IF($E1264=0,0,SUMPRODUCT($AI$15:$DF$15,'Staff Daily sales'!$G1249:$CD1249))</f>
        <v>0</v>
      </c>
      <c r="V1264">
        <f>IF($E1264=0,0,SUMPRODUCT($AI$16:$DF$16,'Staff Daily sales'!$G1249:$CD1249))</f>
        <v>0</v>
      </c>
      <c r="W1264">
        <f t="shared" si="335"/>
        <v>0</v>
      </c>
      <c r="X1264">
        <f t="shared" si="336"/>
        <v>0</v>
      </c>
      <c r="Y1264">
        <f t="shared" si="337"/>
        <v>0</v>
      </c>
      <c r="Z1264">
        <f t="shared" si="338"/>
        <v>0</v>
      </c>
      <c r="AA1264">
        <f t="shared" si="339"/>
        <v>0</v>
      </c>
      <c r="AB1264">
        <f>--AND($E1264=1,OR('Staff Weekly Trend'!$B$3="All",$DH1264='Staff Weekly Trend'!$B$3),OR('Staff Weekly Trend'!$B$4="All",$D1264='Staff Weekly Trend'!$B$4),OR('Staff Weekly Trend'!$B$5="All",$A1264='Staff Weekly Trend'!$B$5))</f>
        <v>0</v>
      </c>
      <c r="AC1264" t="str">
        <f t="shared" si="340"/>
        <v/>
      </c>
      <c r="AI1264">
        <f t="shared" si="341"/>
        <v>0</v>
      </c>
      <c r="AJ1264">
        <f t="shared" si="342"/>
        <v>0</v>
      </c>
      <c r="AK1264">
        <f t="shared" si="343"/>
        <v>0</v>
      </c>
      <c r="AL1264">
        <f t="shared" si="344"/>
        <v>0</v>
      </c>
      <c r="AM1264">
        <f t="shared" si="345"/>
        <v>0</v>
      </c>
      <c r="DH1264" t="str" cm="1">
        <f t="array" ref="DH1264">IF($A1264="","",_xlfn.LET(_xlpm.c,IFERROR(_xlfn.XLOOKUP($A1264,TRIM('Sales and count'!$A$4:$A$300&amp;""),TRIM('Sales and count'!$B$4:$B$300&amp;"")),""),IF(OR(_xlpm.c="",_xlpm.c="0",LEFT(_xlpm.c,1)="#"),"Not set",_xlpm.c)))</f>
        <v/>
      </c>
    </row>
    <row r="1265" spans="1:112" x14ac:dyDescent="0.25">
      <c r="A1265" t="str">
        <f>IF('Staff Daily sales'!$B1250="","",TRIM('Staff Daily sales'!$B1250&amp;""))</f>
        <v/>
      </c>
      <c r="B1265" t="str">
        <f>IF('Staff Daily sales'!$D1250="","",TRIM('Staff Daily sales'!$D1250&amp;""))</f>
        <v/>
      </c>
      <c r="C1265" t="str">
        <f>IFERROR(TRIM('Staff Daily sales'!$E1250&amp;""),"")</f>
        <v/>
      </c>
      <c r="D1265" t="str">
        <f>IFERROR(IF(TRIM('Staff Daily sales'!$F1250&amp;"")="","Unassigned",TRIM('Staff Daily sales'!$F1250&amp;"")),"Unassigned")</f>
        <v>Unassigned</v>
      </c>
      <c r="E1265">
        <f t="shared" si="330"/>
        <v>0</v>
      </c>
      <c r="F1265">
        <f>IF($E1265=0,0,SUMPRODUCT($AI$5:$DF$5,'Staff Daily sales'!$G1250:$CD1250))</f>
        <v>0</v>
      </c>
      <c r="G1265">
        <f>IF($E1265=0,0,SUMPRODUCT($AI$6:$DF$6,'Staff Daily sales'!$G1250:$CD1250))</f>
        <v>0</v>
      </c>
      <c r="H1265">
        <f t="shared" si="331"/>
        <v>0</v>
      </c>
      <c r="I1265">
        <f t="shared" si="332"/>
        <v>0</v>
      </c>
      <c r="J1265">
        <f t="shared" si="333"/>
        <v>0</v>
      </c>
      <c r="K1265">
        <f t="shared" si="334"/>
        <v>0</v>
      </c>
      <c r="L1265">
        <f>--AND($E1265=1,OR('Staff Dashboard'!$B$6="All",$DH1265='Staff Dashboard'!$B$6),OR('Staff Dashboard'!$B$7="All",$D1265='Staff Dashboard'!$B$7),OR('Staff Dashboard'!$B$8="All",$A1265='Staff Dashboard'!$B$8))</f>
        <v>0</v>
      </c>
      <c r="M1265">
        <f>IF($E1265=0,0,SUMPRODUCT($AI$7:$DF$7,'Staff Daily sales'!$G1250:$CD1250))</f>
        <v>0</v>
      </c>
      <c r="N1265">
        <f>IF($E1265=0,0,SUMPRODUCT($AI$8:$DF$8,'Staff Daily sales'!$G1250:$CD1250))</f>
        <v>0</v>
      </c>
      <c r="O1265">
        <f>IF($E1265=0,0,SUMPRODUCT($AI$9:$DF$9,'Staff Daily sales'!$G1250:$CD1250))</f>
        <v>0</v>
      </c>
      <c r="P1265">
        <f>IF($E1265=0,0,SUMPRODUCT($AI$10:$DF$10,'Staff Daily sales'!$G1250:$CD1250))</f>
        <v>0</v>
      </c>
      <c r="Q1265">
        <f>IF($E1265=0,0,SUMPRODUCT($AI$11:$DF$11,'Staff Daily sales'!$G1250:$CD1250))</f>
        <v>0</v>
      </c>
      <c r="R1265">
        <f>IF($E1265=0,0,SUMPRODUCT($AI$12:$DF$12,'Staff Daily sales'!$G1250:$CD1250))</f>
        <v>0</v>
      </c>
      <c r="S1265">
        <f>IF($E1265=0,0,SUMPRODUCT($AI$13:$DF$13,'Staff Daily sales'!$G1250:$CD1250))</f>
        <v>0</v>
      </c>
      <c r="T1265">
        <f>IF($E1265=0,0,SUMPRODUCT($AI$14:$DF$14,'Staff Daily sales'!$G1250:$CD1250))</f>
        <v>0</v>
      </c>
      <c r="U1265">
        <f>IF($E1265=0,0,SUMPRODUCT($AI$15:$DF$15,'Staff Daily sales'!$G1250:$CD1250))</f>
        <v>0</v>
      </c>
      <c r="V1265">
        <f>IF($E1265=0,0,SUMPRODUCT($AI$16:$DF$16,'Staff Daily sales'!$G1250:$CD1250))</f>
        <v>0</v>
      </c>
      <c r="W1265">
        <f t="shared" si="335"/>
        <v>0</v>
      </c>
      <c r="X1265">
        <f t="shared" si="336"/>
        <v>0</v>
      </c>
      <c r="Y1265">
        <f t="shared" si="337"/>
        <v>0</v>
      </c>
      <c r="Z1265">
        <f t="shared" si="338"/>
        <v>0</v>
      </c>
      <c r="AA1265">
        <f t="shared" si="339"/>
        <v>0</v>
      </c>
      <c r="AB1265">
        <f>--AND($E1265=1,OR('Staff Weekly Trend'!$B$3="All",$DH1265='Staff Weekly Trend'!$B$3),OR('Staff Weekly Trend'!$B$4="All",$D1265='Staff Weekly Trend'!$B$4),OR('Staff Weekly Trend'!$B$5="All",$A1265='Staff Weekly Trend'!$B$5))</f>
        <v>0</v>
      </c>
      <c r="AC1265" t="str">
        <f t="shared" si="340"/>
        <v/>
      </c>
      <c r="AI1265">
        <f t="shared" si="341"/>
        <v>0</v>
      </c>
      <c r="AJ1265">
        <f t="shared" si="342"/>
        <v>0</v>
      </c>
      <c r="AK1265">
        <f t="shared" si="343"/>
        <v>0</v>
      </c>
      <c r="AL1265">
        <f t="shared" si="344"/>
        <v>0</v>
      </c>
      <c r="AM1265">
        <f t="shared" si="345"/>
        <v>0</v>
      </c>
      <c r="DH1265" t="str" cm="1">
        <f t="array" ref="DH1265">IF($A1265="","",_xlfn.LET(_xlpm.c,IFERROR(_xlfn.XLOOKUP($A1265,TRIM('Sales and count'!$A$4:$A$300&amp;""),TRIM('Sales and count'!$B$4:$B$300&amp;"")),""),IF(OR(_xlpm.c="",_xlpm.c="0",LEFT(_xlpm.c,1)="#"),"Not set",_xlpm.c)))</f>
        <v/>
      </c>
    </row>
    <row r="1266" spans="1:112" x14ac:dyDescent="0.25">
      <c r="A1266" t="str">
        <f>IF('Staff Daily sales'!$B1251="","",TRIM('Staff Daily sales'!$B1251&amp;""))</f>
        <v/>
      </c>
      <c r="B1266" t="str">
        <f>IF('Staff Daily sales'!$D1251="","",TRIM('Staff Daily sales'!$D1251&amp;""))</f>
        <v/>
      </c>
      <c r="C1266" t="str">
        <f>IFERROR(TRIM('Staff Daily sales'!$E1251&amp;""),"")</f>
        <v/>
      </c>
      <c r="D1266" t="str">
        <f>IFERROR(IF(TRIM('Staff Daily sales'!$F1251&amp;"")="","Unassigned",TRIM('Staff Daily sales'!$F1251&amp;"")),"Unassigned")</f>
        <v>Unassigned</v>
      </c>
      <c r="E1266">
        <f t="shared" si="330"/>
        <v>0</v>
      </c>
      <c r="F1266">
        <f>IF($E1266=0,0,SUMPRODUCT($AI$5:$DF$5,'Staff Daily sales'!$G1251:$CD1251))</f>
        <v>0</v>
      </c>
      <c r="G1266">
        <f>IF($E1266=0,0,SUMPRODUCT($AI$6:$DF$6,'Staff Daily sales'!$G1251:$CD1251))</f>
        <v>0</v>
      </c>
      <c r="H1266">
        <f t="shared" si="331"/>
        <v>0</v>
      </c>
      <c r="I1266">
        <f t="shared" si="332"/>
        <v>0</v>
      </c>
      <c r="J1266">
        <f t="shared" si="333"/>
        <v>0</v>
      </c>
      <c r="K1266">
        <f t="shared" si="334"/>
        <v>0</v>
      </c>
      <c r="L1266">
        <f>--AND($E1266=1,OR('Staff Dashboard'!$B$6="All",$DH1266='Staff Dashboard'!$B$6),OR('Staff Dashboard'!$B$7="All",$D1266='Staff Dashboard'!$B$7),OR('Staff Dashboard'!$B$8="All",$A1266='Staff Dashboard'!$B$8))</f>
        <v>0</v>
      </c>
      <c r="M1266">
        <f>IF($E1266=0,0,SUMPRODUCT($AI$7:$DF$7,'Staff Daily sales'!$G1251:$CD1251))</f>
        <v>0</v>
      </c>
      <c r="N1266">
        <f>IF($E1266=0,0,SUMPRODUCT($AI$8:$DF$8,'Staff Daily sales'!$G1251:$CD1251))</f>
        <v>0</v>
      </c>
      <c r="O1266">
        <f>IF($E1266=0,0,SUMPRODUCT($AI$9:$DF$9,'Staff Daily sales'!$G1251:$CD1251))</f>
        <v>0</v>
      </c>
      <c r="P1266">
        <f>IF($E1266=0,0,SUMPRODUCT($AI$10:$DF$10,'Staff Daily sales'!$G1251:$CD1251))</f>
        <v>0</v>
      </c>
      <c r="Q1266">
        <f>IF($E1266=0,0,SUMPRODUCT($AI$11:$DF$11,'Staff Daily sales'!$G1251:$CD1251))</f>
        <v>0</v>
      </c>
      <c r="R1266">
        <f>IF($E1266=0,0,SUMPRODUCT($AI$12:$DF$12,'Staff Daily sales'!$G1251:$CD1251))</f>
        <v>0</v>
      </c>
      <c r="S1266">
        <f>IF($E1266=0,0,SUMPRODUCT($AI$13:$DF$13,'Staff Daily sales'!$G1251:$CD1251))</f>
        <v>0</v>
      </c>
      <c r="T1266">
        <f>IF($E1266=0,0,SUMPRODUCT($AI$14:$DF$14,'Staff Daily sales'!$G1251:$CD1251))</f>
        <v>0</v>
      </c>
      <c r="U1266">
        <f>IF($E1266=0,0,SUMPRODUCT($AI$15:$DF$15,'Staff Daily sales'!$G1251:$CD1251))</f>
        <v>0</v>
      </c>
      <c r="V1266">
        <f>IF($E1266=0,0,SUMPRODUCT($AI$16:$DF$16,'Staff Daily sales'!$G1251:$CD1251))</f>
        <v>0</v>
      </c>
      <c r="W1266">
        <f t="shared" si="335"/>
        <v>0</v>
      </c>
      <c r="X1266">
        <f t="shared" si="336"/>
        <v>0</v>
      </c>
      <c r="Y1266">
        <f t="shared" si="337"/>
        <v>0</v>
      </c>
      <c r="Z1266">
        <f t="shared" si="338"/>
        <v>0</v>
      </c>
      <c r="AA1266">
        <f t="shared" si="339"/>
        <v>0</v>
      </c>
      <c r="AB1266">
        <f>--AND($E1266=1,OR('Staff Weekly Trend'!$B$3="All",$DH1266='Staff Weekly Trend'!$B$3),OR('Staff Weekly Trend'!$B$4="All",$D1266='Staff Weekly Trend'!$B$4),OR('Staff Weekly Trend'!$B$5="All",$A1266='Staff Weekly Trend'!$B$5))</f>
        <v>0</v>
      </c>
      <c r="AC1266" t="str">
        <f t="shared" si="340"/>
        <v/>
      </c>
      <c r="AI1266">
        <f t="shared" si="341"/>
        <v>0</v>
      </c>
      <c r="AJ1266">
        <f t="shared" si="342"/>
        <v>0</v>
      </c>
      <c r="AK1266">
        <f t="shared" si="343"/>
        <v>0</v>
      </c>
      <c r="AL1266">
        <f t="shared" si="344"/>
        <v>0</v>
      </c>
      <c r="AM1266">
        <f t="shared" si="345"/>
        <v>0</v>
      </c>
      <c r="DH1266" t="str" cm="1">
        <f t="array" ref="DH1266">IF($A1266="","",_xlfn.LET(_xlpm.c,IFERROR(_xlfn.XLOOKUP($A1266,TRIM('Sales and count'!$A$4:$A$300&amp;""),TRIM('Sales and count'!$B$4:$B$300&amp;"")),""),IF(OR(_xlpm.c="",_xlpm.c="0",LEFT(_xlpm.c,1)="#"),"Not set",_xlpm.c)))</f>
        <v/>
      </c>
    </row>
    <row r="1267" spans="1:112" x14ac:dyDescent="0.25">
      <c r="A1267" t="str">
        <f>IF('Staff Daily sales'!$B1252="","",TRIM('Staff Daily sales'!$B1252&amp;""))</f>
        <v/>
      </c>
      <c r="B1267" t="str">
        <f>IF('Staff Daily sales'!$D1252="","",TRIM('Staff Daily sales'!$D1252&amp;""))</f>
        <v/>
      </c>
      <c r="C1267" t="str">
        <f>IFERROR(TRIM('Staff Daily sales'!$E1252&amp;""),"")</f>
        <v/>
      </c>
      <c r="D1267" t="str">
        <f>IFERROR(IF(TRIM('Staff Daily sales'!$F1252&amp;"")="","Unassigned",TRIM('Staff Daily sales'!$F1252&amp;"")),"Unassigned")</f>
        <v>Unassigned</v>
      </c>
      <c r="E1267">
        <f t="shared" si="330"/>
        <v>0</v>
      </c>
      <c r="F1267">
        <f>IF($E1267=0,0,SUMPRODUCT($AI$5:$DF$5,'Staff Daily sales'!$G1252:$CD1252))</f>
        <v>0</v>
      </c>
      <c r="G1267">
        <f>IF($E1267=0,0,SUMPRODUCT($AI$6:$DF$6,'Staff Daily sales'!$G1252:$CD1252))</f>
        <v>0</v>
      </c>
      <c r="H1267">
        <f t="shared" si="331"/>
        <v>0</v>
      </c>
      <c r="I1267">
        <f t="shared" si="332"/>
        <v>0</v>
      </c>
      <c r="J1267">
        <f t="shared" si="333"/>
        <v>0</v>
      </c>
      <c r="K1267">
        <f t="shared" si="334"/>
        <v>0</v>
      </c>
      <c r="L1267">
        <f>--AND($E1267=1,OR('Staff Dashboard'!$B$6="All",$DH1267='Staff Dashboard'!$B$6),OR('Staff Dashboard'!$B$7="All",$D1267='Staff Dashboard'!$B$7),OR('Staff Dashboard'!$B$8="All",$A1267='Staff Dashboard'!$B$8))</f>
        <v>0</v>
      </c>
      <c r="M1267">
        <f>IF($E1267=0,0,SUMPRODUCT($AI$7:$DF$7,'Staff Daily sales'!$G1252:$CD1252))</f>
        <v>0</v>
      </c>
      <c r="N1267">
        <f>IF($E1267=0,0,SUMPRODUCT($AI$8:$DF$8,'Staff Daily sales'!$G1252:$CD1252))</f>
        <v>0</v>
      </c>
      <c r="O1267">
        <f>IF($E1267=0,0,SUMPRODUCT($AI$9:$DF$9,'Staff Daily sales'!$G1252:$CD1252))</f>
        <v>0</v>
      </c>
      <c r="P1267">
        <f>IF($E1267=0,0,SUMPRODUCT($AI$10:$DF$10,'Staff Daily sales'!$G1252:$CD1252))</f>
        <v>0</v>
      </c>
      <c r="Q1267">
        <f>IF($E1267=0,0,SUMPRODUCT($AI$11:$DF$11,'Staff Daily sales'!$G1252:$CD1252))</f>
        <v>0</v>
      </c>
      <c r="R1267">
        <f>IF($E1267=0,0,SUMPRODUCT($AI$12:$DF$12,'Staff Daily sales'!$G1252:$CD1252))</f>
        <v>0</v>
      </c>
      <c r="S1267">
        <f>IF($E1267=0,0,SUMPRODUCT($AI$13:$DF$13,'Staff Daily sales'!$G1252:$CD1252))</f>
        <v>0</v>
      </c>
      <c r="T1267">
        <f>IF($E1267=0,0,SUMPRODUCT($AI$14:$DF$14,'Staff Daily sales'!$G1252:$CD1252))</f>
        <v>0</v>
      </c>
      <c r="U1267">
        <f>IF($E1267=0,0,SUMPRODUCT($AI$15:$DF$15,'Staff Daily sales'!$G1252:$CD1252))</f>
        <v>0</v>
      </c>
      <c r="V1267">
        <f>IF($E1267=0,0,SUMPRODUCT($AI$16:$DF$16,'Staff Daily sales'!$G1252:$CD1252))</f>
        <v>0</v>
      </c>
      <c r="W1267">
        <f t="shared" si="335"/>
        <v>0</v>
      </c>
      <c r="X1267">
        <f t="shared" si="336"/>
        <v>0</v>
      </c>
      <c r="Y1267">
        <f t="shared" si="337"/>
        <v>0</v>
      </c>
      <c r="Z1267">
        <f t="shared" si="338"/>
        <v>0</v>
      </c>
      <c r="AA1267">
        <f t="shared" si="339"/>
        <v>0</v>
      </c>
      <c r="AB1267">
        <f>--AND($E1267=1,OR('Staff Weekly Trend'!$B$3="All",$DH1267='Staff Weekly Trend'!$B$3),OR('Staff Weekly Trend'!$B$4="All",$D1267='Staff Weekly Trend'!$B$4),OR('Staff Weekly Trend'!$B$5="All",$A1267='Staff Weekly Trend'!$B$5))</f>
        <v>0</v>
      </c>
      <c r="AC1267" t="str">
        <f t="shared" si="340"/>
        <v/>
      </c>
      <c r="AI1267">
        <f t="shared" si="341"/>
        <v>0</v>
      </c>
      <c r="AJ1267">
        <f t="shared" si="342"/>
        <v>0</v>
      </c>
      <c r="AK1267">
        <f t="shared" si="343"/>
        <v>0</v>
      </c>
      <c r="AL1267">
        <f t="shared" si="344"/>
        <v>0</v>
      </c>
      <c r="AM1267">
        <f t="shared" si="345"/>
        <v>0</v>
      </c>
      <c r="DH1267" t="str" cm="1">
        <f t="array" ref="DH1267">IF($A1267="","",_xlfn.LET(_xlpm.c,IFERROR(_xlfn.XLOOKUP($A1267,TRIM('Sales and count'!$A$4:$A$300&amp;""),TRIM('Sales and count'!$B$4:$B$300&amp;"")),""),IF(OR(_xlpm.c="",_xlpm.c="0",LEFT(_xlpm.c,1)="#"),"Not set",_xlpm.c)))</f>
        <v/>
      </c>
    </row>
    <row r="1268" spans="1:112" x14ac:dyDescent="0.25">
      <c r="A1268" t="str">
        <f>IF('Staff Daily sales'!$B1253="","",TRIM('Staff Daily sales'!$B1253&amp;""))</f>
        <v/>
      </c>
      <c r="B1268" t="str">
        <f>IF('Staff Daily sales'!$D1253="","",TRIM('Staff Daily sales'!$D1253&amp;""))</f>
        <v/>
      </c>
      <c r="C1268" t="str">
        <f>IFERROR(TRIM('Staff Daily sales'!$E1253&amp;""),"")</f>
        <v/>
      </c>
      <c r="D1268" t="str">
        <f>IFERROR(IF(TRIM('Staff Daily sales'!$F1253&amp;"")="","Unassigned",TRIM('Staff Daily sales'!$F1253&amp;"")),"Unassigned")</f>
        <v>Unassigned</v>
      </c>
      <c r="E1268">
        <f t="shared" si="330"/>
        <v>0</v>
      </c>
      <c r="F1268">
        <f>IF($E1268=0,0,SUMPRODUCT($AI$5:$DF$5,'Staff Daily sales'!$G1253:$CD1253))</f>
        <v>0</v>
      </c>
      <c r="G1268">
        <f>IF($E1268=0,0,SUMPRODUCT($AI$6:$DF$6,'Staff Daily sales'!$G1253:$CD1253))</f>
        <v>0</v>
      </c>
      <c r="H1268">
        <f t="shared" si="331"/>
        <v>0</v>
      </c>
      <c r="I1268">
        <f t="shared" si="332"/>
        <v>0</v>
      </c>
      <c r="J1268">
        <f t="shared" si="333"/>
        <v>0</v>
      </c>
      <c r="K1268">
        <f t="shared" si="334"/>
        <v>0</v>
      </c>
      <c r="L1268">
        <f>--AND($E1268=1,OR('Staff Dashboard'!$B$6="All",$DH1268='Staff Dashboard'!$B$6),OR('Staff Dashboard'!$B$7="All",$D1268='Staff Dashboard'!$B$7),OR('Staff Dashboard'!$B$8="All",$A1268='Staff Dashboard'!$B$8))</f>
        <v>0</v>
      </c>
      <c r="M1268">
        <f>IF($E1268=0,0,SUMPRODUCT($AI$7:$DF$7,'Staff Daily sales'!$G1253:$CD1253))</f>
        <v>0</v>
      </c>
      <c r="N1268">
        <f>IF($E1268=0,0,SUMPRODUCT($AI$8:$DF$8,'Staff Daily sales'!$G1253:$CD1253))</f>
        <v>0</v>
      </c>
      <c r="O1268">
        <f>IF($E1268=0,0,SUMPRODUCT($AI$9:$DF$9,'Staff Daily sales'!$G1253:$CD1253))</f>
        <v>0</v>
      </c>
      <c r="P1268">
        <f>IF($E1268=0,0,SUMPRODUCT($AI$10:$DF$10,'Staff Daily sales'!$G1253:$CD1253))</f>
        <v>0</v>
      </c>
      <c r="Q1268">
        <f>IF($E1268=0,0,SUMPRODUCT($AI$11:$DF$11,'Staff Daily sales'!$G1253:$CD1253))</f>
        <v>0</v>
      </c>
      <c r="R1268">
        <f>IF($E1268=0,0,SUMPRODUCT($AI$12:$DF$12,'Staff Daily sales'!$G1253:$CD1253))</f>
        <v>0</v>
      </c>
      <c r="S1268">
        <f>IF($E1268=0,0,SUMPRODUCT($AI$13:$DF$13,'Staff Daily sales'!$G1253:$CD1253))</f>
        <v>0</v>
      </c>
      <c r="T1268">
        <f>IF($E1268=0,0,SUMPRODUCT($AI$14:$DF$14,'Staff Daily sales'!$G1253:$CD1253))</f>
        <v>0</v>
      </c>
      <c r="U1268">
        <f>IF($E1268=0,0,SUMPRODUCT($AI$15:$DF$15,'Staff Daily sales'!$G1253:$CD1253))</f>
        <v>0</v>
      </c>
      <c r="V1268">
        <f>IF($E1268=0,0,SUMPRODUCT($AI$16:$DF$16,'Staff Daily sales'!$G1253:$CD1253))</f>
        <v>0</v>
      </c>
      <c r="W1268">
        <f t="shared" si="335"/>
        <v>0</v>
      </c>
      <c r="X1268">
        <f t="shared" si="336"/>
        <v>0</v>
      </c>
      <c r="Y1268">
        <f t="shared" si="337"/>
        <v>0</v>
      </c>
      <c r="Z1268">
        <f t="shared" si="338"/>
        <v>0</v>
      </c>
      <c r="AA1268">
        <f t="shared" si="339"/>
        <v>0</v>
      </c>
      <c r="AB1268">
        <f>--AND($E1268=1,OR('Staff Weekly Trend'!$B$3="All",$DH1268='Staff Weekly Trend'!$B$3),OR('Staff Weekly Trend'!$B$4="All",$D1268='Staff Weekly Trend'!$B$4),OR('Staff Weekly Trend'!$B$5="All",$A1268='Staff Weekly Trend'!$B$5))</f>
        <v>0</v>
      </c>
      <c r="AC1268" t="str">
        <f t="shared" si="340"/>
        <v/>
      </c>
      <c r="AI1268">
        <f t="shared" si="341"/>
        <v>0</v>
      </c>
      <c r="AJ1268">
        <f t="shared" si="342"/>
        <v>0</v>
      </c>
      <c r="AK1268">
        <f t="shared" si="343"/>
        <v>0</v>
      </c>
      <c r="AL1268">
        <f t="shared" si="344"/>
        <v>0</v>
      </c>
      <c r="AM1268">
        <f t="shared" si="345"/>
        <v>0</v>
      </c>
      <c r="DH1268" t="str" cm="1">
        <f t="array" ref="DH1268">IF($A1268="","",_xlfn.LET(_xlpm.c,IFERROR(_xlfn.XLOOKUP($A1268,TRIM('Sales and count'!$A$4:$A$300&amp;""),TRIM('Sales and count'!$B$4:$B$300&amp;"")),""),IF(OR(_xlpm.c="",_xlpm.c="0",LEFT(_xlpm.c,1)="#"),"Not set",_xlpm.c)))</f>
        <v/>
      </c>
    </row>
    <row r="1269" spans="1:112" x14ac:dyDescent="0.25">
      <c r="A1269" t="str">
        <f>IF('Staff Daily sales'!$B1254="","",TRIM('Staff Daily sales'!$B1254&amp;""))</f>
        <v/>
      </c>
      <c r="B1269" t="str">
        <f>IF('Staff Daily sales'!$D1254="","",TRIM('Staff Daily sales'!$D1254&amp;""))</f>
        <v/>
      </c>
      <c r="C1269" t="str">
        <f>IFERROR(TRIM('Staff Daily sales'!$E1254&amp;""),"")</f>
        <v/>
      </c>
      <c r="D1269" t="str">
        <f>IFERROR(IF(TRIM('Staff Daily sales'!$F1254&amp;"")="","Unassigned",TRIM('Staff Daily sales'!$F1254&amp;"")),"Unassigned")</f>
        <v>Unassigned</v>
      </c>
      <c r="E1269">
        <f t="shared" si="330"/>
        <v>0</v>
      </c>
      <c r="F1269">
        <f>IF($E1269=0,0,SUMPRODUCT($AI$5:$DF$5,'Staff Daily sales'!$G1254:$CD1254))</f>
        <v>0</v>
      </c>
      <c r="G1269">
        <f>IF($E1269=0,0,SUMPRODUCT($AI$6:$DF$6,'Staff Daily sales'!$G1254:$CD1254))</f>
        <v>0</v>
      </c>
      <c r="H1269">
        <f t="shared" si="331"/>
        <v>0</v>
      </c>
      <c r="I1269">
        <f t="shared" si="332"/>
        <v>0</v>
      </c>
      <c r="J1269">
        <f t="shared" si="333"/>
        <v>0</v>
      </c>
      <c r="K1269">
        <f t="shared" si="334"/>
        <v>0</v>
      </c>
      <c r="L1269">
        <f>--AND($E1269=1,OR('Staff Dashboard'!$B$6="All",$DH1269='Staff Dashboard'!$B$6),OR('Staff Dashboard'!$B$7="All",$D1269='Staff Dashboard'!$B$7),OR('Staff Dashboard'!$B$8="All",$A1269='Staff Dashboard'!$B$8))</f>
        <v>0</v>
      </c>
      <c r="M1269">
        <f>IF($E1269=0,0,SUMPRODUCT($AI$7:$DF$7,'Staff Daily sales'!$G1254:$CD1254))</f>
        <v>0</v>
      </c>
      <c r="N1269">
        <f>IF($E1269=0,0,SUMPRODUCT($AI$8:$DF$8,'Staff Daily sales'!$G1254:$CD1254))</f>
        <v>0</v>
      </c>
      <c r="O1269">
        <f>IF($E1269=0,0,SUMPRODUCT($AI$9:$DF$9,'Staff Daily sales'!$G1254:$CD1254))</f>
        <v>0</v>
      </c>
      <c r="P1269">
        <f>IF($E1269=0,0,SUMPRODUCT($AI$10:$DF$10,'Staff Daily sales'!$G1254:$CD1254))</f>
        <v>0</v>
      </c>
      <c r="Q1269">
        <f>IF($E1269=0,0,SUMPRODUCT($AI$11:$DF$11,'Staff Daily sales'!$G1254:$CD1254))</f>
        <v>0</v>
      </c>
      <c r="R1269">
        <f>IF($E1269=0,0,SUMPRODUCT($AI$12:$DF$12,'Staff Daily sales'!$G1254:$CD1254))</f>
        <v>0</v>
      </c>
      <c r="S1269">
        <f>IF($E1269=0,0,SUMPRODUCT($AI$13:$DF$13,'Staff Daily sales'!$G1254:$CD1254))</f>
        <v>0</v>
      </c>
      <c r="T1269">
        <f>IF($E1269=0,0,SUMPRODUCT($AI$14:$DF$14,'Staff Daily sales'!$G1254:$CD1254))</f>
        <v>0</v>
      </c>
      <c r="U1269">
        <f>IF($E1269=0,0,SUMPRODUCT($AI$15:$DF$15,'Staff Daily sales'!$G1254:$CD1254))</f>
        <v>0</v>
      </c>
      <c r="V1269">
        <f>IF($E1269=0,0,SUMPRODUCT($AI$16:$DF$16,'Staff Daily sales'!$G1254:$CD1254))</f>
        <v>0</v>
      </c>
      <c r="W1269">
        <f t="shared" si="335"/>
        <v>0</v>
      </c>
      <c r="X1269">
        <f t="shared" si="336"/>
        <v>0</v>
      </c>
      <c r="Y1269">
        <f t="shared" si="337"/>
        <v>0</v>
      </c>
      <c r="Z1269">
        <f t="shared" si="338"/>
        <v>0</v>
      </c>
      <c r="AA1269">
        <f t="shared" si="339"/>
        <v>0</v>
      </c>
      <c r="AB1269">
        <f>--AND($E1269=1,OR('Staff Weekly Trend'!$B$3="All",$DH1269='Staff Weekly Trend'!$B$3),OR('Staff Weekly Trend'!$B$4="All",$D1269='Staff Weekly Trend'!$B$4),OR('Staff Weekly Trend'!$B$5="All",$A1269='Staff Weekly Trend'!$B$5))</f>
        <v>0</v>
      </c>
      <c r="AC1269" t="str">
        <f t="shared" si="340"/>
        <v/>
      </c>
      <c r="AI1269">
        <f t="shared" si="341"/>
        <v>0</v>
      </c>
      <c r="AJ1269">
        <f t="shared" si="342"/>
        <v>0</v>
      </c>
      <c r="AK1269">
        <f t="shared" si="343"/>
        <v>0</v>
      </c>
      <c r="AL1269">
        <f t="shared" si="344"/>
        <v>0</v>
      </c>
      <c r="AM1269">
        <f t="shared" si="345"/>
        <v>0</v>
      </c>
      <c r="DH1269" t="str" cm="1">
        <f t="array" ref="DH1269">IF($A1269="","",_xlfn.LET(_xlpm.c,IFERROR(_xlfn.XLOOKUP($A1269,TRIM('Sales and count'!$A$4:$A$300&amp;""),TRIM('Sales and count'!$B$4:$B$300&amp;"")),""),IF(OR(_xlpm.c="",_xlpm.c="0",LEFT(_xlpm.c,1)="#"),"Not set",_xlpm.c)))</f>
        <v/>
      </c>
    </row>
    <row r="1270" spans="1:112" x14ac:dyDescent="0.25">
      <c r="A1270" t="str">
        <f>IF('Staff Daily sales'!$B1255="","",TRIM('Staff Daily sales'!$B1255&amp;""))</f>
        <v/>
      </c>
      <c r="B1270" t="str">
        <f>IF('Staff Daily sales'!$D1255="","",TRIM('Staff Daily sales'!$D1255&amp;""))</f>
        <v/>
      </c>
      <c r="C1270" t="str">
        <f>IFERROR(TRIM('Staff Daily sales'!$E1255&amp;""),"")</f>
        <v/>
      </c>
      <c r="D1270" t="str">
        <f>IFERROR(IF(TRIM('Staff Daily sales'!$F1255&amp;"")="","Unassigned",TRIM('Staff Daily sales'!$F1255&amp;"")),"Unassigned")</f>
        <v>Unassigned</v>
      </c>
      <c r="E1270">
        <f t="shared" si="330"/>
        <v>0</v>
      </c>
      <c r="F1270">
        <f>IF($E1270=0,0,SUMPRODUCT($AI$5:$DF$5,'Staff Daily sales'!$G1255:$CD1255))</f>
        <v>0</v>
      </c>
      <c r="G1270">
        <f>IF($E1270=0,0,SUMPRODUCT($AI$6:$DF$6,'Staff Daily sales'!$G1255:$CD1255))</f>
        <v>0</v>
      </c>
      <c r="H1270">
        <f t="shared" si="331"/>
        <v>0</v>
      </c>
      <c r="I1270">
        <f t="shared" si="332"/>
        <v>0</v>
      </c>
      <c r="J1270">
        <f t="shared" si="333"/>
        <v>0</v>
      </c>
      <c r="K1270">
        <f t="shared" si="334"/>
        <v>0</v>
      </c>
      <c r="L1270">
        <f>--AND($E1270=1,OR('Staff Dashboard'!$B$6="All",$DH1270='Staff Dashboard'!$B$6),OR('Staff Dashboard'!$B$7="All",$D1270='Staff Dashboard'!$B$7),OR('Staff Dashboard'!$B$8="All",$A1270='Staff Dashboard'!$B$8))</f>
        <v>0</v>
      </c>
      <c r="M1270">
        <f>IF($E1270=0,0,SUMPRODUCT($AI$7:$DF$7,'Staff Daily sales'!$G1255:$CD1255))</f>
        <v>0</v>
      </c>
      <c r="N1270">
        <f>IF($E1270=0,0,SUMPRODUCT($AI$8:$DF$8,'Staff Daily sales'!$G1255:$CD1255))</f>
        <v>0</v>
      </c>
      <c r="O1270">
        <f>IF($E1270=0,0,SUMPRODUCT($AI$9:$DF$9,'Staff Daily sales'!$G1255:$CD1255))</f>
        <v>0</v>
      </c>
      <c r="P1270">
        <f>IF($E1270=0,0,SUMPRODUCT($AI$10:$DF$10,'Staff Daily sales'!$G1255:$CD1255))</f>
        <v>0</v>
      </c>
      <c r="Q1270">
        <f>IF($E1270=0,0,SUMPRODUCT($AI$11:$DF$11,'Staff Daily sales'!$G1255:$CD1255))</f>
        <v>0</v>
      </c>
      <c r="R1270">
        <f>IF($E1270=0,0,SUMPRODUCT($AI$12:$DF$12,'Staff Daily sales'!$G1255:$CD1255))</f>
        <v>0</v>
      </c>
      <c r="S1270">
        <f>IF($E1270=0,0,SUMPRODUCT($AI$13:$DF$13,'Staff Daily sales'!$G1255:$CD1255))</f>
        <v>0</v>
      </c>
      <c r="T1270">
        <f>IF($E1270=0,0,SUMPRODUCT($AI$14:$DF$14,'Staff Daily sales'!$G1255:$CD1255))</f>
        <v>0</v>
      </c>
      <c r="U1270">
        <f>IF($E1270=0,0,SUMPRODUCT($AI$15:$DF$15,'Staff Daily sales'!$G1255:$CD1255))</f>
        <v>0</v>
      </c>
      <c r="V1270">
        <f>IF($E1270=0,0,SUMPRODUCT($AI$16:$DF$16,'Staff Daily sales'!$G1255:$CD1255))</f>
        <v>0</v>
      </c>
      <c r="W1270">
        <f t="shared" si="335"/>
        <v>0</v>
      </c>
      <c r="X1270">
        <f t="shared" si="336"/>
        <v>0</v>
      </c>
      <c r="Y1270">
        <f t="shared" si="337"/>
        <v>0</v>
      </c>
      <c r="Z1270">
        <f t="shared" si="338"/>
        <v>0</v>
      </c>
      <c r="AA1270">
        <f t="shared" si="339"/>
        <v>0</v>
      </c>
      <c r="AB1270">
        <f>--AND($E1270=1,OR('Staff Weekly Trend'!$B$3="All",$DH1270='Staff Weekly Trend'!$B$3),OR('Staff Weekly Trend'!$B$4="All",$D1270='Staff Weekly Trend'!$B$4),OR('Staff Weekly Trend'!$B$5="All",$A1270='Staff Weekly Trend'!$B$5))</f>
        <v>0</v>
      </c>
      <c r="AC1270" t="str">
        <f t="shared" si="340"/>
        <v/>
      </c>
      <c r="AI1270">
        <f t="shared" si="341"/>
        <v>0</v>
      </c>
      <c r="AJ1270">
        <f t="shared" si="342"/>
        <v>0</v>
      </c>
      <c r="AK1270">
        <f t="shared" si="343"/>
        <v>0</v>
      </c>
      <c r="AL1270">
        <f t="shared" si="344"/>
        <v>0</v>
      </c>
      <c r="AM1270">
        <f t="shared" si="345"/>
        <v>0</v>
      </c>
      <c r="DH1270" t="str" cm="1">
        <f t="array" ref="DH1270">IF($A1270="","",_xlfn.LET(_xlpm.c,IFERROR(_xlfn.XLOOKUP($A1270,TRIM('Sales and count'!$A$4:$A$300&amp;""),TRIM('Sales and count'!$B$4:$B$300&amp;"")),""),IF(OR(_xlpm.c="",_xlpm.c="0",LEFT(_xlpm.c,1)="#"),"Not set",_xlpm.c)))</f>
        <v/>
      </c>
    </row>
    <row r="1271" spans="1:112" x14ac:dyDescent="0.25">
      <c r="A1271" t="str">
        <f>IF('Staff Daily sales'!$B1256="","",TRIM('Staff Daily sales'!$B1256&amp;""))</f>
        <v/>
      </c>
      <c r="B1271" t="str">
        <f>IF('Staff Daily sales'!$D1256="","",TRIM('Staff Daily sales'!$D1256&amp;""))</f>
        <v/>
      </c>
      <c r="C1271" t="str">
        <f>IFERROR(TRIM('Staff Daily sales'!$E1256&amp;""),"")</f>
        <v/>
      </c>
      <c r="D1271" t="str">
        <f>IFERROR(IF(TRIM('Staff Daily sales'!$F1256&amp;"")="","Unassigned",TRIM('Staff Daily sales'!$F1256&amp;"")),"Unassigned")</f>
        <v>Unassigned</v>
      </c>
      <c r="E1271">
        <f t="shared" si="330"/>
        <v>0</v>
      </c>
      <c r="F1271">
        <f>IF($E1271=0,0,SUMPRODUCT($AI$5:$DF$5,'Staff Daily sales'!$G1256:$CD1256))</f>
        <v>0</v>
      </c>
      <c r="G1271">
        <f>IF($E1271=0,0,SUMPRODUCT($AI$6:$DF$6,'Staff Daily sales'!$G1256:$CD1256))</f>
        <v>0</v>
      </c>
      <c r="H1271">
        <f t="shared" si="331"/>
        <v>0</v>
      </c>
      <c r="I1271">
        <f t="shared" si="332"/>
        <v>0</v>
      </c>
      <c r="J1271">
        <f t="shared" si="333"/>
        <v>0</v>
      </c>
      <c r="K1271">
        <f t="shared" si="334"/>
        <v>0</v>
      </c>
      <c r="L1271">
        <f>--AND($E1271=1,OR('Staff Dashboard'!$B$6="All",$DH1271='Staff Dashboard'!$B$6),OR('Staff Dashboard'!$B$7="All",$D1271='Staff Dashboard'!$B$7),OR('Staff Dashboard'!$B$8="All",$A1271='Staff Dashboard'!$B$8))</f>
        <v>0</v>
      </c>
      <c r="M1271">
        <f>IF($E1271=0,0,SUMPRODUCT($AI$7:$DF$7,'Staff Daily sales'!$G1256:$CD1256))</f>
        <v>0</v>
      </c>
      <c r="N1271">
        <f>IF($E1271=0,0,SUMPRODUCT($AI$8:$DF$8,'Staff Daily sales'!$G1256:$CD1256))</f>
        <v>0</v>
      </c>
      <c r="O1271">
        <f>IF($E1271=0,0,SUMPRODUCT($AI$9:$DF$9,'Staff Daily sales'!$G1256:$CD1256))</f>
        <v>0</v>
      </c>
      <c r="P1271">
        <f>IF($E1271=0,0,SUMPRODUCT($AI$10:$DF$10,'Staff Daily sales'!$G1256:$CD1256))</f>
        <v>0</v>
      </c>
      <c r="Q1271">
        <f>IF($E1271=0,0,SUMPRODUCT($AI$11:$DF$11,'Staff Daily sales'!$G1256:$CD1256))</f>
        <v>0</v>
      </c>
      <c r="R1271">
        <f>IF($E1271=0,0,SUMPRODUCT($AI$12:$DF$12,'Staff Daily sales'!$G1256:$CD1256))</f>
        <v>0</v>
      </c>
      <c r="S1271">
        <f>IF($E1271=0,0,SUMPRODUCT($AI$13:$DF$13,'Staff Daily sales'!$G1256:$CD1256))</f>
        <v>0</v>
      </c>
      <c r="T1271">
        <f>IF($E1271=0,0,SUMPRODUCT($AI$14:$DF$14,'Staff Daily sales'!$G1256:$CD1256))</f>
        <v>0</v>
      </c>
      <c r="U1271">
        <f>IF($E1271=0,0,SUMPRODUCT($AI$15:$DF$15,'Staff Daily sales'!$G1256:$CD1256))</f>
        <v>0</v>
      </c>
      <c r="V1271">
        <f>IF($E1271=0,0,SUMPRODUCT($AI$16:$DF$16,'Staff Daily sales'!$G1256:$CD1256))</f>
        <v>0</v>
      </c>
      <c r="W1271">
        <f t="shared" si="335"/>
        <v>0</v>
      </c>
      <c r="X1271">
        <f t="shared" si="336"/>
        <v>0</v>
      </c>
      <c r="Y1271">
        <f t="shared" si="337"/>
        <v>0</v>
      </c>
      <c r="Z1271">
        <f t="shared" si="338"/>
        <v>0</v>
      </c>
      <c r="AA1271">
        <f t="shared" si="339"/>
        <v>0</v>
      </c>
      <c r="AB1271">
        <f>--AND($E1271=1,OR('Staff Weekly Trend'!$B$3="All",$DH1271='Staff Weekly Trend'!$B$3),OR('Staff Weekly Trend'!$B$4="All",$D1271='Staff Weekly Trend'!$B$4),OR('Staff Weekly Trend'!$B$5="All",$A1271='Staff Weekly Trend'!$B$5))</f>
        <v>0</v>
      </c>
      <c r="AC1271" t="str">
        <f t="shared" si="340"/>
        <v/>
      </c>
      <c r="AI1271">
        <f t="shared" si="341"/>
        <v>0</v>
      </c>
      <c r="AJ1271">
        <f t="shared" si="342"/>
        <v>0</v>
      </c>
      <c r="AK1271">
        <f t="shared" si="343"/>
        <v>0</v>
      </c>
      <c r="AL1271">
        <f t="shared" si="344"/>
        <v>0</v>
      </c>
      <c r="AM1271">
        <f t="shared" si="345"/>
        <v>0</v>
      </c>
      <c r="DH1271" t="str" cm="1">
        <f t="array" ref="DH1271">IF($A1271="","",_xlfn.LET(_xlpm.c,IFERROR(_xlfn.XLOOKUP($A1271,TRIM('Sales and count'!$A$4:$A$300&amp;""),TRIM('Sales and count'!$B$4:$B$300&amp;"")),""),IF(OR(_xlpm.c="",_xlpm.c="0",LEFT(_xlpm.c,1)="#"),"Not set",_xlpm.c)))</f>
        <v/>
      </c>
    </row>
    <row r="1272" spans="1:112" x14ac:dyDescent="0.25">
      <c r="A1272" t="str">
        <f>IF('Staff Daily sales'!$B1257="","",TRIM('Staff Daily sales'!$B1257&amp;""))</f>
        <v/>
      </c>
      <c r="B1272" t="str">
        <f>IF('Staff Daily sales'!$D1257="","",TRIM('Staff Daily sales'!$D1257&amp;""))</f>
        <v/>
      </c>
      <c r="C1272" t="str">
        <f>IFERROR(TRIM('Staff Daily sales'!$E1257&amp;""),"")</f>
        <v/>
      </c>
      <c r="D1272" t="str">
        <f>IFERROR(IF(TRIM('Staff Daily sales'!$F1257&amp;"")="","Unassigned",TRIM('Staff Daily sales'!$F1257&amp;"")),"Unassigned")</f>
        <v>Unassigned</v>
      </c>
      <c r="E1272">
        <f t="shared" si="330"/>
        <v>0</v>
      </c>
      <c r="F1272">
        <f>IF($E1272=0,0,SUMPRODUCT($AI$5:$DF$5,'Staff Daily sales'!$G1257:$CD1257))</f>
        <v>0</v>
      </c>
      <c r="G1272">
        <f>IF($E1272=0,0,SUMPRODUCT($AI$6:$DF$6,'Staff Daily sales'!$G1257:$CD1257))</f>
        <v>0</v>
      </c>
      <c r="H1272">
        <f t="shared" si="331"/>
        <v>0</v>
      </c>
      <c r="I1272">
        <f t="shared" si="332"/>
        <v>0</v>
      </c>
      <c r="J1272">
        <f t="shared" si="333"/>
        <v>0</v>
      </c>
      <c r="K1272">
        <f t="shared" si="334"/>
        <v>0</v>
      </c>
      <c r="L1272">
        <f>--AND($E1272=1,OR('Staff Dashboard'!$B$6="All",$DH1272='Staff Dashboard'!$B$6),OR('Staff Dashboard'!$B$7="All",$D1272='Staff Dashboard'!$B$7),OR('Staff Dashboard'!$B$8="All",$A1272='Staff Dashboard'!$B$8))</f>
        <v>0</v>
      </c>
      <c r="M1272">
        <f>IF($E1272=0,0,SUMPRODUCT($AI$7:$DF$7,'Staff Daily sales'!$G1257:$CD1257))</f>
        <v>0</v>
      </c>
      <c r="N1272">
        <f>IF($E1272=0,0,SUMPRODUCT($AI$8:$DF$8,'Staff Daily sales'!$G1257:$CD1257))</f>
        <v>0</v>
      </c>
      <c r="O1272">
        <f>IF($E1272=0,0,SUMPRODUCT($AI$9:$DF$9,'Staff Daily sales'!$G1257:$CD1257))</f>
        <v>0</v>
      </c>
      <c r="P1272">
        <f>IF($E1272=0,0,SUMPRODUCT($AI$10:$DF$10,'Staff Daily sales'!$G1257:$CD1257))</f>
        <v>0</v>
      </c>
      <c r="Q1272">
        <f>IF($E1272=0,0,SUMPRODUCT($AI$11:$DF$11,'Staff Daily sales'!$G1257:$CD1257))</f>
        <v>0</v>
      </c>
      <c r="R1272">
        <f>IF($E1272=0,0,SUMPRODUCT($AI$12:$DF$12,'Staff Daily sales'!$G1257:$CD1257))</f>
        <v>0</v>
      </c>
      <c r="S1272">
        <f>IF($E1272=0,0,SUMPRODUCT($AI$13:$DF$13,'Staff Daily sales'!$G1257:$CD1257))</f>
        <v>0</v>
      </c>
      <c r="T1272">
        <f>IF($E1272=0,0,SUMPRODUCT($AI$14:$DF$14,'Staff Daily sales'!$G1257:$CD1257))</f>
        <v>0</v>
      </c>
      <c r="U1272">
        <f>IF($E1272=0,0,SUMPRODUCT($AI$15:$DF$15,'Staff Daily sales'!$G1257:$CD1257))</f>
        <v>0</v>
      </c>
      <c r="V1272">
        <f>IF($E1272=0,0,SUMPRODUCT($AI$16:$DF$16,'Staff Daily sales'!$G1257:$CD1257))</f>
        <v>0</v>
      </c>
      <c r="W1272">
        <f t="shared" si="335"/>
        <v>0</v>
      </c>
      <c r="X1272">
        <f t="shared" si="336"/>
        <v>0</v>
      </c>
      <c r="Y1272">
        <f t="shared" si="337"/>
        <v>0</v>
      </c>
      <c r="Z1272">
        <f t="shared" si="338"/>
        <v>0</v>
      </c>
      <c r="AA1272">
        <f t="shared" si="339"/>
        <v>0</v>
      </c>
      <c r="AB1272">
        <f>--AND($E1272=1,OR('Staff Weekly Trend'!$B$3="All",$DH1272='Staff Weekly Trend'!$B$3),OR('Staff Weekly Trend'!$B$4="All",$D1272='Staff Weekly Trend'!$B$4),OR('Staff Weekly Trend'!$B$5="All",$A1272='Staff Weekly Trend'!$B$5))</f>
        <v>0</v>
      </c>
      <c r="AC1272" t="str">
        <f t="shared" si="340"/>
        <v/>
      </c>
      <c r="AI1272">
        <f t="shared" si="341"/>
        <v>0</v>
      </c>
      <c r="AJ1272">
        <f t="shared" si="342"/>
        <v>0</v>
      </c>
      <c r="AK1272">
        <f t="shared" si="343"/>
        <v>0</v>
      </c>
      <c r="AL1272">
        <f t="shared" si="344"/>
        <v>0</v>
      </c>
      <c r="AM1272">
        <f t="shared" si="345"/>
        <v>0</v>
      </c>
      <c r="DH1272" t="str" cm="1">
        <f t="array" ref="DH1272">IF($A1272="","",_xlfn.LET(_xlpm.c,IFERROR(_xlfn.XLOOKUP($A1272,TRIM('Sales and count'!$A$4:$A$300&amp;""),TRIM('Sales and count'!$B$4:$B$300&amp;"")),""),IF(OR(_xlpm.c="",_xlpm.c="0",LEFT(_xlpm.c,1)="#"),"Not set",_xlpm.c)))</f>
        <v/>
      </c>
    </row>
    <row r="1273" spans="1:112" x14ac:dyDescent="0.25">
      <c r="A1273" t="str">
        <f>IF('Staff Daily sales'!$B1258="","",TRIM('Staff Daily sales'!$B1258&amp;""))</f>
        <v/>
      </c>
      <c r="B1273" t="str">
        <f>IF('Staff Daily sales'!$D1258="","",TRIM('Staff Daily sales'!$D1258&amp;""))</f>
        <v/>
      </c>
      <c r="C1273" t="str">
        <f>IFERROR(TRIM('Staff Daily sales'!$E1258&amp;""),"")</f>
        <v/>
      </c>
      <c r="D1273" t="str">
        <f>IFERROR(IF(TRIM('Staff Daily sales'!$F1258&amp;"")="","Unassigned",TRIM('Staff Daily sales'!$F1258&amp;"")),"Unassigned")</f>
        <v>Unassigned</v>
      </c>
      <c r="E1273">
        <f t="shared" si="330"/>
        <v>0</v>
      </c>
      <c r="F1273">
        <f>IF($E1273=0,0,SUMPRODUCT($AI$5:$DF$5,'Staff Daily sales'!$G1258:$CD1258))</f>
        <v>0</v>
      </c>
      <c r="G1273">
        <f>IF($E1273=0,0,SUMPRODUCT($AI$6:$DF$6,'Staff Daily sales'!$G1258:$CD1258))</f>
        <v>0</v>
      </c>
      <c r="H1273">
        <f t="shared" si="331"/>
        <v>0</v>
      </c>
      <c r="I1273">
        <f t="shared" si="332"/>
        <v>0</v>
      </c>
      <c r="J1273">
        <f t="shared" si="333"/>
        <v>0</v>
      </c>
      <c r="K1273">
        <f t="shared" si="334"/>
        <v>0</v>
      </c>
      <c r="L1273">
        <f>--AND($E1273=1,OR('Staff Dashboard'!$B$6="All",$DH1273='Staff Dashboard'!$B$6),OR('Staff Dashboard'!$B$7="All",$D1273='Staff Dashboard'!$B$7),OR('Staff Dashboard'!$B$8="All",$A1273='Staff Dashboard'!$B$8))</f>
        <v>0</v>
      </c>
      <c r="M1273">
        <f>IF($E1273=0,0,SUMPRODUCT($AI$7:$DF$7,'Staff Daily sales'!$G1258:$CD1258))</f>
        <v>0</v>
      </c>
      <c r="N1273">
        <f>IF($E1273=0,0,SUMPRODUCT($AI$8:$DF$8,'Staff Daily sales'!$G1258:$CD1258))</f>
        <v>0</v>
      </c>
      <c r="O1273">
        <f>IF($E1273=0,0,SUMPRODUCT($AI$9:$DF$9,'Staff Daily sales'!$G1258:$CD1258))</f>
        <v>0</v>
      </c>
      <c r="P1273">
        <f>IF($E1273=0,0,SUMPRODUCT($AI$10:$DF$10,'Staff Daily sales'!$G1258:$CD1258))</f>
        <v>0</v>
      </c>
      <c r="Q1273">
        <f>IF($E1273=0,0,SUMPRODUCT($AI$11:$DF$11,'Staff Daily sales'!$G1258:$CD1258))</f>
        <v>0</v>
      </c>
      <c r="R1273">
        <f>IF($E1273=0,0,SUMPRODUCT($AI$12:$DF$12,'Staff Daily sales'!$G1258:$CD1258))</f>
        <v>0</v>
      </c>
      <c r="S1273">
        <f>IF($E1273=0,0,SUMPRODUCT($AI$13:$DF$13,'Staff Daily sales'!$G1258:$CD1258))</f>
        <v>0</v>
      </c>
      <c r="T1273">
        <f>IF($E1273=0,0,SUMPRODUCT($AI$14:$DF$14,'Staff Daily sales'!$G1258:$CD1258))</f>
        <v>0</v>
      </c>
      <c r="U1273">
        <f>IF($E1273=0,0,SUMPRODUCT($AI$15:$DF$15,'Staff Daily sales'!$G1258:$CD1258))</f>
        <v>0</v>
      </c>
      <c r="V1273">
        <f>IF($E1273=0,0,SUMPRODUCT($AI$16:$DF$16,'Staff Daily sales'!$G1258:$CD1258))</f>
        <v>0</v>
      </c>
      <c r="W1273">
        <f t="shared" si="335"/>
        <v>0</v>
      </c>
      <c r="X1273">
        <f t="shared" si="336"/>
        <v>0</v>
      </c>
      <c r="Y1273">
        <f t="shared" si="337"/>
        <v>0</v>
      </c>
      <c r="Z1273">
        <f t="shared" si="338"/>
        <v>0</v>
      </c>
      <c r="AA1273">
        <f t="shared" si="339"/>
        <v>0</v>
      </c>
      <c r="AB1273">
        <f>--AND($E1273=1,OR('Staff Weekly Trend'!$B$3="All",$DH1273='Staff Weekly Trend'!$B$3),OR('Staff Weekly Trend'!$B$4="All",$D1273='Staff Weekly Trend'!$B$4),OR('Staff Weekly Trend'!$B$5="All",$A1273='Staff Weekly Trend'!$B$5))</f>
        <v>0</v>
      </c>
      <c r="AC1273" t="str">
        <f t="shared" si="340"/>
        <v/>
      </c>
      <c r="AI1273">
        <f t="shared" si="341"/>
        <v>0</v>
      </c>
      <c r="AJ1273">
        <f t="shared" si="342"/>
        <v>0</v>
      </c>
      <c r="AK1273">
        <f t="shared" si="343"/>
        <v>0</v>
      </c>
      <c r="AL1273">
        <f t="shared" si="344"/>
        <v>0</v>
      </c>
      <c r="AM1273">
        <f t="shared" si="345"/>
        <v>0</v>
      </c>
      <c r="DH1273" t="str" cm="1">
        <f t="array" ref="DH1273">IF($A1273="","",_xlfn.LET(_xlpm.c,IFERROR(_xlfn.XLOOKUP($A1273,TRIM('Sales and count'!$A$4:$A$300&amp;""),TRIM('Sales and count'!$B$4:$B$300&amp;"")),""),IF(OR(_xlpm.c="",_xlpm.c="0",LEFT(_xlpm.c,1)="#"),"Not set",_xlpm.c)))</f>
        <v/>
      </c>
    </row>
    <row r="1274" spans="1:112" x14ac:dyDescent="0.25">
      <c r="A1274" t="str">
        <f>IF('Staff Daily sales'!$B1259="","",TRIM('Staff Daily sales'!$B1259&amp;""))</f>
        <v/>
      </c>
      <c r="B1274" t="str">
        <f>IF('Staff Daily sales'!$D1259="","",TRIM('Staff Daily sales'!$D1259&amp;""))</f>
        <v/>
      </c>
      <c r="C1274" t="str">
        <f>IFERROR(TRIM('Staff Daily sales'!$E1259&amp;""),"")</f>
        <v/>
      </c>
      <c r="D1274" t="str">
        <f>IFERROR(IF(TRIM('Staff Daily sales'!$F1259&amp;"")="","Unassigned",TRIM('Staff Daily sales'!$F1259&amp;"")),"Unassigned")</f>
        <v>Unassigned</v>
      </c>
      <c r="E1274">
        <f t="shared" si="330"/>
        <v>0</v>
      </c>
      <c r="F1274">
        <f>IF($E1274=0,0,SUMPRODUCT($AI$5:$DF$5,'Staff Daily sales'!$G1259:$CD1259))</f>
        <v>0</v>
      </c>
      <c r="G1274">
        <f>IF($E1274=0,0,SUMPRODUCT($AI$6:$DF$6,'Staff Daily sales'!$G1259:$CD1259))</f>
        <v>0</v>
      </c>
      <c r="H1274">
        <f t="shared" si="331"/>
        <v>0</v>
      </c>
      <c r="I1274">
        <f t="shared" si="332"/>
        <v>0</v>
      </c>
      <c r="J1274">
        <f t="shared" si="333"/>
        <v>0</v>
      </c>
      <c r="K1274">
        <f t="shared" si="334"/>
        <v>0</v>
      </c>
      <c r="L1274">
        <f>--AND($E1274=1,OR('Staff Dashboard'!$B$6="All",$DH1274='Staff Dashboard'!$B$6),OR('Staff Dashboard'!$B$7="All",$D1274='Staff Dashboard'!$B$7),OR('Staff Dashboard'!$B$8="All",$A1274='Staff Dashboard'!$B$8))</f>
        <v>0</v>
      </c>
      <c r="M1274">
        <f>IF($E1274=0,0,SUMPRODUCT($AI$7:$DF$7,'Staff Daily sales'!$G1259:$CD1259))</f>
        <v>0</v>
      </c>
      <c r="N1274">
        <f>IF($E1274=0,0,SUMPRODUCT($AI$8:$DF$8,'Staff Daily sales'!$G1259:$CD1259))</f>
        <v>0</v>
      </c>
      <c r="O1274">
        <f>IF($E1274=0,0,SUMPRODUCT($AI$9:$DF$9,'Staff Daily sales'!$G1259:$CD1259))</f>
        <v>0</v>
      </c>
      <c r="P1274">
        <f>IF($E1274=0,0,SUMPRODUCT($AI$10:$DF$10,'Staff Daily sales'!$G1259:$CD1259))</f>
        <v>0</v>
      </c>
      <c r="Q1274">
        <f>IF($E1274=0,0,SUMPRODUCT($AI$11:$DF$11,'Staff Daily sales'!$G1259:$CD1259))</f>
        <v>0</v>
      </c>
      <c r="R1274">
        <f>IF($E1274=0,0,SUMPRODUCT($AI$12:$DF$12,'Staff Daily sales'!$G1259:$CD1259))</f>
        <v>0</v>
      </c>
      <c r="S1274">
        <f>IF($E1274=0,0,SUMPRODUCT($AI$13:$DF$13,'Staff Daily sales'!$G1259:$CD1259))</f>
        <v>0</v>
      </c>
      <c r="T1274">
        <f>IF($E1274=0,0,SUMPRODUCT($AI$14:$DF$14,'Staff Daily sales'!$G1259:$CD1259))</f>
        <v>0</v>
      </c>
      <c r="U1274">
        <f>IF($E1274=0,0,SUMPRODUCT($AI$15:$DF$15,'Staff Daily sales'!$G1259:$CD1259))</f>
        <v>0</v>
      </c>
      <c r="V1274">
        <f>IF($E1274=0,0,SUMPRODUCT($AI$16:$DF$16,'Staff Daily sales'!$G1259:$CD1259))</f>
        <v>0</v>
      </c>
      <c r="W1274">
        <f t="shared" si="335"/>
        <v>0</v>
      </c>
      <c r="X1274">
        <f t="shared" si="336"/>
        <v>0</v>
      </c>
      <c r="Y1274">
        <f t="shared" si="337"/>
        <v>0</v>
      </c>
      <c r="Z1274">
        <f t="shared" si="338"/>
        <v>0</v>
      </c>
      <c r="AA1274">
        <f t="shared" si="339"/>
        <v>0</v>
      </c>
      <c r="AB1274">
        <f>--AND($E1274=1,OR('Staff Weekly Trend'!$B$3="All",$DH1274='Staff Weekly Trend'!$B$3),OR('Staff Weekly Trend'!$B$4="All",$D1274='Staff Weekly Trend'!$B$4),OR('Staff Weekly Trend'!$B$5="All",$A1274='Staff Weekly Trend'!$B$5))</f>
        <v>0</v>
      </c>
      <c r="AC1274" t="str">
        <f t="shared" si="340"/>
        <v/>
      </c>
      <c r="AI1274">
        <f t="shared" si="341"/>
        <v>0</v>
      </c>
      <c r="AJ1274">
        <f t="shared" si="342"/>
        <v>0</v>
      </c>
      <c r="AK1274">
        <f t="shared" si="343"/>
        <v>0</v>
      </c>
      <c r="AL1274">
        <f t="shared" si="344"/>
        <v>0</v>
      </c>
      <c r="AM1274">
        <f t="shared" si="345"/>
        <v>0</v>
      </c>
      <c r="DH1274" t="str" cm="1">
        <f t="array" ref="DH1274">IF($A1274="","",_xlfn.LET(_xlpm.c,IFERROR(_xlfn.XLOOKUP($A1274,TRIM('Sales and count'!$A$4:$A$300&amp;""),TRIM('Sales and count'!$B$4:$B$300&amp;"")),""),IF(OR(_xlpm.c="",_xlpm.c="0",LEFT(_xlpm.c,1)="#"),"Not set",_xlpm.c)))</f>
        <v/>
      </c>
    </row>
    <row r="1275" spans="1:112" x14ac:dyDescent="0.25">
      <c r="A1275" t="str">
        <f>IF('Staff Daily sales'!$B1260="","",TRIM('Staff Daily sales'!$B1260&amp;""))</f>
        <v/>
      </c>
      <c r="B1275" t="str">
        <f>IF('Staff Daily sales'!$D1260="","",TRIM('Staff Daily sales'!$D1260&amp;""))</f>
        <v/>
      </c>
      <c r="C1275" t="str">
        <f>IFERROR(TRIM('Staff Daily sales'!$E1260&amp;""),"")</f>
        <v/>
      </c>
      <c r="D1275" t="str">
        <f>IFERROR(IF(TRIM('Staff Daily sales'!$F1260&amp;"")="","Unassigned",TRIM('Staff Daily sales'!$F1260&amp;"")),"Unassigned")</f>
        <v>Unassigned</v>
      </c>
      <c r="E1275">
        <f t="shared" si="330"/>
        <v>0</v>
      </c>
      <c r="F1275">
        <f>IF($E1275=0,0,SUMPRODUCT($AI$5:$DF$5,'Staff Daily sales'!$G1260:$CD1260))</f>
        <v>0</v>
      </c>
      <c r="G1275">
        <f>IF($E1275=0,0,SUMPRODUCT($AI$6:$DF$6,'Staff Daily sales'!$G1260:$CD1260))</f>
        <v>0</v>
      </c>
      <c r="H1275">
        <f t="shared" si="331"/>
        <v>0</v>
      </c>
      <c r="I1275">
        <f t="shared" si="332"/>
        <v>0</v>
      </c>
      <c r="J1275">
        <f t="shared" si="333"/>
        <v>0</v>
      </c>
      <c r="K1275">
        <f t="shared" si="334"/>
        <v>0</v>
      </c>
      <c r="L1275">
        <f>--AND($E1275=1,OR('Staff Dashboard'!$B$6="All",$DH1275='Staff Dashboard'!$B$6),OR('Staff Dashboard'!$B$7="All",$D1275='Staff Dashboard'!$B$7),OR('Staff Dashboard'!$B$8="All",$A1275='Staff Dashboard'!$B$8))</f>
        <v>0</v>
      </c>
      <c r="M1275">
        <f>IF($E1275=0,0,SUMPRODUCT($AI$7:$DF$7,'Staff Daily sales'!$G1260:$CD1260))</f>
        <v>0</v>
      </c>
      <c r="N1275">
        <f>IF($E1275=0,0,SUMPRODUCT($AI$8:$DF$8,'Staff Daily sales'!$G1260:$CD1260))</f>
        <v>0</v>
      </c>
      <c r="O1275">
        <f>IF($E1275=0,0,SUMPRODUCT($AI$9:$DF$9,'Staff Daily sales'!$G1260:$CD1260))</f>
        <v>0</v>
      </c>
      <c r="P1275">
        <f>IF($E1275=0,0,SUMPRODUCT($AI$10:$DF$10,'Staff Daily sales'!$G1260:$CD1260))</f>
        <v>0</v>
      </c>
      <c r="Q1275">
        <f>IF($E1275=0,0,SUMPRODUCT($AI$11:$DF$11,'Staff Daily sales'!$G1260:$CD1260))</f>
        <v>0</v>
      </c>
      <c r="R1275">
        <f>IF($E1275=0,0,SUMPRODUCT($AI$12:$DF$12,'Staff Daily sales'!$G1260:$CD1260))</f>
        <v>0</v>
      </c>
      <c r="S1275">
        <f>IF($E1275=0,0,SUMPRODUCT($AI$13:$DF$13,'Staff Daily sales'!$G1260:$CD1260))</f>
        <v>0</v>
      </c>
      <c r="T1275">
        <f>IF($E1275=0,0,SUMPRODUCT($AI$14:$DF$14,'Staff Daily sales'!$G1260:$CD1260))</f>
        <v>0</v>
      </c>
      <c r="U1275">
        <f>IF($E1275=0,0,SUMPRODUCT($AI$15:$DF$15,'Staff Daily sales'!$G1260:$CD1260))</f>
        <v>0</v>
      </c>
      <c r="V1275">
        <f>IF($E1275=0,0,SUMPRODUCT($AI$16:$DF$16,'Staff Daily sales'!$G1260:$CD1260))</f>
        <v>0</v>
      </c>
      <c r="W1275">
        <f t="shared" si="335"/>
        <v>0</v>
      </c>
      <c r="X1275">
        <f t="shared" si="336"/>
        <v>0</v>
      </c>
      <c r="Y1275">
        <f t="shared" si="337"/>
        <v>0</v>
      </c>
      <c r="Z1275">
        <f t="shared" si="338"/>
        <v>0</v>
      </c>
      <c r="AA1275">
        <f t="shared" si="339"/>
        <v>0</v>
      </c>
      <c r="AB1275">
        <f>--AND($E1275=1,OR('Staff Weekly Trend'!$B$3="All",$DH1275='Staff Weekly Trend'!$B$3),OR('Staff Weekly Trend'!$B$4="All",$D1275='Staff Weekly Trend'!$B$4),OR('Staff Weekly Trend'!$B$5="All",$A1275='Staff Weekly Trend'!$B$5))</f>
        <v>0</v>
      </c>
      <c r="AC1275" t="str">
        <f t="shared" si="340"/>
        <v/>
      </c>
      <c r="AI1275">
        <f t="shared" si="341"/>
        <v>0</v>
      </c>
      <c r="AJ1275">
        <f t="shared" si="342"/>
        <v>0</v>
      </c>
      <c r="AK1275">
        <f t="shared" si="343"/>
        <v>0</v>
      </c>
      <c r="AL1275">
        <f t="shared" si="344"/>
        <v>0</v>
      </c>
      <c r="AM1275">
        <f t="shared" si="345"/>
        <v>0</v>
      </c>
      <c r="DH1275" t="str" cm="1">
        <f t="array" ref="DH1275">IF($A1275="","",_xlfn.LET(_xlpm.c,IFERROR(_xlfn.XLOOKUP($A1275,TRIM('Sales and count'!$A$4:$A$300&amp;""),TRIM('Sales and count'!$B$4:$B$300&amp;"")),""),IF(OR(_xlpm.c="",_xlpm.c="0",LEFT(_xlpm.c,1)="#"),"Not set",_xlpm.c)))</f>
        <v/>
      </c>
    </row>
    <row r="1276" spans="1:112" x14ac:dyDescent="0.25">
      <c r="A1276" t="str">
        <f>IF('Staff Daily sales'!$B1261="","",TRIM('Staff Daily sales'!$B1261&amp;""))</f>
        <v/>
      </c>
      <c r="B1276" t="str">
        <f>IF('Staff Daily sales'!$D1261="","",TRIM('Staff Daily sales'!$D1261&amp;""))</f>
        <v/>
      </c>
      <c r="C1276" t="str">
        <f>IFERROR(TRIM('Staff Daily sales'!$E1261&amp;""),"")</f>
        <v/>
      </c>
      <c r="D1276" t="str">
        <f>IFERROR(IF(TRIM('Staff Daily sales'!$F1261&amp;"")="","Unassigned",TRIM('Staff Daily sales'!$F1261&amp;"")),"Unassigned")</f>
        <v>Unassigned</v>
      </c>
      <c r="E1276">
        <f t="shared" si="330"/>
        <v>0</v>
      </c>
      <c r="F1276">
        <f>IF($E1276=0,0,SUMPRODUCT($AI$5:$DF$5,'Staff Daily sales'!$G1261:$CD1261))</f>
        <v>0</v>
      </c>
      <c r="G1276">
        <f>IF($E1276=0,0,SUMPRODUCT($AI$6:$DF$6,'Staff Daily sales'!$G1261:$CD1261))</f>
        <v>0</v>
      </c>
      <c r="H1276">
        <f t="shared" si="331"/>
        <v>0</v>
      </c>
      <c r="I1276">
        <f t="shared" si="332"/>
        <v>0</v>
      </c>
      <c r="J1276">
        <f t="shared" si="333"/>
        <v>0</v>
      </c>
      <c r="K1276">
        <f t="shared" si="334"/>
        <v>0</v>
      </c>
      <c r="L1276">
        <f>--AND($E1276=1,OR('Staff Dashboard'!$B$6="All",$DH1276='Staff Dashboard'!$B$6),OR('Staff Dashboard'!$B$7="All",$D1276='Staff Dashboard'!$B$7),OR('Staff Dashboard'!$B$8="All",$A1276='Staff Dashboard'!$B$8))</f>
        <v>0</v>
      </c>
      <c r="M1276">
        <f>IF($E1276=0,0,SUMPRODUCT($AI$7:$DF$7,'Staff Daily sales'!$G1261:$CD1261))</f>
        <v>0</v>
      </c>
      <c r="N1276">
        <f>IF($E1276=0,0,SUMPRODUCT($AI$8:$DF$8,'Staff Daily sales'!$G1261:$CD1261))</f>
        <v>0</v>
      </c>
      <c r="O1276">
        <f>IF($E1276=0,0,SUMPRODUCT($AI$9:$DF$9,'Staff Daily sales'!$G1261:$CD1261))</f>
        <v>0</v>
      </c>
      <c r="P1276">
        <f>IF($E1276=0,0,SUMPRODUCT($AI$10:$DF$10,'Staff Daily sales'!$G1261:$CD1261))</f>
        <v>0</v>
      </c>
      <c r="Q1276">
        <f>IF($E1276=0,0,SUMPRODUCT($AI$11:$DF$11,'Staff Daily sales'!$G1261:$CD1261))</f>
        <v>0</v>
      </c>
      <c r="R1276">
        <f>IF($E1276=0,0,SUMPRODUCT($AI$12:$DF$12,'Staff Daily sales'!$G1261:$CD1261))</f>
        <v>0</v>
      </c>
      <c r="S1276">
        <f>IF($E1276=0,0,SUMPRODUCT($AI$13:$DF$13,'Staff Daily sales'!$G1261:$CD1261))</f>
        <v>0</v>
      </c>
      <c r="T1276">
        <f>IF($E1276=0,0,SUMPRODUCT($AI$14:$DF$14,'Staff Daily sales'!$G1261:$CD1261))</f>
        <v>0</v>
      </c>
      <c r="U1276">
        <f>IF($E1276=0,0,SUMPRODUCT($AI$15:$DF$15,'Staff Daily sales'!$G1261:$CD1261))</f>
        <v>0</v>
      </c>
      <c r="V1276">
        <f>IF($E1276=0,0,SUMPRODUCT($AI$16:$DF$16,'Staff Daily sales'!$G1261:$CD1261))</f>
        <v>0</v>
      </c>
      <c r="W1276">
        <f t="shared" si="335"/>
        <v>0</v>
      </c>
      <c r="X1276">
        <f t="shared" si="336"/>
        <v>0</v>
      </c>
      <c r="Y1276">
        <f t="shared" si="337"/>
        <v>0</v>
      </c>
      <c r="Z1276">
        <f t="shared" si="338"/>
        <v>0</v>
      </c>
      <c r="AA1276">
        <f t="shared" si="339"/>
        <v>0</v>
      </c>
      <c r="AB1276">
        <f>--AND($E1276=1,OR('Staff Weekly Trend'!$B$3="All",$DH1276='Staff Weekly Trend'!$B$3),OR('Staff Weekly Trend'!$B$4="All",$D1276='Staff Weekly Trend'!$B$4),OR('Staff Weekly Trend'!$B$5="All",$A1276='Staff Weekly Trend'!$B$5))</f>
        <v>0</v>
      </c>
      <c r="AC1276" t="str">
        <f t="shared" si="340"/>
        <v/>
      </c>
      <c r="AI1276">
        <f t="shared" si="341"/>
        <v>0</v>
      </c>
      <c r="AJ1276">
        <f t="shared" si="342"/>
        <v>0</v>
      </c>
      <c r="AK1276">
        <f t="shared" si="343"/>
        <v>0</v>
      </c>
      <c r="AL1276">
        <f t="shared" si="344"/>
        <v>0</v>
      </c>
      <c r="AM1276">
        <f t="shared" si="345"/>
        <v>0</v>
      </c>
      <c r="DH1276" t="str" cm="1">
        <f t="array" ref="DH1276">IF($A1276="","",_xlfn.LET(_xlpm.c,IFERROR(_xlfn.XLOOKUP($A1276,TRIM('Sales and count'!$A$4:$A$300&amp;""),TRIM('Sales and count'!$B$4:$B$300&amp;"")),""),IF(OR(_xlpm.c="",_xlpm.c="0",LEFT(_xlpm.c,1)="#"),"Not set",_xlpm.c)))</f>
        <v/>
      </c>
    </row>
    <row r="1277" spans="1:112" x14ac:dyDescent="0.25">
      <c r="A1277" t="str">
        <f>IF('Staff Daily sales'!$B1262="","",TRIM('Staff Daily sales'!$B1262&amp;""))</f>
        <v/>
      </c>
      <c r="B1277" t="str">
        <f>IF('Staff Daily sales'!$D1262="","",TRIM('Staff Daily sales'!$D1262&amp;""))</f>
        <v/>
      </c>
      <c r="C1277" t="str">
        <f>IFERROR(TRIM('Staff Daily sales'!$E1262&amp;""),"")</f>
        <v/>
      </c>
      <c r="D1277" t="str">
        <f>IFERROR(IF(TRIM('Staff Daily sales'!$F1262&amp;"")="","Unassigned",TRIM('Staff Daily sales'!$F1262&amp;"")),"Unassigned")</f>
        <v>Unassigned</v>
      </c>
      <c r="E1277">
        <f t="shared" si="330"/>
        <v>0</v>
      </c>
      <c r="F1277">
        <f>IF($E1277=0,0,SUMPRODUCT($AI$5:$DF$5,'Staff Daily sales'!$G1262:$CD1262))</f>
        <v>0</v>
      </c>
      <c r="G1277">
        <f>IF($E1277=0,0,SUMPRODUCT($AI$6:$DF$6,'Staff Daily sales'!$G1262:$CD1262))</f>
        <v>0</v>
      </c>
      <c r="H1277">
        <f t="shared" si="331"/>
        <v>0</v>
      </c>
      <c r="I1277">
        <f t="shared" si="332"/>
        <v>0</v>
      </c>
      <c r="J1277">
        <f t="shared" si="333"/>
        <v>0</v>
      </c>
      <c r="K1277">
        <f t="shared" si="334"/>
        <v>0</v>
      </c>
      <c r="L1277">
        <f>--AND($E1277=1,OR('Staff Dashboard'!$B$6="All",$DH1277='Staff Dashboard'!$B$6),OR('Staff Dashboard'!$B$7="All",$D1277='Staff Dashboard'!$B$7),OR('Staff Dashboard'!$B$8="All",$A1277='Staff Dashboard'!$B$8))</f>
        <v>0</v>
      </c>
      <c r="M1277">
        <f>IF($E1277=0,0,SUMPRODUCT($AI$7:$DF$7,'Staff Daily sales'!$G1262:$CD1262))</f>
        <v>0</v>
      </c>
      <c r="N1277">
        <f>IF($E1277=0,0,SUMPRODUCT($AI$8:$DF$8,'Staff Daily sales'!$G1262:$CD1262))</f>
        <v>0</v>
      </c>
      <c r="O1277">
        <f>IF($E1277=0,0,SUMPRODUCT($AI$9:$DF$9,'Staff Daily sales'!$G1262:$CD1262))</f>
        <v>0</v>
      </c>
      <c r="P1277">
        <f>IF($E1277=0,0,SUMPRODUCT($AI$10:$DF$10,'Staff Daily sales'!$G1262:$CD1262))</f>
        <v>0</v>
      </c>
      <c r="Q1277">
        <f>IF($E1277=0,0,SUMPRODUCT($AI$11:$DF$11,'Staff Daily sales'!$G1262:$CD1262))</f>
        <v>0</v>
      </c>
      <c r="R1277">
        <f>IF($E1277=0,0,SUMPRODUCT($AI$12:$DF$12,'Staff Daily sales'!$G1262:$CD1262))</f>
        <v>0</v>
      </c>
      <c r="S1277">
        <f>IF($E1277=0,0,SUMPRODUCT($AI$13:$DF$13,'Staff Daily sales'!$G1262:$CD1262))</f>
        <v>0</v>
      </c>
      <c r="T1277">
        <f>IF($E1277=0,0,SUMPRODUCT($AI$14:$DF$14,'Staff Daily sales'!$G1262:$CD1262))</f>
        <v>0</v>
      </c>
      <c r="U1277">
        <f>IF($E1277=0,0,SUMPRODUCT($AI$15:$DF$15,'Staff Daily sales'!$G1262:$CD1262))</f>
        <v>0</v>
      </c>
      <c r="V1277">
        <f>IF($E1277=0,0,SUMPRODUCT($AI$16:$DF$16,'Staff Daily sales'!$G1262:$CD1262))</f>
        <v>0</v>
      </c>
      <c r="W1277">
        <f t="shared" si="335"/>
        <v>0</v>
      </c>
      <c r="X1277">
        <f t="shared" si="336"/>
        <v>0</v>
      </c>
      <c r="Y1277">
        <f t="shared" si="337"/>
        <v>0</v>
      </c>
      <c r="Z1277">
        <f t="shared" si="338"/>
        <v>0</v>
      </c>
      <c r="AA1277">
        <f t="shared" si="339"/>
        <v>0</v>
      </c>
      <c r="AB1277">
        <f>--AND($E1277=1,OR('Staff Weekly Trend'!$B$3="All",$DH1277='Staff Weekly Trend'!$B$3),OR('Staff Weekly Trend'!$B$4="All",$D1277='Staff Weekly Trend'!$B$4),OR('Staff Weekly Trend'!$B$5="All",$A1277='Staff Weekly Trend'!$B$5))</f>
        <v>0</v>
      </c>
      <c r="AC1277" t="str">
        <f t="shared" si="340"/>
        <v/>
      </c>
      <c r="AI1277">
        <f t="shared" si="341"/>
        <v>0</v>
      </c>
      <c r="AJ1277">
        <f t="shared" si="342"/>
        <v>0</v>
      </c>
      <c r="AK1277">
        <f t="shared" si="343"/>
        <v>0</v>
      </c>
      <c r="AL1277">
        <f t="shared" si="344"/>
        <v>0</v>
      </c>
      <c r="AM1277">
        <f t="shared" si="345"/>
        <v>0</v>
      </c>
      <c r="DH1277" t="str" cm="1">
        <f t="array" ref="DH1277">IF($A1277="","",_xlfn.LET(_xlpm.c,IFERROR(_xlfn.XLOOKUP($A1277,TRIM('Sales and count'!$A$4:$A$300&amp;""),TRIM('Sales and count'!$B$4:$B$300&amp;"")),""),IF(OR(_xlpm.c="",_xlpm.c="0",LEFT(_xlpm.c,1)="#"),"Not set",_xlpm.c)))</f>
        <v/>
      </c>
    </row>
    <row r="1278" spans="1:112" x14ac:dyDescent="0.25">
      <c r="A1278" t="str">
        <f>IF('Staff Daily sales'!$B1263="","",TRIM('Staff Daily sales'!$B1263&amp;""))</f>
        <v/>
      </c>
      <c r="B1278" t="str">
        <f>IF('Staff Daily sales'!$D1263="","",TRIM('Staff Daily sales'!$D1263&amp;""))</f>
        <v/>
      </c>
      <c r="C1278" t="str">
        <f>IFERROR(TRIM('Staff Daily sales'!$E1263&amp;""),"")</f>
        <v/>
      </c>
      <c r="D1278" t="str">
        <f>IFERROR(IF(TRIM('Staff Daily sales'!$F1263&amp;"")="","Unassigned",TRIM('Staff Daily sales'!$F1263&amp;"")),"Unassigned")</f>
        <v>Unassigned</v>
      </c>
      <c r="E1278">
        <f t="shared" si="330"/>
        <v>0</v>
      </c>
      <c r="F1278">
        <f>IF($E1278=0,0,SUMPRODUCT($AI$5:$DF$5,'Staff Daily sales'!$G1263:$CD1263))</f>
        <v>0</v>
      </c>
      <c r="G1278">
        <f>IF($E1278=0,0,SUMPRODUCT($AI$6:$DF$6,'Staff Daily sales'!$G1263:$CD1263))</f>
        <v>0</v>
      </c>
      <c r="H1278">
        <f t="shared" si="331"/>
        <v>0</v>
      </c>
      <c r="I1278">
        <f t="shared" si="332"/>
        <v>0</v>
      </c>
      <c r="J1278">
        <f t="shared" si="333"/>
        <v>0</v>
      </c>
      <c r="K1278">
        <f t="shared" si="334"/>
        <v>0</v>
      </c>
      <c r="L1278">
        <f>--AND($E1278=1,OR('Staff Dashboard'!$B$6="All",$DH1278='Staff Dashboard'!$B$6),OR('Staff Dashboard'!$B$7="All",$D1278='Staff Dashboard'!$B$7),OR('Staff Dashboard'!$B$8="All",$A1278='Staff Dashboard'!$B$8))</f>
        <v>0</v>
      </c>
      <c r="M1278">
        <f>IF($E1278=0,0,SUMPRODUCT($AI$7:$DF$7,'Staff Daily sales'!$G1263:$CD1263))</f>
        <v>0</v>
      </c>
      <c r="N1278">
        <f>IF($E1278=0,0,SUMPRODUCT($AI$8:$DF$8,'Staff Daily sales'!$G1263:$CD1263))</f>
        <v>0</v>
      </c>
      <c r="O1278">
        <f>IF($E1278=0,0,SUMPRODUCT($AI$9:$DF$9,'Staff Daily sales'!$G1263:$CD1263))</f>
        <v>0</v>
      </c>
      <c r="P1278">
        <f>IF($E1278=0,0,SUMPRODUCT($AI$10:$DF$10,'Staff Daily sales'!$G1263:$CD1263))</f>
        <v>0</v>
      </c>
      <c r="Q1278">
        <f>IF($E1278=0,0,SUMPRODUCT($AI$11:$DF$11,'Staff Daily sales'!$G1263:$CD1263))</f>
        <v>0</v>
      </c>
      <c r="R1278">
        <f>IF($E1278=0,0,SUMPRODUCT($AI$12:$DF$12,'Staff Daily sales'!$G1263:$CD1263))</f>
        <v>0</v>
      </c>
      <c r="S1278">
        <f>IF($E1278=0,0,SUMPRODUCT($AI$13:$DF$13,'Staff Daily sales'!$G1263:$CD1263))</f>
        <v>0</v>
      </c>
      <c r="T1278">
        <f>IF($E1278=0,0,SUMPRODUCT($AI$14:$DF$14,'Staff Daily sales'!$G1263:$CD1263))</f>
        <v>0</v>
      </c>
      <c r="U1278">
        <f>IF($E1278=0,0,SUMPRODUCT($AI$15:$DF$15,'Staff Daily sales'!$G1263:$CD1263))</f>
        <v>0</v>
      </c>
      <c r="V1278">
        <f>IF($E1278=0,0,SUMPRODUCT($AI$16:$DF$16,'Staff Daily sales'!$G1263:$CD1263))</f>
        <v>0</v>
      </c>
      <c r="W1278">
        <f t="shared" si="335"/>
        <v>0</v>
      </c>
      <c r="X1278">
        <f t="shared" si="336"/>
        <v>0</v>
      </c>
      <c r="Y1278">
        <f t="shared" si="337"/>
        <v>0</v>
      </c>
      <c r="Z1278">
        <f t="shared" si="338"/>
        <v>0</v>
      </c>
      <c r="AA1278">
        <f t="shared" si="339"/>
        <v>0</v>
      </c>
      <c r="AB1278">
        <f>--AND($E1278=1,OR('Staff Weekly Trend'!$B$3="All",$DH1278='Staff Weekly Trend'!$B$3),OR('Staff Weekly Trend'!$B$4="All",$D1278='Staff Weekly Trend'!$B$4),OR('Staff Weekly Trend'!$B$5="All",$A1278='Staff Weekly Trend'!$B$5))</f>
        <v>0</v>
      </c>
      <c r="AC1278" t="str">
        <f t="shared" si="340"/>
        <v/>
      </c>
      <c r="AI1278">
        <f t="shared" si="341"/>
        <v>0</v>
      </c>
      <c r="AJ1278">
        <f t="shared" si="342"/>
        <v>0</v>
      </c>
      <c r="AK1278">
        <f t="shared" si="343"/>
        <v>0</v>
      </c>
      <c r="AL1278">
        <f t="shared" si="344"/>
        <v>0</v>
      </c>
      <c r="AM1278">
        <f t="shared" si="345"/>
        <v>0</v>
      </c>
      <c r="DH1278" t="str" cm="1">
        <f t="array" ref="DH1278">IF($A1278="","",_xlfn.LET(_xlpm.c,IFERROR(_xlfn.XLOOKUP($A1278,TRIM('Sales and count'!$A$4:$A$300&amp;""),TRIM('Sales and count'!$B$4:$B$300&amp;"")),""),IF(OR(_xlpm.c="",_xlpm.c="0",LEFT(_xlpm.c,1)="#"),"Not set",_xlpm.c)))</f>
        <v/>
      </c>
    </row>
    <row r="1279" spans="1:112" x14ac:dyDescent="0.25">
      <c r="A1279" t="str">
        <f>IF('Staff Daily sales'!$B1264="","",TRIM('Staff Daily sales'!$B1264&amp;""))</f>
        <v/>
      </c>
      <c r="B1279" t="str">
        <f>IF('Staff Daily sales'!$D1264="","",TRIM('Staff Daily sales'!$D1264&amp;""))</f>
        <v/>
      </c>
      <c r="C1279" t="str">
        <f>IFERROR(TRIM('Staff Daily sales'!$E1264&amp;""),"")</f>
        <v/>
      </c>
      <c r="D1279" t="str">
        <f>IFERROR(IF(TRIM('Staff Daily sales'!$F1264&amp;"")="","Unassigned",TRIM('Staff Daily sales'!$F1264&amp;"")),"Unassigned")</f>
        <v>Unassigned</v>
      </c>
      <c r="E1279">
        <f t="shared" si="330"/>
        <v>0</v>
      </c>
      <c r="F1279">
        <f>IF($E1279=0,0,SUMPRODUCT($AI$5:$DF$5,'Staff Daily sales'!$G1264:$CD1264))</f>
        <v>0</v>
      </c>
      <c r="G1279">
        <f>IF($E1279=0,0,SUMPRODUCT($AI$6:$DF$6,'Staff Daily sales'!$G1264:$CD1264))</f>
        <v>0</v>
      </c>
      <c r="H1279">
        <f t="shared" si="331"/>
        <v>0</v>
      </c>
      <c r="I1279">
        <f t="shared" si="332"/>
        <v>0</v>
      </c>
      <c r="J1279">
        <f t="shared" si="333"/>
        <v>0</v>
      </c>
      <c r="K1279">
        <f t="shared" si="334"/>
        <v>0</v>
      </c>
      <c r="L1279">
        <f>--AND($E1279=1,OR('Staff Dashboard'!$B$6="All",$DH1279='Staff Dashboard'!$B$6),OR('Staff Dashboard'!$B$7="All",$D1279='Staff Dashboard'!$B$7),OR('Staff Dashboard'!$B$8="All",$A1279='Staff Dashboard'!$B$8))</f>
        <v>0</v>
      </c>
      <c r="M1279">
        <f>IF($E1279=0,0,SUMPRODUCT($AI$7:$DF$7,'Staff Daily sales'!$G1264:$CD1264))</f>
        <v>0</v>
      </c>
      <c r="N1279">
        <f>IF($E1279=0,0,SUMPRODUCT($AI$8:$DF$8,'Staff Daily sales'!$G1264:$CD1264))</f>
        <v>0</v>
      </c>
      <c r="O1279">
        <f>IF($E1279=0,0,SUMPRODUCT($AI$9:$DF$9,'Staff Daily sales'!$G1264:$CD1264))</f>
        <v>0</v>
      </c>
      <c r="P1279">
        <f>IF($E1279=0,0,SUMPRODUCT($AI$10:$DF$10,'Staff Daily sales'!$G1264:$CD1264))</f>
        <v>0</v>
      </c>
      <c r="Q1279">
        <f>IF($E1279=0,0,SUMPRODUCT($AI$11:$DF$11,'Staff Daily sales'!$G1264:$CD1264))</f>
        <v>0</v>
      </c>
      <c r="R1279">
        <f>IF($E1279=0,0,SUMPRODUCT($AI$12:$DF$12,'Staff Daily sales'!$G1264:$CD1264))</f>
        <v>0</v>
      </c>
      <c r="S1279">
        <f>IF($E1279=0,0,SUMPRODUCT($AI$13:$DF$13,'Staff Daily sales'!$G1264:$CD1264))</f>
        <v>0</v>
      </c>
      <c r="T1279">
        <f>IF($E1279=0,0,SUMPRODUCT($AI$14:$DF$14,'Staff Daily sales'!$G1264:$CD1264))</f>
        <v>0</v>
      </c>
      <c r="U1279">
        <f>IF($E1279=0,0,SUMPRODUCT($AI$15:$DF$15,'Staff Daily sales'!$G1264:$CD1264))</f>
        <v>0</v>
      </c>
      <c r="V1279">
        <f>IF($E1279=0,0,SUMPRODUCT($AI$16:$DF$16,'Staff Daily sales'!$G1264:$CD1264))</f>
        <v>0</v>
      </c>
      <c r="W1279">
        <f t="shared" si="335"/>
        <v>0</v>
      </c>
      <c r="X1279">
        <f t="shared" si="336"/>
        <v>0</v>
      </c>
      <c r="Y1279">
        <f t="shared" si="337"/>
        <v>0</v>
      </c>
      <c r="Z1279">
        <f t="shared" si="338"/>
        <v>0</v>
      </c>
      <c r="AA1279">
        <f t="shared" si="339"/>
        <v>0</v>
      </c>
      <c r="AB1279">
        <f>--AND($E1279=1,OR('Staff Weekly Trend'!$B$3="All",$DH1279='Staff Weekly Trend'!$B$3),OR('Staff Weekly Trend'!$B$4="All",$D1279='Staff Weekly Trend'!$B$4),OR('Staff Weekly Trend'!$B$5="All",$A1279='Staff Weekly Trend'!$B$5))</f>
        <v>0</v>
      </c>
      <c r="AC1279" t="str">
        <f t="shared" si="340"/>
        <v/>
      </c>
      <c r="AI1279">
        <f t="shared" si="341"/>
        <v>0</v>
      </c>
      <c r="AJ1279">
        <f t="shared" si="342"/>
        <v>0</v>
      </c>
      <c r="AK1279">
        <f t="shared" si="343"/>
        <v>0</v>
      </c>
      <c r="AL1279">
        <f t="shared" si="344"/>
        <v>0</v>
      </c>
      <c r="AM1279">
        <f t="shared" si="345"/>
        <v>0</v>
      </c>
      <c r="DH1279" t="str" cm="1">
        <f t="array" ref="DH1279">IF($A1279="","",_xlfn.LET(_xlpm.c,IFERROR(_xlfn.XLOOKUP($A1279,TRIM('Sales and count'!$A$4:$A$300&amp;""),TRIM('Sales and count'!$B$4:$B$300&amp;"")),""),IF(OR(_xlpm.c="",_xlpm.c="0",LEFT(_xlpm.c,1)="#"),"Not set",_xlpm.c)))</f>
        <v/>
      </c>
    </row>
    <row r="1280" spans="1:112" x14ac:dyDescent="0.25">
      <c r="A1280" t="str">
        <f>IF('Staff Daily sales'!$B1265="","",TRIM('Staff Daily sales'!$B1265&amp;""))</f>
        <v/>
      </c>
      <c r="B1280" t="str">
        <f>IF('Staff Daily sales'!$D1265="","",TRIM('Staff Daily sales'!$D1265&amp;""))</f>
        <v/>
      </c>
      <c r="C1280" t="str">
        <f>IFERROR(TRIM('Staff Daily sales'!$E1265&amp;""),"")</f>
        <v/>
      </c>
      <c r="D1280" t="str">
        <f>IFERROR(IF(TRIM('Staff Daily sales'!$F1265&amp;"")="","Unassigned",TRIM('Staff Daily sales'!$F1265&amp;"")),"Unassigned")</f>
        <v>Unassigned</v>
      </c>
      <c r="E1280">
        <f t="shared" si="330"/>
        <v>0</v>
      </c>
      <c r="F1280">
        <f>IF($E1280=0,0,SUMPRODUCT($AI$5:$DF$5,'Staff Daily sales'!$G1265:$CD1265))</f>
        <v>0</v>
      </c>
      <c r="G1280">
        <f>IF($E1280=0,0,SUMPRODUCT($AI$6:$DF$6,'Staff Daily sales'!$G1265:$CD1265))</f>
        <v>0</v>
      </c>
      <c r="H1280">
        <f t="shared" si="331"/>
        <v>0</v>
      </c>
      <c r="I1280">
        <f t="shared" si="332"/>
        <v>0</v>
      </c>
      <c r="J1280">
        <f t="shared" si="333"/>
        <v>0</v>
      </c>
      <c r="K1280">
        <f t="shared" si="334"/>
        <v>0</v>
      </c>
      <c r="L1280">
        <f>--AND($E1280=1,OR('Staff Dashboard'!$B$6="All",$DH1280='Staff Dashboard'!$B$6),OR('Staff Dashboard'!$B$7="All",$D1280='Staff Dashboard'!$B$7),OR('Staff Dashboard'!$B$8="All",$A1280='Staff Dashboard'!$B$8))</f>
        <v>0</v>
      </c>
      <c r="M1280">
        <f>IF($E1280=0,0,SUMPRODUCT($AI$7:$DF$7,'Staff Daily sales'!$G1265:$CD1265))</f>
        <v>0</v>
      </c>
      <c r="N1280">
        <f>IF($E1280=0,0,SUMPRODUCT($AI$8:$DF$8,'Staff Daily sales'!$G1265:$CD1265))</f>
        <v>0</v>
      </c>
      <c r="O1280">
        <f>IF($E1280=0,0,SUMPRODUCT($AI$9:$DF$9,'Staff Daily sales'!$G1265:$CD1265))</f>
        <v>0</v>
      </c>
      <c r="P1280">
        <f>IF($E1280=0,0,SUMPRODUCT($AI$10:$DF$10,'Staff Daily sales'!$G1265:$CD1265))</f>
        <v>0</v>
      </c>
      <c r="Q1280">
        <f>IF($E1280=0,0,SUMPRODUCT($AI$11:$DF$11,'Staff Daily sales'!$G1265:$CD1265))</f>
        <v>0</v>
      </c>
      <c r="R1280">
        <f>IF($E1280=0,0,SUMPRODUCT($AI$12:$DF$12,'Staff Daily sales'!$G1265:$CD1265))</f>
        <v>0</v>
      </c>
      <c r="S1280">
        <f>IF($E1280=0,0,SUMPRODUCT($AI$13:$DF$13,'Staff Daily sales'!$G1265:$CD1265))</f>
        <v>0</v>
      </c>
      <c r="T1280">
        <f>IF($E1280=0,0,SUMPRODUCT($AI$14:$DF$14,'Staff Daily sales'!$G1265:$CD1265))</f>
        <v>0</v>
      </c>
      <c r="U1280">
        <f>IF($E1280=0,0,SUMPRODUCT($AI$15:$DF$15,'Staff Daily sales'!$G1265:$CD1265))</f>
        <v>0</v>
      </c>
      <c r="V1280">
        <f>IF($E1280=0,0,SUMPRODUCT($AI$16:$DF$16,'Staff Daily sales'!$G1265:$CD1265))</f>
        <v>0</v>
      </c>
      <c r="W1280">
        <f t="shared" si="335"/>
        <v>0</v>
      </c>
      <c r="X1280">
        <f t="shared" si="336"/>
        <v>0</v>
      </c>
      <c r="Y1280">
        <f t="shared" si="337"/>
        <v>0</v>
      </c>
      <c r="Z1280">
        <f t="shared" si="338"/>
        <v>0</v>
      </c>
      <c r="AA1280">
        <f t="shared" si="339"/>
        <v>0</v>
      </c>
      <c r="AB1280">
        <f>--AND($E1280=1,OR('Staff Weekly Trend'!$B$3="All",$DH1280='Staff Weekly Trend'!$B$3),OR('Staff Weekly Trend'!$B$4="All",$D1280='Staff Weekly Trend'!$B$4),OR('Staff Weekly Trend'!$B$5="All",$A1280='Staff Weekly Trend'!$B$5))</f>
        <v>0</v>
      </c>
      <c r="AC1280" t="str">
        <f t="shared" si="340"/>
        <v/>
      </c>
      <c r="AI1280">
        <f t="shared" si="341"/>
        <v>0</v>
      </c>
      <c r="AJ1280">
        <f t="shared" si="342"/>
        <v>0</v>
      </c>
      <c r="AK1280">
        <f t="shared" si="343"/>
        <v>0</v>
      </c>
      <c r="AL1280">
        <f t="shared" si="344"/>
        <v>0</v>
      </c>
      <c r="AM1280">
        <f t="shared" si="345"/>
        <v>0</v>
      </c>
      <c r="DH1280" t="str" cm="1">
        <f t="array" ref="DH1280">IF($A1280="","",_xlfn.LET(_xlpm.c,IFERROR(_xlfn.XLOOKUP($A1280,TRIM('Sales and count'!$A$4:$A$300&amp;""),TRIM('Sales and count'!$B$4:$B$300&amp;"")),""),IF(OR(_xlpm.c="",_xlpm.c="0",LEFT(_xlpm.c,1)="#"),"Not set",_xlpm.c)))</f>
        <v/>
      </c>
    </row>
    <row r="1281" spans="1:112" x14ac:dyDescent="0.25">
      <c r="A1281" t="str">
        <f>IF('Staff Daily sales'!$B1266="","",TRIM('Staff Daily sales'!$B1266&amp;""))</f>
        <v/>
      </c>
      <c r="B1281" t="str">
        <f>IF('Staff Daily sales'!$D1266="","",TRIM('Staff Daily sales'!$D1266&amp;""))</f>
        <v/>
      </c>
      <c r="C1281" t="str">
        <f>IFERROR(TRIM('Staff Daily sales'!$E1266&amp;""),"")</f>
        <v/>
      </c>
      <c r="D1281" t="str">
        <f>IFERROR(IF(TRIM('Staff Daily sales'!$F1266&amp;"")="","Unassigned",TRIM('Staff Daily sales'!$F1266&amp;"")),"Unassigned")</f>
        <v>Unassigned</v>
      </c>
      <c r="E1281">
        <f t="shared" si="330"/>
        <v>0</v>
      </c>
      <c r="F1281">
        <f>IF($E1281=0,0,SUMPRODUCT($AI$5:$DF$5,'Staff Daily sales'!$G1266:$CD1266))</f>
        <v>0</v>
      </c>
      <c r="G1281">
        <f>IF($E1281=0,0,SUMPRODUCT($AI$6:$DF$6,'Staff Daily sales'!$G1266:$CD1266))</f>
        <v>0</v>
      </c>
      <c r="H1281">
        <f t="shared" si="331"/>
        <v>0</v>
      </c>
      <c r="I1281">
        <f t="shared" si="332"/>
        <v>0</v>
      </c>
      <c r="J1281">
        <f t="shared" si="333"/>
        <v>0</v>
      </c>
      <c r="K1281">
        <f t="shared" si="334"/>
        <v>0</v>
      </c>
      <c r="L1281">
        <f>--AND($E1281=1,OR('Staff Dashboard'!$B$6="All",$DH1281='Staff Dashboard'!$B$6),OR('Staff Dashboard'!$B$7="All",$D1281='Staff Dashboard'!$B$7),OR('Staff Dashboard'!$B$8="All",$A1281='Staff Dashboard'!$B$8))</f>
        <v>0</v>
      </c>
      <c r="M1281">
        <f>IF($E1281=0,0,SUMPRODUCT($AI$7:$DF$7,'Staff Daily sales'!$G1266:$CD1266))</f>
        <v>0</v>
      </c>
      <c r="N1281">
        <f>IF($E1281=0,0,SUMPRODUCT($AI$8:$DF$8,'Staff Daily sales'!$G1266:$CD1266))</f>
        <v>0</v>
      </c>
      <c r="O1281">
        <f>IF($E1281=0,0,SUMPRODUCT($AI$9:$DF$9,'Staff Daily sales'!$G1266:$CD1266))</f>
        <v>0</v>
      </c>
      <c r="P1281">
        <f>IF($E1281=0,0,SUMPRODUCT($AI$10:$DF$10,'Staff Daily sales'!$G1266:$CD1266))</f>
        <v>0</v>
      </c>
      <c r="Q1281">
        <f>IF($E1281=0,0,SUMPRODUCT($AI$11:$DF$11,'Staff Daily sales'!$G1266:$CD1266))</f>
        <v>0</v>
      </c>
      <c r="R1281">
        <f>IF($E1281=0,0,SUMPRODUCT($AI$12:$DF$12,'Staff Daily sales'!$G1266:$CD1266))</f>
        <v>0</v>
      </c>
      <c r="S1281">
        <f>IF($E1281=0,0,SUMPRODUCT($AI$13:$DF$13,'Staff Daily sales'!$G1266:$CD1266))</f>
        <v>0</v>
      </c>
      <c r="T1281">
        <f>IF($E1281=0,0,SUMPRODUCT($AI$14:$DF$14,'Staff Daily sales'!$G1266:$CD1266))</f>
        <v>0</v>
      </c>
      <c r="U1281">
        <f>IF($E1281=0,0,SUMPRODUCT($AI$15:$DF$15,'Staff Daily sales'!$G1266:$CD1266))</f>
        <v>0</v>
      </c>
      <c r="V1281">
        <f>IF($E1281=0,0,SUMPRODUCT($AI$16:$DF$16,'Staff Daily sales'!$G1266:$CD1266))</f>
        <v>0</v>
      </c>
      <c r="W1281">
        <f t="shared" si="335"/>
        <v>0</v>
      </c>
      <c r="X1281">
        <f t="shared" si="336"/>
        <v>0</v>
      </c>
      <c r="Y1281">
        <f t="shared" si="337"/>
        <v>0</v>
      </c>
      <c r="Z1281">
        <f t="shared" si="338"/>
        <v>0</v>
      </c>
      <c r="AA1281">
        <f t="shared" si="339"/>
        <v>0</v>
      </c>
      <c r="AB1281">
        <f>--AND($E1281=1,OR('Staff Weekly Trend'!$B$3="All",$DH1281='Staff Weekly Trend'!$B$3),OR('Staff Weekly Trend'!$B$4="All",$D1281='Staff Weekly Trend'!$B$4),OR('Staff Weekly Trend'!$B$5="All",$A1281='Staff Weekly Trend'!$B$5))</f>
        <v>0</v>
      </c>
      <c r="AC1281" t="str">
        <f t="shared" si="340"/>
        <v/>
      </c>
      <c r="AI1281">
        <f t="shared" si="341"/>
        <v>0</v>
      </c>
      <c r="AJ1281">
        <f t="shared" si="342"/>
        <v>0</v>
      </c>
      <c r="AK1281">
        <f t="shared" si="343"/>
        <v>0</v>
      </c>
      <c r="AL1281">
        <f t="shared" si="344"/>
        <v>0</v>
      </c>
      <c r="AM1281">
        <f t="shared" si="345"/>
        <v>0</v>
      </c>
      <c r="DH1281" t="str" cm="1">
        <f t="array" ref="DH1281">IF($A1281="","",_xlfn.LET(_xlpm.c,IFERROR(_xlfn.XLOOKUP($A1281,TRIM('Sales and count'!$A$4:$A$300&amp;""),TRIM('Sales and count'!$B$4:$B$300&amp;"")),""),IF(OR(_xlpm.c="",_xlpm.c="0",LEFT(_xlpm.c,1)="#"),"Not set",_xlpm.c)))</f>
        <v/>
      </c>
    </row>
    <row r="1282" spans="1:112" x14ac:dyDescent="0.25">
      <c r="A1282" t="str">
        <f>IF('Staff Daily sales'!$B1267="","",TRIM('Staff Daily sales'!$B1267&amp;""))</f>
        <v/>
      </c>
      <c r="B1282" t="str">
        <f>IF('Staff Daily sales'!$D1267="","",TRIM('Staff Daily sales'!$D1267&amp;""))</f>
        <v/>
      </c>
      <c r="C1282" t="str">
        <f>IFERROR(TRIM('Staff Daily sales'!$E1267&amp;""),"")</f>
        <v/>
      </c>
      <c r="D1282" t="str">
        <f>IFERROR(IF(TRIM('Staff Daily sales'!$F1267&amp;"")="","Unassigned",TRIM('Staff Daily sales'!$F1267&amp;"")),"Unassigned")</f>
        <v>Unassigned</v>
      </c>
      <c r="E1282">
        <f t="shared" si="330"/>
        <v>0</v>
      </c>
      <c r="F1282">
        <f>IF($E1282=0,0,SUMPRODUCT($AI$5:$DF$5,'Staff Daily sales'!$G1267:$CD1267))</f>
        <v>0</v>
      </c>
      <c r="G1282">
        <f>IF($E1282=0,0,SUMPRODUCT($AI$6:$DF$6,'Staff Daily sales'!$G1267:$CD1267))</f>
        <v>0</v>
      </c>
      <c r="H1282">
        <f t="shared" si="331"/>
        <v>0</v>
      </c>
      <c r="I1282">
        <f t="shared" si="332"/>
        <v>0</v>
      </c>
      <c r="J1282">
        <f t="shared" si="333"/>
        <v>0</v>
      </c>
      <c r="K1282">
        <f t="shared" si="334"/>
        <v>0</v>
      </c>
      <c r="L1282">
        <f>--AND($E1282=1,OR('Staff Dashboard'!$B$6="All",$DH1282='Staff Dashboard'!$B$6),OR('Staff Dashboard'!$B$7="All",$D1282='Staff Dashboard'!$B$7),OR('Staff Dashboard'!$B$8="All",$A1282='Staff Dashboard'!$B$8))</f>
        <v>0</v>
      </c>
      <c r="M1282">
        <f>IF($E1282=0,0,SUMPRODUCT($AI$7:$DF$7,'Staff Daily sales'!$G1267:$CD1267))</f>
        <v>0</v>
      </c>
      <c r="N1282">
        <f>IF($E1282=0,0,SUMPRODUCT($AI$8:$DF$8,'Staff Daily sales'!$G1267:$CD1267))</f>
        <v>0</v>
      </c>
      <c r="O1282">
        <f>IF($E1282=0,0,SUMPRODUCT($AI$9:$DF$9,'Staff Daily sales'!$G1267:$CD1267))</f>
        <v>0</v>
      </c>
      <c r="P1282">
        <f>IF($E1282=0,0,SUMPRODUCT($AI$10:$DF$10,'Staff Daily sales'!$G1267:$CD1267))</f>
        <v>0</v>
      </c>
      <c r="Q1282">
        <f>IF($E1282=0,0,SUMPRODUCT($AI$11:$DF$11,'Staff Daily sales'!$G1267:$CD1267))</f>
        <v>0</v>
      </c>
      <c r="R1282">
        <f>IF($E1282=0,0,SUMPRODUCT($AI$12:$DF$12,'Staff Daily sales'!$G1267:$CD1267))</f>
        <v>0</v>
      </c>
      <c r="S1282">
        <f>IF($E1282=0,0,SUMPRODUCT($AI$13:$DF$13,'Staff Daily sales'!$G1267:$CD1267))</f>
        <v>0</v>
      </c>
      <c r="T1282">
        <f>IF($E1282=0,0,SUMPRODUCT($AI$14:$DF$14,'Staff Daily sales'!$G1267:$CD1267))</f>
        <v>0</v>
      </c>
      <c r="U1282">
        <f>IF($E1282=0,0,SUMPRODUCT($AI$15:$DF$15,'Staff Daily sales'!$G1267:$CD1267))</f>
        <v>0</v>
      </c>
      <c r="V1282">
        <f>IF($E1282=0,0,SUMPRODUCT($AI$16:$DF$16,'Staff Daily sales'!$G1267:$CD1267))</f>
        <v>0</v>
      </c>
      <c r="W1282">
        <f t="shared" si="335"/>
        <v>0</v>
      </c>
      <c r="X1282">
        <f t="shared" si="336"/>
        <v>0</v>
      </c>
      <c r="Y1282">
        <f t="shared" si="337"/>
        <v>0</v>
      </c>
      <c r="Z1282">
        <f t="shared" si="338"/>
        <v>0</v>
      </c>
      <c r="AA1282">
        <f t="shared" si="339"/>
        <v>0</v>
      </c>
      <c r="AB1282">
        <f>--AND($E1282=1,OR('Staff Weekly Trend'!$B$3="All",$DH1282='Staff Weekly Trend'!$B$3),OR('Staff Weekly Trend'!$B$4="All",$D1282='Staff Weekly Trend'!$B$4),OR('Staff Weekly Trend'!$B$5="All",$A1282='Staff Weekly Trend'!$B$5))</f>
        <v>0</v>
      </c>
      <c r="AC1282" t="str">
        <f t="shared" si="340"/>
        <v/>
      </c>
      <c r="AI1282">
        <f t="shared" si="341"/>
        <v>0</v>
      </c>
      <c r="AJ1282">
        <f t="shared" si="342"/>
        <v>0</v>
      </c>
      <c r="AK1282">
        <f t="shared" si="343"/>
        <v>0</v>
      </c>
      <c r="AL1282">
        <f t="shared" si="344"/>
        <v>0</v>
      </c>
      <c r="AM1282">
        <f t="shared" si="345"/>
        <v>0</v>
      </c>
      <c r="DH1282" t="str" cm="1">
        <f t="array" ref="DH1282">IF($A1282="","",_xlfn.LET(_xlpm.c,IFERROR(_xlfn.XLOOKUP($A1282,TRIM('Sales and count'!$A$4:$A$300&amp;""),TRIM('Sales and count'!$B$4:$B$300&amp;"")),""),IF(OR(_xlpm.c="",_xlpm.c="0",LEFT(_xlpm.c,1)="#"),"Not set",_xlpm.c)))</f>
        <v/>
      </c>
    </row>
    <row r="1283" spans="1:112" x14ac:dyDescent="0.25">
      <c r="A1283" t="str">
        <f>IF('Staff Daily sales'!$B1268="","",TRIM('Staff Daily sales'!$B1268&amp;""))</f>
        <v/>
      </c>
      <c r="B1283" t="str">
        <f>IF('Staff Daily sales'!$D1268="","",TRIM('Staff Daily sales'!$D1268&amp;""))</f>
        <v/>
      </c>
      <c r="C1283" t="str">
        <f>IFERROR(TRIM('Staff Daily sales'!$E1268&amp;""),"")</f>
        <v/>
      </c>
      <c r="D1283" t="str">
        <f>IFERROR(IF(TRIM('Staff Daily sales'!$F1268&amp;"")="","Unassigned",TRIM('Staff Daily sales'!$F1268&amp;"")),"Unassigned")</f>
        <v>Unassigned</v>
      </c>
      <c r="E1283">
        <f t="shared" si="330"/>
        <v>0</v>
      </c>
      <c r="F1283">
        <f>IF($E1283=0,0,SUMPRODUCT($AI$5:$DF$5,'Staff Daily sales'!$G1268:$CD1268))</f>
        <v>0</v>
      </c>
      <c r="G1283">
        <f>IF($E1283=0,0,SUMPRODUCT($AI$6:$DF$6,'Staff Daily sales'!$G1268:$CD1268))</f>
        <v>0</v>
      </c>
      <c r="H1283">
        <f t="shared" si="331"/>
        <v>0</v>
      </c>
      <c r="I1283">
        <f t="shared" si="332"/>
        <v>0</v>
      </c>
      <c r="J1283">
        <f t="shared" si="333"/>
        <v>0</v>
      </c>
      <c r="K1283">
        <f t="shared" si="334"/>
        <v>0</v>
      </c>
      <c r="L1283">
        <f>--AND($E1283=1,OR('Staff Dashboard'!$B$6="All",$DH1283='Staff Dashboard'!$B$6),OR('Staff Dashboard'!$B$7="All",$D1283='Staff Dashboard'!$B$7),OR('Staff Dashboard'!$B$8="All",$A1283='Staff Dashboard'!$B$8))</f>
        <v>0</v>
      </c>
      <c r="M1283">
        <f>IF($E1283=0,0,SUMPRODUCT($AI$7:$DF$7,'Staff Daily sales'!$G1268:$CD1268))</f>
        <v>0</v>
      </c>
      <c r="N1283">
        <f>IF($E1283=0,0,SUMPRODUCT($AI$8:$DF$8,'Staff Daily sales'!$G1268:$CD1268))</f>
        <v>0</v>
      </c>
      <c r="O1283">
        <f>IF($E1283=0,0,SUMPRODUCT($AI$9:$DF$9,'Staff Daily sales'!$G1268:$CD1268))</f>
        <v>0</v>
      </c>
      <c r="P1283">
        <f>IF($E1283=0,0,SUMPRODUCT($AI$10:$DF$10,'Staff Daily sales'!$G1268:$CD1268))</f>
        <v>0</v>
      </c>
      <c r="Q1283">
        <f>IF($E1283=0,0,SUMPRODUCT($AI$11:$DF$11,'Staff Daily sales'!$G1268:$CD1268))</f>
        <v>0</v>
      </c>
      <c r="R1283">
        <f>IF($E1283=0,0,SUMPRODUCT($AI$12:$DF$12,'Staff Daily sales'!$G1268:$CD1268))</f>
        <v>0</v>
      </c>
      <c r="S1283">
        <f>IF($E1283=0,0,SUMPRODUCT($AI$13:$DF$13,'Staff Daily sales'!$G1268:$CD1268))</f>
        <v>0</v>
      </c>
      <c r="T1283">
        <f>IF($E1283=0,0,SUMPRODUCT($AI$14:$DF$14,'Staff Daily sales'!$G1268:$CD1268))</f>
        <v>0</v>
      </c>
      <c r="U1283">
        <f>IF($E1283=0,0,SUMPRODUCT($AI$15:$DF$15,'Staff Daily sales'!$G1268:$CD1268))</f>
        <v>0</v>
      </c>
      <c r="V1283">
        <f>IF($E1283=0,0,SUMPRODUCT($AI$16:$DF$16,'Staff Daily sales'!$G1268:$CD1268))</f>
        <v>0</v>
      </c>
      <c r="W1283">
        <f t="shared" si="335"/>
        <v>0</v>
      </c>
      <c r="X1283">
        <f t="shared" si="336"/>
        <v>0</v>
      </c>
      <c r="Y1283">
        <f t="shared" si="337"/>
        <v>0</v>
      </c>
      <c r="Z1283">
        <f t="shared" si="338"/>
        <v>0</v>
      </c>
      <c r="AA1283">
        <f t="shared" si="339"/>
        <v>0</v>
      </c>
      <c r="AB1283">
        <f>--AND($E1283=1,OR('Staff Weekly Trend'!$B$3="All",$DH1283='Staff Weekly Trend'!$B$3),OR('Staff Weekly Trend'!$B$4="All",$D1283='Staff Weekly Trend'!$B$4),OR('Staff Weekly Trend'!$B$5="All",$A1283='Staff Weekly Trend'!$B$5))</f>
        <v>0</v>
      </c>
      <c r="AC1283" t="str">
        <f t="shared" si="340"/>
        <v/>
      </c>
      <c r="AI1283">
        <f t="shared" si="341"/>
        <v>0</v>
      </c>
      <c r="AJ1283">
        <f t="shared" si="342"/>
        <v>0</v>
      </c>
      <c r="AK1283">
        <f t="shared" si="343"/>
        <v>0</v>
      </c>
      <c r="AL1283">
        <f t="shared" si="344"/>
        <v>0</v>
      </c>
      <c r="AM1283">
        <f t="shared" si="345"/>
        <v>0</v>
      </c>
      <c r="DH1283" t="str" cm="1">
        <f t="array" ref="DH1283">IF($A1283="","",_xlfn.LET(_xlpm.c,IFERROR(_xlfn.XLOOKUP($A1283,TRIM('Sales and count'!$A$4:$A$300&amp;""),TRIM('Sales and count'!$B$4:$B$300&amp;"")),""),IF(OR(_xlpm.c="",_xlpm.c="0",LEFT(_xlpm.c,1)="#"),"Not set",_xlpm.c)))</f>
        <v/>
      </c>
    </row>
    <row r="1284" spans="1:112" x14ac:dyDescent="0.25">
      <c r="A1284" t="str">
        <f>IF('Staff Daily sales'!$B1269="","",TRIM('Staff Daily sales'!$B1269&amp;""))</f>
        <v/>
      </c>
      <c r="B1284" t="str">
        <f>IF('Staff Daily sales'!$D1269="","",TRIM('Staff Daily sales'!$D1269&amp;""))</f>
        <v/>
      </c>
      <c r="C1284" t="str">
        <f>IFERROR(TRIM('Staff Daily sales'!$E1269&amp;""),"")</f>
        <v/>
      </c>
      <c r="D1284" t="str">
        <f>IFERROR(IF(TRIM('Staff Daily sales'!$F1269&amp;"")="","Unassigned",TRIM('Staff Daily sales'!$F1269&amp;"")),"Unassigned")</f>
        <v>Unassigned</v>
      </c>
      <c r="E1284">
        <f t="shared" si="330"/>
        <v>0</v>
      </c>
      <c r="F1284">
        <f>IF($E1284=0,0,SUMPRODUCT($AI$5:$DF$5,'Staff Daily sales'!$G1269:$CD1269))</f>
        <v>0</v>
      </c>
      <c r="G1284">
        <f>IF($E1284=0,0,SUMPRODUCT($AI$6:$DF$6,'Staff Daily sales'!$G1269:$CD1269))</f>
        <v>0</v>
      </c>
      <c r="H1284">
        <f t="shared" si="331"/>
        <v>0</v>
      </c>
      <c r="I1284">
        <f t="shared" si="332"/>
        <v>0</v>
      </c>
      <c r="J1284">
        <f t="shared" si="333"/>
        <v>0</v>
      </c>
      <c r="K1284">
        <f t="shared" si="334"/>
        <v>0</v>
      </c>
      <c r="L1284">
        <f>--AND($E1284=1,OR('Staff Dashboard'!$B$6="All",$DH1284='Staff Dashboard'!$B$6),OR('Staff Dashboard'!$B$7="All",$D1284='Staff Dashboard'!$B$7),OR('Staff Dashboard'!$B$8="All",$A1284='Staff Dashboard'!$B$8))</f>
        <v>0</v>
      </c>
      <c r="M1284">
        <f>IF($E1284=0,0,SUMPRODUCT($AI$7:$DF$7,'Staff Daily sales'!$G1269:$CD1269))</f>
        <v>0</v>
      </c>
      <c r="N1284">
        <f>IF($E1284=0,0,SUMPRODUCT($AI$8:$DF$8,'Staff Daily sales'!$G1269:$CD1269))</f>
        <v>0</v>
      </c>
      <c r="O1284">
        <f>IF($E1284=0,0,SUMPRODUCT($AI$9:$DF$9,'Staff Daily sales'!$G1269:$CD1269))</f>
        <v>0</v>
      </c>
      <c r="P1284">
        <f>IF($E1284=0,0,SUMPRODUCT($AI$10:$DF$10,'Staff Daily sales'!$G1269:$CD1269))</f>
        <v>0</v>
      </c>
      <c r="Q1284">
        <f>IF($E1284=0,0,SUMPRODUCT($AI$11:$DF$11,'Staff Daily sales'!$G1269:$CD1269))</f>
        <v>0</v>
      </c>
      <c r="R1284">
        <f>IF($E1284=0,0,SUMPRODUCT($AI$12:$DF$12,'Staff Daily sales'!$G1269:$CD1269))</f>
        <v>0</v>
      </c>
      <c r="S1284">
        <f>IF($E1284=0,0,SUMPRODUCT($AI$13:$DF$13,'Staff Daily sales'!$G1269:$CD1269))</f>
        <v>0</v>
      </c>
      <c r="T1284">
        <f>IF($E1284=0,0,SUMPRODUCT($AI$14:$DF$14,'Staff Daily sales'!$G1269:$CD1269))</f>
        <v>0</v>
      </c>
      <c r="U1284">
        <f>IF($E1284=0,0,SUMPRODUCT($AI$15:$DF$15,'Staff Daily sales'!$G1269:$CD1269))</f>
        <v>0</v>
      </c>
      <c r="V1284">
        <f>IF($E1284=0,0,SUMPRODUCT($AI$16:$DF$16,'Staff Daily sales'!$G1269:$CD1269))</f>
        <v>0</v>
      </c>
      <c r="W1284">
        <f t="shared" si="335"/>
        <v>0</v>
      </c>
      <c r="X1284">
        <f t="shared" si="336"/>
        <v>0</v>
      </c>
      <c r="Y1284">
        <f t="shared" si="337"/>
        <v>0</v>
      </c>
      <c r="Z1284">
        <f t="shared" si="338"/>
        <v>0</v>
      </c>
      <c r="AA1284">
        <f t="shared" si="339"/>
        <v>0</v>
      </c>
      <c r="AB1284">
        <f>--AND($E1284=1,OR('Staff Weekly Trend'!$B$3="All",$DH1284='Staff Weekly Trend'!$B$3),OR('Staff Weekly Trend'!$B$4="All",$D1284='Staff Weekly Trend'!$B$4),OR('Staff Weekly Trend'!$B$5="All",$A1284='Staff Weekly Trend'!$B$5))</f>
        <v>0</v>
      </c>
      <c r="AC1284" t="str">
        <f t="shared" si="340"/>
        <v/>
      </c>
      <c r="AI1284">
        <f t="shared" si="341"/>
        <v>0</v>
      </c>
      <c r="AJ1284">
        <f t="shared" si="342"/>
        <v>0</v>
      </c>
      <c r="AK1284">
        <f t="shared" si="343"/>
        <v>0</v>
      </c>
      <c r="AL1284">
        <f t="shared" si="344"/>
        <v>0</v>
      </c>
      <c r="AM1284">
        <f t="shared" si="345"/>
        <v>0</v>
      </c>
      <c r="DH1284" t="str" cm="1">
        <f t="array" ref="DH1284">IF($A1284="","",_xlfn.LET(_xlpm.c,IFERROR(_xlfn.XLOOKUP($A1284,TRIM('Sales and count'!$A$4:$A$300&amp;""),TRIM('Sales and count'!$B$4:$B$300&amp;"")),""),IF(OR(_xlpm.c="",_xlpm.c="0",LEFT(_xlpm.c,1)="#"),"Not set",_xlpm.c)))</f>
        <v/>
      </c>
    </row>
    <row r="1285" spans="1:112" x14ac:dyDescent="0.25">
      <c r="A1285" t="str">
        <f>IF('Staff Daily sales'!$B1270="","",TRIM('Staff Daily sales'!$B1270&amp;""))</f>
        <v/>
      </c>
      <c r="B1285" t="str">
        <f>IF('Staff Daily sales'!$D1270="","",TRIM('Staff Daily sales'!$D1270&amp;""))</f>
        <v/>
      </c>
      <c r="C1285" t="str">
        <f>IFERROR(TRIM('Staff Daily sales'!$E1270&amp;""),"")</f>
        <v/>
      </c>
      <c r="D1285" t="str">
        <f>IFERROR(IF(TRIM('Staff Daily sales'!$F1270&amp;"")="","Unassigned",TRIM('Staff Daily sales'!$F1270&amp;"")),"Unassigned")</f>
        <v>Unassigned</v>
      </c>
      <c r="E1285">
        <f t="shared" si="330"/>
        <v>0</v>
      </c>
      <c r="F1285">
        <f>IF($E1285=0,0,SUMPRODUCT($AI$5:$DF$5,'Staff Daily sales'!$G1270:$CD1270))</f>
        <v>0</v>
      </c>
      <c r="G1285">
        <f>IF($E1285=0,0,SUMPRODUCT($AI$6:$DF$6,'Staff Daily sales'!$G1270:$CD1270))</f>
        <v>0</v>
      </c>
      <c r="H1285">
        <f t="shared" si="331"/>
        <v>0</v>
      </c>
      <c r="I1285">
        <f t="shared" si="332"/>
        <v>0</v>
      </c>
      <c r="J1285">
        <f t="shared" si="333"/>
        <v>0</v>
      </c>
      <c r="K1285">
        <f t="shared" si="334"/>
        <v>0</v>
      </c>
      <c r="L1285">
        <f>--AND($E1285=1,OR('Staff Dashboard'!$B$6="All",$DH1285='Staff Dashboard'!$B$6),OR('Staff Dashboard'!$B$7="All",$D1285='Staff Dashboard'!$B$7),OR('Staff Dashboard'!$B$8="All",$A1285='Staff Dashboard'!$B$8))</f>
        <v>0</v>
      </c>
      <c r="M1285">
        <f>IF($E1285=0,0,SUMPRODUCT($AI$7:$DF$7,'Staff Daily sales'!$G1270:$CD1270))</f>
        <v>0</v>
      </c>
      <c r="N1285">
        <f>IF($E1285=0,0,SUMPRODUCT($AI$8:$DF$8,'Staff Daily sales'!$G1270:$CD1270))</f>
        <v>0</v>
      </c>
      <c r="O1285">
        <f>IF($E1285=0,0,SUMPRODUCT($AI$9:$DF$9,'Staff Daily sales'!$G1270:$CD1270))</f>
        <v>0</v>
      </c>
      <c r="P1285">
        <f>IF($E1285=0,0,SUMPRODUCT($AI$10:$DF$10,'Staff Daily sales'!$G1270:$CD1270))</f>
        <v>0</v>
      </c>
      <c r="Q1285">
        <f>IF($E1285=0,0,SUMPRODUCT($AI$11:$DF$11,'Staff Daily sales'!$G1270:$CD1270))</f>
        <v>0</v>
      </c>
      <c r="R1285">
        <f>IF($E1285=0,0,SUMPRODUCT($AI$12:$DF$12,'Staff Daily sales'!$G1270:$CD1270))</f>
        <v>0</v>
      </c>
      <c r="S1285">
        <f>IF($E1285=0,0,SUMPRODUCT($AI$13:$DF$13,'Staff Daily sales'!$G1270:$CD1270))</f>
        <v>0</v>
      </c>
      <c r="T1285">
        <f>IF($E1285=0,0,SUMPRODUCT($AI$14:$DF$14,'Staff Daily sales'!$G1270:$CD1270))</f>
        <v>0</v>
      </c>
      <c r="U1285">
        <f>IF($E1285=0,0,SUMPRODUCT($AI$15:$DF$15,'Staff Daily sales'!$G1270:$CD1270))</f>
        <v>0</v>
      </c>
      <c r="V1285">
        <f>IF($E1285=0,0,SUMPRODUCT($AI$16:$DF$16,'Staff Daily sales'!$G1270:$CD1270))</f>
        <v>0</v>
      </c>
      <c r="W1285">
        <f t="shared" si="335"/>
        <v>0</v>
      </c>
      <c r="X1285">
        <f t="shared" si="336"/>
        <v>0</v>
      </c>
      <c r="Y1285">
        <f t="shared" si="337"/>
        <v>0</v>
      </c>
      <c r="Z1285">
        <f t="shared" si="338"/>
        <v>0</v>
      </c>
      <c r="AA1285">
        <f t="shared" si="339"/>
        <v>0</v>
      </c>
      <c r="AB1285">
        <f>--AND($E1285=1,OR('Staff Weekly Trend'!$B$3="All",$DH1285='Staff Weekly Trend'!$B$3),OR('Staff Weekly Trend'!$B$4="All",$D1285='Staff Weekly Trend'!$B$4),OR('Staff Weekly Trend'!$B$5="All",$A1285='Staff Weekly Trend'!$B$5))</f>
        <v>0</v>
      </c>
      <c r="AC1285" t="str">
        <f t="shared" si="340"/>
        <v/>
      </c>
      <c r="AI1285">
        <f t="shared" si="341"/>
        <v>0</v>
      </c>
      <c r="AJ1285">
        <f t="shared" si="342"/>
        <v>0</v>
      </c>
      <c r="AK1285">
        <f t="shared" si="343"/>
        <v>0</v>
      </c>
      <c r="AL1285">
        <f t="shared" si="344"/>
        <v>0</v>
      </c>
      <c r="AM1285">
        <f t="shared" si="345"/>
        <v>0</v>
      </c>
      <c r="DH1285" t="str" cm="1">
        <f t="array" ref="DH1285">IF($A1285="","",_xlfn.LET(_xlpm.c,IFERROR(_xlfn.XLOOKUP($A1285,TRIM('Sales and count'!$A$4:$A$300&amp;""),TRIM('Sales and count'!$B$4:$B$300&amp;"")),""),IF(OR(_xlpm.c="",_xlpm.c="0",LEFT(_xlpm.c,1)="#"),"Not set",_xlpm.c)))</f>
        <v/>
      </c>
    </row>
    <row r="1286" spans="1:112" x14ac:dyDescent="0.25">
      <c r="A1286" t="str">
        <f>IF('Staff Daily sales'!$B1271="","",TRIM('Staff Daily sales'!$B1271&amp;""))</f>
        <v/>
      </c>
      <c r="B1286" t="str">
        <f>IF('Staff Daily sales'!$D1271="","",TRIM('Staff Daily sales'!$D1271&amp;""))</f>
        <v/>
      </c>
      <c r="C1286" t="str">
        <f>IFERROR(TRIM('Staff Daily sales'!$E1271&amp;""),"")</f>
        <v/>
      </c>
      <c r="D1286" t="str">
        <f>IFERROR(IF(TRIM('Staff Daily sales'!$F1271&amp;"")="","Unassigned",TRIM('Staff Daily sales'!$F1271&amp;"")),"Unassigned")</f>
        <v>Unassigned</v>
      </c>
      <c r="E1286">
        <f t="shared" si="330"/>
        <v>0</v>
      </c>
      <c r="F1286">
        <f>IF($E1286=0,0,SUMPRODUCT($AI$5:$DF$5,'Staff Daily sales'!$G1271:$CD1271))</f>
        <v>0</v>
      </c>
      <c r="G1286">
        <f>IF($E1286=0,0,SUMPRODUCT($AI$6:$DF$6,'Staff Daily sales'!$G1271:$CD1271))</f>
        <v>0</v>
      </c>
      <c r="H1286">
        <f t="shared" si="331"/>
        <v>0</v>
      </c>
      <c r="I1286">
        <f t="shared" si="332"/>
        <v>0</v>
      </c>
      <c r="J1286">
        <f t="shared" si="333"/>
        <v>0</v>
      </c>
      <c r="K1286">
        <f t="shared" si="334"/>
        <v>0</v>
      </c>
      <c r="L1286">
        <f>--AND($E1286=1,OR('Staff Dashboard'!$B$6="All",$DH1286='Staff Dashboard'!$B$6),OR('Staff Dashboard'!$B$7="All",$D1286='Staff Dashboard'!$B$7),OR('Staff Dashboard'!$B$8="All",$A1286='Staff Dashboard'!$B$8))</f>
        <v>0</v>
      </c>
      <c r="M1286">
        <f>IF($E1286=0,0,SUMPRODUCT($AI$7:$DF$7,'Staff Daily sales'!$G1271:$CD1271))</f>
        <v>0</v>
      </c>
      <c r="N1286">
        <f>IF($E1286=0,0,SUMPRODUCT($AI$8:$DF$8,'Staff Daily sales'!$G1271:$CD1271))</f>
        <v>0</v>
      </c>
      <c r="O1286">
        <f>IF($E1286=0,0,SUMPRODUCT($AI$9:$DF$9,'Staff Daily sales'!$G1271:$CD1271))</f>
        <v>0</v>
      </c>
      <c r="P1286">
        <f>IF($E1286=0,0,SUMPRODUCT($AI$10:$DF$10,'Staff Daily sales'!$G1271:$CD1271))</f>
        <v>0</v>
      </c>
      <c r="Q1286">
        <f>IF($E1286=0,0,SUMPRODUCT($AI$11:$DF$11,'Staff Daily sales'!$G1271:$CD1271))</f>
        <v>0</v>
      </c>
      <c r="R1286">
        <f>IF($E1286=0,0,SUMPRODUCT($AI$12:$DF$12,'Staff Daily sales'!$G1271:$CD1271))</f>
        <v>0</v>
      </c>
      <c r="S1286">
        <f>IF($E1286=0,0,SUMPRODUCT($AI$13:$DF$13,'Staff Daily sales'!$G1271:$CD1271))</f>
        <v>0</v>
      </c>
      <c r="T1286">
        <f>IF($E1286=0,0,SUMPRODUCT($AI$14:$DF$14,'Staff Daily sales'!$G1271:$CD1271))</f>
        <v>0</v>
      </c>
      <c r="U1286">
        <f>IF($E1286=0,0,SUMPRODUCT($AI$15:$DF$15,'Staff Daily sales'!$G1271:$CD1271))</f>
        <v>0</v>
      </c>
      <c r="V1286">
        <f>IF($E1286=0,0,SUMPRODUCT($AI$16:$DF$16,'Staff Daily sales'!$G1271:$CD1271))</f>
        <v>0</v>
      </c>
      <c r="W1286">
        <f t="shared" si="335"/>
        <v>0</v>
      </c>
      <c r="X1286">
        <f t="shared" si="336"/>
        <v>0</v>
      </c>
      <c r="Y1286">
        <f t="shared" si="337"/>
        <v>0</v>
      </c>
      <c r="Z1286">
        <f t="shared" si="338"/>
        <v>0</v>
      </c>
      <c r="AA1286">
        <f t="shared" si="339"/>
        <v>0</v>
      </c>
      <c r="AB1286">
        <f>--AND($E1286=1,OR('Staff Weekly Trend'!$B$3="All",$DH1286='Staff Weekly Trend'!$B$3),OR('Staff Weekly Trend'!$B$4="All",$D1286='Staff Weekly Trend'!$B$4),OR('Staff Weekly Trend'!$B$5="All",$A1286='Staff Weekly Trend'!$B$5))</f>
        <v>0</v>
      </c>
      <c r="AC1286" t="str">
        <f t="shared" si="340"/>
        <v/>
      </c>
      <c r="AI1286">
        <f t="shared" si="341"/>
        <v>0</v>
      </c>
      <c r="AJ1286">
        <f t="shared" si="342"/>
        <v>0</v>
      </c>
      <c r="AK1286">
        <f t="shared" si="343"/>
        <v>0</v>
      </c>
      <c r="AL1286">
        <f t="shared" si="344"/>
        <v>0</v>
      </c>
      <c r="AM1286">
        <f t="shared" si="345"/>
        <v>0</v>
      </c>
      <c r="DH1286" t="str" cm="1">
        <f t="array" ref="DH1286">IF($A1286="","",_xlfn.LET(_xlpm.c,IFERROR(_xlfn.XLOOKUP($A1286,TRIM('Sales and count'!$A$4:$A$300&amp;""),TRIM('Sales and count'!$B$4:$B$300&amp;"")),""),IF(OR(_xlpm.c="",_xlpm.c="0",LEFT(_xlpm.c,1)="#"),"Not set",_xlpm.c)))</f>
        <v/>
      </c>
    </row>
    <row r="1287" spans="1:112" x14ac:dyDescent="0.25">
      <c r="A1287" t="str">
        <f>IF('Staff Daily sales'!$B1272="","",TRIM('Staff Daily sales'!$B1272&amp;""))</f>
        <v/>
      </c>
      <c r="B1287" t="str">
        <f>IF('Staff Daily sales'!$D1272="","",TRIM('Staff Daily sales'!$D1272&amp;""))</f>
        <v/>
      </c>
      <c r="C1287" t="str">
        <f>IFERROR(TRIM('Staff Daily sales'!$E1272&amp;""),"")</f>
        <v/>
      </c>
      <c r="D1287" t="str">
        <f>IFERROR(IF(TRIM('Staff Daily sales'!$F1272&amp;"")="","Unassigned",TRIM('Staff Daily sales'!$F1272&amp;"")),"Unassigned")</f>
        <v>Unassigned</v>
      </c>
      <c r="E1287">
        <f t="shared" si="330"/>
        <v>0</v>
      </c>
      <c r="F1287">
        <f>IF($E1287=0,0,SUMPRODUCT($AI$5:$DF$5,'Staff Daily sales'!$G1272:$CD1272))</f>
        <v>0</v>
      </c>
      <c r="G1287">
        <f>IF($E1287=0,0,SUMPRODUCT($AI$6:$DF$6,'Staff Daily sales'!$G1272:$CD1272))</f>
        <v>0</v>
      </c>
      <c r="H1287">
        <f t="shared" si="331"/>
        <v>0</v>
      </c>
      <c r="I1287">
        <f t="shared" si="332"/>
        <v>0</v>
      </c>
      <c r="J1287">
        <f t="shared" si="333"/>
        <v>0</v>
      </c>
      <c r="K1287">
        <f t="shared" si="334"/>
        <v>0</v>
      </c>
      <c r="L1287">
        <f>--AND($E1287=1,OR('Staff Dashboard'!$B$6="All",$DH1287='Staff Dashboard'!$B$6),OR('Staff Dashboard'!$B$7="All",$D1287='Staff Dashboard'!$B$7),OR('Staff Dashboard'!$B$8="All",$A1287='Staff Dashboard'!$B$8))</f>
        <v>0</v>
      </c>
      <c r="M1287">
        <f>IF($E1287=0,0,SUMPRODUCT($AI$7:$DF$7,'Staff Daily sales'!$G1272:$CD1272))</f>
        <v>0</v>
      </c>
      <c r="N1287">
        <f>IF($E1287=0,0,SUMPRODUCT($AI$8:$DF$8,'Staff Daily sales'!$G1272:$CD1272))</f>
        <v>0</v>
      </c>
      <c r="O1287">
        <f>IF($E1287=0,0,SUMPRODUCT($AI$9:$DF$9,'Staff Daily sales'!$G1272:$CD1272))</f>
        <v>0</v>
      </c>
      <c r="P1287">
        <f>IF($E1287=0,0,SUMPRODUCT($AI$10:$DF$10,'Staff Daily sales'!$G1272:$CD1272))</f>
        <v>0</v>
      </c>
      <c r="Q1287">
        <f>IF($E1287=0,0,SUMPRODUCT($AI$11:$DF$11,'Staff Daily sales'!$G1272:$CD1272))</f>
        <v>0</v>
      </c>
      <c r="R1287">
        <f>IF($E1287=0,0,SUMPRODUCT($AI$12:$DF$12,'Staff Daily sales'!$G1272:$CD1272))</f>
        <v>0</v>
      </c>
      <c r="S1287">
        <f>IF($E1287=0,0,SUMPRODUCT($AI$13:$DF$13,'Staff Daily sales'!$G1272:$CD1272))</f>
        <v>0</v>
      </c>
      <c r="T1287">
        <f>IF($E1287=0,0,SUMPRODUCT($AI$14:$DF$14,'Staff Daily sales'!$G1272:$CD1272))</f>
        <v>0</v>
      </c>
      <c r="U1287">
        <f>IF($E1287=0,0,SUMPRODUCT($AI$15:$DF$15,'Staff Daily sales'!$G1272:$CD1272))</f>
        <v>0</v>
      </c>
      <c r="V1287">
        <f>IF($E1287=0,0,SUMPRODUCT($AI$16:$DF$16,'Staff Daily sales'!$G1272:$CD1272))</f>
        <v>0</v>
      </c>
      <c r="W1287">
        <f t="shared" si="335"/>
        <v>0</v>
      </c>
      <c r="X1287">
        <f t="shared" si="336"/>
        <v>0</v>
      </c>
      <c r="Y1287">
        <f t="shared" si="337"/>
        <v>0</v>
      </c>
      <c r="Z1287">
        <f t="shared" si="338"/>
        <v>0</v>
      </c>
      <c r="AA1287">
        <f t="shared" si="339"/>
        <v>0</v>
      </c>
      <c r="AB1287">
        <f>--AND($E1287=1,OR('Staff Weekly Trend'!$B$3="All",$DH1287='Staff Weekly Trend'!$B$3),OR('Staff Weekly Trend'!$B$4="All",$D1287='Staff Weekly Trend'!$B$4),OR('Staff Weekly Trend'!$B$5="All",$A1287='Staff Weekly Trend'!$B$5))</f>
        <v>0</v>
      </c>
      <c r="AC1287" t="str">
        <f t="shared" si="340"/>
        <v/>
      </c>
      <c r="AI1287">
        <f t="shared" si="341"/>
        <v>0</v>
      </c>
      <c r="AJ1287">
        <f t="shared" si="342"/>
        <v>0</v>
      </c>
      <c r="AK1287">
        <f t="shared" si="343"/>
        <v>0</v>
      </c>
      <c r="AL1287">
        <f t="shared" si="344"/>
        <v>0</v>
      </c>
      <c r="AM1287">
        <f t="shared" si="345"/>
        <v>0</v>
      </c>
      <c r="DH1287" t="str" cm="1">
        <f t="array" ref="DH1287">IF($A1287="","",_xlfn.LET(_xlpm.c,IFERROR(_xlfn.XLOOKUP($A1287,TRIM('Sales and count'!$A$4:$A$300&amp;""),TRIM('Sales and count'!$B$4:$B$300&amp;"")),""),IF(OR(_xlpm.c="",_xlpm.c="0",LEFT(_xlpm.c,1)="#"),"Not set",_xlpm.c)))</f>
        <v/>
      </c>
    </row>
    <row r="1288" spans="1:112" x14ac:dyDescent="0.25">
      <c r="A1288" t="str">
        <f>IF('Staff Daily sales'!$B1273="","",TRIM('Staff Daily sales'!$B1273&amp;""))</f>
        <v/>
      </c>
      <c r="B1288" t="str">
        <f>IF('Staff Daily sales'!$D1273="","",TRIM('Staff Daily sales'!$D1273&amp;""))</f>
        <v/>
      </c>
      <c r="C1288" t="str">
        <f>IFERROR(TRIM('Staff Daily sales'!$E1273&amp;""),"")</f>
        <v/>
      </c>
      <c r="D1288" t="str">
        <f>IFERROR(IF(TRIM('Staff Daily sales'!$F1273&amp;"")="","Unassigned",TRIM('Staff Daily sales'!$F1273&amp;"")),"Unassigned")</f>
        <v>Unassigned</v>
      </c>
      <c r="E1288">
        <f t="shared" si="330"/>
        <v>0</v>
      </c>
      <c r="F1288">
        <f>IF($E1288=0,0,SUMPRODUCT($AI$5:$DF$5,'Staff Daily sales'!$G1273:$CD1273))</f>
        <v>0</v>
      </c>
      <c r="G1288">
        <f>IF($E1288=0,0,SUMPRODUCT($AI$6:$DF$6,'Staff Daily sales'!$G1273:$CD1273))</f>
        <v>0</v>
      </c>
      <c r="H1288">
        <f t="shared" si="331"/>
        <v>0</v>
      </c>
      <c r="I1288">
        <f t="shared" si="332"/>
        <v>0</v>
      </c>
      <c r="J1288">
        <f t="shared" si="333"/>
        <v>0</v>
      </c>
      <c r="K1288">
        <f t="shared" si="334"/>
        <v>0</v>
      </c>
      <c r="L1288">
        <f>--AND($E1288=1,OR('Staff Dashboard'!$B$6="All",$DH1288='Staff Dashboard'!$B$6),OR('Staff Dashboard'!$B$7="All",$D1288='Staff Dashboard'!$B$7),OR('Staff Dashboard'!$B$8="All",$A1288='Staff Dashboard'!$B$8))</f>
        <v>0</v>
      </c>
      <c r="M1288">
        <f>IF($E1288=0,0,SUMPRODUCT($AI$7:$DF$7,'Staff Daily sales'!$G1273:$CD1273))</f>
        <v>0</v>
      </c>
      <c r="N1288">
        <f>IF($E1288=0,0,SUMPRODUCT($AI$8:$DF$8,'Staff Daily sales'!$G1273:$CD1273))</f>
        <v>0</v>
      </c>
      <c r="O1288">
        <f>IF($E1288=0,0,SUMPRODUCT($AI$9:$DF$9,'Staff Daily sales'!$G1273:$CD1273))</f>
        <v>0</v>
      </c>
      <c r="P1288">
        <f>IF($E1288=0,0,SUMPRODUCT($AI$10:$DF$10,'Staff Daily sales'!$G1273:$CD1273))</f>
        <v>0</v>
      </c>
      <c r="Q1288">
        <f>IF($E1288=0,0,SUMPRODUCT($AI$11:$DF$11,'Staff Daily sales'!$G1273:$CD1273))</f>
        <v>0</v>
      </c>
      <c r="R1288">
        <f>IF($E1288=0,0,SUMPRODUCT($AI$12:$DF$12,'Staff Daily sales'!$G1273:$CD1273))</f>
        <v>0</v>
      </c>
      <c r="S1288">
        <f>IF($E1288=0,0,SUMPRODUCT($AI$13:$DF$13,'Staff Daily sales'!$G1273:$CD1273))</f>
        <v>0</v>
      </c>
      <c r="T1288">
        <f>IF($E1288=0,0,SUMPRODUCT($AI$14:$DF$14,'Staff Daily sales'!$G1273:$CD1273))</f>
        <v>0</v>
      </c>
      <c r="U1288">
        <f>IF($E1288=0,0,SUMPRODUCT($AI$15:$DF$15,'Staff Daily sales'!$G1273:$CD1273))</f>
        <v>0</v>
      </c>
      <c r="V1288">
        <f>IF($E1288=0,0,SUMPRODUCT($AI$16:$DF$16,'Staff Daily sales'!$G1273:$CD1273))</f>
        <v>0</v>
      </c>
      <c r="W1288">
        <f t="shared" si="335"/>
        <v>0</v>
      </c>
      <c r="X1288">
        <f t="shared" si="336"/>
        <v>0</v>
      </c>
      <c r="Y1288">
        <f t="shared" si="337"/>
        <v>0</v>
      </c>
      <c r="Z1288">
        <f t="shared" si="338"/>
        <v>0</v>
      </c>
      <c r="AA1288">
        <f t="shared" si="339"/>
        <v>0</v>
      </c>
      <c r="AB1288">
        <f>--AND($E1288=1,OR('Staff Weekly Trend'!$B$3="All",$DH1288='Staff Weekly Trend'!$B$3),OR('Staff Weekly Trend'!$B$4="All",$D1288='Staff Weekly Trend'!$B$4),OR('Staff Weekly Trend'!$B$5="All",$A1288='Staff Weekly Trend'!$B$5))</f>
        <v>0</v>
      </c>
      <c r="AC1288" t="str">
        <f t="shared" si="340"/>
        <v/>
      </c>
      <c r="AI1288">
        <f t="shared" si="341"/>
        <v>0</v>
      </c>
      <c r="AJ1288">
        <f t="shared" si="342"/>
        <v>0</v>
      </c>
      <c r="AK1288">
        <f t="shared" si="343"/>
        <v>0</v>
      </c>
      <c r="AL1288">
        <f t="shared" si="344"/>
        <v>0</v>
      </c>
      <c r="AM1288">
        <f t="shared" si="345"/>
        <v>0</v>
      </c>
      <c r="DH1288" t="str" cm="1">
        <f t="array" ref="DH1288">IF($A1288="","",_xlfn.LET(_xlpm.c,IFERROR(_xlfn.XLOOKUP($A1288,TRIM('Sales and count'!$A$4:$A$300&amp;""),TRIM('Sales and count'!$B$4:$B$300&amp;"")),""),IF(OR(_xlpm.c="",_xlpm.c="0",LEFT(_xlpm.c,1)="#"),"Not set",_xlpm.c)))</f>
        <v/>
      </c>
    </row>
    <row r="1289" spans="1:112" x14ac:dyDescent="0.25">
      <c r="A1289" t="str">
        <f>IF('Staff Daily sales'!$B1274="","",TRIM('Staff Daily sales'!$B1274&amp;""))</f>
        <v/>
      </c>
      <c r="B1289" t="str">
        <f>IF('Staff Daily sales'!$D1274="","",TRIM('Staff Daily sales'!$D1274&amp;""))</f>
        <v/>
      </c>
      <c r="C1289" t="str">
        <f>IFERROR(TRIM('Staff Daily sales'!$E1274&amp;""),"")</f>
        <v/>
      </c>
      <c r="D1289" t="str">
        <f>IFERROR(IF(TRIM('Staff Daily sales'!$F1274&amp;"")="","Unassigned",TRIM('Staff Daily sales'!$F1274&amp;"")),"Unassigned")</f>
        <v>Unassigned</v>
      </c>
      <c r="E1289">
        <f t="shared" si="330"/>
        <v>0</v>
      </c>
      <c r="F1289">
        <f>IF($E1289=0,0,SUMPRODUCT($AI$5:$DF$5,'Staff Daily sales'!$G1274:$CD1274))</f>
        <v>0</v>
      </c>
      <c r="G1289">
        <f>IF($E1289=0,0,SUMPRODUCT($AI$6:$DF$6,'Staff Daily sales'!$G1274:$CD1274))</f>
        <v>0</v>
      </c>
      <c r="H1289">
        <f t="shared" si="331"/>
        <v>0</v>
      </c>
      <c r="I1289">
        <f t="shared" si="332"/>
        <v>0</v>
      </c>
      <c r="J1289">
        <f t="shared" si="333"/>
        <v>0</v>
      </c>
      <c r="K1289">
        <f t="shared" si="334"/>
        <v>0</v>
      </c>
      <c r="L1289">
        <f>--AND($E1289=1,OR('Staff Dashboard'!$B$6="All",$DH1289='Staff Dashboard'!$B$6),OR('Staff Dashboard'!$B$7="All",$D1289='Staff Dashboard'!$B$7),OR('Staff Dashboard'!$B$8="All",$A1289='Staff Dashboard'!$B$8))</f>
        <v>0</v>
      </c>
      <c r="M1289">
        <f>IF($E1289=0,0,SUMPRODUCT($AI$7:$DF$7,'Staff Daily sales'!$G1274:$CD1274))</f>
        <v>0</v>
      </c>
      <c r="N1289">
        <f>IF($E1289=0,0,SUMPRODUCT($AI$8:$DF$8,'Staff Daily sales'!$G1274:$CD1274))</f>
        <v>0</v>
      </c>
      <c r="O1289">
        <f>IF($E1289=0,0,SUMPRODUCT($AI$9:$DF$9,'Staff Daily sales'!$G1274:$CD1274))</f>
        <v>0</v>
      </c>
      <c r="P1289">
        <f>IF($E1289=0,0,SUMPRODUCT($AI$10:$DF$10,'Staff Daily sales'!$G1274:$CD1274))</f>
        <v>0</v>
      </c>
      <c r="Q1289">
        <f>IF($E1289=0,0,SUMPRODUCT($AI$11:$DF$11,'Staff Daily sales'!$G1274:$CD1274))</f>
        <v>0</v>
      </c>
      <c r="R1289">
        <f>IF($E1289=0,0,SUMPRODUCT($AI$12:$DF$12,'Staff Daily sales'!$G1274:$CD1274))</f>
        <v>0</v>
      </c>
      <c r="S1289">
        <f>IF($E1289=0,0,SUMPRODUCT($AI$13:$DF$13,'Staff Daily sales'!$G1274:$CD1274))</f>
        <v>0</v>
      </c>
      <c r="T1289">
        <f>IF($E1289=0,0,SUMPRODUCT($AI$14:$DF$14,'Staff Daily sales'!$G1274:$CD1274))</f>
        <v>0</v>
      </c>
      <c r="U1289">
        <f>IF($E1289=0,0,SUMPRODUCT($AI$15:$DF$15,'Staff Daily sales'!$G1274:$CD1274))</f>
        <v>0</v>
      </c>
      <c r="V1289">
        <f>IF($E1289=0,0,SUMPRODUCT($AI$16:$DF$16,'Staff Daily sales'!$G1274:$CD1274))</f>
        <v>0</v>
      </c>
      <c r="W1289">
        <f t="shared" si="335"/>
        <v>0</v>
      </c>
      <c r="X1289">
        <f t="shared" si="336"/>
        <v>0</v>
      </c>
      <c r="Y1289">
        <f t="shared" si="337"/>
        <v>0</v>
      </c>
      <c r="Z1289">
        <f t="shared" si="338"/>
        <v>0</v>
      </c>
      <c r="AA1289">
        <f t="shared" si="339"/>
        <v>0</v>
      </c>
      <c r="AB1289">
        <f>--AND($E1289=1,OR('Staff Weekly Trend'!$B$3="All",$DH1289='Staff Weekly Trend'!$B$3),OR('Staff Weekly Trend'!$B$4="All",$D1289='Staff Weekly Trend'!$B$4),OR('Staff Weekly Trend'!$B$5="All",$A1289='Staff Weekly Trend'!$B$5))</f>
        <v>0</v>
      </c>
      <c r="AC1289" t="str">
        <f t="shared" si="340"/>
        <v/>
      </c>
      <c r="AI1289">
        <f t="shared" si="341"/>
        <v>0</v>
      </c>
      <c r="AJ1289">
        <f t="shared" si="342"/>
        <v>0</v>
      </c>
      <c r="AK1289">
        <f t="shared" si="343"/>
        <v>0</v>
      </c>
      <c r="AL1289">
        <f t="shared" si="344"/>
        <v>0</v>
      </c>
      <c r="AM1289">
        <f t="shared" si="345"/>
        <v>0</v>
      </c>
      <c r="DH1289" t="str" cm="1">
        <f t="array" ref="DH1289">IF($A1289="","",_xlfn.LET(_xlpm.c,IFERROR(_xlfn.XLOOKUP($A1289,TRIM('Sales and count'!$A$4:$A$300&amp;""),TRIM('Sales and count'!$B$4:$B$300&amp;"")),""),IF(OR(_xlpm.c="",_xlpm.c="0",LEFT(_xlpm.c,1)="#"),"Not set",_xlpm.c)))</f>
        <v/>
      </c>
    </row>
    <row r="1290" spans="1:112" x14ac:dyDescent="0.25">
      <c r="A1290" t="str">
        <f>IF('Staff Daily sales'!$B1275="","",TRIM('Staff Daily sales'!$B1275&amp;""))</f>
        <v/>
      </c>
      <c r="B1290" t="str">
        <f>IF('Staff Daily sales'!$D1275="","",TRIM('Staff Daily sales'!$D1275&amp;""))</f>
        <v/>
      </c>
      <c r="C1290" t="str">
        <f>IFERROR(TRIM('Staff Daily sales'!$E1275&amp;""),"")</f>
        <v/>
      </c>
      <c r="D1290" t="str">
        <f>IFERROR(IF(TRIM('Staff Daily sales'!$F1275&amp;"")="","Unassigned",TRIM('Staff Daily sales'!$F1275&amp;"")),"Unassigned")</f>
        <v>Unassigned</v>
      </c>
      <c r="E1290">
        <f t="shared" si="330"/>
        <v>0</v>
      </c>
      <c r="F1290">
        <f>IF($E1290=0,0,SUMPRODUCT($AI$5:$DF$5,'Staff Daily sales'!$G1275:$CD1275))</f>
        <v>0</v>
      </c>
      <c r="G1290">
        <f>IF($E1290=0,0,SUMPRODUCT($AI$6:$DF$6,'Staff Daily sales'!$G1275:$CD1275))</f>
        <v>0</v>
      </c>
      <c r="H1290">
        <f t="shared" si="331"/>
        <v>0</v>
      </c>
      <c r="I1290">
        <f t="shared" si="332"/>
        <v>0</v>
      </c>
      <c r="J1290">
        <f t="shared" si="333"/>
        <v>0</v>
      </c>
      <c r="K1290">
        <f t="shared" si="334"/>
        <v>0</v>
      </c>
      <c r="L1290">
        <f>--AND($E1290=1,OR('Staff Dashboard'!$B$6="All",$DH1290='Staff Dashboard'!$B$6),OR('Staff Dashboard'!$B$7="All",$D1290='Staff Dashboard'!$B$7),OR('Staff Dashboard'!$B$8="All",$A1290='Staff Dashboard'!$B$8))</f>
        <v>0</v>
      </c>
      <c r="M1290">
        <f>IF($E1290=0,0,SUMPRODUCT($AI$7:$DF$7,'Staff Daily sales'!$G1275:$CD1275))</f>
        <v>0</v>
      </c>
      <c r="N1290">
        <f>IF($E1290=0,0,SUMPRODUCT($AI$8:$DF$8,'Staff Daily sales'!$G1275:$CD1275))</f>
        <v>0</v>
      </c>
      <c r="O1290">
        <f>IF($E1290=0,0,SUMPRODUCT($AI$9:$DF$9,'Staff Daily sales'!$G1275:$CD1275))</f>
        <v>0</v>
      </c>
      <c r="P1290">
        <f>IF($E1290=0,0,SUMPRODUCT($AI$10:$DF$10,'Staff Daily sales'!$G1275:$CD1275))</f>
        <v>0</v>
      </c>
      <c r="Q1290">
        <f>IF($E1290=0,0,SUMPRODUCT($AI$11:$DF$11,'Staff Daily sales'!$G1275:$CD1275))</f>
        <v>0</v>
      </c>
      <c r="R1290">
        <f>IF($E1290=0,0,SUMPRODUCT($AI$12:$DF$12,'Staff Daily sales'!$G1275:$CD1275))</f>
        <v>0</v>
      </c>
      <c r="S1290">
        <f>IF($E1290=0,0,SUMPRODUCT($AI$13:$DF$13,'Staff Daily sales'!$G1275:$CD1275))</f>
        <v>0</v>
      </c>
      <c r="T1290">
        <f>IF($E1290=0,0,SUMPRODUCT($AI$14:$DF$14,'Staff Daily sales'!$G1275:$CD1275))</f>
        <v>0</v>
      </c>
      <c r="U1290">
        <f>IF($E1290=0,0,SUMPRODUCT($AI$15:$DF$15,'Staff Daily sales'!$G1275:$CD1275))</f>
        <v>0</v>
      </c>
      <c r="V1290">
        <f>IF($E1290=0,0,SUMPRODUCT($AI$16:$DF$16,'Staff Daily sales'!$G1275:$CD1275))</f>
        <v>0</v>
      </c>
      <c r="W1290">
        <f t="shared" si="335"/>
        <v>0</v>
      </c>
      <c r="X1290">
        <f t="shared" si="336"/>
        <v>0</v>
      </c>
      <c r="Y1290">
        <f t="shared" si="337"/>
        <v>0</v>
      </c>
      <c r="Z1290">
        <f t="shared" si="338"/>
        <v>0</v>
      </c>
      <c r="AA1290">
        <f t="shared" si="339"/>
        <v>0</v>
      </c>
      <c r="AB1290">
        <f>--AND($E1290=1,OR('Staff Weekly Trend'!$B$3="All",$DH1290='Staff Weekly Trend'!$B$3),OR('Staff Weekly Trend'!$B$4="All",$D1290='Staff Weekly Trend'!$B$4),OR('Staff Weekly Trend'!$B$5="All",$A1290='Staff Weekly Trend'!$B$5))</f>
        <v>0</v>
      </c>
      <c r="AC1290" t="str">
        <f t="shared" si="340"/>
        <v/>
      </c>
      <c r="AI1290">
        <f t="shared" si="341"/>
        <v>0</v>
      </c>
      <c r="AJ1290">
        <f t="shared" si="342"/>
        <v>0</v>
      </c>
      <c r="AK1290">
        <f t="shared" si="343"/>
        <v>0</v>
      </c>
      <c r="AL1290">
        <f t="shared" si="344"/>
        <v>0</v>
      </c>
      <c r="AM1290">
        <f t="shared" si="345"/>
        <v>0</v>
      </c>
      <c r="DH1290" t="str" cm="1">
        <f t="array" ref="DH1290">IF($A1290="","",_xlfn.LET(_xlpm.c,IFERROR(_xlfn.XLOOKUP($A1290,TRIM('Sales and count'!$A$4:$A$300&amp;""),TRIM('Sales and count'!$B$4:$B$300&amp;"")),""),IF(OR(_xlpm.c="",_xlpm.c="0",LEFT(_xlpm.c,1)="#"),"Not set",_xlpm.c)))</f>
        <v/>
      </c>
    </row>
    <row r="1291" spans="1:112" x14ac:dyDescent="0.25">
      <c r="A1291" t="str">
        <f>IF('Staff Daily sales'!$B1276="","",TRIM('Staff Daily sales'!$B1276&amp;""))</f>
        <v/>
      </c>
      <c r="B1291" t="str">
        <f>IF('Staff Daily sales'!$D1276="","",TRIM('Staff Daily sales'!$D1276&amp;""))</f>
        <v/>
      </c>
      <c r="C1291" t="str">
        <f>IFERROR(TRIM('Staff Daily sales'!$E1276&amp;""),"")</f>
        <v/>
      </c>
      <c r="D1291" t="str">
        <f>IFERROR(IF(TRIM('Staff Daily sales'!$F1276&amp;"")="","Unassigned",TRIM('Staff Daily sales'!$F1276&amp;"")),"Unassigned")</f>
        <v>Unassigned</v>
      </c>
      <c r="E1291">
        <f t="shared" si="330"/>
        <v>0</v>
      </c>
      <c r="F1291">
        <f>IF($E1291=0,0,SUMPRODUCT($AI$5:$DF$5,'Staff Daily sales'!$G1276:$CD1276))</f>
        <v>0</v>
      </c>
      <c r="G1291">
        <f>IF($E1291=0,0,SUMPRODUCT($AI$6:$DF$6,'Staff Daily sales'!$G1276:$CD1276))</f>
        <v>0</v>
      </c>
      <c r="H1291">
        <f t="shared" si="331"/>
        <v>0</v>
      </c>
      <c r="I1291">
        <f t="shared" si="332"/>
        <v>0</v>
      </c>
      <c r="J1291">
        <f t="shared" si="333"/>
        <v>0</v>
      </c>
      <c r="K1291">
        <f t="shared" si="334"/>
        <v>0</v>
      </c>
      <c r="L1291">
        <f>--AND($E1291=1,OR('Staff Dashboard'!$B$6="All",$DH1291='Staff Dashboard'!$B$6),OR('Staff Dashboard'!$B$7="All",$D1291='Staff Dashboard'!$B$7),OR('Staff Dashboard'!$B$8="All",$A1291='Staff Dashboard'!$B$8))</f>
        <v>0</v>
      </c>
      <c r="M1291">
        <f>IF($E1291=0,0,SUMPRODUCT($AI$7:$DF$7,'Staff Daily sales'!$G1276:$CD1276))</f>
        <v>0</v>
      </c>
      <c r="N1291">
        <f>IF($E1291=0,0,SUMPRODUCT($AI$8:$DF$8,'Staff Daily sales'!$G1276:$CD1276))</f>
        <v>0</v>
      </c>
      <c r="O1291">
        <f>IF($E1291=0,0,SUMPRODUCT($AI$9:$DF$9,'Staff Daily sales'!$G1276:$CD1276))</f>
        <v>0</v>
      </c>
      <c r="P1291">
        <f>IF($E1291=0,0,SUMPRODUCT($AI$10:$DF$10,'Staff Daily sales'!$G1276:$CD1276))</f>
        <v>0</v>
      </c>
      <c r="Q1291">
        <f>IF($E1291=0,0,SUMPRODUCT($AI$11:$DF$11,'Staff Daily sales'!$G1276:$CD1276))</f>
        <v>0</v>
      </c>
      <c r="R1291">
        <f>IF($E1291=0,0,SUMPRODUCT($AI$12:$DF$12,'Staff Daily sales'!$G1276:$CD1276))</f>
        <v>0</v>
      </c>
      <c r="S1291">
        <f>IF($E1291=0,0,SUMPRODUCT($AI$13:$DF$13,'Staff Daily sales'!$G1276:$CD1276))</f>
        <v>0</v>
      </c>
      <c r="T1291">
        <f>IF($E1291=0,0,SUMPRODUCT($AI$14:$DF$14,'Staff Daily sales'!$G1276:$CD1276))</f>
        <v>0</v>
      </c>
      <c r="U1291">
        <f>IF($E1291=0,0,SUMPRODUCT($AI$15:$DF$15,'Staff Daily sales'!$G1276:$CD1276))</f>
        <v>0</v>
      </c>
      <c r="V1291">
        <f>IF($E1291=0,0,SUMPRODUCT($AI$16:$DF$16,'Staff Daily sales'!$G1276:$CD1276))</f>
        <v>0</v>
      </c>
      <c r="W1291">
        <f t="shared" si="335"/>
        <v>0</v>
      </c>
      <c r="X1291">
        <f t="shared" si="336"/>
        <v>0</v>
      </c>
      <c r="Y1291">
        <f t="shared" si="337"/>
        <v>0</v>
      </c>
      <c r="Z1291">
        <f t="shared" si="338"/>
        <v>0</v>
      </c>
      <c r="AA1291">
        <f t="shared" si="339"/>
        <v>0</v>
      </c>
      <c r="AB1291">
        <f>--AND($E1291=1,OR('Staff Weekly Trend'!$B$3="All",$DH1291='Staff Weekly Trend'!$B$3),OR('Staff Weekly Trend'!$B$4="All",$D1291='Staff Weekly Trend'!$B$4),OR('Staff Weekly Trend'!$B$5="All",$A1291='Staff Weekly Trend'!$B$5))</f>
        <v>0</v>
      </c>
      <c r="AC1291" t="str">
        <f t="shared" si="340"/>
        <v/>
      </c>
      <c r="AI1291">
        <f t="shared" si="341"/>
        <v>0</v>
      </c>
      <c r="AJ1291">
        <f t="shared" si="342"/>
        <v>0</v>
      </c>
      <c r="AK1291">
        <f t="shared" si="343"/>
        <v>0</v>
      </c>
      <c r="AL1291">
        <f t="shared" si="344"/>
        <v>0</v>
      </c>
      <c r="AM1291">
        <f t="shared" si="345"/>
        <v>0</v>
      </c>
      <c r="DH1291" t="str" cm="1">
        <f t="array" ref="DH1291">IF($A1291="","",_xlfn.LET(_xlpm.c,IFERROR(_xlfn.XLOOKUP($A1291,TRIM('Sales and count'!$A$4:$A$300&amp;""),TRIM('Sales and count'!$B$4:$B$300&amp;"")),""),IF(OR(_xlpm.c="",_xlpm.c="0",LEFT(_xlpm.c,1)="#"),"Not set",_xlpm.c)))</f>
        <v/>
      </c>
    </row>
    <row r="1292" spans="1:112" x14ac:dyDescent="0.25">
      <c r="A1292" t="str">
        <f>IF('Staff Daily sales'!$B1277="","",TRIM('Staff Daily sales'!$B1277&amp;""))</f>
        <v/>
      </c>
      <c r="B1292" t="str">
        <f>IF('Staff Daily sales'!$D1277="","",TRIM('Staff Daily sales'!$D1277&amp;""))</f>
        <v/>
      </c>
      <c r="C1292" t="str">
        <f>IFERROR(TRIM('Staff Daily sales'!$E1277&amp;""),"")</f>
        <v/>
      </c>
      <c r="D1292" t="str">
        <f>IFERROR(IF(TRIM('Staff Daily sales'!$F1277&amp;"")="","Unassigned",TRIM('Staff Daily sales'!$F1277&amp;"")),"Unassigned")</f>
        <v>Unassigned</v>
      </c>
      <c r="E1292">
        <f t="shared" si="330"/>
        <v>0</v>
      </c>
      <c r="F1292">
        <f>IF($E1292=0,0,SUMPRODUCT($AI$5:$DF$5,'Staff Daily sales'!$G1277:$CD1277))</f>
        <v>0</v>
      </c>
      <c r="G1292">
        <f>IF($E1292=0,0,SUMPRODUCT($AI$6:$DF$6,'Staff Daily sales'!$G1277:$CD1277))</f>
        <v>0</v>
      </c>
      <c r="H1292">
        <f t="shared" si="331"/>
        <v>0</v>
      </c>
      <c r="I1292">
        <f t="shared" si="332"/>
        <v>0</v>
      </c>
      <c r="J1292">
        <f t="shared" si="333"/>
        <v>0</v>
      </c>
      <c r="K1292">
        <f t="shared" si="334"/>
        <v>0</v>
      </c>
      <c r="L1292">
        <f>--AND($E1292=1,OR('Staff Dashboard'!$B$6="All",$DH1292='Staff Dashboard'!$B$6),OR('Staff Dashboard'!$B$7="All",$D1292='Staff Dashboard'!$B$7),OR('Staff Dashboard'!$B$8="All",$A1292='Staff Dashboard'!$B$8))</f>
        <v>0</v>
      </c>
      <c r="M1292">
        <f>IF($E1292=0,0,SUMPRODUCT($AI$7:$DF$7,'Staff Daily sales'!$G1277:$CD1277))</f>
        <v>0</v>
      </c>
      <c r="N1292">
        <f>IF($E1292=0,0,SUMPRODUCT($AI$8:$DF$8,'Staff Daily sales'!$G1277:$CD1277))</f>
        <v>0</v>
      </c>
      <c r="O1292">
        <f>IF($E1292=0,0,SUMPRODUCT($AI$9:$DF$9,'Staff Daily sales'!$G1277:$CD1277))</f>
        <v>0</v>
      </c>
      <c r="P1292">
        <f>IF($E1292=0,0,SUMPRODUCT($AI$10:$DF$10,'Staff Daily sales'!$G1277:$CD1277))</f>
        <v>0</v>
      </c>
      <c r="Q1292">
        <f>IF($E1292=0,0,SUMPRODUCT($AI$11:$DF$11,'Staff Daily sales'!$G1277:$CD1277))</f>
        <v>0</v>
      </c>
      <c r="R1292">
        <f>IF($E1292=0,0,SUMPRODUCT($AI$12:$DF$12,'Staff Daily sales'!$G1277:$CD1277))</f>
        <v>0</v>
      </c>
      <c r="S1292">
        <f>IF($E1292=0,0,SUMPRODUCT($AI$13:$DF$13,'Staff Daily sales'!$G1277:$CD1277))</f>
        <v>0</v>
      </c>
      <c r="T1292">
        <f>IF($E1292=0,0,SUMPRODUCT($AI$14:$DF$14,'Staff Daily sales'!$G1277:$CD1277))</f>
        <v>0</v>
      </c>
      <c r="U1292">
        <f>IF($E1292=0,0,SUMPRODUCT($AI$15:$DF$15,'Staff Daily sales'!$G1277:$CD1277))</f>
        <v>0</v>
      </c>
      <c r="V1292">
        <f>IF($E1292=0,0,SUMPRODUCT($AI$16:$DF$16,'Staff Daily sales'!$G1277:$CD1277))</f>
        <v>0</v>
      </c>
      <c r="W1292">
        <f t="shared" si="335"/>
        <v>0</v>
      </c>
      <c r="X1292">
        <f t="shared" si="336"/>
        <v>0</v>
      </c>
      <c r="Y1292">
        <f t="shared" si="337"/>
        <v>0</v>
      </c>
      <c r="Z1292">
        <f t="shared" si="338"/>
        <v>0</v>
      </c>
      <c r="AA1292">
        <f t="shared" si="339"/>
        <v>0</v>
      </c>
      <c r="AB1292">
        <f>--AND($E1292=1,OR('Staff Weekly Trend'!$B$3="All",$DH1292='Staff Weekly Trend'!$B$3),OR('Staff Weekly Trend'!$B$4="All",$D1292='Staff Weekly Trend'!$B$4),OR('Staff Weekly Trend'!$B$5="All",$A1292='Staff Weekly Trend'!$B$5))</f>
        <v>0</v>
      </c>
      <c r="AC1292" t="str">
        <f t="shared" si="340"/>
        <v/>
      </c>
      <c r="AI1292">
        <f t="shared" si="341"/>
        <v>0</v>
      </c>
      <c r="AJ1292">
        <f t="shared" si="342"/>
        <v>0</v>
      </c>
      <c r="AK1292">
        <f t="shared" si="343"/>
        <v>0</v>
      </c>
      <c r="AL1292">
        <f t="shared" si="344"/>
        <v>0</v>
      </c>
      <c r="AM1292">
        <f t="shared" si="345"/>
        <v>0</v>
      </c>
      <c r="DH1292" t="str" cm="1">
        <f t="array" ref="DH1292">IF($A1292="","",_xlfn.LET(_xlpm.c,IFERROR(_xlfn.XLOOKUP($A1292,TRIM('Sales and count'!$A$4:$A$300&amp;""),TRIM('Sales and count'!$B$4:$B$300&amp;"")),""),IF(OR(_xlpm.c="",_xlpm.c="0",LEFT(_xlpm.c,1)="#"),"Not set",_xlpm.c)))</f>
        <v/>
      </c>
    </row>
    <row r="1293" spans="1:112" x14ac:dyDescent="0.25">
      <c r="A1293" t="str">
        <f>IF('Staff Daily sales'!$B1278="","",TRIM('Staff Daily sales'!$B1278&amp;""))</f>
        <v/>
      </c>
      <c r="B1293" t="str">
        <f>IF('Staff Daily sales'!$D1278="","",TRIM('Staff Daily sales'!$D1278&amp;""))</f>
        <v/>
      </c>
      <c r="C1293" t="str">
        <f>IFERROR(TRIM('Staff Daily sales'!$E1278&amp;""),"")</f>
        <v/>
      </c>
      <c r="D1293" t="str">
        <f>IFERROR(IF(TRIM('Staff Daily sales'!$F1278&amp;"")="","Unassigned",TRIM('Staff Daily sales'!$F1278&amp;"")),"Unassigned")</f>
        <v>Unassigned</v>
      </c>
      <c r="E1293">
        <f t="shared" si="330"/>
        <v>0</v>
      </c>
      <c r="F1293">
        <f>IF($E1293=0,0,SUMPRODUCT($AI$5:$DF$5,'Staff Daily sales'!$G1278:$CD1278))</f>
        <v>0</v>
      </c>
      <c r="G1293">
        <f>IF($E1293=0,0,SUMPRODUCT($AI$6:$DF$6,'Staff Daily sales'!$G1278:$CD1278))</f>
        <v>0</v>
      </c>
      <c r="H1293">
        <f t="shared" si="331"/>
        <v>0</v>
      </c>
      <c r="I1293">
        <f t="shared" si="332"/>
        <v>0</v>
      </c>
      <c r="J1293">
        <f t="shared" si="333"/>
        <v>0</v>
      </c>
      <c r="K1293">
        <f t="shared" si="334"/>
        <v>0</v>
      </c>
      <c r="L1293">
        <f>--AND($E1293=1,OR('Staff Dashboard'!$B$6="All",$DH1293='Staff Dashboard'!$B$6),OR('Staff Dashboard'!$B$7="All",$D1293='Staff Dashboard'!$B$7),OR('Staff Dashboard'!$B$8="All",$A1293='Staff Dashboard'!$B$8))</f>
        <v>0</v>
      </c>
      <c r="M1293">
        <f>IF($E1293=0,0,SUMPRODUCT($AI$7:$DF$7,'Staff Daily sales'!$G1278:$CD1278))</f>
        <v>0</v>
      </c>
      <c r="N1293">
        <f>IF($E1293=0,0,SUMPRODUCT($AI$8:$DF$8,'Staff Daily sales'!$G1278:$CD1278))</f>
        <v>0</v>
      </c>
      <c r="O1293">
        <f>IF($E1293=0,0,SUMPRODUCT($AI$9:$DF$9,'Staff Daily sales'!$G1278:$CD1278))</f>
        <v>0</v>
      </c>
      <c r="P1293">
        <f>IF($E1293=0,0,SUMPRODUCT($AI$10:$DF$10,'Staff Daily sales'!$G1278:$CD1278))</f>
        <v>0</v>
      </c>
      <c r="Q1293">
        <f>IF($E1293=0,0,SUMPRODUCT($AI$11:$DF$11,'Staff Daily sales'!$G1278:$CD1278))</f>
        <v>0</v>
      </c>
      <c r="R1293">
        <f>IF($E1293=0,0,SUMPRODUCT($AI$12:$DF$12,'Staff Daily sales'!$G1278:$CD1278))</f>
        <v>0</v>
      </c>
      <c r="S1293">
        <f>IF($E1293=0,0,SUMPRODUCT($AI$13:$DF$13,'Staff Daily sales'!$G1278:$CD1278))</f>
        <v>0</v>
      </c>
      <c r="T1293">
        <f>IF($E1293=0,0,SUMPRODUCT($AI$14:$DF$14,'Staff Daily sales'!$G1278:$CD1278))</f>
        <v>0</v>
      </c>
      <c r="U1293">
        <f>IF($E1293=0,0,SUMPRODUCT($AI$15:$DF$15,'Staff Daily sales'!$G1278:$CD1278))</f>
        <v>0</v>
      </c>
      <c r="V1293">
        <f>IF($E1293=0,0,SUMPRODUCT($AI$16:$DF$16,'Staff Daily sales'!$G1278:$CD1278))</f>
        <v>0</v>
      </c>
      <c r="W1293">
        <f t="shared" si="335"/>
        <v>0</v>
      </c>
      <c r="X1293">
        <f t="shared" si="336"/>
        <v>0</v>
      </c>
      <c r="Y1293">
        <f t="shared" si="337"/>
        <v>0</v>
      </c>
      <c r="Z1293">
        <f t="shared" si="338"/>
        <v>0</v>
      </c>
      <c r="AA1293">
        <f t="shared" si="339"/>
        <v>0</v>
      </c>
      <c r="AB1293">
        <f>--AND($E1293=1,OR('Staff Weekly Trend'!$B$3="All",$DH1293='Staff Weekly Trend'!$B$3),OR('Staff Weekly Trend'!$B$4="All",$D1293='Staff Weekly Trend'!$B$4),OR('Staff Weekly Trend'!$B$5="All",$A1293='Staff Weekly Trend'!$B$5))</f>
        <v>0</v>
      </c>
      <c r="AC1293" t="str">
        <f t="shared" si="340"/>
        <v/>
      </c>
      <c r="AI1293">
        <f t="shared" si="341"/>
        <v>0</v>
      </c>
      <c r="AJ1293">
        <f t="shared" si="342"/>
        <v>0</v>
      </c>
      <c r="AK1293">
        <f t="shared" si="343"/>
        <v>0</v>
      </c>
      <c r="AL1293">
        <f t="shared" si="344"/>
        <v>0</v>
      </c>
      <c r="AM1293">
        <f t="shared" si="345"/>
        <v>0</v>
      </c>
      <c r="DH1293" t="str" cm="1">
        <f t="array" ref="DH1293">IF($A1293="","",_xlfn.LET(_xlpm.c,IFERROR(_xlfn.XLOOKUP($A1293,TRIM('Sales and count'!$A$4:$A$300&amp;""),TRIM('Sales and count'!$B$4:$B$300&amp;"")),""),IF(OR(_xlpm.c="",_xlpm.c="0",LEFT(_xlpm.c,1)="#"),"Not set",_xlpm.c)))</f>
        <v/>
      </c>
    </row>
    <row r="1294" spans="1:112" x14ac:dyDescent="0.25">
      <c r="A1294" t="str">
        <f>IF('Staff Daily sales'!$B1279="","",TRIM('Staff Daily sales'!$B1279&amp;""))</f>
        <v/>
      </c>
      <c r="B1294" t="str">
        <f>IF('Staff Daily sales'!$D1279="","",TRIM('Staff Daily sales'!$D1279&amp;""))</f>
        <v/>
      </c>
      <c r="C1294" t="str">
        <f>IFERROR(TRIM('Staff Daily sales'!$E1279&amp;""),"")</f>
        <v/>
      </c>
      <c r="D1294" t="str">
        <f>IFERROR(IF(TRIM('Staff Daily sales'!$F1279&amp;"")="","Unassigned",TRIM('Staff Daily sales'!$F1279&amp;"")),"Unassigned")</f>
        <v>Unassigned</v>
      </c>
      <c r="E1294">
        <f t="shared" si="330"/>
        <v>0</v>
      </c>
      <c r="F1294">
        <f>IF($E1294=0,0,SUMPRODUCT($AI$5:$DF$5,'Staff Daily sales'!$G1279:$CD1279))</f>
        <v>0</v>
      </c>
      <c r="G1294">
        <f>IF($E1294=0,0,SUMPRODUCT($AI$6:$DF$6,'Staff Daily sales'!$G1279:$CD1279))</f>
        <v>0</v>
      </c>
      <c r="H1294">
        <f t="shared" si="331"/>
        <v>0</v>
      </c>
      <c r="I1294">
        <f t="shared" si="332"/>
        <v>0</v>
      </c>
      <c r="J1294">
        <f t="shared" si="333"/>
        <v>0</v>
      </c>
      <c r="K1294">
        <f t="shared" si="334"/>
        <v>0</v>
      </c>
      <c r="L1294">
        <f>--AND($E1294=1,OR('Staff Dashboard'!$B$6="All",$DH1294='Staff Dashboard'!$B$6),OR('Staff Dashboard'!$B$7="All",$D1294='Staff Dashboard'!$B$7),OR('Staff Dashboard'!$B$8="All",$A1294='Staff Dashboard'!$B$8))</f>
        <v>0</v>
      </c>
      <c r="M1294">
        <f>IF($E1294=0,0,SUMPRODUCT($AI$7:$DF$7,'Staff Daily sales'!$G1279:$CD1279))</f>
        <v>0</v>
      </c>
      <c r="N1294">
        <f>IF($E1294=0,0,SUMPRODUCT($AI$8:$DF$8,'Staff Daily sales'!$G1279:$CD1279))</f>
        <v>0</v>
      </c>
      <c r="O1294">
        <f>IF($E1294=0,0,SUMPRODUCT($AI$9:$DF$9,'Staff Daily sales'!$G1279:$CD1279))</f>
        <v>0</v>
      </c>
      <c r="P1294">
        <f>IF($E1294=0,0,SUMPRODUCT($AI$10:$DF$10,'Staff Daily sales'!$G1279:$CD1279))</f>
        <v>0</v>
      </c>
      <c r="Q1294">
        <f>IF($E1294=0,0,SUMPRODUCT($AI$11:$DF$11,'Staff Daily sales'!$G1279:$CD1279))</f>
        <v>0</v>
      </c>
      <c r="R1294">
        <f>IF($E1294=0,0,SUMPRODUCT($AI$12:$DF$12,'Staff Daily sales'!$G1279:$CD1279))</f>
        <v>0</v>
      </c>
      <c r="S1294">
        <f>IF($E1294=0,0,SUMPRODUCT($AI$13:$DF$13,'Staff Daily sales'!$G1279:$CD1279))</f>
        <v>0</v>
      </c>
      <c r="T1294">
        <f>IF($E1294=0,0,SUMPRODUCT($AI$14:$DF$14,'Staff Daily sales'!$G1279:$CD1279))</f>
        <v>0</v>
      </c>
      <c r="U1294">
        <f>IF($E1294=0,0,SUMPRODUCT($AI$15:$DF$15,'Staff Daily sales'!$G1279:$CD1279))</f>
        <v>0</v>
      </c>
      <c r="V1294">
        <f>IF($E1294=0,0,SUMPRODUCT($AI$16:$DF$16,'Staff Daily sales'!$G1279:$CD1279))</f>
        <v>0</v>
      </c>
      <c r="W1294">
        <f t="shared" si="335"/>
        <v>0</v>
      </c>
      <c r="X1294">
        <f t="shared" si="336"/>
        <v>0</v>
      </c>
      <c r="Y1294">
        <f t="shared" si="337"/>
        <v>0</v>
      </c>
      <c r="Z1294">
        <f t="shared" si="338"/>
        <v>0</v>
      </c>
      <c r="AA1294">
        <f t="shared" si="339"/>
        <v>0</v>
      </c>
      <c r="AB1294">
        <f>--AND($E1294=1,OR('Staff Weekly Trend'!$B$3="All",$DH1294='Staff Weekly Trend'!$B$3),OR('Staff Weekly Trend'!$B$4="All",$D1294='Staff Weekly Trend'!$B$4),OR('Staff Weekly Trend'!$B$5="All",$A1294='Staff Weekly Trend'!$B$5))</f>
        <v>0</v>
      </c>
      <c r="AC1294" t="str">
        <f t="shared" si="340"/>
        <v/>
      </c>
      <c r="AI1294">
        <f t="shared" si="341"/>
        <v>0</v>
      </c>
      <c r="AJ1294">
        <f t="shared" si="342"/>
        <v>0</v>
      </c>
      <c r="AK1294">
        <f t="shared" si="343"/>
        <v>0</v>
      </c>
      <c r="AL1294">
        <f t="shared" si="344"/>
        <v>0</v>
      </c>
      <c r="AM1294">
        <f t="shared" si="345"/>
        <v>0</v>
      </c>
      <c r="DH1294" t="str" cm="1">
        <f t="array" ref="DH1294">IF($A1294="","",_xlfn.LET(_xlpm.c,IFERROR(_xlfn.XLOOKUP($A1294,TRIM('Sales and count'!$A$4:$A$300&amp;""),TRIM('Sales and count'!$B$4:$B$300&amp;"")),""),IF(OR(_xlpm.c="",_xlpm.c="0",LEFT(_xlpm.c,1)="#"),"Not set",_xlpm.c)))</f>
        <v/>
      </c>
    </row>
    <row r="1295" spans="1:112" x14ac:dyDescent="0.25">
      <c r="A1295" t="str">
        <f>IF('Staff Daily sales'!$B1280="","",TRIM('Staff Daily sales'!$B1280&amp;""))</f>
        <v/>
      </c>
      <c r="B1295" t="str">
        <f>IF('Staff Daily sales'!$D1280="","",TRIM('Staff Daily sales'!$D1280&amp;""))</f>
        <v/>
      </c>
      <c r="C1295" t="str">
        <f>IFERROR(TRIM('Staff Daily sales'!$E1280&amp;""),"")</f>
        <v/>
      </c>
      <c r="D1295" t="str">
        <f>IFERROR(IF(TRIM('Staff Daily sales'!$F1280&amp;"")="","Unassigned",TRIM('Staff Daily sales'!$F1280&amp;"")),"Unassigned")</f>
        <v>Unassigned</v>
      </c>
      <c r="E1295">
        <f t="shared" si="330"/>
        <v>0</v>
      </c>
      <c r="F1295">
        <f>IF($E1295=0,0,SUMPRODUCT($AI$5:$DF$5,'Staff Daily sales'!$G1280:$CD1280))</f>
        <v>0</v>
      </c>
      <c r="G1295">
        <f>IF($E1295=0,0,SUMPRODUCT($AI$6:$DF$6,'Staff Daily sales'!$G1280:$CD1280))</f>
        <v>0</v>
      </c>
      <c r="H1295">
        <f t="shared" si="331"/>
        <v>0</v>
      </c>
      <c r="I1295">
        <f t="shared" si="332"/>
        <v>0</v>
      </c>
      <c r="J1295">
        <f t="shared" si="333"/>
        <v>0</v>
      </c>
      <c r="K1295">
        <f t="shared" si="334"/>
        <v>0</v>
      </c>
      <c r="L1295">
        <f>--AND($E1295=1,OR('Staff Dashboard'!$B$6="All",$DH1295='Staff Dashboard'!$B$6),OR('Staff Dashboard'!$B$7="All",$D1295='Staff Dashboard'!$B$7),OR('Staff Dashboard'!$B$8="All",$A1295='Staff Dashboard'!$B$8))</f>
        <v>0</v>
      </c>
      <c r="M1295">
        <f>IF($E1295=0,0,SUMPRODUCT($AI$7:$DF$7,'Staff Daily sales'!$G1280:$CD1280))</f>
        <v>0</v>
      </c>
      <c r="N1295">
        <f>IF($E1295=0,0,SUMPRODUCT($AI$8:$DF$8,'Staff Daily sales'!$G1280:$CD1280))</f>
        <v>0</v>
      </c>
      <c r="O1295">
        <f>IF($E1295=0,0,SUMPRODUCT($AI$9:$DF$9,'Staff Daily sales'!$G1280:$CD1280))</f>
        <v>0</v>
      </c>
      <c r="P1295">
        <f>IF($E1295=0,0,SUMPRODUCT($AI$10:$DF$10,'Staff Daily sales'!$G1280:$CD1280))</f>
        <v>0</v>
      </c>
      <c r="Q1295">
        <f>IF($E1295=0,0,SUMPRODUCT($AI$11:$DF$11,'Staff Daily sales'!$G1280:$CD1280))</f>
        <v>0</v>
      </c>
      <c r="R1295">
        <f>IF($E1295=0,0,SUMPRODUCT($AI$12:$DF$12,'Staff Daily sales'!$G1280:$CD1280))</f>
        <v>0</v>
      </c>
      <c r="S1295">
        <f>IF($E1295=0,0,SUMPRODUCT($AI$13:$DF$13,'Staff Daily sales'!$G1280:$CD1280))</f>
        <v>0</v>
      </c>
      <c r="T1295">
        <f>IF($E1295=0,0,SUMPRODUCT($AI$14:$DF$14,'Staff Daily sales'!$G1280:$CD1280))</f>
        <v>0</v>
      </c>
      <c r="U1295">
        <f>IF($E1295=0,0,SUMPRODUCT($AI$15:$DF$15,'Staff Daily sales'!$G1280:$CD1280))</f>
        <v>0</v>
      </c>
      <c r="V1295">
        <f>IF($E1295=0,0,SUMPRODUCT($AI$16:$DF$16,'Staff Daily sales'!$G1280:$CD1280))</f>
        <v>0</v>
      </c>
      <c r="W1295">
        <f t="shared" si="335"/>
        <v>0</v>
      </c>
      <c r="X1295">
        <f t="shared" si="336"/>
        <v>0</v>
      </c>
      <c r="Y1295">
        <f t="shared" si="337"/>
        <v>0</v>
      </c>
      <c r="Z1295">
        <f t="shared" si="338"/>
        <v>0</v>
      </c>
      <c r="AA1295">
        <f t="shared" si="339"/>
        <v>0</v>
      </c>
      <c r="AB1295">
        <f>--AND($E1295=1,OR('Staff Weekly Trend'!$B$3="All",$DH1295='Staff Weekly Trend'!$B$3),OR('Staff Weekly Trend'!$B$4="All",$D1295='Staff Weekly Trend'!$B$4),OR('Staff Weekly Trend'!$B$5="All",$A1295='Staff Weekly Trend'!$B$5))</f>
        <v>0</v>
      </c>
      <c r="AC1295" t="str">
        <f t="shared" si="340"/>
        <v/>
      </c>
      <c r="AI1295">
        <f t="shared" si="341"/>
        <v>0</v>
      </c>
      <c r="AJ1295">
        <f t="shared" si="342"/>
        <v>0</v>
      </c>
      <c r="AK1295">
        <f t="shared" si="343"/>
        <v>0</v>
      </c>
      <c r="AL1295">
        <f t="shared" si="344"/>
        <v>0</v>
      </c>
      <c r="AM1295">
        <f t="shared" si="345"/>
        <v>0</v>
      </c>
      <c r="DH1295" t="str" cm="1">
        <f t="array" ref="DH1295">IF($A1295="","",_xlfn.LET(_xlpm.c,IFERROR(_xlfn.XLOOKUP($A1295,TRIM('Sales and count'!$A$4:$A$300&amp;""),TRIM('Sales and count'!$B$4:$B$300&amp;"")),""),IF(OR(_xlpm.c="",_xlpm.c="0",LEFT(_xlpm.c,1)="#"),"Not set",_xlpm.c)))</f>
        <v/>
      </c>
    </row>
    <row r="1296" spans="1:112" x14ac:dyDescent="0.25">
      <c r="A1296" t="str">
        <f>IF('Staff Daily sales'!$B1281="","",TRIM('Staff Daily sales'!$B1281&amp;""))</f>
        <v/>
      </c>
      <c r="B1296" t="str">
        <f>IF('Staff Daily sales'!$D1281="","",TRIM('Staff Daily sales'!$D1281&amp;""))</f>
        <v/>
      </c>
      <c r="C1296" t="str">
        <f>IFERROR(TRIM('Staff Daily sales'!$E1281&amp;""),"")</f>
        <v/>
      </c>
      <c r="D1296" t="str">
        <f>IFERROR(IF(TRIM('Staff Daily sales'!$F1281&amp;"")="","Unassigned",TRIM('Staff Daily sales'!$F1281&amp;"")),"Unassigned")</f>
        <v>Unassigned</v>
      </c>
      <c r="E1296">
        <f t="shared" si="330"/>
        <v>0</v>
      </c>
      <c r="F1296">
        <f>IF($E1296=0,0,SUMPRODUCT($AI$5:$DF$5,'Staff Daily sales'!$G1281:$CD1281))</f>
        <v>0</v>
      </c>
      <c r="G1296">
        <f>IF($E1296=0,0,SUMPRODUCT($AI$6:$DF$6,'Staff Daily sales'!$G1281:$CD1281))</f>
        <v>0</v>
      </c>
      <c r="H1296">
        <f t="shared" si="331"/>
        <v>0</v>
      </c>
      <c r="I1296">
        <f t="shared" si="332"/>
        <v>0</v>
      </c>
      <c r="J1296">
        <f t="shared" si="333"/>
        <v>0</v>
      </c>
      <c r="K1296">
        <f t="shared" si="334"/>
        <v>0</v>
      </c>
      <c r="L1296">
        <f>--AND($E1296=1,OR('Staff Dashboard'!$B$6="All",$DH1296='Staff Dashboard'!$B$6),OR('Staff Dashboard'!$B$7="All",$D1296='Staff Dashboard'!$B$7),OR('Staff Dashboard'!$B$8="All",$A1296='Staff Dashboard'!$B$8))</f>
        <v>0</v>
      </c>
      <c r="M1296">
        <f>IF($E1296=0,0,SUMPRODUCT($AI$7:$DF$7,'Staff Daily sales'!$G1281:$CD1281))</f>
        <v>0</v>
      </c>
      <c r="N1296">
        <f>IF($E1296=0,0,SUMPRODUCT($AI$8:$DF$8,'Staff Daily sales'!$G1281:$CD1281))</f>
        <v>0</v>
      </c>
      <c r="O1296">
        <f>IF($E1296=0,0,SUMPRODUCT($AI$9:$DF$9,'Staff Daily sales'!$G1281:$CD1281))</f>
        <v>0</v>
      </c>
      <c r="P1296">
        <f>IF($E1296=0,0,SUMPRODUCT($AI$10:$DF$10,'Staff Daily sales'!$G1281:$CD1281))</f>
        <v>0</v>
      </c>
      <c r="Q1296">
        <f>IF($E1296=0,0,SUMPRODUCT($AI$11:$DF$11,'Staff Daily sales'!$G1281:$CD1281))</f>
        <v>0</v>
      </c>
      <c r="R1296">
        <f>IF($E1296=0,0,SUMPRODUCT($AI$12:$DF$12,'Staff Daily sales'!$G1281:$CD1281))</f>
        <v>0</v>
      </c>
      <c r="S1296">
        <f>IF($E1296=0,0,SUMPRODUCT($AI$13:$DF$13,'Staff Daily sales'!$G1281:$CD1281))</f>
        <v>0</v>
      </c>
      <c r="T1296">
        <f>IF($E1296=0,0,SUMPRODUCT($AI$14:$DF$14,'Staff Daily sales'!$G1281:$CD1281))</f>
        <v>0</v>
      </c>
      <c r="U1296">
        <f>IF($E1296=0,0,SUMPRODUCT($AI$15:$DF$15,'Staff Daily sales'!$G1281:$CD1281))</f>
        <v>0</v>
      </c>
      <c r="V1296">
        <f>IF($E1296=0,0,SUMPRODUCT($AI$16:$DF$16,'Staff Daily sales'!$G1281:$CD1281))</f>
        <v>0</v>
      </c>
      <c r="W1296">
        <f t="shared" si="335"/>
        <v>0</v>
      </c>
      <c r="X1296">
        <f t="shared" si="336"/>
        <v>0</v>
      </c>
      <c r="Y1296">
        <f t="shared" si="337"/>
        <v>0</v>
      </c>
      <c r="Z1296">
        <f t="shared" si="338"/>
        <v>0</v>
      </c>
      <c r="AA1296">
        <f t="shared" si="339"/>
        <v>0</v>
      </c>
      <c r="AB1296">
        <f>--AND($E1296=1,OR('Staff Weekly Trend'!$B$3="All",$DH1296='Staff Weekly Trend'!$B$3),OR('Staff Weekly Trend'!$B$4="All",$D1296='Staff Weekly Trend'!$B$4),OR('Staff Weekly Trend'!$B$5="All",$A1296='Staff Weekly Trend'!$B$5))</f>
        <v>0</v>
      </c>
      <c r="AC1296" t="str">
        <f t="shared" si="340"/>
        <v/>
      </c>
      <c r="AI1296">
        <f t="shared" si="341"/>
        <v>0</v>
      </c>
      <c r="AJ1296">
        <f t="shared" si="342"/>
        <v>0</v>
      </c>
      <c r="AK1296">
        <f t="shared" si="343"/>
        <v>0</v>
      </c>
      <c r="AL1296">
        <f t="shared" si="344"/>
        <v>0</v>
      </c>
      <c r="AM1296">
        <f t="shared" si="345"/>
        <v>0</v>
      </c>
      <c r="DH1296" t="str" cm="1">
        <f t="array" ref="DH1296">IF($A1296="","",_xlfn.LET(_xlpm.c,IFERROR(_xlfn.XLOOKUP($A1296,TRIM('Sales and count'!$A$4:$A$300&amp;""),TRIM('Sales and count'!$B$4:$B$300&amp;"")),""),IF(OR(_xlpm.c="",_xlpm.c="0",LEFT(_xlpm.c,1)="#"),"Not set",_xlpm.c)))</f>
        <v/>
      </c>
    </row>
    <row r="1297" spans="1:112" x14ac:dyDescent="0.25">
      <c r="A1297" t="str">
        <f>IF('Staff Daily sales'!$B1282="","",TRIM('Staff Daily sales'!$B1282&amp;""))</f>
        <v/>
      </c>
      <c r="B1297" t="str">
        <f>IF('Staff Daily sales'!$D1282="","",TRIM('Staff Daily sales'!$D1282&amp;""))</f>
        <v/>
      </c>
      <c r="C1297" t="str">
        <f>IFERROR(TRIM('Staff Daily sales'!$E1282&amp;""),"")</f>
        <v/>
      </c>
      <c r="D1297" t="str">
        <f>IFERROR(IF(TRIM('Staff Daily sales'!$F1282&amp;"")="","Unassigned",TRIM('Staff Daily sales'!$F1282&amp;"")),"Unassigned")</f>
        <v>Unassigned</v>
      </c>
      <c r="E1297">
        <f t="shared" si="330"/>
        <v>0</v>
      </c>
      <c r="F1297">
        <f>IF($E1297=0,0,SUMPRODUCT($AI$5:$DF$5,'Staff Daily sales'!$G1282:$CD1282))</f>
        <v>0</v>
      </c>
      <c r="G1297">
        <f>IF($E1297=0,0,SUMPRODUCT($AI$6:$DF$6,'Staff Daily sales'!$G1282:$CD1282))</f>
        <v>0</v>
      </c>
      <c r="H1297">
        <f t="shared" si="331"/>
        <v>0</v>
      </c>
      <c r="I1297">
        <f t="shared" si="332"/>
        <v>0</v>
      </c>
      <c r="J1297">
        <f t="shared" si="333"/>
        <v>0</v>
      </c>
      <c r="K1297">
        <f t="shared" si="334"/>
        <v>0</v>
      </c>
      <c r="L1297">
        <f>--AND($E1297=1,OR('Staff Dashboard'!$B$6="All",$DH1297='Staff Dashboard'!$B$6),OR('Staff Dashboard'!$B$7="All",$D1297='Staff Dashboard'!$B$7),OR('Staff Dashboard'!$B$8="All",$A1297='Staff Dashboard'!$B$8))</f>
        <v>0</v>
      </c>
      <c r="M1297">
        <f>IF($E1297=0,0,SUMPRODUCT($AI$7:$DF$7,'Staff Daily sales'!$G1282:$CD1282))</f>
        <v>0</v>
      </c>
      <c r="N1297">
        <f>IF($E1297=0,0,SUMPRODUCT($AI$8:$DF$8,'Staff Daily sales'!$G1282:$CD1282))</f>
        <v>0</v>
      </c>
      <c r="O1297">
        <f>IF($E1297=0,0,SUMPRODUCT($AI$9:$DF$9,'Staff Daily sales'!$G1282:$CD1282))</f>
        <v>0</v>
      </c>
      <c r="P1297">
        <f>IF($E1297=0,0,SUMPRODUCT($AI$10:$DF$10,'Staff Daily sales'!$G1282:$CD1282))</f>
        <v>0</v>
      </c>
      <c r="Q1297">
        <f>IF($E1297=0,0,SUMPRODUCT($AI$11:$DF$11,'Staff Daily sales'!$G1282:$CD1282))</f>
        <v>0</v>
      </c>
      <c r="R1297">
        <f>IF($E1297=0,0,SUMPRODUCT($AI$12:$DF$12,'Staff Daily sales'!$G1282:$CD1282))</f>
        <v>0</v>
      </c>
      <c r="S1297">
        <f>IF($E1297=0,0,SUMPRODUCT($AI$13:$DF$13,'Staff Daily sales'!$G1282:$CD1282))</f>
        <v>0</v>
      </c>
      <c r="T1297">
        <f>IF($E1297=0,0,SUMPRODUCT($AI$14:$DF$14,'Staff Daily sales'!$G1282:$CD1282))</f>
        <v>0</v>
      </c>
      <c r="U1297">
        <f>IF($E1297=0,0,SUMPRODUCT($AI$15:$DF$15,'Staff Daily sales'!$G1282:$CD1282))</f>
        <v>0</v>
      </c>
      <c r="V1297">
        <f>IF($E1297=0,0,SUMPRODUCT($AI$16:$DF$16,'Staff Daily sales'!$G1282:$CD1282))</f>
        <v>0</v>
      </c>
      <c r="W1297">
        <f t="shared" si="335"/>
        <v>0</v>
      </c>
      <c r="X1297">
        <f t="shared" si="336"/>
        <v>0</v>
      </c>
      <c r="Y1297">
        <f t="shared" si="337"/>
        <v>0</v>
      </c>
      <c r="Z1297">
        <f t="shared" si="338"/>
        <v>0</v>
      </c>
      <c r="AA1297">
        <f t="shared" si="339"/>
        <v>0</v>
      </c>
      <c r="AB1297">
        <f>--AND($E1297=1,OR('Staff Weekly Trend'!$B$3="All",$DH1297='Staff Weekly Trend'!$B$3),OR('Staff Weekly Trend'!$B$4="All",$D1297='Staff Weekly Trend'!$B$4),OR('Staff Weekly Trend'!$B$5="All",$A1297='Staff Weekly Trend'!$B$5))</f>
        <v>0</v>
      </c>
      <c r="AC1297" t="str">
        <f t="shared" si="340"/>
        <v/>
      </c>
      <c r="AI1297">
        <f t="shared" si="341"/>
        <v>0</v>
      </c>
      <c r="AJ1297">
        <f t="shared" si="342"/>
        <v>0</v>
      </c>
      <c r="AK1297">
        <f t="shared" si="343"/>
        <v>0</v>
      </c>
      <c r="AL1297">
        <f t="shared" si="344"/>
        <v>0</v>
      </c>
      <c r="AM1297">
        <f t="shared" si="345"/>
        <v>0</v>
      </c>
      <c r="DH1297" t="str" cm="1">
        <f t="array" ref="DH1297">IF($A1297="","",_xlfn.LET(_xlpm.c,IFERROR(_xlfn.XLOOKUP($A1297,TRIM('Sales and count'!$A$4:$A$300&amp;""),TRIM('Sales and count'!$B$4:$B$300&amp;"")),""),IF(OR(_xlpm.c="",_xlpm.c="0",LEFT(_xlpm.c,1)="#"),"Not set",_xlpm.c)))</f>
        <v/>
      </c>
    </row>
    <row r="1298" spans="1:112" x14ac:dyDescent="0.25">
      <c r="A1298" t="str">
        <f>IF('Staff Daily sales'!$B1283="","",TRIM('Staff Daily sales'!$B1283&amp;""))</f>
        <v/>
      </c>
      <c r="B1298" t="str">
        <f>IF('Staff Daily sales'!$D1283="","",TRIM('Staff Daily sales'!$D1283&amp;""))</f>
        <v/>
      </c>
      <c r="C1298" t="str">
        <f>IFERROR(TRIM('Staff Daily sales'!$E1283&amp;""),"")</f>
        <v/>
      </c>
      <c r="D1298" t="str">
        <f>IFERROR(IF(TRIM('Staff Daily sales'!$F1283&amp;"")="","Unassigned",TRIM('Staff Daily sales'!$F1283&amp;"")),"Unassigned")</f>
        <v>Unassigned</v>
      </c>
      <c r="E1298">
        <f t="shared" si="330"/>
        <v>0</v>
      </c>
      <c r="F1298">
        <f>IF($E1298=0,0,SUMPRODUCT($AI$5:$DF$5,'Staff Daily sales'!$G1283:$CD1283))</f>
        <v>0</v>
      </c>
      <c r="G1298">
        <f>IF($E1298=0,0,SUMPRODUCT($AI$6:$DF$6,'Staff Daily sales'!$G1283:$CD1283))</f>
        <v>0</v>
      </c>
      <c r="H1298">
        <f t="shared" si="331"/>
        <v>0</v>
      </c>
      <c r="I1298">
        <f t="shared" si="332"/>
        <v>0</v>
      </c>
      <c r="J1298">
        <f t="shared" si="333"/>
        <v>0</v>
      </c>
      <c r="K1298">
        <f t="shared" si="334"/>
        <v>0</v>
      </c>
      <c r="L1298">
        <f>--AND($E1298=1,OR('Staff Dashboard'!$B$6="All",$DH1298='Staff Dashboard'!$B$6),OR('Staff Dashboard'!$B$7="All",$D1298='Staff Dashboard'!$B$7),OR('Staff Dashboard'!$B$8="All",$A1298='Staff Dashboard'!$B$8))</f>
        <v>0</v>
      </c>
      <c r="M1298">
        <f>IF($E1298=0,0,SUMPRODUCT($AI$7:$DF$7,'Staff Daily sales'!$G1283:$CD1283))</f>
        <v>0</v>
      </c>
      <c r="N1298">
        <f>IF($E1298=0,0,SUMPRODUCT($AI$8:$DF$8,'Staff Daily sales'!$G1283:$CD1283))</f>
        <v>0</v>
      </c>
      <c r="O1298">
        <f>IF($E1298=0,0,SUMPRODUCT($AI$9:$DF$9,'Staff Daily sales'!$G1283:$CD1283))</f>
        <v>0</v>
      </c>
      <c r="P1298">
        <f>IF($E1298=0,0,SUMPRODUCT($AI$10:$DF$10,'Staff Daily sales'!$G1283:$CD1283))</f>
        <v>0</v>
      </c>
      <c r="Q1298">
        <f>IF($E1298=0,0,SUMPRODUCT($AI$11:$DF$11,'Staff Daily sales'!$G1283:$CD1283))</f>
        <v>0</v>
      </c>
      <c r="R1298">
        <f>IF($E1298=0,0,SUMPRODUCT($AI$12:$DF$12,'Staff Daily sales'!$G1283:$CD1283))</f>
        <v>0</v>
      </c>
      <c r="S1298">
        <f>IF($E1298=0,0,SUMPRODUCT($AI$13:$DF$13,'Staff Daily sales'!$G1283:$CD1283))</f>
        <v>0</v>
      </c>
      <c r="T1298">
        <f>IF($E1298=0,0,SUMPRODUCT($AI$14:$DF$14,'Staff Daily sales'!$G1283:$CD1283))</f>
        <v>0</v>
      </c>
      <c r="U1298">
        <f>IF($E1298=0,0,SUMPRODUCT($AI$15:$DF$15,'Staff Daily sales'!$G1283:$CD1283))</f>
        <v>0</v>
      </c>
      <c r="V1298">
        <f>IF($E1298=0,0,SUMPRODUCT($AI$16:$DF$16,'Staff Daily sales'!$G1283:$CD1283))</f>
        <v>0</v>
      </c>
      <c r="W1298">
        <f t="shared" si="335"/>
        <v>0</v>
      </c>
      <c r="X1298">
        <f t="shared" si="336"/>
        <v>0</v>
      </c>
      <c r="Y1298">
        <f t="shared" si="337"/>
        <v>0</v>
      </c>
      <c r="Z1298">
        <f t="shared" si="338"/>
        <v>0</v>
      </c>
      <c r="AA1298">
        <f t="shared" si="339"/>
        <v>0</v>
      </c>
      <c r="AB1298">
        <f>--AND($E1298=1,OR('Staff Weekly Trend'!$B$3="All",$DH1298='Staff Weekly Trend'!$B$3),OR('Staff Weekly Trend'!$B$4="All",$D1298='Staff Weekly Trend'!$B$4),OR('Staff Weekly Trend'!$B$5="All",$A1298='Staff Weekly Trend'!$B$5))</f>
        <v>0</v>
      </c>
      <c r="AC1298" t="str">
        <f t="shared" si="340"/>
        <v/>
      </c>
      <c r="AI1298">
        <f t="shared" si="341"/>
        <v>0</v>
      </c>
      <c r="AJ1298">
        <f t="shared" si="342"/>
        <v>0</v>
      </c>
      <c r="AK1298">
        <f t="shared" si="343"/>
        <v>0</v>
      </c>
      <c r="AL1298">
        <f t="shared" si="344"/>
        <v>0</v>
      </c>
      <c r="AM1298">
        <f t="shared" si="345"/>
        <v>0</v>
      </c>
      <c r="DH1298" t="str" cm="1">
        <f t="array" ref="DH1298">IF($A1298="","",_xlfn.LET(_xlpm.c,IFERROR(_xlfn.XLOOKUP($A1298,TRIM('Sales and count'!$A$4:$A$300&amp;""),TRIM('Sales and count'!$B$4:$B$300&amp;"")),""),IF(OR(_xlpm.c="",_xlpm.c="0",LEFT(_xlpm.c,1)="#"),"Not set",_xlpm.c)))</f>
        <v/>
      </c>
    </row>
    <row r="1299" spans="1:112" x14ac:dyDescent="0.25">
      <c r="A1299" t="str">
        <f>IF('Staff Daily sales'!$B1284="","",TRIM('Staff Daily sales'!$B1284&amp;""))</f>
        <v/>
      </c>
      <c r="B1299" t="str">
        <f>IF('Staff Daily sales'!$D1284="","",TRIM('Staff Daily sales'!$D1284&amp;""))</f>
        <v/>
      </c>
      <c r="C1299" t="str">
        <f>IFERROR(TRIM('Staff Daily sales'!$E1284&amp;""),"")</f>
        <v/>
      </c>
      <c r="D1299" t="str">
        <f>IFERROR(IF(TRIM('Staff Daily sales'!$F1284&amp;"")="","Unassigned",TRIM('Staff Daily sales'!$F1284&amp;"")),"Unassigned")</f>
        <v>Unassigned</v>
      </c>
      <c r="E1299">
        <f t="shared" si="330"/>
        <v>0</v>
      </c>
      <c r="F1299">
        <f>IF($E1299=0,0,SUMPRODUCT($AI$5:$DF$5,'Staff Daily sales'!$G1284:$CD1284))</f>
        <v>0</v>
      </c>
      <c r="G1299">
        <f>IF($E1299=0,0,SUMPRODUCT($AI$6:$DF$6,'Staff Daily sales'!$G1284:$CD1284))</f>
        <v>0</v>
      </c>
      <c r="H1299">
        <f t="shared" si="331"/>
        <v>0</v>
      </c>
      <c r="I1299">
        <f t="shared" si="332"/>
        <v>0</v>
      </c>
      <c r="J1299">
        <f t="shared" si="333"/>
        <v>0</v>
      </c>
      <c r="K1299">
        <f t="shared" si="334"/>
        <v>0</v>
      </c>
      <c r="L1299">
        <f>--AND($E1299=1,OR('Staff Dashboard'!$B$6="All",$DH1299='Staff Dashboard'!$B$6),OR('Staff Dashboard'!$B$7="All",$D1299='Staff Dashboard'!$B$7),OR('Staff Dashboard'!$B$8="All",$A1299='Staff Dashboard'!$B$8))</f>
        <v>0</v>
      </c>
      <c r="M1299">
        <f>IF($E1299=0,0,SUMPRODUCT($AI$7:$DF$7,'Staff Daily sales'!$G1284:$CD1284))</f>
        <v>0</v>
      </c>
      <c r="N1299">
        <f>IF($E1299=0,0,SUMPRODUCT($AI$8:$DF$8,'Staff Daily sales'!$G1284:$CD1284))</f>
        <v>0</v>
      </c>
      <c r="O1299">
        <f>IF($E1299=0,0,SUMPRODUCT($AI$9:$DF$9,'Staff Daily sales'!$G1284:$CD1284))</f>
        <v>0</v>
      </c>
      <c r="P1299">
        <f>IF($E1299=0,0,SUMPRODUCT($AI$10:$DF$10,'Staff Daily sales'!$G1284:$CD1284))</f>
        <v>0</v>
      </c>
      <c r="Q1299">
        <f>IF($E1299=0,0,SUMPRODUCT($AI$11:$DF$11,'Staff Daily sales'!$G1284:$CD1284))</f>
        <v>0</v>
      </c>
      <c r="R1299">
        <f>IF($E1299=0,0,SUMPRODUCT($AI$12:$DF$12,'Staff Daily sales'!$G1284:$CD1284))</f>
        <v>0</v>
      </c>
      <c r="S1299">
        <f>IF($E1299=0,0,SUMPRODUCT($AI$13:$DF$13,'Staff Daily sales'!$G1284:$CD1284))</f>
        <v>0</v>
      </c>
      <c r="T1299">
        <f>IF($E1299=0,0,SUMPRODUCT($AI$14:$DF$14,'Staff Daily sales'!$G1284:$CD1284))</f>
        <v>0</v>
      </c>
      <c r="U1299">
        <f>IF($E1299=0,0,SUMPRODUCT($AI$15:$DF$15,'Staff Daily sales'!$G1284:$CD1284))</f>
        <v>0</v>
      </c>
      <c r="V1299">
        <f>IF($E1299=0,0,SUMPRODUCT($AI$16:$DF$16,'Staff Daily sales'!$G1284:$CD1284))</f>
        <v>0</v>
      </c>
      <c r="W1299">
        <f t="shared" si="335"/>
        <v>0</v>
      </c>
      <c r="X1299">
        <f t="shared" si="336"/>
        <v>0</v>
      </c>
      <c r="Y1299">
        <f t="shared" si="337"/>
        <v>0</v>
      </c>
      <c r="Z1299">
        <f t="shared" si="338"/>
        <v>0</v>
      </c>
      <c r="AA1299">
        <f t="shared" si="339"/>
        <v>0</v>
      </c>
      <c r="AB1299">
        <f>--AND($E1299=1,OR('Staff Weekly Trend'!$B$3="All",$DH1299='Staff Weekly Trend'!$B$3),OR('Staff Weekly Trend'!$B$4="All",$D1299='Staff Weekly Trend'!$B$4),OR('Staff Weekly Trend'!$B$5="All",$A1299='Staff Weekly Trend'!$B$5))</f>
        <v>0</v>
      </c>
      <c r="AC1299" t="str">
        <f t="shared" si="340"/>
        <v/>
      </c>
      <c r="AI1299">
        <f t="shared" si="341"/>
        <v>0</v>
      </c>
      <c r="AJ1299">
        <f t="shared" si="342"/>
        <v>0</v>
      </c>
      <c r="AK1299">
        <f t="shared" si="343"/>
        <v>0</v>
      </c>
      <c r="AL1299">
        <f t="shared" si="344"/>
        <v>0</v>
      </c>
      <c r="AM1299">
        <f t="shared" si="345"/>
        <v>0</v>
      </c>
      <c r="DH1299" t="str" cm="1">
        <f t="array" ref="DH1299">IF($A1299="","",_xlfn.LET(_xlpm.c,IFERROR(_xlfn.XLOOKUP($A1299,TRIM('Sales and count'!$A$4:$A$300&amp;""),TRIM('Sales and count'!$B$4:$B$300&amp;"")),""),IF(OR(_xlpm.c="",_xlpm.c="0",LEFT(_xlpm.c,1)="#"),"Not set",_xlpm.c)))</f>
        <v/>
      </c>
    </row>
    <row r="1300" spans="1:112" x14ac:dyDescent="0.25">
      <c r="A1300" t="str">
        <f>IF('Staff Daily sales'!$B1285="","",TRIM('Staff Daily sales'!$B1285&amp;""))</f>
        <v/>
      </c>
      <c r="B1300" t="str">
        <f>IF('Staff Daily sales'!$D1285="","",TRIM('Staff Daily sales'!$D1285&amp;""))</f>
        <v/>
      </c>
      <c r="C1300" t="str">
        <f>IFERROR(TRIM('Staff Daily sales'!$E1285&amp;""),"")</f>
        <v/>
      </c>
      <c r="D1300" t="str">
        <f>IFERROR(IF(TRIM('Staff Daily sales'!$F1285&amp;"")="","Unassigned",TRIM('Staff Daily sales'!$F1285&amp;"")),"Unassigned")</f>
        <v>Unassigned</v>
      </c>
      <c r="E1300">
        <f t="shared" ref="E1300:E1363" si="346">--AND($A1300&lt;&gt;"",$B1300&lt;&gt;"")</f>
        <v>0</v>
      </c>
      <c r="F1300">
        <f>IF($E1300=0,0,SUMPRODUCT($AI$5:$DF$5,'Staff Daily sales'!$G1285:$CD1285))</f>
        <v>0</v>
      </c>
      <c r="G1300">
        <f>IF($E1300=0,0,SUMPRODUCT($AI$6:$DF$6,'Staff Daily sales'!$G1285:$CD1285))</f>
        <v>0</v>
      </c>
      <c r="H1300">
        <f t="shared" ref="H1300:H1363" si="347">IF($E1300=0,0,SUMIFS($F$20:$F$1515,$A$20:$A$1515,$A1300))</f>
        <v>0</v>
      </c>
      <c r="I1300">
        <f t="shared" ref="I1300:I1363" si="348">IF($E1300=0,0,SUMIFS($G$20:$G$1515,$A$20:$A$1515,$A1300))</f>
        <v>0</v>
      </c>
      <c r="J1300">
        <f t="shared" ref="J1300:J1363" si="349">IF($E1300=0,0,SUMIFS($F$20:$F$1515,$D$20:$D$1515,$D1300))</f>
        <v>0</v>
      </c>
      <c r="K1300">
        <f t="shared" ref="K1300:K1363" si="350">IF($E1300=0,0,SUMIFS($G$20:$G$1515,$D$20:$D$1515,$D1300))</f>
        <v>0</v>
      </c>
      <c r="L1300">
        <f>--AND($E1300=1,OR('Staff Dashboard'!$B$6="All",$DH1300='Staff Dashboard'!$B$6),OR('Staff Dashboard'!$B$7="All",$D1300='Staff Dashboard'!$B$7),OR('Staff Dashboard'!$B$8="All",$A1300='Staff Dashboard'!$B$8))</f>
        <v>0</v>
      </c>
      <c r="M1300">
        <f>IF($E1300=0,0,SUMPRODUCT($AI$7:$DF$7,'Staff Daily sales'!$G1285:$CD1285))</f>
        <v>0</v>
      </c>
      <c r="N1300">
        <f>IF($E1300=0,0,SUMPRODUCT($AI$8:$DF$8,'Staff Daily sales'!$G1285:$CD1285))</f>
        <v>0</v>
      </c>
      <c r="O1300">
        <f>IF($E1300=0,0,SUMPRODUCT($AI$9:$DF$9,'Staff Daily sales'!$G1285:$CD1285))</f>
        <v>0</v>
      </c>
      <c r="P1300">
        <f>IF($E1300=0,0,SUMPRODUCT($AI$10:$DF$10,'Staff Daily sales'!$G1285:$CD1285))</f>
        <v>0</v>
      </c>
      <c r="Q1300">
        <f>IF($E1300=0,0,SUMPRODUCT($AI$11:$DF$11,'Staff Daily sales'!$G1285:$CD1285))</f>
        <v>0</v>
      </c>
      <c r="R1300">
        <f>IF($E1300=0,0,SUMPRODUCT($AI$12:$DF$12,'Staff Daily sales'!$G1285:$CD1285))</f>
        <v>0</v>
      </c>
      <c r="S1300">
        <f>IF($E1300=0,0,SUMPRODUCT($AI$13:$DF$13,'Staff Daily sales'!$G1285:$CD1285))</f>
        <v>0</v>
      </c>
      <c r="T1300">
        <f>IF($E1300=0,0,SUMPRODUCT($AI$14:$DF$14,'Staff Daily sales'!$G1285:$CD1285))</f>
        <v>0</v>
      </c>
      <c r="U1300">
        <f>IF($E1300=0,0,SUMPRODUCT($AI$15:$DF$15,'Staff Daily sales'!$G1285:$CD1285))</f>
        <v>0</v>
      </c>
      <c r="V1300">
        <f>IF($E1300=0,0,SUMPRODUCT($AI$16:$DF$16,'Staff Daily sales'!$G1285:$CD1285))</f>
        <v>0</v>
      </c>
      <c r="W1300">
        <f t="shared" ref="W1300:W1363" si="351">IF($E1300=0,0,SUMIFS(M$20:M$1515,$A$20:$A$1515,$A1300))</f>
        <v>0</v>
      </c>
      <c r="X1300">
        <f t="shared" ref="X1300:X1363" si="352">IF($E1300=0,0,SUMIFS(O$20:O$1515,$A$20:$A$1515,$A1300))</f>
        <v>0</v>
      </c>
      <c r="Y1300">
        <f t="shared" ref="Y1300:Y1363" si="353">IF($E1300=0,0,SUMIFS(Q$20:Q$1515,$A$20:$A$1515,$A1300))</f>
        <v>0</v>
      </c>
      <c r="Z1300">
        <f t="shared" ref="Z1300:Z1363" si="354">IF($E1300=0,0,SUMIFS(S$20:S$1515,$A$20:$A$1515,$A1300))</f>
        <v>0</v>
      </c>
      <c r="AA1300">
        <f t="shared" ref="AA1300:AA1363" si="355">IF($E1300=0,0,SUMIFS(U$20:U$1515,$A$20:$A$1515,$A1300))</f>
        <v>0</v>
      </c>
      <c r="AB1300">
        <f>--AND($E1300=1,OR('Staff Weekly Trend'!$B$3="All",$DH1300='Staff Weekly Trend'!$B$3),OR('Staff Weekly Trend'!$B$4="All",$D1300='Staff Weekly Trend'!$B$4),OR('Staff Weekly Trend'!$B$5="All",$A1300='Staff Weekly Trend'!$B$5))</f>
        <v>0</v>
      </c>
      <c r="AC1300" t="str">
        <f t="shared" ref="AC1300:AC1363" si="356">IF(OR($E1300=0,AND($F1300=0,$G1300=0)),"",COUNTIFS($A$20:$A$1515,$A1300,$E$20:$E$1515,1,$F$20:$F$1515,"&gt;"&amp;$F1300)+1)</f>
        <v/>
      </c>
      <c r="AI1300">
        <f t="shared" ref="AI1300:AI1363" si="357">IF($E1300=0,0,SUMIFS(N$20:N$1515,$A$20:$A$1515,$A1300))</f>
        <v>0</v>
      </c>
      <c r="AJ1300">
        <f t="shared" ref="AJ1300:AJ1363" si="358">IF($E1300=0,0,SUMIFS(P$20:P$1515,$A$20:$A$1515,$A1300))</f>
        <v>0</v>
      </c>
      <c r="AK1300">
        <f t="shared" ref="AK1300:AK1363" si="359">IF($E1300=0,0,SUMIFS(R$20:R$1515,$A$20:$A$1515,$A1300))</f>
        <v>0</v>
      </c>
      <c r="AL1300">
        <f t="shared" ref="AL1300:AL1363" si="360">IF($E1300=0,0,SUMIFS(T$20:T$1515,$A$20:$A$1515,$A1300))</f>
        <v>0</v>
      </c>
      <c r="AM1300">
        <f t="shared" ref="AM1300:AM1363" si="361">IF($E1300=0,0,SUMIFS(V$20:V$1515,$A$20:$A$1515,$A1300))</f>
        <v>0</v>
      </c>
      <c r="DH1300" t="str" cm="1">
        <f t="array" ref="DH1300">IF($A1300="","",_xlfn.LET(_xlpm.c,IFERROR(_xlfn.XLOOKUP($A1300,TRIM('Sales and count'!$A$4:$A$300&amp;""),TRIM('Sales and count'!$B$4:$B$300&amp;"")),""),IF(OR(_xlpm.c="",_xlpm.c="0",LEFT(_xlpm.c,1)="#"),"Not set",_xlpm.c)))</f>
        <v/>
      </c>
    </row>
    <row r="1301" spans="1:112" x14ac:dyDescent="0.25">
      <c r="A1301" t="str">
        <f>IF('Staff Daily sales'!$B1286="","",TRIM('Staff Daily sales'!$B1286&amp;""))</f>
        <v/>
      </c>
      <c r="B1301" t="str">
        <f>IF('Staff Daily sales'!$D1286="","",TRIM('Staff Daily sales'!$D1286&amp;""))</f>
        <v/>
      </c>
      <c r="C1301" t="str">
        <f>IFERROR(TRIM('Staff Daily sales'!$E1286&amp;""),"")</f>
        <v/>
      </c>
      <c r="D1301" t="str">
        <f>IFERROR(IF(TRIM('Staff Daily sales'!$F1286&amp;"")="","Unassigned",TRIM('Staff Daily sales'!$F1286&amp;"")),"Unassigned")</f>
        <v>Unassigned</v>
      </c>
      <c r="E1301">
        <f t="shared" si="346"/>
        <v>0</v>
      </c>
      <c r="F1301">
        <f>IF($E1301=0,0,SUMPRODUCT($AI$5:$DF$5,'Staff Daily sales'!$G1286:$CD1286))</f>
        <v>0</v>
      </c>
      <c r="G1301">
        <f>IF($E1301=0,0,SUMPRODUCT($AI$6:$DF$6,'Staff Daily sales'!$G1286:$CD1286))</f>
        <v>0</v>
      </c>
      <c r="H1301">
        <f t="shared" si="347"/>
        <v>0</v>
      </c>
      <c r="I1301">
        <f t="shared" si="348"/>
        <v>0</v>
      </c>
      <c r="J1301">
        <f t="shared" si="349"/>
        <v>0</v>
      </c>
      <c r="K1301">
        <f t="shared" si="350"/>
        <v>0</v>
      </c>
      <c r="L1301">
        <f>--AND($E1301=1,OR('Staff Dashboard'!$B$6="All",$DH1301='Staff Dashboard'!$B$6),OR('Staff Dashboard'!$B$7="All",$D1301='Staff Dashboard'!$B$7),OR('Staff Dashboard'!$B$8="All",$A1301='Staff Dashboard'!$B$8))</f>
        <v>0</v>
      </c>
      <c r="M1301">
        <f>IF($E1301=0,0,SUMPRODUCT($AI$7:$DF$7,'Staff Daily sales'!$G1286:$CD1286))</f>
        <v>0</v>
      </c>
      <c r="N1301">
        <f>IF($E1301=0,0,SUMPRODUCT($AI$8:$DF$8,'Staff Daily sales'!$G1286:$CD1286))</f>
        <v>0</v>
      </c>
      <c r="O1301">
        <f>IF($E1301=0,0,SUMPRODUCT($AI$9:$DF$9,'Staff Daily sales'!$G1286:$CD1286))</f>
        <v>0</v>
      </c>
      <c r="P1301">
        <f>IF($E1301=0,0,SUMPRODUCT($AI$10:$DF$10,'Staff Daily sales'!$G1286:$CD1286))</f>
        <v>0</v>
      </c>
      <c r="Q1301">
        <f>IF($E1301=0,0,SUMPRODUCT($AI$11:$DF$11,'Staff Daily sales'!$G1286:$CD1286))</f>
        <v>0</v>
      </c>
      <c r="R1301">
        <f>IF($E1301=0,0,SUMPRODUCT($AI$12:$DF$12,'Staff Daily sales'!$G1286:$CD1286))</f>
        <v>0</v>
      </c>
      <c r="S1301">
        <f>IF($E1301=0,0,SUMPRODUCT($AI$13:$DF$13,'Staff Daily sales'!$G1286:$CD1286))</f>
        <v>0</v>
      </c>
      <c r="T1301">
        <f>IF($E1301=0,0,SUMPRODUCT($AI$14:$DF$14,'Staff Daily sales'!$G1286:$CD1286))</f>
        <v>0</v>
      </c>
      <c r="U1301">
        <f>IF($E1301=0,0,SUMPRODUCT($AI$15:$DF$15,'Staff Daily sales'!$G1286:$CD1286))</f>
        <v>0</v>
      </c>
      <c r="V1301">
        <f>IF($E1301=0,0,SUMPRODUCT($AI$16:$DF$16,'Staff Daily sales'!$G1286:$CD1286))</f>
        <v>0</v>
      </c>
      <c r="W1301">
        <f t="shared" si="351"/>
        <v>0</v>
      </c>
      <c r="X1301">
        <f t="shared" si="352"/>
        <v>0</v>
      </c>
      <c r="Y1301">
        <f t="shared" si="353"/>
        <v>0</v>
      </c>
      <c r="Z1301">
        <f t="shared" si="354"/>
        <v>0</v>
      </c>
      <c r="AA1301">
        <f t="shared" si="355"/>
        <v>0</v>
      </c>
      <c r="AB1301">
        <f>--AND($E1301=1,OR('Staff Weekly Trend'!$B$3="All",$DH1301='Staff Weekly Trend'!$B$3),OR('Staff Weekly Trend'!$B$4="All",$D1301='Staff Weekly Trend'!$B$4),OR('Staff Weekly Trend'!$B$5="All",$A1301='Staff Weekly Trend'!$B$5))</f>
        <v>0</v>
      </c>
      <c r="AC1301" t="str">
        <f t="shared" si="356"/>
        <v/>
      </c>
      <c r="AI1301">
        <f t="shared" si="357"/>
        <v>0</v>
      </c>
      <c r="AJ1301">
        <f t="shared" si="358"/>
        <v>0</v>
      </c>
      <c r="AK1301">
        <f t="shared" si="359"/>
        <v>0</v>
      </c>
      <c r="AL1301">
        <f t="shared" si="360"/>
        <v>0</v>
      </c>
      <c r="AM1301">
        <f t="shared" si="361"/>
        <v>0</v>
      </c>
      <c r="DH1301" t="str" cm="1">
        <f t="array" ref="DH1301">IF($A1301="","",_xlfn.LET(_xlpm.c,IFERROR(_xlfn.XLOOKUP($A1301,TRIM('Sales and count'!$A$4:$A$300&amp;""),TRIM('Sales and count'!$B$4:$B$300&amp;"")),""),IF(OR(_xlpm.c="",_xlpm.c="0",LEFT(_xlpm.c,1)="#"),"Not set",_xlpm.c)))</f>
        <v/>
      </c>
    </row>
    <row r="1302" spans="1:112" x14ac:dyDescent="0.25">
      <c r="A1302" t="str">
        <f>IF('Staff Daily sales'!$B1287="","",TRIM('Staff Daily sales'!$B1287&amp;""))</f>
        <v/>
      </c>
      <c r="B1302" t="str">
        <f>IF('Staff Daily sales'!$D1287="","",TRIM('Staff Daily sales'!$D1287&amp;""))</f>
        <v/>
      </c>
      <c r="C1302" t="str">
        <f>IFERROR(TRIM('Staff Daily sales'!$E1287&amp;""),"")</f>
        <v/>
      </c>
      <c r="D1302" t="str">
        <f>IFERROR(IF(TRIM('Staff Daily sales'!$F1287&amp;"")="","Unassigned",TRIM('Staff Daily sales'!$F1287&amp;"")),"Unassigned")</f>
        <v>Unassigned</v>
      </c>
      <c r="E1302">
        <f t="shared" si="346"/>
        <v>0</v>
      </c>
      <c r="F1302">
        <f>IF($E1302=0,0,SUMPRODUCT($AI$5:$DF$5,'Staff Daily sales'!$G1287:$CD1287))</f>
        <v>0</v>
      </c>
      <c r="G1302">
        <f>IF($E1302=0,0,SUMPRODUCT($AI$6:$DF$6,'Staff Daily sales'!$G1287:$CD1287))</f>
        <v>0</v>
      </c>
      <c r="H1302">
        <f t="shared" si="347"/>
        <v>0</v>
      </c>
      <c r="I1302">
        <f t="shared" si="348"/>
        <v>0</v>
      </c>
      <c r="J1302">
        <f t="shared" si="349"/>
        <v>0</v>
      </c>
      <c r="K1302">
        <f t="shared" si="350"/>
        <v>0</v>
      </c>
      <c r="L1302">
        <f>--AND($E1302=1,OR('Staff Dashboard'!$B$6="All",$DH1302='Staff Dashboard'!$B$6),OR('Staff Dashboard'!$B$7="All",$D1302='Staff Dashboard'!$B$7),OR('Staff Dashboard'!$B$8="All",$A1302='Staff Dashboard'!$B$8))</f>
        <v>0</v>
      </c>
      <c r="M1302">
        <f>IF($E1302=0,0,SUMPRODUCT($AI$7:$DF$7,'Staff Daily sales'!$G1287:$CD1287))</f>
        <v>0</v>
      </c>
      <c r="N1302">
        <f>IF($E1302=0,0,SUMPRODUCT($AI$8:$DF$8,'Staff Daily sales'!$G1287:$CD1287))</f>
        <v>0</v>
      </c>
      <c r="O1302">
        <f>IF($E1302=0,0,SUMPRODUCT($AI$9:$DF$9,'Staff Daily sales'!$G1287:$CD1287))</f>
        <v>0</v>
      </c>
      <c r="P1302">
        <f>IF($E1302=0,0,SUMPRODUCT($AI$10:$DF$10,'Staff Daily sales'!$G1287:$CD1287))</f>
        <v>0</v>
      </c>
      <c r="Q1302">
        <f>IF($E1302=0,0,SUMPRODUCT($AI$11:$DF$11,'Staff Daily sales'!$G1287:$CD1287))</f>
        <v>0</v>
      </c>
      <c r="R1302">
        <f>IF($E1302=0,0,SUMPRODUCT($AI$12:$DF$12,'Staff Daily sales'!$G1287:$CD1287))</f>
        <v>0</v>
      </c>
      <c r="S1302">
        <f>IF($E1302=0,0,SUMPRODUCT($AI$13:$DF$13,'Staff Daily sales'!$G1287:$CD1287))</f>
        <v>0</v>
      </c>
      <c r="T1302">
        <f>IF($E1302=0,0,SUMPRODUCT($AI$14:$DF$14,'Staff Daily sales'!$G1287:$CD1287))</f>
        <v>0</v>
      </c>
      <c r="U1302">
        <f>IF($E1302=0,0,SUMPRODUCT($AI$15:$DF$15,'Staff Daily sales'!$G1287:$CD1287))</f>
        <v>0</v>
      </c>
      <c r="V1302">
        <f>IF($E1302=0,0,SUMPRODUCT($AI$16:$DF$16,'Staff Daily sales'!$G1287:$CD1287))</f>
        <v>0</v>
      </c>
      <c r="W1302">
        <f t="shared" si="351"/>
        <v>0</v>
      </c>
      <c r="X1302">
        <f t="shared" si="352"/>
        <v>0</v>
      </c>
      <c r="Y1302">
        <f t="shared" si="353"/>
        <v>0</v>
      </c>
      <c r="Z1302">
        <f t="shared" si="354"/>
        <v>0</v>
      </c>
      <c r="AA1302">
        <f t="shared" si="355"/>
        <v>0</v>
      </c>
      <c r="AB1302">
        <f>--AND($E1302=1,OR('Staff Weekly Trend'!$B$3="All",$DH1302='Staff Weekly Trend'!$B$3),OR('Staff Weekly Trend'!$B$4="All",$D1302='Staff Weekly Trend'!$B$4),OR('Staff Weekly Trend'!$B$5="All",$A1302='Staff Weekly Trend'!$B$5))</f>
        <v>0</v>
      </c>
      <c r="AC1302" t="str">
        <f t="shared" si="356"/>
        <v/>
      </c>
      <c r="AI1302">
        <f t="shared" si="357"/>
        <v>0</v>
      </c>
      <c r="AJ1302">
        <f t="shared" si="358"/>
        <v>0</v>
      </c>
      <c r="AK1302">
        <f t="shared" si="359"/>
        <v>0</v>
      </c>
      <c r="AL1302">
        <f t="shared" si="360"/>
        <v>0</v>
      </c>
      <c r="AM1302">
        <f t="shared" si="361"/>
        <v>0</v>
      </c>
      <c r="DH1302" t="str" cm="1">
        <f t="array" ref="DH1302">IF($A1302="","",_xlfn.LET(_xlpm.c,IFERROR(_xlfn.XLOOKUP($A1302,TRIM('Sales and count'!$A$4:$A$300&amp;""),TRIM('Sales and count'!$B$4:$B$300&amp;"")),""),IF(OR(_xlpm.c="",_xlpm.c="0",LEFT(_xlpm.c,1)="#"),"Not set",_xlpm.c)))</f>
        <v/>
      </c>
    </row>
    <row r="1303" spans="1:112" x14ac:dyDescent="0.25">
      <c r="A1303" t="str">
        <f>IF('Staff Daily sales'!$B1288="","",TRIM('Staff Daily sales'!$B1288&amp;""))</f>
        <v/>
      </c>
      <c r="B1303" t="str">
        <f>IF('Staff Daily sales'!$D1288="","",TRIM('Staff Daily sales'!$D1288&amp;""))</f>
        <v/>
      </c>
      <c r="C1303" t="str">
        <f>IFERROR(TRIM('Staff Daily sales'!$E1288&amp;""),"")</f>
        <v/>
      </c>
      <c r="D1303" t="str">
        <f>IFERROR(IF(TRIM('Staff Daily sales'!$F1288&amp;"")="","Unassigned",TRIM('Staff Daily sales'!$F1288&amp;"")),"Unassigned")</f>
        <v>Unassigned</v>
      </c>
      <c r="E1303">
        <f t="shared" si="346"/>
        <v>0</v>
      </c>
      <c r="F1303">
        <f>IF($E1303=0,0,SUMPRODUCT($AI$5:$DF$5,'Staff Daily sales'!$G1288:$CD1288))</f>
        <v>0</v>
      </c>
      <c r="G1303">
        <f>IF($E1303=0,0,SUMPRODUCT($AI$6:$DF$6,'Staff Daily sales'!$G1288:$CD1288))</f>
        <v>0</v>
      </c>
      <c r="H1303">
        <f t="shared" si="347"/>
        <v>0</v>
      </c>
      <c r="I1303">
        <f t="shared" si="348"/>
        <v>0</v>
      </c>
      <c r="J1303">
        <f t="shared" si="349"/>
        <v>0</v>
      </c>
      <c r="K1303">
        <f t="shared" si="350"/>
        <v>0</v>
      </c>
      <c r="L1303">
        <f>--AND($E1303=1,OR('Staff Dashboard'!$B$6="All",$DH1303='Staff Dashboard'!$B$6),OR('Staff Dashboard'!$B$7="All",$D1303='Staff Dashboard'!$B$7),OR('Staff Dashboard'!$B$8="All",$A1303='Staff Dashboard'!$B$8))</f>
        <v>0</v>
      </c>
      <c r="M1303">
        <f>IF($E1303=0,0,SUMPRODUCT($AI$7:$DF$7,'Staff Daily sales'!$G1288:$CD1288))</f>
        <v>0</v>
      </c>
      <c r="N1303">
        <f>IF($E1303=0,0,SUMPRODUCT($AI$8:$DF$8,'Staff Daily sales'!$G1288:$CD1288))</f>
        <v>0</v>
      </c>
      <c r="O1303">
        <f>IF($E1303=0,0,SUMPRODUCT($AI$9:$DF$9,'Staff Daily sales'!$G1288:$CD1288))</f>
        <v>0</v>
      </c>
      <c r="P1303">
        <f>IF($E1303=0,0,SUMPRODUCT($AI$10:$DF$10,'Staff Daily sales'!$G1288:$CD1288))</f>
        <v>0</v>
      </c>
      <c r="Q1303">
        <f>IF($E1303=0,0,SUMPRODUCT($AI$11:$DF$11,'Staff Daily sales'!$G1288:$CD1288))</f>
        <v>0</v>
      </c>
      <c r="R1303">
        <f>IF($E1303=0,0,SUMPRODUCT($AI$12:$DF$12,'Staff Daily sales'!$G1288:$CD1288))</f>
        <v>0</v>
      </c>
      <c r="S1303">
        <f>IF($E1303=0,0,SUMPRODUCT($AI$13:$DF$13,'Staff Daily sales'!$G1288:$CD1288))</f>
        <v>0</v>
      </c>
      <c r="T1303">
        <f>IF($E1303=0,0,SUMPRODUCT($AI$14:$DF$14,'Staff Daily sales'!$G1288:$CD1288))</f>
        <v>0</v>
      </c>
      <c r="U1303">
        <f>IF($E1303=0,0,SUMPRODUCT($AI$15:$DF$15,'Staff Daily sales'!$G1288:$CD1288))</f>
        <v>0</v>
      </c>
      <c r="V1303">
        <f>IF($E1303=0,0,SUMPRODUCT($AI$16:$DF$16,'Staff Daily sales'!$G1288:$CD1288))</f>
        <v>0</v>
      </c>
      <c r="W1303">
        <f t="shared" si="351"/>
        <v>0</v>
      </c>
      <c r="X1303">
        <f t="shared" si="352"/>
        <v>0</v>
      </c>
      <c r="Y1303">
        <f t="shared" si="353"/>
        <v>0</v>
      </c>
      <c r="Z1303">
        <f t="shared" si="354"/>
        <v>0</v>
      </c>
      <c r="AA1303">
        <f t="shared" si="355"/>
        <v>0</v>
      </c>
      <c r="AB1303">
        <f>--AND($E1303=1,OR('Staff Weekly Trend'!$B$3="All",$DH1303='Staff Weekly Trend'!$B$3),OR('Staff Weekly Trend'!$B$4="All",$D1303='Staff Weekly Trend'!$B$4),OR('Staff Weekly Trend'!$B$5="All",$A1303='Staff Weekly Trend'!$B$5))</f>
        <v>0</v>
      </c>
      <c r="AC1303" t="str">
        <f t="shared" si="356"/>
        <v/>
      </c>
      <c r="AI1303">
        <f t="shared" si="357"/>
        <v>0</v>
      </c>
      <c r="AJ1303">
        <f t="shared" si="358"/>
        <v>0</v>
      </c>
      <c r="AK1303">
        <f t="shared" si="359"/>
        <v>0</v>
      </c>
      <c r="AL1303">
        <f t="shared" si="360"/>
        <v>0</v>
      </c>
      <c r="AM1303">
        <f t="shared" si="361"/>
        <v>0</v>
      </c>
      <c r="DH1303" t="str" cm="1">
        <f t="array" ref="DH1303">IF($A1303="","",_xlfn.LET(_xlpm.c,IFERROR(_xlfn.XLOOKUP($A1303,TRIM('Sales and count'!$A$4:$A$300&amp;""),TRIM('Sales and count'!$B$4:$B$300&amp;"")),""),IF(OR(_xlpm.c="",_xlpm.c="0",LEFT(_xlpm.c,1)="#"),"Not set",_xlpm.c)))</f>
        <v/>
      </c>
    </row>
    <row r="1304" spans="1:112" x14ac:dyDescent="0.25">
      <c r="A1304" t="str">
        <f>IF('Staff Daily sales'!$B1289="","",TRIM('Staff Daily sales'!$B1289&amp;""))</f>
        <v/>
      </c>
      <c r="B1304" t="str">
        <f>IF('Staff Daily sales'!$D1289="","",TRIM('Staff Daily sales'!$D1289&amp;""))</f>
        <v/>
      </c>
      <c r="C1304" t="str">
        <f>IFERROR(TRIM('Staff Daily sales'!$E1289&amp;""),"")</f>
        <v/>
      </c>
      <c r="D1304" t="str">
        <f>IFERROR(IF(TRIM('Staff Daily sales'!$F1289&amp;"")="","Unassigned",TRIM('Staff Daily sales'!$F1289&amp;"")),"Unassigned")</f>
        <v>Unassigned</v>
      </c>
      <c r="E1304">
        <f t="shared" si="346"/>
        <v>0</v>
      </c>
      <c r="F1304">
        <f>IF($E1304=0,0,SUMPRODUCT($AI$5:$DF$5,'Staff Daily sales'!$G1289:$CD1289))</f>
        <v>0</v>
      </c>
      <c r="G1304">
        <f>IF($E1304=0,0,SUMPRODUCT($AI$6:$DF$6,'Staff Daily sales'!$G1289:$CD1289))</f>
        <v>0</v>
      </c>
      <c r="H1304">
        <f t="shared" si="347"/>
        <v>0</v>
      </c>
      <c r="I1304">
        <f t="shared" si="348"/>
        <v>0</v>
      </c>
      <c r="J1304">
        <f t="shared" si="349"/>
        <v>0</v>
      </c>
      <c r="K1304">
        <f t="shared" si="350"/>
        <v>0</v>
      </c>
      <c r="L1304">
        <f>--AND($E1304=1,OR('Staff Dashboard'!$B$6="All",$DH1304='Staff Dashboard'!$B$6),OR('Staff Dashboard'!$B$7="All",$D1304='Staff Dashboard'!$B$7),OR('Staff Dashboard'!$B$8="All",$A1304='Staff Dashboard'!$B$8))</f>
        <v>0</v>
      </c>
      <c r="M1304">
        <f>IF($E1304=0,0,SUMPRODUCT($AI$7:$DF$7,'Staff Daily sales'!$G1289:$CD1289))</f>
        <v>0</v>
      </c>
      <c r="N1304">
        <f>IF($E1304=0,0,SUMPRODUCT($AI$8:$DF$8,'Staff Daily sales'!$G1289:$CD1289))</f>
        <v>0</v>
      </c>
      <c r="O1304">
        <f>IF($E1304=0,0,SUMPRODUCT($AI$9:$DF$9,'Staff Daily sales'!$G1289:$CD1289))</f>
        <v>0</v>
      </c>
      <c r="P1304">
        <f>IF($E1304=0,0,SUMPRODUCT($AI$10:$DF$10,'Staff Daily sales'!$G1289:$CD1289))</f>
        <v>0</v>
      </c>
      <c r="Q1304">
        <f>IF($E1304=0,0,SUMPRODUCT($AI$11:$DF$11,'Staff Daily sales'!$G1289:$CD1289))</f>
        <v>0</v>
      </c>
      <c r="R1304">
        <f>IF($E1304=0,0,SUMPRODUCT($AI$12:$DF$12,'Staff Daily sales'!$G1289:$CD1289))</f>
        <v>0</v>
      </c>
      <c r="S1304">
        <f>IF($E1304=0,0,SUMPRODUCT($AI$13:$DF$13,'Staff Daily sales'!$G1289:$CD1289))</f>
        <v>0</v>
      </c>
      <c r="T1304">
        <f>IF($E1304=0,0,SUMPRODUCT($AI$14:$DF$14,'Staff Daily sales'!$G1289:$CD1289))</f>
        <v>0</v>
      </c>
      <c r="U1304">
        <f>IF($E1304=0,0,SUMPRODUCT($AI$15:$DF$15,'Staff Daily sales'!$G1289:$CD1289))</f>
        <v>0</v>
      </c>
      <c r="V1304">
        <f>IF($E1304=0,0,SUMPRODUCT($AI$16:$DF$16,'Staff Daily sales'!$G1289:$CD1289))</f>
        <v>0</v>
      </c>
      <c r="W1304">
        <f t="shared" si="351"/>
        <v>0</v>
      </c>
      <c r="X1304">
        <f t="shared" si="352"/>
        <v>0</v>
      </c>
      <c r="Y1304">
        <f t="shared" si="353"/>
        <v>0</v>
      </c>
      <c r="Z1304">
        <f t="shared" si="354"/>
        <v>0</v>
      </c>
      <c r="AA1304">
        <f t="shared" si="355"/>
        <v>0</v>
      </c>
      <c r="AB1304">
        <f>--AND($E1304=1,OR('Staff Weekly Trend'!$B$3="All",$DH1304='Staff Weekly Trend'!$B$3),OR('Staff Weekly Trend'!$B$4="All",$D1304='Staff Weekly Trend'!$B$4),OR('Staff Weekly Trend'!$B$5="All",$A1304='Staff Weekly Trend'!$B$5))</f>
        <v>0</v>
      </c>
      <c r="AC1304" t="str">
        <f t="shared" si="356"/>
        <v/>
      </c>
      <c r="AI1304">
        <f t="shared" si="357"/>
        <v>0</v>
      </c>
      <c r="AJ1304">
        <f t="shared" si="358"/>
        <v>0</v>
      </c>
      <c r="AK1304">
        <f t="shared" si="359"/>
        <v>0</v>
      </c>
      <c r="AL1304">
        <f t="shared" si="360"/>
        <v>0</v>
      </c>
      <c r="AM1304">
        <f t="shared" si="361"/>
        <v>0</v>
      </c>
      <c r="DH1304" t="str" cm="1">
        <f t="array" ref="DH1304">IF($A1304="","",_xlfn.LET(_xlpm.c,IFERROR(_xlfn.XLOOKUP($A1304,TRIM('Sales and count'!$A$4:$A$300&amp;""),TRIM('Sales and count'!$B$4:$B$300&amp;"")),""),IF(OR(_xlpm.c="",_xlpm.c="0",LEFT(_xlpm.c,1)="#"),"Not set",_xlpm.c)))</f>
        <v/>
      </c>
    </row>
    <row r="1305" spans="1:112" x14ac:dyDescent="0.25">
      <c r="A1305" t="str">
        <f>IF('Staff Daily sales'!$B1290="","",TRIM('Staff Daily sales'!$B1290&amp;""))</f>
        <v/>
      </c>
      <c r="B1305" t="str">
        <f>IF('Staff Daily sales'!$D1290="","",TRIM('Staff Daily sales'!$D1290&amp;""))</f>
        <v/>
      </c>
      <c r="C1305" t="str">
        <f>IFERROR(TRIM('Staff Daily sales'!$E1290&amp;""),"")</f>
        <v/>
      </c>
      <c r="D1305" t="str">
        <f>IFERROR(IF(TRIM('Staff Daily sales'!$F1290&amp;"")="","Unassigned",TRIM('Staff Daily sales'!$F1290&amp;"")),"Unassigned")</f>
        <v>Unassigned</v>
      </c>
      <c r="E1305">
        <f t="shared" si="346"/>
        <v>0</v>
      </c>
      <c r="F1305">
        <f>IF($E1305=0,0,SUMPRODUCT($AI$5:$DF$5,'Staff Daily sales'!$G1290:$CD1290))</f>
        <v>0</v>
      </c>
      <c r="G1305">
        <f>IF($E1305=0,0,SUMPRODUCT($AI$6:$DF$6,'Staff Daily sales'!$G1290:$CD1290))</f>
        <v>0</v>
      </c>
      <c r="H1305">
        <f t="shared" si="347"/>
        <v>0</v>
      </c>
      <c r="I1305">
        <f t="shared" si="348"/>
        <v>0</v>
      </c>
      <c r="J1305">
        <f t="shared" si="349"/>
        <v>0</v>
      </c>
      <c r="K1305">
        <f t="shared" si="350"/>
        <v>0</v>
      </c>
      <c r="L1305">
        <f>--AND($E1305=1,OR('Staff Dashboard'!$B$6="All",$DH1305='Staff Dashboard'!$B$6),OR('Staff Dashboard'!$B$7="All",$D1305='Staff Dashboard'!$B$7),OR('Staff Dashboard'!$B$8="All",$A1305='Staff Dashboard'!$B$8))</f>
        <v>0</v>
      </c>
      <c r="M1305">
        <f>IF($E1305=0,0,SUMPRODUCT($AI$7:$DF$7,'Staff Daily sales'!$G1290:$CD1290))</f>
        <v>0</v>
      </c>
      <c r="N1305">
        <f>IF($E1305=0,0,SUMPRODUCT($AI$8:$DF$8,'Staff Daily sales'!$G1290:$CD1290))</f>
        <v>0</v>
      </c>
      <c r="O1305">
        <f>IF($E1305=0,0,SUMPRODUCT($AI$9:$DF$9,'Staff Daily sales'!$G1290:$CD1290))</f>
        <v>0</v>
      </c>
      <c r="P1305">
        <f>IF($E1305=0,0,SUMPRODUCT($AI$10:$DF$10,'Staff Daily sales'!$G1290:$CD1290))</f>
        <v>0</v>
      </c>
      <c r="Q1305">
        <f>IF($E1305=0,0,SUMPRODUCT($AI$11:$DF$11,'Staff Daily sales'!$G1290:$CD1290))</f>
        <v>0</v>
      </c>
      <c r="R1305">
        <f>IF($E1305=0,0,SUMPRODUCT($AI$12:$DF$12,'Staff Daily sales'!$G1290:$CD1290))</f>
        <v>0</v>
      </c>
      <c r="S1305">
        <f>IF($E1305=0,0,SUMPRODUCT($AI$13:$DF$13,'Staff Daily sales'!$G1290:$CD1290))</f>
        <v>0</v>
      </c>
      <c r="T1305">
        <f>IF($E1305=0,0,SUMPRODUCT($AI$14:$DF$14,'Staff Daily sales'!$G1290:$CD1290))</f>
        <v>0</v>
      </c>
      <c r="U1305">
        <f>IF($E1305=0,0,SUMPRODUCT($AI$15:$DF$15,'Staff Daily sales'!$G1290:$CD1290))</f>
        <v>0</v>
      </c>
      <c r="V1305">
        <f>IF($E1305=0,0,SUMPRODUCT($AI$16:$DF$16,'Staff Daily sales'!$G1290:$CD1290))</f>
        <v>0</v>
      </c>
      <c r="W1305">
        <f t="shared" si="351"/>
        <v>0</v>
      </c>
      <c r="X1305">
        <f t="shared" si="352"/>
        <v>0</v>
      </c>
      <c r="Y1305">
        <f t="shared" si="353"/>
        <v>0</v>
      </c>
      <c r="Z1305">
        <f t="shared" si="354"/>
        <v>0</v>
      </c>
      <c r="AA1305">
        <f t="shared" si="355"/>
        <v>0</v>
      </c>
      <c r="AB1305">
        <f>--AND($E1305=1,OR('Staff Weekly Trend'!$B$3="All",$DH1305='Staff Weekly Trend'!$B$3),OR('Staff Weekly Trend'!$B$4="All",$D1305='Staff Weekly Trend'!$B$4),OR('Staff Weekly Trend'!$B$5="All",$A1305='Staff Weekly Trend'!$B$5))</f>
        <v>0</v>
      </c>
      <c r="AC1305" t="str">
        <f t="shared" si="356"/>
        <v/>
      </c>
      <c r="AI1305">
        <f t="shared" si="357"/>
        <v>0</v>
      </c>
      <c r="AJ1305">
        <f t="shared" si="358"/>
        <v>0</v>
      </c>
      <c r="AK1305">
        <f t="shared" si="359"/>
        <v>0</v>
      </c>
      <c r="AL1305">
        <f t="shared" si="360"/>
        <v>0</v>
      </c>
      <c r="AM1305">
        <f t="shared" si="361"/>
        <v>0</v>
      </c>
      <c r="DH1305" t="str" cm="1">
        <f t="array" ref="DH1305">IF($A1305="","",_xlfn.LET(_xlpm.c,IFERROR(_xlfn.XLOOKUP($A1305,TRIM('Sales and count'!$A$4:$A$300&amp;""),TRIM('Sales and count'!$B$4:$B$300&amp;"")),""),IF(OR(_xlpm.c="",_xlpm.c="0",LEFT(_xlpm.c,1)="#"),"Not set",_xlpm.c)))</f>
        <v/>
      </c>
    </row>
    <row r="1306" spans="1:112" x14ac:dyDescent="0.25">
      <c r="A1306" t="str">
        <f>IF('Staff Daily sales'!$B1291="","",TRIM('Staff Daily sales'!$B1291&amp;""))</f>
        <v/>
      </c>
      <c r="B1306" t="str">
        <f>IF('Staff Daily sales'!$D1291="","",TRIM('Staff Daily sales'!$D1291&amp;""))</f>
        <v/>
      </c>
      <c r="C1306" t="str">
        <f>IFERROR(TRIM('Staff Daily sales'!$E1291&amp;""),"")</f>
        <v/>
      </c>
      <c r="D1306" t="str">
        <f>IFERROR(IF(TRIM('Staff Daily sales'!$F1291&amp;"")="","Unassigned",TRIM('Staff Daily sales'!$F1291&amp;"")),"Unassigned")</f>
        <v>Unassigned</v>
      </c>
      <c r="E1306">
        <f t="shared" si="346"/>
        <v>0</v>
      </c>
      <c r="F1306">
        <f>IF($E1306=0,0,SUMPRODUCT($AI$5:$DF$5,'Staff Daily sales'!$G1291:$CD1291))</f>
        <v>0</v>
      </c>
      <c r="G1306">
        <f>IF($E1306=0,0,SUMPRODUCT($AI$6:$DF$6,'Staff Daily sales'!$G1291:$CD1291))</f>
        <v>0</v>
      </c>
      <c r="H1306">
        <f t="shared" si="347"/>
        <v>0</v>
      </c>
      <c r="I1306">
        <f t="shared" si="348"/>
        <v>0</v>
      </c>
      <c r="J1306">
        <f t="shared" si="349"/>
        <v>0</v>
      </c>
      <c r="K1306">
        <f t="shared" si="350"/>
        <v>0</v>
      </c>
      <c r="L1306">
        <f>--AND($E1306=1,OR('Staff Dashboard'!$B$6="All",$DH1306='Staff Dashboard'!$B$6),OR('Staff Dashboard'!$B$7="All",$D1306='Staff Dashboard'!$B$7),OR('Staff Dashboard'!$B$8="All",$A1306='Staff Dashboard'!$B$8))</f>
        <v>0</v>
      </c>
      <c r="M1306">
        <f>IF($E1306=0,0,SUMPRODUCT($AI$7:$DF$7,'Staff Daily sales'!$G1291:$CD1291))</f>
        <v>0</v>
      </c>
      <c r="N1306">
        <f>IF($E1306=0,0,SUMPRODUCT($AI$8:$DF$8,'Staff Daily sales'!$G1291:$CD1291))</f>
        <v>0</v>
      </c>
      <c r="O1306">
        <f>IF($E1306=0,0,SUMPRODUCT($AI$9:$DF$9,'Staff Daily sales'!$G1291:$CD1291))</f>
        <v>0</v>
      </c>
      <c r="P1306">
        <f>IF($E1306=0,0,SUMPRODUCT($AI$10:$DF$10,'Staff Daily sales'!$G1291:$CD1291))</f>
        <v>0</v>
      </c>
      <c r="Q1306">
        <f>IF($E1306=0,0,SUMPRODUCT($AI$11:$DF$11,'Staff Daily sales'!$G1291:$CD1291))</f>
        <v>0</v>
      </c>
      <c r="R1306">
        <f>IF($E1306=0,0,SUMPRODUCT($AI$12:$DF$12,'Staff Daily sales'!$G1291:$CD1291))</f>
        <v>0</v>
      </c>
      <c r="S1306">
        <f>IF($E1306=0,0,SUMPRODUCT($AI$13:$DF$13,'Staff Daily sales'!$G1291:$CD1291))</f>
        <v>0</v>
      </c>
      <c r="T1306">
        <f>IF($E1306=0,0,SUMPRODUCT($AI$14:$DF$14,'Staff Daily sales'!$G1291:$CD1291))</f>
        <v>0</v>
      </c>
      <c r="U1306">
        <f>IF($E1306=0,0,SUMPRODUCT($AI$15:$DF$15,'Staff Daily sales'!$G1291:$CD1291))</f>
        <v>0</v>
      </c>
      <c r="V1306">
        <f>IF($E1306=0,0,SUMPRODUCT($AI$16:$DF$16,'Staff Daily sales'!$G1291:$CD1291))</f>
        <v>0</v>
      </c>
      <c r="W1306">
        <f t="shared" si="351"/>
        <v>0</v>
      </c>
      <c r="X1306">
        <f t="shared" si="352"/>
        <v>0</v>
      </c>
      <c r="Y1306">
        <f t="shared" si="353"/>
        <v>0</v>
      </c>
      <c r="Z1306">
        <f t="shared" si="354"/>
        <v>0</v>
      </c>
      <c r="AA1306">
        <f t="shared" si="355"/>
        <v>0</v>
      </c>
      <c r="AB1306">
        <f>--AND($E1306=1,OR('Staff Weekly Trend'!$B$3="All",$DH1306='Staff Weekly Trend'!$B$3),OR('Staff Weekly Trend'!$B$4="All",$D1306='Staff Weekly Trend'!$B$4),OR('Staff Weekly Trend'!$B$5="All",$A1306='Staff Weekly Trend'!$B$5))</f>
        <v>0</v>
      </c>
      <c r="AC1306" t="str">
        <f t="shared" si="356"/>
        <v/>
      </c>
      <c r="AI1306">
        <f t="shared" si="357"/>
        <v>0</v>
      </c>
      <c r="AJ1306">
        <f t="shared" si="358"/>
        <v>0</v>
      </c>
      <c r="AK1306">
        <f t="shared" si="359"/>
        <v>0</v>
      </c>
      <c r="AL1306">
        <f t="shared" si="360"/>
        <v>0</v>
      </c>
      <c r="AM1306">
        <f t="shared" si="361"/>
        <v>0</v>
      </c>
      <c r="DH1306" t="str" cm="1">
        <f t="array" ref="DH1306">IF($A1306="","",_xlfn.LET(_xlpm.c,IFERROR(_xlfn.XLOOKUP($A1306,TRIM('Sales and count'!$A$4:$A$300&amp;""),TRIM('Sales and count'!$B$4:$B$300&amp;"")),""),IF(OR(_xlpm.c="",_xlpm.c="0",LEFT(_xlpm.c,1)="#"),"Not set",_xlpm.c)))</f>
        <v/>
      </c>
    </row>
    <row r="1307" spans="1:112" x14ac:dyDescent="0.25">
      <c r="A1307" t="str">
        <f>IF('Staff Daily sales'!$B1292="","",TRIM('Staff Daily sales'!$B1292&amp;""))</f>
        <v/>
      </c>
      <c r="B1307" t="str">
        <f>IF('Staff Daily sales'!$D1292="","",TRIM('Staff Daily sales'!$D1292&amp;""))</f>
        <v/>
      </c>
      <c r="C1307" t="str">
        <f>IFERROR(TRIM('Staff Daily sales'!$E1292&amp;""),"")</f>
        <v/>
      </c>
      <c r="D1307" t="str">
        <f>IFERROR(IF(TRIM('Staff Daily sales'!$F1292&amp;"")="","Unassigned",TRIM('Staff Daily sales'!$F1292&amp;"")),"Unassigned")</f>
        <v>Unassigned</v>
      </c>
      <c r="E1307">
        <f t="shared" si="346"/>
        <v>0</v>
      </c>
      <c r="F1307">
        <f>IF($E1307=0,0,SUMPRODUCT($AI$5:$DF$5,'Staff Daily sales'!$G1292:$CD1292))</f>
        <v>0</v>
      </c>
      <c r="G1307">
        <f>IF($E1307=0,0,SUMPRODUCT($AI$6:$DF$6,'Staff Daily sales'!$G1292:$CD1292))</f>
        <v>0</v>
      </c>
      <c r="H1307">
        <f t="shared" si="347"/>
        <v>0</v>
      </c>
      <c r="I1307">
        <f t="shared" si="348"/>
        <v>0</v>
      </c>
      <c r="J1307">
        <f t="shared" si="349"/>
        <v>0</v>
      </c>
      <c r="K1307">
        <f t="shared" si="350"/>
        <v>0</v>
      </c>
      <c r="L1307">
        <f>--AND($E1307=1,OR('Staff Dashboard'!$B$6="All",$DH1307='Staff Dashboard'!$B$6),OR('Staff Dashboard'!$B$7="All",$D1307='Staff Dashboard'!$B$7),OR('Staff Dashboard'!$B$8="All",$A1307='Staff Dashboard'!$B$8))</f>
        <v>0</v>
      </c>
      <c r="M1307">
        <f>IF($E1307=0,0,SUMPRODUCT($AI$7:$DF$7,'Staff Daily sales'!$G1292:$CD1292))</f>
        <v>0</v>
      </c>
      <c r="N1307">
        <f>IF($E1307=0,0,SUMPRODUCT($AI$8:$DF$8,'Staff Daily sales'!$G1292:$CD1292))</f>
        <v>0</v>
      </c>
      <c r="O1307">
        <f>IF($E1307=0,0,SUMPRODUCT($AI$9:$DF$9,'Staff Daily sales'!$G1292:$CD1292))</f>
        <v>0</v>
      </c>
      <c r="P1307">
        <f>IF($E1307=0,0,SUMPRODUCT($AI$10:$DF$10,'Staff Daily sales'!$G1292:$CD1292))</f>
        <v>0</v>
      </c>
      <c r="Q1307">
        <f>IF($E1307=0,0,SUMPRODUCT($AI$11:$DF$11,'Staff Daily sales'!$G1292:$CD1292))</f>
        <v>0</v>
      </c>
      <c r="R1307">
        <f>IF($E1307=0,0,SUMPRODUCT($AI$12:$DF$12,'Staff Daily sales'!$G1292:$CD1292))</f>
        <v>0</v>
      </c>
      <c r="S1307">
        <f>IF($E1307=0,0,SUMPRODUCT($AI$13:$DF$13,'Staff Daily sales'!$G1292:$CD1292))</f>
        <v>0</v>
      </c>
      <c r="T1307">
        <f>IF($E1307=0,0,SUMPRODUCT($AI$14:$DF$14,'Staff Daily sales'!$G1292:$CD1292))</f>
        <v>0</v>
      </c>
      <c r="U1307">
        <f>IF($E1307=0,0,SUMPRODUCT($AI$15:$DF$15,'Staff Daily sales'!$G1292:$CD1292))</f>
        <v>0</v>
      </c>
      <c r="V1307">
        <f>IF($E1307=0,0,SUMPRODUCT($AI$16:$DF$16,'Staff Daily sales'!$G1292:$CD1292))</f>
        <v>0</v>
      </c>
      <c r="W1307">
        <f t="shared" si="351"/>
        <v>0</v>
      </c>
      <c r="X1307">
        <f t="shared" si="352"/>
        <v>0</v>
      </c>
      <c r="Y1307">
        <f t="shared" si="353"/>
        <v>0</v>
      </c>
      <c r="Z1307">
        <f t="shared" si="354"/>
        <v>0</v>
      </c>
      <c r="AA1307">
        <f t="shared" si="355"/>
        <v>0</v>
      </c>
      <c r="AB1307">
        <f>--AND($E1307=1,OR('Staff Weekly Trend'!$B$3="All",$DH1307='Staff Weekly Trend'!$B$3),OR('Staff Weekly Trend'!$B$4="All",$D1307='Staff Weekly Trend'!$B$4),OR('Staff Weekly Trend'!$B$5="All",$A1307='Staff Weekly Trend'!$B$5))</f>
        <v>0</v>
      </c>
      <c r="AC1307" t="str">
        <f t="shared" si="356"/>
        <v/>
      </c>
      <c r="AI1307">
        <f t="shared" si="357"/>
        <v>0</v>
      </c>
      <c r="AJ1307">
        <f t="shared" si="358"/>
        <v>0</v>
      </c>
      <c r="AK1307">
        <f t="shared" si="359"/>
        <v>0</v>
      </c>
      <c r="AL1307">
        <f t="shared" si="360"/>
        <v>0</v>
      </c>
      <c r="AM1307">
        <f t="shared" si="361"/>
        <v>0</v>
      </c>
      <c r="DH1307" t="str" cm="1">
        <f t="array" ref="DH1307">IF($A1307="","",_xlfn.LET(_xlpm.c,IFERROR(_xlfn.XLOOKUP($A1307,TRIM('Sales and count'!$A$4:$A$300&amp;""),TRIM('Sales and count'!$B$4:$B$300&amp;"")),""),IF(OR(_xlpm.c="",_xlpm.c="0",LEFT(_xlpm.c,1)="#"),"Not set",_xlpm.c)))</f>
        <v/>
      </c>
    </row>
    <row r="1308" spans="1:112" x14ac:dyDescent="0.25">
      <c r="A1308" t="str">
        <f>IF('Staff Daily sales'!$B1293="","",TRIM('Staff Daily sales'!$B1293&amp;""))</f>
        <v/>
      </c>
      <c r="B1308" t="str">
        <f>IF('Staff Daily sales'!$D1293="","",TRIM('Staff Daily sales'!$D1293&amp;""))</f>
        <v/>
      </c>
      <c r="C1308" t="str">
        <f>IFERROR(TRIM('Staff Daily sales'!$E1293&amp;""),"")</f>
        <v/>
      </c>
      <c r="D1308" t="str">
        <f>IFERROR(IF(TRIM('Staff Daily sales'!$F1293&amp;"")="","Unassigned",TRIM('Staff Daily sales'!$F1293&amp;"")),"Unassigned")</f>
        <v>Unassigned</v>
      </c>
      <c r="E1308">
        <f t="shared" si="346"/>
        <v>0</v>
      </c>
      <c r="F1308">
        <f>IF($E1308=0,0,SUMPRODUCT($AI$5:$DF$5,'Staff Daily sales'!$G1293:$CD1293))</f>
        <v>0</v>
      </c>
      <c r="G1308">
        <f>IF($E1308=0,0,SUMPRODUCT($AI$6:$DF$6,'Staff Daily sales'!$G1293:$CD1293))</f>
        <v>0</v>
      </c>
      <c r="H1308">
        <f t="shared" si="347"/>
        <v>0</v>
      </c>
      <c r="I1308">
        <f t="shared" si="348"/>
        <v>0</v>
      </c>
      <c r="J1308">
        <f t="shared" si="349"/>
        <v>0</v>
      </c>
      <c r="K1308">
        <f t="shared" si="350"/>
        <v>0</v>
      </c>
      <c r="L1308">
        <f>--AND($E1308=1,OR('Staff Dashboard'!$B$6="All",$DH1308='Staff Dashboard'!$B$6),OR('Staff Dashboard'!$B$7="All",$D1308='Staff Dashboard'!$B$7),OR('Staff Dashboard'!$B$8="All",$A1308='Staff Dashboard'!$B$8))</f>
        <v>0</v>
      </c>
      <c r="M1308">
        <f>IF($E1308=0,0,SUMPRODUCT($AI$7:$DF$7,'Staff Daily sales'!$G1293:$CD1293))</f>
        <v>0</v>
      </c>
      <c r="N1308">
        <f>IF($E1308=0,0,SUMPRODUCT($AI$8:$DF$8,'Staff Daily sales'!$G1293:$CD1293))</f>
        <v>0</v>
      </c>
      <c r="O1308">
        <f>IF($E1308=0,0,SUMPRODUCT($AI$9:$DF$9,'Staff Daily sales'!$G1293:$CD1293))</f>
        <v>0</v>
      </c>
      <c r="P1308">
        <f>IF($E1308=0,0,SUMPRODUCT($AI$10:$DF$10,'Staff Daily sales'!$G1293:$CD1293))</f>
        <v>0</v>
      </c>
      <c r="Q1308">
        <f>IF($E1308=0,0,SUMPRODUCT($AI$11:$DF$11,'Staff Daily sales'!$G1293:$CD1293))</f>
        <v>0</v>
      </c>
      <c r="R1308">
        <f>IF($E1308=0,0,SUMPRODUCT($AI$12:$DF$12,'Staff Daily sales'!$G1293:$CD1293))</f>
        <v>0</v>
      </c>
      <c r="S1308">
        <f>IF($E1308=0,0,SUMPRODUCT($AI$13:$DF$13,'Staff Daily sales'!$G1293:$CD1293))</f>
        <v>0</v>
      </c>
      <c r="T1308">
        <f>IF($E1308=0,0,SUMPRODUCT($AI$14:$DF$14,'Staff Daily sales'!$G1293:$CD1293))</f>
        <v>0</v>
      </c>
      <c r="U1308">
        <f>IF($E1308=0,0,SUMPRODUCT($AI$15:$DF$15,'Staff Daily sales'!$G1293:$CD1293))</f>
        <v>0</v>
      </c>
      <c r="V1308">
        <f>IF($E1308=0,0,SUMPRODUCT($AI$16:$DF$16,'Staff Daily sales'!$G1293:$CD1293))</f>
        <v>0</v>
      </c>
      <c r="W1308">
        <f t="shared" si="351"/>
        <v>0</v>
      </c>
      <c r="X1308">
        <f t="shared" si="352"/>
        <v>0</v>
      </c>
      <c r="Y1308">
        <f t="shared" si="353"/>
        <v>0</v>
      </c>
      <c r="Z1308">
        <f t="shared" si="354"/>
        <v>0</v>
      </c>
      <c r="AA1308">
        <f t="shared" si="355"/>
        <v>0</v>
      </c>
      <c r="AB1308">
        <f>--AND($E1308=1,OR('Staff Weekly Trend'!$B$3="All",$DH1308='Staff Weekly Trend'!$B$3),OR('Staff Weekly Trend'!$B$4="All",$D1308='Staff Weekly Trend'!$B$4),OR('Staff Weekly Trend'!$B$5="All",$A1308='Staff Weekly Trend'!$B$5))</f>
        <v>0</v>
      </c>
      <c r="AC1308" t="str">
        <f t="shared" si="356"/>
        <v/>
      </c>
      <c r="AI1308">
        <f t="shared" si="357"/>
        <v>0</v>
      </c>
      <c r="AJ1308">
        <f t="shared" si="358"/>
        <v>0</v>
      </c>
      <c r="AK1308">
        <f t="shared" si="359"/>
        <v>0</v>
      </c>
      <c r="AL1308">
        <f t="shared" si="360"/>
        <v>0</v>
      </c>
      <c r="AM1308">
        <f t="shared" si="361"/>
        <v>0</v>
      </c>
      <c r="DH1308" t="str" cm="1">
        <f t="array" ref="DH1308">IF($A1308="","",_xlfn.LET(_xlpm.c,IFERROR(_xlfn.XLOOKUP($A1308,TRIM('Sales and count'!$A$4:$A$300&amp;""),TRIM('Sales and count'!$B$4:$B$300&amp;"")),""),IF(OR(_xlpm.c="",_xlpm.c="0",LEFT(_xlpm.c,1)="#"),"Not set",_xlpm.c)))</f>
        <v/>
      </c>
    </row>
    <row r="1309" spans="1:112" x14ac:dyDescent="0.25">
      <c r="A1309" t="str">
        <f>IF('Staff Daily sales'!$B1294="","",TRIM('Staff Daily sales'!$B1294&amp;""))</f>
        <v/>
      </c>
      <c r="B1309" t="str">
        <f>IF('Staff Daily sales'!$D1294="","",TRIM('Staff Daily sales'!$D1294&amp;""))</f>
        <v/>
      </c>
      <c r="C1309" t="str">
        <f>IFERROR(TRIM('Staff Daily sales'!$E1294&amp;""),"")</f>
        <v/>
      </c>
      <c r="D1309" t="str">
        <f>IFERROR(IF(TRIM('Staff Daily sales'!$F1294&amp;"")="","Unassigned",TRIM('Staff Daily sales'!$F1294&amp;"")),"Unassigned")</f>
        <v>Unassigned</v>
      </c>
      <c r="E1309">
        <f t="shared" si="346"/>
        <v>0</v>
      </c>
      <c r="F1309">
        <f>IF($E1309=0,0,SUMPRODUCT($AI$5:$DF$5,'Staff Daily sales'!$G1294:$CD1294))</f>
        <v>0</v>
      </c>
      <c r="G1309">
        <f>IF($E1309=0,0,SUMPRODUCT($AI$6:$DF$6,'Staff Daily sales'!$G1294:$CD1294))</f>
        <v>0</v>
      </c>
      <c r="H1309">
        <f t="shared" si="347"/>
        <v>0</v>
      </c>
      <c r="I1309">
        <f t="shared" si="348"/>
        <v>0</v>
      </c>
      <c r="J1309">
        <f t="shared" si="349"/>
        <v>0</v>
      </c>
      <c r="K1309">
        <f t="shared" si="350"/>
        <v>0</v>
      </c>
      <c r="L1309">
        <f>--AND($E1309=1,OR('Staff Dashboard'!$B$6="All",$DH1309='Staff Dashboard'!$B$6),OR('Staff Dashboard'!$B$7="All",$D1309='Staff Dashboard'!$B$7),OR('Staff Dashboard'!$B$8="All",$A1309='Staff Dashboard'!$B$8))</f>
        <v>0</v>
      </c>
      <c r="M1309">
        <f>IF($E1309=0,0,SUMPRODUCT($AI$7:$DF$7,'Staff Daily sales'!$G1294:$CD1294))</f>
        <v>0</v>
      </c>
      <c r="N1309">
        <f>IF($E1309=0,0,SUMPRODUCT($AI$8:$DF$8,'Staff Daily sales'!$G1294:$CD1294))</f>
        <v>0</v>
      </c>
      <c r="O1309">
        <f>IF($E1309=0,0,SUMPRODUCT($AI$9:$DF$9,'Staff Daily sales'!$G1294:$CD1294))</f>
        <v>0</v>
      </c>
      <c r="P1309">
        <f>IF($E1309=0,0,SUMPRODUCT($AI$10:$DF$10,'Staff Daily sales'!$G1294:$CD1294))</f>
        <v>0</v>
      </c>
      <c r="Q1309">
        <f>IF($E1309=0,0,SUMPRODUCT($AI$11:$DF$11,'Staff Daily sales'!$G1294:$CD1294))</f>
        <v>0</v>
      </c>
      <c r="R1309">
        <f>IF($E1309=0,0,SUMPRODUCT($AI$12:$DF$12,'Staff Daily sales'!$G1294:$CD1294))</f>
        <v>0</v>
      </c>
      <c r="S1309">
        <f>IF($E1309=0,0,SUMPRODUCT($AI$13:$DF$13,'Staff Daily sales'!$G1294:$CD1294))</f>
        <v>0</v>
      </c>
      <c r="T1309">
        <f>IF($E1309=0,0,SUMPRODUCT($AI$14:$DF$14,'Staff Daily sales'!$G1294:$CD1294))</f>
        <v>0</v>
      </c>
      <c r="U1309">
        <f>IF($E1309=0,0,SUMPRODUCT($AI$15:$DF$15,'Staff Daily sales'!$G1294:$CD1294))</f>
        <v>0</v>
      </c>
      <c r="V1309">
        <f>IF($E1309=0,0,SUMPRODUCT($AI$16:$DF$16,'Staff Daily sales'!$G1294:$CD1294))</f>
        <v>0</v>
      </c>
      <c r="W1309">
        <f t="shared" si="351"/>
        <v>0</v>
      </c>
      <c r="X1309">
        <f t="shared" si="352"/>
        <v>0</v>
      </c>
      <c r="Y1309">
        <f t="shared" si="353"/>
        <v>0</v>
      </c>
      <c r="Z1309">
        <f t="shared" si="354"/>
        <v>0</v>
      </c>
      <c r="AA1309">
        <f t="shared" si="355"/>
        <v>0</v>
      </c>
      <c r="AB1309">
        <f>--AND($E1309=1,OR('Staff Weekly Trend'!$B$3="All",$DH1309='Staff Weekly Trend'!$B$3),OR('Staff Weekly Trend'!$B$4="All",$D1309='Staff Weekly Trend'!$B$4),OR('Staff Weekly Trend'!$B$5="All",$A1309='Staff Weekly Trend'!$B$5))</f>
        <v>0</v>
      </c>
      <c r="AC1309" t="str">
        <f t="shared" si="356"/>
        <v/>
      </c>
      <c r="AI1309">
        <f t="shared" si="357"/>
        <v>0</v>
      </c>
      <c r="AJ1309">
        <f t="shared" si="358"/>
        <v>0</v>
      </c>
      <c r="AK1309">
        <f t="shared" si="359"/>
        <v>0</v>
      </c>
      <c r="AL1309">
        <f t="shared" si="360"/>
        <v>0</v>
      </c>
      <c r="AM1309">
        <f t="shared" si="361"/>
        <v>0</v>
      </c>
      <c r="DH1309" t="str" cm="1">
        <f t="array" ref="DH1309">IF($A1309="","",_xlfn.LET(_xlpm.c,IFERROR(_xlfn.XLOOKUP($A1309,TRIM('Sales and count'!$A$4:$A$300&amp;""),TRIM('Sales and count'!$B$4:$B$300&amp;"")),""),IF(OR(_xlpm.c="",_xlpm.c="0",LEFT(_xlpm.c,1)="#"),"Not set",_xlpm.c)))</f>
        <v/>
      </c>
    </row>
    <row r="1310" spans="1:112" x14ac:dyDescent="0.25">
      <c r="A1310" t="str">
        <f>IF('Staff Daily sales'!$B1295="","",TRIM('Staff Daily sales'!$B1295&amp;""))</f>
        <v/>
      </c>
      <c r="B1310" t="str">
        <f>IF('Staff Daily sales'!$D1295="","",TRIM('Staff Daily sales'!$D1295&amp;""))</f>
        <v/>
      </c>
      <c r="C1310" t="str">
        <f>IFERROR(TRIM('Staff Daily sales'!$E1295&amp;""),"")</f>
        <v/>
      </c>
      <c r="D1310" t="str">
        <f>IFERROR(IF(TRIM('Staff Daily sales'!$F1295&amp;"")="","Unassigned",TRIM('Staff Daily sales'!$F1295&amp;"")),"Unassigned")</f>
        <v>Unassigned</v>
      </c>
      <c r="E1310">
        <f t="shared" si="346"/>
        <v>0</v>
      </c>
      <c r="F1310">
        <f>IF($E1310=0,0,SUMPRODUCT($AI$5:$DF$5,'Staff Daily sales'!$G1295:$CD1295))</f>
        <v>0</v>
      </c>
      <c r="G1310">
        <f>IF($E1310=0,0,SUMPRODUCT($AI$6:$DF$6,'Staff Daily sales'!$G1295:$CD1295))</f>
        <v>0</v>
      </c>
      <c r="H1310">
        <f t="shared" si="347"/>
        <v>0</v>
      </c>
      <c r="I1310">
        <f t="shared" si="348"/>
        <v>0</v>
      </c>
      <c r="J1310">
        <f t="shared" si="349"/>
        <v>0</v>
      </c>
      <c r="K1310">
        <f t="shared" si="350"/>
        <v>0</v>
      </c>
      <c r="L1310">
        <f>--AND($E1310=1,OR('Staff Dashboard'!$B$6="All",$DH1310='Staff Dashboard'!$B$6),OR('Staff Dashboard'!$B$7="All",$D1310='Staff Dashboard'!$B$7),OR('Staff Dashboard'!$B$8="All",$A1310='Staff Dashboard'!$B$8))</f>
        <v>0</v>
      </c>
      <c r="M1310">
        <f>IF($E1310=0,0,SUMPRODUCT($AI$7:$DF$7,'Staff Daily sales'!$G1295:$CD1295))</f>
        <v>0</v>
      </c>
      <c r="N1310">
        <f>IF($E1310=0,0,SUMPRODUCT($AI$8:$DF$8,'Staff Daily sales'!$G1295:$CD1295))</f>
        <v>0</v>
      </c>
      <c r="O1310">
        <f>IF($E1310=0,0,SUMPRODUCT($AI$9:$DF$9,'Staff Daily sales'!$G1295:$CD1295))</f>
        <v>0</v>
      </c>
      <c r="P1310">
        <f>IF($E1310=0,0,SUMPRODUCT($AI$10:$DF$10,'Staff Daily sales'!$G1295:$CD1295))</f>
        <v>0</v>
      </c>
      <c r="Q1310">
        <f>IF($E1310=0,0,SUMPRODUCT($AI$11:$DF$11,'Staff Daily sales'!$G1295:$CD1295))</f>
        <v>0</v>
      </c>
      <c r="R1310">
        <f>IF($E1310=0,0,SUMPRODUCT($AI$12:$DF$12,'Staff Daily sales'!$G1295:$CD1295))</f>
        <v>0</v>
      </c>
      <c r="S1310">
        <f>IF($E1310=0,0,SUMPRODUCT($AI$13:$DF$13,'Staff Daily sales'!$G1295:$CD1295))</f>
        <v>0</v>
      </c>
      <c r="T1310">
        <f>IF($E1310=0,0,SUMPRODUCT($AI$14:$DF$14,'Staff Daily sales'!$G1295:$CD1295))</f>
        <v>0</v>
      </c>
      <c r="U1310">
        <f>IF($E1310=0,0,SUMPRODUCT($AI$15:$DF$15,'Staff Daily sales'!$G1295:$CD1295))</f>
        <v>0</v>
      </c>
      <c r="V1310">
        <f>IF($E1310=0,0,SUMPRODUCT($AI$16:$DF$16,'Staff Daily sales'!$G1295:$CD1295))</f>
        <v>0</v>
      </c>
      <c r="W1310">
        <f t="shared" si="351"/>
        <v>0</v>
      </c>
      <c r="X1310">
        <f t="shared" si="352"/>
        <v>0</v>
      </c>
      <c r="Y1310">
        <f t="shared" si="353"/>
        <v>0</v>
      </c>
      <c r="Z1310">
        <f t="shared" si="354"/>
        <v>0</v>
      </c>
      <c r="AA1310">
        <f t="shared" si="355"/>
        <v>0</v>
      </c>
      <c r="AB1310">
        <f>--AND($E1310=1,OR('Staff Weekly Trend'!$B$3="All",$DH1310='Staff Weekly Trend'!$B$3),OR('Staff Weekly Trend'!$B$4="All",$D1310='Staff Weekly Trend'!$B$4),OR('Staff Weekly Trend'!$B$5="All",$A1310='Staff Weekly Trend'!$B$5))</f>
        <v>0</v>
      </c>
      <c r="AC1310" t="str">
        <f t="shared" si="356"/>
        <v/>
      </c>
      <c r="AI1310">
        <f t="shared" si="357"/>
        <v>0</v>
      </c>
      <c r="AJ1310">
        <f t="shared" si="358"/>
        <v>0</v>
      </c>
      <c r="AK1310">
        <f t="shared" si="359"/>
        <v>0</v>
      </c>
      <c r="AL1310">
        <f t="shared" si="360"/>
        <v>0</v>
      </c>
      <c r="AM1310">
        <f t="shared" si="361"/>
        <v>0</v>
      </c>
      <c r="DH1310" t="str" cm="1">
        <f t="array" ref="DH1310">IF($A1310="","",_xlfn.LET(_xlpm.c,IFERROR(_xlfn.XLOOKUP($A1310,TRIM('Sales and count'!$A$4:$A$300&amp;""),TRIM('Sales and count'!$B$4:$B$300&amp;"")),""),IF(OR(_xlpm.c="",_xlpm.c="0",LEFT(_xlpm.c,1)="#"),"Not set",_xlpm.c)))</f>
        <v/>
      </c>
    </row>
    <row r="1311" spans="1:112" x14ac:dyDescent="0.25">
      <c r="A1311" t="str">
        <f>IF('Staff Daily sales'!$B1296="","",TRIM('Staff Daily sales'!$B1296&amp;""))</f>
        <v/>
      </c>
      <c r="B1311" t="str">
        <f>IF('Staff Daily sales'!$D1296="","",TRIM('Staff Daily sales'!$D1296&amp;""))</f>
        <v/>
      </c>
      <c r="C1311" t="str">
        <f>IFERROR(TRIM('Staff Daily sales'!$E1296&amp;""),"")</f>
        <v/>
      </c>
      <c r="D1311" t="str">
        <f>IFERROR(IF(TRIM('Staff Daily sales'!$F1296&amp;"")="","Unassigned",TRIM('Staff Daily sales'!$F1296&amp;"")),"Unassigned")</f>
        <v>Unassigned</v>
      </c>
      <c r="E1311">
        <f t="shared" si="346"/>
        <v>0</v>
      </c>
      <c r="F1311">
        <f>IF($E1311=0,0,SUMPRODUCT($AI$5:$DF$5,'Staff Daily sales'!$G1296:$CD1296))</f>
        <v>0</v>
      </c>
      <c r="G1311">
        <f>IF($E1311=0,0,SUMPRODUCT($AI$6:$DF$6,'Staff Daily sales'!$G1296:$CD1296))</f>
        <v>0</v>
      </c>
      <c r="H1311">
        <f t="shared" si="347"/>
        <v>0</v>
      </c>
      <c r="I1311">
        <f t="shared" si="348"/>
        <v>0</v>
      </c>
      <c r="J1311">
        <f t="shared" si="349"/>
        <v>0</v>
      </c>
      <c r="K1311">
        <f t="shared" si="350"/>
        <v>0</v>
      </c>
      <c r="L1311">
        <f>--AND($E1311=1,OR('Staff Dashboard'!$B$6="All",$DH1311='Staff Dashboard'!$B$6),OR('Staff Dashboard'!$B$7="All",$D1311='Staff Dashboard'!$B$7),OR('Staff Dashboard'!$B$8="All",$A1311='Staff Dashboard'!$B$8))</f>
        <v>0</v>
      </c>
      <c r="M1311">
        <f>IF($E1311=0,0,SUMPRODUCT($AI$7:$DF$7,'Staff Daily sales'!$G1296:$CD1296))</f>
        <v>0</v>
      </c>
      <c r="N1311">
        <f>IF($E1311=0,0,SUMPRODUCT($AI$8:$DF$8,'Staff Daily sales'!$G1296:$CD1296))</f>
        <v>0</v>
      </c>
      <c r="O1311">
        <f>IF($E1311=0,0,SUMPRODUCT($AI$9:$DF$9,'Staff Daily sales'!$G1296:$CD1296))</f>
        <v>0</v>
      </c>
      <c r="P1311">
        <f>IF($E1311=0,0,SUMPRODUCT($AI$10:$DF$10,'Staff Daily sales'!$G1296:$CD1296))</f>
        <v>0</v>
      </c>
      <c r="Q1311">
        <f>IF($E1311=0,0,SUMPRODUCT($AI$11:$DF$11,'Staff Daily sales'!$G1296:$CD1296))</f>
        <v>0</v>
      </c>
      <c r="R1311">
        <f>IF($E1311=0,0,SUMPRODUCT($AI$12:$DF$12,'Staff Daily sales'!$G1296:$CD1296))</f>
        <v>0</v>
      </c>
      <c r="S1311">
        <f>IF($E1311=0,0,SUMPRODUCT($AI$13:$DF$13,'Staff Daily sales'!$G1296:$CD1296))</f>
        <v>0</v>
      </c>
      <c r="T1311">
        <f>IF($E1311=0,0,SUMPRODUCT($AI$14:$DF$14,'Staff Daily sales'!$G1296:$CD1296))</f>
        <v>0</v>
      </c>
      <c r="U1311">
        <f>IF($E1311=0,0,SUMPRODUCT($AI$15:$DF$15,'Staff Daily sales'!$G1296:$CD1296))</f>
        <v>0</v>
      </c>
      <c r="V1311">
        <f>IF($E1311=0,0,SUMPRODUCT($AI$16:$DF$16,'Staff Daily sales'!$G1296:$CD1296))</f>
        <v>0</v>
      </c>
      <c r="W1311">
        <f t="shared" si="351"/>
        <v>0</v>
      </c>
      <c r="X1311">
        <f t="shared" si="352"/>
        <v>0</v>
      </c>
      <c r="Y1311">
        <f t="shared" si="353"/>
        <v>0</v>
      </c>
      <c r="Z1311">
        <f t="shared" si="354"/>
        <v>0</v>
      </c>
      <c r="AA1311">
        <f t="shared" si="355"/>
        <v>0</v>
      </c>
      <c r="AB1311">
        <f>--AND($E1311=1,OR('Staff Weekly Trend'!$B$3="All",$DH1311='Staff Weekly Trend'!$B$3),OR('Staff Weekly Trend'!$B$4="All",$D1311='Staff Weekly Trend'!$B$4),OR('Staff Weekly Trend'!$B$5="All",$A1311='Staff Weekly Trend'!$B$5))</f>
        <v>0</v>
      </c>
      <c r="AC1311" t="str">
        <f t="shared" si="356"/>
        <v/>
      </c>
      <c r="AI1311">
        <f t="shared" si="357"/>
        <v>0</v>
      </c>
      <c r="AJ1311">
        <f t="shared" si="358"/>
        <v>0</v>
      </c>
      <c r="AK1311">
        <f t="shared" si="359"/>
        <v>0</v>
      </c>
      <c r="AL1311">
        <f t="shared" si="360"/>
        <v>0</v>
      </c>
      <c r="AM1311">
        <f t="shared" si="361"/>
        <v>0</v>
      </c>
      <c r="DH1311" t="str" cm="1">
        <f t="array" ref="DH1311">IF($A1311="","",_xlfn.LET(_xlpm.c,IFERROR(_xlfn.XLOOKUP($A1311,TRIM('Sales and count'!$A$4:$A$300&amp;""),TRIM('Sales and count'!$B$4:$B$300&amp;"")),""),IF(OR(_xlpm.c="",_xlpm.c="0",LEFT(_xlpm.c,1)="#"),"Not set",_xlpm.c)))</f>
        <v/>
      </c>
    </row>
    <row r="1312" spans="1:112" x14ac:dyDescent="0.25">
      <c r="A1312" t="str">
        <f>IF('Staff Daily sales'!$B1297="","",TRIM('Staff Daily sales'!$B1297&amp;""))</f>
        <v/>
      </c>
      <c r="B1312" t="str">
        <f>IF('Staff Daily sales'!$D1297="","",TRIM('Staff Daily sales'!$D1297&amp;""))</f>
        <v/>
      </c>
      <c r="C1312" t="str">
        <f>IFERROR(TRIM('Staff Daily sales'!$E1297&amp;""),"")</f>
        <v/>
      </c>
      <c r="D1312" t="str">
        <f>IFERROR(IF(TRIM('Staff Daily sales'!$F1297&amp;"")="","Unassigned",TRIM('Staff Daily sales'!$F1297&amp;"")),"Unassigned")</f>
        <v>Unassigned</v>
      </c>
      <c r="E1312">
        <f t="shared" si="346"/>
        <v>0</v>
      </c>
      <c r="F1312">
        <f>IF($E1312=0,0,SUMPRODUCT($AI$5:$DF$5,'Staff Daily sales'!$G1297:$CD1297))</f>
        <v>0</v>
      </c>
      <c r="G1312">
        <f>IF($E1312=0,0,SUMPRODUCT($AI$6:$DF$6,'Staff Daily sales'!$G1297:$CD1297))</f>
        <v>0</v>
      </c>
      <c r="H1312">
        <f t="shared" si="347"/>
        <v>0</v>
      </c>
      <c r="I1312">
        <f t="shared" si="348"/>
        <v>0</v>
      </c>
      <c r="J1312">
        <f t="shared" si="349"/>
        <v>0</v>
      </c>
      <c r="K1312">
        <f t="shared" si="350"/>
        <v>0</v>
      </c>
      <c r="L1312">
        <f>--AND($E1312=1,OR('Staff Dashboard'!$B$6="All",$DH1312='Staff Dashboard'!$B$6),OR('Staff Dashboard'!$B$7="All",$D1312='Staff Dashboard'!$B$7),OR('Staff Dashboard'!$B$8="All",$A1312='Staff Dashboard'!$B$8))</f>
        <v>0</v>
      </c>
      <c r="M1312">
        <f>IF($E1312=0,0,SUMPRODUCT($AI$7:$DF$7,'Staff Daily sales'!$G1297:$CD1297))</f>
        <v>0</v>
      </c>
      <c r="N1312">
        <f>IF($E1312=0,0,SUMPRODUCT($AI$8:$DF$8,'Staff Daily sales'!$G1297:$CD1297))</f>
        <v>0</v>
      </c>
      <c r="O1312">
        <f>IF($E1312=0,0,SUMPRODUCT($AI$9:$DF$9,'Staff Daily sales'!$G1297:$CD1297))</f>
        <v>0</v>
      </c>
      <c r="P1312">
        <f>IF($E1312=0,0,SUMPRODUCT($AI$10:$DF$10,'Staff Daily sales'!$G1297:$CD1297))</f>
        <v>0</v>
      </c>
      <c r="Q1312">
        <f>IF($E1312=0,0,SUMPRODUCT($AI$11:$DF$11,'Staff Daily sales'!$G1297:$CD1297))</f>
        <v>0</v>
      </c>
      <c r="R1312">
        <f>IF($E1312=0,0,SUMPRODUCT($AI$12:$DF$12,'Staff Daily sales'!$G1297:$CD1297))</f>
        <v>0</v>
      </c>
      <c r="S1312">
        <f>IF($E1312=0,0,SUMPRODUCT($AI$13:$DF$13,'Staff Daily sales'!$G1297:$CD1297))</f>
        <v>0</v>
      </c>
      <c r="T1312">
        <f>IF($E1312=0,0,SUMPRODUCT($AI$14:$DF$14,'Staff Daily sales'!$G1297:$CD1297))</f>
        <v>0</v>
      </c>
      <c r="U1312">
        <f>IF($E1312=0,0,SUMPRODUCT($AI$15:$DF$15,'Staff Daily sales'!$G1297:$CD1297))</f>
        <v>0</v>
      </c>
      <c r="V1312">
        <f>IF($E1312=0,0,SUMPRODUCT($AI$16:$DF$16,'Staff Daily sales'!$G1297:$CD1297))</f>
        <v>0</v>
      </c>
      <c r="W1312">
        <f t="shared" si="351"/>
        <v>0</v>
      </c>
      <c r="X1312">
        <f t="shared" si="352"/>
        <v>0</v>
      </c>
      <c r="Y1312">
        <f t="shared" si="353"/>
        <v>0</v>
      </c>
      <c r="Z1312">
        <f t="shared" si="354"/>
        <v>0</v>
      </c>
      <c r="AA1312">
        <f t="shared" si="355"/>
        <v>0</v>
      </c>
      <c r="AB1312">
        <f>--AND($E1312=1,OR('Staff Weekly Trend'!$B$3="All",$DH1312='Staff Weekly Trend'!$B$3),OR('Staff Weekly Trend'!$B$4="All",$D1312='Staff Weekly Trend'!$B$4),OR('Staff Weekly Trend'!$B$5="All",$A1312='Staff Weekly Trend'!$B$5))</f>
        <v>0</v>
      </c>
      <c r="AC1312" t="str">
        <f t="shared" si="356"/>
        <v/>
      </c>
      <c r="AI1312">
        <f t="shared" si="357"/>
        <v>0</v>
      </c>
      <c r="AJ1312">
        <f t="shared" si="358"/>
        <v>0</v>
      </c>
      <c r="AK1312">
        <f t="shared" si="359"/>
        <v>0</v>
      </c>
      <c r="AL1312">
        <f t="shared" si="360"/>
        <v>0</v>
      </c>
      <c r="AM1312">
        <f t="shared" si="361"/>
        <v>0</v>
      </c>
      <c r="DH1312" t="str" cm="1">
        <f t="array" ref="DH1312">IF($A1312="","",_xlfn.LET(_xlpm.c,IFERROR(_xlfn.XLOOKUP($A1312,TRIM('Sales and count'!$A$4:$A$300&amp;""),TRIM('Sales and count'!$B$4:$B$300&amp;"")),""),IF(OR(_xlpm.c="",_xlpm.c="0",LEFT(_xlpm.c,1)="#"),"Not set",_xlpm.c)))</f>
        <v/>
      </c>
    </row>
    <row r="1313" spans="1:112" x14ac:dyDescent="0.25">
      <c r="A1313" t="str">
        <f>IF('Staff Daily sales'!$B1298="","",TRIM('Staff Daily sales'!$B1298&amp;""))</f>
        <v/>
      </c>
      <c r="B1313" t="str">
        <f>IF('Staff Daily sales'!$D1298="","",TRIM('Staff Daily sales'!$D1298&amp;""))</f>
        <v/>
      </c>
      <c r="C1313" t="str">
        <f>IFERROR(TRIM('Staff Daily sales'!$E1298&amp;""),"")</f>
        <v/>
      </c>
      <c r="D1313" t="str">
        <f>IFERROR(IF(TRIM('Staff Daily sales'!$F1298&amp;"")="","Unassigned",TRIM('Staff Daily sales'!$F1298&amp;"")),"Unassigned")</f>
        <v>Unassigned</v>
      </c>
      <c r="E1313">
        <f t="shared" si="346"/>
        <v>0</v>
      </c>
      <c r="F1313">
        <f>IF($E1313=0,0,SUMPRODUCT($AI$5:$DF$5,'Staff Daily sales'!$G1298:$CD1298))</f>
        <v>0</v>
      </c>
      <c r="G1313">
        <f>IF($E1313=0,0,SUMPRODUCT($AI$6:$DF$6,'Staff Daily sales'!$G1298:$CD1298))</f>
        <v>0</v>
      </c>
      <c r="H1313">
        <f t="shared" si="347"/>
        <v>0</v>
      </c>
      <c r="I1313">
        <f t="shared" si="348"/>
        <v>0</v>
      </c>
      <c r="J1313">
        <f t="shared" si="349"/>
        <v>0</v>
      </c>
      <c r="K1313">
        <f t="shared" si="350"/>
        <v>0</v>
      </c>
      <c r="L1313">
        <f>--AND($E1313=1,OR('Staff Dashboard'!$B$6="All",$DH1313='Staff Dashboard'!$B$6),OR('Staff Dashboard'!$B$7="All",$D1313='Staff Dashboard'!$B$7),OR('Staff Dashboard'!$B$8="All",$A1313='Staff Dashboard'!$B$8))</f>
        <v>0</v>
      </c>
      <c r="M1313">
        <f>IF($E1313=0,0,SUMPRODUCT($AI$7:$DF$7,'Staff Daily sales'!$G1298:$CD1298))</f>
        <v>0</v>
      </c>
      <c r="N1313">
        <f>IF($E1313=0,0,SUMPRODUCT($AI$8:$DF$8,'Staff Daily sales'!$G1298:$CD1298))</f>
        <v>0</v>
      </c>
      <c r="O1313">
        <f>IF($E1313=0,0,SUMPRODUCT($AI$9:$DF$9,'Staff Daily sales'!$G1298:$CD1298))</f>
        <v>0</v>
      </c>
      <c r="P1313">
        <f>IF($E1313=0,0,SUMPRODUCT($AI$10:$DF$10,'Staff Daily sales'!$G1298:$CD1298))</f>
        <v>0</v>
      </c>
      <c r="Q1313">
        <f>IF($E1313=0,0,SUMPRODUCT($AI$11:$DF$11,'Staff Daily sales'!$G1298:$CD1298))</f>
        <v>0</v>
      </c>
      <c r="R1313">
        <f>IF($E1313=0,0,SUMPRODUCT($AI$12:$DF$12,'Staff Daily sales'!$G1298:$CD1298))</f>
        <v>0</v>
      </c>
      <c r="S1313">
        <f>IF($E1313=0,0,SUMPRODUCT($AI$13:$DF$13,'Staff Daily sales'!$G1298:$CD1298))</f>
        <v>0</v>
      </c>
      <c r="T1313">
        <f>IF($E1313=0,0,SUMPRODUCT($AI$14:$DF$14,'Staff Daily sales'!$G1298:$CD1298))</f>
        <v>0</v>
      </c>
      <c r="U1313">
        <f>IF($E1313=0,0,SUMPRODUCT($AI$15:$DF$15,'Staff Daily sales'!$G1298:$CD1298))</f>
        <v>0</v>
      </c>
      <c r="V1313">
        <f>IF($E1313=0,0,SUMPRODUCT($AI$16:$DF$16,'Staff Daily sales'!$G1298:$CD1298))</f>
        <v>0</v>
      </c>
      <c r="W1313">
        <f t="shared" si="351"/>
        <v>0</v>
      </c>
      <c r="X1313">
        <f t="shared" si="352"/>
        <v>0</v>
      </c>
      <c r="Y1313">
        <f t="shared" si="353"/>
        <v>0</v>
      </c>
      <c r="Z1313">
        <f t="shared" si="354"/>
        <v>0</v>
      </c>
      <c r="AA1313">
        <f t="shared" si="355"/>
        <v>0</v>
      </c>
      <c r="AB1313">
        <f>--AND($E1313=1,OR('Staff Weekly Trend'!$B$3="All",$DH1313='Staff Weekly Trend'!$B$3),OR('Staff Weekly Trend'!$B$4="All",$D1313='Staff Weekly Trend'!$B$4),OR('Staff Weekly Trend'!$B$5="All",$A1313='Staff Weekly Trend'!$B$5))</f>
        <v>0</v>
      </c>
      <c r="AC1313" t="str">
        <f t="shared" si="356"/>
        <v/>
      </c>
      <c r="AI1313">
        <f t="shared" si="357"/>
        <v>0</v>
      </c>
      <c r="AJ1313">
        <f t="shared" si="358"/>
        <v>0</v>
      </c>
      <c r="AK1313">
        <f t="shared" si="359"/>
        <v>0</v>
      </c>
      <c r="AL1313">
        <f t="shared" si="360"/>
        <v>0</v>
      </c>
      <c r="AM1313">
        <f t="shared" si="361"/>
        <v>0</v>
      </c>
      <c r="DH1313" t="str" cm="1">
        <f t="array" ref="DH1313">IF($A1313="","",_xlfn.LET(_xlpm.c,IFERROR(_xlfn.XLOOKUP($A1313,TRIM('Sales and count'!$A$4:$A$300&amp;""),TRIM('Sales and count'!$B$4:$B$300&amp;"")),""),IF(OR(_xlpm.c="",_xlpm.c="0",LEFT(_xlpm.c,1)="#"),"Not set",_xlpm.c)))</f>
        <v/>
      </c>
    </row>
    <row r="1314" spans="1:112" x14ac:dyDescent="0.25">
      <c r="A1314" t="str">
        <f>IF('Staff Daily sales'!$B1299="","",TRIM('Staff Daily sales'!$B1299&amp;""))</f>
        <v/>
      </c>
      <c r="B1314" t="str">
        <f>IF('Staff Daily sales'!$D1299="","",TRIM('Staff Daily sales'!$D1299&amp;""))</f>
        <v/>
      </c>
      <c r="C1314" t="str">
        <f>IFERROR(TRIM('Staff Daily sales'!$E1299&amp;""),"")</f>
        <v/>
      </c>
      <c r="D1314" t="str">
        <f>IFERROR(IF(TRIM('Staff Daily sales'!$F1299&amp;"")="","Unassigned",TRIM('Staff Daily sales'!$F1299&amp;"")),"Unassigned")</f>
        <v>Unassigned</v>
      </c>
      <c r="E1314">
        <f t="shared" si="346"/>
        <v>0</v>
      </c>
      <c r="F1314">
        <f>IF($E1314=0,0,SUMPRODUCT($AI$5:$DF$5,'Staff Daily sales'!$G1299:$CD1299))</f>
        <v>0</v>
      </c>
      <c r="G1314">
        <f>IF($E1314=0,0,SUMPRODUCT($AI$6:$DF$6,'Staff Daily sales'!$G1299:$CD1299))</f>
        <v>0</v>
      </c>
      <c r="H1314">
        <f t="shared" si="347"/>
        <v>0</v>
      </c>
      <c r="I1314">
        <f t="shared" si="348"/>
        <v>0</v>
      </c>
      <c r="J1314">
        <f t="shared" si="349"/>
        <v>0</v>
      </c>
      <c r="K1314">
        <f t="shared" si="350"/>
        <v>0</v>
      </c>
      <c r="L1314">
        <f>--AND($E1314=1,OR('Staff Dashboard'!$B$6="All",$DH1314='Staff Dashboard'!$B$6),OR('Staff Dashboard'!$B$7="All",$D1314='Staff Dashboard'!$B$7),OR('Staff Dashboard'!$B$8="All",$A1314='Staff Dashboard'!$B$8))</f>
        <v>0</v>
      </c>
      <c r="M1314">
        <f>IF($E1314=0,0,SUMPRODUCT($AI$7:$DF$7,'Staff Daily sales'!$G1299:$CD1299))</f>
        <v>0</v>
      </c>
      <c r="N1314">
        <f>IF($E1314=0,0,SUMPRODUCT($AI$8:$DF$8,'Staff Daily sales'!$G1299:$CD1299))</f>
        <v>0</v>
      </c>
      <c r="O1314">
        <f>IF($E1314=0,0,SUMPRODUCT($AI$9:$DF$9,'Staff Daily sales'!$G1299:$CD1299))</f>
        <v>0</v>
      </c>
      <c r="P1314">
        <f>IF($E1314=0,0,SUMPRODUCT($AI$10:$DF$10,'Staff Daily sales'!$G1299:$CD1299))</f>
        <v>0</v>
      </c>
      <c r="Q1314">
        <f>IF($E1314=0,0,SUMPRODUCT($AI$11:$DF$11,'Staff Daily sales'!$G1299:$CD1299))</f>
        <v>0</v>
      </c>
      <c r="R1314">
        <f>IF($E1314=0,0,SUMPRODUCT($AI$12:$DF$12,'Staff Daily sales'!$G1299:$CD1299))</f>
        <v>0</v>
      </c>
      <c r="S1314">
        <f>IF($E1314=0,0,SUMPRODUCT($AI$13:$DF$13,'Staff Daily sales'!$G1299:$CD1299))</f>
        <v>0</v>
      </c>
      <c r="T1314">
        <f>IF($E1314=0,0,SUMPRODUCT($AI$14:$DF$14,'Staff Daily sales'!$G1299:$CD1299))</f>
        <v>0</v>
      </c>
      <c r="U1314">
        <f>IF($E1314=0,0,SUMPRODUCT($AI$15:$DF$15,'Staff Daily sales'!$G1299:$CD1299))</f>
        <v>0</v>
      </c>
      <c r="V1314">
        <f>IF($E1314=0,0,SUMPRODUCT($AI$16:$DF$16,'Staff Daily sales'!$G1299:$CD1299))</f>
        <v>0</v>
      </c>
      <c r="W1314">
        <f t="shared" si="351"/>
        <v>0</v>
      </c>
      <c r="X1314">
        <f t="shared" si="352"/>
        <v>0</v>
      </c>
      <c r="Y1314">
        <f t="shared" si="353"/>
        <v>0</v>
      </c>
      <c r="Z1314">
        <f t="shared" si="354"/>
        <v>0</v>
      </c>
      <c r="AA1314">
        <f t="shared" si="355"/>
        <v>0</v>
      </c>
      <c r="AB1314">
        <f>--AND($E1314=1,OR('Staff Weekly Trend'!$B$3="All",$DH1314='Staff Weekly Trend'!$B$3),OR('Staff Weekly Trend'!$B$4="All",$D1314='Staff Weekly Trend'!$B$4),OR('Staff Weekly Trend'!$B$5="All",$A1314='Staff Weekly Trend'!$B$5))</f>
        <v>0</v>
      </c>
      <c r="AC1314" t="str">
        <f t="shared" si="356"/>
        <v/>
      </c>
      <c r="AI1314">
        <f t="shared" si="357"/>
        <v>0</v>
      </c>
      <c r="AJ1314">
        <f t="shared" si="358"/>
        <v>0</v>
      </c>
      <c r="AK1314">
        <f t="shared" si="359"/>
        <v>0</v>
      </c>
      <c r="AL1314">
        <f t="shared" si="360"/>
        <v>0</v>
      </c>
      <c r="AM1314">
        <f t="shared" si="361"/>
        <v>0</v>
      </c>
      <c r="DH1314" t="str" cm="1">
        <f t="array" ref="DH1314">IF($A1314="","",_xlfn.LET(_xlpm.c,IFERROR(_xlfn.XLOOKUP($A1314,TRIM('Sales and count'!$A$4:$A$300&amp;""),TRIM('Sales and count'!$B$4:$B$300&amp;"")),""),IF(OR(_xlpm.c="",_xlpm.c="0",LEFT(_xlpm.c,1)="#"),"Not set",_xlpm.c)))</f>
        <v/>
      </c>
    </row>
    <row r="1315" spans="1:112" x14ac:dyDescent="0.25">
      <c r="A1315" t="str">
        <f>IF('Staff Daily sales'!$B1300="","",TRIM('Staff Daily sales'!$B1300&amp;""))</f>
        <v/>
      </c>
      <c r="B1315" t="str">
        <f>IF('Staff Daily sales'!$D1300="","",TRIM('Staff Daily sales'!$D1300&amp;""))</f>
        <v/>
      </c>
      <c r="C1315" t="str">
        <f>IFERROR(TRIM('Staff Daily sales'!$E1300&amp;""),"")</f>
        <v/>
      </c>
      <c r="D1315" t="str">
        <f>IFERROR(IF(TRIM('Staff Daily sales'!$F1300&amp;"")="","Unassigned",TRIM('Staff Daily sales'!$F1300&amp;"")),"Unassigned")</f>
        <v>Unassigned</v>
      </c>
      <c r="E1315">
        <f t="shared" si="346"/>
        <v>0</v>
      </c>
      <c r="F1315">
        <f>IF($E1315=0,0,SUMPRODUCT($AI$5:$DF$5,'Staff Daily sales'!$G1300:$CD1300))</f>
        <v>0</v>
      </c>
      <c r="G1315">
        <f>IF($E1315=0,0,SUMPRODUCT($AI$6:$DF$6,'Staff Daily sales'!$G1300:$CD1300))</f>
        <v>0</v>
      </c>
      <c r="H1315">
        <f t="shared" si="347"/>
        <v>0</v>
      </c>
      <c r="I1315">
        <f t="shared" si="348"/>
        <v>0</v>
      </c>
      <c r="J1315">
        <f t="shared" si="349"/>
        <v>0</v>
      </c>
      <c r="K1315">
        <f t="shared" si="350"/>
        <v>0</v>
      </c>
      <c r="L1315">
        <f>--AND($E1315=1,OR('Staff Dashboard'!$B$6="All",$DH1315='Staff Dashboard'!$B$6),OR('Staff Dashboard'!$B$7="All",$D1315='Staff Dashboard'!$B$7),OR('Staff Dashboard'!$B$8="All",$A1315='Staff Dashboard'!$B$8))</f>
        <v>0</v>
      </c>
      <c r="M1315">
        <f>IF($E1315=0,0,SUMPRODUCT($AI$7:$DF$7,'Staff Daily sales'!$G1300:$CD1300))</f>
        <v>0</v>
      </c>
      <c r="N1315">
        <f>IF($E1315=0,0,SUMPRODUCT($AI$8:$DF$8,'Staff Daily sales'!$G1300:$CD1300))</f>
        <v>0</v>
      </c>
      <c r="O1315">
        <f>IF($E1315=0,0,SUMPRODUCT($AI$9:$DF$9,'Staff Daily sales'!$G1300:$CD1300))</f>
        <v>0</v>
      </c>
      <c r="P1315">
        <f>IF($E1315=0,0,SUMPRODUCT($AI$10:$DF$10,'Staff Daily sales'!$G1300:$CD1300))</f>
        <v>0</v>
      </c>
      <c r="Q1315">
        <f>IF($E1315=0,0,SUMPRODUCT($AI$11:$DF$11,'Staff Daily sales'!$G1300:$CD1300))</f>
        <v>0</v>
      </c>
      <c r="R1315">
        <f>IF($E1315=0,0,SUMPRODUCT($AI$12:$DF$12,'Staff Daily sales'!$G1300:$CD1300))</f>
        <v>0</v>
      </c>
      <c r="S1315">
        <f>IF($E1315=0,0,SUMPRODUCT($AI$13:$DF$13,'Staff Daily sales'!$G1300:$CD1300))</f>
        <v>0</v>
      </c>
      <c r="T1315">
        <f>IF($E1315=0,0,SUMPRODUCT($AI$14:$DF$14,'Staff Daily sales'!$G1300:$CD1300))</f>
        <v>0</v>
      </c>
      <c r="U1315">
        <f>IF($E1315=0,0,SUMPRODUCT($AI$15:$DF$15,'Staff Daily sales'!$G1300:$CD1300))</f>
        <v>0</v>
      </c>
      <c r="V1315">
        <f>IF($E1315=0,0,SUMPRODUCT($AI$16:$DF$16,'Staff Daily sales'!$G1300:$CD1300))</f>
        <v>0</v>
      </c>
      <c r="W1315">
        <f t="shared" si="351"/>
        <v>0</v>
      </c>
      <c r="X1315">
        <f t="shared" si="352"/>
        <v>0</v>
      </c>
      <c r="Y1315">
        <f t="shared" si="353"/>
        <v>0</v>
      </c>
      <c r="Z1315">
        <f t="shared" si="354"/>
        <v>0</v>
      </c>
      <c r="AA1315">
        <f t="shared" si="355"/>
        <v>0</v>
      </c>
      <c r="AB1315">
        <f>--AND($E1315=1,OR('Staff Weekly Trend'!$B$3="All",$DH1315='Staff Weekly Trend'!$B$3),OR('Staff Weekly Trend'!$B$4="All",$D1315='Staff Weekly Trend'!$B$4),OR('Staff Weekly Trend'!$B$5="All",$A1315='Staff Weekly Trend'!$B$5))</f>
        <v>0</v>
      </c>
      <c r="AC1315" t="str">
        <f t="shared" si="356"/>
        <v/>
      </c>
      <c r="AI1315">
        <f t="shared" si="357"/>
        <v>0</v>
      </c>
      <c r="AJ1315">
        <f t="shared" si="358"/>
        <v>0</v>
      </c>
      <c r="AK1315">
        <f t="shared" si="359"/>
        <v>0</v>
      </c>
      <c r="AL1315">
        <f t="shared" si="360"/>
        <v>0</v>
      </c>
      <c r="AM1315">
        <f t="shared" si="361"/>
        <v>0</v>
      </c>
      <c r="DH1315" t="str" cm="1">
        <f t="array" ref="DH1315">IF($A1315="","",_xlfn.LET(_xlpm.c,IFERROR(_xlfn.XLOOKUP($A1315,TRIM('Sales and count'!$A$4:$A$300&amp;""),TRIM('Sales and count'!$B$4:$B$300&amp;"")),""),IF(OR(_xlpm.c="",_xlpm.c="0",LEFT(_xlpm.c,1)="#"),"Not set",_xlpm.c)))</f>
        <v/>
      </c>
    </row>
    <row r="1316" spans="1:112" x14ac:dyDescent="0.25">
      <c r="A1316" t="str">
        <f>IF('Staff Daily sales'!$B1301="","",TRIM('Staff Daily sales'!$B1301&amp;""))</f>
        <v/>
      </c>
      <c r="B1316" t="str">
        <f>IF('Staff Daily sales'!$D1301="","",TRIM('Staff Daily sales'!$D1301&amp;""))</f>
        <v/>
      </c>
      <c r="C1316" t="str">
        <f>IFERROR(TRIM('Staff Daily sales'!$E1301&amp;""),"")</f>
        <v/>
      </c>
      <c r="D1316" t="str">
        <f>IFERROR(IF(TRIM('Staff Daily sales'!$F1301&amp;"")="","Unassigned",TRIM('Staff Daily sales'!$F1301&amp;"")),"Unassigned")</f>
        <v>Unassigned</v>
      </c>
      <c r="E1316">
        <f t="shared" si="346"/>
        <v>0</v>
      </c>
      <c r="F1316">
        <f>IF($E1316=0,0,SUMPRODUCT($AI$5:$DF$5,'Staff Daily sales'!$G1301:$CD1301))</f>
        <v>0</v>
      </c>
      <c r="G1316">
        <f>IF($E1316=0,0,SUMPRODUCT($AI$6:$DF$6,'Staff Daily sales'!$G1301:$CD1301))</f>
        <v>0</v>
      </c>
      <c r="H1316">
        <f t="shared" si="347"/>
        <v>0</v>
      </c>
      <c r="I1316">
        <f t="shared" si="348"/>
        <v>0</v>
      </c>
      <c r="J1316">
        <f t="shared" si="349"/>
        <v>0</v>
      </c>
      <c r="K1316">
        <f t="shared" si="350"/>
        <v>0</v>
      </c>
      <c r="L1316">
        <f>--AND($E1316=1,OR('Staff Dashboard'!$B$6="All",$DH1316='Staff Dashboard'!$B$6),OR('Staff Dashboard'!$B$7="All",$D1316='Staff Dashboard'!$B$7),OR('Staff Dashboard'!$B$8="All",$A1316='Staff Dashboard'!$B$8))</f>
        <v>0</v>
      </c>
      <c r="M1316">
        <f>IF($E1316=0,0,SUMPRODUCT($AI$7:$DF$7,'Staff Daily sales'!$G1301:$CD1301))</f>
        <v>0</v>
      </c>
      <c r="N1316">
        <f>IF($E1316=0,0,SUMPRODUCT($AI$8:$DF$8,'Staff Daily sales'!$G1301:$CD1301))</f>
        <v>0</v>
      </c>
      <c r="O1316">
        <f>IF($E1316=0,0,SUMPRODUCT($AI$9:$DF$9,'Staff Daily sales'!$G1301:$CD1301))</f>
        <v>0</v>
      </c>
      <c r="P1316">
        <f>IF($E1316=0,0,SUMPRODUCT($AI$10:$DF$10,'Staff Daily sales'!$G1301:$CD1301))</f>
        <v>0</v>
      </c>
      <c r="Q1316">
        <f>IF($E1316=0,0,SUMPRODUCT($AI$11:$DF$11,'Staff Daily sales'!$G1301:$CD1301))</f>
        <v>0</v>
      </c>
      <c r="R1316">
        <f>IF($E1316=0,0,SUMPRODUCT($AI$12:$DF$12,'Staff Daily sales'!$G1301:$CD1301))</f>
        <v>0</v>
      </c>
      <c r="S1316">
        <f>IF($E1316=0,0,SUMPRODUCT($AI$13:$DF$13,'Staff Daily sales'!$G1301:$CD1301))</f>
        <v>0</v>
      </c>
      <c r="T1316">
        <f>IF($E1316=0,0,SUMPRODUCT($AI$14:$DF$14,'Staff Daily sales'!$G1301:$CD1301))</f>
        <v>0</v>
      </c>
      <c r="U1316">
        <f>IF($E1316=0,0,SUMPRODUCT($AI$15:$DF$15,'Staff Daily sales'!$G1301:$CD1301))</f>
        <v>0</v>
      </c>
      <c r="V1316">
        <f>IF($E1316=0,0,SUMPRODUCT($AI$16:$DF$16,'Staff Daily sales'!$G1301:$CD1301))</f>
        <v>0</v>
      </c>
      <c r="W1316">
        <f t="shared" si="351"/>
        <v>0</v>
      </c>
      <c r="X1316">
        <f t="shared" si="352"/>
        <v>0</v>
      </c>
      <c r="Y1316">
        <f t="shared" si="353"/>
        <v>0</v>
      </c>
      <c r="Z1316">
        <f t="shared" si="354"/>
        <v>0</v>
      </c>
      <c r="AA1316">
        <f t="shared" si="355"/>
        <v>0</v>
      </c>
      <c r="AB1316">
        <f>--AND($E1316=1,OR('Staff Weekly Trend'!$B$3="All",$DH1316='Staff Weekly Trend'!$B$3),OR('Staff Weekly Trend'!$B$4="All",$D1316='Staff Weekly Trend'!$B$4),OR('Staff Weekly Trend'!$B$5="All",$A1316='Staff Weekly Trend'!$B$5))</f>
        <v>0</v>
      </c>
      <c r="AC1316" t="str">
        <f t="shared" si="356"/>
        <v/>
      </c>
      <c r="AI1316">
        <f t="shared" si="357"/>
        <v>0</v>
      </c>
      <c r="AJ1316">
        <f t="shared" si="358"/>
        <v>0</v>
      </c>
      <c r="AK1316">
        <f t="shared" si="359"/>
        <v>0</v>
      </c>
      <c r="AL1316">
        <f t="shared" si="360"/>
        <v>0</v>
      </c>
      <c r="AM1316">
        <f t="shared" si="361"/>
        <v>0</v>
      </c>
      <c r="DH1316" t="str" cm="1">
        <f t="array" ref="DH1316">IF($A1316="","",_xlfn.LET(_xlpm.c,IFERROR(_xlfn.XLOOKUP($A1316,TRIM('Sales and count'!$A$4:$A$300&amp;""),TRIM('Sales and count'!$B$4:$B$300&amp;"")),""),IF(OR(_xlpm.c="",_xlpm.c="0",LEFT(_xlpm.c,1)="#"),"Not set",_xlpm.c)))</f>
        <v/>
      </c>
    </row>
    <row r="1317" spans="1:112" x14ac:dyDescent="0.25">
      <c r="A1317" t="str">
        <f>IF('Staff Daily sales'!$B1302="","",TRIM('Staff Daily sales'!$B1302&amp;""))</f>
        <v/>
      </c>
      <c r="B1317" t="str">
        <f>IF('Staff Daily sales'!$D1302="","",TRIM('Staff Daily sales'!$D1302&amp;""))</f>
        <v/>
      </c>
      <c r="C1317" t="str">
        <f>IFERROR(TRIM('Staff Daily sales'!$E1302&amp;""),"")</f>
        <v/>
      </c>
      <c r="D1317" t="str">
        <f>IFERROR(IF(TRIM('Staff Daily sales'!$F1302&amp;"")="","Unassigned",TRIM('Staff Daily sales'!$F1302&amp;"")),"Unassigned")</f>
        <v>Unassigned</v>
      </c>
      <c r="E1317">
        <f t="shared" si="346"/>
        <v>0</v>
      </c>
      <c r="F1317">
        <f>IF($E1317=0,0,SUMPRODUCT($AI$5:$DF$5,'Staff Daily sales'!$G1302:$CD1302))</f>
        <v>0</v>
      </c>
      <c r="G1317">
        <f>IF($E1317=0,0,SUMPRODUCT($AI$6:$DF$6,'Staff Daily sales'!$G1302:$CD1302))</f>
        <v>0</v>
      </c>
      <c r="H1317">
        <f t="shared" si="347"/>
        <v>0</v>
      </c>
      <c r="I1317">
        <f t="shared" si="348"/>
        <v>0</v>
      </c>
      <c r="J1317">
        <f t="shared" si="349"/>
        <v>0</v>
      </c>
      <c r="K1317">
        <f t="shared" si="350"/>
        <v>0</v>
      </c>
      <c r="L1317">
        <f>--AND($E1317=1,OR('Staff Dashboard'!$B$6="All",$DH1317='Staff Dashboard'!$B$6),OR('Staff Dashboard'!$B$7="All",$D1317='Staff Dashboard'!$B$7),OR('Staff Dashboard'!$B$8="All",$A1317='Staff Dashboard'!$B$8))</f>
        <v>0</v>
      </c>
      <c r="M1317">
        <f>IF($E1317=0,0,SUMPRODUCT($AI$7:$DF$7,'Staff Daily sales'!$G1302:$CD1302))</f>
        <v>0</v>
      </c>
      <c r="N1317">
        <f>IF($E1317=0,0,SUMPRODUCT($AI$8:$DF$8,'Staff Daily sales'!$G1302:$CD1302))</f>
        <v>0</v>
      </c>
      <c r="O1317">
        <f>IF($E1317=0,0,SUMPRODUCT($AI$9:$DF$9,'Staff Daily sales'!$G1302:$CD1302))</f>
        <v>0</v>
      </c>
      <c r="P1317">
        <f>IF($E1317=0,0,SUMPRODUCT($AI$10:$DF$10,'Staff Daily sales'!$G1302:$CD1302))</f>
        <v>0</v>
      </c>
      <c r="Q1317">
        <f>IF($E1317=0,0,SUMPRODUCT($AI$11:$DF$11,'Staff Daily sales'!$G1302:$CD1302))</f>
        <v>0</v>
      </c>
      <c r="R1317">
        <f>IF($E1317=0,0,SUMPRODUCT($AI$12:$DF$12,'Staff Daily sales'!$G1302:$CD1302))</f>
        <v>0</v>
      </c>
      <c r="S1317">
        <f>IF($E1317=0,0,SUMPRODUCT($AI$13:$DF$13,'Staff Daily sales'!$G1302:$CD1302))</f>
        <v>0</v>
      </c>
      <c r="T1317">
        <f>IF($E1317=0,0,SUMPRODUCT($AI$14:$DF$14,'Staff Daily sales'!$G1302:$CD1302))</f>
        <v>0</v>
      </c>
      <c r="U1317">
        <f>IF($E1317=0,0,SUMPRODUCT($AI$15:$DF$15,'Staff Daily sales'!$G1302:$CD1302))</f>
        <v>0</v>
      </c>
      <c r="V1317">
        <f>IF($E1317=0,0,SUMPRODUCT($AI$16:$DF$16,'Staff Daily sales'!$G1302:$CD1302))</f>
        <v>0</v>
      </c>
      <c r="W1317">
        <f t="shared" si="351"/>
        <v>0</v>
      </c>
      <c r="X1317">
        <f t="shared" si="352"/>
        <v>0</v>
      </c>
      <c r="Y1317">
        <f t="shared" si="353"/>
        <v>0</v>
      </c>
      <c r="Z1317">
        <f t="shared" si="354"/>
        <v>0</v>
      </c>
      <c r="AA1317">
        <f t="shared" si="355"/>
        <v>0</v>
      </c>
      <c r="AB1317">
        <f>--AND($E1317=1,OR('Staff Weekly Trend'!$B$3="All",$DH1317='Staff Weekly Trend'!$B$3),OR('Staff Weekly Trend'!$B$4="All",$D1317='Staff Weekly Trend'!$B$4),OR('Staff Weekly Trend'!$B$5="All",$A1317='Staff Weekly Trend'!$B$5))</f>
        <v>0</v>
      </c>
      <c r="AC1317" t="str">
        <f t="shared" si="356"/>
        <v/>
      </c>
      <c r="AI1317">
        <f t="shared" si="357"/>
        <v>0</v>
      </c>
      <c r="AJ1317">
        <f t="shared" si="358"/>
        <v>0</v>
      </c>
      <c r="AK1317">
        <f t="shared" si="359"/>
        <v>0</v>
      </c>
      <c r="AL1317">
        <f t="shared" si="360"/>
        <v>0</v>
      </c>
      <c r="AM1317">
        <f t="shared" si="361"/>
        <v>0</v>
      </c>
      <c r="DH1317" t="str" cm="1">
        <f t="array" ref="DH1317">IF($A1317="","",_xlfn.LET(_xlpm.c,IFERROR(_xlfn.XLOOKUP($A1317,TRIM('Sales and count'!$A$4:$A$300&amp;""),TRIM('Sales and count'!$B$4:$B$300&amp;"")),""),IF(OR(_xlpm.c="",_xlpm.c="0",LEFT(_xlpm.c,1)="#"),"Not set",_xlpm.c)))</f>
        <v/>
      </c>
    </row>
    <row r="1318" spans="1:112" x14ac:dyDescent="0.25">
      <c r="A1318" t="str">
        <f>IF('Staff Daily sales'!$B1303="","",TRIM('Staff Daily sales'!$B1303&amp;""))</f>
        <v/>
      </c>
      <c r="B1318" t="str">
        <f>IF('Staff Daily sales'!$D1303="","",TRIM('Staff Daily sales'!$D1303&amp;""))</f>
        <v/>
      </c>
      <c r="C1318" t="str">
        <f>IFERROR(TRIM('Staff Daily sales'!$E1303&amp;""),"")</f>
        <v/>
      </c>
      <c r="D1318" t="str">
        <f>IFERROR(IF(TRIM('Staff Daily sales'!$F1303&amp;"")="","Unassigned",TRIM('Staff Daily sales'!$F1303&amp;"")),"Unassigned")</f>
        <v>Unassigned</v>
      </c>
      <c r="E1318">
        <f t="shared" si="346"/>
        <v>0</v>
      </c>
      <c r="F1318">
        <f>IF($E1318=0,0,SUMPRODUCT($AI$5:$DF$5,'Staff Daily sales'!$G1303:$CD1303))</f>
        <v>0</v>
      </c>
      <c r="G1318">
        <f>IF($E1318=0,0,SUMPRODUCT($AI$6:$DF$6,'Staff Daily sales'!$G1303:$CD1303))</f>
        <v>0</v>
      </c>
      <c r="H1318">
        <f t="shared" si="347"/>
        <v>0</v>
      </c>
      <c r="I1318">
        <f t="shared" si="348"/>
        <v>0</v>
      </c>
      <c r="J1318">
        <f t="shared" si="349"/>
        <v>0</v>
      </c>
      <c r="K1318">
        <f t="shared" si="350"/>
        <v>0</v>
      </c>
      <c r="L1318">
        <f>--AND($E1318=1,OR('Staff Dashboard'!$B$6="All",$DH1318='Staff Dashboard'!$B$6),OR('Staff Dashboard'!$B$7="All",$D1318='Staff Dashboard'!$B$7),OR('Staff Dashboard'!$B$8="All",$A1318='Staff Dashboard'!$B$8))</f>
        <v>0</v>
      </c>
      <c r="M1318">
        <f>IF($E1318=0,0,SUMPRODUCT($AI$7:$DF$7,'Staff Daily sales'!$G1303:$CD1303))</f>
        <v>0</v>
      </c>
      <c r="N1318">
        <f>IF($E1318=0,0,SUMPRODUCT($AI$8:$DF$8,'Staff Daily sales'!$G1303:$CD1303))</f>
        <v>0</v>
      </c>
      <c r="O1318">
        <f>IF($E1318=0,0,SUMPRODUCT($AI$9:$DF$9,'Staff Daily sales'!$G1303:$CD1303))</f>
        <v>0</v>
      </c>
      <c r="P1318">
        <f>IF($E1318=0,0,SUMPRODUCT($AI$10:$DF$10,'Staff Daily sales'!$G1303:$CD1303))</f>
        <v>0</v>
      </c>
      <c r="Q1318">
        <f>IF($E1318=0,0,SUMPRODUCT($AI$11:$DF$11,'Staff Daily sales'!$G1303:$CD1303))</f>
        <v>0</v>
      </c>
      <c r="R1318">
        <f>IF($E1318=0,0,SUMPRODUCT($AI$12:$DF$12,'Staff Daily sales'!$G1303:$CD1303))</f>
        <v>0</v>
      </c>
      <c r="S1318">
        <f>IF($E1318=0,0,SUMPRODUCT($AI$13:$DF$13,'Staff Daily sales'!$G1303:$CD1303))</f>
        <v>0</v>
      </c>
      <c r="T1318">
        <f>IF($E1318=0,0,SUMPRODUCT($AI$14:$DF$14,'Staff Daily sales'!$G1303:$CD1303))</f>
        <v>0</v>
      </c>
      <c r="U1318">
        <f>IF($E1318=0,0,SUMPRODUCT($AI$15:$DF$15,'Staff Daily sales'!$G1303:$CD1303))</f>
        <v>0</v>
      </c>
      <c r="V1318">
        <f>IF($E1318=0,0,SUMPRODUCT($AI$16:$DF$16,'Staff Daily sales'!$G1303:$CD1303))</f>
        <v>0</v>
      </c>
      <c r="W1318">
        <f t="shared" si="351"/>
        <v>0</v>
      </c>
      <c r="X1318">
        <f t="shared" si="352"/>
        <v>0</v>
      </c>
      <c r="Y1318">
        <f t="shared" si="353"/>
        <v>0</v>
      </c>
      <c r="Z1318">
        <f t="shared" si="354"/>
        <v>0</v>
      </c>
      <c r="AA1318">
        <f t="shared" si="355"/>
        <v>0</v>
      </c>
      <c r="AB1318">
        <f>--AND($E1318=1,OR('Staff Weekly Trend'!$B$3="All",$DH1318='Staff Weekly Trend'!$B$3),OR('Staff Weekly Trend'!$B$4="All",$D1318='Staff Weekly Trend'!$B$4),OR('Staff Weekly Trend'!$B$5="All",$A1318='Staff Weekly Trend'!$B$5))</f>
        <v>0</v>
      </c>
      <c r="AC1318" t="str">
        <f t="shared" si="356"/>
        <v/>
      </c>
      <c r="AI1318">
        <f t="shared" si="357"/>
        <v>0</v>
      </c>
      <c r="AJ1318">
        <f t="shared" si="358"/>
        <v>0</v>
      </c>
      <c r="AK1318">
        <f t="shared" si="359"/>
        <v>0</v>
      </c>
      <c r="AL1318">
        <f t="shared" si="360"/>
        <v>0</v>
      </c>
      <c r="AM1318">
        <f t="shared" si="361"/>
        <v>0</v>
      </c>
      <c r="DH1318" t="str" cm="1">
        <f t="array" ref="DH1318">IF($A1318="","",_xlfn.LET(_xlpm.c,IFERROR(_xlfn.XLOOKUP($A1318,TRIM('Sales and count'!$A$4:$A$300&amp;""),TRIM('Sales and count'!$B$4:$B$300&amp;"")),""),IF(OR(_xlpm.c="",_xlpm.c="0",LEFT(_xlpm.c,1)="#"),"Not set",_xlpm.c)))</f>
        <v/>
      </c>
    </row>
    <row r="1319" spans="1:112" x14ac:dyDescent="0.25">
      <c r="A1319" t="str">
        <f>IF('Staff Daily sales'!$B1304="","",TRIM('Staff Daily sales'!$B1304&amp;""))</f>
        <v/>
      </c>
      <c r="B1319" t="str">
        <f>IF('Staff Daily sales'!$D1304="","",TRIM('Staff Daily sales'!$D1304&amp;""))</f>
        <v/>
      </c>
      <c r="C1319" t="str">
        <f>IFERROR(TRIM('Staff Daily sales'!$E1304&amp;""),"")</f>
        <v/>
      </c>
      <c r="D1319" t="str">
        <f>IFERROR(IF(TRIM('Staff Daily sales'!$F1304&amp;"")="","Unassigned",TRIM('Staff Daily sales'!$F1304&amp;"")),"Unassigned")</f>
        <v>Unassigned</v>
      </c>
      <c r="E1319">
        <f t="shared" si="346"/>
        <v>0</v>
      </c>
      <c r="F1319">
        <f>IF($E1319=0,0,SUMPRODUCT($AI$5:$DF$5,'Staff Daily sales'!$G1304:$CD1304))</f>
        <v>0</v>
      </c>
      <c r="G1319">
        <f>IF($E1319=0,0,SUMPRODUCT($AI$6:$DF$6,'Staff Daily sales'!$G1304:$CD1304))</f>
        <v>0</v>
      </c>
      <c r="H1319">
        <f t="shared" si="347"/>
        <v>0</v>
      </c>
      <c r="I1319">
        <f t="shared" si="348"/>
        <v>0</v>
      </c>
      <c r="J1319">
        <f t="shared" si="349"/>
        <v>0</v>
      </c>
      <c r="K1319">
        <f t="shared" si="350"/>
        <v>0</v>
      </c>
      <c r="L1319">
        <f>--AND($E1319=1,OR('Staff Dashboard'!$B$6="All",$DH1319='Staff Dashboard'!$B$6),OR('Staff Dashboard'!$B$7="All",$D1319='Staff Dashboard'!$B$7),OR('Staff Dashboard'!$B$8="All",$A1319='Staff Dashboard'!$B$8))</f>
        <v>0</v>
      </c>
      <c r="M1319">
        <f>IF($E1319=0,0,SUMPRODUCT($AI$7:$DF$7,'Staff Daily sales'!$G1304:$CD1304))</f>
        <v>0</v>
      </c>
      <c r="N1319">
        <f>IF($E1319=0,0,SUMPRODUCT($AI$8:$DF$8,'Staff Daily sales'!$G1304:$CD1304))</f>
        <v>0</v>
      </c>
      <c r="O1319">
        <f>IF($E1319=0,0,SUMPRODUCT($AI$9:$DF$9,'Staff Daily sales'!$G1304:$CD1304))</f>
        <v>0</v>
      </c>
      <c r="P1319">
        <f>IF($E1319=0,0,SUMPRODUCT($AI$10:$DF$10,'Staff Daily sales'!$G1304:$CD1304))</f>
        <v>0</v>
      </c>
      <c r="Q1319">
        <f>IF($E1319=0,0,SUMPRODUCT($AI$11:$DF$11,'Staff Daily sales'!$G1304:$CD1304))</f>
        <v>0</v>
      </c>
      <c r="R1319">
        <f>IF($E1319=0,0,SUMPRODUCT($AI$12:$DF$12,'Staff Daily sales'!$G1304:$CD1304))</f>
        <v>0</v>
      </c>
      <c r="S1319">
        <f>IF($E1319=0,0,SUMPRODUCT($AI$13:$DF$13,'Staff Daily sales'!$G1304:$CD1304))</f>
        <v>0</v>
      </c>
      <c r="T1319">
        <f>IF($E1319=0,0,SUMPRODUCT($AI$14:$DF$14,'Staff Daily sales'!$G1304:$CD1304))</f>
        <v>0</v>
      </c>
      <c r="U1319">
        <f>IF($E1319=0,0,SUMPRODUCT($AI$15:$DF$15,'Staff Daily sales'!$G1304:$CD1304))</f>
        <v>0</v>
      </c>
      <c r="V1319">
        <f>IF($E1319=0,0,SUMPRODUCT($AI$16:$DF$16,'Staff Daily sales'!$G1304:$CD1304))</f>
        <v>0</v>
      </c>
      <c r="W1319">
        <f t="shared" si="351"/>
        <v>0</v>
      </c>
      <c r="X1319">
        <f t="shared" si="352"/>
        <v>0</v>
      </c>
      <c r="Y1319">
        <f t="shared" si="353"/>
        <v>0</v>
      </c>
      <c r="Z1319">
        <f t="shared" si="354"/>
        <v>0</v>
      </c>
      <c r="AA1319">
        <f t="shared" si="355"/>
        <v>0</v>
      </c>
      <c r="AB1319">
        <f>--AND($E1319=1,OR('Staff Weekly Trend'!$B$3="All",$DH1319='Staff Weekly Trend'!$B$3),OR('Staff Weekly Trend'!$B$4="All",$D1319='Staff Weekly Trend'!$B$4),OR('Staff Weekly Trend'!$B$5="All",$A1319='Staff Weekly Trend'!$B$5))</f>
        <v>0</v>
      </c>
      <c r="AC1319" t="str">
        <f t="shared" si="356"/>
        <v/>
      </c>
      <c r="AI1319">
        <f t="shared" si="357"/>
        <v>0</v>
      </c>
      <c r="AJ1319">
        <f t="shared" si="358"/>
        <v>0</v>
      </c>
      <c r="AK1319">
        <f t="shared" si="359"/>
        <v>0</v>
      </c>
      <c r="AL1319">
        <f t="shared" si="360"/>
        <v>0</v>
      </c>
      <c r="AM1319">
        <f t="shared" si="361"/>
        <v>0</v>
      </c>
      <c r="DH1319" t="str" cm="1">
        <f t="array" ref="DH1319">IF($A1319="","",_xlfn.LET(_xlpm.c,IFERROR(_xlfn.XLOOKUP($A1319,TRIM('Sales and count'!$A$4:$A$300&amp;""),TRIM('Sales and count'!$B$4:$B$300&amp;"")),""),IF(OR(_xlpm.c="",_xlpm.c="0",LEFT(_xlpm.c,1)="#"),"Not set",_xlpm.c)))</f>
        <v/>
      </c>
    </row>
    <row r="1320" spans="1:112" x14ac:dyDescent="0.25">
      <c r="A1320" t="str">
        <f>IF('Staff Daily sales'!$B1305="","",TRIM('Staff Daily sales'!$B1305&amp;""))</f>
        <v/>
      </c>
      <c r="B1320" t="str">
        <f>IF('Staff Daily sales'!$D1305="","",TRIM('Staff Daily sales'!$D1305&amp;""))</f>
        <v/>
      </c>
      <c r="C1320" t="str">
        <f>IFERROR(TRIM('Staff Daily sales'!$E1305&amp;""),"")</f>
        <v/>
      </c>
      <c r="D1320" t="str">
        <f>IFERROR(IF(TRIM('Staff Daily sales'!$F1305&amp;"")="","Unassigned",TRIM('Staff Daily sales'!$F1305&amp;"")),"Unassigned")</f>
        <v>Unassigned</v>
      </c>
      <c r="E1320">
        <f t="shared" si="346"/>
        <v>0</v>
      </c>
      <c r="F1320">
        <f>IF($E1320=0,0,SUMPRODUCT($AI$5:$DF$5,'Staff Daily sales'!$G1305:$CD1305))</f>
        <v>0</v>
      </c>
      <c r="G1320">
        <f>IF($E1320=0,0,SUMPRODUCT($AI$6:$DF$6,'Staff Daily sales'!$G1305:$CD1305))</f>
        <v>0</v>
      </c>
      <c r="H1320">
        <f t="shared" si="347"/>
        <v>0</v>
      </c>
      <c r="I1320">
        <f t="shared" si="348"/>
        <v>0</v>
      </c>
      <c r="J1320">
        <f t="shared" si="349"/>
        <v>0</v>
      </c>
      <c r="K1320">
        <f t="shared" si="350"/>
        <v>0</v>
      </c>
      <c r="L1320">
        <f>--AND($E1320=1,OR('Staff Dashboard'!$B$6="All",$DH1320='Staff Dashboard'!$B$6),OR('Staff Dashboard'!$B$7="All",$D1320='Staff Dashboard'!$B$7),OR('Staff Dashboard'!$B$8="All",$A1320='Staff Dashboard'!$B$8))</f>
        <v>0</v>
      </c>
      <c r="M1320">
        <f>IF($E1320=0,0,SUMPRODUCT($AI$7:$DF$7,'Staff Daily sales'!$G1305:$CD1305))</f>
        <v>0</v>
      </c>
      <c r="N1320">
        <f>IF($E1320=0,0,SUMPRODUCT($AI$8:$DF$8,'Staff Daily sales'!$G1305:$CD1305))</f>
        <v>0</v>
      </c>
      <c r="O1320">
        <f>IF($E1320=0,0,SUMPRODUCT($AI$9:$DF$9,'Staff Daily sales'!$G1305:$CD1305))</f>
        <v>0</v>
      </c>
      <c r="P1320">
        <f>IF($E1320=0,0,SUMPRODUCT($AI$10:$DF$10,'Staff Daily sales'!$G1305:$CD1305))</f>
        <v>0</v>
      </c>
      <c r="Q1320">
        <f>IF($E1320=0,0,SUMPRODUCT($AI$11:$DF$11,'Staff Daily sales'!$G1305:$CD1305))</f>
        <v>0</v>
      </c>
      <c r="R1320">
        <f>IF($E1320=0,0,SUMPRODUCT($AI$12:$DF$12,'Staff Daily sales'!$G1305:$CD1305))</f>
        <v>0</v>
      </c>
      <c r="S1320">
        <f>IF($E1320=0,0,SUMPRODUCT($AI$13:$DF$13,'Staff Daily sales'!$G1305:$CD1305))</f>
        <v>0</v>
      </c>
      <c r="T1320">
        <f>IF($E1320=0,0,SUMPRODUCT($AI$14:$DF$14,'Staff Daily sales'!$G1305:$CD1305))</f>
        <v>0</v>
      </c>
      <c r="U1320">
        <f>IF($E1320=0,0,SUMPRODUCT($AI$15:$DF$15,'Staff Daily sales'!$G1305:$CD1305))</f>
        <v>0</v>
      </c>
      <c r="V1320">
        <f>IF($E1320=0,0,SUMPRODUCT($AI$16:$DF$16,'Staff Daily sales'!$G1305:$CD1305))</f>
        <v>0</v>
      </c>
      <c r="W1320">
        <f t="shared" si="351"/>
        <v>0</v>
      </c>
      <c r="X1320">
        <f t="shared" si="352"/>
        <v>0</v>
      </c>
      <c r="Y1320">
        <f t="shared" si="353"/>
        <v>0</v>
      </c>
      <c r="Z1320">
        <f t="shared" si="354"/>
        <v>0</v>
      </c>
      <c r="AA1320">
        <f t="shared" si="355"/>
        <v>0</v>
      </c>
      <c r="AB1320">
        <f>--AND($E1320=1,OR('Staff Weekly Trend'!$B$3="All",$DH1320='Staff Weekly Trend'!$B$3),OR('Staff Weekly Trend'!$B$4="All",$D1320='Staff Weekly Trend'!$B$4),OR('Staff Weekly Trend'!$B$5="All",$A1320='Staff Weekly Trend'!$B$5))</f>
        <v>0</v>
      </c>
      <c r="AC1320" t="str">
        <f t="shared" si="356"/>
        <v/>
      </c>
      <c r="AI1320">
        <f t="shared" si="357"/>
        <v>0</v>
      </c>
      <c r="AJ1320">
        <f t="shared" si="358"/>
        <v>0</v>
      </c>
      <c r="AK1320">
        <f t="shared" si="359"/>
        <v>0</v>
      </c>
      <c r="AL1320">
        <f t="shared" si="360"/>
        <v>0</v>
      </c>
      <c r="AM1320">
        <f t="shared" si="361"/>
        <v>0</v>
      </c>
      <c r="DH1320" t="str" cm="1">
        <f t="array" ref="DH1320">IF($A1320="","",_xlfn.LET(_xlpm.c,IFERROR(_xlfn.XLOOKUP($A1320,TRIM('Sales and count'!$A$4:$A$300&amp;""),TRIM('Sales and count'!$B$4:$B$300&amp;"")),""),IF(OR(_xlpm.c="",_xlpm.c="0",LEFT(_xlpm.c,1)="#"),"Not set",_xlpm.c)))</f>
        <v/>
      </c>
    </row>
    <row r="1321" spans="1:112" x14ac:dyDescent="0.25">
      <c r="A1321" t="str">
        <f>IF('Staff Daily sales'!$B1306="","",TRIM('Staff Daily sales'!$B1306&amp;""))</f>
        <v/>
      </c>
      <c r="B1321" t="str">
        <f>IF('Staff Daily sales'!$D1306="","",TRIM('Staff Daily sales'!$D1306&amp;""))</f>
        <v/>
      </c>
      <c r="C1321" t="str">
        <f>IFERROR(TRIM('Staff Daily sales'!$E1306&amp;""),"")</f>
        <v/>
      </c>
      <c r="D1321" t="str">
        <f>IFERROR(IF(TRIM('Staff Daily sales'!$F1306&amp;"")="","Unassigned",TRIM('Staff Daily sales'!$F1306&amp;"")),"Unassigned")</f>
        <v>Unassigned</v>
      </c>
      <c r="E1321">
        <f t="shared" si="346"/>
        <v>0</v>
      </c>
      <c r="F1321">
        <f>IF($E1321=0,0,SUMPRODUCT($AI$5:$DF$5,'Staff Daily sales'!$G1306:$CD1306))</f>
        <v>0</v>
      </c>
      <c r="G1321">
        <f>IF($E1321=0,0,SUMPRODUCT($AI$6:$DF$6,'Staff Daily sales'!$G1306:$CD1306))</f>
        <v>0</v>
      </c>
      <c r="H1321">
        <f t="shared" si="347"/>
        <v>0</v>
      </c>
      <c r="I1321">
        <f t="shared" si="348"/>
        <v>0</v>
      </c>
      <c r="J1321">
        <f t="shared" si="349"/>
        <v>0</v>
      </c>
      <c r="K1321">
        <f t="shared" si="350"/>
        <v>0</v>
      </c>
      <c r="L1321">
        <f>--AND($E1321=1,OR('Staff Dashboard'!$B$6="All",$DH1321='Staff Dashboard'!$B$6),OR('Staff Dashboard'!$B$7="All",$D1321='Staff Dashboard'!$B$7),OR('Staff Dashboard'!$B$8="All",$A1321='Staff Dashboard'!$B$8))</f>
        <v>0</v>
      </c>
      <c r="M1321">
        <f>IF($E1321=0,0,SUMPRODUCT($AI$7:$DF$7,'Staff Daily sales'!$G1306:$CD1306))</f>
        <v>0</v>
      </c>
      <c r="N1321">
        <f>IF($E1321=0,0,SUMPRODUCT($AI$8:$DF$8,'Staff Daily sales'!$G1306:$CD1306))</f>
        <v>0</v>
      </c>
      <c r="O1321">
        <f>IF($E1321=0,0,SUMPRODUCT($AI$9:$DF$9,'Staff Daily sales'!$G1306:$CD1306))</f>
        <v>0</v>
      </c>
      <c r="P1321">
        <f>IF($E1321=0,0,SUMPRODUCT($AI$10:$DF$10,'Staff Daily sales'!$G1306:$CD1306))</f>
        <v>0</v>
      </c>
      <c r="Q1321">
        <f>IF($E1321=0,0,SUMPRODUCT($AI$11:$DF$11,'Staff Daily sales'!$G1306:$CD1306))</f>
        <v>0</v>
      </c>
      <c r="R1321">
        <f>IF($E1321=0,0,SUMPRODUCT($AI$12:$DF$12,'Staff Daily sales'!$G1306:$CD1306))</f>
        <v>0</v>
      </c>
      <c r="S1321">
        <f>IF($E1321=0,0,SUMPRODUCT($AI$13:$DF$13,'Staff Daily sales'!$G1306:$CD1306))</f>
        <v>0</v>
      </c>
      <c r="T1321">
        <f>IF($E1321=0,0,SUMPRODUCT($AI$14:$DF$14,'Staff Daily sales'!$G1306:$CD1306))</f>
        <v>0</v>
      </c>
      <c r="U1321">
        <f>IF($E1321=0,0,SUMPRODUCT($AI$15:$DF$15,'Staff Daily sales'!$G1306:$CD1306))</f>
        <v>0</v>
      </c>
      <c r="V1321">
        <f>IF($E1321=0,0,SUMPRODUCT($AI$16:$DF$16,'Staff Daily sales'!$G1306:$CD1306))</f>
        <v>0</v>
      </c>
      <c r="W1321">
        <f t="shared" si="351"/>
        <v>0</v>
      </c>
      <c r="X1321">
        <f t="shared" si="352"/>
        <v>0</v>
      </c>
      <c r="Y1321">
        <f t="shared" si="353"/>
        <v>0</v>
      </c>
      <c r="Z1321">
        <f t="shared" si="354"/>
        <v>0</v>
      </c>
      <c r="AA1321">
        <f t="shared" si="355"/>
        <v>0</v>
      </c>
      <c r="AB1321">
        <f>--AND($E1321=1,OR('Staff Weekly Trend'!$B$3="All",$DH1321='Staff Weekly Trend'!$B$3),OR('Staff Weekly Trend'!$B$4="All",$D1321='Staff Weekly Trend'!$B$4),OR('Staff Weekly Trend'!$B$5="All",$A1321='Staff Weekly Trend'!$B$5))</f>
        <v>0</v>
      </c>
      <c r="AC1321" t="str">
        <f t="shared" si="356"/>
        <v/>
      </c>
      <c r="AI1321">
        <f t="shared" si="357"/>
        <v>0</v>
      </c>
      <c r="AJ1321">
        <f t="shared" si="358"/>
        <v>0</v>
      </c>
      <c r="AK1321">
        <f t="shared" si="359"/>
        <v>0</v>
      </c>
      <c r="AL1321">
        <f t="shared" si="360"/>
        <v>0</v>
      </c>
      <c r="AM1321">
        <f t="shared" si="361"/>
        <v>0</v>
      </c>
      <c r="DH1321" t="str" cm="1">
        <f t="array" ref="DH1321">IF($A1321="","",_xlfn.LET(_xlpm.c,IFERROR(_xlfn.XLOOKUP($A1321,TRIM('Sales and count'!$A$4:$A$300&amp;""),TRIM('Sales and count'!$B$4:$B$300&amp;"")),""),IF(OR(_xlpm.c="",_xlpm.c="0",LEFT(_xlpm.c,1)="#"),"Not set",_xlpm.c)))</f>
        <v/>
      </c>
    </row>
    <row r="1322" spans="1:112" x14ac:dyDescent="0.25">
      <c r="A1322" t="str">
        <f>IF('Staff Daily sales'!$B1307="","",TRIM('Staff Daily sales'!$B1307&amp;""))</f>
        <v/>
      </c>
      <c r="B1322" t="str">
        <f>IF('Staff Daily sales'!$D1307="","",TRIM('Staff Daily sales'!$D1307&amp;""))</f>
        <v/>
      </c>
      <c r="C1322" t="str">
        <f>IFERROR(TRIM('Staff Daily sales'!$E1307&amp;""),"")</f>
        <v/>
      </c>
      <c r="D1322" t="str">
        <f>IFERROR(IF(TRIM('Staff Daily sales'!$F1307&amp;"")="","Unassigned",TRIM('Staff Daily sales'!$F1307&amp;"")),"Unassigned")</f>
        <v>Unassigned</v>
      </c>
      <c r="E1322">
        <f t="shared" si="346"/>
        <v>0</v>
      </c>
      <c r="F1322">
        <f>IF($E1322=0,0,SUMPRODUCT($AI$5:$DF$5,'Staff Daily sales'!$G1307:$CD1307))</f>
        <v>0</v>
      </c>
      <c r="G1322">
        <f>IF($E1322=0,0,SUMPRODUCT($AI$6:$DF$6,'Staff Daily sales'!$G1307:$CD1307))</f>
        <v>0</v>
      </c>
      <c r="H1322">
        <f t="shared" si="347"/>
        <v>0</v>
      </c>
      <c r="I1322">
        <f t="shared" si="348"/>
        <v>0</v>
      </c>
      <c r="J1322">
        <f t="shared" si="349"/>
        <v>0</v>
      </c>
      <c r="K1322">
        <f t="shared" si="350"/>
        <v>0</v>
      </c>
      <c r="L1322">
        <f>--AND($E1322=1,OR('Staff Dashboard'!$B$6="All",$DH1322='Staff Dashboard'!$B$6),OR('Staff Dashboard'!$B$7="All",$D1322='Staff Dashboard'!$B$7),OR('Staff Dashboard'!$B$8="All",$A1322='Staff Dashboard'!$B$8))</f>
        <v>0</v>
      </c>
      <c r="M1322">
        <f>IF($E1322=0,0,SUMPRODUCT($AI$7:$DF$7,'Staff Daily sales'!$G1307:$CD1307))</f>
        <v>0</v>
      </c>
      <c r="N1322">
        <f>IF($E1322=0,0,SUMPRODUCT($AI$8:$DF$8,'Staff Daily sales'!$G1307:$CD1307))</f>
        <v>0</v>
      </c>
      <c r="O1322">
        <f>IF($E1322=0,0,SUMPRODUCT($AI$9:$DF$9,'Staff Daily sales'!$G1307:$CD1307))</f>
        <v>0</v>
      </c>
      <c r="P1322">
        <f>IF($E1322=0,0,SUMPRODUCT($AI$10:$DF$10,'Staff Daily sales'!$G1307:$CD1307))</f>
        <v>0</v>
      </c>
      <c r="Q1322">
        <f>IF($E1322=0,0,SUMPRODUCT($AI$11:$DF$11,'Staff Daily sales'!$G1307:$CD1307))</f>
        <v>0</v>
      </c>
      <c r="R1322">
        <f>IF($E1322=0,0,SUMPRODUCT($AI$12:$DF$12,'Staff Daily sales'!$G1307:$CD1307))</f>
        <v>0</v>
      </c>
      <c r="S1322">
        <f>IF($E1322=0,0,SUMPRODUCT($AI$13:$DF$13,'Staff Daily sales'!$G1307:$CD1307))</f>
        <v>0</v>
      </c>
      <c r="T1322">
        <f>IF($E1322=0,0,SUMPRODUCT($AI$14:$DF$14,'Staff Daily sales'!$G1307:$CD1307))</f>
        <v>0</v>
      </c>
      <c r="U1322">
        <f>IF($E1322=0,0,SUMPRODUCT($AI$15:$DF$15,'Staff Daily sales'!$G1307:$CD1307))</f>
        <v>0</v>
      </c>
      <c r="V1322">
        <f>IF($E1322=0,0,SUMPRODUCT($AI$16:$DF$16,'Staff Daily sales'!$G1307:$CD1307))</f>
        <v>0</v>
      </c>
      <c r="W1322">
        <f t="shared" si="351"/>
        <v>0</v>
      </c>
      <c r="X1322">
        <f t="shared" si="352"/>
        <v>0</v>
      </c>
      <c r="Y1322">
        <f t="shared" si="353"/>
        <v>0</v>
      </c>
      <c r="Z1322">
        <f t="shared" si="354"/>
        <v>0</v>
      </c>
      <c r="AA1322">
        <f t="shared" si="355"/>
        <v>0</v>
      </c>
      <c r="AB1322">
        <f>--AND($E1322=1,OR('Staff Weekly Trend'!$B$3="All",$DH1322='Staff Weekly Trend'!$B$3),OR('Staff Weekly Trend'!$B$4="All",$D1322='Staff Weekly Trend'!$B$4),OR('Staff Weekly Trend'!$B$5="All",$A1322='Staff Weekly Trend'!$B$5))</f>
        <v>0</v>
      </c>
      <c r="AC1322" t="str">
        <f t="shared" si="356"/>
        <v/>
      </c>
      <c r="AI1322">
        <f t="shared" si="357"/>
        <v>0</v>
      </c>
      <c r="AJ1322">
        <f t="shared" si="358"/>
        <v>0</v>
      </c>
      <c r="AK1322">
        <f t="shared" si="359"/>
        <v>0</v>
      </c>
      <c r="AL1322">
        <f t="shared" si="360"/>
        <v>0</v>
      </c>
      <c r="AM1322">
        <f t="shared" si="361"/>
        <v>0</v>
      </c>
      <c r="DH1322" t="str" cm="1">
        <f t="array" ref="DH1322">IF($A1322="","",_xlfn.LET(_xlpm.c,IFERROR(_xlfn.XLOOKUP($A1322,TRIM('Sales and count'!$A$4:$A$300&amp;""),TRIM('Sales and count'!$B$4:$B$300&amp;"")),""),IF(OR(_xlpm.c="",_xlpm.c="0",LEFT(_xlpm.c,1)="#"),"Not set",_xlpm.c)))</f>
        <v/>
      </c>
    </row>
    <row r="1323" spans="1:112" x14ac:dyDescent="0.25">
      <c r="A1323" t="str">
        <f>IF('Staff Daily sales'!$B1308="","",TRIM('Staff Daily sales'!$B1308&amp;""))</f>
        <v/>
      </c>
      <c r="B1323" t="str">
        <f>IF('Staff Daily sales'!$D1308="","",TRIM('Staff Daily sales'!$D1308&amp;""))</f>
        <v/>
      </c>
      <c r="C1323" t="str">
        <f>IFERROR(TRIM('Staff Daily sales'!$E1308&amp;""),"")</f>
        <v/>
      </c>
      <c r="D1323" t="str">
        <f>IFERROR(IF(TRIM('Staff Daily sales'!$F1308&amp;"")="","Unassigned",TRIM('Staff Daily sales'!$F1308&amp;"")),"Unassigned")</f>
        <v>Unassigned</v>
      </c>
      <c r="E1323">
        <f t="shared" si="346"/>
        <v>0</v>
      </c>
      <c r="F1323">
        <f>IF($E1323=0,0,SUMPRODUCT($AI$5:$DF$5,'Staff Daily sales'!$G1308:$CD1308))</f>
        <v>0</v>
      </c>
      <c r="G1323">
        <f>IF($E1323=0,0,SUMPRODUCT($AI$6:$DF$6,'Staff Daily sales'!$G1308:$CD1308))</f>
        <v>0</v>
      </c>
      <c r="H1323">
        <f t="shared" si="347"/>
        <v>0</v>
      </c>
      <c r="I1323">
        <f t="shared" si="348"/>
        <v>0</v>
      </c>
      <c r="J1323">
        <f t="shared" si="349"/>
        <v>0</v>
      </c>
      <c r="K1323">
        <f t="shared" si="350"/>
        <v>0</v>
      </c>
      <c r="L1323">
        <f>--AND($E1323=1,OR('Staff Dashboard'!$B$6="All",$DH1323='Staff Dashboard'!$B$6),OR('Staff Dashboard'!$B$7="All",$D1323='Staff Dashboard'!$B$7),OR('Staff Dashboard'!$B$8="All",$A1323='Staff Dashboard'!$B$8))</f>
        <v>0</v>
      </c>
      <c r="M1323">
        <f>IF($E1323=0,0,SUMPRODUCT($AI$7:$DF$7,'Staff Daily sales'!$G1308:$CD1308))</f>
        <v>0</v>
      </c>
      <c r="N1323">
        <f>IF($E1323=0,0,SUMPRODUCT($AI$8:$DF$8,'Staff Daily sales'!$G1308:$CD1308))</f>
        <v>0</v>
      </c>
      <c r="O1323">
        <f>IF($E1323=0,0,SUMPRODUCT($AI$9:$DF$9,'Staff Daily sales'!$G1308:$CD1308))</f>
        <v>0</v>
      </c>
      <c r="P1323">
        <f>IF($E1323=0,0,SUMPRODUCT($AI$10:$DF$10,'Staff Daily sales'!$G1308:$CD1308))</f>
        <v>0</v>
      </c>
      <c r="Q1323">
        <f>IF($E1323=0,0,SUMPRODUCT($AI$11:$DF$11,'Staff Daily sales'!$G1308:$CD1308))</f>
        <v>0</v>
      </c>
      <c r="R1323">
        <f>IF($E1323=0,0,SUMPRODUCT($AI$12:$DF$12,'Staff Daily sales'!$G1308:$CD1308))</f>
        <v>0</v>
      </c>
      <c r="S1323">
        <f>IF($E1323=0,0,SUMPRODUCT($AI$13:$DF$13,'Staff Daily sales'!$G1308:$CD1308))</f>
        <v>0</v>
      </c>
      <c r="T1323">
        <f>IF($E1323=0,0,SUMPRODUCT($AI$14:$DF$14,'Staff Daily sales'!$G1308:$CD1308))</f>
        <v>0</v>
      </c>
      <c r="U1323">
        <f>IF($E1323=0,0,SUMPRODUCT($AI$15:$DF$15,'Staff Daily sales'!$G1308:$CD1308))</f>
        <v>0</v>
      </c>
      <c r="V1323">
        <f>IF($E1323=0,0,SUMPRODUCT($AI$16:$DF$16,'Staff Daily sales'!$G1308:$CD1308))</f>
        <v>0</v>
      </c>
      <c r="W1323">
        <f t="shared" si="351"/>
        <v>0</v>
      </c>
      <c r="X1323">
        <f t="shared" si="352"/>
        <v>0</v>
      </c>
      <c r="Y1323">
        <f t="shared" si="353"/>
        <v>0</v>
      </c>
      <c r="Z1323">
        <f t="shared" si="354"/>
        <v>0</v>
      </c>
      <c r="AA1323">
        <f t="shared" si="355"/>
        <v>0</v>
      </c>
      <c r="AB1323">
        <f>--AND($E1323=1,OR('Staff Weekly Trend'!$B$3="All",$DH1323='Staff Weekly Trend'!$B$3),OR('Staff Weekly Trend'!$B$4="All",$D1323='Staff Weekly Trend'!$B$4),OR('Staff Weekly Trend'!$B$5="All",$A1323='Staff Weekly Trend'!$B$5))</f>
        <v>0</v>
      </c>
      <c r="AC1323" t="str">
        <f t="shared" si="356"/>
        <v/>
      </c>
      <c r="AI1323">
        <f t="shared" si="357"/>
        <v>0</v>
      </c>
      <c r="AJ1323">
        <f t="shared" si="358"/>
        <v>0</v>
      </c>
      <c r="AK1323">
        <f t="shared" si="359"/>
        <v>0</v>
      </c>
      <c r="AL1323">
        <f t="shared" si="360"/>
        <v>0</v>
      </c>
      <c r="AM1323">
        <f t="shared" si="361"/>
        <v>0</v>
      </c>
      <c r="DH1323" t="str" cm="1">
        <f t="array" ref="DH1323">IF($A1323="","",_xlfn.LET(_xlpm.c,IFERROR(_xlfn.XLOOKUP($A1323,TRIM('Sales and count'!$A$4:$A$300&amp;""),TRIM('Sales and count'!$B$4:$B$300&amp;"")),""),IF(OR(_xlpm.c="",_xlpm.c="0",LEFT(_xlpm.c,1)="#"),"Not set",_xlpm.c)))</f>
        <v/>
      </c>
    </row>
    <row r="1324" spans="1:112" x14ac:dyDescent="0.25">
      <c r="A1324" t="str">
        <f>IF('Staff Daily sales'!$B1309="","",TRIM('Staff Daily sales'!$B1309&amp;""))</f>
        <v/>
      </c>
      <c r="B1324" t="str">
        <f>IF('Staff Daily sales'!$D1309="","",TRIM('Staff Daily sales'!$D1309&amp;""))</f>
        <v/>
      </c>
      <c r="C1324" t="str">
        <f>IFERROR(TRIM('Staff Daily sales'!$E1309&amp;""),"")</f>
        <v/>
      </c>
      <c r="D1324" t="str">
        <f>IFERROR(IF(TRIM('Staff Daily sales'!$F1309&amp;"")="","Unassigned",TRIM('Staff Daily sales'!$F1309&amp;"")),"Unassigned")</f>
        <v>Unassigned</v>
      </c>
      <c r="E1324">
        <f t="shared" si="346"/>
        <v>0</v>
      </c>
      <c r="F1324">
        <f>IF($E1324=0,0,SUMPRODUCT($AI$5:$DF$5,'Staff Daily sales'!$G1309:$CD1309))</f>
        <v>0</v>
      </c>
      <c r="G1324">
        <f>IF($E1324=0,0,SUMPRODUCT($AI$6:$DF$6,'Staff Daily sales'!$G1309:$CD1309))</f>
        <v>0</v>
      </c>
      <c r="H1324">
        <f t="shared" si="347"/>
        <v>0</v>
      </c>
      <c r="I1324">
        <f t="shared" si="348"/>
        <v>0</v>
      </c>
      <c r="J1324">
        <f t="shared" si="349"/>
        <v>0</v>
      </c>
      <c r="K1324">
        <f t="shared" si="350"/>
        <v>0</v>
      </c>
      <c r="L1324">
        <f>--AND($E1324=1,OR('Staff Dashboard'!$B$6="All",$DH1324='Staff Dashboard'!$B$6),OR('Staff Dashboard'!$B$7="All",$D1324='Staff Dashboard'!$B$7),OR('Staff Dashboard'!$B$8="All",$A1324='Staff Dashboard'!$B$8))</f>
        <v>0</v>
      </c>
      <c r="M1324">
        <f>IF($E1324=0,0,SUMPRODUCT($AI$7:$DF$7,'Staff Daily sales'!$G1309:$CD1309))</f>
        <v>0</v>
      </c>
      <c r="N1324">
        <f>IF($E1324=0,0,SUMPRODUCT($AI$8:$DF$8,'Staff Daily sales'!$G1309:$CD1309))</f>
        <v>0</v>
      </c>
      <c r="O1324">
        <f>IF($E1324=0,0,SUMPRODUCT($AI$9:$DF$9,'Staff Daily sales'!$G1309:$CD1309))</f>
        <v>0</v>
      </c>
      <c r="P1324">
        <f>IF($E1324=0,0,SUMPRODUCT($AI$10:$DF$10,'Staff Daily sales'!$G1309:$CD1309))</f>
        <v>0</v>
      </c>
      <c r="Q1324">
        <f>IF($E1324=0,0,SUMPRODUCT($AI$11:$DF$11,'Staff Daily sales'!$G1309:$CD1309))</f>
        <v>0</v>
      </c>
      <c r="R1324">
        <f>IF($E1324=0,0,SUMPRODUCT($AI$12:$DF$12,'Staff Daily sales'!$G1309:$CD1309))</f>
        <v>0</v>
      </c>
      <c r="S1324">
        <f>IF($E1324=0,0,SUMPRODUCT($AI$13:$DF$13,'Staff Daily sales'!$G1309:$CD1309))</f>
        <v>0</v>
      </c>
      <c r="T1324">
        <f>IF($E1324=0,0,SUMPRODUCT($AI$14:$DF$14,'Staff Daily sales'!$G1309:$CD1309))</f>
        <v>0</v>
      </c>
      <c r="U1324">
        <f>IF($E1324=0,0,SUMPRODUCT($AI$15:$DF$15,'Staff Daily sales'!$G1309:$CD1309))</f>
        <v>0</v>
      </c>
      <c r="V1324">
        <f>IF($E1324=0,0,SUMPRODUCT($AI$16:$DF$16,'Staff Daily sales'!$G1309:$CD1309))</f>
        <v>0</v>
      </c>
      <c r="W1324">
        <f t="shared" si="351"/>
        <v>0</v>
      </c>
      <c r="X1324">
        <f t="shared" si="352"/>
        <v>0</v>
      </c>
      <c r="Y1324">
        <f t="shared" si="353"/>
        <v>0</v>
      </c>
      <c r="Z1324">
        <f t="shared" si="354"/>
        <v>0</v>
      </c>
      <c r="AA1324">
        <f t="shared" si="355"/>
        <v>0</v>
      </c>
      <c r="AB1324">
        <f>--AND($E1324=1,OR('Staff Weekly Trend'!$B$3="All",$DH1324='Staff Weekly Trend'!$B$3),OR('Staff Weekly Trend'!$B$4="All",$D1324='Staff Weekly Trend'!$B$4),OR('Staff Weekly Trend'!$B$5="All",$A1324='Staff Weekly Trend'!$B$5))</f>
        <v>0</v>
      </c>
      <c r="AC1324" t="str">
        <f t="shared" si="356"/>
        <v/>
      </c>
      <c r="AI1324">
        <f t="shared" si="357"/>
        <v>0</v>
      </c>
      <c r="AJ1324">
        <f t="shared" si="358"/>
        <v>0</v>
      </c>
      <c r="AK1324">
        <f t="shared" si="359"/>
        <v>0</v>
      </c>
      <c r="AL1324">
        <f t="shared" si="360"/>
        <v>0</v>
      </c>
      <c r="AM1324">
        <f t="shared" si="361"/>
        <v>0</v>
      </c>
      <c r="DH1324" t="str" cm="1">
        <f t="array" ref="DH1324">IF($A1324="","",_xlfn.LET(_xlpm.c,IFERROR(_xlfn.XLOOKUP($A1324,TRIM('Sales and count'!$A$4:$A$300&amp;""),TRIM('Sales and count'!$B$4:$B$300&amp;"")),""),IF(OR(_xlpm.c="",_xlpm.c="0",LEFT(_xlpm.c,1)="#"),"Not set",_xlpm.c)))</f>
        <v/>
      </c>
    </row>
    <row r="1325" spans="1:112" x14ac:dyDescent="0.25">
      <c r="A1325" t="str">
        <f>IF('Staff Daily sales'!$B1310="","",TRIM('Staff Daily sales'!$B1310&amp;""))</f>
        <v/>
      </c>
      <c r="B1325" t="str">
        <f>IF('Staff Daily sales'!$D1310="","",TRIM('Staff Daily sales'!$D1310&amp;""))</f>
        <v/>
      </c>
      <c r="C1325" t="str">
        <f>IFERROR(TRIM('Staff Daily sales'!$E1310&amp;""),"")</f>
        <v/>
      </c>
      <c r="D1325" t="str">
        <f>IFERROR(IF(TRIM('Staff Daily sales'!$F1310&amp;"")="","Unassigned",TRIM('Staff Daily sales'!$F1310&amp;"")),"Unassigned")</f>
        <v>Unassigned</v>
      </c>
      <c r="E1325">
        <f t="shared" si="346"/>
        <v>0</v>
      </c>
      <c r="F1325">
        <f>IF($E1325=0,0,SUMPRODUCT($AI$5:$DF$5,'Staff Daily sales'!$G1310:$CD1310))</f>
        <v>0</v>
      </c>
      <c r="G1325">
        <f>IF($E1325=0,0,SUMPRODUCT($AI$6:$DF$6,'Staff Daily sales'!$G1310:$CD1310))</f>
        <v>0</v>
      </c>
      <c r="H1325">
        <f t="shared" si="347"/>
        <v>0</v>
      </c>
      <c r="I1325">
        <f t="shared" si="348"/>
        <v>0</v>
      </c>
      <c r="J1325">
        <f t="shared" si="349"/>
        <v>0</v>
      </c>
      <c r="K1325">
        <f t="shared" si="350"/>
        <v>0</v>
      </c>
      <c r="L1325">
        <f>--AND($E1325=1,OR('Staff Dashboard'!$B$6="All",$DH1325='Staff Dashboard'!$B$6),OR('Staff Dashboard'!$B$7="All",$D1325='Staff Dashboard'!$B$7),OR('Staff Dashboard'!$B$8="All",$A1325='Staff Dashboard'!$B$8))</f>
        <v>0</v>
      </c>
      <c r="M1325">
        <f>IF($E1325=0,0,SUMPRODUCT($AI$7:$DF$7,'Staff Daily sales'!$G1310:$CD1310))</f>
        <v>0</v>
      </c>
      <c r="N1325">
        <f>IF($E1325=0,0,SUMPRODUCT($AI$8:$DF$8,'Staff Daily sales'!$G1310:$CD1310))</f>
        <v>0</v>
      </c>
      <c r="O1325">
        <f>IF($E1325=0,0,SUMPRODUCT($AI$9:$DF$9,'Staff Daily sales'!$G1310:$CD1310))</f>
        <v>0</v>
      </c>
      <c r="P1325">
        <f>IF($E1325=0,0,SUMPRODUCT($AI$10:$DF$10,'Staff Daily sales'!$G1310:$CD1310))</f>
        <v>0</v>
      </c>
      <c r="Q1325">
        <f>IF($E1325=0,0,SUMPRODUCT($AI$11:$DF$11,'Staff Daily sales'!$G1310:$CD1310))</f>
        <v>0</v>
      </c>
      <c r="R1325">
        <f>IF($E1325=0,0,SUMPRODUCT($AI$12:$DF$12,'Staff Daily sales'!$G1310:$CD1310))</f>
        <v>0</v>
      </c>
      <c r="S1325">
        <f>IF($E1325=0,0,SUMPRODUCT($AI$13:$DF$13,'Staff Daily sales'!$G1310:$CD1310))</f>
        <v>0</v>
      </c>
      <c r="T1325">
        <f>IF($E1325=0,0,SUMPRODUCT($AI$14:$DF$14,'Staff Daily sales'!$G1310:$CD1310))</f>
        <v>0</v>
      </c>
      <c r="U1325">
        <f>IF($E1325=0,0,SUMPRODUCT($AI$15:$DF$15,'Staff Daily sales'!$G1310:$CD1310))</f>
        <v>0</v>
      </c>
      <c r="V1325">
        <f>IF($E1325=0,0,SUMPRODUCT($AI$16:$DF$16,'Staff Daily sales'!$G1310:$CD1310))</f>
        <v>0</v>
      </c>
      <c r="W1325">
        <f t="shared" si="351"/>
        <v>0</v>
      </c>
      <c r="X1325">
        <f t="shared" si="352"/>
        <v>0</v>
      </c>
      <c r="Y1325">
        <f t="shared" si="353"/>
        <v>0</v>
      </c>
      <c r="Z1325">
        <f t="shared" si="354"/>
        <v>0</v>
      </c>
      <c r="AA1325">
        <f t="shared" si="355"/>
        <v>0</v>
      </c>
      <c r="AB1325">
        <f>--AND($E1325=1,OR('Staff Weekly Trend'!$B$3="All",$DH1325='Staff Weekly Trend'!$B$3),OR('Staff Weekly Trend'!$B$4="All",$D1325='Staff Weekly Trend'!$B$4),OR('Staff Weekly Trend'!$B$5="All",$A1325='Staff Weekly Trend'!$B$5))</f>
        <v>0</v>
      </c>
      <c r="AC1325" t="str">
        <f t="shared" si="356"/>
        <v/>
      </c>
      <c r="AI1325">
        <f t="shared" si="357"/>
        <v>0</v>
      </c>
      <c r="AJ1325">
        <f t="shared" si="358"/>
        <v>0</v>
      </c>
      <c r="AK1325">
        <f t="shared" si="359"/>
        <v>0</v>
      </c>
      <c r="AL1325">
        <f t="shared" si="360"/>
        <v>0</v>
      </c>
      <c r="AM1325">
        <f t="shared" si="361"/>
        <v>0</v>
      </c>
      <c r="DH1325" t="str" cm="1">
        <f t="array" ref="DH1325">IF($A1325="","",_xlfn.LET(_xlpm.c,IFERROR(_xlfn.XLOOKUP($A1325,TRIM('Sales and count'!$A$4:$A$300&amp;""),TRIM('Sales and count'!$B$4:$B$300&amp;"")),""),IF(OR(_xlpm.c="",_xlpm.c="0",LEFT(_xlpm.c,1)="#"),"Not set",_xlpm.c)))</f>
        <v/>
      </c>
    </row>
    <row r="1326" spans="1:112" x14ac:dyDescent="0.25">
      <c r="A1326" t="str">
        <f>IF('Staff Daily sales'!$B1311="","",TRIM('Staff Daily sales'!$B1311&amp;""))</f>
        <v/>
      </c>
      <c r="B1326" t="str">
        <f>IF('Staff Daily sales'!$D1311="","",TRIM('Staff Daily sales'!$D1311&amp;""))</f>
        <v/>
      </c>
      <c r="C1326" t="str">
        <f>IFERROR(TRIM('Staff Daily sales'!$E1311&amp;""),"")</f>
        <v/>
      </c>
      <c r="D1326" t="str">
        <f>IFERROR(IF(TRIM('Staff Daily sales'!$F1311&amp;"")="","Unassigned",TRIM('Staff Daily sales'!$F1311&amp;"")),"Unassigned")</f>
        <v>Unassigned</v>
      </c>
      <c r="E1326">
        <f t="shared" si="346"/>
        <v>0</v>
      </c>
      <c r="F1326">
        <f>IF($E1326=0,0,SUMPRODUCT($AI$5:$DF$5,'Staff Daily sales'!$G1311:$CD1311))</f>
        <v>0</v>
      </c>
      <c r="G1326">
        <f>IF($E1326=0,0,SUMPRODUCT($AI$6:$DF$6,'Staff Daily sales'!$G1311:$CD1311))</f>
        <v>0</v>
      </c>
      <c r="H1326">
        <f t="shared" si="347"/>
        <v>0</v>
      </c>
      <c r="I1326">
        <f t="shared" si="348"/>
        <v>0</v>
      </c>
      <c r="J1326">
        <f t="shared" si="349"/>
        <v>0</v>
      </c>
      <c r="K1326">
        <f t="shared" si="350"/>
        <v>0</v>
      </c>
      <c r="L1326">
        <f>--AND($E1326=1,OR('Staff Dashboard'!$B$6="All",$DH1326='Staff Dashboard'!$B$6),OR('Staff Dashboard'!$B$7="All",$D1326='Staff Dashboard'!$B$7),OR('Staff Dashboard'!$B$8="All",$A1326='Staff Dashboard'!$B$8))</f>
        <v>0</v>
      </c>
      <c r="M1326">
        <f>IF($E1326=0,0,SUMPRODUCT($AI$7:$DF$7,'Staff Daily sales'!$G1311:$CD1311))</f>
        <v>0</v>
      </c>
      <c r="N1326">
        <f>IF($E1326=0,0,SUMPRODUCT($AI$8:$DF$8,'Staff Daily sales'!$G1311:$CD1311))</f>
        <v>0</v>
      </c>
      <c r="O1326">
        <f>IF($E1326=0,0,SUMPRODUCT($AI$9:$DF$9,'Staff Daily sales'!$G1311:$CD1311))</f>
        <v>0</v>
      </c>
      <c r="P1326">
        <f>IF($E1326=0,0,SUMPRODUCT($AI$10:$DF$10,'Staff Daily sales'!$G1311:$CD1311))</f>
        <v>0</v>
      </c>
      <c r="Q1326">
        <f>IF($E1326=0,0,SUMPRODUCT($AI$11:$DF$11,'Staff Daily sales'!$G1311:$CD1311))</f>
        <v>0</v>
      </c>
      <c r="R1326">
        <f>IF($E1326=0,0,SUMPRODUCT($AI$12:$DF$12,'Staff Daily sales'!$G1311:$CD1311))</f>
        <v>0</v>
      </c>
      <c r="S1326">
        <f>IF($E1326=0,0,SUMPRODUCT($AI$13:$DF$13,'Staff Daily sales'!$G1311:$CD1311))</f>
        <v>0</v>
      </c>
      <c r="T1326">
        <f>IF($E1326=0,0,SUMPRODUCT($AI$14:$DF$14,'Staff Daily sales'!$G1311:$CD1311))</f>
        <v>0</v>
      </c>
      <c r="U1326">
        <f>IF($E1326=0,0,SUMPRODUCT($AI$15:$DF$15,'Staff Daily sales'!$G1311:$CD1311))</f>
        <v>0</v>
      </c>
      <c r="V1326">
        <f>IF($E1326=0,0,SUMPRODUCT($AI$16:$DF$16,'Staff Daily sales'!$G1311:$CD1311))</f>
        <v>0</v>
      </c>
      <c r="W1326">
        <f t="shared" si="351"/>
        <v>0</v>
      </c>
      <c r="X1326">
        <f t="shared" si="352"/>
        <v>0</v>
      </c>
      <c r="Y1326">
        <f t="shared" si="353"/>
        <v>0</v>
      </c>
      <c r="Z1326">
        <f t="shared" si="354"/>
        <v>0</v>
      </c>
      <c r="AA1326">
        <f t="shared" si="355"/>
        <v>0</v>
      </c>
      <c r="AB1326">
        <f>--AND($E1326=1,OR('Staff Weekly Trend'!$B$3="All",$DH1326='Staff Weekly Trend'!$B$3),OR('Staff Weekly Trend'!$B$4="All",$D1326='Staff Weekly Trend'!$B$4),OR('Staff Weekly Trend'!$B$5="All",$A1326='Staff Weekly Trend'!$B$5))</f>
        <v>0</v>
      </c>
      <c r="AC1326" t="str">
        <f t="shared" si="356"/>
        <v/>
      </c>
      <c r="AI1326">
        <f t="shared" si="357"/>
        <v>0</v>
      </c>
      <c r="AJ1326">
        <f t="shared" si="358"/>
        <v>0</v>
      </c>
      <c r="AK1326">
        <f t="shared" si="359"/>
        <v>0</v>
      </c>
      <c r="AL1326">
        <f t="shared" si="360"/>
        <v>0</v>
      </c>
      <c r="AM1326">
        <f t="shared" si="361"/>
        <v>0</v>
      </c>
      <c r="DH1326" t="str" cm="1">
        <f t="array" ref="DH1326">IF($A1326="","",_xlfn.LET(_xlpm.c,IFERROR(_xlfn.XLOOKUP($A1326,TRIM('Sales and count'!$A$4:$A$300&amp;""),TRIM('Sales and count'!$B$4:$B$300&amp;"")),""),IF(OR(_xlpm.c="",_xlpm.c="0",LEFT(_xlpm.c,1)="#"),"Not set",_xlpm.c)))</f>
        <v/>
      </c>
    </row>
    <row r="1327" spans="1:112" x14ac:dyDescent="0.25">
      <c r="A1327" t="str">
        <f>IF('Staff Daily sales'!$B1312="","",TRIM('Staff Daily sales'!$B1312&amp;""))</f>
        <v/>
      </c>
      <c r="B1327" t="str">
        <f>IF('Staff Daily sales'!$D1312="","",TRIM('Staff Daily sales'!$D1312&amp;""))</f>
        <v/>
      </c>
      <c r="C1327" t="str">
        <f>IFERROR(TRIM('Staff Daily sales'!$E1312&amp;""),"")</f>
        <v/>
      </c>
      <c r="D1327" t="str">
        <f>IFERROR(IF(TRIM('Staff Daily sales'!$F1312&amp;"")="","Unassigned",TRIM('Staff Daily sales'!$F1312&amp;"")),"Unassigned")</f>
        <v>Unassigned</v>
      </c>
      <c r="E1327">
        <f t="shared" si="346"/>
        <v>0</v>
      </c>
      <c r="F1327">
        <f>IF($E1327=0,0,SUMPRODUCT($AI$5:$DF$5,'Staff Daily sales'!$G1312:$CD1312))</f>
        <v>0</v>
      </c>
      <c r="G1327">
        <f>IF($E1327=0,0,SUMPRODUCT($AI$6:$DF$6,'Staff Daily sales'!$G1312:$CD1312))</f>
        <v>0</v>
      </c>
      <c r="H1327">
        <f t="shared" si="347"/>
        <v>0</v>
      </c>
      <c r="I1327">
        <f t="shared" si="348"/>
        <v>0</v>
      </c>
      <c r="J1327">
        <f t="shared" si="349"/>
        <v>0</v>
      </c>
      <c r="K1327">
        <f t="shared" si="350"/>
        <v>0</v>
      </c>
      <c r="L1327">
        <f>--AND($E1327=1,OR('Staff Dashboard'!$B$6="All",$DH1327='Staff Dashboard'!$B$6),OR('Staff Dashboard'!$B$7="All",$D1327='Staff Dashboard'!$B$7),OR('Staff Dashboard'!$B$8="All",$A1327='Staff Dashboard'!$B$8))</f>
        <v>0</v>
      </c>
      <c r="M1327">
        <f>IF($E1327=0,0,SUMPRODUCT($AI$7:$DF$7,'Staff Daily sales'!$G1312:$CD1312))</f>
        <v>0</v>
      </c>
      <c r="N1327">
        <f>IF($E1327=0,0,SUMPRODUCT($AI$8:$DF$8,'Staff Daily sales'!$G1312:$CD1312))</f>
        <v>0</v>
      </c>
      <c r="O1327">
        <f>IF($E1327=0,0,SUMPRODUCT($AI$9:$DF$9,'Staff Daily sales'!$G1312:$CD1312))</f>
        <v>0</v>
      </c>
      <c r="P1327">
        <f>IF($E1327=0,0,SUMPRODUCT($AI$10:$DF$10,'Staff Daily sales'!$G1312:$CD1312))</f>
        <v>0</v>
      </c>
      <c r="Q1327">
        <f>IF($E1327=0,0,SUMPRODUCT($AI$11:$DF$11,'Staff Daily sales'!$G1312:$CD1312))</f>
        <v>0</v>
      </c>
      <c r="R1327">
        <f>IF($E1327=0,0,SUMPRODUCT($AI$12:$DF$12,'Staff Daily sales'!$G1312:$CD1312))</f>
        <v>0</v>
      </c>
      <c r="S1327">
        <f>IF($E1327=0,0,SUMPRODUCT($AI$13:$DF$13,'Staff Daily sales'!$G1312:$CD1312))</f>
        <v>0</v>
      </c>
      <c r="T1327">
        <f>IF($E1327=0,0,SUMPRODUCT($AI$14:$DF$14,'Staff Daily sales'!$G1312:$CD1312))</f>
        <v>0</v>
      </c>
      <c r="U1327">
        <f>IF($E1327=0,0,SUMPRODUCT($AI$15:$DF$15,'Staff Daily sales'!$G1312:$CD1312))</f>
        <v>0</v>
      </c>
      <c r="V1327">
        <f>IF($E1327=0,0,SUMPRODUCT($AI$16:$DF$16,'Staff Daily sales'!$G1312:$CD1312))</f>
        <v>0</v>
      </c>
      <c r="W1327">
        <f t="shared" si="351"/>
        <v>0</v>
      </c>
      <c r="X1327">
        <f t="shared" si="352"/>
        <v>0</v>
      </c>
      <c r="Y1327">
        <f t="shared" si="353"/>
        <v>0</v>
      </c>
      <c r="Z1327">
        <f t="shared" si="354"/>
        <v>0</v>
      </c>
      <c r="AA1327">
        <f t="shared" si="355"/>
        <v>0</v>
      </c>
      <c r="AB1327">
        <f>--AND($E1327=1,OR('Staff Weekly Trend'!$B$3="All",$DH1327='Staff Weekly Trend'!$B$3),OR('Staff Weekly Trend'!$B$4="All",$D1327='Staff Weekly Trend'!$B$4),OR('Staff Weekly Trend'!$B$5="All",$A1327='Staff Weekly Trend'!$B$5))</f>
        <v>0</v>
      </c>
      <c r="AC1327" t="str">
        <f t="shared" si="356"/>
        <v/>
      </c>
      <c r="AI1327">
        <f t="shared" si="357"/>
        <v>0</v>
      </c>
      <c r="AJ1327">
        <f t="shared" si="358"/>
        <v>0</v>
      </c>
      <c r="AK1327">
        <f t="shared" si="359"/>
        <v>0</v>
      </c>
      <c r="AL1327">
        <f t="shared" si="360"/>
        <v>0</v>
      </c>
      <c r="AM1327">
        <f t="shared" si="361"/>
        <v>0</v>
      </c>
      <c r="DH1327" t="str" cm="1">
        <f t="array" ref="DH1327">IF($A1327="","",_xlfn.LET(_xlpm.c,IFERROR(_xlfn.XLOOKUP($A1327,TRIM('Sales and count'!$A$4:$A$300&amp;""),TRIM('Sales and count'!$B$4:$B$300&amp;"")),""),IF(OR(_xlpm.c="",_xlpm.c="0",LEFT(_xlpm.c,1)="#"),"Not set",_xlpm.c)))</f>
        <v/>
      </c>
    </row>
    <row r="1328" spans="1:112" x14ac:dyDescent="0.25">
      <c r="A1328" t="str">
        <f>IF('Staff Daily sales'!$B1313="","",TRIM('Staff Daily sales'!$B1313&amp;""))</f>
        <v/>
      </c>
      <c r="B1328" t="str">
        <f>IF('Staff Daily sales'!$D1313="","",TRIM('Staff Daily sales'!$D1313&amp;""))</f>
        <v/>
      </c>
      <c r="C1328" t="str">
        <f>IFERROR(TRIM('Staff Daily sales'!$E1313&amp;""),"")</f>
        <v/>
      </c>
      <c r="D1328" t="str">
        <f>IFERROR(IF(TRIM('Staff Daily sales'!$F1313&amp;"")="","Unassigned",TRIM('Staff Daily sales'!$F1313&amp;"")),"Unassigned")</f>
        <v>Unassigned</v>
      </c>
      <c r="E1328">
        <f t="shared" si="346"/>
        <v>0</v>
      </c>
      <c r="F1328">
        <f>IF($E1328=0,0,SUMPRODUCT($AI$5:$DF$5,'Staff Daily sales'!$G1313:$CD1313))</f>
        <v>0</v>
      </c>
      <c r="G1328">
        <f>IF($E1328=0,0,SUMPRODUCT($AI$6:$DF$6,'Staff Daily sales'!$G1313:$CD1313))</f>
        <v>0</v>
      </c>
      <c r="H1328">
        <f t="shared" si="347"/>
        <v>0</v>
      </c>
      <c r="I1328">
        <f t="shared" si="348"/>
        <v>0</v>
      </c>
      <c r="J1328">
        <f t="shared" si="349"/>
        <v>0</v>
      </c>
      <c r="K1328">
        <f t="shared" si="350"/>
        <v>0</v>
      </c>
      <c r="L1328">
        <f>--AND($E1328=1,OR('Staff Dashboard'!$B$6="All",$DH1328='Staff Dashboard'!$B$6),OR('Staff Dashboard'!$B$7="All",$D1328='Staff Dashboard'!$B$7),OR('Staff Dashboard'!$B$8="All",$A1328='Staff Dashboard'!$B$8))</f>
        <v>0</v>
      </c>
      <c r="M1328">
        <f>IF($E1328=0,0,SUMPRODUCT($AI$7:$DF$7,'Staff Daily sales'!$G1313:$CD1313))</f>
        <v>0</v>
      </c>
      <c r="N1328">
        <f>IF($E1328=0,0,SUMPRODUCT($AI$8:$DF$8,'Staff Daily sales'!$G1313:$CD1313))</f>
        <v>0</v>
      </c>
      <c r="O1328">
        <f>IF($E1328=0,0,SUMPRODUCT($AI$9:$DF$9,'Staff Daily sales'!$G1313:$CD1313))</f>
        <v>0</v>
      </c>
      <c r="P1328">
        <f>IF($E1328=0,0,SUMPRODUCT($AI$10:$DF$10,'Staff Daily sales'!$G1313:$CD1313))</f>
        <v>0</v>
      </c>
      <c r="Q1328">
        <f>IF($E1328=0,0,SUMPRODUCT($AI$11:$DF$11,'Staff Daily sales'!$G1313:$CD1313))</f>
        <v>0</v>
      </c>
      <c r="R1328">
        <f>IF($E1328=0,0,SUMPRODUCT($AI$12:$DF$12,'Staff Daily sales'!$G1313:$CD1313))</f>
        <v>0</v>
      </c>
      <c r="S1328">
        <f>IF($E1328=0,0,SUMPRODUCT($AI$13:$DF$13,'Staff Daily sales'!$G1313:$CD1313))</f>
        <v>0</v>
      </c>
      <c r="T1328">
        <f>IF($E1328=0,0,SUMPRODUCT($AI$14:$DF$14,'Staff Daily sales'!$G1313:$CD1313))</f>
        <v>0</v>
      </c>
      <c r="U1328">
        <f>IF($E1328=0,0,SUMPRODUCT($AI$15:$DF$15,'Staff Daily sales'!$G1313:$CD1313))</f>
        <v>0</v>
      </c>
      <c r="V1328">
        <f>IF($E1328=0,0,SUMPRODUCT($AI$16:$DF$16,'Staff Daily sales'!$G1313:$CD1313))</f>
        <v>0</v>
      </c>
      <c r="W1328">
        <f t="shared" si="351"/>
        <v>0</v>
      </c>
      <c r="X1328">
        <f t="shared" si="352"/>
        <v>0</v>
      </c>
      <c r="Y1328">
        <f t="shared" si="353"/>
        <v>0</v>
      </c>
      <c r="Z1328">
        <f t="shared" si="354"/>
        <v>0</v>
      </c>
      <c r="AA1328">
        <f t="shared" si="355"/>
        <v>0</v>
      </c>
      <c r="AB1328">
        <f>--AND($E1328=1,OR('Staff Weekly Trend'!$B$3="All",$DH1328='Staff Weekly Trend'!$B$3),OR('Staff Weekly Trend'!$B$4="All",$D1328='Staff Weekly Trend'!$B$4),OR('Staff Weekly Trend'!$B$5="All",$A1328='Staff Weekly Trend'!$B$5))</f>
        <v>0</v>
      </c>
      <c r="AC1328" t="str">
        <f t="shared" si="356"/>
        <v/>
      </c>
      <c r="AI1328">
        <f t="shared" si="357"/>
        <v>0</v>
      </c>
      <c r="AJ1328">
        <f t="shared" si="358"/>
        <v>0</v>
      </c>
      <c r="AK1328">
        <f t="shared" si="359"/>
        <v>0</v>
      </c>
      <c r="AL1328">
        <f t="shared" si="360"/>
        <v>0</v>
      </c>
      <c r="AM1328">
        <f t="shared" si="361"/>
        <v>0</v>
      </c>
      <c r="DH1328" t="str" cm="1">
        <f t="array" ref="DH1328">IF($A1328="","",_xlfn.LET(_xlpm.c,IFERROR(_xlfn.XLOOKUP($A1328,TRIM('Sales and count'!$A$4:$A$300&amp;""),TRIM('Sales and count'!$B$4:$B$300&amp;"")),""),IF(OR(_xlpm.c="",_xlpm.c="0",LEFT(_xlpm.c,1)="#"),"Not set",_xlpm.c)))</f>
        <v/>
      </c>
    </row>
    <row r="1329" spans="1:112" x14ac:dyDescent="0.25">
      <c r="A1329" t="str">
        <f>IF('Staff Daily sales'!$B1314="","",TRIM('Staff Daily sales'!$B1314&amp;""))</f>
        <v/>
      </c>
      <c r="B1329" t="str">
        <f>IF('Staff Daily sales'!$D1314="","",TRIM('Staff Daily sales'!$D1314&amp;""))</f>
        <v/>
      </c>
      <c r="C1329" t="str">
        <f>IFERROR(TRIM('Staff Daily sales'!$E1314&amp;""),"")</f>
        <v/>
      </c>
      <c r="D1329" t="str">
        <f>IFERROR(IF(TRIM('Staff Daily sales'!$F1314&amp;"")="","Unassigned",TRIM('Staff Daily sales'!$F1314&amp;"")),"Unassigned")</f>
        <v>Unassigned</v>
      </c>
      <c r="E1329">
        <f t="shared" si="346"/>
        <v>0</v>
      </c>
      <c r="F1329">
        <f>IF($E1329=0,0,SUMPRODUCT($AI$5:$DF$5,'Staff Daily sales'!$G1314:$CD1314))</f>
        <v>0</v>
      </c>
      <c r="G1329">
        <f>IF($E1329=0,0,SUMPRODUCT($AI$6:$DF$6,'Staff Daily sales'!$G1314:$CD1314))</f>
        <v>0</v>
      </c>
      <c r="H1329">
        <f t="shared" si="347"/>
        <v>0</v>
      </c>
      <c r="I1329">
        <f t="shared" si="348"/>
        <v>0</v>
      </c>
      <c r="J1329">
        <f t="shared" si="349"/>
        <v>0</v>
      </c>
      <c r="K1329">
        <f t="shared" si="350"/>
        <v>0</v>
      </c>
      <c r="L1329">
        <f>--AND($E1329=1,OR('Staff Dashboard'!$B$6="All",$DH1329='Staff Dashboard'!$B$6),OR('Staff Dashboard'!$B$7="All",$D1329='Staff Dashboard'!$B$7),OR('Staff Dashboard'!$B$8="All",$A1329='Staff Dashboard'!$B$8))</f>
        <v>0</v>
      </c>
      <c r="M1329">
        <f>IF($E1329=0,0,SUMPRODUCT($AI$7:$DF$7,'Staff Daily sales'!$G1314:$CD1314))</f>
        <v>0</v>
      </c>
      <c r="N1329">
        <f>IF($E1329=0,0,SUMPRODUCT($AI$8:$DF$8,'Staff Daily sales'!$G1314:$CD1314))</f>
        <v>0</v>
      </c>
      <c r="O1329">
        <f>IF($E1329=0,0,SUMPRODUCT($AI$9:$DF$9,'Staff Daily sales'!$G1314:$CD1314))</f>
        <v>0</v>
      </c>
      <c r="P1329">
        <f>IF($E1329=0,0,SUMPRODUCT($AI$10:$DF$10,'Staff Daily sales'!$G1314:$CD1314))</f>
        <v>0</v>
      </c>
      <c r="Q1329">
        <f>IF($E1329=0,0,SUMPRODUCT($AI$11:$DF$11,'Staff Daily sales'!$G1314:$CD1314))</f>
        <v>0</v>
      </c>
      <c r="R1329">
        <f>IF($E1329=0,0,SUMPRODUCT($AI$12:$DF$12,'Staff Daily sales'!$G1314:$CD1314))</f>
        <v>0</v>
      </c>
      <c r="S1329">
        <f>IF($E1329=0,0,SUMPRODUCT($AI$13:$DF$13,'Staff Daily sales'!$G1314:$CD1314))</f>
        <v>0</v>
      </c>
      <c r="T1329">
        <f>IF($E1329=0,0,SUMPRODUCT($AI$14:$DF$14,'Staff Daily sales'!$G1314:$CD1314))</f>
        <v>0</v>
      </c>
      <c r="U1329">
        <f>IF($E1329=0,0,SUMPRODUCT($AI$15:$DF$15,'Staff Daily sales'!$G1314:$CD1314))</f>
        <v>0</v>
      </c>
      <c r="V1329">
        <f>IF($E1329=0,0,SUMPRODUCT($AI$16:$DF$16,'Staff Daily sales'!$G1314:$CD1314))</f>
        <v>0</v>
      </c>
      <c r="W1329">
        <f t="shared" si="351"/>
        <v>0</v>
      </c>
      <c r="X1329">
        <f t="shared" si="352"/>
        <v>0</v>
      </c>
      <c r="Y1329">
        <f t="shared" si="353"/>
        <v>0</v>
      </c>
      <c r="Z1329">
        <f t="shared" si="354"/>
        <v>0</v>
      </c>
      <c r="AA1329">
        <f t="shared" si="355"/>
        <v>0</v>
      </c>
      <c r="AB1329">
        <f>--AND($E1329=1,OR('Staff Weekly Trend'!$B$3="All",$DH1329='Staff Weekly Trend'!$B$3),OR('Staff Weekly Trend'!$B$4="All",$D1329='Staff Weekly Trend'!$B$4),OR('Staff Weekly Trend'!$B$5="All",$A1329='Staff Weekly Trend'!$B$5))</f>
        <v>0</v>
      </c>
      <c r="AC1329" t="str">
        <f t="shared" si="356"/>
        <v/>
      </c>
      <c r="AI1329">
        <f t="shared" si="357"/>
        <v>0</v>
      </c>
      <c r="AJ1329">
        <f t="shared" si="358"/>
        <v>0</v>
      </c>
      <c r="AK1329">
        <f t="shared" si="359"/>
        <v>0</v>
      </c>
      <c r="AL1329">
        <f t="shared" si="360"/>
        <v>0</v>
      </c>
      <c r="AM1329">
        <f t="shared" si="361"/>
        <v>0</v>
      </c>
      <c r="DH1329" t="str" cm="1">
        <f t="array" ref="DH1329">IF($A1329="","",_xlfn.LET(_xlpm.c,IFERROR(_xlfn.XLOOKUP($A1329,TRIM('Sales and count'!$A$4:$A$300&amp;""),TRIM('Sales and count'!$B$4:$B$300&amp;"")),""),IF(OR(_xlpm.c="",_xlpm.c="0",LEFT(_xlpm.c,1)="#"),"Not set",_xlpm.c)))</f>
        <v/>
      </c>
    </row>
    <row r="1330" spans="1:112" x14ac:dyDescent="0.25">
      <c r="A1330" t="str">
        <f>IF('Staff Daily sales'!$B1315="","",TRIM('Staff Daily sales'!$B1315&amp;""))</f>
        <v/>
      </c>
      <c r="B1330" t="str">
        <f>IF('Staff Daily sales'!$D1315="","",TRIM('Staff Daily sales'!$D1315&amp;""))</f>
        <v/>
      </c>
      <c r="C1330" t="str">
        <f>IFERROR(TRIM('Staff Daily sales'!$E1315&amp;""),"")</f>
        <v/>
      </c>
      <c r="D1330" t="str">
        <f>IFERROR(IF(TRIM('Staff Daily sales'!$F1315&amp;"")="","Unassigned",TRIM('Staff Daily sales'!$F1315&amp;"")),"Unassigned")</f>
        <v>Unassigned</v>
      </c>
      <c r="E1330">
        <f t="shared" si="346"/>
        <v>0</v>
      </c>
      <c r="F1330">
        <f>IF($E1330=0,0,SUMPRODUCT($AI$5:$DF$5,'Staff Daily sales'!$G1315:$CD1315))</f>
        <v>0</v>
      </c>
      <c r="G1330">
        <f>IF($E1330=0,0,SUMPRODUCT($AI$6:$DF$6,'Staff Daily sales'!$G1315:$CD1315))</f>
        <v>0</v>
      </c>
      <c r="H1330">
        <f t="shared" si="347"/>
        <v>0</v>
      </c>
      <c r="I1330">
        <f t="shared" si="348"/>
        <v>0</v>
      </c>
      <c r="J1330">
        <f t="shared" si="349"/>
        <v>0</v>
      </c>
      <c r="K1330">
        <f t="shared" si="350"/>
        <v>0</v>
      </c>
      <c r="L1330">
        <f>--AND($E1330=1,OR('Staff Dashboard'!$B$6="All",$DH1330='Staff Dashboard'!$B$6),OR('Staff Dashboard'!$B$7="All",$D1330='Staff Dashboard'!$B$7),OR('Staff Dashboard'!$B$8="All",$A1330='Staff Dashboard'!$B$8))</f>
        <v>0</v>
      </c>
      <c r="M1330">
        <f>IF($E1330=0,0,SUMPRODUCT($AI$7:$DF$7,'Staff Daily sales'!$G1315:$CD1315))</f>
        <v>0</v>
      </c>
      <c r="N1330">
        <f>IF($E1330=0,0,SUMPRODUCT($AI$8:$DF$8,'Staff Daily sales'!$G1315:$CD1315))</f>
        <v>0</v>
      </c>
      <c r="O1330">
        <f>IF($E1330=0,0,SUMPRODUCT($AI$9:$DF$9,'Staff Daily sales'!$G1315:$CD1315))</f>
        <v>0</v>
      </c>
      <c r="P1330">
        <f>IF($E1330=0,0,SUMPRODUCT($AI$10:$DF$10,'Staff Daily sales'!$G1315:$CD1315))</f>
        <v>0</v>
      </c>
      <c r="Q1330">
        <f>IF($E1330=0,0,SUMPRODUCT($AI$11:$DF$11,'Staff Daily sales'!$G1315:$CD1315))</f>
        <v>0</v>
      </c>
      <c r="R1330">
        <f>IF($E1330=0,0,SUMPRODUCT($AI$12:$DF$12,'Staff Daily sales'!$G1315:$CD1315))</f>
        <v>0</v>
      </c>
      <c r="S1330">
        <f>IF($E1330=0,0,SUMPRODUCT($AI$13:$DF$13,'Staff Daily sales'!$G1315:$CD1315))</f>
        <v>0</v>
      </c>
      <c r="T1330">
        <f>IF($E1330=0,0,SUMPRODUCT($AI$14:$DF$14,'Staff Daily sales'!$G1315:$CD1315))</f>
        <v>0</v>
      </c>
      <c r="U1330">
        <f>IF($E1330=0,0,SUMPRODUCT($AI$15:$DF$15,'Staff Daily sales'!$G1315:$CD1315))</f>
        <v>0</v>
      </c>
      <c r="V1330">
        <f>IF($E1330=0,0,SUMPRODUCT($AI$16:$DF$16,'Staff Daily sales'!$G1315:$CD1315))</f>
        <v>0</v>
      </c>
      <c r="W1330">
        <f t="shared" si="351"/>
        <v>0</v>
      </c>
      <c r="X1330">
        <f t="shared" si="352"/>
        <v>0</v>
      </c>
      <c r="Y1330">
        <f t="shared" si="353"/>
        <v>0</v>
      </c>
      <c r="Z1330">
        <f t="shared" si="354"/>
        <v>0</v>
      </c>
      <c r="AA1330">
        <f t="shared" si="355"/>
        <v>0</v>
      </c>
      <c r="AB1330">
        <f>--AND($E1330=1,OR('Staff Weekly Trend'!$B$3="All",$DH1330='Staff Weekly Trend'!$B$3),OR('Staff Weekly Trend'!$B$4="All",$D1330='Staff Weekly Trend'!$B$4),OR('Staff Weekly Trend'!$B$5="All",$A1330='Staff Weekly Trend'!$B$5))</f>
        <v>0</v>
      </c>
      <c r="AC1330" t="str">
        <f t="shared" si="356"/>
        <v/>
      </c>
      <c r="AI1330">
        <f t="shared" si="357"/>
        <v>0</v>
      </c>
      <c r="AJ1330">
        <f t="shared" si="358"/>
        <v>0</v>
      </c>
      <c r="AK1330">
        <f t="shared" si="359"/>
        <v>0</v>
      </c>
      <c r="AL1330">
        <f t="shared" si="360"/>
        <v>0</v>
      </c>
      <c r="AM1330">
        <f t="shared" si="361"/>
        <v>0</v>
      </c>
      <c r="DH1330" t="str" cm="1">
        <f t="array" ref="DH1330">IF($A1330="","",_xlfn.LET(_xlpm.c,IFERROR(_xlfn.XLOOKUP($A1330,TRIM('Sales and count'!$A$4:$A$300&amp;""),TRIM('Sales and count'!$B$4:$B$300&amp;"")),""),IF(OR(_xlpm.c="",_xlpm.c="0",LEFT(_xlpm.c,1)="#"),"Not set",_xlpm.c)))</f>
        <v/>
      </c>
    </row>
    <row r="1331" spans="1:112" x14ac:dyDescent="0.25">
      <c r="A1331" t="str">
        <f>IF('Staff Daily sales'!$B1316="","",TRIM('Staff Daily sales'!$B1316&amp;""))</f>
        <v/>
      </c>
      <c r="B1331" t="str">
        <f>IF('Staff Daily sales'!$D1316="","",TRIM('Staff Daily sales'!$D1316&amp;""))</f>
        <v/>
      </c>
      <c r="C1331" t="str">
        <f>IFERROR(TRIM('Staff Daily sales'!$E1316&amp;""),"")</f>
        <v/>
      </c>
      <c r="D1331" t="str">
        <f>IFERROR(IF(TRIM('Staff Daily sales'!$F1316&amp;"")="","Unassigned",TRIM('Staff Daily sales'!$F1316&amp;"")),"Unassigned")</f>
        <v>Unassigned</v>
      </c>
      <c r="E1331">
        <f t="shared" si="346"/>
        <v>0</v>
      </c>
      <c r="F1331">
        <f>IF($E1331=0,0,SUMPRODUCT($AI$5:$DF$5,'Staff Daily sales'!$G1316:$CD1316))</f>
        <v>0</v>
      </c>
      <c r="G1331">
        <f>IF($E1331=0,0,SUMPRODUCT($AI$6:$DF$6,'Staff Daily sales'!$G1316:$CD1316))</f>
        <v>0</v>
      </c>
      <c r="H1331">
        <f t="shared" si="347"/>
        <v>0</v>
      </c>
      <c r="I1331">
        <f t="shared" si="348"/>
        <v>0</v>
      </c>
      <c r="J1331">
        <f t="shared" si="349"/>
        <v>0</v>
      </c>
      <c r="K1331">
        <f t="shared" si="350"/>
        <v>0</v>
      </c>
      <c r="L1331">
        <f>--AND($E1331=1,OR('Staff Dashboard'!$B$6="All",$DH1331='Staff Dashboard'!$B$6),OR('Staff Dashboard'!$B$7="All",$D1331='Staff Dashboard'!$B$7),OR('Staff Dashboard'!$B$8="All",$A1331='Staff Dashboard'!$B$8))</f>
        <v>0</v>
      </c>
      <c r="M1331">
        <f>IF($E1331=0,0,SUMPRODUCT($AI$7:$DF$7,'Staff Daily sales'!$G1316:$CD1316))</f>
        <v>0</v>
      </c>
      <c r="N1331">
        <f>IF($E1331=0,0,SUMPRODUCT($AI$8:$DF$8,'Staff Daily sales'!$G1316:$CD1316))</f>
        <v>0</v>
      </c>
      <c r="O1331">
        <f>IF($E1331=0,0,SUMPRODUCT($AI$9:$DF$9,'Staff Daily sales'!$G1316:$CD1316))</f>
        <v>0</v>
      </c>
      <c r="P1331">
        <f>IF($E1331=0,0,SUMPRODUCT($AI$10:$DF$10,'Staff Daily sales'!$G1316:$CD1316))</f>
        <v>0</v>
      </c>
      <c r="Q1331">
        <f>IF($E1331=0,0,SUMPRODUCT($AI$11:$DF$11,'Staff Daily sales'!$G1316:$CD1316))</f>
        <v>0</v>
      </c>
      <c r="R1331">
        <f>IF($E1331=0,0,SUMPRODUCT($AI$12:$DF$12,'Staff Daily sales'!$G1316:$CD1316))</f>
        <v>0</v>
      </c>
      <c r="S1331">
        <f>IF($E1331=0,0,SUMPRODUCT($AI$13:$DF$13,'Staff Daily sales'!$G1316:$CD1316))</f>
        <v>0</v>
      </c>
      <c r="T1331">
        <f>IF($E1331=0,0,SUMPRODUCT($AI$14:$DF$14,'Staff Daily sales'!$G1316:$CD1316))</f>
        <v>0</v>
      </c>
      <c r="U1331">
        <f>IF($E1331=0,0,SUMPRODUCT($AI$15:$DF$15,'Staff Daily sales'!$G1316:$CD1316))</f>
        <v>0</v>
      </c>
      <c r="V1331">
        <f>IF($E1331=0,0,SUMPRODUCT($AI$16:$DF$16,'Staff Daily sales'!$G1316:$CD1316))</f>
        <v>0</v>
      </c>
      <c r="W1331">
        <f t="shared" si="351"/>
        <v>0</v>
      </c>
      <c r="X1331">
        <f t="shared" si="352"/>
        <v>0</v>
      </c>
      <c r="Y1331">
        <f t="shared" si="353"/>
        <v>0</v>
      </c>
      <c r="Z1331">
        <f t="shared" si="354"/>
        <v>0</v>
      </c>
      <c r="AA1331">
        <f t="shared" si="355"/>
        <v>0</v>
      </c>
      <c r="AB1331">
        <f>--AND($E1331=1,OR('Staff Weekly Trend'!$B$3="All",$DH1331='Staff Weekly Trend'!$B$3),OR('Staff Weekly Trend'!$B$4="All",$D1331='Staff Weekly Trend'!$B$4),OR('Staff Weekly Trend'!$B$5="All",$A1331='Staff Weekly Trend'!$B$5))</f>
        <v>0</v>
      </c>
      <c r="AC1331" t="str">
        <f t="shared" si="356"/>
        <v/>
      </c>
      <c r="AI1331">
        <f t="shared" si="357"/>
        <v>0</v>
      </c>
      <c r="AJ1331">
        <f t="shared" si="358"/>
        <v>0</v>
      </c>
      <c r="AK1331">
        <f t="shared" si="359"/>
        <v>0</v>
      </c>
      <c r="AL1331">
        <f t="shared" si="360"/>
        <v>0</v>
      </c>
      <c r="AM1331">
        <f t="shared" si="361"/>
        <v>0</v>
      </c>
      <c r="DH1331" t="str" cm="1">
        <f t="array" ref="DH1331">IF($A1331="","",_xlfn.LET(_xlpm.c,IFERROR(_xlfn.XLOOKUP($A1331,TRIM('Sales and count'!$A$4:$A$300&amp;""),TRIM('Sales and count'!$B$4:$B$300&amp;"")),""),IF(OR(_xlpm.c="",_xlpm.c="0",LEFT(_xlpm.c,1)="#"),"Not set",_xlpm.c)))</f>
        <v/>
      </c>
    </row>
    <row r="1332" spans="1:112" x14ac:dyDescent="0.25">
      <c r="A1332" t="str">
        <f>IF('Staff Daily sales'!$B1317="","",TRIM('Staff Daily sales'!$B1317&amp;""))</f>
        <v/>
      </c>
      <c r="B1332" t="str">
        <f>IF('Staff Daily sales'!$D1317="","",TRIM('Staff Daily sales'!$D1317&amp;""))</f>
        <v/>
      </c>
      <c r="C1332" t="str">
        <f>IFERROR(TRIM('Staff Daily sales'!$E1317&amp;""),"")</f>
        <v/>
      </c>
      <c r="D1332" t="str">
        <f>IFERROR(IF(TRIM('Staff Daily sales'!$F1317&amp;"")="","Unassigned",TRIM('Staff Daily sales'!$F1317&amp;"")),"Unassigned")</f>
        <v>Unassigned</v>
      </c>
      <c r="E1332">
        <f t="shared" si="346"/>
        <v>0</v>
      </c>
      <c r="F1332">
        <f>IF($E1332=0,0,SUMPRODUCT($AI$5:$DF$5,'Staff Daily sales'!$G1317:$CD1317))</f>
        <v>0</v>
      </c>
      <c r="G1332">
        <f>IF($E1332=0,0,SUMPRODUCT($AI$6:$DF$6,'Staff Daily sales'!$G1317:$CD1317))</f>
        <v>0</v>
      </c>
      <c r="H1332">
        <f t="shared" si="347"/>
        <v>0</v>
      </c>
      <c r="I1332">
        <f t="shared" si="348"/>
        <v>0</v>
      </c>
      <c r="J1332">
        <f t="shared" si="349"/>
        <v>0</v>
      </c>
      <c r="K1332">
        <f t="shared" si="350"/>
        <v>0</v>
      </c>
      <c r="L1332">
        <f>--AND($E1332=1,OR('Staff Dashboard'!$B$6="All",$DH1332='Staff Dashboard'!$B$6),OR('Staff Dashboard'!$B$7="All",$D1332='Staff Dashboard'!$B$7),OR('Staff Dashboard'!$B$8="All",$A1332='Staff Dashboard'!$B$8))</f>
        <v>0</v>
      </c>
      <c r="M1332">
        <f>IF($E1332=0,0,SUMPRODUCT($AI$7:$DF$7,'Staff Daily sales'!$G1317:$CD1317))</f>
        <v>0</v>
      </c>
      <c r="N1332">
        <f>IF($E1332=0,0,SUMPRODUCT($AI$8:$DF$8,'Staff Daily sales'!$G1317:$CD1317))</f>
        <v>0</v>
      </c>
      <c r="O1332">
        <f>IF($E1332=0,0,SUMPRODUCT($AI$9:$DF$9,'Staff Daily sales'!$G1317:$CD1317))</f>
        <v>0</v>
      </c>
      <c r="P1332">
        <f>IF($E1332=0,0,SUMPRODUCT($AI$10:$DF$10,'Staff Daily sales'!$G1317:$CD1317))</f>
        <v>0</v>
      </c>
      <c r="Q1332">
        <f>IF($E1332=0,0,SUMPRODUCT($AI$11:$DF$11,'Staff Daily sales'!$G1317:$CD1317))</f>
        <v>0</v>
      </c>
      <c r="R1332">
        <f>IF($E1332=0,0,SUMPRODUCT($AI$12:$DF$12,'Staff Daily sales'!$G1317:$CD1317))</f>
        <v>0</v>
      </c>
      <c r="S1332">
        <f>IF($E1332=0,0,SUMPRODUCT($AI$13:$DF$13,'Staff Daily sales'!$G1317:$CD1317))</f>
        <v>0</v>
      </c>
      <c r="T1332">
        <f>IF($E1332=0,0,SUMPRODUCT($AI$14:$DF$14,'Staff Daily sales'!$G1317:$CD1317))</f>
        <v>0</v>
      </c>
      <c r="U1332">
        <f>IF($E1332=0,0,SUMPRODUCT($AI$15:$DF$15,'Staff Daily sales'!$G1317:$CD1317))</f>
        <v>0</v>
      </c>
      <c r="V1332">
        <f>IF($E1332=0,0,SUMPRODUCT($AI$16:$DF$16,'Staff Daily sales'!$G1317:$CD1317))</f>
        <v>0</v>
      </c>
      <c r="W1332">
        <f t="shared" si="351"/>
        <v>0</v>
      </c>
      <c r="X1332">
        <f t="shared" si="352"/>
        <v>0</v>
      </c>
      <c r="Y1332">
        <f t="shared" si="353"/>
        <v>0</v>
      </c>
      <c r="Z1332">
        <f t="shared" si="354"/>
        <v>0</v>
      </c>
      <c r="AA1332">
        <f t="shared" si="355"/>
        <v>0</v>
      </c>
      <c r="AB1332">
        <f>--AND($E1332=1,OR('Staff Weekly Trend'!$B$3="All",$DH1332='Staff Weekly Trend'!$B$3),OR('Staff Weekly Trend'!$B$4="All",$D1332='Staff Weekly Trend'!$B$4),OR('Staff Weekly Trend'!$B$5="All",$A1332='Staff Weekly Trend'!$B$5))</f>
        <v>0</v>
      </c>
      <c r="AC1332" t="str">
        <f t="shared" si="356"/>
        <v/>
      </c>
      <c r="AI1332">
        <f t="shared" si="357"/>
        <v>0</v>
      </c>
      <c r="AJ1332">
        <f t="shared" si="358"/>
        <v>0</v>
      </c>
      <c r="AK1332">
        <f t="shared" si="359"/>
        <v>0</v>
      </c>
      <c r="AL1332">
        <f t="shared" si="360"/>
        <v>0</v>
      </c>
      <c r="AM1332">
        <f t="shared" si="361"/>
        <v>0</v>
      </c>
      <c r="DH1332" t="str" cm="1">
        <f t="array" ref="DH1332">IF($A1332="","",_xlfn.LET(_xlpm.c,IFERROR(_xlfn.XLOOKUP($A1332,TRIM('Sales and count'!$A$4:$A$300&amp;""),TRIM('Sales and count'!$B$4:$B$300&amp;"")),""),IF(OR(_xlpm.c="",_xlpm.c="0",LEFT(_xlpm.c,1)="#"),"Not set",_xlpm.c)))</f>
        <v/>
      </c>
    </row>
    <row r="1333" spans="1:112" x14ac:dyDescent="0.25">
      <c r="A1333" t="str">
        <f>IF('Staff Daily sales'!$B1318="","",TRIM('Staff Daily sales'!$B1318&amp;""))</f>
        <v/>
      </c>
      <c r="B1333" t="str">
        <f>IF('Staff Daily sales'!$D1318="","",TRIM('Staff Daily sales'!$D1318&amp;""))</f>
        <v/>
      </c>
      <c r="C1333" t="str">
        <f>IFERROR(TRIM('Staff Daily sales'!$E1318&amp;""),"")</f>
        <v/>
      </c>
      <c r="D1333" t="str">
        <f>IFERROR(IF(TRIM('Staff Daily sales'!$F1318&amp;"")="","Unassigned",TRIM('Staff Daily sales'!$F1318&amp;"")),"Unassigned")</f>
        <v>Unassigned</v>
      </c>
      <c r="E1333">
        <f t="shared" si="346"/>
        <v>0</v>
      </c>
      <c r="F1333">
        <f>IF($E1333=0,0,SUMPRODUCT($AI$5:$DF$5,'Staff Daily sales'!$G1318:$CD1318))</f>
        <v>0</v>
      </c>
      <c r="G1333">
        <f>IF($E1333=0,0,SUMPRODUCT($AI$6:$DF$6,'Staff Daily sales'!$G1318:$CD1318))</f>
        <v>0</v>
      </c>
      <c r="H1333">
        <f t="shared" si="347"/>
        <v>0</v>
      </c>
      <c r="I1333">
        <f t="shared" si="348"/>
        <v>0</v>
      </c>
      <c r="J1333">
        <f t="shared" si="349"/>
        <v>0</v>
      </c>
      <c r="K1333">
        <f t="shared" si="350"/>
        <v>0</v>
      </c>
      <c r="L1333">
        <f>--AND($E1333=1,OR('Staff Dashboard'!$B$6="All",$DH1333='Staff Dashboard'!$B$6),OR('Staff Dashboard'!$B$7="All",$D1333='Staff Dashboard'!$B$7),OR('Staff Dashboard'!$B$8="All",$A1333='Staff Dashboard'!$B$8))</f>
        <v>0</v>
      </c>
      <c r="M1333">
        <f>IF($E1333=0,0,SUMPRODUCT($AI$7:$DF$7,'Staff Daily sales'!$G1318:$CD1318))</f>
        <v>0</v>
      </c>
      <c r="N1333">
        <f>IF($E1333=0,0,SUMPRODUCT($AI$8:$DF$8,'Staff Daily sales'!$G1318:$CD1318))</f>
        <v>0</v>
      </c>
      <c r="O1333">
        <f>IF($E1333=0,0,SUMPRODUCT($AI$9:$DF$9,'Staff Daily sales'!$G1318:$CD1318))</f>
        <v>0</v>
      </c>
      <c r="P1333">
        <f>IF($E1333=0,0,SUMPRODUCT($AI$10:$DF$10,'Staff Daily sales'!$G1318:$CD1318))</f>
        <v>0</v>
      </c>
      <c r="Q1333">
        <f>IF($E1333=0,0,SUMPRODUCT($AI$11:$DF$11,'Staff Daily sales'!$G1318:$CD1318))</f>
        <v>0</v>
      </c>
      <c r="R1333">
        <f>IF($E1333=0,0,SUMPRODUCT($AI$12:$DF$12,'Staff Daily sales'!$G1318:$CD1318))</f>
        <v>0</v>
      </c>
      <c r="S1333">
        <f>IF($E1333=0,0,SUMPRODUCT($AI$13:$DF$13,'Staff Daily sales'!$G1318:$CD1318))</f>
        <v>0</v>
      </c>
      <c r="T1333">
        <f>IF($E1333=0,0,SUMPRODUCT($AI$14:$DF$14,'Staff Daily sales'!$G1318:$CD1318))</f>
        <v>0</v>
      </c>
      <c r="U1333">
        <f>IF($E1333=0,0,SUMPRODUCT($AI$15:$DF$15,'Staff Daily sales'!$G1318:$CD1318))</f>
        <v>0</v>
      </c>
      <c r="V1333">
        <f>IF($E1333=0,0,SUMPRODUCT($AI$16:$DF$16,'Staff Daily sales'!$G1318:$CD1318))</f>
        <v>0</v>
      </c>
      <c r="W1333">
        <f t="shared" si="351"/>
        <v>0</v>
      </c>
      <c r="X1333">
        <f t="shared" si="352"/>
        <v>0</v>
      </c>
      <c r="Y1333">
        <f t="shared" si="353"/>
        <v>0</v>
      </c>
      <c r="Z1333">
        <f t="shared" si="354"/>
        <v>0</v>
      </c>
      <c r="AA1333">
        <f t="shared" si="355"/>
        <v>0</v>
      </c>
      <c r="AB1333">
        <f>--AND($E1333=1,OR('Staff Weekly Trend'!$B$3="All",$DH1333='Staff Weekly Trend'!$B$3),OR('Staff Weekly Trend'!$B$4="All",$D1333='Staff Weekly Trend'!$B$4),OR('Staff Weekly Trend'!$B$5="All",$A1333='Staff Weekly Trend'!$B$5))</f>
        <v>0</v>
      </c>
      <c r="AC1333" t="str">
        <f t="shared" si="356"/>
        <v/>
      </c>
      <c r="AI1333">
        <f t="shared" si="357"/>
        <v>0</v>
      </c>
      <c r="AJ1333">
        <f t="shared" si="358"/>
        <v>0</v>
      </c>
      <c r="AK1333">
        <f t="shared" si="359"/>
        <v>0</v>
      </c>
      <c r="AL1333">
        <f t="shared" si="360"/>
        <v>0</v>
      </c>
      <c r="AM1333">
        <f t="shared" si="361"/>
        <v>0</v>
      </c>
      <c r="DH1333" t="str" cm="1">
        <f t="array" ref="DH1333">IF($A1333="","",_xlfn.LET(_xlpm.c,IFERROR(_xlfn.XLOOKUP($A1333,TRIM('Sales and count'!$A$4:$A$300&amp;""),TRIM('Sales and count'!$B$4:$B$300&amp;"")),""),IF(OR(_xlpm.c="",_xlpm.c="0",LEFT(_xlpm.c,1)="#"),"Not set",_xlpm.c)))</f>
        <v/>
      </c>
    </row>
    <row r="1334" spans="1:112" x14ac:dyDescent="0.25">
      <c r="A1334" t="str">
        <f>IF('Staff Daily sales'!$B1319="","",TRIM('Staff Daily sales'!$B1319&amp;""))</f>
        <v/>
      </c>
      <c r="B1334" t="str">
        <f>IF('Staff Daily sales'!$D1319="","",TRIM('Staff Daily sales'!$D1319&amp;""))</f>
        <v/>
      </c>
      <c r="C1334" t="str">
        <f>IFERROR(TRIM('Staff Daily sales'!$E1319&amp;""),"")</f>
        <v/>
      </c>
      <c r="D1334" t="str">
        <f>IFERROR(IF(TRIM('Staff Daily sales'!$F1319&amp;"")="","Unassigned",TRIM('Staff Daily sales'!$F1319&amp;"")),"Unassigned")</f>
        <v>Unassigned</v>
      </c>
      <c r="E1334">
        <f t="shared" si="346"/>
        <v>0</v>
      </c>
      <c r="F1334">
        <f>IF($E1334=0,0,SUMPRODUCT($AI$5:$DF$5,'Staff Daily sales'!$G1319:$CD1319))</f>
        <v>0</v>
      </c>
      <c r="G1334">
        <f>IF($E1334=0,0,SUMPRODUCT($AI$6:$DF$6,'Staff Daily sales'!$G1319:$CD1319))</f>
        <v>0</v>
      </c>
      <c r="H1334">
        <f t="shared" si="347"/>
        <v>0</v>
      </c>
      <c r="I1334">
        <f t="shared" si="348"/>
        <v>0</v>
      </c>
      <c r="J1334">
        <f t="shared" si="349"/>
        <v>0</v>
      </c>
      <c r="K1334">
        <f t="shared" si="350"/>
        <v>0</v>
      </c>
      <c r="L1334">
        <f>--AND($E1334=1,OR('Staff Dashboard'!$B$6="All",$DH1334='Staff Dashboard'!$B$6),OR('Staff Dashboard'!$B$7="All",$D1334='Staff Dashboard'!$B$7),OR('Staff Dashboard'!$B$8="All",$A1334='Staff Dashboard'!$B$8))</f>
        <v>0</v>
      </c>
      <c r="M1334">
        <f>IF($E1334=0,0,SUMPRODUCT($AI$7:$DF$7,'Staff Daily sales'!$G1319:$CD1319))</f>
        <v>0</v>
      </c>
      <c r="N1334">
        <f>IF($E1334=0,0,SUMPRODUCT($AI$8:$DF$8,'Staff Daily sales'!$G1319:$CD1319))</f>
        <v>0</v>
      </c>
      <c r="O1334">
        <f>IF($E1334=0,0,SUMPRODUCT($AI$9:$DF$9,'Staff Daily sales'!$G1319:$CD1319))</f>
        <v>0</v>
      </c>
      <c r="P1334">
        <f>IF($E1334=0,0,SUMPRODUCT($AI$10:$DF$10,'Staff Daily sales'!$G1319:$CD1319))</f>
        <v>0</v>
      </c>
      <c r="Q1334">
        <f>IF($E1334=0,0,SUMPRODUCT($AI$11:$DF$11,'Staff Daily sales'!$G1319:$CD1319))</f>
        <v>0</v>
      </c>
      <c r="R1334">
        <f>IF($E1334=0,0,SUMPRODUCT($AI$12:$DF$12,'Staff Daily sales'!$G1319:$CD1319))</f>
        <v>0</v>
      </c>
      <c r="S1334">
        <f>IF($E1334=0,0,SUMPRODUCT($AI$13:$DF$13,'Staff Daily sales'!$G1319:$CD1319))</f>
        <v>0</v>
      </c>
      <c r="T1334">
        <f>IF($E1334=0,0,SUMPRODUCT($AI$14:$DF$14,'Staff Daily sales'!$G1319:$CD1319))</f>
        <v>0</v>
      </c>
      <c r="U1334">
        <f>IF($E1334=0,0,SUMPRODUCT($AI$15:$DF$15,'Staff Daily sales'!$G1319:$CD1319))</f>
        <v>0</v>
      </c>
      <c r="V1334">
        <f>IF($E1334=0,0,SUMPRODUCT($AI$16:$DF$16,'Staff Daily sales'!$G1319:$CD1319))</f>
        <v>0</v>
      </c>
      <c r="W1334">
        <f t="shared" si="351"/>
        <v>0</v>
      </c>
      <c r="X1334">
        <f t="shared" si="352"/>
        <v>0</v>
      </c>
      <c r="Y1334">
        <f t="shared" si="353"/>
        <v>0</v>
      </c>
      <c r="Z1334">
        <f t="shared" si="354"/>
        <v>0</v>
      </c>
      <c r="AA1334">
        <f t="shared" si="355"/>
        <v>0</v>
      </c>
      <c r="AB1334">
        <f>--AND($E1334=1,OR('Staff Weekly Trend'!$B$3="All",$DH1334='Staff Weekly Trend'!$B$3),OR('Staff Weekly Trend'!$B$4="All",$D1334='Staff Weekly Trend'!$B$4),OR('Staff Weekly Trend'!$B$5="All",$A1334='Staff Weekly Trend'!$B$5))</f>
        <v>0</v>
      </c>
      <c r="AC1334" t="str">
        <f t="shared" si="356"/>
        <v/>
      </c>
      <c r="AI1334">
        <f t="shared" si="357"/>
        <v>0</v>
      </c>
      <c r="AJ1334">
        <f t="shared" si="358"/>
        <v>0</v>
      </c>
      <c r="AK1334">
        <f t="shared" si="359"/>
        <v>0</v>
      </c>
      <c r="AL1334">
        <f t="shared" si="360"/>
        <v>0</v>
      </c>
      <c r="AM1334">
        <f t="shared" si="361"/>
        <v>0</v>
      </c>
      <c r="DH1334" t="str" cm="1">
        <f t="array" ref="DH1334">IF($A1334="","",_xlfn.LET(_xlpm.c,IFERROR(_xlfn.XLOOKUP($A1334,TRIM('Sales and count'!$A$4:$A$300&amp;""),TRIM('Sales and count'!$B$4:$B$300&amp;"")),""),IF(OR(_xlpm.c="",_xlpm.c="0",LEFT(_xlpm.c,1)="#"),"Not set",_xlpm.c)))</f>
        <v/>
      </c>
    </row>
    <row r="1335" spans="1:112" x14ac:dyDescent="0.25">
      <c r="A1335" t="str">
        <f>IF('Staff Daily sales'!$B1320="","",TRIM('Staff Daily sales'!$B1320&amp;""))</f>
        <v/>
      </c>
      <c r="B1335" t="str">
        <f>IF('Staff Daily sales'!$D1320="","",TRIM('Staff Daily sales'!$D1320&amp;""))</f>
        <v/>
      </c>
      <c r="C1335" t="str">
        <f>IFERROR(TRIM('Staff Daily sales'!$E1320&amp;""),"")</f>
        <v/>
      </c>
      <c r="D1335" t="str">
        <f>IFERROR(IF(TRIM('Staff Daily sales'!$F1320&amp;"")="","Unassigned",TRIM('Staff Daily sales'!$F1320&amp;"")),"Unassigned")</f>
        <v>Unassigned</v>
      </c>
      <c r="E1335">
        <f t="shared" si="346"/>
        <v>0</v>
      </c>
      <c r="F1335">
        <f>IF($E1335=0,0,SUMPRODUCT($AI$5:$DF$5,'Staff Daily sales'!$G1320:$CD1320))</f>
        <v>0</v>
      </c>
      <c r="G1335">
        <f>IF($E1335=0,0,SUMPRODUCT($AI$6:$DF$6,'Staff Daily sales'!$G1320:$CD1320))</f>
        <v>0</v>
      </c>
      <c r="H1335">
        <f t="shared" si="347"/>
        <v>0</v>
      </c>
      <c r="I1335">
        <f t="shared" si="348"/>
        <v>0</v>
      </c>
      <c r="J1335">
        <f t="shared" si="349"/>
        <v>0</v>
      </c>
      <c r="K1335">
        <f t="shared" si="350"/>
        <v>0</v>
      </c>
      <c r="L1335">
        <f>--AND($E1335=1,OR('Staff Dashboard'!$B$6="All",$DH1335='Staff Dashboard'!$B$6),OR('Staff Dashboard'!$B$7="All",$D1335='Staff Dashboard'!$B$7),OR('Staff Dashboard'!$B$8="All",$A1335='Staff Dashboard'!$B$8))</f>
        <v>0</v>
      </c>
      <c r="M1335">
        <f>IF($E1335=0,0,SUMPRODUCT($AI$7:$DF$7,'Staff Daily sales'!$G1320:$CD1320))</f>
        <v>0</v>
      </c>
      <c r="N1335">
        <f>IF($E1335=0,0,SUMPRODUCT($AI$8:$DF$8,'Staff Daily sales'!$G1320:$CD1320))</f>
        <v>0</v>
      </c>
      <c r="O1335">
        <f>IF($E1335=0,0,SUMPRODUCT($AI$9:$DF$9,'Staff Daily sales'!$G1320:$CD1320))</f>
        <v>0</v>
      </c>
      <c r="P1335">
        <f>IF($E1335=0,0,SUMPRODUCT($AI$10:$DF$10,'Staff Daily sales'!$G1320:$CD1320))</f>
        <v>0</v>
      </c>
      <c r="Q1335">
        <f>IF($E1335=0,0,SUMPRODUCT($AI$11:$DF$11,'Staff Daily sales'!$G1320:$CD1320))</f>
        <v>0</v>
      </c>
      <c r="R1335">
        <f>IF($E1335=0,0,SUMPRODUCT($AI$12:$DF$12,'Staff Daily sales'!$G1320:$CD1320))</f>
        <v>0</v>
      </c>
      <c r="S1335">
        <f>IF($E1335=0,0,SUMPRODUCT($AI$13:$DF$13,'Staff Daily sales'!$G1320:$CD1320))</f>
        <v>0</v>
      </c>
      <c r="T1335">
        <f>IF($E1335=0,0,SUMPRODUCT($AI$14:$DF$14,'Staff Daily sales'!$G1320:$CD1320))</f>
        <v>0</v>
      </c>
      <c r="U1335">
        <f>IF($E1335=0,0,SUMPRODUCT($AI$15:$DF$15,'Staff Daily sales'!$G1320:$CD1320))</f>
        <v>0</v>
      </c>
      <c r="V1335">
        <f>IF($E1335=0,0,SUMPRODUCT($AI$16:$DF$16,'Staff Daily sales'!$G1320:$CD1320))</f>
        <v>0</v>
      </c>
      <c r="W1335">
        <f t="shared" si="351"/>
        <v>0</v>
      </c>
      <c r="X1335">
        <f t="shared" si="352"/>
        <v>0</v>
      </c>
      <c r="Y1335">
        <f t="shared" si="353"/>
        <v>0</v>
      </c>
      <c r="Z1335">
        <f t="shared" si="354"/>
        <v>0</v>
      </c>
      <c r="AA1335">
        <f t="shared" si="355"/>
        <v>0</v>
      </c>
      <c r="AB1335">
        <f>--AND($E1335=1,OR('Staff Weekly Trend'!$B$3="All",$DH1335='Staff Weekly Trend'!$B$3),OR('Staff Weekly Trend'!$B$4="All",$D1335='Staff Weekly Trend'!$B$4),OR('Staff Weekly Trend'!$B$5="All",$A1335='Staff Weekly Trend'!$B$5))</f>
        <v>0</v>
      </c>
      <c r="AC1335" t="str">
        <f t="shared" si="356"/>
        <v/>
      </c>
      <c r="AI1335">
        <f t="shared" si="357"/>
        <v>0</v>
      </c>
      <c r="AJ1335">
        <f t="shared" si="358"/>
        <v>0</v>
      </c>
      <c r="AK1335">
        <f t="shared" si="359"/>
        <v>0</v>
      </c>
      <c r="AL1335">
        <f t="shared" si="360"/>
        <v>0</v>
      </c>
      <c r="AM1335">
        <f t="shared" si="361"/>
        <v>0</v>
      </c>
      <c r="DH1335" t="str" cm="1">
        <f t="array" ref="DH1335">IF($A1335="","",_xlfn.LET(_xlpm.c,IFERROR(_xlfn.XLOOKUP($A1335,TRIM('Sales and count'!$A$4:$A$300&amp;""),TRIM('Sales and count'!$B$4:$B$300&amp;"")),""),IF(OR(_xlpm.c="",_xlpm.c="0",LEFT(_xlpm.c,1)="#"),"Not set",_xlpm.c)))</f>
        <v/>
      </c>
    </row>
    <row r="1336" spans="1:112" x14ac:dyDescent="0.25">
      <c r="A1336" t="str">
        <f>IF('Staff Daily sales'!$B1321="","",TRIM('Staff Daily sales'!$B1321&amp;""))</f>
        <v/>
      </c>
      <c r="B1336" t="str">
        <f>IF('Staff Daily sales'!$D1321="","",TRIM('Staff Daily sales'!$D1321&amp;""))</f>
        <v/>
      </c>
      <c r="C1336" t="str">
        <f>IFERROR(TRIM('Staff Daily sales'!$E1321&amp;""),"")</f>
        <v/>
      </c>
      <c r="D1336" t="str">
        <f>IFERROR(IF(TRIM('Staff Daily sales'!$F1321&amp;"")="","Unassigned",TRIM('Staff Daily sales'!$F1321&amp;"")),"Unassigned")</f>
        <v>Unassigned</v>
      </c>
      <c r="E1336">
        <f t="shared" si="346"/>
        <v>0</v>
      </c>
      <c r="F1336">
        <f>IF($E1336=0,0,SUMPRODUCT($AI$5:$DF$5,'Staff Daily sales'!$G1321:$CD1321))</f>
        <v>0</v>
      </c>
      <c r="G1336">
        <f>IF($E1336=0,0,SUMPRODUCT($AI$6:$DF$6,'Staff Daily sales'!$G1321:$CD1321))</f>
        <v>0</v>
      </c>
      <c r="H1336">
        <f t="shared" si="347"/>
        <v>0</v>
      </c>
      <c r="I1336">
        <f t="shared" si="348"/>
        <v>0</v>
      </c>
      <c r="J1336">
        <f t="shared" si="349"/>
        <v>0</v>
      </c>
      <c r="K1336">
        <f t="shared" si="350"/>
        <v>0</v>
      </c>
      <c r="L1336">
        <f>--AND($E1336=1,OR('Staff Dashboard'!$B$6="All",$DH1336='Staff Dashboard'!$B$6),OR('Staff Dashboard'!$B$7="All",$D1336='Staff Dashboard'!$B$7),OR('Staff Dashboard'!$B$8="All",$A1336='Staff Dashboard'!$B$8))</f>
        <v>0</v>
      </c>
      <c r="M1336">
        <f>IF($E1336=0,0,SUMPRODUCT($AI$7:$DF$7,'Staff Daily sales'!$G1321:$CD1321))</f>
        <v>0</v>
      </c>
      <c r="N1336">
        <f>IF($E1336=0,0,SUMPRODUCT($AI$8:$DF$8,'Staff Daily sales'!$G1321:$CD1321))</f>
        <v>0</v>
      </c>
      <c r="O1336">
        <f>IF($E1336=0,0,SUMPRODUCT($AI$9:$DF$9,'Staff Daily sales'!$G1321:$CD1321))</f>
        <v>0</v>
      </c>
      <c r="P1336">
        <f>IF($E1336=0,0,SUMPRODUCT($AI$10:$DF$10,'Staff Daily sales'!$G1321:$CD1321))</f>
        <v>0</v>
      </c>
      <c r="Q1336">
        <f>IF($E1336=0,0,SUMPRODUCT($AI$11:$DF$11,'Staff Daily sales'!$G1321:$CD1321))</f>
        <v>0</v>
      </c>
      <c r="R1336">
        <f>IF($E1336=0,0,SUMPRODUCT($AI$12:$DF$12,'Staff Daily sales'!$G1321:$CD1321))</f>
        <v>0</v>
      </c>
      <c r="S1336">
        <f>IF($E1336=0,0,SUMPRODUCT($AI$13:$DF$13,'Staff Daily sales'!$G1321:$CD1321))</f>
        <v>0</v>
      </c>
      <c r="T1336">
        <f>IF($E1336=0,0,SUMPRODUCT($AI$14:$DF$14,'Staff Daily sales'!$G1321:$CD1321))</f>
        <v>0</v>
      </c>
      <c r="U1336">
        <f>IF($E1336=0,0,SUMPRODUCT($AI$15:$DF$15,'Staff Daily sales'!$G1321:$CD1321))</f>
        <v>0</v>
      </c>
      <c r="V1336">
        <f>IF($E1336=0,0,SUMPRODUCT($AI$16:$DF$16,'Staff Daily sales'!$G1321:$CD1321))</f>
        <v>0</v>
      </c>
      <c r="W1336">
        <f t="shared" si="351"/>
        <v>0</v>
      </c>
      <c r="X1336">
        <f t="shared" si="352"/>
        <v>0</v>
      </c>
      <c r="Y1336">
        <f t="shared" si="353"/>
        <v>0</v>
      </c>
      <c r="Z1336">
        <f t="shared" si="354"/>
        <v>0</v>
      </c>
      <c r="AA1336">
        <f t="shared" si="355"/>
        <v>0</v>
      </c>
      <c r="AB1336">
        <f>--AND($E1336=1,OR('Staff Weekly Trend'!$B$3="All",$DH1336='Staff Weekly Trend'!$B$3),OR('Staff Weekly Trend'!$B$4="All",$D1336='Staff Weekly Trend'!$B$4),OR('Staff Weekly Trend'!$B$5="All",$A1336='Staff Weekly Trend'!$B$5))</f>
        <v>0</v>
      </c>
      <c r="AC1336" t="str">
        <f t="shared" si="356"/>
        <v/>
      </c>
      <c r="AI1336">
        <f t="shared" si="357"/>
        <v>0</v>
      </c>
      <c r="AJ1336">
        <f t="shared" si="358"/>
        <v>0</v>
      </c>
      <c r="AK1336">
        <f t="shared" si="359"/>
        <v>0</v>
      </c>
      <c r="AL1336">
        <f t="shared" si="360"/>
        <v>0</v>
      </c>
      <c r="AM1336">
        <f t="shared" si="361"/>
        <v>0</v>
      </c>
      <c r="DH1336" t="str" cm="1">
        <f t="array" ref="DH1336">IF($A1336="","",_xlfn.LET(_xlpm.c,IFERROR(_xlfn.XLOOKUP($A1336,TRIM('Sales and count'!$A$4:$A$300&amp;""),TRIM('Sales and count'!$B$4:$B$300&amp;"")),""),IF(OR(_xlpm.c="",_xlpm.c="0",LEFT(_xlpm.c,1)="#"),"Not set",_xlpm.c)))</f>
        <v/>
      </c>
    </row>
    <row r="1337" spans="1:112" x14ac:dyDescent="0.25">
      <c r="A1337" t="str">
        <f>IF('Staff Daily sales'!$B1322="","",TRIM('Staff Daily sales'!$B1322&amp;""))</f>
        <v/>
      </c>
      <c r="B1337" t="str">
        <f>IF('Staff Daily sales'!$D1322="","",TRIM('Staff Daily sales'!$D1322&amp;""))</f>
        <v/>
      </c>
      <c r="C1337" t="str">
        <f>IFERROR(TRIM('Staff Daily sales'!$E1322&amp;""),"")</f>
        <v/>
      </c>
      <c r="D1337" t="str">
        <f>IFERROR(IF(TRIM('Staff Daily sales'!$F1322&amp;"")="","Unassigned",TRIM('Staff Daily sales'!$F1322&amp;"")),"Unassigned")</f>
        <v>Unassigned</v>
      </c>
      <c r="E1337">
        <f t="shared" si="346"/>
        <v>0</v>
      </c>
      <c r="F1337">
        <f>IF($E1337=0,0,SUMPRODUCT($AI$5:$DF$5,'Staff Daily sales'!$G1322:$CD1322))</f>
        <v>0</v>
      </c>
      <c r="G1337">
        <f>IF($E1337=0,0,SUMPRODUCT($AI$6:$DF$6,'Staff Daily sales'!$G1322:$CD1322))</f>
        <v>0</v>
      </c>
      <c r="H1337">
        <f t="shared" si="347"/>
        <v>0</v>
      </c>
      <c r="I1337">
        <f t="shared" si="348"/>
        <v>0</v>
      </c>
      <c r="J1337">
        <f t="shared" si="349"/>
        <v>0</v>
      </c>
      <c r="K1337">
        <f t="shared" si="350"/>
        <v>0</v>
      </c>
      <c r="L1337">
        <f>--AND($E1337=1,OR('Staff Dashboard'!$B$6="All",$DH1337='Staff Dashboard'!$B$6),OR('Staff Dashboard'!$B$7="All",$D1337='Staff Dashboard'!$B$7),OR('Staff Dashboard'!$B$8="All",$A1337='Staff Dashboard'!$B$8))</f>
        <v>0</v>
      </c>
      <c r="M1337">
        <f>IF($E1337=0,0,SUMPRODUCT($AI$7:$DF$7,'Staff Daily sales'!$G1322:$CD1322))</f>
        <v>0</v>
      </c>
      <c r="N1337">
        <f>IF($E1337=0,0,SUMPRODUCT($AI$8:$DF$8,'Staff Daily sales'!$G1322:$CD1322))</f>
        <v>0</v>
      </c>
      <c r="O1337">
        <f>IF($E1337=0,0,SUMPRODUCT($AI$9:$DF$9,'Staff Daily sales'!$G1322:$CD1322))</f>
        <v>0</v>
      </c>
      <c r="P1337">
        <f>IF($E1337=0,0,SUMPRODUCT($AI$10:$DF$10,'Staff Daily sales'!$G1322:$CD1322))</f>
        <v>0</v>
      </c>
      <c r="Q1337">
        <f>IF($E1337=0,0,SUMPRODUCT($AI$11:$DF$11,'Staff Daily sales'!$G1322:$CD1322))</f>
        <v>0</v>
      </c>
      <c r="R1337">
        <f>IF($E1337=0,0,SUMPRODUCT($AI$12:$DF$12,'Staff Daily sales'!$G1322:$CD1322))</f>
        <v>0</v>
      </c>
      <c r="S1337">
        <f>IF($E1337=0,0,SUMPRODUCT($AI$13:$DF$13,'Staff Daily sales'!$G1322:$CD1322))</f>
        <v>0</v>
      </c>
      <c r="T1337">
        <f>IF($E1337=0,0,SUMPRODUCT($AI$14:$DF$14,'Staff Daily sales'!$G1322:$CD1322))</f>
        <v>0</v>
      </c>
      <c r="U1337">
        <f>IF($E1337=0,0,SUMPRODUCT($AI$15:$DF$15,'Staff Daily sales'!$G1322:$CD1322))</f>
        <v>0</v>
      </c>
      <c r="V1337">
        <f>IF($E1337=0,0,SUMPRODUCT($AI$16:$DF$16,'Staff Daily sales'!$G1322:$CD1322))</f>
        <v>0</v>
      </c>
      <c r="W1337">
        <f t="shared" si="351"/>
        <v>0</v>
      </c>
      <c r="X1337">
        <f t="shared" si="352"/>
        <v>0</v>
      </c>
      <c r="Y1337">
        <f t="shared" si="353"/>
        <v>0</v>
      </c>
      <c r="Z1337">
        <f t="shared" si="354"/>
        <v>0</v>
      </c>
      <c r="AA1337">
        <f t="shared" si="355"/>
        <v>0</v>
      </c>
      <c r="AB1337">
        <f>--AND($E1337=1,OR('Staff Weekly Trend'!$B$3="All",$DH1337='Staff Weekly Trend'!$B$3),OR('Staff Weekly Trend'!$B$4="All",$D1337='Staff Weekly Trend'!$B$4),OR('Staff Weekly Trend'!$B$5="All",$A1337='Staff Weekly Trend'!$B$5))</f>
        <v>0</v>
      </c>
      <c r="AC1337" t="str">
        <f t="shared" si="356"/>
        <v/>
      </c>
      <c r="AI1337">
        <f t="shared" si="357"/>
        <v>0</v>
      </c>
      <c r="AJ1337">
        <f t="shared" si="358"/>
        <v>0</v>
      </c>
      <c r="AK1337">
        <f t="shared" si="359"/>
        <v>0</v>
      </c>
      <c r="AL1337">
        <f t="shared" si="360"/>
        <v>0</v>
      </c>
      <c r="AM1337">
        <f t="shared" si="361"/>
        <v>0</v>
      </c>
      <c r="DH1337" t="str" cm="1">
        <f t="array" ref="DH1337">IF($A1337="","",_xlfn.LET(_xlpm.c,IFERROR(_xlfn.XLOOKUP($A1337,TRIM('Sales and count'!$A$4:$A$300&amp;""),TRIM('Sales and count'!$B$4:$B$300&amp;"")),""),IF(OR(_xlpm.c="",_xlpm.c="0",LEFT(_xlpm.c,1)="#"),"Not set",_xlpm.c)))</f>
        <v/>
      </c>
    </row>
    <row r="1338" spans="1:112" x14ac:dyDescent="0.25">
      <c r="A1338" t="str">
        <f>IF('Staff Daily sales'!$B1323="","",TRIM('Staff Daily sales'!$B1323&amp;""))</f>
        <v/>
      </c>
      <c r="B1338" t="str">
        <f>IF('Staff Daily sales'!$D1323="","",TRIM('Staff Daily sales'!$D1323&amp;""))</f>
        <v/>
      </c>
      <c r="C1338" t="str">
        <f>IFERROR(TRIM('Staff Daily sales'!$E1323&amp;""),"")</f>
        <v/>
      </c>
      <c r="D1338" t="str">
        <f>IFERROR(IF(TRIM('Staff Daily sales'!$F1323&amp;"")="","Unassigned",TRIM('Staff Daily sales'!$F1323&amp;"")),"Unassigned")</f>
        <v>Unassigned</v>
      </c>
      <c r="E1338">
        <f t="shared" si="346"/>
        <v>0</v>
      </c>
      <c r="F1338">
        <f>IF($E1338=0,0,SUMPRODUCT($AI$5:$DF$5,'Staff Daily sales'!$G1323:$CD1323))</f>
        <v>0</v>
      </c>
      <c r="G1338">
        <f>IF($E1338=0,0,SUMPRODUCT($AI$6:$DF$6,'Staff Daily sales'!$G1323:$CD1323))</f>
        <v>0</v>
      </c>
      <c r="H1338">
        <f t="shared" si="347"/>
        <v>0</v>
      </c>
      <c r="I1338">
        <f t="shared" si="348"/>
        <v>0</v>
      </c>
      <c r="J1338">
        <f t="shared" si="349"/>
        <v>0</v>
      </c>
      <c r="K1338">
        <f t="shared" si="350"/>
        <v>0</v>
      </c>
      <c r="L1338">
        <f>--AND($E1338=1,OR('Staff Dashboard'!$B$6="All",$DH1338='Staff Dashboard'!$B$6),OR('Staff Dashboard'!$B$7="All",$D1338='Staff Dashboard'!$B$7),OR('Staff Dashboard'!$B$8="All",$A1338='Staff Dashboard'!$B$8))</f>
        <v>0</v>
      </c>
      <c r="M1338">
        <f>IF($E1338=0,0,SUMPRODUCT($AI$7:$DF$7,'Staff Daily sales'!$G1323:$CD1323))</f>
        <v>0</v>
      </c>
      <c r="N1338">
        <f>IF($E1338=0,0,SUMPRODUCT($AI$8:$DF$8,'Staff Daily sales'!$G1323:$CD1323))</f>
        <v>0</v>
      </c>
      <c r="O1338">
        <f>IF($E1338=0,0,SUMPRODUCT($AI$9:$DF$9,'Staff Daily sales'!$G1323:$CD1323))</f>
        <v>0</v>
      </c>
      <c r="P1338">
        <f>IF($E1338=0,0,SUMPRODUCT($AI$10:$DF$10,'Staff Daily sales'!$G1323:$CD1323))</f>
        <v>0</v>
      </c>
      <c r="Q1338">
        <f>IF($E1338=0,0,SUMPRODUCT($AI$11:$DF$11,'Staff Daily sales'!$G1323:$CD1323))</f>
        <v>0</v>
      </c>
      <c r="R1338">
        <f>IF($E1338=0,0,SUMPRODUCT($AI$12:$DF$12,'Staff Daily sales'!$G1323:$CD1323))</f>
        <v>0</v>
      </c>
      <c r="S1338">
        <f>IF($E1338=0,0,SUMPRODUCT($AI$13:$DF$13,'Staff Daily sales'!$G1323:$CD1323))</f>
        <v>0</v>
      </c>
      <c r="T1338">
        <f>IF($E1338=0,0,SUMPRODUCT($AI$14:$DF$14,'Staff Daily sales'!$G1323:$CD1323))</f>
        <v>0</v>
      </c>
      <c r="U1338">
        <f>IF($E1338=0,0,SUMPRODUCT($AI$15:$DF$15,'Staff Daily sales'!$G1323:$CD1323))</f>
        <v>0</v>
      </c>
      <c r="V1338">
        <f>IF($E1338=0,0,SUMPRODUCT($AI$16:$DF$16,'Staff Daily sales'!$G1323:$CD1323))</f>
        <v>0</v>
      </c>
      <c r="W1338">
        <f t="shared" si="351"/>
        <v>0</v>
      </c>
      <c r="X1338">
        <f t="shared" si="352"/>
        <v>0</v>
      </c>
      <c r="Y1338">
        <f t="shared" si="353"/>
        <v>0</v>
      </c>
      <c r="Z1338">
        <f t="shared" si="354"/>
        <v>0</v>
      </c>
      <c r="AA1338">
        <f t="shared" si="355"/>
        <v>0</v>
      </c>
      <c r="AB1338">
        <f>--AND($E1338=1,OR('Staff Weekly Trend'!$B$3="All",$DH1338='Staff Weekly Trend'!$B$3),OR('Staff Weekly Trend'!$B$4="All",$D1338='Staff Weekly Trend'!$B$4),OR('Staff Weekly Trend'!$B$5="All",$A1338='Staff Weekly Trend'!$B$5))</f>
        <v>0</v>
      </c>
      <c r="AC1338" t="str">
        <f t="shared" si="356"/>
        <v/>
      </c>
      <c r="AI1338">
        <f t="shared" si="357"/>
        <v>0</v>
      </c>
      <c r="AJ1338">
        <f t="shared" si="358"/>
        <v>0</v>
      </c>
      <c r="AK1338">
        <f t="shared" si="359"/>
        <v>0</v>
      </c>
      <c r="AL1338">
        <f t="shared" si="360"/>
        <v>0</v>
      </c>
      <c r="AM1338">
        <f t="shared" si="361"/>
        <v>0</v>
      </c>
      <c r="DH1338" t="str" cm="1">
        <f t="array" ref="DH1338">IF($A1338="","",_xlfn.LET(_xlpm.c,IFERROR(_xlfn.XLOOKUP($A1338,TRIM('Sales and count'!$A$4:$A$300&amp;""),TRIM('Sales and count'!$B$4:$B$300&amp;"")),""),IF(OR(_xlpm.c="",_xlpm.c="0",LEFT(_xlpm.c,1)="#"),"Not set",_xlpm.c)))</f>
        <v/>
      </c>
    </row>
    <row r="1339" spans="1:112" x14ac:dyDescent="0.25">
      <c r="A1339" t="str">
        <f>IF('Staff Daily sales'!$B1324="","",TRIM('Staff Daily sales'!$B1324&amp;""))</f>
        <v/>
      </c>
      <c r="B1339" t="str">
        <f>IF('Staff Daily sales'!$D1324="","",TRIM('Staff Daily sales'!$D1324&amp;""))</f>
        <v/>
      </c>
      <c r="C1339" t="str">
        <f>IFERROR(TRIM('Staff Daily sales'!$E1324&amp;""),"")</f>
        <v/>
      </c>
      <c r="D1339" t="str">
        <f>IFERROR(IF(TRIM('Staff Daily sales'!$F1324&amp;"")="","Unassigned",TRIM('Staff Daily sales'!$F1324&amp;"")),"Unassigned")</f>
        <v>Unassigned</v>
      </c>
      <c r="E1339">
        <f t="shared" si="346"/>
        <v>0</v>
      </c>
      <c r="F1339">
        <f>IF($E1339=0,0,SUMPRODUCT($AI$5:$DF$5,'Staff Daily sales'!$G1324:$CD1324))</f>
        <v>0</v>
      </c>
      <c r="G1339">
        <f>IF($E1339=0,0,SUMPRODUCT($AI$6:$DF$6,'Staff Daily sales'!$G1324:$CD1324))</f>
        <v>0</v>
      </c>
      <c r="H1339">
        <f t="shared" si="347"/>
        <v>0</v>
      </c>
      <c r="I1339">
        <f t="shared" si="348"/>
        <v>0</v>
      </c>
      <c r="J1339">
        <f t="shared" si="349"/>
        <v>0</v>
      </c>
      <c r="K1339">
        <f t="shared" si="350"/>
        <v>0</v>
      </c>
      <c r="L1339">
        <f>--AND($E1339=1,OR('Staff Dashboard'!$B$6="All",$DH1339='Staff Dashboard'!$B$6),OR('Staff Dashboard'!$B$7="All",$D1339='Staff Dashboard'!$B$7),OR('Staff Dashboard'!$B$8="All",$A1339='Staff Dashboard'!$B$8))</f>
        <v>0</v>
      </c>
      <c r="M1339">
        <f>IF($E1339=0,0,SUMPRODUCT($AI$7:$DF$7,'Staff Daily sales'!$G1324:$CD1324))</f>
        <v>0</v>
      </c>
      <c r="N1339">
        <f>IF($E1339=0,0,SUMPRODUCT($AI$8:$DF$8,'Staff Daily sales'!$G1324:$CD1324))</f>
        <v>0</v>
      </c>
      <c r="O1339">
        <f>IF($E1339=0,0,SUMPRODUCT($AI$9:$DF$9,'Staff Daily sales'!$G1324:$CD1324))</f>
        <v>0</v>
      </c>
      <c r="P1339">
        <f>IF($E1339=0,0,SUMPRODUCT($AI$10:$DF$10,'Staff Daily sales'!$G1324:$CD1324))</f>
        <v>0</v>
      </c>
      <c r="Q1339">
        <f>IF($E1339=0,0,SUMPRODUCT($AI$11:$DF$11,'Staff Daily sales'!$G1324:$CD1324))</f>
        <v>0</v>
      </c>
      <c r="R1339">
        <f>IF($E1339=0,0,SUMPRODUCT($AI$12:$DF$12,'Staff Daily sales'!$G1324:$CD1324))</f>
        <v>0</v>
      </c>
      <c r="S1339">
        <f>IF($E1339=0,0,SUMPRODUCT($AI$13:$DF$13,'Staff Daily sales'!$G1324:$CD1324))</f>
        <v>0</v>
      </c>
      <c r="T1339">
        <f>IF($E1339=0,0,SUMPRODUCT($AI$14:$DF$14,'Staff Daily sales'!$G1324:$CD1324))</f>
        <v>0</v>
      </c>
      <c r="U1339">
        <f>IF($E1339=0,0,SUMPRODUCT($AI$15:$DF$15,'Staff Daily sales'!$G1324:$CD1324))</f>
        <v>0</v>
      </c>
      <c r="V1339">
        <f>IF($E1339=0,0,SUMPRODUCT($AI$16:$DF$16,'Staff Daily sales'!$G1324:$CD1324))</f>
        <v>0</v>
      </c>
      <c r="W1339">
        <f t="shared" si="351"/>
        <v>0</v>
      </c>
      <c r="X1339">
        <f t="shared" si="352"/>
        <v>0</v>
      </c>
      <c r="Y1339">
        <f t="shared" si="353"/>
        <v>0</v>
      </c>
      <c r="Z1339">
        <f t="shared" si="354"/>
        <v>0</v>
      </c>
      <c r="AA1339">
        <f t="shared" si="355"/>
        <v>0</v>
      </c>
      <c r="AB1339">
        <f>--AND($E1339=1,OR('Staff Weekly Trend'!$B$3="All",$DH1339='Staff Weekly Trend'!$B$3),OR('Staff Weekly Trend'!$B$4="All",$D1339='Staff Weekly Trend'!$B$4),OR('Staff Weekly Trend'!$B$5="All",$A1339='Staff Weekly Trend'!$B$5))</f>
        <v>0</v>
      </c>
      <c r="AC1339" t="str">
        <f t="shared" si="356"/>
        <v/>
      </c>
      <c r="AI1339">
        <f t="shared" si="357"/>
        <v>0</v>
      </c>
      <c r="AJ1339">
        <f t="shared" si="358"/>
        <v>0</v>
      </c>
      <c r="AK1339">
        <f t="shared" si="359"/>
        <v>0</v>
      </c>
      <c r="AL1339">
        <f t="shared" si="360"/>
        <v>0</v>
      </c>
      <c r="AM1339">
        <f t="shared" si="361"/>
        <v>0</v>
      </c>
      <c r="DH1339" t="str" cm="1">
        <f t="array" ref="DH1339">IF($A1339="","",_xlfn.LET(_xlpm.c,IFERROR(_xlfn.XLOOKUP($A1339,TRIM('Sales and count'!$A$4:$A$300&amp;""),TRIM('Sales and count'!$B$4:$B$300&amp;"")),""),IF(OR(_xlpm.c="",_xlpm.c="0",LEFT(_xlpm.c,1)="#"),"Not set",_xlpm.c)))</f>
        <v/>
      </c>
    </row>
    <row r="1340" spans="1:112" x14ac:dyDescent="0.25">
      <c r="A1340" t="str">
        <f>IF('Staff Daily sales'!$B1325="","",TRIM('Staff Daily sales'!$B1325&amp;""))</f>
        <v/>
      </c>
      <c r="B1340" t="str">
        <f>IF('Staff Daily sales'!$D1325="","",TRIM('Staff Daily sales'!$D1325&amp;""))</f>
        <v/>
      </c>
      <c r="C1340" t="str">
        <f>IFERROR(TRIM('Staff Daily sales'!$E1325&amp;""),"")</f>
        <v/>
      </c>
      <c r="D1340" t="str">
        <f>IFERROR(IF(TRIM('Staff Daily sales'!$F1325&amp;"")="","Unassigned",TRIM('Staff Daily sales'!$F1325&amp;"")),"Unassigned")</f>
        <v>Unassigned</v>
      </c>
      <c r="E1340">
        <f t="shared" si="346"/>
        <v>0</v>
      </c>
      <c r="F1340">
        <f>IF($E1340=0,0,SUMPRODUCT($AI$5:$DF$5,'Staff Daily sales'!$G1325:$CD1325))</f>
        <v>0</v>
      </c>
      <c r="G1340">
        <f>IF($E1340=0,0,SUMPRODUCT($AI$6:$DF$6,'Staff Daily sales'!$G1325:$CD1325))</f>
        <v>0</v>
      </c>
      <c r="H1340">
        <f t="shared" si="347"/>
        <v>0</v>
      </c>
      <c r="I1340">
        <f t="shared" si="348"/>
        <v>0</v>
      </c>
      <c r="J1340">
        <f t="shared" si="349"/>
        <v>0</v>
      </c>
      <c r="K1340">
        <f t="shared" si="350"/>
        <v>0</v>
      </c>
      <c r="L1340">
        <f>--AND($E1340=1,OR('Staff Dashboard'!$B$6="All",$DH1340='Staff Dashboard'!$B$6),OR('Staff Dashboard'!$B$7="All",$D1340='Staff Dashboard'!$B$7),OR('Staff Dashboard'!$B$8="All",$A1340='Staff Dashboard'!$B$8))</f>
        <v>0</v>
      </c>
      <c r="M1340">
        <f>IF($E1340=0,0,SUMPRODUCT($AI$7:$DF$7,'Staff Daily sales'!$G1325:$CD1325))</f>
        <v>0</v>
      </c>
      <c r="N1340">
        <f>IF($E1340=0,0,SUMPRODUCT($AI$8:$DF$8,'Staff Daily sales'!$G1325:$CD1325))</f>
        <v>0</v>
      </c>
      <c r="O1340">
        <f>IF($E1340=0,0,SUMPRODUCT($AI$9:$DF$9,'Staff Daily sales'!$G1325:$CD1325))</f>
        <v>0</v>
      </c>
      <c r="P1340">
        <f>IF($E1340=0,0,SUMPRODUCT($AI$10:$DF$10,'Staff Daily sales'!$G1325:$CD1325))</f>
        <v>0</v>
      </c>
      <c r="Q1340">
        <f>IF($E1340=0,0,SUMPRODUCT($AI$11:$DF$11,'Staff Daily sales'!$G1325:$CD1325))</f>
        <v>0</v>
      </c>
      <c r="R1340">
        <f>IF($E1340=0,0,SUMPRODUCT($AI$12:$DF$12,'Staff Daily sales'!$G1325:$CD1325))</f>
        <v>0</v>
      </c>
      <c r="S1340">
        <f>IF($E1340=0,0,SUMPRODUCT($AI$13:$DF$13,'Staff Daily sales'!$G1325:$CD1325))</f>
        <v>0</v>
      </c>
      <c r="T1340">
        <f>IF($E1340=0,0,SUMPRODUCT($AI$14:$DF$14,'Staff Daily sales'!$G1325:$CD1325))</f>
        <v>0</v>
      </c>
      <c r="U1340">
        <f>IF($E1340=0,0,SUMPRODUCT($AI$15:$DF$15,'Staff Daily sales'!$G1325:$CD1325))</f>
        <v>0</v>
      </c>
      <c r="V1340">
        <f>IF($E1340=0,0,SUMPRODUCT($AI$16:$DF$16,'Staff Daily sales'!$G1325:$CD1325))</f>
        <v>0</v>
      </c>
      <c r="W1340">
        <f t="shared" si="351"/>
        <v>0</v>
      </c>
      <c r="X1340">
        <f t="shared" si="352"/>
        <v>0</v>
      </c>
      <c r="Y1340">
        <f t="shared" si="353"/>
        <v>0</v>
      </c>
      <c r="Z1340">
        <f t="shared" si="354"/>
        <v>0</v>
      </c>
      <c r="AA1340">
        <f t="shared" si="355"/>
        <v>0</v>
      </c>
      <c r="AB1340">
        <f>--AND($E1340=1,OR('Staff Weekly Trend'!$B$3="All",$DH1340='Staff Weekly Trend'!$B$3),OR('Staff Weekly Trend'!$B$4="All",$D1340='Staff Weekly Trend'!$B$4),OR('Staff Weekly Trend'!$B$5="All",$A1340='Staff Weekly Trend'!$B$5))</f>
        <v>0</v>
      </c>
      <c r="AC1340" t="str">
        <f t="shared" si="356"/>
        <v/>
      </c>
      <c r="AI1340">
        <f t="shared" si="357"/>
        <v>0</v>
      </c>
      <c r="AJ1340">
        <f t="shared" si="358"/>
        <v>0</v>
      </c>
      <c r="AK1340">
        <f t="shared" si="359"/>
        <v>0</v>
      </c>
      <c r="AL1340">
        <f t="shared" si="360"/>
        <v>0</v>
      </c>
      <c r="AM1340">
        <f t="shared" si="361"/>
        <v>0</v>
      </c>
      <c r="DH1340" t="str" cm="1">
        <f t="array" ref="DH1340">IF($A1340="","",_xlfn.LET(_xlpm.c,IFERROR(_xlfn.XLOOKUP($A1340,TRIM('Sales and count'!$A$4:$A$300&amp;""),TRIM('Sales and count'!$B$4:$B$300&amp;"")),""),IF(OR(_xlpm.c="",_xlpm.c="0",LEFT(_xlpm.c,1)="#"),"Not set",_xlpm.c)))</f>
        <v/>
      </c>
    </row>
    <row r="1341" spans="1:112" x14ac:dyDescent="0.25">
      <c r="A1341" t="str">
        <f>IF('Staff Daily sales'!$B1326="","",TRIM('Staff Daily sales'!$B1326&amp;""))</f>
        <v/>
      </c>
      <c r="B1341" t="str">
        <f>IF('Staff Daily sales'!$D1326="","",TRIM('Staff Daily sales'!$D1326&amp;""))</f>
        <v/>
      </c>
      <c r="C1341" t="str">
        <f>IFERROR(TRIM('Staff Daily sales'!$E1326&amp;""),"")</f>
        <v/>
      </c>
      <c r="D1341" t="str">
        <f>IFERROR(IF(TRIM('Staff Daily sales'!$F1326&amp;"")="","Unassigned",TRIM('Staff Daily sales'!$F1326&amp;"")),"Unassigned")</f>
        <v>Unassigned</v>
      </c>
      <c r="E1341">
        <f t="shared" si="346"/>
        <v>0</v>
      </c>
      <c r="F1341">
        <f>IF($E1341=0,0,SUMPRODUCT($AI$5:$DF$5,'Staff Daily sales'!$G1326:$CD1326))</f>
        <v>0</v>
      </c>
      <c r="G1341">
        <f>IF($E1341=0,0,SUMPRODUCT($AI$6:$DF$6,'Staff Daily sales'!$G1326:$CD1326))</f>
        <v>0</v>
      </c>
      <c r="H1341">
        <f t="shared" si="347"/>
        <v>0</v>
      </c>
      <c r="I1341">
        <f t="shared" si="348"/>
        <v>0</v>
      </c>
      <c r="J1341">
        <f t="shared" si="349"/>
        <v>0</v>
      </c>
      <c r="K1341">
        <f t="shared" si="350"/>
        <v>0</v>
      </c>
      <c r="L1341">
        <f>--AND($E1341=1,OR('Staff Dashboard'!$B$6="All",$DH1341='Staff Dashboard'!$B$6),OR('Staff Dashboard'!$B$7="All",$D1341='Staff Dashboard'!$B$7),OR('Staff Dashboard'!$B$8="All",$A1341='Staff Dashboard'!$B$8))</f>
        <v>0</v>
      </c>
      <c r="M1341">
        <f>IF($E1341=0,0,SUMPRODUCT($AI$7:$DF$7,'Staff Daily sales'!$G1326:$CD1326))</f>
        <v>0</v>
      </c>
      <c r="N1341">
        <f>IF($E1341=0,0,SUMPRODUCT($AI$8:$DF$8,'Staff Daily sales'!$G1326:$CD1326))</f>
        <v>0</v>
      </c>
      <c r="O1341">
        <f>IF($E1341=0,0,SUMPRODUCT($AI$9:$DF$9,'Staff Daily sales'!$G1326:$CD1326))</f>
        <v>0</v>
      </c>
      <c r="P1341">
        <f>IF($E1341=0,0,SUMPRODUCT($AI$10:$DF$10,'Staff Daily sales'!$G1326:$CD1326))</f>
        <v>0</v>
      </c>
      <c r="Q1341">
        <f>IF($E1341=0,0,SUMPRODUCT($AI$11:$DF$11,'Staff Daily sales'!$G1326:$CD1326))</f>
        <v>0</v>
      </c>
      <c r="R1341">
        <f>IF($E1341=0,0,SUMPRODUCT($AI$12:$DF$12,'Staff Daily sales'!$G1326:$CD1326))</f>
        <v>0</v>
      </c>
      <c r="S1341">
        <f>IF($E1341=0,0,SUMPRODUCT($AI$13:$DF$13,'Staff Daily sales'!$G1326:$CD1326))</f>
        <v>0</v>
      </c>
      <c r="T1341">
        <f>IF($E1341=0,0,SUMPRODUCT($AI$14:$DF$14,'Staff Daily sales'!$G1326:$CD1326))</f>
        <v>0</v>
      </c>
      <c r="U1341">
        <f>IF($E1341=0,0,SUMPRODUCT($AI$15:$DF$15,'Staff Daily sales'!$G1326:$CD1326))</f>
        <v>0</v>
      </c>
      <c r="V1341">
        <f>IF($E1341=0,0,SUMPRODUCT($AI$16:$DF$16,'Staff Daily sales'!$G1326:$CD1326))</f>
        <v>0</v>
      </c>
      <c r="W1341">
        <f t="shared" si="351"/>
        <v>0</v>
      </c>
      <c r="X1341">
        <f t="shared" si="352"/>
        <v>0</v>
      </c>
      <c r="Y1341">
        <f t="shared" si="353"/>
        <v>0</v>
      </c>
      <c r="Z1341">
        <f t="shared" si="354"/>
        <v>0</v>
      </c>
      <c r="AA1341">
        <f t="shared" si="355"/>
        <v>0</v>
      </c>
      <c r="AB1341">
        <f>--AND($E1341=1,OR('Staff Weekly Trend'!$B$3="All",$DH1341='Staff Weekly Trend'!$B$3),OR('Staff Weekly Trend'!$B$4="All",$D1341='Staff Weekly Trend'!$B$4),OR('Staff Weekly Trend'!$B$5="All",$A1341='Staff Weekly Trend'!$B$5))</f>
        <v>0</v>
      </c>
      <c r="AC1341" t="str">
        <f t="shared" si="356"/>
        <v/>
      </c>
      <c r="AI1341">
        <f t="shared" si="357"/>
        <v>0</v>
      </c>
      <c r="AJ1341">
        <f t="shared" si="358"/>
        <v>0</v>
      </c>
      <c r="AK1341">
        <f t="shared" si="359"/>
        <v>0</v>
      </c>
      <c r="AL1341">
        <f t="shared" si="360"/>
        <v>0</v>
      </c>
      <c r="AM1341">
        <f t="shared" si="361"/>
        <v>0</v>
      </c>
      <c r="DH1341" t="str" cm="1">
        <f t="array" ref="DH1341">IF($A1341="","",_xlfn.LET(_xlpm.c,IFERROR(_xlfn.XLOOKUP($A1341,TRIM('Sales and count'!$A$4:$A$300&amp;""),TRIM('Sales and count'!$B$4:$B$300&amp;"")),""),IF(OR(_xlpm.c="",_xlpm.c="0",LEFT(_xlpm.c,1)="#"),"Not set",_xlpm.c)))</f>
        <v/>
      </c>
    </row>
    <row r="1342" spans="1:112" x14ac:dyDescent="0.25">
      <c r="A1342" t="str">
        <f>IF('Staff Daily sales'!$B1327="","",TRIM('Staff Daily sales'!$B1327&amp;""))</f>
        <v/>
      </c>
      <c r="B1342" t="str">
        <f>IF('Staff Daily sales'!$D1327="","",TRIM('Staff Daily sales'!$D1327&amp;""))</f>
        <v/>
      </c>
      <c r="C1342" t="str">
        <f>IFERROR(TRIM('Staff Daily sales'!$E1327&amp;""),"")</f>
        <v/>
      </c>
      <c r="D1342" t="str">
        <f>IFERROR(IF(TRIM('Staff Daily sales'!$F1327&amp;"")="","Unassigned",TRIM('Staff Daily sales'!$F1327&amp;"")),"Unassigned")</f>
        <v>Unassigned</v>
      </c>
      <c r="E1342">
        <f t="shared" si="346"/>
        <v>0</v>
      </c>
      <c r="F1342">
        <f>IF($E1342=0,0,SUMPRODUCT($AI$5:$DF$5,'Staff Daily sales'!$G1327:$CD1327))</f>
        <v>0</v>
      </c>
      <c r="G1342">
        <f>IF($E1342=0,0,SUMPRODUCT($AI$6:$DF$6,'Staff Daily sales'!$G1327:$CD1327))</f>
        <v>0</v>
      </c>
      <c r="H1342">
        <f t="shared" si="347"/>
        <v>0</v>
      </c>
      <c r="I1342">
        <f t="shared" si="348"/>
        <v>0</v>
      </c>
      <c r="J1342">
        <f t="shared" si="349"/>
        <v>0</v>
      </c>
      <c r="K1342">
        <f t="shared" si="350"/>
        <v>0</v>
      </c>
      <c r="L1342">
        <f>--AND($E1342=1,OR('Staff Dashboard'!$B$6="All",$DH1342='Staff Dashboard'!$B$6),OR('Staff Dashboard'!$B$7="All",$D1342='Staff Dashboard'!$B$7),OR('Staff Dashboard'!$B$8="All",$A1342='Staff Dashboard'!$B$8))</f>
        <v>0</v>
      </c>
      <c r="M1342">
        <f>IF($E1342=0,0,SUMPRODUCT($AI$7:$DF$7,'Staff Daily sales'!$G1327:$CD1327))</f>
        <v>0</v>
      </c>
      <c r="N1342">
        <f>IF($E1342=0,0,SUMPRODUCT($AI$8:$DF$8,'Staff Daily sales'!$G1327:$CD1327))</f>
        <v>0</v>
      </c>
      <c r="O1342">
        <f>IF($E1342=0,0,SUMPRODUCT($AI$9:$DF$9,'Staff Daily sales'!$G1327:$CD1327))</f>
        <v>0</v>
      </c>
      <c r="P1342">
        <f>IF($E1342=0,0,SUMPRODUCT($AI$10:$DF$10,'Staff Daily sales'!$G1327:$CD1327))</f>
        <v>0</v>
      </c>
      <c r="Q1342">
        <f>IF($E1342=0,0,SUMPRODUCT($AI$11:$DF$11,'Staff Daily sales'!$G1327:$CD1327))</f>
        <v>0</v>
      </c>
      <c r="R1342">
        <f>IF($E1342=0,0,SUMPRODUCT($AI$12:$DF$12,'Staff Daily sales'!$G1327:$CD1327))</f>
        <v>0</v>
      </c>
      <c r="S1342">
        <f>IF($E1342=0,0,SUMPRODUCT($AI$13:$DF$13,'Staff Daily sales'!$G1327:$CD1327))</f>
        <v>0</v>
      </c>
      <c r="T1342">
        <f>IF($E1342=0,0,SUMPRODUCT($AI$14:$DF$14,'Staff Daily sales'!$G1327:$CD1327))</f>
        <v>0</v>
      </c>
      <c r="U1342">
        <f>IF($E1342=0,0,SUMPRODUCT($AI$15:$DF$15,'Staff Daily sales'!$G1327:$CD1327))</f>
        <v>0</v>
      </c>
      <c r="V1342">
        <f>IF($E1342=0,0,SUMPRODUCT($AI$16:$DF$16,'Staff Daily sales'!$G1327:$CD1327))</f>
        <v>0</v>
      </c>
      <c r="W1342">
        <f t="shared" si="351"/>
        <v>0</v>
      </c>
      <c r="X1342">
        <f t="shared" si="352"/>
        <v>0</v>
      </c>
      <c r="Y1342">
        <f t="shared" si="353"/>
        <v>0</v>
      </c>
      <c r="Z1342">
        <f t="shared" si="354"/>
        <v>0</v>
      </c>
      <c r="AA1342">
        <f t="shared" si="355"/>
        <v>0</v>
      </c>
      <c r="AB1342">
        <f>--AND($E1342=1,OR('Staff Weekly Trend'!$B$3="All",$DH1342='Staff Weekly Trend'!$B$3),OR('Staff Weekly Trend'!$B$4="All",$D1342='Staff Weekly Trend'!$B$4),OR('Staff Weekly Trend'!$B$5="All",$A1342='Staff Weekly Trend'!$B$5))</f>
        <v>0</v>
      </c>
      <c r="AC1342" t="str">
        <f t="shared" si="356"/>
        <v/>
      </c>
      <c r="AI1342">
        <f t="shared" si="357"/>
        <v>0</v>
      </c>
      <c r="AJ1342">
        <f t="shared" si="358"/>
        <v>0</v>
      </c>
      <c r="AK1342">
        <f t="shared" si="359"/>
        <v>0</v>
      </c>
      <c r="AL1342">
        <f t="shared" si="360"/>
        <v>0</v>
      </c>
      <c r="AM1342">
        <f t="shared" si="361"/>
        <v>0</v>
      </c>
      <c r="DH1342" t="str" cm="1">
        <f t="array" ref="DH1342">IF($A1342="","",_xlfn.LET(_xlpm.c,IFERROR(_xlfn.XLOOKUP($A1342,TRIM('Sales and count'!$A$4:$A$300&amp;""),TRIM('Sales and count'!$B$4:$B$300&amp;"")),""),IF(OR(_xlpm.c="",_xlpm.c="0",LEFT(_xlpm.c,1)="#"),"Not set",_xlpm.c)))</f>
        <v/>
      </c>
    </row>
    <row r="1343" spans="1:112" x14ac:dyDescent="0.25">
      <c r="A1343" t="str">
        <f>IF('Staff Daily sales'!$B1328="","",TRIM('Staff Daily sales'!$B1328&amp;""))</f>
        <v/>
      </c>
      <c r="B1343" t="str">
        <f>IF('Staff Daily sales'!$D1328="","",TRIM('Staff Daily sales'!$D1328&amp;""))</f>
        <v/>
      </c>
      <c r="C1343" t="str">
        <f>IFERROR(TRIM('Staff Daily sales'!$E1328&amp;""),"")</f>
        <v/>
      </c>
      <c r="D1343" t="str">
        <f>IFERROR(IF(TRIM('Staff Daily sales'!$F1328&amp;"")="","Unassigned",TRIM('Staff Daily sales'!$F1328&amp;"")),"Unassigned")</f>
        <v>Unassigned</v>
      </c>
      <c r="E1343">
        <f t="shared" si="346"/>
        <v>0</v>
      </c>
      <c r="F1343">
        <f>IF($E1343=0,0,SUMPRODUCT($AI$5:$DF$5,'Staff Daily sales'!$G1328:$CD1328))</f>
        <v>0</v>
      </c>
      <c r="G1343">
        <f>IF($E1343=0,0,SUMPRODUCT($AI$6:$DF$6,'Staff Daily sales'!$G1328:$CD1328))</f>
        <v>0</v>
      </c>
      <c r="H1343">
        <f t="shared" si="347"/>
        <v>0</v>
      </c>
      <c r="I1343">
        <f t="shared" si="348"/>
        <v>0</v>
      </c>
      <c r="J1343">
        <f t="shared" si="349"/>
        <v>0</v>
      </c>
      <c r="K1343">
        <f t="shared" si="350"/>
        <v>0</v>
      </c>
      <c r="L1343">
        <f>--AND($E1343=1,OR('Staff Dashboard'!$B$6="All",$DH1343='Staff Dashboard'!$B$6),OR('Staff Dashboard'!$B$7="All",$D1343='Staff Dashboard'!$B$7),OR('Staff Dashboard'!$B$8="All",$A1343='Staff Dashboard'!$B$8))</f>
        <v>0</v>
      </c>
      <c r="M1343">
        <f>IF($E1343=0,0,SUMPRODUCT($AI$7:$DF$7,'Staff Daily sales'!$G1328:$CD1328))</f>
        <v>0</v>
      </c>
      <c r="N1343">
        <f>IF($E1343=0,0,SUMPRODUCT($AI$8:$DF$8,'Staff Daily sales'!$G1328:$CD1328))</f>
        <v>0</v>
      </c>
      <c r="O1343">
        <f>IF($E1343=0,0,SUMPRODUCT($AI$9:$DF$9,'Staff Daily sales'!$G1328:$CD1328))</f>
        <v>0</v>
      </c>
      <c r="P1343">
        <f>IF($E1343=0,0,SUMPRODUCT($AI$10:$DF$10,'Staff Daily sales'!$G1328:$CD1328))</f>
        <v>0</v>
      </c>
      <c r="Q1343">
        <f>IF($E1343=0,0,SUMPRODUCT($AI$11:$DF$11,'Staff Daily sales'!$G1328:$CD1328))</f>
        <v>0</v>
      </c>
      <c r="R1343">
        <f>IF($E1343=0,0,SUMPRODUCT($AI$12:$DF$12,'Staff Daily sales'!$G1328:$CD1328))</f>
        <v>0</v>
      </c>
      <c r="S1343">
        <f>IF($E1343=0,0,SUMPRODUCT($AI$13:$DF$13,'Staff Daily sales'!$G1328:$CD1328))</f>
        <v>0</v>
      </c>
      <c r="T1343">
        <f>IF($E1343=0,0,SUMPRODUCT($AI$14:$DF$14,'Staff Daily sales'!$G1328:$CD1328))</f>
        <v>0</v>
      </c>
      <c r="U1343">
        <f>IF($E1343=0,0,SUMPRODUCT($AI$15:$DF$15,'Staff Daily sales'!$G1328:$CD1328))</f>
        <v>0</v>
      </c>
      <c r="V1343">
        <f>IF($E1343=0,0,SUMPRODUCT($AI$16:$DF$16,'Staff Daily sales'!$G1328:$CD1328))</f>
        <v>0</v>
      </c>
      <c r="W1343">
        <f t="shared" si="351"/>
        <v>0</v>
      </c>
      <c r="X1343">
        <f t="shared" si="352"/>
        <v>0</v>
      </c>
      <c r="Y1343">
        <f t="shared" si="353"/>
        <v>0</v>
      </c>
      <c r="Z1343">
        <f t="shared" si="354"/>
        <v>0</v>
      </c>
      <c r="AA1343">
        <f t="shared" si="355"/>
        <v>0</v>
      </c>
      <c r="AB1343">
        <f>--AND($E1343=1,OR('Staff Weekly Trend'!$B$3="All",$DH1343='Staff Weekly Trend'!$B$3),OR('Staff Weekly Trend'!$B$4="All",$D1343='Staff Weekly Trend'!$B$4),OR('Staff Weekly Trend'!$B$5="All",$A1343='Staff Weekly Trend'!$B$5))</f>
        <v>0</v>
      </c>
      <c r="AC1343" t="str">
        <f t="shared" si="356"/>
        <v/>
      </c>
      <c r="AI1343">
        <f t="shared" si="357"/>
        <v>0</v>
      </c>
      <c r="AJ1343">
        <f t="shared" si="358"/>
        <v>0</v>
      </c>
      <c r="AK1343">
        <f t="shared" si="359"/>
        <v>0</v>
      </c>
      <c r="AL1343">
        <f t="shared" si="360"/>
        <v>0</v>
      </c>
      <c r="AM1343">
        <f t="shared" si="361"/>
        <v>0</v>
      </c>
      <c r="DH1343" t="str" cm="1">
        <f t="array" ref="DH1343">IF($A1343="","",_xlfn.LET(_xlpm.c,IFERROR(_xlfn.XLOOKUP($A1343,TRIM('Sales and count'!$A$4:$A$300&amp;""),TRIM('Sales and count'!$B$4:$B$300&amp;"")),""),IF(OR(_xlpm.c="",_xlpm.c="0",LEFT(_xlpm.c,1)="#"),"Not set",_xlpm.c)))</f>
        <v/>
      </c>
    </row>
    <row r="1344" spans="1:112" x14ac:dyDescent="0.25">
      <c r="A1344" t="str">
        <f>IF('Staff Daily sales'!$B1329="","",TRIM('Staff Daily sales'!$B1329&amp;""))</f>
        <v/>
      </c>
      <c r="B1344" t="str">
        <f>IF('Staff Daily sales'!$D1329="","",TRIM('Staff Daily sales'!$D1329&amp;""))</f>
        <v/>
      </c>
      <c r="C1344" t="str">
        <f>IFERROR(TRIM('Staff Daily sales'!$E1329&amp;""),"")</f>
        <v/>
      </c>
      <c r="D1344" t="str">
        <f>IFERROR(IF(TRIM('Staff Daily sales'!$F1329&amp;"")="","Unassigned",TRIM('Staff Daily sales'!$F1329&amp;"")),"Unassigned")</f>
        <v>Unassigned</v>
      </c>
      <c r="E1344">
        <f t="shared" si="346"/>
        <v>0</v>
      </c>
      <c r="F1344">
        <f>IF($E1344=0,0,SUMPRODUCT($AI$5:$DF$5,'Staff Daily sales'!$G1329:$CD1329))</f>
        <v>0</v>
      </c>
      <c r="G1344">
        <f>IF($E1344=0,0,SUMPRODUCT($AI$6:$DF$6,'Staff Daily sales'!$G1329:$CD1329))</f>
        <v>0</v>
      </c>
      <c r="H1344">
        <f t="shared" si="347"/>
        <v>0</v>
      </c>
      <c r="I1344">
        <f t="shared" si="348"/>
        <v>0</v>
      </c>
      <c r="J1344">
        <f t="shared" si="349"/>
        <v>0</v>
      </c>
      <c r="K1344">
        <f t="shared" si="350"/>
        <v>0</v>
      </c>
      <c r="L1344">
        <f>--AND($E1344=1,OR('Staff Dashboard'!$B$6="All",$DH1344='Staff Dashboard'!$B$6),OR('Staff Dashboard'!$B$7="All",$D1344='Staff Dashboard'!$B$7),OR('Staff Dashboard'!$B$8="All",$A1344='Staff Dashboard'!$B$8))</f>
        <v>0</v>
      </c>
      <c r="M1344">
        <f>IF($E1344=0,0,SUMPRODUCT($AI$7:$DF$7,'Staff Daily sales'!$G1329:$CD1329))</f>
        <v>0</v>
      </c>
      <c r="N1344">
        <f>IF($E1344=0,0,SUMPRODUCT($AI$8:$DF$8,'Staff Daily sales'!$G1329:$CD1329))</f>
        <v>0</v>
      </c>
      <c r="O1344">
        <f>IF($E1344=0,0,SUMPRODUCT($AI$9:$DF$9,'Staff Daily sales'!$G1329:$CD1329))</f>
        <v>0</v>
      </c>
      <c r="P1344">
        <f>IF($E1344=0,0,SUMPRODUCT($AI$10:$DF$10,'Staff Daily sales'!$G1329:$CD1329))</f>
        <v>0</v>
      </c>
      <c r="Q1344">
        <f>IF($E1344=0,0,SUMPRODUCT($AI$11:$DF$11,'Staff Daily sales'!$G1329:$CD1329))</f>
        <v>0</v>
      </c>
      <c r="R1344">
        <f>IF($E1344=0,0,SUMPRODUCT($AI$12:$DF$12,'Staff Daily sales'!$G1329:$CD1329))</f>
        <v>0</v>
      </c>
      <c r="S1344">
        <f>IF($E1344=0,0,SUMPRODUCT($AI$13:$DF$13,'Staff Daily sales'!$G1329:$CD1329))</f>
        <v>0</v>
      </c>
      <c r="T1344">
        <f>IF($E1344=0,0,SUMPRODUCT($AI$14:$DF$14,'Staff Daily sales'!$G1329:$CD1329))</f>
        <v>0</v>
      </c>
      <c r="U1344">
        <f>IF($E1344=0,0,SUMPRODUCT($AI$15:$DF$15,'Staff Daily sales'!$G1329:$CD1329))</f>
        <v>0</v>
      </c>
      <c r="V1344">
        <f>IF($E1344=0,0,SUMPRODUCT($AI$16:$DF$16,'Staff Daily sales'!$G1329:$CD1329))</f>
        <v>0</v>
      </c>
      <c r="W1344">
        <f t="shared" si="351"/>
        <v>0</v>
      </c>
      <c r="X1344">
        <f t="shared" si="352"/>
        <v>0</v>
      </c>
      <c r="Y1344">
        <f t="shared" si="353"/>
        <v>0</v>
      </c>
      <c r="Z1344">
        <f t="shared" si="354"/>
        <v>0</v>
      </c>
      <c r="AA1344">
        <f t="shared" si="355"/>
        <v>0</v>
      </c>
      <c r="AB1344">
        <f>--AND($E1344=1,OR('Staff Weekly Trend'!$B$3="All",$DH1344='Staff Weekly Trend'!$B$3),OR('Staff Weekly Trend'!$B$4="All",$D1344='Staff Weekly Trend'!$B$4),OR('Staff Weekly Trend'!$B$5="All",$A1344='Staff Weekly Trend'!$B$5))</f>
        <v>0</v>
      </c>
      <c r="AC1344" t="str">
        <f t="shared" si="356"/>
        <v/>
      </c>
      <c r="AI1344">
        <f t="shared" si="357"/>
        <v>0</v>
      </c>
      <c r="AJ1344">
        <f t="shared" si="358"/>
        <v>0</v>
      </c>
      <c r="AK1344">
        <f t="shared" si="359"/>
        <v>0</v>
      </c>
      <c r="AL1344">
        <f t="shared" si="360"/>
        <v>0</v>
      </c>
      <c r="AM1344">
        <f t="shared" si="361"/>
        <v>0</v>
      </c>
      <c r="DH1344" t="str" cm="1">
        <f t="array" ref="DH1344">IF($A1344="","",_xlfn.LET(_xlpm.c,IFERROR(_xlfn.XLOOKUP($A1344,TRIM('Sales and count'!$A$4:$A$300&amp;""),TRIM('Sales and count'!$B$4:$B$300&amp;"")),""),IF(OR(_xlpm.c="",_xlpm.c="0",LEFT(_xlpm.c,1)="#"),"Not set",_xlpm.c)))</f>
        <v/>
      </c>
    </row>
    <row r="1345" spans="1:112" x14ac:dyDescent="0.25">
      <c r="A1345" t="str">
        <f>IF('Staff Daily sales'!$B1330="","",TRIM('Staff Daily sales'!$B1330&amp;""))</f>
        <v/>
      </c>
      <c r="B1345" t="str">
        <f>IF('Staff Daily sales'!$D1330="","",TRIM('Staff Daily sales'!$D1330&amp;""))</f>
        <v/>
      </c>
      <c r="C1345" t="str">
        <f>IFERROR(TRIM('Staff Daily sales'!$E1330&amp;""),"")</f>
        <v/>
      </c>
      <c r="D1345" t="str">
        <f>IFERROR(IF(TRIM('Staff Daily sales'!$F1330&amp;"")="","Unassigned",TRIM('Staff Daily sales'!$F1330&amp;"")),"Unassigned")</f>
        <v>Unassigned</v>
      </c>
      <c r="E1345">
        <f t="shared" si="346"/>
        <v>0</v>
      </c>
      <c r="F1345">
        <f>IF($E1345=0,0,SUMPRODUCT($AI$5:$DF$5,'Staff Daily sales'!$G1330:$CD1330))</f>
        <v>0</v>
      </c>
      <c r="G1345">
        <f>IF($E1345=0,0,SUMPRODUCT($AI$6:$DF$6,'Staff Daily sales'!$G1330:$CD1330))</f>
        <v>0</v>
      </c>
      <c r="H1345">
        <f t="shared" si="347"/>
        <v>0</v>
      </c>
      <c r="I1345">
        <f t="shared" si="348"/>
        <v>0</v>
      </c>
      <c r="J1345">
        <f t="shared" si="349"/>
        <v>0</v>
      </c>
      <c r="K1345">
        <f t="shared" si="350"/>
        <v>0</v>
      </c>
      <c r="L1345">
        <f>--AND($E1345=1,OR('Staff Dashboard'!$B$6="All",$DH1345='Staff Dashboard'!$B$6),OR('Staff Dashboard'!$B$7="All",$D1345='Staff Dashboard'!$B$7),OR('Staff Dashboard'!$B$8="All",$A1345='Staff Dashboard'!$B$8))</f>
        <v>0</v>
      </c>
      <c r="M1345">
        <f>IF($E1345=0,0,SUMPRODUCT($AI$7:$DF$7,'Staff Daily sales'!$G1330:$CD1330))</f>
        <v>0</v>
      </c>
      <c r="N1345">
        <f>IF($E1345=0,0,SUMPRODUCT($AI$8:$DF$8,'Staff Daily sales'!$G1330:$CD1330))</f>
        <v>0</v>
      </c>
      <c r="O1345">
        <f>IF($E1345=0,0,SUMPRODUCT($AI$9:$DF$9,'Staff Daily sales'!$G1330:$CD1330))</f>
        <v>0</v>
      </c>
      <c r="P1345">
        <f>IF($E1345=0,0,SUMPRODUCT($AI$10:$DF$10,'Staff Daily sales'!$G1330:$CD1330))</f>
        <v>0</v>
      </c>
      <c r="Q1345">
        <f>IF($E1345=0,0,SUMPRODUCT($AI$11:$DF$11,'Staff Daily sales'!$G1330:$CD1330))</f>
        <v>0</v>
      </c>
      <c r="R1345">
        <f>IF($E1345=0,0,SUMPRODUCT($AI$12:$DF$12,'Staff Daily sales'!$G1330:$CD1330))</f>
        <v>0</v>
      </c>
      <c r="S1345">
        <f>IF($E1345=0,0,SUMPRODUCT($AI$13:$DF$13,'Staff Daily sales'!$G1330:$CD1330))</f>
        <v>0</v>
      </c>
      <c r="T1345">
        <f>IF($E1345=0,0,SUMPRODUCT($AI$14:$DF$14,'Staff Daily sales'!$G1330:$CD1330))</f>
        <v>0</v>
      </c>
      <c r="U1345">
        <f>IF($E1345=0,0,SUMPRODUCT($AI$15:$DF$15,'Staff Daily sales'!$G1330:$CD1330))</f>
        <v>0</v>
      </c>
      <c r="V1345">
        <f>IF($E1345=0,0,SUMPRODUCT($AI$16:$DF$16,'Staff Daily sales'!$G1330:$CD1330))</f>
        <v>0</v>
      </c>
      <c r="W1345">
        <f t="shared" si="351"/>
        <v>0</v>
      </c>
      <c r="X1345">
        <f t="shared" si="352"/>
        <v>0</v>
      </c>
      <c r="Y1345">
        <f t="shared" si="353"/>
        <v>0</v>
      </c>
      <c r="Z1345">
        <f t="shared" si="354"/>
        <v>0</v>
      </c>
      <c r="AA1345">
        <f t="shared" si="355"/>
        <v>0</v>
      </c>
      <c r="AB1345">
        <f>--AND($E1345=1,OR('Staff Weekly Trend'!$B$3="All",$DH1345='Staff Weekly Trend'!$B$3),OR('Staff Weekly Trend'!$B$4="All",$D1345='Staff Weekly Trend'!$B$4),OR('Staff Weekly Trend'!$B$5="All",$A1345='Staff Weekly Trend'!$B$5))</f>
        <v>0</v>
      </c>
      <c r="AC1345" t="str">
        <f t="shared" si="356"/>
        <v/>
      </c>
      <c r="AI1345">
        <f t="shared" si="357"/>
        <v>0</v>
      </c>
      <c r="AJ1345">
        <f t="shared" si="358"/>
        <v>0</v>
      </c>
      <c r="AK1345">
        <f t="shared" si="359"/>
        <v>0</v>
      </c>
      <c r="AL1345">
        <f t="shared" si="360"/>
        <v>0</v>
      </c>
      <c r="AM1345">
        <f t="shared" si="361"/>
        <v>0</v>
      </c>
      <c r="DH1345" t="str" cm="1">
        <f t="array" ref="DH1345">IF($A1345="","",_xlfn.LET(_xlpm.c,IFERROR(_xlfn.XLOOKUP($A1345,TRIM('Sales and count'!$A$4:$A$300&amp;""),TRIM('Sales and count'!$B$4:$B$300&amp;"")),""),IF(OR(_xlpm.c="",_xlpm.c="0",LEFT(_xlpm.c,1)="#"),"Not set",_xlpm.c)))</f>
        <v/>
      </c>
    </row>
    <row r="1346" spans="1:112" x14ac:dyDescent="0.25">
      <c r="A1346" t="str">
        <f>IF('Staff Daily sales'!$B1331="","",TRIM('Staff Daily sales'!$B1331&amp;""))</f>
        <v/>
      </c>
      <c r="B1346" t="str">
        <f>IF('Staff Daily sales'!$D1331="","",TRIM('Staff Daily sales'!$D1331&amp;""))</f>
        <v/>
      </c>
      <c r="C1346" t="str">
        <f>IFERROR(TRIM('Staff Daily sales'!$E1331&amp;""),"")</f>
        <v/>
      </c>
      <c r="D1346" t="str">
        <f>IFERROR(IF(TRIM('Staff Daily sales'!$F1331&amp;"")="","Unassigned",TRIM('Staff Daily sales'!$F1331&amp;"")),"Unassigned")</f>
        <v>Unassigned</v>
      </c>
      <c r="E1346">
        <f t="shared" si="346"/>
        <v>0</v>
      </c>
      <c r="F1346">
        <f>IF($E1346=0,0,SUMPRODUCT($AI$5:$DF$5,'Staff Daily sales'!$G1331:$CD1331))</f>
        <v>0</v>
      </c>
      <c r="G1346">
        <f>IF($E1346=0,0,SUMPRODUCT($AI$6:$DF$6,'Staff Daily sales'!$G1331:$CD1331))</f>
        <v>0</v>
      </c>
      <c r="H1346">
        <f t="shared" si="347"/>
        <v>0</v>
      </c>
      <c r="I1346">
        <f t="shared" si="348"/>
        <v>0</v>
      </c>
      <c r="J1346">
        <f t="shared" si="349"/>
        <v>0</v>
      </c>
      <c r="K1346">
        <f t="shared" si="350"/>
        <v>0</v>
      </c>
      <c r="L1346">
        <f>--AND($E1346=1,OR('Staff Dashboard'!$B$6="All",$DH1346='Staff Dashboard'!$B$6),OR('Staff Dashboard'!$B$7="All",$D1346='Staff Dashboard'!$B$7),OR('Staff Dashboard'!$B$8="All",$A1346='Staff Dashboard'!$B$8))</f>
        <v>0</v>
      </c>
      <c r="M1346">
        <f>IF($E1346=0,0,SUMPRODUCT($AI$7:$DF$7,'Staff Daily sales'!$G1331:$CD1331))</f>
        <v>0</v>
      </c>
      <c r="N1346">
        <f>IF($E1346=0,0,SUMPRODUCT($AI$8:$DF$8,'Staff Daily sales'!$G1331:$CD1331))</f>
        <v>0</v>
      </c>
      <c r="O1346">
        <f>IF($E1346=0,0,SUMPRODUCT($AI$9:$DF$9,'Staff Daily sales'!$G1331:$CD1331))</f>
        <v>0</v>
      </c>
      <c r="P1346">
        <f>IF($E1346=0,0,SUMPRODUCT($AI$10:$DF$10,'Staff Daily sales'!$G1331:$CD1331))</f>
        <v>0</v>
      </c>
      <c r="Q1346">
        <f>IF($E1346=0,0,SUMPRODUCT($AI$11:$DF$11,'Staff Daily sales'!$G1331:$CD1331))</f>
        <v>0</v>
      </c>
      <c r="R1346">
        <f>IF($E1346=0,0,SUMPRODUCT($AI$12:$DF$12,'Staff Daily sales'!$G1331:$CD1331))</f>
        <v>0</v>
      </c>
      <c r="S1346">
        <f>IF($E1346=0,0,SUMPRODUCT($AI$13:$DF$13,'Staff Daily sales'!$G1331:$CD1331))</f>
        <v>0</v>
      </c>
      <c r="T1346">
        <f>IF($E1346=0,0,SUMPRODUCT($AI$14:$DF$14,'Staff Daily sales'!$G1331:$CD1331))</f>
        <v>0</v>
      </c>
      <c r="U1346">
        <f>IF($E1346=0,0,SUMPRODUCT($AI$15:$DF$15,'Staff Daily sales'!$G1331:$CD1331))</f>
        <v>0</v>
      </c>
      <c r="V1346">
        <f>IF($E1346=0,0,SUMPRODUCT($AI$16:$DF$16,'Staff Daily sales'!$G1331:$CD1331))</f>
        <v>0</v>
      </c>
      <c r="W1346">
        <f t="shared" si="351"/>
        <v>0</v>
      </c>
      <c r="X1346">
        <f t="shared" si="352"/>
        <v>0</v>
      </c>
      <c r="Y1346">
        <f t="shared" si="353"/>
        <v>0</v>
      </c>
      <c r="Z1346">
        <f t="shared" si="354"/>
        <v>0</v>
      </c>
      <c r="AA1346">
        <f t="shared" si="355"/>
        <v>0</v>
      </c>
      <c r="AB1346">
        <f>--AND($E1346=1,OR('Staff Weekly Trend'!$B$3="All",$DH1346='Staff Weekly Trend'!$B$3),OR('Staff Weekly Trend'!$B$4="All",$D1346='Staff Weekly Trend'!$B$4),OR('Staff Weekly Trend'!$B$5="All",$A1346='Staff Weekly Trend'!$B$5))</f>
        <v>0</v>
      </c>
      <c r="AC1346" t="str">
        <f t="shared" si="356"/>
        <v/>
      </c>
      <c r="AI1346">
        <f t="shared" si="357"/>
        <v>0</v>
      </c>
      <c r="AJ1346">
        <f t="shared" si="358"/>
        <v>0</v>
      </c>
      <c r="AK1346">
        <f t="shared" si="359"/>
        <v>0</v>
      </c>
      <c r="AL1346">
        <f t="shared" si="360"/>
        <v>0</v>
      </c>
      <c r="AM1346">
        <f t="shared" si="361"/>
        <v>0</v>
      </c>
      <c r="DH1346" t="str" cm="1">
        <f t="array" ref="DH1346">IF($A1346="","",_xlfn.LET(_xlpm.c,IFERROR(_xlfn.XLOOKUP($A1346,TRIM('Sales and count'!$A$4:$A$300&amp;""),TRIM('Sales and count'!$B$4:$B$300&amp;"")),""),IF(OR(_xlpm.c="",_xlpm.c="0",LEFT(_xlpm.c,1)="#"),"Not set",_xlpm.c)))</f>
        <v/>
      </c>
    </row>
    <row r="1347" spans="1:112" x14ac:dyDescent="0.25">
      <c r="A1347" t="str">
        <f>IF('Staff Daily sales'!$B1332="","",TRIM('Staff Daily sales'!$B1332&amp;""))</f>
        <v/>
      </c>
      <c r="B1347" t="str">
        <f>IF('Staff Daily sales'!$D1332="","",TRIM('Staff Daily sales'!$D1332&amp;""))</f>
        <v/>
      </c>
      <c r="C1347" t="str">
        <f>IFERROR(TRIM('Staff Daily sales'!$E1332&amp;""),"")</f>
        <v/>
      </c>
      <c r="D1347" t="str">
        <f>IFERROR(IF(TRIM('Staff Daily sales'!$F1332&amp;"")="","Unassigned",TRIM('Staff Daily sales'!$F1332&amp;"")),"Unassigned")</f>
        <v>Unassigned</v>
      </c>
      <c r="E1347">
        <f t="shared" si="346"/>
        <v>0</v>
      </c>
      <c r="F1347">
        <f>IF($E1347=0,0,SUMPRODUCT($AI$5:$DF$5,'Staff Daily sales'!$G1332:$CD1332))</f>
        <v>0</v>
      </c>
      <c r="G1347">
        <f>IF($E1347=0,0,SUMPRODUCT($AI$6:$DF$6,'Staff Daily sales'!$G1332:$CD1332))</f>
        <v>0</v>
      </c>
      <c r="H1347">
        <f t="shared" si="347"/>
        <v>0</v>
      </c>
      <c r="I1347">
        <f t="shared" si="348"/>
        <v>0</v>
      </c>
      <c r="J1347">
        <f t="shared" si="349"/>
        <v>0</v>
      </c>
      <c r="K1347">
        <f t="shared" si="350"/>
        <v>0</v>
      </c>
      <c r="L1347">
        <f>--AND($E1347=1,OR('Staff Dashboard'!$B$6="All",$DH1347='Staff Dashboard'!$B$6),OR('Staff Dashboard'!$B$7="All",$D1347='Staff Dashboard'!$B$7),OR('Staff Dashboard'!$B$8="All",$A1347='Staff Dashboard'!$B$8))</f>
        <v>0</v>
      </c>
      <c r="M1347">
        <f>IF($E1347=0,0,SUMPRODUCT($AI$7:$DF$7,'Staff Daily sales'!$G1332:$CD1332))</f>
        <v>0</v>
      </c>
      <c r="N1347">
        <f>IF($E1347=0,0,SUMPRODUCT($AI$8:$DF$8,'Staff Daily sales'!$G1332:$CD1332))</f>
        <v>0</v>
      </c>
      <c r="O1347">
        <f>IF($E1347=0,0,SUMPRODUCT($AI$9:$DF$9,'Staff Daily sales'!$G1332:$CD1332))</f>
        <v>0</v>
      </c>
      <c r="P1347">
        <f>IF($E1347=0,0,SUMPRODUCT($AI$10:$DF$10,'Staff Daily sales'!$G1332:$CD1332))</f>
        <v>0</v>
      </c>
      <c r="Q1347">
        <f>IF($E1347=0,0,SUMPRODUCT($AI$11:$DF$11,'Staff Daily sales'!$G1332:$CD1332))</f>
        <v>0</v>
      </c>
      <c r="R1347">
        <f>IF($E1347=0,0,SUMPRODUCT($AI$12:$DF$12,'Staff Daily sales'!$G1332:$CD1332))</f>
        <v>0</v>
      </c>
      <c r="S1347">
        <f>IF($E1347=0,0,SUMPRODUCT($AI$13:$DF$13,'Staff Daily sales'!$G1332:$CD1332))</f>
        <v>0</v>
      </c>
      <c r="T1347">
        <f>IF($E1347=0,0,SUMPRODUCT($AI$14:$DF$14,'Staff Daily sales'!$G1332:$CD1332))</f>
        <v>0</v>
      </c>
      <c r="U1347">
        <f>IF($E1347=0,0,SUMPRODUCT($AI$15:$DF$15,'Staff Daily sales'!$G1332:$CD1332))</f>
        <v>0</v>
      </c>
      <c r="V1347">
        <f>IF($E1347=0,0,SUMPRODUCT($AI$16:$DF$16,'Staff Daily sales'!$G1332:$CD1332))</f>
        <v>0</v>
      </c>
      <c r="W1347">
        <f t="shared" si="351"/>
        <v>0</v>
      </c>
      <c r="X1347">
        <f t="shared" si="352"/>
        <v>0</v>
      </c>
      <c r="Y1347">
        <f t="shared" si="353"/>
        <v>0</v>
      </c>
      <c r="Z1347">
        <f t="shared" si="354"/>
        <v>0</v>
      </c>
      <c r="AA1347">
        <f t="shared" si="355"/>
        <v>0</v>
      </c>
      <c r="AB1347">
        <f>--AND($E1347=1,OR('Staff Weekly Trend'!$B$3="All",$DH1347='Staff Weekly Trend'!$B$3),OR('Staff Weekly Trend'!$B$4="All",$D1347='Staff Weekly Trend'!$B$4),OR('Staff Weekly Trend'!$B$5="All",$A1347='Staff Weekly Trend'!$B$5))</f>
        <v>0</v>
      </c>
      <c r="AC1347" t="str">
        <f t="shared" si="356"/>
        <v/>
      </c>
      <c r="AI1347">
        <f t="shared" si="357"/>
        <v>0</v>
      </c>
      <c r="AJ1347">
        <f t="shared" si="358"/>
        <v>0</v>
      </c>
      <c r="AK1347">
        <f t="shared" si="359"/>
        <v>0</v>
      </c>
      <c r="AL1347">
        <f t="shared" si="360"/>
        <v>0</v>
      </c>
      <c r="AM1347">
        <f t="shared" si="361"/>
        <v>0</v>
      </c>
      <c r="DH1347" t="str" cm="1">
        <f t="array" ref="DH1347">IF($A1347="","",_xlfn.LET(_xlpm.c,IFERROR(_xlfn.XLOOKUP($A1347,TRIM('Sales and count'!$A$4:$A$300&amp;""),TRIM('Sales and count'!$B$4:$B$300&amp;"")),""),IF(OR(_xlpm.c="",_xlpm.c="0",LEFT(_xlpm.c,1)="#"),"Not set",_xlpm.c)))</f>
        <v/>
      </c>
    </row>
    <row r="1348" spans="1:112" x14ac:dyDescent="0.25">
      <c r="A1348" t="str">
        <f>IF('Staff Daily sales'!$B1333="","",TRIM('Staff Daily sales'!$B1333&amp;""))</f>
        <v/>
      </c>
      <c r="B1348" t="str">
        <f>IF('Staff Daily sales'!$D1333="","",TRIM('Staff Daily sales'!$D1333&amp;""))</f>
        <v/>
      </c>
      <c r="C1348" t="str">
        <f>IFERROR(TRIM('Staff Daily sales'!$E1333&amp;""),"")</f>
        <v/>
      </c>
      <c r="D1348" t="str">
        <f>IFERROR(IF(TRIM('Staff Daily sales'!$F1333&amp;"")="","Unassigned",TRIM('Staff Daily sales'!$F1333&amp;"")),"Unassigned")</f>
        <v>Unassigned</v>
      </c>
      <c r="E1348">
        <f t="shared" si="346"/>
        <v>0</v>
      </c>
      <c r="F1348">
        <f>IF($E1348=0,0,SUMPRODUCT($AI$5:$DF$5,'Staff Daily sales'!$G1333:$CD1333))</f>
        <v>0</v>
      </c>
      <c r="G1348">
        <f>IF($E1348=0,0,SUMPRODUCT($AI$6:$DF$6,'Staff Daily sales'!$G1333:$CD1333))</f>
        <v>0</v>
      </c>
      <c r="H1348">
        <f t="shared" si="347"/>
        <v>0</v>
      </c>
      <c r="I1348">
        <f t="shared" si="348"/>
        <v>0</v>
      </c>
      <c r="J1348">
        <f t="shared" si="349"/>
        <v>0</v>
      </c>
      <c r="K1348">
        <f t="shared" si="350"/>
        <v>0</v>
      </c>
      <c r="L1348">
        <f>--AND($E1348=1,OR('Staff Dashboard'!$B$6="All",$DH1348='Staff Dashboard'!$B$6),OR('Staff Dashboard'!$B$7="All",$D1348='Staff Dashboard'!$B$7),OR('Staff Dashboard'!$B$8="All",$A1348='Staff Dashboard'!$B$8))</f>
        <v>0</v>
      </c>
      <c r="M1348">
        <f>IF($E1348=0,0,SUMPRODUCT($AI$7:$DF$7,'Staff Daily sales'!$G1333:$CD1333))</f>
        <v>0</v>
      </c>
      <c r="N1348">
        <f>IF($E1348=0,0,SUMPRODUCT($AI$8:$DF$8,'Staff Daily sales'!$G1333:$CD1333))</f>
        <v>0</v>
      </c>
      <c r="O1348">
        <f>IF($E1348=0,0,SUMPRODUCT($AI$9:$DF$9,'Staff Daily sales'!$G1333:$CD1333))</f>
        <v>0</v>
      </c>
      <c r="P1348">
        <f>IF($E1348=0,0,SUMPRODUCT($AI$10:$DF$10,'Staff Daily sales'!$G1333:$CD1333))</f>
        <v>0</v>
      </c>
      <c r="Q1348">
        <f>IF($E1348=0,0,SUMPRODUCT($AI$11:$DF$11,'Staff Daily sales'!$G1333:$CD1333))</f>
        <v>0</v>
      </c>
      <c r="R1348">
        <f>IF($E1348=0,0,SUMPRODUCT($AI$12:$DF$12,'Staff Daily sales'!$G1333:$CD1333))</f>
        <v>0</v>
      </c>
      <c r="S1348">
        <f>IF($E1348=0,0,SUMPRODUCT($AI$13:$DF$13,'Staff Daily sales'!$G1333:$CD1333))</f>
        <v>0</v>
      </c>
      <c r="T1348">
        <f>IF($E1348=0,0,SUMPRODUCT($AI$14:$DF$14,'Staff Daily sales'!$G1333:$CD1333))</f>
        <v>0</v>
      </c>
      <c r="U1348">
        <f>IF($E1348=0,0,SUMPRODUCT($AI$15:$DF$15,'Staff Daily sales'!$G1333:$CD1333))</f>
        <v>0</v>
      </c>
      <c r="V1348">
        <f>IF($E1348=0,0,SUMPRODUCT($AI$16:$DF$16,'Staff Daily sales'!$G1333:$CD1333))</f>
        <v>0</v>
      </c>
      <c r="W1348">
        <f t="shared" si="351"/>
        <v>0</v>
      </c>
      <c r="X1348">
        <f t="shared" si="352"/>
        <v>0</v>
      </c>
      <c r="Y1348">
        <f t="shared" si="353"/>
        <v>0</v>
      </c>
      <c r="Z1348">
        <f t="shared" si="354"/>
        <v>0</v>
      </c>
      <c r="AA1348">
        <f t="shared" si="355"/>
        <v>0</v>
      </c>
      <c r="AB1348">
        <f>--AND($E1348=1,OR('Staff Weekly Trend'!$B$3="All",$DH1348='Staff Weekly Trend'!$B$3),OR('Staff Weekly Trend'!$B$4="All",$D1348='Staff Weekly Trend'!$B$4),OR('Staff Weekly Trend'!$B$5="All",$A1348='Staff Weekly Trend'!$B$5))</f>
        <v>0</v>
      </c>
      <c r="AC1348" t="str">
        <f t="shared" si="356"/>
        <v/>
      </c>
      <c r="AI1348">
        <f t="shared" si="357"/>
        <v>0</v>
      </c>
      <c r="AJ1348">
        <f t="shared" si="358"/>
        <v>0</v>
      </c>
      <c r="AK1348">
        <f t="shared" si="359"/>
        <v>0</v>
      </c>
      <c r="AL1348">
        <f t="shared" si="360"/>
        <v>0</v>
      </c>
      <c r="AM1348">
        <f t="shared" si="361"/>
        <v>0</v>
      </c>
      <c r="DH1348" t="str" cm="1">
        <f t="array" ref="DH1348">IF($A1348="","",_xlfn.LET(_xlpm.c,IFERROR(_xlfn.XLOOKUP($A1348,TRIM('Sales and count'!$A$4:$A$300&amp;""),TRIM('Sales and count'!$B$4:$B$300&amp;"")),""),IF(OR(_xlpm.c="",_xlpm.c="0",LEFT(_xlpm.c,1)="#"),"Not set",_xlpm.c)))</f>
        <v/>
      </c>
    </row>
    <row r="1349" spans="1:112" x14ac:dyDescent="0.25">
      <c r="A1349" t="str">
        <f>IF('Staff Daily sales'!$B1334="","",TRIM('Staff Daily sales'!$B1334&amp;""))</f>
        <v/>
      </c>
      <c r="B1349" t="str">
        <f>IF('Staff Daily sales'!$D1334="","",TRIM('Staff Daily sales'!$D1334&amp;""))</f>
        <v/>
      </c>
      <c r="C1349" t="str">
        <f>IFERROR(TRIM('Staff Daily sales'!$E1334&amp;""),"")</f>
        <v/>
      </c>
      <c r="D1349" t="str">
        <f>IFERROR(IF(TRIM('Staff Daily sales'!$F1334&amp;"")="","Unassigned",TRIM('Staff Daily sales'!$F1334&amp;"")),"Unassigned")</f>
        <v>Unassigned</v>
      </c>
      <c r="E1349">
        <f t="shared" si="346"/>
        <v>0</v>
      </c>
      <c r="F1349">
        <f>IF($E1349=0,0,SUMPRODUCT($AI$5:$DF$5,'Staff Daily sales'!$G1334:$CD1334))</f>
        <v>0</v>
      </c>
      <c r="G1349">
        <f>IF($E1349=0,0,SUMPRODUCT($AI$6:$DF$6,'Staff Daily sales'!$G1334:$CD1334))</f>
        <v>0</v>
      </c>
      <c r="H1349">
        <f t="shared" si="347"/>
        <v>0</v>
      </c>
      <c r="I1349">
        <f t="shared" si="348"/>
        <v>0</v>
      </c>
      <c r="J1349">
        <f t="shared" si="349"/>
        <v>0</v>
      </c>
      <c r="K1349">
        <f t="shared" si="350"/>
        <v>0</v>
      </c>
      <c r="L1349">
        <f>--AND($E1349=1,OR('Staff Dashboard'!$B$6="All",$DH1349='Staff Dashboard'!$B$6),OR('Staff Dashboard'!$B$7="All",$D1349='Staff Dashboard'!$B$7),OR('Staff Dashboard'!$B$8="All",$A1349='Staff Dashboard'!$B$8))</f>
        <v>0</v>
      </c>
      <c r="M1349">
        <f>IF($E1349=0,0,SUMPRODUCT($AI$7:$DF$7,'Staff Daily sales'!$G1334:$CD1334))</f>
        <v>0</v>
      </c>
      <c r="N1349">
        <f>IF($E1349=0,0,SUMPRODUCT($AI$8:$DF$8,'Staff Daily sales'!$G1334:$CD1334))</f>
        <v>0</v>
      </c>
      <c r="O1349">
        <f>IF($E1349=0,0,SUMPRODUCT($AI$9:$DF$9,'Staff Daily sales'!$G1334:$CD1334))</f>
        <v>0</v>
      </c>
      <c r="P1349">
        <f>IF($E1349=0,0,SUMPRODUCT($AI$10:$DF$10,'Staff Daily sales'!$G1334:$CD1334))</f>
        <v>0</v>
      </c>
      <c r="Q1349">
        <f>IF($E1349=0,0,SUMPRODUCT($AI$11:$DF$11,'Staff Daily sales'!$G1334:$CD1334))</f>
        <v>0</v>
      </c>
      <c r="R1349">
        <f>IF($E1349=0,0,SUMPRODUCT($AI$12:$DF$12,'Staff Daily sales'!$G1334:$CD1334))</f>
        <v>0</v>
      </c>
      <c r="S1349">
        <f>IF($E1349=0,0,SUMPRODUCT($AI$13:$DF$13,'Staff Daily sales'!$G1334:$CD1334))</f>
        <v>0</v>
      </c>
      <c r="T1349">
        <f>IF($E1349=0,0,SUMPRODUCT($AI$14:$DF$14,'Staff Daily sales'!$G1334:$CD1334))</f>
        <v>0</v>
      </c>
      <c r="U1349">
        <f>IF($E1349=0,0,SUMPRODUCT($AI$15:$DF$15,'Staff Daily sales'!$G1334:$CD1334))</f>
        <v>0</v>
      </c>
      <c r="V1349">
        <f>IF($E1349=0,0,SUMPRODUCT($AI$16:$DF$16,'Staff Daily sales'!$G1334:$CD1334))</f>
        <v>0</v>
      </c>
      <c r="W1349">
        <f t="shared" si="351"/>
        <v>0</v>
      </c>
      <c r="X1349">
        <f t="shared" si="352"/>
        <v>0</v>
      </c>
      <c r="Y1349">
        <f t="shared" si="353"/>
        <v>0</v>
      </c>
      <c r="Z1349">
        <f t="shared" si="354"/>
        <v>0</v>
      </c>
      <c r="AA1349">
        <f t="shared" si="355"/>
        <v>0</v>
      </c>
      <c r="AB1349">
        <f>--AND($E1349=1,OR('Staff Weekly Trend'!$B$3="All",$DH1349='Staff Weekly Trend'!$B$3),OR('Staff Weekly Trend'!$B$4="All",$D1349='Staff Weekly Trend'!$B$4),OR('Staff Weekly Trend'!$B$5="All",$A1349='Staff Weekly Trend'!$B$5))</f>
        <v>0</v>
      </c>
      <c r="AC1349" t="str">
        <f t="shared" si="356"/>
        <v/>
      </c>
      <c r="AI1349">
        <f t="shared" si="357"/>
        <v>0</v>
      </c>
      <c r="AJ1349">
        <f t="shared" si="358"/>
        <v>0</v>
      </c>
      <c r="AK1349">
        <f t="shared" si="359"/>
        <v>0</v>
      </c>
      <c r="AL1349">
        <f t="shared" si="360"/>
        <v>0</v>
      </c>
      <c r="AM1349">
        <f t="shared" si="361"/>
        <v>0</v>
      </c>
      <c r="DH1349" t="str" cm="1">
        <f t="array" ref="DH1349">IF($A1349="","",_xlfn.LET(_xlpm.c,IFERROR(_xlfn.XLOOKUP($A1349,TRIM('Sales and count'!$A$4:$A$300&amp;""),TRIM('Sales and count'!$B$4:$B$300&amp;"")),""),IF(OR(_xlpm.c="",_xlpm.c="0",LEFT(_xlpm.c,1)="#"),"Not set",_xlpm.c)))</f>
        <v/>
      </c>
    </row>
    <row r="1350" spans="1:112" x14ac:dyDescent="0.25">
      <c r="A1350" t="str">
        <f>IF('Staff Daily sales'!$B1335="","",TRIM('Staff Daily sales'!$B1335&amp;""))</f>
        <v/>
      </c>
      <c r="B1350" t="str">
        <f>IF('Staff Daily sales'!$D1335="","",TRIM('Staff Daily sales'!$D1335&amp;""))</f>
        <v/>
      </c>
      <c r="C1350" t="str">
        <f>IFERROR(TRIM('Staff Daily sales'!$E1335&amp;""),"")</f>
        <v/>
      </c>
      <c r="D1350" t="str">
        <f>IFERROR(IF(TRIM('Staff Daily sales'!$F1335&amp;"")="","Unassigned",TRIM('Staff Daily sales'!$F1335&amp;"")),"Unassigned")</f>
        <v>Unassigned</v>
      </c>
      <c r="E1350">
        <f t="shared" si="346"/>
        <v>0</v>
      </c>
      <c r="F1350">
        <f>IF($E1350=0,0,SUMPRODUCT($AI$5:$DF$5,'Staff Daily sales'!$G1335:$CD1335))</f>
        <v>0</v>
      </c>
      <c r="G1350">
        <f>IF($E1350=0,0,SUMPRODUCT($AI$6:$DF$6,'Staff Daily sales'!$G1335:$CD1335))</f>
        <v>0</v>
      </c>
      <c r="H1350">
        <f t="shared" si="347"/>
        <v>0</v>
      </c>
      <c r="I1350">
        <f t="shared" si="348"/>
        <v>0</v>
      </c>
      <c r="J1350">
        <f t="shared" si="349"/>
        <v>0</v>
      </c>
      <c r="K1350">
        <f t="shared" si="350"/>
        <v>0</v>
      </c>
      <c r="L1350">
        <f>--AND($E1350=1,OR('Staff Dashboard'!$B$6="All",$DH1350='Staff Dashboard'!$B$6),OR('Staff Dashboard'!$B$7="All",$D1350='Staff Dashboard'!$B$7),OR('Staff Dashboard'!$B$8="All",$A1350='Staff Dashboard'!$B$8))</f>
        <v>0</v>
      </c>
      <c r="M1350">
        <f>IF($E1350=0,0,SUMPRODUCT($AI$7:$DF$7,'Staff Daily sales'!$G1335:$CD1335))</f>
        <v>0</v>
      </c>
      <c r="N1350">
        <f>IF($E1350=0,0,SUMPRODUCT($AI$8:$DF$8,'Staff Daily sales'!$G1335:$CD1335))</f>
        <v>0</v>
      </c>
      <c r="O1350">
        <f>IF($E1350=0,0,SUMPRODUCT($AI$9:$DF$9,'Staff Daily sales'!$G1335:$CD1335))</f>
        <v>0</v>
      </c>
      <c r="P1350">
        <f>IF($E1350=0,0,SUMPRODUCT($AI$10:$DF$10,'Staff Daily sales'!$G1335:$CD1335))</f>
        <v>0</v>
      </c>
      <c r="Q1350">
        <f>IF($E1350=0,0,SUMPRODUCT($AI$11:$DF$11,'Staff Daily sales'!$G1335:$CD1335))</f>
        <v>0</v>
      </c>
      <c r="R1350">
        <f>IF($E1350=0,0,SUMPRODUCT($AI$12:$DF$12,'Staff Daily sales'!$G1335:$CD1335))</f>
        <v>0</v>
      </c>
      <c r="S1350">
        <f>IF($E1350=0,0,SUMPRODUCT($AI$13:$DF$13,'Staff Daily sales'!$G1335:$CD1335))</f>
        <v>0</v>
      </c>
      <c r="T1350">
        <f>IF($E1350=0,0,SUMPRODUCT($AI$14:$DF$14,'Staff Daily sales'!$G1335:$CD1335))</f>
        <v>0</v>
      </c>
      <c r="U1350">
        <f>IF($E1350=0,0,SUMPRODUCT($AI$15:$DF$15,'Staff Daily sales'!$G1335:$CD1335))</f>
        <v>0</v>
      </c>
      <c r="V1350">
        <f>IF($E1350=0,0,SUMPRODUCT($AI$16:$DF$16,'Staff Daily sales'!$G1335:$CD1335))</f>
        <v>0</v>
      </c>
      <c r="W1350">
        <f t="shared" si="351"/>
        <v>0</v>
      </c>
      <c r="X1350">
        <f t="shared" si="352"/>
        <v>0</v>
      </c>
      <c r="Y1350">
        <f t="shared" si="353"/>
        <v>0</v>
      </c>
      <c r="Z1350">
        <f t="shared" si="354"/>
        <v>0</v>
      </c>
      <c r="AA1350">
        <f t="shared" si="355"/>
        <v>0</v>
      </c>
      <c r="AB1350">
        <f>--AND($E1350=1,OR('Staff Weekly Trend'!$B$3="All",$DH1350='Staff Weekly Trend'!$B$3),OR('Staff Weekly Trend'!$B$4="All",$D1350='Staff Weekly Trend'!$B$4),OR('Staff Weekly Trend'!$B$5="All",$A1350='Staff Weekly Trend'!$B$5))</f>
        <v>0</v>
      </c>
      <c r="AC1350" t="str">
        <f t="shared" si="356"/>
        <v/>
      </c>
      <c r="AI1350">
        <f t="shared" si="357"/>
        <v>0</v>
      </c>
      <c r="AJ1350">
        <f t="shared" si="358"/>
        <v>0</v>
      </c>
      <c r="AK1350">
        <f t="shared" si="359"/>
        <v>0</v>
      </c>
      <c r="AL1350">
        <f t="shared" si="360"/>
        <v>0</v>
      </c>
      <c r="AM1350">
        <f t="shared" si="361"/>
        <v>0</v>
      </c>
      <c r="DH1350" t="str" cm="1">
        <f t="array" ref="DH1350">IF($A1350="","",_xlfn.LET(_xlpm.c,IFERROR(_xlfn.XLOOKUP($A1350,TRIM('Sales and count'!$A$4:$A$300&amp;""),TRIM('Sales and count'!$B$4:$B$300&amp;"")),""),IF(OR(_xlpm.c="",_xlpm.c="0",LEFT(_xlpm.c,1)="#"),"Not set",_xlpm.c)))</f>
        <v/>
      </c>
    </row>
    <row r="1351" spans="1:112" x14ac:dyDescent="0.25">
      <c r="A1351" t="str">
        <f>IF('Staff Daily sales'!$B1336="","",TRIM('Staff Daily sales'!$B1336&amp;""))</f>
        <v/>
      </c>
      <c r="B1351" t="str">
        <f>IF('Staff Daily sales'!$D1336="","",TRIM('Staff Daily sales'!$D1336&amp;""))</f>
        <v/>
      </c>
      <c r="C1351" t="str">
        <f>IFERROR(TRIM('Staff Daily sales'!$E1336&amp;""),"")</f>
        <v/>
      </c>
      <c r="D1351" t="str">
        <f>IFERROR(IF(TRIM('Staff Daily sales'!$F1336&amp;"")="","Unassigned",TRIM('Staff Daily sales'!$F1336&amp;"")),"Unassigned")</f>
        <v>Unassigned</v>
      </c>
      <c r="E1351">
        <f t="shared" si="346"/>
        <v>0</v>
      </c>
      <c r="F1351">
        <f>IF($E1351=0,0,SUMPRODUCT($AI$5:$DF$5,'Staff Daily sales'!$G1336:$CD1336))</f>
        <v>0</v>
      </c>
      <c r="G1351">
        <f>IF($E1351=0,0,SUMPRODUCT($AI$6:$DF$6,'Staff Daily sales'!$G1336:$CD1336))</f>
        <v>0</v>
      </c>
      <c r="H1351">
        <f t="shared" si="347"/>
        <v>0</v>
      </c>
      <c r="I1351">
        <f t="shared" si="348"/>
        <v>0</v>
      </c>
      <c r="J1351">
        <f t="shared" si="349"/>
        <v>0</v>
      </c>
      <c r="K1351">
        <f t="shared" si="350"/>
        <v>0</v>
      </c>
      <c r="L1351">
        <f>--AND($E1351=1,OR('Staff Dashboard'!$B$6="All",$DH1351='Staff Dashboard'!$B$6),OR('Staff Dashboard'!$B$7="All",$D1351='Staff Dashboard'!$B$7),OR('Staff Dashboard'!$B$8="All",$A1351='Staff Dashboard'!$B$8))</f>
        <v>0</v>
      </c>
      <c r="M1351">
        <f>IF($E1351=0,0,SUMPRODUCT($AI$7:$DF$7,'Staff Daily sales'!$G1336:$CD1336))</f>
        <v>0</v>
      </c>
      <c r="N1351">
        <f>IF($E1351=0,0,SUMPRODUCT($AI$8:$DF$8,'Staff Daily sales'!$G1336:$CD1336))</f>
        <v>0</v>
      </c>
      <c r="O1351">
        <f>IF($E1351=0,0,SUMPRODUCT($AI$9:$DF$9,'Staff Daily sales'!$G1336:$CD1336))</f>
        <v>0</v>
      </c>
      <c r="P1351">
        <f>IF($E1351=0,0,SUMPRODUCT($AI$10:$DF$10,'Staff Daily sales'!$G1336:$CD1336))</f>
        <v>0</v>
      </c>
      <c r="Q1351">
        <f>IF($E1351=0,0,SUMPRODUCT($AI$11:$DF$11,'Staff Daily sales'!$G1336:$CD1336))</f>
        <v>0</v>
      </c>
      <c r="R1351">
        <f>IF($E1351=0,0,SUMPRODUCT($AI$12:$DF$12,'Staff Daily sales'!$G1336:$CD1336))</f>
        <v>0</v>
      </c>
      <c r="S1351">
        <f>IF($E1351=0,0,SUMPRODUCT($AI$13:$DF$13,'Staff Daily sales'!$G1336:$CD1336))</f>
        <v>0</v>
      </c>
      <c r="T1351">
        <f>IF($E1351=0,0,SUMPRODUCT($AI$14:$DF$14,'Staff Daily sales'!$G1336:$CD1336))</f>
        <v>0</v>
      </c>
      <c r="U1351">
        <f>IF($E1351=0,0,SUMPRODUCT($AI$15:$DF$15,'Staff Daily sales'!$G1336:$CD1336))</f>
        <v>0</v>
      </c>
      <c r="V1351">
        <f>IF($E1351=0,0,SUMPRODUCT($AI$16:$DF$16,'Staff Daily sales'!$G1336:$CD1336))</f>
        <v>0</v>
      </c>
      <c r="W1351">
        <f t="shared" si="351"/>
        <v>0</v>
      </c>
      <c r="X1351">
        <f t="shared" si="352"/>
        <v>0</v>
      </c>
      <c r="Y1351">
        <f t="shared" si="353"/>
        <v>0</v>
      </c>
      <c r="Z1351">
        <f t="shared" si="354"/>
        <v>0</v>
      </c>
      <c r="AA1351">
        <f t="shared" si="355"/>
        <v>0</v>
      </c>
      <c r="AB1351">
        <f>--AND($E1351=1,OR('Staff Weekly Trend'!$B$3="All",$DH1351='Staff Weekly Trend'!$B$3),OR('Staff Weekly Trend'!$B$4="All",$D1351='Staff Weekly Trend'!$B$4),OR('Staff Weekly Trend'!$B$5="All",$A1351='Staff Weekly Trend'!$B$5))</f>
        <v>0</v>
      </c>
      <c r="AC1351" t="str">
        <f t="shared" si="356"/>
        <v/>
      </c>
      <c r="AI1351">
        <f t="shared" si="357"/>
        <v>0</v>
      </c>
      <c r="AJ1351">
        <f t="shared" si="358"/>
        <v>0</v>
      </c>
      <c r="AK1351">
        <f t="shared" si="359"/>
        <v>0</v>
      </c>
      <c r="AL1351">
        <f t="shared" si="360"/>
        <v>0</v>
      </c>
      <c r="AM1351">
        <f t="shared" si="361"/>
        <v>0</v>
      </c>
      <c r="DH1351" t="str" cm="1">
        <f t="array" ref="DH1351">IF($A1351="","",_xlfn.LET(_xlpm.c,IFERROR(_xlfn.XLOOKUP($A1351,TRIM('Sales and count'!$A$4:$A$300&amp;""),TRIM('Sales and count'!$B$4:$B$300&amp;"")),""),IF(OR(_xlpm.c="",_xlpm.c="0",LEFT(_xlpm.c,1)="#"),"Not set",_xlpm.c)))</f>
        <v/>
      </c>
    </row>
    <row r="1352" spans="1:112" x14ac:dyDescent="0.25">
      <c r="A1352" t="str">
        <f>IF('Staff Daily sales'!$B1337="","",TRIM('Staff Daily sales'!$B1337&amp;""))</f>
        <v/>
      </c>
      <c r="B1352" t="str">
        <f>IF('Staff Daily sales'!$D1337="","",TRIM('Staff Daily sales'!$D1337&amp;""))</f>
        <v/>
      </c>
      <c r="C1352" t="str">
        <f>IFERROR(TRIM('Staff Daily sales'!$E1337&amp;""),"")</f>
        <v/>
      </c>
      <c r="D1352" t="str">
        <f>IFERROR(IF(TRIM('Staff Daily sales'!$F1337&amp;"")="","Unassigned",TRIM('Staff Daily sales'!$F1337&amp;"")),"Unassigned")</f>
        <v>Unassigned</v>
      </c>
      <c r="E1352">
        <f t="shared" si="346"/>
        <v>0</v>
      </c>
      <c r="F1352">
        <f>IF($E1352=0,0,SUMPRODUCT($AI$5:$DF$5,'Staff Daily sales'!$G1337:$CD1337))</f>
        <v>0</v>
      </c>
      <c r="G1352">
        <f>IF($E1352=0,0,SUMPRODUCT($AI$6:$DF$6,'Staff Daily sales'!$G1337:$CD1337))</f>
        <v>0</v>
      </c>
      <c r="H1352">
        <f t="shared" si="347"/>
        <v>0</v>
      </c>
      <c r="I1352">
        <f t="shared" si="348"/>
        <v>0</v>
      </c>
      <c r="J1352">
        <f t="shared" si="349"/>
        <v>0</v>
      </c>
      <c r="K1352">
        <f t="shared" si="350"/>
        <v>0</v>
      </c>
      <c r="L1352">
        <f>--AND($E1352=1,OR('Staff Dashboard'!$B$6="All",$DH1352='Staff Dashboard'!$B$6),OR('Staff Dashboard'!$B$7="All",$D1352='Staff Dashboard'!$B$7),OR('Staff Dashboard'!$B$8="All",$A1352='Staff Dashboard'!$B$8))</f>
        <v>0</v>
      </c>
      <c r="M1352">
        <f>IF($E1352=0,0,SUMPRODUCT($AI$7:$DF$7,'Staff Daily sales'!$G1337:$CD1337))</f>
        <v>0</v>
      </c>
      <c r="N1352">
        <f>IF($E1352=0,0,SUMPRODUCT($AI$8:$DF$8,'Staff Daily sales'!$G1337:$CD1337))</f>
        <v>0</v>
      </c>
      <c r="O1352">
        <f>IF($E1352=0,0,SUMPRODUCT($AI$9:$DF$9,'Staff Daily sales'!$G1337:$CD1337))</f>
        <v>0</v>
      </c>
      <c r="P1352">
        <f>IF($E1352=0,0,SUMPRODUCT($AI$10:$DF$10,'Staff Daily sales'!$G1337:$CD1337))</f>
        <v>0</v>
      </c>
      <c r="Q1352">
        <f>IF($E1352=0,0,SUMPRODUCT($AI$11:$DF$11,'Staff Daily sales'!$G1337:$CD1337))</f>
        <v>0</v>
      </c>
      <c r="R1352">
        <f>IF($E1352=0,0,SUMPRODUCT($AI$12:$DF$12,'Staff Daily sales'!$G1337:$CD1337))</f>
        <v>0</v>
      </c>
      <c r="S1352">
        <f>IF($E1352=0,0,SUMPRODUCT($AI$13:$DF$13,'Staff Daily sales'!$G1337:$CD1337))</f>
        <v>0</v>
      </c>
      <c r="T1352">
        <f>IF($E1352=0,0,SUMPRODUCT($AI$14:$DF$14,'Staff Daily sales'!$G1337:$CD1337))</f>
        <v>0</v>
      </c>
      <c r="U1352">
        <f>IF($E1352=0,0,SUMPRODUCT($AI$15:$DF$15,'Staff Daily sales'!$G1337:$CD1337))</f>
        <v>0</v>
      </c>
      <c r="V1352">
        <f>IF($E1352=0,0,SUMPRODUCT($AI$16:$DF$16,'Staff Daily sales'!$G1337:$CD1337))</f>
        <v>0</v>
      </c>
      <c r="W1352">
        <f t="shared" si="351"/>
        <v>0</v>
      </c>
      <c r="X1352">
        <f t="shared" si="352"/>
        <v>0</v>
      </c>
      <c r="Y1352">
        <f t="shared" si="353"/>
        <v>0</v>
      </c>
      <c r="Z1352">
        <f t="shared" si="354"/>
        <v>0</v>
      </c>
      <c r="AA1352">
        <f t="shared" si="355"/>
        <v>0</v>
      </c>
      <c r="AB1352">
        <f>--AND($E1352=1,OR('Staff Weekly Trend'!$B$3="All",$DH1352='Staff Weekly Trend'!$B$3),OR('Staff Weekly Trend'!$B$4="All",$D1352='Staff Weekly Trend'!$B$4),OR('Staff Weekly Trend'!$B$5="All",$A1352='Staff Weekly Trend'!$B$5))</f>
        <v>0</v>
      </c>
      <c r="AC1352" t="str">
        <f t="shared" si="356"/>
        <v/>
      </c>
      <c r="AI1352">
        <f t="shared" si="357"/>
        <v>0</v>
      </c>
      <c r="AJ1352">
        <f t="shared" si="358"/>
        <v>0</v>
      </c>
      <c r="AK1352">
        <f t="shared" si="359"/>
        <v>0</v>
      </c>
      <c r="AL1352">
        <f t="shared" si="360"/>
        <v>0</v>
      </c>
      <c r="AM1352">
        <f t="shared" si="361"/>
        <v>0</v>
      </c>
      <c r="DH1352" t="str" cm="1">
        <f t="array" ref="DH1352">IF($A1352="","",_xlfn.LET(_xlpm.c,IFERROR(_xlfn.XLOOKUP($A1352,TRIM('Sales and count'!$A$4:$A$300&amp;""),TRIM('Sales and count'!$B$4:$B$300&amp;"")),""),IF(OR(_xlpm.c="",_xlpm.c="0",LEFT(_xlpm.c,1)="#"),"Not set",_xlpm.c)))</f>
        <v/>
      </c>
    </row>
    <row r="1353" spans="1:112" x14ac:dyDescent="0.25">
      <c r="A1353" t="str">
        <f>IF('Staff Daily sales'!$B1338="","",TRIM('Staff Daily sales'!$B1338&amp;""))</f>
        <v/>
      </c>
      <c r="B1353" t="str">
        <f>IF('Staff Daily sales'!$D1338="","",TRIM('Staff Daily sales'!$D1338&amp;""))</f>
        <v/>
      </c>
      <c r="C1353" t="str">
        <f>IFERROR(TRIM('Staff Daily sales'!$E1338&amp;""),"")</f>
        <v/>
      </c>
      <c r="D1353" t="str">
        <f>IFERROR(IF(TRIM('Staff Daily sales'!$F1338&amp;"")="","Unassigned",TRIM('Staff Daily sales'!$F1338&amp;"")),"Unassigned")</f>
        <v>Unassigned</v>
      </c>
      <c r="E1353">
        <f t="shared" si="346"/>
        <v>0</v>
      </c>
      <c r="F1353">
        <f>IF($E1353=0,0,SUMPRODUCT($AI$5:$DF$5,'Staff Daily sales'!$G1338:$CD1338))</f>
        <v>0</v>
      </c>
      <c r="G1353">
        <f>IF($E1353=0,0,SUMPRODUCT($AI$6:$DF$6,'Staff Daily sales'!$G1338:$CD1338))</f>
        <v>0</v>
      </c>
      <c r="H1353">
        <f t="shared" si="347"/>
        <v>0</v>
      </c>
      <c r="I1353">
        <f t="shared" si="348"/>
        <v>0</v>
      </c>
      <c r="J1353">
        <f t="shared" si="349"/>
        <v>0</v>
      </c>
      <c r="K1353">
        <f t="shared" si="350"/>
        <v>0</v>
      </c>
      <c r="L1353">
        <f>--AND($E1353=1,OR('Staff Dashboard'!$B$6="All",$DH1353='Staff Dashboard'!$B$6),OR('Staff Dashboard'!$B$7="All",$D1353='Staff Dashboard'!$B$7),OR('Staff Dashboard'!$B$8="All",$A1353='Staff Dashboard'!$B$8))</f>
        <v>0</v>
      </c>
      <c r="M1353">
        <f>IF($E1353=0,0,SUMPRODUCT($AI$7:$DF$7,'Staff Daily sales'!$G1338:$CD1338))</f>
        <v>0</v>
      </c>
      <c r="N1353">
        <f>IF($E1353=0,0,SUMPRODUCT($AI$8:$DF$8,'Staff Daily sales'!$G1338:$CD1338))</f>
        <v>0</v>
      </c>
      <c r="O1353">
        <f>IF($E1353=0,0,SUMPRODUCT($AI$9:$DF$9,'Staff Daily sales'!$G1338:$CD1338))</f>
        <v>0</v>
      </c>
      <c r="P1353">
        <f>IF($E1353=0,0,SUMPRODUCT($AI$10:$DF$10,'Staff Daily sales'!$G1338:$CD1338))</f>
        <v>0</v>
      </c>
      <c r="Q1353">
        <f>IF($E1353=0,0,SUMPRODUCT($AI$11:$DF$11,'Staff Daily sales'!$G1338:$CD1338))</f>
        <v>0</v>
      </c>
      <c r="R1353">
        <f>IF($E1353=0,0,SUMPRODUCT($AI$12:$DF$12,'Staff Daily sales'!$G1338:$CD1338))</f>
        <v>0</v>
      </c>
      <c r="S1353">
        <f>IF($E1353=0,0,SUMPRODUCT($AI$13:$DF$13,'Staff Daily sales'!$G1338:$CD1338))</f>
        <v>0</v>
      </c>
      <c r="T1353">
        <f>IF($E1353=0,0,SUMPRODUCT($AI$14:$DF$14,'Staff Daily sales'!$G1338:$CD1338))</f>
        <v>0</v>
      </c>
      <c r="U1353">
        <f>IF($E1353=0,0,SUMPRODUCT($AI$15:$DF$15,'Staff Daily sales'!$G1338:$CD1338))</f>
        <v>0</v>
      </c>
      <c r="V1353">
        <f>IF($E1353=0,0,SUMPRODUCT($AI$16:$DF$16,'Staff Daily sales'!$G1338:$CD1338))</f>
        <v>0</v>
      </c>
      <c r="W1353">
        <f t="shared" si="351"/>
        <v>0</v>
      </c>
      <c r="X1353">
        <f t="shared" si="352"/>
        <v>0</v>
      </c>
      <c r="Y1353">
        <f t="shared" si="353"/>
        <v>0</v>
      </c>
      <c r="Z1353">
        <f t="shared" si="354"/>
        <v>0</v>
      </c>
      <c r="AA1353">
        <f t="shared" si="355"/>
        <v>0</v>
      </c>
      <c r="AB1353">
        <f>--AND($E1353=1,OR('Staff Weekly Trend'!$B$3="All",$DH1353='Staff Weekly Trend'!$B$3),OR('Staff Weekly Trend'!$B$4="All",$D1353='Staff Weekly Trend'!$B$4),OR('Staff Weekly Trend'!$B$5="All",$A1353='Staff Weekly Trend'!$B$5))</f>
        <v>0</v>
      </c>
      <c r="AC1353" t="str">
        <f t="shared" si="356"/>
        <v/>
      </c>
      <c r="AI1353">
        <f t="shared" si="357"/>
        <v>0</v>
      </c>
      <c r="AJ1353">
        <f t="shared" si="358"/>
        <v>0</v>
      </c>
      <c r="AK1353">
        <f t="shared" si="359"/>
        <v>0</v>
      </c>
      <c r="AL1353">
        <f t="shared" si="360"/>
        <v>0</v>
      </c>
      <c r="AM1353">
        <f t="shared" si="361"/>
        <v>0</v>
      </c>
      <c r="DH1353" t="str" cm="1">
        <f t="array" ref="DH1353">IF($A1353="","",_xlfn.LET(_xlpm.c,IFERROR(_xlfn.XLOOKUP($A1353,TRIM('Sales and count'!$A$4:$A$300&amp;""),TRIM('Sales and count'!$B$4:$B$300&amp;"")),""),IF(OR(_xlpm.c="",_xlpm.c="0",LEFT(_xlpm.c,1)="#"),"Not set",_xlpm.c)))</f>
        <v/>
      </c>
    </row>
    <row r="1354" spans="1:112" x14ac:dyDescent="0.25">
      <c r="A1354" t="str">
        <f>IF('Staff Daily sales'!$B1339="","",TRIM('Staff Daily sales'!$B1339&amp;""))</f>
        <v/>
      </c>
      <c r="B1354" t="str">
        <f>IF('Staff Daily sales'!$D1339="","",TRIM('Staff Daily sales'!$D1339&amp;""))</f>
        <v/>
      </c>
      <c r="C1354" t="str">
        <f>IFERROR(TRIM('Staff Daily sales'!$E1339&amp;""),"")</f>
        <v/>
      </c>
      <c r="D1354" t="str">
        <f>IFERROR(IF(TRIM('Staff Daily sales'!$F1339&amp;"")="","Unassigned",TRIM('Staff Daily sales'!$F1339&amp;"")),"Unassigned")</f>
        <v>Unassigned</v>
      </c>
      <c r="E1354">
        <f t="shared" si="346"/>
        <v>0</v>
      </c>
      <c r="F1354">
        <f>IF($E1354=0,0,SUMPRODUCT($AI$5:$DF$5,'Staff Daily sales'!$G1339:$CD1339))</f>
        <v>0</v>
      </c>
      <c r="G1354">
        <f>IF($E1354=0,0,SUMPRODUCT($AI$6:$DF$6,'Staff Daily sales'!$G1339:$CD1339))</f>
        <v>0</v>
      </c>
      <c r="H1354">
        <f t="shared" si="347"/>
        <v>0</v>
      </c>
      <c r="I1354">
        <f t="shared" si="348"/>
        <v>0</v>
      </c>
      <c r="J1354">
        <f t="shared" si="349"/>
        <v>0</v>
      </c>
      <c r="K1354">
        <f t="shared" si="350"/>
        <v>0</v>
      </c>
      <c r="L1354">
        <f>--AND($E1354=1,OR('Staff Dashboard'!$B$6="All",$DH1354='Staff Dashboard'!$B$6),OR('Staff Dashboard'!$B$7="All",$D1354='Staff Dashboard'!$B$7),OR('Staff Dashboard'!$B$8="All",$A1354='Staff Dashboard'!$B$8))</f>
        <v>0</v>
      </c>
      <c r="M1354">
        <f>IF($E1354=0,0,SUMPRODUCT($AI$7:$DF$7,'Staff Daily sales'!$G1339:$CD1339))</f>
        <v>0</v>
      </c>
      <c r="N1354">
        <f>IF($E1354=0,0,SUMPRODUCT($AI$8:$DF$8,'Staff Daily sales'!$G1339:$CD1339))</f>
        <v>0</v>
      </c>
      <c r="O1354">
        <f>IF($E1354=0,0,SUMPRODUCT($AI$9:$DF$9,'Staff Daily sales'!$G1339:$CD1339))</f>
        <v>0</v>
      </c>
      <c r="P1354">
        <f>IF($E1354=0,0,SUMPRODUCT($AI$10:$DF$10,'Staff Daily sales'!$G1339:$CD1339))</f>
        <v>0</v>
      </c>
      <c r="Q1354">
        <f>IF($E1354=0,0,SUMPRODUCT($AI$11:$DF$11,'Staff Daily sales'!$G1339:$CD1339))</f>
        <v>0</v>
      </c>
      <c r="R1354">
        <f>IF($E1354=0,0,SUMPRODUCT($AI$12:$DF$12,'Staff Daily sales'!$G1339:$CD1339))</f>
        <v>0</v>
      </c>
      <c r="S1354">
        <f>IF($E1354=0,0,SUMPRODUCT($AI$13:$DF$13,'Staff Daily sales'!$G1339:$CD1339))</f>
        <v>0</v>
      </c>
      <c r="T1354">
        <f>IF($E1354=0,0,SUMPRODUCT($AI$14:$DF$14,'Staff Daily sales'!$G1339:$CD1339))</f>
        <v>0</v>
      </c>
      <c r="U1354">
        <f>IF($E1354=0,0,SUMPRODUCT($AI$15:$DF$15,'Staff Daily sales'!$G1339:$CD1339))</f>
        <v>0</v>
      </c>
      <c r="V1354">
        <f>IF($E1354=0,0,SUMPRODUCT($AI$16:$DF$16,'Staff Daily sales'!$G1339:$CD1339))</f>
        <v>0</v>
      </c>
      <c r="W1354">
        <f t="shared" si="351"/>
        <v>0</v>
      </c>
      <c r="X1354">
        <f t="shared" si="352"/>
        <v>0</v>
      </c>
      <c r="Y1354">
        <f t="shared" si="353"/>
        <v>0</v>
      </c>
      <c r="Z1354">
        <f t="shared" si="354"/>
        <v>0</v>
      </c>
      <c r="AA1354">
        <f t="shared" si="355"/>
        <v>0</v>
      </c>
      <c r="AB1354">
        <f>--AND($E1354=1,OR('Staff Weekly Trend'!$B$3="All",$DH1354='Staff Weekly Trend'!$B$3),OR('Staff Weekly Trend'!$B$4="All",$D1354='Staff Weekly Trend'!$B$4),OR('Staff Weekly Trend'!$B$5="All",$A1354='Staff Weekly Trend'!$B$5))</f>
        <v>0</v>
      </c>
      <c r="AC1354" t="str">
        <f t="shared" si="356"/>
        <v/>
      </c>
      <c r="AI1354">
        <f t="shared" si="357"/>
        <v>0</v>
      </c>
      <c r="AJ1354">
        <f t="shared" si="358"/>
        <v>0</v>
      </c>
      <c r="AK1354">
        <f t="shared" si="359"/>
        <v>0</v>
      </c>
      <c r="AL1354">
        <f t="shared" si="360"/>
        <v>0</v>
      </c>
      <c r="AM1354">
        <f t="shared" si="361"/>
        <v>0</v>
      </c>
      <c r="DH1354" t="str" cm="1">
        <f t="array" ref="DH1354">IF($A1354="","",_xlfn.LET(_xlpm.c,IFERROR(_xlfn.XLOOKUP($A1354,TRIM('Sales and count'!$A$4:$A$300&amp;""),TRIM('Sales and count'!$B$4:$B$300&amp;"")),""),IF(OR(_xlpm.c="",_xlpm.c="0",LEFT(_xlpm.c,1)="#"),"Not set",_xlpm.c)))</f>
        <v/>
      </c>
    </row>
    <row r="1355" spans="1:112" x14ac:dyDescent="0.25">
      <c r="A1355" t="str">
        <f>IF('Staff Daily sales'!$B1340="","",TRIM('Staff Daily sales'!$B1340&amp;""))</f>
        <v/>
      </c>
      <c r="B1355" t="str">
        <f>IF('Staff Daily sales'!$D1340="","",TRIM('Staff Daily sales'!$D1340&amp;""))</f>
        <v/>
      </c>
      <c r="C1355" t="str">
        <f>IFERROR(TRIM('Staff Daily sales'!$E1340&amp;""),"")</f>
        <v/>
      </c>
      <c r="D1355" t="str">
        <f>IFERROR(IF(TRIM('Staff Daily sales'!$F1340&amp;"")="","Unassigned",TRIM('Staff Daily sales'!$F1340&amp;"")),"Unassigned")</f>
        <v>Unassigned</v>
      </c>
      <c r="E1355">
        <f t="shared" si="346"/>
        <v>0</v>
      </c>
      <c r="F1355">
        <f>IF($E1355=0,0,SUMPRODUCT($AI$5:$DF$5,'Staff Daily sales'!$G1340:$CD1340))</f>
        <v>0</v>
      </c>
      <c r="G1355">
        <f>IF($E1355=0,0,SUMPRODUCT($AI$6:$DF$6,'Staff Daily sales'!$G1340:$CD1340))</f>
        <v>0</v>
      </c>
      <c r="H1355">
        <f t="shared" si="347"/>
        <v>0</v>
      </c>
      <c r="I1355">
        <f t="shared" si="348"/>
        <v>0</v>
      </c>
      <c r="J1355">
        <f t="shared" si="349"/>
        <v>0</v>
      </c>
      <c r="K1355">
        <f t="shared" si="350"/>
        <v>0</v>
      </c>
      <c r="L1355">
        <f>--AND($E1355=1,OR('Staff Dashboard'!$B$6="All",$DH1355='Staff Dashboard'!$B$6),OR('Staff Dashboard'!$B$7="All",$D1355='Staff Dashboard'!$B$7),OR('Staff Dashboard'!$B$8="All",$A1355='Staff Dashboard'!$B$8))</f>
        <v>0</v>
      </c>
      <c r="M1355">
        <f>IF($E1355=0,0,SUMPRODUCT($AI$7:$DF$7,'Staff Daily sales'!$G1340:$CD1340))</f>
        <v>0</v>
      </c>
      <c r="N1355">
        <f>IF($E1355=0,0,SUMPRODUCT($AI$8:$DF$8,'Staff Daily sales'!$G1340:$CD1340))</f>
        <v>0</v>
      </c>
      <c r="O1355">
        <f>IF($E1355=0,0,SUMPRODUCT($AI$9:$DF$9,'Staff Daily sales'!$G1340:$CD1340))</f>
        <v>0</v>
      </c>
      <c r="P1355">
        <f>IF($E1355=0,0,SUMPRODUCT($AI$10:$DF$10,'Staff Daily sales'!$G1340:$CD1340))</f>
        <v>0</v>
      </c>
      <c r="Q1355">
        <f>IF($E1355=0,0,SUMPRODUCT($AI$11:$DF$11,'Staff Daily sales'!$G1340:$CD1340))</f>
        <v>0</v>
      </c>
      <c r="R1355">
        <f>IF($E1355=0,0,SUMPRODUCT($AI$12:$DF$12,'Staff Daily sales'!$G1340:$CD1340))</f>
        <v>0</v>
      </c>
      <c r="S1355">
        <f>IF($E1355=0,0,SUMPRODUCT($AI$13:$DF$13,'Staff Daily sales'!$G1340:$CD1340))</f>
        <v>0</v>
      </c>
      <c r="T1355">
        <f>IF($E1355=0,0,SUMPRODUCT($AI$14:$DF$14,'Staff Daily sales'!$G1340:$CD1340))</f>
        <v>0</v>
      </c>
      <c r="U1355">
        <f>IF($E1355=0,0,SUMPRODUCT($AI$15:$DF$15,'Staff Daily sales'!$G1340:$CD1340))</f>
        <v>0</v>
      </c>
      <c r="V1355">
        <f>IF($E1355=0,0,SUMPRODUCT($AI$16:$DF$16,'Staff Daily sales'!$G1340:$CD1340))</f>
        <v>0</v>
      </c>
      <c r="W1355">
        <f t="shared" si="351"/>
        <v>0</v>
      </c>
      <c r="X1355">
        <f t="shared" si="352"/>
        <v>0</v>
      </c>
      <c r="Y1355">
        <f t="shared" si="353"/>
        <v>0</v>
      </c>
      <c r="Z1355">
        <f t="shared" si="354"/>
        <v>0</v>
      </c>
      <c r="AA1355">
        <f t="shared" si="355"/>
        <v>0</v>
      </c>
      <c r="AB1355">
        <f>--AND($E1355=1,OR('Staff Weekly Trend'!$B$3="All",$DH1355='Staff Weekly Trend'!$B$3),OR('Staff Weekly Trend'!$B$4="All",$D1355='Staff Weekly Trend'!$B$4),OR('Staff Weekly Trend'!$B$5="All",$A1355='Staff Weekly Trend'!$B$5))</f>
        <v>0</v>
      </c>
      <c r="AC1355" t="str">
        <f t="shared" si="356"/>
        <v/>
      </c>
      <c r="AI1355">
        <f t="shared" si="357"/>
        <v>0</v>
      </c>
      <c r="AJ1355">
        <f t="shared" si="358"/>
        <v>0</v>
      </c>
      <c r="AK1355">
        <f t="shared" si="359"/>
        <v>0</v>
      </c>
      <c r="AL1355">
        <f t="shared" si="360"/>
        <v>0</v>
      </c>
      <c r="AM1355">
        <f t="shared" si="361"/>
        <v>0</v>
      </c>
      <c r="DH1355" t="str" cm="1">
        <f t="array" ref="DH1355">IF($A1355="","",_xlfn.LET(_xlpm.c,IFERROR(_xlfn.XLOOKUP($A1355,TRIM('Sales and count'!$A$4:$A$300&amp;""),TRIM('Sales and count'!$B$4:$B$300&amp;"")),""),IF(OR(_xlpm.c="",_xlpm.c="0",LEFT(_xlpm.c,1)="#"),"Not set",_xlpm.c)))</f>
        <v/>
      </c>
    </row>
    <row r="1356" spans="1:112" x14ac:dyDescent="0.25">
      <c r="A1356" t="str">
        <f>IF('Staff Daily sales'!$B1341="","",TRIM('Staff Daily sales'!$B1341&amp;""))</f>
        <v/>
      </c>
      <c r="B1356" t="str">
        <f>IF('Staff Daily sales'!$D1341="","",TRIM('Staff Daily sales'!$D1341&amp;""))</f>
        <v/>
      </c>
      <c r="C1356" t="str">
        <f>IFERROR(TRIM('Staff Daily sales'!$E1341&amp;""),"")</f>
        <v/>
      </c>
      <c r="D1356" t="str">
        <f>IFERROR(IF(TRIM('Staff Daily sales'!$F1341&amp;"")="","Unassigned",TRIM('Staff Daily sales'!$F1341&amp;"")),"Unassigned")</f>
        <v>Unassigned</v>
      </c>
      <c r="E1356">
        <f t="shared" si="346"/>
        <v>0</v>
      </c>
      <c r="F1356">
        <f>IF($E1356=0,0,SUMPRODUCT($AI$5:$DF$5,'Staff Daily sales'!$G1341:$CD1341))</f>
        <v>0</v>
      </c>
      <c r="G1356">
        <f>IF($E1356=0,0,SUMPRODUCT($AI$6:$DF$6,'Staff Daily sales'!$G1341:$CD1341))</f>
        <v>0</v>
      </c>
      <c r="H1356">
        <f t="shared" si="347"/>
        <v>0</v>
      </c>
      <c r="I1356">
        <f t="shared" si="348"/>
        <v>0</v>
      </c>
      <c r="J1356">
        <f t="shared" si="349"/>
        <v>0</v>
      </c>
      <c r="K1356">
        <f t="shared" si="350"/>
        <v>0</v>
      </c>
      <c r="L1356">
        <f>--AND($E1356=1,OR('Staff Dashboard'!$B$6="All",$DH1356='Staff Dashboard'!$B$6),OR('Staff Dashboard'!$B$7="All",$D1356='Staff Dashboard'!$B$7),OR('Staff Dashboard'!$B$8="All",$A1356='Staff Dashboard'!$B$8))</f>
        <v>0</v>
      </c>
      <c r="M1356">
        <f>IF($E1356=0,0,SUMPRODUCT($AI$7:$DF$7,'Staff Daily sales'!$G1341:$CD1341))</f>
        <v>0</v>
      </c>
      <c r="N1356">
        <f>IF($E1356=0,0,SUMPRODUCT($AI$8:$DF$8,'Staff Daily sales'!$G1341:$CD1341))</f>
        <v>0</v>
      </c>
      <c r="O1356">
        <f>IF($E1356=0,0,SUMPRODUCT($AI$9:$DF$9,'Staff Daily sales'!$G1341:$CD1341))</f>
        <v>0</v>
      </c>
      <c r="P1356">
        <f>IF($E1356=0,0,SUMPRODUCT($AI$10:$DF$10,'Staff Daily sales'!$G1341:$CD1341))</f>
        <v>0</v>
      </c>
      <c r="Q1356">
        <f>IF($E1356=0,0,SUMPRODUCT($AI$11:$DF$11,'Staff Daily sales'!$G1341:$CD1341))</f>
        <v>0</v>
      </c>
      <c r="R1356">
        <f>IF($E1356=0,0,SUMPRODUCT($AI$12:$DF$12,'Staff Daily sales'!$G1341:$CD1341))</f>
        <v>0</v>
      </c>
      <c r="S1356">
        <f>IF($E1356=0,0,SUMPRODUCT($AI$13:$DF$13,'Staff Daily sales'!$G1341:$CD1341))</f>
        <v>0</v>
      </c>
      <c r="T1356">
        <f>IF($E1356=0,0,SUMPRODUCT($AI$14:$DF$14,'Staff Daily sales'!$G1341:$CD1341))</f>
        <v>0</v>
      </c>
      <c r="U1356">
        <f>IF($E1356=0,0,SUMPRODUCT($AI$15:$DF$15,'Staff Daily sales'!$G1341:$CD1341))</f>
        <v>0</v>
      </c>
      <c r="V1356">
        <f>IF($E1356=0,0,SUMPRODUCT($AI$16:$DF$16,'Staff Daily sales'!$G1341:$CD1341))</f>
        <v>0</v>
      </c>
      <c r="W1356">
        <f t="shared" si="351"/>
        <v>0</v>
      </c>
      <c r="X1356">
        <f t="shared" si="352"/>
        <v>0</v>
      </c>
      <c r="Y1356">
        <f t="shared" si="353"/>
        <v>0</v>
      </c>
      <c r="Z1356">
        <f t="shared" si="354"/>
        <v>0</v>
      </c>
      <c r="AA1356">
        <f t="shared" si="355"/>
        <v>0</v>
      </c>
      <c r="AB1356">
        <f>--AND($E1356=1,OR('Staff Weekly Trend'!$B$3="All",$DH1356='Staff Weekly Trend'!$B$3),OR('Staff Weekly Trend'!$B$4="All",$D1356='Staff Weekly Trend'!$B$4),OR('Staff Weekly Trend'!$B$5="All",$A1356='Staff Weekly Trend'!$B$5))</f>
        <v>0</v>
      </c>
      <c r="AC1356" t="str">
        <f t="shared" si="356"/>
        <v/>
      </c>
      <c r="AI1356">
        <f t="shared" si="357"/>
        <v>0</v>
      </c>
      <c r="AJ1356">
        <f t="shared" si="358"/>
        <v>0</v>
      </c>
      <c r="AK1356">
        <f t="shared" si="359"/>
        <v>0</v>
      </c>
      <c r="AL1356">
        <f t="shared" si="360"/>
        <v>0</v>
      </c>
      <c r="AM1356">
        <f t="shared" si="361"/>
        <v>0</v>
      </c>
      <c r="DH1356" t="str" cm="1">
        <f t="array" ref="DH1356">IF($A1356="","",_xlfn.LET(_xlpm.c,IFERROR(_xlfn.XLOOKUP($A1356,TRIM('Sales and count'!$A$4:$A$300&amp;""),TRIM('Sales and count'!$B$4:$B$300&amp;"")),""),IF(OR(_xlpm.c="",_xlpm.c="0",LEFT(_xlpm.c,1)="#"),"Not set",_xlpm.c)))</f>
        <v/>
      </c>
    </row>
    <row r="1357" spans="1:112" x14ac:dyDescent="0.25">
      <c r="A1357" t="str">
        <f>IF('Staff Daily sales'!$B1342="","",TRIM('Staff Daily sales'!$B1342&amp;""))</f>
        <v/>
      </c>
      <c r="B1357" t="str">
        <f>IF('Staff Daily sales'!$D1342="","",TRIM('Staff Daily sales'!$D1342&amp;""))</f>
        <v/>
      </c>
      <c r="C1357" t="str">
        <f>IFERROR(TRIM('Staff Daily sales'!$E1342&amp;""),"")</f>
        <v/>
      </c>
      <c r="D1357" t="str">
        <f>IFERROR(IF(TRIM('Staff Daily sales'!$F1342&amp;"")="","Unassigned",TRIM('Staff Daily sales'!$F1342&amp;"")),"Unassigned")</f>
        <v>Unassigned</v>
      </c>
      <c r="E1357">
        <f t="shared" si="346"/>
        <v>0</v>
      </c>
      <c r="F1357">
        <f>IF($E1357=0,0,SUMPRODUCT($AI$5:$DF$5,'Staff Daily sales'!$G1342:$CD1342))</f>
        <v>0</v>
      </c>
      <c r="G1357">
        <f>IF($E1357=0,0,SUMPRODUCT($AI$6:$DF$6,'Staff Daily sales'!$G1342:$CD1342))</f>
        <v>0</v>
      </c>
      <c r="H1357">
        <f t="shared" si="347"/>
        <v>0</v>
      </c>
      <c r="I1357">
        <f t="shared" si="348"/>
        <v>0</v>
      </c>
      <c r="J1357">
        <f t="shared" si="349"/>
        <v>0</v>
      </c>
      <c r="K1357">
        <f t="shared" si="350"/>
        <v>0</v>
      </c>
      <c r="L1357">
        <f>--AND($E1357=1,OR('Staff Dashboard'!$B$6="All",$DH1357='Staff Dashboard'!$B$6),OR('Staff Dashboard'!$B$7="All",$D1357='Staff Dashboard'!$B$7),OR('Staff Dashboard'!$B$8="All",$A1357='Staff Dashboard'!$B$8))</f>
        <v>0</v>
      </c>
      <c r="M1357">
        <f>IF($E1357=0,0,SUMPRODUCT($AI$7:$DF$7,'Staff Daily sales'!$G1342:$CD1342))</f>
        <v>0</v>
      </c>
      <c r="N1357">
        <f>IF($E1357=0,0,SUMPRODUCT($AI$8:$DF$8,'Staff Daily sales'!$G1342:$CD1342))</f>
        <v>0</v>
      </c>
      <c r="O1357">
        <f>IF($E1357=0,0,SUMPRODUCT($AI$9:$DF$9,'Staff Daily sales'!$G1342:$CD1342))</f>
        <v>0</v>
      </c>
      <c r="P1357">
        <f>IF($E1357=0,0,SUMPRODUCT($AI$10:$DF$10,'Staff Daily sales'!$G1342:$CD1342))</f>
        <v>0</v>
      </c>
      <c r="Q1357">
        <f>IF($E1357=0,0,SUMPRODUCT($AI$11:$DF$11,'Staff Daily sales'!$G1342:$CD1342))</f>
        <v>0</v>
      </c>
      <c r="R1357">
        <f>IF($E1357=0,0,SUMPRODUCT($AI$12:$DF$12,'Staff Daily sales'!$G1342:$CD1342))</f>
        <v>0</v>
      </c>
      <c r="S1357">
        <f>IF($E1357=0,0,SUMPRODUCT($AI$13:$DF$13,'Staff Daily sales'!$G1342:$CD1342))</f>
        <v>0</v>
      </c>
      <c r="T1357">
        <f>IF($E1357=0,0,SUMPRODUCT($AI$14:$DF$14,'Staff Daily sales'!$G1342:$CD1342))</f>
        <v>0</v>
      </c>
      <c r="U1357">
        <f>IF($E1357=0,0,SUMPRODUCT($AI$15:$DF$15,'Staff Daily sales'!$G1342:$CD1342))</f>
        <v>0</v>
      </c>
      <c r="V1357">
        <f>IF($E1357=0,0,SUMPRODUCT($AI$16:$DF$16,'Staff Daily sales'!$G1342:$CD1342))</f>
        <v>0</v>
      </c>
      <c r="W1357">
        <f t="shared" si="351"/>
        <v>0</v>
      </c>
      <c r="X1357">
        <f t="shared" si="352"/>
        <v>0</v>
      </c>
      <c r="Y1357">
        <f t="shared" si="353"/>
        <v>0</v>
      </c>
      <c r="Z1357">
        <f t="shared" si="354"/>
        <v>0</v>
      </c>
      <c r="AA1357">
        <f t="shared" si="355"/>
        <v>0</v>
      </c>
      <c r="AB1357">
        <f>--AND($E1357=1,OR('Staff Weekly Trend'!$B$3="All",$DH1357='Staff Weekly Trend'!$B$3),OR('Staff Weekly Trend'!$B$4="All",$D1357='Staff Weekly Trend'!$B$4),OR('Staff Weekly Trend'!$B$5="All",$A1357='Staff Weekly Trend'!$B$5))</f>
        <v>0</v>
      </c>
      <c r="AC1357" t="str">
        <f t="shared" si="356"/>
        <v/>
      </c>
      <c r="AI1357">
        <f t="shared" si="357"/>
        <v>0</v>
      </c>
      <c r="AJ1357">
        <f t="shared" si="358"/>
        <v>0</v>
      </c>
      <c r="AK1357">
        <f t="shared" si="359"/>
        <v>0</v>
      </c>
      <c r="AL1357">
        <f t="shared" si="360"/>
        <v>0</v>
      </c>
      <c r="AM1357">
        <f t="shared" si="361"/>
        <v>0</v>
      </c>
      <c r="DH1357" t="str" cm="1">
        <f t="array" ref="DH1357">IF($A1357="","",_xlfn.LET(_xlpm.c,IFERROR(_xlfn.XLOOKUP($A1357,TRIM('Sales and count'!$A$4:$A$300&amp;""),TRIM('Sales and count'!$B$4:$B$300&amp;"")),""),IF(OR(_xlpm.c="",_xlpm.c="0",LEFT(_xlpm.c,1)="#"),"Not set",_xlpm.c)))</f>
        <v/>
      </c>
    </row>
    <row r="1358" spans="1:112" x14ac:dyDescent="0.25">
      <c r="A1358" t="str">
        <f>IF('Staff Daily sales'!$B1343="","",TRIM('Staff Daily sales'!$B1343&amp;""))</f>
        <v/>
      </c>
      <c r="B1358" t="str">
        <f>IF('Staff Daily sales'!$D1343="","",TRIM('Staff Daily sales'!$D1343&amp;""))</f>
        <v/>
      </c>
      <c r="C1358" t="str">
        <f>IFERROR(TRIM('Staff Daily sales'!$E1343&amp;""),"")</f>
        <v/>
      </c>
      <c r="D1358" t="str">
        <f>IFERROR(IF(TRIM('Staff Daily sales'!$F1343&amp;"")="","Unassigned",TRIM('Staff Daily sales'!$F1343&amp;"")),"Unassigned")</f>
        <v>Unassigned</v>
      </c>
      <c r="E1358">
        <f t="shared" si="346"/>
        <v>0</v>
      </c>
      <c r="F1358">
        <f>IF($E1358=0,0,SUMPRODUCT($AI$5:$DF$5,'Staff Daily sales'!$G1343:$CD1343))</f>
        <v>0</v>
      </c>
      <c r="G1358">
        <f>IF($E1358=0,0,SUMPRODUCT($AI$6:$DF$6,'Staff Daily sales'!$G1343:$CD1343))</f>
        <v>0</v>
      </c>
      <c r="H1358">
        <f t="shared" si="347"/>
        <v>0</v>
      </c>
      <c r="I1358">
        <f t="shared" si="348"/>
        <v>0</v>
      </c>
      <c r="J1358">
        <f t="shared" si="349"/>
        <v>0</v>
      </c>
      <c r="K1358">
        <f t="shared" si="350"/>
        <v>0</v>
      </c>
      <c r="L1358">
        <f>--AND($E1358=1,OR('Staff Dashboard'!$B$6="All",$DH1358='Staff Dashboard'!$B$6),OR('Staff Dashboard'!$B$7="All",$D1358='Staff Dashboard'!$B$7),OR('Staff Dashboard'!$B$8="All",$A1358='Staff Dashboard'!$B$8))</f>
        <v>0</v>
      </c>
      <c r="M1358">
        <f>IF($E1358=0,0,SUMPRODUCT($AI$7:$DF$7,'Staff Daily sales'!$G1343:$CD1343))</f>
        <v>0</v>
      </c>
      <c r="N1358">
        <f>IF($E1358=0,0,SUMPRODUCT($AI$8:$DF$8,'Staff Daily sales'!$G1343:$CD1343))</f>
        <v>0</v>
      </c>
      <c r="O1358">
        <f>IF($E1358=0,0,SUMPRODUCT($AI$9:$DF$9,'Staff Daily sales'!$G1343:$CD1343))</f>
        <v>0</v>
      </c>
      <c r="P1358">
        <f>IF($E1358=0,0,SUMPRODUCT($AI$10:$DF$10,'Staff Daily sales'!$G1343:$CD1343))</f>
        <v>0</v>
      </c>
      <c r="Q1358">
        <f>IF($E1358=0,0,SUMPRODUCT($AI$11:$DF$11,'Staff Daily sales'!$G1343:$CD1343))</f>
        <v>0</v>
      </c>
      <c r="R1358">
        <f>IF($E1358=0,0,SUMPRODUCT($AI$12:$DF$12,'Staff Daily sales'!$G1343:$CD1343))</f>
        <v>0</v>
      </c>
      <c r="S1358">
        <f>IF($E1358=0,0,SUMPRODUCT($AI$13:$DF$13,'Staff Daily sales'!$G1343:$CD1343))</f>
        <v>0</v>
      </c>
      <c r="T1358">
        <f>IF($E1358=0,0,SUMPRODUCT($AI$14:$DF$14,'Staff Daily sales'!$G1343:$CD1343))</f>
        <v>0</v>
      </c>
      <c r="U1358">
        <f>IF($E1358=0,0,SUMPRODUCT($AI$15:$DF$15,'Staff Daily sales'!$G1343:$CD1343))</f>
        <v>0</v>
      </c>
      <c r="V1358">
        <f>IF($E1358=0,0,SUMPRODUCT($AI$16:$DF$16,'Staff Daily sales'!$G1343:$CD1343))</f>
        <v>0</v>
      </c>
      <c r="W1358">
        <f t="shared" si="351"/>
        <v>0</v>
      </c>
      <c r="X1358">
        <f t="shared" si="352"/>
        <v>0</v>
      </c>
      <c r="Y1358">
        <f t="shared" si="353"/>
        <v>0</v>
      </c>
      <c r="Z1358">
        <f t="shared" si="354"/>
        <v>0</v>
      </c>
      <c r="AA1358">
        <f t="shared" si="355"/>
        <v>0</v>
      </c>
      <c r="AB1358">
        <f>--AND($E1358=1,OR('Staff Weekly Trend'!$B$3="All",$DH1358='Staff Weekly Trend'!$B$3),OR('Staff Weekly Trend'!$B$4="All",$D1358='Staff Weekly Trend'!$B$4),OR('Staff Weekly Trend'!$B$5="All",$A1358='Staff Weekly Trend'!$B$5))</f>
        <v>0</v>
      </c>
      <c r="AC1358" t="str">
        <f t="shared" si="356"/>
        <v/>
      </c>
      <c r="AI1358">
        <f t="shared" si="357"/>
        <v>0</v>
      </c>
      <c r="AJ1358">
        <f t="shared" si="358"/>
        <v>0</v>
      </c>
      <c r="AK1358">
        <f t="shared" si="359"/>
        <v>0</v>
      </c>
      <c r="AL1358">
        <f t="shared" si="360"/>
        <v>0</v>
      </c>
      <c r="AM1358">
        <f t="shared" si="361"/>
        <v>0</v>
      </c>
      <c r="DH1358" t="str" cm="1">
        <f t="array" ref="DH1358">IF($A1358="","",_xlfn.LET(_xlpm.c,IFERROR(_xlfn.XLOOKUP($A1358,TRIM('Sales and count'!$A$4:$A$300&amp;""),TRIM('Sales and count'!$B$4:$B$300&amp;"")),""),IF(OR(_xlpm.c="",_xlpm.c="0",LEFT(_xlpm.c,1)="#"),"Not set",_xlpm.c)))</f>
        <v/>
      </c>
    </row>
    <row r="1359" spans="1:112" x14ac:dyDescent="0.25">
      <c r="A1359" t="str">
        <f>IF('Staff Daily sales'!$B1344="","",TRIM('Staff Daily sales'!$B1344&amp;""))</f>
        <v/>
      </c>
      <c r="B1359" t="str">
        <f>IF('Staff Daily sales'!$D1344="","",TRIM('Staff Daily sales'!$D1344&amp;""))</f>
        <v/>
      </c>
      <c r="C1359" t="str">
        <f>IFERROR(TRIM('Staff Daily sales'!$E1344&amp;""),"")</f>
        <v/>
      </c>
      <c r="D1359" t="str">
        <f>IFERROR(IF(TRIM('Staff Daily sales'!$F1344&amp;"")="","Unassigned",TRIM('Staff Daily sales'!$F1344&amp;"")),"Unassigned")</f>
        <v>Unassigned</v>
      </c>
      <c r="E1359">
        <f t="shared" si="346"/>
        <v>0</v>
      </c>
      <c r="F1359">
        <f>IF($E1359=0,0,SUMPRODUCT($AI$5:$DF$5,'Staff Daily sales'!$G1344:$CD1344))</f>
        <v>0</v>
      </c>
      <c r="G1359">
        <f>IF($E1359=0,0,SUMPRODUCT($AI$6:$DF$6,'Staff Daily sales'!$G1344:$CD1344))</f>
        <v>0</v>
      </c>
      <c r="H1359">
        <f t="shared" si="347"/>
        <v>0</v>
      </c>
      <c r="I1359">
        <f t="shared" si="348"/>
        <v>0</v>
      </c>
      <c r="J1359">
        <f t="shared" si="349"/>
        <v>0</v>
      </c>
      <c r="K1359">
        <f t="shared" si="350"/>
        <v>0</v>
      </c>
      <c r="L1359">
        <f>--AND($E1359=1,OR('Staff Dashboard'!$B$6="All",$DH1359='Staff Dashboard'!$B$6),OR('Staff Dashboard'!$B$7="All",$D1359='Staff Dashboard'!$B$7),OR('Staff Dashboard'!$B$8="All",$A1359='Staff Dashboard'!$B$8))</f>
        <v>0</v>
      </c>
      <c r="M1359">
        <f>IF($E1359=0,0,SUMPRODUCT($AI$7:$DF$7,'Staff Daily sales'!$G1344:$CD1344))</f>
        <v>0</v>
      </c>
      <c r="N1359">
        <f>IF($E1359=0,0,SUMPRODUCT($AI$8:$DF$8,'Staff Daily sales'!$G1344:$CD1344))</f>
        <v>0</v>
      </c>
      <c r="O1359">
        <f>IF($E1359=0,0,SUMPRODUCT($AI$9:$DF$9,'Staff Daily sales'!$G1344:$CD1344))</f>
        <v>0</v>
      </c>
      <c r="P1359">
        <f>IF($E1359=0,0,SUMPRODUCT($AI$10:$DF$10,'Staff Daily sales'!$G1344:$CD1344))</f>
        <v>0</v>
      </c>
      <c r="Q1359">
        <f>IF($E1359=0,0,SUMPRODUCT($AI$11:$DF$11,'Staff Daily sales'!$G1344:$CD1344))</f>
        <v>0</v>
      </c>
      <c r="R1359">
        <f>IF($E1359=0,0,SUMPRODUCT($AI$12:$DF$12,'Staff Daily sales'!$G1344:$CD1344))</f>
        <v>0</v>
      </c>
      <c r="S1359">
        <f>IF($E1359=0,0,SUMPRODUCT($AI$13:$DF$13,'Staff Daily sales'!$G1344:$CD1344))</f>
        <v>0</v>
      </c>
      <c r="T1359">
        <f>IF($E1359=0,0,SUMPRODUCT($AI$14:$DF$14,'Staff Daily sales'!$G1344:$CD1344))</f>
        <v>0</v>
      </c>
      <c r="U1359">
        <f>IF($E1359=0,0,SUMPRODUCT($AI$15:$DF$15,'Staff Daily sales'!$G1344:$CD1344))</f>
        <v>0</v>
      </c>
      <c r="V1359">
        <f>IF($E1359=0,0,SUMPRODUCT($AI$16:$DF$16,'Staff Daily sales'!$G1344:$CD1344))</f>
        <v>0</v>
      </c>
      <c r="W1359">
        <f t="shared" si="351"/>
        <v>0</v>
      </c>
      <c r="X1359">
        <f t="shared" si="352"/>
        <v>0</v>
      </c>
      <c r="Y1359">
        <f t="shared" si="353"/>
        <v>0</v>
      </c>
      <c r="Z1359">
        <f t="shared" si="354"/>
        <v>0</v>
      </c>
      <c r="AA1359">
        <f t="shared" si="355"/>
        <v>0</v>
      </c>
      <c r="AB1359">
        <f>--AND($E1359=1,OR('Staff Weekly Trend'!$B$3="All",$DH1359='Staff Weekly Trend'!$B$3),OR('Staff Weekly Trend'!$B$4="All",$D1359='Staff Weekly Trend'!$B$4),OR('Staff Weekly Trend'!$B$5="All",$A1359='Staff Weekly Trend'!$B$5))</f>
        <v>0</v>
      </c>
      <c r="AC1359" t="str">
        <f t="shared" si="356"/>
        <v/>
      </c>
      <c r="AI1359">
        <f t="shared" si="357"/>
        <v>0</v>
      </c>
      <c r="AJ1359">
        <f t="shared" si="358"/>
        <v>0</v>
      </c>
      <c r="AK1359">
        <f t="shared" si="359"/>
        <v>0</v>
      </c>
      <c r="AL1359">
        <f t="shared" si="360"/>
        <v>0</v>
      </c>
      <c r="AM1359">
        <f t="shared" si="361"/>
        <v>0</v>
      </c>
      <c r="DH1359" t="str" cm="1">
        <f t="array" ref="DH1359">IF($A1359="","",_xlfn.LET(_xlpm.c,IFERROR(_xlfn.XLOOKUP($A1359,TRIM('Sales and count'!$A$4:$A$300&amp;""),TRIM('Sales and count'!$B$4:$B$300&amp;"")),""),IF(OR(_xlpm.c="",_xlpm.c="0",LEFT(_xlpm.c,1)="#"),"Not set",_xlpm.c)))</f>
        <v/>
      </c>
    </row>
    <row r="1360" spans="1:112" x14ac:dyDescent="0.25">
      <c r="A1360" t="str">
        <f>IF('Staff Daily sales'!$B1345="","",TRIM('Staff Daily sales'!$B1345&amp;""))</f>
        <v/>
      </c>
      <c r="B1360" t="str">
        <f>IF('Staff Daily sales'!$D1345="","",TRIM('Staff Daily sales'!$D1345&amp;""))</f>
        <v/>
      </c>
      <c r="C1360" t="str">
        <f>IFERROR(TRIM('Staff Daily sales'!$E1345&amp;""),"")</f>
        <v/>
      </c>
      <c r="D1360" t="str">
        <f>IFERROR(IF(TRIM('Staff Daily sales'!$F1345&amp;"")="","Unassigned",TRIM('Staff Daily sales'!$F1345&amp;"")),"Unassigned")</f>
        <v>Unassigned</v>
      </c>
      <c r="E1360">
        <f t="shared" si="346"/>
        <v>0</v>
      </c>
      <c r="F1360">
        <f>IF($E1360=0,0,SUMPRODUCT($AI$5:$DF$5,'Staff Daily sales'!$G1345:$CD1345))</f>
        <v>0</v>
      </c>
      <c r="G1360">
        <f>IF($E1360=0,0,SUMPRODUCT($AI$6:$DF$6,'Staff Daily sales'!$G1345:$CD1345))</f>
        <v>0</v>
      </c>
      <c r="H1360">
        <f t="shared" si="347"/>
        <v>0</v>
      </c>
      <c r="I1360">
        <f t="shared" si="348"/>
        <v>0</v>
      </c>
      <c r="J1360">
        <f t="shared" si="349"/>
        <v>0</v>
      </c>
      <c r="K1360">
        <f t="shared" si="350"/>
        <v>0</v>
      </c>
      <c r="L1360">
        <f>--AND($E1360=1,OR('Staff Dashboard'!$B$6="All",$DH1360='Staff Dashboard'!$B$6),OR('Staff Dashboard'!$B$7="All",$D1360='Staff Dashboard'!$B$7),OR('Staff Dashboard'!$B$8="All",$A1360='Staff Dashboard'!$B$8))</f>
        <v>0</v>
      </c>
      <c r="M1360">
        <f>IF($E1360=0,0,SUMPRODUCT($AI$7:$DF$7,'Staff Daily sales'!$G1345:$CD1345))</f>
        <v>0</v>
      </c>
      <c r="N1360">
        <f>IF($E1360=0,0,SUMPRODUCT($AI$8:$DF$8,'Staff Daily sales'!$G1345:$CD1345))</f>
        <v>0</v>
      </c>
      <c r="O1360">
        <f>IF($E1360=0,0,SUMPRODUCT($AI$9:$DF$9,'Staff Daily sales'!$G1345:$CD1345))</f>
        <v>0</v>
      </c>
      <c r="P1360">
        <f>IF($E1360=0,0,SUMPRODUCT($AI$10:$DF$10,'Staff Daily sales'!$G1345:$CD1345))</f>
        <v>0</v>
      </c>
      <c r="Q1360">
        <f>IF($E1360=0,0,SUMPRODUCT($AI$11:$DF$11,'Staff Daily sales'!$G1345:$CD1345))</f>
        <v>0</v>
      </c>
      <c r="R1360">
        <f>IF($E1360=0,0,SUMPRODUCT($AI$12:$DF$12,'Staff Daily sales'!$G1345:$CD1345))</f>
        <v>0</v>
      </c>
      <c r="S1360">
        <f>IF($E1360=0,0,SUMPRODUCT($AI$13:$DF$13,'Staff Daily sales'!$G1345:$CD1345))</f>
        <v>0</v>
      </c>
      <c r="T1360">
        <f>IF($E1360=0,0,SUMPRODUCT($AI$14:$DF$14,'Staff Daily sales'!$G1345:$CD1345))</f>
        <v>0</v>
      </c>
      <c r="U1360">
        <f>IF($E1360=0,0,SUMPRODUCT($AI$15:$DF$15,'Staff Daily sales'!$G1345:$CD1345))</f>
        <v>0</v>
      </c>
      <c r="V1360">
        <f>IF($E1360=0,0,SUMPRODUCT($AI$16:$DF$16,'Staff Daily sales'!$G1345:$CD1345))</f>
        <v>0</v>
      </c>
      <c r="W1360">
        <f t="shared" si="351"/>
        <v>0</v>
      </c>
      <c r="X1360">
        <f t="shared" si="352"/>
        <v>0</v>
      </c>
      <c r="Y1360">
        <f t="shared" si="353"/>
        <v>0</v>
      </c>
      <c r="Z1360">
        <f t="shared" si="354"/>
        <v>0</v>
      </c>
      <c r="AA1360">
        <f t="shared" si="355"/>
        <v>0</v>
      </c>
      <c r="AB1360">
        <f>--AND($E1360=1,OR('Staff Weekly Trend'!$B$3="All",$DH1360='Staff Weekly Trend'!$B$3),OR('Staff Weekly Trend'!$B$4="All",$D1360='Staff Weekly Trend'!$B$4),OR('Staff Weekly Trend'!$B$5="All",$A1360='Staff Weekly Trend'!$B$5))</f>
        <v>0</v>
      </c>
      <c r="AC1360" t="str">
        <f t="shared" si="356"/>
        <v/>
      </c>
      <c r="AI1360">
        <f t="shared" si="357"/>
        <v>0</v>
      </c>
      <c r="AJ1360">
        <f t="shared" si="358"/>
        <v>0</v>
      </c>
      <c r="AK1360">
        <f t="shared" si="359"/>
        <v>0</v>
      </c>
      <c r="AL1360">
        <f t="shared" si="360"/>
        <v>0</v>
      </c>
      <c r="AM1360">
        <f t="shared" si="361"/>
        <v>0</v>
      </c>
      <c r="DH1360" t="str" cm="1">
        <f t="array" ref="DH1360">IF($A1360="","",_xlfn.LET(_xlpm.c,IFERROR(_xlfn.XLOOKUP($A1360,TRIM('Sales and count'!$A$4:$A$300&amp;""),TRIM('Sales and count'!$B$4:$B$300&amp;"")),""),IF(OR(_xlpm.c="",_xlpm.c="0",LEFT(_xlpm.c,1)="#"),"Not set",_xlpm.c)))</f>
        <v/>
      </c>
    </row>
    <row r="1361" spans="1:112" x14ac:dyDescent="0.25">
      <c r="A1361" t="str">
        <f>IF('Staff Daily sales'!$B1346="","",TRIM('Staff Daily sales'!$B1346&amp;""))</f>
        <v/>
      </c>
      <c r="B1361" t="str">
        <f>IF('Staff Daily sales'!$D1346="","",TRIM('Staff Daily sales'!$D1346&amp;""))</f>
        <v/>
      </c>
      <c r="C1361" t="str">
        <f>IFERROR(TRIM('Staff Daily sales'!$E1346&amp;""),"")</f>
        <v/>
      </c>
      <c r="D1361" t="str">
        <f>IFERROR(IF(TRIM('Staff Daily sales'!$F1346&amp;"")="","Unassigned",TRIM('Staff Daily sales'!$F1346&amp;"")),"Unassigned")</f>
        <v>Unassigned</v>
      </c>
      <c r="E1361">
        <f t="shared" si="346"/>
        <v>0</v>
      </c>
      <c r="F1361">
        <f>IF($E1361=0,0,SUMPRODUCT($AI$5:$DF$5,'Staff Daily sales'!$G1346:$CD1346))</f>
        <v>0</v>
      </c>
      <c r="G1361">
        <f>IF($E1361=0,0,SUMPRODUCT($AI$6:$DF$6,'Staff Daily sales'!$G1346:$CD1346))</f>
        <v>0</v>
      </c>
      <c r="H1361">
        <f t="shared" si="347"/>
        <v>0</v>
      </c>
      <c r="I1361">
        <f t="shared" si="348"/>
        <v>0</v>
      </c>
      <c r="J1361">
        <f t="shared" si="349"/>
        <v>0</v>
      </c>
      <c r="K1361">
        <f t="shared" si="350"/>
        <v>0</v>
      </c>
      <c r="L1361">
        <f>--AND($E1361=1,OR('Staff Dashboard'!$B$6="All",$DH1361='Staff Dashboard'!$B$6),OR('Staff Dashboard'!$B$7="All",$D1361='Staff Dashboard'!$B$7),OR('Staff Dashboard'!$B$8="All",$A1361='Staff Dashboard'!$B$8))</f>
        <v>0</v>
      </c>
      <c r="M1361">
        <f>IF($E1361=0,0,SUMPRODUCT($AI$7:$DF$7,'Staff Daily sales'!$G1346:$CD1346))</f>
        <v>0</v>
      </c>
      <c r="N1361">
        <f>IF($E1361=0,0,SUMPRODUCT($AI$8:$DF$8,'Staff Daily sales'!$G1346:$CD1346))</f>
        <v>0</v>
      </c>
      <c r="O1361">
        <f>IF($E1361=0,0,SUMPRODUCT($AI$9:$DF$9,'Staff Daily sales'!$G1346:$CD1346))</f>
        <v>0</v>
      </c>
      <c r="P1361">
        <f>IF($E1361=0,0,SUMPRODUCT($AI$10:$DF$10,'Staff Daily sales'!$G1346:$CD1346))</f>
        <v>0</v>
      </c>
      <c r="Q1361">
        <f>IF($E1361=0,0,SUMPRODUCT($AI$11:$DF$11,'Staff Daily sales'!$G1346:$CD1346))</f>
        <v>0</v>
      </c>
      <c r="R1361">
        <f>IF($E1361=0,0,SUMPRODUCT($AI$12:$DF$12,'Staff Daily sales'!$G1346:$CD1346))</f>
        <v>0</v>
      </c>
      <c r="S1361">
        <f>IF($E1361=0,0,SUMPRODUCT($AI$13:$DF$13,'Staff Daily sales'!$G1346:$CD1346))</f>
        <v>0</v>
      </c>
      <c r="T1361">
        <f>IF($E1361=0,0,SUMPRODUCT($AI$14:$DF$14,'Staff Daily sales'!$G1346:$CD1346))</f>
        <v>0</v>
      </c>
      <c r="U1361">
        <f>IF($E1361=0,0,SUMPRODUCT($AI$15:$DF$15,'Staff Daily sales'!$G1346:$CD1346))</f>
        <v>0</v>
      </c>
      <c r="V1361">
        <f>IF($E1361=0,0,SUMPRODUCT($AI$16:$DF$16,'Staff Daily sales'!$G1346:$CD1346))</f>
        <v>0</v>
      </c>
      <c r="W1361">
        <f t="shared" si="351"/>
        <v>0</v>
      </c>
      <c r="X1361">
        <f t="shared" si="352"/>
        <v>0</v>
      </c>
      <c r="Y1361">
        <f t="shared" si="353"/>
        <v>0</v>
      </c>
      <c r="Z1361">
        <f t="shared" si="354"/>
        <v>0</v>
      </c>
      <c r="AA1361">
        <f t="shared" si="355"/>
        <v>0</v>
      </c>
      <c r="AB1361">
        <f>--AND($E1361=1,OR('Staff Weekly Trend'!$B$3="All",$DH1361='Staff Weekly Trend'!$B$3),OR('Staff Weekly Trend'!$B$4="All",$D1361='Staff Weekly Trend'!$B$4),OR('Staff Weekly Trend'!$B$5="All",$A1361='Staff Weekly Trend'!$B$5))</f>
        <v>0</v>
      </c>
      <c r="AC1361" t="str">
        <f t="shared" si="356"/>
        <v/>
      </c>
      <c r="AI1361">
        <f t="shared" si="357"/>
        <v>0</v>
      </c>
      <c r="AJ1361">
        <f t="shared" si="358"/>
        <v>0</v>
      </c>
      <c r="AK1361">
        <f t="shared" si="359"/>
        <v>0</v>
      </c>
      <c r="AL1361">
        <f t="shared" si="360"/>
        <v>0</v>
      </c>
      <c r="AM1361">
        <f t="shared" si="361"/>
        <v>0</v>
      </c>
      <c r="DH1361" t="str" cm="1">
        <f t="array" ref="DH1361">IF($A1361="","",_xlfn.LET(_xlpm.c,IFERROR(_xlfn.XLOOKUP($A1361,TRIM('Sales and count'!$A$4:$A$300&amp;""),TRIM('Sales and count'!$B$4:$B$300&amp;"")),""),IF(OR(_xlpm.c="",_xlpm.c="0",LEFT(_xlpm.c,1)="#"),"Not set",_xlpm.c)))</f>
        <v/>
      </c>
    </row>
    <row r="1362" spans="1:112" x14ac:dyDescent="0.25">
      <c r="A1362" t="str">
        <f>IF('Staff Daily sales'!$B1347="","",TRIM('Staff Daily sales'!$B1347&amp;""))</f>
        <v/>
      </c>
      <c r="B1362" t="str">
        <f>IF('Staff Daily sales'!$D1347="","",TRIM('Staff Daily sales'!$D1347&amp;""))</f>
        <v/>
      </c>
      <c r="C1362" t="str">
        <f>IFERROR(TRIM('Staff Daily sales'!$E1347&amp;""),"")</f>
        <v/>
      </c>
      <c r="D1362" t="str">
        <f>IFERROR(IF(TRIM('Staff Daily sales'!$F1347&amp;"")="","Unassigned",TRIM('Staff Daily sales'!$F1347&amp;"")),"Unassigned")</f>
        <v>Unassigned</v>
      </c>
      <c r="E1362">
        <f t="shared" si="346"/>
        <v>0</v>
      </c>
      <c r="F1362">
        <f>IF($E1362=0,0,SUMPRODUCT($AI$5:$DF$5,'Staff Daily sales'!$G1347:$CD1347))</f>
        <v>0</v>
      </c>
      <c r="G1362">
        <f>IF($E1362=0,0,SUMPRODUCT($AI$6:$DF$6,'Staff Daily sales'!$G1347:$CD1347))</f>
        <v>0</v>
      </c>
      <c r="H1362">
        <f t="shared" si="347"/>
        <v>0</v>
      </c>
      <c r="I1362">
        <f t="shared" si="348"/>
        <v>0</v>
      </c>
      <c r="J1362">
        <f t="shared" si="349"/>
        <v>0</v>
      </c>
      <c r="K1362">
        <f t="shared" si="350"/>
        <v>0</v>
      </c>
      <c r="L1362">
        <f>--AND($E1362=1,OR('Staff Dashboard'!$B$6="All",$DH1362='Staff Dashboard'!$B$6),OR('Staff Dashboard'!$B$7="All",$D1362='Staff Dashboard'!$B$7),OR('Staff Dashboard'!$B$8="All",$A1362='Staff Dashboard'!$B$8))</f>
        <v>0</v>
      </c>
      <c r="M1362">
        <f>IF($E1362=0,0,SUMPRODUCT($AI$7:$DF$7,'Staff Daily sales'!$G1347:$CD1347))</f>
        <v>0</v>
      </c>
      <c r="N1362">
        <f>IF($E1362=0,0,SUMPRODUCT($AI$8:$DF$8,'Staff Daily sales'!$G1347:$CD1347))</f>
        <v>0</v>
      </c>
      <c r="O1362">
        <f>IF($E1362=0,0,SUMPRODUCT($AI$9:$DF$9,'Staff Daily sales'!$G1347:$CD1347))</f>
        <v>0</v>
      </c>
      <c r="P1362">
        <f>IF($E1362=0,0,SUMPRODUCT($AI$10:$DF$10,'Staff Daily sales'!$G1347:$CD1347))</f>
        <v>0</v>
      </c>
      <c r="Q1362">
        <f>IF($E1362=0,0,SUMPRODUCT($AI$11:$DF$11,'Staff Daily sales'!$G1347:$CD1347))</f>
        <v>0</v>
      </c>
      <c r="R1362">
        <f>IF($E1362=0,0,SUMPRODUCT($AI$12:$DF$12,'Staff Daily sales'!$G1347:$CD1347))</f>
        <v>0</v>
      </c>
      <c r="S1362">
        <f>IF($E1362=0,0,SUMPRODUCT($AI$13:$DF$13,'Staff Daily sales'!$G1347:$CD1347))</f>
        <v>0</v>
      </c>
      <c r="T1362">
        <f>IF($E1362=0,0,SUMPRODUCT($AI$14:$DF$14,'Staff Daily sales'!$G1347:$CD1347))</f>
        <v>0</v>
      </c>
      <c r="U1362">
        <f>IF($E1362=0,0,SUMPRODUCT($AI$15:$DF$15,'Staff Daily sales'!$G1347:$CD1347))</f>
        <v>0</v>
      </c>
      <c r="V1362">
        <f>IF($E1362=0,0,SUMPRODUCT($AI$16:$DF$16,'Staff Daily sales'!$G1347:$CD1347))</f>
        <v>0</v>
      </c>
      <c r="W1362">
        <f t="shared" si="351"/>
        <v>0</v>
      </c>
      <c r="X1362">
        <f t="shared" si="352"/>
        <v>0</v>
      </c>
      <c r="Y1362">
        <f t="shared" si="353"/>
        <v>0</v>
      </c>
      <c r="Z1362">
        <f t="shared" si="354"/>
        <v>0</v>
      </c>
      <c r="AA1362">
        <f t="shared" si="355"/>
        <v>0</v>
      </c>
      <c r="AB1362">
        <f>--AND($E1362=1,OR('Staff Weekly Trend'!$B$3="All",$DH1362='Staff Weekly Trend'!$B$3),OR('Staff Weekly Trend'!$B$4="All",$D1362='Staff Weekly Trend'!$B$4),OR('Staff Weekly Trend'!$B$5="All",$A1362='Staff Weekly Trend'!$B$5))</f>
        <v>0</v>
      </c>
      <c r="AC1362" t="str">
        <f t="shared" si="356"/>
        <v/>
      </c>
      <c r="AI1362">
        <f t="shared" si="357"/>
        <v>0</v>
      </c>
      <c r="AJ1362">
        <f t="shared" si="358"/>
        <v>0</v>
      </c>
      <c r="AK1362">
        <f t="shared" si="359"/>
        <v>0</v>
      </c>
      <c r="AL1362">
        <f t="shared" si="360"/>
        <v>0</v>
      </c>
      <c r="AM1362">
        <f t="shared" si="361"/>
        <v>0</v>
      </c>
      <c r="DH1362" t="str" cm="1">
        <f t="array" ref="DH1362">IF($A1362="","",_xlfn.LET(_xlpm.c,IFERROR(_xlfn.XLOOKUP($A1362,TRIM('Sales and count'!$A$4:$A$300&amp;""),TRIM('Sales and count'!$B$4:$B$300&amp;"")),""),IF(OR(_xlpm.c="",_xlpm.c="0",LEFT(_xlpm.c,1)="#"),"Not set",_xlpm.c)))</f>
        <v/>
      </c>
    </row>
    <row r="1363" spans="1:112" x14ac:dyDescent="0.25">
      <c r="A1363" t="str">
        <f>IF('Staff Daily sales'!$B1348="","",TRIM('Staff Daily sales'!$B1348&amp;""))</f>
        <v/>
      </c>
      <c r="B1363" t="str">
        <f>IF('Staff Daily sales'!$D1348="","",TRIM('Staff Daily sales'!$D1348&amp;""))</f>
        <v/>
      </c>
      <c r="C1363" t="str">
        <f>IFERROR(TRIM('Staff Daily sales'!$E1348&amp;""),"")</f>
        <v/>
      </c>
      <c r="D1363" t="str">
        <f>IFERROR(IF(TRIM('Staff Daily sales'!$F1348&amp;"")="","Unassigned",TRIM('Staff Daily sales'!$F1348&amp;"")),"Unassigned")</f>
        <v>Unassigned</v>
      </c>
      <c r="E1363">
        <f t="shared" si="346"/>
        <v>0</v>
      </c>
      <c r="F1363">
        <f>IF($E1363=0,0,SUMPRODUCT($AI$5:$DF$5,'Staff Daily sales'!$G1348:$CD1348))</f>
        <v>0</v>
      </c>
      <c r="G1363">
        <f>IF($E1363=0,0,SUMPRODUCT($AI$6:$DF$6,'Staff Daily sales'!$G1348:$CD1348))</f>
        <v>0</v>
      </c>
      <c r="H1363">
        <f t="shared" si="347"/>
        <v>0</v>
      </c>
      <c r="I1363">
        <f t="shared" si="348"/>
        <v>0</v>
      </c>
      <c r="J1363">
        <f t="shared" si="349"/>
        <v>0</v>
      </c>
      <c r="K1363">
        <f t="shared" si="350"/>
        <v>0</v>
      </c>
      <c r="L1363">
        <f>--AND($E1363=1,OR('Staff Dashboard'!$B$6="All",$DH1363='Staff Dashboard'!$B$6),OR('Staff Dashboard'!$B$7="All",$D1363='Staff Dashboard'!$B$7),OR('Staff Dashboard'!$B$8="All",$A1363='Staff Dashboard'!$B$8))</f>
        <v>0</v>
      </c>
      <c r="M1363">
        <f>IF($E1363=0,0,SUMPRODUCT($AI$7:$DF$7,'Staff Daily sales'!$G1348:$CD1348))</f>
        <v>0</v>
      </c>
      <c r="N1363">
        <f>IF($E1363=0,0,SUMPRODUCT($AI$8:$DF$8,'Staff Daily sales'!$G1348:$CD1348))</f>
        <v>0</v>
      </c>
      <c r="O1363">
        <f>IF($E1363=0,0,SUMPRODUCT($AI$9:$DF$9,'Staff Daily sales'!$G1348:$CD1348))</f>
        <v>0</v>
      </c>
      <c r="P1363">
        <f>IF($E1363=0,0,SUMPRODUCT($AI$10:$DF$10,'Staff Daily sales'!$G1348:$CD1348))</f>
        <v>0</v>
      </c>
      <c r="Q1363">
        <f>IF($E1363=0,0,SUMPRODUCT($AI$11:$DF$11,'Staff Daily sales'!$G1348:$CD1348))</f>
        <v>0</v>
      </c>
      <c r="R1363">
        <f>IF($E1363=0,0,SUMPRODUCT($AI$12:$DF$12,'Staff Daily sales'!$G1348:$CD1348))</f>
        <v>0</v>
      </c>
      <c r="S1363">
        <f>IF($E1363=0,0,SUMPRODUCT($AI$13:$DF$13,'Staff Daily sales'!$G1348:$CD1348))</f>
        <v>0</v>
      </c>
      <c r="T1363">
        <f>IF($E1363=0,0,SUMPRODUCT($AI$14:$DF$14,'Staff Daily sales'!$G1348:$CD1348))</f>
        <v>0</v>
      </c>
      <c r="U1363">
        <f>IF($E1363=0,0,SUMPRODUCT($AI$15:$DF$15,'Staff Daily sales'!$G1348:$CD1348))</f>
        <v>0</v>
      </c>
      <c r="V1363">
        <f>IF($E1363=0,0,SUMPRODUCT($AI$16:$DF$16,'Staff Daily sales'!$G1348:$CD1348))</f>
        <v>0</v>
      </c>
      <c r="W1363">
        <f t="shared" si="351"/>
        <v>0</v>
      </c>
      <c r="X1363">
        <f t="shared" si="352"/>
        <v>0</v>
      </c>
      <c r="Y1363">
        <f t="shared" si="353"/>
        <v>0</v>
      </c>
      <c r="Z1363">
        <f t="shared" si="354"/>
        <v>0</v>
      </c>
      <c r="AA1363">
        <f t="shared" si="355"/>
        <v>0</v>
      </c>
      <c r="AB1363">
        <f>--AND($E1363=1,OR('Staff Weekly Trend'!$B$3="All",$DH1363='Staff Weekly Trend'!$B$3),OR('Staff Weekly Trend'!$B$4="All",$D1363='Staff Weekly Trend'!$B$4),OR('Staff Weekly Trend'!$B$5="All",$A1363='Staff Weekly Trend'!$B$5))</f>
        <v>0</v>
      </c>
      <c r="AC1363" t="str">
        <f t="shared" si="356"/>
        <v/>
      </c>
      <c r="AI1363">
        <f t="shared" si="357"/>
        <v>0</v>
      </c>
      <c r="AJ1363">
        <f t="shared" si="358"/>
        <v>0</v>
      </c>
      <c r="AK1363">
        <f t="shared" si="359"/>
        <v>0</v>
      </c>
      <c r="AL1363">
        <f t="shared" si="360"/>
        <v>0</v>
      </c>
      <c r="AM1363">
        <f t="shared" si="361"/>
        <v>0</v>
      </c>
      <c r="DH1363" t="str" cm="1">
        <f t="array" ref="DH1363">IF($A1363="","",_xlfn.LET(_xlpm.c,IFERROR(_xlfn.XLOOKUP($A1363,TRIM('Sales and count'!$A$4:$A$300&amp;""),TRIM('Sales and count'!$B$4:$B$300&amp;"")),""),IF(OR(_xlpm.c="",_xlpm.c="0",LEFT(_xlpm.c,1)="#"),"Not set",_xlpm.c)))</f>
        <v/>
      </c>
    </row>
    <row r="1364" spans="1:112" x14ac:dyDescent="0.25">
      <c r="A1364" t="str">
        <f>IF('Staff Daily sales'!$B1349="","",TRIM('Staff Daily sales'!$B1349&amp;""))</f>
        <v/>
      </c>
      <c r="B1364" t="str">
        <f>IF('Staff Daily sales'!$D1349="","",TRIM('Staff Daily sales'!$D1349&amp;""))</f>
        <v/>
      </c>
      <c r="C1364" t="str">
        <f>IFERROR(TRIM('Staff Daily sales'!$E1349&amp;""),"")</f>
        <v/>
      </c>
      <c r="D1364" t="str">
        <f>IFERROR(IF(TRIM('Staff Daily sales'!$F1349&amp;"")="","Unassigned",TRIM('Staff Daily sales'!$F1349&amp;"")),"Unassigned")</f>
        <v>Unassigned</v>
      </c>
      <c r="E1364">
        <f t="shared" ref="E1364:E1427" si="362">--AND($A1364&lt;&gt;"",$B1364&lt;&gt;"")</f>
        <v>0</v>
      </c>
      <c r="F1364">
        <f>IF($E1364=0,0,SUMPRODUCT($AI$5:$DF$5,'Staff Daily sales'!$G1349:$CD1349))</f>
        <v>0</v>
      </c>
      <c r="G1364">
        <f>IF($E1364=0,0,SUMPRODUCT($AI$6:$DF$6,'Staff Daily sales'!$G1349:$CD1349))</f>
        <v>0</v>
      </c>
      <c r="H1364">
        <f t="shared" ref="H1364:H1427" si="363">IF($E1364=0,0,SUMIFS($F$20:$F$1515,$A$20:$A$1515,$A1364))</f>
        <v>0</v>
      </c>
      <c r="I1364">
        <f t="shared" ref="I1364:I1427" si="364">IF($E1364=0,0,SUMIFS($G$20:$G$1515,$A$20:$A$1515,$A1364))</f>
        <v>0</v>
      </c>
      <c r="J1364">
        <f t="shared" ref="J1364:J1427" si="365">IF($E1364=0,0,SUMIFS($F$20:$F$1515,$D$20:$D$1515,$D1364))</f>
        <v>0</v>
      </c>
      <c r="K1364">
        <f t="shared" ref="K1364:K1427" si="366">IF($E1364=0,0,SUMIFS($G$20:$G$1515,$D$20:$D$1515,$D1364))</f>
        <v>0</v>
      </c>
      <c r="L1364">
        <f>--AND($E1364=1,OR('Staff Dashboard'!$B$6="All",$DH1364='Staff Dashboard'!$B$6),OR('Staff Dashboard'!$B$7="All",$D1364='Staff Dashboard'!$B$7),OR('Staff Dashboard'!$B$8="All",$A1364='Staff Dashboard'!$B$8))</f>
        <v>0</v>
      </c>
      <c r="M1364">
        <f>IF($E1364=0,0,SUMPRODUCT($AI$7:$DF$7,'Staff Daily sales'!$G1349:$CD1349))</f>
        <v>0</v>
      </c>
      <c r="N1364">
        <f>IF($E1364=0,0,SUMPRODUCT($AI$8:$DF$8,'Staff Daily sales'!$G1349:$CD1349))</f>
        <v>0</v>
      </c>
      <c r="O1364">
        <f>IF($E1364=0,0,SUMPRODUCT($AI$9:$DF$9,'Staff Daily sales'!$G1349:$CD1349))</f>
        <v>0</v>
      </c>
      <c r="P1364">
        <f>IF($E1364=0,0,SUMPRODUCT($AI$10:$DF$10,'Staff Daily sales'!$G1349:$CD1349))</f>
        <v>0</v>
      </c>
      <c r="Q1364">
        <f>IF($E1364=0,0,SUMPRODUCT($AI$11:$DF$11,'Staff Daily sales'!$G1349:$CD1349))</f>
        <v>0</v>
      </c>
      <c r="R1364">
        <f>IF($E1364=0,0,SUMPRODUCT($AI$12:$DF$12,'Staff Daily sales'!$G1349:$CD1349))</f>
        <v>0</v>
      </c>
      <c r="S1364">
        <f>IF($E1364=0,0,SUMPRODUCT($AI$13:$DF$13,'Staff Daily sales'!$G1349:$CD1349))</f>
        <v>0</v>
      </c>
      <c r="T1364">
        <f>IF($E1364=0,0,SUMPRODUCT($AI$14:$DF$14,'Staff Daily sales'!$G1349:$CD1349))</f>
        <v>0</v>
      </c>
      <c r="U1364">
        <f>IF($E1364=0,0,SUMPRODUCT($AI$15:$DF$15,'Staff Daily sales'!$G1349:$CD1349))</f>
        <v>0</v>
      </c>
      <c r="V1364">
        <f>IF($E1364=0,0,SUMPRODUCT($AI$16:$DF$16,'Staff Daily sales'!$G1349:$CD1349))</f>
        <v>0</v>
      </c>
      <c r="W1364">
        <f t="shared" ref="W1364:W1427" si="367">IF($E1364=0,0,SUMIFS(M$20:M$1515,$A$20:$A$1515,$A1364))</f>
        <v>0</v>
      </c>
      <c r="X1364">
        <f t="shared" ref="X1364:X1427" si="368">IF($E1364=0,0,SUMIFS(O$20:O$1515,$A$20:$A$1515,$A1364))</f>
        <v>0</v>
      </c>
      <c r="Y1364">
        <f t="shared" ref="Y1364:Y1427" si="369">IF($E1364=0,0,SUMIFS(Q$20:Q$1515,$A$20:$A$1515,$A1364))</f>
        <v>0</v>
      </c>
      <c r="Z1364">
        <f t="shared" ref="Z1364:Z1427" si="370">IF($E1364=0,0,SUMIFS(S$20:S$1515,$A$20:$A$1515,$A1364))</f>
        <v>0</v>
      </c>
      <c r="AA1364">
        <f t="shared" ref="AA1364:AA1427" si="371">IF($E1364=0,0,SUMIFS(U$20:U$1515,$A$20:$A$1515,$A1364))</f>
        <v>0</v>
      </c>
      <c r="AB1364">
        <f>--AND($E1364=1,OR('Staff Weekly Trend'!$B$3="All",$DH1364='Staff Weekly Trend'!$B$3),OR('Staff Weekly Trend'!$B$4="All",$D1364='Staff Weekly Trend'!$B$4),OR('Staff Weekly Trend'!$B$5="All",$A1364='Staff Weekly Trend'!$B$5))</f>
        <v>0</v>
      </c>
      <c r="AC1364" t="str">
        <f t="shared" ref="AC1364:AC1427" si="372">IF(OR($E1364=0,AND($F1364=0,$G1364=0)),"",COUNTIFS($A$20:$A$1515,$A1364,$E$20:$E$1515,1,$F$20:$F$1515,"&gt;"&amp;$F1364)+1)</f>
        <v/>
      </c>
      <c r="AI1364">
        <f t="shared" ref="AI1364:AI1427" si="373">IF($E1364=0,0,SUMIFS(N$20:N$1515,$A$20:$A$1515,$A1364))</f>
        <v>0</v>
      </c>
      <c r="AJ1364">
        <f t="shared" ref="AJ1364:AJ1427" si="374">IF($E1364=0,0,SUMIFS(P$20:P$1515,$A$20:$A$1515,$A1364))</f>
        <v>0</v>
      </c>
      <c r="AK1364">
        <f t="shared" ref="AK1364:AK1427" si="375">IF($E1364=0,0,SUMIFS(R$20:R$1515,$A$20:$A$1515,$A1364))</f>
        <v>0</v>
      </c>
      <c r="AL1364">
        <f t="shared" ref="AL1364:AL1427" si="376">IF($E1364=0,0,SUMIFS(T$20:T$1515,$A$20:$A$1515,$A1364))</f>
        <v>0</v>
      </c>
      <c r="AM1364">
        <f t="shared" ref="AM1364:AM1427" si="377">IF($E1364=0,0,SUMIFS(V$20:V$1515,$A$20:$A$1515,$A1364))</f>
        <v>0</v>
      </c>
      <c r="DH1364" t="str" cm="1">
        <f t="array" ref="DH1364">IF($A1364="","",_xlfn.LET(_xlpm.c,IFERROR(_xlfn.XLOOKUP($A1364,TRIM('Sales and count'!$A$4:$A$300&amp;""),TRIM('Sales and count'!$B$4:$B$300&amp;"")),""),IF(OR(_xlpm.c="",_xlpm.c="0",LEFT(_xlpm.c,1)="#"),"Not set",_xlpm.c)))</f>
        <v/>
      </c>
    </row>
    <row r="1365" spans="1:112" x14ac:dyDescent="0.25">
      <c r="A1365" t="str">
        <f>IF('Staff Daily sales'!$B1350="","",TRIM('Staff Daily sales'!$B1350&amp;""))</f>
        <v/>
      </c>
      <c r="B1365" t="str">
        <f>IF('Staff Daily sales'!$D1350="","",TRIM('Staff Daily sales'!$D1350&amp;""))</f>
        <v/>
      </c>
      <c r="C1365" t="str">
        <f>IFERROR(TRIM('Staff Daily sales'!$E1350&amp;""),"")</f>
        <v/>
      </c>
      <c r="D1365" t="str">
        <f>IFERROR(IF(TRIM('Staff Daily sales'!$F1350&amp;"")="","Unassigned",TRIM('Staff Daily sales'!$F1350&amp;"")),"Unassigned")</f>
        <v>Unassigned</v>
      </c>
      <c r="E1365">
        <f t="shared" si="362"/>
        <v>0</v>
      </c>
      <c r="F1365">
        <f>IF($E1365=0,0,SUMPRODUCT($AI$5:$DF$5,'Staff Daily sales'!$G1350:$CD1350))</f>
        <v>0</v>
      </c>
      <c r="G1365">
        <f>IF($E1365=0,0,SUMPRODUCT($AI$6:$DF$6,'Staff Daily sales'!$G1350:$CD1350))</f>
        <v>0</v>
      </c>
      <c r="H1365">
        <f t="shared" si="363"/>
        <v>0</v>
      </c>
      <c r="I1365">
        <f t="shared" si="364"/>
        <v>0</v>
      </c>
      <c r="J1365">
        <f t="shared" si="365"/>
        <v>0</v>
      </c>
      <c r="K1365">
        <f t="shared" si="366"/>
        <v>0</v>
      </c>
      <c r="L1365">
        <f>--AND($E1365=1,OR('Staff Dashboard'!$B$6="All",$DH1365='Staff Dashboard'!$B$6),OR('Staff Dashboard'!$B$7="All",$D1365='Staff Dashboard'!$B$7),OR('Staff Dashboard'!$B$8="All",$A1365='Staff Dashboard'!$B$8))</f>
        <v>0</v>
      </c>
      <c r="M1365">
        <f>IF($E1365=0,0,SUMPRODUCT($AI$7:$DF$7,'Staff Daily sales'!$G1350:$CD1350))</f>
        <v>0</v>
      </c>
      <c r="N1365">
        <f>IF($E1365=0,0,SUMPRODUCT($AI$8:$DF$8,'Staff Daily sales'!$G1350:$CD1350))</f>
        <v>0</v>
      </c>
      <c r="O1365">
        <f>IF($E1365=0,0,SUMPRODUCT($AI$9:$DF$9,'Staff Daily sales'!$G1350:$CD1350))</f>
        <v>0</v>
      </c>
      <c r="P1365">
        <f>IF($E1365=0,0,SUMPRODUCT($AI$10:$DF$10,'Staff Daily sales'!$G1350:$CD1350))</f>
        <v>0</v>
      </c>
      <c r="Q1365">
        <f>IF($E1365=0,0,SUMPRODUCT($AI$11:$DF$11,'Staff Daily sales'!$G1350:$CD1350))</f>
        <v>0</v>
      </c>
      <c r="R1365">
        <f>IF($E1365=0,0,SUMPRODUCT($AI$12:$DF$12,'Staff Daily sales'!$G1350:$CD1350))</f>
        <v>0</v>
      </c>
      <c r="S1365">
        <f>IF($E1365=0,0,SUMPRODUCT($AI$13:$DF$13,'Staff Daily sales'!$G1350:$CD1350))</f>
        <v>0</v>
      </c>
      <c r="T1365">
        <f>IF($E1365=0,0,SUMPRODUCT($AI$14:$DF$14,'Staff Daily sales'!$G1350:$CD1350))</f>
        <v>0</v>
      </c>
      <c r="U1365">
        <f>IF($E1365=0,0,SUMPRODUCT($AI$15:$DF$15,'Staff Daily sales'!$G1350:$CD1350))</f>
        <v>0</v>
      </c>
      <c r="V1365">
        <f>IF($E1365=0,0,SUMPRODUCT($AI$16:$DF$16,'Staff Daily sales'!$G1350:$CD1350))</f>
        <v>0</v>
      </c>
      <c r="W1365">
        <f t="shared" si="367"/>
        <v>0</v>
      </c>
      <c r="X1365">
        <f t="shared" si="368"/>
        <v>0</v>
      </c>
      <c r="Y1365">
        <f t="shared" si="369"/>
        <v>0</v>
      </c>
      <c r="Z1365">
        <f t="shared" si="370"/>
        <v>0</v>
      </c>
      <c r="AA1365">
        <f t="shared" si="371"/>
        <v>0</v>
      </c>
      <c r="AB1365">
        <f>--AND($E1365=1,OR('Staff Weekly Trend'!$B$3="All",$DH1365='Staff Weekly Trend'!$B$3),OR('Staff Weekly Trend'!$B$4="All",$D1365='Staff Weekly Trend'!$B$4),OR('Staff Weekly Trend'!$B$5="All",$A1365='Staff Weekly Trend'!$B$5))</f>
        <v>0</v>
      </c>
      <c r="AC1365" t="str">
        <f t="shared" si="372"/>
        <v/>
      </c>
      <c r="AI1365">
        <f t="shared" si="373"/>
        <v>0</v>
      </c>
      <c r="AJ1365">
        <f t="shared" si="374"/>
        <v>0</v>
      </c>
      <c r="AK1365">
        <f t="shared" si="375"/>
        <v>0</v>
      </c>
      <c r="AL1365">
        <f t="shared" si="376"/>
        <v>0</v>
      </c>
      <c r="AM1365">
        <f t="shared" si="377"/>
        <v>0</v>
      </c>
      <c r="DH1365" t="str" cm="1">
        <f t="array" ref="DH1365">IF($A1365="","",_xlfn.LET(_xlpm.c,IFERROR(_xlfn.XLOOKUP($A1365,TRIM('Sales and count'!$A$4:$A$300&amp;""),TRIM('Sales and count'!$B$4:$B$300&amp;"")),""),IF(OR(_xlpm.c="",_xlpm.c="0",LEFT(_xlpm.c,1)="#"),"Not set",_xlpm.c)))</f>
        <v/>
      </c>
    </row>
    <row r="1366" spans="1:112" x14ac:dyDescent="0.25">
      <c r="A1366" t="str">
        <f>IF('Staff Daily sales'!$B1351="","",TRIM('Staff Daily sales'!$B1351&amp;""))</f>
        <v/>
      </c>
      <c r="B1366" t="str">
        <f>IF('Staff Daily sales'!$D1351="","",TRIM('Staff Daily sales'!$D1351&amp;""))</f>
        <v/>
      </c>
      <c r="C1366" t="str">
        <f>IFERROR(TRIM('Staff Daily sales'!$E1351&amp;""),"")</f>
        <v/>
      </c>
      <c r="D1366" t="str">
        <f>IFERROR(IF(TRIM('Staff Daily sales'!$F1351&amp;"")="","Unassigned",TRIM('Staff Daily sales'!$F1351&amp;"")),"Unassigned")</f>
        <v>Unassigned</v>
      </c>
      <c r="E1366">
        <f t="shared" si="362"/>
        <v>0</v>
      </c>
      <c r="F1366">
        <f>IF($E1366=0,0,SUMPRODUCT($AI$5:$DF$5,'Staff Daily sales'!$G1351:$CD1351))</f>
        <v>0</v>
      </c>
      <c r="G1366">
        <f>IF($E1366=0,0,SUMPRODUCT($AI$6:$DF$6,'Staff Daily sales'!$G1351:$CD1351))</f>
        <v>0</v>
      </c>
      <c r="H1366">
        <f t="shared" si="363"/>
        <v>0</v>
      </c>
      <c r="I1366">
        <f t="shared" si="364"/>
        <v>0</v>
      </c>
      <c r="J1366">
        <f t="shared" si="365"/>
        <v>0</v>
      </c>
      <c r="K1366">
        <f t="shared" si="366"/>
        <v>0</v>
      </c>
      <c r="L1366">
        <f>--AND($E1366=1,OR('Staff Dashboard'!$B$6="All",$DH1366='Staff Dashboard'!$B$6),OR('Staff Dashboard'!$B$7="All",$D1366='Staff Dashboard'!$B$7),OR('Staff Dashboard'!$B$8="All",$A1366='Staff Dashboard'!$B$8))</f>
        <v>0</v>
      </c>
      <c r="M1366">
        <f>IF($E1366=0,0,SUMPRODUCT($AI$7:$DF$7,'Staff Daily sales'!$G1351:$CD1351))</f>
        <v>0</v>
      </c>
      <c r="N1366">
        <f>IF($E1366=0,0,SUMPRODUCT($AI$8:$DF$8,'Staff Daily sales'!$G1351:$CD1351))</f>
        <v>0</v>
      </c>
      <c r="O1366">
        <f>IF($E1366=0,0,SUMPRODUCT($AI$9:$DF$9,'Staff Daily sales'!$G1351:$CD1351))</f>
        <v>0</v>
      </c>
      <c r="P1366">
        <f>IF($E1366=0,0,SUMPRODUCT($AI$10:$DF$10,'Staff Daily sales'!$G1351:$CD1351))</f>
        <v>0</v>
      </c>
      <c r="Q1366">
        <f>IF($E1366=0,0,SUMPRODUCT($AI$11:$DF$11,'Staff Daily sales'!$G1351:$CD1351))</f>
        <v>0</v>
      </c>
      <c r="R1366">
        <f>IF($E1366=0,0,SUMPRODUCT($AI$12:$DF$12,'Staff Daily sales'!$G1351:$CD1351))</f>
        <v>0</v>
      </c>
      <c r="S1366">
        <f>IF($E1366=0,0,SUMPRODUCT($AI$13:$DF$13,'Staff Daily sales'!$G1351:$CD1351))</f>
        <v>0</v>
      </c>
      <c r="T1366">
        <f>IF($E1366=0,0,SUMPRODUCT($AI$14:$DF$14,'Staff Daily sales'!$G1351:$CD1351))</f>
        <v>0</v>
      </c>
      <c r="U1366">
        <f>IF($E1366=0,0,SUMPRODUCT($AI$15:$DF$15,'Staff Daily sales'!$G1351:$CD1351))</f>
        <v>0</v>
      </c>
      <c r="V1366">
        <f>IF($E1366=0,0,SUMPRODUCT($AI$16:$DF$16,'Staff Daily sales'!$G1351:$CD1351))</f>
        <v>0</v>
      </c>
      <c r="W1366">
        <f t="shared" si="367"/>
        <v>0</v>
      </c>
      <c r="X1366">
        <f t="shared" si="368"/>
        <v>0</v>
      </c>
      <c r="Y1366">
        <f t="shared" si="369"/>
        <v>0</v>
      </c>
      <c r="Z1366">
        <f t="shared" si="370"/>
        <v>0</v>
      </c>
      <c r="AA1366">
        <f t="shared" si="371"/>
        <v>0</v>
      </c>
      <c r="AB1366">
        <f>--AND($E1366=1,OR('Staff Weekly Trend'!$B$3="All",$DH1366='Staff Weekly Trend'!$B$3),OR('Staff Weekly Trend'!$B$4="All",$D1366='Staff Weekly Trend'!$B$4),OR('Staff Weekly Trend'!$B$5="All",$A1366='Staff Weekly Trend'!$B$5))</f>
        <v>0</v>
      </c>
      <c r="AC1366" t="str">
        <f t="shared" si="372"/>
        <v/>
      </c>
      <c r="AI1366">
        <f t="shared" si="373"/>
        <v>0</v>
      </c>
      <c r="AJ1366">
        <f t="shared" si="374"/>
        <v>0</v>
      </c>
      <c r="AK1366">
        <f t="shared" si="375"/>
        <v>0</v>
      </c>
      <c r="AL1366">
        <f t="shared" si="376"/>
        <v>0</v>
      </c>
      <c r="AM1366">
        <f t="shared" si="377"/>
        <v>0</v>
      </c>
      <c r="DH1366" t="str" cm="1">
        <f t="array" ref="DH1366">IF($A1366="","",_xlfn.LET(_xlpm.c,IFERROR(_xlfn.XLOOKUP($A1366,TRIM('Sales and count'!$A$4:$A$300&amp;""),TRIM('Sales and count'!$B$4:$B$300&amp;"")),""),IF(OR(_xlpm.c="",_xlpm.c="0",LEFT(_xlpm.c,1)="#"),"Not set",_xlpm.c)))</f>
        <v/>
      </c>
    </row>
    <row r="1367" spans="1:112" x14ac:dyDescent="0.25">
      <c r="A1367" t="str">
        <f>IF('Staff Daily sales'!$B1352="","",TRIM('Staff Daily sales'!$B1352&amp;""))</f>
        <v/>
      </c>
      <c r="B1367" t="str">
        <f>IF('Staff Daily sales'!$D1352="","",TRIM('Staff Daily sales'!$D1352&amp;""))</f>
        <v/>
      </c>
      <c r="C1367" t="str">
        <f>IFERROR(TRIM('Staff Daily sales'!$E1352&amp;""),"")</f>
        <v/>
      </c>
      <c r="D1367" t="str">
        <f>IFERROR(IF(TRIM('Staff Daily sales'!$F1352&amp;"")="","Unassigned",TRIM('Staff Daily sales'!$F1352&amp;"")),"Unassigned")</f>
        <v>Unassigned</v>
      </c>
      <c r="E1367">
        <f t="shared" si="362"/>
        <v>0</v>
      </c>
      <c r="F1367">
        <f>IF($E1367=0,0,SUMPRODUCT($AI$5:$DF$5,'Staff Daily sales'!$G1352:$CD1352))</f>
        <v>0</v>
      </c>
      <c r="G1367">
        <f>IF($E1367=0,0,SUMPRODUCT($AI$6:$DF$6,'Staff Daily sales'!$G1352:$CD1352))</f>
        <v>0</v>
      </c>
      <c r="H1367">
        <f t="shared" si="363"/>
        <v>0</v>
      </c>
      <c r="I1367">
        <f t="shared" si="364"/>
        <v>0</v>
      </c>
      <c r="J1367">
        <f t="shared" si="365"/>
        <v>0</v>
      </c>
      <c r="K1367">
        <f t="shared" si="366"/>
        <v>0</v>
      </c>
      <c r="L1367">
        <f>--AND($E1367=1,OR('Staff Dashboard'!$B$6="All",$DH1367='Staff Dashboard'!$B$6),OR('Staff Dashboard'!$B$7="All",$D1367='Staff Dashboard'!$B$7),OR('Staff Dashboard'!$B$8="All",$A1367='Staff Dashboard'!$B$8))</f>
        <v>0</v>
      </c>
      <c r="M1367">
        <f>IF($E1367=0,0,SUMPRODUCT($AI$7:$DF$7,'Staff Daily sales'!$G1352:$CD1352))</f>
        <v>0</v>
      </c>
      <c r="N1367">
        <f>IF($E1367=0,0,SUMPRODUCT($AI$8:$DF$8,'Staff Daily sales'!$G1352:$CD1352))</f>
        <v>0</v>
      </c>
      <c r="O1367">
        <f>IF($E1367=0,0,SUMPRODUCT($AI$9:$DF$9,'Staff Daily sales'!$G1352:$CD1352))</f>
        <v>0</v>
      </c>
      <c r="P1367">
        <f>IF($E1367=0,0,SUMPRODUCT($AI$10:$DF$10,'Staff Daily sales'!$G1352:$CD1352))</f>
        <v>0</v>
      </c>
      <c r="Q1367">
        <f>IF($E1367=0,0,SUMPRODUCT($AI$11:$DF$11,'Staff Daily sales'!$G1352:$CD1352))</f>
        <v>0</v>
      </c>
      <c r="R1367">
        <f>IF($E1367=0,0,SUMPRODUCT($AI$12:$DF$12,'Staff Daily sales'!$G1352:$CD1352))</f>
        <v>0</v>
      </c>
      <c r="S1367">
        <f>IF($E1367=0,0,SUMPRODUCT($AI$13:$DF$13,'Staff Daily sales'!$G1352:$CD1352))</f>
        <v>0</v>
      </c>
      <c r="T1367">
        <f>IF($E1367=0,0,SUMPRODUCT($AI$14:$DF$14,'Staff Daily sales'!$G1352:$CD1352))</f>
        <v>0</v>
      </c>
      <c r="U1367">
        <f>IF($E1367=0,0,SUMPRODUCT($AI$15:$DF$15,'Staff Daily sales'!$G1352:$CD1352))</f>
        <v>0</v>
      </c>
      <c r="V1367">
        <f>IF($E1367=0,0,SUMPRODUCT($AI$16:$DF$16,'Staff Daily sales'!$G1352:$CD1352))</f>
        <v>0</v>
      </c>
      <c r="W1367">
        <f t="shared" si="367"/>
        <v>0</v>
      </c>
      <c r="X1367">
        <f t="shared" si="368"/>
        <v>0</v>
      </c>
      <c r="Y1367">
        <f t="shared" si="369"/>
        <v>0</v>
      </c>
      <c r="Z1367">
        <f t="shared" si="370"/>
        <v>0</v>
      </c>
      <c r="AA1367">
        <f t="shared" si="371"/>
        <v>0</v>
      </c>
      <c r="AB1367">
        <f>--AND($E1367=1,OR('Staff Weekly Trend'!$B$3="All",$DH1367='Staff Weekly Trend'!$B$3),OR('Staff Weekly Trend'!$B$4="All",$D1367='Staff Weekly Trend'!$B$4),OR('Staff Weekly Trend'!$B$5="All",$A1367='Staff Weekly Trend'!$B$5))</f>
        <v>0</v>
      </c>
      <c r="AC1367" t="str">
        <f t="shared" si="372"/>
        <v/>
      </c>
      <c r="AI1367">
        <f t="shared" si="373"/>
        <v>0</v>
      </c>
      <c r="AJ1367">
        <f t="shared" si="374"/>
        <v>0</v>
      </c>
      <c r="AK1367">
        <f t="shared" si="375"/>
        <v>0</v>
      </c>
      <c r="AL1367">
        <f t="shared" si="376"/>
        <v>0</v>
      </c>
      <c r="AM1367">
        <f t="shared" si="377"/>
        <v>0</v>
      </c>
      <c r="DH1367" t="str" cm="1">
        <f t="array" ref="DH1367">IF($A1367="","",_xlfn.LET(_xlpm.c,IFERROR(_xlfn.XLOOKUP($A1367,TRIM('Sales and count'!$A$4:$A$300&amp;""),TRIM('Sales and count'!$B$4:$B$300&amp;"")),""),IF(OR(_xlpm.c="",_xlpm.c="0",LEFT(_xlpm.c,1)="#"),"Not set",_xlpm.c)))</f>
        <v/>
      </c>
    </row>
    <row r="1368" spans="1:112" x14ac:dyDescent="0.25">
      <c r="A1368" t="str">
        <f>IF('Staff Daily sales'!$B1353="","",TRIM('Staff Daily sales'!$B1353&amp;""))</f>
        <v/>
      </c>
      <c r="B1368" t="str">
        <f>IF('Staff Daily sales'!$D1353="","",TRIM('Staff Daily sales'!$D1353&amp;""))</f>
        <v/>
      </c>
      <c r="C1368" t="str">
        <f>IFERROR(TRIM('Staff Daily sales'!$E1353&amp;""),"")</f>
        <v/>
      </c>
      <c r="D1368" t="str">
        <f>IFERROR(IF(TRIM('Staff Daily sales'!$F1353&amp;"")="","Unassigned",TRIM('Staff Daily sales'!$F1353&amp;"")),"Unassigned")</f>
        <v>Unassigned</v>
      </c>
      <c r="E1368">
        <f t="shared" si="362"/>
        <v>0</v>
      </c>
      <c r="F1368">
        <f>IF($E1368=0,0,SUMPRODUCT($AI$5:$DF$5,'Staff Daily sales'!$G1353:$CD1353))</f>
        <v>0</v>
      </c>
      <c r="G1368">
        <f>IF($E1368=0,0,SUMPRODUCT($AI$6:$DF$6,'Staff Daily sales'!$G1353:$CD1353))</f>
        <v>0</v>
      </c>
      <c r="H1368">
        <f t="shared" si="363"/>
        <v>0</v>
      </c>
      <c r="I1368">
        <f t="shared" si="364"/>
        <v>0</v>
      </c>
      <c r="J1368">
        <f t="shared" si="365"/>
        <v>0</v>
      </c>
      <c r="K1368">
        <f t="shared" si="366"/>
        <v>0</v>
      </c>
      <c r="L1368">
        <f>--AND($E1368=1,OR('Staff Dashboard'!$B$6="All",$DH1368='Staff Dashboard'!$B$6),OR('Staff Dashboard'!$B$7="All",$D1368='Staff Dashboard'!$B$7),OR('Staff Dashboard'!$B$8="All",$A1368='Staff Dashboard'!$B$8))</f>
        <v>0</v>
      </c>
      <c r="M1368">
        <f>IF($E1368=0,0,SUMPRODUCT($AI$7:$DF$7,'Staff Daily sales'!$G1353:$CD1353))</f>
        <v>0</v>
      </c>
      <c r="N1368">
        <f>IF($E1368=0,0,SUMPRODUCT($AI$8:$DF$8,'Staff Daily sales'!$G1353:$CD1353))</f>
        <v>0</v>
      </c>
      <c r="O1368">
        <f>IF($E1368=0,0,SUMPRODUCT($AI$9:$DF$9,'Staff Daily sales'!$G1353:$CD1353))</f>
        <v>0</v>
      </c>
      <c r="P1368">
        <f>IF($E1368=0,0,SUMPRODUCT($AI$10:$DF$10,'Staff Daily sales'!$G1353:$CD1353))</f>
        <v>0</v>
      </c>
      <c r="Q1368">
        <f>IF($E1368=0,0,SUMPRODUCT($AI$11:$DF$11,'Staff Daily sales'!$G1353:$CD1353))</f>
        <v>0</v>
      </c>
      <c r="R1368">
        <f>IF($E1368=0,0,SUMPRODUCT($AI$12:$DF$12,'Staff Daily sales'!$G1353:$CD1353))</f>
        <v>0</v>
      </c>
      <c r="S1368">
        <f>IF($E1368=0,0,SUMPRODUCT($AI$13:$DF$13,'Staff Daily sales'!$G1353:$CD1353))</f>
        <v>0</v>
      </c>
      <c r="T1368">
        <f>IF($E1368=0,0,SUMPRODUCT($AI$14:$DF$14,'Staff Daily sales'!$G1353:$CD1353))</f>
        <v>0</v>
      </c>
      <c r="U1368">
        <f>IF($E1368=0,0,SUMPRODUCT($AI$15:$DF$15,'Staff Daily sales'!$G1353:$CD1353))</f>
        <v>0</v>
      </c>
      <c r="V1368">
        <f>IF($E1368=0,0,SUMPRODUCT($AI$16:$DF$16,'Staff Daily sales'!$G1353:$CD1353))</f>
        <v>0</v>
      </c>
      <c r="W1368">
        <f t="shared" si="367"/>
        <v>0</v>
      </c>
      <c r="X1368">
        <f t="shared" si="368"/>
        <v>0</v>
      </c>
      <c r="Y1368">
        <f t="shared" si="369"/>
        <v>0</v>
      </c>
      <c r="Z1368">
        <f t="shared" si="370"/>
        <v>0</v>
      </c>
      <c r="AA1368">
        <f t="shared" si="371"/>
        <v>0</v>
      </c>
      <c r="AB1368">
        <f>--AND($E1368=1,OR('Staff Weekly Trend'!$B$3="All",$DH1368='Staff Weekly Trend'!$B$3),OR('Staff Weekly Trend'!$B$4="All",$D1368='Staff Weekly Trend'!$B$4),OR('Staff Weekly Trend'!$B$5="All",$A1368='Staff Weekly Trend'!$B$5))</f>
        <v>0</v>
      </c>
      <c r="AC1368" t="str">
        <f t="shared" si="372"/>
        <v/>
      </c>
      <c r="AI1368">
        <f t="shared" si="373"/>
        <v>0</v>
      </c>
      <c r="AJ1368">
        <f t="shared" si="374"/>
        <v>0</v>
      </c>
      <c r="AK1368">
        <f t="shared" si="375"/>
        <v>0</v>
      </c>
      <c r="AL1368">
        <f t="shared" si="376"/>
        <v>0</v>
      </c>
      <c r="AM1368">
        <f t="shared" si="377"/>
        <v>0</v>
      </c>
      <c r="DH1368" t="str" cm="1">
        <f t="array" ref="DH1368">IF($A1368="","",_xlfn.LET(_xlpm.c,IFERROR(_xlfn.XLOOKUP($A1368,TRIM('Sales and count'!$A$4:$A$300&amp;""),TRIM('Sales and count'!$B$4:$B$300&amp;"")),""),IF(OR(_xlpm.c="",_xlpm.c="0",LEFT(_xlpm.c,1)="#"),"Not set",_xlpm.c)))</f>
        <v/>
      </c>
    </row>
    <row r="1369" spans="1:112" x14ac:dyDescent="0.25">
      <c r="A1369" t="str">
        <f>IF('Staff Daily sales'!$B1354="","",TRIM('Staff Daily sales'!$B1354&amp;""))</f>
        <v/>
      </c>
      <c r="B1369" t="str">
        <f>IF('Staff Daily sales'!$D1354="","",TRIM('Staff Daily sales'!$D1354&amp;""))</f>
        <v/>
      </c>
      <c r="C1369" t="str">
        <f>IFERROR(TRIM('Staff Daily sales'!$E1354&amp;""),"")</f>
        <v/>
      </c>
      <c r="D1369" t="str">
        <f>IFERROR(IF(TRIM('Staff Daily sales'!$F1354&amp;"")="","Unassigned",TRIM('Staff Daily sales'!$F1354&amp;"")),"Unassigned")</f>
        <v>Unassigned</v>
      </c>
      <c r="E1369">
        <f t="shared" si="362"/>
        <v>0</v>
      </c>
      <c r="F1369">
        <f>IF($E1369=0,0,SUMPRODUCT($AI$5:$DF$5,'Staff Daily sales'!$G1354:$CD1354))</f>
        <v>0</v>
      </c>
      <c r="G1369">
        <f>IF($E1369=0,0,SUMPRODUCT($AI$6:$DF$6,'Staff Daily sales'!$G1354:$CD1354))</f>
        <v>0</v>
      </c>
      <c r="H1369">
        <f t="shared" si="363"/>
        <v>0</v>
      </c>
      <c r="I1369">
        <f t="shared" si="364"/>
        <v>0</v>
      </c>
      <c r="J1369">
        <f t="shared" si="365"/>
        <v>0</v>
      </c>
      <c r="K1369">
        <f t="shared" si="366"/>
        <v>0</v>
      </c>
      <c r="L1369">
        <f>--AND($E1369=1,OR('Staff Dashboard'!$B$6="All",$DH1369='Staff Dashboard'!$B$6),OR('Staff Dashboard'!$B$7="All",$D1369='Staff Dashboard'!$B$7),OR('Staff Dashboard'!$B$8="All",$A1369='Staff Dashboard'!$B$8))</f>
        <v>0</v>
      </c>
      <c r="M1369">
        <f>IF($E1369=0,0,SUMPRODUCT($AI$7:$DF$7,'Staff Daily sales'!$G1354:$CD1354))</f>
        <v>0</v>
      </c>
      <c r="N1369">
        <f>IF($E1369=0,0,SUMPRODUCT($AI$8:$DF$8,'Staff Daily sales'!$G1354:$CD1354))</f>
        <v>0</v>
      </c>
      <c r="O1369">
        <f>IF($E1369=0,0,SUMPRODUCT($AI$9:$DF$9,'Staff Daily sales'!$G1354:$CD1354))</f>
        <v>0</v>
      </c>
      <c r="P1369">
        <f>IF($E1369=0,0,SUMPRODUCT($AI$10:$DF$10,'Staff Daily sales'!$G1354:$CD1354))</f>
        <v>0</v>
      </c>
      <c r="Q1369">
        <f>IF($E1369=0,0,SUMPRODUCT($AI$11:$DF$11,'Staff Daily sales'!$G1354:$CD1354))</f>
        <v>0</v>
      </c>
      <c r="R1369">
        <f>IF($E1369=0,0,SUMPRODUCT($AI$12:$DF$12,'Staff Daily sales'!$G1354:$CD1354))</f>
        <v>0</v>
      </c>
      <c r="S1369">
        <f>IF($E1369=0,0,SUMPRODUCT($AI$13:$DF$13,'Staff Daily sales'!$G1354:$CD1354))</f>
        <v>0</v>
      </c>
      <c r="T1369">
        <f>IF($E1369=0,0,SUMPRODUCT($AI$14:$DF$14,'Staff Daily sales'!$G1354:$CD1354))</f>
        <v>0</v>
      </c>
      <c r="U1369">
        <f>IF($E1369=0,0,SUMPRODUCT($AI$15:$DF$15,'Staff Daily sales'!$G1354:$CD1354))</f>
        <v>0</v>
      </c>
      <c r="V1369">
        <f>IF($E1369=0,0,SUMPRODUCT($AI$16:$DF$16,'Staff Daily sales'!$G1354:$CD1354))</f>
        <v>0</v>
      </c>
      <c r="W1369">
        <f t="shared" si="367"/>
        <v>0</v>
      </c>
      <c r="X1369">
        <f t="shared" si="368"/>
        <v>0</v>
      </c>
      <c r="Y1369">
        <f t="shared" si="369"/>
        <v>0</v>
      </c>
      <c r="Z1369">
        <f t="shared" si="370"/>
        <v>0</v>
      </c>
      <c r="AA1369">
        <f t="shared" si="371"/>
        <v>0</v>
      </c>
      <c r="AB1369">
        <f>--AND($E1369=1,OR('Staff Weekly Trend'!$B$3="All",$DH1369='Staff Weekly Trend'!$B$3),OR('Staff Weekly Trend'!$B$4="All",$D1369='Staff Weekly Trend'!$B$4),OR('Staff Weekly Trend'!$B$5="All",$A1369='Staff Weekly Trend'!$B$5))</f>
        <v>0</v>
      </c>
      <c r="AC1369" t="str">
        <f t="shared" si="372"/>
        <v/>
      </c>
      <c r="AI1369">
        <f t="shared" si="373"/>
        <v>0</v>
      </c>
      <c r="AJ1369">
        <f t="shared" si="374"/>
        <v>0</v>
      </c>
      <c r="AK1369">
        <f t="shared" si="375"/>
        <v>0</v>
      </c>
      <c r="AL1369">
        <f t="shared" si="376"/>
        <v>0</v>
      </c>
      <c r="AM1369">
        <f t="shared" si="377"/>
        <v>0</v>
      </c>
      <c r="DH1369" t="str" cm="1">
        <f t="array" ref="DH1369">IF($A1369="","",_xlfn.LET(_xlpm.c,IFERROR(_xlfn.XLOOKUP($A1369,TRIM('Sales and count'!$A$4:$A$300&amp;""),TRIM('Sales and count'!$B$4:$B$300&amp;"")),""),IF(OR(_xlpm.c="",_xlpm.c="0",LEFT(_xlpm.c,1)="#"),"Not set",_xlpm.c)))</f>
        <v/>
      </c>
    </row>
    <row r="1370" spans="1:112" x14ac:dyDescent="0.25">
      <c r="A1370" t="str">
        <f>IF('Staff Daily sales'!$B1355="","",TRIM('Staff Daily sales'!$B1355&amp;""))</f>
        <v/>
      </c>
      <c r="B1370" t="str">
        <f>IF('Staff Daily sales'!$D1355="","",TRIM('Staff Daily sales'!$D1355&amp;""))</f>
        <v/>
      </c>
      <c r="C1370" t="str">
        <f>IFERROR(TRIM('Staff Daily sales'!$E1355&amp;""),"")</f>
        <v/>
      </c>
      <c r="D1370" t="str">
        <f>IFERROR(IF(TRIM('Staff Daily sales'!$F1355&amp;"")="","Unassigned",TRIM('Staff Daily sales'!$F1355&amp;"")),"Unassigned")</f>
        <v>Unassigned</v>
      </c>
      <c r="E1370">
        <f t="shared" si="362"/>
        <v>0</v>
      </c>
      <c r="F1370">
        <f>IF($E1370=0,0,SUMPRODUCT($AI$5:$DF$5,'Staff Daily sales'!$G1355:$CD1355))</f>
        <v>0</v>
      </c>
      <c r="G1370">
        <f>IF($E1370=0,0,SUMPRODUCT($AI$6:$DF$6,'Staff Daily sales'!$G1355:$CD1355))</f>
        <v>0</v>
      </c>
      <c r="H1370">
        <f t="shared" si="363"/>
        <v>0</v>
      </c>
      <c r="I1370">
        <f t="shared" si="364"/>
        <v>0</v>
      </c>
      <c r="J1370">
        <f t="shared" si="365"/>
        <v>0</v>
      </c>
      <c r="K1370">
        <f t="shared" si="366"/>
        <v>0</v>
      </c>
      <c r="L1370">
        <f>--AND($E1370=1,OR('Staff Dashboard'!$B$6="All",$DH1370='Staff Dashboard'!$B$6),OR('Staff Dashboard'!$B$7="All",$D1370='Staff Dashboard'!$B$7),OR('Staff Dashboard'!$B$8="All",$A1370='Staff Dashboard'!$B$8))</f>
        <v>0</v>
      </c>
      <c r="M1370">
        <f>IF($E1370=0,0,SUMPRODUCT($AI$7:$DF$7,'Staff Daily sales'!$G1355:$CD1355))</f>
        <v>0</v>
      </c>
      <c r="N1370">
        <f>IF($E1370=0,0,SUMPRODUCT($AI$8:$DF$8,'Staff Daily sales'!$G1355:$CD1355))</f>
        <v>0</v>
      </c>
      <c r="O1370">
        <f>IF($E1370=0,0,SUMPRODUCT($AI$9:$DF$9,'Staff Daily sales'!$G1355:$CD1355))</f>
        <v>0</v>
      </c>
      <c r="P1370">
        <f>IF($E1370=0,0,SUMPRODUCT($AI$10:$DF$10,'Staff Daily sales'!$G1355:$CD1355))</f>
        <v>0</v>
      </c>
      <c r="Q1370">
        <f>IF($E1370=0,0,SUMPRODUCT($AI$11:$DF$11,'Staff Daily sales'!$G1355:$CD1355))</f>
        <v>0</v>
      </c>
      <c r="R1370">
        <f>IF($E1370=0,0,SUMPRODUCT($AI$12:$DF$12,'Staff Daily sales'!$G1355:$CD1355))</f>
        <v>0</v>
      </c>
      <c r="S1370">
        <f>IF($E1370=0,0,SUMPRODUCT($AI$13:$DF$13,'Staff Daily sales'!$G1355:$CD1355))</f>
        <v>0</v>
      </c>
      <c r="T1370">
        <f>IF($E1370=0,0,SUMPRODUCT($AI$14:$DF$14,'Staff Daily sales'!$G1355:$CD1355))</f>
        <v>0</v>
      </c>
      <c r="U1370">
        <f>IF($E1370=0,0,SUMPRODUCT($AI$15:$DF$15,'Staff Daily sales'!$G1355:$CD1355))</f>
        <v>0</v>
      </c>
      <c r="V1370">
        <f>IF($E1370=0,0,SUMPRODUCT($AI$16:$DF$16,'Staff Daily sales'!$G1355:$CD1355))</f>
        <v>0</v>
      </c>
      <c r="W1370">
        <f t="shared" si="367"/>
        <v>0</v>
      </c>
      <c r="X1370">
        <f t="shared" si="368"/>
        <v>0</v>
      </c>
      <c r="Y1370">
        <f t="shared" si="369"/>
        <v>0</v>
      </c>
      <c r="Z1370">
        <f t="shared" si="370"/>
        <v>0</v>
      </c>
      <c r="AA1370">
        <f t="shared" si="371"/>
        <v>0</v>
      </c>
      <c r="AB1370">
        <f>--AND($E1370=1,OR('Staff Weekly Trend'!$B$3="All",$DH1370='Staff Weekly Trend'!$B$3),OR('Staff Weekly Trend'!$B$4="All",$D1370='Staff Weekly Trend'!$B$4),OR('Staff Weekly Trend'!$B$5="All",$A1370='Staff Weekly Trend'!$B$5))</f>
        <v>0</v>
      </c>
      <c r="AC1370" t="str">
        <f t="shared" si="372"/>
        <v/>
      </c>
      <c r="AI1370">
        <f t="shared" si="373"/>
        <v>0</v>
      </c>
      <c r="AJ1370">
        <f t="shared" si="374"/>
        <v>0</v>
      </c>
      <c r="AK1370">
        <f t="shared" si="375"/>
        <v>0</v>
      </c>
      <c r="AL1370">
        <f t="shared" si="376"/>
        <v>0</v>
      </c>
      <c r="AM1370">
        <f t="shared" si="377"/>
        <v>0</v>
      </c>
      <c r="DH1370" t="str" cm="1">
        <f t="array" ref="DH1370">IF($A1370="","",_xlfn.LET(_xlpm.c,IFERROR(_xlfn.XLOOKUP($A1370,TRIM('Sales and count'!$A$4:$A$300&amp;""),TRIM('Sales and count'!$B$4:$B$300&amp;"")),""),IF(OR(_xlpm.c="",_xlpm.c="0",LEFT(_xlpm.c,1)="#"),"Not set",_xlpm.c)))</f>
        <v/>
      </c>
    </row>
    <row r="1371" spans="1:112" x14ac:dyDescent="0.25">
      <c r="A1371" t="str">
        <f>IF('Staff Daily sales'!$B1356="","",TRIM('Staff Daily sales'!$B1356&amp;""))</f>
        <v/>
      </c>
      <c r="B1371" t="str">
        <f>IF('Staff Daily sales'!$D1356="","",TRIM('Staff Daily sales'!$D1356&amp;""))</f>
        <v/>
      </c>
      <c r="C1371" t="str">
        <f>IFERROR(TRIM('Staff Daily sales'!$E1356&amp;""),"")</f>
        <v/>
      </c>
      <c r="D1371" t="str">
        <f>IFERROR(IF(TRIM('Staff Daily sales'!$F1356&amp;"")="","Unassigned",TRIM('Staff Daily sales'!$F1356&amp;"")),"Unassigned")</f>
        <v>Unassigned</v>
      </c>
      <c r="E1371">
        <f t="shared" si="362"/>
        <v>0</v>
      </c>
      <c r="F1371">
        <f>IF($E1371=0,0,SUMPRODUCT($AI$5:$DF$5,'Staff Daily sales'!$G1356:$CD1356))</f>
        <v>0</v>
      </c>
      <c r="G1371">
        <f>IF($E1371=0,0,SUMPRODUCT($AI$6:$DF$6,'Staff Daily sales'!$G1356:$CD1356))</f>
        <v>0</v>
      </c>
      <c r="H1371">
        <f t="shared" si="363"/>
        <v>0</v>
      </c>
      <c r="I1371">
        <f t="shared" si="364"/>
        <v>0</v>
      </c>
      <c r="J1371">
        <f t="shared" si="365"/>
        <v>0</v>
      </c>
      <c r="K1371">
        <f t="shared" si="366"/>
        <v>0</v>
      </c>
      <c r="L1371">
        <f>--AND($E1371=1,OR('Staff Dashboard'!$B$6="All",$DH1371='Staff Dashboard'!$B$6),OR('Staff Dashboard'!$B$7="All",$D1371='Staff Dashboard'!$B$7),OR('Staff Dashboard'!$B$8="All",$A1371='Staff Dashboard'!$B$8))</f>
        <v>0</v>
      </c>
      <c r="M1371">
        <f>IF($E1371=0,0,SUMPRODUCT($AI$7:$DF$7,'Staff Daily sales'!$G1356:$CD1356))</f>
        <v>0</v>
      </c>
      <c r="N1371">
        <f>IF($E1371=0,0,SUMPRODUCT($AI$8:$DF$8,'Staff Daily sales'!$G1356:$CD1356))</f>
        <v>0</v>
      </c>
      <c r="O1371">
        <f>IF($E1371=0,0,SUMPRODUCT($AI$9:$DF$9,'Staff Daily sales'!$G1356:$CD1356))</f>
        <v>0</v>
      </c>
      <c r="P1371">
        <f>IF($E1371=0,0,SUMPRODUCT($AI$10:$DF$10,'Staff Daily sales'!$G1356:$CD1356))</f>
        <v>0</v>
      </c>
      <c r="Q1371">
        <f>IF($E1371=0,0,SUMPRODUCT($AI$11:$DF$11,'Staff Daily sales'!$G1356:$CD1356))</f>
        <v>0</v>
      </c>
      <c r="R1371">
        <f>IF($E1371=0,0,SUMPRODUCT($AI$12:$DF$12,'Staff Daily sales'!$G1356:$CD1356))</f>
        <v>0</v>
      </c>
      <c r="S1371">
        <f>IF($E1371=0,0,SUMPRODUCT($AI$13:$DF$13,'Staff Daily sales'!$G1356:$CD1356))</f>
        <v>0</v>
      </c>
      <c r="T1371">
        <f>IF($E1371=0,0,SUMPRODUCT($AI$14:$DF$14,'Staff Daily sales'!$G1356:$CD1356))</f>
        <v>0</v>
      </c>
      <c r="U1371">
        <f>IF($E1371=0,0,SUMPRODUCT($AI$15:$DF$15,'Staff Daily sales'!$G1356:$CD1356))</f>
        <v>0</v>
      </c>
      <c r="V1371">
        <f>IF($E1371=0,0,SUMPRODUCT($AI$16:$DF$16,'Staff Daily sales'!$G1356:$CD1356))</f>
        <v>0</v>
      </c>
      <c r="W1371">
        <f t="shared" si="367"/>
        <v>0</v>
      </c>
      <c r="X1371">
        <f t="shared" si="368"/>
        <v>0</v>
      </c>
      <c r="Y1371">
        <f t="shared" si="369"/>
        <v>0</v>
      </c>
      <c r="Z1371">
        <f t="shared" si="370"/>
        <v>0</v>
      </c>
      <c r="AA1371">
        <f t="shared" si="371"/>
        <v>0</v>
      </c>
      <c r="AB1371">
        <f>--AND($E1371=1,OR('Staff Weekly Trend'!$B$3="All",$DH1371='Staff Weekly Trend'!$B$3),OR('Staff Weekly Trend'!$B$4="All",$D1371='Staff Weekly Trend'!$B$4),OR('Staff Weekly Trend'!$B$5="All",$A1371='Staff Weekly Trend'!$B$5))</f>
        <v>0</v>
      </c>
      <c r="AC1371" t="str">
        <f t="shared" si="372"/>
        <v/>
      </c>
      <c r="AI1371">
        <f t="shared" si="373"/>
        <v>0</v>
      </c>
      <c r="AJ1371">
        <f t="shared" si="374"/>
        <v>0</v>
      </c>
      <c r="AK1371">
        <f t="shared" si="375"/>
        <v>0</v>
      </c>
      <c r="AL1371">
        <f t="shared" si="376"/>
        <v>0</v>
      </c>
      <c r="AM1371">
        <f t="shared" si="377"/>
        <v>0</v>
      </c>
      <c r="DH1371" t="str" cm="1">
        <f t="array" ref="DH1371">IF($A1371="","",_xlfn.LET(_xlpm.c,IFERROR(_xlfn.XLOOKUP($A1371,TRIM('Sales and count'!$A$4:$A$300&amp;""),TRIM('Sales and count'!$B$4:$B$300&amp;"")),""),IF(OR(_xlpm.c="",_xlpm.c="0",LEFT(_xlpm.c,1)="#"),"Not set",_xlpm.c)))</f>
        <v/>
      </c>
    </row>
    <row r="1372" spans="1:112" x14ac:dyDescent="0.25">
      <c r="A1372" t="str">
        <f>IF('Staff Daily sales'!$B1357="","",TRIM('Staff Daily sales'!$B1357&amp;""))</f>
        <v/>
      </c>
      <c r="B1372" t="str">
        <f>IF('Staff Daily sales'!$D1357="","",TRIM('Staff Daily sales'!$D1357&amp;""))</f>
        <v/>
      </c>
      <c r="C1372" t="str">
        <f>IFERROR(TRIM('Staff Daily sales'!$E1357&amp;""),"")</f>
        <v/>
      </c>
      <c r="D1372" t="str">
        <f>IFERROR(IF(TRIM('Staff Daily sales'!$F1357&amp;"")="","Unassigned",TRIM('Staff Daily sales'!$F1357&amp;"")),"Unassigned")</f>
        <v>Unassigned</v>
      </c>
      <c r="E1372">
        <f t="shared" si="362"/>
        <v>0</v>
      </c>
      <c r="F1372">
        <f>IF($E1372=0,0,SUMPRODUCT($AI$5:$DF$5,'Staff Daily sales'!$G1357:$CD1357))</f>
        <v>0</v>
      </c>
      <c r="G1372">
        <f>IF($E1372=0,0,SUMPRODUCT($AI$6:$DF$6,'Staff Daily sales'!$G1357:$CD1357))</f>
        <v>0</v>
      </c>
      <c r="H1372">
        <f t="shared" si="363"/>
        <v>0</v>
      </c>
      <c r="I1372">
        <f t="shared" si="364"/>
        <v>0</v>
      </c>
      <c r="J1372">
        <f t="shared" si="365"/>
        <v>0</v>
      </c>
      <c r="K1372">
        <f t="shared" si="366"/>
        <v>0</v>
      </c>
      <c r="L1372">
        <f>--AND($E1372=1,OR('Staff Dashboard'!$B$6="All",$DH1372='Staff Dashboard'!$B$6),OR('Staff Dashboard'!$B$7="All",$D1372='Staff Dashboard'!$B$7),OR('Staff Dashboard'!$B$8="All",$A1372='Staff Dashboard'!$B$8))</f>
        <v>0</v>
      </c>
      <c r="M1372">
        <f>IF($E1372=0,0,SUMPRODUCT($AI$7:$DF$7,'Staff Daily sales'!$G1357:$CD1357))</f>
        <v>0</v>
      </c>
      <c r="N1372">
        <f>IF($E1372=0,0,SUMPRODUCT($AI$8:$DF$8,'Staff Daily sales'!$G1357:$CD1357))</f>
        <v>0</v>
      </c>
      <c r="O1372">
        <f>IF($E1372=0,0,SUMPRODUCT($AI$9:$DF$9,'Staff Daily sales'!$G1357:$CD1357))</f>
        <v>0</v>
      </c>
      <c r="P1372">
        <f>IF($E1372=0,0,SUMPRODUCT($AI$10:$DF$10,'Staff Daily sales'!$G1357:$CD1357))</f>
        <v>0</v>
      </c>
      <c r="Q1372">
        <f>IF($E1372=0,0,SUMPRODUCT($AI$11:$DF$11,'Staff Daily sales'!$G1357:$CD1357))</f>
        <v>0</v>
      </c>
      <c r="R1372">
        <f>IF($E1372=0,0,SUMPRODUCT($AI$12:$DF$12,'Staff Daily sales'!$G1357:$CD1357))</f>
        <v>0</v>
      </c>
      <c r="S1372">
        <f>IF($E1372=0,0,SUMPRODUCT($AI$13:$DF$13,'Staff Daily sales'!$G1357:$CD1357))</f>
        <v>0</v>
      </c>
      <c r="T1372">
        <f>IF($E1372=0,0,SUMPRODUCT($AI$14:$DF$14,'Staff Daily sales'!$G1357:$CD1357))</f>
        <v>0</v>
      </c>
      <c r="U1372">
        <f>IF($E1372=0,0,SUMPRODUCT($AI$15:$DF$15,'Staff Daily sales'!$G1357:$CD1357))</f>
        <v>0</v>
      </c>
      <c r="V1372">
        <f>IF($E1372=0,0,SUMPRODUCT($AI$16:$DF$16,'Staff Daily sales'!$G1357:$CD1357))</f>
        <v>0</v>
      </c>
      <c r="W1372">
        <f t="shared" si="367"/>
        <v>0</v>
      </c>
      <c r="X1372">
        <f t="shared" si="368"/>
        <v>0</v>
      </c>
      <c r="Y1372">
        <f t="shared" si="369"/>
        <v>0</v>
      </c>
      <c r="Z1372">
        <f t="shared" si="370"/>
        <v>0</v>
      </c>
      <c r="AA1372">
        <f t="shared" si="371"/>
        <v>0</v>
      </c>
      <c r="AB1372">
        <f>--AND($E1372=1,OR('Staff Weekly Trend'!$B$3="All",$DH1372='Staff Weekly Trend'!$B$3),OR('Staff Weekly Trend'!$B$4="All",$D1372='Staff Weekly Trend'!$B$4),OR('Staff Weekly Trend'!$B$5="All",$A1372='Staff Weekly Trend'!$B$5))</f>
        <v>0</v>
      </c>
      <c r="AC1372" t="str">
        <f t="shared" si="372"/>
        <v/>
      </c>
      <c r="AI1372">
        <f t="shared" si="373"/>
        <v>0</v>
      </c>
      <c r="AJ1372">
        <f t="shared" si="374"/>
        <v>0</v>
      </c>
      <c r="AK1372">
        <f t="shared" si="375"/>
        <v>0</v>
      </c>
      <c r="AL1372">
        <f t="shared" si="376"/>
        <v>0</v>
      </c>
      <c r="AM1372">
        <f t="shared" si="377"/>
        <v>0</v>
      </c>
      <c r="DH1372" t="str" cm="1">
        <f t="array" ref="DH1372">IF($A1372="","",_xlfn.LET(_xlpm.c,IFERROR(_xlfn.XLOOKUP($A1372,TRIM('Sales and count'!$A$4:$A$300&amp;""),TRIM('Sales and count'!$B$4:$B$300&amp;"")),""),IF(OR(_xlpm.c="",_xlpm.c="0",LEFT(_xlpm.c,1)="#"),"Not set",_xlpm.c)))</f>
        <v/>
      </c>
    </row>
    <row r="1373" spans="1:112" x14ac:dyDescent="0.25">
      <c r="A1373" t="str">
        <f>IF('Staff Daily sales'!$B1358="","",TRIM('Staff Daily sales'!$B1358&amp;""))</f>
        <v/>
      </c>
      <c r="B1373" t="str">
        <f>IF('Staff Daily sales'!$D1358="","",TRIM('Staff Daily sales'!$D1358&amp;""))</f>
        <v/>
      </c>
      <c r="C1373" t="str">
        <f>IFERROR(TRIM('Staff Daily sales'!$E1358&amp;""),"")</f>
        <v/>
      </c>
      <c r="D1373" t="str">
        <f>IFERROR(IF(TRIM('Staff Daily sales'!$F1358&amp;"")="","Unassigned",TRIM('Staff Daily sales'!$F1358&amp;"")),"Unassigned")</f>
        <v>Unassigned</v>
      </c>
      <c r="E1373">
        <f t="shared" si="362"/>
        <v>0</v>
      </c>
      <c r="F1373">
        <f>IF($E1373=0,0,SUMPRODUCT($AI$5:$DF$5,'Staff Daily sales'!$G1358:$CD1358))</f>
        <v>0</v>
      </c>
      <c r="G1373">
        <f>IF($E1373=0,0,SUMPRODUCT($AI$6:$DF$6,'Staff Daily sales'!$G1358:$CD1358))</f>
        <v>0</v>
      </c>
      <c r="H1373">
        <f t="shared" si="363"/>
        <v>0</v>
      </c>
      <c r="I1373">
        <f t="shared" si="364"/>
        <v>0</v>
      </c>
      <c r="J1373">
        <f t="shared" si="365"/>
        <v>0</v>
      </c>
      <c r="K1373">
        <f t="shared" si="366"/>
        <v>0</v>
      </c>
      <c r="L1373">
        <f>--AND($E1373=1,OR('Staff Dashboard'!$B$6="All",$DH1373='Staff Dashboard'!$B$6),OR('Staff Dashboard'!$B$7="All",$D1373='Staff Dashboard'!$B$7),OR('Staff Dashboard'!$B$8="All",$A1373='Staff Dashboard'!$B$8))</f>
        <v>0</v>
      </c>
      <c r="M1373">
        <f>IF($E1373=0,0,SUMPRODUCT($AI$7:$DF$7,'Staff Daily sales'!$G1358:$CD1358))</f>
        <v>0</v>
      </c>
      <c r="N1373">
        <f>IF($E1373=0,0,SUMPRODUCT($AI$8:$DF$8,'Staff Daily sales'!$G1358:$CD1358))</f>
        <v>0</v>
      </c>
      <c r="O1373">
        <f>IF($E1373=0,0,SUMPRODUCT($AI$9:$DF$9,'Staff Daily sales'!$G1358:$CD1358))</f>
        <v>0</v>
      </c>
      <c r="P1373">
        <f>IF($E1373=0,0,SUMPRODUCT($AI$10:$DF$10,'Staff Daily sales'!$G1358:$CD1358))</f>
        <v>0</v>
      </c>
      <c r="Q1373">
        <f>IF($E1373=0,0,SUMPRODUCT($AI$11:$DF$11,'Staff Daily sales'!$G1358:$CD1358))</f>
        <v>0</v>
      </c>
      <c r="R1373">
        <f>IF($E1373=0,0,SUMPRODUCT($AI$12:$DF$12,'Staff Daily sales'!$G1358:$CD1358))</f>
        <v>0</v>
      </c>
      <c r="S1373">
        <f>IF($E1373=0,0,SUMPRODUCT($AI$13:$DF$13,'Staff Daily sales'!$G1358:$CD1358))</f>
        <v>0</v>
      </c>
      <c r="T1373">
        <f>IF($E1373=0,0,SUMPRODUCT($AI$14:$DF$14,'Staff Daily sales'!$G1358:$CD1358))</f>
        <v>0</v>
      </c>
      <c r="U1373">
        <f>IF($E1373=0,0,SUMPRODUCT($AI$15:$DF$15,'Staff Daily sales'!$G1358:$CD1358))</f>
        <v>0</v>
      </c>
      <c r="V1373">
        <f>IF($E1373=0,0,SUMPRODUCT($AI$16:$DF$16,'Staff Daily sales'!$G1358:$CD1358))</f>
        <v>0</v>
      </c>
      <c r="W1373">
        <f t="shared" si="367"/>
        <v>0</v>
      </c>
      <c r="X1373">
        <f t="shared" si="368"/>
        <v>0</v>
      </c>
      <c r="Y1373">
        <f t="shared" si="369"/>
        <v>0</v>
      </c>
      <c r="Z1373">
        <f t="shared" si="370"/>
        <v>0</v>
      </c>
      <c r="AA1373">
        <f t="shared" si="371"/>
        <v>0</v>
      </c>
      <c r="AB1373">
        <f>--AND($E1373=1,OR('Staff Weekly Trend'!$B$3="All",$DH1373='Staff Weekly Trend'!$B$3),OR('Staff Weekly Trend'!$B$4="All",$D1373='Staff Weekly Trend'!$B$4),OR('Staff Weekly Trend'!$B$5="All",$A1373='Staff Weekly Trend'!$B$5))</f>
        <v>0</v>
      </c>
      <c r="AC1373" t="str">
        <f t="shared" si="372"/>
        <v/>
      </c>
      <c r="AI1373">
        <f t="shared" si="373"/>
        <v>0</v>
      </c>
      <c r="AJ1373">
        <f t="shared" si="374"/>
        <v>0</v>
      </c>
      <c r="AK1373">
        <f t="shared" si="375"/>
        <v>0</v>
      </c>
      <c r="AL1373">
        <f t="shared" si="376"/>
        <v>0</v>
      </c>
      <c r="AM1373">
        <f t="shared" si="377"/>
        <v>0</v>
      </c>
      <c r="DH1373" t="str" cm="1">
        <f t="array" ref="DH1373">IF($A1373="","",_xlfn.LET(_xlpm.c,IFERROR(_xlfn.XLOOKUP($A1373,TRIM('Sales and count'!$A$4:$A$300&amp;""),TRIM('Sales and count'!$B$4:$B$300&amp;"")),""),IF(OR(_xlpm.c="",_xlpm.c="0",LEFT(_xlpm.c,1)="#"),"Not set",_xlpm.c)))</f>
        <v/>
      </c>
    </row>
    <row r="1374" spans="1:112" x14ac:dyDescent="0.25">
      <c r="A1374" t="str">
        <f>IF('Staff Daily sales'!$B1359="","",TRIM('Staff Daily sales'!$B1359&amp;""))</f>
        <v/>
      </c>
      <c r="B1374" t="str">
        <f>IF('Staff Daily sales'!$D1359="","",TRIM('Staff Daily sales'!$D1359&amp;""))</f>
        <v/>
      </c>
      <c r="C1374" t="str">
        <f>IFERROR(TRIM('Staff Daily sales'!$E1359&amp;""),"")</f>
        <v/>
      </c>
      <c r="D1374" t="str">
        <f>IFERROR(IF(TRIM('Staff Daily sales'!$F1359&amp;"")="","Unassigned",TRIM('Staff Daily sales'!$F1359&amp;"")),"Unassigned")</f>
        <v>Unassigned</v>
      </c>
      <c r="E1374">
        <f t="shared" si="362"/>
        <v>0</v>
      </c>
      <c r="F1374">
        <f>IF($E1374=0,0,SUMPRODUCT($AI$5:$DF$5,'Staff Daily sales'!$G1359:$CD1359))</f>
        <v>0</v>
      </c>
      <c r="G1374">
        <f>IF($E1374=0,0,SUMPRODUCT($AI$6:$DF$6,'Staff Daily sales'!$G1359:$CD1359))</f>
        <v>0</v>
      </c>
      <c r="H1374">
        <f t="shared" si="363"/>
        <v>0</v>
      </c>
      <c r="I1374">
        <f t="shared" si="364"/>
        <v>0</v>
      </c>
      <c r="J1374">
        <f t="shared" si="365"/>
        <v>0</v>
      </c>
      <c r="K1374">
        <f t="shared" si="366"/>
        <v>0</v>
      </c>
      <c r="L1374">
        <f>--AND($E1374=1,OR('Staff Dashboard'!$B$6="All",$DH1374='Staff Dashboard'!$B$6),OR('Staff Dashboard'!$B$7="All",$D1374='Staff Dashboard'!$B$7),OR('Staff Dashboard'!$B$8="All",$A1374='Staff Dashboard'!$B$8))</f>
        <v>0</v>
      </c>
      <c r="M1374">
        <f>IF($E1374=0,0,SUMPRODUCT($AI$7:$DF$7,'Staff Daily sales'!$G1359:$CD1359))</f>
        <v>0</v>
      </c>
      <c r="N1374">
        <f>IF($E1374=0,0,SUMPRODUCT($AI$8:$DF$8,'Staff Daily sales'!$G1359:$CD1359))</f>
        <v>0</v>
      </c>
      <c r="O1374">
        <f>IF($E1374=0,0,SUMPRODUCT($AI$9:$DF$9,'Staff Daily sales'!$G1359:$CD1359))</f>
        <v>0</v>
      </c>
      <c r="P1374">
        <f>IF($E1374=0,0,SUMPRODUCT($AI$10:$DF$10,'Staff Daily sales'!$G1359:$CD1359))</f>
        <v>0</v>
      </c>
      <c r="Q1374">
        <f>IF($E1374=0,0,SUMPRODUCT($AI$11:$DF$11,'Staff Daily sales'!$G1359:$CD1359))</f>
        <v>0</v>
      </c>
      <c r="R1374">
        <f>IF($E1374=0,0,SUMPRODUCT($AI$12:$DF$12,'Staff Daily sales'!$G1359:$CD1359))</f>
        <v>0</v>
      </c>
      <c r="S1374">
        <f>IF($E1374=0,0,SUMPRODUCT($AI$13:$DF$13,'Staff Daily sales'!$G1359:$CD1359))</f>
        <v>0</v>
      </c>
      <c r="T1374">
        <f>IF($E1374=0,0,SUMPRODUCT($AI$14:$DF$14,'Staff Daily sales'!$G1359:$CD1359))</f>
        <v>0</v>
      </c>
      <c r="U1374">
        <f>IF($E1374=0,0,SUMPRODUCT($AI$15:$DF$15,'Staff Daily sales'!$G1359:$CD1359))</f>
        <v>0</v>
      </c>
      <c r="V1374">
        <f>IF($E1374=0,0,SUMPRODUCT($AI$16:$DF$16,'Staff Daily sales'!$G1359:$CD1359))</f>
        <v>0</v>
      </c>
      <c r="W1374">
        <f t="shared" si="367"/>
        <v>0</v>
      </c>
      <c r="X1374">
        <f t="shared" si="368"/>
        <v>0</v>
      </c>
      <c r="Y1374">
        <f t="shared" si="369"/>
        <v>0</v>
      </c>
      <c r="Z1374">
        <f t="shared" si="370"/>
        <v>0</v>
      </c>
      <c r="AA1374">
        <f t="shared" si="371"/>
        <v>0</v>
      </c>
      <c r="AB1374">
        <f>--AND($E1374=1,OR('Staff Weekly Trend'!$B$3="All",$DH1374='Staff Weekly Trend'!$B$3),OR('Staff Weekly Trend'!$B$4="All",$D1374='Staff Weekly Trend'!$B$4),OR('Staff Weekly Trend'!$B$5="All",$A1374='Staff Weekly Trend'!$B$5))</f>
        <v>0</v>
      </c>
      <c r="AC1374" t="str">
        <f t="shared" si="372"/>
        <v/>
      </c>
      <c r="AI1374">
        <f t="shared" si="373"/>
        <v>0</v>
      </c>
      <c r="AJ1374">
        <f t="shared" si="374"/>
        <v>0</v>
      </c>
      <c r="AK1374">
        <f t="shared" si="375"/>
        <v>0</v>
      </c>
      <c r="AL1374">
        <f t="shared" si="376"/>
        <v>0</v>
      </c>
      <c r="AM1374">
        <f t="shared" si="377"/>
        <v>0</v>
      </c>
      <c r="DH1374" t="str" cm="1">
        <f t="array" ref="DH1374">IF($A1374="","",_xlfn.LET(_xlpm.c,IFERROR(_xlfn.XLOOKUP($A1374,TRIM('Sales and count'!$A$4:$A$300&amp;""),TRIM('Sales and count'!$B$4:$B$300&amp;"")),""),IF(OR(_xlpm.c="",_xlpm.c="0",LEFT(_xlpm.c,1)="#"),"Not set",_xlpm.c)))</f>
        <v/>
      </c>
    </row>
    <row r="1375" spans="1:112" x14ac:dyDescent="0.25">
      <c r="A1375" t="str">
        <f>IF('Staff Daily sales'!$B1360="","",TRIM('Staff Daily sales'!$B1360&amp;""))</f>
        <v/>
      </c>
      <c r="B1375" t="str">
        <f>IF('Staff Daily sales'!$D1360="","",TRIM('Staff Daily sales'!$D1360&amp;""))</f>
        <v/>
      </c>
      <c r="C1375" t="str">
        <f>IFERROR(TRIM('Staff Daily sales'!$E1360&amp;""),"")</f>
        <v/>
      </c>
      <c r="D1375" t="str">
        <f>IFERROR(IF(TRIM('Staff Daily sales'!$F1360&amp;"")="","Unassigned",TRIM('Staff Daily sales'!$F1360&amp;"")),"Unassigned")</f>
        <v>Unassigned</v>
      </c>
      <c r="E1375">
        <f t="shared" si="362"/>
        <v>0</v>
      </c>
      <c r="F1375">
        <f>IF($E1375=0,0,SUMPRODUCT($AI$5:$DF$5,'Staff Daily sales'!$G1360:$CD1360))</f>
        <v>0</v>
      </c>
      <c r="G1375">
        <f>IF($E1375=0,0,SUMPRODUCT($AI$6:$DF$6,'Staff Daily sales'!$G1360:$CD1360))</f>
        <v>0</v>
      </c>
      <c r="H1375">
        <f t="shared" si="363"/>
        <v>0</v>
      </c>
      <c r="I1375">
        <f t="shared" si="364"/>
        <v>0</v>
      </c>
      <c r="J1375">
        <f t="shared" si="365"/>
        <v>0</v>
      </c>
      <c r="K1375">
        <f t="shared" si="366"/>
        <v>0</v>
      </c>
      <c r="L1375">
        <f>--AND($E1375=1,OR('Staff Dashboard'!$B$6="All",$DH1375='Staff Dashboard'!$B$6),OR('Staff Dashboard'!$B$7="All",$D1375='Staff Dashboard'!$B$7),OR('Staff Dashboard'!$B$8="All",$A1375='Staff Dashboard'!$B$8))</f>
        <v>0</v>
      </c>
      <c r="M1375">
        <f>IF($E1375=0,0,SUMPRODUCT($AI$7:$DF$7,'Staff Daily sales'!$G1360:$CD1360))</f>
        <v>0</v>
      </c>
      <c r="N1375">
        <f>IF($E1375=0,0,SUMPRODUCT($AI$8:$DF$8,'Staff Daily sales'!$G1360:$CD1360))</f>
        <v>0</v>
      </c>
      <c r="O1375">
        <f>IF($E1375=0,0,SUMPRODUCT($AI$9:$DF$9,'Staff Daily sales'!$G1360:$CD1360))</f>
        <v>0</v>
      </c>
      <c r="P1375">
        <f>IF($E1375=0,0,SUMPRODUCT($AI$10:$DF$10,'Staff Daily sales'!$G1360:$CD1360))</f>
        <v>0</v>
      </c>
      <c r="Q1375">
        <f>IF($E1375=0,0,SUMPRODUCT($AI$11:$DF$11,'Staff Daily sales'!$G1360:$CD1360))</f>
        <v>0</v>
      </c>
      <c r="R1375">
        <f>IF($E1375=0,0,SUMPRODUCT($AI$12:$DF$12,'Staff Daily sales'!$G1360:$CD1360))</f>
        <v>0</v>
      </c>
      <c r="S1375">
        <f>IF($E1375=0,0,SUMPRODUCT($AI$13:$DF$13,'Staff Daily sales'!$G1360:$CD1360))</f>
        <v>0</v>
      </c>
      <c r="T1375">
        <f>IF($E1375=0,0,SUMPRODUCT($AI$14:$DF$14,'Staff Daily sales'!$G1360:$CD1360))</f>
        <v>0</v>
      </c>
      <c r="U1375">
        <f>IF($E1375=0,0,SUMPRODUCT($AI$15:$DF$15,'Staff Daily sales'!$G1360:$CD1360))</f>
        <v>0</v>
      </c>
      <c r="V1375">
        <f>IF($E1375=0,0,SUMPRODUCT($AI$16:$DF$16,'Staff Daily sales'!$G1360:$CD1360))</f>
        <v>0</v>
      </c>
      <c r="W1375">
        <f t="shared" si="367"/>
        <v>0</v>
      </c>
      <c r="X1375">
        <f t="shared" si="368"/>
        <v>0</v>
      </c>
      <c r="Y1375">
        <f t="shared" si="369"/>
        <v>0</v>
      </c>
      <c r="Z1375">
        <f t="shared" si="370"/>
        <v>0</v>
      </c>
      <c r="AA1375">
        <f t="shared" si="371"/>
        <v>0</v>
      </c>
      <c r="AB1375">
        <f>--AND($E1375=1,OR('Staff Weekly Trend'!$B$3="All",$DH1375='Staff Weekly Trend'!$B$3),OR('Staff Weekly Trend'!$B$4="All",$D1375='Staff Weekly Trend'!$B$4),OR('Staff Weekly Trend'!$B$5="All",$A1375='Staff Weekly Trend'!$B$5))</f>
        <v>0</v>
      </c>
      <c r="AC1375" t="str">
        <f t="shared" si="372"/>
        <v/>
      </c>
      <c r="AI1375">
        <f t="shared" si="373"/>
        <v>0</v>
      </c>
      <c r="AJ1375">
        <f t="shared" si="374"/>
        <v>0</v>
      </c>
      <c r="AK1375">
        <f t="shared" si="375"/>
        <v>0</v>
      </c>
      <c r="AL1375">
        <f t="shared" si="376"/>
        <v>0</v>
      </c>
      <c r="AM1375">
        <f t="shared" si="377"/>
        <v>0</v>
      </c>
      <c r="DH1375" t="str" cm="1">
        <f t="array" ref="DH1375">IF($A1375="","",_xlfn.LET(_xlpm.c,IFERROR(_xlfn.XLOOKUP($A1375,TRIM('Sales and count'!$A$4:$A$300&amp;""),TRIM('Sales and count'!$B$4:$B$300&amp;"")),""),IF(OR(_xlpm.c="",_xlpm.c="0",LEFT(_xlpm.c,1)="#"),"Not set",_xlpm.c)))</f>
        <v/>
      </c>
    </row>
    <row r="1376" spans="1:112" x14ac:dyDescent="0.25">
      <c r="A1376" t="str">
        <f>IF('Staff Daily sales'!$B1361="","",TRIM('Staff Daily sales'!$B1361&amp;""))</f>
        <v/>
      </c>
      <c r="B1376" t="str">
        <f>IF('Staff Daily sales'!$D1361="","",TRIM('Staff Daily sales'!$D1361&amp;""))</f>
        <v/>
      </c>
      <c r="C1376" t="str">
        <f>IFERROR(TRIM('Staff Daily sales'!$E1361&amp;""),"")</f>
        <v/>
      </c>
      <c r="D1376" t="str">
        <f>IFERROR(IF(TRIM('Staff Daily sales'!$F1361&amp;"")="","Unassigned",TRIM('Staff Daily sales'!$F1361&amp;"")),"Unassigned")</f>
        <v>Unassigned</v>
      </c>
      <c r="E1376">
        <f t="shared" si="362"/>
        <v>0</v>
      </c>
      <c r="F1376">
        <f>IF($E1376=0,0,SUMPRODUCT($AI$5:$DF$5,'Staff Daily sales'!$G1361:$CD1361))</f>
        <v>0</v>
      </c>
      <c r="G1376">
        <f>IF($E1376=0,0,SUMPRODUCT($AI$6:$DF$6,'Staff Daily sales'!$G1361:$CD1361))</f>
        <v>0</v>
      </c>
      <c r="H1376">
        <f t="shared" si="363"/>
        <v>0</v>
      </c>
      <c r="I1376">
        <f t="shared" si="364"/>
        <v>0</v>
      </c>
      <c r="J1376">
        <f t="shared" si="365"/>
        <v>0</v>
      </c>
      <c r="K1376">
        <f t="shared" si="366"/>
        <v>0</v>
      </c>
      <c r="L1376">
        <f>--AND($E1376=1,OR('Staff Dashboard'!$B$6="All",$DH1376='Staff Dashboard'!$B$6),OR('Staff Dashboard'!$B$7="All",$D1376='Staff Dashboard'!$B$7),OR('Staff Dashboard'!$B$8="All",$A1376='Staff Dashboard'!$B$8))</f>
        <v>0</v>
      </c>
      <c r="M1376">
        <f>IF($E1376=0,0,SUMPRODUCT($AI$7:$DF$7,'Staff Daily sales'!$G1361:$CD1361))</f>
        <v>0</v>
      </c>
      <c r="N1376">
        <f>IF($E1376=0,0,SUMPRODUCT($AI$8:$DF$8,'Staff Daily sales'!$G1361:$CD1361))</f>
        <v>0</v>
      </c>
      <c r="O1376">
        <f>IF($E1376=0,0,SUMPRODUCT($AI$9:$DF$9,'Staff Daily sales'!$G1361:$CD1361))</f>
        <v>0</v>
      </c>
      <c r="P1376">
        <f>IF($E1376=0,0,SUMPRODUCT($AI$10:$DF$10,'Staff Daily sales'!$G1361:$CD1361))</f>
        <v>0</v>
      </c>
      <c r="Q1376">
        <f>IF($E1376=0,0,SUMPRODUCT($AI$11:$DF$11,'Staff Daily sales'!$G1361:$CD1361))</f>
        <v>0</v>
      </c>
      <c r="R1376">
        <f>IF($E1376=0,0,SUMPRODUCT($AI$12:$DF$12,'Staff Daily sales'!$G1361:$CD1361))</f>
        <v>0</v>
      </c>
      <c r="S1376">
        <f>IF($E1376=0,0,SUMPRODUCT($AI$13:$DF$13,'Staff Daily sales'!$G1361:$CD1361))</f>
        <v>0</v>
      </c>
      <c r="T1376">
        <f>IF($E1376=0,0,SUMPRODUCT($AI$14:$DF$14,'Staff Daily sales'!$G1361:$CD1361))</f>
        <v>0</v>
      </c>
      <c r="U1376">
        <f>IF($E1376=0,0,SUMPRODUCT($AI$15:$DF$15,'Staff Daily sales'!$G1361:$CD1361))</f>
        <v>0</v>
      </c>
      <c r="V1376">
        <f>IF($E1376=0,0,SUMPRODUCT($AI$16:$DF$16,'Staff Daily sales'!$G1361:$CD1361))</f>
        <v>0</v>
      </c>
      <c r="W1376">
        <f t="shared" si="367"/>
        <v>0</v>
      </c>
      <c r="X1376">
        <f t="shared" si="368"/>
        <v>0</v>
      </c>
      <c r="Y1376">
        <f t="shared" si="369"/>
        <v>0</v>
      </c>
      <c r="Z1376">
        <f t="shared" si="370"/>
        <v>0</v>
      </c>
      <c r="AA1376">
        <f t="shared" si="371"/>
        <v>0</v>
      </c>
      <c r="AB1376">
        <f>--AND($E1376=1,OR('Staff Weekly Trend'!$B$3="All",$DH1376='Staff Weekly Trend'!$B$3),OR('Staff Weekly Trend'!$B$4="All",$D1376='Staff Weekly Trend'!$B$4),OR('Staff Weekly Trend'!$B$5="All",$A1376='Staff Weekly Trend'!$B$5))</f>
        <v>0</v>
      </c>
      <c r="AC1376" t="str">
        <f t="shared" si="372"/>
        <v/>
      </c>
      <c r="AI1376">
        <f t="shared" si="373"/>
        <v>0</v>
      </c>
      <c r="AJ1376">
        <f t="shared" si="374"/>
        <v>0</v>
      </c>
      <c r="AK1376">
        <f t="shared" si="375"/>
        <v>0</v>
      </c>
      <c r="AL1376">
        <f t="shared" si="376"/>
        <v>0</v>
      </c>
      <c r="AM1376">
        <f t="shared" si="377"/>
        <v>0</v>
      </c>
      <c r="DH1376" t="str" cm="1">
        <f t="array" ref="DH1376">IF($A1376="","",_xlfn.LET(_xlpm.c,IFERROR(_xlfn.XLOOKUP($A1376,TRIM('Sales and count'!$A$4:$A$300&amp;""),TRIM('Sales and count'!$B$4:$B$300&amp;"")),""),IF(OR(_xlpm.c="",_xlpm.c="0",LEFT(_xlpm.c,1)="#"),"Not set",_xlpm.c)))</f>
        <v/>
      </c>
    </row>
    <row r="1377" spans="1:112" x14ac:dyDescent="0.25">
      <c r="A1377" t="str">
        <f>IF('Staff Daily sales'!$B1362="","",TRIM('Staff Daily sales'!$B1362&amp;""))</f>
        <v/>
      </c>
      <c r="B1377" t="str">
        <f>IF('Staff Daily sales'!$D1362="","",TRIM('Staff Daily sales'!$D1362&amp;""))</f>
        <v/>
      </c>
      <c r="C1377" t="str">
        <f>IFERROR(TRIM('Staff Daily sales'!$E1362&amp;""),"")</f>
        <v/>
      </c>
      <c r="D1377" t="str">
        <f>IFERROR(IF(TRIM('Staff Daily sales'!$F1362&amp;"")="","Unassigned",TRIM('Staff Daily sales'!$F1362&amp;"")),"Unassigned")</f>
        <v>Unassigned</v>
      </c>
      <c r="E1377">
        <f t="shared" si="362"/>
        <v>0</v>
      </c>
      <c r="F1377">
        <f>IF($E1377=0,0,SUMPRODUCT($AI$5:$DF$5,'Staff Daily sales'!$G1362:$CD1362))</f>
        <v>0</v>
      </c>
      <c r="G1377">
        <f>IF($E1377=0,0,SUMPRODUCT($AI$6:$DF$6,'Staff Daily sales'!$G1362:$CD1362))</f>
        <v>0</v>
      </c>
      <c r="H1377">
        <f t="shared" si="363"/>
        <v>0</v>
      </c>
      <c r="I1377">
        <f t="shared" si="364"/>
        <v>0</v>
      </c>
      <c r="J1377">
        <f t="shared" si="365"/>
        <v>0</v>
      </c>
      <c r="K1377">
        <f t="shared" si="366"/>
        <v>0</v>
      </c>
      <c r="L1377">
        <f>--AND($E1377=1,OR('Staff Dashboard'!$B$6="All",$DH1377='Staff Dashboard'!$B$6),OR('Staff Dashboard'!$B$7="All",$D1377='Staff Dashboard'!$B$7),OR('Staff Dashboard'!$B$8="All",$A1377='Staff Dashboard'!$B$8))</f>
        <v>0</v>
      </c>
      <c r="M1377">
        <f>IF($E1377=0,0,SUMPRODUCT($AI$7:$DF$7,'Staff Daily sales'!$G1362:$CD1362))</f>
        <v>0</v>
      </c>
      <c r="N1377">
        <f>IF($E1377=0,0,SUMPRODUCT($AI$8:$DF$8,'Staff Daily sales'!$G1362:$CD1362))</f>
        <v>0</v>
      </c>
      <c r="O1377">
        <f>IF($E1377=0,0,SUMPRODUCT($AI$9:$DF$9,'Staff Daily sales'!$G1362:$CD1362))</f>
        <v>0</v>
      </c>
      <c r="P1377">
        <f>IF($E1377=0,0,SUMPRODUCT($AI$10:$DF$10,'Staff Daily sales'!$G1362:$CD1362))</f>
        <v>0</v>
      </c>
      <c r="Q1377">
        <f>IF($E1377=0,0,SUMPRODUCT($AI$11:$DF$11,'Staff Daily sales'!$G1362:$CD1362))</f>
        <v>0</v>
      </c>
      <c r="R1377">
        <f>IF($E1377=0,0,SUMPRODUCT($AI$12:$DF$12,'Staff Daily sales'!$G1362:$CD1362))</f>
        <v>0</v>
      </c>
      <c r="S1377">
        <f>IF($E1377=0,0,SUMPRODUCT($AI$13:$DF$13,'Staff Daily sales'!$G1362:$CD1362))</f>
        <v>0</v>
      </c>
      <c r="T1377">
        <f>IF($E1377=0,0,SUMPRODUCT($AI$14:$DF$14,'Staff Daily sales'!$G1362:$CD1362))</f>
        <v>0</v>
      </c>
      <c r="U1377">
        <f>IF($E1377=0,0,SUMPRODUCT($AI$15:$DF$15,'Staff Daily sales'!$G1362:$CD1362))</f>
        <v>0</v>
      </c>
      <c r="V1377">
        <f>IF($E1377=0,0,SUMPRODUCT($AI$16:$DF$16,'Staff Daily sales'!$G1362:$CD1362))</f>
        <v>0</v>
      </c>
      <c r="W1377">
        <f t="shared" si="367"/>
        <v>0</v>
      </c>
      <c r="X1377">
        <f t="shared" si="368"/>
        <v>0</v>
      </c>
      <c r="Y1377">
        <f t="shared" si="369"/>
        <v>0</v>
      </c>
      <c r="Z1377">
        <f t="shared" si="370"/>
        <v>0</v>
      </c>
      <c r="AA1377">
        <f t="shared" si="371"/>
        <v>0</v>
      </c>
      <c r="AB1377">
        <f>--AND($E1377=1,OR('Staff Weekly Trend'!$B$3="All",$DH1377='Staff Weekly Trend'!$B$3),OR('Staff Weekly Trend'!$B$4="All",$D1377='Staff Weekly Trend'!$B$4),OR('Staff Weekly Trend'!$B$5="All",$A1377='Staff Weekly Trend'!$B$5))</f>
        <v>0</v>
      </c>
      <c r="AC1377" t="str">
        <f t="shared" si="372"/>
        <v/>
      </c>
      <c r="AI1377">
        <f t="shared" si="373"/>
        <v>0</v>
      </c>
      <c r="AJ1377">
        <f t="shared" si="374"/>
        <v>0</v>
      </c>
      <c r="AK1377">
        <f t="shared" si="375"/>
        <v>0</v>
      </c>
      <c r="AL1377">
        <f t="shared" si="376"/>
        <v>0</v>
      </c>
      <c r="AM1377">
        <f t="shared" si="377"/>
        <v>0</v>
      </c>
      <c r="DH1377" t="str" cm="1">
        <f t="array" ref="DH1377">IF($A1377="","",_xlfn.LET(_xlpm.c,IFERROR(_xlfn.XLOOKUP($A1377,TRIM('Sales and count'!$A$4:$A$300&amp;""),TRIM('Sales and count'!$B$4:$B$300&amp;"")),""),IF(OR(_xlpm.c="",_xlpm.c="0",LEFT(_xlpm.c,1)="#"),"Not set",_xlpm.c)))</f>
        <v/>
      </c>
    </row>
    <row r="1378" spans="1:112" x14ac:dyDescent="0.25">
      <c r="A1378" t="str">
        <f>IF('Staff Daily sales'!$B1363="","",TRIM('Staff Daily sales'!$B1363&amp;""))</f>
        <v/>
      </c>
      <c r="B1378" t="str">
        <f>IF('Staff Daily sales'!$D1363="","",TRIM('Staff Daily sales'!$D1363&amp;""))</f>
        <v/>
      </c>
      <c r="C1378" t="str">
        <f>IFERROR(TRIM('Staff Daily sales'!$E1363&amp;""),"")</f>
        <v/>
      </c>
      <c r="D1378" t="str">
        <f>IFERROR(IF(TRIM('Staff Daily sales'!$F1363&amp;"")="","Unassigned",TRIM('Staff Daily sales'!$F1363&amp;"")),"Unassigned")</f>
        <v>Unassigned</v>
      </c>
      <c r="E1378">
        <f t="shared" si="362"/>
        <v>0</v>
      </c>
      <c r="F1378">
        <f>IF($E1378=0,0,SUMPRODUCT($AI$5:$DF$5,'Staff Daily sales'!$G1363:$CD1363))</f>
        <v>0</v>
      </c>
      <c r="G1378">
        <f>IF($E1378=0,0,SUMPRODUCT($AI$6:$DF$6,'Staff Daily sales'!$G1363:$CD1363))</f>
        <v>0</v>
      </c>
      <c r="H1378">
        <f t="shared" si="363"/>
        <v>0</v>
      </c>
      <c r="I1378">
        <f t="shared" si="364"/>
        <v>0</v>
      </c>
      <c r="J1378">
        <f t="shared" si="365"/>
        <v>0</v>
      </c>
      <c r="K1378">
        <f t="shared" si="366"/>
        <v>0</v>
      </c>
      <c r="L1378">
        <f>--AND($E1378=1,OR('Staff Dashboard'!$B$6="All",$DH1378='Staff Dashboard'!$B$6),OR('Staff Dashboard'!$B$7="All",$D1378='Staff Dashboard'!$B$7),OR('Staff Dashboard'!$B$8="All",$A1378='Staff Dashboard'!$B$8))</f>
        <v>0</v>
      </c>
      <c r="M1378">
        <f>IF($E1378=0,0,SUMPRODUCT($AI$7:$DF$7,'Staff Daily sales'!$G1363:$CD1363))</f>
        <v>0</v>
      </c>
      <c r="N1378">
        <f>IF($E1378=0,0,SUMPRODUCT($AI$8:$DF$8,'Staff Daily sales'!$G1363:$CD1363))</f>
        <v>0</v>
      </c>
      <c r="O1378">
        <f>IF($E1378=0,0,SUMPRODUCT($AI$9:$DF$9,'Staff Daily sales'!$G1363:$CD1363))</f>
        <v>0</v>
      </c>
      <c r="P1378">
        <f>IF($E1378=0,0,SUMPRODUCT($AI$10:$DF$10,'Staff Daily sales'!$G1363:$CD1363))</f>
        <v>0</v>
      </c>
      <c r="Q1378">
        <f>IF($E1378=0,0,SUMPRODUCT($AI$11:$DF$11,'Staff Daily sales'!$G1363:$CD1363))</f>
        <v>0</v>
      </c>
      <c r="R1378">
        <f>IF($E1378=0,0,SUMPRODUCT($AI$12:$DF$12,'Staff Daily sales'!$G1363:$CD1363))</f>
        <v>0</v>
      </c>
      <c r="S1378">
        <f>IF($E1378=0,0,SUMPRODUCT($AI$13:$DF$13,'Staff Daily sales'!$G1363:$CD1363))</f>
        <v>0</v>
      </c>
      <c r="T1378">
        <f>IF($E1378=0,0,SUMPRODUCT($AI$14:$DF$14,'Staff Daily sales'!$G1363:$CD1363))</f>
        <v>0</v>
      </c>
      <c r="U1378">
        <f>IF($E1378=0,0,SUMPRODUCT($AI$15:$DF$15,'Staff Daily sales'!$G1363:$CD1363))</f>
        <v>0</v>
      </c>
      <c r="V1378">
        <f>IF($E1378=0,0,SUMPRODUCT($AI$16:$DF$16,'Staff Daily sales'!$G1363:$CD1363))</f>
        <v>0</v>
      </c>
      <c r="W1378">
        <f t="shared" si="367"/>
        <v>0</v>
      </c>
      <c r="X1378">
        <f t="shared" si="368"/>
        <v>0</v>
      </c>
      <c r="Y1378">
        <f t="shared" si="369"/>
        <v>0</v>
      </c>
      <c r="Z1378">
        <f t="shared" si="370"/>
        <v>0</v>
      </c>
      <c r="AA1378">
        <f t="shared" si="371"/>
        <v>0</v>
      </c>
      <c r="AB1378">
        <f>--AND($E1378=1,OR('Staff Weekly Trend'!$B$3="All",$DH1378='Staff Weekly Trend'!$B$3),OR('Staff Weekly Trend'!$B$4="All",$D1378='Staff Weekly Trend'!$B$4),OR('Staff Weekly Trend'!$B$5="All",$A1378='Staff Weekly Trend'!$B$5))</f>
        <v>0</v>
      </c>
      <c r="AC1378" t="str">
        <f t="shared" si="372"/>
        <v/>
      </c>
      <c r="AI1378">
        <f t="shared" si="373"/>
        <v>0</v>
      </c>
      <c r="AJ1378">
        <f t="shared" si="374"/>
        <v>0</v>
      </c>
      <c r="AK1378">
        <f t="shared" si="375"/>
        <v>0</v>
      </c>
      <c r="AL1378">
        <f t="shared" si="376"/>
        <v>0</v>
      </c>
      <c r="AM1378">
        <f t="shared" si="377"/>
        <v>0</v>
      </c>
      <c r="DH1378" t="str" cm="1">
        <f t="array" ref="DH1378">IF($A1378="","",_xlfn.LET(_xlpm.c,IFERROR(_xlfn.XLOOKUP($A1378,TRIM('Sales and count'!$A$4:$A$300&amp;""),TRIM('Sales and count'!$B$4:$B$300&amp;"")),""),IF(OR(_xlpm.c="",_xlpm.c="0",LEFT(_xlpm.c,1)="#"),"Not set",_xlpm.c)))</f>
        <v/>
      </c>
    </row>
    <row r="1379" spans="1:112" x14ac:dyDescent="0.25">
      <c r="A1379" t="str">
        <f>IF('Staff Daily sales'!$B1364="","",TRIM('Staff Daily sales'!$B1364&amp;""))</f>
        <v/>
      </c>
      <c r="B1379" t="str">
        <f>IF('Staff Daily sales'!$D1364="","",TRIM('Staff Daily sales'!$D1364&amp;""))</f>
        <v/>
      </c>
      <c r="C1379" t="str">
        <f>IFERROR(TRIM('Staff Daily sales'!$E1364&amp;""),"")</f>
        <v/>
      </c>
      <c r="D1379" t="str">
        <f>IFERROR(IF(TRIM('Staff Daily sales'!$F1364&amp;"")="","Unassigned",TRIM('Staff Daily sales'!$F1364&amp;"")),"Unassigned")</f>
        <v>Unassigned</v>
      </c>
      <c r="E1379">
        <f t="shared" si="362"/>
        <v>0</v>
      </c>
      <c r="F1379">
        <f>IF($E1379=0,0,SUMPRODUCT($AI$5:$DF$5,'Staff Daily sales'!$G1364:$CD1364))</f>
        <v>0</v>
      </c>
      <c r="G1379">
        <f>IF($E1379=0,0,SUMPRODUCT($AI$6:$DF$6,'Staff Daily sales'!$G1364:$CD1364))</f>
        <v>0</v>
      </c>
      <c r="H1379">
        <f t="shared" si="363"/>
        <v>0</v>
      </c>
      <c r="I1379">
        <f t="shared" si="364"/>
        <v>0</v>
      </c>
      <c r="J1379">
        <f t="shared" si="365"/>
        <v>0</v>
      </c>
      <c r="K1379">
        <f t="shared" si="366"/>
        <v>0</v>
      </c>
      <c r="L1379">
        <f>--AND($E1379=1,OR('Staff Dashboard'!$B$6="All",$DH1379='Staff Dashboard'!$B$6),OR('Staff Dashboard'!$B$7="All",$D1379='Staff Dashboard'!$B$7),OR('Staff Dashboard'!$B$8="All",$A1379='Staff Dashboard'!$B$8))</f>
        <v>0</v>
      </c>
      <c r="M1379">
        <f>IF($E1379=0,0,SUMPRODUCT($AI$7:$DF$7,'Staff Daily sales'!$G1364:$CD1364))</f>
        <v>0</v>
      </c>
      <c r="N1379">
        <f>IF($E1379=0,0,SUMPRODUCT($AI$8:$DF$8,'Staff Daily sales'!$G1364:$CD1364))</f>
        <v>0</v>
      </c>
      <c r="O1379">
        <f>IF($E1379=0,0,SUMPRODUCT($AI$9:$DF$9,'Staff Daily sales'!$G1364:$CD1364))</f>
        <v>0</v>
      </c>
      <c r="P1379">
        <f>IF($E1379=0,0,SUMPRODUCT($AI$10:$DF$10,'Staff Daily sales'!$G1364:$CD1364))</f>
        <v>0</v>
      </c>
      <c r="Q1379">
        <f>IF($E1379=0,0,SUMPRODUCT($AI$11:$DF$11,'Staff Daily sales'!$G1364:$CD1364))</f>
        <v>0</v>
      </c>
      <c r="R1379">
        <f>IF($E1379=0,0,SUMPRODUCT($AI$12:$DF$12,'Staff Daily sales'!$G1364:$CD1364))</f>
        <v>0</v>
      </c>
      <c r="S1379">
        <f>IF($E1379=0,0,SUMPRODUCT($AI$13:$DF$13,'Staff Daily sales'!$G1364:$CD1364))</f>
        <v>0</v>
      </c>
      <c r="T1379">
        <f>IF($E1379=0,0,SUMPRODUCT($AI$14:$DF$14,'Staff Daily sales'!$G1364:$CD1364))</f>
        <v>0</v>
      </c>
      <c r="U1379">
        <f>IF($E1379=0,0,SUMPRODUCT($AI$15:$DF$15,'Staff Daily sales'!$G1364:$CD1364))</f>
        <v>0</v>
      </c>
      <c r="V1379">
        <f>IF($E1379=0,0,SUMPRODUCT($AI$16:$DF$16,'Staff Daily sales'!$G1364:$CD1364))</f>
        <v>0</v>
      </c>
      <c r="W1379">
        <f t="shared" si="367"/>
        <v>0</v>
      </c>
      <c r="X1379">
        <f t="shared" si="368"/>
        <v>0</v>
      </c>
      <c r="Y1379">
        <f t="shared" si="369"/>
        <v>0</v>
      </c>
      <c r="Z1379">
        <f t="shared" si="370"/>
        <v>0</v>
      </c>
      <c r="AA1379">
        <f t="shared" si="371"/>
        <v>0</v>
      </c>
      <c r="AB1379">
        <f>--AND($E1379=1,OR('Staff Weekly Trend'!$B$3="All",$DH1379='Staff Weekly Trend'!$B$3),OR('Staff Weekly Trend'!$B$4="All",$D1379='Staff Weekly Trend'!$B$4),OR('Staff Weekly Trend'!$B$5="All",$A1379='Staff Weekly Trend'!$B$5))</f>
        <v>0</v>
      </c>
      <c r="AC1379" t="str">
        <f t="shared" si="372"/>
        <v/>
      </c>
      <c r="AI1379">
        <f t="shared" si="373"/>
        <v>0</v>
      </c>
      <c r="AJ1379">
        <f t="shared" si="374"/>
        <v>0</v>
      </c>
      <c r="AK1379">
        <f t="shared" si="375"/>
        <v>0</v>
      </c>
      <c r="AL1379">
        <f t="shared" si="376"/>
        <v>0</v>
      </c>
      <c r="AM1379">
        <f t="shared" si="377"/>
        <v>0</v>
      </c>
      <c r="DH1379" t="str" cm="1">
        <f t="array" ref="DH1379">IF($A1379="","",_xlfn.LET(_xlpm.c,IFERROR(_xlfn.XLOOKUP($A1379,TRIM('Sales and count'!$A$4:$A$300&amp;""),TRIM('Sales and count'!$B$4:$B$300&amp;"")),""),IF(OR(_xlpm.c="",_xlpm.c="0",LEFT(_xlpm.c,1)="#"),"Not set",_xlpm.c)))</f>
        <v/>
      </c>
    </row>
    <row r="1380" spans="1:112" x14ac:dyDescent="0.25">
      <c r="A1380" t="str">
        <f>IF('Staff Daily sales'!$B1365="","",TRIM('Staff Daily sales'!$B1365&amp;""))</f>
        <v/>
      </c>
      <c r="B1380" t="str">
        <f>IF('Staff Daily sales'!$D1365="","",TRIM('Staff Daily sales'!$D1365&amp;""))</f>
        <v/>
      </c>
      <c r="C1380" t="str">
        <f>IFERROR(TRIM('Staff Daily sales'!$E1365&amp;""),"")</f>
        <v/>
      </c>
      <c r="D1380" t="str">
        <f>IFERROR(IF(TRIM('Staff Daily sales'!$F1365&amp;"")="","Unassigned",TRIM('Staff Daily sales'!$F1365&amp;"")),"Unassigned")</f>
        <v>Unassigned</v>
      </c>
      <c r="E1380">
        <f t="shared" si="362"/>
        <v>0</v>
      </c>
      <c r="F1380">
        <f>IF($E1380=0,0,SUMPRODUCT($AI$5:$DF$5,'Staff Daily sales'!$G1365:$CD1365))</f>
        <v>0</v>
      </c>
      <c r="G1380">
        <f>IF($E1380=0,0,SUMPRODUCT($AI$6:$DF$6,'Staff Daily sales'!$G1365:$CD1365))</f>
        <v>0</v>
      </c>
      <c r="H1380">
        <f t="shared" si="363"/>
        <v>0</v>
      </c>
      <c r="I1380">
        <f t="shared" si="364"/>
        <v>0</v>
      </c>
      <c r="J1380">
        <f t="shared" si="365"/>
        <v>0</v>
      </c>
      <c r="K1380">
        <f t="shared" si="366"/>
        <v>0</v>
      </c>
      <c r="L1380">
        <f>--AND($E1380=1,OR('Staff Dashboard'!$B$6="All",$DH1380='Staff Dashboard'!$B$6),OR('Staff Dashboard'!$B$7="All",$D1380='Staff Dashboard'!$B$7),OR('Staff Dashboard'!$B$8="All",$A1380='Staff Dashboard'!$B$8))</f>
        <v>0</v>
      </c>
      <c r="M1380">
        <f>IF($E1380=0,0,SUMPRODUCT($AI$7:$DF$7,'Staff Daily sales'!$G1365:$CD1365))</f>
        <v>0</v>
      </c>
      <c r="N1380">
        <f>IF($E1380=0,0,SUMPRODUCT($AI$8:$DF$8,'Staff Daily sales'!$G1365:$CD1365))</f>
        <v>0</v>
      </c>
      <c r="O1380">
        <f>IF($E1380=0,0,SUMPRODUCT($AI$9:$DF$9,'Staff Daily sales'!$G1365:$CD1365))</f>
        <v>0</v>
      </c>
      <c r="P1380">
        <f>IF($E1380=0,0,SUMPRODUCT($AI$10:$DF$10,'Staff Daily sales'!$G1365:$CD1365))</f>
        <v>0</v>
      </c>
      <c r="Q1380">
        <f>IF($E1380=0,0,SUMPRODUCT($AI$11:$DF$11,'Staff Daily sales'!$G1365:$CD1365))</f>
        <v>0</v>
      </c>
      <c r="R1380">
        <f>IF($E1380=0,0,SUMPRODUCT($AI$12:$DF$12,'Staff Daily sales'!$G1365:$CD1365))</f>
        <v>0</v>
      </c>
      <c r="S1380">
        <f>IF($E1380=0,0,SUMPRODUCT($AI$13:$DF$13,'Staff Daily sales'!$G1365:$CD1365))</f>
        <v>0</v>
      </c>
      <c r="T1380">
        <f>IF($E1380=0,0,SUMPRODUCT($AI$14:$DF$14,'Staff Daily sales'!$G1365:$CD1365))</f>
        <v>0</v>
      </c>
      <c r="U1380">
        <f>IF($E1380=0,0,SUMPRODUCT($AI$15:$DF$15,'Staff Daily sales'!$G1365:$CD1365))</f>
        <v>0</v>
      </c>
      <c r="V1380">
        <f>IF($E1380=0,0,SUMPRODUCT($AI$16:$DF$16,'Staff Daily sales'!$G1365:$CD1365))</f>
        <v>0</v>
      </c>
      <c r="W1380">
        <f t="shared" si="367"/>
        <v>0</v>
      </c>
      <c r="X1380">
        <f t="shared" si="368"/>
        <v>0</v>
      </c>
      <c r="Y1380">
        <f t="shared" si="369"/>
        <v>0</v>
      </c>
      <c r="Z1380">
        <f t="shared" si="370"/>
        <v>0</v>
      </c>
      <c r="AA1380">
        <f t="shared" si="371"/>
        <v>0</v>
      </c>
      <c r="AB1380">
        <f>--AND($E1380=1,OR('Staff Weekly Trend'!$B$3="All",$DH1380='Staff Weekly Trend'!$B$3),OR('Staff Weekly Trend'!$B$4="All",$D1380='Staff Weekly Trend'!$B$4),OR('Staff Weekly Trend'!$B$5="All",$A1380='Staff Weekly Trend'!$B$5))</f>
        <v>0</v>
      </c>
      <c r="AC1380" t="str">
        <f t="shared" si="372"/>
        <v/>
      </c>
      <c r="AI1380">
        <f t="shared" si="373"/>
        <v>0</v>
      </c>
      <c r="AJ1380">
        <f t="shared" si="374"/>
        <v>0</v>
      </c>
      <c r="AK1380">
        <f t="shared" si="375"/>
        <v>0</v>
      </c>
      <c r="AL1380">
        <f t="shared" si="376"/>
        <v>0</v>
      </c>
      <c r="AM1380">
        <f t="shared" si="377"/>
        <v>0</v>
      </c>
      <c r="DH1380" t="str" cm="1">
        <f t="array" ref="DH1380">IF($A1380="","",_xlfn.LET(_xlpm.c,IFERROR(_xlfn.XLOOKUP($A1380,TRIM('Sales and count'!$A$4:$A$300&amp;""),TRIM('Sales and count'!$B$4:$B$300&amp;"")),""),IF(OR(_xlpm.c="",_xlpm.c="0",LEFT(_xlpm.c,1)="#"),"Not set",_xlpm.c)))</f>
        <v/>
      </c>
    </row>
    <row r="1381" spans="1:112" x14ac:dyDescent="0.25">
      <c r="A1381" t="str">
        <f>IF('Staff Daily sales'!$B1366="","",TRIM('Staff Daily sales'!$B1366&amp;""))</f>
        <v/>
      </c>
      <c r="B1381" t="str">
        <f>IF('Staff Daily sales'!$D1366="","",TRIM('Staff Daily sales'!$D1366&amp;""))</f>
        <v/>
      </c>
      <c r="C1381" t="str">
        <f>IFERROR(TRIM('Staff Daily sales'!$E1366&amp;""),"")</f>
        <v/>
      </c>
      <c r="D1381" t="str">
        <f>IFERROR(IF(TRIM('Staff Daily sales'!$F1366&amp;"")="","Unassigned",TRIM('Staff Daily sales'!$F1366&amp;"")),"Unassigned")</f>
        <v>Unassigned</v>
      </c>
      <c r="E1381">
        <f t="shared" si="362"/>
        <v>0</v>
      </c>
      <c r="F1381">
        <f>IF($E1381=0,0,SUMPRODUCT($AI$5:$DF$5,'Staff Daily sales'!$G1366:$CD1366))</f>
        <v>0</v>
      </c>
      <c r="G1381">
        <f>IF($E1381=0,0,SUMPRODUCT($AI$6:$DF$6,'Staff Daily sales'!$G1366:$CD1366))</f>
        <v>0</v>
      </c>
      <c r="H1381">
        <f t="shared" si="363"/>
        <v>0</v>
      </c>
      <c r="I1381">
        <f t="shared" si="364"/>
        <v>0</v>
      </c>
      <c r="J1381">
        <f t="shared" si="365"/>
        <v>0</v>
      </c>
      <c r="K1381">
        <f t="shared" si="366"/>
        <v>0</v>
      </c>
      <c r="L1381">
        <f>--AND($E1381=1,OR('Staff Dashboard'!$B$6="All",$DH1381='Staff Dashboard'!$B$6),OR('Staff Dashboard'!$B$7="All",$D1381='Staff Dashboard'!$B$7),OR('Staff Dashboard'!$B$8="All",$A1381='Staff Dashboard'!$B$8))</f>
        <v>0</v>
      </c>
      <c r="M1381">
        <f>IF($E1381=0,0,SUMPRODUCT($AI$7:$DF$7,'Staff Daily sales'!$G1366:$CD1366))</f>
        <v>0</v>
      </c>
      <c r="N1381">
        <f>IF($E1381=0,0,SUMPRODUCT($AI$8:$DF$8,'Staff Daily sales'!$G1366:$CD1366))</f>
        <v>0</v>
      </c>
      <c r="O1381">
        <f>IF($E1381=0,0,SUMPRODUCT($AI$9:$DF$9,'Staff Daily sales'!$G1366:$CD1366))</f>
        <v>0</v>
      </c>
      <c r="P1381">
        <f>IF($E1381=0,0,SUMPRODUCT($AI$10:$DF$10,'Staff Daily sales'!$G1366:$CD1366))</f>
        <v>0</v>
      </c>
      <c r="Q1381">
        <f>IF($E1381=0,0,SUMPRODUCT($AI$11:$DF$11,'Staff Daily sales'!$G1366:$CD1366))</f>
        <v>0</v>
      </c>
      <c r="R1381">
        <f>IF($E1381=0,0,SUMPRODUCT($AI$12:$DF$12,'Staff Daily sales'!$G1366:$CD1366))</f>
        <v>0</v>
      </c>
      <c r="S1381">
        <f>IF($E1381=0,0,SUMPRODUCT($AI$13:$DF$13,'Staff Daily sales'!$G1366:$CD1366))</f>
        <v>0</v>
      </c>
      <c r="T1381">
        <f>IF($E1381=0,0,SUMPRODUCT($AI$14:$DF$14,'Staff Daily sales'!$G1366:$CD1366))</f>
        <v>0</v>
      </c>
      <c r="U1381">
        <f>IF($E1381=0,0,SUMPRODUCT($AI$15:$DF$15,'Staff Daily sales'!$G1366:$CD1366))</f>
        <v>0</v>
      </c>
      <c r="V1381">
        <f>IF($E1381=0,0,SUMPRODUCT($AI$16:$DF$16,'Staff Daily sales'!$G1366:$CD1366))</f>
        <v>0</v>
      </c>
      <c r="W1381">
        <f t="shared" si="367"/>
        <v>0</v>
      </c>
      <c r="X1381">
        <f t="shared" si="368"/>
        <v>0</v>
      </c>
      <c r="Y1381">
        <f t="shared" si="369"/>
        <v>0</v>
      </c>
      <c r="Z1381">
        <f t="shared" si="370"/>
        <v>0</v>
      </c>
      <c r="AA1381">
        <f t="shared" si="371"/>
        <v>0</v>
      </c>
      <c r="AB1381">
        <f>--AND($E1381=1,OR('Staff Weekly Trend'!$B$3="All",$DH1381='Staff Weekly Trend'!$B$3),OR('Staff Weekly Trend'!$B$4="All",$D1381='Staff Weekly Trend'!$B$4),OR('Staff Weekly Trend'!$B$5="All",$A1381='Staff Weekly Trend'!$B$5))</f>
        <v>0</v>
      </c>
      <c r="AC1381" t="str">
        <f t="shared" si="372"/>
        <v/>
      </c>
      <c r="AI1381">
        <f t="shared" si="373"/>
        <v>0</v>
      </c>
      <c r="AJ1381">
        <f t="shared" si="374"/>
        <v>0</v>
      </c>
      <c r="AK1381">
        <f t="shared" si="375"/>
        <v>0</v>
      </c>
      <c r="AL1381">
        <f t="shared" si="376"/>
        <v>0</v>
      </c>
      <c r="AM1381">
        <f t="shared" si="377"/>
        <v>0</v>
      </c>
      <c r="DH1381" t="str" cm="1">
        <f t="array" ref="DH1381">IF($A1381="","",_xlfn.LET(_xlpm.c,IFERROR(_xlfn.XLOOKUP($A1381,TRIM('Sales and count'!$A$4:$A$300&amp;""),TRIM('Sales and count'!$B$4:$B$300&amp;"")),""),IF(OR(_xlpm.c="",_xlpm.c="0",LEFT(_xlpm.c,1)="#"),"Not set",_xlpm.c)))</f>
        <v/>
      </c>
    </row>
    <row r="1382" spans="1:112" x14ac:dyDescent="0.25">
      <c r="A1382" t="str">
        <f>IF('Staff Daily sales'!$B1367="","",TRIM('Staff Daily sales'!$B1367&amp;""))</f>
        <v/>
      </c>
      <c r="B1382" t="str">
        <f>IF('Staff Daily sales'!$D1367="","",TRIM('Staff Daily sales'!$D1367&amp;""))</f>
        <v/>
      </c>
      <c r="C1382" t="str">
        <f>IFERROR(TRIM('Staff Daily sales'!$E1367&amp;""),"")</f>
        <v/>
      </c>
      <c r="D1382" t="str">
        <f>IFERROR(IF(TRIM('Staff Daily sales'!$F1367&amp;"")="","Unassigned",TRIM('Staff Daily sales'!$F1367&amp;"")),"Unassigned")</f>
        <v>Unassigned</v>
      </c>
      <c r="E1382">
        <f t="shared" si="362"/>
        <v>0</v>
      </c>
      <c r="F1382">
        <f>IF($E1382=0,0,SUMPRODUCT($AI$5:$DF$5,'Staff Daily sales'!$G1367:$CD1367))</f>
        <v>0</v>
      </c>
      <c r="G1382">
        <f>IF($E1382=0,0,SUMPRODUCT($AI$6:$DF$6,'Staff Daily sales'!$G1367:$CD1367))</f>
        <v>0</v>
      </c>
      <c r="H1382">
        <f t="shared" si="363"/>
        <v>0</v>
      </c>
      <c r="I1382">
        <f t="shared" si="364"/>
        <v>0</v>
      </c>
      <c r="J1382">
        <f t="shared" si="365"/>
        <v>0</v>
      </c>
      <c r="K1382">
        <f t="shared" si="366"/>
        <v>0</v>
      </c>
      <c r="L1382">
        <f>--AND($E1382=1,OR('Staff Dashboard'!$B$6="All",$DH1382='Staff Dashboard'!$B$6),OR('Staff Dashboard'!$B$7="All",$D1382='Staff Dashboard'!$B$7),OR('Staff Dashboard'!$B$8="All",$A1382='Staff Dashboard'!$B$8))</f>
        <v>0</v>
      </c>
      <c r="M1382">
        <f>IF($E1382=0,0,SUMPRODUCT($AI$7:$DF$7,'Staff Daily sales'!$G1367:$CD1367))</f>
        <v>0</v>
      </c>
      <c r="N1382">
        <f>IF($E1382=0,0,SUMPRODUCT($AI$8:$DF$8,'Staff Daily sales'!$G1367:$CD1367))</f>
        <v>0</v>
      </c>
      <c r="O1382">
        <f>IF($E1382=0,0,SUMPRODUCT($AI$9:$DF$9,'Staff Daily sales'!$G1367:$CD1367))</f>
        <v>0</v>
      </c>
      <c r="P1382">
        <f>IF($E1382=0,0,SUMPRODUCT($AI$10:$DF$10,'Staff Daily sales'!$G1367:$CD1367))</f>
        <v>0</v>
      </c>
      <c r="Q1382">
        <f>IF($E1382=0,0,SUMPRODUCT($AI$11:$DF$11,'Staff Daily sales'!$G1367:$CD1367))</f>
        <v>0</v>
      </c>
      <c r="R1382">
        <f>IF($E1382=0,0,SUMPRODUCT($AI$12:$DF$12,'Staff Daily sales'!$G1367:$CD1367))</f>
        <v>0</v>
      </c>
      <c r="S1382">
        <f>IF($E1382=0,0,SUMPRODUCT($AI$13:$DF$13,'Staff Daily sales'!$G1367:$CD1367))</f>
        <v>0</v>
      </c>
      <c r="T1382">
        <f>IF($E1382=0,0,SUMPRODUCT($AI$14:$DF$14,'Staff Daily sales'!$G1367:$CD1367))</f>
        <v>0</v>
      </c>
      <c r="U1382">
        <f>IF($E1382=0,0,SUMPRODUCT($AI$15:$DF$15,'Staff Daily sales'!$G1367:$CD1367))</f>
        <v>0</v>
      </c>
      <c r="V1382">
        <f>IF($E1382=0,0,SUMPRODUCT($AI$16:$DF$16,'Staff Daily sales'!$G1367:$CD1367))</f>
        <v>0</v>
      </c>
      <c r="W1382">
        <f t="shared" si="367"/>
        <v>0</v>
      </c>
      <c r="X1382">
        <f t="shared" si="368"/>
        <v>0</v>
      </c>
      <c r="Y1382">
        <f t="shared" si="369"/>
        <v>0</v>
      </c>
      <c r="Z1382">
        <f t="shared" si="370"/>
        <v>0</v>
      </c>
      <c r="AA1382">
        <f t="shared" si="371"/>
        <v>0</v>
      </c>
      <c r="AB1382">
        <f>--AND($E1382=1,OR('Staff Weekly Trend'!$B$3="All",$DH1382='Staff Weekly Trend'!$B$3),OR('Staff Weekly Trend'!$B$4="All",$D1382='Staff Weekly Trend'!$B$4),OR('Staff Weekly Trend'!$B$5="All",$A1382='Staff Weekly Trend'!$B$5))</f>
        <v>0</v>
      </c>
      <c r="AC1382" t="str">
        <f t="shared" si="372"/>
        <v/>
      </c>
      <c r="AI1382">
        <f t="shared" si="373"/>
        <v>0</v>
      </c>
      <c r="AJ1382">
        <f t="shared" si="374"/>
        <v>0</v>
      </c>
      <c r="AK1382">
        <f t="shared" si="375"/>
        <v>0</v>
      </c>
      <c r="AL1382">
        <f t="shared" si="376"/>
        <v>0</v>
      </c>
      <c r="AM1382">
        <f t="shared" si="377"/>
        <v>0</v>
      </c>
      <c r="DH1382" t="str" cm="1">
        <f t="array" ref="DH1382">IF($A1382="","",_xlfn.LET(_xlpm.c,IFERROR(_xlfn.XLOOKUP($A1382,TRIM('Sales and count'!$A$4:$A$300&amp;""),TRIM('Sales and count'!$B$4:$B$300&amp;"")),""),IF(OR(_xlpm.c="",_xlpm.c="0",LEFT(_xlpm.c,1)="#"),"Not set",_xlpm.c)))</f>
        <v/>
      </c>
    </row>
    <row r="1383" spans="1:112" x14ac:dyDescent="0.25">
      <c r="A1383" t="str">
        <f>IF('Staff Daily sales'!$B1368="","",TRIM('Staff Daily sales'!$B1368&amp;""))</f>
        <v/>
      </c>
      <c r="B1383" t="str">
        <f>IF('Staff Daily sales'!$D1368="","",TRIM('Staff Daily sales'!$D1368&amp;""))</f>
        <v/>
      </c>
      <c r="C1383" t="str">
        <f>IFERROR(TRIM('Staff Daily sales'!$E1368&amp;""),"")</f>
        <v/>
      </c>
      <c r="D1383" t="str">
        <f>IFERROR(IF(TRIM('Staff Daily sales'!$F1368&amp;"")="","Unassigned",TRIM('Staff Daily sales'!$F1368&amp;"")),"Unassigned")</f>
        <v>Unassigned</v>
      </c>
      <c r="E1383">
        <f t="shared" si="362"/>
        <v>0</v>
      </c>
      <c r="F1383">
        <f>IF($E1383=0,0,SUMPRODUCT($AI$5:$DF$5,'Staff Daily sales'!$G1368:$CD1368))</f>
        <v>0</v>
      </c>
      <c r="G1383">
        <f>IF($E1383=0,0,SUMPRODUCT($AI$6:$DF$6,'Staff Daily sales'!$G1368:$CD1368))</f>
        <v>0</v>
      </c>
      <c r="H1383">
        <f t="shared" si="363"/>
        <v>0</v>
      </c>
      <c r="I1383">
        <f t="shared" si="364"/>
        <v>0</v>
      </c>
      <c r="J1383">
        <f t="shared" si="365"/>
        <v>0</v>
      </c>
      <c r="K1383">
        <f t="shared" si="366"/>
        <v>0</v>
      </c>
      <c r="L1383">
        <f>--AND($E1383=1,OR('Staff Dashboard'!$B$6="All",$DH1383='Staff Dashboard'!$B$6),OR('Staff Dashboard'!$B$7="All",$D1383='Staff Dashboard'!$B$7),OR('Staff Dashboard'!$B$8="All",$A1383='Staff Dashboard'!$B$8))</f>
        <v>0</v>
      </c>
      <c r="M1383">
        <f>IF($E1383=0,0,SUMPRODUCT($AI$7:$DF$7,'Staff Daily sales'!$G1368:$CD1368))</f>
        <v>0</v>
      </c>
      <c r="N1383">
        <f>IF($E1383=0,0,SUMPRODUCT($AI$8:$DF$8,'Staff Daily sales'!$G1368:$CD1368))</f>
        <v>0</v>
      </c>
      <c r="O1383">
        <f>IF($E1383=0,0,SUMPRODUCT($AI$9:$DF$9,'Staff Daily sales'!$G1368:$CD1368))</f>
        <v>0</v>
      </c>
      <c r="P1383">
        <f>IF($E1383=0,0,SUMPRODUCT($AI$10:$DF$10,'Staff Daily sales'!$G1368:$CD1368))</f>
        <v>0</v>
      </c>
      <c r="Q1383">
        <f>IF($E1383=0,0,SUMPRODUCT($AI$11:$DF$11,'Staff Daily sales'!$G1368:$CD1368))</f>
        <v>0</v>
      </c>
      <c r="R1383">
        <f>IF($E1383=0,0,SUMPRODUCT($AI$12:$DF$12,'Staff Daily sales'!$G1368:$CD1368))</f>
        <v>0</v>
      </c>
      <c r="S1383">
        <f>IF($E1383=0,0,SUMPRODUCT($AI$13:$DF$13,'Staff Daily sales'!$G1368:$CD1368))</f>
        <v>0</v>
      </c>
      <c r="T1383">
        <f>IF($E1383=0,0,SUMPRODUCT($AI$14:$DF$14,'Staff Daily sales'!$G1368:$CD1368))</f>
        <v>0</v>
      </c>
      <c r="U1383">
        <f>IF($E1383=0,0,SUMPRODUCT($AI$15:$DF$15,'Staff Daily sales'!$G1368:$CD1368))</f>
        <v>0</v>
      </c>
      <c r="V1383">
        <f>IF($E1383=0,0,SUMPRODUCT($AI$16:$DF$16,'Staff Daily sales'!$G1368:$CD1368))</f>
        <v>0</v>
      </c>
      <c r="W1383">
        <f t="shared" si="367"/>
        <v>0</v>
      </c>
      <c r="X1383">
        <f t="shared" si="368"/>
        <v>0</v>
      </c>
      <c r="Y1383">
        <f t="shared" si="369"/>
        <v>0</v>
      </c>
      <c r="Z1383">
        <f t="shared" si="370"/>
        <v>0</v>
      </c>
      <c r="AA1383">
        <f t="shared" si="371"/>
        <v>0</v>
      </c>
      <c r="AB1383">
        <f>--AND($E1383=1,OR('Staff Weekly Trend'!$B$3="All",$DH1383='Staff Weekly Trend'!$B$3),OR('Staff Weekly Trend'!$B$4="All",$D1383='Staff Weekly Trend'!$B$4),OR('Staff Weekly Trend'!$B$5="All",$A1383='Staff Weekly Trend'!$B$5))</f>
        <v>0</v>
      </c>
      <c r="AC1383" t="str">
        <f t="shared" si="372"/>
        <v/>
      </c>
      <c r="AI1383">
        <f t="shared" si="373"/>
        <v>0</v>
      </c>
      <c r="AJ1383">
        <f t="shared" si="374"/>
        <v>0</v>
      </c>
      <c r="AK1383">
        <f t="shared" si="375"/>
        <v>0</v>
      </c>
      <c r="AL1383">
        <f t="shared" si="376"/>
        <v>0</v>
      </c>
      <c r="AM1383">
        <f t="shared" si="377"/>
        <v>0</v>
      </c>
      <c r="DH1383" t="str" cm="1">
        <f t="array" ref="DH1383">IF($A1383="","",_xlfn.LET(_xlpm.c,IFERROR(_xlfn.XLOOKUP($A1383,TRIM('Sales and count'!$A$4:$A$300&amp;""),TRIM('Sales and count'!$B$4:$B$300&amp;"")),""),IF(OR(_xlpm.c="",_xlpm.c="0",LEFT(_xlpm.c,1)="#"),"Not set",_xlpm.c)))</f>
        <v/>
      </c>
    </row>
    <row r="1384" spans="1:112" x14ac:dyDescent="0.25">
      <c r="A1384" t="str">
        <f>IF('Staff Daily sales'!$B1369="","",TRIM('Staff Daily sales'!$B1369&amp;""))</f>
        <v/>
      </c>
      <c r="B1384" t="str">
        <f>IF('Staff Daily sales'!$D1369="","",TRIM('Staff Daily sales'!$D1369&amp;""))</f>
        <v/>
      </c>
      <c r="C1384" t="str">
        <f>IFERROR(TRIM('Staff Daily sales'!$E1369&amp;""),"")</f>
        <v/>
      </c>
      <c r="D1384" t="str">
        <f>IFERROR(IF(TRIM('Staff Daily sales'!$F1369&amp;"")="","Unassigned",TRIM('Staff Daily sales'!$F1369&amp;"")),"Unassigned")</f>
        <v>Unassigned</v>
      </c>
      <c r="E1384">
        <f t="shared" si="362"/>
        <v>0</v>
      </c>
      <c r="F1384">
        <f>IF($E1384=0,0,SUMPRODUCT($AI$5:$DF$5,'Staff Daily sales'!$G1369:$CD1369))</f>
        <v>0</v>
      </c>
      <c r="G1384">
        <f>IF($E1384=0,0,SUMPRODUCT($AI$6:$DF$6,'Staff Daily sales'!$G1369:$CD1369))</f>
        <v>0</v>
      </c>
      <c r="H1384">
        <f t="shared" si="363"/>
        <v>0</v>
      </c>
      <c r="I1384">
        <f t="shared" si="364"/>
        <v>0</v>
      </c>
      <c r="J1384">
        <f t="shared" si="365"/>
        <v>0</v>
      </c>
      <c r="K1384">
        <f t="shared" si="366"/>
        <v>0</v>
      </c>
      <c r="L1384">
        <f>--AND($E1384=1,OR('Staff Dashboard'!$B$6="All",$DH1384='Staff Dashboard'!$B$6),OR('Staff Dashboard'!$B$7="All",$D1384='Staff Dashboard'!$B$7),OR('Staff Dashboard'!$B$8="All",$A1384='Staff Dashboard'!$B$8))</f>
        <v>0</v>
      </c>
      <c r="M1384">
        <f>IF($E1384=0,0,SUMPRODUCT($AI$7:$DF$7,'Staff Daily sales'!$G1369:$CD1369))</f>
        <v>0</v>
      </c>
      <c r="N1384">
        <f>IF($E1384=0,0,SUMPRODUCT($AI$8:$DF$8,'Staff Daily sales'!$G1369:$CD1369))</f>
        <v>0</v>
      </c>
      <c r="O1384">
        <f>IF($E1384=0,0,SUMPRODUCT($AI$9:$DF$9,'Staff Daily sales'!$G1369:$CD1369))</f>
        <v>0</v>
      </c>
      <c r="P1384">
        <f>IF($E1384=0,0,SUMPRODUCT($AI$10:$DF$10,'Staff Daily sales'!$G1369:$CD1369))</f>
        <v>0</v>
      </c>
      <c r="Q1384">
        <f>IF($E1384=0,0,SUMPRODUCT($AI$11:$DF$11,'Staff Daily sales'!$G1369:$CD1369))</f>
        <v>0</v>
      </c>
      <c r="R1384">
        <f>IF($E1384=0,0,SUMPRODUCT($AI$12:$DF$12,'Staff Daily sales'!$G1369:$CD1369))</f>
        <v>0</v>
      </c>
      <c r="S1384">
        <f>IF($E1384=0,0,SUMPRODUCT($AI$13:$DF$13,'Staff Daily sales'!$G1369:$CD1369))</f>
        <v>0</v>
      </c>
      <c r="T1384">
        <f>IF($E1384=0,0,SUMPRODUCT($AI$14:$DF$14,'Staff Daily sales'!$G1369:$CD1369))</f>
        <v>0</v>
      </c>
      <c r="U1384">
        <f>IF($E1384=0,0,SUMPRODUCT($AI$15:$DF$15,'Staff Daily sales'!$G1369:$CD1369))</f>
        <v>0</v>
      </c>
      <c r="V1384">
        <f>IF($E1384=0,0,SUMPRODUCT($AI$16:$DF$16,'Staff Daily sales'!$G1369:$CD1369))</f>
        <v>0</v>
      </c>
      <c r="W1384">
        <f t="shared" si="367"/>
        <v>0</v>
      </c>
      <c r="X1384">
        <f t="shared" si="368"/>
        <v>0</v>
      </c>
      <c r="Y1384">
        <f t="shared" si="369"/>
        <v>0</v>
      </c>
      <c r="Z1384">
        <f t="shared" si="370"/>
        <v>0</v>
      </c>
      <c r="AA1384">
        <f t="shared" si="371"/>
        <v>0</v>
      </c>
      <c r="AB1384">
        <f>--AND($E1384=1,OR('Staff Weekly Trend'!$B$3="All",$DH1384='Staff Weekly Trend'!$B$3),OR('Staff Weekly Trend'!$B$4="All",$D1384='Staff Weekly Trend'!$B$4),OR('Staff Weekly Trend'!$B$5="All",$A1384='Staff Weekly Trend'!$B$5))</f>
        <v>0</v>
      </c>
      <c r="AC1384" t="str">
        <f t="shared" si="372"/>
        <v/>
      </c>
      <c r="AI1384">
        <f t="shared" si="373"/>
        <v>0</v>
      </c>
      <c r="AJ1384">
        <f t="shared" si="374"/>
        <v>0</v>
      </c>
      <c r="AK1384">
        <f t="shared" si="375"/>
        <v>0</v>
      </c>
      <c r="AL1384">
        <f t="shared" si="376"/>
        <v>0</v>
      </c>
      <c r="AM1384">
        <f t="shared" si="377"/>
        <v>0</v>
      </c>
      <c r="DH1384" t="str" cm="1">
        <f t="array" ref="DH1384">IF($A1384="","",_xlfn.LET(_xlpm.c,IFERROR(_xlfn.XLOOKUP($A1384,TRIM('Sales and count'!$A$4:$A$300&amp;""),TRIM('Sales and count'!$B$4:$B$300&amp;"")),""),IF(OR(_xlpm.c="",_xlpm.c="0",LEFT(_xlpm.c,1)="#"),"Not set",_xlpm.c)))</f>
        <v/>
      </c>
    </row>
    <row r="1385" spans="1:112" x14ac:dyDescent="0.25">
      <c r="A1385" t="str">
        <f>IF('Staff Daily sales'!$B1370="","",TRIM('Staff Daily sales'!$B1370&amp;""))</f>
        <v/>
      </c>
      <c r="B1385" t="str">
        <f>IF('Staff Daily sales'!$D1370="","",TRIM('Staff Daily sales'!$D1370&amp;""))</f>
        <v/>
      </c>
      <c r="C1385" t="str">
        <f>IFERROR(TRIM('Staff Daily sales'!$E1370&amp;""),"")</f>
        <v/>
      </c>
      <c r="D1385" t="str">
        <f>IFERROR(IF(TRIM('Staff Daily sales'!$F1370&amp;"")="","Unassigned",TRIM('Staff Daily sales'!$F1370&amp;"")),"Unassigned")</f>
        <v>Unassigned</v>
      </c>
      <c r="E1385">
        <f t="shared" si="362"/>
        <v>0</v>
      </c>
      <c r="F1385">
        <f>IF($E1385=0,0,SUMPRODUCT($AI$5:$DF$5,'Staff Daily sales'!$G1370:$CD1370))</f>
        <v>0</v>
      </c>
      <c r="G1385">
        <f>IF($E1385=0,0,SUMPRODUCT($AI$6:$DF$6,'Staff Daily sales'!$G1370:$CD1370))</f>
        <v>0</v>
      </c>
      <c r="H1385">
        <f t="shared" si="363"/>
        <v>0</v>
      </c>
      <c r="I1385">
        <f t="shared" si="364"/>
        <v>0</v>
      </c>
      <c r="J1385">
        <f t="shared" si="365"/>
        <v>0</v>
      </c>
      <c r="K1385">
        <f t="shared" si="366"/>
        <v>0</v>
      </c>
      <c r="L1385">
        <f>--AND($E1385=1,OR('Staff Dashboard'!$B$6="All",$DH1385='Staff Dashboard'!$B$6),OR('Staff Dashboard'!$B$7="All",$D1385='Staff Dashboard'!$B$7),OR('Staff Dashboard'!$B$8="All",$A1385='Staff Dashboard'!$B$8))</f>
        <v>0</v>
      </c>
      <c r="M1385">
        <f>IF($E1385=0,0,SUMPRODUCT($AI$7:$DF$7,'Staff Daily sales'!$G1370:$CD1370))</f>
        <v>0</v>
      </c>
      <c r="N1385">
        <f>IF($E1385=0,0,SUMPRODUCT($AI$8:$DF$8,'Staff Daily sales'!$G1370:$CD1370))</f>
        <v>0</v>
      </c>
      <c r="O1385">
        <f>IF($E1385=0,0,SUMPRODUCT($AI$9:$DF$9,'Staff Daily sales'!$G1370:$CD1370))</f>
        <v>0</v>
      </c>
      <c r="P1385">
        <f>IF($E1385=0,0,SUMPRODUCT($AI$10:$DF$10,'Staff Daily sales'!$G1370:$CD1370))</f>
        <v>0</v>
      </c>
      <c r="Q1385">
        <f>IF($E1385=0,0,SUMPRODUCT($AI$11:$DF$11,'Staff Daily sales'!$G1370:$CD1370))</f>
        <v>0</v>
      </c>
      <c r="R1385">
        <f>IF($E1385=0,0,SUMPRODUCT($AI$12:$DF$12,'Staff Daily sales'!$G1370:$CD1370))</f>
        <v>0</v>
      </c>
      <c r="S1385">
        <f>IF($E1385=0,0,SUMPRODUCT($AI$13:$DF$13,'Staff Daily sales'!$G1370:$CD1370))</f>
        <v>0</v>
      </c>
      <c r="T1385">
        <f>IF($E1385=0,0,SUMPRODUCT($AI$14:$DF$14,'Staff Daily sales'!$G1370:$CD1370))</f>
        <v>0</v>
      </c>
      <c r="U1385">
        <f>IF($E1385=0,0,SUMPRODUCT($AI$15:$DF$15,'Staff Daily sales'!$G1370:$CD1370))</f>
        <v>0</v>
      </c>
      <c r="V1385">
        <f>IF($E1385=0,0,SUMPRODUCT($AI$16:$DF$16,'Staff Daily sales'!$G1370:$CD1370))</f>
        <v>0</v>
      </c>
      <c r="W1385">
        <f t="shared" si="367"/>
        <v>0</v>
      </c>
      <c r="X1385">
        <f t="shared" si="368"/>
        <v>0</v>
      </c>
      <c r="Y1385">
        <f t="shared" si="369"/>
        <v>0</v>
      </c>
      <c r="Z1385">
        <f t="shared" si="370"/>
        <v>0</v>
      </c>
      <c r="AA1385">
        <f t="shared" si="371"/>
        <v>0</v>
      </c>
      <c r="AB1385">
        <f>--AND($E1385=1,OR('Staff Weekly Trend'!$B$3="All",$DH1385='Staff Weekly Trend'!$B$3),OR('Staff Weekly Trend'!$B$4="All",$D1385='Staff Weekly Trend'!$B$4),OR('Staff Weekly Trend'!$B$5="All",$A1385='Staff Weekly Trend'!$B$5))</f>
        <v>0</v>
      </c>
      <c r="AC1385" t="str">
        <f t="shared" si="372"/>
        <v/>
      </c>
      <c r="AI1385">
        <f t="shared" si="373"/>
        <v>0</v>
      </c>
      <c r="AJ1385">
        <f t="shared" si="374"/>
        <v>0</v>
      </c>
      <c r="AK1385">
        <f t="shared" si="375"/>
        <v>0</v>
      </c>
      <c r="AL1385">
        <f t="shared" si="376"/>
        <v>0</v>
      </c>
      <c r="AM1385">
        <f t="shared" si="377"/>
        <v>0</v>
      </c>
      <c r="DH1385" t="str" cm="1">
        <f t="array" ref="DH1385">IF($A1385="","",_xlfn.LET(_xlpm.c,IFERROR(_xlfn.XLOOKUP($A1385,TRIM('Sales and count'!$A$4:$A$300&amp;""),TRIM('Sales and count'!$B$4:$B$300&amp;"")),""),IF(OR(_xlpm.c="",_xlpm.c="0",LEFT(_xlpm.c,1)="#"),"Not set",_xlpm.c)))</f>
        <v/>
      </c>
    </row>
    <row r="1386" spans="1:112" x14ac:dyDescent="0.25">
      <c r="A1386" t="str">
        <f>IF('Staff Daily sales'!$B1371="","",TRIM('Staff Daily sales'!$B1371&amp;""))</f>
        <v/>
      </c>
      <c r="B1386" t="str">
        <f>IF('Staff Daily sales'!$D1371="","",TRIM('Staff Daily sales'!$D1371&amp;""))</f>
        <v/>
      </c>
      <c r="C1386" t="str">
        <f>IFERROR(TRIM('Staff Daily sales'!$E1371&amp;""),"")</f>
        <v/>
      </c>
      <c r="D1386" t="str">
        <f>IFERROR(IF(TRIM('Staff Daily sales'!$F1371&amp;"")="","Unassigned",TRIM('Staff Daily sales'!$F1371&amp;"")),"Unassigned")</f>
        <v>Unassigned</v>
      </c>
      <c r="E1386">
        <f t="shared" si="362"/>
        <v>0</v>
      </c>
      <c r="F1386">
        <f>IF($E1386=0,0,SUMPRODUCT($AI$5:$DF$5,'Staff Daily sales'!$G1371:$CD1371))</f>
        <v>0</v>
      </c>
      <c r="G1386">
        <f>IF($E1386=0,0,SUMPRODUCT($AI$6:$DF$6,'Staff Daily sales'!$G1371:$CD1371))</f>
        <v>0</v>
      </c>
      <c r="H1386">
        <f t="shared" si="363"/>
        <v>0</v>
      </c>
      <c r="I1386">
        <f t="shared" si="364"/>
        <v>0</v>
      </c>
      <c r="J1386">
        <f t="shared" si="365"/>
        <v>0</v>
      </c>
      <c r="K1386">
        <f t="shared" si="366"/>
        <v>0</v>
      </c>
      <c r="L1386">
        <f>--AND($E1386=1,OR('Staff Dashboard'!$B$6="All",$DH1386='Staff Dashboard'!$B$6),OR('Staff Dashboard'!$B$7="All",$D1386='Staff Dashboard'!$B$7),OR('Staff Dashboard'!$B$8="All",$A1386='Staff Dashboard'!$B$8))</f>
        <v>0</v>
      </c>
      <c r="M1386">
        <f>IF($E1386=0,0,SUMPRODUCT($AI$7:$DF$7,'Staff Daily sales'!$G1371:$CD1371))</f>
        <v>0</v>
      </c>
      <c r="N1386">
        <f>IF($E1386=0,0,SUMPRODUCT($AI$8:$DF$8,'Staff Daily sales'!$G1371:$CD1371))</f>
        <v>0</v>
      </c>
      <c r="O1386">
        <f>IF($E1386=0,0,SUMPRODUCT($AI$9:$DF$9,'Staff Daily sales'!$G1371:$CD1371))</f>
        <v>0</v>
      </c>
      <c r="P1386">
        <f>IF($E1386=0,0,SUMPRODUCT($AI$10:$DF$10,'Staff Daily sales'!$G1371:$CD1371))</f>
        <v>0</v>
      </c>
      <c r="Q1386">
        <f>IF($E1386=0,0,SUMPRODUCT($AI$11:$DF$11,'Staff Daily sales'!$G1371:$CD1371))</f>
        <v>0</v>
      </c>
      <c r="R1386">
        <f>IF($E1386=0,0,SUMPRODUCT($AI$12:$DF$12,'Staff Daily sales'!$G1371:$CD1371))</f>
        <v>0</v>
      </c>
      <c r="S1386">
        <f>IF($E1386=0,0,SUMPRODUCT($AI$13:$DF$13,'Staff Daily sales'!$G1371:$CD1371))</f>
        <v>0</v>
      </c>
      <c r="T1386">
        <f>IF($E1386=0,0,SUMPRODUCT($AI$14:$DF$14,'Staff Daily sales'!$G1371:$CD1371))</f>
        <v>0</v>
      </c>
      <c r="U1386">
        <f>IF($E1386=0,0,SUMPRODUCT($AI$15:$DF$15,'Staff Daily sales'!$G1371:$CD1371))</f>
        <v>0</v>
      </c>
      <c r="V1386">
        <f>IF($E1386=0,0,SUMPRODUCT($AI$16:$DF$16,'Staff Daily sales'!$G1371:$CD1371))</f>
        <v>0</v>
      </c>
      <c r="W1386">
        <f t="shared" si="367"/>
        <v>0</v>
      </c>
      <c r="X1386">
        <f t="shared" si="368"/>
        <v>0</v>
      </c>
      <c r="Y1386">
        <f t="shared" si="369"/>
        <v>0</v>
      </c>
      <c r="Z1386">
        <f t="shared" si="370"/>
        <v>0</v>
      </c>
      <c r="AA1386">
        <f t="shared" si="371"/>
        <v>0</v>
      </c>
      <c r="AB1386">
        <f>--AND($E1386=1,OR('Staff Weekly Trend'!$B$3="All",$DH1386='Staff Weekly Trend'!$B$3),OR('Staff Weekly Trend'!$B$4="All",$D1386='Staff Weekly Trend'!$B$4),OR('Staff Weekly Trend'!$B$5="All",$A1386='Staff Weekly Trend'!$B$5))</f>
        <v>0</v>
      </c>
      <c r="AC1386" t="str">
        <f t="shared" si="372"/>
        <v/>
      </c>
      <c r="AI1386">
        <f t="shared" si="373"/>
        <v>0</v>
      </c>
      <c r="AJ1386">
        <f t="shared" si="374"/>
        <v>0</v>
      </c>
      <c r="AK1386">
        <f t="shared" si="375"/>
        <v>0</v>
      </c>
      <c r="AL1386">
        <f t="shared" si="376"/>
        <v>0</v>
      </c>
      <c r="AM1386">
        <f t="shared" si="377"/>
        <v>0</v>
      </c>
      <c r="DH1386" t="str" cm="1">
        <f t="array" ref="DH1386">IF($A1386="","",_xlfn.LET(_xlpm.c,IFERROR(_xlfn.XLOOKUP($A1386,TRIM('Sales and count'!$A$4:$A$300&amp;""),TRIM('Sales and count'!$B$4:$B$300&amp;"")),""),IF(OR(_xlpm.c="",_xlpm.c="0",LEFT(_xlpm.c,1)="#"),"Not set",_xlpm.c)))</f>
        <v/>
      </c>
    </row>
    <row r="1387" spans="1:112" x14ac:dyDescent="0.25">
      <c r="A1387" t="str">
        <f>IF('Staff Daily sales'!$B1372="","",TRIM('Staff Daily sales'!$B1372&amp;""))</f>
        <v/>
      </c>
      <c r="B1387" t="str">
        <f>IF('Staff Daily sales'!$D1372="","",TRIM('Staff Daily sales'!$D1372&amp;""))</f>
        <v/>
      </c>
      <c r="C1387" t="str">
        <f>IFERROR(TRIM('Staff Daily sales'!$E1372&amp;""),"")</f>
        <v/>
      </c>
      <c r="D1387" t="str">
        <f>IFERROR(IF(TRIM('Staff Daily sales'!$F1372&amp;"")="","Unassigned",TRIM('Staff Daily sales'!$F1372&amp;"")),"Unassigned")</f>
        <v>Unassigned</v>
      </c>
      <c r="E1387">
        <f t="shared" si="362"/>
        <v>0</v>
      </c>
      <c r="F1387">
        <f>IF($E1387=0,0,SUMPRODUCT($AI$5:$DF$5,'Staff Daily sales'!$G1372:$CD1372))</f>
        <v>0</v>
      </c>
      <c r="G1387">
        <f>IF($E1387=0,0,SUMPRODUCT($AI$6:$DF$6,'Staff Daily sales'!$G1372:$CD1372))</f>
        <v>0</v>
      </c>
      <c r="H1387">
        <f t="shared" si="363"/>
        <v>0</v>
      </c>
      <c r="I1387">
        <f t="shared" si="364"/>
        <v>0</v>
      </c>
      <c r="J1387">
        <f t="shared" si="365"/>
        <v>0</v>
      </c>
      <c r="K1387">
        <f t="shared" si="366"/>
        <v>0</v>
      </c>
      <c r="L1387">
        <f>--AND($E1387=1,OR('Staff Dashboard'!$B$6="All",$DH1387='Staff Dashboard'!$B$6),OR('Staff Dashboard'!$B$7="All",$D1387='Staff Dashboard'!$B$7),OR('Staff Dashboard'!$B$8="All",$A1387='Staff Dashboard'!$B$8))</f>
        <v>0</v>
      </c>
      <c r="M1387">
        <f>IF($E1387=0,0,SUMPRODUCT($AI$7:$DF$7,'Staff Daily sales'!$G1372:$CD1372))</f>
        <v>0</v>
      </c>
      <c r="N1387">
        <f>IF($E1387=0,0,SUMPRODUCT($AI$8:$DF$8,'Staff Daily sales'!$G1372:$CD1372))</f>
        <v>0</v>
      </c>
      <c r="O1387">
        <f>IF($E1387=0,0,SUMPRODUCT($AI$9:$DF$9,'Staff Daily sales'!$G1372:$CD1372))</f>
        <v>0</v>
      </c>
      <c r="P1387">
        <f>IF($E1387=0,0,SUMPRODUCT($AI$10:$DF$10,'Staff Daily sales'!$G1372:$CD1372))</f>
        <v>0</v>
      </c>
      <c r="Q1387">
        <f>IF($E1387=0,0,SUMPRODUCT($AI$11:$DF$11,'Staff Daily sales'!$G1372:$CD1372))</f>
        <v>0</v>
      </c>
      <c r="R1387">
        <f>IF($E1387=0,0,SUMPRODUCT($AI$12:$DF$12,'Staff Daily sales'!$G1372:$CD1372))</f>
        <v>0</v>
      </c>
      <c r="S1387">
        <f>IF($E1387=0,0,SUMPRODUCT($AI$13:$DF$13,'Staff Daily sales'!$G1372:$CD1372))</f>
        <v>0</v>
      </c>
      <c r="T1387">
        <f>IF($E1387=0,0,SUMPRODUCT($AI$14:$DF$14,'Staff Daily sales'!$G1372:$CD1372))</f>
        <v>0</v>
      </c>
      <c r="U1387">
        <f>IF($E1387=0,0,SUMPRODUCT($AI$15:$DF$15,'Staff Daily sales'!$G1372:$CD1372))</f>
        <v>0</v>
      </c>
      <c r="V1387">
        <f>IF($E1387=0,0,SUMPRODUCT($AI$16:$DF$16,'Staff Daily sales'!$G1372:$CD1372))</f>
        <v>0</v>
      </c>
      <c r="W1387">
        <f t="shared" si="367"/>
        <v>0</v>
      </c>
      <c r="X1387">
        <f t="shared" si="368"/>
        <v>0</v>
      </c>
      <c r="Y1387">
        <f t="shared" si="369"/>
        <v>0</v>
      </c>
      <c r="Z1387">
        <f t="shared" si="370"/>
        <v>0</v>
      </c>
      <c r="AA1387">
        <f t="shared" si="371"/>
        <v>0</v>
      </c>
      <c r="AB1387">
        <f>--AND($E1387=1,OR('Staff Weekly Trend'!$B$3="All",$DH1387='Staff Weekly Trend'!$B$3),OR('Staff Weekly Trend'!$B$4="All",$D1387='Staff Weekly Trend'!$B$4),OR('Staff Weekly Trend'!$B$5="All",$A1387='Staff Weekly Trend'!$B$5))</f>
        <v>0</v>
      </c>
      <c r="AC1387" t="str">
        <f t="shared" si="372"/>
        <v/>
      </c>
      <c r="AI1387">
        <f t="shared" si="373"/>
        <v>0</v>
      </c>
      <c r="AJ1387">
        <f t="shared" si="374"/>
        <v>0</v>
      </c>
      <c r="AK1387">
        <f t="shared" si="375"/>
        <v>0</v>
      </c>
      <c r="AL1387">
        <f t="shared" si="376"/>
        <v>0</v>
      </c>
      <c r="AM1387">
        <f t="shared" si="377"/>
        <v>0</v>
      </c>
      <c r="DH1387" t="str" cm="1">
        <f t="array" ref="DH1387">IF($A1387="","",_xlfn.LET(_xlpm.c,IFERROR(_xlfn.XLOOKUP($A1387,TRIM('Sales and count'!$A$4:$A$300&amp;""),TRIM('Sales and count'!$B$4:$B$300&amp;"")),""),IF(OR(_xlpm.c="",_xlpm.c="0",LEFT(_xlpm.c,1)="#"),"Not set",_xlpm.c)))</f>
        <v/>
      </c>
    </row>
    <row r="1388" spans="1:112" x14ac:dyDescent="0.25">
      <c r="A1388" t="str">
        <f>IF('Staff Daily sales'!$B1373="","",TRIM('Staff Daily sales'!$B1373&amp;""))</f>
        <v/>
      </c>
      <c r="B1388" t="str">
        <f>IF('Staff Daily sales'!$D1373="","",TRIM('Staff Daily sales'!$D1373&amp;""))</f>
        <v/>
      </c>
      <c r="C1388" t="str">
        <f>IFERROR(TRIM('Staff Daily sales'!$E1373&amp;""),"")</f>
        <v/>
      </c>
      <c r="D1388" t="str">
        <f>IFERROR(IF(TRIM('Staff Daily sales'!$F1373&amp;"")="","Unassigned",TRIM('Staff Daily sales'!$F1373&amp;"")),"Unassigned")</f>
        <v>Unassigned</v>
      </c>
      <c r="E1388">
        <f t="shared" si="362"/>
        <v>0</v>
      </c>
      <c r="F1388">
        <f>IF($E1388=0,0,SUMPRODUCT($AI$5:$DF$5,'Staff Daily sales'!$G1373:$CD1373))</f>
        <v>0</v>
      </c>
      <c r="G1388">
        <f>IF($E1388=0,0,SUMPRODUCT($AI$6:$DF$6,'Staff Daily sales'!$G1373:$CD1373))</f>
        <v>0</v>
      </c>
      <c r="H1388">
        <f t="shared" si="363"/>
        <v>0</v>
      </c>
      <c r="I1388">
        <f t="shared" si="364"/>
        <v>0</v>
      </c>
      <c r="J1388">
        <f t="shared" si="365"/>
        <v>0</v>
      </c>
      <c r="K1388">
        <f t="shared" si="366"/>
        <v>0</v>
      </c>
      <c r="L1388">
        <f>--AND($E1388=1,OR('Staff Dashboard'!$B$6="All",$DH1388='Staff Dashboard'!$B$6),OR('Staff Dashboard'!$B$7="All",$D1388='Staff Dashboard'!$B$7),OR('Staff Dashboard'!$B$8="All",$A1388='Staff Dashboard'!$B$8))</f>
        <v>0</v>
      </c>
      <c r="M1388">
        <f>IF($E1388=0,0,SUMPRODUCT($AI$7:$DF$7,'Staff Daily sales'!$G1373:$CD1373))</f>
        <v>0</v>
      </c>
      <c r="N1388">
        <f>IF($E1388=0,0,SUMPRODUCT($AI$8:$DF$8,'Staff Daily sales'!$G1373:$CD1373))</f>
        <v>0</v>
      </c>
      <c r="O1388">
        <f>IF($E1388=0,0,SUMPRODUCT($AI$9:$DF$9,'Staff Daily sales'!$G1373:$CD1373))</f>
        <v>0</v>
      </c>
      <c r="P1388">
        <f>IF($E1388=0,0,SUMPRODUCT($AI$10:$DF$10,'Staff Daily sales'!$G1373:$CD1373))</f>
        <v>0</v>
      </c>
      <c r="Q1388">
        <f>IF($E1388=0,0,SUMPRODUCT($AI$11:$DF$11,'Staff Daily sales'!$G1373:$CD1373))</f>
        <v>0</v>
      </c>
      <c r="R1388">
        <f>IF($E1388=0,0,SUMPRODUCT($AI$12:$DF$12,'Staff Daily sales'!$G1373:$CD1373))</f>
        <v>0</v>
      </c>
      <c r="S1388">
        <f>IF($E1388=0,0,SUMPRODUCT($AI$13:$DF$13,'Staff Daily sales'!$G1373:$CD1373))</f>
        <v>0</v>
      </c>
      <c r="T1388">
        <f>IF($E1388=0,0,SUMPRODUCT($AI$14:$DF$14,'Staff Daily sales'!$G1373:$CD1373))</f>
        <v>0</v>
      </c>
      <c r="U1388">
        <f>IF($E1388=0,0,SUMPRODUCT($AI$15:$DF$15,'Staff Daily sales'!$G1373:$CD1373))</f>
        <v>0</v>
      </c>
      <c r="V1388">
        <f>IF($E1388=0,0,SUMPRODUCT($AI$16:$DF$16,'Staff Daily sales'!$G1373:$CD1373))</f>
        <v>0</v>
      </c>
      <c r="W1388">
        <f t="shared" si="367"/>
        <v>0</v>
      </c>
      <c r="X1388">
        <f t="shared" si="368"/>
        <v>0</v>
      </c>
      <c r="Y1388">
        <f t="shared" si="369"/>
        <v>0</v>
      </c>
      <c r="Z1388">
        <f t="shared" si="370"/>
        <v>0</v>
      </c>
      <c r="AA1388">
        <f t="shared" si="371"/>
        <v>0</v>
      </c>
      <c r="AB1388">
        <f>--AND($E1388=1,OR('Staff Weekly Trend'!$B$3="All",$DH1388='Staff Weekly Trend'!$B$3),OR('Staff Weekly Trend'!$B$4="All",$D1388='Staff Weekly Trend'!$B$4),OR('Staff Weekly Trend'!$B$5="All",$A1388='Staff Weekly Trend'!$B$5))</f>
        <v>0</v>
      </c>
      <c r="AC1388" t="str">
        <f t="shared" si="372"/>
        <v/>
      </c>
      <c r="AI1388">
        <f t="shared" si="373"/>
        <v>0</v>
      </c>
      <c r="AJ1388">
        <f t="shared" si="374"/>
        <v>0</v>
      </c>
      <c r="AK1388">
        <f t="shared" si="375"/>
        <v>0</v>
      </c>
      <c r="AL1388">
        <f t="shared" si="376"/>
        <v>0</v>
      </c>
      <c r="AM1388">
        <f t="shared" si="377"/>
        <v>0</v>
      </c>
      <c r="DH1388" t="str" cm="1">
        <f t="array" ref="DH1388">IF($A1388="","",_xlfn.LET(_xlpm.c,IFERROR(_xlfn.XLOOKUP($A1388,TRIM('Sales and count'!$A$4:$A$300&amp;""),TRIM('Sales and count'!$B$4:$B$300&amp;"")),""),IF(OR(_xlpm.c="",_xlpm.c="0",LEFT(_xlpm.c,1)="#"),"Not set",_xlpm.c)))</f>
        <v/>
      </c>
    </row>
    <row r="1389" spans="1:112" x14ac:dyDescent="0.25">
      <c r="A1389" t="str">
        <f>IF('Staff Daily sales'!$B1374="","",TRIM('Staff Daily sales'!$B1374&amp;""))</f>
        <v/>
      </c>
      <c r="B1389" t="str">
        <f>IF('Staff Daily sales'!$D1374="","",TRIM('Staff Daily sales'!$D1374&amp;""))</f>
        <v/>
      </c>
      <c r="C1389" t="str">
        <f>IFERROR(TRIM('Staff Daily sales'!$E1374&amp;""),"")</f>
        <v/>
      </c>
      <c r="D1389" t="str">
        <f>IFERROR(IF(TRIM('Staff Daily sales'!$F1374&amp;"")="","Unassigned",TRIM('Staff Daily sales'!$F1374&amp;"")),"Unassigned")</f>
        <v>Unassigned</v>
      </c>
      <c r="E1389">
        <f t="shared" si="362"/>
        <v>0</v>
      </c>
      <c r="F1389">
        <f>IF($E1389=0,0,SUMPRODUCT($AI$5:$DF$5,'Staff Daily sales'!$G1374:$CD1374))</f>
        <v>0</v>
      </c>
      <c r="G1389">
        <f>IF($E1389=0,0,SUMPRODUCT($AI$6:$DF$6,'Staff Daily sales'!$G1374:$CD1374))</f>
        <v>0</v>
      </c>
      <c r="H1389">
        <f t="shared" si="363"/>
        <v>0</v>
      </c>
      <c r="I1389">
        <f t="shared" si="364"/>
        <v>0</v>
      </c>
      <c r="J1389">
        <f t="shared" si="365"/>
        <v>0</v>
      </c>
      <c r="K1389">
        <f t="shared" si="366"/>
        <v>0</v>
      </c>
      <c r="L1389">
        <f>--AND($E1389=1,OR('Staff Dashboard'!$B$6="All",$DH1389='Staff Dashboard'!$B$6),OR('Staff Dashboard'!$B$7="All",$D1389='Staff Dashboard'!$B$7),OR('Staff Dashboard'!$B$8="All",$A1389='Staff Dashboard'!$B$8))</f>
        <v>0</v>
      </c>
      <c r="M1389">
        <f>IF($E1389=0,0,SUMPRODUCT($AI$7:$DF$7,'Staff Daily sales'!$G1374:$CD1374))</f>
        <v>0</v>
      </c>
      <c r="N1389">
        <f>IF($E1389=0,0,SUMPRODUCT($AI$8:$DF$8,'Staff Daily sales'!$G1374:$CD1374))</f>
        <v>0</v>
      </c>
      <c r="O1389">
        <f>IF($E1389=0,0,SUMPRODUCT($AI$9:$DF$9,'Staff Daily sales'!$G1374:$CD1374))</f>
        <v>0</v>
      </c>
      <c r="P1389">
        <f>IF($E1389=0,0,SUMPRODUCT($AI$10:$DF$10,'Staff Daily sales'!$G1374:$CD1374))</f>
        <v>0</v>
      </c>
      <c r="Q1389">
        <f>IF($E1389=0,0,SUMPRODUCT($AI$11:$DF$11,'Staff Daily sales'!$G1374:$CD1374))</f>
        <v>0</v>
      </c>
      <c r="R1389">
        <f>IF($E1389=0,0,SUMPRODUCT($AI$12:$DF$12,'Staff Daily sales'!$G1374:$CD1374))</f>
        <v>0</v>
      </c>
      <c r="S1389">
        <f>IF($E1389=0,0,SUMPRODUCT($AI$13:$DF$13,'Staff Daily sales'!$G1374:$CD1374))</f>
        <v>0</v>
      </c>
      <c r="T1389">
        <f>IF($E1389=0,0,SUMPRODUCT($AI$14:$DF$14,'Staff Daily sales'!$G1374:$CD1374))</f>
        <v>0</v>
      </c>
      <c r="U1389">
        <f>IF($E1389=0,0,SUMPRODUCT($AI$15:$DF$15,'Staff Daily sales'!$G1374:$CD1374))</f>
        <v>0</v>
      </c>
      <c r="V1389">
        <f>IF($E1389=0,0,SUMPRODUCT($AI$16:$DF$16,'Staff Daily sales'!$G1374:$CD1374))</f>
        <v>0</v>
      </c>
      <c r="W1389">
        <f t="shared" si="367"/>
        <v>0</v>
      </c>
      <c r="X1389">
        <f t="shared" si="368"/>
        <v>0</v>
      </c>
      <c r="Y1389">
        <f t="shared" si="369"/>
        <v>0</v>
      </c>
      <c r="Z1389">
        <f t="shared" si="370"/>
        <v>0</v>
      </c>
      <c r="AA1389">
        <f t="shared" si="371"/>
        <v>0</v>
      </c>
      <c r="AB1389">
        <f>--AND($E1389=1,OR('Staff Weekly Trend'!$B$3="All",$DH1389='Staff Weekly Trend'!$B$3),OR('Staff Weekly Trend'!$B$4="All",$D1389='Staff Weekly Trend'!$B$4),OR('Staff Weekly Trend'!$B$5="All",$A1389='Staff Weekly Trend'!$B$5))</f>
        <v>0</v>
      </c>
      <c r="AC1389" t="str">
        <f t="shared" si="372"/>
        <v/>
      </c>
      <c r="AI1389">
        <f t="shared" si="373"/>
        <v>0</v>
      </c>
      <c r="AJ1389">
        <f t="shared" si="374"/>
        <v>0</v>
      </c>
      <c r="AK1389">
        <f t="shared" si="375"/>
        <v>0</v>
      </c>
      <c r="AL1389">
        <f t="shared" si="376"/>
        <v>0</v>
      </c>
      <c r="AM1389">
        <f t="shared" si="377"/>
        <v>0</v>
      </c>
      <c r="DH1389" t="str" cm="1">
        <f t="array" ref="DH1389">IF($A1389="","",_xlfn.LET(_xlpm.c,IFERROR(_xlfn.XLOOKUP($A1389,TRIM('Sales and count'!$A$4:$A$300&amp;""),TRIM('Sales and count'!$B$4:$B$300&amp;"")),""),IF(OR(_xlpm.c="",_xlpm.c="0",LEFT(_xlpm.c,1)="#"),"Not set",_xlpm.c)))</f>
        <v/>
      </c>
    </row>
    <row r="1390" spans="1:112" x14ac:dyDescent="0.25">
      <c r="A1390" t="str">
        <f>IF('Staff Daily sales'!$B1375="","",TRIM('Staff Daily sales'!$B1375&amp;""))</f>
        <v/>
      </c>
      <c r="B1390" t="str">
        <f>IF('Staff Daily sales'!$D1375="","",TRIM('Staff Daily sales'!$D1375&amp;""))</f>
        <v/>
      </c>
      <c r="C1390" t="str">
        <f>IFERROR(TRIM('Staff Daily sales'!$E1375&amp;""),"")</f>
        <v/>
      </c>
      <c r="D1390" t="str">
        <f>IFERROR(IF(TRIM('Staff Daily sales'!$F1375&amp;"")="","Unassigned",TRIM('Staff Daily sales'!$F1375&amp;"")),"Unassigned")</f>
        <v>Unassigned</v>
      </c>
      <c r="E1390">
        <f t="shared" si="362"/>
        <v>0</v>
      </c>
      <c r="F1390">
        <f>IF($E1390=0,0,SUMPRODUCT($AI$5:$DF$5,'Staff Daily sales'!$G1375:$CD1375))</f>
        <v>0</v>
      </c>
      <c r="G1390">
        <f>IF($E1390=0,0,SUMPRODUCT($AI$6:$DF$6,'Staff Daily sales'!$G1375:$CD1375))</f>
        <v>0</v>
      </c>
      <c r="H1390">
        <f t="shared" si="363"/>
        <v>0</v>
      </c>
      <c r="I1390">
        <f t="shared" si="364"/>
        <v>0</v>
      </c>
      <c r="J1390">
        <f t="shared" si="365"/>
        <v>0</v>
      </c>
      <c r="K1390">
        <f t="shared" si="366"/>
        <v>0</v>
      </c>
      <c r="L1390">
        <f>--AND($E1390=1,OR('Staff Dashboard'!$B$6="All",$DH1390='Staff Dashboard'!$B$6),OR('Staff Dashboard'!$B$7="All",$D1390='Staff Dashboard'!$B$7),OR('Staff Dashboard'!$B$8="All",$A1390='Staff Dashboard'!$B$8))</f>
        <v>0</v>
      </c>
      <c r="M1390">
        <f>IF($E1390=0,0,SUMPRODUCT($AI$7:$DF$7,'Staff Daily sales'!$G1375:$CD1375))</f>
        <v>0</v>
      </c>
      <c r="N1390">
        <f>IF($E1390=0,0,SUMPRODUCT($AI$8:$DF$8,'Staff Daily sales'!$G1375:$CD1375))</f>
        <v>0</v>
      </c>
      <c r="O1390">
        <f>IF($E1390=0,0,SUMPRODUCT($AI$9:$DF$9,'Staff Daily sales'!$G1375:$CD1375))</f>
        <v>0</v>
      </c>
      <c r="P1390">
        <f>IF($E1390=0,0,SUMPRODUCT($AI$10:$DF$10,'Staff Daily sales'!$G1375:$CD1375))</f>
        <v>0</v>
      </c>
      <c r="Q1390">
        <f>IF($E1390=0,0,SUMPRODUCT($AI$11:$DF$11,'Staff Daily sales'!$G1375:$CD1375))</f>
        <v>0</v>
      </c>
      <c r="R1390">
        <f>IF($E1390=0,0,SUMPRODUCT($AI$12:$DF$12,'Staff Daily sales'!$G1375:$CD1375))</f>
        <v>0</v>
      </c>
      <c r="S1390">
        <f>IF($E1390=0,0,SUMPRODUCT($AI$13:$DF$13,'Staff Daily sales'!$G1375:$CD1375))</f>
        <v>0</v>
      </c>
      <c r="T1390">
        <f>IF($E1390=0,0,SUMPRODUCT($AI$14:$DF$14,'Staff Daily sales'!$G1375:$CD1375))</f>
        <v>0</v>
      </c>
      <c r="U1390">
        <f>IF($E1390=0,0,SUMPRODUCT($AI$15:$DF$15,'Staff Daily sales'!$G1375:$CD1375))</f>
        <v>0</v>
      </c>
      <c r="V1390">
        <f>IF($E1390=0,0,SUMPRODUCT($AI$16:$DF$16,'Staff Daily sales'!$G1375:$CD1375))</f>
        <v>0</v>
      </c>
      <c r="W1390">
        <f t="shared" si="367"/>
        <v>0</v>
      </c>
      <c r="X1390">
        <f t="shared" si="368"/>
        <v>0</v>
      </c>
      <c r="Y1390">
        <f t="shared" si="369"/>
        <v>0</v>
      </c>
      <c r="Z1390">
        <f t="shared" si="370"/>
        <v>0</v>
      </c>
      <c r="AA1390">
        <f t="shared" si="371"/>
        <v>0</v>
      </c>
      <c r="AB1390">
        <f>--AND($E1390=1,OR('Staff Weekly Trend'!$B$3="All",$DH1390='Staff Weekly Trend'!$B$3),OR('Staff Weekly Trend'!$B$4="All",$D1390='Staff Weekly Trend'!$B$4),OR('Staff Weekly Trend'!$B$5="All",$A1390='Staff Weekly Trend'!$B$5))</f>
        <v>0</v>
      </c>
      <c r="AC1390" t="str">
        <f t="shared" si="372"/>
        <v/>
      </c>
      <c r="AI1390">
        <f t="shared" si="373"/>
        <v>0</v>
      </c>
      <c r="AJ1390">
        <f t="shared" si="374"/>
        <v>0</v>
      </c>
      <c r="AK1390">
        <f t="shared" si="375"/>
        <v>0</v>
      </c>
      <c r="AL1390">
        <f t="shared" si="376"/>
        <v>0</v>
      </c>
      <c r="AM1390">
        <f t="shared" si="377"/>
        <v>0</v>
      </c>
      <c r="DH1390" t="str" cm="1">
        <f t="array" ref="DH1390">IF($A1390="","",_xlfn.LET(_xlpm.c,IFERROR(_xlfn.XLOOKUP($A1390,TRIM('Sales and count'!$A$4:$A$300&amp;""),TRIM('Sales and count'!$B$4:$B$300&amp;"")),""),IF(OR(_xlpm.c="",_xlpm.c="0",LEFT(_xlpm.c,1)="#"),"Not set",_xlpm.c)))</f>
        <v/>
      </c>
    </row>
    <row r="1391" spans="1:112" x14ac:dyDescent="0.25">
      <c r="A1391" t="str">
        <f>IF('Staff Daily sales'!$B1376="","",TRIM('Staff Daily sales'!$B1376&amp;""))</f>
        <v/>
      </c>
      <c r="B1391" t="str">
        <f>IF('Staff Daily sales'!$D1376="","",TRIM('Staff Daily sales'!$D1376&amp;""))</f>
        <v/>
      </c>
      <c r="C1391" t="str">
        <f>IFERROR(TRIM('Staff Daily sales'!$E1376&amp;""),"")</f>
        <v/>
      </c>
      <c r="D1391" t="str">
        <f>IFERROR(IF(TRIM('Staff Daily sales'!$F1376&amp;"")="","Unassigned",TRIM('Staff Daily sales'!$F1376&amp;"")),"Unassigned")</f>
        <v>Unassigned</v>
      </c>
      <c r="E1391">
        <f t="shared" si="362"/>
        <v>0</v>
      </c>
      <c r="F1391">
        <f>IF($E1391=0,0,SUMPRODUCT($AI$5:$DF$5,'Staff Daily sales'!$G1376:$CD1376))</f>
        <v>0</v>
      </c>
      <c r="G1391">
        <f>IF($E1391=0,0,SUMPRODUCT($AI$6:$DF$6,'Staff Daily sales'!$G1376:$CD1376))</f>
        <v>0</v>
      </c>
      <c r="H1391">
        <f t="shared" si="363"/>
        <v>0</v>
      </c>
      <c r="I1391">
        <f t="shared" si="364"/>
        <v>0</v>
      </c>
      <c r="J1391">
        <f t="shared" si="365"/>
        <v>0</v>
      </c>
      <c r="K1391">
        <f t="shared" si="366"/>
        <v>0</v>
      </c>
      <c r="L1391">
        <f>--AND($E1391=1,OR('Staff Dashboard'!$B$6="All",$DH1391='Staff Dashboard'!$B$6),OR('Staff Dashboard'!$B$7="All",$D1391='Staff Dashboard'!$B$7),OR('Staff Dashboard'!$B$8="All",$A1391='Staff Dashboard'!$B$8))</f>
        <v>0</v>
      </c>
      <c r="M1391">
        <f>IF($E1391=0,0,SUMPRODUCT($AI$7:$DF$7,'Staff Daily sales'!$G1376:$CD1376))</f>
        <v>0</v>
      </c>
      <c r="N1391">
        <f>IF($E1391=0,0,SUMPRODUCT($AI$8:$DF$8,'Staff Daily sales'!$G1376:$CD1376))</f>
        <v>0</v>
      </c>
      <c r="O1391">
        <f>IF($E1391=0,0,SUMPRODUCT($AI$9:$DF$9,'Staff Daily sales'!$G1376:$CD1376))</f>
        <v>0</v>
      </c>
      <c r="P1391">
        <f>IF($E1391=0,0,SUMPRODUCT($AI$10:$DF$10,'Staff Daily sales'!$G1376:$CD1376))</f>
        <v>0</v>
      </c>
      <c r="Q1391">
        <f>IF($E1391=0,0,SUMPRODUCT($AI$11:$DF$11,'Staff Daily sales'!$G1376:$CD1376))</f>
        <v>0</v>
      </c>
      <c r="R1391">
        <f>IF($E1391=0,0,SUMPRODUCT($AI$12:$DF$12,'Staff Daily sales'!$G1376:$CD1376))</f>
        <v>0</v>
      </c>
      <c r="S1391">
        <f>IF($E1391=0,0,SUMPRODUCT($AI$13:$DF$13,'Staff Daily sales'!$G1376:$CD1376))</f>
        <v>0</v>
      </c>
      <c r="T1391">
        <f>IF($E1391=0,0,SUMPRODUCT($AI$14:$DF$14,'Staff Daily sales'!$G1376:$CD1376))</f>
        <v>0</v>
      </c>
      <c r="U1391">
        <f>IF($E1391=0,0,SUMPRODUCT($AI$15:$DF$15,'Staff Daily sales'!$G1376:$CD1376))</f>
        <v>0</v>
      </c>
      <c r="V1391">
        <f>IF($E1391=0,0,SUMPRODUCT($AI$16:$DF$16,'Staff Daily sales'!$G1376:$CD1376))</f>
        <v>0</v>
      </c>
      <c r="W1391">
        <f t="shared" si="367"/>
        <v>0</v>
      </c>
      <c r="X1391">
        <f t="shared" si="368"/>
        <v>0</v>
      </c>
      <c r="Y1391">
        <f t="shared" si="369"/>
        <v>0</v>
      </c>
      <c r="Z1391">
        <f t="shared" si="370"/>
        <v>0</v>
      </c>
      <c r="AA1391">
        <f t="shared" si="371"/>
        <v>0</v>
      </c>
      <c r="AB1391">
        <f>--AND($E1391=1,OR('Staff Weekly Trend'!$B$3="All",$DH1391='Staff Weekly Trend'!$B$3),OR('Staff Weekly Trend'!$B$4="All",$D1391='Staff Weekly Trend'!$B$4),OR('Staff Weekly Trend'!$B$5="All",$A1391='Staff Weekly Trend'!$B$5))</f>
        <v>0</v>
      </c>
      <c r="AC1391" t="str">
        <f t="shared" si="372"/>
        <v/>
      </c>
      <c r="AI1391">
        <f t="shared" si="373"/>
        <v>0</v>
      </c>
      <c r="AJ1391">
        <f t="shared" si="374"/>
        <v>0</v>
      </c>
      <c r="AK1391">
        <f t="shared" si="375"/>
        <v>0</v>
      </c>
      <c r="AL1391">
        <f t="shared" si="376"/>
        <v>0</v>
      </c>
      <c r="AM1391">
        <f t="shared" si="377"/>
        <v>0</v>
      </c>
      <c r="DH1391" t="str" cm="1">
        <f t="array" ref="DH1391">IF($A1391="","",_xlfn.LET(_xlpm.c,IFERROR(_xlfn.XLOOKUP($A1391,TRIM('Sales and count'!$A$4:$A$300&amp;""),TRIM('Sales and count'!$B$4:$B$300&amp;"")),""),IF(OR(_xlpm.c="",_xlpm.c="0",LEFT(_xlpm.c,1)="#"),"Not set",_xlpm.c)))</f>
        <v/>
      </c>
    </row>
    <row r="1392" spans="1:112" x14ac:dyDescent="0.25">
      <c r="A1392" t="str">
        <f>IF('Staff Daily sales'!$B1377="","",TRIM('Staff Daily sales'!$B1377&amp;""))</f>
        <v/>
      </c>
      <c r="B1392" t="str">
        <f>IF('Staff Daily sales'!$D1377="","",TRIM('Staff Daily sales'!$D1377&amp;""))</f>
        <v/>
      </c>
      <c r="C1392" t="str">
        <f>IFERROR(TRIM('Staff Daily sales'!$E1377&amp;""),"")</f>
        <v/>
      </c>
      <c r="D1392" t="str">
        <f>IFERROR(IF(TRIM('Staff Daily sales'!$F1377&amp;"")="","Unassigned",TRIM('Staff Daily sales'!$F1377&amp;"")),"Unassigned")</f>
        <v>Unassigned</v>
      </c>
      <c r="E1392">
        <f t="shared" si="362"/>
        <v>0</v>
      </c>
      <c r="F1392">
        <f>IF($E1392=0,0,SUMPRODUCT($AI$5:$DF$5,'Staff Daily sales'!$G1377:$CD1377))</f>
        <v>0</v>
      </c>
      <c r="G1392">
        <f>IF($E1392=0,0,SUMPRODUCT($AI$6:$DF$6,'Staff Daily sales'!$G1377:$CD1377))</f>
        <v>0</v>
      </c>
      <c r="H1392">
        <f t="shared" si="363"/>
        <v>0</v>
      </c>
      <c r="I1392">
        <f t="shared" si="364"/>
        <v>0</v>
      </c>
      <c r="J1392">
        <f t="shared" si="365"/>
        <v>0</v>
      </c>
      <c r="K1392">
        <f t="shared" si="366"/>
        <v>0</v>
      </c>
      <c r="L1392">
        <f>--AND($E1392=1,OR('Staff Dashboard'!$B$6="All",$DH1392='Staff Dashboard'!$B$6),OR('Staff Dashboard'!$B$7="All",$D1392='Staff Dashboard'!$B$7),OR('Staff Dashboard'!$B$8="All",$A1392='Staff Dashboard'!$B$8))</f>
        <v>0</v>
      </c>
      <c r="M1392">
        <f>IF($E1392=0,0,SUMPRODUCT($AI$7:$DF$7,'Staff Daily sales'!$G1377:$CD1377))</f>
        <v>0</v>
      </c>
      <c r="N1392">
        <f>IF($E1392=0,0,SUMPRODUCT($AI$8:$DF$8,'Staff Daily sales'!$G1377:$CD1377))</f>
        <v>0</v>
      </c>
      <c r="O1392">
        <f>IF($E1392=0,0,SUMPRODUCT($AI$9:$DF$9,'Staff Daily sales'!$G1377:$CD1377))</f>
        <v>0</v>
      </c>
      <c r="P1392">
        <f>IF($E1392=0,0,SUMPRODUCT($AI$10:$DF$10,'Staff Daily sales'!$G1377:$CD1377))</f>
        <v>0</v>
      </c>
      <c r="Q1392">
        <f>IF($E1392=0,0,SUMPRODUCT($AI$11:$DF$11,'Staff Daily sales'!$G1377:$CD1377))</f>
        <v>0</v>
      </c>
      <c r="R1392">
        <f>IF($E1392=0,0,SUMPRODUCT($AI$12:$DF$12,'Staff Daily sales'!$G1377:$CD1377))</f>
        <v>0</v>
      </c>
      <c r="S1392">
        <f>IF($E1392=0,0,SUMPRODUCT($AI$13:$DF$13,'Staff Daily sales'!$G1377:$CD1377))</f>
        <v>0</v>
      </c>
      <c r="T1392">
        <f>IF($E1392=0,0,SUMPRODUCT($AI$14:$DF$14,'Staff Daily sales'!$G1377:$CD1377))</f>
        <v>0</v>
      </c>
      <c r="U1392">
        <f>IF($E1392=0,0,SUMPRODUCT($AI$15:$DF$15,'Staff Daily sales'!$G1377:$CD1377))</f>
        <v>0</v>
      </c>
      <c r="V1392">
        <f>IF($E1392=0,0,SUMPRODUCT($AI$16:$DF$16,'Staff Daily sales'!$G1377:$CD1377))</f>
        <v>0</v>
      </c>
      <c r="W1392">
        <f t="shared" si="367"/>
        <v>0</v>
      </c>
      <c r="X1392">
        <f t="shared" si="368"/>
        <v>0</v>
      </c>
      <c r="Y1392">
        <f t="shared" si="369"/>
        <v>0</v>
      </c>
      <c r="Z1392">
        <f t="shared" si="370"/>
        <v>0</v>
      </c>
      <c r="AA1392">
        <f t="shared" si="371"/>
        <v>0</v>
      </c>
      <c r="AB1392">
        <f>--AND($E1392=1,OR('Staff Weekly Trend'!$B$3="All",$DH1392='Staff Weekly Trend'!$B$3),OR('Staff Weekly Trend'!$B$4="All",$D1392='Staff Weekly Trend'!$B$4),OR('Staff Weekly Trend'!$B$5="All",$A1392='Staff Weekly Trend'!$B$5))</f>
        <v>0</v>
      </c>
      <c r="AC1392" t="str">
        <f t="shared" si="372"/>
        <v/>
      </c>
      <c r="AI1392">
        <f t="shared" si="373"/>
        <v>0</v>
      </c>
      <c r="AJ1392">
        <f t="shared" si="374"/>
        <v>0</v>
      </c>
      <c r="AK1392">
        <f t="shared" si="375"/>
        <v>0</v>
      </c>
      <c r="AL1392">
        <f t="shared" si="376"/>
        <v>0</v>
      </c>
      <c r="AM1392">
        <f t="shared" si="377"/>
        <v>0</v>
      </c>
      <c r="DH1392" t="str" cm="1">
        <f t="array" ref="DH1392">IF($A1392="","",_xlfn.LET(_xlpm.c,IFERROR(_xlfn.XLOOKUP($A1392,TRIM('Sales and count'!$A$4:$A$300&amp;""),TRIM('Sales and count'!$B$4:$B$300&amp;"")),""),IF(OR(_xlpm.c="",_xlpm.c="0",LEFT(_xlpm.c,1)="#"),"Not set",_xlpm.c)))</f>
        <v/>
      </c>
    </row>
    <row r="1393" spans="1:112" x14ac:dyDescent="0.25">
      <c r="A1393" t="str">
        <f>IF('Staff Daily sales'!$B1378="","",TRIM('Staff Daily sales'!$B1378&amp;""))</f>
        <v/>
      </c>
      <c r="B1393" t="str">
        <f>IF('Staff Daily sales'!$D1378="","",TRIM('Staff Daily sales'!$D1378&amp;""))</f>
        <v/>
      </c>
      <c r="C1393" t="str">
        <f>IFERROR(TRIM('Staff Daily sales'!$E1378&amp;""),"")</f>
        <v/>
      </c>
      <c r="D1393" t="str">
        <f>IFERROR(IF(TRIM('Staff Daily sales'!$F1378&amp;"")="","Unassigned",TRIM('Staff Daily sales'!$F1378&amp;"")),"Unassigned")</f>
        <v>Unassigned</v>
      </c>
      <c r="E1393">
        <f t="shared" si="362"/>
        <v>0</v>
      </c>
      <c r="F1393">
        <f>IF($E1393=0,0,SUMPRODUCT($AI$5:$DF$5,'Staff Daily sales'!$G1378:$CD1378))</f>
        <v>0</v>
      </c>
      <c r="G1393">
        <f>IF($E1393=0,0,SUMPRODUCT($AI$6:$DF$6,'Staff Daily sales'!$G1378:$CD1378))</f>
        <v>0</v>
      </c>
      <c r="H1393">
        <f t="shared" si="363"/>
        <v>0</v>
      </c>
      <c r="I1393">
        <f t="shared" si="364"/>
        <v>0</v>
      </c>
      <c r="J1393">
        <f t="shared" si="365"/>
        <v>0</v>
      </c>
      <c r="K1393">
        <f t="shared" si="366"/>
        <v>0</v>
      </c>
      <c r="L1393">
        <f>--AND($E1393=1,OR('Staff Dashboard'!$B$6="All",$DH1393='Staff Dashboard'!$B$6),OR('Staff Dashboard'!$B$7="All",$D1393='Staff Dashboard'!$B$7),OR('Staff Dashboard'!$B$8="All",$A1393='Staff Dashboard'!$B$8))</f>
        <v>0</v>
      </c>
      <c r="M1393">
        <f>IF($E1393=0,0,SUMPRODUCT($AI$7:$DF$7,'Staff Daily sales'!$G1378:$CD1378))</f>
        <v>0</v>
      </c>
      <c r="N1393">
        <f>IF($E1393=0,0,SUMPRODUCT($AI$8:$DF$8,'Staff Daily sales'!$G1378:$CD1378))</f>
        <v>0</v>
      </c>
      <c r="O1393">
        <f>IF($E1393=0,0,SUMPRODUCT($AI$9:$DF$9,'Staff Daily sales'!$G1378:$CD1378))</f>
        <v>0</v>
      </c>
      <c r="P1393">
        <f>IF($E1393=0,0,SUMPRODUCT($AI$10:$DF$10,'Staff Daily sales'!$G1378:$CD1378))</f>
        <v>0</v>
      </c>
      <c r="Q1393">
        <f>IF($E1393=0,0,SUMPRODUCT($AI$11:$DF$11,'Staff Daily sales'!$G1378:$CD1378))</f>
        <v>0</v>
      </c>
      <c r="R1393">
        <f>IF($E1393=0,0,SUMPRODUCT($AI$12:$DF$12,'Staff Daily sales'!$G1378:$CD1378))</f>
        <v>0</v>
      </c>
      <c r="S1393">
        <f>IF($E1393=0,0,SUMPRODUCT($AI$13:$DF$13,'Staff Daily sales'!$G1378:$CD1378))</f>
        <v>0</v>
      </c>
      <c r="T1393">
        <f>IF($E1393=0,0,SUMPRODUCT($AI$14:$DF$14,'Staff Daily sales'!$G1378:$CD1378))</f>
        <v>0</v>
      </c>
      <c r="U1393">
        <f>IF($E1393=0,0,SUMPRODUCT($AI$15:$DF$15,'Staff Daily sales'!$G1378:$CD1378))</f>
        <v>0</v>
      </c>
      <c r="V1393">
        <f>IF($E1393=0,0,SUMPRODUCT($AI$16:$DF$16,'Staff Daily sales'!$G1378:$CD1378))</f>
        <v>0</v>
      </c>
      <c r="W1393">
        <f t="shared" si="367"/>
        <v>0</v>
      </c>
      <c r="X1393">
        <f t="shared" si="368"/>
        <v>0</v>
      </c>
      <c r="Y1393">
        <f t="shared" si="369"/>
        <v>0</v>
      </c>
      <c r="Z1393">
        <f t="shared" si="370"/>
        <v>0</v>
      </c>
      <c r="AA1393">
        <f t="shared" si="371"/>
        <v>0</v>
      </c>
      <c r="AB1393">
        <f>--AND($E1393=1,OR('Staff Weekly Trend'!$B$3="All",$DH1393='Staff Weekly Trend'!$B$3),OR('Staff Weekly Trend'!$B$4="All",$D1393='Staff Weekly Trend'!$B$4),OR('Staff Weekly Trend'!$B$5="All",$A1393='Staff Weekly Trend'!$B$5))</f>
        <v>0</v>
      </c>
      <c r="AC1393" t="str">
        <f t="shared" si="372"/>
        <v/>
      </c>
      <c r="AI1393">
        <f t="shared" si="373"/>
        <v>0</v>
      </c>
      <c r="AJ1393">
        <f t="shared" si="374"/>
        <v>0</v>
      </c>
      <c r="AK1393">
        <f t="shared" si="375"/>
        <v>0</v>
      </c>
      <c r="AL1393">
        <f t="shared" si="376"/>
        <v>0</v>
      </c>
      <c r="AM1393">
        <f t="shared" si="377"/>
        <v>0</v>
      </c>
      <c r="DH1393" t="str" cm="1">
        <f t="array" ref="DH1393">IF($A1393="","",_xlfn.LET(_xlpm.c,IFERROR(_xlfn.XLOOKUP($A1393,TRIM('Sales and count'!$A$4:$A$300&amp;""),TRIM('Sales and count'!$B$4:$B$300&amp;"")),""),IF(OR(_xlpm.c="",_xlpm.c="0",LEFT(_xlpm.c,1)="#"),"Not set",_xlpm.c)))</f>
        <v/>
      </c>
    </row>
    <row r="1394" spans="1:112" x14ac:dyDescent="0.25">
      <c r="A1394" t="str">
        <f>IF('Staff Daily sales'!$B1379="","",TRIM('Staff Daily sales'!$B1379&amp;""))</f>
        <v/>
      </c>
      <c r="B1394" t="str">
        <f>IF('Staff Daily sales'!$D1379="","",TRIM('Staff Daily sales'!$D1379&amp;""))</f>
        <v/>
      </c>
      <c r="C1394" t="str">
        <f>IFERROR(TRIM('Staff Daily sales'!$E1379&amp;""),"")</f>
        <v/>
      </c>
      <c r="D1394" t="str">
        <f>IFERROR(IF(TRIM('Staff Daily sales'!$F1379&amp;"")="","Unassigned",TRIM('Staff Daily sales'!$F1379&amp;"")),"Unassigned")</f>
        <v>Unassigned</v>
      </c>
      <c r="E1394">
        <f t="shared" si="362"/>
        <v>0</v>
      </c>
      <c r="F1394">
        <f>IF($E1394=0,0,SUMPRODUCT($AI$5:$DF$5,'Staff Daily sales'!$G1379:$CD1379))</f>
        <v>0</v>
      </c>
      <c r="G1394">
        <f>IF($E1394=0,0,SUMPRODUCT($AI$6:$DF$6,'Staff Daily sales'!$G1379:$CD1379))</f>
        <v>0</v>
      </c>
      <c r="H1394">
        <f t="shared" si="363"/>
        <v>0</v>
      </c>
      <c r="I1394">
        <f t="shared" si="364"/>
        <v>0</v>
      </c>
      <c r="J1394">
        <f t="shared" si="365"/>
        <v>0</v>
      </c>
      <c r="K1394">
        <f t="shared" si="366"/>
        <v>0</v>
      </c>
      <c r="L1394">
        <f>--AND($E1394=1,OR('Staff Dashboard'!$B$6="All",$DH1394='Staff Dashboard'!$B$6),OR('Staff Dashboard'!$B$7="All",$D1394='Staff Dashboard'!$B$7),OR('Staff Dashboard'!$B$8="All",$A1394='Staff Dashboard'!$B$8))</f>
        <v>0</v>
      </c>
      <c r="M1394">
        <f>IF($E1394=0,0,SUMPRODUCT($AI$7:$DF$7,'Staff Daily sales'!$G1379:$CD1379))</f>
        <v>0</v>
      </c>
      <c r="N1394">
        <f>IF($E1394=0,0,SUMPRODUCT($AI$8:$DF$8,'Staff Daily sales'!$G1379:$CD1379))</f>
        <v>0</v>
      </c>
      <c r="O1394">
        <f>IF($E1394=0,0,SUMPRODUCT($AI$9:$DF$9,'Staff Daily sales'!$G1379:$CD1379))</f>
        <v>0</v>
      </c>
      <c r="P1394">
        <f>IF($E1394=0,0,SUMPRODUCT($AI$10:$DF$10,'Staff Daily sales'!$G1379:$CD1379))</f>
        <v>0</v>
      </c>
      <c r="Q1394">
        <f>IF($E1394=0,0,SUMPRODUCT($AI$11:$DF$11,'Staff Daily sales'!$G1379:$CD1379))</f>
        <v>0</v>
      </c>
      <c r="R1394">
        <f>IF($E1394=0,0,SUMPRODUCT($AI$12:$DF$12,'Staff Daily sales'!$G1379:$CD1379))</f>
        <v>0</v>
      </c>
      <c r="S1394">
        <f>IF($E1394=0,0,SUMPRODUCT($AI$13:$DF$13,'Staff Daily sales'!$G1379:$CD1379))</f>
        <v>0</v>
      </c>
      <c r="T1394">
        <f>IF($E1394=0,0,SUMPRODUCT($AI$14:$DF$14,'Staff Daily sales'!$G1379:$CD1379))</f>
        <v>0</v>
      </c>
      <c r="U1394">
        <f>IF($E1394=0,0,SUMPRODUCT($AI$15:$DF$15,'Staff Daily sales'!$G1379:$CD1379))</f>
        <v>0</v>
      </c>
      <c r="V1394">
        <f>IF($E1394=0,0,SUMPRODUCT($AI$16:$DF$16,'Staff Daily sales'!$G1379:$CD1379))</f>
        <v>0</v>
      </c>
      <c r="W1394">
        <f t="shared" si="367"/>
        <v>0</v>
      </c>
      <c r="X1394">
        <f t="shared" si="368"/>
        <v>0</v>
      </c>
      <c r="Y1394">
        <f t="shared" si="369"/>
        <v>0</v>
      </c>
      <c r="Z1394">
        <f t="shared" si="370"/>
        <v>0</v>
      </c>
      <c r="AA1394">
        <f t="shared" si="371"/>
        <v>0</v>
      </c>
      <c r="AB1394">
        <f>--AND($E1394=1,OR('Staff Weekly Trend'!$B$3="All",$DH1394='Staff Weekly Trend'!$B$3),OR('Staff Weekly Trend'!$B$4="All",$D1394='Staff Weekly Trend'!$B$4),OR('Staff Weekly Trend'!$B$5="All",$A1394='Staff Weekly Trend'!$B$5))</f>
        <v>0</v>
      </c>
      <c r="AC1394" t="str">
        <f t="shared" si="372"/>
        <v/>
      </c>
      <c r="AI1394">
        <f t="shared" si="373"/>
        <v>0</v>
      </c>
      <c r="AJ1394">
        <f t="shared" si="374"/>
        <v>0</v>
      </c>
      <c r="AK1394">
        <f t="shared" si="375"/>
        <v>0</v>
      </c>
      <c r="AL1394">
        <f t="shared" si="376"/>
        <v>0</v>
      </c>
      <c r="AM1394">
        <f t="shared" si="377"/>
        <v>0</v>
      </c>
      <c r="DH1394" t="str" cm="1">
        <f t="array" ref="DH1394">IF($A1394="","",_xlfn.LET(_xlpm.c,IFERROR(_xlfn.XLOOKUP($A1394,TRIM('Sales and count'!$A$4:$A$300&amp;""),TRIM('Sales and count'!$B$4:$B$300&amp;"")),""),IF(OR(_xlpm.c="",_xlpm.c="0",LEFT(_xlpm.c,1)="#"),"Not set",_xlpm.c)))</f>
        <v/>
      </c>
    </row>
    <row r="1395" spans="1:112" x14ac:dyDescent="0.25">
      <c r="A1395" t="str">
        <f>IF('Staff Daily sales'!$B1380="","",TRIM('Staff Daily sales'!$B1380&amp;""))</f>
        <v/>
      </c>
      <c r="B1395" t="str">
        <f>IF('Staff Daily sales'!$D1380="","",TRIM('Staff Daily sales'!$D1380&amp;""))</f>
        <v/>
      </c>
      <c r="C1395" t="str">
        <f>IFERROR(TRIM('Staff Daily sales'!$E1380&amp;""),"")</f>
        <v/>
      </c>
      <c r="D1395" t="str">
        <f>IFERROR(IF(TRIM('Staff Daily sales'!$F1380&amp;"")="","Unassigned",TRIM('Staff Daily sales'!$F1380&amp;"")),"Unassigned")</f>
        <v>Unassigned</v>
      </c>
      <c r="E1395">
        <f t="shared" si="362"/>
        <v>0</v>
      </c>
      <c r="F1395">
        <f>IF($E1395=0,0,SUMPRODUCT($AI$5:$DF$5,'Staff Daily sales'!$G1380:$CD1380))</f>
        <v>0</v>
      </c>
      <c r="G1395">
        <f>IF($E1395=0,0,SUMPRODUCT($AI$6:$DF$6,'Staff Daily sales'!$G1380:$CD1380))</f>
        <v>0</v>
      </c>
      <c r="H1395">
        <f t="shared" si="363"/>
        <v>0</v>
      </c>
      <c r="I1395">
        <f t="shared" si="364"/>
        <v>0</v>
      </c>
      <c r="J1395">
        <f t="shared" si="365"/>
        <v>0</v>
      </c>
      <c r="K1395">
        <f t="shared" si="366"/>
        <v>0</v>
      </c>
      <c r="L1395">
        <f>--AND($E1395=1,OR('Staff Dashboard'!$B$6="All",$DH1395='Staff Dashboard'!$B$6),OR('Staff Dashboard'!$B$7="All",$D1395='Staff Dashboard'!$B$7),OR('Staff Dashboard'!$B$8="All",$A1395='Staff Dashboard'!$B$8))</f>
        <v>0</v>
      </c>
      <c r="M1395">
        <f>IF($E1395=0,0,SUMPRODUCT($AI$7:$DF$7,'Staff Daily sales'!$G1380:$CD1380))</f>
        <v>0</v>
      </c>
      <c r="N1395">
        <f>IF($E1395=0,0,SUMPRODUCT($AI$8:$DF$8,'Staff Daily sales'!$G1380:$CD1380))</f>
        <v>0</v>
      </c>
      <c r="O1395">
        <f>IF($E1395=0,0,SUMPRODUCT($AI$9:$DF$9,'Staff Daily sales'!$G1380:$CD1380))</f>
        <v>0</v>
      </c>
      <c r="P1395">
        <f>IF($E1395=0,0,SUMPRODUCT($AI$10:$DF$10,'Staff Daily sales'!$G1380:$CD1380))</f>
        <v>0</v>
      </c>
      <c r="Q1395">
        <f>IF($E1395=0,0,SUMPRODUCT($AI$11:$DF$11,'Staff Daily sales'!$G1380:$CD1380))</f>
        <v>0</v>
      </c>
      <c r="R1395">
        <f>IF($E1395=0,0,SUMPRODUCT($AI$12:$DF$12,'Staff Daily sales'!$G1380:$CD1380))</f>
        <v>0</v>
      </c>
      <c r="S1395">
        <f>IF($E1395=0,0,SUMPRODUCT($AI$13:$DF$13,'Staff Daily sales'!$G1380:$CD1380))</f>
        <v>0</v>
      </c>
      <c r="T1395">
        <f>IF($E1395=0,0,SUMPRODUCT($AI$14:$DF$14,'Staff Daily sales'!$G1380:$CD1380))</f>
        <v>0</v>
      </c>
      <c r="U1395">
        <f>IF($E1395=0,0,SUMPRODUCT($AI$15:$DF$15,'Staff Daily sales'!$G1380:$CD1380))</f>
        <v>0</v>
      </c>
      <c r="V1395">
        <f>IF($E1395=0,0,SUMPRODUCT($AI$16:$DF$16,'Staff Daily sales'!$G1380:$CD1380))</f>
        <v>0</v>
      </c>
      <c r="W1395">
        <f t="shared" si="367"/>
        <v>0</v>
      </c>
      <c r="X1395">
        <f t="shared" si="368"/>
        <v>0</v>
      </c>
      <c r="Y1395">
        <f t="shared" si="369"/>
        <v>0</v>
      </c>
      <c r="Z1395">
        <f t="shared" si="370"/>
        <v>0</v>
      </c>
      <c r="AA1395">
        <f t="shared" si="371"/>
        <v>0</v>
      </c>
      <c r="AB1395">
        <f>--AND($E1395=1,OR('Staff Weekly Trend'!$B$3="All",$DH1395='Staff Weekly Trend'!$B$3),OR('Staff Weekly Trend'!$B$4="All",$D1395='Staff Weekly Trend'!$B$4),OR('Staff Weekly Trend'!$B$5="All",$A1395='Staff Weekly Trend'!$B$5))</f>
        <v>0</v>
      </c>
      <c r="AC1395" t="str">
        <f t="shared" si="372"/>
        <v/>
      </c>
      <c r="AI1395">
        <f t="shared" si="373"/>
        <v>0</v>
      </c>
      <c r="AJ1395">
        <f t="shared" si="374"/>
        <v>0</v>
      </c>
      <c r="AK1395">
        <f t="shared" si="375"/>
        <v>0</v>
      </c>
      <c r="AL1395">
        <f t="shared" si="376"/>
        <v>0</v>
      </c>
      <c r="AM1395">
        <f t="shared" si="377"/>
        <v>0</v>
      </c>
      <c r="DH1395" t="str" cm="1">
        <f t="array" ref="DH1395">IF($A1395="","",_xlfn.LET(_xlpm.c,IFERROR(_xlfn.XLOOKUP($A1395,TRIM('Sales and count'!$A$4:$A$300&amp;""),TRIM('Sales and count'!$B$4:$B$300&amp;"")),""),IF(OR(_xlpm.c="",_xlpm.c="0",LEFT(_xlpm.c,1)="#"),"Not set",_xlpm.c)))</f>
        <v/>
      </c>
    </row>
    <row r="1396" spans="1:112" x14ac:dyDescent="0.25">
      <c r="A1396" t="str">
        <f>IF('Staff Daily sales'!$B1381="","",TRIM('Staff Daily sales'!$B1381&amp;""))</f>
        <v/>
      </c>
      <c r="B1396" t="str">
        <f>IF('Staff Daily sales'!$D1381="","",TRIM('Staff Daily sales'!$D1381&amp;""))</f>
        <v/>
      </c>
      <c r="C1396" t="str">
        <f>IFERROR(TRIM('Staff Daily sales'!$E1381&amp;""),"")</f>
        <v/>
      </c>
      <c r="D1396" t="str">
        <f>IFERROR(IF(TRIM('Staff Daily sales'!$F1381&amp;"")="","Unassigned",TRIM('Staff Daily sales'!$F1381&amp;"")),"Unassigned")</f>
        <v>Unassigned</v>
      </c>
      <c r="E1396">
        <f t="shared" si="362"/>
        <v>0</v>
      </c>
      <c r="F1396">
        <f>IF($E1396=0,0,SUMPRODUCT($AI$5:$DF$5,'Staff Daily sales'!$G1381:$CD1381))</f>
        <v>0</v>
      </c>
      <c r="G1396">
        <f>IF($E1396=0,0,SUMPRODUCT($AI$6:$DF$6,'Staff Daily sales'!$G1381:$CD1381))</f>
        <v>0</v>
      </c>
      <c r="H1396">
        <f t="shared" si="363"/>
        <v>0</v>
      </c>
      <c r="I1396">
        <f t="shared" si="364"/>
        <v>0</v>
      </c>
      <c r="J1396">
        <f t="shared" si="365"/>
        <v>0</v>
      </c>
      <c r="K1396">
        <f t="shared" si="366"/>
        <v>0</v>
      </c>
      <c r="L1396">
        <f>--AND($E1396=1,OR('Staff Dashboard'!$B$6="All",$DH1396='Staff Dashboard'!$B$6),OR('Staff Dashboard'!$B$7="All",$D1396='Staff Dashboard'!$B$7),OR('Staff Dashboard'!$B$8="All",$A1396='Staff Dashboard'!$B$8))</f>
        <v>0</v>
      </c>
      <c r="M1396">
        <f>IF($E1396=0,0,SUMPRODUCT($AI$7:$DF$7,'Staff Daily sales'!$G1381:$CD1381))</f>
        <v>0</v>
      </c>
      <c r="N1396">
        <f>IF($E1396=0,0,SUMPRODUCT($AI$8:$DF$8,'Staff Daily sales'!$G1381:$CD1381))</f>
        <v>0</v>
      </c>
      <c r="O1396">
        <f>IF($E1396=0,0,SUMPRODUCT($AI$9:$DF$9,'Staff Daily sales'!$G1381:$CD1381))</f>
        <v>0</v>
      </c>
      <c r="P1396">
        <f>IF($E1396=0,0,SUMPRODUCT($AI$10:$DF$10,'Staff Daily sales'!$G1381:$CD1381))</f>
        <v>0</v>
      </c>
      <c r="Q1396">
        <f>IF($E1396=0,0,SUMPRODUCT($AI$11:$DF$11,'Staff Daily sales'!$G1381:$CD1381))</f>
        <v>0</v>
      </c>
      <c r="R1396">
        <f>IF($E1396=0,0,SUMPRODUCT($AI$12:$DF$12,'Staff Daily sales'!$G1381:$CD1381))</f>
        <v>0</v>
      </c>
      <c r="S1396">
        <f>IF($E1396=0,0,SUMPRODUCT($AI$13:$DF$13,'Staff Daily sales'!$G1381:$CD1381))</f>
        <v>0</v>
      </c>
      <c r="T1396">
        <f>IF($E1396=0,0,SUMPRODUCT($AI$14:$DF$14,'Staff Daily sales'!$G1381:$CD1381))</f>
        <v>0</v>
      </c>
      <c r="U1396">
        <f>IF($E1396=0,0,SUMPRODUCT($AI$15:$DF$15,'Staff Daily sales'!$G1381:$CD1381))</f>
        <v>0</v>
      </c>
      <c r="V1396">
        <f>IF($E1396=0,0,SUMPRODUCT($AI$16:$DF$16,'Staff Daily sales'!$G1381:$CD1381))</f>
        <v>0</v>
      </c>
      <c r="W1396">
        <f t="shared" si="367"/>
        <v>0</v>
      </c>
      <c r="X1396">
        <f t="shared" si="368"/>
        <v>0</v>
      </c>
      <c r="Y1396">
        <f t="shared" si="369"/>
        <v>0</v>
      </c>
      <c r="Z1396">
        <f t="shared" si="370"/>
        <v>0</v>
      </c>
      <c r="AA1396">
        <f t="shared" si="371"/>
        <v>0</v>
      </c>
      <c r="AB1396">
        <f>--AND($E1396=1,OR('Staff Weekly Trend'!$B$3="All",$DH1396='Staff Weekly Trend'!$B$3),OR('Staff Weekly Trend'!$B$4="All",$D1396='Staff Weekly Trend'!$B$4),OR('Staff Weekly Trend'!$B$5="All",$A1396='Staff Weekly Trend'!$B$5))</f>
        <v>0</v>
      </c>
      <c r="AC1396" t="str">
        <f t="shared" si="372"/>
        <v/>
      </c>
      <c r="AI1396">
        <f t="shared" si="373"/>
        <v>0</v>
      </c>
      <c r="AJ1396">
        <f t="shared" si="374"/>
        <v>0</v>
      </c>
      <c r="AK1396">
        <f t="shared" si="375"/>
        <v>0</v>
      </c>
      <c r="AL1396">
        <f t="shared" si="376"/>
        <v>0</v>
      </c>
      <c r="AM1396">
        <f t="shared" si="377"/>
        <v>0</v>
      </c>
      <c r="DH1396" t="str" cm="1">
        <f t="array" ref="DH1396">IF($A1396="","",_xlfn.LET(_xlpm.c,IFERROR(_xlfn.XLOOKUP($A1396,TRIM('Sales and count'!$A$4:$A$300&amp;""),TRIM('Sales and count'!$B$4:$B$300&amp;"")),""),IF(OR(_xlpm.c="",_xlpm.c="0",LEFT(_xlpm.c,1)="#"),"Not set",_xlpm.c)))</f>
        <v/>
      </c>
    </row>
    <row r="1397" spans="1:112" x14ac:dyDescent="0.25">
      <c r="A1397" t="str">
        <f>IF('Staff Daily sales'!$B1382="","",TRIM('Staff Daily sales'!$B1382&amp;""))</f>
        <v/>
      </c>
      <c r="B1397" t="str">
        <f>IF('Staff Daily sales'!$D1382="","",TRIM('Staff Daily sales'!$D1382&amp;""))</f>
        <v/>
      </c>
      <c r="C1397" t="str">
        <f>IFERROR(TRIM('Staff Daily sales'!$E1382&amp;""),"")</f>
        <v/>
      </c>
      <c r="D1397" t="str">
        <f>IFERROR(IF(TRIM('Staff Daily sales'!$F1382&amp;"")="","Unassigned",TRIM('Staff Daily sales'!$F1382&amp;"")),"Unassigned")</f>
        <v>Unassigned</v>
      </c>
      <c r="E1397">
        <f t="shared" si="362"/>
        <v>0</v>
      </c>
      <c r="F1397">
        <f>IF($E1397=0,0,SUMPRODUCT($AI$5:$DF$5,'Staff Daily sales'!$G1382:$CD1382))</f>
        <v>0</v>
      </c>
      <c r="G1397">
        <f>IF($E1397=0,0,SUMPRODUCT($AI$6:$DF$6,'Staff Daily sales'!$G1382:$CD1382))</f>
        <v>0</v>
      </c>
      <c r="H1397">
        <f t="shared" si="363"/>
        <v>0</v>
      </c>
      <c r="I1397">
        <f t="shared" si="364"/>
        <v>0</v>
      </c>
      <c r="J1397">
        <f t="shared" si="365"/>
        <v>0</v>
      </c>
      <c r="K1397">
        <f t="shared" si="366"/>
        <v>0</v>
      </c>
      <c r="L1397">
        <f>--AND($E1397=1,OR('Staff Dashboard'!$B$6="All",$DH1397='Staff Dashboard'!$B$6),OR('Staff Dashboard'!$B$7="All",$D1397='Staff Dashboard'!$B$7),OR('Staff Dashboard'!$B$8="All",$A1397='Staff Dashboard'!$B$8))</f>
        <v>0</v>
      </c>
      <c r="M1397">
        <f>IF($E1397=0,0,SUMPRODUCT($AI$7:$DF$7,'Staff Daily sales'!$G1382:$CD1382))</f>
        <v>0</v>
      </c>
      <c r="N1397">
        <f>IF($E1397=0,0,SUMPRODUCT($AI$8:$DF$8,'Staff Daily sales'!$G1382:$CD1382))</f>
        <v>0</v>
      </c>
      <c r="O1397">
        <f>IF($E1397=0,0,SUMPRODUCT($AI$9:$DF$9,'Staff Daily sales'!$G1382:$CD1382))</f>
        <v>0</v>
      </c>
      <c r="P1397">
        <f>IF($E1397=0,0,SUMPRODUCT($AI$10:$DF$10,'Staff Daily sales'!$G1382:$CD1382))</f>
        <v>0</v>
      </c>
      <c r="Q1397">
        <f>IF($E1397=0,0,SUMPRODUCT($AI$11:$DF$11,'Staff Daily sales'!$G1382:$CD1382))</f>
        <v>0</v>
      </c>
      <c r="R1397">
        <f>IF($E1397=0,0,SUMPRODUCT($AI$12:$DF$12,'Staff Daily sales'!$G1382:$CD1382))</f>
        <v>0</v>
      </c>
      <c r="S1397">
        <f>IF($E1397=0,0,SUMPRODUCT($AI$13:$DF$13,'Staff Daily sales'!$G1382:$CD1382))</f>
        <v>0</v>
      </c>
      <c r="T1397">
        <f>IF($E1397=0,0,SUMPRODUCT($AI$14:$DF$14,'Staff Daily sales'!$G1382:$CD1382))</f>
        <v>0</v>
      </c>
      <c r="U1397">
        <f>IF($E1397=0,0,SUMPRODUCT($AI$15:$DF$15,'Staff Daily sales'!$G1382:$CD1382))</f>
        <v>0</v>
      </c>
      <c r="V1397">
        <f>IF($E1397=0,0,SUMPRODUCT($AI$16:$DF$16,'Staff Daily sales'!$G1382:$CD1382))</f>
        <v>0</v>
      </c>
      <c r="W1397">
        <f t="shared" si="367"/>
        <v>0</v>
      </c>
      <c r="X1397">
        <f t="shared" si="368"/>
        <v>0</v>
      </c>
      <c r="Y1397">
        <f t="shared" si="369"/>
        <v>0</v>
      </c>
      <c r="Z1397">
        <f t="shared" si="370"/>
        <v>0</v>
      </c>
      <c r="AA1397">
        <f t="shared" si="371"/>
        <v>0</v>
      </c>
      <c r="AB1397">
        <f>--AND($E1397=1,OR('Staff Weekly Trend'!$B$3="All",$DH1397='Staff Weekly Trend'!$B$3),OR('Staff Weekly Trend'!$B$4="All",$D1397='Staff Weekly Trend'!$B$4),OR('Staff Weekly Trend'!$B$5="All",$A1397='Staff Weekly Trend'!$B$5))</f>
        <v>0</v>
      </c>
      <c r="AC1397" t="str">
        <f t="shared" si="372"/>
        <v/>
      </c>
      <c r="AI1397">
        <f t="shared" si="373"/>
        <v>0</v>
      </c>
      <c r="AJ1397">
        <f t="shared" si="374"/>
        <v>0</v>
      </c>
      <c r="AK1397">
        <f t="shared" si="375"/>
        <v>0</v>
      </c>
      <c r="AL1397">
        <f t="shared" si="376"/>
        <v>0</v>
      </c>
      <c r="AM1397">
        <f t="shared" si="377"/>
        <v>0</v>
      </c>
      <c r="DH1397" t="str" cm="1">
        <f t="array" ref="DH1397">IF($A1397="","",_xlfn.LET(_xlpm.c,IFERROR(_xlfn.XLOOKUP($A1397,TRIM('Sales and count'!$A$4:$A$300&amp;""),TRIM('Sales and count'!$B$4:$B$300&amp;"")),""),IF(OR(_xlpm.c="",_xlpm.c="0",LEFT(_xlpm.c,1)="#"),"Not set",_xlpm.c)))</f>
        <v/>
      </c>
    </row>
    <row r="1398" spans="1:112" x14ac:dyDescent="0.25">
      <c r="A1398" t="str">
        <f>IF('Staff Daily sales'!$B1383="","",TRIM('Staff Daily sales'!$B1383&amp;""))</f>
        <v/>
      </c>
      <c r="B1398" t="str">
        <f>IF('Staff Daily sales'!$D1383="","",TRIM('Staff Daily sales'!$D1383&amp;""))</f>
        <v/>
      </c>
      <c r="C1398" t="str">
        <f>IFERROR(TRIM('Staff Daily sales'!$E1383&amp;""),"")</f>
        <v/>
      </c>
      <c r="D1398" t="str">
        <f>IFERROR(IF(TRIM('Staff Daily sales'!$F1383&amp;"")="","Unassigned",TRIM('Staff Daily sales'!$F1383&amp;"")),"Unassigned")</f>
        <v>Unassigned</v>
      </c>
      <c r="E1398">
        <f t="shared" si="362"/>
        <v>0</v>
      </c>
      <c r="F1398">
        <f>IF($E1398=0,0,SUMPRODUCT($AI$5:$DF$5,'Staff Daily sales'!$G1383:$CD1383))</f>
        <v>0</v>
      </c>
      <c r="G1398">
        <f>IF($E1398=0,0,SUMPRODUCT($AI$6:$DF$6,'Staff Daily sales'!$G1383:$CD1383))</f>
        <v>0</v>
      </c>
      <c r="H1398">
        <f t="shared" si="363"/>
        <v>0</v>
      </c>
      <c r="I1398">
        <f t="shared" si="364"/>
        <v>0</v>
      </c>
      <c r="J1398">
        <f t="shared" si="365"/>
        <v>0</v>
      </c>
      <c r="K1398">
        <f t="shared" si="366"/>
        <v>0</v>
      </c>
      <c r="L1398">
        <f>--AND($E1398=1,OR('Staff Dashboard'!$B$6="All",$DH1398='Staff Dashboard'!$B$6),OR('Staff Dashboard'!$B$7="All",$D1398='Staff Dashboard'!$B$7),OR('Staff Dashboard'!$B$8="All",$A1398='Staff Dashboard'!$B$8))</f>
        <v>0</v>
      </c>
      <c r="M1398">
        <f>IF($E1398=0,0,SUMPRODUCT($AI$7:$DF$7,'Staff Daily sales'!$G1383:$CD1383))</f>
        <v>0</v>
      </c>
      <c r="N1398">
        <f>IF($E1398=0,0,SUMPRODUCT($AI$8:$DF$8,'Staff Daily sales'!$G1383:$CD1383))</f>
        <v>0</v>
      </c>
      <c r="O1398">
        <f>IF($E1398=0,0,SUMPRODUCT($AI$9:$DF$9,'Staff Daily sales'!$G1383:$CD1383))</f>
        <v>0</v>
      </c>
      <c r="P1398">
        <f>IF($E1398=0,0,SUMPRODUCT($AI$10:$DF$10,'Staff Daily sales'!$G1383:$CD1383))</f>
        <v>0</v>
      </c>
      <c r="Q1398">
        <f>IF($E1398=0,0,SUMPRODUCT($AI$11:$DF$11,'Staff Daily sales'!$G1383:$CD1383))</f>
        <v>0</v>
      </c>
      <c r="R1398">
        <f>IF($E1398=0,0,SUMPRODUCT($AI$12:$DF$12,'Staff Daily sales'!$G1383:$CD1383))</f>
        <v>0</v>
      </c>
      <c r="S1398">
        <f>IF($E1398=0,0,SUMPRODUCT($AI$13:$DF$13,'Staff Daily sales'!$G1383:$CD1383))</f>
        <v>0</v>
      </c>
      <c r="T1398">
        <f>IF($E1398=0,0,SUMPRODUCT($AI$14:$DF$14,'Staff Daily sales'!$G1383:$CD1383))</f>
        <v>0</v>
      </c>
      <c r="U1398">
        <f>IF($E1398=0,0,SUMPRODUCT($AI$15:$DF$15,'Staff Daily sales'!$G1383:$CD1383))</f>
        <v>0</v>
      </c>
      <c r="V1398">
        <f>IF($E1398=0,0,SUMPRODUCT($AI$16:$DF$16,'Staff Daily sales'!$G1383:$CD1383))</f>
        <v>0</v>
      </c>
      <c r="W1398">
        <f t="shared" si="367"/>
        <v>0</v>
      </c>
      <c r="X1398">
        <f t="shared" si="368"/>
        <v>0</v>
      </c>
      <c r="Y1398">
        <f t="shared" si="369"/>
        <v>0</v>
      </c>
      <c r="Z1398">
        <f t="shared" si="370"/>
        <v>0</v>
      </c>
      <c r="AA1398">
        <f t="shared" si="371"/>
        <v>0</v>
      </c>
      <c r="AB1398">
        <f>--AND($E1398=1,OR('Staff Weekly Trend'!$B$3="All",$DH1398='Staff Weekly Trend'!$B$3),OR('Staff Weekly Trend'!$B$4="All",$D1398='Staff Weekly Trend'!$B$4),OR('Staff Weekly Trend'!$B$5="All",$A1398='Staff Weekly Trend'!$B$5))</f>
        <v>0</v>
      </c>
      <c r="AC1398" t="str">
        <f t="shared" si="372"/>
        <v/>
      </c>
      <c r="AI1398">
        <f t="shared" si="373"/>
        <v>0</v>
      </c>
      <c r="AJ1398">
        <f t="shared" si="374"/>
        <v>0</v>
      </c>
      <c r="AK1398">
        <f t="shared" si="375"/>
        <v>0</v>
      </c>
      <c r="AL1398">
        <f t="shared" si="376"/>
        <v>0</v>
      </c>
      <c r="AM1398">
        <f t="shared" si="377"/>
        <v>0</v>
      </c>
      <c r="DH1398" t="str" cm="1">
        <f t="array" ref="DH1398">IF($A1398="","",_xlfn.LET(_xlpm.c,IFERROR(_xlfn.XLOOKUP($A1398,TRIM('Sales and count'!$A$4:$A$300&amp;""),TRIM('Sales and count'!$B$4:$B$300&amp;"")),""),IF(OR(_xlpm.c="",_xlpm.c="0",LEFT(_xlpm.c,1)="#"),"Not set",_xlpm.c)))</f>
        <v/>
      </c>
    </row>
    <row r="1399" spans="1:112" x14ac:dyDescent="0.25">
      <c r="A1399" t="str">
        <f>IF('Staff Daily sales'!$B1384="","",TRIM('Staff Daily sales'!$B1384&amp;""))</f>
        <v/>
      </c>
      <c r="B1399" t="str">
        <f>IF('Staff Daily sales'!$D1384="","",TRIM('Staff Daily sales'!$D1384&amp;""))</f>
        <v/>
      </c>
      <c r="C1399" t="str">
        <f>IFERROR(TRIM('Staff Daily sales'!$E1384&amp;""),"")</f>
        <v/>
      </c>
      <c r="D1399" t="str">
        <f>IFERROR(IF(TRIM('Staff Daily sales'!$F1384&amp;"")="","Unassigned",TRIM('Staff Daily sales'!$F1384&amp;"")),"Unassigned")</f>
        <v>Unassigned</v>
      </c>
      <c r="E1399">
        <f t="shared" si="362"/>
        <v>0</v>
      </c>
      <c r="F1399">
        <f>IF($E1399=0,0,SUMPRODUCT($AI$5:$DF$5,'Staff Daily sales'!$G1384:$CD1384))</f>
        <v>0</v>
      </c>
      <c r="G1399">
        <f>IF($E1399=0,0,SUMPRODUCT($AI$6:$DF$6,'Staff Daily sales'!$G1384:$CD1384))</f>
        <v>0</v>
      </c>
      <c r="H1399">
        <f t="shared" si="363"/>
        <v>0</v>
      </c>
      <c r="I1399">
        <f t="shared" si="364"/>
        <v>0</v>
      </c>
      <c r="J1399">
        <f t="shared" si="365"/>
        <v>0</v>
      </c>
      <c r="K1399">
        <f t="shared" si="366"/>
        <v>0</v>
      </c>
      <c r="L1399">
        <f>--AND($E1399=1,OR('Staff Dashboard'!$B$6="All",$DH1399='Staff Dashboard'!$B$6),OR('Staff Dashboard'!$B$7="All",$D1399='Staff Dashboard'!$B$7),OR('Staff Dashboard'!$B$8="All",$A1399='Staff Dashboard'!$B$8))</f>
        <v>0</v>
      </c>
      <c r="M1399">
        <f>IF($E1399=0,0,SUMPRODUCT($AI$7:$DF$7,'Staff Daily sales'!$G1384:$CD1384))</f>
        <v>0</v>
      </c>
      <c r="N1399">
        <f>IF($E1399=0,0,SUMPRODUCT($AI$8:$DF$8,'Staff Daily sales'!$G1384:$CD1384))</f>
        <v>0</v>
      </c>
      <c r="O1399">
        <f>IF($E1399=0,0,SUMPRODUCT($AI$9:$DF$9,'Staff Daily sales'!$G1384:$CD1384))</f>
        <v>0</v>
      </c>
      <c r="P1399">
        <f>IF($E1399=0,0,SUMPRODUCT($AI$10:$DF$10,'Staff Daily sales'!$G1384:$CD1384))</f>
        <v>0</v>
      </c>
      <c r="Q1399">
        <f>IF($E1399=0,0,SUMPRODUCT($AI$11:$DF$11,'Staff Daily sales'!$G1384:$CD1384))</f>
        <v>0</v>
      </c>
      <c r="R1399">
        <f>IF($E1399=0,0,SUMPRODUCT($AI$12:$DF$12,'Staff Daily sales'!$G1384:$CD1384))</f>
        <v>0</v>
      </c>
      <c r="S1399">
        <f>IF($E1399=0,0,SUMPRODUCT($AI$13:$DF$13,'Staff Daily sales'!$G1384:$CD1384))</f>
        <v>0</v>
      </c>
      <c r="T1399">
        <f>IF($E1399=0,0,SUMPRODUCT($AI$14:$DF$14,'Staff Daily sales'!$G1384:$CD1384))</f>
        <v>0</v>
      </c>
      <c r="U1399">
        <f>IF($E1399=0,0,SUMPRODUCT($AI$15:$DF$15,'Staff Daily sales'!$G1384:$CD1384))</f>
        <v>0</v>
      </c>
      <c r="V1399">
        <f>IF($E1399=0,0,SUMPRODUCT($AI$16:$DF$16,'Staff Daily sales'!$G1384:$CD1384))</f>
        <v>0</v>
      </c>
      <c r="W1399">
        <f t="shared" si="367"/>
        <v>0</v>
      </c>
      <c r="X1399">
        <f t="shared" si="368"/>
        <v>0</v>
      </c>
      <c r="Y1399">
        <f t="shared" si="369"/>
        <v>0</v>
      </c>
      <c r="Z1399">
        <f t="shared" si="370"/>
        <v>0</v>
      </c>
      <c r="AA1399">
        <f t="shared" si="371"/>
        <v>0</v>
      </c>
      <c r="AB1399">
        <f>--AND($E1399=1,OR('Staff Weekly Trend'!$B$3="All",$DH1399='Staff Weekly Trend'!$B$3),OR('Staff Weekly Trend'!$B$4="All",$D1399='Staff Weekly Trend'!$B$4),OR('Staff Weekly Trend'!$B$5="All",$A1399='Staff Weekly Trend'!$B$5))</f>
        <v>0</v>
      </c>
      <c r="AC1399" t="str">
        <f t="shared" si="372"/>
        <v/>
      </c>
      <c r="AI1399">
        <f t="shared" si="373"/>
        <v>0</v>
      </c>
      <c r="AJ1399">
        <f t="shared" si="374"/>
        <v>0</v>
      </c>
      <c r="AK1399">
        <f t="shared" si="375"/>
        <v>0</v>
      </c>
      <c r="AL1399">
        <f t="shared" si="376"/>
        <v>0</v>
      </c>
      <c r="AM1399">
        <f t="shared" si="377"/>
        <v>0</v>
      </c>
      <c r="DH1399" t="str" cm="1">
        <f t="array" ref="DH1399">IF($A1399="","",_xlfn.LET(_xlpm.c,IFERROR(_xlfn.XLOOKUP($A1399,TRIM('Sales and count'!$A$4:$A$300&amp;""),TRIM('Sales and count'!$B$4:$B$300&amp;"")),""),IF(OR(_xlpm.c="",_xlpm.c="0",LEFT(_xlpm.c,1)="#"),"Not set",_xlpm.c)))</f>
        <v/>
      </c>
    </row>
    <row r="1400" spans="1:112" x14ac:dyDescent="0.25">
      <c r="A1400" t="str">
        <f>IF('Staff Daily sales'!$B1385="","",TRIM('Staff Daily sales'!$B1385&amp;""))</f>
        <v/>
      </c>
      <c r="B1400" t="str">
        <f>IF('Staff Daily sales'!$D1385="","",TRIM('Staff Daily sales'!$D1385&amp;""))</f>
        <v/>
      </c>
      <c r="C1400" t="str">
        <f>IFERROR(TRIM('Staff Daily sales'!$E1385&amp;""),"")</f>
        <v/>
      </c>
      <c r="D1400" t="str">
        <f>IFERROR(IF(TRIM('Staff Daily sales'!$F1385&amp;"")="","Unassigned",TRIM('Staff Daily sales'!$F1385&amp;"")),"Unassigned")</f>
        <v>Unassigned</v>
      </c>
      <c r="E1400">
        <f t="shared" si="362"/>
        <v>0</v>
      </c>
      <c r="F1400">
        <f>IF($E1400=0,0,SUMPRODUCT($AI$5:$DF$5,'Staff Daily sales'!$G1385:$CD1385))</f>
        <v>0</v>
      </c>
      <c r="G1400">
        <f>IF($E1400=0,0,SUMPRODUCT($AI$6:$DF$6,'Staff Daily sales'!$G1385:$CD1385))</f>
        <v>0</v>
      </c>
      <c r="H1400">
        <f t="shared" si="363"/>
        <v>0</v>
      </c>
      <c r="I1400">
        <f t="shared" si="364"/>
        <v>0</v>
      </c>
      <c r="J1400">
        <f t="shared" si="365"/>
        <v>0</v>
      </c>
      <c r="K1400">
        <f t="shared" si="366"/>
        <v>0</v>
      </c>
      <c r="L1400">
        <f>--AND($E1400=1,OR('Staff Dashboard'!$B$6="All",$DH1400='Staff Dashboard'!$B$6),OR('Staff Dashboard'!$B$7="All",$D1400='Staff Dashboard'!$B$7),OR('Staff Dashboard'!$B$8="All",$A1400='Staff Dashboard'!$B$8))</f>
        <v>0</v>
      </c>
      <c r="M1400">
        <f>IF($E1400=0,0,SUMPRODUCT($AI$7:$DF$7,'Staff Daily sales'!$G1385:$CD1385))</f>
        <v>0</v>
      </c>
      <c r="N1400">
        <f>IF($E1400=0,0,SUMPRODUCT($AI$8:$DF$8,'Staff Daily sales'!$G1385:$CD1385))</f>
        <v>0</v>
      </c>
      <c r="O1400">
        <f>IF($E1400=0,0,SUMPRODUCT($AI$9:$DF$9,'Staff Daily sales'!$G1385:$CD1385))</f>
        <v>0</v>
      </c>
      <c r="P1400">
        <f>IF($E1400=0,0,SUMPRODUCT($AI$10:$DF$10,'Staff Daily sales'!$G1385:$CD1385))</f>
        <v>0</v>
      </c>
      <c r="Q1400">
        <f>IF($E1400=0,0,SUMPRODUCT($AI$11:$DF$11,'Staff Daily sales'!$G1385:$CD1385))</f>
        <v>0</v>
      </c>
      <c r="R1400">
        <f>IF($E1400=0,0,SUMPRODUCT($AI$12:$DF$12,'Staff Daily sales'!$G1385:$CD1385))</f>
        <v>0</v>
      </c>
      <c r="S1400">
        <f>IF($E1400=0,0,SUMPRODUCT($AI$13:$DF$13,'Staff Daily sales'!$G1385:$CD1385))</f>
        <v>0</v>
      </c>
      <c r="T1400">
        <f>IF($E1400=0,0,SUMPRODUCT($AI$14:$DF$14,'Staff Daily sales'!$G1385:$CD1385))</f>
        <v>0</v>
      </c>
      <c r="U1400">
        <f>IF($E1400=0,0,SUMPRODUCT($AI$15:$DF$15,'Staff Daily sales'!$G1385:$CD1385))</f>
        <v>0</v>
      </c>
      <c r="V1400">
        <f>IF($E1400=0,0,SUMPRODUCT($AI$16:$DF$16,'Staff Daily sales'!$G1385:$CD1385))</f>
        <v>0</v>
      </c>
      <c r="W1400">
        <f t="shared" si="367"/>
        <v>0</v>
      </c>
      <c r="X1400">
        <f t="shared" si="368"/>
        <v>0</v>
      </c>
      <c r="Y1400">
        <f t="shared" si="369"/>
        <v>0</v>
      </c>
      <c r="Z1400">
        <f t="shared" si="370"/>
        <v>0</v>
      </c>
      <c r="AA1400">
        <f t="shared" si="371"/>
        <v>0</v>
      </c>
      <c r="AB1400">
        <f>--AND($E1400=1,OR('Staff Weekly Trend'!$B$3="All",$DH1400='Staff Weekly Trend'!$B$3),OR('Staff Weekly Trend'!$B$4="All",$D1400='Staff Weekly Trend'!$B$4),OR('Staff Weekly Trend'!$B$5="All",$A1400='Staff Weekly Trend'!$B$5))</f>
        <v>0</v>
      </c>
      <c r="AC1400" t="str">
        <f t="shared" si="372"/>
        <v/>
      </c>
      <c r="AI1400">
        <f t="shared" si="373"/>
        <v>0</v>
      </c>
      <c r="AJ1400">
        <f t="shared" si="374"/>
        <v>0</v>
      </c>
      <c r="AK1400">
        <f t="shared" si="375"/>
        <v>0</v>
      </c>
      <c r="AL1400">
        <f t="shared" si="376"/>
        <v>0</v>
      </c>
      <c r="AM1400">
        <f t="shared" si="377"/>
        <v>0</v>
      </c>
      <c r="DH1400" t="str" cm="1">
        <f t="array" ref="DH1400">IF($A1400="","",_xlfn.LET(_xlpm.c,IFERROR(_xlfn.XLOOKUP($A1400,TRIM('Sales and count'!$A$4:$A$300&amp;""),TRIM('Sales and count'!$B$4:$B$300&amp;"")),""),IF(OR(_xlpm.c="",_xlpm.c="0",LEFT(_xlpm.c,1)="#"),"Not set",_xlpm.c)))</f>
        <v/>
      </c>
    </row>
    <row r="1401" spans="1:112" x14ac:dyDescent="0.25">
      <c r="A1401" t="str">
        <f>IF('Staff Daily sales'!$B1386="","",TRIM('Staff Daily sales'!$B1386&amp;""))</f>
        <v/>
      </c>
      <c r="B1401" t="str">
        <f>IF('Staff Daily sales'!$D1386="","",TRIM('Staff Daily sales'!$D1386&amp;""))</f>
        <v/>
      </c>
      <c r="C1401" t="str">
        <f>IFERROR(TRIM('Staff Daily sales'!$E1386&amp;""),"")</f>
        <v/>
      </c>
      <c r="D1401" t="str">
        <f>IFERROR(IF(TRIM('Staff Daily sales'!$F1386&amp;"")="","Unassigned",TRIM('Staff Daily sales'!$F1386&amp;"")),"Unassigned")</f>
        <v>Unassigned</v>
      </c>
      <c r="E1401">
        <f t="shared" si="362"/>
        <v>0</v>
      </c>
      <c r="F1401">
        <f>IF($E1401=0,0,SUMPRODUCT($AI$5:$DF$5,'Staff Daily sales'!$G1386:$CD1386))</f>
        <v>0</v>
      </c>
      <c r="G1401">
        <f>IF($E1401=0,0,SUMPRODUCT($AI$6:$DF$6,'Staff Daily sales'!$G1386:$CD1386))</f>
        <v>0</v>
      </c>
      <c r="H1401">
        <f t="shared" si="363"/>
        <v>0</v>
      </c>
      <c r="I1401">
        <f t="shared" si="364"/>
        <v>0</v>
      </c>
      <c r="J1401">
        <f t="shared" si="365"/>
        <v>0</v>
      </c>
      <c r="K1401">
        <f t="shared" si="366"/>
        <v>0</v>
      </c>
      <c r="L1401">
        <f>--AND($E1401=1,OR('Staff Dashboard'!$B$6="All",$DH1401='Staff Dashboard'!$B$6),OR('Staff Dashboard'!$B$7="All",$D1401='Staff Dashboard'!$B$7),OR('Staff Dashboard'!$B$8="All",$A1401='Staff Dashboard'!$B$8))</f>
        <v>0</v>
      </c>
      <c r="M1401">
        <f>IF($E1401=0,0,SUMPRODUCT($AI$7:$DF$7,'Staff Daily sales'!$G1386:$CD1386))</f>
        <v>0</v>
      </c>
      <c r="N1401">
        <f>IF($E1401=0,0,SUMPRODUCT($AI$8:$DF$8,'Staff Daily sales'!$G1386:$CD1386))</f>
        <v>0</v>
      </c>
      <c r="O1401">
        <f>IF($E1401=0,0,SUMPRODUCT($AI$9:$DF$9,'Staff Daily sales'!$G1386:$CD1386))</f>
        <v>0</v>
      </c>
      <c r="P1401">
        <f>IF($E1401=0,0,SUMPRODUCT($AI$10:$DF$10,'Staff Daily sales'!$G1386:$CD1386))</f>
        <v>0</v>
      </c>
      <c r="Q1401">
        <f>IF($E1401=0,0,SUMPRODUCT($AI$11:$DF$11,'Staff Daily sales'!$G1386:$CD1386))</f>
        <v>0</v>
      </c>
      <c r="R1401">
        <f>IF($E1401=0,0,SUMPRODUCT($AI$12:$DF$12,'Staff Daily sales'!$G1386:$CD1386))</f>
        <v>0</v>
      </c>
      <c r="S1401">
        <f>IF($E1401=0,0,SUMPRODUCT($AI$13:$DF$13,'Staff Daily sales'!$G1386:$CD1386))</f>
        <v>0</v>
      </c>
      <c r="T1401">
        <f>IF($E1401=0,0,SUMPRODUCT($AI$14:$DF$14,'Staff Daily sales'!$G1386:$CD1386))</f>
        <v>0</v>
      </c>
      <c r="U1401">
        <f>IF($E1401=0,0,SUMPRODUCT($AI$15:$DF$15,'Staff Daily sales'!$G1386:$CD1386))</f>
        <v>0</v>
      </c>
      <c r="V1401">
        <f>IF($E1401=0,0,SUMPRODUCT($AI$16:$DF$16,'Staff Daily sales'!$G1386:$CD1386))</f>
        <v>0</v>
      </c>
      <c r="W1401">
        <f t="shared" si="367"/>
        <v>0</v>
      </c>
      <c r="X1401">
        <f t="shared" si="368"/>
        <v>0</v>
      </c>
      <c r="Y1401">
        <f t="shared" si="369"/>
        <v>0</v>
      </c>
      <c r="Z1401">
        <f t="shared" si="370"/>
        <v>0</v>
      </c>
      <c r="AA1401">
        <f t="shared" si="371"/>
        <v>0</v>
      </c>
      <c r="AB1401">
        <f>--AND($E1401=1,OR('Staff Weekly Trend'!$B$3="All",$DH1401='Staff Weekly Trend'!$B$3),OR('Staff Weekly Trend'!$B$4="All",$D1401='Staff Weekly Trend'!$B$4),OR('Staff Weekly Trend'!$B$5="All",$A1401='Staff Weekly Trend'!$B$5))</f>
        <v>0</v>
      </c>
      <c r="AC1401" t="str">
        <f t="shared" si="372"/>
        <v/>
      </c>
      <c r="AI1401">
        <f t="shared" si="373"/>
        <v>0</v>
      </c>
      <c r="AJ1401">
        <f t="shared" si="374"/>
        <v>0</v>
      </c>
      <c r="AK1401">
        <f t="shared" si="375"/>
        <v>0</v>
      </c>
      <c r="AL1401">
        <f t="shared" si="376"/>
        <v>0</v>
      </c>
      <c r="AM1401">
        <f t="shared" si="377"/>
        <v>0</v>
      </c>
      <c r="DH1401" t="str" cm="1">
        <f t="array" ref="DH1401">IF($A1401="","",_xlfn.LET(_xlpm.c,IFERROR(_xlfn.XLOOKUP($A1401,TRIM('Sales and count'!$A$4:$A$300&amp;""),TRIM('Sales and count'!$B$4:$B$300&amp;"")),""),IF(OR(_xlpm.c="",_xlpm.c="0",LEFT(_xlpm.c,1)="#"),"Not set",_xlpm.c)))</f>
        <v/>
      </c>
    </row>
    <row r="1402" spans="1:112" x14ac:dyDescent="0.25">
      <c r="A1402" t="str">
        <f>IF('Staff Daily sales'!$B1387="","",TRIM('Staff Daily sales'!$B1387&amp;""))</f>
        <v/>
      </c>
      <c r="B1402" t="str">
        <f>IF('Staff Daily sales'!$D1387="","",TRIM('Staff Daily sales'!$D1387&amp;""))</f>
        <v/>
      </c>
      <c r="C1402" t="str">
        <f>IFERROR(TRIM('Staff Daily sales'!$E1387&amp;""),"")</f>
        <v/>
      </c>
      <c r="D1402" t="str">
        <f>IFERROR(IF(TRIM('Staff Daily sales'!$F1387&amp;"")="","Unassigned",TRIM('Staff Daily sales'!$F1387&amp;"")),"Unassigned")</f>
        <v>Unassigned</v>
      </c>
      <c r="E1402">
        <f t="shared" si="362"/>
        <v>0</v>
      </c>
      <c r="F1402">
        <f>IF($E1402=0,0,SUMPRODUCT($AI$5:$DF$5,'Staff Daily sales'!$G1387:$CD1387))</f>
        <v>0</v>
      </c>
      <c r="G1402">
        <f>IF($E1402=0,0,SUMPRODUCT($AI$6:$DF$6,'Staff Daily sales'!$G1387:$CD1387))</f>
        <v>0</v>
      </c>
      <c r="H1402">
        <f t="shared" si="363"/>
        <v>0</v>
      </c>
      <c r="I1402">
        <f t="shared" si="364"/>
        <v>0</v>
      </c>
      <c r="J1402">
        <f t="shared" si="365"/>
        <v>0</v>
      </c>
      <c r="K1402">
        <f t="shared" si="366"/>
        <v>0</v>
      </c>
      <c r="L1402">
        <f>--AND($E1402=1,OR('Staff Dashboard'!$B$6="All",$DH1402='Staff Dashboard'!$B$6),OR('Staff Dashboard'!$B$7="All",$D1402='Staff Dashboard'!$B$7),OR('Staff Dashboard'!$B$8="All",$A1402='Staff Dashboard'!$B$8))</f>
        <v>0</v>
      </c>
      <c r="M1402">
        <f>IF($E1402=0,0,SUMPRODUCT($AI$7:$DF$7,'Staff Daily sales'!$G1387:$CD1387))</f>
        <v>0</v>
      </c>
      <c r="N1402">
        <f>IF($E1402=0,0,SUMPRODUCT($AI$8:$DF$8,'Staff Daily sales'!$G1387:$CD1387))</f>
        <v>0</v>
      </c>
      <c r="O1402">
        <f>IF($E1402=0,0,SUMPRODUCT($AI$9:$DF$9,'Staff Daily sales'!$G1387:$CD1387))</f>
        <v>0</v>
      </c>
      <c r="P1402">
        <f>IF($E1402=0,0,SUMPRODUCT($AI$10:$DF$10,'Staff Daily sales'!$G1387:$CD1387))</f>
        <v>0</v>
      </c>
      <c r="Q1402">
        <f>IF($E1402=0,0,SUMPRODUCT($AI$11:$DF$11,'Staff Daily sales'!$G1387:$CD1387))</f>
        <v>0</v>
      </c>
      <c r="R1402">
        <f>IF($E1402=0,0,SUMPRODUCT($AI$12:$DF$12,'Staff Daily sales'!$G1387:$CD1387))</f>
        <v>0</v>
      </c>
      <c r="S1402">
        <f>IF($E1402=0,0,SUMPRODUCT($AI$13:$DF$13,'Staff Daily sales'!$G1387:$CD1387))</f>
        <v>0</v>
      </c>
      <c r="T1402">
        <f>IF($E1402=0,0,SUMPRODUCT($AI$14:$DF$14,'Staff Daily sales'!$G1387:$CD1387))</f>
        <v>0</v>
      </c>
      <c r="U1402">
        <f>IF($E1402=0,0,SUMPRODUCT($AI$15:$DF$15,'Staff Daily sales'!$G1387:$CD1387))</f>
        <v>0</v>
      </c>
      <c r="V1402">
        <f>IF($E1402=0,0,SUMPRODUCT($AI$16:$DF$16,'Staff Daily sales'!$G1387:$CD1387))</f>
        <v>0</v>
      </c>
      <c r="W1402">
        <f t="shared" si="367"/>
        <v>0</v>
      </c>
      <c r="X1402">
        <f t="shared" si="368"/>
        <v>0</v>
      </c>
      <c r="Y1402">
        <f t="shared" si="369"/>
        <v>0</v>
      </c>
      <c r="Z1402">
        <f t="shared" si="370"/>
        <v>0</v>
      </c>
      <c r="AA1402">
        <f t="shared" si="371"/>
        <v>0</v>
      </c>
      <c r="AB1402">
        <f>--AND($E1402=1,OR('Staff Weekly Trend'!$B$3="All",$DH1402='Staff Weekly Trend'!$B$3),OR('Staff Weekly Trend'!$B$4="All",$D1402='Staff Weekly Trend'!$B$4),OR('Staff Weekly Trend'!$B$5="All",$A1402='Staff Weekly Trend'!$B$5))</f>
        <v>0</v>
      </c>
      <c r="AC1402" t="str">
        <f t="shared" si="372"/>
        <v/>
      </c>
      <c r="AI1402">
        <f t="shared" si="373"/>
        <v>0</v>
      </c>
      <c r="AJ1402">
        <f t="shared" si="374"/>
        <v>0</v>
      </c>
      <c r="AK1402">
        <f t="shared" si="375"/>
        <v>0</v>
      </c>
      <c r="AL1402">
        <f t="shared" si="376"/>
        <v>0</v>
      </c>
      <c r="AM1402">
        <f t="shared" si="377"/>
        <v>0</v>
      </c>
      <c r="DH1402" t="str" cm="1">
        <f t="array" ref="DH1402">IF($A1402="","",_xlfn.LET(_xlpm.c,IFERROR(_xlfn.XLOOKUP($A1402,TRIM('Sales and count'!$A$4:$A$300&amp;""),TRIM('Sales and count'!$B$4:$B$300&amp;"")),""),IF(OR(_xlpm.c="",_xlpm.c="0",LEFT(_xlpm.c,1)="#"),"Not set",_xlpm.c)))</f>
        <v/>
      </c>
    </row>
    <row r="1403" spans="1:112" x14ac:dyDescent="0.25">
      <c r="A1403" t="str">
        <f>IF('Staff Daily sales'!$B1388="","",TRIM('Staff Daily sales'!$B1388&amp;""))</f>
        <v/>
      </c>
      <c r="B1403" t="str">
        <f>IF('Staff Daily sales'!$D1388="","",TRIM('Staff Daily sales'!$D1388&amp;""))</f>
        <v/>
      </c>
      <c r="C1403" t="str">
        <f>IFERROR(TRIM('Staff Daily sales'!$E1388&amp;""),"")</f>
        <v/>
      </c>
      <c r="D1403" t="str">
        <f>IFERROR(IF(TRIM('Staff Daily sales'!$F1388&amp;"")="","Unassigned",TRIM('Staff Daily sales'!$F1388&amp;"")),"Unassigned")</f>
        <v>Unassigned</v>
      </c>
      <c r="E1403">
        <f t="shared" si="362"/>
        <v>0</v>
      </c>
      <c r="F1403">
        <f>IF($E1403=0,0,SUMPRODUCT($AI$5:$DF$5,'Staff Daily sales'!$G1388:$CD1388))</f>
        <v>0</v>
      </c>
      <c r="G1403">
        <f>IF($E1403=0,0,SUMPRODUCT($AI$6:$DF$6,'Staff Daily sales'!$G1388:$CD1388))</f>
        <v>0</v>
      </c>
      <c r="H1403">
        <f t="shared" si="363"/>
        <v>0</v>
      </c>
      <c r="I1403">
        <f t="shared" si="364"/>
        <v>0</v>
      </c>
      <c r="J1403">
        <f t="shared" si="365"/>
        <v>0</v>
      </c>
      <c r="K1403">
        <f t="shared" si="366"/>
        <v>0</v>
      </c>
      <c r="L1403">
        <f>--AND($E1403=1,OR('Staff Dashboard'!$B$6="All",$DH1403='Staff Dashboard'!$B$6),OR('Staff Dashboard'!$B$7="All",$D1403='Staff Dashboard'!$B$7),OR('Staff Dashboard'!$B$8="All",$A1403='Staff Dashboard'!$B$8))</f>
        <v>0</v>
      </c>
      <c r="M1403">
        <f>IF($E1403=0,0,SUMPRODUCT($AI$7:$DF$7,'Staff Daily sales'!$G1388:$CD1388))</f>
        <v>0</v>
      </c>
      <c r="N1403">
        <f>IF($E1403=0,0,SUMPRODUCT($AI$8:$DF$8,'Staff Daily sales'!$G1388:$CD1388))</f>
        <v>0</v>
      </c>
      <c r="O1403">
        <f>IF($E1403=0,0,SUMPRODUCT($AI$9:$DF$9,'Staff Daily sales'!$G1388:$CD1388))</f>
        <v>0</v>
      </c>
      <c r="P1403">
        <f>IF($E1403=0,0,SUMPRODUCT($AI$10:$DF$10,'Staff Daily sales'!$G1388:$CD1388))</f>
        <v>0</v>
      </c>
      <c r="Q1403">
        <f>IF($E1403=0,0,SUMPRODUCT($AI$11:$DF$11,'Staff Daily sales'!$G1388:$CD1388))</f>
        <v>0</v>
      </c>
      <c r="R1403">
        <f>IF($E1403=0,0,SUMPRODUCT($AI$12:$DF$12,'Staff Daily sales'!$G1388:$CD1388))</f>
        <v>0</v>
      </c>
      <c r="S1403">
        <f>IF($E1403=0,0,SUMPRODUCT($AI$13:$DF$13,'Staff Daily sales'!$G1388:$CD1388))</f>
        <v>0</v>
      </c>
      <c r="T1403">
        <f>IF($E1403=0,0,SUMPRODUCT($AI$14:$DF$14,'Staff Daily sales'!$G1388:$CD1388))</f>
        <v>0</v>
      </c>
      <c r="U1403">
        <f>IF($E1403=0,0,SUMPRODUCT($AI$15:$DF$15,'Staff Daily sales'!$G1388:$CD1388))</f>
        <v>0</v>
      </c>
      <c r="V1403">
        <f>IF($E1403=0,0,SUMPRODUCT($AI$16:$DF$16,'Staff Daily sales'!$G1388:$CD1388))</f>
        <v>0</v>
      </c>
      <c r="W1403">
        <f t="shared" si="367"/>
        <v>0</v>
      </c>
      <c r="X1403">
        <f t="shared" si="368"/>
        <v>0</v>
      </c>
      <c r="Y1403">
        <f t="shared" si="369"/>
        <v>0</v>
      </c>
      <c r="Z1403">
        <f t="shared" si="370"/>
        <v>0</v>
      </c>
      <c r="AA1403">
        <f t="shared" si="371"/>
        <v>0</v>
      </c>
      <c r="AB1403">
        <f>--AND($E1403=1,OR('Staff Weekly Trend'!$B$3="All",$DH1403='Staff Weekly Trend'!$B$3),OR('Staff Weekly Trend'!$B$4="All",$D1403='Staff Weekly Trend'!$B$4),OR('Staff Weekly Trend'!$B$5="All",$A1403='Staff Weekly Trend'!$B$5))</f>
        <v>0</v>
      </c>
      <c r="AC1403" t="str">
        <f t="shared" si="372"/>
        <v/>
      </c>
      <c r="AI1403">
        <f t="shared" si="373"/>
        <v>0</v>
      </c>
      <c r="AJ1403">
        <f t="shared" si="374"/>
        <v>0</v>
      </c>
      <c r="AK1403">
        <f t="shared" si="375"/>
        <v>0</v>
      </c>
      <c r="AL1403">
        <f t="shared" si="376"/>
        <v>0</v>
      </c>
      <c r="AM1403">
        <f t="shared" si="377"/>
        <v>0</v>
      </c>
      <c r="DH1403" t="str" cm="1">
        <f t="array" ref="DH1403">IF($A1403="","",_xlfn.LET(_xlpm.c,IFERROR(_xlfn.XLOOKUP($A1403,TRIM('Sales and count'!$A$4:$A$300&amp;""),TRIM('Sales and count'!$B$4:$B$300&amp;"")),""),IF(OR(_xlpm.c="",_xlpm.c="0",LEFT(_xlpm.c,1)="#"),"Not set",_xlpm.c)))</f>
        <v/>
      </c>
    </row>
    <row r="1404" spans="1:112" x14ac:dyDescent="0.25">
      <c r="A1404" t="str">
        <f>IF('Staff Daily sales'!$B1389="","",TRIM('Staff Daily sales'!$B1389&amp;""))</f>
        <v/>
      </c>
      <c r="B1404" t="str">
        <f>IF('Staff Daily sales'!$D1389="","",TRIM('Staff Daily sales'!$D1389&amp;""))</f>
        <v/>
      </c>
      <c r="C1404" t="str">
        <f>IFERROR(TRIM('Staff Daily sales'!$E1389&amp;""),"")</f>
        <v/>
      </c>
      <c r="D1404" t="str">
        <f>IFERROR(IF(TRIM('Staff Daily sales'!$F1389&amp;"")="","Unassigned",TRIM('Staff Daily sales'!$F1389&amp;"")),"Unassigned")</f>
        <v>Unassigned</v>
      </c>
      <c r="E1404">
        <f t="shared" si="362"/>
        <v>0</v>
      </c>
      <c r="F1404">
        <f>IF($E1404=0,0,SUMPRODUCT($AI$5:$DF$5,'Staff Daily sales'!$G1389:$CD1389))</f>
        <v>0</v>
      </c>
      <c r="G1404">
        <f>IF($E1404=0,0,SUMPRODUCT($AI$6:$DF$6,'Staff Daily sales'!$G1389:$CD1389))</f>
        <v>0</v>
      </c>
      <c r="H1404">
        <f t="shared" si="363"/>
        <v>0</v>
      </c>
      <c r="I1404">
        <f t="shared" si="364"/>
        <v>0</v>
      </c>
      <c r="J1404">
        <f t="shared" si="365"/>
        <v>0</v>
      </c>
      <c r="K1404">
        <f t="shared" si="366"/>
        <v>0</v>
      </c>
      <c r="L1404">
        <f>--AND($E1404=1,OR('Staff Dashboard'!$B$6="All",$DH1404='Staff Dashboard'!$B$6),OR('Staff Dashboard'!$B$7="All",$D1404='Staff Dashboard'!$B$7),OR('Staff Dashboard'!$B$8="All",$A1404='Staff Dashboard'!$B$8))</f>
        <v>0</v>
      </c>
      <c r="M1404">
        <f>IF($E1404=0,0,SUMPRODUCT($AI$7:$DF$7,'Staff Daily sales'!$G1389:$CD1389))</f>
        <v>0</v>
      </c>
      <c r="N1404">
        <f>IF($E1404=0,0,SUMPRODUCT($AI$8:$DF$8,'Staff Daily sales'!$G1389:$CD1389))</f>
        <v>0</v>
      </c>
      <c r="O1404">
        <f>IF($E1404=0,0,SUMPRODUCT($AI$9:$DF$9,'Staff Daily sales'!$G1389:$CD1389))</f>
        <v>0</v>
      </c>
      <c r="P1404">
        <f>IF($E1404=0,0,SUMPRODUCT($AI$10:$DF$10,'Staff Daily sales'!$G1389:$CD1389))</f>
        <v>0</v>
      </c>
      <c r="Q1404">
        <f>IF($E1404=0,0,SUMPRODUCT($AI$11:$DF$11,'Staff Daily sales'!$G1389:$CD1389))</f>
        <v>0</v>
      </c>
      <c r="R1404">
        <f>IF($E1404=0,0,SUMPRODUCT($AI$12:$DF$12,'Staff Daily sales'!$G1389:$CD1389))</f>
        <v>0</v>
      </c>
      <c r="S1404">
        <f>IF($E1404=0,0,SUMPRODUCT($AI$13:$DF$13,'Staff Daily sales'!$G1389:$CD1389))</f>
        <v>0</v>
      </c>
      <c r="T1404">
        <f>IF($E1404=0,0,SUMPRODUCT($AI$14:$DF$14,'Staff Daily sales'!$G1389:$CD1389))</f>
        <v>0</v>
      </c>
      <c r="U1404">
        <f>IF($E1404=0,0,SUMPRODUCT($AI$15:$DF$15,'Staff Daily sales'!$G1389:$CD1389))</f>
        <v>0</v>
      </c>
      <c r="V1404">
        <f>IF($E1404=0,0,SUMPRODUCT($AI$16:$DF$16,'Staff Daily sales'!$G1389:$CD1389))</f>
        <v>0</v>
      </c>
      <c r="W1404">
        <f t="shared" si="367"/>
        <v>0</v>
      </c>
      <c r="X1404">
        <f t="shared" si="368"/>
        <v>0</v>
      </c>
      <c r="Y1404">
        <f t="shared" si="369"/>
        <v>0</v>
      </c>
      <c r="Z1404">
        <f t="shared" si="370"/>
        <v>0</v>
      </c>
      <c r="AA1404">
        <f t="shared" si="371"/>
        <v>0</v>
      </c>
      <c r="AB1404">
        <f>--AND($E1404=1,OR('Staff Weekly Trend'!$B$3="All",$DH1404='Staff Weekly Trend'!$B$3),OR('Staff Weekly Trend'!$B$4="All",$D1404='Staff Weekly Trend'!$B$4),OR('Staff Weekly Trend'!$B$5="All",$A1404='Staff Weekly Trend'!$B$5))</f>
        <v>0</v>
      </c>
      <c r="AC1404" t="str">
        <f t="shared" si="372"/>
        <v/>
      </c>
      <c r="AI1404">
        <f t="shared" si="373"/>
        <v>0</v>
      </c>
      <c r="AJ1404">
        <f t="shared" si="374"/>
        <v>0</v>
      </c>
      <c r="AK1404">
        <f t="shared" si="375"/>
        <v>0</v>
      </c>
      <c r="AL1404">
        <f t="shared" si="376"/>
        <v>0</v>
      </c>
      <c r="AM1404">
        <f t="shared" si="377"/>
        <v>0</v>
      </c>
      <c r="DH1404" t="str" cm="1">
        <f t="array" ref="DH1404">IF($A1404="","",_xlfn.LET(_xlpm.c,IFERROR(_xlfn.XLOOKUP($A1404,TRIM('Sales and count'!$A$4:$A$300&amp;""),TRIM('Sales and count'!$B$4:$B$300&amp;"")),""),IF(OR(_xlpm.c="",_xlpm.c="0",LEFT(_xlpm.c,1)="#"),"Not set",_xlpm.c)))</f>
        <v/>
      </c>
    </row>
    <row r="1405" spans="1:112" x14ac:dyDescent="0.25">
      <c r="A1405" t="str">
        <f>IF('Staff Daily sales'!$B1390="","",TRIM('Staff Daily sales'!$B1390&amp;""))</f>
        <v/>
      </c>
      <c r="B1405" t="str">
        <f>IF('Staff Daily sales'!$D1390="","",TRIM('Staff Daily sales'!$D1390&amp;""))</f>
        <v/>
      </c>
      <c r="C1405" t="str">
        <f>IFERROR(TRIM('Staff Daily sales'!$E1390&amp;""),"")</f>
        <v/>
      </c>
      <c r="D1405" t="str">
        <f>IFERROR(IF(TRIM('Staff Daily sales'!$F1390&amp;"")="","Unassigned",TRIM('Staff Daily sales'!$F1390&amp;"")),"Unassigned")</f>
        <v>Unassigned</v>
      </c>
      <c r="E1405">
        <f t="shared" si="362"/>
        <v>0</v>
      </c>
      <c r="F1405">
        <f>IF($E1405=0,0,SUMPRODUCT($AI$5:$DF$5,'Staff Daily sales'!$G1390:$CD1390))</f>
        <v>0</v>
      </c>
      <c r="G1405">
        <f>IF($E1405=0,0,SUMPRODUCT($AI$6:$DF$6,'Staff Daily sales'!$G1390:$CD1390))</f>
        <v>0</v>
      </c>
      <c r="H1405">
        <f t="shared" si="363"/>
        <v>0</v>
      </c>
      <c r="I1405">
        <f t="shared" si="364"/>
        <v>0</v>
      </c>
      <c r="J1405">
        <f t="shared" si="365"/>
        <v>0</v>
      </c>
      <c r="K1405">
        <f t="shared" si="366"/>
        <v>0</v>
      </c>
      <c r="L1405">
        <f>--AND($E1405=1,OR('Staff Dashboard'!$B$6="All",$DH1405='Staff Dashboard'!$B$6),OR('Staff Dashboard'!$B$7="All",$D1405='Staff Dashboard'!$B$7),OR('Staff Dashboard'!$B$8="All",$A1405='Staff Dashboard'!$B$8))</f>
        <v>0</v>
      </c>
      <c r="M1405">
        <f>IF($E1405=0,0,SUMPRODUCT($AI$7:$DF$7,'Staff Daily sales'!$G1390:$CD1390))</f>
        <v>0</v>
      </c>
      <c r="N1405">
        <f>IF($E1405=0,0,SUMPRODUCT($AI$8:$DF$8,'Staff Daily sales'!$G1390:$CD1390))</f>
        <v>0</v>
      </c>
      <c r="O1405">
        <f>IF($E1405=0,0,SUMPRODUCT($AI$9:$DF$9,'Staff Daily sales'!$G1390:$CD1390))</f>
        <v>0</v>
      </c>
      <c r="P1405">
        <f>IF($E1405=0,0,SUMPRODUCT($AI$10:$DF$10,'Staff Daily sales'!$G1390:$CD1390))</f>
        <v>0</v>
      </c>
      <c r="Q1405">
        <f>IF($E1405=0,0,SUMPRODUCT($AI$11:$DF$11,'Staff Daily sales'!$G1390:$CD1390))</f>
        <v>0</v>
      </c>
      <c r="R1405">
        <f>IF($E1405=0,0,SUMPRODUCT($AI$12:$DF$12,'Staff Daily sales'!$G1390:$CD1390))</f>
        <v>0</v>
      </c>
      <c r="S1405">
        <f>IF($E1405=0,0,SUMPRODUCT($AI$13:$DF$13,'Staff Daily sales'!$G1390:$CD1390))</f>
        <v>0</v>
      </c>
      <c r="T1405">
        <f>IF($E1405=0,0,SUMPRODUCT($AI$14:$DF$14,'Staff Daily sales'!$G1390:$CD1390))</f>
        <v>0</v>
      </c>
      <c r="U1405">
        <f>IF($E1405=0,0,SUMPRODUCT($AI$15:$DF$15,'Staff Daily sales'!$G1390:$CD1390))</f>
        <v>0</v>
      </c>
      <c r="V1405">
        <f>IF($E1405=0,0,SUMPRODUCT($AI$16:$DF$16,'Staff Daily sales'!$G1390:$CD1390))</f>
        <v>0</v>
      </c>
      <c r="W1405">
        <f t="shared" si="367"/>
        <v>0</v>
      </c>
      <c r="X1405">
        <f t="shared" si="368"/>
        <v>0</v>
      </c>
      <c r="Y1405">
        <f t="shared" si="369"/>
        <v>0</v>
      </c>
      <c r="Z1405">
        <f t="shared" si="370"/>
        <v>0</v>
      </c>
      <c r="AA1405">
        <f t="shared" si="371"/>
        <v>0</v>
      </c>
      <c r="AB1405">
        <f>--AND($E1405=1,OR('Staff Weekly Trend'!$B$3="All",$DH1405='Staff Weekly Trend'!$B$3),OR('Staff Weekly Trend'!$B$4="All",$D1405='Staff Weekly Trend'!$B$4),OR('Staff Weekly Trend'!$B$5="All",$A1405='Staff Weekly Trend'!$B$5))</f>
        <v>0</v>
      </c>
      <c r="AC1405" t="str">
        <f t="shared" si="372"/>
        <v/>
      </c>
      <c r="AI1405">
        <f t="shared" si="373"/>
        <v>0</v>
      </c>
      <c r="AJ1405">
        <f t="shared" si="374"/>
        <v>0</v>
      </c>
      <c r="AK1405">
        <f t="shared" si="375"/>
        <v>0</v>
      </c>
      <c r="AL1405">
        <f t="shared" si="376"/>
        <v>0</v>
      </c>
      <c r="AM1405">
        <f t="shared" si="377"/>
        <v>0</v>
      </c>
      <c r="DH1405" t="str" cm="1">
        <f t="array" ref="DH1405">IF($A1405="","",_xlfn.LET(_xlpm.c,IFERROR(_xlfn.XLOOKUP($A1405,TRIM('Sales and count'!$A$4:$A$300&amp;""),TRIM('Sales and count'!$B$4:$B$300&amp;"")),""),IF(OR(_xlpm.c="",_xlpm.c="0",LEFT(_xlpm.c,1)="#"),"Not set",_xlpm.c)))</f>
        <v/>
      </c>
    </row>
    <row r="1406" spans="1:112" x14ac:dyDescent="0.25">
      <c r="A1406" t="str">
        <f>IF('Staff Daily sales'!$B1391="","",TRIM('Staff Daily sales'!$B1391&amp;""))</f>
        <v/>
      </c>
      <c r="B1406" t="str">
        <f>IF('Staff Daily sales'!$D1391="","",TRIM('Staff Daily sales'!$D1391&amp;""))</f>
        <v/>
      </c>
      <c r="C1406" t="str">
        <f>IFERROR(TRIM('Staff Daily sales'!$E1391&amp;""),"")</f>
        <v/>
      </c>
      <c r="D1406" t="str">
        <f>IFERROR(IF(TRIM('Staff Daily sales'!$F1391&amp;"")="","Unassigned",TRIM('Staff Daily sales'!$F1391&amp;"")),"Unassigned")</f>
        <v>Unassigned</v>
      </c>
      <c r="E1406">
        <f t="shared" si="362"/>
        <v>0</v>
      </c>
      <c r="F1406">
        <f>IF($E1406=0,0,SUMPRODUCT($AI$5:$DF$5,'Staff Daily sales'!$G1391:$CD1391))</f>
        <v>0</v>
      </c>
      <c r="G1406">
        <f>IF($E1406=0,0,SUMPRODUCT($AI$6:$DF$6,'Staff Daily sales'!$G1391:$CD1391))</f>
        <v>0</v>
      </c>
      <c r="H1406">
        <f t="shared" si="363"/>
        <v>0</v>
      </c>
      <c r="I1406">
        <f t="shared" si="364"/>
        <v>0</v>
      </c>
      <c r="J1406">
        <f t="shared" si="365"/>
        <v>0</v>
      </c>
      <c r="K1406">
        <f t="shared" si="366"/>
        <v>0</v>
      </c>
      <c r="L1406">
        <f>--AND($E1406=1,OR('Staff Dashboard'!$B$6="All",$DH1406='Staff Dashboard'!$B$6),OR('Staff Dashboard'!$B$7="All",$D1406='Staff Dashboard'!$B$7),OR('Staff Dashboard'!$B$8="All",$A1406='Staff Dashboard'!$B$8))</f>
        <v>0</v>
      </c>
      <c r="M1406">
        <f>IF($E1406=0,0,SUMPRODUCT($AI$7:$DF$7,'Staff Daily sales'!$G1391:$CD1391))</f>
        <v>0</v>
      </c>
      <c r="N1406">
        <f>IF($E1406=0,0,SUMPRODUCT($AI$8:$DF$8,'Staff Daily sales'!$G1391:$CD1391))</f>
        <v>0</v>
      </c>
      <c r="O1406">
        <f>IF($E1406=0,0,SUMPRODUCT($AI$9:$DF$9,'Staff Daily sales'!$G1391:$CD1391))</f>
        <v>0</v>
      </c>
      <c r="P1406">
        <f>IF($E1406=0,0,SUMPRODUCT($AI$10:$DF$10,'Staff Daily sales'!$G1391:$CD1391))</f>
        <v>0</v>
      </c>
      <c r="Q1406">
        <f>IF($E1406=0,0,SUMPRODUCT($AI$11:$DF$11,'Staff Daily sales'!$G1391:$CD1391))</f>
        <v>0</v>
      </c>
      <c r="R1406">
        <f>IF($E1406=0,0,SUMPRODUCT($AI$12:$DF$12,'Staff Daily sales'!$G1391:$CD1391))</f>
        <v>0</v>
      </c>
      <c r="S1406">
        <f>IF($E1406=0,0,SUMPRODUCT($AI$13:$DF$13,'Staff Daily sales'!$G1391:$CD1391))</f>
        <v>0</v>
      </c>
      <c r="T1406">
        <f>IF($E1406=0,0,SUMPRODUCT($AI$14:$DF$14,'Staff Daily sales'!$G1391:$CD1391))</f>
        <v>0</v>
      </c>
      <c r="U1406">
        <f>IF($E1406=0,0,SUMPRODUCT($AI$15:$DF$15,'Staff Daily sales'!$G1391:$CD1391))</f>
        <v>0</v>
      </c>
      <c r="V1406">
        <f>IF($E1406=0,0,SUMPRODUCT($AI$16:$DF$16,'Staff Daily sales'!$G1391:$CD1391))</f>
        <v>0</v>
      </c>
      <c r="W1406">
        <f t="shared" si="367"/>
        <v>0</v>
      </c>
      <c r="X1406">
        <f t="shared" si="368"/>
        <v>0</v>
      </c>
      <c r="Y1406">
        <f t="shared" si="369"/>
        <v>0</v>
      </c>
      <c r="Z1406">
        <f t="shared" si="370"/>
        <v>0</v>
      </c>
      <c r="AA1406">
        <f t="shared" si="371"/>
        <v>0</v>
      </c>
      <c r="AB1406">
        <f>--AND($E1406=1,OR('Staff Weekly Trend'!$B$3="All",$DH1406='Staff Weekly Trend'!$B$3),OR('Staff Weekly Trend'!$B$4="All",$D1406='Staff Weekly Trend'!$B$4),OR('Staff Weekly Trend'!$B$5="All",$A1406='Staff Weekly Trend'!$B$5))</f>
        <v>0</v>
      </c>
      <c r="AC1406" t="str">
        <f t="shared" si="372"/>
        <v/>
      </c>
      <c r="AI1406">
        <f t="shared" si="373"/>
        <v>0</v>
      </c>
      <c r="AJ1406">
        <f t="shared" si="374"/>
        <v>0</v>
      </c>
      <c r="AK1406">
        <f t="shared" si="375"/>
        <v>0</v>
      </c>
      <c r="AL1406">
        <f t="shared" si="376"/>
        <v>0</v>
      </c>
      <c r="AM1406">
        <f t="shared" si="377"/>
        <v>0</v>
      </c>
      <c r="DH1406" t="str" cm="1">
        <f t="array" ref="DH1406">IF($A1406="","",_xlfn.LET(_xlpm.c,IFERROR(_xlfn.XLOOKUP($A1406,TRIM('Sales and count'!$A$4:$A$300&amp;""),TRIM('Sales and count'!$B$4:$B$300&amp;"")),""),IF(OR(_xlpm.c="",_xlpm.c="0",LEFT(_xlpm.c,1)="#"),"Not set",_xlpm.c)))</f>
        <v/>
      </c>
    </row>
    <row r="1407" spans="1:112" x14ac:dyDescent="0.25">
      <c r="A1407" t="str">
        <f>IF('Staff Daily sales'!$B1392="","",TRIM('Staff Daily sales'!$B1392&amp;""))</f>
        <v/>
      </c>
      <c r="B1407" t="str">
        <f>IF('Staff Daily sales'!$D1392="","",TRIM('Staff Daily sales'!$D1392&amp;""))</f>
        <v/>
      </c>
      <c r="C1407" t="str">
        <f>IFERROR(TRIM('Staff Daily sales'!$E1392&amp;""),"")</f>
        <v/>
      </c>
      <c r="D1407" t="str">
        <f>IFERROR(IF(TRIM('Staff Daily sales'!$F1392&amp;"")="","Unassigned",TRIM('Staff Daily sales'!$F1392&amp;"")),"Unassigned")</f>
        <v>Unassigned</v>
      </c>
      <c r="E1407">
        <f t="shared" si="362"/>
        <v>0</v>
      </c>
      <c r="F1407">
        <f>IF($E1407=0,0,SUMPRODUCT($AI$5:$DF$5,'Staff Daily sales'!$G1392:$CD1392))</f>
        <v>0</v>
      </c>
      <c r="G1407">
        <f>IF($E1407=0,0,SUMPRODUCT($AI$6:$DF$6,'Staff Daily sales'!$G1392:$CD1392))</f>
        <v>0</v>
      </c>
      <c r="H1407">
        <f t="shared" si="363"/>
        <v>0</v>
      </c>
      <c r="I1407">
        <f t="shared" si="364"/>
        <v>0</v>
      </c>
      <c r="J1407">
        <f t="shared" si="365"/>
        <v>0</v>
      </c>
      <c r="K1407">
        <f t="shared" si="366"/>
        <v>0</v>
      </c>
      <c r="L1407">
        <f>--AND($E1407=1,OR('Staff Dashboard'!$B$6="All",$DH1407='Staff Dashboard'!$B$6),OR('Staff Dashboard'!$B$7="All",$D1407='Staff Dashboard'!$B$7),OR('Staff Dashboard'!$B$8="All",$A1407='Staff Dashboard'!$B$8))</f>
        <v>0</v>
      </c>
      <c r="M1407">
        <f>IF($E1407=0,0,SUMPRODUCT($AI$7:$DF$7,'Staff Daily sales'!$G1392:$CD1392))</f>
        <v>0</v>
      </c>
      <c r="N1407">
        <f>IF($E1407=0,0,SUMPRODUCT($AI$8:$DF$8,'Staff Daily sales'!$G1392:$CD1392))</f>
        <v>0</v>
      </c>
      <c r="O1407">
        <f>IF($E1407=0,0,SUMPRODUCT($AI$9:$DF$9,'Staff Daily sales'!$G1392:$CD1392))</f>
        <v>0</v>
      </c>
      <c r="P1407">
        <f>IF($E1407=0,0,SUMPRODUCT($AI$10:$DF$10,'Staff Daily sales'!$G1392:$CD1392))</f>
        <v>0</v>
      </c>
      <c r="Q1407">
        <f>IF($E1407=0,0,SUMPRODUCT($AI$11:$DF$11,'Staff Daily sales'!$G1392:$CD1392))</f>
        <v>0</v>
      </c>
      <c r="R1407">
        <f>IF($E1407=0,0,SUMPRODUCT($AI$12:$DF$12,'Staff Daily sales'!$G1392:$CD1392))</f>
        <v>0</v>
      </c>
      <c r="S1407">
        <f>IF($E1407=0,0,SUMPRODUCT($AI$13:$DF$13,'Staff Daily sales'!$G1392:$CD1392))</f>
        <v>0</v>
      </c>
      <c r="T1407">
        <f>IF($E1407=0,0,SUMPRODUCT($AI$14:$DF$14,'Staff Daily sales'!$G1392:$CD1392))</f>
        <v>0</v>
      </c>
      <c r="U1407">
        <f>IF($E1407=0,0,SUMPRODUCT($AI$15:$DF$15,'Staff Daily sales'!$G1392:$CD1392))</f>
        <v>0</v>
      </c>
      <c r="V1407">
        <f>IF($E1407=0,0,SUMPRODUCT($AI$16:$DF$16,'Staff Daily sales'!$G1392:$CD1392))</f>
        <v>0</v>
      </c>
      <c r="W1407">
        <f t="shared" si="367"/>
        <v>0</v>
      </c>
      <c r="X1407">
        <f t="shared" si="368"/>
        <v>0</v>
      </c>
      <c r="Y1407">
        <f t="shared" si="369"/>
        <v>0</v>
      </c>
      <c r="Z1407">
        <f t="shared" si="370"/>
        <v>0</v>
      </c>
      <c r="AA1407">
        <f t="shared" si="371"/>
        <v>0</v>
      </c>
      <c r="AB1407">
        <f>--AND($E1407=1,OR('Staff Weekly Trend'!$B$3="All",$DH1407='Staff Weekly Trend'!$B$3),OR('Staff Weekly Trend'!$B$4="All",$D1407='Staff Weekly Trend'!$B$4),OR('Staff Weekly Trend'!$B$5="All",$A1407='Staff Weekly Trend'!$B$5))</f>
        <v>0</v>
      </c>
      <c r="AC1407" t="str">
        <f t="shared" si="372"/>
        <v/>
      </c>
      <c r="AI1407">
        <f t="shared" si="373"/>
        <v>0</v>
      </c>
      <c r="AJ1407">
        <f t="shared" si="374"/>
        <v>0</v>
      </c>
      <c r="AK1407">
        <f t="shared" si="375"/>
        <v>0</v>
      </c>
      <c r="AL1407">
        <f t="shared" si="376"/>
        <v>0</v>
      </c>
      <c r="AM1407">
        <f t="shared" si="377"/>
        <v>0</v>
      </c>
      <c r="DH1407" t="str" cm="1">
        <f t="array" ref="DH1407">IF($A1407="","",_xlfn.LET(_xlpm.c,IFERROR(_xlfn.XLOOKUP($A1407,TRIM('Sales and count'!$A$4:$A$300&amp;""),TRIM('Sales and count'!$B$4:$B$300&amp;"")),""),IF(OR(_xlpm.c="",_xlpm.c="0",LEFT(_xlpm.c,1)="#"),"Not set",_xlpm.c)))</f>
        <v/>
      </c>
    </row>
    <row r="1408" spans="1:112" x14ac:dyDescent="0.25">
      <c r="A1408" t="str">
        <f>IF('Staff Daily sales'!$B1393="","",TRIM('Staff Daily sales'!$B1393&amp;""))</f>
        <v/>
      </c>
      <c r="B1408" t="str">
        <f>IF('Staff Daily sales'!$D1393="","",TRIM('Staff Daily sales'!$D1393&amp;""))</f>
        <v/>
      </c>
      <c r="C1408" t="str">
        <f>IFERROR(TRIM('Staff Daily sales'!$E1393&amp;""),"")</f>
        <v/>
      </c>
      <c r="D1408" t="str">
        <f>IFERROR(IF(TRIM('Staff Daily sales'!$F1393&amp;"")="","Unassigned",TRIM('Staff Daily sales'!$F1393&amp;"")),"Unassigned")</f>
        <v>Unassigned</v>
      </c>
      <c r="E1408">
        <f t="shared" si="362"/>
        <v>0</v>
      </c>
      <c r="F1408">
        <f>IF($E1408=0,0,SUMPRODUCT($AI$5:$DF$5,'Staff Daily sales'!$G1393:$CD1393))</f>
        <v>0</v>
      </c>
      <c r="G1408">
        <f>IF($E1408=0,0,SUMPRODUCT($AI$6:$DF$6,'Staff Daily sales'!$G1393:$CD1393))</f>
        <v>0</v>
      </c>
      <c r="H1408">
        <f t="shared" si="363"/>
        <v>0</v>
      </c>
      <c r="I1408">
        <f t="shared" si="364"/>
        <v>0</v>
      </c>
      <c r="J1408">
        <f t="shared" si="365"/>
        <v>0</v>
      </c>
      <c r="K1408">
        <f t="shared" si="366"/>
        <v>0</v>
      </c>
      <c r="L1408">
        <f>--AND($E1408=1,OR('Staff Dashboard'!$B$6="All",$DH1408='Staff Dashboard'!$B$6),OR('Staff Dashboard'!$B$7="All",$D1408='Staff Dashboard'!$B$7),OR('Staff Dashboard'!$B$8="All",$A1408='Staff Dashboard'!$B$8))</f>
        <v>0</v>
      </c>
      <c r="M1408">
        <f>IF($E1408=0,0,SUMPRODUCT($AI$7:$DF$7,'Staff Daily sales'!$G1393:$CD1393))</f>
        <v>0</v>
      </c>
      <c r="N1408">
        <f>IF($E1408=0,0,SUMPRODUCT($AI$8:$DF$8,'Staff Daily sales'!$G1393:$CD1393))</f>
        <v>0</v>
      </c>
      <c r="O1408">
        <f>IF($E1408=0,0,SUMPRODUCT($AI$9:$DF$9,'Staff Daily sales'!$G1393:$CD1393))</f>
        <v>0</v>
      </c>
      <c r="P1408">
        <f>IF($E1408=0,0,SUMPRODUCT($AI$10:$DF$10,'Staff Daily sales'!$G1393:$CD1393))</f>
        <v>0</v>
      </c>
      <c r="Q1408">
        <f>IF($E1408=0,0,SUMPRODUCT($AI$11:$DF$11,'Staff Daily sales'!$G1393:$CD1393))</f>
        <v>0</v>
      </c>
      <c r="R1408">
        <f>IF($E1408=0,0,SUMPRODUCT($AI$12:$DF$12,'Staff Daily sales'!$G1393:$CD1393))</f>
        <v>0</v>
      </c>
      <c r="S1408">
        <f>IF($E1408=0,0,SUMPRODUCT($AI$13:$DF$13,'Staff Daily sales'!$G1393:$CD1393))</f>
        <v>0</v>
      </c>
      <c r="T1408">
        <f>IF($E1408=0,0,SUMPRODUCT($AI$14:$DF$14,'Staff Daily sales'!$G1393:$CD1393))</f>
        <v>0</v>
      </c>
      <c r="U1408">
        <f>IF($E1408=0,0,SUMPRODUCT($AI$15:$DF$15,'Staff Daily sales'!$G1393:$CD1393))</f>
        <v>0</v>
      </c>
      <c r="V1408">
        <f>IF($E1408=0,0,SUMPRODUCT($AI$16:$DF$16,'Staff Daily sales'!$G1393:$CD1393))</f>
        <v>0</v>
      </c>
      <c r="W1408">
        <f t="shared" si="367"/>
        <v>0</v>
      </c>
      <c r="X1408">
        <f t="shared" si="368"/>
        <v>0</v>
      </c>
      <c r="Y1408">
        <f t="shared" si="369"/>
        <v>0</v>
      </c>
      <c r="Z1408">
        <f t="shared" si="370"/>
        <v>0</v>
      </c>
      <c r="AA1408">
        <f t="shared" si="371"/>
        <v>0</v>
      </c>
      <c r="AB1408">
        <f>--AND($E1408=1,OR('Staff Weekly Trend'!$B$3="All",$DH1408='Staff Weekly Trend'!$B$3),OR('Staff Weekly Trend'!$B$4="All",$D1408='Staff Weekly Trend'!$B$4),OR('Staff Weekly Trend'!$B$5="All",$A1408='Staff Weekly Trend'!$B$5))</f>
        <v>0</v>
      </c>
      <c r="AC1408" t="str">
        <f t="shared" si="372"/>
        <v/>
      </c>
      <c r="AI1408">
        <f t="shared" si="373"/>
        <v>0</v>
      </c>
      <c r="AJ1408">
        <f t="shared" si="374"/>
        <v>0</v>
      </c>
      <c r="AK1408">
        <f t="shared" si="375"/>
        <v>0</v>
      </c>
      <c r="AL1408">
        <f t="shared" si="376"/>
        <v>0</v>
      </c>
      <c r="AM1408">
        <f t="shared" si="377"/>
        <v>0</v>
      </c>
      <c r="DH1408" t="str" cm="1">
        <f t="array" ref="DH1408">IF($A1408="","",_xlfn.LET(_xlpm.c,IFERROR(_xlfn.XLOOKUP($A1408,TRIM('Sales and count'!$A$4:$A$300&amp;""),TRIM('Sales and count'!$B$4:$B$300&amp;"")),""),IF(OR(_xlpm.c="",_xlpm.c="0",LEFT(_xlpm.c,1)="#"),"Not set",_xlpm.c)))</f>
        <v/>
      </c>
    </row>
    <row r="1409" spans="1:112" x14ac:dyDescent="0.25">
      <c r="A1409" t="str">
        <f>IF('Staff Daily sales'!$B1394="","",TRIM('Staff Daily sales'!$B1394&amp;""))</f>
        <v/>
      </c>
      <c r="B1409" t="str">
        <f>IF('Staff Daily sales'!$D1394="","",TRIM('Staff Daily sales'!$D1394&amp;""))</f>
        <v/>
      </c>
      <c r="C1409" t="str">
        <f>IFERROR(TRIM('Staff Daily sales'!$E1394&amp;""),"")</f>
        <v/>
      </c>
      <c r="D1409" t="str">
        <f>IFERROR(IF(TRIM('Staff Daily sales'!$F1394&amp;"")="","Unassigned",TRIM('Staff Daily sales'!$F1394&amp;"")),"Unassigned")</f>
        <v>Unassigned</v>
      </c>
      <c r="E1409">
        <f t="shared" si="362"/>
        <v>0</v>
      </c>
      <c r="F1409">
        <f>IF($E1409=0,0,SUMPRODUCT($AI$5:$DF$5,'Staff Daily sales'!$G1394:$CD1394))</f>
        <v>0</v>
      </c>
      <c r="G1409">
        <f>IF($E1409=0,0,SUMPRODUCT($AI$6:$DF$6,'Staff Daily sales'!$G1394:$CD1394))</f>
        <v>0</v>
      </c>
      <c r="H1409">
        <f t="shared" si="363"/>
        <v>0</v>
      </c>
      <c r="I1409">
        <f t="shared" si="364"/>
        <v>0</v>
      </c>
      <c r="J1409">
        <f t="shared" si="365"/>
        <v>0</v>
      </c>
      <c r="K1409">
        <f t="shared" si="366"/>
        <v>0</v>
      </c>
      <c r="L1409">
        <f>--AND($E1409=1,OR('Staff Dashboard'!$B$6="All",$DH1409='Staff Dashboard'!$B$6),OR('Staff Dashboard'!$B$7="All",$D1409='Staff Dashboard'!$B$7),OR('Staff Dashboard'!$B$8="All",$A1409='Staff Dashboard'!$B$8))</f>
        <v>0</v>
      </c>
      <c r="M1409">
        <f>IF($E1409=0,0,SUMPRODUCT($AI$7:$DF$7,'Staff Daily sales'!$G1394:$CD1394))</f>
        <v>0</v>
      </c>
      <c r="N1409">
        <f>IF($E1409=0,0,SUMPRODUCT($AI$8:$DF$8,'Staff Daily sales'!$G1394:$CD1394))</f>
        <v>0</v>
      </c>
      <c r="O1409">
        <f>IF($E1409=0,0,SUMPRODUCT($AI$9:$DF$9,'Staff Daily sales'!$G1394:$CD1394))</f>
        <v>0</v>
      </c>
      <c r="P1409">
        <f>IF($E1409=0,0,SUMPRODUCT($AI$10:$DF$10,'Staff Daily sales'!$G1394:$CD1394))</f>
        <v>0</v>
      </c>
      <c r="Q1409">
        <f>IF($E1409=0,0,SUMPRODUCT($AI$11:$DF$11,'Staff Daily sales'!$G1394:$CD1394))</f>
        <v>0</v>
      </c>
      <c r="R1409">
        <f>IF($E1409=0,0,SUMPRODUCT($AI$12:$DF$12,'Staff Daily sales'!$G1394:$CD1394))</f>
        <v>0</v>
      </c>
      <c r="S1409">
        <f>IF($E1409=0,0,SUMPRODUCT($AI$13:$DF$13,'Staff Daily sales'!$G1394:$CD1394))</f>
        <v>0</v>
      </c>
      <c r="T1409">
        <f>IF($E1409=0,0,SUMPRODUCT($AI$14:$DF$14,'Staff Daily sales'!$G1394:$CD1394))</f>
        <v>0</v>
      </c>
      <c r="U1409">
        <f>IF($E1409=0,0,SUMPRODUCT($AI$15:$DF$15,'Staff Daily sales'!$G1394:$CD1394))</f>
        <v>0</v>
      </c>
      <c r="V1409">
        <f>IF($E1409=0,0,SUMPRODUCT($AI$16:$DF$16,'Staff Daily sales'!$G1394:$CD1394))</f>
        <v>0</v>
      </c>
      <c r="W1409">
        <f t="shared" si="367"/>
        <v>0</v>
      </c>
      <c r="X1409">
        <f t="shared" si="368"/>
        <v>0</v>
      </c>
      <c r="Y1409">
        <f t="shared" si="369"/>
        <v>0</v>
      </c>
      <c r="Z1409">
        <f t="shared" si="370"/>
        <v>0</v>
      </c>
      <c r="AA1409">
        <f t="shared" si="371"/>
        <v>0</v>
      </c>
      <c r="AB1409">
        <f>--AND($E1409=1,OR('Staff Weekly Trend'!$B$3="All",$DH1409='Staff Weekly Trend'!$B$3),OR('Staff Weekly Trend'!$B$4="All",$D1409='Staff Weekly Trend'!$B$4),OR('Staff Weekly Trend'!$B$5="All",$A1409='Staff Weekly Trend'!$B$5))</f>
        <v>0</v>
      </c>
      <c r="AC1409" t="str">
        <f t="shared" si="372"/>
        <v/>
      </c>
      <c r="AI1409">
        <f t="shared" si="373"/>
        <v>0</v>
      </c>
      <c r="AJ1409">
        <f t="shared" si="374"/>
        <v>0</v>
      </c>
      <c r="AK1409">
        <f t="shared" si="375"/>
        <v>0</v>
      </c>
      <c r="AL1409">
        <f t="shared" si="376"/>
        <v>0</v>
      </c>
      <c r="AM1409">
        <f t="shared" si="377"/>
        <v>0</v>
      </c>
      <c r="DH1409" t="str" cm="1">
        <f t="array" ref="DH1409">IF($A1409="","",_xlfn.LET(_xlpm.c,IFERROR(_xlfn.XLOOKUP($A1409,TRIM('Sales and count'!$A$4:$A$300&amp;""),TRIM('Sales and count'!$B$4:$B$300&amp;"")),""),IF(OR(_xlpm.c="",_xlpm.c="0",LEFT(_xlpm.c,1)="#"),"Not set",_xlpm.c)))</f>
        <v/>
      </c>
    </row>
    <row r="1410" spans="1:112" x14ac:dyDescent="0.25">
      <c r="A1410" t="str">
        <f>IF('Staff Daily sales'!$B1395="","",TRIM('Staff Daily sales'!$B1395&amp;""))</f>
        <v/>
      </c>
      <c r="B1410" t="str">
        <f>IF('Staff Daily sales'!$D1395="","",TRIM('Staff Daily sales'!$D1395&amp;""))</f>
        <v/>
      </c>
      <c r="C1410" t="str">
        <f>IFERROR(TRIM('Staff Daily sales'!$E1395&amp;""),"")</f>
        <v/>
      </c>
      <c r="D1410" t="str">
        <f>IFERROR(IF(TRIM('Staff Daily sales'!$F1395&amp;"")="","Unassigned",TRIM('Staff Daily sales'!$F1395&amp;"")),"Unassigned")</f>
        <v>Unassigned</v>
      </c>
      <c r="E1410">
        <f t="shared" si="362"/>
        <v>0</v>
      </c>
      <c r="F1410">
        <f>IF($E1410=0,0,SUMPRODUCT($AI$5:$DF$5,'Staff Daily sales'!$G1395:$CD1395))</f>
        <v>0</v>
      </c>
      <c r="G1410">
        <f>IF($E1410=0,0,SUMPRODUCT($AI$6:$DF$6,'Staff Daily sales'!$G1395:$CD1395))</f>
        <v>0</v>
      </c>
      <c r="H1410">
        <f t="shared" si="363"/>
        <v>0</v>
      </c>
      <c r="I1410">
        <f t="shared" si="364"/>
        <v>0</v>
      </c>
      <c r="J1410">
        <f t="shared" si="365"/>
        <v>0</v>
      </c>
      <c r="K1410">
        <f t="shared" si="366"/>
        <v>0</v>
      </c>
      <c r="L1410">
        <f>--AND($E1410=1,OR('Staff Dashboard'!$B$6="All",$DH1410='Staff Dashboard'!$B$6),OR('Staff Dashboard'!$B$7="All",$D1410='Staff Dashboard'!$B$7),OR('Staff Dashboard'!$B$8="All",$A1410='Staff Dashboard'!$B$8))</f>
        <v>0</v>
      </c>
      <c r="M1410">
        <f>IF($E1410=0,0,SUMPRODUCT($AI$7:$DF$7,'Staff Daily sales'!$G1395:$CD1395))</f>
        <v>0</v>
      </c>
      <c r="N1410">
        <f>IF($E1410=0,0,SUMPRODUCT($AI$8:$DF$8,'Staff Daily sales'!$G1395:$CD1395))</f>
        <v>0</v>
      </c>
      <c r="O1410">
        <f>IF($E1410=0,0,SUMPRODUCT($AI$9:$DF$9,'Staff Daily sales'!$G1395:$CD1395))</f>
        <v>0</v>
      </c>
      <c r="P1410">
        <f>IF($E1410=0,0,SUMPRODUCT($AI$10:$DF$10,'Staff Daily sales'!$G1395:$CD1395))</f>
        <v>0</v>
      </c>
      <c r="Q1410">
        <f>IF($E1410=0,0,SUMPRODUCT($AI$11:$DF$11,'Staff Daily sales'!$G1395:$CD1395))</f>
        <v>0</v>
      </c>
      <c r="R1410">
        <f>IF($E1410=0,0,SUMPRODUCT($AI$12:$DF$12,'Staff Daily sales'!$G1395:$CD1395))</f>
        <v>0</v>
      </c>
      <c r="S1410">
        <f>IF($E1410=0,0,SUMPRODUCT($AI$13:$DF$13,'Staff Daily sales'!$G1395:$CD1395))</f>
        <v>0</v>
      </c>
      <c r="T1410">
        <f>IF($E1410=0,0,SUMPRODUCT($AI$14:$DF$14,'Staff Daily sales'!$G1395:$CD1395))</f>
        <v>0</v>
      </c>
      <c r="U1410">
        <f>IF($E1410=0,0,SUMPRODUCT($AI$15:$DF$15,'Staff Daily sales'!$G1395:$CD1395))</f>
        <v>0</v>
      </c>
      <c r="V1410">
        <f>IF($E1410=0,0,SUMPRODUCT($AI$16:$DF$16,'Staff Daily sales'!$G1395:$CD1395))</f>
        <v>0</v>
      </c>
      <c r="W1410">
        <f t="shared" si="367"/>
        <v>0</v>
      </c>
      <c r="X1410">
        <f t="shared" si="368"/>
        <v>0</v>
      </c>
      <c r="Y1410">
        <f t="shared" si="369"/>
        <v>0</v>
      </c>
      <c r="Z1410">
        <f t="shared" si="370"/>
        <v>0</v>
      </c>
      <c r="AA1410">
        <f t="shared" si="371"/>
        <v>0</v>
      </c>
      <c r="AB1410">
        <f>--AND($E1410=1,OR('Staff Weekly Trend'!$B$3="All",$DH1410='Staff Weekly Trend'!$B$3),OR('Staff Weekly Trend'!$B$4="All",$D1410='Staff Weekly Trend'!$B$4),OR('Staff Weekly Trend'!$B$5="All",$A1410='Staff Weekly Trend'!$B$5))</f>
        <v>0</v>
      </c>
      <c r="AC1410" t="str">
        <f t="shared" si="372"/>
        <v/>
      </c>
      <c r="AI1410">
        <f t="shared" si="373"/>
        <v>0</v>
      </c>
      <c r="AJ1410">
        <f t="shared" si="374"/>
        <v>0</v>
      </c>
      <c r="AK1410">
        <f t="shared" si="375"/>
        <v>0</v>
      </c>
      <c r="AL1410">
        <f t="shared" si="376"/>
        <v>0</v>
      </c>
      <c r="AM1410">
        <f t="shared" si="377"/>
        <v>0</v>
      </c>
      <c r="DH1410" t="str" cm="1">
        <f t="array" ref="DH1410">IF($A1410="","",_xlfn.LET(_xlpm.c,IFERROR(_xlfn.XLOOKUP($A1410,TRIM('Sales and count'!$A$4:$A$300&amp;""),TRIM('Sales and count'!$B$4:$B$300&amp;"")),""),IF(OR(_xlpm.c="",_xlpm.c="0",LEFT(_xlpm.c,1)="#"),"Not set",_xlpm.c)))</f>
        <v/>
      </c>
    </row>
    <row r="1411" spans="1:112" x14ac:dyDescent="0.25">
      <c r="A1411" t="str">
        <f>IF('Staff Daily sales'!$B1396="","",TRIM('Staff Daily sales'!$B1396&amp;""))</f>
        <v/>
      </c>
      <c r="B1411" t="str">
        <f>IF('Staff Daily sales'!$D1396="","",TRIM('Staff Daily sales'!$D1396&amp;""))</f>
        <v/>
      </c>
      <c r="C1411" t="str">
        <f>IFERROR(TRIM('Staff Daily sales'!$E1396&amp;""),"")</f>
        <v/>
      </c>
      <c r="D1411" t="str">
        <f>IFERROR(IF(TRIM('Staff Daily sales'!$F1396&amp;"")="","Unassigned",TRIM('Staff Daily sales'!$F1396&amp;"")),"Unassigned")</f>
        <v>Unassigned</v>
      </c>
      <c r="E1411">
        <f t="shared" si="362"/>
        <v>0</v>
      </c>
      <c r="F1411">
        <f>IF($E1411=0,0,SUMPRODUCT($AI$5:$DF$5,'Staff Daily sales'!$G1396:$CD1396))</f>
        <v>0</v>
      </c>
      <c r="G1411">
        <f>IF($E1411=0,0,SUMPRODUCT($AI$6:$DF$6,'Staff Daily sales'!$G1396:$CD1396))</f>
        <v>0</v>
      </c>
      <c r="H1411">
        <f t="shared" si="363"/>
        <v>0</v>
      </c>
      <c r="I1411">
        <f t="shared" si="364"/>
        <v>0</v>
      </c>
      <c r="J1411">
        <f t="shared" si="365"/>
        <v>0</v>
      </c>
      <c r="K1411">
        <f t="shared" si="366"/>
        <v>0</v>
      </c>
      <c r="L1411">
        <f>--AND($E1411=1,OR('Staff Dashboard'!$B$6="All",$DH1411='Staff Dashboard'!$B$6),OR('Staff Dashboard'!$B$7="All",$D1411='Staff Dashboard'!$B$7),OR('Staff Dashboard'!$B$8="All",$A1411='Staff Dashboard'!$B$8))</f>
        <v>0</v>
      </c>
      <c r="M1411">
        <f>IF($E1411=0,0,SUMPRODUCT($AI$7:$DF$7,'Staff Daily sales'!$G1396:$CD1396))</f>
        <v>0</v>
      </c>
      <c r="N1411">
        <f>IF($E1411=0,0,SUMPRODUCT($AI$8:$DF$8,'Staff Daily sales'!$G1396:$CD1396))</f>
        <v>0</v>
      </c>
      <c r="O1411">
        <f>IF($E1411=0,0,SUMPRODUCT($AI$9:$DF$9,'Staff Daily sales'!$G1396:$CD1396))</f>
        <v>0</v>
      </c>
      <c r="P1411">
        <f>IF($E1411=0,0,SUMPRODUCT($AI$10:$DF$10,'Staff Daily sales'!$G1396:$CD1396))</f>
        <v>0</v>
      </c>
      <c r="Q1411">
        <f>IF($E1411=0,0,SUMPRODUCT($AI$11:$DF$11,'Staff Daily sales'!$G1396:$CD1396))</f>
        <v>0</v>
      </c>
      <c r="R1411">
        <f>IF($E1411=0,0,SUMPRODUCT($AI$12:$DF$12,'Staff Daily sales'!$G1396:$CD1396))</f>
        <v>0</v>
      </c>
      <c r="S1411">
        <f>IF($E1411=0,0,SUMPRODUCT($AI$13:$DF$13,'Staff Daily sales'!$G1396:$CD1396))</f>
        <v>0</v>
      </c>
      <c r="T1411">
        <f>IF($E1411=0,0,SUMPRODUCT($AI$14:$DF$14,'Staff Daily sales'!$G1396:$CD1396))</f>
        <v>0</v>
      </c>
      <c r="U1411">
        <f>IF($E1411=0,0,SUMPRODUCT($AI$15:$DF$15,'Staff Daily sales'!$G1396:$CD1396))</f>
        <v>0</v>
      </c>
      <c r="V1411">
        <f>IF($E1411=0,0,SUMPRODUCT($AI$16:$DF$16,'Staff Daily sales'!$G1396:$CD1396))</f>
        <v>0</v>
      </c>
      <c r="W1411">
        <f t="shared" si="367"/>
        <v>0</v>
      </c>
      <c r="X1411">
        <f t="shared" si="368"/>
        <v>0</v>
      </c>
      <c r="Y1411">
        <f t="shared" si="369"/>
        <v>0</v>
      </c>
      <c r="Z1411">
        <f t="shared" si="370"/>
        <v>0</v>
      </c>
      <c r="AA1411">
        <f t="shared" si="371"/>
        <v>0</v>
      </c>
      <c r="AB1411">
        <f>--AND($E1411=1,OR('Staff Weekly Trend'!$B$3="All",$DH1411='Staff Weekly Trend'!$B$3),OR('Staff Weekly Trend'!$B$4="All",$D1411='Staff Weekly Trend'!$B$4),OR('Staff Weekly Trend'!$B$5="All",$A1411='Staff Weekly Trend'!$B$5))</f>
        <v>0</v>
      </c>
      <c r="AC1411" t="str">
        <f t="shared" si="372"/>
        <v/>
      </c>
      <c r="AI1411">
        <f t="shared" si="373"/>
        <v>0</v>
      </c>
      <c r="AJ1411">
        <f t="shared" si="374"/>
        <v>0</v>
      </c>
      <c r="AK1411">
        <f t="shared" si="375"/>
        <v>0</v>
      </c>
      <c r="AL1411">
        <f t="shared" si="376"/>
        <v>0</v>
      </c>
      <c r="AM1411">
        <f t="shared" si="377"/>
        <v>0</v>
      </c>
      <c r="DH1411" t="str" cm="1">
        <f t="array" ref="DH1411">IF($A1411="","",_xlfn.LET(_xlpm.c,IFERROR(_xlfn.XLOOKUP($A1411,TRIM('Sales and count'!$A$4:$A$300&amp;""),TRIM('Sales and count'!$B$4:$B$300&amp;"")),""),IF(OR(_xlpm.c="",_xlpm.c="0",LEFT(_xlpm.c,1)="#"),"Not set",_xlpm.c)))</f>
        <v/>
      </c>
    </row>
    <row r="1412" spans="1:112" x14ac:dyDescent="0.25">
      <c r="A1412" t="str">
        <f>IF('Staff Daily sales'!$B1397="","",TRIM('Staff Daily sales'!$B1397&amp;""))</f>
        <v/>
      </c>
      <c r="B1412" t="str">
        <f>IF('Staff Daily sales'!$D1397="","",TRIM('Staff Daily sales'!$D1397&amp;""))</f>
        <v/>
      </c>
      <c r="C1412" t="str">
        <f>IFERROR(TRIM('Staff Daily sales'!$E1397&amp;""),"")</f>
        <v/>
      </c>
      <c r="D1412" t="str">
        <f>IFERROR(IF(TRIM('Staff Daily sales'!$F1397&amp;"")="","Unassigned",TRIM('Staff Daily sales'!$F1397&amp;"")),"Unassigned")</f>
        <v>Unassigned</v>
      </c>
      <c r="E1412">
        <f t="shared" si="362"/>
        <v>0</v>
      </c>
      <c r="F1412">
        <f>IF($E1412=0,0,SUMPRODUCT($AI$5:$DF$5,'Staff Daily sales'!$G1397:$CD1397))</f>
        <v>0</v>
      </c>
      <c r="G1412">
        <f>IF($E1412=0,0,SUMPRODUCT($AI$6:$DF$6,'Staff Daily sales'!$G1397:$CD1397))</f>
        <v>0</v>
      </c>
      <c r="H1412">
        <f t="shared" si="363"/>
        <v>0</v>
      </c>
      <c r="I1412">
        <f t="shared" si="364"/>
        <v>0</v>
      </c>
      <c r="J1412">
        <f t="shared" si="365"/>
        <v>0</v>
      </c>
      <c r="K1412">
        <f t="shared" si="366"/>
        <v>0</v>
      </c>
      <c r="L1412">
        <f>--AND($E1412=1,OR('Staff Dashboard'!$B$6="All",$DH1412='Staff Dashboard'!$B$6),OR('Staff Dashboard'!$B$7="All",$D1412='Staff Dashboard'!$B$7),OR('Staff Dashboard'!$B$8="All",$A1412='Staff Dashboard'!$B$8))</f>
        <v>0</v>
      </c>
      <c r="M1412">
        <f>IF($E1412=0,0,SUMPRODUCT($AI$7:$DF$7,'Staff Daily sales'!$G1397:$CD1397))</f>
        <v>0</v>
      </c>
      <c r="N1412">
        <f>IF($E1412=0,0,SUMPRODUCT($AI$8:$DF$8,'Staff Daily sales'!$G1397:$CD1397))</f>
        <v>0</v>
      </c>
      <c r="O1412">
        <f>IF($E1412=0,0,SUMPRODUCT($AI$9:$DF$9,'Staff Daily sales'!$G1397:$CD1397))</f>
        <v>0</v>
      </c>
      <c r="P1412">
        <f>IF($E1412=0,0,SUMPRODUCT($AI$10:$DF$10,'Staff Daily sales'!$G1397:$CD1397))</f>
        <v>0</v>
      </c>
      <c r="Q1412">
        <f>IF($E1412=0,0,SUMPRODUCT($AI$11:$DF$11,'Staff Daily sales'!$G1397:$CD1397))</f>
        <v>0</v>
      </c>
      <c r="R1412">
        <f>IF($E1412=0,0,SUMPRODUCT($AI$12:$DF$12,'Staff Daily sales'!$G1397:$CD1397))</f>
        <v>0</v>
      </c>
      <c r="S1412">
        <f>IF($E1412=0,0,SUMPRODUCT($AI$13:$DF$13,'Staff Daily sales'!$G1397:$CD1397))</f>
        <v>0</v>
      </c>
      <c r="T1412">
        <f>IF($E1412=0,0,SUMPRODUCT($AI$14:$DF$14,'Staff Daily sales'!$G1397:$CD1397))</f>
        <v>0</v>
      </c>
      <c r="U1412">
        <f>IF($E1412=0,0,SUMPRODUCT($AI$15:$DF$15,'Staff Daily sales'!$G1397:$CD1397))</f>
        <v>0</v>
      </c>
      <c r="V1412">
        <f>IF($E1412=0,0,SUMPRODUCT($AI$16:$DF$16,'Staff Daily sales'!$G1397:$CD1397))</f>
        <v>0</v>
      </c>
      <c r="W1412">
        <f t="shared" si="367"/>
        <v>0</v>
      </c>
      <c r="X1412">
        <f t="shared" si="368"/>
        <v>0</v>
      </c>
      <c r="Y1412">
        <f t="shared" si="369"/>
        <v>0</v>
      </c>
      <c r="Z1412">
        <f t="shared" si="370"/>
        <v>0</v>
      </c>
      <c r="AA1412">
        <f t="shared" si="371"/>
        <v>0</v>
      </c>
      <c r="AB1412">
        <f>--AND($E1412=1,OR('Staff Weekly Trend'!$B$3="All",$DH1412='Staff Weekly Trend'!$B$3),OR('Staff Weekly Trend'!$B$4="All",$D1412='Staff Weekly Trend'!$B$4),OR('Staff Weekly Trend'!$B$5="All",$A1412='Staff Weekly Trend'!$B$5))</f>
        <v>0</v>
      </c>
      <c r="AC1412" t="str">
        <f t="shared" si="372"/>
        <v/>
      </c>
      <c r="AI1412">
        <f t="shared" si="373"/>
        <v>0</v>
      </c>
      <c r="AJ1412">
        <f t="shared" si="374"/>
        <v>0</v>
      </c>
      <c r="AK1412">
        <f t="shared" si="375"/>
        <v>0</v>
      </c>
      <c r="AL1412">
        <f t="shared" si="376"/>
        <v>0</v>
      </c>
      <c r="AM1412">
        <f t="shared" si="377"/>
        <v>0</v>
      </c>
      <c r="DH1412" t="str" cm="1">
        <f t="array" ref="DH1412">IF($A1412="","",_xlfn.LET(_xlpm.c,IFERROR(_xlfn.XLOOKUP($A1412,TRIM('Sales and count'!$A$4:$A$300&amp;""),TRIM('Sales and count'!$B$4:$B$300&amp;"")),""),IF(OR(_xlpm.c="",_xlpm.c="0",LEFT(_xlpm.c,1)="#"),"Not set",_xlpm.c)))</f>
        <v/>
      </c>
    </row>
    <row r="1413" spans="1:112" x14ac:dyDescent="0.25">
      <c r="A1413" t="str">
        <f>IF('Staff Daily sales'!$B1398="","",TRIM('Staff Daily sales'!$B1398&amp;""))</f>
        <v/>
      </c>
      <c r="B1413" t="str">
        <f>IF('Staff Daily sales'!$D1398="","",TRIM('Staff Daily sales'!$D1398&amp;""))</f>
        <v/>
      </c>
      <c r="C1413" t="str">
        <f>IFERROR(TRIM('Staff Daily sales'!$E1398&amp;""),"")</f>
        <v/>
      </c>
      <c r="D1413" t="str">
        <f>IFERROR(IF(TRIM('Staff Daily sales'!$F1398&amp;"")="","Unassigned",TRIM('Staff Daily sales'!$F1398&amp;"")),"Unassigned")</f>
        <v>Unassigned</v>
      </c>
      <c r="E1413">
        <f t="shared" si="362"/>
        <v>0</v>
      </c>
      <c r="F1413">
        <f>IF($E1413=0,0,SUMPRODUCT($AI$5:$DF$5,'Staff Daily sales'!$G1398:$CD1398))</f>
        <v>0</v>
      </c>
      <c r="G1413">
        <f>IF($E1413=0,0,SUMPRODUCT($AI$6:$DF$6,'Staff Daily sales'!$G1398:$CD1398))</f>
        <v>0</v>
      </c>
      <c r="H1413">
        <f t="shared" si="363"/>
        <v>0</v>
      </c>
      <c r="I1413">
        <f t="shared" si="364"/>
        <v>0</v>
      </c>
      <c r="J1413">
        <f t="shared" si="365"/>
        <v>0</v>
      </c>
      <c r="K1413">
        <f t="shared" si="366"/>
        <v>0</v>
      </c>
      <c r="L1413">
        <f>--AND($E1413=1,OR('Staff Dashboard'!$B$6="All",$DH1413='Staff Dashboard'!$B$6),OR('Staff Dashboard'!$B$7="All",$D1413='Staff Dashboard'!$B$7),OR('Staff Dashboard'!$B$8="All",$A1413='Staff Dashboard'!$B$8))</f>
        <v>0</v>
      </c>
      <c r="M1413">
        <f>IF($E1413=0,0,SUMPRODUCT($AI$7:$DF$7,'Staff Daily sales'!$G1398:$CD1398))</f>
        <v>0</v>
      </c>
      <c r="N1413">
        <f>IF($E1413=0,0,SUMPRODUCT($AI$8:$DF$8,'Staff Daily sales'!$G1398:$CD1398))</f>
        <v>0</v>
      </c>
      <c r="O1413">
        <f>IF($E1413=0,0,SUMPRODUCT($AI$9:$DF$9,'Staff Daily sales'!$G1398:$CD1398))</f>
        <v>0</v>
      </c>
      <c r="P1413">
        <f>IF($E1413=0,0,SUMPRODUCT($AI$10:$DF$10,'Staff Daily sales'!$G1398:$CD1398))</f>
        <v>0</v>
      </c>
      <c r="Q1413">
        <f>IF($E1413=0,0,SUMPRODUCT($AI$11:$DF$11,'Staff Daily sales'!$G1398:$CD1398))</f>
        <v>0</v>
      </c>
      <c r="R1413">
        <f>IF($E1413=0,0,SUMPRODUCT($AI$12:$DF$12,'Staff Daily sales'!$G1398:$CD1398))</f>
        <v>0</v>
      </c>
      <c r="S1413">
        <f>IF($E1413=0,0,SUMPRODUCT($AI$13:$DF$13,'Staff Daily sales'!$G1398:$CD1398))</f>
        <v>0</v>
      </c>
      <c r="T1413">
        <f>IF($E1413=0,0,SUMPRODUCT($AI$14:$DF$14,'Staff Daily sales'!$G1398:$CD1398))</f>
        <v>0</v>
      </c>
      <c r="U1413">
        <f>IF($E1413=0,0,SUMPRODUCT($AI$15:$DF$15,'Staff Daily sales'!$G1398:$CD1398))</f>
        <v>0</v>
      </c>
      <c r="V1413">
        <f>IF($E1413=0,0,SUMPRODUCT($AI$16:$DF$16,'Staff Daily sales'!$G1398:$CD1398))</f>
        <v>0</v>
      </c>
      <c r="W1413">
        <f t="shared" si="367"/>
        <v>0</v>
      </c>
      <c r="X1413">
        <f t="shared" si="368"/>
        <v>0</v>
      </c>
      <c r="Y1413">
        <f t="shared" si="369"/>
        <v>0</v>
      </c>
      <c r="Z1413">
        <f t="shared" si="370"/>
        <v>0</v>
      </c>
      <c r="AA1413">
        <f t="shared" si="371"/>
        <v>0</v>
      </c>
      <c r="AB1413">
        <f>--AND($E1413=1,OR('Staff Weekly Trend'!$B$3="All",$DH1413='Staff Weekly Trend'!$B$3),OR('Staff Weekly Trend'!$B$4="All",$D1413='Staff Weekly Trend'!$B$4),OR('Staff Weekly Trend'!$B$5="All",$A1413='Staff Weekly Trend'!$B$5))</f>
        <v>0</v>
      </c>
      <c r="AC1413" t="str">
        <f t="shared" si="372"/>
        <v/>
      </c>
      <c r="AI1413">
        <f t="shared" si="373"/>
        <v>0</v>
      </c>
      <c r="AJ1413">
        <f t="shared" si="374"/>
        <v>0</v>
      </c>
      <c r="AK1413">
        <f t="shared" si="375"/>
        <v>0</v>
      </c>
      <c r="AL1413">
        <f t="shared" si="376"/>
        <v>0</v>
      </c>
      <c r="AM1413">
        <f t="shared" si="377"/>
        <v>0</v>
      </c>
      <c r="DH1413" t="str" cm="1">
        <f t="array" ref="DH1413">IF($A1413="","",_xlfn.LET(_xlpm.c,IFERROR(_xlfn.XLOOKUP($A1413,TRIM('Sales and count'!$A$4:$A$300&amp;""),TRIM('Sales and count'!$B$4:$B$300&amp;"")),""),IF(OR(_xlpm.c="",_xlpm.c="0",LEFT(_xlpm.c,1)="#"),"Not set",_xlpm.c)))</f>
        <v/>
      </c>
    </row>
    <row r="1414" spans="1:112" x14ac:dyDescent="0.25">
      <c r="A1414" t="str">
        <f>IF('Staff Daily sales'!$B1399="","",TRIM('Staff Daily sales'!$B1399&amp;""))</f>
        <v/>
      </c>
      <c r="B1414" t="str">
        <f>IF('Staff Daily sales'!$D1399="","",TRIM('Staff Daily sales'!$D1399&amp;""))</f>
        <v/>
      </c>
      <c r="C1414" t="str">
        <f>IFERROR(TRIM('Staff Daily sales'!$E1399&amp;""),"")</f>
        <v/>
      </c>
      <c r="D1414" t="str">
        <f>IFERROR(IF(TRIM('Staff Daily sales'!$F1399&amp;"")="","Unassigned",TRIM('Staff Daily sales'!$F1399&amp;"")),"Unassigned")</f>
        <v>Unassigned</v>
      </c>
      <c r="E1414">
        <f t="shared" si="362"/>
        <v>0</v>
      </c>
      <c r="F1414">
        <f>IF($E1414=0,0,SUMPRODUCT($AI$5:$DF$5,'Staff Daily sales'!$G1399:$CD1399))</f>
        <v>0</v>
      </c>
      <c r="G1414">
        <f>IF($E1414=0,0,SUMPRODUCT($AI$6:$DF$6,'Staff Daily sales'!$G1399:$CD1399))</f>
        <v>0</v>
      </c>
      <c r="H1414">
        <f t="shared" si="363"/>
        <v>0</v>
      </c>
      <c r="I1414">
        <f t="shared" si="364"/>
        <v>0</v>
      </c>
      <c r="J1414">
        <f t="shared" si="365"/>
        <v>0</v>
      </c>
      <c r="K1414">
        <f t="shared" si="366"/>
        <v>0</v>
      </c>
      <c r="L1414">
        <f>--AND($E1414=1,OR('Staff Dashboard'!$B$6="All",$DH1414='Staff Dashboard'!$B$6),OR('Staff Dashboard'!$B$7="All",$D1414='Staff Dashboard'!$B$7),OR('Staff Dashboard'!$B$8="All",$A1414='Staff Dashboard'!$B$8))</f>
        <v>0</v>
      </c>
      <c r="M1414">
        <f>IF($E1414=0,0,SUMPRODUCT($AI$7:$DF$7,'Staff Daily sales'!$G1399:$CD1399))</f>
        <v>0</v>
      </c>
      <c r="N1414">
        <f>IF($E1414=0,0,SUMPRODUCT($AI$8:$DF$8,'Staff Daily sales'!$G1399:$CD1399))</f>
        <v>0</v>
      </c>
      <c r="O1414">
        <f>IF($E1414=0,0,SUMPRODUCT($AI$9:$DF$9,'Staff Daily sales'!$G1399:$CD1399))</f>
        <v>0</v>
      </c>
      <c r="P1414">
        <f>IF($E1414=0,0,SUMPRODUCT($AI$10:$DF$10,'Staff Daily sales'!$G1399:$CD1399))</f>
        <v>0</v>
      </c>
      <c r="Q1414">
        <f>IF($E1414=0,0,SUMPRODUCT($AI$11:$DF$11,'Staff Daily sales'!$G1399:$CD1399))</f>
        <v>0</v>
      </c>
      <c r="R1414">
        <f>IF($E1414=0,0,SUMPRODUCT($AI$12:$DF$12,'Staff Daily sales'!$G1399:$CD1399))</f>
        <v>0</v>
      </c>
      <c r="S1414">
        <f>IF($E1414=0,0,SUMPRODUCT($AI$13:$DF$13,'Staff Daily sales'!$G1399:$CD1399))</f>
        <v>0</v>
      </c>
      <c r="T1414">
        <f>IF($E1414=0,0,SUMPRODUCT($AI$14:$DF$14,'Staff Daily sales'!$G1399:$CD1399))</f>
        <v>0</v>
      </c>
      <c r="U1414">
        <f>IF($E1414=0,0,SUMPRODUCT($AI$15:$DF$15,'Staff Daily sales'!$G1399:$CD1399))</f>
        <v>0</v>
      </c>
      <c r="V1414">
        <f>IF($E1414=0,0,SUMPRODUCT($AI$16:$DF$16,'Staff Daily sales'!$G1399:$CD1399))</f>
        <v>0</v>
      </c>
      <c r="W1414">
        <f t="shared" si="367"/>
        <v>0</v>
      </c>
      <c r="X1414">
        <f t="shared" si="368"/>
        <v>0</v>
      </c>
      <c r="Y1414">
        <f t="shared" si="369"/>
        <v>0</v>
      </c>
      <c r="Z1414">
        <f t="shared" si="370"/>
        <v>0</v>
      </c>
      <c r="AA1414">
        <f t="shared" si="371"/>
        <v>0</v>
      </c>
      <c r="AB1414">
        <f>--AND($E1414=1,OR('Staff Weekly Trend'!$B$3="All",$DH1414='Staff Weekly Trend'!$B$3),OR('Staff Weekly Trend'!$B$4="All",$D1414='Staff Weekly Trend'!$B$4),OR('Staff Weekly Trend'!$B$5="All",$A1414='Staff Weekly Trend'!$B$5))</f>
        <v>0</v>
      </c>
      <c r="AC1414" t="str">
        <f t="shared" si="372"/>
        <v/>
      </c>
      <c r="AI1414">
        <f t="shared" si="373"/>
        <v>0</v>
      </c>
      <c r="AJ1414">
        <f t="shared" si="374"/>
        <v>0</v>
      </c>
      <c r="AK1414">
        <f t="shared" si="375"/>
        <v>0</v>
      </c>
      <c r="AL1414">
        <f t="shared" si="376"/>
        <v>0</v>
      </c>
      <c r="AM1414">
        <f t="shared" si="377"/>
        <v>0</v>
      </c>
      <c r="DH1414" t="str" cm="1">
        <f t="array" ref="DH1414">IF($A1414="","",_xlfn.LET(_xlpm.c,IFERROR(_xlfn.XLOOKUP($A1414,TRIM('Sales and count'!$A$4:$A$300&amp;""),TRIM('Sales and count'!$B$4:$B$300&amp;"")),""),IF(OR(_xlpm.c="",_xlpm.c="0",LEFT(_xlpm.c,1)="#"),"Not set",_xlpm.c)))</f>
        <v/>
      </c>
    </row>
    <row r="1415" spans="1:112" x14ac:dyDescent="0.25">
      <c r="A1415" t="str">
        <f>IF('Staff Daily sales'!$B1400="","",TRIM('Staff Daily sales'!$B1400&amp;""))</f>
        <v/>
      </c>
      <c r="B1415" t="str">
        <f>IF('Staff Daily sales'!$D1400="","",TRIM('Staff Daily sales'!$D1400&amp;""))</f>
        <v/>
      </c>
      <c r="C1415" t="str">
        <f>IFERROR(TRIM('Staff Daily sales'!$E1400&amp;""),"")</f>
        <v/>
      </c>
      <c r="D1415" t="str">
        <f>IFERROR(IF(TRIM('Staff Daily sales'!$F1400&amp;"")="","Unassigned",TRIM('Staff Daily sales'!$F1400&amp;"")),"Unassigned")</f>
        <v>Unassigned</v>
      </c>
      <c r="E1415">
        <f t="shared" si="362"/>
        <v>0</v>
      </c>
      <c r="F1415">
        <f>IF($E1415=0,0,SUMPRODUCT($AI$5:$DF$5,'Staff Daily sales'!$G1400:$CD1400))</f>
        <v>0</v>
      </c>
      <c r="G1415">
        <f>IF($E1415=0,0,SUMPRODUCT($AI$6:$DF$6,'Staff Daily sales'!$G1400:$CD1400))</f>
        <v>0</v>
      </c>
      <c r="H1415">
        <f t="shared" si="363"/>
        <v>0</v>
      </c>
      <c r="I1415">
        <f t="shared" si="364"/>
        <v>0</v>
      </c>
      <c r="J1415">
        <f t="shared" si="365"/>
        <v>0</v>
      </c>
      <c r="K1415">
        <f t="shared" si="366"/>
        <v>0</v>
      </c>
      <c r="L1415">
        <f>--AND($E1415=1,OR('Staff Dashboard'!$B$6="All",$DH1415='Staff Dashboard'!$B$6),OR('Staff Dashboard'!$B$7="All",$D1415='Staff Dashboard'!$B$7),OR('Staff Dashboard'!$B$8="All",$A1415='Staff Dashboard'!$B$8))</f>
        <v>0</v>
      </c>
      <c r="M1415">
        <f>IF($E1415=0,0,SUMPRODUCT($AI$7:$DF$7,'Staff Daily sales'!$G1400:$CD1400))</f>
        <v>0</v>
      </c>
      <c r="N1415">
        <f>IF($E1415=0,0,SUMPRODUCT($AI$8:$DF$8,'Staff Daily sales'!$G1400:$CD1400))</f>
        <v>0</v>
      </c>
      <c r="O1415">
        <f>IF($E1415=0,0,SUMPRODUCT($AI$9:$DF$9,'Staff Daily sales'!$G1400:$CD1400))</f>
        <v>0</v>
      </c>
      <c r="P1415">
        <f>IF($E1415=0,0,SUMPRODUCT($AI$10:$DF$10,'Staff Daily sales'!$G1400:$CD1400))</f>
        <v>0</v>
      </c>
      <c r="Q1415">
        <f>IF($E1415=0,0,SUMPRODUCT($AI$11:$DF$11,'Staff Daily sales'!$G1400:$CD1400))</f>
        <v>0</v>
      </c>
      <c r="R1415">
        <f>IF($E1415=0,0,SUMPRODUCT($AI$12:$DF$12,'Staff Daily sales'!$G1400:$CD1400))</f>
        <v>0</v>
      </c>
      <c r="S1415">
        <f>IF($E1415=0,0,SUMPRODUCT($AI$13:$DF$13,'Staff Daily sales'!$G1400:$CD1400))</f>
        <v>0</v>
      </c>
      <c r="T1415">
        <f>IF($E1415=0,0,SUMPRODUCT($AI$14:$DF$14,'Staff Daily sales'!$G1400:$CD1400))</f>
        <v>0</v>
      </c>
      <c r="U1415">
        <f>IF($E1415=0,0,SUMPRODUCT($AI$15:$DF$15,'Staff Daily sales'!$G1400:$CD1400))</f>
        <v>0</v>
      </c>
      <c r="V1415">
        <f>IF($E1415=0,0,SUMPRODUCT($AI$16:$DF$16,'Staff Daily sales'!$G1400:$CD1400))</f>
        <v>0</v>
      </c>
      <c r="W1415">
        <f t="shared" si="367"/>
        <v>0</v>
      </c>
      <c r="X1415">
        <f t="shared" si="368"/>
        <v>0</v>
      </c>
      <c r="Y1415">
        <f t="shared" si="369"/>
        <v>0</v>
      </c>
      <c r="Z1415">
        <f t="shared" si="370"/>
        <v>0</v>
      </c>
      <c r="AA1415">
        <f t="shared" si="371"/>
        <v>0</v>
      </c>
      <c r="AB1415">
        <f>--AND($E1415=1,OR('Staff Weekly Trend'!$B$3="All",$DH1415='Staff Weekly Trend'!$B$3),OR('Staff Weekly Trend'!$B$4="All",$D1415='Staff Weekly Trend'!$B$4),OR('Staff Weekly Trend'!$B$5="All",$A1415='Staff Weekly Trend'!$B$5))</f>
        <v>0</v>
      </c>
      <c r="AC1415" t="str">
        <f t="shared" si="372"/>
        <v/>
      </c>
      <c r="AI1415">
        <f t="shared" si="373"/>
        <v>0</v>
      </c>
      <c r="AJ1415">
        <f t="shared" si="374"/>
        <v>0</v>
      </c>
      <c r="AK1415">
        <f t="shared" si="375"/>
        <v>0</v>
      </c>
      <c r="AL1415">
        <f t="shared" si="376"/>
        <v>0</v>
      </c>
      <c r="AM1415">
        <f t="shared" si="377"/>
        <v>0</v>
      </c>
      <c r="DH1415" t="str" cm="1">
        <f t="array" ref="DH1415">IF($A1415="","",_xlfn.LET(_xlpm.c,IFERROR(_xlfn.XLOOKUP($A1415,TRIM('Sales and count'!$A$4:$A$300&amp;""),TRIM('Sales and count'!$B$4:$B$300&amp;"")),""),IF(OR(_xlpm.c="",_xlpm.c="0",LEFT(_xlpm.c,1)="#"),"Not set",_xlpm.c)))</f>
        <v/>
      </c>
    </row>
    <row r="1416" spans="1:112" x14ac:dyDescent="0.25">
      <c r="A1416" t="str">
        <f>IF('Staff Daily sales'!$B1401="","",TRIM('Staff Daily sales'!$B1401&amp;""))</f>
        <v/>
      </c>
      <c r="B1416" t="str">
        <f>IF('Staff Daily sales'!$D1401="","",TRIM('Staff Daily sales'!$D1401&amp;""))</f>
        <v/>
      </c>
      <c r="C1416" t="str">
        <f>IFERROR(TRIM('Staff Daily sales'!$E1401&amp;""),"")</f>
        <v/>
      </c>
      <c r="D1416" t="str">
        <f>IFERROR(IF(TRIM('Staff Daily sales'!$F1401&amp;"")="","Unassigned",TRIM('Staff Daily sales'!$F1401&amp;"")),"Unassigned")</f>
        <v>Unassigned</v>
      </c>
      <c r="E1416">
        <f t="shared" si="362"/>
        <v>0</v>
      </c>
      <c r="F1416">
        <f>IF($E1416=0,0,SUMPRODUCT($AI$5:$DF$5,'Staff Daily sales'!$G1401:$CD1401))</f>
        <v>0</v>
      </c>
      <c r="G1416">
        <f>IF($E1416=0,0,SUMPRODUCT($AI$6:$DF$6,'Staff Daily sales'!$G1401:$CD1401))</f>
        <v>0</v>
      </c>
      <c r="H1416">
        <f t="shared" si="363"/>
        <v>0</v>
      </c>
      <c r="I1416">
        <f t="shared" si="364"/>
        <v>0</v>
      </c>
      <c r="J1416">
        <f t="shared" si="365"/>
        <v>0</v>
      </c>
      <c r="K1416">
        <f t="shared" si="366"/>
        <v>0</v>
      </c>
      <c r="L1416">
        <f>--AND($E1416=1,OR('Staff Dashboard'!$B$6="All",$DH1416='Staff Dashboard'!$B$6),OR('Staff Dashboard'!$B$7="All",$D1416='Staff Dashboard'!$B$7),OR('Staff Dashboard'!$B$8="All",$A1416='Staff Dashboard'!$B$8))</f>
        <v>0</v>
      </c>
      <c r="M1416">
        <f>IF($E1416=0,0,SUMPRODUCT($AI$7:$DF$7,'Staff Daily sales'!$G1401:$CD1401))</f>
        <v>0</v>
      </c>
      <c r="N1416">
        <f>IF($E1416=0,0,SUMPRODUCT($AI$8:$DF$8,'Staff Daily sales'!$G1401:$CD1401))</f>
        <v>0</v>
      </c>
      <c r="O1416">
        <f>IF($E1416=0,0,SUMPRODUCT($AI$9:$DF$9,'Staff Daily sales'!$G1401:$CD1401))</f>
        <v>0</v>
      </c>
      <c r="P1416">
        <f>IF($E1416=0,0,SUMPRODUCT($AI$10:$DF$10,'Staff Daily sales'!$G1401:$CD1401))</f>
        <v>0</v>
      </c>
      <c r="Q1416">
        <f>IF($E1416=0,0,SUMPRODUCT($AI$11:$DF$11,'Staff Daily sales'!$G1401:$CD1401))</f>
        <v>0</v>
      </c>
      <c r="R1416">
        <f>IF($E1416=0,0,SUMPRODUCT($AI$12:$DF$12,'Staff Daily sales'!$G1401:$CD1401))</f>
        <v>0</v>
      </c>
      <c r="S1416">
        <f>IF($E1416=0,0,SUMPRODUCT($AI$13:$DF$13,'Staff Daily sales'!$G1401:$CD1401))</f>
        <v>0</v>
      </c>
      <c r="T1416">
        <f>IF($E1416=0,0,SUMPRODUCT($AI$14:$DF$14,'Staff Daily sales'!$G1401:$CD1401))</f>
        <v>0</v>
      </c>
      <c r="U1416">
        <f>IF($E1416=0,0,SUMPRODUCT($AI$15:$DF$15,'Staff Daily sales'!$G1401:$CD1401))</f>
        <v>0</v>
      </c>
      <c r="V1416">
        <f>IF($E1416=0,0,SUMPRODUCT($AI$16:$DF$16,'Staff Daily sales'!$G1401:$CD1401))</f>
        <v>0</v>
      </c>
      <c r="W1416">
        <f t="shared" si="367"/>
        <v>0</v>
      </c>
      <c r="X1416">
        <f t="shared" si="368"/>
        <v>0</v>
      </c>
      <c r="Y1416">
        <f t="shared" si="369"/>
        <v>0</v>
      </c>
      <c r="Z1416">
        <f t="shared" si="370"/>
        <v>0</v>
      </c>
      <c r="AA1416">
        <f t="shared" si="371"/>
        <v>0</v>
      </c>
      <c r="AB1416">
        <f>--AND($E1416=1,OR('Staff Weekly Trend'!$B$3="All",$DH1416='Staff Weekly Trend'!$B$3),OR('Staff Weekly Trend'!$B$4="All",$D1416='Staff Weekly Trend'!$B$4),OR('Staff Weekly Trend'!$B$5="All",$A1416='Staff Weekly Trend'!$B$5))</f>
        <v>0</v>
      </c>
      <c r="AC1416" t="str">
        <f t="shared" si="372"/>
        <v/>
      </c>
      <c r="AI1416">
        <f t="shared" si="373"/>
        <v>0</v>
      </c>
      <c r="AJ1416">
        <f t="shared" si="374"/>
        <v>0</v>
      </c>
      <c r="AK1416">
        <f t="shared" si="375"/>
        <v>0</v>
      </c>
      <c r="AL1416">
        <f t="shared" si="376"/>
        <v>0</v>
      </c>
      <c r="AM1416">
        <f t="shared" si="377"/>
        <v>0</v>
      </c>
      <c r="DH1416" t="str" cm="1">
        <f t="array" ref="DH1416">IF($A1416="","",_xlfn.LET(_xlpm.c,IFERROR(_xlfn.XLOOKUP($A1416,TRIM('Sales and count'!$A$4:$A$300&amp;""),TRIM('Sales and count'!$B$4:$B$300&amp;"")),""),IF(OR(_xlpm.c="",_xlpm.c="0",LEFT(_xlpm.c,1)="#"),"Not set",_xlpm.c)))</f>
        <v/>
      </c>
    </row>
    <row r="1417" spans="1:112" x14ac:dyDescent="0.25">
      <c r="A1417" t="str">
        <f>IF('Staff Daily sales'!$B1402="","",TRIM('Staff Daily sales'!$B1402&amp;""))</f>
        <v/>
      </c>
      <c r="B1417" t="str">
        <f>IF('Staff Daily sales'!$D1402="","",TRIM('Staff Daily sales'!$D1402&amp;""))</f>
        <v/>
      </c>
      <c r="C1417" t="str">
        <f>IFERROR(TRIM('Staff Daily sales'!$E1402&amp;""),"")</f>
        <v/>
      </c>
      <c r="D1417" t="str">
        <f>IFERROR(IF(TRIM('Staff Daily sales'!$F1402&amp;"")="","Unassigned",TRIM('Staff Daily sales'!$F1402&amp;"")),"Unassigned")</f>
        <v>Unassigned</v>
      </c>
      <c r="E1417">
        <f t="shared" si="362"/>
        <v>0</v>
      </c>
      <c r="F1417">
        <f>IF($E1417=0,0,SUMPRODUCT($AI$5:$DF$5,'Staff Daily sales'!$G1402:$CD1402))</f>
        <v>0</v>
      </c>
      <c r="G1417">
        <f>IF($E1417=0,0,SUMPRODUCT($AI$6:$DF$6,'Staff Daily sales'!$G1402:$CD1402))</f>
        <v>0</v>
      </c>
      <c r="H1417">
        <f t="shared" si="363"/>
        <v>0</v>
      </c>
      <c r="I1417">
        <f t="shared" si="364"/>
        <v>0</v>
      </c>
      <c r="J1417">
        <f t="shared" si="365"/>
        <v>0</v>
      </c>
      <c r="K1417">
        <f t="shared" si="366"/>
        <v>0</v>
      </c>
      <c r="L1417">
        <f>--AND($E1417=1,OR('Staff Dashboard'!$B$6="All",$DH1417='Staff Dashboard'!$B$6),OR('Staff Dashboard'!$B$7="All",$D1417='Staff Dashboard'!$B$7),OR('Staff Dashboard'!$B$8="All",$A1417='Staff Dashboard'!$B$8))</f>
        <v>0</v>
      </c>
      <c r="M1417">
        <f>IF($E1417=0,0,SUMPRODUCT($AI$7:$DF$7,'Staff Daily sales'!$G1402:$CD1402))</f>
        <v>0</v>
      </c>
      <c r="N1417">
        <f>IF($E1417=0,0,SUMPRODUCT($AI$8:$DF$8,'Staff Daily sales'!$G1402:$CD1402))</f>
        <v>0</v>
      </c>
      <c r="O1417">
        <f>IF($E1417=0,0,SUMPRODUCT($AI$9:$DF$9,'Staff Daily sales'!$G1402:$CD1402))</f>
        <v>0</v>
      </c>
      <c r="P1417">
        <f>IF($E1417=0,0,SUMPRODUCT($AI$10:$DF$10,'Staff Daily sales'!$G1402:$CD1402))</f>
        <v>0</v>
      </c>
      <c r="Q1417">
        <f>IF($E1417=0,0,SUMPRODUCT($AI$11:$DF$11,'Staff Daily sales'!$G1402:$CD1402))</f>
        <v>0</v>
      </c>
      <c r="R1417">
        <f>IF($E1417=0,0,SUMPRODUCT($AI$12:$DF$12,'Staff Daily sales'!$G1402:$CD1402))</f>
        <v>0</v>
      </c>
      <c r="S1417">
        <f>IF($E1417=0,0,SUMPRODUCT($AI$13:$DF$13,'Staff Daily sales'!$G1402:$CD1402))</f>
        <v>0</v>
      </c>
      <c r="T1417">
        <f>IF($E1417=0,0,SUMPRODUCT($AI$14:$DF$14,'Staff Daily sales'!$G1402:$CD1402))</f>
        <v>0</v>
      </c>
      <c r="U1417">
        <f>IF($E1417=0,0,SUMPRODUCT($AI$15:$DF$15,'Staff Daily sales'!$G1402:$CD1402))</f>
        <v>0</v>
      </c>
      <c r="V1417">
        <f>IF($E1417=0,0,SUMPRODUCT($AI$16:$DF$16,'Staff Daily sales'!$G1402:$CD1402))</f>
        <v>0</v>
      </c>
      <c r="W1417">
        <f t="shared" si="367"/>
        <v>0</v>
      </c>
      <c r="X1417">
        <f t="shared" si="368"/>
        <v>0</v>
      </c>
      <c r="Y1417">
        <f t="shared" si="369"/>
        <v>0</v>
      </c>
      <c r="Z1417">
        <f t="shared" si="370"/>
        <v>0</v>
      </c>
      <c r="AA1417">
        <f t="shared" si="371"/>
        <v>0</v>
      </c>
      <c r="AB1417">
        <f>--AND($E1417=1,OR('Staff Weekly Trend'!$B$3="All",$DH1417='Staff Weekly Trend'!$B$3),OR('Staff Weekly Trend'!$B$4="All",$D1417='Staff Weekly Trend'!$B$4),OR('Staff Weekly Trend'!$B$5="All",$A1417='Staff Weekly Trend'!$B$5))</f>
        <v>0</v>
      </c>
      <c r="AC1417" t="str">
        <f t="shared" si="372"/>
        <v/>
      </c>
      <c r="AI1417">
        <f t="shared" si="373"/>
        <v>0</v>
      </c>
      <c r="AJ1417">
        <f t="shared" si="374"/>
        <v>0</v>
      </c>
      <c r="AK1417">
        <f t="shared" si="375"/>
        <v>0</v>
      </c>
      <c r="AL1417">
        <f t="shared" si="376"/>
        <v>0</v>
      </c>
      <c r="AM1417">
        <f t="shared" si="377"/>
        <v>0</v>
      </c>
      <c r="DH1417" t="str" cm="1">
        <f t="array" ref="DH1417">IF($A1417="","",_xlfn.LET(_xlpm.c,IFERROR(_xlfn.XLOOKUP($A1417,TRIM('Sales and count'!$A$4:$A$300&amp;""),TRIM('Sales and count'!$B$4:$B$300&amp;"")),""),IF(OR(_xlpm.c="",_xlpm.c="0",LEFT(_xlpm.c,1)="#"),"Not set",_xlpm.c)))</f>
        <v/>
      </c>
    </row>
    <row r="1418" spans="1:112" x14ac:dyDescent="0.25">
      <c r="A1418" t="str">
        <f>IF('Staff Daily sales'!$B1403="","",TRIM('Staff Daily sales'!$B1403&amp;""))</f>
        <v/>
      </c>
      <c r="B1418" t="str">
        <f>IF('Staff Daily sales'!$D1403="","",TRIM('Staff Daily sales'!$D1403&amp;""))</f>
        <v/>
      </c>
      <c r="C1418" t="str">
        <f>IFERROR(TRIM('Staff Daily sales'!$E1403&amp;""),"")</f>
        <v/>
      </c>
      <c r="D1418" t="str">
        <f>IFERROR(IF(TRIM('Staff Daily sales'!$F1403&amp;"")="","Unassigned",TRIM('Staff Daily sales'!$F1403&amp;"")),"Unassigned")</f>
        <v>Unassigned</v>
      </c>
      <c r="E1418">
        <f t="shared" si="362"/>
        <v>0</v>
      </c>
      <c r="F1418">
        <f>IF($E1418=0,0,SUMPRODUCT($AI$5:$DF$5,'Staff Daily sales'!$G1403:$CD1403))</f>
        <v>0</v>
      </c>
      <c r="G1418">
        <f>IF($E1418=0,0,SUMPRODUCT($AI$6:$DF$6,'Staff Daily sales'!$G1403:$CD1403))</f>
        <v>0</v>
      </c>
      <c r="H1418">
        <f t="shared" si="363"/>
        <v>0</v>
      </c>
      <c r="I1418">
        <f t="shared" si="364"/>
        <v>0</v>
      </c>
      <c r="J1418">
        <f t="shared" si="365"/>
        <v>0</v>
      </c>
      <c r="K1418">
        <f t="shared" si="366"/>
        <v>0</v>
      </c>
      <c r="L1418">
        <f>--AND($E1418=1,OR('Staff Dashboard'!$B$6="All",$DH1418='Staff Dashboard'!$B$6),OR('Staff Dashboard'!$B$7="All",$D1418='Staff Dashboard'!$B$7),OR('Staff Dashboard'!$B$8="All",$A1418='Staff Dashboard'!$B$8))</f>
        <v>0</v>
      </c>
      <c r="M1418">
        <f>IF($E1418=0,0,SUMPRODUCT($AI$7:$DF$7,'Staff Daily sales'!$G1403:$CD1403))</f>
        <v>0</v>
      </c>
      <c r="N1418">
        <f>IF($E1418=0,0,SUMPRODUCT($AI$8:$DF$8,'Staff Daily sales'!$G1403:$CD1403))</f>
        <v>0</v>
      </c>
      <c r="O1418">
        <f>IF($E1418=0,0,SUMPRODUCT($AI$9:$DF$9,'Staff Daily sales'!$G1403:$CD1403))</f>
        <v>0</v>
      </c>
      <c r="P1418">
        <f>IF($E1418=0,0,SUMPRODUCT($AI$10:$DF$10,'Staff Daily sales'!$G1403:$CD1403))</f>
        <v>0</v>
      </c>
      <c r="Q1418">
        <f>IF($E1418=0,0,SUMPRODUCT($AI$11:$DF$11,'Staff Daily sales'!$G1403:$CD1403))</f>
        <v>0</v>
      </c>
      <c r="R1418">
        <f>IF($E1418=0,0,SUMPRODUCT($AI$12:$DF$12,'Staff Daily sales'!$G1403:$CD1403))</f>
        <v>0</v>
      </c>
      <c r="S1418">
        <f>IF($E1418=0,0,SUMPRODUCT($AI$13:$DF$13,'Staff Daily sales'!$G1403:$CD1403))</f>
        <v>0</v>
      </c>
      <c r="T1418">
        <f>IF($E1418=0,0,SUMPRODUCT($AI$14:$DF$14,'Staff Daily sales'!$G1403:$CD1403))</f>
        <v>0</v>
      </c>
      <c r="U1418">
        <f>IF($E1418=0,0,SUMPRODUCT($AI$15:$DF$15,'Staff Daily sales'!$G1403:$CD1403))</f>
        <v>0</v>
      </c>
      <c r="V1418">
        <f>IF($E1418=0,0,SUMPRODUCT($AI$16:$DF$16,'Staff Daily sales'!$G1403:$CD1403))</f>
        <v>0</v>
      </c>
      <c r="W1418">
        <f t="shared" si="367"/>
        <v>0</v>
      </c>
      <c r="X1418">
        <f t="shared" si="368"/>
        <v>0</v>
      </c>
      <c r="Y1418">
        <f t="shared" si="369"/>
        <v>0</v>
      </c>
      <c r="Z1418">
        <f t="shared" si="370"/>
        <v>0</v>
      </c>
      <c r="AA1418">
        <f t="shared" si="371"/>
        <v>0</v>
      </c>
      <c r="AB1418">
        <f>--AND($E1418=1,OR('Staff Weekly Trend'!$B$3="All",$DH1418='Staff Weekly Trend'!$B$3),OR('Staff Weekly Trend'!$B$4="All",$D1418='Staff Weekly Trend'!$B$4),OR('Staff Weekly Trend'!$B$5="All",$A1418='Staff Weekly Trend'!$B$5))</f>
        <v>0</v>
      </c>
      <c r="AC1418" t="str">
        <f t="shared" si="372"/>
        <v/>
      </c>
      <c r="AI1418">
        <f t="shared" si="373"/>
        <v>0</v>
      </c>
      <c r="AJ1418">
        <f t="shared" si="374"/>
        <v>0</v>
      </c>
      <c r="AK1418">
        <f t="shared" si="375"/>
        <v>0</v>
      </c>
      <c r="AL1418">
        <f t="shared" si="376"/>
        <v>0</v>
      </c>
      <c r="AM1418">
        <f t="shared" si="377"/>
        <v>0</v>
      </c>
      <c r="DH1418" t="str" cm="1">
        <f t="array" ref="DH1418">IF($A1418="","",_xlfn.LET(_xlpm.c,IFERROR(_xlfn.XLOOKUP($A1418,TRIM('Sales and count'!$A$4:$A$300&amp;""),TRIM('Sales and count'!$B$4:$B$300&amp;"")),""),IF(OR(_xlpm.c="",_xlpm.c="0",LEFT(_xlpm.c,1)="#"),"Not set",_xlpm.c)))</f>
        <v/>
      </c>
    </row>
    <row r="1419" spans="1:112" x14ac:dyDescent="0.25">
      <c r="A1419" t="str">
        <f>IF('Staff Daily sales'!$B1404="","",TRIM('Staff Daily sales'!$B1404&amp;""))</f>
        <v/>
      </c>
      <c r="B1419" t="str">
        <f>IF('Staff Daily sales'!$D1404="","",TRIM('Staff Daily sales'!$D1404&amp;""))</f>
        <v/>
      </c>
      <c r="C1419" t="str">
        <f>IFERROR(TRIM('Staff Daily sales'!$E1404&amp;""),"")</f>
        <v/>
      </c>
      <c r="D1419" t="str">
        <f>IFERROR(IF(TRIM('Staff Daily sales'!$F1404&amp;"")="","Unassigned",TRIM('Staff Daily sales'!$F1404&amp;"")),"Unassigned")</f>
        <v>Unassigned</v>
      </c>
      <c r="E1419">
        <f t="shared" si="362"/>
        <v>0</v>
      </c>
      <c r="F1419">
        <f>IF($E1419=0,0,SUMPRODUCT($AI$5:$DF$5,'Staff Daily sales'!$G1404:$CD1404))</f>
        <v>0</v>
      </c>
      <c r="G1419">
        <f>IF($E1419=0,0,SUMPRODUCT($AI$6:$DF$6,'Staff Daily sales'!$G1404:$CD1404))</f>
        <v>0</v>
      </c>
      <c r="H1419">
        <f t="shared" si="363"/>
        <v>0</v>
      </c>
      <c r="I1419">
        <f t="shared" si="364"/>
        <v>0</v>
      </c>
      <c r="J1419">
        <f t="shared" si="365"/>
        <v>0</v>
      </c>
      <c r="K1419">
        <f t="shared" si="366"/>
        <v>0</v>
      </c>
      <c r="L1419">
        <f>--AND($E1419=1,OR('Staff Dashboard'!$B$6="All",$DH1419='Staff Dashboard'!$B$6),OR('Staff Dashboard'!$B$7="All",$D1419='Staff Dashboard'!$B$7),OR('Staff Dashboard'!$B$8="All",$A1419='Staff Dashboard'!$B$8))</f>
        <v>0</v>
      </c>
      <c r="M1419">
        <f>IF($E1419=0,0,SUMPRODUCT($AI$7:$DF$7,'Staff Daily sales'!$G1404:$CD1404))</f>
        <v>0</v>
      </c>
      <c r="N1419">
        <f>IF($E1419=0,0,SUMPRODUCT($AI$8:$DF$8,'Staff Daily sales'!$G1404:$CD1404))</f>
        <v>0</v>
      </c>
      <c r="O1419">
        <f>IF($E1419=0,0,SUMPRODUCT($AI$9:$DF$9,'Staff Daily sales'!$G1404:$CD1404))</f>
        <v>0</v>
      </c>
      <c r="P1419">
        <f>IF($E1419=0,0,SUMPRODUCT($AI$10:$DF$10,'Staff Daily sales'!$G1404:$CD1404))</f>
        <v>0</v>
      </c>
      <c r="Q1419">
        <f>IF($E1419=0,0,SUMPRODUCT($AI$11:$DF$11,'Staff Daily sales'!$G1404:$CD1404))</f>
        <v>0</v>
      </c>
      <c r="R1419">
        <f>IF($E1419=0,0,SUMPRODUCT($AI$12:$DF$12,'Staff Daily sales'!$G1404:$CD1404))</f>
        <v>0</v>
      </c>
      <c r="S1419">
        <f>IF($E1419=0,0,SUMPRODUCT($AI$13:$DF$13,'Staff Daily sales'!$G1404:$CD1404))</f>
        <v>0</v>
      </c>
      <c r="T1419">
        <f>IF($E1419=0,0,SUMPRODUCT($AI$14:$DF$14,'Staff Daily sales'!$G1404:$CD1404))</f>
        <v>0</v>
      </c>
      <c r="U1419">
        <f>IF($E1419=0,0,SUMPRODUCT($AI$15:$DF$15,'Staff Daily sales'!$G1404:$CD1404))</f>
        <v>0</v>
      </c>
      <c r="V1419">
        <f>IF($E1419=0,0,SUMPRODUCT($AI$16:$DF$16,'Staff Daily sales'!$G1404:$CD1404))</f>
        <v>0</v>
      </c>
      <c r="W1419">
        <f t="shared" si="367"/>
        <v>0</v>
      </c>
      <c r="X1419">
        <f t="shared" si="368"/>
        <v>0</v>
      </c>
      <c r="Y1419">
        <f t="shared" si="369"/>
        <v>0</v>
      </c>
      <c r="Z1419">
        <f t="shared" si="370"/>
        <v>0</v>
      </c>
      <c r="AA1419">
        <f t="shared" si="371"/>
        <v>0</v>
      </c>
      <c r="AB1419">
        <f>--AND($E1419=1,OR('Staff Weekly Trend'!$B$3="All",$DH1419='Staff Weekly Trend'!$B$3),OR('Staff Weekly Trend'!$B$4="All",$D1419='Staff Weekly Trend'!$B$4),OR('Staff Weekly Trend'!$B$5="All",$A1419='Staff Weekly Trend'!$B$5))</f>
        <v>0</v>
      </c>
      <c r="AC1419" t="str">
        <f t="shared" si="372"/>
        <v/>
      </c>
      <c r="AI1419">
        <f t="shared" si="373"/>
        <v>0</v>
      </c>
      <c r="AJ1419">
        <f t="shared" si="374"/>
        <v>0</v>
      </c>
      <c r="AK1419">
        <f t="shared" si="375"/>
        <v>0</v>
      </c>
      <c r="AL1419">
        <f t="shared" si="376"/>
        <v>0</v>
      </c>
      <c r="AM1419">
        <f t="shared" si="377"/>
        <v>0</v>
      </c>
      <c r="DH1419" t="str" cm="1">
        <f t="array" ref="DH1419">IF($A1419="","",_xlfn.LET(_xlpm.c,IFERROR(_xlfn.XLOOKUP($A1419,TRIM('Sales and count'!$A$4:$A$300&amp;""),TRIM('Sales and count'!$B$4:$B$300&amp;"")),""),IF(OR(_xlpm.c="",_xlpm.c="0",LEFT(_xlpm.c,1)="#"),"Not set",_xlpm.c)))</f>
        <v/>
      </c>
    </row>
    <row r="1420" spans="1:112" x14ac:dyDescent="0.25">
      <c r="A1420" t="str">
        <f>IF('Staff Daily sales'!$B1405="","",TRIM('Staff Daily sales'!$B1405&amp;""))</f>
        <v/>
      </c>
      <c r="B1420" t="str">
        <f>IF('Staff Daily sales'!$D1405="","",TRIM('Staff Daily sales'!$D1405&amp;""))</f>
        <v/>
      </c>
      <c r="C1420" t="str">
        <f>IFERROR(TRIM('Staff Daily sales'!$E1405&amp;""),"")</f>
        <v/>
      </c>
      <c r="D1420" t="str">
        <f>IFERROR(IF(TRIM('Staff Daily sales'!$F1405&amp;"")="","Unassigned",TRIM('Staff Daily sales'!$F1405&amp;"")),"Unassigned")</f>
        <v>Unassigned</v>
      </c>
      <c r="E1420">
        <f t="shared" si="362"/>
        <v>0</v>
      </c>
      <c r="F1420">
        <f>IF($E1420=0,0,SUMPRODUCT($AI$5:$DF$5,'Staff Daily sales'!$G1405:$CD1405))</f>
        <v>0</v>
      </c>
      <c r="G1420">
        <f>IF($E1420=0,0,SUMPRODUCT($AI$6:$DF$6,'Staff Daily sales'!$G1405:$CD1405))</f>
        <v>0</v>
      </c>
      <c r="H1420">
        <f t="shared" si="363"/>
        <v>0</v>
      </c>
      <c r="I1420">
        <f t="shared" si="364"/>
        <v>0</v>
      </c>
      <c r="J1420">
        <f t="shared" si="365"/>
        <v>0</v>
      </c>
      <c r="K1420">
        <f t="shared" si="366"/>
        <v>0</v>
      </c>
      <c r="L1420">
        <f>--AND($E1420=1,OR('Staff Dashboard'!$B$6="All",$DH1420='Staff Dashboard'!$B$6),OR('Staff Dashboard'!$B$7="All",$D1420='Staff Dashboard'!$B$7),OR('Staff Dashboard'!$B$8="All",$A1420='Staff Dashboard'!$B$8))</f>
        <v>0</v>
      </c>
      <c r="M1420">
        <f>IF($E1420=0,0,SUMPRODUCT($AI$7:$DF$7,'Staff Daily sales'!$G1405:$CD1405))</f>
        <v>0</v>
      </c>
      <c r="N1420">
        <f>IF($E1420=0,0,SUMPRODUCT($AI$8:$DF$8,'Staff Daily sales'!$G1405:$CD1405))</f>
        <v>0</v>
      </c>
      <c r="O1420">
        <f>IF($E1420=0,0,SUMPRODUCT($AI$9:$DF$9,'Staff Daily sales'!$G1405:$CD1405))</f>
        <v>0</v>
      </c>
      <c r="P1420">
        <f>IF($E1420=0,0,SUMPRODUCT($AI$10:$DF$10,'Staff Daily sales'!$G1405:$CD1405))</f>
        <v>0</v>
      </c>
      <c r="Q1420">
        <f>IF($E1420=0,0,SUMPRODUCT($AI$11:$DF$11,'Staff Daily sales'!$G1405:$CD1405))</f>
        <v>0</v>
      </c>
      <c r="R1420">
        <f>IF($E1420=0,0,SUMPRODUCT($AI$12:$DF$12,'Staff Daily sales'!$G1405:$CD1405))</f>
        <v>0</v>
      </c>
      <c r="S1420">
        <f>IF($E1420=0,0,SUMPRODUCT($AI$13:$DF$13,'Staff Daily sales'!$G1405:$CD1405))</f>
        <v>0</v>
      </c>
      <c r="T1420">
        <f>IF($E1420=0,0,SUMPRODUCT($AI$14:$DF$14,'Staff Daily sales'!$G1405:$CD1405))</f>
        <v>0</v>
      </c>
      <c r="U1420">
        <f>IF($E1420=0,0,SUMPRODUCT($AI$15:$DF$15,'Staff Daily sales'!$G1405:$CD1405))</f>
        <v>0</v>
      </c>
      <c r="V1420">
        <f>IF($E1420=0,0,SUMPRODUCT($AI$16:$DF$16,'Staff Daily sales'!$G1405:$CD1405))</f>
        <v>0</v>
      </c>
      <c r="W1420">
        <f t="shared" si="367"/>
        <v>0</v>
      </c>
      <c r="X1420">
        <f t="shared" si="368"/>
        <v>0</v>
      </c>
      <c r="Y1420">
        <f t="shared" si="369"/>
        <v>0</v>
      </c>
      <c r="Z1420">
        <f t="shared" si="370"/>
        <v>0</v>
      </c>
      <c r="AA1420">
        <f t="shared" si="371"/>
        <v>0</v>
      </c>
      <c r="AB1420">
        <f>--AND($E1420=1,OR('Staff Weekly Trend'!$B$3="All",$DH1420='Staff Weekly Trend'!$B$3),OR('Staff Weekly Trend'!$B$4="All",$D1420='Staff Weekly Trend'!$B$4),OR('Staff Weekly Trend'!$B$5="All",$A1420='Staff Weekly Trend'!$B$5))</f>
        <v>0</v>
      </c>
      <c r="AC1420" t="str">
        <f t="shared" si="372"/>
        <v/>
      </c>
      <c r="AI1420">
        <f t="shared" si="373"/>
        <v>0</v>
      </c>
      <c r="AJ1420">
        <f t="shared" si="374"/>
        <v>0</v>
      </c>
      <c r="AK1420">
        <f t="shared" si="375"/>
        <v>0</v>
      </c>
      <c r="AL1420">
        <f t="shared" si="376"/>
        <v>0</v>
      </c>
      <c r="AM1420">
        <f t="shared" si="377"/>
        <v>0</v>
      </c>
      <c r="DH1420" t="str" cm="1">
        <f t="array" ref="DH1420">IF($A1420="","",_xlfn.LET(_xlpm.c,IFERROR(_xlfn.XLOOKUP($A1420,TRIM('Sales and count'!$A$4:$A$300&amp;""),TRIM('Sales and count'!$B$4:$B$300&amp;"")),""),IF(OR(_xlpm.c="",_xlpm.c="0",LEFT(_xlpm.c,1)="#"),"Not set",_xlpm.c)))</f>
        <v/>
      </c>
    </row>
    <row r="1421" spans="1:112" x14ac:dyDescent="0.25">
      <c r="A1421" t="str">
        <f>IF('Staff Daily sales'!$B1406="","",TRIM('Staff Daily sales'!$B1406&amp;""))</f>
        <v/>
      </c>
      <c r="B1421" t="str">
        <f>IF('Staff Daily sales'!$D1406="","",TRIM('Staff Daily sales'!$D1406&amp;""))</f>
        <v/>
      </c>
      <c r="C1421" t="str">
        <f>IFERROR(TRIM('Staff Daily sales'!$E1406&amp;""),"")</f>
        <v/>
      </c>
      <c r="D1421" t="str">
        <f>IFERROR(IF(TRIM('Staff Daily sales'!$F1406&amp;"")="","Unassigned",TRIM('Staff Daily sales'!$F1406&amp;"")),"Unassigned")</f>
        <v>Unassigned</v>
      </c>
      <c r="E1421">
        <f t="shared" si="362"/>
        <v>0</v>
      </c>
      <c r="F1421">
        <f>IF($E1421=0,0,SUMPRODUCT($AI$5:$DF$5,'Staff Daily sales'!$G1406:$CD1406))</f>
        <v>0</v>
      </c>
      <c r="G1421">
        <f>IF($E1421=0,0,SUMPRODUCT($AI$6:$DF$6,'Staff Daily sales'!$G1406:$CD1406))</f>
        <v>0</v>
      </c>
      <c r="H1421">
        <f t="shared" si="363"/>
        <v>0</v>
      </c>
      <c r="I1421">
        <f t="shared" si="364"/>
        <v>0</v>
      </c>
      <c r="J1421">
        <f t="shared" si="365"/>
        <v>0</v>
      </c>
      <c r="K1421">
        <f t="shared" si="366"/>
        <v>0</v>
      </c>
      <c r="L1421">
        <f>--AND($E1421=1,OR('Staff Dashboard'!$B$6="All",$DH1421='Staff Dashboard'!$B$6),OR('Staff Dashboard'!$B$7="All",$D1421='Staff Dashboard'!$B$7),OR('Staff Dashboard'!$B$8="All",$A1421='Staff Dashboard'!$B$8))</f>
        <v>0</v>
      </c>
      <c r="M1421">
        <f>IF($E1421=0,0,SUMPRODUCT($AI$7:$DF$7,'Staff Daily sales'!$G1406:$CD1406))</f>
        <v>0</v>
      </c>
      <c r="N1421">
        <f>IF($E1421=0,0,SUMPRODUCT($AI$8:$DF$8,'Staff Daily sales'!$G1406:$CD1406))</f>
        <v>0</v>
      </c>
      <c r="O1421">
        <f>IF($E1421=0,0,SUMPRODUCT($AI$9:$DF$9,'Staff Daily sales'!$G1406:$CD1406))</f>
        <v>0</v>
      </c>
      <c r="P1421">
        <f>IF($E1421=0,0,SUMPRODUCT($AI$10:$DF$10,'Staff Daily sales'!$G1406:$CD1406))</f>
        <v>0</v>
      </c>
      <c r="Q1421">
        <f>IF($E1421=0,0,SUMPRODUCT($AI$11:$DF$11,'Staff Daily sales'!$G1406:$CD1406))</f>
        <v>0</v>
      </c>
      <c r="R1421">
        <f>IF($E1421=0,0,SUMPRODUCT($AI$12:$DF$12,'Staff Daily sales'!$G1406:$CD1406))</f>
        <v>0</v>
      </c>
      <c r="S1421">
        <f>IF($E1421=0,0,SUMPRODUCT($AI$13:$DF$13,'Staff Daily sales'!$G1406:$CD1406))</f>
        <v>0</v>
      </c>
      <c r="T1421">
        <f>IF($E1421=0,0,SUMPRODUCT($AI$14:$DF$14,'Staff Daily sales'!$G1406:$CD1406))</f>
        <v>0</v>
      </c>
      <c r="U1421">
        <f>IF($E1421=0,0,SUMPRODUCT($AI$15:$DF$15,'Staff Daily sales'!$G1406:$CD1406))</f>
        <v>0</v>
      </c>
      <c r="V1421">
        <f>IF($E1421=0,0,SUMPRODUCT($AI$16:$DF$16,'Staff Daily sales'!$G1406:$CD1406))</f>
        <v>0</v>
      </c>
      <c r="W1421">
        <f t="shared" si="367"/>
        <v>0</v>
      </c>
      <c r="X1421">
        <f t="shared" si="368"/>
        <v>0</v>
      </c>
      <c r="Y1421">
        <f t="shared" si="369"/>
        <v>0</v>
      </c>
      <c r="Z1421">
        <f t="shared" si="370"/>
        <v>0</v>
      </c>
      <c r="AA1421">
        <f t="shared" si="371"/>
        <v>0</v>
      </c>
      <c r="AB1421">
        <f>--AND($E1421=1,OR('Staff Weekly Trend'!$B$3="All",$DH1421='Staff Weekly Trend'!$B$3),OR('Staff Weekly Trend'!$B$4="All",$D1421='Staff Weekly Trend'!$B$4),OR('Staff Weekly Trend'!$B$5="All",$A1421='Staff Weekly Trend'!$B$5))</f>
        <v>0</v>
      </c>
      <c r="AC1421" t="str">
        <f t="shared" si="372"/>
        <v/>
      </c>
      <c r="AI1421">
        <f t="shared" si="373"/>
        <v>0</v>
      </c>
      <c r="AJ1421">
        <f t="shared" si="374"/>
        <v>0</v>
      </c>
      <c r="AK1421">
        <f t="shared" si="375"/>
        <v>0</v>
      </c>
      <c r="AL1421">
        <f t="shared" si="376"/>
        <v>0</v>
      </c>
      <c r="AM1421">
        <f t="shared" si="377"/>
        <v>0</v>
      </c>
      <c r="DH1421" t="str" cm="1">
        <f t="array" ref="DH1421">IF($A1421="","",_xlfn.LET(_xlpm.c,IFERROR(_xlfn.XLOOKUP($A1421,TRIM('Sales and count'!$A$4:$A$300&amp;""),TRIM('Sales and count'!$B$4:$B$300&amp;"")),""),IF(OR(_xlpm.c="",_xlpm.c="0",LEFT(_xlpm.c,1)="#"),"Not set",_xlpm.c)))</f>
        <v/>
      </c>
    </row>
    <row r="1422" spans="1:112" x14ac:dyDescent="0.25">
      <c r="A1422" t="str">
        <f>IF('Staff Daily sales'!$B1407="","",TRIM('Staff Daily sales'!$B1407&amp;""))</f>
        <v/>
      </c>
      <c r="B1422" t="str">
        <f>IF('Staff Daily sales'!$D1407="","",TRIM('Staff Daily sales'!$D1407&amp;""))</f>
        <v/>
      </c>
      <c r="C1422" t="str">
        <f>IFERROR(TRIM('Staff Daily sales'!$E1407&amp;""),"")</f>
        <v/>
      </c>
      <c r="D1422" t="str">
        <f>IFERROR(IF(TRIM('Staff Daily sales'!$F1407&amp;"")="","Unassigned",TRIM('Staff Daily sales'!$F1407&amp;"")),"Unassigned")</f>
        <v>Unassigned</v>
      </c>
      <c r="E1422">
        <f t="shared" si="362"/>
        <v>0</v>
      </c>
      <c r="F1422">
        <f>IF($E1422=0,0,SUMPRODUCT($AI$5:$DF$5,'Staff Daily sales'!$G1407:$CD1407))</f>
        <v>0</v>
      </c>
      <c r="G1422">
        <f>IF($E1422=0,0,SUMPRODUCT($AI$6:$DF$6,'Staff Daily sales'!$G1407:$CD1407))</f>
        <v>0</v>
      </c>
      <c r="H1422">
        <f t="shared" si="363"/>
        <v>0</v>
      </c>
      <c r="I1422">
        <f t="shared" si="364"/>
        <v>0</v>
      </c>
      <c r="J1422">
        <f t="shared" si="365"/>
        <v>0</v>
      </c>
      <c r="K1422">
        <f t="shared" si="366"/>
        <v>0</v>
      </c>
      <c r="L1422">
        <f>--AND($E1422=1,OR('Staff Dashboard'!$B$6="All",$DH1422='Staff Dashboard'!$B$6),OR('Staff Dashboard'!$B$7="All",$D1422='Staff Dashboard'!$B$7),OR('Staff Dashboard'!$B$8="All",$A1422='Staff Dashboard'!$B$8))</f>
        <v>0</v>
      </c>
      <c r="M1422">
        <f>IF($E1422=0,0,SUMPRODUCT($AI$7:$DF$7,'Staff Daily sales'!$G1407:$CD1407))</f>
        <v>0</v>
      </c>
      <c r="N1422">
        <f>IF($E1422=0,0,SUMPRODUCT($AI$8:$DF$8,'Staff Daily sales'!$G1407:$CD1407))</f>
        <v>0</v>
      </c>
      <c r="O1422">
        <f>IF($E1422=0,0,SUMPRODUCT($AI$9:$DF$9,'Staff Daily sales'!$G1407:$CD1407))</f>
        <v>0</v>
      </c>
      <c r="P1422">
        <f>IF($E1422=0,0,SUMPRODUCT($AI$10:$DF$10,'Staff Daily sales'!$G1407:$CD1407))</f>
        <v>0</v>
      </c>
      <c r="Q1422">
        <f>IF($E1422=0,0,SUMPRODUCT($AI$11:$DF$11,'Staff Daily sales'!$G1407:$CD1407))</f>
        <v>0</v>
      </c>
      <c r="R1422">
        <f>IF($E1422=0,0,SUMPRODUCT($AI$12:$DF$12,'Staff Daily sales'!$G1407:$CD1407))</f>
        <v>0</v>
      </c>
      <c r="S1422">
        <f>IF($E1422=0,0,SUMPRODUCT($AI$13:$DF$13,'Staff Daily sales'!$G1407:$CD1407))</f>
        <v>0</v>
      </c>
      <c r="T1422">
        <f>IF($E1422=0,0,SUMPRODUCT($AI$14:$DF$14,'Staff Daily sales'!$G1407:$CD1407))</f>
        <v>0</v>
      </c>
      <c r="U1422">
        <f>IF($E1422=0,0,SUMPRODUCT($AI$15:$DF$15,'Staff Daily sales'!$G1407:$CD1407))</f>
        <v>0</v>
      </c>
      <c r="V1422">
        <f>IF($E1422=0,0,SUMPRODUCT($AI$16:$DF$16,'Staff Daily sales'!$G1407:$CD1407))</f>
        <v>0</v>
      </c>
      <c r="W1422">
        <f t="shared" si="367"/>
        <v>0</v>
      </c>
      <c r="X1422">
        <f t="shared" si="368"/>
        <v>0</v>
      </c>
      <c r="Y1422">
        <f t="shared" si="369"/>
        <v>0</v>
      </c>
      <c r="Z1422">
        <f t="shared" si="370"/>
        <v>0</v>
      </c>
      <c r="AA1422">
        <f t="shared" si="371"/>
        <v>0</v>
      </c>
      <c r="AB1422">
        <f>--AND($E1422=1,OR('Staff Weekly Trend'!$B$3="All",$DH1422='Staff Weekly Trend'!$B$3),OR('Staff Weekly Trend'!$B$4="All",$D1422='Staff Weekly Trend'!$B$4),OR('Staff Weekly Trend'!$B$5="All",$A1422='Staff Weekly Trend'!$B$5))</f>
        <v>0</v>
      </c>
      <c r="AC1422" t="str">
        <f t="shared" si="372"/>
        <v/>
      </c>
      <c r="AI1422">
        <f t="shared" si="373"/>
        <v>0</v>
      </c>
      <c r="AJ1422">
        <f t="shared" si="374"/>
        <v>0</v>
      </c>
      <c r="AK1422">
        <f t="shared" si="375"/>
        <v>0</v>
      </c>
      <c r="AL1422">
        <f t="shared" si="376"/>
        <v>0</v>
      </c>
      <c r="AM1422">
        <f t="shared" si="377"/>
        <v>0</v>
      </c>
      <c r="DH1422" t="str" cm="1">
        <f t="array" ref="DH1422">IF($A1422="","",_xlfn.LET(_xlpm.c,IFERROR(_xlfn.XLOOKUP($A1422,TRIM('Sales and count'!$A$4:$A$300&amp;""),TRIM('Sales and count'!$B$4:$B$300&amp;"")),""),IF(OR(_xlpm.c="",_xlpm.c="0",LEFT(_xlpm.c,1)="#"),"Not set",_xlpm.c)))</f>
        <v/>
      </c>
    </row>
    <row r="1423" spans="1:112" x14ac:dyDescent="0.25">
      <c r="A1423" t="str">
        <f>IF('Staff Daily sales'!$B1408="","",TRIM('Staff Daily sales'!$B1408&amp;""))</f>
        <v/>
      </c>
      <c r="B1423" t="str">
        <f>IF('Staff Daily sales'!$D1408="","",TRIM('Staff Daily sales'!$D1408&amp;""))</f>
        <v/>
      </c>
      <c r="C1423" t="str">
        <f>IFERROR(TRIM('Staff Daily sales'!$E1408&amp;""),"")</f>
        <v/>
      </c>
      <c r="D1423" t="str">
        <f>IFERROR(IF(TRIM('Staff Daily sales'!$F1408&amp;"")="","Unassigned",TRIM('Staff Daily sales'!$F1408&amp;"")),"Unassigned")</f>
        <v>Unassigned</v>
      </c>
      <c r="E1423">
        <f t="shared" si="362"/>
        <v>0</v>
      </c>
      <c r="F1423">
        <f>IF($E1423=0,0,SUMPRODUCT($AI$5:$DF$5,'Staff Daily sales'!$G1408:$CD1408))</f>
        <v>0</v>
      </c>
      <c r="G1423">
        <f>IF($E1423=0,0,SUMPRODUCT($AI$6:$DF$6,'Staff Daily sales'!$G1408:$CD1408))</f>
        <v>0</v>
      </c>
      <c r="H1423">
        <f t="shared" si="363"/>
        <v>0</v>
      </c>
      <c r="I1423">
        <f t="shared" si="364"/>
        <v>0</v>
      </c>
      <c r="J1423">
        <f t="shared" si="365"/>
        <v>0</v>
      </c>
      <c r="K1423">
        <f t="shared" si="366"/>
        <v>0</v>
      </c>
      <c r="L1423">
        <f>--AND($E1423=1,OR('Staff Dashboard'!$B$6="All",$DH1423='Staff Dashboard'!$B$6),OR('Staff Dashboard'!$B$7="All",$D1423='Staff Dashboard'!$B$7),OR('Staff Dashboard'!$B$8="All",$A1423='Staff Dashboard'!$B$8))</f>
        <v>0</v>
      </c>
      <c r="M1423">
        <f>IF($E1423=0,0,SUMPRODUCT($AI$7:$DF$7,'Staff Daily sales'!$G1408:$CD1408))</f>
        <v>0</v>
      </c>
      <c r="N1423">
        <f>IF($E1423=0,0,SUMPRODUCT($AI$8:$DF$8,'Staff Daily sales'!$G1408:$CD1408))</f>
        <v>0</v>
      </c>
      <c r="O1423">
        <f>IF($E1423=0,0,SUMPRODUCT($AI$9:$DF$9,'Staff Daily sales'!$G1408:$CD1408))</f>
        <v>0</v>
      </c>
      <c r="P1423">
        <f>IF($E1423=0,0,SUMPRODUCT($AI$10:$DF$10,'Staff Daily sales'!$G1408:$CD1408))</f>
        <v>0</v>
      </c>
      <c r="Q1423">
        <f>IF($E1423=0,0,SUMPRODUCT($AI$11:$DF$11,'Staff Daily sales'!$G1408:$CD1408))</f>
        <v>0</v>
      </c>
      <c r="R1423">
        <f>IF($E1423=0,0,SUMPRODUCT($AI$12:$DF$12,'Staff Daily sales'!$G1408:$CD1408))</f>
        <v>0</v>
      </c>
      <c r="S1423">
        <f>IF($E1423=0,0,SUMPRODUCT($AI$13:$DF$13,'Staff Daily sales'!$G1408:$CD1408))</f>
        <v>0</v>
      </c>
      <c r="T1423">
        <f>IF($E1423=0,0,SUMPRODUCT($AI$14:$DF$14,'Staff Daily sales'!$G1408:$CD1408))</f>
        <v>0</v>
      </c>
      <c r="U1423">
        <f>IF($E1423=0,0,SUMPRODUCT($AI$15:$DF$15,'Staff Daily sales'!$G1408:$CD1408))</f>
        <v>0</v>
      </c>
      <c r="V1423">
        <f>IF($E1423=0,0,SUMPRODUCT($AI$16:$DF$16,'Staff Daily sales'!$G1408:$CD1408))</f>
        <v>0</v>
      </c>
      <c r="W1423">
        <f t="shared" si="367"/>
        <v>0</v>
      </c>
      <c r="X1423">
        <f t="shared" si="368"/>
        <v>0</v>
      </c>
      <c r="Y1423">
        <f t="shared" si="369"/>
        <v>0</v>
      </c>
      <c r="Z1423">
        <f t="shared" si="370"/>
        <v>0</v>
      </c>
      <c r="AA1423">
        <f t="shared" si="371"/>
        <v>0</v>
      </c>
      <c r="AB1423">
        <f>--AND($E1423=1,OR('Staff Weekly Trend'!$B$3="All",$DH1423='Staff Weekly Trend'!$B$3),OR('Staff Weekly Trend'!$B$4="All",$D1423='Staff Weekly Trend'!$B$4),OR('Staff Weekly Trend'!$B$5="All",$A1423='Staff Weekly Trend'!$B$5))</f>
        <v>0</v>
      </c>
      <c r="AC1423" t="str">
        <f t="shared" si="372"/>
        <v/>
      </c>
      <c r="AI1423">
        <f t="shared" si="373"/>
        <v>0</v>
      </c>
      <c r="AJ1423">
        <f t="shared" si="374"/>
        <v>0</v>
      </c>
      <c r="AK1423">
        <f t="shared" si="375"/>
        <v>0</v>
      </c>
      <c r="AL1423">
        <f t="shared" si="376"/>
        <v>0</v>
      </c>
      <c r="AM1423">
        <f t="shared" si="377"/>
        <v>0</v>
      </c>
      <c r="DH1423" t="str" cm="1">
        <f t="array" ref="DH1423">IF($A1423="","",_xlfn.LET(_xlpm.c,IFERROR(_xlfn.XLOOKUP($A1423,TRIM('Sales and count'!$A$4:$A$300&amp;""),TRIM('Sales and count'!$B$4:$B$300&amp;"")),""),IF(OR(_xlpm.c="",_xlpm.c="0",LEFT(_xlpm.c,1)="#"),"Not set",_xlpm.c)))</f>
        <v/>
      </c>
    </row>
    <row r="1424" spans="1:112" x14ac:dyDescent="0.25">
      <c r="A1424" t="str">
        <f>IF('Staff Daily sales'!$B1409="","",TRIM('Staff Daily sales'!$B1409&amp;""))</f>
        <v/>
      </c>
      <c r="B1424" t="str">
        <f>IF('Staff Daily sales'!$D1409="","",TRIM('Staff Daily sales'!$D1409&amp;""))</f>
        <v/>
      </c>
      <c r="C1424" t="str">
        <f>IFERROR(TRIM('Staff Daily sales'!$E1409&amp;""),"")</f>
        <v/>
      </c>
      <c r="D1424" t="str">
        <f>IFERROR(IF(TRIM('Staff Daily sales'!$F1409&amp;"")="","Unassigned",TRIM('Staff Daily sales'!$F1409&amp;"")),"Unassigned")</f>
        <v>Unassigned</v>
      </c>
      <c r="E1424">
        <f t="shared" si="362"/>
        <v>0</v>
      </c>
      <c r="F1424">
        <f>IF($E1424=0,0,SUMPRODUCT($AI$5:$DF$5,'Staff Daily sales'!$G1409:$CD1409))</f>
        <v>0</v>
      </c>
      <c r="G1424">
        <f>IF($E1424=0,0,SUMPRODUCT($AI$6:$DF$6,'Staff Daily sales'!$G1409:$CD1409))</f>
        <v>0</v>
      </c>
      <c r="H1424">
        <f t="shared" si="363"/>
        <v>0</v>
      </c>
      <c r="I1424">
        <f t="shared" si="364"/>
        <v>0</v>
      </c>
      <c r="J1424">
        <f t="shared" si="365"/>
        <v>0</v>
      </c>
      <c r="K1424">
        <f t="shared" si="366"/>
        <v>0</v>
      </c>
      <c r="L1424">
        <f>--AND($E1424=1,OR('Staff Dashboard'!$B$6="All",$DH1424='Staff Dashboard'!$B$6),OR('Staff Dashboard'!$B$7="All",$D1424='Staff Dashboard'!$B$7),OR('Staff Dashboard'!$B$8="All",$A1424='Staff Dashboard'!$B$8))</f>
        <v>0</v>
      </c>
      <c r="M1424">
        <f>IF($E1424=0,0,SUMPRODUCT($AI$7:$DF$7,'Staff Daily sales'!$G1409:$CD1409))</f>
        <v>0</v>
      </c>
      <c r="N1424">
        <f>IF($E1424=0,0,SUMPRODUCT($AI$8:$DF$8,'Staff Daily sales'!$G1409:$CD1409))</f>
        <v>0</v>
      </c>
      <c r="O1424">
        <f>IF($E1424=0,0,SUMPRODUCT($AI$9:$DF$9,'Staff Daily sales'!$G1409:$CD1409))</f>
        <v>0</v>
      </c>
      <c r="P1424">
        <f>IF($E1424=0,0,SUMPRODUCT($AI$10:$DF$10,'Staff Daily sales'!$G1409:$CD1409))</f>
        <v>0</v>
      </c>
      <c r="Q1424">
        <f>IF($E1424=0,0,SUMPRODUCT($AI$11:$DF$11,'Staff Daily sales'!$G1409:$CD1409))</f>
        <v>0</v>
      </c>
      <c r="R1424">
        <f>IF($E1424=0,0,SUMPRODUCT($AI$12:$DF$12,'Staff Daily sales'!$G1409:$CD1409))</f>
        <v>0</v>
      </c>
      <c r="S1424">
        <f>IF($E1424=0,0,SUMPRODUCT($AI$13:$DF$13,'Staff Daily sales'!$G1409:$CD1409))</f>
        <v>0</v>
      </c>
      <c r="T1424">
        <f>IF($E1424=0,0,SUMPRODUCT($AI$14:$DF$14,'Staff Daily sales'!$G1409:$CD1409))</f>
        <v>0</v>
      </c>
      <c r="U1424">
        <f>IF($E1424=0,0,SUMPRODUCT($AI$15:$DF$15,'Staff Daily sales'!$G1409:$CD1409))</f>
        <v>0</v>
      </c>
      <c r="V1424">
        <f>IF($E1424=0,0,SUMPRODUCT($AI$16:$DF$16,'Staff Daily sales'!$G1409:$CD1409))</f>
        <v>0</v>
      </c>
      <c r="W1424">
        <f t="shared" si="367"/>
        <v>0</v>
      </c>
      <c r="X1424">
        <f t="shared" si="368"/>
        <v>0</v>
      </c>
      <c r="Y1424">
        <f t="shared" si="369"/>
        <v>0</v>
      </c>
      <c r="Z1424">
        <f t="shared" si="370"/>
        <v>0</v>
      </c>
      <c r="AA1424">
        <f t="shared" si="371"/>
        <v>0</v>
      </c>
      <c r="AB1424">
        <f>--AND($E1424=1,OR('Staff Weekly Trend'!$B$3="All",$DH1424='Staff Weekly Trend'!$B$3),OR('Staff Weekly Trend'!$B$4="All",$D1424='Staff Weekly Trend'!$B$4),OR('Staff Weekly Trend'!$B$5="All",$A1424='Staff Weekly Trend'!$B$5))</f>
        <v>0</v>
      </c>
      <c r="AC1424" t="str">
        <f t="shared" si="372"/>
        <v/>
      </c>
      <c r="AI1424">
        <f t="shared" si="373"/>
        <v>0</v>
      </c>
      <c r="AJ1424">
        <f t="shared" si="374"/>
        <v>0</v>
      </c>
      <c r="AK1424">
        <f t="shared" si="375"/>
        <v>0</v>
      </c>
      <c r="AL1424">
        <f t="shared" si="376"/>
        <v>0</v>
      </c>
      <c r="AM1424">
        <f t="shared" si="377"/>
        <v>0</v>
      </c>
      <c r="DH1424" t="str" cm="1">
        <f t="array" ref="DH1424">IF($A1424="","",_xlfn.LET(_xlpm.c,IFERROR(_xlfn.XLOOKUP($A1424,TRIM('Sales and count'!$A$4:$A$300&amp;""),TRIM('Sales and count'!$B$4:$B$300&amp;"")),""),IF(OR(_xlpm.c="",_xlpm.c="0",LEFT(_xlpm.c,1)="#"),"Not set",_xlpm.c)))</f>
        <v/>
      </c>
    </row>
    <row r="1425" spans="1:112" x14ac:dyDescent="0.25">
      <c r="A1425" t="str">
        <f>IF('Staff Daily sales'!$B1410="","",TRIM('Staff Daily sales'!$B1410&amp;""))</f>
        <v/>
      </c>
      <c r="B1425" t="str">
        <f>IF('Staff Daily sales'!$D1410="","",TRIM('Staff Daily sales'!$D1410&amp;""))</f>
        <v/>
      </c>
      <c r="C1425" t="str">
        <f>IFERROR(TRIM('Staff Daily sales'!$E1410&amp;""),"")</f>
        <v/>
      </c>
      <c r="D1425" t="str">
        <f>IFERROR(IF(TRIM('Staff Daily sales'!$F1410&amp;"")="","Unassigned",TRIM('Staff Daily sales'!$F1410&amp;"")),"Unassigned")</f>
        <v>Unassigned</v>
      </c>
      <c r="E1425">
        <f t="shared" si="362"/>
        <v>0</v>
      </c>
      <c r="F1425">
        <f>IF($E1425=0,0,SUMPRODUCT($AI$5:$DF$5,'Staff Daily sales'!$G1410:$CD1410))</f>
        <v>0</v>
      </c>
      <c r="G1425">
        <f>IF($E1425=0,0,SUMPRODUCT($AI$6:$DF$6,'Staff Daily sales'!$G1410:$CD1410))</f>
        <v>0</v>
      </c>
      <c r="H1425">
        <f t="shared" si="363"/>
        <v>0</v>
      </c>
      <c r="I1425">
        <f t="shared" si="364"/>
        <v>0</v>
      </c>
      <c r="J1425">
        <f t="shared" si="365"/>
        <v>0</v>
      </c>
      <c r="K1425">
        <f t="shared" si="366"/>
        <v>0</v>
      </c>
      <c r="L1425">
        <f>--AND($E1425=1,OR('Staff Dashboard'!$B$6="All",$DH1425='Staff Dashboard'!$B$6),OR('Staff Dashboard'!$B$7="All",$D1425='Staff Dashboard'!$B$7),OR('Staff Dashboard'!$B$8="All",$A1425='Staff Dashboard'!$B$8))</f>
        <v>0</v>
      </c>
      <c r="M1425">
        <f>IF($E1425=0,0,SUMPRODUCT($AI$7:$DF$7,'Staff Daily sales'!$G1410:$CD1410))</f>
        <v>0</v>
      </c>
      <c r="N1425">
        <f>IF($E1425=0,0,SUMPRODUCT($AI$8:$DF$8,'Staff Daily sales'!$G1410:$CD1410))</f>
        <v>0</v>
      </c>
      <c r="O1425">
        <f>IF($E1425=0,0,SUMPRODUCT($AI$9:$DF$9,'Staff Daily sales'!$G1410:$CD1410))</f>
        <v>0</v>
      </c>
      <c r="P1425">
        <f>IF($E1425=0,0,SUMPRODUCT($AI$10:$DF$10,'Staff Daily sales'!$G1410:$CD1410))</f>
        <v>0</v>
      </c>
      <c r="Q1425">
        <f>IF($E1425=0,0,SUMPRODUCT($AI$11:$DF$11,'Staff Daily sales'!$G1410:$CD1410))</f>
        <v>0</v>
      </c>
      <c r="R1425">
        <f>IF($E1425=0,0,SUMPRODUCT($AI$12:$DF$12,'Staff Daily sales'!$G1410:$CD1410))</f>
        <v>0</v>
      </c>
      <c r="S1425">
        <f>IF($E1425=0,0,SUMPRODUCT($AI$13:$DF$13,'Staff Daily sales'!$G1410:$CD1410))</f>
        <v>0</v>
      </c>
      <c r="T1425">
        <f>IF($E1425=0,0,SUMPRODUCT($AI$14:$DF$14,'Staff Daily sales'!$G1410:$CD1410))</f>
        <v>0</v>
      </c>
      <c r="U1425">
        <f>IF($E1425=0,0,SUMPRODUCT($AI$15:$DF$15,'Staff Daily sales'!$G1410:$CD1410))</f>
        <v>0</v>
      </c>
      <c r="V1425">
        <f>IF($E1425=0,0,SUMPRODUCT($AI$16:$DF$16,'Staff Daily sales'!$G1410:$CD1410))</f>
        <v>0</v>
      </c>
      <c r="W1425">
        <f t="shared" si="367"/>
        <v>0</v>
      </c>
      <c r="X1425">
        <f t="shared" si="368"/>
        <v>0</v>
      </c>
      <c r="Y1425">
        <f t="shared" si="369"/>
        <v>0</v>
      </c>
      <c r="Z1425">
        <f t="shared" si="370"/>
        <v>0</v>
      </c>
      <c r="AA1425">
        <f t="shared" si="371"/>
        <v>0</v>
      </c>
      <c r="AB1425">
        <f>--AND($E1425=1,OR('Staff Weekly Trend'!$B$3="All",$DH1425='Staff Weekly Trend'!$B$3),OR('Staff Weekly Trend'!$B$4="All",$D1425='Staff Weekly Trend'!$B$4),OR('Staff Weekly Trend'!$B$5="All",$A1425='Staff Weekly Trend'!$B$5))</f>
        <v>0</v>
      </c>
      <c r="AC1425" t="str">
        <f t="shared" si="372"/>
        <v/>
      </c>
      <c r="AI1425">
        <f t="shared" si="373"/>
        <v>0</v>
      </c>
      <c r="AJ1425">
        <f t="shared" si="374"/>
        <v>0</v>
      </c>
      <c r="AK1425">
        <f t="shared" si="375"/>
        <v>0</v>
      </c>
      <c r="AL1425">
        <f t="shared" si="376"/>
        <v>0</v>
      </c>
      <c r="AM1425">
        <f t="shared" si="377"/>
        <v>0</v>
      </c>
      <c r="DH1425" t="str" cm="1">
        <f t="array" ref="DH1425">IF($A1425="","",_xlfn.LET(_xlpm.c,IFERROR(_xlfn.XLOOKUP($A1425,TRIM('Sales and count'!$A$4:$A$300&amp;""),TRIM('Sales and count'!$B$4:$B$300&amp;"")),""),IF(OR(_xlpm.c="",_xlpm.c="0",LEFT(_xlpm.c,1)="#"),"Not set",_xlpm.c)))</f>
        <v/>
      </c>
    </row>
    <row r="1426" spans="1:112" x14ac:dyDescent="0.25">
      <c r="A1426" t="str">
        <f>IF('Staff Daily sales'!$B1411="","",TRIM('Staff Daily sales'!$B1411&amp;""))</f>
        <v/>
      </c>
      <c r="B1426" t="str">
        <f>IF('Staff Daily sales'!$D1411="","",TRIM('Staff Daily sales'!$D1411&amp;""))</f>
        <v/>
      </c>
      <c r="C1426" t="str">
        <f>IFERROR(TRIM('Staff Daily sales'!$E1411&amp;""),"")</f>
        <v/>
      </c>
      <c r="D1426" t="str">
        <f>IFERROR(IF(TRIM('Staff Daily sales'!$F1411&amp;"")="","Unassigned",TRIM('Staff Daily sales'!$F1411&amp;"")),"Unassigned")</f>
        <v>Unassigned</v>
      </c>
      <c r="E1426">
        <f t="shared" si="362"/>
        <v>0</v>
      </c>
      <c r="F1426">
        <f>IF($E1426=0,0,SUMPRODUCT($AI$5:$DF$5,'Staff Daily sales'!$G1411:$CD1411))</f>
        <v>0</v>
      </c>
      <c r="G1426">
        <f>IF($E1426=0,0,SUMPRODUCT($AI$6:$DF$6,'Staff Daily sales'!$G1411:$CD1411))</f>
        <v>0</v>
      </c>
      <c r="H1426">
        <f t="shared" si="363"/>
        <v>0</v>
      </c>
      <c r="I1426">
        <f t="shared" si="364"/>
        <v>0</v>
      </c>
      <c r="J1426">
        <f t="shared" si="365"/>
        <v>0</v>
      </c>
      <c r="K1426">
        <f t="shared" si="366"/>
        <v>0</v>
      </c>
      <c r="L1426">
        <f>--AND($E1426=1,OR('Staff Dashboard'!$B$6="All",$DH1426='Staff Dashboard'!$B$6),OR('Staff Dashboard'!$B$7="All",$D1426='Staff Dashboard'!$B$7),OR('Staff Dashboard'!$B$8="All",$A1426='Staff Dashboard'!$B$8))</f>
        <v>0</v>
      </c>
      <c r="M1426">
        <f>IF($E1426=0,0,SUMPRODUCT($AI$7:$DF$7,'Staff Daily sales'!$G1411:$CD1411))</f>
        <v>0</v>
      </c>
      <c r="N1426">
        <f>IF($E1426=0,0,SUMPRODUCT($AI$8:$DF$8,'Staff Daily sales'!$G1411:$CD1411))</f>
        <v>0</v>
      </c>
      <c r="O1426">
        <f>IF($E1426=0,0,SUMPRODUCT($AI$9:$DF$9,'Staff Daily sales'!$G1411:$CD1411))</f>
        <v>0</v>
      </c>
      <c r="P1426">
        <f>IF($E1426=0,0,SUMPRODUCT($AI$10:$DF$10,'Staff Daily sales'!$G1411:$CD1411))</f>
        <v>0</v>
      </c>
      <c r="Q1426">
        <f>IF($E1426=0,0,SUMPRODUCT($AI$11:$DF$11,'Staff Daily sales'!$G1411:$CD1411))</f>
        <v>0</v>
      </c>
      <c r="R1426">
        <f>IF($E1426=0,0,SUMPRODUCT($AI$12:$DF$12,'Staff Daily sales'!$G1411:$CD1411))</f>
        <v>0</v>
      </c>
      <c r="S1426">
        <f>IF($E1426=0,0,SUMPRODUCT($AI$13:$DF$13,'Staff Daily sales'!$G1411:$CD1411))</f>
        <v>0</v>
      </c>
      <c r="T1426">
        <f>IF($E1426=0,0,SUMPRODUCT($AI$14:$DF$14,'Staff Daily sales'!$G1411:$CD1411))</f>
        <v>0</v>
      </c>
      <c r="U1426">
        <f>IF($E1426=0,0,SUMPRODUCT($AI$15:$DF$15,'Staff Daily sales'!$G1411:$CD1411))</f>
        <v>0</v>
      </c>
      <c r="V1426">
        <f>IF($E1426=0,0,SUMPRODUCT($AI$16:$DF$16,'Staff Daily sales'!$G1411:$CD1411))</f>
        <v>0</v>
      </c>
      <c r="W1426">
        <f t="shared" si="367"/>
        <v>0</v>
      </c>
      <c r="X1426">
        <f t="shared" si="368"/>
        <v>0</v>
      </c>
      <c r="Y1426">
        <f t="shared" si="369"/>
        <v>0</v>
      </c>
      <c r="Z1426">
        <f t="shared" si="370"/>
        <v>0</v>
      </c>
      <c r="AA1426">
        <f t="shared" si="371"/>
        <v>0</v>
      </c>
      <c r="AB1426">
        <f>--AND($E1426=1,OR('Staff Weekly Trend'!$B$3="All",$DH1426='Staff Weekly Trend'!$B$3),OR('Staff Weekly Trend'!$B$4="All",$D1426='Staff Weekly Trend'!$B$4),OR('Staff Weekly Trend'!$B$5="All",$A1426='Staff Weekly Trend'!$B$5))</f>
        <v>0</v>
      </c>
      <c r="AC1426" t="str">
        <f t="shared" si="372"/>
        <v/>
      </c>
      <c r="AI1426">
        <f t="shared" si="373"/>
        <v>0</v>
      </c>
      <c r="AJ1426">
        <f t="shared" si="374"/>
        <v>0</v>
      </c>
      <c r="AK1426">
        <f t="shared" si="375"/>
        <v>0</v>
      </c>
      <c r="AL1426">
        <f t="shared" si="376"/>
        <v>0</v>
      </c>
      <c r="AM1426">
        <f t="shared" si="377"/>
        <v>0</v>
      </c>
      <c r="DH1426" t="str" cm="1">
        <f t="array" ref="DH1426">IF($A1426="","",_xlfn.LET(_xlpm.c,IFERROR(_xlfn.XLOOKUP($A1426,TRIM('Sales and count'!$A$4:$A$300&amp;""),TRIM('Sales and count'!$B$4:$B$300&amp;"")),""),IF(OR(_xlpm.c="",_xlpm.c="0",LEFT(_xlpm.c,1)="#"),"Not set",_xlpm.c)))</f>
        <v/>
      </c>
    </row>
    <row r="1427" spans="1:112" x14ac:dyDescent="0.25">
      <c r="A1427" t="str">
        <f>IF('Staff Daily sales'!$B1412="","",TRIM('Staff Daily sales'!$B1412&amp;""))</f>
        <v/>
      </c>
      <c r="B1427" t="str">
        <f>IF('Staff Daily sales'!$D1412="","",TRIM('Staff Daily sales'!$D1412&amp;""))</f>
        <v/>
      </c>
      <c r="C1427" t="str">
        <f>IFERROR(TRIM('Staff Daily sales'!$E1412&amp;""),"")</f>
        <v/>
      </c>
      <c r="D1427" t="str">
        <f>IFERROR(IF(TRIM('Staff Daily sales'!$F1412&amp;"")="","Unassigned",TRIM('Staff Daily sales'!$F1412&amp;"")),"Unassigned")</f>
        <v>Unassigned</v>
      </c>
      <c r="E1427">
        <f t="shared" si="362"/>
        <v>0</v>
      </c>
      <c r="F1427">
        <f>IF($E1427=0,0,SUMPRODUCT($AI$5:$DF$5,'Staff Daily sales'!$G1412:$CD1412))</f>
        <v>0</v>
      </c>
      <c r="G1427">
        <f>IF($E1427=0,0,SUMPRODUCT($AI$6:$DF$6,'Staff Daily sales'!$G1412:$CD1412))</f>
        <v>0</v>
      </c>
      <c r="H1427">
        <f t="shared" si="363"/>
        <v>0</v>
      </c>
      <c r="I1427">
        <f t="shared" si="364"/>
        <v>0</v>
      </c>
      <c r="J1427">
        <f t="shared" si="365"/>
        <v>0</v>
      </c>
      <c r="K1427">
        <f t="shared" si="366"/>
        <v>0</v>
      </c>
      <c r="L1427">
        <f>--AND($E1427=1,OR('Staff Dashboard'!$B$6="All",$DH1427='Staff Dashboard'!$B$6),OR('Staff Dashboard'!$B$7="All",$D1427='Staff Dashboard'!$B$7),OR('Staff Dashboard'!$B$8="All",$A1427='Staff Dashboard'!$B$8))</f>
        <v>0</v>
      </c>
      <c r="M1427">
        <f>IF($E1427=0,0,SUMPRODUCT($AI$7:$DF$7,'Staff Daily sales'!$G1412:$CD1412))</f>
        <v>0</v>
      </c>
      <c r="N1427">
        <f>IF($E1427=0,0,SUMPRODUCT($AI$8:$DF$8,'Staff Daily sales'!$G1412:$CD1412))</f>
        <v>0</v>
      </c>
      <c r="O1427">
        <f>IF($E1427=0,0,SUMPRODUCT($AI$9:$DF$9,'Staff Daily sales'!$G1412:$CD1412))</f>
        <v>0</v>
      </c>
      <c r="P1427">
        <f>IF($E1427=0,0,SUMPRODUCT($AI$10:$DF$10,'Staff Daily sales'!$G1412:$CD1412))</f>
        <v>0</v>
      </c>
      <c r="Q1427">
        <f>IF($E1427=0,0,SUMPRODUCT($AI$11:$DF$11,'Staff Daily sales'!$G1412:$CD1412))</f>
        <v>0</v>
      </c>
      <c r="R1427">
        <f>IF($E1427=0,0,SUMPRODUCT($AI$12:$DF$12,'Staff Daily sales'!$G1412:$CD1412))</f>
        <v>0</v>
      </c>
      <c r="S1427">
        <f>IF($E1427=0,0,SUMPRODUCT($AI$13:$DF$13,'Staff Daily sales'!$G1412:$CD1412))</f>
        <v>0</v>
      </c>
      <c r="T1427">
        <f>IF($E1427=0,0,SUMPRODUCT($AI$14:$DF$14,'Staff Daily sales'!$G1412:$CD1412))</f>
        <v>0</v>
      </c>
      <c r="U1427">
        <f>IF($E1427=0,0,SUMPRODUCT($AI$15:$DF$15,'Staff Daily sales'!$G1412:$CD1412))</f>
        <v>0</v>
      </c>
      <c r="V1427">
        <f>IF($E1427=0,0,SUMPRODUCT($AI$16:$DF$16,'Staff Daily sales'!$G1412:$CD1412))</f>
        <v>0</v>
      </c>
      <c r="W1427">
        <f t="shared" si="367"/>
        <v>0</v>
      </c>
      <c r="X1427">
        <f t="shared" si="368"/>
        <v>0</v>
      </c>
      <c r="Y1427">
        <f t="shared" si="369"/>
        <v>0</v>
      </c>
      <c r="Z1427">
        <f t="shared" si="370"/>
        <v>0</v>
      </c>
      <c r="AA1427">
        <f t="shared" si="371"/>
        <v>0</v>
      </c>
      <c r="AB1427">
        <f>--AND($E1427=1,OR('Staff Weekly Trend'!$B$3="All",$DH1427='Staff Weekly Trend'!$B$3),OR('Staff Weekly Trend'!$B$4="All",$D1427='Staff Weekly Trend'!$B$4),OR('Staff Weekly Trend'!$B$5="All",$A1427='Staff Weekly Trend'!$B$5))</f>
        <v>0</v>
      </c>
      <c r="AC1427" t="str">
        <f t="shared" si="372"/>
        <v/>
      </c>
      <c r="AI1427">
        <f t="shared" si="373"/>
        <v>0</v>
      </c>
      <c r="AJ1427">
        <f t="shared" si="374"/>
        <v>0</v>
      </c>
      <c r="AK1427">
        <f t="shared" si="375"/>
        <v>0</v>
      </c>
      <c r="AL1427">
        <f t="shared" si="376"/>
        <v>0</v>
      </c>
      <c r="AM1427">
        <f t="shared" si="377"/>
        <v>0</v>
      </c>
      <c r="DH1427" t="str" cm="1">
        <f t="array" ref="DH1427">IF($A1427="","",_xlfn.LET(_xlpm.c,IFERROR(_xlfn.XLOOKUP($A1427,TRIM('Sales and count'!$A$4:$A$300&amp;""),TRIM('Sales and count'!$B$4:$B$300&amp;"")),""),IF(OR(_xlpm.c="",_xlpm.c="0",LEFT(_xlpm.c,1)="#"),"Not set",_xlpm.c)))</f>
        <v/>
      </c>
    </row>
    <row r="1428" spans="1:112" x14ac:dyDescent="0.25">
      <c r="A1428" t="str">
        <f>IF('Staff Daily sales'!$B1413="","",TRIM('Staff Daily sales'!$B1413&amp;""))</f>
        <v/>
      </c>
      <c r="B1428" t="str">
        <f>IF('Staff Daily sales'!$D1413="","",TRIM('Staff Daily sales'!$D1413&amp;""))</f>
        <v/>
      </c>
      <c r="C1428" t="str">
        <f>IFERROR(TRIM('Staff Daily sales'!$E1413&amp;""),"")</f>
        <v/>
      </c>
      <c r="D1428" t="str">
        <f>IFERROR(IF(TRIM('Staff Daily sales'!$F1413&amp;"")="","Unassigned",TRIM('Staff Daily sales'!$F1413&amp;"")),"Unassigned")</f>
        <v>Unassigned</v>
      </c>
      <c r="E1428">
        <f t="shared" ref="E1428:E1491" si="378">--AND($A1428&lt;&gt;"",$B1428&lt;&gt;"")</f>
        <v>0</v>
      </c>
      <c r="F1428">
        <f>IF($E1428=0,0,SUMPRODUCT($AI$5:$DF$5,'Staff Daily sales'!$G1413:$CD1413))</f>
        <v>0</v>
      </c>
      <c r="G1428">
        <f>IF($E1428=0,0,SUMPRODUCT($AI$6:$DF$6,'Staff Daily sales'!$G1413:$CD1413))</f>
        <v>0</v>
      </c>
      <c r="H1428">
        <f t="shared" ref="H1428:H1491" si="379">IF($E1428=0,0,SUMIFS($F$20:$F$1515,$A$20:$A$1515,$A1428))</f>
        <v>0</v>
      </c>
      <c r="I1428">
        <f t="shared" ref="I1428:I1491" si="380">IF($E1428=0,0,SUMIFS($G$20:$G$1515,$A$20:$A$1515,$A1428))</f>
        <v>0</v>
      </c>
      <c r="J1428">
        <f t="shared" ref="J1428:J1491" si="381">IF($E1428=0,0,SUMIFS($F$20:$F$1515,$D$20:$D$1515,$D1428))</f>
        <v>0</v>
      </c>
      <c r="K1428">
        <f t="shared" ref="K1428:K1491" si="382">IF($E1428=0,0,SUMIFS($G$20:$G$1515,$D$20:$D$1515,$D1428))</f>
        <v>0</v>
      </c>
      <c r="L1428">
        <f>--AND($E1428=1,OR('Staff Dashboard'!$B$6="All",$DH1428='Staff Dashboard'!$B$6),OR('Staff Dashboard'!$B$7="All",$D1428='Staff Dashboard'!$B$7),OR('Staff Dashboard'!$B$8="All",$A1428='Staff Dashboard'!$B$8))</f>
        <v>0</v>
      </c>
      <c r="M1428">
        <f>IF($E1428=0,0,SUMPRODUCT($AI$7:$DF$7,'Staff Daily sales'!$G1413:$CD1413))</f>
        <v>0</v>
      </c>
      <c r="N1428">
        <f>IF($E1428=0,0,SUMPRODUCT($AI$8:$DF$8,'Staff Daily sales'!$G1413:$CD1413))</f>
        <v>0</v>
      </c>
      <c r="O1428">
        <f>IF($E1428=0,0,SUMPRODUCT($AI$9:$DF$9,'Staff Daily sales'!$G1413:$CD1413))</f>
        <v>0</v>
      </c>
      <c r="P1428">
        <f>IF($E1428=0,0,SUMPRODUCT($AI$10:$DF$10,'Staff Daily sales'!$G1413:$CD1413))</f>
        <v>0</v>
      </c>
      <c r="Q1428">
        <f>IF($E1428=0,0,SUMPRODUCT($AI$11:$DF$11,'Staff Daily sales'!$G1413:$CD1413))</f>
        <v>0</v>
      </c>
      <c r="R1428">
        <f>IF($E1428=0,0,SUMPRODUCT($AI$12:$DF$12,'Staff Daily sales'!$G1413:$CD1413))</f>
        <v>0</v>
      </c>
      <c r="S1428">
        <f>IF($E1428=0,0,SUMPRODUCT($AI$13:$DF$13,'Staff Daily sales'!$G1413:$CD1413))</f>
        <v>0</v>
      </c>
      <c r="T1428">
        <f>IF($E1428=0,0,SUMPRODUCT($AI$14:$DF$14,'Staff Daily sales'!$G1413:$CD1413))</f>
        <v>0</v>
      </c>
      <c r="U1428">
        <f>IF($E1428=0,0,SUMPRODUCT($AI$15:$DF$15,'Staff Daily sales'!$G1413:$CD1413))</f>
        <v>0</v>
      </c>
      <c r="V1428">
        <f>IF($E1428=0,0,SUMPRODUCT($AI$16:$DF$16,'Staff Daily sales'!$G1413:$CD1413))</f>
        <v>0</v>
      </c>
      <c r="W1428">
        <f t="shared" ref="W1428:W1491" si="383">IF($E1428=0,0,SUMIFS(M$20:M$1515,$A$20:$A$1515,$A1428))</f>
        <v>0</v>
      </c>
      <c r="X1428">
        <f t="shared" ref="X1428:X1491" si="384">IF($E1428=0,0,SUMIFS(O$20:O$1515,$A$20:$A$1515,$A1428))</f>
        <v>0</v>
      </c>
      <c r="Y1428">
        <f t="shared" ref="Y1428:Y1491" si="385">IF($E1428=0,0,SUMIFS(Q$20:Q$1515,$A$20:$A$1515,$A1428))</f>
        <v>0</v>
      </c>
      <c r="Z1428">
        <f t="shared" ref="Z1428:Z1491" si="386">IF($E1428=0,0,SUMIFS(S$20:S$1515,$A$20:$A$1515,$A1428))</f>
        <v>0</v>
      </c>
      <c r="AA1428">
        <f t="shared" ref="AA1428:AA1491" si="387">IF($E1428=0,0,SUMIFS(U$20:U$1515,$A$20:$A$1515,$A1428))</f>
        <v>0</v>
      </c>
      <c r="AB1428">
        <f>--AND($E1428=1,OR('Staff Weekly Trend'!$B$3="All",$DH1428='Staff Weekly Trend'!$B$3),OR('Staff Weekly Trend'!$B$4="All",$D1428='Staff Weekly Trend'!$B$4),OR('Staff Weekly Trend'!$B$5="All",$A1428='Staff Weekly Trend'!$B$5))</f>
        <v>0</v>
      </c>
      <c r="AC1428" t="str">
        <f t="shared" ref="AC1428:AC1491" si="388">IF(OR($E1428=0,AND($F1428=0,$G1428=0)),"",COUNTIFS($A$20:$A$1515,$A1428,$E$20:$E$1515,1,$F$20:$F$1515,"&gt;"&amp;$F1428)+1)</f>
        <v/>
      </c>
      <c r="AI1428">
        <f t="shared" ref="AI1428:AI1491" si="389">IF($E1428=0,0,SUMIFS(N$20:N$1515,$A$20:$A$1515,$A1428))</f>
        <v>0</v>
      </c>
      <c r="AJ1428">
        <f t="shared" ref="AJ1428:AJ1491" si="390">IF($E1428=0,0,SUMIFS(P$20:P$1515,$A$20:$A$1515,$A1428))</f>
        <v>0</v>
      </c>
      <c r="AK1428">
        <f t="shared" ref="AK1428:AK1491" si="391">IF($E1428=0,0,SUMIFS(R$20:R$1515,$A$20:$A$1515,$A1428))</f>
        <v>0</v>
      </c>
      <c r="AL1428">
        <f t="shared" ref="AL1428:AL1491" si="392">IF($E1428=0,0,SUMIFS(T$20:T$1515,$A$20:$A$1515,$A1428))</f>
        <v>0</v>
      </c>
      <c r="AM1428">
        <f t="shared" ref="AM1428:AM1491" si="393">IF($E1428=0,0,SUMIFS(V$20:V$1515,$A$20:$A$1515,$A1428))</f>
        <v>0</v>
      </c>
      <c r="DH1428" t="str" cm="1">
        <f t="array" ref="DH1428">IF($A1428="","",_xlfn.LET(_xlpm.c,IFERROR(_xlfn.XLOOKUP($A1428,TRIM('Sales and count'!$A$4:$A$300&amp;""),TRIM('Sales and count'!$B$4:$B$300&amp;"")),""),IF(OR(_xlpm.c="",_xlpm.c="0",LEFT(_xlpm.c,1)="#"),"Not set",_xlpm.c)))</f>
        <v/>
      </c>
    </row>
    <row r="1429" spans="1:112" x14ac:dyDescent="0.25">
      <c r="A1429" t="str">
        <f>IF('Staff Daily sales'!$B1414="","",TRIM('Staff Daily sales'!$B1414&amp;""))</f>
        <v/>
      </c>
      <c r="B1429" t="str">
        <f>IF('Staff Daily sales'!$D1414="","",TRIM('Staff Daily sales'!$D1414&amp;""))</f>
        <v/>
      </c>
      <c r="C1429" t="str">
        <f>IFERROR(TRIM('Staff Daily sales'!$E1414&amp;""),"")</f>
        <v/>
      </c>
      <c r="D1429" t="str">
        <f>IFERROR(IF(TRIM('Staff Daily sales'!$F1414&amp;"")="","Unassigned",TRIM('Staff Daily sales'!$F1414&amp;"")),"Unassigned")</f>
        <v>Unassigned</v>
      </c>
      <c r="E1429">
        <f t="shared" si="378"/>
        <v>0</v>
      </c>
      <c r="F1429">
        <f>IF($E1429=0,0,SUMPRODUCT($AI$5:$DF$5,'Staff Daily sales'!$G1414:$CD1414))</f>
        <v>0</v>
      </c>
      <c r="G1429">
        <f>IF($E1429=0,0,SUMPRODUCT($AI$6:$DF$6,'Staff Daily sales'!$G1414:$CD1414))</f>
        <v>0</v>
      </c>
      <c r="H1429">
        <f t="shared" si="379"/>
        <v>0</v>
      </c>
      <c r="I1429">
        <f t="shared" si="380"/>
        <v>0</v>
      </c>
      <c r="J1429">
        <f t="shared" si="381"/>
        <v>0</v>
      </c>
      <c r="K1429">
        <f t="shared" si="382"/>
        <v>0</v>
      </c>
      <c r="L1429">
        <f>--AND($E1429=1,OR('Staff Dashboard'!$B$6="All",$DH1429='Staff Dashboard'!$B$6),OR('Staff Dashboard'!$B$7="All",$D1429='Staff Dashboard'!$B$7),OR('Staff Dashboard'!$B$8="All",$A1429='Staff Dashboard'!$B$8))</f>
        <v>0</v>
      </c>
      <c r="M1429">
        <f>IF($E1429=0,0,SUMPRODUCT($AI$7:$DF$7,'Staff Daily sales'!$G1414:$CD1414))</f>
        <v>0</v>
      </c>
      <c r="N1429">
        <f>IF($E1429=0,0,SUMPRODUCT($AI$8:$DF$8,'Staff Daily sales'!$G1414:$CD1414))</f>
        <v>0</v>
      </c>
      <c r="O1429">
        <f>IF($E1429=0,0,SUMPRODUCT($AI$9:$DF$9,'Staff Daily sales'!$G1414:$CD1414))</f>
        <v>0</v>
      </c>
      <c r="P1429">
        <f>IF($E1429=0,0,SUMPRODUCT($AI$10:$DF$10,'Staff Daily sales'!$G1414:$CD1414))</f>
        <v>0</v>
      </c>
      <c r="Q1429">
        <f>IF($E1429=0,0,SUMPRODUCT($AI$11:$DF$11,'Staff Daily sales'!$G1414:$CD1414))</f>
        <v>0</v>
      </c>
      <c r="R1429">
        <f>IF($E1429=0,0,SUMPRODUCT($AI$12:$DF$12,'Staff Daily sales'!$G1414:$CD1414))</f>
        <v>0</v>
      </c>
      <c r="S1429">
        <f>IF($E1429=0,0,SUMPRODUCT($AI$13:$DF$13,'Staff Daily sales'!$G1414:$CD1414))</f>
        <v>0</v>
      </c>
      <c r="T1429">
        <f>IF($E1429=0,0,SUMPRODUCT($AI$14:$DF$14,'Staff Daily sales'!$G1414:$CD1414))</f>
        <v>0</v>
      </c>
      <c r="U1429">
        <f>IF($E1429=0,0,SUMPRODUCT($AI$15:$DF$15,'Staff Daily sales'!$G1414:$CD1414))</f>
        <v>0</v>
      </c>
      <c r="V1429">
        <f>IF($E1429=0,0,SUMPRODUCT($AI$16:$DF$16,'Staff Daily sales'!$G1414:$CD1414))</f>
        <v>0</v>
      </c>
      <c r="W1429">
        <f t="shared" si="383"/>
        <v>0</v>
      </c>
      <c r="X1429">
        <f t="shared" si="384"/>
        <v>0</v>
      </c>
      <c r="Y1429">
        <f t="shared" si="385"/>
        <v>0</v>
      </c>
      <c r="Z1429">
        <f t="shared" si="386"/>
        <v>0</v>
      </c>
      <c r="AA1429">
        <f t="shared" si="387"/>
        <v>0</v>
      </c>
      <c r="AB1429">
        <f>--AND($E1429=1,OR('Staff Weekly Trend'!$B$3="All",$DH1429='Staff Weekly Trend'!$B$3),OR('Staff Weekly Trend'!$B$4="All",$D1429='Staff Weekly Trend'!$B$4),OR('Staff Weekly Trend'!$B$5="All",$A1429='Staff Weekly Trend'!$B$5))</f>
        <v>0</v>
      </c>
      <c r="AC1429" t="str">
        <f t="shared" si="388"/>
        <v/>
      </c>
      <c r="AI1429">
        <f t="shared" si="389"/>
        <v>0</v>
      </c>
      <c r="AJ1429">
        <f t="shared" si="390"/>
        <v>0</v>
      </c>
      <c r="AK1429">
        <f t="shared" si="391"/>
        <v>0</v>
      </c>
      <c r="AL1429">
        <f t="shared" si="392"/>
        <v>0</v>
      </c>
      <c r="AM1429">
        <f t="shared" si="393"/>
        <v>0</v>
      </c>
      <c r="DH1429" t="str" cm="1">
        <f t="array" ref="DH1429">IF($A1429="","",_xlfn.LET(_xlpm.c,IFERROR(_xlfn.XLOOKUP($A1429,TRIM('Sales and count'!$A$4:$A$300&amp;""),TRIM('Sales and count'!$B$4:$B$300&amp;"")),""),IF(OR(_xlpm.c="",_xlpm.c="0",LEFT(_xlpm.c,1)="#"),"Not set",_xlpm.c)))</f>
        <v/>
      </c>
    </row>
    <row r="1430" spans="1:112" x14ac:dyDescent="0.25">
      <c r="A1430" t="str">
        <f>IF('Staff Daily sales'!$B1415="","",TRIM('Staff Daily sales'!$B1415&amp;""))</f>
        <v/>
      </c>
      <c r="B1430" t="str">
        <f>IF('Staff Daily sales'!$D1415="","",TRIM('Staff Daily sales'!$D1415&amp;""))</f>
        <v/>
      </c>
      <c r="C1430" t="str">
        <f>IFERROR(TRIM('Staff Daily sales'!$E1415&amp;""),"")</f>
        <v/>
      </c>
      <c r="D1430" t="str">
        <f>IFERROR(IF(TRIM('Staff Daily sales'!$F1415&amp;"")="","Unassigned",TRIM('Staff Daily sales'!$F1415&amp;"")),"Unassigned")</f>
        <v>Unassigned</v>
      </c>
      <c r="E1430">
        <f t="shared" si="378"/>
        <v>0</v>
      </c>
      <c r="F1430">
        <f>IF($E1430=0,0,SUMPRODUCT($AI$5:$DF$5,'Staff Daily sales'!$G1415:$CD1415))</f>
        <v>0</v>
      </c>
      <c r="G1430">
        <f>IF($E1430=0,0,SUMPRODUCT($AI$6:$DF$6,'Staff Daily sales'!$G1415:$CD1415))</f>
        <v>0</v>
      </c>
      <c r="H1430">
        <f t="shared" si="379"/>
        <v>0</v>
      </c>
      <c r="I1430">
        <f t="shared" si="380"/>
        <v>0</v>
      </c>
      <c r="J1430">
        <f t="shared" si="381"/>
        <v>0</v>
      </c>
      <c r="K1430">
        <f t="shared" si="382"/>
        <v>0</v>
      </c>
      <c r="L1430">
        <f>--AND($E1430=1,OR('Staff Dashboard'!$B$6="All",$DH1430='Staff Dashboard'!$B$6),OR('Staff Dashboard'!$B$7="All",$D1430='Staff Dashboard'!$B$7),OR('Staff Dashboard'!$B$8="All",$A1430='Staff Dashboard'!$B$8))</f>
        <v>0</v>
      </c>
      <c r="M1430">
        <f>IF($E1430=0,0,SUMPRODUCT($AI$7:$DF$7,'Staff Daily sales'!$G1415:$CD1415))</f>
        <v>0</v>
      </c>
      <c r="N1430">
        <f>IF($E1430=0,0,SUMPRODUCT($AI$8:$DF$8,'Staff Daily sales'!$G1415:$CD1415))</f>
        <v>0</v>
      </c>
      <c r="O1430">
        <f>IF($E1430=0,0,SUMPRODUCT($AI$9:$DF$9,'Staff Daily sales'!$G1415:$CD1415))</f>
        <v>0</v>
      </c>
      <c r="P1430">
        <f>IF($E1430=0,0,SUMPRODUCT($AI$10:$DF$10,'Staff Daily sales'!$G1415:$CD1415))</f>
        <v>0</v>
      </c>
      <c r="Q1430">
        <f>IF($E1430=0,0,SUMPRODUCT($AI$11:$DF$11,'Staff Daily sales'!$G1415:$CD1415))</f>
        <v>0</v>
      </c>
      <c r="R1430">
        <f>IF($E1430=0,0,SUMPRODUCT($AI$12:$DF$12,'Staff Daily sales'!$G1415:$CD1415))</f>
        <v>0</v>
      </c>
      <c r="S1430">
        <f>IF($E1430=0,0,SUMPRODUCT($AI$13:$DF$13,'Staff Daily sales'!$G1415:$CD1415))</f>
        <v>0</v>
      </c>
      <c r="T1430">
        <f>IF($E1430=0,0,SUMPRODUCT($AI$14:$DF$14,'Staff Daily sales'!$G1415:$CD1415))</f>
        <v>0</v>
      </c>
      <c r="U1430">
        <f>IF($E1430=0,0,SUMPRODUCT($AI$15:$DF$15,'Staff Daily sales'!$G1415:$CD1415))</f>
        <v>0</v>
      </c>
      <c r="V1430">
        <f>IF($E1430=0,0,SUMPRODUCT($AI$16:$DF$16,'Staff Daily sales'!$G1415:$CD1415))</f>
        <v>0</v>
      </c>
      <c r="W1430">
        <f t="shared" si="383"/>
        <v>0</v>
      </c>
      <c r="X1430">
        <f t="shared" si="384"/>
        <v>0</v>
      </c>
      <c r="Y1430">
        <f t="shared" si="385"/>
        <v>0</v>
      </c>
      <c r="Z1430">
        <f t="shared" si="386"/>
        <v>0</v>
      </c>
      <c r="AA1430">
        <f t="shared" si="387"/>
        <v>0</v>
      </c>
      <c r="AB1430">
        <f>--AND($E1430=1,OR('Staff Weekly Trend'!$B$3="All",$DH1430='Staff Weekly Trend'!$B$3),OR('Staff Weekly Trend'!$B$4="All",$D1430='Staff Weekly Trend'!$B$4),OR('Staff Weekly Trend'!$B$5="All",$A1430='Staff Weekly Trend'!$B$5))</f>
        <v>0</v>
      </c>
      <c r="AC1430" t="str">
        <f t="shared" si="388"/>
        <v/>
      </c>
      <c r="AI1430">
        <f t="shared" si="389"/>
        <v>0</v>
      </c>
      <c r="AJ1430">
        <f t="shared" si="390"/>
        <v>0</v>
      </c>
      <c r="AK1430">
        <f t="shared" si="391"/>
        <v>0</v>
      </c>
      <c r="AL1430">
        <f t="shared" si="392"/>
        <v>0</v>
      </c>
      <c r="AM1430">
        <f t="shared" si="393"/>
        <v>0</v>
      </c>
      <c r="DH1430" t="str" cm="1">
        <f t="array" ref="DH1430">IF($A1430="","",_xlfn.LET(_xlpm.c,IFERROR(_xlfn.XLOOKUP($A1430,TRIM('Sales and count'!$A$4:$A$300&amp;""),TRIM('Sales and count'!$B$4:$B$300&amp;"")),""),IF(OR(_xlpm.c="",_xlpm.c="0",LEFT(_xlpm.c,1)="#"),"Not set",_xlpm.c)))</f>
        <v/>
      </c>
    </row>
    <row r="1431" spans="1:112" x14ac:dyDescent="0.25">
      <c r="A1431" t="str">
        <f>IF('Staff Daily sales'!$B1416="","",TRIM('Staff Daily sales'!$B1416&amp;""))</f>
        <v/>
      </c>
      <c r="B1431" t="str">
        <f>IF('Staff Daily sales'!$D1416="","",TRIM('Staff Daily sales'!$D1416&amp;""))</f>
        <v/>
      </c>
      <c r="C1431" t="str">
        <f>IFERROR(TRIM('Staff Daily sales'!$E1416&amp;""),"")</f>
        <v/>
      </c>
      <c r="D1431" t="str">
        <f>IFERROR(IF(TRIM('Staff Daily sales'!$F1416&amp;"")="","Unassigned",TRIM('Staff Daily sales'!$F1416&amp;"")),"Unassigned")</f>
        <v>Unassigned</v>
      </c>
      <c r="E1431">
        <f t="shared" si="378"/>
        <v>0</v>
      </c>
      <c r="F1431">
        <f>IF($E1431=0,0,SUMPRODUCT($AI$5:$DF$5,'Staff Daily sales'!$G1416:$CD1416))</f>
        <v>0</v>
      </c>
      <c r="G1431">
        <f>IF($E1431=0,0,SUMPRODUCT($AI$6:$DF$6,'Staff Daily sales'!$G1416:$CD1416))</f>
        <v>0</v>
      </c>
      <c r="H1431">
        <f t="shared" si="379"/>
        <v>0</v>
      </c>
      <c r="I1431">
        <f t="shared" si="380"/>
        <v>0</v>
      </c>
      <c r="J1431">
        <f t="shared" si="381"/>
        <v>0</v>
      </c>
      <c r="K1431">
        <f t="shared" si="382"/>
        <v>0</v>
      </c>
      <c r="L1431">
        <f>--AND($E1431=1,OR('Staff Dashboard'!$B$6="All",$DH1431='Staff Dashboard'!$B$6),OR('Staff Dashboard'!$B$7="All",$D1431='Staff Dashboard'!$B$7),OR('Staff Dashboard'!$B$8="All",$A1431='Staff Dashboard'!$B$8))</f>
        <v>0</v>
      </c>
      <c r="M1431">
        <f>IF($E1431=0,0,SUMPRODUCT($AI$7:$DF$7,'Staff Daily sales'!$G1416:$CD1416))</f>
        <v>0</v>
      </c>
      <c r="N1431">
        <f>IF($E1431=0,0,SUMPRODUCT($AI$8:$DF$8,'Staff Daily sales'!$G1416:$CD1416))</f>
        <v>0</v>
      </c>
      <c r="O1431">
        <f>IF($E1431=0,0,SUMPRODUCT($AI$9:$DF$9,'Staff Daily sales'!$G1416:$CD1416))</f>
        <v>0</v>
      </c>
      <c r="P1431">
        <f>IF($E1431=0,0,SUMPRODUCT($AI$10:$DF$10,'Staff Daily sales'!$G1416:$CD1416))</f>
        <v>0</v>
      </c>
      <c r="Q1431">
        <f>IF($E1431=0,0,SUMPRODUCT($AI$11:$DF$11,'Staff Daily sales'!$G1416:$CD1416))</f>
        <v>0</v>
      </c>
      <c r="R1431">
        <f>IF($E1431=0,0,SUMPRODUCT($AI$12:$DF$12,'Staff Daily sales'!$G1416:$CD1416))</f>
        <v>0</v>
      </c>
      <c r="S1431">
        <f>IF($E1431=0,0,SUMPRODUCT($AI$13:$DF$13,'Staff Daily sales'!$G1416:$CD1416))</f>
        <v>0</v>
      </c>
      <c r="T1431">
        <f>IF($E1431=0,0,SUMPRODUCT($AI$14:$DF$14,'Staff Daily sales'!$G1416:$CD1416))</f>
        <v>0</v>
      </c>
      <c r="U1431">
        <f>IF($E1431=0,0,SUMPRODUCT($AI$15:$DF$15,'Staff Daily sales'!$G1416:$CD1416))</f>
        <v>0</v>
      </c>
      <c r="V1431">
        <f>IF($E1431=0,0,SUMPRODUCT($AI$16:$DF$16,'Staff Daily sales'!$G1416:$CD1416))</f>
        <v>0</v>
      </c>
      <c r="W1431">
        <f t="shared" si="383"/>
        <v>0</v>
      </c>
      <c r="X1431">
        <f t="shared" si="384"/>
        <v>0</v>
      </c>
      <c r="Y1431">
        <f t="shared" si="385"/>
        <v>0</v>
      </c>
      <c r="Z1431">
        <f t="shared" si="386"/>
        <v>0</v>
      </c>
      <c r="AA1431">
        <f t="shared" si="387"/>
        <v>0</v>
      </c>
      <c r="AB1431">
        <f>--AND($E1431=1,OR('Staff Weekly Trend'!$B$3="All",$DH1431='Staff Weekly Trend'!$B$3),OR('Staff Weekly Trend'!$B$4="All",$D1431='Staff Weekly Trend'!$B$4),OR('Staff Weekly Trend'!$B$5="All",$A1431='Staff Weekly Trend'!$B$5))</f>
        <v>0</v>
      </c>
      <c r="AC1431" t="str">
        <f t="shared" si="388"/>
        <v/>
      </c>
      <c r="AI1431">
        <f t="shared" si="389"/>
        <v>0</v>
      </c>
      <c r="AJ1431">
        <f t="shared" si="390"/>
        <v>0</v>
      </c>
      <c r="AK1431">
        <f t="shared" si="391"/>
        <v>0</v>
      </c>
      <c r="AL1431">
        <f t="shared" si="392"/>
        <v>0</v>
      </c>
      <c r="AM1431">
        <f t="shared" si="393"/>
        <v>0</v>
      </c>
      <c r="DH1431" t="str" cm="1">
        <f t="array" ref="DH1431">IF($A1431="","",_xlfn.LET(_xlpm.c,IFERROR(_xlfn.XLOOKUP($A1431,TRIM('Sales and count'!$A$4:$A$300&amp;""),TRIM('Sales and count'!$B$4:$B$300&amp;"")),""),IF(OR(_xlpm.c="",_xlpm.c="0",LEFT(_xlpm.c,1)="#"),"Not set",_xlpm.c)))</f>
        <v/>
      </c>
    </row>
    <row r="1432" spans="1:112" x14ac:dyDescent="0.25">
      <c r="A1432" t="str">
        <f>IF('Staff Daily sales'!$B1417="","",TRIM('Staff Daily sales'!$B1417&amp;""))</f>
        <v/>
      </c>
      <c r="B1432" t="str">
        <f>IF('Staff Daily sales'!$D1417="","",TRIM('Staff Daily sales'!$D1417&amp;""))</f>
        <v/>
      </c>
      <c r="C1432" t="str">
        <f>IFERROR(TRIM('Staff Daily sales'!$E1417&amp;""),"")</f>
        <v/>
      </c>
      <c r="D1432" t="str">
        <f>IFERROR(IF(TRIM('Staff Daily sales'!$F1417&amp;"")="","Unassigned",TRIM('Staff Daily sales'!$F1417&amp;"")),"Unassigned")</f>
        <v>Unassigned</v>
      </c>
      <c r="E1432">
        <f t="shared" si="378"/>
        <v>0</v>
      </c>
      <c r="F1432">
        <f>IF($E1432=0,0,SUMPRODUCT($AI$5:$DF$5,'Staff Daily sales'!$G1417:$CD1417))</f>
        <v>0</v>
      </c>
      <c r="G1432">
        <f>IF($E1432=0,0,SUMPRODUCT($AI$6:$DF$6,'Staff Daily sales'!$G1417:$CD1417))</f>
        <v>0</v>
      </c>
      <c r="H1432">
        <f t="shared" si="379"/>
        <v>0</v>
      </c>
      <c r="I1432">
        <f t="shared" si="380"/>
        <v>0</v>
      </c>
      <c r="J1432">
        <f t="shared" si="381"/>
        <v>0</v>
      </c>
      <c r="K1432">
        <f t="shared" si="382"/>
        <v>0</v>
      </c>
      <c r="L1432">
        <f>--AND($E1432=1,OR('Staff Dashboard'!$B$6="All",$DH1432='Staff Dashboard'!$B$6),OR('Staff Dashboard'!$B$7="All",$D1432='Staff Dashboard'!$B$7),OR('Staff Dashboard'!$B$8="All",$A1432='Staff Dashboard'!$B$8))</f>
        <v>0</v>
      </c>
      <c r="M1432">
        <f>IF($E1432=0,0,SUMPRODUCT($AI$7:$DF$7,'Staff Daily sales'!$G1417:$CD1417))</f>
        <v>0</v>
      </c>
      <c r="N1432">
        <f>IF($E1432=0,0,SUMPRODUCT($AI$8:$DF$8,'Staff Daily sales'!$G1417:$CD1417))</f>
        <v>0</v>
      </c>
      <c r="O1432">
        <f>IF($E1432=0,0,SUMPRODUCT($AI$9:$DF$9,'Staff Daily sales'!$G1417:$CD1417))</f>
        <v>0</v>
      </c>
      <c r="P1432">
        <f>IF($E1432=0,0,SUMPRODUCT($AI$10:$DF$10,'Staff Daily sales'!$G1417:$CD1417))</f>
        <v>0</v>
      </c>
      <c r="Q1432">
        <f>IF($E1432=0,0,SUMPRODUCT($AI$11:$DF$11,'Staff Daily sales'!$G1417:$CD1417))</f>
        <v>0</v>
      </c>
      <c r="R1432">
        <f>IF($E1432=0,0,SUMPRODUCT($AI$12:$DF$12,'Staff Daily sales'!$G1417:$CD1417))</f>
        <v>0</v>
      </c>
      <c r="S1432">
        <f>IF($E1432=0,0,SUMPRODUCT($AI$13:$DF$13,'Staff Daily sales'!$G1417:$CD1417))</f>
        <v>0</v>
      </c>
      <c r="T1432">
        <f>IF($E1432=0,0,SUMPRODUCT($AI$14:$DF$14,'Staff Daily sales'!$G1417:$CD1417))</f>
        <v>0</v>
      </c>
      <c r="U1432">
        <f>IF($E1432=0,0,SUMPRODUCT($AI$15:$DF$15,'Staff Daily sales'!$G1417:$CD1417))</f>
        <v>0</v>
      </c>
      <c r="V1432">
        <f>IF($E1432=0,0,SUMPRODUCT($AI$16:$DF$16,'Staff Daily sales'!$G1417:$CD1417))</f>
        <v>0</v>
      </c>
      <c r="W1432">
        <f t="shared" si="383"/>
        <v>0</v>
      </c>
      <c r="X1432">
        <f t="shared" si="384"/>
        <v>0</v>
      </c>
      <c r="Y1432">
        <f t="shared" si="385"/>
        <v>0</v>
      </c>
      <c r="Z1432">
        <f t="shared" si="386"/>
        <v>0</v>
      </c>
      <c r="AA1432">
        <f t="shared" si="387"/>
        <v>0</v>
      </c>
      <c r="AB1432">
        <f>--AND($E1432=1,OR('Staff Weekly Trend'!$B$3="All",$DH1432='Staff Weekly Trend'!$B$3),OR('Staff Weekly Trend'!$B$4="All",$D1432='Staff Weekly Trend'!$B$4),OR('Staff Weekly Trend'!$B$5="All",$A1432='Staff Weekly Trend'!$B$5))</f>
        <v>0</v>
      </c>
      <c r="AC1432" t="str">
        <f t="shared" si="388"/>
        <v/>
      </c>
      <c r="AI1432">
        <f t="shared" si="389"/>
        <v>0</v>
      </c>
      <c r="AJ1432">
        <f t="shared" si="390"/>
        <v>0</v>
      </c>
      <c r="AK1432">
        <f t="shared" si="391"/>
        <v>0</v>
      </c>
      <c r="AL1432">
        <f t="shared" si="392"/>
        <v>0</v>
      </c>
      <c r="AM1432">
        <f t="shared" si="393"/>
        <v>0</v>
      </c>
      <c r="DH1432" t="str" cm="1">
        <f t="array" ref="DH1432">IF($A1432="","",_xlfn.LET(_xlpm.c,IFERROR(_xlfn.XLOOKUP($A1432,TRIM('Sales and count'!$A$4:$A$300&amp;""),TRIM('Sales and count'!$B$4:$B$300&amp;"")),""),IF(OR(_xlpm.c="",_xlpm.c="0",LEFT(_xlpm.c,1)="#"),"Not set",_xlpm.c)))</f>
        <v/>
      </c>
    </row>
    <row r="1433" spans="1:112" x14ac:dyDescent="0.25">
      <c r="A1433" t="str">
        <f>IF('Staff Daily sales'!$B1418="","",TRIM('Staff Daily sales'!$B1418&amp;""))</f>
        <v/>
      </c>
      <c r="B1433" t="str">
        <f>IF('Staff Daily sales'!$D1418="","",TRIM('Staff Daily sales'!$D1418&amp;""))</f>
        <v/>
      </c>
      <c r="C1433" t="str">
        <f>IFERROR(TRIM('Staff Daily sales'!$E1418&amp;""),"")</f>
        <v/>
      </c>
      <c r="D1433" t="str">
        <f>IFERROR(IF(TRIM('Staff Daily sales'!$F1418&amp;"")="","Unassigned",TRIM('Staff Daily sales'!$F1418&amp;"")),"Unassigned")</f>
        <v>Unassigned</v>
      </c>
      <c r="E1433">
        <f t="shared" si="378"/>
        <v>0</v>
      </c>
      <c r="F1433">
        <f>IF($E1433=0,0,SUMPRODUCT($AI$5:$DF$5,'Staff Daily sales'!$G1418:$CD1418))</f>
        <v>0</v>
      </c>
      <c r="G1433">
        <f>IF($E1433=0,0,SUMPRODUCT($AI$6:$DF$6,'Staff Daily sales'!$G1418:$CD1418))</f>
        <v>0</v>
      </c>
      <c r="H1433">
        <f t="shared" si="379"/>
        <v>0</v>
      </c>
      <c r="I1433">
        <f t="shared" si="380"/>
        <v>0</v>
      </c>
      <c r="J1433">
        <f t="shared" si="381"/>
        <v>0</v>
      </c>
      <c r="K1433">
        <f t="shared" si="382"/>
        <v>0</v>
      </c>
      <c r="L1433">
        <f>--AND($E1433=1,OR('Staff Dashboard'!$B$6="All",$DH1433='Staff Dashboard'!$B$6),OR('Staff Dashboard'!$B$7="All",$D1433='Staff Dashboard'!$B$7),OR('Staff Dashboard'!$B$8="All",$A1433='Staff Dashboard'!$B$8))</f>
        <v>0</v>
      </c>
      <c r="M1433">
        <f>IF($E1433=0,0,SUMPRODUCT($AI$7:$DF$7,'Staff Daily sales'!$G1418:$CD1418))</f>
        <v>0</v>
      </c>
      <c r="N1433">
        <f>IF($E1433=0,0,SUMPRODUCT($AI$8:$DF$8,'Staff Daily sales'!$G1418:$CD1418))</f>
        <v>0</v>
      </c>
      <c r="O1433">
        <f>IF($E1433=0,0,SUMPRODUCT($AI$9:$DF$9,'Staff Daily sales'!$G1418:$CD1418))</f>
        <v>0</v>
      </c>
      <c r="P1433">
        <f>IF($E1433=0,0,SUMPRODUCT($AI$10:$DF$10,'Staff Daily sales'!$G1418:$CD1418))</f>
        <v>0</v>
      </c>
      <c r="Q1433">
        <f>IF($E1433=0,0,SUMPRODUCT($AI$11:$DF$11,'Staff Daily sales'!$G1418:$CD1418))</f>
        <v>0</v>
      </c>
      <c r="R1433">
        <f>IF($E1433=0,0,SUMPRODUCT($AI$12:$DF$12,'Staff Daily sales'!$G1418:$CD1418))</f>
        <v>0</v>
      </c>
      <c r="S1433">
        <f>IF($E1433=0,0,SUMPRODUCT($AI$13:$DF$13,'Staff Daily sales'!$G1418:$CD1418))</f>
        <v>0</v>
      </c>
      <c r="T1433">
        <f>IF($E1433=0,0,SUMPRODUCT($AI$14:$DF$14,'Staff Daily sales'!$G1418:$CD1418))</f>
        <v>0</v>
      </c>
      <c r="U1433">
        <f>IF($E1433=0,0,SUMPRODUCT($AI$15:$DF$15,'Staff Daily sales'!$G1418:$CD1418))</f>
        <v>0</v>
      </c>
      <c r="V1433">
        <f>IF($E1433=0,0,SUMPRODUCT($AI$16:$DF$16,'Staff Daily sales'!$G1418:$CD1418))</f>
        <v>0</v>
      </c>
      <c r="W1433">
        <f t="shared" si="383"/>
        <v>0</v>
      </c>
      <c r="X1433">
        <f t="shared" si="384"/>
        <v>0</v>
      </c>
      <c r="Y1433">
        <f t="shared" si="385"/>
        <v>0</v>
      </c>
      <c r="Z1433">
        <f t="shared" si="386"/>
        <v>0</v>
      </c>
      <c r="AA1433">
        <f t="shared" si="387"/>
        <v>0</v>
      </c>
      <c r="AB1433">
        <f>--AND($E1433=1,OR('Staff Weekly Trend'!$B$3="All",$DH1433='Staff Weekly Trend'!$B$3),OR('Staff Weekly Trend'!$B$4="All",$D1433='Staff Weekly Trend'!$B$4),OR('Staff Weekly Trend'!$B$5="All",$A1433='Staff Weekly Trend'!$B$5))</f>
        <v>0</v>
      </c>
      <c r="AC1433" t="str">
        <f t="shared" si="388"/>
        <v/>
      </c>
      <c r="AI1433">
        <f t="shared" si="389"/>
        <v>0</v>
      </c>
      <c r="AJ1433">
        <f t="shared" si="390"/>
        <v>0</v>
      </c>
      <c r="AK1433">
        <f t="shared" si="391"/>
        <v>0</v>
      </c>
      <c r="AL1433">
        <f t="shared" si="392"/>
        <v>0</v>
      </c>
      <c r="AM1433">
        <f t="shared" si="393"/>
        <v>0</v>
      </c>
      <c r="DH1433" t="str" cm="1">
        <f t="array" ref="DH1433">IF($A1433="","",_xlfn.LET(_xlpm.c,IFERROR(_xlfn.XLOOKUP($A1433,TRIM('Sales and count'!$A$4:$A$300&amp;""),TRIM('Sales and count'!$B$4:$B$300&amp;"")),""),IF(OR(_xlpm.c="",_xlpm.c="0",LEFT(_xlpm.c,1)="#"),"Not set",_xlpm.c)))</f>
        <v/>
      </c>
    </row>
    <row r="1434" spans="1:112" x14ac:dyDescent="0.25">
      <c r="A1434" t="str">
        <f>IF('Staff Daily sales'!$B1419="","",TRIM('Staff Daily sales'!$B1419&amp;""))</f>
        <v/>
      </c>
      <c r="B1434" t="str">
        <f>IF('Staff Daily sales'!$D1419="","",TRIM('Staff Daily sales'!$D1419&amp;""))</f>
        <v/>
      </c>
      <c r="C1434" t="str">
        <f>IFERROR(TRIM('Staff Daily sales'!$E1419&amp;""),"")</f>
        <v/>
      </c>
      <c r="D1434" t="str">
        <f>IFERROR(IF(TRIM('Staff Daily sales'!$F1419&amp;"")="","Unassigned",TRIM('Staff Daily sales'!$F1419&amp;"")),"Unassigned")</f>
        <v>Unassigned</v>
      </c>
      <c r="E1434">
        <f t="shared" si="378"/>
        <v>0</v>
      </c>
      <c r="F1434">
        <f>IF($E1434=0,0,SUMPRODUCT($AI$5:$DF$5,'Staff Daily sales'!$G1419:$CD1419))</f>
        <v>0</v>
      </c>
      <c r="G1434">
        <f>IF($E1434=0,0,SUMPRODUCT($AI$6:$DF$6,'Staff Daily sales'!$G1419:$CD1419))</f>
        <v>0</v>
      </c>
      <c r="H1434">
        <f t="shared" si="379"/>
        <v>0</v>
      </c>
      <c r="I1434">
        <f t="shared" si="380"/>
        <v>0</v>
      </c>
      <c r="J1434">
        <f t="shared" si="381"/>
        <v>0</v>
      </c>
      <c r="K1434">
        <f t="shared" si="382"/>
        <v>0</v>
      </c>
      <c r="L1434">
        <f>--AND($E1434=1,OR('Staff Dashboard'!$B$6="All",$DH1434='Staff Dashboard'!$B$6),OR('Staff Dashboard'!$B$7="All",$D1434='Staff Dashboard'!$B$7),OR('Staff Dashboard'!$B$8="All",$A1434='Staff Dashboard'!$B$8))</f>
        <v>0</v>
      </c>
      <c r="M1434">
        <f>IF($E1434=0,0,SUMPRODUCT($AI$7:$DF$7,'Staff Daily sales'!$G1419:$CD1419))</f>
        <v>0</v>
      </c>
      <c r="N1434">
        <f>IF($E1434=0,0,SUMPRODUCT($AI$8:$DF$8,'Staff Daily sales'!$G1419:$CD1419))</f>
        <v>0</v>
      </c>
      <c r="O1434">
        <f>IF($E1434=0,0,SUMPRODUCT($AI$9:$DF$9,'Staff Daily sales'!$G1419:$CD1419))</f>
        <v>0</v>
      </c>
      <c r="P1434">
        <f>IF($E1434=0,0,SUMPRODUCT($AI$10:$DF$10,'Staff Daily sales'!$G1419:$CD1419))</f>
        <v>0</v>
      </c>
      <c r="Q1434">
        <f>IF($E1434=0,0,SUMPRODUCT($AI$11:$DF$11,'Staff Daily sales'!$G1419:$CD1419))</f>
        <v>0</v>
      </c>
      <c r="R1434">
        <f>IF($E1434=0,0,SUMPRODUCT($AI$12:$DF$12,'Staff Daily sales'!$G1419:$CD1419))</f>
        <v>0</v>
      </c>
      <c r="S1434">
        <f>IF($E1434=0,0,SUMPRODUCT($AI$13:$DF$13,'Staff Daily sales'!$G1419:$CD1419))</f>
        <v>0</v>
      </c>
      <c r="T1434">
        <f>IF($E1434=0,0,SUMPRODUCT($AI$14:$DF$14,'Staff Daily sales'!$G1419:$CD1419))</f>
        <v>0</v>
      </c>
      <c r="U1434">
        <f>IF($E1434=0,0,SUMPRODUCT($AI$15:$DF$15,'Staff Daily sales'!$G1419:$CD1419))</f>
        <v>0</v>
      </c>
      <c r="V1434">
        <f>IF($E1434=0,0,SUMPRODUCT($AI$16:$DF$16,'Staff Daily sales'!$G1419:$CD1419))</f>
        <v>0</v>
      </c>
      <c r="W1434">
        <f t="shared" si="383"/>
        <v>0</v>
      </c>
      <c r="X1434">
        <f t="shared" si="384"/>
        <v>0</v>
      </c>
      <c r="Y1434">
        <f t="shared" si="385"/>
        <v>0</v>
      </c>
      <c r="Z1434">
        <f t="shared" si="386"/>
        <v>0</v>
      </c>
      <c r="AA1434">
        <f t="shared" si="387"/>
        <v>0</v>
      </c>
      <c r="AB1434">
        <f>--AND($E1434=1,OR('Staff Weekly Trend'!$B$3="All",$DH1434='Staff Weekly Trend'!$B$3),OR('Staff Weekly Trend'!$B$4="All",$D1434='Staff Weekly Trend'!$B$4),OR('Staff Weekly Trend'!$B$5="All",$A1434='Staff Weekly Trend'!$B$5))</f>
        <v>0</v>
      </c>
      <c r="AC1434" t="str">
        <f t="shared" si="388"/>
        <v/>
      </c>
      <c r="AI1434">
        <f t="shared" si="389"/>
        <v>0</v>
      </c>
      <c r="AJ1434">
        <f t="shared" si="390"/>
        <v>0</v>
      </c>
      <c r="AK1434">
        <f t="shared" si="391"/>
        <v>0</v>
      </c>
      <c r="AL1434">
        <f t="shared" si="392"/>
        <v>0</v>
      </c>
      <c r="AM1434">
        <f t="shared" si="393"/>
        <v>0</v>
      </c>
      <c r="DH1434" t="str" cm="1">
        <f t="array" ref="DH1434">IF($A1434="","",_xlfn.LET(_xlpm.c,IFERROR(_xlfn.XLOOKUP($A1434,TRIM('Sales and count'!$A$4:$A$300&amp;""),TRIM('Sales and count'!$B$4:$B$300&amp;"")),""),IF(OR(_xlpm.c="",_xlpm.c="0",LEFT(_xlpm.c,1)="#"),"Not set",_xlpm.c)))</f>
        <v/>
      </c>
    </row>
    <row r="1435" spans="1:112" x14ac:dyDescent="0.25">
      <c r="A1435" t="str">
        <f>IF('Staff Daily sales'!$B1420="","",TRIM('Staff Daily sales'!$B1420&amp;""))</f>
        <v/>
      </c>
      <c r="B1435" t="str">
        <f>IF('Staff Daily sales'!$D1420="","",TRIM('Staff Daily sales'!$D1420&amp;""))</f>
        <v/>
      </c>
      <c r="C1435" t="str">
        <f>IFERROR(TRIM('Staff Daily sales'!$E1420&amp;""),"")</f>
        <v/>
      </c>
      <c r="D1435" t="str">
        <f>IFERROR(IF(TRIM('Staff Daily sales'!$F1420&amp;"")="","Unassigned",TRIM('Staff Daily sales'!$F1420&amp;"")),"Unassigned")</f>
        <v>Unassigned</v>
      </c>
      <c r="E1435">
        <f t="shared" si="378"/>
        <v>0</v>
      </c>
      <c r="F1435">
        <f>IF($E1435=0,0,SUMPRODUCT($AI$5:$DF$5,'Staff Daily sales'!$G1420:$CD1420))</f>
        <v>0</v>
      </c>
      <c r="G1435">
        <f>IF($E1435=0,0,SUMPRODUCT($AI$6:$DF$6,'Staff Daily sales'!$G1420:$CD1420))</f>
        <v>0</v>
      </c>
      <c r="H1435">
        <f t="shared" si="379"/>
        <v>0</v>
      </c>
      <c r="I1435">
        <f t="shared" si="380"/>
        <v>0</v>
      </c>
      <c r="J1435">
        <f t="shared" si="381"/>
        <v>0</v>
      </c>
      <c r="K1435">
        <f t="shared" si="382"/>
        <v>0</v>
      </c>
      <c r="L1435">
        <f>--AND($E1435=1,OR('Staff Dashboard'!$B$6="All",$DH1435='Staff Dashboard'!$B$6),OR('Staff Dashboard'!$B$7="All",$D1435='Staff Dashboard'!$B$7),OR('Staff Dashboard'!$B$8="All",$A1435='Staff Dashboard'!$B$8))</f>
        <v>0</v>
      </c>
      <c r="M1435">
        <f>IF($E1435=0,0,SUMPRODUCT($AI$7:$DF$7,'Staff Daily sales'!$G1420:$CD1420))</f>
        <v>0</v>
      </c>
      <c r="N1435">
        <f>IF($E1435=0,0,SUMPRODUCT($AI$8:$DF$8,'Staff Daily sales'!$G1420:$CD1420))</f>
        <v>0</v>
      </c>
      <c r="O1435">
        <f>IF($E1435=0,0,SUMPRODUCT($AI$9:$DF$9,'Staff Daily sales'!$G1420:$CD1420))</f>
        <v>0</v>
      </c>
      <c r="P1435">
        <f>IF($E1435=0,0,SUMPRODUCT($AI$10:$DF$10,'Staff Daily sales'!$G1420:$CD1420))</f>
        <v>0</v>
      </c>
      <c r="Q1435">
        <f>IF($E1435=0,0,SUMPRODUCT($AI$11:$DF$11,'Staff Daily sales'!$G1420:$CD1420))</f>
        <v>0</v>
      </c>
      <c r="R1435">
        <f>IF($E1435=0,0,SUMPRODUCT($AI$12:$DF$12,'Staff Daily sales'!$G1420:$CD1420))</f>
        <v>0</v>
      </c>
      <c r="S1435">
        <f>IF($E1435=0,0,SUMPRODUCT($AI$13:$DF$13,'Staff Daily sales'!$G1420:$CD1420))</f>
        <v>0</v>
      </c>
      <c r="T1435">
        <f>IF($E1435=0,0,SUMPRODUCT($AI$14:$DF$14,'Staff Daily sales'!$G1420:$CD1420))</f>
        <v>0</v>
      </c>
      <c r="U1435">
        <f>IF($E1435=0,0,SUMPRODUCT($AI$15:$DF$15,'Staff Daily sales'!$G1420:$CD1420))</f>
        <v>0</v>
      </c>
      <c r="V1435">
        <f>IF($E1435=0,0,SUMPRODUCT($AI$16:$DF$16,'Staff Daily sales'!$G1420:$CD1420))</f>
        <v>0</v>
      </c>
      <c r="W1435">
        <f t="shared" si="383"/>
        <v>0</v>
      </c>
      <c r="X1435">
        <f t="shared" si="384"/>
        <v>0</v>
      </c>
      <c r="Y1435">
        <f t="shared" si="385"/>
        <v>0</v>
      </c>
      <c r="Z1435">
        <f t="shared" si="386"/>
        <v>0</v>
      </c>
      <c r="AA1435">
        <f t="shared" si="387"/>
        <v>0</v>
      </c>
      <c r="AB1435">
        <f>--AND($E1435=1,OR('Staff Weekly Trend'!$B$3="All",$DH1435='Staff Weekly Trend'!$B$3),OR('Staff Weekly Trend'!$B$4="All",$D1435='Staff Weekly Trend'!$B$4),OR('Staff Weekly Trend'!$B$5="All",$A1435='Staff Weekly Trend'!$B$5))</f>
        <v>0</v>
      </c>
      <c r="AC1435" t="str">
        <f t="shared" si="388"/>
        <v/>
      </c>
      <c r="AI1435">
        <f t="shared" si="389"/>
        <v>0</v>
      </c>
      <c r="AJ1435">
        <f t="shared" si="390"/>
        <v>0</v>
      </c>
      <c r="AK1435">
        <f t="shared" si="391"/>
        <v>0</v>
      </c>
      <c r="AL1435">
        <f t="shared" si="392"/>
        <v>0</v>
      </c>
      <c r="AM1435">
        <f t="shared" si="393"/>
        <v>0</v>
      </c>
      <c r="DH1435" t="str" cm="1">
        <f t="array" ref="DH1435">IF($A1435="","",_xlfn.LET(_xlpm.c,IFERROR(_xlfn.XLOOKUP($A1435,TRIM('Sales and count'!$A$4:$A$300&amp;""),TRIM('Sales and count'!$B$4:$B$300&amp;"")),""),IF(OR(_xlpm.c="",_xlpm.c="0",LEFT(_xlpm.c,1)="#"),"Not set",_xlpm.c)))</f>
        <v/>
      </c>
    </row>
    <row r="1436" spans="1:112" x14ac:dyDescent="0.25">
      <c r="A1436" t="str">
        <f>IF('Staff Daily sales'!$B1421="","",TRIM('Staff Daily sales'!$B1421&amp;""))</f>
        <v/>
      </c>
      <c r="B1436" t="str">
        <f>IF('Staff Daily sales'!$D1421="","",TRIM('Staff Daily sales'!$D1421&amp;""))</f>
        <v/>
      </c>
      <c r="C1436" t="str">
        <f>IFERROR(TRIM('Staff Daily sales'!$E1421&amp;""),"")</f>
        <v/>
      </c>
      <c r="D1436" t="str">
        <f>IFERROR(IF(TRIM('Staff Daily sales'!$F1421&amp;"")="","Unassigned",TRIM('Staff Daily sales'!$F1421&amp;"")),"Unassigned")</f>
        <v>Unassigned</v>
      </c>
      <c r="E1436">
        <f t="shared" si="378"/>
        <v>0</v>
      </c>
      <c r="F1436">
        <f>IF($E1436=0,0,SUMPRODUCT($AI$5:$DF$5,'Staff Daily sales'!$G1421:$CD1421))</f>
        <v>0</v>
      </c>
      <c r="G1436">
        <f>IF($E1436=0,0,SUMPRODUCT($AI$6:$DF$6,'Staff Daily sales'!$G1421:$CD1421))</f>
        <v>0</v>
      </c>
      <c r="H1436">
        <f t="shared" si="379"/>
        <v>0</v>
      </c>
      <c r="I1436">
        <f t="shared" si="380"/>
        <v>0</v>
      </c>
      <c r="J1436">
        <f t="shared" si="381"/>
        <v>0</v>
      </c>
      <c r="K1436">
        <f t="shared" si="382"/>
        <v>0</v>
      </c>
      <c r="L1436">
        <f>--AND($E1436=1,OR('Staff Dashboard'!$B$6="All",$DH1436='Staff Dashboard'!$B$6),OR('Staff Dashboard'!$B$7="All",$D1436='Staff Dashboard'!$B$7),OR('Staff Dashboard'!$B$8="All",$A1436='Staff Dashboard'!$B$8))</f>
        <v>0</v>
      </c>
      <c r="M1436">
        <f>IF($E1436=0,0,SUMPRODUCT($AI$7:$DF$7,'Staff Daily sales'!$G1421:$CD1421))</f>
        <v>0</v>
      </c>
      <c r="N1436">
        <f>IF($E1436=0,0,SUMPRODUCT($AI$8:$DF$8,'Staff Daily sales'!$G1421:$CD1421))</f>
        <v>0</v>
      </c>
      <c r="O1436">
        <f>IF($E1436=0,0,SUMPRODUCT($AI$9:$DF$9,'Staff Daily sales'!$G1421:$CD1421))</f>
        <v>0</v>
      </c>
      <c r="P1436">
        <f>IF($E1436=0,0,SUMPRODUCT($AI$10:$DF$10,'Staff Daily sales'!$G1421:$CD1421))</f>
        <v>0</v>
      </c>
      <c r="Q1436">
        <f>IF($E1436=0,0,SUMPRODUCT($AI$11:$DF$11,'Staff Daily sales'!$G1421:$CD1421))</f>
        <v>0</v>
      </c>
      <c r="R1436">
        <f>IF($E1436=0,0,SUMPRODUCT($AI$12:$DF$12,'Staff Daily sales'!$G1421:$CD1421))</f>
        <v>0</v>
      </c>
      <c r="S1436">
        <f>IF($E1436=0,0,SUMPRODUCT($AI$13:$DF$13,'Staff Daily sales'!$G1421:$CD1421))</f>
        <v>0</v>
      </c>
      <c r="T1436">
        <f>IF($E1436=0,0,SUMPRODUCT($AI$14:$DF$14,'Staff Daily sales'!$G1421:$CD1421))</f>
        <v>0</v>
      </c>
      <c r="U1436">
        <f>IF($E1436=0,0,SUMPRODUCT($AI$15:$DF$15,'Staff Daily sales'!$G1421:$CD1421))</f>
        <v>0</v>
      </c>
      <c r="V1436">
        <f>IF($E1436=0,0,SUMPRODUCT($AI$16:$DF$16,'Staff Daily sales'!$G1421:$CD1421))</f>
        <v>0</v>
      </c>
      <c r="W1436">
        <f t="shared" si="383"/>
        <v>0</v>
      </c>
      <c r="X1436">
        <f t="shared" si="384"/>
        <v>0</v>
      </c>
      <c r="Y1436">
        <f t="shared" si="385"/>
        <v>0</v>
      </c>
      <c r="Z1436">
        <f t="shared" si="386"/>
        <v>0</v>
      </c>
      <c r="AA1436">
        <f t="shared" si="387"/>
        <v>0</v>
      </c>
      <c r="AB1436">
        <f>--AND($E1436=1,OR('Staff Weekly Trend'!$B$3="All",$DH1436='Staff Weekly Trend'!$B$3),OR('Staff Weekly Trend'!$B$4="All",$D1436='Staff Weekly Trend'!$B$4),OR('Staff Weekly Trend'!$B$5="All",$A1436='Staff Weekly Trend'!$B$5))</f>
        <v>0</v>
      </c>
      <c r="AC1436" t="str">
        <f t="shared" si="388"/>
        <v/>
      </c>
      <c r="AI1436">
        <f t="shared" si="389"/>
        <v>0</v>
      </c>
      <c r="AJ1436">
        <f t="shared" si="390"/>
        <v>0</v>
      </c>
      <c r="AK1436">
        <f t="shared" si="391"/>
        <v>0</v>
      </c>
      <c r="AL1436">
        <f t="shared" si="392"/>
        <v>0</v>
      </c>
      <c r="AM1436">
        <f t="shared" si="393"/>
        <v>0</v>
      </c>
      <c r="DH1436" t="str" cm="1">
        <f t="array" ref="DH1436">IF($A1436="","",_xlfn.LET(_xlpm.c,IFERROR(_xlfn.XLOOKUP($A1436,TRIM('Sales and count'!$A$4:$A$300&amp;""),TRIM('Sales and count'!$B$4:$B$300&amp;"")),""),IF(OR(_xlpm.c="",_xlpm.c="0",LEFT(_xlpm.c,1)="#"),"Not set",_xlpm.c)))</f>
        <v/>
      </c>
    </row>
    <row r="1437" spans="1:112" x14ac:dyDescent="0.25">
      <c r="A1437" t="str">
        <f>IF('Staff Daily sales'!$B1422="","",TRIM('Staff Daily sales'!$B1422&amp;""))</f>
        <v/>
      </c>
      <c r="B1437" t="str">
        <f>IF('Staff Daily sales'!$D1422="","",TRIM('Staff Daily sales'!$D1422&amp;""))</f>
        <v/>
      </c>
      <c r="C1437" t="str">
        <f>IFERROR(TRIM('Staff Daily sales'!$E1422&amp;""),"")</f>
        <v/>
      </c>
      <c r="D1437" t="str">
        <f>IFERROR(IF(TRIM('Staff Daily sales'!$F1422&amp;"")="","Unassigned",TRIM('Staff Daily sales'!$F1422&amp;"")),"Unassigned")</f>
        <v>Unassigned</v>
      </c>
      <c r="E1437">
        <f t="shared" si="378"/>
        <v>0</v>
      </c>
      <c r="F1437">
        <f>IF($E1437=0,0,SUMPRODUCT($AI$5:$DF$5,'Staff Daily sales'!$G1422:$CD1422))</f>
        <v>0</v>
      </c>
      <c r="G1437">
        <f>IF($E1437=0,0,SUMPRODUCT($AI$6:$DF$6,'Staff Daily sales'!$G1422:$CD1422))</f>
        <v>0</v>
      </c>
      <c r="H1437">
        <f t="shared" si="379"/>
        <v>0</v>
      </c>
      <c r="I1437">
        <f t="shared" si="380"/>
        <v>0</v>
      </c>
      <c r="J1437">
        <f t="shared" si="381"/>
        <v>0</v>
      </c>
      <c r="K1437">
        <f t="shared" si="382"/>
        <v>0</v>
      </c>
      <c r="L1437">
        <f>--AND($E1437=1,OR('Staff Dashboard'!$B$6="All",$DH1437='Staff Dashboard'!$B$6),OR('Staff Dashboard'!$B$7="All",$D1437='Staff Dashboard'!$B$7),OR('Staff Dashboard'!$B$8="All",$A1437='Staff Dashboard'!$B$8))</f>
        <v>0</v>
      </c>
      <c r="M1437">
        <f>IF($E1437=0,0,SUMPRODUCT($AI$7:$DF$7,'Staff Daily sales'!$G1422:$CD1422))</f>
        <v>0</v>
      </c>
      <c r="N1437">
        <f>IF($E1437=0,0,SUMPRODUCT($AI$8:$DF$8,'Staff Daily sales'!$G1422:$CD1422))</f>
        <v>0</v>
      </c>
      <c r="O1437">
        <f>IF($E1437=0,0,SUMPRODUCT($AI$9:$DF$9,'Staff Daily sales'!$G1422:$CD1422))</f>
        <v>0</v>
      </c>
      <c r="P1437">
        <f>IF($E1437=0,0,SUMPRODUCT($AI$10:$DF$10,'Staff Daily sales'!$G1422:$CD1422))</f>
        <v>0</v>
      </c>
      <c r="Q1437">
        <f>IF($E1437=0,0,SUMPRODUCT($AI$11:$DF$11,'Staff Daily sales'!$G1422:$CD1422))</f>
        <v>0</v>
      </c>
      <c r="R1437">
        <f>IF($E1437=0,0,SUMPRODUCT($AI$12:$DF$12,'Staff Daily sales'!$G1422:$CD1422))</f>
        <v>0</v>
      </c>
      <c r="S1437">
        <f>IF($E1437=0,0,SUMPRODUCT($AI$13:$DF$13,'Staff Daily sales'!$G1422:$CD1422))</f>
        <v>0</v>
      </c>
      <c r="T1437">
        <f>IF($E1437=0,0,SUMPRODUCT($AI$14:$DF$14,'Staff Daily sales'!$G1422:$CD1422))</f>
        <v>0</v>
      </c>
      <c r="U1437">
        <f>IF($E1437=0,0,SUMPRODUCT($AI$15:$DF$15,'Staff Daily sales'!$G1422:$CD1422))</f>
        <v>0</v>
      </c>
      <c r="V1437">
        <f>IF($E1437=0,0,SUMPRODUCT($AI$16:$DF$16,'Staff Daily sales'!$G1422:$CD1422))</f>
        <v>0</v>
      </c>
      <c r="W1437">
        <f t="shared" si="383"/>
        <v>0</v>
      </c>
      <c r="X1437">
        <f t="shared" si="384"/>
        <v>0</v>
      </c>
      <c r="Y1437">
        <f t="shared" si="385"/>
        <v>0</v>
      </c>
      <c r="Z1437">
        <f t="shared" si="386"/>
        <v>0</v>
      </c>
      <c r="AA1437">
        <f t="shared" si="387"/>
        <v>0</v>
      </c>
      <c r="AB1437">
        <f>--AND($E1437=1,OR('Staff Weekly Trend'!$B$3="All",$DH1437='Staff Weekly Trend'!$B$3),OR('Staff Weekly Trend'!$B$4="All",$D1437='Staff Weekly Trend'!$B$4),OR('Staff Weekly Trend'!$B$5="All",$A1437='Staff Weekly Trend'!$B$5))</f>
        <v>0</v>
      </c>
      <c r="AC1437" t="str">
        <f t="shared" si="388"/>
        <v/>
      </c>
      <c r="AI1437">
        <f t="shared" si="389"/>
        <v>0</v>
      </c>
      <c r="AJ1437">
        <f t="shared" si="390"/>
        <v>0</v>
      </c>
      <c r="AK1437">
        <f t="shared" si="391"/>
        <v>0</v>
      </c>
      <c r="AL1437">
        <f t="shared" si="392"/>
        <v>0</v>
      </c>
      <c r="AM1437">
        <f t="shared" si="393"/>
        <v>0</v>
      </c>
      <c r="DH1437" t="str" cm="1">
        <f t="array" ref="DH1437">IF($A1437="","",_xlfn.LET(_xlpm.c,IFERROR(_xlfn.XLOOKUP($A1437,TRIM('Sales and count'!$A$4:$A$300&amp;""),TRIM('Sales and count'!$B$4:$B$300&amp;"")),""),IF(OR(_xlpm.c="",_xlpm.c="0",LEFT(_xlpm.c,1)="#"),"Not set",_xlpm.c)))</f>
        <v/>
      </c>
    </row>
    <row r="1438" spans="1:112" x14ac:dyDescent="0.25">
      <c r="A1438" t="str">
        <f>IF('Staff Daily sales'!$B1423="","",TRIM('Staff Daily sales'!$B1423&amp;""))</f>
        <v/>
      </c>
      <c r="B1438" t="str">
        <f>IF('Staff Daily sales'!$D1423="","",TRIM('Staff Daily sales'!$D1423&amp;""))</f>
        <v/>
      </c>
      <c r="C1438" t="str">
        <f>IFERROR(TRIM('Staff Daily sales'!$E1423&amp;""),"")</f>
        <v/>
      </c>
      <c r="D1438" t="str">
        <f>IFERROR(IF(TRIM('Staff Daily sales'!$F1423&amp;"")="","Unassigned",TRIM('Staff Daily sales'!$F1423&amp;"")),"Unassigned")</f>
        <v>Unassigned</v>
      </c>
      <c r="E1438">
        <f t="shared" si="378"/>
        <v>0</v>
      </c>
      <c r="F1438">
        <f>IF($E1438=0,0,SUMPRODUCT($AI$5:$DF$5,'Staff Daily sales'!$G1423:$CD1423))</f>
        <v>0</v>
      </c>
      <c r="G1438">
        <f>IF($E1438=0,0,SUMPRODUCT($AI$6:$DF$6,'Staff Daily sales'!$G1423:$CD1423))</f>
        <v>0</v>
      </c>
      <c r="H1438">
        <f t="shared" si="379"/>
        <v>0</v>
      </c>
      <c r="I1438">
        <f t="shared" si="380"/>
        <v>0</v>
      </c>
      <c r="J1438">
        <f t="shared" si="381"/>
        <v>0</v>
      </c>
      <c r="K1438">
        <f t="shared" si="382"/>
        <v>0</v>
      </c>
      <c r="L1438">
        <f>--AND($E1438=1,OR('Staff Dashboard'!$B$6="All",$DH1438='Staff Dashboard'!$B$6),OR('Staff Dashboard'!$B$7="All",$D1438='Staff Dashboard'!$B$7),OR('Staff Dashboard'!$B$8="All",$A1438='Staff Dashboard'!$B$8))</f>
        <v>0</v>
      </c>
      <c r="M1438">
        <f>IF($E1438=0,0,SUMPRODUCT($AI$7:$DF$7,'Staff Daily sales'!$G1423:$CD1423))</f>
        <v>0</v>
      </c>
      <c r="N1438">
        <f>IF($E1438=0,0,SUMPRODUCT($AI$8:$DF$8,'Staff Daily sales'!$G1423:$CD1423))</f>
        <v>0</v>
      </c>
      <c r="O1438">
        <f>IF($E1438=0,0,SUMPRODUCT($AI$9:$DF$9,'Staff Daily sales'!$G1423:$CD1423))</f>
        <v>0</v>
      </c>
      <c r="P1438">
        <f>IF($E1438=0,0,SUMPRODUCT($AI$10:$DF$10,'Staff Daily sales'!$G1423:$CD1423))</f>
        <v>0</v>
      </c>
      <c r="Q1438">
        <f>IF($E1438=0,0,SUMPRODUCT($AI$11:$DF$11,'Staff Daily sales'!$G1423:$CD1423))</f>
        <v>0</v>
      </c>
      <c r="R1438">
        <f>IF($E1438=0,0,SUMPRODUCT($AI$12:$DF$12,'Staff Daily sales'!$G1423:$CD1423))</f>
        <v>0</v>
      </c>
      <c r="S1438">
        <f>IF($E1438=0,0,SUMPRODUCT($AI$13:$DF$13,'Staff Daily sales'!$G1423:$CD1423))</f>
        <v>0</v>
      </c>
      <c r="T1438">
        <f>IF($E1438=0,0,SUMPRODUCT($AI$14:$DF$14,'Staff Daily sales'!$G1423:$CD1423))</f>
        <v>0</v>
      </c>
      <c r="U1438">
        <f>IF($E1438=0,0,SUMPRODUCT($AI$15:$DF$15,'Staff Daily sales'!$G1423:$CD1423))</f>
        <v>0</v>
      </c>
      <c r="V1438">
        <f>IF($E1438=0,0,SUMPRODUCT($AI$16:$DF$16,'Staff Daily sales'!$G1423:$CD1423))</f>
        <v>0</v>
      </c>
      <c r="W1438">
        <f t="shared" si="383"/>
        <v>0</v>
      </c>
      <c r="X1438">
        <f t="shared" si="384"/>
        <v>0</v>
      </c>
      <c r="Y1438">
        <f t="shared" si="385"/>
        <v>0</v>
      </c>
      <c r="Z1438">
        <f t="shared" si="386"/>
        <v>0</v>
      </c>
      <c r="AA1438">
        <f t="shared" si="387"/>
        <v>0</v>
      </c>
      <c r="AB1438">
        <f>--AND($E1438=1,OR('Staff Weekly Trend'!$B$3="All",$DH1438='Staff Weekly Trend'!$B$3),OR('Staff Weekly Trend'!$B$4="All",$D1438='Staff Weekly Trend'!$B$4),OR('Staff Weekly Trend'!$B$5="All",$A1438='Staff Weekly Trend'!$B$5))</f>
        <v>0</v>
      </c>
      <c r="AC1438" t="str">
        <f t="shared" si="388"/>
        <v/>
      </c>
      <c r="AI1438">
        <f t="shared" si="389"/>
        <v>0</v>
      </c>
      <c r="AJ1438">
        <f t="shared" si="390"/>
        <v>0</v>
      </c>
      <c r="AK1438">
        <f t="shared" si="391"/>
        <v>0</v>
      </c>
      <c r="AL1438">
        <f t="shared" si="392"/>
        <v>0</v>
      </c>
      <c r="AM1438">
        <f t="shared" si="393"/>
        <v>0</v>
      </c>
      <c r="DH1438" t="str" cm="1">
        <f t="array" ref="DH1438">IF($A1438="","",_xlfn.LET(_xlpm.c,IFERROR(_xlfn.XLOOKUP($A1438,TRIM('Sales and count'!$A$4:$A$300&amp;""),TRIM('Sales and count'!$B$4:$B$300&amp;"")),""),IF(OR(_xlpm.c="",_xlpm.c="0",LEFT(_xlpm.c,1)="#"),"Not set",_xlpm.c)))</f>
        <v/>
      </c>
    </row>
    <row r="1439" spans="1:112" x14ac:dyDescent="0.25">
      <c r="A1439" t="str">
        <f>IF('Staff Daily sales'!$B1424="","",TRIM('Staff Daily sales'!$B1424&amp;""))</f>
        <v/>
      </c>
      <c r="B1439" t="str">
        <f>IF('Staff Daily sales'!$D1424="","",TRIM('Staff Daily sales'!$D1424&amp;""))</f>
        <v/>
      </c>
      <c r="C1439" t="str">
        <f>IFERROR(TRIM('Staff Daily sales'!$E1424&amp;""),"")</f>
        <v/>
      </c>
      <c r="D1439" t="str">
        <f>IFERROR(IF(TRIM('Staff Daily sales'!$F1424&amp;"")="","Unassigned",TRIM('Staff Daily sales'!$F1424&amp;"")),"Unassigned")</f>
        <v>Unassigned</v>
      </c>
      <c r="E1439">
        <f t="shared" si="378"/>
        <v>0</v>
      </c>
      <c r="F1439">
        <f>IF($E1439=0,0,SUMPRODUCT($AI$5:$DF$5,'Staff Daily sales'!$G1424:$CD1424))</f>
        <v>0</v>
      </c>
      <c r="G1439">
        <f>IF($E1439=0,0,SUMPRODUCT($AI$6:$DF$6,'Staff Daily sales'!$G1424:$CD1424))</f>
        <v>0</v>
      </c>
      <c r="H1439">
        <f t="shared" si="379"/>
        <v>0</v>
      </c>
      <c r="I1439">
        <f t="shared" si="380"/>
        <v>0</v>
      </c>
      <c r="J1439">
        <f t="shared" si="381"/>
        <v>0</v>
      </c>
      <c r="K1439">
        <f t="shared" si="382"/>
        <v>0</v>
      </c>
      <c r="L1439">
        <f>--AND($E1439=1,OR('Staff Dashboard'!$B$6="All",$DH1439='Staff Dashboard'!$B$6),OR('Staff Dashboard'!$B$7="All",$D1439='Staff Dashboard'!$B$7),OR('Staff Dashboard'!$B$8="All",$A1439='Staff Dashboard'!$B$8))</f>
        <v>0</v>
      </c>
      <c r="M1439">
        <f>IF($E1439=0,0,SUMPRODUCT($AI$7:$DF$7,'Staff Daily sales'!$G1424:$CD1424))</f>
        <v>0</v>
      </c>
      <c r="N1439">
        <f>IF($E1439=0,0,SUMPRODUCT($AI$8:$DF$8,'Staff Daily sales'!$G1424:$CD1424))</f>
        <v>0</v>
      </c>
      <c r="O1439">
        <f>IF($E1439=0,0,SUMPRODUCT($AI$9:$DF$9,'Staff Daily sales'!$G1424:$CD1424))</f>
        <v>0</v>
      </c>
      <c r="P1439">
        <f>IF($E1439=0,0,SUMPRODUCT($AI$10:$DF$10,'Staff Daily sales'!$G1424:$CD1424))</f>
        <v>0</v>
      </c>
      <c r="Q1439">
        <f>IF($E1439=0,0,SUMPRODUCT($AI$11:$DF$11,'Staff Daily sales'!$G1424:$CD1424))</f>
        <v>0</v>
      </c>
      <c r="R1439">
        <f>IF($E1439=0,0,SUMPRODUCT($AI$12:$DF$12,'Staff Daily sales'!$G1424:$CD1424))</f>
        <v>0</v>
      </c>
      <c r="S1439">
        <f>IF($E1439=0,0,SUMPRODUCT($AI$13:$DF$13,'Staff Daily sales'!$G1424:$CD1424))</f>
        <v>0</v>
      </c>
      <c r="T1439">
        <f>IF($E1439=0,0,SUMPRODUCT($AI$14:$DF$14,'Staff Daily sales'!$G1424:$CD1424))</f>
        <v>0</v>
      </c>
      <c r="U1439">
        <f>IF($E1439=0,0,SUMPRODUCT($AI$15:$DF$15,'Staff Daily sales'!$G1424:$CD1424))</f>
        <v>0</v>
      </c>
      <c r="V1439">
        <f>IF($E1439=0,0,SUMPRODUCT($AI$16:$DF$16,'Staff Daily sales'!$G1424:$CD1424))</f>
        <v>0</v>
      </c>
      <c r="W1439">
        <f t="shared" si="383"/>
        <v>0</v>
      </c>
      <c r="X1439">
        <f t="shared" si="384"/>
        <v>0</v>
      </c>
      <c r="Y1439">
        <f t="shared" si="385"/>
        <v>0</v>
      </c>
      <c r="Z1439">
        <f t="shared" si="386"/>
        <v>0</v>
      </c>
      <c r="AA1439">
        <f t="shared" si="387"/>
        <v>0</v>
      </c>
      <c r="AB1439">
        <f>--AND($E1439=1,OR('Staff Weekly Trend'!$B$3="All",$DH1439='Staff Weekly Trend'!$B$3),OR('Staff Weekly Trend'!$B$4="All",$D1439='Staff Weekly Trend'!$B$4),OR('Staff Weekly Trend'!$B$5="All",$A1439='Staff Weekly Trend'!$B$5))</f>
        <v>0</v>
      </c>
      <c r="AC1439" t="str">
        <f t="shared" si="388"/>
        <v/>
      </c>
      <c r="AI1439">
        <f t="shared" si="389"/>
        <v>0</v>
      </c>
      <c r="AJ1439">
        <f t="shared" si="390"/>
        <v>0</v>
      </c>
      <c r="AK1439">
        <f t="shared" si="391"/>
        <v>0</v>
      </c>
      <c r="AL1439">
        <f t="shared" si="392"/>
        <v>0</v>
      </c>
      <c r="AM1439">
        <f t="shared" si="393"/>
        <v>0</v>
      </c>
      <c r="DH1439" t="str" cm="1">
        <f t="array" ref="DH1439">IF($A1439="","",_xlfn.LET(_xlpm.c,IFERROR(_xlfn.XLOOKUP($A1439,TRIM('Sales and count'!$A$4:$A$300&amp;""),TRIM('Sales and count'!$B$4:$B$300&amp;"")),""),IF(OR(_xlpm.c="",_xlpm.c="0",LEFT(_xlpm.c,1)="#"),"Not set",_xlpm.c)))</f>
        <v/>
      </c>
    </row>
    <row r="1440" spans="1:112" x14ac:dyDescent="0.25">
      <c r="A1440" t="str">
        <f>IF('Staff Daily sales'!$B1425="","",TRIM('Staff Daily sales'!$B1425&amp;""))</f>
        <v/>
      </c>
      <c r="B1440" t="str">
        <f>IF('Staff Daily sales'!$D1425="","",TRIM('Staff Daily sales'!$D1425&amp;""))</f>
        <v/>
      </c>
      <c r="C1440" t="str">
        <f>IFERROR(TRIM('Staff Daily sales'!$E1425&amp;""),"")</f>
        <v/>
      </c>
      <c r="D1440" t="str">
        <f>IFERROR(IF(TRIM('Staff Daily sales'!$F1425&amp;"")="","Unassigned",TRIM('Staff Daily sales'!$F1425&amp;"")),"Unassigned")</f>
        <v>Unassigned</v>
      </c>
      <c r="E1440">
        <f t="shared" si="378"/>
        <v>0</v>
      </c>
      <c r="F1440">
        <f>IF($E1440=0,0,SUMPRODUCT($AI$5:$DF$5,'Staff Daily sales'!$G1425:$CD1425))</f>
        <v>0</v>
      </c>
      <c r="G1440">
        <f>IF($E1440=0,0,SUMPRODUCT($AI$6:$DF$6,'Staff Daily sales'!$G1425:$CD1425))</f>
        <v>0</v>
      </c>
      <c r="H1440">
        <f t="shared" si="379"/>
        <v>0</v>
      </c>
      <c r="I1440">
        <f t="shared" si="380"/>
        <v>0</v>
      </c>
      <c r="J1440">
        <f t="shared" si="381"/>
        <v>0</v>
      </c>
      <c r="K1440">
        <f t="shared" si="382"/>
        <v>0</v>
      </c>
      <c r="L1440">
        <f>--AND($E1440=1,OR('Staff Dashboard'!$B$6="All",$DH1440='Staff Dashboard'!$B$6),OR('Staff Dashboard'!$B$7="All",$D1440='Staff Dashboard'!$B$7),OR('Staff Dashboard'!$B$8="All",$A1440='Staff Dashboard'!$B$8))</f>
        <v>0</v>
      </c>
      <c r="M1440">
        <f>IF($E1440=0,0,SUMPRODUCT($AI$7:$DF$7,'Staff Daily sales'!$G1425:$CD1425))</f>
        <v>0</v>
      </c>
      <c r="N1440">
        <f>IF($E1440=0,0,SUMPRODUCT($AI$8:$DF$8,'Staff Daily sales'!$G1425:$CD1425))</f>
        <v>0</v>
      </c>
      <c r="O1440">
        <f>IF($E1440=0,0,SUMPRODUCT($AI$9:$DF$9,'Staff Daily sales'!$G1425:$CD1425))</f>
        <v>0</v>
      </c>
      <c r="P1440">
        <f>IF($E1440=0,0,SUMPRODUCT($AI$10:$DF$10,'Staff Daily sales'!$G1425:$CD1425))</f>
        <v>0</v>
      </c>
      <c r="Q1440">
        <f>IF($E1440=0,0,SUMPRODUCT($AI$11:$DF$11,'Staff Daily sales'!$G1425:$CD1425))</f>
        <v>0</v>
      </c>
      <c r="R1440">
        <f>IF($E1440=0,0,SUMPRODUCT($AI$12:$DF$12,'Staff Daily sales'!$G1425:$CD1425))</f>
        <v>0</v>
      </c>
      <c r="S1440">
        <f>IF($E1440=0,0,SUMPRODUCT($AI$13:$DF$13,'Staff Daily sales'!$G1425:$CD1425))</f>
        <v>0</v>
      </c>
      <c r="T1440">
        <f>IF($E1440=0,0,SUMPRODUCT($AI$14:$DF$14,'Staff Daily sales'!$G1425:$CD1425))</f>
        <v>0</v>
      </c>
      <c r="U1440">
        <f>IF($E1440=0,0,SUMPRODUCT($AI$15:$DF$15,'Staff Daily sales'!$G1425:$CD1425))</f>
        <v>0</v>
      </c>
      <c r="V1440">
        <f>IF($E1440=0,0,SUMPRODUCT($AI$16:$DF$16,'Staff Daily sales'!$G1425:$CD1425))</f>
        <v>0</v>
      </c>
      <c r="W1440">
        <f t="shared" si="383"/>
        <v>0</v>
      </c>
      <c r="X1440">
        <f t="shared" si="384"/>
        <v>0</v>
      </c>
      <c r="Y1440">
        <f t="shared" si="385"/>
        <v>0</v>
      </c>
      <c r="Z1440">
        <f t="shared" si="386"/>
        <v>0</v>
      </c>
      <c r="AA1440">
        <f t="shared" si="387"/>
        <v>0</v>
      </c>
      <c r="AB1440">
        <f>--AND($E1440=1,OR('Staff Weekly Trend'!$B$3="All",$DH1440='Staff Weekly Trend'!$B$3),OR('Staff Weekly Trend'!$B$4="All",$D1440='Staff Weekly Trend'!$B$4),OR('Staff Weekly Trend'!$B$5="All",$A1440='Staff Weekly Trend'!$B$5))</f>
        <v>0</v>
      </c>
      <c r="AC1440" t="str">
        <f t="shared" si="388"/>
        <v/>
      </c>
      <c r="AI1440">
        <f t="shared" si="389"/>
        <v>0</v>
      </c>
      <c r="AJ1440">
        <f t="shared" si="390"/>
        <v>0</v>
      </c>
      <c r="AK1440">
        <f t="shared" si="391"/>
        <v>0</v>
      </c>
      <c r="AL1440">
        <f t="shared" si="392"/>
        <v>0</v>
      </c>
      <c r="AM1440">
        <f t="shared" si="393"/>
        <v>0</v>
      </c>
      <c r="DH1440" t="str" cm="1">
        <f t="array" ref="DH1440">IF($A1440="","",_xlfn.LET(_xlpm.c,IFERROR(_xlfn.XLOOKUP($A1440,TRIM('Sales and count'!$A$4:$A$300&amp;""),TRIM('Sales and count'!$B$4:$B$300&amp;"")),""),IF(OR(_xlpm.c="",_xlpm.c="0",LEFT(_xlpm.c,1)="#"),"Not set",_xlpm.c)))</f>
        <v/>
      </c>
    </row>
    <row r="1441" spans="1:112" x14ac:dyDescent="0.25">
      <c r="A1441" t="str">
        <f>IF('Staff Daily sales'!$B1426="","",TRIM('Staff Daily sales'!$B1426&amp;""))</f>
        <v/>
      </c>
      <c r="B1441" t="str">
        <f>IF('Staff Daily sales'!$D1426="","",TRIM('Staff Daily sales'!$D1426&amp;""))</f>
        <v/>
      </c>
      <c r="C1441" t="str">
        <f>IFERROR(TRIM('Staff Daily sales'!$E1426&amp;""),"")</f>
        <v/>
      </c>
      <c r="D1441" t="str">
        <f>IFERROR(IF(TRIM('Staff Daily sales'!$F1426&amp;"")="","Unassigned",TRIM('Staff Daily sales'!$F1426&amp;"")),"Unassigned")</f>
        <v>Unassigned</v>
      </c>
      <c r="E1441">
        <f t="shared" si="378"/>
        <v>0</v>
      </c>
      <c r="F1441">
        <f>IF($E1441=0,0,SUMPRODUCT($AI$5:$DF$5,'Staff Daily sales'!$G1426:$CD1426))</f>
        <v>0</v>
      </c>
      <c r="G1441">
        <f>IF($E1441=0,0,SUMPRODUCT($AI$6:$DF$6,'Staff Daily sales'!$G1426:$CD1426))</f>
        <v>0</v>
      </c>
      <c r="H1441">
        <f t="shared" si="379"/>
        <v>0</v>
      </c>
      <c r="I1441">
        <f t="shared" si="380"/>
        <v>0</v>
      </c>
      <c r="J1441">
        <f t="shared" si="381"/>
        <v>0</v>
      </c>
      <c r="K1441">
        <f t="shared" si="382"/>
        <v>0</v>
      </c>
      <c r="L1441">
        <f>--AND($E1441=1,OR('Staff Dashboard'!$B$6="All",$DH1441='Staff Dashboard'!$B$6),OR('Staff Dashboard'!$B$7="All",$D1441='Staff Dashboard'!$B$7),OR('Staff Dashboard'!$B$8="All",$A1441='Staff Dashboard'!$B$8))</f>
        <v>0</v>
      </c>
      <c r="M1441">
        <f>IF($E1441=0,0,SUMPRODUCT($AI$7:$DF$7,'Staff Daily sales'!$G1426:$CD1426))</f>
        <v>0</v>
      </c>
      <c r="N1441">
        <f>IF($E1441=0,0,SUMPRODUCT($AI$8:$DF$8,'Staff Daily sales'!$G1426:$CD1426))</f>
        <v>0</v>
      </c>
      <c r="O1441">
        <f>IF($E1441=0,0,SUMPRODUCT($AI$9:$DF$9,'Staff Daily sales'!$G1426:$CD1426))</f>
        <v>0</v>
      </c>
      <c r="P1441">
        <f>IF($E1441=0,0,SUMPRODUCT($AI$10:$DF$10,'Staff Daily sales'!$G1426:$CD1426))</f>
        <v>0</v>
      </c>
      <c r="Q1441">
        <f>IF($E1441=0,0,SUMPRODUCT($AI$11:$DF$11,'Staff Daily sales'!$G1426:$CD1426))</f>
        <v>0</v>
      </c>
      <c r="R1441">
        <f>IF($E1441=0,0,SUMPRODUCT($AI$12:$DF$12,'Staff Daily sales'!$G1426:$CD1426))</f>
        <v>0</v>
      </c>
      <c r="S1441">
        <f>IF($E1441=0,0,SUMPRODUCT($AI$13:$DF$13,'Staff Daily sales'!$G1426:$CD1426))</f>
        <v>0</v>
      </c>
      <c r="T1441">
        <f>IF($E1441=0,0,SUMPRODUCT($AI$14:$DF$14,'Staff Daily sales'!$G1426:$CD1426))</f>
        <v>0</v>
      </c>
      <c r="U1441">
        <f>IF($E1441=0,0,SUMPRODUCT($AI$15:$DF$15,'Staff Daily sales'!$G1426:$CD1426))</f>
        <v>0</v>
      </c>
      <c r="V1441">
        <f>IF($E1441=0,0,SUMPRODUCT($AI$16:$DF$16,'Staff Daily sales'!$G1426:$CD1426))</f>
        <v>0</v>
      </c>
      <c r="W1441">
        <f t="shared" si="383"/>
        <v>0</v>
      </c>
      <c r="X1441">
        <f t="shared" si="384"/>
        <v>0</v>
      </c>
      <c r="Y1441">
        <f t="shared" si="385"/>
        <v>0</v>
      </c>
      <c r="Z1441">
        <f t="shared" si="386"/>
        <v>0</v>
      </c>
      <c r="AA1441">
        <f t="shared" si="387"/>
        <v>0</v>
      </c>
      <c r="AB1441">
        <f>--AND($E1441=1,OR('Staff Weekly Trend'!$B$3="All",$DH1441='Staff Weekly Trend'!$B$3),OR('Staff Weekly Trend'!$B$4="All",$D1441='Staff Weekly Trend'!$B$4),OR('Staff Weekly Trend'!$B$5="All",$A1441='Staff Weekly Trend'!$B$5))</f>
        <v>0</v>
      </c>
      <c r="AC1441" t="str">
        <f t="shared" si="388"/>
        <v/>
      </c>
      <c r="AI1441">
        <f t="shared" si="389"/>
        <v>0</v>
      </c>
      <c r="AJ1441">
        <f t="shared" si="390"/>
        <v>0</v>
      </c>
      <c r="AK1441">
        <f t="shared" si="391"/>
        <v>0</v>
      </c>
      <c r="AL1441">
        <f t="shared" si="392"/>
        <v>0</v>
      </c>
      <c r="AM1441">
        <f t="shared" si="393"/>
        <v>0</v>
      </c>
      <c r="DH1441" t="str" cm="1">
        <f t="array" ref="DH1441">IF($A1441="","",_xlfn.LET(_xlpm.c,IFERROR(_xlfn.XLOOKUP($A1441,TRIM('Sales and count'!$A$4:$A$300&amp;""),TRIM('Sales and count'!$B$4:$B$300&amp;"")),""),IF(OR(_xlpm.c="",_xlpm.c="0",LEFT(_xlpm.c,1)="#"),"Not set",_xlpm.c)))</f>
        <v/>
      </c>
    </row>
    <row r="1442" spans="1:112" x14ac:dyDescent="0.25">
      <c r="A1442" t="str">
        <f>IF('Staff Daily sales'!$B1427="","",TRIM('Staff Daily sales'!$B1427&amp;""))</f>
        <v/>
      </c>
      <c r="B1442" t="str">
        <f>IF('Staff Daily sales'!$D1427="","",TRIM('Staff Daily sales'!$D1427&amp;""))</f>
        <v/>
      </c>
      <c r="C1442" t="str">
        <f>IFERROR(TRIM('Staff Daily sales'!$E1427&amp;""),"")</f>
        <v/>
      </c>
      <c r="D1442" t="str">
        <f>IFERROR(IF(TRIM('Staff Daily sales'!$F1427&amp;"")="","Unassigned",TRIM('Staff Daily sales'!$F1427&amp;"")),"Unassigned")</f>
        <v>Unassigned</v>
      </c>
      <c r="E1442">
        <f t="shared" si="378"/>
        <v>0</v>
      </c>
      <c r="F1442">
        <f>IF($E1442=0,0,SUMPRODUCT($AI$5:$DF$5,'Staff Daily sales'!$G1427:$CD1427))</f>
        <v>0</v>
      </c>
      <c r="G1442">
        <f>IF($E1442=0,0,SUMPRODUCT($AI$6:$DF$6,'Staff Daily sales'!$G1427:$CD1427))</f>
        <v>0</v>
      </c>
      <c r="H1442">
        <f t="shared" si="379"/>
        <v>0</v>
      </c>
      <c r="I1442">
        <f t="shared" si="380"/>
        <v>0</v>
      </c>
      <c r="J1442">
        <f t="shared" si="381"/>
        <v>0</v>
      </c>
      <c r="K1442">
        <f t="shared" si="382"/>
        <v>0</v>
      </c>
      <c r="L1442">
        <f>--AND($E1442=1,OR('Staff Dashboard'!$B$6="All",$DH1442='Staff Dashboard'!$B$6),OR('Staff Dashboard'!$B$7="All",$D1442='Staff Dashboard'!$B$7),OR('Staff Dashboard'!$B$8="All",$A1442='Staff Dashboard'!$B$8))</f>
        <v>0</v>
      </c>
      <c r="M1442">
        <f>IF($E1442=0,0,SUMPRODUCT($AI$7:$DF$7,'Staff Daily sales'!$G1427:$CD1427))</f>
        <v>0</v>
      </c>
      <c r="N1442">
        <f>IF($E1442=0,0,SUMPRODUCT($AI$8:$DF$8,'Staff Daily sales'!$G1427:$CD1427))</f>
        <v>0</v>
      </c>
      <c r="O1442">
        <f>IF($E1442=0,0,SUMPRODUCT($AI$9:$DF$9,'Staff Daily sales'!$G1427:$CD1427))</f>
        <v>0</v>
      </c>
      <c r="P1442">
        <f>IF($E1442=0,0,SUMPRODUCT($AI$10:$DF$10,'Staff Daily sales'!$G1427:$CD1427))</f>
        <v>0</v>
      </c>
      <c r="Q1442">
        <f>IF($E1442=0,0,SUMPRODUCT($AI$11:$DF$11,'Staff Daily sales'!$G1427:$CD1427))</f>
        <v>0</v>
      </c>
      <c r="R1442">
        <f>IF($E1442=0,0,SUMPRODUCT($AI$12:$DF$12,'Staff Daily sales'!$G1427:$CD1427))</f>
        <v>0</v>
      </c>
      <c r="S1442">
        <f>IF($E1442=0,0,SUMPRODUCT($AI$13:$DF$13,'Staff Daily sales'!$G1427:$CD1427))</f>
        <v>0</v>
      </c>
      <c r="T1442">
        <f>IF($E1442=0,0,SUMPRODUCT($AI$14:$DF$14,'Staff Daily sales'!$G1427:$CD1427))</f>
        <v>0</v>
      </c>
      <c r="U1442">
        <f>IF($E1442=0,0,SUMPRODUCT($AI$15:$DF$15,'Staff Daily sales'!$G1427:$CD1427))</f>
        <v>0</v>
      </c>
      <c r="V1442">
        <f>IF($E1442=0,0,SUMPRODUCT($AI$16:$DF$16,'Staff Daily sales'!$G1427:$CD1427))</f>
        <v>0</v>
      </c>
      <c r="W1442">
        <f t="shared" si="383"/>
        <v>0</v>
      </c>
      <c r="X1442">
        <f t="shared" si="384"/>
        <v>0</v>
      </c>
      <c r="Y1442">
        <f t="shared" si="385"/>
        <v>0</v>
      </c>
      <c r="Z1442">
        <f t="shared" si="386"/>
        <v>0</v>
      </c>
      <c r="AA1442">
        <f t="shared" si="387"/>
        <v>0</v>
      </c>
      <c r="AB1442">
        <f>--AND($E1442=1,OR('Staff Weekly Trend'!$B$3="All",$DH1442='Staff Weekly Trend'!$B$3),OR('Staff Weekly Trend'!$B$4="All",$D1442='Staff Weekly Trend'!$B$4),OR('Staff Weekly Trend'!$B$5="All",$A1442='Staff Weekly Trend'!$B$5))</f>
        <v>0</v>
      </c>
      <c r="AC1442" t="str">
        <f t="shared" si="388"/>
        <v/>
      </c>
      <c r="AI1442">
        <f t="shared" si="389"/>
        <v>0</v>
      </c>
      <c r="AJ1442">
        <f t="shared" si="390"/>
        <v>0</v>
      </c>
      <c r="AK1442">
        <f t="shared" si="391"/>
        <v>0</v>
      </c>
      <c r="AL1442">
        <f t="shared" si="392"/>
        <v>0</v>
      </c>
      <c r="AM1442">
        <f t="shared" si="393"/>
        <v>0</v>
      </c>
      <c r="DH1442" t="str" cm="1">
        <f t="array" ref="DH1442">IF($A1442="","",_xlfn.LET(_xlpm.c,IFERROR(_xlfn.XLOOKUP($A1442,TRIM('Sales and count'!$A$4:$A$300&amp;""),TRIM('Sales and count'!$B$4:$B$300&amp;"")),""),IF(OR(_xlpm.c="",_xlpm.c="0",LEFT(_xlpm.c,1)="#"),"Not set",_xlpm.c)))</f>
        <v/>
      </c>
    </row>
    <row r="1443" spans="1:112" x14ac:dyDescent="0.25">
      <c r="A1443" t="str">
        <f>IF('Staff Daily sales'!$B1428="","",TRIM('Staff Daily sales'!$B1428&amp;""))</f>
        <v/>
      </c>
      <c r="B1443" t="str">
        <f>IF('Staff Daily sales'!$D1428="","",TRIM('Staff Daily sales'!$D1428&amp;""))</f>
        <v/>
      </c>
      <c r="C1443" t="str">
        <f>IFERROR(TRIM('Staff Daily sales'!$E1428&amp;""),"")</f>
        <v/>
      </c>
      <c r="D1443" t="str">
        <f>IFERROR(IF(TRIM('Staff Daily sales'!$F1428&amp;"")="","Unassigned",TRIM('Staff Daily sales'!$F1428&amp;"")),"Unassigned")</f>
        <v>Unassigned</v>
      </c>
      <c r="E1443">
        <f t="shared" si="378"/>
        <v>0</v>
      </c>
      <c r="F1443">
        <f>IF($E1443=0,0,SUMPRODUCT($AI$5:$DF$5,'Staff Daily sales'!$G1428:$CD1428))</f>
        <v>0</v>
      </c>
      <c r="G1443">
        <f>IF($E1443=0,0,SUMPRODUCT($AI$6:$DF$6,'Staff Daily sales'!$G1428:$CD1428))</f>
        <v>0</v>
      </c>
      <c r="H1443">
        <f t="shared" si="379"/>
        <v>0</v>
      </c>
      <c r="I1443">
        <f t="shared" si="380"/>
        <v>0</v>
      </c>
      <c r="J1443">
        <f t="shared" si="381"/>
        <v>0</v>
      </c>
      <c r="K1443">
        <f t="shared" si="382"/>
        <v>0</v>
      </c>
      <c r="L1443">
        <f>--AND($E1443=1,OR('Staff Dashboard'!$B$6="All",$DH1443='Staff Dashboard'!$B$6),OR('Staff Dashboard'!$B$7="All",$D1443='Staff Dashboard'!$B$7),OR('Staff Dashboard'!$B$8="All",$A1443='Staff Dashboard'!$B$8))</f>
        <v>0</v>
      </c>
      <c r="M1443">
        <f>IF($E1443=0,0,SUMPRODUCT($AI$7:$DF$7,'Staff Daily sales'!$G1428:$CD1428))</f>
        <v>0</v>
      </c>
      <c r="N1443">
        <f>IF($E1443=0,0,SUMPRODUCT($AI$8:$DF$8,'Staff Daily sales'!$G1428:$CD1428))</f>
        <v>0</v>
      </c>
      <c r="O1443">
        <f>IF($E1443=0,0,SUMPRODUCT($AI$9:$DF$9,'Staff Daily sales'!$G1428:$CD1428))</f>
        <v>0</v>
      </c>
      <c r="P1443">
        <f>IF($E1443=0,0,SUMPRODUCT($AI$10:$DF$10,'Staff Daily sales'!$G1428:$CD1428))</f>
        <v>0</v>
      </c>
      <c r="Q1443">
        <f>IF($E1443=0,0,SUMPRODUCT($AI$11:$DF$11,'Staff Daily sales'!$G1428:$CD1428))</f>
        <v>0</v>
      </c>
      <c r="R1443">
        <f>IF($E1443=0,0,SUMPRODUCT($AI$12:$DF$12,'Staff Daily sales'!$G1428:$CD1428))</f>
        <v>0</v>
      </c>
      <c r="S1443">
        <f>IF($E1443=0,0,SUMPRODUCT($AI$13:$DF$13,'Staff Daily sales'!$G1428:$CD1428))</f>
        <v>0</v>
      </c>
      <c r="T1443">
        <f>IF($E1443=0,0,SUMPRODUCT($AI$14:$DF$14,'Staff Daily sales'!$G1428:$CD1428))</f>
        <v>0</v>
      </c>
      <c r="U1443">
        <f>IF($E1443=0,0,SUMPRODUCT($AI$15:$DF$15,'Staff Daily sales'!$G1428:$CD1428))</f>
        <v>0</v>
      </c>
      <c r="V1443">
        <f>IF($E1443=0,0,SUMPRODUCT($AI$16:$DF$16,'Staff Daily sales'!$G1428:$CD1428))</f>
        <v>0</v>
      </c>
      <c r="W1443">
        <f t="shared" si="383"/>
        <v>0</v>
      </c>
      <c r="X1443">
        <f t="shared" si="384"/>
        <v>0</v>
      </c>
      <c r="Y1443">
        <f t="shared" si="385"/>
        <v>0</v>
      </c>
      <c r="Z1443">
        <f t="shared" si="386"/>
        <v>0</v>
      </c>
      <c r="AA1443">
        <f t="shared" si="387"/>
        <v>0</v>
      </c>
      <c r="AB1443">
        <f>--AND($E1443=1,OR('Staff Weekly Trend'!$B$3="All",$DH1443='Staff Weekly Trend'!$B$3),OR('Staff Weekly Trend'!$B$4="All",$D1443='Staff Weekly Trend'!$B$4),OR('Staff Weekly Trend'!$B$5="All",$A1443='Staff Weekly Trend'!$B$5))</f>
        <v>0</v>
      </c>
      <c r="AC1443" t="str">
        <f t="shared" si="388"/>
        <v/>
      </c>
      <c r="AI1443">
        <f t="shared" si="389"/>
        <v>0</v>
      </c>
      <c r="AJ1443">
        <f t="shared" si="390"/>
        <v>0</v>
      </c>
      <c r="AK1443">
        <f t="shared" si="391"/>
        <v>0</v>
      </c>
      <c r="AL1443">
        <f t="shared" si="392"/>
        <v>0</v>
      </c>
      <c r="AM1443">
        <f t="shared" si="393"/>
        <v>0</v>
      </c>
      <c r="DH1443" t="str" cm="1">
        <f t="array" ref="DH1443">IF($A1443="","",_xlfn.LET(_xlpm.c,IFERROR(_xlfn.XLOOKUP($A1443,TRIM('Sales and count'!$A$4:$A$300&amp;""),TRIM('Sales and count'!$B$4:$B$300&amp;"")),""),IF(OR(_xlpm.c="",_xlpm.c="0",LEFT(_xlpm.c,1)="#"),"Not set",_xlpm.c)))</f>
        <v/>
      </c>
    </row>
    <row r="1444" spans="1:112" x14ac:dyDescent="0.25">
      <c r="A1444" t="str">
        <f>IF('Staff Daily sales'!$B1429="","",TRIM('Staff Daily sales'!$B1429&amp;""))</f>
        <v/>
      </c>
      <c r="B1444" t="str">
        <f>IF('Staff Daily sales'!$D1429="","",TRIM('Staff Daily sales'!$D1429&amp;""))</f>
        <v/>
      </c>
      <c r="C1444" t="str">
        <f>IFERROR(TRIM('Staff Daily sales'!$E1429&amp;""),"")</f>
        <v/>
      </c>
      <c r="D1444" t="str">
        <f>IFERROR(IF(TRIM('Staff Daily sales'!$F1429&amp;"")="","Unassigned",TRIM('Staff Daily sales'!$F1429&amp;"")),"Unassigned")</f>
        <v>Unassigned</v>
      </c>
      <c r="E1444">
        <f t="shared" si="378"/>
        <v>0</v>
      </c>
      <c r="F1444">
        <f>IF($E1444=0,0,SUMPRODUCT($AI$5:$DF$5,'Staff Daily sales'!$G1429:$CD1429))</f>
        <v>0</v>
      </c>
      <c r="G1444">
        <f>IF($E1444=0,0,SUMPRODUCT($AI$6:$DF$6,'Staff Daily sales'!$G1429:$CD1429))</f>
        <v>0</v>
      </c>
      <c r="H1444">
        <f t="shared" si="379"/>
        <v>0</v>
      </c>
      <c r="I1444">
        <f t="shared" si="380"/>
        <v>0</v>
      </c>
      <c r="J1444">
        <f t="shared" si="381"/>
        <v>0</v>
      </c>
      <c r="K1444">
        <f t="shared" si="382"/>
        <v>0</v>
      </c>
      <c r="L1444">
        <f>--AND($E1444=1,OR('Staff Dashboard'!$B$6="All",$DH1444='Staff Dashboard'!$B$6),OR('Staff Dashboard'!$B$7="All",$D1444='Staff Dashboard'!$B$7),OR('Staff Dashboard'!$B$8="All",$A1444='Staff Dashboard'!$B$8))</f>
        <v>0</v>
      </c>
      <c r="M1444">
        <f>IF($E1444=0,0,SUMPRODUCT($AI$7:$DF$7,'Staff Daily sales'!$G1429:$CD1429))</f>
        <v>0</v>
      </c>
      <c r="N1444">
        <f>IF($E1444=0,0,SUMPRODUCT($AI$8:$DF$8,'Staff Daily sales'!$G1429:$CD1429))</f>
        <v>0</v>
      </c>
      <c r="O1444">
        <f>IF($E1444=0,0,SUMPRODUCT($AI$9:$DF$9,'Staff Daily sales'!$G1429:$CD1429))</f>
        <v>0</v>
      </c>
      <c r="P1444">
        <f>IF($E1444=0,0,SUMPRODUCT($AI$10:$DF$10,'Staff Daily sales'!$G1429:$CD1429))</f>
        <v>0</v>
      </c>
      <c r="Q1444">
        <f>IF($E1444=0,0,SUMPRODUCT($AI$11:$DF$11,'Staff Daily sales'!$G1429:$CD1429))</f>
        <v>0</v>
      </c>
      <c r="R1444">
        <f>IF($E1444=0,0,SUMPRODUCT($AI$12:$DF$12,'Staff Daily sales'!$G1429:$CD1429))</f>
        <v>0</v>
      </c>
      <c r="S1444">
        <f>IF($E1444=0,0,SUMPRODUCT($AI$13:$DF$13,'Staff Daily sales'!$G1429:$CD1429))</f>
        <v>0</v>
      </c>
      <c r="T1444">
        <f>IF($E1444=0,0,SUMPRODUCT($AI$14:$DF$14,'Staff Daily sales'!$G1429:$CD1429))</f>
        <v>0</v>
      </c>
      <c r="U1444">
        <f>IF($E1444=0,0,SUMPRODUCT($AI$15:$DF$15,'Staff Daily sales'!$G1429:$CD1429))</f>
        <v>0</v>
      </c>
      <c r="V1444">
        <f>IF($E1444=0,0,SUMPRODUCT($AI$16:$DF$16,'Staff Daily sales'!$G1429:$CD1429))</f>
        <v>0</v>
      </c>
      <c r="W1444">
        <f t="shared" si="383"/>
        <v>0</v>
      </c>
      <c r="X1444">
        <f t="shared" si="384"/>
        <v>0</v>
      </c>
      <c r="Y1444">
        <f t="shared" si="385"/>
        <v>0</v>
      </c>
      <c r="Z1444">
        <f t="shared" si="386"/>
        <v>0</v>
      </c>
      <c r="AA1444">
        <f t="shared" si="387"/>
        <v>0</v>
      </c>
      <c r="AB1444">
        <f>--AND($E1444=1,OR('Staff Weekly Trend'!$B$3="All",$DH1444='Staff Weekly Trend'!$B$3),OR('Staff Weekly Trend'!$B$4="All",$D1444='Staff Weekly Trend'!$B$4),OR('Staff Weekly Trend'!$B$5="All",$A1444='Staff Weekly Trend'!$B$5))</f>
        <v>0</v>
      </c>
      <c r="AC1444" t="str">
        <f t="shared" si="388"/>
        <v/>
      </c>
      <c r="AI1444">
        <f t="shared" si="389"/>
        <v>0</v>
      </c>
      <c r="AJ1444">
        <f t="shared" si="390"/>
        <v>0</v>
      </c>
      <c r="AK1444">
        <f t="shared" si="391"/>
        <v>0</v>
      </c>
      <c r="AL1444">
        <f t="shared" si="392"/>
        <v>0</v>
      </c>
      <c r="AM1444">
        <f t="shared" si="393"/>
        <v>0</v>
      </c>
      <c r="DH1444" t="str" cm="1">
        <f t="array" ref="DH1444">IF($A1444="","",_xlfn.LET(_xlpm.c,IFERROR(_xlfn.XLOOKUP($A1444,TRIM('Sales and count'!$A$4:$A$300&amp;""),TRIM('Sales and count'!$B$4:$B$300&amp;"")),""),IF(OR(_xlpm.c="",_xlpm.c="0",LEFT(_xlpm.c,1)="#"),"Not set",_xlpm.c)))</f>
        <v/>
      </c>
    </row>
    <row r="1445" spans="1:112" x14ac:dyDescent="0.25">
      <c r="A1445" t="str">
        <f>IF('Staff Daily sales'!$B1430="","",TRIM('Staff Daily sales'!$B1430&amp;""))</f>
        <v/>
      </c>
      <c r="B1445" t="str">
        <f>IF('Staff Daily sales'!$D1430="","",TRIM('Staff Daily sales'!$D1430&amp;""))</f>
        <v/>
      </c>
      <c r="C1445" t="str">
        <f>IFERROR(TRIM('Staff Daily sales'!$E1430&amp;""),"")</f>
        <v/>
      </c>
      <c r="D1445" t="str">
        <f>IFERROR(IF(TRIM('Staff Daily sales'!$F1430&amp;"")="","Unassigned",TRIM('Staff Daily sales'!$F1430&amp;"")),"Unassigned")</f>
        <v>Unassigned</v>
      </c>
      <c r="E1445">
        <f t="shared" si="378"/>
        <v>0</v>
      </c>
      <c r="F1445">
        <f>IF($E1445=0,0,SUMPRODUCT($AI$5:$DF$5,'Staff Daily sales'!$G1430:$CD1430))</f>
        <v>0</v>
      </c>
      <c r="G1445">
        <f>IF($E1445=0,0,SUMPRODUCT($AI$6:$DF$6,'Staff Daily sales'!$G1430:$CD1430))</f>
        <v>0</v>
      </c>
      <c r="H1445">
        <f t="shared" si="379"/>
        <v>0</v>
      </c>
      <c r="I1445">
        <f t="shared" si="380"/>
        <v>0</v>
      </c>
      <c r="J1445">
        <f t="shared" si="381"/>
        <v>0</v>
      </c>
      <c r="K1445">
        <f t="shared" si="382"/>
        <v>0</v>
      </c>
      <c r="L1445">
        <f>--AND($E1445=1,OR('Staff Dashboard'!$B$6="All",$DH1445='Staff Dashboard'!$B$6),OR('Staff Dashboard'!$B$7="All",$D1445='Staff Dashboard'!$B$7),OR('Staff Dashboard'!$B$8="All",$A1445='Staff Dashboard'!$B$8))</f>
        <v>0</v>
      </c>
      <c r="M1445">
        <f>IF($E1445=0,0,SUMPRODUCT($AI$7:$DF$7,'Staff Daily sales'!$G1430:$CD1430))</f>
        <v>0</v>
      </c>
      <c r="N1445">
        <f>IF($E1445=0,0,SUMPRODUCT($AI$8:$DF$8,'Staff Daily sales'!$G1430:$CD1430))</f>
        <v>0</v>
      </c>
      <c r="O1445">
        <f>IF($E1445=0,0,SUMPRODUCT($AI$9:$DF$9,'Staff Daily sales'!$G1430:$CD1430))</f>
        <v>0</v>
      </c>
      <c r="P1445">
        <f>IF($E1445=0,0,SUMPRODUCT($AI$10:$DF$10,'Staff Daily sales'!$G1430:$CD1430))</f>
        <v>0</v>
      </c>
      <c r="Q1445">
        <f>IF($E1445=0,0,SUMPRODUCT($AI$11:$DF$11,'Staff Daily sales'!$G1430:$CD1430))</f>
        <v>0</v>
      </c>
      <c r="R1445">
        <f>IF($E1445=0,0,SUMPRODUCT($AI$12:$DF$12,'Staff Daily sales'!$G1430:$CD1430))</f>
        <v>0</v>
      </c>
      <c r="S1445">
        <f>IF($E1445=0,0,SUMPRODUCT($AI$13:$DF$13,'Staff Daily sales'!$G1430:$CD1430))</f>
        <v>0</v>
      </c>
      <c r="T1445">
        <f>IF($E1445=0,0,SUMPRODUCT($AI$14:$DF$14,'Staff Daily sales'!$G1430:$CD1430))</f>
        <v>0</v>
      </c>
      <c r="U1445">
        <f>IF($E1445=0,0,SUMPRODUCT($AI$15:$DF$15,'Staff Daily sales'!$G1430:$CD1430))</f>
        <v>0</v>
      </c>
      <c r="V1445">
        <f>IF($E1445=0,0,SUMPRODUCT($AI$16:$DF$16,'Staff Daily sales'!$G1430:$CD1430))</f>
        <v>0</v>
      </c>
      <c r="W1445">
        <f t="shared" si="383"/>
        <v>0</v>
      </c>
      <c r="X1445">
        <f t="shared" si="384"/>
        <v>0</v>
      </c>
      <c r="Y1445">
        <f t="shared" si="385"/>
        <v>0</v>
      </c>
      <c r="Z1445">
        <f t="shared" si="386"/>
        <v>0</v>
      </c>
      <c r="AA1445">
        <f t="shared" si="387"/>
        <v>0</v>
      </c>
      <c r="AB1445">
        <f>--AND($E1445=1,OR('Staff Weekly Trend'!$B$3="All",$DH1445='Staff Weekly Trend'!$B$3),OR('Staff Weekly Trend'!$B$4="All",$D1445='Staff Weekly Trend'!$B$4),OR('Staff Weekly Trend'!$B$5="All",$A1445='Staff Weekly Trend'!$B$5))</f>
        <v>0</v>
      </c>
      <c r="AC1445" t="str">
        <f t="shared" si="388"/>
        <v/>
      </c>
      <c r="AI1445">
        <f t="shared" si="389"/>
        <v>0</v>
      </c>
      <c r="AJ1445">
        <f t="shared" si="390"/>
        <v>0</v>
      </c>
      <c r="AK1445">
        <f t="shared" si="391"/>
        <v>0</v>
      </c>
      <c r="AL1445">
        <f t="shared" si="392"/>
        <v>0</v>
      </c>
      <c r="AM1445">
        <f t="shared" si="393"/>
        <v>0</v>
      </c>
      <c r="DH1445" t="str" cm="1">
        <f t="array" ref="DH1445">IF($A1445="","",_xlfn.LET(_xlpm.c,IFERROR(_xlfn.XLOOKUP($A1445,TRIM('Sales and count'!$A$4:$A$300&amp;""),TRIM('Sales and count'!$B$4:$B$300&amp;"")),""),IF(OR(_xlpm.c="",_xlpm.c="0",LEFT(_xlpm.c,1)="#"),"Not set",_xlpm.c)))</f>
        <v/>
      </c>
    </row>
    <row r="1446" spans="1:112" x14ac:dyDescent="0.25">
      <c r="A1446" t="str">
        <f>IF('Staff Daily sales'!$B1431="","",TRIM('Staff Daily sales'!$B1431&amp;""))</f>
        <v/>
      </c>
      <c r="B1446" t="str">
        <f>IF('Staff Daily sales'!$D1431="","",TRIM('Staff Daily sales'!$D1431&amp;""))</f>
        <v/>
      </c>
      <c r="C1446" t="str">
        <f>IFERROR(TRIM('Staff Daily sales'!$E1431&amp;""),"")</f>
        <v/>
      </c>
      <c r="D1446" t="str">
        <f>IFERROR(IF(TRIM('Staff Daily sales'!$F1431&amp;"")="","Unassigned",TRIM('Staff Daily sales'!$F1431&amp;"")),"Unassigned")</f>
        <v>Unassigned</v>
      </c>
      <c r="E1446">
        <f t="shared" si="378"/>
        <v>0</v>
      </c>
      <c r="F1446">
        <f>IF($E1446=0,0,SUMPRODUCT($AI$5:$DF$5,'Staff Daily sales'!$G1431:$CD1431))</f>
        <v>0</v>
      </c>
      <c r="G1446">
        <f>IF($E1446=0,0,SUMPRODUCT($AI$6:$DF$6,'Staff Daily sales'!$G1431:$CD1431))</f>
        <v>0</v>
      </c>
      <c r="H1446">
        <f t="shared" si="379"/>
        <v>0</v>
      </c>
      <c r="I1446">
        <f t="shared" si="380"/>
        <v>0</v>
      </c>
      <c r="J1446">
        <f t="shared" si="381"/>
        <v>0</v>
      </c>
      <c r="K1446">
        <f t="shared" si="382"/>
        <v>0</v>
      </c>
      <c r="L1446">
        <f>--AND($E1446=1,OR('Staff Dashboard'!$B$6="All",$DH1446='Staff Dashboard'!$B$6),OR('Staff Dashboard'!$B$7="All",$D1446='Staff Dashboard'!$B$7),OR('Staff Dashboard'!$B$8="All",$A1446='Staff Dashboard'!$B$8))</f>
        <v>0</v>
      </c>
      <c r="M1446">
        <f>IF($E1446=0,0,SUMPRODUCT($AI$7:$DF$7,'Staff Daily sales'!$G1431:$CD1431))</f>
        <v>0</v>
      </c>
      <c r="N1446">
        <f>IF($E1446=0,0,SUMPRODUCT($AI$8:$DF$8,'Staff Daily sales'!$G1431:$CD1431))</f>
        <v>0</v>
      </c>
      <c r="O1446">
        <f>IF($E1446=0,0,SUMPRODUCT($AI$9:$DF$9,'Staff Daily sales'!$G1431:$CD1431))</f>
        <v>0</v>
      </c>
      <c r="P1446">
        <f>IF($E1446=0,0,SUMPRODUCT($AI$10:$DF$10,'Staff Daily sales'!$G1431:$CD1431))</f>
        <v>0</v>
      </c>
      <c r="Q1446">
        <f>IF($E1446=0,0,SUMPRODUCT($AI$11:$DF$11,'Staff Daily sales'!$G1431:$CD1431))</f>
        <v>0</v>
      </c>
      <c r="R1446">
        <f>IF($E1446=0,0,SUMPRODUCT($AI$12:$DF$12,'Staff Daily sales'!$G1431:$CD1431))</f>
        <v>0</v>
      </c>
      <c r="S1446">
        <f>IF($E1446=0,0,SUMPRODUCT($AI$13:$DF$13,'Staff Daily sales'!$G1431:$CD1431))</f>
        <v>0</v>
      </c>
      <c r="T1446">
        <f>IF($E1446=0,0,SUMPRODUCT($AI$14:$DF$14,'Staff Daily sales'!$G1431:$CD1431))</f>
        <v>0</v>
      </c>
      <c r="U1446">
        <f>IF($E1446=0,0,SUMPRODUCT($AI$15:$DF$15,'Staff Daily sales'!$G1431:$CD1431))</f>
        <v>0</v>
      </c>
      <c r="V1446">
        <f>IF($E1446=0,0,SUMPRODUCT($AI$16:$DF$16,'Staff Daily sales'!$G1431:$CD1431))</f>
        <v>0</v>
      </c>
      <c r="W1446">
        <f t="shared" si="383"/>
        <v>0</v>
      </c>
      <c r="X1446">
        <f t="shared" si="384"/>
        <v>0</v>
      </c>
      <c r="Y1446">
        <f t="shared" si="385"/>
        <v>0</v>
      </c>
      <c r="Z1446">
        <f t="shared" si="386"/>
        <v>0</v>
      </c>
      <c r="AA1446">
        <f t="shared" si="387"/>
        <v>0</v>
      </c>
      <c r="AB1446">
        <f>--AND($E1446=1,OR('Staff Weekly Trend'!$B$3="All",$DH1446='Staff Weekly Trend'!$B$3),OR('Staff Weekly Trend'!$B$4="All",$D1446='Staff Weekly Trend'!$B$4),OR('Staff Weekly Trend'!$B$5="All",$A1446='Staff Weekly Trend'!$B$5))</f>
        <v>0</v>
      </c>
      <c r="AC1446" t="str">
        <f t="shared" si="388"/>
        <v/>
      </c>
      <c r="AI1446">
        <f t="shared" si="389"/>
        <v>0</v>
      </c>
      <c r="AJ1446">
        <f t="shared" si="390"/>
        <v>0</v>
      </c>
      <c r="AK1446">
        <f t="shared" si="391"/>
        <v>0</v>
      </c>
      <c r="AL1446">
        <f t="shared" si="392"/>
        <v>0</v>
      </c>
      <c r="AM1446">
        <f t="shared" si="393"/>
        <v>0</v>
      </c>
      <c r="DH1446" t="str" cm="1">
        <f t="array" ref="DH1446">IF($A1446="","",_xlfn.LET(_xlpm.c,IFERROR(_xlfn.XLOOKUP($A1446,TRIM('Sales and count'!$A$4:$A$300&amp;""),TRIM('Sales and count'!$B$4:$B$300&amp;"")),""),IF(OR(_xlpm.c="",_xlpm.c="0",LEFT(_xlpm.c,1)="#"),"Not set",_xlpm.c)))</f>
        <v/>
      </c>
    </row>
    <row r="1447" spans="1:112" x14ac:dyDescent="0.25">
      <c r="A1447" t="str">
        <f>IF('Staff Daily sales'!$B1432="","",TRIM('Staff Daily sales'!$B1432&amp;""))</f>
        <v/>
      </c>
      <c r="B1447" t="str">
        <f>IF('Staff Daily sales'!$D1432="","",TRIM('Staff Daily sales'!$D1432&amp;""))</f>
        <v/>
      </c>
      <c r="C1447" t="str">
        <f>IFERROR(TRIM('Staff Daily sales'!$E1432&amp;""),"")</f>
        <v/>
      </c>
      <c r="D1447" t="str">
        <f>IFERROR(IF(TRIM('Staff Daily sales'!$F1432&amp;"")="","Unassigned",TRIM('Staff Daily sales'!$F1432&amp;"")),"Unassigned")</f>
        <v>Unassigned</v>
      </c>
      <c r="E1447">
        <f t="shared" si="378"/>
        <v>0</v>
      </c>
      <c r="F1447">
        <f>IF($E1447=0,0,SUMPRODUCT($AI$5:$DF$5,'Staff Daily sales'!$G1432:$CD1432))</f>
        <v>0</v>
      </c>
      <c r="G1447">
        <f>IF($E1447=0,0,SUMPRODUCT($AI$6:$DF$6,'Staff Daily sales'!$G1432:$CD1432))</f>
        <v>0</v>
      </c>
      <c r="H1447">
        <f t="shared" si="379"/>
        <v>0</v>
      </c>
      <c r="I1447">
        <f t="shared" si="380"/>
        <v>0</v>
      </c>
      <c r="J1447">
        <f t="shared" si="381"/>
        <v>0</v>
      </c>
      <c r="K1447">
        <f t="shared" si="382"/>
        <v>0</v>
      </c>
      <c r="L1447">
        <f>--AND($E1447=1,OR('Staff Dashboard'!$B$6="All",$DH1447='Staff Dashboard'!$B$6),OR('Staff Dashboard'!$B$7="All",$D1447='Staff Dashboard'!$B$7),OR('Staff Dashboard'!$B$8="All",$A1447='Staff Dashboard'!$B$8))</f>
        <v>0</v>
      </c>
      <c r="M1447">
        <f>IF($E1447=0,0,SUMPRODUCT($AI$7:$DF$7,'Staff Daily sales'!$G1432:$CD1432))</f>
        <v>0</v>
      </c>
      <c r="N1447">
        <f>IF($E1447=0,0,SUMPRODUCT($AI$8:$DF$8,'Staff Daily sales'!$G1432:$CD1432))</f>
        <v>0</v>
      </c>
      <c r="O1447">
        <f>IF($E1447=0,0,SUMPRODUCT($AI$9:$DF$9,'Staff Daily sales'!$G1432:$CD1432))</f>
        <v>0</v>
      </c>
      <c r="P1447">
        <f>IF($E1447=0,0,SUMPRODUCT($AI$10:$DF$10,'Staff Daily sales'!$G1432:$CD1432))</f>
        <v>0</v>
      </c>
      <c r="Q1447">
        <f>IF($E1447=0,0,SUMPRODUCT($AI$11:$DF$11,'Staff Daily sales'!$G1432:$CD1432))</f>
        <v>0</v>
      </c>
      <c r="R1447">
        <f>IF($E1447=0,0,SUMPRODUCT($AI$12:$DF$12,'Staff Daily sales'!$G1432:$CD1432))</f>
        <v>0</v>
      </c>
      <c r="S1447">
        <f>IF($E1447=0,0,SUMPRODUCT($AI$13:$DF$13,'Staff Daily sales'!$G1432:$CD1432))</f>
        <v>0</v>
      </c>
      <c r="T1447">
        <f>IF($E1447=0,0,SUMPRODUCT($AI$14:$DF$14,'Staff Daily sales'!$G1432:$CD1432))</f>
        <v>0</v>
      </c>
      <c r="U1447">
        <f>IF($E1447=0,0,SUMPRODUCT($AI$15:$DF$15,'Staff Daily sales'!$G1432:$CD1432))</f>
        <v>0</v>
      </c>
      <c r="V1447">
        <f>IF($E1447=0,0,SUMPRODUCT($AI$16:$DF$16,'Staff Daily sales'!$G1432:$CD1432))</f>
        <v>0</v>
      </c>
      <c r="W1447">
        <f t="shared" si="383"/>
        <v>0</v>
      </c>
      <c r="X1447">
        <f t="shared" si="384"/>
        <v>0</v>
      </c>
      <c r="Y1447">
        <f t="shared" si="385"/>
        <v>0</v>
      </c>
      <c r="Z1447">
        <f t="shared" si="386"/>
        <v>0</v>
      </c>
      <c r="AA1447">
        <f t="shared" si="387"/>
        <v>0</v>
      </c>
      <c r="AB1447">
        <f>--AND($E1447=1,OR('Staff Weekly Trend'!$B$3="All",$DH1447='Staff Weekly Trend'!$B$3),OR('Staff Weekly Trend'!$B$4="All",$D1447='Staff Weekly Trend'!$B$4),OR('Staff Weekly Trend'!$B$5="All",$A1447='Staff Weekly Trend'!$B$5))</f>
        <v>0</v>
      </c>
      <c r="AC1447" t="str">
        <f t="shared" si="388"/>
        <v/>
      </c>
      <c r="AI1447">
        <f t="shared" si="389"/>
        <v>0</v>
      </c>
      <c r="AJ1447">
        <f t="shared" si="390"/>
        <v>0</v>
      </c>
      <c r="AK1447">
        <f t="shared" si="391"/>
        <v>0</v>
      </c>
      <c r="AL1447">
        <f t="shared" si="392"/>
        <v>0</v>
      </c>
      <c r="AM1447">
        <f t="shared" si="393"/>
        <v>0</v>
      </c>
      <c r="DH1447" t="str" cm="1">
        <f t="array" ref="DH1447">IF($A1447="","",_xlfn.LET(_xlpm.c,IFERROR(_xlfn.XLOOKUP($A1447,TRIM('Sales and count'!$A$4:$A$300&amp;""),TRIM('Sales and count'!$B$4:$B$300&amp;"")),""),IF(OR(_xlpm.c="",_xlpm.c="0",LEFT(_xlpm.c,1)="#"),"Not set",_xlpm.c)))</f>
        <v/>
      </c>
    </row>
    <row r="1448" spans="1:112" x14ac:dyDescent="0.25">
      <c r="A1448" t="str">
        <f>IF('Staff Daily sales'!$B1433="","",TRIM('Staff Daily sales'!$B1433&amp;""))</f>
        <v/>
      </c>
      <c r="B1448" t="str">
        <f>IF('Staff Daily sales'!$D1433="","",TRIM('Staff Daily sales'!$D1433&amp;""))</f>
        <v/>
      </c>
      <c r="C1448" t="str">
        <f>IFERROR(TRIM('Staff Daily sales'!$E1433&amp;""),"")</f>
        <v/>
      </c>
      <c r="D1448" t="str">
        <f>IFERROR(IF(TRIM('Staff Daily sales'!$F1433&amp;"")="","Unassigned",TRIM('Staff Daily sales'!$F1433&amp;"")),"Unassigned")</f>
        <v>Unassigned</v>
      </c>
      <c r="E1448">
        <f t="shared" si="378"/>
        <v>0</v>
      </c>
      <c r="F1448">
        <f>IF($E1448=0,0,SUMPRODUCT($AI$5:$DF$5,'Staff Daily sales'!$G1433:$CD1433))</f>
        <v>0</v>
      </c>
      <c r="G1448">
        <f>IF($E1448=0,0,SUMPRODUCT($AI$6:$DF$6,'Staff Daily sales'!$G1433:$CD1433))</f>
        <v>0</v>
      </c>
      <c r="H1448">
        <f t="shared" si="379"/>
        <v>0</v>
      </c>
      <c r="I1448">
        <f t="shared" si="380"/>
        <v>0</v>
      </c>
      <c r="J1448">
        <f t="shared" si="381"/>
        <v>0</v>
      </c>
      <c r="K1448">
        <f t="shared" si="382"/>
        <v>0</v>
      </c>
      <c r="L1448">
        <f>--AND($E1448=1,OR('Staff Dashboard'!$B$6="All",$DH1448='Staff Dashboard'!$B$6),OR('Staff Dashboard'!$B$7="All",$D1448='Staff Dashboard'!$B$7),OR('Staff Dashboard'!$B$8="All",$A1448='Staff Dashboard'!$B$8))</f>
        <v>0</v>
      </c>
      <c r="M1448">
        <f>IF($E1448=0,0,SUMPRODUCT($AI$7:$DF$7,'Staff Daily sales'!$G1433:$CD1433))</f>
        <v>0</v>
      </c>
      <c r="N1448">
        <f>IF($E1448=0,0,SUMPRODUCT($AI$8:$DF$8,'Staff Daily sales'!$G1433:$CD1433))</f>
        <v>0</v>
      </c>
      <c r="O1448">
        <f>IF($E1448=0,0,SUMPRODUCT($AI$9:$DF$9,'Staff Daily sales'!$G1433:$CD1433))</f>
        <v>0</v>
      </c>
      <c r="P1448">
        <f>IF($E1448=0,0,SUMPRODUCT($AI$10:$DF$10,'Staff Daily sales'!$G1433:$CD1433))</f>
        <v>0</v>
      </c>
      <c r="Q1448">
        <f>IF($E1448=0,0,SUMPRODUCT($AI$11:$DF$11,'Staff Daily sales'!$G1433:$CD1433))</f>
        <v>0</v>
      </c>
      <c r="R1448">
        <f>IF($E1448=0,0,SUMPRODUCT($AI$12:$DF$12,'Staff Daily sales'!$G1433:$CD1433))</f>
        <v>0</v>
      </c>
      <c r="S1448">
        <f>IF($E1448=0,0,SUMPRODUCT($AI$13:$DF$13,'Staff Daily sales'!$G1433:$CD1433))</f>
        <v>0</v>
      </c>
      <c r="T1448">
        <f>IF($E1448=0,0,SUMPRODUCT($AI$14:$DF$14,'Staff Daily sales'!$G1433:$CD1433))</f>
        <v>0</v>
      </c>
      <c r="U1448">
        <f>IF($E1448=0,0,SUMPRODUCT($AI$15:$DF$15,'Staff Daily sales'!$G1433:$CD1433))</f>
        <v>0</v>
      </c>
      <c r="V1448">
        <f>IF($E1448=0,0,SUMPRODUCT($AI$16:$DF$16,'Staff Daily sales'!$G1433:$CD1433))</f>
        <v>0</v>
      </c>
      <c r="W1448">
        <f t="shared" si="383"/>
        <v>0</v>
      </c>
      <c r="X1448">
        <f t="shared" si="384"/>
        <v>0</v>
      </c>
      <c r="Y1448">
        <f t="shared" si="385"/>
        <v>0</v>
      </c>
      <c r="Z1448">
        <f t="shared" si="386"/>
        <v>0</v>
      </c>
      <c r="AA1448">
        <f t="shared" si="387"/>
        <v>0</v>
      </c>
      <c r="AB1448">
        <f>--AND($E1448=1,OR('Staff Weekly Trend'!$B$3="All",$DH1448='Staff Weekly Trend'!$B$3),OR('Staff Weekly Trend'!$B$4="All",$D1448='Staff Weekly Trend'!$B$4),OR('Staff Weekly Trend'!$B$5="All",$A1448='Staff Weekly Trend'!$B$5))</f>
        <v>0</v>
      </c>
      <c r="AC1448" t="str">
        <f t="shared" si="388"/>
        <v/>
      </c>
      <c r="AI1448">
        <f t="shared" si="389"/>
        <v>0</v>
      </c>
      <c r="AJ1448">
        <f t="shared" si="390"/>
        <v>0</v>
      </c>
      <c r="AK1448">
        <f t="shared" si="391"/>
        <v>0</v>
      </c>
      <c r="AL1448">
        <f t="shared" si="392"/>
        <v>0</v>
      </c>
      <c r="AM1448">
        <f t="shared" si="393"/>
        <v>0</v>
      </c>
      <c r="DH1448" t="str" cm="1">
        <f t="array" ref="DH1448">IF($A1448="","",_xlfn.LET(_xlpm.c,IFERROR(_xlfn.XLOOKUP($A1448,TRIM('Sales and count'!$A$4:$A$300&amp;""),TRIM('Sales and count'!$B$4:$B$300&amp;"")),""),IF(OR(_xlpm.c="",_xlpm.c="0",LEFT(_xlpm.c,1)="#"),"Not set",_xlpm.c)))</f>
        <v/>
      </c>
    </row>
    <row r="1449" spans="1:112" x14ac:dyDescent="0.25">
      <c r="A1449" t="str">
        <f>IF('Staff Daily sales'!$B1434="","",TRIM('Staff Daily sales'!$B1434&amp;""))</f>
        <v/>
      </c>
      <c r="B1449" t="str">
        <f>IF('Staff Daily sales'!$D1434="","",TRIM('Staff Daily sales'!$D1434&amp;""))</f>
        <v/>
      </c>
      <c r="C1449" t="str">
        <f>IFERROR(TRIM('Staff Daily sales'!$E1434&amp;""),"")</f>
        <v/>
      </c>
      <c r="D1449" t="str">
        <f>IFERROR(IF(TRIM('Staff Daily sales'!$F1434&amp;"")="","Unassigned",TRIM('Staff Daily sales'!$F1434&amp;"")),"Unassigned")</f>
        <v>Unassigned</v>
      </c>
      <c r="E1449">
        <f t="shared" si="378"/>
        <v>0</v>
      </c>
      <c r="F1449">
        <f>IF($E1449=0,0,SUMPRODUCT($AI$5:$DF$5,'Staff Daily sales'!$G1434:$CD1434))</f>
        <v>0</v>
      </c>
      <c r="G1449">
        <f>IF($E1449=0,0,SUMPRODUCT($AI$6:$DF$6,'Staff Daily sales'!$G1434:$CD1434))</f>
        <v>0</v>
      </c>
      <c r="H1449">
        <f t="shared" si="379"/>
        <v>0</v>
      </c>
      <c r="I1449">
        <f t="shared" si="380"/>
        <v>0</v>
      </c>
      <c r="J1449">
        <f t="shared" si="381"/>
        <v>0</v>
      </c>
      <c r="K1449">
        <f t="shared" si="382"/>
        <v>0</v>
      </c>
      <c r="L1449">
        <f>--AND($E1449=1,OR('Staff Dashboard'!$B$6="All",$DH1449='Staff Dashboard'!$B$6),OR('Staff Dashboard'!$B$7="All",$D1449='Staff Dashboard'!$B$7),OR('Staff Dashboard'!$B$8="All",$A1449='Staff Dashboard'!$B$8))</f>
        <v>0</v>
      </c>
      <c r="M1449">
        <f>IF($E1449=0,0,SUMPRODUCT($AI$7:$DF$7,'Staff Daily sales'!$G1434:$CD1434))</f>
        <v>0</v>
      </c>
      <c r="N1449">
        <f>IF($E1449=0,0,SUMPRODUCT($AI$8:$DF$8,'Staff Daily sales'!$G1434:$CD1434))</f>
        <v>0</v>
      </c>
      <c r="O1449">
        <f>IF($E1449=0,0,SUMPRODUCT($AI$9:$DF$9,'Staff Daily sales'!$G1434:$CD1434))</f>
        <v>0</v>
      </c>
      <c r="P1449">
        <f>IF($E1449=0,0,SUMPRODUCT($AI$10:$DF$10,'Staff Daily sales'!$G1434:$CD1434))</f>
        <v>0</v>
      </c>
      <c r="Q1449">
        <f>IF($E1449=0,0,SUMPRODUCT($AI$11:$DF$11,'Staff Daily sales'!$G1434:$CD1434))</f>
        <v>0</v>
      </c>
      <c r="R1449">
        <f>IF($E1449=0,0,SUMPRODUCT($AI$12:$DF$12,'Staff Daily sales'!$G1434:$CD1434))</f>
        <v>0</v>
      </c>
      <c r="S1449">
        <f>IF($E1449=0,0,SUMPRODUCT($AI$13:$DF$13,'Staff Daily sales'!$G1434:$CD1434))</f>
        <v>0</v>
      </c>
      <c r="T1449">
        <f>IF($E1449=0,0,SUMPRODUCT($AI$14:$DF$14,'Staff Daily sales'!$G1434:$CD1434))</f>
        <v>0</v>
      </c>
      <c r="U1449">
        <f>IF($E1449=0,0,SUMPRODUCT($AI$15:$DF$15,'Staff Daily sales'!$G1434:$CD1434))</f>
        <v>0</v>
      </c>
      <c r="V1449">
        <f>IF($E1449=0,0,SUMPRODUCT($AI$16:$DF$16,'Staff Daily sales'!$G1434:$CD1434))</f>
        <v>0</v>
      </c>
      <c r="W1449">
        <f t="shared" si="383"/>
        <v>0</v>
      </c>
      <c r="X1449">
        <f t="shared" si="384"/>
        <v>0</v>
      </c>
      <c r="Y1449">
        <f t="shared" si="385"/>
        <v>0</v>
      </c>
      <c r="Z1449">
        <f t="shared" si="386"/>
        <v>0</v>
      </c>
      <c r="AA1449">
        <f t="shared" si="387"/>
        <v>0</v>
      </c>
      <c r="AB1449">
        <f>--AND($E1449=1,OR('Staff Weekly Trend'!$B$3="All",$DH1449='Staff Weekly Trend'!$B$3),OR('Staff Weekly Trend'!$B$4="All",$D1449='Staff Weekly Trend'!$B$4),OR('Staff Weekly Trend'!$B$5="All",$A1449='Staff Weekly Trend'!$B$5))</f>
        <v>0</v>
      </c>
      <c r="AC1449" t="str">
        <f t="shared" si="388"/>
        <v/>
      </c>
      <c r="AI1449">
        <f t="shared" si="389"/>
        <v>0</v>
      </c>
      <c r="AJ1449">
        <f t="shared" si="390"/>
        <v>0</v>
      </c>
      <c r="AK1449">
        <f t="shared" si="391"/>
        <v>0</v>
      </c>
      <c r="AL1449">
        <f t="shared" si="392"/>
        <v>0</v>
      </c>
      <c r="AM1449">
        <f t="shared" si="393"/>
        <v>0</v>
      </c>
      <c r="DH1449" t="str" cm="1">
        <f t="array" ref="DH1449">IF($A1449="","",_xlfn.LET(_xlpm.c,IFERROR(_xlfn.XLOOKUP($A1449,TRIM('Sales and count'!$A$4:$A$300&amp;""),TRIM('Sales and count'!$B$4:$B$300&amp;"")),""),IF(OR(_xlpm.c="",_xlpm.c="0",LEFT(_xlpm.c,1)="#"),"Not set",_xlpm.c)))</f>
        <v/>
      </c>
    </row>
    <row r="1450" spans="1:112" x14ac:dyDescent="0.25">
      <c r="A1450" t="str">
        <f>IF('Staff Daily sales'!$B1435="","",TRIM('Staff Daily sales'!$B1435&amp;""))</f>
        <v/>
      </c>
      <c r="B1450" t="str">
        <f>IF('Staff Daily sales'!$D1435="","",TRIM('Staff Daily sales'!$D1435&amp;""))</f>
        <v/>
      </c>
      <c r="C1450" t="str">
        <f>IFERROR(TRIM('Staff Daily sales'!$E1435&amp;""),"")</f>
        <v/>
      </c>
      <c r="D1450" t="str">
        <f>IFERROR(IF(TRIM('Staff Daily sales'!$F1435&amp;"")="","Unassigned",TRIM('Staff Daily sales'!$F1435&amp;"")),"Unassigned")</f>
        <v>Unassigned</v>
      </c>
      <c r="E1450">
        <f t="shared" si="378"/>
        <v>0</v>
      </c>
      <c r="F1450">
        <f>IF($E1450=0,0,SUMPRODUCT($AI$5:$DF$5,'Staff Daily sales'!$G1435:$CD1435))</f>
        <v>0</v>
      </c>
      <c r="G1450">
        <f>IF($E1450=0,0,SUMPRODUCT($AI$6:$DF$6,'Staff Daily sales'!$G1435:$CD1435))</f>
        <v>0</v>
      </c>
      <c r="H1450">
        <f t="shared" si="379"/>
        <v>0</v>
      </c>
      <c r="I1450">
        <f t="shared" si="380"/>
        <v>0</v>
      </c>
      <c r="J1450">
        <f t="shared" si="381"/>
        <v>0</v>
      </c>
      <c r="K1450">
        <f t="shared" si="382"/>
        <v>0</v>
      </c>
      <c r="L1450">
        <f>--AND($E1450=1,OR('Staff Dashboard'!$B$6="All",$DH1450='Staff Dashboard'!$B$6),OR('Staff Dashboard'!$B$7="All",$D1450='Staff Dashboard'!$B$7),OR('Staff Dashboard'!$B$8="All",$A1450='Staff Dashboard'!$B$8))</f>
        <v>0</v>
      </c>
      <c r="M1450">
        <f>IF($E1450=0,0,SUMPRODUCT($AI$7:$DF$7,'Staff Daily sales'!$G1435:$CD1435))</f>
        <v>0</v>
      </c>
      <c r="N1450">
        <f>IF($E1450=0,0,SUMPRODUCT($AI$8:$DF$8,'Staff Daily sales'!$G1435:$CD1435))</f>
        <v>0</v>
      </c>
      <c r="O1450">
        <f>IF($E1450=0,0,SUMPRODUCT($AI$9:$DF$9,'Staff Daily sales'!$G1435:$CD1435))</f>
        <v>0</v>
      </c>
      <c r="P1450">
        <f>IF($E1450=0,0,SUMPRODUCT($AI$10:$DF$10,'Staff Daily sales'!$G1435:$CD1435))</f>
        <v>0</v>
      </c>
      <c r="Q1450">
        <f>IF($E1450=0,0,SUMPRODUCT($AI$11:$DF$11,'Staff Daily sales'!$G1435:$CD1435))</f>
        <v>0</v>
      </c>
      <c r="R1450">
        <f>IF($E1450=0,0,SUMPRODUCT($AI$12:$DF$12,'Staff Daily sales'!$G1435:$CD1435))</f>
        <v>0</v>
      </c>
      <c r="S1450">
        <f>IF($E1450=0,0,SUMPRODUCT($AI$13:$DF$13,'Staff Daily sales'!$G1435:$CD1435))</f>
        <v>0</v>
      </c>
      <c r="T1450">
        <f>IF($E1450=0,0,SUMPRODUCT($AI$14:$DF$14,'Staff Daily sales'!$G1435:$CD1435))</f>
        <v>0</v>
      </c>
      <c r="U1450">
        <f>IF($E1450=0,0,SUMPRODUCT($AI$15:$DF$15,'Staff Daily sales'!$G1435:$CD1435))</f>
        <v>0</v>
      </c>
      <c r="V1450">
        <f>IF($E1450=0,0,SUMPRODUCT($AI$16:$DF$16,'Staff Daily sales'!$G1435:$CD1435))</f>
        <v>0</v>
      </c>
      <c r="W1450">
        <f t="shared" si="383"/>
        <v>0</v>
      </c>
      <c r="X1450">
        <f t="shared" si="384"/>
        <v>0</v>
      </c>
      <c r="Y1450">
        <f t="shared" si="385"/>
        <v>0</v>
      </c>
      <c r="Z1450">
        <f t="shared" si="386"/>
        <v>0</v>
      </c>
      <c r="AA1450">
        <f t="shared" si="387"/>
        <v>0</v>
      </c>
      <c r="AB1450">
        <f>--AND($E1450=1,OR('Staff Weekly Trend'!$B$3="All",$DH1450='Staff Weekly Trend'!$B$3),OR('Staff Weekly Trend'!$B$4="All",$D1450='Staff Weekly Trend'!$B$4),OR('Staff Weekly Trend'!$B$5="All",$A1450='Staff Weekly Trend'!$B$5))</f>
        <v>0</v>
      </c>
      <c r="AC1450" t="str">
        <f t="shared" si="388"/>
        <v/>
      </c>
      <c r="AI1450">
        <f t="shared" si="389"/>
        <v>0</v>
      </c>
      <c r="AJ1450">
        <f t="shared" si="390"/>
        <v>0</v>
      </c>
      <c r="AK1450">
        <f t="shared" si="391"/>
        <v>0</v>
      </c>
      <c r="AL1450">
        <f t="shared" si="392"/>
        <v>0</v>
      </c>
      <c r="AM1450">
        <f t="shared" si="393"/>
        <v>0</v>
      </c>
      <c r="DH1450" t="str" cm="1">
        <f t="array" ref="DH1450">IF($A1450="","",_xlfn.LET(_xlpm.c,IFERROR(_xlfn.XLOOKUP($A1450,TRIM('Sales and count'!$A$4:$A$300&amp;""),TRIM('Sales and count'!$B$4:$B$300&amp;"")),""),IF(OR(_xlpm.c="",_xlpm.c="0",LEFT(_xlpm.c,1)="#"),"Not set",_xlpm.c)))</f>
        <v/>
      </c>
    </row>
    <row r="1451" spans="1:112" x14ac:dyDescent="0.25">
      <c r="A1451" t="str">
        <f>IF('Staff Daily sales'!$B1436="","",TRIM('Staff Daily sales'!$B1436&amp;""))</f>
        <v/>
      </c>
      <c r="B1451" t="str">
        <f>IF('Staff Daily sales'!$D1436="","",TRIM('Staff Daily sales'!$D1436&amp;""))</f>
        <v/>
      </c>
      <c r="C1451" t="str">
        <f>IFERROR(TRIM('Staff Daily sales'!$E1436&amp;""),"")</f>
        <v/>
      </c>
      <c r="D1451" t="str">
        <f>IFERROR(IF(TRIM('Staff Daily sales'!$F1436&amp;"")="","Unassigned",TRIM('Staff Daily sales'!$F1436&amp;"")),"Unassigned")</f>
        <v>Unassigned</v>
      </c>
      <c r="E1451">
        <f t="shared" si="378"/>
        <v>0</v>
      </c>
      <c r="F1451">
        <f>IF($E1451=0,0,SUMPRODUCT($AI$5:$DF$5,'Staff Daily sales'!$G1436:$CD1436))</f>
        <v>0</v>
      </c>
      <c r="G1451">
        <f>IF($E1451=0,0,SUMPRODUCT($AI$6:$DF$6,'Staff Daily sales'!$G1436:$CD1436))</f>
        <v>0</v>
      </c>
      <c r="H1451">
        <f t="shared" si="379"/>
        <v>0</v>
      </c>
      <c r="I1451">
        <f t="shared" si="380"/>
        <v>0</v>
      </c>
      <c r="J1451">
        <f t="shared" si="381"/>
        <v>0</v>
      </c>
      <c r="K1451">
        <f t="shared" si="382"/>
        <v>0</v>
      </c>
      <c r="L1451">
        <f>--AND($E1451=1,OR('Staff Dashboard'!$B$6="All",$DH1451='Staff Dashboard'!$B$6),OR('Staff Dashboard'!$B$7="All",$D1451='Staff Dashboard'!$B$7),OR('Staff Dashboard'!$B$8="All",$A1451='Staff Dashboard'!$B$8))</f>
        <v>0</v>
      </c>
      <c r="M1451">
        <f>IF($E1451=0,0,SUMPRODUCT($AI$7:$DF$7,'Staff Daily sales'!$G1436:$CD1436))</f>
        <v>0</v>
      </c>
      <c r="N1451">
        <f>IF($E1451=0,0,SUMPRODUCT($AI$8:$DF$8,'Staff Daily sales'!$G1436:$CD1436))</f>
        <v>0</v>
      </c>
      <c r="O1451">
        <f>IF($E1451=0,0,SUMPRODUCT($AI$9:$DF$9,'Staff Daily sales'!$G1436:$CD1436))</f>
        <v>0</v>
      </c>
      <c r="P1451">
        <f>IF($E1451=0,0,SUMPRODUCT($AI$10:$DF$10,'Staff Daily sales'!$G1436:$CD1436))</f>
        <v>0</v>
      </c>
      <c r="Q1451">
        <f>IF($E1451=0,0,SUMPRODUCT($AI$11:$DF$11,'Staff Daily sales'!$G1436:$CD1436))</f>
        <v>0</v>
      </c>
      <c r="R1451">
        <f>IF($E1451=0,0,SUMPRODUCT($AI$12:$DF$12,'Staff Daily sales'!$G1436:$CD1436))</f>
        <v>0</v>
      </c>
      <c r="S1451">
        <f>IF($E1451=0,0,SUMPRODUCT($AI$13:$DF$13,'Staff Daily sales'!$G1436:$CD1436))</f>
        <v>0</v>
      </c>
      <c r="T1451">
        <f>IF($E1451=0,0,SUMPRODUCT($AI$14:$DF$14,'Staff Daily sales'!$G1436:$CD1436))</f>
        <v>0</v>
      </c>
      <c r="U1451">
        <f>IF($E1451=0,0,SUMPRODUCT($AI$15:$DF$15,'Staff Daily sales'!$G1436:$CD1436))</f>
        <v>0</v>
      </c>
      <c r="V1451">
        <f>IF($E1451=0,0,SUMPRODUCT($AI$16:$DF$16,'Staff Daily sales'!$G1436:$CD1436))</f>
        <v>0</v>
      </c>
      <c r="W1451">
        <f t="shared" si="383"/>
        <v>0</v>
      </c>
      <c r="X1451">
        <f t="shared" si="384"/>
        <v>0</v>
      </c>
      <c r="Y1451">
        <f t="shared" si="385"/>
        <v>0</v>
      </c>
      <c r="Z1451">
        <f t="shared" si="386"/>
        <v>0</v>
      </c>
      <c r="AA1451">
        <f t="shared" si="387"/>
        <v>0</v>
      </c>
      <c r="AB1451">
        <f>--AND($E1451=1,OR('Staff Weekly Trend'!$B$3="All",$DH1451='Staff Weekly Trend'!$B$3),OR('Staff Weekly Trend'!$B$4="All",$D1451='Staff Weekly Trend'!$B$4),OR('Staff Weekly Trend'!$B$5="All",$A1451='Staff Weekly Trend'!$B$5))</f>
        <v>0</v>
      </c>
      <c r="AC1451" t="str">
        <f t="shared" si="388"/>
        <v/>
      </c>
      <c r="AI1451">
        <f t="shared" si="389"/>
        <v>0</v>
      </c>
      <c r="AJ1451">
        <f t="shared" si="390"/>
        <v>0</v>
      </c>
      <c r="AK1451">
        <f t="shared" si="391"/>
        <v>0</v>
      </c>
      <c r="AL1451">
        <f t="shared" si="392"/>
        <v>0</v>
      </c>
      <c r="AM1451">
        <f t="shared" si="393"/>
        <v>0</v>
      </c>
      <c r="DH1451" t="str" cm="1">
        <f t="array" ref="DH1451">IF($A1451="","",_xlfn.LET(_xlpm.c,IFERROR(_xlfn.XLOOKUP($A1451,TRIM('Sales and count'!$A$4:$A$300&amp;""),TRIM('Sales and count'!$B$4:$B$300&amp;"")),""),IF(OR(_xlpm.c="",_xlpm.c="0",LEFT(_xlpm.c,1)="#"),"Not set",_xlpm.c)))</f>
        <v/>
      </c>
    </row>
    <row r="1452" spans="1:112" x14ac:dyDescent="0.25">
      <c r="A1452" t="str">
        <f>IF('Staff Daily sales'!$B1437="","",TRIM('Staff Daily sales'!$B1437&amp;""))</f>
        <v/>
      </c>
      <c r="B1452" t="str">
        <f>IF('Staff Daily sales'!$D1437="","",TRIM('Staff Daily sales'!$D1437&amp;""))</f>
        <v/>
      </c>
      <c r="C1452" t="str">
        <f>IFERROR(TRIM('Staff Daily sales'!$E1437&amp;""),"")</f>
        <v/>
      </c>
      <c r="D1452" t="str">
        <f>IFERROR(IF(TRIM('Staff Daily sales'!$F1437&amp;"")="","Unassigned",TRIM('Staff Daily sales'!$F1437&amp;"")),"Unassigned")</f>
        <v>Unassigned</v>
      </c>
      <c r="E1452">
        <f t="shared" si="378"/>
        <v>0</v>
      </c>
      <c r="F1452">
        <f>IF($E1452=0,0,SUMPRODUCT($AI$5:$DF$5,'Staff Daily sales'!$G1437:$CD1437))</f>
        <v>0</v>
      </c>
      <c r="G1452">
        <f>IF($E1452=0,0,SUMPRODUCT($AI$6:$DF$6,'Staff Daily sales'!$G1437:$CD1437))</f>
        <v>0</v>
      </c>
      <c r="H1452">
        <f t="shared" si="379"/>
        <v>0</v>
      </c>
      <c r="I1452">
        <f t="shared" si="380"/>
        <v>0</v>
      </c>
      <c r="J1452">
        <f t="shared" si="381"/>
        <v>0</v>
      </c>
      <c r="K1452">
        <f t="shared" si="382"/>
        <v>0</v>
      </c>
      <c r="L1452">
        <f>--AND($E1452=1,OR('Staff Dashboard'!$B$6="All",$DH1452='Staff Dashboard'!$B$6),OR('Staff Dashboard'!$B$7="All",$D1452='Staff Dashboard'!$B$7),OR('Staff Dashboard'!$B$8="All",$A1452='Staff Dashboard'!$B$8))</f>
        <v>0</v>
      </c>
      <c r="M1452">
        <f>IF($E1452=0,0,SUMPRODUCT($AI$7:$DF$7,'Staff Daily sales'!$G1437:$CD1437))</f>
        <v>0</v>
      </c>
      <c r="N1452">
        <f>IF($E1452=0,0,SUMPRODUCT($AI$8:$DF$8,'Staff Daily sales'!$G1437:$CD1437))</f>
        <v>0</v>
      </c>
      <c r="O1452">
        <f>IF($E1452=0,0,SUMPRODUCT($AI$9:$DF$9,'Staff Daily sales'!$G1437:$CD1437))</f>
        <v>0</v>
      </c>
      <c r="P1452">
        <f>IF($E1452=0,0,SUMPRODUCT($AI$10:$DF$10,'Staff Daily sales'!$G1437:$CD1437))</f>
        <v>0</v>
      </c>
      <c r="Q1452">
        <f>IF($E1452=0,0,SUMPRODUCT($AI$11:$DF$11,'Staff Daily sales'!$G1437:$CD1437))</f>
        <v>0</v>
      </c>
      <c r="R1452">
        <f>IF($E1452=0,0,SUMPRODUCT($AI$12:$DF$12,'Staff Daily sales'!$G1437:$CD1437))</f>
        <v>0</v>
      </c>
      <c r="S1452">
        <f>IF($E1452=0,0,SUMPRODUCT($AI$13:$DF$13,'Staff Daily sales'!$G1437:$CD1437))</f>
        <v>0</v>
      </c>
      <c r="T1452">
        <f>IF($E1452=0,0,SUMPRODUCT($AI$14:$DF$14,'Staff Daily sales'!$G1437:$CD1437))</f>
        <v>0</v>
      </c>
      <c r="U1452">
        <f>IF($E1452=0,0,SUMPRODUCT($AI$15:$DF$15,'Staff Daily sales'!$G1437:$CD1437))</f>
        <v>0</v>
      </c>
      <c r="V1452">
        <f>IF($E1452=0,0,SUMPRODUCT($AI$16:$DF$16,'Staff Daily sales'!$G1437:$CD1437))</f>
        <v>0</v>
      </c>
      <c r="W1452">
        <f t="shared" si="383"/>
        <v>0</v>
      </c>
      <c r="X1452">
        <f t="shared" si="384"/>
        <v>0</v>
      </c>
      <c r="Y1452">
        <f t="shared" si="385"/>
        <v>0</v>
      </c>
      <c r="Z1452">
        <f t="shared" si="386"/>
        <v>0</v>
      </c>
      <c r="AA1452">
        <f t="shared" si="387"/>
        <v>0</v>
      </c>
      <c r="AB1452">
        <f>--AND($E1452=1,OR('Staff Weekly Trend'!$B$3="All",$DH1452='Staff Weekly Trend'!$B$3),OR('Staff Weekly Trend'!$B$4="All",$D1452='Staff Weekly Trend'!$B$4),OR('Staff Weekly Trend'!$B$5="All",$A1452='Staff Weekly Trend'!$B$5))</f>
        <v>0</v>
      </c>
      <c r="AC1452" t="str">
        <f t="shared" si="388"/>
        <v/>
      </c>
      <c r="AI1452">
        <f t="shared" si="389"/>
        <v>0</v>
      </c>
      <c r="AJ1452">
        <f t="shared" si="390"/>
        <v>0</v>
      </c>
      <c r="AK1452">
        <f t="shared" si="391"/>
        <v>0</v>
      </c>
      <c r="AL1452">
        <f t="shared" si="392"/>
        <v>0</v>
      </c>
      <c r="AM1452">
        <f t="shared" si="393"/>
        <v>0</v>
      </c>
      <c r="DH1452" t="str" cm="1">
        <f t="array" ref="DH1452">IF($A1452="","",_xlfn.LET(_xlpm.c,IFERROR(_xlfn.XLOOKUP($A1452,TRIM('Sales and count'!$A$4:$A$300&amp;""),TRIM('Sales and count'!$B$4:$B$300&amp;"")),""),IF(OR(_xlpm.c="",_xlpm.c="0",LEFT(_xlpm.c,1)="#"),"Not set",_xlpm.c)))</f>
        <v/>
      </c>
    </row>
    <row r="1453" spans="1:112" x14ac:dyDescent="0.25">
      <c r="A1453" t="str">
        <f>IF('Staff Daily sales'!$B1438="","",TRIM('Staff Daily sales'!$B1438&amp;""))</f>
        <v/>
      </c>
      <c r="B1453" t="str">
        <f>IF('Staff Daily sales'!$D1438="","",TRIM('Staff Daily sales'!$D1438&amp;""))</f>
        <v/>
      </c>
      <c r="C1453" t="str">
        <f>IFERROR(TRIM('Staff Daily sales'!$E1438&amp;""),"")</f>
        <v/>
      </c>
      <c r="D1453" t="str">
        <f>IFERROR(IF(TRIM('Staff Daily sales'!$F1438&amp;"")="","Unassigned",TRIM('Staff Daily sales'!$F1438&amp;"")),"Unassigned")</f>
        <v>Unassigned</v>
      </c>
      <c r="E1453">
        <f t="shared" si="378"/>
        <v>0</v>
      </c>
      <c r="F1453">
        <f>IF($E1453=0,0,SUMPRODUCT($AI$5:$DF$5,'Staff Daily sales'!$G1438:$CD1438))</f>
        <v>0</v>
      </c>
      <c r="G1453">
        <f>IF($E1453=0,0,SUMPRODUCT($AI$6:$DF$6,'Staff Daily sales'!$G1438:$CD1438))</f>
        <v>0</v>
      </c>
      <c r="H1453">
        <f t="shared" si="379"/>
        <v>0</v>
      </c>
      <c r="I1453">
        <f t="shared" si="380"/>
        <v>0</v>
      </c>
      <c r="J1453">
        <f t="shared" si="381"/>
        <v>0</v>
      </c>
      <c r="K1453">
        <f t="shared" si="382"/>
        <v>0</v>
      </c>
      <c r="L1453">
        <f>--AND($E1453=1,OR('Staff Dashboard'!$B$6="All",$DH1453='Staff Dashboard'!$B$6),OR('Staff Dashboard'!$B$7="All",$D1453='Staff Dashboard'!$B$7),OR('Staff Dashboard'!$B$8="All",$A1453='Staff Dashboard'!$B$8))</f>
        <v>0</v>
      </c>
      <c r="M1453">
        <f>IF($E1453=0,0,SUMPRODUCT($AI$7:$DF$7,'Staff Daily sales'!$G1438:$CD1438))</f>
        <v>0</v>
      </c>
      <c r="N1453">
        <f>IF($E1453=0,0,SUMPRODUCT($AI$8:$DF$8,'Staff Daily sales'!$G1438:$CD1438))</f>
        <v>0</v>
      </c>
      <c r="O1453">
        <f>IF($E1453=0,0,SUMPRODUCT($AI$9:$DF$9,'Staff Daily sales'!$G1438:$CD1438))</f>
        <v>0</v>
      </c>
      <c r="P1453">
        <f>IF($E1453=0,0,SUMPRODUCT($AI$10:$DF$10,'Staff Daily sales'!$G1438:$CD1438))</f>
        <v>0</v>
      </c>
      <c r="Q1453">
        <f>IF($E1453=0,0,SUMPRODUCT($AI$11:$DF$11,'Staff Daily sales'!$G1438:$CD1438))</f>
        <v>0</v>
      </c>
      <c r="R1453">
        <f>IF($E1453=0,0,SUMPRODUCT($AI$12:$DF$12,'Staff Daily sales'!$G1438:$CD1438))</f>
        <v>0</v>
      </c>
      <c r="S1453">
        <f>IF($E1453=0,0,SUMPRODUCT($AI$13:$DF$13,'Staff Daily sales'!$G1438:$CD1438))</f>
        <v>0</v>
      </c>
      <c r="T1453">
        <f>IF($E1453=0,0,SUMPRODUCT($AI$14:$DF$14,'Staff Daily sales'!$G1438:$CD1438))</f>
        <v>0</v>
      </c>
      <c r="U1453">
        <f>IF($E1453=0,0,SUMPRODUCT($AI$15:$DF$15,'Staff Daily sales'!$G1438:$CD1438))</f>
        <v>0</v>
      </c>
      <c r="V1453">
        <f>IF($E1453=0,0,SUMPRODUCT($AI$16:$DF$16,'Staff Daily sales'!$G1438:$CD1438))</f>
        <v>0</v>
      </c>
      <c r="W1453">
        <f t="shared" si="383"/>
        <v>0</v>
      </c>
      <c r="X1453">
        <f t="shared" si="384"/>
        <v>0</v>
      </c>
      <c r="Y1453">
        <f t="shared" si="385"/>
        <v>0</v>
      </c>
      <c r="Z1453">
        <f t="shared" si="386"/>
        <v>0</v>
      </c>
      <c r="AA1453">
        <f t="shared" si="387"/>
        <v>0</v>
      </c>
      <c r="AB1453">
        <f>--AND($E1453=1,OR('Staff Weekly Trend'!$B$3="All",$DH1453='Staff Weekly Trend'!$B$3),OR('Staff Weekly Trend'!$B$4="All",$D1453='Staff Weekly Trend'!$B$4),OR('Staff Weekly Trend'!$B$5="All",$A1453='Staff Weekly Trend'!$B$5))</f>
        <v>0</v>
      </c>
      <c r="AC1453" t="str">
        <f t="shared" si="388"/>
        <v/>
      </c>
      <c r="AI1453">
        <f t="shared" si="389"/>
        <v>0</v>
      </c>
      <c r="AJ1453">
        <f t="shared" si="390"/>
        <v>0</v>
      </c>
      <c r="AK1453">
        <f t="shared" si="391"/>
        <v>0</v>
      </c>
      <c r="AL1453">
        <f t="shared" si="392"/>
        <v>0</v>
      </c>
      <c r="AM1453">
        <f t="shared" si="393"/>
        <v>0</v>
      </c>
      <c r="DH1453" t="str" cm="1">
        <f t="array" ref="DH1453">IF($A1453="","",_xlfn.LET(_xlpm.c,IFERROR(_xlfn.XLOOKUP($A1453,TRIM('Sales and count'!$A$4:$A$300&amp;""),TRIM('Sales and count'!$B$4:$B$300&amp;"")),""),IF(OR(_xlpm.c="",_xlpm.c="0",LEFT(_xlpm.c,1)="#"),"Not set",_xlpm.c)))</f>
        <v/>
      </c>
    </row>
    <row r="1454" spans="1:112" x14ac:dyDescent="0.25">
      <c r="A1454" t="str">
        <f>IF('Staff Daily sales'!$B1439="","",TRIM('Staff Daily sales'!$B1439&amp;""))</f>
        <v/>
      </c>
      <c r="B1454" t="str">
        <f>IF('Staff Daily sales'!$D1439="","",TRIM('Staff Daily sales'!$D1439&amp;""))</f>
        <v/>
      </c>
      <c r="C1454" t="str">
        <f>IFERROR(TRIM('Staff Daily sales'!$E1439&amp;""),"")</f>
        <v/>
      </c>
      <c r="D1454" t="str">
        <f>IFERROR(IF(TRIM('Staff Daily sales'!$F1439&amp;"")="","Unassigned",TRIM('Staff Daily sales'!$F1439&amp;"")),"Unassigned")</f>
        <v>Unassigned</v>
      </c>
      <c r="E1454">
        <f t="shared" si="378"/>
        <v>0</v>
      </c>
      <c r="F1454">
        <f>IF($E1454=0,0,SUMPRODUCT($AI$5:$DF$5,'Staff Daily sales'!$G1439:$CD1439))</f>
        <v>0</v>
      </c>
      <c r="G1454">
        <f>IF($E1454=0,0,SUMPRODUCT($AI$6:$DF$6,'Staff Daily sales'!$G1439:$CD1439))</f>
        <v>0</v>
      </c>
      <c r="H1454">
        <f t="shared" si="379"/>
        <v>0</v>
      </c>
      <c r="I1454">
        <f t="shared" si="380"/>
        <v>0</v>
      </c>
      <c r="J1454">
        <f t="shared" si="381"/>
        <v>0</v>
      </c>
      <c r="K1454">
        <f t="shared" si="382"/>
        <v>0</v>
      </c>
      <c r="L1454">
        <f>--AND($E1454=1,OR('Staff Dashboard'!$B$6="All",$DH1454='Staff Dashboard'!$B$6),OR('Staff Dashboard'!$B$7="All",$D1454='Staff Dashboard'!$B$7),OR('Staff Dashboard'!$B$8="All",$A1454='Staff Dashboard'!$B$8))</f>
        <v>0</v>
      </c>
      <c r="M1454">
        <f>IF($E1454=0,0,SUMPRODUCT($AI$7:$DF$7,'Staff Daily sales'!$G1439:$CD1439))</f>
        <v>0</v>
      </c>
      <c r="N1454">
        <f>IF($E1454=0,0,SUMPRODUCT($AI$8:$DF$8,'Staff Daily sales'!$G1439:$CD1439))</f>
        <v>0</v>
      </c>
      <c r="O1454">
        <f>IF($E1454=0,0,SUMPRODUCT($AI$9:$DF$9,'Staff Daily sales'!$G1439:$CD1439))</f>
        <v>0</v>
      </c>
      <c r="P1454">
        <f>IF($E1454=0,0,SUMPRODUCT($AI$10:$DF$10,'Staff Daily sales'!$G1439:$CD1439))</f>
        <v>0</v>
      </c>
      <c r="Q1454">
        <f>IF($E1454=0,0,SUMPRODUCT($AI$11:$DF$11,'Staff Daily sales'!$G1439:$CD1439))</f>
        <v>0</v>
      </c>
      <c r="R1454">
        <f>IF($E1454=0,0,SUMPRODUCT($AI$12:$DF$12,'Staff Daily sales'!$G1439:$CD1439))</f>
        <v>0</v>
      </c>
      <c r="S1454">
        <f>IF($E1454=0,0,SUMPRODUCT($AI$13:$DF$13,'Staff Daily sales'!$G1439:$CD1439))</f>
        <v>0</v>
      </c>
      <c r="T1454">
        <f>IF($E1454=0,0,SUMPRODUCT($AI$14:$DF$14,'Staff Daily sales'!$G1439:$CD1439))</f>
        <v>0</v>
      </c>
      <c r="U1454">
        <f>IF($E1454=0,0,SUMPRODUCT($AI$15:$DF$15,'Staff Daily sales'!$G1439:$CD1439))</f>
        <v>0</v>
      </c>
      <c r="V1454">
        <f>IF($E1454=0,0,SUMPRODUCT($AI$16:$DF$16,'Staff Daily sales'!$G1439:$CD1439))</f>
        <v>0</v>
      </c>
      <c r="W1454">
        <f t="shared" si="383"/>
        <v>0</v>
      </c>
      <c r="X1454">
        <f t="shared" si="384"/>
        <v>0</v>
      </c>
      <c r="Y1454">
        <f t="shared" si="385"/>
        <v>0</v>
      </c>
      <c r="Z1454">
        <f t="shared" si="386"/>
        <v>0</v>
      </c>
      <c r="AA1454">
        <f t="shared" si="387"/>
        <v>0</v>
      </c>
      <c r="AB1454">
        <f>--AND($E1454=1,OR('Staff Weekly Trend'!$B$3="All",$DH1454='Staff Weekly Trend'!$B$3),OR('Staff Weekly Trend'!$B$4="All",$D1454='Staff Weekly Trend'!$B$4),OR('Staff Weekly Trend'!$B$5="All",$A1454='Staff Weekly Trend'!$B$5))</f>
        <v>0</v>
      </c>
      <c r="AC1454" t="str">
        <f t="shared" si="388"/>
        <v/>
      </c>
      <c r="AI1454">
        <f t="shared" si="389"/>
        <v>0</v>
      </c>
      <c r="AJ1454">
        <f t="shared" si="390"/>
        <v>0</v>
      </c>
      <c r="AK1454">
        <f t="shared" si="391"/>
        <v>0</v>
      </c>
      <c r="AL1454">
        <f t="shared" si="392"/>
        <v>0</v>
      </c>
      <c r="AM1454">
        <f t="shared" si="393"/>
        <v>0</v>
      </c>
      <c r="DH1454" t="str" cm="1">
        <f t="array" ref="DH1454">IF($A1454="","",_xlfn.LET(_xlpm.c,IFERROR(_xlfn.XLOOKUP($A1454,TRIM('Sales and count'!$A$4:$A$300&amp;""),TRIM('Sales and count'!$B$4:$B$300&amp;"")),""),IF(OR(_xlpm.c="",_xlpm.c="0",LEFT(_xlpm.c,1)="#"),"Not set",_xlpm.c)))</f>
        <v/>
      </c>
    </row>
    <row r="1455" spans="1:112" x14ac:dyDescent="0.25">
      <c r="A1455" t="str">
        <f>IF('Staff Daily sales'!$B1440="","",TRIM('Staff Daily sales'!$B1440&amp;""))</f>
        <v/>
      </c>
      <c r="B1455" t="str">
        <f>IF('Staff Daily sales'!$D1440="","",TRIM('Staff Daily sales'!$D1440&amp;""))</f>
        <v/>
      </c>
      <c r="C1455" t="str">
        <f>IFERROR(TRIM('Staff Daily sales'!$E1440&amp;""),"")</f>
        <v/>
      </c>
      <c r="D1455" t="str">
        <f>IFERROR(IF(TRIM('Staff Daily sales'!$F1440&amp;"")="","Unassigned",TRIM('Staff Daily sales'!$F1440&amp;"")),"Unassigned")</f>
        <v>Unassigned</v>
      </c>
      <c r="E1455">
        <f t="shared" si="378"/>
        <v>0</v>
      </c>
      <c r="F1455">
        <f>IF($E1455=0,0,SUMPRODUCT($AI$5:$DF$5,'Staff Daily sales'!$G1440:$CD1440))</f>
        <v>0</v>
      </c>
      <c r="G1455">
        <f>IF($E1455=0,0,SUMPRODUCT($AI$6:$DF$6,'Staff Daily sales'!$G1440:$CD1440))</f>
        <v>0</v>
      </c>
      <c r="H1455">
        <f t="shared" si="379"/>
        <v>0</v>
      </c>
      <c r="I1455">
        <f t="shared" si="380"/>
        <v>0</v>
      </c>
      <c r="J1455">
        <f t="shared" si="381"/>
        <v>0</v>
      </c>
      <c r="K1455">
        <f t="shared" si="382"/>
        <v>0</v>
      </c>
      <c r="L1455">
        <f>--AND($E1455=1,OR('Staff Dashboard'!$B$6="All",$DH1455='Staff Dashboard'!$B$6),OR('Staff Dashboard'!$B$7="All",$D1455='Staff Dashboard'!$B$7),OR('Staff Dashboard'!$B$8="All",$A1455='Staff Dashboard'!$B$8))</f>
        <v>0</v>
      </c>
      <c r="M1455">
        <f>IF($E1455=0,0,SUMPRODUCT($AI$7:$DF$7,'Staff Daily sales'!$G1440:$CD1440))</f>
        <v>0</v>
      </c>
      <c r="N1455">
        <f>IF($E1455=0,0,SUMPRODUCT($AI$8:$DF$8,'Staff Daily sales'!$G1440:$CD1440))</f>
        <v>0</v>
      </c>
      <c r="O1455">
        <f>IF($E1455=0,0,SUMPRODUCT($AI$9:$DF$9,'Staff Daily sales'!$G1440:$CD1440))</f>
        <v>0</v>
      </c>
      <c r="P1455">
        <f>IF($E1455=0,0,SUMPRODUCT($AI$10:$DF$10,'Staff Daily sales'!$G1440:$CD1440))</f>
        <v>0</v>
      </c>
      <c r="Q1455">
        <f>IF($E1455=0,0,SUMPRODUCT($AI$11:$DF$11,'Staff Daily sales'!$G1440:$CD1440))</f>
        <v>0</v>
      </c>
      <c r="R1455">
        <f>IF($E1455=0,0,SUMPRODUCT($AI$12:$DF$12,'Staff Daily sales'!$G1440:$CD1440))</f>
        <v>0</v>
      </c>
      <c r="S1455">
        <f>IF($E1455=0,0,SUMPRODUCT($AI$13:$DF$13,'Staff Daily sales'!$G1440:$CD1440))</f>
        <v>0</v>
      </c>
      <c r="T1455">
        <f>IF($E1455=0,0,SUMPRODUCT($AI$14:$DF$14,'Staff Daily sales'!$G1440:$CD1440))</f>
        <v>0</v>
      </c>
      <c r="U1455">
        <f>IF($E1455=0,0,SUMPRODUCT($AI$15:$DF$15,'Staff Daily sales'!$G1440:$CD1440))</f>
        <v>0</v>
      </c>
      <c r="V1455">
        <f>IF($E1455=0,0,SUMPRODUCT($AI$16:$DF$16,'Staff Daily sales'!$G1440:$CD1440))</f>
        <v>0</v>
      </c>
      <c r="W1455">
        <f t="shared" si="383"/>
        <v>0</v>
      </c>
      <c r="X1455">
        <f t="shared" si="384"/>
        <v>0</v>
      </c>
      <c r="Y1455">
        <f t="shared" si="385"/>
        <v>0</v>
      </c>
      <c r="Z1455">
        <f t="shared" si="386"/>
        <v>0</v>
      </c>
      <c r="AA1455">
        <f t="shared" si="387"/>
        <v>0</v>
      </c>
      <c r="AB1455">
        <f>--AND($E1455=1,OR('Staff Weekly Trend'!$B$3="All",$DH1455='Staff Weekly Trend'!$B$3),OR('Staff Weekly Trend'!$B$4="All",$D1455='Staff Weekly Trend'!$B$4),OR('Staff Weekly Trend'!$B$5="All",$A1455='Staff Weekly Trend'!$B$5))</f>
        <v>0</v>
      </c>
      <c r="AC1455" t="str">
        <f t="shared" si="388"/>
        <v/>
      </c>
      <c r="AI1455">
        <f t="shared" si="389"/>
        <v>0</v>
      </c>
      <c r="AJ1455">
        <f t="shared" si="390"/>
        <v>0</v>
      </c>
      <c r="AK1455">
        <f t="shared" si="391"/>
        <v>0</v>
      </c>
      <c r="AL1455">
        <f t="shared" si="392"/>
        <v>0</v>
      </c>
      <c r="AM1455">
        <f t="shared" si="393"/>
        <v>0</v>
      </c>
      <c r="DH1455" t="str" cm="1">
        <f t="array" ref="DH1455">IF($A1455="","",_xlfn.LET(_xlpm.c,IFERROR(_xlfn.XLOOKUP($A1455,TRIM('Sales and count'!$A$4:$A$300&amp;""),TRIM('Sales and count'!$B$4:$B$300&amp;"")),""),IF(OR(_xlpm.c="",_xlpm.c="0",LEFT(_xlpm.c,1)="#"),"Not set",_xlpm.c)))</f>
        <v/>
      </c>
    </row>
    <row r="1456" spans="1:112" x14ac:dyDescent="0.25">
      <c r="A1456" t="str">
        <f>IF('Staff Daily sales'!$B1441="","",TRIM('Staff Daily sales'!$B1441&amp;""))</f>
        <v/>
      </c>
      <c r="B1456" t="str">
        <f>IF('Staff Daily sales'!$D1441="","",TRIM('Staff Daily sales'!$D1441&amp;""))</f>
        <v/>
      </c>
      <c r="C1456" t="str">
        <f>IFERROR(TRIM('Staff Daily sales'!$E1441&amp;""),"")</f>
        <v/>
      </c>
      <c r="D1456" t="str">
        <f>IFERROR(IF(TRIM('Staff Daily sales'!$F1441&amp;"")="","Unassigned",TRIM('Staff Daily sales'!$F1441&amp;"")),"Unassigned")</f>
        <v>Unassigned</v>
      </c>
      <c r="E1456">
        <f t="shared" si="378"/>
        <v>0</v>
      </c>
      <c r="F1456">
        <f>IF($E1456=0,0,SUMPRODUCT($AI$5:$DF$5,'Staff Daily sales'!$G1441:$CD1441))</f>
        <v>0</v>
      </c>
      <c r="G1456">
        <f>IF($E1456=0,0,SUMPRODUCT($AI$6:$DF$6,'Staff Daily sales'!$G1441:$CD1441))</f>
        <v>0</v>
      </c>
      <c r="H1456">
        <f t="shared" si="379"/>
        <v>0</v>
      </c>
      <c r="I1456">
        <f t="shared" si="380"/>
        <v>0</v>
      </c>
      <c r="J1456">
        <f t="shared" si="381"/>
        <v>0</v>
      </c>
      <c r="K1456">
        <f t="shared" si="382"/>
        <v>0</v>
      </c>
      <c r="L1456">
        <f>--AND($E1456=1,OR('Staff Dashboard'!$B$6="All",$DH1456='Staff Dashboard'!$B$6),OR('Staff Dashboard'!$B$7="All",$D1456='Staff Dashboard'!$B$7),OR('Staff Dashboard'!$B$8="All",$A1456='Staff Dashboard'!$B$8))</f>
        <v>0</v>
      </c>
      <c r="M1456">
        <f>IF($E1456=0,0,SUMPRODUCT($AI$7:$DF$7,'Staff Daily sales'!$G1441:$CD1441))</f>
        <v>0</v>
      </c>
      <c r="N1456">
        <f>IF($E1456=0,0,SUMPRODUCT($AI$8:$DF$8,'Staff Daily sales'!$G1441:$CD1441))</f>
        <v>0</v>
      </c>
      <c r="O1456">
        <f>IF($E1456=0,0,SUMPRODUCT($AI$9:$DF$9,'Staff Daily sales'!$G1441:$CD1441))</f>
        <v>0</v>
      </c>
      <c r="P1456">
        <f>IF($E1456=0,0,SUMPRODUCT($AI$10:$DF$10,'Staff Daily sales'!$G1441:$CD1441))</f>
        <v>0</v>
      </c>
      <c r="Q1456">
        <f>IF($E1456=0,0,SUMPRODUCT($AI$11:$DF$11,'Staff Daily sales'!$G1441:$CD1441))</f>
        <v>0</v>
      </c>
      <c r="R1456">
        <f>IF($E1456=0,0,SUMPRODUCT($AI$12:$DF$12,'Staff Daily sales'!$G1441:$CD1441))</f>
        <v>0</v>
      </c>
      <c r="S1456">
        <f>IF($E1456=0,0,SUMPRODUCT($AI$13:$DF$13,'Staff Daily sales'!$G1441:$CD1441))</f>
        <v>0</v>
      </c>
      <c r="T1456">
        <f>IF($E1456=0,0,SUMPRODUCT($AI$14:$DF$14,'Staff Daily sales'!$G1441:$CD1441))</f>
        <v>0</v>
      </c>
      <c r="U1456">
        <f>IF($E1456=0,0,SUMPRODUCT($AI$15:$DF$15,'Staff Daily sales'!$G1441:$CD1441))</f>
        <v>0</v>
      </c>
      <c r="V1456">
        <f>IF($E1456=0,0,SUMPRODUCT($AI$16:$DF$16,'Staff Daily sales'!$G1441:$CD1441))</f>
        <v>0</v>
      </c>
      <c r="W1456">
        <f t="shared" si="383"/>
        <v>0</v>
      </c>
      <c r="X1456">
        <f t="shared" si="384"/>
        <v>0</v>
      </c>
      <c r="Y1456">
        <f t="shared" si="385"/>
        <v>0</v>
      </c>
      <c r="Z1456">
        <f t="shared" si="386"/>
        <v>0</v>
      </c>
      <c r="AA1456">
        <f t="shared" si="387"/>
        <v>0</v>
      </c>
      <c r="AB1456">
        <f>--AND($E1456=1,OR('Staff Weekly Trend'!$B$3="All",$DH1456='Staff Weekly Trend'!$B$3),OR('Staff Weekly Trend'!$B$4="All",$D1456='Staff Weekly Trend'!$B$4),OR('Staff Weekly Trend'!$B$5="All",$A1456='Staff Weekly Trend'!$B$5))</f>
        <v>0</v>
      </c>
      <c r="AC1456" t="str">
        <f t="shared" si="388"/>
        <v/>
      </c>
      <c r="AI1456">
        <f t="shared" si="389"/>
        <v>0</v>
      </c>
      <c r="AJ1456">
        <f t="shared" si="390"/>
        <v>0</v>
      </c>
      <c r="AK1456">
        <f t="shared" si="391"/>
        <v>0</v>
      </c>
      <c r="AL1456">
        <f t="shared" si="392"/>
        <v>0</v>
      </c>
      <c r="AM1456">
        <f t="shared" si="393"/>
        <v>0</v>
      </c>
      <c r="DH1456" t="str" cm="1">
        <f t="array" ref="DH1456">IF($A1456="","",_xlfn.LET(_xlpm.c,IFERROR(_xlfn.XLOOKUP($A1456,TRIM('Sales and count'!$A$4:$A$300&amp;""),TRIM('Sales and count'!$B$4:$B$300&amp;"")),""),IF(OR(_xlpm.c="",_xlpm.c="0",LEFT(_xlpm.c,1)="#"),"Not set",_xlpm.c)))</f>
        <v/>
      </c>
    </row>
    <row r="1457" spans="1:112" x14ac:dyDescent="0.25">
      <c r="A1457" t="str">
        <f>IF('Staff Daily sales'!$B1442="","",TRIM('Staff Daily sales'!$B1442&amp;""))</f>
        <v/>
      </c>
      <c r="B1457" t="str">
        <f>IF('Staff Daily sales'!$D1442="","",TRIM('Staff Daily sales'!$D1442&amp;""))</f>
        <v/>
      </c>
      <c r="C1457" t="str">
        <f>IFERROR(TRIM('Staff Daily sales'!$E1442&amp;""),"")</f>
        <v/>
      </c>
      <c r="D1457" t="str">
        <f>IFERROR(IF(TRIM('Staff Daily sales'!$F1442&amp;"")="","Unassigned",TRIM('Staff Daily sales'!$F1442&amp;"")),"Unassigned")</f>
        <v>Unassigned</v>
      </c>
      <c r="E1457">
        <f t="shared" si="378"/>
        <v>0</v>
      </c>
      <c r="F1457">
        <f>IF($E1457=0,0,SUMPRODUCT($AI$5:$DF$5,'Staff Daily sales'!$G1442:$CD1442))</f>
        <v>0</v>
      </c>
      <c r="G1457">
        <f>IF($E1457=0,0,SUMPRODUCT($AI$6:$DF$6,'Staff Daily sales'!$G1442:$CD1442))</f>
        <v>0</v>
      </c>
      <c r="H1457">
        <f t="shared" si="379"/>
        <v>0</v>
      </c>
      <c r="I1457">
        <f t="shared" si="380"/>
        <v>0</v>
      </c>
      <c r="J1457">
        <f t="shared" si="381"/>
        <v>0</v>
      </c>
      <c r="K1457">
        <f t="shared" si="382"/>
        <v>0</v>
      </c>
      <c r="L1457">
        <f>--AND($E1457=1,OR('Staff Dashboard'!$B$6="All",$DH1457='Staff Dashboard'!$B$6),OR('Staff Dashboard'!$B$7="All",$D1457='Staff Dashboard'!$B$7),OR('Staff Dashboard'!$B$8="All",$A1457='Staff Dashboard'!$B$8))</f>
        <v>0</v>
      </c>
      <c r="M1457">
        <f>IF($E1457=0,0,SUMPRODUCT($AI$7:$DF$7,'Staff Daily sales'!$G1442:$CD1442))</f>
        <v>0</v>
      </c>
      <c r="N1457">
        <f>IF($E1457=0,0,SUMPRODUCT($AI$8:$DF$8,'Staff Daily sales'!$G1442:$CD1442))</f>
        <v>0</v>
      </c>
      <c r="O1457">
        <f>IF($E1457=0,0,SUMPRODUCT($AI$9:$DF$9,'Staff Daily sales'!$G1442:$CD1442))</f>
        <v>0</v>
      </c>
      <c r="P1457">
        <f>IF($E1457=0,0,SUMPRODUCT($AI$10:$DF$10,'Staff Daily sales'!$G1442:$CD1442))</f>
        <v>0</v>
      </c>
      <c r="Q1457">
        <f>IF($E1457=0,0,SUMPRODUCT($AI$11:$DF$11,'Staff Daily sales'!$G1442:$CD1442))</f>
        <v>0</v>
      </c>
      <c r="R1457">
        <f>IF($E1457=0,0,SUMPRODUCT($AI$12:$DF$12,'Staff Daily sales'!$G1442:$CD1442))</f>
        <v>0</v>
      </c>
      <c r="S1457">
        <f>IF($E1457=0,0,SUMPRODUCT($AI$13:$DF$13,'Staff Daily sales'!$G1442:$CD1442))</f>
        <v>0</v>
      </c>
      <c r="T1457">
        <f>IF($E1457=0,0,SUMPRODUCT($AI$14:$DF$14,'Staff Daily sales'!$G1442:$CD1442))</f>
        <v>0</v>
      </c>
      <c r="U1457">
        <f>IF($E1457=0,0,SUMPRODUCT($AI$15:$DF$15,'Staff Daily sales'!$G1442:$CD1442))</f>
        <v>0</v>
      </c>
      <c r="V1457">
        <f>IF($E1457=0,0,SUMPRODUCT($AI$16:$DF$16,'Staff Daily sales'!$G1442:$CD1442))</f>
        <v>0</v>
      </c>
      <c r="W1457">
        <f t="shared" si="383"/>
        <v>0</v>
      </c>
      <c r="X1457">
        <f t="shared" si="384"/>
        <v>0</v>
      </c>
      <c r="Y1457">
        <f t="shared" si="385"/>
        <v>0</v>
      </c>
      <c r="Z1457">
        <f t="shared" si="386"/>
        <v>0</v>
      </c>
      <c r="AA1457">
        <f t="shared" si="387"/>
        <v>0</v>
      </c>
      <c r="AB1457">
        <f>--AND($E1457=1,OR('Staff Weekly Trend'!$B$3="All",$DH1457='Staff Weekly Trend'!$B$3),OR('Staff Weekly Trend'!$B$4="All",$D1457='Staff Weekly Trend'!$B$4),OR('Staff Weekly Trend'!$B$5="All",$A1457='Staff Weekly Trend'!$B$5))</f>
        <v>0</v>
      </c>
      <c r="AC1457" t="str">
        <f t="shared" si="388"/>
        <v/>
      </c>
      <c r="AI1457">
        <f t="shared" si="389"/>
        <v>0</v>
      </c>
      <c r="AJ1457">
        <f t="shared" si="390"/>
        <v>0</v>
      </c>
      <c r="AK1457">
        <f t="shared" si="391"/>
        <v>0</v>
      </c>
      <c r="AL1457">
        <f t="shared" si="392"/>
        <v>0</v>
      </c>
      <c r="AM1457">
        <f t="shared" si="393"/>
        <v>0</v>
      </c>
      <c r="DH1457" t="str" cm="1">
        <f t="array" ref="DH1457">IF($A1457="","",_xlfn.LET(_xlpm.c,IFERROR(_xlfn.XLOOKUP($A1457,TRIM('Sales and count'!$A$4:$A$300&amp;""),TRIM('Sales and count'!$B$4:$B$300&amp;"")),""),IF(OR(_xlpm.c="",_xlpm.c="0",LEFT(_xlpm.c,1)="#"),"Not set",_xlpm.c)))</f>
        <v/>
      </c>
    </row>
    <row r="1458" spans="1:112" x14ac:dyDescent="0.25">
      <c r="A1458" t="str">
        <f>IF('Staff Daily sales'!$B1443="","",TRIM('Staff Daily sales'!$B1443&amp;""))</f>
        <v/>
      </c>
      <c r="B1458" t="str">
        <f>IF('Staff Daily sales'!$D1443="","",TRIM('Staff Daily sales'!$D1443&amp;""))</f>
        <v/>
      </c>
      <c r="C1458" t="str">
        <f>IFERROR(TRIM('Staff Daily sales'!$E1443&amp;""),"")</f>
        <v/>
      </c>
      <c r="D1458" t="str">
        <f>IFERROR(IF(TRIM('Staff Daily sales'!$F1443&amp;"")="","Unassigned",TRIM('Staff Daily sales'!$F1443&amp;"")),"Unassigned")</f>
        <v>Unassigned</v>
      </c>
      <c r="E1458">
        <f t="shared" si="378"/>
        <v>0</v>
      </c>
      <c r="F1458">
        <f>IF($E1458=0,0,SUMPRODUCT($AI$5:$DF$5,'Staff Daily sales'!$G1443:$CD1443))</f>
        <v>0</v>
      </c>
      <c r="G1458">
        <f>IF($E1458=0,0,SUMPRODUCT($AI$6:$DF$6,'Staff Daily sales'!$G1443:$CD1443))</f>
        <v>0</v>
      </c>
      <c r="H1458">
        <f t="shared" si="379"/>
        <v>0</v>
      </c>
      <c r="I1458">
        <f t="shared" si="380"/>
        <v>0</v>
      </c>
      <c r="J1458">
        <f t="shared" si="381"/>
        <v>0</v>
      </c>
      <c r="K1458">
        <f t="shared" si="382"/>
        <v>0</v>
      </c>
      <c r="L1458">
        <f>--AND($E1458=1,OR('Staff Dashboard'!$B$6="All",$DH1458='Staff Dashboard'!$B$6),OR('Staff Dashboard'!$B$7="All",$D1458='Staff Dashboard'!$B$7),OR('Staff Dashboard'!$B$8="All",$A1458='Staff Dashboard'!$B$8))</f>
        <v>0</v>
      </c>
      <c r="M1458">
        <f>IF($E1458=0,0,SUMPRODUCT($AI$7:$DF$7,'Staff Daily sales'!$G1443:$CD1443))</f>
        <v>0</v>
      </c>
      <c r="N1458">
        <f>IF($E1458=0,0,SUMPRODUCT($AI$8:$DF$8,'Staff Daily sales'!$G1443:$CD1443))</f>
        <v>0</v>
      </c>
      <c r="O1458">
        <f>IF($E1458=0,0,SUMPRODUCT($AI$9:$DF$9,'Staff Daily sales'!$G1443:$CD1443))</f>
        <v>0</v>
      </c>
      <c r="P1458">
        <f>IF($E1458=0,0,SUMPRODUCT($AI$10:$DF$10,'Staff Daily sales'!$G1443:$CD1443))</f>
        <v>0</v>
      </c>
      <c r="Q1458">
        <f>IF($E1458=0,0,SUMPRODUCT($AI$11:$DF$11,'Staff Daily sales'!$G1443:$CD1443))</f>
        <v>0</v>
      </c>
      <c r="R1458">
        <f>IF($E1458=0,0,SUMPRODUCT($AI$12:$DF$12,'Staff Daily sales'!$G1443:$CD1443))</f>
        <v>0</v>
      </c>
      <c r="S1458">
        <f>IF($E1458=0,0,SUMPRODUCT($AI$13:$DF$13,'Staff Daily sales'!$G1443:$CD1443))</f>
        <v>0</v>
      </c>
      <c r="T1458">
        <f>IF($E1458=0,0,SUMPRODUCT($AI$14:$DF$14,'Staff Daily sales'!$G1443:$CD1443))</f>
        <v>0</v>
      </c>
      <c r="U1458">
        <f>IF($E1458=0,0,SUMPRODUCT($AI$15:$DF$15,'Staff Daily sales'!$G1443:$CD1443))</f>
        <v>0</v>
      </c>
      <c r="V1458">
        <f>IF($E1458=0,0,SUMPRODUCT($AI$16:$DF$16,'Staff Daily sales'!$G1443:$CD1443))</f>
        <v>0</v>
      </c>
      <c r="W1458">
        <f t="shared" si="383"/>
        <v>0</v>
      </c>
      <c r="X1458">
        <f t="shared" si="384"/>
        <v>0</v>
      </c>
      <c r="Y1458">
        <f t="shared" si="385"/>
        <v>0</v>
      </c>
      <c r="Z1458">
        <f t="shared" si="386"/>
        <v>0</v>
      </c>
      <c r="AA1458">
        <f t="shared" si="387"/>
        <v>0</v>
      </c>
      <c r="AB1458">
        <f>--AND($E1458=1,OR('Staff Weekly Trend'!$B$3="All",$DH1458='Staff Weekly Trend'!$B$3),OR('Staff Weekly Trend'!$B$4="All",$D1458='Staff Weekly Trend'!$B$4),OR('Staff Weekly Trend'!$B$5="All",$A1458='Staff Weekly Trend'!$B$5))</f>
        <v>0</v>
      </c>
      <c r="AC1458" t="str">
        <f t="shared" si="388"/>
        <v/>
      </c>
      <c r="AI1458">
        <f t="shared" si="389"/>
        <v>0</v>
      </c>
      <c r="AJ1458">
        <f t="shared" si="390"/>
        <v>0</v>
      </c>
      <c r="AK1458">
        <f t="shared" si="391"/>
        <v>0</v>
      </c>
      <c r="AL1458">
        <f t="shared" si="392"/>
        <v>0</v>
      </c>
      <c r="AM1458">
        <f t="shared" si="393"/>
        <v>0</v>
      </c>
      <c r="DH1458" t="str" cm="1">
        <f t="array" ref="DH1458">IF($A1458="","",_xlfn.LET(_xlpm.c,IFERROR(_xlfn.XLOOKUP($A1458,TRIM('Sales and count'!$A$4:$A$300&amp;""),TRIM('Sales and count'!$B$4:$B$300&amp;"")),""),IF(OR(_xlpm.c="",_xlpm.c="0",LEFT(_xlpm.c,1)="#"),"Not set",_xlpm.c)))</f>
        <v/>
      </c>
    </row>
    <row r="1459" spans="1:112" x14ac:dyDescent="0.25">
      <c r="A1459" t="str">
        <f>IF('Staff Daily sales'!$B1444="","",TRIM('Staff Daily sales'!$B1444&amp;""))</f>
        <v/>
      </c>
      <c r="B1459" t="str">
        <f>IF('Staff Daily sales'!$D1444="","",TRIM('Staff Daily sales'!$D1444&amp;""))</f>
        <v/>
      </c>
      <c r="C1459" t="str">
        <f>IFERROR(TRIM('Staff Daily sales'!$E1444&amp;""),"")</f>
        <v/>
      </c>
      <c r="D1459" t="str">
        <f>IFERROR(IF(TRIM('Staff Daily sales'!$F1444&amp;"")="","Unassigned",TRIM('Staff Daily sales'!$F1444&amp;"")),"Unassigned")</f>
        <v>Unassigned</v>
      </c>
      <c r="E1459">
        <f t="shared" si="378"/>
        <v>0</v>
      </c>
      <c r="F1459">
        <f>IF($E1459=0,0,SUMPRODUCT($AI$5:$DF$5,'Staff Daily sales'!$G1444:$CD1444))</f>
        <v>0</v>
      </c>
      <c r="G1459">
        <f>IF($E1459=0,0,SUMPRODUCT($AI$6:$DF$6,'Staff Daily sales'!$G1444:$CD1444))</f>
        <v>0</v>
      </c>
      <c r="H1459">
        <f t="shared" si="379"/>
        <v>0</v>
      </c>
      <c r="I1459">
        <f t="shared" si="380"/>
        <v>0</v>
      </c>
      <c r="J1459">
        <f t="shared" si="381"/>
        <v>0</v>
      </c>
      <c r="K1459">
        <f t="shared" si="382"/>
        <v>0</v>
      </c>
      <c r="L1459">
        <f>--AND($E1459=1,OR('Staff Dashboard'!$B$6="All",$DH1459='Staff Dashboard'!$B$6),OR('Staff Dashboard'!$B$7="All",$D1459='Staff Dashboard'!$B$7),OR('Staff Dashboard'!$B$8="All",$A1459='Staff Dashboard'!$B$8))</f>
        <v>0</v>
      </c>
      <c r="M1459">
        <f>IF($E1459=0,0,SUMPRODUCT($AI$7:$DF$7,'Staff Daily sales'!$G1444:$CD1444))</f>
        <v>0</v>
      </c>
      <c r="N1459">
        <f>IF($E1459=0,0,SUMPRODUCT($AI$8:$DF$8,'Staff Daily sales'!$G1444:$CD1444))</f>
        <v>0</v>
      </c>
      <c r="O1459">
        <f>IF($E1459=0,0,SUMPRODUCT($AI$9:$DF$9,'Staff Daily sales'!$G1444:$CD1444))</f>
        <v>0</v>
      </c>
      <c r="P1459">
        <f>IF($E1459=0,0,SUMPRODUCT($AI$10:$DF$10,'Staff Daily sales'!$G1444:$CD1444))</f>
        <v>0</v>
      </c>
      <c r="Q1459">
        <f>IF($E1459=0,0,SUMPRODUCT($AI$11:$DF$11,'Staff Daily sales'!$G1444:$CD1444))</f>
        <v>0</v>
      </c>
      <c r="R1459">
        <f>IF($E1459=0,0,SUMPRODUCT($AI$12:$DF$12,'Staff Daily sales'!$G1444:$CD1444))</f>
        <v>0</v>
      </c>
      <c r="S1459">
        <f>IF($E1459=0,0,SUMPRODUCT($AI$13:$DF$13,'Staff Daily sales'!$G1444:$CD1444))</f>
        <v>0</v>
      </c>
      <c r="T1459">
        <f>IF($E1459=0,0,SUMPRODUCT($AI$14:$DF$14,'Staff Daily sales'!$G1444:$CD1444))</f>
        <v>0</v>
      </c>
      <c r="U1459">
        <f>IF($E1459=0,0,SUMPRODUCT($AI$15:$DF$15,'Staff Daily sales'!$G1444:$CD1444))</f>
        <v>0</v>
      </c>
      <c r="V1459">
        <f>IF($E1459=0,0,SUMPRODUCT($AI$16:$DF$16,'Staff Daily sales'!$G1444:$CD1444))</f>
        <v>0</v>
      </c>
      <c r="W1459">
        <f t="shared" si="383"/>
        <v>0</v>
      </c>
      <c r="X1459">
        <f t="shared" si="384"/>
        <v>0</v>
      </c>
      <c r="Y1459">
        <f t="shared" si="385"/>
        <v>0</v>
      </c>
      <c r="Z1459">
        <f t="shared" si="386"/>
        <v>0</v>
      </c>
      <c r="AA1459">
        <f t="shared" si="387"/>
        <v>0</v>
      </c>
      <c r="AB1459">
        <f>--AND($E1459=1,OR('Staff Weekly Trend'!$B$3="All",$DH1459='Staff Weekly Trend'!$B$3),OR('Staff Weekly Trend'!$B$4="All",$D1459='Staff Weekly Trend'!$B$4),OR('Staff Weekly Trend'!$B$5="All",$A1459='Staff Weekly Trend'!$B$5))</f>
        <v>0</v>
      </c>
      <c r="AC1459" t="str">
        <f t="shared" si="388"/>
        <v/>
      </c>
      <c r="AI1459">
        <f t="shared" si="389"/>
        <v>0</v>
      </c>
      <c r="AJ1459">
        <f t="shared" si="390"/>
        <v>0</v>
      </c>
      <c r="AK1459">
        <f t="shared" si="391"/>
        <v>0</v>
      </c>
      <c r="AL1459">
        <f t="shared" si="392"/>
        <v>0</v>
      </c>
      <c r="AM1459">
        <f t="shared" si="393"/>
        <v>0</v>
      </c>
      <c r="DH1459" t="str" cm="1">
        <f t="array" ref="DH1459">IF($A1459="","",_xlfn.LET(_xlpm.c,IFERROR(_xlfn.XLOOKUP($A1459,TRIM('Sales and count'!$A$4:$A$300&amp;""),TRIM('Sales and count'!$B$4:$B$300&amp;"")),""),IF(OR(_xlpm.c="",_xlpm.c="0",LEFT(_xlpm.c,1)="#"),"Not set",_xlpm.c)))</f>
        <v/>
      </c>
    </row>
    <row r="1460" spans="1:112" x14ac:dyDescent="0.25">
      <c r="A1460" t="str">
        <f>IF('Staff Daily sales'!$B1445="","",TRIM('Staff Daily sales'!$B1445&amp;""))</f>
        <v/>
      </c>
      <c r="B1460" t="str">
        <f>IF('Staff Daily sales'!$D1445="","",TRIM('Staff Daily sales'!$D1445&amp;""))</f>
        <v/>
      </c>
      <c r="C1460" t="str">
        <f>IFERROR(TRIM('Staff Daily sales'!$E1445&amp;""),"")</f>
        <v/>
      </c>
      <c r="D1460" t="str">
        <f>IFERROR(IF(TRIM('Staff Daily sales'!$F1445&amp;"")="","Unassigned",TRIM('Staff Daily sales'!$F1445&amp;"")),"Unassigned")</f>
        <v>Unassigned</v>
      </c>
      <c r="E1460">
        <f t="shared" si="378"/>
        <v>0</v>
      </c>
      <c r="F1460">
        <f>IF($E1460=0,0,SUMPRODUCT($AI$5:$DF$5,'Staff Daily sales'!$G1445:$CD1445))</f>
        <v>0</v>
      </c>
      <c r="G1460">
        <f>IF($E1460=0,0,SUMPRODUCT($AI$6:$DF$6,'Staff Daily sales'!$G1445:$CD1445))</f>
        <v>0</v>
      </c>
      <c r="H1460">
        <f t="shared" si="379"/>
        <v>0</v>
      </c>
      <c r="I1460">
        <f t="shared" si="380"/>
        <v>0</v>
      </c>
      <c r="J1460">
        <f t="shared" si="381"/>
        <v>0</v>
      </c>
      <c r="K1460">
        <f t="shared" si="382"/>
        <v>0</v>
      </c>
      <c r="L1460">
        <f>--AND($E1460=1,OR('Staff Dashboard'!$B$6="All",$DH1460='Staff Dashboard'!$B$6),OR('Staff Dashboard'!$B$7="All",$D1460='Staff Dashboard'!$B$7),OR('Staff Dashboard'!$B$8="All",$A1460='Staff Dashboard'!$B$8))</f>
        <v>0</v>
      </c>
      <c r="M1460">
        <f>IF($E1460=0,0,SUMPRODUCT($AI$7:$DF$7,'Staff Daily sales'!$G1445:$CD1445))</f>
        <v>0</v>
      </c>
      <c r="N1460">
        <f>IF($E1460=0,0,SUMPRODUCT($AI$8:$DF$8,'Staff Daily sales'!$G1445:$CD1445))</f>
        <v>0</v>
      </c>
      <c r="O1460">
        <f>IF($E1460=0,0,SUMPRODUCT($AI$9:$DF$9,'Staff Daily sales'!$G1445:$CD1445))</f>
        <v>0</v>
      </c>
      <c r="P1460">
        <f>IF($E1460=0,0,SUMPRODUCT($AI$10:$DF$10,'Staff Daily sales'!$G1445:$CD1445))</f>
        <v>0</v>
      </c>
      <c r="Q1460">
        <f>IF($E1460=0,0,SUMPRODUCT($AI$11:$DF$11,'Staff Daily sales'!$G1445:$CD1445))</f>
        <v>0</v>
      </c>
      <c r="R1460">
        <f>IF($E1460=0,0,SUMPRODUCT($AI$12:$DF$12,'Staff Daily sales'!$G1445:$CD1445))</f>
        <v>0</v>
      </c>
      <c r="S1460">
        <f>IF($E1460=0,0,SUMPRODUCT($AI$13:$DF$13,'Staff Daily sales'!$G1445:$CD1445))</f>
        <v>0</v>
      </c>
      <c r="T1460">
        <f>IF($E1460=0,0,SUMPRODUCT($AI$14:$DF$14,'Staff Daily sales'!$G1445:$CD1445))</f>
        <v>0</v>
      </c>
      <c r="U1460">
        <f>IF($E1460=0,0,SUMPRODUCT($AI$15:$DF$15,'Staff Daily sales'!$G1445:$CD1445))</f>
        <v>0</v>
      </c>
      <c r="V1460">
        <f>IF($E1460=0,0,SUMPRODUCT($AI$16:$DF$16,'Staff Daily sales'!$G1445:$CD1445))</f>
        <v>0</v>
      </c>
      <c r="W1460">
        <f t="shared" si="383"/>
        <v>0</v>
      </c>
      <c r="X1460">
        <f t="shared" si="384"/>
        <v>0</v>
      </c>
      <c r="Y1460">
        <f t="shared" si="385"/>
        <v>0</v>
      </c>
      <c r="Z1460">
        <f t="shared" si="386"/>
        <v>0</v>
      </c>
      <c r="AA1460">
        <f t="shared" si="387"/>
        <v>0</v>
      </c>
      <c r="AB1460">
        <f>--AND($E1460=1,OR('Staff Weekly Trend'!$B$3="All",$DH1460='Staff Weekly Trend'!$B$3),OR('Staff Weekly Trend'!$B$4="All",$D1460='Staff Weekly Trend'!$B$4),OR('Staff Weekly Trend'!$B$5="All",$A1460='Staff Weekly Trend'!$B$5))</f>
        <v>0</v>
      </c>
      <c r="AC1460" t="str">
        <f t="shared" si="388"/>
        <v/>
      </c>
      <c r="AI1460">
        <f t="shared" si="389"/>
        <v>0</v>
      </c>
      <c r="AJ1460">
        <f t="shared" si="390"/>
        <v>0</v>
      </c>
      <c r="AK1460">
        <f t="shared" si="391"/>
        <v>0</v>
      </c>
      <c r="AL1460">
        <f t="shared" si="392"/>
        <v>0</v>
      </c>
      <c r="AM1460">
        <f t="shared" si="393"/>
        <v>0</v>
      </c>
      <c r="DH1460" t="str" cm="1">
        <f t="array" ref="DH1460">IF($A1460="","",_xlfn.LET(_xlpm.c,IFERROR(_xlfn.XLOOKUP($A1460,TRIM('Sales and count'!$A$4:$A$300&amp;""),TRIM('Sales and count'!$B$4:$B$300&amp;"")),""),IF(OR(_xlpm.c="",_xlpm.c="0",LEFT(_xlpm.c,1)="#"),"Not set",_xlpm.c)))</f>
        <v/>
      </c>
    </row>
    <row r="1461" spans="1:112" x14ac:dyDescent="0.25">
      <c r="A1461" t="str">
        <f>IF('Staff Daily sales'!$B1446="","",TRIM('Staff Daily sales'!$B1446&amp;""))</f>
        <v/>
      </c>
      <c r="B1461" t="str">
        <f>IF('Staff Daily sales'!$D1446="","",TRIM('Staff Daily sales'!$D1446&amp;""))</f>
        <v/>
      </c>
      <c r="C1461" t="str">
        <f>IFERROR(TRIM('Staff Daily sales'!$E1446&amp;""),"")</f>
        <v/>
      </c>
      <c r="D1461" t="str">
        <f>IFERROR(IF(TRIM('Staff Daily sales'!$F1446&amp;"")="","Unassigned",TRIM('Staff Daily sales'!$F1446&amp;"")),"Unassigned")</f>
        <v>Unassigned</v>
      </c>
      <c r="E1461">
        <f t="shared" si="378"/>
        <v>0</v>
      </c>
      <c r="F1461">
        <f>IF($E1461=0,0,SUMPRODUCT($AI$5:$DF$5,'Staff Daily sales'!$G1446:$CD1446))</f>
        <v>0</v>
      </c>
      <c r="G1461">
        <f>IF($E1461=0,0,SUMPRODUCT($AI$6:$DF$6,'Staff Daily sales'!$G1446:$CD1446))</f>
        <v>0</v>
      </c>
      <c r="H1461">
        <f t="shared" si="379"/>
        <v>0</v>
      </c>
      <c r="I1461">
        <f t="shared" si="380"/>
        <v>0</v>
      </c>
      <c r="J1461">
        <f t="shared" si="381"/>
        <v>0</v>
      </c>
      <c r="K1461">
        <f t="shared" si="382"/>
        <v>0</v>
      </c>
      <c r="L1461">
        <f>--AND($E1461=1,OR('Staff Dashboard'!$B$6="All",$DH1461='Staff Dashboard'!$B$6),OR('Staff Dashboard'!$B$7="All",$D1461='Staff Dashboard'!$B$7),OR('Staff Dashboard'!$B$8="All",$A1461='Staff Dashboard'!$B$8))</f>
        <v>0</v>
      </c>
      <c r="M1461">
        <f>IF($E1461=0,0,SUMPRODUCT($AI$7:$DF$7,'Staff Daily sales'!$G1446:$CD1446))</f>
        <v>0</v>
      </c>
      <c r="N1461">
        <f>IF($E1461=0,0,SUMPRODUCT($AI$8:$DF$8,'Staff Daily sales'!$G1446:$CD1446))</f>
        <v>0</v>
      </c>
      <c r="O1461">
        <f>IF($E1461=0,0,SUMPRODUCT($AI$9:$DF$9,'Staff Daily sales'!$G1446:$CD1446))</f>
        <v>0</v>
      </c>
      <c r="P1461">
        <f>IF($E1461=0,0,SUMPRODUCT($AI$10:$DF$10,'Staff Daily sales'!$G1446:$CD1446))</f>
        <v>0</v>
      </c>
      <c r="Q1461">
        <f>IF($E1461=0,0,SUMPRODUCT($AI$11:$DF$11,'Staff Daily sales'!$G1446:$CD1446))</f>
        <v>0</v>
      </c>
      <c r="R1461">
        <f>IF($E1461=0,0,SUMPRODUCT($AI$12:$DF$12,'Staff Daily sales'!$G1446:$CD1446))</f>
        <v>0</v>
      </c>
      <c r="S1461">
        <f>IF($E1461=0,0,SUMPRODUCT($AI$13:$DF$13,'Staff Daily sales'!$G1446:$CD1446))</f>
        <v>0</v>
      </c>
      <c r="T1461">
        <f>IF($E1461=0,0,SUMPRODUCT($AI$14:$DF$14,'Staff Daily sales'!$G1446:$CD1446))</f>
        <v>0</v>
      </c>
      <c r="U1461">
        <f>IF($E1461=0,0,SUMPRODUCT($AI$15:$DF$15,'Staff Daily sales'!$G1446:$CD1446))</f>
        <v>0</v>
      </c>
      <c r="V1461">
        <f>IF($E1461=0,0,SUMPRODUCT($AI$16:$DF$16,'Staff Daily sales'!$G1446:$CD1446))</f>
        <v>0</v>
      </c>
      <c r="W1461">
        <f t="shared" si="383"/>
        <v>0</v>
      </c>
      <c r="X1461">
        <f t="shared" si="384"/>
        <v>0</v>
      </c>
      <c r="Y1461">
        <f t="shared" si="385"/>
        <v>0</v>
      </c>
      <c r="Z1461">
        <f t="shared" si="386"/>
        <v>0</v>
      </c>
      <c r="AA1461">
        <f t="shared" si="387"/>
        <v>0</v>
      </c>
      <c r="AB1461">
        <f>--AND($E1461=1,OR('Staff Weekly Trend'!$B$3="All",$DH1461='Staff Weekly Trend'!$B$3),OR('Staff Weekly Trend'!$B$4="All",$D1461='Staff Weekly Trend'!$B$4),OR('Staff Weekly Trend'!$B$5="All",$A1461='Staff Weekly Trend'!$B$5))</f>
        <v>0</v>
      </c>
      <c r="AC1461" t="str">
        <f t="shared" si="388"/>
        <v/>
      </c>
      <c r="AI1461">
        <f t="shared" si="389"/>
        <v>0</v>
      </c>
      <c r="AJ1461">
        <f t="shared" si="390"/>
        <v>0</v>
      </c>
      <c r="AK1461">
        <f t="shared" si="391"/>
        <v>0</v>
      </c>
      <c r="AL1461">
        <f t="shared" si="392"/>
        <v>0</v>
      </c>
      <c r="AM1461">
        <f t="shared" si="393"/>
        <v>0</v>
      </c>
      <c r="DH1461" t="str" cm="1">
        <f t="array" ref="DH1461">IF($A1461="","",_xlfn.LET(_xlpm.c,IFERROR(_xlfn.XLOOKUP($A1461,TRIM('Sales and count'!$A$4:$A$300&amp;""),TRIM('Sales and count'!$B$4:$B$300&amp;"")),""),IF(OR(_xlpm.c="",_xlpm.c="0",LEFT(_xlpm.c,1)="#"),"Not set",_xlpm.c)))</f>
        <v/>
      </c>
    </row>
    <row r="1462" spans="1:112" x14ac:dyDescent="0.25">
      <c r="A1462" t="str">
        <f>IF('Staff Daily sales'!$B1447="","",TRIM('Staff Daily sales'!$B1447&amp;""))</f>
        <v/>
      </c>
      <c r="B1462" t="str">
        <f>IF('Staff Daily sales'!$D1447="","",TRIM('Staff Daily sales'!$D1447&amp;""))</f>
        <v/>
      </c>
      <c r="C1462" t="str">
        <f>IFERROR(TRIM('Staff Daily sales'!$E1447&amp;""),"")</f>
        <v/>
      </c>
      <c r="D1462" t="str">
        <f>IFERROR(IF(TRIM('Staff Daily sales'!$F1447&amp;"")="","Unassigned",TRIM('Staff Daily sales'!$F1447&amp;"")),"Unassigned")</f>
        <v>Unassigned</v>
      </c>
      <c r="E1462">
        <f t="shared" si="378"/>
        <v>0</v>
      </c>
      <c r="F1462">
        <f>IF($E1462=0,0,SUMPRODUCT($AI$5:$DF$5,'Staff Daily sales'!$G1447:$CD1447))</f>
        <v>0</v>
      </c>
      <c r="G1462">
        <f>IF($E1462=0,0,SUMPRODUCT($AI$6:$DF$6,'Staff Daily sales'!$G1447:$CD1447))</f>
        <v>0</v>
      </c>
      <c r="H1462">
        <f t="shared" si="379"/>
        <v>0</v>
      </c>
      <c r="I1462">
        <f t="shared" si="380"/>
        <v>0</v>
      </c>
      <c r="J1462">
        <f t="shared" si="381"/>
        <v>0</v>
      </c>
      <c r="K1462">
        <f t="shared" si="382"/>
        <v>0</v>
      </c>
      <c r="L1462">
        <f>--AND($E1462=1,OR('Staff Dashboard'!$B$6="All",$DH1462='Staff Dashboard'!$B$6),OR('Staff Dashboard'!$B$7="All",$D1462='Staff Dashboard'!$B$7),OR('Staff Dashboard'!$B$8="All",$A1462='Staff Dashboard'!$B$8))</f>
        <v>0</v>
      </c>
      <c r="M1462">
        <f>IF($E1462=0,0,SUMPRODUCT($AI$7:$DF$7,'Staff Daily sales'!$G1447:$CD1447))</f>
        <v>0</v>
      </c>
      <c r="N1462">
        <f>IF($E1462=0,0,SUMPRODUCT($AI$8:$DF$8,'Staff Daily sales'!$G1447:$CD1447))</f>
        <v>0</v>
      </c>
      <c r="O1462">
        <f>IF($E1462=0,0,SUMPRODUCT($AI$9:$DF$9,'Staff Daily sales'!$G1447:$CD1447))</f>
        <v>0</v>
      </c>
      <c r="P1462">
        <f>IF($E1462=0,0,SUMPRODUCT($AI$10:$DF$10,'Staff Daily sales'!$G1447:$CD1447))</f>
        <v>0</v>
      </c>
      <c r="Q1462">
        <f>IF($E1462=0,0,SUMPRODUCT($AI$11:$DF$11,'Staff Daily sales'!$G1447:$CD1447))</f>
        <v>0</v>
      </c>
      <c r="R1462">
        <f>IF($E1462=0,0,SUMPRODUCT($AI$12:$DF$12,'Staff Daily sales'!$G1447:$CD1447))</f>
        <v>0</v>
      </c>
      <c r="S1462">
        <f>IF($E1462=0,0,SUMPRODUCT($AI$13:$DF$13,'Staff Daily sales'!$G1447:$CD1447))</f>
        <v>0</v>
      </c>
      <c r="T1462">
        <f>IF($E1462=0,0,SUMPRODUCT($AI$14:$DF$14,'Staff Daily sales'!$G1447:$CD1447))</f>
        <v>0</v>
      </c>
      <c r="U1462">
        <f>IF($E1462=0,0,SUMPRODUCT($AI$15:$DF$15,'Staff Daily sales'!$G1447:$CD1447))</f>
        <v>0</v>
      </c>
      <c r="V1462">
        <f>IF($E1462=0,0,SUMPRODUCT($AI$16:$DF$16,'Staff Daily sales'!$G1447:$CD1447))</f>
        <v>0</v>
      </c>
      <c r="W1462">
        <f t="shared" si="383"/>
        <v>0</v>
      </c>
      <c r="X1462">
        <f t="shared" si="384"/>
        <v>0</v>
      </c>
      <c r="Y1462">
        <f t="shared" si="385"/>
        <v>0</v>
      </c>
      <c r="Z1462">
        <f t="shared" si="386"/>
        <v>0</v>
      </c>
      <c r="AA1462">
        <f t="shared" si="387"/>
        <v>0</v>
      </c>
      <c r="AB1462">
        <f>--AND($E1462=1,OR('Staff Weekly Trend'!$B$3="All",$DH1462='Staff Weekly Trend'!$B$3),OR('Staff Weekly Trend'!$B$4="All",$D1462='Staff Weekly Trend'!$B$4),OR('Staff Weekly Trend'!$B$5="All",$A1462='Staff Weekly Trend'!$B$5))</f>
        <v>0</v>
      </c>
      <c r="AC1462" t="str">
        <f t="shared" si="388"/>
        <v/>
      </c>
      <c r="AI1462">
        <f t="shared" si="389"/>
        <v>0</v>
      </c>
      <c r="AJ1462">
        <f t="shared" si="390"/>
        <v>0</v>
      </c>
      <c r="AK1462">
        <f t="shared" si="391"/>
        <v>0</v>
      </c>
      <c r="AL1462">
        <f t="shared" si="392"/>
        <v>0</v>
      </c>
      <c r="AM1462">
        <f t="shared" si="393"/>
        <v>0</v>
      </c>
      <c r="DH1462" t="str" cm="1">
        <f t="array" ref="DH1462">IF($A1462="","",_xlfn.LET(_xlpm.c,IFERROR(_xlfn.XLOOKUP($A1462,TRIM('Sales and count'!$A$4:$A$300&amp;""),TRIM('Sales and count'!$B$4:$B$300&amp;"")),""),IF(OR(_xlpm.c="",_xlpm.c="0",LEFT(_xlpm.c,1)="#"),"Not set",_xlpm.c)))</f>
        <v/>
      </c>
    </row>
    <row r="1463" spans="1:112" x14ac:dyDescent="0.25">
      <c r="A1463" t="str">
        <f>IF('Staff Daily sales'!$B1448="","",TRIM('Staff Daily sales'!$B1448&amp;""))</f>
        <v/>
      </c>
      <c r="B1463" t="str">
        <f>IF('Staff Daily sales'!$D1448="","",TRIM('Staff Daily sales'!$D1448&amp;""))</f>
        <v/>
      </c>
      <c r="C1463" t="str">
        <f>IFERROR(TRIM('Staff Daily sales'!$E1448&amp;""),"")</f>
        <v/>
      </c>
      <c r="D1463" t="str">
        <f>IFERROR(IF(TRIM('Staff Daily sales'!$F1448&amp;"")="","Unassigned",TRIM('Staff Daily sales'!$F1448&amp;"")),"Unassigned")</f>
        <v>Unassigned</v>
      </c>
      <c r="E1463">
        <f t="shared" si="378"/>
        <v>0</v>
      </c>
      <c r="F1463">
        <f>IF($E1463=0,0,SUMPRODUCT($AI$5:$DF$5,'Staff Daily sales'!$G1448:$CD1448))</f>
        <v>0</v>
      </c>
      <c r="G1463">
        <f>IF($E1463=0,0,SUMPRODUCT($AI$6:$DF$6,'Staff Daily sales'!$G1448:$CD1448))</f>
        <v>0</v>
      </c>
      <c r="H1463">
        <f t="shared" si="379"/>
        <v>0</v>
      </c>
      <c r="I1463">
        <f t="shared" si="380"/>
        <v>0</v>
      </c>
      <c r="J1463">
        <f t="shared" si="381"/>
        <v>0</v>
      </c>
      <c r="K1463">
        <f t="shared" si="382"/>
        <v>0</v>
      </c>
      <c r="L1463">
        <f>--AND($E1463=1,OR('Staff Dashboard'!$B$6="All",$DH1463='Staff Dashboard'!$B$6),OR('Staff Dashboard'!$B$7="All",$D1463='Staff Dashboard'!$B$7),OR('Staff Dashboard'!$B$8="All",$A1463='Staff Dashboard'!$B$8))</f>
        <v>0</v>
      </c>
      <c r="M1463">
        <f>IF($E1463=0,0,SUMPRODUCT($AI$7:$DF$7,'Staff Daily sales'!$G1448:$CD1448))</f>
        <v>0</v>
      </c>
      <c r="N1463">
        <f>IF($E1463=0,0,SUMPRODUCT($AI$8:$DF$8,'Staff Daily sales'!$G1448:$CD1448))</f>
        <v>0</v>
      </c>
      <c r="O1463">
        <f>IF($E1463=0,0,SUMPRODUCT($AI$9:$DF$9,'Staff Daily sales'!$G1448:$CD1448))</f>
        <v>0</v>
      </c>
      <c r="P1463">
        <f>IF($E1463=0,0,SUMPRODUCT($AI$10:$DF$10,'Staff Daily sales'!$G1448:$CD1448))</f>
        <v>0</v>
      </c>
      <c r="Q1463">
        <f>IF($E1463=0,0,SUMPRODUCT($AI$11:$DF$11,'Staff Daily sales'!$G1448:$CD1448))</f>
        <v>0</v>
      </c>
      <c r="R1463">
        <f>IF($E1463=0,0,SUMPRODUCT($AI$12:$DF$12,'Staff Daily sales'!$G1448:$CD1448))</f>
        <v>0</v>
      </c>
      <c r="S1463">
        <f>IF($E1463=0,0,SUMPRODUCT($AI$13:$DF$13,'Staff Daily sales'!$G1448:$CD1448))</f>
        <v>0</v>
      </c>
      <c r="T1463">
        <f>IF($E1463=0,0,SUMPRODUCT($AI$14:$DF$14,'Staff Daily sales'!$G1448:$CD1448))</f>
        <v>0</v>
      </c>
      <c r="U1463">
        <f>IF($E1463=0,0,SUMPRODUCT($AI$15:$DF$15,'Staff Daily sales'!$G1448:$CD1448))</f>
        <v>0</v>
      </c>
      <c r="V1463">
        <f>IF($E1463=0,0,SUMPRODUCT($AI$16:$DF$16,'Staff Daily sales'!$G1448:$CD1448))</f>
        <v>0</v>
      </c>
      <c r="W1463">
        <f t="shared" si="383"/>
        <v>0</v>
      </c>
      <c r="X1463">
        <f t="shared" si="384"/>
        <v>0</v>
      </c>
      <c r="Y1463">
        <f t="shared" si="385"/>
        <v>0</v>
      </c>
      <c r="Z1463">
        <f t="shared" si="386"/>
        <v>0</v>
      </c>
      <c r="AA1463">
        <f t="shared" si="387"/>
        <v>0</v>
      </c>
      <c r="AB1463">
        <f>--AND($E1463=1,OR('Staff Weekly Trend'!$B$3="All",$DH1463='Staff Weekly Trend'!$B$3),OR('Staff Weekly Trend'!$B$4="All",$D1463='Staff Weekly Trend'!$B$4),OR('Staff Weekly Trend'!$B$5="All",$A1463='Staff Weekly Trend'!$B$5))</f>
        <v>0</v>
      </c>
      <c r="AC1463" t="str">
        <f t="shared" si="388"/>
        <v/>
      </c>
      <c r="AI1463">
        <f t="shared" si="389"/>
        <v>0</v>
      </c>
      <c r="AJ1463">
        <f t="shared" si="390"/>
        <v>0</v>
      </c>
      <c r="AK1463">
        <f t="shared" si="391"/>
        <v>0</v>
      </c>
      <c r="AL1463">
        <f t="shared" si="392"/>
        <v>0</v>
      </c>
      <c r="AM1463">
        <f t="shared" si="393"/>
        <v>0</v>
      </c>
      <c r="DH1463" t="str" cm="1">
        <f t="array" ref="DH1463">IF($A1463="","",_xlfn.LET(_xlpm.c,IFERROR(_xlfn.XLOOKUP($A1463,TRIM('Sales and count'!$A$4:$A$300&amp;""),TRIM('Sales and count'!$B$4:$B$300&amp;"")),""),IF(OR(_xlpm.c="",_xlpm.c="0",LEFT(_xlpm.c,1)="#"),"Not set",_xlpm.c)))</f>
        <v/>
      </c>
    </row>
    <row r="1464" spans="1:112" x14ac:dyDescent="0.25">
      <c r="A1464" t="str">
        <f>IF('Staff Daily sales'!$B1449="","",TRIM('Staff Daily sales'!$B1449&amp;""))</f>
        <v/>
      </c>
      <c r="B1464" t="str">
        <f>IF('Staff Daily sales'!$D1449="","",TRIM('Staff Daily sales'!$D1449&amp;""))</f>
        <v/>
      </c>
      <c r="C1464" t="str">
        <f>IFERROR(TRIM('Staff Daily sales'!$E1449&amp;""),"")</f>
        <v/>
      </c>
      <c r="D1464" t="str">
        <f>IFERROR(IF(TRIM('Staff Daily sales'!$F1449&amp;"")="","Unassigned",TRIM('Staff Daily sales'!$F1449&amp;"")),"Unassigned")</f>
        <v>Unassigned</v>
      </c>
      <c r="E1464">
        <f t="shared" si="378"/>
        <v>0</v>
      </c>
      <c r="F1464">
        <f>IF($E1464=0,0,SUMPRODUCT($AI$5:$DF$5,'Staff Daily sales'!$G1449:$CD1449))</f>
        <v>0</v>
      </c>
      <c r="G1464">
        <f>IF($E1464=0,0,SUMPRODUCT($AI$6:$DF$6,'Staff Daily sales'!$G1449:$CD1449))</f>
        <v>0</v>
      </c>
      <c r="H1464">
        <f t="shared" si="379"/>
        <v>0</v>
      </c>
      <c r="I1464">
        <f t="shared" si="380"/>
        <v>0</v>
      </c>
      <c r="J1464">
        <f t="shared" si="381"/>
        <v>0</v>
      </c>
      <c r="K1464">
        <f t="shared" si="382"/>
        <v>0</v>
      </c>
      <c r="L1464">
        <f>--AND($E1464=1,OR('Staff Dashboard'!$B$6="All",$DH1464='Staff Dashboard'!$B$6),OR('Staff Dashboard'!$B$7="All",$D1464='Staff Dashboard'!$B$7),OR('Staff Dashboard'!$B$8="All",$A1464='Staff Dashboard'!$B$8))</f>
        <v>0</v>
      </c>
      <c r="M1464">
        <f>IF($E1464=0,0,SUMPRODUCT($AI$7:$DF$7,'Staff Daily sales'!$G1449:$CD1449))</f>
        <v>0</v>
      </c>
      <c r="N1464">
        <f>IF($E1464=0,0,SUMPRODUCT($AI$8:$DF$8,'Staff Daily sales'!$G1449:$CD1449))</f>
        <v>0</v>
      </c>
      <c r="O1464">
        <f>IF($E1464=0,0,SUMPRODUCT($AI$9:$DF$9,'Staff Daily sales'!$G1449:$CD1449))</f>
        <v>0</v>
      </c>
      <c r="P1464">
        <f>IF($E1464=0,0,SUMPRODUCT($AI$10:$DF$10,'Staff Daily sales'!$G1449:$CD1449))</f>
        <v>0</v>
      </c>
      <c r="Q1464">
        <f>IF($E1464=0,0,SUMPRODUCT($AI$11:$DF$11,'Staff Daily sales'!$G1449:$CD1449))</f>
        <v>0</v>
      </c>
      <c r="R1464">
        <f>IF($E1464=0,0,SUMPRODUCT($AI$12:$DF$12,'Staff Daily sales'!$G1449:$CD1449))</f>
        <v>0</v>
      </c>
      <c r="S1464">
        <f>IF($E1464=0,0,SUMPRODUCT($AI$13:$DF$13,'Staff Daily sales'!$G1449:$CD1449))</f>
        <v>0</v>
      </c>
      <c r="T1464">
        <f>IF($E1464=0,0,SUMPRODUCT($AI$14:$DF$14,'Staff Daily sales'!$G1449:$CD1449))</f>
        <v>0</v>
      </c>
      <c r="U1464">
        <f>IF($E1464=0,0,SUMPRODUCT($AI$15:$DF$15,'Staff Daily sales'!$G1449:$CD1449))</f>
        <v>0</v>
      </c>
      <c r="V1464">
        <f>IF($E1464=0,0,SUMPRODUCT($AI$16:$DF$16,'Staff Daily sales'!$G1449:$CD1449))</f>
        <v>0</v>
      </c>
      <c r="W1464">
        <f t="shared" si="383"/>
        <v>0</v>
      </c>
      <c r="X1464">
        <f t="shared" si="384"/>
        <v>0</v>
      </c>
      <c r="Y1464">
        <f t="shared" si="385"/>
        <v>0</v>
      </c>
      <c r="Z1464">
        <f t="shared" si="386"/>
        <v>0</v>
      </c>
      <c r="AA1464">
        <f t="shared" si="387"/>
        <v>0</v>
      </c>
      <c r="AB1464">
        <f>--AND($E1464=1,OR('Staff Weekly Trend'!$B$3="All",$DH1464='Staff Weekly Trend'!$B$3),OR('Staff Weekly Trend'!$B$4="All",$D1464='Staff Weekly Trend'!$B$4),OR('Staff Weekly Trend'!$B$5="All",$A1464='Staff Weekly Trend'!$B$5))</f>
        <v>0</v>
      </c>
      <c r="AC1464" t="str">
        <f t="shared" si="388"/>
        <v/>
      </c>
      <c r="AI1464">
        <f t="shared" si="389"/>
        <v>0</v>
      </c>
      <c r="AJ1464">
        <f t="shared" si="390"/>
        <v>0</v>
      </c>
      <c r="AK1464">
        <f t="shared" si="391"/>
        <v>0</v>
      </c>
      <c r="AL1464">
        <f t="shared" si="392"/>
        <v>0</v>
      </c>
      <c r="AM1464">
        <f t="shared" si="393"/>
        <v>0</v>
      </c>
      <c r="DH1464" t="str" cm="1">
        <f t="array" ref="DH1464">IF($A1464="","",_xlfn.LET(_xlpm.c,IFERROR(_xlfn.XLOOKUP($A1464,TRIM('Sales and count'!$A$4:$A$300&amp;""),TRIM('Sales and count'!$B$4:$B$300&amp;"")),""),IF(OR(_xlpm.c="",_xlpm.c="0",LEFT(_xlpm.c,1)="#"),"Not set",_xlpm.c)))</f>
        <v/>
      </c>
    </row>
    <row r="1465" spans="1:112" x14ac:dyDescent="0.25">
      <c r="A1465" t="str">
        <f>IF('Staff Daily sales'!$B1450="","",TRIM('Staff Daily sales'!$B1450&amp;""))</f>
        <v/>
      </c>
      <c r="B1465" t="str">
        <f>IF('Staff Daily sales'!$D1450="","",TRIM('Staff Daily sales'!$D1450&amp;""))</f>
        <v/>
      </c>
      <c r="C1465" t="str">
        <f>IFERROR(TRIM('Staff Daily sales'!$E1450&amp;""),"")</f>
        <v/>
      </c>
      <c r="D1465" t="str">
        <f>IFERROR(IF(TRIM('Staff Daily sales'!$F1450&amp;"")="","Unassigned",TRIM('Staff Daily sales'!$F1450&amp;"")),"Unassigned")</f>
        <v>Unassigned</v>
      </c>
      <c r="E1465">
        <f t="shared" si="378"/>
        <v>0</v>
      </c>
      <c r="F1465">
        <f>IF($E1465=0,0,SUMPRODUCT($AI$5:$DF$5,'Staff Daily sales'!$G1450:$CD1450))</f>
        <v>0</v>
      </c>
      <c r="G1465">
        <f>IF($E1465=0,0,SUMPRODUCT($AI$6:$DF$6,'Staff Daily sales'!$G1450:$CD1450))</f>
        <v>0</v>
      </c>
      <c r="H1465">
        <f t="shared" si="379"/>
        <v>0</v>
      </c>
      <c r="I1465">
        <f t="shared" si="380"/>
        <v>0</v>
      </c>
      <c r="J1465">
        <f t="shared" si="381"/>
        <v>0</v>
      </c>
      <c r="K1465">
        <f t="shared" si="382"/>
        <v>0</v>
      </c>
      <c r="L1465">
        <f>--AND($E1465=1,OR('Staff Dashboard'!$B$6="All",$DH1465='Staff Dashboard'!$B$6),OR('Staff Dashboard'!$B$7="All",$D1465='Staff Dashboard'!$B$7),OR('Staff Dashboard'!$B$8="All",$A1465='Staff Dashboard'!$B$8))</f>
        <v>0</v>
      </c>
      <c r="M1465">
        <f>IF($E1465=0,0,SUMPRODUCT($AI$7:$DF$7,'Staff Daily sales'!$G1450:$CD1450))</f>
        <v>0</v>
      </c>
      <c r="N1465">
        <f>IF($E1465=0,0,SUMPRODUCT($AI$8:$DF$8,'Staff Daily sales'!$G1450:$CD1450))</f>
        <v>0</v>
      </c>
      <c r="O1465">
        <f>IF($E1465=0,0,SUMPRODUCT($AI$9:$DF$9,'Staff Daily sales'!$G1450:$CD1450))</f>
        <v>0</v>
      </c>
      <c r="P1465">
        <f>IF($E1465=0,0,SUMPRODUCT($AI$10:$DF$10,'Staff Daily sales'!$G1450:$CD1450))</f>
        <v>0</v>
      </c>
      <c r="Q1465">
        <f>IF($E1465=0,0,SUMPRODUCT($AI$11:$DF$11,'Staff Daily sales'!$G1450:$CD1450))</f>
        <v>0</v>
      </c>
      <c r="R1465">
        <f>IF($E1465=0,0,SUMPRODUCT($AI$12:$DF$12,'Staff Daily sales'!$G1450:$CD1450))</f>
        <v>0</v>
      </c>
      <c r="S1465">
        <f>IF($E1465=0,0,SUMPRODUCT($AI$13:$DF$13,'Staff Daily sales'!$G1450:$CD1450))</f>
        <v>0</v>
      </c>
      <c r="T1465">
        <f>IF($E1465=0,0,SUMPRODUCT($AI$14:$DF$14,'Staff Daily sales'!$G1450:$CD1450))</f>
        <v>0</v>
      </c>
      <c r="U1465">
        <f>IF($E1465=0,0,SUMPRODUCT($AI$15:$DF$15,'Staff Daily sales'!$G1450:$CD1450))</f>
        <v>0</v>
      </c>
      <c r="V1465">
        <f>IF($E1465=0,0,SUMPRODUCT($AI$16:$DF$16,'Staff Daily sales'!$G1450:$CD1450))</f>
        <v>0</v>
      </c>
      <c r="W1465">
        <f t="shared" si="383"/>
        <v>0</v>
      </c>
      <c r="X1465">
        <f t="shared" si="384"/>
        <v>0</v>
      </c>
      <c r="Y1465">
        <f t="shared" si="385"/>
        <v>0</v>
      </c>
      <c r="Z1465">
        <f t="shared" si="386"/>
        <v>0</v>
      </c>
      <c r="AA1465">
        <f t="shared" si="387"/>
        <v>0</v>
      </c>
      <c r="AB1465">
        <f>--AND($E1465=1,OR('Staff Weekly Trend'!$B$3="All",$DH1465='Staff Weekly Trend'!$B$3),OR('Staff Weekly Trend'!$B$4="All",$D1465='Staff Weekly Trend'!$B$4),OR('Staff Weekly Trend'!$B$5="All",$A1465='Staff Weekly Trend'!$B$5))</f>
        <v>0</v>
      </c>
      <c r="AC1465" t="str">
        <f t="shared" si="388"/>
        <v/>
      </c>
      <c r="AI1465">
        <f t="shared" si="389"/>
        <v>0</v>
      </c>
      <c r="AJ1465">
        <f t="shared" si="390"/>
        <v>0</v>
      </c>
      <c r="AK1465">
        <f t="shared" si="391"/>
        <v>0</v>
      </c>
      <c r="AL1465">
        <f t="shared" si="392"/>
        <v>0</v>
      </c>
      <c r="AM1465">
        <f t="shared" si="393"/>
        <v>0</v>
      </c>
      <c r="DH1465" t="str" cm="1">
        <f t="array" ref="DH1465">IF($A1465="","",_xlfn.LET(_xlpm.c,IFERROR(_xlfn.XLOOKUP($A1465,TRIM('Sales and count'!$A$4:$A$300&amp;""),TRIM('Sales and count'!$B$4:$B$300&amp;"")),""),IF(OR(_xlpm.c="",_xlpm.c="0",LEFT(_xlpm.c,1)="#"),"Not set",_xlpm.c)))</f>
        <v/>
      </c>
    </row>
    <row r="1466" spans="1:112" x14ac:dyDescent="0.25">
      <c r="A1466" t="str">
        <f>IF('Staff Daily sales'!$B1451="","",TRIM('Staff Daily sales'!$B1451&amp;""))</f>
        <v/>
      </c>
      <c r="B1466" t="str">
        <f>IF('Staff Daily sales'!$D1451="","",TRIM('Staff Daily sales'!$D1451&amp;""))</f>
        <v/>
      </c>
      <c r="C1466" t="str">
        <f>IFERROR(TRIM('Staff Daily sales'!$E1451&amp;""),"")</f>
        <v/>
      </c>
      <c r="D1466" t="str">
        <f>IFERROR(IF(TRIM('Staff Daily sales'!$F1451&amp;"")="","Unassigned",TRIM('Staff Daily sales'!$F1451&amp;"")),"Unassigned")</f>
        <v>Unassigned</v>
      </c>
      <c r="E1466">
        <f t="shared" si="378"/>
        <v>0</v>
      </c>
      <c r="F1466">
        <f>IF($E1466=0,0,SUMPRODUCT($AI$5:$DF$5,'Staff Daily sales'!$G1451:$CD1451))</f>
        <v>0</v>
      </c>
      <c r="G1466">
        <f>IF($E1466=0,0,SUMPRODUCT($AI$6:$DF$6,'Staff Daily sales'!$G1451:$CD1451))</f>
        <v>0</v>
      </c>
      <c r="H1466">
        <f t="shared" si="379"/>
        <v>0</v>
      </c>
      <c r="I1466">
        <f t="shared" si="380"/>
        <v>0</v>
      </c>
      <c r="J1466">
        <f t="shared" si="381"/>
        <v>0</v>
      </c>
      <c r="K1466">
        <f t="shared" si="382"/>
        <v>0</v>
      </c>
      <c r="L1466">
        <f>--AND($E1466=1,OR('Staff Dashboard'!$B$6="All",$DH1466='Staff Dashboard'!$B$6),OR('Staff Dashboard'!$B$7="All",$D1466='Staff Dashboard'!$B$7),OR('Staff Dashboard'!$B$8="All",$A1466='Staff Dashboard'!$B$8))</f>
        <v>0</v>
      </c>
      <c r="M1466">
        <f>IF($E1466=0,0,SUMPRODUCT($AI$7:$DF$7,'Staff Daily sales'!$G1451:$CD1451))</f>
        <v>0</v>
      </c>
      <c r="N1466">
        <f>IF($E1466=0,0,SUMPRODUCT($AI$8:$DF$8,'Staff Daily sales'!$G1451:$CD1451))</f>
        <v>0</v>
      </c>
      <c r="O1466">
        <f>IF($E1466=0,0,SUMPRODUCT($AI$9:$DF$9,'Staff Daily sales'!$G1451:$CD1451))</f>
        <v>0</v>
      </c>
      <c r="P1466">
        <f>IF($E1466=0,0,SUMPRODUCT($AI$10:$DF$10,'Staff Daily sales'!$G1451:$CD1451))</f>
        <v>0</v>
      </c>
      <c r="Q1466">
        <f>IF($E1466=0,0,SUMPRODUCT($AI$11:$DF$11,'Staff Daily sales'!$G1451:$CD1451))</f>
        <v>0</v>
      </c>
      <c r="R1466">
        <f>IF($E1466=0,0,SUMPRODUCT($AI$12:$DF$12,'Staff Daily sales'!$G1451:$CD1451))</f>
        <v>0</v>
      </c>
      <c r="S1466">
        <f>IF($E1466=0,0,SUMPRODUCT($AI$13:$DF$13,'Staff Daily sales'!$G1451:$CD1451))</f>
        <v>0</v>
      </c>
      <c r="T1466">
        <f>IF($E1466=0,0,SUMPRODUCT($AI$14:$DF$14,'Staff Daily sales'!$G1451:$CD1451))</f>
        <v>0</v>
      </c>
      <c r="U1466">
        <f>IF($E1466=0,0,SUMPRODUCT($AI$15:$DF$15,'Staff Daily sales'!$G1451:$CD1451))</f>
        <v>0</v>
      </c>
      <c r="V1466">
        <f>IF($E1466=0,0,SUMPRODUCT($AI$16:$DF$16,'Staff Daily sales'!$G1451:$CD1451))</f>
        <v>0</v>
      </c>
      <c r="W1466">
        <f t="shared" si="383"/>
        <v>0</v>
      </c>
      <c r="X1466">
        <f t="shared" si="384"/>
        <v>0</v>
      </c>
      <c r="Y1466">
        <f t="shared" si="385"/>
        <v>0</v>
      </c>
      <c r="Z1466">
        <f t="shared" si="386"/>
        <v>0</v>
      </c>
      <c r="AA1466">
        <f t="shared" si="387"/>
        <v>0</v>
      </c>
      <c r="AB1466">
        <f>--AND($E1466=1,OR('Staff Weekly Trend'!$B$3="All",$DH1466='Staff Weekly Trend'!$B$3),OR('Staff Weekly Trend'!$B$4="All",$D1466='Staff Weekly Trend'!$B$4),OR('Staff Weekly Trend'!$B$5="All",$A1466='Staff Weekly Trend'!$B$5))</f>
        <v>0</v>
      </c>
      <c r="AC1466" t="str">
        <f t="shared" si="388"/>
        <v/>
      </c>
      <c r="AI1466">
        <f t="shared" si="389"/>
        <v>0</v>
      </c>
      <c r="AJ1466">
        <f t="shared" si="390"/>
        <v>0</v>
      </c>
      <c r="AK1466">
        <f t="shared" si="391"/>
        <v>0</v>
      </c>
      <c r="AL1466">
        <f t="shared" si="392"/>
        <v>0</v>
      </c>
      <c r="AM1466">
        <f t="shared" si="393"/>
        <v>0</v>
      </c>
      <c r="DH1466" t="str" cm="1">
        <f t="array" ref="DH1466">IF($A1466="","",_xlfn.LET(_xlpm.c,IFERROR(_xlfn.XLOOKUP($A1466,TRIM('Sales and count'!$A$4:$A$300&amp;""),TRIM('Sales and count'!$B$4:$B$300&amp;"")),""),IF(OR(_xlpm.c="",_xlpm.c="0",LEFT(_xlpm.c,1)="#"),"Not set",_xlpm.c)))</f>
        <v/>
      </c>
    </row>
    <row r="1467" spans="1:112" x14ac:dyDescent="0.25">
      <c r="A1467" t="str">
        <f>IF('Staff Daily sales'!$B1452="","",TRIM('Staff Daily sales'!$B1452&amp;""))</f>
        <v/>
      </c>
      <c r="B1467" t="str">
        <f>IF('Staff Daily sales'!$D1452="","",TRIM('Staff Daily sales'!$D1452&amp;""))</f>
        <v/>
      </c>
      <c r="C1467" t="str">
        <f>IFERROR(TRIM('Staff Daily sales'!$E1452&amp;""),"")</f>
        <v/>
      </c>
      <c r="D1467" t="str">
        <f>IFERROR(IF(TRIM('Staff Daily sales'!$F1452&amp;"")="","Unassigned",TRIM('Staff Daily sales'!$F1452&amp;"")),"Unassigned")</f>
        <v>Unassigned</v>
      </c>
      <c r="E1467">
        <f t="shared" si="378"/>
        <v>0</v>
      </c>
      <c r="F1467">
        <f>IF($E1467=0,0,SUMPRODUCT($AI$5:$DF$5,'Staff Daily sales'!$G1452:$CD1452))</f>
        <v>0</v>
      </c>
      <c r="G1467">
        <f>IF($E1467=0,0,SUMPRODUCT($AI$6:$DF$6,'Staff Daily sales'!$G1452:$CD1452))</f>
        <v>0</v>
      </c>
      <c r="H1467">
        <f t="shared" si="379"/>
        <v>0</v>
      </c>
      <c r="I1467">
        <f t="shared" si="380"/>
        <v>0</v>
      </c>
      <c r="J1467">
        <f t="shared" si="381"/>
        <v>0</v>
      </c>
      <c r="K1467">
        <f t="shared" si="382"/>
        <v>0</v>
      </c>
      <c r="L1467">
        <f>--AND($E1467=1,OR('Staff Dashboard'!$B$6="All",$DH1467='Staff Dashboard'!$B$6),OR('Staff Dashboard'!$B$7="All",$D1467='Staff Dashboard'!$B$7),OR('Staff Dashboard'!$B$8="All",$A1467='Staff Dashboard'!$B$8))</f>
        <v>0</v>
      </c>
      <c r="M1467">
        <f>IF($E1467=0,0,SUMPRODUCT($AI$7:$DF$7,'Staff Daily sales'!$G1452:$CD1452))</f>
        <v>0</v>
      </c>
      <c r="N1467">
        <f>IF($E1467=0,0,SUMPRODUCT($AI$8:$DF$8,'Staff Daily sales'!$G1452:$CD1452))</f>
        <v>0</v>
      </c>
      <c r="O1467">
        <f>IF($E1467=0,0,SUMPRODUCT($AI$9:$DF$9,'Staff Daily sales'!$G1452:$CD1452))</f>
        <v>0</v>
      </c>
      <c r="P1467">
        <f>IF($E1467=0,0,SUMPRODUCT($AI$10:$DF$10,'Staff Daily sales'!$G1452:$CD1452))</f>
        <v>0</v>
      </c>
      <c r="Q1467">
        <f>IF($E1467=0,0,SUMPRODUCT($AI$11:$DF$11,'Staff Daily sales'!$G1452:$CD1452))</f>
        <v>0</v>
      </c>
      <c r="R1467">
        <f>IF($E1467=0,0,SUMPRODUCT($AI$12:$DF$12,'Staff Daily sales'!$G1452:$CD1452))</f>
        <v>0</v>
      </c>
      <c r="S1467">
        <f>IF($E1467=0,0,SUMPRODUCT($AI$13:$DF$13,'Staff Daily sales'!$G1452:$CD1452))</f>
        <v>0</v>
      </c>
      <c r="T1467">
        <f>IF($E1467=0,0,SUMPRODUCT($AI$14:$DF$14,'Staff Daily sales'!$G1452:$CD1452))</f>
        <v>0</v>
      </c>
      <c r="U1467">
        <f>IF($E1467=0,0,SUMPRODUCT($AI$15:$DF$15,'Staff Daily sales'!$G1452:$CD1452))</f>
        <v>0</v>
      </c>
      <c r="V1467">
        <f>IF($E1467=0,0,SUMPRODUCT($AI$16:$DF$16,'Staff Daily sales'!$G1452:$CD1452))</f>
        <v>0</v>
      </c>
      <c r="W1467">
        <f t="shared" si="383"/>
        <v>0</v>
      </c>
      <c r="X1467">
        <f t="shared" si="384"/>
        <v>0</v>
      </c>
      <c r="Y1467">
        <f t="shared" si="385"/>
        <v>0</v>
      </c>
      <c r="Z1467">
        <f t="shared" si="386"/>
        <v>0</v>
      </c>
      <c r="AA1467">
        <f t="shared" si="387"/>
        <v>0</v>
      </c>
      <c r="AB1467">
        <f>--AND($E1467=1,OR('Staff Weekly Trend'!$B$3="All",$DH1467='Staff Weekly Trend'!$B$3),OR('Staff Weekly Trend'!$B$4="All",$D1467='Staff Weekly Trend'!$B$4),OR('Staff Weekly Trend'!$B$5="All",$A1467='Staff Weekly Trend'!$B$5))</f>
        <v>0</v>
      </c>
      <c r="AC1467" t="str">
        <f t="shared" si="388"/>
        <v/>
      </c>
      <c r="AI1467">
        <f t="shared" si="389"/>
        <v>0</v>
      </c>
      <c r="AJ1467">
        <f t="shared" si="390"/>
        <v>0</v>
      </c>
      <c r="AK1467">
        <f t="shared" si="391"/>
        <v>0</v>
      </c>
      <c r="AL1467">
        <f t="shared" si="392"/>
        <v>0</v>
      </c>
      <c r="AM1467">
        <f t="shared" si="393"/>
        <v>0</v>
      </c>
      <c r="DH1467" t="str" cm="1">
        <f t="array" ref="DH1467">IF($A1467="","",_xlfn.LET(_xlpm.c,IFERROR(_xlfn.XLOOKUP($A1467,TRIM('Sales and count'!$A$4:$A$300&amp;""),TRIM('Sales and count'!$B$4:$B$300&amp;"")),""),IF(OR(_xlpm.c="",_xlpm.c="0",LEFT(_xlpm.c,1)="#"),"Not set",_xlpm.c)))</f>
        <v/>
      </c>
    </row>
    <row r="1468" spans="1:112" x14ac:dyDescent="0.25">
      <c r="A1468" t="str">
        <f>IF('Staff Daily sales'!$B1453="","",TRIM('Staff Daily sales'!$B1453&amp;""))</f>
        <v/>
      </c>
      <c r="B1468" t="str">
        <f>IF('Staff Daily sales'!$D1453="","",TRIM('Staff Daily sales'!$D1453&amp;""))</f>
        <v/>
      </c>
      <c r="C1468" t="str">
        <f>IFERROR(TRIM('Staff Daily sales'!$E1453&amp;""),"")</f>
        <v/>
      </c>
      <c r="D1468" t="str">
        <f>IFERROR(IF(TRIM('Staff Daily sales'!$F1453&amp;"")="","Unassigned",TRIM('Staff Daily sales'!$F1453&amp;"")),"Unassigned")</f>
        <v>Unassigned</v>
      </c>
      <c r="E1468">
        <f t="shared" si="378"/>
        <v>0</v>
      </c>
      <c r="F1468">
        <f>IF($E1468=0,0,SUMPRODUCT($AI$5:$DF$5,'Staff Daily sales'!$G1453:$CD1453))</f>
        <v>0</v>
      </c>
      <c r="G1468">
        <f>IF($E1468=0,0,SUMPRODUCT($AI$6:$DF$6,'Staff Daily sales'!$G1453:$CD1453))</f>
        <v>0</v>
      </c>
      <c r="H1468">
        <f t="shared" si="379"/>
        <v>0</v>
      </c>
      <c r="I1468">
        <f t="shared" si="380"/>
        <v>0</v>
      </c>
      <c r="J1468">
        <f t="shared" si="381"/>
        <v>0</v>
      </c>
      <c r="K1468">
        <f t="shared" si="382"/>
        <v>0</v>
      </c>
      <c r="L1468">
        <f>--AND($E1468=1,OR('Staff Dashboard'!$B$6="All",$DH1468='Staff Dashboard'!$B$6),OR('Staff Dashboard'!$B$7="All",$D1468='Staff Dashboard'!$B$7),OR('Staff Dashboard'!$B$8="All",$A1468='Staff Dashboard'!$B$8))</f>
        <v>0</v>
      </c>
      <c r="M1468">
        <f>IF($E1468=0,0,SUMPRODUCT($AI$7:$DF$7,'Staff Daily sales'!$G1453:$CD1453))</f>
        <v>0</v>
      </c>
      <c r="N1468">
        <f>IF($E1468=0,0,SUMPRODUCT($AI$8:$DF$8,'Staff Daily sales'!$G1453:$CD1453))</f>
        <v>0</v>
      </c>
      <c r="O1468">
        <f>IF($E1468=0,0,SUMPRODUCT($AI$9:$DF$9,'Staff Daily sales'!$G1453:$CD1453))</f>
        <v>0</v>
      </c>
      <c r="P1468">
        <f>IF($E1468=0,0,SUMPRODUCT($AI$10:$DF$10,'Staff Daily sales'!$G1453:$CD1453))</f>
        <v>0</v>
      </c>
      <c r="Q1468">
        <f>IF($E1468=0,0,SUMPRODUCT($AI$11:$DF$11,'Staff Daily sales'!$G1453:$CD1453))</f>
        <v>0</v>
      </c>
      <c r="R1468">
        <f>IF($E1468=0,0,SUMPRODUCT($AI$12:$DF$12,'Staff Daily sales'!$G1453:$CD1453))</f>
        <v>0</v>
      </c>
      <c r="S1468">
        <f>IF($E1468=0,0,SUMPRODUCT($AI$13:$DF$13,'Staff Daily sales'!$G1453:$CD1453))</f>
        <v>0</v>
      </c>
      <c r="T1468">
        <f>IF($E1468=0,0,SUMPRODUCT($AI$14:$DF$14,'Staff Daily sales'!$G1453:$CD1453))</f>
        <v>0</v>
      </c>
      <c r="U1468">
        <f>IF($E1468=0,0,SUMPRODUCT($AI$15:$DF$15,'Staff Daily sales'!$G1453:$CD1453))</f>
        <v>0</v>
      </c>
      <c r="V1468">
        <f>IF($E1468=0,0,SUMPRODUCT($AI$16:$DF$16,'Staff Daily sales'!$G1453:$CD1453))</f>
        <v>0</v>
      </c>
      <c r="W1468">
        <f t="shared" si="383"/>
        <v>0</v>
      </c>
      <c r="X1468">
        <f t="shared" si="384"/>
        <v>0</v>
      </c>
      <c r="Y1468">
        <f t="shared" si="385"/>
        <v>0</v>
      </c>
      <c r="Z1468">
        <f t="shared" si="386"/>
        <v>0</v>
      </c>
      <c r="AA1468">
        <f t="shared" si="387"/>
        <v>0</v>
      </c>
      <c r="AB1468">
        <f>--AND($E1468=1,OR('Staff Weekly Trend'!$B$3="All",$DH1468='Staff Weekly Trend'!$B$3),OR('Staff Weekly Trend'!$B$4="All",$D1468='Staff Weekly Trend'!$B$4),OR('Staff Weekly Trend'!$B$5="All",$A1468='Staff Weekly Trend'!$B$5))</f>
        <v>0</v>
      </c>
      <c r="AC1468" t="str">
        <f t="shared" si="388"/>
        <v/>
      </c>
      <c r="AI1468">
        <f t="shared" si="389"/>
        <v>0</v>
      </c>
      <c r="AJ1468">
        <f t="shared" si="390"/>
        <v>0</v>
      </c>
      <c r="AK1468">
        <f t="shared" si="391"/>
        <v>0</v>
      </c>
      <c r="AL1468">
        <f t="shared" si="392"/>
        <v>0</v>
      </c>
      <c r="AM1468">
        <f t="shared" si="393"/>
        <v>0</v>
      </c>
      <c r="DH1468" t="str" cm="1">
        <f t="array" ref="DH1468">IF($A1468="","",_xlfn.LET(_xlpm.c,IFERROR(_xlfn.XLOOKUP($A1468,TRIM('Sales and count'!$A$4:$A$300&amp;""),TRIM('Sales and count'!$B$4:$B$300&amp;"")),""),IF(OR(_xlpm.c="",_xlpm.c="0",LEFT(_xlpm.c,1)="#"),"Not set",_xlpm.c)))</f>
        <v/>
      </c>
    </row>
    <row r="1469" spans="1:112" x14ac:dyDescent="0.25">
      <c r="A1469" t="str">
        <f>IF('Staff Daily sales'!$B1454="","",TRIM('Staff Daily sales'!$B1454&amp;""))</f>
        <v/>
      </c>
      <c r="B1469" t="str">
        <f>IF('Staff Daily sales'!$D1454="","",TRIM('Staff Daily sales'!$D1454&amp;""))</f>
        <v/>
      </c>
      <c r="C1469" t="str">
        <f>IFERROR(TRIM('Staff Daily sales'!$E1454&amp;""),"")</f>
        <v/>
      </c>
      <c r="D1469" t="str">
        <f>IFERROR(IF(TRIM('Staff Daily sales'!$F1454&amp;"")="","Unassigned",TRIM('Staff Daily sales'!$F1454&amp;"")),"Unassigned")</f>
        <v>Unassigned</v>
      </c>
      <c r="E1469">
        <f t="shared" si="378"/>
        <v>0</v>
      </c>
      <c r="F1469">
        <f>IF($E1469=0,0,SUMPRODUCT($AI$5:$DF$5,'Staff Daily sales'!$G1454:$CD1454))</f>
        <v>0</v>
      </c>
      <c r="G1469">
        <f>IF($E1469=0,0,SUMPRODUCT($AI$6:$DF$6,'Staff Daily sales'!$G1454:$CD1454))</f>
        <v>0</v>
      </c>
      <c r="H1469">
        <f t="shared" si="379"/>
        <v>0</v>
      </c>
      <c r="I1469">
        <f t="shared" si="380"/>
        <v>0</v>
      </c>
      <c r="J1469">
        <f t="shared" si="381"/>
        <v>0</v>
      </c>
      <c r="K1469">
        <f t="shared" si="382"/>
        <v>0</v>
      </c>
      <c r="L1469">
        <f>--AND($E1469=1,OR('Staff Dashboard'!$B$6="All",$DH1469='Staff Dashboard'!$B$6),OR('Staff Dashboard'!$B$7="All",$D1469='Staff Dashboard'!$B$7),OR('Staff Dashboard'!$B$8="All",$A1469='Staff Dashboard'!$B$8))</f>
        <v>0</v>
      </c>
      <c r="M1469">
        <f>IF($E1469=0,0,SUMPRODUCT($AI$7:$DF$7,'Staff Daily sales'!$G1454:$CD1454))</f>
        <v>0</v>
      </c>
      <c r="N1469">
        <f>IF($E1469=0,0,SUMPRODUCT($AI$8:$DF$8,'Staff Daily sales'!$G1454:$CD1454))</f>
        <v>0</v>
      </c>
      <c r="O1469">
        <f>IF($E1469=0,0,SUMPRODUCT($AI$9:$DF$9,'Staff Daily sales'!$G1454:$CD1454))</f>
        <v>0</v>
      </c>
      <c r="P1469">
        <f>IF($E1469=0,0,SUMPRODUCT($AI$10:$DF$10,'Staff Daily sales'!$G1454:$CD1454))</f>
        <v>0</v>
      </c>
      <c r="Q1469">
        <f>IF($E1469=0,0,SUMPRODUCT($AI$11:$DF$11,'Staff Daily sales'!$G1454:$CD1454))</f>
        <v>0</v>
      </c>
      <c r="R1469">
        <f>IF($E1469=0,0,SUMPRODUCT($AI$12:$DF$12,'Staff Daily sales'!$G1454:$CD1454))</f>
        <v>0</v>
      </c>
      <c r="S1469">
        <f>IF($E1469=0,0,SUMPRODUCT($AI$13:$DF$13,'Staff Daily sales'!$G1454:$CD1454))</f>
        <v>0</v>
      </c>
      <c r="T1469">
        <f>IF($E1469=0,0,SUMPRODUCT($AI$14:$DF$14,'Staff Daily sales'!$G1454:$CD1454))</f>
        <v>0</v>
      </c>
      <c r="U1469">
        <f>IF($E1469=0,0,SUMPRODUCT($AI$15:$DF$15,'Staff Daily sales'!$G1454:$CD1454))</f>
        <v>0</v>
      </c>
      <c r="V1469">
        <f>IF($E1469=0,0,SUMPRODUCT($AI$16:$DF$16,'Staff Daily sales'!$G1454:$CD1454))</f>
        <v>0</v>
      </c>
      <c r="W1469">
        <f t="shared" si="383"/>
        <v>0</v>
      </c>
      <c r="X1469">
        <f t="shared" si="384"/>
        <v>0</v>
      </c>
      <c r="Y1469">
        <f t="shared" si="385"/>
        <v>0</v>
      </c>
      <c r="Z1469">
        <f t="shared" si="386"/>
        <v>0</v>
      </c>
      <c r="AA1469">
        <f t="shared" si="387"/>
        <v>0</v>
      </c>
      <c r="AB1469">
        <f>--AND($E1469=1,OR('Staff Weekly Trend'!$B$3="All",$DH1469='Staff Weekly Trend'!$B$3),OR('Staff Weekly Trend'!$B$4="All",$D1469='Staff Weekly Trend'!$B$4),OR('Staff Weekly Trend'!$B$5="All",$A1469='Staff Weekly Trend'!$B$5))</f>
        <v>0</v>
      </c>
      <c r="AC1469" t="str">
        <f t="shared" si="388"/>
        <v/>
      </c>
      <c r="AI1469">
        <f t="shared" si="389"/>
        <v>0</v>
      </c>
      <c r="AJ1469">
        <f t="shared" si="390"/>
        <v>0</v>
      </c>
      <c r="AK1469">
        <f t="shared" si="391"/>
        <v>0</v>
      </c>
      <c r="AL1469">
        <f t="shared" si="392"/>
        <v>0</v>
      </c>
      <c r="AM1469">
        <f t="shared" si="393"/>
        <v>0</v>
      </c>
      <c r="DH1469" t="str" cm="1">
        <f t="array" ref="DH1469">IF($A1469="","",_xlfn.LET(_xlpm.c,IFERROR(_xlfn.XLOOKUP($A1469,TRIM('Sales and count'!$A$4:$A$300&amp;""),TRIM('Sales and count'!$B$4:$B$300&amp;"")),""),IF(OR(_xlpm.c="",_xlpm.c="0",LEFT(_xlpm.c,1)="#"),"Not set",_xlpm.c)))</f>
        <v/>
      </c>
    </row>
    <row r="1470" spans="1:112" x14ac:dyDescent="0.25">
      <c r="A1470" t="str">
        <f>IF('Staff Daily sales'!$B1455="","",TRIM('Staff Daily sales'!$B1455&amp;""))</f>
        <v/>
      </c>
      <c r="B1470" t="str">
        <f>IF('Staff Daily sales'!$D1455="","",TRIM('Staff Daily sales'!$D1455&amp;""))</f>
        <v/>
      </c>
      <c r="C1470" t="str">
        <f>IFERROR(TRIM('Staff Daily sales'!$E1455&amp;""),"")</f>
        <v/>
      </c>
      <c r="D1470" t="str">
        <f>IFERROR(IF(TRIM('Staff Daily sales'!$F1455&amp;"")="","Unassigned",TRIM('Staff Daily sales'!$F1455&amp;"")),"Unassigned")</f>
        <v>Unassigned</v>
      </c>
      <c r="E1470">
        <f t="shared" si="378"/>
        <v>0</v>
      </c>
      <c r="F1470">
        <f>IF($E1470=0,0,SUMPRODUCT($AI$5:$DF$5,'Staff Daily sales'!$G1455:$CD1455))</f>
        <v>0</v>
      </c>
      <c r="G1470">
        <f>IF($E1470=0,0,SUMPRODUCT($AI$6:$DF$6,'Staff Daily sales'!$G1455:$CD1455))</f>
        <v>0</v>
      </c>
      <c r="H1470">
        <f t="shared" si="379"/>
        <v>0</v>
      </c>
      <c r="I1470">
        <f t="shared" si="380"/>
        <v>0</v>
      </c>
      <c r="J1470">
        <f t="shared" si="381"/>
        <v>0</v>
      </c>
      <c r="K1470">
        <f t="shared" si="382"/>
        <v>0</v>
      </c>
      <c r="L1470">
        <f>--AND($E1470=1,OR('Staff Dashboard'!$B$6="All",$DH1470='Staff Dashboard'!$B$6),OR('Staff Dashboard'!$B$7="All",$D1470='Staff Dashboard'!$B$7),OR('Staff Dashboard'!$B$8="All",$A1470='Staff Dashboard'!$B$8))</f>
        <v>0</v>
      </c>
      <c r="M1470">
        <f>IF($E1470=0,0,SUMPRODUCT($AI$7:$DF$7,'Staff Daily sales'!$G1455:$CD1455))</f>
        <v>0</v>
      </c>
      <c r="N1470">
        <f>IF($E1470=0,0,SUMPRODUCT($AI$8:$DF$8,'Staff Daily sales'!$G1455:$CD1455))</f>
        <v>0</v>
      </c>
      <c r="O1470">
        <f>IF($E1470=0,0,SUMPRODUCT($AI$9:$DF$9,'Staff Daily sales'!$G1455:$CD1455))</f>
        <v>0</v>
      </c>
      <c r="P1470">
        <f>IF($E1470=0,0,SUMPRODUCT($AI$10:$DF$10,'Staff Daily sales'!$G1455:$CD1455))</f>
        <v>0</v>
      </c>
      <c r="Q1470">
        <f>IF($E1470=0,0,SUMPRODUCT($AI$11:$DF$11,'Staff Daily sales'!$G1455:$CD1455))</f>
        <v>0</v>
      </c>
      <c r="R1470">
        <f>IF($E1470=0,0,SUMPRODUCT($AI$12:$DF$12,'Staff Daily sales'!$G1455:$CD1455))</f>
        <v>0</v>
      </c>
      <c r="S1470">
        <f>IF($E1470=0,0,SUMPRODUCT($AI$13:$DF$13,'Staff Daily sales'!$G1455:$CD1455))</f>
        <v>0</v>
      </c>
      <c r="T1470">
        <f>IF($E1470=0,0,SUMPRODUCT($AI$14:$DF$14,'Staff Daily sales'!$G1455:$CD1455))</f>
        <v>0</v>
      </c>
      <c r="U1470">
        <f>IF($E1470=0,0,SUMPRODUCT($AI$15:$DF$15,'Staff Daily sales'!$G1455:$CD1455))</f>
        <v>0</v>
      </c>
      <c r="V1470">
        <f>IF($E1470=0,0,SUMPRODUCT($AI$16:$DF$16,'Staff Daily sales'!$G1455:$CD1455))</f>
        <v>0</v>
      </c>
      <c r="W1470">
        <f t="shared" si="383"/>
        <v>0</v>
      </c>
      <c r="X1470">
        <f t="shared" si="384"/>
        <v>0</v>
      </c>
      <c r="Y1470">
        <f t="shared" si="385"/>
        <v>0</v>
      </c>
      <c r="Z1470">
        <f t="shared" si="386"/>
        <v>0</v>
      </c>
      <c r="AA1470">
        <f t="shared" si="387"/>
        <v>0</v>
      </c>
      <c r="AB1470">
        <f>--AND($E1470=1,OR('Staff Weekly Trend'!$B$3="All",$DH1470='Staff Weekly Trend'!$B$3),OR('Staff Weekly Trend'!$B$4="All",$D1470='Staff Weekly Trend'!$B$4),OR('Staff Weekly Trend'!$B$5="All",$A1470='Staff Weekly Trend'!$B$5))</f>
        <v>0</v>
      </c>
      <c r="AC1470" t="str">
        <f t="shared" si="388"/>
        <v/>
      </c>
      <c r="AI1470">
        <f t="shared" si="389"/>
        <v>0</v>
      </c>
      <c r="AJ1470">
        <f t="shared" si="390"/>
        <v>0</v>
      </c>
      <c r="AK1470">
        <f t="shared" si="391"/>
        <v>0</v>
      </c>
      <c r="AL1470">
        <f t="shared" si="392"/>
        <v>0</v>
      </c>
      <c r="AM1470">
        <f t="shared" si="393"/>
        <v>0</v>
      </c>
      <c r="DH1470" t="str" cm="1">
        <f t="array" ref="DH1470">IF($A1470="","",_xlfn.LET(_xlpm.c,IFERROR(_xlfn.XLOOKUP($A1470,TRIM('Sales and count'!$A$4:$A$300&amp;""),TRIM('Sales and count'!$B$4:$B$300&amp;"")),""),IF(OR(_xlpm.c="",_xlpm.c="0",LEFT(_xlpm.c,1)="#"),"Not set",_xlpm.c)))</f>
        <v/>
      </c>
    </row>
    <row r="1471" spans="1:112" x14ac:dyDescent="0.25">
      <c r="A1471" t="str">
        <f>IF('Staff Daily sales'!$B1456="","",TRIM('Staff Daily sales'!$B1456&amp;""))</f>
        <v/>
      </c>
      <c r="B1471" t="str">
        <f>IF('Staff Daily sales'!$D1456="","",TRIM('Staff Daily sales'!$D1456&amp;""))</f>
        <v/>
      </c>
      <c r="C1471" t="str">
        <f>IFERROR(TRIM('Staff Daily sales'!$E1456&amp;""),"")</f>
        <v/>
      </c>
      <c r="D1471" t="str">
        <f>IFERROR(IF(TRIM('Staff Daily sales'!$F1456&amp;"")="","Unassigned",TRIM('Staff Daily sales'!$F1456&amp;"")),"Unassigned")</f>
        <v>Unassigned</v>
      </c>
      <c r="E1471">
        <f t="shared" si="378"/>
        <v>0</v>
      </c>
      <c r="F1471">
        <f>IF($E1471=0,0,SUMPRODUCT($AI$5:$DF$5,'Staff Daily sales'!$G1456:$CD1456))</f>
        <v>0</v>
      </c>
      <c r="G1471">
        <f>IF($E1471=0,0,SUMPRODUCT($AI$6:$DF$6,'Staff Daily sales'!$G1456:$CD1456))</f>
        <v>0</v>
      </c>
      <c r="H1471">
        <f t="shared" si="379"/>
        <v>0</v>
      </c>
      <c r="I1471">
        <f t="shared" si="380"/>
        <v>0</v>
      </c>
      <c r="J1471">
        <f t="shared" si="381"/>
        <v>0</v>
      </c>
      <c r="K1471">
        <f t="shared" si="382"/>
        <v>0</v>
      </c>
      <c r="L1471">
        <f>--AND($E1471=1,OR('Staff Dashboard'!$B$6="All",$DH1471='Staff Dashboard'!$B$6),OR('Staff Dashboard'!$B$7="All",$D1471='Staff Dashboard'!$B$7),OR('Staff Dashboard'!$B$8="All",$A1471='Staff Dashboard'!$B$8))</f>
        <v>0</v>
      </c>
      <c r="M1471">
        <f>IF($E1471=0,0,SUMPRODUCT($AI$7:$DF$7,'Staff Daily sales'!$G1456:$CD1456))</f>
        <v>0</v>
      </c>
      <c r="N1471">
        <f>IF($E1471=0,0,SUMPRODUCT($AI$8:$DF$8,'Staff Daily sales'!$G1456:$CD1456))</f>
        <v>0</v>
      </c>
      <c r="O1471">
        <f>IF($E1471=0,0,SUMPRODUCT($AI$9:$DF$9,'Staff Daily sales'!$G1456:$CD1456))</f>
        <v>0</v>
      </c>
      <c r="P1471">
        <f>IF($E1471=0,0,SUMPRODUCT($AI$10:$DF$10,'Staff Daily sales'!$G1456:$CD1456))</f>
        <v>0</v>
      </c>
      <c r="Q1471">
        <f>IF($E1471=0,0,SUMPRODUCT($AI$11:$DF$11,'Staff Daily sales'!$G1456:$CD1456))</f>
        <v>0</v>
      </c>
      <c r="R1471">
        <f>IF($E1471=0,0,SUMPRODUCT($AI$12:$DF$12,'Staff Daily sales'!$G1456:$CD1456))</f>
        <v>0</v>
      </c>
      <c r="S1471">
        <f>IF($E1471=0,0,SUMPRODUCT($AI$13:$DF$13,'Staff Daily sales'!$G1456:$CD1456))</f>
        <v>0</v>
      </c>
      <c r="T1471">
        <f>IF($E1471=0,0,SUMPRODUCT($AI$14:$DF$14,'Staff Daily sales'!$G1456:$CD1456))</f>
        <v>0</v>
      </c>
      <c r="U1471">
        <f>IF($E1471=0,0,SUMPRODUCT($AI$15:$DF$15,'Staff Daily sales'!$G1456:$CD1456))</f>
        <v>0</v>
      </c>
      <c r="V1471">
        <f>IF($E1471=0,0,SUMPRODUCT($AI$16:$DF$16,'Staff Daily sales'!$G1456:$CD1456))</f>
        <v>0</v>
      </c>
      <c r="W1471">
        <f t="shared" si="383"/>
        <v>0</v>
      </c>
      <c r="X1471">
        <f t="shared" si="384"/>
        <v>0</v>
      </c>
      <c r="Y1471">
        <f t="shared" si="385"/>
        <v>0</v>
      </c>
      <c r="Z1471">
        <f t="shared" si="386"/>
        <v>0</v>
      </c>
      <c r="AA1471">
        <f t="shared" si="387"/>
        <v>0</v>
      </c>
      <c r="AB1471">
        <f>--AND($E1471=1,OR('Staff Weekly Trend'!$B$3="All",$DH1471='Staff Weekly Trend'!$B$3),OR('Staff Weekly Trend'!$B$4="All",$D1471='Staff Weekly Trend'!$B$4),OR('Staff Weekly Trend'!$B$5="All",$A1471='Staff Weekly Trend'!$B$5))</f>
        <v>0</v>
      </c>
      <c r="AC1471" t="str">
        <f t="shared" si="388"/>
        <v/>
      </c>
      <c r="AI1471">
        <f t="shared" si="389"/>
        <v>0</v>
      </c>
      <c r="AJ1471">
        <f t="shared" si="390"/>
        <v>0</v>
      </c>
      <c r="AK1471">
        <f t="shared" si="391"/>
        <v>0</v>
      </c>
      <c r="AL1471">
        <f t="shared" si="392"/>
        <v>0</v>
      </c>
      <c r="AM1471">
        <f t="shared" si="393"/>
        <v>0</v>
      </c>
      <c r="DH1471" t="str" cm="1">
        <f t="array" ref="DH1471">IF($A1471="","",_xlfn.LET(_xlpm.c,IFERROR(_xlfn.XLOOKUP($A1471,TRIM('Sales and count'!$A$4:$A$300&amp;""),TRIM('Sales and count'!$B$4:$B$300&amp;"")),""),IF(OR(_xlpm.c="",_xlpm.c="0",LEFT(_xlpm.c,1)="#"),"Not set",_xlpm.c)))</f>
        <v/>
      </c>
    </row>
    <row r="1472" spans="1:112" x14ac:dyDescent="0.25">
      <c r="A1472" t="str">
        <f>IF('Staff Daily sales'!$B1457="","",TRIM('Staff Daily sales'!$B1457&amp;""))</f>
        <v/>
      </c>
      <c r="B1472" t="str">
        <f>IF('Staff Daily sales'!$D1457="","",TRIM('Staff Daily sales'!$D1457&amp;""))</f>
        <v/>
      </c>
      <c r="C1472" t="str">
        <f>IFERROR(TRIM('Staff Daily sales'!$E1457&amp;""),"")</f>
        <v/>
      </c>
      <c r="D1472" t="str">
        <f>IFERROR(IF(TRIM('Staff Daily sales'!$F1457&amp;"")="","Unassigned",TRIM('Staff Daily sales'!$F1457&amp;"")),"Unassigned")</f>
        <v>Unassigned</v>
      </c>
      <c r="E1472">
        <f t="shared" si="378"/>
        <v>0</v>
      </c>
      <c r="F1472">
        <f>IF($E1472=0,0,SUMPRODUCT($AI$5:$DF$5,'Staff Daily sales'!$G1457:$CD1457))</f>
        <v>0</v>
      </c>
      <c r="G1472">
        <f>IF($E1472=0,0,SUMPRODUCT($AI$6:$DF$6,'Staff Daily sales'!$G1457:$CD1457))</f>
        <v>0</v>
      </c>
      <c r="H1472">
        <f t="shared" si="379"/>
        <v>0</v>
      </c>
      <c r="I1472">
        <f t="shared" si="380"/>
        <v>0</v>
      </c>
      <c r="J1472">
        <f t="shared" si="381"/>
        <v>0</v>
      </c>
      <c r="K1472">
        <f t="shared" si="382"/>
        <v>0</v>
      </c>
      <c r="L1472">
        <f>--AND($E1472=1,OR('Staff Dashboard'!$B$6="All",$DH1472='Staff Dashboard'!$B$6),OR('Staff Dashboard'!$B$7="All",$D1472='Staff Dashboard'!$B$7),OR('Staff Dashboard'!$B$8="All",$A1472='Staff Dashboard'!$B$8))</f>
        <v>0</v>
      </c>
      <c r="M1472">
        <f>IF($E1472=0,0,SUMPRODUCT($AI$7:$DF$7,'Staff Daily sales'!$G1457:$CD1457))</f>
        <v>0</v>
      </c>
      <c r="N1472">
        <f>IF($E1472=0,0,SUMPRODUCT($AI$8:$DF$8,'Staff Daily sales'!$G1457:$CD1457))</f>
        <v>0</v>
      </c>
      <c r="O1472">
        <f>IF($E1472=0,0,SUMPRODUCT($AI$9:$DF$9,'Staff Daily sales'!$G1457:$CD1457))</f>
        <v>0</v>
      </c>
      <c r="P1472">
        <f>IF($E1472=0,0,SUMPRODUCT($AI$10:$DF$10,'Staff Daily sales'!$G1457:$CD1457))</f>
        <v>0</v>
      </c>
      <c r="Q1472">
        <f>IF($E1472=0,0,SUMPRODUCT($AI$11:$DF$11,'Staff Daily sales'!$G1457:$CD1457))</f>
        <v>0</v>
      </c>
      <c r="R1472">
        <f>IF($E1472=0,0,SUMPRODUCT($AI$12:$DF$12,'Staff Daily sales'!$G1457:$CD1457))</f>
        <v>0</v>
      </c>
      <c r="S1472">
        <f>IF($E1472=0,0,SUMPRODUCT($AI$13:$DF$13,'Staff Daily sales'!$G1457:$CD1457))</f>
        <v>0</v>
      </c>
      <c r="T1472">
        <f>IF($E1472=0,0,SUMPRODUCT($AI$14:$DF$14,'Staff Daily sales'!$G1457:$CD1457))</f>
        <v>0</v>
      </c>
      <c r="U1472">
        <f>IF($E1472=0,0,SUMPRODUCT($AI$15:$DF$15,'Staff Daily sales'!$G1457:$CD1457))</f>
        <v>0</v>
      </c>
      <c r="V1472">
        <f>IF($E1472=0,0,SUMPRODUCT($AI$16:$DF$16,'Staff Daily sales'!$G1457:$CD1457))</f>
        <v>0</v>
      </c>
      <c r="W1472">
        <f t="shared" si="383"/>
        <v>0</v>
      </c>
      <c r="X1472">
        <f t="shared" si="384"/>
        <v>0</v>
      </c>
      <c r="Y1472">
        <f t="shared" si="385"/>
        <v>0</v>
      </c>
      <c r="Z1472">
        <f t="shared" si="386"/>
        <v>0</v>
      </c>
      <c r="AA1472">
        <f t="shared" si="387"/>
        <v>0</v>
      </c>
      <c r="AB1472">
        <f>--AND($E1472=1,OR('Staff Weekly Trend'!$B$3="All",$DH1472='Staff Weekly Trend'!$B$3),OR('Staff Weekly Trend'!$B$4="All",$D1472='Staff Weekly Trend'!$B$4),OR('Staff Weekly Trend'!$B$5="All",$A1472='Staff Weekly Trend'!$B$5))</f>
        <v>0</v>
      </c>
      <c r="AC1472" t="str">
        <f t="shared" si="388"/>
        <v/>
      </c>
      <c r="AI1472">
        <f t="shared" si="389"/>
        <v>0</v>
      </c>
      <c r="AJ1472">
        <f t="shared" si="390"/>
        <v>0</v>
      </c>
      <c r="AK1472">
        <f t="shared" si="391"/>
        <v>0</v>
      </c>
      <c r="AL1472">
        <f t="shared" si="392"/>
        <v>0</v>
      </c>
      <c r="AM1472">
        <f t="shared" si="393"/>
        <v>0</v>
      </c>
      <c r="DH1472" t="str" cm="1">
        <f t="array" ref="DH1472">IF($A1472="","",_xlfn.LET(_xlpm.c,IFERROR(_xlfn.XLOOKUP($A1472,TRIM('Sales and count'!$A$4:$A$300&amp;""),TRIM('Sales and count'!$B$4:$B$300&amp;"")),""),IF(OR(_xlpm.c="",_xlpm.c="0",LEFT(_xlpm.c,1)="#"),"Not set",_xlpm.c)))</f>
        <v/>
      </c>
    </row>
    <row r="1473" spans="1:112" x14ac:dyDescent="0.25">
      <c r="A1473" t="str">
        <f>IF('Staff Daily sales'!$B1458="","",TRIM('Staff Daily sales'!$B1458&amp;""))</f>
        <v/>
      </c>
      <c r="B1473" t="str">
        <f>IF('Staff Daily sales'!$D1458="","",TRIM('Staff Daily sales'!$D1458&amp;""))</f>
        <v/>
      </c>
      <c r="C1473" t="str">
        <f>IFERROR(TRIM('Staff Daily sales'!$E1458&amp;""),"")</f>
        <v/>
      </c>
      <c r="D1473" t="str">
        <f>IFERROR(IF(TRIM('Staff Daily sales'!$F1458&amp;"")="","Unassigned",TRIM('Staff Daily sales'!$F1458&amp;"")),"Unassigned")</f>
        <v>Unassigned</v>
      </c>
      <c r="E1473">
        <f t="shared" si="378"/>
        <v>0</v>
      </c>
      <c r="F1473">
        <f>IF($E1473=0,0,SUMPRODUCT($AI$5:$DF$5,'Staff Daily sales'!$G1458:$CD1458))</f>
        <v>0</v>
      </c>
      <c r="G1473">
        <f>IF($E1473=0,0,SUMPRODUCT($AI$6:$DF$6,'Staff Daily sales'!$G1458:$CD1458))</f>
        <v>0</v>
      </c>
      <c r="H1473">
        <f t="shared" si="379"/>
        <v>0</v>
      </c>
      <c r="I1473">
        <f t="shared" si="380"/>
        <v>0</v>
      </c>
      <c r="J1473">
        <f t="shared" si="381"/>
        <v>0</v>
      </c>
      <c r="K1473">
        <f t="shared" si="382"/>
        <v>0</v>
      </c>
      <c r="L1473">
        <f>--AND($E1473=1,OR('Staff Dashboard'!$B$6="All",$DH1473='Staff Dashboard'!$B$6),OR('Staff Dashboard'!$B$7="All",$D1473='Staff Dashboard'!$B$7),OR('Staff Dashboard'!$B$8="All",$A1473='Staff Dashboard'!$B$8))</f>
        <v>0</v>
      </c>
      <c r="M1473">
        <f>IF($E1473=0,0,SUMPRODUCT($AI$7:$DF$7,'Staff Daily sales'!$G1458:$CD1458))</f>
        <v>0</v>
      </c>
      <c r="N1473">
        <f>IF($E1473=0,0,SUMPRODUCT($AI$8:$DF$8,'Staff Daily sales'!$G1458:$CD1458))</f>
        <v>0</v>
      </c>
      <c r="O1473">
        <f>IF($E1473=0,0,SUMPRODUCT($AI$9:$DF$9,'Staff Daily sales'!$G1458:$CD1458))</f>
        <v>0</v>
      </c>
      <c r="P1473">
        <f>IF($E1473=0,0,SUMPRODUCT($AI$10:$DF$10,'Staff Daily sales'!$G1458:$CD1458))</f>
        <v>0</v>
      </c>
      <c r="Q1473">
        <f>IF($E1473=0,0,SUMPRODUCT($AI$11:$DF$11,'Staff Daily sales'!$G1458:$CD1458))</f>
        <v>0</v>
      </c>
      <c r="R1473">
        <f>IF($E1473=0,0,SUMPRODUCT($AI$12:$DF$12,'Staff Daily sales'!$G1458:$CD1458))</f>
        <v>0</v>
      </c>
      <c r="S1473">
        <f>IF($E1473=0,0,SUMPRODUCT($AI$13:$DF$13,'Staff Daily sales'!$G1458:$CD1458))</f>
        <v>0</v>
      </c>
      <c r="T1473">
        <f>IF($E1473=0,0,SUMPRODUCT($AI$14:$DF$14,'Staff Daily sales'!$G1458:$CD1458))</f>
        <v>0</v>
      </c>
      <c r="U1473">
        <f>IF($E1473=0,0,SUMPRODUCT($AI$15:$DF$15,'Staff Daily sales'!$G1458:$CD1458))</f>
        <v>0</v>
      </c>
      <c r="V1473">
        <f>IF($E1473=0,0,SUMPRODUCT($AI$16:$DF$16,'Staff Daily sales'!$G1458:$CD1458))</f>
        <v>0</v>
      </c>
      <c r="W1473">
        <f t="shared" si="383"/>
        <v>0</v>
      </c>
      <c r="X1473">
        <f t="shared" si="384"/>
        <v>0</v>
      </c>
      <c r="Y1473">
        <f t="shared" si="385"/>
        <v>0</v>
      </c>
      <c r="Z1473">
        <f t="shared" si="386"/>
        <v>0</v>
      </c>
      <c r="AA1473">
        <f t="shared" si="387"/>
        <v>0</v>
      </c>
      <c r="AB1473">
        <f>--AND($E1473=1,OR('Staff Weekly Trend'!$B$3="All",$DH1473='Staff Weekly Trend'!$B$3),OR('Staff Weekly Trend'!$B$4="All",$D1473='Staff Weekly Trend'!$B$4),OR('Staff Weekly Trend'!$B$5="All",$A1473='Staff Weekly Trend'!$B$5))</f>
        <v>0</v>
      </c>
      <c r="AC1473" t="str">
        <f t="shared" si="388"/>
        <v/>
      </c>
      <c r="AI1473">
        <f t="shared" si="389"/>
        <v>0</v>
      </c>
      <c r="AJ1473">
        <f t="shared" si="390"/>
        <v>0</v>
      </c>
      <c r="AK1473">
        <f t="shared" si="391"/>
        <v>0</v>
      </c>
      <c r="AL1473">
        <f t="shared" si="392"/>
        <v>0</v>
      </c>
      <c r="AM1473">
        <f t="shared" si="393"/>
        <v>0</v>
      </c>
      <c r="DH1473" t="str" cm="1">
        <f t="array" ref="DH1473">IF($A1473="","",_xlfn.LET(_xlpm.c,IFERROR(_xlfn.XLOOKUP($A1473,TRIM('Sales and count'!$A$4:$A$300&amp;""),TRIM('Sales and count'!$B$4:$B$300&amp;"")),""),IF(OR(_xlpm.c="",_xlpm.c="0",LEFT(_xlpm.c,1)="#"),"Not set",_xlpm.c)))</f>
        <v/>
      </c>
    </row>
    <row r="1474" spans="1:112" x14ac:dyDescent="0.25">
      <c r="A1474" t="str">
        <f>IF('Staff Daily sales'!$B1459="","",TRIM('Staff Daily sales'!$B1459&amp;""))</f>
        <v/>
      </c>
      <c r="B1474" t="str">
        <f>IF('Staff Daily sales'!$D1459="","",TRIM('Staff Daily sales'!$D1459&amp;""))</f>
        <v/>
      </c>
      <c r="C1474" t="str">
        <f>IFERROR(TRIM('Staff Daily sales'!$E1459&amp;""),"")</f>
        <v/>
      </c>
      <c r="D1474" t="str">
        <f>IFERROR(IF(TRIM('Staff Daily sales'!$F1459&amp;"")="","Unassigned",TRIM('Staff Daily sales'!$F1459&amp;"")),"Unassigned")</f>
        <v>Unassigned</v>
      </c>
      <c r="E1474">
        <f t="shared" si="378"/>
        <v>0</v>
      </c>
      <c r="F1474">
        <f>IF($E1474=0,0,SUMPRODUCT($AI$5:$DF$5,'Staff Daily sales'!$G1459:$CD1459))</f>
        <v>0</v>
      </c>
      <c r="G1474">
        <f>IF($E1474=0,0,SUMPRODUCT($AI$6:$DF$6,'Staff Daily sales'!$G1459:$CD1459))</f>
        <v>0</v>
      </c>
      <c r="H1474">
        <f t="shared" si="379"/>
        <v>0</v>
      </c>
      <c r="I1474">
        <f t="shared" si="380"/>
        <v>0</v>
      </c>
      <c r="J1474">
        <f t="shared" si="381"/>
        <v>0</v>
      </c>
      <c r="K1474">
        <f t="shared" si="382"/>
        <v>0</v>
      </c>
      <c r="L1474">
        <f>--AND($E1474=1,OR('Staff Dashboard'!$B$6="All",$DH1474='Staff Dashboard'!$B$6),OR('Staff Dashboard'!$B$7="All",$D1474='Staff Dashboard'!$B$7),OR('Staff Dashboard'!$B$8="All",$A1474='Staff Dashboard'!$B$8))</f>
        <v>0</v>
      </c>
      <c r="M1474">
        <f>IF($E1474=0,0,SUMPRODUCT($AI$7:$DF$7,'Staff Daily sales'!$G1459:$CD1459))</f>
        <v>0</v>
      </c>
      <c r="N1474">
        <f>IF($E1474=0,0,SUMPRODUCT($AI$8:$DF$8,'Staff Daily sales'!$G1459:$CD1459))</f>
        <v>0</v>
      </c>
      <c r="O1474">
        <f>IF($E1474=0,0,SUMPRODUCT($AI$9:$DF$9,'Staff Daily sales'!$G1459:$CD1459))</f>
        <v>0</v>
      </c>
      <c r="P1474">
        <f>IF($E1474=0,0,SUMPRODUCT($AI$10:$DF$10,'Staff Daily sales'!$G1459:$CD1459))</f>
        <v>0</v>
      </c>
      <c r="Q1474">
        <f>IF($E1474=0,0,SUMPRODUCT($AI$11:$DF$11,'Staff Daily sales'!$G1459:$CD1459))</f>
        <v>0</v>
      </c>
      <c r="R1474">
        <f>IF($E1474=0,0,SUMPRODUCT($AI$12:$DF$12,'Staff Daily sales'!$G1459:$CD1459))</f>
        <v>0</v>
      </c>
      <c r="S1474">
        <f>IF($E1474=0,0,SUMPRODUCT($AI$13:$DF$13,'Staff Daily sales'!$G1459:$CD1459))</f>
        <v>0</v>
      </c>
      <c r="T1474">
        <f>IF($E1474=0,0,SUMPRODUCT($AI$14:$DF$14,'Staff Daily sales'!$G1459:$CD1459))</f>
        <v>0</v>
      </c>
      <c r="U1474">
        <f>IF($E1474=0,0,SUMPRODUCT($AI$15:$DF$15,'Staff Daily sales'!$G1459:$CD1459))</f>
        <v>0</v>
      </c>
      <c r="V1474">
        <f>IF($E1474=0,0,SUMPRODUCT($AI$16:$DF$16,'Staff Daily sales'!$G1459:$CD1459))</f>
        <v>0</v>
      </c>
      <c r="W1474">
        <f t="shared" si="383"/>
        <v>0</v>
      </c>
      <c r="X1474">
        <f t="shared" si="384"/>
        <v>0</v>
      </c>
      <c r="Y1474">
        <f t="shared" si="385"/>
        <v>0</v>
      </c>
      <c r="Z1474">
        <f t="shared" si="386"/>
        <v>0</v>
      </c>
      <c r="AA1474">
        <f t="shared" si="387"/>
        <v>0</v>
      </c>
      <c r="AB1474">
        <f>--AND($E1474=1,OR('Staff Weekly Trend'!$B$3="All",$DH1474='Staff Weekly Trend'!$B$3),OR('Staff Weekly Trend'!$B$4="All",$D1474='Staff Weekly Trend'!$B$4),OR('Staff Weekly Trend'!$B$5="All",$A1474='Staff Weekly Trend'!$B$5))</f>
        <v>0</v>
      </c>
      <c r="AC1474" t="str">
        <f t="shared" si="388"/>
        <v/>
      </c>
      <c r="AI1474">
        <f t="shared" si="389"/>
        <v>0</v>
      </c>
      <c r="AJ1474">
        <f t="shared" si="390"/>
        <v>0</v>
      </c>
      <c r="AK1474">
        <f t="shared" si="391"/>
        <v>0</v>
      </c>
      <c r="AL1474">
        <f t="shared" si="392"/>
        <v>0</v>
      </c>
      <c r="AM1474">
        <f t="shared" si="393"/>
        <v>0</v>
      </c>
      <c r="DH1474" t="str" cm="1">
        <f t="array" ref="DH1474">IF($A1474="","",_xlfn.LET(_xlpm.c,IFERROR(_xlfn.XLOOKUP($A1474,TRIM('Sales and count'!$A$4:$A$300&amp;""),TRIM('Sales and count'!$B$4:$B$300&amp;"")),""),IF(OR(_xlpm.c="",_xlpm.c="0",LEFT(_xlpm.c,1)="#"),"Not set",_xlpm.c)))</f>
        <v/>
      </c>
    </row>
    <row r="1475" spans="1:112" x14ac:dyDescent="0.25">
      <c r="A1475" t="str">
        <f>IF('Staff Daily sales'!$B1460="","",TRIM('Staff Daily sales'!$B1460&amp;""))</f>
        <v/>
      </c>
      <c r="B1475" t="str">
        <f>IF('Staff Daily sales'!$D1460="","",TRIM('Staff Daily sales'!$D1460&amp;""))</f>
        <v/>
      </c>
      <c r="C1475" t="str">
        <f>IFERROR(TRIM('Staff Daily sales'!$E1460&amp;""),"")</f>
        <v/>
      </c>
      <c r="D1475" t="str">
        <f>IFERROR(IF(TRIM('Staff Daily sales'!$F1460&amp;"")="","Unassigned",TRIM('Staff Daily sales'!$F1460&amp;"")),"Unassigned")</f>
        <v>Unassigned</v>
      </c>
      <c r="E1475">
        <f t="shared" si="378"/>
        <v>0</v>
      </c>
      <c r="F1475">
        <f>IF($E1475=0,0,SUMPRODUCT($AI$5:$DF$5,'Staff Daily sales'!$G1460:$CD1460))</f>
        <v>0</v>
      </c>
      <c r="G1475">
        <f>IF($E1475=0,0,SUMPRODUCT($AI$6:$DF$6,'Staff Daily sales'!$G1460:$CD1460))</f>
        <v>0</v>
      </c>
      <c r="H1475">
        <f t="shared" si="379"/>
        <v>0</v>
      </c>
      <c r="I1475">
        <f t="shared" si="380"/>
        <v>0</v>
      </c>
      <c r="J1475">
        <f t="shared" si="381"/>
        <v>0</v>
      </c>
      <c r="K1475">
        <f t="shared" si="382"/>
        <v>0</v>
      </c>
      <c r="L1475">
        <f>--AND($E1475=1,OR('Staff Dashboard'!$B$6="All",$DH1475='Staff Dashboard'!$B$6),OR('Staff Dashboard'!$B$7="All",$D1475='Staff Dashboard'!$B$7),OR('Staff Dashboard'!$B$8="All",$A1475='Staff Dashboard'!$B$8))</f>
        <v>0</v>
      </c>
      <c r="M1475">
        <f>IF($E1475=0,0,SUMPRODUCT($AI$7:$DF$7,'Staff Daily sales'!$G1460:$CD1460))</f>
        <v>0</v>
      </c>
      <c r="N1475">
        <f>IF($E1475=0,0,SUMPRODUCT($AI$8:$DF$8,'Staff Daily sales'!$G1460:$CD1460))</f>
        <v>0</v>
      </c>
      <c r="O1475">
        <f>IF($E1475=0,0,SUMPRODUCT($AI$9:$DF$9,'Staff Daily sales'!$G1460:$CD1460))</f>
        <v>0</v>
      </c>
      <c r="P1475">
        <f>IF($E1475=0,0,SUMPRODUCT($AI$10:$DF$10,'Staff Daily sales'!$G1460:$CD1460))</f>
        <v>0</v>
      </c>
      <c r="Q1475">
        <f>IF($E1475=0,0,SUMPRODUCT($AI$11:$DF$11,'Staff Daily sales'!$G1460:$CD1460))</f>
        <v>0</v>
      </c>
      <c r="R1475">
        <f>IF($E1475=0,0,SUMPRODUCT($AI$12:$DF$12,'Staff Daily sales'!$G1460:$CD1460))</f>
        <v>0</v>
      </c>
      <c r="S1475">
        <f>IF($E1475=0,0,SUMPRODUCT($AI$13:$DF$13,'Staff Daily sales'!$G1460:$CD1460))</f>
        <v>0</v>
      </c>
      <c r="T1475">
        <f>IF($E1475=0,0,SUMPRODUCT($AI$14:$DF$14,'Staff Daily sales'!$G1460:$CD1460))</f>
        <v>0</v>
      </c>
      <c r="U1475">
        <f>IF($E1475=0,0,SUMPRODUCT($AI$15:$DF$15,'Staff Daily sales'!$G1460:$CD1460))</f>
        <v>0</v>
      </c>
      <c r="V1475">
        <f>IF($E1475=0,0,SUMPRODUCT($AI$16:$DF$16,'Staff Daily sales'!$G1460:$CD1460))</f>
        <v>0</v>
      </c>
      <c r="W1475">
        <f t="shared" si="383"/>
        <v>0</v>
      </c>
      <c r="X1475">
        <f t="shared" si="384"/>
        <v>0</v>
      </c>
      <c r="Y1475">
        <f t="shared" si="385"/>
        <v>0</v>
      </c>
      <c r="Z1475">
        <f t="shared" si="386"/>
        <v>0</v>
      </c>
      <c r="AA1475">
        <f t="shared" si="387"/>
        <v>0</v>
      </c>
      <c r="AB1475">
        <f>--AND($E1475=1,OR('Staff Weekly Trend'!$B$3="All",$DH1475='Staff Weekly Trend'!$B$3),OR('Staff Weekly Trend'!$B$4="All",$D1475='Staff Weekly Trend'!$B$4),OR('Staff Weekly Trend'!$B$5="All",$A1475='Staff Weekly Trend'!$B$5))</f>
        <v>0</v>
      </c>
      <c r="AC1475" t="str">
        <f t="shared" si="388"/>
        <v/>
      </c>
      <c r="AI1475">
        <f t="shared" si="389"/>
        <v>0</v>
      </c>
      <c r="AJ1475">
        <f t="shared" si="390"/>
        <v>0</v>
      </c>
      <c r="AK1475">
        <f t="shared" si="391"/>
        <v>0</v>
      </c>
      <c r="AL1475">
        <f t="shared" si="392"/>
        <v>0</v>
      </c>
      <c r="AM1475">
        <f t="shared" si="393"/>
        <v>0</v>
      </c>
      <c r="DH1475" t="str" cm="1">
        <f t="array" ref="DH1475">IF($A1475="","",_xlfn.LET(_xlpm.c,IFERROR(_xlfn.XLOOKUP($A1475,TRIM('Sales and count'!$A$4:$A$300&amp;""),TRIM('Sales and count'!$B$4:$B$300&amp;"")),""),IF(OR(_xlpm.c="",_xlpm.c="0",LEFT(_xlpm.c,1)="#"),"Not set",_xlpm.c)))</f>
        <v/>
      </c>
    </row>
    <row r="1476" spans="1:112" x14ac:dyDescent="0.25">
      <c r="A1476" t="str">
        <f>IF('Staff Daily sales'!$B1461="","",TRIM('Staff Daily sales'!$B1461&amp;""))</f>
        <v/>
      </c>
      <c r="B1476" t="str">
        <f>IF('Staff Daily sales'!$D1461="","",TRIM('Staff Daily sales'!$D1461&amp;""))</f>
        <v/>
      </c>
      <c r="C1476" t="str">
        <f>IFERROR(TRIM('Staff Daily sales'!$E1461&amp;""),"")</f>
        <v/>
      </c>
      <c r="D1476" t="str">
        <f>IFERROR(IF(TRIM('Staff Daily sales'!$F1461&amp;"")="","Unassigned",TRIM('Staff Daily sales'!$F1461&amp;"")),"Unassigned")</f>
        <v>Unassigned</v>
      </c>
      <c r="E1476">
        <f t="shared" si="378"/>
        <v>0</v>
      </c>
      <c r="F1476">
        <f>IF($E1476=0,0,SUMPRODUCT($AI$5:$DF$5,'Staff Daily sales'!$G1461:$CD1461))</f>
        <v>0</v>
      </c>
      <c r="G1476">
        <f>IF($E1476=0,0,SUMPRODUCT($AI$6:$DF$6,'Staff Daily sales'!$G1461:$CD1461))</f>
        <v>0</v>
      </c>
      <c r="H1476">
        <f t="shared" si="379"/>
        <v>0</v>
      </c>
      <c r="I1476">
        <f t="shared" si="380"/>
        <v>0</v>
      </c>
      <c r="J1476">
        <f t="shared" si="381"/>
        <v>0</v>
      </c>
      <c r="K1476">
        <f t="shared" si="382"/>
        <v>0</v>
      </c>
      <c r="L1476">
        <f>--AND($E1476=1,OR('Staff Dashboard'!$B$6="All",$DH1476='Staff Dashboard'!$B$6),OR('Staff Dashboard'!$B$7="All",$D1476='Staff Dashboard'!$B$7),OR('Staff Dashboard'!$B$8="All",$A1476='Staff Dashboard'!$B$8))</f>
        <v>0</v>
      </c>
      <c r="M1476">
        <f>IF($E1476=0,0,SUMPRODUCT($AI$7:$DF$7,'Staff Daily sales'!$G1461:$CD1461))</f>
        <v>0</v>
      </c>
      <c r="N1476">
        <f>IF($E1476=0,0,SUMPRODUCT($AI$8:$DF$8,'Staff Daily sales'!$G1461:$CD1461))</f>
        <v>0</v>
      </c>
      <c r="O1476">
        <f>IF($E1476=0,0,SUMPRODUCT($AI$9:$DF$9,'Staff Daily sales'!$G1461:$CD1461))</f>
        <v>0</v>
      </c>
      <c r="P1476">
        <f>IF($E1476=0,0,SUMPRODUCT($AI$10:$DF$10,'Staff Daily sales'!$G1461:$CD1461))</f>
        <v>0</v>
      </c>
      <c r="Q1476">
        <f>IF($E1476=0,0,SUMPRODUCT($AI$11:$DF$11,'Staff Daily sales'!$G1461:$CD1461))</f>
        <v>0</v>
      </c>
      <c r="R1476">
        <f>IF($E1476=0,0,SUMPRODUCT($AI$12:$DF$12,'Staff Daily sales'!$G1461:$CD1461))</f>
        <v>0</v>
      </c>
      <c r="S1476">
        <f>IF($E1476=0,0,SUMPRODUCT($AI$13:$DF$13,'Staff Daily sales'!$G1461:$CD1461))</f>
        <v>0</v>
      </c>
      <c r="T1476">
        <f>IF($E1476=0,0,SUMPRODUCT($AI$14:$DF$14,'Staff Daily sales'!$G1461:$CD1461))</f>
        <v>0</v>
      </c>
      <c r="U1476">
        <f>IF($E1476=0,0,SUMPRODUCT($AI$15:$DF$15,'Staff Daily sales'!$G1461:$CD1461))</f>
        <v>0</v>
      </c>
      <c r="V1476">
        <f>IF($E1476=0,0,SUMPRODUCT($AI$16:$DF$16,'Staff Daily sales'!$G1461:$CD1461))</f>
        <v>0</v>
      </c>
      <c r="W1476">
        <f t="shared" si="383"/>
        <v>0</v>
      </c>
      <c r="X1476">
        <f t="shared" si="384"/>
        <v>0</v>
      </c>
      <c r="Y1476">
        <f t="shared" si="385"/>
        <v>0</v>
      </c>
      <c r="Z1476">
        <f t="shared" si="386"/>
        <v>0</v>
      </c>
      <c r="AA1476">
        <f t="shared" si="387"/>
        <v>0</v>
      </c>
      <c r="AB1476">
        <f>--AND($E1476=1,OR('Staff Weekly Trend'!$B$3="All",$DH1476='Staff Weekly Trend'!$B$3),OR('Staff Weekly Trend'!$B$4="All",$D1476='Staff Weekly Trend'!$B$4),OR('Staff Weekly Trend'!$B$5="All",$A1476='Staff Weekly Trend'!$B$5))</f>
        <v>0</v>
      </c>
      <c r="AC1476" t="str">
        <f t="shared" si="388"/>
        <v/>
      </c>
      <c r="AI1476">
        <f t="shared" si="389"/>
        <v>0</v>
      </c>
      <c r="AJ1476">
        <f t="shared" si="390"/>
        <v>0</v>
      </c>
      <c r="AK1476">
        <f t="shared" si="391"/>
        <v>0</v>
      </c>
      <c r="AL1476">
        <f t="shared" si="392"/>
        <v>0</v>
      </c>
      <c r="AM1476">
        <f t="shared" si="393"/>
        <v>0</v>
      </c>
      <c r="DH1476" t="str" cm="1">
        <f t="array" ref="DH1476">IF($A1476="","",_xlfn.LET(_xlpm.c,IFERROR(_xlfn.XLOOKUP($A1476,TRIM('Sales and count'!$A$4:$A$300&amp;""),TRIM('Sales and count'!$B$4:$B$300&amp;"")),""),IF(OR(_xlpm.c="",_xlpm.c="0",LEFT(_xlpm.c,1)="#"),"Not set",_xlpm.c)))</f>
        <v/>
      </c>
    </row>
    <row r="1477" spans="1:112" x14ac:dyDescent="0.25">
      <c r="A1477" t="str">
        <f>IF('Staff Daily sales'!$B1462="","",TRIM('Staff Daily sales'!$B1462&amp;""))</f>
        <v/>
      </c>
      <c r="B1477" t="str">
        <f>IF('Staff Daily sales'!$D1462="","",TRIM('Staff Daily sales'!$D1462&amp;""))</f>
        <v/>
      </c>
      <c r="C1477" t="str">
        <f>IFERROR(TRIM('Staff Daily sales'!$E1462&amp;""),"")</f>
        <v/>
      </c>
      <c r="D1477" t="str">
        <f>IFERROR(IF(TRIM('Staff Daily sales'!$F1462&amp;"")="","Unassigned",TRIM('Staff Daily sales'!$F1462&amp;"")),"Unassigned")</f>
        <v>Unassigned</v>
      </c>
      <c r="E1477">
        <f t="shared" si="378"/>
        <v>0</v>
      </c>
      <c r="F1477">
        <f>IF($E1477=0,0,SUMPRODUCT($AI$5:$DF$5,'Staff Daily sales'!$G1462:$CD1462))</f>
        <v>0</v>
      </c>
      <c r="G1477">
        <f>IF($E1477=0,0,SUMPRODUCT($AI$6:$DF$6,'Staff Daily sales'!$G1462:$CD1462))</f>
        <v>0</v>
      </c>
      <c r="H1477">
        <f t="shared" si="379"/>
        <v>0</v>
      </c>
      <c r="I1477">
        <f t="shared" si="380"/>
        <v>0</v>
      </c>
      <c r="J1477">
        <f t="shared" si="381"/>
        <v>0</v>
      </c>
      <c r="K1477">
        <f t="shared" si="382"/>
        <v>0</v>
      </c>
      <c r="L1477">
        <f>--AND($E1477=1,OR('Staff Dashboard'!$B$6="All",$DH1477='Staff Dashboard'!$B$6),OR('Staff Dashboard'!$B$7="All",$D1477='Staff Dashboard'!$B$7),OR('Staff Dashboard'!$B$8="All",$A1477='Staff Dashboard'!$B$8))</f>
        <v>0</v>
      </c>
      <c r="M1477">
        <f>IF($E1477=0,0,SUMPRODUCT($AI$7:$DF$7,'Staff Daily sales'!$G1462:$CD1462))</f>
        <v>0</v>
      </c>
      <c r="N1477">
        <f>IF($E1477=0,0,SUMPRODUCT($AI$8:$DF$8,'Staff Daily sales'!$G1462:$CD1462))</f>
        <v>0</v>
      </c>
      <c r="O1477">
        <f>IF($E1477=0,0,SUMPRODUCT($AI$9:$DF$9,'Staff Daily sales'!$G1462:$CD1462))</f>
        <v>0</v>
      </c>
      <c r="P1477">
        <f>IF($E1477=0,0,SUMPRODUCT($AI$10:$DF$10,'Staff Daily sales'!$G1462:$CD1462))</f>
        <v>0</v>
      </c>
      <c r="Q1477">
        <f>IF($E1477=0,0,SUMPRODUCT($AI$11:$DF$11,'Staff Daily sales'!$G1462:$CD1462))</f>
        <v>0</v>
      </c>
      <c r="R1477">
        <f>IF($E1477=0,0,SUMPRODUCT($AI$12:$DF$12,'Staff Daily sales'!$G1462:$CD1462))</f>
        <v>0</v>
      </c>
      <c r="S1477">
        <f>IF($E1477=0,0,SUMPRODUCT($AI$13:$DF$13,'Staff Daily sales'!$G1462:$CD1462))</f>
        <v>0</v>
      </c>
      <c r="T1477">
        <f>IF($E1477=0,0,SUMPRODUCT($AI$14:$DF$14,'Staff Daily sales'!$G1462:$CD1462))</f>
        <v>0</v>
      </c>
      <c r="U1477">
        <f>IF($E1477=0,0,SUMPRODUCT($AI$15:$DF$15,'Staff Daily sales'!$G1462:$CD1462))</f>
        <v>0</v>
      </c>
      <c r="V1477">
        <f>IF($E1477=0,0,SUMPRODUCT($AI$16:$DF$16,'Staff Daily sales'!$G1462:$CD1462))</f>
        <v>0</v>
      </c>
      <c r="W1477">
        <f t="shared" si="383"/>
        <v>0</v>
      </c>
      <c r="X1477">
        <f t="shared" si="384"/>
        <v>0</v>
      </c>
      <c r="Y1477">
        <f t="shared" si="385"/>
        <v>0</v>
      </c>
      <c r="Z1477">
        <f t="shared" si="386"/>
        <v>0</v>
      </c>
      <c r="AA1477">
        <f t="shared" si="387"/>
        <v>0</v>
      </c>
      <c r="AB1477">
        <f>--AND($E1477=1,OR('Staff Weekly Trend'!$B$3="All",$DH1477='Staff Weekly Trend'!$B$3),OR('Staff Weekly Trend'!$B$4="All",$D1477='Staff Weekly Trend'!$B$4),OR('Staff Weekly Trend'!$B$5="All",$A1477='Staff Weekly Trend'!$B$5))</f>
        <v>0</v>
      </c>
      <c r="AC1477" t="str">
        <f t="shared" si="388"/>
        <v/>
      </c>
      <c r="AI1477">
        <f t="shared" si="389"/>
        <v>0</v>
      </c>
      <c r="AJ1477">
        <f t="shared" si="390"/>
        <v>0</v>
      </c>
      <c r="AK1477">
        <f t="shared" si="391"/>
        <v>0</v>
      </c>
      <c r="AL1477">
        <f t="shared" si="392"/>
        <v>0</v>
      </c>
      <c r="AM1477">
        <f t="shared" si="393"/>
        <v>0</v>
      </c>
      <c r="DH1477" t="str" cm="1">
        <f t="array" ref="DH1477">IF($A1477="","",_xlfn.LET(_xlpm.c,IFERROR(_xlfn.XLOOKUP($A1477,TRIM('Sales and count'!$A$4:$A$300&amp;""),TRIM('Sales and count'!$B$4:$B$300&amp;"")),""),IF(OR(_xlpm.c="",_xlpm.c="0",LEFT(_xlpm.c,1)="#"),"Not set",_xlpm.c)))</f>
        <v/>
      </c>
    </row>
    <row r="1478" spans="1:112" x14ac:dyDescent="0.25">
      <c r="A1478" t="str">
        <f>IF('Staff Daily sales'!$B1463="","",TRIM('Staff Daily sales'!$B1463&amp;""))</f>
        <v/>
      </c>
      <c r="B1478" t="str">
        <f>IF('Staff Daily sales'!$D1463="","",TRIM('Staff Daily sales'!$D1463&amp;""))</f>
        <v/>
      </c>
      <c r="C1478" t="str">
        <f>IFERROR(TRIM('Staff Daily sales'!$E1463&amp;""),"")</f>
        <v/>
      </c>
      <c r="D1478" t="str">
        <f>IFERROR(IF(TRIM('Staff Daily sales'!$F1463&amp;"")="","Unassigned",TRIM('Staff Daily sales'!$F1463&amp;"")),"Unassigned")</f>
        <v>Unassigned</v>
      </c>
      <c r="E1478">
        <f t="shared" si="378"/>
        <v>0</v>
      </c>
      <c r="F1478">
        <f>IF($E1478=0,0,SUMPRODUCT($AI$5:$DF$5,'Staff Daily sales'!$G1463:$CD1463))</f>
        <v>0</v>
      </c>
      <c r="G1478">
        <f>IF($E1478=0,0,SUMPRODUCT($AI$6:$DF$6,'Staff Daily sales'!$G1463:$CD1463))</f>
        <v>0</v>
      </c>
      <c r="H1478">
        <f t="shared" si="379"/>
        <v>0</v>
      </c>
      <c r="I1478">
        <f t="shared" si="380"/>
        <v>0</v>
      </c>
      <c r="J1478">
        <f t="shared" si="381"/>
        <v>0</v>
      </c>
      <c r="K1478">
        <f t="shared" si="382"/>
        <v>0</v>
      </c>
      <c r="L1478">
        <f>--AND($E1478=1,OR('Staff Dashboard'!$B$6="All",$DH1478='Staff Dashboard'!$B$6),OR('Staff Dashboard'!$B$7="All",$D1478='Staff Dashboard'!$B$7),OR('Staff Dashboard'!$B$8="All",$A1478='Staff Dashboard'!$B$8))</f>
        <v>0</v>
      </c>
      <c r="M1478">
        <f>IF($E1478=0,0,SUMPRODUCT($AI$7:$DF$7,'Staff Daily sales'!$G1463:$CD1463))</f>
        <v>0</v>
      </c>
      <c r="N1478">
        <f>IF($E1478=0,0,SUMPRODUCT($AI$8:$DF$8,'Staff Daily sales'!$G1463:$CD1463))</f>
        <v>0</v>
      </c>
      <c r="O1478">
        <f>IF($E1478=0,0,SUMPRODUCT($AI$9:$DF$9,'Staff Daily sales'!$G1463:$CD1463))</f>
        <v>0</v>
      </c>
      <c r="P1478">
        <f>IF($E1478=0,0,SUMPRODUCT($AI$10:$DF$10,'Staff Daily sales'!$G1463:$CD1463))</f>
        <v>0</v>
      </c>
      <c r="Q1478">
        <f>IF($E1478=0,0,SUMPRODUCT($AI$11:$DF$11,'Staff Daily sales'!$G1463:$CD1463))</f>
        <v>0</v>
      </c>
      <c r="R1478">
        <f>IF($E1478=0,0,SUMPRODUCT($AI$12:$DF$12,'Staff Daily sales'!$G1463:$CD1463))</f>
        <v>0</v>
      </c>
      <c r="S1478">
        <f>IF($E1478=0,0,SUMPRODUCT($AI$13:$DF$13,'Staff Daily sales'!$G1463:$CD1463))</f>
        <v>0</v>
      </c>
      <c r="T1478">
        <f>IF($E1478=0,0,SUMPRODUCT($AI$14:$DF$14,'Staff Daily sales'!$G1463:$CD1463))</f>
        <v>0</v>
      </c>
      <c r="U1478">
        <f>IF($E1478=0,0,SUMPRODUCT($AI$15:$DF$15,'Staff Daily sales'!$G1463:$CD1463))</f>
        <v>0</v>
      </c>
      <c r="V1478">
        <f>IF($E1478=0,0,SUMPRODUCT($AI$16:$DF$16,'Staff Daily sales'!$G1463:$CD1463))</f>
        <v>0</v>
      </c>
      <c r="W1478">
        <f t="shared" si="383"/>
        <v>0</v>
      </c>
      <c r="X1478">
        <f t="shared" si="384"/>
        <v>0</v>
      </c>
      <c r="Y1478">
        <f t="shared" si="385"/>
        <v>0</v>
      </c>
      <c r="Z1478">
        <f t="shared" si="386"/>
        <v>0</v>
      </c>
      <c r="AA1478">
        <f t="shared" si="387"/>
        <v>0</v>
      </c>
      <c r="AB1478">
        <f>--AND($E1478=1,OR('Staff Weekly Trend'!$B$3="All",$DH1478='Staff Weekly Trend'!$B$3),OR('Staff Weekly Trend'!$B$4="All",$D1478='Staff Weekly Trend'!$B$4),OR('Staff Weekly Trend'!$B$5="All",$A1478='Staff Weekly Trend'!$B$5))</f>
        <v>0</v>
      </c>
      <c r="AC1478" t="str">
        <f t="shared" si="388"/>
        <v/>
      </c>
      <c r="AI1478">
        <f t="shared" si="389"/>
        <v>0</v>
      </c>
      <c r="AJ1478">
        <f t="shared" si="390"/>
        <v>0</v>
      </c>
      <c r="AK1478">
        <f t="shared" si="391"/>
        <v>0</v>
      </c>
      <c r="AL1478">
        <f t="shared" si="392"/>
        <v>0</v>
      </c>
      <c r="AM1478">
        <f t="shared" si="393"/>
        <v>0</v>
      </c>
      <c r="DH1478" t="str" cm="1">
        <f t="array" ref="DH1478">IF($A1478="","",_xlfn.LET(_xlpm.c,IFERROR(_xlfn.XLOOKUP($A1478,TRIM('Sales and count'!$A$4:$A$300&amp;""),TRIM('Sales and count'!$B$4:$B$300&amp;"")),""),IF(OR(_xlpm.c="",_xlpm.c="0",LEFT(_xlpm.c,1)="#"),"Not set",_xlpm.c)))</f>
        <v/>
      </c>
    </row>
    <row r="1479" spans="1:112" x14ac:dyDescent="0.25">
      <c r="A1479" t="str">
        <f>IF('Staff Daily sales'!$B1464="","",TRIM('Staff Daily sales'!$B1464&amp;""))</f>
        <v/>
      </c>
      <c r="B1479" t="str">
        <f>IF('Staff Daily sales'!$D1464="","",TRIM('Staff Daily sales'!$D1464&amp;""))</f>
        <v/>
      </c>
      <c r="C1479" t="str">
        <f>IFERROR(TRIM('Staff Daily sales'!$E1464&amp;""),"")</f>
        <v/>
      </c>
      <c r="D1479" t="str">
        <f>IFERROR(IF(TRIM('Staff Daily sales'!$F1464&amp;"")="","Unassigned",TRIM('Staff Daily sales'!$F1464&amp;"")),"Unassigned")</f>
        <v>Unassigned</v>
      </c>
      <c r="E1479">
        <f t="shared" si="378"/>
        <v>0</v>
      </c>
      <c r="F1479">
        <f>IF($E1479=0,0,SUMPRODUCT($AI$5:$DF$5,'Staff Daily sales'!$G1464:$CD1464))</f>
        <v>0</v>
      </c>
      <c r="G1479">
        <f>IF($E1479=0,0,SUMPRODUCT($AI$6:$DF$6,'Staff Daily sales'!$G1464:$CD1464))</f>
        <v>0</v>
      </c>
      <c r="H1479">
        <f t="shared" si="379"/>
        <v>0</v>
      </c>
      <c r="I1479">
        <f t="shared" si="380"/>
        <v>0</v>
      </c>
      <c r="J1479">
        <f t="shared" si="381"/>
        <v>0</v>
      </c>
      <c r="K1479">
        <f t="shared" si="382"/>
        <v>0</v>
      </c>
      <c r="L1479">
        <f>--AND($E1479=1,OR('Staff Dashboard'!$B$6="All",$DH1479='Staff Dashboard'!$B$6),OR('Staff Dashboard'!$B$7="All",$D1479='Staff Dashboard'!$B$7),OR('Staff Dashboard'!$B$8="All",$A1479='Staff Dashboard'!$B$8))</f>
        <v>0</v>
      </c>
      <c r="M1479">
        <f>IF($E1479=0,0,SUMPRODUCT($AI$7:$DF$7,'Staff Daily sales'!$G1464:$CD1464))</f>
        <v>0</v>
      </c>
      <c r="N1479">
        <f>IF($E1479=0,0,SUMPRODUCT($AI$8:$DF$8,'Staff Daily sales'!$G1464:$CD1464))</f>
        <v>0</v>
      </c>
      <c r="O1479">
        <f>IF($E1479=0,0,SUMPRODUCT($AI$9:$DF$9,'Staff Daily sales'!$G1464:$CD1464))</f>
        <v>0</v>
      </c>
      <c r="P1479">
        <f>IF($E1479=0,0,SUMPRODUCT($AI$10:$DF$10,'Staff Daily sales'!$G1464:$CD1464))</f>
        <v>0</v>
      </c>
      <c r="Q1479">
        <f>IF($E1479=0,0,SUMPRODUCT($AI$11:$DF$11,'Staff Daily sales'!$G1464:$CD1464))</f>
        <v>0</v>
      </c>
      <c r="R1479">
        <f>IF($E1479=0,0,SUMPRODUCT($AI$12:$DF$12,'Staff Daily sales'!$G1464:$CD1464))</f>
        <v>0</v>
      </c>
      <c r="S1479">
        <f>IF($E1479=0,0,SUMPRODUCT($AI$13:$DF$13,'Staff Daily sales'!$G1464:$CD1464))</f>
        <v>0</v>
      </c>
      <c r="T1479">
        <f>IF($E1479=0,0,SUMPRODUCT($AI$14:$DF$14,'Staff Daily sales'!$G1464:$CD1464))</f>
        <v>0</v>
      </c>
      <c r="U1479">
        <f>IF($E1479=0,0,SUMPRODUCT($AI$15:$DF$15,'Staff Daily sales'!$G1464:$CD1464))</f>
        <v>0</v>
      </c>
      <c r="V1479">
        <f>IF($E1479=0,0,SUMPRODUCT($AI$16:$DF$16,'Staff Daily sales'!$G1464:$CD1464))</f>
        <v>0</v>
      </c>
      <c r="W1479">
        <f t="shared" si="383"/>
        <v>0</v>
      </c>
      <c r="X1479">
        <f t="shared" si="384"/>
        <v>0</v>
      </c>
      <c r="Y1479">
        <f t="shared" si="385"/>
        <v>0</v>
      </c>
      <c r="Z1479">
        <f t="shared" si="386"/>
        <v>0</v>
      </c>
      <c r="AA1479">
        <f t="shared" si="387"/>
        <v>0</v>
      </c>
      <c r="AB1479">
        <f>--AND($E1479=1,OR('Staff Weekly Trend'!$B$3="All",$DH1479='Staff Weekly Trend'!$B$3),OR('Staff Weekly Trend'!$B$4="All",$D1479='Staff Weekly Trend'!$B$4),OR('Staff Weekly Trend'!$B$5="All",$A1479='Staff Weekly Trend'!$B$5))</f>
        <v>0</v>
      </c>
      <c r="AC1479" t="str">
        <f t="shared" si="388"/>
        <v/>
      </c>
      <c r="AI1479">
        <f t="shared" si="389"/>
        <v>0</v>
      </c>
      <c r="AJ1479">
        <f t="shared" si="390"/>
        <v>0</v>
      </c>
      <c r="AK1479">
        <f t="shared" si="391"/>
        <v>0</v>
      </c>
      <c r="AL1479">
        <f t="shared" si="392"/>
        <v>0</v>
      </c>
      <c r="AM1479">
        <f t="shared" si="393"/>
        <v>0</v>
      </c>
      <c r="DH1479" t="str" cm="1">
        <f t="array" ref="DH1479">IF($A1479="","",_xlfn.LET(_xlpm.c,IFERROR(_xlfn.XLOOKUP($A1479,TRIM('Sales and count'!$A$4:$A$300&amp;""),TRIM('Sales and count'!$B$4:$B$300&amp;"")),""),IF(OR(_xlpm.c="",_xlpm.c="0",LEFT(_xlpm.c,1)="#"),"Not set",_xlpm.c)))</f>
        <v/>
      </c>
    </row>
    <row r="1480" spans="1:112" x14ac:dyDescent="0.25">
      <c r="A1480" t="str">
        <f>IF('Staff Daily sales'!$B1465="","",TRIM('Staff Daily sales'!$B1465&amp;""))</f>
        <v/>
      </c>
      <c r="B1480" t="str">
        <f>IF('Staff Daily sales'!$D1465="","",TRIM('Staff Daily sales'!$D1465&amp;""))</f>
        <v/>
      </c>
      <c r="C1480" t="str">
        <f>IFERROR(TRIM('Staff Daily sales'!$E1465&amp;""),"")</f>
        <v/>
      </c>
      <c r="D1480" t="str">
        <f>IFERROR(IF(TRIM('Staff Daily sales'!$F1465&amp;"")="","Unassigned",TRIM('Staff Daily sales'!$F1465&amp;"")),"Unassigned")</f>
        <v>Unassigned</v>
      </c>
      <c r="E1480">
        <f t="shared" si="378"/>
        <v>0</v>
      </c>
      <c r="F1480">
        <f>IF($E1480=0,0,SUMPRODUCT($AI$5:$DF$5,'Staff Daily sales'!$G1465:$CD1465))</f>
        <v>0</v>
      </c>
      <c r="G1480">
        <f>IF($E1480=0,0,SUMPRODUCT($AI$6:$DF$6,'Staff Daily sales'!$G1465:$CD1465))</f>
        <v>0</v>
      </c>
      <c r="H1480">
        <f t="shared" si="379"/>
        <v>0</v>
      </c>
      <c r="I1480">
        <f t="shared" si="380"/>
        <v>0</v>
      </c>
      <c r="J1480">
        <f t="shared" si="381"/>
        <v>0</v>
      </c>
      <c r="K1480">
        <f t="shared" si="382"/>
        <v>0</v>
      </c>
      <c r="L1480">
        <f>--AND($E1480=1,OR('Staff Dashboard'!$B$6="All",$DH1480='Staff Dashboard'!$B$6),OR('Staff Dashboard'!$B$7="All",$D1480='Staff Dashboard'!$B$7),OR('Staff Dashboard'!$B$8="All",$A1480='Staff Dashboard'!$B$8))</f>
        <v>0</v>
      </c>
      <c r="M1480">
        <f>IF($E1480=0,0,SUMPRODUCT($AI$7:$DF$7,'Staff Daily sales'!$G1465:$CD1465))</f>
        <v>0</v>
      </c>
      <c r="N1480">
        <f>IF($E1480=0,0,SUMPRODUCT($AI$8:$DF$8,'Staff Daily sales'!$G1465:$CD1465))</f>
        <v>0</v>
      </c>
      <c r="O1480">
        <f>IF($E1480=0,0,SUMPRODUCT($AI$9:$DF$9,'Staff Daily sales'!$G1465:$CD1465))</f>
        <v>0</v>
      </c>
      <c r="P1480">
        <f>IF($E1480=0,0,SUMPRODUCT($AI$10:$DF$10,'Staff Daily sales'!$G1465:$CD1465))</f>
        <v>0</v>
      </c>
      <c r="Q1480">
        <f>IF($E1480=0,0,SUMPRODUCT($AI$11:$DF$11,'Staff Daily sales'!$G1465:$CD1465))</f>
        <v>0</v>
      </c>
      <c r="R1480">
        <f>IF($E1480=0,0,SUMPRODUCT($AI$12:$DF$12,'Staff Daily sales'!$G1465:$CD1465))</f>
        <v>0</v>
      </c>
      <c r="S1480">
        <f>IF($E1480=0,0,SUMPRODUCT($AI$13:$DF$13,'Staff Daily sales'!$G1465:$CD1465))</f>
        <v>0</v>
      </c>
      <c r="T1480">
        <f>IF($E1480=0,0,SUMPRODUCT($AI$14:$DF$14,'Staff Daily sales'!$G1465:$CD1465))</f>
        <v>0</v>
      </c>
      <c r="U1480">
        <f>IF($E1480=0,0,SUMPRODUCT($AI$15:$DF$15,'Staff Daily sales'!$G1465:$CD1465))</f>
        <v>0</v>
      </c>
      <c r="V1480">
        <f>IF($E1480=0,0,SUMPRODUCT($AI$16:$DF$16,'Staff Daily sales'!$G1465:$CD1465))</f>
        <v>0</v>
      </c>
      <c r="W1480">
        <f t="shared" si="383"/>
        <v>0</v>
      </c>
      <c r="X1480">
        <f t="shared" si="384"/>
        <v>0</v>
      </c>
      <c r="Y1480">
        <f t="shared" si="385"/>
        <v>0</v>
      </c>
      <c r="Z1480">
        <f t="shared" si="386"/>
        <v>0</v>
      </c>
      <c r="AA1480">
        <f t="shared" si="387"/>
        <v>0</v>
      </c>
      <c r="AB1480">
        <f>--AND($E1480=1,OR('Staff Weekly Trend'!$B$3="All",$DH1480='Staff Weekly Trend'!$B$3),OR('Staff Weekly Trend'!$B$4="All",$D1480='Staff Weekly Trend'!$B$4),OR('Staff Weekly Trend'!$B$5="All",$A1480='Staff Weekly Trend'!$B$5))</f>
        <v>0</v>
      </c>
      <c r="AC1480" t="str">
        <f t="shared" si="388"/>
        <v/>
      </c>
      <c r="AI1480">
        <f t="shared" si="389"/>
        <v>0</v>
      </c>
      <c r="AJ1480">
        <f t="shared" si="390"/>
        <v>0</v>
      </c>
      <c r="AK1480">
        <f t="shared" si="391"/>
        <v>0</v>
      </c>
      <c r="AL1480">
        <f t="shared" si="392"/>
        <v>0</v>
      </c>
      <c r="AM1480">
        <f t="shared" si="393"/>
        <v>0</v>
      </c>
      <c r="DH1480" t="str" cm="1">
        <f t="array" ref="DH1480">IF($A1480="","",_xlfn.LET(_xlpm.c,IFERROR(_xlfn.XLOOKUP($A1480,TRIM('Sales and count'!$A$4:$A$300&amp;""),TRIM('Sales and count'!$B$4:$B$300&amp;"")),""),IF(OR(_xlpm.c="",_xlpm.c="0",LEFT(_xlpm.c,1)="#"),"Not set",_xlpm.c)))</f>
        <v/>
      </c>
    </row>
    <row r="1481" spans="1:112" x14ac:dyDescent="0.25">
      <c r="A1481" t="str">
        <f>IF('Staff Daily sales'!$B1466="","",TRIM('Staff Daily sales'!$B1466&amp;""))</f>
        <v/>
      </c>
      <c r="B1481" t="str">
        <f>IF('Staff Daily sales'!$D1466="","",TRIM('Staff Daily sales'!$D1466&amp;""))</f>
        <v/>
      </c>
      <c r="C1481" t="str">
        <f>IFERROR(TRIM('Staff Daily sales'!$E1466&amp;""),"")</f>
        <v/>
      </c>
      <c r="D1481" t="str">
        <f>IFERROR(IF(TRIM('Staff Daily sales'!$F1466&amp;"")="","Unassigned",TRIM('Staff Daily sales'!$F1466&amp;"")),"Unassigned")</f>
        <v>Unassigned</v>
      </c>
      <c r="E1481">
        <f t="shared" si="378"/>
        <v>0</v>
      </c>
      <c r="F1481">
        <f>IF($E1481=0,0,SUMPRODUCT($AI$5:$DF$5,'Staff Daily sales'!$G1466:$CD1466))</f>
        <v>0</v>
      </c>
      <c r="G1481">
        <f>IF($E1481=0,0,SUMPRODUCT($AI$6:$DF$6,'Staff Daily sales'!$G1466:$CD1466))</f>
        <v>0</v>
      </c>
      <c r="H1481">
        <f t="shared" si="379"/>
        <v>0</v>
      </c>
      <c r="I1481">
        <f t="shared" si="380"/>
        <v>0</v>
      </c>
      <c r="J1481">
        <f t="shared" si="381"/>
        <v>0</v>
      </c>
      <c r="K1481">
        <f t="shared" si="382"/>
        <v>0</v>
      </c>
      <c r="L1481">
        <f>--AND($E1481=1,OR('Staff Dashboard'!$B$6="All",$DH1481='Staff Dashboard'!$B$6),OR('Staff Dashboard'!$B$7="All",$D1481='Staff Dashboard'!$B$7),OR('Staff Dashboard'!$B$8="All",$A1481='Staff Dashboard'!$B$8))</f>
        <v>0</v>
      </c>
      <c r="M1481">
        <f>IF($E1481=0,0,SUMPRODUCT($AI$7:$DF$7,'Staff Daily sales'!$G1466:$CD1466))</f>
        <v>0</v>
      </c>
      <c r="N1481">
        <f>IF($E1481=0,0,SUMPRODUCT($AI$8:$DF$8,'Staff Daily sales'!$G1466:$CD1466))</f>
        <v>0</v>
      </c>
      <c r="O1481">
        <f>IF($E1481=0,0,SUMPRODUCT($AI$9:$DF$9,'Staff Daily sales'!$G1466:$CD1466))</f>
        <v>0</v>
      </c>
      <c r="P1481">
        <f>IF($E1481=0,0,SUMPRODUCT($AI$10:$DF$10,'Staff Daily sales'!$G1466:$CD1466))</f>
        <v>0</v>
      </c>
      <c r="Q1481">
        <f>IF($E1481=0,0,SUMPRODUCT($AI$11:$DF$11,'Staff Daily sales'!$G1466:$CD1466))</f>
        <v>0</v>
      </c>
      <c r="R1481">
        <f>IF($E1481=0,0,SUMPRODUCT($AI$12:$DF$12,'Staff Daily sales'!$G1466:$CD1466))</f>
        <v>0</v>
      </c>
      <c r="S1481">
        <f>IF($E1481=0,0,SUMPRODUCT($AI$13:$DF$13,'Staff Daily sales'!$G1466:$CD1466))</f>
        <v>0</v>
      </c>
      <c r="T1481">
        <f>IF($E1481=0,0,SUMPRODUCT($AI$14:$DF$14,'Staff Daily sales'!$G1466:$CD1466))</f>
        <v>0</v>
      </c>
      <c r="U1481">
        <f>IF($E1481=0,0,SUMPRODUCT($AI$15:$DF$15,'Staff Daily sales'!$G1466:$CD1466))</f>
        <v>0</v>
      </c>
      <c r="V1481">
        <f>IF($E1481=0,0,SUMPRODUCT($AI$16:$DF$16,'Staff Daily sales'!$G1466:$CD1466))</f>
        <v>0</v>
      </c>
      <c r="W1481">
        <f t="shared" si="383"/>
        <v>0</v>
      </c>
      <c r="X1481">
        <f t="shared" si="384"/>
        <v>0</v>
      </c>
      <c r="Y1481">
        <f t="shared" si="385"/>
        <v>0</v>
      </c>
      <c r="Z1481">
        <f t="shared" si="386"/>
        <v>0</v>
      </c>
      <c r="AA1481">
        <f t="shared" si="387"/>
        <v>0</v>
      </c>
      <c r="AB1481">
        <f>--AND($E1481=1,OR('Staff Weekly Trend'!$B$3="All",$DH1481='Staff Weekly Trend'!$B$3),OR('Staff Weekly Trend'!$B$4="All",$D1481='Staff Weekly Trend'!$B$4),OR('Staff Weekly Trend'!$B$5="All",$A1481='Staff Weekly Trend'!$B$5))</f>
        <v>0</v>
      </c>
      <c r="AC1481" t="str">
        <f t="shared" si="388"/>
        <v/>
      </c>
      <c r="AI1481">
        <f t="shared" si="389"/>
        <v>0</v>
      </c>
      <c r="AJ1481">
        <f t="shared" si="390"/>
        <v>0</v>
      </c>
      <c r="AK1481">
        <f t="shared" si="391"/>
        <v>0</v>
      </c>
      <c r="AL1481">
        <f t="shared" si="392"/>
        <v>0</v>
      </c>
      <c r="AM1481">
        <f t="shared" si="393"/>
        <v>0</v>
      </c>
      <c r="DH1481" t="str" cm="1">
        <f t="array" ref="DH1481">IF($A1481="","",_xlfn.LET(_xlpm.c,IFERROR(_xlfn.XLOOKUP($A1481,TRIM('Sales and count'!$A$4:$A$300&amp;""),TRIM('Sales and count'!$B$4:$B$300&amp;"")),""),IF(OR(_xlpm.c="",_xlpm.c="0",LEFT(_xlpm.c,1)="#"),"Not set",_xlpm.c)))</f>
        <v/>
      </c>
    </row>
    <row r="1482" spans="1:112" x14ac:dyDescent="0.25">
      <c r="A1482" t="str">
        <f>IF('Staff Daily sales'!$B1467="","",TRIM('Staff Daily sales'!$B1467&amp;""))</f>
        <v/>
      </c>
      <c r="B1482" t="str">
        <f>IF('Staff Daily sales'!$D1467="","",TRIM('Staff Daily sales'!$D1467&amp;""))</f>
        <v/>
      </c>
      <c r="C1482" t="str">
        <f>IFERROR(TRIM('Staff Daily sales'!$E1467&amp;""),"")</f>
        <v/>
      </c>
      <c r="D1482" t="str">
        <f>IFERROR(IF(TRIM('Staff Daily sales'!$F1467&amp;"")="","Unassigned",TRIM('Staff Daily sales'!$F1467&amp;"")),"Unassigned")</f>
        <v>Unassigned</v>
      </c>
      <c r="E1482">
        <f t="shared" si="378"/>
        <v>0</v>
      </c>
      <c r="F1482">
        <f>IF($E1482=0,0,SUMPRODUCT($AI$5:$DF$5,'Staff Daily sales'!$G1467:$CD1467))</f>
        <v>0</v>
      </c>
      <c r="G1482">
        <f>IF($E1482=0,0,SUMPRODUCT($AI$6:$DF$6,'Staff Daily sales'!$G1467:$CD1467))</f>
        <v>0</v>
      </c>
      <c r="H1482">
        <f t="shared" si="379"/>
        <v>0</v>
      </c>
      <c r="I1482">
        <f t="shared" si="380"/>
        <v>0</v>
      </c>
      <c r="J1482">
        <f t="shared" si="381"/>
        <v>0</v>
      </c>
      <c r="K1482">
        <f t="shared" si="382"/>
        <v>0</v>
      </c>
      <c r="L1482">
        <f>--AND($E1482=1,OR('Staff Dashboard'!$B$6="All",$DH1482='Staff Dashboard'!$B$6),OR('Staff Dashboard'!$B$7="All",$D1482='Staff Dashboard'!$B$7),OR('Staff Dashboard'!$B$8="All",$A1482='Staff Dashboard'!$B$8))</f>
        <v>0</v>
      </c>
      <c r="M1482">
        <f>IF($E1482=0,0,SUMPRODUCT($AI$7:$DF$7,'Staff Daily sales'!$G1467:$CD1467))</f>
        <v>0</v>
      </c>
      <c r="N1482">
        <f>IF($E1482=0,0,SUMPRODUCT($AI$8:$DF$8,'Staff Daily sales'!$G1467:$CD1467))</f>
        <v>0</v>
      </c>
      <c r="O1482">
        <f>IF($E1482=0,0,SUMPRODUCT($AI$9:$DF$9,'Staff Daily sales'!$G1467:$CD1467))</f>
        <v>0</v>
      </c>
      <c r="P1482">
        <f>IF($E1482=0,0,SUMPRODUCT($AI$10:$DF$10,'Staff Daily sales'!$G1467:$CD1467))</f>
        <v>0</v>
      </c>
      <c r="Q1482">
        <f>IF($E1482=0,0,SUMPRODUCT($AI$11:$DF$11,'Staff Daily sales'!$G1467:$CD1467))</f>
        <v>0</v>
      </c>
      <c r="R1482">
        <f>IF($E1482=0,0,SUMPRODUCT($AI$12:$DF$12,'Staff Daily sales'!$G1467:$CD1467))</f>
        <v>0</v>
      </c>
      <c r="S1482">
        <f>IF($E1482=0,0,SUMPRODUCT($AI$13:$DF$13,'Staff Daily sales'!$G1467:$CD1467))</f>
        <v>0</v>
      </c>
      <c r="T1482">
        <f>IF($E1482=0,0,SUMPRODUCT($AI$14:$DF$14,'Staff Daily sales'!$G1467:$CD1467))</f>
        <v>0</v>
      </c>
      <c r="U1482">
        <f>IF($E1482=0,0,SUMPRODUCT($AI$15:$DF$15,'Staff Daily sales'!$G1467:$CD1467))</f>
        <v>0</v>
      </c>
      <c r="V1482">
        <f>IF($E1482=0,0,SUMPRODUCT($AI$16:$DF$16,'Staff Daily sales'!$G1467:$CD1467))</f>
        <v>0</v>
      </c>
      <c r="W1482">
        <f t="shared" si="383"/>
        <v>0</v>
      </c>
      <c r="X1482">
        <f t="shared" si="384"/>
        <v>0</v>
      </c>
      <c r="Y1482">
        <f t="shared" si="385"/>
        <v>0</v>
      </c>
      <c r="Z1482">
        <f t="shared" si="386"/>
        <v>0</v>
      </c>
      <c r="AA1482">
        <f t="shared" si="387"/>
        <v>0</v>
      </c>
      <c r="AB1482">
        <f>--AND($E1482=1,OR('Staff Weekly Trend'!$B$3="All",$DH1482='Staff Weekly Trend'!$B$3),OR('Staff Weekly Trend'!$B$4="All",$D1482='Staff Weekly Trend'!$B$4),OR('Staff Weekly Trend'!$B$5="All",$A1482='Staff Weekly Trend'!$B$5))</f>
        <v>0</v>
      </c>
      <c r="AC1482" t="str">
        <f t="shared" si="388"/>
        <v/>
      </c>
      <c r="AI1482">
        <f t="shared" si="389"/>
        <v>0</v>
      </c>
      <c r="AJ1482">
        <f t="shared" si="390"/>
        <v>0</v>
      </c>
      <c r="AK1482">
        <f t="shared" si="391"/>
        <v>0</v>
      </c>
      <c r="AL1482">
        <f t="shared" si="392"/>
        <v>0</v>
      </c>
      <c r="AM1482">
        <f t="shared" si="393"/>
        <v>0</v>
      </c>
      <c r="DH1482" t="str" cm="1">
        <f t="array" ref="DH1482">IF($A1482="","",_xlfn.LET(_xlpm.c,IFERROR(_xlfn.XLOOKUP($A1482,TRIM('Sales and count'!$A$4:$A$300&amp;""),TRIM('Sales and count'!$B$4:$B$300&amp;"")),""),IF(OR(_xlpm.c="",_xlpm.c="0",LEFT(_xlpm.c,1)="#"),"Not set",_xlpm.c)))</f>
        <v/>
      </c>
    </row>
    <row r="1483" spans="1:112" x14ac:dyDescent="0.25">
      <c r="A1483" t="str">
        <f>IF('Staff Daily sales'!$B1468="","",TRIM('Staff Daily sales'!$B1468&amp;""))</f>
        <v/>
      </c>
      <c r="B1483" t="str">
        <f>IF('Staff Daily sales'!$D1468="","",TRIM('Staff Daily sales'!$D1468&amp;""))</f>
        <v/>
      </c>
      <c r="C1483" t="str">
        <f>IFERROR(TRIM('Staff Daily sales'!$E1468&amp;""),"")</f>
        <v/>
      </c>
      <c r="D1483" t="str">
        <f>IFERROR(IF(TRIM('Staff Daily sales'!$F1468&amp;"")="","Unassigned",TRIM('Staff Daily sales'!$F1468&amp;"")),"Unassigned")</f>
        <v>Unassigned</v>
      </c>
      <c r="E1483">
        <f t="shared" si="378"/>
        <v>0</v>
      </c>
      <c r="F1483">
        <f>IF($E1483=0,0,SUMPRODUCT($AI$5:$DF$5,'Staff Daily sales'!$G1468:$CD1468))</f>
        <v>0</v>
      </c>
      <c r="G1483">
        <f>IF($E1483=0,0,SUMPRODUCT($AI$6:$DF$6,'Staff Daily sales'!$G1468:$CD1468))</f>
        <v>0</v>
      </c>
      <c r="H1483">
        <f t="shared" si="379"/>
        <v>0</v>
      </c>
      <c r="I1483">
        <f t="shared" si="380"/>
        <v>0</v>
      </c>
      <c r="J1483">
        <f t="shared" si="381"/>
        <v>0</v>
      </c>
      <c r="K1483">
        <f t="shared" si="382"/>
        <v>0</v>
      </c>
      <c r="L1483">
        <f>--AND($E1483=1,OR('Staff Dashboard'!$B$6="All",$DH1483='Staff Dashboard'!$B$6),OR('Staff Dashboard'!$B$7="All",$D1483='Staff Dashboard'!$B$7),OR('Staff Dashboard'!$B$8="All",$A1483='Staff Dashboard'!$B$8))</f>
        <v>0</v>
      </c>
      <c r="M1483">
        <f>IF($E1483=0,0,SUMPRODUCT($AI$7:$DF$7,'Staff Daily sales'!$G1468:$CD1468))</f>
        <v>0</v>
      </c>
      <c r="N1483">
        <f>IF($E1483=0,0,SUMPRODUCT($AI$8:$DF$8,'Staff Daily sales'!$G1468:$CD1468))</f>
        <v>0</v>
      </c>
      <c r="O1483">
        <f>IF($E1483=0,0,SUMPRODUCT($AI$9:$DF$9,'Staff Daily sales'!$G1468:$CD1468))</f>
        <v>0</v>
      </c>
      <c r="P1483">
        <f>IF($E1483=0,0,SUMPRODUCT($AI$10:$DF$10,'Staff Daily sales'!$G1468:$CD1468))</f>
        <v>0</v>
      </c>
      <c r="Q1483">
        <f>IF($E1483=0,0,SUMPRODUCT($AI$11:$DF$11,'Staff Daily sales'!$G1468:$CD1468))</f>
        <v>0</v>
      </c>
      <c r="R1483">
        <f>IF($E1483=0,0,SUMPRODUCT($AI$12:$DF$12,'Staff Daily sales'!$G1468:$CD1468))</f>
        <v>0</v>
      </c>
      <c r="S1483">
        <f>IF($E1483=0,0,SUMPRODUCT($AI$13:$DF$13,'Staff Daily sales'!$G1468:$CD1468))</f>
        <v>0</v>
      </c>
      <c r="T1483">
        <f>IF($E1483=0,0,SUMPRODUCT($AI$14:$DF$14,'Staff Daily sales'!$G1468:$CD1468))</f>
        <v>0</v>
      </c>
      <c r="U1483">
        <f>IF($E1483=0,0,SUMPRODUCT($AI$15:$DF$15,'Staff Daily sales'!$G1468:$CD1468))</f>
        <v>0</v>
      </c>
      <c r="V1483">
        <f>IF($E1483=0,0,SUMPRODUCT($AI$16:$DF$16,'Staff Daily sales'!$G1468:$CD1468))</f>
        <v>0</v>
      </c>
      <c r="W1483">
        <f t="shared" si="383"/>
        <v>0</v>
      </c>
      <c r="X1483">
        <f t="shared" si="384"/>
        <v>0</v>
      </c>
      <c r="Y1483">
        <f t="shared" si="385"/>
        <v>0</v>
      </c>
      <c r="Z1483">
        <f t="shared" si="386"/>
        <v>0</v>
      </c>
      <c r="AA1483">
        <f t="shared" si="387"/>
        <v>0</v>
      </c>
      <c r="AB1483">
        <f>--AND($E1483=1,OR('Staff Weekly Trend'!$B$3="All",$DH1483='Staff Weekly Trend'!$B$3),OR('Staff Weekly Trend'!$B$4="All",$D1483='Staff Weekly Trend'!$B$4),OR('Staff Weekly Trend'!$B$5="All",$A1483='Staff Weekly Trend'!$B$5))</f>
        <v>0</v>
      </c>
      <c r="AC1483" t="str">
        <f t="shared" si="388"/>
        <v/>
      </c>
      <c r="AI1483">
        <f t="shared" si="389"/>
        <v>0</v>
      </c>
      <c r="AJ1483">
        <f t="shared" si="390"/>
        <v>0</v>
      </c>
      <c r="AK1483">
        <f t="shared" si="391"/>
        <v>0</v>
      </c>
      <c r="AL1483">
        <f t="shared" si="392"/>
        <v>0</v>
      </c>
      <c r="AM1483">
        <f t="shared" si="393"/>
        <v>0</v>
      </c>
      <c r="DH1483" t="str" cm="1">
        <f t="array" ref="DH1483">IF($A1483="","",_xlfn.LET(_xlpm.c,IFERROR(_xlfn.XLOOKUP($A1483,TRIM('Sales and count'!$A$4:$A$300&amp;""),TRIM('Sales and count'!$B$4:$B$300&amp;"")),""),IF(OR(_xlpm.c="",_xlpm.c="0",LEFT(_xlpm.c,1)="#"),"Not set",_xlpm.c)))</f>
        <v/>
      </c>
    </row>
    <row r="1484" spans="1:112" x14ac:dyDescent="0.25">
      <c r="A1484" t="str">
        <f>IF('Staff Daily sales'!$B1469="","",TRIM('Staff Daily sales'!$B1469&amp;""))</f>
        <v/>
      </c>
      <c r="B1484" t="str">
        <f>IF('Staff Daily sales'!$D1469="","",TRIM('Staff Daily sales'!$D1469&amp;""))</f>
        <v/>
      </c>
      <c r="C1484" t="str">
        <f>IFERROR(TRIM('Staff Daily sales'!$E1469&amp;""),"")</f>
        <v/>
      </c>
      <c r="D1484" t="str">
        <f>IFERROR(IF(TRIM('Staff Daily sales'!$F1469&amp;"")="","Unassigned",TRIM('Staff Daily sales'!$F1469&amp;"")),"Unassigned")</f>
        <v>Unassigned</v>
      </c>
      <c r="E1484">
        <f t="shared" si="378"/>
        <v>0</v>
      </c>
      <c r="F1484">
        <f>IF($E1484=0,0,SUMPRODUCT($AI$5:$DF$5,'Staff Daily sales'!$G1469:$CD1469))</f>
        <v>0</v>
      </c>
      <c r="G1484">
        <f>IF($E1484=0,0,SUMPRODUCT($AI$6:$DF$6,'Staff Daily sales'!$G1469:$CD1469))</f>
        <v>0</v>
      </c>
      <c r="H1484">
        <f t="shared" si="379"/>
        <v>0</v>
      </c>
      <c r="I1484">
        <f t="shared" si="380"/>
        <v>0</v>
      </c>
      <c r="J1484">
        <f t="shared" si="381"/>
        <v>0</v>
      </c>
      <c r="K1484">
        <f t="shared" si="382"/>
        <v>0</v>
      </c>
      <c r="L1484">
        <f>--AND($E1484=1,OR('Staff Dashboard'!$B$6="All",$DH1484='Staff Dashboard'!$B$6),OR('Staff Dashboard'!$B$7="All",$D1484='Staff Dashboard'!$B$7),OR('Staff Dashboard'!$B$8="All",$A1484='Staff Dashboard'!$B$8))</f>
        <v>0</v>
      </c>
      <c r="M1484">
        <f>IF($E1484=0,0,SUMPRODUCT($AI$7:$DF$7,'Staff Daily sales'!$G1469:$CD1469))</f>
        <v>0</v>
      </c>
      <c r="N1484">
        <f>IF($E1484=0,0,SUMPRODUCT($AI$8:$DF$8,'Staff Daily sales'!$G1469:$CD1469))</f>
        <v>0</v>
      </c>
      <c r="O1484">
        <f>IF($E1484=0,0,SUMPRODUCT($AI$9:$DF$9,'Staff Daily sales'!$G1469:$CD1469))</f>
        <v>0</v>
      </c>
      <c r="P1484">
        <f>IF($E1484=0,0,SUMPRODUCT($AI$10:$DF$10,'Staff Daily sales'!$G1469:$CD1469))</f>
        <v>0</v>
      </c>
      <c r="Q1484">
        <f>IF($E1484=0,0,SUMPRODUCT($AI$11:$DF$11,'Staff Daily sales'!$G1469:$CD1469))</f>
        <v>0</v>
      </c>
      <c r="R1484">
        <f>IF($E1484=0,0,SUMPRODUCT($AI$12:$DF$12,'Staff Daily sales'!$G1469:$CD1469))</f>
        <v>0</v>
      </c>
      <c r="S1484">
        <f>IF($E1484=0,0,SUMPRODUCT($AI$13:$DF$13,'Staff Daily sales'!$G1469:$CD1469))</f>
        <v>0</v>
      </c>
      <c r="T1484">
        <f>IF($E1484=0,0,SUMPRODUCT($AI$14:$DF$14,'Staff Daily sales'!$G1469:$CD1469))</f>
        <v>0</v>
      </c>
      <c r="U1484">
        <f>IF($E1484=0,0,SUMPRODUCT($AI$15:$DF$15,'Staff Daily sales'!$G1469:$CD1469))</f>
        <v>0</v>
      </c>
      <c r="V1484">
        <f>IF($E1484=0,0,SUMPRODUCT($AI$16:$DF$16,'Staff Daily sales'!$G1469:$CD1469))</f>
        <v>0</v>
      </c>
      <c r="W1484">
        <f t="shared" si="383"/>
        <v>0</v>
      </c>
      <c r="X1484">
        <f t="shared" si="384"/>
        <v>0</v>
      </c>
      <c r="Y1484">
        <f t="shared" si="385"/>
        <v>0</v>
      </c>
      <c r="Z1484">
        <f t="shared" si="386"/>
        <v>0</v>
      </c>
      <c r="AA1484">
        <f t="shared" si="387"/>
        <v>0</v>
      </c>
      <c r="AB1484">
        <f>--AND($E1484=1,OR('Staff Weekly Trend'!$B$3="All",$DH1484='Staff Weekly Trend'!$B$3),OR('Staff Weekly Trend'!$B$4="All",$D1484='Staff Weekly Trend'!$B$4),OR('Staff Weekly Trend'!$B$5="All",$A1484='Staff Weekly Trend'!$B$5))</f>
        <v>0</v>
      </c>
      <c r="AC1484" t="str">
        <f t="shared" si="388"/>
        <v/>
      </c>
      <c r="AI1484">
        <f t="shared" si="389"/>
        <v>0</v>
      </c>
      <c r="AJ1484">
        <f t="shared" si="390"/>
        <v>0</v>
      </c>
      <c r="AK1484">
        <f t="shared" si="391"/>
        <v>0</v>
      </c>
      <c r="AL1484">
        <f t="shared" si="392"/>
        <v>0</v>
      </c>
      <c r="AM1484">
        <f t="shared" si="393"/>
        <v>0</v>
      </c>
      <c r="DH1484" t="str" cm="1">
        <f t="array" ref="DH1484">IF($A1484="","",_xlfn.LET(_xlpm.c,IFERROR(_xlfn.XLOOKUP($A1484,TRIM('Sales and count'!$A$4:$A$300&amp;""),TRIM('Sales and count'!$B$4:$B$300&amp;"")),""),IF(OR(_xlpm.c="",_xlpm.c="0",LEFT(_xlpm.c,1)="#"),"Not set",_xlpm.c)))</f>
        <v/>
      </c>
    </row>
    <row r="1485" spans="1:112" x14ac:dyDescent="0.25">
      <c r="A1485" t="str">
        <f>IF('Staff Daily sales'!$B1470="","",TRIM('Staff Daily sales'!$B1470&amp;""))</f>
        <v/>
      </c>
      <c r="B1485" t="str">
        <f>IF('Staff Daily sales'!$D1470="","",TRIM('Staff Daily sales'!$D1470&amp;""))</f>
        <v/>
      </c>
      <c r="C1485" t="str">
        <f>IFERROR(TRIM('Staff Daily sales'!$E1470&amp;""),"")</f>
        <v/>
      </c>
      <c r="D1485" t="str">
        <f>IFERROR(IF(TRIM('Staff Daily sales'!$F1470&amp;"")="","Unassigned",TRIM('Staff Daily sales'!$F1470&amp;"")),"Unassigned")</f>
        <v>Unassigned</v>
      </c>
      <c r="E1485">
        <f t="shared" si="378"/>
        <v>0</v>
      </c>
      <c r="F1485">
        <f>IF($E1485=0,0,SUMPRODUCT($AI$5:$DF$5,'Staff Daily sales'!$G1470:$CD1470))</f>
        <v>0</v>
      </c>
      <c r="G1485">
        <f>IF($E1485=0,0,SUMPRODUCT($AI$6:$DF$6,'Staff Daily sales'!$G1470:$CD1470))</f>
        <v>0</v>
      </c>
      <c r="H1485">
        <f t="shared" si="379"/>
        <v>0</v>
      </c>
      <c r="I1485">
        <f t="shared" si="380"/>
        <v>0</v>
      </c>
      <c r="J1485">
        <f t="shared" si="381"/>
        <v>0</v>
      </c>
      <c r="K1485">
        <f t="shared" si="382"/>
        <v>0</v>
      </c>
      <c r="L1485">
        <f>--AND($E1485=1,OR('Staff Dashboard'!$B$6="All",$DH1485='Staff Dashboard'!$B$6),OR('Staff Dashboard'!$B$7="All",$D1485='Staff Dashboard'!$B$7),OR('Staff Dashboard'!$B$8="All",$A1485='Staff Dashboard'!$B$8))</f>
        <v>0</v>
      </c>
      <c r="M1485">
        <f>IF($E1485=0,0,SUMPRODUCT($AI$7:$DF$7,'Staff Daily sales'!$G1470:$CD1470))</f>
        <v>0</v>
      </c>
      <c r="N1485">
        <f>IF($E1485=0,0,SUMPRODUCT($AI$8:$DF$8,'Staff Daily sales'!$G1470:$CD1470))</f>
        <v>0</v>
      </c>
      <c r="O1485">
        <f>IF($E1485=0,0,SUMPRODUCT($AI$9:$DF$9,'Staff Daily sales'!$G1470:$CD1470))</f>
        <v>0</v>
      </c>
      <c r="P1485">
        <f>IF($E1485=0,0,SUMPRODUCT($AI$10:$DF$10,'Staff Daily sales'!$G1470:$CD1470))</f>
        <v>0</v>
      </c>
      <c r="Q1485">
        <f>IF($E1485=0,0,SUMPRODUCT($AI$11:$DF$11,'Staff Daily sales'!$G1470:$CD1470))</f>
        <v>0</v>
      </c>
      <c r="R1485">
        <f>IF($E1485=0,0,SUMPRODUCT($AI$12:$DF$12,'Staff Daily sales'!$G1470:$CD1470))</f>
        <v>0</v>
      </c>
      <c r="S1485">
        <f>IF($E1485=0,0,SUMPRODUCT($AI$13:$DF$13,'Staff Daily sales'!$G1470:$CD1470))</f>
        <v>0</v>
      </c>
      <c r="T1485">
        <f>IF($E1485=0,0,SUMPRODUCT($AI$14:$DF$14,'Staff Daily sales'!$G1470:$CD1470))</f>
        <v>0</v>
      </c>
      <c r="U1485">
        <f>IF($E1485=0,0,SUMPRODUCT($AI$15:$DF$15,'Staff Daily sales'!$G1470:$CD1470))</f>
        <v>0</v>
      </c>
      <c r="V1485">
        <f>IF($E1485=0,0,SUMPRODUCT($AI$16:$DF$16,'Staff Daily sales'!$G1470:$CD1470))</f>
        <v>0</v>
      </c>
      <c r="W1485">
        <f t="shared" si="383"/>
        <v>0</v>
      </c>
      <c r="X1485">
        <f t="shared" si="384"/>
        <v>0</v>
      </c>
      <c r="Y1485">
        <f t="shared" si="385"/>
        <v>0</v>
      </c>
      <c r="Z1485">
        <f t="shared" si="386"/>
        <v>0</v>
      </c>
      <c r="AA1485">
        <f t="shared" si="387"/>
        <v>0</v>
      </c>
      <c r="AB1485">
        <f>--AND($E1485=1,OR('Staff Weekly Trend'!$B$3="All",$DH1485='Staff Weekly Trend'!$B$3),OR('Staff Weekly Trend'!$B$4="All",$D1485='Staff Weekly Trend'!$B$4),OR('Staff Weekly Trend'!$B$5="All",$A1485='Staff Weekly Trend'!$B$5))</f>
        <v>0</v>
      </c>
      <c r="AC1485" t="str">
        <f t="shared" si="388"/>
        <v/>
      </c>
      <c r="AI1485">
        <f t="shared" si="389"/>
        <v>0</v>
      </c>
      <c r="AJ1485">
        <f t="shared" si="390"/>
        <v>0</v>
      </c>
      <c r="AK1485">
        <f t="shared" si="391"/>
        <v>0</v>
      </c>
      <c r="AL1485">
        <f t="shared" si="392"/>
        <v>0</v>
      </c>
      <c r="AM1485">
        <f t="shared" si="393"/>
        <v>0</v>
      </c>
      <c r="DH1485" t="str" cm="1">
        <f t="array" ref="DH1485">IF($A1485="","",_xlfn.LET(_xlpm.c,IFERROR(_xlfn.XLOOKUP($A1485,TRIM('Sales and count'!$A$4:$A$300&amp;""),TRIM('Sales and count'!$B$4:$B$300&amp;"")),""),IF(OR(_xlpm.c="",_xlpm.c="0",LEFT(_xlpm.c,1)="#"),"Not set",_xlpm.c)))</f>
        <v/>
      </c>
    </row>
    <row r="1486" spans="1:112" x14ac:dyDescent="0.25">
      <c r="A1486" t="str">
        <f>IF('Staff Daily sales'!$B1471="","",TRIM('Staff Daily sales'!$B1471&amp;""))</f>
        <v/>
      </c>
      <c r="B1486" t="str">
        <f>IF('Staff Daily sales'!$D1471="","",TRIM('Staff Daily sales'!$D1471&amp;""))</f>
        <v/>
      </c>
      <c r="C1486" t="str">
        <f>IFERROR(TRIM('Staff Daily sales'!$E1471&amp;""),"")</f>
        <v/>
      </c>
      <c r="D1486" t="str">
        <f>IFERROR(IF(TRIM('Staff Daily sales'!$F1471&amp;"")="","Unassigned",TRIM('Staff Daily sales'!$F1471&amp;"")),"Unassigned")</f>
        <v>Unassigned</v>
      </c>
      <c r="E1486">
        <f t="shared" si="378"/>
        <v>0</v>
      </c>
      <c r="F1486">
        <f>IF($E1486=0,0,SUMPRODUCT($AI$5:$DF$5,'Staff Daily sales'!$G1471:$CD1471))</f>
        <v>0</v>
      </c>
      <c r="G1486">
        <f>IF($E1486=0,0,SUMPRODUCT($AI$6:$DF$6,'Staff Daily sales'!$G1471:$CD1471))</f>
        <v>0</v>
      </c>
      <c r="H1486">
        <f t="shared" si="379"/>
        <v>0</v>
      </c>
      <c r="I1486">
        <f t="shared" si="380"/>
        <v>0</v>
      </c>
      <c r="J1486">
        <f t="shared" si="381"/>
        <v>0</v>
      </c>
      <c r="K1486">
        <f t="shared" si="382"/>
        <v>0</v>
      </c>
      <c r="L1486">
        <f>--AND($E1486=1,OR('Staff Dashboard'!$B$6="All",$DH1486='Staff Dashboard'!$B$6),OR('Staff Dashboard'!$B$7="All",$D1486='Staff Dashboard'!$B$7),OR('Staff Dashboard'!$B$8="All",$A1486='Staff Dashboard'!$B$8))</f>
        <v>0</v>
      </c>
      <c r="M1486">
        <f>IF($E1486=0,0,SUMPRODUCT($AI$7:$DF$7,'Staff Daily sales'!$G1471:$CD1471))</f>
        <v>0</v>
      </c>
      <c r="N1486">
        <f>IF($E1486=0,0,SUMPRODUCT($AI$8:$DF$8,'Staff Daily sales'!$G1471:$CD1471))</f>
        <v>0</v>
      </c>
      <c r="O1486">
        <f>IF($E1486=0,0,SUMPRODUCT($AI$9:$DF$9,'Staff Daily sales'!$G1471:$CD1471))</f>
        <v>0</v>
      </c>
      <c r="P1486">
        <f>IF($E1486=0,0,SUMPRODUCT($AI$10:$DF$10,'Staff Daily sales'!$G1471:$CD1471))</f>
        <v>0</v>
      </c>
      <c r="Q1486">
        <f>IF($E1486=0,0,SUMPRODUCT($AI$11:$DF$11,'Staff Daily sales'!$G1471:$CD1471))</f>
        <v>0</v>
      </c>
      <c r="R1486">
        <f>IF($E1486=0,0,SUMPRODUCT($AI$12:$DF$12,'Staff Daily sales'!$G1471:$CD1471))</f>
        <v>0</v>
      </c>
      <c r="S1486">
        <f>IF($E1486=0,0,SUMPRODUCT($AI$13:$DF$13,'Staff Daily sales'!$G1471:$CD1471))</f>
        <v>0</v>
      </c>
      <c r="T1486">
        <f>IF($E1486=0,0,SUMPRODUCT($AI$14:$DF$14,'Staff Daily sales'!$G1471:$CD1471))</f>
        <v>0</v>
      </c>
      <c r="U1486">
        <f>IF($E1486=0,0,SUMPRODUCT($AI$15:$DF$15,'Staff Daily sales'!$G1471:$CD1471))</f>
        <v>0</v>
      </c>
      <c r="V1486">
        <f>IF($E1486=0,0,SUMPRODUCT($AI$16:$DF$16,'Staff Daily sales'!$G1471:$CD1471))</f>
        <v>0</v>
      </c>
      <c r="W1486">
        <f t="shared" si="383"/>
        <v>0</v>
      </c>
      <c r="X1486">
        <f t="shared" si="384"/>
        <v>0</v>
      </c>
      <c r="Y1486">
        <f t="shared" si="385"/>
        <v>0</v>
      </c>
      <c r="Z1486">
        <f t="shared" si="386"/>
        <v>0</v>
      </c>
      <c r="AA1486">
        <f t="shared" si="387"/>
        <v>0</v>
      </c>
      <c r="AB1486">
        <f>--AND($E1486=1,OR('Staff Weekly Trend'!$B$3="All",$DH1486='Staff Weekly Trend'!$B$3),OR('Staff Weekly Trend'!$B$4="All",$D1486='Staff Weekly Trend'!$B$4),OR('Staff Weekly Trend'!$B$5="All",$A1486='Staff Weekly Trend'!$B$5))</f>
        <v>0</v>
      </c>
      <c r="AC1486" t="str">
        <f t="shared" si="388"/>
        <v/>
      </c>
      <c r="AI1486">
        <f t="shared" si="389"/>
        <v>0</v>
      </c>
      <c r="AJ1486">
        <f t="shared" si="390"/>
        <v>0</v>
      </c>
      <c r="AK1486">
        <f t="shared" si="391"/>
        <v>0</v>
      </c>
      <c r="AL1486">
        <f t="shared" si="392"/>
        <v>0</v>
      </c>
      <c r="AM1486">
        <f t="shared" si="393"/>
        <v>0</v>
      </c>
      <c r="DH1486" t="str" cm="1">
        <f t="array" ref="DH1486">IF($A1486="","",_xlfn.LET(_xlpm.c,IFERROR(_xlfn.XLOOKUP($A1486,TRIM('Sales and count'!$A$4:$A$300&amp;""),TRIM('Sales and count'!$B$4:$B$300&amp;"")),""),IF(OR(_xlpm.c="",_xlpm.c="0",LEFT(_xlpm.c,1)="#"),"Not set",_xlpm.c)))</f>
        <v/>
      </c>
    </row>
    <row r="1487" spans="1:112" x14ac:dyDescent="0.25">
      <c r="A1487" t="str">
        <f>IF('Staff Daily sales'!$B1472="","",TRIM('Staff Daily sales'!$B1472&amp;""))</f>
        <v/>
      </c>
      <c r="B1487" t="str">
        <f>IF('Staff Daily sales'!$D1472="","",TRIM('Staff Daily sales'!$D1472&amp;""))</f>
        <v/>
      </c>
      <c r="C1487" t="str">
        <f>IFERROR(TRIM('Staff Daily sales'!$E1472&amp;""),"")</f>
        <v/>
      </c>
      <c r="D1487" t="str">
        <f>IFERROR(IF(TRIM('Staff Daily sales'!$F1472&amp;"")="","Unassigned",TRIM('Staff Daily sales'!$F1472&amp;"")),"Unassigned")</f>
        <v>Unassigned</v>
      </c>
      <c r="E1487">
        <f t="shared" si="378"/>
        <v>0</v>
      </c>
      <c r="F1487">
        <f>IF($E1487=0,0,SUMPRODUCT($AI$5:$DF$5,'Staff Daily sales'!$G1472:$CD1472))</f>
        <v>0</v>
      </c>
      <c r="G1487">
        <f>IF($E1487=0,0,SUMPRODUCT($AI$6:$DF$6,'Staff Daily sales'!$G1472:$CD1472))</f>
        <v>0</v>
      </c>
      <c r="H1487">
        <f t="shared" si="379"/>
        <v>0</v>
      </c>
      <c r="I1487">
        <f t="shared" si="380"/>
        <v>0</v>
      </c>
      <c r="J1487">
        <f t="shared" si="381"/>
        <v>0</v>
      </c>
      <c r="K1487">
        <f t="shared" si="382"/>
        <v>0</v>
      </c>
      <c r="L1487">
        <f>--AND($E1487=1,OR('Staff Dashboard'!$B$6="All",$DH1487='Staff Dashboard'!$B$6),OR('Staff Dashboard'!$B$7="All",$D1487='Staff Dashboard'!$B$7),OR('Staff Dashboard'!$B$8="All",$A1487='Staff Dashboard'!$B$8))</f>
        <v>0</v>
      </c>
      <c r="M1487">
        <f>IF($E1487=0,0,SUMPRODUCT($AI$7:$DF$7,'Staff Daily sales'!$G1472:$CD1472))</f>
        <v>0</v>
      </c>
      <c r="N1487">
        <f>IF($E1487=0,0,SUMPRODUCT($AI$8:$DF$8,'Staff Daily sales'!$G1472:$CD1472))</f>
        <v>0</v>
      </c>
      <c r="O1487">
        <f>IF($E1487=0,0,SUMPRODUCT($AI$9:$DF$9,'Staff Daily sales'!$G1472:$CD1472))</f>
        <v>0</v>
      </c>
      <c r="P1487">
        <f>IF($E1487=0,0,SUMPRODUCT($AI$10:$DF$10,'Staff Daily sales'!$G1472:$CD1472))</f>
        <v>0</v>
      </c>
      <c r="Q1487">
        <f>IF($E1487=0,0,SUMPRODUCT($AI$11:$DF$11,'Staff Daily sales'!$G1472:$CD1472))</f>
        <v>0</v>
      </c>
      <c r="R1487">
        <f>IF($E1487=0,0,SUMPRODUCT($AI$12:$DF$12,'Staff Daily sales'!$G1472:$CD1472))</f>
        <v>0</v>
      </c>
      <c r="S1487">
        <f>IF($E1487=0,0,SUMPRODUCT($AI$13:$DF$13,'Staff Daily sales'!$G1472:$CD1472))</f>
        <v>0</v>
      </c>
      <c r="T1487">
        <f>IF($E1487=0,0,SUMPRODUCT($AI$14:$DF$14,'Staff Daily sales'!$G1472:$CD1472))</f>
        <v>0</v>
      </c>
      <c r="U1487">
        <f>IF($E1487=0,0,SUMPRODUCT($AI$15:$DF$15,'Staff Daily sales'!$G1472:$CD1472))</f>
        <v>0</v>
      </c>
      <c r="V1487">
        <f>IF($E1487=0,0,SUMPRODUCT($AI$16:$DF$16,'Staff Daily sales'!$G1472:$CD1472))</f>
        <v>0</v>
      </c>
      <c r="W1487">
        <f t="shared" si="383"/>
        <v>0</v>
      </c>
      <c r="X1487">
        <f t="shared" si="384"/>
        <v>0</v>
      </c>
      <c r="Y1487">
        <f t="shared" si="385"/>
        <v>0</v>
      </c>
      <c r="Z1487">
        <f t="shared" si="386"/>
        <v>0</v>
      </c>
      <c r="AA1487">
        <f t="shared" si="387"/>
        <v>0</v>
      </c>
      <c r="AB1487">
        <f>--AND($E1487=1,OR('Staff Weekly Trend'!$B$3="All",$DH1487='Staff Weekly Trend'!$B$3),OR('Staff Weekly Trend'!$B$4="All",$D1487='Staff Weekly Trend'!$B$4),OR('Staff Weekly Trend'!$B$5="All",$A1487='Staff Weekly Trend'!$B$5))</f>
        <v>0</v>
      </c>
      <c r="AC1487" t="str">
        <f t="shared" si="388"/>
        <v/>
      </c>
      <c r="AI1487">
        <f t="shared" si="389"/>
        <v>0</v>
      </c>
      <c r="AJ1487">
        <f t="shared" si="390"/>
        <v>0</v>
      </c>
      <c r="AK1487">
        <f t="shared" si="391"/>
        <v>0</v>
      </c>
      <c r="AL1487">
        <f t="shared" si="392"/>
        <v>0</v>
      </c>
      <c r="AM1487">
        <f t="shared" si="393"/>
        <v>0</v>
      </c>
      <c r="DH1487" t="str" cm="1">
        <f t="array" ref="DH1487">IF($A1487="","",_xlfn.LET(_xlpm.c,IFERROR(_xlfn.XLOOKUP($A1487,TRIM('Sales and count'!$A$4:$A$300&amp;""),TRIM('Sales and count'!$B$4:$B$300&amp;"")),""),IF(OR(_xlpm.c="",_xlpm.c="0",LEFT(_xlpm.c,1)="#"),"Not set",_xlpm.c)))</f>
        <v/>
      </c>
    </row>
    <row r="1488" spans="1:112" x14ac:dyDescent="0.25">
      <c r="A1488" t="str">
        <f>IF('Staff Daily sales'!$B1473="","",TRIM('Staff Daily sales'!$B1473&amp;""))</f>
        <v/>
      </c>
      <c r="B1488" t="str">
        <f>IF('Staff Daily sales'!$D1473="","",TRIM('Staff Daily sales'!$D1473&amp;""))</f>
        <v/>
      </c>
      <c r="C1488" t="str">
        <f>IFERROR(TRIM('Staff Daily sales'!$E1473&amp;""),"")</f>
        <v/>
      </c>
      <c r="D1488" t="str">
        <f>IFERROR(IF(TRIM('Staff Daily sales'!$F1473&amp;"")="","Unassigned",TRIM('Staff Daily sales'!$F1473&amp;"")),"Unassigned")</f>
        <v>Unassigned</v>
      </c>
      <c r="E1488">
        <f t="shared" si="378"/>
        <v>0</v>
      </c>
      <c r="F1488">
        <f>IF($E1488=0,0,SUMPRODUCT($AI$5:$DF$5,'Staff Daily sales'!$G1473:$CD1473))</f>
        <v>0</v>
      </c>
      <c r="G1488">
        <f>IF($E1488=0,0,SUMPRODUCT($AI$6:$DF$6,'Staff Daily sales'!$G1473:$CD1473))</f>
        <v>0</v>
      </c>
      <c r="H1488">
        <f t="shared" si="379"/>
        <v>0</v>
      </c>
      <c r="I1488">
        <f t="shared" si="380"/>
        <v>0</v>
      </c>
      <c r="J1488">
        <f t="shared" si="381"/>
        <v>0</v>
      </c>
      <c r="K1488">
        <f t="shared" si="382"/>
        <v>0</v>
      </c>
      <c r="L1488">
        <f>--AND($E1488=1,OR('Staff Dashboard'!$B$6="All",$DH1488='Staff Dashboard'!$B$6),OR('Staff Dashboard'!$B$7="All",$D1488='Staff Dashboard'!$B$7),OR('Staff Dashboard'!$B$8="All",$A1488='Staff Dashboard'!$B$8))</f>
        <v>0</v>
      </c>
      <c r="M1488">
        <f>IF($E1488=0,0,SUMPRODUCT($AI$7:$DF$7,'Staff Daily sales'!$G1473:$CD1473))</f>
        <v>0</v>
      </c>
      <c r="N1488">
        <f>IF($E1488=0,0,SUMPRODUCT($AI$8:$DF$8,'Staff Daily sales'!$G1473:$CD1473))</f>
        <v>0</v>
      </c>
      <c r="O1488">
        <f>IF($E1488=0,0,SUMPRODUCT($AI$9:$DF$9,'Staff Daily sales'!$G1473:$CD1473))</f>
        <v>0</v>
      </c>
      <c r="P1488">
        <f>IF($E1488=0,0,SUMPRODUCT($AI$10:$DF$10,'Staff Daily sales'!$G1473:$CD1473))</f>
        <v>0</v>
      </c>
      <c r="Q1488">
        <f>IF($E1488=0,0,SUMPRODUCT($AI$11:$DF$11,'Staff Daily sales'!$G1473:$CD1473))</f>
        <v>0</v>
      </c>
      <c r="R1488">
        <f>IF($E1488=0,0,SUMPRODUCT($AI$12:$DF$12,'Staff Daily sales'!$G1473:$CD1473))</f>
        <v>0</v>
      </c>
      <c r="S1488">
        <f>IF($E1488=0,0,SUMPRODUCT($AI$13:$DF$13,'Staff Daily sales'!$G1473:$CD1473))</f>
        <v>0</v>
      </c>
      <c r="T1488">
        <f>IF($E1488=0,0,SUMPRODUCT($AI$14:$DF$14,'Staff Daily sales'!$G1473:$CD1473))</f>
        <v>0</v>
      </c>
      <c r="U1488">
        <f>IF($E1488=0,0,SUMPRODUCT($AI$15:$DF$15,'Staff Daily sales'!$G1473:$CD1473))</f>
        <v>0</v>
      </c>
      <c r="V1488">
        <f>IF($E1488=0,0,SUMPRODUCT($AI$16:$DF$16,'Staff Daily sales'!$G1473:$CD1473))</f>
        <v>0</v>
      </c>
      <c r="W1488">
        <f t="shared" si="383"/>
        <v>0</v>
      </c>
      <c r="X1488">
        <f t="shared" si="384"/>
        <v>0</v>
      </c>
      <c r="Y1488">
        <f t="shared" si="385"/>
        <v>0</v>
      </c>
      <c r="Z1488">
        <f t="shared" si="386"/>
        <v>0</v>
      </c>
      <c r="AA1488">
        <f t="shared" si="387"/>
        <v>0</v>
      </c>
      <c r="AB1488">
        <f>--AND($E1488=1,OR('Staff Weekly Trend'!$B$3="All",$DH1488='Staff Weekly Trend'!$B$3),OR('Staff Weekly Trend'!$B$4="All",$D1488='Staff Weekly Trend'!$B$4),OR('Staff Weekly Trend'!$B$5="All",$A1488='Staff Weekly Trend'!$B$5))</f>
        <v>0</v>
      </c>
      <c r="AC1488" t="str">
        <f t="shared" si="388"/>
        <v/>
      </c>
      <c r="AI1488">
        <f t="shared" si="389"/>
        <v>0</v>
      </c>
      <c r="AJ1488">
        <f t="shared" si="390"/>
        <v>0</v>
      </c>
      <c r="AK1488">
        <f t="shared" si="391"/>
        <v>0</v>
      </c>
      <c r="AL1488">
        <f t="shared" si="392"/>
        <v>0</v>
      </c>
      <c r="AM1488">
        <f t="shared" si="393"/>
        <v>0</v>
      </c>
      <c r="DH1488" t="str" cm="1">
        <f t="array" ref="DH1488">IF($A1488="","",_xlfn.LET(_xlpm.c,IFERROR(_xlfn.XLOOKUP($A1488,TRIM('Sales and count'!$A$4:$A$300&amp;""),TRIM('Sales and count'!$B$4:$B$300&amp;"")),""),IF(OR(_xlpm.c="",_xlpm.c="0",LEFT(_xlpm.c,1)="#"),"Not set",_xlpm.c)))</f>
        <v/>
      </c>
    </row>
    <row r="1489" spans="1:112" x14ac:dyDescent="0.25">
      <c r="A1489" t="str">
        <f>IF('Staff Daily sales'!$B1474="","",TRIM('Staff Daily sales'!$B1474&amp;""))</f>
        <v/>
      </c>
      <c r="B1489" t="str">
        <f>IF('Staff Daily sales'!$D1474="","",TRIM('Staff Daily sales'!$D1474&amp;""))</f>
        <v/>
      </c>
      <c r="C1489" t="str">
        <f>IFERROR(TRIM('Staff Daily sales'!$E1474&amp;""),"")</f>
        <v/>
      </c>
      <c r="D1489" t="str">
        <f>IFERROR(IF(TRIM('Staff Daily sales'!$F1474&amp;"")="","Unassigned",TRIM('Staff Daily sales'!$F1474&amp;"")),"Unassigned")</f>
        <v>Unassigned</v>
      </c>
      <c r="E1489">
        <f t="shared" si="378"/>
        <v>0</v>
      </c>
      <c r="F1489">
        <f>IF($E1489=0,0,SUMPRODUCT($AI$5:$DF$5,'Staff Daily sales'!$G1474:$CD1474))</f>
        <v>0</v>
      </c>
      <c r="G1489">
        <f>IF($E1489=0,0,SUMPRODUCT($AI$6:$DF$6,'Staff Daily sales'!$G1474:$CD1474))</f>
        <v>0</v>
      </c>
      <c r="H1489">
        <f t="shared" si="379"/>
        <v>0</v>
      </c>
      <c r="I1489">
        <f t="shared" si="380"/>
        <v>0</v>
      </c>
      <c r="J1489">
        <f t="shared" si="381"/>
        <v>0</v>
      </c>
      <c r="K1489">
        <f t="shared" si="382"/>
        <v>0</v>
      </c>
      <c r="L1489">
        <f>--AND($E1489=1,OR('Staff Dashboard'!$B$6="All",$DH1489='Staff Dashboard'!$B$6),OR('Staff Dashboard'!$B$7="All",$D1489='Staff Dashboard'!$B$7),OR('Staff Dashboard'!$B$8="All",$A1489='Staff Dashboard'!$B$8))</f>
        <v>0</v>
      </c>
      <c r="M1489">
        <f>IF($E1489=0,0,SUMPRODUCT($AI$7:$DF$7,'Staff Daily sales'!$G1474:$CD1474))</f>
        <v>0</v>
      </c>
      <c r="N1489">
        <f>IF($E1489=0,0,SUMPRODUCT($AI$8:$DF$8,'Staff Daily sales'!$G1474:$CD1474))</f>
        <v>0</v>
      </c>
      <c r="O1489">
        <f>IF($E1489=0,0,SUMPRODUCT($AI$9:$DF$9,'Staff Daily sales'!$G1474:$CD1474))</f>
        <v>0</v>
      </c>
      <c r="P1489">
        <f>IF($E1489=0,0,SUMPRODUCT($AI$10:$DF$10,'Staff Daily sales'!$G1474:$CD1474))</f>
        <v>0</v>
      </c>
      <c r="Q1489">
        <f>IF($E1489=0,0,SUMPRODUCT($AI$11:$DF$11,'Staff Daily sales'!$G1474:$CD1474))</f>
        <v>0</v>
      </c>
      <c r="R1489">
        <f>IF($E1489=0,0,SUMPRODUCT($AI$12:$DF$12,'Staff Daily sales'!$G1474:$CD1474))</f>
        <v>0</v>
      </c>
      <c r="S1489">
        <f>IF($E1489=0,0,SUMPRODUCT($AI$13:$DF$13,'Staff Daily sales'!$G1474:$CD1474))</f>
        <v>0</v>
      </c>
      <c r="T1489">
        <f>IF($E1489=0,0,SUMPRODUCT($AI$14:$DF$14,'Staff Daily sales'!$G1474:$CD1474))</f>
        <v>0</v>
      </c>
      <c r="U1489">
        <f>IF($E1489=0,0,SUMPRODUCT($AI$15:$DF$15,'Staff Daily sales'!$G1474:$CD1474))</f>
        <v>0</v>
      </c>
      <c r="V1489">
        <f>IF($E1489=0,0,SUMPRODUCT($AI$16:$DF$16,'Staff Daily sales'!$G1474:$CD1474))</f>
        <v>0</v>
      </c>
      <c r="W1489">
        <f t="shared" si="383"/>
        <v>0</v>
      </c>
      <c r="X1489">
        <f t="shared" si="384"/>
        <v>0</v>
      </c>
      <c r="Y1489">
        <f t="shared" si="385"/>
        <v>0</v>
      </c>
      <c r="Z1489">
        <f t="shared" si="386"/>
        <v>0</v>
      </c>
      <c r="AA1489">
        <f t="shared" si="387"/>
        <v>0</v>
      </c>
      <c r="AB1489">
        <f>--AND($E1489=1,OR('Staff Weekly Trend'!$B$3="All",$DH1489='Staff Weekly Trend'!$B$3),OR('Staff Weekly Trend'!$B$4="All",$D1489='Staff Weekly Trend'!$B$4),OR('Staff Weekly Trend'!$B$5="All",$A1489='Staff Weekly Trend'!$B$5))</f>
        <v>0</v>
      </c>
      <c r="AC1489" t="str">
        <f t="shared" si="388"/>
        <v/>
      </c>
      <c r="AI1489">
        <f t="shared" si="389"/>
        <v>0</v>
      </c>
      <c r="AJ1489">
        <f t="shared" si="390"/>
        <v>0</v>
      </c>
      <c r="AK1489">
        <f t="shared" si="391"/>
        <v>0</v>
      </c>
      <c r="AL1489">
        <f t="shared" si="392"/>
        <v>0</v>
      </c>
      <c r="AM1489">
        <f t="shared" si="393"/>
        <v>0</v>
      </c>
      <c r="DH1489" t="str" cm="1">
        <f t="array" ref="DH1489">IF($A1489="","",_xlfn.LET(_xlpm.c,IFERROR(_xlfn.XLOOKUP($A1489,TRIM('Sales and count'!$A$4:$A$300&amp;""),TRIM('Sales and count'!$B$4:$B$300&amp;"")),""),IF(OR(_xlpm.c="",_xlpm.c="0",LEFT(_xlpm.c,1)="#"),"Not set",_xlpm.c)))</f>
        <v/>
      </c>
    </row>
    <row r="1490" spans="1:112" x14ac:dyDescent="0.25">
      <c r="A1490" t="str">
        <f>IF('Staff Daily sales'!$B1475="","",TRIM('Staff Daily sales'!$B1475&amp;""))</f>
        <v/>
      </c>
      <c r="B1490" t="str">
        <f>IF('Staff Daily sales'!$D1475="","",TRIM('Staff Daily sales'!$D1475&amp;""))</f>
        <v/>
      </c>
      <c r="C1490" t="str">
        <f>IFERROR(TRIM('Staff Daily sales'!$E1475&amp;""),"")</f>
        <v/>
      </c>
      <c r="D1490" t="str">
        <f>IFERROR(IF(TRIM('Staff Daily sales'!$F1475&amp;"")="","Unassigned",TRIM('Staff Daily sales'!$F1475&amp;"")),"Unassigned")</f>
        <v>Unassigned</v>
      </c>
      <c r="E1490">
        <f t="shared" si="378"/>
        <v>0</v>
      </c>
      <c r="F1490">
        <f>IF($E1490=0,0,SUMPRODUCT($AI$5:$DF$5,'Staff Daily sales'!$G1475:$CD1475))</f>
        <v>0</v>
      </c>
      <c r="G1490">
        <f>IF($E1490=0,0,SUMPRODUCT($AI$6:$DF$6,'Staff Daily sales'!$G1475:$CD1475))</f>
        <v>0</v>
      </c>
      <c r="H1490">
        <f t="shared" si="379"/>
        <v>0</v>
      </c>
      <c r="I1490">
        <f t="shared" si="380"/>
        <v>0</v>
      </c>
      <c r="J1490">
        <f t="shared" si="381"/>
        <v>0</v>
      </c>
      <c r="K1490">
        <f t="shared" si="382"/>
        <v>0</v>
      </c>
      <c r="L1490">
        <f>--AND($E1490=1,OR('Staff Dashboard'!$B$6="All",$DH1490='Staff Dashboard'!$B$6),OR('Staff Dashboard'!$B$7="All",$D1490='Staff Dashboard'!$B$7),OR('Staff Dashboard'!$B$8="All",$A1490='Staff Dashboard'!$B$8))</f>
        <v>0</v>
      </c>
      <c r="M1490">
        <f>IF($E1490=0,0,SUMPRODUCT($AI$7:$DF$7,'Staff Daily sales'!$G1475:$CD1475))</f>
        <v>0</v>
      </c>
      <c r="N1490">
        <f>IF($E1490=0,0,SUMPRODUCT($AI$8:$DF$8,'Staff Daily sales'!$G1475:$CD1475))</f>
        <v>0</v>
      </c>
      <c r="O1490">
        <f>IF($E1490=0,0,SUMPRODUCT($AI$9:$DF$9,'Staff Daily sales'!$G1475:$CD1475))</f>
        <v>0</v>
      </c>
      <c r="P1490">
        <f>IF($E1490=0,0,SUMPRODUCT($AI$10:$DF$10,'Staff Daily sales'!$G1475:$CD1475))</f>
        <v>0</v>
      </c>
      <c r="Q1490">
        <f>IF($E1490=0,0,SUMPRODUCT($AI$11:$DF$11,'Staff Daily sales'!$G1475:$CD1475))</f>
        <v>0</v>
      </c>
      <c r="R1490">
        <f>IF($E1490=0,0,SUMPRODUCT($AI$12:$DF$12,'Staff Daily sales'!$G1475:$CD1475))</f>
        <v>0</v>
      </c>
      <c r="S1490">
        <f>IF($E1490=0,0,SUMPRODUCT($AI$13:$DF$13,'Staff Daily sales'!$G1475:$CD1475))</f>
        <v>0</v>
      </c>
      <c r="T1490">
        <f>IF($E1490=0,0,SUMPRODUCT($AI$14:$DF$14,'Staff Daily sales'!$G1475:$CD1475))</f>
        <v>0</v>
      </c>
      <c r="U1490">
        <f>IF($E1490=0,0,SUMPRODUCT($AI$15:$DF$15,'Staff Daily sales'!$G1475:$CD1475))</f>
        <v>0</v>
      </c>
      <c r="V1490">
        <f>IF($E1490=0,0,SUMPRODUCT($AI$16:$DF$16,'Staff Daily sales'!$G1475:$CD1475))</f>
        <v>0</v>
      </c>
      <c r="W1490">
        <f t="shared" si="383"/>
        <v>0</v>
      </c>
      <c r="X1490">
        <f t="shared" si="384"/>
        <v>0</v>
      </c>
      <c r="Y1490">
        <f t="shared" si="385"/>
        <v>0</v>
      </c>
      <c r="Z1490">
        <f t="shared" si="386"/>
        <v>0</v>
      </c>
      <c r="AA1490">
        <f t="shared" si="387"/>
        <v>0</v>
      </c>
      <c r="AB1490">
        <f>--AND($E1490=1,OR('Staff Weekly Trend'!$B$3="All",$DH1490='Staff Weekly Trend'!$B$3),OR('Staff Weekly Trend'!$B$4="All",$D1490='Staff Weekly Trend'!$B$4),OR('Staff Weekly Trend'!$B$5="All",$A1490='Staff Weekly Trend'!$B$5))</f>
        <v>0</v>
      </c>
      <c r="AC1490" t="str">
        <f t="shared" si="388"/>
        <v/>
      </c>
      <c r="AI1490">
        <f t="shared" si="389"/>
        <v>0</v>
      </c>
      <c r="AJ1490">
        <f t="shared" si="390"/>
        <v>0</v>
      </c>
      <c r="AK1490">
        <f t="shared" si="391"/>
        <v>0</v>
      </c>
      <c r="AL1490">
        <f t="shared" si="392"/>
        <v>0</v>
      </c>
      <c r="AM1490">
        <f t="shared" si="393"/>
        <v>0</v>
      </c>
      <c r="DH1490" t="str" cm="1">
        <f t="array" ref="DH1490">IF($A1490="","",_xlfn.LET(_xlpm.c,IFERROR(_xlfn.XLOOKUP($A1490,TRIM('Sales and count'!$A$4:$A$300&amp;""),TRIM('Sales and count'!$B$4:$B$300&amp;"")),""),IF(OR(_xlpm.c="",_xlpm.c="0",LEFT(_xlpm.c,1)="#"),"Not set",_xlpm.c)))</f>
        <v/>
      </c>
    </row>
    <row r="1491" spans="1:112" x14ac:dyDescent="0.25">
      <c r="A1491" t="str">
        <f>IF('Staff Daily sales'!$B1476="","",TRIM('Staff Daily sales'!$B1476&amp;""))</f>
        <v/>
      </c>
      <c r="B1491" t="str">
        <f>IF('Staff Daily sales'!$D1476="","",TRIM('Staff Daily sales'!$D1476&amp;""))</f>
        <v/>
      </c>
      <c r="C1491" t="str">
        <f>IFERROR(TRIM('Staff Daily sales'!$E1476&amp;""),"")</f>
        <v/>
      </c>
      <c r="D1491" t="str">
        <f>IFERROR(IF(TRIM('Staff Daily sales'!$F1476&amp;"")="","Unassigned",TRIM('Staff Daily sales'!$F1476&amp;"")),"Unassigned")</f>
        <v>Unassigned</v>
      </c>
      <c r="E1491">
        <f t="shared" si="378"/>
        <v>0</v>
      </c>
      <c r="F1491">
        <f>IF($E1491=0,0,SUMPRODUCT($AI$5:$DF$5,'Staff Daily sales'!$G1476:$CD1476))</f>
        <v>0</v>
      </c>
      <c r="G1491">
        <f>IF($E1491=0,0,SUMPRODUCT($AI$6:$DF$6,'Staff Daily sales'!$G1476:$CD1476))</f>
        <v>0</v>
      </c>
      <c r="H1491">
        <f t="shared" si="379"/>
        <v>0</v>
      </c>
      <c r="I1491">
        <f t="shared" si="380"/>
        <v>0</v>
      </c>
      <c r="J1491">
        <f t="shared" si="381"/>
        <v>0</v>
      </c>
      <c r="K1491">
        <f t="shared" si="382"/>
        <v>0</v>
      </c>
      <c r="L1491">
        <f>--AND($E1491=1,OR('Staff Dashboard'!$B$6="All",$DH1491='Staff Dashboard'!$B$6),OR('Staff Dashboard'!$B$7="All",$D1491='Staff Dashboard'!$B$7),OR('Staff Dashboard'!$B$8="All",$A1491='Staff Dashboard'!$B$8))</f>
        <v>0</v>
      </c>
      <c r="M1491">
        <f>IF($E1491=0,0,SUMPRODUCT($AI$7:$DF$7,'Staff Daily sales'!$G1476:$CD1476))</f>
        <v>0</v>
      </c>
      <c r="N1491">
        <f>IF($E1491=0,0,SUMPRODUCT($AI$8:$DF$8,'Staff Daily sales'!$G1476:$CD1476))</f>
        <v>0</v>
      </c>
      <c r="O1491">
        <f>IF($E1491=0,0,SUMPRODUCT($AI$9:$DF$9,'Staff Daily sales'!$G1476:$CD1476))</f>
        <v>0</v>
      </c>
      <c r="P1491">
        <f>IF($E1491=0,0,SUMPRODUCT($AI$10:$DF$10,'Staff Daily sales'!$G1476:$CD1476))</f>
        <v>0</v>
      </c>
      <c r="Q1491">
        <f>IF($E1491=0,0,SUMPRODUCT($AI$11:$DF$11,'Staff Daily sales'!$G1476:$CD1476))</f>
        <v>0</v>
      </c>
      <c r="R1491">
        <f>IF($E1491=0,0,SUMPRODUCT($AI$12:$DF$12,'Staff Daily sales'!$G1476:$CD1476))</f>
        <v>0</v>
      </c>
      <c r="S1491">
        <f>IF($E1491=0,0,SUMPRODUCT($AI$13:$DF$13,'Staff Daily sales'!$G1476:$CD1476))</f>
        <v>0</v>
      </c>
      <c r="T1491">
        <f>IF($E1491=0,0,SUMPRODUCT($AI$14:$DF$14,'Staff Daily sales'!$G1476:$CD1476))</f>
        <v>0</v>
      </c>
      <c r="U1491">
        <f>IF($E1491=0,0,SUMPRODUCT($AI$15:$DF$15,'Staff Daily sales'!$G1476:$CD1476))</f>
        <v>0</v>
      </c>
      <c r="V1491">
        <f>IF($E1491=0,0,SUMPRODUCT($AI$16:$DF$16,'Staff Daily sales'!$G1476:$CD1476))</f>
        <v>0</v>
      </c>
      <c r="W1491">
        <f t="shared" si="383"/>
        <v>0</v>
      </c>
      <c r="X1491">
        <f t="shared" si="384"/>
        <v>0</v>
      </c>
      <c r="Y1491">
        <f t="shared" si="385"/>
        <v>0</v>
      </c>
      <c r="Z1491">
        <f t="shared" si="386"/>
        <v>0</v>
      </c>
      <c r="AA1491">
        <f t="shared" si="387"/>
        <v>0</v>
      </c>
      <c r="AB1491">
        <f>--AND($E1491=1,OR('Staff Weekly Trend'!$B$3="All",$DH1491='Staff Weekly Trend'!$B$3),OR('Staff Weekly Trend'!$B$4="All",$D1491='Staff Weekly Trend'!$B$4),OR('Staff Weekly Trend'!$B$5="All",$A1491='Staff Weekly Trend'!$B$5))</f>
        <v>0</v>
      </c>
      <c r="AC1491" t="str">
        <f t="shared" si="388"/>
        <v/>
      </c>
      <c r="AI1491">
        <f t="shared" si="389"/>
        <v>0</v>
      </c>
      <c r="AJ1491">
        <f t="shared" si="390"/>
        <v>0</v>
      </c>
      <c r="AK1491">
        <f t="shared" si="391"/>
        <v>0</v>
      </c>
      <c r="AL1491">
        <f t="shared" si="392"/>
        <v>0</v>
      </c>
      <c r="AM1491">
        <f t="shared" si="393"/>
        <v>0</v>
      </c>
      <c r="DH1491" t="str" cm="1">
        <f t="array" ref="DH1491">IF($A1491="","",_xlfn.LET(_xlpm.c,IFERROR(_xlfn.XLOOKUP($A1491,TRIM('Sales and count'!$A$4:$A$300&amp;""),TRIM('Sales and count'!$B$4:$B$300&amp;"")),""),IF(OR(_xlpm.c="",_xlpm.c="0",LEFT(_xlpm.c,1)="#"),"Not set",_xlpm.c)))</f>
        <v/>
      </c>
    </row>
    <row r="1492" spans="1:112" x14ac:dyDescent="0.25">
      <c r="A1492" t="str">
        <f>IF('Staff Daily sales'!$B1477="","",TRIM('Staff Daily sales'!$B1477&amp;""))</f>
        <v/>
      </c>
      <c r="B1492" t="str">
        <f>IF('Staff Daily sales'!$D1477="","",TRIM('Staff Daily sales'!$D1477&amp;""))</f>
        <v/>
      </c>
      <c r="C1492" t="str">
        <f>IFERROR(TRIM('Staff Daily sales'!$E1477&amp;""),"")</f>
        <v/>
      </c>
      <c r="D1492" t="str">
        <f>IFERROR(IF(TRIM('Staff Daily sales'!$F1477&amp;"")="","Unassigned",TRIM('Staff Daily sales'!$F1477&amp;"")),"Unassigned")</f>
        <v>Unassigned</v>
      </c>
      <c r="E1492">
        <f t="shared" ref="E1492:E1515" si="394">--AND($A1492&lt;&gt;"",$B1492&lt;&gt;"")</f>
        <v>0</v>
      </c>
      <c r="F1492">
        <f>IF($E1492=0,0,SUMPRODUCT($AI$5:$DF$5,'Staff Daily sales'!$G1477:$CD1477))</f>
        <v>0</v>
      </c>
      <c r="G1492">
        <f>IF($E1492=0,0,SUMPRODUCT($AI$6:$DF$6,'Staff Daily sales'!$G1477:$CD1477))</f>
        <v>0</v>
      </c>
      <c r="H1492">
        <f t="shared" ref="H1492:H1515" si="395">IF($E1492=0,0,SUMIFS($F$20:$F$1515,$A$20:$A$1515,$A1492))</f>
        <v>0</v>
      </c>
      <c r="I1492">
        <f t="shared" ref="I1492:I1515" si="396">IF($E1492=0,0,SUMIFS($G$20:$G$1515,$A$20:$A$1515,$A1492))</f>
        <v>0</v>
      </c>
      <c r="J1492">
        <f t="shared" ref="J1492:J1515" si="397">IF($E1492=0,0,SUMIFS($F$20:$F$1515,$D$20:$D$1515,$D1492))</f>
        <v>0</v>
      </c>
      <c r="K1492">
        <f t="shared" ref="K1492:K1515" si="398">IF($E1492=0,0,SUMIFS($G$20:$G$1515,$D$20:$D$1515,$D1492))</f>
        <v>0</v>
      </c>
      <c r="L1492">
        <f>--AND($E1492=1,OR('Staff Dashboard'!$B$6="All",$DH1492='Staff Dashboard'!$B$6),OR('Staff Dashboard'!$B$7="All",$D1492='Staff Dashboard'!$B$7),OR('Staff Dashboard'!$B$8="All",$A1492='Staff Dashboard'!$B$8))</f>
        <v>0</v>
      </c>
      <c r="M1492">
        <f>IF($E1492=0,0,SUMPRODUCT($AI$7:$DF$7,'Staff Daily sales'!$G1477:$CD1477))</f>
        <v>0</v>
      </c>
      <c r="N1492">
        <f>IF($E1492=0,0,SUMPRODUCT($AI$8:$DF$8,'Staff Daily sales'!$G1477:$CD1477))</f>
        <v>0</v>
      </c>
      <c r="O1492">
        <f>IF($E1492=0,0,SUMPRODUCT($AI$9:$DF$9,'Staff Daily sales'!$G1477:$CD1477))</f>
        <v>0</v>
      </c>
      <c r="P1492">
        <f>IF($E1492=0,0,SUMPRODUCT($AI$10:$DF$10,'Staff Daily sales'!$G1477:$CD1477))</f>
        <v>0</v>
      </c>
      <c r="Q1492">
        <f>IF($E1492=0,0,SUMPRODUCT($AI$11:$DF$11,'Staff Daily sales'!$G1477:$CD1477))</f>
        <v>0</v>
      </c>
      <c r="R1492">
        <f>IF($E1492=0,0,SUMPRODUCT($AI$12:$DF$12,'Staff Daily sales'!$G1477:$CD1477))</f>
        <v>0</v>
      </c>
      <c r="S1492">
        <f>IF($E1492=0,0,SUMPRODUCT($AI$13:$DF$13,'Staff Daily sales'!$G1477:$CD1477))</f>
        <v>0</v>
      </c>
      <c r="T1492">
        <f>IF($E1492=0,0,SUMPRODUCT($AI$14:$DF$14,'Staff Daily sales'!$G1477:$CD1477))</f>
        <v>0</v>
      </c>
      <c r="U1492">
        <f>IF($E1492=0,0,SUMPRODUCT($AI$15:$DF$15,'Staff Daily sales'!$G1477:$CD1477))</f>
        <v>0</v>
      </c>
      <c r="V1492">
        <f>IF($E1492=0,0,SUMPRODUCT($AI$16:$DF$16,'Staff Daily sales'!$G1477:$CD1477))</f>
        <v>0</v>
      </c>
      <c r="W1492">
        <f t="shared" ref="W1492:W1515" si="399">IF($E1492=0,0,SUMIFS(M$20:M$1515,$A$20:$A$1515,$A1492))</f>
        <v>0</v>
      </c>
      <c r="X1492">
        <f t="shared" ref="X1492:X1515" si="400">IF($E1492=0,0,SUMIFS(O$20:O$1515,$A$20:$A$1515,$A1492))</f>
        <v>0</v>
      </c>
      <c r="Y1492">
        <f t="shared" ref="Y1492:Y1515" si="401">IF($E1492=0,0,SUMIFS(Q$20:Q$1515,$A$20:$A$1515,$A1492))</f>
        <v>0</v>
      </c>
      <c r="Z1492">
        <f t="shared" ref="Z1492:Z1515" si="402">IF($E1492=0,0,SUMIFS(S$20:S$1515,$A$20:$A$1515,$A1492))</f>
        <v>0</v>
      </c>
      <c r="AA1492">
        <f t="shared" ref="AA1492:AA1515" si="403">IF($E1492=0,0,SUMIFS(U$20:U$1515,$A$20:$A$1515,$A1492))</f>
        <v>0</v>
      </c>
      <c r="AB1492">
        <f>--AND($E1492=1,OR('Staff Weekly Trend'!$B$3="All",$DH1492='Staff Weekly Trend'!$B$3),OR('Staff Weekly Trend'!$B$4="All",$D1492='Staff Weekly Trend'!$B$4),OR('Staff Weekly Trend'!$B$5="All",$A1492='Staff Weekly Trend'!$B$5))</f>
        <v>0</v>
      </c>
      <c r="AC1492" t="str">
        <f t="shared" ref="AC1492:AC1515" si="404">IF(OR($E1492=0,AND($F1492=0,$G1492=0)),"",COUNTIFS($A$20:$A$1515,$A1492,$E$20:$E$1515,1,$F$20:$F$1515,"&gt;"&amp;$F1492)+1)</f>
        <v/>
      </c>
      <c r="AI1492">
        <f t="shared" ref="AI1492:AI1515" si="405">IF($E1492=0,0,SUMIFS(N$20:N$1515,$A$20:$A$1515,$A1492))</f>
        <v>0</v>
      </c>
      <c r="AJ1492">
        <f t="shared" ref="AJ1492:AJ1515" si="406">IF($E1492=0,0,SUMIFS(P$20:P$1515,$A$20:$A$1515,$A1492))</f>
        <v>0</v>
      </c>
      <c r="AK1492">
        <f t="shared" ref="AK1492:AK1515" si="407">IF($E1492=0,0,SUMIFS(R$20:R$1515,$A$20:$A$1515,$A1492))</f>
        <v>0</v>
      </c>
      <c r="AL1492">
        <f t="shared" ref="AL1492:AL1515" si="408">IF($E1492=0,0,SUMIFS(T$20:T$1515,$A$20:$A$1515,$A1492))</f>
        <v>0</v>
      </c>
      <c r="AM1492">
        <f t="shared" ref="AM1492:AM1515" si="409">IF($E1492=0,0,SUMIFS(V$20:V$1515,$A$20:$A$1515,$A1492))</f>
        <v>0</v>
      </c>
      <c r="DH1492" t="str" cm="1">
        <f t="array" ref="DH1492">IF($A1492="","",_xlfn.LET(_xlpm.c,IFERROR(_xlfn.XLOOKUP($A1492,TRIM('Sales and count'!$A$4:$A$300&amp;""),TRIM('Sales and count'!$B$4:$B$300&amp;"")),""),IF(OR(_xlpm.c="",_xlpm.c="0",LEFT(_xlpm.c,1)="#"),"Not set",_xlpm.c)))</f>
        <v/>
      </c>
    </row>
    <row r="1493" spans="1:112" x14ac:dyDescent="0.25">
      <c r="A1493" t="str">
        <f>IF('Staff Daily sales'!$B1478="","",TRIM('Staff Daily sales'!$B1478&amp;""))</f>
        <v/>
      </c>
      <c r="B1493" t="str">
        <f>IF('Staff Daily sales'!$D1478="","",TRIM('Staff Daily sales'!$D1478&amp;""))</f>
        <v/>
      </c>
      <c r="C1493" t="str">
        <f>IFERROR(TRIM('Staff Daily sales'!$E1478&amp;""),"")</f>
        <v/>
      </c>
      <c r="D1493" t="str">
        <f>IFERROR(IF(TRIM('Staff Daily sales'!$F1478&amp;"")="","Unassigned",TRIM('Staff Daily sales'!$F1478&amp;"")),"Unassigned")</f>
        <v>Unassigned</v>
      </c>
      <c r="E1493">
        <f t="shared" si="394"/>
        <v>0</v>
      </c>
      <c r="F1493">
        <f>IF($E1493=0,0,SUMPRODUCT($AI$5:$DF$5,'Staff Daily sales'!$G1478:$CD1478))</f>
        <v>0</v>
      </c>
      <c r="G1493">
        <f>IF($E1493=0,0,SUMPRODUCT($AI$6:$DF$6,'Staff Daily sales'!$G1478:$CD1478))</f>
        <v>0</v>
      </c>
      <c r="H1493">
        <f t="shared" si="395"/>
        <v>0</v>
      </c>
      <c r="I1493">
        <f t="shared" si="396"/>
        <v>0</v>
      </c>
      <c r="J1493">
        <f t="shared" si="397"/>
        <v>0</v>
      </c>
      <c r="K1493">
        <f t="shared" si="398"/>
        <v>0</v>
      </c>
      <c r="L1493">
        <f>--AND($E1493=1,OR('Staff Dashboard'!$B$6="All",$DH1493='Staff Dashboard'!$B$6),OR('Staff Dashboard'!$B$7="All",$D1493='Staff Dashboard'!$B$7),OR('Staff Dashboard'!$B$8="All",$A1493='Staff Dashboard'!$B$8))</f>
        <v>0</v>
      </c>
      <c r="M1493">
        <f>IF($E1493=0,0,SUMPRODUCT($AI$7:$DF$7,'Staff Daily sales'!$G1478:$CD1478))</f>
        <v>0</v>
      </c>
      <c r="N1493">
        <f>IF($E1493=0,0,SUMPRODUCT($AI$8:$DF$8,'Staff Daily sales'!$G1478:$CD1478))</f>
        <v>0</v>
      </c>
      <c r="O1493">
        <f>IF($E1493=0,0,SUMPRODUCT($AI$9:$DF$9,'Staff Daily sales'!$G1478:$CD1478))</f>
        <v>0</v>
      </c>
      <c r="P1493">
        <f>IF($E1493=0,0,SUMPRODUCT($AI$10:$DF$10,'Staff Daily sales'!$G1478:$CD1478))</f>
        <v>0</v>
      </c>
      <c r="Q1493">
        <f>IF($E1493=0,0,SUMPRODUCT($AI$11:$DF$11,'Staff Daily sales'!$G1478:$CD1478))</f>
        <v>0</v>
      </c>
      <c r="R1493">
        <f>IF($E1493=0,0,SUMPRODUCT($AI$12:$DF$12,'Staff Daily sales'!$G1478:$CD1478))</f>
        <v>0</v>
      </c>
      <c r="S1493">
        <f>IF($E1493=0,0,SUMPRODUCT($AI$13:$DF$13,'Staff Daily sales'!$G1478:$CD1478))</f>
        <v>0</v>
      </c>
      <c r="T1493">
        <f>IF($E1493=0,0,SUMPRODUCT($AI$14:$DF$14,'Staff Daily sales'!$G1478:$CD1478))</f>
        <v>0</v>
      </c>
      <c r="U1493">
        <f>IF($E1493=0,0,SUMPRODUCT($AI$15:$DF$15,'Staff Daily sales'!$G1478:$CD1478))</f>
        <v>0</v>
      </c>
      <c r="V1493">
        <f>IF($E1493=0,0,SUMPRODUCT($AI$16:$DF$16,'Staff Daily sales'!$G1478:$CD1478))</f>
        <v>0</v>
      </c>
      <c r="W1493">
        <f t="shared" si="399"/>
        <v>0</v>
      </c>
      <c r="X1493">
        <f t="shared" si="400"/>
        <v>0</v>
      </c>
      <c r="Y1493">
        <f t="shared" si="401"/>
        <v>0</v>
      </c>
      <c r="Z1493">
        <f t="shared" si="402"/>
        <v>0</v>
      </c>
      <c r="AA1493">
        <f t="shared" si="403"/>
        <v>0</v>
      </c>
      <c r="AB1493">
        <f>--AND($E1493=1,OR('Staff Weekly Trend'!$B$3="All",$DH1493='Staff Weekly Trend'!$B$3),OR('Staff Weekly Trend'!$B$4="All",$D1493='Staff Weekly Trend'!$B$4),OR('Staff Weekly Trend'!$B$5="All",$A1493='Staff Weekly Trend'!$B$5))</f>
        <v>0</v>
      </c>
      <c r="AC1493" t="str">
        <f t="shared" si="404"/>
        <v/>
      </c>
      <c r="AI1493">
        <f t="shared" si="405"/>
        <v>0</v>
      </c>
      <c r="AJ1493">
        <f t="shared" si="406"/>
        <v>0</v>
      </c>
      <c r="AK1493">
        <f t="shared" si="407"/>
        <v>0</v>
      </c>
      <c r="AL1493">
        <f t="shared" si="408"/>
        <v>0</v>
      </c>
      <c r="AM1493">
        <f t="shared" si="409"/>
        <v>0</v>
      </c>
      <c r="DH1493" t="str" cm="1">
        <f t="array" ref="DH1493">IF($A1493="","",_xlfn.LET(_xlpm.c,IFERROR(_xlfn.XLOOKUP($A1493,TRIM('Sales and count'!$A$4:$A$300&amp;""),TRIM('Sales and count'!$B$4:$B$300&amp;"")),""),IF(OR(_xlpm.c="",_xlpm.c="0",LEFT(_xlpm.c,1)="#"),"Not set",_xlpm.c)))</f>
        <v/>
      </c>
    </row>
    <row r="1494" spans="1:112" x14ac:dyDescent="0.25">
      <c r="A1494" t="str">
        <f>IF('Staff Daily sales'!$B1479="","",TRIM('Staff Daily sales'!$B1479&amp;""))</f>
        <v/>
      </c>
      <c r="B1494" t="str">
        <f>IF('Staff Daily sales'!$D1479="","",TRIM('Staff Daily sales'!$D1479&amp;""))</f>
        <v/>
      </c>
      <c r="C1494" t="str">
        <f>IFERROR(TRIM('Staff Daily sales'!$E1479&amp;""),"")</f>
        <v/>
      </c>
      <c r="D1494" t="str">
        <f>IFERROR(IF(TRIM('Staff Daily sales'!$F1479&amp;"")="","Unassigned",TRIM('Staff Daily sales'!$F1479&amp;"")),"Unassigned")</f>
        <v>Unassigned</v>
      </c>
      <c r="E1494">
        <f t="shared" si="394"/>
        <v>0</v>
      </c>
      <c r="F1494">
        <f>IF($E1494=0,0,SUMPRODUCT($AI$5:$DF$5,'Staff Daily sales'!$G1479:$CD1479))</f>
        <v>0</v>
      </c>
      <c r="G1494">
        <f>IF($E1494=0,0,SUMPRODUCT($AI$6:$DF$6,'Staff Daily sales'!$G1479:$CD1479))</f>
        <v>0</v>
      </c>
      <c r="H1494">
        <f t="shared" si="395"/>
        <v>0</v>
      </c>
      <c r="I1494">
        <f t="shared" si="396"/>
        <v>0</v>
      </c>
      <c r="J1494">
        <f t="shared" si="397"/>
        <v>0</v>
      </c>
      <c r="K1494">
        <f t="shared" si="398"/>
        <v>0</v>
      </c>
      <c r="L1494">
        <f>--AND($E1494=1,OR('Staff Dashboard'!$B$6="All",$DH1494='Staff Dashboard'!$B$6),OR('Staff Dashboard'!$B$7="All",$D1494='Staff Dashboard'!$B$7),OR('Staff Dashboard'!$B$8="All",$A1494='Staff Dashboard'!$B$8))</f>
        <v>0</v>
      </c>
      <c r="M1494">
        <f>IF($E1494=0,0,SUMPRODUCT($AI$7:$DF$7,'Staff Daily sales'!$G1479:$CD1479))</f>
        <v>0</v>
      </c>
      <c r="N1494">
        <f>IF($E1494=0,0,SUMPRODUCT($AI$8:$DF$8,'Staff Daily sales'!$G1479:$CD1479))</f>
        <v>0</v>
      </c>
      <c r="O1494">
        <f>IF($E1494=0,0,SUMPRODUCT($AI$9:$DF$9,'Staff Daily sales'!$G1479:$CD1479))</f>
        <v>0</v>
      </c>
      <c r="P1494">
        <f>IF($E1494=0,0,SUMPRODUCT($AI$10:$DF$10,'Staff Daily sales'!$G1479:$CD1479))</f>
        <v>0</v>
      </c>
      <c r="Q1494">
        <f>IF($E1494=0,0,SUMPRODUCT($AI$11:$DF$11,'Staff Daily sales'!$G1479:$CD1479))</f>
        <v>0</v>
      </c>
      <c r="R1494">
        <f>IF($E1494=0,0,SUMPRODUCT($AI$12:$DF$12,'Staff Daily sales'!$G1479:$CD1479))</f>
        <v>0</v>
      </c>
      <c r="S1494">
        <f>IF($E1494=0,0,SUMPRODUCT($AI$13:$DF$13,'Staff Daily sales'!$G1479:$CD1479))</f>
        <v>0</v>
      </c>
      <c r="T1494">
        <f>IF($E1494=0,0,SUMPRODUCT($AI$14:$DF$14,'Staff Daily sales'!$G1479:$CD1479))</f>
        <v>0</v>
      </c>
      <c r="U1494">
        <f>IF($E1494=0,0,SUMPRODUCT($AI$15:$DF$15,'Staff Daily sales'!$G1479:$CD1479))</f>
        <v>0</v>
      </c>
      <c r="V1494">
        <f>IF($E1494=0,0,SUMPRODUCT($AI$16:$DF$16,'Staff Daily sales'!$G1479:$CD1479))</f>
        <v>0</v>
      </c>
      <c r="W1494">
        <f t="shared" si="399"/>
        <v>0</v>
      </c>
      <c r="X1494">
        <f t="shared" si="400"/>
        <v>0</v>
      </c>
      <c r="Y1494">
        <f t="shared" si="401"/>
        <v>0</v>
      </c>
      <c r="Z1494">
        <f t="shared" si="402"/>
        <v>0</v>
      </c>
      <c r="AA1494">
        <f t="shared" si="403"/>
        <v>0</v>
      </c>
      <c r="AB1494">
        <f>--AND($E1494=1,OR('Staff Weekly Trend'!$B$3="All",$DH1494='Staff Weekly Trend'!$B$3),OR('Staff Weekly Trend'!$B$4="All",$D1494='Staff Weekly Trend'!$B$4),OR('Staff Weekly Trend'!$B$5="All",$A1494='Staff Weekly Trend'!$B$5))</f>
        <v>0</v>
      </c>
      <c r="AC1494" t="str">
        <f t="shared" si="404"/>
        <v/>
      </c>
      <c r="AI1494">
        <f t="shared" si="405"/>
        <v>0</v>
      </c>
      <c r="AJ1494">
        <f t="shared" si="406"/>
        <v>0</v>
      </c>
      <c r="AK1494">
        <f t="shared" si="407"/>
        <v>0</v>
      </c>
      <c r="AL1494">
        <f t="shared" si="408"/>
        <v>0</v>
      </c>
      <c r="AM1494">
        <f t="shared" si="409"/>
        <v>0</v>
      </c>
      <c r="DH1494" t="str" cm="1">
        <f t="array" ref="DH1494">IF($A1494="","",_xlfn.LET(_xlpm.c,IFERROR(_xlfn.XLOOKUP($A1494,TRIM('Sales and count'!$A$4:$A$300&amp;""),TRIM('Sales and count'!$B$4:$B$300&amp;"")),""),IF(OR(_xlpm.c="",_xlpm.c="0",LEFT(_xlpm.c,1)="#"),"Not set",_xlpm.c)))</f>
        <v/>
      </c>
    </row>
    <row r="1495" spans="1:112" x14ac:dyDescent="0.25">
      <c r="A1495" t="str">
        <f>IF('Staff Daily sales'!$B1480="","",TRIM('Staff Daily sales'!$B1480&amp;""))</f>
        <v/>
      </c>
      <c r="B1495" t="str">
        <f>IF('Staff Daily sales'!$D1480="","",TRIM('Staff Daily sales'!$D1480&amp;""))</f>
        <v/>
      </c>
      <c r="C1495" t="str">
        <f>IFERROR(TRIM('Staff Daily sales'!$E1480&amp;""),"")</f>
        <v/>
      </c>
      <c r="D1495" t="str">
        <f>IFERROR(IF(TRIM('Staff Daily sales'!$F1480&amp;"")="","Unassigned",TRIM('Staff Daily sales'!$F1480&amp;"")),"Unassigned")</f>
        <v>Unassigned</v>
      </c>
      <c r="E1495">
        <f t="shared" si="394"/>
        <v>0</v>
      </c>
      <c r="F1495">
        <f>IF($E1495=0,0,SUMPRODUCT($AI$5:$DF$5,'Staff Daily sales'!$G1480:$CD1480))</f>
        <v>0</v>
      </c>
      <c r="G1495">
        <f>IF($E1495=0,0,SUMPRODUCT($AI$6:$DF$6,'Staff Daily sales'!$G1480:$CD1480))</f>
        <v>0</v>
      </c>
      <c r="H1495">
        <f t="shared" si="395"/>
        <v>0</v>
      </c>
      <c r="I1495">
        <f t="shared" si="396"/>
        <v>0</v>
      </c>
      <c r="J1495">
        <f t="shared" si="397"/>
        <v>0</v>
      </c>
      <c r="K1495">
        <f t="shared" si="398"/>
        <v>0</v>
      </c>
      <c r="L1495">
        <f>--AND($E1495=1,OR('Staff Dashboard'!$B$6="All",$DH1495='Staff Dashboard'!$B$6),OR('Staff Dashboard'!$B$7="All",$D1495='Staff Dashboard'!$B$7),OR('Staff Dashboard'!$B$8="All",$A1495='Staff Dashboard'!$B$8))</f>
        <v>0</v>
      </c>
      <c r="M1495">
        <f>IF($E1495=0,0,SUMPRODUCT($AI$7:$DF$7,'Staff Daily sales'!$G1480:$CD1480))</f>
        <v>0</v>
      </c>
      <c r="N1495">
        <f>IF($E1495=0,0,SUMPRODUCT($AI$8:$DF$8,'Staff Daily sales'!$G1480:$CD1480))</f>
        <v>0</v>
      </c>
      <c r="O1495">
        <f>IF($E1495=0,0,SUMPRODUCT($AI$9:$DF$9,'Staff Daily sales'!$G1480:$CD1480))</f>
        <v>0</v>
      </c>
      <c r="P1495">
        <f>IF($E1495=0,0,SUMPRODUCT($AI$10:$DF$10,'Staff Daily sales'!$G1480:$CD1480))</f>
        <v>0</v>
      </c>
      <c r="Q1495">
        <f>IF($E1495=0,0,SUMPRODUCT($AI$11:$DF$11,'Staff Daily sales'!$G1480:$CD1480))</f>
        <v>0</v>
      </c>
      <c r="R1495">
        <f>IF($E1495=0,0,SUMPRODUCT($AI$12:$DF$12,'Staff Daily sales'!$G1480:$CD1480))</f>
        <v>0</v>
      </c>
      <c r="S1495">
        <f>IF($E1495=0,0,SUMPRODUCT($AI$13:$DF$13,'Staff Daily sales'!$G1480:$CD1480))</f>
        <v>0</v>
      </c>
      <c r="T1495">
        <f>IF($E1495=0,0,SUMPRODUCT($AI$14:$DF$14,'Staff Daily sales'!$G1480:$CD1480))</f>
        <v>0</v>
      </c>
      <c r="U1495">
        <f>IF($E1495=0,0,SUMPRODUCT($AI$15:$DF$15,'Staff Daily sales'!$G1480:$CD1480))</f>
        <v>0</v>
      </c>
      <c r="V1495">
        <f>IF($E1495=0,0,SUMPRODUCT($AI$16:$DF$16,'Staff Daily sales'!$G1480:$CD1480))</f>
        <v>0</v>
      </c>
      <c r="W1495">
        <f t="shared" si="399"/>
        <v>0</v>
      </c>
      <c r="X1495">
        <f t="shared" si="400"/>
        <v>0</v>
      </c>
      <c r="Y1495">
        <f t="shared" si="401"/>
        <v>0</v>
      </c>
      <c r="Z1495">
        <f t="shared" si="402"/>
        <v>0</v>
      </c>
      <c r="AA1495">
        <f t="shared" si="403"/>
        <v>0</v>
      </c>
      <c r="AB1495">
        <f>--AND($E1495=1,OR('Staff Weekly Trend'!$B$3="All",$DH1495='Staff Weekly Trend'!$B$3),OR('Staff Weekly Trend'!$B$4="All",$D1495='Staff Weekly Trend'!$B$4),OR('Staff Weekly Trend'!$B$5="All",$A1495='Staff Weekly Trend'!$B$5))</f>
        <v>0</v>
      </c>
      <c r="AC1495" t="str">
        <f t="shared" si="404"/>
        <v/>
      </c>
      <c r="AI1495">
        <f t="shared" si="405"/>
        <v>0</v>
      </c>
      <c r="AJ1495">
        <f t="shared" si="406"/>
        <v>0</v>
      </c>
      <c r="AK1495">
        <f t="shared" si="407"/>
        <v>0</v>
      </c>
      <c r="AL1495">
        <f t="shared" si="408"/>
        <v>0</v>
      </c>
      <c r="AM1495">
        <f t="shared" si="409"/>
        <v>0</v>
      </c>
      <c r="DH1495" t="str" cm="1">
        <f t="array" ref="DH1495">IF($A1495="","",_xlfn.LET(_xlpm.c,IFERROR(_xlfn.XLOOKUP($A1495,TRIM('Sales and count'!$A$4:$A$300&amp;""),TRIM('Sales and count'!$B$4:$B$300&amp;"")),""),IF(OR(_xlpm.c="",_xlpm.c="0",LEFT(_xlpm.c,1)="#"),"Not set",_xlpm.c)))</f>
        <v/>
      </c>
    </row>
    <row r="1496" spans="1:112" x14ac:dyDescent="0.25">
      <c r="A1496" t="str">
        <f>IF('Staff Daily sales'!$B1481="","",TRIM('Staff Daily sales'!$B1481&amp;""))</f>
        <v/>
      </c>
      <c r="B1496" t="str">
        <f>IF('Staff Daily sales'!$D1481="","",TRIM('Staff Daily sales'!$D1481&amp;""))</f>
        <v/>
      </c>
      <c r="C1496" t="str">
        <f>IFERROR(TRIM('Staff Daily sales'!$E1481&amp;""),"")</f>
        <v/>
      </c>
      <c r="D1496" t="str">
        <f>IFERROR(IF(TRIM('Staff Daily sales'!$F1481&amp;"")="","Unassigned",TRIM('Staff Daily sales'!$F1481&amp;"")),"Unassigned")</f>
        <v>Unassigned</v>
      </c>
      <c r="E1496">
        <f t="shared" si="394"/>
        <v>0</v>
      </c>
      <c r="F1496">
        <f>IF($E1496=0,0,SUMPRODUCT($AI$5:$DF$5,'Staff Daily sales'!$G1481:$CD1481))</f>
        <v>0</v>
      </c>
      <c r="G1496">
        <f>IF($E1496=0,0,SUMPRODUCT($AI$6:$DF$6,'Staff Daily sales'!$G1481:$CD1481))</f>
        <v>0</v>
      </c>
      <c r="H1496">
        <f t="shared" si="395"/>
        <v>0</v>
      </c>
      <c r="I1496">
        <f t="shared" si="396"/>
        <v>0</v>
      </c>
      <c r="J1496">
        <f t="shared" si="397"/>
        <v>0</v>
      </c>
      <c r="K1496">
        <f t="shared" si="398"/>
        <v>0</v>
      </c>
      <c r="L1496">
        <f>--AND($E1496=1,OR('Staff Dashboard'!$B$6="All",$DH1496='Staff Dashboard'!$B$6),OR('Staff Dashboard'!$B$7="All",$D1496='Staff Dashboard'!$B$7),OR('Staff Dashboard'!$B$8="All",$A1496='Staff Dashboard'!$B$8))</f>
        <v>0</v>
      </c>
      <c r="M1496">
        <f>IF($E1496=0,0,SUMPRODUCT($AI$7:$DF$7,'Staff Daily sales'!$G1481:$CD1481))</f>
        <v>0</v>
      </c>
      <c r="N1496">
        <f>IF($E1496=0,0,SUMPRODUCT($AI$8:$DF$8,'Staff Daily sales'!$G1481:$CD1481))</f>
        <v>0</v>
      </c>
      <c r="O1496">
        <f>IF($E1496=0,0,SUMPRODUCT($AI$9:$DF$9,'Staff Daily sales'!$G1481:$CD1481))</f>
        <v>0</v>
      </c>
      <c r="P1496">
        <f>IF($E1496=0,0,SUMPRODUCT($AI$10:$DF$10,'Staff Daily sales'!$G1481:$CD1481))</f>
        <v>0</v>
      </c>
      <c r="Q1496">
        <f>IF($E1496=0,0,SUMPRODUCT($AI$11:$DF$11,'Staff Daily sales'!$G1481:$CD1481))</f>
        <v>0</v>
      </c>
      <c r="R1496">
        <f>IF($E1496=0,0,SUMPRODUCT($AI$12:$DF$12,'Staff Daily sales'!$G1481:$CD1481))</f>
        <v>0</v>
      </c>
      <c r="S1496">
        <f>IF($E1496=0,0,SUMPRODUCT($AI$13:$DF$13,'Staff Daily sales'!$G1481:$CD1481))</f>
        <v>0</v>
      </c>
      <c r="T1496">
        <f>IF($E1496=0,0,SUMPRODUCT($AI$14:$DF$14,'Staff Daily sales'!$G1481:$CD1481))</f>
        <v>0</v>
      </c>
      <c r="U1496">
        <f>IF($E1496=0,0,SUMPRODUCT($AI$15:$DF$15,'Staff Daily sales'!$G1481:$CD1481))</f>
        <v>0</v>
      </c>
      <c r="V1496">
        <f>IF($E1496=0,0,SUMPRODUCT($AI$16:$DF$16,'Staff Daily sales'!$G1481:$CD1481))</f>
        <v>0</v>
      </c>
      <c r="W1496">
        <f t="shared" si="399"/>
        <v>0</v>
      </c>
      <c r="X1496">
        <f t="shared" si="400"/>
        <v>0</v>
      </c>
      <c r="Y1496">
        <f t="shared" si="401"/>
        <v>0</v>
      </c>
      <c r="Z1496">
        <f t="shared" si="402"/>
        <v>0</v>
      </c>
      <c r="AA1496">
        <f t="shared" si="403"/>
        <v>0</v>
      </c>
      <c r="AB1496">
        <f>--AND($E1496=1,OR('Staff Weekly Trend'!$B$3="All",$DH1496='Staff Weekly Trend'!$B$3),OR('Staff Weekly Trend'!$B$4="All",$D1496='Staff Weekly Trend'!$B$4),OR('Staff Weekly Trend'!$B$5="All",$A1496='Staff Weekly Trend'!$B$5))</f>
        <v>0</v>
      </c>
      <c r="AC1496" t="str">
        <f t="shared" si="404"/>
        <v/>
      </c>
      <c r="AI1496">
        <f t="shared" si="405"/>
        <v>0</v>
      </c>
      <c r="AJ1496">
        <f t="shared" si="406"/>
        <v>0</v>
      </c>
      <c r="AK1496">
        <f t="shared" si="407"/>
        <v>0</v>
      </c>
      <c r="AL1496">
        <f t="shared" si="408"/>
        <v>0</v>
      </c>
      <c r="AM1496">
        <f t="shared" si="409"/>
        <v>0</v>
      </c>
      <c r="DH1496" t="str" cm="1">
        <f t="array" ref="DH1496">IF($A1496="","",_xlfn.LET(_xlpm.c,IFERROR(_xlfn.XLOOKUP($A1496,TRIM('Sales and count'!$A$4:$A$300&amp;""),TRIM('Sales and count'!$B$4:$B$300&amp;"")),""),IF(OR(_xlpm.c="",_xlpm.c="0",LEFT(_xlpm.c,1)="#"),"Not set",_xlpm.c)))</f>
        <v/>
      </c>
    </row>
    <row r="1497" spans="1:112" x14ac:dyDescent="0.25">
      <c r="A1497" t="str">
        <f>IF('Staff Daily sales'!$B1482="","",TRIM('Staff Daily sales'!$B1482&amp;""))</f>
        <v/>
      </c>
      <c r="B1497" t="str">
        <f>IF('Staff Daily sales'!$D1482="","",TRIM('Staff Daily sales'!$D1482&amp;""))</f>
        <v/>
      </c>
      <c r="C1497" t="str">
        <f>IFERROR(TRIM('Staff Daily sales'!$E1482&amp;""),"")</f>
        <v/>
      </c>
      <c r="D1497" t="str">
        <f>IFERROR(IF(TRIM('Staff Daily sales'!$F1482&amp;"")="","Unassigned",TRIM('Staff Daily sales'!$F1482&amp;"")),"Unassigned")</f>
        <v>Unassigned</v>
      </c>
      <c r="E1497">
        <f t="shared" si="394"/>
        <v>0</v>
      </c>
      <c r="F1497">
        <f>IF($E1497=0,0,SUMPRODUCT($AI$5:$DF$5,'Staff Daily sales'!$G1482:$CD1482))</f>
        <v>0</v>
      </c>
      <c r="G1497">
        <f>IF($E1497=0,0,SUMPRODUCT($AI$6:$DF$6,'Staff Daily sales'!$G1482:$CD1482))</f>
        <v>0</v>
      </c>
      <c r="H1497">
        <f t="shared" si="395"/>
        <v>0</v>
      </c>
      <c r="I1497">
        <f t="shared" si="396"/>
        <v>0</v>
      </c>
      <c r="J1497">
        <f t="shared" si="397"/>
        <v>0</v>
      </c>
      <c r="K1497">
        <f t="shared" si="398"/>
        <v>0</v>
      </c>
      <c r="L1497">
        <f>--AND($E1497=1,OR('Staff Dashboard'!$B$6="All",$DH1497='Staff Dashboard'!$B$6),OR('Staff Dashboard'!$B$7="All",$D1497='Staff Dashboard'!$B$7),OR('Staff Dashboard'!$B$8="All",$A1497='Staff Dashboard'!$B$8))</f>
        <v>0</v>
      </c>
      <c r="M1497">
        <f>IF($E1497=0,0,SUMPRODUCT($AI$7:$DF$7,'Staff Daily sales'!$G1482:$CD1482))</f>
        <v>0</v>
      </c>
      <c r="N1497">
        <f>IF($E1497=0,0,SUMPRODUCT($AI$8:$DF$8,'Staff Daily sales'!$G1482:$CD1482))</f>
        <v>0</v>
      </c>
      <c r="O1497">
        <f>IF($E1497=0,0,SUMPRODUCT($AI$9:$DF$9,'Staff Daily sales'!$G1482:$CD1482))</f>
        <v>0</v>
      </c>
      <c r="P1497">
        <f>IF($E1497=0,0,SUMPRODUCT($AI$10:$DF$10,'Staff Daily sales'!$G1482:$CD1482))</f>
        <v>0</v>
      </c>
      <c r="Q1497">
        <f>IF($E1497=0,0,SUMPRODUCT($AI$11:$DF$11,'Staff Daily sales'!$G1482:$CD1482))</f>
        <v>0</v>
      </c>
      <c r="R1497">
        <f>IF($E1497=0,0,SUMPRODUCT($AI$12:$DF$12,'Staff Daily sales'!$G1482:$CD1482))</f>
        <v>0</v>
      </c>
      <c r="S1497">
        <f>IF($E1497=0,0,SUMPRODUCT($AI$13:$DF$13,'Staff Daily sales'!$G1482:$CD1482))</f>
        <v>0</v>
      </c>
      <c r="T1497">
        <f>IF($E1497=0,0,SUMPRODUCT($AI$14:$DF$14,'Staff Daily sales'!$G1482:$CD1482))</f>
        <v>0</v>
      </c>
      <c r="U1497">
        <f>IF($E1497=0,0,SUMPRODUCT($AI$15:$DF$15,'Staff Daily sales'!$G1482:$CD1482))</f>
        <v>0</v>
      </c>
      <c r="V1497">
        <f>IF($E1497=0,0,SUMPRODUCT($AI$16:$DF$16,'Staff Daily sales'!$G1482:$CD1482))</f>
        <v>0</v>
      </c>
      <c r="W1497">
        <f t="shared" si="399"/>
        <v>0</v>
      </c>
      <c r="X1497">
        <f t="shared" si="400"/>
        <v>0</v>
      </c>
      <c r="Y1497">
        <f t="shared" si="401"/>
        <v>0</v>
      </c>
      <c r="Z1497">
        <f t="shared" si="402"/>
        <v>0</v>
      </c>
      <c r="AA1497">
        <f t="shared" si="403"/>
        <v>0</v>
      </c>
      <c r="AB1497">
        <f>--AND($E1497=1,OR('Staff Weekly Trend'!$B$3="All",$DH1497='Staff Weekly Trend'!$B$3),OR('Staff Weekly Trend'!$B$4="All",$D1497='Staff Weekly Trend'!$B$4),OR('Staff Weekly Trend'!$B$5="All",$A1497='Staff Weekly Trend'!$B$5))</f>
        <v>0</v>
      </c>
      <c r="AC1497" t="str">
        <f t="shared" si="404"/>
        <v/>
      </c>
      <c r="AI1497">
        <f t="shared" si="405"/>
        <v>0</v>
      </c>
      <c r="AJ1497">
        <f t="shared" si="406"/>
        <v>0</v>
      </c>
      <c r="AK1497">
        <f t="shared" si="407"/>
        <v>0</v>
      </c>
      <c r="AL1497">
        <f t="shared" si="408"/>
        <v>0</v>
      </c>
      <c r="AM1497">
        <f t="shared" si="409"/>
        <v>0</v>
      </c>
      <c r="DH1497" t="str" cm="1">
        <f t="array" ref="DH1497">IF($A1497="","",_xlfn.LET(_xlpm.c,IFERROR(_xlfn.XLOOKUP($A1497,TRIM('Sales and count'!$A$4:$A$300&amp;""),TRIM('Sales and count'!$B$4:$B$300&amp;"")),""),IF(OR(_xlpm.c="",_xlpm.c="0",LEFT(_xlpm.c,1)="#"),"Not set",_xlpm.c)))</f>
        <v/>
      </c>
    </row>
    <row r="1498" spans="1:112" x14ac:dyDescent="0.25">
      <c r="A1498" t="str">
        <f>IF('Staff Daily sales'!$B1483="","",TRIM('Staff Daily sales'!$B1483&amp;""))</f>
        <v/>
      </c>
      <c r="B1498" t="str">
        <f>IF('Staff Daily sales'!$D1483="","",TRIM('Staff Daily sales'!$D1483&amp;""))</f>
        <v/>
      </c>
      <c r="C1498" t="str">
        <f>IFERROR(TRIM('Staff Daily sales'!$E1483&amp;""),"")</f>
        <v/>
      </c>
      <c r="D1498" t="str">
        <f>IFERROR(IF(TRIM('Staff Daily sales'!$F1483&amp;"")="","Unassigned",TRIM('Staff Daily sales'!$F1483&amp;"")),"Unassigned")</f>
        <v>Unassigned</v>
      </c>
      <c r="E1498">
        <f t="shared" si="394"/>
        <v>0</v>
      </c>
      <c r="F1498">
        <f>IF($E1498=0,0,SUMPRODUCT($AI$5:$DF$5,'Staff Daily sales'!$G1483:$CD1483))</f>
        <v>0</v>
      </c>
      <c r="G1498">
        <f>IF($E1498=0,0,SUMPRODUCT($AI$6:$DF$6,'Staff Daily sales'!$G1483:$CD1483))</f>
        <v>0</v>
      </c>
      <c r="H1498">
        <f t="shared" si="395"/>
        <v>0</v>
      </c>
      <c r="I1498">
        <f t="shared" si="396"/>
        <v>0</v>
      </c>
      <c r="J1498">
        <f t="shared" si="397"/>
        <v>0</v>
      </c>
      <c r="K1498">
        <f t="shared" si="398"/>
        <v>0</v>
      </c>
      <c r="L1498">
        <f>--AND($E1498=1,OR('Staff Dashboard'!$B$6="All",$DH1498='Staff Dashboard'!$B$6),OR('Staff Dashboard'!$B$7="All",$D1498='Staff Dashboard'!$B$7),OR('Staff Dashboard'!$B$8="All",$A1498='Staff Dashboard'!$B$8))</f>
        <v>0</v>
      </c>
      <c r="M1498">
        <f>IF($E1498=0,0,SUMPRODUCT($AI$7:$DF$7,'Staff Daily sales'!$G1483:$CD1483))</f>
        <v>0</v>
      </c>
      <c r="N1498">
        <f>IF($E1498=0,0,SUMPRODUCT($AI$8:$DF$8,'Staff Daily sales'!$G1483:$CD1483))</f>
        <v>0</v>
      </c>
      <c r="O1498">
        <f>IF($E1498=0,0,SUMPRODUCT($AI$9:$DF$9,'Staff Daily sales'!$G1483:$CD1483))</f>
        <v>0</v>
      </c>
      <c r="P1498">
        <f>IF($E1498=0,0,SUMPRODUCT($AI$10:$DF$10,'Staff Daily sales'!$G1483:$CD1483))</f>
        <v>0</v>
      </c>
      <c r="Q1498">
        <f>IF($E1498=0,0,SUMPRODUCT($AI$11:$DF$11,'Staff Daily sales'!$G1483:$CD1483))</f>
        <v>0</v>
      </c>
      <c r="R1498">
        <f>IF($E1498=0,0,SUMPRODUCT($AI$12:$DF$12,'Staff Daily sales'!$G1483:$CD1483))</f>
        <v>0</v>
      </c>
      <c r="S1498">
        <f>IF($E1498=0,0,SUMPRODUCT($AI$13:$DF$13,'Staff Daily sales'!$G1483:$CD1483))</f>
        <v>0</v>
      </c>
      <c r="T1498">
        <f>IF($E1498=0,0,SUMPRODUCT($AI$14:$DF$14,'Staff Daily sales'!$G1483:$CD1483))</f>
        <v>0</v>
      </c>
      <c r="U1498">
        <f>IF($E1498=0,0,SUMPRODUCT($AI$15:$DF$15,'Staff Daily sales'!$G1483:$CD1483))</f>
        <v>0</v>
      </c>
      <c r="V1498">
        <f>IF($E1498=0,0,SUMPRODUCT($AI$16:$DF$16,'Staff Daily sales'!$G1483:$CD1483))</f>
        <v>0</v>
      </c>
      <c r="W1498">
        <f t="shared" si="399"/>
        <v>0</v>
      </c>
      <c r="X1498">
        <f t="shared" si="400"/>
        <v>0</v>
      </c>
      <c r="Y1498">
        <f t="shared" si="401"/>
        <v>0</v>
      </c>
      <c r="Z1498">
        <f t="shared" si="402"/>
        <v>0</v>
      </c>
      <c r="AA1498">
        <f t="shared" si="403"/>
        <v>0</v>
      </c>
      <c r="AB1498">
        <f>--AND($E1498=1,OR('Staff Weekly Trend'!$B$3="All",$DH1498='Staff Weekly Trend'!$B$3),OR('Staff Weekly Trend'!$B$4="All",$D1498='Staff Weekly Trend'!$B$4),OR('Staff Weekly Trend'!$B$5="All",$A1498='Staff Weekly Trend'!$B$5))</f>
        <v>0</v>
      </c>
      <c r="AC1498" t="str">
        <f t="shared" si="404"/>
        <v/>
      </c>
      <c r="AI1498">
        <f t="shared" si="405"/>
        <v>0</v>
      </c>
      <c r="AJ1498">
        <f t="shared" si="406"/>
        <v>0</v>
      </c>
      <c r="AK1498">
        <f t="shared" si="407"/>
        <v>0</v>
      </c>
      <c r="AL1498">
        <f t="shared" si="408"/>
        <v>0</v>
      </c>
      <c r="AM1498">
        <f t="shared" si="409"/>
        <v>0</v>
      </c>
      <c r="DH1498" t="str" cm="1">
        <f t="array" ref="DH1498">IF($A1498="","",_xlfn.LET(_xlpm.c,IFERROR(_xlfn.XLOOKUP($A1498,TRIM('Sales and count'!$A$4:$A$300&amp;""),TRIM('Sales and count'!$B$4:$B$300&amp;"")),""),IF(OR(_xlpm.c="",_xlpm.c="0",LEFT(_xlpm.c,1)="#"),"Not set",_xlpm.c)))</f>
        <v/>
      </c>
    </row>
    <row r="1499" spans="1:112" x14ac:dyDescent="0.25">
      <c r="A1499" t="str">
        <f>IF('Staff Daily sales'!$B1484="","",TRIM('Staff Daily sales'!$B1484&amp;""))</f>
        <v/>
      </c>
      <c r="B1499" t="str">
        <f>IF('Staff Daily sales'!$D1484="","",TRIM('Staff Daily sales'!$D1484&amp;""))</f>
        <v/>
      </c>
      <c r="C1499" t="str">
        <f>IFERROR(TRIM('Staff Daily sales'!$E1484&amp;""),"")</f>
        <v/>
      </c>
      <c r="D1499" t="str">
        <f>IFERROR(IF(TRIM('Staff Daily sales'!$F1484&amp;"")="","Unassigned",TRIM('Staff Daily sales'!$F1484&amp;"")),"Unassigned")</f>
        <v>Unassigned</v>
      </c>
      <c r="E1499">
        <f t="shared" si="394"/>
        <v>0</v>
      </c>
      <c r="F1499">
        <f>IF($E1499=0,0,SUMPRODUCT($AI$5:$DF$5,'Staff Daily sales'!$G1484:$CD1484))</f>
        <v>0</v>
      </c>
      <c r="G1499">
        <f>IF($E1499=0,0,SUMPRODUCT($AI$6:$DF$6,'Staff Daily sales'!$G1484:$CD1484))</f>
        <v>0</v>
      </c>
      <c r="H1499">
        <f t="shared" si="395"/>
        <v>0</v>
      </c>
      <c r="I1499">
        <f t="shared" si="396"/>
        <v>0</v>
      </c>
      <c r="J1499">
        <f t="shared" si="397"/>
        <v>0</v>
      </c>
      <c r="K1499">
        <f t="shared" si="398"/>
        <v>0</v>
      </c>
      <c r="L1499">
        <f>--AND($E1499=1,OR('Staff Dashboard'!$B$6="All",$DH1499='Staff Dashboard'!$B$6),OR('Staff Dashboard'!$B$7="All",$D1499='Staff Dashboard'!$B$7),OR('Staff Dashboard'!$B$8="All",$A1499='Staff Dashboard'!$B$8))</f>
        <v>0</v>
      </c>
      <c r="M1499">
        <f>IF($E1499=0,0,SUMPRODUCT($AI$7:$DF$7,'Staff Daily sales'!$G1484:$CD1484))</f>
        <v>0</v>
      </c>
      <c r="N1499">
        <f>IF($E1499=0,0,SUMPRODUCT($AI$8:$DF$8,'Staff Daily sales'!$G1484:$CD1484))</f>
        <v>0</v>
      </c>
      <c r="O1499">
        <f>IF($E1499=0,0,SUMPRODUCT($AI$9:$DF$9,'Staff Daily sales'!$G1484:$CD1484))</f>
        <v>0</v>
      </c>
      <c r="P1499">
        <f>IF($E1499=0,0,SUMPRODUCT($AI$10:$DF$10,'Staff Daily sales'!$G1484:$CD1484))</f>
        <v>0</v>
      </c>
      <c r="Q1499">
        <f>IF($E1499=0,0,SUMPRODUCT($AI$11:$DF$11,'Staff Daily sales'!$G1484:$CD1484))</f>
        <v>0</v>
      </c>
      <c r="R1499">
        <f>IF($E1499=0,0,SUMPRODUCT($AI$12:$DF$12,'Staff Daily sales'!$G1484:$CD1484))</f>
        <v>0</v>
      </c>
      <c r="S1499">
        <f>IF($E1499=0,0,SUMPRODUCT($AI$13:$DF$13,'Staff Daily sales'!$G1484:$CD1484))</f>
        <v>0</v>
      </c>
      <c r="T1499">
        <f>IF($E1499=0,0,SUMPRODUCT($AI$14:$DF$14,'Staff Daily sales'!$G1484:$CD1484))</f>
        <v>0</v>
      </c>
      <c r="U1499">
        <f>IF($E1499=0,0,SUMPRODUCT($AI$15:$DF$15,'Staff Daily sales'!$G1484:$CD1484))</f>
        <v>0</v>
      </c>
      <c r="V1499">
        <f>IF($E1499=0,0,SUMPRODUCT($AI$16:$DF$16,'Staff Daily sales'!$G1484:$CD1484))</f>
        <v>0</v>
      </c>
      <c r="W1499">
        <f t="shared" si="399"/>
        <v>0</v>
      </c>
      <c r="X1499">
        <f t="shared" si="400"/>
        <v>0</v>
      </c>
      <c r="Y1499">
        <f t="shared" si="401"/>
        <v>0</v>
      </c>
      <c r="Z1499">
        <f t="shared" si="402"/>
        <v>0</v>
      </c>
      <c r="AA1499">
        <f t="shared" si="403"/>
        <v>0</v>
      </c>
      <c r="AB1499">
        <f>--AND($E1499=1,OR('Staff Weekly Trend'!$B$3="All",$DH1499='Staff Weekly Trend'!$B$3),OR('Staff Weekly Trend'!$B$4="All",$D1499='Staff Weekly Trend'!$B$4),OR('Staff Weekly Trend'!$B$5="All",$A1499='Staff Weekly Trend'!$B$5))</f>
        <v>0</v>
      </c>
      <c r="AC1499" t="str">
        <f t="shared" si="404"/>
        <v/>
      </c>
      <c r="AI1499">
        <f t="shared" si="405"/>
        <v>0</v>
      </c>
      <c r="AJ1499">
        <f t="shared" si="406"/>
        <v>0</v>
      </c>
      <c r="AK1499">
        <f t="shared" si="407"/>
        <v>0</v>
      </c>
      <c r="AL1499">
        <f t="shared" si="408"/>
        <v>0</v>
      </c>
      <c r="AM1499">
        <f t="shared" si="409"/>
        <v>0</v>
      </c>
      <c r="DH1499" t="str" cm="1">
        <f t="array" ref="DH1499">IF($A1499="","",_xlfn.LET(_xlpm.c,IFERROR(_xlfn.XLOOKUP($A1499,TRIM('Sales and count'!$A$4:$A$300&amp;""),TRIM('Sales and count'!$B$4:$B$300&amp;"")),""),IF(OR(_xlpm.c="",_xlpm.c="0",LEFT(_xlpm.c,1)="#"),"Not set",_xlpm.c)))</f>
        <v/>
      </c>
    </row>
    <row r="1500" spans="1:112" x14ac:dyDescent="0.25">
      <c r="A1500" t="str">
        <f>IF('Staff Daily sales'!$B1485="","",TRIM('Staff Daily sales'!$B1485&amp;""))</f>
        <v/>
      </c>
      <c r="B1500" t="str">
        <f>IF('Staff Daily sales'!$D1485="","",TRIM('Staff Daily sales'!$D1485&amp;""))</f>
        <v/>
      </c>
      <c r="C1500" t="str">
        <f>IFERROR(TRIM('Staff Daily sales'!$E1485&amp;""),"")</f>
        <v/>
      </c>
      <c r="D1500" t="str">
        <f>IFERROR(IF(TRIM('Staff Daily sales'!$F1485&amp;"")="","Unassigned",TRIM('Staff Daily sales'!$F1485&amp;"")),"Unassigned")</f>
        <v>Unassigned</v>
      </c>
      <c r="E1500">
        <f t="shared" si="394"/>
        <v>0</v>
      </c>
      <c r="F1500">
        <f>IF($E1500=0,0,SUMPRODUCT($AI$5:$DF$5,'Staff Daily sales'!$G1485:$CD1485))</f>
        <v>0</v>
      </c>
      <c r="G1500">
        <f>IF($E1500=0,0,SUMPRODUCT($AI$6:$DF$6,'Staff Daily sales'!$G1485:$CD1485))</f>
        <v>0</v>
      </c>
      <c r="H1500">
        <f t="shared" si="395"/>
        <v>0</v>
      </c>
      <c r="I1500">
        <f t="shared" si="396"/>
        <v>0</v>
      </c>
      <c r="J1500">
        <f t="shared" si="397"/>
        <v>0</v>
      </c>
      <c r="K1500">
        <f t="shared" si="398"/>
        <v>0</v>
      </c>
      <c r="L1500">
        <f>--AND($E1500=1,OR('Staff Dashboard'!$B$6="All",$DH1500='Staff Dashboard'!$B$6),OR('Staff Dashboard'!$B$7="All",$D1500='Staff Dashboard'!$B$7),OR('Staff Dashboard'!$B$8="All",$A1500='Staff Dashboard'!$B$8))</f>
        <v>0</v>
      </c>
      <c r="M1500">
        <f>IF($E1500=0,0,SUMPRODUCT($AI$7:$DF$7,'Staff Daily sales'!$G1485:$CD1485))</f>
        <v>0</v>
      </c>
      <c r="N1500">
        <f>IF($E1500=0,0,SUMPRODUCT($AI$8:$DF$8,'Staff Daily sales'!$G1485:$CD1485))</f>
        <v>0</v>
      </c>
      <c r="O1500">
        <f>IF($E1500=0,0,SUMPRODUCT($AI$9:$DF$9,'Staff Daily sales'!$G1485:$CD1485))</f>
        <v>0</v>
      </c>
      <c r="P1500">
        <f>IF($E1500=0,0,SUMPRODUCT($AI$10:$DF$10,'Staff Daily sales'!$G1485:$CD1485))</f>
        <v>0</v>
      </c>
      <c r="Q1500">
        <f>IF($E1500=0,0,SUMPRODUCT($AI$11:$DF$11,'Staff Daily sales'!$G1485:$CD1485))</f>
        <v>0</v>
      </c>
      <c r="R1500">
        <f>IF($E1500=0,0,SUMPRODUCT($AI$12:$DF$12,'Staff Daily sales'!$G1485:$CD1485))</f>
        <v>0</v>
      </c>
      <c r="S1500">
        <f>IF($E1500=0,0,SUMPRODUCT($AI$13:$DF$13,'Staff Daily sales'!$G1485:$CD1485))</f>
        <v>0</v>
      </c>
      <c r="T1500">
        <f>IF($E1500=0,0,SUMPRODUCT($AI$14:$DF$14,'Staff Daily sales'!$G1485:$CD1485))</f>
        <v>0</v>
      </c>
      <c r="U1500">
        <f>IF($E1500=0,0,SUMPRODUCT($AI$15:$DF$15,'Staff Daily sales'!$G1485:$CD1485))</f>
        <v>0</v>
      </c>
      <c r="V1500">
        <f>IF($E1500=0,0,SUMPRODUCT($AI$16:$DF$16,'Staff Daily sales'!$G1485:$CD1485))</f>
        <v>0</v>
      </c>
      <c r="W1500">
        <f t="shared" si="399"/>
        <v>0</v>
      </c>
      <c r="X1500">
        <f t="shared" si="400"/>
        <v>0</v>
      </c>
      <c r="Y1500">
        <f t="shared" si="401"/>
        <v>0</v>
      </c>
      <c r="Z1500">
        <f t="shared" si="402"/>
        <v>0</v>
      </c>
      <c r="AA1500">
        <f t="shared" si="403"/>
        <v>0</v>
      </c>
      <c r="AB1500">
        <f>--AND($E1500=1,OR('Staff Weekly Trend'!$B$3="All",$DH1500='Staff Weekly Trend'!$B$3),OR('Staff Weekly Trend'!$B$4="All",$D1500='Staff Weekly Trend'!$B$4),OR('Staff Weekly Trend'!$B$5="All",$A1500='Staff Weekly Trend'!$B$5))</f>
        <v>0</v>
      </c>
      <c r="AC1500" t="str">
        <f t="shared" si="404"/>
        <v/>
      </c>
      <c r="AI1500">
        <f t="shared" si="405"/>
        <v>0</v>
      </c>
      <c r="AJ1500">
        <f t="shared" si="406"/>
        <v>0</v>
      </c>
      <c r="AK1500">
        <f t="shared" si="407"/>
        <v>0</v>
      </c>
      <c r="AL1500">
        <f t="shared" si="408"/>
        <v>0</v>
      </c>
      <c r="AM1500">
        <f t="shared" si="409"/>
        <v>0</v>
      </c>
      <c r="DH1500" t="str" cm="1">
        <f t="array" ref="DH1500">IF($A1500="","",_xlfn.LET(_xlpm.c,IFERROR(_xlfn.XLOOKUP($A1500,TRIM('Sales and count'!$A$4:$A$300&amp;""),TRIM('Sales and count'!$B$4:$B$300&amp;"")),""),IF(OR(_xlpm.c="",_xlpm.c="0",LEFT(_xlpm.c,1)="#"),"Not set",_xlpm.c)))</f>
        <v/>
      </c>
    </row>
    <row r="1501" spans="1:112" x14ac:dyDescent="0.25">
      <c r="A1501" t="str">
        <f>IF('Staff Daily sales'!$B1486="","",TRIM('Staff Daily sales'!$B1486&amp;""))</f>
        <v/>
      </c>
      <c r="B1501" t="str">
        <f>IF('Staff Daily sales'!$D1486="","",TRIM('Staff Daily sales'!$D1486&amp;""))</f>
        <v/>
      </c>
      <c r="C1501" t="str">
        <f>IFERROR(TRIM('Staff Daily sales'!$E1486&amp;""),"")</f>
        <v/>
      </c>
      <c r="D1501" t="str">
        <f>IFERROR(IF(TRIM('Staff Daily sales'!$F1486&amp;"")="","Unassigned",TRIM('Staff Daily sales'!$F1486&amp;"")),"Unassigned")</f>
        <v>Unassigned</v>
      </c>
      <c r="E1501">
        <f t="shared" si="394"/>
        <v>0</v>
      </c>
      <c r="F1501">
        <f>IF($E1501=0,0,SUMPRODUCT($AI$5:$DF$5,'Staff Daily sales'!$G1486:$CD1486))</f>
        <v>0</v>
      </c>
      <c r="G1501">
        <f>IF($E1501=0,0,SUMPRODUCT($AI$6:$DF$6,'Staff Daily sales'!$G1486:$CD1486))</f>
        <v>0</v>
      </c>
      <c r="H1501">
        <f t="shared" si="395"/>
        <v>0</v>
      </c>
      <c r="I1501">
        <f t="shared" si="396"/>
        <v>0</v>
      </c>
      <c r="J1501">
        <f t="shared" si="397"/>
        <v>0</v>
      </c>
      <c r="K1501">
        <f t="shared" si="398"/>
        <v>0</v>
      </c>
      <c r="L1501">
        <f>--AND($E1501=1,OR('Staff Dashboard'!$B$6="All",$DH1501='Staff Dashboard'!$B$6),OR('Staff Dashboard'!$B$7="All",$D1501='Staff Dashboard'!$B$7),OR('Staff Dashboard'!$B$8="All",$A1501='Staff Dashboard'!$B$8))</f>
        <v>0</v>
      </c>
      <c r="M1501">
        <f>IF($E1501=0,0,SUMPRODUCT($AI$7:$DF$7,'Staff Daily sales'!$G1486:$CD1486))</f>
        <v>0</v>
      </c>
      <c r="N1501">
        <f>IF($E1501=0,0,SUMPRODUCT($AI$8:$DF$8,'Staff Daily sales'!$G1486:$CD1486))</f>
        <v>0</v>
      </c>
      <c r="O1501">
        <f>IF($E1501=0,0,SUMPRODUCT($AI$9:$DF$9,'Staff Daily sales'!$G1486:$CD1486))</f>
        <v>0</v>
      </c>
      <c r="P1501">
        <f>IF($E1501=0,0,SUMPRODUCT($AI$10:$DF$10,'Staff Daily sales'!$G1486:$CD1486))</f>
        <v>0</v>
      </c>
      <c r="Q1501">
        <f>IF($E1501=0,0,SUMPRODUCT($AI$11:$DF$11,'Staff Daily sales'!$G1486:$CD1486))</f>
        <v>0</v>
      </c>
      <c r="R1501">
        <f>IF($E1501=0,0,SUMPRODUCT($AI$12:$DF$12,'Staff Daily sales'!$G1486:$CD1486))</f>
        <v>0</v>
      </c>
      <c r="S1501">
        <f>IF($E1501=0,0,SUMPRODUCT($AI$13:$DF$13,'Staff Daily sales'!$G1486:$CD1486))</f>
        <v>0</v>
      </c>
      <c r="T1501">
        <f>IF($E1501=0,0,SUMPRODUCT($AI$14:$DF$14,'Staff Daily sales'!$G1486:$CD1486))</f>
        <v>0</v>
      </c>
      <c r="U1501">
        <f>IF($E1501=0,0,SUMPRODUCT($AI$15:$DF$15,'Staff Daily sales'!$G1486:$CD1486))</f>
        <v>0</v>
      </c>
      <c r="V1501">
        <f>IF($E1501=0,0,SUMPRODUCT($AI$16:$DF$16,'Staff Daily sales'!$G1486:$CD1486))</f>
        <v>0</v>
      </c>
      <c r="W1501">
        <f t="shared" si="399"/>
        <v>0</v>
      </c>
      <c r="X1501">
        <f t="shared" si="400"/>
        <v>0</v>
      </c>
      <c r="Y1501">
        <f t="shared" si="401"/>
        <v>0</v>
      </c>
      <c r="Z1501">
        <f t="shared" si="402"/>
        <v>0</v>
      </c>
      <c r="AA1501">
        <f t="shared" si="403"/>
        <v>0</v>
      </c>
      <c r="AB1501">
        <f>--AND($E1501=1,OR('Staff Weekly Trend'!$B$3="All",$DH1501='Staff Weekly Trend'!$B$3),OR('Staff Weekly Trend'!$B$4="All",$D1501='Staff Weekly Trend'!$B$4),OR('Staff Weekly Trend'!$B$5="All",$A1501='Staff Weekly Trend'!$B$5))</f>
        <v>0</v>
      </c>
      <c r="AC1501" t="str">
        <f t="shared" si="404"/>
        <v/>
      </c>
      <c r="AI1501">
        <f t="shared" si="405"/>
        <v>0</v>
      </c>
      <c r="AJ1501">
        <f t="shared" si="406"/>
        <v>0</v>
      </c>
      <c r="AK1501">
        <f t="shared" si="407"/>
        <v>0</v>
      </c>
      <c r="AL1501">
        <f t="shared" si="408"/>
        <v>0</v>
      </c>
      <c r="AM1501">
        <f t="shared" si="409"/>
        <v>0</v>
      </c>
      <c r="DH1501" t="str" cm="1">
        <f t="array" ref="DH1501">IF($A1501="","",_xlfn.LET(_xlpm.c,IFERROR(_xlfn.XLOOKUP($A1501,TRIM('Sales and count'!$A$4:$A$300&amp;""),TRIM('Sales and count'!$B$4:$B$300&amp;"")),""),IF(OR(_xlpm.c="",_xlpm.c="0",LEFT(_xlpm.c,1)="#"),"Not set",_xlpm.c)))</f>
        <v/>
      </c>
    </row>
    <row r="1502" spans="1:112" x14ac:dyDescent="0.25">
      <c r="A1502" t="str">
        <f>IF('Staff Daily sales'!$B1487="","",TRIM('Staff Daily sales'!$B1487&amp;""))</f>
        <v/>
      </c>
      <c r="B1502" t="str">
        <f>IF('Staff Daily sales'!$D1487="","",TRIM('Staff Daily sales'!$D1487&amp;""))</f>
        <v/>
      </c>
      <c r="C1502" t="str">
        <f>IFERROR(TRIM('Staff Daily sales'!$E1487&amp;""),"")</f>
        <v/>
      </c>
      <c r="D1502" t="str">
        <f>IFERROR(IF(TRIM('Staff Daily sales'!$F1487&amp;"")="","Unassigned",TRIM('Staff Daily sales'!$F1487&amp;"")),"Unassigned")</f>
        <v>Unassigned</v>
      </c>
      <c r="E1502">
        <f t="shared" si="394"/>
        <v>0</v>
      </c>
      <c r="F1502">
        <f>IF($E1502=0,0,SUMPRODUCT($AI$5:$DF$5,'Staff Daily sales'!$G1487:$CD1487))</f>
        <v>0</v>
      </c>
      <c r="G1502">
        <f>IF($E1502=0,0,SUMPRODUCT($AI$6:$DF$6,'Staff Daily sales'!$G1487:$CD1487))</f>
        <v>0</v>
      </c>
      <c r="H1502">
        <f t="shared" si="395"/>
        <v>0</v>
      </c>
      <c r="I1502">
        <f t="shared" si="396"/>
        <v>0</v>
      </c>
      <c r="J1502">
        <f t="shared" si="397"/>
        <v>0</v>
      </c>
      <c r="K1502">
        <f t="shared" si="398"/>
        <v>0</v>
      </c>
      <c r="L1502">
        <f>--AND($E1502=1,OR('Staff Dashboard'!$B$6="All",$DH1502='Staff Dashboard'!$B$6),OR('Staff Dashboard'!$B$7="All",$D1502='Staff Dashboard'!$B$7),OR('Staff Dashboard'!$B$8="All",$A1502='Staff Dashboard'!$B$8))</f>
        <v>0</v>
      </c>
      <c r="M1502">
        <f>IF($E1502=0,0,SUMPRODUCT($AI$7:$DF$7,'Staff Daily sales'!$G1487:$CD1487))</f>
        <v>0</v>
      </c>
      <c r="N1502">
        <f>IF($E1502=0,0,SUMPRODUCT($AI$8:$DF$8,'Staff Daily sales'!$G1487:$CD1487))</f>
        <v>0</v>
      </c>
      <c r="O1502">
        <f>IF($E1502=0,0,SUMPRODUCT($AI$9:$DF$9,'Staff Daily sales'!$G1487:$CD1487))</f>
        <v>0</v>
      </c>
      <c r="P1502">
        <f>IF($E1502=0,0,SUMPRODUCT($AI$10:$DF$10,'Staff Daily sales'!$G1487:$CD1487))</f>
        <v>0</v>
      </c>
      <c r="Q1502">
        <f>IF($E1502=0,0,SUMPRODUCT($AI$11:$DF$11,'Staff Daily sales'!$G1487:$CD1487))</f>
        <v>0</v>
      </c>
      <c r="R1502">
        <f>IF($E1502=0,0,SUMPRODUCT($AI$12:$DF$12,'Staff Daily sales'!$G1487:$CD1487))</f>
        <v>0</v>
      </c>
      <c r="S1502">
        <f>IF($E1502=0,0,SUMPRODUCT($AI$13:$DF$13,'Staff Daily sales'!$G1487:$CD1487))</f>
        <v>0</v>
      </c>
      <c r="T1502">
        <f>IF($E1502=0,0,SUMPRODUCT($AI$14:$DF$14,'Staff Daily sales'!$G1487:$CD1487))</f>
        <v>0</v>
      </c>
      <c r="U1502">
        <f>IF($E1502=0,0,SUMPRODUCT($AI$15:$DF$15,'Staff Daily sales'!$G1487:$CD1487))</f>
        <v>0</v>
      </c>
      <c r="V1502">
        <f>IF($E1502=0,0,SUMPRODUCT($AI$16:$DF$16,'Staff Daily sales'!$G1487:$CD1487))</f>
        <v>0</v>
      </c>
      <c r="W1502">
        <f t="shared" si="399"/>
        <v>0</v>
      </c>
      <c r="X1502">
        <f t="shared" si="400"/>
        <v>0</v>
      </c>
      <c r="Y1502">
        <f t="shared" si="401"/>
        <v>0</v>
      </c>
      <c r="Z1502">
        <f t="shared" si="402"/>
        <v>0</v>
      </c>
      <c r="AA1502">
        <f t="shared" si="403"/>
        <v>0</v>
      </c>
      <c r="AB1502">
        <f>--AND($E1502=1,OR('Staff Weekly Trend'!$B$3="All",$DH1502='Staff Weekly Trend'!$B$3),OR('Staff Weekly Trend'!$B$4="All",$D1502='Staff Weekly Trend'!$B$4),OR('Staff Weekly Trend'!$B$5="All",$A1502='Staff Weekly Trend'!$B$5))</f>
        <v>0</v>
      </c>
      <c r="AC1502" t="str">
        <f t="shared" si="404"/>
        <v/>
      </c>
      <c r="AI1502">
        <f t="shared" si="405"/>
        <v>0</v>
      </c>
      <c r="AJ1502">
        <f t="shared" si="406"/>
        <v>0</v>
      </c>
      <c r="AK1502">
        <f t="shared" si="407"/>
        <v>0</v>
      </c>
      <c r="AL1502">
        <f t="shared" si="408"/>
        <v>0</v>
      </c>
      <c r="AM1502">
        <f t="shared" si="409"/>
        <v>0</v>
      </c>
      <c r="DH1502" t="str" cm="1">
        <f t="array" ref="DH1502">IF($A1502="","",_xlfn.LET(_xlpm.c,IFERROR(_xlfn.XLOOKUP($A1502,TRIM('Sales and count'!$A$4:$A$300&amp;""),TRIM('Sales and count'!$B$4:$B$300&amp;"")),""),IF(OR(_xlpm.c="",_xlpm.c="0",LEFT(_xlpm.c,1)="#"),"Not set",_xlpm.c)))</f>
        <v/>
      </c>
    </row>
    <row r="1503" spans="1:112" x14ac:dyDescent="0.25">
      <c r="A1503" t="str">
        <f>IF('Staff Daily sales'!$B1488="","",TRIM('Staff Daily sales'!$B1488&amp;""))</f>
        <v/>
      </c>
      <c r="B1503" t="str">
        <f>IF('Staff Daily sales'!$D1488="","",TRIM('Staff Daily sales'!$D1488&amp;""))</f>
        <v/>
      </c>
      <c r="C1503" t="str">
        <f>IFERROR(TRIM('Staff Daily sales'!$E1488&amp;""),"")</f>
        <v/>
      </c>
      <c r="D1503" t="str">
        <f>IFERROR(IF(TRIM('Staff Daily sales'!$F1488&amp;"")="","Unassigned",TRIM('Staff Daily sales'!$F1488&amp;"")),"Unassigned")</f>
        <v>Unassigned</v>
      </c>
      <c r="E1503">
        <f t="shared" si="394"/>
        <v>0</v>
      </c>
      <c r="F1503">
        <f>IF($E1503=0,0,SUMPRODUCT($AI$5:$DF$5,'Staff Daily sales'!$G1488:$CD1488))</f>
        <v>0</v>
      </c>
      <c r="G1503">
        <f>IF($E1503=0,0,SUMPRODUCT($AI$6:$DF$6,'Staff Daily sales'!$G1488:$CD1488))</f>
        <v>0</v>
      </c>
      <c r="H1503">
        <f t="shared" si="395"/>
        <v>0</v>
      </c>
      <c r="I1503">
        <f t="shared" si="396"/>
        <v>0</v>
      </c>
      <c r="J1503">
        <f t="shared" si="397"/>
        <v>0</v>
      </c>
      <c r="K1503">
        <f t="shared" si="398"/>
        <v>0</v>
      </c>
      <c r="L1503">
        <f>--AND($E1503=1,OR('Staff Dashboard'!$B$6="All",$DH1503='Staff Dashboard'!$B$6),OR('Staff Dashboard'!$B$7="All",$D1503='Staff Dashboard'!$B$7),OR('Staff Dashboard'!$B$8="All",$A1503='Staff Dashboard'!$B$8))</f>
        <v>0</v>
      </c>
      <c r="M1503">
        <f>IF($E1503=0,0,SUMPRODUCT($AI$7:$DF$7,'Staff Daily sales'!$G1488:$CD1488))</f>
        <v>0</v>
      </c>
      <c r="N1503">
        <f>IF($E1503=0,0,SUMPRODUCT($AI$8:$DF$8,'Staff Daily sales'!$G1488:$CD1488))</f>
        <v>0</v>
      </c>
      <c r="O1503">
        <f>IF($E1503=0,0,SUMPRODUCT($AI$9:$DF$9,'Staff Daily sales'!$G1488:$CD1488))</f>
        <v>0</v>
      </c>
      <c r="P1503">
        <f>IF($E1503=0,0,SUMPRODUCT($AI$10:$DF$10,'Staff Daily sales'!$G1488:$CD1488))</f>
        <v>0</v>
      </c>
      <c r="Q1503">
        <f>IF($E1503=0,0,SUMPRODUCT($AI$11:$DF$11,'Staff Daily sales'!$G1488:$CD1488))</f>
        <v>0</v>
      </c>
      <c r="R1503">
        <f>IF($E1503=0,0,SUMPRODUCT($AI$12:$DF$12,'Staff Daily sales'!$G1488:$CD1488))</f>
        <v>0</v>
      </c>
      <c r="S1503">
        <f>IF($E1503=0,0,SUMPRODUCT($AI$13:$DF$13,'Staff Daily sales'!$G1488:$CD1488))</f>
        <v>0</v>
      </c>
      <c r="T1503">
        <f>IF($E1503=0,0,SUMPRODUCT($AI$14:$DF$14,'Staff Daily sales'!$G1488:$CD1488))</f>
        <v>0</v>
      </c>
      <c r="U1503">
        <f>IF($E1503=0,0,SUMPRODUCT($AI$15:$DF$15,'Staff Daily sales'!$G1488:$CD1488))</f>
        <v>0</v>
      </c>
      <c r="V1503">
        <f>IF($E1503=0,0,SUMPRODUCT($AI$16:$DF$16,'Staff Daily sales'!$G1488:$CD1488))</f>
        <v>0</v>
      </c>
      <c r="W1503">
        <f t="shared" si="399"/>
        <v>0</v>
      </c>
      <c r="X1503">
        <f t="shared" si="400"/>
        <v>0</v>
      </c>
      <c r="Y1503">
        <f t="shared" si="401"/>
        <v>0</v>
      </c>
      <c r="Z1503">
        <f t="shared" si="402"/>
        <v>0</v>
      </c>
      <c r="AA1503">
        <f t="shared" si="403"/>
        <v>0</v>
      </c>
      <c r="AB1503">
        <f>--AND($E1503=1,OR('Staff Weekly Trend'!$B$3="All",$DH1503='Staff Weekly Trend'!$B$3),OR('Staff Weekly Trend'!$B$4="All",$D1503='Staff Weekly Trend'!$B$4),OR('Staff Weekly Trend'!$B$5="All",$A1503='Staff Weekly Trend'!$B$5))</f>
        <v>0</v>
      </c>
      <c r="AC1503" t="str">
        <f t="shared" si="404"/>
        <v/>
      </c>
      <c r="AI1503">
        <f t="shared" si="405"/>
        <v>0</v>
      </c>
      <c r="AJ1503">
        <f t="shared" si="406"/>
        <v>0</v>
      </c>
      <c r="AK1503">
        <f t="shared" si="407"/>
        <v>0</v>
      </c>
      <c r="AL1503">
        <f t="shared" si="408"/>
        <v>0</v>
      </c>
      <c r="AM1503">
        <f t="shared" si="409"/>
        <v>0</v>
      </c>
      <c r="DH1503" t="str" cm="1">
        <f t="array" ref="DH1503">IF($A1503="","",_xlfn.LET(_xlpm.c,IFERROR(_xlfn.XLOOKUP($A1503,TRIM('Sales and count'!$A$4:$A$300&amp;""),TRIM('Sales and count'!$B$4:$B$300&amp;"")),""),IF(OR(_xlpm.c="",_xlpm.c="0",LEFT(_xlpm.c,1)="#"),"Not set",_xlpm.c)))</f>
        <v/>
      </c>
    </row>
    <row r="1504" spans="1:112" x14ac:dyDescent="0.25">
      <c r="A1504" t="str">
        <f>IF('Staff Daily sales'!$B1489="","",TRIM('Staff Daily sales'!$B1489&amp;""))</f>
        <v/>
      </c>
      <c r="B1504" t="str">
        <f>IF('Staff Daily sales'!$D1489="","",TRIM('Staff Daily sales'!$D1489&amp;""))</f>
        <v/>
      </c>
      <c r="C1504" t="str">
        <f>IFERROR(TRIM('Staff Daily sales'!$E1489&amp;""),"")</f>
        <v/>
      </c>
      <c r="D1504" t="str">
        <f>IFERROR(IF(TRIM('Staff Daily sales'!$F1489&amp;"")="","Unassigned",TRIM('Staff Daily sales'!$F1489&amp;"")),"Unassigned")</f>
        <v>Unassigned</v>
      </c>
      <c r="E1504">
        <f t="shared" si="394"/>
        <v>0</v>
      </c>
      <c r="F1504">
        <f>IF($E1504=0,0,SUMPRODUCT($AI$5:$DF$5,'Staff Daily sales'!$G1489:$CD1489))</f>
        <v>0</v>
      </c>
      <c r="G1504">
        <f>IF($E1504=0,0,SUMPRODUCT($AI$6:$DF$6,'Staff Daily sales'!$G1489:$CD1489))</f>
        <v>0</v>
      </c>
      <c r="H1504">
        <f t="shared" si="395"/>
        <v>0</v>
      </c>
      <c r="I1504">
        <f t="shared" si="396"/>
        <v>0</v>
      </c>
      <c r="J1504">
        <f t="shared" si="397"/>
        <v>0</v>
      </c>
      <c r="K1504">
        <f t="shared" si="398"/>
        <v>0</v>
      </c>
      <c r="L1504">
        <f>--AND($E1504=1,OR('Staff Dashboard'!$B$6="All",$DH1504='Staff Dashboard'!$B$6),OR('Staff Dashboard'!$B$7="All",$D1504='Staff Dashboard'!$B$7),OR('Staff Dashboard'!$B$8="All",$A1504='Staff Dashboard'!$B$8))</f>
        <v>0</v>
      </c>
      <c r="M1504">
        <f>IF($E1504=0,0,SUMPRODUCT($AI$7:$DF$7,'Staff Daily sales'!$G1489:$CD1489))</f>
        <v>0</v>
      </c>
      <c r="N1504">
        <f>IF($E1504=0,0,SUMPRODUCT($AI$8:$DF$8,'Staff Daily sales'!$G1489:$CD1489))</f>
        <v>0</v>
      </c>
      <c r="O1504">
        <f>IF($E1504=0,0,SUMPRODUCT($AI$9:$DF$9,'Staff Daily sales'!$G1489:$CD1489))</f>
        <v>0</v>
      </c>
      <c r="P1504">
        <f>IF($E1504=0,0,SUMPRODUCT($AI$10:$DF$10,'Staff Daily sales'!$G1489:$CD1489))</f>
        <v>0</v>
      </c>
      <c r="Q1504">
        <f>IF($E1504=0,0,SUMPRODUCT($AI$11:$DF$11,'Staff Daily sales'!$G1489:$CD1489))</f>
        <v>0</v>
      </c>
      <c r="R1504">
        <f>IF($E1504=0,0,SUMPRODUCT($AI$12:$DF$12,'Staff Daily sales'!$G1489:$CD1489))</f>
        <v>0</v>
      </c>
      <c r="S1504">
        <f>IF($E1504=0,0,SUMPRODUCT($AI$13:$DF$13,'Staff Daily sales'!$G1489:$CD1489))</f>
        <v>0</v>
      </c>
      <c r="T1504">
        <f>IF($E1504=0,0,SUMPRODUCT($AI$14:$DF$14,'Staff Daily sales'!$G1489:$CD1489))</f>
        <v>0</v>
      </c>
      <c r="U1504">
        <f>IF($E1504=0,0,SUMPRODUCT($AI$15:$DF$15,'Staff Daily sales'!$G1489:$CD1489))</f>
        <v>0</v>
      </c>
      <c r="V1504">
        <f>IF($E1504=0,0,SUMPRODUCT($AI$16:$DF$16,'Staff Daily sales'!$G1489:$CD1489))</f>
        <v>0</v>
      </c>
      <c r="W1504">
        <f t="shared" si="399"/>
        <v>0</v>
      </c>
      <c r="X1504">
        <f t="shared" si="400"/>
        <v>0</v>
      </c>
      <c r="Y1504">
        <f t="shared" si="401"/>
        <v>0</v>
      </c>
      <c r="Z1504">
        <f t="shared" si="402"/>
        <v>0</v>
      </c>
      <c r="AA1504">
        <f t="shared" si="403"/>
        <v>0</v>
      </c>
      <c r="AB1504">
        <f>--AND($E1504=1,OR('Staff Weekly Trend'!$B$3="All",$DH1504='Staff Weekly Trend'!$B$3),OR('Staff Weekly Trend'!$B$4="All",$D1504='Staff Weekly Trend'!$B$4),OR('Staff Weekly Trend'!$B$5="All",$A1504='Staff Weekly Trend'!$B$5))</f>
        <v>0</v>
      </c>
      <c r="AC1504" t="str">
        <f t="shared" si="404"/>
        <v/>
      </c>
      <c r="AI1504">
        <f t="shared" si="405"/>
        <v>0</v>
      </c>
      <c r="AJ1504">
        <f t="shared" si="406"/>
        <v>0</v>
      </c>
      <c r="AK1504">
        <f t="shared" si="407"/>
        <v>0</v>
      </c>
      <c r="AL1504">
        <f t="shared" si="408"/>
        <v>0</v>
      </c>
      <c r="AM1504">
        <f t="shared" si="409"/>
        <v>0</v>
      </c>
      <c r="DH1504" t="str" cm="1">
        <f t="array" ref="DH1504">IF($A1504="","",_xlfn.LET(_xlpm.c,IFERROR(_xlfn.XLOOKUP($A1504,TRIM('Sales and count'!$A$4:$A$300&amp;""),TRIM('Sales and count'!$B$4:$B$300&amp;"")),""),IF(OR(_xlpm.c="",_xlpm.c="0",LEFT(_xlpm.c,1)="#"),"Not set",_xlpm.c)))</f>
        <v/>
      </c>
    </row>
    <row r="1505" spans="1:112" x14ac:dyDescent="0.25">
      <c r="A1505" t="str">
        <f>IF('Staff Daily sales'!$B1490="","",TRIM('Staff Daily sales'!$B1490&amp;""))</f>
        <v/>
      </c>
      <c r="B1505" t="str">
        <f>IF('Staff Daily sales'!$D1490="","",TRIM('Staff Daily sales'!$D1490&amp;""))</f>
        <v/>
      </c>
      <c r="C1505" t="str">
        <f>IFERROR(TRIM('Staff Daily sales'!$E1490&amp;""),"")</f>
        <v/>
      </c>
      <c r="D1505" t="str">
        <f>IFERROR(IF(TRIM('Staff Daily sales'!$F1490&amp;"")="","Unassigned",TRIM('Staff Daily sales'!$F1490&amp;"")),"Unassigned")</f>
        <v>Unassigned</v>
      </c>
      <c r="E1505">
        <f t="shared" si="394"/>
        <v>0</v>
      </c>
      <c r="F1505">
        <f>IF($E1505=0,0,SUMPRODUCT($AI$5:$DF$5,'Staff Daily sales'!$G1490:$CD1490))</f>
        <v>0</v>
      </c>
      <c r="G1505">
        <f>IF($E1505=0,0,SUMPRODUCT($AI$6:$DF$6,'Staff Daily sales'!$G1490:$CD1490))</f>
        <v>0</v>
      </c>
      <c r="H1505">
        <f t="shared" si="395"/>
        <v>0</v>
      </c>
      <c r="I1505">
        <f t="shared" si="396"/>
        <v>0</v>
      </c>
      <c r="J1505">
        <f t="shared" si="397"/>
        <v>0</v>
      </c>
      <c r="K1505">
        <f t="shared" si="398"/>
        <v>0</v>
      </c>
      <c r="L1505">
        <f>--AND($E1505=1,OR('Staff Dashboard'!$B$6="All",$DH1505='Staff Dashboard'!$B$6),OR('Staff Dashboard'!$B$7="All",$D1505='Staff Dashboard'!$B$7),OR('Staff Dashboard'!$B$8="All",$A1505='Staff Dashboard'!$B$8))</f>
        <v>0</v>
      </c>
      <c r="M1505">
        <f>IF($E1505=0,0,SUMPRODUCT($AI$7:$DF$7,'Staff Daily sales'!$G1490:$CD1490))</f>
        <v>0</v>
      </c>
      <c r="N1505">
        <f>IF($E1505=0,0,SUMPRODUCT($AI$8:$DF$8,'Staff Daily sales'!$G1490:$CD1490))</f>
        <v>0</v>
      </c>
      <c r="O1505">
        <f>IF($E1505=0,0,SUMPRODUCT($AI$9:$DF$9,'Staff Daily sales'!$G1490:$CD1490))</f>
        <v>0</v>
      </c>
      <c r="P1505">
        <f>IF($E1505=0,0,SUMPRODUCT($AI$10:$DF$10,'Staff Daily sales'!$G1490:$CD1490))</f>
        <v>0</v>
      </c>
      <c r="Q1505">
        <f>IF($E1505=0,0,SUMPRODUCT($AI$11:$DF$11,'Staff Daily sales'!$G1490:$CD1490))</f>
        <v>0</v>
      </c>
      <c r="R1505">
        <f>IF($E1505=0,0,SUMPRODUCT($AI$12:$DF$12,'Staff Daily sales'!$G1490:$CD1490))</f>
        <v>0</v>
      </c>
      <c r="S1505">
        <f>IF($E1505=0,0,SUMPRODUCT($AI$13:$DF$13,'Staff Daily sales'!$G1490:$CD1490))</f>
        <v>0</v>
      </c>
      <c r="T1505">
        <f>IF($E1505=0,0,SUMPRODUCT($AI$14:$DF$14,'Staff Daily sales'!$G1490:$CD1490))</f>
        <v>0</v>
      </c>
      <c r="U1505">
        <f>IF($E1505=0,0,SUMPRODUCT($AI$15:$DF$15,'Staff Daily sales'!$G1490:$CD1490))</f>
        <v>0</v>
      </c>
      <c r="V1505">
        <f>IF($E1505=0,0,SUMPRODUCT($AI$16:$DF$16,'Staff Daily sales'!$G1490:$CD1490))</f>
        <v>0</v>
      </c>
      <c r="W1505">
        <f t="shared" si="399"/>
        <v>0</v>
      </c>
      <c r="X1505">
        <f t="shared" si="400"/>
        <v>0</v>
      </c>
      <c r="Y1505">
        <f t="shared" si="401"/>
        <v>0</v>
      </c>
      <c r="Z1505">
        <f t="shared" si="402"/>
        <v>0</v>
      </c>
      <c r="AA1505">
        <f t="shared" si="403"/>
        <v>0</v>
      </c>
      <c r="AB1505">
        <f>--AND($E1505=1,OR('Staff Weekly Trend'!$B$3="All",$DH1505='Staff Weekly Trend'!$B$3),OR('Staff Weekly Trend'!$B$4="All",$D1505='Staff Weekly Trend'!$B$4),OR('Staff Weekly Trend'!$B$5="All",$A1505='Staff Weekly Trend'!$B$5))</f>
        <v>0</v>
      </c>
      <c r="AC1505" t="str">
        <f t="shared" si="404"/>
        <v/>
      </c>
      <c r="AI1505">
        <f t="shared" si="405"/>
        <v>0</v>
      </c>
      <c r="AJ1505">
        <f t="shared" si="406"/>
        <v>0</v>
      </c>
      <c r="AK1505">
        <f t="shared" si="407"/>
        <v>0</v>
      </c>
      <c r="AL1505">
        <f t="shared" si="408"/>
        <v>0</v>
      </c>
      <c r="AM1505">
        <f t="shared" si="409"/>
        <v>0</v>
      </c>
      <c r="DH1505" t="str" cm="1">
        <f t="array" ref="DH1505">IF($A1505="","",_xlfn.LET(_xlpm.c,IFERROR(_xlfn.XLOOKUP($A1505,TRIM('Sales and count'!$A$4:$A$300&amp;""),TRIM('Sales and count'!$B$4:$B$300&amp;"")),""),IF(OR(_xlpm.c="",_xlpm.c="0",LEFT(_xlpm.c,1)="#"),"Not set",_xlpm.c)))</f>
        <v/>
      </c>
    </row>
    <row r="1506" spans="1:112" x14ac:dyDescent="0.25">
      <c r="A1506" t="str">
        <f>IF('Staff Daily sales'!$B1491="","",TRIM('Staff Daily sales'!$B1491&amp;""))</f>
        <v/>
      </c>
      <c r="B1506" t="str">
        <f>IF('Staff Daily sales'!$D1491="","",TRIM('Staff Daily sales'!$D1491&amp;""))</f>
        <v/>
      </c>
      <c r="C1506" t="str">
        <f>IFERROR(TRIM('Staff Daily sales'!$E1491&amp;""),"")</f>
        <v/>
      </c>
      <c r="D1506" t="str">
        <f>IFERROR(IF(TRIM('Staff Daily sales'!$F1491&amp;"")="","Unassigned",TRIM('Staff Daily sales'!$F1491&amp;"")),"Unassigned")</f>
        <v>Unassigned</v>
      </c>
      <c r="E1506">
        <f t="shared" si="394"/>
        <v>0</v>
      </c>
      <c r="F1506">
        <f>IF($E1506=0,0,SUMPRODUCT($AI$5:$DF$5,'Staff Daily sales'!$G1491:$CD1491))</f>
        <v>0</v>
      </c>
      <c r="G1506">
        <f>IF($E1506=0,0,SUMPRODUCT($AI$6:$DF$6,'Staff Daily sales'!$G1491:$CD1491))</f>
        <v>0</v>
      </c>
      <c r="H1506">
        <f t="shared" si="395"/>
        <v>0</v>
      </c>
      <c r="I1506">
        <f t="shared" si="396"/>
        <v>0</v>
      </c>
      <c r="J1506">
        <f t="shared" si="397"/>
        <v>0</v>
      </c>
      <c r="K1506">
        <f t="shared" si="398"/>
        <v>0</v>
      </c>
      <c r="L1506">
        <f>--AND($E1506=1,OR('Staff Dashboard'!$B$6="All",$DH1506='Staff Dashboard'!$B$6),OR('Staff Dashboard'!$B$7="All",$D1506='Staff Dashboard'!$B$7),OR('Staff Dashboard'!$B$8="All",$A1506='Staff Dashboard'!$B$8))</f>
        <v>0</v>
      </c>
      <c r="M1506">
        <f>IF($E1506=0,0,SUMPRODUCT($AI$7:$DF$7,'Staff Daily sales'!$G1491:$CD1491))</f>
        <v>0</v>
      </c>
      <c r="N1506">
        <f>IF($E1506=0,0,SUMPRODUCT($AI$8:$DF$8,'Staff Daily sales'!$G1491:$CD1491))</f>
        <v>0</v>
      </c>
      <c r="O1506">
        <f>IF($E1506=0,0,SUMPRODUCT($AI$9:$DF$9,'Staff Daily sales'!$G1491:$CD1491))</f>
        <v>0</v>
      </c>
      <c r="P1506">
        <f>IF($E1506=0,0,SUMPRODUCT($AI$10:$DF$10,'Staff Daily sales'!$G1491:$CD1491))</f>
        <v>0</v>
      </c>
      <c r="Q1506">
        <f>IF($E1506=0,0,SUMPRODUCT($AI$11:$DF$11,'Staff Daily sales'!$G1491:$CD1491))</f>
        <v>0</v>
      </c>
      <c r="R1506">
        <f>IF($E1506=0,0,SUMPRODUCT($AI$12:$DF$12,'Staff Daily sales'!$G1491:$CD1491))</f>
        <v>0</v>
      </c>
      <c r="S1506">
        <f>IF($E1506=0,0,SUMPRODUCT($AI$13:$DF$13,'Staff Daily sales'!$G1491:$CD1491))</f>
        <v>0</v>
      </c>
      <c r="T1506">
        <f>IF($E1506=0,0,SUMPRODUCT($AI$14:$DF$14,'Staff Daily sales'!$G1491:$CD1491))</f>
        <v>0</v>
      </c>
      <c r="U1506">
        <f>IF($E1506=0,0,SUMPRODUCT($AI$15:$DF$15,'Staff Daily sales'!$G1491:$CD1491))</f>
        <v>0</v>
      </c>
      <c r="V1506">
        <f>IF($E1506=0,0,SUMPRODUCT($AI$16:$DF$16,'Staff Daily sales'!$G1491:$CD1491))</f>
        <v>0</v>
      </c>
      <c r="W1506">
        <f t="shared" si="399"/>
        <v>0</v>
      </c>
      <c r="X1506">
        <f t="shared" si="400"/>
        <v>0</v>
      </c>
      <c r="Y1506">
        <f t="shared" si="401"/>
        <v>0</v>
      </c>
      <c r="Z1506">
        <f t="shared" si="402"/>
        <v>0</v>
      </c>
      <c r="AA1506">
        <f t="shared" si="403"/>
        <v>0</v>
      </c>
      <c r="AB1506">
        <f>--AND($E1506=1,OR('Staff Weekly Trend'!$B$3="All",$DH1506='Staff Weekly Trend'!$B$3),OR('Staff Weekly Trend'!$B$4="All",$D1506='Staff Weekly Trend'!$B$4),OR('Staff Weekly Trend'!$B$5="All",$A1506='Staff Weekly Trend'!$B$5))</f>
        <v>0</v>
      </c>
      <c r="AC1506" t="str">
        <f t="shared" si="404"/>
        <v/>
      </c>
      <c r="AI1506">
        <f t="shared" si="405"/>
        <v>0</v>
      </c>
      <c r="AJ1506">
        <f t="shared" si="406"/>
        <v>0</v>
      </c>
      <c r="AK1506">
        <f t="shared" si="407"/>
        <v>0</v>
      </c>
      <c r="AL1506">
        <f t="shared" si="408"/>
        <v>0</v>
      </c>
      <c r="AM1506">
        <f t="shared" si="409"/>
        <v>0</v>
      </c>
      <c r="DH1506" t="str" cm="1">
        <f t="array" ref="DH1506">IF($A1506="","",_xlfn.LET(_xlpm.c,IFERROR(_xlfn.XLOOKUP($A1506,TRIM('Sales and count'!$A$4:$A$300&amp;""),TRIM('Sales and count'!$B$4:$B$300&amp;"")),""),IF(OR(_xlpm.c="",_xlpm.c="0",LEFT(_xlpm.c,1)="#"),"Not set",_xlpm.c)))</f>
        <v/>
      </c>
    </row>
    <row r="1507" spans="1:112" x14ac:dyDescent="0.25">
      <c r="A1507" t="str">
        <f>IF('Staff Daily sales'!$B1492="","",TRIM('Staff Daily sales'!$B1492&amp;""))</f>
        <v/>
      </c>
      <c r="B1507" t="str">
        <f>IF('Staff Daily sales'!$D1492="","",TRIM('Staff Daily sales'!$D1492&amp;""))</f>
        <v/>
      </c>
      <c r="C1507" t="str">
        <f>IFERROR(TRIM('Staff Daily sales'!$E1492&amp;""),"")</f>
        <v/>
      </c>
      <c r="D1507" t="str">
        <f>IFERROR(IF(TRIM('Staff Daily sales'!$F1492&amp;"")="","Unassigned",TRIM('Staff Daily sales'!$F1492&amp;"")),"Unassigned")</f>
        <v>Unassigned</v>
      </c>
      <c r="E1507">
        <f t="shared" si="394"/>
        <v>0</v>
      </c>
      <c r="F1507">
        <f>IF($E1507=0,0,SUMPRODUCT($AI$5:$DF$5,'Staff Daily sales'!$G1492:$CD1492))</f>
        <v>0</v>
      </c>
      <c r="G1507">
        <f>IF($E1507=0,0,SUMPRODUCT($AI$6:$DF$6,'Staff Daily sales'!$G1492:$CD1492))</f>
        <v>0</v>
      </c>
      <c r="H1507">
        <f t="shared" si="395"/>
        <v>0</v>
      </c>
      <c r="I1507">
        <f t="shared" si="396"/>
        <v>0</v>
      </c>
      <c r="J1507">
        <f t="shared" si="397"/>
        <v>0</v>
      </c>
      <c r="K1507">
        <f t="shared" si="398"/>
        <v>0</v>
      </c>
      <c r="L1507">
        <f>--AND($E1507=1,OR('Staff Dashboard'!$B$6="All",$DH1507='Staff Dashboard'!$B$6),OR('Staff Dashboard'!$B$7="All",$D1507='Staff Dashboard'!$B$7),OR('Staff Dashboard'!$B$8="All",$A1507='Staff Dashboard'!$B$8))</f>
        <v>0</v>
      </c>
      <c r="M1507">
        <f>IF($E1507=0,0,SUMPRODUCT($AI$7:$DF$7,'Staff Daily sales'!$G1492:$CD1492))</f>
        <v>0</v>
      </c>
      <c r="N1507">
        <f>IF($E1507=0,0,SUMPRODUCT($AI$8:$DF$8,'Staff Daily sales'!$G1492:$CD1492))</f>
        <v>0</v>
      </c>
      <c r="O1507">
        <f>IF($E1507=0,0,SUMPRODUCT($AI$9:$DF$9,'Staff Daily sales'!$G1492:$CD1492))</f>
        <v>0</v>
      </c>
      <c r="P1507">
        <f>IF($E1507=0,0,SUMPRODUCT($AI$10:$DF$10,'Staff Daily sales'!$G1492:$CD1492))</f>
        <v>0</v>
      </c>
      <c r="Q1507">
        <f>IF($E1507=0,0,SUMPRODUCT($AI$11:$DF$11,'Staff Daily sales'!$G1492:$CD1492))</f>
        <v>0</v>
      </c>
      <c r="R1507">
        <f>IF($E1507=0,0,SUMPRODUCT($AI$12:$DF$12,'Staff Daily sales'!$G1492:$CD1492))</f>
        <v>0</v>
      </c>
      <c r="S1507">
        <f>IF($E1507=0,0,SUMPRODUCT($AI$13:$DF$13,'Staff Daily sales'!$G1492:$CD1492))</f>
        <v>0</v>
      </c>
      <c r="T1507">
        <f>IF($E1507=0,0,SUMPRODUCT($AI$14:$DF$14,'Staff Daily sales'!$G1492:$CD1492))</f>
        <v>0</v>
      </c>
      <c r="U1507">
        <f>IF($E1507=0,0,SUMPRODUCT($AI$15:$DF$15,'Staff Daily sales'!$G1492:$CD1492))</f>
        <v>0</v>
      </c>
      <c r="V1507">
        <f>IF($E1507=0,0,SUMPRODUCT($AI$16:$DF$16,'Staff Daily sales'!$G1492:$CD1492))</f>
        <v>0</v>
      </c>
      <c r="W1507">
        <f t="shared" si="399"/>
        <v>0</v>
      </c>
      <c r="X1507">
        <f t="shared" si="400"/>
        <v>0</v>
      </c>
      <c r="Y1507">
        <f t="shared" si="401"/>
        <v>0</v>
      </c>
      <c r="Z1507">
        <f t="shared" si="402"/>
        <v>0</v>
      </c>
      <c r="AA1507">
        <f t="shared" si="403"/>
        <v>0</v>
      </c>
      <c r="AB1507">
        <f>--AND($E1507=1,OR('Staff Weekly Trend'!$B$3="All",$DH1507='Staff Weekly Trend'!$B$3),OR('Staff Weekly Trend'!$B$4="All",$D1507='Staff Weekly Trend'!$B$4),OR('Staff Weekly Trend'!$B$5="All",$A1507='Staff Weekly Trend'!$B$5))</f>
        <v>0</v>
      </c>
      <c r="AC1507" t="str">
        <f t="shared" si="404"/>
        <v/>
      </c>
      <c r="AI1507">
        <f t="shared" si="405"/>
        <v>0</v>
      </c>
      <c r="AJ1507">
        <f t="shared" si="406"/>
        <v>0</v>
      </c>
      <c r="AK1507">
        <f t="shared" si="407"/>
        <v>0</v>
      </c>
      <c r="AL1507">
        <f t="shared" si="408"/>
        <v>0</v>
      </c>
      <c r="AM1507">
        <f t="shared" si="409"/>
        <v>0</v>
      </c>
      <c r="DH1507" t="str" cm="1">
        <f t="array" ref="DH1507">IF($A1507="","",_xlfn.LET(_xlpm.c,IFERROR(_xlfn.XLOOKUP($A1507,TRIM('Sales and count'!$A$4:$A$300&amp;""),TRIM('Sales and count'!$B$4:$B$300&amp;"")),""),IF(OR(_xlpm.c="",_xlpm.c="0",LEFT(_xlpm.c,1)="#"),"Not set",_xlpm.c)))</f>
        <v/>
      </c>
    </row>
    <row r="1508" spans="1:112" x14ac:dyDescent="0.25">
      <c r="A1508" t="str">
        <f>IF('Staff Daily sales'!$B1493="","",TRIM('Staff Daily sales'!$B1493&amp;""))</f>
        <v/>
      </c>
      <c r="B1508" t="str">
        <f>IF('Staff Daily sales'!$D1493="","",TRIM('Staff Daily sales'!$D1493&amp;""))</f>
        <v/>
      </c>
      <c r="C1508" t="str">
        <f>IFERROR(TRIM('Staff Daily sales'!$E1493&amp;""),"")</f>
        <v/>
      </c>
      <c r="D1508" t="str">
        <f>IFERROR(IF(TRIM('Staff Daily sales'!$F1493&amp;"")="","Unassigned",TRIM('Staff Daily sales'!$F1493&amp;"")),"Unassigned")</f>
        <v>Unassigned</v>
      </c>
      <c r="E1508">
        <f t="shared" si="394"/>
        <v>0</v>
      </c>
      <c r="F1508">
        <f>IF($E1508=0,0,SUMPRODUCT($AI$5:$DF$5,'Staff Daily sales'!$G1493:$CD1493))</f>
        <v>0</v>
      </c>
      <c r="G1508">
        <f>IF($E1508=0,0,SUMPRODUCT($AI$6:$DF$6,'Staff Daily sales'!$G1493:$CD1493))</f>
        <v>0</v>
      </c>
      <c r="H1508">
        <f t="shared" si="395"/>
        <v>0</v>
      </c>
      <c r="I1508">
        <f t="shared" si="396"/>
        <v>0</v>
      </c>
      <c r="J1508">
        <f t="shared" si="397"/>
        <v>0</v>
      </c>
      <c r="K1508">
        <f t="shared" si="398"/>
        <v>0</v>
      </c>
      <c r="L1508">
        <f>--AND($E1508=1,OR('Staff Dashboard'!$B$6="All",$DH1508='Staff Dashboard'!$B$6),OR('Staff Dashboard'!$B$7="All",$D1508='Staff Dashboard'!$B$7),OR('Staff Dashboard'!$B$8="All",$A1508='Staff Dashboard'!$B$8))</f>
        <v>0</v>
      </c>
      <c r="M1508">
        <f>IF($E1508=0,0,SUMPRODUCT($AI$7:$DF$7,'Staff Daily sales'!$G1493:$CD1493))</f>
        <v>0</v>
      </c>
      <c r="N1508">
        <f>IF($E1508=0,0,SUMPRODUCT($AI$8:$DF$8,'Staff Daily sales'!$G1493:$CD1493))</f>
        <v>0</v>
      </c>
      <c r="O1508">
        <f>IF($E1508=0,0,SUMPRODUCT($AI$9:$DF$9,'Staff Daily sales'!$G1493:$CD1493))</f>
        <v>0</v>
      </c>
      <c r="P1508">
        <f>IF($E1508=0,0,SUMPRODUCT($AI$10:$DF$10,'Staff Daily sales'!$G1493:$CD1493))</f>
        <v>0</v>
      </c>
      <c r="Q1508">
        <f>IF($E1508=0,0,SUMPRODUCT($AI$11:$DF$11,'Staff Daily sales'!$G1493:$CD1493))</f>
        <v>0</v>
      </c>
      <c r="R1508">
        <f>IF($E1508=0,0,SUMPRODUCT($AI$12:$DF$12,'Staff Daily sales'!$G1493:$CD1493))</f>
        <v>0</v>
      </c>
      <c r="S1508">
        <f>IF($E1508=0,0,SUMPRODUCT($AI$13:$DF$13,'Staff Daily sales'!$G1493:$CD1493))</f>
        <v>0</v>
      </c>
      <c r="T1508">
        <f>IF($E1508=0,0,SUMPRODUCT($AI$14:$DF$14,'Staff Daily sales'!$G1493:$CD1493))</f>
        <v>0</v>
      </c>
      <c r="U1508">
        <f>IF($E1508=0,0,SUMPRODUCT($AI$15:$DF$15,'Staff Daily sales'!$G1493:$CD1493))</f>
        <v>0</v>
      </c>
      <c r="V1508">
        <f>IF($E1508=0,0,SUMPRODUCT($AI$16:$DF$16,'Staff Daily sales'!$G1493:$CD1493))</f>
        <v>0</v>
      </c>
      <c r="W1508">
        <f t="shared" si="399"/>
        <v>0</v>
      </c>
      <c r="X1508">
        <f t="shared" si="400"/>
        <v>0</v>
      </c>
      <c r="Y1508">
        <f t="shared" si="401"/>
        <v>0</v>
      </c>
      <c r="Z1508">
        <f t="shared" si="402"/>
        <v>0</v>
      </c>
      <c r="AA1508">
        <f t="shared" si="403"/>
        <v>0</v>
      </c>
      <c r="AB1508">
        <f>--AND($E1508=1,OR('Staff Weekly Trend'!$B$3="All",$DH1508='Staff Weekly Trend'!$B$3),OR('Staff Weekly Trend'!$B$4="All",$D1508='Staff Weekly Trend'!$B$4),OR('Staff Weekly Trend'!$B$5="All",$A1508='Staff Weekly Trend'!$B$5))</f>
        <v>0</v>
      </c>
      <c r="AC1508" t="str">
        <f t="shared" si="404"/>
        <v/>
      </c>
      <c r="AI1508">
        <f t="shared" si="405"/>
        <v>0</v>
      </c>
      <c r="AJ1508">
        <f t="shared" si="406"/>
        <v>0</v>
      </c>
      <c r="AK1508">
        <f t="shared" si="407"/>
        <v>0</v>
      </c>
      <c r="AL1508">
        <f t="shared" si="408"/>
        <v>0</v>
      </c>
      <c r="AM1508">
        <f t="shared" si="409"/>
        <v>0</v>
      </c>
      <c r="DH1508" t="str" cm="1">
        <f t="array" ref="DH1508">IF($A1508="","",_xlfn.LET(_xlpm.c,IFERROR(_xlfn.XLOOKUP($A1508,TRIM('Sales and count'!$A$4:$A$300&amp;""),TRIM('Sales and count'!$B$4:$B$300&amp;"")),""),IF(OR(_xlpm.c="",_xlpm.c="0",LEFT(_xlpm.c,1)="#"),"Not set",_xlpm.c)))</f>
        <v/>
      </c>
    </row>
    <row r="1509" spans="1:112" x14ac:dyDescent="0.25">
      <c r="A1509" t="str">
        <f>IF('Staff Daily sales'!$B1494="","",TRIM('Staff Daily sales'!$B1494&amp;""))</f>
        <v/>
      </c>
      <c r="B1509" t="str">
        <f>IF('Staff Daily sales'!$D1494="","",TRIM('Staff Daily sales'!$D1494&amp;""))</f>
        <v/>
      </c>
      <c r="C1509" t="str">
        <f>IFERROR(TRIM('Staff Daily sales'!$E1494&amp;""),"")</f>
        <v/>
      </c>
      <c r="D1509" t="str">
        <f>IFERROR(IF(TRIM('Staff Daily sales'!$F1494&amp;"")="","Unassigned",TRIM('Staff Daily sales'!$F1494&amp;"")),"Unassigned")</f>
        <v>Unassigned</v>
      </c>
      <c r="E1509">
        <f t="shared" si="394"/>
        <v>0</v>
      </c>
      <c r="F1509">
        <f>IF($E1509=0,0,SUMPRODUCT($AI$5:$DF$5,'Staff Daily sales'!$G1494:$CD1494))</f>
        <v>0</v>
      </c>
      <c r="G1509">
        <f>IF($E1509=0,0,SUMPRODUCT($AI$6:$DF$6,'Staff Daily sales'!$G1494:$CD1494))</f>
        <v>0</v>
      </c>
      <c r="H1509">
        <f t="shared" si="395"/>
        <v>0</v>
      </c>
      <c r="I1509">
        <f t="shared" si="396"/>
        <v>0</v>
      </c>
      <c r="J1509">
        <f t="shared" si="397"/>
        <v>0</v>
      </c>
      <c r="K1509">
        <f t="shared" si="398"/>
        <v>0</v>
      </c>
      <c r="L1509">
        <f>--AND($E1509=1,OR('Staff Dashboard'!$B$6="All",$DH1509='Staff Dashboard'!$B$6),OR('Staff Dashboard'!$B$7="All",$D1509='Staff Dashboard'!$B$7),OR('Staff Dashboard'!$B$8="All",$A1509='Staff Dashboard'!$B$8))</f>
        <v>0</v>
      </c>
      <c r="M1509">
        <f>IF($E1509=0,0,SUMPRODUCT($AI$7:$DF$7,'Staff Daily sales'!$G1494:$CD1494))</f>
        <v>0</v>
      </c>
      <c r="N1509">
        <f>IF($E1509=0,0,SUMPRODUCT($AI$8:$DF$8,'Staff Daily sales'!$G1494:$CD1494))</f>
        <v>0</v>
      </c>
      <c r="O1509">
        <f>IF($E1509=0,0,SUMPRODUCT($AI$9:$DF$9,'Staff Daily sales'!$G1494:$CD1494))</f>
        <v>0</v>
      </c>
      <c r="P1509">
        <f>IF($E1509=0,0,SUMPRODUCT($AI$10:$DF$10,'Staff Daily sales'!$G1494:$CD1494))</f>
        <v>0</v>
      </c>
      <c r="Q1509">
        <f>IF($E1509=0,0,SUMPRODUCT($AI$11:$DF$11,'Staff Daily sales'!$G1494:$CD1494))</f>
        <v>0</v>
      </c>
      <c r="R1509">
        <f>IF($E1509=0,0,SUMPRODUCT($AI$12:$DF$12,'Staff Daily sales'!$G1494:$CD1494))</f>
        <v>0</v>
      </c>
      <c r="S1509">
        <f>IF($E1509=0,0,SUMPRODUCT($AI$13:$DF$13,'Staff Daily sales'!$G1494:$CD1494))</f>
        <v>0</v>
      </c>
      <c r="T1509">
        <f>IF($E1509=0,0,SUMPRODUCT($AI$14:$DF$14,'Staff Daily sales'!$G1494:$CD1494))</f>
        <v>0</v>
      </c>
      <c r="U1509">
        <f>IF($E1509=0,0,SUMPRODUCT($AI$15:$DF$15,'Staff Daily sales'!$G1494:$CD1494))</f>
        <v>0</v>
      </c>
      <c r="V1509">
        <f>IF($E1509=0,0,SUMPRODUCT($AI$16:$DF$16,'Staff Daily sales'!$G1494:$CD1494))</f>
        <v>0</v>
      </c>
      <c r="W1509">
        <f t="shared" si="399"/>
        <v>0</v>
      </c>
      <c r="X1509">
        <f t="shared" si="400"/>
        <v>0</v>
      </c>
      <c r="Y1509">
        <f t="shared" si="401"/>
        <v>0</v>
      </c>
      <c r="Z1509">
        <f t="shared" si="402"/>
        <v>0</v>
      </c>
      <c r="AA1509">
        <f t="shared" si="403"/>
        <v>0</v>
      </c>
      <c r="AB1509">
        <f>--AND($E1509=1,OR('Staff Weekly Trend'!$B$3="All",$DH1509='Staff Weekly Trend'!$B$3),OR('Staff Weekly Trend'!$B$4="All",$D1509='Staff Weekly Trend'!$B$4),OR('Staff Weekly Trend'!$B$5="All",$A1509='Staff Weekly Trend'!$B$5))</f>
        <v>0</v>
      </c>
      <c r="AC1509" t="str">
        <f t="shared" si="404"/>
        <v/>
      </c>
      <c r="AI1509">
        <f t="shared" si="405"/>
        <v>0</v>
      </c>
      <c r="AJ1509">
        <f t="shared" si="406"/>
        <v>0</v>
      </c>
      <c r="AK1509">
        <f t="shared" si="407"/>
        <v>0</v>
      </c>
      <c r="AL1509">
        <f t="shared" si="408"/>
        <v>0</v>
      </c>
      <c r="AM1509">
        <f t="shared" si="409"/>
        <v>0</v>
      </c>
      <c r="DH1509" t="str" cm="1">
        <f t="array" ref="DH1509">IF($A1509="","",_xlfn.LET(_xlpm.c,IFERROR(_xlfn.XLOOKUP($A1509,TRIM('Sales and count'!$A$4:$A$300&amp;""),TRIM('Sales and count'!$B$4:$B$300&amp;"")),""),IF(OR(_xlpm.c="",_xlpm.c="0",LEFT(_xlpm.c,1)="#"),"Not set",_xlpm.c)))</f>
        <v/>
      </c>
    </row>
    <row r="1510" spans="1:112" x14ac:dyDescent="0.25">
      <c r="A1510" t="str">
        <f>IF('Staff Daily sales'!$B1495="","",TRIM('Staff Daily sales'!$B1495&amp;""))</f>
        <v/>
      </c>
      <c r="B1510" t="str">
        <f>IF('Staff Daily sales'!$D1495="","",TRIM('Staff Daily sales'!$D1495&amp;""))</f>
        <v/>
      </c>
      <c r="C1510" t="str">
        <f>IFERROR(TRIM('Staff Daily sales'!$E1495&amp;""),"")</f>
        <v/>
      </c>
      <c r="D1510" t="str">
        <f>IFERROR(IF(TRIM('Staff Daily sales'!$F1495&amp;"")="","Unassigned",TRIM('Staff Daily sales'!$F1495&amp;"")),"Unassigned")</f>
        <v>Unassigned</v>
      </c>
      <c r="E1510">
        <f t="shared" si="394"/>
        <v>0</v>
      </c>
      <c r="F1510">
        <f>IF($E1510=0,0,SUMPRODUCT($AI$5:$DF$5,'Staff Daily sales'!$G1495:$CD1495))</f>
        <v>0</v>
      </c>
      <c r="G1510">
        <f>IF($E1510=0,0,SUMPRODUCT($AI$6:$DF$6,'Staff Daily sales'!$G1495:$CD1495))</f>
        <v>0</v>
      </c>
      <c r="H1510">
        <f t="shared" si="395"/>
        <v>0</v>
      </c>
      <c r="I1510">
        <f t="shared" si="396"/>
        <v>0</v>
      </c>
      <c r="J1510">
        <f t="shared" si="397"/>
        <v>0</v>
      </c>
      <c r="K1510">
        <f t="shared" si="398"/>
        <v>0</v>
      </c>
      <c r="L1510">
        <f>--AND($E1510=1,OR('Staff Dashboard'!$B$6="All",$DH1510='Staff Dashboard'!$B$6),OR('Staff Dashboard'!$B$7="All",$D1510='Staff Dashboard'!$B$7),OR('Staff Dashboard'!$B$8="All",$A1510='Staff Dashboard'!$B$8))</f>
        <v>0</v>
      </c>
      <c r="M1510">
        <f>IF($E1510=0,0,SUMPRODUCT($AI$7:$DF$7,'Staff Daily sales'!$G1495:$CD1495))</f>
        <v>0</v>
      </c>
      <c r="N1510">
        <f>IF($E1510=0,0,SUMPRODUCT($AI$8:$DF$8,'Staff Daily sales'!$G1495:$CD1495))</f>
        <v>0</v>
      </c>
      <c r="O1510">
        <f>IF($E1510=0,0,SUMPRODUCT($AI$9:$DF$9,'Staff Daily sales'!$G1495:$CD1495))</f>
        <v>0</v>
      </c>
      <c r="P1510">
        <f>IF($E1510=0,0,SUMPRODUCT($AI$10:$DF$10,'Staff Daily sales'!$G1495:$CD1495))</f>
        <v>0</v>
      </c>
      <c r="Q1510">
        <f>IF($E1510=0,0,SUMPRODUCT($AI$11:$DF$11,'Staff Daily sales'!$G1495:$CD1495))</f>
        <v>0</v>
      </c>
      <c r="R1510">
        <f>IF($E1510=0,0,SUMPRODUCT($AI$12:$DF$12,'Staff Daily sales'!$G1495:$CD1495))</f>
        <v>0</v>
      </c>
      <c r="S1510">
        <f>IF($E1510=0,0,SUMPRODUCT($AI$13:$DF$13,'Staff Daily sales'!$G1495:$CD1495))</f>
        <v>0</v>
      </c>
      <c r="T1510">
        <f>IF($E1510=0,0,SUMPRODUCT($AI$14:$DF$14,'Staff Daily sales'!$G1495:$CD1495))</f>
        <v>0</v>
      </c>
      <c r="U1510">
        <f>IF($E1510=0,0,SUMPRODUCT($AI$15:$DF$15,'Staff Daily sales'!$G1495:$CD1495))</f>
        <v>0</v>
      </c>
      <c r="V1510">
        <f>IF($E1510=0,0,SUMPRODUCT($AI$16:$DF$16,'Staff Daily sales'!$G1495:$CD1495))</f>
        <v>0</v>
      </c>
      <c r="W1510">
        <f t="shared" si="399"/>
        <v>0</v>
      </c>
      <c r="X1510">
        <f t="shared" si="400"/>
        <v>0</v>
      </c>
      <c r="Y1510">
        <f t="shared" si="401"/>
        <v>0</v>
      </c>
      <c r="Z1510">
        <f t="shared" si="402"/>
        <v>0</v>
      </c>
      <c r="AA1510">
        <f t="shared" si="403"/>
        <v>0</v>
      </c>
      <c r="AB1510">
        <f>--AND($E1510=1,OR('Staff Weekly Trend'!$B$3="All",$DH1510='Staff Weekly Trend'!$B$3),OR('Staff Weekly Trend'!$B$4="All",$D1510='Staff Weekly Trend'!$B$4),OR('Staff Weekly Trend'!$B$5="All",$A1510='Staff Weekly Trend'!$B$5))</f>
        <v>0</v>
      </c>
      <c r="AC1510" t="str">
        <f t="shared" si="404"/>
        <v/>
      </c>
      <c r="AI1510">
        <f t="shared" si="405"/>
        <v>0</v>
      </c>
      <c r="AJ1510">
        <f t="shared" si="406"/>
        <v>0</v>
      </c>
      <c r="AK1510">
        <f t="shared" si="407"/>
        <v>0</v>
      </c>
      <c r="AL1510">
        <f t="shared" si="408"/>
        <v>0</v>
      </c>
      <c r="AM1510">
        <f t="shared" si="409"/>
        <v>0</v>
      </c>
      <c r="DH1510" t="str" cm="1">
        <f t="array" ref="DH1510">IF($A1510="","",_xlfn.LET(_xlpm.c,IFERROR(_xlfn.XLOOKUP($A1510,TRIM('Sales and count'!$A$4:$A$300&amp;""),TRIM('Sales and count'!$B$4:$B$300&amp;"")),""),IF(OR(_xlpm.c="",_xlpm.c="0",LEFT(_xlpm.c,1)="#"),"Not set",_xlpm.c)))</f>
        <v/>
      </c>
    </row>
    <row r="1511" spans="1:112" x14ac:dyDescent="0.25">
      <c r="A1511" t="str">
        <f>IF('Staff Daily sales'!$B1496="","",TRIM('Staff Daily sales'!$B1496&amp;""))</f>
        <v/>
      </c>
      <c r="B1511" t="str">
        <f>IF('Staff Daily sales'!$D1496="","",TRIM('Staff Daily sales'!$D1496&amp;""))</f>
        <v/>
      </c>
      <c r="C1511" t="str">
        <f>IFERROR(TRIM('Staff Daily sales'!$E1496&amp;""),"")</f>
        <v/>
      </c>
      <c r="D1511" t="str">
        <f>IFERROR(IF(TRIM('Staff Daily sales'!$F1496&amp;"")="","Unassigned",TRIM('Staff Daily sales'!$F1496&amp;"")),"Unassigned")</f>
        <v>Unassigned</v>
      </c>
      <c r="E1511">
        <f t="shared" si="394"/>
        <v>0</v>
      </c>
      <c r="F1511">
        <f>IF($E1511=0,0,SUMPRODUCT($AI$5:$DF$5,'Staff Daily sales'!$G1496:$CD1496))</f>
        <v>0</v>
      </c>
      <c r="G1511">
        <f>IF($E1511=0,0,SUMPRODUCT($AI$6:$DF$6,'Staff Daily sales'!$G1496:$CD1496))</f>
        <v>0</v>
      </c>
      <c r="H1511">
        <f t="shared" si="395"/>
        <v>0</v>
      </c>
      <c r="I1511">
        <f t="shared" si="396"/>
        <v>0</v>
      </c>
      <c r="J1511">
        <f t="shared" si="397"/>
        <v>0</v>
      </c>
      <c r="K1511">
        <f t="shared" si="398"/>
        <v>0</v>
      </c>
      <c r="L1511">
        <f>--AND($E1511=1,OR('Staff Dashboard'!$B$6="All",$DH1511='Staff Dashboard'!$B$6),OR('Staff Dashboard'!$B$7="All",$D1511='Staff Dashboard'!$B$7),OR('Staff Dashboard'!$B$8="All",$A1511='Staff Dashboard'!$B$8))</f>
        <v>0</v>
      </c>
      <c r="M1511">
        <f>IF($E1511=0,0,SUMPRODUCT($AI$7:$DF$7,'Staff Daily sales'!$G1496:$CD1496))</f>
        <v>0</v>
      </c>
      <c r="N1511">
        <f>IF($E1511=0,0,SUMPRODUCT($AI$8:$DF$8,'Staff Daily sales'!$G1496:$CD1496))</f>
        <v>0</v>
      </c>
      <c r="O1511">
        <f>IF($E1511=0,0,SUMPRODUCT($AI$9:$DF$9,'Staff Daily sales'!$G1496:$CD1496))</f>
        <v>0</v>
      </c>
      <c r="P1511">
        <f>IF($E1511=0,0,SUMPRODUCT($AI$10:$DF$10,'Staff Daily sales'!$G1496:$CD1496))</f>
        <v>0</v>
      </c>
      <c r="Q1511">
        <f>IF($E1511=0,0,SUMPRODUCT($AI$11:$DF$11,'Staff Daily sales'!$G1496:$CD1496))</f>
        <v>0</v>
      </c>
      <c r="R1511">
        <f>IF($E1511=0,0,SUMPRODUCT($AI$12:$DF$12,'Staff Daily sales'!$G1496:$CD1496))</f>
        <v>0</v>
      </c>
      <c r="S1511">
        <f>IF($E1511=0,0,SUMPRODUCT($AI$13:$DF$13,'Staff Daily sales'!$G1496:$CD1496))</f>
        <v>0</v>
      </c>
      <c r="T1511">
        <f>IF($E1511=0,0,SUMPRODUCT($AI$14:$DF$14,'Staff Daily sales'!$G1496:$CD1496))</f>
        <v>0</v>
      </c>
      <c r="U1511">
        <f>IF($E1511=0,0,SUMPRODUCT($AI$15:$DF$15,'Staff Daily sales'!$G1496:$CD1496))</f>
        <v>0</v>
      </c>
      <c r="V1511">
        <f>IF($E1511=0,0,SUMPRODUCT($AI$16:$DF$16,'Staff Daily sales'!$G1496:$CD1496))</f>
        <v>0</v>
      </c>
      <c r="W1511">
        <f t="shared" si="399"/>
        <v>0</v>
      </c>
      <c r="X1511">
        <f t="shared" si="400"/>
        <v>0</v>
      </c>
      <c r="Y1511">
        <f t="shared" si="401"/>
        <v>0</v>
      </c>
      <c r="Z1511">
        <f t="shared" si="402"/>
        <v>0</v>
      </c>
      <c r="AA1511">
        <f t="shared" si="403"/>
        <v>0</v>
      </c>
      <c r="AB1511">
        <f>--AND($E1511=1,OR('Staff Weekly Trend'!$B$3="All",$DH1511='Staff Weekly Trend'!$B$3),OR('Staff Weekly Trend'!$B$4="All",$D1511='Staff Weekly Trend'!$B$4),OR('Staff Weekly Trend'!$B$5="All",$A1511='Staff Weekly Trend'!$B$5))</f>
        <v>0</v>
      </c>
      <c r="AC1511" t="str">
        <f t="shared" si="404"/>
        <v/>
      </c>
      <c r="AI1511">
        <f t="shared" si="405"/>
        <v>0</v>
      </c>
      <c r="AJ1511">
        <f t="shared" si="406"/>
        <v>0</v>
      </c>
      <c r="AK1511">
        <f t="shared" si="407"/>
        <v>0</v>
      </c>
      <c r="AL1511">
        <f t="shared" si="408"/>
        <v>0</v>
      </c>
      <c r="AM1511">
        <f t="shared" si="409"/>
        <v>0</v>
      </c>
      <c r="DH1511" t="str" cm="1">
        <f t="array" ref="DH1511">IF($A1511="","",_xlfn.LET(_xlpm.c,IFERROR(_xlfn.XLOOKUP($A1511,TRIM('Sales and count'!$A$4:$A$300&amp;""),TRIM('Sales and count'!$B$4:$B$300&amp;"")),""),IF(OR(_xlpm.c="",_xlpm.c="0",LEFT(_xlpm.c,1)="#"),"Not set",_xlpm.c)))</f>
        <v/>
      </c>
    </row>
    <row r="1512" spans="1:112" x14ac:dyDescent="0.25">
      <c r="A1512" t="str">
        <f>IF('Staff Daily sales'!$B1497="","",TRIM('Staff Daily sales'!$B1497&amp;""))</f>
        <v/>
      </c>
      <c r="B1512" t="str">
        <f>IF('Staff Daily sales'!$D1497="","",TRIM('Staff Daily sales'!$D1497&amp;""))</f>
        <v/>
      </c>
      <c r="C1512" t="str">
        <f>IFERROR(TRIM('Staff Daily sales'!$E1497&amp;""),"")</f>
        <v/>
      </c>
      <c r="D1512" t="str">
        <f>IFERROR(IF(TRIM('Staff Daily sales'!$F1497&amp;"")="","Unassigned",TRIM('Staff Daily sales'!$F1497&amp;"")),"Unassigned")</f>
        <v>Unassigned</v>
      </c>
      <c r="E1512">
        <f t="shared" si="394"/>
        <v>0</v>
      </c>
      <c r="F1512">
        <f>IF($E1512=0,0,SUMPRODUCT($AI$5:$DF$5,'Staff Daily sales'!$G1497:$CD1497))</f>
        <v>0</v>
      </c>
      <c r="G1512">
        <f>IF($E1512=0,0,SUMPRODUCT($AI$6:$DF$6,'Staff Daily sales'!$G1497:$CD1497))</f>
        <v>0</v>
      </c>
      <c r="H1512">
        <f t="shared" si="395"/>
        <v>0</v>
      </c>
      <c r="I1512">
        <f t="shared" si="396"/>
        <v>0</v>
      </c>
      <c r="J1512">
        <f t="shared" si="397"/>
        <v>0</v>
      </c>
      <c r="K1512">
        <f t="shared" si="398"/>
        <v>0</v>
      </c>
      <c r="L1512">
        <f>--AND($E1512=1,OR('Staff Dashboard'!$B$6="All",$DH1512='Staff Dashboard'!$B$6),OR('Staff Dashboard'!$B$7="All",$D1512='Staff Dashboard'!$B$7),OR('Staff Dashboard'!$B$8="All",$A1512='Staff Dashboard'!$B$8))</f>
        <v>0</v>
      </c>
      <c r="M1512">
        <f>IF($E1512=0,0,SUMPRODUCT($AI$7:$DF$7,'Staff Daily sales'!$G1497:$CD1497))</f>
        <v>0</v>
      </c>
      <c r="N1512">
        <f>IF($E1512=0,0,SUMPRODUCT($AI$8:$DF$8,'Staff Daily sales'!$G1497:$CD1497))</f>
        <v>0</v>
      </c>
      <c r="O1512">
        <f>IF($E1512=0,0,SUMPRODUCT($AI$9:$DF$9,'Staff Daily sales'!$G1497:$CD1497))</f>
        <v>0</v>
      </c>
      <c r="P1512">
        <f>IF($E1512=0,0,SUMPRODUCT($AI$10:$DF$10,'Staff Daily sales'!$G1497:$CD1497))</f>
        <v>0</v>
      </c>
      <c r="Q1512">
        <f>IF($E1512=0,0,SUMPRODUCT($AI$11:$DF$11,'Staff Daily sales'!$G1497:$CD1497))</f>
        <v>0</v>
      </c>
      <c r="R1512">
        <f>IF($E1512=0,0,SUMPRODUCT($AI$12:$DF$12,'Staff Daily sales'!$G1497:$CD1497))</f>
        <v>0</v>
      </c>
      <c r="S1512">
        <f>IF($E1512=0,0,SUMPRODUCT($AI$13:$DF$13,'Staff Daily sales'!$G1497:$CD1497))</f>
        <v>0</v>
      </c>
      <c r="T1512">
        <f>IF($E1512=0,0,SUMPRODUCT($AI$14:$DF$14,'Staff Daily sales'!$G1497:$CD1497))</f>
        <v>0</v>
      </c>
      <c r="U1512">
        <f>IF($E1512=0,0,SUMPRODUCT($AI$15:$DF$15,'Staff Daily sales'!$G1497:$CD1497))</f>
        <v>0</v>
      </c>
      <c r="V1512">
        <f>IF($E1512=0,0,SUMPRODUCT($AI$16:$DF$16,'Staff Daily sales'!$G1497:$CD1497))</f>
        <v>0</v>
      </c>
      <c r="W1512">
        <f t="shared" si="399"/>
        <v>0</v>
      </c>
      <c r="X1512">
        <f t="shared" si="400"/>
        <v>0</v>
      </c>
      <c r="Y1512">
        <f t="shared" si="401"/>
        <v>0</v>
      </c>
      <c r="Z1512">
        <f t="shared" si="402"/>
        <v>0</v>
      </c>
      <c r="AA1512">
        <f t="shared" si="403"/>
        <v>0</v>
      </c>
      <c r="AB1512">
        <f>--AND($E1512=1,OR('Staff Weekly Trend'!$B$3="All",$DH1512='Staff Weekly Trend'!$B$3),OR('Staff Weekly Trend'!$B$4="All",$D1512='Staff Weekly Trend'!$B$4),OR('Staff Weekly Trend'!$B$5="All",$A1512='Staff Weekly Trend'!$B$5))</f>
        <v>0</v>
      </c>
      <c r="AC1512" t="str">
        <f t="shared" si="404"/>
        <v/>
      </c>
      <c r="AI1512">
        <f t="shared" si="405"/>
        <v>0</v>
      </c>
      <c r="AJ1512">
        <f t="shared" si="406"/>
        <v>0</v>
      </c>
      <c r="AK1512">
        <f t="shared" si="407"/>
        <v>0</v>
      </c>
      <c r="AL1512">
        <f t="shared" si="408"/>
        <v>0</v>
      </c>
      <c r="AM1512">
        <f t="shared" si="409"/>
        <v>0</v>
      </c>
      <c r="DH1512" t="str" cm="1">
        <f t="array" ref="DH1512">IF($A1512="","",_xlfn.LET(_xlpm.c,IFERROR(_xlfn.XLOOKUP($A1512,TRIM('Sales and count'!$A$4:$A$300&amp;""),TRIM('Sales and count'!$B$4:$B$300&amp;"")),""),IF(OR(_xlpm.c="",_xlpm.c="0",LEFT(_xlpm.c,1)="#"),"Not set",_xlpm.c)))</f>
        <v/>
      </c>
    </row>
    <row r="1513" spans="1:112" x14ac:dyDescent="0.25">
      <c r="A1513" t="str">
        <f>IF('Staff Daily sales'!$B1498="","",TRIM('Staff Daily sales'!$B1498&amp;""))</f>
        <v/>
      </c>
      <c r="B1513" t="str">
        <f>IF('Staff Daily sales'!$D1498="","",TRIM('Staff Daily sales'!$D1498&amp;""))</f>
        <v/>
      </c>
      <c r="C1513" t="str">
        <f>IFERROR(TRIM('Staff Daily sales'!$E1498&amp;""),"")</f>
        <v/>
      </c>
      <c r="D1513" t="str">
        <f>IFERROR(IF(TRIM('Staff Daily sales'!$F1498&amp;"")="","Unassigned",TRIM('Staff Daily sales'!$F1498&amp;"")),"Unassigned")</f>
        <v>Unassigned</v>
      </c>
      <c r="E1513">
        <f t="shared" si="394"/>
        <v>0</v>
      </c>
      <c r="F1513">
        <f>IF($E1513=0,0,SUMPRODUCT($AI$5:$DF$5,'Staff Daily sales'!$G1498:$CD1498))</f>
        <v>0</v>
      </c>
      <c r="G1513">
        <f>IF($E1513=0,0,SUMPRODUCT($AI$6:$DF$6,'Staff Daily sales'!$G1498:$CD1498))</f>
        <v>0</v>
      </c>
      <c r="H1513">
        <f t="shared" si="395"/>
        <v>0</v>
      </c>
      <c r="I1513">
        <f t="shared" si="396"/>
        <v>0</v>
      </c>
      <c r="J1513">
        <f t="shared" si="397"/>
        <v>0</v>
      </c>
      <c r="K1513">
        <f t="shared" si="398"/>
        <v>0</v>
      </c>
      <c r="L1513">
        <f>--AND($E1513=1,OR('Staff Dashboard'!$B$6="All",$DH1513='Staff Dashboard'!$B$6),OR('Staff Dashboard'!$B$7="All",$D1513='Staff Dashboard'!$B$7),OR('Staff Dashboard'!$B$8="All",$A1513='Staff Dashboard'!$B$8))</f>
        <v>0</v>
      </c>
      <c r="M1513">
        <f>IF($E1513=0,0,SUMPRODUCT($AI$7:$DF$7,'Staff Daily sales'!$G1498:$CD1498))</f>
        <v>0</v>
      </c>
      <c r="N1513">
        <f>IF($E1513=0,0,SUMPRODUCT($AI$8:$DF$8,'Staff Daily sales'!$G1498:$CD1498))</f>
        <v>0</v>
      </c>
      <c r="O1513">
        <f>IF($E1513=0,0,SUMPRODUCT($AI$9:$DF$9,'Staff Daily sales'!$G1498:$CD1498))</f>
        <v>0</v>
      </c>
      <c r="P1513">
        <f>IF($E1513=0,0,SUMPRODUCT($AI$10:$DF$10,'Staff Daily sales'!$G1498:$CD1498))</f>
        <v>0</v>
      </c>
      <c r="Q1513">
        <f>IF($E1513=0,0,SUMPRODUCT($AI$11:$DF$11,'Staff Daily sales'!$G1498:$CD1498))</f>
        <v>0</v>
      </c>
      <c r="R1513">
        <f>IF($E1513=0,0,SUMPRODUCT($AI$12:$DF$12,'Staff Daily sales'!$G1498:$CD1498))</f>
        <v>0</v>
      </c>
      <c r="S1513">
        <f>IF($E1513=0,0,SUMPRODUCT($AI$13:$DF$13,'Staff Daily sales'!$G1498:$CD1498))</f>
        <v>0</v>
      </c>
      <c r="T1513">
        <f>IF($E1513=0,0,SUMPRODUCT($AI$14:$DF$14,'Staff Daily sales'!$G1498:$CD1498))</f>
        <v>0</v>
      </c>
      <c r="U1513">
        <f>IF($E1513=0,0,SUMPRODUCT($AI$15:$DF$15,'Staff Daily sales'!$G1498:$CD1498))</f>
        <v>0</v>
      </c>
      <c r="V1513">
        <f>IF($E1513=0,0,SUMPRODUCT($AI$16:$DF$16,'Staff Daily sales'!$G1498:$CD1498))</f>
        <v>0</v>
      </c>
      <c r="W1513">
        <f t="shared" si="399"/>
        <v>0</v>
      </c>
      <c r="X1513">
        <f t="shared" si="400"/>
        <v>0</v>
      </c>
      <c r="Y1513">
        <f t="shared" si="401"/>
        <v>0</v>
      </c>
      <c r="Z1513">
        <f t="shared" si="402"/>
        <v>0</v>
      </c>
      <c r="AA1513">
        <f t="shared" si="403"/>
        <v>0</v>
      </c>
      <c r="AB1513">
        <f>--AND($E1513=1,OR('Staff Weekly Trend'!$B$3="All",$DH1513='Staff Weekly Trend'!$B$3),OR('Staff Weekly Trend'!$B$4="All",$D1513='Staff Weekly Trend'!$B$4),OR('Staff Weekly Trend'!$B$5="All",$A1513='Staff Weekly Trend'!$B$5))</f>
        <v>0</v>
      </c>
      <c r="AC1513" t="str">
        <f t="shared" si="404"/>
        <v/>
      </c>
      <c r="AI1513">
        <f t="shared" si="405"/>
        <v>0</v>
      </c>
      <c r="AJ1513">
        <f t="shared" si="406"/>
        <v>0</v>
      </c>
      <c r="AK1513">
        <f t="shared" si="407"/>
        <v>0</v>
      </c>
      <c r="AL1513">
        <f t="shared" si="408"/>
        <v>0</v>
      </c>
      <c r="AM1513">
        <f t="shared" si="409"/>
        <v>0</v>
      </c>
      <c r="DH1513" t="str" cm="1">
        <f t="array" ref="DH1513">IF($A1513="","",_xlfn.LET(_xlpm.c,IFERROR(_xlfn.XLOOKUP($A1513,TRIM('Sales and count'!$A$4:$A$300&amp;""),TRIM('Sales and count'!$B$4:$B$300&amp;"")),""),IF(OR(_xlpm.c="",_xlpm.c="0",LEFT(_xlpm.c,1)="#"),"Not set",_xlpm.c)))</f>
        <v/>
      </c>
    </row>
    <row r="1514" spans="1:112" x14ac:dyDescent="0.25">
      <c r="A1514" t="str">
        <f>IF('Staff Daily sales'!$B1499="","",TRIM('Staff Daily sales'!$B1499&amp;""))</f>
        <v/>
      </c>
      <c r="B1514" t="str">
        <f>IF('Staff Daily sales'!$D1499="","",TRIM('Staff Daily sales'!$D1499&amp;""))</f>
        <v/>
      </c>
      <c r="C1514" t="str">
        <f>IFERROR(TRIM('Staff Daily sales'!$E1499&amp;""),"")</f>
        <v/>
      </c>
      <c r="D1514" t="str">
        <f>IFERROR(IF(TRIM('Staff Daily sales'!$F1499&amp;"")="","Unassigned",TRIM('Staff Daily sales'!$F1499&amp;"")),"Unassigned")</f>
        <v>Unassigned</v>
      </c>
      <c r="E1514">
        <f t="shared" si="394"/>
        <v>0</v>
      </c>
      <c r="F1514">
        <f>IF($E1514=0,0,SUMPRODUCT($AI$5:$DF$5,'Staff Daily sales'!$G1499:$CD1499))</f>
        <v>0</v>
      </c>
      <c r="G1514">
        <f>IF($E1514=0,0,SUMPRODUCT($AI$6:$DF$6,'Staff Daily sales'!$G1499:$CD1499))</f>
        <v>0</v>
      </c>
      <c r="H1514">
        <f t="shared" si="395"/>
        <v>0</v>
      </c>
      <c r="I1514">
        <f t="shared" si="396"/>
        <v>0</v>
      </c>
      <c r="J1514">
        <f t="shared" si="397"/>
        <v>0</v>
      </c>
      <c r="K1514">
        <f t="shared" si="398"/>
        <v>0</v>
      </c>
      <c r="L1514">
        <f>--AND($E1514=1,OR('Staff Dashboard'!$B$6="All",$DH1514='Staff Dashboard'!$B$6),OR('Staff Dashboard'!$B$7="All",$D1514='Staff Dashboard'!$B$7),OR('Staff Dashboard'!$B$8="All",$A1514='Staff Dashboard'!$B$8))</f>
        <v>0</v>
      </c>
      <c r="M1514">
        <f>IF($E1514=0,0,SUMPRODUCT($AI$7:$DF$7,'Staff Daily sales'!$G1499:$CD1499))</f>
        <v>0</v>
      </c>
      <c r="N1514">
        <f>IF($E1514=0,0,SUMPRODUCT($AI$8:$DF$8,'Staff Daily sales'!$G1499:$CD1499))</f>
        <v>0</v>
      </c>
      <c r="O1514">
        <f>IF($E1514=0,0,SUMPRODUCT($AI$9:$DF$9,'Staff Daily sales'!$G1499:$CD1499))</f>
        <v>0</v>
      </c>
      <c r="P1514">
        <f>IF($E1514=0,0,SUMPRODUCT($AI$10:$DF$10,'Staff Daily sales'!$G1499:$CD1499))</f>
        <v>0</v>
      </c>
      <c r="Q1514">
        <f>IF($E1514=0,0,SUMPRODUCT($AI$11:$DF$11,'Staff Daily sales'!$G1499:$CD1499))</f>
        <v>0</v>
      </c>
      <c r="R1514">
        <f>IF($E1514=0,0,SUMPRODUCT($AI$12:$DF$12,'Staff Daily sales'!$G1499:$CD1499))</f>
        <v>0</v>
      </c>
      <c r="S1514">
        <f>IF($E1514=0,0,SUMPRODUCT($AI$13:$DF$13,'Staff Daily sales'!$G1499:$CD1499))</f>
        <v>0</v>
      </c>
      <c r="T1514">
        <f>IF($E1514=0,0,SUMPRODUCT($AI$14:$DF$14,'Staff Daily sales'!$G1499:$CD1499))</f>
        <v>0</v>
      </c>
      <c r="U1514">
        <f>IF($E1514=0,0,SUMPRODUCT($AI$15:$DF$15,'Staff Daily sales'!$G1499:$CD1499))</f>
        <v>0</v>
      </c>
      <c r="V1514">
        <f>IF($E1514=0,0,SUMPRODUCT($AI$16:$DF$16,'Staff Daily sales'!$G1499:$CD1499))</f>
        <v>0</v>
      </c>
      <c r="W1514">
        <f t="shared" si="399"/>
        <v>0</v>
      </c>
      <c r="X1514">
        <f t="shared" si="400"/>
        <v>0</v>
      </c>
      <c r="Y1514">
        <f t="shared" si="401"/>
        <v>0</v>
      </c>
      <c r="Z1514">
        <f t="shared" si="402"/>
        <v>0</v>
      </c>
      <c r="AA1514">
        <f t="shared" si="403"/>
        <v>0</v>
      </c>
      <c r="AB1514">
        <f>--AND($E1514=1,OR('Staff Weekly Trend'!$B$3="All",$DH1514='Staff Weekly Trend'!$B$3),OR('Staff Weekly Trend'!$B$4="All",$D1514='Staff Weekly Trend'!$B$4),OR('Staff Weekly Trend'!$B$5="All",$A1514='Staff Weekly Trend'!$B$5))</f>
        <v>0</v>
      </c>
      <c r="AC1514" t="str">
        <f t="shared" si="404"/>
        <v/>
      </c>
      <c r="AI1514">
        <f t="shared" si="405"/>
        <v>0</v>
      </c>
      <c r="AJ1514">
        <f t="shared" si="406"/>
        <v>0</v>
      </c>
      <c r="AK1514">
        <f t="shared" si="407"/>
        <v>0</v>
      </c>
      <c r="AL1514">
        <f t="shared" si="408"/>
        <v>0</v>
      </c>
      <c r="AM1514">
        <f t="shared" si="409"/>
        <v>0</v>
      </c>
      <c r="DH1514" t="str" cm="1">
        <f t="array" ref="DH1514">IF($A1514="","",_xlfn.LET(_xlpm.c,IFERROR(_xlfn.XLOOKUP($A1514,TRIM('Sales and count'!$A$4:$A$300&amp;""),TRIM('Sales and count'!$B$4:$B$300&amp;"")),""),IF(OR(_xlpm.c="",_xlpm.c="0",LEFT(_xlpm.c,1)="#"),"Not set",_xlpm.c)))</f>
        <v/>
      </c>
    </row>
    <row r="1515" spans="1:112" x14ac:dyDescent="0.25">
      <c r="A1515" t="str">
        <f>IF('Staff Daily sales'!$B1500="","",TRIM('Staff Daily sales'!$B1500&amp;""))</f>
        <v/>
      </c>
      <c r="B1515" t="str">
        <f>IF('Staff Daily sales'!$D1500="","",TRIM('Staff Daily sales'!$D1500&amp;""))</f>
        <v/>
      </c>
      <c r="C1515" t="str">
        <f>IFERROR(TRIM('Staff Daily sales'!$E1500&amp;""),"")</f>
        <v/>
      </c>
      <c r="D1515" t="str">
        <f>IFERROR(IF(TRIM('Staff Daily sales'!$F1500&amp;"")="","Unassigned",TRIM('Staff Daily sales'!$F1500&amp;"")),"Unassigned")</f>
        <v>Unassigned</v>
      </c>
      <c r="E1515">
        <f t="shared" si="394"/>
        <v>0</v>
      </c>
      <c r="F1515">
        <f>IF($E1515=0,0,SUMPRODUCT($AI$5:$DF$5,'Staff Daily sales'!$G1500:$CD1500))</f>
        <v>0</v>
      </c>
      <c r="G1515">
        <f>IF($E1515=0,0,SUMPRODUCT($AI$6:$DF$6,'Staff Daily sales'!$G1500:$CD1500))</f>
        <v>0</v>
      </c>
      <c r="H1515">
        <f t="shared" si="395"/>
        <v>0</v>
      </c>
      <c r="I1515">
        <f t="shared" si="396"/>
        <v>0</v>
      </c>
      <c r="J1515">
        <f t="shared" si="397"/>
        <v>0</v>
      </c>
      <c r="K1515">
        <f t="shared" si="398"/>
        <v>0</v>
      </c>
      <c r="L1515">
        <f>--AND($E1515=1,OR('Staff Dashboard'!$B$6="All",$DH1515='Staff Dashboard'!$B$6),OR('Staff Dashboard'!$B$7="All",$D1515='Staff Dashboard'!$B$7),OR('Staff Dashboard'!$B$8="All",$A1515='Staff Dashboard'!$B$8))</f>
        <v>0</v>
      </c>
      <c r="M1515">
        <f>IF($E1515=0,0,SUMPRODUCT($AI$7:$DF$7,'Staff Daily sales'!$G1500:$CD1500))</f>
        <v>0</v>
      </c>
      <c r="N1515">
        <f>IF($E1515=0,0,SUMPRODUCT($AI$8:$DF$8,'Staff Daily sales'!$G1500:$CD1500))</f>
        <v>0</v>
      </c>
      <c r="O1515">
        <f>IF($E1515=0,0,SUMPRODUCT($AI$9:$DF$9,'Staff Daily sales'!$G1500:$CD1500))</f>
        <v>0</v>
      </c>
      <c r="P1515">
        <f>IF($E1515=0,0,SUMPRODUCT($AI$10:$DF$10,'Staff Daily sales'!$G1500:$CD1500))</f>
        <v>0</v>
      </c>
      <c r="Q1515">
        <f>IF($E1515=0,0,SUMPRODUCT($AI$11:$DF$11,'Staff Daily sales'!$G1500:$CD1500))</f>
        <v>0</v>
      </c>
      <c r="R1515">
        <f>IF($E1515=0,0,SUMPRODUCT($AI$12:$DF$12,'Staff Daily sales'!$G1500:$CD1500))</f>
        <v>0</v>
      </c>
      <c r="S1515">
        <f>IF($E1515=0,0,SUMPRODUCT($AI$13:$DF$13,'Staff Daily sales'!$G1500:$CD1500))</f>
        <v>0</v>
      </c>
      <c r="T1515">
        <f>IF($E1515=0,0,SUMPRODUCT($AI$14:$DF$14,'Staff Daily sales'!$G1500:$CD1500))</f>
        <v>0</v>
      </c>
      <c r="U1515">
        <f>IF($E1515=0,0,SUMPRODUCT($AI$15:$DF$15,'Staff Daily sales'!$G1500:$CD1500))</f>
        <v>0</v>
      </c>
      <c r="V1515">
        <f>IF($E1515=0,0,SUMPRODUCT($AI$16:$DF$16,'Staff Daily sales'!$G1500:$CD1500))</f>
        <v>0</v>
      </c>
      <c r="W1515">
        <f t="shared" si="399"/>
        <v>0</v>
      </c>
      <c r="X1515">
        <f t="shared" si="400"/>
        <v>0</v>
      </c>
      <c r="Y1515">
        <f t="shared" si="401"/>
        <v>0</v>
      </c>
      <c r="Z1515">
        <f t="shared" si="402"/>
        <v>0</v>
      </c>
      <c r="AA1515">
        <f t="shared" si="403"/>
        <v>0</v>
      </c>
      <c r="AB1515">
        <f>--AND($E1515=1,OR('Staff Weekly Trend'!$B$3="All",$DH1515='Staff Weekly Trend'!$B$3),OR('Staff Weekly Trend'!$B$4="All",$D1515='Staff Weekly Trend'!$B$4),OR('Staff Weekly Trend'!$B$5="All",$A1515='Staff Weekly Trend'!$B$5))</f>
        <v>0</v>
      </c>
      <c r="AC1515" t="str">
        <f t="shared" si="404"/>
        <v/>
      </c>
      <c r="AI1515">
        <f t="shared" si="405"/>
        <v>0</v>
      </c>
      <c r="AJ1515">
        <f t="shared" si="406"/>
        <v>0</v>
      </c>
      <c r="AK1515">
        <f t="shared" si="407"/>
        <v>0</v>
      </c>
      <c r="AL1515">
        <f t="shared" si="408"/>
        <v>0</v>
      </c>
      <c r="AM1515">
        <f t="shared" si="409"/>
        <v>0</v>
      </c>
      <c r="DH1515" t="str" cm="1">
        <f t="array" ref="DH1515">IF($A1515="","",_xlfn.LET(_xlpm.c,IFERROR(_xlfn.XLOOKUP($A1515,TRIM('Sales and count'!$A$4:$A$300&amp;""),TRIM('Sales and count'!$B$4:$B$300&amp;"")),""),IF(OR(_xlpm.c="",_xlpm.c="0",LEFT(_xlpm.c,1)="#"),"Not set",_xlpm.c)))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Sales Dashboard</vt:lpstr>
      <vt:lpstr>Weekly Trend</vt:lpstr>
      <vt:lpstr>Staff Dashboard</vt:lpstr>
      <vt:lpstr>Staff Weekly Trend</vt:lpstr>
      <vt:lpstr>Conv &amp; ATV Progress</vt:lpstr>
      <vt:lpstr>Sales and count</vt:lpstr>
      <vt:lpstr>Makeup </vt:lpstr>
      <vt:lpstr>Footfall</vt:lpstr>
      <vt:lpstr>Staff Daily sales</vt:lpstr>
      <vt:lpstr>LY Sales </vt:lpstr>
      <vt:lpstr>LY Transaction</vt:lpstr>
      <vt:lpstr>TY Sales Target</vt:lpstr>
      <vt:lpstr>TY Beauty Target</vt:lpstr>
      <vt:lpstr>Sep sales </vt:lpstr>
      <vt:lpstr>Staff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Mohsmmed Muaz</dc:creator>
  <cp:lastModifiedBy>Waleed Saif</cp:lastModifiedBy>
  <dcterms:created xsi:type="dcterms:W3CDTF">2026-10-11T07:14:25Z</dcterms:created>
  <dcterms:modified xsi:type="dcterms:W3CDTF">2026-10-27T09:53:32Z</dcterms:modified>
</cp:coreProperties>
</file>